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y\Desktop\hvac-deal-engine\"/>
    </mc:Choice>
  </mc:AlternateContent>
  <xr:revisionPtr revIDLastSave="0" documentId="8_{1AFC9F81-2995-478F-8F32-5DAB121A054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nputs" sheetId="1" r:id="rId1"/>
    <sheet name="Simulations" sheetId="2" r:id="rId2"/>
    <sheet name="Summary" sheetId="3" r:id="rId3"/>
    <sheet name="Sample_Results" sheetId="4" r:id="rId4"/>
    <sheet name="Draws_Samples" sheetId="5" r:id="rId5"/>
  </sheets>
  <definedNames>
    <definedName name="BaseMargin">Inputs!$B$3</definedName>
    <definedName name="BaseRev">Inputs!$B$2</definedName>
    <definedName name="CapexPct">Inputs!$B$6</definedName>
    <definedName name="DebtPct">Inputs!$B$11</definedName>
    <definedName name="DebtRate">Inputs!$B$10</definedName>
    <definedName name="EqPct">Inputs!$B$12</definedName>
    <definedName name="g_Max">Inputs!$F$5</definedName>
    <definedName name="g_Mean">Inputs!$F$2</definedName>
    <definedName name="g_Min">Inputs!$F$4</definedName>
    <definedName name="g_SD">Inputs!$F$3</definedName>
    <definedName name="HoldYrs">Inputs!$B$4</definedName>
    <definedName name="HurdleIRR">Inputs!$B$13</definedName>
    <definedName name="IntegrationPct">Inputs!$B$9</definedName>
    <definedName name="N">Inputs!$B$15</definedName>
    <definedName name="P_High">Inputs!$D$4</definedName>
    <definedName name="P_Low">Inputs!$D$2</definedName>
    <definedName name="P_Mode">Inputs!$D$3</definedName>
    <definedName name="SellCostPct">Inputs!$B$14</definedName>
    <definedName name="shk_Max">Inputs!$F$13</definedName>
    <definedName name="shk_Mean">Inputs!$F$10</definedName>
    <definedName name="shk_Min">Inputs!$F$12</definedName>
    <definedName name="shk_SD">Inputs!$F$11</definedName>
    <definedName name="syn_Max">Inputs!$F$9</definedName>
    <definedName name="syn_Mean">Inputs!$F$6</definedName>
    <definedName name="syn_Min">Inputs!$F$8</definedName>
    <definedName name="syn_SD">Inputs!$F$7</definedName>
    <definedName name="SynReal_Y1">Inputs!$B$18</definedName>
    <definedName name="SynReal_Y2toY5">Inputs!$B$19</definedName>
    <definedName name="Tax">Inputs!$B$5</definedName>
    <definedName name="TxnCostPct">Inputs!$B$8</definedName>
    <definedName name="WCPct">Inputs!$B$7</definedName>
    <definedName name="X_High">Inputs!$D$7</definedName>
    <definedName name="X_Low">Inputs!$D$5</definedName>
    <definedName name="X_Mode">Inputs!$D$6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01" i="4" l="1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B15" i="3"/>
  <c r="B2" i="3"/>
  <c r="E1" i="3"/>
  <c r="O2501" i="2"/>
  <c r="L2501" i="2"/>
  <c r="M2501" i="2" s="1"/>
  <c r="N2501" i="2" s="1"/>
  <c r="I2501" i="2"/>
  <c r="J2501" i="2" s="1"/>
  <c r="K2501" i="2" s="1"/>
  <c r="F2501" i="2"/>
  <c r="G2501" i="2" s="1"/>
  <c r="H2501" i="2" s="1"/>
  <c r="C2501" i="5" s="1"/>
  <c r="D2501" i="2"/>
  <c r="E2501" i="2" s="1"/>
  <c r="B2501" i="5" s="1"/>
  <c r="B2501" i="2"/>
  <c r="C2501" i="2" s="1"/>
  <c r="A2501" i="5" s="1"/>
  <c r="O2500" i="2"/>
  <c r="L2500" i="2"/>
  <c r="M2500" i="2" s="1"/>
  <c r="N2500" i="2" s="1"/>
  <c r="I2500" i="2"/>
  <c r="J2500" i="2" s="1"/>
  <c r="K2500" i="2" s="1"/>
  <c r="F2500" i="2"/>
  <c r="G2500" i="2" s="1"/>
  <c r="H2500" i="2" s="1"/>
  <c r="C2500" i="5" s="1"/>
  <c r="D2500" i="2"/>
  <c r="E2500" i="2" s="1"/>
  <c r="B2500" i="5" s="1"/>
  <c r="B2500" i="2"/>
  <c r="C2500" i="2" s="1"/>
  <c r="A2500" i="5" s="1"/>
  <c r="O2499" i="2"/>
  <c r="L2499" i="2"/>
  <c r="M2499" i="2" s="1"/>
  <c r="N2499" i="2" s="1"/>
  <c r="I2499" i="2"/>
  <c r="J2499" i="2" s="1"/>
  <c r="K2499" i="2" s="1"/>
  <c r="F2499" i="2"/>
  <c r="G2499" i="2" s="1"/>
  <c r="H2499" i="2" s="1"/>
  <c r="C2499" i="5" s="1"/>
  <c r="D2499" i="2"/>
  <c r="E2499" i="2" s="1"/>
  <c r="B2499" i="5" s="1"/>
  <c r="B2499" i="2"/>
  <c r="C2499" i="2" s="1"/>
  <c r="A2499" i="5" s="1"/>
  <c r="O2498" i="2"/>
  <c r="L2498" i="2"/>
  <c r="M2498" i="2" s="1"/>
  <c r="N2498" i="2" s="1"/>
  <c r="I2498" i="2"/>
  <c r="J2498" i="2" s="1"/>
  <c r="K2498" i="2" s="1"/>
  <c r="F2498" i="2"/>
  <c r="G2498" i="2" s="1"/>
  <c r="H2498" i="2" s="1"/>
  <c r="C2498" i="5" s="1"/>
  <c r="D2498" i="2"/>
  <c r="E2498" i="2" s="1"/>
  <c r="B2498" i="5" s="1"/>
  <c r="B2498" i="2"/>
  <c r="C2498" i="2" s="1"/>
  <c r="A2498" i="5" s="1"/>
  <c r="O2497" i="2"/>
  <c r="L2497" i="2"/>
  <c r="M2497" i="2" s="1"/>
  <c r="N2497" i="2" s="1"/>
  <c r="I2497" i="2"/>
  <c r="J2497" i="2" s="1"/>
  <c r="K2497" i="2" s="1"/>
  <c r="F2497" i="2"/>
  <c r="G2497" i="2" s="1"/>
  <c r="H2497" i="2" s="1"/>
  <c r="C2497" i="5" s="1"/>
  <c r="D2497" i="2"/>
  <c r="E2497" i="2" s="1"/>
  <c r="B2497" i="5" s="1"/>
  <c r="B2497" i="2"/>
  <c r="C2497" i="2" s="1"/>
  <c r="A2497" i="5" s="1"/>
  <c r="O2496" i="2"/>
  <c r="L2496" i="2"/>
  <c r="M2496" i="2" s="1"/>
  <c r="N2496" i="2" s="1"/>
  <c r="I2496" i="2"/>
  <c r="J2496" i="2" s="1"/>
  <c r="K2496" i="2" s="1"/>
  <c r="F2496" i="2"/>
  <c r="G2496" i="2" s="1"/>
  <c r="H2496" i="2" s="1"/>
  <c r="C2496" i="5" s="1"/>
  <c r="D2496" i="2"/>
  <c r="E2496" i="2" s="1"/>
  <c r="B2496" i="5" s="1"/>
  <c r="B2496" i="2"/>
  <c r="C2496" i="2" s="1"/>
  <c r="A2496" i="5" s="1"/>
  <c r="O2495" i="2"/>
  <c r="L2495" i="2"/>
  <c r="M2495" i="2" s="1"/>
  <c r="N2495" i="2" s="1"/>
  <c r="I2495" i="2"/>
  <c r="J2495" i="2" s="1"/>
  <c r="K2495" i="2" s="1"/>
  <c r="F2495" i="2"/>
  <c r="G2495" i="2" s="1"/>
  <c r="H2495" i="2" s="1"/>
  <c r="C2495" i="5" s="1"/>
  <c r="D2495" i="2"/>
  <c r="E2495" i="2" s="1"/>
  <c r="B2495" i="5" s="1"/>
  <c r="B2495" i="2"/>
  <c r="C2495" i="2" s="1"/>
  <c r="A2495" i="5" s="1"/>
  <c r="O2494" i="2"/>
  <c r="L2494" i="2"/>
  <c r="M2494" i="2" s="1"/>
  <c r="N2494" i="2" s="1"/>
  <c r="I2494" i="2"/>
  <c r="J2494" i="2" s="1"/>
  <c r="K2494" i="2" s="1"/>
  <c r="F2494" i="2"/>
  <c r="G2494" i="2" s="1"/>
  <c r="H2494" i="2" s="1"/>
  <c r="C2494" i="5" s="1"/>
  <c r="D2494" i="2"/>
  <c r="E2494" i="2" s="1"/>
  <c r="B2494" i="5" s="1"/>
  <c r="B2494" i="2"/>
  <c r="C2494" i="2" s="1"/>
  <c r="A2494" i="5" s="1"/>
  <c r="O2493" i="2"/>
  <c r="L2493" i="2"/>
  <c r="M2493" i="2" s="1"/>
  <c r="N2493" i="2" s="1"/>
  <c r="I2493" i="2"/>
  <c r="J2493" i="2" s="1"/>
  <c r="K2493" i="2" s="1"/>
  <c r="F2493" i="2"/>
  <c r="G2493" i="2" s="1"/>
  <c r="H2493" i="2" s="1"/>
  <c r="C2493" i="5" s="1"/>
  <c r="D2493" i="2"/>
  <c r="E2493" i="2" s="1"/>
  <c r="B2493" i="5" s="1"/>
  <c r="B2493" i="2"/>
  <c r="C2493" i="2" s="1"/>
  <c r="A2493" i="5" s="1"/>
  <c r="O2492" i="2"/>
  <c r="L2492" i="2"/>
  <c r="M2492" i="2" s="1"/>
  <c r="N2492" i="2" s="1"/>
  <c r="I2492" i="2"/>
  <c r="J2492" i="2" s="1"/>
  <c r="K2492" i="2" s="1"/>
  <c r="F2492" i="2"/>
  <c r="G2492" i="2" s="1"/>
  <c r="H2492" i="2" s="1"/>
  <c r="C2492" i="5" s="1"/>
  <c r="D2492" i="2"/>
  <c r="E2492" i="2" s="1"/>
  <c r="B2492" i="5" s="1"/>
  <c r="B2492" i="2"/>
  <c r="C2492" i="2" s="1"/>
  <c r="A2492" i="5" s="1"/>
  <c r="O2491" i="2"/>
  <c r="L2491" i="2"/>
  <c r="M2491" i="2" s="1"/>
  <c r="N2491" i="2" s="1"/>
  <c r="I2491" i="2"/>
  <c r="J2491" i="2" s="1"/>
  <c r="K2491" i="2" s="1"/>
  <c r="F2491" i="2"/>
  <c r="G2491" i="2" s="1"/>
  <c r="H2491" i="2" s="1"/>
  <c r="C2491" i="5" s="1"/>
  <c r="D2491" i="2"/>
  <c r="E2491" i="2" s="1"/>
  <c r="B2491" i="5" s="1"/>
  <c r="B2491" i="2"/>
  <c r="C2491" i="2" s="1"/>
  <c r="A2491" i="5" s="1"/>
  <c r="O2490" i="2"/>
  <c r="L2490" i="2"/>
  <c r="M2490" i="2" s="1"/>
  <c r="N2490" i="2" s="1"/>
  <c r="I2490" i="2"/>
  <c r="J2490" i="2" s="1"/>
  <c r="K2490" i="2" s="1"/>
  <c r="F2490" i="2"/>
  <c r="G2490" i="2" s="1"/>
  <c r="H2490" i="2" s="1"/>
  <c r="C2490" i="5" s="1"/>
  <c r="D2490" i="2"/>
  <c r="E2490" i="2" s="1"/>
  <c r="B2490" i="5" s="1"/>
  <c r="B2490" i="2"/>
  <c r="C2490" i="2" s="1"/>
  <c r="A2490" i="5" s="1"/>
  <c r="O2489" i="2"/>
  <c r="L2489" i="2"/>
  <c r="M2489" i="2" s="1"/>
  <c r="N2489" i="2" s="1"/>
  <c r="I2489" i="2"/>
  <c r="J2489" i="2" s="1"/>
  <c r="K2489" i="2" s="1"/>
  <c r="F2489" i="2"/>
  <c r="G2489" i="2" s="1"/>
  <c r="H2489" i="2" s="1"/>
  <c r="C2489" i="5" s="1"/>
  <c r="D2489" i="2"/>
  <c r="E2489" i="2" s="1"/>
  <c r="B2489" i="5" s="1"/>
  <c r="B2489" i="2"/>
  <c r="C2489" i="2" s="1"/>
  <c r="A2489" i="5" s="1"/>
  <c r="O2488" i="2"/>
  <c r="L2488" i="2"/>
  <c r="M2488" i="2" s="1"/>
  <c r="N2488" i="2" s="1"/>
  <c r="I2488" i="2"/>
  <c r="J2488" i="2" s="1"/>
  <c r="K2488" i="2" s="1"/>
  <c r="F2488" i="2"/>
  <c r="G2488" i="2" s="1"/>
  <c r="H2488" i="2" s="1"/>
  <c r="C2488" i="5" s="1"/>
  <c r="D2488" i="2"/>
  <c r="E2488" i="2" s="1"/>
  <c r="B2488" i="5" s="1"/>
  <c r="B2488" i="2"/>
  <c r="C2488" i="2" s="1"/>
  <c r="A2488" i="5" s="1"/>
  <c r="O2487" i="2"/>
  <c r="L2487" i="2"/>
  <c r="M2487" i="2" s="1"/>
  <c r="N2487" i="2" s="1"/>
  <c r="I2487" i="2"/>
  <c r="J2487" i="2" s="1"/>
  <c r="K2487" i="2" s="1"/>
  <c r="F2487" i="2"/>
  <c r="G2487" i="2" s="1"/>
  <c r="H2487" i="2" s="1"/>
  <c r="C2487" i="5" s="1"/>
  <c r="D2487" i="2"/>
  <c r="E2487" i="2" s="1"/>
  <c r="B2487" i="5" s="1"/>
  <c r="B2487" i="2"/>
  <c r="C2487" i="2" s="1"/>
  <c r="A2487" i="5" s="1"/>
  <c r="O2486" i="2"/>
  <c r="L2486" i="2"/>
  <c r="M2486" i="2" s="1"/>
  <c r="N2486" i="2" s="1"/>
  <c r="I2486" i="2"/>
  <c r="J2486" i="2" s="1"/>
  <c r="K2486" i="2" s="1"/>
  <c r="F2486" i="2"/>
  <c r="G2486" i="2" s="1"/>
  <c r="H2486" i="2" s="1"/>
  <c r="C2486" i="5" s="1"/>
  <c r="D2486" i="2"/>
  <c r="E2486" i="2" s="1"/>
  <c r="B2486" i="5" s="1"/>
  <c r="B2486" i="2"/>
  <c r="C2486" i="2" s="1"/>
  <c r="A2486" i="5" s="1"/>
  <c r="O2485" i="2"/>
  <c r="L2485" i="2"/>
  <c r="M2485" i="2" s="1"/>
  <c r="N2485" i="2" s="1"/>
  <c r="I2485" i="2"/>
  <c r="J2485" i="2" s="1"/>
  <c r="K2485" i="2" s="1"/>
  <c r="F2485" i="2"/>
  <c r="G2485" i="2" s="1"/>
  <c r="H2485" i="2" s="1"/>
  <c r="C2485" i="5" s="1"/>
  <c r="D2485" i="2"/>
  <c r="E2485" i="2" s="1"/>
  <c r="B2485" i="5" s="1"/>
  <c r="B2485" i="2"/>
  <c r="C2485" i="2" s="1"/>
  <c r="A2485" i="5" s="1"/>
  <c r="O2484" i="2"/>
  <c r="L2484" i="2"/>
  <c r="M2484" i="2" s="1"/>
  <c r="N2484" i="2" s="1"/>
  <c r="I2484" i="2"/>
  <c r="J2484" i="2" s="1"/>
  <c r="K2484" i="2" s="1"/>
  <c r="F2484" i="2"/>
  <c r="G2484" i="2" s="1"/>
  <c r="H2484" i="2" s="1"/>
  <c r="C2484" i="5" s="1"/>
  <c r="D2484" i="2"/>
  <c r="E2484" i="2" s="1"/>
  <c r="B2484" i="5" s="1"/>
  <c r="B2484" i="2"/>
  <c r="C2484" i="2" s="1"/>
  <c r="A2484" i="5" s="1"/>
  <c r="O2483" i="2"/>
  <c r="L2483" i="2"/>
  <c r="M2483" i="2" s="1"/>
  <c r="N2483" i="2" s="1"/>
  <c r="I2483" i="2"/>
  <c r="J2483" i="2" s="1"/>
  <c r="K2483" i="2" s="1"/>
  <c r="F2483" i="2"/>
  <c r="G2483" i="2" s="1"/>
  <c r="H2483" i="2" s="1"/>
  <c r="C2483" i="5" s="1"/>
  <c r="D2483" i="2"/>
  <c r="E2483" i="2" s="1"/>
  <c r="B2483" i="5" s="1"/>
  <c r="B2483" i="2"/>
  <c r="C2483" i="2" s="1"/>
  <c r="A2483" i="5" s="1"/>
  <c r="O2482" i="2"/>
  <c r="L2482" i="2"/>
  <c r="M2482" i="2" s="1"/>
  <c r="N2482" i="2" s="1"/>
  <c r="I2482" i="2"/>
  <c r="J2482" i="2" s="1"/>
  <c r="K2482" i="2" s="1"/>
  <c r="F2482" i="2"/>
  <c r="G2482" i="2" s="1"/>
  <c r="H2482" i="2" s="1"/>
  <c r="C2482" i="5" s="1"/>
  <c r="D2482" i="2"/>
  <c r="E2482" i="2" s="1"/>
  <c r="B2482" i="5" s="1"/>
  <c r="B2482" i="2"/>
  <c r="C2482" i="2" s="1"/>
  <c r="A2482" i="5" s="1"/>
  <c r="O2481" i="2"/>
  <c r="L2481" i="2"/>
  <c r="M2481" i="2" s="1"/>
  <c r="N2481" i="2" s="1"/>
  <c r="I2481" i="2"/>
  <c r="J2481" i="2" s="1"/>
  <c r="K2481" i="2" s="1"/>
  <c r="F2481" i="2"/>
  <c r="G2481" i="2" s="1"/>
  <c r="H2481" i="2" s="1"/>
  <c r="C2481" i="5" s="1"/>
  <c r="D2481" i="2"/>
  <c r="E2481" i="2" s="1"/>
  <c r="B2481" i="5" s="1"/>
  <c r="B2481" i="2"/>
  <c r="C2481" i="2" s="1"/>
  <c r="A2481" i="5" s="1"/>
  <c r="O2480" i="2"/>
  <c r="L2480" i="2"/>
  <c r="M2480" i="2" s="1"/>
  <c r="N2480" i="2" s="1"/>
  <c r="I2480" i="2"/>
  <c r="J2480" i="2" s="1"/>
  <c r="K2480" i="2" s="1"/>
  <c r="F2480" i="2"/>
  <c r="G2480" i="2" s="1"/>
  <c r="H2480" i="2" s="1"/>
  <c r="C2480" i="5" s="1"/>
  <c r="D2480" i="2"/>
  <c r="E2480" i="2" s="1"/>
  <c r="B2480" i="5" s="1"/>
  <c r="B2480" i="2"/>
  <c r="C2480" i="2" s="1"/>
  <c r="A2480" i="5" s="1"/>
  <c r="O2479" i="2"/>
  <c r="L2479" i="2"/>
  <c r="M2479" i="2" s="1"/>
  <c r="N2479" i="2" s="1"/>
  <c r="I2479" i="2"/>
  <c r="J2479" i="2" s="1"/>
  <c r="K2479" i="2" s="1"/>
  <c r="F2479" i="2"/>
  <c r="G2479" i="2" s="1"/>
  <c r="H2479" i="2" s="1"/>
  <c r="C2479" i="5" s="1"/>
  <c r="D2479" i="2"/>
  <c r="E2479" i="2" s="1"/>
  <c r="B2479" i="5" s="1"/>
  <c r="B2479" i="2"/>
  <c r="C2479" i="2" s="1"/>
  <c r="A2479" i="5" s="1"/>
  <c r="O2478" i="2"/>
  <c r="L2478" i="2"/>
  <c r="M2478" i="2" s="1"/>
  <c r="N2478" i="2" s="1"/>
  <c r="I2478" i="2"/>
  <c r="J2478" i="2" s="1"/>
  <c r="K2478" i="2" s="1"/>
  <c r="F2478" i="2"/>
  <c r="G2478" i="2" s="1"/>
  <c r="H2478" i="2" s="1"/>
  <c r="C2478" i="5" s="1"/>
  <c r="D2478" i="2"/>
  <c r="E2478" i="2" s="1"/>
  <c r="B2478" i="5" s="1"/>
  <c r="B2478" i="2"/>
  <c r="C2478" i="2" s="1"/>
  <c r="A2478" i="5" s="1"/>
  <c r="O2477" i="2"/>
  <c r="L2477" i="2"/>
  <c r="M2477" i="2" s="1"/>
  <c r="N2477" i="2" s="1"/>
  <c r="I2477" i="2"/>
  <c r="J2477" i="2" s="1"/>
  <c r="K2477" i="2" s="1"/>
  <c r="F2477" i="2"/>
  <c r="G2477" i="2" s="1"/>
  <c r="H2477" i="2" s="1"/>
  <c r="C2477" i="5" s="1"/>
  <c r="D2477" i="2"/>
  <c r="E2477" i="2" s="1"/>
  <c r="B2477" i="5" s="1"/>
  <c r="B2477" i="2"/>
  <c r="C2477" i="2" s="1"/>
  <c r="A2477" i="5" s="1"/>
  <c r="O2476" i="2"/>
  <c r="L2476" i="2"/>
  <c r="M2476" i="2" s="1"/>
  <c r="N2476" i="2" s="1"/>
  <c r="I2476" i="2"/>
  <c r="J2476" i="2" s="1"/>
  <c r="K2476" i="2" s="1"/>
  <c r="F2476" i="2"/>
  <c r="G2476" i="2" s="1"/>
  <c r="H2476" i="2" s="1"/>
  <c r="C2476" i="5" s="1"/>
  <c r="D2476" i="2"/>
  <c r="E2476" i="2" s="1"/>
  <c r="B2476" i="5" s="1"/>
  <c r="B2476" i="2"/>
  <c r="C2476" i="2" s="1"/>
  <c r="A2476" i="5" s="1"/>
  <c r="O2475" i="2"/>
  <c r="L2475" i="2"/>
  <c r="M2475" i="2" s="1"/>
  <c r="N2475" i="2" s="1"/>
  <c r="I2475" i="2"/>
  <c r="J2475" i="2" s="1"/>
  <c r="K2475" i="2" s="1"/>
  <c r="F2475" i="2"/>
  <c r="G2475" i="2" s="1"/>
  <c r="H2475" i="2" s="1"/>
  <c r="C2475" i="5" s="1"/>
  <c r="D2475" i="2"/>
  <c r="E2475" i="2" s="1"/>
  <c r="B2475" i="5" s="1"/>
  <c r="B2475" i="2"/>
  <c r="C2475" i="2" s="1"/>
  <c r="A2475" i="5" s="1"/>
  <c r="O2474" i="2"/>
  <c r="L2474" i="2"/>
  <c r="M2474" i="2" s="1"/>
  <c r="N2474" i="2" s="1"/>
  <c r="I2474" i="2"/>
  <c r="J2474" i="2" s="1"/>
  <c r="K2474" i="2" s="1"/>
  <c r="F2474" i="2"/>
  <c r="G2474" i="2" s="1"/>
  <c r="H2474" i="2" s="1"/>
  <c r="C2474" i="5" s="1"/>
  <c r="D2474" i="2"/>
  <c r="E2474" i="2" s="1"/>
  <c r="B2474" i="5" s="1"/>
  <c r="B2474" i="2"/>
  <c r="C2474" i="2" s="1"/>
  <c r="O2473" i="2"/>
  <c r="L2473" i="2"/>
  <c r="M2473" i="2" s="1"/>
  <c r="N2473" i="2" s="1"/>
  <c r="I2473" i="2"/>
  <c r="J2473" i="2" s="1"/>
  <c r="K2473" i="2" s="1"/>
  <c r="F2473" i="2"/>
  <c r="G2473" i="2" s="1"/>
  <c r="H2473" i="2" s="1"/>
  <c r="C2473" i="5" s="1"/>
  <c r="D2473" i="2"/>
  <c r="E2473" i="2" s="1"/>
  <c r="B2473" i="5" s="1"/>
  <c r="B2473" i="2"/>
  <c r="C2473" i="2" s="1"/>
  <c r="O2472" i="2"/>
  <c r="L2472" i="2"/>
  <c r="M2472" i="2" s="1"/>
  <c r="N2472" i="2" s="1"/>
  <c r="I2472" i="2"/>
  <c r="J2472" i="2" s="1"/>
  <c r="K2472" i="2" s="1"/>
  <c r="F2472" i="2"/>
  <c r="G2472" i="2" s="1"/>
  <c r="H2472" i="2" s="1"/>
  <c r="C2472" i="5" s="1"/>
  <c r="D2472" i="2"/>
  <c r="E2472" i="2" s="1"/>
  <c r="B2472" i="5" s="1"/>
  <c r="B2472" i="2"/>
  <c r="C2472" i="2" s="1"/>
  <c r="O2471" i="2"/>
  <c r="L2471" i="2"/>
  <c r="M2471" i="2" s="1"/>
  <c r="N2471" i="2" s="1"/>
  <c r="I2471" i="2"/>
  <c r="J2471" i="2" s="1"/>
  <c r="K2471" i="2" s="1"/>
  <c r="F2471" i="2"/>
  <c r="G2471" i="2" s="1"/>
  <c r="H2471" i="2" s="1"/>
  <c r="C2471" i="5" s="1"/>
  <c r="D2471" i="2"/>
  <c r="E2471" i="2" s="1"/>
  <c r="B2471" i="5" s="1"/>
  <c r="B2471" i="2"/>
  <c r="C2471" i="2" s="1"/>
  <c r="O2470" i="2"/>
  <c r="L2470" i="2"/>
  <c r="M2470" i="2" s="1"/>
  <c r="N2470" i="2" s="1"/>
  <c r="I2470" i="2"/>
  <c r="J2470" i="2" s="1"/>
  <c r="K2470" i="2" s="1"/>
  <c r="F2470" i="2"/>
  <c r="G2470" i="2" s="1"/>
  <c r="H2470" i="2" s="1"/>
  <c r="C2470" i="5" s="1"/>
  <c r="D2470" i="2"/>
  <c r="E2470" i="2" s="1"/>
  <c r="B2470" i="5" s="1"/>
  <c r="B2470" i="2"/>
  <c r="C2470" i="2" s="1"/>
  <c r="O2469" i="2"/>
  <c r="L2469" i="2"/>
  <c r="M2469" i="2" s="1"/>
  <c r="N2469" i="2" s="1"/>
  <c r="I2469" i="2"/>
  <c r="J2469" i="2" s="1"/>
  <c r="K2469" i="2" s="1"/>
  <c r="F2469" i="2"/>
  <c r="G2469" i="2" s="1"/>
  <c r="H2469" i="2" s="1"/>
  <c r="C2469" i="5" s="1"/>
  <c r="D2469" i="2"/>
  <c r="E2469" i="2" s="1"/>
  <c r="B2469" i="5" s="1"/>
  <c r="B2469" i="2"/>
  <c r="C2469" i="2" s="1"/>
  <c r="O2468" i="2"/>
  <c r="L2468" i="2"/>
  <c r="M2468" i="2" s="1"/>
  <c r="N2468" i="2" s="1"/>
  <c r="I2468" i="2"/>
  <c r="J2468" i="2" s="1"/>
  <c r="K2468" i="2" s="1"/>
  <c r="F2468" i="2"/>
  <c r="G2468" i="2" s="1"/>
  <c r="H2468" i="2" s="1"/>
  <c r="C2468" i="5" s="1"/>
  <c r="D2468" i="2"/>
  <c r="E2468" i="2" s="1"/>
  <c r="B2468" i="5" s="1"/>
  <c r="B2468" i="2"/>
  <c r="C2468" i="2" s="1"/>
  <c r="O2467" i="2"/>
  <c r="L2467" i="2"/>
  <c r="M2467" i="2" s="1"/>
  <c r="N2467" i="2" s="1"/>
  <c r="I2467" i="2"/>
  <c r="J2467" i="2" s="1"/>
  <c r="K2467" i="2" s="1"/>
  <c r="F2467" i="2"/>
  <c r="G2467" i="2" s="1"/>
  <c r="H2467" i="2" s="1"/>
  <c r="C2467" i="5" s="1"/>
  <c r="D2467" i="2"/>
  <c r="E2467" i="2" s="1"/>
  <c r="B2467" i="5" s="1"/>
  <c r="B2467" i="2"/>
  <c r="C2467" i="2" s="1"/>
  <c r="O2466" i="2"/>
  <c r="L2466" i="2"/>
  <c r="M2466" i="2" s="1"/>
  <c r="N2466" i="2" s="1"/>
  <c r="I2466" i="2"/>
  <c r="J2466" i="2" s="1"/>
  <c r="K2466" i="2" s="1"/>
  <c r="F2466" i="2"/>
  <c r="G2466" i="2" s="1"/>
  <c r="H2466" i="2" s="1"/>
  <c r="C2466" i="5" s="1"/>
  <c r="D2466" i="2"/>
  <c r="E2466" i="2" s="1"/>
  <c r="B2466" i="5" s="1"/>
  <c r="B2466" i="2"/>
  <c r="C2466" i="2" s="1"/>
  <c r="O2465" i="2"/>
  <c r="L2465" i="2"/>
  <c r="M2465" i="2" s="1"/>
  <c r="N2465" i="2" s="1"/>
  <c r="I2465" i="2"/>
  <c r="J2465" i="2" s="1"/>
  <c r="K2465" i="2" s="1"/>
  <c r="F2465" i="2"/>
  <c r="G2465" i="2" s="1"/>
  <c r="H2465" i="2" s="1"/>
  <c r="C2465" i="5" s="1"/>
  <c r="D2465" i="2"/>
  <c r="E2465" i="2" s="1"/>
  <c r="B2465" i="5" s="1"/>
  <c r="B2465" i="2"/>
  <c r="C2465" i="2" s="1"/>
  <c r="O2464" i="2"/>
  <c r="L2464" i="2"/>
  <c r="M2464" i="2" s="1"/>
  <c r="N2464" i="2" s="1"/>
  <c r="I2464" i="2"/>
  <c r="J2464" i="2" s="1"/>
  <c r="K2464" i="2" s="1"/>
  <c r="F2464" i="2"/>
  <c r="G2464" i="2" s="1"/>
  <c r="H2464" i="2" s="1"/>
  <c r="C2464" i="5" s="1"/>
  <c r="D2464" i="2"/>
  <c r="E2464" i="2" s="1"/>
  <c r="B2464" i="5" s="1"/>
  <c r="B2464" i="2"/>
  <c r="C2464" i="2" s="1"/>
  <c r="O2463" i="2"/>
  <c r="L2463" i="2"/>
  <c r="M2463" i="2" s="1"/>
  <c r="N2463" i="2" s="1"/>
  <c r="I2463" i="2"/>
  <c r="J2463" i="2" s="1"/>
  <c r="K2463" i="2" s="1"/>
  <c r="F2463" i="2"/>
  <c r="G2463" i="2" s="1"/>
  <c r="H2463" i="2" s="1"/>
  <c r="C2463" i="5" s="1"/>
  <c r="D2463" i="2"/>
  <c r="E2463" i="2" s="1"/>
  <c r="B2463" i="5" s="1"/>
  <c r="B2463" i="2"/>
  <c r="C2463" i="2" s="1"/>
  <c r="O2462" i="2"/>
  <c r="L2462" i="2"/>
  <c r="M2462" i="2" s="1"/>
  <c r="N2462" i="2" s="1"/>
  <c r="I2462" i="2"/>
  <c r="J2462" i="2" s="1"/>
  <c r="K2462" i="2" s="1"/>
  <c r="F2462" i="2"/>
  <c r="G2462" i="2" s="1"/>
  <c r="H2462" i="2" s="1"/>
  <c r="C2462" i="5" s="1"/>
  <c r="D2462" i="2"/>
  <c r="E2462" i="2" s="1"/>
  <c r="B2462" i="5" s="1"/>
  <c r="B2462" i="2"/>
  <c r="C2462" i="2" s="1"/>
  <c r="O2461" i="2"/>
  <c r="L2461" i="2"/>
  <c r="M2461" i="2" s="1"/>
  <c r="N2461" i="2" s="1"/>
  <c r="I2461" i="2"/>
  <c r="J2461" i="2" s="1"/>
  <c r="K2461" i="2" s="1"/>
  <c r="F2461" i="2"/>
  <c r="G2461" i="2" s="1"/>
  <c r="H2461" i="2" s="1"/>
  <c r="C2461" i="5" s="1"/>
  <c r="D2461" i="2"/>
  <c r="E2461" i="2" s="1"/>
  <c r="B2461" i="5" s="1"/>
  <c r="B2461" i="2"/>
  <c r="C2461" i="2" s="1"/>
  <c r="O2460" i="2"/>
  <c r="L2460" i="2"/>
  <c r="M2460" i="2" s="1"/>
  <c r="N2460" i="2" s="1"/>
  <c r="I2460" i="2"/>
  <c r="J2460" i="2" s="1"/>
  <c r="K2460" i="2" s="1"/>
  <c r="F2460" i="2"/>
  <c r="G2460" i="2" s="1"/>
  <c r="H2460" i="2" s="1"/>
  <c r="C2460" i="5" s="1"/>
  <c r="D2460" i="2"/>
  <c r="E2460" i="2" s="1"/>
  <c r="B2460" i="5" s="1"/>
  <c r="B2460" i="2"/>
  <c r="C2460" i="2" s="1"/>
  <c r="O2459" i="2"/>
  <c r="L2459" i="2"/>
  <c r="M2459" i="2" s="1"/>
  <c r="N2459" i="2" s="1"/>
  <c r="I2459" i="2"/>
  <c r="J2459" i="2" s="1"/>
  <c r="K2459" i="2" s="1"/>
  <c r="F2459" i="2"/>
  <c r="G2459" i="2" s="1"/>
  <c r="H2459" i="2" s="1"/>
  <c r="C2459" i="5" s="1"/>
  <c r="D2459" i="2"/>
  <c r="E2459" i="2" s="1"/>
  <c r="B2459" i="5" s="1"/>
  <c r="B2459" i="2"/>
  <c r="C2459" i="2" s="1"/>
  <c r="O2458" i="2"/>
  <c r="L2458" i="2"/>
  <c r="M2458" i="2" s="1"/>
  <c r="N2458" i="2" s="1"/>
  <c r="I2458" i="2"/>
  <c r="J2458" i="2" s="1"/>
  <c r="K2458" i="2" s="1"/>
  <c r="F2458" i="2"/>
  <c r="G2458" i="2" s="1"/>
  <c r="H2458" i="2" s="1"/>
  <c r="C2458" i="5" s="1"/>
  <c r="D2458" i="2"/>
  <c r="E2458" i="2" s="1"/>
  <c r="B2458" i="5" s="1"/>
  <c r="B2458" i="2"/>
  <c r="C2458" i="2" s="1"/>
  <c r="O2457" i="2"/>
  <c r="L2457" i="2"/>
  <c r="M2457" i="2" s="1"/>
  <c r="N2457" i="2" s="1"/>
  <c r="I2457" i="2"/>
  <c r="J2457" i="2" s="1"/>
  <c r="K2457" i="2" s="1"/>
  <c r="F2457" i="2"/>
  <c r="G2457" i="2" s="1"/>
  <c r="H2457" i="2" s="1"/>
  <c r="C2457" i="5" s="1"/>
  <c r="D2457" i="2"/>
  <c r="E2457" i="2" s="1"/>
  <c r="B2457" i="5" s="1"/>
  <c r="B2457" i="2"/>
  <c r="C2457" i="2" s="1"/>
  <c r="O2456" i="2"/>
  <c r="L2456" i="2"/>
  <c r="M2456" i="2" s="1"/>
  <c r="N2456" i="2" s="1"/>
  <c r="I2456" i="2"/>
  <c r="J2456" i="2" s="1"/>
  <c r="K2456" i="2" s="1"/>
  <c r="F2456" i="2"/>
  <c r="G2456" i="2" s="1"/>
  <c r="H2456" i="2" s="1"/>
  <c r="C2456" i="5" s="1"/>
  <c r="D2456" i="2"/>
  <c r="E2456" i="2" s="1"/>
  <c r="B2456" i="5" s="1"/>
  <c r="B2456" i="2"/>
  <c r="C2456" i="2" s="1"/>
  <c r="O2455" i="2"/>
  <c r="L2455" i="2"/>
  <c r="M2455" i="2" s="1"/>
  <c r="N2455" i="2" s="1"/>
  <c r="I2455" i="2"/>
  <c r="J2455" i="2" s="1"/>
  <c r="K2455" i="2" s="1"/>
  <c r="F2455" i="2"/>
  <c r="G2455" i="2" s="1"/>
  <c r="H2455" i="2" s="1"/>
  <c r="C2455" i="5" s="1"/>
  <c r="D2455" i="2"/>
  <c r="E2455" i="2" s="1"/>
  <c r="B2455" i="5" s="1"/>
  <c r="B2455" i="2"/>
  <c r="C2455" i="2" s="1"/>
  <c r="O2454" i="2"/>
  <c r="L2454" i="2"/>
  <c r="M2454" i="2" s="1"/>
  <c r="N2454" i="2" s="1"/>
  <c r="I2454" i="2"/>
  <c r="J2454" i="2" s="1"/>
  <c r="K2454" i="2" s="1"/>
  <c r="F2454" i="2"/>
  <c r="G2454" i="2" s="1"/>
  <c r="H2454" i="2" s="1"/>
  <c r="C2454" i="5" s="1"/>
  <c r="D2454" i="2"/>
  <c r="E2454" i="2" s="1"/>
  <c r="B2454" i="5" s="1"/>
  <c r="B2454" i="2"/>
  <c r="C2454" i="2" s="1"/>
  <c r="O2453" i="2"/>
  <c r="L2453" i="2"/>
  <c r="M2453" i="2" s="1"/>
  <c r="N2453" i="2" s="1"/>
  <c r="I2453" i="2"/>
  <c r="J2453" i="2" s="1"/>
  <c r="K2453" i="2" s="1"/>
  <c r="F2453" i="2"/>
  <c r="G2453" i="2" s="1"/>
  <c r="H2453" i="2" s="1"/>
  <c r="C2453" i="5" s="1"/>
  <c r="D2453" i="2"/>
  <c r="E2453" i="2" s="1"/>
  <c r="B2453" i="5" s="1"/>
  <c r="B2453" i="2"/>
  <c r="C2453" i="2" s="1"/>
  <c r="O2452" i="2"/>
  <c r="L2452" i="2"/>
  <c r="M2452" i="2" s="1"/>
  <c r="N2452" i="2" s="1"/>
  <c r="I2452" i="2"/>
  <c r="J2452" i="2" s="1"/>
  <c r="K2452" i="2" s="1"/>
  <c r="F2452" i="2"/>
  <c r="G2452" i="2" s="1"/>
  <c r="H2452" i="2" s="1"/>
  <c r="C2452" i="5" s="1"/>
  <c r="D2452" i="2"/>
  <c r="E2452" i="2" s="1"/>
  <c r="B2452" i="5" s="1"/>
  <c r="B2452" i="2"/>
  <c r="C2452" i="2" s="1"/>
  <c r="O2451" i="2"/>
  <c r="L2451" i="2"/>
  <c r="M2451" i="2" s="1"/>
  <c r="N2451" i="2" s="1"/>
  <c r="I2451" i="2"/>
  <c r="J2451" i="2" s="1"/>
  <c r="K2451" i="2" s="1"/>
  <c r="F2451" i="2"/>
  <c r="G2451" i="2" s="1"/>
  <c r="H2451" i="2" s="1"/>
  <c r="C2451" i="5" s="1"/>
  <c r="D2451" i="2"/>
  <c r="E2451" i="2" s="1"/>
  <c r="B2451" i="5" s="1"/>
  <c r="B2451" i="2"/>
  <c r="C2451" i="2" s="1"/>
  <c r="O2450" i="2"/>
  <c r="L2450" i="2"/>
  <c r="M2450" i="2" s="1"/>
  <c r="N2450" i="2" s="1"/>
  <c r="I2450" i="2"/>
  <c r="J2450" i="2" s="1"/>
  <c r="K2450" i="2" s="1"/>
  <c r="F2450" i="2"/>
  <c r="G2450" i="2" s="1"/>
  <c r="H2450" i="2" s="1"/>
  <c r="C2450" i="5" s="1"/>
  <c r="D2450" i="2"/>
  <c r="E2450" i="2" s="1"/>
  <c r="B2450" i="5" s="1"/>
  <c r="B2450" i="2"/>
  <c r="C2450" i="2" s="1"/>
  <c r="O2449" i="2"/>
  <c r="L2449" i="2"/>
  <c r="M2449" i="2" s="1"/>
  <c r="N2449" i="2" s="1"/>
  <c r="I2449" i="2"/>
  <c r="J2449" i="2" s="1"/>
  <c r="K2449" i="2" s="1"/>
  <c r="F2449" i="2"/>
  <c r="G2449" i="2" s="1"/>
  <c r="H2449" i="2" s="1"/>
  <c r="C2449" i="5" s="1"/>
  <c r="D2449" i="2"/>
  <c r="E2449" i="2" s="1"/>
  <c r="B2449" i="5" s="1"/>
  <c r="B2449" i="2"/>
  <c r="C2449" i="2" s="1"/>
  <c r="O2448" i="2"/>
  <c r="L2448" i="2"/>
  <c r="M2448" i="2" s="1"/>
  <c r="N2448" i="2" s="1"/>
  <c r="I2448" i="2"/>
  <c r="J2448" i="2" s="1"/>
  <c r="K2448" i="2" s="1"/>
  <c r="F2448" i="2"/>
  <c r="G2448" i="2" s="1"/>
  <c r="H2448" i="2" s="1"/>
  <c r="C2448" i="5" s="1"/>
  <c r="D2448" i="2"/>
  <c r="E2448" i="2" s="1"/>
  <c r="B2448" i="5" s="1"/>
  <c r="B2448" i="2"/>
  <c r="C2448" i="2" s="1"/>
  <c r="O2447" i="2"/>
  <c r="L2447" i="2"/>
  <c r="M2447" i="2" s="1"/>
  <c r="N2447" i="2" s="1"/>
  <c r="I2447" i="2"/>
  <c r="J2447" i="2" s="1"/>
  <c r="K2447" i="2" s="1"/>
  <c r="F2447" i="2"/>
  <c r="G2447" i="2" s="1"/>
  <c r="H2447" i="2" s="1"/>
  <c r="C2447" i="5" s="1"/>
  <c r="D2447" i="2"/>
  <c r="E2447" i="2" s="1"/>
  <c r="B2447" i="5" s="1"/>
  <c r="B2447" i="2"/>
  <c r="C2447" i="2" s="1"/>
  <c r="O2446" i="2"/>
  <c r="L2446" i="2"/>
  <c r="M2446" i="2" s="1"/>
  <c r="N2446" i="2" s="1"/>
  <c r="I2446" i="2"/>
  <c r="J2446" i="2" s="1"/>
  <c r="K2446" i="2" s="1"/>
  <c r="F2446" i="2"/>
  <c r="G2446" i="2" s="1"/>
  <c r="H2446" i="2" s="1"/>
  <c r="C2446" i="5" s="1"/>
  <c r="D2446" i="2"/>
  <c r="E2446" i="2" s="1"/>
  <c r="B2446" i="5" s="1"/>
  <c r="B2446" i="2"/>
  <c r="C2446" i="2" s="1"/>
  <c r="O2445" i="2"/>
  <c r="L2445" i="2"/>
  <c r="M2445" i="2" s="1"/>
  <c r="N2445" i="2" s="1"/>
  <c r="I2445" i="2"/>
  <c r="J2445" i="2" s="1"/>
  <c r="K2445" i="2" s="1"/>
  <c r="F2445" i="2"/>
  <c r="G2445" i="2" s="1"/>
  <c r="H2445" i="2" s="1"/>
  <c r="C2445" i="5" s="1"/>
  <c r="D2445" i="2"/>
  <c r="E2445" i="2" s="1"/>
  <c r="B2445" i="5" s="1"/>
  <c r="B2445" i="2"/>
  <c r="C2445" i="2" s="1"/>
  <c r="O2444" i="2"/>
  <c r="L2444" i="2"/>
  <c r="M2444" i="2" s="1"/>
  <c r="N2444" i="2" s="1"/>
  <c r="I2444" i="2"/>
  <c r="J2444" i="2" s="1"/>
  <c r="K2444" i="2" s="1"/>
  <c r="F2444" i="2"/>
  <c r="G2444" i="2" s="1"/>
  <c r="H2444" i="2" s="1"/>
  <c r="C2444" i="5" s="1"/>
  <c r="D2444" i="2"/>
  <c r="E2444" i="2" s="1"/>
  <c r="B2444" i="5" s="1"/>
  <c r="B2444" i="2"/>
  <c r="C2444" i="2" s="1"/>
  <c r="O2443" i="2"/>
  <c r="L2443" i="2"/>
  <c r="M2443" i="2" s="1"/>
  <c r="N2443" i="2" s="1"/>
  <c r="I2443" i="2"/>
  <c r="J2443" i="2" s="1"/>
  <c r="K2443" i="2" s="1"/>
  <c r="F2443" i="2"/>
  <c r="G2443" i="2" s="1"/>
  <c r="H2443" i="2" s="1"/>
  <c r="C2443" i="5" s="1"/>
  <c r="D2443" i="2"/>
  <c r="E2443" i="2" s="1"/>
  <c r="B2443" i="5" s="1"/>
  <c r="B2443" i="2"/>
  <c r="C2443" i="2" s="1"/>
  <c r="O2442" i="2"/>
  <c r="L2442" i="2"/>
  <c r="M2442" i="2" s="1"/>
  <c r="N2442" i="2" s="1"/>
  <c r="I2442" i="2"/>
  <c r="J2442" i="2" s="1"/>
  <c r="K2442" i="2" s="1"/>
  <c r="F2442" i="2"/>
  <c r="G2442" i="2" s="1"/>
  <c r="H2442" i="2" s="1"/>
  <c r="C2442" i="5" s="1"/>
  <c r="D2442" i="2"/>
  <c r="E2442" i="2" s="1"/>
  <c r="B2442" i="5" s="1"/>
  <c r="B2442" i="2"/>
  <c r="C2442" i="2" s="1"/>
  <c r="O2441" i="2"/>
  <c r="L2441" i="2"/>
  <c r="M2441" i="2" s="1"/>
  <c r="N2441" i="2" s="1"/>
  <c r="I2441" i="2"/>
  <c r="J2441" i="2" s="1"/>
  <c r="K2441" i="2" s="1"/>
  <c r="F2441" i="2"/>
  <c r="G2441" i="2" s="1"/>
  <c r="H2441" i="2" s="1"/>
  <c r="C2441" i="5" s="1"/>
  <c r="D2441" i="2"/>
  <c r="E2441" i="2" s="1"/>
  <c r="B2441" i="5" s="1"/>
  <c r="B2441" i="2"/>
  <c r="C2441" i="2" s="1"/>
  <c r="O2440" i="2"/>
  <c r="L2440" i="2"/>
  <c r="M2440" i="2" s="1"/>
  <c r="N2440" i="2" s="1"/>
  <c r="I2440" i="2"/>
  <c r="J2440" i="2" s="1"/>
  <c r="K2440" i="2" s="1"/>
  <c r="F2440" i="2"/>
  <c r="G2440" i="2" s="1"/>
  <c r="H2440" i="2" s="1"/>
  <c r="C2440" i="5" s="1"/>
  <c r="D2440" i="2"/>
  <c r="E2440" i="2" s="1"/>
  <c r="B2440" i="5" s="1"/>
  <c r="B2440" i="2"/>
  <c r="C2440" i="2" s="1"/>
  <c r="O2439" i="2"/>
  <c r="L2439" i="2"/>
  <c r="M2439" i="2" s="1"/>
  <c r="N2439" i="2" s="1"/>
  <c r="I2439" i="2"/>
  <c r="J2439" i="2" s="1"/>
  <c r="K2439" i="2" s="1"/>
  <c r="F2439" i="2"/>
  <c r="G2439" i="2" s="1"/>
  <c r="H2439" i="2" s="1"/>
  <c r="C2439" i="5" s="1"/>
  <c r="D2439" i="2"/>
  <c r="E2439" i="2" s="1"/>
  <c r="B2439" i="5" s="1"/>
  <c r="B2439" i="2"/>
  <c r="C2439" i="2" s="1"/>
  <c r="O2438" i="2"/>
  <c r="L2438" i="2"/>
  <c r="M2438" i="2" s="1"/>
  <c r="N2438" i="2" s="1"/>
  <c r="I2438" i="2"/>
  <c r="J2438" i="2" s="1"/>
  <c r="K2438" i="2" s="1"/>
  <c r="F2438" i="2"/>
  <c r="G2438" i="2" s="1"/>
  <c r="H2438" i="2" s="1"/>
  <c r="C2438" i="5" s="1"/>
  <c r="D2438" i="2"/>
  <c r="E2438" i="2" s="1"/>
  <c r="B2438" i="5" s="1"/>
  <c r="B2438" i="2"/>
  <c r="C2438" i="2" s="1"/>
  <c r="O2437" i="2"/>
  <c r="L2437" i="2"/>
  <c r="M2437" i="2" s="1"/>
  <c r="N2437" i="2" s="1"/>
  <c r="I2437" i="2"/>
  <c r="J2437" i="2" s="1"/>
  <c r="K2437" i="2" s="1"/>
  <c r="F2437" i="2"/>
  <c r="G2437" i="2" s="1"/>
  <c r="H2437" i="2" s="1"/>
  <c r="C2437" i="5" s="1"/>
  <c r="D2437" i="2"/>
  <c r="E2437" i="2" s="1"/>
  <c r="B2437" i="5" s="1"/>
  <c r="B2437" i="2"/>
  <c r="C2437" i="2" s="1"/>
  <c r="O2436" i="2"/>
  <c r="L2436" i="2"/>
  <c r="M2436" i="2" s="1"/>
  <c r="N2436" i="2" s="1"/>
  <c r="I2436" i="2"/>
  <c r="J2436" i="2" s="1"/>
  <c r="K2436" i="2" s="1"/>
  <c r="F2436" i="2"/>
  <c r="G2436" i="2" s="1"/>
  <c r="H2436" i="2" s="1"/>
  <c r="C2436" i="5" s="1"/>
  <c r="D2436" i="2"/>
  <c r="E2436" i="2" s="1"/>
  <c r="B2436" i="5" s="1"/>
  <c r="B2436" i="2"/>
  <c r="C2436" i="2" s="1"/>
  <c r="O2435" i="2"/>
  <c r="L2435" i="2"/>
  <c r="M2435" i="2" s="1"/>
  <c r="N2435" i="2" s="1"/>
  <c r="I2435" i="2"/>
  <c r="J2435" i="2" s="1"/>
  <c r="K2435" i="2" s="1"/>
  <c r="F2435" i="2"/>
  <c r="G2435" i="2" s="1"/>
  <c r="H2435" i="2" s="1"/>
  <c r="C2435" i="5" s="1"/>
  <c r="D2435" i="2"/>
  <c r="E2435" i="2" s="1"/>
  <c r="B2435" i="5" s="1"/>
  <c r="B2435" i="2"/>
  <c r="C2435" i="2" s="1"/>
  <c r="O2434" i="2"/>
  <c r="L2434" i="2"/>
  <c r="M2434" i="2" s="1"/>
  <c r="N2434" i="2" s="1"/>
  <c r="I2434" i="2"/>
  <c r="J2434" i="2" s="1"/>
  <c r="K2434" i="2" s="1"/>
  <c r="F2434" i="2"/>
  <c r="G2434" i="2" s="1"/>
  <c r="H2434" i="2" s="1"/>
  <c r="C2434" i="5" s="1"/>
  <c r="D2434" i="2"/>
  <c r="E2434" i="2" s="1"/>
  <c r="B2434" i="5" s="1"/>
  <c r="B2434" i="2"/>
  <c r="C2434" i="2" s="1"/>
  <c r="O2433" i="2"/>
  <c r="L2433" i="2"/>
  <c r="M2433" i="2" s="1"/>
  <c r="N2433" i="2" s="1"/>
  <c r="I2433" i="2"/>
  <c r="J2433" i="2" s="1"/>
  <c r="K2433" i="2" s="1"/>
  <c r="F2433" i="2"/>
  <c r="G2433" i="2" s="1"/>
  <c r="H2433" i="2" s="1"/>
  <c r="C2433" i="5" s="1"/>
  <c r="D2433" i="2"/>
  <c r="E2433" i="2" s="1"/>
  <c r="B2433" i="5" s="1"/>
  <c r="B2433" i="2"/>
  <c r="C2433" i="2" s="1"/>
  <c r="O2432" i="2"/>
  <c r="L2432" i="2"/>
  <c r="M2432" i="2" s="1"/>
  <c r="N2432" i="2" s="1"/>
  <c r="I2432" i="2"/>
  <c r="J2432" i="2" s="1"/>
  <c r="K2432" i="2" s="1"/>
  <c r="F2432" i="2"/>
  <c r="G2432" i="2" s="1"/>
  <c r="H2432" i="2" s="1"/>
  <c r="C2432" i="5" s="1"/>
  <c r="D2432" i="2"/>
  <c r="E2432" i="2" s="1"/>
  <c r="B2432" i="5" s="1"/>
  <c r="B2432" i="2"/>
  <c r="C2432" i="2" s="1"/>
  <c r="O2431" i="2"/>
  <c r="L2431" i="2"/>
  <c r="M2431" i="2" s="1"/>
  <c r="N2431" i="2" s="1"/>
  <c r="I2431" i="2"/>
  <c r="J2431" i="2" s="1"/>
  <c r="K2431" i="2" s="1"/>
  <c r="F2431" i="2"/>
  <c r="G2431" i="2" s="1"/>
  <c r="H2431" i="2" s="1"/>
  <c r="C2431" i="5" s="1"/>
  <c r="D2431" i="2"/>
  <c r="E2431" i="2" s="1"/>
  <c r="B2431" i="5" s="1"/>
  <c r="B2431" i="2"/>
  <c r="C2431" i="2" s="1"/>
  <c r="O2430" i="2"/>
  <c r="L2430" i="2"/>
  <c r="M2430" i="2" s="1"/>
  <c r="N2430" i="2" s="1"/>
  <c r="I2430" i="2"/>
  <c r="J2430" i="2" s="1"/>
  <c r="K2430" i="2" s="1"/>
  <c r="F2430" i="2"/>
  <c r="G2430" i="2" s="1"/>
  <c r="H2430" i="2" s="1"/>
  <c r="C2430" i="5" s="1"/>
  <c r="D2430" i="2"/>
  <c r="E2430" i="2" s="1"/>
  <c r="B2430" i="5" s="1"/>
  <c r="B2430" i="2"/>
  <c r="C2430" i="2" s="1"/>
  <c r="O2429" i="2"/>
  <c r="L2429" i="2"/>
  <c r="M2429" i="2" s="1"/>
  <c r="N2429" i="2" s="1"/>
  <c r="I2429" i="2"/>
  <c r="J2429" i="2" s="1"/>
  <c r="K2429" i="2" s="1"/>
  <c r="F2429" i="2"/>
  <c r="G2429" i="2" s="1"/>
  <c r="H2429" i="2" s="1"/>
  <c r="C2429" i="5" s="1"/>
  <c r="D2429" i="2"/>
  <c r="E2429" i="2" s="1"/>
  <c r="B2429" i="5" s="1"/>
  <c r="B2429" i="2"/>
  <c r="C2429" i="2" s="1"/>
  <c r="O2428" i="2"/>
  <c r="L2428" i="2"/>
  <c r="M2428" i="2" s="1"/>
  <c r="N2428" i="2" s="1"/>
  <c r="I2428" i="2"/>
  <c r="J2428" i="2" s="1"/>
  <c r="K2428" i="2" s="1"/>
  <c r="F2428" i="2"/>
  <c r="G2428" i="2" s="1"/>
  <c r="H2428" i="2" s="1"/>
  <c r="C2428" i="5" s="1"/>
  <c r="D2428" i="2"/>
  <c r="E2428" i="2" s="1"/>
  <c r="B2428" i="5" s="1"/>
  <c r="B2428" i="2"/>
  <c r="C2428" i="2" s="1"/>
  <c r="O2427" i="2"/>
  <c r="L2427" i="2"/>
  <c r="M2427" i="2" s="1"/>
  <c r="N2427" i="2" s="1"/>
  <c r="I2427" i="2"/>
  <c r="J2427" i="2" s="1"/>
  <c r="K2427" i="2" s="1"/>
  <c r="F2427" i="2"/>
  <c r="G2427" i="2" s="1"/>
  <c r="H2427" i="2" s="1"/>
  <c r="C2427" i="5" s="1"/>
  <c r="D2427" i="2"/>
  <c r="E2427" i="2" s="1"/>
  <c r="B2427" i="5" s="1"/>
  <c r="B2427" i="2"/>
  <c r="C2427" i="2" s="1"/>
  <c r="O2426" i="2"/>
  <c r="L2426" i="2"/>
  <c r="M2426" i="2" s="1"/>
  <c r="N2426" i="2" s="1"/>
  <c r="I2426" i="2"/>
  <c r="J2426" i="2" s="1"/>
  <c r="K2426" i="2" s="1"/>
  <c r="F2426" i="2"/>
  <c r="G2426" i="2" s="1"/>
  <c r="H2426" i="2" s="1"/>
  <c r="C2426" i="5" s="1"/>
  <c r="D2426" i="2"/>
  <c r="E2426" i="2" s="1"/>
  <c r="B2426" i="5" s="1"/>
  <c r="B2426" i="2"/>
  <c r="C2426" i="2" s="1"/>
  <c r="O2425" i="2"/>
  <c r="L2425" i="2"/>
  <c r="M2425" i="2" s="1"/>
  <c r="N2425" i="2" s="1"/>
  <c r="I2425" i="2"/>
  <c r="J2425" i="2" s="1"/>
  <c r="K2425" i="2" s="1"/>
  <c r="F2425" i="2"/>
  <c r="G2425" i="2" s="1"/>
  <c r="H2425" i="2" s="1"/>
  <c r="C2425" i="5" s="1"/>
  <c r="D2425" i="2"/>
  <c r="E2425" i="2" s="1"/>
  <c r="B2425" i="5" s="1"/>
  <c r="B2425" i="2"/>
  <c r="C2425" i="2" s="1"/>
  <c r="O2424" i="2"/>
  <c r="L2424" i="2"/>
  <c r="M2424" i="2" s="1"/>
  <c r="N2424" i="2" s="1"/>
  <c r="I2424" i="2"/>
  <c r="J2424" i="2" s="1"/>
  <c r="K2424" i="2" s="1"/>
  <c r="F2424" i="2"/>
  <c r="G2424" i="2" s="1"/>
  <c r="H2424" i="2" s="1"/>
  <c r="C2424" i="5" s="1"/>
  <c r="D2424" i="2"/>
  <c r="E2424" i="2" s="1"/>
  <c r="B2424" i="5" s="1"/>
  <c r="B2424" i="2"/>
  <c r="C2424" i="2" s="1"/>
  <c r="O2423" i="2"/>
  <c r="L2423" i="2"/>
  <c r="M2423" i="2" s="1"/>
  <c r="N2423" i="2" s="1"/>
  <c r="I2423" i="2"/>
  <c r="J2423" i="2" s="1"/>
  <c r="K2423" i="2" s="1"/>
  <c r="F2423" i="2"/>
  <c r="G2423" i="2" s="1"/>
  <c r="H2423" i="2" s="1"/>
  <c r="C2423" i="5" s="1"/>
  <c r="D2423" i="2"/>
  <c r="E2423" i="2" s="1"/>
  <c r="B2423" i="5" s="1"/>
  <c r="B2423" i="2"/>
  <c r="C2423" i="2" s="1"/>
  <c r="O2422" i="2"/>
  <c r="L2422" i="2"/>
  <c r="M2422" i="2" s="1"/>
  <c r="N2422" i="2" s="1"/>
  <c r="I2422" i="2"/>
  <c r="J2422" i="2" s="1"/>
  <c r="K2422" i="2" s="1"/>
  <c r="F2422" i="2"/>
  <c r="G2422" i="2" s="1"/>
  <c r="H2422" i="2" s="1"/>
  <c r="C2422" i="5" s="1"/>
  <c r="D2422" i="2"/>
  <c r="E2422" i="2" s="1"/>
  <c r="B2422" i="5" s="1"/>
  <c r="B2422" i="2"/>
  <c r="C2422" i="2" s="1"/>
  <c r="O2421" i="2"/>
  <c r="L2421" i="2"/>
  <c r="M2421" i="2" s="1"/>
  <c r="N2421" i="2" s="1"/>
  <c r="I2421" i="2"/>
  <c r="J2421" i="2" s="1"/>
  <c r="K2421" i="2" s="1"/>
  <c r="F2421" i="2"/>
  <c r="G2421" i="2" s="1"/>
  <c r="H2421" i="2" s="1"/>
  <c r="C2421" i="5" s="1"/>
  <c r="D2421" i="2"/>
  <c r="E2421" i="2" s="1"/>
  <c r="B2421" i="5" s="1"/>
  <c r="B2421" i="2"/>
  <c r="C2421" i="2" s="1"/>
  <c r="O2420" i="2"/>
  <c r="L2420" i="2"/>
  <c r="M2420" i="2" s="1"/>
  <c r="N2420" i="2" s="1"/>
  <c r="I2420" i="2"/>
  <c r="J2420" i="2" s="1"/>
  <c r="K2420" i="2" s="1"/>
  <c r="F2420" i="2"/>
  <c r="G2420" i="2" s="1"/>
  <c r="H2420" i="2" s="1"/>
  <c r="C2420" i="5" s="1"/>
  <c r="D2420" i="2"/>
  <c r="E2420" i="2" s="1"/>
  <c r="B2420" i="5" s="1"/>
  <c r="B2420" i="2"/>
  <c r="C2420" i="2" s="1"/>
  <c r="O2419" i="2"/>
  <c r="L2419" i="2"/>
  <c r="M2419" i="2" s="1"/>
  <c r="N2419" i="2" s="1"/>
  <c r="I2419" i="2"/>
  <c r="J2419" i="2" s="1"/>
  <c r="K2419" i="2" s="1"/>
  <c r="F2419" i="2"/>
  <c r="G2419" i="2" s="1"/>
  <c r="H2419" i="2" s="1"/>
  <c r="C2419" i="5" s="1"/>
  <c r="D2419" i="2"/>
  <c r="E2419" i="2" s="1"/>
  <c r="B2419" i="5" s="1"/>
  <c r="B2419" i="2"/>
  <c r="C2419" i="2" s="1"/>
  <c r="O2418" i="2"/>
  <c r="L2418" i="2"/>
  <c r="M2418" i="2" s="1"/>
  <c r="N2418" i="2" s="1"/>
  <c r="I2418" i="2"/>
  <c r="J2418" i="2" s="1"/>
  <c r="K2418" i="2" s="1"/>
  <c r="F2418" i="2"/>
  <c r="G2418" i="2" s="1"/>
  <c r="H2418" i="2" s="1"/>
  <c r="C2418" i="5" s="1"/>
  <c r="D2418" i="2"/>
  <c r="E2418" i="2" s="1"/>
  <c r="B2418" i="5" s="1"/>
  <c r="B2418" i="2"/>
  <c r="C2418" i="2" s="1"/>
  <c r="O2417" i="2"/>
  <c r="L2417" i="2"/>
  <c r="M2417" i="2" s="1"/>
  <c r="N2417" i="2" s="1"/>
  <c r="I2417" i="2"/>
  <c r="J2417" i="2" s="1"/>
  <c r="K2417" i="2" s="1"/>
  <c r="F2417" i="2"/>
  <c r="G2417" i="2" s="1"/>
  <c r="H2417" i="2" s="1"/>
  <c r="C2417" i="5" s="1"/>
  <c r="D2417" i="2"/>
  <c r="E2417" i="2" s="1"/>
  <c r="B2417" i="5" s="1"/>
  <c r="B2417" i="2"/>
  <c r="C2417" i="2" s="1"/>
  <c r="O2416" i="2"/>
  <c r="L2416" i="2"/>
  <c r="M2416" i="2" s="1"/>
  <c r="N2416" i="2" s="1"/>
  <c r="I2416" i="2"/>
  <c r="J2416" i="2" s="1"/>
  <c r="K2416" i="2" s="1"/>
  <c r="F2416" i="2"/>
  <c r="G2416" i="2" s="1"/>
  <c r="H2416" i="2" s="1"/>
  <c r="C2416" i="5" s="1"/>
  <c r="D2416" i="2"/>
  <c r="E2416" i="2" s="1"/>
  <c r="B2416" i="5" s="1"/>
  <c r="B2416" i="2"/>
  <c r="C2416" i="2" s="1"/>
  <c r="O2415" i="2"/>
  <c r="L2415" i="2"/>
  <c r="M2415" i="2" s="1"/>
  <c r="N2415" i="2" s="1"/>
  <c r="I2415" i="2"/>
  <c r="J2415" i="2" s="1"/>
  <c r="K2415" i="2" s="1"/>
  <c r="F2415" i="2"/>
  <c r="G2415" i="2" s="1"/>
  <c r="H2415" i="2" s="1"/>
  <c r="C2415" i="5" s="1"/>
  <c r="D2415" i="2"/>
  <c r="E2415" i="2" s="1"/>
  <c r="B2415" i="5" s="1"/>
  <c r="B2415" i="2"/>
  <c r="C2415" i="2" s="1"/>
  <c r="O2414" i="2"/>
  <c r="L2414" i="2"/>
  <c r="M2414" i="2" s="1"/>
  <c r="N2414" i="2" s="1"/>
  <c r="I2414" i="2"/>
  <c r="J2414" i="2" s="1"/>
  <c r="K2414" i="2" s="1"/>
  <c r="F2414" i="2"/>
  <c r="G2414" i="2" s="1"/>
  <c r="H2414" i="2" s="1"/>
  <c r="C2414" i="5" s="1"/>
  <c r="D2414" i="2"/>
  <c r="E2414" i="2" s="1"/>
  <c r="B2414" i="5" s="1"/>
  <c r="B2414" i="2"/>
  <c r="C2414" i="2" s="1"/>
  <c r="O2413" i="2"/>
  <c r="L2413" i="2"/>
  <c r="M2413" i="2" s="1"/>
  <c r="N2413" i="2" s="1"/>
  <c r="I2413" i="2"/>
  <c r="J2413" i="2" s="1"/>
  <c r="K2413" i="2" s="1"/>
  <c r="F2413" i="2"/>
  <c r="G2413" i="2" s="1"/>
  <c r="H2413" i="2" s="1"/>
  <c r="C2413" i="5" s="1"/>
  <c r="D2413" i="2"/>
  <c r="E2413" i="2" s="1"/>
  <c r="B2413" i="5" s="1"/>
  <c r="B2413" i="2"/>
  <c r="C2413" i="2" s="1"/>
  <c r="O2412" i="2"/>
  <c r="L2412" i="2"/>
  <c r="M2412" i="2" s="1"/>
  <c r="N2412" i="2" s="1"/>
  <c r="I2412" i="2"/>
  <c r="J2412" i="2" s="1"/>
  <c r="K2412" i="2" s="1"/>
  <c r="F2412" i="2"/>
  <c r="G2412" i="2" s="1"/>
  <c r="H2412" i="2" s="1"/>
  <c r="C2412" i="5" s="1"/>
  <c r="D2412" i="2"/>
  <c r="E2412" i="2" s="1"/>
  <c r="B2412" i="5" s="1"/>
  <c r="B2412" i="2"/>
  <c r="C2412" i="2" s="1"/>
  <c r="O2411" i="2"/>
  <c r="L2411" i="2"/>
  <c r="M2411" i="2" s="1"/>
  <c r="N2411" i="2" s="1"/>
  <c r="I2411" i="2"/>
  <c r="J2411" i="2" s="1"/>
  <c r="K2411" i="2" s="1"/>
  <c r="F2411" i="2"/>
  <c r="G2411" i="2" s="1"/>
  <c r="H2411" i="2" s="1"/>
  <c r="C2411" i="5" s="1"/>
  <c r="D2411" i="2"/>
  <c r="E2411" i="2" s="1"/>
  <c r="B2411" i="5" s="1"/>
  <c r="B2411" i="2"/>
  <c r="C2411" i="2" s="1"/>
  <c r="O2410" i="2"/>
  <c r="L2410" i="2"/>
  <c r="M2410" i="2" s="1"/>
  <c r="N2410" i="2" s="1"/>
  <c r="I2410" i="2"/>
  <c r="J2410" i="2" s="1"/>
  <c r="K2410" i="2" s="1"/>
  <c r="F2410" i="2"/>
  <c r="G2410" i="2" s="1"/>
  <c r="H2410" i="2" s="1"/>
  <c r="C2410" i="5" s="1"/>
  <c r="D2410" i="2"/>
  <c r="E2410" i="2" s="1"/>
  <c r="B2410" i="5" s="1"/>
  <c r="B2410" i="2"/>
  <c r="C2410" i="2" s="1"/>
  <c r="O2409" i="2"/>
  <c r="L2409" i="2"/>
  <c r="M2409" i="2" s="1"/>
  <c r="N2409" i="2" s="1"/>
  <c r="E2409" i="5" s="1"/>
  <c r="I2409" i="2"/>
  <c r="J2409" i="2" s="1"/>
  <c r="K2409" i="2" s="1"/>
  <c r="F2409" i="2"/>
  <c r="G2409" i="2" s="1"/>
  <c r="H2409" i="2" s="1"/>
  <c r="C2409" i="5" s="1"/>
  <c r="D2409" i="2"/>
  <c r="E2409" i="2" s="1"/>
  <c r="B2409" i="5" s="1"/>
  <c r="B2409" i="2"/>
  <c r="C2409" i="2" s="1"/>
  <c r="A2409" i="5" s="1"/>
  <c r="O2408" i="2"/>
  <c r="L2408" i="2"/>
  <c r="M2408" i="2" s="1"/>
  <c r="N2408" i="2" s="1"/>
  <c r="E2408" i="5" s="1"/>
  <c r="I2408" i="2"/>
  <c r="J2408" i="2" s="1"/>
  <c r="K2408" i="2" s="1"/>
  <c r="F2408" i="2"/>
  <c r="G2408" i="2" s="1"/>
  <c r="H2408" i="2" s="1"/>
  <c r="C2408" i="5" s="1"/>
  <c r="D2408" i="2"/>
  <c r="E2408" i="2" s="1"/>
  <c r="B2408" i="5" s="1"/>
  <c r="B2408" i="2"/>
  <c r="C2408" i="2" s="1"/>
  <c r="O2407" i="2"/>
  <c r="L2407" i="2"/>
  <c r="M2407" i="2" s="1"/>
  <c r="N2407" i="2" s="1"/>
  <c r="I2407" i="2"/>
  <c r="J2407" i="2" s="1"/>
  <c r="K2407" i="2" s="1"/>
  <c r="Z2407" i="2" s="1"/>
  <c r="F2407" i="2"/>
  <c r="G2407" i="2" s="1"/>
  <c r="H2407" i="2" s="1"/>
  <c r="C2407" i="5" s="1"/>
  <c r="D2407" i="2"/>
  <c r="E2407" i="2" s="1"/>
  <c r="B2407" i="5" s="1"/>
  <c r="B2407" i="2"/>
  <c r="C2407" i="2" s="1"/>
  <c r="A2407" i="5" s="1"/>
  <c r="O2406" i="2"/>
  <c r="L2406" i="2"/>
  <c r="M2406" i="2" s="1"/>
  <c r="N2406" i="2" s="1"/>
  <c r="E2406" i="5" s="1"/>
  <c r="I2406" i="2"/>
  <c r="J2406" i="2" s="1"/>
  <c r="K2406" i="2" s="1"/>
  <c r="F2406" i="2"/>
  <c r="G2406" i="2" s="1"/>
  <c r="H2406" i="2" s="1"/>
  <c r="C2406" i="5" s="1"/>
  <c r="D2406" i="2"/>
  <c r="E2406" i="2" s="1"/>
  <c r="B2406" i="5" s="1"/>
  <c r="B2406" i="2"/>
  <c r="C2406" i="2" s="1"/>
  <c r="O2405" i="2"/>
  <c r="L2405" i="2"/>
  <c r="M2405" i="2" s="1"/>
  <c r="N2405" i="2" s="1"/>
  <c r="I2405" i="2"/>
  <c r="J2405" i="2" s="1"/>
  <c r="K2405" i="2" s="1"/>
  <c r="Z2405" i="2" s="1"/>
  <c r="F2405" i="2"/>
  <c r="G2405" i="2" s="1"/>
  <c r="H2405" i="2" s="1"/>
  <c r="C2405" i="5" s="1"/>
  <c r="D2405" i="2"/>
  <c r="E2405" i="2" s="1"/>
  <c r="B2405" i="5" s="1"/>
  <c r="B2405" i="2"/>
  <c r="C2405" i="2" s="1"/>
  <c r="A2405" i="5" s="1"/>
  <c r="O2404" i="2"/>
  <c r="L2404" i="2"/>
  <c r="M2404" i="2" s="1"/>
  <c r="N2404" i="2" s="1"/>
  <c r="E2404" i="5" s="1"/>
  <c r="I2404" i="2"/>
  <c r="J2404" i="2" s="1"/>
  <c r="K2404" i="2" s="1"/>
  <c r="F2404" i="2"/>
  <c r="G2404" i="2" s="1"/>
  <c r="H2404" i="2" s="1"/>
  <c r="C2404" i="5" s="1"/>
  <c r="D2404" i="2"/>
  <c r="E2404" i="2" s="1"/>
  <c r="B2404" i="5" s="1"/>
  <c r="B2404" i="2"/>
  <c r="C2404" i="2" s="1"/>
  <c r="O2403" i="2"/>
  <c r="L2403" i="2"/>
  <c r="M2403" i="2" s="1"/>
  <c r="N2403" i="2" s="1"/>
  <c r="I2403" i="2"/>
  <c r="J2403" i="2" s="1"/>
  <c r="K2403" i="2" s="1"/>
  <c r="Z2403" i="2" s="1"/>
  <c r="F2403" i="2"/>
  <c r="G2403" i="2" s="1"/>
  <c r="H2403" i="2" s="1"/>
  <c r="C2403" i="5" s="1"/>
  <c r="D2403" i="2"/>
  <c r="E2403" i="2" s="1"/>
  <c r="B2403" i="5" s="1"/>
  <c r="B2403" i="2"/>
  <c r="C2403" i="2" s="1"/>
  <c r="A2403" i="5" s="1"/>
  <c r="O2402" i="2"/>
  <c r="L2402" i="2"/>
  <c r="M2402" i="2" s="1"/>
  <c r="N2402" i="2" s="1"/>
  <c r="E2402" i="5" s="1"/>
  <c r="I2402" i="2"/>
  <c r="J2402" i="2" s="1"/>
  <c r="K2402" i="2" s="1"/>
  <c r="F2402" i="2"/>
  <c r="G2402" i="2" s="1"/>
  <c r="H2402" i="2" s="1"/>
  <c r="C2402" i="5" s="1"/>
  <c r="D2402" i="2"/>
  <c r="E2402" i="2" s="1"/>
  <c r="B2402" i="5" s="1"/>
  <c r="B2402" i="2"/>
  <c r="C2402" i="2" s="1"/>
  <c r="O2401" i="2"/>
  <c r="L2401" i="2"/>
  <c r="M2401" i="2" s="1"/>
  <c r="N2401" i="2" s="1"/>
  <c r="I2401" i="2"/>
  <c r="J2401" i="2" s="1"/>
  <c r="K2401" i="2" s="1"/>
  <c r="Z2401" i="2" s="1"/>
  <c r="F2401" i="2"/>
  <c r="G2401" i="2" s="1"/>
  <c r="H2401" i="2" s="1"/>
  <c r="C2401" i="5" s="1"/>
  <c r="D2401" i="2"/>
  <c r="E2401" i="2" s="1"/>
  <c r="B2401" i="5" s="1"/>
  <c r="B2401" i="2"/>
  <c r="C2401" i="2" s="1"/>
  <c r="A2401" i="5" s="1"/>
  <c r="O2400" i="2"/>
  <c r="L2400" i="2"/>
  <c r="M2400" i="2" s="1"/>
  <c r="N2400" i="2" s="1"/>
  <c r="E2400" i="5" s="1"/>
  <c r="I2400" i="2"/>
  <c r="J2400" i="2" s="1"/>
  <c r="K2400" i="2" s="1"/>
  <c r="F2400" i="2"/>
  <c r="G2400" i="2" s="1"/>
  <c r="H2400" i="2" s="1"/>
  <c r="C2400" i="5" s="1"/>
  <c r="D2400" i="2"/>
  <c r="E2400" i="2" s="1"/>
  <c r="B2400" i="5" s="1"/>
  <c r="B2400" i="2"/>
  <c r="C2400" i="2" s="1"/>
  <c r="O2399" i="2"/>
  <c r="L2399" i="2"/>
  <c r="M2399" i="2" s="1"/>
  <c r="N2399" i="2" s="1"/>
  <c r="I2399" i="2"/>
  <c r="J2399" i="2" s="1"/>
  <c r="K2399" i="2" s="1"/>
  <c r="Z2399" i="2" s="1"/>
  <c r="F2399" i="2"/>
  <c r="G2399" i="2" s="1"/>
  <c r="H2399" i="2" s="1"/>
  <c r="C2399" i="5" s="1"/>
  <c r="D2399" i="2"/>
  <c r="E2399" i="2" s="1"/>
  <c r="B2399" i="5" s="1"/>
  <c r="B2399" i="2"/>
  <c r="C2399" i="2" s="1"/>
  <c r="A2399" i="5" s="1"/>
  <c r="O2398" i="2"/>
  <c r="L2398" i="2"/>
  <c r="M2398" i="2" s="1"/>
  <c r="N2398" i="2" s="1"/>
  <c r="E2398" i="5" s="1"/>
  <c r="I2398" i="2"/>
  <c r="J2398" i="2" s="1"/>
  <c r="K2398" i="2" s="1"/>
  <c r="F2398" i="2"/>
  <c r="G2398" i="2" s="1"/>
  <c r="H2398" i="2" s="1"/>
  <c r="C2398" i="5" s="1"/>
  <c r="D2398" i="2"/>
  <c r="E2398" i="2" s="1"/>
  <c r="B2398" i="5" s="1"/>
  <c r="B2398" i="2"/>
  <c r="C2398" i="2" s="1"/>
  <c r="A2398" i="5" s="1"/>
  <c r="O2397" i="2"/>
  <c r="L2397" i="2"/>
  <c r="M2397" i="2" s="1"/>
  <c r="N2397" i="2" s="1"/>
  <c r="I2397" i="2"/>
  <c r="J2397" i="2" s="1"/>
  <c r="K2397" i="2" s="1"/>
  <c r="Z2397" i="2" s="1"/>
  <c r="F2397" i="2"/>
  <c r="G2397" i="2" s="1"/>
  <c r="H2397" i="2" s="1"/>
  <c r="C2397" i="5" s="1"/>
  <c r="D2397" i="2"/>
  <c r="E2397" i="2" s="1"/>
  <c r="B2397" i="5" s="1"/>
  <c r="B2397" i="2"/>
  <c r="C2397" i="2" s="1"/>
  <c r="A2397" i="5" s="1"/>
  <c r="O2396" i="2"/>
  <c r="L2396" i="2"/>
  <c r="M2396" i="2" s="1"/>
  <c r="N2396" i="2" s="1"/>
  <c r="E2396" i="5" s="1"/>
  <c r="I2396" i="2"/>
  <c r="J2396" i="2" s="1"/>
  <c r="K2396" i="2" s="1"/>
  <c r="F2396" i="2"/>
  <c r="G2396" i="2" s="1"/>
  <c r="H2396" i="2" s="1"/>
  <c r="C2396" i="5" s="1"/>
  <c r="D2396" i="2"/>
  <c r="E2396" i="2" s="1"/>
  <c r="B2396" i="5" s="1"/>
  <c r="B2396" i="2"/>
  <c r="C2396" i="2" s="1"/>
  <c r="O2395" i="2"/>
  <c r="L2395" i="2"/>
  <c r="M2395" i="2" s="1"/>
  <c r="N2395" i="2" s="1"/>
  <c r="I2395" i="2"/>
  <c r="J2395" i="2" s="1"/>
  <c r="K2395" i="2" s="1"/>
  <c r="Z2395" i="2" s="1"/>
  <c r="F2395" i="2"/>
  <c r="G2395" i="2" s="1"/>
  <c r="H2395" i="2" s="1"/>
  <c r="C2395" i="5" s="1"/>
  <c r="D2395" i="2"/>
  <c r="E2395" i="2" s="1"/>
  <c r="B2395" i="5" s="1"/>
  <c r="B2395" i="2"/>
  <c r="C2395" i="2" s="1"/>
  <c r="A2395" i="5" s="1"/>
  <c r="O2394" i="2"/>
  <c r="L2394" i="2"/>
  <c r="M2394" i="2" s="1"/>
  <c r="N2394" i="2" s="1"/>
  <c r="E2394" i="5" s="1"/>
  <c r="I2394" i="2"/>
  <c r="J2394" i="2" s="1"/>
  <c r="K2394" i="2" s="1"/>
  <c r="F2394" i="2"/>
  <c r="G2394" i="2" s="1"/>
  <c r="H2394" i="2" s="1"/>
  <c r="C2394" i="5" s="1"/>
  <c r="D2394" i="2"/>
  <c r="E2394" i="2" s="1"/>
  <c r="B2394" i="5" s="1"/>
  <c r="B2394" i="2"/>
  <c r="C2394" i="2" s="1"/>
  <c r="O2393" i="2"/>
  <c r="L2393" i="2"/>
  <c r="M2393" i="2" s="1"/>
  <c r="N2393" i="2" s="1"/>
  <c r="I2393" i="2"/>
  <c r="J2393" i="2" s="1"/>
  <c r="K2393" i="2" s="1"/>
  <c r="Z2393" i="2" s="1"/>
  <c r="F2393" i="2"/>
  <c r="G2393" i="2" s="1"/>
  <c r="H2393" i="2" s="1"/>
  <c r="C2393" i="5" s="1"/>
  <c r="D2393" i="2"/>
  <c r="E2393" i="2" s="1"/>
  <c r="B2393" i="5" s="1"/>
  <c r="B2393" i="2"/>
  <c r="C2393" i="2" s="1"/>
  <c r="A2393" i="5" s="1"/>
  <c r="O2392" i="2"/>
  <c r="L2392" i="2"/>
  <c r="M2392" i="2" s="1"/>
  <c r="N2392" i="2" s="1"/>
  <c r="I2392" i="2"/>
  <c r="J2392" i="2" s="1"/>
  <c r="K2392" i="2" s="1"/>
  <c r="F2392" i="2"/>
  <c r="G2392" i="2" s="1"/>
  <c r="H2392" i="2" s="1"/>
  <c r="C2392" i="5" s="1"/>
  <c r="D2392" i="2"/>
  <c r="E2392" i="2" s="1"/>
  <c r="B2392" i="5" s="1"/>
  <c r="B2392" i="2"/>
  <c r="C2392" i="2" s="1"/>
  <c r="A2392" i="5" s="1"/>
  <c r="O2391" i="2"/>
  <c r="L2391" i="2"/>
  <c r="M2391" i="2" s="1"/>
  <c r="N2391" i="2" s="1"/>
  <c r="I2391" i="2"/>
  <c r="J2391" i="2" s="1"/>
  <c r="K2391" i="2" s="1"/>
  <c r="F2391" i="2"/>
  <c r="G2391" i="2" s="1"/>
  <c r="H2391" i="2" s="1"/>
  <c r="C2391" i="5" s="1"/>
  <c r="D2391" i="2"/>
  <c r="E2391" i="2" s="1"/>
  <c r="B2391" i="5" s="1"/>
  <c r="B2391" i="2"/>
  <c r="C2391" i="2" s="1"/>
  <c r="A2391" i="5" s="1"/>
  <c r="O2390" i="2"/>
  <c r="L2390" i="2"/>
  <c r="M2390" i="2" s="1"/>
  <c r="N2390" i="2" s="1"/>
  <c r="I2390" i="2"/>
  <c r="J2390" i="2" s="1"/>
  <c r="K2390" i="2" s="1"/>
  <c r="F2390" i="2"/>
  <c r="G2390" i="2" s="1"/>
  <c r="H2390" i="2" s="1"/>
  <c r="C2390" i="5" s="1"/>
  <c r="D2390" i="2"/>
  <c r="E2390" i="2" s="1"/>
  <c r="B2390" i="5" s="1"/>
  <c r="B2390" i="2"/>
  <c r="C2390" i="2" s="1"/>
  <c r="A2390" i="5" s="1"/>
  <c r="O2389" i="2"/>
  <c r="L2389" i="2"/>
  <c r="M2389" i="2" s="1"/>
  <c r="N2389" i="2" s="1"/>
  <c r="I2389" i="2"/>
  <c r="J2389" i="2" s="1"/>
  <c r="K2389" i="2" s="1"/>
  <c r="F2389" i="2"/>
  <c r="G2389" i="2" s="1"/>
  <c r="H2389" i="2" s="1"/>
  <c r="C2389" i="5" s="1"/>
  <c r="D2389" i="2"/>
  <c r="E2389" i="2" s="1"/>
  <c r="B2389" i="5" s="1"/>
  <c r="B2389" i="2"/>
  <c r="C2389" i="2" s="1"/>
  <c r="A2389" i="5" s="1"/>
  <c r="O2388" i="2"/>
  <c r="L2388" i="2"/>
  <c r="M2388" i="2" s="1"/>
  <c r="N2388" i="2" s="1"/>
  <c r="I2388" i="2"/>
  <c r="J2388" i="2" s="1"/>
  <c r="K2388" i="2" s="1"/>
  <c r="F2388" i="2"/>
  <c r="G2388" i="2" s="1"/>
  <c r="H2388" i="2" s="1"/>
  <c r="C2388" i="5" s="1"/>
  <c r="D2388" i="2"/>
  <c r="E2388" i="2" s="1"/>
  <c r="B2388" i="5" s="1"/>
  <c r="B2388" i="2"/>
  <c r="C2388" i="2" s="1"/>
  <c r="A2388" i="5" s="1"/>
  <c r="O2387" i="2"/>
  <c r="L2387" i="2"/>
  <c r="M2387" i="2" s="1"/>
  <c r="N2387" i="2" s="1"/>
  <c r="I2387" i="2"/>
  <c r="J2387" i="2" s="1"/>
  <c r="K2387" i="2" s="1"/>
  <c r="F2387" i="2"/>
  <c r="G2387" i="2" s="1"/>
  <c r="H2387" i="2" s="1"/>
  <c r="C2387" i="5" s="1"/>
  <c r="D2387" i="2"/>
  <c r="E2387" i="2" s="1"/>
  <c r="B2387" i="5" s="1"/>
  <c r="B2387" i="2"/>
  <c r="C2387" i="2" s="1"/>
  <c r="A2387" i="5" s="1"/>
  <c r="O2386" i="2"/>
  <c r="L2386" i="2"/>
  <c r="M2386" i="2" s="1"/>
  <c r="N2386" i="2" s="1"/>
  <c r="I2386" i="2"/>
  <c r="J2386" i="2" s="1"/>
  <c r="K2386" i="2" s="1"/>
  <c r="F2386" i="2"/>
  <c r="G2386" i="2" s="1"/>
  <c r="H2386" i="2" s="1"/>
  <c r="C2386" i="5" s="1"/>
  <c r="D2386" i="2"/>
  <c r="E2386" i="2" s="1"/>
  <c r="B2386" i="5" s="1"/>
  <c r="B2386" i="2"/>
  <c r="C2386" i="2" s="1"/>
  <c r="A2386" i="5" s="1"/>
  <c r="O2385" i="2"/>
  <c r="L2385" i="2"/>
  <c r="M2385" i="2" s="1"/>
  <c r="N2385" i="2" s="1"/>
  <c r="I2385" i="2"/>
  <c r="J2385" i="2" s="1"/>
  <c r="K2385" i="2" s="1"/>
  <c r="F2385" i="2"/>
  <c r="G2385" i="2" s="1"/>
  <c r="H2385" i="2" s="1"/>
  <c r="C2385" i="5" s="1"/>
  <c r="D2385" i="2"/>
  <c r="E2385" i="2" s="1"/>
  <c r="B2385" i="5" s="1"/>
  <c r="B2385" i="2"/>
  <c r="C2385" i="2" s="1"/>
  <c r="A2385" i="5" s="1"/>
  <c r="O2384" i="2"/>
  <c r="L2384" i="2"/>
  <c r="M2384" i="2" s="1"/>
  <c r="N2384" i="2" s="1"/>
  <c r="I2384" i="2"/>
  <c r="J2384" i="2" s="1"/>
  <c r="K2384" i="2" s="1"/>
  <c r="F2384" i="2"/>
  <c r="G2384" i="2" s="1"/>
  <c r="H2384" i="2" s="1"/>
  <c r="C2384" i="5" s="1"/>
  <c r="D2384" i="2"/>
  <c r="E2384" i="2" s="1"/>
  <c r="B2384" i="5" s="1"/>
  <c r="B2384" i="2"/>
  <c r="C2384" i="2" s="1"/>
  <c r="A2384" i="5" s="1"/>
  <c r="O2383" i="2"/>
  <c r="L2383" i="2"/>
  <c r="M2383" i="2" s="1"/>
  <c r="N2383" i="2" s="1"/>
  <c r="I2383" i="2"/>
  <c r="J2383" i="2" s="1"/>
  <c r="K2383" i="2" s="1"/>
  <c r="F2383" i="2"/>
  <c r="G2383" i="2" s="1"/>
  <c r="H2383" i="2" s="1"/>
  <c r="C2383" i="5" s="1"/>
  <c r="D2383" i="2"/>
  <c r="E2383" i="2" s="1"/>
  <c r="B2383" i="5" s="1"/>
  <c r="B2383" i="2"/>
  <c r="C2383" i="2" s="1"/>
  <c r="A2383" i="5" s="1"/>
  <c r="O2382" i="2"/>
  <c r="L2382" i="2"/>
  <c r="M2382" i="2" s="1"/>
  <c r="N2382" i="2" s="1"/>
  <c r="I2382" i="2"/>
  <c r="J2382" i="2" s="1"/>
  <c r="K2382" i="2" s="1"/>
  <c r="F2382" i="2"/>
  <c r="G2382" i="2" s="1"/>
  <c r="H2382" i="2" s="1"/>
  <c r="C2382" i="5" s="1"/>
  <c r="D2382" i="2"/>
  <c r="E2382" i="2" s="1"/>
  <c r="B2382" i="5" s="1"/>
  <c r="B2382" i="2"/>
  <c r="C2382" i="2" s="1"/>
  <c r="A2382" i="5" s="1"/>
  <c r="O2381" i="2"/>
  <c r="L2381" i="2"/>
  <c r="M2381" i="2" s="1"/>
  <c r="N2381" i="2" s="1"/>
  <c r="I2381" i="2"/>
  <c r="J2381" i="2" s="1"/>
  <c r="K2381" i="2" s="1"/>
  <c r="F2381" i="2"/>
  <c r="G2381" i="2" s="1"/>
  <c r="H2381" i="2" s="1"/>
  <c r="C2381" i="5" s="1"/>
  <c r="D2381" i="2"/>
  <c r="E2381" i="2" s="1"/>
  <c r="B2381" i="5" s="1"/>
  <c r="B2381" i="2"/>
  <c r="C2381" i="2" s="1"/>
  <c r="A2381" i="5" s="1"/>
  <c r="O2380" i="2"/>
  <c r="L2380" i="2"/>
  <c r="M2380" i="2" s="1"/>
  <c r="N2380" i="2" s="1"/>
  <c r="I2380" i="2"/>
  <c r="J2380" i="2" s="1"/>
  <c r="K2380" i="2" s="1"/>
  <c r="F2380" i="2"/>
  <c r="G2380" i="2" s="1"/>
  <c r="H2380" i="2" s="1"/>
  <c r="C2380" i="5" s="1"/>
  <c r="D2380" i="2"/>
  <c r="E2380" i="2" s="1"/>
  <c r="B2380" i="5" s="1"/>
  <c r="B2380" i="2"/>
  <c r="C2380" i="2" s="1"/>
  <c r="A2380" i="5" s="1"/>
  <c r="O2379" i="2"/>
  <c r="L2379" i="2"/>
  <c r="M2379" i="2" s="1"/>
  <c r="N2379" i="2" s="1"/>
  <c r="I2379" i="2"/>
  <c r="J2379" i="2" s="1"/>
  <c r="K2379" i="2" s="1"/>
  <c r="F2379" i="2"/>
  <c r="G2379" i="2" s="1"/>
  <c r="H2379" i="2" s="1"/>
  <c r="C2379" i="5" s="1"/>
  <c r="D2379" i="2"/>
  <c r="E2379" i="2" s="1"/>
  <c r="B2379" i="5" s="1"/>
  <c r="B2379" i="2"/>
  <c r="C2379" i="2" s="1"/>
  <c r="A2379" i="5" s="1"/>
  <c r="O2378" i="2"/>
  <c r="L2378" i="2"/>
  <c r="M2378" i="2" s="1"/>
  <c r="N2378" i="2" s="1"/>
  <c r="I2378" i="2"/>
  <c r="J2378" i="2" s="1"/>
  <c r="K2378" i="2" s="1"/>
  <c r="F2378" i="2"/>
  <c r="G2378" i="2" s="1"/>
  <c r="H2378" i="2" s="1"/>
  <c r="C2378" i="5" s="1"/>
  <c r="D2378" i="2"/>
  <c r="E2378" i="2" s="1"/>
  <c r="B2378" i="5" s="1"/>
  <c r="B2378" i="2"/>
  <c r="C2378" i="2" s="1"/>
  <c r="A2378" i="5" s="1"/>
  <c r="O2377" i="2"/>
  <c r="L2377" i="2"/>
  <c r="M2377" i="2" s="1"/>
  <c r="N2377" i="2" s="1"/>
  <c r="I2377" i="2"/>
  <c r="J2377" i="2" s="1"/>
  <c r="K2377" i="2" s="1"/>
  <c r="F2377" i="2"/>
  <c r="G2377" i="2" s="1"/>
  <c r="H2377" i="2" s="1"/>
  <c r="C2377" i="5" s="1"/>
  <c r="D2377" i="2"/>
  <c r="E2377" i="2" s="1"/>
  <c r="B2377" i="5" s="1"/>
  <c r="B2377" i="2"/>
  <c r="C2377" i="2" s="1"/>
  <c r="A2377" i="5" s="1"/>
  <c r="O2376" i="2"/>
  <c r="L2376" i="2"/>
  <c r="M2376" i="2" s="1"/>
  <c r="N2376" i="2" s="1"/>
  <c r="I2376" i="2"/>
  <c r="J2376" i="2" s="1"/>
  <c r="K2376" i="2" s="1"/>
  <c r="F2376" i="2"/>
  <c r="G2376" i="2" s="1"/>
  <c r="H2376" i="2" s="1"/>
  <c r="C2376" i="5" s="1"/>
  <c r="D2376" i="2"/>
  <c r="E2376" i="2" s="1"/>
  <c r="B2376" i="5" s="1"/>
  <c r="B2376" i="2"/>
  <c r="C2376" i="2" s="1"/>
  <c r="A2376" i="5" s="1"/>
  <c r="O2375" i="2"/>
  <c r="L2375" i="2"/>
  <c r="M2375" i="2" s="1"/>
  <c r="N2375" i="2" s="1"/>
  <c r="I2375" i="2"/>
  <c r="J2375" i="2" s="1"/>
  <c r="K2375" i="2" s="1"/>
  <c r="F2375" i="2"/>
  <c r="G2375" i="2" s="1"/>
  <c r="H2375" i="2" s="1"/>
  <c r="C2375" i="5" s="1"/>
  <c r="D2375" i="2"/>
  <c r="E2375" i="2" s="1"/>
  <c r="B2375" i="5" s="1"/>
  <c r="B2375" i="2"/>
  <c r="C2375" i="2" s="1"/>
  <c r="A2375" i="5" s="1"/>
  <c r="O2374" i="2"/>
  <c r="L2374" i="2"/>
  <c r="M2374" i="2" s="1"/>
  <c r="N2374" i="2" s="1"/>
  <c r="I2374" i="2"/>
  <c r="J2374" i="2" s="1"/>
  <c r="K2374" i="2" s="1"/>
  <c r="F2374" i="2"/>
  <c r="G2374" i="2" s="1"/>
  <c r="H2374" i="2" s="1"/>
  <c r="C2374" i="5" s="1"/>
  <c r="D2374" i="2"/>
  <c r="E2374" i="2" s="1"/>
  <c r="B2374" i="5" s="1"/>
  <c r="B2374" i="2"/>
  <c r="C2374" i="2" s="1"/>
  <c r="A2374" i="5" s="1"/>
  <c r="O2373" i="2"/>
  <c r="L2373" i="2"/>
  <c r="M2373" i="2" s="1"/>
  <c r="N2373" i="2" s="1"/>
  <c r="I2373" i="2"/>
  <c r="J2373" i="2" s="1"/>
  <c r="K2373" i="2" s="1"/>
  <c r="F2373" i="2"/>
  <c r="G2373" i="2" s="1"/>
  <c r="H2373" i="2" s="1"/>
  <c r="C2373" i="5" s="1"/>
  <c r="D2373" i="2"/>
  <c r="E2373" i="2" s="1"/>
  <c r="B2373" i="5" s="1"/>
  <c r="B2373" i="2"/>
  <c r="C2373" i="2" s="1"/>
  <c r="A2373" i="5" s="1"/>
  <c r="O2372" i="2"/>
  <c r="L2372" i="2"/>
  <c r="M2372" i="2" s="1"/>
  <c r="N2372" i="2" s="1"/>
  <c r="I2372" i="2"/>
  <c r="J2372" i="2" s="1"/>
  <c r="K2372" i="2" s="1"/>
  <c r="F2372" i="2"/>
  <c r="G2372" i="2" s="1"/>
  <c r="H2372" i="2" s="1"/>
  <c r="C2372" i="5" s="1"/>
  <c r="D2372" i="2"/>
  <c r="E2372" i="2" s="1"/>
  <c r="B2372" i="5" s="1"/>
  <c r="B2372" i="2"/>
  <c r="C2372" i="2" s="1"/>
  <c r="A2372" i="5" s="1"/>
  <c r="O2371" i="2"/>
  <c r="L2371" i="2"/>
  <c r="M2371" i="2" s="1"/>
  <c r="N2371" i="2" s="1"/>
  <c r="I2371" i="2"/>
  <c r="J2371" i="2" s="1"/>
  <c r="K2371" i="2" s="1"/>
  <c r="F2371" i="2"/>
  <c r="G2371" i="2" s="1"/>
  <c r="H2371" i="2" s="1"/>
  <c r="C2371" i="5" s="1"/>
  <c r="D2371" i="2"/>
  <c r="E2371" i="2" s="1"/>
  <c r="B2371" i="5" s="1"/>
  <c r="B2371" i="2"/>
  <c r="C2371" i="2" s="1"/>
  <c r="A2371" i="5" s="1"/>
  <c r="O2370" i="2"/>
  <c r="L2370" i="2"/>
  <c r="M2370" i="2" s="1"/>
  <c r="N2370" i="2" s="1"/>
  <c r="I2370" i="2"/>
  <c r="J2370" i="2" s="1"/>
  <c r="K2370" i="2" s="1"/>
  <c r="F2370" i="2"/>
  <c r="G2370" i="2" s="1"/>
  <c r="H2370" i="2" s="1"/>
  <c r="C2370" i="5" s="1"/>
  <c r="D2370" i="2"/>
  <c r="E2370" i="2" s="1"/>
  <c r="B2370" i="5" s="1"/>
  <c r="B2370" i="2"/>
  <c r="C2370" i="2" s="1"/>
  <c r="A2370" i="5" s="1"/>
  <c r="O2369" i="2"/>
  <c r="L2369" i="2"/>
  <c r="M2369" i="2" s="1"/>
  <c r="N2369" i="2" s="1"/>
  <c r="I2369" i="2"/>
  <c r="J2369" i="2" s="1"/>
  <c r="K2369" i="2" s="1"/>
  <c r="F2369" i="2"/>
  <c r="G2369" i="2" s="1"/>
  <c r="H2369" i="2" s="1"/>
  <c r="C2369" i="5" s="1"/>
  <c r="D2369" i="2"/>
  <c r="E2369" i="2" s="1"/>
  <c r="B2369" i="5" s="1"/>
  <c r="B2369" i="2"/>
  <c r="C2369" i="2" s="1"/>
  <c r="A2369" i="5" s="1"/>
  <c r="O2368" i="2"/>
  <c r="L2368" i="2"/>
  <c r="M2368" i="2" s="1"/>
  <c r="N2368" i="2" s="1"/>
  <c r="I2368" i="2"/>
  <c r="J2368" i="2" s="1"/>
  <c r="K2368" i="2" s="1"/>
  <c r="F2368" i="2"/>
  <c r="G2368" i="2" s="1"/>
  <c r="H2368" i="2" s="1"/>
  <c r="C2368" i="5" s="1"/>
  <c r="D2368" i="2"/>
  <c r="E2368" i="2" s="1"/>
  <c r="B2368" i="5" s="1"/>
  <c r="B2368" i="2"/>
  <c r="C2368" i="2" s="1"/>
  <c r="A2368" i="5" s="1"/>
  <c r="O2367" i="2"/>
  <c r="L2367" i="2"/>
  <c r="M2367" i="2" s="1"/>
  <c r="N2367" i="2" s="1"/>
  <c r="I2367" i="2"/>
  <c r="J2367" i="2" s="1"/>
  <c r="K2367" i="2" s="1"/>
  <c r="F2367" i="2"/>
  <c r="G2367" i="2" s="1"/>
  <c r="H2367" i="2" s="1"/>
  <c r="C2367" i="5" s="1"/>
  <c r="D2367" i="2"/>
  <c r="E2367" i="2" s="1"/>
  <c r="B2367" i="5" s="1"/>
  <c r="B2367" i="2"/>
  <c r="C2367" i="2" s="1"/>
  <c r="A2367" i="5" s="1"/>
  <c r="O2366" i="2"/>
  <c r="L2366" i="2"/>
  <c r="M2366" i="2" s="1"/>
  <c r="N2366" i="2" s="1"/>
  <c r="I2366" i="2"/>
  <c r="J2366" i="2" s="1"/>
  <c r="K2366" i="2" s="1"/>
  <c r="F2366" i="2"/>
  <c r="G2366" i="2" s="1"/>
  <c r="H2366" i="2" s="1"/>
  <c r="C2366" i="5" s="1"/>
  <c r="D2366" i="2"/>
  <c r="E2366" i="2" s="1"/>
  <c r="B2366" i="5" s="1"/>
  <c r="B2366" i="2"/>
  <c r="C2366" i="2" s="1"/>
  <c r="A2366" i="5" s="1"/>
  <c r="O2365" i="2"/>
  <c r="L2365" i="2"/>
  <c r="M2365" i="2" s="1"/>
  <c r="N2365" i="2" s="1"/>
  <c r="I2365" i="2"/>
  <c r="J2365" i="2" s="1"/>
  <c r="K2365" i="2" s="1"/>
  <c r="F2365" i="2"/>
  <c r="G2365" i="2" s="1"/>
  <c r="H2365" i="2" s="1"/>
  <c r="C2365" i="5" s="1"/>
  <c r="D2365" i="2"/>
  <c r="E2365" i="2" s="1"/>
  <c r="B2365" i="5" s="1"/>
  <c r="B2365" i="2"/>
  <c r="C2365" i="2" s="1"/>
  <c r="A2365" i="5" s="1"/>
  <c r="O2364" i="2"/>
  <c r="L2364" i="2"/>
  <c r="M2364" i="2" s="1"/>
  <c r="N2364" i="2" s="1"/>
  <c r="I2364" i="2"/>
  <c r="J2364" i="2" s="1"/>
  <c r="K2364" i="2" s="1"/>
  <c r="F2364" i="2"/>
  <c r="G2364" i="2" s="1"/>
  <c r="H2364" i="2" s="1"/>
  <c r="C2364" i="5" s="1"/>
  <c r="D2364" i="2"/>
  <c r="E2364" i="2" s="1"/>
  <c r="B2364" i="5" s="1"/>
  <c r="B2364" i="2"/>
  <c r="C2364" i="2" s="1"/>
  <c r="A2364" i="5" s="1"/>
  <c r="O2363" i="2"/>
  <c r="L2363" i="2"/>
  <c r="M2363" i="2" s="1"/>
  <c r="N2363" i="2" s="1"/>
  <c r="I2363" i="2"/>
  <c r="J2363" i="2" s="1"/>
  <c r="K2363" i="2" s="1"/>
  <c r="F2363" i="2"/>
  <c r="G2363" i="2" s="1"/>
  <c r="H2363" i="2" s="1"/>
  <c r="C2363" i="5" s="1"/>
  <c r="D2363" i="2"/>
  <c r="E2363" i="2" s="1"/>
  <c r="B2363" i="5" s="1"/>
  <c r="B2363" i="2"/>
  <c r="C2363" i="2" s="1"/>
  <c r="A2363" i="5" s="1"/>
  <c r="O2362" i="2"/>
  <c r="L2362" i="2"/>
  <c r="M2362" i="2" s="1"/>
  <c r="N2362" i="2" s="1"/>
  <c r="I2362" i="2"/>
  <c r="J2362" i="2" s="1"/>
  <c r="K2362" i="2" s="1"/>
  <c r="F2362" i="2"/>
  <c r="G2362" i="2" s="1"/>
  <c r="H2362" i="2" s="1"/>
  <c r="C2362" i="5" s="1"/>
  <c r="D2362" i="2"/>
  <c r="E2362" i="2" s="1"/>
  <c r="B2362" i="5" s="1"/>
  <c r="B2362" i="2"/>
  <c r="C2362" i="2" s="1"/>
  <c r="A2362" i="5" s="1"/>
  <c r="O2361" i="2"/>
  <c r="L2361" i="2"/>
  <c r="M2361" i="2" s="1"/>
  <c r="N2361" i="2" s="1"/>
  <c r="I2361" i="2"/>
  <c r="J2361" i="2" s="1"/>
  <c r="K2361" i="2" s="1"/>
  <c r="F2361" i="2"/>
  <c r="G2361" i="2" s="1"/>
  <c r="H2361" i="2" s="1"/>
  <c r="C2361" i="5" s="1"/>
  <c r="D2361" i="2"/>
  <c r="E2361" i="2" s="1"/>
  <c r="B2361" i="5" s="1"/>
  <c r="B2361" i="2"/>
  <c r="C2361" i="2" s="1"/>
  <c r="A2361" i="5" s="1"/>
  <c r="O2360" i="2"/>
  <c r="L2360" i="2"/>
  <c r="M2360" i="2" s="1"/>
  <c r="N2360" i="2" s="1"/>
  <c r="I2360" i="2"/>
  <c r="J2360" i="2" s="1"/>
  <c r="K2360" i="2" s="1"/>
  <c r="F2360" i="2"/>
  <c r="G2360" i="2" s="1"/>
  <c r="H2360" i="2" s="1"/>
  <c r="C2360" i="5" s="1"/>
  <c r="D2360" i="2"/>
  <c r="E2360" i="2" s="1"/>
  <c r="B2360" i="5" s="1"/>
  <c r="B2360" i="2"/>
  <c r="C2360" i="2" s="1"/>
  <c r="A2360" i="5" s="1"/>
  <c r="O2359" i="2"/>
  <c r="L2359" i="2"/>
  <c r="M2359" i="2" s="1"/>
  <c r="N2359" i="2" s="1"/>
  <c r="I2359" i="2"/>
  <c r="J2359" i="2" s="1"/>
  <c r="K2359" i="2" s="1"/>
  <c r="F2359" i="2"/>
  <c r="G2359" i="2" s="1"/>
  <c r="H2359" i="2" s="1"/>
  <c r="C2359" i="5" s="1"/>
  <c r="D2359" i="2"/>
  <c r="E2359" i="2" s="1"/>
  <c r="B2359" i="5" s="1"/>
  <c r="B2359" i="2"/>
  <c r="C2359" i="2" s="1"/>
  <c r="A2359" i="5" s="1"/>
  <c r="O2358" i="2"/>
  <c r="L2358" i="2"/>
  <c r="M2358" i="2" s="1"/>
  <c r="N2358" i="2" s="1"/>
  <c r="I2358" i="2"/>
  <c r="J2358" i="2" s="1"/>
  <c r="K2358" i="2" s="1"/>
  <c r="F2358" i="2"/>
  <c r="G2358" i="2" s="1"/>
  <c r="H2358" i="2" s="1"/>
  <c r="C2358" i="5" s="1"/>
  <c r="D2358" i="2"/>
  <c r="E2358" i="2" s="1"/>
  <c r="B2358" i="5" s="1"/>
  <c r="B2358" i="2"/>
  <c r="C2358" i="2" s="1"/>
  <c r="A2358" i="5" s="1"/>
  <c r="O2357" i="2"/>
  <c r="L2357" i="2"/>
  <c r="M2357" i="2" s="1"/>
  <c r="N2357" i="2" s="1"/>
  <c r="I2357" i="2"/>
  <c r="J2357" i="2" s="1"/>
  <c r="K2357" i="2" s="1"/>
  <c r="F2357" i="2"/>
  <c r="G2357" i="2" s="1"/>
  <c r="H2357" i="2" s="1"/>
  <c r="C2357" i="5" s="1"/>
  <c r="D2357" i="2"/>
  <c r="E2357" i="2" s="1"/>
  <c r="B2357" i="5" s="1"/>
  <c r="B2357" i="2"/>
  <c r="C2357" i="2" s="1"/>
  <c r="A2357" i="5" s="1"/>
  <c r="O2356" i="2"/>
  <c r="L2356" i="2"/>
  <c r="M2356" i="2" s="1"/>
  <c r="N2356" i="2" s="1"/>
  <c r="I2356" i="2"/>
  <c r="J2356" i="2" s="1"/>
  <c r="K2356" i="2" s="1"/>
  <c r="F2356" i="2"/>
  <c r="G2356" i="2" s="1"/>
  <c r="H2356" i="2" s="1"/>
  <c r="C2356" i="5" s="1"/>
  <c r="D2356" i="2"/>
  <c r="E2356" i="2" s="1"/>
  <c r="B2356" i="5" s="1"/>
  <c r="B2356" i="2"/>
  <c r="C2356" i="2" s="1"/>
  <c r="A2356" i="5" s="1"/>
  <c r="O2355" i="2"/>
  <c r="L2355" i="2"/>
  <c r="M2355" i="2" s="1"/>
  <c r="N2355" i="2" s="1"/>
  <c r="I2355" i="2"/>
  <c r="J2355" i="2" s="1"/>
  <c r="K2355" i="2" s="1"/>
  <c r="F2355" i="2"/>
  <c r="G2355" i="2" s="1"/>
  <c r="H2355" i="2" s="1"/>
  <c r="C2355" i="5" s="1"/>
  <c r="D2355" i="2"/>
  <c r="E2355" i="2" s="1"/>
  <c r="B2355" i="5" s="1"/>
  <c r="B2355" i="2"/>
  <c r="C2355" i="2" s="1"/>
  <c r="A2355" i="5" s="1"/>
  <c r="O2354" i="2"/>
  <c r="L2354" i="2"/>
  <c r="M2354" i="2" s="1"/>
  <c r="N2354" i="2" s="1"/>
  <c r="I2354" i="2"/>
  <c r="J2354" i="2" s="1"/>
  <c r="K2354" i="2" s="1"/>
  <c r="F2354" i="2"/>
  <c r="G2354" i="2" s="1"/>
  <c r="H2354" i="2" s="1"/>
  <c r="C2354" i="5" s="1"/>
  <c r="D2354" i="2"/>
  <c r="E2354" i="2" s="1"/>
  <c r="B2354" i="5" s="1"/>
  <c r="B2354" i="2"/>
  <c r="C2354" i="2" s="1"/>
  <c r="A2354" i="5" s="1"/>
  <c r="O2353" i="2"/>
  <c r="L2353" i="2"/>
  <c r="M2353" i="2" s="1"/>
  <c r="N2353" i="2" s="1"/>
  <c r="I2353" i="2"/>
  <c r="J2353" i="2" s="1"/>
  <c r="K2353" i="2" s="1"/>
  <c r="F2353" i="2"/>
  <c r="G2353" i="2" s="1"/>
  <c r="H2353" i="2" s="1"/>
  <c r="C2353" i="5" s="1"/>
  <c r="D2353" i="2"/>
  <c r="E2353" i="2" s="1"/>
  <c r="B2353" i="5" s="1"/>
  <c r="B2353" i="2"/>
  <c r="C2353" i="2" s="1"/>
  <c r="A2353" i="5" s="1"/>
  <c r="O2352" i="2"/>
  <c r="L2352" i="2"/>
  <c r="M2352" i="2" s="1"/>
  <c r="N2352" i="2" s="1"/>
  <c r="I2352" i="2"/>
  <c r="J2352" i="2" s="1"/>
  <c r="K2352" i="2" s="1"/>
  <c r="F2352" i="2"/>
  <c r="G2352" i="2" s="1"/>
  <c r="H2352" i="2" s="1"/>
  <c r="C2352" i="5" s="1"/>
  <c r="D2352" i="2"/>
  <c r="E2352" i="2" s="1"/>
  <c r="B2352" i="5" s="1"/>
  <c r="B2352" i="2"/>
  <c r="C2352" i="2" s="1"/>
  <c r="A2352" i="5" s="1"/>
  <c r="O2351" i="2"/>
  <c r="L2351" i="2"/>
  <c r="M2351" i="2" s="1"/>
  <c r="N2351" i="2" s="1"/>
  <c r="I2351" i="2"/>
  <c r="J2351" i="2" s="1"/>
  <c r="K2351" i="2" s="1"/>
  <c r="F2351" i="2"/>
  <c r="G2351" i="2" s="1"/>
  <c r="H2351" i="2" s="1"/>
  <c r="C2351" i="5" s="1"/>
  <c r="D2351" i="2"/>
  <c r="E2351" i="2" s="1"/>
  <c r="B2351" i="5" s="1"/>
  <c r="B2351" i="2"/>
  <c r="C2351" i="2" s="1"/>
  <c r="A2351" i="5" s="1"/>
  <c r="O2350" i="2"/>
  <c r="L2350" i="2"/>
  <c r="M2350" i="2" s="1"/>
  <c r="N2350" i="2" s="1"/>
  <c r="I2350" i="2"/>
  <c r="J2350" i="2" s="1"/>
  <c r="K2350" i="2" s="1"/>
  <c r="F2350" i="2"/>
  <c r="G2350" i="2" s="1"/>
  <c r="H2350" i="2" s="1"/>
  <c r="C2350" i="5" s="1"/>
  <c r="D2350" i="2"/>
  <c r="E2350" i="2" s="1"/>
  <c r="B2350" i="5" s="1"/>
  <c r="B2350" i="2"/>
  <c r="C2350" i="2" s="1"/>
  <c r="A2350" i="5" s="1"/>
  <c r="O2349" i="2"/>
  <c r="L2349" i="2"/>
  <c r="M2349" i="2" s="1"/>
  <c r="N2349" i="2" s="1"/>
  <c r="I2349" i="2"/>
  <c r="J2349" i="2" s="1"/>
  <c r="K2349" i="2" s="1"/>
  <c r="F2349" i="2"/>
  <c r="G2349" i="2" s="1"/>
  <c r="H2349" i="2" s="1"/>
  <c r="C2349" i="5" s="1"/>
  <c r="D2349" i="2"/>
  <c r="E2349" i="2" s="1"/>
  <c r="B2349" i="5" s="1"/>
  <c r="B2349" i="2"/>
  <c r="C2349" i="2" s="1"/>
  <c r="A2349" i="5" s="1"/>
  <c r="O2348" i="2"/>
  <c r="L2348" i="2"/>
  <c r="M2348" i="2" s="1"/>
  <c r="N2348" i="2" s="1"/>
  <c r="I2348" i="2"/>
  <c r="J2348" i="2" s="1"/>
  <c r="K2348" i="2" s="1"/>
  <c r="F2348" i="2"/>
  <c r="G2348" i="2" s="1"/>
  <c r="H2348" i="2" s="1"/>
  <c r="C2348" i="5" s="1"/>
  <c r="D2348" i="2"/>
  <c r="E2348" i="2" s="1"/>
  <c r="B2348" i="5" s="1"/>
  <c r="B2348" i="2"/>
  <c r="C2348" i="2" s="1"/>
  <c r="A2348" i="5" s="1"/>
  <c r="O2347" i="2"/>
  <c r="L2347" i="2"/>
  <c r="M2347" i="2" s="1"/>
  <c r="N2347" i="2" s="1"/>
  <c r="I2347" i="2"/>
  <c r="J2347" i="2" s="1"/>
  <c r="K2347" i="2" s="1"/>
  <c r="F2347" i="2"/>
  <c r="G2347" i="2" s="1"/>
  <c r="H2347" i="2" s="1"/>
  <c r="C2347" i="5" s="1"/>
  <c r="D2347" i="2"/>
  <c r="E2347" i="2" s="1"/>
  <c r="B2347" i="5" s="1"/>
  <c r="B2347" i="2"/>
  <c r="C2347" i="2" s="1"/>
  <c r="A2347" i="5" s="1"/>
  <c r="O2346" i="2"/>
  <c r="L2346" i="2"/>
  <c r="M2346" i="2" s="1"/>
  <c r="N2346" i="2" s="1"/>
  <c r="I2346" i="2"/>
  <c r="J2346" i="2" s="1"/>
  <c r="K2346" i="2" s="1"/>
  <c r="F2346" i="2"/>
  <c r="G2346" i="2" s="1"/>
  <c r="H2346" i="2" s="1"/>
  <c r="C2346" i="5" s="1"/>
  <c r="D2346" i="2"/>
  <c r="E2346" i="2" s="1"/>
  <c r="B2346" i="5" s="1"/>
  <c r="B2346" i="2"/>
  <c r="C2346" i="2" s="1"/>
  <c r="A2346" i="5" s="1"/>
  <c r="O2345" i="2"/>
  <c r="L2345" i="2"/>
  <c r="M2345" i="2" s="1"/>
  <c r="N2345" i="2" s="1"/>
  <c r="I2345" i="2"/>
  <c r="J2345" i="2" s="1"/>
  <c r="K2345" i="2" s="1"/>
  <c r="F2345" i="2"/>
  <c r="G2345" i="2" s="1"/>
  <c r="H2345" i="2" s="1"/>
  <c r="C2345" i="5" s="1"/>
  <c r="D2345" i="2"/>
  <c r="E2345" i="2" s="1"/>
  <c r="B2345" i="5" s="1"/>
  <c r="B2345" i="2"/>
  <c r="C2345" i="2" s="1"/>
  <c r="A2345" i="5" s="1"/>
  <c r="O2344" i="2"/>
  <c r="L2344" i="2"/>
  <c r="M2344" i="2" s="1"/>
  <c r="N2344" i="2" s="1"/>
  <c r="I2344" i="2"/>
  <c r="J2344" i="2" s="1"/>
  <c r="K2344" i="2" s="1"/>
  <c r="F2344" i="2"/>
  <c r="G2344" i="2" s="1"/>
  <c r="H2344" i="2" s="1"/>
  <c r="C2344" i="5" s="1"/>
  <c r="D2344" i="2"/>
  <c r="E2344" i="2" s="1"/>
  <c r="B2344" i="5" s="1"/>
  <c r="B2344" i="2"/>
  <c r="C2344" i="2" s="1"/>
  <c r="A2344" i="5" s="1"/>
  <c r="O2343" i="2"/>
  <c r="L2343" i="2"/>
  <c r="M2343" i="2" s="1"/>
  <c r="N2343" i="2" s="1"/>
  <c r="I2343" i="2"/>
  <c r="J2343" i="2" s="1"/>
  <c r="K2343" i="2" s="1"/>
  <c r="F2343" i="2"/>
  <c r="G2343" i="2" s="1"/>
  <c r="H2343" i="2" s="1"/>
  <c r="C2343" i="5" s="1"/>
  <c r="D2343" i="2"/>
  <c r="E2343" i="2" s="1"/>
  <c r="B2343" i="5" s="1"/>
  <c r="B2343" i="2"/>
  <c r="C2343" i="2" s="1"/>
  <c r="A2343" i="5" s="1"/>
  <c r="O2342" i="2"/>
  <c r="L2342" i="2"/>
  <c r="M2342" i="2" s="1"/>
  <c r="N2342" i="2" s="1"/>
  <c r="I2342" i="2"/>
  <c r="J2342" i="2" s="1"/>
  <c r="K2342" i="2" s="1"/>
  <c r="F2342" i="2"/>
  <c r="G2342" i="2" s="1"/>
  <c r="H2342" i="2" s="1"/>
  <c r="C2342" i="5" s="1"/>
  <c r="D2342" i="2"/>
  <c r="E2342" i="2" s="1"/>
  <c r="B2342" i="5" s="1"/>
  <c r="B2342" i="2"/>
  <c r="C2342" i="2" s="1"/>
  <c r="A2342" i="5" s="1"/>
  <c r="O2341" i="2"/>
  <c r="L2341" i="2"/>
  <c r="M2341" i="2" s="1"/>
  <c r="N2341" i="2" s="1"/>
  <c r="I2341" i="2"/>
  <c r="J2341" i="2" s="1"/>
  <c r="K2341" i="2" s="1"/>
  <c r="F2341" i="2"/>
  <c r="G2341" i="2" s="1"/>
  <c r="H2341" i="2" s="1"/>
  <c r="C2341" i="5" s="1"/>
  <c r="D2341" i="2"/>
  <c r="E2341" i="2" s="1"/>
  <c r="B2341" i="5" s="1"/>
  <c r="B2341" i="2"/>
  <c r="C2341" i="2" s="1"/>
  <c r="A2341" i="5" s="1"/>
  <c r="O2340" i="2"/>
  <c r="L2340" i="2"/>
  <c r="M2340" i="2" s="1"/>
  <c r="N2340" i="2" s="1"/>
  <c r="I2340" i="2"/>
  <c r="J2340" i="2" s="1"/>
  <c r="K2340" i="2" s="1"/>
  <c r="F2340" i="2"/>
  <c r="G2340" i="2" s="1"/>
  <c r="H2340" i="2" s="1"/>
  <c r="C2340" i="5" s="1"/>
  <c r="D2340" i="2"/>
  <c r="E2340" i="2" s="1"/>
  <c r="B2340" i="5" s="1"/>
  <c r="B2340" i="2"/>
  <c r="C2340" i="2" s="1"/>
  <c r="A2340" i="5" s="1"/>
  <c r="O2339" i="2"/>
  <c r="L2339" i="2"/>
  <c r="M2339" i="2" s="1"/>
  <c r="N2339" i="2" s="1"/>
  <c r="I2339" i="2"/>
  <c r="J2339" i="2" s="1"/>
  <c r="K2339" i="2" s="1"/>
  <c r="F2339" i="2"/>
  <c r="G2339" i="2" s="1"/>
  <c r="H2339" i="2" s="1"/>
  <c r="C2339" i="5" s="1"/>
  <c r="D2339" i="2"/>
  <c r="E2339" i="2" s="1"/>
  <c r="B2339" i="5" s="1"/>
  <c r="B2339" i="2"/>
  <c r="C2339" i="2" s="1"/>
  <c r="A2339" i="5" s="1"/>
  <c r="O2338" i="2"/>
  <c r="L2338" i="2"/>
  <c r="M2338" i="2" s="1"/>
  <c r="N2338" i="2" s="1"/>
  <c r="I2338" i="2"/>
  <c r="J2338" i="2" s="1"/>
  <c r="K2338" i="2" s="1"/>
  <c r="F2338" i="2"/>
  <c r="G2338" i="2" s="1"/>
  <c r="H2338" i="2" s="1"/>
  <c r="C2338" i="5" s="1"/>
  <c r="D2338" i="2"/>
  <c r="E2338" i="2" s="1"/>
  <c r="B2338" i="5" s="1"/>
  <c r="B2338" i="2"/>
  <c r="C2338" i="2" s="1"/>
  <c r="A2338" i="5" s="1"/>
  <c r="O2337" i="2"/>
  <c r="L2337" i="2"/>
  <c r="M2337" i="2" s="1"/>
  <c r="N2337" i="2" s="1"/>
  <c r="I2337" i="2"/>
  <c r="J2337" i="2" s="1"/>
  <c r="K2337" i="2" s="1"/>
  <c r="F2337" i="2"/>
  <c r="G2337" i="2" s="1"/>
  <c r="H2337" i="2" s="1"/>
  <c r="C2337" i="5" s="1"/>
  <c r="D2337" i="2"/>
  <c r="E2337" i="2" s="1"/>
  <c r="B2337" i="5" s="1"/>
  <c r="B2337" i="2"/>
  <c r="C2337" i="2" s="1"/>
  <c r="A2337" i="5" s="1"/>
  <c r="O2336" i="2"/>
  <c r="L2336" i="2"/>
  <c r="M2336" i="2" s="1"/>
  <c r="N2336" i="2" s="1"/>
  <c r="I2336" i="2"/>
  <c r="J2336" i="2" s="1"/>
  <c r="K2336" i="2" s="1"/>
  <c r="F2336" i="2"/>
  <c r="G2336" i="2" s="1"/>
  <c r="H2336" i="2" s="1"/>
  <c r="C2336" i="5" s="1"/>
  <c r="D2336" i="2"/>
  <c r="E2336" i="2" s="1"/>
  <c r="B2336" i="5" s="1"/>
  <c r="B2336" i="2"/>
  <c r="C2336" i="2" s="1"/>
  <c r="A2336" i="5" s="1"/>
  <c r="O2335" i="2"/>
  <c r="L2335" i="2"/>
  <c r="M2335" i="2" s="1"/>
  <c r="N2335" i="2" s="1"/>
  <c r="I2335" i="2"/>
  <c r="J2335" i="2" s="1"/>
  <c r="K2335" i="2" s="1"/>
  <c r="F2335" i="2"/>
  <c r="G2335" i="2" s="1"/>
  <c r="H2335" i="2" s="1"/>
  <c r="C2335" i="5" s="1"/>
  <c r="D2335" i="2"/>
  <c r="E2335" i="2" s="1"/>
  <c r="B2335" i="5" s="1"/>
  <c r="B2335" i="2"/>
  <c r="C2335" i="2" s="1"/>
  <c r="A2335" i="5" s="1"/>
  <c r="O2334" i="2"/>
  <c r="L2334" i="2"/>
  <c r="M2334" i="2" s="1"/>
  <c r="N2334" i="2" s="1"/>
  <c r="I2334" i="2"/>
  <c r="J2334" i="2" s="1"/>
  <c r="K2334" i="2" s="1"/>
  <c r="F2334" i="2"/>
  <c r="G2334" i="2" s="1"/>
  <c r="H2334" i="2" s="1"/>
  <c r="C2334" i="5" s="1"/>
  <c r="D2334" i="2"/>
  <c r="E2334" i="2" s="1"/>
  <c r="B2334" i="5" s="1"/>
  <c r="B2334" i="2"/>
  <c r="C2334" i="2" s="1"/>
  <c r="A2334" i="5" s="1"/>
  <c r="O2333" i="2"/>
  <c r="L2333" i="2"/>
  <c r="M2333" i="2" s="1"/>
  <c r="N2333" i="2" s="1"/>
  <c r="I2333" i="2"/>
  <c r="J2333" i="2" s="1"/>
  <c r="K2333" i="2" s="1"/>
  <c r="F2333" i="2"/>
  <c r="G2333" i="2" s="1"/>
  <c r="H2333" i="2" s="1"/>
  <c r="C2333" i="5" s="1"/>
  <c r="D2333" i="2"/>
  <c r="E2333" i="2" s="1"/>
  <c r="B2333" i="5" s="1"/>
  <c r="B2333" i="2"/>
  <c r="C2333" i="2" s="1"/>
  <c r="A2333" i="5" s="1"/>
  <c r="O2332" i="2"/>
  <c r="L2332" i="2"/>
  <c r="M2332" i="2" s="1"/>
  <c r="N2332" i="2" s="1"/>
  <c r="I2332" i="2"/>
  <c r="J2332" i="2" s="1"/>
  <c r="K2332" i="2" s="1"/>
  <c r="F2332" i="2"/>
  <c r="G2332" i="2" s="1"/>
  <c r="H2332" i="2" s="1"/>
  <c r="C2332" i="5" s="1"/>
  <c r="D2332" i="2"/>
  <c r="E2332" i="2" s="1"/>
  <c r="B2332" i="5" s="1"/>
  <c r="B2332" i="2"/>
  <c r="C2332" i="2" s="1"/>
  <c r="A2332" i="5" s="1"/>
  <c r="O2331" i="2"/>
  <c r="L2331" i="2"/>
  <c r="M2331" i="2" s="1"/>
  <c r="N2331" i="2" s="1"/>
  <c r="I2331" i="2"/>
  <c r="J2331" i="2" s="1"/>
  <c r="K2331" i="2" s="1"/>
  <c r="F2331" i="2"/>
  <c r="G2331" i="2" s="1"/>
  <c r="H2331" i="2" s="1"/>
  <c r="C2331" i="5" s="1"/>
  <c r="D2331" i="2"/>
  <c r="E2331" i="2" s="1"/>
  <c r="B2331" i="5" s="1"/>
  <c r="B2331" i="2"/>
  <c r="C2331" i="2" s="1"/>
  <c r="A2331" i="5" s="1"/>
  <c r="O2330" i="2"/>
  <c r="L2330" i="2"/>
  <c r="M2330" i="2" s="1"/>
  <c r="N2330" i="2" s="1"/>
  <c r="I2330" i="2"/>
  <c r="J2330" i="2" s="1"/>
  <c r="K2330" i="2" s="1"/>
  <c r="F2330" i="2"/>
  <c r="G2330" i="2" s="1"/>
  <c r="H2330" i="2" s="1"/>
  <c r="C2330" i="5" s="1"/>
  <c r="D2330" i="2"/>
  <c r="E2330" i="2" s="1"/>
  <c r="B2330" i="5" s="1"/>
  <c r="B2330" i="2"/>
  <c r="C2330" i="2" s="1"/>
  <c r="A2330" i="5" s="1"/>
  <c r="O2329" i="2"/>
  <c r="L2329" i="2"/>
  <c r="M2329" i="2" s="1"/>
  <c r="N2329" i="2" s="1"/>
  <c r="I2329" i="2"/>
  <c r="J2329" i="2" s="1"/>
  <c r="K2329" i="2" s="1"/>
  <c r="F2329" i="2"/>
  <c r="G2329" i="2" s="1"/>
  <c r="H2329" i="2" s="1"/>
  <c r="C2329" i="5" s="1"/>
  <c r="D2329" i="2"/>
  <c r="E2329" i="2" s="1"/>
  <c r="B2329" i="5" s="1"/>
  <c r="B2329" i="2"/>
  <c r="C2329" i="2" s="1"/>
  <c r="A2329" i="5" s="1"/>
  <c r="O2328" i="2"/>
  <c r="L2328" i="2"/>
  <c r="M2328" i="2" s="1"/>
  <c r="N2328" i="2" s="1"/>
  <c r="I2328" i="2"/>
  <c r="J2328" i="2" s="1"/>
  <c r="K2328" i="2" s="1"/>
  <c r="F2328" i="2"/>
  <c r="G2328" i="2" s="1"/>
  <c r="H2328" i="2" s="1"/>
  <c r="C2328" i="5" s="1"/>
  <c r="D2328" i="2"/>
  <c r="E2328" i="2" s="1"/>
  <c r="B2328" i="5" s="1"/>
  <c r="B2328" i="2"/>
  <c r="C2328" i="2" s="1"/>
  <c r="A2328" i="5" s="1"/>
  <c r="O2327" i="2"/>
  <c r="L2327" i="2"/>
  <c r="M2327" i="2" s="1"/>
  <c r="N2327" i="2" s="1"/>
  <c r="I2327" i="2"/>
  <c r="J2327" i="2" s="1"/>
  <c r="K2327" i="2" s="1"/>
  <c r="F2327" i="2"/>
  <c r="G2327" i="2" s="1"/>
  <c r="H2327" i="2" s="1"/>
  <c r="C2327" i="5" s="1"/>
  <c r="D2327" i="2"/>
  <c r="E2327" i="2" s="1"/>
  <c r="B2327" i="5" s="1"/>
  <c r="B2327" i="2"/>
  <c r="C2327" i="2" s="1"/>
  <c r="A2327" i="5" s="1"/>
  <c r="O2326" i="2"/>
  <c r="L2326" i="2"/>
  <c r="M2326" i="2" s="1"/>
  <c r="N2326" i="2" s="1"/>
  <c r="I2326" i="2"/>
  <c r="J2326" i="2" s="1"/>
  <c r="K2326" i="2" s="1"/>
  <c r="F2326" i="2"/>
  <c r="G2326" i="2" s="1"/>
  <c r="H2326" i="2" s="1"/>
  <c r="C2326" i="5" s="1"/>
  <c r="D2326" i="2"/>
  <c r="E2326" i="2" s="1"/>
  <c r="B2326" i="5" s="1"/>
  <c r="B2326" i="2"/>
  <c r="C2326" i="2" s="1"/>
  <c r="A2326" i="5" s="1"/>
  <c r="O2325" i="2"/>
  <c r="L2325" i="2"/>
  <c r="M2325" i="2" s="1"/>
  <c r="N2325" i="2" s="1"/>
  <c r="I2325" i="2"/>
  <c r="J2325" i="2" s="1"/>
  <c r="K2325" i="2" s="1"/>
  <c r="F2325" i="2"/>
  <c r="G2325" i="2" s="1"/>
  <c r="H2325" i="2" s="1"/>
  <c r="C2325" i="5" s="1"/>
  <c r="D2325" i="2"/>
  <c r="E2325" i="2" s="1"/>
  <c r="B2325" i="5" s="1"/>
  <c r="B2325" i="2"/>
  <c r="C2325" i="2" s="1"/>
  <c r="A2325" i="5" s="1"/>
  <c r="O2324" i="2"/>
  <c r="L2324" i="2"/>
  <c r="M2324" i="2" s="1"/>
  <c r="N2324" i="2" s="1"/>
  <c r="I2324" i="2"/>
  <c r="J2324" i="2" s="1"/>
  <c r="K2324" i="2" s="1"/>
  <c r="F2324" i="2"/>
  <c r="G2324" i="2" s="1"/>
  <c r="H2324" i="2" s="1"/>
  <c r="C2324" i="5" s="1"/>
  <c r="D2324" i="2"/>
  <c r="E2324" i="2" s="1"/>
  <c r="B2324" i="5" s="1"/>
  <c r="B2324" i="2"/>
  <c r="C2324" i="2" s="1"/>
  <c r="A2324" i="5" s="1"/>
  <c r="O2323" i="2"/>
  <c r="L2323" i="2"/>
  <c r="M2323" i="2" s="1"/>
  <c r="N2323" i="2" s="1"/>
  <c r="I2323" i="2"/>
  <c r="J2323" i="2" s="1"/>
  <c r="K2323" i="2" s="1"/>
  <c r="F2323" i="2"/>
  <c r="G2323" i="2" s="1"/>
  <c r="H2323" i="2" s="1"/>
  <c r="C2323" i="5" s="1"/>
  <c r="D2323" i="2"/>
  <c r="E2323" i="2" s="1"/>
  <c r="B2323" i="5" s="1"/>
  <c r="B2323" i="2"/>
  <c r="C2323" i="2" s="1"/>
  <c r="A2323" i="5" s="1"/>
  <c r="O2322" i="2"/>
  <c r="L2322" i="2"/>
  <c r="M2322" i="2" s="1"/>
  <c r="N2322" i="2" s="1"/>
  <c r="I2322" i="2"/>
  <c r="J2322" i="2" s="1"/>
  <c r="K2322" i="2" s="1"/>
  <c r="F2322" i="2"/>
  <c r="G2322" i="2" s="1"/>
  <c r="H2322" i="2" s="1"/>
  <c r="C2322" i="5" s="1"/>
  <c r="D2322" i="2"/>
  <c r="E2322" i="2" s="1"/>
  <c r="B2322" i="5" s="1"/>
  <c r="B2322" i="2"/>
  <c r="C2322" i="2" s="1"/>
  <c r="A2322" i="5" s="1"/>
  <c r="O2321" i="2"/>
  <c r="L2321" i="2"/>
  <c r="M2321" i="2" s="1"/>
  <c r="N2321" i="2" s="1"/>
  <c r="I2321" i="2"/>
  <c r="J2321" i="2" s="1"/>
  <c r="K2321" i="2" s="1"/>
  <c r="F2321" i="2"/>
  <c r="G2321" i="2" s="1"/>
  <c r="H2321" i="2" s="1"/>
  <c r="C2321" i="5" s="1"/>
  <c r="D2321" i="2"/>
  <c r="E2321" i="2" s="1"/>
  <c r="B2321" i="5" s="1"/>
  <c r="B2321" i="2"/>
  <c r="C2321" i="2" s="1"/>
  <c r="A2321" i="5" s="1"/>
  <c r="O2320" i="2"/>
  <c r="L2320" i="2"/>
  <c r="M2320" i="2" s="1"/>
  <c r="N2320" i="2" s="1"/>
  <c r="I2320" i="2"/>
  <c r="J2320" i="2" s="1"/>
  <c r="K2320" i="2" s="1"/>
  <c r="F2320" i="2"/>
  <c r="G2320" i="2" s="1"/>
  <c r="H2320" i="2" s="1"/>
  <c r="C2320" i="5" s="1"/>
  <c r="D2320" i="2"/>
  <c r="E2320" i="2" s="1"/>
  <c r="B2320" i="5" s="1"/>
  <c r="B2320" i="2"/>
  <c r="C2320" i="2" s="1"/>
  <c r="A2320" i="5" s="1"/>
  <c r="O2319" i="2"/>
  <c r="L2319" i="2"/>
  <c r="M2319" i="2" s="1"/>
  <c r="N2319" i="2" s="1"/>
  <c r="I2319" i="2"/>
  <c r="J2319" i="2" s="1"/>
  <c r="K2319" i="2" s="1"/>
  <c r="F2319" i="2"/>
  <c r="G2319" i="2" s="1"/>
  <c r="H2319" i="2" s="1"/>
  <c r="C2319" i="5" s="1"/>
  <c r="D2319" i="2"/>
  <c r="E2319" i="2" s="1"/>
  <c r="B2319" i="5" s="1"/>
  <c r="B2319" i="2"/>
  <c r="C2319" i="2" s="1"/>
  <c r="A2319" i="5" s="1"/>
  <c r="O2318" i="2"/>
  <c r="L2318" i="2"/>
  <c r="M2318" i="2" s="1"/>
  <c r="N2318" i="2" s="1"/>
  <c r="I2318" i="2"/>
  <c r="J2318" i="2" s="1"/>
  <c r="K2318" i="2" s="1"/>
  <c r="F2318" i="2"/>
  <c r="G2318" i="2" s="1"/>
  <c r="H2318" i="2" s="1"/>
  <c r="C2318" i="5" s="1"/>
  <c r="D2318" i="2"/>
  <c r="E2318" i="2" s="1"/>
  <c r="B2318" i="5" s="1"/>
  <c r="B2318" i="2"/>
  <c r="C2318" i="2" s="1"/>
  <c r="A2318" i="5" s="1"/>
  <c r="O2317" i="2"/>
  <c r="L2317" i="2"/>
  <c r="M2317" i="2" s="1"/>
  <c r="N2317" i="2" s="1"/>
  <c r="I2317" i="2"/>
  <c r="J2317" i="2" s="1"/>
  <c r="K2317" i="2" s="1"/>
  <c r="F2317" i="2"/>
  <c r="G2317" i="2" s="1"/>
  <c r="H2317" i="2" s="1"/>
  <c r="C2317" i="5" s="1"/>
  <c r="D2317" i="2"/>
  <c r="E2317" i="2" s="1"/>
  <c r="B2317" i="5" s="1"/>
  <c r="B2317" i="2"/>
  <c r="C2317" i="2" s="1"/>
  <c r="A2317" i="5" s="1"/>
  <c r="O2316" i="2"/>
  <c r="L2316" i="2"/>
  <c r="M2316" i="2" s="1"/>
  <c r="N2316" i="2" s="1"/>
  <c r="I2316" i="2"/>
  <c r="J2316" i="2" s="1"/>
  <c r="K2316" i="2" s="1"/>
  <c r="F2316" i="2"/>
  <c r="G2316" i="2" s="1"/>
  <c r="H2316" i="2" s="1"/>
  <c r="C2316" i="5" s="1"/>
  <c r="D2316" i="2"/>
  <c r="E2316" i="2" s="1"/>
  <c r="B2316" i="5" s="1"/>
  <c r="B2316" i="2"/>
  <c r="C2316" i="2" s="1"/>
  <c r="A2316" i="5" s="1"/>
  <c r="O2315" i="2"/>
  <c r="L2315" i="2"/>
  <c r="M2315" i="2" s="1"/>
  <c r="N2315" i="2" s="1"/>
  <c r="I2315" i="2"/>
  <c r="J2315" i="2" s="1"/>
  <c r="K2315" i="2" s="1"/>
  <c r="F2315" i="2"/>
  <c r="G2315" i="2" s="1"/>
  <c r="H2315" i="2" s="1"/>
  <c r="C2315" i="5" s="1"/>
  <c r="D2315" i="2"/>
  <c r="E2315" i="2" s="1"/>
  <c r="B2315" i="5" s="1"/>
  <c r="B2315" i="2"/>
  <c r="C2315" i="2" s="1"/>
  <c r="A2315" i="5" s="1"/>
  <c r="O2314" i="2"/>
  <c r="L2314" i="2"/>
  <c r="M2314" i="2" s="1"/>
  <c r="N2314" i="2" s="1"/>
  <c r="I2314" i="2"/>
  <c r="J2314" i="2" s="1"/>
  <c r="K2314" i="2" s="1"/>
  <c r="F2314" i="2"/>
  <c r="G2314" i="2" s="1"/>
  <c r="H2314" i="2" s="1"/>
  <c r="C2314" i="5" s="1"/>
  <c r="D2314" i="2"/>
  <c r="E2314" i="2" s="1"/>
  <c r="B2314" i="5" s="1"/>
  <c r="B2314" i="2"/>
  <c r="C2314" i="2" s="1"/>
  <c r="A2314" i="5" s="1"/>
  <c r="O2313" i="2"/>
  <c r="L2313" i="2"/>
  <c r="M2313" i="2" s="1"/>
  <c r="N2313" i="2" s="1"/>
  <c r="I2313" i="2"/>
  <c r="J2313" i="2" s="1"/>
  <c r="K2313" i="2" s="1"/>
  <c r="F2313" i="2"/>
  <c r="G2313" i="2" s="1"/>
  <c r="H2313" i="2" s="1"/>
  <c r="C2313" i="5" s="1"/>
  <c r="D2313" i="2"/>
  <c r="E2313" i="2" s="1"/>
  <c r="B2313" i="5" s="1"/>
  <c r="B2313" i="2"/>
  <c r="C2313" i="2" s="1"/>
  <c r="A2313" i="5" s="1"/>
  <c r="O2312" i="2"/>
  <c r="L2312" i="2"/>
  <c r="M2312" i="2" s="1"/>
  <c r="N2312" i="2" s="1"/>
  <c r="I2312" i="2"/>
  <c r="J2312" i="2" s="1"/>
  <c r="K2312" i="2" s="1"/>
  <c r="F2312" i="2"/>
  <c r="G2312" i="2" s="1"/>
  <c r="H2312" i="2" s="1"/>
  <c r="C2312" i="5" s="1"/>
  <c r="D2312" i="2"/>
  <c r="E2312" i="2" s="1"/>
  <c r="B2312" i="5" s="1"/>
  <c r="B2312" i="2"/>
  <c r="C2312" i="2" s="1"/>
  <c r="A2312" i="5" s="1"/>
  <c r="O2311" i="2"/>
  <c r="L2311" i="2"/>
  <c r="M2311" i="2" s="1"/>
  <c r="N2311" i="2" s="1"/>
  <c r="I2311" i="2"/>
  <c r="J2311" i="2" s="1"/>
  <c r="K2311" i="2" s="1"/>
  <c r="F2311" i="2"/>
  <c r="G2311" i="2" s="1"/>
  <c r="H2311" i="2" s="1"/>
  <c r="C2311" i="5" s="1"/>
  <c r="D2311" i="2"/>
  <c r="E2311" i="2" s="1"/>
  <c r="B2311" i="5" s="1"/>
  <c r="B2311" i="2"/>
  <c r="C2311" i="2" s="1"/>
  <c r="A2311" i="5" s="1"/>
  <c r="O2310" i="2"/>
  <c r="L2310" i="2"/>
  <c r="M2310" i="2" s="1"/>
  <c r="N2310" i="2" s="1"/>
  <c r="I2310" i="2"/>
  <c r="J2310" i="2" s="1"/>
  <c r="K2310" i="2" s="1"/>
  <c r="F2310" i="2"/>
  <c r="G2310" i="2" s="1"/>
  <c r="H2310" i="2" s="1"/>
  <c r="C2310" i="5" s="1"/>
  <c r="D2310" i="2"/>
  <c r="E2310" i="2" s="1"/>
  <c r="B2310" i="5" s="1"/>
  <c r="B2310" i="2"/>
  <c r="C2310" i="2" s="1"/>
  <c r="A2310" i="5" s="1"/>
  <c r="O2309" i="2"/>
  <c r="L2309" i="2"/>
  <c r="M2309" i="2" s="1"/>
  <c r="N2309" i="2" s="1"/>
  <c r="I2309" i="2"/>
  <c r="J2309" i="2" s="1"/>
  <c r="K2309" i="2" s="1"/>
  <c r="F2309" i="2"/>
  <c r="G2309" i="2" s="1"/>
  <c r="H2309" i="2" s="1"/>
  <c r="C2309" i="5" s="1"/>
  <c r="D2309" i="2"/>
  <c r="E2309" i="2" s="1"/>
  <c r="B2309" i="5" s="1"/>
  <c r="B2309" i="2"/>
  <c r="C2309" i="2" s="1"/>
  <c r="A2309" i="5" s="1"/>
  <c r="O2308" i="2"/>
  <c r="L2308" i="2"/>
  <c r="M2308" i="2" s="1"/>
  <c r="N2308" i="2" s="1"/>
  <c r="I2308" i="2"/>
  <c r="J2308" i="2" s="1"/>
  <c r="K2308" i="2" s="1"/>
  <c r="F2308" i="2"/>
  <c r="G2308" i="2" s="1"/>
  <c r="H2308" i="2" s="1"/>
  <c r="C2308" i="5" s="1"/>
  <c r="D2308" i="2"/>
  <c r="E2308" i="2" s="1"/>
  <c r="B2308" i="5" s="1"/>
  <c r="B2308" i="2"/>
  <c r="C2308" i="2" s="1"/>
  <c r="A2308" i="5" s="1"/>
  <c r="O2307" i="2"/>
  <c r="L2307" i="2"/>
  <c r="M2307" i="2" s="1"/>
  <c r="N2307" i="2" s="1"/>
  <c r="I2307" i="2"/>
  <c r="J2307" i="2" s="1"/>
  <c r="K2307" i="2" s="1"/>
  <c r="F2307" i="2"/>
  <c r="G2307" i="2" s="1"/>
  <c r="H2307" i="2" s="1"/>
  <c r="C2307" i="5" s="1"/>
  <c r="D2307" i="2"/>
  <c r="E2307" i="2" s="1"/>
  <c r="B2307" i="5" s="1"/>
  <c r="B2307" i="2"/>
  <c r="C2307" i="2" s="1"/>
  <c r="A2307" i="5" s="1"/>
  <c r="O2306" i="2"/>
  <c r="L2306" i="2"/>
  <c r="M2306" i="2" s="1"/>
  <c r="N2306" i="2" s="1"/>
  <c r="I2306" i="2"/>
  <c r="J2306" i="2" s="1"/>
  <c r="K2306" i="2" s="1"/>
  <c r="F2306" i="2"/>
  <c r="G2306" i="2" s="1"/>
  <c r="H2306" i="2" s="1"/>
  <c r="C2306" i="5" s="1"/>
  <c r="D2306" i="2"/>
  <c r="E2306" i="2" s="1"/>
  <c r="B2306" i="5" s="1"/>
  <c r="B2306" i="2"/>
  <c r="C2306" i="2" s="1"/>
  <c r="A2306" i="5" s="1"/>
  <c r="O2305" i="2"/>
  <c r="L2305" i="2"/>
  <c r="M2305" i="2" s="1"/>
  <c r="N2305" i="2" s="1"/>
  <c r="I2305" i="2"/>
  <c r="J2305" i="2" s="1"/>
  <c r="K2305" i="2" s="1"/>
  <c r="F2305" i="2"/>
  <c r="G2305" i="2" s="1"/>
  <c r="H2305" i="2" s="1"/>
  <c r="C2305" i="5" s="1"/>
  <c r="D2305" i="2"/>
  <c r="E2305" i="2" s="1"/>
  <c r="B2305" i="5" s="1"/>
  <c r="B2305" i="2"/>
  <c r="C2305" i="2" s="1"/>
  <c r="A2305" i="5" s="1"/>
  <c r="O2304" i="2"/>
  <c r="L2304" i="2"/>
  <c r="M2304" i="2" s="1"/>
  <c r="N2304" i="2" s="1"/>
  <c r="I2304" i="2"/>
  <c r="J2304" i="2" s="1"/>
  <c r="K2304" i="2" s="1"/>
  <c r="F2304" i="2"/>
  <c r="G2304" i="2" s="1"/>
  <c r="H2304" i="2" s="1"/>
  <c r="C2304" i="5" s="1"/>
  <c r="D2304" i="2"/>
  <c r="E2304" i="2" s="1"/>
  <c r="B2304" i="5" s="1"/>
  <c r="B2304" i="2"/>
  <c r="C2304" i="2" s="1"/>
  <c r="A2304" i="5" s="1"/>
  <c r="O2303" i="2"/>
  <c r="L2303" i="2"/>
  <c r="M2303" i="2" s="1"/>
  <c r="N2303" i="2" s="1"/>
  <c r="I2303" i="2"/>
  <c r="J2303" i="2" s="1"/>
  <c r="K2303" i="2" s="1"/>
  <c r="F2303" i="2"/>
  <c r="G2303" i="2" s="1"/>
  <c r="H2303" i="2" s="1"/>
  <c r="C2303" i="5" s="1"/>
  <c r="D2303" i="2"/>
  <c r="E2303" i="2" s="1"/>
  <c r="B2303" i="5" s="1"/>
  <c r="B2303" i="2"/>
  <c r="C2303" i="2" s="1"/>
  <c r="A2303" i="5" s="1"/>
  <c r="O2302" i="2"/>
  <c r="L2302" i="2"/>
  <c r="M2302" i="2" s="1"/>
  <c r="N2302" i="2" s="1"/>
  <c r="I2302" i="2"/>
  <c r="J2302" i="2" s="1"/>
  <c r="K2302" i="2" s="1"/>
  <c r="F2302" i="2"/>
  <c r="G2302" i="2" s="1"/>
  <c r="H2302" i="2" s="1"/>
  <c r="C2302" i="5" s="1"/>
  <c r="D2302" i="2"/>
  <c r="E2302" i="2" s="1"/>
  <c r="B2302" i="5" s="1"/>
  <c r="B2302" i="2"/>
  <c r="C2302" i="2" s="1"/>
  <c r="A2302" i="5" s="1"/>
  <c r="O2301" i="2"/>
  <c r="L2301" i="2"/>
  <c r="M2301" i="2" s="1"/>
  <c r="N2301" i="2" s="1"/>
  <c r="I2301" i="2"/>
  <c r="J2301" i="2" s="1"/>
  <c r="K2301" i="2" s="1"/>
  <c r="F2301" i="2"/>
  <c r="G2301" i="2" s="1"/>
  <c r="H2301" i="2" s="1"/>
  <c r="C2301" i="5" s="1"/>
  <c r="D2301" i="2"/>
  <c r="E2301" i="2" s="1"/>
  <c r="B2301" i="5" s="1"/>
  <c r="B2301" i="2"/>
  <c r="C2301" i="2" s="1"/>
  <c r="A2301" i="5" s="1"/>
  <c r="O2300" i="2"/>
  <c r="L2300" i="2"/>
  <c r="M2300" i="2" s="1"/>
  <c r="N2300" i="2" s="1"/>
  <c r="I2300" i="2"/>
  <c r="J2300" i="2" s="1"/>
  <c r="K2300" i="2" s="1"/>
  <c r="F2300" i="2"/>
  <c r="G2300" i="2" s="1"/>
  <c r="H2300" i="2" s="1"/>
  <c r="C2300" i="5" s="1"/>
  <c r="D2300" i="2"/>
  <c r="E2300" i="2" s="1"/>
  <c r="B2300" i="5" s="1"/>
  <c r="B2300" i="2"/>
  <c r="C2300" i="2" s="1"/>
  <c r="A2300" i="5" s="1"/>
  <c r="O2299" i="2"/>
  <c r="L2299" i="2"/>
  <c r="M2299" i="2" s="1"/>
  <c r="N2299" i="2" s="1"/>
  <c r="I2299" i="2"/>
  <c r="J2299" i="2" s="1"/>
  <c r="K2299" i="2" s="1"/>
  <c r="F2299" i="2"/>
  <c r="G2299" i="2" s="1"/>
  <c r="H2299" i="2" s="1"/>
  <c r="C2299" i="5" s="1"/>
  <c r="D2299" i="2"/>
  <c r="E2299" i="2" s="1"/>
  <c r="B2299" i="5" s="1"/>
  <c r="B2299" i="2"/>
  <c r="C2299" i="2" s="1"/>
  <c r="A2299" i="5" s="1"/>
  <c r="O2298" i="2"/>
  <c r="L2298" i="2"/>
  <c r="M2298" i="2" s="1"/>
  <c r="N2298" i="2" s="1"/>
  <c r="I2298" i="2"/>
  <c r="J2298" i="2" s="1"/>
  <c r="K2298" i="2" s="1"/>
  <c r="F2298" i="2"/>
  <c r="G2298" i="2" s="1"/>
  <c r="H2298" i="2" s="1"/>
  <c r="C2298" i="5" s="1"/>
  <c r="D2298" i="2"/>
  <c r="E2298" i="2" s="1"/>
  <c r="B2298" i="5" s="1"/>
  <c r="B2298" i="2"/>
  <c r="C2298" i="2" s="1"/>
  <c r="A2298" i="5" s="1"/>
  <c r="O2297" i="2"/>
  <c r="L2297" i="2"/>
  <c r="M2297" i="2" s="1"/>
  <c r="N2297" i="2" s="1"/>
  <c r="I2297" i="2"/>
  <c r="J2297" i="2" s="1"/>
  <c r="K2297" i="2" s="1"/>
  <c r="F2297" i="2"/>
  <c r="G2297" i="2" s="1"/>
  <c r="H2297" i="2" s="1"/>
  <c r="C2297" i="5" s="1"/>
  <c r="D2297" i="2"/>
  <c r="E2297" i="2" s="1"/>
  <c r="B2297" i="5" s="1"/>
  <c r="B2297" i="2"/>
  <c r="C2297" i="2" s="1"/>
  <c r="A2297" i="5" s="1"/>
  <c r="O2296" i="2"/>
  <c r="L2296" i="2"/>
  <c r="M2296" i="2" s="1"/>
  <c r="N2296" i="2" s="1"/>
  <c r="I2296" i="2"/>
  <c r="J2296" i="2" s="1"/>
  <c r="K2296" i="2" s="1"/>
  <c r="F2296" i="2"/>
  <c r="G2296" i="2" s="1"/>
  <c r="H2296" i="2" s="1"/>
  <c r="C2296" i="5" s="1"/>
  <c r="D2296" i="2"/>
  <c r="E2296" i="2" s="1"/>
  <c r="B2296" i="5" s="1"/>
  <c r="B2296" i="2"/>
  <c r="C2296" i="2" s="1"/>
  <c r="A2296" i="5" s="1"/>
  <c r="O2295" i="2"/>
  <c r="L2295" i="2"/>
  <c r="M2295" i="2" s="1"/>
  <c r="N2295" i="2" s="1"/>
  <c r="I2295" i="2"/>
  <c r="J2295" i="2" s="1"/>
  <c r="K2295" i="2" s="1"/>
  <c r="F2295" i="2"/>
  <c r="G2295" i="2" s="1"/>
  <c r="H2295" i="2" s="1"/>
  <c r="C2295" i="5" s="1"/>
  <c r="D2295" i="2"/>
  <c r="E2295" i="2" s="1"/>
  <c r="B2295" i="5" s="1"/>
  <c r="B2295" i="2"/>
  <c r="C2295" i="2" s="1"/>
  <c r="A2295" i="5" s="1"/>
  <c r="O2294" i="2"/>
  <c r="L2294" i="2"/>
  <c r="M2294" i="2" s="1"/>
  <c r="N2294" i="2" s="1"/>
  <c r="I2294" i="2"/>
  <c r="J2294" i="2" s="1"/>
  <c r="K2294" i="2" s="1"/>
  <c r="F2294" i="2"/>
  <c r="G2294" i="2" s="1"/>
  <c r="H2294" i="2" s="1"/>
  <c r="C2294" i="5" s="1"/>
  <c r="D2294" i="2"/>
  <c r="E2294" i="2" s="1"/>
  <c r="B2294" i="5" s="1"/>
  <c r="B2294" i="2"/>
  <c r="C2294" i="2" s="1"/>
  <c r="A2294" i="5" s="1"/>
  <c r="O2293" i="2"/>
  <c r="L2293" i="2"/>
  <c r="M2293" i="2" s="1"/>
  <c r="N2293" i="2" s="1"/>
  <c r="I2293" i="2"/>
  <c r="J2293" i="2" s="1"/>
  <c r="K2293" i="2" s="1"/>
  <c r="F2293" i="2"/>
  <c r="G2293" i="2" s="1"/>
  <c r="H2293" i="2" s="1"/>
  <c r="C2293" i="5" s="1"/>
  <c r="D2293" i="2"/>
  <c r="E2293" i="2" s="1"/>
  <c r="B2293" i="5" s="1"/>
  <c r="B2293" i="2"/>
  <c r="C2293" i="2" s="1"/>
  <c r="A2293" i="5" s="1"/>
  <c r="O2292" i="2"/>
  <c r="L2292" i="2"/>
  <c r="M2292" i="2" s="1"/>
  <c r="N2292" i="2" s="1"/>
  <c r="I2292" i="2"/>
  <c r="J2292" i="2" s="1"/>
  <c r="K2292" i="2" s="1"/>
  <c r="F2292" i="2"/>
  <c r="G2292" i="2" s="1"/>
  <c r="H2292" i="2" s="1"/>
  <c r="C2292" i="5" s="1"/>
  <c r="D2292" i="2"/>
  <c r="E2292" i="2" s="1"/>
  <c r="B2292" i="5" s="1"/>
  <c r="B2292" i="2"/>
  <c r="C2292" i="2" s="1"/>
  <c r="A2292" i="5" s="1"/>
  <c r="O2291" i="2"/>
  <c r="L2291" i="2"/>
  <c r="M2291" i="2" s="1"/>
  <c r="N2291" i="2" s="1"/>
  <c r="I2291" i="2"/>
  <c r="J2291" i="2" s="1"/>
  <c r="K2291" i="2" s="1"/>
  <c r="F2291" i="2"/>
  <c r="G2291" i="2" s="1"/>
  <c r="H2291" i="2" s="1"/>
  <c r="C2291" i="5" s="1"/>
  <c r="D2291" i="2"/>
  <c r="E2291" i="2" s="1"/>
  <c r="B2291" i="5" s="1"/>
  <c r="B2291" i="2"/>
  <c r="C2291" i="2" s="1"/>
  <c r="A2291" i="5" s="1"/>
  <c r="O2290" i="2"/>
  <c r="L2290" i="2"/>
  <c r="M2290" i="2" s="1"/>
  <c r="N2290" i="2" s="1"/>
  <c r="I2290" i="2"/>
  <c r="J2290" i="2" s="1"/>
  <c r="K2290" i="2" s="1"/>
  <c r="F2290" i="2"/>
  <c r="G2290" i="2" s="1"/>
  <c r="H2290" i="2" s="1"/>
  <c r="C2290" i="5" s="1"/>
  <c r="D2290" i="2"/>
  <c r="E2290" i="2" s="1"/>
  <c r="B2290" i="5" s="1"/>
  <c r="B2290" i="2"/>
  <c r="C2290" i="2" s="1"/>
  <c r="A2290" i="5" s="1"/>
  <c r="O2289" i="2"/>
  <c r="L2289" i="2"/>
  <c r="M2289" i="2" s="1"/>
  <c r="N2289" i="2" s="1"/>
  <c r="I2289" i="2"/>
  <c r="J2289" i="2" s="1"/>
  <c r="K2289" i="2" s="1"/>
  <c r="F2289" i="2"/>
  <c r="G2289" i="2" s="1"/>
  <c r="H2289" i="2" s="1"/>
  <c r="C2289" i="5" s="1"/>
  <c r="D2289" i="2"/>
  <c r="E2289" i="2" s="1"/>
  <c r="B2289" i="5" s="1"/>
  <c r="B2289" i="2"/>
  <c r="C2289" i="2" s="1"/>
  <c r="A2289" i="5" s="1"/>
  <c r="O2288" i="2"/>
  <c r="L2288" i="2"/>
  <c r="M2288" i="2" s="1"/>
  <c r="N2288" i="2" s="1"/>
  <c r="I2288" i="2"/>
  <c r="J2288" i="2" s="1"/>
  <c r="K2288" i="2" s="1"/>
  <c r="F2288" i="2"/>
  <c r="G2288" i="2" s="1"/>
  <c r="H2288" i="2" s="1"/>
  <c r="C2288" i="5" s="1"/>
  <c r="D2288" i="2"/>
  <c r="E2288" i="2" s="1"/>
  <c r="B2288" i="5" s="1"/>
  <c r="B2288" i="2"/>
  <c r="C2288" i="2" s="1"/>
  <c r="A2288" i="5" s="1"/>
  <c r="O2287" i="2"/>
  <c r="L2287" i="2"/>
  <c r="M2287" i="2" s="1"/>
  <c r="N2287" i="2" s="1"/>
  <c r="I2287" i="2"/>
  <c r="J2287" i="2" s="1"/>
  <c r="K2287" i="2" s="1"/>
  <c r="F2287" i="2"/>
  <c r="G2287" i="2" s="1"/>
  <c r="H2287" i="2" s="1"/>
  <c r="C2287" i="5" s="1"/>
  <c r="D2287" i="2"/>
  <c r="E2287" i="2" s="1"/>
  <c r="B2287" i="5" s="1"/>
  <c r="B2287" i="2"/>
  <c r="C2287" i="2" s="1"/>
  <c r="A2287" i="5" s="1"/>
  <c r="O2286" i="2"/>
  <c r="L2286" i="2"/>
  <c r="M2286" i="2" s="1"/>
  <c r="N2286" i="2" s="1"/>
  <c r="I2286" i="2"/>
  <c r="J2286" i="2" s="1"/>
  <c r="K2286" i="2" s="1"/>
  <c r="F2286" i="2"/>
  <c r="G2286" i="2" s="1"/>
  <c r="H2286" i="2" s="1"/>
  <c r="C2286" i="5" s="1"/>
  <c r="D2286" i="2"/>
  <c r="E2286" i="2" s="1"/>
  <c r="B2286" i="5" s="1"/>
  <c r="B2286" i="2"/>
  <c r="C2286" i="2" s="1"/>
  <c r="A2286" i="5" s="1"/>
  <c r="O2285" i="2"/>
  <c r="L2285" i="2"/>
  <c r="M2285" i="2" s="1"/>
  <c r="N2285" i="2" s="1"/>
  <c r="I2285" i="2"/>
  <c r="J2285" i="2" s="1"/>
  <c r="K2285" i="2" s="1"/>
  <c r="F2285" i="2"/>
  <c r="G2285" i="2" s="1"/>
  <c r="H2285" i="2" s="1"/>
  <c r="C2285" i="5" s="1"/>
  <c r="D2285" i="2"/>
  <c r="E2285" i="2" s="1"/>
  <c r="B2285" i="5" s="1"/>
  <c r="B2285" i="2"/>
  <c r="C2285" i="2" s="1"/>
  <c r="A2285" i="5" s="1"/>
  <c r="O2284" i="2"/>
  <c r="L2284" i="2"/>
  <c r="M2284" i="2" s="1"/>
  <c r="N2284" i="2" s="1"/>
  <c r="I2284" i="2"/>
  <c r="J2284" i="2" s="1"/>
  <c r="K2284" i="2" s="1"/>
  <c r="F2284" i="2"/>
  <c r="G2284" i="2" s="1"/>
  <c r="H2284" i="2" s="1"/>
  <c r="C2284" i="5" s="1"/>
  <c r="D2284" i="2"/>
  <c r="E2284" i="2" s="1"/>
  <c r="B2284" i="5" s="1"/>
  <c r="B2284" i="2"/>
  <c r="C2284" i="2" s="1"/>
  <c r="A2284" i="5" s="1"/>
  <c r="O2283" i="2"/>
  <c r="L2283" i="2"/>
  <c r="M2283" i="2" s="1"/>
  <c r="N2283" i="2" s="1"/>
  <c r="I2283" i="2"/>
  <c r="J2283" i="2" s="1"/>
  <c r="K2283" i="2" s="1"/>
  <c r="F2283" i="2"/>
  <c r="G2283" i="2" s="1"/>
  <c r="H2283" i="2" s="1"/>
  <c r="C2283" i="5" s="1"/>
  <c r="D2283" i="2"/>
  <c r="E2283" i="2" s="1"/>
  <c r="B2283" i="5" s="1"/>
  <c r="B2283" i="2"/>
  <c r="C2283" i="2" s="1"/>
  <c r="A2283" i="5" s="1"/>
  <c r="O2282" i="2"/>
  <c r="L2282" i="2"/>
  <c r="M2282" i="2" s="1"/>
  <c r="N2282" i="2" s="1"/>
  <c r="I2282" i="2"/>
  <c r="J2282" i="2" s="1"/>
  <c r="K2282" i="2" s="1"/>
  <c r="F2282" i="2"/>
  <c r="G2282" i="2" s="1"/>
  <c r="H2282" i="2" s="1"/>
  <c r="C2282" i="5" s="1"/>
  <c r="D2282" i="2"/>
  <c r="E2282" i="2" s="1"/>
  <c r="B2282" i="5" s="1"/>
  <c r="B2282" i="2"/>
  <c r="C2282" i="2" s="1"/>
  <c r="A2282" i="5" s="1"/>
  <c r="O2281" i="2"/>
  <c r="L2281" i="2"/>
  <c r="M2281" i="2" s="1"/>
  <c r="N2281" i="2" s="1"/>
  <c r="I2281" i="2"/>
  <c r="J2281" i="2" s="1"/>
  <c r="K2281" i="2" s="1"/>
  <c r="F2281" i="2"/>
  <c r="G2281" i="2" s="1"/>
  <c r="H2281" i="2" s="1"/>
  <c r="C2281" i="5" s="1"/>
  <c r="D2281" i="2"/>
  <c r="E2281" i="2" s="1"/>
  <c r="B2281" i="5" s="1"/>
  <c r="B2281" i="2"/>
  <c r="C2281" i="2" s="1"/>
  <c r="A2281" i="5" s="1"/>
  <c r="O2280" i="2"/>
  <c r="L2280" i="2"/>
  <c r="M2280" i="2" s="1"/>
  <c r="N2280" i="2" s="1"/>
  <c r="I2280" i="2"/>
  <c r="J2280" i="2" s="1"/>
  <c r="K2280" i="2" s="1"/>
  <c r="F2280" i="2"/>
  <c r="G2280" i="2" s="1"/>
  <c r="H2280" i="2" s="1"/>
  <c r="C2280" i="5" s="1"/>
  <c r="D2280" i="2"/>
  <c r="E2280" i="2" s="1"/>
  <c r="B2280" i="5" s="1"/>
  <c r="B2280" i="2"/>
  <c r="C2280" i="2" s="1"/>
  <c r="A2280" i="5" s="1"/>
  <c r="O2279" i="2"/>
  <c r="L2279" i="2"/>
  <c r="M2279" i="2" s="1"/>
  <c r="N2279" i="2" s="1"/>
  <c r="I2279" i="2"/>
  <c r="J2279" i="2" s="1"/>
  <c r="K2279" i="2" s="1"/>
  <c r="F2279" i="2"/>
  <c r="G2279" i="2" s="1"/>
  <c r="H2279" i="2" s="1"/>
  <c r="C2279" i="5" s="1"/>
  <c r="D2279" i="2"/>
  <c r="E2279" i="2" s="1"/>
  <c r="B2279" i="5" s="1"/>
  <c r="B2279" i="2"/>
  <c r="C2279" i="2" s="1"/>
  <c r="A2279" i="5" s="1"/>
  <c r="O2278" i="2"/>
  <c r="L2278" i="2"/>
  <c r="M2278" i="2" s="1"/>
  <c r="N2278" i="2" s="1"/>
  <c r="I2278" i="2"/>
  <c r="J2278" i="2" s="1"/>
  <c r="K2278" i="2" s="1"/>
  <c r="F2278" i="2"/>
  <c r="G2278" i="2" s="1"/>
  <c r="H2278" i="2" s="1"/>
  <c r="C2278" i="5" s="1"/>
  <c r="D2278" i="2"/>
  <c r="E2278" i="2" s="1"/>
  <c r="B2278" i="5" s="1"/>
  <c r="B2278" i="2"/>
  <c r="C2278" i="2" s="1"/>
  <c r="A2278" i="5" s="1"/>
  <c r="O2277" i="2"/>
  <c r="L2277" i="2"/>
  <c r="M2277" i="2" s="1"/>
  <c r="N2277" i="2" s="1"/>
  <c r="I2277" i="2"/>
  <c r="J2277" i="2" s="1"/>
  <c r="K2277" i="2" s="1"/>
  <c r="F2277" i="2"/>
  <c r="G2277" i="2" s="1"/>
  <c r="H2277" i="2" s="1"/>
  <c r="C2277" i="5" s="1"/>
  <c r="D2277" i="2"/>
  <c r="E2277" i="2" s="1"/>
  <c r="B2277" i="5" s="1"/>
  <c r="B2277" i="2"/>
  <c r="C2277" i="2" s="1"/>
  <c r="A2277" i="5" s="1"/>
  <c r="O2276" i="2"/>
  <c r="L2276" i="2"/>
  <c r="M2276" i="2" s="1"/>
  <c r="N2276" i="2" s="1"/>
  <c r="I2276" i="2"/>
  <c r="J2276" i="2" s="1"/>
  <c r="K2276" i="2" s="1"/>
  <c r="F2276" i="2"/>
  <c r="G2276" i="2" s="1"/>
  <c r="H2276" i="2" s="1"/>
  <c r="C2276" i="5" s="1"/>
  <c r="D2276" i="2"/>
  <c r="E2276" i="2" s="1"/>
  <c r="B2276" i="5" s="1"/>
  <c r="B2276" i="2"/>
  <c r="C2276" i="2" s="1"/>
  <c r="A2276" i="5" s="1"/>
  <c r="O2275" i="2"/>
  <c r="L2275" i="2"/>
  <c r="M2275" i="2" s="1"/>
  <c r="N2275" i="2" s="1"/>
  <c r="I2275" i="2"/>
  <c r="J2275" i="2" s="1"/>
  <c r="K2275" i="2" s="1"/>
  <c r="F2275" i="2"/>
  <c r="G2275" i="2" s="1"/>
  <c r="H2275" i="2" s="1"/>
  <c r="C2275" i="5" s="1"/>
  <c r="D2275" i="2"/>
  <c r="E2275" i="2" s="1"/>
  <c r="B2275" i="5" s="1"/>
  <c r="B2275" i="2"/>
  <c r="C2275" i="2" s="1"/>
  <c r="A2275" i="5" s="1"/>
  <c r="O2274" i="2"/>
  <c r="L2274" i="2"/>
  <c r="M2274" i="2" s="1"/>
  <c r="N2274" i="2" s="1"/>
  <c r="I2274" i="2"/>
  <c r="J2274" i="2" s="1"/>
  <c r="K2274" i="2" s="1"/>
  <c r="F2274" i="2"/>
  <c r="G2274" i="2" s="1"/>
  <c r="H2274" i="2" s="1"/>
  <c r="C2274" i="5" s="1"/>
  <c r="D2274" i="2"/>
  <c r="E2274" i="2" s="1"/>
  <c r="B2274" i="5" s="1"/>
  <c r="B2274" i="2"/>
  <c r="C2274" i="2" s="1"/>
  <c r="A2274" i="5" s="1"/>
  <c r="O2273" i="2"/>
  <c r="L2273" i="2"/>
  <c r="M2273" i="2" s="1"/>
  <c r="N2273" i="2" s="1"/>
  <c r="I2273" i="2"/>
  <c r="J2273" i="2" s="1"/>
  <c r="K2273" i="2" s="1"/>
  <c r="F2273" i="2"/>
  <c r="G2273" i="2" s="1"/>
  <c r="H2273" i="2" s="1"/>
  <c r="C2273" i="5" s="1"/>
  <c r="D2273" i="2"/>
  <c r="E2273" i="2" s="1"/>
  <c r="B2273" i="5" s="1"/>
  <c r="B2273" i="2"/>
  <c r="C2273" i="2" s="1"/>
  <c r="A2273" i="5" s="1"/>
  <c r="O2272" i="2"/>
  <c r="L2272" i="2"/>
  <c r="M2272" i="2" s="1"/>
  <c r="N2272" i="2" s="1"/>
  <c r="I2272" i="2"/>
  <c r="J2272" i="2" s="1"/>
  <c r="K2272" i="2" s="1"/>
  <c r="F2272" i="2"/>
  <c r="G2272" i="2" s="1"/>
  <c r="H2272" i="2" s="1"/>
  <c r="C2272" i="5" s="1"/>
  <c r="D2272" i="2"/>
  <c r="E2272" i="2" s="1"/>
  <c r="B2272" i="5" s="1"/>
  <c r="B2272" i="2"/>
  <c r="C2272" i="2" s="1"/>
  <c r="A2272" i="5" s="1"/>
  <c r="O2271" i="2"/>
  <c r="L2271" i="2"/>
  <c r="M2271" i="2" s="1"/>
  <c r="N2271" i="2" s="1"/>
  <c r="I2271" i="2"/>
  <c r="J2271" i="2" s="1"/>
  <c r="K2271" i="2" s="1"/>
  <c r="F2271" i="2"/>
  <c r="G2271" i="2" s="1"/>
  <c r="H2271" i="2" s="1"/>
  <c r="C2271" i="5" s="1"/>
  <c r="D2271" i="2"/>
  <c r="E2271" i="2" s="1"/>
  <c r="B2271" i="5" s="1"/>
  <c r="B2271" i="2"/>
  <c r="C2271" i="2" s="1"/>
  <c r="A2271" i="5" s="1"/>
  <c r="O2270" i="2"/>
  <c r="L2270" i="2"/>
  <c r="M2270" i="2" s="1"/>
  <c r="N2270" i="2" s="1"/>
  <c r="I2270" i="2"/>
  <c r="J2270" i="2" s="1"/>
  <c r="K2270" i="2" s="1"/>
  <c r="F2270" i="2"/>
  <c r="G2270" i="2" s="1"/>
  <c r="H2270" i="2" s="1"/>
  <c r="C2270" i="5" s="1"/>
  <c r="D2270" i="2"/>
  <c r="E2270" i="2" s="1"/>
  <c r="B2270" i="5" s="1"/>
  <c r="B2270" i="2"/>
  <c r="C2270" i="2" s="1"/>
  <c r="A2270" i="5" s="1"/>
  <c r="O2269" i="2"/>
  <c r="L2269" i="2"/>
  <c r="M2269" i="2" s="1"/>
  <c r="N2269" i="2" s="1"/>
  <c r="I2269" i="2"/>
  <c r="J2269" i="2" s="1"/>
  <c r="K2269" i="2" s="1"/>
  <c r="F2269" i="2"/>
  <c r="G2269" i="2" s="1"/>
  <c r="H2269" i="2" s="1"/>
  <c r="C2269" i="5" s="1"/>
  <c r="D2269" i="2"/>
  <c r="E2269" i="2" s="1"/>
  <c r="B2269" i="5" s="1"/>
  <c r="B2269" i="2"/>
  <c r="C2269" i="2" s="1"/>
  <c r="A2269" i="5" s="1"/>
  <c r="O2268" i="2"/>
  <c r="L2268" i="2"/>
  <c r="M2268" i="2" s="1"/>
  <c r="N2268" i="2" s="1"/>
  <c r="I2268" i="2"/>
  <c r="J2268" i="2" s="1"/>
  <c r="K2268" i="2" s="1"/>
  <c r="F2268" i="2"/>
  <c r="G2268" i="2" s="1"/>
  <c r="H2268" i="2" s="1"/>
  <c r="C2268" i="5" s="1"/>
  <c r="D2268" i="2"/>
  <c r="E2268" i="2" s="1"/>
  <c r="B2268" i="5" s="1"/>
  <c r="B2268" i="2"/>
  <c r="C2268" i="2" s="1"/>
  <c r="A2268" i="5" s="1"/>
  <c r="O2267" i="2"/>
  <c r="L2267" i="2"/>
  <c r="M2267" i="2" s="1"/>
  <c r="N2267" i="2" s="1"/>
  <c r="I2267" i="2"/>
  <c r="J2267" i="2" s="1"/>
  <c r="K2267" i="2" s="1"/>
  <c r="F2267" i="2"/>
  <c r="G2267" i="2" s="1"/>
  <c r="H2267" i="2" s="1"/>
  <c r="C2267" i="5" s="1"/>
  <c r="D2267" i="2"/>
  <c r="E2267" i="2" s="1"/>
  <c r="B2267" i="5" s="1"/>
  <c r="B2267" i="2"/>
  <c r="C2267" i="2" s="1"/>
  <c r="A2267" i="5" s="1"/>
  <c r="O2266" i="2"/>
  <c r="L2266" i="2"/>
  <c r="M2266" i="2" s="1"/>
  <c r="N2266" i="2" s="1"/>
  <c r="I2266" i="2"/>
  <c r="J2266" i="2" s="1"/>
  <c r="K2266" i="2" s="1"/>
  <c r="F2266" i="2"/>
  <c r="G2266" i="2" s="1"/>
  <c r="H2266" i="2" s="1"/>
  <c r="C2266" i="5" s="1"/>
  <c r="D2266" i="2"/>
  <c r="E2266" i="2" s="1"/>
  <c r="B2266" i="5" s="1"/>
  <c r="B2266" i="2"/>
  <c r="C2266" i="2" s="1"/>
  <c r="A2266" i="5" s="1"/>
  <c r="O2265" i="2"/>
  <c r="L2265" i="2"/>
  <c r="M2265" i="2" s="1"/>
  <c r="N2265" i="2" s="1"/>
  <c r="I2265" i="2"/>
  <c r="J2265" i="2" s="1"/>
  <c r="K2265" i="2" s="1"/>
  <c r="F2265" i="2"/>
  <c r="G2265" i="2" s="1"/>
  <c r="H2265" i="2" s="1"/>
  <c r="C2265" i="5" s="1"/>
  <c r="D2265" i="2"/>
  <c r="E2265" i="2" s="1"/>
  <c r="B2265" i="5" s="1"/>
  <c r="B2265" i="2"/>
  <c r="C2265" i="2" s="1"/>
  <c r="A2265" i="5" s="1"/>
  <c r="O2264" i="2"/>
  <c r="L2264" i="2"/>
  <c r="M2264" i="2" s="1"/>
  <c r="N2264" i="2" s="1"/>
  <c r="I2264" i="2"/>
  <c r="J2264" i="2" s="1"/>
  <c r="K2264" i="2" s="1"/>
  <c r="F2264" i="2"/>
  <c r="G2264" i="2" s="1"/>
  <c r="H2264" i="2" s="1"/>
  <c r="C2264" i="5" s="1"/>
  <c r="D2264" i="2"/>
  <c r="E2264" i="2" s="1"/>
  <c r="B2264" i="5" s="1"/>
  <c r="B2264" i="2"/>
  <c r="C2264" i="2" s="1"/>
  <c r="A2264" i="5" s="1"/>
  <c r="O2263" i="2"/>
  <c r="L2263" i="2"/>
  <c r="M2263" i="2" s="1"/>
  <c r="N2263" i="2" s="1"/>
  <c r="I2263" i="2"/>
  <c r="J2263" i="2" s="1"/>
  <c r="K2263" i="2" s="1"/>
  <c r="F2263" i="2"/>
  <c r="G2263" i="2" s="1"/>
  <c r="H2263" i="2" s="1"/>
  <c r="C2263" i="5" s="1"/>
  <c r="D2263" i="2"/>
  <c r="E2263" i="2" s="1"/>
  <c r="B2263" i="5" s="1"/>
  <c r="B2263" i="2"/>
  <c r="C2263" i="2" s="1"/>
  <c r="A2263" i="5" s="1"/>
  <c r="O2262" i="2"/>
  <c r="L2262" i="2"/>
  <c r="M2262" i="2" s="1"/>
  <c r="N2262" i="2" s="1"/>
  <c r="I2262" i="2"/>
  <c r="J2262" i="2" s="1"/>
  <c r="K2262" i="2" s="1"/>
  <c r="F2262" i="2"/>
  <c r="G2262" i="2" s="1"/>
  <c r="H2262" i="2" s="1"/>
  <c r="C2262" i="5" s="1"/>
  <c r="D2262" i="2"/>
  <c r="E2262" i="2" s="1"/>
  <c r="B2262" i="5" s="1"/>
  <c r="B2262" i="2"/>
  <c r="C2262" i="2" s="1"/>
  <c r="A2262" i="5" s="1"/>
  <c r="O2261" i="2"/>
  <c r="L2261" i="2"/>
  <c r="M2261" i="2" s="1"/>
  <c r="N2261" i="2" s="1"/>
  <c r="I2261" i="2"/>
  <c r="J2261" i="2" s="1"/>
  <c r="K2261" i="2" s="1"/>
  <c r="F2261" i="2"/>
  <c r="G2261" i="2" s="1"/>
  <c r="H2261" i="2" s="1"/>
  <c r="C2261" i="5" s="1"/>
  <c r="D2261" i="2"/>
  <c r="E2261" i="2" s="1"/>
  <c r="B2261" i="5" s="1"/>
  <c r="B2261" i="2"/>
  <c r="C2261" i="2" s="1"/>
  <c r="A2261" i="5" s="1"/>
  <c r="O2260" i="2"/>
  <c r="L2260" i="2"/>
  <c r="M2260" i="2" s="1"/>
  <c r="N2260" i="2" s="1"/>
  <c r="I2260" i="2"/>
  <c r="J2260" i="2" s="1"/>
  <c r="K2260" i="2" s="1"/>
  <c r="F2260" i="2"/>
  <c r="G2260" i="2" s="1"/>
  <c r="H2260" i="2" s="1"/>
  <c r="C2260" i="5" s="1"/>
  <c r="D2260" i="2"/>
  <c r="E2260" i="2" s="1"/>
  <c r="B2260" i="5" s="1"/>
  <c r="B2260" i="2"/>
  <c r="C2260" i="2" s="1"/>
  <c r="A2260" i="5" s="1"/>
  <c r="O2259" i="2"/>
  <c r="L2259" i="2"/>
  <c r="M2259" i="2" s="1"/>
  <c r="N2259" i="2" s="1"/>
  <c r="I2259" i="2"/>
  <c r="J2259" i="2" s="1"/>
  <c r="K2259" i="2" s="1"/>
  <c r="F2259" i="2"/>
  <c r="G2259" i="2" s="1"/>
  <c r="H2259" i="2" s="1"/>
  <c r="C2259" i="5" s="1"/>
  <c r="D2259" i="2"/>
  <c r="E2259" i="2" s="1"/>
  <c r="B2259" i="5" s="1"/>
  <c r="B2259" i="2"/>
  <c r="C2259" i="2" s="1"/>
  <c r="A2259" i="5" s="1"/>
  <c r="O2258" i="2"/>
  <c r="L2258" i="2"/>
  <c r="M2258" i="2" s="1"/>
  <c r="N2258" i="2" s="1"/>
  <c r="I2258" i="2"/>
  <c r="J2258" i="2" s="1"/>
  <c r="K2258" i="2" s="1"/>
  <c r="F2258" i="2"/>
  <c r="G2258" i="2" s="1"/>
  <c r="H2258" i="2" s="1"/>
  <c r="C2258" i="5" s="1"/>
  <c r="D2258" i="2"/>
  <c r="E2258" i="2" s="1"/>
  <c r="B2258" i="5" s="1"/>
  <c r="B2258" i="2"/>
  <c r="C2258" i="2" s="1"/>
  <c r="A2258" i="5" s="1"/>
  <c r="O2257" i="2"/>
  <c r="L2257" i="2"/>
  <c r="M2257" i="2" s="1"/>
  <c r="N2257" i="2" s="1"/>
  <c r="I2257" i="2"/>
  <c r="J2257" i="2" s="1"/>
  <c r="K2257" i="2" s="1"/>
  <c r="F2257" i="2"/>
  <c r="G2257" i="2" s="1"/>
  <c r="H2257" i="2" s="1"/>
  <c r="C2257" i="5" s="1"/>
  <c r="D2257" i="2"/>
  <c r="E2257" i="2" s="1"/>
  <c r="B2257" i="5" s="1"/>
  <c r="B2257" i="2"/>
  <c r="C2257" i="2" s="1"/>
  <c r="A2257" i="5" s="1"/>
  <c r="O2256" i="2"/>
  <c r="L2256" i="2"/>
  <c r="M2256" i="2" s="1"/>
  <c r="N2256" i="2" s="1"/>
  <c r="I2256" i="2"/>
  <c r="J2256" i="2" s="1"/>
  <c r="K2256" i="2" s="1"/>
  <c r="F2256" i="2"/>
  <c r="G2256" i="2" s="1"/>
  <c r="H2256" i="2" s="1"/>
  <c r="C2256" i="5" s="1"/>
  <c r="D2256" i="2"/>
  <c r="E2256" i="2" s="1"/>
  <c r="B2256" i="5" s="1"/>
  <c r="B2256" i="2"/>
  <c r="C2256" i="2" s="1"/>
  <c r="A2256" i="5" s="1"/>
  <c r="O2255" i="2"/>
  <c r="L2255" i="2"/>
  <c r="M2255" i="2" s="1"/>
  <c r="N2255" i="2" s="1"/>
  <c r="I2255" i="2"/>
  <c r="J2255" i="2" s="1"/>
  <c r="K2255" i="2" s="1"/>
  <c r="F2255" i="2"/>
  <c r="G2255" i="2" s="1"/>
  <c r="H2255" i="2" s="1"/>
  <c r="C2255" i="5" s="1"/>
  <c r="D2255" i="2"/>
  <c r="E2255" i="2" s="1"/>
  <c r="B2255" i="5" s="1"/>
  <c r="B2255" i="2"/>
  <c r="C2255" i="2" s="1"/>
  <c r="A2255" i="5" s="1"/>
  <c r="O2254" i="2"/>
  <c r="L2254" i="2"/>
  <c r="M2254" i="2" s="1"/>
  <c r="N2254" i="2" s="1"/>
  <c r="I2254" i="2"/>
  <c r="J2254" i="2" s="1"/>
  <c r="K2254" i="2" s="1"/>
  <c r="F2254" i="2"/>
  <c r="G2254" i="2" s="1"/>
  <c r="H2254" i="2" s="1"/>
  <c r="C2254" i="5" s="1"/>
  <c r="D2254" i="2"/>
  <c r="E2254" i="2" s="1"/>
  <c r="B2254" i="5" s="1"/>
  <c r="B2254" i="2"/>
  <c r="C2254" i="2" s="1"/>
  <c r="A2254" i="5" s="1"/>
  <c r="O2253" i="2"/>
  <c r="L2253" i="2"/>
  <c r="M2253" i="2" s="1"/>
  <c r="N2253" i="2" s="1"/>
  <c r="I2253" i="2"/>
  <c r="J2253" i="2" s="1"/>
  <c r="K2253" i="2" s="1"/>
  <c r="F2253" i="2"/>
  <c r="G2253" i="2" s="1"/>
  <c r="H2253" i="2" s="1"/>
  <c r="C2253" i="5" s="1"/>
  <c r="D2253" i="2"/>
  <c r="E2253" i="2" s="1"/>
  <c r="B2253" i="5" s="1"/>
  <c r="B2253" i="2"/>
  <c r="C2253" i="2" s="1"/>
  <c r="A2253" i="5" s="1"/>
  <c r="O2252" i="2"/>
  <c r="L2252" i="2"/>
  <c r="M2252" i="2" s="1"/>
  <c r="N2252" i="2" s="1"/>
  <c r="I2252" i="2"/>
  <c r="J2252" i="2" s="1"/>
  <c r="K2252" i="2" s="1"/>
  <c r="F2252" i="2"/>
  <c r="G2252" i="2" s="1"/>
  <c r="H2252" i="2" s="1"/>
  <c r="C2252" i="5" s="1"/>
  <c r="D2252" i="2"/>
  <c r="E2252" i="2" s="1"/>
  <c r="B2252" i="5" s="1"/>
  <c r="B2252" i="2"/>
  <c r="C2252" i="2" s="1"/>
  <c r="A2252" i="5" s="1"/>
  <c r="O2251" i="2"/>
  <c r="L2251" i="2"/>
  <c r="M2251" i="2" s="1"/>
  <c r="N2251" i="2" s="1"/>
  <c r="I2251" i="2"/>
  <c r="J2251" i="2" s="1"/>
  <c r="K2251" i="2" s="1"/>
  <c r="F2251" i="2"/>
  <c r="G2251" i="2" s="1"/>
  <c r="H2251" i="2" s="1"/>
  <c r="C2251" i="5" s="1"/>
  <c r="D2251" i="2"/>
  <c r="E2251" i="2" s="1"/>
  <c r="B2251" i="5" s="1"/>
  <c r="B2251" i="2"/>
  <c r="C2251" i="2" s="1"/>
  <c r="A2251" i="5" s="1"/>
  <c r="O2250" i="2"/>
  <c r="L2250" i="2"/>
  <c r="M2250" i="2" s="1"/>
  <c r="N2250" i="2" s="1"/>
  <c r="I2250" i="2"/>
  <c r="J2250" i="2" s="1"/>
  <c r="K2250" i="2" s="1"/>
  <c r="F2250" i="2"/>
  <c r="G2250" i="2" s="1"/>
  <c r="H2250" i="2" s="1"/>
  <c r="C2250" i="5" s="1"/>
  <c r="D2250" i="2"/>
  <c r="E2250" i="2" s="1"/>
  <c r="B2250" i="5" s="1"/>
  <c r="B2250" i="2"/>
  <c r="C2250" i="2" s="1"/>
  <c r="A2250" i="5" s="1"/>
  <c r="O2249" i="2"/>
  <c r="L2249" i="2"/>
  <c r="M2249" i="2" s="1"/>
  <c r="N2249" i="2" s="1"/>
  <c r="I2249" i="2"/>
  <c r="J2249" i="2" s="1"/>
  <c r="K2249" i="2" s="1"/>
  <c r="F2249" i="2"/>
  <c r="G2249" i="2" s="1"/>
  <c r="H2249" i="2" s="1"/>
  <c r="C2249" i="5" s="1"/>
  <c r="D2249" i="2"/>
  <c r="E2249" i="2" s="1"/>
  <c r="B2249" i="5" s="1"/>
  <c r="B2249" i="2"/>
  <c r="C2249" i="2" s="1"/>
  <c r="A2249" i="5" s="1"/>
  <c r="O2248" i="2"/>
  <c r="L2248" i="2"/>
  <c r="M2248" i="2" s="1"/>
  <c r="N2248" i="2" s="1"/>
  <c r="I2248" i="2"/>
  <c r="J2248" i="2" s="1"/>
  <c r="K2248" i="2" s="1"/>
  <c r="F2248" i="2"/>
  <c r="G2248" i="2" s="1"/>
  <c r="H2248" i="2" s="1"/>
  <c r="C2248" i="5" s="1"/>
  <c r="D2248" i="2"/>
  <c r="E2248" i="2" s="1"/>
  <c r="B2248" i="5" s="1"/>
  <c r="B2248" i="2"/>
  <c r="C2248" i="2" s="1"/>
  <c r="A2248" i="5" s="1"/>
  <c r="O2247" i="2"/>
  <c r="L2247" i="2"/>
  <c r="M2247" i="2" s="1"/>
  <c r="N2247" i="2" s="1"/>
  <c r="I2247" i="2"/>
  <c r="J2247" i="2" s="1"/>
  <c r="K2247" i="2" s="1"/>
  <c r="F2247" i="2"/>
  <c r="G2247" i="2" s="1"/>
  <c r="H2247" i="2" s="1"/>
  <c r="C2247" i="5" s="1"/>
  <c r="D2247" i="2"/>
  <c r="E2247" i="2" s="1"/>
  <c r="B2247" i="5" s="1"/>
  <c r="B2247" i="2"/>
  <c r="C2247" i="2" s="1"/>
  <c r="A2247" i="5" s="1"/>
  <c r="O2246" i="2"/>
  <c r="L2246" i="2"/>
  <c r="M2246" i="2" s="1"/>
  <c r="N2246" i="2" s="1"/>
  <c r="I2246" i="2"/>
  <c r="J2246" i="2" s="1"/>
  <c r="K2246" i="2" s="1"/>
  <c r="F2246" i="2"/>
  <c r="G2246" i="2" s="1"/>
  <c r="H2246" i="2" s="1"/>
  <c r="C2246" i="5" s="1"/>
  <c r="D2246" i="2"/>
  <c r="E2246" i="2" s="1"/>
  <c r="B2246" i="5" s="1"/>
  <c r="B2246" i="2"/>
  <c r="C2246" i="2" s="1"/>
  <c r="A2246" i="5" s="1"/>
  <c r="O2245" i="2"/>
  <c r="L2245" i="2"/>
  <c r="M2245" i="2" s="1"/>
  <c r="N2245" i="2" s="1"/>
  <c r="I2245" i="2"/>
  <c r="J2245" i="2" s="1"/>
  <c r="K2245" i="2" s="1"/>
  <c r="F2245" i="2"/>
  <c r="G2245" i="2" s="1"/>
  <c r="H2245" i="2" s="1"/>
  <c r="C2245" i="5" s="1"/>
  <c r="D2245" i="2"/>
  <c r="E2245" i="2" s="1"/>
  <c r="B2245" i="5" s="1"/>
  <c r="B2245" i="2"/>
  <c r="C2245" i="2" s="1"/>
  <c r="A2245" i="5" s="1"/>
  <c r="O2244" i="2"/>
  <c r="L2244" i="2"/>
  <c r="M2244" i="2" s="1"/>
  <c r="N2244" i="2" s="1"/>
  <c r="I2244" i="2"/>
  <c r="J2244" i="2" s="1"/>
  <c r="K2244" i="2" s="1"/>
  <c r="F2244" i="2"/>
  <c r="G2244" i="2" s="1"/>
  <c r="H2244" i="2" s="1"/>
  <c r="C2244" i="5" s="1"/>
  <c r="D2244" i="2"/>
  <c r="E2244" i="2" s="1"/>
  <c r="B2244" i="5" s="1"/>
  <c r="B2244" i="2"/>
  <c r="C2244" i="2" s="1"/>
  <c r="A2244" i="5" s="1"/>
  <c r="O2243" i="2"/>
  <c r="L2243" i="2"/>
  <c r="M2243" i="2" s="1"/>
  <c r="N2243" i="2" s="1"/>
  <c r="I2243" i="2"/>
  <c r="J2243" i="2" s="1"/>
  <c r="K2243" i="2" s="1"/>
  <c r="F2243" i="2"/>
  <c r="G2243" i="2" s="1"/>
  <c r="H2243" i="2" s="1"/>
  <c r="C2243" i="5" s="1"/>
  <c r="D2243" i="2"/>
  <c r="E2243" i="2" s="1"/>
  <c r="B2243" i="5" s="1"/>
  <c r="B2243" i="2"/>
  <c r="C2243" i="2" s="1"/>
  <c r="A2243" i="5" s="1"/>
  <c r="O2242" i="2"/>
  <c r="L2242" i="2"/>
  <c r="M2242" i="2" s="1"/>
  <c r="N2242" i="2" s="1"/>
  <c r="I2242" i="2"/>
  <c r="J2242" i="2" s="1"/>
  <c r="K2242" i="2" s="1"/>
  <c r="F2242" i="2"/>
  <c r="G2242" i="2" s="1"/>
  <c r="H2242" i="2" s="1"/>
  <c r="C2242" i="5" s="1"/>
  <c r="D2242" i="2"/>
  <c r="E2242" i="2" s="1"/>
  <c r="B2242" i="5" s="1"/>
  <c r="B2242" i="2"/>
  <c r="C2242" i="2" s="1"/>
  <c r="A2242" i="5" s="1"/>
  <c r="O2241" i="2"/>
  <c r="L2241" i="2"/>
  <c r="M2241" i="2" s="1"/>
  <c r="N2241" i="2" s="1"/>
  <c r="I2241" i="2"/>
  <c r="J2241" i="2" s="1"/>
  <c r="K2241" i="2" s="1"/>
  <c r="F2241" i="2"/>
  <c r="G2241" i="2" s="1"/>
  <c r="H2241" i="2" s="1"/>
  <c r="C2241" i="5" s="1"/>
  <c r="D2241" i="2"/>
  <c r="E2241" i="2" s="1"/>
  <c r="B2241" i="5" s="1"/>
  <c r="B2241" i="2"/>
  <c r="C2241" i="2" s="1"/>
  <c r="A2241" i="5" s="1"/>
  <c r="O2240" i="2"/>
  <c r="L2240" i="2"/>
  <c r="M2240" i="2" s="1"/>
  <c r="N2240" i="2" s="1"/>
  <c r="I2240" i="2"/>
  <c r="J2240" i="2" s="1"/>
  <c r="K2240" i="2" s="1"/>
  <c r="F2240" i="2"/>
  <c r="G2240" i="2" s="1"/>
  <c r="H2240" i="2" s="1"/>
  <c r="C2240" i="5" s="1"/>
  <c r="D2240" i="2"/>
  <c r="E2240" i="2" s="1"/>
  <c r="B2240" i="5" s="1"/>
  <c r="B2240" i="2"/>
  <c r="C2240" i="2" s="1"/>
  <c r="A2240" i="5" s="1"/>
  <c r="O2239" i="2"/>
  <c r="L2239" i="2"/>
  <c r="M2239" i="2" s="1"/>
  <c r="N2239" i="2" s="1"/>
  <c r="I2239" i="2"/>
  <c r="J2239" i="2" s="1"/>
  <c r="K2239" i="2" s="1"/>
  <c r="F2239" i="2"/>
  <c r="G2239" i="2" s="1"/>
  <c r="H2239" i="2" s="1"/>
  <c r="C2239" i="5" s="1"/>
  <c r="D2239" i="2"/>
  <c r="E2239" i="2" s="1"/>
  <c r="B2239" i="5" s="1"/>
  <c r="B2239" i="2"/>
  <c r="C2239" i="2" s="1"/>
  <c r="A2239" i="5" s="1"/>
  <c r="O2238" i="2"/>
  <c r="L2238" i="2"/>
  <c r="M2238" i="2" s="1"/>
  <c r="N2238" i="2" s="1"/>
  <c r="I2238" i="2"/>
  <c r="J2238" i="2" s="1"/>
  <c r="K2238" i="2" s="1"/>
  <c r="F2238" i="2"/>
  <c r="G2238" i="2" s="1"/>
  <c r="H2238" i="2" s="1"/>
  <c r="C2238" i="5" s="1"/>
  <c r="D2238" i="2"/>
  <c r="E2238" i="2" s="1"/>
  <c r="B2238" i="5" s="1"/>
  <c r="B2238" i="2"/>
  <c r="C2238" i="2" s="1"/>
  <c r="A2238" i="5" s="1"/>
  <c r="O2237" i="2"/>
  <c r="L2237" i="2"/>
  <c r="M2237" i="2" s="1"/>
  <c r="N2237" i="2" s="1"/>
  <c r="I2237" i="2"/>
  <c r="J2237" i="2" s="1"/>
  <c r="K2237" i="2" s="1"/>
  <c r="F2237" i="2"/>
  <c r="G2237" i="2" s="1"/>
  <c r="H2237" i="2" s="1"/>
  <c r="C2237" i="5" s="1"/>
  <c r="D2237" i="2"/>
  <c r="E2237" i="2" s="1"/>
  <c r="B2237" i="5" s="1"/>
  <c r="B2237" i="2"/>
  <c r="C2237" i="2" s="1"/>
  <c r="A2237" i="5" s="1"/>
  <c r="O2236" i="2"/>
  <c r="L2236" i="2"/>
  <c r="M2236" i="2" s="1"/>
  <c r="N2236" i="2" s="1"/>
  <c r="I2236" i="2"/>
  <c r="J2236" i="2" s="1"/>
  <c r="K2236" i="2" s="1"/>
  <c r="F2236" i="2"/>
  <c r="G2236" i="2" s="1"/>
  <c r="H2236" i="2" s="1"/>
  <c r="C2236" i="5" s="1"/>
  <c r="D2236" i="2"/>
  <c r="E2236" i="2" s="1"/>
  <c r="B2236" i="5" s="1"/>
  <c r="B2236" i="2"/>
  <c r="C2236" i="2" s="1"/>
  <c r="A2236" i="5" s="1"/>
  <c r="O2235" i="2"/>
  <c r="L2235" i="2"/>
  <c r="M2235" i="2" s="1"/>
  <c r="N2235" i="2" s="1"/>
  <c r="I2235" i="2"/>
  <c r="J2235" i="2" s="1"/>
  <c r="K2235" i="2" s="1"/>
  <c r="F2235" i="2"/>
  <c r="G2235" i="2" s="1"/>
  <c r="H2235" i="2" s="1"/>
  <c r="C2235" i="5" s="1"/>
  <c r="D2235" i="2"/>
  <c r="E2235" i="2" s="1"/>
  <c r="B2235" i="5" s="1"/>
  <c r="B2235" i="2"/>
  <c r="C2235" i="2" s="1"/>
  <c r="A2235" i="5" s="1"/>
  <c r="O2234" i="2"/>
  <c r="L2234" i="2"/>
  <c r="M2234" i="2" s="1"/>
  <c r="N2234" i="2" s="1"/>
  <c r="I2234" i="2"/>
  <c r="J2234" i="2" s="1"/>
  <c r="K2234" i="2" s="1"/>
  <c r="F2234" i="2"/>
  <c r="G2234" i="2" s="1"/>
  <c r="H2234" i="2" s="1"/>
  <c r="C2234" i="5" s="1"/>
  <c r="D2234" i="2"/>
  <c r="E2234" i="2" s="1"/>
  <c r="B2234" i="5" s="1"/>
  <c r="B2234" i="2"/>
  <c r="C2234" i="2" s="1"/>
  <c r="A2234" i="5" s="1"/>
  <c r="O2233" i="2"/>
  <c r="L2233" i="2"/>
  <c r="M2233" i="2" s="1"/>
  <c r="N2233" i="2" s="1"/>
  <c r="I2233" i="2"/>
  <c r="J2233" i="2" s="1"/>
  <c r="K2233" i="2" s="1"/>
  <c r="F2233" i="2"/>
  <c r="G2233" i="2" s="1"/>
  <c r="H2233" i="2" s="1"/>
  <c r="C2233" i="5" s="1"/>
  <c r="D2233" i="2"/>
  <c r="E2233" i="2" s="1"/>
  <c r="B2233" i="5" s="1"/>
  <c r="B2233" i="2"/>
  <c r="C2233" i="2" s="1"/>
  <c r="A2233" i="5" s="1"/>
  <c r="O2232" i="2"/>
  <c r="L2232" i="2"/>
  <c r="M2232" i="2" s="1"/>
  <c r="N2232" i="2" s="1"/>
  <c r="I2232" i="2"/>
  <c r="J2232" i="2" s="1"/>
  <c r="K2232" i="2" s="1"/>
  <c r="F2232" i="2"/>
  <c r="G2232" i="2" s="1"/>
  <c r="H2232" i="2" s="1"/>
  <c r="C2232" i="5" s="1"/>
  <c r="D2232" i="2"/>
  <c r="E2232" i="2" s="1"/>
  <c r="B2232" i="5" s="1"/>
  <c r="B2232" i="2"/>
  <c r="C2232" i="2" s="1"/>
  <c r="A2232" i="5" s="1"/>
  <c r="O2231" i="2"/>
  <c r="L2231" i="2"/>
  <c r="M2231" i="2" s="1"/>
  <c r="N2231" i="2" s="1"/>
  <c r="I2231" i="2"/>
  <c r="J2231" i="2" s="1"/>
  <c r="K2231" i="2" s="1"/>
  <c r="F2231" i="2"/>
  <c r="G2231" i="2" s="1"/>
  <c r="H2231" i="2" s="1"/>
  <c r="C2231" i="5" s="1"/>
  <c r="D2231" i="2"/>
  <c r="E2231" i="2" s="1"/>
  <c r="B2231" i="5" s="1"/>
  <c r="B2231" i="2"/>
  <c r="C2231" i="2" s="1"/>
  <c r="A2231" i="5" s="1"/>
  <c r="O2230" i="2"/>
  <c r="L2230" i="2"/>
  <c r="M2230" i="2" s="1"/>
  <c r="N2230" i="2" s="1"/>
  <c r="I2230" i="2"/>
  <c r="J2230" i="2" s="1"/>
  <c r="K2230" i="2" s="1"/>
  <c r="F2230" i="2"/>
  <c r="G2230" i="2" s="1"/>
  <c r="H2230" i="2" s="1"/>
  <c r="C2230" i="5" s="1"/>
  <c r="D2230" i="2"/>
  <c r="E2230" i="2" s="1"/>
  <c r="B2230" i="5" s="1"/>
  <c r="B2230" i="2"/>
  <c r="C2230" i="2" s="1"/>
  <c r="A2230" i="5" s="1"/>
  <c r="O2229" i="2"/>
  <c r="L2229" i="2"/>
  <c r="M2229" i="2" s="1"/>
  <c r="N2229" i="2" s="1"/>
  <c r="I2229" i="2"/>
  <c r="J2229" i="2" s="1"/>
  <c r="K2229" i="2" s="1"/>
  <c r="F2229" i="2"/>
  <c r="G2229" i="2" s="1"/>
  <c r="H2229" i="2" s="1"/>
  <c r="C2229" i="5" s="1"/>
  <c r="D2229" i="2"/>
  <c r="E2229" i="2" s="1"/>
  <c r="B2229" i="5" s="1"/>
  <c r="B2229" i="2"/>
  <c r="C2229" i="2" s="1"/>
  <c r="A2229" i="5" s="1"/>
  <c r="O2228" i="2"/>
  <c r="L2228" i="2"/>
  <c r="M2228" i="2" s="1"/>
  <c r="N2228" i="2" s="1"/>
  <c r="I2228" i="2"/>
  <c r="J2228" i="2" s="1"/>
  <c r="K2228" i="2" s="1"/>
  <c r="F2228" i="2"/>
  <c r="G2228" i="2" s="1"/>
  <c r="H2228" i="2" s="1"/>
  <c r="C2228" i="5" s="1"/>
  <c r="D2228" i="2"/>
  <c r="E2228" i="2" s="1"/>
  <c r="B2228" i="5" s="1"/>
  <c r="B2228" i="2"/>
  <c r="C2228" i="2" s="1"/>
  <c r="A2228" i="5" s="1"/>
  <c r="O2227" i="2"/>
  <c r="L2227" i="2"/>
  <c r="M2227" i="2" s="1"/>
  <c r="N2227" i="2" s="1"/>
  <c r="I2227" i="2"/>
  <c r="J2227" i="2" s="1"/>
  <c r="K2227" i="2" s="1"/>
  <c r="F2227" i="2"/>
  <c r="G2227" i="2" s="1"/>
  <c r="H2227" i="2" s="1"/>
  <c r="C2227" i="5" s="1"/>
  <c r="D2227" i="2"/>
  <c r="E2227" i="2" s="1"/>
  <c r="B2227" i="5" s="1"/>
  <c r="B2227" i="2"/>
  <c r="C2227" i="2" s="1"/>
  <c r="A2227" i="5" s="1"/>
  <c r="O2226" i="2"/>
  <c r="L2226" i="2"/>
  <c r="M2226" i="2" s="1"/>
  <c r="N2226" i="2" s="1"/>
  <c r="I2226" i="2"/>
  <c r="J2226" i="2" s="1"/>
  <c r="K2226" i="2" s="1"/>
  <c r="F2226" i="2"/>
  <c r="G2226" i="2" s="1"/>
  <c r="H2226" i="2" s="1"/>
  <c r="C2226" i="5" s="1"/>
  <c r="D2226" i="2"/>
  <c r="E2226" i="2" s="1"/>
  <c r="B2226" i="5" s="1"/>
  <c r="B2226" i="2"/>
  <c r="C2226" i="2" s="1"/>
  <c r="A2226" i="5" s="1"/>
  <c r="O2225" i="2"/>
  <c r="L2225" i="2"/>
  <c r="M2225" i="2" s="1"/>
  <c r="N2225" i="2" s="1"/>
  <c r="I2225" i="2"/>
  <c r="J2225" i="2" s="1"/>
  <c r="K2225" i="2" s="1"/>
  <c r="F2225" i="2"/>
  <c r="G2225" i="2" s="1"/>
  <c r="H2225" i="2" s="1"/>
  <c r="C2225" i="5" s="1"/>
  <c r="D2225" i="2"/>
  <c r="E2225" i="2" s="1"/>
  <c r="B2225" i="5" s="1"/>
  <c r="B2225" i="2"/>
  <c r="C2225" i="2" s="1"/>
  <c r="A2225" i="5" s="1"/>
  <c r="O2224" i="2"/>
  <c r="L2224" i="2"/>
  <c r="M2224" i="2" s="1"/>
  <c r="N2224" i="2" s="1"/>
  <c r="I2224" i="2"/>
  <c r="J2224" i="2" s="1"/>
  <c r="K2224" i="2" s="1"/>
  <c r="F2224" i="2"/>
  <c r="G2224" i="2" s="1"/>
  <c r="H2224" i="2" s="1"/>
  <c r="C2224" i="5" s="1"/>
  <c r="D2224" i="2"/>
  <c r="E2224" i="2" s="1"/>
  <c r="B2224" i="5" s="1"/>
  <c r="B2224" i="2"/>
  <c r="C2224" i="2" s="1"/>
  <c r="A2224" i="5" s="1"/>
  <c r="O2223" i="2"/>
  <c r="L2223" i="2"/>
  <c r="M2223" i="2" s="1"/>
  <c r="N2223" i="2" s="1"/>
  <c r="I2223" i="2"/>
  <c r="J2223" i="2" s="1"/>
  <c r="K2223" i="2" s="1"/>
  <c r="F2223" i="2"/>
  <c r="G2223" i="2" s="1"/>
  <c r="H2223" i="2" s="1"/>
  <c r="C2223" i="5" s="1"/>
  <c r="D2223" i="2"/>
  <c r="E2223" i="2" s="1"/>
  <c r="B2223" i="5" s="1"/>
  <c r="B2223" i="2"/>
  <c r="C2223" i="2" s="1"/>
  <c r="A2223" i="5" s="1"/>
  <c r="O2222" i="2"/>
  <c r="L2222" i="2"/>
  <c r="M2222" i="2" s="1"/>
  <c r="N2222" i="2" s="1"/>
  <c r="I2222" i="2"/>
  <c r="J2222" i="2" s="1"/>
  <c r="K2222" i="2" s="1"/>
  <c r="F2222" i="2"/>
  <c r="G2222" i="2" s="1"/>
  <c r="H2222" i="2" s="1"/>
  <c r="C2222" i="5" s="1"/>
  <c r="D2222" i="2"/>
  <c r="E2222" i="2" s="1"/>
  <c r="B2222" i="5" s="1"/>
  <c r="B2222" i="2"/>
  <c r="C2222" i="2" s="1"/>
  <c r="A2222" i="5" s="1"/>
  <c r="O2221" i="2"/>
  <c r="L2221" i="2"/>
  <c r="M2221" i="2" s="1"/>
  <c r="N2221" i="2" s="1"/>
  <c r="I2221" i="2"/>
  <c r="J2221" i="2" s="1"/>
  <c r="K2221" i="2" s="1"/>
  <c r="F2221" i="2"/>
  <c r="G2221" i="2" s="1"/>
  <c r="H2221" i="2" s="1"/>
  <c r="C2221" i="5" s="1"/>
  <c r="D2221" i="2"/>
  <c r="E2221" i="2" s="1"/>
  <c r="B2221" i="5" s="1"/>
  <c r="B2221" i="2"/>
  <c r="C2221" i="2" s="1"/>
  <c r="A2221" i="5" s="1"/>
  <c r="O2220" i="2"/>
  <c r="L2220" i="2"/>
  <c r="M2220" i="2" s="1"/>
  <c r="N2220" i="2" s="1"/>
  <c r="I2220" i="2"/>
  <c r="J2220" i="2" s="1"/>
  <c r="K2220" i="2" s="1"/>
  <c r="F2220" i="2"/>
  <c r="G2220" i="2" s="1"/>
  <c r="H2220" i="2" s="1"/>
  <c r="C2220" i="5" s="1"/>
  <c r="D2220" i="2"/>
  <c r="E2220" i="2" s="1"/>
  <c r="B2220" i="5" s="1"/>
  <c r="B2220" i="2"/>
  <c r="C2220" i="2" s="1"/>
  <c r="A2220" i="5" s="1"/>
  <c r="O2219" i="2"/>
  <c r="L2219" i="2"/>
  <c r="M2219" i="2" s="1"/>
  <c r="N2219" i="2" s="1"/>
  <c r="I2219" i="2"/>
  <c r="J2219" i="2" s="1"/>
  <c r="K2219" i="2" s="1"/>
  <c r="F2219" i="2"/>
  <c r="G2219" i="2" s="1"/>
  <c r="H2219" i="2" s="1"/>
  <c r="C2219" i="5" s="1"/>
  <c r="D2219" i="2"/>
  <c r="E2219" i="2" s="1"/>
  <c r="B2219" i="5" s="1"/>
  <c r="B2219" i="2"/>
  <c r="C2219" i="2" s="1"/>
  <c r="A2219" i="5" s="1"/>
  <c r="O2218" i="2"/>
  <c r="L2218" i="2"/>
  <c r="M2218" i="2" s="1"/>
  <c r="N2218" i="2" s="1"/>
  <c r="I2218" i="2"/>
  <c r="J2218" i="2" s="1"/>
  <c r="K2218" i="2" s="1"/>
  <c r="F2218" i="2"/>
  <c r="G2218" i="2" s="1"/>
  <c r="H2218" i="2" s="1"/>
  <c r="C2218" i="5" s="1"/>
  <c r="D2218" i="2"/>
  <c r="E2218" i="2" s="1"/>
  <c r="B2218" i="5" s="1"/>
  <c r="B2218" i="2"/>
  <c r="C2218" i="2" s="1"/>
  <c r="A2218" i="5" s="1"/>
  <c r="O2217" i="2"/>
  <c r="L2217" i="2"/>
  <c r="M2217" i="2" s="1"/>
  <c r="N2217" i="2" s="1"/>
  <c r="I2217" i="2"/>
  <c r="J2217" i="2" s="1"/>
  <c r="K2217" i="2" s="1"/>
  <c r="F2217" i="2"/>
  <c r="G2217" i="2" s="1"/>
  <c r="H2217" i="2" s="1"/>
  <c r="C2217" i="5" s="1"/>
  <c r="D2217" i="2"/>
  <c r="E2217" i="2" s="1"/>
  <c r="B2217" i="5" s="1"/>
  <c r="B2217" i="2"/>
  <c r="C2217" i="2" s="1"/>
  <c r="A2217" i="5" s="1"/>
  <c r="O2216" i="2"/>
  <c r="L2216" i="2"/>
  <c r="M2216" i="2" s="1"/>
  <c r="N2216" i="2" s="1"/>
  <c r="I2216" i="2"/>
  <c r="J2216" i="2" s="1"/>
  <c r="K2216" i="2" s="1"/>
  <c r="F2216" i="2"/>
  <c r="G2216" i="2" s="1"/>
  <c r="H2216" i="2" s="1"/>
  <c r="C2216" i="5" s="1"/>
  <c r="D2216" i="2"/>
  <c r="E2216" i="2" s="1"/>
  <c r="B2216" i="5" s="1"/>
  <c r="B2216" i="2"/>
  <c r="C2216" i="2" s="1"/>
  <c r="A2216" i="5" s="1"/>
  <c r="O2215" i="2"/>
  <c r="L2215" i="2"/>
  <c r="M2215" i="2" s="1"/>
  <c r="N2215" i="2" s="1"/>
  <c r="I2215" i="2"/>
  <c r="J2215" i="2" s="1"/>
  <c r="K2215" i="2" s="1"/>
  <c r="F2215" i="2"/>
  <c r="G2215" i="2" s="1"/>
  <c r="H2215" i="2" s="1"/>
  <c r="C2215" i="5" s="1"/>
  <c r="D2215" i="2"/>
  <c r="E2215" i="2" s="1"/>
  <c r="B2215" i="5" s="1"/>
  <c r="B2215" i="2"/>
  <c r="C2215" i="2" s="1"/>
  <c r="A2215" i="5" s="1"/>
  <c r="O2214" i="2"/>
  <c r="L2214" i="2"/>
  <c r="M2214" i="2" s="1"/>
  <c r="N2214" i="2" s="1"/>
  <c r="I2214" i="2"/>
  <c r="J2214" i="2" s="1"/>
  <c r="K2214" i="2" s="1"/>
  <c r="F2214" i="2"/>
  <c r="G2214" i="2" s="1"/>
  <c r="H2214" i="2" s="1"/>
  <c r="C2214" i="5" s="1"/>
  <c r="D2214" i="2"/>
  <c r="E2214" i="2" s="1"/>
  <c r="B2214" i="5" s="1"/>
  <c r="B2214" i="2"/>
  <c r="C2214" i="2" s="1"/>
  <c r="A2214" i="5" s="1"/>
  <c r="O2213" i="2"/>
  <c r="L2213" i="2"/>
  <c r="M2213" i="2" s="1"/>
  <c r="N2213" i="2" s="1"/>
  <c r="I2213" i="2"/>
  <c r="J2213" i="2" s="1"/>
  <c r="K2213" i="2" s="1"/>
  <c r="F2213" i="2"/>
  <c r="G2213" i="2" s="1"/>
  <c r="H2213" i="2" s="1"/>
  <c r="C2213" i="5" s="1"/>
  <c r="D2213" i="2"/>
  <c r="E2213" i="2" s="1"/>
  <c r="B2213" i="5" s="1"/>
  <c r="B2213" i="2"/>
  <c r="C2213" i="2" s="1"/>
  <c r="A2213" i="5" s="1"/>
  <c r="O2212" i="2"/>
  <c r="L2212" i="2"/>
  <c r="M2212" i="2" s="1"/>
  <c r="N2212" i="2" s="1"/>
  <c r="I2212" i="2"/>
  <c r="J2212" i="2" s="1"/>
  <c r="K2212" i="2" s="1"/>
  <c r="F2212" i="2"/>
  <c r="G2212" i="2" s="1"/>
  <c r="H2212" i="2" s="1"/>
  <c r="C2212" i="5" s="1"/>
  <c r="D2212" i="2"/>
  <c r="E2212" i="2" s="1"/>
  <c r="B2212" i="5" s="1"/>
  <c r="B2212" i="2"/>
  <c r="C2212" i="2" s="1"/>
  <c r="A2212" i="5" s="1"/>
  <c r="O2211" i="2"/>
  <c r="L2211" i="2"/>
  <c r="M2211" i="2" s="1"/>
  <c r="N2211" i="2" s="1"/>
  <c r="I2211" i="2"/>
  <c r="J2211" i="2" s="1"/>
  <c r="K2211" i="2" s="1"/>
  <c r="F2211" i="2"/>
  <c r="G2211" i="2" s="1"/>
  <c r="H2211" i="2" s="1"/>
  <c r="C2211" i="5" s="1"/>
  <c r="D2211" i="2"/>
  <c r="E2211" i="2" s="1"/>
  <c r="B2211" i="5" s="1"/>
  <c r="B2211" i="2"/>
  <c r="C2211" i="2" s="1"/>
  <c r="A2211" i="5" s="1"/>
  <c r="O2210" i="2"/>
  <c r="L2210" i="2"/>
  <c r="M2210" i="2" s="1"/>
  <c r="N2210" i="2" s="1"/>
  <c r="I2210" i="2"/>
  <c r="J2210" i="2" s="1"/>
  <c r="K2210" i="2" s="1"/>
  <c r="F2210" i="2"/>
  <c r="G2210" i="2" s="1"/>
  <c r="H2210" i="2" s="1"/>
  <c r="C2210" i="5" s="1"/>
  <c r="D2210" i="2"/>
  <c r="E2210" i="2" s="1"/>
  <c r="B2210" i="5" s="1"/>
  <c r="B2210" i="2"/>
  <c r="C2210" i="2" s="1"/>
  <c r="A2210" i="5" s="1"/>
  <c r="O2209" i="2"/>
  <c r="L2209" i="2"/>
  <c r="M2209" i="2" s="1"/>
  <c r="N2209" i="2" s="1"/>
  <c r="I2209" i="2"/>
  <c r="J2209" i="2" s="1"/>
  <c r="K2209" i="2" s="1"/>
  <c r="F2209" i="2"/>
  <c r="G2209" i="2" s="1"/>
  <c r="H2209" i="2" s="1"/>
  <c r="C2209" i="5" s="1"/>
  <c r="D2209" i="2"/>
  <c r="E2209" i="2" s="1"/>
  <c r="B2209" i="5" s="1"/>
  <c r="B2209" i="2"/>
  <c r="C2209" i="2" s="1"/>
  <c r="A2209" i="5" s="1"/>
  <c r="O2208" i="2"/>
  <c r="L2208" i="2"/>
  <c r="M2208" i="2" s="1"/>
  <c r="N2208" i="2" s="1"/>
  <c r="I2208" i="2"/>
  <c r="J2208" i="2" s="1"/>
  <c r="K2208" i="2" s="1"/>
  <c r="F2208" i="2"/>
  <c r="G2208" i="2" s="1"/>
  <c r="H2208" i="2" s="1"/>
  <c r="C2208" i="5" s="1"/>
  <c r="D2208" i="2"/>
  <c r="E2208" i="2" s="1"/>
  <c r="B2208" i="5" s="1"/>
  <c r="B2208" i="2"/>
  <c r="C2208" i="2" s="1"/>
  <c r="A2208" i="5" s="1"/>
  <c r="O2207" i="2"/>
  <c r="L2207" i="2"/>
  <c r="M2207" i="2" s="1"/>
  <c r="N2207" i="2" s="1"/>
  <c r="I2207" i="2"/>
  <c r="J2207" i="2" s="1"/>
  <c r="K2207" i="2" s="1"/>
  <c r="F2207" i="2"/>
  <c r="G2207" i="2" s="1"/>
  <c r="H2207" i="2" s="1"/>
  <c r="C2207" i="5" s="1"/>
  <c r="D2207" i="2"/>
  <c r="E2207" i="2" s="1"/>
  <c r="B2207" i="5" s="1"/>
  <c r="B2207" i="2"/>
  <c r="C2207" i="2" s="1"/>
  <c r="A2207" i="5" s="1"/>
  <c r="O2206" i="2"/>
  <c r="L2206" i="2"/>
  <c r="M2206" i="2" s="1"/>
  <c r="N2206" i="2" s="1"/>
  <c r="I2206" i="2"/>
  <c r="J2206" i="2" s="1"/>
  <c r="K2206" i="2" s="1"/>
  <c r="F2206" i="2"/>
  <c r="G2206" i="2" s="1"/>
  <c r="H2206" i="2" s="1"/>
  <c r="C2206" i="5" s="1"/>
  <c r="D2206" i="2"/>
  <c r="E2206" i="2" s="1"/>
  <c r="B2206" i="5" s="1"/>
  <c r="B2206" i="2"/>
  <c r="C2206" i="2" s="1"/>
  <c r="A2206" i="5" s="1"/>
  <c r="O2205" i="2"/>
  <c r="L2205" i="2"/>
  <c r="M2205" i="2" s="1"/>
  <c r="N2205" i="2" s="1"/>
  <c r="I2205" i="2"/>
  <c r="J2205" i="2" s="1"/>
  <c r="K2205" i="2" s="1"/>
  <c r="F2205" i="2"/>
  <c r="G2205" i="2" s="1"/>
  <c r="H2205" i="2" s="1"/>
  <c r="C2205" i="5" s="1"/>
  <c r="D2205" i="2"/>
  <c r="E2205" i="2" s="1"/>
  <c r="B2205" i="5" s="1"/>
  <c r="B2205" i="2"/>
  <c r="C2205" i="2" s="1"/>
  <c r="A2205" i="5" s="1"/>
  <c r="O2204" i="2"/>
  <c r="L2204" i="2"/>
  <c r="M2204" i="2" s="1"/>
  <c r="N2204" i="2" s="1"/>
  <c r="I2204" i="2"/>
  <c r="J2204" i="2" s="1"/>
  <c r="K2204" i="2" s="1"/>
  <c r="F2204" i="2"/>
  <c r="G2204" i="2" s="1"/>
  <c r="H2204" i="2" s="1"/>
  <c r="C2204" i="5" s="1"/>
  <c r="D2204" i="2"/>
  <c r="E2204" i="2" s="1"/>
  <c r="B2204" i="5" s="1"/>
  <c r="B2204" i="2"/>
  <c r="C2204" i="2" s="1"/>
  <c r="A2204" i="5" s="1"/>
  <c r="O2203" i="2"/>
  <c r="L2203" i="2"/>
  <c r="M2203" i="2" s="1"/>
  <c r="N2203" i="2" s="1"/>
  <c r="I2203" i="2"/>
  <c r="J2203" i="2" s="1"/>
  <c r="K2203" i="2" s="1"/>
  <c r="F2203" i="2"/>
  <c r="G2203" i="2" s="1"/>
  <c r="H2203" i="2" s="1"/>
  <c r="C2203" i="5" s="1"/>
  <c r="D2203" i="2"/>
  <c r="E2203" i="2" s="1"/>
  <c r="B2203" i="5" s="1"/>
  <c r="B2203" i="2"/>
  <c r="C2203" i="2" s="1"/>
  <c r="A2203" i="5" s="1"/>
  <c r="O2202" i="2"/>
  <c r="L2202" i="2"/>
  <c r="M2202" i="2" s="1"/>
  <c r="N2202" i="2" s="1"/>
  <c r="I2202" i="2"/>
  <c r="J2202" i="2" s="1"/>
  <c r="K2202" i="2" s="1"/>
  <c r="F2202" i="2"/>
  <c r="G2202" i="2" s="1"/>
  <c r="H2202" i="2" s="1"/>
  <c r="C2202" i="5" s="1"/>
  <c r="D2202" i="2"/>
  <c r="E2202" i="2" s="1"/>
  <c r="B2202" i="5" s="1"/>
  <c r="B2202" i="2"/>
  <c r="C2202" i="2" s="1"/>
  <c r="A2202" i="5" s="1"/>
  <c r="O2201" i="2"/>
  <c r="L2201" i="2"/>
  <c r="M2201" i="2" s="1"/>
  <c r="N2201" i="2" s="1"/>
  <c r="I2201" i="2"/>
  <c r="J2201" i="2" s="1"/>
  <c r="K2201" i="2" s="1"/>
  <c r="F2201" i="2"/>
  <c r="G2201" i="2" s="1"/>
  <c r="H2201" i="2" s="1"/>
  <c r="C2201" i="5" s="1"/>
  <c r="D2201" i="2"/>
  <c r="E2201" i="2" s="1"/>
  <c r="B2201" i="5" s="1"/>
  <c r="B2201" i="2"/>
  <c r="C2201" i="2" s="1"/>
  <c r="A2201" i="5" s="1"/>
  <c r="O2200" i="2"/>
  <c r="L2200" i="2"/>
  <c r="M2200" i="2" s="1"/>
  <c r="N2200" i="2" s="1"/>
  <c r="I2200" i="2"/>
  <c r="J2200" i="2" s="1"/>
  <c r="K2200" i="2" s="1"/>
  <c r="F2200" i="2"/>
  <c r="G2200" i="2" s="1"/>
  <c r="H2200" i="2" s="1"/>
  <c r="C2200" i="5" s="1"/>
  <c r="D2200" i="2"/>
  <c r="E2200" i="2" s="1"/>
  <c r="B2200" i="5" s="1"/>
  <c r="B2200" i="2"/>
  <c r="C2200" i="2" s="1"/>
  <c r="A2200" i="5" s="1"/>
  <c r="O2199" i="2"/>
  <c r="L2199" i="2"/>
  <c r="M2199" i="2" s="1"/>
  <c r="N2199" i="2" s="1"/>
  <c r="I2199" i="2"/>
  <c r="J2199" i="2" s="1"/>
  <c r="K2199" i="2" s="1"/>
  <c r="F2199" i="2"/>
  <c r="G2199" i="2" s="1"/>
  <c r="H2199" i="2" s="1"/>
  <c r="C2199" i="5" s="1"/>
  <c r="D2199" i="2"/>
  <c r="E2199" i="2" s="1"/>
  <c r="B2199" i="5" s="1"/>
  <c r="B2199" i="2"/>
  <c r="C2199" i="2" s="1"/>
  <c r="O2198" i="2"/>
  <c r="L2198" i="2"/>
  <c r="M2198" i="2" s="1"/>
  <c r="N2198" i="2" s="1"/>
  <c r="I2198" i="2"/>
  <c r="J2198" i="2" s="1"/>
  <c r="K2198" i="2" s="1"/>
  <c r="F2198" i="2"/>
  <c r="G2198" i="2" s="1"/>
  <c r="H2198" i="2" s="1"/>
  <c r="C2198" i="5" s="1"/>
  <c r="D2198" i="2"/>
  <c r="E2198" i="2" s="1"/>
  <c r="B2198" i="5" s="1"/>
  <c r="B2198" i="2"/>
  <c r="C2198" i="2" s="1"/>
  <c r="O2197" i="2"/>
  <c r="L2197" i="2"/>
  <c r="M2197" i="2" s="1"/>
  <c r="N2197" i="2" s="1"/>
  <c r="I2197" i="2"/>
  <c r="J2197" i="2" s="1"/>
  <c r="K2197" i="2" s="1"/>
  <c r="F2197" i="2"/>
  <c r="G2197" i="2" s="1"/>
  <c r="H2197" i="2" s="1"/>
  <c r="C2197" i="5" s="1"/>
  <c r="D2197" i="2"/>
  <c r="E2197" i="2" s="1"/>
  <c r="B2197" i="5" s="1"/>
  <c r="B2197" i="2"/>
  <c r="C2197" i="2" s="1"/>
  <c r="O2196" i="2"/>
  <c r="L2196" i="2"/>
  <c r="M2196" i="2" s="1"/>
  <c r="N2196" i="2" s="1"/>
  <c r="I2196" i="2"/>
  <c r="J2196" i="2" s="1"/>
  <c r="K2196" i="2" s="1"/>
  <c r="F2196" i="2"/>
  <c r="G2196" i="2" s="1"/>
  <c r="H2196" i="2" s="1"/>
  <c r="C2196" i="5" s="1"/>
  <c r="D2196" i="2"/>
  <c r="E2196" i="2" s="1"/>
  <c r="B2196" i="5" s="1"/>
  <c r="B2196" i="2"/>
  <c r="C2196" i="2" s="1"/>
  <c r="O2195" i="2"/>
  <c r="L2195" i="2"/>
  <c r="M2195" i="2" s="1"/>
  <c r="N2195" i="2" s="1"/>
  <c r="I2195" i="2"/>
  <c r="J2195" i="2" s="1"/>
  <c r="K2195" i="2" s="1"/>
  <c r="F2195" i="2"/>
  <c r="G2195" i="2" s="1"/>
  <c r="H2195" i="2" s="1"/>
  <c r="C2195" i="5" s="1"/>
  <c r="D2195" i="2"/>
  <c r="E2195" i="2" s="1"/>
  <c r="B2195" i="5" s="1"/>
  <c r="B2195" i="2"/>
  <c r="C2195" i="2" s="1"/>
  <c r="O2194" i="2"/>
  <c r="L2194" i="2"/>
  <c r="M2194" i="2" s="1"/>
  <c r="N2194" i="2" s="1"/>
  <c r="I2194" i="2"/>
  <c r="J2194" i="2" s="1"/>
  <c r="K2194" i="2" s="1"/>
  <c r="F2194" i="2"/>
  <c r="G2194" i="2" s="1"/>
  <c r="H2194" i="2" s="1"/>
  <c r="C2194" i="5" s="1"/>
  <c r="D2194" i="2"/>
  <c r="E2194" i="2" s="1"/>
  <c r="B2194" i="5" s="1"/>
  <c r="B2194" i="2"/>
  <c r="C2194" i="2" s="1"/>
  <c r="O2193" i="2"/>
  <c r="L2193" i="2"/>
  <c r="M2193" i="2" s="1"/>
  <c r="N2193" i="2" s="1"/>
  <c r="I2193" i="2"/>
  <c r="J2193" i="2" s="1"/>
  <c r="K2193" i="2" s="1"/>
  <c r="F2193" i="2"/>
  <c r="G2193" i="2" s="1"/>
  <c r="H2193" i="2" s="1"/>
  <c r="C2193" i="5" s="1"/>
  <c r="D2193" i="2"/>
  <c r="E2193" i="2" s="1"/>
  <c r="B2193" i="5" s="1"/>
  <c r="B2193" i="2"/>
  <c r="C2193" i="2" s="1"/>
  <c r="O2192" i="2"/>
  <c r="L2192" i="2"/>
  <c r="M2192" i="2" s="1"/>
  <c r="N2192" i="2" s="1"/>
  <c r="I2192" i="2"/>
  <c r="J2192" i="2" s="1"/>
  <c r="K2192" i="2" s="1"/>
  <c r="F2192" i="2"/>
  <c r="G2192" i="2" s="1"/>
  <c r="H2192" i="2" s="1"/>
  <c r="C2192" i="5" s="1"/>
  <c r="D2192" i="2"/>
  <c r="E2192" i="2" s="1"/>
  <c r="B2192" i="5" s="1"/>
  <c r="B2192" i="2"/>
  <c r="C2192" i="2" s="1"/>
  <c r="O2191" i="2"/>
  <c r="L2191" i="2"/>
  <c r="M2191" i="2" s="1"/>
  <c r="N2191" i="2" s="1"/>
  <c r="I2191" i="2"/>
  <c r="J2191" i="2" s="1"/>
  <c r="K2191" i="2" s="1"/>
  <c r="F2191" i="2"/>
  <c r="G2191" i="2" s="1"/>
  <c r="H2191" i="2" s="1"/>
  <c r="C2191" i="5" s="1"/>
  <c r="D2191" i="2"/>
  <c r="E2191" i="2" s="1"/>
  <c r="B2191" i="5" s="1"/>
  <c r="B2191" i="2"/>
  <c r="C2191" i="2" s="1"/>
  <c r="O2190" i="2"/>
  <c r="L2190" i="2"/>
  <c r="M2190" i="2" s="1"/>
  <c r="N2190" i="2" s="1"/>
  <c r="I2190" i="2"/>
  <c r="J2190" i="2" s="1"/>
  <c r="K2190" i="2" s="1"/>
  <c r="F2190" i="2"/>
  <c r="G2190" i="2" s="1"/>
  <c r="H2190" i="2" s="1"/>
  <c r="C2190" i="5" s="1"/>
  <c r="D2190" i="2"/>
  <c r="E2190" i="2" s="1"/>
  <c r="B2190" i="5" s="1"/>
  <c r="B2190" i="2"/>
  <c r="C2190" i="2" s="1"/>
  <c r="O2189" i="2"/>
  <c r="L2189" i="2"/>
  <c r="M2189" i="2" s="1"/>
  <c r="N2189" i="2" s="1"/>
  <c r="I2189" i="2"/>
  <c r="J2189" i="2" s="1"/>
  <c r="K2189" i="2" s="1"/>
  <c r="F2189" i="2"/>
  <c r="G2189" i="2" s="1"/>
  <c r="H2189" i="2" s="1"/>
  <c r="C2189" i="5" s="1"/>
  <c r="D2189" i="2"/>
  <c r="E2189" i="2" s="1"/>
  <c r="B2189" i="5" s="1"/>
  <c r="B2189" i="2"/>
  <c r="C2189" i="2" s="1"/>
  <c r="O2188" i="2"/>
  <c r="L2188" i="2"/>
  <c r="M2188" i="2" s="1"/>
  <c r="N2188" i="2" s="1"/>
  <c r="I2188" i="2"/>
  <c r="J2188" i="2" s="1"/>
  <c r="K2188" i="2" s="1"/>
  <c r="F2188" i="2"/>
  <c r="G2188" i="2" s="1"/>
  <c r="H2188" i="2" s="1"/>
  <c r="C2188" i="5" s="1"/>
  <c r="D2188" i="2"/>
  <c r="E2188" i="2" s="1"/>
  <c r="B2188" i="5" s="1"/>
  <c r="B2188" i="2"/>
  <c r="C2188" i="2" s="1"/>
  <c r="O2187" i="2"/>
  <c r="L2187" i="2"/>
  <c r="M2187" i="2" s="1"/>
  <c r="N2187" i="2" s="1"/>
  <c r="I2187" i="2"/>
  <c r="J2187" i="2" s="1"/>
  <c r="K2187" i="2" s="1"/>
  <c r="F2187" i="2"/>
  <c r="G2187" i="2" s="1"/>
  <c r="H2187" i="2" s="1"/>
  <c r="C2187" i="5" s="1"/>
  <c r="D2187" i="2"/>
  <c r="E2187" i="2" s="1"/>
  <c r="B2187" i="5" s="1"/>
  <c r="B2187" i="2"/>
  <c r="C2187" i="2" s="1"/>
  <c r="O2186" i="2"/>
  <c r="L2186" i="2"/>
  <c r="M2186" i="2" s="1"/>
  <c r="N2186" i="2" s="1"/>
  <c r="I2186" i="2"/>
  <c r="J2186" i="2" s="1"/>
  <c r="K2186" i="2" s="1"/>
  <c r="F2186" i="2"/>
  <c r="G2186" i="2" s="1"/>
  <c r="H2186" i="2" s="1"/>
  <c r="C2186" i="5" s="1"/>
  <c r="D2186" i="2"/>
  <c r="E2186" i="2" s="1"/>
  <c r="B2186" i="5" s="1"/>
  <c r="B2186" i="2"/>
  <c r="C2186" i="2" s="1"/>
  <c r="O2185" i="2"/>
  <c r="L2185" i="2"/>
  <c r="M2185" i="2" s="1"/>
  <c r="N2185" i="2" s="1"/>
  <c r="I2185" i="2"/>
  <c r="J2185" i="2" s="1"/>
  <c r="K2185" i="2" s="1"/>
  <c r="F2185" i="2"/>
  <c r="G2185" i="2" s="1"/>
  <c r="H2185" i="2" s="1"/>
  <c r="C2185" i="5" s="1"/>
  <c r="D2185" i="2"/>
  <c r="E2185" i="2" s="1"/>
  <c r="B2185" i="5" s="1"/>
  <c r="B2185" i="2"/>
  <c r="C2185" i="2" s="1"/>
  <c r="O2184" i="2"/>
  <c r="L2184" i="2"/>
  <c r="M2184" i="2" s="1"/>
  <c r="N2184" i="2" s="1"/>
  <c r="I2184" i="2"/>
  <c r="J2184" i="2" s="1"/>
  <c r="K2184" i="2" s="1"/>
  <c r="F2184" i="2"/>
  <c r="G2184" i="2" s="1"/>
  <c r="H2184" i="2" s="1"/>
  <c r="C2184" i="5" s="1"/>
  <c r="D2184" i="2"/>
  <c r="E2184" i="2" s="1"/>
  <c r="B2184" i="5" s="1"/>
  <c r="B2184" i="2"/>
  <c r="C2184" i="2" s="1"/>
  <c r="O2183" i="2"/>
  <c r="L2183" i="2"/>
  <c r="M2183" i="2" s="1"/>
  <c r="N2183" i="2" s="1"/>
  <c r="I2183" i="2"/>
  <c r="J2183" i="2" s="1"/>
  <c r="K2183" i="2" s="1"/>
  <c r="F2183" i="2"/>
  <c r="G2183" i="2" s="1"/>
  <c r="H2183" i="2" s="1"/>
  <c r="C2183" i="5" s="1"/>
  <c r="D2183" i="2"/>
  <c r="E2183" i="2" s="1"/>
  <c r="B2183" i="5" s="1"/>
  <c r="B2183" i="2"/>
  <c r="C2183" i="2" s="1"/>
  <c r="O2182" i="2"/>
  <c r="L2182" i="2"/>
  <c r="M2182" i="2" s="1"/>
  <c r="N2182" i="2" s="1"/>
  <c r="I2182" i="2"/>
  <c r="J2182" i="2" s="1"/>
  <c r="K2182" i="2" s="1"/>
  <c r="F2182" i="2"/>
  <c r="G2182" i="2" s="1"/>
  <c r="H2182" i="2" s="1"/>
  <c r="C2182" i="5" s="1"/>
  <c r="D2182" i="2"/>
  <c r="E2182" i="2" s="1"/>
  <c r="B2182" i="5" s="1"/>
  <c r="B2182" i="2"/>
  <c r="C2182" i="2" s="1"/>
  <c r="O2181" i="2"/>
  <c r="L2181" i="2"/>
  <c r="M2181" i="2" s="1"/>
  <c r="N2181" i="2" s="1"/>
  <c r="I2181" i="2"/>
  <c r="J2181" i="2" s="1"/>
  <c r="K2181" i="2" s="1"/>
  <c r="F2181" i="2"/>
  <c r="G2181" i="2" s="1"/>
  <c r="H2181" i="2" s="1"/>
  <c r="C2181" i="5" s="1"/>
  <c r="D2181" i="2"/>
  <c r="E2181" i="2" s="1"/>
  <c r="B2181" i="5" s="1"/>
  <c r="B2181" i="2"/>
  <c r="C2181" i="2" s="1"/>
  <c r="O2180" i="2"/>
  <c r="L2180" i="2"/>
  <c r="M2180" i="2" s="1"/>
  <c r="N2180" i="2" s="1"/>
  <c r="I2180" i="2"/>
  <c r="J2180" i="2" s="1"/>
  <c r="K2180" i="2" s="1"/>
  <c r="F2180" i="2"/>
  <c r="G2180" i="2" s="1"/>
  <c r="H2180" i="2" s="1"/>
  <c r="C2180" i="5" s="1"/>
  <c r="D2180" i="2"/>
  <c r="E2180" i="2" s="1"/>
  <c r="B2180" i="5" s="1"/>
  <c r="B2180" i="2"/>
  <c r="C2180" i="2" s="1"/>
  <c r="O2179" i="2"/>
  <c r="L2179" i="2"/>
  <c r="M2179" i="2" s="1"/>
  <c r="N2179" i="2" s="1"/>
  <c r="I2179" i="2"/>
  <c r="J2179" i="2" s="1"/>
  <c r="K2179" i="2" s="1"/>
  <c r="F2179" i="2"/>
  <c r="G2179" i="2" s="1"/>
  <c r="H2179" i="2" s="1"/>
  <c r="C2179" i="5" s="1"/>
  <c r="D2179" i="2"/>
  <c r="E2179" i="2" s="1"/>
  <c r="B2179" i="5" s="1"/>
  <c r="B2179" i="2"/>
  <c r="C2179" i="2" s="1"/>
  <c r="O2178" i="2"/>
  <c r="L2178" i="2"/>
  <c r="M2178" i="2" s="1"/>
  <c r="N2178" i="2" s="1"/>
  <c r="I2178" i="2"/>
  <c r="J2178" i="2" s="1"/>
  <c r="K2178" i="2" s="1"/>
  <c r="F2178" i="2"/>
  <c r="G2178" i="2" s="1"/>
  <c r="H2178" i="2" s="1"/>
  <c r="C2178" i="5" s="1"/>
  <c r="D2178" i="2"/>
  <c r="E2178" i="2" s="1"/>
  <c r="B2178" i="5" s="1"/>
  <c r="B2178" i="2"/>
  <c r="C2178" i="2" s="1"/>
  <c r="O2177" i="2"/>
  <c r="L2177" i="2"/>
  <c r="M2177" i="2" s="1"/>
  <c r="N2177" i="2" s="1"/>
  <c r="I2177" i="2"/>
  <c r="J2177" i="2" s="1"/>
  <c r="K2177" i="2" s="1"/>
  <c r="F2177" i="2"/>
  <c r="G2177" i="2" s="1"/>
  <c r="H2177" i="2" s="1"/>
  <c r="C2177" i="5" s="1"/>
  <c r="D2177" i="2"/>
  <c r="E2177" i="2" s="1"/>
  <c r="B2177" i="5" s="1"/>
  <c r="B2177" i="2"/>
  <c r="C2177" i="2" s="1"/>
  <c r="O2176" i="2"/>
  <c r="L2176" i="2"/>
  <c r="M2176" i="2" s="1"/>
  <c r="N2176" i="2" s="1"/>
  <c r="I2176" i="2"/>
  <c r="J2176" i="2" s="1"/>
  <c r="K2176" i="2" s="1"/>
  <c r="F2176" i="2"/>
  <c r="G2176" i="2" s="1"/>
  <c r="H2176" i="2" s="1"/>
  <c r="C2176" i="5" s="1"/>
  <c r="D2176" i="2"/>
  <c r="E2176" i="2" s="1"/>
  <c r="B2176" i="5" s="1"/>
  <c r="B2176" i="2"/>
  <c r="C2176" i="2" s="1"/>
  <c r="O2175" i="2"/>
  <c r="L2175" i="2"/>
  <c r="M2175" i="2" s="1"/>
  <c r="N2175" i="2" s="1"/>
  <c r="I2175" i="2"/>
  <c r="J2175" i="2" s="1"/>
  <c r="K2175" i="2" s="1"/>
  <c r="F2175" i="2"/>
  <c r="G2175" i="2" s="1"/>
  <c r="H2175" i="2" s="1"/>
  <c r="C2175" i="5" s="1"/>
  <c r="D2175" i="2"/>
  <c r="E2175" i="2" s="1"/>
  <c r="B2175" i="5" s="1"/>
  <c r="B2175" i="2"/>
  <c r="C2175" i="2" s="1"/>
  <c r="O2174" i="2"/>
  <c r="L2174" i="2"/>
  <c r="M2174" i="2" s="1"/>
  <c r="N2174" i="2" s="1"/>
  <c r="I2174" i="2"/>
  <c r="J2174" i="2" s="1"/>
  <c r="K2174" i="2" s="1"/>
  <c r="F2174" i="2"/>
  <c r="G2174" i="2" s="1"/>
  <c r="H2174" i="2" s="1"/>
  <c r="C2174" i="5" s="1"/>
  <c r="D2174" i="2"/>
  <c r="E2174" i="2" s="1"/>
  <c r="B2174" i="5" s="1"/>
  <c r="B2174" i="2"/>
  <c r="C2174" i="2" s="1"/>
  <c r="O2173" i="2"/>
  <c r="L2173" i="2"/>
  <c r="M2173" i="2" s="1"/>
  <c r="N2173" i="2" s="1"/>
  <c r="I2173" i="2"/>
  <c r="J2173" i="2" s="1"/>
  <c r="K2173" i="2" s="1"/>
  <c r="F2173" i="2"/>
  <c r="G2173" i="2" s="1"/>
  <c r="H2173" i="2" s="1"/>
  <c r="C2173" i="5" s="1"/>
  <c r="D2173" i="2"/>
  <c r="E2173" i="2" s="1"/>
  <c r="B2173" i="5" s="1"/>
  <c r="B2173" i="2"/>
  <c r="C2173" i="2" s="1"/>
  <c r="O2172" i="2"/>
  <c r="L2172" i="2"/>
  <c r="M2172" i="2" s="1"/>
  <c r="N2172" i="2" s="1"/>
  <c r="I2172" i="2"/>
  <c r="J2172" i="2" s="1"/>
  <c r="K2172" i="2" s="1"/>
  <c r="F2172" i="2"/>
  <c r="G2172" i="2" s="1"/>
  <c r="H2172" i="2" s="1"/>
  <c r="C2172" i="5" s="1"/>
  <c r="D2172" i="2"/>
  <c r="E2172" i="2" s="1"/>
  <c r="B2172" i="5" s="1"/>
  <c r="B2172" i="2"/>
  <c r="C2172" i="2" s="1"/>
  <c r="O2171" i="2"/>
  <c r="L2171" i="2"/>
  <c r="M2171" i="2" s="1"/>
  <c r="N2171" i="2" s="1"/>
  <c r="I2171" i="2"/>
  <c r="J2171" i="2" s="1"/>
  <c r="K2171" i="2" s="1"/>
  <c r="F2171" i="2"/>
  <c r="G2171" i="2" s="1"/>
  <c r="H2171" i="2" s="1"/>
  <c r="C2171" i="5" s="1"/>
  <c r="D2171" i="2"/>
  <c r="E2171" i="2" s="1"/>
  <c r="B2171" i="5" s="1"/>
  <c r="B2171" i="2"/>
  <c r="C2171" i="2" s="1"/>
  <c r="O2170" i="2"/>
  <c r="L2170" i="2"/>
  <c r="M2170" i="2" s="1"/>
  <c r="N2170" i="2" s="1"/>
  <c r="I2170" i="2"/>
  <c r="J2170" i="2" s="1"/>
  <c r="K2170" i="2" s="1"/>
  <c r="F2170" i="2"/>
  <c r="G2170" i="2" s="1"/>
  <c r="H2170" i="2" s="1"/>
  <c r="C2170" i="5" s="1"/>
  <c r="D2170" i="2"/>
  <c r="E2170" i="2" s="1"/>
  <c r="B2170" i="5" s="1"/>
  <c r="B2170" i="2"/>
  <c r="C2170" i="2" s="1"/>
  <c r="O2169" i="2"/>
  <c r="L2169" i="2"/>
  <c r="M2169" i="2" s="1"/>
  <c r="N2169" i="2" s="1"/>
  <c r="I2169" i="2"/>
  <c r="J2169" i="2" s="1"/>
  <c r="K2169" i="2" s="1"/>
  <c r="F2169" i="2"/>
  <c r="G2169" i="2" s="1"/>
  <c r="H2169" i="2" s="1"/>
  <c r="C2169" i="5" s="1"/>
  <c r="D2169" i="2"/>
  <c r="E2169" i="2" s="1"/>
  <c r="B2169" i="5" s="1"/>
  <c r="B2169" i="2"/>
  <c r="C2169" i="2" s="1"/>
  <c r="O2168" i="2"/>
  <c r="L2168" i="2"/>
  <c r="M2168" i="2" s="1"/>
  <c r="N2168" i="2" s="1"/>
  <c r="I2168" i="2"/>
  <c r="J2168" i="2" s="1"/>
  <c r="K2168" i="2" s="1"/>
  <c r="F2168" i="2"/>
  <c r="G2168" i="2" s="1"/>
  <c r="H2168" i="2" s="1"/>
  <c r="C2168" i="5" s="1"/>
  <c r="D2168" i="2"/>
  <c r="E2168" i="2" s="1"/>
  <c r="B2168" i="5" s="1"/>
  <c r="B2168" i="2"/>
  <c r="C2168" i="2" s="1"/>
  <c r="O2167" i="2"/>
  <c r="L2167" i="2"/>
  <c r="M2167" i="2" s="1"/>
  <c r="N2167" i="2" s="1"/>
  <c r="I2167" i="2"/>
  <c r="J2167" i="2" s="1"/>
  <c r="K2167" i="2" s="1"/>
  <c r="F2167" i="2"/>
  <c r="G2167" i="2" s="1"/>
  <c r="H2167" i="2" s="1"/>
  <c r="C2167" i="5" s="1"/>
  <c r="D2167" i="2"/>
  <c r="E2167" i="2" s="1"/>
  <c r="B2167" i="5" s="1"/>
  <c r="B2167" i="2"/>
  <c r="C2167" i="2" s="1"/>
  <c r="O2166" i="2"/>
  <c r="L2166" i="2"/>
  <c r="M2166" i="2" s="1"/>
  <c r="N2166" i="2" s="1"/>
  <c r="I2166" i="2"/>
  <c r="J2166" i="2" s="1"/>
  <c r="K2166" i="2" s="1"/>
  <c r="F2166" i="2"/>
  <c r="G2166" i="2" s="1"/>
  <c r="H2166" i="2" s="1"/>
  <c r="C2166" i="5" s="1"/>
  <c r="D2166" i="2"/>
  <c r="E2166" i="2" s="1"/>
  <c r="B2166" i="5" s="1"/>
  <c r="B2166" i="2"/>
  <c r="C2166" i="2" s="1"/>
  <c r="O2165" i="2"/>
  <c r="L2165" i="2"/>
  <c r="M2165" i="2" s="1"/>
  <c r="N2165" i="2" s="1"/>
  <c r="I2165" i="2"/>
  <c r="J2165" i="2" s="1"/>
  <c r="K2165" i="2" s="1"/>
  <c r="F2165" i="2"/>
  <c r="G2165" i="2" s="1"/>
  <c r="H2165" i="2" s="1"/>
  <c r="C2165" i="5" s="1"/>
  <c r="D2165" i="2"/>
  <c r="E2165" i="2" s="1"/>
  <c r="B2165" i="5" s="1"/>
  <c r="B2165" i="2"/>
  <c r="C2165" i="2" s="1"/>
  <c r="O2164" i="2"/>
  <c r="L2164" i="2"/>
  <c r="M2164" i="2" s="1"/>
  <c r="N2164" i="2" s="1"/>
  <c r="I2164" i="2"/>
  <c r="J2164" i="2" s="1"/>
  <c r="K2164" i="2" s="1"/>
  <c r="F2164" i="2"/>
  <c r="G2164" i="2" s="1"/>
  <c r="H2164" i="2" s="1"/>
  <c r="C2164" i="5" s="1"/>
  <c r="D2164" i="2"/>
  <c r="E2164" i="2" s="1"/>
  <c r="B2164" i="5" s="1"/>
  <c r="B2164" i="2"/>
  <c r="C2164" i="2" s="1"/>
  <c r="O2163" i="2"/>
  <c r="L2163" i="2"/>
  <c r="M2163" i="2" s="1"/>
  <c r="N2163" i="2" s="1"/>
  <c r="I2163" i="2"/>
  <c r="J2163" i="2" s="1"/>
  <c r="K2163" i="2" s="1"/>
  <c r="F2163" i="2"/>
  <c r="G2163" i="2" s="1"/>
  <c r="H2163" i="2" s="1"/>
  <c r="C2163" i="5" s="1"/>
  <c r="D2163" i="2"/>
  <c r="E2163" i="2" s="1"/>
  <c r="B2163" i="5" s="1"/>
  <c r="B2163" i="2"/>
  <c r="C2163" i="2" s="1"/>
  <c r="O2162" i="2"/>
  <c r="L2162" i="2"/>
  <c r="M2162" i="2" s="1"/>
  <c r="N2162" i="2" s="1"/>
  <c r="I2162" i="2"/>
  <c r="J2162" i="2" s="1"/>
  <c r="K2162" i="2" s="1"/>
  <c r="F2162" i="2"/>
  <c r="G2162" i="2" s="1"/>
  <c r="H2162" i="2" s="1"/>
  <c r="C2162" i="5" s="1"/>
  <c r="D2162" i="2"/>
  <c r="E2162" i="2" s="1"/>
  <c r="B2162" i="5" s="1"/>
  <c r="B2162" i="2"/>
  <c r="C2162" i="2" s="1"/>
  <c r="O2161" i="2"/>
  <c r="L2161" i="2"/>
  <c r="M2161" i="2" s="1"/>
  <c r="N2161" i="2" s="1"/>
  <c r="I2161" i="2"/>
  <c r="J2161" i="2" s="1"/>
  <c r="K2161" i="2" s="1"/>
  <c r="F2161" i="2"/>
  <c r="G2161" i="2" s="1"/>
  <c r="H2161" i="2" s="1"/>
  <c r="C2161" i="5" s="1"/>
  <c r="D2161" i="2"/>
  <c r="E2161" i="2" s="1"/>
  <c r="B2161" i="5" s="1"/>
  <c r="B2161" i="2"/>
  <c r="C2161" i="2" s="1"/>
  <c r="O2160" i="2"/>
  <c r="L2160" i="2"/>
  <c r="M2160" i="2" s="1"/>
  <c r="N2160" i="2" s="1"/>
  <c r="I2160" i="2"/>
  <c r="J2160" i="2" s="1"/>
  <c r="K2160" i="2" s="1"/>
  <c r="F2160" i="2"/>
  <c r="G2160" i="2" s="1"/>
  <c r="H2160" i="2" s="1"/>
  <c r="C2160" i="5" s="1"/>
  <c r="D2160" i="2"/>
  <c r="E2160" i="2" s="1"/>
  <c r="B2160" i="5" s="1"/>
  <c r="B2160" i="2"/>
  <c r="C2160" i="2" s="1"/>
  <c r="O2159" i="2"/>
  <c r="L2159" i="2"/>
  <c r="M2159" i="2" s="1"/>
  <c r="N2159" i="2" s="1"/>
  <c r="I2159" i="2"/>
  <c r="J2159" i="2" s="1"/>
  <c r="K2159" i="2" s="1"/>
  <c r="F2159" i="2"/>
  <c r="G2159" i="2" s="1"/>
  <c r="H2159" i="2" s="1"/>
  <c r="C2159" i="5" s="1"/>
  <c r="D2159" i="2"/>
  <c r="E2159" i="2" s="1"/>
  <c r="B2159" i="5" s="1"/>
  <c r="B2159" i="2"/>
  <c r="C2159" i="2" s="1"/>
  <c r="O2158" i="2"/>
  <c r="L2158" i="2"/>
  <c r="M2158" i="2" s="1"/>
  <c r="N2158" i="2" s="1"/>
  <c r="I2158" i="2"/>
  <c r="J2158" i="2" s="1"/>
  <c r="K2158" i="2" s="1"/>
  <c r="F2158" i="2"/>
  <c r="G2158" i="2" s="1"/>
  <c r="H2158" i="2" s="1"/>
  <c r="C2158" i="5" s="1"/>
  <c r="D2158" i="2"/>
  <c r="E2158" i="2" s="1"/>
  <c r="B2158" i="5" s="1"/>
  <c r="B2158" i="2"/>
  <c r="C2158" i="2" s="1"/>
  <c r="O2157" i="2"/>
  <c r="L2157" i="2"/>
  <c r="M2157" i="2" s="1"/>
  <c r="N2157" i="2" s="1"/>
  <c r="I2157" i="2"/>
  <c r="J2157" i="2" s="1"/>
  <c r="K2157" i="2" s="1"/>
  <c r="F2157" i="2"/>
  <c r="G2157" i="2" s="1"/>
  <c r="H2157" i="2" s="1"/>
  <c r="C2157" i="5" s="1"/>
  <c r="D2157" i="2"/>
  <c r="E2157" i="2" s="1"/>
  <c r="B2157" i="5" s="1"/>
  <c r="B2157" i="2"/>
  <c r="C2157" i="2" s="1"/>
  <c r="O2156" i="2"/>
  <c r="L2156" i="2"/>
  <c r="M2156" i="2" s="1"/>
  <c r="N2156" i="2" s="1"/>
  <c r="I2156" i="2"/>
  <c r="J2156" i="2" s="1"/>
  <c r="K2156" i="2" s="1"/>
  <c r="F2156" i="2"/>
  <c r="G2156" i="2" s="1"/>
  <c r="H2156" i="2" s="1"/>
  <c r="C2156" i="5" s="1"/>
  <c r="D2156" i="2"/>
  <c r="E2156" i="2" s="1"/>
  <c r="B2156" i="5" s="1"/>
  <c r="B2156" i="2"/>
  <c r="C2156" i="2" s="1"/>
  <c r="O2155" i="2"/>
  <c r="L2155" i="2"/>
  <c r="M2155" i="2" s="1"/>
  <c r="N2155" i="2" s="1"/>
  <c r="I2155" i="2"/>
  <c r="J2155" i="2" s="1"/>
  <c r="K2155" i="2" s="1"/>
  <c r="F2155" i="2"/>
  <c r="G2155" i="2" s="1"/>
  <c r="H2155" i="2" s="1"/>
  <c r="C2155" i="5" s="1"/>
  <c r="D2155" i="2"/>
  <c r="E2155" i="2" s="1"/>
  <c r="B2155" i="5" s="1"/>
  <c r="B2155" i="2"/>
  <c r="C2155" i="2" s="1"/>
  <c r="O2154" i="2"/>
  <c r="L2154" i="2"/>
  <c r="M2154" i="2" s="1"/>
  <c r="N2154" i="2" s="1"/>
  <c r="I2154" i="2"/>
  <c r="J2154" i="2" s="1"/>
  <c r="K2154" i="2" s="1"/>
  <c r="F2154" i="2"/>
  <c r="G2154" i="2" s="1"/>
  <c r="H2154" i="2" s="1"/>
  <c r="C2154" i="5" s="1"/>
  <c r="D2154" i="2"/>
  <c r="E2154" i="2" s="1"/>
  <c r="B2154" i="5" s="1"/>
  <c r="B2154" i="2"/>
  <c r="C2154" i="2" s="1"/>
  <c r="O2153" i="2"/>
  <c r="L2153" i="2"/>
  <c r="M2153" i="2" s="1"/>
  <c r="N2153" i="2" s="1"/>
  <c r="E2153" i="5" s="1"/>
  <c r="I2153" i="2"/>
  <c r="J2153" i="2" s="1"/>
  <c r="K2153" i="2" s="1"/>
  <c r="F2153" i="2"/>
  <c r="G2153" i="2" s="1"/>
  <c r="H2153" i="2" s="1"/>
  <c r="C2153" i="5" s="1"/>
  <c r="D2153" i="2"/>
  <c r="E2153" i="2" s="1"/>
  <c r="B2153" i="5" s="1"/>
  <c r="B2153" i="2"/>
  <c r="C2153" i="2" s="1"/>
  <c r="A2153" i="5" s="1"/>
  <c r="O2152" i="2"/>
  <c r="L2152" i="2"/>
  <c r="M2152" i="2" s="1"/>
  <c r="N2152" i="2" s="1"/>
  <c r="I2152" i="2"/>
  <c r="J2152" i="2" s="1"/>
  <c r="K2152" i="2" s="1"/>
  <c r="Z2152" i="2" s="1"/>
  <c r="F2152" i="2"/>
  <c r="G2152" i="2" s="1"/>
  <c r="H2152" i="2" s="1"/>
  <c r="C2152" i="5" s="1"/>
  <c r="D2152" i="2"/>
  <c r="E2152" i="2" s="1"/>
  <c r="B2152" i="5" s="1"/>
  <c r="B2152" i="2"/>
  <c r="C2152" i="2" s="1"/>
  <c r="O2151" i="2"/>
  <c r="L2151" i="2"/>
  <c r="M2151" i="2" s="1"/>
  <c r="N2151" i="2" s="1"/>
  <c r="E2151" i="5" s="1"/>
  <c r="I2151" i="2"/>
  <c r="J2151" i="2" s="1"/>
  <c r="K2151" i="2" s="1"/>
  <c r="F2151" i="2"/>
  <c r="G2151" i="2" s="1"/>
  <c r="H2151" i="2" s="1"/>
  <c r="C2151" i="5" s="1"/>
  <c r="D2151" i="2"/>
  <c r="E2151" i="2" s="1"/>
  <c r="B2151" i="5" s="1"/>
  <c r="B2151" i="2"/>
  <c r="C2151" i="2" s="1"/>
  <c r="A2151" i="5" s="1"/>
  <c r="O2150" i="2"/>
  <c r="L2150" i="2"/>
  <c r="M2150" i="2" s="1"/>
  <c r="N2150" i="2" s="1"/>
  <c r="I2150" i="2"/>
  <c r="J2150" i="2" s="1"/>
  <c r="K2150" i="2" s="1"/>
  <c r="F2150" i="2"/>
  <c r="G2150" i="2" s="1"/>
  <c r="H2150" i="2" s="1"/>
  <c r="C2150" i="5" s="1"/>
  <c r="D2150" i="2"/>
  <c r="E2150" i="2" s="1"/>
  <c r="B2150" i="5" s="1"/>
  <c r="B2150" i="2"/>
  <c r="C2150" i="2" s="1"/>
  <c r="A2150" i="5" s="1"/>
  <c r="O2149" i="2"/>
  <c r="L2149" i="2"/>
  <c r="M2149" i="2" s="1"/>
  <c r="N2149" i="2" s="1"/>
  <c r="I2149" i="2"/>
  <c r="J2149" i="2" s="1"/>
  <c r="K2149" i="2" s="1"/>
  <c r="Z2149" i="2" s="1"/>
  <c r="F2149" i="2"/>
  <c r="G2149" i="2" s="1"/>
  <c r="H2149" i="2" s="1"/>
  <c r="C2149" i="5" s="1"/>
  <c r="D2149" i="2"/>
  <c r="E2149" i="2" s="1"/>
  <c r="B2149" i="5" s="1"/>
  <c r="B2149" i="2"/>
  <c r="C2149" i="2" s="1"/>
  <c r="A2149" i="5" s="1"/>
  <c r="O2148" i="2"/>
  <c r="L2148" i="2"/>
  <c r="M2148" i="2" s="1"/>
  <c r="N2148" i="2" s="1"/>
  <c r="E2148" i="5" s="1"/>
  <c r="I2148" i="2"/>
  <c r="J2148" i="2" s="1"/>
  <c r="K2148" i="2" s="1"/>
  <c r="Z2148" i="2" s="1"/>
  <c r="F2148" i="2"/>
  <c r="G2148" i="2" s="1"/>
  <c r="H2148" i="2" s="1"/>
  <c r="C2148" i="5" s="1"/>
  <c r="D2148" i="2"/>
  <c r="E2148" i="2" s="1"/>
  <c r="B2148" i="5" s="1"/>
  <c r="B2148" i="2"/>
  <c r="C2148" i="2" s="1"/>
  <c r="A2148" i="5" s="1"/>
  <c r="O2147" i="2"/>
  <c r="L2147" i="2"/>
  <c r="M2147" i="2" s="1"/>
  <c r="N2147" i="2" s="1"/>
  <c r="E2147" i="5" s="1"/>
  <c r="I2147" i="2"/>
  <c r="J2147" i="2" s="1"/>
  <c r="K2147" i="2" s="1"/>
  <c r="F2147" i="2"/>
  <c r="G2147" i="2" s="1"/>
  <c r="H2147" i="2" s="1"/>
  <c r="C2147" i="5" s="1"/>
  <c r="D2147" i="2"/>
  <c r="E2147" i="2" s="1"/>
  <c r="B2147" i="5" s="1"/>
  <c r="B2147" i="2"/>
  <c r="C2147" i="2" s="1"/>
  <c r="A2147" i="5" s="1"/>
  <c r="O2146" i="2"/>
  <c r="L2146" i="2"/>
  <c r="M2146" i="2" s="1"/>
  <c r="N2146" i="2" s="1"/>
  <c r="I2146" i="2"/>
  <c r="J2146" i="2" s="1"/>
  <c r="K2146" i="2" s="1"/>
  <c r="F2146" i="2"/>
  <c r="G2146" i="2" s="1"/>
  <c r="H2146" i="2" s="1"/>
  <c r="C2146" i="5" s="1"/>
  <c r="D2146" i="2"/>
  <c r="E2146" i="2" s="1"/>
  <c r="B2146" i="5" s="1"/>
  <c r="B2146" i="2"/>
  <c r="C2146" i="2" s="1"/>
  <c r="O2145" i="2"/>
  <c r="L2145" i="2"/>
  <c r="M2145" i="2" s="1"/>
  <c r="N2145" i="2" s="1"/>
  <c r="I2145" i="2"/>
  <c r="J2145" i="2" s="1"/>
  <c r="K2145" i="2" s="1"/>
  <c r="Z2145" i="2" s="1"/>
  <c r="F2145" i="2"/>
  <c r="G2145" i="2" s="1"/>
  <c r="H2145" i="2" s="1"/>
  <c r="C2145" i="5" s="1"/>
  <c r="D2145" i="2"/>
  <c r="E2145" i="2" s="1"/>
  <c r="B2145" i="5" s="1"/>
  <c r="B2145" i="2"/>
  <c r="C2145" i="2" s="1"/>
  <c r="A2145" i="5" s="1"/>
  <c r="O2144" i="2"/>
  <c r="L2144" i="2"/>
  <c r="M2144" i="2" s="1"/>
  <c r="N2144" i="2" s="1"/>
  <c r="E2144" i="5" s="1"/>
  <c r="I2144" i="2"/>
  <c r="J2144" i="2" s="1"/>
  <c r="K2144" i="2" s="1"/>
  <c r="F2144" i="2"/>
  <c r="G2144" i="2" s="1"/>
  <c r="H2144" i="2" s="1"/>
  <c r="C2144" i="5" s="1"/>
  <c r="D2144" i="2"/>
  <c r="E2144" i="2" s="1"/>
  <c r="B2144" i="5" s="1"/>
  <c r="B2144" i="2"/>
  <c r="C2144" i="2" s="1"/>
  <c r="A2144" i="5" s="1"/>
  <c r="O2143" i="2"/>
  <c r="L2143" i="2"/>
  <c r="M2143" i="2" s="1"/>
  <c r="N2143" i="2" s="1"/>
  <c r="I2143" i="2"/>
  <c r="J2143" i="2" s="1"/>
  <c r="K2143" i="2" s="1"/>
  <c r="F2143" i="2"/>
  <c r="G2143" i="2" s="1"/>
  <c r="H2143" i="2" s="1"/>
  <c r="C2143" i="5" s="1"/>
  <c r="D2143" i="2"/>
  <c r="E2143" i="2" s="1"/>
  <c r="B2143" i="5" s="1"/>
  <c r="B2143" i="2"/>
  <c r="C2143" i="2" s="1"/>
  <c r="A2143" i="5" s="1"/>
  <c r="O2142" i="2"/>
  <c r="L2142" i="2"/>
  <c r="M2142" i="2" s="1"/>
  <c r="N2142" i="2" s="1"/>
  <c r="E2142" i="5" s="1"/>
  <c r="I2142" i="2"/>
  <c r="J2142" i="2" s="1"/>
  <c r="K2142" i="2" s="1"/>
  <c r="F2142" i="2"/>
  <c r="G2142" i="2" s="1"/>
  <c r="H2142" i="2" s="1"/>
  <c r="C2142" i="5" s="1"/>
  <c r="D2142" i="2"/>
  <c r="E2142" i="2" s="1"/>
  <c r="B2142" i="5" s="1"/>
  <c r="B2142" i="2"/>
  <c r="C2142" i="2" s="1"/>
  <c r="A2142" i="5" s="1"/>
  <c r="O2141" i="2"/>
  <c r="L2141" i="2"/>
  <c r="M2141" i="2" s="1"/>
  <c r="N2141" i="2" s="1"/>
  <c r="I2141" i="2"/>
  <c r="J2141" i="2" s="1"/>
  <c r="K2141" i="2" s="1"/>
  <c r="F2141" i="2"/>
  <c r="G2141" i="2" s="1"/>
  <c r="H2141" i="2" s="1"/>
  <c r="C2141" i="5" s="1"/>
  <c r="D2141" i="2"/>
  <c r="E2141" i="2" s="1"/>
  <c r="B2141" i="5" s="1"/>
  <c r="B2141" i="2"/>
  <c r="C2141" i="2" s="1"/>
  <c r="A2141" i="5" s="1"/>
  <c r="O2140" i="2"/>
  <c r="L2140" i="2"/>
  <c r="M2140" i="2" s="1"/>
  <c r="N2140" i="2" s="1"/>
  <c r="I2140" i="2"/>
  <c r="J2140" i="2" s="1"/>
  <c r="K2140" i="2" s="1"/>
  <c r="F2140" i="2"/>
  <c r="G2140" i="2" s="1"/>
  <c r="H2140" i="2" s="1"/>
  <c r="C2140" i="5" s="1"/>
  <c r="D2140" i="2"/>
  <c r="E2140" i="2" s="1"/>
  <c r="B2140" i="5" s="1"/>
  <c r="B2140" i="2"/>
  <c r="C2140" i="2" s="1"/>
  <c r="A2140" i="5" s="1"/>
  <c r="O2139" i="2"/>
  <c r="L2139" i="2"/>
  <c r="M2139" i="2" s="1"/>
  <c r="N2139" i="2" s="1"/>
  <c r="I2139" i="2"/>
  <c r="J2139" i="2" s="1"/>
  <c r="K2139" i="2" s="1"/>
  <c r="F2139" i="2"/>
  <c r="G2139" i="2" s="1"/>
  <c r="H2139" i="2" s="1"/>
  <c r="C2139" i="5" s="1"/>
  <c r="D2139" i="2"/>
  <c r="E2139" i="2" s="1"/>
  <c r="B2139" i="5" s="1"/>
  <c r="B2139" i="2"/>
  <c r="C2139" i="2" s="1"/>
  <c r="A2139" i="5" s="1"/>
  <c r="O2138" i="2"/>
  <c r="L2138" i="2"/>
  <c r="M2138" i="2" s="1"/>
  <c r="N2138" i="2" s="1"/>
  <c r="I2138" i="2"/>
  <c r="J2138" i="2" s="1"/>
  <c r="K2138" i="2" s="1"/>
  <c r="F2138" i="2"/>
  <c r="G2138" i="2" s="1"/>
  <c r="H2138" i="2" s="1"/>
  <c r="C2138" i="5" s="1"/>
  <c r="D2138" i="2"/>
  <c r="E2138" i="2" s="1"/>
  <c r="B2138" i="5" s="1"/>
  <c r="B2138" i="2"/>
  <c r="C2138" i="2" s="1"/>
  <c r="A2138" i="5" s="1"/>
  <c r="O2137" i="2"/>
  <c r="L2137" i="2"/>
  <c r="M2137" i="2" s="1"/>
  <c r="N2137" i="2" s="1"/>
  <c r="I2137" i="2"/>
  <c r="J2137" i="2" s="1"/>
  <c r="K2137" i="2" s="1"/>
  <c r="F2137" i="2"/>
  <c r="G2137" i="2" s="1"/>
  <c r="H2137" i="2" s="1"/>
  <c r="C2137" i="5" s="1"/>
  <c r="D2137" i="2"/>
  <c r="E2137" i="2" s="1"/>
  <c r="B2137" i="5" s="1"/>
  <c r="B2137" i="2"/>
  <c r="C2137" i="2" s="1"/>
  <c r="A2137" i="5" s="1"/>
  <c r="O2136" i="2"/>
  <c r="L2136" i="2"/>
  <c r="M2136" i="2" s="1"/>
  <c r="N2136" i="2" s="1"/>
  <c r="I2136" i="2"/>
  <c r="J2136" i="2" s="1"/>
  <c r="K2136" i="2" s="1"/>
  <c r="F2136" i="2"/>
  <c r="G2136" i="2" s="1"/>
  <c r="H2136" i="2" s="1"/>
  <c r="C2136" i="5" s="1"/>
  <c r="D2136" i="2"/>
  <c r="E2136" i="2" s="1"/>
  <c r="B2136" i="5" s="1"/>
  <c r="B2136" i="2"/>
  <c r="C2136" i="2" s="1"/>
  <c r="A2136" i="5" s="1"/>
  <c r="O2135" i="2"/>
  <c r="L2135" i="2"/>
  <c r="M2135" i="2" s="1"/>
  <c r="N2135" i="2" s="1"/>
  <c r="I2135" i="2"/>
  <c r="J2135" i="2" s="1"/>
  <c r="K2135" i="2" s="1"/>
  <c r="F2135" i="2"/>
  <c r="G2135" i="2" s="1"/>
  <c r="H2135" i="2" s="1"/>
  <c r="C2135" i="5" s="1"/>
  <c r="D2135" i="2"/>
  <c r="E2135" i="2" s="1"/>
  <c r="B2135" i="5" s="1"/>
  <c r="B2135" i="2"/>
  <c r="C2135" i="2" s="1"/>
  <c r="A2135" i="5" s="1"/>
  <c r="O2134" i="2"/>
  <c r="L2134" i="2"/>
  <c r="M2134" i="2" s="1"/>
  <c r="N2134" i="2" s="1"/>
  <c r="I2134" i="2"/>
  <c r="J2134" i="2" s="1"/>
  <c r="K2134" i="2" s="1"/>
  <c r="F2134" i="2"/>
  <c r="G2134" i="2" s="1"/>
  <c r="H2134" i="2" s="1"/>
  <c r="C2134" i="5" s="1"/>
  <c r="D2134" i="2"/>
  <c r="E2134" i="2" s="1"/>
  <c r="B2134" i="5" s="1"/>
  <c r="B2134" i="2"/>
  <c r="C2134" i="2" s="1"/>
  <c r="A2134" i="5" s="1"/>
  <c r="O2133" i="2"/>
  <c r="L2133" i="2"/>
  <c r="M2133" i="2" s="1"/>
  <c r="N2133" i="2" s="1"/>
  <c r="I2133" i="2"/>
  <c r="J2133" i="2" s="1"/>
  <c r="K2133" i="2" s="1"/>
  <c r="F2133" i="2"/>
  <c r="G2133" i="2" s="1"/>
  <c r="H2133" i="2" s="1"/>
  <c r="C2133" i="5" s="1"/>
  <c r="D2133" i="2"/>
  <c r="E2133" i="2" s="1"/>
  <c r="B2133" i="5" s="1"/>
  <c r="B2133" i="2"/>
  <c r="C2133" i="2" s="1"/>
  <c r="A2133" i="5" s="1"/>
  <c r="O2132" i="2"/>
  <c r="L2132" i="2"/>
  <c r="M2132" i="2" s="1"/>
  <c r="N2132" i="2" s="1"/>
  <c r="I2132" i="2"/>
  <c r="J2132" i="2" s="1"/>
  <c r="K2132" i="2" s="1"/>
  <c r="F2132" i="2"/>
  <c r="G2132" i="2" s="1"/>
  <c r="H2132" i="2" s="1"/>
  <c r="C2132" i="5" s="1"/>
  <c r="D2132" i="2"/>
  <c r="E2132" i="2" s="1"/>
  <c r="B2132" i="5" s="1"/>
  <c r="B2132" i="2"/>
  <c r="C2132" i="2" s="1"/>
  <c r="A2132" i="5" s="1"/>
  <c r="O2131" i="2"/>
  <c r="L2131" i="2"/>
  <c r="M2131" i="2" s="1"/>
  <c r="N2131" i="2" s="1"/>
  <c r="I2131" i="2"/>
  <c r="J2131" i="2" s="1"/>
  <c r="K2131" i="2" s="1"/>
  <c r="F2131" i="2"/>
  <c r="G2131" i="2" s="1"/>
  <c r="H2131" i="2" s="1"/>
  <c r="C2131" i="5" s="1"/>
  <c r="D2131" i="2"/>
  <c r="E2131" i="2" s="1"/>
  <c r="B2131" i="5" s="1"/>
  <c r="B2131" i="2"/>
  <c r="C2131" i="2" s="1"/>
  <c r="A2131" i="5" s="1"/>
  <c r="O2130" i="2"/>
  <c r="L2130" i="2"/>
  <c r="M2130" i="2" s="1"/>
  <c r="N2130" i="2" s="1"/>
  <c r="I2130" i="2"/>
  <c r="J2130" i="2" s="1"/>
  <c r="K2130" i="2" s="1"/>
  <c r="F2130" i="2"/>
  <c r="G2130" i="2" s="1"/>
  <c r="H2130" i="2" s="1"/>
  <c r="C2130" i="5" s="1"/>
  <c r="D2130" i="2"/>
  <c r="E2130" i="2" s="1"/>
  <c r="B2130" i="5" s="1"/>
  <c r="B2130" i="2"/>
  <c r="C2130" i="2" s="1"/>
  <c r="A2130" i="5" s="1"/>
  <c r="O2129" i="2"/>
  <c r="L2129" i="2"/>
  <c r="M2129" i="2" s="1"/>
  <c r="N2129" i="2" s="1"/>
  <c r="I2129" i="2"/>
  <c r="J2129" i="2" s="1"/>
  <c r="K2129" i="2" s="1"/>
  <c r="F2129" i="2"/>
  <c r="G2129" i="2" s="1"/>
  <c r="H2129" i="2" s="1"/>
  <c r="C2129" i="5" s="1"/>
  <c r="D2129" i="2"/>
  <c r="E2129" i="2" s="1"/>
  <c r="B2129" i="5" s="1"/>
  <c r="B2129" i="2"/>
  <c r="C2129" i="2" s="1"/>
  <c r="A2129" i="5" s="1"/>
  <c r="O2128" i="2"/>
  <c r="L2128" i="2"/>
  <c r="M2128" i="2" s="1"/>
  <c r="N2128" i="2" s="1"/>
  <c r="I2128" i="2"/>
  <c r="J2128" i="2" s="1"/>
  <c r="K2128" i="2" s="1"/>
  <c r="F2128" i="2"/>
  <c r="G2128" i="2" s="1"/>
  <c r="H2128" i="2" s="1"/>
  <c r="C2128" i="5" s="1"/>
  <c r="D2128" i="2"/>
  <c r="E2128" i="2" s="1"/>
  <c r="B2128" i="5" s="1"/>
  <c r="B2128" i="2"/>
  <c r="C2128" i="2" s="1"/>
  <c r="A2128" i="5" s="1"/>
  <c r="O2127" i="2"/>
  <c r="L2127" i="2"/>
  <c r="M2127" i="2" s="1"/>
  <c r="N2127" i="2" s="1"/>
  <c r="I2127" i="2"/>
  <c r="J2127" i="2" s="1"/>
  <c r="K2127" i="2" s="1"/>
  <c r="F2127" i="2"/>
  <c r="G2127" i="2" s="1"/>
  <c r="H2127" i="2" s="1"/>
  <c r="C2127" i="5" s="1"/>
  <c r="D2127" i="2"/>
  <c r="E2127" i="2" s="1"/>
  <c r="B2127" i="5" s="1"/>
  <c r="B2127" i="2"/>
  <c r="C2127" i="2" s="1"/>
  <c r="A2127" i="5" s="1"/>
  <c r="O2126" i="2"/>
  <c r="L2126" i="2"/>
  <c r="M2126" i="2" s="1"/>
  <c r="N2126" i="2" s="1"/>
  <c r="I2126" i="2"/>
  <c r="J2126" i="2" s="1"/>
  <c r="K2126" i="2" s="1"/>
  <c r="F2126" i="2"/>
  <c r="G2126" i="2" s="1"/>
  <c r="H2126" i="2" s="1"/>
  <c r="C2126" i="5" s="1"/>
  <c r="D2126" i="2"/>
  <c r="E2126" i="2" s="1"/>
  <c r="B2126" i="5" s="1"/>
  <c r="B2126" i="2"/>
  <c r="C2126" i="2" s="1"/>
  <c r="A2126" i="5" s="1"/>
  <c r="O2125" i="2"/>
  <c r="L2125" i="2"/>
  <c r="M2125" i="2" s="1"/>
  <c r="N2125" i="2" s="1"/>
  <c r="I2125" i="2"/>
  <c r="J2125" i="2" s="1"/>
  <c r="K2125" i="2" s="1"/>
  <c r="F2125" i="2"/>
  <c r="G2125" i="2" s="1"/>
  <c r="H2125" i="2" s="1"/>
  <c r="C2125" i="5" s="1"/>
  <c r="D2125" i="2"/>
  <c r="E2125" i="2" s="1"/>
  <c r="B2125" i="5" s="1"/>
  <c r="B2125" i="2"/>
  <c r="C2125" i="2" s="1"/>
  <c r="A2125" i="5" s="1"/>
  <c r="O2124" i="2"/>
  <c r="L2124" i="2"/>
  <c r="M2124" i="2" s="1"/>
  <c r="N2124" i="2" s="1"/>
  <c r="I2124" i="2"/>
  <c r="J2124" i="2" s="1"/>
  <c r="K2124" i="2" s="1"/>
  <c r="F2124" i="2"/>
  <c r="G2124" i="2" s="1"/>
  <c r="H2124" i="2" s="1"/>
  <c r="C2124" i="5" s="1"/>
  <c r="D2124" i="2"/>
  <c r="E2124" i="2" s="1"/>
  <c r="B2124" i="5" s="1"/>
  <c r="B2124" i="2"/>
  <c r="C2124" i="2" s="1"/>
  <c r="A2124" i="5" s="1"/>
  <c r="O2123" i="2"/>
  <c r="L2123" i="2"/>
  <c r="M2123" i="2" s="1"/>
  <c r="N2123" i="2" s="1"/>
  <c r="I2123" i="2"/>
  <c r="J2123" i="2" s="1"/>
  <c r="K2123" i="2" s="1"/>
  <c r="F2123" i="2"/>
  <c r="G2123" i="2" s="1"/>
  <c r="H2123" i="2" s="1"/>
  <c r="C2123" i="5" s="1"/>
  <c r="D2123" i="2"/>
  <c r="E2123" i="2" s="1"/>
  <c r="B2123" i="5" s="1"/>
  <c r="B2123" i="2"/>
  <c r="C2123" i="2" s="1"/>
  <c r="A2123" i="5" s="1"/>
  <c r="O2122" i="2"/>
  <c r="L2122" i="2"/>
  <c r="M2122" i="2" s="1"/>
  <c r="N2122" i="2" s="1"/>
  <c r="I2122" i="2"/>
  <c r="J2122" i="2" s="1"/>
  <c r="K2122" i="2" s="1"/>
  <c r="F2122" i="2"/>
  <c r="G2122" i="2" s="1"/>
  <c r="H2122" i="2" s="1"/>
  <c r="C2122" i="5" s="1"/>
  <c r="D2122" i="2"/>
  <c r="E2122" i="2" s="1"/>
  <c r="B2122" i="5" s="1"/>
  <c r="B2122" i="2"/>
  <c r="C2122" i="2" s="1"/>
  <c r="A2122" i="5" s="1"/>
  <c r="O2121" i="2"/>
  <c r="L2121" i="2"/>
  <c r="M2121" i="2" s="1"/>
  <c r="N2121" i="2" s="1"/>
  <c r="I2121" i="2"/>
  <c r="J2121" i="2" s="1"/>
  <c r="K2121" i="2" s="1"/>
  <c r="F2121" i="2"/>
  <c r="G2121" i="2" s="1"/>
  <c r="H2121" i="2" s="1"/>
  <c r="C2121" i="5" s="1"/>
  <c r="D2121" i="2"/>
  <c r="E2121" i="2" s="1"/>
  <c r="B2121" i="5" s="1"/>
  <c r="B2121" i="2"/>
  <c r="C2121" i="2" s="1"/>
  <c r="A2121" i="5" s="1"/>
  <c r="O2120" i="2"/>
  <c r="L2120" i="2"/>
  <c r="M2120" i="2" s="1"/>
  <c r="N2120" i="2" s="1"/>
  <c r="I2120" i="2"/>
  <c r="J2120" i="2" s="1"/>
  <c r="K2120" i="2" s="1"/>
  <c r="F2120" i="2"/>
  <c r="G2120" i="2" s="1"/>
  <c r="H2120" i="2" s="1"/>
  <c r="C2120" i="5" s="1"/>
  <c r="D2120" i="2"/>
  <c r="E2120" i="2" s="1"/>
  <c r="B2120" i="5" s="1"/>
  <c r="B2120" i="2"/>
  <c r="C2120" i="2" s="1"/>
  <c r="A2120" i="5" s="1"/>
  <c r="O2119" i="2"/>
  <c r="L2119" i="2"/>
  <c r="M2119" i="2" s="1"/>
  <c r="N2119" i="2" s="1"/>
  <c r="I2119" i="2"/>
  <c r="J2119" i="2" s="1"/>
  <c r="K2119" i="2" s="1"/>
  <c r="F2119" i="2"/>
  <c r="G2119" i="2" s="1"/>
  <c r="H2119" i="2" s="1"/>
  <c r="C2119" i="5" s="1"/>
  <c r="D2119" i="2"/>
  <c r="E2119" i="2" s="1"/>
  <c r="B2119" i="5" s="1"/>
  <c r="B2119" i="2"/>
  <c r="C2119" i="2" s="1"/>
  <c r="A2119" i="5" s="1"/>
  <c r="O2118" i="2"/>
  <c r="L2118" i="2"/>
  <c r="M2118" i="2" s="1"/>
  <c r="N2118" i="2" s="1"/>
  <c r="I2118" i="2"/>
  <c r="J2118" i="2" s="1"/>
  <c r="K2118" i="2" s="1"/>
  <c r="F2118" i="2"/>
  <c r="G2118" i="2" s="1"/>
  <c r="H2118" i="2" s="1"/>
  <c r="C2118" i="5" s="1"/>
  <c r="D2118" i="2"/>
  <c r="E2118" i="2" s="1"/>
  <c r="B2118" i="5" s="1"/>
  <c r="B2118" i="2"/>
  <c r="C2118" i="2" s="1"/>
  <c r="A2118" i="5" s="1"/>
  <c r="O2117" i="2"/>
  <c r="L2117" i="2"/>
  <c r="M2117" i="2" s="1"/>
  <c r="N2117" i="2" s="1"/>
  <c r="I2117" i="2"/>
  <c r="J2117" i="2" s="1"/>
  <c r="K2117" i="2" s="1"/>
  <c r="F2117" i="2"/>
  <c r="G2117" i="2" s="1"/>
  <c r="H2117" i="2" s="1"/>
  <c r="C2117" i="5" s="1"/>
  <c r="D2117" i="2"/>
  <c r="E2117" i="2" s="1"/>
  <c r="B2117" i="5" s="1"/>
  <c r="B2117" i="2"/>
  <c r="C2117" i="2" s="1"/>
  <c r="A2117" i="5" s="1"/>
  <c r="O2116" i="2"/>
  <c r="L2116" i="2"/>
  <c r="M2116" i="2" s="1"/>
  <c r="N2116" i="2" s="1"/>
  <c r="I2116" i="2"/>
  <c r="J2116" i="2" s="1"/>
  <c r="K2116" i="2" s="1"/>
  <c r="F2116" i="2"/>
  <c r="G2116" i="2" s="1"/>
  <c r="H2116" i="2" s="1"/>
  <c r="C2116" i="5" s="1"/>
  <c r="D2116" i="2"/>
  <c r="E2116" i="2" s="1"/>
  <c r="B2116" i="5" s="1"/>
  <c r="B2116" i="2"/>
  <c r="C2116" i="2" s="1"/>
  <c r="A2116" i="5" s="1"/>
  <c r="O2115" i="2"/>
  <c r="L2115" i="2"/>
  <c r="M2115" i="2" s="1"/>
  <c r="N2115" i="2" s="1"/>
  <c r="I2115" i="2"/>
  <c r="J2115" i="2" s="1"/>
  <c r="K2115" i="2" s="1"/>
  <c r="D2115" i="5" s="1"/>
  <c r="F2115" i="2"/>
  <c r="G2115" i="2" s="1"/>
  <c r="H2115" i="2" s="1"/>
  <c r="C2115" i="5" s="1"/>
  <c r="D2115" i="2"/>
  <c r="E2115" i="2" s="1"/>
  <c r="B2115" i="5" s="1"/>
  <c r="B2115" i="2"/>
  <c r="C2115" i="2" s="1"/>
  <c r="A2115" i="5" s="1"/>
  <c r="O2114" i="2"/>
  <c r="L2114" i="2"/>
  <c r="M2114" i="2" s="1"/>
  <c r="N2114" i="2" s="1"/>
  <c r="I2114" i="2"/>
  <c r="J2114" i="2" s="1"/>
  <c r="K2114" i="2" s="1"/>
  <c r="F2114" i="2"/>
  <c r="G2114" i="2" s="1"/>
  <c r="H2114" i="2" s="1"/>
  <c r="C2114" i="5" s="1"/>
  <c r="D2114" i="2"/>
  <c r="E2114" i="2" s="1"/>
  <c r="B2114" i="5" s="1"/>
  <c r="B2114" i="2"/>
  <c r="C2114" i="2" s="1"/>
  <c r="O2113" i="2"/>
  <c r="L2113" i="2"/>
  <c r="M2113" i="2" s="1"/>
  <c r="N2113" i="2" s="1"/>
  <c r="I2113" i="2"/>
  <c r="J2113" i="2" s="1"/>
  <c r="K2113" i="2" s="1"/>
  <c r="D2113" i="5" s="1"/>
  <c r="F2113" i="2"/>
  <c r="G2113" i="2" s="1"/>
  <c r="H2113" i="2" s="1"/>
  <c r="C2113" i="5" s="1"/>
  <c r="D2113" i="2"/>
  <c r="E2113" i="2" s="1"/>
  <c r="B2113" i="5" s="1"/>
  <c r="B2113" i="2"/>
  <c r="C2113" i="2" s="1"/>
  <c r="A2113" i="5" s="1"/>
  <c r="O2112" i="2"/>
  <c r="L2112" i="2"/>
  <c r="M2112" i="2" s="1"/>
  <c r="N2112" i="2" s="1"/>
  <c r="I2112" i="2"/>
  <c r="J2112" i="2" s="1"/>
  <c r="K2112" i="2" s="1"/>
  <c r="F2112" i="2"/>
  <c r="G2112" i="2" s="1"/>
  <c r="H2112" i="2" s="1"/>
  <c r="C2112" i="5" s="1"/>
  <c r="D2112" i="2"/>
  <c r="E2112" i="2" s="1"/>
  <c r="B2112" i="5" s="1"/>
  <c r="B2112" i="2"/>
  <c r="C2112" i="2" s="1"/>
  <c r="O2111" i="2"/>
  <c r="L2111" i="2"/>
  <c r="M2111" i="2" s="1"/>
  <c r="N2111" i="2" s="1"/>
  <c r="I2111" i="2"/>
  <c r="J2111" i="2" s="1"/>
  <c r="K2111" i="2" s="1"/>
  <c r="D2111" i="5" s="1"/>
  <c r="F2111" i="2"/>
  <c r="G2111" i="2" s="1"/>
  <c r="H2111" i="2" s="1"/>
  <c r="C2111" i="5" s="1"/>
  <c r="D2111" i="2"/>
  <c r="E2111" i="2" s="1"/>
  <c r="B2111" i="5" s="1"/>
  <c r="B2111" i="2"/>
  <c r="C2111" i="2" s="1"/>
  <c r="A2111" i="5" s="1"/>
  <c r="O2110" i="2"/>
  <c r="L2110" i="2"/>
  <c r="M2110" i="2" s="1"/>
  <c r="N2110" i="2" s="1"/>
  <c r="I2110" i="2"/>
  <c r="J2110" i="2" s="1"/>
  <c r="K2110" i="2" s="1"/>
  <c r="F2110" i="2"/>
  <c r="G2110" i="2" s="1"/>
  <c r="H2110" i="2" s="1"/>
  <c r="C2110" i="5" s="1"/>
  <c r="D2110" i="2"/>
  <c r="E2110" i="2" s="1"/>
  <c r="B2110" i="5" s="1"/>
  <c r="B2110" i="2"/>
  <c r="C2110" i="2" s="1"/>
  <c r="O2109" i="2"/>
  <c r="L2109" i="2"/>
  <c r="M2109" i="2" s="1"/>
  <c r="N2109" i="2" s="1"/>
  <c r="I2109" i="2"/>
  <c r="J2109" i="2" s="1"/>
  <c r="K2109" i="2" s="1"/>
  <c r="F2109" i="2"/>
  <c r="G2109" i="2" s="1"/>
  <c r="H2109" i="2" s="1"/>
  <c r="C2109" i="5" s="1"/>
  <c r="D2109" i="2"/>
  <c r="E2109" i="2" s="1"/>
  <c r="B2109" i="5" s="1"/>
  <c r="B2109" i="2"/>
  <c r="C2109" i="2" s="1"/>
  <c r="A2109" i="5" s="1"/>
  <c r="O2108" i="2"/>
  <c r="L2108" i="2"/>
  <c r="M2108" i="2" s="1"/>
  <c r="N2108" i="2" s="1"/>
  <c r="I2108" i="2"/>
  <c r="J2108" i="2" s="1"/>
  <c r="K2108" i="2" s="1"/>
  <c r="F2108" i="2"/>
  <c r="G2108" i="2" s="1"/>
  <c r="H2108" i="2" s="1"/>
  <c r="C2108" i="5" s="1"/>
  <c r="D2108" i="2"/>
  <c r="E2108" i="2" s="1"/>
  <c r="B2108" i="5" s="1"/>
  <c r="B2108" i="2"/>
  <c r="C2108" i="2" s="1"/>
  <c r="O2107" i="2"/>
  <c r="L2107" i="2"/>
  <c r="M2107" i="2" s="1"/>
  <c r="N2107" i="2" s="1"/>
  <c r="I2107" i="2"/>
  <c r="J2107" i="2" s="1"/>
  <c r="K2107" i="2" s="1"/>
  <c r="F2107" i="2"/>
  <c r="G2107" i="2" s="1"/>
  <c r="H2107" i="2" s="1"/>
  <c r="C2107" i="5" s="1"/>
  <c r="D2107" i="2"/>
  <c r="E2107" i="2" s="1"/>
  <c r="B2107" i="5" s="1"/>
  <c r="B2107" i="2"/>
  <c r="C2107" i="2" s="1"/>
  <c r="A2107" i="5" s="1"/>
  <c r="O2106" i="2"/>
  <c r="L2106" i="2"/>
  <c r="M2106" i="2" s="1"/>
  <c r="N2106" i="2" s="1"/>
  <c r="I2106" i="2"/>
  <c r="J2106" i="2" s="1"/>
  <c r="K2106" i="2" s="1"/>
  <c r="Y2106" i="2" s="1"/>
  <c r="F2106" i="2"/>
  <c r="G2106" i="2" s="1"/>
  <c r="H2106" i="2" s="1"/>
  <c r="C2106" i="5" s="1"/>
  <c r="D2106" i="2"/>
  <c r="E2106" i="2" s="1"/>
  <c r="B2106" i="5" s="1"/>
  <c r="B2106" i="2"/>
  <c r="C2106" i="2" s="1"/>
  <c r="O2105" i="2"/>
  <c r="L2105" i="2"/>
  <c r="M2105" i="2" s="1"/>
  <c r="N2105" i="2" s="1"/>
  <c r="I2105" i="2"/>
  <c r="J2105" i="2" s="1"/>
  <c r="K2105" i="2" s="1"/>
  <c r="F2105" i="2"/>
  <c r="G2105" i="2" s="1"/>
  <c r="H2105" i="2" s="1"/>
  <c r="C2105" i="5" s="1"/>
  <c r="D2105" i="2"/>
  <c r="E2105" i="2" s="1"/>
  <c r="B2105" i="5" s="1"/>
  <c r="B2105" i="2"/>
  <c r="C2105" i="2" s="1"/>
  <c r="A2105" i="5" s="1"/>
  <c r="O2104" i="2"/>
  <c r="L2104" i="2"/>
  <c r="M2104" i="2" s="1"/>
  <c r="N2104" i="2" s="1"/>
  <c r="I2104" i="2"/>
  <c r="J2104" i="2" s="1"/>
  <c r="K2104" i="2" s="1"/>
  <c r="F2104" i="2"/>
  <c r="G2104" i="2" s="1"/>
  <c r="H2104" i="2" s="1"/>
  <c r="C2104" i="5" s="1"/>
  <c r="D2104" i="2"/>
  <c r="E2104" i="2" s="1"/>
  <c r="B2104" i="5" s="1"/>
  <c r="B2104" i="2"/>
  <c r="C2104" i="2" s="1"/>
  <c r="O2103" i="2"/>
  <c r="L2103" i="2"/>
  <c r="M2103" i="2" s="1"/>
  <c r="N2103" i="2" s="1"/>
  <c r="I2103" i="2"/>
  <c r="J2103" i="2" s="1"/>
  <c r="K2103" i="2" s="1"/>
  <c r="F2103" i="2"/>
  <c r="G2103" i="2" s="1"/>
  <c r="H2103" i="2" s="1"/>
  <c r="C2103" i="5" s="1"/>
  <c r="D2103" i="2"/>
  <c r="E2103" i="2" s="1"/>
  <c r="B2103" i="5" s="1"/>
  <c r="B2103" i="2"/>
  <c r="C2103" i="2" s="1"/>
  <c r="A2103" i="5" s="1"/>
  <c r="O2102" i="2"/>
  <c r="L2102" i="2"/>
  <c r="M2102" i="2" s="1"/>
  <c r="N2102" i="2" s="1"/>
  <c r="I2102" i="2"/>
  <c r="J2102" i="2" s="1"/>
  <c r="K2102" i="2" s="1"/>
  <c r="Y2102" i="2" s="1"/>
  <c r="F2102" i="2"/>
  <c r="G2102" i="2" s="1"/>
  <c r="H2102" i="2" s="1"/>
  <c r="C2102" i="5" s="1"/>
  <c r="D2102" i="2"/>
  <c r="E2102" i="2" s="1"/>
  <c r="B2102" i="5" s="1"/>
  <c r="B2102" i="2"/>
  <c r="C2102" i="2" s="1"/>
  <c r="O2101" i="2"/>
  <c r="L2101" i="2"/>
  <c r="M2101" i="2" s="1"/>
  <c r="N2101" i="2" s="1"/>
  <c r="I2101" i="2"/>
  <c r="J2101" i="2" s="1"/>
  <c r="K2101" i="2" s="1"/>
  <c r="F2101" i="2"/>
  <c r="G2101" i="2" s="1"/>
  <c r="H2101" i="2" s="1"/>
  <c r="C2101" i="5" s="1"/>
  <c r="D2101" i="2"/>
  <c r="E2101" i="2" s="1"/>
  <c r="B2101" i="5" s="1"/>
  <c r="B2101" i="2"/>
  <c r="C2101" i="2" s="1"/>
  <c r="A2101" i="5" s="1"/>
  <c r="O2100" i="2"/>
  <c r="L2100" i="2"/>
  <c r="M2100" i="2" s="1"/>
  <c r="N2100" i="2" s="1"/>
  <c r="I2100" i="2"/>
  <c r="J2100" i="2" s="1"/>
  <c r="K2100" i="2" s="1"/>
  <c r="F2100" i="2"/>
  <c r="G2100" i="2" s="1"/>
  <c r="H2100" i="2" s="1"/>
  <c r="C2100" i="5" s="1"/>
  <c r="D2100" i="2"/>
  <c r="E2100" i="2" s="1"/>
  <c r="B2100" i="5" s="1"/>
  <c r="B2100" i="2"/>
  <c r="C2100" i="2" s="1"/>
  <c r="O2099" i="2"/>
  <c r="L2099" i="2"/>
  <c r="M2099" i="2" s="1"/>
  <c r="N2099" i="2" s="1"/>
  <c r="I2099" i="2"/>
  <c r="J2099" i="2" s="1"/>
  <c r="K2099" i="2" s="1"/>
  <c r="F2099" i="2"/>
  <c r="G2099" i="2" s="1"/>
  <c r="H2099" i="2" s="1"/>
  <c r="C2099" i="5" s="1"/>
  <c r="D2099" i="2"/>
  <c r="E2099" i="2" s="1"/>
  <c r="B2099" i="5" s="1"/>
  <c r="B2099" i="2"/>
  <c r="C2099" i="2" s="1"/>
  <c r="A2099" i="5" s="1"/>
  <c r="O2098" i="2"/>
  <c r="L2098" i="2"/>
  <c r="M2098" i="2" s="1"/>
  <c r="N2098" i="2" s="1"/>
  <c r="I2098" i="2"/>
  <c r="J2098" i="2" s="1"/>
  <c r="K2098" i="2" s="1"/>
  <c r="Y2098" i="2" s="1"/>
  <c r="F2098" i="2"/>
  <c r="G2098" i="2" s="1"/>
  <c r="H2098" i="2" s="1"/>
  <c r="C2098" i="5" s="1"/>
  <c r="D2098" i="2"/>
  <c r="E2098" i="2" s="1"/>
  <c r="B2098" i="5" s="1"/>
  <c r="B2098" i="2"/>
  <c r="C2098" i="2" s="1"/>
  <c r="O2097" i="2"/>
  <c r="L2097" i="2"/>
  <c r="M2097" i="2" s="1"/>
  <c r="N2097" i="2" s="1"/>
  <c r="I2097" i="2"/>
  <c r="J2097" i="2" s="1"/>
  <c r="K2097" i="2" s="1"/>
  <c r="F2097" i="2"/>
  <c r="G2097" i="2" s="1"/>
  <c r="H2097" i="2" s="1"/>
  <c r="C2097" i="5" s="1"/>
  <c r="D2097" i="2"/>
  <c r="E2097" i="2" s="1"/>
  <c r="B2097" i="5" s="1"/>
  <c r="B2097" i="2"/>
  <c r="C2097" i="2" s="1"/>
  <c r="A2097" i="5" s="1"/>
  <c r="O2096" i="2"/>
  <c r="L2096" i="2"/>
  <c r="M2096" i="2" s="1"/>
  <c r="N2096" i="2" s="1"/>
  <c r="I2096" i="2"/>
  <c r="J2096" i="2" s="1"/>
  <c r="K2096" i="2" s="1"/>
  <c r="F2096" i="2"/>
  <c r="G2096" i="2" s="1"/>
  <c r="H2096" i="2" s="1"/>
  <c r="C2096" i="5" s="1"/>
  <c r="D2096" i="2"/>
  <c r="E2096" i="2" s="1"/>
  <c r="B2096" i="5" s="1"/>
  <c r="B2096" i="2"/>
  <c r="C2096" i="2" s="1"/>
  <c r="O2095" i="2"/>
  <c r="L2095" i="2"/>
  <c r="M2095" i="2" s="1"/>
  <c r="N2095" i="2" s="1"/>
  <c r="I2095" i="2"/>
  <c r="J2095" i="2" s="1"/>
  <c r="K2095" i="2" s="1"/>
  <c r="F2095" i="2"/>
  <c r="G2095" i="2" s="1"/>
  <c r="H2095" i="2" s="1"/>
  <c r="C2095" i="5" s="1"/>
  <c r="D2095" i="2"/>
  <c r="E2095" i="2" s="1"/>
  <c r="B2095" i="5" s="1"/>
  <c r="B2095" i="2"/>
  <c r="C2095" i="2" s="1"/>
  <c r="A2095" i="5" s="1"/>
  <c r="O2094" i="2"/>
  <c r="L2094" i="2"/>
  <c r="M2094" i="2" s="1"/>
  <c r="N2094" i="2" s="1"/>
  <c r="I2094" i="2"/>
  <c r="J2094" i="2" s="1"/>
  <c r="K2094" i="2" s="1"/>
  <c r="Y2094" i="2" s="1"/>
  <c r="F2094" i="2"/>
  <c r="G2094" i="2" s="1"/>
  <c r="H2094" i="2" s="1"/>
  <c r="C2094" i="5" s="1"/>
  <c r="D2094" i="2"/>
  <c r="E2094" i="2" s="1"/>
  <c r="B2094" i="5" s="1"/>
  <c r="B2094" i="2"/>
  <c r="C2094" i="2" s="1"/>
  <c r="O2093" i="2"/>
  <c r="L2093" i="2"/>
  <c r="M2093" i="2" s="1"/>
  <c r="N2093" i="2" s="1"/>
  <c r="I2093" i="2"/>
  <c r="J2093" i="2" s="1"/>
  <c r="K2093" i="2" s="1"/>
  <c r="F2093" i="2"/>
  <c r="G2093" i="2" s="1"/>
  <c r="H2093" i="2" s="1"/>
  <c r="C2093" i="5" s="1"/>
  <c r="D2093" i="2"/>
  <c r="E2093" i="2" s="1"/>
  <c r="B2093" i="5" s="1"/>
  <c r="B2093" i="2"/>
  <c r="C2093" i="2" s="1"/>
  <c r="A2093" i="5" s="1"/>
  <c r="O2092" i="2"/>
  <c r="L2092" i="2"/>
  <c r="M2092" i="2" s="1"/>
  <c r="N2092" i="2" s="1"/>
  <c r="I2092" i="2"/>
  <c r="J2092" i="2" s="1"/>
  <c r="K2092" i="2" s="1"/>
  <c r="F2092" i="2"/>
  <c r="G2092" i="2" s="1"/>
  <c r="H2092" i="2" s="1"/>
  <c r="C2092" i="5" s="1"/>
  <c r="D2092" i="2"/>
  <c r="E2092" i="2" s="1"/>
  <c r="B2092" i="5" s="1"/>
  <c r="B2092" i="2"/>
  <c r="C2092" i="2" s="1"/>
  <c r="O2091" i="2"/>
  <c r="L2091" i="2"/>
  <c r="M2091" i="2" s="1"/>
  <c r="N2091" i="2" s="1"/>
  <c r="I2091" i="2"/>
  <c r="J2091" i="2" s="1"/>
  <c r="K2091" i="2" s="1"/>
  <c r="F2091" i="2"/>
  <c r="G2091" i="2" s="1"/>
  <c r="H2091" i="2" s="1"/>
  <c r="C2091" i="5" s="1"/>
  <c r="D2091" i="2"/>
  <c r="E2091" i="2" s="1"/>
  <c r="B2091" i="5" s="1"/>
  <c r="B2091" i="2"/>
  <c r="C2091" i="2" s="1"/>
  <c r="A2091" i="5" s="1"/>
  <c r="O2090" i="2"/>
  <c r="L2090" i="2"/>
  <c r="M2090" i="2" s="1"/>
  <c r="N2090" i="2" s="1"/>
  <c r="I2090" i="2"/>
  <c r="J2090" i="2" s="1"/>
  <c r="K2090" i="2" s="1"/>
  <c r="Y2090" i="2" s="1"/>
  <c r="F2090" i="2"/>
  <c r="G2090" i="2" s="1"/>
  <c r="H2090" i="2" s="1"/>
  <c r="C2090" i="5" s="1"/>
  <c r="D2090" i="2"/>
  <c r="E2090" i="2" s="1"/>
  <c r="B2090" i="5" s="1"/>
  <c r="B2090" i="2"/>
  <c r="C2090" i="2" s="1"/>
  <c r="O2089" i="2"/>
  <c r="L2089" i="2"/>
  <c r="M2089" i="2" s="1"/>
  <c r="N2089" i="2" s="1"/>
  <c r="I2089" i="2"/>
  <c r="J2089" i="2" s="1"/>
  <c r="K2089" i="2" s="1"/>
  <c r="F2089" i="2"/>
  <c r="G2089" i="2" s="1"/>
  <c r="H2089" i="2" s="1"/>
  <c r="C2089" i="5" s="1"/>
  <c r="D2089" i="2"/>
  <c r="E2089" i="2" s="1"/>
  <c r="B2089" i="5" s="1"/>
  <c r="B2089" i="2"/>
  <c r="C2089" i="2" s="1"/>
  <c r="A2089" i="5" s="1"/>
  <c r="O2088" i="2"/>
  <c r="L2088" i="2"/>
  <c r="M2088" i="2" s="1"/>
  <c r="N2088" i="2" s="1"/>
  <c r="I2088" i="2"/>
  <c r="J2088" i="2" s="1"/>
  <c r="K2088" i="2" s="1"/>
  <c r="F2088" i="2"/>
  <c r="G2088" i="2" s="1"/>
  <c r="H2088" i="2" s="1"/>
  <c r="C2088" i="5" s="1"/>
  <c r="D2088" i="2"/>
  <c r="E2088" i="2" s="1"/>
  <c r="B2088" i="5" s="1"/>
  <c r="B2088" i="2"/>
  <c r="C2088" i="2" s="1"/>
  <c r="O2087" i="2"/>
  <c r="L2087" i="2"/>
  <c r="M2087" i="2" s="1"/>
  <c r="N2087" i="2" s="1"/>
  <c r="I2087" i="2"/>
  <c r="J2087" i="2" s="1"/>
  <c r="K2087" i="2" s="1"/>
  <c r="F2087" i="2"/>
  <c r="G2087" i="2" s="1"/>
  <c r="H2087" i="2" s="1"/>
  <c r="C2087" i="5" s="1"/>
  <c r="D2087" i="2"/>
  <c r="E2087" i="2" s="1"/>
  <c r="B2087" i="5" s="1"/>
  <c r="B2087" i="2"/>
  <c r="C2087" i="2" s="1"/>
  <c r="A2087" i="5" s="1"/>
  <c r="O2086" i="2"/>
  <c r="L2086" i="2"/>
  <c r="M2086" i="2" s="1"/>
  <c r="N2086" i="2" s="1"/>
  <c r="I2086" i="2"/>
  <c r="J2086" i="2" s="1"/>
  <c r="K2086" i="2" s="1"/>
  <c r="Y2086" i="2" s="1"/>
  <c r="F2086" i="2"/>
  <c r="G2086" i="2" s="1"/>
  <c r="H2086" i="2" s="1"/>
  <c r="C2086" i="5" s="1"/>
  <c r="D2086" i="2"/>
  <c r="E2086" i="2" s="1"/>
  <c r="B2086" i="5" s="1"/>
  <c r="B2086" i="2"/>
  <c r="C2086" i="2" s="1"/>
  <c r="O2085" i="2"/>
  <c r="L2085" i="2"/>
  <c r="M2085" i="2" s="1"/>
  <c r="N2085" i="2" s="1"/>
  <c r="I2085" i="2"/>
  <c r="J2085" i="2" s="1"/>
  <c r="K2085" i="2" s="1"/>
  <c r="F2085" i="2"/>
  <c r="G2085" i="2" s="1"/>
  <c r="H2085" i="2" s="1"/>
  <c r="C2085" i="5" s="1"/>
  <c r="D2085" i="2"/>
  <c r="E2085" i="2" s="1"/>
  <c r="B2085" i="5" s="1"/>
  <c r="B2085" i="2"/>
  <c r="C2085" i="2" s="1"/>
  <c r="A2085" i="5" s="1"/>
  <c r="O2084" i="2"/>
  <c r="L2084" i="2"/>
  <c r="M2084" i="2" s="1"/>
  <c r="N2084" i="2" s="1"/>
  <c r="I2084" i="2"/>
  <c r="J2084" i="2" s="1"/>
  <c r="K2084" i="2" s="1"/>
  <c r="F2084" i="2"/>
  <c r="G2084" i="2" s="1"/>
  <c r="H2084" i="2" s="1"/>
  <c r="C2084" i="5" s="1"/>
  <c r="D2084" i="2"/>
  <c r="E2084" i="2" s="1"/>
  <c r="B2084" i="5" s="1"/>
  <c r="B2084" i="2"/>
  <c r="C2084" i="2" s="1"/>
  <c r="O2083" i="2"/>
  <c r="L2083" i="2"/>
  <c r="M2083" i="2" s="1"/>
  <c r="N2083" i="2" s="1"/>
  <c r="I2083" i="2"/>
  <c r="J2083" i="2" s="1"/>
  <c r="K2083" i="2" s="1"/>
  <c r="F2083" i="2"/>
  <c r="G2083" i="2" s="1"/>
  <c r="H2083" i="2" s="1"/>
  <c r="C2083" i="5" s="1"/>
  <c r="D2083" i="2"/>
  <c r="E2083" i="2" s="1"/>
  <c r="B2083" i="5" s="1"/>
  <c r="B2083" i="2"/>
  <c r="C2083" i="2" s="1"/>
  <c r="A2083" i="5" s="1"/>
  <c r="O2082" i="2"/>
  <c r="L2082" i="2"/>
  <c r="M2082" i="2" s="1"/>
  <c r="N2082" i="2" s="1"/>
  <c r="I2082" i="2"/>
  <c r="J2082" i="2" s="1"/>
  <c r="K2082" i="2" s="1"/>
  <c r="Y2082" i="2" s="1"/>
  <c r="F2082" i="2"/>
  <c r="G2082" i="2" s="1"/>
  <c r="H2082" i="2" s="1"/>
  <c r="C2082" i="5" s="1"/>
  <c r="D2082" i="2"/>
  <c r="E2082" i="2" s="1"/>
  <c r="B2082" i="5" s="1"/>
  <c r="B2082" i="2"/>
  <c r="C2082" i="2" s="1"/>
  <c r="O2081" i="2"/>
  <c r="L2081" i="2"/>
  <c r="M2081" i="2" s="1"/>
  <c r="N2081" i="2" s="1"/>
  <c r="I2081" i="2"/>
  <c r="J2081" i="2" s="1"/>
  <c r="K2081" i="2" s="1"/>
  <c r="F2081" i="2"/>
  <c r="G2081" i="2" s="1"/>
  <c r="H2081" i="2" s="1"/>
  <c r="C2081" i="5" s="1"/>
  <c r="D2081" i="2"/>
  <c r="E2081" i="2" s="1"/>
  <c r="B2081" i="5" s="1"/>
  <c r="B2081" i="2"/>
  <c r="C2081" i="2" s="1"/>
  <c r="A2081" i="5" s="1"/>
  <c r="O2080" i="2"/>
  <c r="L2080" i="2"/>
  <c r="M2080" i="2" s="1"/>
  <c r="N2080" i="2" s="1"/>
  <c r="I2080" i="2"/>
  <c r="J2080" i="2" s="1"/>
  <c r="K2080" i="2" s="1"/>
  <c r="F2080" i="2"/>
  <c r="G2080" i="2" s="1"/>
  <c r="H2080" i="2" s="1"/>
  <c r="C2080" i="5" s="1"/>
  <c r="D2080" i="2"/>
  <c r="E2080" i="2" s="1"/>
  <c r="B2080" i="5" s="1"/>
  <c r="B2080" i="2"/>
  <c r="C2080" i="2" s="1"/>
  <c r="O2079" i="2"/>
  <c r="L2079" i="2"/>
  <c r="M2079" i="2" s="1"/>
  <c r="N2079" i="2" s="1"/>
  <c r="I2079" i="2"/>
  <c r="J2079" i="2" s="1"/>
  <c r="K2079" i="2" s="1"/>
  <c r="F2079" i="2"/>
  <c r="G2079" i="2" s="1"/>
  <c r="H2079" i="2" s="1"/>
  <c r="C2079" i="5" s="1"/>
  <c r="D2079" i="2"/>
  <c r="E2079" i="2" s="1"/>
  <c r="B2079" i="5" s="1"/>
  <c r="B2079" i="2"/>
  <c r="C2079" i="2" s="1"/>
  <c r="A2079" i="5" s="1"/>
  <c r="O2078" i="2"/>
  <c r="L2078" i="2"/>
  <c r="M2078" i="2" s="1"/>
  <c r="N2078" i="2" s="1"/>
  <c r="I2078" i="2"/>
  <c r="J2078" i="2" s="1"/>
  <c r="K2078" i="2" s="1"/>
  <c r="Y2078" i="2" s="1"/>
  <c r="F2078" i="2"/>
  <c r="G2078" i="2" s="1"/>
  <c r="H2078" i="2" s="1"/>
  <c r="C2078" i="5" s="1"/>
  <c r="D2078" i="2"/>
  <c r="E2078" i="2" s="1"/>
  <c r="B2078" i="5" s="1"/>
  <c r="B2078" i="2"/>
  <c r="C2078" i="2" s="1"/>
  <c r="O2077" i="2"/>
  <c r="L2077" i="2"/>
  <c r="M2077" i="2" s="1"/>
  <c r="N2077" i="2" s="1"/>
  <c r="I2077" i="2"/>
  <c r="J2077" i="2" s="1"/>
  <c r="K2077" i="2" s="1"/>
  <c r="F2077" i="2"/>
  <c r="G2077" i="2" s="1"/>
  <c r="H2077" i="2" s="1"/>
  <c r="C2077" i="5" s="1"/>
  <c r="D2077" i="2"/>
  <c r="E2077" i="2" s="1"/>
  <c r="B2077" i="5" s="1"/>
  <c r="B2077" i="2"/>
  <c r="C2077" i="2" s="1"/>
  <c r="A2077" i="5" s="1"/>
  <c r="O2076" i="2"/>
  <c r="L2076" i="2"/>
  <c r="M2076" i="2" s="1"/>
  <c r="N2076" i="2" s="1"/>
  <c r="I2076" i="2"/>
  <c r="J2076" i="2" s="1"/>
  <c r="K2076" i="2" s="1"/>
  <c r="F2076" i="2"/>
  <c r="G2076" i="2" s="1"/>
  <c r="H2076" i="2" s="1"/>
  <c r="C2076" i="5" s="1"/>
  <c r="D2076" i="2"/>
  <c r="E2076" i="2" s="1"/>
  <c r="B2076" i="5" s="1"/>
  <c r="B2076" i="2"/>
  <c r="C2076" i="2" s="1"/>
  <c r="O2075" i="2"/>
  <c r="L2075" i="2"/>
  <c r="M2075" i="2" s="1"/>
  <c r="N2075" i="2" s="1"/>
  <c r="I2075" i="2"/>
  <c r="J2075" i="2" s="1"/>
  <c r="K2075" i="2" s="1"/>
  <c r="F2075" i="2"/>
  <c r="G2075" i="2" s="1"/>
  <c r="H2075" i="2" s="1"/>
  <c r="C2075" i="5" s="1"/>
  <c r="D2075" i="2"/>
  <c r="E2075" i="2" s="1"/>
  <c r="B2075" i="5" s="1"/>
  <c r="B2075" i="2"/>
  <c r="C2075" i="2" s="1"/>
  <c r="A2075" i="5" s="1"/>
  <c r="O2074" i="2"/>
  <c r="L2074" i="2"/>
  <c r="M2074" i="2" s="1"/>
  <c r="N2074" i="2" s="1"/>
  <c r="I2074" i="2"/>
  <c r="J2074" i="2" s="1"/>
  <c r="K2074" i="2" s="1"/>
  <c r="Y2074" i="2" s="1"/>
  <c r="F2074" i="2"/>
  <c r="G2074" i="2" s="1"/>
  <c r="H2074" i="2" s="1"/>
  <c r="C2074" i="5" s="1"/>
  <c r="D2074" i="2"/>
  <c r="E2074" i="2" s="1"/>
  <c r="B2074" i="5" s="1"/>
  <c r="B2074" i="2"/>
  <c r="C2074" i="2" s="1"/>
  <c r="O2073" i="2"/>
  <c r="L2073" i="2"/>
  <c r="M2073" i="2" s="1"/>
  <c r="N2073" i="2" s="1"/>
  <c r="I2073" i="2"/>
  <c r="J2073" i="2" s="1"/>
  <c r="K2073" i="2" s="1"/>
  <c r="F2073" i="2"/>
  <c r="G2073" i="2" s="1"/>
  <c r="H2073" i="2" s="1"/>
  <c r="C2073" i="5" s="1"/>
  <c r="D2073" i="2"/>
  <c r="E2073" i="2" s="1"/>
  <c r="B2073" i="5" s="1"/>
  <c r="B2073" i="2"/>
  <c r="C2073" i="2" s="1"/>
  <c r="A2073" i="5" s="1"/>
  <c r="O2072" i="2"/>
  <c r="L2072" i="2"/>
  <c r="M2072" i="2" s="1"/>
  <c r="N2072" i="2" s="1"/>
  <c r="I2072" i="2"/>
  <c r="J2072" i="2" s="1"/>
  <c r="K2072" i="2" s="1"/>
  <c r="F2072" i="2"/>
  <c r="G2072" i="2" s="1"/>
  <c r="H2072" i="2" s="1"/>
  <c r="C2072" i="5" s="1"/>
  <c r="D2072" i="2"/>
  <c r="E2072" i="2" s="1"/>
  <c r="B2072" i="5" s="1"/>
  <c r="B2072" i="2"/>
  <c r="C2072" i="2" s="1"/>
  <c r="O2071" i="2"/>
  <c r="L2071" i="2"/>
  <c r="M2071" i="2" s="1"/>
  <c r="N2071" i="2" s="1"/>
  <c r="I2071" i="2"/>
  <c r="J2071" i="2" s="1"/>
  <c r="K2071" i="2" s="1"/>
  <c r="F2071" i="2"/>
  <c r="G2071" i="2" s="1"/>
  <c r="H2071" i="2" s="1"/>
  <c r="C2071" i="5" s="1"/>
  <c r="D2071" i="2"/>
  <c r="E2071" i="2" s="1"/>
  <c r="B2071" i="5" s="1"/>
  <c r="B2071" i="2"/>
  <c r="C2071" i="2" s="1"/>
  <c r="A2071" i="5" s="1"/>
  <c r="O2070" i="2"/>
  <c r="L2070" i="2"/>
  <c r="M2070" i="2" s="1"/>
  <c r="N2070" i="2" s="1"/>
  <c r="I2070" i="2"/>
  <c r="J2070" i="2" s="1"/>
  <c r="K2070" i="2" s="1"/>
  <c r="Y2070" i="2" s="1"/>
  <c r="F2070" i="2"/>
  <c r="G2070" i="2" s="1"/>
  <c r="H2070" i="2" s="1"/>
  <c r="C2070" i="5" s="1"/>
  <c r="D2070" i="2"/>
  <c r="E2070" i="2" s="1"/>
  <c r="B2070" i="5" s="1"/>
  <c r="B2070" i="2"/>
  <c r="C2070" i="2" s="1"/>
  <c r="O2069" i="2"/>
  <c r="L2069" i="2"/>
  <c r="M2069" i="2" s="1"/>
  <c r="N2069" i="2" s="1"/>
  <c r="I2069" i="2"/>
  <c r="J2069" i="2" s="1"/>
  <c r="K2069" i="2" s="1"/>
  <c r="F2069" i="2"/>
  <c r="G2069" i="2" s="1"/>
  <c r="H2069" i="2" s="1"/>
  <c r="C2069" i="5" s="1"/>
  <c r="D2069" i="2"/>
  <c r="E2069" i="2" s="1"/>
  <c r="B2069" i="5" s="1"/>
  <c r="B2069" i="2"/>
  <c r="C2069" i="2" s="1"/>
  <c r="A2069" i="5" s="1"/>
  <c r="O2068" i="2"/>
  <c r="L2068" i="2"/>
  <c r="M2068" i="2" s="1"/>
  <c r="N2068" i="2" s="1"/>
  <c r="I2068" i="2"/>
  <c r="J2068" i="2" s="1"/>
  <c r="K2068" i="2" s="1"/>
  <c r="F2068" i="2"/>
  <c r="G2068" i="2" s="1"/>
  <c r="H2068" i="2" s="1"/>
  <c r="C2068" i="5" s="1"/>
  <c r="D2068" i="2"/>
  <c r="E2068" i="2" s="1"/>
  <c r="B2068" i="5" s="1"/>
  <c r="B2068" i="2"/>
  <c r="C2068" i="2" s="1"/>
  <c r="O2067" i="2"/>
  <c r="L2067" i="2"/>
  <c r="M2067" i="2" s="1"/>
  <c r="N2067" i="2" s="1"/>
  <c r="I2067" i="2"/>
  <c r="J2067" i="2" s="1"/>
  <c r="K2067" i="2" s="1"/>
  <c r="F2067" i="2"/>
  <c r="G2067" i="2" s="1"/>
  <c r="H2067" i="2" s="1"/>
  <c r="C2067" i="5" s="1"/>
  <c r="D2067" i="2"/>
  <c r="E2067" i="2" s="1"/>
  <c r="B2067" i="5" s="1"/>
  <c r="B2067" i="2"/>
  <c r="C2067" i="2" s="1"/>
  <c r="A2067" i="5" s="1"/>
  <c r="O2066" i="2"/>
  <c r="L2066" i="2"/>
  <c r="M2066" i="2" s="1"/>
  <c r="N2066" i="2" s="1"/>
  <c r="I2066" i="2"/>
  <c r="J2066" i="2" s="1"/>
  <c r="K2066" i="2" s="1"/>
  <c r="Y2066" i="2" s="1"/>
  <c r="F2066" i="2"/>
  <c r="G2066" i="2" s="1"/>
  <c r="H2066" i="2" s="1"/>
  <c r="C2066" i="5" s="1"/>
  <c r="D2066" i="2"/>
  <c r="E2066" i="2" s="1"/>
  <c r="B2066" i="5" s="1"/>
  <c r="B2066" i="2"/>
  <c r="C2066" i="2" s="1"/>
  <c r="O2065" i="2"/>
  <c r="L2065" i="2"/>
  <c r="M2065" i="2" s="1"/>
  <c r="N2065" i="2" s="1"/>
  <c r="I2065" i="2"/>
  <c r="J2065" i="2" s="1"/>
  <c r="K2065" i="2" s="1"/>
  <c r="F2065" i="2"/>
  <c r="G2065" i="2" s="1"/>
  <c r="H2065" i="2" s="1"/>
  <c r="C2065" i="5" s="1"/>
  <c r="D2065" i="2"/>
  <c r="E2065" i="2" s="1"/>
  <c r="B2065" i="5" s="1"/>
  <c r="B2065" i="2"/>
  <c r="C2065" i="2" s="1"/>
  <c r="A2065" i="5" s="1"/>
  <c r="O2064" i="2"/>
  <c r="L2064" i="2"/>
  <c r="M2064" i="2" s="1"/>
  <c r="N2064" i="2" s="1"/>
  <c r="I2064" i="2"/>
  <c r="J2064" i="2" s="1"/>
  <c r="K2064" i="2" s="1"/>
  <c r="F2064" i="2"/>
  <c r="G2064" i="2" s="1"/>
  <c r="H2064" i="2" s="1"/>
  <c r="C2064" i="5" s="1"/>
  <c r="D2064" i="2"/>
  <c r="E2064" i="2" s="1"/>
  <c r="B2064" i="5" s="1"/>
  <c r="B2064" i="2"/>
  <c r="C2064" i="2" s="1"/>
  <c r="O2063" i="2"/>
  <c r="L2063" i="2"/>
  <c r="M2063" i="2" s="1"/>
  <c r="N2063" i="2" s="1"/>
  <c r="I2063" i="2"/>
  <c r="J2063" i="2" s="1"/>
  <c r="K2063" i="2" s="1"/>
  <c r="F2063" i="2"/>
  <c r="G2063" i="2" s="1"/>
  <c r="H2063" i="2" s="1"/>
  <c r="C2063" i="5" s="1"/>
  <c r="D2063" i="2"/>
  <c r="E2063" i="2" s="1"/>
  <c r="B2063" i="5" s="1"/>
  <c r="B2063" i="2"/>
  <c r="C2063" i="2" s="1"/>
  <c r="A2063" i="5" s="1"/>
  <c r="O2062" i="2"/>
  <c r="L2062" i="2"/>
  <c r="M2062" i="2" s="1"/>
  <c r="N2062" i="2" s="1"/>
  <c r="I2062" i="2"/>
  <c r="J2062" i="2" s="1"/>
  <c r="K2062" i="2" s="1"/>
  <c r="Y2062" i="2" s="1"/>
  <c r="F2062" i="2"/>
  <c r="G2062" i="2" s="1"/>
  <c r="H2062" i="2" s="1"/>
  <c r="C2062" i="5" s="1"/>
  <c r="D2062" i="2"/>
  <c r="E2062" i="2" s="1"/>
  <c r="B2062" i="5" s="1"/>
  <c r="B2062" i="2"/>
  <c r="C2062" i="2" s="1"/>
  <c r="O2061" i="2"/>
  <c r="L2061" i="2"/>
  <c r="M2061" i="2" s="1"/>
  <c r="N2061" i="2" s="1"/>
  <c r="I2061" i="2"/>
  <c r="J2061" i="2" s="1"/>
  <c r="K2061" i="2" s="1"/>
  <c r="F2061" i="2"/>
  <c r="G2061" i="2" s="1"/>
  <c r="H2061" i="2" s="1"/>
  <c r="C2061" i="5" s="1"/>
  <c r="D2061" i="2"/>
  <c r="E2061" i="2" s="1"/>
  <c r="B2061" i="5" s="1"/>
  <c r="B2061" i="2"/>
  <c r="C2061" i="2" s="1"/>
  <c r="A2061" i="5" s="1"/>
  <c r="O2060" i="2"/>
  <c r="L2060" i="2"/>
  <c r="M2060" i="2" s="1"/>
  <c r="N2060" i="2" s="1"/>
  <c r="I2060" i="2"/>
  <c r="J2060" i="2" s="1"/>
  <c r="K2060" i="2" s="1"/>
  <c r="F2060" i="2"/>
  <c r="G2060" i="2" s="1"/>
  <c r="H2060" i="2" s="1"/>
  <c r="C2060" i="5" s="1"/>
  <c r="D2060" i="2"/>
  <c r="E2060" i="2" s="1"/>
  <c r="B2060" i="5" s="1"/>
  <c r="B2060" i="2"/>
  <c r="C2060" i="2" s="1"/>
  <c r="O2059" i="2"/>
  <c r="L2059" i="2"/>
  <c r="M2059" i="2" s="1"/>
  <c r="N2059" i="2" s="1"/>
  <c r="I2059" i="2"/>
  <c r="J2059" i="2" s="1"/>
  <c r="K2059" i="2" s="1"/>
  <c r="F2059" i="2"/>
  <c r="G2059" i="2" s="1"/>
  <c r="H2059" i="2" s="1"/>
  <c r="C2059" i="5" s="1"/>
  <c r="D2059" i="2"/>
  <c r="E2059" i="2" s="1"/>
  <c r="B2059" i="5" s="1"/>
  <c r="B2059" i="2"/>
  <c r="C2059" i="2" s="1"/>
  <c r="A2059" i="5" s="1"/>
  <c r="O2058" i="2"/>
  <c r="L2058" i="2"/>
  <c r="M2058" i="2" s="1"/>
  <c r="N2058" i="2" s="1"/>
  <c r="I2058" i="2"/>
  <c r="J2058" i="2" s="1"/>
  <c r="K2058" i="2" s="1"/>
  <c r="Y2058" i="2" s="1"/>
  <c r="F2058" i="2"/>
  <c r="G2058" i="2" s="1"/>
  <c r="H2058" i="2" s="1"/>
  <c r="C2058" i="5" s="1"/>
  <c r="D2058" i="2"/>
  <c r="E2058" i="2" s="1"/>
  <c r="B2058" i="5" s="1"/>
  <c r="B2058" i="2"/>
  <c r="C2058" i="2" s="1"/>
  <c r="O2057" i="2"/>
  <c r="L2057" i="2"/>
  <c r="M2057" i="2" s="1"/>
  <c r="N2057" i="2" s="1"/>
  <c r="I2057" i="2"/>
  <c r="J2057" i="2" s="1"/>
  <c r="K2057" i="2" s="1"/>
  <c r="F2057" i="2"/>
  <c r="G2057" i="2" s="1"/>
  <c r="H2057" i="2" s="1"/>
  <c r="C2057" i="5" s="1"/>
  <c r="D2057" i="2"/>
  <c r="E2057" i="2" s="1"/>
  <c r="B2057" i="5" s="1"/>
  <c r="B2057" i="2"/>
  <c r="C2057" i="2" s="1"/>
  <c r="A2057" i="5" s="1"/>
  <c r="O2056" i="2"/>
  <c r="L2056" i="2"/>
  <c r="M2056" i="2" s="1"/>
  <c r="N2056" i="2" s="1"/>
  <c r="I2056" i="2"/>
  <c r="J2056" i="2" s="1"/>
  <c r="K2056" i="2" s="1"/>
  <c r="F2056" i="2"/>
  <c r="G2056" i="2" s="1"/>
  <c r="H2056" i="2" s="1"/>
  <c r="C2056" i="5" s="1"/>
  <c r="D2056" i="2"/>
  <c r="E2056" i="2" s="1"/>
  <c r="B2056" i="5" s="1"/>
  <c r="B2056" i="2"/>
  <c r="C2056" i="2" s="1"/>
  <c r="O2055" i="2"/>
  <c r="L2055" i="2"/>
  <c r="M2055" i="2" s="1"/>
  <c r="N2055" i="2" s="1"/>
  <c r="I2055" i="2"/>
  <c r="J2055" i="2" s="1"/>
  <c r="K2055" i="2" s="1"/>
  <c r="F2055" i="2"/>
  <c r="G2055" i="2" s="1"/>
  <c r="H2055" i="2" s="1"/>
  <c r="C2055" i="5" s="1"/>
  <c r="D2055" i="2"/>
  <c r="E2055" i="2" s="1"/>
  <c r="B2055" i="5" s="1"/>
  <c r="B2055" i="2"/>
  <c r="C2055" i="2" s="1"/>
  <c r="A2055" i="5" s="1"/>
  <c r="O2054" i="2"/>
  <c r="L2054" i="2"/>
  <c r="M2054" i="2" s="1"/>
  <c r="N2054" i="2" s="1"/>
  <c r="I2054" i="2"/>
  <c r="J2054" i="2" s="1"/>
  <c r="K2054" i="2" s="1"/>
  <c r="Y2054" i="2" s="1"/>
  <c r="F2054" i="2"/>
  <c r="G2054" i="2" s="1"/>
  <c r="H2054" i="2" s="1"/>
  <c r="C2054" i="5" s="1"/>
  <c r="D2054" i="2"/>
  <c r="E2054" i="2" s="1"/>
  <c r="B2054" i="5" s="1"/>
  <c r="B2054" i="2"/>
  <c r="C2054" i="2" s="1"/>
  <c r="O2053" i="2"/>
  <c r="L2053" i="2"/>
  <c r="M2053" i="2" s="1"/>
  <c r="N2053" i="2" s="1"/>
  <c r="I2053" i="2"/>
  <c r="J2053" i="2" s="1"/>
  <c r="K2053" i="2" s="1"/>
  <c r="F2053" i="2"/>
  <c r="G2053" i="2" s="1"/>
  <c r="H2053" i="2" s="1"/>
  <c r="C2053" i="5" s="1"/>
  <c r="D2053" i="2"/>
  <c r="E2053" i="2" s="1"/>
  <c r="B2053" i="5" s="1"/>
  <c r="B2053" i="2"/>
  <c r="C2053" i="2" s="1"/>
  <c r="A2053" i="5" s="1"/>
  <c r="O2052" i="2"/>
  <c r="L2052" i="2"/>
  <c r="M2052" i="2" s="1"/>
  <c r="N2052" i="2" s="1"/>
  <c r="I2052" i="2"/>
  <c r="J2052" i="2" s="1"/>
  <c r="K2052" i="2" s="1"/>
  <c r="F2052" i="2"/>
  <c r="G2052" i="2" s="1"/>
  <c r="H2052" i="2" s="1"/>
  <c r="C2052" i="5" s="1"/>
  <c r="D2052" i="2"/>
  <c r="E2052" i="2" s="1"/>
  <c r="B2052" i="5" s="1"/>
  <c r="B2052" i="2"/>
  <c r="C2052" i="2" s="1"/>
  <c r="O2051" i="2"/>
  <c r="L2051" i="2"/>
  <c r="M2051" i="2" s="1"/>
  <c r="N2051" i="2" s="1"/>
  <c r="I2051" i="2"/>
  <c r="J2051" i="2" s="1"/>
  <c r="K2051" i="2" s="1"/>
  <c r="F2051" i="2"/>
  <c r="G2051" i="2" s="1"/>
  <c r="H2051" i="2" s="1"/>
  <c r="C2051" i="5" s="1"/>
  <c r="D2051" i="2"/>
  <c r="E2051" i="2" s="1"/>
  <c r="B2051" i="5" s="1"/>
  <c r="B2051" i="2"/>
  <c r="C2051" i="2" s="1"/>
  <c r="A2051" i="5" s="1"/>
  <c r="O2050" i="2"/>
  <c r="L2050" i="2"/>
  <c r="M2050" i="2" s="1"/>
  <c r="N2050" i="2" s="1"/>
  <c r="I2050" i="2"/>
  <c r="J2050" i="2" s="1"/>
  <c r="K2050" i="2" s="1"/>
  <c r="Y2050" i="2" s="1"/>
  <c r="F2050" i="2"/>
  <c r="G2050" i="2" s="1"/>
  <c r="H2050" i="2" s="1"/>
  <c r="C2050" i="5" s="1"/>
  <c r="D2050" i="2"/>
  <c r="E2050" i="2" s="1"/>
  <c r="B2050" i="5" s="1"/>
  <c r="B2050" i="2"/>
  <c r="C2050" i="2" s="1"/>
  <c r="O2049" i="2"/>
  <c r="L2049" i="2"/>
  <c r="M2049" i="2" s="1"/>
  <c r="N2049" i="2" s="1"/>
  <c r="I2049" i="2"/>
  <c r="J2049" i="2" s="1"/>
  <c r="K2049" i="2" s="1"/>
  <c r="F2049" i="2"/>
  <c r="G2049" i="2" s="1"/>
  <c r="H2049" i="2" s="1"/>
  <c r="C2049" i="5" s="1"/>
  <c r="D2049" i="2"/>
  <c r="E2049" i="2" s="1"/>
  <c r="B2049" i="5" s="1"/>
  <c r="B2049" i="2"/>
  <c r="C2049" i="2" s="1"/>
  <c r="A2049" i="5" s="1"/>
  <c r="O2048" i="2"/>
  <c r="L2048" i="2"/>
  <c r="M2048" i="2" s="1"/>
  <c r="N2048" i="2" s="1"/>
  <c r="I2048" i="2"/>
  <c r="J2048" i="2" s="1"/>
  <c r="K2048" i="2" s="1"/>
  <c r="F2048" i="2"/>
  <c r="G2048" i="2" s="1"/>
  <c r="H2048" i="2" s="1"/>
  <c r="C2048" i="5" s="1"/>
  <c r="D2048" i="2"/>
  <c r="E2048" i="2" s="1"/>
  <c r="B2048" i="5" s="1"/>
  <c r="B2048" i="2"/>
  <c r="C2048" i="2" s="1"/>
  <c r="O2047" i="2"/>
  <c r="L2047" i="2"/>
  <c r="M2047" i="2" s="1"/>
  <c r="N2047" i="2" s="1"/>
  <c r="I2047" i="2"/>
  <c r="J2047" i="2" s="1"/>
  <c r="K2047" i="2" s="1"/>
  <c r="F2047" i="2"/>
  <c r="G2047" i="2" s="1"/>
  <c r="H2047" i="2" s="1"/>
  <c r="C2047" i="5" s="1"/>
  <c r="D2047" i="2"/>
  <c r="E2047" i="2" s="1"/>
  <c r="B2047" i="5" s="1"/>
  <c r="B2047" i="2"/>
  <c r="C2047" i="2" s="1"/>
  <c r="A2047" i="5" s="1"/>
  <c r="O2046" i="2"/>
  <c r="L2046" i="2"/>
  <c r="M2046" i="2" s="1"/>
  <c r="N2046" i="2" s="1"/>
  <c r="E2046" i="5" s="1"/>
  <c r="I2046" i="2"/>
  <c r="J2046" i="2" s="1"/>
  <c r="K2046" i="2" s="1"/>
  <c r="F2046" i="2"/>
  <c r="G2046" i="2" s="1"/>
  <c r="H2046" i="2" s="1"/>
  <c r="C2046" i="5" s="1"/>
  <c r="D2046" i="2"/>
  <c r="E2046" i="2" s="1"/>
  <c r="B2046" i="5" s="1"/>
  <c r="B2046" i="2"/>
  <c r="C2046" i="2" s="1"/>
  <c r="A2046" i="5" s="1"/>
  <c r="O2045" i="2"/>
  <c r="L2045" i="2"/>
  <c r="M2045" i="2" s="1"/>
  <c r="N2045" i="2" s="1"/>
  <c r="I2045" i="2"/>
  <c r="J2045" i="2" s="1"/>
  <c r="K2045" i="2" s="1"/>
  <c r="F2045" i="2"/>
  <c r="G2045" i="2" s="1"/>
  <c r="H2045" i="2" s="1"/>
  <c r="C2045" i="5" s="1"/>
  <c r="D2045" i="2"/>
  <c r="E2045" i="2" s="1"/>
  <c r="B2045" i="5" s="1"/>
  <c r="B2045" i="2"/>
  <c r="C2045" i="2" s="1"/>
  <c r="A2045" i="5" s="1"/>
  <c r="O2044" i="2"/>
  <c r="L2044" i="2"/>
  <c r="M2044" i="2" s="1"/>
  <c r="N2044" i="2" s="1"/>
  <c r="E2044" i="5" s="1"/>
  <c r="I2044" i="2"/>
  <c r="J2044" i="2" s="1"/>
  <c r="K2044" i="2" s="1"/>
  <c r="F2044" i="2"/>
  <c r="G2044" i="2" s="1"/>
  <c r="H2044" i="2" s="1"/>
  <c r="C2044" i="5" s="1"/>
  <c r="D2044" i="2"/>
  <c r="E2044" i="2" s="1"/>
  <c r="B2044" i="5" s="1"/>
  <c r="B2044" i="2"/>
  <c r="C2044" i="2" s="1"/>
  <c r="A2044" i="5" s="1"/>
  <c r="O2043" i="2"/>
  <c r="L2043" i="2"/>
  <c r="M2043" i="2" s="1"/>
  <c r="N2043" i="2" s="1"/>
  <c r="I2043" i="2"/>
  <c r="J2043" i="2" s="1"/>
  <c r="K2043" i="2" s="1"/>
  <c r="F2043" i="2"/>
  <c r="G2043" i="2" s="1"/>
  <c r="H2043" i="2" s="1"/>
  <c r="C2043" i="5" s="1"/>
  <c r="D2043" i="2"/>
  <c r="E2043" i="2" s="1"/>
  <c r="B2043" i="5" s="1"/>
  <c r="B2043" i="2"/>
  <c r="C2043" i="2" s="1"/>
  <c r="A2043" i="5" s="1"/>
  <c r="O2042" i="2"/>
  <c r="L2042" i="2"/>
  <c r="M2042" i="2" s="1"/>
  <c r="N2042" i="2" s="1"/>
  <c r="E2042" i="5" s="1"/>
  <c r="I2042" i="2"/>
  <c r="J2042" i="2" s="1"/>
  <c r="K2042" i="2" s="1"/>
  <c r="F2042" i="2"/>
  <c r="G2042" i="2" s="1"/>
  <c r="H2042" i="2" s="1"/>
  <c r="C2042" i="5" s="1"/>
  <c r="D2042" i="2"/>
  <c r="E2042" i="2" s="1"/>
  <c r="B2042" i="5" s="1"/>
  <c r="B2042" i="2"/>
  <c r="C2042" i="2" s="1"/>
  <c r="A2042" i="5" s="1"/>
  <c r="O2041" i="2"/>
  <c r="L2041" i="2"/>
  <c r="M2041" i="2" s="1"/>
  <c r="N2041" i="2" s="1"/>
  <c r="I2041" i="2"/>
  <c r="J2041" i="2" s="1"/>
  <c r="K2041" i="2" s="1"/>
  <c r="F2041" i="2"/>
  <c r="G2041" i="2" s="1"/>
  <c r="H2041" i="2" s="1"/>
  <c r="C2041" i="5" s="1"/>
  <c r="D2041" i="2"/>
  <c r="E2041" i="2" s="1"/>
  <c r="B2041" i="5" s="1"/>
  <c r="B2041" i="2"/>
  <c r="C2041" i="2" s="1"/>
  <c r="A2041" i="5" s="1"/>
  <c r="O2040" i="2"/>
  <c r="L2040" i="2"/>
  <c r="M2040" i="2" s="1"/>
  <c r="N2040" i="2" s="1"/>
  <c r="E2040" i="5" s="1"/>
  <c r="I2040" i="2"/>
  <c r="J2040" i="2" s="1"/>
  <c r="K2040" i="2" s="1"/>
  <c r="F2040" i="2"/>
  <c r="G2040" i="2" s="1"/>
  <c r="H2040" i="2" s="1"/>
  <c r="C2040" i="5" s="1"/>
  <c r="D2040" i="2"/>
  <c r="E2040" i="2" s="1"/>
  <c r="B2040" i="5" s="1"/>
  <c r="B2040" i="2"/>
  <c r="C2040" i="2" s="1"/>
  <c r="O2039" i="2"/>
  <c r="L2039" i="2"/>
  <c r="M2039" i="2" s="1"/>
  <c r="N2039" i="2" s="1"/>
  <c r="I2039" i="2"/>
  <c r="J2039" i="2" s="1"/>
  <c r="K2039" i="2" s="1"/>
  <c r="F2039" i="2"/>
  <c r="G2039" i="2" s="1"/>
  <c r="H2039" i="2" s="1"/>
  <c r="C2039" i="5" s="1"/>
  <c r="D2039" i="2"/>
  <c r="E2039" i="2" s="1"/>
  <c r="B2039" i="5" s="1"/>
  <c r="B2039" i="2"/>
  <c r="C2039" i="2" s="1"/>
  <c r="A2039" i="5" s="1"/>
  <c r="O2038" i="2"/>
  <c r="L2038" i="2"/>
  <c r="M2038" i="2" s="1"/>
  <c r="N2038" i="2" s="1"/>
  <c r="E2038" i="5" s="1"/>
  <c r="I2038" i="2"/>
  <c r="J2038" i="2" s="1"/>
  <c r="K2038" i="2" s="1"/>
  <c r="F2038" i="2"/>
  <c r="G2038" i="2" s="1"/>
  <c r="H2038" i="2" s="1"/>
  <c r="C2038" i="5" s="1"/>
  <c r="D2038" i="2"/>
  <c r="E2038" i="2" s="1"/>
  <c r="B2038" i="5" s="1"/>
  <c r="B2038" i="2"/>
  <c r="C2038" i="2" s="1"/>
  <c r="O2037" i="2"/>
  <c r="L2037" i="2"/>
  <c r="M2037" i="2" s="1"/>
  <c r="N2037" i="2" s="1"/>
  <c r="I2037" i="2"/>
  <c r="J2037" i="2" s="1"/>
  <c r="K2037" i="2" s="1"/>
  <c r="F2037" i="2"/>
  <c r="G2037" i="2" s="1"/>
  <c r="H2037" i="2" s="1"/>
  <c r="C2037" i="5" s="1"/>
  <c r="D2037" i="2"/>
  <c r="E2037" i="2" s="1"/>
  <c r="B2037" i="5" s="1"/>
  <c r="B2037" i="2"/>
  <c r="C2037" i="2" s="1"/>
  <c r="A2037" i="5" s="1"/>
  <c r="O2036" i="2"/>
  <c r="L2036" i="2"/>
  <c r="M2036" i="2" s="1"/>
  <c r="N2036" i="2" s="1"/>
  <c r="E2036" i="5" s="1"/>
  <c r="I2036" i="2"/>
  <c r="J2036" i="2" s="1"/>
  <c r="K2036" i="2" s="1"/>
  <c r="F2036" i="2"/>
  <c r="G2036" i="2" s="1"/>
  <c r="H2036" i="2" s="1"/>
  <c r="C2036" i="5" s="1"/>
  <c r="D2036" i="2"/>
  <c r="E2036" i="2" s="1"/>
  <c r="B2036" i="5" s="1"/>
  <c r="B2036" i="2"/>
  <c r="C2036" i="2" s="1"/>
  <c r="O2035" i="2"/>
  <c r="L2035" i="2"/>
  <c r="M2035" i="2" s="1"/>
  <c r="N2035" i="2" s="1"/>
  <c r="I2035" i="2"/>
  <c r="J2035" i="2" s="1"/>
  <c r="K2035" i="2" s="1"/>
  <c r="F2035" i="2"/>
  <c r="G2035" i="2" s="1"/>
  <c r="H2035" i="2" s="1"/>
  <c r="C2035" i="5" s="1"/>
  <c r="D2035" i="2"/>
  <c r="E2035" i="2" s="1"/>
  <c r="B2035" i="5" s="1"/>
  <c r="B2035" i="2"/>
  <c r="C2035" i="2" s="1"/>
  <c r="A2035" i="5" s="1"/>
  <c r="O2034" i="2"/>
  <c r="L2034" i="2"/>
  <c r="M2034" i="2" s="1"/>
  <c r="N2034" i="2" s="1"/>
  <c r="E2034" i="5" s="1"/>
  <c r="I2034" i="2"/>
  <c r="J2034" i="2" s="1"/>
  <c r="K2034" i="2" s="1"/>
  <c r="F2034" i="2"/>
  <c r="G2034" i="2" s="1"/>
  <c r="H2034" i="2" s="1"/>
  <c r="C2034" i="5" s="1"/>
  <c r="D2034" i="2"/>
  <c r="E2034" i="2" s="1"/>
  <c r="B2034" i="5" s="1"/>
  <c r="B2034" i="2"/>
  <c r="C2034" i="2" s="1"/>
  <c r="O2033" i="2"/>
  <c r="L2033" i="2"/>
  <c r="M2033" i="2" s="1"/>
  <c r="N2033" i="2" s="1"/>
  <c r="I2033" i="2"/>
  <c r="J2033" i="2" s="1"/>
  <c r="K2033" i="2" s="1"/>
  <c r="F2033" i="2"/>
  <c r="G2033" i="2" s="1"/>
  <c r="H2033" i="2" s="1"/>
  <c r="C2033" i="5" s="1"/>
  <c r="D2033" i="2"/>
  <c r="E2033" i="2" s="1"/>
  <c r="B2033" i="5" s="1"/>
  <c r="B2033" i="2"/>
  <c r="C2033" i="2" s="1"/>
  <c r="A2033" i="5" s="1"/>
  <c r="O2032" i="2"/>
  <c r="L2032" i="2"/>
  <c r="M2032" i="2" s="1"/>
  <c r="N2032" i="2" s="1"/>
  <c r="E2032" i="5" s="1"/>
  <c r="I2032" i="2"/>
  <c r="J2032" i="2" s="1"/>
  <c r="K2032" i="2" s="1"/>
  <c r="F2032" i="2"/>
  <c r="G2032" i="2" s="1"/>
  <c r="H2032" i="2" s="1"/>
  <c r="C2032" i="5" s="1"/>
  <c r="D2032" i="2"/>
  <c r="E2032" i="2" s="1"/>
  <c r="B2032" i="5" s="1"/>
  <c r="B2032" i="2"/>
  <c r="C2032" i="2" s="1"/>
  <c r="O2031" i="2"/>
  <c r="L2031" i="2"/>
  <c r="M2031" i="2" s="1"/>
  <c r="N2031" i="2" s="1"/>
  <c r="I2031" i="2"/>
  <c r="J2031" i="2" s="1"/>
  <c r="K2031" i="2" s="1"/>
  <c r="F2031" i="2"/>
  <c r="G2031" i="2" s="1"/>
  <c r="H2031" i="2" s="1"/>
  <c r="C2031" i="5" s="1"/>
  <c r="D2031" i="2"/>
  <c r="E2031" i="2" s="1"/>
  <c r="B2031" i="5" s="1"/>
  <c r="B2031" i="2"/>
  <c r="C2031" i="2" s="1"/>
  <c r="A2031" i="5" s="1"/>
  <c r="O2030" i="2"/>
  <c r="L2030" i="2"/>
  <c r="M2030" i="2" s="1"/>
  <c r="N2030" i="2" s="1"/>
  <c r="E2030" i="5" s="1"/>
  <c r="I2030" i="2"/>
  <c r="J2030" i="2" s="1"/>
  <c r="K2030" i="2" s="1"/>
  <c r="F2030" i="2"/>
  <c r="G2030" i="2" s="1"/>
  <c r="H2030" i="2" s="1"/>
  <c r="C2030" i="5" s="1"/>
  <c r="D2030" i="2"/>
  <c r="E2030" i="2" s="1"/>
  <c r="B2030" i="5" s="1"/>
  <c r="B2030" i="2"/>
  <c r="C2030" i="2" s="1"/>
  <c r="O2029" i="2"/>
  <c r="L2029" i="2"/>
  <c r="M2029" i="2" s="1"/>
  <c r="N2029" i="2" s="1"/>
  <c r="I2029" i="2"/>
  <c r="J2029" i="2" s="1"/>
  <c r="K2029" i="2" s="1"/>
  <c r="F2029" i="2"/>
  <c r="G2029" i="2" s="1"/>
  <c r="H2029" i="2" s="1"/>
  <c r="C2029" i="5" s="1"/>
  <c r="D2029" i="2"/>
  <c r="E2029" i="2" s="1"/>
  <c r="B2029" i="5" s="1"/>
  <c r="B2029" i="2"/>
  <c r="C2029" i="2" s="1"/>
  <c r="A2029" i="5" s="1"/>
  <c r="O2028" i="2"/>
  <c r="L2028" i="2"/>
  <c r="M2028" i="2" s="1"/>
  <c r="N2028" i="2" s="1"/>
  <c r="E2028" i="5" s="1"/>
  <c r="I2028" i="2"/>
  <c r="J2028" i="2" s="1"/>
  <c r="K2028" i="2" s="1"/>
  <c r="F2028" i="2"/>
  <c r="G2028" i="2" s="1"/>
  <c r="H2028" i="2" s="1"/>
  <c r="C2028" i="5" s="1"/>
  <c r="D2028" i="2"/>
  <c r="E2028" i="2" s="1"/>
  <c r="B2028" i="5" s="1"/>
  <c r="B2028" i="2"/>
  <c r="C2028" i="2" s="1"/>
  <c r="O2027" i="2"/>
  <c r="L2027" i="2"/>
  <c r="M2027" i="2" s="1"/>
  <c r="N2027" i="2" s="1"/>
  <c r="I2027" i="2"/>
  <c r="J2027" i="2" s="1"/>
  <c r="K2027" i="2" s="1"/>
  <c r="F2027" i="2"/>
  <c r="G2027" i="2" s="1"/>
  <c r="H2027" i="2" s="1"/>
  <c r="C2027" i="5" s="1"/>
  <c r="D2027" i="2"/>
  <c r="E2027" i="2" s="1"/>
  <c r="B2027" i="5" s="1"/>
  <c r="B2027" i="2"/>
  <c r="C2027" i="2" s="1"/>
  <c r="A2027" i="5" s="1"/>
  <c r="O2026" i="2"/>
  <c r="L2026" i="2"/>
  <c r="M2026" i="2" s="1"/>
  <c r="N2026" i="2" s="1"/>
  <c r="E2026" i="5" s="1"/>
  <c r="I2026" i="2"/>
  <c r="J2026" i="2" s="1"/>
  <c r="K2026" i="2" s="1"/>
  <c r="F2026" i="2"/>
  <c r="G2026" i="2" s="1"/>
  <c r="H2026" i="2" s="1"/>
  <c r="C2026" i="5" s="1"/>
  <c r="D2026" i="2"/>
  <c r="E2026" i="2" s="1"/>
  <c r="B2026" i="5" s="1"/>
  <c r="B2026" i="2"/>
  <c r="C2026" i="2" s="1"/>
  <c r="O2025" i="2"/>
  <c r="L2025" i="2"/>
  <c r="M2025" i="2" s="1"/>
  <c r="N2025" i="2" s="1"/>
  <c r="I2025" i="2"/>
  <c r="J2025" i="2" s="1"/>
  <c r="K2025" i="2" s="1"/>
  <c r="F2025" i="2"/>
  <c r="G2025" i="2" s="1"/>
  <c r="H2025" i="2" s="1"/>
  <c r="C2025" i="5" s="1"/>
  <c r="D2025" i="2"/>
  <c r="E2025" i="2" s="1"/>
  <c r="B2025" i="5" s="1"/>
  <c r="B2025" i="2"/>
  <c r="C2025" i="2" s="1"/>
  <c r="A2025" i="5" s="1"/>
  <c r="O2024" i="2"/>
  <c r="L2024" i="2"/>
  <c r="M2024" i="2" s="1"/>
  <c r="N2024" i="2" s="1"/>
  <c r="E2024" i="5" s="1"/>
  <c r="I2024" i="2"/>
  <c r="J2024" i="2" s="1"/>
  <c r="K2024" i="2" s="1"/>
  <c r="F2024" i="2"/>
  <c r="G2024" i="2" s="1"/>
  <c r="H2024" i="2" s="1"/>
  <c r="C2024" i="5" s="1"/>
  <c r="D2024" i="2"/>
  <c r="E2024" i="2" s="1"/>
  <c r="B2024" i="5" s="1"/>
  <c r="B2024" i="2"/>
  <c r="C2024" i="2" s="1"/>
  <c r="O2023" i="2"/>
  <c r="L2023" i="2"/>
  <c r="M2023" i="2" s="1"/>
  <c r="N2023" i="2" s="1"/>
  <c r="I2023" i="2"/>
  <c r="J2023" i="2" s="1"/>
  <c r="K2023" i="2" s="1"/>
  <c r="F2023" i="2"/>
  <c r="G2023" i="2" s="1"/>
  <c r="H2023" i="2" s="1"/>
  <c r="C2023" i="5" s="1"/>
  <c r="D2023" i="2"/>
  <c r="E2023" i="2" s="1"/>
  <c r="B2023" i="5" s="1"/>
  <c r="B2023" i="2"/>
  <c r="C2023" i="2" s="1"/>
  <c r="A2023" i="5" s="1"/>
  <c r="O2022" i="2"/>
  <c r="L2022" i="2"/>
  <c r="M2022" i="2" s="1"/>
  <c r="N2022" i="2" s="1"/>
  <c r="E2022" i="5" s="1"/>
  <c r="I2022" i="2"/>
  <c r="J2022" i="2" s="1"/>
  <c r="K2022" i="2" s="1"/>
  <c r="F2022" i="2"/>
  <c r="G2022" i="2" s="1"/>
  <c r="H2022" i="2" s="1"/>
  <c r="C2022" i="5" s="1"/>
  <c r="D2022" i="2"/>
  <c r="E2022" i="2" s="1"/>
  <c r="B2022" i="5" s="1"/>
  <c r="B2022" i="2"/>
  <c r="C2022" i="2" s="1"/>
  <c r="A2022" i="5" s="1"/>
  <c r="O2021" i="2"/>
  <c r="L2021" i="2"/>
  <c r="M2021" i="2" s="1"/>
  <c r="N2021" i="2" s="1"/>
  <c r="I2021" i="2"/>
  <c r="J2021" i="2" s="1"/>
  <c r="K2021" i="2" s="1"/>
  <c r="F2021" i="2"/>
  <c r="G2021" i="2" s="1"/>
  <c r="H2021" i="2" s="1"/>
  <c r="C2021" i="5" s="1"/>
  <c r="D2021" i="2"/>
  <c r="E2021" i="2" s="1"/>
  <c r="B2021" i="5" s="1"/>
  <c r="B2021" i="2"/>
  <c r="C2021" i="2" s="1"/>
  <c r="A2021" i="5" s="1"/>
  <c r="O2020" i="2"/>
  <c r="L2020" i="2"/>
  <c r="M2020" i="2" s="1"/>
  <c r="N2020" i="2" s="1"/>
  <c r="I2020" i="2"/>
  <c r="J2020" i="2" s="1"/>
  <c r="K2020" i="2" s="1"/>
  <c r="F2020" i="2"/>
  <c r="G2020" i="2" s="1"/>
  <c r="H2020" i="2" s="1"/>
  <c r="C2020" i="5" s="1"/>
  <c r="D2020" i="2"/>
  <c r="E2020" i="2" s="1"/>
  <c r="B2020" i="5" s="1"/>
  <c r="B2020" i="2"/>
  <c r="C2020" i="2" s="1"/>
  <c r="A2020" i="5" s="1"/>
  <c r="O2019" i="2"/>
  <c r="L2019" i="2"/>
  <c r="M2019" i="2" s="1"/>
  <c r="N2019" i="2" s="1"/>
  <c r="I2019" i="2"/>
  <c r="J2019" i="2" s="1"/>
  <c r="K2019" i="2" s="1"/>
  <c r="F2019" i="2"/>
  <c r="G2019" i="2" s="1"/>
  <c r="H2019" i="2" s="1"/>
  <c r="C2019" i="5" s="1"/>
  <c r="D2019" i="2"/>
  <c r="E2019" i="2" s="1"/>
  <c r="B2019" i="5" s="1"/>
  <c r="B2019" i="2"/>
  <c r="C2019" i="2" s="1"/>
  <c r="A2019" i="5" s="1"/>
  <c r="O2018" i="2"/>
  <c r="L2018" i="2"/>
  <c r="M2018" i="2" s="1"/>
  <c r="N2018" i="2" s="1"/>
  <c r="I2018" i="2"/>
  <c r="J2018" i="2" s="1"/>
  <c r="K2018" i="2" s="1"/>
  <c r="Y2018" i="2" s="1"/>
  <c r="F2018" i="2"/>
  <c r="G2018" i="2" s="1"/>
  <c r="H2018" i="2" s="1"/>
  <c r="C2018" i="5" s="1"/>
  <c r="D2018" i="2"/>
  <c r="E2018" i="2" s="1"/>
  <c r="B2018" i="5" s="1"/>
  <c r="B2018" i="2"/>
  <c r="C2018" i="2" s="1"/>
  <c r="O2017" i="2"/>
  <c r="L2017" i="2"/>
  <c r="M2017" i="2" s="1"/>
  <c r="N2017" i="2" s="1"/>
  <c r="I2017" i="2"/>
  <c r="J2017" i="2" s="1"/>
  <c r="K2017" i="2" s="1"/>
  <c r="F2017" i="2"/>
  <c r="G2017" i="2" s="1"/>
  <c r="H2017" i="2" s="1"/>
  <c r="C2017" i="5" s="1"/>
  <c r="D2017" i="2"/>
  <c r="E2017" i="2" s="1"/>
  <c r="B2017" i="5" s="1"/>
  <c r="B2017" i="2"/>
  <c r="C2017" i="2" s="1"/>
  <c r="A2017" i="5" s="1"/>
  <c r="O2016" i="2"/>
  <c r="L2016" i="2"/>
  <c r="M2016" i="2" s="1"/>
  <c r="N2016" i="2" s="1"/>
  <c r="I2016" i="2"/>
  <c r="J2016" i="2" s="1"/>
  <c r="K2016" i="2" s="1"/>
  <c r="Y2016" i="2" s="1"/>
  <c r="F2016" i="2"/>
  <c r="G2016" i="2" s="1"/>
  <c r="H2016" i="2" s="1"/>
  <c r="C2016" i="5" s="1"/>
  <c r="D2016" i="2"/>
  <c r="E2016" i="2" s="1"/>
  <c r="B2016" i="5" s="1"/>
  <c r="B2016" i="2"/>
  <c r="C2016" i="2" s="1"/>
  <c r="O2015" i="2"/>
  <c r="L2015" i="2"/>
  <c r="M2015" i="2" s="1"/>
  <c r="N2015" i="2" s="1"/>
  <c r="I2015" i="2"/>
  <c r="J2015" i="2" s="1"/>
  <c r="K2015" i="2" s="1"/>
  <c r="F2015" i="2"/>
  <c r="G2015" i="2" s="1"/>
  <c r="H2015" i="2" s="1"/>
  <c r="C2015" i="5" s="1"/>
  <c r="D2015" i="2"/>
  <c r="E2015" i="2" s="1"/>
  <c r="B2015" i="5" s="1"/>
  <c r="B2015" i="2"/>
  <c r="C2015" i="2" s="1"/>
  <c r="A2015" i="5" s="1"/>
  <c r="O2014" i="2"/>
  <c r="L2014" i="2"/>
  <c r="M2014" i="2" s="1"/>
  <c r="N2014" i="2" s="1"/>
  <c r="I2014" i="2"/>
  <c r="J2014" i="2" s="1"/>
  <c r="K2014" i="2" s="1"/>
  <c r="Y2014" i="2" s="1"/>
  <c r="F2014" i="2"/>
  <c r="G2014" i="2" s="1"/>
  <c r="H2014" i="2" s="1"/>
  <c r="C2014" i="5" s="1"/>
  <c r="D2014" i="2"/>
  <c r="E2014" i="2" s="1"/>
  <c r="B2014" i="5" s="1"/>
  <c r="B2014" i="2"/>
  <c r="C2014" i="2" s="1"/>
  <c r="O2013" i="2"/>
  <c r="L2013" i="2"/>
  <c r="M2013" i="2" s="1"/>
  <c r="N2013" i="2" s="1"/>
  <c r="I2013" i="2"/>
  <c r="J2013" i="2" s="1"/>
  <c r="K2013" i="2" s="1"/>
  <c r="F2013" i="2"/>
  <c r="G2013" i="2" s="1"/>
  <c r="H2013" i="2" s="1"/>
  <c r="C2013" i="5" s="1"/>
  <c r="D2013" i="2"/>
  <c r="E2013" i="2" s="1"/>
  <c r="B2013" i="5" s="1"/>
  <c r="B2013" i="2"/>
  <c r="C2013" i="2" s="1"/>
  <c r="A2013" i="5" s="1"/>
  <c r="O2012" i="2"/>
  <c r="L2012" i="2"/>
  <c r="M2012" i="2" s="1"/>
  <c r="N2012" i="2" s="1"/>
  <c r="I2012" i="2"/>
  <c r="J2012" i="2" s="1"/>
  <c r="K2012" i="2" s="1"/>
  <c r="Y2012" i="2" s="1"/>
  <c r="F2012" i="2"/>
  <c r="G2012" i="2" s="1"/>
  <c r="H2012" i="2" s="1"/>
  <c r="C2012" i="5" s="1"/>
  <c r="D2012" i="2"/>
  <c r="E2012" i="2" s="1"/>
  <c r="B2012" i="5" s="1"/>
  <c r="B2012" i="2"/>
  <c r="C2012" i="2" s="1"/>
  <c r="O2011" i="2"/>
  <c r="L2011" i="2"/>
  <c r="M2011" i="2" s="1"/>
  <c r="N2011" i="2" s="1"/>
  <c r="I2011" i="2"/>
  <c r="J2011" i="2" s="1"/>
  <c r="K2011" i="2" s="1"/>
  <c r="F2011" i="2"/>
  <c r="G2011" i="2" s="1"/>
  <c r="H2011" i="2" s="1"/>
  <c r="C2011" i="5" s="1"/>
  <c r="D2011" i="2"/>
  <c r="E2011" i="2" s="1"/>
  <c r="B2011" i="5" s="1"/>
  <c r="B2011" i="2"/>
  <c r="C2011" i="2" s="1"/>
  <c r="A2011" i="5" s="1"/>
  <c r="O2010" i="2"/>
  <c r="L2010" i="2"/>
  <c r="M2010" i="2" s="1"/>
  <c r="N2010" i="2" s="1"/>
  <c r="I2010" i="2"/>
  <c r="J2010" i="2" s="1"/>
  <c r="K2010" i="2" s="1"/>
  <c r="Y2010" i="2" s="1"/>
  <c r="F2010" i="2"/>
  <c r="G2010" i="2" s="1"/>
  <c r="H2010" i="2" s="1"/>
  <c r="C2010" i="5" s="1"/>
  <c r="D2010" i="2"/>
  <c r="E2010" i="2" s="1"/>
  <c r="B2010" i="5" s="1"/>
  <c r="B2010" i="2"/>
  <c r="C2010" i="2" s="1"/>
  <c r="O2009" i="2"/>
  <c r="L2009" i="2"/>
  <c r="M2009" i="2" s="1"/>
  <c r="N2009" i="2" s="1"/>
  <c r="I2009" i="2"/>
  <c r="J2009" i="2" s="1"/>
  <c r="K2009" i="2" s="1"/>
  <c r="F2009" i="2"/>
  <c r="G2009" i="2" s="1"/>
  <c r="H2009" i="2" s="1"/>
  <c r="C2009" i="5" s="1"/>
  <c r="D2009" i="2"/>
  <c r="E2009" i="2" s="1"/>
  <c r="B2009" i="5" s="1"/>
  <c r="B2009" i="2"/>
  <c r="C2009" i="2" s="1"/>
  <c r="A2009" i="5" s="1"/>
  <c r="O2008" i="2"/>
  <c r="L2008" i="2"/>
  <c r="M2008" i="2" s="1"/>
  <c r="N2008" i="2" s="1"/>
  <c r="I2008" i="2"/>
  <c r="J2008" i="2" s="1"/>
  <c r="K2008" i="2" s="1"/>
  <c r="Y2008" i="2" s="1"/>
  <c r="F2008" i="2"/>
  <c r="G2008" i="2" s="1"/>
  <c r="H2008" i="2" s="1"/>
  <c r="C2008" i="5" s="1"/>
  <c r="D2008" i="2"/>
  <c r="E2008" i="2" s="1"/>
  <c r="B2008" i="5" s="1"/>
  <c r="B2008" i="2"/>
  <c r="C2008" i="2" s="1"/>
  <c r="O2007" i="2"/>
  <c r="L2007" i="2"/>
  <c r="M2007" i="2" s="1"/>
  <c r="N2007" i="2" s="1"/>
  <c r="I2007" i="2"/>
  <c r="J2007" i="2" s="1"/>
  <c r="K2007" i="2" s="1"/>
  <c r="F2007" i="2"/>
  <c r="G2007" i="2" s="1"/>
  <c r="H2007" i="2" s="1"/>
  <c r="C2007" i="5" s="1"/>
  <c r="D2007" i="2"/>
  <c r="E2007" i="2" s="1"/>
  <c r="B2007" i="5" s="1"/>
  <c r="B2007" i="2"/>
  <c r="C2007" i="2" s="1"/>
  <c r="A2007" i="5" s="1"/>
  <c r="O2006" i="2"/>
  <c r="L2006" i="2"/>
  <c r="M2006" i="2" s="1"/>
  <c r="N2006" i="2" s="1"/>
  <c r="I2006" i="2"/>
  <c r="J2006" i="2" s="1"/>
  <c r="K2006" i="2" s="1"/>
  <c r="Y2006" i="2" s="1"/>
  <c r="F2006" i="2"/>
  <c r="G2006" i="2" s="1"/>
  <c r="H2006" i="2" s="1"/>
  <c r="C2006" i="5" s="1"/>
  <c r="D2006" i="2"/>
  <c r="E2006" i="2" s="1"/>
  <c r="B2006" i="5" s="1"/>
  <c r="B2006" i="2"/>
  <c r="C2006" i="2" s="1"/>
  <c r="O2005" i="2"/>
  <c r="L2005" i="2"/>
  <c r="M2005" i="2" s="1"/>
  <c r="N2005" i="2" s="1"/>
  <c r="I2005" i="2"/>
  <c r="J2005" i="2" s="1"/>
  <c r="K2005" i="2" s="1"/>
  <c r="F2005" i="2"/>
  <c r="G2005" i="2" s="1"/>
  <c r="H2005" i="2" s="1"/>
  <c r="C2005" i="5" s="1"/>
  <c r="D2005" i="2"/>
  <c r="E2005" i="2" s="1"/>
  <c r="B2005" i="5" s="1"/>
  <c r="B2005" i="2"/>
  <c r="C2005" i="2" s="1"/>
  <c r="A2005" i="5" s="1"/>
  <c r="O2004" i="2"/>
  <c r="L2004" i="2"/>
  <c r="M2004" i="2" s="1"/>
  <c r="N2004" i="2" s="1"/>
  <c r="I2004" i="2"/>
  <c r="J2004" i="2" s="1"/>
  <c r="K2004" i="2" s="1"/>
  <c r="Y2004" i="2" s="1"/>
  <c r="F2004" i="2"/>
  <c r="G2004" i="2" s="1"/>
  <c r="H2004" i="2" s="1"/>
  <c r="C2004" i="5" s="1"/>
  <c r="D2004" i="2"/>
  <c r="E2004" i="2" s="1"/>
  <c r="B2004" i="5" s="1"/>
  <c r="B2004" i="2"/>
  <c r="C2004" i="2" s="1"/>
  <c r="O2003" i="2"/>
  <c r="L2003" i="2"/>
  <c r="M2003" i="2" s="1"/>
  <c r="N2003" i="2" s="1"/>
  <c r="I2003" i="2"/>
  <c r="J2003" i="2" s="1"/>
  <c r="K2003" i="2" s="1"/>
  <c r="F2003" i="2"/>
  <c r="G2003" i="2" s="1"/>
  <c r="H2003" i="2" s="1"/>
  <c r="C2003" i="5" s="1"/>
  <c r="D2003" i="2"/>
  <c r="E2003" i="2" s="1"/>
  <c r="B2003" i="5" s="1"/>
  <c r="B2003" i="2"/>
  <c r="C2003" i="2" s="1"/>
  <c r="A2003" i="5" s="1"/>
  <c r="O2002" i="2"/>
  <c r="L2002" i="2"/>
  <c r="M2002" i="2" s="1"/>
  <c r="N2002" i="2" s="1"/>
  <c r="I2002" i="2"/>
  <c r="J2002" i="2" s="1"/>
  <c r="K2002" i="2" s="1"/>
  <c r="Y2002" i="2" s="1"/>
  <c r="F2002" i="2"/>
  <c r="G2002" i="2" s="1"/>
  <c r="H2002" i="2" s="1"/>
  <c r="C2002" i="5" s="1"/>
  <c r="D2002" i="2"/>
  <c r="E2002" i="2" s="1"/>
  <c r="B2002" i="5" s="1"/>
  <c r="B2002" i="2"/>
  <c r="C2002" i="2" s="1"/>
  <c r="O2001" i="2"/>
  <c r="L2001" i="2"/>
  <c r="M2001" i="2" s="1"/>
  <c r="N2001" i="2" s="1"/>
  <c r="I2001" i="2"/>
  <c r="J2001" i="2" s="1"/>
  <c r="K2001" i="2" s="1"/>
  <c r="F2001" i="2"/>
  <c r="G2001" i="2" s="1"/>
  <c r="H2001" i="2" s="1"/>
  <c r="C2001" i="5" s="1"/>
  <c r="D2001" i="2"/>
  <c r="E2001" i="2" s="1"/>
  <c r="B2001" i="5" s="1"/>
  <c r="B2001" i="2"/>
  <c r="C2001" i="2" s="1"/>
  <c r="A2001" i="5" s="1"/>
  <c r="O2000" i="2"/>
  <c r="L2000" i="2"/>
  <c r="M2000" i="2" s="1"/>
  <c r="N2000" i="2" s="1"/>
  <c r="I2000" i="2"/>
  <c r="J2000" i="2" s="1"/>
  <c r="K2000" i="2" s="1"/>
  <c r="Y2000" i="2" s="1"/>
  <c r="F2000" i="2"/>
  <c r="G2000" i="2" s="1"/>
  <c r="H2000" i="2" s="1"/>
  <c r="C2000" i="5" s="1"/>
  <c r="D2000" i="2"/>
  <c r="E2000" i="2" s="1"/>
  <c r="B2000" i="5" s="1"/>
  <c r="B2000" i="2"/>
  <c r="C2000" i="2" s="1"/>
  <c r="O1999" i="2"/>
  <c r="L1999" i="2"/>
  <c r="M1999" i="2" s="1"/>
  <c r="N1999" i="2" s="1"/>
  <c r="I1999" i="2"/>
  <c r="J1999" i="2" s="1"/>
  <c r="K1999" i="2" s="1"/>
  <c r="F1999" i="2"/>
  <c r="G1999" i="2" s="1"/>
  <c r="H1999" i="2" s="1"/>
  <c r="C1999" i="5" s="1"/>
  <c r="D1999" i="2"/>
  <c r="E1999" i="2" s="1"/>
  <c r="B1999" i="5" s="1"/>
  <c r="B1999" i="2"/>
  <c r="C1999" i="2" s="1"/>
  <c r="A1999" i="5" s="1"/>
  <c r="O1998" i="2"/>
  <c r="L1998" i="2"/>
  <c r="M1998" i="2" s="1"/>
  <c r="N1998" i="2" s="1"/>
  <c r="I1998" i="2"/>
  <c r="J1998" i="2" s="1"/>
  <c r="K1998" i="2" s="1"/>
  <c r="Y1998" i="2" s="1"/>
  <c r="F1998" i="2"/>
  <c r="G1998" i="2" s="1"/>
  <c r="H1998" i="2" s="1"/>
  <c r="C1998" i="5" s="1"/>
  <c r="D1998" i="2"/>
  <c r="E1998" i="2" s="1"/>
  <c r="B1998" i="5" s="1"/>
  <c r="B1998" i="2"/>
  <c r="C1998" i="2" s="1"/>
  <c r="O1997" i="2"/>
  <c r="L1997" i="2"/>
  <c r="M1997" i="2" s="1"/>
  <c r="N1997" i="2" s="1"/>
  <c r="I1997" i="2"/>
  <c r="J1997" i="2" s="1"/>
  <c r="K1997" i="2" s="1"/>
  <c r="F1997" i="2"/>
  <c r="G1997" i="2" s="1"/>
  <c r="H1997" i="2" s="1"/>
  <c r="C1997" i="5" s="1"/>
  <c r="D1997" i="2"/>
  <c r="E1997" i="2" s="1"/>
  <c r="B1997" i="5" s="1"/>
  <c r="B1997" i="2"/>
  <c r="C1997" i="2" s="1"/>
  <c r="A1997" i="5" s="1"/>
  <c r="O1996" i="2"/>
  <c r="L1996" i="2"/>
  <c r="M1996" i="2" s="1"/>
  <c r="N1996" i="2" s="1"/>
  <c r="I1996" i="2"/>
  <c r="J1996" i="2" s="1"/>
  <c r="K1996" i="2" s="1"/>
  <c r="Y1996" i="2" s="1"/>
  <c r="F1996" i="2"/>
  <c r="G1996" i="2" s="1"/>
  <c r="H1996" i="2" s="1"/>
  <c r="C1996" i="5" s="1"/>
  <c r="D1996" i="2"/>
  <c r="E1996" i="2" s="1"/>
  <c r="B1996" i="5" s="1"/>
  <c r="B1996" i="2"/>
  <c r="C1996" i="2" s="1"/>
  <c r="O1995" i="2"/>
  <c r="L1995" i="2"/>
  <c r="M1995" i="2" s="1"/>
  <c r="N1995" i="2" s="1"/>
  <c r="I1995" i="2"/>
  <c r="J1995" i="2" s="1"/>
  <c r="K1995" i="2" s="1"/>
  <c r="F1995" i="2"/>
  <c r="G1995" i="2" s="1"/>
  <c r="H1995" i="2" s="1"/>
  <c r="C1995" i="5" s="1"/>
  <c r="D1995" i="2"/>
  <c r="E1995" i="2" s="1"/>
  <c r="B1995" i="5" s="1"/>
  <c r="B1995" i="2"/>
  <c r="C1995" i="2" s="1"/>
  <c r="A1995" i="5" s="1"/>
  <c r="O1994" i="2"/>
  <c r="L1994" i="2"/>
  <c r="M1994" i="2" s="1"/>
  <c r="N1994" i="2" s="1"/>
  <c r="I1994" i="2"/>
  <c r="J1994" i="2" s="1"/>
  <c r="K1994" i="2" s="1"/>
  <c r="Y1994" i="2" s="1"/>
  <c r="F1994" i="2"/>
  <c r="G1994" i="2" s="1"/>
  <c r="H1994" i="2" s="1"/>
  <c r="C1994" i="5" s="1"/>
  <c r="D1994" i="2"/>
  <c r="E1994" i="2" s="1"/>
  <c r="B1994" i="5" s="1"/>
  <c r="B1994" i="2"/>
  <c r="C1994" i="2" s="1"/>
  <c r="O1993" i="2"/>
  <c r="L1993" i="2"/>
  <c r="M1993" i="2" s="1"/>
  <c r="N1993" i="2" s="1"/>
  <c r="I1993" i="2"/>
  <c r="J1993" i="2" s="1"/>
  <c r="K1993" i="2" s="1"/>
  <c r="F1993" i="2"/>
  <c r="G1993" i="2" s="1"/>
  <c r="H1993" i="2" s="1"/>
  <c r="C1993" i="5" s="1"/>
  <c r="D1993" i="2"/>
  <c r="E1993" i="2" s="1"/>
  <c r="B1993" i="5" s="1"/>
  <c r="B1993" i="2"/>
  <c r="C1993" i="2" s="1"/>
  <c r="A1993" i="5" s="1"/>
  <c r="O1992" i="2"/>
  <c r="L1992" i="2"/>
  <c r="M1992" i="2" s="1"/>
  <c r="N1992" i="2" s="1"/>
  <c r="I1992" i="2"/>
  <c r="J1992" i="2" s="1"/>
  <c r="K1992" i="2" s="1"/>
  <c r="Y1992" i="2" s="1"/>
  <c r="F1992" i="2"/>
  <c r="G1992" i="2" s="1"/>
  <c r="H1992" i="2" s="1"/>
  <c r="C1992" i="5" s="1"/>
  <c r="D1992" i="2"/>
  <c r="E1992" i="2" s="1"/>
  <c r="B1992" i="5" s="1"/>
  <c r="B1992" i="2"/>
  <c r="C1992" i="2" s="1"/>
  <c r="O1991" i="2"/>
  <c r="L1991" i="2"/>
  <c r="M1991" i="2" s="1"/>
  <c r="N1991" i="2" s="1"/>
  <c r="I1991" i="2"/>
  <c r="J1991" i="2" s="1"/>
  <c r="K1991" i="2" s="1"/>
  <c r="F1991" i="2"/>
  <c r="G1991" i="2" s="1"/>
  <c r="H1991" i="2" s="1"/>
  <c r="C1991" i="5" s="1"/>
  <c r="D1991" i="2"/>
  <c r="E1991" i="2" s="1"/>
  <c r="B1991" i="5" s="1"/>
  <c r="B1991" i="2"/>
  <c r="C1991" i="2" s="1"/>
  <c r="A1991" i="5" s="1"/>
  <c r="O1990" i="2"/>
  <c r="L1990" i="2"/>
  <c r="M1990" i="2" s="1"/>
  <c r="N1990" i="2" s="1"/>
  <c r="I1990" i="2"/>
  <c r="J1990" i="2" s="1"/>
  <c r="K1990" i="2" s="1"/>
  <c r="Y1990" i="2" s="1"/>
  <c r="F1990" i="2"/>
  <c r="G1990" i="2" s="1"/>
  <c r="H1990" i="2" s="1"/>
  <c r="C1990" i="5" s="1"/>
  <c r="D1990" i="2"/>
  <c r="E1990" i="2" s="1"/>
  <c r="B1990" i="5" s="1"/>
  <c r="B1990" i="2"/>
  <c r="C1990" i="2" s="1"/>
  <c r="O1989" i="2"/>
  <c r="L1989" i="2"/>
  <c r="M1989" i="2" s="1"/>
  <c r="N1989" i="2" s="1"/>
  <c r="I1989" i="2"/>
  <c r="J1989" i="2" s="1"/>
  <c r="K1989" i="2" s="1"/>
  <c r="F1989" i="2"/>
  <c r="G1989" i="2" s="1"/>
  <c r="H1989" i="2" s="1"/>
  <c r="C1989" i="5" s="1"/>
  <c r="D1989" i="2"/>
  <c r="E1989" i="2" s="1"/>
  <c r="B1989" i="5" s="1"/>
  <c r="B1989" i="2"/>
  <c r="C1989" i="2" s="1"/>
  <c r="A1989" i="5" s="1"/>
  <c r="O1988" i="2"/>
  <c r="L1988" i="2"/>
  <c r="M1988" i="2" s="1"/>
  <c r="N1988" i="2" s="1"/>
  <c r="I1988" i="2"/>
  <c r="J1988" i="2" s="1"/>
  <c r="K1988" i="2" s="1"/>
  <c r="Y1988" i="2" s="1"/>
  <c r="F1988" i="2"/>
  <c r="G1988" i="2" s="1"/>
  <c r="H1988" i="2" s="1"/>
  <c r="C1988" i="5" s="1"/>
  <c r="D1988" i="2"/>
  <c r="E1988" i="2" s="1"/>
  <c r="B1988" i="5" s="1"/>
  <c r="B1988" i="2"/>
  <c r="C1988" i="2" s="1"/>
  <c r="O1987" i="2"/>
  <c r="L1987" i="2"/>
  <c r="M1987" i="2" s="1"/>
  <c r="N1987" i="2" s="1"/>
  <c r="I1987" i="2"/>
  <c r="J1987" i="2" s="1"/>
  <c r="K1987" i="2" s="1"/>
  <c r="F1987" i="2"/>
  <c r="G1987" i="2" s="1"/>
  <c r="H1987" i="2" s="1"/>
  <c r="C1987" i="5" s="1"/>
  <c r="D1987" i="2"/>
  <c r="E1987" i="2" s="1"/>
  <c r="B1987" i="5" s="1"/>
  <c r="B1987" i="2"/>
  <c r="C1987" i="2" s="1"/>
  <c r="A1987" i="5" s="1"/>
  <c r="O1986" i="2"/>
  <c r="L1986" i="2"/>
  <c r="M1986" i="2" s="1"/>
  <c r="N1986" i="2" s="1"/>
  <c r="I1986" i="2"/>
  <c r="J1986" i="2" s="1"/>
  <c r="K1986" i="2" s="1"/>
  <c r="Y1986" i="2" s="1"/>
  <c r="F1986" i="2"/>
  <c r="G1986" i="2" s="1"/>
  <c r="H1986" i="2" s="1"/>
  <c r="C1986" i="5" s="1"/>
  <c r="D1986" i="2"/>
  <c r="E1986" i="2" s="1"/>
  <c r="B1986" i="5" s="1"/>
  <c r="B1986" i="2"/>
  <c r="C1986" i="2" s="1"/>
  <c r="O1985" i="2"/>
  <c r="L1985" i="2"/>
  <c r="M1985" i="2" s="1"/>
  <c r="N1985" i="2" s="1"/>
  <c r="I1985" i="2"/>
  <c r="J1985" i="2" s="1"/>
  <c r="K1985" i="2" s="1"/>
  <c r="F1985" i="2"/>
  <c r="G1985" i="2" s="1"/>
  <c r="H1985" i="2" s="1"/>
  <c r="C1985" i="5" s="1"/>
  <c r="D1985" i="2"/>
  <c r="E1985" i="2" s="1"/>
  <c r="B1985" i="5" s="1"/>
  <c r="B1985" i="2"/>
  <c r="C1985" i="2" s="1"/>
  <c r="A1985" i="5" s="1"/>
  <c r="O1984" i="2"/>
  <c r="L1984" i="2"/>
  <c r="M1984" i="2" s="1"/>
  <c r="N1984" i="2" s="1"/>
  <c r="I1984" i="2"/>
  <c r="J1984" i="2" s="1"/>
  <c r="K1984" i="2" s="1"/>
  <c r="Y1984" i="2" s="1"/>
  <c r="F1984" i="2"/>
  <c r="G1984" i="2" s="1"/>
  <c r="H1984" i="2" s="1"/>
  <c r="C1984" i="5" s="1"/>
  <c r="D1984" i="2"/>
  <c r="E1984" i="2" s="1"/>
  <c r="B1984" i="5" s="1"/>
  <c r="B1984" i="2"/>
  <c r="C1984" i="2" s="1"/>
  <c r="O1983" i="2"/>
  <c r="L1983" i="2"/>
  <c r="M1983" i="2" s="1"/>
  <c r="N1983" i="2" s="1"/>
  <c r="I1983" i="2"/>
  <c r="J1983" i="2" s="1"/>
  <c r="K1983" i="2" s="1"/>
  <c r="F1983" i="2"/>
  <c r="G1983" i="2" s="1"/>
  <c r="H1983" i="2" s="1"/>
  <c r="C1983" i="5" s="1"/>
  <c r="D1983" i="2"/>
  <c r="E1983" i="2" s="1"/>
  <c r="B1983" i="5" s="1"/>
  <c r="B1983" i="2"/>
  <c r="C1983" i="2" s="1"/>
  <c r="A1983" i="5" s="1"/>
  <c r="O1982" i="2"/>
  <c r="L1982" i="2"/>
  <c r="M1982" i="2" s="1"/>
  <c r="N1982" i="2" s="1"/>
  <c r="I1982" i="2"/>
  <c r="J1982" i="2" s="1"/>
  <c r="K1982" i="2" s="1"/>
  <c r="Y1982" i="2" s="1"/>
  <c r="F1982" i="2"/>
  <c r="G1982" i="2" s="1"/>
  <c r="H1982" i="2" s="1"/>
  <c r="C1982" i="5" s="1"/>
  <c r="D1982" i="2"/>
  <c r="E1982" i="2" s="1"/>
  <c r="B1982" i="5" s="1"/>
  <c r="B1982" i="2"/>
  <c r="C1982" i="2" s="1"/>
  <c r="O1981" i="2"/>
  <c r="L1981" i="2"/>
  <c r="M1981" i="2" s="1"/>
  <c r="N1981" i="2" s="1"/>
  <c r="I1981" i="2"/>
  <c r="J1981" i="2" s="1"/>
  <c r="K1981" i="2" s="1"/>
  <c r="F1981" i="2"/>
  <c r="G1981" i="2" s="1"/>
  <c r="H1981" i="2" s="1"/>
  <c r="C1981" i="5" s="1"/>
  <c r="D1981" i="2"/>
  <c r="E1981" i="2" s="1"/>
  <c r="B1981" i="5" s="1"/>
  <c r="B1981" i="2"/>
  <c r="C1981" i="2" s="1"/>
  <c r="A1981" i="5" s="1"/>
  <c r="O1980" i="2"/>
  <c r="L1980" i="2"/>
  <c r="M1980" i="2" s="1"/>
  <c r="N1980" i="2" s="1"/>
  <c r="I1980" i="2"/>
  <c r="J1980" i="2" s="1"/>
  <c r="K1980" i="2" s="1"/>
  <c r="Y1980" i="2" s="1"/>
  <c r="F1980" i="2"/>
  <c r="G1980" i="2" s="1"/>
  <c r="H1980" i="2" s="1"/>
  <c r="C1980" i="5" s="1"/>
  <c r="D1980" i="2"/>
  <c r="E1980" i="2" s="1"/>
  <c r="B1980" i="5" s="1"/>
  <c r="B1980" i="2"/>
  <c r="C1980" i="2" s="1"/>
  <c r="O1979" i="2"/>
  <c r="L1979" i="2"/>
  <c r="M1979" i="2" s="1"/>
  <c r="N1979" i="2" s="1"/>
  <c r="I1979" i="2"/>
  <c r="J1979" i="2" s="1"/>
  <c r="K1979" i="2" s="1"/>
  <c r="F1979" i="2"/>
  <c r="G1979" i="2" s="1"/>
  <c r="H1979" i="2" s="1"/>
  <c r="C1979" i="5" s="1"/>
  <c r="D1979" i="2"/>
  <c r="E1979" i="2" s="1"/>
  <c r="B1979" i="5" s="1"/>
  <c r="B1979" i="2"/>
  <c r="C1979" i="2" s="1"/>
  <c r="A1979" i="5" s="1"/>
  <c r="O1978" i="2"/>
  <c r="L1978" i="2"/>
  <c r="M1978" i="2" s="1"/>
  <c r="N1978" i="2" s="1"/>
  <c r="I1978" i="2"/>
  <c r="J1978" i="2" s="1"/>
  <c r="K1978" i="2" s="1"/>
  <c r="Y1978" i="2" s="1"/>
  <c r="F1978" i="2"/>
  <c r="G1978" i="2" s="1"/>
  <c r="H1978" i="2" s="1"/>
  <c r="C1978" i="5" s="1"/>
  <c r="D1978" i="2"/>
  <c r="E1978" i="2" s="1"/>
  <c r="B1978" i="5" s="1"/>
  <c r="B1978" i="2"/>
  <c r="C1978" i="2" s="1"/>
  <c r="O1977" i="2"/>
  <c r="L1977" i="2"/>
  <c r="M1977" i="2" s="1"/>
  <c r="N1977" i="2" s="1"/>
  <c r="I1977" i="2"/>
  <c r="J1977" i="2" s="1"/>
  <c r="K1977" i="2" s="1"/>
  <c r="F1977" i="2"/>
  <c r="G1977" i="2" s="1"/>
  <c r="H1977" i="2" s="1"/>
  <c r="C1977" i="5" s="1"/>
  <c r="D1977" i="2"/>
  <c r="E1977" i="2" s="1"/>
  <c r="B1977" i="5" s="1"/>
  <c r="B1977" i="2"/>
  <c r="C1977" i="2" s="1"/>
  <c r="A1977" i="5" s="1"/>
  <c r="O1976" i="2"/>
  <c r="L1976" i="2"/>
  <c r="M1976" i="2" s="1"/>
  <c r="N1976" i="2" s="1"/>
  <c r="I1976" i="2"/>
  <c r="J1976" i="2" s="1"/>
  <c r="K1976" i="2" s="1"/>
  <c r="Y1976" i="2" s="1"/>
  <c r="F1976" i="2"/>
  <c r="G1976" i="2" s="1"/>
  <c r="H1976" i="2" s="1"/>
  <c r="C1976" i="5" s="1"/>
  <c r="D1976" i="2"/>
  <c r="E1976" i="2" s="1"/>
  <c r="B1976" i="5" s="1"/>
  <c r="B1976" i="2"/>
  <c r="C1976" i="2" s="1"/>
  <c r="O1975" i="2"/>
  <c r="L1975" i="2"/>
  <c r="M1975" i="2" s="1"/>
  <c r="N1975" i="2" s="1"/>
  <c r="I1975" i="2"/>
  <c r="J1975" i="2" s="1"/>
  <c r="K1975" i="2" s="1"/>
  <c r="F1975" i="2"/>
  <c r="G1975" i="2" s="1"/>
  <c r="H1975" i="2" s="1"/>
  <c r="C1975" i="5" s="1"/>
  <c r="D1975" i="2"/>
  <c r="E1975" i="2" s="1"/>
  <c r="B1975" i="5" s="1"/>
  <c r="B1975" i="2"/>
  <c r="C1975" i="2" s="1"/>
  <c r="A1975" i="5" s="1"/>
  <c r="O1974" i="2"/>
  <c r="L1974" i="2"/>
  <c r="M1974" i="2" s="1"/>
  <c r="N1974" i="2" s="1"/>
  <c r="I1974" i="2"/>
  <c r="J1974" i="2" s="1"/>
  <c r="K1974" i="2" s="1"/>
  <c r="Y1974" i="2" s="1"/>
  <c r="F1974" i="2"/>
  <c r="G1974" i="2" s="1"/>
  <c r="H1974" i="2" s="1"/>
  <c r="C1974" i="5" s="1"/>
  <c r="D1974" i="2"/>
  <c r="E1974" i="2" s="1"/>
  <c r="B1974" i="5" s="1"/>
  <c r="B1974" i="2"/>
  <c r="C1974" i="2" s="1"/>
  <c r="O1973" i="2"/>
  <c r="L1973" i="2"/>
  <c r="M1973" i="2" s="1"/>
  <c r="N1973" i="2" s="1"/>
  <c r="I1973" i="2"/>
  <c r="J1973" i="2" s="1"/>
  <c r="K1973" i="2" s="1"/>
  <c r="F1973" i="2"/>
  <c r="G1973" i="2" s="1"/>
  <c r="H1973" i="2" s="1"/>
  <c r="C1973" i="5" s="1"/>
  <c r="D1973" i="2"/>
  <c r="E1973" i="2" s="1"/>
  <c r="B1973" i="5" s="1"/>
  <c r="B1973" i="2"/>
  <c r="C1973" i="2" s="1"/>
  <c r="A1973" i="5" s="1"/>
  <c r="O1972" i="2"/>
  <c r="L1972" i="2"/>
  <c r="M1972" i="2" s="1"/>
  <c r="N1972" i="2" s="1"/>
  <c r="I1972" i="2"/>
  <c r="J1972" i="2" s="1"/>
  <c r="K1972" i="2" s="1"/>
  <c r="Y1972" i="2" s="1"/>
  <c r="F1972" i="2"/>
  <c r="G1972" i="2" s="1"/>
  <c r="H1972" i="2" s="1"/>
  <c r="C1972" i="5" s="1"/>
  <c r="D1972" i="2"/>
  <c r="E1972" i="2" s="1"/>
  <c r="B1972" i="5" s="1"/>
  <c r="B1972" i="2"/>
  <c r="C1972" i="2" s="1"/>
  <c r="O1971" i="2"/>
  <c r="L1971" i="2"/>
  <c r="M1971" i="2" s="1"/>
  <c r="N1971" i="2" s="1"/>
  <c r="I1971" i="2"/>
  <c r="J1971" i="2" s="1"/>
  <c r="K1971" i="2" s="1"/>
  <c r="F1971" i="2"/>
  <c r="G1971" i="2" s="1"/>
  <c r="H1971" i="2" s="1"/>
  <c r="C1971" i="5" s="1"/>
  <c r="D1971" i="2"/>
  <c r="E1971" i="2" s="1"/>
  <c r="B1971" i="5" s="1"/>
  <c r="B1971" i="2"/>
  <c r="C1971" i="2" s="1"/>
  <c r="A1971" i="5" s="1"/>
  <c r="O1970" i="2"/>
  <c r="L1970" i="2"/>
  <c r="M1970" i="2" s="1"/>
  <c r="N1970" i="2" s="1"/>
  <c r="I1970" i="2"/>
  <c r="J1970" i="2" s="1"/>
  <c r="K1970" i="2" s="1"/>
  <c r="Y1970" i="2" s="1"/>
  <c r="F1970" i="2"/>
  <c r="G1970" i="2" s="1"/>
  <c r="H1970" i="2" s="1"/>
  <c r="C1970" i="5" s="1"/>
  <c r="D1970" i="2"/>
  <c r="E1970" i="2" s="1"/>
  <c r="B1970" i="5" s="1"/>
  <c r="B1970" i="2"/>
  <c r="C1970" i="2" s="1"/>
  <c r="O1969" i="2"/>
  <c r="L1969" i="2"/>
  <c r="M1969" i="2" s="1"/>
  <c r="N1969" i="2" s="1"/>
  <c r="I1969" i="2"/>
  <c r="J1969" i="2" s="1"/>
  <c r="K1969" i="2" s="1"/>
  <c r="F1969" i="2"/>
  <c r="G1969" i="2" s="1"/>
  <c r="H1969" i="2" s="1"/>
  <c r="C1969" i="5" s="1"/>
  <c r="D1969" i="2"/>
  <c r="E1969" i="2" s="1"/>
  <c r="B1969" i="5" s="1"/>
  <c r="B1969" i="2"/>
  <c r="C1969" i="2" s="1"/>
  <c r="A1969" i="5" s="1"/>
  <c r="O1968" i="2"/>
  <c r="L1968" i="2"/>
  <c r="M1968" i="2" s="1"/>
  <c r="N1968" i="2" s="1"/>
  <c r="I1968" i="2"/>
  <c r="J1968" i="2" s="1"/>
  <c r="K1968" i="2" s="1"/>
  <c r="Y1968" i="2" s="1"/>
  <c r="F1968" i="2"/>
  <c r="G1968" i="2" s="1"/>
  <c r="H1968" i="2" s="1"/>
  <c r="C1968" i="5" s="1"/>
  <c r="D1968" i="2"/>
  <c r="E1968" i="2" s="1"/>
  <c r="B1968" i="5" s="1"/>
  <c r="B1968" i="2"/>
  <c r="C1968" i="2" s="1"/>
  <c r="O1967" i="2"/>
  <c r="L1967" i="2"/>
  <c r="M1967" i="2" s="1"/>
  <c r="N1967" i="2" s="1"/>
  <c r="I1967" i="2"/>
  <c r="J1967" i="2" s="1"/>
  <c r="K1967" i="2" s="1"/>
  <c r="F1967" i="2"/>
  <c r="G1967" i="2" s="1"/>
  <c r="H1967" i="2" s="1"/>
  <c r="C1967" i="5" s="1"/>
  <c r="D1967" i="2"/>
  <c r="E1967" i="2" s="1"/>
  <c r="B1967" i="5" s="1"/>
  <c r="B1967" i="2"/>
  <c r="C1967" i="2" s="1"/>
  <c r="A1967" i="5" s="1"/>
  <c r="O1966" i="2"/>
  <c r="L1966" i="2"/>
  <c r="M1966" i="2" s="1"/>
  <c r="N1966" i="2" s="1"/>
  <c r="I1966" i="2"/>
  <c r="J1966" i="2" s="1"/>
  <c r="K1966" i="2" s="1"/>
  <c r="Y1966" i="2" s="1"/>
  <c r="F1966" i="2"/>
  <c r="G1966" i="2" s="1"/>
  <c r="H1966" i="2" s="1"/>
  <c r="C1966" i="5" s="1"/>
  <c r="D1966" i="2"/>
  <c r="E1966" i="2" s="1"/>
  <c r="B1966" i="5" s="1"/>
  <c r="B1966" i="2"/>
  <c r="C1966" i="2" s="1"/>
  <c r="O1965" i="2"/>
  <c r="L1965" i="2"/>
  <c r="M1965" i="2" s="1"/>
  <c r="N1965" i="2" s="1"/>
  <c r="I1965" i="2"/>
  <c r="J1965" i="2" s="1"/>
  <c r="K1965" i="2" s="1"/>
  <c r="F1965" i="2"/>
  <c r="G1965" i="2" s="1"/>
  <c r="H1965" i="2" s="1"/>
  <c r="C1965" i="5" s="1"/>
  <c r="D1965" i="2"/>
  <c r="E1965" i="2" s="1"/>
  <c r="B1965" i="5" s="1"/>
  <c r="B1965" i="2"/>
  <c r="C1965" i="2" s="1"/>
  <c r="A1965" i="5" s="1"/>
  <c r="O1964" i="2"/>
  <c r="L1964" i="2"/>
  <c r="M1964" i="2" s="1"/>
  <c r="N1964" i="2" s="1"/>
  <c r="I1964" i="2"/>
  <c r="J1964" i="2" s="1"/>
  <c r="K1964" i="2" s="1"/>
  <c r="Y1964" i="2" s="1"/>
  <c r="F1964" i="2"/>
  <c r="G1964" i="2" s="1"/>
  <c r="H1964" i="2" s="1"/>
  <c r="C1964" i="5" s="1"/>
  <c r="D1964" i="2"/>
  <c r="E1964" i="2" s="1"/>
  <c r="B1964" i="5" s="1"/>
  <c r="B1964" i="2"/>
  <c r="C1964" i="2" s="1"/>
  <c r="O1963" i="2"/>
  <c r="L1963" i="2"/>
  <c r="M1963" i="2" s="1"/>
  <c r="N1963" i="2" s="1"/>
  <c r="I1963" i="2"/>
  <c r="J1963" i="2" s="1"/>
  <c r="K1963" i="2" s="1"/>
  <c r="F1963" i="2"/>
  <c r="G1963" i="2" s="1"/>
  <c r="H1963" i="2" s="1"/>
  <c r="C1963" i="5" s="1"/>
  <c r="D1963" i="2"/>
  <c r="E1963" i="2" s="1"/>
  <c r="B1963" i="5" s="1"/>
  <c r="B1963" i="2"/>
  <c r="C1963" i="2" s="1"/>
  <c r="A1963" i="5" s="1"/>
  <c r="O1962" i="2"/>
  <c r="L1962" i="2"/>
  <c r="M1962" i="2" s="1"/>
  <c r="N1962" i="2" s="1"/>
  <c r="I1962" i="2"/>
  <c r="J1962" i="2" s="1"/>
  <c r="K1962" i="2" s="1"/>
  <c r="Y1962" i="2" s="1"/>
  <c r="F1962" i="2"/>
  <c r="G1962" i="2" s="1"/>
  <c r="H1962" i="2" s="1"/>
  <c r="C1962" i="5" s="1"/>
  <c r="D1962" i="2"/>
  <c r="E1962" i="2" s="1"/>
  <c r="B1962" i="5" s="1"/>
  <c r="B1962" i="2"/>
  <c r="C1962" i="2" s="1"/>
  <c r="O1961" i="2"/>
  <c r="L1961" i="2"/>
  <c r="M1961" i="2" s="1"/>
  <c r="N1961" i="2" s="1"/>
  <c r="I1961" i="2"/>
  <c r="J1961" i="2" s="1"/>
  <c r="K1961" i="2" s="1"/>
  <c r="F1961" i="2"/>
  <c r="G1961" i="2" s="1"/>
  <c r="H1961" i="2" s="1"/>
  <c r="C1961" i="5" s="1"/>
  <c r="D1961" i="2"/>
  <c r="E1961" i="2" s="1"/>
  <c r="B1961" i="5" s="1"/>
  <c r="B1961" i="2"/>
  <c r="C1961" i="2" s="1"/>
  <c r="A1961" i="5" s="1"/>
  <c r="O1960" i="2"/>
  <c r="L1960" i="2"/>
  <c r="M1960" i="2" s="1"/>
  <c r="N1960" i="2" s="1"/>
  <c r="I1960" i="2"/>
  <c r="J1960" i="2" s="1"/>
  <c r="K1960" i="2" s="1"/>
  <c r="Y1960" i="2" s="1"/>
  <c r="F1960" i="2"/>
  <c r="G1960" i="2" s="1"/>
  <c r="H1960" i="2" s="1"/>
  <c r="C1960" i="5" s="1"/>
  <c r="D1960" i="2"/>
  <c r="E1960" i="2" s="1"/>
  <c r="B1960" i="5" s="1"/>
  <c r="B1960" i="2"/>
  <c r="C1960" i="2" s="1"/>
  <c r="O1959" i="2"/>
  <c r="L1959" i="2"/>
  <c r="M1959" i="2" s="1"/>
  <c r="N1959" i="2" s="1"/>
  <c r="I1959" i="2"/>
  <c r="J1959" i="2" s="1"/>
  <c r="K1959" i="2" s="1"/>
  <c r="F1959" i="2"/>
  <c r="G1959" i="2" s="1"/>
  <c r="H1959" i="2" s="1"/>
  <c r="C1959" i="5" s="1"/>
  <c r="D1959" i="2"/>
  <c r="E1959" i="2" s="1"/>
  <c r="B1959" i="5" s="1"/>
  <c r="B1959" i="2"/>
  <c r="C1959" i="2" s="1"/>
  <c r="A1959" i="5" s="1"/>
  <c r="O1958" i="2"/>
  <c r="L1958" i="2"/>
  <c r="M1958" i="2" s="1"/>
  <c r="N1958" i="2" s="1"/>
  <c r="I1958" i="2"/>
  <c r="J1958" i="2" s="1"/>
  <c r="K1958" i="2" s="1"/>
  <c r="Y1958" i="2" s="1"/>
  <c r="F1958" i="2"/>
  <c r="G1958" i="2" s="1"/>
  <c r="H1958" i="2" s="1"/>
  <c r="C1958" i="5" s="1"/>
  <c r="D1958" i="2"/>
  <c r="E1958" i="2" s="1"/>
  <c r="B1958" i="5" s="1"/>
  <c r="B1958" i="2"/>
  <c r="C1958" i="2" s="1"/>
  <c r="O1957" i="2"/>
  <c r="L1957" i="2"/>
  <c r="M1957" i="2" s="1"/>
  <c r="N1957" i="2" s="1"/>
  <c r="I1957" i="2"/>
  <c r="J1957" i="2" s="1"/>
  <c r="K1957" i="2" s="1"/>
  <c r="F1957" i="2"/>
  <c r="G1957" i="2" s="1"/>
  <c r="H1957" i="2" s="1"/>
  <c r="C1957" i="5" s="1"/>
  <c r="D1957" i="2"/>
  <c r="E1957" i="2" s="1"/>
  <c r="B1957" i="5" s="1"/>
  <c r="B1957" i="2"/>
  <c r="C1957" i="2" s="1"/>
  <c r="A1957" i="5" s="1"/>
  <c r="O1956" i="2"/>
  <c r="L1956" i="2"/>
  <c r="M1956" i="2" s="1"/>
  <c r="N1956" i="2" s="1"/>
  <c r="I1956" i="2"/>
  <c r="J1956" i="2" s="1"/>
  <c r="K1956" i="2" s="1"/>
  <c r="Y1956" i="2" s="1"/>
  <c r="F1956" i="2"/>
  <c r="G1956" i="2" s="1"/>
  <c r="H1956" i="2" s="1"/>
  <c r="C1956" i="5" s="1"/>
  <c r="D1956" i="2"/>
  <c r="E1956" i="2" s="1"/>
  <c r="B1956" i="5" s="1"/>
  <c r="B1956" i="2"/>
  <c r="C1956" i="2" s="1"/>
  <c r="O1955" i="2"/>
  <c r="L1955" i="2"/>
  <c r="M1955" i="2" s="1"/>
  <c r="N1955" i="2" s="1"/>
  <c r="I1955" i="2"/>
  <c r="J1955" i="2" s="1"/>
  <c r="K1955" i="2" s="1"/>
  <c r="F1955" i="2"/>
  <c r="G1955" i="2" s="1"/>
  <c r="H1955" i="2" s="1"/>
  <c r="C1955" i="5" s="1"/>
  <c r="D1955" i="2"/>
  <c r="E1955" i="2" s="1"/>
  <c r="B1955" i="5" s="1"/>
  <c r="B1955" i="2"/>
  <c r="C1955" i="2" s="1"/>
  <c r="A1955" i="5" s="1"/>
  <c r="O1954" i="2"/>
  <c r="L1954" i="2"/>
  <c r="M1954" i="2" s="1"/>
  <c r="N1954" i="2" s="1"/>
  <c r="I1954" i="2"/>
  <c r="J1954" i="2" s="1"/>
  <c r="K1954" i="2" s="1"/>
  <c r="Y1954" i="2" s="1"/>
  <c r="F1954" i="2"/>
  <c r="G1954" i="2" s="1"/>
  <c r="H1954" i="2" s="1"/>
  <c r="C1954" i="5" s="1"/>
  <c r="D1954" i="2"/>
  <c r="E1954" i="2" s="1"/>
  <c r="B1954" i="5" s="1"/>
  <c r="B1954" i="2"/>
  <c r="C1954" i="2" s="1"/>
  <c r="O1953" i="2"/>
  <c r="L1953" i="2"/>
  <c r="M1953" i="2" s="1"/>
  <c r="N1953" i="2" s="1"/>
  <c r="I1953" i="2"/>
  <c r="J1953" i="2" s="1"/>
  <c r="K1953" i="2" s="1"/>
  <c r="F1953" i="2"/>
  <c r="G1953" i="2" s="1"/>
  <c r="H1953" i="2" s="1"/>
  <c r="C1953" i="5" s="1"/>
  <c r="D1953" i="2"/>
  <c r="E1953" i="2" s="1"/>
  <c r="B1953" i="5" s="1"/>
  <c r="B1953" i="2"/>
  <c r="C1953" i="2" s="1"/>
  <c r="A1953" i="5" s="1"/>
  <c r="O1952" i="2"/>
  <c r="L1952" i="2"/>
  <c r="M1952" i="2" s="1"/>
  <c r="N1952" i="2" s="1"/>
  <c r="I1952" i="2"/>
  <c r="J1952" i="2" s="1"/>
  <c r="K1952" i="2" s="1"/>
  <c r="Y1952" i="2" s="1"/>
  <c r="F1952" i="2"/>
  <c r="G1952" i="2" s="1"/>
  <c r="H1952" i="2" s="1"/>
  <c r="C1952" i="5" s="1"/>
  <c r="D1952" i="2"/>
  <c r="E1952" i="2" s="1"/>
  <c r="B1952" i="5" s="1"/>
  <c r="B1952" i="2"/>
  <c r="C1952" i="2" s="1"/>
  <c r="O1951" i="2"/>
  <c r="L1951" i="2"/>
  <c r="M1951" i="2" s="1"/>
  <c r="N1951" i="2" s="1"/>
  <c r="I1951" i="2"/>
  <c r="J1951" i="2" s="1"/>
  <c r="K1951" i="2" s="1"/>
  <c r="F1951" i="2"/>
  <c r="G1951" i="2" s="1"/>
  <c r="H1951" i="2" s="1"/>
  <c r="C1951" i="5" s="1"/>
  <c r="D1951" i="2"/>
  <c r="E1951" i="2" s="1"/>
  <c r="B1951" i="5" s="1"/>
  <c r="B1951" i="2"/>
  <c r="C1951" i="2" s="1"/>
  <c r="A1951" i="5" s="1"/>
  <c r="O1950" i="2"/>
  <c r="L1950" i="2"/>
  <c r="M1950" i="2" s="1"/>
  <c r="N1950" i="2" s="1"/>
  <c r="I1950" i="2"/>
  <c r="J1950" i="2" s="1"/>
  <c r="K1950" i="2" s="1"/>
  <c r="F1950" i="2"/>
  <c r="G1950" i="2" s="1"/>
  <c r="H1950" i="2" s="1"/>
  <c r="C1950" i="5" s="1"/>
  <c r="D1950" i="2"/>
  <c r="E1950" i="2" s="1"/>
  <c r="B1950" i="5" s="1"/>
  <c r="B1950" i="2"/>
  <c r="C1950" i="2" s="1"/>
  <c r="O1949" i="2"/>
  <c r="L1949" i="2"/>
  <c r="M1949" i="2" s="1"/>
  <c r="N1949" i="2" s="1"/>
  <c r="I1949" i="2"/>
  <c r="J1949" i="2" s="1"/>
  <c r="K1949" i="2" s="1"/>
  <c r="F1949" i="2"/>
  <c r="G1949" i="2" s="1"/>
  <c r="H1949" i="2" s="1"/>
  <c r="C1949" i="5" s="1"/>
  <c r="D1949" i="2"/>
  <c r="E1949" i="2" s="1"/>
  <c r="B1949" i="5" s="1"/>
  <c r="B1949" i="2"/>
  <c r="C1949" i="2" s="1"/>
  <c r="A1949" i="5" s="1"/>
  <c r="O1948" i="2"/>
  <c r="L1948" i="2"/>
  <c r="M1948" i="2" s="1"/>
  <c r="N1948" i="2" s="1"/>
  <c r="I1948" i="2"/>
  <c r="J1948" i="2" s="1"/>
  <c r="K1948" i="2" s="1"/>
  <c r="Y1948" i="2" s="1"/>
  <c r="F1948" i="2"/>
  <c r="G1948" i="2" s="1"/>
  <c r="H1948" i="2" s="1"/>
  <c r="C1948" i="5" s="1"/>
  <c r="D1948" i="2"/>
  <c r="E1948" i="2" s="1"/>
  <c r="B1948" i="5" s="1"/>
  <c r="B1948" i="2"/>
  <c r="C1948" i="2" s="1"/>
  <c r="O1947" i="2"/>
  <c r="L1947" i="2"/>
  <c r="M1947" i="2" s="1"/>
  <c r="N1947" i="2" s="1"/>
  <c r="I1947" i="2"/>
  <c r="J1947" i="2" s="1"/>
  <c r="K1947" i="2" s="1"/>
  <c r="F1947" i="2"/>
  <c r="G1947" i="2" s="1"/>
  <c r="H1947" i="2" s="1"/>
  <c r="C1947" i="5" s="1"/>
  <c r="D1947" i="2"/>
  <c r="E1947" i="2" s="1"/>
  <c r="B1947" i="5" s="1"/>
  <c r="B1947" i="2"/>
  <c r="C1947" i="2" s="1"/>
  <c r="A1947" i="5" s="1"/>
  <c r="O1946" i="2"/>
  <c r="L1946" i="2"/>
  <c r="M1946" i="2" s="1"/>
  <c r="N1946" i="2" s="1"/>
  <c r="I1946" i="2"/>
  <c r="J1946" i="2" s="1"/>
  <c r="K1946" i="2" s="1"/>
  <c r="F1946" i="2"/>
  <c r="G1946" i="2" s="1"/>
  <c r="H1946" i="2" s="1"/>
  <c r="C1946" i="5" s="1"/>
  <c r="D1946" i="2"/>
  <c r="E1946" i="2" s="1"/>
  <c r="B1946" i="5" s="1"/>
  <c r="B1946" i="2"/>
  <c r="C1946" i="2" s="1"/>
  <c r="O1945" i="2"/>
  <c r="L1945" i="2"/>
  <c r="M1945" i="2" s="1"/>
  <c r="N1945" i="2" s="1"/>
  <c r="I1945" i="2"/>
  <c r="J1945" i="2" s="1"/>
  <c r="K1945" i="2" s="1"/>
  <c r="F1945" i="2"/>
  <c r="G1945" i="2" s="1"/>
  <c r="H1945" i="2" s="1"/>
  <c r="C1945" i="5" s="1"/>
  <c r="D1945" i="2"/>
  <c r="E1945" i="2" s="1"/>
  <c r="B1945" i="5" s="1"/>
  <c r="B1945" i="2"/>
  <c r="C1945" i="2" s="1"/>
  <c r="A1945" i="5" s="1"/>
  <c r="O1944" i="2"/>
  <c r="L1944" i="2"/>
  <c r="M1944" i="2" s="1"/>
  <c r="N1944" i="2" s="1"/>
  <c r="I1944" i="2"/>
  <c r="J1944" i="2" s="1"/>
  <c r="K1944" i="2" s="1"/>
  <c r="Y1944" i="2" s="1"/>
  <c r="F1944" i="2"/>
  <c r="G1944" i="2" s="1"/>
  <c r="H1944" i="2" s="1"/>
  <c r="C1944" i="5" s="1"/>
  <c r="D1944" i="2"/>
  <c r="E1944" i="2" s="1"/>
  <c r="B1944" i="5" s="1"/>
  <c r="B1944" i="2"/>
  <c r="C1944" i="2" s="1"/>
  <c r="O1943" i="2"/>
  <c r="L1943" i="2"/>
  <c r="M1943" i="2" s="1"/>
  <c r="N1943" i="2" s="1"/>
  <c r="I1943" i="2"/>
  <c r="J1943" i="2" s="1"/>
  <c r="K1943" i="2" s="1"/>
  <c r="F1943" i="2"/>
  <c r="G1943" i="2" s="1"/>
  <c r="H1943" i="2" s="1"/>
  <c r="C1943" i="5" s="1"/>
  <c r="D1943" i="2"/>
  <c r="E1943" i="2" s="1"/>
  <c r="B1943" i="5" s="1"/>
  <c r="B1943" i="2"/>
  <c r="C1943" i="2" s="1"/>
  <c r="A1943" i="5" s="1"/>
  <c r="O1942" i="2"/>
  <c r="L1942" i="2"/>
  <c r="M1942" i="2" s="1"/>
  <c r="N1942" i="2" s="1"/>
  <c r="I1942" i="2"/>
  <c r="J1942" i="2" s="1"/>
  <c r="K1942" i="2" s="1"/>
  <c r="F1942" i="2"/>
  <c r="G1942" i="2" s="1"/>
  <c r="H1942" i="2" s="1"/>
  <c r="C1942" i="5" s="1"/>
  <c r="D1942" i="2"/>
  <c r="E1942" i="2" s="1"/>
  <c r="B1942" i="5" s="1"/>
  <c r="B1942" i="2"/>
  <c r="C1942" i="2" s="1"/>
  <c r="O1941" i="2"/>
  <c r="L1941" i="2"/>
  <c r="M1941" i="2" s="1"/>
  <c r="N1941" i="2" s="1"/>
  <c r="I1941" i="2"/>
  <c r="J1941" i="2" s="1"/>
  <c r="K1941" i="2" s="1"/>
  <c r="F1941" i="2"/>
  <c r="G1941" i="2" s="1"/>
  <c r="H1941" i="2" s="1"/>
  <c r="C1941" i="5" s="1"/>
  <c r="D1941" i="2"/>
  <c r="E1941" i="2" s="1"/>
  <c r="B1941" i="5" s="1"/>
  <c r="B1941" i="2"/>
  <c r="C1941" i="2" s="1"/>
  <c r="A1941" i="5" s="1"/>
  <c r="O1940" i="2"/>
  <c r="L1940" i="2"/>
  <c r="M1940" i="2" s="1"/>
  <c r="N1940" i="2" s="1"/>
  <c r="I1940" i="2"/>
  <c r="J1940" i="2" s="1"/>
  <c r="K1940" i="2" s="1"/>
  <c r="Y1940" i="2" s="1"/>
  <c r="F1940" i="2"/>
  <c r="G1940" i="2" s="1"/>
  <c r="H1940" i="2" s="1"/>
  <c r="C1940" i="5" s="1"/>
  <c r="D1940" i="2"/>
  <c r="E1940" i="2" s="1"/>
  <c r="B1940" i="5" s="1"/>
  <c r="B1940" i="2"/>
  <c r="C1940" i="2" s="1"/>
  <c r="O1939" i="2"/>
  <c r="L1939" i="2"/>
  <c r="M1939" i="2" s="1"/>
  <c r="N1939" i="2" s="1"/>
  <c r="I1939" i="2"/>
  <c r="J1939" i="2" s="1"/>
  <c r="K1939" i="2" s="1"/>
  <c r="F1939" i="2"/>
  <c r="G1939" i="2" s="1"/>
  <c r="H1939" i="2" s="1"/>
  <c r="C1939" i="5" s="1"/>
  <c r="D1939" i="2"/>
  <c r="E1939" i="2" s="1"/>
  <c r="B1939" i="5" s="1"/>
  <c r="B1939" i="2"/>
  <c r="C1939" i="2" s="1"/>
  <c r="A1939" i="5" s="1"/>
  <c r="O1938" i="2"/>
  <c r="L1938" i="2"/>
  <c r="M1938" i="2" s="1"/>
  <c r="N1938" i="2" s="1"/>
  <c r="I1938" i="2"/>
  <c r="J1938" i="2" s="1"/>
  <c r="K1938" i="2" s="1"/>
  <c r="F1938" i="2"/>
  <c r="G1938" i="2" s="1"/>
  <c r="H1938" i="2" s="1"/>
  <c r="C1938" i="5" s="1"/>
  <c r="D1938" i="2"/>
  <c r="E1938" i="2" s="1"/>
  <c r="B1938" i="5" s="1"/>
  <c r="B1938" i="2"/>
  <c r="C1938" i="2" s="1"/>
  <c r="O1937" i="2"/>
  <c r="L1937" i="2"/>
  <c r="M1937" i="2" s="1"/>
  <c r="N1937" i="2" s="1"/>
  <c r="I1937" i="2"/>
  <c r="J1937" i="2" s="1"/>
  <c r="K1937" i="2" s="1"/>
  <c r="F1937" i="2"/>
  <c r="G1937" i="2" s="1"/>
  <c r="H1937" i="2" s="1"/>
  <c r="C1937" i="5" s="1"/>
  <c r="D1937" i="2"/>
  <c r="E1937" i="2" s="1"/>
  <c r="B1937" i="5" s="1"/>
  <c r="B1937" i="2"/>
  <c r="C1937" i="2" s="1"/>
  <c r="A1937" i="5" s="1"/>
  <c r="O1936" i="2"/>
  <c r="L1936" i="2"/>
  <c r="M1936" i="2" s="1"/>
  <c r="N1936" i="2" s="1"/>
  <c r="I1936" i="2"/>
  <c r="J1936" i="2" s="1"/>
  <c r="K1936" i="2" s="1"/>
  <c r="Y1936" i="2" s="1"/>
  <c r="F1936" i="2"/>
  <c r="G1936" i="2" s="1"/>
  <c r="H1936" i="2" s="1"/>
  <c r="C1936" i="5" s="1"/>
  <c r="D1936" i="2"/>
  <c r="E1936" i="2" s="1"/>
  <c r="B1936" i="5" s="1"/>
  <c r="B1936" i="2"/>
  <c r="C1936" i="2" s="1"/>
  <c r="O1935" i="2"/>
  <c r="L1935" i="2"/>
  <c r="M1935" i="2" s="1"/>
  <c r="N1935" i="2" s="1"/>
  <c r="I1935" i="2"/>
  <c r="J1935" i="2" s="1"/>
  <c r="K1935" i="2" s="1"/>
  <c r="F1935" i="2"/>
  <c r="G1935" i="2" s="1"/>
  <c r="H1935" i="2" s="1"/>
  <c r="C1935" i="5" s="1"/>
  <c r="D1935" i="2"/>
  <c r="E1935" i="2" s="1"/>
  <c r="B1935" i="5" s="1"/>
  <c r="B1935" i="2"/>
  <c r="C1935" i="2" s="1"/>
  <c r="A1935" i="5" s="1"/>
  <c r="O1934" i="2"/>
  <c r="L1934" i="2"/>
  <c r="M1934" i="2" s="1"/>
  <c r="N1934" i="2" s="1"/>
  <c r="I1934" i="2"/>
  <c r="J1934" i="2" s="1"/>
  <c r="K1934" i="2" s="1"/>
  <c r="F1934" i="2"/>
  <c r="G1934" i="2" s="1"/>
  <c r="H1934" i="2" s="1"/>
  <c r="C1934" i="5" s="1"/>
  <c r="D1934" i="2"/>
  <c r="E1934" i="2" s="1"/>
  <c r="B1934" i="5" s="1"/>
  <c r="B1934" i="2"/>
  <c r="C1934" i="2" s="1"/>
  <c r="O1933" i="2"/>
  <c r="L1933" i="2"/>
  <c r="M1933" i="2" s="1"/>
  <c r="N1933" i="2" s="1"/>
  <c r="I1933" i="2"/>
  <c r="J1933" i="2" s="1"/>
  <c r="K1933" i="2" s="1"/>
  <c r="F1933" i="2"/>
  <c r="G1933" i="2" s="1"/>
  <c r="H1933" i="2" s="1"/>
  <c r="C1933" i="5" s="1"/>
  <c r="D1933" i="2"/>
  <c r="E1933" i="2" s="1"/>
  <c r="B1933" i="5" s="1"/>
  <c r="B1933" i="2"/>
  <c r="C1933" i="2" s="1"/>
  <c r="A1933" i="5" s="1"/>
  <c r="O1932" i="2"/>
  <c r="L1932" i="2"/>
  <c r="M1932" i="2" s="1"/>
  <c r="N1932" i="2" s="1"/>
  <c r="I1932" i="2"/>
  <c r="J1932" i="2" s="1"/>
  <c r="K1932" i="2" s="1"/>
  <c r="Y1932" i="2" s="1"/>
  <c r="F1932" i="2"/>
  <c r="G1932" i="2" s="1"/>
  <c r="H1932" i="2" s="1"/>
  <c r="C1932" i="5" s="1"/>
  <c r="D1932" i="2"/>
  <c r="E1932" i="2" s="1"/>
  <c r="B1932" i="5" s="1"/>
  <c r="B1932" i="2"/>
  <c r="C1932" i="2" s="1"/>
  <c r="O1931" i="2"/>
  <c r="L1931" i="2"/>
  <c r="M1931" i="2" s="1"/>
  <c r="N1931" i="2" s="1"/>
  <c r="I1931" i="2"/>
  <c r="J1931" i="2" s="1"/>
  <c r="K1931" i="2" s="1"/>
  <c r="F1931" i="2"/>
  <c r="G1931" i="2" s="1"/>
  <c r="H1931" i="2" s="1"/>
  <c r="C1931" i="5" s="1"/>
  <c r="D1931" i="2"/>
  <c r="E1931" i="2" s="1"/>
  <c r="B1931" i="5" s="1"/>
  <c r="B1931" i="2"/>
  <c r="C1931" i="2" s="1"/>
  <c r="A1931" i="5" s="1"/>
  <c r="O1930" i="2"/>
  <c r="L1930" i="2"/>
  <c r="M1930" i="2" s="1"/>
  <c r="N1930" i="2" s="1"/>
  <c r="I1930" i="2"/>
  <c r="J1930" i="2" s="1"/>
  <c r="K1930" i="2" s="1"/>
  <c r="F1930" i="2"/>
  <c r="G1930" i="2" s="1"/>
  <c r="H1930" i="2" s="1"/>
  <c r="C1930" i="5" s="1"/>
  <c r="D1930" i="2"/>
  <c r="E1930" i="2" s="1"/>
  <c r="B1930" i="5" s="1"/>
  <c r="B1930" i="2"/>
  <c r="C1930" i="2" s="1"/>
  <c r="O1929" i="2"/>
  <c r="L1929" i="2"/>
  <c r="M1929" i="2" s="1"/>
  <c r="N1929" i="2" s="1"/>
  <c r="I1929" i="2"/>
  <c r="J1929" i="2" s="1"/>
  <c r="K1929" i="2" s="1"/>
  <c r="F1929" i="2"/>
  <c r="G1929" i="2" s="1"/>
  <c r="H1929" i="2" s="1"/>
  <c r="C1929" i="5" s="1"/>
  <c r="D1929" i="2"/>
  <c r="E1929" i="2" s="1"/>
  <c r="B1929" i="5" s="1"/>
  <c r="B1929" i="2"/>
  <c r="C1929" i="2" s="1"/>
  <c r="A1929" i="5" s="1"/>
  <c r="O1928" i="2"/>
  <c r="L1928" i="2"/>
  <c r="M1928" i="2" s="1"/>
  <c r="N1928" i="2" s="1"/>
  <c r="I1928" i="2"/>
  <c r="J1928" i="2" s="1"/>
  <c r="K1928" i="2" s="1"/>
  <c r="Y1928" i="2" s="1"/>
  <c r="F1928" i="2"/>
  <c r="G1928" i="2" s="1"/>
  <c r="H1928" i="2" s="1"/>
  <c r="C1928" i="5" s="1"/>
  <c r="D1928" i="2"/>
  <c r="E1928" i="2" s="1"/>
  <c r="B1928" i="5" s="1"/>
  <c r="B1928" i="2"/>
  <c r="C1928" i="2" s="1"/>
  <c r="O1927" i="2"/>
  <c r="L1927" i="2"/>
  <c r="M1927" i="2" s="1"/>
  <c r="N1927" i="2" s="1"/>
  <c r="I1927" i="2"/>
  <c r="J1927" i="2" s="1"/>
  <c r="K1927" i="2" s="1"/>
  <c r="F1927" i="2"/>
  <c r="G1927" i="2" s="1"/>
  <c r="H1927" i="2" s="1"/>
  <c r="C1927" i="5" s="1"/>
  <c r="D1927" i="2"/>
  <c r="E1927" i="2" s="1"/>
  <c r="B1927" i="5" s="1"/>
  <c r="B1927" i="2"/>
  <c r="C1927" i="2" s="1"/>
  <c r="A1927" i="5" s="1"/>
  <c r="O1926" i="2"/>
  <c r="L1926" i="2"/>
  <c r="M1926" i="2" s="1"/>
  <c r="N1926" i="2" s="1"/>
  <c r="I1926" i="2"/>
  <c r="J1926" i="2" s="1"/>
  <c r="K1926" i="2" s="1"/>
  <c r="F1926" i="2"/>
  <c r="G1926" i="2" s="1"/>
  <c r="H1926" i="2" s="1"/>
  <c r="C1926" i="5" s="1"/>
  <c r="D1926" i="2"/>
  <c r="E1926" i="2" s="1"/>
  <c r="B1926" i="5" s="1"/>
  <c r="B1926" i="2"/>
  <c r="C1926" i="2" s="1"/>
  <c r="O1925" i="2"/>
  <c r="L1925" i="2"/>
  <c r="M1925" i="2" s="1"/>
  <c r="N1925" i="2" s="1"/>
  <c r="I1925" i="2"/>
  <c r="J1925" i="2" s="1"/>
  <c r="K1925" i="2" s="1"/>
  <c r="F1925" i="2"/>
  <c r="G1925" i="2" s="1"/>
  <c r="H1925" i="2" s="1"/>
  <c r="C1925" i="5" s="1"/>
  <c r="D1925" i="2"/>
  <c r="E1925" i="2" s="1"/>
  <c r="B1925" i="5" s="1"/>
  <c r="B1925" i="2"/>
  <c r="C1925" i="2" s="1"/>
  <c r="A1925" i="5" s="1"/>
  <c r="O1924" i="2"/>
  <c r="L1924" i="2"/>
  <c r="M1924" i="2" s="1"/>
  <c r="N1924" i="2" s="1"/>
  <c r="I1924" i="2"/>
  <c r="J1924" i="2" s="1"/>
  <c r="K1924" i="2" s="1"/>
  <c r="Y1924" i="2" s="1"/>
  <c r="F1924" i="2"/>
  <c r="G1924" i="2" s="1"/>
  <c r="H1924" i="2" s="1"/>
  <c r="C1924" i="5" s="1"/>
  <c r="D1924" i="2"/>
  <c r="E1924" i="2" s="1"/>
  <c r="B1924" i="5" s="1"/>
  <c r="B1924" i="2"/>
  <c r="C1924" i="2" s="1"/>
  <c r="O1923" i="2"/>
  <c r="L1923" i="2"/>
  <c r="M1923" i="2" s="1"/>
  <c r="N1923" i="2" s="1"/>
  <c r="I1923" i="2"/>
  <c r="J1923" i="2" s="1"/>
  <c r="K1923" i="2" s="1"/>
  <c r="F1923" i="2"/>
  <c r="G1923" i="2" s="1"/>
  <c r="H1923" i="2" s="1"/>
  <c r="C1923" i="5" s="1"/>
  <c r="D1923" i="2"/>
  <c r="E1923" i="2" s="1"/>
  <c r="B1923" i="5" s="1"/>
  <c r="B1923" i="2"/>
  <c r="C1923" i="2" s="1"/>
  <c r="A1923" i="5" s="1"/>
  <c r="O1922" i="2"/>
  <c r="L1922" i="2"/>
  <c r="M1922" i="2" s="1"/>
  <c r="N1922" i="2" s="1"/>
  <c r="I1922" i="2"/>
  <c r="J1922" i="2" s="1"/>
  <c r="K1922" i="2" s="1"/>
  <c r="F1922" i="2"/>
  <c r="G1922" i="2" s="1"/>
  <c r="H1922" i="2" s="1"/>
  <c r="C1922" i="5" s="1"/>
  <c r="D1922" i="2"/>
  <c r="E1922" i="2" s="1"/>
  <c r="B1922" i="5" s="1"/>
  <c r="B1922" i="2"/>
  <c r="C1922" i="2" s="1"/>
  <c r="O1921" i="2"/>
  <c r="L1921" i="2"/>
  <c r="M1921" i="2" s="1"/>
  <c r="N1921" i="2" s="1"/>
  <c r="I1921" i="2"/>
  <c r="J1921" i="2" s="1"/>
  <c r="K1921" i="2" s="1"/>
  <c r="F1921" i="2"/>
  <c r="G1921" i="2" s="1"/>
  <c r="H1921" i="2" s="1"/>
  <c r="C1921" i="5" s="1"/>
  <c r="D1921" i="2"/>
  <c r="E1921" i="2" s="1"/>
  <c r="B1921" i="5" s="1"/>
  <c r="B1921" i="2"/>
  <c r="C1921" i="2" s="1"/>
  <c r="A1921" i="5" s="1"/>
  <c r="O1920" i="2"/>
  <c r="L1920" i="2"/>
  <c r="M1920" i="2" s="1"/>
  <c r="N1920" i="2" s="1"/>
  <c r="I1920" i="2"/>
  <c r="J1920" i="2" s="1"/>
  <c r="K1920" i="2" s="1"/>
  <c r="Y1920" i="2" s="1"/>
  <c r="F1920" i="2"/>
  <c r="G1920" i="2" s="1"/>
  <c r="H1920" i="2" s="1"/>
  <c r="C1920" i="5" s="1"/>
  <c r="D1920" i="2"/>
  <c r="E1920" i="2" s="1"/>
  <c r="B1920" i="5" s="1"/>
  <c r="B1920" i="2"/>
  <c r="C1920" i="2" s="1"/>
  <c r="O1919" i="2"/>
  <c r="L1919" i="2"/>
  <c r="M1919" i="2" s="1"/>
  <c r="N1919" i="2" s="1"/>
  <c r="I1919" i="2"/>
  <c r="J1919" i="2" s="1"/>
  <c r="K1919" i="2" s="1"/>
  <c r="F1919" i="2"/>
  <c r="G1919" i="2" s="1"/>
  <c r="H1919" i="2" s="1"/>
  <c r="C1919" i="5" s="1"/>
  <c r="D1919" i="2"/>
  <c r="E1919" i="2" s="1"/>
  <c r="B1919" i="5" s="1"/>
  <c r="B1919" i="2"/>
  <c r="C1919" i="2" s="1"/>
  <c r="A1919" i="5" s="1"/>
  <c r="O1918" i="2"/>
  <c r="L1918" i="2"/>
  <c r="M1918" i="2" s="1"/>
  <c r="N1918" i="2" s="1"/>
  <c r="I1918" i="2"/>
  <c r="J1918" i="2" s="1"/>
  <c r="K1918" i="2" s="1"/>
  <c r="F1918" i="2"/>
  <c r="G1918" i="2" s="1"/>
  <c r="H1918" i="2" s="1"/>
  <c r="C1918" i="5" s="1"/>
  <c r="D1918" i="2"/>
  <c r="E1918" i="2" s="1"/>
  <c r="B1918" i="5" s="1"/>
  <c r="B1918" i="2"/>
  <c r="C1918" i="2" s="1"/>
  <c r="O1917" i="2"/>
  <c r="L1917" i="2"/>
  <c r="M1917" i="2" s="1"/>
  <c r="N1917" i="2" s="1"/>
  <c r="I1917" i="2"/>
  <c r="J1917" i="2" s="1"/>
  <c r="K1917" i="2" s="1"/>
  <c r="F1917" i="2"/>
  <c r="G1917" i="2" s="1"/>
  <c r="H1917" i="2" s="1"/>
  <c r="C1917" i="5" s="1"/>
  <c r="D1917" i="2"/>
  <c r="E1917" i="2" s="1"/>
  <c r="B1917" i="5" s="1"/>
  <c r="B1917" i="2"/>
  <c r="C1917" i="2" s="1"/>
  <c r="A1917" i="5" s="1"/>
  <c r="O1916" i="2"/>
  <c r="L1916" i="2"/>
  <c r="M1916" i="2" s="1"/>
  <c r="N1916" i="2" s="1"/>
  <c r="I1916" i="2"/>
  <c r="J1916" i="2" s="1"/>
  <c r="K1916" i="2" s="1"/>
  <c r="Y1916" i="2" s="1"/>
  <c r="F1916" i="2"/>
  <c r="G1916" i="2" s="1"/>
  <c r="H1916" i="2" s="1"/>
  <c r="C1916" i="5" s="1"/>
  <c r="D1916" i="2"/>
  <c r="E1916" i="2" s="1"/>
  <c r="B1916" i="5" s="1"/>
  <c r="B1916" i="2"/>
  <c r="C1916" i="2" s="1"/>
  <c r="O1915" i="2"/>
  <c r="L1915" i="2"/>
  <c r="M1915" i="2" s="1"/>
  <c r="N1915" i="2" s="1"/>
  <c r="I1915" i="2"/>
  <c r="J1915" i="2" s="1"/>
  <c r="K1915" i="2" s="1"/>
  <c r="F1915" i="2"/>
  <c r="G1915" i="2" s="1"/>
  <c r="H1915" i="2" s="1"/>
  <c r="C1915" i="5" s="1"/>
  <c r="D1915" i="2"/>
  <c r="E1915" i="2" s="1"/>
  <c r="B1915" i="5" s="1"/>
  <c r="B1915" i="2"/>
  <c r="C1915" i="2" s="1"/>
  <c r="A1915" i="5" s="1"/>
  <c r="O1914" i="2"/>
  <c r="L1914" i="2"/>
  <c r="M1914" i="2" s="1"/>
  <c r="N1914" i="2" s="1"/>
  <c r="I1914" i="2"/>
  <c r="J1914" i="2" s="1"/>
  <c r="K1914" i="2" s="1"/>
  <c r="F1914" i="2"/>
  <c r="G1914" i="2" s="1"/>
  <c r="H1914" i="2" s="1"/>
  <c r="C1914" i="5" s="1"/>
  <c r="D1914" i="2"/>
  <c r="E1914" i="2" s="1"/>
  <c r="B1914" i="5" s="1"/>
  <c r="B1914" i="2"/>
  <c r="C1914" i="2" s="1"/>
  <c r="O1913" i="2"/>
  <c r="L1913" i="2"/>
  <c r="M1913" i="2" s="1"/>
  <c r="N1913" i="2" s="1"/>
  <c r="I1913" i="2"/>
  <c r="J1913" i="2" s="1"/>
  <c r="K1913" i="2" s="1"/>
  <c r="F1913" i="2"/>
  <c r="G1913" i="2" s="1"/>
  <c r="H1913" i="2" s="1"/>
  <c r="C1913" i="5" s="1"/>
  <c r="D1913" i="2"/>
  <c r="E1913" i="2" s="1"/>
  <c r="B1913" i="5" s="1"/>
  <c r="B1913" i="2"/>
  <c r="C1913" i="2" s="1"/>
  <c r="A1913" i="5" s="1"/>
  <c r="O1912" i="2"/>
  <c r="L1912" i="2"/>
  <c r="M1912" i="2" s="1"/>
  <c r="N1912" i="2" s="1"/>
  <c r="I1912" i="2"/>
  <c r="J1912" i="2" s="1"/>
  <c r="K1912" i="2" s="1"/>
  <c r="Y1912" i="2" s="1"/>
  <c r="F1912" i="2"/>
  <c r="G1912" i="2" s="1"/>
  <c r="H1912" i="2" s="1"/>
  <c r="C1912" i="5" s="1"/>
  <c r="D1912" i="2"/>
  <c r="E1912" i="2" s="1"/>
  <c r="B1912" i="5" s="1"/>
  <c r="B1912" i="2"/>
  <c r="C1912" i="2" s="1"/>
  <c r="O1911" i="2"/>
  <c r="L1911" i="2"/>
  <c r="M1911" i="2" s="1"/>
  <c r="N1911" i="2" s="1"/>
  <c r="I1911" i="2"/>
  <c r="J1911" i="2" s="1"/>
  <c r="K1911" i="2" s="1"/>
  <c r="F1911" i="2"/>
  <c r="G1911" i="2" s="1"/>
  <c r="H1911" i="2" s="1"/>
  <c r="C1911" i="5" s="1"/>
  <c r="D1911" i="2"/>
  <c r="E1911" i="2" s="1"/>
  <c r="B1911" i="5" s="1"/>
  <c r="B1911" i="2"/>
  <c r="C1911" i="2" s="1"/>
  <c r="A1911" i="5" s="1"/>
  <c r="O1910" i="2"/>
  <c r="L1910" i="2"/>
  <c r="M1910" i="2" s="1"/>
  <c r="N1910" i="2" s="1"/>
  <c r="I1910" i="2"/>
  <c r="J1910" i="2" s="1"/>
  <c r="K1910" i="2" s="1"/>
  <c r="F1910" i="2"/>
  <c r="G1910" i="2" s="1"/>
  <c r="H1910" i="2" s="1"/>
  <c r="C1910" i="5" s="1"/>
  <c r="D1910" i="2"/>
  <c r="E1910" i="2" s="1"/>
  <c r="B1910" i="5" s="1"/>
  <c r="B1910" i="2"/>
  <c r="C1910" i="2" s="1"/>
  <c r="O1909" i="2"/>
  <c r="L1909" i="2"/>
  <c r="M1909" i="2" s="1"/>
  <c r="N1909" i="2" s="1"/>
  <c r="I1909" i="2"/>
  <c r="J1909" i="2" s="1"/>
  <c r="K1909" i="2" s="1"/>
  <c r="F1909" i="2"/>
  <c r="G1909" i="2" s="1"/>
  <c r="H1909" i="2" s="1"/>
  <c r="C1909" i="5" s="1"/>
  <c r="D1909" i="2"/>
  <c r="E1909" i="2" s="1"/>
  <c r="B1909" i="5" s="1"/>
  <c r="B1909" i="2"/>
  <c r="C1909" i="2" s="1"/>
  <c r="A1909" i="5" s="1"/>
  <c r="O1908" i="2"/>
  <c r="L1908" i="2"/>
  <c r="M1908" i="2" s="1"/>
  <c r="N1908" i="2" s="1"/>
  <c r="I1908" i="2"/>
  <c r="J1908" i="2" s="1"/>
  <c r="K1908" i="2" s="1"/>
  <c r="Y1908" i="2" s="1"/>
  <c r="F1908" i="2"/>
  <c r="G1908" i="2" s="1"/>
  <c r="H1908" i="2" s="1"/>
  <c r="C1908" i="5" s="1"/>
  <c r="D1908" i="2"/>
  <c r="E1908" i="2" s="1"/>
  <c r="B1908" i="5" s="1"/>
  <c r="B1908" i="2"/>
  <c r="C1908" i="2" s="1"/>
  <c r="O1907" i="2"/>
  <c r="L1907" i="2"/>
  <c r="M1907" i="2" s="1"/>
  <c r="N1907" i="2" s="1"/>
  <c r="I1907" i="2"/>
  <c r="J1907" i="2" s="1"/>
  <c r="K1907" i="2" s="1"/>
  <c r="F1907" i="2"/>
  <c r="G1907" i="2" s="1"/>
  <c r="H1907" i="2" s="1"/>
  <c r="C1907" i="5" s="1"/>
  <c r="D1907" i="2"/>
  <c r="E1907" i="2" s="1"/>
  <c r="B1907" i="5" s="1"/>
  <c r="B1907" i="2"/>
  <c r="C1907" i="2" s="1"/>
  <c r="A1907" i="5" s="1"/>
  <c r="O1906" i="2"/>
  <c r="L1906" i="2"/>
  <c r="M1906" i="2" s="1"/>
  <c r="N1906" i="2" s="1"/>
  <c r="I1906" i="2"/>
  <c r="J1906" i="2" s="1"/>
  <c r="K1906" i="2" s="1"/>
  <c r="F1906" i="2"/>
  <c r="G1906" i="2" s="1"/>
  <c r="H1906" i="2" s="1"/>
  <c r="C1906" i="5" s="1"/>
  <c r="D1906" i="2"/>
  <c r="E1906" i="2" s="1"/>
  <c r="B1906" i="5" s="1"/>
  <c r="B1906" i="2"/>
  <c r="C1906" i="2" s="1"/>
  <c r="O1905" i="2"/>
  <c r="L1905" i="2"/>
  <c r="M1905" i="2" s="1"/>
  <c r="N1905" i="2" s="1"/>
  <c r="I1905" i="2"/>
  <c r="J1905" i="2" s="1"/>
  <c r="K1905" i="2" s="1"/>
  <c r="F1905" i="2"/>
  <c r="G1905" i="2" s="1"/>
  <c r="H1905" i="2" s="1"/>
  <c r="C1905" i="5" s="1"/>
  <c r="D1905" i="2"/>
  <c r="E1905" i="2" s="1"/>
  <c r="B1905" i="5" s="1"/>
  <c r="B1905" i="2"/>
  <c r="C1905" i="2" s="1"/>
  <c r="A1905" i="5" s="1"/>
  <c r="O1904" i="2"/>
  <c r="L1904" i="2"/>
  <c r="M1904" i="2" s="1"/>
  <c r="N1904" i="2" s="1"/>
  <c r="I1904" i="2"/>
  <c r="J1904" i="2" s="1"/>
  <c r="K1904" i="2" s="1"/>
  <c r="Y1904" i="2" s="1"/>
  <c r="F1904" i="2"/>
  <c r="G1904" i="2" s="1"/>
  <c r="H1904" i="2" s="1"/>
  <c r="C1904" i="5" s="1"/>
  <c r="D1904" i="2"/>
  <c r="E1904" i="2" s="1"/>
  <c r="B1904" i="5" s="1"/>
  <c r="B1904" i="2"/>
  <c r="C1904" i="2" s="1"/>
  <c r="O1903" i="2"/>
  <c r="L1903" i="2"/>
  <c r="M1903" i="2" s="1"/>
  <c r="N1903" i="2" s="1"/>
  <c r="I1903" i="2"/>
  <c r="J1903" i="2" s="1"/>
  <c r="K1903" i="2" s="1"/>
  <c r="F1903" i="2"/>
  <c r="G1903" i="2" s="1"/>
  <c r="H1903" i="2" s="1"/>
  <c r="C1903" i="5" s="1"/>
  <c r="D1903" i="2"/>
  <c r="E1903" i="2" s="1"/>
  <c r="B1903" i="5" s="1"/>
  <c r="B1903" i="2"/>
  <c r="C1903" i="2" s="1"/>
  <c r="A1903" i="5" s="1"/>
  <c r="O1902" i="2"/>
  <c r="L1902" i="2"/>
  <c r="M1902" i="2" s="1"/>
  <c r="N1902" i="2" s="1"/>
  <c r="I1902" i="2"/>
  <c r="J1902" i="2" s="1"/>
  <c r="K1902" i="2" s="1"/>
  <c r="F1902" i="2"/>
  <c r="G1902" i="2" s="1"/>
  <c r="H1902" i="2" s="1"/>
  <c r="C1902" i="5" s="1"/>
  <c r="D1902" i="2"/>
  <c r="E1902" i="2" s="1"/>
  <c r="B1902" i="5" s="1"/>
  <c r="B1902" i="2"/>
  <c r="C1902" i="2" s="1"/>
  <c r="O1901" i="2"/>
  <c r="L1901" i="2"/>
  <c r="M1901" i="2" s="1"/>
  <c r="N1901" i="2" s="1"/>
  <c r="I1901" i="2"/>
  <c r="J1901" i="2" s="1"/>
  <c r="K1901" i="2" s="1"/>
  <c r="F1901" i="2"/>
  <c r="G1901" i="2" s="1"/>
  <c r="H1901" i="2" s="1"/>
  <c r="C1901" i="5" s="1"/>
  <c r="D1901" i="2"/>
  <c r="E1901" i="2" s="1"/>
  <c r="B1901" i="5" s="1"/>
  <c r="B1901" i="2"/>
  <c r="C1901" i="2" s="1"/>
  <c r="A1901" i="5" s="1"/>
  <c r="O1900" i="2"/>
  <c r="L1900" i="2"/>
  <c r="M1900" i="2" s="1"/>
  <c r="N1900" i="2" s="1"/>
  <c r="I1900" i="2"/>
  <c r="J1900" i="2" s="1"/>
  <c r="K1900" i="2" s="1"/>
  <c r="Y1900" i="2" s="1"/>
  <c r="F1900" i="2"/>
  <c r="G1900" i="2" s="1"/>
  <c r="H1900" i="2" s="1"/>
  <c r="C1900" i="5" s="1"/>
  <c r="D1900" i="2"/>
  <c r="E1900" i="2" s="1"/>
  <c r="B1900" i="5" s="1"/>
  <c r="B1900" i="2"/>
  <c r="C1900" i="2" s="1"/>
  <c r="O1899" i="2"/>
  <c r="L1899" i="2"/>
  <c r="M1899" i="2" s="1"/>
  <c r="N1899" i="2" s="1"/>
  <c r="I1899" i="2"/>
  <c r="J1899" i="2" s="1"/>
  <c r="K1899" i="2" s="1"/>
  <c r="F1899" i="2"/>
  <c r="G1899" i="2" s="1"/>
  <c r="H1899" i="2" s="1"/>
  <c r="C1899" i="5" s="1"/>
  <c r="D1899" i="2"/>
  <c r="E1899" i="2" s="1"/>
  <c r="B1899" i="5" s="1"/>
  <c r="B1899" i="2"/>
  <c r="C1899" i="2" s="1"/>
  <c r="A1899" i="5" s="1"/>
  <c r="O1898" i="2"/>
  <c r="L1898" i="2"/>
  <c r="M1898" i="2" s="1"/>
  <c r="N1898" i="2" s="1"/>
  <c r="I1898" i="2"/>
  <c r="J1898" i="2" s="1"/>
  <c r="K1898" i="2" s="1"/>
  <c r="F1898" i="2"/>
  <c r="G1898" i="2" s="1"/>
  <c r="H1898" i="2" s="1"/>
  <c r="C1898" i="5" s="1"/>
  <c r="D1898" i="2"/>
  <c r="E1898" i="2" s="1"/>
  <c r="B1898" i="5" s="1"/>
  <c r="B1898" i="2"/>
  <c r="C1898" i="2" s="1"/>
  <c r="O1897" i="2"/>
  <c r="L1897" i="2"/>
  <c r="M1897" i="2" s="1"/>
  <c r="N1897" i="2" s="1"/>
  <c r="I1897" i="2"/>
  <c r="J1897" i="2" s="1"/>
  <c r="K1897" i="2" s="1"/>
  <c r="F1897" i="2"/>
  <c r="G1897" i="2" s="1"/>
  <c r="H1897" i="2" s="1"/>
  <c r="C1897" i="5" s="1"/>
  <c r="D1897" i="2"/>
  <c r="E1897" i="2" s="1"/>
  <c r="B1897" i="5" s="1"/>
  <c r="B1897" i="2"/>
  <c r="C1897" i="2" s="1"/>
  <c r="A1897" i="5" s="1"/>
  <c r="O1896" i="2"/>
  <c r="L1896" i="2"/>
  <c r="M1896" i="2" s="1"/>
  <c r="N1896" i="2" s="1"/>
  <c r="I1896" i="2"/>
  <c r="J1896" i="2" s="1"/>
  <c r="K1896" i="2" s="1"/>
  <c r="Y1896" i="2" s="1"/>
  <c r="F1896" i="2"/>
  <c r="G1896" i="2" s="1"/>
  <c r="H1896" i="2" s="1"/>
  <c r="C1896" i="5" s="1"/>
  <c r="D1896" i="2"/>
  <c r="E1896" i="2" s="1"/>
  <c r="B1896" i="5" s="1"/>
  <c r="B1896" i="2"/>
  <c r="C1896" i="2" s="1"/>
  <c r="O1895" i="2"/>
  <c r="L1895" i="2"/>
  <c r="M1895" i="2" s="1"/>
  <c r="N1895" i="2" s="1"/>
  <c r="I1895" i="2"/>
  <c r="J1895" i="2" s="1"/>
  <c r="K1895" i="2" s="1"/>
  <c r="F1895" i="2"/>
  <c r="G1895" i="2" s="1"/>
  <c r="H1895" i="2" s="1"/>
  <c r="C1895" i="5" s="1"/>
  <c r="D1895" i="2"/>
  <c r="E1895" i="2" s="1"/>
  <c r="B1895" i="5" s="1"/>
  <c r="B1895" i="2"/>
  <c r="C1895" i="2" s="1"/>
  <c r="A1895" i="5" s="1"/>
  <c r="O1894" i="2"/>
  <c r="L1894" i="2"/>
  <c r="M1894" i="2" s="1"/>
  <c r="N1894" i="2" s="1"/>
  <c r="I1894" i="2"/>
  <c r="J1894" i="2" s="1"/>
  <c r="K1894" i="2" s="1"/>
  <c r="F1894" i="2"/>
  <c r="G1894" i="2" s="1"/>
  <c r="H1894" i="2" s="1"/>
  <c r="C1894" i="5" s="1"/>
  <c r="D1894" i="2"/>
  <c r="E1894" i="2" s="1"/>
  <c r="B1894" i="5" s="1"/>
  <c r="B1894" i="2"/>
  <c r="C1894" i="2" s="1"/>
  <c r="O1893" i="2"/>
  <c r="L1893" i="2"/>
  <c r="M1893" i="2" s="1"/>
  <c r="N1893" i="2" s="1"/>
  <c r="I1893" i="2"/>
  <c r="J1893" i="2" s="1"/>
  <c r="K1893" i="2" s="1"/>
  <c r="F1893" i="2"/>
  <c r="G1893" i="2" s="1"/>
  <c r="H1893" i="2" s="1"/>
  <c r="C1893" i="5" s="1"/>
  <c r="D1893" i="2"/>
  <c r="E1893" i="2" s="1"/>
  <c r="B1893" i="5" s="1"/>
  <c r="B1893" i="2"/>
  <c r="C1893" i="2" s="1"/>
  <c r="A1893" i="5" s="1"/>
  <c r="O1892" i="2"/>
  <c r="L1892" i="2"/>
  <c r="M1892" i="2" s="1"/>
  <c r="N1892" i="2" s="1"/>
  <c r="I1892" i="2"/>
  <c r="J1892" i="2" s="1"/>
  <c r="K1892" i="2" s="1"/>
  <c r="Y1892" i="2" s="1"/>
  <c r="F1892" i="2"/>
  <c r="G1892" i="2" s="1"/>
  <c r="H1892" i="2" s="1"/>
  <c r="C1892" i="5" s="1"/>
  <c r="D1892" i="2"/>
  <c r="E1892" i="2" s="1"/>
  <c r="B1892" i="5" s="1"/>
  <c r="B1892" i="2"/>
  <c r="C1892" i="2" s="1"/>
  <c r="O1891" i="2"/>
  <c r="L1891" i="2"/>
  <c r="M1891" i="2" s="1"/>
  <c r="N1891" i="2" s="1"/>
  <c r="I1891" i="2"/>
  <c r="J1891" i="2" s="1"/>
  <c r="K1891" i="2" s="1"/>
  <c r="F1891" i="2"/>
  <c r="G1891" i="2" s="1"/>
  <c r="H1891" i="2" s="1"/>
  <c r="C1891" i="5" s="1"/>
  <c r="D1891" i="2"/>
  <c r="E1891" i="2" s="1"/>
  <c r="B1891" i="5" s="1"/>
  <c r="B1891" i="2"/>
  <c r="C1891" i="2" s="1"/>
  <c r="A1891" i="5" s="1"/>
  <c r="O1890" i="2"/>
  <c r="L1890" i="2"/>
  <c r="M1890" i="2" s="1"/>
  <c r="N1890" i="2" s="1"/>
  <c r="I1890" i="2"/>
  <c r="J1890" i="2" s="1"/>
  <c r="K1890" i="2" s="1"/>
  <c r="F1890" i="2"/>
  <c r="G1890" i="2" s="1"/>
  <c r="H1890" i="2" s="1"/>
  <c r="C1890" i="5" s="1"/>
  <c r="D1890" i="2"/>
  <c r="E1890" i="2" s="1"/>
  <c r="B1890" i="5" s="1"/>
  <c r="B1890" i="2"/>
  <c r="C1890" i="2" s="1"/>
  <c r="O1889" i="2"/>
  <c r="L1889" i="2"/>
  <c r="M1889" i="2" s="1"/>
  <c r="N1889" i="2" s="1"/>
  <c r="I1889" i="2"/>
  <c r="J1889" i="2" s="1"/>
  <c r="K1889" i="2" s="1"/>
  <c r="F1889" i="2"/>
  <c r="G1889" i="2" s="1"/>
  <c r="H1889" i="2" s="1"/>
  <c r="C1889" i="5" s="1"/>
  <c r="D1889" i="2"/>
  <c r="E1889" i="2" s="1"/>
  <c r="B1889" i="5" s="1"/>
  <c r="B1889" i="2"/>
  <c r="C1889" i="2" s="1"/>
  <c r="A1889" i="5" s="1"/>
  <c r="O1888" i="2"/>
  <c r="L1888" i="2"/>
  <c r="M1888" i="2" s="1"/>
  <c r="N1888" i="2" s="1"/>
  <c r="I1888" i="2"/>
  <c r="J1888" i="2" s="1"/>
  <c r="K1888" i="2" s="1"/>
  <c r="Y1888" i="2" s="1"/>
  <c r="F1888" i="2"/>
  <c r="G1888" i="2" s="1"/>
  <c r="H1888" i="2" s="1"/>
  <c r="C1888" i="5" s="1"/>
  <c r="D1888" i="2"/>
  <c r="E1888" i="2" s="1"/>
  <c r="B1888" i="5" s="1"/>
  <c r="B1888" i="2"/>
  <c r="C1888" i="2" s="1"/>
  <c r="O1887" i="2"/>
  <c r="L1887" i="2"/>
  <c r="M1887" i="2" s="1"/>
  <c r="N1887" i="2" s="1"/>
  <c r="I1887" i="2"/>
  <c r="J1887" i="2" s="1"/>
  <c r="K1887" i="2" s="1"/>
  <c r="F1887" i="2"/>
  <c r="G1887" i="2" s="1"/>
  <c r="H1887" i="2" s="1"/>
  <c r="C1887" i="5" s="1"/>
  <c r="D1887" i="2"/>
  <c r="E1887" i="2" s="1"/>
  <c r="B1887" i="5" s="1"/>
  <c r="B1887" i="2"/>
  <c r="C1887" i="2" s="1"/>
  <c r="A1887" i="5" s="1"/>
  <c r="O1886" i="2"/>
  <c r="L1886" i="2"/>
  <c r="M1886" i="2" s="1"/>
  <c r="N1886" i="2" s="1"/>
  <c r="I1886" i="2"/>
  <c r="J1886" i="2" s="1"/>
  <c r="K1886" i="2" s="1"/>
  <c r="F1886" i="2"/>
  <c r="G1886" i="2" s="1"/>
  <c r="H1886" i="2" s="1"/>
  <c r="C1886" i="5" s="1"/>
  <c r="D1886" i="2"/>
  <c r="E1886" i="2" s="1"/>
  <c r="B1886" i="5" s="1"/>
  <c r="B1886" i="2"/>
  <c r="C1886" i="2" s="1"/>
  <c r="O1885" i="2"/>
  <c r="L1885" i="2"/>
  <c r="M1885" i="2" s="1"/>
  <c r="N1885" i="2" s="1"/>
  <c r="I1885" i="2"/>
  <c r="J1885" i="2" s="1"/>
  <c r="K1885" i="2" s="1"/>
  <c r="F1885" i="2"/>
  <c r="G1885" i="2" s="1"/>
  <c r="H1885" i="2" s="1"/>
  <c r="C1885" i="5" s="1"/>
  <c r="D1885" i="2"/>
  <c r="E1885" i="2" s="1"/>
  <c r="B1885" i="5" s="1"/>
  <c r="B1885" i="2"/>
  <c r="C1885" i="2" s="1"/>
  <c r="A1885" i="5" s="1"/>
  <c r="O1884" i="2"/>
  <c r="L1884" i="2"/>
  <c r="M1884" i="2" s="1"/>
  <c r="N1884" i="2" s="1"/>
  <c r="I1884" i="2"/>
  <c r="J1884" i="2" s="1"/>
  <c r="K1884" i="2" s="1"/>
  <c r="Y1884" i="2" s="1"/>
  <c r="F1884" i="2"/>
  <c r="G1884" i="2" s="1"/>
  <c r="H1884" i="2" s="1"/>
  <c r="C1884" i="5" s="1"/>
  <c r="D1884" i="2"/>
  <c r="E1884" i="2" s="1"/>
  <c r="B1884" i="5" s="1"/>
  <c r="B1884" i="2"/>
  <c r="C1884" i="2" s="1"/>
  <c r="O1883" i="2"/>
  <c r="L1883" i="2"/>
  <c r="M1883" i="2" s="1"/>
  <c r="N1883" i="2" s="1"/>
  <c r="I1883" i="2"/>
  <c r="J1883" i="2" s="1"/>
  <c r="K1883" i="2" s="1"/>
  <c r="F1883" i="2"/>
  <c r="G1883" i="2" s="1"/>
  <c r="H1883" i="2" s="1"/>
  <c r="C1883" i="5" s="1"/>
  <c r="D1883" i="2"/>
  <c r="E1883" i="2" s="1"/>
  <c r="B1883" i="5" s="1"/>
  <c r="B1883" i="2"/>
  <c r="C1883" i="2" s="1"/>
  <c r="A1883" i="5" s="1"/>
  <c r="O1882" i="2"/>
  <c r="L1882" i="2"/>
  <c r="M1882" i="2" s="1"/>
  <c r="N1882" i="2" s="1"/>
  <c r="I1882" i="2"/>
  <c r="J1882" i="2" s="1"/>
  <c r="K1882" i="2" s="1"/>
  <c r="F1882" i="2"/>
  <c r="G1882" i="2" s="1"/>
  <c r="H1882" i="2" s="1"/>
  <c r="C1882" i="5" s="1"/>
  <c r="D1882" i="2"/>
  <c r="E1882" i="2" s="1"/>
  <c r="B1882" i="5" s="1"/>
  <c r="B1882" i="2"/>
  <c r="C1882" i="2" s="1"/>
  <c r="O1881" i="2"/>
  <c r="L1881" i="2"/>
  <c r="M1881" i="2" s="1"/>
  <c r="N1881" i="2" s="1"/>
  <c r="I1881" i="2"/>
  <c r="J1881" i="2" s="1"/>
  <c r="K1881" i="2" s="1"/>
  <c r="F1881" i="2"/>
  <c r="G1881" i="2" s="1"/>
  <c r="H1881" i="2" s="1"/>
  <c r="C1881" i="5" s="1"/>
  <c r="D1881" i="2"/>
  <c r="E1881" i="2" s="1"/>
  <c r="B1881" i="5" s="1"/>
  <c r="B1881" i="2"/>
  <c r="C1881" i="2" s="1"/>
  <c r="A1881" i="5" s="1"/>
  <c r="O1880" i="2"/>
  <c r="L1880" i="2"/>
  <c r="M1880" i="2" s="1"/>
  <c r="N1880" i="2" s="1"/>
  <c r="I1880" i="2"/>
  <c r="J1880" i="2" s="1"/>
  <c r="K1880" i="2" s="1"/>
  <c r="Y1880" i="2" s="1"/>
  <c r="F1880" i="2"/>
  <c r="G1880" i="2" s="1"/>
  <c r="H1880" i="2" s="1"/>
  <c r="C1880" i="5" s="1"/>
  <c r="D1880" i="2"/>
  <c r="E1880" i="2" s="1"/>
  <c r="B1880" i="5" s="1"/>
  <c r="B1880" i="2"/>
  <c r="C1880" i="2" s="1"/>
  <c r="O1879" i="2"/>
  <c r="L1879" i="2"/>
  <c r="M1879" i="2" s="1"/>
  <c r="N1879" i="2" s="1"/>
  <c r="I1879" i="2"/>
  <c r="J1879" i="2" s="1"/>
  <c r="K1879" i="2" s="1"/>
  <c r="F1879" i="2"/>
  <c r="G1879" i="2" s="1"/>
  <c r="H1879" i="2" s="1"/>
  <c r="C1879" i="5" s="1"/>
  <c r="D1879" i="2"/>
  <c r="E1879" i="2" s="1"/>
  <c r="B1879" i="5" s="1"/>
  <c r="B1879" i="2"/>
  <c r="C1879" i="2" s="1"/>
  <c r="A1879" i="5" s="1"/>
  <c r="O1878" i="2"/>
  <c r="L1878" i="2"/>
  <c r="M1878" i="2" s="1"/>
  <c r="N1878" i="2" s="1"/>
  <c r="I1878" i="2"/>
  <c r="J1878" i="2" s="1"/>
  <c r="K1878" i="2" s="1"/>
  <c r="F1878" i="2"/>
  <c r="G1878" i="2" s="1"/>
  <c r="H1878" i="2" s="1"/>
  <c r="C1878" i="5" s="1"/>
  <c r="D1878" i="2"/>
  <c r="E1878" i="2" s="1"/>
  <c r="B1878" i="5" s="1"/>
  <c r="B1878" i="2"/>
  <c r="C1878" i="2" s="1"/>
  <c r="O1877" i="2"/>
  <c r="L1877" i="2"/>
  <c r="M1877" i="2" s="1"/>
  <c r="N1877" i="2" s="1"/>
  <c r="I1877" i="2"/>
  <c r="J1877" i="2" s="1"/>
  <c r="K1877" i="2" s="1"/>
  <c r="F1877" i="2"/>
  <c r="G1877" i="2" s="1"/>
  <c r="H1877" i="2" s="1"/>
  <c r="C1877" i="5" s="1"/>
  <c r="D1877" i="2"/>
  <c r="E1877" i="2" s="1"/>
  <c r="B1877" i="5" s="1"/>
  <c r="B1877" i="2"/>
  <c r="C1877" i="2" s="1"/>
  <c r="A1877" i="5" s="1"/>
  <c r="O1876" i="2"/>
  <c r="L1876" i="2"/>
  <c r="M1876" i="2" s="1"/>
  <c r="N1876" i="2" s="1"/>
  <c r="I1876" i="2"/>
  <c r="J1876" i="2" s="1"/>
  <c r="K1876" i="2" s="1"/>
  <c r="Y1876" i="2" s="1"/>
  <c r="F1876" i="2"/>
  <c r="G1876" i="2" s="1"/>
  <c r="H1876" i="2" s="1"/>
  <c r="C1876" i="5" s="1"/>
  <c r="D1876" i="2"/>
  <c r="E1876" i="2" s="1"/>
  <c r="B1876" i="5" s="1"/>
  <c r="B1876" i="2"/>
  <c r="C1876" i="2" s="1"/>
  <c r="O1875" i="2"/>
  <c r="L1875" i="2"/>
  <c r="M1875" i="2" s="1"/>
  <c r="N1875" i="2" s="1"/>
  <c r="I1875" i="2"/>
  <c r="J1875" i="2" s="1"/>
  <c r="K1875" i="2" s="1"/>
  <c r="F1875" i="2"/>
  <c r="G1875" i="2" s="1"/>
  <c r="H1875" i="2" s="1"/>
  <c r="C1875" i="5" s="1"/>
  <c r="D1875" i="2"/>
  <c r="E1875" i="2" s="1"/>
  <c r="B1875" i="5" s="1"/>
  <c r="B1875" i="2"/>
  <c r="C1875" i="2" s="1"/>
  <c r="A1875" i="5" s="1"/>
  <c r="O1874" i="2"/>
  <c r="L1874" i="2"/>
  <c r="M1874" i="2" s="1"/>
  <c r="N1874" i="2" s="1"/>
  <c r="I1874" i="2"/>
  <c r="J1874" i="2" s="1"/>
  <c r="K1874" i="2" s="1"/>
  <c r="F1874" i="2"/>
  <c r="G1874" i="2" s="1"/>
  <c r="H1874" i="2" s="1"/>
  <c r="C1874" i="5" s="1"/>
  <c r="D1874" i="2"/>
  <c r="E1874" i="2" s="1"/>
  <c r="B1874" i="5" s="1"/>
  <c r="B1874" i="2"/>
  <c r="C1874" i="2" s="1"/>
  <c r="O1873" i="2"/>
  <c r="L1873" i="2"/>
  <c r="M1873" i="2" s="1"/>
  <c r="N1873" i="2" s="1"/>
  <c r="I1873" i="2"/>
  <c r="J1873" i="2" s="1"/>
  <c r="K1873" i="2" s="1"/>
  <c r="F1873" i="2"/>
  <c r="G1873" i="2" s="1"/>
  <c r="H1873" i="2" s="1"/>
  <c r="C1873" i="5" s="1"/>
  <c r="D1873" i="2"/>
  <c r="E1873" i="2" s="1"/>
  <c r="B1873" i="5" s="1"/>
  <c r="B1873" i="2"/>
  <c r="C1873" i="2" s="1"/>
  <c r="A1873" i="5" s="1"/>
  <c r="O1872" i="2"/>
  <c r="L1872" i="2"/>
  <c r="M1872" i="2" s="1"/>
  <c r="N1872" i="2" s="1"/>
  <c r="I1872" i="2"/>
  <c r="J1872" i="2" s="1"/>
  <c r="K1872" i="2" s="1"/>
  <c r="Y1872" i="2" s="1"/>
  <c r="F1872" i="2"/>
  <c r="G1872" i="2" s="1"/>
  <c r="H1872" i="2" s="1"/>
  <c r="C1872" i="5" s="1"/>
  <c r="D1872" i="2"/>
  <c r="E1872" i="2" s="1"/>
  <c r="B1872" i="5" s="1"/>
  <c r="B1872" i="2"/>
  <c r="C1872" i="2" s="1"/>
  <c r="O1871" i="2"/>
  <c r="L1871" i="2"/>
  <c r="M1871" i="2" s="1"/>
  <c r="N1871" i="2" s="1"/>
  <c r="I1871" i="2"/>
  <c r="J1871" i="2" s="1"/>
  <c r="K1871" i="2" s="1"/>
  <c r="F1871" i="2"/>
  <c r="G1871" i="2" s="1"/>
  <c r="H1871" i="2" s="1"/>
  <c r="C1871" i="5" s="1"/>
  <c r="D1871" i="2"/>
  <c r="E1871" i="2" s="1"/>
  <c r="B1871" i="5" s="1"/>
  <c r="B1871" i="2"/>
  <c r="C1871" i="2" s="1"/>
  <c r="A1871" i="5" s="1"/>
  <c r="O1870" i="2"/>
  <c r="L1870" i="2"/>
  <c r="M1870" i="2" s="1"/>
  <c r="N1870" i="2" s="1"/>
  <c r="I1870" i="2"/>
  <c r="J1870" i="2" s="1"/>
  <c r="K1870" i="2" s="1"/>
  <c r="F1870" i="2"/>
  <c r="G1870" i="2" s="1"/>
  <c r="H1870" i="2" s="1"/>
  <c r="C1870" i="5" s="1"/>
  <c r="D1870" i="2"/>
  <c r="E1870" i="2" s="1"/>
  <c r="B1870" i="5" s="1"/>
  <c r="B1870" i="2"/>
  <c r="C1870" i="2" s="1"/>
  <c r="O1869" i="2"/>
  <c r="L1869" i="2"/>
  <c r="M1869" i="2" s="1"/>
  <c r="N1869" i="2" s="1"/>
  <c r="I1869" i="2"/>
  <c r="J1869" i="2" s="1"/>
  <c r="K1869" i="2" s="1"/>
  <c r="F1869" i="2"/>
  <c r="G1869" i="2" s="1"/>
  <c r="H1869" i="2" s="1"/>
  <c r="C1869" i="5" s="1"/>
  <c r="D1869" i="2"/>
  <c r="E1869" i="2" s="1"/>
  <c r="B1869" i="5" s="1"/>
  <c r="B1869" i="2"/>
  <c r="C1869" i="2" s="1"/>
  <c r="A1869" i="5" s="1"/>
  <c r="O1868" i="2"/>
  <c r="L1868" i="2"/>
  <c r="M1868" i="2" s="1"/>
  <c r="N1868" i="2" s="1"/>
  <c r="I1868" i="2"/>
  <c r="J1868" i="2" s="1"/>
  <c r="K1868" i="2" s="1"/>
  <c r="Y1868" i="2" s="1"/>
  <c r="F1868" i="2"/>
  <c r="G1868" i="2" s="1"/>
  <c r="H1868" i="2" s="1"/>
  <c r="C1868" i="5" s="1"/>
  <c r="D1868" i="2"/>
  <c r="E1868" i="2" s="1"/>
  <c r="B1868" i="5" s="1"/>
  <c r="B1868" i="2"/>
  <c r="C1868" i="2" s="1"/>
  <c r="O1867" i="2"/>
  <c r="L1867" i="2"/>
  <c r="M1867" i="2" s="1"/>
  <c r="N1867" i="2" s="1"/>
  <c r="I1867" i="2"/>
  <c r="J1867" i="2" s="1"/>
  <c r="K1867" i="2" s="1"/>
  <c r="F1867" i="2"/>
  <c r="G1867" i="2" s="1"/>
  <c r="H1867" i="2" s="1"/>
  <c r="C1867" i="5" s="1"/>
  <c r="D1867" i="2"/>
  <c r="E1867" i="2" s="1"/>
  <c r="B1867" i="5" s="1"/>
  <c r="B1867" i="2"/>
  <c r="C1867" i="2" s="1"/>
  <c r="A1867" i="5" s="1"/>
  <c r="O1866" i="2"/>
  <c r="L1866" i="2"/>
  <c r="M1866" i="2" s="1"/>
  <c r="N1866" i="2" s="1"/>
  <c r="I1866" i="2"/>
  <c r="J1866" i="2" s="1"/>
  <c r="K1866" i="2" s="1"/>
  <c r="F1866" i="2"/>
  <c r="G1866" i="2" s="1"/>
  <c r="H1866" i="2" s="1"/>
  <c r="C1866" i="5" s="1"/>
  <c r="D1866" i="2"/>
  <c r="E1866" i="2" s="1"/>
  <c r="B1866" i="5" s="1"/>
  <c r="B1866" i="2"/>
  <c r="C1866" i="2" s="1"/>
  <c r="O1865" i="2"/>
  <c r="L1865" i="2"/>
  <c r="M1865" i="2" s="1"/>
  <c r="N1865" i="2" s="1"/>
  <c r="I1865" i="2"/>
  <c r="J1865" i="2" s="1"/>
  <c r="K1865" i="2" s="1"/>
  <c r="F1865" i="2"/>
  <c r="G1865" i="2" s="1"/>
  <c r="H1865" i="2" s="1"/>
  <c r="C1865" i="5" s="1"/>
  <c r="D1865" i="2"/>
  <c r="E1865" i="2" s="1"/>
  <c r="B1865" i="5" s="1"/>
  <c r="B1865" i="2"/>
  <c r="C1865" i="2" s="1"/>
  <c r="A1865" i="5" s="1"/>
  <c r="O1864" i="2"/>
  <c r="L1864" i="2"/>
  <c r="M1864" i="2" s="1"/>
  <c r="N1864" i="2" s="1"/>
  <c r="I1864" i="2"/>
  <c r="J1864" i="2" s="1"/>
  <c r="K1864" i="2" s="1"/>
  <c r="Y1864" i="2" s="1"/>
  <c r="F1864" i="2"/>
  <c r="G1864" i="2" s="1"/>
  <c r="H1864" i="2" s="1"/>
  <c r="C1864" i="5" s="1"/>
  <c r="D1864" i="2"/>
  <c r="E1864" i="2" s="1"/>
  <c r="B1864" i="5" s="1"/>
  <c r="B1864" i="2"/>
  <c r="C1864" i="2" s="1"/>
  <c r="O1863" i="2"/>
  <c r="L1863" i="2"/>
  <c r="M1863" i="2" s="1"/>
  <c r="N1863" i="2" s="1"/>
  <c r="I1863" i="2"/>
  <c r="J1863" i="2" s="1"/>
  <c r="K1863" i="2" s="1"/>
  <c r="F1863" i="2"/>
  <c r="G1863" i="2" s="1"/>
  <c r="H1863" i="2" s="1"/>
  <c r="C1863" i="5" s="1"/>
  <c r="D1863" i="2"/>
  <c r="E1863" i="2" s="1"/>
  <c r="B1863" i="5" s="1"/>
  <c r="B1863" i="2"/>
  <c r="C1863" i="2" s="1"/>
  <c r="A1863" i="5" s="1"/>
  <c r="O1862" i="2"/>
  <c r="L1862" i="2"/>
  <c r="M1862" i="2" s="1"/>
  <c r="N1862" i="2" s="1"/>
  <c r="I1862" i="2"/>
  <c r="J1862" i="2" s="1"/>
  <c r="K1862" i="2" s="1"/>
  <c r="F1862" i="2"/>
  <c r="G1862" i="2" s="1"/>
  <c r="H1862" i="2" s="1"/>
  <c r="C1862" i="5" s="1"/>
  <c r="D1862" i="2"/>
  <c r="E1862" i="2" s="1"/>
  <c r="B1862" i="5" s="1"/>
  <c r="B1862" i="2"/>
  <c r="C1862" i="2" s="1"/>
  <c r="O1861" i="2"/>
  <c r="L1861" i="2"/>
  <c r="M1861" i="2" s="1"/>
  <c r="N1861" i="2" s="1"/>
  <c r="I1861" i="2"/>
  <c r="J1861" i="2" s="1"/>
  <c r="K1861" i="2" s="1"/>
  <c r="F1861" i="2"/>
  <c r="G1861" i="2" s="1"/>
  <c r="H1861" i="2" s="1"/>
  <c r="C1861" i="5" s="1"/>
  <c r="D1861" i="2"/>
  <c r="E1861" i="2" s="1"/>
  <c r="B1861" i="5" s="1"/>
  <c r="B1861" i="2"/>
  <c r="C1861" i="2" s="1"/>
  <c r="A1861" i="5" s="1"/>
  <c r="O1860" i="2"/>
  <c r="L1860" i="2"/>
  <c r="M1860" i="2" s="1"/>
  <c r="N1860" i="2" s="1"/>
  <c r="I1860" i="2"/>
  <c r="J1860" i="2" s="1"/>
  <c r="K1860" i="2" s="1"/>
  <c r="F1860" i="2"/>
  <c r="G1860" i="2" s="1"/>
  <c r="H1860" i="2" s="1"/>
  <c r="C1860" i="5" s="1"/>
  <c r="D1860" i="2"/>
  <c r="E1860" i="2" s="1"/>
  <c r="B1860" i="5" s="1"/>
  <c r="B1860" i="2"/>
  <c r="C1860" i="2" s="1"/>
  <c r="O1859" i="2"/>
  <c r="L1859" i="2"/>
  <c r="M1859" i="2" s="1"/>
  <c r="N1859" i="2" s="1"/>
  <c r="I1859" i="2"/>
  <c r="J1859" i="2" s="1"/>
  <c r="K1859" i="2" s="1"/>
  <c r="F1859" i="2"/>
  <c r="G1859" i="2" s="1"/>
  <c r="H1859" i="2" s="1"/>
  <c r="C1859" i="5" s="1"/>
  <c r="D1859" i="2"/>
  <c r="E1859" i="2" s="1"/>
  <c r="B1859" i="5" s="1"/>
  <c r="B1859" i="2"/>
  <c r="C1859" i="2" s="1"/>
  <c r="A1859" i="5" s="1"/>
  <c r="O1858" i="2"/>
  <c r="L1858" i="2"/>
  <c r="M1858" i="2" s="1"/>
  <c r="N1858" i="2" s="1"/>
  <c r="I1858" i="2"/>
  <c r="J1858" i="2" s="1"/>
  <c r="K1858" i="2" s="1"/>
  <c r="F1858" i="2"/>
  <c r="G1858" i="2" s="1"/>
  <c r="H1858" i="2" s="1"/>
  <c r="C1858" i="5" s="1"/>
  <c r="D1858" i="2"/>
  <c r="E1858" i="2" s="1"/>
  <c r="B1858" i="5" s="1"/>
  <c r="B1858" i="2"/>
  <c r="C1858" i="2" s="1"/>
  <c r="O1857" i="2"/>
  <c r="L1857" i="2"/>
  <c r="M1857" i="2" s="1"/>
  <c r="N1857" i="2" s="1"/>
  <c r="I1857" i="2"/>
  <c r="J1857" i="2" s="1"/>
  <c r="K1857" i="2" s="1"/>
  <c r="F1857" i="2"/>
  <c r="G1857" i="2" s="1"/>
  <c r="H1857" i="2" s="1"/>
  <c r="C1857" i="5" s="1"/>
  <c r="D1857" i="2"/>
  <c r="E1857" i="2" s="1"/>
  <c r="B1857" i="5" s="1"/>
  <c r="B1857" i="2"/>
  <c r="C1857" i="2" s="1"/>
  <c r="A1857" i="5" s="1"/>
  <c r="O1856" i="2"/>
  <c r="L1856" i="2"/>
  <c r="M1856" i="2" s="1"/>
  <c r="N1856" i="2" s="1"/>
  <c r="I1856" i="2"/>
  <c r="J1856" i="2" s="1"/>
  <c r="K1856" i="2" s="1"/>
  <c r="Y1856" i="2" s="1"/>
  <c r="F1856" i="2"/>
  <c r="G1856" i="2" s="1"/>
  <c r="H1856" i="2" s="1"/>
  <c r="C1856" i="5" s="1"/>
  <c r="D1856" i="2"/>
  <c r="E1856" i="2" s="1"/>
  <c r="B1856" i="5" s="1"/>
  <c r="B1856" i="2"/>
  <c r="C1856" i="2" s="1"/>
  <c r="O1855" i="2"/>
  <c r="L1855" i="2"/>
  <c r="M1855" i="2" s="1"/>
  <c r="N1855" i="2" s="1"/>
  <c r="I1855" i="2"/>
  <c r="J1855" i="2" s="1"/>
  <c r="K1855" i="2" s="1"/>
  <c r="F1855" i="2"/>
  <c r="G1855" i="2" s="1"/>
  <c r="H1855" i="2" s="1"/>
  <c r="C1855" i="5" s="1"/>
  <c r="D1855" i="2"/>
  <c r="E1855" i="2" s="1"/>
  <c r="B1855" i="5" s="1"/>
  <c r="B1855" i="2"/>
  <c r="C1855" i="2" s="1"/>
  <c r="A1855" i="5" s="1"/>
  <c r="O1854" i="2"/>
  <c r="L1854" i="2"/>
  <c r="M1854" i="2" s="1"/>
  <c r="N1854" i="2" s="1"/>
  <c r="I1854" i="2"/>
  <c r="J1854" i="2" s="1"/>
  <c r="K1854" i="2" s="1"/>
  <c r="F1854" i="2"/>
  <c r="G1854" i="2" s="1"/>
  <c r="H1854" i="2" s="1"/>
  <c r="C1854" i="5" s="1"/>
  <c r="D1854" i="2"/>
  <c r="E1854" i="2" s="1"/>
  <c r="B1854" i="5" s="1"/>
  <c r="B1854" i="2"/>
  <c r="C1854" i="2" s="1"/>
  <c r="O1853" i="2"/>
  <c r="L1853" i="2"/>
  <c r="M1853" i="2" s="1"/>
  <c r="N1853" i="2" s="1"/>
  <c r="I1853" i="2"/>
  <c r="J1853" i="2" s="1"/>
  <c r="K1853" i="2" s="1"/>
  <c r="F1853" i="2"/>
  <c r="G1853" i="2" s="1"/>
  <c r="H1853" i="2" s="1"/>
  <c r="C1853" i="5" s="1"/>
  <c r="D1853" i="2"/>
  <c r="E1853" i="2" s="1"/>
  <c r="B1853" i="5" s="1"/>
  <c r="B1853" i="2"/>
  <c r="C1853" i="2" s="1"/>
  <c r="A1853" i="5" s="1"/>
  <c r="O1852" i="2"/>
  <c r="L1852" i="2"/>
  <c r="M1852" i="2" s="1"/>
  <c r="N1852" i="2" s="1"/>
  <c r="I1852" i="2"/>
  <c r="J1852" i="2" s="1"/>
  <c r="K1852" i="2" s="1"/>
  <c r="Y1852" i="2" s="1"/>
  <c r="F1852" i="2"/>
  <c r="G1852" i="2" s="1"/>
  <c r="H1852" i="2" s="1"/>
  <c r="C1852" i="5" s="1"/>
  <c r="D1852" i="2"/>
  <c r="E1852" i="2" s="1"/>
  <c r="B1852" i="5" s="1"/>
  <c r="B1852" i="2"/>
  <c r="C1852" i="2" s="1"/>
  <c r="O1851" i="2"/>
  <c r="L1851" i="2"/>
  <c r="M1851" i="2" s="1"/>
  <c r="N1851" i="2" s="1"/>
  <c r="I1851" i="2"/>
  <c r="J1851" i="2" s="1"/>
  <c r="K1851" i="2" s="1"/>
  <c r="F1851" i="2"/>
  <c r="G1851" i="2" s="1"/>
  <c r="H1851" i="2" s="1"/>
  <c r="C1851" i="5" s="1"/>
  <c r="D1851" i="2"/>
  <c r="E1851" i="2" s="1"/>
  <c r="B1851" i="5" s="1"/>
  <c r="B1851" i="2"/>
  <c r="C1851" i="2" s="1"/>
  <c r="A1851" i="5" s="1"/>
  <c r="O1850" i="2"/>
  <c r="L1850" i="2"/>
  <c r="M1850" i="2" s="1"/>
  <c r="N1850" i="2" s="1"/>
  <c r="I1850" i="2"/>
  <c r="J1850" i="2" s="1"/>
  <c r="K1850" i="2" s="1"/>
  <c r="F1850" i="2"/>
  <c r="G1850" i="2" s="1"/>
  <c r="H1850" i="2" s="1"/>
  <c r="C1850" i="5" s="1"/>
  <c r="D1850" i="2"/>
  <c r="E1850" i="2" s="1"/>
  <c r="B1850" i="5" s="1"/>
  <c r="B1850" i="2"/>
  <c r="C1850" i="2" s="1"/>
  <c r="O1849" i="2"/>
  <c r="L1849" i="2"/>
  <c r="M1849" i="2" s="1"/>
  <c r="N1849" i="2" s="1"/>
  <c r="I1849" i="2"/>
  <c r="J1849" i="2" s="1"/>
  <c r="K1849" i="2" s="1"/>
  <c r="F1849" i="2"/>
  <c r="G1849" i="2" s="1"/>
  <c r="H1849" i="2" s="1"/>
  <c r="C1849" i="5" s="1"/>
  <c r="D1849" i="2"/>
  <c r="E1849" i="2" s="1"/>
  <c r="B1849" i="5" s="1"/>
  <c r="B1849" i="2"/>
  <c r="C1849" i="2" s="1"/>
  <c r="A1849" i="5" s="1"/>
  <c r="O1848" i="2"/>
  <c r="L1848" i="2"/>
  <c r="M1848" i="2" s="1"/>
  <c r="N1848" i="2" s="1"/>
  <c r="I1848" i="2"/>
  <c r="J1848" i="2" s="1"/>
  <c r="K1848" i="2" s="1"/>
  <c r="Y1848" i="2" s="1"/>
  <c r="F1848" i="2"/>
  <c r="G1848" i="2" s="1"/>
  <c r="H1848" i="2" s="1"/>
  <c r="C1848" i="5" s="1"/>
  <c r="D1848" i="2"/>
  <c r="E1848" i="2" s="1"/>
  <c r="B1848" i="5" s="1"/>
  <c r="B1848" i="2"/>
  <c r="C1848" i="2" s="1"/>
  <c r="O1847" i="2"/>
  <c r="L1847" i="2"/>
  <c r="M1847" i="2" s="1"/>
  <c r="N1847" i="2" s="1"/>
  <c r="I1847" i="2"/>
  <c r="J1847" i="2" s="1"/>
  <c r="K1847" i="2" s="1"/>
  <c r="Z1847" i="2" s="1"/>
  <c r="F1847" i="2"/>
  <c r="G1847" i="2" s="1"/>
  <c r="H1847" i="2" s="1"/>
  <c r="C1847" i="5" s="1"/>
  <c r="D1847" i="2"/>
  <c r="E1847" i="2" s="1"/>
  <c r="B1847" i="5" s="1"/>
  <c r="B1847" i="2"/>
  <c r="C1847" i="2" s="1"/>
  <c r="A1847" i="5" s="1"/>
  <c r="O1846" i="2"/>
  <c r="L1846" i="2"/>
  <c r="M1846" i="2" s="1"/>
  <c r="N1846" i="2" s="1"/>
  <c r="E1846" i="5" s="1"/>
  <c r="I1846" i="2"/>
  <c r="J1846" i="2" s="1"/>
  <c r="K1846" i="2" s="1"/>
  <c r="Y1846" i="2" s="1"/>
  <c r="F1846" i="2"/>
  <c r="G1846" i="2" s="1"/>
  <c r="H1846" i="2" s="1"/>
  <c r="C1846" i="5" s="1"/>
  <c r="D1846" i="2"/>
  <c r="E1846" i="2" s="1"/>
  <c r="B1846" i="5" s="1"/>
  <c r="B1846" i="2"/>
  <c r="C1846" i="2" s="1"/>
  <c r="O1845" i="2"/>
  <c r="L1845" i="2"/>
  <c r="M1845" i="2" s="1"/>
  <c r="N1845" i="2" s="1"/>
  <c r="I1845" i="2"/>
  <c r="J1845" i="2" s="1"/>
  <c r="K1845" i="2" s="1"/>
  <c r="F1845" i="2"/>
  <c r="G1845" i="2" s="1"/>
  <c r="H1845" i="2" s="1"/>
  <c r="C1845" i="5" s="1"/>
  <c r="D1845" i="2"/>
  <c r="E1845" i="2" s="1"/>
  <c r="B1845" i="5" s="1"/>
  <c r="B1845" i="2"/>
  <c r="C1845" i="2" s="1"/>
  <c r="O1844" i="2"/>
  <c r="L1844" i="2"/>
  <c r="M1844" i="2" s="1"/>
  <c r="N1844" i="2" s="1"/>
  <c r="I1844" i="2"/>
  <c r="J1844" i="2" s="1"/>
  <c r="K1844" i="2" s="1"/>
  <c r="F1844" i="2"/>
  <c r="G1844" i="2" s="1"/>
  <c r="H1844" i="2" s="1"/>
  <c r="C1844" i="5" s="1"/>
  <c r="D1844" i="2"/>
  <c r="E1844" i="2" s="1"/>
  <c r="B1844" i="5" s="1"/>
  <c r="B1844" i="2"/>
  <c r="C1844" i="2" s="1"/>
  <c r="A1844" i="5" s="1"/>
  <c r="O1843" i="2"/>
  <c r="L1843" i="2"/>
  <c r="M1843" i="2" s="1"/>
  <c r="N1843" i="2" s="1"/>
  <c r="I1843" i="2"/>
  <c r="J1843" i="2" s="1"/>
  <c r="K1843" i="2" s="1"/>
  <c r="F1843" i="2"/>
  <c r="G1843" i="2" s="1"/>
  <c r="H1843" i="2" s="1"/>
  <c r="C1843" i="5" s="1"/>
  <c r="D1843" i="2"/>
  <c r="E1843" i="2" s="1"/>
  <c r="B1843" i="5" s="1"/>
  <c r="B1843" i="2"/>
  <c r="C1843" i="2" s="1"/>
  <c r="A1843" i="5" s="1"/>
  <c r="O1842" i="2"/>
  <c r="L1842" i="2"/>
  <c r="M1842" i="2" s="1"/>
  <c r="N1842" i="2" s="1"/>
  <c r="E1842" i="5" s="1"/>
  <c r="I1842" i="2"/>
  <c r="J1842" i="2" s="1"/>
  <c r="K1842" i="2" s="1"/>
  <c r="Y1842" i="2" s="1"/>
  <c r="F1842" i="2"/>
  <c r="G1842" i="2" s="1"/>
  <c r="H1842" i="2" s="1"/>
  <c r="C1842" i="5" s="1"/>
  <c r="D1842" i="2"/>
  <c r="E1842" i="2" s="1"/>
  <c r="B1842" i="5" s="1"/>
  <c r="B1842" i="2"/>
  <c r="C1842" i="2" s="1"/>
  <c r="O1841" i="2"/>
  <c r="L1841" i="2"/>
  <c r="M1841" i="2" s="1"/>
  <c r="N1841" i="2" s="1"/>
  <c r="I1841" i="2"/>
  <c r="J1841" i="2" s="1"/>
  <c r="K1841" i="2" s="1"/>
  <c r="F1841" i="2"/>
  <c r="G1841" i="2" s="1"/>
  <c r="H1841" i="2" s="1"/>
  <c r="C1841" i="5" s="1"/>
  <c r="D1841" i="2"/>
  <c r="E1841" i="2" s="1"/>
  <c r="B1841" i="5" s="1"/>
  <c r="B1841" i="2"/>
  <c r="C1841" i="2" s="1"/>
  <c r="A1841" i="5" s="1"/>
  <c r="O1840" i="2"/>
  <c r="L1840" i="2"/>
  <c r="M1840" i="2" s="1"/>
  <c r="N1840" i="2" s="1"/>
  <c r="I1840" i="2"/>
  <c r="J1840" i="2" s="1"/>
  <c r="K1840" i="2" s="1"/>
  <c r="F1840" i="2"/>
  <c r="G1840" i="2" s="1"/>
  <c r="H1840" i="2" s="1"/>
  <c r="C1840" i="5" s="1"/>
  <c r="D1840" i="2"/>
  <c r="E1840" i="2" s="1"/>
  <c r="B1840" i="5" s="1"/>
  <c r="B1840" i="2"/>
  <c r="C1840" i="2" s="1"/>
  <c r="A1840" i="5" s="1"/>
  <c r="O1839" i="2"/>
  <c r="L1839" i="2"/>
  <c r="M1839" i="2" s="1"/>
  <c r="N1839" i="2" s="1"/>
  <c r="I1839" i="2"/>
  <c r="J1839" i="2" s="1"/>
  <c r="K1839" i="2" s="1"/>
  <c r="F1839" i="2"/>
  <c r="G1839" i="2" s="1"/>
  <c r="H1839" i="2" s="1"/>
  <c r="C1839" i="5" s="1"/>
  <c r="D1839" i="2"/>
  <c r="E1839" i="2" s="1"/>
  <c r="B1839" i="5" s="1"/>
  <c r="B1839" i="2"/>
  <c r="C1839" i="2" s="1"/>
  <c r="A1839" i="5" s="1"/>
  <c r="O1838" i="2"/>
  <c r="L1838" i="2"/>
  <c r="M1838" i="2" s="1"/>
  <c r="N1838" i="2" s="1"/>
  <c r="E1838" i="5" s="1"/>
  <c r="I1838" i="2"/>
  <c r="J1838" i="2" s="1"/>
  <c r="K1838" i="2" s="1"/>
  <c r="Y1838" i="2" s="1"/>
  <c r="F1838" i="2"/>
  <c r="G1838" i="2" s="1"/>
  <c r="H1838" i="2" s="1"/>
  <c r="C1838" i="5" s="1"/>
  <c r="D1838" i="2"/>
  <c r="E1838" i="2" s="1"/>
  <c r="B1838" i="5" s="1"/>
  <c r="B1838" i="2"/>
  <c r="C1838" i="2" s="1"/>
  <c r="O1837" i="2"/>
  <c r="L1837" i="2"/>
  <c r="M1837" i="2" s="1"/>
  <c r="N1837" i="2" s="1"/>
  <c r="I1837" i="2"/>
  <c r="J1837" i="2" s="1"/>
  <c r="K1837" i="2" s="1"/>
  <c r="F1837" i="2"/>
  <c r="G1837" i="2" s="1"/>
  <c r="H1837" i="2" s="1"/>
  <c r="C1837" i="5" s="1"/>
  <c r="D1837" i="2"/>
  <c r="E1837" i="2" s="1"/>
  <c r="B1837" i="5" s="1"/>
  <c r="B1837" i="2"/>
  <c r="C1837" i="2" s="1"/>
  <c r="A1837" i="5" s="1"/>
  <c r="O1836" i="2"/>
  <c r="L1836" i="2"/>
  <c r="M1836" i="2" s="1"/>
  <c r="N1836" i="2" s="1"/>
  <c r="I1836" i="2"/>
  <c r="J1836" i="2" s="1"/>
  <c r="K1836" i="2" s="1"/>
  <c r="F1836" i="2"/>
  <c r="G1836" i="2" s="1"/>
  <c r="H1836" i="2" s="1"/>
  <c r="C1836" i="5" s="1"/>
  <c r="D1836" i="2"/>
  <c r="E1836" i="2" s="1"/>
  <c r="B1836" i="5" s="1"/>
  <c r="B1836" i="2"/>
  <c r="C1836" i="2" s="1"/>
  <c r="A1836" i="5" s="1"/>
  <c r="O1835" i="2"/>
  <c r="L1835" i="2"/>
  <c r="M1835" i="2" s="1"/>
  <c r="N1835" i="2" s="1"/>
  <c r="I1835" i="2"/>
  <c r="J1835" i="2" s="1"/>
  <c r="K1835" i="2" s="1"/>
  <c r="F1835" i="2"/>
  <c r="G1835" i="2" s="1"/>
  <c r="H1835" i="2" s="1"/>
  <c r="C1835" i="5" s="1"/>
  <c r="D1835" i="2"/>
  <c r="E1835" i="2" s="1"/>
  <c r="B1835" i="5" s="1"/>
  <c r="B1835" i="2"/>
  <c r="C1835" i="2" s="1"/>
  <c r="A1835" i="5" s="1"/>
  <c r="O1834" i="2"/>
  <c r="L1834" i="2"/>
  <c r="M1834" i="2" s="1"/>
  <c r="N1834" i="2" s="1"/>
  <c r="E1834" i="5" s="1"/>
  <c r="I1834" i="2"/>
  <c r="J1834" i="2" s="1"/>
  <c r="K1834" i="2" s="1"/>
  <c r="Y1834" i="2" s="1"/>
  <c r="F1834" i="2"/>
  <c r="G1834" i="2" s="1"/>
  <c r="H1834" i="2" s="1"/>
  <c r="C1834" i="5" s="1"/>
  <c r="D1834" i="2"/>
  <c r="E1834" i="2" s="1"/>
  <c r="B1834" i="5" s="1"/>
  <c r="B1834" i="2"/>
  <c r="C1834" i="2" s="1"/>
  <c r="O1833" i="2"/>
  <c r="L1833" i="2"/>
  <c r="M1833" i="2" s="1"/>
  <c r="N1833" i="2" s="1"/>
  <c r="I1833" i="2"/>
  <c r="J1833" i="2" s="1"/>
  <c r="K1833" i="2" s="1"/>
  <c r="F1833" i="2"/>
  <c r="G1833" i="2" s="1"/>
  <c r="H1833" i="2" s="1"/>
  <c r="C1833" i="5" s="1"/>
  <c r="D1833" i="2"/>
  <c r="E1833" i="2" s="1"/>
  <c r="B1833" i="5" s="1"/>
  <c r="B1833" i="2"/>
  <c r="C1833" i="2" s="1"/>
  <c r="A1833" i="5" s="1"/>
  <c r="O1832" i="2"/>
  <c r="L1832" i="2"/>
  <c r="M1832" i="2" s="1"/>
  <c r="N1832" i="2" s="1"/>
  <c r="I1832" i="2"/>
  <c r="J1832" i="2" s="1"/>
  <c r="K1832" i="2" s="1"/>
  <c r="F1832" i="2"/>
  <c r="G1832" i="2" s="1"/>
  <c r="H1832" i="2" s="1"/>
  <c r="C1832" i="5" s="1"/>
  <c r="D1832" i="2"/>
  <c r="E1832" i="2" s="1"/>
  <c r="B1832" i="5" s="1"/>
  <c r="B1832" i="2"/>
  <c r="C1832" i="2" s="1"/>
  <c r="O1831" i="2"/>
  <c r="L1831" i="2"/>
  <c r="M1831" i="2" s="1"/>
  <c r="N1831" i="2" s="1"/>
  <c r="I1831" i="2"/>
  <c r="J1831" i="2" s="1"/>
  <c r="K1831" i="2" s="1"/>
  <c r="Z1831" i="2" s="1"/>
  <c r="F1831" i="2"/>
  <c r="G1831" i="2" s="1"/>
  <c r="H1831" i="2" s="1"/>
  <c r="C1831" i="5" s="1"/>
  <c r="D1831" i="2"/>
  <c r="E1831" i="2" s="1"/>
  <c r="B1831" i="5" s="1"/>
  <c r="B1831" i="2"/>
  <c r="C1831" i="2" s="1"/>
  <c r="A1831" i="5" s="1"/>
  <c r="O1830" i="2"/>
  <c r="L1830" i="2"/>
  <c r="M1830" i="2" s="1"/>
  <c r="N1830" i="2" s="1"/>
  <c r="E1830" i="5" s="1"/>
  <c r="I1830" i="2"/>
  <c r="J1830" i="2" s="1"/>
  <c r="K1830" i="2" s="1"/>
  <c r="Y1830" i="2" s="1"/>
  <c r="F1830" i="2"/>
  <c r="G1830" i="2" s="1"/>
  <c r="H1830" i="2" s="1"/>
  <c r="C1830" i="5" s="1"/>
  <c r="D1830" i="2"/>
  <c r="E1830" i="2" s="1"/>
  <c r="B1830" i="5" s="1"/>
  <c r="B1830" i="2"/>
  <c r="C1830" i="2" s="1"/>
  <c r="O1829" i="2"/>
  <c r="L1829" i="2"/>
  <c r="M1829" i="2" s="1"/>
  <c r="N1829" i="2" s="1"/>
  <c r="I1829" i="2"/>
  <c r="J1829" i="2" s="1"/>
  <c r="K1829" i="2" s="1"/>
  <c r="F1829" i="2"/>
  <c r="G1829" i="2" s="1"/>
  <c r="H1829" i="2" s="1"/>
  <c r="C1829" i="5" s="1"/>
  <c r="D1829" i="2"/>
  <c r="E1829" i="2" s="1"/>
  <c r="B1829" i="5" s="1"/>
  <c r="B1829" i="2"/>
  <c r="C1829" i="2" s="1"/>
  <c r="A1829" i="5" s="1"/>
  <c r="O1828" i="2"/>
  <c r="L1828" i="2"/>
  <c r="M1828" i="2" s="1"/>
  <c r="N1828" i="2" s="1"/>
  <c r="I1828" i="2"/>
  <c r="J1828" i="2" s="1"/>
  <c r="K1828" i="2" s="1"/>
  <c r="F1828" i="2"/>
  <c r="G1828" i="2" s="1"/>
  <c r="H1828" i="2" s="1"/>
  <c r="C1828" i="5" s="1"/>
  <c r="D1828" i="2"/>
  <c r="E1828" i="2" s="1"/>
  <c r="B1828" i="5" s="1"/>
  <c r="B1828" i="2"/>
  <c r="C1828" i="2" s="1"/>
  <c r="O1827" i="2"/>
  <c r="L1827" i="2"/>
  <c r="M1827" i="2" s="1"/>
  <c r="N1827" i="2" s="1"/>
  <c r="I1827" i="2"/>
  <c r="J1827" i="2" s="1"/>
  <c r="K1827" i="2" s="1"/>
  <c r="Z1827" i="2" s="1"/>
  <c r="F1827" i="2"/>
  <c r="G1827" i="2" s="1"/>
  <c r="H1827" i="2" s="1"/>
  <c r="C1827" i="5" s="1"/>
  <c r="D1827" i="2"/>
  <c r="E1827" i="2" s="1"/>
  <c r="B1827" i="5" s="1"/>
  <c r="B1827" i="2"/>
  <c r="C1827" i="2" s="1"/>
  <c r="A1827" i="5" s="1"/>
  <c r="O1826" i="2"/>
  <c r="L1826" i="2"/>
  <c r="M1826" i="2" s="1"/>
  <c r="N1826" i="2" s="1"/>
  <c r="E1826" i="5" s="1"/>
  <c r="I1826" i="2"/>
  <c r="J1826" i="2" s="1"/>
  <c r="K1826" i="2" s="1"/>
  <c r="Y1826" i="2" s="1"/>
  <c r="F1826" i="2"/>
  <c r="G1826" i="2" s="1"/>
  <c r="H1826" i="2" s="1"/>
  <c r="C1826" i="5" s="1"/>
  <c r="D1826" i="2"/>
  <c r="E1826" i="2" s="1"/>
  <c r="B1826" i="5" s="1"/>
  <c r="B1826" i="2"/>
  <c r="C1826" i="2" s="1"/>
  <c r="O1825" i="2"/>
  <c r="L1825" i="2"/>
  <c r="M1825" i="2" s="1"/>
  <c r="N1825" i="2" s="1"/>
  <c r="I1825" i="2"/>
  <c r="J1825" i="2" s="1"/>
  <c r="K1825" i="2" s="1"/>
  <c r="F1825" i="2"/>
  <c r="G1825" i="2" s="1"/>
  <c r="H1825" i="2" s="1"/>
  <c r="C1825" i="5" s="1"/>
  <c r="D1825" i="2"/>
  <c r="E1825" i="2" s="1"/>
  <c r="B1825" i="5" s="1"/>
  <c r="B1825" i="2"/>
  <c r="C1825" i="2" s="1"/>
  <c r="A1825" i="5" s="1"/>
  <c r="O1824" i="2"/>
  <c r="L1824" i="2"/>
  <c r="M1824" i="2" s="1"/>
  <c r="N1824" i="2" s="1"/>
  <c r="I1824" i="2"/>
  <c r="J1824" i="2" s="1"/>
  <c r="K1824" i="2" s="1"/>
  <c r="F1824" i="2"/>
  <c r="G1824" i="2" s="1"/>
  <c r="H1824" i="2" s="1"/>
  <c r="C1824" i="5" s="1"/>
  <c r="D1824" i="2"/>
  <c r="E1824" i="2" s="1"/>
  <c r="B1824" i="5" s="1"/>
  <c r="B1824" i="2"/>
  <c r="C1824" i="2" s="1"/>
  <c r="O1823" i="2"/>
  <c r="L1823" i="2"/>
  <c r="M1823" i="2" s="1"/>
  <c r="N1823" i="2" s="1"/>
  <c r="I1823" i="2"/>
  <c r="J1823" i="2" s="1"/>
  <c r="K1823" i="2" s="1"/>
  <c r="Z1823" i="2" s="1"/>
  <c r="F1823" i="2"/>
  <c r="G1823" i="2" s="1"/>
  <c r="H1823" i="2" s="1"/>
  <c r="C1823" i="5" s="1"/>
  <c r="D1823" i="2"/>
  <c r="E1823" i="2" s="1"/>
  <c r="B1823" i="5" s="1"/>
  <c r="B1823" i="2"/>
  <c r="C1823" i="2" s="1"/>
  <c r="A1823" i="5" s="1"/>
  <c r="O1822" i="2"/>
  <c r="L1822" i="2"/>
  <c r="M1822" i="2" s="1"/>
  <c r="N1822" i="2" s="1"/>
  <c r="E1822" i="5" s="1"/>
  <c r="I1822" i="2"/>
  <c r="J1822" i="2" s="1"/>
  <c r="K1822" i="2" s="1"/>
  <c r="Y1822" i="2" s="1"/>
  <c r="F1822" i="2"/>
  <c r="G1822" i="2" s="1"/>
  <c r="H1822" i="2" s="1"/>
  <c r="C1822" i="5" s="1"/>
  <c r="D1822" i="2"/>
  <c r="E1822" i="2" s="1"/>
  <c r="B1822" i="5" s="1"/>
  <c r="B1822" i="2"/>
  <c r="C1822" i="2" s="1"/>
  <c r="O1821" i="2"/>
  <c r="L1821" i="2"/>
  <c r="M1821" i="2" s="1"/>
  <c r="N1821" i="2" s="1"/>
  <c r="I1821" i="2"/>
  <c r="J1821" i="2" s="1"/>
  <c r="K1821" i="2" s="1"/>
  <c r="F1821" i="2"/>
  <c r="G1821" i="2" s="1"/>
  <c r="H1821" i="2" s="1"/>
  <c r="C1821" i="5" s="1"/>
  <c r="D1821" i="2"/>
  <c r="E1821" i="2" s="1"/>
  <c r="B1821" i="5" s="1"/>
  <c r="B1821" i="2"/>
  <c r="C1821" i="2" s="1"/>
  <c r="A1821" i="5" s="1"/>
  <c r="O1820" i="2"/>
  <c r="L1820" i="2"/>
  <c r="M1820" i="2" s="1"/>
  <c r="N1820" i="2" s="1"/>
  <c r="I1820" i="2"/>
  <c r="J1820" i="2" s="1"/>
  <c r="K1820" i="2" s="1"/>
  <c r="F1820" i="2"/>
  <c r="G1820" i="2" s="1"/>
  <c r="H1820" i="2" s="1"/>
  <c r="C1820" i="5" s="1"/>
  <c r="D1820" i="2"/>
  <c r="E1820" i="2" s="1"/>
  <c r="B1820" i="5" s="1"/>
  <c r="B1820" i="2"/>
  <c r="C1820" i="2" s="1"/>
  <c r="O1819" i="2"/>
  <c r="L1819" i="2"/>
  <c r="M1819" i="2" s="1"/>
  <c r="N1819" i="2" s="1"/>
  <c r="I1819" i="2"/>
  <c r="J1819" i="2" s="1"/>
  <c r="K1819" i="2" s="1"/>
  <c r="Z1819" i="2" s="1"/>
  <c r="F1819" i="2"/>
  <c r="G1819" i="2" s="1"/>
  <c r="H1819" i="2" s="1"/>
  <c r="C1819" i="5" s="1"/>
  <c r="D1819" i="2"/>
  <c r="E1819" i="2" s="1"/>
  <c r="B1819" i="5" s="1"/>
  <c r="B1819" i="2"/>
  <c r="C1819" i="2" s="1"/>
  <c r="A1819" i="5" s="1"/>
  <c r="O1818" i="2"/>
  <c r="L1818" i="2"/>
  <c r="M1818" i="2" s="1"/>
  <c r="N1818" i="2" s="1"/>
  <c r="E1818" i="5" s="1"/>
  <c r="I1818" i="2"/>
  <c r="J1818" i="2" s="1"/>
  <c r="K1818" i="2" s="1"/>
  <c r="Y1818" i="2" s="1"/>
  <c r="F1818" i="2"/>
  <c r="G1818" i="2" s="1"/>
  <c r="H1818" i="2" s="1"/>
  <c r="C1818" i="5" s="1"/>
  <c r="D1818" i="2"/>
  <c r="E1818" i="2" s="1"/>
  <c r="B1818" i="5" s="1"/>
  <c r="B1818" i="2"/>
  <c r="C1818" i="2" s="1"/>
  <c r="O1817" i="2"/>
  <c r="L1817" i="2"/>
  <c r="M1817" i="2" s="1"/>
  <c r="N1817" i="2" s="1"/>
  <c r="I1817" i="2"/>
  <c r="J1817" i="2" s="1"/>
  <c r="K1817" i="2" s="1"/>
  <c r="F1817" i="2"/>
  <c r="G1817" i="2" s="1"/>
  <c r="H1817" i="2" s="1"/>
  <c r="C1817" i="5" s="1"/>
  <c r="D1817" i="2"/>
  <c r="E1817" i="2" s="1"/>
  <c r="B1817" i="5" s="1"/>
  <c r="B1817" i="2"/>
  <c r="C1817" i="2" s="1"/>
  <c r="A1817" i="5" s="1"/>
  <c r="O1816" i="2"/>
  <c r="L1816" i="2"/>
  <c r="M1816" i="2" s="1"/>
  <c r="N1816" i="2" s="1"/>
  <c r="I1816" i="2"/>
  <c r="J1816" i="2" s="1"/>
  <c r="K1816" i="2" s="1"/>
  <c r="F1816" i="2"/>
  <c r="G1816" i="2" s="1"/>
  <c r="H1816" i="2" s="1"/>
  <c r="C1816" i="5" s="1"/>
  <c r="D1816" i="2"/>
  <c r="E1816" i="2" s="1"/>
  <c r="B1816" i="5" s="1"/>
  <c r="B1816" i="2"/>
  <c r="C1816" i="2" s="1"/>
  <c r="O1815" i="2"/>
  <c r="L1815" i="2"/>
  <c r="M1815" i="2" s="1"/>
  <c r="N1815" i="2" s="1"/>
  <c r="I1815" i="2"/>
  <c r="J1815" i="2" s="1"/>
  <c r="K1815" i="2" s="1"/>
  <c r="Z1815" i="2" s="1"/>
  <c r="F1815" i="2"/>
  <c r="G1815" i="2" s="1"/>
  <c r="H1815" i="2" s="1"/>
  <c r="C1815" i="5" s="1"/>
  <c r="D1815" i="2"/>
  <c r="E1815" i="2" s="1"/>
  <c r="B1815" i="5" s="1"/>
  <c r="B1815" i="2"/>
  <c r="C1815" i="2" s="1"/>
  <c r="A1815" i="5" s="1"/>
  <c r="O1814" i="2"/>
  <c r="L1814" i="2"/>
  <c r="M1814" i="2" s="1"/>
  <c r="N1814" i="2" s="1"/>
  <c r="E1814" i="5" s="1"/>
  <c r="I1814" i="2"/>
  <c r="J1814" i="2" s="1"/>
  <c r="K1814" i="2" s="1"/>
  <c r="Y1814" i="2" s="1"/>
  <c r="F1814" i="2"/>
  <c r="G1814" i="2" s="1"/>
  <c r="H1814" i="2" s="1"/>
  <c r="C1814" i="5" s="1"/>
  <c r="D1814" i="2"/>
  <c r="E1814" i="2" s="1"/>
  <c r="B1814" i="5" s="1"/>
  <c r="B1814" i="2"/>
  <c r="C1814" i="2" s="1"/>
  <c r="O1813" i="2"/>
  <c r="L1813" i="2"/>
  <c r="M1813" i="2" s="1"/>
  <c r="N1813" i="2" s="1"/>
  <c r="I1813" i="2"/>
  <c r="J1813" i="2" s="1"/>
  <c r="K1813" i="2" s="1"/>
  <c r="F1813" i="2"/>
  <c r="G1813" i="2" s="1"/>
  <c r="H1813" i="2" s="1"/>
  <c r="C1813" i="5" s="1"/>
  <c r="D1813" i="2"/>
  <c r="E1813" i="2" s="1"/>
  <c r="B1813" i="5" s="1"/>
  <c r="B1813" i="2"/>
  <c r="C1813" i="2" s="1"/>
  <c r="A1813" i="5" s="1"/>
  <c r="O1812" i="2"/>
  <c r="L1812" i="2"/>
  <c r="M1812" i="2" s="1"/>
  <c r="N1812" i="2" s="1"/>
  <c r="I1812" i="2"/>
  <c r="J1812" i="2" s="1"/>
  <c r="K1812" i="2" s="1"/>
  <c r="F1812" i="2"/>
  <c r="G1812" i="2" s="1"/>
  <c r="H1812" i="2" s="1"/>
  <c r="C1812" i="5" s="1"/>
  <c r="D1812" i="2"/>
  <c r="E1812" i="2" s="1"/>
  <c r="B1812" i="5" s="1"/>
  <c r="B1812" i="2"/>
  <c r="C1812" i="2" s="1"/>
  <c r="O1811" i="2"/>
  <c r="L1811" i="2"/>
  <c r="M1811" i="2" s="1"/>
  <c r="N1811" i="2" s="1"/>
  <c r="I1811" i="2"/>
  <c r="J1811" i="2" s="1"/>
  <c r="K1811" i="2" s="1"/>
  <c r="Z1811" i="2" s="1"/>
  <c r="F1811" i="2"/>
  <c r="G1811" i="2" s="1"/>
  <c r="H1811" i="2" s="1"/>
  <c r="C1811" i="5" s="1"/>
  <c r="D1811" i="2"/>
  <c r="E1811" i="2" s="1"/>
  <c r="B1811" i="5" s="1"/>
  <c r="B1811" i="2"/>
  <c r="C1811" i="2" s="1"/>
  <c r="A1811" i="5" s="1"/>
  <c r="O1810" i="2"/>
  <c r="L1810" i="2"/>
  <c r="M1810" i="2" s="1"/>
  <c r="N1810" i="2" s="1"/>
  <c r="E1810" i="5" s="1"/>
  <c r="I1810" i="2"/>
  <c r="J1810" i="2" s="1"/>
  <c r="K1810" i="2" s="1"/>
  <c r="Y1810" i="2" s="1"/>
  <c r="F1810" i="2"/>
  <c r="G1810" i="2" s="1"/>
  <c r="H1810" i="2" s="1"/>
  <c r="C1810" i="5" s="1"/>
  <c r="D1810" i="2"/>
  <c r="E1810" i="2" s="1"/>
  <c r="B1810" i="5" s="1"/>
  <c r="B1810" i="2"/>
  <c r="C1810" i="2" s="1"/>
  <c r="O1809" i="2"/>
  <c r="L1809" i="2"/>
  <c r="M1809" i="2" s="1"/>
  <c r="N1809" i="2" s="1"/>
  <c r="I1809" i="2"/>
  <c r="J1809" i="2" s="1"/>
  <c r="K1809" i="2" s="1"/>
  <c r="F1809" i="2"/>
  <c r="G1809" i="2" s="1"/>
  <c r="H1809" i="2" s="1"/>
  <c r="C1809" i="5" s="1"/>
  <c r="D1809" i="2"/>
  <c r="E1809" i="2" s="1"/>
  <c r="B1809" i="5" s="1"/>
  <c r="B1809" i="2"/>
  <c r="C1809" i="2" s="1"/>
  <c r="A1809" i="5" s="1"/>
  <c r="O1808" i="2"/>
  <c r="L1808" i="2"/>
  <c r="M1808" i="2" s="1"/>
  <c r="N1808" i="2" s="1"/>
  <c r="I1808" i="2"/>
  <c r="J1808" i="2" s="1"/>
  <c r="K1808" i="2" s="1"/>
  <c r="F1808" i="2"/>
  <c r="G1808" i="2" s="1"/>
  <c r="H1808" i="2" s="1"/>
  <c r="C1808" i="5" s="1"/>
  <c r="D1808" i="2"/>
  <c r="E1808" i="2" s="1"/>
  <c r="B1808" i="5" s="1"/>
  <c r="B1808" i="2"/>
  <c r="C1808" i="2" s="1"/>
  <c r="O1807" i="2"/>
  <c r="L1807" i="2"/>
  <c r="M1807" i="2" s="1"/>
  <c r="N1807" i="2" s="1"/>
  <c r="I1807" i="2"/>
  <c r="J1807" i="2" s="1"/>
  <c r="K1807" i="2" s="1"/>
  <c r="Z1807" i="2" s="1"/>
  <c r="F1807" i="2"/>
  <c r="G1807" i="2" s="1"/>
  <c r="H1807" i="2" s="1"/>
  <c r="C1807" i="5" s="1"/>
  <c r="D1807" i="2"/>
  <c r="E1807" i="2" s="1"/>
  <c r="B1807" i="5" s="1"/>
  <c r="B1807" i="2"/>
  <c r="C1807" i="2" s="1"/>
  <c r="A1807" i="5" s="1"/>
  <c r="O1806" i="2"/>
  <c r="L1806" i="2"/>
  <c r="M1806" i="2" s="1"/>
  <c r="N1806" i="2" s="1"/>
  <c r="E1806" i="5" s="1"/>
  <c r="I1806" i="2"/>
  <c r="J1806" i="2" s="1"/>
  <c r="K1806" i="2" s="1"/>
  <c r="Y1806" i="2" s="1"/>
  <c r="F1806" i="2"/>
  <c r="G1806" i="2" s="1"/>
  <c r="H1806" i="2" s="1"/>
  <c r="C1806" i="5" s="1"/>
  <c r="D1806" i="2"/>
  <c r="E1806" i="2" s="1"/>
  <c r="B1806" i="5" s="1"/>
  <c r="B1806" i="2"/>
  <c r="C1806" i="2" s="1"/>
  <c r="O1805" i="2"/>
  <c r="L1805" i="2"/>
  <c r="M1805" i="2" s="1"/>
  <c r="N1805" i="2" s="1"/>
  <c r="I1805" i="2"/>
  <c r="J1805" i="2" s="1"/>
  <c r="K1805" i="2" s="1"/>
  <c r="F1805" i="2"/>
  <c r="G1805" i="2" s="1"/>
  <c r="H1805" i="2" s="1"/>
  <c r="C1805" i="5" s="1"/>
  <c r="D1805" i="2"/>
  <c r="E1805" i="2" s="1"/>
  <c r="B1805" i="5" s="1"/>
  <c r="B1805" i="2"/>
  <c r="C1805" i="2" s="1"/>
  <c r="A1805" i="5" s="1"/>
  <c r="O1804" i="2"/>
  <c r="L1804" i="2"/>
  <c r="M1804" i="2" s="1"/>
  <c r="N1804" i="2" s="1"/>
  <c r="I1804" i="2"/>
  <c r="J1804" i="2" s="1"/>
  <c r="K1804" i="2" s="1"/>
  <c r="F1804" i="2"/>
  <c r="G1804" i="2" s="1"/>
  <c r="H1804" i="2" s="1"/>
  <c r="C1804" i="5" s="1"/>
  <c r="D1804" i="2"/>
  <c r="E1804" i="2" s="1"/>
  <c r="B1804" i="5" s="1"/>
  <c r="B1804" i="2"/>
  <c r="C1804" i="2" s="1"/>
  <c r="O1803" i="2"/>
  <c r="L1803" i="2"/>
  <c r="M1803" i="2" s="1"/>
  <c r="N1803" i="2" s="1"/>
  <c r="I1803" i="2"/>
  <c r="J1803" i="2" s="1"/>
  <c r="K1803" i="2" s="1"/>
  <c r="Z1803" i="2" s="1"/>
  <c r="F1803" i="2"/>
  <c r="G1803" i="2" s="1"/>
  <c r="H1803" i="2" s="1"/>
  <c r="C1803" i="5" s="1"/>
  <c r="D1803" i="2"/>
  <c r="E1803" i="2" s="1"/>
  <c r="B1803" i="5" s="1"/>
  <c r="B1803" i="2"/>
  <c r="C1803" i="2" s="1"/>
  <c r="A1803" i="5" s="1"/>
  <c r="O1802" i="2"/>
  <c r="L1802" i="2"/>
  <c r="M1802" i="2" s="1"/>
  <c r="N1802" i="2" s="1"/>
  <c r="E1802" i="5" s="1"/>
  <c r="I1802" i="2"/>
  <c r="J1802" i="2" s="1"/>
  <c r="K1802" i="2" s="1"/>
  <c r="Y1802" i="2" s="1"/>
  <c r="F1802" i="2"/>
  <c r="G1802" i="2" s="1"/>
  <c r="H1802" i="2" s="1"/>
  <c r="C1802" i="5" s="1"/>
  <c r="D1802" i="2"/>
  <c r="E1802" i="2" s="1"/>
  <c r="B1802" i="5" s="1"/>
  <c r="B1802" i="2"/>
  <c r="C1802" i="2" s="1"/>
  <c r="O1801" i="2"/>
  <c r="L1801" i="2"/>
  <c r="M1801" i="2" s="1"/>
  <c r="N1801" i="2" s="1"/>
  <c r="I1801" i="2"/>
  <c r="J1801" i="2" s="1"/>
  <c r="K1801" i="2" s="1"/>
  <c r="F1801" i="2"/>
  <c r="G1801" i="2" s="1"/>
  <c r="H1801" i="2" s="1"/>
  <c r="C1801" i="5" s="1"/>
  <c r="D1801" i="2"/>
  <c r="E1801" i="2" s="1"/>
  <c r="B1801" i="5" s="1"/>
  <c r="B1801" i="2"/>
  <c r="C1801" i="2" s="1"/>
  <c r="A1801" i="5" s="1"/>
  <c r="O1800" i="2"/>
  <c r="L1800" i="2"/>
  <c r="M1800" i="2" s="1"/>
  <c r="N1800" i="2" s="1"/>
  <c r="I1800" i="2"/>
  <c r="J1800" i="2" s="1"/>
  <c r="K1800" i="2" s="1"/>
  <c r="F1800" i="2"/>
  <c r="G1800" i="2" s="1"/>
  <c r="H1800" i="2" s="1"/>
  <c r="C1800" i="5" s="1"/>
  <c r="D1800" i="2"/>
  <c r="E1800" i="2" s="1"/>
  <c r="B1800" i="5" s="1"/>
  <c r="B1800" i="2"/>
  <c r="C1800" i="2" s="1"/>
  <c r="O1799" i="2"/>
  <c r="L1799" i="2"/>
  <c r="M1799" i="2" s="1"/>
  <c r="N1799" i="2" s="1"/>
  <c r="I1799" i="2"/>
  <c r="J1799" i="2" s="1"/>
  <c r="K1799" i="2" s="1"/>
  <c r="Z1799" i="2" s="1"/>
  <c r="F1799" i="2"/>
  <c r="G1799" i="2" s="1"/>
  <c r="H1799" i="2" s="1"/>
  <c r="C1799" i="5" s="1"/>
  <c r="D1799" i="2"/>
  <c r="E1799" i="2" s="1"/>
  <c r="B1799" i="5" s="1"/>
  <c r="B1799" i="2"/>
  <c r="C1799" i="2" s="1"/>
  <c r="A1799" i="5" s="1"/>
  <c r="O1798" i="2"/>
  <c r="L1798" i="2"/>
  <c r="M1798" i="2" s="1"/>
  <c r="N1798" i="2" s="1"/>
  <c r="E1798" i="5" s="1"/>
  <c r="I1798" i="2"/>
  <c r="J1798" i="2" s="1"/>
  <c r="K1798" i="2" s="1"/>
  <c r="Y1798" i="2" s="1"/>
  <c r="F1798" i="2"/>
  <c r="G1798" i="2" s="1"/>
  <c r="H1798" i="2" s="1"/>
  <c r="C1798" i="5" s="1"/>
  <c r="D1798" i="2"/>
  <c r="E1798" i="2" s="1"/>
  <c r="B1798" i="5" s="1"/>
  <c r="B1798" i="2"/>
  <c r="C1798" i="2" s="1"/>
  <c r="O1797" i="2"/>
  <c r="L1797" i="2"/>
  <c r="M1797" i="2" s="1"/>
  <c r="N1797" i="2" s="1"/>
  <c r="I1797" i="2"/>
  <c r="J1797" i="2" s="1"/>
  <c r="K1797" i="2" s="1"/>
  <c r="F1797" i="2"/>
  <c r="G1797" i="2" s="1"/>
  <c r="H1797" i="2" s="1"/>
  <c r="C1797" i="5" s="1"/>
  <c r="D1797" i="2"/>
  <c r="E1797" i="2" s="1"/>
  <c r="B1797" i="5" s="1"/>
  <c r="B1797" i="2"/>
  <c r="C1797" i="2" s="1"/>
  <c r="A1797" i="5" s="1"/>
  <c r="O1796" i="2"/>
  <c r="L1796" i="2"/>
  <c r="M1796" i="2" s="1"/>
  <c r="N1796" i="2" s="1"/>
  <c r="I1796" i="2"/>
  <c r="J1796" i="2" s="1"/>
  <c r="K1796" i="2" s="1"/>
  <c r="F1796" i="2"/>
  <c r="G1796" i="2" s="1"/>
  <c r="H1796" i="2" s="1"/>
  <c r="C1796" i="5" s="1"/>
  <c r="D1796" i="2"/>
  <c r="E1796" i="2" s="1"/>
  <c r="B1796" i="5" s="1"/>
  <c r="B1796" i="2"/>
  <c r="C1796" i="2" s="1"/>
  <c r="O1795" i="2"/>
  <c r="L1795" i="2"/>
  <c r="M1795" i="2" s="1"/>
  <c r="N1795" i="2" s="1"/>
  <c r="I1795" i="2"/>
  <c r="J1795" i="2" s="1"/>
  <c r="K1795" i="2" s="1"/>
  <c r="Z1795" i="2" s="1"/>
  <c r="F1795" i="2"/>
  <c r="G1795" i="2" s="1"/>
  <c r="H1795" i="2" s="1"/>
  <c r="C1795" i="5" s="1"/>
  <c r="D1795" i="2"/>
  <c r="E1795" i="2" s="1"/>
  <c r="B1795" i="5" s="1"/>
  <c r="B1795" i="2"/>
  <c r="C1795" i="2" s="1"/>
  <c r="A1795" i="5" s="1"/>
  <c r="O1794" i="2"/>
  <c r="L1794" i="2"/>
  <c r="M1794" i="2" s="1"/>
  <c r="N1794" i="2" s="1"/>
  <c r="E1794" i="5" s="1"/>
  <c r="I1794" i="2"/>
  <c r="J1794" i="2" s="1"/>
  <c r="K1794" i="2" s="1"/>
  <c r="Y1794" i="2" s="1"/>
  <c r="F1794" i="2"/>
  <c r="G1794" i="2" s="1"/>
  <c r="H1794" i="2" s="1"/>
  <c r="C1794" i="5" s="1"/>
  <c r="D1794" i="2"/>
  <c r="E1794" i="2" s="1"/>
  <c r="B1794" i="5" s="1"/>
  <c r="B1794" i="2"/>
  <c r="C1794" i="2" s="1"/>
  <c r="O1793" i="2"/>
  <c r="L1793" i="2"/>
  <c r="M1793" i="2" s="1"/>
  <c r="N1793" i="2" s="1"/>
  <c r="I1793" i="2"/>
  <c r="J1793" i="2" s="1"/>
  <c r="K1793" i="2" s="1"/>
  <c r="F1793" i="2"/>
  <c r="G1793" i="2" s="1"/>
  <c r="H1793" i="2" s="1"/>
  <c r="C1793" i="5" s="1"/>
  <c r="D1793" i="2"/>
  <c r="E1793" i="2" s="1"/>
  <c r="B1793" i="5" s="1"/>
  <c r="B1793" i="2"/>
  <c r="C1793" i="2" s="1"/>
  <c r="A1793" i="5" s="1"/>
  <c r="O1792" i="2"/>
  <c r="L1792" i="2"/>
  <c r="M1792" i="2" s="1"/>
  <c r="N1792" i="2" s="1"/>
  <c r="I1792" i="2"/>
  <c r="J1792" i="2" s="1"/>
  <c r="K1792" i="2" s="1"/>
  <c r="F1792" i="2"/>
  <c r="G1792" i="2" s="1"/>
  <c r="H1792" i="2" s="1"/>
  <c r="C1792" i="5" s="1"/>
  <c r="D1792" i="2"/>
  <c r="E1792" i="2" s="1"/>
  <c r="B1792" i="5" s="1"/>
  <c r="B1792" i="2"/>
  <c r="C1792" i="2" s="1"/>
  <c r="O1791" i="2"/>
  <c r="L1791" i="2"/>
  <c r="M1791" i="2" s="1"/>
  <c r="N1791" i="2" s="1"/>
  <c r="I1791" i="2"/>
  <c r="J1791" i="2" s="1"/>
  <c r="K1791" i="2" s="1"/>
  <c r="Z1791" i="2" s="1"/>
  <c r="F1791" i="2"/>
  <c r="G1791" i="2" s="1"/>
  <c r="H1791" i="2" s="1"/>
  <c r="C1791" i="5" s="1"/>
  <c r="D1791" i="2"/>
  <c r="E1791" i="2" s="1"/>
  <c r="B1791" i="5" s="1"/>
  <c r="B1791" i="2"/>
  <c r="C1791" i="2" s="1"/>
  <c r="A1791" i="5" s="1"/>
  <c r="O1790" i="2"/>
  <c r="L1790" i="2"/>
  <c r="M1790" i="2" s="1"/>
  <c r="N1790" i="2" s="1"/>
  <c r="E1790" i="5" s="1"/>
  <c r="I1790" i="2"/>
  <c r="J1790" i="2" s="1"/>
  <c r="K1790" i="2" s="1"/>
  <c r="Y1790" i="2" s="1"/>
  <c r="F1790" i="2"/>
  <c r="G1790" i="2" s="1"/>
  <c r="H1790" i="2" s="1"/>
  <c r="C1790" i="5" s="1"/>
  <c r="D1790" i="2"/>
  <c r="E1790" i="2" s="1"/>
  <c r="B1790" i="5" s="1"/>
  <c r="B1790" i="2"/>
  <c r="C1790" i="2" s="1"/>
  <c r="O1789" i="2"/>
  <c r="L1789" i="2"/>
  <c r="M1789" i="2" s="1"/>
  <c r="N1789" i="2" s="1"/>
  <c r="I1789" i="2"/>
  <c r="J1789" i="2" s="1"/>
  <c r="K1789" i="2" s="1"/>
  <c r="F1789" i="2"/>
  <c r="G1789" i="2" s="1"/>
  <c r="H1789" i="2" s="1"/>
  <c r="C1789" i="5" s="1"/>
  <c r="D1789" i="2"/>
  <c r="E1789" i="2" s="1"/>
  <c r="B1789" i="5" s="1"/>
  <c r="B1789" i="2"/>
  <c r="C1789" i="2" s="1"/>
  <c r="A1789" i="5" s="1"/>
  <c r="O1788" i="2"/>
  <c r="L1788" i="2"/>
  <c r="M1788" i="2" s="1"/>
  <c r="N1788" i="2" s="1"/>
  <c r="I1788" i="2"/>
  <c r="J1788" i="2" s="1"/>
  <c r="K1788" i="2" s="1"/>
  <c r="F1788" i="2"/>
  <c r="G1788" i="2" s="1"/>
  <c r="H1788" i="2" s="1"/>
  <c r="C1788" i="5" s="1"/>
  <c r="D1788" i="2"/>
  <c r="E1788" i="2" s="1"/>
  <c r="B1788" i="5" s="1"/>
  <c r="B1788" i="2"/>
  <c r="C1788" i="2" s="1"/>
  <c r="O1787" i="2"/>
  <c r="L1787" i="2"/>
  <c r="M1787" i="2" s="1"/>
  <c r="N1787" i="2" s="1"/>
  <c r="I1787" i="2"/>
  <c r="J1787" i="2" s="1"/>
  <c r="K1787" i="2" s="1"/>
  <c r="Z1787" i="2" s="1"/>
  <c r="F1787" i="2"/>
  <c r="G1787" i="2" s="1"/>
  <c r="H1787" i="2" s="1"/>
  <c r="C1787" i="5" s="1"/>
  <c r="D1787" i="2"/>
  <c r="E1787" i="2" s="1"/>
  <c r="B1787" i="5" s="1"/>
  <c r="B1787" i="2"/>
  <c r="C1787" i="2" s="1"/>
  <c r="A1787" i="5" s="1"/>
  <c r="O1786" i="2"/>
  <c r="L1786" i="2"/>
  <c r="M1786" i="2" s="1"/>
  <c r="N1786" i="2" s="1"/>
  <c r="E1786" i="5" s="1"/>
  <c r="I1786" i="2"/>
  <c r="J1786" i="2" s="1"/>
  <c r="K1786" i="2" s="1"/>
  <c r="Y1786" i="2" s="1"/>
  <c r="F1786" i="2"/>
  <c r="G1786" i="2" s="1"/>
  <c r="H1786" i="2" s="1"/>
  <c r="C1786" i="5" s="1"/>
  <c r="D1786" i="2"/>
  <c r="E1786" i="2" s="1"/>
  <c r="B1786" i="5" s="1"/>
  <c r="B1786" i="2"/>
  <c r="C1786" i="2" s="1"/>
  <c r="O1785" i="2"/>
  <c r="L1785" i="2"/>
  <c r="M1785" i="2" s="1"/>
  <c r="N1785" i="2" s="1"/>
  <c r="I1785" i="2"/>
  <c r="J1785" i="2" s="1"/>
  <c r="K1785" i="2" s="1"/>
  <c r="F1785" i="2"/>
  <c r="G1785" i="2" s="1"/>
  <c r="H1785" i="2" s="1"/>
  <c r="C1785" i="5" s="1"/>
  <c r="D1785" i="2"/>
  <c r="E1785" i="2" s="1"/>
  <c r="B1785" i="5" s="1"/>
  <c r="B1785" i="2"/>
  <c r="C1785" i="2" s="1"/>
  <c r="A1785" i="5" s="1"/>
  <c r="O1784" i="2"/>
  <c r="L1784" i="2"/>
  <c r="M1784" i="2" s="1"/>
  <c r="N1784" i="2" s="1"/>
  <c r="I1784" i="2"/>
  <c r="J1784" i="2" s="1"/>
  <c r="K1784" i="2" s="1"/>
  <c r="F1784" i="2"/>
  <c r="G1784" i="2" s="1"/>
  <c r="H1784" i="2" s="1"/>
  <c r="C1784" i="5" s="1"/>
  <c r="D1784" i="2"/>
  <c r="E1784" i="2" s="1"/>
  <c r="B1784" i="5" s="1"/>
  <c r="B1784" i="2"/>
  <c r="C1784" i="2" s="1"/>
  <c r="O1783" i="2"/>
  <c r="L1783" i="2"/>
  <c r="M1783" i="2" s="1"/>
  <c r="N1783" i="2" s="1"/>
  <c r="I1783" i="2"/>
  <c r="J1783" i="2" s="1"/>
  <c r="K1783" i="2" s="1"/>
  <c r="Z1783" i="2" s="1"/>
  <c r="F1783" i="2"/>
  <c r="G1783" i="2" s="1"/>
  <c r="H1783" i="2" s="1"/>
  <c r="C1783" i="5" s="1"/>
  <c r="D1783" i="2"/>
  <c r="E1783" i="2" s="1"/>
  <c r="B1783" i="5" s="1"/>
  <c r="B1783" i="2"/>
  <c r="C1783" i="2" s="1"/>
  <c r="A1783" i="5" s="1"/>
  <c r="O1782" i="2"/>
  <c r="L1782" i="2"/>
  <c r="M1782" i="2" s="1"/>
  <c r="N1782" i="2" s="1"/>
  <c r="E1782" i="5" s="1"/>
  <c r="I1782" i="2"/>
  <c r="J1782" i="2" s="1"/>
  <c r="K1782" i="2" s="1"/>
  <c r="Y1782" i="2" s="1"/>
  <c r="F1782" i="2"/>
  <c r="G1782" i="2" s="1"/>
  <c r="H1782" i="2" s="1"/>
  <c r="C1782" i="5" s="1"/>
  <c r="D1782" i="2"/>
  <c r="E1782" i="2" s="1"/>
  <c r="B1782" i="5" s="1"/>
  <c r="B1782" i="2"/>
  <c r="C1782" i="2" s="1"/>
  <c r="O1781" i="2"/>
  <c r="L1781" i="2"/>
  <c r="M1781" i="2" s="1"/>
  <c r="N1781" i="2" s="1"/>
  <c r="I1781" i="2"/>
  <c r="J1781" i="2" s="1"/>
  <c r="K1781" i="2" s="1"/>
  <c r="F1781" i="2"/>
  <c r="G1781" i="2" s="1"/>
  <c r="H1781" i="2" s="1"/>
  <c r="C1781" i="5" s="1"/>
  <c r="D1781" i="2"/>
  <c r="E1781" i="2" s="1"/>
  <c r="B1781" i="5" s="1"/>
  <c r="B1781" i="2"/>
  <c r="C1781" i="2" s="1"/>
  <c r="A1781" i="5" s="1"/>
  <c r="O1780" i="2"/>
  <c r="L1780" i="2"/>
  <c r="M1780" i="2" s="1"/>
  <c r="N1780" i="2" s="1"/>
  <c r="I1780" i="2"/>
  <c r="J1780" i="2" s="1"/>
  <c r="K1780" i="2" s="1"/>
  <c r="F1780" i="2"/>
  <c r="G1780" i="2" s="1"/>
  <c r="H1780" i="2" s="1"/>
  <c r="C1780" i="5" s="1"/>
  <c r="D1780" i="2"/>
  <c r="E1780" i="2" s="1"/>
  <c r="B1780" i="5" s="1"/>
  <c r="B1780" i="2"/>
  <c r="C1780" i="2" s="1"/>
  <c r="O1779" i="2"/>
  <c r="L1779" i="2"/>
  <c r="M1779" i="2" s="1"/>
  <c r="N1779" i="2" s="1"/>
  <c r="I1779" i="2"/>
  <c r="J1779" i="2" s="1"/>
  <c r="K1779" i="2" s="1"/>
  <c r="Z1779" i="2" s="1"/>
  <c r="F1779" i="2"/>
  <c r="G1779" i="2" s="1"/>
  <c r="H1779" i="2" s="1"/>
  <c r="C1779" i="5" s="1"/>
  <c r="D1779" i="2"/>
  <c r="E1779" i="2" s="1"/>
  <c r="B1779" i="5" s="1"/>
  <c r="B1779" i="2"/>
  <c r="C1779" i="2" s="1"/>
  <c r="A1779" i="5" s="1"/>
  <c r="O1778" i="2"/>
  <c r="L1778" i="2"/>
  <c r="M1778" i="2" s="1"/>
  <c r="N1778" i="2" s="1"/>
  <c r="E1778" i="5" s="1"/>
  <c r="I1778" i="2"/>
  <c r="J1778" i="2" s="1"/>
  <c r="K1778" i="2" s="1"/>
  <c r="Y1778" i="2" s="1"/>
  <c r="F1778" i="2"/>
  <c r="G1778" i="2" s="1"/>
  <c r="H1778" i="2" s="1"/>
  <c r="C1778" i="5" s="1"/>
  <c r="D1778" i="2"/>
  <c r="E1778" i="2" s="1"/>
  <c r="B1778" i="5" s="1"/>
  <c r="B1778" i="2"/>
  <c r="C1778" i="2" s="1"/>
  <c r="O1777" i="2"/>
  <c r="L1777" i="2"/>
  <c r="M1777" i="2" s="1"/>
  <c r="N1777" i="2" s="1"/>
  <c r="I1777" i="2"/>
  <c r="J1777" i="2" s="1"/>
  <c r="K1777" i="2" s="1"/>
  <c r="F1777" i="2"/>
  <c r="G1777" i="2" s="1"/>
  <c r="H1777" i="2" s="1"/>
  <c r="C1777" i="5" s="1"/>
  <c r="D1777" i="2"/>
  <c r="E1777" i="2" s="1"/>
  <c r="B1777" i="5" s="1"/>
  <c r="B1777" i="2"/>
  <c r="C1777" i="2" s="1"/>
  <c r="A1777" i="5" s="1"/>
  <c r="O1776" i="2"/>
  <c r="L1776" i="2"/>
  <c r="M1776" i="2" s="1"/>
  <c r="N1776" i="2" s="1"/>
  <c r="I1776" i="2"/>
  <c r="J1776" i="2" s="1"/>
  <c r="K1776" i="2" s="1"/>
  <c r="F1776" i="2"/>
  <c r="G1776" i="2" s="1"/>
  <c r="H1776" i="2" s="1"/>
  <c r="C1776" i="5" s="1"/>
  <c r="D1776" i="2"/>
  <c r="E1776" i="2" s="1"/>
  <c r="B1776" i="5" s="1"/>
  <c r="B1776" i="2"/>
  <c r="C1776" i="2" s="1"/>
  <c r="O1775" i="2"/>
  <c r="L1775" i="2"/>
  <c r="M1775" i="2" s="1"/>
  <c r="N1775" i="2" s="1"/>
  <c r="I1775" i="2"/>
  <c r="J1775" i="2" s="1"/>
  <c r="K1775" i="2" s="1"/>
  <c r="Z1775" i="2" s="1"/>
  <c r="F1775" i="2"/>
  <c r="G1775" i="2" s="1"/>
  <c r="H1775" i="2" s="1"/>
  <c r="C1775" i="5" s="1"/>
  <c r="D1775" i="2"/>
  <c r="E1775" i="2" s="1"/>
  <c r="B1775" i="5" s="1"/>
  <c r="B1775" i="2"/>
  <c r="C1775" i="2" s="1"/>
  <c r="A1775" i="5" s="1"/>
  <c r="O1774" i="2"/>
  <c r="L1774" i="2"/>
  <c r="M1774" i="2" s="1"/>
  <c r="N1774" i="2" s="1"/>
  <c r="E1774" i="5" s="1"/>
  <c r="I1774" i="2"/>
  <c r="J1774" i="2" s="1"/>
  <c r="K1774" i="2" s="1"/>
  <c r="Y1774" i="2" s="1"/>
  <c r="F1774" i="2"/>
  <c r="G1774" i="2" s="1"/>
  <c r="H1774" i="2" s="1"/>
  <c r="C1774" i="5" s="1"/>
  <c r="D1774" i="2"/>
  <c r="E1774" i="2" s="1"/>
  <c r="B1774" i="5" s="1"/>
  <c r="B1774" i="2"/>
  <c r="C1774" i="2" s="1"/>
  <c r="O1773" i="2"/>
  <c r="L1773" i="2"/>
  <c r="M1773" i="2" s="1"/>
  <c r="N1773" i="2" s="1"/>
  <c r="I1773" i="2"/>
  <c r="J1773" i="2" s="1"/>
  <c r="K1773" i="2" s="1"/>
  <c r="F1773" i="2"/>
  <c r="G1773" i="2" s="1"/>
  <c r="H1773" i="2" s="1"/>
  <c r="C1773" i="5" s="1"/>
  <c r="D1773" i="2"/>
  <c r="E1773" i="2" s="1"/>
  <c r="B1773" i="5" s="1"/>
  <c r="B1773" i="2"/>
  <c r="C1773" i="2" s="1"/>
  <c r="A1773" i="5" s="1"/>
  <c r="O1772" i="2"/>
  <c r="L1772" i="2"/>
  <c r="M1772" i="2" s="1"/>
  <c r="N1772" i="2" s="1"/>
  <c r="I1772" i="2"/>
  <c r="J1772" i="2" s="1"/>
  <c r="K1772" i="2" s="1"/>
  <c r="F1772" i="2"/>
  <c r="G1772" i="2" s="1"/>
  <c r="H1772" i="2" s="1"/>
  <c r="C1772" i="5" s="1"/>
  <c r="D1772" i="2"/>
  <c r="E1772" i="2" s="1"/>
  <c r="B1772" i="5" s="1"/>
  <c r="B1772" i="2"/>
  <c r="C1772" i="2" s="1"/>
  <c r="O1771" i="2"/>
  <c r="L1771" i="2"/>
  <c r="M1771" i="2" s="1"/>
  <c r="N1771" i="2" s="1"/>
  <c r="I1771" i="2"/>
  <c r="J1771" i="2" s="1"/>
  <c r="K1771" i="2" s="1"/>
  <c r="Z1771" i="2" s="1"/>
  <c r="F1771" i="2"/>
  <c r="G1771" i="2" s="1"/>
  <c r="H1771" i="2" s="1"/>
  <c r="C1771" i="5" s="1"/>
  <c r="D1771" i="2"/>
  <c r="E1771" i="2" s="1"/>
  <c r="B1771" i="5" s="1"/>
  <c r="B1771" i="2"/>
  <c r="C1771" i="2" s="1"/>
  <c r="A1771" i="5" s="1"/>
  <c r="O1770" i="2"/>
  <c r="L1770" i="2"/>
  <c r="M1770" i="2" s="1"/>
  <c r="N1770" i="2" s="1"/>
  <c r="E1770" i="5" s="1"/>
  <c r="I1770" i="2"/>
  <c r="J1770" i="2" s="1"/>
  <c r="K1770" i="2" s="1"/>
  <c r="Y1770" i="2" s="1"/>
  <c r="F1770" i="2"/>
  <c r="G1770" i="2" s="1"/>
  <c r="H1770" i="2" s="1"/>
  <c r="C1770" i="5" s="1"/>
  <c r="D1770" i="2"/>
  <c r="E1770" i="2" s="1"/>
  <c r="B1770" i="5" s="1"/>
  <c r="B1770" i="2"/>
  <c r="C1770" i="2" s="1"/>
  <c r="O1769" i="2"/>
  <c r="L1769" i="2"/>
  <c r="M1769" i="2" s="1"/>
  <c r="N1769" i="2" s="1"/>
  <c r="I1769" i="2"/>
  <c r="J1769" i="2" s="1"/>
  <c r="K1769" i="2" s="1"/>
  <c r="F1769" i="2"/>
  <c r="G1769" i="2" s="1"/>
  <c r="H1769" i="2" s="1"/>
  <c r="C1769" i="5" s="1"/>
  <c r="D1769" i="2"/>
  <c r="E1769" i="2" s="1"/>
  <c r="B1769" i="5" s="1"/>
  <c r="B1769" i="2"/>
  <c r="C1769" i="2" s="1"/>
  <c r="A1769" i="5" s="1"/>
  <c r="O1768" i="2"/>
  <c r="L1768" i="2"/>
  <c r="M1768" i="2" s="1"/>
  <c r="N1768" i="2" s="1"/>
  <c r="I1768" i="2"/>
  <c r="J1768" i="2" s="1"/>
  <c r="K1768" i="2" s="1"/>
  <c r="F1768" i="2"/>
  <c r="G1768" i="2" s="1"/>
  <c r="H1768" i="2" s="1"/>
  <c r="C1768" i="5" s="1"/>
  <c r="D1768" i="2"/>
  <c r="E1768" i="2" s="1"/>
  <c r="B1768" i="5" s="1"/>
  <c r="B1768" i="2"/>
  <c r="C1768" i="2" s="1"/>
  <c r="O1767" i="2"/>
  <c r="L1767" i="2"/>
  <c r="M1767" i="2" s="1"/>
  <c r="N1767" i="2" s="1"/>
  <c r="I1767" i="2"/>
  <c r="J1767" i="2" s="1"/>
  <c r="K1767" i="2" s="1"/>
  <c r="Z1767" i="2" s="1"/>
  <c r="F1767" i="2"/>
  <c r="G1767" i="2" s="1"/>
  <c r="H1767" i="2" s="1"/>
  <c r="C1767" i="5" s="1"/>
  <c r="D1767" i="2"/>
  <c r="E1767" i="2" s="1"/>
  <c r="B1767" i="5" s="1"/>
  <c r="B1767" i="2"/>
  <c r="C1767" i="2" s="1"/>
  <c r="A1767" i="5" s="1"/>
  <c r="O1766" i="2"/>
  <c r="L1766" i="2"/>
  <c r="M1766" i="2" s="1"/>
  <c r="N1766" i="2" s="1"/>
  <c r="E1766" i="5" s="1"/>
  <c r="I1766" i="2"/>
  <c r="J1766" i="2" s="1"/>
  <c r="K1766" i="2" s="1"/>
  <c r="Y1766" i="2" s="1"/>
  <c r="F1766" i="2"/>
  <c r="G1766" i="2" s="1"/>
  <c r="H1766" i="2" s="1"/>
  <c r="C1766" i="5" s="1"/>
  <c r="D1766" i="2"/>
  <c r="E1766" i="2" s="1"/>
  <c r="B1766" i="5" s="1"/>
  <c r="B1766" i="2"/>
  <c r="C1766" i="2" s="1"/>
  <c r="O1765" i="2"/>
  <c r="L1765" i="2"/>
  <c r="M1765" i="2" s="1"/>
  <c r="N1765" i="2" s="1"/>
  <c r="I1765" i="2"/>
  <c r="J1765" i="2" s="1"/>
  <c r="K1765" i="2" s="1"/>
  <c r="F1765" i="2"/>
  <c r="G1765" i="2" s="1"/>
  <c r="H1765" i="2" s="1"/>
  <c r="C1765" i="5" s="1"/>
  <c r="D1765" i="2"/>
  <c r="E1765" i="2" s="1"/>
  <c r="B1765" i="5" s="1"/>
  <c r="B1765" i="2"/>
  <c r="C1765" i="2" s="1"/>
  <c r="A1765" i="5" s="1"/>
  <c r="O1764" i="2"/>
  <c r="L1764" i="2"/>
  <c r="M1764" i="2" s="1"/>
  <c r="N1764" i="2" s="1"/>
  <c r="I1764" i="2"/>
  <c r="J1764" i="2" s="1"/>
  <c r="K1764" i="2" s="1"/>
  <c r="F1764" i="2"/>
  <c r="G1764" i="2" s="1"/>
  <c r="H1764" i="2" s="1"/>
  <c r="C1764" i="5" s="1"/>
  <c r="D1764" i="2"/>
  <c r="E1764" i="2" s="1"/>
  <c r="B1764" i="5" s="1"/>
  <c r="B1764" i="2"/>
  <c r="C1764" i="2" s="1"/>
  <c r="O1763" i="2"/>
  <c r="L1763" i="2"/>
  <c r="M1763" i="2" s="1"/>
  <c r="N1763" i="2" s="1"/>
  <c r="I1763" i="2"/>
  <c r="J1763" i="2" s="1"/>
  <c r="K1763" i="2" s="1"/>
  <c r="Z1763" i="2" s="1"/>
  <c r="F1763" i="2"/>
  <c r="G1763" i="2" s="1"/>
  <c r="H1763" i="2" s="1"/>
  <c r="C1763" i="5" s="1"/>
  <c r="D1763" i="2"/>
  <c r="E1763" i="2" s="1"/>
  <c r="B1763" i="5" s="1"/>
  <c r="B1763" i="2"/>
  <c r="C1763" i="2" s="1"/>
  <c r="A1763" i="5" s="1"/>
  <c r="O1762" i="2"/>
  <c r="L1762" i="2"/>
  <c r="M1762" i="2" s="1"/>
  <c r="N1762" i="2" s="1"/>
  <c r="E1762" i="5" s="1"/>
  <c r="I1762" i="2"/>
  <c r="J1762" i="2" s="1"/>
  <c r="K1762" i="2" s="1"/>
  <c r="Y1762" i="2" s="1"/>
  <c r="F1762" i="2"/>
  <c r="G1762" i="2" s="1"/>
  <c r="H1762" i="2" s="1"/>
  <c r="C1762" i="5" s="1"/>
  <c r="D1762" i="2"/>
  <c r="E1762" i="2" s="1"/>
  <c r="B1762" i="5" s="1"/>
  <c r="B1762" i="2"/>
  <c r="C1762" i="2" s="1"/>
  <c r="O1761" i="2"/>
  <c r="L1761" i="2"/>
  <c r="M1761" i="2" s="1"/>
  <c r="N1761" i="2" s="1"/>
  <c r="I1761" i="2"/>
  <c r="J1761" i="2" s="1"/>
  <c r="K1761" i="2" s="1"/>
  <c r="F1761" i="2"/>
  <c r="G1761" i="2" s="1"/>
  <c r="H1761" i="2" s="1"/>
  <c r="C1761" i="5" s="1"/>
  <c r="D1761" i="2"/>
  <c r="E1761" i="2" s="1"/>
  <c r="B1761" i="5" s="1"/>
  <c r="B1761" i="2"/>
  <c r="C1761" i="2" s="1"/>
  <c r="A1761" i="5" s="1"/>
  <c r="O1760" i="2"/>
  <c r="L1760" i="2"/>
  <c r="M1760" i="2" s="1"/>
  <c r="N1760" i="2" s="1"/>
  <c r="I1760" i="2"/>
  <c r="J1760" i="2" s="1"/>
  <c r="K1760" i="2" s="1"/>
  <c r="F1760" i="2"/>
  <c r="G1760" i="2" s="1"/>
  <c r="H1760" i="2" s="1"/>
  <c r="C1760" i="5" s="1"/>
  <c r="D1760" i="2"/>
  <c r="E1760" i="2" s="1"/>
  <c r="B1760" i="5" s="1"/>
  <c r="B1760" i="2"/>
  <c r="C1760" i="2" s="1"/>
  <c r="O1759" i="2"/>
  <c r="L1759" i="2"/>
  <c r="M1759" i="2" s="1"/>
  <c r="N1759" i="2" s="1"/>
  <c r="I1759" i="2"/>
  <c r="J1759" i="2" s="1"/>
  <c r="K1759" i="2" s="1"/>
  <c r="Z1759" i="2" s="1"/>
  <c r="F1759" i="2"/>
  <c r="G1759" i="2" s="1"/>
  <c r="H1759" i="2" s="1"/>
  <c r="C1759" i="5" s="1"/>
  <c r="D1759" i="2"/>
  <c r="E1759" i="2" s="1"/>
  <c r="B1759" i="5" s="1"/>
  <c r="B1759" i="2"/>
  <c r="C1759" i="2" s="1"/>
  <c r="A1759" i="5" s="1"/>
  <c r="O1758" i="2"/>
  <c r="L1758" i="2"/>
  <c r="M1758" i="2" s="1"/>
  <c r="N1758" i="2" s="1"/>
  <c r="E1758" i="5" s="1"/>
  <c r="I1758" i="2"/>
  <c r="J1758" i="2" s="1"/>
  <c r="K1758" i="2" s="1"/>
  <c r="Y1758" i="2" s="1"/>
  <c r="F1758" i="2"/>
  <c r="G1758" i="2" s="1"/>
  <c r="H1758" i="2" s="1"/>
  <c r="C1758" i="5" s="1"/>
  <c r="D1758" i="2"/>
  <c r="E1758" i="2" s="1"/>
  <c r="B1758" i="5" s="1"/>
  <c r="B1758" i="2"/>
  <c r="C1758" i="2" s="1"/>
  <c r="O1757" i="2"/>
  <c r="L1757" i="2"/>
  <c r="M1757" i="2" s="1"/>
  <c r="N1757" i="2" s="1"/>
  <c r="I1757" i="2"/>
  <c r="J1757" i="2" s="1"/>
  <c r="K1757" i="2" s="1"/>
  <c r="F1757" i="2"/>
  <c r="G1757" i="2" s="1"/>
  <c r="H1757" i="2" s="1"/>
  <c r="C1757" i="5" s="1"/>
  <c r="D1757" i="2"/>
  <c r="E1757" i="2" s="1"/>
  <c r="B1757" i="5" s="1"/>
  <c r="B1757" i="2"/>
  <c r="C1757" i="2" s="1"/>
  <c r="A1757" i="5" s="1"/>
  <c r="O1756" i="2"/>
  <c r="L1756" i="2"/>
  <c r="M1756" i="2" s="1"/>
  <c r="N1756" i="2" s="1"/>
  <c r="I1756" i="2"/>
  <c r="J1756" i="2" s="1"/>
  <c r="K1756" i="2" s="1"/>
  <c r="F1756" i="2"/>
  <c r="G1756" i="2" s="1"/>
  <c r="H1756" i="2" s="1"/>
  <c r="C1756" i="5" s="1"/>
  <c r="D1756" i="2"/>
  <c r="E1756" i="2" s="1"/>
  <c r="B1756" i="5" s="1"/>
  <c r="B1756" i="2"/>
  <c r="C1756" i="2" s="1"/>
  <c r="A1756" i="5" s="1"/>
  <c r="O1755" i="2"/>
  <c r="L1755" i="2"/>
  <c r="M1755" i="2" s="1"/>
  <c r="N1755" i="2" s="1"/>
  <c r="I1755" i="2"/>
  <c r="J1755" i="2" s="1"/>
  <c r="K1755" i="2" s="1"/>
  <c r="F1755" i="2"/>
  <c r="G1755" i="2" s="1"/>
  <c r="H1755" i="2" s="1"/>
  <c r="C1755" i="5" s="1"/>
  <c r="D1755" i="2"/>
  <c r="E1755" i="2" s="1"/>
  <c r="B1755" i="5" s="1"/>
  <c r="B1755" i="2"/>
  <c r="C1755" i="2" s="1"/>
  <c r="A1755" i="5" s="1"/>
  <c r="O1754" i="2"/>
  <c r="L1754" i="2"/>
  <c r="M1754" i="2" s="1"/>
  <c r="N1754" i="2" s="1"/>
  <c r="I1754" i="2"/>
  <c r="J1754" i="2" s="1"/>
  <c r="K1754" i="2" s="1"/>
  <c r="F1754" i="2"/>
  <c r="G1754" i="2" s="1"/>
  <c r="H1754" i="2" s="1"/>
  <c r="C1754" i="5" s="1"/>
  <c r="D1754" i="2"/>
  <c r="E1754" i="2" s="1"/>
  <c r="B1754" i="5" s="1"/>
  <c r="B1754" i="2"/>
  <c r="C1754" i="2" s="1"/>
  <c r="A1754" i="5" s="1"/>
  <c r="O1753" i="2"/>
  <c r="L1753" i="2"/>
  <c r="M1753" i="2" s="1"/>
  <c r="N1753" i="2" s="1"/>
  <c r="I1753" i="2"/>
  <c r="J1753" i="2" s="1"/>
  <c r="K1753" i="2" s="1"/>
  <c r="F1753" i="2"/>
  <c r="G1753" i="2" s="1"/>
  <c r="H1753" i="2" s="1"/>
  <c r="C1753" i="5" s="1"/>
  <c r="D1753" i="2"/>
  <c r="E1753" i="2" s="1"/>
  <c r="B1753" i="5" s="1"/>
  <c r="B1753" i="2"/>
  <c r="C1753" i="2" s="1"/>
  <c r="A1753" i="5" s="1"/>
  <c r="O1752" i="2"/>
  <c r="L1752" i="2"/>
  <c r="M1752" i="2" s="1"/>
  <c r="N1752" i="2" s="1"/>
  <c r="I1752" i="2"/>
  <c r="J1752" i="2" s="1"/>
  <c r="K1752" i="2" s="1"/>
  <c r="F1752" i="2"/>
  <c r="G1752" i="2" s="1"/>
  <c r="H1752" i="2" s="1"/>
  <c r="C1752" i="5" s="1"/>
  <c r="D1752" i="2"/>
  <c r="E1752" i="2" s="1"/>
  <c r="B1752" i="5" s="1"/>
  <c r="B1752" i="2"/>
  <c r="C1752" i="2" s="1"/>
  <c r="A1752" i="5" s="1"/>
  <c r="O1751" i="2"/>
  <c r="L1751" i="2"/>
  <c r="M1751" i="2" s="1"/>
  <c r="N1751" i="2" s="1"/>
  <c r="I1751" i="2"/>
  <c r="J1751" i="2" s="1"/>
  <c r="K1751" i="2" s="1"/>
  <c r="F1751" i="2"/>
  <c r="G1751" i="2" s="1"/>
  <c r="H1751" i="2" s="1"/>
  <c r="C1751" i="5" s="1"/>
  <c r="D1751" i="2"/>
  <c r="E1751" i="2" s="1"/>
  <c r="B1751" i="5" s="1"/>
  <c r="B1751" i="2"/>
  <c r="C1751" i="2" s="1"/>
  <c r="A1751" i="5" s="1"/>
  <c r="O1750" i="2"/>
  <c r="L1750" i="2"/>
  <c r="M1750" i="2" s="1"/>
  <c r="N1750" i="2" s="1"/>
  <c r="I1750" i="2"/>
  <c r="J1750" i="2" s="1"/>
  <c r="K1750" i="2" s="1"/>
  <c r="F1750" i="2"/>
  <c r="G1750" i="2" s="1"/>
  <c r="H1750" i="2" s="1"/>
  <c r="C1750" i="5" s="1"/>
  <c r="D1750" i="2"/>
  <c r="E1750" i="2" s="1"/>
  <c r="B1750" i="5" s="1"/>
  <c r="B1750" i="2"/>
  <c r="C1750" i="2" s="1"/>
  <c r="A1750" i="5" s="1"/>
  <c r="O1749" i="2"/>
  <c r="L1749" i="2"/>
  <c r="M1749" i="2" s="1"/>
  <c r="N1749" i="2" s="1"/>
  <c r="I1749" i="2"/>
  <c r="J1749" i="2" s="1"/>
  <c r="K1749" i="2" s="1"/>
  <c r="F1749" i="2"/>
  <c r="G1749" i="2" s="1"/>
  <c r="H1749" i="2" s="1"/>
  <c r="C1749" i="5" s="1"/>
  <c r="D1749" i="2"/>
  <c r="E1749" i="2" s="1"/>
  <c r="B1749" i="5" s="1"/>
  <c r="B1749" i="2"/>
  <c r="C1749" i="2" s="1"/>
  <c r="A1749" i="5" s="1"/>
  <c r="O1748" i="2"/>
  <c r="L1748" i="2"/>
  <c r="M1748" i="2" s="1"/>
  <c r="N1748" i="2" s="1"/>
  <c r="I1748" i="2"/>
  <c r="J1748" i="2" s="1"/>
  <c r="K1748" i="2" s="1"/>
  <c r="F1748" i="2"/>
  <c r="G1748" i="2" s="1"/>
  <c r="H1748" i="2" s="1"/>
  <c r="C1748" i="5" s="1"/>
  <c r="D1748" i="2"/>
  <c r="E1748" i="2" s="1"/>
  <c r="B1748" i="5" s="1"/>
  <c r="B1748" i="2"/>
  <c r="C1748" i="2" s="1"/>
  <c r="A1748" i="5" s="1"/>
  <c r="O1747" i="2"/>
  <c r="L1747" i="2"/>
  <c r="M1747" i="2" s="1"/>
  <c r="N1747" i="2" s="1"/>
  <c r="I1747" i="2"/>
  <c r="J1747" i="2" s="1"/>
  <c r="K1747" i="2" s="1"/>
  <c r="F1747" i="2"/>
  <c r="G1747" i="2" s="1"/>
  <c r="H1747" i="2" s="1"/>
  <c r="C1747" i="5" s="1"/>
  <c r="D1747" i="2"/>
  <c r="E1747" i="2" s="1"/>
  <c r="B1747" i="5" s="1"/>
  <c r="B1747" i="2"/>
  <c r="C1747" i="2" s="1"/>
  <c r="A1747" i="5" s="1"/>
  <c r="O1746" i="2"/>
  <c r="L1746" i="2"/>
  <c r="M1746" i="2" s="1"/>
  <c r="N1746" i="2" s="1"/>
  <c r="I1746" i="2"/>
  <c r="J1746" i="2" s="1"/>
  <c r="K1746" i="2" s="1"/>
  <c r="F1746" i="2"/>
  <c r="G1746" i="2" s="1"/>
  <c r="H1746" i="2" s="1"/>
  <c r="C1746" i="5" s="1"/>
  <c r="D1746" i="2"/>
  <c r="E1746" i="2" s="1"/>
  <c r="B1746" i="5" s="1"/>
  <c r="B1746" i="2"/>
  <c r="C1746" i="2" s="1"/>
  <c r="A1746" i="5" s="1"/>
  <c r="O1745" i="2"/>
  <c r="L1745" i="2"/>
  <c r="M1745" i="2" s="1"/>
  <c r="N1745" i="2" s="1"/>
  <c r="I1745" i="2"/>
  <c r="J1745" i="2" s="1"/>
  <c r="K1745" i="2" s="1"/>
  <c r="F1745" i="2"/>
  <c r="G1745" i="2" s="1"/>
  <c r="H1745" i="2" s="1"/>
  <c r="C1745" i="5" s="1"/>
  <c r="D1745" i="2"/>
  <c r="E1745" i="2" s="1"/>
  <c r="B1745" i="5" s="1"/>
  <c r="B1745" i="2"/>
  <c r="C1745" i="2" s="1"/>
  <c r="A1745" i="5" s="1"/>
  <c r="O1744" i="2"/>
  <c r="L1744" i="2"/>
  <c r="M1744" i="2" s="1"/>
  <c r="N1744" i="2" s="1"/>
  <c r="I1744" i="2"/>
  <c r="J1744" i="2" s="1"/>
  <c r="K1744" i="2" s="1"/>
  <c r="F1744" i="2"/>
  <c r="G1744" i="2" s="1"/>
  <c r="H1744" i="2" s="1"/>
  <c r="C1744" i="5" s="1"/>
  <c r="D1744" i="2"/>
  <c r="E1744" i="2" s="1"/>
  <c r="B1744" i="5" s="1"/>
  <c r="B1744" i="2"/>
  <c r="C1744" i="2" s="1"/>
  <c r="A1744" i="5" s="1"/>
  <c r="O1743" i="2"/>
  <c r="L1743" i="2"/>
  <c r="M1743" i="2" s="1"/>
  <c r="N1743" i="2" s="1"/>
  <c r="I1743" i="2"/>
  <c r="J1743" i="2" s="1"/>
  <c r="K1743" i="2" s="1"/>
  <c r="F1743" i="2"/>
  <c r="G1743" i="2" s="1"/>
  <c r="H1743" i="2" s="1"/>
  <c r="C1743" i="5" s="1"/>
  <c r="D1743" i="2"/>
  <c r="E1743" i="2" s="1"/>
  <c r="B1743" i="5" s="1"/>
  <c r="B1743" i="2"/>
  <c r="C1743" i="2" s="1"/>
  <c r="A1743" i="5" s="1"/>
  <c r="O1742" i="2"/>
  <c r="L1742" i="2"/>
  <c r="M1742" i="2" s="1"/>
  <c r="N1742" i="2" s="1"/>
  <c r="I1742" i="2"/>
  <c r="J1742" i="2" s="1"/>
  <c r="K1742" i="2" s="1"/>
  <c r="F1742" i="2"/>
  <c r="G1742" i="2" s="1"/>
  <c r="H1742" i="2" s="1"/>
  <c r="C1742" i="5" s="1"/>
  <c r="D1742" i="2"/>
  <c r="E1742" i="2" s="1"/>
  <c r="B1742" i="5" s="1"/>
  <c r="B1742" i="2"/>
  <c r="C1742" i="2" s="1"/>
  <c r="A1742" i="5" s="1"/>
  <c r="O1741" i="2"/>
  <c r="L1741" i="2"/>
  <c r="M1741" i="2" s="1"/>
  <c r="N1741" i="2" s="1"/>
  <c r="I1741" i="2"/>
  <c r="J1741" i="2" s="1"/>
  <c r="K1741" i="2" s="1"/>
  <c r="F1741" i="2"/>
  <c r="G1741" i="2" s="1"/>
  <c r="H1741" i="2" s="1"/>
  <c r="C1741" i="5" s="1"/>
  <c r="D1741" i="2"/>
  <c r="E1741" i="2" s="1"/>
  <c r="B1741" i="5" s="1"/>
  <c r="B1741" i="2"/>
  <c r="C1741" i="2" s="1"/>
  <c r="A1741" i="5" s="1"/>
  <c r="O1740" i="2"/>
  <c r="L1740" i="2"/>
  <c r="M1740" i="2" s="1"/>
  <c r="N1740" i="2" s="1"/>
  <c r="I1740" i="2"/>
  <c r="J1740" i="2" s="1"/>
  <c r="K1740" i="2" s="1"/>
  <c r="F1740" i="2"/>
  <c r="G1740" i="2" s="1"/>
  <c r="H1740" i="2" s="1"/>
  <c r="C1740" i="5" s="1"/>
  <c r="D1740" i="2"/>
  <c r="E1740" i="2" s="1"/>
  <c r="B1740" i="5" s="1"/>
  <c r="B1740" i="2"/>
  <c r="C1740" i="2" s="1"/>
  <c r="A1740" i="5" s="1"/>
  <c r="O1739" i="2"/>
  <c r="L1739" i="2"/>
  <c r="M1739" i="2" s="1"/>
  <c r="N1739" i="2" s="1"/>
  <c r="I1739" i="2"/>
  <c r="J1739" i="2" s="1"/>
  <c r="K1739" i="2" s="1"/>
  <c r="F1739" i="2"/>
  <c r="G1739" i="2" s="1"/>
  <c r="H1739" i="2" s="1"/>
  <c r="C1739" i="5" s="1"/>
  <c r="D1739" i="2"/>
  <c r="E1739" i="2" s="1"/>
  <c r="B1739" i="5" s="1"/>
  <c r="B1739" i="2"/>
  <c r="C1739" i="2" s="1"/>
  <c r="A1739" i="5" s="1"/>
  <c r="O1738" i="2"/>
  <c r="L1738" i="2"/>
  <c r="M1738" i="2" s="1"/>
  <c r="N1738" i="2" s="1"/>
  <c r="I1738" i="2"/>
  <c r="J1738" i="2" s="1"/>
  <c r="K1738" i="2" s="1"/>
  <c r="F1738" i="2"/>
  <c r="G1738" i="2" s="1"/>
  <c r="H1738" i="2" s="1"/>
  <c r="C1738" i="5" s="1"/>
  <c r="D1738" i="2"/>
  <c r="E1738" i="2" s="1"/>
  <c r="B1738" i="5" s="1"/>
  <c r="B1738" i="2"/>
  <c r="C1738" i="2" s="1"/>
  <c r="A1738" i="5" s="1"/>
  <c r="O1737" i="2"/>
  <c r="L1737" i="2"/>
  <c r="M1737" i="2" s="1"/>
  <c r="N1737" i="2" s="1"/>
  <c r="I1737" i="2"/>
  <c r="J1737" i="2" s="1"/>
  <c r="K1737" i="2" s="1"/>
  <c r="F1737" i="2"/>
  <c r="G1737" i="2" s="1"/>
  <c r="H1737" i="2" s="1"/>
  <c r="C1737" i="5" s="1"/>
  <c r="D1737" i="2"/>
  <c r="E1737" i="2" s="1"/>
  <c r="B1737" i="5" s="1"/>
  <c r="B1737" i="2"/>
  <c r="C1737" i="2" s="1"/>
  <c r="A1737" i="5" s="1"/>
  <c r="O1736" i="2"/>
  <c r="L1736" i="2"/>
  <c r="M1736" i="2" s="1"/>
  <c r="N1736" i="2" s="1"/>
  <c r="I1736" i="2"/>
  <c r="J1736" i="2" s="1"/>
  <c r="K1736" i="2" s="1"/>
  <c r="F1736" i="2"/>
  <c r="G1736" i="2" s="1"/>
  <c r="H1736" i="2" s="1"/>
  <c r="C1736" i="5" s="1"/>
  <c r="D1736" i="2"/>
  <c r="E1736" i="2" s="1"/>
  <c r="B1736" i="5" s="1"/>
  <c r="B1736" i="2"/>
  <c r="C1736" i="2" s="1"/>
  <c r="A1736" i="5" s="1"/>
  <c r="O1735" i="2"/>
  <c r="L1735" i="2"/>
  <c r="M1735" i="2" s="1"/>
  <c r="N1735" i="2" s="1"/>
  <c r="I1735" i="2"/>
  <c r="J1735" i="2" s="1"/>
  <c r="K1735" i="2" s="1"/>
  <c r="F1735" i="2"/>
  <c r="G1735" i="2" s="1"/>
  <c r="H1735" i="2" s="1"/>
  <c r="C1735" i="5" s="1"/>
  <c r="D1735" i="2"/>
  <c r="E1735" i="2" s="1"/>
  <c r="B1735" i="5" s="1"/>
  <c r="B1735" i="2"/>
  <c r="C1735" i="2" s="1"/>
  <c r="A1735" i="5" s="1"/>
  <c r="O1734" i="2"/>
  <c r="L1734" i="2"/>
  <c r="M1734" i="2" s="1"/>
  <c r="N1734" i="2" s="1"/>
  <c r="I1734" i="2"/>
  <c r="J1734" i="2" s="1"/>
  <c r="K1734" i="2" s="1"/>
  <c r="F1734" i="2"/>
  <c r="G1734" i="2" s="1"/>
  <c r="H1734" i="2" s="1"/>
  <c r="C1734" i="5" s="1"/>
  <c r="D1734" i="2"/>
  <c r="E1734" i="2" s="1"/>
  <c r="B1734" i="5" s="1"/>
  <c r="B1734" i="2"/>
  <c r="C1734" i="2" s="1"/>
  <c r="A1734" i="5" s="1"/>
  <c r="O1733" i="2"/>
  <c r="L1733" i="2"/>
  <c r="M1733" i="2" s="1"/>
  <c r="N1733" i="2" s="1"/>
  <c r="I1733" i="2"/>
  <c r="J1733" i="2" s="1"/>
  <c r="K1733" i="2" s="1"/>
  <c r="F1733" i="2"/>
  <c r="G1733" i="2" s="1"/>
  <c r="H1733" i="2" s="1"/>
  <c r="C1733" i="5" s="1"/>
  <c r="D1733" i="2"/>
  <c r="E1733" i="2" s="1"/>
  <c r="B1733" i="5" s="1"/>
  <c r="B1733" i="2"/>
  <c r="C1733" i="2" s="1"/>
  <c r="A1733" i="5" s="1"/>
  <c r="O1732" i="2"/>
  <c r="L1732" i="2"/>
  <c r="M1732" i="2" s="1"/>
  <c r="N1732" i="2" s="1"/>
  <c r="I1732" i="2"/>
  <c r="J1732" i="2" s="1"/>
  <c r="K1732" i="2" s="1"/>
  <c r="F1732" i="2"/>
  <c r="G1732" i="2" s="1"/>
  <c r="H1732" i="2" s="1"/>
  <c r="C1732" i="5" s="1"/>
  <c r="D1732" i="2"/>
  <c r="E1732" i="2" s="1"/>
  <c r="B1732" i="5" s="1"/>
  <c r="B1732" i="2"/>
  <c r="C1732" i="2" s="1"/>
  <c r="A1732" i="5" s="1"/>
  <c r="O1731" i="2"/>
  <c r="L1731" i="2"/>
  <c r="M1731" i="2" s="1"/>
  <c r="N1731" i="2" s="1"/>
  <c r="I1731" i="2"/>
  <c r="J1731" i="2" s="1"/>
  <c r="K1731" i="2" s="1"/>
  <c r="F1731" i="2"/>
  <c r="G1731" i="2" s="1"/>
  <c r="H1731" i="2" s="1"/>
  <c r="C1731" i="5" s="1"/>
  <c r="D1731" i="2"/>
  <c r="E1731" i="2" s="1"/>
  <c r="B1731" i="5" s="1"/>
  <c r="B1731" i="2"/>
  <c r="C1731" i="2" s="1"/>
  <c r="A1731" i="5" s="1"/>
  <c r="O1730" i="2"/>
  <c r="L1730" i="2"/>
  <c r="M1730" i="2" s="1"/>
  <c r="N1730" i="2" s="1"/>
  <c r="I1730" i="2"/>
  <c r="J1730" i="2" s="1"/>
  <c r="K1730" i="2" s="1"/>
  <c r="F1730" i="2"/>
  <c r="G1730" i="2" s="1"/>
  <c r="H1730" i="2" s="1"/>
  <c r="C1730" i="5" s="1"/>
  <c r="D1730" i="2"/>
  <c r="E1730" i="2" s="1"/>
  <c r="B1730" i="5" s="1"/>
  <c r="B1730" i="2"/>
  <c r="C1730" i="2" s="1"/>
  <c r="A1730" i="5" s="1"/>
  <c r="O1729" i="2"/>
  <c r="L1729" i="2"/>
  <c r="M1729" i="2" s="1"/>
  <c r="N1729" i="2" s="1"/>
  <c r="I1729" i="2"/>
  <c r="J1729" i="2" s="1"/>
  <c r="K1729" i="2" s="1"/>
  <c r="F1729" i="2"/>
  <c r="G1729" i="2" s="1"/>
  <c r="H1729" i="2" s="1"/>
  <c r="C1729" i="5" s="1"/>
  <c r="D1729" i="2"/>
  <c r="E1729" i="2" s="1"/>
  <c r="B1729" i="5" s="1"/>
  <c r="B1729" i="2"/>
  <c r="C1729" i="2" s="1"/>
  <c r="A1729" i="5" s="1"/>
  <c r="O1728" i="2"/>
  <c r="L1728" i="2"/>
  <c r="M1728" i="2" s="1"/>
  <c r="N1728" i="2" s="1"/>
  <c r="I1728" i="2"/>
  <c r="J1728" i="2" s="1"/>
  <c r="K1728" i="2" s="1"/>
  <c r="F1728" i="2"/>
  <c r="G1728" i="2" s="1"/>
  <c r="H1728" i="2" s="1"/>
  <c r="C1728" i="5" s="1"/>
  <c r="D1728" i="2"/>
  <c r="E1728" i="2" s="1"/>
  <c r="B1728" i="5" s="1"/>
  <c r="B1728" i="2"/>
  <c r="C1728" i="2" s="1"/>
  <c r="A1728" i="5" s="1"/>
  <c r="O1727" i="2"/>
  <c r="L1727" i="2"/>
  <c r="M1727" i="2" s="1"/>
  <c r="N1727" i="2" s="1"/>
  <c r="I1727" i="2"/>
  <c r="J1727" i="2" s="1"/>
  <c r="K1727" i="2" s="1"/>
  <c r="F1727" i="2"/>
  <c r="G1727" i="2" s="1"/>
  <c r="H1727" i="2" s="1"/>
  <c r="C1727" i="5" s="1"/>
  <c r="D1727" i="2"/>
  <c r="E1727" i="2" s="1"/>
  <c r="B1727" i="5" s="1"/>
  <c r="B1727" i="2"/>
  <c r="C1727" i="2" s="1"/>
  <c r="A1727" i="5" s="1"/>
  <c r="O1726" i="2"/>
  <c r="L1726" i="2"/>
  <c r="M1726" i="2" s="1"/>
  <c r="N1726" i="2" s="1"/>
  <c r="I1726" i="2"/>
  <c r="J1726" i="2" s="1"/>
  <c r="K1726" i="2" s="1"/>
  <c r="F1726" i="2"/>
  <c r="G1726" i="2" s="1"/>
  <c r="H1726" i="2" s="1"/>
  <c r="C1726" i="5" s="1"/>
  <c r="D1726" i="2"/>
  <c r="E1726" i="2" s="1"/>
  <c r="B1726" i="5" s="1"/>
  <c r="B1726" i="2"/>
  <c r="C1726" i="2" s="1"/>
  <c r="A1726" i="5" s="1"/>
  <c r="O1725" i="2"/>
  <c r="L1725" i="2"/>
  <c r="M1725" i="2" s="1"/>
  <c r="N1725" i="2" s="1"/>
  <c r="I1725" i="2"/>
  <c r="J1725" i="2" s="1"/>
  <c r="K1725" i="2" s="1"/>
  <c r="F1725" i="2"/>
  <c r="G1725" i="2" s="1"/>
  <c r="H1725" i="2" s="1"/>
  <c r="C1725" i="5" s="1"/>
  <c r="D1725" i="2"/>
  <c r="E1725" i="2" s="1"/>
  <c r="B1725" i="5" s="1"/>
  <c r="B1725" i="2"/>
  <c r="C1725" i="2" s="1"/>
  <c r="A1725" i="5" s="1"/>
  <c r="O1724" i="2"/>
  <c r="L1724" i="2"/>
  <c r="M1724" i="2" s="1"/>
  <c r="N1724" i="2" s="1"/>
  <c r="I1724" i="2"/>
  <c r="J1724" i="2" s="1"/>
  <c r="K1724" i="2" s="1"/>
  <c r="F1724" i="2"/>
  <c r="G1724" i="2" s="1"/>
  <c r="H1724" i="2" s="1"/>
  <c r="C1724" i="5" s="1"/>
  <c r="D1724" i="2"/>
  <c r="E1724" i="2" s="1"/>
  <c r="B1724" i="5" s="1"/>
  <c r="B1724" i="2"/>
  <c r="C1724" i="2" s="1"/>
  <c r="A1724" i="5" s="1"/>
  <c r="O1723" i="2"/>
  <c r="L1723" i="2"/>
  <c r="M1723" i="2" s="1"/>
  <c r="N1723" i="2" s="1"/>
  <c r="I1723" i="2"/>
  <c r="J1723" i="2" s="1"/>
  <c r="K1723" i="2" s="1"/>
  <c r="F1723" i="2"/>
  <c r="G1723" i="2" s="1"/>
  <c r="H1723" i="2" s="1"/>
  <c r="C1723" i="5" s="1"/>
  <c r="D1723" i="2"/>
  <c r="E1723" i="2" s="1"/>
  <c r="B1723" i="5" s="1"/>
  <c r="B1723" i="2"/>
  <c r="C1723" i="2" s="1"/>
  <c r="A1723" i="5" s="1"/>
  <c r="O1722" i="2"/>
  <c r="L1722" i="2"/>
  <c r="M1722" i="2" s="1"/>
  <c r="N1722" i="2" s="1"/>
  <c r="I1722" i="2"/>
  <c r="J1722" i="2" s="1"/>
  <c r="K1722" i="2" s="1"/>
  <c r="F1722" i="2"/>
  <c r="G1722" i="2" s="1"/>
  <c r="H1722" i="2" s="1"/>
  <c r="C1722" i="5" s="1"/>
  <c r="D1722" i="2"/>
  <c r="E1722" i="2" s="1"/>
  <c r="B1722" i="5" s="1"/>
  <c r="B1722" i="2"/>
  <c r="C1722" i="2" s="1"/>
  <c r="A1722" i="5" s="1"/>
  <c r="O1721" i="2"/>
  <c r="L1721" i="2"/>
  <c r="M1721" i="2" s="1"/>
  <c r="N1721" i="2" s="1"/>
  <c r="I1721" i="2"/>
  <c r="J1721" i="2" s="1"/>
  <c r="K1721" i="2" s="1"/>
  <c r="F1721" i="2"/>
  <c r="G1721" i="2" s="1"/>
  <c r="H1721" i="2" s="1"/>
  <c r="C1721" i="5" s="1"/>
  <c r="D1721" i="2"/>
  <c r="E1721" i="2" s="1"/>
  <c r="B1721" i="5" s="1"/>
  <c r="B1721" i="2"/>
  <c r="C1721" i="2" s="1"/>
  <c r="A1721" i="5" s="1"/>
  <c r="O1720" i="2"/>
  <c r="L1720" i="2"/>
  <c r="M1720" i="2" s="1"/>
  <c r="N1720" i="2" s="1"/>
  <c r="I1720" i="2"/>
  <c r="J1720" i="2" s="1"/>
  <c r="K1720" i="2" s="1"/>
  <c r="F1720" i="2"/>
  <c r="G1720" i="2" s="1"/>
  <c r="H1720" i="2" s="1"/>
  <c r="C1720" i="5" s="1"/>
  <c r="D1720" i="2"/>
  <c r="E1720" i="2" s="1"/>
  <c r="B1720" i="5" s="1"/>
  <c r="B1720" i="2"/>
  <c r="C1720" i="2" s="1"/>
  <c r="A1720" i="5" s="1"/>
  <c r="O1719" i="2"/>
  <c r="L1719" i="2"/>
  <c r="M1719" i="2" s="1"/>
  <c r="N1719" i="2" s="1"/>
  <c r="I1719" i="2"/>
  <c r="J1719" i="2" s="1"/>
  <c r="K1719" i="2" s="1"/>
  <c r="F1719" i="2"/>
  <c r="G1719" i="2" s="1"/>
  <c r="H1719" i="2" s="1"/>
  <c r="C1719" i="5" s="1"/>
  <c r="D1719" i="2"/>
  <c r="E1719" i="2" s="1"/>
  <c r="B1719" i="5" s="1"/>
  <c r="B1719" i="2"/>
  <c r="C1719" i="2" s="1"/>
  <c r="A1719" i="5" s="1"/>
  <c r="O1718" i="2"/>
  <c r="L1718" i="2"/>
  <c r="M1718" i="2" s="1"/>
  <c r="N1718" i="2" s="1"/>
  <c r="I1718" i="2"/>
  <c r="J1718" i="2" s="1"/>
  <c r="K1718" i="2" s="1"/>
  <c r="F1718" i="2"/>
  <c r="G1718" i="2" s="1"/>
  <c r="H1718" i="2" s="1"/>
  <c r="C1718" i="5" s="1"/>
  <c r="D1718" i="2"/>
  <c r="E1718" i="2" s="1"/>
  <c r="B1718" i="5" s="1"/>
  <c r="B1718" i="2"/>
  <c r="C1718" i="2" s="1"/>
  <c r="A1718" i="5" s="1"/>
  <c r="O1717" i="2"/>
  <c r="L1717" i="2"/>
  <c r="M1717" i="2" s="1"/>
  <c r="N1717" i="2" s="1"/>
  <c r="I1717" i="2"/>
  <c r="J1717" i="2" s="1"/>
  <c r="K1717" i="2" s="1"/>
  <c r="F1717" i="2"/>
  <c r="G1717" i="2" s="1"/>
  <c r="H1717" i="2" s="1"/>
  <c r="C1717" i="5" s="1"/>
  <c r="D1717" i="2"/>
  <c r="E1717" i="2" s="1"/>
  <c r="B1717" i="5" s="1"/>
  <c r="B1717" i="2"/>
  <c r="C1717" i="2" s="1"/>
  <c r="A1717" i="5" s="1"/>
  <c r="O1716" i="2"/>
  <c r="L1716" i="2"/>
  <c r="M1716" i="2" s="1"/>
  <c r="N1716" i="2" s="1"/>
  <c r="I1716" i="2"/>
  <c r="J1716" i="2" s="1"/>
  <c r="K1716" i="2" s="1"/>
  <c r="F1716" i="2"/>
  <c r="G1716" i="2" s="1"/>
  <c r="H1716" i="2" s="1"/>
  <c r="C1716" i="5" s="1"/>
  <c r="D1716" i="2"/>
  <c r="E1716" i="2" s="1"/>
  <c r="B1716" i="5" s="1"/>
  <c r="B1716" i="2"/>
  <c r="C1716" i="2" s="1"/>
  <c r="A1716" i="5" s="1"/>
  <c r="O1715" i="2"/>
  <c r="L1715" i="2"/>
  <c r="M1715" i="2" s="1"/>
  <c r="N1715" i="2" s="1"/>
  <c r="I1715" i="2"/>
  <c r="J1715" i="2" s="1"/>
  <c r="K1715" i="2" s="1"/>
  <c r="F1715" i="2"/>
  <c r="G1715" i="2" s="1"/>
  <c r="H1715" i="2" s="1"/>
  <c r="C1715" i="5" s="1"/>
  <c r="D1715" i="2"/>
  <c r="E1715" i="2" s="1"/>
  <c r="B1715" i="5" s="1"/>
  <c r="B1715" i="2"/>
  <c r="C1715" i="2" s="1"/>
  <c r="A1715" i="5" s="1"/>
  <c r="O1714" i="2"/>
  <c r="L1714" i="2"/>
  <c r="M1714" i="2" s="1"/>
  <c r="N1714" i="2" s="1"/>
  <c r="I1714" i="2"/>
  <c r="J1714" i="2" s="1"/>
  <c r="K1714" i="2" s="1"/>
  <c r="F1714" i="2"/>
  <c r="G1714" i="2" s="1"/>
  <c r="H1714" i="2" s="1"/>
  <c r="C1714" i="5" s="1"/>
  <c r="D1714" i="2"/>
  <c r="E1714" i="2" s="1"/>
  <c r="B1714" i="5" s="1"/>
  <c r="B1714" i="2"/>
  <c r="C1714" i="2" s="1"/>
  <c r="A1714" i="5" s="1"/>
  <c r="O1713" i="2"/>
  <c r="L1713" i="2"/>
  <c r="M1713" i="2" s="1"/>
  <c r="N1713" i="2" s="1"/>
  <c r="I1713" i="2"/>
  <c r="J1713" i="2" s="1"/>
  <c r="K1713" i="2" s="1"/>
  <c r="F1713" i="2"/>
  <c r="G1713" i="2" s="1"/>
  <c r="H1713" i="2" s="1"/>
  <c r="C1713" i="5" s="1"/>
  <c r="D1713" i="2"/>
  <c r="E1713" i="2" s="1"/>
  <c r="B1713" i="5" s="1"/>
  <c r="B1713" i="2"/>
  <c r="C1713" i="2" s="1"/>
  <c r="A1713" i="5" s="1"/>
  <c r="O1712" i="2"/>
  <c r="L1712" i="2"/>
  <c r="M1712" i="2" s="1"/>
  <c r="N1712" i="2" s="1"/>
  <c r="I1712" i="2"/>
  <c r="J1712" i="2" s="1"/>
  <c r="K1712" i="2" s="1"/>
  <c r="F1712" i="2"/>
  <c r="G1712" i="2" s="1"/>
  <c r="H1712" i="2" s="1"/>
  <c r="C1712" i="5" s="1"/>
  <c r="D1712" i="2"/>
  <c r="E1712" i="2" s="1"/>
  <c r="B1712" i="5" s="1"/>
  <c r="B1712" i="2"/>
  <c r="C1712" i="2" s="1"/>
  <c r="A1712" i="5" s="1"/>
  <c r="O1711" i="2"/>
  <c r="L1711" i="2"/>
  <c r="M1711" i="2" s="1"/>
  <c r="N1711" i="2" s="1"/>
  <c r="I1711" i="2"/>
  <c r="J1711" i="2" s="1"/>
  <c r="K1711" i="2" s="1"/>
  <c r="F1711" i="2"/>
  <c r="G1711" i="2" s="1"/>
  <c r="H1711" i="2" s="1"/>
  <c r="C1711" i="5" s="1"/>
  <c r="D1711" i="2"/>
  <c r="E1711" i="2" s="1"/>
  <c r="B1711" i="5" s="1"/>
  <c r="B1711" i="2"/>
  <c r="C1711" i="2" s="1"/>
  <c r="A1711" i="5" s="1"/>
  <c r="O1710" i="2"/>
  <c r="L1710" i="2"/>
  <c r="M1710" i="2" s="1"/>
  <c r="N1710" i="2" s="1"/>
  <c r="I1710" i="2"/>
  <c r="J1710" i="2" s="1"/>
  <c r="K1710" i="2" s="1"/>
  <c r="F1710" i="2"/>
  <c r="G1710" i="2" s="1"/>
  <c r="H1710" i="2" s="1"/>
  <c r="C1710" i="5" s="1"/>
  <c r="D1710" i="2"/>
  <c r="E1710" i="2" s="1"/>
  <c r="B1710" i="5" s="1"/>
  <c r="B1710" i="2"/>
  <c r="C1710" i="2" s="1"/>
  <c r="A1710" i="5" s="1"/>
  <c r="O1709" i="2"/>
  <c r="L1709" i="2"/>
  <c r="M1709" i="2" s="1"/>
  <c r="N1709" i="2" s="1"/>
  <c r="I1709" i="2"/>
  <c r="J1709" i="2" s="1"/>
  <c r="K1709" i="2" s="1"/>
  <c r="F1709" i="2"/>
  <c r="G1709" i="2" s="1"/>
  <c r="H1709" i="2" s="1"/>
  <c r="C1709" i="5" s="1"/>
  <c r="D1709" i="2"/>
  <c r="E1709" i="2" s="1"/>
  <c r="B1709" i="5" s="1"/>
  <c r="B1709" i="2"/>
  <c r="C1709" i="2" s="1"/>
  <c r="A1709" i="5" s="1"/>
  <c r="O1708" i="2"/>
  <c r="L1708" i="2"/>
  <c r="M1708" i="2" s="1"/>
  <c r="N1708" i="2" s="1"/>
  <c r="I1708" i="2"/>
  <c r="J1708" i="2" s="1"/>
  <c r="K1708" i="2" s="1"/>
  <c r="F1708" i="2"/>
  <c r="G1708" i="2" s="1"/>
  <c r="H1708" i="2" s="1"/>
  <c r="C1708" i="5" s="1"/>
  <c r="D1708" i="2"/>
  <c r="E1708" i="2" s="1"/>
  <c r="B1708" i="5" s="1"/>
  <c r="B1708" i="2"/>
  <c r="C1708" i="2" s="1"/>
  <c r="A1708" i="5" s="1"/>
  <c r="O1707" i="2"/>
  <c r="L1707" i="2"/>
  <c r="M1707" i="2" s="1"/>
  <c r="N1707" i="2" s="1"/>
  <c r="I1707" i="2"/>
  <c r="J1707" i="2" s="1"/>
  <c r="K1707" i="2" s="1"/>
  <c r="F1707" i="2"/>
  <c r="G1707" i="2" s="1"/>
  <c r="H1707" i="2" s="1"/>
  <c r="C1707" i="5" s="1"/>
  <c r="D1707" i="2"/>
  <c r="E1707" i="2" s="1"/>
  <c r="B1707" i="5" s="1"/>
  <c r="B1707" i="2"/>
  <c r="C1707" i="2" s="1"/>
  <c r="A1707" i="5" s="1"/>
  <c r="O1706" i="2"/>
  <c r="L1706" i="2"/>
  <c r="M1706" i="2" s="1"/>
  <c r="N1706" i="2" s="1"/>
  <c r="I1706" i="2"/>
  <c r="J1706" i="2" s="1"/>
  <c r="K1706" i="2" s="1"/>
  <c r="F1706" i="2"/>
  <c r="G1706" i="2" s="1"/>
  <c r="H1706" i="2" s="1"/>
  <c r="C1706" i="5" s="1"/>
  <c r="D1706" i="2"/>
  <c r="E1706" i="2" s="1"/>
  <c r="B1706" i="5" s="1"/>
  <c r="B1706" i="2"/>
  <c r="C1706" i="2" s="1"/>
  <c r="A1706" i="5" s="1"/>
  <c r="O1705" i="2"/>
  <c r="L1705" i="2"/>
  <c r="M1705" i="2" s="1"/>
  <c r="N1705" i="2" s="1"/>
  <c r="I1705" i="2"/>
  <c r="J1705" i="2" s="1"/>
  <c r="K1705" i="2" s="1"/>
  <c r="F1705" i="2"/>
  <c r="G1705" i="2" s="1"/>
  <c r="H1705" i="2" s="1"/>
  <c r="C1705" i="5" s="1"/>
  <c r="D1705" i="2"/>
  <c r="E1705" i="2" s="1"/>
  <c r="B1705" i="5" s="1"/>
  <c r="B1705" i="2"/>
  <c r="C1705" i="2" s="1"/>
  <c r="A1705" i="5" s="1"/>
  <c r="O1704" i="2"/>
  <c r="L1704" i="2"/>
  <c r="M1704" i="2" s="1"/>
  <c r="N1704" i="2" s="1"/>
  <c r="I1704" i="2"/>
  <c r="J1704" i="2" s="1"/>
  <c r="K1704" i="2" s="1"/>
  <c r="F1704" i="2"/>
  <c r="G1704" i="2" s="1"/>
  <c r="H1704" i="2" s="1"/>
  <c r="C1704" i="5" s="1"/>
  <c r="D1704" i="2"/>
  <c r="E1704" i="2" s="1"/>
  <c r="B1704" i="5" s="1"/>
  <c r="B1704" i="2"/>
  <c r="C1704" i="2" s="1"/>
  <c r="A1704" i="5" s="1"/>
  <c r="O1703" i="2"/>
  <c r="L1703" i="2"/>
  <c r="M1703" i="2" s="1"/>
  <c r="N1703" i="2" s="1"/>
  <c r="I1703" i="2"/>
  <c r="J1703" i="2" s="1"/>
  <c r="K1703" i="2" s="1"/>
  <c r="F1703" i="2"/>
  <c r="G1703" i="2" s="1"/>
  <c r="H1703" i="2" s="1"/>
  <c r="C1703" i="5" s="1"/>
  <c r="D1703" i="2"/>
  <c r="E1703" i="2" s="1"/>
  <c r="B1703" i="5" s="1"/>
  <c r="B1703" i="2"/>
  <c r="C1703" i="2" s="1"/>
  <c r="A1703" i="5" s="1"/>
  <c r="O1702" i="2"/>
  <c r="L1702" i="2"/>
  <c r="M1702" i="2" s="1"/>
  <c r="N1702" i="2" s="1"/>
  <c r="I1702" i="2"/>
  <c r="J1702" i="2" s="1"/>
  <c r="K1702" i="2" s="1"/>
  <c r="F1702" i="2"/>
  <c r="G1702" i="2" s="1"/>
  <c r="H1702" i="2" s="1"/>
  <c r="C1702" i="5" s="1"/>
  <c r="D1702" i="2"/>
  <c r="E1702" i="2" s="1"/>
  <c r="B1702" i="5" s="1"/>
  <c r="B1702" i="2"/>
  <c r="C1702" i="2" s="1"/>
  <c r="A1702" i="5" s="1"/>
  <c r="O1701" i="2"/>
  <c r="L1701" i="2"/>
  <c r="M1701" i="2" s="1"/>
  <c r="N1701" i="2" s="1"/>
  <c r="I1701" i="2"/>
  <c r="J1701" i="2" s="1"/>
  <c r="K1701" i="2" s="1"/>
  <c r="F1701" i="2"/>
  <c r="G1701" i="2" s="1"/>
  <c r="H1701" i="2" s="1"/>
  <c r="C1701" i="5" s="1"/>
  <c r="D1701" i="2"/>
  <c r="E1701" i="2" s="1"/>
  <c r="B1701" i="5" s="1"/>
  <c r="B1701" i="2"/>
  <c r="C1701" i="2" s="1"/>
  <c r="A1701" i="5" s="1"/>
  <c r="O1700" i="2"/>
  <c r="L1700" i="2"/>
  <c r="M1700" i="2" s="1"/>
  <c r="N1700" i="2" s="1"/>
  <c r="I1700" i="2"/>
  <c r="J1700" i="2" s="1"/>
  <c r="K1700" i="2" s="1"/>
  <c r="F1700" i="2"/>
  <c r="G1700" i="2" s="1"/>
  <c r="H1700" i="2" s="1"/>
  <c r="C1700" i="5" s="1"/>
  <c r="D1700" i="2"/>
  <c r="E1700" i="2" s="1"/>
  <c r="B1700" i="5" s="1"/>
  <c r="B1700" i="2"/>
  <c r="C1700" i="2" s="1"/>
  <c r="A1700" i="5" s="1"/>
  <c r="O1699" i="2"/>
  <c r="L1699" i="2"/>
  <c r="M1699" i="2" s="1"/>
  <c r="N1699" i="2" s="1"/>
  <c r="I1699" i="2"/>
  <c r="J1699" i="2" s="1"/>
  <c r="K1699" i="2" s="1"/>
  <c r="F1699" i="2"/>
  <c r="G1699" i="2" s="1"/>
  <c r="H1699" i="2" s="1"/>
  <c r="C1699" i="5" s="1"/>
  <c r="D1699" i="2"/>
  <c r="E1699" i="2" s="1"/>
  <c r="B1699" i="5" s="1"/>
  <c r="B1699" i="2"/>
  <c r="C1699" i="2" s="1"/>
  <c r="A1699" i="5" s="1"/>
  <c r="O1698" i="2"/>
  <c r="L1698" i="2"/>
  <c r="M1698" i="2" s="1"/>
  <c r="N1698" i="2" s="1"/>
  <c r="I1698" i="2"/>
  <c r="J1698" i="2" s="1"/>
  <c r="K1698" i="2" s="1"/>
  <c r="F1698" i="2"/>
  <c r="G1698" i="2" s="1"/>
  <c r="H1698" i="2" s="1"/>
  <c r="C1698" i="5" s="1"/>
  <c r="D1698" i="2"/>
  <c r="E1698" i="2" s="1"/>
  <c r="B1698" i="5" s="1"/>
  <c r="B1698" i="2"/>
  <c r="C1698" i="2" s="1"/>
  <c r="A1698" i="5" s="1"/>
  <c r="O1697" i="2"/>
  <c r="L1697" i="2"/>
  <c r="M1697" i="2" s="1"/>
  <c r="N1697" i="2" s="1"/>
  <c r="I1697" i="2"/>
  <c r="J1697" i="2" s="1"/>
  <c r="K1697" i="2" s="1"/>
  <c r="F1697" i="2"/>
  <c r="G1697" i="2" s="1"/>
  <c r="H1697" i="2" s="1"/>
  <c r="C1697" i="5" s="1"/>
  <c r="D1697" i="2"/>
  <c r="E1697" i="2" s="1"/>
  <c r="B1697" i="5" s="1"/>
  <c r="B1697" i="2"/>
  <c r="C1697" i="2" s="1"/>
  <c r="A1697" i="5" s="1"/>
  <c r="O1696" i="2"/>
  <c r="L1696" i="2"/>
  <c r="M1696" i="2" s="1"/>
  <c r="N1696" i="2" s="1"/>
  <c r="I1696" i="2"/>
  <c r="J1696" i="2" s="1"/>
  <c r="K1696" i="2" s="1"/>
  <c r="F1696" i="2"/>
  <c r="G1696" i="2" s="1"/>
  <c r="H1696" i="2" s="1"/>
  <c r="C1696" i="5" s="1"/>
  <c r="D1696" i="2"/>
  <c r="E1696" i="2" s="1"/>
  <c r="B1696" i="5" s="1"/>
  <c r="B1696" i="2"/>
  <c r="C1696" i="2" s="1"/>
  <c r="A1696" i="5" s="1"/>
  <c r="O1695" i="2"/>
  <c r="L1695" i="2"/>
  <c r="M1695" i="2" s="1"/>
  <c r="N1695" i="2" s="1"/>
  <c r="I1695" i="2"/>
  <c r="J1695" i="2" s="1"/>
  <c r="K1695" i="2" s="1"/>
  <c r="F1695" i="2"/>
  <c r="G1695" i="2" s="1"/>
  <c r="H1695" i="2" s="1"/>
  <c r="C1695" i="5" s="1"/>
  <c r="D1695" i="2"/>
  <c r="E1695" i="2" s="1"/>
  <c r="B1695" i="5" s="1"/>
  <c r="B1695" i="2"/>
  <c r="C1695" i="2" s="1"/>
  <c r="A1695" i="5" s="1"/>
  <c r="O1694" i="2"/>
  <c r="L1694" i="2"/>
  <c r="M1694" i="2" s="1"/>
  <c r="N1694" i="2" s="1"/>
  <c r="I1694" i="2"/>
  <c r="J1694" i="2" s="1"/>
  <c r="K1694" i="2" s="1"/>
  <c r="F1694" i="2"/>
  <c r="G1694" i="2" s="1"/>
  <c r="H1694" i="2" s="1"/>
  <c r="C1694" i="5" s="1"/>
  <c r="D1694" i="2"/>
  <c r="E1694" i="2" s="1"/>
  <c r="B1694" i="5" s="1"/>
  <c r="B1694" i="2"/>
  <c r="C1694" i="2" s="1"/>
  <c r="A1694" i="5" s="1"/>
  <c r="O1693" i="2"/>
  <c r="L1693" i="2"/>
  <c r="M1693" i="2" s="1"/>
  <c r="N1693" i="2" s="1"/>
  <c r="I1693" i="2"/>
  <c r="J1693" i="2" s="1"/>
  <c r="K1693" i="2" s="1"/>
  <c r="F1693" i="2"/>
  <c r="G1693" i="2" s="1"/>
  <c r="H1693" i="2" s="1"/>
  <c r="C1693" i="5" s="1"/>
  <c r="D1693" i="2"/>
  <c r="E1693" i="2" s="1"/>
  <c r="B1693" i="5" s="1"/>
  <c r="B1693" i="2"/>
  <c r="C1693" i="2" s="1"/>
  <c r="A1693" i="5" s="1"/>
  <c r="O1692" i="2"/>
  <c r="L1692" i="2"/>
  <c r="M1692" i="2" s="1"/>
  <c r="N1692" i="2" s="1"/>
  <c r="I1692" i="2"/>
  <c r="J1692" i="2" s="1"/>
  <c r="K1692" i="2" s="1"/>
  <c r="F1692" i="2"/>
  <c r="G1692" i="2" s="1"/>
  <c r="H1692" i="2" s="1"/>
  <c r="C1692" i="5" s="1"/>
  <c r="D1692" i="2"/>
  <c r="E1692" i="2" s="1"/>
  <c r="B1692" i="5" s="1"/>
  <c r="B1692" i="2"/>
  <c r="C1692" i="2" s="1"/>
  <c r="A1692" i="5" s="1"/>
  <c r="O1691" i="2"/>
  <c r="L1691" i="2"/>
  <c r="M1691" i="2" s="1"/>
  <c r="N1691" i="2" s="1"/>
  <c r="I1691" i="2"/>
  <c r="J1691" i="2" s="1"/>
  <c r="K1691" i="2" s="1"/>
  <c r="F1691" i="2"/>
  <c r="G1691" i="2" s="1"/>
  <c r="H1691" i="2" s="1"/>
  <c r="C1691" i="5" s="1"/>
  <c r="D1691" i="2"/>
  <c r="E1691" i="2" s="1"/>
  <c r="B1691" i="5" s="1"/>
  <c r="B1691" i="2"/>
  <c r="C1691" i="2" s="1"/>
  <c r="A1691" i="5" s="1"/>
  <c r="O1690" i="2"/>
  <c r="L1690" i="2"/>
  <c r="M1690" i="2" s="1"/>
  <c r="N1690" i="2" s="1"/>
  <c r="I1690" i="2"/>
  <c r="J1690" i="2" s="1"/>
  <c r="K1690" i="2" s="1"/>
  <c r="F1690" i="2"/>
  <c r="G1690" i="2" s="1"/>
  <c r="H1690" i="2" s="1"/>
  <c r="C1690" i="5" s="1"/>
  <c r="D1690" i="2"/>
  <c r="E1690" i="2" s="1"/>
  <c r="B1690" i="5" s="1"/>
  <c r="B1690" i="2"/>
  <c r="C1690" i="2" s="1"/>
  <c r="A1690" i="5" s="1"/>
  <c r="O1689" i="2"/>
  <c r="L1689" i="2"/>
  <c r="M1689" i="2" s="1"/>
  <c r="N1689" i="2" s="1"/>
  <c r="I1689" i="2"/>
  <c r="J1689" i="2" s="1"/>
  <c r="K1689" i="2" s="1"/>
  <c r="F1689" i="2"/>
  <c r="G1689" i="2" s="1"/>
  <c r="H1689" i="2" s="1"/>
  <c r="C1689" i="5" s="1"/>
  <c r="D1689" i="2"/>
  <c r="E1689" i="2" s="1"/>
  <c r="B1689" i="5" s="1"/>
  <c r="B1689" i="2"/>
  <c r="C1689" i="2" s="1"/>
  <c r="A1689" i="5" s="1"/>
  <c r="O1688" i="2"/>
  <c r="L1688" i="2"/>
  <c r="M1688" i="2" s="1"/>
  <c r="N1688" i="2" s="1"/>
  <c r="I1688" i="2"/>
  <c r="J1688" i="2" s="1"/>
  <c r="K1688" i="2" s="1"/>
  <c r="F1688" i="2"/>
  <c r="G1688" i="2" s="1"/>
  <c r="H1688" i="2" s="1"/>
  <c r="C1688" i="5" s="1"/>
  <c r="D1688" i="2"/>
  <c r="E1688" i="2" s="1"/>
  <c r="B1688" i="5" s="1"/>
  <c r="B1688" i="2"/>
  <c r="C1688" i="2" s="1"/>
  <c r="A1688" i="5" s="1"/>
  <c r="O1687" i="2"/>
  <c r="L1687" i="2"/>
  <c r="M1687" i="2" s="1"/>
  <c r="N1687" i="2" s="1"/>
  <c r="I1687" i="2"/>
  <c r="J1687" i="2" s="1"/>
  <c r="K1687" i="2" s="1"/>
  <c r="F1687" i="2"/>
  <c r="G1687" i="2" s="1"/>
  <c r="H1687" i="2" s="1"/>
  <c r="C1687" i="5" s="1"/>
  <c r="D1687" i="2"/>
  <c r="E1687" i="2" s="1"/>
  <c r="B1687" i="5" s="1"/>
  <c r="B1687" i="2"/>
  <c r="C1687" i="2" s="1"/>
  <c r="A1687" i="5" s="1"/>
  <c r="O1686" i="2"/>
  <c r="L1686" i="2"/>
  <c r="M1686" i="2" s="1"/>
  <c r="N1686" i="2" s="1"/>
  <c r="I1686" i="2"/>
  <c r="J1686" i="2" s="1"/>
  <c r="K1686" i="2" s="1"/>
  <c r="F1686" i="2"/>
  <c r="G1686" i="2" s="1"/>
  <c r="H1686" i="2" s="1"/>
  <c r="C1686" i="5" s="1"/>
  <c r="D1686" i="2"/>
  <c r="E1686" i="2" s="1"/>
  <c r="B1686" i="5" s="1"/>
  <c r="B1686" i="2"/>
  <c r="C1686" i="2" s="1"/>
  <c r="A1686" i="5" s="1"/>
  <c r="O1685" i="2"/>
  <c r="L1685" i="2"/>
  <c r="M1685" i="2" s="1"/>
  <c r="N1685" i="2" s="1"/>
  <c r="I1685" i="2"/>
  <c r="J1685" i="2" s="1"/>
  <c r="K1685" i="2" s="1"/>
  <c r="F1685" i="2"/>
  <c r="G1685" i="2" s="1"/>
  <c r="H1685" i="2" s="1"/>
  <c r="C1685" i="5" s="1"/>
  <c r="D1685" i="2"/>
  <c r="E1685" i="2" s="1"/>
  <c r="B1685" i="5" s="1"/>
  <c r="B1685" i="2"/>
  <c r="C1685" i="2" s="1"/>
  <c r="A1685" i="5" s="1"/>
  <c r="O1684" i="2"/>
  <c r="L1684" i="2"/>
  <c r="M1684" i="2" s="1"/>
  <c r="N1684" i="2" s="1"/>
  <c r="I1684" i="2"/>
  <c r="J1684" i="2" s="1"/>
  <c r="K1684" i="2" s="1"/>
  <c r="F1684" i="2"/>
  <c r="G1684" i="2" s="1"/>
  <c r="H1684" i="2" s="1"/>
  <c r="C1684" i="5" s="1"/>
  <c r="D1684" i="2"/>
  <c r="E1684" i="2" s="1"/>
  <c r="B1684" i="5" s="1"/>
  <c r="B1684" i="2"/>
  <c r="C1684" i="2" s="1"/>
  <c r="A1684" i="5" s="1"/>
  <c r="O1683" i="2"/>
  <c r="L1683" i="2"/>
  <c r="M1683" i="2" s="1"/>
  <c r="N1683" i="2" s="1"/>
  <c r="I1683" i="2"/>
  <c r="J1683" i="2" s="1"/>
  <c r="K1683" i="2" s="1"/>
  <c r="F1683" i="2"/>
  <c r="G1683" i="2" s="1"/>
  <c r="H1683" i="2" s="1"/>
  <c r="C1683" i="5" s="1"/>
  <c r="D1683" i="2"/>
  <c r="E1683" i="2" s="1"/>
  <c r="B1683" i="5" s="1"/>
  <c r="B1683" i="2"/>
  <c r="C1683" i="2" s="1"/>
  <c r="A1683" i="5" s="1"/>
  <c r="O1682" i="2"/>
  <c r="L1682" i="2"/>
  <c r="M1682" i="2" s="1"/>
  <c r="N1682" i="2" s="1"/>
  <c r="I1682" i="2"/>
  <c r="J1682" i="2" s="1"/>
  <c r="K1682" i="2" s="1"/>
  <c r="F1682" i="2"/>
  <c r="G1682" i="2" s="1"/>
  <c r="H1682" i="2" s="1"/>
  <c r="C1682" i="5" s="1"/>
  <c r="D1682" i="2"/>
  <c r="E1682" i="2" s="1"/>
  <c r="B1682" i="5" s="1"/>
  <c r="B1682" i="2"/>
  <c r="C1682" i="2" s="1"/>
  <c r="A1682" i="5" s="1"/>
  <c r="O1681" i="2"/>
  <c r="L1681" i="2"/>
  <c r="M1681" i="2" s="1"/>
  <c r="N1681" i="2" s="1"/>
  <c r="I1681" i="2"/>
  <c r="J1681" i="2" s="1"/>
  <c r="K1681" i="2" s="1"/>
  <c r="F1681" i="2"/>
  <c r="G1681" i="2" s="1"/>
  <c r="H1681" i="2" s="1"/>
  <c r="C1681" i="5" s="1"/>
  <c r="D1681" i="2"/>
  <c r="E1681" i="2" s="1"/>
  <c r="B1681" i="5" s="1"/>
  <c r="B1681" i="2"/>
  <c r="C1681" i="2" s="1"/>
  <c r="A1681" i="5" s="1"/>
  <c r="O1680" i="2"/>
  <c r="L1680" i="2"/>
  <c r="M1680" i="2" s="1"/>
  <c r="N1680" i="2" s="1"/>
  <c r="I1680" i="2"/>
  <c r="J1680" i="2" s="1"/>
  <c r="K1680" i="2" s="1"/>
  <c r="F1680" i="2"/>
  <c r="G1680" i="2" s="1"/>
  <c r="H1680" i="2" s="1"/>
  <c r="C1680" i="5" s="1"/>
  <c r="D1680" i="2"/>
  <c r="E1680" i="2" s="1"/>
  <c r="B1680" i="5" s="1"/>
  <c r="B1680" i="2"/>
  <c r="C1680" i="2" s="1"/>
  <c r="A1680" i="5" s="1"/>
  <c r="O1679" i="2"/>
  <c r="L1679" i="2"/>
  <c r="M1679" i="2" s="1"/>
  <c r="N1679" i="2" s="1"/>
  <c r="I1679" i="2"/>
  <c r="J1679" i="2" s="1"/>
  <c r="K1679" i="2" s="1"/>
  <c r="F1679" i="2"/>
  <c r="G1679" i="2" s="1"/>
  <c r="H1679" i="2" s="1"/>
  <c r="C1679" i="5" s="1"/>
  <c r="D1679" i="2"/>
  <c r="E1679" i="2" s="1"/>
  <c r="B1679" i="5" s="1"/>
  <c r="B1679" i="2"/>
  <c r="C1679" i="2" s="1"/>
  <c r="A1679" i="5" s="1"/>
  <c r="O1678" i="2"/>
  <c r="L1678" i="2"/>
  <c r="M1678" i="2" s="1"/>
  <c r="N1678" i="2" s="1"/>
  <c r="I1678" i="2"/>
  <c r="J1678" i="2" s="1"/>
  <c r="K1678" i="2" s="1"/>
  <c r="F1678" i="2"/>
  <c r="G1678" i="2" s="1"/>
  <c r="H1678" i="2" s="1"/>
  <c r="C1678" i="5" s="1"/>
  <c r="D1678" i="2"/>
  <c r="E1678" i="2" s="1"/>
  <c r="B1678" i="5" s="1"/>
  <c r="B1678" i="2"/>
  <c r="C1678" i="2" s="1"/>
  <c r="A1678" i="5" s="1"/>
  <c r="O1677" i="2"/>
  <c r="L1677" i="2"/>
  <c r="M1677" i="2" s="1"/>
  <c r="N1677" i="2" s="1"/>
  <c r="I1677" i="2"/>
  <c r="J1677" i="2" s="1"/>
  <c r="K1677" i="2" s="1"/>
  <c r="F1677" i="2"/>
  <c r="G1677" i="2" s="1"/>
  <c r="H1677" i="2" s="1"/>
  <c r="C1677" i="5" s="1"/>
  <c r="D1677" i="2"/>
  <c r="E1677" i="2" s="1"/>
  <c r="B1677" i="5" s="1"/>
  <c r="B1677" i="2"/>
  <c r="C1677" i="2" s="1"/>
  <c r="A1677" i="5" s="1"/>
  <c r="O1676" i="2"/>
  <c r="L1676" i="2"/>
  <c r="M1676" i="2" s="1"/>
  <c r="N1676" i="2" s="1"/>
  <c r="I1676" i="2"/>
  <c r="J1676" i="2" s="1"/>
  <c r="K1676" i="2" s="1"/>
  <c r="F1676" i="2"/>
  <c r="G1676" i="2" s="1"/>
  <c r="H1676" i="2" s="1"/>
  <c r="C1676" i="5" s="1"/>
  <c r="D1676" i="2"/>
  <c r="E1676" i="2" s="1"/>
  <c r="B1676" i="5" s="1"/>
  <c r="B1676" i="2"/>
  <c r="C1676" i="2" s="1"/>
  <c r="A1676" i="5" s="1"/>
  <c r="O1675" i="2"/>
  <c r="L1675" i="2"/>
  <c r="M1675" i="2" s="1"/>
  <c r="N1675" i="2" s="1"/>
  <c r="I1675" i="2"/>
  <c r="J1675" i="2" s="1"/>
  <c r="K1675" i="2" s="1"/>
  <c r="F1675" i="2"/>
  <c r="G1675" i="2" s="1"/>
  <c r="H1675" i="2" s="1"/>
  <c r="C1675" i="5" s="1"/>
  <c r="D1675" i="2"/>
  <c r="E1675" i="2" s="1"/>
  <c r="B1675" i="5" s="1"/>
  <c r="B1675" i="2"/>
  <c r="C1675" i="2" s="1"/>
  <c r="A1675" i="5" s="1"/>
  <c r="O1674" i="2"/>
  <c r="L1674" i="2"/>
  <c r="M1674" i="2" s="1"/>
  <c r="N1674" i="2" s="1"/>
  <c r="I1674" i="2"/>
  <c r="J1674" i="2" s="1"/>
  <c r="K1674" i="2" s="1"/>
  <c r="F1674" i="2"/>
  <c r="G1674" i="2" s="1"/>
  <c r="H1674" i="2" s="1"/>
  <c r="C1674" i="5" s="1"/>
  <c r="D1674" i="2"/>
  <c r="E1674" i="2" s="1"/>
  <c r="B1674" i="5" s="1"/>
  <c r="B1674" i="2"/>
  <c r="C1674" i="2" s="1"/>
  <c r="A1674" i="5" s="1"/>
  <c r="O1673" i="2"/>
  <c r="L1673" i="2"/>
  <c r="M1673" i="2" s="1"/>
  <c r="N1673" i="2" s="1"/>
  <c r="I1673" i="2"/>
  <c r="J1673" i="2" s="1"/>
  <c r="K1673" i="2" s="1"/>
  <c r="F1673" i="2"/>
  <c r="G1673" i="2" s="1"/>
  <c r="H1673" i="2" s="1"/>
  <c r="C1673" i="5" s="1"/>
  <c r="D1673" i="2"/>
  <c r="E1673" i="2" s="1"/>
  <c r="B1673" i="5" s="1"/>
  <c r="B1673" i="2"/>
  <c r="C1673" i="2" s="1"/>
  <c r="A1673" i="5" s="1"/>
  <c r="O1672" i="2"/>
  <c r="L1672" i="2"/>
  <c r="M1672" i="2" s="1"/>
  <c r="N1672" i="2" s="1"/>
  <c r="I1672" i="2"/>
  <c r="J1672" i="2" s="1"/>
  <c r="K1672" i="2" s="1"/>
  <c r="F1672" i="2"/>
  <c r="G1672" i="2" s="1"/>
  <c r="H1672" i="2" s="1"/>
  <c r="C1672" i="5" s="1"/>
  <c r="D1672" i="2"/>
  <c r="E1672" i="2" s="1"/>
  <c r="B1672" i="5" s="1"/>
  <c r="B1672" i="2"/>
  <c r="C1672" i="2" s="1"/>
  <c r="A1672" i="5" s="1"/>
  <c r="O1671" i="2"/>
  <c r="L1671" i="2"/>
  <c r="M1671" i="2" s="1"/>
  <c r="N1671" i="2" s="1"/>
  <c r="I1671" i="2"/>
  <c r="J1671" i="2" s="1"/>
  <c r="K1671" i="2" s="1"/>
  <c r="F1671" i="2"/>
  <c r="G1671" i="2" s="1"/>
  <c r="H1671" i="2" s="1"/>
  <c r="C1671" i="5" s="1"/>
  <c r="D1671" i="2"/>
  <c r="E1671" i="2" s="1"/>
  <c r="B1671" i="5" s="1"/>
  <c r="B1671" i="2"/>
  <c r="C1671" i="2" s="1"/>
  <c r="A1671" i="5" s="1"/>
  <c r="O1670" i="2"/>
  <c r="L1670" i="2"/>
  <c r="M1670" i="2" s="1"/>
  <c r="N1670" i="2" s="1"/>
  <c r="I1670" i="2"/>
  <c r="J1670" i="2" s="1"/>
  <c r="K1670" i="2" s="1"/>
  <c r="F1670" i="2"/>
  <c r="G1670" i="2" s="1"/>
  <c r="H1670" i="2" s="1"/>
  <c r="C1670" i="5" s="1"/>
  <c r="D1670" i="2"/>
  <c r="E1670" i="2" s="1"/>
  <c r="B1670" i="5" s="1"/>
  <c r="B1670" i="2"/>
  <c r="C1670" i="2" s="1"/>
  <c r="A1670" i="5" s="1"/>
  <c r="O1669" i="2"/>
  <c r="L1669" i="2"/>
  <c r="M1669" i="2" s="1"/>
  <c r="N1669" i="2" s="1"/>
  <c r="I1669" i="2"/>
  <c r="J1669" i="2" s="1"/>
  <c r="K1669" i="2" s="1"/>
  <c r="F1669" i="2"/>
  <c r="G1669" i="2" s="1"/>
  <c r="H1669" i="2" s="1"/>
  <c r="C1669" i="5" s="1"/>
  <c r="D1669" i="2"/>
  <c r="E1669" i="2" s="1"/>
  <c r="B1669" i="5" s="1"/>
  <c r="B1669" i="2"/>
  <c r="C1669" i="2" s="1"/>
  <c r="A1669" i="5" s="1"/>
  <c r="O1668" i="2"/>
  <c r="L1668" i="2"/>
  <c r="M1668" i="2" s="1"/>
  <c r="N1668" i="2" s="1"/>
  <c r="I1668" i="2"/>
  <c r="J1668" i="2" s="1"/>
  <c r="K1668" i="2" s="1"/>
  <c r="F1668" i="2"/>
  <c r="G1668" i="2" s="1"/>
  <c r="H1668" i="2" s="1"/>
  <c r="C1668" i="5" s="1"/>
  <c r="D1668" i="2"/>
  <c r="E1668" i="2" s="1"/>
  <c r="B1668" i="5" s="1"/>
  <c r="B1668" i="2"/>
  <c r="C1668" i="2" s="1"/>
  <c r="A1668" i="5" s="1"/>
  <c r="O1667" i="2"/>
  <c r="L1667" i="2"/>
  <c r="M1667" i="2" s="1"/>
  <c r="N1667" i="2" s="1"/>
  <c r="I1667" i="2"/>
  <c r="J1667" i="2" s="1"/>
  <c r="K1667" i="2" s="1"/>
  <c r="F1667" i="2"/>
  <c r="G1667" i="2" s="1"/>
  <c r="H1667" i="2" s="1"/>
  <c r="C1667" i="5" s="1"/>
  <c r="D1667" i="2"/>
  <c r="E1667" i="2" s="1"/>
  <c r="B1667" i="5" s="1"/>
  <c r="B1667" i="2"/>
  <c r="C1667" i="2" s="1"/>
  <c r="A1667" i="5" s="1"/>
  <c r="O1666" i="2"/>
  <c r="L1666" i="2"/>
  <c r="M1666" i="2" s="1"/>
  <c r="N1666" i="2" s="1"/>
  <c r="I1666" i="2"/>
  <c r="J1666" i="2" s="1"/>
  <c r="K1666" i="2" s="1"/>
  <c r="F1666" i="2"/>
  <c r="G1666" i="2" s="1"/>
  <c r="H1666" i="2" s="1"/>
  <c r="C1666" i="5" s="1"/>
  <c r="D1666" i="2"/>
  <c r="E1666" i="2" s="1"/>
  <c r="B1666" i="5" s="1"/>
  <c r="B1666" i="2"/>
  <c r="C1666" i="2" s="1"/>
  <c r="A1666" i="5" s="1"/>
  <c r="O1665" i="2"/>
  <c r="L1665" i="2"/>
  <c r="M1665" i="2" s="1"/>
  <c r="N1665" i="2" s="1"/>
  <c r="I1665" i="2"/>
  <c r="J1665" i="2" s="1"/>
  <c r="K1665" i="2" s="1"/>
  <c r="D1665" i="5" s="1"/>
  <c r="F1665" i="2"/>
  <c r="G1665" i="2" s="1"/>
  <c r="H1665" i="2" s="1"/>
  <c r="C1665" i="5" s="1"/>
  <c r="D1665" i="2"/>
  <c r="E1665" i="2" s="1"/>
  <c r="B1665" i="5" s="1"/>
  <c r="B1665" i="2"/>
  <c r="C1665" i="2" s="1"/>
  <c r="A1665" i="5" s="1"/>
  <c r="O1664" i="2"/>
  <c r="L1664" i="2"/>
  <c r="M1664" i="2" s="1"/>
  <c r="N1664" i="2" s="1"/>
  <c r="I1664" i="2"/>
  <c r="J1664" i="2" s="1"/>
  <c r="K1664" i="2" s="1"/>
  <c r="F1664" i="2"/>
  <c r="G1664" i="2" s="1"/>
  <c r="H1664" i="2" s="1"/>
  <c r="C1664" i="5" s="1"/>
  <c r="D1664" i="2"/>
  <c r="E1664" i="2" s="1"/>
  <c r="B1664" i="5" s="1"/>
  <c r="B1664" i="2"/>
  <c r="C1664" i="2" s="1"/>
  <c r="O1663" i="2"/>
  <c r="L1663" i="2"/>
  <c r="M1663" i="2" s="1"/>
  <c r="N1663" i="2" s="1"/>
  <c r="I1663" i="2"/>
  <c r="J1663" i="2" s="1"/>
  <c r="K1663" i="2" s="1"/>
  <c r="D1663" i="5" s="1"/>
  <c r="F1663" i="2"/>
  <c r="G1663" i="2" s="1"/>
  <c r="H1663" i="2" s="1"/>
  <c r="C1663" i="5" s="1"/>
  <c r="D1663" i="2"/>
  <c r="E1663" i="2" s="1"/>
  <c r="B1663" i="5" s="1"/>
  <c r="B1663" i="2"/>
  <c r="C1663" i="2" s="1"/>
  <c r="A1663" i="5" s="1"/>
  <c r="O1662" i="2"/>
  <c r="L1662" i="2"/>
  <c r="M1662" i="2" s="1"/>
  <c r="N1662" i="2" s="1"/>
  <c r="I1662" i="2"/>
  <c r="J1662" i="2" s="1"/>
  <c r="K1662" i="2" s="1"/>
  <c r="F1662" i="2"/>
  <c r="G1662" i="2" s="1"/>
  <c r="H1662" i="2" s="1"/>
  <c r="C1662" i="5" s="1"/>
  <c r="D1662" i="2"/>
  <c r="E1662" i="2" s="1"/>
  <c r="B1662" i="5" s="1"/>
  <c r="B1662" i="2"/>
  <c r="C1662" i="2" s="1"/>
  <c r="O1661" i="2"/>
  <c r="L1661" i="2"/>
  <c r="M1661" i="2" s="1"/>
  <c r="N1661" i="2" s="1"/>
  <c r="I1661" i="2"/>
  <c r="J1661" i="2" s="1"/>
  <c r="K1661" i="2" s="1"/>
  <c r="D1661" i="5" s="1"/>
  <c r="F1661" i="2"/>
  <c r="G1661" i="2" s="1"/>
  <c r="H1661" i="2" s="1"/>
  <c r="C1661" i="5" s="1"/>
  <c r="D1661" i="2"/>
  <c r="E1661" i="2" s="1"/>
  <c r="B1661" i="5" s="1"/>
  <c r="B1661" i="2"/>
  <c r="C1661" i="2" s="1"/>
  <c r="A1661" i="5" s="1"/>
  <c r="O1660" i="2"/>
  <c r="L1660" i="2"/>
  <c r="M1660" i="2" s="1"/>
  <c r="N1660" i="2" s="1"/>
  <c r="I1660" i="2"/>
  <c r="J1660" i="2" s="1"/>
  <c r="K1660" i="2" s="1"/>
  <c r="F1660" i="2"/>
  <c r="G1660" i="2" s="1"/>
  <c r="H1660" i="2" s="1"/>
  <c r="C1660" i="5" s="1"/>
  <c r="D1660" i="2"/>
  <c r="E1660" i="2" s="1"/>
  <c r="B1660" i="5" s="1"/>
  <c r="B1660" i="2"/>
  <c r="C1660" i="2" s="1"/>
  <c r="O1659" i="2"/>
  <c r="L1659" i="2"/>
  <c r="M1659" i="2" s="1"/>
  <c r="N1659" i="2" s="1"/>
  <c r="I1659" i="2"/>
  <c r="J1659" i="2" s="1"/>
  <c r="K1659" i="2" s="1"/>
  <c r="D1659" i="5" s="1"/>
  <c r="F1659" i="2"/>
  <c r="G1659" i="2" s="1"/>
  <c r="H1659" i="2" s="1"/>
  <c r="C1659" i="5" s="1"/>
  <c r="D1659" i="2"/>
  <c r="E1659" i="2" s="1"/>
  <c r="B1659" i="5" s="1"/>
  <c r="B1659" i="2"/>
  <c r="C1659" i="2" s="1"/>
  <c r="A1659" i="5" s="1"/>
  <c r="O1658" i="2"/>
  <c r="L1658" i="2"/>
  <c r="M1658" i="2" s="1"/>
  <c r="N1658" i="2" s="1"/>
  <c r="I1658" i="2"/>
  <c r="J1658" i="2" s="1"/>
  <c r="K1658" i="2" s="1"/>
  <c r="F1658" i="2"/>
  <c r="G1658" i="2" s="1"/>
  <c r="H1658" i="2" s="1"/>
  <c r="C1658" i="5" s="1"/>
  <c r="D1658" i="2"/>
  <c r="E1658" i="2" s="1"/>
  <c r="B1658" i="5" s="1"/>
  <c r="B1658" i="2"/>
  <c r="C1658" i="2" s="1"/>
  <c r="O1657" i="2"/>
  <c r="L1657" i="2"/>
  <c r="M1657" i="2" s="1"/>
  <c r="N1657" i="2" s="1"/>
  <c r="I1657" i="2"/>
  <c r="J1657" i="2" s="1"/>
  <c r="K1657" i="2" s="1"/>
  <c r="D1657" i="5" s="1"/>
  <c r="F1657" i="2"/>
  <c r="G1657" i="2" s="1"/>
  <c r="H1657" i="2" s="1"/>
  <c r="C1657" i="5" s="1"/>
  <c r="D1657" i="2"/>
  <c r="E1657" i="2" s="1"/>
  <c r="B1657" i="5" s="1"/>
  <c r="B1657" i="2"/>
  <c r="C1657" i="2" s="1"/>
  <c r="A1657" i="5" s="1"/>
  <c r="O1656" i="2"/>
  <c r="L1656" i="2"/>
  <c r="M1656" i="2" s="1"/>
  <c r="N1656" i="2" s="1"/>
  <c r="I1656" i="2"/>
  <c r="J1656" i="2" s="1"/>
  <c r="K1656" i="2" s="1"/>
  <c r="F1656" i="2"/>
  <c r="G1656" i="2" s="1"/>
  <c r="H1656" i="2" s="1"/>
  <c r="C1656" i="5" s="1"/>
  <c r="D1656" i="2"/>
  <c r="E1656" i="2" s="1"/>
  <c r="B1656" i="5" s="1"/>
  <c r="B1656" i="2"/>
  <c r="C1656" i="2" s="1"/>
  <c r="O1655" i="2"/>
  <c r="L1655" i="2"/>
  <c r="M1655" i="2" s="1"/>
  <c r="N1655" i="2" s="1"/>
  <c r="I1655" i="2"/>
  <c r="J1655" i="2" s="1"/>
  <c r="K1655" i="2" s="1"/>
  <c r="D1655" i="5" s="1"/>
  <c r="F1655" i="2"/>
  <c r="G1655" i="2" s="1"/>
  <c r="H1655" i="2" s="1"/>
  <c r="C1655" i="5" s="1"/>
  <c r="D1655" i="2"/>
  <c r="E1655" i="2" s="1"/>
  <c r="B1655" i="5" s="1"/>
  <c r="B1655" i="2"/>
  <c r="C1655" i="2" s="1"/>
  <c r="A1655" i="5" s="1"/>
  <c r="O1654" i="2"/>
  <c r="L1654" i="2"/>
  <c r="M1654" i="2" s="1"/>
  <c r="N1654" i="2" s="1"/>
  <c r="I1654" i="2"/>
  <c r="J1654" i="2" s="1"/>
  <c r="K1654" i="2" s="1"/>
  <c r="F1654" i="2"/>
  <c r="G1654" i="2" s="1"/>
  <c r="H1654" i="2" s="1"/>
  <c r="C1654" i="5" s="1"/>
  <c r="D1654" i="2"/>
  <c r="E1654" i="2" s="1"/>
  <c r="B1654" i="5" s="1"/>
  <c r="B1654" i="2"/>
  <c r="C1654" i="2" s="1"/>
  <c r="O1653" i="2"/>
  <c r="L1653" i="2"/>
  <c r="M1653" i="2" s="1"/>
  <c r="N1653" i="2" s="1"/>
  <c r="I1653" i="2"/>
  <c r="J1653" i="2" s="1"/>
  <c r="K1653" i="2" s="1"/>
  <c r="D1653" i="5" s="1"/>
  <c r="F1653" i="2"/>
  <c r="G1653" i="2" s="1"/>
  <c r="H1653" i="2" s="1"/>
  <c r="C1653" i="5" s="1"/>
  <c r="D1653" i="2"/>
  <c r="E1653" i="2" s="1"/>
  <c r="B1653" i="5" s="1"/>
  <c r="B1653" i="2"/>
  <c r="C1653" i="2" s="1"/>
  <c r="A1653" i="5" s="1"/>
  <c r="O1652" i="2"/>
  <c r="L1652" i="2"/>
  <c r="M1652" i="2" s="1"/>
  <c r="N1652" i="2" s="1"/>
  <c r="I1652" i="2"/>
  <c r="J1652" i="2" s="1"/>
  <c r="K1652" i="2" s="1"/>
  <c r="F1652" i="2"/>
  <c r="G1652" i="2" s="1"/>
  <c r="H1652" i="2" s="1"/>
  <c r="C1652" i="5" s="1"/>
  <c r="D1652" i="2"/>
  <c r="E1652" i="2" s="1"/>
  <c r="B1652" i="5" s="1"/>
  <c r="B1652" i="2"/>
  <c r="C1652" i="2" s="1"/>
  <c r="O1651" i="2"/>
  <c r="L1651" i="2"/>
  <c r="M1651" i="2" s="1"/>
  <c r="N1651" i="2" s="1"/>
  <c r="I1651" i="2"/>
  <c r="J1651" i="2" s="1"/>
  <c r="K1651" i="2" s="1"/>
  <c r="D1651" i="5" s="1"/>
  <c r="F1651" i="2"/>
  <c r="G1651" i="2" s="1"/>
  <c r="H1651" i="2" s="1"/>
  <c r="C1651" i="5" s="1"/>
  <c r="D1651" i="2"/>
  <c r="E1651" i="2" s="1"/>
  <c r="B1651" i="5" s="1"/>
  <c r="B1651" i="2"/>
  <c r="C1651" i="2" s="1"/>
  <c r="A1651" i="5" s="1"/>
  <c r="O1650" i="2"/>
  <c r="L1650" i="2"/>
  <c r="M1650" i="2" s="1"/>
  <c r="N1650" i="2" s="1"/>
  <c r="I1650" i="2"/>
  <c r="J1650" i="2" s="1"/>
  <c r="K1650" i="2" s="1"/>
  <c r="F1650" i="2"/>
  <c r="G1650" i="2" s="1"/>
  <c r="H1650" i="2" s="1"/>
  <c r="C1650" i="5" s="1"/>
  <c r="D1650" i="2"/>
  <c r="E1650" i="2" s="1"/>
  <c r="B1650" i="5" s="1"/>
  <c r="B1650" i="2"/>
  <c r="C1650" i="2" s="1"/>
  <c r="O1649" i="2"/>
  <c r="L1649" i="2"/>
  <c r="M1649" i="2" s="1"/>
  <c r="N1649" i="2" s="1"/>
  <c r="I1649" i="2"/>
  <c r="J1649" i="2" s="1"/>
  <c r="K1649" i="2" s="1"/>
  <c r="D1649" i="5" s="1"/>
  <c r="F1649" i="2"/>
  <c r="G1649" i="2" s="1"/>
  <c r="H1649" i="2" s="1"/>
  <c r="C1649" i="5" s="1"/>
  <c r="D1649" i="2"/>
  <c r="E1649" i="2" s="1"/>
  <c r="B1649" i="5" s="1"/>
  <c r="B1649" i="2"/>
  <c r="C1649" i="2" s="1"/>
  <c r="A1649" i="5" s="1"/>
  <c r="O1648" i="2"/>
  <c r="L1648" i="2"/>
  <c r="M1648" i="2" s="1"/>
  <c r="N1648" i="2" s="1"/>
  <c r="I1648" i="2"/>
  <c r="J1648" i="2" s="1"/>
  <c r="K1648" i="2" s="1"/>
  <c r="F1648" i="2"/>
  <c r="G1648" i="2" s="1"/>
  <c r="H1648" i="2" s="1"/>
  <c r="C1648" i="5" s="1"/>
  <c r="D1648" i="2"/>
  <c r="E1648" i="2" s="1"/>
  <c r="B1648" i="5" s="1"/>
  <c r="B1648" i="2"/>
  <c r="C1648" i="2" s="1"/>
  <c r="O1647" i="2"/>
  <c r="L1647" i="2"/>
  <c r="M1647" i="2" s="1"/>
  <c r="N1647" i="2" s="1"/>
  <c r="I1647" i="2"/>
  <c r="J1647" i="2" s="1"/>
  <c r="K1647" i="2" s="1"/>
  <c r="D1647" i="5" s="1"/>
  <c r="F1647" i="2"/>
  <c r="G1647" i="2" s="1"/>
  <c r="H1647" i="2" s="1"/>
  <c r="C1647" i="5" s="1"/>
  <c r="D1647" i="2"/>
  <c r="E1647" i="2" s="1"/>
  <c r="B1647" i="5" s="1"/>
  <c r="B1647" i="2"/>
  <c r="C1647" i="2" s="1"/>
  <c r="A1647" i="5" s="1"/>
  <c r="O1646" i="2"/>
  <c r="L1646" i="2"/>
  <c r="M1646" i="2" s="1"/>
  <c r="N1646" i="2" s="1"/>
  <c r="I1646" i="2"/>
  <c r="J1646" i="2" s="1"/>
  <c r="K1646" i="2" s="1"/>
  <c r="F1646" i="2"/>
  <c r="G1646" i="2" s="1"/>
  <c r="H1646" i="2" s="1"/>
  <c r="C1646" i="5" s="1"/>
  <c r="D1646" i="2"/>
  <c r="E1646" i="2" s="1"/>
  <c r="B1646" i="5" s="1"/>
  <c r="B1646" i="2"/>
  <c r="C1646" i="2" s="1"/>
  <c r="O1645" i="2"/>
  <c r="L1645" i="2"/>
  <c r="M1645" i="2" s="1"/>
  <c r="N1645" i="2" s="1"/>
  <c r="I1645" i="2"/>
  <c r="J1645" i="2" s="1"/>
  <c r="K1645" i="2" s="1"/>
  <c r="D1645" i="5" s="1"/>
  <c r="F1645" i="2"/>
  <c r="G1645" i="2" s="1"/>
  <c r="H1645" i="2" s="1"/>
  <c r="C1645" i="5" s="1"/>
  <c r="D1645" i="2"/>
  <c r="E1645" i="2" s="1"/>
  <c r="B1645" i="5" s="1"/>
  <c r="B1645" i="2"/>
  <c r="C1645" i="2" s="1"/>
  <c r="A1645" i="5" s="1"/>
  <c r="O1644" i="2"/>
  <c r="L1644" i="2"/>
  <c r="M1644" i="2" s="1"/>
  <c r="N1644" i="2" s="1"/>
  <c r="I1644" i="2"/>
  <c r="J1644" i="2" s="1"/>
  <c r="K1644" i="2" s="1"/>
  <c r="F1644" i="2"/>
  <c r="G1644" i="2" s="1"/>
  <c r="H1644" i="2" s="1"/>
  <c r="C1644" i="5" s="1"/>
  <c r="D1644" i="2"/>
  <c r="E1644" i="2" s="1"/>
  <c r="B1644" i="5" s="1"/>
  <c r="B1644" i="2"/>
  <c r="C1644" i="2" s="1"/>
  <c r="O1643" i="2"/>
  <c r="L1643" i="2"/>
  <c r="M1643" i="2" s="1"/>
  <c r="N1643" i="2" s="1"/>
  <c r="I1643" i="2"/>
  <c r="J1643" i="2" s="1"/>
  <c r="K1643" i="2" s="1"/>
  <c r="D1643" i="5" s="1"/>
  <c r="F1643" i="2"/>
  <c r="G1643" i="2" s="1"/>
  <c r="H1643" i="2" s="1"/>
  <c r="C1643" i="5" s="1"/>
  <c r="D1643" i="2"/>
  <c r="E1643" i="2" s="1"/>
  <c r="B1643" i="5" s="1"/>
  <c r="B1643" i="2"/>
  <c r="C1643" i="2" s="1"/>
  <c r="A1643" i="5" s="1"/>
  <c r="O1642" i="2"/>
  <c r="L1642" i="2"/>
  <c r="M1642" i="2" s="1"/>
  <c r="N1642" i="2" s="1"/>
  <c r="I1642" i="2"/>
  <c r="J1642" i="2" s="1"/>
  <c r="K1642" i="2" s="1"/>
  <c r="F1642" i="2"/>
  <c r="G1642" i="2" s="1"/>
  <c r="H1642" i="2" s="1"/>
  <c r="C1642" i="5" s="1"/>
  <c r="D1642" i="2"/>
  <c r="E1642" i="2" s="1"/>
  <c r="B1642" i="5" s="1"/>
  <c r="B1642" i="2"/>
  <c r="C1642" i="2" s="1"/>
  <c r="O1641" i="2"/>
  <c r="L1641" i="2"/>
  <c r="M1641" i="2" s="1"/>
  <c r="N1641" i="2" s="1"/>
  <c r="I1641" i="2"/>
  <c r="J1641" i="2" s="1"/>
  <c r="K1641" i="2" s="1"/>
  <c r="D1641" i="5" s="1"/>
  <c r="F1641" i="2"/>
  <c r="G1641" i="2" s="1"/>
  <c r="H1641" i="2" s="1"/>
  <c r="C1641" i="5" s="1"/>
  <c r="D1641" i="2"/>
  <c r="E1641" i="2" s="1"/>
  <c r="B1641" i="5" s="1"/>
  <c r="B1641" i="2"/>
  <c r="C1641" i="2" s="1"/>
  <c r="A1641" i="5" s="1"/>
  <c r="O1640" i="2"/>
  <c r="L1640" i="2"/>
  <c r="M1640" i="2" s="1"/>
  <c r="N1640" i="2" s="1"/>
  <c r="I1640" i="2"/>
  <c r="J1640" i="2" s="1"/>
  <c r="K1640" i="2" s="1"/>
  <c r="F1640" i="2"/>
  <c r="G1640" i="2" s="1"/>
  <c r="H1640" i="2" s="1"/>
  <c r="C1640" i="5" s="1"/>
  <c r="D1640" i="2"/>
  <c r="E1640" i="2" s="1"/>
  <c r="B1640" i="5" s="1"/>
  <c r="B1640" i="2"/>
  <c r="C1640" i="2" s="1"/>
  <c r="O1639" i="2"/>
  <c r="L1639" i="2"/>
  <c r="M1639" i="2" s="1"/>
  <c r="N1639" i="2" s="1"/>
  <c r="I1639" i="2"/>
  <c r="J1639" i="2" s="1"/>
  <c r="K1639" i="2" s="1"/>
  <c r="D1639" i="5" s="1"/>
  <c r="F1639" i="2"/>
  <c r="G1639" i="2" s="1"/>
  <c r="H1639" i="2" s="1"/>
  <c r="C1639" i="5" s="1"/>
  <c r="D1639" i="2"/>
  <c r="E1639" i="2" s="1"/>
  <c r="B1639" i="5" s="1"/>
  <c r="B1639" i="2"/>
  <c r="C1639" i="2" s="1"/>
  <c r="A1639" i="5" s="1"/>
  <c r="O1638" i="2"/>
  <c r="L1638" i="2"/>
  <c r="M1638" i="2" s="1"/>
  <c r="N1638" i="2" s="1"/>
  <c r="I1638" i="2"/>
  <c r="J1638" i="2" s="1"/>
  <c r="K1638" i="2" s="1"/>
  <c r="F1638" i="2"/>
  <c r="G1638" i="2" s="1"/>
  <c r="H1638" i="2" s="1"/>
  <c r="C1638" i="5" s="1"/>
  <c r="D1638" i="2"/>
  <c r="E1638" i="2" s="1"/>
  <c r="B1638" i="5" s="1"/>
  <c r="B1638" i="2"/>
  <c r="C1638" i="2" s="1"/>
  <c r="O1637" i="2"/>
  <c r="L1637" i="2"/>
  <c r="M1637" i="2" s="1"/>
  <c r="N1637" i="2" s="1"/>
  <c r="I1637" i="2"/>
  <c r="J1637" i="2" s="1"/>
  <c r="K1637" i="2" s="1"/>
  <c r="D1637" i="5" s="1"/>
  <c r="F1637" i="2"/>
  <c r="G1637" i="2" s="1"/>
  <c r="H1637" i="2" s="1"/>
  <c r="C1637" i="5" s="1"/>
  <c r="D1637" i="2"/>
  <c r="E1637" i="2" s="1"/>
  <c r="B1637" i="5" s="1"/>
  <c r="B1637" i="2"/>
  <c r="C1637" i="2" s="1"/>
  <c r="A1637" i="5" s="1"/>
  <c r="O1636" i="2"/>
  <c r="L1636" i="2"/>
  <c r="M1636" i="2" s="1"/>
  <c r="N1636" i="2" s="1"/>
  <c r="I1636" i="2"/>
  <c r="J1636" i="2" s="1"/>
  <c r="K1636" i="2" s="1"/>
  <c r="F1636" i="2"/>
  <c r="G1636" i="2" s="1"/>
  <c r="H1636" i="2" s="1"/>
  <c r="C1636" i="5" s="1"/>
  <c r="D1636" i="2"/>
  <c r="E1636" i="2" s="1"/>
  <c r="B1636" i="5" s="1"/>
  <c r="B1636" i="2"/>
  <c r="C1636" i="2" s="1"/>
  <c r="O1635" i="2"/>
  <c r="L1635" i="2"/>
  <c r="M1635" i="2" s="1"/>
  <c r="N1635" i="2" s="1"/>
  <c r="I1635" i="2"/>
  <c r="J1635" i="2" s="1"/>
  <c r="K1635" i="2" s="1"/>
  <c r="D1635" i="5" s="1"/>
  <c r="F1635" i="2"/>
  <c r="G1635" i="2" s="1"/>
  <c r="H1635" i="2" s="1"/>
  <c r="C1635" i="5" s="1"/>
  <c r="D1635" i="2"/>
  <c r="E1635" i="2" s="1"/>
  <c r="B1635" i="5" s="1"/>
  <c r="B1635" i="2"/>
  <c r="C1635" i="2" s="1"/>
  <c r="A1635" i="5" s="1"/>
  <c r="O1634" i="2"/>
  <c r="L1634" i="2"/>
  <c r="M1634" i="2" s="1"/>
  <c r="N1634" i="2" s="1"/>
  <c r="I1634" i="2"/>
  <c r="J1634" i="2" s="1"/>
  <c r="K1634" i="2" s="1"/>
  <c r="F1634" i="2"/>
  <c r="G1634" i="2" s="1"/>
  <c r="H1634" i="2" s="1"/>
  <c r="C1634" i="5" s="1"/>
  <c r="D1634" i="2"/>
  <c r="E1634" i="2" s="1"/>
  <c r="B1634" i="5" s="1"/>
  <c r="B1634" i="2"/>
  <c r="C1634" i="2" s="1"/>
  <c r="O1633" i="2"/>
  <c r="L1633" i="2"/>
  <c r="M1633" i="2" s="1"/>
  <c r="N1633" i="2" s="1"/>
  <c r="I1633" i="2"/>
  <c r="J1633" i="2" s="1"/>
  <c r="K1633" i="2" s="1"/>
  <c r="D1633" i="5" s="1"/>
  <c r="F1633" i="2"/>
  <c r="G1633" i="2" s="1"/>
  <c r="H1633" i="2" s="1"/>
  <c r="C1633" i="5" s="1"/>
  <c r="D1633" i="2"/>
  <c r="E1633" i="2" s="1"/>
  <c r="B1633" i="5" s="1"/>
  <c r="B1633" i="2"/>
  <c r="C1633" i="2" s="1"/>
  <c r="A1633" i="5" s="1"/>
  <c r="O1632" i="2"/>
  <c r="L1632" i="2"/>
  <c r="M1632" i="2" s="1"/>
  <c r="N1632" i="2" s="1"/>
  <c r="I1632" i="2"/>
  <c r="J1632" i="2" s="1"/>
  <c r="K1632" i="2" s="1"/>
  <c r="F1632" i="2"/>
  <c r="G1632" i="2" s="1"/>
  <c r="H1632" i="2" s="1"/>
  <c r="C1632" i="5" s="1"/>
  <c r="D1632" i="2"/>
  <c r="E1632" i="2" s="1"/>
  <c r="B1632" i="5" s="1"/>
  <c r="B1632" i="2"/>
  <c r="C1632" i="2" s="1"/>
  <c r="O1631" i="2"/>
  <c r="L1631" i="2"/>
  <c r="M1631" i="2" s="1"/>
  <c r="N1631" i="2" s="1"/>
  <c r="I1631" i="2"/>
  <c r="J1631" i="2" s="1"/>
  <c r="K1631" i="2" s="1"/>
  <c r="D1631" i="5" s="1"/>
  <c r="F1631" i="2"/>
  <c r="G1631" i="2" s="1"/>
  <c r="H1631" i="2" s="1"/>
  <c r="C1631" i="5" s="1"/>
  <c r="D1631" i="2"/>
  <c r="E1631" i="2" s="1"/>
  <c r="B1631" i="5" s="1"/>
  <c r="B1631" i="2"/>
  <c r="C1631" i="2" s="1"/>
  <c r="A1631" i="5" s="1"/>
  <c r="O1630" i="2"/>
  <c r="L1630" i="2"/>
  <c r="M1630" i="2" s="1"/>
  <c r="N1630" i="2" s="1"/>
  <c r="I1630" i="2"/>
  <c r="J1630" i="2" s="1"/>
  <c r="K1630" i="2" s="1"/>
  <c r="F1630" i="2"/>
  <c r="G1630" i="2" s="1"/>
  <c r="H1630" i="2" s="1"/>
  <c r="C1630" i="5" s="1"/>
  <c r="D1630" i="2"/>
  <c r="E1630" i="2" s="1"/>
  <c r="B1630" i="5" s="1"/>
  <c r="B1630" i="2"/>
  <c r="C1630" i="2" s="1"/>
  <c r="O1629" i="2"/>
  <c r="L1629" i="2"/>
  <c r="M1629" i="2" s="1"/>
  <c r="N1629" i="2" s="1"/>
  <c r="I1629" i="2"/>
  <c r="J1629" i="2" s="1"/>
  <c r="K1629" i="2" s="1"/>
  <c r="D1629" i="5" s="1"/>
  <c r="F1629" i="2"/>
  <c r="G1629" i="2" s="1"/>
  <c r="H1629" i="2" s="1"/>
  <c r="C1629" i="5" s="1"/>
  <c r="D1629" i="2"/>
  <c r="E1629" i="2" s="1"/>
  <c r="B1629" i="5" s="1"/>
  <c r="B1629" i="2"/>
  <c r="C1629" i="2" s="1"/>
  <c r="A1629" i="5" s="1"/>
  <c r="O1628" i="2"/>
  <c r="L1628" i="2"/>
  <c r="M1628" i="2" s="1"/>
  <c r="N1628" i="2" s="1"/>
  <c r="I1628" i="2"/>
  <c r="J1628" i="2" s="1"/>
  <c r="K1628" i="2" s="1"/>
  <c r="F1628" i="2"/>
  <c r="G1628" i="2" s="1"/>
  <c r="H1628" i="2" s="1"/>
  <c r="C1628" i="5" s="1"/>
  <c r="D1628" i="2"/>
  <c r="E1628" i="2" s="1"/>
  <c r="B1628" i="5" s="1"/>
  <c r="B1628" i="2"/>
  <c r="C1628" i="2" s="1"/>
  <c r="O1627" i="2"/>
  <c r="L1627" i="2"/>
  <c r="M1627" i="2" s="1"/>
  <c r="N1627" i="2" s="1"/>
  <c r="I1627" i="2"/>
  <c r="J1627" i="2" s="1"/>
  <c r="K1627" i="2" s="1"/>
  <c r="D1627" i="5" s="1"/>
  <c r="F1627" i="2"/>
  <c r="G1627" i="2" s="1"/>
  <c r="H1627" i="2" s="1"/>
  <c r="C1627" i="5" s="1"/>
  <c r="D1627" i="2"/>
  <c r="E1627" i="2" s="1"/>
  <c r="B1627" i="5" s="1"/>
  <c r="B1627" i="2"/>
  <c r="C1627" i="2" s="1"/>
  <c r="A1627" i="5" s="1"/>
  <c r="O1626" i="2"/>
  <c r="L1626" i="2"/>
  <c r="M1626" i="2" s="1"/>
  <c r="N1626" i="2" s="1"/>
  <c r="I1626" i="2"/>
  <c r="J1626" i="2" s="1"/>
  <c r="K1626" i="2" s="1"/>
  <c r="F1626" i="2"/>
  <c r="G1626" i="2" s="1"/>
  <c r="H1626" i="2" s="1"/>
  <c r="C1626" i="5" s="1"/>
  <c r="D1626" i="2"/>
  <c r="E1626" i="2" s="1"/>
  <c r="B1626" i="5" s="1"/>
  <c r="B1626" i="2"/>
  <c r="C1626" i="2" s="1"/>
  <c r="O1625" i="2"/>
  <c r="L1625" i="2"/>
  <c r="M1625" i="2" s="1"/>
  <c r="N1625" i="2" s="1"/>
  <c r="I1625" i="2"/>
  <c r="J1625" i="2" s="1"/>
  <c r="K1625" i="2" s="1"/>
  <c r="D1625" i="5" s="1"/>
  <c r="F1625" i="2"/>
  <c r="G1625" i="2" s="1"/>
  <c r="H1625" i="2" s="1"/>
  <c r="C1625" i="5" s="1"/>
  <c r="D1625" i="2"/>
  <c r="E1625" i="2" s="1"/>
  <c r="B1625" i="5" s="1"/>
  <c r="B1625" i="2"/>
  <c r="C1625" i="2" s="1"/>
  <c r="A1625" i="5" s="1"/>
  <c r="O1624" i="2"/>
  <c r="L1624" i="2"/>
  <c r="M1624" i="2" s="1"/>
  <c r="N1624" i="2" s="1"/>
  <c r="I1624" i="2"/>
  <c r="J1624" i="2" s="1"/>
  <c r="K1624" i="2" s="1"/>
  <c r="F1624" i="2"/>
  <c r="G1624" i="2" s="1"/>
  <c r="H1624" i="2" s="1"/>
  <c r="C1624" i="5" s="1"/>
  <c r="D1624" i="2"/>
  <c r="E1624" i="2" s="1"/>
  <c r="B1624" i="5" s="1"/>
  <c r="B1624" i="2"/>
  <c r="C1624" i="2" s="1"/>
  <c r="O1623" i="2"/>
  <c r="L1623" i="2"/>
  <c r="M1623" i="2" s="1"/>
  <c r="N1623" i="2" s="1"/>
  <c r="I1623" i="2"/>
  <c r="J1623" i="2" s="1"/>
  <c r="K1623" i="2" s="1"/>
  <c r="D1623" i="5" s="1"/>
  <c r="F1623" i="2"/>
  <c r="G1623" i="2" s="1"/>
  <c r="H1623" i="2" s="1"/>
  <c r="C1623" i="5" s="1"/>
  <c r="D1623" i="2"/>
  <c r="E1623" i="2" s="1"/>
  <c r="B1623" i="5" s="1"/>
  <c r="B1623" i="2"/>
  <c r="C1623" i="2" s="1"/>
  <c r="A1623" i="5" s="1"/>
  <c r="O1622" i="2"/>
  <c r="L1622" i="2"/>
  <c r="M1622" i="2" s="1"/>
  <c r="N1622" i="2" s="1"/>
  <c r="I1622" i="2"/>
  <c r="J1622" i="2" s="1"/>
  <c r="K1622" i="2" s="1"/>
  <c r="F1622" i="2"/>
  <c r="G1622" i="2" s="1"/>
  <c r="H1622" i="2" s="1"/>
  <c r="C1622" i="5" s="1"/>
  <c r="D1622" i="2"/>
  <c r="E1622" i="2" s="1"/>
  <c r="B1622" i="5" s="1"/>
  <c r="B1622" i="2"/>
  <c r="C1622" i="2" s="1"/>
  <c r="O1621" i="2"/>
  <c r="L1621" i="2"/>
  <c r="M1621" i="2" s="1"/>
  <c r="N1621" i="2" s="1"/>
  <c r="I1621" i="2"/>
  <c r="J1621" i="2" s="1"/>
  <c r="K1621" i="2" s="1"/>
  <c r="D1621" i="5" s="1"/>
  <c r="F1621" i="2"/>
  <c r="G1621" i="2" s="1"/>
  <c r="H1621" i="2" s="1"/>
  <c r="C1621" i="5" s="1"/>
  <c r="D1621" i="2"/>
  <c r="E1621" i="2" s="1"/>
  <c r="B1621" i="5" s="1"/>
  <c r="B1621" i="2"/>
  <c r="C1621" i="2" s="1"/>
  <c r="A1621" i="5" s="1"/>
  <c r="O1620" i="2"/>
  <c r="L1620" i="2"/>
  <c r="M1620" i="2" s="1"/>
  <c r="N1620" i="2" s="1"/>
  <c r="I1620" i="2"/>
  <c r="J1620" i="2" s="1"/>
  <c r="K1620" i="2" s="1"/>
  <c r="F1620" i="2"/>
  <c r="G1620" i="2" s="1"/>
  <c r="H1620" i="2" s="1"/>
  <c r="C1620" i="5" s="1"/>
  <c r="D1620" i="2"/>
  <c r="E1620" i="2" s="1"/>
  <c r="B1620" i="5" s="1"/>
  <c r="B1620" i="2"/>
  <c r="C1620" i="2" s="1"/>
  <c r="O1619" i="2"/>
  <c r="L1619" i="2"/>
  <c r="M1619" i="2" s="1"/>
  <c r="N1619" i="2" s="1"/>
  <c r="I1619" i="2"/>
  <c r="J1619" i="2" s="1"/>
  <c r="K1619" i="2" s="1"/>
  <c r="D1619" i="5" s="1"/>
  <c r="F1619" i="2"/>
  <c r="G1619" i="2" s="1"/>
  <c r="H1619" i="2" s="1"/>
  <c r="C1619" i="5" s="1"/>
  <c r="D1619" i="2"/>
  <c r="E1619" i="2" s="1"/>
  <c r="B1619" i="5" s="1"/>
  <c r="B1619" i="2"/>
  <c r="C1619" i="2" s="1"/>
  <c r="A1619" i="5" s="1"/>
  <c r="O1618" i="2"/>
  <c r="L1618" i="2"/>
  <c r="M1618" i="2" s="1"/>
  <c r="N1618" i="2" s="1"/>
  <c r="I1618" i="2"/>
  <c r="J1618" i="2" s="1"/>
  <c r="K1618" i="2" s="1"/>
  <c r="F1618" i="2"/>
  <c r="G1618" i="2" s="1"/>
  <c r="H1618" i="2" s="1"/>
  <c r="C1618" i="5" s="1"/>
  <c r="D1618" i="2"/>
  <c r="E1618" i="2" s="1"/>
  <c r="B1618" i="5" s="1"/>
  <c r="B1618" i="2"/>
  <c r="C1618" i="2" s="1"/>
  <c r="O1617" i="2"/>
  <c r="L1617" i="2"/>
  <c r="M1617" i="2" s="1"/>
  <c r="N1617" i="2" s="1"/>
  <c r="I1617" i="2"/>
  <c r="J1617" i="2" s="1"/>
  <c r="K1617" i="2" s="1"/>
  <c r="D1617" i="5" s="1"/>
  <c r="F1617" i="2"/>
  <c r="G1617" i="2" s="1"/>
  <c r="H1617" i="2" s="1"/>
  <c r="C1617" i="5" s="1"/>
  <c r="D1617" i="2"/>
  <c r="E1617" i="2" s="1"/>
  <c r="B1617" i="5" s="1"/>
  <c r="B1617" i="2"/>
  <c r="C1617" i="2" s="1"/>
  <c r="A1617" i="5" s="1"/>
  <c r="O1616" i="2"/>
  <c r="L1616" i="2"/>
  <c r="M1616" i="2" s="1"/>
  <c r="N1616" i="2" s="1"/>
  <c r="I1616" i="2"/>
  <c r="J1616" i="2" s="1"/>
  <c r="K1616" i="2" s="1"/>
  <c r="F1616" i="2"/>
  <c r="G1616" i="2" s="1"/>
  <c r="H1616" i="2" s="1"/>
  <c r="C1616" i="5" s="1"/>
  <c r="D1616" i="2"/>
  <c r="E1616" i="2" s="1"/>
  <c r="B1616" i="5" s="1"/>
  <c r="B1616" i="2"/>
  <c r="C1616" i="2" s="1"/>
  <c r="O1615" i="2"/>
  <c r="L1615" i="2"/>
  <c r="M1615" i="2" s="1"/>
  <c r="N1615" i="2" s="1"/>
  <c r="I1615" i="2"/>
  <c r="J1615" i="2" s="1"/>
  <c r="K1615" i="2" s="1"/>
  <c r="D1615" i="5" s="1"/>
  <c r="F1615" i="2"/>
  <c r="G1615" i="2" s="1"/>
  <c r="H1615" i="2" s="1"/>
  <c r="C1615" i="5" s="1"/>
  <c r="D1615" i="2"/>
  <c r="E1615" i="2" s="1"/>
  <c r="B1615" i="5" s="1"/>
  <c r="B1615" i="2"/>
  <c r="C1615" i="2" s="1"/>
  <c r="A1615" i="5" s="1"/>
  <c r="O1614" i="2"/>
  <c r="L1614" i="2"/>
  <c r="M1614" i="2" s="1"/>
  <c r="N1614" i="2" s="1"/>
  <c r="I1614" i="2"/>
  <c r="J1614" i="2" s="1"/>
  <c r="K1614" i="2" s="1"/>
  <c r="F1614" i="2"/>
  <c r="G1614" i="2" s="1"/>
  <c r="H1614" i="2" s="1"/>
  <c r="C1614" i="5" s="1"/>
  <c r="D1614" i="2"/>
  <c r="E1614" i="2" s="1"/>
  <c r="B1614" i="5" s="1"/>
  <c r="B1614" i="2"/>
  <c r="C1614" i="2" s="1"/>
  <c r="O1613" i="2"/>
  <c r="L1613" i="2"/>
  <c r="M1613" i="2" s="1"/>
  <c r="N1613" i="2" s="1"/>
  <c r="I1613" i="2"/>
  <c r="J1613" i="2" s="1"/>
  <c r="K1613" i="2" s="1"/>
  <c r="D1613" i="5" s="1"/>
  <c r="F1613" i="2"/>
  <c r="G1613" i="2" s="1"/>
  <c r="H1613" i="2" s="1"/>
  <c r="C1613" i="5" s="1"/>
  <c r="D1613" i="2"/>
  <c r="E1613" i="2" s="1"/>
  <c r="B1613" i="5" s="1"/>
  <c r="B1613" i="2"/>
  <c r="C1613" i="2" s="1"/>
  <c r="A1613" i="5" s="1"/>
  <c r="O1612" i="2"/>
  <c r="L1612" i="2"/>
  <c r="M1612" i="2" s="1"/>
  <c r="N1612" i="2" s="1"/>
  <c r="I1612" i="2"/>
  <c r="J1612" i="2" s="1"/>
  <c r="K1612" i="2" s="1"/>
  <c r="F1612" i="2"/>
  <c r="G1612" i="2" s="1"/>
  <c r="H1612" i="2" s="1"/>
  <c r="C1612" i="5" s="1"/>
  <c r="D1612" i="2"/>
  <c r="E1612" i="2" s="1"/>
  <c r="B1612" i="5" s="1"/>
  <c r="B1612" i="2"/>
  <c r="C1612" i="2" s="1"/>
  <c r="O1611" i="2"/>
  <c r="L1611" i="2"/>
  <c r="M1611" i="2" s="1"/>
  <c r="N1611" i="2" s="1"/>
  <c r="I1611" i="2"/>
  <c r="J1611" i="2" s="1"/>
  <c r="K1611" i="2" s="1"/>
  <c r="D1611" i="5" s="1"/>
  <c r="F1611" i="2"/>
  <c r="G1611" i="2" s="1"/>
  <c r="H1611" i="2" s="1"/>
  <c r="C1611" i="5" s="1"/>
  <c r="D1611" i="2"/>
  <c r="E1611" i="2" s="1"/>
  <c r="B1611" i="5" s="1"/>
  <c r="B1611" i="2"/>
  <c r="C1611" i="2" s="1"/>
  <c r="A1611" i="5" s="1"/>
  <c r="O1610" i="2"/>
  <c r="L1610" i="2"/>
  <c r="M1610" i="2" s="1"/>
  <c r="N1610" i="2" s="1"/>
  <c r="I1610" i="2"/>
  <c r="J1610" i="2" s="1"/>
  <c r="K1610" i="2" s="1"/>
  <c r="F1610" i="2"/>
  <c r="G1610" i="2" s="1"/>
  <c r="H1610" i="2" s="1"/>
  <c r="C1610" i="5" s="1"/>
  <c r="D1610" i="2"/>
  <c r="E1610" i="2" s="1"/>
  <c r="B1610" i="5" s="1"/>
  <c r="B1610" i="2"/>
  <c r="C1610" i="2" s="1"/>
  <c r="O1609" i="2"/>
  <c r="L1609" i="2"/>
  <c r="M1609" i="2" s="1"/>
  <c r="N1609" i="2" s="1"/>
  <c r="I1609" i="2"/>
  <c r="J1609" i="2" s="1"/>
  <c r="K1609" i="2" s="1"/>
  <c r="D1609" i="5" s="1"/>
  <c r="F1609" i="2"/>
  <c r="G1609" i="2" s="1"/>
  <c r="H1609" i="2" s="1"/>
  <c r="C1609" i="5" s="1"/>
  <c r="D1609" i="2"/>
  <c r="E1609" i="2" s="1"/>
  <c r="B1609" i="5" s="1"/>
  <c r="B1609" i="2"/>
  <c r="C1609" i="2" s="1"/>
  <c r="A1609" i="5" s="1"/>
  <c r="O1608" i="2"/>
  <c r="L1608" i="2"/>
  <c r="M1608" i="2" s="1"/>
  <c r="N1608" i="2" s="1"/>
  <c r="I1608" i="2"/>
  <c r="J1608" i="2" s="1"/>
  <c r="K1608" i="2" s="1"/>
  <c r="F1608" i="2"/>
  <c r="G1608" i="2" s="1"/>
  <c r="H1608" i="2" s="1"/>
  <c r="C1608" i="5" s="1"/>
  <c r="D1608" i="2"/>
  <c r="E1608" i="2" s="1"/>
  <c r="B1608" i="5" s="1"/>
  <c r="B1608" i="2"/>
  <c r="C1608" i="2" s="1"/>
  <c r="O1607" i="2"/>
  <c r="L1607" i="2"/>
  <c r="M1607" i="2" s="1"/>
  <c r="N1607" i="2" s="1"/>
  <c r="I1607" i="2"/>
  <c r="J1607" i="2" s="1"/>
  <c r="K1607" i="2" s="1"/>
  <c r="D1607" i="5" s="1"/>
  <c r="F1607" i="2"/>
  <c r="G1607" i="2" s="1"/>
  <c r="H1607" i="2" s="1"/>
  <c r="C1607" i="5" s="1"/>
  <c r="D1607" i="2"/>
  <c r="E1607" i="2" s="1"/>
  <c r="B1607" i="5" s="1"/>
  <c r="B1607" i="2"/>
  <c r="C1607" i="2" s="1"/>
  <c r="A1607" i="5" s="1"/>
  <c r="O1606" i="2"/>
  <c r="L1606" i="2"/>
  <c r="M1606" i="2" s="1"/>
  <c r="N1606" i="2" s="1"/>
  <c r="I1606" i="2"/>
  <c r="J1606" i="2" s="1"/>
  <c r="K1606" i="2" s="1"/>
  <c r="F1606" i="2"/>
  <c r="G1606" i="2" s="1"/>
  <c r="H1606" i="2" s="1"/>
  <c r="C1606" i="5" s="1"/>
  <c r="D1606" i="2"/>
  <c r="E1606" i="2" s="1"/>
  <c r="B1606" i="5" s="1"/>
  <c r="B1606" i="2"/>
  <c r="C1606" i="2" s="1"/>
  <c r="O1605" i="2"/>
  <c r="L1605" i="2"/>
  <c r="M1605" i="2" s="1"/>
  <c r="N1605" i="2" s="1"/>
  <c r="I1605" i="2"/>
  <c r="J1605" i="2" s="1"/>
  <c r="K1605" i="2" s="1"/>
  <c r="D1605" i="5" s="1"/>
  <c r="F1605" i="2"/>
  <c r="G1605" i="2" s="1"/>
  <c r="H1605" i="2" s="1"/>
  <c r="C1605" i="5" s="1"/>
  <c r="D1605" i="2"/>
  <c r="E1605" i="2" s="1"/>
  <c r="B1605" i="5" s="1"/>
  <c r="B1605" i="2"/>
  <c r="C1605" i="2" s="1"/>
  <c r="A1605" i="5" s="1"/>
  <c r="O1604" i="2"/>
  <c r="L1604" i="2"/>
  <c r="M1604" i="2" s="1"/>
  <c r="N1604" i="2" s="1"/>
  <c r="I1604" i="2"/>
  <c r="J1604" i="2" s="1"/>
  <c r="K1604" i="2" s="1"/>
  <c r="F1604" i="2"/>
  <c r="G1604" i="2" s="1"/>
  <c r="H1604" i="2" s="1"/>
  <c r="C1604" i="5" s="1"/>
  <c r="D1604" i="2"/>
  <c r="E1604" i="2" s="1"/>
  <c r="B1604" i="5" s="1"/>
  <c r="B1604" i="2"/>
  <c r="C1604" i="2" s="1"/>
  <c r="O1603" i="2"/>
  <c r="L1603" i="2"/>
  <c r="M1603" i="2" s="1"/>
  <c r="N1603" i="2" s="1"/>
  <c r="I1603" i="2"/>
  <c r="J1603" i="2" s="1"/>
  <c r="K1603" i="2" s="1"/>
  <c r="D1603" i="5" s="1"/>
  <c r="F1603" i="2"/>
  <c r="G1603" i="2" s="1"/>
  <c r="H1603" i="2" s="1"/>
  <c r="C1603" i="5" s="1"/>
  <c r="D1603" i="2"/>
  <c r="E1603" i="2" s="1"/>
  <c r="B1603" i="5" s="1"/>
  <c r="B1603" i="2"/>
  <c r="C1603" i="2" s="1"/>
  <c r="A1603" i="5" s="1"/>
  <c r="O1602" i="2"/>
  <c r="L1602" i="2"/>
  <c r="M1602" i="2" s="1"/>
  <c r="N1602" i="2" s="1"/>
  <c r="I1602" i="2"/>
  <c r="J1602" i="2" s="1"/>
  <c r="K1602" i="2" s="1"/>
  <c r="F1602" i="2"/>
  <c r="G1602" i="2" s="1"/>
  <c r="H1602" i="2" s="1"/>
  <c r="C1602" i="5" s="1"/>
  <c r="D1602" i="2"/>
  <c r="E1602" i="2" s="1"/>
  <c r="B1602" i="5" s="1"/>
  <c r="B1602" i="2"/>
  <c r="C1602" i="2" s="1"/>
  <c r="O1601" i="2"/>
  <c r="L1601" i="2"/>
  <c r="M1601" i="2" s="1"/>
  <c r="N1601" i="2" s="1"/>
  <c r="I1601" i="2"/>
  <c r="J1601" i="2" s="1"/>
  <c r="K1601" i="2" s="1"/>
  <c r="D1601" i="5" s="1"/>
  <c r="F1601" i="2"/>
  <c r="G1601" i="2" s="1"/>
  <c r="H1601" i="2" s="1"/>
  <c r="C1601" i="5" s="1"/>
  <c r="D1601" i="2"/>
  <c r="E1601" i="2" s="1"/>
  <c r="B1601" i="5" s="1"/>
  <c r="B1601" i="2"/>
  <c r="C1601" i="2" s="1"/>
  <c r="A1601" i="5" s="1"/>
  <c r="O1600" i="2"/>
  <c r="L1600" i="2"/>
  <c r="M1600" i="2" s="1"/>
  <c r="N1600" i="2" s="1"/>
  <c r="I1600" i="2"/>
  <c r="J1600" i="2" s="1"/>
  <c r="K1600" i="2" s="1"/>
  <c r="F1600" i="2"/>
  <c r="G1600" i="2" s="1"/>
  <c r="H1600" i="2" s="1"/>
  <c r="C1600" i="5" s="1"/>
  <c r="D1600" i="2"/>
  <c r="E1600" i="2" s="1"/>
  <c r="B1600" i="5" s="1"/>
  <c r="B1600" i="2"/>
  <c r="C1600" i="2" s="1"/>
  <c r="O1599" i="2"/>
  <c r="L1599" i="2"/>
  <c r="M1599" i="2" s="1"/>
  <c r="N1599" i="2" s="1"/>
  <c r="I1599" i="2"/>
  <c r="J1599" i="2" s="1"/>
  <c r="K1599" i="2" s="1"/>
  <c r="D1599" i="5" s="1"/>
  <c r="F1599" i="2"/>
  <c r="G1599" i="2" s="1"/>
  <c r="H1599" i="2" s="1"/>
  <c r="C1599" i="5" s="1"/>
  <c r="D1599" i="2"/>
  <c r="E1599" i="2" s="1"/>
  <c r="B1599" i="5" s="1"/>
  <c r="B1599" i="2"/>
  <c r="C1599" i="2" s="1"/>
  <c r="A1599" i="5" s="1"/>
  <c r="O1598" i="2"/>
  <c r="L1598" i="2"/>
  <c r="M1598" i="2" s="1"/>
  <c r="N1598" i="2" s="1"/>
  <c r="I1598" i="2"/>
  <c r="J1598" i="2" s="1"/>
  <c r="K1598" i="2" s="1"/>
  <c r="F1598" i="2"/>
  <c r="G1598" i="2" s="1"/>
  <c r="H1598" i="2" s="1"/>
  <c r="C1598" i="5" s="1"/>
  <c r="D1598" i="2"/>
  <c r="E1598" i="2" s="1"/>
  <c r="B1598" i="5" s="1"/>
  <c r="B1598" i="2"/>
  <c r="C1598" i="2" s="1"/>
  <c r="O1597" i="2"/>
  <c r="L1597" i="2"/>
  <c r="M1597" i="2" s="1"/>
  <c r="N1597" i="2" s="1"/>
  <c r="I1597" i="2"/>
  <c r="J1597" i="2" s="1"/>
  <c r="K1597" i="2" s="1"/>
  <c r="D1597" i="5" s="1"/>
  <c r="F1597" i="2"/>
  <c r="G1597" i="2" s="1"/>
  <c r="H1597" i="2" s="1"/>
  <c r="C1597" i="5" s="1"/>
  <c r="D1597" i="2"/>
  <c r="E1597" i="2" s="1"/>
  <c r="B1597" i="5" s="1"/>
  <c r="B1597" i="2"/>
  <c r="C1597" i="2" s="1"/>
  <c r="A1597" i="5" s="1"/>
  <c r="O1596" i="2"/>
  <c r="L1596" i="2"/>
  <c r="M1596" i="2" s="1"/>
  <c r="N1596" i="2" s="1"/>
  <c r="I1596" i="2"/>
  <c r="J1596" i="2" s="1"/>
  <c r="K1596" i="2" s="1"/>
  <c r="F1596" i="2"/>
  <c r="G1596" i="2" s="1"/>
  <c r="H1596" i="2" s="1"/>
  <c r="C1596" i="5" s="1"/>
  <c r="D1596" i="2"/>
  <c r="E1596" i="2" s="1"/>
  <c r="B1596" i="5" s="1"/>
  <c r="B1596" i="2"/>
  <c r="C1596" i="2" s="1"/>
  <c r="O1595" i="2"/>
  <c r="L1595" i="2"/>
  <c r="M1595" i="2" s="1"/>
  <c r="N1595" i="2" s="1"/>
  <c r="I1595" i="2"/>
  <c r="J1595" i="2" s="1"/>
  <c r="K1595" i="2" s="1"/>
  <c r="D1595" i="5" s="1"/>
  <c r="F1595" i="2"/>
  <c r="G1595" i="2" s="1"/>
  <c r="H1595" i="2" s="1"/>
  <c r="C1595" i="5" s="1"/>
  <c r="D1595" i="2"/>
  <c r="E1595" i="2" s="1"/>
  <c r="B1595" i="5" s="1"/>
  <c r="B1595" i="2"/>
  <c r="C1595" i="2" s="1"/>
  <c r="A1595" i="5" s="1"/>
  <c r="O1594" i="2"/>
  <c r="L1594" i="2"/>
  <c r="M1594" i="2" s="1"/>
  <c r="N1594" i="2" s="1"/>
  <c r="I1594" i="2"/>
  <c r="J1594" i="2" s="1"/>
  <c r="K1594" i="2" s="1"/>
  <c r="F1594" i="2"/>
  <c r="G1594" i="2" s="1"/>
  <c r="H1594" i="2" s="1"/>
  <c r="C1594" i="5" s="1"/>
  <c r="D1594" i="2"/>
  <c r="E1594" i="2" s="1"/>
  <c r="B1594" i="5" s="1"/>
  <c r="B1594" i="2"/>
  <c r="C1594" i="2" s="1"/>
  <c r="O1593" i="2"/>
  <c r="L1593" i="2"/>
  <c r="M1593" i="2" s="1"/>
  <c r="N1593" i="2" s="1"/>
  <c r="I1593" i="2"/>
  <c r="J1593" i="2" s="1"/>
  <c r="K1593" i="2" s="1"/>
  <c r="D1593" i="5" s="1"/>
  <c r="F1593" i="2"/>
  <c r="G1593" i="2" s="1"/>
  <c r="H1593" i="2" s="1"/>
  <c r="C1593" i="5" s="1"/>
  <c r="D1593" i="2"/>
  <c r="E1593" i="2" s="1"/>
  <c r="B1593" i="5" s="1"/>
  <c r="B1593" i="2"/>
  <c r="C1593" i="2" s="1"/>
  <c r="A1593" i="5" s="1"/>
  <c r="O1592" i="2"/>
  <c r="L1592" i="2"/>
  <c r="M1592" i="2" s="1"/>
  <c r="N1592" i="2" s="1"/>
  <c r="I1592" i="2"/>
  <c r="J1592" i="2" s="1"/>
  <c r="K1592" i="2" s="1"/>
  <c r="F1592" i="2"/>
  <c r="G1592" i="2" s="1"/>
  <c r="H1592" i="2" s="1"/>
  <c r="C1592" i="5" s="1"/>
  <c r="D1592" i="2"/>
  <c r="E1592" i="2" s="1"/>
  <c r="B1592" i="5" s="1"/>
  <c r="B1592" i="2"/>
  <c r="C1592" i="2" s="1"/>
  <c r="O1591" i="2"/>
  <c r="L1591" i="2"/>
  <c r="M1591" i="2" s="1"/>
  <c r="N1591" i="2" s="1"/>
  <c r="I1591" i="2"/>
  <c r="J1591" i="2" s="1"/>
  <c r="K1591" i="2" s="1"/>
  <c r="D1591" i="5" s="1"/>
  <c r="F1591" i="2"/>
  <c r="G1591" i="2" s="1"/>
  <c r="H1591" i="2" s="1"/>
  <c r="C1591" i="5" s="1"/>
  <c r="D1591" i="2"/>
  <c r="E1591" i="2" s="1"/>
  <c r="B1591" i="5" s="1"/>
  <c r="B1591" i="2"/>
  <c r="C1591" i="2" s="1"/>
  <c r="A1591" i="5" s="1"/>
  <c r="O1590" i="2"/>
  <c r="L1590" i="2"/>
  <c r="M1590" i="2" s="1"/>
  <c r="N1590" i="2" s="1"/>
  <c r="I1590" i="2"/>
  <c r="J1590" i="2" s="1"/>
  <c r="K1590" i="2" s="1"/>
  <c r="F1590" i="2"/>
  <c r="G1590" i="2" s="1"/>
  <c r="H1590" i="2" s="1"/>
  <c r="C1590" i="5" s="1"/>
  <c r="D1590" i="2"/>
  <c r="E1590" i="2" s="1"/>
  <c r="B1590" i="5" s="1"/>
  <c r="B1590" i="2"/>
  <c r="C1590" i="2" s="1"/>
  <c r="A1590" i="5" s="1"/>
  <c r="O1589" i="2"/>
  <c r="L1589" i="2"/>
  <c r="M1589" i="2" s="1"/>
  <c r="N1589" i="2" s="1"/>
  <c r="I1589" i="2"/>
  <c r="J1589" i="2" s="1"/>
  <c r="K1589" i="2" s="1"/>
  <c r="D1589" i="5" s="1"/>
  <c r="F1589" i="2"/>
  <c r="G1589" i="2" s="1"/>
  <c r="H1589" i="2" s="1"/>
  <c r="C1589" i="5" s="1"/>
  <c r="D1589" i="2"/>
  <c r="E1589" i="2" s="1"/>
  <c r="B1589" i="5" s="1"/>
  <c r="B1589" i="2"/>
  <c r="C1589" i="2" s="1"/>
  <c r="A1589" i="5" s="1"/>
  <c r="O1588" i="2"/>
  <c r="L1588" i="2"/>
  <c r="M1588" i="2" s="1"/>
  <c r="N1588" i="2" s="1"/>
  <c r="I1588" i="2"/>
  <c r="J1588" i="2" s="1"/>
  <c r="K1588" i="2" s="1"/>
  <c r="F1588" i="2"/>
  <c r="G1588" i="2" s="1"/>
  <c r="H1588" i="2" s="1"/>
  <c r="C1588" i="5" s="1"/>
  <c r="D1588" i="2"/>
  <c r="E1588" i="2" s="1"/>
  <c r="B1588" i="5" s="1"/>
  <c r="B1588" i="2"/>
  <c r="C1588" i="2" s="1"/>
  <c r="A1588" i="5" s="1"/>
  <c r="O1587" i="2"/>
  <c r="L1587" i="2"/>
  <c r="M1587" i="2" s="1"/>
  <c r="N1587" i="2" s="1"/>
  <c r="I1587" i="2"/>
  <c r="J1587" i="2" s="1"/>
  <c r="K1587" i="2" s="1"/>
  <c r="D1587" i="5" s="1"/>
  <c r="F1587" i="2"/>
  <c r="G1587" i="2" s="1"/>
  <c r="H1587" i="2" s="1"/>
  <c r="C1587" i="5" s="1"/>
  <c r="D1587" i="2"/>
  <c r="E1587" i="2" s="1"/>
  <c r="B1587" i="5" s="1"/>
  <c r="B1587" i="2"/>
  <c r="C1587" i="2" s="1"/>
  <c r="A1587" i="5" s="1"/>
  <c r="O1586" i="2"/>
  <c r="L1586" i="2"/>
  <c r="M1586" i="2" s="1"/>
  <c r="N1586" i="2" s="1"/>
  <c r="I1586" i="2"/>
  <c r="J1586" i="2" s="1"/>
  <c r="K1586" i="2" s="1"/>
  <c r="F1586" i="2"/>
  <c r="G1586" i="2" s="1"/>
  <c r="H1586" i="2" s="1"/>
  <c r="C1586" i="5" s="1"/>
  <c r="D1586" i="2"/>
  <c r="E1586" i="2" s="1"/>
  <c r="B1586" i="5" s="1"/>
  <c r="B1586" i="2"/>
  <c r="C1586" i="2" s="1"/>
  <c r="O1585" i="2"/>
  <c r="L1585" i="2"/>
  <c r="M1585" i="2" s="1"/>
  <c r="N1585" i="2" s="1"/>
  <c r="I1585" i="2"/>
  <c r="J1585" i="2" s="1"/>
  <c r="K1585" i="2" s="1"/>
  <c r="D1585" i="5" s="1"/>
  <c r="F1585" i="2"/>
  <c r="G1585" i="2" s="1"/>
  <c r="H1585" i="2" s="1"/>
  <c r="C1585" i="5" s="1"/>
  <c r="D1585" i="2"/>
  <c r="E1585" i="2" s="1"/>
  <c r="B1585" i="5" s="1"/>
  <c r="B1585" i="2"/>
  <c r="C1585" i="2" s="1"/>
  <c r="A1585" i="5" s="1"/>
  <c r="O1584" i="2"/>
  <c r="L1584" i="2"/>
  <c r="M1584" i="2" s="1"/>
  <c r="N1584" i="2" s="1"/>
  <c r="I1584" i="2"/>
  <c r="J1584" i="2" s="1"/>
  <c r="K1584" i="2" s="1"/>
  <c r="F1584" i="2"/>
  <c r="G1584" i="2" s="1"/>
  <c r="H1584" i="2" s="1"/>
  <c r="C1584" i="5" s="1"/>
  <c r="D1584" i="2"/>
  <c r="E1584" i="2" s="1"/>
  <c r="B1584" i="5" s="1"/>
  <c r="B1584" i="2"/>
  <c r="C1584" i="2" s="1"/>
  <c r="O1583" i="2"/>
  <c r="L1583" i="2"/>
  <c r="M1583" i="2" s="1"/>
  <c r="N1583" i="2" s="1"/>
  <c r="I1583" i="2"/>
  <c r="J1583" i="2" s="1"/>
  <c r="K1583" i="2" s="1"/>
  <c r="D1583" i="5" s="1"/>
  <c r="F1583" i="2"/>
  <c r="G1583" i="2" s="1"/>
  <c r="H1583" i="2" s="1"/>
  <c r="C1583" i="5" s="1"/>
  <c r="D1583" i="2"/>
  <c r="E1583" i="2" s="1"/>
  <c r="B1583" i="5" s="1"/>
  <c r="B1583" i="2"/>
  <c r="C1583" i="2" s="1"/>
  <c r="A1583" i="5" s="1"/>
  <c r="O1582" i="2"/>
  <c r="L1582" i="2"/>
  <c r="M1582" i="2" s="1"/>
  <c r="N1582" i="2" s="1"/>
  <c r="I1582" i="2"/>
  <c r="J1582" i="2" s="1"/>
  <c r="K1582" i="2" s="1"/>
  <c r="F1582" i="2"/>
  <c r="G1582" i="2" s="1"/>
  <c r="H1582" i="2" s="1"/>
  <c r="C1582" i="5" s="1"/>
  <c r="D1582" i="2"/>
  <c r="E1582" i="2" s="1"/>
  <c r="B1582" i="5" s="1"/>
  <c r="B1582" i="2"/>
  <c r="C1582" i="2" s="1"/>
  <c r="O1581" i="2"/>
  <c r="L1581" i="2"/>
  <c r="M1581" i="2" s="1"/>
  <c r="N1581" i="2" s="1"/>
  <c r="I1581" i="2"/>
  <c r="J1581" i="2" s="1"/>
  <c r="K1581" i="2" s="1"/>
  <c r="D1581" i="5" s="1"/>
  <c r="F1581" i="2"/>
  <c r="G1581" i="2" s="1"/>
  <c r="H1581" i="2" s="1"/>
  <c r="C1581" i="5" s="1"/>
  <c r="D1581" i="2"/>
  <c r="E1581" i="2" s="1"/>
  <c r="B1581" i="5" s="1"/>
  <c r="B1581" i="2"/>
  <c r="C1581" i="2" s="1"/>
  <c r="A1581" i="5" s="1"/>
  <c r="O1580" i="2"/>
  <c r="L1580" i="2"/>
  <c r="M1580" i="2" s="1"/>
  <c r="N1580" i="2" s="1"/>
  <c r="I1580" i="2"/>
  <c r="J1580" i="2" s="1"/>
  <c r="K1580" i="2" s="1"/>
  <c r="F1580" i="2"/>
  <c r="G1580" i="2" s="1"/>
  <c r="H1580" i="2" s="1"/>
  <c r="C1580" i="5" s="1"/>
  <c r="D1580" i="2"/>
  <c r="E1580" i="2" s="1"/>
  <c r="B1580" i="5" s="1"/>
  <c r="B1580" i="2"/>
  <c r="C1580" i="2" s="1"/>
  <c r="O1579" i="2"/>
  <c r="L1579" i="2"/>
  <c r="M1579" i="2" s="1"/>
  <c r="N1579" i="2" s="1"/>
  <c r="I1579" i="2"/>
  <c r="J1579" i="2" s="1"/>
  <c r="K1579" i="2" s="1"/>
  <c r="F1579" i="2"/>
  <c r="G1579" i="2" s="1"/>
  <c r="H1579" i="2" s="1"/>
  <c r="C1579" i="5" s="1"/>
  <c r="D1579" i="2"/>
  <c r="E1579" i="2" s="1"/>
  <c r="B1579" i="5" s="1"/>
  <c r="B1579" i="2"/>
  <c r="C1579" i="2" s="1"/>
  <c r="A1579" i="5" s="1"/>
  <c r="O1578" i="2"/>
  <c r="L1578" i="2"/>
  <c r="M1578" i="2" s="1"/>
  <c r="N1578" i="2" s="1"/>
  <c r="I1578" i="2"/>
  <c r="J1578" i="2" s="1"/>
  <c r="K1578" i="2" s="1"/>
  <c r="Y1578" i="2" s="1"/>
  <c r="F1578" i="2"/>
  <c r="G1578" i="2" s="1"/>
  <c r="H1578" i="2" s="1"/>
  <c r="C1578" i="5" s="1"/>
  <c r="D1578" i="2"/>
  <c r="E1578" i="2" s="1"/>
  <c r="B1578" i="5" s="1"/>
  <c r="B1578" i="2"/>
  <c r="C1578" i="2" s="1"/>
  <c r="O1577" i="2"/>
  <c r="L1577" i="2"/>
  <c r="M1577" i="2" s="1"/>
  <c r="N1577" i="2" s="1"/>
  <c r="I1577" i="2"/>
  <c r="J1577" i="2" s="1"/>
  <c r="K1577" i="2" s="1"/>
  <c r="F1577" i="2"/>
  <c r="G1577" i="2" s="1"/>
  <c r="H1577" i="2" s="1"/>
  <c r="C1577" i="5" s="1"/>
  <c r="D1577" i="2"/>
  <c r="E1577" i="2" s="1"/>
  <c r="B1577" i="5" s="1"/>
  <c r="B1577" i="2"/>
  <c r="C1577" i="2" s="1"/>
  <c r="A1577" i="5" s="1"/>
  <c r="O1576" i="2"/>
  <c r="L1576" i="2"/>
  <c r="M1576" i="2" s="1"/>
  <c r="N1576" i="2" s="1"/>
  <c r="I1576" i="2"/>
  <c r="J1576" i="2" s="1"/>
  <c r="K1576" i="2" s="1"/>
  <c r="Y1576" i="2" s="1"/>
  <c r="F1576" i="2"/>
  <c r="G1576" i="2" s="1"/>
  <c r="H1576" i="2" s="1"/>
  <c r="C1576" i="5" s="1"/>
  <c r="D1576" i="2"/>
  <c r="E1576" i="2" s="1"/>
  <c r="B1576" i="5" s="1"/>
  <c r="B1576" i="2"/>
  <c r="C1576" i="2" s="1"/>
  <c r="O1575" i="2"/>
  <c r="L1575" i="2"/>
  <c r="M1575" i="2" s="1"/>
  <c r="N1575" i="2" s="1"/>
  <c r="I1575" i="2"/>
  <c r="J1575" i="2" s="1"/>
  <c r="K1575" i="2" s="1"/>
  <c r="F1575" i="2"/>
  <c r="G1575" i="2" s="1"/>
  <c r="H1575" i="2" s="1"/>
  <c r="C1575" i="5" s="1"/>
  <c r="D1575" i="2"/>
  <c r="E1575" i="2" s="1"/>
  <c r="B1575" i="5" s="1"/>
  <c r="B1575" i="2"/>
  <c r="C1575" i="2" s="1"/>
  <c r="A1575" i="5" s="1"/>
  <c r="O1574" i="2"/>
  <c r="L1574" i="2"/>
  <c r="M1574" i="2" s="1"/>
  <c r="N1574" i="2" s="1"/>
  <c r="I1574" i="2"/>
  <c r="J1574" i="2" s="1"/>
  <c r="K1574" i="2" s="1"/>
  <c r="Y1574" i="2" s="1"/>
  <c r="F1574" i="2"/>
  <c r="G1574" i="2" s="1"/>
  <c r="H1574" i="2" s="1"/>
  <c r="C1574" i="5" s="1"/>
  <c r="D1574" i="2"/>
  <c r="E1574" i="2" s="1"/>
  <c r="B1574" i="5" s="1"/>
  <c r="B1574" i="2"/>
  <c r="C1574" i="2" s="1"/>
  <c r="O1573" i="2"/>
  <c r="L1573" i="2"/>
  <c r="M1573" i="2" s="1"/>
  <c r="N1573" i="2" s="1"/>
  <c r="I1573" i="2"/>
  <c r="J1573" i="2" s="1"/>
  <c r="K1573" i="2" s="1"/>
  <c r="F1573" i="2"/>
  <c r="G1573" i="2" s="1"/>
  <c r="H1573" i="2" s="1"/>
  <c r="C1573" i="5" s="1"/>
  <c r="D1573" i="2"/>
  <c r="E1573" i="2" s="1"/>
  <c r="B1573" i="5" s="1"/>
  <c r="B1573" i="2"/>
  <c r="C1573" i="2" s="1"/>
  <c r="A1573" i="5" s="1"/>
  <c r="O1572" i="2"/>
  <c r="L1572" i="2"/>
  <c r="M1572" i="2" s="1"/>
  <c r="N1572" i="2" s="1"/>
  <c r="I1572" i="2"/>
  <c r="J1572" i="2" s="1"/>
  <c r="K1572" i="2" s="1"/>
  <c r="Y1572" i="2" s="1"/>
  <c r="F1572" i="2"/>
  <c r="G1572" i="2" s="1"/>
  <c r="H1572" i="2" s="1"/>
  <c r="C1572" i="5" s="1"/>
  <c r="D1572" i="2"/>
  <c r="E1572" i="2" s="1"/>
  <c r="B1572" i="5" s="1"/>
  <c r="B1572" i="2"/>
  <c r="C1572" i="2" s="1"/>
  <c r="O1571" i="2"/>
  <c r="L1571" i="2"/>
  <c r="M1571" i="2" s="1"/>
  <c r="N1571" i="2" s="1"/>
  <c r="I1571" i="2"/>
  <c r="J1571" i="2" s="1"/>
  <c r="K1571" i="2" s="1"/>
  <c r="F1571" i="2"/>
  <c r="G1571" i="2" s="1"/>
  <c r="H1571" i="2" s="1"/>
  <c r="C1571" i="5" s="1"/>
  <c r="D1571" i="2"/>
  <c r="E1571" i="2" s="1"/>
  <c r="B1571" i="5" s="1"/>
  <c r="B1571" i="2"/>
  <c r="C1571" i="2" s="1"/>
  <c r="A1571" i="5" s="1"/>
  <c r="O1570" i="2"/>
  <c r="L1570" i="2"/>
  <c r="M1570" i="2" s="1"/>
  <c r="N1570" i="2" s="1"/>
  <c r="I1570" i="2"/>
  <c r="J1570" i="2" s="1"/>
  <c r="K1570" i="2" s="1"/>
  <c r="Y1570" i="2" s="1"/>
  <c r="F1570" i="2"/>
  <c r="G1570" i="2" s="1"/>
  <c r="H1570" i="2" s="1"/>
  <c r="C1570" i="5" s="1"/>
  <c r="D1570" i="2"/>
  <c r="E1570" i="2" s="1"/>
  <c r="B1570" i="5" s="1"/>
  <c r="B1570" i="2"/>
  <c r="C1570" i="2" s="1"/>
  <c r="O1569" i="2"/>
  <c r="L1569" i="2"/>
  <c r="M1569" i="2" s="1"/>
  <c r="N1569" i="2" s="1"/>
  <c r="I1569" i="2"/>
  <c r="J1569" i="2" s="1"/>
  <c r="K1569" i="2" s="1"/>
  <c r="F1569" i="2"/>
  <c r="G1569" i="2" s="1"/>
  <c r="H1569" i="2" s="1"/>
  <c r="C1569" i="5" s="1"/>
  <c r="D1569" i="2"/>
  <c r="E1569" i="2" s="1"/>
  <c r="B1569" i="5" s="1"/>
  <c r="B1569" i="2"/>
  <c r="C1569" i="2" s="1"/>
  <c r="A1569" i="5" s="1"/>
  <c r="O1568" i="2"/>
  <c r="L1568" i="2"/>
  <c r="M1568" i="2" s="1"/>
  <c r="N1568" i="2" s="1"/>
  <c r="I1568" i="2"/>
  <c r="J1568" i="2" s="1"/>
  <c r="K1568" i="2" s="1"/>
  <c r="Y1568" i="2" s="1"/>
  <c r="F1568" i="2"/>
  <c r="G1568" i="2" s="1"/>
  <c r="H1568" i="2" s="1"/>
  <c r="C1568" i="5" s="1"/>
  <c r="D1568" i="2"/>
  <c r="E1568" i="2" s="1"/>
  <c r="B1568" i="5" s="1"/>
  <c r="B1568" i="2"/>
  <c r="C1568" i="2" s="1"/>
  <c r="O1567" i="2"/>
  <c r="L1567" i="2"/>
  <c r="M1567" i="2" s="1"/>
  <c r="N1567" i="2" s="1"/>
  <c r="I1567" i="2"/>
  <c r="J1567" i="2" s="1"/>
  <c r="K1567" i="2" s="1"/>
  <c r="F1567" i="2"/>
  <c r="G1567" i="2" s="1"/>
  <c r="H1567" i="2" s="1"/>
  <c r="C1567" i="5" s="1"/>
  <c r="D1567" i="2"/>
  <c r="E1567" i="2" s="1"/>
  <c r="B1567" i="5" s="1"/>
  <c r="B1567" i="2"/>
  <c r="C1567" i="2" s="1"/>
  <c r="A1567" i="5" s="1"/>
  <c r="O1566" i="2"/>
  <c r="L1566" i="2"/>
  <c r="M1566" i="2" s="1"/>
  <c r="N1566" i="2" s="1"/>
  <c r="I1566" i="2"/>
  <c r="J1566" i="2" s="1"/>
  <c r="K1566" i="2" s="1"/>
  <c r="Y1566" i="2" s="1"/>
  <c r="F1566" i="2"/>
  <c r="G1566" i="2" s="1"/>
  <c r="H1566" i="2" s="1"/>
  <c r="C1566" i="5" s="1"/>
  <c r="D1566" i="2"/>
  <c r="E1566" i="2" s="1"/>
  <c r="B1566" i="5" s="1"/>
  <c r="B1566" i="2"/>
  <c r="C1566" i="2" s="1"/>
  <c r="O1565" i="2"/>
  <c r="L1565" i="2"/>
  <c r="M1565" i="2" s="1"/>
  <c r="N1565" i="2" s="1"/>
  <c r="I1565" i="2"/>
  <c r="J1565" i="2" s="1"/>
  <c r="K1565" i="2" s="1"/>
  <c r="F1565" i="2"/>
  <c r="G1565" i="2" s="1"/>
  <c r="H1565" i="2" s="1"/>
  <c r="C1565" i="5" s="1"/>
  <c r="D1565" i="2"/>
  <c r="E1565" i="2" s="1"/>
  <c r="B1565" i="5" s="1"/>
  <c r="B1565" i="2"/>
  <c r="C1565" i="2" s="1"/>
  <c r="A1565" i="5" s="1"/>
  <c r="O1564" i="2"/>
  <c r="L1564" i="2"/>
  <c r="M1564" i="2" s="1"/>
  <c r="N1564" i="2" s="1"/>
  <c r="I1564" i="2"/>
  <c r="J1564" i="2" s="1"/>
  <c r="K1564" i="2" s="1"/>
  <c r="Y1564" i="2" s="1"/>
  <c r="F1564" i="2"/>
  <c r="G1564" i="2" s="1"/>
  <c r="H1564" i="2" s="1"/>
  <c r="C1564" i="5" s="1"/>
  <c r="D1564" i="2"/>
  <c r="E1564" i="2" s="1"/>
  <c r="B1564" i="5" s="1"/>
  <c r="B1564" i="2"/>
  <c r="C1564" i="2" s="1"/>
  <c r="O1563" i="2"/>
  <c r="L1563" i="2"/>
  <c r="M1563" i="2" s="1"/>
  <c r="N1563" i="2" s="1"/>
  <c r="I1563" i="2"/>
  <c r="J1563" i="2" s="1"/>
  <c r="K1563" i="2" s="1"/>
  <c r="F1563" i="2"/>
  <c r="G1563" i="2" s="1"/>
  <c r="H1563" i="2" s="1"/>
  <c r="C1563" i="5" s="1"/>
  <c r="D1563" i="2"/>
  <c r="E1563" i="2" s="1"/>
  <c r="B1563" i="5" s="1"/>
  <c r="B1563" i="2"/>
  <c r="C1563" i="2" s="1"/>
  <c r="A1563" i="5" s="1"/>
  <c r="O1562" i="2"/>
  <c r="L1562" i="2"/>
  <c r="M1562" i="2" s="1"/>
  <c r="N1562" i="2" s="1"/>
  <c r="I1562" i="2"/>
  <c r="J1562" i="2" s="1"/>
  <c r="K1562" i="2" s="1"/>
  <c r="Y1562" i="2" s="1"/>
  <c r="F1562" i="2"/>
  <c r="G1562" i="2" s="1"/>
  <c r="H1562" i="2" s="1"/>
  <c r="C1562" i="5" s="1"/>
  <c r="D1562" i="2"/>
  <c r="E1562" i="2" s="1"/>
  <c r="B1562" i="5" s="1"/>
  <c r="B1562" i="2"/>
  <c r="C1562" i="2" s="1"/>
  <c r="O1561" i="2"/>
  <c r="L1561" i="2"/>
  <c r="M1561" i="2" s="1"/>
  <c r="N1561" i="2" s="1"/>
  <c r="I1561" i="2"/>
  <c r="J1561" i="2" s="1"/>
  <c r="K1561" i="2" s="1"/>
  <c r="F1561" i="2"/>
  <c r="G1561" i="2" s="1"/>
  <c r="H1561" i="2" s="1"/>
  <c r="C1561" i="5" s="1"/>
  <c r="D1561" i="2"/>
  <c r="E1561" i="2" s="1"/>
  <c r="B1561" i="5" s="1"/>
  <c r="B1561" i="2"/>
  <c r="C1561" i="2" s="1"/>
  <c r="A1561" i="5" s="1"/>
  <c r="O1560" i="2"/>
  <c r="L1560" i="2"/>
  <c r="M1560" i="2" s="1"/>
  <c r="N1560" i="2" s="1"/>
  <c r="I1560" i="2"/>
  <c r="J1560" i="2" s="1"/>
  <c r="K1560" i="2" s="1"/>
  <c r="Y1560" i="2" s="1"/>
  <c r="F1560" i="2"/>
  <c r="G1560" i="2" s="1"/>
  <c r="H1560" i="2" s="1"/>
  <c r="C1560" i="5" s="1"/>
  <c r="D1560" i="2"/>
  <c r="E1560" i="2" s="1"/>
  <c r="B1560" i="5" s="1"/>
  <c r="B1560" i="2"/>
  <c r="C1560" i="2" s="1"/>
  <c r="O1559" i="2"/>
  <c r="L1559" i="2"/>
  <c r="M1559" i="2" s="1"/>
  <c r="N1559" i="2" s="1"/>
  <c r="I1559" i="2"/>
  <c r="J1559" i="2" s="1"/>
  <c r="K1559" i="2" s="1"/>
  <c r="F1559" i="2"/>
  <c r="G1559" i="2" s="1"/>
  <c r="H1559" i="2" s="1"/>
  <c r="C1559" i="5" s="1"/>
  <c r="D1559" i="2"/>
  <c r="E1559" i="2" s="1"/>
  <c r="B1559" i="5" s="1"/>
  <c r="B1559" i="2"/>
  <c r="C1559" i="2" s="1"/>
  <c r="A1559" i="5" s="1"/>
  <c r="O1558" i="2"/>
  <c r="L1558" i="2"/>
  <c r="M1558" i="2" s="1"/>
  <c r="N1558" i="2" s="1"/>
  <c r="I1558" i="2"/>
  <c r="J1558" i="2" s="1"/>
  <c r="K1558" i="2" s="1"/>
  <c r="Y1558" i="2" s="1"/>
  <c r="F1558" i="2"/>
  <c r="G1558" i="2" s="1"/>
  <c r="H1558" i="2" s="1"/>
  <c r="C1558" i="5" s="1"/>
  <c r="D1558" i="2"/>
  <c r="E1558" i="2" s="1"/>
  <c r="B1558" i="5" s="1"/>
  <c r="B1558" i="2"/>
  <c r="C1558" i="2" s="1"/>
  <c r="O1557" i="2"/>
  <c r="L1557" i="2"/>
  <c r="M1557" i="2" s="1"/>
  <c r="N1557" i="2" s="1"/>
  <c r="I1557" i="2"/>
  <c r="J1557" i="2" s="1"/>
  <c r="K1557" i="2" s="1"/>
  <c r="F1557" i="2"/>
  <c r="G1557" i="2" s="1"/>
  <c r="H1557" i="2" s="1"/>
  <c r="C1557" i="5" s="1"/>
  <c r="D1557" i="2"/>
  <c r="E1557" i="2" s="1"/>
  <c r="B1557" i="5" s="1"/>
  <c r="B1557" i="2"/>
  <c r="C1557" i="2" s="1"/>
  <c r="A1557" i="5" s="1"/>
  <c r="O1556" i="2"/>
  <c r="L1556" i="2"/>
  <c r="M1556" i="2" s="1"/>
  <c r="N1556" i="2" s="1"/>
  <c r="I1556" i="2"/>
  <c r="J1556" i="2" s="1"/>
  <c r="K1556" i="2" s="1"/>
  <c r="Y1556" i="2" s="1"/>
  <c r="F1556" i="2"/>
  <c r="G1556" i="2" s="1"/>
  <c r="H1556" i="2" s="1"/>
  <c r="C1556" i="5" s="1"/>
  <c r="D1556" i="2"/>
  <c r="E1556" i="2" s="1"/>
  <c r="B1556" i="5" s="1"/>
  <c r="B1556" i="2"/>
  <c r="C1556" i="2" s="1"/>
  <c r="O1555" i="2"/>
  <c r="L1555" i="2"/>
  <c r="M1555" i="2" s="1"/>
  <c r="N1555" i="2" s="1"/>
  <c r="I1555" i="2"/>
  <c r="J1555" i="2" s="1"/>
  <c r="K1555" i="2" s="1"/>
  <c r="F1555" i="2"/>
  <c r="G1555" i="2" s="1"/>
  <c r="H1555" i="2" s="1"/>
  <c r="C1555" i="5" s="1"/>
  <c r="D1555" i="2"/>
  <c r="E1555" i="2" s="1"/>
  <c r="B1555" i="5" s="1"/>
  <c r="B1555" i="2"/>
  <c r="C1555" i="2" s="1"/>
  <c r="A1555" i="5" s="1"/>
  <c r="O1554" i="2"/>
  <c r="L1554" i="2"/>
  <c r="M1554" i="2" s="1"/>
  <c r="N1554" i="2" s="1"/>
  <c r="I1554" i="2"/>
  <c r="J1554" i="2" s="1"/>
  <c r="K1554" i="2" s="1"/>
  <c r="Y1554" i="2" s="1"/>
  <c r="F1554" i="2"/>
  <c r="G1554" i="2" s="1"/>
  <c r="H1554" i="2" s="1"/>
  <c r="C1554" i="5" s="1"/>
  <c r="D1554" i="2"/>
  <c r="E1554" i="2" s="1"/>
  <c r="B1554" i="5" s="1"/>
  <c r="B1554" i="2"/>
  <c r="C1554" i="2" s="1"/>
  <c r="O1553" i="2"/>
  <c r="L1553" i="2"/>
  <c r="M1553" i="2" s="1"/>
  <c r="N1553" i="2" s="1"/>
  <c r="I1553" i="2"/>
  <c r="J1553" i="2" s="1"/>
  <c r="K1553" i="2" s="1"/>
  <c r="F1553" i="2"/>
  <c r="G1553" i="2" s="1"/>
  <c r="H1553" i="2" s="1"/>
  <c r="C1553" i="5" s="1"/>
  <c r="D1553" i="2"/>
  <c r="E1553" i="2" s="1"/>
  <c r="B1553" i="5" s="1"/>
  <c r="B1553" i="2"/>
  <c r="C1553" i="2" s="1"/>
  <c r="A1553" i="5" s="1"/>
  <c r="O1552" i="2"/>
  <c r="L1552" i="2"/>
  <c r="M1552" i="2" s="1"/>
  <c r="N1552" i="2" s="1"/>
  <c r="I1552" i="2"/>
  <c r="J1552" i="2" s="1"/>
  <c r="K1552" i="2" s="1"/>
  <c r="Y1552" i="2" s="1"/>
  <c r="F1552" i="2"/>
  <c r="G1552" i="2" s="1"/>
  <c r="H1552" i="2" s="1"/>
  <c r="C1552" i="5" s="1"/>
  <c r="D1552" i="2"/>
  <c r="E1552" i="2" s="1"/>
  <c r="B1552" i="5" s="1"/>
  <c r="B1552" i="2"/>
  <c r="C1552" i="2" s="1"/>
  <c r="O1551" i="2"/>
  <c r="L1551" i="2"/>
  <c r="M1551" i="2" s="1"/>
  <c r="N1551" i="2" s="1"/>
  <c r="I1551" i="2"/>
  <c r="J1551" i="2" s="1"/>
  <c r="K1551" i="2" s="1"/>
  <c r="F1551" i="2"/>
  <c r="G1551" i="2" s="1"/>
  <c r="H1551" i="2" s="1"/>
  <c r="C1551" i="5" s="1"/>
  <c r="D1551" i="2"/>
  <c r="E1551" i="2" s="1"/>
  <c r="B1551" i="5" s="1"/>
  <c r="B1551" i="2"/>
  <c r="C1551" i="2" s="1"/>
  <c r="A1551" i="5" s="1"/>
  <c r="O1550" i="2"/>
  <c r="L1550" i="2"/>
  <c r="M1550" i="2" s="1"/>
  <c r="N1550" i="2" s="1"/>
  <c r="I1550" i="2"/>
  <c r="J1550" i="2" s="1"/>
  <c r="K1550" i="2" s="1"/>
  <c r="Y1550" i="2" s="1"/>
  <c r="F1550" i="2"/>
  <c r="G1550" i="2" s="1"/>
  <c r="H1550" i="2" s="1"/>
  <c r="C1550" i="5" s="1"/>
  <c r="D1550" i="2"/>
  <c r="E1550" i="2" s="1"/>
  <c r="B1550" i="5" s="1"/>
  <c r="B1550" i="2"/>
  <c r="C1550" i="2" s="1"/>
  <c r="O1549" i="2"/>
  <c r="L1549" i="2"/>
  <c r="M1549" i="2" s="1"/>
  <c r="N1549" i="2" s="1"/>
  <c r="I1549" i="2"/>
  <c r="J1549" i="2" s="1"/>
  <c r="K1549" i="2" s="1"/>
  <c r="F1549" i="2"/>
  <c r="G1549" i="2" s="1"/>
  <c r="H1549" i="2" s="1"/>
  <c r="C1549" i="5" s="1"/>
  <c r="D1549" i="2"/>
  <c r="E1549" i="2" s="1"/>
  <c r="B1549" i="5" s="1"/>
  <c r="B1549" i="2"/>
  <c r="C1549" i="2" s="1"/>
  <c r="A1549" i="5" s="1"/>
  <c r="O1548" i="2"/>
  <c r="L1548" i="2"/>
  <c r="M1548" i="2" s="1"/>
  <c r="N1548" i="2" s="1"/>
  <c r="I1548" i="2"/>
  <c r="J1548" i="2" s="1"/>
  <c r="K1548" i="2" s="1"/>
  <c r="Y1548" i="2" s="1"/>
  <c r="F1548" i="2"/>
  <c r="G1548" i="2" s="1"/>
  <c r="H1548" i="2" s="1"/>
  <c r="C1548" i="5" s="1"/>
  <c r="D1548" i="2"/>
  <c r="E1548" i="2" s="1"/>
  <c r="B1548" i="5" s="1"/>
  <c r="B1548" i="2"/>
  <c r="C1548" i="2" s="1"/>
  <c r="O1547" i="2"/>
  <c r="L1547" i="2"/>
  <c r="M1547" i="2" s="1"/>
  <c r="N1547" i="2" s="1"/>
  <c r="I1547" i="2"/>
  <c r="J1547" i="2" s="1"/>
  <c r="K1547" i="2" s="1"/>
  <c r="F1547" i="2"/>
  <c r="G1547" i="2" s="1"/>
  <c r="H1547" i="2" s="1"/>
  <c r="C1547" i="5" s="1"/>
  <c r="D1547" i="2"/>
  <c r="E1547" i="2" s="1"/>
  <c r="B1547" i="5" s="1"/>
  <c r="B1547" i="2"/>
  <c r="C1547" i="2" s="1"/>
  <c r="A1547" i="5" s="1"/>
  <c r="O1546" i="2"/>
  <c r="L1546" i="2"/>
  <c r="M1546" i="2" s="1"/>
  <c r="N1546" i="2" s="1"/>
  <c r="I1546" i="2"/>
  <c r="J1546" i="2" s="1"/>
  <c r="K1546" i="2" s="1"/>
  <c r="Y1546" i="2" s="1"/>
  <c r="F1546" i="2"/>
  <c r="G1546" i="2" s="1"/>
  <c r="H1546" i="2" s="1"/>
  <c r="C1546" i="5" s="1"/>
  <c r="D1546" i="2"/>
  <c r="E1546" i="2" s="1"/>
  <c r="B1546" i="5" s="1"/>
  <c r="B1546" i="2"/>
  <c r="C1546" i="2" s="1"/>
  <c r="A1546" i="5" s="1"/>
  <c r="O1545" i="2"/>
  <c r="L1545" i="2"/>
  <c r="M1545" i="2" s="1"/>
  <c r="N1545" i="2" s="1"/>
  <c r="I1545" i="2"/>
  <c r="J1545" i="2" s="1"/>
  <c r="K1545" i="2" s="1"/>
  <c r="F1545" i="2"/>
  <c r="G1545" i="2" s="1"/>
  <c r="H1545" i="2" s="1"/>
  <c r="C1545" i="5" s="1"/>
  <c r="D1545" i="2"/>
  <c r="E1545" i="2" s="1"/>
  <c r="B1545" i="5" s="1"/>
  <c r="B1545" i="2"/>
  <c r="C1545" i="2" s="1"/>
  <c r="A1545" i="5" s="1"/>
  <c r="O1544" i="2"/>
  <c r="L1544" i="2"/>
  <c r="M1544" i="2" s="1"/>
  <c r="N1544" i="2" s="1"/>
  <c r="I1544" i="2"/>
  <c r="J1544" i="2" s="1"/>
  <c r="K1544" i="2" s="1"/>
  <c r="Y1544" i="2" s="1"/>
  <c r="F1544" i="2"/>
  <c r="G1544" i="2" s="1"/>
  <c r="H1544" i="2" s="1"/>
  <c r="C1544" i="5" s="1"/>
  <c r="D1544" i="2"/>
  <c r="E1544" i="2" s="1"/>
  <c r="B1544" i="5" s="1"/>
  <c r="B1544" i="2"/>
  <c r="C1544" i="2" s="1"/>
  <c r="A1544" i="5" s="1"/>
  <c r="O1543" i="2"/>
  <c r="L1543" i="2"/>
  <c r="M1543" i="2" s="1"/>
  <c r="N1543" i="2" s="1"/>
  <c r="I1543" i="2"/>
  <c r="J1543" i="2" s="1"/>
  <c r="K1543" i="2" s="1"/>
  <c r="F1543" i="2"/>
  <c r="G1543" i="2" s="1"/>
  <c r="H1543" i="2" s="1"/>
  <c r="C1543" i="5" s="1"/>
  <c r="D1543" i="2"/>
  <c r="E1543" i="2" s="1"/>
  <c r="B1543" i="5" s="1"/>
  <c r="B1543" i="2"/>
  <c r="C1543" i="2" s="1"/>
  <c r="A1543" i="5" s="1"/>
  <c r="O1542" i="2"/>
  <c r="L1542" i="2"/>
  <c r="M1542" i="2" s="1"/>
  <c r="N1542" i="2" s="1"/>
  <c r="I1542" i="2"/>
  <c r="J1542" i="2" s="1"/>
  <c r="K1542" i="2" s="1"/>
  <c r="F1542" i="2"/>
  <c r="G1542" i="2" s="1"/>
  <c r="H1542" i="2" s="1"/>
  <c r="C1542" i="5" s="1"/>
  <c r="D1542" i="2"/>
  <c r="E1542" i="2" s="1"/>
  <c r="B1542" i="5" s="1"/>
  <c r="B1542" i="2"/>
  <c r="C1542" i="2" s="1"/>
  <c r="O1541" i="2"/>
  <c r="L1541" i="2"/>
  <c r="M1541" i="2" s="1"/>
  <c r="N1541" i="2" s="1"/>
  <c r="I1541" i="2"/>
  <c r="J1541" i="2" s="1"/>
  <c r="K1541" i="2" s="1"/>
  <c r="F1541" i="2"/>
  <c r="G1541" i="2" s="1"/>
  <c r="H1541" i="2" s="1"/>
  <c r="C1541" i="5" s="1"/>
  <c r="D1541" i="2"/>
  <c r="E1541" i="2" s="1"/>
  <c r="B1541" i="5" s="1"/>
  <c r="B1541" i="2"/>
  <c r="C1541" i="2" s="1"/>
  <c r="A1541" i="5" s="1"/>
  <c r="O1540" i="2"/>
  <c r="L1540" i="2"/>
  <c r="M1540" i="2" s="1"/>
  <c r="N1540" i="2" s="1"/>
  <c r="I1540" i="2"/>
  <c r="J1540" i="2" s="1"/>
  <c r="K1540" i="2" s="1"/>
  <c r="Y1540" i="2" s="1"/>
  <c r="F1540" i="2"/>
  <c r="G1540" i="2" s="1"/>
  <c r="H1540" i="2" s="1"/>
  <c r="C1540" i="5" s="1"/>
  <c r="D1540" i="2"/>
  <c r="E1540" i="2" s="1"/>
  <c r="B1540" i="5" s="1"/>
  <c r="B1540" i="2"/>
  <c r="C1540" i="2" s="1"/>
  <c r="O1539" i="2"/>
  <c r="L1539" i="2"/>
  <c r="M1539" i="2" s="1"/>
  <c r="N1539" i="2" s="1"/>
  <c r="I1539" i="2"/>
  <c r="J1539" i="2" s="1"/>
  <c r="K1539" i="2" s="1"/>
  <c r="F1539" i="2"/>
  <c r="G1539" i="2" s="1"/>
  <c r="H1539" i="2" s="1"/>
  <c r="C1539" i="5" s="1"/>
  <c r="D1539" i="2"/>
  <c r="E1539" i="2" s="1"/>
  <c r="B1539" i="5" s="1"/>
  <c r="B1539" i="2"/>
  <c r="C1539" i="2" s="1"/>
  <c r="A1539" i="5" s="1"/>
  <c r="O1538" i="2"/>
  <c r="L1538" i="2"/>
  <c r="M1538" i="2" s="1"/>
  <c r="N1538" i="2" s="1"/>
  <c r="I1538" i="2"/>
  <c r="J1538" i="2" s="1"/>
  <c r="K1538" i="2" s="1"/>
  <c r="F1538" i="2"/>
  <c r="G1538" i="2" s="1"/>
  <c r="H1538" i="2" s="1"/>
  <c r="C1538" i="5" s="1"/>
  <c r="D1538" i="2"/>
  <c r="E1538" i="2" s="1"/>
  <c r="B1538" i="5" s="1"/>
  <c r="B1538" i="2"/>
  <c r="C1538" i="2" s="1"/>
  <c r="O1537" i="2"/>
  <c r="L1537" i="2"/>
  <c r="M1537" i="2" s="1"/>
  <c r="N1537" i="2" s="1"/>
  <c r="I1537" i="2"/>
  <c r="J1537" i="2" s="1"/>
  <c r="K1537" i="2" s="1"/>
  <c r="F1537" i="2"/>
  <c r="G1537" i="2" s="1"/>
  <c r="H1537" i="2" s="1"/>
  <c r="C1537" i="5" s="1"/>
  <c r="D1537" i="2"/>
  <c r="E1537" i="2" s="1"/>
  <c r="B1537" i="5" s="1"/>
  <c r="B1537" i="2"/>
  <c r="C1537" i="2" s="1"/>
  <c r="A1537" i="5" s="1"/>
  <c r="O1536" i="2"/>
  <c r="L1536" i="2"/>
  <c r="M1536" i="2" s="1"/>
  <c r="N1536" i="2" s="1"/>
  <c r="I1536" i="2"/>
  <c r="J1536" i="2" s="1"/>
  <c r="K1536" i="2" s="1"/>
  <c r="Y1536" i="2" s="1"/>
  <c r="F1536" i="2"/>
  <c r="G1536" i="2" s="1"/>
  <c r="H1536" i="2" s="1"/>
  <c r="C1536" i="5" s="1"/>
  <c r="D1536" i="2"/>
  <c r="E1536" i="2" s="1"/>
  <c r="B1536" i="5" s="1"/>
  <c r="B1536" i="2"/>
  <c r="C1536" i="2" s="1"/>
  <c r="O1535" i="2"/>
  <c r="L1535" i="2"/>
  <c r="M1535" i="2" s="1"/>
  <c r="N1535" i="2" s="1"/>
  <c r="I1535" i="2"/>
  <c r="J1535" i="2" s="1"/>
  <c r="K1535" i="2" s="1"/>
  <c r="F1535" i="2"/>
  <c r="G1535" i="2" s="1"/>
  <c r="H1535" i="2" s="1"/>
  <c r="C1535" i="5" s="1"/>
  <c r="D1535" i="2"/>
  <c r="E1535" i="2" s="1"/>
  <c r="B1535" i="5" s="1"/>
  <c r="B1535" i="2"/>
  <c r="C1535" i="2" s="1"/>
  <c r="A1535" i="5" s="1"/>
  <c r="O1534" i="2"/>
  <c r="L1534" i="2"/>
  <c r="M1534" i="2" s="1"/>
  <c r="N1534" i="2" s="1"/>
  <c r="I1534" i="2"/>
  <c r="J1534" i="2" s="1"/>
  <c r="K1534" i="2" s="1"/>
  <c r="F1534" i="2"/>
  <c r="G1534" i="2" s="1"/>
  <c r="H1534" i="2" s="1"/>
  <c r="C1534" i="5" s="1"/>
  <c r="D1534" i="2"/>
  <c r="E1534" i="2" s="1"/>
  <c r="B1534" i="5" s="1"/>
  <c r="B1534" i="2"/>
  <c r="C1534" i="2" s="1"/>
  <c r="O1533" i="2"/>
  <c r="L1533" i="2"/>
  <c r="M1533" i="2" s="1"/>
  <c r="N1533" i="2" s="1"/>
  <c r="I1533" i="2"/>
  <c r="J1533" i="2" s="1"/>
  <c r="K1533" i="2" s="1"/>
  <c r="F1533" i="2"/>
  <c r="G1533" i="2" s="1"/>
  <c r="H1533" i="2" s="1"/>
  <c r="C1533" i="5" s="1"/>
  <c r="D1533" i="2"/>
  <c r="E1533" i="2" s="1"/>
  <c r="B1533" i="5" s="1"/>
  <c r="B1533" i="2"/>
  <c r="C1533" i="2" s="1"/>
  <c r="A1533" i="5" s="1"/>
  <c r="O1532" i="2"/>
  <c r="L1532" i="2"/>
  <c r="M1532" i="2" s="1"/>
  <c r="N1532" i="2" s="1"/>
  <c r="I1532" i="2"/>
  <c r="J1532" i="2" s="1"/>
  <c r="K1532" i="2" s="1"/>
  <c r="Y1532" i="2" s="1"/>
  <c r="F1532" i="2"/>
  <c r="G1532" i="2" s="1"/>
  <c r="H1532" i="2" s="1"/>
  <c r="C1532" i="5" s="1"/>
  <c r="D1532" i="2"/>
  <c r="E1532" i="2" s="1"/>
  <c r="B1532" i="5" s="1"/>
  <c r="B1532" i="2"/>
  <c r="C1532" i="2" s="1"/>
  <c r="O1531" i="2"/>
  <c r="L1531" i="2"/>
  <c r="M1531" i="2" s="1"/>
  <c r="N1531" i="2" s="1"/>
  <c r="I1531" i="2"/>
  <c r="J1531" i="2" s="1"/>
  <c r="K1531" i="2" s="1"/>
  <c r="F1531" i="2"/>
  <c r="G1531" i="2" s="1"/>
  <c r="H1531" i="2" s="1"/>
  <c r="C1531" i="5" s="1"/>
  <c r="D1531" i="2"/>
  <c r="E1531" i="2" s="1"/>
  <c r="B1531" i="5" s="1"/>
  <c r="B1531" i="2"/>
  <c r="C1531" i="2" s="1"/>
  <c r="A1531" i="5" s="1"/>
  <c r="O1530" i="2"/>
  <c r="L1530" i="2"/>
  <c r="M1530" i="2" s="1"/>
  <c r="N1530" i="2" s="1"/>
  <c r="I1530" i="2"/>
  <c r="J1530" i="2" s="1"/>
  <c r="K1530" i="2" s="1"/>
  <c r="F1530" i="2"/>
  <c r="G1530" i="2" s="1"/>
  <c r="H1530" i="2" s="1"/>
  <c r="C1530" i="5" s="1"/>
  <c r="D1530" i="2"/>
  <c r="E1530" i="2" s="1"/>
  <c r="B1530" i="5" s="1"/>
  <c r="B1530" i="2"/>
  <c r="C1530" i="2" s="1"/>
  <c r="O1529" i="2"/>
  <c r="L1529" i="2"/>
  <c r="M1529" i="2" s="1"/>
  <c r="N1529" i="2" s="1"/>
  <c r="I1529" i="2"/>
  <c r="J1529" i="2" s="1"/>
  <c r="K1529" i="2" s="1"/>
  <c r="F1529" i="2"/>
  <c r="G1529" i="2" s="1"/>
  <c r="H1529" i="2" s="1"/>
  <c r="C1529" i="5" s="1"/>
  <c r="D1529" i="2"/>
  <c r="E1529" i="2" s="1"/>
  <c r="B1529" i="5" s="1"/>
  <c r="B1529" i="2"/>
  <c r="C1529" i="2" s="1"/>
  <c r="A1529" i="5" s="1"/>
  <c r="O1528" i="2"/>
  <c r="L1528" i="2"/>
  <c r="M1528" i="2" s="1"/>
  <c r="N1528" i="2" s="1"/>
  <c r="I1528" i="2"/>
  <c r="J1528" i="2" s="1"/>
  <c r="K1528" i="2" s="1"/>
  <c r="Y1528" i="2" s="1"/>
  <c r="F1528" i="2"/>
  <c r="G1528" i="2" s="1"/>
  <c r="H1528" i="2" s="1"/>
  <c r="C1528" i="5" s="1"/>
  <c r="D1528" i="2"/>
  <c r="E1528" i="2" s="1"/>
  <c r="B1528" i="5" s="1"/>
  <c r="B1528" i="2"/>
  <c r="C1528" i="2" s="1"/>
  <c r="O1527" i="2"/>
  <c r="L1527" i="2"/>
  <c r="M1527" i="2" s="1"/>
  <c r="N1527" i="2" s="1"/>
  <c r="I1527" i="2"/>
  <c r="J1527" i="2" s="1"/>
  <c r="K1527" i="2" s="1"/>
  <c r="F1527" i="2"/>
  <c r="G1527" i="2" s="1"/>
  <c r="H1527" i="2" s="1"/>
  <c r="C1527" i="5" s="1"/>
  <c r="D1527" i="2"/>
  <c r="E1527" i="2" s="1"/>
  <c r="B1527" i="5" s="1"/>
  <c r="B1527" i="2"/>
  <c r="C1527" i="2" s="1"/>
  <c r="A1527" i="5" s="1"/>
  <c r="O1526" i="2"/>
  <c r="L1526" i="2"/>
  <c r="M1526" i="2" s="1"/>
  <c r="N1526" i="2" s="1"/>
  <c r="I1526" i="2"/>
  <c r="J1526" i="2" s="1"/>
  <c r="K1526" i="2" s="1"/>
  <c r="F1526" i="2"/>
  <c r="G1526" i="2" s="1"/>
  <c r="H1526" i="2" s="1"/>
  <c r="C1526" i="5" s="1"/>
  <c r="D1526" i="2"/>
  <c r="E1526" i="2" s="1"/>
  <c r="B1526" i="5" s="1"/>
  <c r="B1526" i="2"/>
  <c r="C1526" i="2" s="1"/>
  <c r="O1525" i="2"/>
  <c r="L1525" i="2"/>
  <c r="M1525" i="2" s="1"/>
  <c r="N1525" i="2" s="1"/>
  <c r="I1525" i="2"/>
  <c r="J1525" i="2" s="1"/>
  <c r="K1525" i="2" s="1"/>
  <c r="F1525" i="2"/>
  <c r="G1525" i="2" s="1"/>
  <c r="H1525" i="2" s="1"/>
  <c r="C1525" i="5" s="1"/>
  <c r="D1525" i="2"/>
  <c r="E1525" i="2" s="1"/>
  <c r="B1525" i="5" s="1"/>
  <c r="B1525" i="2"/>
  <c r="C1525" i="2" s="1"/>
  <c r="A1525" i="5" s="1"/>
  <c r="O1524" i="2"/>
  <c r="L1524" i="2"/>
  <c r="M1524" i="2" s="1"/>
  <c r="N1524" i="2" s="1"/>
  <c r="I1524" i="2"/>
  <c r="J1524" i="2" s="1"/>
  <c r="K1524" i="2" s="1"/>
  <c r="Y1524" i="2" s="1"/>
  <c r="F1524" i="2"/>
  <c r="G1524" i="2" s="1"/>
  <c r="H1524" i="2" s="1"/>
  <c r="C1524" i="5" s="1"/>
  <c r="D1524" i="2"/>
  <c r="E1524" i="2" s="1"/>
  <c r="B1524" i="5" s="1"/>
  <c r="B1524" i="2"/>
  <c r="C1524" i="2" s="1"/>
  <c r="A1524" i="5" s="1"/>
  <c r="O1523" i="2"/>
  <c r="L1523" i="2"/>
  <c r="M1523" i="2" s="1"/>
  <c r="N1523" i="2" s="1"/>
  <c r="I1523" i="2"/>
  <c r="J1523" i="2" s="1"/>
  <c r="K1523" i="2" s="1"/>
  <c r="F1523" i="2"/>
  <c r="G1523" i="2" s="1"/>
  <c r="H1523" i="2" s="1"/>
  <c r="C1523" i="5" s="1"/>
  <c r="D1523" i="2"/>
  <c r="E1523" i="2" s="1"/>
  <c r="B1523" i="5" s="1"/>
  <c r="B1523" i="2"/>
  <c r="C1523" i="2" s="1"/>
  <c r="A1523" i="5" s="1"/>
  <c r="O1522" i="2"/>
  <c r="L1522" i="2"/>
  <c r="M1522" i="2" s="1"/>
  <c r="N1522" i="2" s="1"/>
  <c r="I1522" i="2"/>
  <c r="J1522" i="2" s="1"/>
  <c r="K1522" i="2" s="1"/>
  <c r="F1522" i="2"/>
  <c r="G1522" i="2" s="1"/>
  <c r="H1522" i="2" s="1"/>
  <c r="C1522" i="5" s="1"/>
  <c r="D1522" i="2"/>
  <c r="E1522" i="2" s="1"/>
  <c r="B1522" i="5" s="1"/>
  <c r="B1522" i="2"/>
  <c r="C1522" i="2" s="1"/>
  <c r="O1521" i="2"/>
  <c r="L1521" i="2"/>
  <c r="M1521" i="2" s="1"/>
  <c r="N1521" i="2" s="1"/>
  <c r="I1521" i="2"/>
  <c r="J1521" i="2" s="1"/>
  <c r="K1521" i="2" s="1"/>
  <c r="F1521" i="2"/>
  <c r="G1521" i="2" s="1"/>
  <c r="H1521" i="2" s="1"/>
  <c r="C1521" i="5" s="1"/>
  <c r="D1521" i="2"/>
  <c r="E1521" i="2" s="1"/>
  <c r="B1521" i="5" s="1"/>
  <c r="B1521" i="2"/>
  <c r="C1521" i="2" s="1"/>
  <c r="A1521" i="5" s="1"/>
  <c r="O1520" i="2"/>
  <c r="L1520" i="2"/>
  <c r="M1520" i="2" s="1"/>
  <c r="N1520" i="2" s="1"/>
  <c r="I1520" i="2"/>
  <c r="J1520" i="2" s="1"/>
  <c r="K1520" i="2" s="1"/>
  <c r="Y1520" i="2" s="1"/>
  <c r="F1520" i="2"/>
  <c r="G1520" i="2" s="1"/>
  <c r="H1520" i="2" s="1"/>
  <c r="C1520" i="5" s="1"/>
  <c r="D1520" i="2"/>
  <c r="E1520" i="2" s="1"/>
  <c r="B1520" i="5" s="1"/>
  <c r="B1520" i="2"/>
  <c r="C1520" i="2" s="1"/>
  <c r="A1520" i="5" s="1"/>
  <c r="O1519" i="2"/>
  <c r="L1519" i="2"/>
  <c r="M1519" i="2" s="1"/>
  <c r="N1519" i="2" s="1"/>
  <c r="I1519" i="2"/>
  <c r="J1519" i="2" s="1"/>
  <c r="K1519" i="2" s="1"/>
  <c r="F1519" i="2"/>
  <c r="G1519" i="2" s="1"/>
  <c r="H1519" i="2" s="1"/>
  <c r="C1519" i="5" s="1"/>
  <c r="D1519" i="2"/>
  <c r="E1519" i="2" s="1"/>
  <c r="B1519" i="5" s="1"/>
  <c r="B1519" i="2"/>
  <c r="C1519" i="2" s="1"/>
  <c r="A1519" i="5" s="1"/>
  <c r="O1518" i="2"/>
  <c r="L1518" i="2"/>
  <c r="M1518" i="2" s="1"/>
  <c r="N1518" i="2" s="1"/>
  <c r="I1518" i="2"/>
  <c r="J1518" i="2" s="1"/>
  <c r="K1518" i="2" s="1"/>
  <c r="F1518" i="2"/>
  <c r="G1518" i="2" s="1"/>
  <c r="H1518" i="2" s="1"/>
  <c r="C1518" i="5" s="1"/>
  <c r="D1518" i="2"/>
  <c r="E1518" i="2" s="1"/>
  <c r="B1518" i="5" s="1"/>
  <c r="B1518" i="2"/>
  <c r="C1518" i="2" s="1"/>
  <c r="O1517" i="2"/>
  <c r="L1517" i="2"/>
  <c r="M1517" i="2" s="1"/>
  <c r="N1517" i="2" s="1"/>
  <c r="I1517" i="2"/>
  <c r="J1517" i="2" s="1"/>
  <c r="K1517" i="2" s="1"/>
  <c r="F1517" i="2"/>
  <c r="G1517" i="2" s="1"/>
  <c r="H1517" i="2" s="1"/>
  <c r="C1517" i="5" s="1"/>
  <c r="D1517" i="2"/>
  <c r="E1517" i="2" s="1"/>
  <c r="B1517" i="5" s="1"/>
  <c r="B1517" i="2"/>
  <c r="C1517" i="2" s="1"/>
  <c r="A1517" i="5" s="1"/>
  <c r="O1516" i="2"/>
  <c r="L1516" i="2"/>
  <c r="M1516" i="2" s="1"/>
  <c r="N1516" i="2" s="1"/>
  <c r="I1516" i="2"/>
  <c r="J1516" i="2" s="1"/>
  <c r="K1516" i="2" s="1"/>
  <c r="Y1516" i="2" s="1"/>
  <c r="F1516" i="2"/>
  <c r="G1516" i="2" s="1"/>
  <c r="H1516" i="2" s="1"/>
  <c r="C1516" i="5" s="1"/>
  <c r="D1516" i="2"/>
  <c r="E1516" i="2" s="1"/>
  <c r="B1516" i="5" s="1"/>
  <c r="B1516" i="2"/>
  <c r="C1516" i="2" s="1"/>
  <c r="O1515" i="2"/>
  <c r="L1515" i="2"/>
  <c r="M1515" i="2" s="1"/>
  <c r="N1515" i="2" s="1"/>
  <c r="I1515" i="2"/>
  <c r="J1515" i="2" s="1"/>
  <c r="K1515" i="2" s="1"/>
  <c r="F1515" i="2"/>
  <c r="G1515" i="2" s="1"/>
  <c r="H1515" i="2" s="1"/>
  <c r="C1515" i="5" s="1"/>
  <c r="D1515" i="2"/>
  <c r="E1515" i="2" s="1"/>
  <c r="B1515" i="5" s="1"/>
  <c r="B1515" i="2"/>
  <c r="C1515" i="2" s="1"/>
  <c r="A1515" i="5" s="1"/>
  <c r="O1514" i="2"/>
  <c r="L1514" i="2"/>
  <c r="M1514" i="2" s="1"/>
  <c r="N1514" i="2" s="1"/>
  <c r="I1514" i="2"/>
  <c r="J1514" i="2" s="1"/>
  <c r="K1514" i="2" s="1"/>
  <c r="F1514" i="2"/>
  <c r="G1514" i="2" s="1"/>
  <c r="H1514" i="2" s="1"/>
  <c r="C1514" i="5" s="1"/>
  <c r="D1514" i="2"/>
  <c r="E1514" i="2" s="1"/>
  <c r="B1514" i="5" s="1"/>
  <c r="B1514" i="2"/>
  <c r="C1514" i="2" s="1"/>
  <c r="O1513" i="2"/>
  <c r="L1513" i="2"/>
  <c r="M1513" i="2" s="1"/>
  <c r="N1513" i="2" s="1"/>
  <c r="I1513" i="2"/>
  <c r="J1513" i="2" s="1"/>
  <c r="K1513" i="2" s="1"/>
  <c r="F1513" i="2"/>
  <c r="G1513" i="2" s="1"/>
  <c r="H1513" i="2" s="1"/>
  <c r="C1513" i="5" s="1"/>
  <c r="D1513" i="2"/>
  <c r="E1513" i="2" s="1"/>
  <c r="B1513" i="5" s="1"/>
  <c r="B1513" i="2"/>
  <c r="C1513" i="2" s="1"/>
  <c r="A1513" i="5" s="1"/>
  <c r="O1512" i="2"/>
  <c r="L1512" i="2"/>
  <c r="M1512" i="2" s="1"/>
  <c r="N1512" i="2" s="1"/>
  <c r="I1512" i="2"/>
  <c r="J1512" i="2" s="1"/>
  <c r="K1512" i="2" s="1"/>
  <c r="Y1512" i="2" s="1"/>
  <c r="F1512" i="2"/>
  <c r="G1512" i="2" s="1"/>
  <c r="H1512" i="2" s="1"/>
  <c r="C1512" i="5" s="1"/>
  <c r="D1512" i="2"/>
  <c r="E1512" i="2" s="1"/>
  <c r="B1512" i="5" s="1"/>
  <c r="B1512" i="2"/>
  <c r="C1512" i="2" s="1"/>
  <c r="A1512" i="5" s="1"/>
  <c r="O1511" i="2"/>
  <c r="L1511" i="2"/>
  <c r="M1511" i="2" s="1"/>
  <c r="N1511" i="2" s="1"/>
  <c r="I1511" i="2"/>
  <c r="J1511" i="2" s="1"/>
  <c r="K1511" i="2" s="1"/>
  <c r="F1511" i="2"/>
  <c r="G1511" i="2" s="1"/>
  <c r="H1511" i="2" s="1"/>
  <c r="C1511" i="5" s="1"/>
  <c r="D1511" i="2"/>
  <c r="E1511" i="2" s="1"/>
  <c r="B1511" i="5" s="1"/>
  <c r="B1511" i="2"/>
  <c r="C1511" i="2" s="1"/>
  <c r="A1511" i="5" s="1"/>
  <c r="O1510" i="2"/>
  <c r="L1510" i="2"/>
  <c r="M1510" i="2" s="1"/>
  <c r="N1510" i="2" s="1"/>
  <c r="I1510" i="2"/>
  <c r="J1510" i="2" s="1"/>
  <c r="K1510" i="2" s="1"/>
  <c r="F1510" i="2"/>
  <c r="G1510" i="2" s="1"/>
  <c r="H1510" i="2" s="1"/>
  <c r="C1510" i="5" s="1"/>
  <c r="D1510" i="2"/>
  <c r="E1510" i="2" s="1"/>
  <c r="B1510" i="5" s="1"/>
  <c r="B1510" i="2"/>
  <c r="C1510" i="2" s="1"/>
  <c r="O1509" i="2"/>
  <c r="L1509" i="2"/>
  <c r="M1509" i="2" s="1"/>
  <c r="N1509" i="2" s="1"/>
  <c r="I1509" i="2"/>
  <c r="J1509" i="2" s="1"/>
  <c r="K1509" i="2" s="1"/>
  <c r="F1509" i="2"/>
  <c r="G1509" i="2" s="1"/>
  <c r="H1509" i="2" s="1"/>
  <c r="C1509" i="5" s="1"/>
  <c r="D1509" i="2"/>
  <c r="E1509" i="2" s="1"/>
  <c r="B1509" i="5" s="1"/>
  <c r="B1509" i="2"/>
  <c r="C1509" i="2" s="1"/>
  <c r="A1509" i="5" s="1"/>
  <c r="O1508" i="2"/>
  <c r="L1508" i="2"/>
  <c r="M1508" i="2" s="1"/>
  <c r="N1508" i="2" s="1"/>
  <c r="I1508" i="2"/>
  <c r="J1508" i="2" s="1"/>
  <c r="K1508" i="2" s="1"/>
  <c r="Y1508" i="2" s="1"/>
  <c r="F1508" i="2"/>
  <c r="G1508" i="2" s="1"/>
  <c r="H1508" i="2" s="1"/>
  <c r="C1508" i="5" s="1"/>
  <c r="D1508" i="2"/>
  <c r="E1508" i="2" s="1"/>
  <c r="B1508" i="5" s="1"/>
  <c r="B1508" i="2"/>
  <c r="C1508" i="2" s="1"/>
  <c r="O1507" i="2"/>
  <c r="L1507" i="2"/>
  <c r="M1507" i="2" s="1"/>
  <c r="N1507" i="2" s="1"/>
  <c r="I1507" i="2"/>
  <c r="J1507" i="2" s="1"/>
  <c r="K1507" i="2" s="1"/>
  <c r="F1507" i="2"/>
  <c r="G1507" i="2" s="1"/>
  <c r="H1507" i="2" s="1"/>
  <c r="C1507" i="5" s="1"/>
  <c r="D1507" i="2"/>
  <c r="E1507" i="2" s="1"/>
  <c r="B1507" i="5" s="1"/>
  <c r="B1507" i="2"/>
  <c r="C1507" i="2" s="1"/>
  <c r="A1507" i="5" s="1"/>
  <c r="O1506" i="2"/>
  <c r="L1506" i="2"/>
  <c r="M1506" i="2" s="1"/>
  <c r="N1506" i="2" s="1"/>
  <c r="I1506" i="2"/>
  <c r="J1506" i="2" s="1"/>
  <c r="K1506" i="2" s="1"/>
  <c r="F1506" i="2"/>
  <c r="G1506" i="2" s="1"/>
  <c r="H1506" i="2" s="1"/>
  <c r="C1506" i="5" s="1"/>
  <c r="D1506" i="2"/>
  <c r="E1506" i="2" s="1"/>
  <c r="B1506" i="5" s="1"/>
  <c r="B1506" i="2"/>
  <c r="C1506" i="2" s="1"/>
  <c r="A1506" i="5" s="1"/>
  <c r="O1505" i="2"/>
  <c r="L1505" i="2"/>
  <c r="M1505" i="2" s="1"/>
  <c r="N1505" i="2" s="1"/>
  <c r="I1505" i="2"/>
  <c r="J1505" i="2" s="1"/>
  <c r="K1505" i="2" s="1"/>
  <c r="F1505" i="2"/>
  <c r="G1505" i="2" s="1"/>
  <c r="H1505" i="2" s="1"/>
  <c r="C1505" i="5" s="1"/>
  <c r="D1505" i="2"/>
  <c r="E1505" i="2" s="1"/>
  <c r="B1505" i="5" s="1"/>
  <c r="B1505" i="2"/>
  <c r="C1505" i="2" s="1"/>
  <c r="A1505" i="5" s="1"/>
  <c r="O1504" i="2"/>
  <c r="L1504" i="2"/>
  <c r="M1504" i="2" s="1"/>
  <c r="N1504" i="2" s="1"/>
  <c r="I1504" i="2"/>
  <c r="J1504" i="2" s="1"/>
  <c r="K1504" i="2" s="1"/>
  <c r="Y1504" i="2" s="1"/>
  <c r="F1504" i="2"/>
  <c r="G1504" i="2" s="1"/>
  <c r="H1504" i="2" s="1"/>
  <c r="C1504" i="5" s="1"/>
  <c r="D1504" i="2"/>
  <c r="E1504" i="2" s="1"/>
  <c r="B1504" i="5" s="1"/>
  <c r="B1504" i="2"/>
  <c r="C1504" i="2" s="1"/>
  <c r="A1504" i="5" s="1"/>
  <c r="O1503" i="2"/>
  <c r="L1503" i="2"/>
  <c r="M1503" i="2" s="1"/>
  <c r="N1503" i="2" s="1"/>
  <c r="I1503" i="2"/>
  <c r="J1503" i="2" s="1"/>
  <c r="K1503" i="2" s="1"/>
  <c r="F1503" i="2"/>
  <c r="G1503" i="2" s="1"/>
  <c r="H1503" i="2" s="1"/>
  <c r="C1503" i="5" s="1"/>
  <c r="D1503" i="2"/>
  <c r="E1503" i="2" s="1"/>
  <c r="B1503" i="5" s="1"/>
  <c r="B1503" i="2"/>
  <c r="C1503" i="2" s="1"/>
  <c r="A1503" i="5" s="1"/>
  <c r="O1502" i="2"/>
  <c r="L1502" i="2"/>
  <c r="M1502" i="2" s="1"/>
  <c r="N1502" i="2" s="1"/>
  <c r="I1502" i="2"/>
  <c r="J1502" i="2" s="1"/>
  <c r="K1502" i="2" s="1"/>
  <c r="Y1502" i="2" s="1"/>
  <c r="F1502" i="2"/>
  <c r="G1502" i="2" s="1"/>
  <c r="H1502" i="2" s="1"/>
  <c r="C1502" i="5" s="1"/>
  <c r="D1502" i="2"/>
  <c r="E1502" i="2" s="1"/>
  <c r="B1502" i="5" s="1"/>
  <c r="B1502" i="2"/>
  <c r="C1502" i="2" s="1"/>
  <c r="O1501" i="2"/>
  <c r="L1501" i="2"/>
  <c r="M1501" i="2" s="1"/>
  <c r="N1501" i="2" s="1"/>
  <c r="I1501" i="2"/>
  <c r="J1501" i="2" s="1"/>
  <c r="K1501" i="2" s="1"/>
  <c r="F1501" i="2"/>
  <c r="G1501" i="2" s="1"/>
  <c r="H1501" i="2" s="1"/>
  <c r="C1501" i="5" s="1"/>
  <c r="D1501" i="2"/>
  <c r="E1501" i="2" s="1"/>
  <c r="B1501" i="5" s="1"/>
  <c r="B1501" i="2"/>
  <c r="C1501" i="2" s="1"/>
  <c r="A1501" i="5" s="1"/>
  <c r="O1500" i="2"/>
  <c r="L1500" i="2"/>
  <c r="M1500" i="2" s="1"/>
  <c r="N1500" i="2" s="1"/>
  <c r="I1500" i="2"/>
  <c r="J1500" i="2" s="1"/>
  <c r="K1500" i="2" s="1"/>
  <c r="F1500" i="2"/>
  <c r="G1500" i="2" s="1"/>
  <c r="H1500" i="2" s="1"/>
  <c r="C1500" i="5" s="1"/>
  <c r="D1500" i="2"/>
  <c r="E1500" i="2" s="1"/>
  <c r="B1500" i="5" s="1"/>
  <c r="B1500" i="2"/>
  <c r="C1500" i="2" s="1"/>
  <c r="A1500" i="5" s="1"/>
  <c r="O1499" i="2"/>
  <c r="L1499" i="2"/>
  <c r="M1499" i="2" s="1"/>
  <c r="N1499" i="2" s="1"/>
  <c r="I1499" i="2"/>
  <c r="J1499" i="2" s="1"/>
  <c r="K1499" i="2" s="1"/>
  <c r="F1499" i="2"/>
  <c r="G1499" i="2" s="1"/>
  <c r="H1499" i="2" s="1"/>
  <c r="C1499" i="5" s="1"/>
  <c r="D1499" i="2"/>
  <c r="E1499" i="2" s="1"/>
  <c r="B1499" i="5" s="1"/>
  <c r="B1499" i="2"/>
  <c r="C1499" i="2" s="1"/>
  <c r="A1499" i="5" s="1"/>
  <c r="O1498" i="2"/>
  <c r="L1498" i="2"/>
  <c r="M1498" i="2" s="1"/>
  <c r="N1498" i="2" s="1"/>
  <c r="I1498" i="2"/>
  <c r="J1498" i="2" s="1"/>
  <c r="K1498" i="2" s="1"/>
  <c r="Y1498" i="2" s="1"/>
  <c r="F1498" i="2"/>
  <c r="G1498" i="2" s="1"/>
  <c r="H1498" i="2" s="1"/>
  <c r="C1498" i="5" s="1"/>
  <c r="D1498" i="2"/>
  <c r="E1498" i="2" s="1"/>
  <c r="B1498" i="5" s="1"/>
  <c r="B1498" i="2"/>
  <c r="C1498" i="2" s="1"/>
  <c r="A1498" i="5" s="1"/>
  <c r="O1497" i="2"/>
  <c r="L1497" i="2"/>
  <c r="M1497" i="2" s="1"/>
  <c r="N1497" i="2" s="1"/>
  <c r="I1497" i="2"/>
  <c r="J1497" i="2" s="1"/>
  <c r="K1497" i="2" s="1"/>
  <c r="F1497" i="2"/>
  <c r="G1497" i="2" s="1"/>
  <c r="H1497" i="2" s="1"/>
  <c r="C1497" i="5" s="1"/>
  <c r="D1497" i="2"/>
  <c r="E1497" i="2" s="1"/>
  <c r="B1497" i="5" s="1"/>
  <c r="B1497" i="2"/>
  <c r="C1497" i="2" s="1"/>
  <c r="A1497" i="5" s="1"/>
  <c r="O1496" i="2"/>
  <c r="L1496" i="2"/>
  <c r="M1496" i="2" s="1"/>
  <c r="N1496" i="2" s="1"/>
  <c r="I1496" i="2"/>
  <c r="J1496" i="2" s="1"/>
  <c r="K1496" i="2" s="1"/>
  <c r="F1496" i="2"/>
  <c r="G1496" i="2" s="1"/>
  <c r="H1496" i="2" s="1"/>
  <c r="C1496" i="5" s="1"/>
  <c r="D1496" i="2"/>
  <c r="E1496" i="2" s="1"/>
  <c r="B1496" i="5" s="1"/>
  <c r="B1496" i="2"/>
  <c r="C1496" i="2" s="1"/>
  <c r="O1495" i="2"/>
  <c r="L1495" i="2"/>
  <c r="M1495" i="2" s="1"/>
  <c r="N1495" i="2" s="1"/>
  <c r="I1495" i="2"/>
  <c r="J1495" i="2" s="1"/>
  <c r="K1495" i="2" s="1"/>
  <c r="F1495" i="2"/>
  <c r="G1495" i="2" s="1"/>
  <c r="H1495" i="2" s="1"/>
  <c r="C1495" i="5" s="1"/>
  <c r="D1495" i="2"/>
  <c r="E1495" i="2" s="1"/>
  <c r="B1495" i="5" s="1"/>
  <c r="B1495" i="2"/>
  <c r="C1495" i="2" s="1"/>
  <c r="A1495" i="5" s="1"/>
  <c r="O1494" i="2"/>
  <c r="L1494" i="2"/>
  <c r="M1494" i="2" s="1"/>
  <c r="N1494" i="2" s="1"/>
  <c r="I1494" i="2"/>
  <c r="J1494" i="2" s="1"/>
  <c r="K1494" i="2" s="1"/>
  <c r="Y1494" i="2" s="1"/>
  <c r="F1494" i="2"/>
  <c r="G1494" i="2" s="1"/>
  <c r="H1494" i="2" s="1"/>
  <c r="C1494" i="5" s="1"/>
  <c r="D1494" i="2"/>
  <c r="E1494" i="2" s="1"/>
  <c r="B1494" i="5" s="1"/>
  <c r="B1494" i="2"/>
  <c r="C1494" i="2" s="1"/>
  <c r="O1493" i="2"/>
  <c r="L1493" i="2"/>
  <c r="M1493" i="2" s="1"/>
  <c r="N1493" i="2" s="1"/>
  <c r="I1493" i="2"/>
  <c r="J1493" i="2" s="1"/>
  <c r="K1493" i="2" s="1"/>
  <c r="F1493" i="2"/>
  <c r="G1493" i="2" s="1"/>
  <c r="H1493" i="2" s="1"/>
  <c r="C1493" i="5" s="1"/>
  <c r="D1493" i="2"/>
  <c r="E1493" i="2" s="1"/>
  <c r="B1493" i="5" s="1"/>
  <c r="B1493" i="2"/>
  <c r="C1493" i="2" s="1"/>
  <c r="A1493" i="5" s="1"/>
  <c r="O1492" i="2"/>
  <c r="L1492" i="2"/>
  <c r="M1492" i="2" s="1"/>
  <c r="N1492" i="2" s="1"/>
  <c r="I1492" i="2"/>
  <c r="J1492" i="2" s="1"/>
  <c r="K1492" i="2" s="1"/>
  <c r="F1492" i="2"/>
  <c r="G1492" i="2" s="1"/>
  <c r="H1492" i="2" s="1"/>
  <c r="C1492" i="5" s="1"/>
  <c r="D1492" i="2"/>
  <c r="E1492" i="2" s="1"/>
  <c r="B1492" i="5" s="1"/>
  <c r="B1492" i="2"/>
  <c r="C1492" i="2" s="1"/>
  <c r="O1491" i="2"/>
  <c r="L1491" i="2"/>
  <c r="M1491" i="2" s="1"/>
  <c r="N1491" i="2" s="1"/>
  <c r="I1491" i="2"/>
  <c r="J1491" i="2" s="1"/>
  <c r="K1491" i="2" s="1"/>
  <c r="F1491" i="2"/>
  <c r="G1491" i="2" s="1"/>
  <c r="H1491" i="2" s="1"/>
  <c r="C1491" i="5" s="1"/>
  <c r="D1491" i="2"/>
  <c r="E1491" i="2" s="1"/>
  <c r="B1491" i="5" s="1"/>
  <c r="B1491" i="2"/>
  <c r="C1491" i="2" s="1"/>
  <c r="A1491" i="5" s="1"/>
  <c r="O1490" i="2"/>
  <c r="L1490" i="2"/>
  <c r="M1490" i="2" s="1"/>
  <c r="N1490" i="2" s="1"/>
  <c r="I1490" i="2"/>
  <c r="J1490" i="2" s="1"/>
  <c r="K1490" i="2" s="1"/>
  <c r="Y1490" i="2" s="1"/>
  <c r="F1490" i="2"/>
  <c r="G1490" i="2" s="1"/>
  <c r="H1490" i="2" s="1"/>
  <c r="C1490" i="5" s="1"/>
  <c r="D1490" i="2"/>
  <c r="E1490" i="2" s="1"/>
  <c r="B1490" i="5" s="1"/>
  <c r="B1490" i="2"/>
  <c r="C1490" i="2" s="1"/>
  <c r="O1489" i="2"/>
  <c r="L1489" i="2"/>
  <c r="M1489" i="2" s="1"/>
  <c r="N1489" i="2" s="1"/>
  <c r="I1489" i="2"/>
  <c r="J1489" i="2" s="1"/>
  <c r="K1489" i="2" s="1"/>
  <c r="F1489" i="2"/>
  <c r="G1489" i="2" s="1"/>
  <c r="H1489" i="2" s="1"/>
  <c r="C1489" i="5" s="1"/>
  <c r="D1489" i="2"/>
  <c r="E1489" i="2" s="1"/>
  <c r="B1489" i="5" s="1"/>
  <c r="B1489" i="2"/>
  <c r="C1489" i="2" s="1"/>
  <c r="A1489" i="5" s="1"/>
  <c r="O1488" i="2"/>
  <c r="L1488" i="2"/>
  <c r="M1488" i="2" s="1"/>
  <c r="N1488" i="2" s="1"/>
  <c r="I1488" i="2"/>
  <c r="J1488" i="2" s="1"/>
  <c r="K1488" i="2" s="1"/>
  <c r="Y1488" i="2" s="1"/>
  <c r="F1488" i="2"/>
  <c r="G1488" i="2" s="1"/>
  <c r="H1488" i="2" s="1"/>
  <c r="C1488" i="5" s="1"/>
  <c r="D1488" i="2"/>
  <c r="E1488" i="2" s="1"/>
  <c r="B1488" i="5" s="1"/>
  <c r="B1488" i="2"/>
  <c r="C1488" i="2" s="1"/>
  <c r="A1488" i="5" s="1"/>
  <c r="O1487" i="2"/>
  <c r="L1487" i="2"/>
  <c r="M1487" i="2" s="1"/>
  <c r="N1487" i="2" s="1"/>
  <c r="I1487" i="2"/>
  <c r="J1487" i="2" s="1"/>
  <c r="K1487" i="2" s="1"/>
  <c r="F1487" i="2"/>
  <c r="G1487" i="2" s="1"/>
  <c r="H1487" i="2" s="1"/>
  <c r="C1487" i="5" s="1"/>
  <c r="D1487" i="2"/>
  <c r="E1487" i="2" s="1"/>
  <c r="B1487" i="5" s="1"/>
  <c r="B1487" i="2"/>
  <c r="C1487" i="2" s="1"/>
  <c r="A1487" i="5" s="1"/>
  <c r="O1486" i="2"/>
  <c r="L1486" i="2"/>
  <c r="M1486" i="2" s="1"/>
  <c r="N1486" i="2" s="1"/>
  <c r="I1486" i="2"/>
  <c r="J1486" i="2" s="1"/>
  <c r="K1486" i="2" s="1"/>
  <c r="F1486" i="2"/>
  <c r="G1486" i="2" s="1"/>
  <c r="H1486" i="2" s="1"/>
  <c r="C1486" i="5" s="1"/>
  <c r="D1486" i="2"/>
  <c r="E1486" i="2" s="1"/>
  <c r="B1486" i="5" s="1"/>
  <c r="B1486" i="2"/>
  <c r="C1486" i="2" s="1"/>
  <c r="A1486" i="5" s="1"/>
  <c r="O1485" i="2"/>
  <c r="L1485" i="2"/>
  <c r="M1485" i="2" s="1"/>
  <c r="N1485" i="2" s="1"/>
  <c r="I1485" i="2"/>
  <c r="J1485" i="2" s="1"/>
  <c r="K1485" i="2" s="1"/>
  <c r="F1485" i="2"/>
  <c r="G1485" i="2" s="1"/>
  <c r="H1485" i="2" s="1"/>
  <c r="C1485" i="5" s="1"/>
  <c r="D1485" i="2"/>
  <c r="E1485" i="2" s="1"/>
  <c r="B1485" i="5" s="1"/>
  <c r="B1485" i="2"/>
  <c r="C1485" i="2" s="1"/>
  <c r="A1485" i="5" s="1"/>
  <c r="O1484" i="2"/>
  <c r="L1484" i="2"/>
  <c r="M1484" i="2" s="1"/>
  <c r="N1484" i="2" s="1"/>
  <c r="I1484" i="2"/>
  <c r="J1484" i="2" s="1"/>
  <c r="K1484" i="2" s="1"/>
  <c r="Y1484" i="2" s="1"/>
  <c r="F1484" i="2"/>
  <c r="G1484" i="2" s="1"/>
  <c r="H1484" i="2" s="1"/>
  <c r="C1484" i="5" s="1"/>
  <c r="D1484" i="2"/>
  <c r="E1484" i="2" s="1"/>
  <c r="B1484" i="5" s="1"/>
  <c r="B1484" i="2"/>
  <c r="C1484" i="2" s="1"/>
  <c r="O1483" i="2"/>
  <c r="L1483" i="2"/>
  <c r="M1483" i="2" s="1"/>
  <c r="N1483" i="2" s="1"/>
  <c r="I1483" i="2"/>
  <c r="J1483" i="2" s="1"/>
  <c r="K1483" i="2" s="1"/>
  <c r="F1483" i="2"/>
  <c r="G1483" i="2" s="1"/>
  <c r="H1483" i="2" s="1"/>
  <c r="C1483" i="5" s="1"/>
  <c r="D1483" i="2"/>
  <c r="E1483" i="2" s="1"/>
  <c r="B1483" i="5" s="1"/>
  <c r="B1483" i="2"/>
  <c r="C1483" i="2" s="1"/>
  <c r="A1483" i="5" s="1"/>
  <c r="O1482" i="2"/>
  <c r="L1482" i="2"/>
  <c r="M1482" i="2" s="1"/>
  <c r="N1482" i="2" s="1"/>
  <c r="I1482" i="2"/>
  <c r="J1482" i="2" s="1"/>
  <c r="K1482" i="2" s="1"/>
  <c r="F1482" i="2"/>
  <c r="G1482" i="2" s="1"/>
  <c r="H1482" i="2" s="1"/>
  <c r="C1482" i="5" s="1"/>
  <c r="D1482" i="2"/>
  <c r="E1482" i="2" s="1"/>
  <c r="B1482" i="5" s="1"/>
  <c r="B1482" i="2"/>
  <c r="C1482" i="2" s="1"/>
  <c r="A1482" i="5" s="1"/>
  <c r="O1481" i="2"/>
  <c r="L1481" i="2"/>
  <c r="M1481" i="2" s="1"/>
  <c r="N1481" i="2" s="1"/>
  <c r="I1481" i="2"/>
  <c r="J1481" i="2" s="1"/>
  <c r="K1481" i="2" s="1"/>
  <c r="F1481" i="2"/>
  <c r="G1481" i="2" s="1"/>
  <c r="H1481" i="2" s="1"/>
  <c r="C1481" i="5" s="1"/>
  <c r="D1481" i="2"/>
  <c r="E1481" i="2" s="1"/>
  <c r="B1481" i="5" s="1"/>
  <c r="B1481" i="2"/>
  <c r="C1481" i="2" s="1"/>
  <c r="A1481" i="5" s="1"/>
  <c r="O1480" i="2"/>
  <c r="L1480" i="2"/>
  <c r="M1480" i="2" s="1"/>
  <c r="N1480" i="2" s="1"/>
  <c r="I1480" i="2"/>
  <c r="J1480" i="2" s="1"/>
  <c r="K1480" i="2" s="1"/>
  <c r="Y1480" i="2" s="1"/>
  <c r="F1480" i="2"/>
  <c r="G1480" i="2" s="1"/>
  <c r="H1480" i="2" s="1"/>
  <c r="C1480" i="5" s="1"/>
  <c r="D1480" i="2"/>
  <c r="E1480" i="2" s="1"/>
  <c r="B1480" i="5" s="1"/>
  <c r="B1480" i="2"/>
  <c r="C1480" i="2" s="1"/>
  <c r="A1480" i="5" s="1"/>
  <c r="O1479" i="2"/>
  <c r="L1479" i="2"/>
  <c r="M1479" i="2" s="1"/>
  <c r="N1479" i="2" s="1"/>
  <c r="I1479" i="2"/>
  <c r="J1479" i="2" s="1"/>
  <c r="K1479" i="2" s="1"/>
  <c r="F1479" i="2"/>
  <c r="G1479" i="2" s="1"/>
  <c r="H1479" i="2" s="1"/>
  <c r="C1479" i="5" s="1"/>
  <c r="D1479" i="2"/>
  <c r="E1479" i="2" s="1"/>
  <c r="B1479" i="5" s="1"/>
  <c r="B1479" i="2"/>
  <c r="C1479" i="2" s="1"/>
  <c r="A1479" i="5" s="1"/>
  <c r="O1478" i="2"/>
  <c r="L1478" i="2"/>
  <c r="M1478" i="2" s="1"/>
  <c r="N1478" i="2" s="1"/>
  <c r="I1478" i="2"/>
  <c r="J1478" i="2" s="1"/>
  <c r="K1478" i="2" s="1"/>
  <c r="F1478" i="2"/>
  <c r="G1478" i="2" s="1"/>
  <c r="H1478" i="2" s="1"/>
  <c r="C1478" i="5" s="1"/>
  <c r="D1478" i="2"/>
  <c r="E1478" i="2" s="1"/>
  <c r="B1478" i="5" s="1"/>
  <c r="B1478" i="2"/>
  <c r="C1478" i="2" s="1"/>
  <c r="O1477" i="2"/>
  <c r="L1477" i="2"/>
  <c r="M1477" i="2" s="1"/>
  <c r="N1477" i="2" s="1"/>
  <c r="I1477" i="2"/>
  <c r="J1477" i="2" s="1"/>
  <c r="K1477" i="2" s="1"/>
  <c r="F1477" i="2"/>
  <c r="G1477" i="2" s="1"/>
  <c r="H1477" i="2" s="1"/>
  <c r="C1477" i="5" s="1"/>
  <c r="D1477" i="2"/>
  <c r="E1477" i="2" s="1"/>
  <c r="B1477" i="5" s="1"/>
  <c r="B1477" i="2"/>
  <c r="C1477" i="2" s="1"/>
  <c r="A1477" i="5" s="1"/>
  <c r="O1476" i="2"/>
  <c r="L1476" i="2"/>
  <c r="M1476" i="2" s="1"/>
  <c r="N1476" i="2" s="1"/>
  <c r="I1476" i="2"/>
  <c r="J1476" i="2" s="1"/>
  <c r="K1476" i="2" s="1"/>
  <c r="Y1476" i="2" s="1"/>
  <c r="F1476" i="2"/>
  <c r="G1476" i="2" s="1"/>
  <c r="H1476" i="2" s="1"/>
  <c r="C1476" i="5" s="1"/>
  <c r="D1476" i="2"/>
  <c r="E1476" i="2" s="1"/>
  <c r="B1476" i="5" s="1"/>
  <c r="B1476" i="2"/>
  <c r="C1476" i="2" s="1"/>
  <c r="A1476" i="5" s="1"/>
  <c r="O1475" i="2"/>
  <c r="L1475" i="2"/>
  <c r="M1475" i="2" s="1"/>
  <c r="N1475" i="2" s="1"/>
  <c r="I1475" i="2"/>
  <c r="J1475" i="2" s="1"/>
  <c r="K1475" i="2" s="1"/>
  <c r="F1475" i="2"/>
  <c r="G1475" i="2" s="1"/>
  <c r="H1475" i="2" s="1"/>
  <c r="C1475" i="5" s="1"/>
  <c r="D1475" i="2"/>
  <c r="E1475" i="2" s="1"/>
  <c r="B1475" i="5" s="1"/>
  <c r="B1475" i="2"/>
  <c r="C1475" i="2" s="1"/>
  <c r="A1475" i="5" s="1"/>
  <c r="O1474" i="2"/>
  <c r="L1474" i="2"/>
  <c r="M1474" i="2" s="1"/>
  <c r="N1474" i="2" s="1"/>
  <c r="I1474" i="2"/>
  <c r="J1474" i="2" s="1"/>
  <c r="K1474" i="2" s="1"/>
  <c r="Y1474" i="2" s="1"/>
  <c r="F1474" i="2"/>
  <c r="G1474" i="2" s="1"/>
  <c r="H1474" i="2" s="1"/>
  <c r="C1474" i="5" s="1"/>
  <c r="D1474" i="2"/>
  <c r="E1474" i="2" s="1"/>
  <c r="B1474" i="5" s="1"/>
  <c r="B1474" i="2"/>
  <c r="C1474" i="2" s="1"/>
  <c r="A1474" i="5" s="1"/>
  <c r="O1473" i="2"/>
  <c r="L1473" i="2"/>
  <c r="M1473" i="2" s="1"/>
  <c r="N1473" i="2" s="1"/>
  <c r="I1473" i="2"/>
  <c r="J1473" i="2" s="1"/>
  <c r="K1473" i="2" s="1"/>
  <c r="F1473" i="2"/>
  <c r="G1473" i="2" s="1"/>
  <c r="H1473" i="2" s="1"/>
  <c r="C1473" i="5" s="1"/>
  <c r="D1473" i="2"/>
  <c r="E1473" i="2" s="1"/>
  <c r="B1473" i="5" s="1"/>
  <c r="B1473" i="2"/>
  <c r="C1473" i="2" s="1"/>
  <c r="A1473" i="5" s="1"/>
  <c r="O1472" i="2"/>
  <c r="L1472" i="2"/>
  <c r="M1472" i="2" s="1"/>
  <c r="N1472" i="2" s="1"/>
  <c r="I1472" i="2"/>
  <c r="J1472" i="2" s="1"/>
  <c r="K1472" i="2" s="1"/>
  <c r="Y1472" i="2" s="1"/>
  <c r="F1472" i="2"/>
  <c r="G1472" i="2" s="1"/>
  <c r="H1472" i="2" s="1"/>
  <c r="C1472" i="5" s="1"/>
  <c r="D1472" i="2"/>
  <c r="E1472" i="2" s="1"/>
  <c r="B1472" i="5" s="1"/>
  <c r="B1472" i="2"/>
  <c r="C1472" i="2" s="1"/>
  <c r="O1471" i="2"/>
  <c r="L1471" i="2"/>
  <c r="M1471" i="2" s="1"/>
  <c r="N1471" i="2" s="1"/>
  <c r="I1471" i="2"/>
  <c r="J1471" i="2" s="1"/>
  <c r="K1471" i="2" s="1"/>
  <c r="F1471" i="2"/>
  <c r="G1471" i="2" s="1"/>
  <c r="H1471" i="2" s="1"/>
  <c r="C1471" i="5" s="1"/>
  <c r="D1471" i="2"/>
  <c r="E1471" i="2" s="1"/>
  <c r="B1471" i="5" s="1"/>
  <c r="B1471" i="2"/>
  <c r="C1471" i="2" s="1"/>
  <c r="A1471" i="5" s="1"/>
  <c r="O1470" i="2"/>
  <c r="L1470" i="2"/>
  <c r="M1470" i="2" s="1"/>
  <c r="N1470" i="2" s="1"/>
  <c r="I1470" i="2"/>
  <c r="J1470" i="2" s="1"/>
  <c r="K1470" i="2" s="1"/>
  <c r="Y1470" i="2" s="1"/>
  <c r="F1470" i="2"/>
  <c r="G1470" i="2" s="1"/>
  <c r="H1470" i="2" s="1"/>
  <c r="C1470" i="5" s="1"/>
  <c r="D1470" i="2"/>
  <c r="E1470" i="2" s="1"/>
  <c r="B1470" i="5" s="1"/>
  <c r="B1470" i="2"/>
  <c r="C1470" i="2" s="1"/>
  <c r="O1469" i="2"/>
  <c r="L1469" i="2"/>
  <c r="M1469" i="2" s="1"/>
  <c r="N1469" i="2" s="1"/>
  <c r="I1469" i="2"/>
  <c r="J1469" i="2" s="1"/>
  <c r="K1469" i="2" s="1"/>
  <c r="F1469" i="2"/>
  <c r="G1469" i="2" s="1"/>
  <c r="H1469" i="2" s="1"/>
  <c r="C1469" i="5" s="1"/>
  <c r="D1469" i="2"/>
  <c r="E1469" i="2" s="1"/>
  <c r="B1469" i="5" s="1"/>
  <c r="B1469" i="2"/>
  <c r="C1469" i="2" s="1"/>
  <c r="A1469" i="5" s="1"/>
  <c r="O1468" i="2"/>
  <c r="L1468" i="2"/>
  <c r="M1468" i="2" s="1"/>
  <c r="N1468" i="2" s="1"/>
  <c r="I1468" i="2"/>
  <c r="J1468" i="2" s="1"/>
  <c r="K1468" i="2" s="1"/>
  <c r="Y1468" i="2" s="1"/>
  <c r="F1468" i="2"/>
  <c r="G1468" i="2" s="1"/>
  <c r="H1468" i="2" s="1"/>
  <c r="C1468" i="5" s="1"/>
  <c r="D1468" i="2"/>
  <c r="E1468" i="2" s="1"/>
  <c r="B1468" i="5" s="1"/>
  <c r="B1468" i="2"/>
  <c r="C1468" i="2" s="1"/>
  <c r="O1467" i="2"/>
  <c r="L1467" i="2"/>
  <c r="M1467" i="2" s="1"/>
  <c r="N1467" i="2" s="1"/>
  <c r="I1467" i="2"/>
  <c r="J1467" i="2" s="1"/>
  <c r="K1467" i="2" s="1"/>
  <c r="F1467" i="2"/>
  <c r="G1467" i="2" s="1"/>
  <c r="H1467" i="2" s="1"/>
  <c r="C1467" i="5" s="1"/>
  <c r="D1467" i="2"/>
  <c r="E1467" i="2" s="1"/>
  <c r="B1467" i="5" s="1"/>
  <c r="B1467" i="2"/>
  <c r="C1467" i="2" s="1"/>
  <c r="A1467" i="5" s="1"/>
  <c r="O1466" i="2"/>
  <c r="L1466" i="2"/>
  <c r="M1466" i="2" s="1"/>
  <c r="N1466" i="2" s="1"/>
  <c r="I1466" i="2"/>
  <c r="J1466" i="2" s="1"/>
  <c r="K1466" i="2" s="1"/>
  <c r="Y1466" i="2" s="1"/>
  <c r="F1466" i="2"/>
  <c r="G1466" i="2" s="1"/>
  <c r="H1466" i="2" s="1"/>
  <c r="C1466" i="5" s="1"/>
  <c r="D1466" i="2"/>
  <c r="E1466" i="2" s="1"/>
  <c r="B1466" i="5" s="1"/>
  <c r="B1466" i="2"/>
  <c r="C1466" i="2" s="1"/>
  <c r="O1465" i="2"/>
  <c r="L1465" i="2"/>
  <c r="M1465" i="2" s="1"/>
  <c r="N1465" i="2" s="1"/>
  <c r="I1465" i="2"/>
  <c r="J1465" i="2" s="1"/>
  <c r="K1465" i="2" s="1"/>
  <c r="F1465" i="2"/>
  <c r="G1465" i="2" s="1"/>
  <c r="H1465" i="2" s="1"/>
  <c r="C1465" i="5" s="1"/>
  <c r="D1465" i="2"/>
  <c r="E1465" i="2" s="1"/>
  <c r="B1465" i="5" s="1"/>
  <c r="B1465" i="2"/>
  <c r="C1465" i="2" s="1"/>
  <c r="A1465" i="5" s="1"/>
  <c r="O1464" i="2"/>
  <c r="L1464" i="2"/>
  <c r="M1464" i="2" s="1"/>
  <c r="N1464" i="2" s="1"/>
  <c r="I1464" i="2"/>
  <c r="J1464" i="2" s="1"/>
  <c r="K1464" i="2" s="1"/>
  <c r="Y1464" i="2" s="1"/>
  <c r="F1464" i="2"/>
  <c r="G1464" i="2" s="1"/>
  <c r="H1464" i="2" s="1"/>
  <c r="C1464" i="5" s="1"/>
  <c r="D1464" i="2"/>
  <c r="E1464" i="2" s="1"/>
  <c r="B1464" i="5" s="1"/>
  <c r="B1464" i="2"/>
  <c r="C1464" i="2" s="1"/>
  <c r="O1463" i="2"/>
  <c r="L1463" i="2"/>
  <c r="M1463" i="2" s="1"/>
  <c r="N1463" i="2" s="1"/>
  <c r="I1463" i="2"/>
  <c r="J1463" i="2" s="1"/>
  <c r="K1463" i="2" s="1"/>
  <c r="F1463" i="2"/>
  <c r="G1463" i="2" s="1"/>
  <c r="H1463" i="2" s="1"/>
  <c r="C1463" i="5" s="1"/>
  <c r="D1463" i="2"/>
  <c r="E1463" i="2" s="1"/>
  <c r="B1463" i="5" s="1"/>
  <c r="B1463" i="2"/>
  <c r="C1463" i="2" s="1"/>
  <c r="A1463" i="5" s="1"/>
  <c r="O1462" i="2"/>
  <c r="L1462" i="2"/>
  <c r="M1462" i="2" s="1"/>
  <c r="N1462" i="2" s="1"/>
  <c r="I1462" i="2"/>
  <c r="J1462" i="2" s="1"/>
  <c r="K1462" i="2" s="1"/>
  <c r="Y1462" i="2" s="1"/>
  <c r="F1462" i="2"/>
  <c r="G1462" i="2" s="1"/>
  <c r="H1462" i="2" s="1"/>
  <c r="C1462" i="5" s="1"/>
  <c r="D1462" i="2"/>
  <c r="E1462" i="2" s="1"/>
  <c r="B1462" i="5" s="1"/>
  <c r="B1462" i="2"/>
  <c r="C1462" i="2" s="1"/>
  <c r="O1461" i="2"/>
  <c r="L1461" i="2"/>
  <c r="M1461" i="2" s="1"/>
  <c r="N1461" i="2" s="1"/>
  <c r="I1461" i="2"/>
  <c r="J1461" i="2" s="1"/>
  <c r="K1461" i="2" s="1"/>
  <c r="F1461" i="2"/>
  <c r="G1461" i="2" s="1"/>
  <c r="H1461" i="2" s="1"/>
  <c r="C1461" i="5" s="1"/>
  <c r="D1461" i="2"/>
  <c r="E1461" i="2" s="1"/>
  <c r="B1461" i="5" s="1"/>
  <c r="B1461" i="2"/>
  <c r="C1461" i="2" s="1"/>
  <c r="A1461" i="5" s="1"/>
  <c r="O1460" i="2"/>
  <c r="L1460" i="2"/>
  <c r="M1460" i="2" s="1"/>
  <c r="N1460" i="2" s="1"/>
  <c r="I1460" i="2"/>
  <c r="J1460" i="2" s="1"/>
  <c r="K1460" i="2" s="1"/>
  <c r="Y1460" i="2" s="1"/>
  <c r="F1460" i="2"/>
  <c r="G1460" i="2" s="1"/>
  <c r="H1460" i="2" s="1"/>
  <c r="C1460" i="5" s="1"/>
  <c r="D1460" i="2"/>
  <c r="E1460" i="2" s="1"/>
  <c r="B1460" i="5" s="1"/>
  <c r="B1460" i="2"/>
  <c r="C1460" i="2" s="1"/>
  <c r="O1459" i="2"/>
  <c r="L1459" i="2"/>
  <c r="M1459" i="2" s="1"/>
  <c r="N1459" i="2" s="1"/>
  <c r="I1459" i="2"/>
  <c r="J1459" i="2" s="1"/>
  <c r="K1459" i="2" s="1"/>
  <c r="F1459" i="2"/>
  <c r="G1459" i="2" s="1"/>
  <c r="H1459" i="2" s="1"/>
  <c r="C1459" i="5" s="1"/>
  <c r="D1459" i="2"/>
  <c r="E1459" i="2" s="1"/>
  <c r="B1459" i="5" s="1"/>
  <c r="B1459" i="2"/>
  <c r="C1459" i="2" s="1"/>
  <c r="A1459" i="5" s="1"/>
  <c r="O1458" i="2"/>
  <c r="L1458" i="2"/>
  <c r="M1458" i="2" s="1"/>
  <c r="N1458" i="2" s="1"/>
  <c r="I1458" i="2"/>
  <c r="J1458" i="2" s="1"/>
  <c r="K1458" i="2" s="1"/>
  <c r="Y1458" i="2" s="1"/>
  <c r="F1458" i="2"/>
  <c r="G1458" i="2" s="1"/>
  <c r="H1458" i="2" s="1"/>
  <c r="C1458" i="5" s="1"/>
  <c r="D1458" i="2"/>
  <c r="E1458" i="2" s="1"/>
  <c r="B1458" i="5" s="1"/>
  <c r="B1458" i="2"/>
  <c r="C1458" i="2" s="1"/>
  <c r="O1457" i="2"/>
  <c r="L1457" i="2"/>
  <c r="M1457" i="2" s="1"/>
  <c r="N1457" i="2" s="1"/>
  <c r="I1457" i="2"/>
  <c r="J1457" i="2" s="1"/>
  <c r="K1457" i="2" s="1"/>
  <c r="F1457" i="2"/>
  <c r="G1457" i="2" s="1"/>
  <c r="H1457" i="2" s="1"/>
  <c r="C1457" i="5" s="1"/>
  <c r="D1457" i="2"/>
  <c r="E1457" i="2" s="1"/>
  <c r="B1457" i="5" s="1"/>
  <c r="B1457" i="2"/>
  <c r="C1457" i="2" s="1"/>
  <c r="A1457" i="5" s="1"/>
  <c r="O1456" i="2"/>
  <c r="L1456" i="2"/>
  <c r="M1456" i="2" s="1"/>
  <c r="N1456" i="2" s="1"/>
  <c r="I1456" i="2"/>
  <c r="J1456" i="2" s="1"/>
  <c r="K1456" i="2" s="1"/>
  <c r="Y1456" i="2" s="1"/>
  <c r="F1456" i="2"/>
  <c r="G1456" i="2" s="1"/>
  <c r="H1456" i="2" s="1"/>
  <c r="C1456" i="5" s="1"/>
  <c r="D1456" i="2"/>
  <c r="E1456" i="2" s="1"/>
  <c r="B1456" i="5" s="1"/>
  <c r="B1456" i="2"/>
  <c r="C1456" i="2" s="1"/>
  <c r="O1455" i="2"/>
  <c r="L1455" i="2"/>
  <c r="M1455" i="2" s="1"/>
  <c r="N1455" i="2" s="1"/>
  <c r="I1455" i="2"/>
  <c r="J1455" i="2" s="1"/>
  <c r="K1455" i="2" s="1"/>
  <c r="F1455" i="2"/>
  <c r="G1455" i="2" s="1"/>
  <c r="H1455" i="2" s="1"/>
  <c r="C1455" i="5" s="1"/>
  <c r="D1455" i="2"/>
  <c r="E1455" i="2" s="1"/>
  <c r="B1455" i="5" s="1"/>
  <c r="B1455" i="2"/>
  <c r="C1455" i="2" s="1"/>
  <c r="A1455" i="5" s="1"/>
  <c r="O1454" i="2"/>
  <c r="L1454" i="2"/>
  <c r="M1454" i="2" s="1"/>
  <c r="N1454" i="2" s="1"/>
  <c r="I1454" i="2"/>
  <c r="J1454" i="2" s="1"/>
  <c r="K1454" i="2" s="1"/>
  <c r="Y1454" i="2" s="1"/>
  <c r="F1454" i="2"/>
  <c r="G1454" i="2" s="1"/>
  <c r="H1454" i="2" s="1"/>
  <c r="C1454" i="5" s="1"/>
  <c r="D1454" i="2"/>
  <c r="E1454" i="2" s="1"/>
  <c r="B1454" i="5" s="1"/>
  <c r="B1454" i="2"/>
  <c r="C1454" i="2" s="1"/>
  <c r="O1453" i="2"/>
  <c r="L1453" i="2"/>
  <c r="M1453" i="2" s="1"/>
  <c r="N1453" i="2" s="1"/>
  <c r="I1453" i="2"/>
  <c r="J1453" i="2" s="1"/>
  <c r="K1453" i="2" s="1"/>
  <c r="F1453" i="2"/>
  <c r="G1453" i="2" s="1"/>
  <c r="H1453" i="2" s="1"/>
  <c r="C1453" i="5" s="1"/>
  <c r="D1453" i="2"/>
  <c r="E1453" i="2" s="1"/>
  <c r="B1453" i="5" s="1"/>
  <c r="B1453" i="2"/>
  <c r="C1453" i="2" s="1"/>
  <c r="A1453" i="5" s="1"/>
  <c r="O1452" i="2"/>
  <c r="L1452" i="2"/>
  <c r="M1452" i="2" s="1"/>
  <c r="N1452" i="2" s="1"/>
  <c r="I1452" i="2"/>
  <c r="J1452" i="2" s="1"/>
  <c r="K1452" i="2" s="1"/>
  <c r="Y1452" i="2" s="1"/>
  <c r="F1452" i="2"/>
  <c r="G1452" i="2" s="1"/>
  <c r="H1452" i="2" s="1"/>
  <c r="C1452" i="5" s="1"/>
  <c r="D1452" i="2"/>
  <c r="E1452" i="2" s="1"/>
  <c r="B1452" i="5" s="1"/>
  <c r="B1452" i="2"/>
  <c r="C1452" i="2" s="1"/>
  <c r="O1451" i="2"/>
  <c r="L1451" i="2"/>
  <c r="M1451" i="2" s="1"/>
  <c r="N1451" i="2" s="1"/>
  <c r="I1451" i="2"/>
  <c r="J1451" i="2" s="1"/>
  <c r="K1451" i="2" s="1"/>
  <c r="F1451" i="2"/>
  <c r="G1451" i="2" s="1"/>
  <c r="H1451" i="2" s="1"/>
  <c r="C1451" i="5" s="1"/>
  <c r="D1451" i="2"/>
  <c r="E1451" i="2" s="1"/>
  <c r="B1451" i="5" s="1"/>
  <c r="B1451" i="2"/>
  <c r="C1451" i="2" s="1"/>
  <c r="A1451" i="5" s="1"/>
  <c r="O1450" i="2"/>
  <c r="L1450" i="2"/>
  <c r="M1450" i="2" s="1"/>
  <c r="N1450" i="2" s="1"/>
  <c r="I1450" i="2"/>
  <c r="J1450" i="2" s="1"/>
  <c r="K1450" i="2" s="1"/>
  <c r="Y1450" i="2" s="1"/>
  <c r="F1450" i="2"/>
  <c r="G1450" i="2" s="1"/>
  <c r="H1450" i="2" s="1"/>
  <c r="C1450" i="5" s="1"/>
  <c r="D1450" i="2"/>
  <c r="E1450" i="2" s="1"/>
  <c r="B1450" i="5" s="1"/>
  <c r="B1450" i="2"/>
  <c r="C1450" i="2" s="1"/>
  <c r="O1449" i="2"/>
  <c r="L1449" i="2"/>
  <c r="M1449" i="2" s="1"/>
  <c r="N1449" i="2" s="1"/>
  <c r="I1449" i="2"/>
  <c r="J1449" i="2" s="1"/>
  <c r="K1449" i="2" s="1"/>
  <c r="F1449" i="2"/>
  <c r="G1449" i="2" s="1"/>
  <c r="H1449" i="2" s="1"/>
  <c r="C1449" i="5" s="1"/>
  <c r="D1449" i="2"/>
  <c r="E1449" i="2" s="1"/>
  <c r="B1449" i="5" s="1"/>
  <c r="B1449" i="2"/>
  <c r="C1449" i="2" s="1"/>
  <c r="A1449" i="5" s="1"/>
  <c r="O1448" i="2"/>
  <c r="L1448" i="2"/>
  <c r="M1448" i="2" s="1"/>
  <c r="N1448" i="2" s="1"/>
  <c r="I1448" i="2"/>
  <c r="J1448" i="2" s="1"/>
  <c r="K1448" i="2" s="1"/>
  <c r="Y1448" i="2" s="1"/>
  <c r="F1448" i="2"/>
  <c r="G1448" i="2" s="1"/>
  <c r="H1448" i="2" s="1"/>
  <c r="C1448" i="5" s="1"/>
  <c r="D1448" i="2"/>
  <c r="E1448" i="2" s="1"/>
  <c r="B1448" i="5" s="1"/>
  <c r="B1448" i="2"/>
  <c r="C1448" i="2" s="1"/>
  <c r="O1447" i="2"/>
  <c r="L1447" i="2"/>
  <c r="M1447" i="2" s="1"/>
  <c r="N1447" i="2" s="1"/>
  <c r="I1447" i="2"/>
  <c r="J1447" i="2" s="1"/>
  <c r="K1447" i="2" s="1"/>
  <c r="F1447" i="2"/>
  <c r="G1447" i="2" s="1"/>
  <c r="H1447" i="2" s="1"/>
  <c r="C1447" i="5" s="1"/>
  <c r="D1447" i="2"/>
  <c r="E1447" i="2" s="1"/>
  <c r="B1447" i="5" s="1"/>
  <c r="B1447" i="2"/>
  <c r="C1447" i="2" s="1"/>
  <c r="A1447" i="5" s="1"/>
  <c r="O1446" i="2"/>
  <c r="L1446" i="2"/>
  <c r="M1446" i="2" s="1"/>
  <c r="N1446" i="2" s="1"/>
  <c r="I1446" i="2"/>
  <c r="J1446" i="2" s="1"/>
  <c r="K1446" i="2" s="1"/>
  <c r="Y1446" i="2" s="1"/>
  <c r="F1446" i="2"/>
  <c r="G1446" i="2" s="1"/>
  <c r="H1446" i="2" s="1"/>
  <c r="C1446" i="5" s="1"/>
  <c r="D1446" i="2"/>
  <c r="E1446" i="2" s="1"/>
  <c r="B1446" i="5" s="1"/>
  <c r="B1446" i="2"/>
  <c r="C1446" i="2" s="1"/>
  <c r="O1445" i="2"/>
  <c r="L1445" i="2"/>
  <c r="M1445" i="2" s="1"/>
  <c r="N1445" i="2" s="1"/>
  <c r="I1445" i="2"/>
  <c r="J1445" i="2" s="1"/>
  <c r="K1445" i="2" s="1"/>
  <c r="F1445" i="2"/>
  <c r="G1445" i="2" s="1"/>
  <c r="H1445" i="2" s="1"/>
  <c r="C1445" i="5" s="1"/>
  <c r="D1445" i="2"/>
  <c r="E1445" i="2" s="1"/>
  <c r="B1445" i="5" s="1"/>
  <c r="B1445" i="2"/>
  <c r="C1445" i="2" s="1"/>
  <c r="A1445" i="5" s="1"/>
  <c r="O1444" i="2"/>
  <c r="L1444" i="2"/>
  <c r="M1444" i="2" s="1"/>
  <c r="N1444" i="2" s="1"/>
  <c r="I1444" i="2"/>
  <c r="J1444" i="2" s="1"/>
  <c r="K1444" i="2" s="1"/>
  <c r="Y1444" i="2" s="1"/>
  <c r="F1444" i="2"/>
  <c r="G1444" i="2" s="1"/>
  <c r="H1444" i="2" s="1"/>
  <c r="C1444" i="5" s="1"/>
  <c r="D1444" i="2"/>
  <c r="E1444" i="2" s="1"/>
  <c r="B1444" i="5" s="1"/>
  <c r="B1444" i="2"/>
  <c r="C1444" i="2" s="1"/>
  <c r="A1444" i="5" s="1"/>
  <c r="O1443" i="2"/>
  <c r="L1443" i="2"/>
  <c r="M1443" i="2" s="1"/>
  <c r="N1443" i="2" s="1"/>
  <c r="I1443" i="2"/>
  <c r="J1443" i="2" s="1"/>
  <c r="K1443" i="2" s="1"/>
  <c r="F1443" i="2"/>
  <c r="G1443" i="2" s="1"/>
  <c r="H1443" i="2" s="1"/>
  <c r="C1443" i="5" s="1"/>
  <c r="D1443" i="2"/>
  <c r="E1443" i="2" s="1"/>
  <c r="B1443" i="5" s="1"/>
  <c r="B1443" i="2"/>
  <c r="C1443" i="2" s="1"/>
  <c r="A1443" i="5" s="1"/>
  <c r="O1442" i="2"/>
  <c r="L1442" i="2"/>
  <c r="M1442" i="2" s="1"/>
  <c r="N1442" i="2" s="1"/>
  <c r="I1442" i="2"/>
  <c r="J1442" i="2" s="1"/>
  <c r="K1442" i="2" s="1"/>
  <c r="Y1442" i="2" s="1"/>
  <c r="F1442" i="2"/>
  <c r="G1442" i="2" s="1"/>
  <c r="H1442" i="2" s="1"/>
  <c r="C1442" i="5" s="1"/>
  <c r="D1442" i="2"/>
  <c r="E1442" i="2" s="1"/>
  <c r="B1442" i="5" s="1"/>
  <c r="B1442" i="2"/>
  <c r="C1442" i="2" s="1"/>
  <c r="A1442" i="5" s="1"/>
  <c r="O1441" i="2"/>
  <c r="L1441" i="2"/>
  <c r="M1441" i="2" s="1"/>
  <c r="N1441" i="2" s="1"/>
  <c r="I1441" i="2"/>
  <c r="J1441" i="2" s="1"/>
  <c r="K1441" i="2" s="1"/>
  <c r="F1441" i="2"/>
  <c r="G1441" i="2" s="1"/>
  <c r="H1441" i="2" s="1"/>
  <c r="C1441" i="5" s="1"/>
  <c r="D1441" i="2"/>
  <c r="E1441" i="2" s="1"/>
  <c r="B1441" i="5" s="1"/>
  <c r="B1441" i="2"/>
  <c r="C1441" i="2" s="1"/>
  <c r="A1441" i="5" s="1"/>
  <c r="O1440" i="2"/>
  <c r="L1440" i="2"/>
  <c r="M1440" i="2" s="1"/>
  <c r="N1440" i="2" s="1"/>
  <c r="I1440" i="2"/>
  <c r="J1440" i="2" s="1"/>
  <c r="K1440" i="2" s="1"/>
  <c r="Y1440" i="2" s="1"/>
  <c r="F1440" i="2"/>
  <c r="G1440" i="2" s="1"/>
  <c r="H1440" i="2" s="1"/>
  <c r="C1440" i="5" s="1"/>
  <c r="D1440" i="2"/>
  <c r="E1440" i="2" s="1"/>
  <c r="B1440" i="5" s="1"/>
  <c r="B1440" i="2"/>
  <c r="C1440" i="2" s="1"/>
  <c r="A1440" i="5" s="1"/>
  <c r="O1439" i="2"/>
  <c r="L1439" i="2"/>
  <c r="M1439" i="2" s="1"/>
  <c r="N1439" i="2" s="1"/>
  <c r="I1439" i="2"/>
  <c r="J1439" i="2" s="1"/>
  <c r="K1439" i="2" s="1"/>
  <c r="F1439" i="2"/>
  <c r="G1439" i="2" s="1"/>
  <c r="H1439" i="2" s="1"/>
  <c r="C1439" i="5" s="1"/>
  <c r="D1439" i="2"/>
  <c r="E1439" i="2" s="1"/>
  <c r="B1439" i="5" s="1"/>
  <c r="B1439" i="2"/>
  <c r="C1439" i="2" s="1"/>
  <c r="A1439" i="5" s="1"/>
  <c r="O1438" i="2"/>
  <c r="L1438" i="2"/>
  <c r="M1438" i="2" s="1"/>
  <c r="N1438" i="2" s="1"/>
  <c r="I1438" i="2"/>
  <c r="J1438" i="2" s="1"/>
  <c r="K1438" i="2" s="1"/>
  <c r="Y1438" i="2" s="1"/>
  <c r="F1438" i="2"/>
  <c r="G1438" i="2" s="1"/>
  <c r="H1438" i="2" s="1"/>
  <c r="C1438" i="5" s="1"/>
  <c r="D1438" i="2"/>
  <c r="E1438" i="2" s="1"/>
  <c r="B1438" i="5" s="1"/>
  <c r="B1438" i="2"/>
  <c r="C1438" i="2" s="1"/>
  <c r="A1438" i="5" s="1"/>
  <c r="O1437" i="2"/>
  <c r="L1437" i="2"/>
  <c r="M1437" i="2" s="1"/>
  <c r="N1437" i="2" s="1"/>
  <c r="I1437" i="2"/>
  <c r="J1437" i="2" s="1"/>
  <c r="K1437" i="2" s="1"/>
  <c r="F1437" i="2"/>
  <c r="G1437" i="2" s="1"/>
  <c r="H1437" i="2" s="1"/>
  <c r="C1437" i="5" s="1"/>
  <c r="D1437" i="2"/>
  <c r="E1437" i="2" s="1"/>
  <c r="B1437" i="5" s="1"/>
  <c r="B1437" i="2"/>
  <c r="C1437" i="2" s="1"/>
  <c r="A1437" i="5" s="1"/>
  <c r="O1436" i="2"/>
  <c r="L1436" i="2"/>
  <c r="M1436" i="2" s="1"/>
  <c r="N1436" i="2" s="1"/>
  <c r="I1436" i="2"/>
  <c r="J1436" i="2" s="1"/>
  <c r="K1436" i="2" s="1"/>
  <c r="Y1436" i="2" s="1"/>
  <c r="F1436" i="2"/>
  <c r="G1436" i="2" s="1"/>
  <c r="H1436" i="2" s="1"/>
  <c r="C1436" i="5" s="1"/>
  <c r="D1436" i="2"/>
  <c r="E1436" i="2" s="1"/>
  <c r="B1436" i="5" s="1"/>
  <c r="B1436" i="2"/>
  <c r="C1436" i="2" s="1"/>
  <c r="O1435" i="2"/>
  <c r="L1435" i="2"/>
  <c r="M1435" i="2" s="1"/>
  <c r="N1435" i="2" s="1"/>
  <c r="I1435" i="2"/>
  <c r="J1435" i="2" s="1"/>
  <c r="K1435" i="2" s="1"/>
  <c r="F1435" i="2"/>
  <c r="G1435" i="2" s="1"/>
  <c r="H1435" i="2" s="1"/>
  <c r="C1435" i="5" s="1"/>
  <c r="D1435" i="2"/>
  <c r="E1435" i="2" s="1"/>
  <c r="B1435" i="5" s="1"/>
  <c r="B1435" i="2"/>
  <c r="C1435" i="2" s="1"/>
  <c r="A1435" i="5" s="1"/>
  <c r="O1434" i="2"/>
  <c r="L1434" i="2"/>
  <c r="M1434" i="2" s="1"/>
  <c r="N1434" i="2" s="1"/>
  <c r="I1434" i="2"/>
  <c r="J1434" i="2" s="1"/>
  <c r="K1434" i="2" s="1"/>
  <c r="Y1434" i="2" s="1"/>
  <c r="F1434" i="2"/>
  <c r="G1434" i="2" s="1"/>
  <c r="H1434" i="2" s="1"/>
  <c r="C1434" i="5" s="1"/>
  <c r="D1434" i="2"/>
  <c r="E1434" i="2" s="1"/>
  <c r="B1434" i="5" s="1"/>
  <c r="B1434" i="2"/>
  <c r="C1434" i="2" s="1"/>
  <c r="O1433" i="2"/>
  <c r="L1433" i="2"/>
  <c r="M1433" i="2" s="1"/>
  <c r="N1433" i="2" s="1"/>
  <c r="I1433" i="2"/>
  <c r="J1433" i="2" s="1"/>
  <c r="K1433" i="2" s="1"/>
  <c r="F1433" i="2"/>
  <c r="G1433" i="2" s="1"/>
  <c r="H1433" i="2" s="1"/>
  <c r="C1433" i="5" s="1"/>
  <c r="D1433" i="2"/>
  <c r="E1433" i="2" s="1"/>
  <c r="B1433" i="5" s="1"/>
  <c r="B1433" i="2"/>
  <c r="C1433" i="2" s="1"/>
  <c r="A1433" i="5" s="1"/>
  <c r="O1432" i="2"/>
  <c r="L1432" i="2"/>
  <c r="M1432" i="2" s="1"/>
  <c r="N1432" i="2" s="1"/>
  <c r="I1432" i="2"/>
  <c r="J1432" i="2" s="1"/>
  <c r="K1432" i="2" s="1"/>
  <c r="Y1432" i="2" s="1"/>
  <c r="F1432" i="2"/>
  <c r="G1432" i="2" s="1"/>
  <c r="H1432" i="2" s="1"/>
  <c r="C1432" i="5" s="1"/>
  <c r="D1432" i="2"/>
  <c r="E1432" i="2" s="1"/>
  <c r="B1432" i="5" s="1"/>
  <c r="B1432" i="2"/>
  <c r="C1432" i="2" s="1"/>
  <c r="O1431" i="2"/>
  <c r="L1431" i="2"/>
  <c r="M1431" i="2" s="1"/>
  <c r="N1431" i="2" s="1"/>
  <c r="I1431" i="2"/>
  <c r="J1431" i="2" s="1"/>
  <c r="K1431" i="2" s="1"/>
  <c r="F1431" i="2"/>
  <c r="G1431" i="2" s="1"/>
  <c r="H1431" i="2" s="1"/>
  <c r="C1431" i="5" s="1"/>
  <c r="D1431" i="2"/>
  <c r="E1431" i="2" s="1"/>
  <c r="B1431" i="5" s="1"/>
  <c r="B1431" i="2"/>
  <c r="C1431" i="2" s="1"/>
  <c r="A1431" i="5" s="1"/>
  <c r="O1430" i="2"/>
  <c r="L1430" i="2"/>
  <c r="M1430" i="2" s="1"/>
  <c r="N1430" i="2" s="1"/>
  <c r="I1430" i="2"/>
  <c r="J1430" i="2" s="1"/>
  <c r="K1430" i="2" s="1"/>
  <c r="Y1430" i="2" s="1"/>
  <c r="F1430" i="2"/>
  <c r="G1430" i="2" s="1"/>
  <c r="H1430" i="2" s="1"/>
  <c r="C1430" i="5" s="1"/>
  <c r="D1430" i="2"/>
  <c r="E1430" i="2" s="1"/>
  <c r="B1430" i="5" s="1"/>
  <c r="B1430" i="2"/>
  <c r="C1430" i="2" s="1"/>
  <c r="O1429" i="2"/>
  <c r="L1429" i="2"/>
  <c r="M1429" i="2" s="1"/>
  <c r="N1429" i="2" s="1"/>
  <c r="I1429" i="2"/>
  <c r="J1429" i="2" s="1"/>
  <c r="K1429" i="2" s="1"/>
  <c r="F1429" i="2"/>
  <c r="G1429" i="2" s="1"/>
  <c r="H1429" i="2" s="1"/>
  <c r="C1429" i="5" s="1"/>
  <c r="D1429" i="2"/>
  <c r="E1429" i="2" s="1"/>
  <c r="B1429" i="5" s="1"/>
  <c r="B1429" i="2"/>
  <c r="C1429" i="2" s="1"/>
  <c r="A1429" i="5" s="1"/>
  <c r="O1428" i="2"/>
  <c r="L1428" i="2"/>
  <c r="M1428" i="2" s="1"/>
  <c r="N1428" i="2" s="1"/>
  <c r="I1428" i="2"/>
  <c r="J1428" i="2" s="1"/>
  <c r="K1428" i="2" s="1"/>
  <c r="Y1428" i="2" s="1"/>
  <c r="F1428" i="2"/>
  <c r="G1428" i="2" s="1"/>
  <c r="H1428" i="2" s="1"/>
  <c r="C1428" i="5" s="1"/>
  <c r="D1428" i="2"/>
  <c r="E1428" i="2" s="1"/>
  <c r="B1428" i="5" s="1"/>
  <c r="B1428" i="2"/>
  <c r="C1428" i="2" s="1"/>
  <c r="O1427" i="2"/>
  <c r="L1427" i="2"/>
  <c r="M1427" i="2" s="1"/>
  <c r="N1427" i="2" s="1"/>
  <c r="I1427" i="2"/>
  <c r="J1427" i="2" s="1"/>
  <c r="K1427" i="2" s="1"/>
  <c r="F1427" i="2"/>
  <c r="G1427" i="2" s="1"/>
  <c r="H1427" i="2" s="1"/>
  <c r="C1427" i="5" s="1"/>
  <c r="D1427" i="2"/>
  <c r="E1427" i="2" s="1"/>
  <c r="B1427" i="5" s="1"/>
  <c r="B1427" i="2"/>
  <c r="C1427" i="2" s="1"/>
  <c r="A1427" i="5" s="1"/>
  <c r="O1426" i="2"/>
  <c r="L1426" i="2"/>
  <c r="M1426" i="2" s="1"/>
  <c r="N1426" i="2" s="1"/>
  <c r="I1426" i="2"/>
  <c r="J1426" i="2" s="1"/>
  <c r="K1426" i="2" s="1"/>
  <c r="Y1426" i="2" s="1"/>
  <c r="F1426" i="2"/>
  <c r="G1426" i="2" s="1"/>
  <c r="H1426" i="2" s="1"/>
  <c r="C1426" i="5" s="1"/>
  <c r="D1426" i="2"/>
  <c r="E1426" i="2" s="1"/>
  <c r="B1426" i="5" s="1"/>
  <c r="B1426" i="2"/>
  <c r="C1426" i="2" s="1"/>
  <c r="O1425" i="2"/>
  <c r="L1425" i="2"/>
  <c r="M1425" i="2" s="1"/>
  <c r="N1425" i="2" s="1"/>
  <c r="I1425" i="2"/>
  <c r="J1425" i="2" s="1"/>
  <c r="K1425" i="2" s="1"/>
  <c r="F1425" i="2"/>
  <c r="G1425" i="2" s="1"/>
  <c r="H1425" i="2" s="1"/>
  <c r="C1425" i="5" s="1"/>
  <c r="D1425" i="2"/>
  <c r="E1425" i="2" s="1"/>
  <c r="B1425" i="5" s="1"/>
  <c r="B1425" i="2"/>
  <c r="C1425" i="2" s="1"/>
  <c r="A1425" i="5" s="1"/>
  <c r="O1424" i="2"/>
  <c r="L1424" i="2"/>
  <c r="M1424" i="2" s="1"/>
  <c r="N1424" i="2" s="1"/>
  <c r="I1424" i="2"/>
  <c r="J1424" i="2" s="1"/>
  <c r="K1424" i="2" s="1"/>
  <c r="Y1424" i="2" s="1"/>
  <c r="F1424" i="2"/>
  <c r="G1424" i="2" s="1"/>
  <c r="H1424" i="2" s="1"/>
  <c r="C1424" i="5" s="1"/>
  <c r="D1424" i="2"/>
  <c r="E1424" i="2" s="1"/>
  <c r="B1424" i="5" s="1"/>
  <c r="B1424" i="2"/>
  <c r="C1424" i="2" s="1"/>
  <c r="O1423" i="2"/>
  <c r="L1423" i="2"/>
  <c r="M1423" i="2" s="1"/>
  <c r="N1423" i="2" s="1"/>
  <c r="I1423" i="2"/>
  <c r="J1423" i="2" s="1"/>
  <c r="K1423" i="2" s="1"/>
  <c r="F1423" i="2"/>
  <c r="G1423" i="2" s="1"/>
  <c r="H1423" i="2" s="1"/>
  <c r="C1423" i="5" s="1"/>
  <c r="D1423" i="2"/>
  <c r="E1423" i="2" s="1"/>
  <c r="B1423" i="5" s="1"/>
  <c r="B1423" i="2"/>
  <c r="C1423" i="2" s="1"/>
  <c r="A1423" i="5" s="1"/>
  <c r="O1422" i="2"/>
  <c r="L1422" i="2"/>
  <c r="M1422" i="2" s="1"/>
  <c r="N1422" i="2" s="1"/>
  <c r="I1422" i="2"/>
  <c r="J1422" i="2" s="1"/>
  <c r="K1422" i="2" s="1"/>
  <c r="Y1422" i="2" s="1"/>
  <c r="F1422" i="2"/>
  <c r="G1422" i="2" s="1"/>
  <c r="H1422" i="2" s="1"/>
  <c r="C1422" i="5" s="1"/>
  <c r="D1422" i="2"/>
  <c r="E1422" i="2" s="1"/>
  <c r="B1422" i="5" s="1"/>
  <c r="B1422" i="2"/>
  <c r="C1422" i="2" s="1"/>
  <c r="O1421" i="2"/>
  <c r="L1421" i="2"/>
  <c r="M1421" i="2" s="1"/>
  <c r="N1421" i="2" s="1"/>
  <c r="I1421" i="2"/>
  <c r="J1421" i="2" s="1"/>
  <c r="K1421" i="2" s="1"/>
  <c r="F1421" i="2"/>
  <c r="G1421" i="2" s="1"/>
  <c r="H1421" i="2" s="1"/>
  <c r="C1421" i="5" s="1"/>
  <c r="D1421" i="2"/>
  <c r="E1421" i="2" s="1"/>
  <c r="B1421" i="5" s="1"/>
  <c r="B1421" i="2"/>
  <c r="C1421" i="2" s="1"/>
  <c r="A1421" i="5" s="1"/>
  <c r="O1420" i="2"/>
  <c r="L1420" i="2"/>
  <c r="M1420" i="2" s="1"/>
  <c r="N1420" i="2" s="1"/>
  <c r="I1420" i="2"/>
  <c r="J1420" i="2" s="1"/>
  <c r="K1420" i="2" s="1"/>
  <c r="Y1420" i="2" s="1"/>
  <c r="F1420" i="2"/>
  <c r="G1420" i="2" s="1"/>
  <c r="H1420" i="2" s="1"/>
  <c r="C1420" i="5" s="1"/>
  <c r="D1420" i="2"/>
  <c r="E1420" i="2" s="1"/>
  <c r="B1420" i="5" s="1"/>
  <c r="B1420" i="2"/>
  <c r="C1420" i="2" s="1"/>
  <c r="O1419" i="2"/>
  <c r="L1419" i="2"/>
  <c r="M1419" i="2" s="1"/>
  <c r="N1419" i="2" s="1"/>
  <c r="I1419" i="2"/>
  <c r="J1419" i="2" s="1"/>
  <c r="K1419" i="2" s="1"/>
  <c r="F1419" i="2"/>
  <c r="G1419" i="2" s="1"/>
  <c r="H1419" i="2" s="1"/>
  <c r="C1419" i="5" s="1"/>
  <c r="D1419" i="2"/>
  <c r="E1419" i="2" s="1"/>
  <c r="B1419" i="5" s="1"/>
  <c r="B1419" i="2"/>
  <c r="C1419" i="2" s="1"/>
  <c r="A1419" i="5" s="1"/>
  <c r="O1418" i="2"/>
  <c r="L1418" i="2"/>
  <c r="M1418" i="2" s="1"/>
  <c r="N1418" i="2" s="1"/>
  <c r="I1418" i="2"/>
  <c r="J1418" i="2" s="1"/>
  <c r="K1418" i="2" s="1"/>
  <c r="Y1418" i="2" s="1"/>
  <c r="F1418" i="2"/>
  <c r="G1418" i="2" s="1"/>
  <c r="H1418" i="2" s="1"/>
  <c r="C1418" i="5" s="1"/>
  <c r="D1418" i="2"/>
  <c r="E1418" i="2" s="1"/>
  <c r="B1418" i="5" s="1"/>
  <c r="B1418" i="2"/>
  <c r="C1418" i="2" s="1"/>
  <c r="O1417" i="2"/>
  <c r="L1417" i="2"/>
  <c r="M1417" i="2" s="1"/>
  <c r="N1417" i="2" s="1"/>
  <c r="I1417" i="2"/>
  <c r="J1417" i="2" s="1"/>
  <c r="K1417" i="2" s="1"/>
  <c r="F1417" i="2"/>
  <c r="G1417" i="2" s="1"/>
  <c r="H1417" i="2" s="1"/>
  <c r="C1417" i="5" s="1"/>
  <c r="D1417" i="2"/>
  <c r="E1417" i="2" s="1"/>
  <c r="B1417" i="5" s="1"/>
  <c r="B1417" i="2"/>
  <c r="C1417" i="2" s="1"/>
  <c r="A1417" i="5" s="1"/>
  <c r="O1416" i="2"/>
  <c r="L1416" i="2"/>
  <c r="M1416" i="2" s="1"/>
  <c r="N1416" i="2" s="1"/>
  <c r="I1416" i="2"/>
  <c r="J1416" i="2" s="1"/>
  <c r="K1416" i="2" s="1"/>
  <c r="Y1416" i="2" s="1"/>
  <c r="F1416" i="2"/>
  <c r="G1416" i="2" s="1"/>
  <c r="H1416" i="2" s="1"/>
  <c r="C1416" i="5" s="1"/>
  <c r="D1416" i="2"/>
  <c r="E1416" i="2" s="1"/>
  <c r="B1416" i="5" s="1"/>
  <c r="B1416" i="2"/>
  <c r="C1416" i="2" s="1"/>
  <c r="O1415" i="2"/>
  <c r="L1415" i="2"/>
  <c r="M1415" i="2" s="1"/>
  <c r="N1415" i="2" s="1"/>
  <c r="I1415" i="2"/>
  <c r="J1415" i="2" s="1"/>
  <c r="K1415" i="2" s="1"/>
  <c r="F1415" i="2"/>
  <c r="G1415" i="2" s="1"/>
  <c r="H1415" i="2" s="1"/>
  <c r="C1415" i="5" s="1"/>
  <c r="D1415" i="2"/>
  <c r="E1415" i="2" s="1"/>
  <c r="B1415" i="5" s="1"/>
  <c r="B1415" i="2"/>
  <c r="C1415" i="2" s="1"/>
  <c r="A1415" i="5" s="1"/>
  <c r="O1414" i="2"/>
  <c r="L1414" i="2"/>
  <c r="M1414" i="2" s="1"/>
  <c r="N1414" i="2" s="1"/>
  <c r="I1414" i="2"/>
  <c r="J1414" i="2" s="1"/>
  <c r="K1414" i="2" s="1"/>
  <c r="Y1414" i="2" s="1"/>
  <c r="F1414" i="2"/>
  <c r="G1414" i="2" s="1"/>
  <c r="H1414" i="2" s="1"/>
  <c r="C1414" i="5" s="1"/>
  <c r="D1414" i="2"/>
  <c r="E1414" i="2" s="1"/>
  <c r="B1414" i="5" s="1"/>
  <c r="B1414" i="2"/>
  <c r="C1414" i="2" s="1"/>
  <c r="O1413" i="2"/>
  <c r="L1413" i="2"/>
  <c r="M1413" i="2" s="1"/>
  <c r="N1413" i="2" s="1"/>
  <c r="I1413" i="2"/>
  <c r="J1413" i="2" s="1"/>
  <c r="K1413" i="2" s="1"/>
  <c r="F1413" i="2"/>
  <c r="G1413" i="2" s="1"/>
  <c r="H1413" i="2" s="1"/>
  <c r="C1413" i="5" s="1"/>
  <c r="D1413" i="2"/>
  <c r="E1413" i="2" s="1"/>
  <c r="B1413" i="5" s="1"/>
  <c r="B1413" i="2"/>
  <c r="C1413" i="2" s="1"/>
  <c r="A1413" i="5" s="1"/>
  <c r="O1412" i="2"/>
  <c r="L1412" i="2"/>
  <c r="M1412" i="2" s="1"/>
  <c r="N1412" i="2" s="1"/>
  <c r="I1412" i="2"/>
  <c r="J1412" i="2" s="1"/>
  <c r="K1412" i="2" s="1"/>
  <c r="Y1412" i="2" s="1"/>
  <c r="F1412" i="2"/>
  <c r="G1412" i="2" s="1"/>
  <c r="H1412" i="2" s="1"/>
  <c r="C1412" i="5" s="1"/>
  <c r="D1412" i="2"/>
  <c r="E1412" i="2" s="1"/>
  <c r="B1412" i="5" s="1"/>
  <c r="B1412" i="2"/>
  <c r="C1412" i="2" s="1"/>
  <c r="O1411" i="2"/>
  <c r="L1411" i="2"/>
  <c r="M1411" i="2" s="1"/>
  <c r="N1411" i="2" s="1"/>
  <c r="I1411" i="2"/>
  <c r="J1411" i="2" s="1"/>
  <c r="K1411" i="2" s="1"/>
  <c r="F1411" i="2"/>
  <c r="G1411" i="2" s="1"/>
  <c r="H1411" i="2" s="1"/>
  <c r="C1411" i="5" s="1"/>
  <c r="D1411" i="2"/>
  <c r="E1411" i="2" s="1"/>
  <c r="B1411" i="5" s="1"/>
  <c r="B1411" i="2"/>
  <c r="C1411" i="2" s="1"/>
  <c r="A1411" i="5" s="1"/>
  <c r="O1410" i="2"/>
  <c r="L1410" i="2"/>
  <c r="M1410" i="2" s="1"/>
  <c r="N1410" i="2" s="1"/>
  <c r="I1410" i="2"/>
  <c r="J1410" i="2" s="1"/>
  <c r="K1410" i="2" s="1"/>
  <c r="Y1410" i="2" s="1"/>
  <c r="F1410" i="2"/>
  <c r="G1410" i="2" s="1"/>
  <c r="H1410" i="2" s="1"/>
  <c r="C1410" i="5" s="1"/>
  <c r="D1410" i="2"/>
  <c r="E1410" i="2" s="1"/>
  <c r="B1410" i="5" s="1"/>
  <c r="B1410" i="2"/>
  <c r="C1410" i="2" s="1"/>
  <c r="O1409" i="2"/>
  <c r="L1409" i="2"/>
  <c r="M1409" i="2" s="1"/>
  <c r="N1409" i="2" s="1"/>
  <c r="I1409" i="2"/>
  <c r="J1409" i="2" s="1"/>
  <c r="K1409" i="2" s="1"/>
  <c r="F1409" i="2"/>
  <c r="G1409" i="2" s="1"/>
  <c r="H1409" i="2" s="1"/>
  <c r="C1409" i="5" s="1"/>
  <c r="D1409" i="2"/>
  <c r="E1409" i="2" s="1"/>
  <c r="B1409" i="5" s="1"/>
  <c r="B1409" i="2"/>
  <c r="C1409" i="2" s="1"/>
  <c r="A1409" i="5" s="1"/>
  <c r="O1408" i="2"/>
  <c r="L1408" i="2"/>
  <c r="M1408" i="2" s="1"/>
  <c r="N1408" i="2" s="1"/>
  <c r="I1408" i="2"/>
  <c r="J1408" i="2" s="1"/>
  <c r="K1408" i="2" s="1"/>
  <c r="Y1408" i="2" s="1"/>
  <c r="F1408" i="2"/>
  <c r="G1408" i="2" s="1"/>
  <c r="H1408" i="2" s="1"/>
  <c r="C1408" i="5" s="1"/>
  <c r="D1408" i="2"/>
  <c r="E1408" i="2" s="1"/>
  <c r="B1408" i="5" s="1"/>
  <c r="B1408" i="2"/>
  <c r="C1408" i="2" s="1"/>
  <c r="O1407" i="2"/>
  <c r="L1407" i="2"/>
  <c r="M1407" i="2" s="1"/>
  <c r="N1407" i="2" s="1"/>
  <c r="I1407" i="2"/>
  <c r="J1407" i="2" s="1"/>
  <c r="K1407" i="2" s="1"/>
  <c r="F1407" i="2"/>
  <c r="G1407" i="2" s="1"/>
  <c r="H1407" i="2" s="1"/>
  <c r="C1407" i="5" s="1"/>
  <c r="D1407" i="2"/>
  <c r="E1407" i="2" s="1"/>
  <c r="B1407" i="5" s="1"/>
  <c r="B1407" i="2"/>
  <c r="C1407" i="2" s="1"/>
  <c r="A1407" i="5" s="1"/>
  <c r="O1406" i="2"/>
  <c r="L1406" i="2"/>
  <c r="M1406" i="2" s="1"/>
  <c r="N1406" i="2" s="1"/>
  <c r="I1406" i="2"/>
  <c r="J1406" i="2" s="1"/>
  <c r="K1406" i="2" s="1"/>
  <c r="Y1406" i="2" s="1"/>
  <c r="F1406" i="2"/>
  <c r="G1406" i="2" s="1"/>
  <c r="H1406" i="2" s="1"/>
  <c r="C1406" i="5" s="1"/>
  <c r="D1406" i="2"/>
  <c r="E1406" i="2" s="1"/>
  <c r="B1406" i="5" s="1"/>
  <c r="B1406" i="2"/>
  <c r="C1406" i="2" s="1"/>
  <c r="O1405" i="2"/>
  <c r="L1405" i="2"/>
  <c r="M1405" i="2" s="1"/>
  <c r="N1405" i="2" s="1"/>
  <c r="I1405" i="2"/>
  <c r="J1405" i="2" s="1"/>
  <c r="K1405" i="2" s="1"/>
  <c r="F1405" i="2"/>
  <c r="G1405" i="2" s="1"/>
  <c r="H1405" i="2" s="1"/>
  <c r="C1405" i="5" s="1"/>
  <c r="D1405" i="2"/>
  <c r="E1405" i="2" s="1"/>
  <c r="B1405" i="5" s="1"/>
  <c r="B1405" i="2"/>
  <c r="C1405" i="2" s="1"/>
  <c r="A1405" i="5" s="1"/>
  <c r="O1404" i="2"/>
  <c r="L1404" i="2"/>
  <c r="M1404" i="2" s="1"/>
  <c r="N1404" i="2" s="1"/>
  <c r="I1404" i="2"/>
  <c r="J1404" i="2" s="1"/>
  <c r="K1404" i="2" s="1"/>
  <c r="Y1404" i="2" s="1"/>
  <c r="F1404" i="2"/>
  <c r="G1404" i="2" s="1"/>
  <c r="H1404" i="2" s="1"/>
  <c r="C1404" i="5" s="1"/>
  <c r="D1404" i="2"/>
  <c r="E1404" i="2" s="1"/>
  <c r="B1404" i="5" s="1"/>
  <c r="B1404" i="2"/>
  <c r="C1404" i="2" s="1"/>
  <c r="O1403" i="2"/>
  <c r="L1403" i="2"/>
  <c r="M1403" i="2" s="1"/>
  <c r="N1403" i="2" s="1"/>
  <c r="I1403" i="2"/>
  <c r="J1403" i="2" s="1"/>
  <c r="K1403" i="2" s="1"/>
  <c r="F1403" i="2"/>
  <c r="G1403" i="2" s="1"/>
  <c r="H1403" i="2" s="1"/>
  <c r="C1403" i="5" s="1"/>
  <c r="D1403" i="2"/>
  <c r="E1403" i="2" s="1"/>
  <c r="B1403" i="5" s="1"/>
  <c r="B1403" i="2"/>
  <c r="C1403" i="2" s="1"/>
  <c r="A1403" i="5" s="1"/>
  <c r="O1402" i="2"/>
  <c r="L1402" i="2"/>
  <c r="M1402" i="2" s="1"/>
  <c r="N1402" i="2" s="1"/>
  <c r="I1402" i="2"/>
  <c r="J1402" i="2" s="1"/>
  <c r="K1402" i="2" s="1"/>
  <c r="Y1402" i="2" s="1"/>
  <c r="F1402" i="2"/>
  <c r="G1402" i="2" s="1"/>
  <c r="H1402" i="2" s="1"/>
  <c r="C1402" i="5" s="1"/>
  <c r="D1402" i="2"/>
  <c r="E1402" i="2" s="1"/>
  <c r="B1402" i="5" s="1"/>
  <c r="B1402" i="2"/>
  <c r="C1402" i="2" s="1"/>
  <c r="O1401" i="2"/>
  <c r="L1401" i="2"/>
  <c r="M1401" i="2" s="1"/>
  <c r="N1401" i="2" s="1"/>
  <c r="I1401" i="2"/>
  <c r="J1401" i="2" s="1"/>
  <c r="K1401" i="2" s="1"/>
  <c r="F1401" i="2"/>
  <c r="G1401" i="2" s="1"/>
  <c r="H1401" i="2" s="1"/>
  <c r="C1401" i="5" s="1"/>
  <c r="D1401" i="2"/>
  <c r="E1401" i="2" s="1"/>
  <c r="B1401" i="5" s="1"/>
  <c r="B1401" i="2"/>
  <c r="C1401" i="2" s="1"/>
  <c r="A1401" i="5" s="1"/>
  <c r="O1400" i="2"/>
  <c r="L1400" i="2"/>
  <c r="M1400" i="2" s="1"/>
  <c r="N1400" i="2" s="1"/>
  <c r="I1400" i="2"/>
  <c r="J1400" i="2" s="1"/>
  <c r="K1400" i="2" s="1"/>
  <c r="Y1400" i="2" s="1"/>
  <c r="F1400" i="2"/>
  <c r="G1400" i="2" s="1"/>
  <c r="H1400" i="2" s="1"/>
  <c r="C1400" i="5" s="1"/>
  <c r="D1400" i="2"/>
  <c r="E1400" i="2" s="1"/>
  <c r="B1400" i="5" s="1"/>
  <c r="B1400" i="2"/>
  <c r="C1400" i="2" s="1"/>
  <c r="O1399" i="2"/>
  <c r="L1399" i="2"/>
  <c r="M1399" i="2" s="1"/>
  <c r="N1399" i="2" s="1"/>
  <c r="I1399" i="2"/>
  <c r="J1399" i="2" s="1"/>
  <c r="K1399" i="2" s="1"/>
  <c r="F1399" i="2"/>
  <c r="G1399" i="2" s="1"/>
  <c r="H1399" i="2" s="1"/>
  <c r="C1399" i="5" s="1"/>
  <c r="D1399" i="2"/>
  <c r="E1399" i="2" s="1"/>
  <c r="B1399" i="5" s="1"/>
  <c r="B1399" i="2"/>
  <c r="C1399" i="2" s="1"/>
  <c r="A1399" i="5" s="1"/>
  <c r="O1398" i="2"/>
  <c r="L1398" i="2"/>
  <c r="M1398" i="2" s="1"/>
  <c r="N1398" i="2" s="1"/>
  <c r="I1398" i="2"/>
  <c r="J1398" i="2" s="1"/>
  <c r="K1398" i="2" s="1"/>
  <c r="Y1398" i="2" s="1"/>
  <c r="F1398" i="2"/>
  <c r="G1398" i="2" s="1"/>
  <c r="H1398" i="2" s="1"/>
  <c r="C1398" i="5" s="1"/>
  <c r="D1398" i="2"/>
  <c r="E1398" i="2" s="1"/>
  <c r="B1398" i="5" s="1"/>
  <c r="B1398" i="2"/>
  <c r="C1398" i="2" s="1"/>
  <c r="O1397" i="2"/>
  <c r="L1397" i="2"/>
  <c r="M1397" i="2" s="1"/>
  <c r="N1397" i="2" s="1"/>
  <c r="I1397" i="2"/>
  <c r="J1397" i="2" s="1"/>
  <c r="K1397" i="2" s="1"/>
  <c r="F1397" i="2"/>
  <c r="G1397" i="2" s="1"/>
  <c r="H1397" i="2" s="1"/>
  <c r="C1397" i="5" s="1"/>
  <c r="D1397" i="2"/>
  <c r="E1397" i="2" s="1"/>
  <c r="B1397" i="5" s="1"/>
  <c r="B1397" i="2"/>
  <c r="C1397" i="2" s="1"/>
  <c r="A1397" i="5" s="1"/>
  <c r="O1396" i="2"/>
  <c r="L1396" i="2"/>
  <c r="M1396" i="2" s="1"/>
  <c r="N1396" i="2" s="1"/>
  <c r="I1396" i="2"/>
  <c r="J1396" i="2" s="1"/>
  <c r="K1396" i="2" s="1"/>
  <c r="Y1396" i="2" s="1"/>
  <c r="F1396" i="2"/>
  <c r="G1396" i="2" s="1"/>
  <c r="H1396" i="2" s="1"/>
  <c r="C1396" i="5" s="1"/>
  <c r="D1396" i="2"/>
  <c r="E1396" i="2" s="1"/>
  <c r="B1396" i="5" s="1"/>
  <c r="B1396" i="2"/>
  <c r="C1396" i="2" s="1"/>
  <c r="O1395" i="2"/>
  <c r="L1395" i="2"/>
  <c r="M1395" i="2" s="1"/>
  <c r="N1395" i="2" s="1"/>
  <c r="I1395" i="2"/>
  <c r="J1395" i="2" s="1"/>
  <c r="K1395" i="2" s="1"/>
  <c r="F1395" i="2"/>
  <c r="G1395" i="2" s="1"/>
  <c r="H1395" i="2" s="1"/>
  <c r="C1395" i="5" s="1"/>
  <c r="D1395" i="2"/>
  <c r="E1395" i="2" s="1"/>
  <c r="B1395" i="5" s="1"/>
  <c r="B1395" i="2"/>
  <c r="C1395" i="2" s="1"/>
  <c r="A1395" i="5" s="1"/>
  <c r="O1394" i="2"/>
  <c r="L1394" i="2"/>
  <c r="M1394" i="2" s="1"/>
  <c r="N1394" i="2" s="1"/>
  <c r="I1394" i="2"/>
  <c r="J1394" i="2" s="1"/>
  <c r="K1394" i="2" s="1"/>
  <c r="Y1394" i="2" s="1"/>
  <c r="F1394" i="2"/>
  <c r="G1394" i="2" s="1"/>
  <c r="H1394" i="2" s="1"/>
  <c r="C1394" i="5" s="1"/>
  <c r="D1394" i="2"/>
  <c r="E1394" i="2" s="1"/>
  <c r="B1394" i="5" s="1"/>
  <c r="B1394" i="2"/>
  <c r="C1394" i="2" s="1"/>
  <c r="O1393" i="2"/>
  <c r="L1393" i="2"/>
  <c r="M1393" i="2" s="1"/>
  <c r="N1393" i="2" s="1"/>
  <c r="E1393" i="5" s="1"/>
  <c r="I1393" i="2"/>
  <c r="J1393" i="2" s="1"/>
  <c r="K1393" i="2" s="1"/>
  <c r="F1393" i="2"/>
  <c r="G1393" i="2" s="1"/>
  <c r="H1393" i="2" s="1"/>
  <c r="C1393" i="5" s="1"/>
  <c r="D1393" i="2"/>
  <c r="E1393" i="2" s="1"/>
  <c r="B1393" i="5" s="1"/>
  <c r="B1393" i="2"/>
  <c r="C1393" i="2" s="1"/>
  <c r="A1393" i="5" s="1"/>
  <c r="O1392" i="2"/>
  <c r="L1392" i="2"/>
  <c r="M1392" i="2" s="1"/>
  <c r="N1392" i="2" s="1"/>
  <c r="I1392" i="2"/>
  <c r="J1392" i="2" s="1"/>
  <c r="K1392" i="2" s="1"/>
  <c r="D1392" i="5" s="1"/>
  <c r="F1392" i="2"/>
  <c r="G1392" i="2" s="1"/>
  <c r="H1392" i="2" s="1"/>
  <c r="C1392" i="5" s="1"/>
  <c r="D1392" i="2"/>
  <c r="E1392" i="2" s="1"/>
  <c r="B1392" i="5" s="1"/>
  <c r="B1392" i="2"/>
  <c r="C1392" i="2" s="1"/>
  <c r="O1391" i="2"/>
  <c r="L1391" i="2"/>
  <c r="M1391" i="2" s="1"/>
  <c r="N1391" i="2" s="1"/>
  <c r="E1391" i="5" s="1"/>
  <c r="I1391" i="2"/>
  <c r="J1391" i="2" s="1"/>
  <c r="K1391" i="2" s="1"/>
  <c r="F1391" i="2"/>
  <c r="G1391" i="2" s="1"/>
  <c r="H1391" i="2" s="1"/>
  <c r="C1391" i="5" s="1"/>
  <c r="D1391" i="2"/>
  <c r="E1391" i="2" s="1"/>
  <c r="B1391" i="5" s="1"/>
  <c r="B1391" i="2"/>
  <c r="C1391" i="2" s="1"/>
  <c r="A1391" i="5" s="1"/>
  <c r="O1390" i="2"/>
  <c r="L1390" i="2"/>
  <c r="M1390" i="2" s="1"/>
  <c r="N1390" i="2" s="1"/>
  <c r="I1390" i="2"/>
  <c r="J1390" i="2" s="1"/>
  <c r="K1390" i="2" s="1"/>
  <c r="F1390" i="2"/>
  <c r="G1390" i="2" s="1"/>
  <c r="H1390" i="2" s="1"/>
  <c r="C1390" i="5" s="1"/>
  <c r="D1390" i="2"/>
  <c r="E1390" i="2" s="1"/>
  <c r="B1390" i="5" s="1"/>
  <c r="B1390" i="2"/>
  <c r="C1390" i="2" s="1"/>
  <c r="O1389" i="2"/>
  <c r="L1389" i="2"/>
  <c r="M1389" i="2" s="1"/>
  <c r="N1389" i="2" s="1"/>
  <c r="E1389" i="5" s="1"/>
  <c r="I1389" i="2"/>
  <c r="J1389" i="2" s="1"/>
  <c r="K1389" i="2" s="1"/>
  <c r="F1389" i="2"/>
  <c r="G1389" i="2" s="1"/>
  <c r="H1389" i="2" s="1"/>
  <c r="C1389" i="5" s="1"/>
  <c r="D1389" i="2"/>
  <c r="E1389" i="2" s="1"/>
  <c r="B1389" i="5" s="1"/>
  <c r="B1389" i="2"/>
  <c r="C1389" i="2" s="1"/>
  <c r="A1389" i="5" s="1"/>
  <c r="O1388" i="2"/>
  <c r="L1388" i="2"/>
  <c r="M1388" i="2" s="1"/>
  <c r="N1388" i="2" s="1"/>
  <c r="I1388" i="2"/>
  <c r="J1388" i="2" s="1"/>
  <c r="K1388" i="2" s="1"/>
  <c r="F1388" i="2"/>
  <c r="G1388" i="2" s="1"/>
  <c r="H1388" i="2" s="1"/>
  <c r="C1388" i="5" s="1"/>
  <c r="D1388" i="2"/>
  <c r="E1388" i="2" s="1"/>
  <c r="B1388" i="5" s="1"/>
  <c r="B1388" i="2"/>
  <c r="C1388" i="2" s="1"/>
  <c r="O1387" i="2"/>
  <c r="L1387" i="2"/>
  <c r="M1387" i="2" s="1"/>
  <c r="N1387" i="2" s="1"/>
  <c r="E1387" i="5" s="1"/>
  <c r="I1387" i="2"/>
  <c r="J1387" i="2" s="1"/>
  <c r="K1387" i="2" s="1"/>
  <c r="F1387" i="2"/>
  <c r="G1387" i="2" s="1"/>
  <c r="H1387" i="2" s="1"/>
  <c r="C1387" i="5" s="1"/>
  <c r="D1387" i="2"/>
  <c r="E1387" i="2" s="1"/>
  <c r="B1387" i="5" s="1"/>
  <c r="B1387" i="2"/>
  <c r="C1387" i="2" s="1"/>
  <c r="A1387" i="5" s="1"/>
  <c r="O1386" i="2"/>
  <c r="L1386" i="2"/>
  <c r="M1386" i="2" s="1"/>
  <c r="N1386" i="2" s="1"/>
  <c r="I1386" i="2"/>
  <c r="J1386" i="2" s="1"/>
  <c r="K1386" i="2" s="1"/>
  <c r="F1386" i="2"/>
  <c r="G1386" i="2" s="1"/>
  <c r="H1386" i="2" s="1"/>
  <c r="C1386" i="5" s="1"/>
  <c r="D1386" i="2"/>
  <c r="E1386" i="2" s="1"/>
  <c r="B1386" i="5" s="1"/>
  <c r="B1386" i="2"/>
  <c r="C1386" i="2" s="1"/>
  <c r="O1385" i="2"/>
  <c r="L1385" i="2"/>
  <c r="M1385" i="2" s="1"/>
  <c r="N1385" i="2" s="1"/>
  <c r="E1385" i="5" s="1"/>
  <c r="I1385" i="2"/>
  <c r="J1385" i="2" s="1"/>
  <c r="K1385" i="2" s="1"/>
  <c r="F1385" i="2"/>
  <c r="G1385" i="2" s="1"/>
  <c r="H1385" i="2" s="1"/>
  <c r="C1385" i="5" s="1"/>
  <c r="D1385" i="2"/>
  <c r="E1385" i="2" s="1"/>
  <c r="B1385" i="5" s="1"/>
  <c r="B1385" i="2"/>
  <c r="C1385" i="2" s="1"/>
  <c r="O1384" i="2"/>
  <c r="L1384" i="2"/>
  <c r="M1384" i="2" s="1"/>
  <c r="N1384" i="2" s="1"/>
  <c r="I1384" i="2"/>
  <c r="J1384" i="2" s="1"/>
  <c r="K1384" i="2" s="1"/>
  <c r="D1384" i="5" s="1"/>
  <c r="F1384" i="2"/>
  <c r="G1384" i="2" s="1"/>
  <c r="H1384" i="2" s="1"/>
  <c r="C1384" i="5" s="1"/>
  <c r="D1384" i="2"/>
  <c r="E1384" i="2" s="1"/>
  <c r="B1384" i="5" s="1"/>
  <c r="B1384" i="2"/>
  <c r="C1384" i="2" s="1"/>
  <c r="O1383" i="2"/>
  <c r="L1383" i="2"/>
  <c r="M1383" i="2" s="1"/>
  <c r="N1383" i="2" s="1"/>
  <c r="E1383" i="5" s="1"/>
  <c r="I1383" i="2"/>
  <c r="J1383" i="2" s="1"/>
  <c r="K1383" i="2" s="1"/>
  <c r="F1383" i="2"/>
  <c r="G1383" i="2" s="1"/>
  <c r="H1383" i="2" s="1"/>
  <c r="C1383" i="5" s="1"/>
  <c r="D1383" i="2"/>
  <c r="E1383" i="2" s="1"/>
  <c r="B1383" i="5" s="1"/>
  <c r="B1383" i="2"/>
  <c r="C1383" i="2" s="1"/>
  <c r="A1383" i="5" s="1"/>
  <c r="O1382" i="2"/>
  <c r="L1382" i="2"/>
  <c r="M1382" i="2" s="1"/>
  <c r="N1382" i="2" s="1"/>
  <c r="I1382" i="2"/>
  <c r="J1382" i="2" s="1"/>
  <c r="K1382" i="2" s="1"/>
  <c r="F1382" i="2"/>
  <c r="G1382" i="2" s="1"/>
  <c r="H1382" i="2" s="1"/>
  <c r="C1382" i="5" s="1"/>
  <c r="D1382" i="2"/>
  <c r="E1382" i="2" s="1"/>
  <c r="B1382" i="5" s="1"/>
  <c r="B1382" i="2"/>
  <c r="C1382" i="2" s="1"/>
  <c r="O1381" i="2"/>
  <c r="L1381" i="2"/>
  <c r="M1381" i="2" s="1"/>
  <c r="N1381" i="2" s="1"/>
  <c r="E1381" i="5" s="1"/>
  <c r="I1381" i="2"/>
  <c r="J1381" i="2" s="1"/>
  <c r="K1381" i="2" s="1"/>
  <c r="F1381" i="2"/>
  <c r="G1381" i="2" s="1"/>
  <c r="H1381" i="2" s="1"/>
  <c r="C1381" i="5" s="1"/>
  <c r="D1381" i="2"/>
  <c r="E1381" i="2" s="1"/>
  <c r="B1381" i="5" s="1"/>
  <c r="B1381" i="2"/>
  <c r="C1381" i="2" s="1"/>
  <c r="A1381" i="5" s="1"/>
  <c r="O1380" i="2"/>
  <c r="L1380" i="2"/>
  <c r="M1380" i="2" s="1"/>
  <c r="N1380" i="2" s="1"/>
  <c r="I1380" i="2"/>
  <c r="J1380" i="2" s="1"/>
  <c r="K1380" i="2" s="1"/>
  <c r="F1380" i="2"/>
  <c r="G1380" i="2" s="1"/>
  <c r="H1380" i="2" s="1"/>
  <c r="C1380" i="5" s="1"/>
  <c r="D1380" i="2"/>
  <c r="E1380" i="2" s="1"/>
  <c r="B1380" i="5" s="1"/>
  <c r="B1380" i="2"/>
  <c r="C1380" i="2" s="1"/>
  <c r="O1379" i="2"/>
  <c r="L1379" i="2"/>
  <c r="M1379" i="2" s="1"/>
  <c r="N1379" i="2" s="1"/>
  <c r="E1379" i="5" s="1"/>
  <c r="I1379" i="2"/>
  <c r="J1379" i="2" s="1"/>
  <c r="K1379" i="2" s="1"/>
  <c r="F1379" i="2"/>
  <c r="G1379" i="2" s="1"/>
  <c r="H1379" i="2" s="1"/>
  <c r="C1379" i="5" s="1"/>
  <c r="D1379" i="2"/>
  <c r="E1379" i="2" s="1"/>
  <c r="B1379" i="5" s="1"/>
  <c r="B1379" i="2"/>
  <c r="C1379" i="2" s="1"/>
  <c r="A1379" i="5" s="1"/>
  <c r="O1378" i="2"/>
  <c r="L1378" i="2"/>
  <c r="M1378" i="2" s="1"/>
  <c r="N1378" i="2" s="1"/>
  <c r="I1378" i="2"/>
  <c r="J1378" i="2" s="1"/>
  <c r="K1378" i="2" s="1"/>
  <c r="F1378" i="2"/>
  <c r="G1378" i="2" s="1"/>
  <c r="H1378" i="2" s="1"/>
  <c r="C1378" i="5" s="1"/>
  <c r="D1378" i="2"/>
  <c r="E1378" i="2" s="1"/>
  <c r="B1378" i="5" s="1"/>
  <c r="B1378" i="2"/>
  <c r="C1378" i="2" s="1"/>
  <c r="O1377" i="2"/>
  <c r="L1377" i="2"/>
  <c r="M1377" i="2" s="1"/>
  <c r="N1377" i="2" s="1"/>
  <c r="E1377" i="5" s="1"/>
  <c r="I1377" i="2"/>
  <c r="J1377" i="2" s="1"/>
  <c r="K1377" i="2" s="1"/>
  <c r="F1377" i="2"/>
  <c r="G1377" i="2" s="1"/>
  <c r="H1377" i="2" s="1"/>
  <c r="C1377" i="5" s="1"/>
  <c r="D1377" i="2"/>
  <c r="E1377" i="2" s="1"/>
  <c r="B1377" i="5" s="1"/>
  <c r="B1377" i="2"/>
  <c r="C1377" i="2" s="1"/>
  <c r="A1377" i="5" s="1"/>
  <c r="O1376" i="2"/>
  <c r="L1376" i="2"/>
  <c r="M1376" i="2" s="1"/>
  <c r="N1376" i="2" s="1"/>
  <c r="I1376" i="2"/>
  <c r="J1376" i="2" s="1"/>
  <c r="K1376" i="2" s="1"/>
  <c r="D1376" i="5" s="1"/>
  <c r="F1376" i="2"/>
  <c r="G1376" i="2" s="1"/>
  <c r="H1376" i="2" s="1"/>
  <c r="C1376" i="5" s="1"/>
  <c r="D1376" i="2"/>
  <c r="E1376" i="2" s="1"/>
  <c r="B1376" i="5" s="1"/>
  <c r="B1376" i="2"/>
  <c r="C1376" i="2" s="1"/>
  <c r="O1375" i="2"/>
  <c r="L1375" i="2"/>
  <c r="M1375" i="2" s="1"/>
  <c r="N1375" i="2" s="1"/>
  <c r="E1375" i="5" s="1"/>
  <c r="I1375" i="2"/>
  <c r="J1375" i="2" s="1"/>
  <c r="K1375" i="2" s="1"/>
  <c r="F1375" i="2"/>
  <c r="G1375" i="2" s="1"/>
  <c r="H1375" i="2" s="1"/>
  <c r="C1375" i="5" s="1"/>
  <c r="D1375" i="2"/>
  <c r="E1375" i="2" s="1"/>
  <c r="B1375" i="5" s="1"/>
  <c r="B1375" i="2"/>
  <c r="C1375" i="2" s="1"/>
  <c r="A1375" i="5" s="1"/>
  <c r="O1374" i="2"/>
  <c r="L1374" i="2"/>
  <c r="M1374" i="2" s="1"/>
  <c r="N1374" i="2" s="1"/>
  <c r="I1374" i="2"/>
  <c r="J1374" i="2" s="1"/>
  <c r="K1374" i="2" s="1"/>
  <c r="F1374" i="2"/>
  <c r="G1374" i="2" s="1"/>
  <c r="H1374" i="2" s="1"/>
  <c r="C1374" i="5" s="1"/>
  <c r="D1374" i="2"/>
  <c r="E1374" i="2" s="1"/>
  <c r="B1374" i="5" s="1"/>
  <c r="B1374" i="2"/>
  <c r="C1374" i="2" s="1"/>
  <c r="O1373" i="2"/>
  <c r="L1373" i="2"/>
  <c r="M1373" i="2" s="1"/>
  <c r="N1373" i="2" s="1"/>
  <c r="E1373" i="5" s="1"/>
  <c r="I1373" i="2"/>
  <c r="J1373" i="2" s="1"/>
  <c r="K1373" i="2" s="1"/>
  <c r="F1373" i="2"/>
  <c r="G1373" i="2" s="1"/>
  <c r="H1373" i="2" s="1"/>
  <c r="C1373" i="5" s="1"/>
  <c r="D1373" i="2"/>
  <c r="E1373" i="2" s="1"/>
  <c r="B1373" i="5" s="1"/>
  <c r="B1373" i="2"/>
  <c r="C1373" i="2" s="1"/>
  <c r="A1373" i="5" s="1"/>
  <c r="O1372" i="2"/>
  <c r="L1372" i="2"/>
  <c r="M1372" i="2" s="1"/>
  <c r="N1372" i="2" s="1"/>
  <c r="I1372" i="2"/>
  <c r="J1372" i="2" s="1"/>
  <c r="K1372" i="2" s="1"/>
  <c r="D1372" i="5" s="1"/>
  <c r="F1372" i="2"/>
  <c r="G1372" i="2" s="1"/>
  <c r="H1372" i="2" s="1"/>
  <c r="C1372" i="5" s="1"/>
  <c r="D1372" i="2"/>
  <c r="E1372" i="2" s="1"/>
  <c r="B1372" i="5" s="1"/>
  <c r="B1372" i="2"/>
  <c r="C1372" i="2" s="1"/>
  <c r="A1372" i="5" s="1"/>
  <c r="O1371" i="2"/>
  <c r="L1371" i="2"/>
  <c r="M1371" i="2" s="1"/>
  <c r="N1371" i="2" s="1"/>
  <c r="I1371" i="2"/>
  <c r="J1371" i="2" s="1"/>
  <c r="K1371" i="2" s="1"/>
  <c r="F1371" i="2"/>
  <c r="G1371" i="2" s="1"/>
  <c r="H1371" i="2" s="1"/>
  <c r="C1371" i="5" s="1"/>
  <c r="D1371" i="2"/>
  <c r="E1371" i="2" s="1"/>
  <c r="B1371" i="5" s="1"/>
  <c r="B1371" i="2"/>
  <c r="C1371" i="2" s="1"/>
  <c r="O1370" i="2"/>
  <c r="L1370" i="2"/>
  <c r="M1370" i="2" s="1"/>
  <c r="N1370" i="2" s="1"/>
  <c r="I1370" i="2"/>
  <c r="J1370" i="2" s="1"/>
  <c r="K1370" i="2" s="1"/>
  <c r="F1370" i="2"/>
  <c r="G1370" i="2" s="1"/>
  <c r="H1370" i="2" s="1"/>
  <c r="C1370" i="5" s="1"/>
  <c r="D1370" i="2"/>
  <c r="E1370" i="2" s="1"/>
  <c r="B1370" i="5" s="1"/>
  <c r="B1370" i="2"/>
  <c r="C1370" i="2" s="1"/>
  <c r="O1369" i="2"/>
  <c r="L1369" i="2"/>
  <c r="M1369" i="2" s="1"/>
  <c r="N1369" i="2" s="1"/>
  <c r="I1369" i="2"/>
  <c r="J1369" i="2" s="1"/>
  <c r="K1369" i="2" s="1"/>
  <c r="F1369" i="2"/>
  <c r="G1369" i="2" s="1"/>
  <c r="H1369" i="2" s="1"/>
  <c r="C1369" i="5" s="1"/>
  <c r="D1369" i="2"/>
  <c r="E1369" i="2" s="1"/>
  <c r="B1369" i="5" s="1"/>
  <c r="B1369" i="2"/>
  <c r="C1369" i="2" s="1"/>
  <c r="O1368" i="2"/>
  <c r="L1368" i="2"/>
  <c r="M1368" i="2" s="1"/>
  <c r="N1368" i="2" s="1"/>
  <c r="I1368" i="2"/>
  <c r="J1368" i="2" s="1"/>
  <c r="K1368" i="2" s="1"/>
  <c r="F1368" i="2"/>
  <c r="G1368" i="2" s="1"/>
  <c r="H1368" i="2" s="1"/>
  <c r="C1368" i="5" s="1"/>
  <c r="D1368" i="2"/>
  <c r="E1368" i="2" s="1"/>
  <c r="B1368" i="5" s="1"/>
  <c r="B1368" i="2"/>
  <c r="C1368" i="2" s="1"/>
  <c r="O1367" i="2"/>
  <c r="L1367" i="2"/>
  <c r="M1367" i="2" s="1"/>
  <c r="N1367" i="2" s="1"/>
  <c r="I1367" i="2"/>
  <c r="J1367" i="2" s="1"/>
  <c r="K1367" i="2" s="1"/>
  <c r="F1367" i="2"/>
  <c r="G1367" i="2" s="1"/>
  <c r="H1367" i="2" s="1"/>
  <c r="C1367" i="5" s="1"/>
  <c r="D1367" i="2"/>
  <c r="E1367" i="2" s="1"/>
  <c r="B1367" i="5" s="1"/>
  <c r="B1367" i="2"/>
  <c r="C1367" i="2" s="1"/>
  <c r="O1366" i="2"/>
  <c r="L1366" i="2"/>
  <c r="M1366" i="2" s="1"/>
  <c r="N1366" i="2" s="1"/>
  <c r="I1366" i="2"/>
  <c r="J1366" i="2" s="1"/>
  <c r="K1366" i="2" s="1"/>
  <c r="F1366" i="2"/>
  <c r="G1366" i="2" s="1"/>
  <c r="H1366" i="2" s="1"/>
  <c r="C1366" i="5" s="1"/>
  <c r="D1366" i="2"/>
  <c r="E1366" i="2" s="1"/>
  <c r="B1366" i="5" s="1"/>
  <c r="B1366" i="2"/>
  <c r="C1366" i="2" s="1"/>
  <c r="O1365" i="2"/>
  <c r="L1365" i="2"/>
  <c r="M1365" i="2" s="1"/>
  <c r="N1365" i="2" s="1"/>
  <c r="I1365" i="2"/>
  <c r="J1365" i="2" s="1"/>
  <c r="K1365" i="2" s="1"/>
  <c r="F1365" i="2"/>
  <c r="G1365" i="2" s="1"/>
  <c r="H1365" i="2" s="1"/>
  <c r="C1365" i="5" s="1"/>
  <c r="D1365" i="2"/>
  <c r="E1365" i="2" s="1"/>
  <c r="B1365" i="5" s="1"/>
  <c r="B1365" i="2"/>
  <c r="C1365" i="2" s="1"/>
  <c r="O1364" i="2"/>
  <c r="L1364" i="2"/>
  <c r="M1364" i="2" s="1"/>
  <c r="N1364" i="2" s="1"/>
  <c r="I1364" i="2"/>
  <c r="J1364" i="2" s="1"/>
  <c r="K1364" i="2" s="1"/>
  <c r="F1364" i="2"/>
  <c r="G1364" i="2" s="1"/>
  <c r="H1364" i="2" s="1"/>
  <c r="C1364" i="5" s="1"/>
  <c r="D1364" i="2"/>
  <c r="E1364" i="2" s="1"/>
  <c r="B1364" i="5" s="1"/>
  <c r="B1364" i="2"/>
  <c r="C1364" i="2" s="1"/>
  <c r="O1363" i="2"/>
  <c r="L1363" i="2"/>
  <c r="M1363" i="2" s="1"/>
  <c r="N1363" i="2" s="1"/>
  <c r="I1363" i="2"/>
  <c r="J1363" i="2" s="1"/>
  <c r="K1363" i="2" s="1"/>
  <c r="F1363" i="2"/>
  <c r="G1363" i="2" s="1"/>
  <c r="H1363" i="2" s="1"/>
  <c r="C1363" i="5" s="1"/>
  <c r="D1363" i="2"/>
  <c r="E1363" i="2" s="1"/>
  <c r="B1363" i="5" s="1"/>
  <c r="B1363" i="2"/>
  <c r="C1363" i="2" s="1"/>
  <c r="O1362" i="2"/>
  <c r="L1362" i="2"/>
  <c r="M1362" i="2" s="1"/>
  <c r="N1362" i="2" s="1"/>
  <c r="I1362" i="2"/>
  <c r="J1362" i="2" s="1"/>
  <c r="K1362" i="2" s="1"/>
  <c r="F1362" i="2"/>
  <c r="G1362" i="2" s="1"/>
  <c r="H1362" i="2" s="1"/>
  <c r="C1362" i="5" s="1"/>
  <c r="D1362" i="2"/>
  <c r="E1362" i="2" s="1"/>
  <c r="B1362" i="5" s="1"/>
  <c r="B1362" i="2"/>
  <c r="C1362" i="2" s="1"/>
  <c r="O1361" i="2"/>
  <c r="L1361" i="2"/>
  <c r="M1361" i="2" s="1"/>
  <c r="N1361" i="2" s="1"/>
  <c r="I1361" i="2"/>
  <c r="J1361" i="2" s="1"/>
  <c r="K1361" i="2" s="1"/>
  <c r="F1361" i="2"/>
  <c r="G1361" i="2" s="1"/>
  <c r="H1361" i="2" s="1"/>
  <c r="C1361" i="5" s="1"/>
  <c r="D1361" i="2"/>
  <c r="E1361" i="2" s="1"/>
  <c r="B1361" i="5" s="1"/>
  <c r="B1361" i="2"/>
  <c r="C1361" i="2" s="1"/>
  <c r="O1360" i="2"/>
  <c r="L1360" i="2"/>
  <c r="M1360" i="2" s="1"/>
  <c r="N1360" i="2" s="1"/>
  <c r="I1360" i="2"/>
  <c r="J1360" i="2" s="1"/>
  <c r="K1360" i="2" s="1"/>
  <c r="F1360" i="2"/>
  <c r="G1360" i="2" s="1"/>
  <c r="H1360" i="2" s="1"/>
  <c r="C1360" i="5" s="1"/>
  <c r="D1360" i="2"/>
  <c r="E1360" i="2" s="1"/>
  <c r="B1360" i="5" s="1"/>
  <c r="B1360" i="2"/>
  <c r="C1360" i="2" s="1"/>
  <c r="O1359" i="2"/>
  <c r="L1359" i="2"/>
  <c r="M1359" i="2" s="1"/>
  <c r="N1359" i="2" s="1"/>
  <c r="I1359" i="2"/>
  <c r="J1359" i="2" s="1"/>
  <c r="K1359" i="2" s="1"/>
  <c r="F1359" i="2"/>
  <c r="G1359" i="2" s="1"/>
  <c r="H1359" i="2" s="1"/>
  <c r="C1359" i="5" s="1"/>
  <c r="D1359" i="2"/>
  <c r="E1359" i="2" s="1"/>
  <c r="B1359" i="5" s="1"/>
  <c r="B1359" i="2"/>
  <c r="C1359" i="2" s="1"/>
  <c r="O1358" i="2"/>
  <c r="L1358" i="2"/>
  <c r="M1358" i="2" s="1"/>
  <c r="N1358" i="2" s="1"/>
  <c r="I1358" i="2"/>
  <c r="J1358" i="2" s="1"/>
  <c r="K1358" i="2" s="1"/>
  <c r="F1358" i="2"/>
  <c r="G1358" i="2" s="1"/>
  <c r="H1358" i="2" s="1"/>
  <c r="C1358" i="5" s="1"/>
  <c r="D1358" i="2"/>
  <c r="E1358" i="2" s="1"/>
  <c r="B1358" i="5" s="1"/>
  <c r="B1358" i="2"/>
  <c r="C1358" i="2" s="1"/>
  <c r="O1357" i="2"/>
  <c r="L1357" i="2"/>
  <c r="M1357" i="2" s="1"/>
  <c r="N1357" i="2" s="1"/>
  <c r="I1357" i="2"/>
  <c r="J1357" i="2" s="1"/>
  <c r="K1357" i="2" s="1"/>
  <c r="F1357" i="2"/>
  <c r="G1357" i="2" s="1"/>
  <c r="H1357" i="2" s="1"/>
  <c r="C1357" i="5" s="1"/>
  <c r="D1357" i="2"/>
  <c r="E1357" i="2" s="1"/>
  <c r="B1357" i="5" s="1"/>
  <c r="B1357" i="2"/>
  <c r="C1357" i="2" s="1"/>
  <c r="O1356" i="2"/>
  <c r="L1356" i="2"/>
  <c r="M1356" i="2" s="1"/>
  <c r="N1356" i="2" s="1"/>
  <c r="I1356" i="2"/>
  <c r="J1356" i="2" s="1"/>
  <c r="K1356" i="2" s="1"/>
  <c r="F1356" i="2"/>
  <c r="G1356" i="2" s="1"/>
  <c r="H1356" i="2" s="1"/>
  <c r="C1356" i="5" s="1"/>
  <c r="D1356" i="2"/>
  <c r="E1356" i="2" s="1"/>
  <c r="B1356" i="5" s="1"/>
  <c r="B1356" i="2"/>
  <c r="C1356" i="2" s="1"/>
  <c r="O1355" i="2"/>
  <c r="L1355" i="2"/>
  <c r="M1355" i="2" s="1"/>
  <c r="N1355" i="2" s="1"/>
  <c r="I1355" i="2"/>
  <c r="J1355" i="2" s="1"/>
  <c r="K1355" i="2" s="1"/>
  <c r="F1355" i="2"/>
  <c r="G1355" i="2" s="1"/>
  <c r="H1355" i="2" s="1"/>
  <c r="C1355" i="5" s="1"/>
  <c r="D1355" i="2"/>
  <c r="E1355" i="2" s="1"/>
  <c r="B1355" i="5" s="1"/>
  <c r="B1355" i="2"/>
  <c r="C1355" i="2" s="1"/>
  <c r="O1354" i="2"/>
  <c r="L1354" i="2"/>
  <c r="M1354" i="2" s="1"/>
  <c r="N1354" i="2" s="1"/>
  <c r="I1354" i="2"/>
  <c r="J1354" i="2" s="1"/>
  <c r="K1354" i="2" s="1"/>
  <c r="F1354" i="2"/>
  <c r="G1354" i="2" s="1"/>
  <c r="H1354" i="2" s="1"/>
  <c r="C1354" i="5" s="1"/>
  <c r="D1354" i="2"/>
  <c r="E1354" i="2" s="1"/>
  <c r="B1354" i="5" s="1"/>
  <c r="B1354" i="2"/>
  <c r="C1354" i="2" s="1"/>
  <c r="O1353" i="2"/>
  <c r="L1353" i="2"/>
  <c r="M1353" i="2" s="1"/>
  <c r="N1353" i="2" s="1"/>
  <c r="I1353" i="2"/>
  <c r="J1353" i="2" s="1"/>
  <c r="K1353" i="2" s="1"/>
  <c r="F1353" i="2"/>
  <c r="G1353" i="2" s="1"/>
  <c r="H1353" i="2" s="1"/>
  <c r="C1353" i="5" s="1"/>
  <c r="D1353" i="2"/>
  <c r="E1353" i="2" s="1"/>
  <c r="B1353" i="5" s="1"/>
  <c r="B1353" i="2"/>
  <c r="C1353" i="2" s="1"/>
  <c r="O1352" i="2"/>
  <c r="L1352" i="2"/>
  <c r="M1352" i="2" s="1"/>
  <c r="N1352" i="2" s="1"/>
  <c r="I1352" i="2"/>
  <c r="J1352" i="2" s="1"/>
  <c r="K1352" i="2" s="1"/>
  <c r="F1352" i="2"/>
  <c r="G1352" i="2" s="1"/>
  <c r="H1352" i="2" s="1"/>
  <c r="C1352" i="5" s="1"/>
  <c r="D1352" i="2"/>
  <c r="E1352" i="2" s="1"/>
  <c r="B1352" i="5" s="1"/>
  <c r="B1352" i="2"/>
  <c r="C1352" i="2" s="1"/>
  <c r="O1351" i="2"/>
  <c r="L1351" i="2"/>
  <c r="M1351" i="2" s="1"/>
  <c r="N1351" i="2" s="1"/>
  <c r="I1351" i="2"/>
  <c r="J1351" i="2" s="1"/>
  <c r="K1351" i="2" s="1"/>
  <c r="F1351" i="2"/>
  <c r="G1351" i="2" s="1"/>
  <c r="H1351" i="2" s="1"/>
  <c r="C1351" i="5" s="1"/>
  <c r="D1351" i="2"/>
  <c r="E1351" i="2" s="1"/>
  <c r="B1351" i="5" s="1"/>
  <c r="B1351" i="2"/>
  <c r="C1351" i="2" s="1"/>
  <c r="O1350" i="2"/>
  <c r="L1350" i="2"/>
  <c r="M1350" i="2" s="1"/>
  <c r="N1350" i="2" s="1"/>
  <c r="I1350" i="2"/>
  <c r="J1350" i="2" s="1"/>
  <c r="K1350" i="2" s="1"/>
  <c r="F1350" i="2"/>
  <c r="G1350" i="2" s="1"/>
  <c r="H1350" i="2" s="1"/>
  <c r="C1350" i="5" s="1"/>
  <c r="D1350" i="2"/>
  <c r="E1350" i="2" s="1"/>
  <c r="B1350" i="5" s="1"/>
  <c r="B1350" i="2"/>
  <c r="C1350" i="2" s="1"/>
  <c r="O1349" i="2"/>
  <c r="L1349" i="2"/>
  <c r="M1349" i="2" s="1"/>
  <c r="N1349" i="2" s="1"/>
  <c r="I1349" i="2"/>
  <c r="J1349" i="2" s="1"/>
  <c r="K1349" i="2" s="1"/>
  <c r="F1349" i="2"/>
  <c r="G1349" i="2" s="1"/>
  <c r="H1349" i="2" s="1"/>
  <c r="C1349" i="5" s="1"/>
  <c r="D1349" i="2"/>
  <c r="E1349" i="2" s="1"/>
  <c r="B1349" i="5" s="1"/>
  <c r="B1349" i="2"/>
  <c r="C1349" i="2" s="1"/>
  <c r="O1348" i="2"/>
  <c r="L1348" i="2"/>
  <c r="M1348" i="2" s="1"/>
  <c r="N1348" i="2" s="1"/>
  <c r="I1348" i="2"/>
  <c r="J1348" i="2" s="1"/>
  <c r="K1348" i="2" s="1"/>
  <c r="F1348" i="2"/>
  <c r="G1348" i="2" s="1"/>
  <c r="H1348" i="2" s="1"/>
  <c r="C1348" i="5" s="1"/>
  <c r="D1348" i="2"/>
  <c r="E1348" i="2" s="1"/>
  <c r="B1348" i="5" s="1"/>
  <c r="B1348" i="2"/>
  <c r="C1348" i="2" s="1"/>
  <c r="O1347" i="2"/>
  <c r="L1347" i="2"/>
  <c r="M1347" i="2" s="1"/>
  <c r="N1347" i="2" s="1"/>
  <c r="I1347" i="2"/>
  <c r="J1347" i="2" s="1"/>
  <c r="K1347" i="2" s="1"/>
  <c r="F1347" i="2"/>
  <c r="G1347" i="2" s="1"/>
  <c r="H1347" i="2" s="1"/>
  <c r="C1347" i="5" s="1"/>
  <c r="D1347" i="2"/>
  <c r="E1347" i="2" s="1"/>
  <c r="B1347" i="5" s="1"/>
  <c r="B1347" i="2"/>
  <c r="C1347" i="2" s="1"/>
  <c r="O1346" i="2"/>
  <c r="L1346" i="2"/>
  <c r="M1346" i="2" s="1"/>
  <c r="N1346" i="2" s="1"/>
  <c r="I1346" i="2"/>
  <c r="J1346" i="2" s="1"/>
  <c r="K1346" i="2" s="1"/>
  <c r="F1346" i="2"/>
  <c r="G1346" i="2" s="1"/>
  <c r="H1346" i="2" s="1"/>
  <c r="C1346" i="5" s="1"/>
  <c r="D1346" i="2"/>
  <c r="E1346" i="2" s="1"/>
  <c r="B1346" i="5" s="1"/>
  <c r="B1346" i="2"/>
  <c r="C1346" i="2" s="1"/>
  <c r="O1345" i="2"/>
  <c r="L1345" i="2"/>
  <c r="M1345" i="2" s="1"/>
  <c r="N1345" i="2" s="1"/>
  <c r="I1345" i="2"/>
  <c r="J1345" i="2" s="1"/>
  <c r="K1345" i="2" s="1"/>
  <c r="F1345" i="2"/>
  <c r="G1345" i="2" s="1"/>
  <c r="H1345" i="2" s="1"/>
  <c r="C1345" i="5" s="1"/>
  <c r="D1345" i="2"/>
  <c r="E1345" i="2" s="1"/>
  <c r="B1345" i="5" s="1"/>
  <c r="B1345" i="2"/>
  <c r="C1345" i="2" s="1"/>
  <c r="O1344" i="2"/>
  <c r="L1344" i="2"/>
  <c r="M1344" i="2" s="1"/>
  <c r="N1344" i="2" s="1"/>
  <c r="I1344" i="2"/>
  <c r="J1344" i="2" s="1"/>
  <c r="K1344" i="2" s="1"/>
  <c r="F1344" i="2"/>
  <c r="G1344" i="2" s="1"/>
  <c r="H1344" i="2" s="1"/>
  <c r="C1344" i="5" s="1"/>
  <c r="D1344" i="2"/>
  <c r="E1344" i="2" s="1"/>
  <c r="B1344" i="5" s="1"/>
  <c r="B1344" i="2"/>
  <c r="C1344" i="2" s="1"/>
  <c r="O1343" i="2"/>
  <c r="L1343" i="2"/>
  <c r="M1343" i="2" s="1"/>
  <c r="N1343" i="2" s="1"/>
  <c r="I1343" i="2"/>
  <c r="J1343" i="2" s="1"/>
  <c r="K1343" i="2" s="1"/>
  <c r="F1343" i="2"/>
  <c r="G1343" i="2" s="1"/>
  <c r="H1343" i="2" s="1"/>
  <c r="C1343" i="5" s="1"/>
  <c r="D1343" i="2"/>
  <c r="E1343" i="2" s="1"/>
  <c r="B1343" i="5" s="1"/>
  <c r="B1343" i="2"/>
  <c r="C1343" i="2" s="1"/>
  <c r="O1342" i="2"/>
  <c r="L1342" i="2"/>
  <c r="M1342" i="2" s="1"/>
  <c r="N1342" i="2" s="1"/>
  <c r="I1342" i="2"/>
  <c r="J1342" i="2" s="1"/>
  <c r="K1342" i="2" s="1"/>
  <c r="F1342" i="2"/>
  <c r="G1342" i="2" s="1"/>
  <c r="H1342" i="2" s="1"/>
  <c r="C1342" i="5" s="1"/>
  <c r="D1342" i="2"/>
  <c r="E1342" i="2" s="1"/>
  <c r="B1342" i="5" s="1"/>
  <c r="B1342" i="2"/>
  <c r="C1342" i="2" s="1"/>
  <c r="O1341" i="2"/>
  <c r="L1341" i="2"/>
  <c r="M1341" i="2" s="1"/>
  <c r="N1341" i="2" s="1"/>
  <c r="I1341" i="2"/>
  <c r="J1341" i="2" s="1"/>
  <c r="K1341" i="2" s="1"/>
  <c r="F1341" i="2"/>
  <c r="G1341" i="2" s="1"/>
  <c r="H1341" i="2" s="1"/>
  <c r="C1341" i="5" s="1"/>
  <c r="D1341" i="2"/>
  <c r="E1341" i="2" s="1"/>
  <c r="B1341" i="5" s="1"/>
  <c r="B1341" i="2"/>
  <c r="C1341" i="2" s="1"/>
  <c r="O1340" i="2"/>
  <c r="L1340" i="2"/>
  <c r="M1340" i="2" s="1"/>
  <c r="N1340" i="2" s="1"/>
  <c r="I1340" i="2"/>
  <c r="J1340" i="2" s="1"/>
  <c r="K1340" i="2" s="1"/>
  <c r="F1340" i="2"/>
  <c r="G1340" i="2" s="1"/>
  <c r="H1340" i="2" s="1"/>
  <c r="C1340" i="5" s="1"/>
  <c r="D1340" i="2"/>
  <c r="E1340" i="2" s="1"/>
  <c r="B1340" i="5" s="1"/>
  <c r="B1340" i="2"/>
  <c r="C1340" i="2" s="1"/>
  <c r="O1339" i="2"/>
  <c r="L1339" i="2"/>
  <c r="M1339" i="2" s="1"/>
  <c r="N1339" i="2" s="1"/>
  <c r="I1339" i="2"/>
  <c r="J1339" i="2" s="1"/>
  <c r="K1339" i="2" s="1"/>
  <c r="F1339" i="2"/>
  <c r="G1339" i="2" s="1"/>
  <c r="H1339" i="2" s="1"/>
  <c r="C1339" i="5" s="1"/>
  <c r="D1339" i="2"/>
  <c r="E1339" i="2" s="1"/>
  <c r="B1339" i="5" s="1"/>
  <c r="B1339" i="2"/>
  <c r="C1339" i="2" s="1"/>
  <c r="O1338" i="2"/>
  <c r="L1338" i="2"/>
  <c r="M1338" i="2" s="1"/>
  <c r="N1338" i="2" s="1"/>
  <c r="I1338" i="2"/>
  <c r="J1338" i="2" s="1"/>
  <c r="K1338" i="2" s="1"/>
  <c r="F1338" i="2"/>
  <c r="G1338" i="2" s="1"/>
  <c r="H1338" i="2" s="1"/>
  <c r="C1338" i="5" s="1"/>
  <c r="D1338" i="2"/>
  <c r="E1338" i="2" s="1"/>
  <c r="B1338" i="5" s="1"/>
  <c r="B1338" i="2"/>
  <c r="C1338" i="2" s="1"/>
  <c r="O1337" i="2"/>
  <c r="L1337" i="2"/>
  <c r="M1337" i="2" s="1"/>
  <c r="N1337" i="2" s="1"/>
  <c r="I1337" i="2"/>
  <c r="J1337" i="2" s="1"/>
  <c r="K1337" i="2" s="1"/>
  <c r="F1337" i="2"/>
  <c r="G1337" i="2" s="1"/>
  <c r="H1337" i="2" s="1"/>
  <c r="C1337" i="5" s="1"/>
  <c r="D1337" i="2"/>
  <c r="E1337" i="2" s="1"/>
  <c r="B1337" i="5" s="1"/>
  <c r="B1337" i="2"/>
  <c r="C1337" i="2" s="1"/>
  <c r="O1336" i="2"/>
  <c r="L1336" i="2"/>
  <c r="M1336" i="2" s="1"/>
  <c r="N1336" i="2" s="1"/>
  <c r="I1336" i="2"/>
  <c r="J1336" i="2" s="1"/>
  <c r="K1336" i="2" s="1"/>
  <c r="F1336" i="2"/>
  <c r="G1336" i="2" s="1"/>
  <c r="H1336" i="2" s="1"/>
  <c r="C1336" i="5" s="1"/>
  <c r="D1336" i="2"/>
  <c r="E1336" i="2" s="1"/>
  <c r="B1336" i="5" s="1"/>
  <c r="B1336" i="2"/>
  <c r="C1336" i="2" s="1"/>
  <c r="O1335" i="2"/>
  <c r="L1335" i="2"/>
  <c r="M1335" i="2" s="1"/>
  <c r="N1335" i="2" s="1"/>
  <c r="I1335" i="2"/>
  <c r="J1335" i="2" s="1"/>
  <c r="K1335" i="2" s="1"/>
  <c r="F1335" i="2"/>
  <c r="G1335" i="2" s="1"/>
  <c r="H1335" i="2" s="1"/>
  <c r="C1335" i="5" s="1"/>
  <c r="D1335" i="2"/>
  <c r="E1335" i="2" s="1"/>
  <c r="B1335" i="5" s="1"/>
  <c r="B1335" i="2"/>
  <c r="C1335" i="2" s="1"/>
  <c r="O1334" i="2"/>
  <c r="L1334" i="2"/>
  <c r="M1334" i="2" s="1"/>
  <c r="N1334" i="2" s="1"/>
  <c r="I1334" i="2"/>
  <c r="J1334" i="2" s="1"/>
  <c r="K1334" i="2" s="1"/>
  <c r="F1334" i="2"/>
  <c r="G1334" i="2" s="1"/>
  <c r="H1334" i="2" s="1"/>
  <c r="C1334" i="5" s="1"/>
  <c r="D1334" i="2"/>
  <c r="E1334" i="2" s="1"/>
  <c r="B1334" i="5" s="1"/>
  <c r="B1334" i="2"/>
  <c r="C1334" i="2" s="1"/>
  <c r="O1333" i="2"/>
  <c r="L1333" i="2"/>
  <c r="M1333" i="2" s="1"/>
  <c r="N1333" i="2" s="1"/>
  <c r="I1333" i="2"/>
  <c r="J1333" i="2" s="1"/>
  <c r="K1333" i="2" s="1"/>
  <c r="F1333" i="2"/>
  <c r="G1333" i="2" s="1"/>
  <c r="H1333" i="2" s="1"/>
  <c r="C1333" i="5" s="1"/>
  <c r="D1333" i="2"/>
  <c r="E1333" i="2" s="1"/>
  <c r="B1333" i="5" s="1"/>
  <c r="B1333" i="2"/>
  <c r="C1333" i="2" s="1"/>
  <c r="O1332" i="2"/>
  <c r="L1332" i="2"/>
  <c r="M1332" i="2" s="1"/>
  <c r="N1332" i="2" s="1"/>
  <c r="I1332" i="2"/>
  <c r="J1332" i="2" s="1"/>
  <c r="K1332" i="2" s="1"/>
  <c r="F1332" i="2"/>
  <c r="G1332" i="2" s="1"/>
  <c r="H1332" i="2" s="1"/>
  <c r="C1332" i="5" s="1"/>
  <c r="D1332" i="2"/>
  <c r="E1332" i="2" s="1"/>
  <c r="B1332" i="5" s="1"/>
  <c r="B1332" i="2"/>
  <c r="C1332" i="2" s="1"/>
  <c r="O1331" i="2"/>
  <c r="L1331" i="2"/>
  <c r="M1331" i="2" s="1"/>
  <c r="N1331" i="2" s="1"/>
  <c r="I1331" i="2"/>
  <c r="J1331" i="2" s="1"/>
  <c r="K1331" i="2" s="1"/>
  <c r="F1331" i="2"/>
  <c r="G1331" i="2" s="1"/>
  <c r="H1331" i="2" s="1"/>
  <c r="C1331" i="5" s="1"/>
  <c r="D1331" i="2"/>
  <c r="E1331" i="2" s="1"/>
  <c r="B1331" i="5" s="1"/>
  <c r="B1331" i="2"/>
  <c r="C1331" i="2" s="1"/>
  <c r="O1330" i="2"/>
  <c r="L1330" i="2"/>
  <c r="M1330" i="2" s="1"/>
  <c r="N1330" i="2" s="1"/>
  <c r="I1330" i="2"/>
  <c r="J1330" i="2" s="1"/>
  <c r="K1330" i="2" s="1"/>
  <c r="F1330" i="2"/>
  <c r="G1330" i="2" s="1"/>
  <c r="H1330" i="2" s="1"/>
  <c r="C1330" i="5" s="1"/>
  <c r="D1330" i="2"/>
  <c r="E1330" i="2" s="1"/>
  <c r="B1330" i="5" s="1"/>
  <c r="B1330" i="2"/>
  <c r="C1330" i="2" s="1"/>
  <c r="O1329" i="2"/>
  <c r="L1329" i="2"/>
  <c r="M1329" i="2" s="1"/>
  <c r="N1329" i="2" s="1"/>
  <c r="I1329" i="2"/>
  <c r="J1329" i="2" s="1"/>
  <c r="K1329" i="2" s="1"/>
  <c r="F1329" i="2"/>
  <c r="G1329" i="2" s="1"/>
  <c r="H1329" i="2" s="1"/>
  <c r="C1329" i="5" s="1"/>
  <c r="D1329" i="2"/>
  <c r="E1329" i="2" s="1"/>
  <c r="B1329" i="5" s="1"/>
  <c r="B1329" i="2"/>
  <c r="C1329" i="2" s="1"/>
  <c r="O1328" i="2"/>
  <c r="L1328" i="2"/>
  <c r="M1328" i="2" s="1"/>
  <c r="N1328" i="2" s="1"/>
  <c r="I1328" i="2"/>
  <c r="J1328" i="2" s="1"/>
  <c r="K1328" i="2" s="1"/>
  <c r="F1328" i="2"/>
  <c r="G1328" i="2" s="1"/>
  <c r="H1328" i="2" s="1"/>
  <c r="C1328" i="5" s="1"/>
  <c r="D1328" i="2"/>
  <c r="E1328" i="2" s="1"/>
  <c r="B1328" i="5" s="1"/>
  <c r="B1328" i="2"/>
  <c r="C1328" i="2" s="1"/>
  <c r="O1327" i="2"/>
  <c r="L1327" i="2"/>
  <c r="M1327" i="2" s="1"/>
  <c r="N1327" i="2" s="1"/>
  <c r="I1327" i="2"/>
  <c r="J1327" i="2" s="1"/>
  <c r="K1327" i="2" s="1"/>
  <c r="F1327" i="2"/>
  <c r="G1327" i="2" s="1"/>
  <c r="H1327" i="2" s="1"/>
  <c r="C1327" i="5" s="1"/>
  <c r="D1327" i="2"/>
  <c r="E1327" i="2" s="1"/>
  <c r="B1327" i="5" s="1"/>
  <c r="B1327" i="2"/>
  <c r="C1327" i="2" s="1"/>
  <c r="O1326" i="2"/>
  <c r="L1326" i="2"/>
  <c r="M1326" i="2" s="1"/>
  <c r="N1326" i="2" s="1"/>
  <c r="I1326" i="2"/>
  <c r="J1326" i="2" s="1"/>
  <c r="K1326" i="2" s="1"/>
  <c r="F1326" i="2"/>
  <c r="G1326" i="2" s="1"/>
  <c r="H1326" i="2" s="1"/>
  <c r="C1326" i="5" s="1"/>
  <c r="D1326" i="2"/>
  <c r="E1326" i="2" s="1"/>
  <c r="B1326" i="5" s="1"/>
  <c r="B1326" i="2"/>
  <c r="C1326" i="2" s="1"/>
  <c r="O1325" i="2"/>
  <c r="L1325" i="2"/>
  <c r="M1325" i="2" s="1"/>
  <c r="N1325" i="2" s="1"/>
  <c r="I1325" i="2"/>
  <c r="J1325" i="2" s="1"/>
  <c r="K1325" i="2" s="1"/>
  <c r="F1325" i="2"/>
  <c r="G1325" i="2" s="1"/>
  <c r="H1325" i="2" s="1"/>
  <c r="C1325" i="5" s="1"/>
  <c r="D1325" i="2"/>
  <c r="E1325" i="2" s="1"/>
  <c r="B1325" i="5" s="1"/>
  <c r="B1325" i="2"/>
  <c r="C1325" i="2" s="1"/>
  <c r="O1324" i="2"/>
  <c r="L1324" i="2"/>
  <c r="M1324" i="2" s="1"/>
  <c r="N1324" i="2" s="1"/>
  <c r="I1324" i="2"/>
  <c r="J1324" i="2" s="1"/>
  <c r="K1324" i="2" s="1"/>
  <c r="F1324" i="2"/>
  <c r="G1324" i="2" s="1"/>
  <c r="H1324" i="2" s="1"/>
  <c r="C1324" i="5" s="1"/>
  <c r="D1324" i="2"/>
  <c r="E1324" i="2" s="1"/>
  <c r="B1324" i="5" s="1"/>
  <c r="B1324" i="2"/>
  <c r="C1324" i="2" s="1"/>
  <c r="O1323" i="2"/>
  <c r="L1323" i="2"/>
  <c r="M1323" i="2" s="1"/>
  <c r="N1323" i="2" s="1"/>
  <c r="I1323" i="2"/>
  <c r="J1323" i="2" s="1"/>
  <c r="K1323" i="2" s="1"/>
  <c r="F1323" i="2"/>
  <c r="G1323" i="2" s="1"/>
  <c r="H1323" i="2" s="1"/>
  <c r="C1323" i="5" s="1"/>
  <c r="D1323" i="2"/>
  <c r="E1323" i="2" s="1"/>
  <c r="B1323" i="5" s="1"/>
  <c r="B1323" i="2"/>
  <c r="C1323" i="2" s="1"/>
  <c r="O1322" i="2"/>
  <c r="L1322" i="2"/>
  <c r="M1322" i="2" s="1"/>
  <c r="N1322" i="2" s="1"/>
  <c r="I1322" i="2"/>
  <c r="J1322" i="2" s="1"/>
  <c r="K1322" i="2" s="1"/>
  <c r="F1322" i="2"/>
  <c r="G1322" i="2" s="1"/>
  <c r="H1322" i="2" s="1"/>
  <c r="C1322" i="5" s="1"/>
  <c r="D1322" i="2"/>
  <c r="E1322" i="2" s="1"/>
  <c r="B1322" i="5" s="1"/>
  <c r="B1322" i="2"/>
  <c r="C1322" i="2" s="1"/>
  <c r="O1321" i="2"/>
  <c r="L1321" i="2"/>
  <c r="M1321" i="2" s="1"/>
  <c r="N1321" i="2" s="1"/>
  <c r="I1321" i="2"/>
  <c r="J1321" i="2" s="1"/>
  <c r="K1321" i="2" s="1"/>
  <c r="F1321" i="2"/>
  <c r="G1321" i="2" s="1"/>
  <c r="H1321" i="2" s="1"/>
  <c r="C1321" i="5" s="1"/>
  <c r="D1321" i="2"/>
  <c r="E1321" i="2" s="1"/>
  <c r="B1321" i="5" s="1"/>
  <c r="B1321" i="2"/>
  <c r="C1321" i="2" s="1"/>
  <c r="O1320" i="2"/>
  <c r="L1320" i="2"/>
  <c r="M1320" i="2" s="1"/>
  <c r="N1320" i="2" s="1"/>
  <c r="I1320" i="2"/>
  <c r="J1320" i="2" s="1"/>
  <c r="K1320" i="2" s="1"/>
  <c r="F1320" i="2"/>
  <c r="G1320" i="2" s="1"/>
  <c r="H1320" i="2" s="1"/>
  <c r="C1320" i="5" s="1"/>
  <c r="D1320" i="2"/>
  <c r="E1320" i="2" s="1"/>
  <c r="B1320" i="5" s="1"/>
  <c r="B1320" i="2"/>
  <c r="C1320" i="2" s="1"/>
  <c r="O1319" i="2"/>
  <c r="L1319" i="2"/>
  <c r="M1319" i="2" s="1"/>
  <c r="N1319" i="2" s="1"/>
  <c r="I1319" i="2"/>
  <c r="J1319" i="2" s="1"/>
  <c r="K1319" i="2" s="1"/>
  <c r="F1319" i="2"/>
  <c r="G1319" i="2" s="1"/>
  <c r="H1319" i="2" s="1"/>
  <c r="C1319" i="5" s="1"/>
  <c r="D1319" i="2"/>
  <c r="E1319" i="2" s="1"/>
  <c r="B1319" i="5" s="1"/>
  <c r="B1319" i="2"/>
  <c r="C1319" i="2" s="1"/>
  <c r="O1318" i="2"/>
  <c r="L1318" i="2"/>
  <c r="M1318" i="2" s="1"/>
  <c r="N1318" i="2" s="1"/>
  <c r="I1318" i="2"/>
  <c r="J1318" i="2" s="1"/>
  <c r="K1318" i="2" s="1"/>
  <c r="F1318" i="2"/>
  <c r="G1318" i="2" s="1"/>
  <c r="H1318" i="2" s="1"/>
  <c r="C1318" i="5" s="1"/>
  <c r="D1318" i="2"/>
  <c r="E1318" i="2" s="1"/>
  <c r="B1318" i="5" s="1"/>
  <c r="B1318" i="2"/>
  <c r="C1318" i="2" s="1"/>
  <c r="O1317" i="2"/>
  <c r="L1317" i="2"/>
  <c r="M1317" i="2" s="1"/>
  <c r="N1317" i="2" s="1"/>
  <c r="I1317" i="2"/>
  <c r="J1317" i="2" s="1"/>
  <c r="K1317" i="2" s="1"/>
  <c r="F1317" i="2"/>
  <c r="G1317" i="2" s="1"/>
  <c r="H1317" i="2" s="1"/>
  <c r="C1317" i="5" s="1"/>
  <c r="D1317" i="2"/>
  <c r="E1317" i="2" s="1"/>
  <c r="B1317" i="5" s="1"/>
  <c r="B1317" i="2"/>
  <c r="C1317" i="2" s="1"/>
  <c r="O1316" i="2"/>
  <c r="L1316" i="2"/>
  <c r="M1316" i="2" s="1"/>
  <c r="N1316" i="2" s="1"/>
  <c r="I1316" i="2"/>
  <c r="J1316" i="2" s="1"/>
  <c r="K1316" i="2" s="1"/>
  <c r="F1316" i="2"/>
  <c r="G1316" i="2" s="1"/>
  <c r="H1316" i="2" s="1"/>
  <c r="C1316" i="5" s="1"/>
  <c r="D1316" i="2"/>
  <c r="E1316" i="2" s="1"/>
  <c r="B1316" i="5" s="1"/>
  <c r="B1316" i="2"/>
  <c r="C1316" i="2" s="1"/>
  <c r="O1315" i="2"/>
  <c r="L1315" i="2"/>
  <c r="M1315" i="2" s="1"/>
  <c r="N1315" i="2" s="1"/>
  <c r="I1315" i="2"/>
  <c r="J1315" i="2" s="1"/>
  <c r="K1315" i="2" s="1"/>
  <c r="F1315" i="2"/>
  <c r="G1315" i="2" s="1"/>
  <c r="H1315" i="2" s="1"/>
  <c r="C1315" i="5" s="1"/>
  <c r="D1315" i="2"/>
  <c r="E1315" i="2" s="1"/>
  <c r="B1315" i="5" s="1"/>
  <c r="B1315" i="2"/>
  <c r="C1315" i="2" s="1"/>
  <c r="O1314" i="2"/>
  <c r="L1314" i="2"/>
  <c r="M1314" i="2" s="1"/>
  <c r="N1314" i="2" s="1"/>
  <c r="I1314" i="2"/>
  <c r="J1314" i="2" s="1"/>
  <c r="K1314" i="2" s="1"/>
  <c r="F1314" i="2"/>
  <c r="G1314" i="2" s="1"/>
  <c r="H1314" i="2" s="1"/>
  <c r="C1314" i="5" s="1"/>
  <c r="D1314" i="2"/>
  <c r="E1314" i="2" s="1"/>
  <c r="B1314" i="5" s="1"/>
  <c r="B1314" i="2"/>
  <c r="C1314" i="2" s="1"/>
  <c r="O1313" i="2"/>
  <c r="L1313" i="2"/>
  <c r="M1313" i="2" s="1"/>
  <c r="N1313" i="2" s="1"/>
  <c r="I1313" i="2"/>
  <c r="J1313" i="2" s="1"/>
  <c r="K1313" i="2" s="1"/>
  <c r="F1313" i="2"/>
  <c r="G1313" i="2" s="1"/>
  <c r="H1313" i="2" s="1"/>
  <c r="C1313" i="5" s="1"/>
  <c r="D1313" i="2"/>
  <c r="E1313" i="2" s="1"/>
  <c r="B1313" i="5" s="1"/>
  <c r="B1313" i="2"/>
  <c r="C1313" i="2" s="1"/>
  <c r="O1312" i="2"/>
  <c r="L1312" i="2"/>
  <c r="M1312" i="2" s="1"/>
  <c r="N1312" i="2" s="1"/>
  <c r="I1312" i="2"/>
  <c r="J1312" i="2" s="1"/>
  <c r="K1312" i="2" s="1"/>
  <c r="F1312" i="2"/>
  <c r="G1312" i="2" s="1"/>
  <c r="H1312" i="2" s="1"/>
  <c r="C1312" i="5" s="1"/>
  <c r="D1312" i="2"/>
  <c r="E1312" i="2" s="1"/>
  <c r="B1312" i="5" s="1"/>
  <c r="B1312" i="2"/>
  <c r="C1312" i="2" s="1"/>
  <c r="O1311" i="2"/>
  <c r="L1311" i="2"/>
  <c r="M1311" i="2" s="1"/>
  <c r="N1311" i="2" s="1"/>
  <c r="I1311" i="2"/>
  <c r="J1311" i="2" s="1"/>
  <c r="K1311" i="2" s="1"/>
  <c r="F1311" i="2"/>
  <c r="G1311" i="2" s="1"/>
  <c r="H1311" i="2" s="1"/>
  <c r="C1311" i="5" s="1"/>
  <c r="D1311" i="2"/>
  <c r="E1311" i="2" s="1"/>
  <c r="B1311" i="5" s="1"/>
  <c r="B1311" i="2"/>
  <c r="C1311" i="2" s="1"/>
  <c r="O1310" i="2"/>
  <c r="L1310" i="2"/>
  <c r="M1310" i="2" s="1"/>
  <c r="N1310" i="2" s="1"/>
  <c r="I1310" i="2"/>
  <c r="J1310" i="2" s="1"/>
  <c r="K1310" i="2" s="1"/>
  <c r="F1310" i="2"/>
  <c r="G1310" i="2" s="1"/>
  <c r="H1310" i="2" s="1"/>
  <c r="C1310" i="5" s="1"/>
  <c r="D1310" i="2"/>
  <c r="E1310" i="2" s="1"/>
  <c r="B1310" i="5" s="1"/>
  <c r="B1310" i="2"/>
  <c r="C1310" i="2" s="1"/>
  <c r="O1309" i="2"/>
  <c r="L1309" i="2"/>
  <c r="M1309" i="2" s="1"/>
  <c r="N1309" i="2" s="1"/>
  <c r="I1309" i="2"/>
  <c r="J1309" i="2" s="1"/>
  <c r="K1309" i="2" s="1"/>
  <c r="F1309" i="2"/>
  <c r="G1309" i="2" s="1"/>
  <c r="H1309" i="2" s="1"/>
  <c r="C1309" i="5" s="1"/>
  <c r="D1309" i="2"/>
  <c r="E1309" i="2" s="1"/>
  <c r="B1309" i="5" s="1"/>
  <c r="B1309" i="2"/>
  <c r="C1309" i="2" s="1"/>
  <c r="O1308" i="2"/>
  <c r="L1308" i="2"/>
  <c r="M1308" i="2" s="1"/>
  <c r="N1308" i="2" s="1"/>
  <c r="I1308" i="2"/>
  <c r="J1308" i="2" s="1"/>
  <c r="K1308" i="2" s="1"/>
  <c r="F1308" i="2"/>
  <c r="G1308" i="2" s="1"/>
  <c r="H1308" i="2" s="1"/>
  <c r="C1308" i="5" s="1"/>
  <c r="D1308" i="2"/>
  <c r="E1308" i="2" s="1"/>
  <c r="B1308" i="5" s="1"/>
  <c r="B1308" i="2"/>
  <c r="C1308" i="2" s="1"/>
  <c r="O1307" i="2"/>
  <c r="L1307" i="2"/>
  <c r="M1307" i="2" s="1"/>
  <c r="N1307" i="2" s="1"/>
  <c r="I1307" i="2"/>
  <c r="J1307" i="2" s="1"/>
  <c r="K1307" i="2" s="1"/>
  <c r="F1307" i="2"/>
  <c r="G1307" i="2" s="1"/>
  <c r="H1307" i="2" s="1"/>
  <c r="C1307" i="5" s="1"/>
  <c r="D1307" i="2"/>
  <c r="E1307" i="2" s="1"/>
  <c r="B1307" i="5" s="1"/>
  <c r="B1307" i="2"/>
  <c r="C1307" i="2" s="1"/>
  <c r="O1306" i="2"/>
  <c r="L1306" i="2"/>
  <c r="M1306" i="2" s="1"/>
  <c r="N1306" i="2" s="1"/>
  <c r="I1306" i="2"/>
  <c r="J1306" i="2" s="1"/>
  <c r="K1306" i="2" s="1"/>
  <c r="F1306" i="2"/>
  <c r="G1306" i="2" s="1"/>
  <c r="H1306" i="2" s="1"/>
  <c r="C1306" i="5" s="1"/>
  <c r="D1306" i="2"/>
  <c r="E1306" i="2" s="1"/>
  <c r="B1306" i="5" s="1"/>
  <c r="B1306" i="2"/>
  <c r="C1306" i="2" s="1"/>
  <c r="O1305" i="2"/>
  <c r="L1305" i="2"/>
  <c r="M1305" i="2" s="1"/>
  <c r="N1305" i="2" s="1"/>
  <c r="I1305" i="2"/>
  <c r="J1305" i="2" s="1"/>
  <c r="K1305" i="2" s="1"/>
  <c r="F1305" i="2"/>
  <c r="G1305" i="2" s="1"/>
  <c r="H1305" i="2" s="1"/>
  <c r="C1305" i="5" s="1"/>
  <c r="D1305" i="2"/>
  <c r="E1305" i="2" s="1"/>
  <c r="B1305" i="5" s="1"/>
  <c r="B1305" i="2"/>
  <c r="C1305" i="2" s="1"/>
  <c r="O1304" i="2"/>
  <c r="L1304" i="2"/>
  <c r="M1304" i="2" s="1"/>
  <c r="N1304" i="2" s="1"/>
  <c r="I1304" i="2"/>
  <c r="J1304" i="2" s="1"/>
  <c r="K1304" i="2" s="1"/>
  <c r="F1304" i="2"/>
  <c r="G1304" i="2" s="1"/>
  <c r="H1304" i="2" s="1"/>
  <c r="C1304" i="5" s="1"/>
  <c r="D1304" i="2"/>
  <c r="E1304" i="2" s="1"/>
  <c r="B1304" i="5" s="1"/>
  <c r="B1304" i="2"/>
  <c r="C1304" i="2" s="1"/>
  <c r="O1303" i="2"/>
  <c r="L1303" i="2"/>
  <c r="M1303" i="2" s="1"/>
  <c r="N1303" i="2" s="1"/>
  <c r="I1303" i="2"/>
  <c r="J1303" i="2" s="1"/>
  <c r="K1303" i="2" s="1"/>
  <c r="F1303" i="2"/>
  <c r="G1303" i="2" s="1"/>
  <c r="H1303" i="2" s="1"/>
  <c r="C1303" i="5" s="1"/>
  <c r="D1303" i="2"/>
  <c r="E1303" i="2" s="1"/>
  <c r="B1303" i="5" s="1"/>
  <c r="B1303" i="2"/>
  <c r="C1303" i="2" s="1"/>
  <c r="O1302" i="2"/>
  <c r="L1302" i="2"/>
  <c r="M1302" i="2" s="1"/>
  <c r="N1302" i="2" s="1"/>
  <c r="I1302" i="2"/>
  <c r="J1302" i="2" s="1"/>
  <c r="K1302" i="2" s="1"/>
  <c r="F1302" i="2"/>
  <c r="G1302" i="2" s="1"/>
  <c r="H1302" i="2" s="1"/>
  <c r="C1302" i="5" s="1"/>
  <c r="D1302" i="2"/>
  <c r="E1302" i="2" s="1"/>
  <c r="B1302" i="5" s="1"/>
  <c r="B1302" i="2"/>
  <c r="C1302" i="2" s="1"/>
  <c r="O1301" i="2"/>
  <c r="L1301" i="2"/>
  <c r="M1301" i="2" s="1"/>
  <c r="N1301" i="2" s="1"/>
  <c r="I1301" i="2"/>
  <c r="J1301" i="2" s="1"/>
  <c r="K1301" i="2" s="1"/>
  <c r="F1301" i="2"/>
  <c r="G1301" i="2" s="1"/>
  <c r="H1301" i="2" s="1"/>
  <c r="C1301" i="5" s="1"/>
  <c r="D1301" i="2"/>
  <c r="E1301" i="2" s="1"/>
  <c r="B1301" i="5" s="1"/>
  <c r="B1301" i="2"/>
  <c r="C1301" i="2" s="1"/>
  <c r="O1300" i="2"/>
  <c r="L1300" i="2"/>
  <c r="M1300" i="2" s="1"/>
  <c r="N1300" i="2" s="1"/>
  <c r="I1300" i="2"/>
  <c r="J1300" i="2" s="1"/>
  <c r="K1300" i="2" s="1"/>
  <c r="F1300" i="2"/>
  <c r="G1300" i="2" s="1"/>
  <c r="H1300" i="2" s="1"/>
  <c r="C1300" i="5" s="1"/>
  <c r="D1300" i="2"/>
  <c r="E1300" i="2" s="1"/>
  <c r="B1300" i="5" s="1"/>
  <c r="B1300" i="2"/>
  <c r="C1300" i="2" s="1"/>
  <c r="O1299" i="2"/>
  <c r="L1299" i="2"/>
  <c r="M1299" i="2" s="1"/>
  <c r="N1299" i="2" s="1"/>
  <c r="I1299" i="2"/>
  <c r="J1299" i="2" s="1"/>
  <c r="K1299" i="2" s="1"/>
  <c r="F1299" i="2"/>
  <c r="G1299" i="2" s="1"/>
  <c r="H1299" i="2" s="1"/>
  <c r="C1299" i="5" s="1"/>
  <c r="D1299" i="2"/>
  <c r="E1299" i="2" s="1"/>
  <c r="B1299" i="5" s="1"/>
  <c r="B1299" i="2"/>
  <c r="C1299" i="2" s="1"/>
  <c r="O1298" i="2"/>
  <c r="L1298" i="2"/>
  <c r="M1298" i="2" s="1"/>
  <c r="N1298" i="2" s="1"/>
  <c r="I1298" i="2"/>
  <c r="J1298" i="2" s="1"/>
  <c r="K1298" i="2" s="1"/>
  <c r="F1298" i="2"/>
  <c r="G1298" i="2" s="1"/>
  <c r="H1298" i="2" s="1"/>
  <c r="C1298" i="5" s="1"/>
  <c r="D1298" i="2"/>
  <c r="E1298" i="2" s="1"/>
  <c r="B1298" i="5" s="1"/>
  <c r="B1298" i="2"/>
  <c r="C1298" i="2" s="1"/>
  <c r="O1297" i="2"/>
  <c r="L1297" i="2"/>
  <c r="M1297" i="2" s="1"/>
  <c r="N1297" i="2" s="1"/>
  <c r="I1297" i="2"/>
  <c r="J1297" i="2" s="1"/>
  <c r="K1297" i="2" s="1"/>
  <c r="F1297" i="2"/>
  <c r="G1297" i="2" s="1"/>
  <c r="H1297" i="2" s="1"/>
  <c r="C1297" i="5" s="1"/>
  <c r="D1297" i="2"/>
  <c r="E1297" i="2" s="1"/>
  <c r="B1297" i="5" s="1"/>
  <c r="B1297" i="2"/>
  <c r="C1297" i="2" s="1"/>
  <c r="O1296" i="2"/>
  <c r="L1296" i="2"/>
  <c r="M1296" i="2" s="1"/>
  <c r="N1296" i="2" s="1"/>
  <c r="I1296" i="2"/>
  <c r="J1296" i="2" s="1"/>
  <c r="K1296" i="2" s="1"/>
  <c r="F1296" i="2"/>
  <c r="G1296" i="2" s="1"/>
  <c r="H1296" i="2" s="1"/>
  <c r="C1296" i="5" s="1"/>
  <c r="D1296" i="2"/>
  <c r="E1296" i="2" s="1"/>
  <c r="B1296" i="5" s="1"/>
  <c r="B1296" i="2"/>
  <c r="C1296" i="2" s="1"/>
  <c r="O1295" i="2"/>
  <c r="L1295" i="2"/>
  <c r="M1295" i="2" s="1"/>
  <c r="N1295" i="2" s="1"/>
  <c r="I1295" i="2"/>
  <c r="J1295" i="2" s="1"/>
  <c r="K1295" i="2" s="1"/>
  <c r="F1295" i="2"/>
  <c r="G1295" i="2" s="1"/>
  <c r="H1295" i="2" s="1"/>
  <c r="C1295" i="5" s="1"/>
  <c r="D1295" i="2"/>
  <c r="E1295" i="2" s="1"/>
  <c r="B1295" i="5" s="1"/>
  <c r="B1295" i="2"/>
  <c r="C1295" i="2" s="1"/>
  <c r="O1294" i="2"/>
  <c r="L1294" i="2"/>
  <c r="M1294" i="2" s="1"/>
  <c r="N1294" i="2" s="1"/>
  <c r="I1294" i="2"/>
  <c r="J1294" i="2" s="1"/>
  <c r="K1294" i="2" s="1"/>
  <c r="F1294" i="2"/>
  <c r="G1294" i="2" s="1"/>
  <c r="H1294" i="2" s="1"/>
  <c r="C1294" i="5" s="1"/>
  <c r="D1294" i="2"/>
  <c r="E1294" i="2" s="1"/>
  <c r="B1294" i="5" s="1"/>
  <c r="B1294" i="2"/>
  <c r="C1294" i="2" s="1"/>
  <c r="O1293" i="2"/>
  <c r="L1293" i="2"/>
  <c r="M1293" i="2" s="1"/>
  <c r="N1293" i="2" s="1"/>
  <c r="I1293" i="2"/>
  <c r="J1293" i="2" s="1"/>
  <c r="K1293" i="2" s="1"/>
  <c r="F1293" i="2"/>
  <c r="G1293" i="2" s="1"/>
  <c r="H1293" i="2" s="1"/>
  <c r="C1293" i="5" s="1"/>
  <c r="D1293" i="2"/>
  <c r="E1293" i="2" s="1"/>
  <c r="B1293" i="5" s="1"/>
  <c r="B1293" i="2"/>
  <c r="C1293" i="2" s="1"/>
  <c r="O1292" i="2"/>
  <c r="L1292" i="2"/>
  <c r="M1292" i="2" s="1"/>
  <c r="N1292" i="2" s="1"/>
  <c r="I1292" i="2"/>
  <c r="J1292" i="2" s="1"/>
  <c r="K1292" i="2" s="1"/>
  <c r="F1292" i="2"/>
  <c r="G1292" i="2" s="1"/>
  <c r="H1292" i="2" s="1"/>
  <c r="C1292" i="5" s="1"/>
  <c r="D1292" i="2"/>
  <c r="E1292" i="2" s="1"/>
  <c r="B1292" i="5" s="1"/>
  <c r="B1292" i="2"/>
  <c r="C1292" i="2" s="1"/>
  <c r="O1291" i="2"/>
  <c r="L1291" i="2"/>
  <c r="M1291" i="2" s="1"/>
  <c r="N1291" i="2" s="1"/>
  <c r="I1291" i="2"/>
  <c r="J1291" i="2" s="1"/>
  <c r="K1291" i="2" s="1"/>
  <c r="F1291" i="2"/>
  <c r="G1291" i="2" s="1"/>
  <c r="H1291" i="2" s="1"/>
  <c r="C1291" i="5" s="1"/>
  <c r="D1291" i="2"/>
  <c r="E1291" i="2" s="1"/>
  <c r="B1291" i="5" s="1"/>
  <c r="B1291" i="2"/>
  <c r="C1291" i="2" s="1"/>
  <c r="O1290" i="2"/>
  <c r="L1290" i="2"/>
  <c r="M1290" i="2" s="1"/>
  <c r="N1290" i="2" s="1"/>
  <c r="I1290" i="2"/>
  <c r="J1290" i="2" s="1"/>
  <c r="K1290" i="2" s="1"/>
  <c r="F1290" i="2"/>
  <c r="G1290" i="2" s="1"/>
  <c r="H1290" i="2" s="1"/>
  <c r="C1290" i="5" s="1"/>
  <c r="D1290" i="2"/>
  <c r="E1290" i="2" s="1"/>
  <c r="B1290" i="5" s="1"/>
  <c r="B1290" i="2"/>
  <c r="C1290" i="2" s="1"/>
  <c r="O1289" i="2"/>
  <c r="L1289" i="2"/>
  <c r="M1289" i="2" s="1"/>
  <c r="N1289" i="2" s="1"/>
  <c r="I1289" i="2"/>
  <c r="J1289" i="2" s="1"/>
  <c r="K1289" i="2" s="1"/>
  <c r="F1289" i="2"/>
  <c r="G1289" i="2" s="1"/>
  <c r="H1289" i="2" s="1"/>
  <c r="C1289" i="5" s="1"/>
  <c r="D1289" i="2"/>
  <c r="E1289" i="2" s="1"/>
  <c r="B1289" i="5" s="1"/>
  <c r="B1289" i="2"/>
  <c r="C1289" i="2" s="1"/>
  <c r="O1288" i="2"/>
  <c r="L1288" i="2"/>
  <c r="M1288" i="2" s="1"/>
  <c r="N1288" i="2" s="1"/>
  <c r="I1288" i="2"/>
  <c r="J1288" i="2" s="1"/>
  <c r="K1288" i="2" s="1"/>
  <c r="F1288" i="2"/>
  <c r="G1288" i="2" s="1"/>
  <c r="H1288" i="2" s="1"/>
  <c r="C1288" i="5" s="1"/>
  <c r="D1288" i="2"/>
  <c r="E1288" i="2" s="1"/>
  <c r="B1288" i="5" s="1"/>
  <c r="B1288" i="2"/>
  <c r="C1288" i="2" s="1"/>
  <c r="O1287" i="2"/>
  <c r="L1287" i="2"/>
  <c r="M1287" i="2" s="1"/>
  <c r="N1287" i="2" s="1"/>
  <c r="I1287" i="2"/>
  <c r="J1287" i="2" s="1"/>
  <c r="K1287" i="2" s="1"/>
  <c r="F1287" i="2"/>
  <c r="G1287" i="2" s="1"/>
  <c r="H1287" i="2" s="1"/>
  <c r="C1287" i="5" s="1"/>
  <c r="D1287" i="2"/>
  <c r="E1287" i="2" s="1"/>
  <c r="B1287" i="5" s="1"/>
  <c r="B1287" i="2"/>
  <c r="C1287" i="2" s="1"/>
  <c r="O1286" i="2"/>
  <c r="L1286" i="2"/>
  <c r="M1286" i="2" s="1"/>
  <c r="N1286" i="2" s="1"/>
  <c r="I1286" i="2"/>
  <c r="J1286" i="2" s="1"/>
  <c r="K1286" i="2" s="1"/>
  <c r="F1286" i="2"/>
  <c r="G1286" i="2" s="1"/>
  <c r="H1286" i="2" s="1"/>
  <c r="C1286" i="5" s="1"/>
  <c r="D1286" i="2"/>
  <c r="E1286" i="2" s="1"/>
  <c r="B1286" i="5" s="1"/>
  <c r="B1286" i="2"/>
  <c r="C1286" i="2" s="1"/>
  <c r="O1285" i="2"/>
  <c r="L1285" i="2"/>
  <c r="M1285" i="2" s="1"/>
  <c r="N1285" i="2" s="1"/>
  <c r="I1285" i="2"/>
  <c r="J1285" i="2" s="1"/>
  <c r="K1285" i="2" s="1"/>
  <c r="F1285" i="2"/>
  <c r="G1285" i="2" s="1"/>
  <c r="H1285" i="2" s="1"/>
  <c r="C1285" i="5" s="1"/>
  <c r="D1285" i="2"/>
  <c r="E1285" i="2" s="1"/>
  <c r="B1285" i="5" s="1"/>
  <c r="B1285" i="2"/>
  <c r="C1285" i="2" s="1"/>
  <c r="O1284" i="2"/>
  <c r="L1284" i="2"/>
  <c r="M1284" i="2" s="1"/>
  <c r="N1284" i="2" s="1"/>
  <c r="I1284" i="2"/>
  <c r="J1284" i="2" s="1"/>
  <c r="K1284" i="2" s="1"/>
  <c r="F1284" i="2"/>
  <c r="G1284" i="2" s="1"/>
  <c r="H1284" i="2" s="1"/>
  <c r="C1284" i="5" s="1"/>
  <c r="D1284" i="2"/>
  <c r="E1284" i="2" s="1"/>
  <c r="B1284" i="5" s="1"/>
  <c r="B1284" i="2"/>
  <c r="C1284" i="2" s="1"/>
  <c r="O1283" i="2"/>
  <c r="L1283" i="2"/>
  <c r="M1283" i="2" s="1"/>
  <c r="N1283" i="2" s="1"/>
  <c r="I1283" i="2"/>
  <c r="J1283" i="2" s="1"/>
  <c r="K1283" i="2" s="1"/>
  <c r="F1283" i="2"/>
  <c r="G1283" i="2" s="1"/>
  <c r="H1283" i="2" s="1"/>
  <c r="C1283" i="5" s="1"/>
  <c r="D1283" i="2"/>
  <c r="E1283" i="2" s="1"/>
  <c r="B1283" i="5" s="1"/>
  <c r="B1283" i="2"/>
  <c r="C1283" i="2" s="1"/>
  <c r="O1282" i="2"/>
  <c r="L1282" i="2"/>
  <c r="M1282" i="2" s="1"/>
  <c r="N1282" i="2" s="1"/>
  <c r="I1282" i="2"/>
  <c r="J1282" i="2" s="1"/>
  <c r="K1282" i="2" s="1"/>
  <c r="F1282" i="2"/>
  <c r="G1282" i="2" s="1"/>
  <c r="H1282" i="2" s="1"/>
  <c r="C1282" i="5" s="1"/>
  <c r="D1282" i="2"/>
  <c r="E1282" i="2" s="1"/>
  <c r="B1282" i="5" s="1"/>
  <c r="B1282" i="2"/>
  <c r="C1282" i="2" s="1"/>
  <c r="O1281" i="2"/>
  <c r="L1281" i="2"/>
  <c r="M1281" i="2" s="1"/>
  <c r="N1281" i="2" s="1"/>
  <c r="I1281" i="2"/>
  <c r="J1281" i="2" s="1"/>
  <c r="K1281" i="2" s="1"/>
  <c r="F1281" i="2"/>
  <c r="G1281" i="2" s="1"/>
  <c r="H1281" i="2" s="1"/>
  <c r="C1281" i="5" s="1"/>
  <c r="D1281" i="2"/>
  <c r="E1281" i="2" s="1"/>
  <c r="B1281" i="5" s="1"/>
  <c r="B1281" i="2"/>
  <c r="C1281" i="2" s="1"/>
  <c r="O1280" i="2"/>
  <c r="L1280" i="2"/>
  <c r="M1280" i="2" s="1"/>
  <c r="N1280" i="2" s="1"/>
  <c r="I1280" i="2"/>
  <c r="J1280" i="2" s="1"/>
  <c r="K1280" i="2" s="1"/>
  <c r="F1280" i="2"/>
  <c r="G1280" i="2" s="1"/>
  <c r="H1280" i="2" s="1"/>
  <c r="C1280" i="5" s="1"/>
  <c r="D1280" i="2"/>
  <c r="E1280" i="2" s="1"/>
  <c r="B1280" i="5" s="1"/>
  <c r="B1280" i="2"/>
  <c r="C1280" i="2" s="1"/>
  <c r="O1279" i="2"/>
  <c r="L1279" i="2"/>
  <c r="M1279" i="2" s="1"/>
  <c r="N1279" i="2" s="1"/>
  <c r="I1279" i="2"/>
  <c r="J1279" i="2" s="1"/>
  <c r="K1279" i="2" s="1"/>
  <c r="F1279" i="2"/>
  <c r="G1279" i="2" s="1"/>
  <c r="H1279" i="2" s="1"/>
  <c r="C1279" i="5" s="1"/>
  <c r="D1279" i="2"/>
  <c r="E1279" i="2" s="1"/>
  <c r="B1279" i="5" s="1"/>
  <c r="B1279" i="2"/>
  <c r="C1279" i="2" s="1"/>
  <c r="O1278" i="2"/>
  <c r="L1278" i="2"/>
  <c r="M1278" i="2" s="1"/>
  <c r="N1278" i="2" s="1"/>
  <c r="I1278" i="2"/>
  <c r="J1278" i="2" s="1"/>
  <c r="K1278" i="2" s="1"/>
  <c r="F1278" i="2"/>
  <c r="G1278" i="2" s="1"/>
  <c r="H1278" i="2" s="1"/>
  <c r="C1278" i="5" s="1"/>
  <c r="D1278" i="2"/>
  <c r="E1278" i="2" s="1"/>
  <c r="B1278" i="5" s="1"/>
  <c r="B1278" i="2"/>
  <c r="C1278" i="2" s="1"/>
  <c r="O1277" i="2"/>
  <c r="L1277" i="2"/>
  <c r="M1277" i="2" s="1"/>
  <c r="N1277" i="2" s="1"/>
  <c r="I1277" i="2"/>
  <c r="J1277" i="2" s="1"/>
  <c r="K1277" i="2" s="1"/>
  <c r="F1277" i="2"/>
  <c r="G1277" i="2" s="1"/>
  <c r="H1277" i="2" s="1"/>
  <c r="C1277" i="5" s="1"/>
  <c r="D1277" i="2"/>
  <c r="E1277" i="2" s="1"/>
  <c r="B1277" i="5" s="1"/>
  <c r="B1277" i="2"/>
  <c r="C1277" i="2" s="1"/>
  <c r="O1276" i="2"/>
  <c r="L1276" i="2"/>
  <c r="M1276" i="2" s="1"/>
  <c r="N1276" i="2" s="1"/>
  <c r="I1276" i="2"/>
  <c r="J1276" i="2" s="1"/>
  <c r="K1276" i="2" s="1"/>
  <c r="F1276" i="2"/>
  <c r="G1276" i="2" s="1"/>
  <c r="H1276" i="2" s="1"/>
  <c r="C1276" i="5" s="1"/>
  <c r="D1276" i="2"/>
  <c r="E1276" i="2" s="1"/>
  <c r="B1276" i="5" s="1"/>
  <c r="B1276" i="2"/>
  <c r="C1276" i="2" s="1"/>
  <c r="O1275" i="2"/>
  <c r="L1275" i="2"/>
  <c r="M1275" i="2" s="1"/>
  <c r="N1275" i="2" s="1"/>
  <c r="I1275" i="2"/>
  <c r="J1275" i="2" s="1"/>
  <c r="K1275" i="2" s="1"/>
  <c r="F1275" i="2"/>
  <c r="G1275" i="2" s="1"/>
  <c r="H1275" i="2" s="1"/>
  <c r="C1275" i="5" s="1"/>
  <c r="D1275" i="2"/>
  <c r="E1275" i="2" s="1"/>
  <c r="B1275" i="5" s="1"/>
  <c r="B1275" i="2"/>
  <c r="C1275" i="2" s="1"/>
  <c r="O1274" i="2"/>
  <c r="L1274" i="2"/>
  <c r="M1274" i="2" s="1"/>
  <c r="N1274" i="2" s="1"/>
  <c r="I1274" i="2"/>
  <c r="J1274" i="2" s="1"/>
  <c r="K1274" i="2" s="1"/>
  <c r="F1274" i="2"/>
  <c r="G1274" i="2" s="1"/>
  <c r="H1274" i="2" s="1"/>
  <c r="C1274" i="5" s="1"/>
  <c r="D1274" i="2"/>
  <c r="E1274" i="2" s="1"/>
  <c r="B1274" i="5" s="1"/>
  <c r="B1274" i="2"/>
  <c r="C1274" i="2" s="1"/>
  <c r="O1273" i="2"/>
  <c r="L1273" i="2"/>
  <c r="M1273" i="2" s="1"/>
  <c r="N1273" i="2" s="1"/>
  <c r="I1273" i="2"/>
  <c r="J1273" i="2" s="1"/>
  <c r="K1273" i="2" s="1"/>
  <c r="F1273" i="2"/>
  <c r="G1273" i="2" s="1"/>
  <c r="H1273" i="2" s="1"/>
  <c r="C1273" i="5" s="1"/>
  <c r="D1273" i="2"/>
  <c r="E1273" i="2" s="1"/>
  <c r="B1273" i="5" s="1"/>
  <c r="B1273" i="2"/>
  <c r="C1273" i="2" s="1"/>
  <c r="O1272" i="2"/>
  <c r="L1272" i="2"/>
  <c r="M1272" i="2" s="1"/>
  <c r="N1272" i="2" s="1"/>
  <c r="I1272" i="2"/>
  <c r="J1272" i="2" s="1"/>
  <c r="K1272" i="2" s="1"/>
  <c r="F1272" i="2"/>
  <c r="G1272" i="2" s="1"/>
  <c r="H1272" i="2" s="1"/>
  <c r="C1272" i="5" s="1"/>
  <c r="D1272" i="2"/>
  <c r="E1272" i="2" s="1"/>
  <c r="B1272" i="5" s="1"/>
  <c r="B1272" i="2"/>
  <c r="C1272" i="2" s="1"/>
  <c r="O1271" i="2"/>
  <c r="L1271" i="2"/>
  <c r="M1271" i="2" s="1"/>
  <c r="N1271" i="2" s="1"/>
  <c r="I1271" i="2"/>
  <c r="J1271" i="2" s="1"/>
  <c r="K1271" i="2" s="1"/>
  <c r="F1271" i="2"/>
  <c r="G1271" i="2" s="1"/>
  <c r="H1271" i="2" s="1"/>
  <c r="C1271" i="5" s="1"/>
  <c r="D1271" i="2"/>
  <c r="E1271" i="2" s="1"/>
  <c r="B1271" i="5" s="1"/>
  <c r="B1271" i="2"/>
  <c r="C1271" i="2" s="1"/>
  <c r="O1270" i="2"/>
  <c r="L1270" i="2"/>
  <c r="M1270" i="2" s="1"/>
  <c r="N1270" i="2" s="1"/>
  <c r="I1270" i="2"/>
  <c r="J1270" i="2" s="1"/>
  <c r="K1270" i="2" s="1"/>
  <c r="F1270" i="2"/>
  <c r="G1270" i="2" s="1"/>
  <c r="H1270" i="2" s="1"/>
  <c r="C1270" i="5" s="1"/>
  <c r="D1270" i="2"/>
  <c r="E1270" i="2" s="1"/>
  <c r="B1270" i="5" s="1"/>
  <c r="B1270" i="2"/>
  <c r="C1270" i="2" s="1"/>
  <c r="O1269" i="2"/>
  <c r="L1269" i="2"/>
  <c r="M1269" i="2" s="1"/>
  <c r="N1269" i="2" s="1"/>
  <c r="I1269" i="2"/>
  <c r="J1269" i="2" s="1"/>
  <c r="K1269" i="2" s="1"/>
  <c r="F1269" i="2"/>
  <c r="G1269" i="2" s="1"/>
  <c r="H1269" i="2" s="1"/>
  <c r="C1269" i="5" s="1"/>
  <c r="D1269" i="2"/>
  <c r="E1269" i="2" s="1"/>
  <c r="B1269" i="5" s="1"/>
  <c r="B1269" i="2"/>
  <c r="C1269" i="2" s="1"/>
  <c r="O1268" i="2"/>
  <c r="L1268" i="2"/>
  <c r="M1268" i="2" s="1"/>
  <c r="N1268" i="2" s="1"/>
  <c r="I1268" i="2"/>
  <c r="J1268" i="2" s="1"/>
  <c r="K1268" i="2" s="1"/>
  <c r="F1268" i="2"/>
  <c r="G1268" i="2" s="1"/>
  <c r="H1268" i="2" s="1"/>
  <c r="C1268" i="5" s="1"/>
  <c r="D1268" i="2"/>
  <c r="E1268" i="2" s="1"/>
  <c r="B1268" i="5" s="1"/>
  <c r="B1268" i="2"/>
  <c r="C1268" i="2" s="1"/>
  <c r="O1267" i="2"/>
  <c r="L1267" i="2"/>
  <c r="M1267" i="2" s="1"/>
  <c r="N1267" i="2" s="1"/>
  <c r="I1267" i="2"/>
  <c r="J1267" i="2" s="1"/>
  <c r="K1267" i="2" s="1"/>
  <c r="F1267" i="2"/>
  <c r="G1267" i="2" s="1"/>
  <c r="H1267" i="2" s="1"/>
  <c r="C1267" i="5" s="1"/>
  <c r="D1267" i="2"/>
  <c r="E1267" i="2" s="1"/>
  <c r="B1267" i="5" s="1"/>
  <c r="B1267" i="2"/>
  <c r="C1267" i="2" s="1"/>
  <c r="O1266" i="2"/>
  <c r="L1266" i="2"/>
  <c r="M1266" i="2" s="1"/>
  <c r="N1266" i="2" s="1"/>
  <c r="I1266" i="2"/>
  <c r="J1266" i="2" s="1"/>
  <c r="K1266" i="2" s="1"/>
  <c r="F1266" i="2"/>
  <c r="G1266" i="2" s="1"/>
  <c r="H1266" i="2" s="1"/>
  <c r="C1266" i="5" s="1"/>
  <c r="D1266" i="2"/>
  <c r="E1266" i="2" s="1"/>
  <c r="B1266" i="5" s="1"/>
  <c r="B1266" i="2"/>
  <c r="C1266" i="2" s="1"/>
  <c r="O1265" i="2"/>
  <c r="L1265" i="2"/>
  <c r="M1265" i="2" s="1"/>
  <c r="N1265" i="2" s="1"/>
  <c r="I1265" i="2"/>
  <c r="J1265" i="2" s="1"/>
  <c r="K1265" i="2" s="1"/>
  <c r="F1265" i="2"/>
  <c r="G1265" i="2" s="1"/>
  <c r="H1265" i="2" s="1"/>
  <c r="C1265" i="5" s="1"/>
  <c r="D1265" i="2"/>
  <c r="E1265" i="2" s="1"/>
  <c r="B1265" i="5" s="1"/>
  <c r="B1265" i="2"/>
  <c r="C1265" i="2" s="1"/>
  <c r="O1264" i="2"/>
  <c r="L1264" i="2"/>
  <c r="M1264" i="2" s="1"/>
  <c r="N1264" i="2" s="1"/>
  <c r="I1264" i="2"/>
  <c r="J1264" i="2" s="1"/>
  <c r="K1264" i="2" s="1"/>
  <c r="F1264" i="2"/>
  <c r="G1264" i="2" s="1"/>
  <c r="H1264" i="2" s="1"/>
  <c r="C1264" i="5" s="1"/>
  <c r="D1264" i="2"/>
  <c r="E1264" i="2" s="1"/>
  <c r="B1264" i="5" s="1"/>
  <c r="B1264" i="2"/>
  <c r="C1264" i="2" s="1"/>
  <c r="O1263" i="2"/>
  <c r="L1263" i="2"/>
  <c r="M1263" i="2" s="1"/>
  <c r="N1263" i="2" s="1"/>
  <c r="I1263" i="2"/>
  <c r="J1263" i="2" s="1"/>
  <c r="K1263" i="2" s="1"/>
  <c r="F1263" i="2"/>
  <c r="G1263" i="2" s="1"/>
  <c r="H1263" i="2" s="1"/>
  <c r="C1263" i="5" s="1"/>
  <c r="D1263" i="2"/>
  <c r="E1263" i="2" s="1"/>
  <c r="B1263" i="5" s="1"/>
  <c r="B1263" i="2"/>
  <c r="C1263" i="2" s="1"/>
  <c r="O1262" i="2"/>
  <c r="L1262" i="2"/>
  <c r="M1262" i="2" s="1"/>
  <c r="N1262" i="2" s="1"/>
  <c r="I1262" i="2"/>
  <c r="J1262" i="2" s="1"/>
  <c r="K1262" i="2" s="1"/>
  <c r="F1262" i="2"/>
  <c r="G1262" i="2" s="1"/>
  <c r="H1262" i="2" s="1"/>
  <c r="C1262" i="5" s="1"/>
  <c r="D1262" i="2"/>
  <c r="E1262" i="2" s="1"/>
  <c r="B1262" i="5" s="1"/>
  <c r="B1262" i="2"/>
  <c r="C1262" i="2" s="1"/>
  <c r="O1261" i="2"/>
  <c r="L1261" i="2"/>
  <c r="M1261" i="2" s="1"/>
  <c r="N1261" i="2" s="1"/>
  <c r="I1261" i="2"/>
  <c r="J1261" i="2" s="1"/>
  <c r="K1261" i="2" s="1"/>
  <c r="F1261" i="2"/>
  <c r="G1261" i="2" s="1"/>
  <c r="H1261" i="2" s="1"/>
  <c r="C1261" i="5" s="1"/>
  <c r="D1261" i="2"/>
  <c r="E1261" i="2" s="1"/>
  <c r="B1261" i="5" s="1"/>
  <c r="B1261" i="2"/>
  <c r="C1261" i="2" s="1"/>
  <c r="O1260" i="2"/>
  <c r="L1260" i="2"/>
  <c r="M1260" i="2" s="1"/>
  <c r="N1260" i="2" s="1"/>
  <c r="I1260" i="2"/>
  <c r="J1260" i="2" s="1"/>
  <c r="K1260" i="2" s="1"/>
  <c r="F1260" i="2"/>
  <c r="G1260" i="2" s="1"/>
  <c r="H1260" i="2" s="1"/>
  <c r="C1260" i="5" s="1"/>
  <c r="D1260" i="2"/>
  <c r="E1260" i="2" s="1"/>
  <c r="B1260" i="5" s="1"/>
  <c r="B1260" i="2"/>
  <c r="C1260" i="2" s="1"/>
  <c r="O1259" i="2"/>
  <c r="L1259" i="2"/>
  <c r="M1259" i="2" s="1"/>
  <c r="N1259" i="2" s="1"/>
  <c r="I1259" i="2"/>
  <c r="J1259" i="2" s="1"/>
  <c r="K1259" i="2" s="1"/>
  <c r="F1259" i="2"/>
  <c r="G1259" i="2" s="1"/>
  <c r="H1259" i="2" s="1"/>
  <c r="C1259" i="5" s="1"/>
  <c r="D1259" i="2"/>
  <c r="E1259" i="2" s="1"/>
  <c r="B1259" i="5" s="1"/>
  <c r="B1259" i="2"/>
  <c r="C1259" i="2" s="1"/>
  <c r="O1258" i="2"/>
  <c r="L1258" i="2"/>
  <c r="M1258" i="2" s="1"/>
  <c r="N1258" i="2" s="1"/>
  <c r="I1258" i="2"/>
  <c r="J1258" i="2" s="1"/>
  <c r="K1258" i="2" s="1"/>
  <c r="F1258" i="2"/>
  <c r="G1258" i="2" s="1"/>
  <c r="H1258" i="2" s="1"/>
  <c r="C1258" i="5" s="1"/>
  <c r="D1258" i="2"/>
  <c r="E1258" i="2" s="1"/>
  <c r="B1258" i="5" s="1"/>
  <c r="B1258" i="2"/>
  <c r="C1258" i="2" s="1"/>
  <c r="O1257" i="2"/>
  <c r="L1257" i="2"/>
  <c r="M1257" i="2" s="1"/>
  <c r="N1257" i="2" s="1"/>
  <c r="I1257" i="2"/>
  <c r="J1257" i="2" s="1"/>
  <c r="K1257" i="2" s="1"/>
  <c r="F1257" i="2"/>
  <c r="G1257" i="2" s="1"/>
  <c r="H1257" i="2" s="1"/>
  <c r="C1257" i="5" s="1"/>
  <c r="D1257" i="2"/>
  <c r="E1257" i="2" s="1"/>
  <c r="B1257" i="5" s="1"/>
  <c r="B1257" i="2"/>
  <c r="C1257" i="2" s="1"/>
  <c r="O1256" i="2"/>
  <c r="L1256" i="2"/>
  <c r="M1256" i="2" s="1"/>
  <c r="N1256" i="2" s="1"/>
  <c r="I1256" i="2"/>
  <c r="J1256" i="2" s="1"/>
  <c r="K1256" i="2" s="1"/>
  <c r="F1256" i="2"/>
  <c r="G1256" i="2" s="1"/>
  <c r="H1256" i="2" s="1"/>
  <c r="C1256" i="5" s="1"/>
  <c r="D1256" i="2"/>
  <c r="E1256" i="2" s="1"/>
  <c r="B1256" i="5" s="1"/>
  <c r="B1256" i="2"/>
  <c r="C1256" i="2" s="1"/>
  <c r="O1255" i="2"/>
  <c r="L1255" i="2"/>
  <c r="M1255" i="2" s="1"/>
  <c r="N1255" i="2" s="1"/>
  <c r="I1255" i="2"/>
  <c r="J1255" i="2" s="1"/>
  <c r="K1255" i="2" s="1"/>
  <c r="F1255" i="2"/>
  <c r="G1255" i="2" s="1"/>
  <c r="H1255" i="2" s="1"/>
  <c r="C1255" i="5" s="1"/>
  <c r="D1255" i="2"/>
  <c r="E1255" i="2" s="1"/>
  <c r="B1255" i="5" s="1"/>
  <c r="B1255" i="2"/>
  <c r="C1255" i="2" s="1"/>
  <c r="O1254" i="2"/>
  <c r="L1254" i="2"/>
  <c r="M1254" i="2" s="1"/>
  <c r="N1254" i="2" s="1"/>
  <c r="I1254" i="2"/>
  <c r="J1254" i="2" s="1"/>
  <c r="K1254" i="2" s="1"/>
  <c r="F1254" i="2"/>
  <c r="G1254" i="2" s="1"/>
  <c r="H1254" i="2" s="1"/>
  <c r="C1254" i="5" s="1"/>
  <c r="D1254" i="2"/>
  <c r="E1254" i="2" s="1"/>
  <c r="B1254" i="5" s="1"/>
  <c r="B1254" i="2"/>
  <c r="C1254" i="2" s="1"/>
  <c r="O1253" i="2"/>
  <c r="L1253" i="2"/>
  <c r="M1253" i="2" s="1"/>
  <c r="N1253" i="2" s="1"/>
  <c r="I1253" i="2"/>
  <c r="J1253" i="2" s="1"/>
  <c r="K1253" i="2" s="1"/>
  <c r="F1253" i="2"/>
  <c r="G1253" i="2" s="1"/>
  <c r="H1253" i="2" s="1"/>
  <c r="C1253" i="5" s="1"/>
  <c r="D1253" i="2"/>
  <c r="E1253" i="2" s="1"/>
  <c r="B1253" i="5" s="1"/>
  <c r="B1253" i="2"/>
  <c r="C1253" i="2" s="1"/>
  <c r="O1252" i="2"/>
  <c r="L1252" i="2"/>
  <c r="M1252" i="2" s="1"/>
  <c r="N1252" i="2" s="1"/>
  <c r="I1252" i="2"/>
  <c r="J1252" i="2" s="1"/>
  <c r="K1252" i="2" s="1"/>
  <c r="F1252" i="2"/>
  <c r="G1252" i="2" s="1"/>
  <c r="H1252" i="2" s="1"/>
  <c r="C1252" i="5" s="1"/>
  <c r="D1252" i="2"/>
  <c r="E1252" i="2" s="1"/>
  <c r="B1252" i="5" s="1"/>
  <c r="B1252" i="2"/>
  <c r="C1252" i="2" s="1"/>
  <c r="O1251" i="2"/>
  <c r="L1251" i="2"/>
  <c r="M1251" i="2" s="1"/>
  <c r="N1251" i="2" s="1"/>
  <c r="I1251" i="2"/>
  <c r="J1251" i="2" s="1"/>
  <c r="K1251" i="2" s="1"/>
  <c r="F1251" i="2"/>
  <c r="G1251" i="2" s="1"/>
  <c r="H1251" i="2" s="1"/>
  <c r="C1251" i="5" s="1"/>
  <c r="D1251" i="2"/>
  <c r="E1251" i="2" s="1"/>
  <c r="B1251" i="5" s="1"/>
  <c r="B1251" i="2"/>
  <c r="C1251" i="2" s="1"/>
  <c r="O1250" i="2"/>
  <c r="L1250" i="2"/>
  <c r="M1250" i="2" s="1"/>
  <c r="N1250" i="2" s="1"/>
  <c r="I1250" i="2"/>
  <c r="J1250" i="2" s="1"/>
  <c r="K1250" i="2" s="1"/>
  <c r="F1250" i="2"/>
  <c r="G1250" i="2" s="1"/>
  <c r="H1250" i="2" s="1"/>
  <c r="C1250" i="5" s="1"/>
  <c r="D1250" i="2"/>
  <c r="E1250" i="2" s="1"/>
  <c r="B1250" i="5" s="1"/>
  <c r="B1250" i="2"/>
  <c r="C1250" i="2" s="1"/>
  <c r="O1249" i="2"/>
  <c r="L1249" i="2"/>
  <c r="M1249" i="2" s="1"/>
  <c r="N1249" i="2" s="1"/>
  <c r="I1249" i="2"/>
  <c r="J1249" i="2" s="1"/>
  <c r="K1249" i="2" s="1"/>
  <c r="F1249" i="2"/>
  <c r="G1249" i="2" s="1"/>
  <c r="H1249" i="2" s="1"/>
  <c r="C1249" i="5" s="1"/>
  <c r="D1249" i="2"/>
  <c r="E1249" i="2" s="1"/>
  <c r="B1249" i="5" s="1"/>
  <c r="B1249" i="2"/>
  <c r="C1249" i="2" s="1"/>
  <c r="O1248" i="2"/>
  <c r="L1248" i="2"/>
  <c r="M1248" i="2" s="1"/>
  <c r="N1248" i="2" s="1"/>
  <c r="I1248" i="2"/>
  <c r="J1248" i="2" s="1"/>
  <c r="K1248" i="2" s="1"/>
  <c r="F1248" i="2"/>
  <c r="G1248" i="2" s="1"/>
  <c r="H1248" i="2" s="1"/>
  <c r="C1248" i="5" s="1"/>
  <c r="D1248" i="2"/>
  <c r="E1248" i="2" s="1"/>
  <c r="B1248" i="5" s="1"/>
  <c r="B1248" i="2"/>
  <c r="C1248" i="2" s="1"/>
  <c r="O1247" i="2"/>
  <c r="L1247" i="2"/>
  <c r="M1247" i="2" s="1"/>
  <c r="N1247" i="2" s="1"/>
  <c r="I1247" i="2"/>
  <c r="J1247" i="2" s="1"/>
  <c r="K1247" i="2" s="1"/>
  <c r="F1247" i="2"/>
  <c r="G1247" i="2" s="1"/>
  <c r="H1247" i="2" s="1"/>
  <c r="C1247" i="5" s="1"/>
  <c r="D1247" i="2"/>
  <c r="E1247" i="2" s="1"/>
  <c r="B1247" i="5" s="1"/>
  <c r="B1247" i="2"/>
  <c r="C1247" i="2" s="1"/>
  <c r="O1246" i="2"/>
  <c r="L1246" i="2"/>
  <c r="M1246" i="2" s="1"/>
  <c r="N1246" i="2" s="1"/>
  <c r="I1246" i="2"/>
  <c r="J1246" i="2" s="1"/>
  <c r="K1246" i="2" s="1"/>
  <c r="F1246" i="2"/>
  <c r="G1246" i="2" s="1"/>
  <c r="H1246" i="2" s="1"/>
  <c r="C1246" i="5" s="1"/>
  <c r="D1246" i="2"/>
  <c r="E1246" i="2" s="1"/>
  <c r="B1246" i="5" s="1"/>
  <c r="B1246" i="2"/>
  <c r="C1246" i="2" s="1"/>
  <c r="O1245" i="2"/>
  <c r="L1245" i="2"/>
  <c r="M1245" i="2" s="1"/>
  <c r="N1245" i="2" s="1"/>
  <c r="I1245" i="2"/>
  <c r="J1245" i="2" s="1"/>
  <c r="K1245" i="2" s="1"/>
  <c r="F1245" i="2"/>
  <c r="G1245" i="2" s="1"/>
  <c r="H1245" i="2" s="1"/>
  <c r="C1245" i="5" s="1"/>
  <c r="D1245" i="2"/>
  <c r="E1245" i="2" s="1"/>
  <c r="B1245" i="5" s="1"/>
  <c r="B1245" i="2"/>
  <c r="C1245" i="2" s="1"/>
  <c r="O1244" i="2"/>
  <c r="L1244" i="2"/>
  <c r="M1244" i="2" s="1"/>
  <c r="N1244" i="2" s="1"/>
  <c r="I1244" i="2"/>
  <c r="J1244" i="2" s="1"/>
  <c r="K1244" i="2" s="1"/>
  <c r="F1244" i="2"/>
  <c r="G1244" i="2" s="1"/>
  <c r="H1244" i="2" s="1"/>
  <c r="C1244" i="5" s="1"/>
  <c r="D1244" i="2"/>
  <c r="E1244" i="2" s="1"/>
  <c r="B1244" i="5" s="1"/>
  <c r="B1244" i="2"/>
  <c r="C1244" i="2" s="1"/>
  <c r="O1243" i="2"/>
  <c r="L1243" i="2"/>
  <c r="M1243" i="2" s="1"/>
  <c r="N1243" i="2" s="1"/>
  <c r="I1243" i="2"/>
  <c r="J1243" i="2" s="1"/>
  <c r="K1243" i="2" s="1"/>
  <c r="F1243" i="2"/>
  <c r="G1243" i="2" s="1"/>
  <c r="H1243" i="2" s="1"/>
  <c r="C1243" i="5" s="1"/>
  <c r="D1243" i="2"/>
  <c r="E1243" i="2" s="1"/>
  <c r="B1243" i="5" s="1"/>
  <c r="B1243" i="2"/>
  <c r="C1243" i="2" s="1"/>
  <c r="O1242" i="2"/>
  <c r="L1242" i="2"/>
  <c r="M1242" i="2" s="1"/>
  <c r="N1242" i="2" s="1"/>
  <c r="I1242" i="2"/>
  <c r="J1242" i="2" s="1"/>
  <c r="K1242" i="2" s="1"/>
  <c r="F1242" i="2"/>
  <c r="G1242" i="2" s="1"/>
  <c r="H1242" i="2" s="1"/>
  <c r="C1242" i="5" s="1"/>
  <c r="D1242" i="2"/>
  <c r="E1242" i="2" s="1"/>
  <c r="B1242" i="5" s="1"/>
  <c r="B1242" i="2"/>
  <c r="C1242" i="2" s="1"/>
  <c r="O1241" i="2"/>
  <c r="L1241" i="2"/>
  <c r="M1241" i="2" s="1"/>
  <c r="N1241" i="2" s="1"/>
  <c r="I1241" i="2"/>
  <c r="J1241" i="2" s="1"/>
  <c r="K1241" i="2" s="1"/>
  <c r="F1241" i="2"/>
  <c r="G1241" i="2" s="1"/>
  <c r="H1241" i="2" s="1"/>
  <c r="C1241" i="5" s="1"/>
  <c r="D1241" i="2"/>
  <c r="E1241" i="2" s="1"/>
  <c r="B1241" i="5" s="1"/>
  <c r="B1241" i="2"/>
  <c r="C1241" i="2" s="1"/>
  <c r="O1240" i="2"/>
  <c r="L1240" i="2"/>
  <c r="M1240" i="2" s="1"/>
  <c r="N1240" i="2" s="1"/>
  <c r="I1240" i="2"/>
  <c r="J1240" i="2" s="1"/>
  <c r="K1240" i="2" s="1"/>
  <c r="F1240" i="2"/>
  <c r="G1240" i="2" s="1"/>
  <c r="H1240" i="2" s="1"/>
  <c r="C1240" i="5" s="1"/>
  <c r="D1240" i="2"/>
  <c r="E1240" i="2" s="1"/>
  <c r="B1240" i="5" s="1"/>
  <c r="B1240" i="2"/>
  <c r="C1240" i="2" s="1"/>
  <c r="O1239" i="2"/>
  <c r="L1239" i="2"/>
  <c r="M1239" i="2" s="1"/>
  <c r="N1239" i="2" s="1"/>
  <c r="I1239" i="2"/>
  <c r="J1239" i="2" s="1"/>
  <c r="K1239" i="2" s="1"/>
  <c r="F1239" i="2"/>
  <c r="G1239" i="2" s="1"/>
  <c r="H1239" i="2" s="1"/>
  <c r="C1239" i="5" s="1"/>
  <c r="D1239" i="2"/>
  <c r="E1239" i="2" s="1"/>
  <c r="B1239" i="5" s="1"/>
  <c r="B1239" i="2"/>
  <c r="C1239" i="2" s="1"/>
  <c r="O1238" i="2"/>
  <c r="L1238" i="2"/>
  <c r="M1238" i="2" s="1"/>
  <c r="N1238" i="2" s="1"/>
  <c r="I1238" i="2"/>
  <c r="J1238" i="2" s="1"/>
  <c r="K1238" i="2" s="1"/>
  <c r="F1238" i="2"/>
  <c r="G1238" i="2" s="1"/>
  <c r="H1238" i="2" s="1"/>
  <c r="C1238" i="5" s="1"/>
  <c r="D1238" i="2"/>
  <c r="E1238" i="2" s="1"/>
  <c r="B1238" i="5" s="1"/>
  <c r="B1238" i="2"/>
  <c r="C1238" i="2" s="1"/>
  <c r="O1237" i="2"/>
  <c r="L1237" i="2"/>
  <c r="M1237" i="2" s="1"/>
  <c r="N1237" i="2" s="1"/>
  <c r="I1237" i="2"/>
  <c r="J1237" i="2" s="1"/>
  <c r="K1237" i="2" s="1"/>
  <c r="F1237" i="2"/>
  <c r="G1237" i="2" s="1"/>
  <c r="H1237" i="2" s="1"/>
  <c r="C1237" i="5" s="1"/>
  <c r="D1237" i="2"/>
  <c r="E1237" i="2" s="1"/>
  <c r="B1237" i="5" s="1"/>
  <c r="B1237" i="2"/>
  <c r="C1237" i="2" s="1"/>
  <c r="O1236" i="2"/>
  <c r="L1236" i="2"/>
  <c r="M1236" i="2" s="1"/>
  <c r="N1236" i="2" s="1"/>
  <c r="I1236" i="2"/>
  <c r="J1236" i="2" s="1"/>
  <c r="K1236" i="2" s="1"/>
  <c r="F1236" i="2"/>
  <c r="G1236" i="2" s="1"/>
  <c r="H1236" i="2" s="1"/>
  <c r="C1236" i="5" s="1"/>
  <c r="D1236" i="2"/>
  <c r="E1236" i="2" s="1"/>
  <c r="B1236" i="5" s="1"/>
  <c r="B1236" i="2"/>
  <c r="C1236" i="2" s="1"/>
  <c r="O1235" i="2"/>
  <c r="L1235" i="2"/>
  <c r="M1235" i="2" s="1"/>
  <c r="N1235" i="2" s="1"/>
  <c r="I1235" i="2"/>
  <c r="J1235" i="2" s="1"/>
  <c r="K1235" i="2" s="1"/>
  <c r="F1235" i="2"/>
  <c r="G1235" i="2" s="1"/>
  <c r="H1235" i="2" s="1"/>
  <c r="C1235" i="5" s="1"/>
  <c r="D1235" i="2"/>
  <c r="E1235" i="2" s="1"/>
  <c r="B1235" i="5" s="1"/>
  <c r="B1235" i="2"/>
  <c r="C1235" i="2" s="1"/>
  <c r="O1234" i="2"/>
  <c r="L1234" i="2"/>
  <c r="M1234" i="2" s="1"/>
  <c r="N1234" i="2" s="1"/>
  <c r="I1234" i="2"/>
  <c r="J1234" i="2" s="1"/>
  <c r="K1234" i="2" s="1"/>
  <c r="F1234" i="2"/>
  <c r="G1234" i="2" s="1"/>
  <c r="H1234" i="2" s="1"/>
  <c r="C1234" i="5" s="1"/>
  <c r="D1234" i="2"/>
  <c r="E1234" i="2" s="1"/>
  <c r="B1234" i="5" s="1"/>
  <c r="B1234" i="2"/>
  <c r="C1234" i="2" s="1"/>
  <c r="O1233" i="2"/>
  <c r="L1233" i="2"/>
  <c r="M1233" i="2" s="1"/>
  <c r="N1233" i="2" s="1"/>
  <c r="I1233" i="2"/>
  <c r="J1233" i="2" s="1"/>
  <c r="K1233" i="2" s="1"/>
  <c r="F1233" i="2"/>
  <c r="G1233" i="2" s="1"/>
  <c r="H1233" i="2" s="1"/>
  <c r="C1233" i="5" s="1"/>
  <c r="D1233" i="2"/>
  <c r="E1233" i="2" s="1"/>
  <c r="B1233" i="5" s="1"/>
  <c r="B1233" i="2"/>
  <c r="C1233" i="2" s="1"/>
  <c r="O1232" i="2"/>
  <c r="L1232" i="2"/>
  <c r="M1232" i="2" s="1"/>
  <c r="N1232" i="2" s="1"/>
  <c r="I1232" i="2"/>
  <c r="J1232" i="2" s="1"/>
  <c r="K1232" i="2" s="1"/>
  <c r="F1232" i="2"/>
  <c r="G1232" i="2" s="1"/>
  <c r="H1232" i="2" s="1"/>
  <c r="C1232" i="5" s="1"/>
  <c r="D1232" i="2"/>
  <c r="E1232" i="2" s="1"/>
  <c r="B1232" i="5" s="1"/>
  <c r="B1232" i="2"/>
  <c r="C1232" i="2" s="1"/>
  <c r="O1231" i="2"/>
  <c r="L1231" i="2"/>
  <c r="M1231" i="2" s="1"/>
  <c r="N1231" i="2" s="1"/>
  <c r="I1231" i="2"/>
  <c r="J1231" i="2" s="1"/>
  <c r="K1231" i="2" s="1"/>
  <c r="F1231" i="2"/>
  <c r="G1231" i="2" s="1"/>
  <c r="H1231" i="2" s="1"/>
  <c r="C1231" i="5" s="1"/>
  <c r="D1231" i="2"/>
  <c r="E1231" i="2" s="1"/>
  <c r="B1231" i="5" s="1"/>
  <c r="B1231" i="2"/>
  <c r="C1231" i="2" s="1"/>
  <c r="O1230" i="2"/>
  <c r="L1230" i="2"/>
  <c r="M1230" i="2" s="1"/>
  <c r="N1230" i="2" s="1"/>
  <c r="I1230" i="2"/>
  <c r="J1230" i="2" s="1"/>
  <c r="K1230" i="2" s="1"/>
  <c r="F1230" i="2"/>
  <c r="G1230" i="2" s="1"/>
  <c r="H1230" i="2" s="1"/>
  <c r="C1230" i="5" s="1"/>
  <c r="D1230" i="2"/>
  <c r="E1230" i="2" s="1"/>
  <c r="B1230" i="5" s="1"/>
  <c r="B1230" i="2"/>
  <c r="C1230" i="2" s="1"/>
  <c r="O1229" i="2"/>
  <c r="L1229" i="2"/>
  <c r="M1229" i="2" s="1"/>
  <c r="N1229" i="2" s="1"/>
  <c r="I1229" i="2"/>
  <c r="J1229" i="2" s="1"/>
  <c r="K1229" i="2" s="1"/>
  <c r="F1229" i="2"/>
  <c r="G1229" i="2" s="1"/>
  <c r="H1229" i="2" s="1"/>
  <c r="C1229" i="5" s="1"/>
  <c r="D1229" i="2"/>
  <c r="E1229" i="2" s="1"/>
  <c r="B1229" i="5" s="1"/>
  <c r="B1229" i="2"/>
  <c r="C1229" i="2" s="1"/>
  <c r="O1228" i="2"/>
  <c r="L1228" i="2"/>
  <c r="M1228" i="2" s="1"/>
  <c r="N1228" i="2" s="1"/>
  <c r="I1228" i="2"/>
  <c r="J1228" i="2" s="1"/>
  <c r="K1228" i="2" s="1"/>
  <c r="F1228" i="2"/>
  <c r="G1228" i="2" s="1"/>
  <c r="H1228" i="2" s="1"/>
  <c r="C1228" i="5" s="1"/>
  <c r="D1228" i="2"/>
  <c r="E1228" i="2" s="1"/>
  <c r="B1228" i="5" s="1"/>
  <c r="B1228" i="2"/>
  <c r="C1228" i="2" s="1"/>
  <c r="O1227" i="2"/>
  <c r="L1227" i="2"/>
  <c r="M1227" i="2" s="1"/>
  <c r="N1227" i="2" s="1"/>
  <c r="I1227" i="2"/>
  <c r="J1227" i="2" s="1"/>
  <c r="K1227" i="2" s="1"/>
  <c r="F1227" i="2"/>
  <c r="G1227" i="2" s="1"/>
  <c r="H1227" i="2" s="1"/>
  <c r="C1227" i="5" s="1"/>
  <c r="D1227" i="2"/>
  <c r="E1227" i="2" s="1"/>
  <c r="B1227" i="5" s="1"/>
  <c r="B1227" i="2"/>
  <c r="C1227" i="2" s="1"/>
  <c r="O1226" i="2"/>
  <c r="L1226" i="2"/>
  <c r="M1226" i="2" s="1"/>
  <c r="N1226" i="2" s="1"/>
  <c r="I1226" i="2"/>
  <c r="J1226" i="2" s="1"/>
  <c r="K1226" i="2" s="1"/>
  <c r="F1226" i="2"/>
  <c r="G1226" i="2" s="1"/>
  <c r="H1226" i="2" s="1"/>
  <c r="C1226" i="5" s="1"/>
  <c r="D1226" i="2"/>
  <c r="E1226" i="2" s="1"/>
  <c r="B1226" i="5" s="1"/>
  <c r="B1226" i="2"/>
  <c r="C1226" i="2" s="1"/>
  <c r="O1225" i="2"/>
  <c r="L1225" i="2"/>
  <c r="M1225" i="2" s="1"/>
  <c r="N1225" i="2" s="1"/>
  <c r="I1225" i="2"/>
  <c r="J1225" i="2" s="1"/>
  <c r="K1225" i="2" s="1"/>
  <c r="F1225" i="2"/>
  <c r="G1225" i="2" s="1"/>
  <c r="H1225" i="2" s="1"/>
  <c r="C1225" i="5" s="1"/>
  <c r="D1225" i="2"/>
  <c r="E1225" i="2" s="1"/>
  <c r="B1225" i="5" s="1"/>
  <c r="B1225" i="2"/>
  <c r="C1225" i="2" s="1"/>
  <c r="O1224" i="2"/>
  <c r="L1224" i="2"/>
  <c r="M1224" i="2" s="1"/>
  <c r="N1224" i="2" s="1"/>
  <c r="I1224" i="2"/>
  <c r="J1224" i="2" s="1"/>
  <c r="K1224" i="2" s="1"/>
  <c r="F1224" i="2"/>
  <c r="G1224" i="2" s="1"/>
  <c r="H1224" i="2" s="1"/>
  <c r="C1224" i="5" s="1"/>
  <c r="D1224" i="2"/>
  <c r="E1224" i="2" s="1"/>
  <c r="B1224" i="5" s="1"/>
  <c r="B1224" i="2"/>
  <c r="C1224" i="2" s="1"/>
  <c r="O1223" i="2"/>
  <c r="L1223" i="2"/>
  <c r="M1223" i="2" s="1"/>
  <c r="N1223" i="2" s="1"/>
  <c r="I1223" i="2"/>
  <c r="J1223" i="2" s="1"/>
  <c r="K1223" i="2" s="1"/>
  <c r="F1223" i="2"/>
  <c r="G1223" i="2" s="1"/>
  <c r="H1223" i="2" s="1"/>
  <c r="C1223" i="5" s="1"/>
  <c r="D1223" i="2"/>
  <c r="E1223" i="2" s="1"/>
  <c r="B1223" i="5" s="1"/>
  <c r="B1223" i="2"/>
  <c r="C1223" i="2" s="1"/>
  <c r="O1222" i="2"/>
  <c r="L1222" i="2"/>
  <c r="M1222" i="2" s="1"/>
  <c r="N1222" i="2" s="1"/>
  <c r="I1222" i="2"/>
  <c r="J1222" i="2" s="1"/>
  <c r="K1222" i="2" s="1"/>
  <c r="F1222" i="2"/>
  <c r="G1222" i="2" s="1"/>
  <c r="H1222" i="2" s="1"/>
  <c r="C1222" i="5" s="1"/>
  <c r="D1222" i="2"/>
  <c r="E1222" i="2" s="1"/>
  <c r="B1222" i="5" s="1"/>
  <c r="B1222" i="2"/>
  <c r="C1222" i="2" s="1"/>
  <c r="O1221" i="2"/>
  <c r="L1221" i="2"/>
  <c r="M1221" i="2" s="1"/>
  <c r="N1221" i="2" s="1"/>
  <c r="I1221" i="2"/>
  <c r="J1221" i="2" s="1"/>
  <c r="K1221" i="2" s="1"/>
  <c r="F1221" i="2"/>
  <c r="G1221" i="2" s="1"/>
  <c r="H1221" i="2" s="1"/>
  <c r="C1221" i="5" s="1"/>
  <c r="D1221" i="2"/>
  <c r="E1221" i="2" s="1"/>
  <c r="B1221" i="5" s="1"/>
  <c r="B1221" i="2"/>
  <c r="C1221" i="2" s="1"/>
  <c r="O1220" i="2"/>
  <c r="L1220" i="2"/>
  <c r="M1220" i="2" s="1"/>
  <c r="N1220" i="2" s="1"/>
  <c r="I1220" i="2"/>
  <c r="J1220" i="2" s="1"/>
  <c r="K1220" i="2" s="1"/>
  <c r="F1220" i="2"/>
  <c r="G1220" i="2" s="1"/>
  <c r="H1220" i="2" s="1"/>
  <c r="C1220" i="5" s="1"/>
  <c r="D1220" i="2"/>
  <c r="E1220" i="2" s="1"/>
  <c r="B1220" i="5" s="1"/>
  <c r="B1220" i="2"/>
  <c r="C1220" i="2" s="1"/>
  <c r="O1219" i="2"/>
  <c r="L1219" i="2"/>
  <c r="M1219" i="2" s="1"/>
  <c r="N1219" i="2" s="1"/>
  <c r="I1219" i="2"/>
  <c r="J1219" i="2" s="1"/>
  <c r="K1219" i="2" s="1"/>
  <c r="F1219" i="2"/>
  <c r="G1219" i="2" s="1"/>
  <c r="H1219" i="2" s="1"/>
  <c r="C1219" i="5" s="1"/>
  <c r="D1219" i="2"/>
  <c r="E1219" i="2" s="1"/>
  <c r="B1219" i="5" s="1"/>
  <c r="B1219" i="2"/>
  <c r="C1219" i="2" s="1"/>
  <c r="O1218" i="2"/>
  <c r="L1218" i="2"/>
  <c r="M1218" i="2" s="1"/>
  <c r="N1218" i="2" s="1"/>
  <c r="I1218" i="2"/>
  <c r="J1218" i="2" s="1"/>
  <c r="K1218" i="2" s="1"/>
  <c r="F1218" i="2"/>
  <c r="G1218" i="2" s="1"/>
  <c r="H1218" i="2" s="1"/>
  <c r="C1218" i="5" s="1"/>
  <c r="D1218" i="2"/>
  <c r="E1218" i="2" s="1"/>
  <c r="B1218" i="5" s="1"/>
  <c r="B1218" i="2"/>
  <c r="C1218" i="2" s="1"/>
  <c r="O1217" i="2"/>
  <c r="L1217" i="2"/>
  <c r="M1217" i="2" s="1"/>
  <c r="N1217" i="2" s="1"/>
  <c r="I1217" i="2"/>
  <c r="J1217" i="2" s="1"/>
  <c r="K1217" i="2" s="1"/>
  <c r="F1217" i="2"/>
  <c r="G1217" i="2" s="1"/>
  <c r="H1217" i="2" s="1"/>
  <c r="C1217" i="5" s="1"/>
  <c r="D1217" i="2"/>
  <c r="E1217" i="2" s="1"/>
  <c r="B1217" i="5" s="1"/>
  <c r="B1217" i="2"/>
  <c r="C1217" i="2" s="1"/>
  <c r="O1216" i="2"/>
  <c r="L1216" i="2"/>
  <c r="M1216" i="2" s="1"/>
  <c r="N1216" i="2" s="1"/>
  <c r="I1216" i="2"/>
  <c r="J1216" i="2" s="1"/>
  <c r="K1216" i="2" s="1"/>
  <c r="F1216" i="2"/>
  <c r="G1216" i="2" s="1"/>
  <c r="H1216" i="2" s="1"/>
  <c r="C1216" i="5" s="1"/>
  <c r="D1216" i="2"/>
  <c r="E1216" i="2" s="1"/>
  <c r="B1216" i="5" s="1"/>
  <c r="B1216" i="2"/>
  <c r="C1216" i="2" s="1"/>
  <c r="O1215" i="2"/>
  <c r="L1215" i="2"/>
  <c r="M1215" i="2" s="1"/>
  <c r="N1215" i="2" s="1"/>
  <c r="I1215" i="2"/>
  <c r="J1215" i="2" s="1"/>
  <c r="K1215" i="2" s="1"/>
  <c r="F1215" i="2"/>
  <c r="G1215" i="2" s="1"/>
  <c r="H1215" i="2" s="1"/>
  <c r="C1215" i="5" s="1"/>
  <c r="D1215" i="2"/>
  <c r="E1215" i="2" s="1"/>
  <c r="B1215" i="5" s="1"/>
  <c r="B1215" i="2"/>
  <c r="C1215" i="2" s="1"/>
  <c r="O1214" i="2"/>
  <c r="L1214" i="2"/>
  <c r="M1214" i="2" s="1"/>
  <c r="N1214" i="2" s="1"/>
  <c r="I1214" i="2"/>
  <c r="J1214" i="2" s="1"/>
  <c r="K1214" i="2" s="1"/>
  <c r="F1214" i="2"/>
  <c r="G1214" i="2" s="1"/>
  <c r="H1214" i="2" s="1"/>
  <c r="C1214" i="5" s="1"/>
  <c r="D1214" i="2"/>
  <c r="E1214" i="2" s="1"/>
  <c r="B1214" i="5" s="1"/>
  <c r="B1214" i="2"/>
  <c r="C1214" i="2" s="1"/>
  <c r="O1213" i="2"/>
  <c r="L1213" i="2"/>
  <c r="M1213" i="2" s="1"/>
  <c r="N1213" i="2" s="1"/>
  <c r="I1213" i="2"/>
  <c r="J1213" i="2" s="1"/>
  <c r="K1213" i="2" s="1"/>
  <c r="F1213" i="2"/>
  <c r="G1213" i="2" s="1"/>
  <c r="H1213" i="2" s="1"/>
  <c r="C1213" i="5" s="1"/>
  <c r="D1213" i="2"/>
  <c r="E1213" i="2" s="1"/>
  <c r="B1213" i="5" s="1"/>
  <c r="B1213" i="2"/>
  <c r="C1213" i="2" s="1"/>
  <c r="O1212" i="2"/>
  <c r="L1212" i="2"/>
  <c r="M1212" i="2" s="1"/>
  <c r="N1212" i="2" s="1"/>
  <c r="I1212" i="2"/>
  <c r="J1212" i="2" s="1"/>
  <c r="K1212" i="2" s="1"/>
  <c r="F1212" i="2"/>
  <c r="G1212" i="2" s="1"/>
  <c r="H1212" i="2" s="1"/>
  <c r="C1212" i="5" s="1"/>
  <c r="D1212" i="2"/>
  <c r="E1212" i="2" s="1"/>
  <c r="B1212" i="5" s="1"/>
  <c r="B1212" i="2"/>
  <c r="C1212" i="2" s="1"/>
  <c r="O1211" i="2"/>
  <c r="L1211" i="2"/>
  <c r="M1211" i="2" s="1"/>
  <c r="N1211" i="2" s="1"/>
  <c r="I1211" i="2"/>
  <c r="J1211" i="2" s="1"/>
  <c r="K1211" i="2" s="1"/>
  <c r="F1211" i="2"/>
  <c r="G1211" i="2" s="1"/>
  <c r="H1211" i="2" s="1"/>
  <c r="C1211" i="5" s="1"/>
  <c r="D1211" i="2"/>
  <c r="E1211" i="2" s="1"/>
  <c r="B1211" i="5" s="1"/>
  <c r="B1211" i="2"/>
  <c r="C1211" i="2" s="1"/>
  <c r="O1210" i="2"/>
  <c r="L1210" i="2"/>
  <c r="M1210" i="2" s="1"/>
  <c r="N1210" i="2" s="1"/>
  <c r="I1210" i="2"/>
  <c r="J1210" i="2" s="1"/>
  <c r="K1210" i="2" s="1"/>
  <c r="F1210" i="2"/>
  <c r="G1210" i="2" s="1"/>
  <c r="H1210" i="2" s="1"/>
  <c r="C1210" i="5" s="1"/>
  <c r="D1210" i="2"/>
  <c r="E1210" i="2" s="1"/>
  <c r="B1210" i="5" s="1"/>
  <c r="B1210" i="2"/>
  <c r="C1210" i="2" s="1"/>
  <c r="O1209" i="2"/>
  <c r="L1209" i="2"/>
  <c r="M1209" i="2" s="1"/>
  <c r="N1209" i="2" s="1"/>
  <c r="I1209" i="2"/>
  <c r="J1209" i="2" s="1"/>
  <c r="K1209" i="2" s="1"/>
  <c r="F1209" i="2"/>
  <c r="G1209" i="2" s="1"/>
  <c r="H1209" i="2" s="1"/>
  <c r="C1209" i="5" s="1"/>
  <c r="D1209" i="2"/>
  <c r="E1209" i="2" s="1"/>
  <c r="B1209" i="5" s="1"/>
  <c r="B1209" i="2"/>
  <c r="C1209" i="2" s="1"/>
  <c r="O1208" i="2"/>
  <c r="L1208" i="2"/>
  <c r="M1208" i="2" s="1"/>
  <c r="N1208" i="2" s="1"/>
  <c r="I1208" i="2"/>
  <c r="J1208" i="2" s="1"/>
  <c r="K1208" i="2" s="1"/>
  <c r="F1208" i="2"/>
  <c r="G1208" i="2" s="1"/>
  <c r="H1208" i="2" s="1"/>
  <c r="C1208" i="5" s="1"/>
  <c r="D1208" i="2"/>
  <c r="E1208" i="2" s="1"/>
  <c r="B1208" i="5" s="1"/>
  <c r="B1208" i="2"/>
  <c r="C1208" i="2" s="1"/>
  <c r="O1207" i="2"/>
  <c r="L1207" i="2"/>
  <c r="M1207" i="2" s="1"/>
  <c r="N1207" i="2" s="1"/>
  <c r="I1207" i="2"/>
  <c r="J1207" i="2" s="1"/>
  <c r="K1207" i="2" s="1"/>
  <c r="F1207" i="2"/>
  <c r="G1207" i="2" s="1"/>
  <c r="H1207" i="2" s="1"/>
  <c r="C1207" i="5" s="1"/>
  <c r="D1207" i="2"/>
  <c r="E1207" i="2" s="1"/>
  <c r="B1207" i="5" s="1"/>
  <c r="B1207" i="2"/>
  <c r="C1207" i="2" s="1"/>
  <c r="O1206" i="2"/>
  <c r="L1206" i="2"/>
  <c r="M1206" i="2" s="1"/>
  <c r="N1206" i="2" s="1"/>
  <c r="I1206" i="2"/>
  <c r="J1206" i="2" s="1"/>
  <c r="K1206" i="2" s="1"/>
  <c r="F1206" i="2"/>
  <c r="G1206" i="2" s="1"/>
  <c r="H1206" i="2" s="1"/>
  <c r="C1206" i="5" s="1"/>
  <c r="D1206" i="2"/>
  <c r="E1206" i="2" s="1"/>
  <c r="B1206" i="5" s="1"/>
  <c r="B1206" i="2"/>
  <c r="C1206" i="2" s="1"/>
  <c r="O1205" i="2"/>
  <c r="L1205" i="2"/>
  <c r="M1205" i="2" s="1"/>
  <c r="N1205" i="2" s="1"/>
  <c r="I1205" i="2"/>
  <c r="J1205" i="2" s="1"/>
  <c r="K1205" i="2" s="1"/>
  <c r="F1205" i="2"/>
  <c r="G1205" i="2" s="1"/>
  <c r="H1205" i="2" s="1"/>
  <c r="C1205" i="5" s="1"/>
  <c r="D1205" i="2"/>
  <c r="E1205" i="2" s="1"/>
  <c r="B1205" i="5" s="1"/>
  <c r="B1205" i="2"/>
  <c r="C1205" i="2" s="1"/>
  <c r="O1204" i="2"/>
  <c r="L1204" i="2"/>
  <c r="M1204" i="2" s="1"/>
  <c r="N1204" i="2" s="1"/>
  <c r="I1204" i="2"/>
  <c r="J1204" i="2" s="1"/>
  <c r="K1204" i="2" s="1"/>
  <c r="F1204" i="2"/>
  <c r="G1204" i="2" s="1"/>
  <c r="H1204" i="2" s="1"/>
  <c r="C1204" i="5" s="1"/>
  <c r="D1204" i="2"/>
  <c r="E1204" i="2" s="1"/>
  <c r="B1204" i="5" s="1"/>
  <c r="B1204" i="2"/>
  <c r="C1204" i="2" s="1"/>
  <c r="O1203" i="2"/>
  <c r="L1203" i="2"/>
  <c r="M1203" i="2" s="1"/>
  <c r="N1203" i="2" s="1"/>
  <c r="I1203" i="2"/>
  <c r="J1203" i="2" s="1"/>
  <c r="K1203" i="2" s="1"/>
  <c r="F1203" i="2"/>
  <c r="G1203" i="2" s="1"/>
  <c r="H1203" i="2" s="1"/>
  <c r="C1203" i="5" s="1"/>
  <c r="D1203" i="2"/>
  <c r="E1203" i="2" s="1"/>
  <c r="B1203" i="5" s="1"/>
  <c r="B1203" i="2"/>
  <c r="C1203" i="2" s="1"/>
  <c r="O1202" i="2"/>
  <c r="L1202" i="2"/>
  <c r="M1202" i="2" s="1"/>
  <c r="N1202" i="2" s="1"/>
  <c r="I1202" i="2"/>
  <c r="J1202" i="2" s="1"/>
  <c r="K1202" i="2" s="1"/>
  <c r="F1202" i="2"/>
  <c r="G1202" i="2" s="1"/>
  <c r="H1202" i="2" s="1"/>
  <c r="C1202" i="5" s="1"/>
  <c r="D1202" i="2"/>
  <c r="E1202" i="2" s="1"/>
  <c r="B1202" i="5" s="1"/>
  <c r="B1202" i="2"/>
  <c r="C1202" i="2" s="1"/>
  <c r="O1201" i="2"/>
  <c r="L1201" i="2"/>
  <c r="M1201" i="2" s="1"/>
  <c r="N1201" i="2" s="1"/>
  <c r="I1201" i="2"/>
  <c r="J1201" i="2" s="1"/>
  <c r="K1201" i="2" s="1"/>
  <c r="F1201" i="2"/>
  <c r="G1201" i="2" s="1"/>
  <c r="H1201" i="2" s="1"/>
  <c r="C1201" i="5" s="1"/>
  <c r="D1201" i="2"/>
  <c r="E1201" i="2" s="1"/>
  <c r="B1201" i="5" s="1"/>
  <c r="B1201" i="2"/>
  <c r="C1201" i="2" s="1"/>
  <c r="O1200" i="2"/>
  <c r="L1200" i="2"/>
  <c r="M1200" i="2" s="1"/>
  <c r="N1200" i="2" s="1"/>
  <c r="I1200" i="2"/>
  <c r="J1200" i="2" s="1"/>
  <c r="K1200" i="2" s="1"/>
  <c r="F1200" i="2"/>
  <c r="G1200" i="2" s="1"/>
  <c r="H1200" i="2" s="1"/>
  <c r="C1200" i="5" s="1"/>
  <c r="D1200" i="2"/>
  <c r="E1200" i="2" s="1"/>
  <c r="B1200" i="5" s="1"/>
  <c r="B1200" i="2"/>
  <c r="C1200" i="2" s="1"/>
  <c r="O1199" i="2"/>
  <c r="L1199" i="2"/>
  <c r="M1199" i="2" s="1"/>
  <c r="N1199" i="2" s="1"/>
  <c r="I1199" i="2"/>
  <c r="J1199" i="2" s="1"/>
  <c r="K1199" i="2" s="1"/>
  <c r="F1199" i="2"/>
  <c r="G1199" i="2" s="1"/>
  <c r="H1199" i="2" s="1"/>
  <c r="C1199" i="5" s="1"/>
  <c r="D1199" i="2"/>
  <c r="E1199" i="2" s="1"/>
  <c r="B1199" i="5" s="1"/>
  <c r="B1199" i="2"/>
  <c r="C1199" i="2" s="1"/>
  <c r="O1198" i="2"/>
  <c r="L1198" i="2"/>
  <c r="M1198" i="2" s="1"/>
  <c r="N1198" i="2" s="1"/>
  <c r="I1198" i="2"/>
  <c r="J1198" i="2" s="1"/>
  <c r="K1198" i="2" s="1"/>
  <c r="F1198" i="2"/>
  <c r="G1198" i="2" s="1"/>
  <c r="H1198" i="2" s="1"/>
  <c r="C1198" i="5" s="1"/>
  <c r="D1198" i="2"/>
  <c r="E1198" i="2" s="1"/>
  <c r="B1198" i="5" s="1"/>
  <c r="B1198" i="2"/>
  <c r="C1198" i="2" s="1"/>
  <c r="O1197" i="2"/>
  <c r="L1197" i="2"/>
  <c r="M1197" i="2" s="1"/>
  <c r="N1197" i="2" s="1"/>
  <c r="I1197" i="2"/>
  <c r="J1197" i="2" s="1"/>
  <c r="K1197" i="2" s="1"/>
  <c r="F1197" i="2"/>
  <c r="G1197" i="2" s="1"/>
  <c r="H1197" i="2" s="1"/>
  <c r="C1197" i="5" s="1"/>
  <c r="D1197" i="2"/>
  <c r="E1197" i="2" s="1"/>
  <c r="B1197" i="5" s="1"/>
  <c r="B1197" i="2"/>
  <c r="C1197" i="2" s="1"/>
  <c r="O1196" i="2"/>
  <c r="L1196" i="2"/>
  <c r="M1196" i="2" s="1"/>
  <c r="N1196" i="2" s="1"/>
  <c r="I1196" i="2"/>
  <c r="J1196" i="2" s="1"/>
  <c r="K1196" i="2" s="1"/>
  <c r="F1196" i="2"/>
  <c r="G1196" i="2" s="1"/>
  <c r="H1196" i="2" s="1"/>
  <c r="C1196" i="5" s="1"/>
  <c r="D1196" i="2"/>
  <c r="E1196" i="2" s="1"/>
  <c r="B1196" i="5" s="1"/>
  <c r="B1196" i="2"/>
  <c r="C1196" i="2" s="1"/>
  <c r="O1195" i="2"/>
  <c r="L1195" i="2"/>
  <c r="M1195" i="2" s="1"/>
  <c r="N1195" i="2" s="1"/>
  <c r="I1195" i="2"/>
  <c r="J1195" i="2" s="1"/>
  <c r="K1195" i="2" s="1"/>
  <c r="F1195" i="2"/>
  <c r="G1195" i="2" s="1"/>
  <c r="H1195" i="2" s="1"/>
  <c r="C1195" i="5" s="1"/>
  <c r="D1195" i="2"/>
  <c r="E1195" i="2" s="1"/>
  <c r="B1195" i="5" s="1"/>
  <c r="B1195" i="2"/>
  <c r="C1195" i="2" s="1"/>
  <c r="O1194" i="2"/>
  <c r="L1194" i="2"/>
  <c r="M1194" i="2" s="1"/>
  <c r="N1194" i="2" s="1"/>
  <c r="I1194" i="2"/>
  <c r="J1194" i="2" s="1"/>
  <c r="K1194" i="2" s="1"/>
  <c r="F1194" i="2"/>
  <c r="G1194" i="2" s="1"/>
  <c r="H1194" i="2" s="1"/>
  <c r="C1194" i="5" s="1"/>
  <c r="D1194" i="2"/>
  <c r="E1194" i="2" s="1"/>
  <c r="B1194" i="5" s="1"/>
  <c r="B1194" i="2"/>
  <c r="C1194" i="2" s="1"/>
  <c r="O1193" i="2"/>
  <c r="L1193" i="2"/>
  <c r="M1193" i="2" s="1"/>
  <c r="N1193" i="2" s="1"/>
  <c r="I1193" i="2"/>
  <c r="J1193" i="2" s="1"/>
  <c r="K1193" i="2" s="1"/>
  <c r="F1193" i="2"/>
  <c r="G1193" i="2" s="1"/>
  <c r="H1193" i="2" s="1"/>
  <c r="C1193" i="5" s="1"/>
  <c r="D1193" i="2"/>
  <c r="E1193" i="2" s="1"/>
  <c r="B1193" i="5" s="1"/>
  <c r="B1193" i="2"/>
  <c r="C1193" i="2" s="1"/>
  <c r="O1192" i="2"/>
  <c r="L1192" i="2"/>
  <c r="M1192" i="2" s="1"/>
  <c r="N1192" i="2" s="1"/>
  <c r="I1192" i="2"/>
  <c r="J1192" i="2" s="1"/>
  <c r="K1192" i="2" s="1"/>
  <c r="F1192" i="2"/>
  <c r="G1192" i="2" s="1"/>
  <c r="H1192" i="2" s="1"/>
  <c r="C1192" i="5" s="1"/>
  <c r="D1192" i="2"/>
  <c r="E1192" i="2" s="1"/>
  <c r="B1192" i="5" s="1"/>
  <c r="B1192" i="2"/>
  <c r="C1192" i="2" s="1"/>
  <c r="O1191" i="2"/>
  <c r="L1191" i="2"/>
  <c r="M1191" i="2" s="1"/>
  <c r="N1191" i="2" s="1"/>
  <c r="I1191" i="2"/>
  <c r="J1191" i="2" s="1"/>
  <c r="K1191" i="2" s="1"/>
  <c r="F1191" i="2"/>
  <c r="G1191" i="2" s="1"/>
  <c r="H1191" i="2" s="1"/>
  <c r="C1191" i="5" s="1"/>
  <c r="D1191" i="2"/>
  <c r="E1191" i="2" s="1"/>
  <c r="B1191" i="5" s="1"/>
  <c r="B1191" i="2"/>
  <c r="C1191" i="2" s="1"/>
  <c r="O1190" i="2"/>
  <c r="L1190" i="2"/>
  <c r="M1190" i="2" s="1"/>
  <c r="N1190" i="2" s="1"/>
  <c r="I1190" i="2"/>
  <c r="J1190" i="2" s="1"/>
  <c r="K1190" i="2" s="1"/>
  <c r="F1190" i="2"/>
  <c r="G1190" i="2" s="1"/>
  <c r="H1190" i="2" s="1"/>
  <c r="C1190" i="5" s="1"/>
  <c r="D1190" i="2"/>
  <c r="E1190" i="2" s="1"/>
  <c r="B1190" i="5" s="1"/>
  <c r="B1190" i="2"/>
  <c r="C1190" i="2" s="1"/>
  <c r="O1189" i="2"/>
  <c r="L1189" i="2"/>
  <c r="M1189" i="2" s="1"/>
  <c r="N1189" i="2" s="1"/>
  <c r="I1189" i="2"/>
  <c r="J1189" i="2" s="1"/>
  <c r="K1189" i="2" s="1"/>
  <c r="F1189" i="2"/>
  <c r="G1189" i="2" s="1"/>
  <c r="H1189" i="2" s="1"/>
  <c r="C1189" i="5" s="1"/>
  <c r="D1189" i="2"/>
  <c r="E1189" i="2" s="1"/>
  <c r="B1189" i="5" s="1"/>
  <c r="B1189" i="2"/>
  <c r="C1189" i="2" s="1"/>
  <c r="O1188" i="2"/>
  <c r="L1188" i="2"/>
  <c r="M1188" i="2" s="1"/>
  <c r="N1188" i="2" s="1"/>
  <c r="I1188" i="2"/>
  <c r="J1188" i="2" s="1"/>
  <c r="K1188" i="2" s="1"/>
  <c r="F1188" i="2"/>
  <c r="G1188" i="2" s="1"/>
  <c r="H1188" i="2" s="1"/>
  <c r="C1188" i="5" s="1"/>
  <c r="D1188" i="2"/>
  <c r="E1188" i="2" s="1"/>
  <c r="B1188" i="5" s="1"/>
  <c r="B1188" i="2"/>
  <c r="C1188" i="2" s="1"/>
  <c r="O1187" i="2"/>
  <c r="L1187" i="2"/>
  <c r="M1187" i="2" s="1"/>
  <c r="N1187" i="2" s="1"/>
  <c r="I1187" i="2"/>
  <c r="J1187" i="2" s="1"/>
  <c r="K1187" i="2" s="1"/>
  <c r="F1187" i="2"/>
  <c r="G1187" i="2" s="1"/>
  <c r="H1187" i="2" s="1"/>
  <c r="C1187" i="5" s="1"/>
  <c r="D1187" i="2"/>
  <c r="E1187" i="2" s="1"/>
  <c r="B1187" i="5" s="1"/>
  <c r="B1187" i="2"/>
  <c r="C1187" i="2" s="1"/>
  <c r="O1186" i="2"/>
  <c r="L1186" i="2"/>
  <c r="M1186" i="2" s="1"/>
  <c r="N1186" i="2" s="1"/>
  <c r="I1186" i="2"/>
  <c r="J1186" i="2" s="1"/>
  <c r="K1186" i="2" s="1"/>
  <c r="F1186" i="2"/>
  <c r="G1186" i="2" s="1"/>
  <c r="H1186" i="2" s="1"/>
  <c r="C1186" i="5" s="1"/>
  <c r="D1186" i="2"/>
  <c r="E1186" i="2" s="1"/>
  <c r="B1186" i="5" s="1"/>
  <c r="B1186" i="2"/>
  <c r="C1186" i="2" s="1"/>
  <c r="O1185" i="2"/>
  <c r="L1185" i="2"/>
  <c r="M1185" i="2" s="1"/>
  <c r="N1185" i="2" s="1"/>
  <c r="I1185" i="2"/>
  <c r="J1185" i="2" s="1"/>
  <c r="K1185" i="2" s="1"/>
  <c r="F1185" i="2"/>
  <c r="G1185" i="2" s="1"/>
  <c r="H1185" i="2" s="1"/>
  <c r="C1185" i="5" s="1"/>
  <c r="D1185" i="2"/>
  <c r="E1185" i="2" s="1"/>
  <c r="B1185" i="5" s="1"/>
  <c r="B1185" i="2"/>
  <c r="C1185" i="2" s="1"/>
  <c r="O1184" i="2"/>
  <c r="L1184" i="2"/>
  <c r="M1184" i="2" s="1"/>
  <c r="N1184" i="2" s="1"/>
  <c r="I1184" i="2"/>
  <c r="J1184" i="2" s="1"/>
  <c r="K1184" i="2" s="1"/>
  <c r="F1184" i="2"/>
  <c r="G1184" i="2" s="1"/>
  <c r="H1184" i="2" s="1"/>
  <c r="C1184" i="5" s="1"/>
  <c r="D1184" i="2"/>
  <c r="E1184" i="2" s="1"/>
  <c r="B1184" i="5" s="1"/>
  <c r="B1184" i="2"/>
  <c r="C1184" i="2" s="1"/>
  <c r="O1183" i="2"/>
  <c r="L1183" i="2"/>
  <c r="M1183" i="2" s="1"/>
  <c r="N1183" i="2" s="1"/>
  <c r="I1183" i="2"/>
  <c r="J1183" i="2" s="1"/>
  <c r="K1183" i="2" s="1"/>
  <c r="F1183" i="2"/>
  <c r="G1183" i="2" s="1"/>
  <c r="H1183" i="2" s="1"/>
  <c r="C1183" i="5" s="1"/>
  <c r="D1183" i="2"/>
  <c r="E1183" i="2" s="1"/>
  <c r="B1183" i="5" s="1"/>
  <c r="B1183" i="2"/>
  <c r="C1183" i="2" s="1"/>
  <c r="O1182" i="2"/>
  <c r="L1182" i="2"/>
  <c r="M1182" i="2" s="1"/>
  <c r="N1182" i="2" s="1"/>
  <c r="I1182" i="2"/>
  <c r="J1182" i="2" s="1"/>
  <c r="K1182" i="2" s="1"/>
  <c r="F1182" i="2"/>
  <c r="G1182" i="2" s="1"/>
  <c r="H1182" i="2" s="1"/>
  <c r="C1182" i="5" s="1"/>
  <c r="D1182" i="2"/>
  <c r="E1182" i="2" s="1"/>
  <c r="B1182" i="5" s="1"/>
  <c r="B1182" i="2"/>
  <c r="C1182" i="2" s="1"/>
  <c r="O1181" i="2"/>
  <c r="L1181" i="2"/>
  <c r="M1181" i="2" s="1"/>
  <c r="N1181" i="2" s="1"/>
  <c r="I1181" i="2"/>
  <c r="J1181" i="2" s="1"/>
  <c r="K1181" i="2" s="1"/>
  <c r="F1181" i="2"/>
  <c r="G1181" i="2" s="1"/>
  <c r="H1181" i="2" s="1"/>
  <c r="C1181" i="5" s="1"/>
  <c r="D1181" i="2"/>
  <c r="E1181" i="2" s="1"/>
  <c r="B1181" i="5" s="1"/>
  <c r="B1181" i="2"/>
  <c r="C1181" i="2" s="1"/>
  <c r="O1180" i="2"/>
  <c r="L1180" i="2"/>
  <c r="M1180" i="2" s="1"/>
  <c r="N1180" i="2" s="1"/>
  <c r="I1180" i="2"/>
  <c r="J1180" i="2" s="1"/>
  <c r="K1180" i="2" s="1"/>
  <c r="F1180" i="2"/>
  <c r="G1180" i="2" s="1"/>
  <c r="H1180" i="2" s="1"/>
  <c r="C1180" i="5" s="1"/>
  <c r="D1180" i="2"/>
  <c r="E1180" i="2" s="1"/>
  <c r="B1180" i="5" s="1"/>
  <c r="B1180" i="2"/>
  <c r="C1180" i="2" s="1"/>
  <c r="O1179" i="2"/>
  <c r="L1179" i="2"/>
  <c r="M1179" i="2" s="1"/>
  <c r="N1179" i="2" s="1"/>
  <c r="I1179" i="2"/>
  <c r="J1179" i="2" s="1"/>
  <c r="K1179" i="2" s="1"/>
  <c r="F1179" i="2"/>
  <c r="G1179" i="2" s="1"/>
  <c r="H1179" i="2" s="1"/>
  <c r="C1179" i="5" s="1"/>
  <c r="D1179" i="2"/>
  <c r="E1179" i="2" s="1"/>
  <c r="B1179" i="5" s="1"/>
  <c r="B1179" i="2"/>
  <c r="C1179" i="2" s="1"/>
  <c r="O1178" i="2"/>
  <c r="L1178" i="2"/>
  <c r="M1178" i="2" s="1"/>
  <c r="N1178" i="2" s="1"/>
  <c r="I1178" i="2"/>
  <c r="J1178" i="2" s="1"/>
  <c r="K1178" i="2" s="1"/>
  <c r="F1178" i="2"/>
  <c r="G1178" i="2" s="1"/>
  <c r="H1178" i="2" s="1"/>
  <c r="C1178" i="5" s="1"/>
  <c r="D1178" i="2"/>
  <c r="E1178" i="2" s="1"/>
  <c r="B1178" i="5" s="1"/>
  <c r="B1178" i="2"/>
  <c r="C1178" i="2" s="1"/>
  <c r="O1177" i="2"/>
  <c r="L1177" i="2"/>
  <c r="M1177" i="2" s="1"/>
  <c r="N1177" i="2" s="1"/>
  <c r="I1177" i="2"/>
  <c r="J1177" i="2" s="1"/>
  <c r="K1177" i="2" s="1"/>
  <c r="F1177" i="2"/>
  <c r="G1177" i="2" s="1"/>
  <c r="H1177" i="2" s="1"/>
  <c r="C1177" i="5" s="1"/>
  <c r="D1177" i="2"/>
  <c r="E1177" i="2" s="1"/>
  <c r="B1177" i="5" s="1"/>
  <c r="B1177" i="2"/>
  <c r="C1177" i="2" s="1"/>
  <c r="O1176" i="2"/>
  <c r="L1176" i="2"/>
  <c r="M1176" i="2" s="1"/>
  <c r="N1176" i="2" s="1"/>
  <c r="I1176" i="2"/>
  <c r="J1176" i="2" s="1"/>
  <c r="K1176" i="2" s="1"/>
  <c r="Z1176" i="2" s="1"/>
  <c r="F1176" i="2"/>
  <c r="G1176" i="2" s="1"/>
  <c r="H1176" i="2" s="1"/>
  <c r="C1176" i="5" s="1"/>
  <c r="D1176" i="2"/>
  <c r="E1176" i="2" s="1"/>
  <c r="B1176" i="5" s="1"/>
  <c r="B1176" i="2"/>
  <c r="C1176" i="2" s="1"/>
  <c r="O1175" i="2"/>
  <c r="L1175" i="2"/>
  <c r="M1175" i="2" s="1"/>
  <c r="N1175" i="2" s="1"/>
  <c r="E1175" i="5" s="1"/>
  <c r="I1175" i="2"/>
  <c r="J1175" i="2" s="1"/>
  <c r="K1175" i="2" s="1"/>
  <c r="F1175" i="2"/>
  <c r="G1175" i="2" s="1"/>
  <c r="H1175" i="2" s="1"/>
  <c r="C1175" i="5" s="1"/>
  <c r="D1175" i="2"/>
  <c r="E1175" i="2" s="1"/>
  <c r="B1175" i="5" s="1"/>
  <c r="B1175" i="2"/>
  <c r="C1175" i="2" s="1"/>
  <c r="A1175" i="5" s="1"/>
  <c r="O1174" i="2"/>
  <c r="L1174" i="2"/>
  <c r="M1174" i="2" s="1"/>
  <c r="N1174" i="2" s="1"/>
  <c r="I1174" i="2"/>
  <c r="J1174" i="2" s="1"/>
  <c r="K1174" i="2" s="1"/>
  <c r="Z1174" i="2" s="1"/>
  <c r="F1174" i="2"/>
  <c r="G1174" i="2" s="1"/>
  <c r="H1174" i="2" s="1"/>
  <c r="C1174" i="5" s="1"/>
  <c r="D1174" i="2"/>
  <c r="E1174" i="2" s="1"/>
  <c r="B1174" i="5" s="1"/>
  <c r="B1174" i="2"/>
  <c r="C1174" i="2" s="1"/>
  <c r="O1173" i="2"/>
  <c r="L1173" i="2"/>
  <c r="M1173" i="2" s="1"/>
  <c r="N1173" i="2" s="1"/>
  <c r="E1173" i="5" s="1"/>
  <c r="I1173" i="2"/>
  <c r="J1173" i="2" s="1"/>
  <c r="K1173" i="2" s="1"/>
  <c r="F1173" i="2"/>
  <c r="G1173" i="2" s="1"/>
  <c r="H1173" i="2" s="1"/>
  <c r="C1173" i="5" s="1"/>
  <c r="D1173" i="2"/>
  <c r="E1173" i="2" s="1"/>
  <c r="B1173" i="5" s="1"/>
  <c r="B1173" i="2"/>
  <c r="C1173" i="2" s="1"/>
  <c r="A1173" i="5" s="1"/>
  <c r="O1172" i="2"/>
  <c r="L1172" i="2"/>
  <c r="M1172" i="2" s="1"/>
  <c r="N1172" i="2" s="1"/>
  <c r="I1172" i="2"/>
  <c r="J1172" i="2" s="1"/>
  <c r="K1172" i="2" s="1"/>
  <c r="Z1172" i="2" s="1"/>
  <c r="F1172" i="2"/>
  <c r="G1172" i="2" s="1"/>
  <c r="H1172" i="2" s="1"/>
  <c r="C1172" i="5" s="1"/>
  <c r="D1172" i="2"/>
  <c r="E1172" i="2" s="1"/>
  <c r="B1172" i="5" s="1"/>
  <c r="B1172" i="2"/>
  <c r="C1172" i="2" s="1"/>
  <c r="O1171" i="2"/>
  <c r="L1171" i="2"/>
  <c r="M1171" i="2" s="1"/>
  <c r="N1171" i="2" s="1"/>
  <c r="E1171" i="5" s="1"/>
  <c r="I1171" i="2"/>
  <c r="J1171" i="2" s="1"/>
  <c r="K1171" i="2" s="1"/>
  <c r="F1171" i="2"/>
  <c r="G1171" i="2" s="1"/>
  <c r="H1171" i="2" s="1"/>
  <c r="C1171" i="5" s="1"/>
  <c r="D1171" i="2"/>
  <c r="E1171" i="2" s="1"/>
  <c r="B1171" i="5" s="1"/>
  <c r="B1171" i="2"/>
  <c r="C1171" i="2" s="1"/>
  <c r="A1171" i="5" s="1"/>
  <c r="O1170" i="2"/>
  <c r="L1170" i="2"/>
  <c r="M1170" i="2" s="1"/>
  <c r="N1170" i="2" s="1"/>
  <c r="I1170" i="2"/>
  <c r="J1170" i="2" s="1"/>
  <c r="K1170" i="2" s="1"/>
  <c r="Z1170" i="2" s="1"/>
  <c r="F1170" i="2"/>
  <c r="G1170" i="2" s="1"/>
  <c r="H1170" i="2" s="1"/>
  <c r="C1170" i="5" s="1"/>
  <c r="D1170" i="2"/>
  <c r="E1170" i="2" s="1"/>
  <c r="B1170" i="5" s="1"/>
  <c r="B1170" i="2"/>
  <c r="C1170" i="2" s="1"/>
  <c r="O1169" i="2"/>
  <c r="L1169" i="2"/>
  <c r="M1169" i="2" s="1"/>
  <c r="N1169" i="2" s="1"/>
  <c r="E1169" i="5" s="1"/>
  <c r="I1169" i="2"/>
  <c r="J1169" i="2" s="1"/>
  <c r="K1169" i="2" s="1"/>
  <c r="F1169" i="2"/>
  <c r="G1169" i="2" s="1"/>
  <c r="H1169" i="2" s="1"/>
  <c r="C1169" i="5" s="1"/>
  <c r="D1169" i="2"/>
  <c r="E1169" i="2" s="1"/>
  <c r="B1169" i="5" s="1"/>
  <c r="B1169" i="2"/>
  <c r="C1169" i="2" s="1"/>
  <c r="A1169" i="5" s="1"/>
  <c r="O1168" i="2"/>
  <c r="L1168" i="2"/>
  <c r="M1168" i="2" s="1"/>
  <c r="N1168" i="2" s="1"/>
  <c r="I1168" i="2"/>
  <c r="J1168" i="2" s="1"/>
  <c r="K1168" i="2" s="1"/>
  <c r="Z1168" i="2" s="1"/>
  <c r="F1168" i="2"/>
  <c r="G1168" i="2" s="1"/>
  <c r="H1168" i="2" s="1"/>
  <c r="C1168" i="5" s="1"/>
  <c r="D1168" i="2"/>
  <c r="E1168" i="2" s="1"/>
  <c r="B1168" i="5" s="1"/>
  <c r="B1168" i="2"/>
  <c r="C1168" i="2" s="1"/>
  <c r="O1167" i="2"/>
  <c r="L1167" i="2"/>
  <c r="M1167" i="2" s="1"/>
  <c r="N1167" i="2" s="1"/>
  <c r="E1167" i="5" s="1"/>
  <c r="I1167" i="2"/>
  <c r="J1167" i="2" s="1"/>
  <c r="K1167" i="2" s="1"/>
  <c r="F1167" i="2"/>
  <c r="G1167" i="2" s="1"/>
  <c r="H1167" i="2" s="1"/>
  <c r="C1167" i="5" s="1"/>
  <c r="D1167" i="2"/>
  <c r="E1167" i="2" s="1"/>
  <c r="B1167" i="5" s="1"/>
  <c r="B1167" i="2"/>
  <c r="C1167" i="2" s="1"/>
  <c r="A1167" i="5" s="1"/>
  <c r="O1166" i="2"/>
  <c r="L1166" i="2"/>
  <c r="M1166" i="2" s="1"/>
  <c r="N1166" i="2" s="1"/>
  <c r="I1166" i="2"/>
  <c r="J1166" i="2" s="1"/>
  <c r="K1166" i="2" s="1"/>
  <c r="Z1166" i="2" s="1"/>
  <c r="F1166" i="2"/>
  <c r="G1166" i="2" s="1"/>
  <c r="H1166" i="2" s="1"/>
  <c r="C1166" i="5" s="1"/>
  <c r="D1166" i="2"/>
  <c r="E1166" i="2" s="1"/>
  <c r="B1166" i="5" s="1"/>
  <c r="B1166" i="2"/>
  <c r="C1166" i="2" s="1"/>
  <c r="O1165" i="2"/>
  <c r="L1165" i="2"/>
  <c r="M1165" i="2" s="1"/>
  <c r="N1165" i="2" s="1"/>
  <c r="E1165" i="5" s="1"/>
  <c r="I1165" i="2"/>
  <c r="J1165" i="2" s="1"/>
  <c r="K1165" i="2" s="1"/>
  <c r="F1165" i="2"/>
  <c r="G1165" i="2" s="1"/>
  <c r="H1165" i="2" s="1"/>
  <c r="C1165" i="5" s="1"/>
  <c r="D1165" i="2"/>
  <c r="E1165" i="2" s="1"/>
  <c r="B1165" i="5" s="1"/>
  <c r="B1165" i="2"/>
  <c r="C1165" i="2" s="1"/>
  <c r="A1165" i="5" s="1"/>
  <c r="O1164" i="2"/>
  <c r="L1164" i="2"/>
  <c r="M1164" i="2" s="1"/>
  <c r="N1164" i="2" s="1"/>
  <c r="I1164" i="2"/>
  <c r="J1164" i="2" s="1"/>
  <c r="K1164" i="2" s="1"/>
  <c r="Z1164" i="2" s="1"/>
  <c r="F1164" i="2"/>
  <c r="G1164" i="2" s="1"/>
  <c r="H1164" i="2" s="1"/>
  <c r="C1164" i="5" s="1"/>
  <c r="D1164" i="2"/>
  <c r="E1164" i="2" s="1"/>
  <c r="B1164" i="5" s="1"/>
  <c r="B1164" i="2"/>
  <c r="C1164" i="2" s="1"/>
  <c r="O1163" i="2"/>
  <c r="L1163" i="2"/>
  <c r="M1163" i="2" s="1"/>
  <c r="N1163" i="2" s="1"/>
  <c r="E1163" i="5" s="1"/>
  <c r="I1163" i="2"/>
  <c r="J1163" i="2" s="1"/>
  <c r="K1163" i="2" s="1"/>
  <c r="F1163" i="2"/>
  <c r="G1163" i="2" s="1"/>
  <c r="H1163" i="2" s="1"/>
  <c r="C1163" i="5" s="1"/>
  <c r="D1163" i="2"/>
  <c r="E1163" i="2" s="1"/>
  <c r="B1163" i="5" s="1"/>
  <c r="B1163" i="2"/>
  <c r="C1163" i="2" s="1"/>
  <c r="A1163" i="5" s="1"/>
  <c r="O1162" i="2"/>
  <c r="L1162" i="2"/>
  <c r="M1162" i="2" s="1"/>
  <c r="N1162" i="2" s="1"/>
  <c r="I1162" i="2"/>
  <c r="J1162" i="2" s="1"/>
  <c r="K1162" i="2" s="1"/>
  <c r="Z1162" i="2" s="1"/>
  <c r="F1162" i="2"/>
  <c r="G1162" i="2" s="1"/>
  <c r="H1162" i="2" s="1"/>
  <c r="C1162" i="5" s="1"/>
  <c r="D1162" i="2"/>
  <c r="E1162" i="2" s="1"/>
  <c r="B1162" i="5" s="1"/>
  <c r="B1162" i="2"/>
  <c r="C1162" i="2" s="1"/>
  <c r="O1161" i="2"/>
  <c r="L1161" i="2"/>
  <c r="M1161" i="2" s="1"/>
  <c r="N1161" i="2" s="1"/>
  <c r="E1161" i="5" s="1"/>
  <c r="I1161" i="2"/>
  <c r="J1161" i="2" s="1"/>
  <c r="K1161" i="2" s="1"/>
  <c r="F1161" i="2"/>
  <c r="G1161" i="2" s="1"/>
  <c r="H1161" i="2" s="1"/>
  <c r="C1161" i="5" s="1"/>
  <c r="D1161" i="2"/>
  <c r="E1161" i="2" s="1"/>
  <c r="B1161" i="5" s="1"/>
  <c r="B1161" i="2"/>
  <c r="C1161" i="2" s="1"/>
  <c r="A1161" i="5" s="1"/>
  <c r="O1160" i="2"/>
  <c r="L1160" i="2"/>
  <c r="M1160" i="2" s="1"/>
  <c r="N1160" i="2" s="1"/>
  <c r="I1160" i="2"/>
  <c r="J1160" i="2" s="1"/>
  <c r="K1160" i="2" s="1"/>
  <c r="Z1160" i="2" s="1"/>
  <c r="F1160" i="2"/>
  <c r="G1160" i="2" s="1"/>
  <c r="H1160" i="2" s="1"/>
  <c r="C1160" i="5" s="1"/>
  <c r="D1160" i="2"/>
  <c r="E1160" i="2" s="1"/>
  <c r="B1160" i="5" s="1"/>
  <c r="B1160" i="2"/>
  <c r="C1160" i="2" s="1"/>
  <c r="O1159" i="2"/>
  <c r="L1159" i="2"/>
  <c r="M1159" i="2" s="1"/>
  <c r="N1159" i="2" s="1"/>
  <c r="E1159" i="5" s="1"/>
  <c r="I1159" i="2"/>
  <c r="J1159" i="2" s="1"/>
  <c r="K1159" i="2" s="1"/>
  <c r="F1159" i="2"/>
  <c r="G1159" i="2" s="1"/>
  <c r="H1159" i="2" s="1"/>
  <c r="C1159" i="5" s="1"/>
  <c r="D1159" i="2"/>
  <c r="E1159" i="2" s="1"/>
  <c r="B1159" i="5" s="1"/>
  <c r="B1159" i="2"/>
  <c r="C1159" i="2" s="1"/>
  <c r="A1159" i="5" s="1"/>
  <c r="O1158" i="2"/>
  <c r="L1158" i="2"/>
  <c r="M1158" i="2" s="1"/>
  <c r="N1158" i="2" s="1"/>
  <c r="I1158" i="2"/>
  <c r="J1158" i="2" s="1"/>
  <c r="K1158" i="2" s="1"/>
  <c r="Z1158" i="2" s="1"/>
  <c r="F1158" i="2"/>
  <c r="G1158" i="2" s="1"/>
  <c r="H1158" i="2" s="1"/>
  <c r="C1158" i="5" s="1"/>
  <c r="D1158" i="2"/>
  <c r="E1158" i="2" s="1"/>
  <c r="B1158" i="5" s="1"/>
  <c r="B1158" i="2"/>
  <c r="C1158" i="2" s="1"/>
  <c r="O1157" i="2"/>
  <c r="L1157" i="2"/>
  <c r="M1157" i="2" s="1"/>
  <c r="N1157" i="2" s="1"/>
  <c r="E1157" i="5" s="1"/>
  <c r="I1157" i="2"/>
  <c r="J1157" i="2" s="1"/>
  <c r="K1157" i="2" s="1"/>
  <c r="F1157" i="2"/>
  <c r="G1157" i="2" s="1"/>
  <c r="H1157" i="2" s="1"/>
  <c r="C1157" i="5" s="1"/>
  <c r="D1157" i="2"/>
  <c r="E1157" i="2" s="1"/>
  <c r="B1157" i="5" s="1"/>
  <c r="B1157" i="2"/>
  <c r="C1157" i="2" s="1"/>
  <c r="A1157" i="5" s="1"/>
  <c r="O1156" i="2"/>
  <c r="L1156" i="2"/>
  <c r="M1156" i="2" s="1"/>
  <c r="N1156" i="2" s="1"/>
  <c r="I1156" i="2"/>
  <c r="J1156" i="2" s="1"/>
  <c r="K1156" i="2" s="1"/>
  <c r="Z1156" i="2" s="1"/>
  <c r="F1156" i="2"/>
  <c r="G1156" i="2" s="1"/>
  <c r="H1156" i="2" s="1"/>
  <c r="C1156" i="5" s="1"/>
  <c r="D1156" i="2"/>
  <c r="E1156" i="2" s="1"/>
  <c r="B1156" i="5" s="1"/>
  <c r="B1156" i="2"/>
  <c r="C1156" i="2" s="1"/>
  <c r="O1155" i="2"/>
  <c r="L1155" i="2"/>
  <c r="M1155" i="2" s="1"/>
  <c r="N1155" i="2" s="1"/>
  <c r="E1155" i="5" s="1"/>
  <c r="I1155" i="2"/>
  <c r="J1155" i="2" s="1"/>
  <c r="K1155" i="2" s="1"/>
  <c r="F1155" i="2"/>
  <c r="G1155" i="2" s="1"/>
  <c r="H1155" i="2" s="1"/>
  <c r="C1155" i="5" s="1"/>
  <c r="D1155" i="2"/>
  <c r="E1155" i="2" s="1"/>
  <c r="B1155" i="5" s="1"/>
  <c r="B1155" i="2"/>
  <c r="C1155" i="2" s="1"/>
  <c r="A1155" i="5" s="1"/>
  <c r="O1154" i="2"/>
  <c r="L1154" i="2"/>
  <c r="M1154" i="2" s="1"/>
  <c r="N1154" i="2" s="1"/>
  <c r="I1154" i="2"/>
  <c r="J1154" i="2" s="1"/>
  <c r="K1154" i="2" s="1"/>
  <c r="Z1154" i="2" s="1"/>
  <c r="F1154" i="2"/>
  <c r="G1154" i="2" s="1"/>
  <c r="H1154" i="2" s="1"/>
  <c r="C1154" i="5" s="1"/>
  <c r="D1154" i="2"/>
  <c r="E1154" i="2" s="1"/>
  <c r="B1154" i="5" s="1"/>
  <c r="B1154" i="2"/>
  <c r="C1154" i="2" s="1"/>
  <c r="O1153" i="2"/>
  <c r="L1153" i="2"/>
  <c r="M1153" i="2" s="1"/>
  <c r="N1153" i="2" s="1"/>
  <c r="E1153" i="5" s="1"/>
  <c r="I1153" i="2"/>
  <c r="J1153" i="2" s="1"/>
  <c r="K1153" i="2" s="1"/>
  <c r="F1153" i="2"/>
  <c r="G1153" i="2" s="1"/>
  <c r="H1153" i="2" s="1"/>
  <c r="C1153" i="5" s="1"/>
  <c r="D1153" i="2"/>
  <c r="E1153" i="2" s="1"/>
  <c r="B1153" i="5" s="1"/>
  <c r="B1153" i="2"/>
  <c r="C1153" i="2" s="1"/>
  <c r="A1153" i="5" s="1"/>
  <c r="O1152" i="2"/>
  <c r="L1152" i="2"/>
  <c r="M1152" i="2" s="1"/>
  <c r="N1152" i="2" s="1"/>
  <c r="I1152" i="2"/>
  <c r="J1152" i="2" s="1"/>
  <c r="K1152" i="2" s="1"/>
  <c r="Z1152" i="2" s="1"/>
  <c r="F1152" i="2"/>
  <c r="G1152" i="2" s="1"/>
  <c r="H1152" i="2" s="1"/>
  <c r="C1152" i="5" s="1"/>
  <c r="D1152" i="2"/>
  <c r="E1152" i="2" s="1"/>
  <c r="B1152" i="5" s="1"/>
  <c r="B1152" i="2"/>
  <c r="C1152" i="2" s="1"/>
  <c r="O1151" i="2"/>
  <c r="L1151" i="2"/>
  <c r="M1151" i="2" s="1"/>
  <c r="N1151" i="2" s="1"/>
  <c r="E1151" i="5" s="1"/>
  <c r="I1151" i="2"/>
  <c r="J1151" i="2" s="1"/>
  <c r="K1151" i="2" s="1"/>
  <c r="F1151" i="2"/>
  <c r="G1151" i="2" s="1"/>
  <c r="H1151" i="2" s="1"/>
  <c r="C1151" i="5" s="1"/>
  <c r="D1151" i="2"/>
  <c r="E1151" i="2" s="1"/>
  <c r="B1151" i="5" s="1"/>
  <c r="B1151" i="2"/>
  <c r="C1151" i="2" s="1"/>
  <c r="A1151" i="5" s="1"/>
  <c r="O1150" i="2"/>
  <c r="L1150" i="2"/>
  <c r="M1150" i="2" s="1"/>
  <c r="N1150" i="2" s="1"/>
  <c r="I1150" i="2"/>
  <c r="J1150" i="2" s="1"/>
  <c r="K1150" i="2" s="1"/>
  <c r="Z1150" i="2" s="1"/>
  <c r="F1150" i="2"/>
  <c r="G1150" i="2" s="1"/>
  <c r="H1150" i="2" s="1"/>
  <c r="C1150" i="5" s="1"/>
  <c r="D1150" i="2"/>
  <c r="E1150" i="2" s="1"/>
  <c r="B1150" i="5" s="1"/>
  <c r="B1150" i="2"/>
  <c r="C1150" i="2" s="1"/>
  <c r="O1149" i="2"/>
  <c r="L1149" i="2"/>
  <c r="M1149" i="2" s="1"/>
  <c r="N1149" i="2" s="1"/>
  <c r="E1149" i="5" s="1"/>
  <c r="I1149" i="2"/>
  <c r="J1149" i="2" s="1"/>
  <c r="K1149" i="2" s="1"/>
  <c r="F1149" i="2"/>
  <c r="G1149" i="2" s="1"/>
  <c r="H1149" i="2" s="1"/>
  <c r="C1149" i="5" s="1"/>
  <c r="D1149" i="2"/>
  <c r="E1149" i="2" s="1"/>
  <c r="B1149" i="5" s="1"/>
  <c r="B1149" i="2"/>
  <c r="C1149" i="2" s="1"/>
  <c r="A1149" i="5" s="1"/>
  <c r="O1148" i="2"/>
  <c r="L1148" i="2"/>
  <c r="M1148" i="2" s="1"/>
  <c r="N1148" i="2" s="1"/>
  <c r="I1148" i="2"/>
  <c r="J1148" i="2" s="1"/>
  <c r="K1148" i="2" s="1"/>
  <c r="Z1148" i="2" s="1"/>
  <c r="F1148" i="2"/>
  <c r="G1148" i="2" s="1"/>
  <c r="H1148" i="2" s="1"/>
  <c r="C1148" i="5" s="1"/>
  <c r="D1148" i="2"/>
  <c r="E1148" i="2" s="1"/>
  <c r="B1148" i="5" s="1"/>
  <c r="B1148" i="2"/>
  <c r="C1148" i="2" s="1"/>
  <c r="O1147" i="2"/>
  <c r="L1147" i="2"/>
  <c r="M1147" i="2" s="1"/>
  <c r="N1147" i="2" s="1"/>
  <c r="I1147" i="2"/>
  <c r="J1147" i="2" s="1"/>
  <c r="K1147" i="2" s="1"/>
  <c r="F1147" i="2"/>
  <c r="G1147" i="2" s="1"/>
  <c r="H1147" i="2" s="1"/>
  <c r="C1147" i="5" s="1"/>
  <c r="D1147" i="2"/>
  <c r="E1147" i="2" s="1"/>
  <c r="B1147" i="5" s="1"/>
  <c r="B1147" i="2"/>
  <c r="C1147" i="2" s="1"/>
  <c r="A1147" i="5" s="1"/>
  <c r="O1146" i="2"/>
  <c r="L1146" i="2"/>
  <c r="M1146" i="2" s="1"/>
  <c r="N1146" i="2" s="1"/>
  <c r="I1146" i="2"/>
  <c r="J1146" i="2" s="1"/>
  <c r="K1146" i="2" s="1"/>
  <c r="Z1146" i="2" s="1"/>
  <c r="F1146" i="2"/>
  <c r="G1146" i="2" s="1"/>
  <c r="H1146" i="2" s="1"/>
  <c r="C1146" i="5" s="1"/>
  <c r="D1146" i="2"/>
  <c r="E1146" i="2" s="1"/>
  <c r="B1146" i="5" s="1"/>
  <c r="B1146" i="2"/>
  <c r="C1146" i="2" s="1"/>
  <c r="O1145" i="2"/>
  <c r="L1145" i="2"/>
  <c r="M1145" i="2" s="1"/>
  <c r="N1145" i="2" s="1"/>
  <c r="E1145" i="5" s="1"/>
  <c r="I1145" i="2"/>
  <c r="J1145" i="2" s="1"/>
  <c r="K1145" i="2" s="1"/>
  <c r="F1145" i="2"/>
  <c r="G1145" i="2" s="1"/>
  <c r="H1145" i="2" s="1"/>
  <c r="C1145" i="5" s="1"/>
  <c r="D1145" i="2"/>
  <c r="E1145" i="2" s="1"/>
  <c r="B1145" i="5" s="1"/>
  <c r="B1145" i="2"/>
  <c r="C1145" i="2" s="1"/>
  <c r="A1145" i="5" s="1"/>
  <c r="O1144" i="2"/>
  <c r="L1144" i="2"/>
  <c r="M1144" i="2" s="1"/>
  <c r="N1144" i="2" s="1"/>
  <c r="I1144" i="2"/>
  <c r="J1144" i="2" s="1"/>
  <c r="K1144" i="2" s="1"/>
  <c r="Z1144" i="2" s="1"/>
  <c r="F1144" i="2"/>
  <c r="G1144" i="2" s="1"/>
  <c r="H1144" i="2" s="1"/>
  <c r="C1144" i="5" s="1"/>
  <c r="D1144" i="2"/>
  <c r="E1144" i="2" s="1"/>
  <c r="B1144" i="5" s="1"/>
  <c r="B1144" i="2"/>
  <c r="C1144" i="2" s="1"/>
  <c r="O1143" i="2"/>
  <c r="L1143" i="2"/>
  <c r="M1143" i="2" s="1"/>
  <c r="N1143" i="2" s="1"/>
  <c r="I1143" i="2"/>
  <c r="J1143" i="2" s="1"/>
  <c r="K1143" i="2" s="1"/>
  <c r="F1143" i="2"/>
  <c r="G1143" i="2" s="1"/>
  <c r="H1143" i="2" s="1"/>
  <c r="C1143" i="5" s="1"/>
  <c r="D1143" i="2"/>
  <c r="E1143" i="2" s="1"/>
  <c r="B1143" i="5" s="1"/>
  <c r="B1143" i="2"/>
  <c r="C1143" i="2" s="1"/>
  <c r="A1143" i="5" s="1"/>
  <c r="O1142" i="2"/>
  <c r="L1142" i="2"/>
  <c r="M1142" i="2" s="1"/>
  <c r="N1142" i="2" s="1"/>
  <c r="I1142" i="2"/>
  <c r="J1142" i="2" s="1"/>
  <c r="K1142" i="2" s="1"/>
  <c r="Z1142" i="2" s="1"/>
  <c r="F1142" i="2"/>
  <c r="G1142" i="2" s="1"/>
  <c r="H1142" i="2" s="1"/>
  <c r="C1142" i="5" s="1"/>
  <c r="D1142" i="2"/>
  <c r="E1142" i="2" s="1"/>
  <c r="B1142" i="5" s="1"/>
  <c r="B1142" i="2"/>
  <c r="C1142" i="2" s="1"/>
  <c r="O1141" i="2"/>
  <c r="L1141" i="2"/>
  <c r="M1141" i="2" s="1"/>
  <c r="N1141" i="2" s="1"/>
  <c r="E1141" i="5" s="1"/>
  <c r="I1141" i="2"/>
  <c r="J1141" i="2" s="1"/>
  <c r="K1141" i="2" s="1"/>
  <c r="F1141" i="2"/>
  <c r="G1141" i="2" s="1"/>
  <c r="H1141" i="2" s="1"/>
  <c r="C1141" i="5" s="1"/>
  <c r="D1141" i="2"/>
  <c r="E1141" i="2" s="1"/>
  <c r="B1141" i="5" s="1"/>
  <c r="B1141" i="2"/>
  <c r="C1141" i="2" s="1"/>
  <c r="A1141" i="5" s="1"/>
  <c r="O1140" i="2"/>
  <c r="L1140" i="2"/>
  <c r="M1140" i="2" s="1"/>
  <c r="N1140" i="2" s="1"/>
  <c r="I1140" i="2"/>
  <c r="J1140" i="2" s="1"/>
  <c r="K1140" i="2" s="1"/>
  <c r="Z1140" i="2" s="1"/>
  <c r="F1140" i="2"/>
  <c r="G1140" i="2" s="1"/>
  <c r="H1140" i="2" s="1"/>
  <c r="C1140" i="5" s="1"/>
  <c r="D1140" i="2"/>
  <c r="E1140" i="2" s="1"/>
  <c r="B1140" i="5" s="1"/>
  <c r="B1140" i="2"/>
  <c r="C1140" i="2" s="1"/>
  <c r="A1140" i="5" s="1"/>
  <c r="O1139" i="2"/>
  <c r="L1139" i="2"/>
  <c r="M1139" i="2" s="1"/>
  <c r="N1139" i="2" s="1"/>
  <c r="E1139" i="5" s="1"/>
  <c r="I1139" i="2"/>
  <c r="J1139" i="2" s="1"/>
  <c r="K1139" i="2" s="1"/>
  <c r="F1139" i="2"/>
  <c r="G1139" i="2" s="1"/>
  <c r="H1139" i="2" s="1"/>
  <c r="C1139" i="5" s="1"/>
  <c r="D1139" i="2"/>
  <c r="E1139" i="2" s="1"/>
  <c r="B1139" i="5" s="1"/>
  <c r="B1139" i="2"/>
  <c r="C1139" i="2" s="1"/>
  <c r="O1138" i="2"/>
  <c r="L1138" i="2"/>
  <c r="M1138" i="2" s="1"/>
  <c r="N1138" i="2" s="1"/>
  <c r="I1138" i="2"/>
  <c r="J1138" i="2" s="1"/>
  <c r="K1138" i="2" s="1"/>
  <c r="Z1138" i="2" s="1"/>
  <c r="F1138" i="2"/>
  <c r="G1138" i="2" s="1"/>
  <c r="H1138" i="2" s="1"/>
  <c r="C1138" i="5" s="1"/>
  <c r="D1138" i="2"/>
  <c r="E1138" i="2" s="1"/>
  <c r="B1138" i="5" s="1"/>
  <c r="B1138" i="2"/>
  <c r="C1138" i="2" s="1"/>
  <c r="A1138" i="5" s="1"/>
  <c r="O1137" i="2"/>
  <c r="L1137" i="2"/>
  <c r="M1137" i="2" s="1"/>
  <c r="N1137" i="2" s="1"/>
  <c r="E1137" i="5" s="1"/>
  <c r="I1137" i="2"/>
  <c r="J1137" i="2" s="1"/>
  <c r="K1137" i="2" s="1"/>
  <c r="F1137" i="2"/>
  <c r="G1137" i="2" s="1"/>
  <c r="H1137" i="2" s="1"/>
  <c r="C1137" i="5" s="1"/>
  <c r="D1137" i="2"/>
  <c r="E1137" i="2" s="1"/>
  <c r="B1137" i="5" s="1"/>
  <c r="B1137" i="2"/>
  <c r="C1137" i="2" s="1"/>
  <c r="O1136" i="2"/>
  <c r="L1136" i="2"/>
  <c r="M1136" i="2" s="1"/>
  <c r="N1136" i="2" s="1"/>
  <c r="I1136" i="2"/>
  <c r="J1136" i="2" s="1"/>
  <c r="K1136" i="2" s="1"/>
  <c r="Z1136" i="2" s="1"/>
  <c r="F1136" i="2"/>
  <c r="G1136" i="2" s="1"/>
  <c r="H1136" i="2" s="1"/>
  <c r="C1136" i="5" s="1"/>
  <c r="D1136" i="2"/>
  <c r="E1136" i="2" s="1"/>
  <c r="B1136" i="5" s="1"/>
  <c r="B1136" i="2"/>
  <c r="C1136" i="2" s="1"/>
  <c r="A1136" i="5" s="1"/>
  <c r="O1135" i="2"/>
  <c r="L1135" i="2"/>
  <c r="M1135" i="2" s="1"/>
  <c r="N1135" i="2" s="1"/>
  <c r="E1135" i="5" s="1"/>
  <c r="I1135" i="2"/>
  <c r="J1135" i="2" s="1"/>
  <c r="K1135" i="2" s="1"/>
  <c r="F1135" i="2"/>
  <c r="G1135" i="2" s="1"/>
  <c r="H1135" i="2" s="1"/>
  <c r="C1135" i="5" s="1"/>
  <c r="D1135" i="2"/>
  <c r="E1135" i="2" s="1"/>
  <c r="B1135" i="5" s="1"/>
  <c r="B1135" i="2"/>
  <c r="C1135" i="2" s="1"/>
  <c r="A1135" i="5" s="1"/>
  <c r="O1134" i="2"/>
  <c r="L1134" i="2"/>
  <c r="M1134" i="2" s="1"/>
  <c r="N1134" i="2" s="1"/>
  <c r="I1134" i="2"/>
  <c r="J1134" i="2" s="1"/>
  <c r="K1134" i="2" s="1"/>
  <c r="Z1134" i="2" s="1"/>
  <c r="F1134" i="2"/>
  <c r="G1134" i="2" s="1"/>
  <c r="H1134" i="2" s="1"/>
  <c r="C1134" i="5" s="1"/>
  <c r="D1134" i="2"/>
  <c r="E1134" i="2" s="1"/>
  <c r="B1134" i="5" s="1"/>
  <c r="B1134" i="2"/>
  <c r="C1134" i="2" s="1"/>
  <c r="A1134" i="5" s="1"/>
  <c r="O1133" i="2"/>
  <c r="L1133" i="2"/>
  <c r="M1133" i="2" s="1"/>
  <c r="N1133" i="2" s="1"/>
  <c r="E1133" i="5" s="1"/>
  <c r="I1133" i="2"/>
  <c r="J1133" i="2" s="1"/>
  <c r="K1133" i="2" s="1"/>
  <c r="F1133" i="2"/>
  <c r="G1133" i="2" s="1"/>
  <c r="H1133" i="2" s="1"/>
  <c r="C1133" i="5" s="1"/>
  <c r="D1133" i="2"/>
  <c r="E1133" i="2" s="1"/>
  <c r="B1133" i="5" s="1"/>
  <c r="B1133" i="2"/>
  <c r="C1133" i="2" s="1"/>
  <c r="O1132" i="2"/>
  <c r="L1132" i="2"/>
  <c r="M1132" i="2" s="1"/>
  <c r="N1132" i="2" s="1"/>
  <c r="I1132" i="2"/>
  <c r="J1132" i="2" s="1"/>
  <c r="K1132" i="2" s="1"/>
  <c r="Z1132" i="2" s="1"/>
  <c r="F1132" i="2"/>
  <c r="G1132" i="2" s="1"/>
  <c r="H1132" i="2" s="1"/>
  <c r="C1132" i="5" s="1"/>
  <c r="D1132" i="2"/>
  <c r="E1132" i="2" s="1"/>
  <c r="B1132" i="5" s="1"/>
  <c r="B1132" i="2"/>
  <c r="C1132" i="2" s="1"/>
  <c r="A1132" i="5" s="1"/>
  <c r="O1131" i="2"/>
  <c r="L1131" i="2"/>
  <c r="M1131" i="2" s="1"/>
  <c r="N1131" i="2" s="1"/>
  <c r="E1131" i="5" s="1"/>
  <c r="I1131" i="2"/>
  <c r="J1131" i="2" s="1"/>
  <c r="K1131" i="2" s="1"/>
  <c r="F1131" i="2"/>
  <c r="G1131" i="2" s="1"/>
  <c r="H1131" i="2" s="1"/>
  <c r="C1131" i="5" s="1"/>
  <c r="D1131" i="2"/>
  <c r="E1131" i="2" s="1"/>
  <c r="B1131" i="5" s="1"/>
  <c r="B1131" i="2"/>
  <c r="C1131" i="2" s="1"/>
  <c r="O1130" i="2"/>
  <c r="L1130" i="2"/>
  <c r="M1130" i="2" s="1"/>
  <c r="N1130" i="2" s="1"/>
  <c r="I1130" i="2"/>
  <c r="J1130" i="2" s="1"/>
  <c r="K1130" i="2" s="1"/>
  <c r="Z1130" i="2" s="1"/>
  <c r="F1130" i="2"/>
  <c r="G1130" i="2" s="1"/>
  <c r="H1130" i="2" s="1"/>
  <c r="C1130" i="5" s="1"/>
  <c r="D1130" i="2"/>
  <c r="E1130" i="2" s="1"/>
  <c r="B1130" i="5" s="1"/>
  <c r="B1130" i="2"/>
  <c r="C1130" i="2" s="1"/>
  <c r="A1130" i="5" s="1"/>
  <c r="O1129" i="2"/>
  <c r="L1129" i="2"/>
  <c r="M1129" i="2" s="1"/>
  <c r="N1129" i="2" s="1"/>
  <c r="E1129" i="5" s="1"/>
  <c r="I1129" i="2"/>
  <c r="J1129" i="2" s="1"/>
  <c r="K1129" i="2" s="1"/>
  <c r="F1129" i="2"/>
  <c r="G1129" i="2" s="1"/>
  <c r="H1129" i="2" s="1"/>
  <c r="C1129" i="5" s="1"/>
  <c r="D1129" i="2"/>
  <c r="E1129" i="2" s="1"/>
  <c r="B1129" i="5" s="1"/>
  <c r="B1129" i="2"/>
  <c r="C1129" i="2" s="1"/>
  <c r="O1128" i="2"/>
  <c r="L1128" i="2"/>
  <c r="M1128" i="2" s="1"/>
  <c r="N1128" i="2" s="1"/>
  <c r="I1128" i="2"/>
  <c r="J1128" i="2" s="1"/>
  <c r="K1128" i="2" s="1"/>
  <c r="Z1128" i="2" s="1"/>
  <c r="F1128" i="2"/>
  <c r="G1128" i="2" s="1"/>
  <c r="H1128" i="2" s="1"/>
  <c r="C1128" i="5" s="1"/>
  <c r="D1128" i="2"/>
  <c r="E1128" i="2" s="1"/>
  <c r="B1128" i="5" s="1"/>
  <c r="B1128" i="2"/>
  <c r="C1128" i="2" s="1"/>
  <c r="A1128" i="5" s="1"/>
  <c r="O1127" i="2"/>
  <c r="L1127" i="2"/>
  <c r="M1127" i="2" s="1"/>
  <c r="N1127" i="2" s="1"/>
  <c r="E1127" i="5" s="1"/>
  <c r="I1127" i="2"/>
  <c r="J1127" i="2" s="1"/>
  <c r="K1127" i="2" s="1"/>
  <c r="F1127" i="2"/>
  <c r="G1127" i="2" s="1"/>
  <c r="H1127" i="2" s="1"/>
  <c r="C1127" i="5" s="1"/>
  <c r="D1127" i="2"/>
  <c r="E1127" i="2" s="1"/>
  <c r="B1127" i="5" s="1"/>
  <c r="B1127" i="2"/>
  <c r="C1127" i="2" s="1"/>
  <c r="A1127" i="5" s="1"/>
  <c r="O1126" i="2"/>
  <c r="L1126" i="2"/>
  <c r="M1126" i="2" s="1"/>
  <c r="N1126" i="2" s="1"/>
  <c r="I1126" i="2"/>
  <c r="J1126" i="2" s="1"/>
  <c r="K1126" i="2" s="1"/>
  <c r="Z1126" i="2" s="1"/>
  <c r="F1126" i="2"/>
  <c r="G1126" i="2" s="1"/>
  <c r="H1126" i="2" s="1"/>
  <c r="C1126" i="5" s="1"/>
  <c r="D1126" i="2"/>
  <c r="E1126" i="2" s="1"/>
  <c r="B1126" i="5" s="1"/>
  <c r="B1126" i="2"/>
  <c r="C1126" i="2" s="1"/>
  <c r="A1126" i="5" s="1"/>
  <c r="O1125" i="2"/>
  <c r="L1125" i="2"/>
  <c r="M1125" i="2" s="1"/>
  <c r="N1125" i="2" s="1"/>
  <c r="E1125" i="5" s="1"/>
  <c r="I1125" i="2"/>
  <c r="J1125" i="2" s="1"/>
  <c r="K1125" i="2" s="1"/>
  <c r="F1125" i="2"/>
  <c r="G1125" i="2" s="1"/>
  <c r="H1125" i="2" s="1"/>
  <c r="C1125" i="5" s="1"/>
  <c r="D1125" i="2"/>
  <c r="E1125" i="2" s="1"/>
  <c r="B1125" i="5" s="1"/>
  <c r="B1125" i="2"/>
  <c r="C1125" i="2" s="1"/>
  <c r="O1124" i="2"/>
  <c r="L1124" i="2"/>
  <c r="M1124" i="2" s="1"/>
  <c r="N1124" i="2" s="1"/>
  <c r="I1124" i="2"/>
  <c r="J1124" i="2" s="1"/>
  <c r="K1124" i="2" s="1"/>
  <c r="Z1124" i="2" s="1"/>
  <c r="F1124" i="2"/>
  <c r="G1124" i="2" s="1"/>
  <c r="H1124" i="2" s="1"/>
  <c r="C1124" i="5" s="1"/>
  <c r="D1124" i="2"/>
  <c r="E1124" i="2" s="1"/>
  <c r="B1124" i="5" s="1"/>
  <c r="B1124" i="2"/>
  <c r="C1124" i="2" s="1"/>
  <c r="A1124" i="5" s="1"/>
  <c r="O1123" i="2"/>
  <c r="L1123" i="2"/>
  <c r="M1123" i="2" s="1"/>
  <c r="N1123" i="2" s="1"/>
  <c r="E1123" i="5" s="1"/>
  <c r="I1123" i="2"/>
  <c r="J1123" i="2" s="1"/>
  <c r="K1123" i="2" s="1"/>
  <c r="F1123" i="2"/>
  <c r="G1123" i="2" s="1"/>
  <c r="H1123" i="2" s="1"/>
  <c r="C1123" i="5" s="1"/>
  <c r="D1123" i="2"/>
  <c r="E1123" i="2" s="1"/>
  <c r="B1123" i="5" s="1"/>
  <c r="B1123" i="2"/>
  <c r="C1123" i="2" s="1"/>
  <c r="O1122" i="2"/>
  <c r="L1122" i="2"/>
  <c r="M1122" i="2" s="1"/>
  <c r="N1122" i="2" s="1"/>
  <c r="I1122" i="2"/>
  <c r="J1122" i="2" s="1"/>
  <c r="K1122" i="2" s="1"/>
  <c r="Z1122" i="2" s="1"/>
  <c r="F1122" i="2"/>
  <c r="G1122" i="2" s="1"/>
  <c r="H1122" i="2" s="1"/>
  <c r="C1122" i="5" s="1"/>
  <c r="D1122" i="2"/>
  <c r="E1122" i="2" s="1"/>
  <c r="B1122" i="5" s="1"/>
  <c r="B1122" i="2"/>
  <c r="C1122" i="2" s="1"/>
  <c r="A1122" i="5" s="1"/>
  <c r="O1121" i="2"/>
  <c r="L1121" i="2"/>
  <c r="M1121" i="2" s="1"/>
  <c r="N1121" i="2" s="1"/>
  <c r="E1121" i="5" s="1"/>
  <c r="I1121" i="2"/>
  <c r="J1121" i="2" s="1"/>
  <c r="K1121" i="2" s="1"/>
  <c r="F1121" i="2"/>
  <c r="G1121" i="2" s="1"/>
  <c r="H1121" i="2" s="1"/>
  <c r="C1121" i="5" s="1"/>
  <c r="D1121" i="2"/>
  <c r="E1121" i="2" s="1"/>
  <c r="B1121" i="5" s="1"/>
  <c r="B1121" i="2"/>
  <c r="C1121" i="2" s="1"/>
  <c r="O1120" i="2"/>
  <c r="L1120" i="2"/>
  <c r="M1120" i="2" s="1"/>
  <c r="N1120" i="2" s="1"/>
  <c r="I1120" i="2"/>
  <c r="J1120" i="2" s="1"/>
  <c r="K1120" i="2" s="1"/>
  <c r="Z1120" i="2" s="1"/>
  <c r="F1120" i="2"/>
  <c r="G1120" i="2" s="1"/>
  <c r="H1120" i="2" s="1"/>
  <c r="C1120" i="5" s="1"/>
  <c r="D1120" i="2"/>
  <c r="E1120" i="2" s="1"/>
  <c r="B1120" i="5" s="1"/>
  <c r="B1120" i="2"/>
  <c r="C1120" i="2" s="1"/>
  <c r="A1120" i="5" s="1"/>
  <c r="O1119" i="2"/>
  <c r="L1119" i="2"/>
  <c r="M1119" i="2" s="1"/>
  <c r="N1119" i="2" s="1"/>
  <c r="E1119" i="5" s="1"/>
  <c r="I1119" i="2"/>
  <c r="J1119" i="2" s="1"/>
  <c r="K1119" i="2" s="1"/>
  <c r="F1119" i="2"/>
  <c r="G1119" i="2" s="1"/>
  <c r="H1119" i="2" s="1"/>
  <c r="C1119" i="5" s="1"/>
  <c r="D1119" i="2"/>
  <c r="E1119" i="2" s="1"/>
  <c r="B1119" i="5" s="1"/>
  <c r="B1119" i="2"/>
  <c r="C1119" i="2" s="1"/>
  <c r="O1118" i="2"/>
  <c r="L1118" i="2"/>
  <c r="M1118" i="2" s="1"/>
  <c r="N1118" i="2" s="1"/>
  <c r="I1118" i="2"/>
  <c r="J1118" i="2" s="1"/>
  <c r="K1118" i="2" s="1"/>
  <c r="Z1118" i="2" s="1"/>
  <c r="F1118" i="2"/>
  <c r="G1118" i="2" s="1"/>
  <c r="H1118" i="2" s="1"/>
  <c r="C1118" i="5" s="1"/>
  <c r="D1118" i="2"/>
  <c r="E1118" i="2" s="1"/>
  <c r="B1118" i="5" s="1"/>
  <c r="B1118" i="2"/>
  <c r="C1118" i="2" s="1"/>
  <c r="A1118" i="5" s="1"/>
  <c r="O1117" i="2"/>
  <c r="L1117" i="2"/>
  <c r="M1117" i="2" s="1"/>
  <c r="N1117" i="2" s="1"/>
  <c r="E1117" i="5" s="1"/>
  <c r="I1117" i="2"/>
  <c r="J1117" i="2" s="1"/>
  <c r="K1117" i="2" s="1"/>
  <c r="F1117" i="2"/>
  <c r="G1117" i="2" s="1"/>
  <c r="H1117" i="2" s="1"/>
  <c r="C1117" i="5" s="1"/>
  <c r="D1117" i="2"/>
  <c r="E1117" i="2" s="1"/>
  <c r="B1117" i="5" s="1"/>
  <c r="B1117" i="2"/>
  <c r="C1117" i="2" s="1"/>
  <c r="O1116" i="2"/>
  <c r="L1116" i="2"/>
  <c r="M1116" i="2" s="1"/>
  <c r="N1116" i="2" s="1"/>
  <c r="I1116" i="2"/>
  <c r="J1116" i="2" s="1"/>
  <c r="K1116" i="2" s="1"/>
  <c r="Z1116" i="2" s="1"/>
  <c r="F1116" i="2"/>
  <c r="G1116" i="2" s="1"/>
  <c r="H1116" i="2" s="1"/>
  <c r="C1116" i="5" s="1"/>
  <c r="D1116" i="2"/>
  <c r="E1116" i="2" s="1"/>
  <c r="B1116" i="5" s="1"/>
  <c r="B1116" i="2"/>
  <c r="C1116" i="2" s="1"/>
  <c r="A1116" i="5" s="1"/>
  <c r="O1115" i="2"/>
  <c r="L1115" i="2"/>
  <c r="M1115" i="2" s="1"/>
  <c r="N1115" i="2" s="1"/>
  <c r="E1115" i="5" s="1"/>
  <c r="I1115" i="2"/>
  <c r="J1115" i="2" s="1"/>
  <c r="K1115" i="2" s="1"/>
  <c r="F1115" i="2"/>
  <c r="G1115" i="2" s="1"/>
  <c r="H1115" i="2" s="1"/>
  <c r="C1115" i="5" s="1"/>
  <c r="D1115" i="2"/>
  <c r="E1115" i="2" s="1"/>
  <c r="B1115" i="5" s="1"/>
  <c r="B1115" i="2"/>
  <c r="C1115" i="2" s="1"/>
  <c r="O1114" i="2"/>
  <c r="L1114" i="2"/>
  <c r="M1114" i="2" s="1"/>
  <c r="N1114" i="2" s="1"/>
  <c r="I1114" i="2"/>
  <c r="J1114" i="2" s="1"/>
  <c r="K1114" i="2" s="1"/>
  <c r="Z1114" i="2" s="1"/>
  <c r="F1114" i="2"/>
  <c r="G1114" i="2" s="1"/>
  <c r="H1114" i="2" s="1"/>
  <c r="C1114" i="5" s="1"/>
  <c r="D1114" i="2"/>
  <c r="E1114" i="2" s="1"/>
  <c r="B1114" i="5" s="1"/>
  <c r="B1114" i="2"/>
  <c r="C1114" i="2" s="1"/>
  <c r="A1114" i="5" s="1"/>
  <c r="O1113" i="2"/>
  <c r="L1113" i="2"/>
  <c r="M1113" i="2" s="1"/>
  <c r="N1113" i="2" s="1"/>
  <c r="E1113" i="5" s="1"/>
  <c r="I1113" i="2"/>
  <c r="J1113" i="2" s="1"/>
  <c r="K1113" i="2" s="1"/>
  <c r="F1113" i="2"/>
  <c r="G1113" i="2" s="1"/>
  <c r="H1113" i="2" s="1"/>
  <c r="C1113" i="5" s="1"/>
  <c r="D1113" i="2"/>
  <c r="E1113" i="2" s="1"/>
  <c r="B1113" i="5" s="1"/>
  <c r="B1113" i="2"/>
  <c r="C1113" i="2" s="1"/>
  <c r="O1112" i="2"/>
  <c r="L1112" i="2"/>
  <c r="M1112" i="2" s="1"/>
  <c r="N1112" i="2" s="1"/>
  <c r="I1112" i="2"/>
  <c r="J1112" i="2" s="1"/>
  <c r="K1112" i="2" s="1"/>
  <c r="Z1112" i="2" s="1"/>
  <c r="F1112" i="2"/>
  <c r="G1112" i="2" s="1"/>
  <c r="H1112" i="2" s="1"/>
  <c r="C1112" i="5" s="1"/>
  <c r="D1112" i="2"/>
  <c r="E1112" i="2" s="1"/>
  <c r="B1112" i="5" s="1"/>
  <c r="B1112" i="2"/>
  <c r="C1112" i="2" s="1"/>
  <c r="A1112" i="5" s="1"/>
  <c r="O1111" i="2"/>
  <c r="L1111" i="2"/>
  <c r="M1111" i="2" s="1"/>
  <c r="N1111" i="2" s="1"/>
  <c r="E1111" i="5" s="1"/>
  <c r="I1111" i="2"/>
  <c r="J1111" i="2" s="1"/>
  <c r="K1111" i="2" s="1"/>
  <c r="F1111" i="2"/>
  <c r="G1111" i="2" s="1"/>
  <c r="H1111" i="2" s="1"/>
  <c r="C1111" i="5" s="1"/>
  <c r="D1111" i="2"/>
  <c r="E1111" i="2" s="1"/>
  <c r="B1111" i="5" s="1"/>
  <c r="B1111" i="2"/>
  <c r="C1111" i="2" s="1"/>
  <c r="O1110" i="2"/>
  <c r="L1110" i="2"/>
  <c r="M1110" i="2" s="1"/>
  <c r="N1110" i="2" s="1"/>
  <c r="I1110" i="2"/>
  <c r="J1110" i="2" s="1"/>
  <c r="K1110" i="2" s="1"/>
  <c r="Z1110" i="2" s="1"/>
  <c r="F1110" i="2"/>
  <c r="G1110" i="2" s="1"/>
  <c r="H1110" i="2" s="1"/>
  <c r="C1110" i="5" s="1"/>
  <c r="D1110" i="2"/>
  <c r="E1110" i="2" s="1"/>
  <c r="B1110" i="5" s="1"/>
  <c r="B1110" i="2"/>
  <c r="C1110" i="2" s="1"/>
  <c r="A1110" i="5" s="1"/>
  <c r="O1109" i="2"/>
  <c r="L1109" i="2"/>
  <c r="M1109" i="2" s="1"/>
  <c r="N1109" i="2" s="1"/>
  <c r="E1109" i="5" s="1"/>
  <c r="I1109" i="2"/>
  <c r="J1109" i="2" s="1"/>
  <c r="K1109" i="2" s="1"/>
  <c r="F1109" i="2"/>
  <c r="G1109" i="2" s="1"/>
  <c r="H1109" i="2" s="1"/>
  <c r="C1109" i="5" s="1"/>
  <c r="D1109" i="2"/>
  <c r="E1109" i="2" s="1"/>
  <c r="B1109" i="5" s="1"/>
  <c r="B1109" i="2"/>
  <c r="C1109" i="2" s="1"/>
  <c r="O1108" i="2"/>
  <c r="L1108" i="2"/>
  <c r="M1108" i="2" s="1"/>
  <c r="N1108" i="2" s="1"/>
  <c r="I1108" i="2"/>
  <c r="J1108" i="2" s="1"/>
  <c r="K1108" i="2" s="1"/>
  <c r="Z1108" i="2" s="1"/>
  <c r="F1108" i="2"/>
  <c r="G1108" i="2" s="1"/>
  <c r="H1108" i="2" s="1"/>
  <c r="C1108" i="5" s="1"/>
  <c r="D1108" i="2"/>
  <c r="E1108" i="2" s="1"/>
  <c r="B1108" i="5" s="1"/>
  <c r="B1108" i="2"/>
  <c r="C1108" i="2" s="1"/>
  <c r="A1108" i="5" s="1"/>
  <c r="O1107" i="2"/>
  <c r="L1107" i="2"/>
  <c r="M1107" i="2" s="1"/>
  <c r="N1107" i="2" s="1"/>
  <c r="E1107" i="5" s="1"/>
  <c r="I1107" i="2"/>
  <c r="J1107" i="2" s="1"/>
  <c r="K1107" i="2" s="1"/>
  <c r="F1107" i="2"/>
  <c r="G1107" i="2" s="1"/>
  <c r="H1107" i="2" s="1"/>
  <c r="C1107" i="5" s="1"/>
  <c r="D1107" i="2"/>
  <c r="E1107" i="2" s="1"/>
  <c r="B1107" i="5" s="1"/>
  <c r="B1107" i="2"/>
  <c r="C1107" i="2" s="1"/>
  <c r="O1106" i="2"/>
  <c r="L1106" i="2"/>
  <c r="M1106" i="2" s="1"/>
  <c r="N1106" i="2" s="1"/>
  <c r="I1106" i="2"/>
  <c r="J1106" i="2" s="1"/>
  <c r="K1106" i="2" s="1"/>
  <c r="Z1106" i="2" s="1"/>
  <c r="F1106" i="2"/>
  <c r="G1106" i="2" s="1"/>
  <c r="H1106" i="2" s="1"/>
  <c r="C1106" i="5" s="1"/>
  <c r="D1106" i="2"/>
  <c r="E1106" i="2" s="1"/>
  <c r="B1106" i="5" s="1"/>
  <c r="B1106" i="2"/>
  <c r="C1106" i="2" s="1"/>
  <c r="A1106" i="5" s="1"/>
  <c r="O1105" i="2"/>
  <c r="L1105" i="2"/>
  <c r="M1105" i="2" s="1"/>
  <c r="N1105" i="2" s="1"/>
  <c r="E1105" i="5" s="1"/>
  <c r="I1105" i="2"/>
  <c r="J1105" i="2" s="1"/>
  <c r="K1105" i="2" s="1"/>
  <c r="F1105" i="2"/>
  <c r="G1105" i="2" s="1"/>
  <c r="H1105" i="2" s="1"/>
  <c r="C1105" i="5" s="1"/>
  <c r="D1105" i="2"/>
  <c r="E1105" i="2" s="1"/>
  <c r="B1105" i="5" s="1"/>
  <c r="B1105" i="2"/>
  <c r="C1105" i="2" s="1"/>
  <c r="O1104" i="2"/>
  <c r="L1104" i="2"/>
  <c r="M1104" i="2" s="1"/>
  <c r="N1104" i="2" s="1"/>
  <c r="I1104" i="2"/>
  <c r="J1104" i="2" s="1"/>
  <c r="K1104" i="2" s="1"/>
  <c r="Z1104" i="2" s="1"/>
  <c r="F1104" i="2"/>
  <c r="G1104" i="2" s="1"/>
  <c r="H1104" i="2" s="1"/>
  <c r="C1104" i="5" s="1"/>
  <c r="D1104" i="2"/>
  <c r="E1104" i="2" s="1"/>
  <c r="B1104" i="5" s="1"/>
  <c r="B1104" i="2"/>
  <c r="C1104" i="2" s="1"/>
  <c r="A1104" i="5" s="1"/>
  <c r="O1103" i="2"/>
  <c r="L1103" i="2"/>
  <c r="M1103" i="2" s="1"/>
  <c r="N1103" i="2" s="1"/>
  <c r="E1103" i="5" s="1"/>
  <c r="I1103" i="2"/>
  <c r="J1103" i="2" s="1"/>
  <c r="K1103" i="2" s="1"/>
  <c r="F1103" i="2"/>
  <c r="G1103" i="2" s="1"/>
  <c r="H1103" i="2" s="1"/>
  <c r="C1103" i="5" s="1"/>
  <c r="D1103" i="2"/>
  <c r="E1103" i="2" s="1"/>
  <c r="B1103" i="5" s="1"/>
  <c r="B1103" i="2"/>
  <c r="C1103" i="2" s="1"/>
  <c r="O1102" i="2"/>
  <c r="L1102" i="2"/>
  <c r="M1102" i="2" s="1"/>
  <c r="N1102" i="2" s="1"/>
  <c r="I1102" i="2"/>
  <c r="J1102" i="2" s="1"/>
  <c r="K1102" i="2" s="1"/>
  <c r="Z1102" i="2" s="1"/>
  <c r="F1102" i="2"/>
  <c r="G1102" i="2" s="1"/>
  <c r="H1102" i="2" s="1"/>
  <c r="C1102" i="5" s="1"/>
  <c r="D1102" i="2"/>
  <c r="E1102" i="2" s="1"/>
  <c r="B1102" i="5" s="1"/>
  <c r="B1102" i="2"/>
  <c r="C1102" i="2" s="1"/>
  <c r="A1102" i="5" s="1"/>
  <c r="O1101" i="2"/>
  <c r="L1101" i="2"/>
  <c r="M1101" i="2" s="1"/>
  <c r="N1101" i="2" s="1"/>
  <c r="E1101" i="5" s="1"/>
  <c r="I1101" i="2"/>
  <c r="J1101" i="2" s="1"/>
  <c r="K1101" i="2" s="1"/>
  <c r="F1101" i="2"/>
  <c r="G1101" i="2" s="1"/>
  <c r="H1101" i="2" s="1"/>
  <c r="C1101" i="5" s="1"/>
  <c r="D1101" i="2"/>
  <c r="E1101" i="2" s="1"/>
  <c r="B1101" i="5" s="1"/>
  <c r="B1101" i="2"/>
  <c r="C1101" i="2" s="1"/>
  <c r="O1100" i="2"/>
  <c r="L1100" i="2"/>
  <c r="M1100" i="2" s="1"/>
  <c r="N1100" i="2" s="1"/>
  <c r="I1100" i="2"/>
  <c r="J1100" i="2" s="1"/>
  <c r="K1100" i="2" s="1"/>
  <c r="Z1100" i="2" s="1"/>
  <c r="F1100" i="2"/>
  <c r="G1100" i="2" s="1"/>
  <c r="H1100" i="2" s="1"/>
  <c r="C1100" i="5" s="1"/>
  <c r="D1100" i="2"/>
  <c r="E1100" i="2" s="1"/>
  <c r="B1100" i="5" s="1"/>
  <c r="B1100" i="2"/>
  <c r="C1100" i="2" s="1"/>
  <c r="A1100" i="5" s="1"/>
  <c r="O1099" i="2"/>
  <c r="L1099" i="2"/>
  <c r="M1099" i="2" s="1"/>
  <c r="N1099" i="2" s="1"/>
  <c r="E1099" i="5" s="1"/>
  <c r="I1099" i="2"/>
  <c r="J1099" i="2" s="1"/>
  <c r="K1099" i="2" s="1"/>
  <c r="F1099" i="2"/>
  <c r="G1099" i="2" s="1"/>
  <c r="H1099" i="2" s="1"/>
  <c r="C1099" i="5" s="1"/>
  <c r="D1099" i="2"/>
  <c r="E1099" i="2" s="1"/>
  <c r="B1099" i="5" s="1"/>
  <c r="B1099" i="2"/>
  <c r="C1099" i="2" s="1"/>
  <c r="O1098" i="2"/>
  <c r="L1098" i="2"/>
  <c r="M1098" i="2" s="1"/>
  <c r="N1098" i="2" s="1"/>
  <c r="I1098" i="2"/>
  <c r="J1098" i="2" s="1"/>
  <c r="K1098" i="2" s="1"/>
  <c r="Z1098" i="2" s="1"/>
  <c r="F1098" i="2"/>
  <c r="G1098" i="2" s="1"/>
  <c r="H1098" i="2" s="1"/>
  <c r="C1098" i="5" s="1"/>
  <c r="D1098" i="2"/>
  <c r="E1098" i="2" s="1"/>
  <c r="B1098" i="5" s="1"/>
  <c r="B1098" i="2"/>
  <c r="C1098" i="2" s="1"/>
  <c r="A1098" i="5" s="1"/>
  <c r="O1097" i="2"/>
  <c r="L1097" i="2"/>
  <c r="M1097" i="2" s="1"/>
  <c r="N1097" i="2" s="1"/>
  <c r="E1097" i="5" s="1"/>
  <c r="I1097" i="2"/>
  <c r="J1097" i="2" s="1"/>
  <c r="K1097" i="2" s="1"/>
  <c r="F1097" i="2"/>
  <c r="G1097" i="2" s="1"/>
  <c r="H1097" i="2" s="1"/>
  <c r="C1097" i="5" s="1"/>
  <c r="D1097" i="2"/>
  <c r="E1097" i="2" s="1"/>
  <c r="B1097" i="5" s="1"/>
  <c r="B1097" i="2"/>
  <c r="C1097" i="2" s="1"/>
  <c r="O1096" i="2"/>
  <c r="L1096" i="2"/>
  <c r="M1096" i="2" s="1"/>
  <c r="N1096" i="2" s="1"/>
  <c r="I1096" i="2"/>
  <c r="J1096" i="2" s="1"/>
  <c r="K1096" i="2" s="1"/>
  <c r="Z1096" i="2" s="1"/>
  <c r="F1096" i="2"/>
  <c r="G1096" i="2" s="1"/>
  <c r="H1096" i="2" s="1"/>
  <c r="C1096" i="5" s="1"/>
  <c r="D1096" i="2"/>
  <c r="E1096" i="2" s="1"/>
  <c r="B1096" i="5" s="1"/>
  <c r="B1096" i="2"/>
  <c r="C1096" i="2" s="1"/>
  <c r="A1096" i="5" s="1"/>
  <c r="O1095" i="2"/>
  <c r="L1095" i="2"/>
  <c r="M1095" i="2" s="1"/>
  <c r="N1095" i="2" s="1"/>
  <c r="E1095" i="5" s="1"/>
  <c r="I1095" i="2"/>
  <c r="J1095" i="2" s="1"/>
  <c r="K1095" i="2" s="1"/>
  <c r="F1095" i="2"/>
  <c r="G1095" i="2" s="1"/>
  <c r="H1095" i="2" s="1"/>
  <c r="C1095" i="5" s="1"/>
  <c r="D1095" i="2"/>
  <c r="E1095" i="2" s="1"/>
  <c r="B1095" i="5" s="1"/>
  <c r="B1095" i="2"/>
  <c r="C1095" i="2" s="1"/>
  <c r="O1094" i="2"/>
  <c r="L1094" i="2"/>
  <c r="M1094" i="2" s="1"/>
  <c r="N1094" i="2" s="1"/>
  <c r="I1094" i="2"/>
  <c r="J1094" i="2" s="1"/>
  <c r="K1094" i="2" s="1"/>
  <c r="Z1094" i="2" s="1"/>
  <c r="F1094" i="2"/>
  <c r="G1094" i="2" s="1"/>
  <c r="H1094" i="2" s="1"/>
  <c r="C1094" i="5" s="1"/>
  <c r="D1094" i="2"/>
  <c r="E1094" i="2" s="1"/>
  <c r="B1094" i="5" s="1"/>
  <c r="B1094" i="2"/>
  <c r="C1094" i="2" s="1"/>
  <c r="A1094" i="5" s="1"/>
  <c r="O1093" i="2"/>
  <c r="L1093" i="2"/>
  <c r="M1093" i="2" s="1"/>
  <c r="N1093" i="2" s="1"/>
  <c r="E1093" i="5" s="1"/>
  <c r="I1093" i="2"/>
  <c r="J1093" i="2" s="1"/>
  <c r="K1093" i="2" s="1"/>
  <c r="F1093" i="2"/>
  <c r="G1093" i="2" s="1"/>
  <c r="H1093" i="2" s="1"/>
  <c r="C1093" i="5" s="1"/>
  <c r="D1093" i="2"/>
  <c r="E1093" i="2" s="1"/>
  <c r="B1093" i="5" s="1"/>
  <c r="B1093" i="2"/>
  <c r="C1093" i="2" s="1"/>
  <c r="O1092" i="2"/>
  <c r="L1092" i="2"/>
  <c r="M1092" i="2" s="1"/>
  <c r="N1092" i="2" s="1"/>
  <c r="I1092" i="2"/>
  <c r="J1092" i="2" s="1"/>
  <c r="K1092" i="2" s="1"/>
  <c r="Z1092" i="2" s="1"/>
  <c r="F1092" i="2"/>
  <c r="G1092" i="2" s="1"/>
  <c r="H1092" i="2" s="1"/>
  <c r="C1092" i="5" s="1"/>
  <c r="D1092" i="2"/>
  <c r="E1092" i="2" s="1"/>
  <c r="B1092" i="5" s="1"/>
  <c r="B1092" i="2"/>
  <c r="C1092" i="2" s="1"/>
  <c r="A1092" i="5" s="1"/>
  <c r="O1091" i="2"/>
  <c r="L1091" i="2"/>
  <c r="M1091" i="2" s="1"/>
  <c r="N1091" i="2" s="1"/>
  <c r="E1091" i="5" s="1"/>
  <c r="I1091" i="2"/>
  <c r="J1091" i="2" s="1"/>
  <c r="K1091" i="2" s="1"/>
  <c r="F1091" i="2"/>
  <c r="G1091" i="2" s="1"/>
  <c r="H1091" i="2" s="1"/>
  <c r="C1091" i="5" s="1"/>
  <c r="D1091" i="2"/>
  <c r="E1091" i="2" s="1"/>
  <c r="B1091" i="5" s="1"/>
  <c r="B1091" i="2"/>
  <c r="C1091" i="2" s="1"/>
  <c r="O1090" i="2"/>
  <c r="L1090" i="2"/>
  <c r="M1090" i="2" s="1"/>
  <c r="N1090" i="2" s="1"/>
  <c r="I1090" i="2"/>
  <c r="J1090" i="2" s="1"/>
  <c r="K1090" i="2" s="1"/>
  <c r="Z1090" i="2" s="1"/>
  <c r="F1090" i="2"/>
  <c r="G1090" i="2" s="1"/>
  <c r="H1090" i="2" s="1"/>
  <c r="C1090" i="5" s="1"/>
  <c r="D1090" i="2"/>
  <c r="E1090" i="2" s="1"/>
  <c r="B1090" i="5" s="1"/>
  <c r="B1090" i="2"/>
  <c r="C1090" i="2" s="1"/>
  <c r="A1090" i="5" s="1"/>
  <c r="O1089" i="2"/>
  <c r="L1089" i="2"/>
  <c r="M1089" i="2" s="1"/>
  <c r="N1089" i="2" s="1"/>
  <c r="E1089" i="5" s="1"/>
  <c r="I1089" i="2"/>
  <c r="J1089" i="2" s="1"/>
  <c r="K1089" i="2" s="1"/>
  <c r="F1089" i="2"/>
  <c r="G1089" i="2" s="1"/>
  <c r="H1089" i="2" s="1"/>
  <c r="C1089" i="5" s="1"/>
  <c r="D1089" i="2"/>
  <c r="E1089" i="2" s="1"/>
  <c r="B1089" i="5" s="1"/>
  <c r="B1089" i="2"/>
  <c r="C1089" i="2" s="1"/>
  <c r="O1088" i="2"/>
  <c r="L1088" i="2"/>
  <c r="M1088" i="2" s="1"/>
  <c r="N1088" i="2" s="1"/>
  <c r="I1088" i="2"/>
  <c r="J1088" i="2" s="1"/>
  <c r="K1088" i="2" s="1"/>
  <c r="Z1088" i="2" s="1"/>
  <c r="F1088" i="2"/>
  <c r="G1088" i="2" s="1"/>
  <c r="H1088" i="2" s="1"/>
  <c r="C1088" i="5" s="1"/>
  <c r="D1088" i="2"/>
  <c r="E1088" i="2" s="1"/>
  <c r="B1088" i="5" s="1"/>
  <c r="B1088" i="2"/>
  <c r="C1088" i="2" s="1"/>
  <c r="A1088" i="5" s="1"/>
  <c r="O1087" i="2"/>
  <c r="L1087" i="2"/>
  <c r="M1087" i="2" s="1"/>
  <c r="N1087" i="2" s="1"/>
  <c r="E1087" i="5" s="1"/>
  <c r="I1087" i="2"/>
  <c r="J1087" i="2" s="1"/>
  <c r="K1087" i="2" s="1"/>
  <c r="F1087" i="2"/>
  <c r="G1087" i="2" s="1"/>
  <c r="H1087" i="2" s="1"/>
  <c r="C1087" i="5" s="1"/>
  <c r="D1087" i="2"/>
  <c r="E1087" i="2" s="1"/>
  <c r="B1087" i="5" s="1"/>
  <c r="B1087" i="2"/>
  <c r="C1087" i="2" s="1"/>
  <c r="A1087" i="5" s="1"/>
  <c r="O1086" i="2"/>
  <c r="L1086" i="2"/>
  <c r="M1086" i="2" s="1"/>
  <c r="N1086" i="2" s="1"/>
  <c r="I1086" i="2"/>
  <c r="J1086" i="2" s="1"/>
  <c r="K1086" i="2" s="1"/>
  <c r="Z1086" i="2" s="1"/>
  <c r="F1086" i="2"/>
  <c r="G1086" i="2" s="1"/>
  <c r="H1086" i="2" s="1"/>
  <c r="C1086" i="5" s="1"/>
  <c r="D1086" i="2"/>
  <c r="E1086" i="2" s="1"/>
  <c r="B1086" i="5" s="1"/>
  <c r="B1086" i="2"/>
  <c r="C1086" i="2" s="1"/>
  <c r="A1086" i="5" s="1"/>
  <c r="O1085" i="2"/>
  <c r="L1085" i="2"/>
  <c r="M1085" i="2" s="1"/>
  <c r="N1085" i="2" s="1"/>
  <c r="E1085" i="5" s="1"/>
  <c r="I1085" i="2"/>
  <c r="J1085" i="2" s="1"/>
  <c r="K1085" i="2" s="1"/>
  <c r="F1085" i="2"/>
  <c r="G1085" i="2" s="1"/>
  <c r="H1085" i="2" s="1"/>
  <c r="C1085" i="5" s="1"/>
  <c r="D1085" i="2"/>
  <c r="E1085" i="2" s="1"/>
  <c r="B1085" i="5" s="1"/>
  <c r="B1085" i="2"/>
  <c r="C1085" i="2" s="1"/>
  <c r="O1084" i="2"/>
  <c r="L1084" i="2"/>
  <c r="M1084" i="2" s="1"/>
  <c r="N1084" i="2" s="1"/>
  <c r="I1084" i="2"/>
  <c r="J1084" i="2" s="1"/>
  <c r="K1084" i="2" s="1"/>
  <c r="Z1084" i="2" s="1"/>
  <c r="F1084" i="2"/>
  <c r="G1084" i="2" s="1"/>
  <c r="H1084" i="2" s="1"/>
  <c r="C1084" i="5" s="1"/>
  <c r="D1084" i="2"/>
  <c r="E1084" i="2" s="1"/>
  <c r="B1084" i="5" s="1"/>
  <c r="B1084" i="2"/>
  <c r="C1084" i="2" s="1"/>
  <c r="A1084" i="5" s="1"/>
  <c r="O1083" i="2"/>
  <c r="L1083" i="2"/>
  <c r="M1083" i="2" s="1"/>
  <c r="N1083" i="2" s="1"/>
  <c r="E1083" i="5" s="1"/>
  <c r="I1083" i="2"/>
  <c r="J1083" i="2" s="1"/>
  <c r="K1083" i="2" s="1"/>
  <c r="F1083" i="2"/>
  <c r="G1083" i="2" s="1"/>
  <c r="H1083" i="2" s="1"/>
  <c r="C1083" i="5" s="1"/>
  <c r="D1083" i="2"/>
  <c r="E1083" i="2" s="1"/>
  <c r="B1083" i="5" s="1"/>
  <c r="B1083" i="2"/>
  <c r="C1083" i="2" s="1"/>
  <c r="O1082" i="2"/>
  <c r="L1082" i="2"/>
  <c r="M1082" i="2" s="1"/>
  <c r="N1082" i="2" s="1"/>
  <c r="I1082" i="2"/>
  <c r="J1082" i="2" s="1"/>
  <c r="K1082" i="2" s="1"/>
  <c r="Z1082" i="2" s="1"/>
  <c r="F1082" i="2"/>
  <c r="G1082" i="2" s="1"/>
  <c r="H1082" i="2" s="1"/>
  <c r="C1082" i="5" s="1"/>
  <c r="D1082" i="2"/>
  <c r="E1082" i="2" s="1"/>
  <c r="B1082" i="5" s="1"/>
  <c r="B1082" i="2"/>
  <c r="C1082" i="2" s="1"/>
  <c r="A1082" i="5" s="1"/>
  <c r="O1081" i="2"/>
  <c r="L1081" i="2"/>
  <c r="M1081" i="2" s="1"/>
  <c r="N1081" i="2" s="1"/>
  <c r="E1081" i="5" s="1"/>
  <c r="I1081" i="2"/>
  <c r="J1081" i="2" s="1"/>
  <c r="K1081" i="2" s="1"/>
  <c r="F1081" i="2"/>
  <c r="G1081" i="2" s="1"/>
  <c r="H1081" i="2" s="1"/>
  <c r="C1081" i="5" s="1"/>
  <c r="D1081" i="2"/>
  <c r="E1081" i="2" s="1"/>
  <c r="B1081" i="5" s="1"/>
  <c r="B1081" i="2"/>
  <c r="C1081" i="2" s="1"/>
  <c r="O1080" i="2"/>
  <c r="L1080" i="2"/>
  <c r="M1080" i="2" s="1"/>
  <c r="N1080" i="2" s="1"/>
  <c r="I1080" i="2"/>
  <c r="J1080" i="2" s="1"/>
  <c r="K1080" i="2" s="1"/>
  <c r="Z1080" i="2" s="1"/>
  <c r="F1080" i="2"/>
  <c r="G1080" i="2" s="1"/>
  <c r="H1080" i="2" s="1"/>
  <c r="C1080" i="5" s="1"/>
  <c r="D1080" i="2"/>
  <c r="E1080" i="2" s="1"/>
  <c r="B1080" i="5" s="1"/>
  <c r="B1080" i="2"/>
  <c r="C1080" i="2" s="1"/>
  <c r="A1080" i="5" s="1"/>
  <c r="O1079" i="2"/>
  <c r="L1079" i="2"/>
  <c r="M1079" i="2" s="1"/>
  <c r="N1079" i="2" s="1"/>
  <c r="E1079" i="5" s="1"/>
  <c r="I1079" i="2"/>
  <c r="J1079" i="2" s="1"/>
  <c r="K1079" i="2" s="1"/>
  <c r="F1079" i="2"/>
  <c r="G1079" i="2" s="1"/>
  <c r="H1079" i="2" s="1"/>
  <c r="C1079" i="5" s="1"/>
  <c r="D1079" i="2"/>
  <c r="E1079" i="2" s="1"/>
  <c r="B1079" i="5" s="1"/>
  <c r="B1079" i="2"/>
  <c r="C1079" i="2" s="1"/>
  <c r="A1079" i="5" s="1"/>
  <c r="O1078" i="2"/>
  <c r="L1078" i="2"/>
  <c r="M1078" i="2" s="1"/>
  <c r="N1078" i="2" s="1"/>
  <c r="I1078" i="2"/>
  <c r="J1078" i="2" s="1"/>
  <c r="K1078" i="2" s="1"/>
  <c r="Z1078" i="2" s="1"/>
  <c r="F1078" i="2"/>
  <c r="G1078" i="2" s="1"/>
  <c r="H1078" i="2" s="1"/>
  <c r="C1078" i="5" s="1"/>
  <c r="D1078" i="2"/>
  <c r="E1078" i="2" s="1"/>
  <c r="B1078" i="5" s="1"/>
  <c r="B1078" i="2"/>
  <c r="C1078" i="2" s="1"/>
  <c r="A1078" i="5" s="1"/>
  <c r="O1077" i="2"/>
  <c r="L1077" i="2"/>
  <c r="M1077" i="2" s="1"/>
  <c r="N1077" i="2" s="1"/>
  <c r="E1077" i="5" s="1"/>
  <c r="I1077" i="2"/>
  <c r="J1077" i="2" s="1"/>
  <c r="K1077" i="2" s="1"/>
  <c r="F1077" i="2"/>
  <c r="G1077" i="2" s="1"/>
  <c r="H1077" i="2" s="1"/>
  <c r="C1077" i="5" s="1"/>
  <c r="D1077" i="2"/>
  <c r="E1077" i="2" s="1"/>
  <c r="B1077" i="5" s="1"/>
  <c r="B1077" i="2"/>
  <c r="C1077" i="2" s="1"/>
  <c r="O1076" i="2"/>
  <c r="L1076" i="2"/>
  <c r="M1076" i="2" s="1"/>
  <c r="N1076" i="2" s="1"/>
  <c r="I1076" i="2"/>
  <c r="J1076" i="2" s="1"/>
  <c r="K1076" i="2" s="1"/>
  <c r="Z1076" i="2" s="1"/>
  <c r="F1076" i="2"/>
  <c r="G1076" i="2" s="1"/>
  <c r="H1076" i="2" s="1"/>
  <c r="C1076" i="5" s="1"/>
  <c r="D1076" i="2"/>
  <c r="E1076" i="2" s="1"/>
  <c r="B1076" i="5" s="1"/>
  <c r="B1076" i="2"/>
  <c r="C1076" i="2" s="1"/>
  <c r="A1076" i="5" s="1"/>
  <c r="O1075" i="2"/>
  <c r="L1075" i="2"/>
  <c r="M1075" i="2" s="1"/>
  <c r="N1075" i="2" s="1"/>
  <c r="E1075" i="5" s="1"/>
  <c r="I1075" i="2"/>
  <c r="J1075" i="2" s="1"/>
  <c r="K1075" i="2" s="1"/>
  <c r="F1075" i="2"/>
  <c r="G1075" i="2" s="1"/>
  <c r="H1075" i="2" s="1"/>
  <c r="C1075" i="5" s="1"/>
  <c r="D1075" i="2"/>
  <c r="E1075" i="2" s="1"/>
  <c r="B1075" i="5" s="1"/>
  <c r="B1075" i="2"/>
  <c r="C1075" i="2" s="1"/>
  <c r="A1075" i="5" s="1"/>
  <c r="O1074" i="2"/>
  <c r="L1074" i="2"/>
  <c r="M1074" i="2" s="1"/>
  <c r="N1074" i="2" s="1"/>
  <c r="I1074" i="2"/>
  <c r="J1074" i="2" s="1"/>
  <c r="K1074" i="2" s="1"/>
  <c r="Z1074" i="2" s="1"/>
  <c r="F1074" i="2"/>
  <c r="G1074" i="2" s="1"/>
  <c r="H1074" i="2" s="1"/>
  <c r="C1074" i="5" s="1"/>
  <c r="D1074" i="2"/>
  <c r="E1074" i="2" s="1"/>
  <c r="B1074" i="5" s="1"/>
  <c r="B1074" i="2"/>
  <c r="C1074" i="2" s="1"/>
  <c r="A1074" i="5" s="1"/>
  <c r="O1073" i="2"/>
  <c r="L1073" i="2"/>
  <c r="M1073" i="2" s="1"/>
  <c r="N1073" i="2" s="1"/>
  <c r="E1073" i="5" s="1"/>
  <c r="I1073" i="2"/>
  <c r="J1073" i="2" s="1"/>
  <c r="K1073" i="2" s="1"/>
  <c r="F1073" i="2"/>
  <c r="G1073" i="2" s="1"/>
  <c r="H1073" i="2" s="1"/>
  <c r="C1073" i="5" s="1"/>
  <c r="D1073" i="2"/>
  <c r="E1073" i="2" s="1"/>
  <c r="B1073" i="5" s="1"/>
  <c r="B1073" i="2"/>
  <c r="C1073" i="2" s="1"/>
  <c r="O1072" i="2"/>
  <c r="L1072" i="2"/>
  <c r="M1072" i="2" s="1"/>
  <c r="N1072" i="2" s="1"/>
  <c r="I1072" i="2"/>
  <c r="J1072" i="2" s="1"/>
  <c r="K1072" i="2" s="1"/>
  <c r="Z1072" i="2" s="1"/>
  <c r="F1072" i="2"/>
  <c r="G1072" i="2" s="1"/>
  <c r="H1072" i="2" s="1"/>
  <c r="C1072" i="5" s="1"/>
  <c r="D1072" i="2"/>
  <c r="E1072" i="2" s="1"/>
  <c r="B1072" i="5" s="1"/>
  <c r="B1072" i="2"/>
  <c r="C1072" i="2" s="1"/>
  <c r="A1072" i="5" s="1"/>
  <c r="O1071" i="2"/>
  <c r="L1071" i="2"/>
  <c r="M1071" i="2" s="1"/>
  <c r="N1071" i="2" s="1"/>
  <c r="E1071" i="5" s="1"/>
  <c r="I1071" i="2"/>
  <c r="J1071" i="2" s="1"/>
  <c r="K1071" i="2" s="1"/>
  <c r="F1071" i="2"/>
  <c r="G1071" i="2" s="1"/>
  <c r="H1071" i="2" s="1"/>
  <c r="C1071" i="5" s="1"/>
  <c r="D1071" i="2"/>
  <c r="E1071" i="2" s="1"/>
  <c r="B1071" i="5" s="1"/>
  <c r="B1071" i="2"/>
  <c r="C1071" i="2" s="1"/>
  <c r="O1070" i="2"/>
  <c r="L1070" i="2"/>
  <c r="M1070" i="2" s="1"/>
  <c r="N1070" i="2" s="1"/>
  <c r="I1070" i="2"/>
  <c r="J1070" i="2" s="1"/>
  <c r="K1070" i="2" s="1"/>
  <c r="Z1070" i="2" s="1"/>
  <c r="F1070" i="2"/>
  <c r="G1070" i="2" s="1"/>
  <c r="H1070" i="2" s="1"/>
  <c r="C1070" i="5" s="1"/>
  <c r="D1070" i="2"/>
  <c r="E1070" i="2" s="1"/>
  <c r="B1070" i="5" s="1"/>
  <c r="B1070" i="2"/>
  <c r="C1070" i="2" s="1"/>
  <c r="A1070" i="5" s="1"/>
  <c r="O1069" i="2"/>
  <c r="L1069" i="2"/>
  <c r="M1069" i="2" s="1"/>
  <c r="N1069" i="2" s="1"/>
  <c r="E1069" i="5" s="1"/>
  <c r="I1069" i="2"/>
  <c r="J1069" i="2" s="1"/>
  <c r="K1069" i="2" s="1"/>
  <c r="F1069" i="2"/>
  <c r="G1069" i="2" s="1"/>
  <c r="H1069" i="2" s="1"/>
  <c r="C1069" i="5" s="1"/>
  <c r="D1069" i="2"/>
  <c r="E1069" i="2" s="1"/>
  <c r="B1069" i="5" s="1"/>
  <c r="B1069" i="2"/>
  <c r="C1069" i="2" s="1"/>
  <c r="O1068" i="2"/>
  <c r="L1068" i="2"/>
  <c r="M1068" i="2" s="1"/>
  <c r="N1068" i="2" s="1"/>
  <c r="I1068" i="2"/>
  <c r="J1068" i="2" s="1"/>
  <c r="K1068" i="2" s="1"/>
  <c r="Z1068" i="2" s="1"/>
  <c r="F1068" i="2"/>
  <c r="G1068" i="2" s="1"/>
  <c r="H1068" i="2" s="1"/>
  <c r="C1068" i="5" s="1"/>
  <c r="D1068" i="2"/>
  <c r="E1068" i="2" s="1"/>
  <c r="B1068" i="5" s="1"/>
  <c r="B1068" i="2"/>
  <c r="C1068" i="2" s="1"/>
  <c r="A1068" i="5" s="1"/>
  <c r="O1067" i="2"/>
  <c r="L1067" i="2"/>
  <c r="M1067" i="2" s="1"/>
  <c r="N1067" i="2" s="1"/>
  <c r="E1067" i="5" s="1"/>
  <c r="I1067" i="2"/>
  <c r="J1067" i="2" s="1"/>
  <c r="K1067" i="2" s="1"/>
  <c r="F1067" i="2"/>
  <c r="G1067" i="2" s="1"/>
  <c r="H1067" i="2" s="1"/>
  <c r="C1067" i="5" s="1"/>
  <c r="D1067" i="2"/>
  <c r="E1067" i="2" s="1"/>
  <c r="B1067" i="5" s="1"/>
  <c r="B1067" i="2"/>
  <c r="C1067" i="2" s="1"/>
  <c r="A1067" i="5" s="1"/>
  <c r="O1066" i="2"/>
  <c r="L1066" i="2"/>
  <c r="M1066" i="2" s="1"/>
  <c r="N1066" i="2" s="1"/>
  <c r="I1066" i="2"/>
  <c r="J1066" i="2" s="1"/>
  <c r="K1066" i="2" s="1"/>
  <c r="Z1066" i="2" s="1"/>
  <c r="F1066" i="2"/>
  <c r="G1066" i="2" s="1"/>
  <c r="H1066" i="2" s="1"/>
  <c r="C1066" i="5" s="1"/>
  <c r="D1066" i="2"/>
  <c r="E1066" i="2" s="1"/>
  <c r="B1066" i="5" s="1"/>
  <c r="B1066" i="2"/>
  <c r="C1066" i="2" s="1"/>
  <c r="A1066" i="5" s="1"/>
  <c r="O1065" i="2"/>
  <c r="L1065" i="2"/>
  <c r="M1065" i="2" s="1"/>
  <c r="N1065" i="2" s="1"/>
  <c r="E1065" i="5" s="1"/>
  <c r="I1065" i="2"/>
  <c r="J1065" i="2" s="1"/>
  <c r="K1065" i="2" s="1"/>
  <c r="F1065" i="2"/>
  <c r="G1065" i="2" s="1"/>
  <c r="H1065" i="2" s="1"/>
  <c r="C1065" i="5" s="1"/>
  <c r="D1065" i="2"/>
  <c r="E1065" i="2" s="1"/>
  <c r="B1065" i="5" s="1"/>
  <c r="B1065" i="2"/>
  <c r="C1065" i="2" s="1"/>
  <c r="O1064" i="2"/>
  <c r="L1064" i="2"/>
  <c r="M1064" i="2" s="1"/>
  <c r="N1064" i="2" s="1"/>
  <c r="I1064" i="2"/>
  <c r="J1064" i="2" s="1"/>
  <c r="K1064" i="2" s="1"/>
  <c r="Z1064" i="2" s="1"/>
  <c r="F1064" i="2"/>
  <c r="G1064" i="2" s="1"/>
  <c r="H1064" i="2" s="1"/>
  <c r="C1064" i="5" s="1"/>
  <c r="D1064" i="2"/>
  <c r="E1064" i="2" s="1"/>
  <c r="B1064" i="5" s="1"/>
  <c r="B1064" i="2"/>
  <c r="C1064" i="2" s="1"/>
  <c r="A1064" i="5" s="1"/>
  <c r="O1063" i="2"/>
  <c r="L1063" i="2"/>
  <c r="M1063" i="2" s="1"/>
  <c r="N1063" i="2" s="1"/>
  <c r="E1063" i="5" s="1"/>
  <c r="I1063" i="2"/>
  <c r="J1063" i="2" s="1"/>
  <c r="K1063" i="2" s="1"/>
  <c r="F1063" i="2"/>
  <c r="G1063" i="2" s="1"/>
  <c r="H1063" i="2" s="1"/>
  <c r="C1063" i="5" s="1"/>
  <c r="D1063" i="2"/>
  <c r="E1063" i="2" s="1"/>
  <c r="B1063" i="5" s="1"/>
  <c r="B1063" i="2"/>
  <c r="C1063" i="2" s="1"/>
  <c r="A1063" i="5" s="1"/>
  <c r="O1062" i="2"/>
  <c r="L1062" i="2"/>
  <c r="M1062" i="2" s="1"/>
  <c r="N1062" i="2" s="1"/>
  <c r="I1062" i="2"/>
  <c r="J1062" i="2" s="1"/>
  <c r="K1062" i="2" s="1"/>
  <c r="Z1062" i="2" s="1"/>
  <c r="F1062" i="2"/>
  <c r="G1062" i="2" s="1"/>
  <c r="H1062" i="2" s="1"/>
  <c r="C1062" i="5" s="1"/>
  <c r="D1062" i="2"/>
  <c r="E1062" i="2" s="1"/>
  <c r="B1062" i="5" s="1"/>
  <c r="B1062" i="2"/>
  <c r="C1062" i="2" s="1"/>
  <c r="A1062" i="5" s="1"/>
  <c r="O1061" i="2"/>
  <c r="L1061" i="2"/>
  <c r="M1061" i="2" s="1"/>
  <c r="N1061" i="2" s="1"/>
  <c r="E1061" i="5" s="1"/>
  <c r="I1061" i="2"/>
  <c r="J1061" i="2" s="1"/>
  <c r="K1061" i="2" s="1"/>
  <c r="F1061" i="2"/>
  <c r="G1061" i="2" s="1"/>
  <c r="H1061" i="2" s="1"/>
  <c r="C1061" i="5" s="1"/>
  <c r="D1061" i="2"/>
  <c r="E1061" i="2" s="1"/>
  <c r="B1061" i="5" s="1"/>
  <c r="B1061" i="2"/>
  <c r="C1061" i="2" s="1"/>
  <c r="O1060" i="2"/>
  <c r="L1060" i="2"/>
  <c r="M1060" i="2" s="1"/>
  <c r="N1060" i="2" s="1"/>
  <c r="I1060" i="2"/>
  <c r="J1060" i="2" s="1"/>
  <c r="K1060" i="2" s="1"/>
  <c r="Z1060" i="2" s="1"/>
  <c r="F1060" i="2"/>
  <c r="G1060" i="2" s="1"/>
  <c r="H1060" i="2" s="1"/>
  <c r="C1060" i="5" s="1"/>
  <c r="D1060" i="2"/>
  <c r="E1060" i="2" s="1"/>
  <c r="B1060" i="5" s="1"/>
  <c r="B1060" i="2"/>
  <c r="C1060" i="2" s="1"/>
  <c r="A1060" i="5" s="1"/>
  <c r="O1059" i="2"/>
  <c r="L1059" i="2"/>
  <c r="M1059" i="2" s="1"/>
  <c r="N1059" i="2" s="1"/>
  <c r="E1059" i="5" s="1"/>
  <c r="I1059" i="2"/>
  <c r="J1059" i="2" s="1"/>
  <c r="K1059" i="2" s="1"/>
  <c r="F1059" i="2"/>
  <c r="G1059" i="2" s="1"/>
  <c r="H1059" i="2" s="1"/>
  <c r="C1059" i="5" s="1"/>
  <c r="D1059" i="2"/>
  <c r="E1059" i="2" s="1"/>
  <c r="B1059" i="5" s="1"/>
  <c r="B1059" i="2"/>
  <c r="C1059" i="2" s="1"/>
  <c r="O1058" i="2"/>
  <c r="L1058" i="2"/>
  <c r="M1058" i="2" s="1"/>
  <c r="N1058" i="2" s="1"/>
  <c r="I1058" i="2"/>
  <c r="J1058" i="2" s="1"/>
  <c r="K1058" i="2" s="1"/>
  <c r="Z1058" i="2" s="1"/>
  <c r="F1058" i="2"/>
  <c r="G1058" i="2" s="1"/>
  <c r="H1058" i="2" s="1"/>
  <c r="C1058" i="5" s="1"/>
  <c r="D1058" i="2"/>
  <c r="E1058" i="2" s="1"/>
  <c r="B1058" i="5" s="1"/>
  <c r="B1058" i="2"/>
  <c r="C1058" i="2" s="1"/>
  <c r="A1058" i="5" s="1"/>
  <c r="O1057" i="2"/>
  <c r="L1057" i="2"/>
  <c r="M1057" i="2" s="1"/>
  <c r="N1057" i="2" s="1"/>
  <c r="E1057" i="5" s="1"/>
  <c r="I1057" i="2"/>
  <c r="J1057" i="2" s="1"/>
  <c r="K1057" i="2" s="1"/>
  <c r="F1057" i="2"/>
  <c r="G1057" i="2" s="1"/>
  <c r="H1057" i="2" s="1"/>
  <c r="C1057" i="5" s="1"/>
  <c r="D1057" i="2"/>
  <c r="E1057" i="2" s="1"/>
  <c r="B1057" i="5" s="1"/>
  <c r="B1057" i="2"/>
  <c r="C1057" i="2" s="1"/>
  <c r="O1056" i="2"/>
  <c r="L1056" i="2"/>
  <c r="M1056" i="2" s="1"/>
  <c r="N1056" i="2" s="1"/>
  <c r="I1056" i="2"/>
  <c r="J1056" i="2" s="1"/>
  <c r="K1056" i="2" s="1"/>
  <c r="Z1056" i="2" s="1"/>
  <c r="F1056" i="2"/>
  <c r="G1056" i="2" s="1"/>
  <c r="H1056" i="2" s="1"/>
  <c r="C1056" i="5" s="1"/>
  <c r="D1056" i="2"/>
  <c r="E1056" i="2" s="1"/>
  <c r="B1056" i="5" s="1"/>
  <c r="B1056" i="2"/>
  <c r="C1056" i="2" s="1"/>
  <c r="A1056" i="5" s="1"/>
  <c r="O1055" i="2"/>
  <c r="L1055" i="2"/>
  <c r="M1055" i="2" s="1"/>
  <c r="N1055" i="2" s="1"/>
  <c r="E1055" i="5" s="1"/>
  <c r="I1055" i="2"/>
  <c r="J1055" i="2" s="1"/>
  <c r="K1055" i="2" s="1"/>
  <c r="F1055" i="2"/>
  <c r="G1055" i="2" s="1"/>
  <c r="H1055" i="2" s="1"/>
  <c r="C1055" i="5" s="1"/>
  <c r="D1055" i="2"/>
  <c r="E1055" i="2" s="1"/>
  <c r="B1055" i="5" s="1"/>
  <c r="B1055" i="2"/>
  <c r="C1055" i="2" s="1"/>
  <c r="A1055" i="5" s="1"/>
  <c r="O1054" i="2"/>
  <c r="L1054" i="2"/>
  <c r="M1054" i="2" s="1"/>
  <c r="N1054" i="2" s="1"/>
  <c r="I1054" i="2"/>
  <c r="J1054" i="2" s="1"/>
  <c r="K1054" i="2" s="1"/>
  <c r="Z1054" i="2" s="1"/>
  <c r="F1054" i="2"/>
  <c r="G1054" i="2" s="1"/>
  <c r="H1054" i="2" s="1"/>
  <c r="C1054" i="5" s="1"/>
  <c r="D1054" i="2"/>
  <c r="E1054" i="2" s="1"/>
  <c r="B1054" i="5" s="1"/>
  <c r="B1054" i="2"/>
  <c r="C1054" i="2" s="1"/>
  <c r="A1054" i="5" s="1"/>
  <c r="O1053" i="2"/>
  <c r="L1053" i="2"/>
  <c r="M1053" i="2" s="1"/>
  <c r="N1053" i="2" s="1"/>
  <c r="E1053" i="5" s="1"/>
  <c r="I1053" i="2"/>
  <c r="J1053" i="2" s="1"/>
  <c r="K1053" i="2" s="1"/>
  <c r="F1053" i="2"/>
  <c r="G1053" i="2" s="1"/>
  <c r="H1053" i="2" s="1"/>
  <c r="C1053" i="5" s="1"/>
  <c r="D1053" i="2"/>
  <c r="E1053" i="2" s="1"/>
  <c r="B1053" i="5" s="1"/>
  <c r="B1053" i="2"/>
  <c r="C1053" i="2" s="1"/>
  <c r="O1052" i="2"/>
  <c r="L1052" i="2"/>
  <c r="M1052" i="2" s="1"/>
  <c r="N1052" i="2" s="1"/>
  <c r="I1052" i="2"/>
  <c r="J1052" i="2" s="1"/>
  <c r="K1052" i="2" s="1"/>
  <c r="Z1052" i="2" s="1"/>
  <c r="F1052" i="2"/>
  <c r="G1052" i="2" s="1"/>
  <c r="H1052" i="2" s="1"/>
  <c r="C1052" i="5" s="1"/>
  <c r="D1052" i="2"/>
  <c r="E1052" i="2" s="1"/>
  <c r="B1052" i="5" s="1"/>
  <c r="B1052" i="2"/>
  <c r="C1052" i="2" s="1"/>
  <c r="A1052" i="5" s="1"/>
  <c r="O1051" i="2"/>
  <c r="L1051" i="2"/>
  <c r="M1051" i="2" s="1"/>
  <c r="N1051" i="2" s="1"/>
  <c r="E1051" i="5" s="1"/>
  <c r="I1051" i="2"/>
  <c r="J1051" i="2" s="1"/>
  <c r="K1051" i="2" s="1"/>
  <c r="F1051" i="2"/>
  <c r="G1051" i="2" s="1"/>
  <c r="H1051" i="2" s="1"/>
  <c r="C1051" i="5" s="1"/>
  <c r="D1051" i="2"/>
  <c r="E1051" i="2" s="1"/>
  <c r="B1051" i="5" s="1"/>
  <c r="B1051" i="2"/>
  <c r="C1051" i="2" s="1"/>
  <c r="O1050" i="2"/>
  <c r="L1050" i="2"/>
  <c r="M1050" i="2" s="1"/>
  <c r="N1050" i="2" s="1"/>
  <c r="I1050" i="2"/>
  <c r="J1050" i="2" s="1"/>
  <c r="K1050" i="2" s="1"/>
  <c r="Z1050" i="2" s="1"/>
  <c r="F1050" i="2"/>
  <c r="G1050" i="2" s="1"/>
  <c r="H1050" i="2" s="1"/>
  <c r="C1050" i="5" s="1"/>
  <c r="D1050" i="2"/>
  <c r="E1050" i="2" s="1"/>
  <c r="B1050" i="5" s="1"/>
  <c r="B1050" i="2"/>
  <c r="C1050" i="2" s="1"/>
  <c r="A1050" i="5" s="1"/>
  <c r="O1049" i="2"/>
  <c r="L1049" i="2"/>
  <c r="M1049" i="2" s="1"/>
  <c r="N1049" i="2" s="1"/>
  <c r="E1049" i="5" s="1"/>
  <c r="I1049" i="2"/>
  <c r="J1049" i="2" s="1"/>
  <c r="K1049" i="2" s="1"/>
  <c r="F1049" i="2"/>
  <c r="G1049" i="2" s="1"/>
  <c r="H1049" i="2" s="1"/>
  <c r="C1049" i="5" s="1"/>
  <c r="D1049" i="2"/>
  <c r="E1049" i="2" s="1"/>
  <c r="B1049" i="5" s="1"/>
  <c r="B1049" i="2"/>
  <c r="C1049" i="2" s="1"/>
  <c r="O1048" i="2"/>
  <c r="L1048" i="2"/>
  <c r="M1048" i="2" s="1"/>
  <c r="N1048" i="2" s="1"/>
  <c r="I1048" i="2"/>
  <c r="J1048" i="2" s="1"/>
  <c r="K1048" i="2" s="1"/>
  <c r="F1048" i="2"/>
  <c r="G1048" i="2" s="1"/>
  <c r="H1048" i="2" s="1"/>
  <c r="C1048" i="5" s="1"/>
  <c r="D1048" i="2"/>
  <c r="E1048" i="2" s="1"/>
  <c r="B1048" i="5" s="1"/>
  <c r="B1048" i="2"/>
  <c r="C1048" i="2" s="1"/>
  <c r="O1047" i="2"/>
  <c r="L1047" i="2"/>
  <c r="M1047" i="2" s="1"/>
  <c r="N1047" i="2" s="1"/>
  <c r="I1047" i="2"/>
  <c r="J1047" i="2" s="1"/>
  <c r="K1047" i="2" s="1"/>
  <c r="F1047" i="2"/>
  <c r="G1047" i="2" s="1"/>
  <c r="H1047" i="2" s="1"/>
  <c r="C1047" i="5" s="1"/>
  <c r="D1047" i="2"/>
  <c r="E1047" i="2" s="1"/>
  <c r="B1047" i="5" s="1"/>
  <c r="B1047" i="2"/>
  <c r="C1047" i="2" s="1"/>
  <c r="O1046" i="2"/>
  <c r="L1046" i="2"/>
  <c r="M1046" i="2" s="1"/>
  <c r="N1046" i="2" s="1"/>
  <c r="I1046" i="2"/>
  <c r="J1046" i="2" s="1"/>
  <c r="K1046" i="2" s="1"/>
  <c r="F1046" i="2"/>
  <c r="G1046" i="2" s="1"/>
  <c r="H1046" i="2" s="1"/>
  <c r="C1046" i="5" s="1"/>
  <c r="D1046" i="2"/>
  <c r="E1046" i="2" s="1"/>
  <c r="B1046" i="5" s="1"/>
  <c r="B1046" i="2"/>
  <c r="C1046" i="2" s="1"/>
  <c r="O1045" i="2"/>
  <c r="L1045" i="2"/>
  <c r="M1045" i="2" s="1"/>
  <c r="N1045" i="2" s="1"/>
  <c r="I1045" i="2"/>
  <c r="J1045" i="2" s="1"/>
  <c r="K1045" i="2" s="1"/>
  <c r="F1045" i="2"/>
  <c r="G1045" i="2" s="1"/>
  <c r="H1045" i="2" s="1"/>
  <c r="C1045" i="5" s="1"/>
  <c r="D1045" i="2"/>
  <c r="E1045" i="2" s="1"/>
  <c r="B1045" i="5" s="1"/>
  <c r="B1045" i="2"/>
  <c r="C1045" i="2" s="1"/>
  <c r="O1044" i="2"/>
  <c r="L1044" i="2"/>
  <c r="M1044" i="2" s="1"/>
  <c r="N1044" i="2" s="1"/>
  <c r="I1044" i="2"/>
  <c r="J1044" i="2" s="1"/>
  <c r="K1044" i="2" s="1"/>
  <c r="F1044" i="2"/>
  <c r="G1044" i="2" s="1"/>
  <c r="H1044" i="2" s="1"/>
  <c r="C1044" i="5" s="1"/>
  <c r="D1044" i="2"/>
  <c r="E1044" i="2" s="1"/>
  <c r="B1044" i="5" s="1"/>
  <c r="B1044" i="2"/>
  <c r="C1044" i="2" s="1"/>
  <c r="O1043" i="2"/>
  <c r="L1043" i="2"/>
  <c r="M1043" i="2" s="1"/>
  <c r="N1043" i="2" s="1"/>
  <c r="I1043" i="2"/>
  <c r="J1043" i="2" s="1"/>
  <c r="K1043" i="2" s="1"/>
  <c r="F1043" i="2"/>
  <c r="G1043" i="2" s="1"/>
  <c r="H1043" i="2" s="1"/>
  <c r="C1043" i="5" s="1"/>
  <c r="D1043" i="2"/>
  <c r="E1043" i="2" s="1"/>
  <c r="B1043" i="5" s="1"/>
  <c r="B1043" i="2"/>
  <c r="C1043" i="2" s="1"/>
  <c r="O1042" i="2"/>
  <c r="L1042" i="2"/>
  <c r="M1042" i="2" s="1"/>
  <c r="N1042" i="2" s="1"/>
  <c r="I1042" i="2"/>
  <c r="J1042" i="2" s="1"/>
  <c r="K1042" i="2" s="1"/>
  <c r="F1042" i="2"/>
  <c r="G1042" i="2" s="1"/>
  <c r="H1042" i="2" s="1"/>
  <c r="C1042" i="5" s="1"/>
  <c r="D1042" i="2"/>
  <c r="E1042" i="2" s="1"/>
  <c r="B1042" i="5" s="1"/>
  <c r="B1042" i="2"/>
  <c r="C1042" i="2" s="1"/>
  <c r="O1041" i="2"/>
  <c r="L1041" i="2"/>
  <c r="M1041" i="2" s="1"/>
  <c r="N1041" i="2" s="1"/>
  <c r="I1041" i="2"/>
  <c r="J1041" i="2" s="1"/>
  <c r="K1041" i="2" s="1"/>
  <c r="F1041" i="2"/>
  <c r="G1041" i="2" s="1"/>
  <c r="H1041" i="2" s="1"/>
  <c r="C1041" i="5" s="1"/>
  <c r="D1041" i="2"/>
  <c r="E1041" i="2" s="1"/>
  <c r="B1041" i="5" s="1"/>
  <c r="B1041" i="2"/>
  <c r="C1041" i="2" s="1"/>
  <c r="O1040" i="2"/>
  <c r="L1040" i="2"/>
  <c r="M1040" i="2" s="1"/>
  <c r="N1040" i="2" s="1"/>
  <c r="I1040" i="2"/>
  <c r="J1040" i="2" s="1"/>
  <c r="K1040" i="2" s="1"/>
  <c r="Z1040" i="2" s="1"/>
  <c r="F1040" i="2"/>
  <c r="G1040" i="2" s="1"/>
  <c r="H1040" i="2" s="1"/>
  <c r="C1040" i="5" s="1"/>
  <c r="D1040" i="2"/>
  <c r="E1040" i="2" s="1"/>
  <c r="B1040" i="5" s="1"/>
  <c r="B1040" i="2"/>
  <c r="C1040" i="2" s="1"/>
  <c r="O1039" i="2"/>
  <c r="L1039" i="2"/>
  <c r="M1039" i="2" s="1"/>
  <c r="N1039" i="2" s="1"/>
  <c r="E1039" i="5" s="1"/>
  <c r="I1039" i="2"/>
  <c r="J1039" i="2" s="1"/>
  <c r="K1039" i="2" s="1"/>
  <c r="F1039" i="2"/>
  <c r="G1039" i="2" s="1"/>
  <c r="H1039" i="2" s="1"/>
  <c r="C1039" i="5" s="1"/>
  <c r="D1039" i="2"/>
  <c r="E1039" i="2" s="1"/>
  <c r="B1039" i="5" s="1"/>
  <c r="B1039" i="2"/>
  <c r="C1039" i="2" s="1"/>
  <c r="A1039" i="5" s="1"/>
  <c r="O1038" i="2"/>
  <c r="L1038" i="2"/>
  <c r="M1038" i="2" s="1"/>
  <c r="N1038" i="2" s="1"/>
  <c r="I1038" i="2"/>
  <c r="J1038" i="2" s="1"/>
  <c r="K1038" i="2" s="1"/>
  <c r="Z1038" i="2" s="1"/>
  <c r="F1038" i="2"/>
  <c r="G1038" i="2" s="1"/>
  <c r="H1038" i="2" s="1"/>
  <c r="C1038" i="5" s="1"/>
  <c r="D1038" i="2"/>
  <c r="E1038" i="2" s="1"/>
  <c r="B1038" i="5" s="1"/>
  <c r="B1038" i="2"/>
  <c r="C1038" i="2" s="1"/>
  <c r="O1037" i="2"/>
  <c r="L1037" i="2"/>
  <c r="M1037" i="2" s="1"/>
  <c r="N1037" i="2" s="1"/>
  <c r="E1037" i="5" s="1"/>
  <c r="I1037" i="2"/>
  <c r="J1037" i="2" s="1"/>
  <c r="K1037" i="2" s="1"/>
  <c r="F1037" i="2"/>
  <c r="G1037" i="2" s="1"/>
  <c r="H1037" i="2" s="1"/>
  <c r="C1037" i="5" s="1"/>
  <c r="D1037" i="2"/>
  <c r="E1037" i="2" s="1"/>
  <c r="B1037" i="5" s="1"/>
  <c r="B1037" i="2"/>
  <c r="C1037" i="2" s="1"/>
  <c r="A1037" i="5" s="1"/>
  <c r="O1036" i="2"/>
  <c r="L1036" i="2"/>
  <c r="M1036" i="2" s="1"/>
  <c r="N1036" i="2" s="1"/>
  <c r="I1036" i="2"/>
  <c r="J1036" i="2" s="1"/>
  <c r="K1036" i="2" s="1"/>
  <c r="Z1036" i="2" s="1"/>
  <c r="F1036" i="2"/>
  <c r="G1036" i="2" s="1"/>
  <c r="H1036" i="2" s="1"/>
  <c r="C1036" i="5" s="1"/>
  <c r="D1036" i="2"/>
  <c r="E1036" i="2" s="1"/>
  <c r="B1036" i="5" s="1"/>
  <c r="B1036" i="2"/>
  <c r="C1036" i="2" s="1"/>
  <c r="O1035" i="2"/>
  <c r="L1035" i="2"/>
  <c r="M1035" i="2" s="1"/>
  <c r="N1035" i="2" s="1"/>
  <c r="E1035" i="5" s="1"/>
  <c r="I1035" i="2"/>
  <c r="J1035" i="2" s="1"/>
  <c r="K1035" i="2" s="1"/>
  <c r="F1035" i="2"/>
  <c r="G1035" i="2" s="1"/>
  <c r="H1035" i="2" s="1"/>
  <c r="C1035" i="5" s="1"/>
  <c r="D1035" i="2"/>
  <c r="E1035" i="2" s="1"/>
  <c r="B1035" i="5" s="1"/>
  <c r="B1035" i="2"/>
  <c r="C1035" i="2" s="1"/>
  <c r="A1035" i="5" s="1"/>
  <c r="O1034" i="2"/>
  <c r="L1034" i="2"/>
  <c r="M1034" i="2" s="1"/>
  <c r="N1034" i="2" s="1"/>
  <c r="I1034" i="2"/>
  <c r="J1034" i="2" s="1"/>
  <c r="K1034" i="2" s="1"/>
  <c r="Z1034" i="2" s="1"/>
  <c r="F1034" i="2"/>
  <c r="G1034" i="2" s="1"/>
  <c r="H1034" i="2" s="1"/>
  <c r="C1034" i="5" s="1"/>
  <c r="D1034" i="2"/>
  <c r="E1034" i="2" s="1"/>
  <c r="B1034" i="5" s="1"/>
  <c r="B1034" i="2"/>
  <c r="C1034" i="2" s="1"/>
  <c r="O1033" i="2"/>
  <c r="L1033" i="2"/>
  <c r="M1033" i="2" s="1"/>
  <c r="N1033" i="2" s="1"/>
  <c r="E1033" i="5" s="1"/>
  <c r="I1033" i="2"/>
  <c r="J1033" i="2" s="1"/>
  <c r="K1033" i="2" s="1"/>
  <c r="F1033" i="2"/>
  <c r="G1033" i="2" s="1"/>
  <c r="H1033" i="2" s="1"/>
  <c r="C1033" i="5" s="1"/>
  <c r="D1033" i="2"/>
  <c r="E1033" i="2" s="1"/>
  <c r="B1033" i="5" s="1"/>
  <c r="B1033" i="2"/>
  <c r="C1033" i="2" s="1"/>
  <c r="A1033" i="5" s="1"/>
  <c r="O1032" i="2"/>
  <c r="L1032" i="2"/>
  <c r="M1032" i="2" s="1"/>
  <c r="N1032" i="2" s="1"/>
  <c r="I1032" i="2"/>
  <c r="J1032" i="2" s="1"/>
  <c r="K1032" i="2" s="1"/>
  <c r="Z1032" i="2" s="1"/>
  <c r="F1032" i="2"/>
  <c r="G1032" i="2" s="1"/>
  <c r="H1032" i="2" s="1"/>
  <c r="C1032" i="5" s="1"/>
  <c r="D1032" i="2"/>
  <c r="E1032" i="2" s="1"/>
  <c r="B1032" i="5" s="1"/>
  <c r="B1032" i="2"/>
  <c r="C1032" i="2" s="1"/>
  <c r="O1031" i="2"/>
  <c r="L1031" i="2"/>
  <c r="M1031" i="2" s="1"/>
  <c r="N1031" i="2" s="1"/>
  <c r="E1031" i="5" s="1"/>
  <c r="I1031" i="2"/>
  <c r="J1031" i="2" s="1"/>
  <c r="K1031" i="2" s="1"/>
  <c r="F1031" i="2"/>
  <c r="G1031" i="2" s="1"/>
  <c r="H1031" i="2" s="1"/>
  <c r="C1031" i="5" s="1"/>
  <c r="D1031" i="2"/>
  <c r="E1031" i="2" s="1"/>
  <c r="B1031" i="5" s="1"/>
  <c r="B1031" i="2"/>
  <c r="C1031" i="2" s="1"/>
  <c r="A1031" i="5" s="1"/>
  <c r="O1030" i="2"/>
  <c r="L1030" i="2"/>
  <c r="M1030" i="2" s="1"/>
  <c r="N1030" i="2" s="1"/>
  <c r="I1030" i="2"/>
  <c r="J1030" i="2" s="1"/>
  <c r="K1030" i="2" s="1"/>
  <c r="Z1030" i="2" s="1"/>
  <c r="F1030" i="2"/>
  <c r="G1030" i="2" s="1"/>
  <c r="H1030" i="2" s="1"/>
  <c r="C1030" i="5" s="1"/>
  <c r="D1030" i="2"/>
  <c r="E1030" i="2" s="1"/>
  <c r="B1030" i="5" s="1"/>
  <c r="B1030" i="2"/>
  <c r="C1030" i="2" s="1"/>
  <c r="O1029" i="2"/>
  <c r="L1029" i="2"/>
  <c r="M1029" i="2" s="1"/>
  <c r="N1029" i="2" s="1"/>
  <c r="E1029" i="5" s="1"/>
  <c r="I1029" i="2"/>
  <c r="J1029" i="2" s="1"/>
  <c r="K1029" i="2" s="1"/>
  <c r="F1029" i="2"/>
  <c r="G1029" i="2" s="1"/>
  <c r="H1029" i="2" s="1"/>
  <c r="C1029" i="5" s="1"/>
  <c r="D1029" i="2"/>
  <c r="E1029" i="2" s="1"/>
  <c r="B1029" i="5" s="1"/>
  <c r="B1029" i="2"/>
  <c r="C1029" i="2" s="1"/>
  <c r="A1029" i="5" s="1"/>
  <c r="O1028" i="2"/>
  <c r="L1028" i="2"/>
  <c r="M1028" i="2" s="1"/>
  <c r="N1028" i="2" s="1"/>
  <c r="I1028" i="2"/>
  <c r="J1028" i="2" s="1"/>
  <c r="K1028" i="2" s="1"/>
  <c r="Z1028" i="2" s="1"/>
  <c r="F1028" i="2"/>
  <c r="G1028" i="2" s="1"/>
  <c r="H1028" i="2" s="1"/>
  <c r="C1028" i="5" s="1"/>
  <c r="D1028" i="2"/>
  <c r="E1028" i="2" s="1"/>
  <c r="B1028" i="5" s="1"/>
  <c r="B1028" i="2"/>
  <c r="C1028" i="2" s="1"/>
  <c r="O1027" i="2"/>
  <c r="L1027" i="2"/>
  <c r="M1027" i="2" s="1"/>
  <c r="N1027" i="2" s="1"/>
  <c r="E1027" i="5" s="1"/>
  <c r="I1027" i="2"/>
  <c r="J1027" i="2" s="1"/>
  <c r="K1027" i="2" s="1"/>
  <c r="F1027" i="2"/>
  <c r="G1027" i="2" s="1"/>
  <c r="H1027" i="2" s="1"/>
  <c r="C1027" i="5" s="1"/>
  <c r="D1027" i="2"/>
  <c r="E1027" i="2" s="1"/>
  <c r="B1027" i="5" s="1"/>
  <c r="B1027" i="2"/>
  <c r="C1027" i="2" s="1"/>
  <c r="A1027" i="5" s="1"/>
  <c r="O1026" i="2"/>
  <c r="L1026" i="2"/>
  <c r="M1026" i="2" s="1"/>
  <c r="N1026" i="2" s="1"/>
  <c r="I1026" i="2"/>
  <c r="J1026" i="2" s="1"/>
  <c r="K1026" i="2" s="1"/>
  <c r="Z1026" i="2" s="1"/>
  <c r="F1026" i="2"/>
  <c r="G1026" i="2" s="1"/>
  <c r="H1026" i="2" s="1"/>
  <c r="C1026" i="5" s="1"/>
  <c r="D1026" i="2"/>
  <c r="E1026" i="2" s="1"/>
  <c r="B1026" i="5" s="1"/>
  <c r="B1026" i="2"/>
  <c r="C1026" i="2" s="1"/>
  <c r="O1025" i="2"/>
  <c r="L1025" i="2"/>
  <c r="M1025" i="2" s="1"/>
  <c r="N1025" i="2" s="1"/>
  <c r="E1025" i="5" s="1"/>
  <c r="I1025" i="2"/>
  <c r="J1025" i="2" s="1"/>
  <c r="K1025" i="2" s="1"/>
  <c r="F1025" i="2"/>
  <c r="G1025" i="2" s="1"/>
  <c r="H1025" i="2" s="1"/>
  <c r="C1025" i="5" s="1"/>
  <c r="D1025" i="2"/>
  <c r="E1025" i="2" s="1"/>
  <c r="B1025" i="5" s="1"/>
  <c r="B1025" i="2"/>
  <c r="C1025" i="2" s="1"/>
  <c r="A1025" i="5" s="1"/>
  <c r="O1024" i="2"/>
  <c r="L1024" i="2"/>
  <c r="M1024" i="2" s="1"/>
  <c r="N1024" i="2" s="1"/>
  <c r="I1024" i="2"/>
  <c r="J1024" i="2" s="1"/>
  <c r="K1024" i="2" s="1"/>
  <c r="Z1024" i="2" s="1"/>
  <c r="F1024" i="2"/>
  <c r="G1024" i="2" s="1"/>
  <c r="H1024" i="2" s="1"/>
  <c r="C1024" i="5" s="1"/>
  <c r="D1024" i="2"/>
  <c r="E1024" i="2" s="1"/>
  <c r="B1024" i="5" s="1"/>
  <c r="B1024" i="2"/>
  <c r="C1024" i="2" s="1"/>
  <c r="O1023" i="2"/>
  <c r="L1023" i="2"/>
  <c r="M1023" i="2" s="1"/>
  <c r="N1023" i="2" s="1"/>
  <c r="E1023" i="5" s="1"/>
  <c r="I1023" i="2"/>
  <c r="J1023" i="2" s="1"/>
  <c r="K1023" i="2" s="1"/>
  <c r="F1023" i="2"/>
  <c r="G1023" i="2" s="1"/>
  <c r="H1023" i="2" s="1"/>
  <c r="C1023" i="5" s="1"/>
  <c r="D1023" i="2"/>
  <c r="E1023" i="2" s="1"/>
  <c r="B1023" i="5" s="1"/>
  <c r="B1023" i="2"/>
  <c r="C1023" i="2" s="1"/>
  <c r="A1023" i="5" s="1"/>
  <c r="O1022" i="2"/>
  <c r="L1022" i="2"/>
  <c r="M1022" i="2" s="1"/>
  <c r="N1022" i="2" s="1"/>
  <c r="I1022" i="2"/>
  <c r="J1022" i="2" s="1"/>
  <c r="K1022" i="2" s="1"/>
  <c r="Z1022" i="2" s="1"/>
  <c r="F1022" i="2"/>
  <c r="G1022" i="2" s="1"/>
  <c r="H1022" i="2" s="1"/>
  <c r="C1022" i="5" s="1"/>
  <c r="D1022" i="2"/>
  <c r="E1022" i="2" s="1"/>
  <c r="B1022" i="5" s="1"/>
  <c r="B1022" i="2"/>
  <c r="C1022" i="2" s="1"/>
  <c r="O1021" i="2"/>
  <c r="L1021" i="2"/>
  <c r="M1021" i="2" s="1"/>
  <c r="N1021" i="2" s="1"/>
  <c r="E1021" i="5" s="1"/>
  <c r="I1021" i="2"/>
  <c r="J1021" i="2" s="1"/>
  <c r="K1021" i="2" s="1"/>
  <c r="F1021" i="2"/>
  <c r="G1021" i="2" s="1"/>
  <c r="H1021" i="2" s="1"/>
  <c r="C1021" i="5" s="1"/>
  <c r="D1021" i="2"/>
  <c r="E1021" i="2" s="1"/>
  <c r="B1021" i="5" s="1"/>
  <c r="B1021" i="2"/>
  <c r="C1021" i="2" s="1"/>
  <c r="A1021" i="5" s="1"/>
  <c r="O1020" i="2"/>
  <c r="L1020" i="2"/>
  <c r="M1020" i="2" s="1"/>
  <c r="N1020" i="2" s="1"/>
  <c r="I1020" i="2"/>
  <c r="J1020" i="2" s="1"/>
  <c r="K1020" i="2" s="1"/>
  <c r="Z1020" i="2" s="1"/>
  <c r="F1020" i="2"/>
  <c r="G1020" i="2" s="1"/>
  <c r="H1020" i="2" s="1"/>
  <c r="C1020" i="5" s="1"/>
  <c r="D1020" i="2"/>
  <c r="E1020" i="2" s="1"/>
  <c r="B1020" i="5" s="1"/>
  <c r="B1020" i="2"/>
  <c r="C1020" i="2" s="1"/>
  <c r="O1019" i="2"/>
  <c r="L1019" i="2"/>
  <c r="M1019" i="2" s="1"/>
  <c r="N1019" i="2" s="1"/>
  <c r="E1019" i="5" s="1"/>
  <c r="I1019" i="2"/>
  <c r="J1019" i="2" s="1"/>
  <c r="K1019" i="2" s="1"/>
  <c r="F1019" i="2"/>
  <c r="G1019" i="2" s="1"/>
  <c r="H1019" i="2" s="1"/>
  <c r="C1019" i="5" s="1"/>
  <c r="D1019" i="2"/>
  <c r="E1019" i="2" s="1"/>
  <c r="B1019" i="5" s="1"/>
  <c r="B1019" i="2"/>
  <c r="C1019" i="2" s="1"/>
  <c r="A1019" i="5" s="1"/>
  <c r="O1018" i="2"/>
  <c r="L1018" i="2"/>
  <c r="M1018" i="2" s="1"/>
  <c r="N1018" i="2" s="1"/>
  <c r="I1018" i="2"/>
  <c r="J1018" i="2" s="1"/>
  <c r="K1018" i="2" s="1"/>
  <c r="Z1018" i="2" s="1"/>
  <c r="F1018" i="2"/>
  <c r="G1018" i="2" s="1"/>
  <c r="H1018" i="2" s="1"/>
  <c r="C1018" i="5" s="1"/>
  <c r="D1018" i="2"/>
  <c r="E1018" i="2" s="1"/>
  <c r="B1018" i="5" s="1"/>
  <c r="B1018" i="2"/>
  <c r="C1018" i="2" s="1"/>
  <c r="O1017" i="2"/>
  <c r="L1017" i="2"/>
  <c r="M1017" i="2" s="1"/>
  <c r="N1017" i="2" s="1"/>
  <c r="E1017" i="5" s="1"/>
  <c r="I1017" i="2"/>
  <c r="J1017" i="2" s="1"/>
  <c r="K1017" i="2" s="1"/>
  <c r="F1017" i="2"/>
  <c r="G1017" i="2" s="1"/>
  <c r="H1017" i="2" s="1"/>
  <c r="C1017" i="5" s="1"/>
  <c r="D1017" i="2"/>
  <c r="E1017" i="2" s="1"/>
  <c r="B1017" i="5" s="1"/>
  <c r="B1017" i="2"/>
  <c r="C1017" i="2" s="1"/>
  <c r="A1017" i="5" s="1"/>
  <c r="O1016" i="2"/>
  <c r="L1016" i="2"/>
  <c r="M1016" i="2" s="1"/>
  <c r="N1016" i="2" s="1"/>
  <c r="I1016" i="2"/>
  <c r="J1016" i="2" s="1"/>
  <c r="K1016" i="2" s="1"/>
  <c r="Z1016" i="2" s="1"/>
  <c r="F1016" i="2"/>
  <c r="G1016" i="2" s="1"/>
  <c r="H1016" i="2" s="1"/>
  <c r="C1016" i="5" s="1"/>
  <c r="D1016" i="2"/>
  <c r="E1016" i="2" s="1"/>
  <c r="B1016" i="5" s="1"/>
  <c r="B1016" i="2"/>
  <c r="C1016" i="2" s="1"/>
  <c r="O1015" i="2"/>
  <c r="L1015" i="2"/>
  <c r="M1015" i="2" s="1"/>
  <c r="N1015" i="2" s="1"/>
  <c r="E1015" i="5" s="1"/>
  <c r="I1015" i="2"/>
  <c r="J1015" i="2" s="1"/>
  <c r="K1015" i="2" s="1"/>
  <c r="F1015" i="2"/>
  <c r="G1015" i="2" s="1"/>
  <c r="H1015" i="2" s="1"/>
  <c r="C1015" i="5" s="1"/>
  <c r="D1015" i="2"/>
  <c r="E1015" i="2" s="1"/>
  <c r="B1015" i="5" s="1"/>
  <c r="B1015" i="2"/>
  <c r="C1015" i="2" s="1"/>
  <c r="A1015" i="5" s="1"/>
  <c r="O1014" i="2"/>
  <c r="L1014" i="2"/>
  <c r="M1014" i="2" s="1"/>
  <c r="N1014" i="2" s="1"/>
  <c r="I1014" i="2"/>
  <c r="J1014" i="2" s="1"/>
  <c r="K1014" i="2" s="1"/>
  <c r="Z1014" i="2" s="1"/>
  <c r="F1014" i="2"/>
  <c r="G1014" i="2" s="1"/>
  <c r="H1014" i="2" s="1"/>
  <c r="C1014" i="5" s="1"/>
  <c r="D1014" i="2"/>
  <c r="E1014" i="2" s="1"/>
  <c r="B1014" i="5" s="1"/>
  <c r="B1014" i="2"/>
  <c r="C1014" i="2" s="1"/>
  <c r="O1013" i="2"/>
  <c r="L1013" i="2"/>
  <c r="M1013" i="2" s="1"/>
  <c r="N1013" i="2" s="1"/>
  <c r="E1013" i="5" s="1"/>
  <c r="I1013" i="2"/>
  <c r="J1013" i="2" s="1"/>
  <c r="K1013" i="2" s="1"/>
  <c r="F1013" i="2"/>
  <c r="G1013" i="2" s="1"/>
  <c r="H1013" i="2" s="1"/>
  <c r="C1013" i="5" s="1"/>
  <c r="D1013" i="2"/>
  <c r="E1013" i="2" s="1"/>
  <c r="B1013" i="5" s="1"/>
  <c r="B1013" i="2"/>
  <c r="C1013" i="2" s="1"/>
  <c r="A1013" i="5" s="1"/>
  <c r="O1012" i="2"/>
  <c r="L1012" i="2"/>
  <c r="M1012" i="2" s="1"/>
  <c r="N1012" i="2" s="1"/>
  <c r="I1012" i="2"/>
  <c r="J1012" i="2" s="1"/>
  <c r="K1012" i="2" s="1"/>
  <c r="Z1012" i="2" s="1"/>
  <c r="F1012" i="2"/>
  <c r="G1012" i="2" s="1"/>
  <c r="H1012" i="2" s="1"/>
  <c r="C1012" i="5" s="1"/>
  <c r="D1012" i="2"/>
  <c r="E1012" i="2" s="1"/>
  <c r="B1012" i="5" s="1"/>
  <c r="B1012" i="2"/>
  <c r="C1012" i="2" s="1"/>
  <c r="O1011" i="2"/>
  <c r="L1011" i="2"/>
  <c r="M1011" i="2" s="1"/>
  <c r="N1011" i="2" s="1"/>
  <c r="E1011" i="5" s="1"/>
  <c r="I1011" i="2"/>
  <c r="J1011" i="2" s="1"/>
  <c r="K1011" i="2" s="1"/>
  <c r="F1011" i="2"/>
  <c r="G1011" i="2" s="1"/>
  <c r="H1011" i="2" s="1"/>
  <c r="C1011" i="5" s="1"/>
  <c r="D1011" i="2"/>
  <c r="E1011" i="2" s="1"/>
  <c r="B1011" i="5" s="1"/>
  <c r="B1011" i="2"/>
  <c r="C1011" i="2" s="1"/>
  <c r="A1011" i="5" s="1"/>
  <c r="O1010" i="2"/>
  <c r="L1010" i="2"/>
  <c r="M1010" i="2" s="1"/>
  <c r="N1010" i="2" s="1"/>
  <c r="I1010" i="2"/>
  <c r="J1010" i="2" s="1"/>
  <c r="K1010" i="2" s="1"/>
  <c r="Z1010" i="2" s="1"/>
  <c r="F1010" i="2"/>
  <c r="G1010" i="2" s="1"/>
  <c r="H1010" i="2" s="1"/>
  <c r="C1010" i="5" s="1"/>
  <c r="D1010" i="2"/>
  <c r="E1010" i="2" s="1"/>
  <c r="B1010" i="5" s="1"/>
  <c r="B1010" i="2"/>
  <c r="C1010" i="2" s="1"/>
  <c r="O1009" i="2"/>
  <c r="L1009" i="2"/>
  <c r="M1009" i="2" s="1"/>
  <c r="N1009" i="2" s="1"/>
  <c r="E1009" i="5" s="1"/>
  <c r="I1009" i="2"/>
  <c r="J1009" i="2" s="1"/>
  <c r="K1009" i="2" s="1"/>
  <c r="F1009" i="2"/>
  <c r="G1009" i="2" s="1"/>
  <c r="H1009" i="2" s="1"/>
  <c r="C1009" i="5" s="1"/>
  <c r="D1009" i="2"/>
  <c r="E1009" i="2" s="1"/>
  <c r="B1009" i="5" s="1"/>
  <c r="B1009" i="2"/>
  <c r="C1009" i="2" s="1"/>
  <c r="A1009" i="5" s="1"/>
  <c r="O1008" i="2"/>
  <c r="L1008" i="2"/>
  <c r="M1008" i="2" s="1"/>
  <c r="N1008" i="2" s="1"/>
  <c r="I1008" i="2"/>
  <c r="J1008" i="2" s="1"/>
  <c r="K1008" i="2" s="1"/>
  <c r="Z1008" i="2" s="1"/>
  <c r="F1008" i="2"/>
  <c r="G1008" i="2" s="1"/>
  <c r="H1008" i="2" s="1"/>
  <c r="C1008" i="5" s="1"/>
  <c r="D1008" i="2"/>
  <c r="E1008" i="2" s="1"/>
  <c r="B1008" i="5" s="1"/>
  <c r="B1008" i="2"/>
  <c r="C1008" i="2" s="1"/>
  <c r="O1007" i="2"/>
  <c r="L1007" i="2"/>
  <c r="M1007" i="2" s="1"/>
  <c r="N1007" i="2" s="1"/>
  <c r="E1007" i="5" s="1"/>
  <c r="I1007" i="2"/>
  <c r="J1007" i="2" s="1"/>
  <c r="K1007" i="2" s="1"/>
  <c r="F1007" i="2"/>
  <c r="G1007" i="2" s="1"/>
  <c r="H1007" i="2" s="1"/>
  <c r="C1007" i="5" s="1"/>
  <c r="D1007" i="2"/>
  <c r="E1007" i="2" s="1"/>
  <c r="B1007" i="5" s="1"/>
  <c r="B1007" i="2"/>
  <c r="C1007" i="2" s="1"/>
  <c r="A1007" i="5" s="1"/>
  <c r="O1006" i="2"/>
  <c r="L1006" i="2"/>
  <c r="M1006" i="2" s="1"/>
  <c r="N1006" i="2" s="1"/>
  <c r="I1006" i="2"/>
  <c r="J1006" i="2" s="1"/>
  <c r="K1006" i="2" s="1"/>
  <c r="Z1006" i="2" s="1"/>
  <c r="F1006" i="2"/>
  <c r="G1006" i="2" s="1"/>
  <c r="H1006" i="2" s="1"/>
  <c r="C1006" i="5" s="1"/>
  <c r="D1006" i="2"/>
  <c r="E1006" i="2" s="1"/>
  <c r="B1006" i="5" s="1"/>
  <c r="B1006" i="2"/>
  <c r="C1006" i="2" s="1"/>
  <c r="O1005" i="2"/>
  <c r="L1005" i="2"/>
  <c r="M1005" i="2" s="1"/>
  <c r="N1005" i="2" s="1"/>
  <c r="E1005" i="5" s="1"/>
  <c r="I1005" i="2"/>
  <c r="J1005" i="2" s="1"/>
  <c r="K1005" i="2" s="1"/>
  <c r="F1005" i="2"/>
  <c r="G1005" i="2" s="1"/>
  <c r="H1005" i="2" s="1"/>
  <c r="C1005" i="5" s="1"/>
  <c r="D1005" i="2"/>
  <c r="E1005" i="2" s="1"/>
  <c r="B1005" i="5" s="1"/>
  <c r="B1005" i="2"/>
  <c r="C1005" i="2" s="1"/>
  <c r="A1005" i="5" s="1"/>
  <c r="O1004" i="2"/>
  <c r="L1004" i="2"/>
  <c r="M1004" i="2" s="1"/>
  <c r="N1004" i="2" s="1"/>
  <c r="I1004" i="2"/>
  <c r="J1004" i="2" s="1"/>
  <c r="K1004" i="2" s="1"/>
  <c r="Z1004" i="2" s="1"/>
  <c r="F1004" i="2"/>
  <c r="G1004" i="2" s="1"/>
  <c r="H1004" i="2" s="1"/>
  <c r="C1004" i="5" s="1"/>
  <c r="D1004" i="2"/>
  <c r="E1004" i="2" s="1"/>
  <c r="B1004" i="5" s="1"/>
  <c r="B1004" i="2"/>
  <c r="C1004" i="2" s="1"/>
  <c r="O1003" i="2"/>
  <c r="L1003" i="2"/>
  <c r="M1003" i="2" s="1"/>
  <c r="N1003" i="2" s="1"/>
  <c r="E1003" i="5" s="1"/>
  <c r="I1003" i="2"/>
  <c r="J1003" i="2" s="1"/>
  <c r="K1003" i="2" s="1"/>
  <c r="F1003" i="2"/>
  <c r="G1003" i="2" s="1"/>
  <c r="H1003" i="2" s="1"/>
  <c r="C1003" i="5" s="1"/>
  <c r="D1003" i="2"/>
  <c r="E1003" i="2" s="1"/>
  <c r="B1003" i="5" s="1"/>
  <c r="B1003" i="2"/>
  <c r="C1003" i="2" s="1"/>
  <c r="A1003" i="5" s="1"/>
  <c r="O1002" i="2"/>
  <c r="L1002" i="2"/>
  <c r="M1002" i="2" s="1"/>
  <c r="N1002" i="2" s="1"/>
  <c r="I1002" i="2"/>
  <c r="J1002" i="2" s="1"/>
  <c r="K1002" i="2" s="1"/>
  <c r="Z1002" i="2" s="1"/>
  <c r="F1002" i="2"/>
  <c r="G1002" i="2" s="1"/>
  <c r="H1002" i="2" s="1"/>
  <c r="C1002" i="5" s="1"/>
  <c r="D1002" i="2"/>
  <c r="E1002" i="2" s="1"/>
  <c r="B1002" i="5" s="1"/>
  <c r="B1002" i="2"/>
  <c r="C1002" i="2" s="1"/>
  <c r="O1001" i="2"/>
  <c r="L1001" i="2"/>
  <c r="M1001" i="2" s="1"/>
  <c r="N1001" i="2" s="1"/>
  <c r="E1001" i="5" s="1"/>
  <c r="I1001" i="2"/>
  <c r="J1001" i="2" s="1"/>
  <c r="K1001" i="2" s="1"/>
  <c r="F1001" i="2"/>
  <c r="G1001" i="2" s="1"/>
  <c r="H1001" i="2" s="1"/>
  <c r="C1001" i="5" s="1"/>
  <c r="D1001" i="2"/>
  <c r="E1001" i="2" s="1"/>
  <c r="B1001" i="5" s="1"/>
  <c r="B1001" i="2"/>
  <c r="C1001" i="2" s="1"/>
  <c r="A1001" i="5" s="1"/>
  <c r="O1000" i="2"/>
  <c r="L1000" i="2"/>
  <c r="M1000" i="2" s="1"/>
  <c r="N1000" i="2" s="1"/>
  <c r="I1000" i="2"/>
  <c r="J1000" i="2" s="1"/>
  <c r="K1000" i="2" s="1"/>
  <c r="Z1000" i="2" s="1"/>
  <c r="F1000" i="2"/>
  <c r="G1000" i="2" s="1"/>
  <c r="H1000" i="2" s="1"/>
  <c r="C1000" i="5" s="1"/>
  <c r="D1000" i="2"/>
  <c r="E1000" i="2" s="1"/>
  <c r="B1000" i="5" s="1"/>
  <c r="B1000" i="2"/>
  <c r="C1000" i="2" s="1"/>
  <c r="O999" i="2"/>
  <c r="L999" i="2"/>
  <c r="M999" i="2" s="1"/>
  <c r="N999" i="2" s="1"/>
  <c r="E999" i="5" s="1"/>
  <c r="I999" i="2"/>
  <c r="J999" i="2" s="1"/>
  <c r="K999" i="2" s="1"/>
  <c r="F999" i="2"/>
  <c r="G999" i="2" s="1"/>
  <c r="H999" i="2" s="1"/>
  <c r="C999" i="5" s="1"/>
  <c r="D999" i="2"/>
  <c r="E999" i="2" s="1"/>
  <c r="B999" i="5" s="1"/>
  <c r="B999" i="2"/>
  <c r="C999" i="2" s="1"/>
  <c r="A999" i="5" s="1"/>
  <c r="O998" i="2"/>
  <c r="L998" i="2"/>
  <c r="M998" i="2" s="1"/>
  <c r="N998" i="2" s="1"/>
  <c r="I998" i="2"/>
  <c r="J998" i="2" s="1"/>
  <c r="K998" i="2" s="1"/>
  <c r="Z998" i="2" s="1"/>
  <c r="F998" i="2"/>
  <c r="G998" i="2" s="1"/>
  <c r="H998" i="2" s="1"/>
  <c r="C998" i="5" s="1"/>
  <c r="D998" i="2"/>
  <c r="E998" i="2" s="1"/>
  <c r="B998" i="5" s="1"/>
  <c r="B998" i="2"/>
  <c r="C998" i="2" s="1"/>
  <c r="O997" i="2"/>
  <c r="L997" i="2"/>
  <c r="M997" i="2" s="1"/>
  <c r="N997" i="2" s="1"/>
  <c r="E997" i="5" s="1"/>
  <c r="I997" i="2"/>
  <c r="J997" i="2" s="1"/>
  <c r="K997" i="2" s="1"/>
  <c r="F997" i="2"/>
  <c r="G997" i="2" s="1"/>
  <c r="H997" i="2" s="1"/>
  <c r="C997" i="5" s="1"/>
  <c r="D997" i="2"/>
  <c r="E997" i="2" s="1"/>
  <c r="B997" i="5" s="1"/>
  <c r="B997" i="2"/>
  <c r="C997" i="2" s="1"/>
  <c r="A997" i="5" s="1"/>
  <c r="O996" i="2"/>
  <c r="L996" i="2"/>
  <c r="M996" i="2" s="1"/>
  <c r="N996" i="2" s="1"/>
  <c r="I996" i="2"/>
  <c r="J996" i="2" s="1"/>
  <c r="K996" i="2" s="1"/>
  <c r="Z996" i="2" s="1"/>
  <c r="F996" i="2"/>
  <c r="G996" i="2" s="1"/>
  <c r="H996" i="2" s="1"/>
  <c r="C996" i="5" s="1"/>
  <c r="D996" i="2"/>
  <c r="E996" i="2" s="1"/>
  <c r="B996" i="5" s="1"/>
  <c r="B996" i="2"/>
  <c r="C996" i="2" s="1"/>
  <c r="O995" i="2"/>
  <c r="L995" i="2"/>
  <c r="M995" i="2" s="1"/>
  <c r="N995" i="2" s="1"/>
  <c r="E995" i="5" s="1"/>
  <c r="I995" i="2"/>
  <c r="J995" i="2" s="1"/>
  <c r="K995" i="2" s="1"/>
  <c r="F995" i="2"/>
  <c r="G995" i="2" s="1"/>
  <c r="H995" i="2" s="1"/>
  <c r="C995" i="5" s="1"/>
  <c r="D995" i="2"/>
  <c r="E995" i="2" s="1"/>
  <c r="B995" i="5" s="1"/>
  <c r="B995" i="2"/>
  <c r="C995" i="2" s="1"/>
  <c r="A995" i="5" s="1"/>
  <c r="O994" i="2"/>
  <c r="L994" i="2"/>
  <c r="M994" i="2" s="1"/>
  <c r="N994" i="2" s="1"/>
  <c r="I994" i="2"/>
  <c r="J994" i="2" s="1"/>
  <c r="K994" i="2" s="1"/>
  <c r="Z994" i="2" s="1"/>
  <c r="F994" i="2"/>
  <c r="G994" i="2" s="1"/>
  <c r="H994" i="2" s="1"/>
  <c r="C994" i="5" s="1"/>
  <c r="D994" i="2"/>
  <c r="E994" i="2" s="1"/>
  <c r="B994" i="5" s="1"/>
  <c r="B994" i="2"/>
  <c r="C994" i="2" s="1"/>
  <c r="O993" i="2"/>
  <c r="L993" i="2"/>
  <c r="M993" i="2" s="1"/>
  <c r="N993" i="2" s="1"/>
  <c r="E993" i="5" s="1"/>
  <c r="I993" i="2"/>
  <c r="J993" i="2" s="1"/>
  <c r="K993" i="2" s="1"/>
  <c r="F993" i="2"/>
  <c r="G993" i="2" s="1"/>
  <c r="H993" i="2" s="1"/>
  <c r="C993" i="5" s="1"/>
  <c r="D993" i="2"/>
  <c r="E993" i="2" s="1"/>
  <c r="B993" i="5" s="1"/>
  <c r="B993" i="2"/>
  <c r="C993" i="2" s="1"/>
  <c r="A993" i="5" s="1"/>
  <c r="O992" i="2"/>
  <c r="L992" i="2"/>
  <c r="M992" i="2" s="1"/>
  <c r="N992" i="2" s="1"/>
  <c r="I992" i="2"/>
  <c r="J992" i="2" s="1"/>
  <c r="K992" i="2" s="1"/>
  <c r="Z992" i="2" s="1"/>
  <c r="F992" i="2"/>
  <c r="G992" i="2" s="1"/>
  <c r="H992" i="2" s="1"/>
  <c r="C992" i="5" s="1"/>
  <c r="D992" i="2"/>
  <c r="E992" i="2" s="1"/>
  <c r="B992" i="5" s="1"/>
  <c r="B992" i="2"/>
  <c r="C992" i="2" s="1"/>
  <c r="O991" i="2"/>
  <c r="L991" i="2"/>
  <c r="M991" i="2" s="1"/>
  <c r="N991" i="2" s="1"/>
  <c r="E991" i="5" s="1"/>
  <c r="I991" i="2"/>
  <c r="J991" i="2" s="1"/>
  <c r="K991" i="2" s="1"/>
  <c r="F991" i="2"/>
  <c r="G991" i="2" s="1"/>
  <c r="H991" i="2" s="1"/>
  <c r="C991" i="5" s="1"/>
  <c r="D991" i="2"/>
  <c r="E991" i="2" s="1"/>
  <c r="B991" i="5" s="1"/>
  <c r="B991" i="2"/>
  <c r="C991" i="2" s="1"/>
  <c r="A991" i="5" s="1"/>
  <c r="O990" i="2"/>
  <c r="L990" i="2"/>
  <c r="M990" i="2" s="1"/>
  <c r="N990" i="2" s="1"/>
  <c r="I990" i="2"/>
  <c r="J990" i="2" s="1"/>
  <c r="K990" i="2" s="1"/>
  <c r="Z990" i="2" s="1"/>
  <c r="F990" i="2"/>
  <c r="G990" i="2" s="1"/>
  <c r="H990" i="2" s="1"/>
  <c r="C990" i="5" s="1"/>
  <c r="D990" i="2"/>
  <c r="E990" i="2" s="1"/>
  <c r="B990" i="5" s="1"/>
  <c r="B990" i="2"/>
  <c r="C990" i="2" s="1"/>
  <c r="O989" i="2"/>
  <c r="L989" i="2"/>
  <c r="M989" i="2" s="1"/>
  <c r="N989" i="2" s="1"/>
  <c r="E989" i="5" s="1"/>
  <c r="I989" i="2"/>
  <c r="J989" i="2" s="1"/>
  <c r="K989" i="2" s="1"/>
  <c r="F989" i="2"/>
  <c r="G989" i="2" s="1"/>
  <c r="H989" i="2" s="1"/>
  <c r="C989" i="5" s="1"/>
  <c r="D989" i="2"/>
  <c r="E989" i="2" s="1"/>
  <c r="B989" i="5" s="1"/>
  <c r="B989" i="2"/>
  <c r="C989" i="2" s="1"/>
  <c r="A989" i="5" s="1"/>
  <c r="O988" i="2"/>
  <c r="L988" i="2"/>
  <c r="M988" i="2" s="1"/>
  <c r="N988" i="2" s="1"/>
  <c r="I988" i="2"/>
  <c r="J988" i="2" s="1"/>
  <c r="K988" i="2" s="1"/>
  <c r="Z988" i="2" s="1"/>
  <c r="F988" i="2"/>
  <c r="G988" i="2" s="1"/>
  <c r="H988" i="2" s="1"/>
  <c r="C988" i="5" s="1"/>
  <c r="D988" i="2"/>
  <c r="E988" i="2" s="1"/>
  <c r="B988" i="5" s="1"/>
  <c r="B988" i="2"/>
  <c r="C988" i="2" s="1"/>
  <c r="O987" i="2"/>
  <c r="L987" i="2"/>
  <c r="M987" i="2" s="1"/>
  <c r="N987" i="2" s="1"/>
  <c r="E987" i="5" s="1"/>
  <c r="I987" i="2"/>
  <c r="J987" i="2" s="1"/>
  <c r="K987" i="2" s="1"/>
  <c r="F987" i="2"/>
  <c r="G987" i="2" s="1"/>
  <c r="H987" i="2" s="1"/>
  <c r="C987" i="5" s="1"/>
  <c r="D987" i="2"/>
  <c r="E987" i="2" s="1"/>
  <c r="B987" i="5" s="1"/>
  <c r="B987" i="2"/>
  <c r="C987" i="2" s="1"/>
  <c r="A987" i="5" s="1"/>
  <c r="O986" i="2"/>
  <c r="L986" i="2"/>
  <c r="M986" i="2" s="1"/>
  <c r="N986" i="2" s="1"/>
  <c r="I986" i="2"/>
  <c r="J986" i="2" s="1"/>
  <c r="K986" i="2" s="1"/>
  <c r="Z986" i="2" s="1"/>
  <c r="F986" i="2"/>
  <c r="G986" i="2" s="1"/>
  <c r="H986" i="2" s="1"/>
  <c r="C986" i="5" s="1"/>
  <c r="D986" i="2"/>
  <c r="E986" i="2" s="1"/>
  <c r="B986" i="5" s="1"/>
  <c r="B986" i="2"/>
  <c r="C986" i="2" s="1"/>
  <c r="O985" i="2"/>
  <c r="L985" i="2"/>
  <c r="M985" i="2" s="1"/>
  <c r="N985" i="2" s="1"/>
  <c r="E985" i="5" s="1"/>
  <c r="I985" i="2"/>
  <c r="J985" i="2" s="1"/>
  <c r="K985" i="2" s="1"/>
  <c r="F985" i="2"/>
  <c r="G985" i="2" s="1"/>
  <c r="H985" i="2" s="1"/>
  <c r="C985" i="5" s="1"/>
  <c r="D985" i="2"/>
  <c r="E985" i="2" s="1"/>
  <c r="B985" i="5" s="1"/>
  <c r="B985" i="2"/>
  <c r="C985" i="2" s="1"/>
  <c r="A985" i="5" s="1"/>
  <c r="O984" i="2"/>
  <c r="L984" i="2"/>
  <c r="M984" i="2" s="1"/>
  <c r="N984" i="2" s="1"/>
  <c r="I984" i="2"/>
  <c r="J984" i="2" s="1"/>
  <c r="K984" i="2" s="1"/>
  <c r="Z984" i="2" s="1"/>
  <c r="F984" i="2"/>
  <c r="G984" i="2" s="1"/>
  <c r="H984" i="2" s="1"/>
  <c r="C984" i="5" s="1"/>
  <c r="D984" i="2"/>
  <c r="E984" i="2" s="1"/>
  <c r="B984" i="5" s="1"/>
  <c r="B984" i="2"/>
  <c r="C984" i="2" s="1"/>
  <c r="O983" i="2"/>
  <c r="L983" i="2"/>
  <c r="M983" i="2" s="1"/>
  <c r="N983" i="2" s="1"/>
  <c r="E983" i="5" s="1"/>
  <c r="I983" i="2"/>
  <c r="J983" i="2" s="1"/>
  <c r="K983" i="2" s="1"/>
  <c r="F983" i="2"/>
  <c r="G983" i="2" s="1"/>
  <c r="H983" i="2" s="1"/>
  <c r="C983" i="5" s="1"/>
  <c r="D983" i="2"/>
  <c r="E983" i="2" s="1"/>
  <c r="B983" i="5" s="1"/>
  <c r="B983" i="2"/>
  <c r="C983" i="2" s="1"/>
  <c r="A983" i="5" s="1"/>
  <c r="O982" i="2"/>
  <c r="L982" i="2"/>
  <c r="M982" i="2" s="1"/>
  <c r="N982" i="2" s="1"/>
  <c r="I982" i="2"/>
  <c r="J982" i="2" s="1"/>
  <c r="K982" i="2" s="1"/>
  <c r="Z982" i="2" s="1"/>
  <c r="F982" i="2"/>
  <c r="G982" i="2" s="1"/>
  <c r="H982" i="2" s="1"/>
  <c r="C982" i="5" s="1"/>
  <c r="D982" i="2"/>
  <c r="E982" i="2" s="1"/>
  <c r="B982" i="5" s="1"/>
  <c r="B982" i="2"/>
  <c r="C982" i="2" s="1"/>
  <c r="O981" i="2"/>
  <c r="L981" i="2"/>
  <c r="M981" i="2" s="1"/>
  <c r="N981" i="2" s="1"/>
  <c r="E981" i="5" s="1"/>
  <c r="I981" i="2"/>
  <c r="J981" i="2" s="1"/>
  <c r="K981" i="2" s="1"/>
  <c r="F981" i="2"/>
  <c r="G981" i="2" s="1"/>
  <c r="H981" i="2" s="1"/>
  <c r="C981" i="5" s="1"/>
  <c r="D981" i="2"/>
  <c r="E981" i="2" s="1"/>
  <c r="B981" i="5" s="1"/>
  <c r="B981" i="2"/>
  <c r="C981" i="2" s="1"/>
  <c r="A981" i="5" s="1"/>
  <c r="O980" i="2"/>
  <c r="L980" i="2"/>
  <c r="M980" i="2" s="1"/>
  <c r="N980" i="2" s="1"/>
  <c r="I980" i="2"/>
  <c r="J980" i="2" s="1"/>
  <c r="K980" i="2" s="1"/>
  <c r="Z980" i="2" s="1"/>
  <c r="F980" i="2"/>
  <c r="G980" i="2" s="1"/>
  <c r="H980" i="2" s="1"/>
  <c r="C980" i="5" s="1"/>
  <c r="D980" i="2"/>
  <c r="E980" i="2" s="1"/>
  <c r="B980" i="5" s="1"/>
  <c r="B980" i="2"/>
  <c r="C980" i="2" s="1"/>
  <c r="O979" i="2"/>
  <c r="L979" i="2"/>
  <c r="M979" i="2" s="1"/>
  <c r="N979" i="2" s="1"/>
  <c r="E979" i="5" s="1"/>
  <c r="I979" i="2"/>
  <c r="J979" i="2" s="1"/>
  <c r="K979" i="2" s="1"/>
  <c r="F979" i="2"/>
  <c r="G979" i="2" s="1"/>
  <c r="H979" i="2" s="1"/>
  <c r="C979" i="5" s="1"/>
  <c r="D979" i="2"/>
  <c r="E979" i="2" s="1"/>
  <c r="B979" i="5" s="1"/>
  <c r="B979" i="2"/>
  <c r="C979" i="2" s="1"/>
  <c r="A979" i="5" s="1"/>
  <c r="O978" i="2"/>
  <c r="L978" i="2"/>
  <c r="M978" i="2" s="1"/>
  <c r="N978" i="2" s="1"/>
  <c r="I978" i="2"/>
  <c r="J978" i="2" s="1"/>
  <c r="K978" i="2" s="1"/>
  <c r="Z978" i="2" s="1"/>
  <c r="F978" i="2"/>
  <c r="G978" i="2" s="1"/>
  <c r="H978" i="2" s="1"/>
  <c r="C978" i="5" s="1"/>
  <c r="D978" i="2"/>
  <c r="E978" i="2" s="1"/>
  <c r="B978" i="5" s="1"/>
  <c r="B978" i="2"/>
  <c r="C978" i="2" s="1"/>
  <c r="O977" i="2"/>
  <c r="L977" i="2"/>
  <c r="M977" i="2" s="1"/>
  <c r="N977" i="2" s="1"/>
  <c r="E977" i="5" s="1"/>
  <c r="I977" i="2"/>
  <c r="J977" i="2" s="1"/>
  <c r="K977" i="2" s="1"/>
  <c r="F977" i="2"/>
  <c r="G977" i="2" s="1"/>
  <c r="H977" i="2" s="1"/>
  <c r="C977" i="5" s="1"/>
  <c r="D977" i="2"/>
  <c r="E977" i="2" s="1"/>
  <c r="B977" i="5" s="1"/>
  <c r="B977" i="2"/>
  <c r="C977" i="2" s="1"/>
  <c r="A977" i="5" s="1"/>
  <c r="O976" i="2"/>
  <c r="L976" i="2"/>
  <c r="M976" i="2" s="1"/>
  <c r="N976" i="2" s="1"/>
  <c r="I976" i="2"/>
  <c r="J976" i="2" s="1"/>
  <c r="K976" i="2" s="1"/>
  <c r="Z976" i="2" s="1"/>
  <c r="F976" i="2"/>
  <c r="G976" i="2" s="1"/>
  <c r="H976" i="2" s="1"/>
  <c r="C976" i="5" s="1"/>
  <c r="D976" i="2"/>
  <c r="E976" i="2" s="1"/>
  <c r="B976" i="5" s="1"/>
  <c r="B976" i="2"/>
  <c r="C976" i="2" s="1"/>
  <c r="O975" i="2"/>
  <c r="L975" i="2"/>
  <c r="M975" i="2" s="1"/>
  <c r="N975" i="2" s="1"/>
  <c r="E975" i="5" s="1"/>
  <c r="I975" i="2"/>
  <c r="J975" i="2" s="1"/>
  <c r="K975" i="2" s="1"/>
  <c r="F975" i="2"/>
  <c r="G975" i="2" s="1"/>
  <c r="H975" i="2" s="1"/>
  <c r="C975" i="5" s="1"/>
  <c r="D975" i="2"/>
  <c r="E975" i="2" s="1"/>
  <c r="B975" i="5" s="1"/>
  <c r="B975" i="2"/>
  <c r="C975" i="2" s="1"/>
  <c r="A975" i="5" s="1"/>
  <c r="O974" i="2"/>
  <c r="L974" i="2"/>
  <c r="M974" i="2" s="1"/>
  <c r="N974" i="2" s="1"/>
  <c r="I974" i="2"/>
  <c r="J974" i="2" s="1"/>
  <c r="K974" i="2" s="1"/>
  <c r="Z974" i="2" s="1"/>
  <c r="F974" i="2"/>
  <c r="G974" i="2" s="1"/>
  <c r="H974" i="2" s="1"/>
  <c r="C974" i="5" s="1"/>
  <c r="D974" i="2"/>
  <c r="E974" i="2" s="1"/>
  <c r="B974" i="5" s="1"/>
  <c r="B974" i="2"/>
  <c r="C974" i="2" s="1"/>
  <c r="O973" i="2"/>
  <c r="L973" i="2"/>
  <c r="M973" i="2" s="1"/>
  <c r="N973" i="2" s="1"/>
  <c r="E973" i="5" s="1"/>
  <c r="I973" i="2"/>
  <c r="J973" i="2" s="1"/>
  <c r="K973" i="2" s="1"/>
  <c r="F973" i="2"/>
  <c r="G973" i="2" s="1"/>
  <c r="H973" i="2" s="1"/>
  <c r="C973" i="5" s="1"/>
  <c r="D973" i="2"/>
  <c r="E973" i="2" s="1"/>
  <c r="B973" i="5" s="1"/>
  <c r="B973" i="2"/>
  <c r="C973" i="2" s="1"/>
  <c r="A973" i="5" s="1"/>
  <c r="O972" i="2"/>
  <c r="L972" i="2"/>
  <c r="M972" i="2" s="1"/>
  <c r="N972" i="2" s="1"/>
  <c r="I972" i="2"/>
  <c r="J972" i="2" s="1"/>
  <c r="K972" i="2" s="1"/>
  <c r="Z972" i="2" s="1"/>
  <c r="F972" i="2"/>
  <c r="G972" i="2" s="1"/>
  <c r="H972" i="2" s="1"/>
  <c r="C972" i="5" s="1"/>
  <c r="D972" i="2"/>
  <c r="E972" i="2" s="1"/>
  <c r="B972" i="5" s="1"/>
  <c r="B972" i="2"/>
  <c r="C972" i="2" s="1"/>
  <c r="O971" i="2"/>
  <c r="L971" i="2"/>
  <c r="M971" i="2" s="1"/>
  <c r="N971" i="2" s="1"/>
  <c r="E971" i="5" s="1"/>
  <c r="I971" i="2"/>
  <c r="J971" i="2" s="1"/>
  <c r="K971" i="2" s="1"/>
  <c r="F971" i="2"/>
  <c r="G971" i="2" s="1"/>
  <c r="H971" i="2" s="1"/>
  <c r="C971" i="5" s="1"/>
  <c r="D971" i="2"/>
  <c r="E971" i="2" s="1"/>
  <c r="B971" i="5" s="1"/>
  <c r="B971" i="2"/>
  <c r="C971" i="2" s="1"/>
  <c r="A971" i="5" s="1"/>
  <c r="O970" i="2"/>
  <c r="L970" i="2"/>
  <c r="M970" i="2" s="1"/>
  <c r="N970" i="2" s="1"/>
  <c r="I970" i="2"/>
  <c r="J970" i="2" s="1"/>
  <c r="K970" i="2" s="1"/>
  <c r="Z970" i="2" s="1"/>
  <c r="F970" i="2"/>
  <c r="G970" i="2" s="1"/>
  <c r="H970" i="2" s="1"/>
  <c r="C970" i="5" s="1"/>
  <c r="D970" i="2"/>
  <c r="E970" i="2" s="1"/>
  <c r="B970" i="5" s="1"/>
  <c r="B970" i="2"/>
  <c r="C970" i="2" s="1"/>
  <c r="O969" i="2"/>
  <c r="L969" i="2"/>
  <c r="M969" i="2" s="1"/>
  <c r="N969" i="2" s="1"/>
  <c r="E969" i="5" s="1"/>
  <c r="I969" i="2"/>
  <c r="J969" i="2" s="1"/>
  <c r="K969" i="2" s="1"/>
  <c r="F969" i="2"/>
  <c r="G969" i="2" s="1"/>
  <c r="H969" i="2" s="1"/>
  <c r="C969" i="5" s="1"/>
  <c r="D969" i="2"/>
  <c r="E969" i="2" s="1"/>
  <c r="B969" i="5" s="1"/>
  <c r="B969" i="2"/>
  <c r="C969" i="2" s="1"/>
  <c r="A969" i="5" s="1"/>
  <c r="O968" i="2"/>
  <c r="L968" i="2"/>
  <c r="M968" i="2" s="1"/>
  <c r="N968" i="2" s="1"/>
  <c r="I968" i="2"/>
  <c r="J968" i="2" s="1"/>
  <c r="K968" i="2" s="1"/>
  <c r="Z968" i="2" s="1"/>
  <c r="F968" i="2"/>
  <c r="G968" i="2" s="1"/>
  <c r="H968" i="2" s="1"/>
  <c r="C968" i="5" s="1"/>
  <c r="D968" i="2"/>
  <c r="E968" i="2" s="1"/>
  <c r="B968" i="5" s="1"/>
  <c r="B968" i="2"/>
  <c r="C968" i="2" s="1"/>
  <c r="O967" i="2"/>
  <c r="L967" i="2"/>
  <c r="M967" i="2" s="1"/>
  <c r="N967" i="2" s="1"/>
  <c r="E967" i="5" s="1"/>
  <c r="I967" i="2"/>
  <c r="J967" i="2" s="1"/>
  <c r="K967" i="2" s="1"/>
  <c r="F967" i="2"/>
  <c r="G967" i="2" s="1"/>
  <c r="H967" i="2" s="1"/>
  <c r="C967" i="5" s="1"/>
  <c r="D967" i="2"/>
  <c r="E967" i="2" s="1"/>
  <c r="B967" i="5" s="1"/>
  <c r="B967" i="2"/>
  <c r="C967" i="2" s="1"/>
  <c r="A967" i="5" s="1"/>
  <c r="O966" i="2"/>
  <c r="L966" i="2"/>
  <c r="M966" i="2" s="1"/>
  <c r="N966" i="2" s="1"/>
  <c r="I966" i="2"/>
  <c r="J966" i="2" s="1"/>
  <c r="K966" i="2" s="1"/>
  <c r="Z966" i="2" s="1"/>
  <c r="F966" i="2"/>
  <c r="G966" i="2" s="1"/>
  <c r="H966" i="2" s="1"/>
  <c r="C966" i="5" s="1"/>
  <c r="D966" i="2"/>
  <c r="E966" i="2" s="1"/>
  <c r="B966" i="5" s="1"/>
  <c r="B966" i="2"/>
  <c r="C966" i="2" s="1"/>
  <c r="O965" i="2"/>
  <c r="L965" i="2"/>
  <c r="M965" i="2" s="1"/>
  <c r="N965" i="2" s="1"/>
  <c r="E965" i="5" s="1"/>
  <c r="I965" i="2"/>
  <c r="J965" i="2" s="1"/>
  <c r="K965" i="2" s="1"/>
  <c r="F965" i="2"/>
  <c r="G965" i="2" s="1"/>
  <c r="H965" i="2" s="1"/>
  <c r="C965" i="5" s="1"/>
  <c r="D965" i="2"/>
  <c r="E965" i="2" s="1"/>
  <c r="B965" i="5" s="1"/>
  <c r="B965" i="2"/>
  <c r="C965" i="2" s="1"/>
  <c r="A965" i="5" s="1"/>
  <c r="O964" i="2"/>
  <c r="L964" i="2"/>
  <c r="M964" i="2" s="1"/>
  <c r="N964" i="2" s="1"/>
  <c r="I964" i="2"/>
  <c r="J964" i="2" s="1"/>
  <c r="K964" i="2" s="1"/>
  <c r="Z964" i="2" s="1"/>
  <c r="F964" i="2"/>
  <c r="G964" i="2" s="1"/>
  <c r="H964" i="2" s="1"/>
  <c r="C964" i="5" s="1"/>
  <c r="D964" i="2"/>
  <c r="E964" i="2" s="1"/>
  <c r="B964" i="5" s="1"/>
  <c r="B964" i="2"/>
  <c r="C964" i="2" s="1"/>
  <c r="O963" i="2"/>
  <c r="L963" i="2"/>
  <c r="M963" i="2" s="1"/>
  <c r="N963" i="2" s="1"/>
  <c r="E963" i="5" s="1"/>
  <c r="I963" i="2"/>
  <c r="J963" i="2" s="1"/>
  <c r="K963" i="2" s="1"/>
  <c r="F963" i="2"/>
  <c r="G963" i="2" s="1"/>
  <c r="H963" i="2" s="1"/>
  <c r="C963" i="5" s="1"/>
  <c r="D963" i="2"/>
  <c r="E963" i="2" s="1"/>
  <c r="B963" i="5" s="1"/>
  <c r="B963" i="2"/>
  <c r="C963" i="2" s="1"/>
  <c r="A963" i="5" s="1"/>
  <c r="O962" i="2"/>
  <c r="L962" i="2"/>
  <c r="M962" i="2" s="1"/>
  <c r="N962" i="2" s="1"/>
  <c r="I962" i="2"/>
  <c r="J962" i="2" s="1"/>
  <c r="K962" i="2" s="1"/>
  <c r="Z962" i="2" s="1"/>
  <c r="F962" i="2"/>
  <c r="G962" i="2" s="1"/>
  <c r="H962" i="2" s="1"/>
  <c r="C962" i="5" s="1"/>
  <c r="D962" i="2"/>
  <c r="E962" i="2" s="1"/>
  <c r="B962" i="5" s="1"/>
  <c r="B962" i="2"/>
  <c r="C962" i="2" s="1"/>
  <c r="O961" i="2"/>
  <c r="L961" i="2"/>
  <c r="M961" i="2" s="1"/>
  <c r="N961" i="2" s="1"/>
  <c r="E961" i="5" s="1"/>
  <c r="I961" i="2"/>
  <c r="J961" i="2" s="1"/>
  <c r="K961" i="2" s="1"/>
  <c r="F961" i="2"/>
  <c r="G961" i="2" s="1"/>
  <c r="H961" i="2" s="1"/>
  <c r="C961" i="5" s="1"/>
  <c r="D961" i="2"/>
  <c r="E961" i="2" s="1"/>
  <c r="B961" i="5" s="1"/>
  <c r="B961" i="2"/>
  <c r="C961" i="2" s="1"/>
  <c r="A961" i="5" s="1"/>
  <c r="O960" i="2"/>
  <c r="L960" i="2"/>
  <c r="M960" i="2" s="1"/>
  <c r="N960" i="2" s="1"/>
  <c r="I960" i="2"/>
  <c r="J960" i="2" s="1"/>
  <c r="K960" i="2" s="1"/>
  <c r="Z960" i="2" s="1"/>
  <c r="F960" i="2"/>
  <c r="G960" i="2" s="1"/>
  <c r="H960" i="2" s="1"/>
  <c r="C960" i="5" s="1"/>
  <c r="D960" i="2"/>
  <c r="E960" i="2" s="1"/>
  <c r="B960" i="5" s="1"/>
  <c r="B960" i="2"/>
  <c r="C960" i="2" s="1"/>
  <c r="O959" i="2"/>
  <c r="L959" i="2"/>
  <c r="M959" i="2" s="1"/>
  <c r="N959" i="2" s="1"/>
  <c r="E959" i="5" s="1"/>
  <c r="I959" i="2"/>
  <c r="J959" i="2" s="1"/>
  <c r="K959" i="2" s="1"/>
  <c r="F959" i="2"/>
  <c r="G959" i="2" s="1"/>
  <c r="H959" i="2" s="1"/>
  <c r="C959" i="5" s="1"/>
  <c r="D959" i="2"/>
  <c r="E959" i="2" s="1"/>
  <c r="B959" i="5" s="1"/>
  <c r="B959" i="2"/>
  <c r="C959" i="2" s="1"/>
  <c r="A959" i="5" s="1"/>
  <c r="O958" i="2"/>
  <c r="L958" i="2"/>
  <c r="M958" i="2" s="1"/>
  <c r="N958" i="2" s="1"/>
  <c r="I958" i="2"/>
  <c r="J958" i="2" s="1"/>
  <c r="K958" i="2" s="1"/>
  <c r="Z958" i="2" s="1"/>
  <c r="F958" i="2"/>
  <c r="G958" i="2" s="1"/>
  <c r="H958" i="2" s="1"/>
  <c r="C958" i="5" s="1"/>
  <c r="D958" i="2"/>
  <c r="E958" i="2" s="1"/>
  <c r="B958" i="5" s="1"/>
  <c r="B958" i="2"/>
  <c r="C958" i="2" s="1"/>
  <c r="O957" i="2"/>
  <c r="L957" i="2"/>
  <c r="M957" i="2" s="1"/>
  <c r="N957" i="2" s="1"/>
  <c r="E957" i="5" s="1"/>
  <c r="I957" i="2"/>
  <c r="J957" i="2" s="1"/>
  <c r="K957" i="2" s="1"/>
  <c r="F957" i="2"/>
  <c r="G957" i="2" s="1"/>
  <c r="H957" i="2" s="1"/>
  <c r="C957" i="5" s="1"/>
  <c r="D957" i="2"/>
  <c r="E957" i="2" s="1"/>
  <c r="B957" i="5" s="1"/>
  <c r="B957" i="2"/>
  <c r="C957" i="2" s="1"/>
  <c r="A957" i="5" s="1"/>
  <c r="O956" i="2"/>
  <c r="L956" i="2"/>
  <c r="M956" i="2" s="1"/>
  <c r="N956" i="2" s="1"/>
  <c r="I956" i="2"/>
  <c r="J956" i="2" s="1"/>
  <c r="K956" i="2" s="1"/>
  <c r="Z956" i="2" s="1"/>
  <c r="F956" i="2"/>
  <c r="G956" i="2" s="1"/>
  <c r="H956" i="2" s="1"/>
  <c r="C956" i="5" s="1"/>
  <c r="D956" i="2"/>
  <c r="E956" i="2" s="1"/>
  <c r="B956" i="5" s="1"/>
  <c r="B956" i="2"/>
  <c r="C956" i="2" s="1"/>
  <c r="O955" i="2"/>
  <c r="L955" i="2"/>
  <c r="M955" i="2" s="1"/>
  <c r="N955" i="2" s="1"/>
  <c r="E955" i="5" s="1"/>
  <c r="I955" i="2"/>
  <c r="J955" i="2" s="1"/>
  <c r="K955" i="2" s="1"/>
  <c r="F955" i="2"/>
  <c r="G955" i="2" s="1"/>
  <c r="H955" i="2" s="1"/>
  <c r="C955" i="5" s="1"/>
  <c r="D955" i="2"/>
  <c r="E955" i="2" s="1"/>
  <c r="B955" i="5" s="1"/>
  <c r="B955" i="2"/>
  <c r="C955" i="2" s="1"/>
  <c r="A955" i="5" s="1"/>
  <c r="O954" i="2"/>
  <c r="L954" i="2"/>
  <c r="M954" i="2" s="1"/>
  <c r="N954" i="2" s="1"/>
  <c r="I954" i="2"/>
  <c r="J954" i="2" s="1"/>
  <c r="K954" i="2" s="1"/>
  <c r="Z954" i="2" s="1"/>
  <c r="F954" i="2"/>
  <c r="G954" i="2" s="1"/>
  <c r="H954" i="2" s="1"/>
  <c r="C954" i="5" s="1"/>
  <c r="D954" i="2"/>
  <c r="E954" i="2" s="1"/>
  <c r="B954" i="5" s="1"/>
  <c r="B954" i="2"/>
  <c r="C954" i="2" s="1"/>
  <c r="O953" i="2"/>
  <c r="L953" i="2"/>
  <c r="M953" i="2" s="1"/>
  <c r="N953" i="2" s="1"/>
  <c r="E953" i="5" s="1"/>
  <c r="I953" i="2"/>
  <c r="J953" i="2" s="1"/>
  <c r="K953" i="2" s="1"/>
  <c r="F953" i="2"/>
  <c r="G953" i="2" s="1"/>
  <c r="H953" i="2" s="1"/>
  <c r="C953" i="5" s="1"/>
  <c r="D953" i="2"/>
  <c r="E953" i="2" s="1"/>
  <c r="B953" i="5" s="1"/>
  <c r="B953" i="2"/>
  <c r="C953" i="2" s="1"/>
  <c r="A953" i="5" s="1"/>
  <c r="O952" i="2"/>
  <c r="L952" i="2"/>
  <c r="M952" i="2" s="1"/>
  <c r="N952" i="2" s="1"/>
  <c r="I952" i="2"/>
  <c r="J952" i="2" s="1"/>
  <c r="K952" i="2" s="1"/>
  <c r="Z952" i="2" s="1"/>
  <c r="F952" i="2"/>
  <c r="G952" i="2" s="1"/>
  <c r="H952" i="2" s="1"/>
  <c r="C952" i="5" s="1"/>
  <c r="D952" i="2"/>
  <c r="E952" i="2" s="1"/>
  <c r="B952" i="5" s="1"/>
  <c r="B952" i="2"/>
  <c r="C952" i="2" s="1"/>
  <c r="O951" i="2"/>
  <c r="L951" i="2"/>
  <c r="M951" i="2" s="1"/>
  <c r="N951" i="2" s="1"/>
  <c r="E951" i="5" s="1"/>
  <c r="I951" i="2"/>
  <c r="J951" i="2" s="1"/>
  <c r="K951" i="2" s="1"/>
  <c r="F951" i="2"/>
  <c r="G951" i="2" s="1"/>
  <c r="H951" i="2" s="1"/>
  <c r="C951" i="5" s="1"/>
  <c r="D951" i="2"/>
  <c r="E951" i="2" s="1"/>
  <c r="B951" i="5" s="1"/>
  <c r="B951" i="2"/>
  <c r="C951" i="2" s="1"/>
  <c r="A951" i="5" s="1"/>
  <c r="O950" i="2"/>
  <c r="L950" i="2"/>
  <c r="M950" i="2" s="1"/>
  <c r="N950" i="2" s="1"/>
  <c r="I950" i="2"/>
  <c r="J950" i="2" s="1"/>
  <c r="K950" i="2" s="1"/>
  <c r="Z950" i="2" s="1"/>
  <c r="F950" i="2"/>
  <c r="G950" i="2" s="1"/>
  <c r="H950" i="2" s="1"/>
  <c r="C950" i="5" s="1"/>
  <c r="D950" i="2"/>
  <c r="E950" i="2" s="1"/>
  <c r="B950" i="5" s="1"/>
  <c r="B950" i="2"/>
  <c r="C950" i="2" s="1"/>
  <c r="O949" i="2"/>
  <c r="L949" i="2"/>
  <c r="M949" i="2" s="1"/>
  <c r="N949" i="2" s="1"/>
  <c r="E949" i="5" s="1"/>
  <c r="I949" i="2"/>
  <c r="J949" i="2" s="1"/>
  <c r="K949" i="2" s="1"/>
  <c r="F949" i="2"/>
  <c r="G949" i="2" s="1"/>
  <c r="H949" i="2" s="1"/>
  <c r="C949" i="5" s="1"/>
  <c r="D949" i="2"/>
  <c r="E949" i="2" s="1"/>
  <c r="B949" i="5" s="1"/>
  <c r="B949" i="2"/>
  <c r="C949" i="2" s="1"/>
  <c r="A949" i="5" s="1"/>
  <c r="O948" i="2"/>
  <c r="L948" i="2"/>
  <c r="M948" i="2" s="1"/>
  <c r="N948" i="2" s="1"/>
  <c r="I948" i="2"/>
  <c r="J948" i="2" s="1"/>
  <c r="K948" i="2" s="1"/>
  <c r="Z948" i="2" s="1"/>
  <c r="F948" i="2"/>
  <c r="G948" i="2" s="1"/>
  <c r="H948" i="2" s="1"/>
  <c r="C948" i="5" s="1"/>
  <c r="D948" i="2"/>
  <c r="E948" i="2" s="1"/>
  <c r="B948" i="5" s="1"/>
  <c r="B948" i="2"/>
  <c r="C948" i="2" s="1"/>
  <c r="O947" i="2"/>
  <c r="L947" i="2"/>
  <c r="M947" i="2" s="1"/>
  <c r="N947" i="2" s="1"/>
  <c r="E947" i="5" s="1"/>
  <c r="I947" i="2"/>
  <c r="J947" i="2" s="1"/>
  <c r="K947" i="2" s="1"/>
  <c r="F947" i="2"/>
  <c r="G947" i="2" s="1"/>
  <c r="H947" i="2" s="1"/>
  <c r="C947" i="5" s="1"/>
  <c r="D947" i="2"/>
  <c r="E947" i="2" s="1"/>
  <c r="B947" i="5" s="1"/>
  <c r="B947" i="2"/>
  <c r="C947" i="2" s="1"/>
  <c r="A947" i="5" s="1"/>
  <c r="O946" i="2"/>
  <c r="L946" i="2"/>
  <c r="M946" i="2" s="1"/>
  <c r="N946" i="2" s="1"/>
  <c r="I946" i="2"/>
  <c r="J946" i="2" s="1"/>
  <c r="K946" i="2" s="1"/>
  <c r="Z946" i="2" s="1"/>
  <c r="F946" i="2"/>
  <c r="G946" i="2" s="1"/>
  <c r="H946" i="2" s="1"/>
  <c r="C946" i="5" s="1"/>
  <c r="D946" i="2"/>
  <c r="E946" i="2" s="1"/>
  <c r="B946" i="5" s="1"/>
  <c r="B946" i="2"/>
  <c r="C946" i="2" s="1"/>
  <c r="O945" i="2"/>
  <c r="L945" i="2"/>
  <c r="M945" i="2" s="1"/>
  <c r="N945" i="2" s="1"/>
  <c r="E945" i="5" s="1"/>
  <c r="I945" i="2"/>
  <c r="J945" i="2" s="1"/>
  <c r="K945" i="2" s="1"/>
  <c r="F945" i="2"/>
  <c r="G945" i="2" s="1"/>
  <c r="H945" i="2" s="1"/>
  <c r="C945" i="5" s="1"/>
  <c r="D945" i="2"/>
  <c r="E945" i="2" s="1"/>
  <c r="B945" i="5" s="1"/>
  <c r="B945" i="2"/>
  <c r="C945" i="2" s="1"/>
  <c r="A945" i="5" s="1"/>
  <c r="O944" i="2"/>
  <c r="L944" i="2"/>
  <c r="M944" i="2" s="1"/>
  <c r="N944" i="2" s="1"/>
  <c r="I944" i="2"/>
  <c r="J944" i="2" s="1"/>
  <c r="K944" i="2" s="1"/>
  <c r="Z944" i="2" s="1"/>
  <c r="F944" i="2"/>
  <c r="G944" i="2" s="1"/>
  <c r="H944" i="2" s="1"/>
  <c r="C944" i="5" s="1"/>
  <c r="D944" i="2"/>
  <c r="E944" i="2" s="1"/>
  <c r="B944" i="5" s="1"/>
  <c r="B944" i="2"/>
  <c r="C944" i="2" s="1"/>
  <c r="O943" i="2"/>
  <c r="L943" i="2"/>
  <c r="M943" i="2" s="1"/>
  <c r="N943" i="2" s="1"/>
  <c r="E943" i="5" s="1"/>
  <c r="I943" i="2"/>
  <c r="J943" i="2" s="1"/>
  <c r="K943" i="2" s="1"/>
  <c r="F943" i="2"/>
  <c r="G943" i="2" s="1"/>
  <c r="H943" i="2" s="1"/>
  <c r="C943" i="5" s="1"/>
  <c r="D943" i="2"/>
  <c r="E943" i="2" s="1"/>
  <c r="B943" i="5" s="1"/>
  <c r="B943" i="2"/>
  <c r="C943" i="2" s="1"/>
  <c r="A943" i="5" s="1"/>
  <c r="O942" i="2"/>
  <c r="L942" i="2"/>
  <c r="M942" i="2" s="1"/>
  <c r="N942" i="2" s="1"/>
  <c r="I942" i="2"/>
  <c r="J942" i="2" s="1"/>
  <c r="K942" i="2" s="1"/>
  <c r="Z942" i="2" s="1"/>
  <c r="F942" i="2"/>
  <c r="G942" i="2" s="1"/>
  <c r="H942" i="2" s="1"/>
  <c r="C942" i="5" s="1"/>
  <c r="D942" i="2"/>
  <c r="E942" i="2" s="1"/>
  <c r="B942" i="5" s="1"/>
  <c r="B942" i="2"/>
  <c r="C942" i="2" s="1"/>
  <c r="O941" i="2"/>
  <c r="L941" i="2"/>
  <c r="M941" i="2" s="1"/>
  <c r="N941" i="2" s="1"/>
  <c r="E941" i="5" s="1"/>
  <c r="I941" i="2"/>
  <c r="J941" i="2" s="1"/>
  <c r="K941" i="2" s="1"/>
  <c r="F941" i="2"/>
  <c r="G941" i="2" s="1"/>
  <c r="H941" i="2" s="1"/>
  <c r="C941" i="5" s="1"/>
  <c r="D941" i="2"/>
  <c r="E941" i="2" s="1"/>
  <c r="B941" i="5" s="1"/>
  <c r="B941" i="2"/>
  <c r="C941" i="2" s="1"/>
  <c r="A941" i="5" s="1"/>
  <c r="O940" i="2"/>
  <c r="L940" i="2"/>
  <c r="M940" i="2" s="1"/>
  <c r="N940" i="2" s="1"/>
  <c r="I940" i="2"/>
  <c r="J940" i="2" s="1"/>
  <c r="K940" i="2" s="1"/>
  <c r="Z940" i="2" s="1"/>
  <c r="F940" i="2"/>
  <c r="G940" i="2" s="1"/>
  <c r="H940" i="2" s="1"/>
  <c r="C940" i="5" s="1"/>
  <c r="D940" i="2"/>
  <c r="E940" i="2" s="1"/>
  <c r="B940" i="5" s="1"/>
  <c r="B940" i="2"/>
  <c r="C940" i="2" s="1"/>
  <c r="O939" i="2"/>
  <c r="L939" i="2"/>
  <c r="M939" i="2" s="1"/>
  <c r="N939" i="2" s="1"/>
  <c r="E939" i="5" s="1"/>
  <c r="I939" i="2"/>
  <c r="J939" i="2" s="1"/>
  <c r="K939" i="2" s="1"/>
  <c r="F939" i="2"/>
  <c r="G939" i="2" s="1"/>
  <c r="H939" i="2" s="1"/>
  <c r="C939" i="5" s="1"/>
  <c r="D939" i="2"/>
  <c r="E939" i="2" s="1"/>
  <c r="B939" i="5" s="1"/>
  <c r="B939" i="2"/>
  <c r="C939" i="2" s="1"/>
  <c r="A939" i="5" s="1"/>
  <c r="O938" i="2"/>
  <c r="L938" i="2"/>
  <c r="M938" i="2" s="1"/>
  <c r="N938" i="2" s="1"/>
  <c r="I938" i="2"/>
  <c r="J938" i="2" s="1"/>
  <c r="K938" i="2" s="1"/>
  <c r="Z938" i="2" s="1"/>
  <c r="F938" i="2"/>
  <c r="G938" i="2" s="1"/>
  <c r="H938" i="2" s="1"/>
  <c r="C938" i="5" s="1"/>
  <c r="D938" i="2"/>
  <c r="E938" i="2" s="1"/>
  <c r="B938" i="5" s="1"/>
  <c r="B938" i="2"/>
  <c r="C938" i="2" s="1"/>
  <c r="O937" i="2"/>
  <c r="L937" i="2"/>
  <c r="M937" i="2" s="1"/>
  <c r="N937" i="2" s="1"/>
  <c r="E937" i="5" s="1"/>
  <c r="I937" i="2"/>
  <c r="J937" i="2" s="1"/>
  <c r="K937" i="2" s="1"/>
  <c r="F937" i="2"/>
  <c r="G937" i="2" s="1"/>
  <c r="H937" i="2" s="1"/>
  <c r="C937" i="5" s="1"/>
  <c r="D937" i="2"/>
  <c r="E937" i="2" s="1"/>
  <c r="B937" i="5" s="1"/>
  <c r="B937" i="2"/>
  <c r="C937" i="2" s="1"/>
  <c r="A937" i="5" s="1"/>
  <c r="O936" i="2"/>
  <c r="L936" i="2"/>
  <c r="M936" i="2" s="1"/>
  <c r="N936" i="2" s="1"/>
  <c r="I936" i="2"/>
  <c r="J936" i="2" s="1"/>
  <c r="K936" i="2" s="1"/>
  <c r="Z936" i="2" s="1"/>
  <c r="F936" i="2"/>
  <c r="G936" i="2" s="1"/>
  <c r="H936" i="2" s="1"/>
  <c r="C936" i="5" s="1"/>
  <c r="D936" i="2"/>
  <c r="E936" i="2" s="1"/>
  <c r="B936" i="5" s="1"/>
  <c r="B936" i="2"/>
  <c r="C936" i="2" s="1"/>
  <c r="O935" i="2"/>
  <c r="L935" i="2"/>
  <c r="M935" i="2" s="1"/>
  <c r="N935" i="2" s="1"/>
  <c r="E935" i="5" s="1"/>
  <c r="I935" i="2"/>
  <c r="J935" i="2" s="1"/>
  <c r="K935" i="2" s="1"/>
  <c r="F935" i="2"/>
  <c r="G935" i="2" s="1"/>
  <c r="H935" i="2" s="1"/>
  <c r="C935" i="5" s="1"/>
  <c r="D935" i="2"/>
  <c r="E935" i="2" s="1"/>
  <c r="B935" i="5" s="1"/>
  <c r="B935" i="2"/>
  <c r="C935" i="2" s="1"/>
  <c r="A935" i="5" s="1"/>
  <c r="O934" i="2"/>
  <c r="L934" i="2"/>
  <c r="M934" i="2" s="1"/>
  <c r="N934" i="2" s="1"/>
  <c r="I934" i="2"/>
  <c r="J934" i="2" s="1"/>
  <c r="K934" i="2" s="1"/>
  <c r="Z934" i="2" s="1"/>
  <c r="F934" i="2"/>
  <c r="G934" i="2" s="1"/>
  <c r="H934" i="2" s="1"/>
  <c r="C934" i="5" s="1"/>
  <c r="D934" i="2"/>
  <c r="E934" i="2" s="1"/>
  <c r="B934" i="5" s="1"/>
  <c r="B934" i="2"/>
  <c r="C934" i="2" s="1"/>
  <c r="O933" i="2"/>
  <c r="L933" i="2"/>
  <c r="M933" i="2" s="1"/>
  <c r="N933" i="2" s="1"/>
  <c r="E933" i="5" s="1"/>
  <c r="I933" i="2"/>
  <c r="J933" i="2" s="1"/>
  <c r="K933" i="2" s="1"/>
  <c r="F933" i="2"/>
  <c r="G933" i="2" s="1"/>
  <c r="H933" i="2" s="1"/>
  <c r="C933" i="5" s="1"/>
  <c r="D933" i="2"/>
  <c r="E933" i="2" s="1"/>
  <c r="B933" i="5" s="1"/>
  <c r="B933" i="2"/>
  <c r="C933" i="2" s="1"/>
  <c r="A933" i="5" s="1"/>
  <c r="O932" i="2"/>
  <c r="L932" i="2"/>
  <c r="M932" i="2" s="1"/>
  <c r="N932" i="2" s="1"/>
  <c r="I932" i="2"/>
  <c r="J932" i="2" s="1"/>
  <c r="K932" i="2" s="1"/>
  <c r="Z932" i="2" s="1"/>
  <c r="F932" i="2"/>
  <c r="G932" i="2" s="1"/>
  <c r="H932" i="2" s="1"/>
  <c r="C932" i="5" s="1"/>
  <c r="D932" i="2"/>
  <c r="E932" i="2" s="1"/>
  <c r="B932" i="5" s="1"/>
  <c r="B932" i="2"/>
  <c r="C932" i="2" s="1"/>
  <c r="O931" i="2"/>
  <c r="L931" i="2"/>
  <c r="M931" i="2" s="1"/>
  <c r="N931" i="2" s="1"/>
  <c r="I931" i="2"/>
  <c r="J931" i="2" s="1"/>
  <c r="K931" i="2" s="1"/>
  <c r="F931" i="2"/>
  <c r="G931" i="2" s="1"/>
  <c r="H931" i="2" s="1"/>
  <c r="C931" i="5" s="1"/>
  <c r="D931" i="2"/>
  <c r="E931" i="2" s="1"/>
  <c r="B931" i="5" s="1"/>
  <c r="B931" i="2"/>
  <c r="C931" i="2" s="1"/>
  <c r="A931" i="5" s="1"/>
  <c r="O930" i="2"/>
  <c r="L930" i="2"/>
  <c r="M930" i="2" s="1"/>
  <c r="N930" i="2" s="1"/>
  <c r="I930" i="2"/>
  <c r="J930" i="2" s="1"/>
  <c r="K930" i="2" s="1"/>
  <c r="Z930" i="2" s="1"/>
  <c r="F930" i="2"/>
  <c r="G930" i="2" s="1"/>
  <c r="H930" i="2" s="1"/>
  <c r="C930" i="5" s="1"/>
  <c r="D930" i="2"/>
  <c r="E930" i="2" s="1"/>
  <c r="B930" i="5" s="1"/>
  <c r="B930" i="2"/>
  <c r="C930" i="2" s="1"/>
  <c r="O929" i="2"/>
  <c r="L929" i="2"/>
  <c r="M929" i="2" s="1"/>
  <c r="N929" i="2" s="1"/>
  <c r="I929" i="2"/>
  <c r="J929" i="2" s="1"/>
  <c r="K929" i="2" s="1"/>
  <c r="F929" i="2"/>
  <c r="G929" i="2" s="1"/>
  <c r="H929" i="2" s="1"/>
  <c r="C929" i="5" s="1"/>
  <c r="D929" i="2"/>
  <c r="E929" i="2" s="1"/>
  <c r="B929" i="5" s="1"/>
  <c r="B929" i="2"/>
  <c r="C929" i="2" s="1"/>
  <c r="A929" i="5" s="1"/>
  <c r="O928" i="2"/>
  <c r="L928" i="2"/>
  <c r="M928" i="2" s="1"/>
  <c r="N928" i="2" s="1"/>
  <c r="I928" i="2"/>
  <c r="J928" i="2" s="1"/>
  <c r="K928" i="2" s="1"/>
  <c r="Z928" i="2" s="1"/>
  <c r="F928" i="2"/>
  <c r="G928" i="2" s="1"/>
  <c r="H928" i="2" s="1"/>
  <c r="C928" i="5" s="1"/>
  <c r="D928" i="2"/>
  <c r="E928" i="2" s="1"/>
  <c r="B928" i="5" s="1"/>
  <c r="B928" i="2"/>
  <c r="C928" i="2" s="1"/>
  <c r="O927" i="2"/>
  <c r="L927" i="2"/>
  <c r="M927" i="2" s="1"/>
  <c r="N927" i="2" s="1"/>
  <c r="I927" i="2"/>
  <c r="J927" i="2" s="1"/>
  <c r="K927" i="2" s="1"/>
  <c r="F927" i="2"/>
  <c r="G927" i="2" s="1"/>
  <c r="H927" i="2" s="1"/>
  <c r="C927" i="5" s="1"/>
  <c r="D927" i="2"/>
  <c r="E927" i="2" s="1"/>
  <c r="B927" i="5" s="1"/>
  <c r="B927" i="2"/>
  <c r="C927" i="2" s="1"/>
  <c r="A927" i="5" s="1"/>
  <c r="O926" i="2"/>
  <c r="L926" i="2"/>
  <c r="M926" i="2" s="1"/>
  <c r="N926" i="2" s="1"/>
  <c r="I926" i="2"/>
  <c r="J926" i="2" s="1"/>
  <c r="K926" i="2" s="1"/>
  <c r="Z926" i="2" s="1"/>
  <c r="F926" i="2"/>
  <c r="G926" i="2" s="1"/>
  <c r="H926" i="2" s="1"/>
  <c r="C926" i="5" s="1"/>
  <c r="D926" i="2"/>
  <c r="E926" i="2" s="1"/>
  <c r="B926" i="5" s="1"/>
  <c r="B926" i="2"/>
  <c r="C926" i="2" s="1"/>
  <c r="O925" i="2"/>
  <c r="L925" i="2"/>
  <c r="M925" i="2" s="1"/>
  <c r="N925" i="2" s="1"/>
  <c r="I925" i="2"/>
  <c r="J925" i="2" s="1"/>
  <c r="K925" i="2" s="1"/>
  <c r="F925" i="2"/>
  <c r="G925" i="2" s="1"/>
  <c r="H925" i="2" s="1"/>
  <c r="C925" i="5" s="1"/>
  <c r="D925" i="2"/>
  <c r="E925" i="2" s="1"/>
  <c r="B925" i="5" s="1"/>
  <c r="B925" i="2"/>
  <c r="C925" i="2" s="1"/>
  <c r="A925" i="5" s="1"/>
  <c r="O924" i="2"/>
  <c r="L924" i="2"/>
  <c r="M924" i="2" s="1"/>
  <c r="N924" i="2" s="1"/>
  <c r="I924" i="2"/>
  <c r="J924" i="2" s="1"/>
  <c r="K924" i="2" s="1"/>
  <c r="Z924" i="2" s="1"/>
  <c r="F924" i="2"/>
  <c r="G924" i="2" s="1"/>
  <c r="H924" i="2" s="1"/>
  <c r="C924" i="5" s="1"/>
  <c r="D924" i="2"/>
  <c r="E924" i="2" s="1"/>
  <c r="B924" i="5" s="1"/>
  <c r="B924" i="2"/>
  <c r="C924" i="2" s="1"/>
  <c r="O923" i="2"/>
  <c r="L923" i="2"/>
  <c r="M923" i="2" s="1"/>
  <c r="N923" i="2" s="1"/>
  <c r="I923" i="2"/>
  <c r="J923" i="2" s="1"/>
  <c r="K923" i="2" s="1"/>
  <c r="F923" i="2"/>
  <c r="G923" i="2" s="1"/>
  <c r="H923" i="2" s="1"/>
  <c r="C923" i="5" s="1"/>
  <c r="D923" i="2"/>
  <c r="E923" i="2" s="1"/>
  <c r="B923" i="5" s="1"/>
  <c r="B923" i="2"/>
  <c r="C923" i="2" s="1"/>
  <c r="A923" i="5" s="1"/>
  <c r="O922" i="2"/>
  <c r="L922" i="2"/>
  <c r="M922" i="2" s="1"/>
  <c r="N922" i="2" s="1"/>
  <c r="I922" i="2"/>
  <c r="J922" i="2" s="1"/>
  <c r="K922" i="2" s="1"/>
  <c r="Z922" i="2" s="1"/>
  <c r="F922" i="2"/>
  <c r="G922" i="2" s="1"/>
  <c r="H922" i="2" s="1"/>
  <c r="C922" i="5" s="1"/>
  <c r="D922" i="2"/>
  <c r="E922" i="2" s="1"/>
  <c r="B922" i="5" s="1"/>
  <c r="B922" i="2"/>
  <c r="C922" i="2" s="1"/>
  <c r="O921" i="2"/>
  <c r="L921" i="2"/>
  <c r="M921" i="2" s="1"/>
  <c r="N921" i="2" s="1"/>
  <c r="I921" i="2"/>
  <c r="J921" i="2" s="1"/>
  <c r="K921" i="2" s="1"/>
  <c r="F921" i="2"/>
  <c r="G921" i="2" s="1"/>
  <c r="H921" i="2" s="1"/>
  <c r="C921" i="5" s="1"/>
  <c r="D921" i="2"/>
  <c r="E921" i="2" s="1"/>
  <c r="B921" i="5" s="1"/>
  <c r="B921" i="2"/>
  <c r="C921" i="2" s="1"/>
  <c r="A921" i="5" s="1"/>
  <c r="O920" i="2"/>
  <c r="L920" i="2"/>
  <c r="M920" i="2" s="1"/>
  <c r="N920" i="2" s="1"/>
  <c r="I920" i="2"/>
  <c r="J920" i="2" s="1"/>
  <c r="K920" i="2" s="1"/>
  <c r="Z920" i="2" s="1"/>
  <c r="F920" i="2"/>
  <c r="G920" i="2" s="1"/>
  <c r="H920" i="2" s="1"/>
  <c r="C920" i="5" s="1"/>
  <c r="D920" i="2"/>
  <c r="E920" i="2" s="1"/>
  <c r="B920" i="5" s="1"/>
  <c r="B920" i="2"/>
  <c r="C920" i="2" s="1"/>
  <c r="O919" i="2"/>
  <c r="L919" i="2"/>
  <c r="M919" i="2" s="1"/>
  <c r="N919" i="2" s="1"/>
  <c r="I919" i="2"/>
  <c r="J919" i="2" s="1"/>
  <c r="K919" i="2" s="1"/>
  <c r="F919" i="2"/>
  <c r="G919" i="2" s="1"/>
  <c r="H919" i="2" s="1"/>
  <c r="C919" i="5" s="1"/>
  <c r="D919" i="2"/>
  <c r="E919" i="2" s="1"/>
  <c r="B919" i="5" s="1"/>
  <c r="B919" i="2"/>
  <c r="C919" i="2" s="1"/>
  <c r="A919" i="5" s="1"/>
  <c r="O918" i="2"/>
  <c r="L918" i="2"/>
  <c r="M918" i="2" s="1"/>
  <c r="N918" i="2" s="1"/>
  <c r="I918" i="2"/>
  <c r="J918" i="2" s="1"/>
  <c r="K918" i="2" s="1"/>
  <c r="Z918" i="2" s="1"/>
  <c r="F918" i="2"/>
  <c r="G918" i="2" s="1"/>
  <c r="H918" i="2" s="1"/>
  <c r="C918" i="5" s="1"/>
  <c r="D918" i="2"/>
  <c r="E918" i="2" s="1"/>
  <c r="B918" i="5" s="1"/>
  <c r="B918" i="2"/>
  <c r="C918" i="2" s="1"/>
  <c r="O917" i="2"/>
  <c r="L917" i="2"/>
  <c r="M917" i="2" s="1"/>
  <c r="N917" i="2" s="1"/>
  <c r="I917" i="2"/>
  <c r="J917" i="2" s="1"/>
  <c r="K917" i="2" s="1"/>
  <c r="F917" i="2"/>
  <c r="G917" i="2" s="1"/>
  <c r="H917" i="2" s="1"/>
  <c r="C917" i="5" s="1"/>
  <c r="D917" i="2"/>
  <c r="E917" i="2" s="1"/>
  <c r="B917" i="5" s="1"/>
  <c r="B917" i="2"/>
  <c r="C917" i="2" s="1"/>
  <c r="A917" i="5" s="1"/>
  <c r="O916" i="2"/>
  <c r="L916" i="2"/>
  <c r="M916" i="2" s="1"/>
  <c r="N916" i="2" s="1"/>
  <c r="I916" i="2"/>
  <c r="J916" i="2" s="1"/>
  <c r="K916" i="2" s="1"/>
  <c r="Z916" i="2" s="1"/>
  <c r="F916" i="2"/>
  <c r="G916" i="2" s="1"/>
  <c r="H916" i="2" s="1"/>
  <c r="C916" i="5" s="1"/>
  <c r="D916" i="2"/>
  <c r="E916" i="2" s="1"/>
  <c r="B916" i="5" s="1"/>
  <c r="B916" i="2"/>
  <c r="C916" i="2" s="1"/>
  <c r="O915" i="2"/>
  <c r="L915" i="2"/>
  <c r="M915" i="2" s="1"/>
  <c r="N915" i="2" s="1"/>
  <c r="I915" i="2"/>
  <c r="J915" i="2" s="1"/>
  <c r="K915" i="2" s="1"/>
  <c r="F915" i="2"/>
  <c r="G915" i="2" s="1"/>
  <c r="H915" i="2" s="1"/>
  <c r="C915" i="5" s="1"/>
  <c r="D915" i="2"/>
  <c r="E915" i="2" s="1"/>
  <c r="B915" i="5" s="1"/>
  <c r="B915" i="2"/>
  <c r="C915" i="2" s="1"/>
  <c r="A915" i="5" s="1"/>
  <c r="O914" i="2"/>
  <c r="L914" i="2"/>
  <c r="M914" i="2" s="1"/>
  <c r="N914" i="2" s="1"/>
  <c r="I914" i="2"/>
  <c r="J914" i="2" s="1"/>
  <c r="K914" i="2" s="1"/>
  <c r="Z914" i="2" s="1"/>
  <c r="F914" i="2"/>
  <c r="G914" i="2" s="1"/>
  <c r="H914" i="2" s="1"/>
  <c r="C914" i="5" s="1"/>
  <c r="D914" i="2"/>
  <c r="E914" i="2" s="1"/>
  <c r="B914" i="5" s="1"/>
  <c r="B914" i="2"/>
  <c r="C914" i="2" s="1"/>
  <c r="O913" i="2"/>
  <c r="L913" i="2"/>
  <c r="M913" i="2" s="1"/>
  <c r="N913" i="2" s="1"/>
  <c r="I913" i="2"/>
  <c r="J913" i="2" s="1"/>
  <c r="K913" i="2" s="1"/>
  <c r="F913" i="2"/>
  <c r="G913" i="2" s="1"/>
  <c r="H913" i="2" s="1"/>
  <c r="C913" i="5" s="1"/>
  <c r="D913" i="2"/>
  <c r="E913" i="2" s="1"/>
  <c r="B913" i="5" s="1"/>
  <c r="B913" i="2"/>
  <c r="C913" i="2" s="1"/>
  <c r="A913" i="5" s="1"/>
  <c r="O912" i="2"/>
  <c r="L912" i="2"/>
  <c r="M912" i="2" s="1"/>
  <c r="N912" i="2" s="1"/>
  <c r="I912" i="2"/>
  <c r="J912" i="2" s="1"/>
  <c r="K912" i="2" s="1"/>
  <c r="Z912" i="2" s="1"/>
  <c r="F912" i="2"/>
  <c r="G912" i="2" s="1"/>
  <c r="H912" i="2" s="1"/>
  <c r="C912" i="5" s="1"/>
  <c r="D912" i="2"/>
  <c r="E912" i="2" s="1"/>
  <c r="B912" i="5" s="1"/>
  <c r="B912" i="2"/>
  <c r="C912" i="2" s="1"/>
  <c r="O911" i="2"/>
  <c r="L911" i="2"/>
  <c r="M911" i="2" s="1"/>
  <c r="N911" i="2" s="1"/>
  <c r="I911" i="2"/>
  <c r="J911" i="2" s="1"/>
  <c r="K911" i="2" s="1"/>
  <c r="F911" i="2"/>
  <c r="G911" i="2" s="1"/>
  <c r="H911" i="2" s="1"/>
  <c r="C911" i="5" s="1"/>
  <c r="D911" i="2"/>
  <c r="E911" i="2" s="1"/>
  <c r="B911" i="5" s="1"/>
  <c r="B911" i="2"/>
  <c r="C911" i="2" s="1"/>
  <c r="A911" i="5" s="1"/>
  <c r="O910" i="2"/>
  <c r="L910" i="2"/>
  <c r="M910" i="2" s="1"/>
  <c r="N910" i="2" s="1"/>
  <c r="I910" i="2"/>
  <c r="J910" i="2" s="1"/>
  <c r="K910" i="2" s="1"/>
  <c r="Z910" i="2" s="1"/>
  <c r="F910" i="2"/>
  <c r="G910" i="2" s="1"/>
  <c r="H910" i="2" s="1"/>
  <c r="C910" i="5" s="1"/>
  <c r="D910" i="2"/>
  <c r="E910" i="2" s="1"/>
  <c r="B910" i="5" s="1"/>
  <c r="B910" i="2"/>
  <c r="C910" i="2" s="1"/>
  <c r="O909" i="2"/>
  <c r="L909" i="2"/>
  <c r="M909" i="2" s="1"/>
  <c r="N909" i="2" s="1"/>
  <c r="I909" i="2"/>
  <c r="J909" i="2" s="1"/>
  <c r="K909" i="2" s="1"/>
  <c r="F909" i="2"/>
  <c r="G909" i="2" s="1"/>
  <c r="H909" i="2" s="1"/>
  <c r="C909" i="5" s="1"/>
  <c r="D909" i="2"/>
  <c r="E909" i="2" s="1"/>
  <c r="B909" i="5" s="1"/>
  <c r="B909" i="2"/>
  <c r="C909" i="2" s="1"/>
  <c r="A909" i="5" s="1"/>
  <c r="O908" i="2"/>
  <c r="L908" i="2"/>
  <c r="M908" i="2" s="1"/>
  <c r="N908" i="2" s="1"/>
  <c r="I908" i="2"/>
  <c r="J908" i="2" s="1"/>
  <c r="K908" i="2" s="1"/>
  <c r="Z908" i="2" s="1"/>
  <c r="F908" i="2"/>
  <c r="G908" i="2" s="1"/>
  <c r="H908" i="2" s="1"/>
  <c r="C908" i="5" s="1"/>
  <c r="D908" i="2"/>
  <c r="E908" i="2" s="1"/>
  <c r="B908" i="5" s="1"/>
  <c r="B908" i="2"/>
  <c r="C908" i="2" s="1"/>
  <c r="O907" i="2"/>
  <c r="L907" i="2"/>
  <c r="M907" i="2" s="1"/>
  <c r="N907" i="2" s="1"/>
  <c r="I907" i="2"/>
  <c r="J907" i="2" s="1"/>
  <c r="K907" i="2" s="1"/>
  <c r="F907" i="2"/>
  <c r="G907" i="2" s="1"/>
  <c r="H907" i="2" s="1"/>
  <c r="C907" i="5" s="1"/>
  <c r="D907" i="2"/>
  <c r="E907" i="2" s="1"/>
  <c r="B907" i="5" s="1"/>
  <c r="B907" i="2"/>
  <c r="C907" i="2" s="1"/>
  <c r="A907" i="5" s="1"/>
  <c r="O906" i="2"/>
  <c r="L906" i="2"/>
  <c r="M906" i="2" s="1"/>
  <c r="N906" i="2" s="1"/>
  <c r="I906" i="2"/>
  <c r="J906" i="2" s="1"/>
  <c r="K906" i="2" s="1"/>
  <c r="Z906" i="2" s="1"/>
  <c r="F906" i="2"/>
  <c r="G906" i="2" s="1"/>
  <c r="H906" i="2" s="1"/>
  <c r="C906" i="5" s="1"/>
  <c r="D906" i="2"/>
  <c r="E906" i="2" s="1"/>
  <c r="B906" i="5" s="1"/>
  <c r="B906" i="2"/>
  <c r="C906" i="2" s="1"/>
  <c r="O905" i="2"/>
  <c r="L905" i="2"/>
  <c r="M905" i="2" s="1"/>
  <c r="N905" i="2" s="1"/>
  <c r="I905" i="2"/>
  <c r="J905" i="2" s="1"/>
  <c r="K905" i="2" s="1"/>
  <c r="F905" i="2"/>
  <c r="G905" i="2" s="1"/>
  <c r="H905" i="2" s="1"/>
  <c r="C905" i="5" s="1"/>
  <c r="D905" i="2"/>
  <c r="E905" i="2" s="1"/>
  <c r="B905" i="5" s="1"/>
  <c r="B905" i="2"/>
  <c r="C905" i="2" s="1"/>
  <c r="A905" i="5" s="1"/>
  <c r="O904" i="2"/>
  <c r="L904" i="2"/>
  <c r="M904" i="2" s="1"/>
  <c r="N904" i="2" s="1"/>
  <c r="I904" i="2"/>
  <c r="J904" i="2" s="1"/>
  <c r="K904" i="2" s="1"/>
  <c r="Z904" i="2" s="1"/>
  <c r="F904" i="2"/>
  <c r="G904" i="2" s="1"/>
  <c r="H904" i="2" s="1"/>
  <c r="C904" i="5" s="1"/>
  <c r="D904" i="2"/>
  <c r="E904" i="2" s="1"/>
  <c r="B904" i="5" s="1"/>
  <c r="B904" i="2"/>
  <c r="C904" i="2" s="1"/>
  <c r="O903" i="2"/>
  <c r="L903" i="2"/>
  <c r="M903" i="2" s="1"/>
  <c r="N903" i="2" s="1"/>
  <c r="I903" i="2"/>
  <c r="J903" i="2" s="1"/>
  <c r="K903" i="2" s="1"/>
  <c r="F903" i="2"/>
  <c r="G903" i="2" s="1"/>
  <c r="H903" i="2" s="1"/>
  <c r="C903" i="5" s="1"/>
  <c r="D903" i="2"/>
  <c r="E903" i="2" s="1"/>
  <c r="B903" i="5" s="1"/>
  <c r="B903" i="2"/>
  <c r="C903" i="2" s="1"/>
  <c r="A903" i="5" s="1"/>
  <c r="O902" i="2"/>
  <c r="L902" i="2"/>
  <c r="M902" i="2" s="1"/>
  <c r="N902" i="2" s="1"/>
  <c r="I902" i="2"/>
  <c r="J902" i="2" s="1"/>
  <c r="K902" i="2" s="1"/>
  <c r="Z902" i="2" s="1"/>
  <c r="F902" i="2"/>
  <c r="G902" i="2" s="1"/>
  <c r="H902" i="2" s="1"/>
  <c r="C902" i="5" s="1"/>
  <c r="D902" i="2"/>
  <c r="E902" i="2" s="1"/>
  <c r="B902" i="5" s="1"/>
  <c r="B902" i="2"/>
  <c r="C902" i="2" s="1"/>
  <c r="O901" i="2"/>
  <c r="L901" i="2"/>
  <c r="M901" i="2" s="1"/>
  <c r="N901" i="2" s="1"/>
  <c r="I901" i="2"/>
  <c r="J901" i="2" s="1"/>
  <c r="K901" i="2" s="1"/>
  <c r="F901" i="2"/>
  <c r="G901" i="2" s="1"/>
  <c r="H901" i="2" s="1"/>
  <c r="C901" i="5" s="1"/>
  <c r="D901" i="2"/>
  <c r="E901" i="2" s="1"/>
  <c r="B901" i="5" s="1"/>
  <c r="B901" i="2"/>
  <c r="C901" i="2" s="1"/>
  <c r="A901" i="5" s="1"/>
  <c r="O900" i="2"/>
  <c r="L900" i="2"/>
  <c r="M900" i="2" s="1"/>
  <c r="N900" i="2" s="1"/>
  <c r="I900" i="2"/>
  <c r="J900" i="2" s="1"/>
  <c r="K900" i="2" s="1"/>
  <c r="Z900" i="2" s="1"/>
  <c r="F900" i="2"/>
  <c r="G900" i="2" s="1"/>
  <c r="H900" i="2" s="1"/>
  <c r="C900" i="5" s="1"/>
  <c r="D900" i="2"/>
  <c r="E900" i="2" s="1"/>
  <c r="B900" i="5" s="1"/>
  <c r="B900" i="2"/>
  <c r="C900" i="2" s="1"/>
  <c r="O899" i="2"/>
  <c r="L899" i="2"/>
  <c r="M899" i="2" s="1"/>
  <c r="N899" i="2" s="1"/>
  <c r="I899" i="2"/>
  <c r="J899" i="2" s="1"/>
  <c r="K899" i="2" s="1"/>
  <c r="F899" i="2"/>
  <c r="G899" i="2" s="1"/>
  <c r="H899" i="2" s="1"/>
  <c r="C899" i="5" s="1"/>
  <c r="D899" i="2"/>
  <c r="E899" i="2" s="1"/>
  <c r="B899" i="5" s="1"/>
  <c r="B899" i="2"/>
  <c r="C899" i="2" s="1"/>
  <c r="A899" i="5" s="1"/>
  <c r="O898" i="2"/>
  <c r="L898" i="2"/>
  <c r="M898" i="2" s="1"/>
  <c r="N898" i="2" s="1"/>
  <c r="I898" i="2"/>
  <c r="J898" i="2" s="1"/>
  <c r="K898" i="2" s="1"/>
  <c r="Z898" i="2" s="1"/>
  <c r="F898" i="2"/>
  <c r="G898" i="2" s="1"/>
  <c r="H898" i="2" s="1"/>
  <c r="C898" i="5" s="1"/>
  <c r="D898" i="2"/>
  <c r="E898" i="2" s="1"/>
  <c r="B898" i="5" s="1"/>
  <c r="B898" i="2"/>
  <c r="C898" i="2" s="1"/>
  <c r="O897" i="2"/>
  <c r="L897" i="2"/>
  <c r="M897" i="2" s="1"/>
  <c r="N897" i="2" s="1"/>
  <c r="I897" i="2"/>
  <c r="J897" i="2" s="1"/>
  <c r="K897" i="2" s="1"/>
  <c r="F897" i="2"/>
  <c r="G897" i="2" s="1"/>
  <c r="H897" i="2" s="1"/>
  <c r="C897" i="5" s="1"/>
  <c r="D897" i="2"/>
  <c r="E897" i="2" s="1"/>
  <c r="B897" i="5" s="1"/>
  <c r="B897" i="2"/>
  <c r="C897" i="2" s="1"/>
  <c r="A897" i="5" s="1"/>
  <c r="O896" i="2"/>
  <c r="L896" i="2"/>
  <c r="M896" i="2" s="1"/>
  <c r="N896" i="2" s="1"/>
  <c r="I896" i="2"/>
  <c r="J896" i="2" s="1"/>
  <c r="K896" i="2" s="1"/>
  <c r="Z896" i="2" s="1"/>
  <c r="F896" i="2"/>
  <c r="G896" i="2" s="1"/>
  <c r="H896" i="2" s="1"/>
  <c r="C896" i="5" s="1"/>
  <c r="D896" i="2"/>
  <c r="E896" i="2" s="1"/>
  <c r="B896" i="5" s="1"/>
  <c r="B896" i="2"/>
  <c r="C896" i="2" s="1"/>
  <c r="O895" i="2"/>
  <c r="L895" i="2"/>
  <c r="M895" i="2" s="1"/>
  <c r="N895" i="2" s="1"/>
  <c r="I895" i="2"/>
  <c r="J895" i="2" s="1"/>
  <c r="K895" i="2" s="1"/>
  <c r="F895" i="2"/>
  <c r="G895" i="2" s="1"/>
  <c r="H895" i="2" s="1"/>
  <c r="C895" i="5" s="1"/>
  <c r="D895" i="2"/>
  <c r="E895" i="2" s="1"/>
  <c r="B895" i="5" s="1"/>
  <c r="B895" i="2"/>
  <c r="C895" i="2" s="1"/>
  <c r="A895" i="5" s="1"/>
  <c r="O894" i="2"/>
  <c r="L894" i="2"/>
  <c r="M894" i="2" s="1"/>
  <c r="N894" i="2" s="1"/>
  <c r="I894" i="2"/>
  <c r="J894" i="2" s="1"/>
  <c r="K894" i="2" s="1"/>
  <c r="Z894" i="2" s="1"/>
  <c r="F894" i="2"/>
  <c r="G894" i="2" s="1"/>
  <c r="H894" i="2" s="1"/>
  <c r="C894" i="5" s="1"/>
  <c r="D894" i="2"/>
  <c r="E894" i="2" s="1"/>
  <c r="B894" i="5" s="1"/>
  <c r="B894" i="2"/>
  <c r="C894" i="2" s="1"/>
  <c r="O893" i="2"/>
  <c r="L893" i="2"/>
  <c r="M893" i="2" s="1"/>
  <c r="N893" i="2" s="1"/>
  <c r="I893" i="2"/>
  <c r="J893" i="2" s="1"/>
  <c r="K893" i="2" s="1"/>
  <c r="F893" i="2"/>
  <c r="G893" i="2" s="1"/>
  <c r="H893" i="2" s="1"/>
  <c r="C893" i="5" s="1"/>
  <c r="D893" i="2"/>
  <c r="E893" i="2" s="1"/>
  <c r="B893" i="5" s="1"/>
  <c r="B893" i="2"/>
  <c r="C893" i="2" s="1"/>
  <c r="A893" i="5" s="1"/>
  <c r="O892" i="2"/>
  <c r="L892" i="2"/>
  <c r="M892" i="2" s="1"/>
  <c r="N892" i="2" s="1"/>
  <c r="I892" i="2"/>
  <c r="J892" i="2" s="1"/>
  <c r="K892" i="2" s="1"/>
  <c r="Z892" i="2" s="1"/>
  <c r="F892" i="2"/>
  <c r="G892" i="2" s="1"/>
  <c r="H892" i="2" s="1"/>
  <c r="C892" i="5" s="1"/>
  <c r="D892" i="2"/>
  <c r="E892" i="2" s="1"/>
  <c r="B892" i="5" s="1"/>
  <c r="B892" i="2"/>
  <c r="C892" i="2" s="1"/>
  <c r="O891" i="2"/>
  <c r="L891" i="2"/>
  <c r="M891" i="2" s="1"/>
  <c r="N891" i="2" s="1"/>
  <c r="I891" i="2"/>
  <c r="J891" i="2" s="1"/>
  <c r="K891" i="2" s="1"/>
  <c r="F891" i="2"/>
  <c r="G891" i="2" s="1"/>
  <c r="H891" i="2" s="1"/>
  <c r="C891" i="5" s="1"/>
  <c r="D891" i="2"/>
  <c r="E891" i="2" s="1"/>
  <c r="B891" i="5" s="1"/>
  <c r="B891" i="2"/>
  <c r="C891" i="2" s="1"/>
  <c r="A891" i="5" s="1"/>
  <c r="O890" i="2"/>
  <c r="L890" i="2"/>
  <c r="M890" i="2" s="1"/>
  <c r="N890" i="2" s="1"/>
  <c r="I890" i="2"/>
  <c r="J890" i="2" s="1"/>
  <c r="K890" i="2" s="1"/>
  <c r="Z890" i="2" s="1"/>
  <c r="F890" i="2"/>
  <c r="G890" i="2" s="1"/>
  <c r="H890" i="2" s="1"/>
  <c r="C890" i="5" s="1"/>
  <c r="D890" i="2"/>
  <c r="E890" i="2" s="1"/>
  <c r="B890" i="5" s="1"/>
  <c r="B890" i="2"/>
  <c r="C890" i="2" s="1"/>
  <c r="O889" i="2"/>
  <c r="L889" i="2"/>
  <c r="M889" i="2" s="1"/>
  <c r="N889" i="2" s="1"/>
  <c r="I889" i="2"/>
  <c r="J889" i="2" s="1"/>
  <c r="K889" i="2" s="1"/>
  <c r="F889" i="2"/>
  <c r="G889" i="2" s="1"/>
  <c r="H889" i="2" s="1"/>
  <c r="C889" i="5" s="1"/>
  <c r="D889" i="2"/>
  <c r="E889" i="2" s="1"/>
  <c r="B889" i="5" s="1"/>
  <c r="B889" i="2"/>
  <c r="C889" i="2" s="1"/>
  <c r="A889" i="5" s="1"/>
  <c r="O888" i="2"/>
  <c r="L888" i="2"/>
  <c r="M888" i="2" s="1"/>
  <c r="N888" i="2" s="1"/>
  <c r="I888" i="2"/>
  <c r="J888" i="2" s="1"/>
  <c r="K888" i="2" s="1"/>
  <c r="Z888" i="2" s="1"/>
  <c r="F888" i="2"/>
  <c r="G888" i="2" s="1"/>
  <c r="H888" i="2" s="1"/>
  <c r="C888" i="5" s="1"/>
  <c r="D888" i="2"/>
  <c r="E888" i="2" s="1"/>
  <c r="B888" i="5" s="1"/>
  <c r="B888" i="2"/>
  <c r="C888" i="2" s="1"/>
  <c r="O887" i="2"/>
  <c r="L887" i="2"/>
  <c r="M887" i="2" s="1"/>
  <c r="N887" i="2" s="1"/>
  <c r="I887" i="2"/>
  <c r="J887" i="2" s="1"/>
  <c r="K887" i="2" s="1"/>
  <c r="F887" i="2"/>
  <c r="G887" i="2" s="1"/>
  <c r="H887" i="2" s="1"/>
  <c r="C887" i="5" s="1"/>
  <c r="D887" i="2"/>
  <c r="E887" i="2" s="1"/>
  <c r="B887" i="5" s="1"/>
  <c r="B887" i="2"/>
  <c r="C887" i="2" s="1"/>
  <c r="A887" i="5" s="1"/>
  <c r="O886" i="2"/>
  <c r="L886" i="2"/>
  <c r="M886" i="2" s="1"/>
  <c r="N886" i="2" s="1"/>
  <c r="I886" i="2"/>
  <c r="J886" i="2" s="1"/>
  <c r="K886" i="2" s="1"/>
  <c r="Z886" i="2" s="1"/>
  <c r="F886" i="2"/>
  <c r="G886" i="2" s="1"/>
  <c r="H886" i="2" s="1"/>
  <c r="C886" i="5" s="1"/>
  <c r="D886" i="2"/>
  <c r="E886" i="2" s="1"/>
  <c r="B886" i="5" s="1"/>
  <c r="B886" i="2"/>
  <c r="C886" i="2" s="1"/>
  <c r="O885" i="2"/>
  <c r="L885" i="2"/>
  <c r="M885" i="2" s="1"/>
  <c r="N885" i="2" s="1"/>
  <c r="E885" i="5" s="1"/>
  <c r="I885" i="2"/>
  <c r="J885" i="2" s="1"/>
  <c r="K885" i="2" s="1"/>
  <c r="Z885" i="2" s="1"/>
  <c r="F885" i="2"/>
  <c r="G885" i="2" s="1"/>
  <c r="H885" i="2" s="1"/>
  <c r="C885" i="5" s="1"/>
  <c r="D885" i="2"/>
  <c r="E885" i="2" s="1"/>
  <c r="B885" i="5" s="1"/>
  <c r="B885" i="2"/>
  <c r="C885" i="2" s="1"/>
  <c r="A885" i="5" s="1"/>
  <c r="O884" i="2"/>
  <c r="L884" i="2"/>
  <c r="M884" i="2" s="1"/>
  <c r="N884" i="2" s="1"/>
  <c r="E884" i="5" s="1"/>
  <c r="I884" i="2"/>
  <c r="J884" i="2" s="1"/>
  <c r="K884" i="2" s="1"/>
  <c r="F884" i="2"/>
  <c r="G884" i="2" s="1"/>
  <c r="H884" i="2" s="1"/>
  <c r="C884" i="5" s="1"/>
  <c r="D884" i="2"/>
  <c r="E884" i="2" s="1"/>
  <c r="B884" i="5" s="1"/>
  <c r="B884" i="2"/>
  <c r="C884" i="2" s="1"/>
  <c r="A884" i="5" s="1"/>
  <c r="O883" i="2"/>
  <c r="L883" i="2"/>
  <c r="M883" i="2" s="1"/>
  <c r="N883" i="2" s="1"/>
  <c r="I883" i="2"/>
  <c r="J883" i="2" s="1"/>
  <c r="K883" i="2" s="1"/>
  <c r="F883" i="2"/>
  <c r="G883" i="2" s="1"/>
  <c r="H883" i="2" s="1"/>
  <c r="C883" i="5" s="1"/>
  <c r="D883" i="2"/>
  <c r="E883" i="2" s="1"/>
  <c r="B883" i="5" s="1"/>
  <c r="B883" i="2"/>
  <c r="C883" i="2" s="1"/>
  <c r="O882" i="2"/>
  <c r="L882" i="2"/>
  <c r="M882" i="2" s="1"/>
  <c r="N882" i="2" s="1"/>
  <c r="I882" i="2"/>
  <c r="J882" i="2" s="1"/>
  <c r="K882" i="2" s="1"/>
  <c r="Z882" i="2" s="1"/>
  <c r="F882" i="2"/>
  <c r="G882" i="2" s="1"/>
  <c r="H882" i="2" s="1"/>
  <c r="C882" i="5" s="1"/>
  <c r="D882" i="2"/>
  <c r="E882" i="2" s="1"/>
  <c r="B882" i="5" s="1"/>
  <c r="B882" i="2"/>
  <c r="C882" i="2" s="1"/>
  <c r="A882" i="5" s="1"/>
  <c r="O881" i="2"/>
  <c r="L881" i="2"/>
  <c r="M881" i="2" s="1"/>
  <c r="N881" i="2" s="1"/>
  <c r="E881" i="5" s="1"/>
  <c r="I881" i="2"/>
  <c r="J881" i="2" s="1"/>
  <c r="K881" i="2" s="1"/>
  <c r="Z881" i="2" s="1"/>
  <c r="F881" i="2"/>
  <c r="G881" i="2" s="1"/>
  <c r="H881" i="2" s="1"/>
  <c r="C881" i="5" s="1"/>
  <c r="D881" i="2"/>
  <c r="E881" i="2" s="1"/>
  <c r="B881" i="5" s="1"/>
  <c r="B881" i="2"/>
  <c r="C881" i="2" s="1"/>
  <c r="A881" i="5" s="1"/>
  <c r="O880" i="2"/>
  <c r="L880" i="2"/>
  <c r="M880" i="2" s="1"/>
  <c r="N880" i="2" s="1"/>
  <c r="E880" i="5" s="1"/>
  <c r="I880" i="2"/>
  <c r="J880" i="2" s="1"/>
  <c r="K880" i="2" s="1"/>
  <c r="F880" i="2"/>
  <c r="G880" i="2" s="1"/>
  <c r="H880" i="2" s="1"/>
  <c r="C880" i="5" s="1"/>
  <c r="D880" i="2"/>
  <c r="E880" i="2" s="1"/>
  <c r="B880" i="5" s="1"/>
  <c r="B880" i="2"/>
  <c r="C880" i="2" s="1"/>
  <c r="A880" i="5" s="1"/>
  <c r="O879" i="2"/>
  <c r="L879" i="2"/>
  <c r="M879" i="2" s="1"/>
  <c r="N879" i="2" s="1"/>
  <c r="I879" i="2"/>
  <c r="J879" i="2" s="1"/>
  <c r="K879" i="2" s="1"/>
  <c r="F879" i="2"/>
  <c r="G879" i="2" s="1"/>
  <c r="H879" i="2" s="1"/>
  <c r="C879" i="5" s="1"/>
  <c r="D879" i="2"/>
  <c r="E879" i="2" s="1"/>
  <c r="B879" i="5" s="1"/>
  <c r="B879" i="2"/>
  <c r="C879" i="2" s="1"/>
  <c r="O878" i="2"/>
  <c r="L878" i="2"/>
  <c r="M878" i="2" s="1"/>
  <c r="N878" i="2" s="1"/>
  <c r="I878" i="2"/>
  <c r="J878" i="2" s="1"/>
  <c r="K878" i="2" s="1"/>
  <c r="Z878" i="2" s="1"/>
  <c r="F878" i="2"/>
  <c r="G878" i="2" s="1"/>
  <c r="H878" i="2" s="1"/>
  <c r="C878" i="5" s="1"/>
  <c r="D878" i="2"/>
  <c r="E878" i="2" s="1"/>
  <c r="B878" i="5" s="1"/>
  <c r="B878" i="2"/>
  <c r="C878" i="2" s="1"/>
  <c r="A878" i="5" s="1"/>
  <c r="O877" i="2"/>
  <c r="L877" i="2"/>
  <c r="M877" i="2" s="1"/>
  <c r="N877" i="2" s="1"/>
  <c r="E877" i="5" s="1"/>
  <c r="I877" i="2"/>
  <c r="J877" i="2" s="1"/>
  <c r="K877" i="2" s="1"/>
  <c r="Z877" i="2" s="1"/>
  <c r="F877" i="2"/>
  <c r="G877" i="2" s="1"/>
  <c r="H877" i="2" s="1"/>
  <c r="C877" i="5" s="1"/>
  <c r="D877" i="2"/>
  <c r="E877" i="2" s="1"/>
  <c r="B877" i="5" s="1"/>
  <c r="B877" i="2"/>
  <c r="C877" i="2" s="1"/>
  <c r="A877" i="5" s="1"/>
  <c r="O876" i="2"/>
  <c r="L876" i="2"/>
  <c r="M876" i="2" s="1"/>
  <c r="N876" i="2" s="1"/>
  <c r="E876" i="5" s="1"/>
  <c r="I876" i="2"/>
  <c r="J876" i="2" s="1"/>
  <c r="K876" i="2" s="1"/>
  <c r="F876" i="2"/>
  <c r="G876" i="2" s="1"/>
  <c r="H876" i="2" s="1"/>
  <c r="C876" i="5" s="1"/>
  <c r="D876" i="2"/>
  <c r="E876" i="2" s="1"/>
  <c r="B876" i="5" s="1"/>
  <c r="B876" i="2"/>
  <c r="C876" i="2" s="1"/>
  <c r="A876" i="5" s="1"/>
  <c r="O875" i="2"/>
  <c r="L875" i="2"/>
  <c r="M875" i="2" s="1"/>
  <c r="N875" i="2" s="1"/>
  <c r="I875" i="2"/>
  <c r="J875" i="2" s="1"/>
  <c r="K875" i="2" s="1"/>
  <c r="F875" i="2"/>
  <c r="G875" i="2" s="1"/>
  <c r="H875" i="2" s="1"/>
  <c r="C875" i="5" s="1"/>
  <c r="D875" i="2"/>
  <c r="E875" i="2" s="1"/>
  <c r="B875" i="5" s="1"/>
  <c r="B875" i="2"/>
  <c r="C875" i="2" s="1"/>
  <c r="A875" i="5" s="1"/>
  <c r="O874" i="2"/>
  <c r="L874" i="2"/>
  <c r="M874" i="2" s="1"/>
  <c r="N874" i="2" s="1"/>
  <c r="I874" i="2"/>
  <c r="J874" i="2" s="1"/>
  <c r="K874" i="2" s="1"/>
  <c r="Z874" i="2" s="1"/>
  <c r="F874" i="2"/>
  <c r="G874" i="2" s="1"/>
  <c r="H874" i="2" s="1"/>
  <c r="C874" i="5" s="1"/>
  <c r="D874" i="2"/>
  <c r="E874" i="2" s="1"/>
  <c r="B874" i="5" s="1"/>
  <c r="B874" i="2"/>
  <c r="C874" i="2" s="1"/>
  <c r="O873" i="2"/>
  <c r="L873" i="2"/>
  <c r="M873" i="2" s="1"/>
  <c r="N873" i="2" s="1"/>
  <c r="E873" i="5" s="1"/>
  <c r="I873" i="2"/>
  <c r="J873" i="2" s="1"/>
  <c r="K873" i="2" s="1"/>
  <c r="Z873" i="2" s="1"/>
  <c r="F873" i="2"/>
  <c r="G873" i="2" s="1"/>
  <c r="H873" i="2" s="1"/>
  <c r="C873" i="5" s="1"/>
  <c r="D873" i="2"/>
  <c r="E873" i="2" s="1"/>
  <c r="B873" i="5" s="1"/>
  <c r="B873" i="2"/>
  <c r="C873" i="2" s="1"/>
  <c r="A873" i="5" s="1"/>
  <c r="O872" i="2"/>
  <c r="L872" i="2"/>
  <c r="M872" i="2" s="1"/>
  <c r="N872" i="2" s="1"/>
  <c r="E872" i="5" s="1"/>
  <c r="I872" i="2"/>
  <c r="J872" i="2" s="1"/>
  <c r="K872" i="2" s="1"/>
  <c r="F872" i="2"/>
  <c r="G872" i="2" s="1"/>
  <c r="H872" i="2" s="1"/>
  <c r="C872" i="5" s="1"/>
  <c r="D872" i="2"/>
  <c r="E872" i="2" s="1"/>
  <c r="B872" i="5" s="1"/>
  <c r="B872" i="2"/>
  <c r="C872" i="2" s="1"/>
  <c r="A872" i="5" s="1"/>
  <c r="O871" i="2"/>
  <c r="L871" i="2"/>
  <c r="M871" i="2" s="1"/>
  <c r="N871" i="2" s="1"/>
  <c r="I871" i="2"/>
  <c r="J871" i="2" s="1"/>
  <c r="K871" i="2" s="1"/>
  <c r="F871" i="2"/>
  <c r="G871" i="2" s="1"/>
  <c r="H871" i="2" s="1"/>
  <c r="C871" i="5" s="1"/>
  <c r="D871" i="2"/>
  <c r="E871" i="2" s="1"/>
  <c r="B871" i="5" s="1"/>
  <c r="B871" i="2"/>
  <c r="C871" i="2" s="1"/>
  <c r="O870" i="2"/>
  <c r="L870" i="2"/>
  <c r="M870" i="2" s="1"/>
  <c r="N870" i="2" s="1"/>
  <c r="I870" i="2"/>
  <c r="J870" i="2" s="1"/>
  <c r="K870" i="2" s="1"/>
  <c r="Z870" i="2" s="1"/>
  <c r="F870" i="2"/>
  <c r="G870" i="2" s="1"/>
  <c r="H870" i="2" s="1"/>
  <c r="C870" i="5" s="1"/>
  <c r="D870" i="2"/>
  <c r="E870" i="2" s="1"/>
  <c r="B870" i="5" s="1"/>
  <c r="B870" i="2"/>
  <c r="C870" i="2" s="1"/>
  <c r="O869" i="2"/>
  <c r="L869" i="2"/>
  <c r="M869" i="2" s="1"/>
  <c r="N869" i="2" s="1"/>
  <c r="E869" i="5" s="1"/>
  <c r="I869" i="2"/>
  <c r="J869" i="2" s="1"/>
  <c r="K869" i="2" s="1"/>
  <c r="Z869" i="2" s="1"/>
  <c r="F869" i="2"/>
  <c r="G869" i="2" s="1"/>
  <c r="H869" i="2" s="1"/>
  <c r="C869" i="5" s="1"/>
  <c r="D869" i="2"/>
  <c r="E869" i="2" s="1"/>
  <c r="B869" i="5" s="1"/>
  <c r="B869" i="2"/>
  <c r="C869" i="2" s="1"/>
  <c r="A869" i="5" s="1"/>
  <c r="O868" i="2"/>
  <c r="L868" i="2"/>
  <c r="M868" i="2" s="1"/>
  <c r="N868" i="2" s="1"/>
  <c r="E868" i="5" s="1"/>
  <c r="I868" i="2"/>
  <c r="J868" i="2" s="1"/>
  <c r="K868" i="2" s="1"/>
  <c r="F868" i="2"/>
  <c r="G868" i="2" s="1"/>
  <c r="H868" i="2" s="1"/>
  <c r="C868" i="5" s="1"/>
  <c r="D868" i="2"/>
  <c r="E868" i="2" s="1"/>
  <c r="B868" i="5" s="1"/>
  <c r="B868" i="2"/>
  <c r="C868" i="2" s="1"/>
  <c r="A868" i="5" s="1"/>
  <c r="O867" i="2"/>
  <c r="L867" i="2"/>
  <c r="M867" i="2" s="1"/>
  <c r="N867" i="2" s="1"/>
  <c r="I867" i="2"/>
  <c r="J867" i="2" s="1"/>
  <c r="K867" i="2" s="1"/>
  <c r="F867" i="2"/>
  <c r="G867" i="2" s="1"/>
  <c r="H867" i="2" s="1"/>
  <c r="C867" i="5" s="1"/>
  <c r="D867" i="2"/>
  <c r="E867" i="2" s="1"/>
  <c r="B867" i="5" s="1"/>
  <c r="B867" i="2"/>
  <c r="C867" i="2" s="1"/>
  <c r="A867" i="5" s="1"/>
  <c r="O866" i="2"/>
  <c r="L866" i="2"/>
  <c r="M866" i="2" s="1"/>
  <c r="N866" i="2" s="1"/>
  <c r="I866" i="2"/>
  <c r="J866" i="2" s="1"/>
  <c r="K866" i="2" s="1"/>
  <c r="Z866" i="2" s="1"/>
  <c r="F866" i="2"/>
  <c r="G866" i="2" s="1"/>
  <c r="H866" i="2" s="1"/>
  <c r="C866" i="5" s="1"/>
  <c r="D866" i="2"/>
  <c r="E866" i="2" s="1"/>
  <c r="B866" i="5" s="1"/>
  <c r="B866" i="2"/>
  <c r="C866" i="2" s="1"/>
  <c r="O865" i="2"/>
  <c r="L865" i="2"/>
  <c r="M865" i="2" s="1"/>
  <c r="N865" i="2" s="1"/>
  <c r="E865" i="5" s="1"/>
  <c r="I865" i="2"/>
  <c r="J865" i="2" s="1"/>
  <c r="K865" i="2" s="1"/>
  <c r="Z865" i="2" s="1"/>
  <c r="F865" i="2"/>
  <c r="G865" i="2" s="1"/>
  <c r="H865" i="2" s="1"/>
  <c r="C865" i="5" s="1"/>
  <c r="D865" i="2"/>
  <c r="E865" i="2" s="1"/>
  <c r="B865" i="5" s="1"/>
  <c r="B865" i="2"/>
  <c r="C865" i="2" s="1"/>
  <c r="A865" i="5" s="1"/>
  <c r="O864" i="2"/>
  <c r="L864" i="2"/>
  <c r="M864" i="2" s="1"/>
  <c r="N864" i="2" s="1"/>
  <c r="E864" i="5" s="1"/>
  <c r="I864" i="2"/>
  <c r="J864" i="2" s="1"/>
  <c r="K864" i="2" s="1"/>
  <c r="F864" i="2"/>
  <c r="G864" i="2" s="1"/>
  <c r="H864" i="2" s="1"/>
  <c r="C864" i="5" s="1"/>
  <c r="D864" i="2"/>
  <c r="E864" i="2" s="1"/>
  <c r="B864" i="5" s="1"/>
  <c r="B864" i="2"/>
  <c r="C864" i="2" s="1"/>
  <c r="A864" i="5" s="1"/>
  <c r="O863" i="2"/>
  <c r="L863" i="2"/>
  <c r="M863" i="2" s="1"/>
  <c r="N863" i="2" s="1"/>
  <c r="I863" i="2"/>
  <c r="J863" i="2" s="1"/>
  <c r="K863" i="2" s="1"/>
  <c r="F863" i="2"/>
  <c r="G863" i="2" s="1"/>
  <c r="H863" i="2" s="1"/>
  <c r="C863" i="5" s="1"/>
  <c r="D863" i="2"/>
  <c r="E863" i="2" s="1"/>
  <c r="B863" i="5" s="1"/>
  <c r="B863" i="2"/>
  <c r="C863" i="2" s="1"/>
  <c r="O862" i="2"/>
  <c r="L862" i="2"/>
  <c r="M862" i="2" s="1"/>
  <c r="N862" i="2" s="1"/>
  <c r="I862" i="2"/>
  <c r="J862" i="2" s="1"/>
  <c r="K862" i="2" s="1"/>
  <c r="Z862" i="2" s="1"/>
  <c r="F862" i="2"/>
  <c r="G862" i="2" s="1"/>
  <c r="H862" i="2" s="1"/>
  <c r="C862" i="5" s="1"/>
  <c r="D862" i="2"/>
  <c r="E862" i="2" s="1"/>
  <c r="B862" i="5" s="1"/>
  <c r="B862" i="2"/>
  <c r="C862" i="2" s="1"/>
  <c r="O861" i="2"/>
  <c r="L861" i="2"/>
  <c r="M861" i="2" s="1"/>
  <c r="N861" i="2" s="1"/>
  <c r="E861" i="5" s="1"/>
  <c r="I861" i="2"/>
  <c r="J861" i="2" s="1"/>
  <c r="K861" i="2" s="1"/>
  <c r="Z861" i="2" s="1"/>
  <c r="F861" i="2"/>
  <c r="G861" i="2" s="1"/>
  <c r="H861" i="2" s="1"/>
  <c r="C861" i="5" s="1"/>
  <c r="D861" i="2"/>
  <c r="E861" i="2" s="1"/>
  <c r="B861" i="5" s="1"/>
  <c r="B861" i="2"/>
  <c r="C861" i="2" s="1"/>
  <c r="A861" i="5" s="1"/>
  <c r="O860" i="2"/>
  <c r="L860" i="2"/>
  <c r="M860" i="2" s="1"/>
  <c r="N860" i="2" s="1"/>
  <c r="E860" i="5" s="1"/>
  <c r="I860" i="2"/>
  <c r="J860" i="2" s="1"/>
  <c r="K860" i="2" s="1"/>
  <c r="F860" i="2"/>
  <c r="G860" i="2" s="1"/>
  <c r="H860" i="2" s="1"/>
  <c r="C860" i="5" s="1"/>
  <c r="D860" i="2"/>
  <c r="E860" i="2" s="1"/>
  <c r="B860" i="5" s="1"/>
  <c r="B860" i="2"/>
  <c r="C860" i="2" s="1"/>
  <c r="A860" i="5" s="1"/>
  <c r="O859" i="2"/>
  <c r="L859" i="2"/>
  <c r="M859" i="2" s="1"/>
  <c r="N859" i="2" s="1"/>
  <c r="I859" i="2"/>
  <c r="J859" i="2" s="1"/>
  <c r="K859" i="2" s="1"/>
  <c r="F859" i="2"/>
  <c r="G859" i="2" s="1"/>
  <c r="H859" i="2" s="1"/>
  <c r="C859" i="5" s="1"/>
  <c r="D859" i="2"/>
  <c r="E859" i="2" s="1"/>
  <c r="B859" i="5" s="1"/>
  <c r="B859" i="2"/>
  <c r="C859" i="2" s="1"/>
  <c r="A859" i="5" s="1"/>
  <c r="O858" i="2"/>
  <c r="L858" i="2"/>
  <c r="M858" i="2" s="1"/>
  <c r="N858" i="2" s="1"/>
  <c r="I858" i="2"/>
  <c r="J858" i="2" s="1"/>
  <c r="K858" i="2" s="1"/>
  <c r="Z858" i="2" s="1"/>
  <c r="F858" i="2"/>
  <c r="G858" i="2" s="1"/>
  <c r="H858" i="2" s="1"/>
  <c r="C858" i="5" s="1"/>
  <c r="D858" i="2"/>
  <c r="E858" i="2" s="1"/>
  <c r="B858" i="5" s="1"/>
  <c r="B858" i="2"/>
  <c r="C858" i="2" s="1"/>
  <c r="A858" i="5" s="1"/>
  <c r="O857" i="2"/>
  <c r="L857" i="2"/>
  <c r="M857" i="2" s="1"/>
  <c r="N857" i="2" s="1"/>
  <c r="E857" i="5" s="1"/>
  <c r="I857" i="2"/>
  <c r="J857" i="2" s="1"/>
  <c r="K857" i="2" s="1"/>
  <c r="Z857" i="2" s="1"/>
  <c r="F857" i="2"/>
  <c r="G857" i="2" s="1"/>
  <c r="H857" i="2" s="1"/>
  <c r="C857" i="5" s="1"/>
  <c r="D857" i="2"/>
  <c r="E857" i="2" s="1"/>
  <c r="B857" i="5" s="1"/>
  <c r="B857" i="2"/>
  <c r="C857" i="2" s="1"/>
  <c r="A857" i="5" s="1"/>
  <c r="O856" i="2"/>
  <c r="L856" i="2"/>
  <c r="M856" i="2" s="1"/>
  <c r="N856" i="2" s="1"/>
  <c r="E856" i="5" s="1"/>
  <c r="I856" i="2"/>
  <c r="J856" i="2" s="1"/>
  <c r="K856" i="2" s="1"/>
  <c r="F856" i="2"/>
  <c r="G856" i="2" s="1"/>
  <c r="H856" i="2" s="1"/>
  <c r="C856" i="5" s="1"/>
  <c r="D856" i="2"/>
  <c r="E856" i="2" s="1"/>
  <c r="B856" i="5" s="1"/>
  <c r="B856" i="2"/>
  <c r="C856" i="2" s="1"/>
  <c r="A856" i="5" s="1"/>
  <c r="O855" i="2"/>
  <c r="L855" i="2"/>
  <c r="M855" i="2" s="1"/>
  <c r="N855" i="2" s="1"/>
  <c r="I855" i="2"/>
  <c r="J855" i="2" s="1"/>
  <c r="K855" i="2" s="1"/>
  <c r="F855" i="2"/>
  <c r="G855" i="2" s="1"/>
  <c r="H855" i="2" s="1"/>
  <c r="C855" i="5" s="1"/>
  <c r="D855" i="2"/>
  <c r="E855" i="2" s="1"/>
  <c r="B855" i="5" s="1"/>
  <c r="B855" i="2"/>
  <c r="C855" i="2" s="1"/>
  <c r="O854" i="2"/>
  <c r="L854" i="2"/>
  <c r="M854" i="2" s="1"/>
  <c r="N854" i="2" s="1"/>
  <c r="I854" i="2"/>
  <c r="J854" i="2" s="1"/>
  <c r="K854" i="2" s="1"/>
  <c r="Z854" i="2" s="1"/>
  <c r="F854" i="2"/>
  <c r="G854" i="2" s="1"/>
  <c r="H854" i="2" s="1"/>
  <c r="C854" i="5" s="1"/>
  <c r="D854" i="2"/>
  <c r="E854" i="2" s="1"/>
  <c r="B854" i="5" s="1"/>
  <c r="B854" i="2"/>
  <c r="C854" i="2" s="1"/>
  <c r="O853" i="2"/>
  <c r="L853" i="2"/>
  <c r="M853" i="2" s="1"/>
  <c r="N853" i="2" s="1"/>
  <c r="E853" i="5" s="1"/>
  <c r="I853" i="2"/>
  <c r="J853" i="2" s="1"/>
  <c r="K853" i="2" s="1"/>
  <c r="Z853" i="2" s="1"/>
  <c r="F853" i="2"/>
  <c r="G853" i="2" s="1"/>
  <c r="H853" i="2" s="1"/>
  <c r="C853" i="5" s="1"/>
  <c r="D853" i="2"/>
  <c r="E853" i="2" s="1"/>
  <c r="B853" i="5" s="1"/>
  <c r="B853" i="2"/>
  <c r="C853" i="2" s="1"/>
  <c r="A853" i="5" s="1"/>
  <c r="O852" i="2"/>
  <c r="L852" i="2"/>
  <c r="M852" i="2" s="1"/>
  <c r="N852" i="2" s="1"/>
  <c r="E852" i="5" s="1"/>
  <c r="I852" i="2"/>
  <c r="J852" i="2" s="1"/>
  <c r="K852" i="2" s="1"/>
  <c r="F852" i="2"/>
  <c r="G852" i="2" s="1"/>
  <c r="H852" i="2" s="1"/>
  <c r="C852" i="5" s="1"/>
  <c r="D852" i="2"/>
  <c r="E852" i="2" s="1"/>
  <c r="B852" i="5" s="1"/>
  <c r="B852" i="2"/>
  <c r="C852" i="2" s="1"/>
  <c r="A852" i="5" s="1"/>
  <c r="O851" i="2"/>
  <c r="L851" i="2"/>
  <c r="M851" i="2" s="1"/>
  <c r="N851" i="2" s="1"/>
  <c r="I851" i="2"/>
  <c r="J851" i="2" s="1"/>
  <c r="K851" i="2" s="1"/>
  <c r="F851" i="2"/>
  <c r="G851" i="2" s="1"/>
  <c r="H851" i="2" s="1"/>
  <c r="C851" i="5" s="1"/>
  <c r="D851" i="2"/>
  <c r="E851" i="2" s="1"/>
  <c r="B851" i="5" s="1"/>
  <c r="B851" i="2"/>
  <c r="C851" i="2" s="1"/>
  <c r="A851" i="5" s="1"/>
  <c r="O850" i="2"/>
  <c r="L850" i="2"/>
  <c r="M850" i="2" s="1"/>
  <c r="N850" i="2" s="1"/>
  <c r="I850" i="2"/>
  <c r="J850" i="2" s="1"/>
  <c r="K850" i="2" s="1"/>
  <c r="Z850" i="2" s="1"/>
  <c r="F850" i="2"/>
  <c r="G850" i="2" s="1"/>
  <c r="H850" i="2" s="1"/>
  <c r="C850" i="5" s="1"/>
  <c r="D850" i="2"/>
  <c r="E850" i="2" s="1"/>
  <c r="B850" i="5" s="1"/>
  <c r="B850" i="2"/>
  <c r="C850" i="2" s="1"/>
  <c r="A850" i="5" s="1"/>
  <c r="O849" i="2"/>
  <c r="L849" i="2"/>
  <c r="M849" i="2" s="1"/>
  <c r="N849" i="2" s="1"/>
  <c r="E849" i="5" s="1"/>
  <c r="I849" i="2"/>
  <c r="J849" i="2" s="1"/>
  <c r="K849" i="2" s="1"/>
  <c r="Z849" i="2" s="1"/>
  <c r="F849" i="2"/>
  <c r="G849" i="2" s="1"/>
  <c r="H849" i="2" s="1"/>
  <c r="C849" i="5" s="1"/>
  <c r="D849" i="2"/>
  <c r="E849" i="2" s="1"/>
  <c r="B849" i="5" s="1"/>
  <c r="B849" i="2"/>
  <c r="C849" i="2" s="1"/>
  <c r="A849" i="5" s="1"/>
  <c r="O848" i="2"/>
  <c r="L848" i="2"/>
  <c r="M848" i="2" s="1"/>
  <c r="N848" i="2" s="1"/>
  <c r="E848" i="5" s="1"/>
  <c r="I848" i="2"/>
  <c r="J848" i="2" s="1"/>
  <c r="K848" i="2" s="1"/>
  <c r="F848" i="2"/>
  <c r="G848" i="2" s="1"/>
  <c r="H848" i="2" s="1"/>
  <c r="C848" i="5" s="1"/>
  <c r="D848" i="2"/>
  <c r="E848" i="2" s="1"/>
  <c r="B848" i="5" s="1"/>
  <c r="B848" i="2"/>
  <c r="C848" i="2" s="1"/>
  <c r="A848" i="5" s="1"/>
  <c r="O847" i="2"/>
  <c r="L847" i="2"/>
  <c r="M847" i="2" s="1"/>
  <c r="N847" i="2" s="1"/>
  <c r="I847" i="2"/>
  <c r="J847" i="2" s="1"/>
  <c r="K847" i="2" s="1"/>
  <c r="F847" i="2"/>
  <c r="G847" i="2" s="1"/>
  <c r="H847" i="2" s="1"/>
  <c r="C847" i="5" s="1"/>
  <c r="D847" i="2"/>
  <c r="E847" i="2" s="1"/>
  <c r="B847" i="5" s="1"/>
  <c r="B847" i="2"/>
  <c r="C847" i="2" s="1"/>
  <c r="O846" i="2"/>
  <c r="L846" i="2"/>
  <c r="M846" i="2" s="1"/>
  <c r="N846" i="2" s="1"/>
  <c r="I846" i="2"/>
  <c r="J846" i="2" s="1"/>
  <c r="K846" i="2" s="1"/>
  <c r="Z846" i="2" s="1"/>
  <c r="F846" i="2"/>
  <c r="G846" i="2" s="1"/>
  <c r="H846" i="2" s="1"/>
  <c r="C846" i="5" s="1"/>
  <c r="D846" i="2"/>
  <c r="E846" i="2" s="1"/>
  <c r="B846" i="5" s="1"/>
  <c r="B846" i="2"/>
  <c r="C846" i="2" s="1"/>
  <c r="A846" i="5" s="1"/>
  <c r="O845" i="2"/>
  <c r="L845" i="2"/>
  <c r="M845" i="2" s="1"/>
  <c r="N845" i="2" s="1"/>
  <c r="E845" i="5" s="1"/>
  <c r="I845" i="2"/>
  <c r="J845" i="2" s="1"/>
  <c r="K845" i="2" s="1"/>
  <c r="Z845" i="2" s="1"/>
  <c r="F845" i="2"/>
  <c r="G845" i="2" s="1"/>
  <c r="H845" i="2" s="1"/>
  <c r="C845" i="5" s="1"/>
  <c r="D845" i="2"/>
  <c r="E845" i="2" s="1"/>
  <c r="B845" i="5" s="1"/>
  <c r="B845" i="2"/>
  <c r="C845" i="2" s="1"/>
  <c r="A845" i="5" s="1"/>
  <c r="O844" i="2"/>
  <c r="L844" i="2"/>
  <c r="M844" i="2" s="1"/>
  <c r="N844" i="2" s="1"/>
  <c r="E844" i="5" s="1"/>
  <c r="I844" i="2"/>
  <c r="J844" i="2" s="1"/>
  <c r="K844" i="2" s="1"/>
  <c r="F844" i="2"/>
  <c r="G844" i="2" s="1"/>
  <c r="H844" i="2" s="1"/>
  <c r="C844" i="5" s="1"/>
  <c r="D844" i="2"/>
  <c r="E844" i="2" s="1"/>
  <c r="B844" i="5" s="1"/>
  <c r="B844" i="2"/>
  <c r="C844" i="2" s="1"/>
  <c r="A844" i="5" s="1"/>
  <c r="O843" i="2"/>
  <c r="L843" i="2"/>
  <c r="M843" i="2" s="1"/>
  <c r="N843" i="2" s="1"/>
  <c r="I843" i="2"/>
  <c r="J843" i="2" s="1"/>
  <c r="K843" i="2" s="1"/>
  <c r="F843" i="2"/>
  <c r="G843" i="2" s="1"/>
  <c r="H843" i="2" s="1"/>
  <c r="C843" i="5" s="1"/>
  <c r="D843" i="2"/>
  <c r="E843" i="2" s="1"/>
  <c r="B843" i="5" s="1"/>
  <c r="B843" i="2"/>
  <c r="C843" i="2" s="1"/>
  <c r="A843" i="5" s="1"/>
  <c r="O842" i="2"/>
  <c r="L842" i="2"/>
  <c r="M842" i="2" s="1"/>
  <c r="N842" i="2" s="1"/>
  <c r="I842" i="2"/>
  <c r="J842" i="2" s="1"/>
  <c r="K842" i="2" s="1"/>
  <c r="Z842" i="2" s="1"/>
  <c r="F842" i="2"/>
  <c r="G842" i="2" s="1"/>
  <c r="H842" i="2" s="1"/>
  <c r="C842" i="5" s="1"/>
  <c r="D842" i="2"/>
  <c r="E842" i="2" s="1"/>
  <c r="B842" i="5" s="1"/>
  <c r="B842" i="2"/>
  <c r="C842" i="2" s="1"/>
  <c r="O841" i="2"/>
  <c r="L841" i="2"/>
  <c r="M841" i="2" s="1"/>
  <c r="N841" i="2" s="1"/>
  <c r="E841" i="5" s="1"/>
  <c r="I841" i="2"/>
  <c r="J841" i="2" s="1"/>
  <c r="K841" i="2" s="1"/>
  <c r="Z841" i="2" s="1"/>
  <c r="F841" i="2"/>
  <c r="G841" i="2" s="1"/>
  <c r="H841" i="2" s="1"/>
  <c r="C841" i="5" s="1"/>
  <c r="D841" i="2"/>
  <c r="E841" i="2" s="1"/>
  <c r="B841" i="5" s="1"/>
  <c r="B841" i="2"/>
  <c r="C841" i="2" s="1"/>
  <c r="A841" i="5" s="1"/>
  <c r="O840" i="2"/>
  <c r="L840" i="2"/>
  <c r="M840" i="2" s="1"/>
  <c r="N840" i="2" s="1"/>
  <c r="E840" i="5" s="1"/>
  <c r="I840" i="2"/>
  <c r="J840" i="2" s="1"/>
  <c r="K840" i="2" s="1"/>
  <c r="F840" i="2"/>
  <c r="G840" i="2" s="1"/>
  <c r="H840" i="2" s="1"/>
  <c r="C840" i="5" s="1"/>
  <c r="D840" i="2"/>
  <c r="E840" i="2" s="1"/>
  <c r="B840" i="5" s="1"/>
  <c r="B840" i="2"/>
  <c r="C840" i="2" s="1"/>
  <c r="A840" i="5" s="1"/>
  <c r="O839" i="2"/>
  <c r="L839" i="2"/>
  <c r="M839" i="2" s="1"/>
  <c r="N839" i="2" s="1"/>
  <c r="I839" i="2"/>
  <c r="J839" i="2" s="1"/>
  <c r="K839" i="2" s="1"/>
  <c r="F839" i="2"/>
  <c r="G839" i="2" s="1"/>
  <c r="H839" i="2" s="1"/>
  <c r="C839" i="5" s="1"/>
  <c r="D839" i="2"/>
  <c r="E839" i="2" s="1"/>
  <c r="B839" i="5" s="1"/>
  <c r="B839" i="2"/>
  <c r="C839" i="2" s="1"/>
  <c r="A839" i="5" s="1"/>
  <c r="O838" i="2"/>
  <c r="L838" i="2"/>
  <c r="M838" i="2" s="1"/>
  <c r="N838" i="2" s="1"/>
  <c r="I838" i="2"/>
  <c r="J838" i="2" s="1"/>
  <c r="K838" i="2" s="1"/>
  <c r="Z838" i="2" s="1"/>
  <c r="F838" i="2"/>
  <c r="G838" i="2" s="1"/>
  <c r="H838" i="2" s="1"/>
  <c r="C838" i="5" s="1"/>
  <c r="D838" i="2"/>
  <c r="E838" i="2" s="1"/>
  <c r="B838" i="5" s="1"/>
  <c r="B838" i="2"/>
  <c r="C838" i="2" s="1"/>
  <c r="O837" i="2"/>
  <c r="L837" i="2"/>
  <c r="M837" i="2" s="1"/>
  <c r="N837" i="2" s="1"/>
  <c r="E837" i="5" s="1"/>
  <c r="I837" i="2"/>
  <c r="J837" i="2" s="1"/>
  <c r="K837" i="2" s="1"/>
  <c r="Z837" i="2" s="1"/>
  <c r="F837" i="2"/>
  <c r="G837" i="2" s="1"/>
  <c r="H837" i="2" s="1"/>
  <c r="C837" i="5" s="1"/>
  <c r="D837" i="2"/>
  <c r="E837" i="2" s="1"/>
  <c r="B837" i="5" s="1"/>
  <c r="B837" i="2"/>
  <c r="C837" i="2" s="1"/>
  <c r="A837" i="5" s="1"/>
  <c r="O836" i="2"/>
  <c r="L836" i="2"/>
  <c r="M836" i="2" s="1"/>
  <c r="N836" i="2" s="1"/>
  <c r="E836" i="5" s="1"/>
  <c r="I836" i="2"/>
  <c r="J836" i="2" s="1"/>
  <c r="K836" i="2" s="1"/>
  <c r="F836" i="2"/>
  <c r="G836" i="2" s="1"/>
  <c r="H836" i="2" s="1"/>
  <c r="C836" i="5" s="1"/>
  <c r="D836" i="2"/>
  <c r="E836" i="2" s="1"/>
  <c r="B836" i="5" s="1"/>
  <c r="B836" i="2"/>
  <c r="C836" i="2" s="1"/>
  <c r="A836" i="5" s="1"/>
  <c r="O835" i="2"/>
  <c r="L835" i="2"/>
  <c r="M835" i="2" s="1"/>
  <c r="N835" i="2" s="1"/>
  <c r="I835" i="2"/>
  <c r="J835" i="2" s="1"/>
  <c r="K835" i="2" s="1"/>
  <c r="F835" i="2"/>
  <c r="G835" i="2" s="1"/>
  <c r="H835" i="2" s="1"/>
  <c r="C835" i="5" s="1"/>
  <c r="D835" i="2"/>
  <c r="E835" i="2" s="1"/>
  <c r="B835" i="5" s="1"/>
  <c r="B835" i="2"/>
  <c r="C835" i="2" s="1"/>
  <c r="A835" i="5" s="1"/>
  <c r="O834" i="2"/>
  <c r="L834" i="2"/>
  <c r="M834" i="2" s="1"/>
  <c r="N834" i="2" s="1"/>
  <c r="I834" i="2"/>
  <c r="J834" i="2" s="1"/>
  <c r="K834" i="2" s="1"/>
  <c r="Z834" i="2" s="1"/>
  <c r="F834" i="2"/>
  <c r="G834" i="2" s="1"/>
  <c r="H834" i="2" s="1"/>
  <c r="C834" i="5" s="1"/>
  <c r="D834" i="2"/>
  <c r="E834" i="2" s="1"/>
  <c r="B834" i="5" s="1"/>
  <c r="B834" i="2"/>
  <c r="C834" i="2" s="1"/>
  <c r="O833" i="2"/>
  <c r="L833" i="2"/>
  <c r="M833" i="2" s="1"/>
  <c r="N833" i="2" s="1"/>
  <c r="E833" i="5" s="1"/>
  <c r="I833" i="2"/>
  <c r="J833" i="2" s="1"/>
  <c r="K833" i="2" s="1"/>
  <c r="Z833" i="2" s="1"/>
  <c r="F833" i="2"/>
  <c r="G833" i="2" s="1"/>
  <c r="H833" i="2" s="1"/>
  <c r="C833" i="5" s="1"/>
  <c r="D833" i="2"/>
  <c r="E833" i="2" s="1"/>
  <c r="B833" i="5" s="1"/>
  <c r="B833" i="2"/>
  <c r="C833" i="2" s="1"/>
  <c r="A833" i="5" s="1"/>
  <c r="O832" i="2"/>
  <c r="L832" i="2"/>
  <c r="M832" i="2" s="1"/>
  <c r="N832" i="2" s="1"/>
  <c r="E832" i="5" s="1"/>
  <c r="I832" i="2"/>
  <c r="J832" i="2" s="1"/>
  <c r="K832" i="2" s="1"/>
  <c r="F832" i="2"/>
  <c r="G832" i="2" s="1"/>
  <c r="H832" i="2" s="1"/>
  <c r="C832" i="5" s="1"/>
  <c r="D832" i="2"/>
  <c r="E832" i="2" s="1"/>
  <c r="B832" i="5" s="1"/>
  <c r="B832" i="2"/>
  <c r="C832" i="2" s="1"/>
  <c r="A832" i="5" s="1"/>
  <c r="O831" i="2"/>
  <c r="L831" i="2"/>
  <c r="M831" i="2" s="1"/>
  <c r="N831" i="2" s="1"/>
  <c r="I831" i="2"/>
  <c r="J831" i="2" s="1"/>
  <c r="K831" i="2" s="1"/>
  <c r="F831" i="2"/>
  <c r="G831" i="2" s="1"/>
  <c r="H831" i="2" s="1"/>
  <c r="C831" i="5" s="1"/>
  <c r="D831" i="2"/>
  <c r="E831" i="2" s="1"/>
  <c r="B831" i="5" s="1"/>
  <c r="B831" i="2"/>
  <c r="C831" i="2" s="1"/>
  <c r="O830" i="2"/>
  <c r="L830" i="2"/>
  <c r="M830" i="2" s="1"/>
  <c r="N830" i="2" s="1"/>
  <c r="I830" i="2"/>
  <c r="J830" i="2" s="1"/>
  <c r="K830" i="2" s="1"/>
  <c r="Z830" i="2" s="1"/>
  <c r="F830" i="2"/>
  <c r="G830" i="2" s="1"/>
  <c r="H830" i="2" s="1"/>
  <c r="C830" i="5" s="1"/>
  <c r="D830" i="2"/>
  <c r="E830" i="2" s="1"/>
  <c r="B830" i="5" s="1"/>
  <c r="B830" i="2"/>
  <c r="C830" i="2" s="1"/>
  <c r="O829" i="2"/>
  <c r="L829" i="2"/>
  <c r="M829" i="2" s="1"/>
  <c r="N829" i="2" s="1"/>
  <c r="E829" i="5" s="1"/>
  <c r="I829" i="2"/>
  <c r="J829" i="2" s="1"/>
  <c r="K829" i="2" s="1"/>
  <c r="Z829" i="2" s="1"/>
  <c r="F829" i="2"/>
  <c r="G829" i="2" s="1"/>
  <c r="H829" i="2" s="1"/>
  <c r="C829" i="5" s="1"/>
  <c r="D829" i="2"/>
  <c r="E829" i="2" s="1"/>
  <c r="B829" i="5" s="1"/>
  <c r="B829" i="2"/>
  <c r="C829" i="2" s="1"/>
  <c r="A829" i="5" s="1"/>
  <c r="O828" i="2"/>
  <c r="L828" i="2"/>
  <c r="M828" i="2" s="1"/>
  <c r="N828" i="2" s="1"/>
  <c r="E828" i="5" s="1"/>
  <c r="I828" i="2"/>
  <c r="J828" i="2" s="1"/>
  <c r="K828" i="2" s="1"/>
  <c r="F828" i="2"/>
  <c r="G828" i="2" s="1"/>
  <c r="H828" i="2" s="1"/>
  <c r="C828" i="5" s="1"/>
  <c r="D828" i="2"/>
  <c r="E828" i="2" s="1"/>
  <c r="B828" i="5" s="1"/>
  <c r="B828" i="2"/>
  <c r="C828" i="2" s="1"/>
  <c r="A828" i="5" s="1"/>
  <c r="O827" i="2"/>
  <c r="L827" i="2"/>
  <c r="M827" i="2" s="1"/>
  <c r="N827" i="2" s="1"/>
  <c r="I827" i="2"/>
  <c r="J827" i="2" s="1"/>
  <c r="K827" i="2" s="1"/>
  <c r="F827" i="2"/>
  <c r="G827" i="2" s="1"/>
  <c r="H827" i="2" s="1"/>
  <c r="C827" i="5" s="1"/>
  <c r="D827" i="2"/>
  <c r="E827" i="2" s="1"/>
  <c r="B827" i="5" s="1"/>
  <c r="B827" i="2"/>
  <c r="C827" i="2" s="1"/>
  <c r="A827" i="5" s="1"/>
  <c r="O826" i="2"/>
  <c r="L826" i="2"/>
  <c r="M826" i="2" s="1"/>
  <c r="N826" i="2" s="1"/>
  <c r="I826" i="2"/>
  <c r="J826" i="2" s="1"/>
  <c r="K826" i="2" s="1"/>
  <c r="Z826" i="2" s="1"/>
  <c r="F826" i="2"/>
  <c r="G826" i="2" s="1"/>
  <c r="H826" i="2" s="1"/>
  <c r="C826" i="5" s="1"/>
  <c r="D826" i="2"/>
  <c r="E826" i="2" s="1"/>
  <c r="B826" i="5" s="1"/>
  <c r="B826" i="2"/>
  <c r="C826" i="2" s="1"/>
  <c r="O825" i="2"/>
  <c r="L825" i="2"/>
  <c r="M825" i="2" s="1"/>
  <c r="N825" i="2" s="1"/>
  <c r="E825" i="5" s="1"/>
  <c r="I825" i="2"/>
  <c r="J825" i="2" s="1"/>
  <c r="K825" i="2" s="1"/>
  <c r="Z825" i="2" s="1"/>
  <c r="F825" i="2"/>
  <c r="G825" i="2" s="1"/>
  <c r="H825" i="2" s="1"/>
  <c r="C825" i="5" s="1"/>
  <c r="D825" i="2"/>
  <c r="E825" i="2" s="1"/>
  <c r="B825" i="5" s="1"/>
  <c r="B825" i="2"/>
  <c r="C825" i="2" s="1"/>
  <c r="A825" i="5" s="1"/>
  <c r="O824" i="2"/>
  <c r="L824" i="2"/>
  <c r="M824" i="2" s="1"/>
  <c r="N824" i="2" s="1"/>
  <c r="E824" i="5" s="1"/>
  <c r="I824" i="2"/>
  <c r="J824" i="2" s="1"/>
  <c r="K824" i="2" s="1"/>
  <c r="F824" i="2"/>
  <c r="G824" i="2" s="1"/>
  <c r="H824" i="2" s="1"/>
  <c r="C824" i="5" s="1"/>
  <c r="D824" i="2"/>
  <c r="E824" i="2" s="1"/>
  <c r="B824" i="5" s="1"/>
  <c r="B824" i="2"/>
  <c r="C824" i="2" s="1"/>
  <c r="A824" i="5" s="1"/>
  <c r="O823" i="2"/>
  <c r="L823" i="2"/>
  <c r="M823" i="2" s="1"/>
  <c r="N823" i="2" s="1"/>
  <c r="I823" i="2"/>
  <c r="J823" i="2" s="1"/>
  <c r="K823" i="2" s="1"/>
  <c r="F823" i="2"/>
  <c r="G823" i="2" s="1"/>
  <c r="H823" i="2" s="1"/>
  <c r="C823" i="5" s="1"/>
  <c r="D823" i="2"/>
  <c r="E823" i="2" s="1"/>
  <c r="B823" i="5" s="1"/>
  <c r="B823" i="2"/>
  <c r="C823" i="2" s="1"/>
  <c r="A823" i="5" s="1"/>
  <c r="O822" i="2"/>
  <c r="L822" i="2"/>
  <c r="M822" i="2" s="1"/>
  <c r="N822" i="2" s="1"/>
  <c r="I822" i="2"/>
  <c r="J822" i="2" s="1"/>
  <c r="K822" i="2" s="1"/>
  <c r="Z822" i="2" s="1"/>
  <c r="F822" i="2"/>
  <c r="G822" i="2" s="1"/>
  <c r="H822" i="2" s="1"/>
  <c r="C822" i="5" s="1"/>
  <c r="D822" i="2"/>
  <c r="E822" i="2" s="1"/>
  <c r="B822" i="5" s="1"/>
  <c r="B822" i="2"/>
  <c r="C822" i="2" s="1"/>
  <c r="O821" i="2"/>
  <c r="L821" i="2"/>
  <c r="M821" i="2" s="1"/>
  <c r="N821" i="2" s="1"/>
  <c r="E821" i="5" s="1"/>
  <c r="I821" i="2"/>
  <c r="J821" i="2" s="1"/>
  <c r="K821" i="2" s="1"/>
  <c r="Z821" i="2" s="1"/>
  <c r="F821" i="2"/>
  <c r="G821" i="2" s="1"/>
  <c r="H821" i="2" s="1"/>
  <c r="C821" i="5" s="1"/>
  <c r="D821" i="2"/>
  <c r="E821" i="2" s="1"/>
  <c r="B821" i="5" s="1"/>
  <c r="B821" i="2"/>
  <c r="C821" i="2" s="1"/>
  <c r="A821" i="5" s="1"/>
  <c r="O820" i="2"/>
  <c r="L820" i="2"/>
  <c r="M820" i="2" s="1"/>
  <c r="N820" i="2" s="1"/>
  <c r="E820" i="5" s="1"/>
  <c r="I820" i="2"/>
  <c r="J820" i="2" s="1"/>
  <c r="K820" i="2" s="1"/>
  <c r="F820" i="2"/>
  <c r="G820" i="2" s="1"/>
  <c r="H820" i="2" s="1"/>
  <c r="C820" i="5" s="1"/>
  <c r="D820" i="2"/>
  <c r="E820" i="2" s="1"/>
  <c r="B820" i="5" s="1"/>
  <c r="B820" i="2"/>
  <c r="C820" i="2" s="1"/>
  <c r="A820" i="5" s="1"/>
  <c r="O819" i="2"/>
  <c r="L819" i="2"/>
  <c r="M819" i="2" s="1"/>
  <c r="N819" i="2" s="1"/>
  <c r="I819" i="2"/>
  <c r="J819" i="2" s="1"/>
  <c r="K819" i="2" s="1"/>
  <c r="F819" i="2"/>
  <c r="G819" i="2" s="1"/>
  <c r="H819" i="2" s="1"/>
  <c r="C819" i="5" s="1"/>
  <c r="D819" i="2"/>
  <c r="E819" i="2" s="1"/>
  <c r="B819" i="5" s="1"/>
  <c r="B819" i="2"/>
  <c r="C819" i="2" s="1"/>
  <c r="O818" i="2"/>
  <c r="L818" i="2"/>
  <c r="M818" i="2" s="1"/>
  <c r="N818" i="2" s="1"/>
  <c r="I818" i="2"/>
  <c r="J818" i="2" s="1"/>
  <c r="K818" i="2" s="1"/>
  <c r="Z818" i="2" s="1"/>
  <c r="F818" i="2"/>
  <c r="G818" i="2" s="1"/>
  <c r="H818" i="2" s="1"/>
  <c r="C818" i="5" s="1"/>
  <c r="D818" i="2"/>
  <c r="E818" i="2" s="1"/>
  <c r="B818" i="5" s="1"/>
  <c r="B818" i="2"/>
  <c r="C818" i="2" s="1"/>
  <c r="A818" i="5" s="1"/>
  <c r="O817" i="2"/>
  <c r="L817" i="2"/>
  <c r="M817" i="2" s="1"/>
  <c r="N817" i="2" s="1"/>
  <c r="E817" i="5" s="1"/>
  <c r="I817" i="2"/>
  <c r="J817" i="2" s="1"/>
  <c r="K817" i="2" s="1"/>
  <c r="Z817" i="2" s="1"/>
  <c r="F817" i="2"/>
  <c r="G817" i="2" s="1"/>
  <c r="H817" i="2" s="1"/>
  <c r="C817" i="5" s="1"/>
  <c r="D817" i="2"/>
  <c r="E817" i="2" s="1"/>
  <c r="B817" i="5" s="1"/>
  <c r="B817" i="2"/>
  <c r="C817" i="2" s="1"/>
  <c r="A817" i="5" s="1"/>
  <c r="O816" i="2"/>
  <c r="L816" i="2"/>
  <c r="M816" i="2" s="1"/>
  <c r="N816" i="2" s="1"/>
  <c r="E816" i="5" s="1"/>
  <c r="I816" i="2"/>
  <c r="J816" i="2" s="1"/>
  <c r="K816" i="2" s="1"/>
  <c r="F816" i="2"/>
  <c r="G816" i="2" s="1"/>
  <c r="H816" i="2" s="1"/>
  <c r="C816" i="5" s="1"/>
  <c r="D816" i="2"/>
  <c r="E816" i="2" s="1"/>
  <c r="B816" i="5" s="1"/>
  <c r="B816" i="2"/>
  <c r="C816" i="2" s="1"/>
  <c r="A816" i="5" s="1"/>
  <c r="O815" i="2"/>
  <c r="L815" i="2"/>
  <c r="M815" i="2" s="1"/>
  <c r="N815" i="2" s="1"/>
  <c r="I815" i="2"/>
  <c r="J815" i="2" s="1"/>
  <c r="K815" i="2" s="1"/>
  <c r="F815" i="2"/>
  <c r="G815" i="2" s="1"/>
  <c r="H815" i="2" s="1"/>
  <c r="C815" i="5" s="1"/>
  <c r="D815" i="2"/>
  <c r="E815" i="2" s="1"/>
  <c r="B815" i="5" s="1"/>
  <c r="B815" i="2"/>
  <c r="C815" i="2" s="1"/>
  <c r="O814" i="2"/>
  <c r="L814" i="2"/>
  <c r="M814" i="2" s="1"/>
  <c r="N814" i="2" s="1"/>
  <c r="I814" i="2"/>
  <c r="J814" i="2" s="1"/>
  <c r="K814" i="2" s="1"/>
  <c r="Z814" i="2" s="1"/>
  <c r="F814" i="2"/>
  <c r="G814" i="2" s="1"/>
  <c r="H814" i="2" s="1"/>
  <c r="C814" i="5" s="1"/>
  <c r="D814" i="2"/>
  <c r="E814" i="2" s="1"/>
  <c r="B814" i="5" s="1"/>
  <c r="B814" i="2"/>
  <c r="C814" i="2" s="1"/>
  <c r="O813" i="2"/>
  <c r="L813" i="2"/>
  <c r="M813" i="2" s="1"/>
  <c r="N813" i="2" s="1"/>
  <c r="E813" i="5" s="1"/>
  <c r="I813" i="2"/>
  <c r="J813" i="2" s="1"/>
  <c r="K813" i="2" s="1"/>
  <c r="Z813" i="2" s="1"/>
  <c r="F813" i="2"/>
  <c r="G813" i="2" s="1"/>
  <c r="H813" i="2" s="1"/>
  <c r="C813" i="5" s="1"/>
  <c r="D813" i="2"/>
  <c r="E813" i="2" s="1"/>
  <c r="B813" i="5" s="1"/>
  <c r="B813" i="2"/>
  <c r="C813" i="2" s="1"/>
  <c r="A813" i="5" s="1"/>
  <c r="O812" i="2"/>
  <c r="L812" i="2"/>
  <c r="M812" i="2" s="1"/>
  <c r="N812" i="2" s="1"/>
  <c r="E812" i="5" s="1"/>
  <c r="I812" i="2"/>
  <c r="J812" i="2" s="1"/>
  <c r="K812" i="2" s="1"/>
  <c r="F812" i="2"/>
  <c r="G812" i="2" s="1"/>
  <c r="H812" i="2" s="1"/>
  <c r="C812" i="5" s="1"/>
  <c r="D812" i="2"/>
  <c r="E812" i="2" s="1"/>
  <c r="B812" i="5" s="1"/>
  <c r="B812" i="2"/>
  <c r="C812" i="2" s="1"/>
  <c r="A812" i="5" s="1"/>
  <c r="O811" i="2"/>
  <c r="L811" i="2"/>
  <c r="M811" i="2" s="1"/>
  <c r="N811" i="2" s="1"/>
  <c r="I811" i="2"/>
  <c r="J811" i="2" s="1"/>
  <c r="K811" i="2" s="1"/>
  <c r="F811" i="2"/>
  <c r="G811" i="2" s="1"/>
  <c r="H811" i="2" s="1"/>
  <c r="C811" i="5" s="1"/>
  <c r="D811" i="2"/>
  <c r="E811" i="2" s="1"/>
  <c r="B811" i="5" s="1"/>
  <c r="B811" i="2"/>
  <c r="C811" i="2" s="1"/>
  <c r="A811" i="5" s="1"/>
  <c r="O810" i="2"/>
  <c r="L810" i="2"/>
  <c r="M810" i="2" s="1"/>
  <c r="N810" i="2" s="1"/>
  <c r="I810" i="2"/>
  <c r="J810" i="2" s="1"/>
  <c r="K810" i="2" s="1"/>
  <c r="Z810" i="2" s="1"/>
  <c r="F810" i="2"/>
  <c r="G810" i="2" s="1"/>
  <c r="H810" i="2" s="1"/>
  <c r="C810" i="5" s="1"/>
  <c r="D810" i="2"/>
  <c r="E810" i="2" s="1"/>
  <c r="B810" i="5" s="1"/>
  <c r="B810" i="2"/>
  <c r="C810" i="2" s="1"/>
  <c r="A810" i="5" s="1"/>
  <c r="O809" i="2"/>
  <c r="L809" i="2"/>
  <c r="M809" i="2" s="1"/>
  <c r="N809" i="2" s="1"/>
  <c r="E809" i="5" s="1"/>
  <c r="I809" i="2"/>
  <c r="J809" i="2" s="1"/>
  <c r="K809" i="2" s="1"/>
  <c r="Z809" i="2" s="1"/>
  <c r="F809" i="2"/>
  <c r="G809" i="2" s="1"/>
  <c r="H809" i="2" s="1"/>
  <c r="C809" i="5" s="1"/>
  <c r="D809" i="2"/>
  <c r="E809" i="2" s="1"/>
  <c r="B809" i="5" s="1"/>
  <c r="B809" i="2"/>
  <c r="C809" i="2" s="1"/>
  <c r="A809" i="5" s="1"/>
  <c r="O808" i="2"/>
  <c r="L808" i="2"/>
  <c r="M808" i="2" s="1"/>
  <c r="N808" i="2" s="1"/>
  <c r="E808" i="5" s="1"/>
  <c r="I808" i="2"/>
  <c r="J808" i="2" s="1"/>
  <c r="K808" i="2" s="1"/>
  <c r="F808" i="2"/>
  <c r="G808" i="2" s="1"/>
  <c r="H808" i="2" s="1"/>
  <c r="C808" i="5" s="1"/>
  <c r="D808" i="2"/>
  <c r="E808" i="2" s="1"/>
  <c r="B808" i="5" s="1"/>
  <c r="B808" i="2"/>
  <c r="C808" i="2" s="1"/>
  <c r="A808" i="5" s="1"/>
  <c r="O807" i="2"/>
  <c r="L807" i="2"/>
  <c r="M807" i="2" s="1"/>
  <c r="N807" i="2" s="1"/>
  <c r="I807" i="2"/>
  <c r="J807" i="2" s="1"/>
  <c r="K807" i="2" s="1"/>
  <c r="F807" i="2"/>
  <c r="G807" i="2" s="1"/>
  <c r="H807" i="2" s="1"/>
  <c r="C807" i="5" s="1"/>
  <c r="D807" i="2"/>
  <c r="E807" i="2" s="1"/>
  <c r="B807" i="5" s="1"/>
  <c r="B807" i="2"/>
  <c r="C807" i="2" s="1"/>
  <c r="O806" i="2"/>
  <c r="L806" i="2"/>
  <c r="M806" i="2" s="1"/>
  <c r="N806" i="2" s="1"/>
  <c r="I806" i="2"/>
  <c r="J806" i="2" s="1"/>
  <c r="K806" i="2" s="1"/>
  <c r="Z806" i="2" s="1"/>
  <c r="F806" i="2"/>
  <c r="G806" i="2" s="1"/>
  <c r="H806" i="2" s="1"/>
  <c r="C806" i="5" s="1"/>
  <c r="D806" i="2"/>
  <c r="E806" i="2" s="1"/>
  <c r="B806" i="5" s="1"/>
  <c r="B806" i="2"/>
  <c r="C806" i="2" s="1"/>
  <c r="O805" i="2"/>
  <c r="L805" i="2"/>
  <c r="M805" i="2" s="1"/>
  <c r="N805" i="2" s="1"/>
  <c r="E805" i="5" s="1"/>
  <c r="I805" i="2"/>
  <c r="J805" i="2" s="1"/>
  <c r="K805" i="2" s="1"/>
  <c r="Z805" i="2" s="1"/>
  <c r="F805" i="2"/>
  <c r="G805" i="2" s="1"/>
  <c r="H805" i="2" s="1"/>
  <c r="C805" i="5" s="1"/>
  <c r="D805" i="2"/>
  <c r="E805" i="2" s="1"/>
  <c r="B805" i="5" s="1"/>
  <c r="B805" i="2"/>
  <c r="C805" i="2" s="1"/>
  <c r="A805" i="5" s="1"/>
  <c r="O804" i="2"/>
  <c r="L804" i="2"/>
  <c r="M804" i="2" s="1"/>
  <c r="N804" i="2" s="1"/>
  <c r="E804" i="5" s="1"/>
  <c r="I804" i="2"/>
  <c r="J804" i="2" s="1"/>
  <c r="K804" i="2" s="1"/>
  <c r="F804" i="2"/>
  <c r="G804" i="2" s="1"/>
  <c r="H804" i="2" s="1"/>
  <c r="C804" i="5" s="1"/>
  <c r="D804" i="2"/>
  <c r="E804" i="2" s="1"/>
  <c r="B804" i="5" s="1"/>
  <c r="B804" i="2"/>
  <c r="C804" i="2" s="1"/>
  <c r="A804" i="5" s="1"/>
  <c r="O803" i="2"/>
  <c r="L803" i="2"/>
  <c r="M803" i="2" s="1"/>
  <c r="N803" i="2" s="1"/>
  <c r="I803" i="2"/>
  <c r="J803" i="2" s="1"/>
  <c r="K803" i="2" s="1"/>
  <c r="F803" i="2"/>
  <c r="G803" i="2" s="1"/>
  <c r="H803" i="2" s="1"/>
  <c r="C803" i="5" s="1"/>
  <c r="D803" i="2"/>
  <c r="E803" i="2" s="1"/>
  <c r="B803" i="5" s="1"/>
  <c r="B803" i="2"/>
  <c r="C803" i="2" s="1"/>
  <c r="O802" i="2"/>
  <c r="L802" i="2"/>
  <c r="M802" i="2" s="1"/>
  <c r="N802" i="2" s="1"/>
  <c r="I802" i="2"/>
  <c r="J802" i="2" s="1"/>
  <c r="K802" i="2" s="1"/>
  <c r="Z802" i="2" s="1"/>
  <c r="F802" i="2"/>
  <c r="G802" i="2" s="1"/>
  <c r="H802" i="2" s="1"/>
  <c r="C802" i="5" s="1"/>
  <c r="D802" i="2"/>
  <c r="E802" i="2" s="1"/>
  <c r="B802" i="5" s="1"/>
  <c r="B802" i="2"/>
  <c r="C802" i="2" s="1"/>
  <c r="O801" i="2"/>
  <c r="L801" i="2"/>
  <c r="M801" i="2" s="1"/>
  <c r="N801" i="2" s="1"/>
  <c r="E801" i="5" s="1"/>
  <c r="I801" i="2"/>
  <c r="J801" i="2" s="1"/>
  <c r="K801" i="2" s="1"/>
  <c r="Z801" i="2" s="1"/>
  <c r="F801" i="2"/>
  <c r="G801" i="2" s="1"/>
  <c r="H801" i="2" s="1"/>
  <c r="C801" i="5" s="1"/>
  <c r="D801" i="2"/>
  <c r="E801" i="2" s="1"/>
  <c r="B801" i="5" s="1"/>
  <c r="B801" i="2"/>
  <c r="C801" i="2" s="1"/>
  <c r="A801" i="5" s="1"/>
  <c r="O800" i="2"/>
  <c r="L800" i="2"/>
  <c r="M800" i="2" s="1"/>
  <c r="N800" i="2" s="1"/>
  <c r="E800" i="5" s="1"/>
  <c r="I800" i="2"/>
  <c r="J800" i="2" s="1"/>
  <c r="K800" i="2" s="1"/>
  <c r="F800" i="2"/>
  <c r="G800" i="2" s="1"/>
  <c r="H800" i="2" s="1"/>
  <c r="C800" i="5" s="1"/>
  <c r="D800" i="2"/>
  <c r="E800" i="2" s="1"/>
  <c r="B800" i="5" s="1"/>
  <c r="B800" i="2"/>
  <c r="C800" i="2" s="1"/>
  <c r="A800" i="5" s="1"/>
  <c r="O799" i="2"/>
  <c r="L799" i="2"/>
  <c r="M799" i="2" s="1"/>
  <c r="N799" i="2" s="1"/>
  <c r="I799" i="2"/>
  <c r="J799" i="2" s="1"/>
  <c r="K799" i="2" s="1"/>
  <c r="F799" i="2"/>
  <c r="G799" i="2" s="1"/>
  <c r="H799" i="2" s="1"/>
  <c r="C799" i="5" s="1"/>
  <c r="D799" i="2"/>
  <c r="E799" i="2" s="1"/>
  <c r="B799" i="5" s="1"/>
  <c r="B799" i="2"/>
  <c r="C799" i="2" s="1"/>
  <c r="O798" i="2"/>
  <c r="L798" i="2"/>
  <c r="M798" i="2" s="1"/>
  <c r="N798" i="2" s="1"/>
  <c r="I798" i="2"/>
  <c r="J798" i="2" s="1"/>
  <c r="K798" i="2" s="1"/>
  <c r="Z798" i="2" s="1"/>
  <c r="F798" i="2"/>
  <c r="G798" i="2" s="1"/>
  <c r="H798" i="2" s="1"/>
  <c r="C798" i="5" s="1"/>
  <c r="D798" i="2"/>
  <c r="E798" i="2" s="1"/>
  <c r="B798" i="5" s="1"/>
  <c r="B798" i="2"/>
  <c r="C798" i="2" s="1"/>
  <c r="O797" i="2"/>
  <c r="L797" i="2"/>
  <c r="M797" i="2" s="1"/>
  <c r="N797" i="2" s="1"/>
  <c r="E797" i="5" s="1"/>
  <c r="I797" i="2"/>
  <c r="J797" i="2" s="1"/>
  <c r="K797" i="2" s="1"/>
  <c r="Z797" i="2" s="1"/>
  <c r="F797" i="2"/>
  <c r="G797" i="2" s="1"/>
  <c r="H797" i="2" s="1"/>
  <c r="C797" i="5" s="1"/>
  <c r="D797" i="2"/>
  <c r="E797" i="2" s="1"/>
  <c r="B797" i="5" s="1"/>
  <c r="B797" i="2"/>
  <c r="C797" i="2" s="1"/>
  <c r="A797" i="5" s="1"/>
  <c r="O796" i="2"/>
  <c r="L796" i="2"/>
  <c r="M796" i="2" s="1"/>
  <c r="N796" i="2" s="1"/>
  <c r="E796" i="5" s="1"/>
  <c r="I796" i="2"/>
  <c r="J796" i="2" s="1"/>
  <c r="K796" i="2" s="1"/>
  <c r="F796" i="2"/>
  <c r="G796" i="2" s="1"/>
  <c r="H796" i="2" s="1"/>
  <c r="C796" i="5" s="1"/>
  <c r="D796" i="2"/>
  <c r="E796" i="2" s="1"/>
  <c r="B796" i="5" s="1"/>
  <c r="B796" i="2"/>
  <c r="C796" i="2" s="1"/>
  <c r="A796" i="5" s="1"/>
  <c r="O795" i="2"/>
  <c r="L795" i="2"/>
  <c r="M795" i="2" s="1"/>
  <c r="N795" i="2" s="1"/>
  <c r="I795" i="2"/>
  <c r="J795" i="2" s="1"/>
  <c r="K795" i="2" s="1"/>
  <c r="F795" i="2"/>
  <c r="G795" i="2" s="1"/>
  <c r="H795" i="2" s="1"/>
  <c r="C795" i="5" s="1"/>
  <c r="D795" i="2"/>
  <c r="E795" i="2" s="1"/>
  <c r="B795" i="5" s="1"/>
  <c r="B795" i="2"/>
  <c r="C795" i="2" s="1"/>
  <c r="O794" i="2"/>
  <c r="L794" i="2"/>
  <c r="M794" i="2" s="1"/>
  <c r="N794" i="2" s="1"/>
  <c r="I794" i="2"/>
  <c r="J794" i="2" s="1"/>
  <c r="K794" i="2" s="1"/>
  <c r="Z794" i="2" s="1"/>
  <c r="F794" i="2"/>
  <c r="G794" i="2" s="1"/>
  <c r="H794" i="2" s="1"/>
  <c r="C794" i="5" s="1"/>
  <c r="D794" i="2"/>
  <c r="E794" i="2" s="1"/>
  <c r="B794" i="5" s="1"/>
  <c r="B794" i="2"/>
  <c r="C794" i="2" s="1"/>
  <c r="A794" i="5" s="1"/>
  <c r="O793" i="2"/>
  <c r="L793" i="2"/>
  <c r="M793" i="2" s="1"/>
  <c r="N793" i="2" s="1"/>
  <c r="E793" i="5" s="1"/>
  <c r="I793" i="2"/>
  <c r="J793" i="2" s="1"/>
  <c r="K793" i="2" s="1"/>
  <c r="Z793" i="2" s="1"/>
  <c r="F793" i="2"/>
  <c r="G793" i="2" s="1"/>
  <c r="H793" i="2" s="1"/>
  <c r="C793" i="5" s="1"/>
  <c r="D793" i="2"/>
  <c r="E793" i="2" s="1"/>
  <c r="B793" i="5" s="1"/>
  <c r="B793" i="2"/>
  <c r="C793" i="2" s="1"/>
  <c r="A793" i="5" s="1"/>
  <c r="O792" i="2"/>
  <c r="L792" i="2"/>
  <c r="M792" i="2" s="1"/>
  <c r="N792" i="2" s="1"/>
  <c r="E792" i="5" s="1"/>
  <c r="I792" i="2"/>
  <c r="J792" i="2" s="1"/>
  <c r="K792" i="2" s="1"/>
  <c r="F792" i="2"/>
  <c r="G792" i="2" s="1"/>
  <c r="H792" i="2" s="1"/>
  <c r="C792" i="5" s="1"/>
  <c r="D792" i="2"/>
  <c r="E792" i="2" s="1"/>
  <c r="B792" i="5" s="1"/>
  <c r="B792" i="2"/>
  <c r="C792" i="2" s="1"/>
  <c r="A792" i="5" s="1"/>
  <c r="O791" i="2"/>
  <c r="L791" i="2"/>
  <c r="M791" i="2" s="1"/>
  <c r="N791" i="2" s="1"/>
  <c r="I791" i="2"/>
  <c r="J791" i="2" s="1"/>
  <c r="K791" i="2" s="1"/>
  <c r="F791" i="2"/>
  <c r="G791" i="2" s="1"/>
  <c r="H791" i="2" s="1"/>
  <c r="C791" i="5" s="1"/>
  <c r="D791" i="2"/>
  <c r="E791" i="2" s="1"/>
  <c r="B791" i="5" s="1"/>
  <c r="B791" i="2"/>
  <c r="C791" i="2" s="1"/>
  <c r="O790" i="2"/>
  <c r="L790" i="2"/>
  <c r="M790" i="2" s="1"/>
  <c r="N790" i="2" s="1"/>
  <c r="I790" i="2"/>
  <c r="J790" i="2" s="1"/>
  <c r="K790" i="2" s="1"/>
  <c r="Z790" i="2" s="1"/>
  <c r="F790" i="2"/>
  <c r="G790" i="2" s="1"/>
  <c r="H790" i="2" s="1"/>
  <c r="C790" i="5" s="1"/>
  <c r="D790" i="2"/>
  <c r="E790" i="2" s="1"/>
  <c r="B790" i="5" s="1"/>
  <c r="B790" i="2"/>
  <c r="C790" i="2" s="1"/>
  <c r="O789" i="2"/>
  <c r="L789" i="2"/>
  <c r="M789" i="2" s="1"/>
  <c r="N789" i="2" s="1"/>
  <c r="E789" i="5" s="1"/>
  <c r="I789" i="2"/>
  <c r="J789" i="2" s="1"/>
  <c r="K789" i="2" s="1"/>
  <c r="Z789" i="2" s="1"/>
  <c r="F789" i="2"/>
  <c r="G789" i="2" s="1"/>
  <c r="H789" i="2" s="1"/>
  <c r="C789" i="5" s="1"/>
  <c r="D789" i="2"/>
  <c r="E789" i="2" s="1"/>
  <c r="B789" i="5" s="1"/>
  <c r="B789" i="2"/>
  <c r="C789" i="2" s="1"/>
  <c r="A789" i="5" s="1"/>
  <c r="O788" i="2"/>
  <c r="L788" i="2"/>
  <c r="M788" i="2" s="1"/>
  <c r="N788" i="2" s="1"/>
  <c r="E788" i="5" s="1"/>
  <c r="I788" i="2"/>
  <c r="J788" i="2" s="1"/>
  <c r="K788" i="2" s="1"/>
  <c r="F788" i="2"/>
  <c r="G788" i="2" s="1"/>
  <c r="H788" i="2" s="1"/>
  <c r="C788" i="5" s="1"/>
  <c r="D788" i="2"/>
  <c r="E788" i="2" s="1"/>
  <c r="B788" i="5" s="1"/>
  <c r="B788" i="2"/>
  <c r="C788" i="2" s="1"/>
  <c r="A788" i="5" s="1"/>
  <c r="O787" i="2"/>
  <c r="L787" i="2"/>
  <c r="M787" i="2" s="1"/>
  <c r="N787" i="2" s="1"/>
  <c r="I787" i="2"/>
  <c r="J787" i="2" s="1"/>
  <c r="K787" i="2" s="1"/>
  <c r="F787" i="2"/>
  <c r="G787" i="2" s="1"/>
  <c r="H787" i="2" s="1"/>
  <c r="C787" i="5" s="1"/>
  <c r="D787" i="2"/>
  <c r="E787" i="2" s="1"/>
  <c r="B787" i="5" s="1"/>
  <c r="B787" i="2"/>
  <c r="C787" i="2" s="1"/>
  <c r="A787" i="5" s="1"/>
  <c r="O786" i="2"/>
  <c r="L786" i="2"/>
  <c r="M786" i="2" s="1"/>
  <c r="N786" i="2" s="1"/>
  <c r="I786" i="2"/>
  <c r="J786" i="2" s="1"/>
  <c r="K786" i="2" s="1"/>
  <c r="Z786" i="2" s="1"/>
  <c r="F786" i="2"/>
  <c r="G786" i="2" s="1"/>
  <c r="H786" i="2" s="1"/>
  <c r="C786" i="5" s="1"/>
  <c r="D786" i="2"/>
  <c r="E786" i="2" s="1"/>
  <c r="B786" i="5" s="1"/>
  <c r="B786" i="2"/>
  <c r="C786" i="2" s="1"/>
  <c r="O785" i="2"/>
  <c r="L785" i="2"/>
  <c r="M785" i="2" s="1"/>
  <c r="N785" i="2" s="1"/>
  <c r="E785" i="5" s="1"/>
  <c r="I785" i="2"/>
  <c r="J785" i="2" s="1"/>
  <c r="K785" i="2" s="1"/>
  <c r="Z785" i="2" s="1"/>
  <c r="F785" i="2"/>
  <c r="G785" i="2" s="1"/>
  <c r="H785" i="2" s="1"/>
  <c r="C785" i="5" s="1"/>
  <c r="D785" i="2"/>
  <c r="E785" i="2" s="1"/>
  <c r="B785" i="5" s="1"/>
  <c r="B785" i="2"/>
  <c r="C785" i="2" s="1"/>
  <c r="A785" i="5" s="1"/>
  <c r="O784" i="2"/>
  <c r="L784" i="2"/>
  <c r="M784" i="2" s="1"/>
  <c r="N784" i="2" s="1"/>
  <c r="E784" i="5" s="1"/>
  <c r="I784" i="2"/>
  <c r="J784" i="2" s="1"/>
  <c r="K784" i="2" s="1"/>
  <c r="F784" i="2"/>
  <c r="G784" i="2" s="1"/>
  <c r="H784" i="2" s="1"/>
  <c r="C784" i="5" s="1"/>
  <c r="D784" i="2"/>
  <c r="E784" i="2" s="1"/>
  <c r="B784" i="5" s="1"/>
  <c r="B784" i="2"/>
  <c r="C784" i="2" s="1"/>
  <c r="A784" i="5" s="1"/>
  <c r="O783" i="2"/>
  <c r="L783" i="2"/>
  <c r="M783" i="2" s="1"/>
  <c r="N783" i="2" s="1"/>
  <c r="I783" i="2"/>
  <c r="J783" i="2" s="1"/>
  <c r="K783" i="2" s="1"/>
  <c r="F783" i="2"/>
  <c r="G783" i="2" s="1"/>
  <c r="H783" i="2" s="1"/>
  <c r="C783" i="5" s="1"/>
  <c r="D783" i="2"/>
  <c r="E783" i="2" s="1"/>
  <c r="B783" i="5" s="1"/>
  <c r="B783" i="2"/>
  <c r="C783" i="2" s="1"/>
  <c r="O782" i="2"/>
  <c r="L782" i="2"/>
  <c r="M782" i="2" s="1"/>
  <c r="N782" i="2" s="1"/>
  <c r="I782" i="2"/>
  <c r="J782" i="2" s="1"/>
  <c r="K782" i="2" s="1"/>
  <c r="Z782" i="2" s="1"/>
  <c r="F782" i="2"/>
  <c r="G782" i="2" s="1"/>
  <c r="H782" i="2" s="1"/>
  <c r="C782" i="5" s="1"/>
  <c r="D782" i="2"/>
  <c r="E782" i="2" s="1"/>
  <c r="B782" i="5" s="1"/>
  <c r="B782" i="2"/>
  <c r="C782" i="2" s="1"/>
  <c r="O781" i="2"/>
  <c r="L781" i="2"/>
  <c r="M781" i="2" s="1"/>
  <c r="N781" i="2" s="1"/>
  <c r="E781" i="5" s="1"/>
  <c r="I781" i="2"/>
  <c r="J781" i="2" s="1"/>
  <c r="K781" i="2" s="1"/>
  <c r="Z781" i="2" s="1"/>
  <c r="F781" i="2"/>
  <c r="G781" i="2" s="1"/>
  <c r="H781" i="2" s="1"/>
  <c r="C781" i="5" s="1"/>
  <c r="D781" i="2"/>
  <c r="E781" i="2" s="1"/>
  <c r="B781" i="5" s="1"/>
  <c r="B781" i="2"/>
  <c r="C781" i="2" s="1"/>
  <c r="A781" i="5" s="1"/>
  <c r="O780" i="2"/>
  <c r="L780" i="2"/>
  <c r="M780" i="2" s="1"/>
  <c r="N780" i="2" s="1"/>
  <c r="E780" i="5" s="1"/>
  <c r="I780" i="2"/>
  <c r="J780" i="2" s="1"/>
  <c r="K780" i="2" s="1"/>
  <c r="F780" i="2"/>
  <c r="G780" i="2" s="1"/>
  <c r="H780" i="2" s="1"/>
  <c r="C780" i="5" s="1"/>
  <c r="D780" i="2"/>
  <c r="E780" i="2" s="1"/>
  <c r="B780" i="5" s="1"/>
  <c r="B780" i="2"/>
  <c r="C780" i="2" s="1"/>
  <c r="A780" i="5" s="1"/>
  <c r="O779" i="2"/>
  <c r="L779" i="2"/>
  <c r="M779" i="2" s="1"/>
  <c r="N779" i="2" s="1"/>
  <c r="I779" i="2"/>
  <c r="J779" i="2" s="1"/>
  <c r="K779" i="2" s="1"/>
  <c r="F779" i="2"/>
  <c r="G779" i="2" s="1"/>
  <c r="H779" i="2" s="1"/>
  <c r="C779" i="5" s="1"/>
  <c r="D779" i="2"/>
  <c r="E779" i="2" s="1"/>
  <c r="B779" i="5" s="1"/>
  <c r="B779" i="2"/>
  <c r="C779" i="2" s="1"/>
  <c r="O778" i="2"/>
  <c r="L778" i="2"/>
  <c r="M778" i="2" s="1"/>
  <c r="N778" i="2" s="1"/>
  <c r="I778" i="2"/>
  <c r="J778" i="2" s="1"/>
  <c r="K778" i="2" s="1"/>
  <c r="Z778" i="2" s="1"/>
  <c r="F778" i="2"/>
  <c r="G778" i="2" s="1"/>
  <c r="H778" i="2" s="1"/>
  <c r="C778" i="5" s="1"/>
  <c r="D778" i="2"/>
  <c r="E778" i="2" s="1"/>
  <c r="B778" i="5" s="1"/>
  <c r="B778" i="2"/>
  <c r="C778" i="2" s="1"/>
  <c r="A778" i="5" s="1"/>
  <c r="O777" i="2"/>
  <c r="L777" i="2"/>
  <c r="M777" i="2" s="1"/>
  <c r="N777" i="2" s="1"/>
  <c r="E777" i="5" s="1"/>
  <c r="I777" i="2"/>
  <c r="J777" i="2" s="1"/>
  <c r="K777" i="2" s="1"/>
  <c r="Z777" i="2" s="1"/>
  <c r="F777" i="2"/>
  <c r="G777" i="2" s="1"/>
  <c r="H777" i="2" s="1"/>
  <c r="C777" i="5" s="1"/>
  <c r="D777" i="2"/>
  <c r="E777" i="2" s="1"/>
  <c r="B777" i="5" s="1"/>
  <c r="B777" i="2"/>
  <c r="C777" i="2" s="1"/>
  <c r="A777" i="5" s="1"/>
  <c r="O776" i="2"/>
  <c r="L776" i="2"/>
  <c r="M776" i="2" s="1"/>
  <c r="N776" i="2" s="1"/>
  <c r="E776" i="5" s="1"/>
  <c r="I776" i="2"/>
  <c r="J776" i="2" s="1"/>
  <c r="K776" i="2" s="1"/>
  <c r="F776" i="2"/>
  <c r="G776" i="2" s="1"/>
  <c r="H776" i="2" s="1"/>
  <c r="C776" i="5" s="1"/>
  <c r="D776" i="2"/>
  <c r="E776" i="2" s="1"/>
  <c r="B776" i="5" s="1"/>
  <c r="B776" i="2"/>
  <c r="C776" i="2" s="1"/>
  <c r="A776" i="5" s="1"/>
  <c r="O775" i="2"/>
  <c r="L775" i="2"/>
  <c r="M775" i="2" s="1"/>
  <c r="N775" i="2" s="1"/>
  <c r="I775" i="2"/>
  <c r="J775" i="2" s="1"/>
  <c r="K775" i="2" s="1"/>
  <c r="F775" i="2"/>
  <c r="G775" i="2" s="1"/>
  <c r="H775" i="2" s="1"/>
  <c r="C775" i="5" s="1"/>
  <c r="D775" i="2"/>
  <c r="E775" i="2" s="1"/>
  <c r="B775" i="5" s="1"/>
  <c r="B775" i="2"/>
  <c r="C775" i="2" s="1"/>
  <c r="O774" i="2"/>
  <c r="L774" i="2"/>
  <c r="M774" i="2" s="1"/>
  <c r="N774" i="2" s="1"/>
  <c r="I774" i="2"/>
  <c r="J774" i="2" s="1"/>
  <c r="K774" i="2" s="1"/>
  <c r="Z774" i="2" s="1"/>
  <c r="F774" i="2"/>
  <c r="G774" i="2" s="1"/>
  <c r="H774" i="2" s="1"/>
  <c r="C774" i="5" s="1"/>
  <c r="D774" i="2"/>
  <c r="E774" i="2" s="1"/>
  <c r="B774" i="5" s="1"/>
  <c r="B774" i="2"/>
  <c r="C774" i="2" s="1"/>
  <c r="O773" i="2"/>
  <c r="L773" i="2"/>
  <c r="M773" i="2" s="1"/>
  <c r="N773" i="2" s="1"/>
  <c r="E773" i="5" s="1"/>
  <c r="I773" i="2"/>
  <c r="J773" i="2" s="1"/>
  <c r="K773" i="2" s="1"/>
  <c r="Z773" i="2" s="1"/>
  <c r="F773" i="2"/>
  <c r="G773" i="2" s="1"/>
  <c r="H773" i="2" s="1"/>
  <c r="C773" i="5" s="1"/>
  <c r="D773" i="2"/>
  <c r="E773" i="2" s="1"/>
  <c r="B773" i="5" s="1"/>
  <c r="B773" i="2"/>
  <c r="C773" i="2" s="1"/>
  <c r="A773" i="5" s="1"/>
  <c r="O772" i="2"/>
  <c r="L772" i="2"/>
  <c r="M772" i="2" s="1"/>
  <c r="N772" i="2" s="1"/>
  <c r="E772" i="5" s="1"/>
  <c r="I772" i="2"/>
  <c r="J772" i="2" s="1"/>
  <c r="K772" i="2" s="1"/>
  <c r="F772" i="2"/>
  <c r="G772" i="2" s="1"/>
  <c r="H772" i="2" s="1"/>
  <c r="C772" i="5" s="1"/>
  <c r="D772" i="2"/>
  <c r="E772" i="2" s="1"/>
  <c r="B772" i="5" s="1"/>
  <c r="B772" i="2"/>
  <c r="C772" i="2" s="1"/>
  <c r="A772" i="5" s="1"/>
  <c r="O771" i="2"/>
  <c r="L771" i="2"/>
  <c r="M771" i="2" s="1"/>
  <c r="N771" i="2" s="1"/>
  <c r="I771" i="2"/>
  <c r="J771" i="2" s="1"/>
  <c r="K771" i="2" s="1"/>
  <c r="F771" i="2"/>
  <c r="G771" i="2" s="1"/>
  <c r="H771" i="2" s="1"/>
  <c r="C771" i="5" s="1"/>
  <c r="D771" i="2"/>
  <c r="E771" i="2" s="1"/>
  <c r="B771" i="5" s="1"/>
  <c r="B771" i="2"/>
  <c r="C771" i="2" s="1"/>
  <c r="O770" i="2"/>
  <c r="L770" i="2"/>
  <c r="M770" i="2" s="1"/>
  <c r="N770" i="2" s="1"/>
  <c r="I770" i="2"/>
  <c r="J770" i="2" s="1"/>
  <c r="K770" i="2" s="1"/>
  <c r="Z770" i="2" s="1"/>
  <c r="F770" i="2"/>
  <c r="G770" i="2" s="1"/>
  <c r="H770" i="2" s="1"/>
  <c r="C770" i="5" s="1"/>
  <c r="D770" i="2"/>
  <c r="E770" i="2" s="1"/>
  <c r="B770" i="5" s="1"/>
  <c r="B770" i="2"/>
  <c r="C770" i="2" s="1"/>
  <c r="A770" i="5" s="1"/>
  <c r="O769" i="2"/>
  <c r="L769" i="2"/>
  <c r="M769" i="2" s="1"/>
  <c r="N769" i="2" s="1"/>
  <c r="E769" i="5" s="1"/>
  <c r="I769" i="2"/>
  <c r="J769" i="2" s="1"/>
  <c r="K769" i="2" s="1"/>
  <c r="Z769" i="2" s="1"/>
  <c r="F769" i="2"/>
  <c r="G769" i="2" s="1"/>
  <c r="H769" i="2" s="1"/>
  <c r="C769" i="5" s="1"/>
  <c r="D769" i="2"/>
  <c r="E769" i="2" s="1"/>
  <c r="B769" i="5" s="1"/>
  <c r="B769" i="2"/>
  <c r="C769" i="2" s="1"/>
  <c r="A769" i="5" s="1"/>
  <c r="O768" i="2"/>
  <c r="L768" i="2"/>
  <c r="M768" i="2" s="1"/>
  <c r="N768" i="2" s="1"/>
  <c r="E768" i="5" s="1"/>
  <c r="I768" i="2"/>
  <c r="J768" i="2" s="1"/>
  <c r="K768" i="2" s="1"/>
  <c r="F768" i="2"/>
  <c r="G768" i="2" s="1"/>
  <c r="H768" i="2" s="1"/>
  <c r="C768" i="5" s="1"/>
  <c r="D768" i="2"/>
  <c r="E768" i="2" s="1"/>
  <c r="B768" i="5" s="1"/>
  <c r="B768" i="2"/>
  <c r="C768" i="2" s="1"/>
  <c r="A768" i="5" s="1"/>
  <c r="O767" i="2"/>
  <c r="L767" i="2"/>
  <c r="M767" i="2" s="1"/>
  <c r="N767" i="2" s="1"/>
  <c r="I767" i="2"/>
  <c r="J767" i="2" s="1"/>
  <c r="K767" i="2" s="1"/>
  <c r="F767" i="2"/>
  <c r="G767" i="2" s="1"/>
  <c r="H767" i="2" s="1"/>
  <c r="C767" i="5" s="1"/>
  <c r="D767" i="2"/>
  <c r="E767" i="2" s="1"/>
  <c r="B767" i="5" s="1"/>
  <c r="B767" i="2"/>
  <c r="C767" i="2" s="1"/>
  <c r="O766" i="2"/>
  <c r="L766" i="2"/>
  <c r="M766" i="2" s="1"/>
  <c r="N766" i="2" s="1"/>
  <c r="I766" i="2"/>
  <c r="J766" i="2" s="1"/>
  <c r="K766" i="2" s="1"/>
  <c r="Z766" i="2" s="1"/>
  <c r="F766" i="2"/>
  <c r="G766" i="2" s="1"/>
  <c r="H766" i="2" s="1"/>
  <c r="C766" i="5" s="1"/>
  <c r="D766" i="2"/>
  <c r="E766" i="2" s="1"/>
  <c r="B766" i="5" s="1"/>
  <c r="B766" i="2"/>
  <c r="C766" i="2" s="1"/>
  <c r="A766" i="5" s="1"/>
  <c r="O765" i="2"/>
  <c r="L765" i="2"/>
  <c r="M765" i="2" s="1"/>
  <c r="N765" i="2" s="1"/>
  <c r="E765" i="5" s="1"/>
  <c r="I765" i="2"/>
  <c r="J765" i="2" s="1"/>
  <c r="K765" i="2" s="1"/>
  <c r="Z765" i="2" s="1"/>
  <c r="F765" i="2"/>
  <c r="G765" i="2" s="1"/>
  <c r="H765" i="2" s="1"/>
  <c r="C765" i="5" s="1"/>
  <c r="D765" i="2"/>
  <c r="E765" i="2" s="1"/>
  <c r="B765" i="5" s="1"/>
  <c r="B765" i="2"/>
  <c r="C765" i="2" s="1"/>
  <c r="A765" i="5" s="1"/>
  <c r="O764" i="2"/>
  <c r="L764" i="2"/>
  <c r="M764" i="2" s="1"/>
  <c r="N764" i="2" s="1"/>
  <c r="E764" i="5" s="1"/>
  <c r="I764" i="2"/>
  <c r="J764" i="2" s="1"/>
  <c r="K764" i="2" s="1"/>
  <c r="F764" i="2"/>
  <c r="G764" i="2" s="1"/>
  <c r="H764" i="2" s="1"/>
  <c r="C764" i="5" s="1"/>
  <c r="D764" i="2"/>
  <c r="E764" i="2" s="1"/>
  <c r="B764" i="5" s="1"/>
  <c r="B764" i="2"/>
  <c r="C764" i="2" s="1"/>
  <c r="A764" i="5" s="1"/>
  <c r="O763" i="2"/>
  <c r="L763" i="2"/>
  <c r="M763" i="2" s="1"/>
  <c r="N763" i="2" s="1"/>
  <c r="I763" i="2"/>
  <c r="J763" i="2" s="1"/>
  <c r="K763" i="2" s="1"/>
  <c r="F763" i="2"/>
  <c r="G763" i="2" s="1"/>
  <c r="H763" i="2" s="1"/>
  <c r="C763" i="5" s="1"/>
  <c r="D763" i="2"/>
  <c r="E763" i="2" s="1"/>
  <c r="B763" i="5" s="1"/>
  <c r="B763" i="2"/>
  <c r="C763" i="2" s="1"/>
  <c r="A763" i="5" s="1"/>
  <c r="O762" i="2"/>
  <c r="L762" i="2"/>
  <c r="M762" i="2" s="1"/>
  <c r="N762" i="2" s="1"/>
  <c r="I762" i="2"/>
  <c r="J762" i="2" s="1"/>
  <c r="K762" i="2" s="1"/>
  <c r="Z762" i="2" s="1"/>
  <c r="F762" i="2"/>
  <c r="G762" i="2" s="1"/>
  <c r="H762" i="2" s="1"/>
  <c r="C762" i="5" s="1"/>
  <c r="D762" i="2"/>
  <c r="E762" i="2" s="1"/>
  <c r="B762" i="5" s="1"/>
  <c r="B762" i="2"/>
  <c r="C762" i="2" s="1"/>
  <c r="O761" i="2"/>
  <c r="L761" i="2"/>
  <c r="M761" i="2" s="1"/>
  <c r="N761" i="2" s="1"/>
  <c r="E761" i="5" s="1"/>
  <c r="I761" i="2"/>
  <c r="J761" i="2" s="1"/>
  <c r="K761" i="2" s="1"/>
  <c r="Z761" i="2" s="1"/>
  <c r="F761" i="2"/>
  <c r="G761" i="2" s="1"/>
  <c r="H761" i="2" s="1"/>
  <c r="C761" i="5" s="1"/>
  <c r="D761" i="2"/>
  <c r="E761" i="2" s="1"/>
  <c r="B761" i="5" s="1"/>
  <c r="B761" i="2"/>
  <c r="C761" i="2" s="1"/>
  <c r="A761" i="5" s="1"/>
  <c r="O760" i="2"/>
  <c r="L760" i="2"/>
  <c r="M760" i="2" s="1"/>
  <c r="N760" i="2" s="1"/>
  <c r="E760" i="5" s="1"/>
  <c r="I760" i="2"/>
  <c r="J760" i="2" s="1"/>
  <c r="K760" i="2" s="1"/>
  <c r="F760" i="2"/>
  <c r="G760" i="2" s="1"/>
  <c r="H760" i="2" s="1"/>
  <c r="C760" i="5" s="1"/>
  <c r="D760" i="2"/>
  <c r="E760" i="2" s="1"/>
  <c r="B760" i="5" s="1"/>
  <c r="B760" i="2"/>
  <c r="C760" i="2" s="1"/>
  <c r="A760" i="5" s="1"/>
  <c r="O759" i="2"/>
  <c r="L759" i="2"/>
  <c r="M759" i="2" s="1"/>
  <c r="N759" i="2" s="1"/>
  <c r="I759" i="2"/>
  <c r="J759" i="2" s="1"/>
  <c r="K759" i="2" s="1"/>
  <c r="F759" i="2"/>
  <c r="G759" i="2" s="1"/>
  <c r="H759" i="2" s="1"/>
  <c r="C759" i="5" s="1"/>
  <c r="D759" i="2"/>
  <c r="E759" i="2" s="1"/>
  <c r="B759" i="5" s="1"/>
  <c r="B759" i="2"/>
  <c r="C759" i="2" s="1"/>
  <c r="A759" i="5" s="1"/>
  <c r="O758" i="2"/>
  <c r="L758" i="2"/>
  <c r="M758" i="2" s="1"/>
  <c r="N758" i="2" s="1"/>
  <c r="I758" i="2"/>
  <c r="J758" i="2" s="1"/>
  <c r="K758" i="2" s="1"/>
  <c r="Z758" i="2" s="1"/>
  <c r="F758" i="2"/>
  <c r="G758" i="2" s="1"/>
  <c r="H758" i="2" s="1"/>
  <c r="C758" i="5" s="1"/>
  <c r="D758" i="2"/>
  <c r="E758" i="2" s="1"/>
  <c r="B758" i="5" s="1"/>
  <c r="B758" i="2"/>
  <c r="C758" i="2" s="1"/>
  <c r="O757" i="2"/>
  <c r="L757" i="2"/>
  <c r="M757" i="2" s="1"/>
  <c r="N757" i="2" s="1"/>
  <c r="E757" i="5" s="1"/>
  <c r="I757" i="2"/>
  <c r="J757" i="2" s="1"/>
  <c r="K757" i="2" s="1"/>
  <c r="Z757" i="2" s="1"/>
  <c r="F757" i="2"/>
  <c r="G757" i="2" s="1"/>
  <c r="H757" i="2" s="1"/>
  <c r="C757" i="5" s="1"/>
  <c r="D757" i="2"/>
  <c r="E757" i="2" s="1"/>
  <c r="B757" i="5" s="1"/>
  <c r="B757" i="2"/>
  <c r="C757" i="2" s="1"/>
  <c r="A757" i="5" s="1"/>
  <c r="O756" i="2"/>
  <c r="L756" i="2"/>
  <c r="M756" i="2" s="1"/>
  <c r="N756" i="2" s="1"/>
  <c r="E756" i="5" s="1"/>
  <c r="I756" i="2"/>
  <c r="J756" i="2" s="1"/>
  <c r="K756" i="2" s="1"/>
  <c r="F756" i="2"/>
  <c r="G756" i="2" s="1"/>
  <c r="H756" i="2" s="1"/>
  <c r="C756" i="5" s="1"/>
  <c r="D756" i="2"/>
  <c r="E756" i="2" s="1"/>
  <c r="B756" i="5" s="1"/>
  <c r="B756" i="2"/>
  <c r="C756" i="2" s="1"/>
  <c r="A756" i="5" s="1"/>
  <c r="O755" i="2"/>
  <c r="L755" i="2"/>
  <c r="M755" i="2" s="1"/>
  <c r="N755" i="2" s="1"/>
  <c r="I755" i="2"/>
  <c r="J755" i="2" s="1"/>
  <c r="K755" i="2" s="1"/>
  <c r="F755" i="2"/>
  <c r="G755" i="2" s="1"/>
  <c r="H755" i="2" s="1"/>
  <c r="C755" i="5" s="1"/>
  <c r="D755" i="2"/>
  <c r="E755" i="2" s="1"/>
  <c r="B755" i="5" s="1"/>
  <c r="B755" i="2"/>
  <c r="C755" i="2" s="1"/>
  <c r="O754" i="2"/>
  <c r="L754" i="2"/>
  <c r="M754" i="2" s="1"/>
  <c r="N754" i="2" s="1"/>
  <c r="I754" i="2"/>
  <c r="J754" i="2" s="1"/>
  <c r="K754" i="2" s="1"/>
  <c r="Z754" i="2" s="1"/>
  <c r="F754" i="2"/>
  <c r="G754" i="2" s="1"/>
  <c r="H754" i="2" s="1"/>
  <c r="C754" i="5" s="1"/>
  <c r="D754" i="2"/>
  <c r="E754" i="2" s="1"/>
  <c r="B754" i="5" s="1"/>
  <c r="B754" i="2"/>
  <c r="C754" i="2" s="1"/>
  <c r="A754" i="5" s="1"/>
  <c r="O753" i="2"/>
  <c r="L753" i="2"/>
  <c r="M753" i="2" s="1"/>
  <c r="N753" i="2" s="1"/>
  <c r="E753" i="5" s="1"/>
  <c r="I753" i="2"/>
  <c r="J753" i="2" s="1"/>
  <c r="K753" i="2" s="1"/>
  <c r="Z753" i="2" s="1"/>
  <c r="F753" i="2"/>
  <c r="G753" i="2" s="1"/>
  <c r="H753" i="2" s="1"/>
  <c r="C753" i="5" s="1"/>
  <c r="D753" i="2"/>
  <c r="E753" i="2" s="1"/>
  <c r="B753" i="5" s="1"/>
  <c r="B753" i="2"/>
  <c r="C753" i="2" s="1"/>
  <c r="A753" i="5" s="1"/>
  <c r="O752" i="2"/>
  <c r="L752" i="2"/>
  <c r="M752" i="2" s="1"/>
  <c r="N752" i="2" s="1"/>
  <c r="E752" i="5" s="1"/>
  <c r="I752" i="2"/>
  <c r="J752" i="2" s="1"/>
  <c r="K752" i="2" s="1"/>
  <c r="F752" i="2"/>
  <c r="G752" i="2" s="1"/>
  <c r="H752" i="2" s="1"/>
  <c r="C752" i="5" s="1"/>
  <c r="D752" i="2"/>
  <c r="E752" i="2" s="1"/>
  <c r="B752" i="5" s="1"/>
  <c r="B752" i="2"/>
  <c r="C752" i="2" s="1"/>
  <c r="A752" i="5" s="1"/>
  <c r="O751" i="2"/>
  <c r="L751" i="2"/>
  <c r="M751" i="2" s="1"/>
  <c r="N751" i="2" s="1"/>
  <c r="I751" i="2"/>
  <c r="J751" i="2" s="1"/>
  <c r="K751" i="2" s="1"/>
  <c r="F751" i="2"/>
  <c r="G751" i="2" s="1"/>
  <c r="H751" i="2" s="1"/>
  <c r="C751" i="5" s="1"/>
  <c r="D751" i="2"/>
  <c r="E751" i="2" s="1"/>
  <c r="B751" i="5" s="1"/>
  <c r="B751" i="2"/>
  <c r="C751" i="2" s="1"/>
  <c r="O750" i="2"/>
  <c r="L750" i="2"/>
  <c r="M750" i="2" s="1"/>
  <c r="N750" i="2" s="1"/>
  <c r="I750" i="2"/>
  <c r="J750" i="2" s="1"/>
  <c r="K750" i="2" s="1"/>
  <c r="Z750" i="2" s="1"/>
  <c r="F750" i="2"/>
  <c r="G750" i="2" s="1"/>
  <c r="H750" i="2" s="1"/>
  <c r="C750" i="5" s="1"/>
  <c r="D750" i="2"/>
  <c r="E750" i="2" s="1"/>
  <c r="B750" i="5" s="1"/>
  <c r="B750" i="2"/>
  <c r="C750" i="2" s="1"/>
  <c r="A750" i="5" s="1"/>
  <c r="O749" i="2"/>
  <c r="L749" i="2"/>
  <c r="M749" i="2" s="1"/>
  <c r="N749" i="2" s="1"/>
  <c r="E749" i="5" s="1"/>
  <c r="I749" i="2"/>
  <c r="J749" i="2" s="1"/>
  <c r="K749" i="2" s="1"/>
  <c r="Z749" i="2" s="1"/>
  <c r="F749" i="2"/>
  <c r="G749" i="2" s="1"/>
  <c r="H749" i="2" s="1"/>
  <c r="C749" i="5" s="1"/>
  <c r="D749" i="2"/>
  <c r="E749" i="2" s="1"/>
  <c r="B749" i="5" s="1"/>
  <c r="B749" i="2"/>
  <c r="C749" i="2" s="1"/>
  <c r="A749" i="5" s="1"/>
  <c r="O748" i="2"/>
  <c r="L748" i="2"/>
  <c r="M748" i="2" s="1"/>
  <c r="N748" i="2" s="1"/>
  <c r="E748" i="5" s="1"/>
  <c r="I748" i="2"/>
  <c r="J748" i="2" s="1"/>
  <c r="K748" i="2" s="1"/>
  <c r="F748" i="2"/>
  <c r="G748" i="2" s="1"/>
  <c r="H748" i="2" s="1"/>
  <c r="C748" i="5" s="1"/>
  <c r="D748" i="2"/>
  <c r="E748" i="2" s="1"/>
  <c r="B748" i="5" s="1"/>
  <c r="B748" i="2"/>
  <c r="C748" i="2" s="1"/>
  <c r="A748" i="5" s="1"/>
  <c r="O747" i="2"/>
  <c r="L747" i="2"/>
  <c r="M747" i="2" s="1"/>
  <c r="N747" i="2" s="1"/>
  <c r="I747" i="2"/>
  <c r="J747" i="2" s="1"/>
  <c r="K747" i="2" s="1"/>
  <c r="F747" i="2"/>
  <c r="G747" i="2" s="1"/>
  <c r="H747" i="2" s="1"/>
  <c r="C747" i="5" s="1"/>
  <c r="D747" i="2"/>
  <c r="E747" i="2" s="1"/>
  <c r="B747" i="5" s="1"/>
  <c r="B747" i="2"/>
  <c r="C747" i="2" s="1"/>
  <c r="A747" i="5" s="1"/>
  <c r="O746" i="2"/>
  <c r="L746" i="2"/>
  <c r="M746" i="2" s="1"/>
  <c r="N746" i="2" s="1"/>
  <c r="I746" i="2"/>
  <c r="J746" i="2" s="1"/>
  <c r="K746" i="2" s="1"/>
  <c r="Z746" i="2" s="1"/>
  <c r="F746" i="2"/>
  <c r="G746" i="2" s="1"/>
  <c r="H746" i="2" s="1"/>
  <c r="C746" i="5" s="1"/>
  <c r="D746" i="2"/>
  <c r="E746" i="2" s="1"/>
  <c r="B746" i="5" s="1"/>
  <c r="B746" i="2"/>
  <c r="C746" i="2" s="1"/>
  <c r="A746" i="5" s="1"/>
  <c r="O745" i="2"/>
  <c r="L745" i="2"/>
  <c r="M745" i="2" s="1"/>
  <c r="N745" i="2" s="1"/>
  <c r="E745" i="5" s="1"/>
  <c r="I745" i="2"/>
  <c r="J745" i="2" s="1"/>
  <c r="K745" i="2" s="1"/>
  <c r="Z745" i="2" s="1"/>
  <c r="F745" i="2"/>
  <c r="G745" i="2" s="1"/>
  <c r="H745" i="2" s="1"/>
  <c r="C745" i="5" s="1"/>
  <c r="D745" i="2"/>
  <c r="E745" i="2" s="1"/>
  <c r="B745" i="5" s="1"/>
  <c r="B745" i="2"/>
  <c r="C745" i="2" s="1"/>
  <c r="A745" i="5" s="1"/>
  <c r="O744" i="2"/>
  <c r="L744" i="2"/>
  <c r="M744" i="2" s="1"/>
  <c r="N744" i="2" s="1"/>
  <c r="E744" i="5" s="1"/>
  <c r="I744" i="2"/>
  <c r="J744" i="2" s="1"/>
  <c r="K744" i="2" s="1"/>
  <c r="F744" i="2"/>
  <c r="G744" i="2" s="1"/>
  <c r="H744" i="2" s="1"/>
  <c r="C744" i="5" s="1"/>
  <c r="D744" i="2"/>
  <c r="E744" i="2" s="1"/>
  <c r="B744" i="5" s="1"/>
  <c r="B744" i="2"/>
  <c r="C744" i="2" s="1"/>
  <c r="A744" i="5" s="1"/>
  <c r="O743" i="2"/>
  <c r="L743" i="2"/>
  <c r="M743" i="2" s="1"/>
  <c r="N743" i="2" s="1"/>
  <c r="I743" i="2"/>
  <c r="J743" i="2" s="1"/>
  <c r="K743" i="2" s="1"/>
  <c r="F743" i="2"/>
  <c r="G743" i="2" s="1"/>
  <c r="H743" i="2" s="1"/>
  <c r="C743" i="5" s="1"/>
  <c r="D743" i="2"/>
  <c r="E743" i="2" s="1"/>
  <c r="B743" i="5" s="1"/>
  <c r="B743" i="2"/>
  <c r="C743" i="2" s="1"/>
  <c r="A743" i="5" s="1"/>
  <c r="O742" i="2"/>
  <c r="L742" i="2"/>
  <c r="M742" i="2" s="1"/>
  <c r="N742" i="2" s="1"/>
  <c r="I742" i="2"/>
  <c r="J742" i="2" s="1"/>
  <c r="K742" i="2" s="1"/>
  <c r="Z742" i="2" s="1"/>
  <c r="F742" i="2"/>
  <c r="G742" i="2" s="1"/>
  <c r="H742" i="2" s="1"/>
  <c r="C742" i="5" s="1"/>
  <c r="D742" i="2"/>
  <c r="E742" i="2" s="1"/>
  <c r="B742" i="5" s="1"/>
  <c r="B742" i="2"/>
  <c r="C742" i="2" s="1"/>
  <c r="O741" i="2"/>
  <c r="L741" i="2"/>
  <c r="M741" i="2" s="1"/>
  <c r="N741" i="2" s="1"/>
  <c r="E741" i="5" s="1"/>
  <c r="I741" i="2"/>
  <c r="J741" i="2" s="1"/>
  <c r="K741" i="2" s="1"/>
  <c r="Z741" i="2" s="1"/>
  <c r="F741" i="2"/>
  <c r="G741" i="2" s="1"/>
  <c r="H741" i="2" s="1"/>
  <c r="C741" i="5" s="1"/>
  <c r="D741" i="2"/>
  <c r="E741" i="2" s="1"/>
  <c r="B741" i="5" s="1"/>
  <c r="B741" i="2"/>
  <c r="C741" i="2" s="1"/>
  <c r="A741" i="5" s="1"/>
  <c r="O740" i="2"/>
  <c r="L740" i="2"/>
  <c r="M740" i="2" s="1"/>
  <c r="N740" i="2" s="1"/>
  <c r="E740" i="5" s="1"/>
  <c r="I740" i="2"/>
  <c r="J740" i="2" s="1"/>
  <c r="K740" i="2" s="1"/>
  <c r="F740" i="2"/>
  <c r="G740" i="2" s="1"/>
  <c r="H740" i="2" s="1"/>
  <c r="C740" i="5" s="1"/>
  <c r="D740" i="2"/>
  <c r="E740" i="2" s="1"/>
  <c r="B740" i="5" s="1"/>
  <c r="B740" i="2"/>
  <c r="C740" i="2" s="1"/>
  <c r="A740" i="5" s="1"/>
  <c r="O739" i="2"/>
  <c r="L739" i="2"/>
  <c r="M739" i="2" s="1"/>
  <c r="N739" i="2" s="1"/>
  <c r="I739" i="2"/>
  <c r="J739" i="2" s="1"/>
  <c r="K739" i="2" s="1"/>
  <c r="F739" i="2"/>
  <c r="G739" i="2" s="1"/>
  <c r="H739" i="2" s="1"/>
  <c r="C739" i="5" s="1"/>
  <c r="D739" i="2"/>
  <c r="E739" i="2" s="1"/>
  <c r="B739" i="5" s="1"/>
  <c r="B739" i="2"/>
  <c r="C739" i="2" s="1"/>
  <c r="A739" i="5" s="1"/>
  <c r="O738" i="2"/>
  <c r="L738" i="2"/>
  <c r="M738" i="2" s="1"/>
  <c r="N738" i="2" s="1"/>
  <c r="I738" i="2"/>
  <c r="J738" i="2" s="1"/>
  <c r="K738" i="2" s="1"/>
  <c r="Z738" i="2" s="1"/>
  <c r="F738" i="2"/>
  <c r="G738" i="2" s="1"/>
  <c r="H738" i="2" s="1"/>
  <c r="C738" i="5" s="1"/>
  <c r="D738" i="2"/>
  <c r="E738" i="2" s="1"/>
  <c r="B738" i="5" s="1"/>
  <c r="B738" i="2"/>
  <c r="C738" i="2" s="1"/>
  <c r="A738" i="5" s="1"/>
  <c r="O737" i="2"/>
  <c r="L737" i="2"/>
  <c r="M737" i="2" s="1"/>
  <c r="N737" i="2" s="1"/>
  <c r="E737" i="5" s="1"/>
  <c r="I737" i="2"/>
  <c r="J737" i="2" s="1"/>
  <c r="K737" i="2" s="1"/>
  <c r="Z737" i="2" s="1"/>
  <c r="F737" i="2"/>
  <c r="G737" i="2" s="1"/>
  <c r="H737" i="2" s="1"/>
  <c r="C737" i="5" s="1"/>
  <c r="D737" i="2"/>
  <c r="E737" i="2" s="1"/>
  <c r="B737" i="5" s="1"/>
  <c r="B737" i="2"/>
  <c r="C737" i="2" s="1"/>
  <c r="A737" i="5" s="1"/>
  <c r="O736" i="2"/>
  <c r="L736" i="2"/>
  <c r="M736" i="2" s="1"/>
  <c r="N736" i="2" s="1"/>
  <c r="E736" i="5" s="1"/>
  <c r="I736" i="2"/>
  <c r="J736" i="2" s="1"/>
  <c r="K736" i="2" s="1"/>
  <c r="F736" i="2"/>
  <c r="G736" i="2" s="1"/>
  <c r="H736" i="2" s="1"/>
  <c r="C736" i="5" s="1"/>
  <c r="D736" i="2"/>
  <c r="E736" i="2" s="1"/>
  <c r="B736" i="5" s="1"/>
  <c r="B736" i="2"/>
  <c r="C736" i="2" s="1"/>
  <c r="A736" i="5" s="1"/>
  <c r="O735" i="2"/>
  <c r="L735" i="2"/>
  <c r="M735" i="2" s="1"/>
  <c r="N735" i="2" s="1"/>
  <c r="I735" i="2"/>
  <c r="J735" i="2" s="1"/>
  <c r="K735" i="2" s="1"/>
  <c r="F735" i="2"/>
  <c r="G735" i="2" s="1"/>
  <c r="H735" i="2" s="1"/>
  <c r="C735" i="5" s="1"/>
  <c r="D735" i="2"/>
  <c r="E735" i="2" s="1"/>
  <c r="B735" i="5" s="1"/>
  <c r="B735" i="2"/>
  <c r="C735" i="2" s="1"/>
  <c r="O734" i="2"/>
  <c r="L734" i="2"/>
  <c r="M734" i="2" s="1"/>
  <c r="N734" i="2" s="1"/>
  <c r="I734" i="2"/>
  <c r="J734" i="2" s="1"/>
  <c r="K734" i="2" s="1"/>
  <c r="Z734" i="2" s="1"/>
  <c r="F734" i="2"/>
  <c r="G734" i="2" s="1"/>
  <c r="H734" i="2" s="1"/>
  <c r="C734" i="5" s="1"/>
  <c r="D734" i="2"/>
  <c r="E734" i="2" s="1"/>
  <c r="B734" i="5" s="1"/>
  <c r="B734" i="2"/>
  <c r="C734" i="2" s="1"/>
  <c r="O733" i="2"/>
  <c r="L733" i="2"/>
  <c r="M733" i="2" s="1"/>
  <c r="N733" i="2" s="1"/>
  <c r="E733" i="5" s="1"/>
  <c r="I733" i="2"/>
  <c r="J733" i="2" s="1"/>
  <c r="K733" i="2" s="1"/>
  <c r="Z733" i="2" s="1"/>
  <c r="F733" i="2"/>
  <c r="G733" i="2" s="1"/>
  <c r="H733" i="2" s="1"/>
  <c r="C733" i="5" s="1"/>
  <c r="D733" i="2"/>
  <c r="E733" i="2" s="1"/>
  <c r="B733" i="5" s="1"/>
  <c r="B733" i="2"/>
  <c r="C733" i="2" s="1"/>
  <c r="A733" i="5" s="1"/>
  <c r="O732" i="2"/>
  <c r="L732" i="2"/>
  <c r="M732" i="2" s="1"/>
  <c r="N732" i="2" s="1"/>
  <c r="E732" i="5" s="1"/>
  <c r="I732" i="2"/>
  <c r="J732" i="2" s="1"/>
  <c r="K732" i="2" s="1"/>
  <c r="F732" i="2"/>
  <c r="G732" i="2" s="1"/>
  <c r="H732" i="2" s="1"/>
  <c r="C732" i="5" s="1"/>
  <c r="D732" i="2"/>
  <c r="E732" i="2" s="1"/>
  <c r="B732" i="5" s="1"/>
  <c r="B732" i="2"/>
  <c r="C732" i="2" s="1"/>
  <c r="A732" i="5" s="1"/>
  <c r="O731" i="2"/>
  <c r="L731" i="2"/>
  <c r="M731" i="2" s="1"/>
  <c r="N731" i="2" s="1"/>
  <c r="I731" i="2"/>
  <c r="J731" i="2" s="1"/>
  <c r="K731" i="2" s="1"/>
  <c r="F731" i="2"/>
  <c r="G731" i="2" s="1"/>
  <c r="H731" i="2" s="1"/>
  <c r="C731" i="5" s="1"/>
  <c r="D731" i="2"/>
  <c r="E731" i="2" s="1"/>
  <c r="B731" i="5" s="1"/>
  <c r="B731" i="2"/>
  <c r="C731" i="2" s="1"/>
  <c r="O730" i="2"/>
  <c r="L730" i="2"/>
  <c r="M730" i="2" s="1"/>
  <c r="N730" i="2" s="1"/>
  <c r="I730" i="2"/>
  <c r="J730" i="2" s="1"/>
  <c r="K730" i="2" s="1"/>
  <c r="Z730" i="2" s="1"/>
  <c r="F730" i="2"/>
  <c r="G730" i="2" s="1"/>
  <c r="H730" i="2" s="1"/>
  <c r="C730" i="5" s="1"/>
  <c r="D730" i="2"/>
  <c r="E730" i="2" s="1"/>
  <c r="B730" i="5" s="1"/>
  <c r="B730" i="2"/>
  <c r="C730" i="2" s="1"/>
  <c r="A730" i="5" s="1"/>
  <c r="O729" i="2"/>
  <c r="L729" i="2"/>
  <c r="M729" i="2" s="1"/>
  <c r="N729" i="2" s="1"/>
  <c r="E729" i="5" s="1"/>
  <c r="I729" i="2"/>
  <c r="J729" i="2" s="1"/>
  <c r="K729" i="2" s="1"/>
  <c r="Z729" i="2" s="1"/>
  <c r="F729" i="2"/>
  <c r="G729" i="2" s="1"/>
  <c r="H729" i="2" s="1"/>
  <c r="C729" i="5" s="1"/>
  <c r="D729" i="2"/>
  <c r="E729" i="2" s="1"/>
  <c r="B729" i="5" s="1"/>
  <c r="B729" i="2"/>
  <c r="C729" i="2" s="1"/>
  <c r="A729" i="5" s="1"/>
  <c r="O728" i="2"/>
  <c r="L728" i="2"/>
  <c r="M728" i="2" s="1"/>
  <c r="N728" i="2" s="1"/>
  <c r="E728" i="5" s="1"/>
  <c r="I728" i="2"/>
  <c r="J728" i="2" s="1"/>
  <c r="K728" i="2" s="1"/>
  <c r="F728" i="2"/>
  <c r="G728" i="2" s="1"/>
  <c r="H728" i="2" s="1"/>
  <c r="C728" i="5" s="1"/>
  <c r="D728" i="2"/>
  <c r="E728" i="2" s="1"/>
  <c r="B728" i="5" s="1"/>
  <c r="B728" i="2"/>
  <c r="C728" i="2" s="1"/>
  <c r="A728" i="5" s="1"/>
  <c r="O727" i="2"/>
  <c r="L727" i="2"/>
  <c r="M727" i="2" s="1"/>
  <c r="N727" i="2" s="1"/>
  <c r="I727" i="2"/>
  <c r="J727" i="2" s="1"/>
  <c r="K727" i="2" s="1"/>
  <c r="F727" i="2"/>
  <c r="G727" i="2" s="1"/>
  <c r="H727" i="2" s="1"/>
  <c r="C727" i="5" s="1"/>
  <c r="D727" i="2"/>
  <c r="E727" i="2" s="1"/>
  <c r="B727" i="5" s="1"/>
  <c r="B727" i="2"/>
  <c r="C727" i="2" s="1"/>
  <c r="O726" i="2"/>
  <c r="L726" i="2"/>
  <c r="M726" i="2" s="1"/>
  <c r="N726" i="2" s="1"/>
  <c r="I726" i="2"/>
  <c r="J726" i="2" s="1"/>
  <c r="K726" i="2" s="1"/>
  <c r="Z726" i="2" s="1"/>
  <c r="F726" i="2"/>
  <c r="G726" i="2" s="1"/>
  <c r="H726" i="2" s="1"/>
  <c r="C726" i="5" s="1"/>
  <c r="D726" i="2"/>
  <c r="E726" i="2" s="1"/>
  <c r="B726" i="5" s="1"/>
  <c r="B726" i="2"/>
  <c r="C726" i="2" s="1"/>
  <c r="O725" i="2"/>
  <c r="L725" i="2"/>
  <c r="M725" i="2" s="1"/>
  <c r="N725" i="2" s="1"/>
  <c r="I725" i="2"/>
  <c r="J725" i="2" s="1"/>
  <c r="K725" i="2" s="1"/>
  <c r="F725" i="2"/>
  <c r="G725" i="2" s="1"/>
  <c r="H725" i="2" s="1"/>
  <c r="C725" i="5" s="1"/>
  <c r="D725" i="2"/>
  <c r="E725" i="2" s="1"/>
  <c r="B725" i="5" s="1"/>
  <c r="B725" i="2"/>
  <c r="C725" i="2" s="1"/>
  <c r="O724" i="2"/>
  <c r="L724" i="2"/>
  <c r="M724" i="2" s="1"/>
  <c r="N724" i="2" s="1"/>
  <c r="E724" i="5" s="1"/>
  <c r="I724" i="2"/>
  <c r="J724" i="2" s="1"/>
  <c r="K724" i="2" s="1"/>
  <c r="F724" i="2"/>
  <c r="G724" i="2" s="1"/>
  <c r="H724" i="2" s="1"/>
  <c r="C724" i="5" s="1"/>
  <c r="D724" i="2"/>
  <c r="E724" i="2" s="1"/>
  <c r="B724" i="5" s="1"/>
  <c r="B724" i="2"/>
  <c r="C724" i="2" s="1"/>
  <c r="A724" i="5" s="1"/>
  <c r="O723" i="2"/>
  <c r="L723" i="2"/>
  <c r="M723" i="2" s="1"/>
  <c r="N723" i="2" s="1"/>
  <c r="I723" i="2"/>
  <c r="J723" i="2" s="1"/>
  <c r="K723" i="2" s="1"/>
  <c r="F723" i="2"/>
  <c r="G723" i="2" s="1"/>
  <c r="H723" i="2" s="1"/>
  <c r="C723" i="5" s="1"/>
  <c r="D723" i="2"/>
  <c r="E723" i="2" s="1"/>
  <c r="B723" i="5" s="1"/>
  <c r="B723" i="2"/>
  <c r="C723" i="2" s="1"/>
  <c r="O722" i="2"/>
  <c r="L722" i="2"/>
  <c r="M722" i="2" s="1"/>
  <c r="N722" i="2" s="1"/>
  <c r="E722" i="5" s="1"/>
  <c r="I722" i="2"/>
  <c r="J722" i="2" s="1"/>
  <c r="K722" i="2" s="1"/>
  <c r="F722" i="2"/>
  <c r="G722" i="2" s="1"/>
  <c r="H722" i="2" s="1"/>
  <c r="C722" i="5" s="1"/>
  <c r="D722" i="2"/>
  <c r="E722" i="2" s="1"/>
  <c r="B722" i="5" s="1"/>
  <c r="B722" i="2"/>
  <c r="C722" i="2" s="1"/>
  <c r="A722" i="5" s="1"/>
  <c r="O721" i="2"/>
  <c r="L721" i="2"/>
  <c r="M721" i="2" s="1"/>
  <c r="N721" i="2" s="1"/>
  <c r="I721" i="2"/>
  <c r="J721" i="2" s="1"/>
  <c r="K721" i="2" s="1"/>
  <c r="F721" i="2"/>
  <c r="G721" i="2" s="1"/>
  <c r="H721" i="2" s="1"/>
  <c r="C721" i="5" s="1"/>
  <c r="D721" i="2"/>
  <c r="E721" i="2" s="1"/>
  <c r="B721" i="5" s="1"/>
  <c r="B721" i="2"/>
  <c r="C721" i="2" s="1"/>
  <c r="O720" i="2"/>
  <c r="L720" i="2"/>
  <c r="M720" i="2" s="1"/>
  <c r="N720" i="2" s="1"/>
  <c r="E720" i="5" s="1"/>
  <c r="I720" i="2"/>
  <c r="J720" i="2" s="1"/>
  <c r="K720" i="2" s="1"/>
  <c r="F720" i="2"/>
  <c r="G720" i="2" s="1"/>
  <c r="H720" i="2" s="1"/>
  <c r="C720" i="5" s="1"/>
  <c r="D720" i="2"/>
  <c r="E720" i="2" s="1"/>
  <c r="B720" i="5" s="1"/>
  <c r="B720" i="2"/>
  <c r="C720" i="2" s="1"/>
  <c r="A720" i="5" s="1"/>
  <c r="O719" i="2"/>
  <c r="L719" i="2"/>
  <c r="M719" i="2" s="1"/>
  <c r="N719" i="2" s="1"/>
  <c r="I719" i="2"/>
  <c r="J719" i="2" s="1"/>
  <c r="K719" i="2" s="1"/>
  <c r="F719" i="2"/>
  <c r="G719" i="2" s="1"/>
  <c r="H719" i="2" s="1"/>
  <c r="C719" i="5" s="1"/>
  <c r="D719" i="2"/>
  <c r="E719" i="2" s="1"/>
  <c r="B719" i="5" s="1"/>
  <c r="B719" i="2"/>
  <c r="C719" i="2" s="1"/>
  <c r="O718" i="2"/>
  <c r="L718" i="2"/>
  <c r="M718" i="2" s="1"/>
  <c r="N718" i="2" s="1"/>
  <c r="E718" i="5" s="1"/>
  <c r="I718" i="2"/>
  <c r="J718" i="2" s="1"/>
  <c r="K718" i="2" s="1"/>
  <c r="F718" i="2"/>
  <c r="G718" i="2" s="1"/>
  <c r="H718" i="2" s="1"/>
  <c r="C718" i="5" s="1"/>
  <c r="D718" i="2"/>
  <c r="E718" i="2" s="1"/>
  <c r="B718" i="5" s="1"/>
  <c r="B718" i="2"/>
  <c r="C718" i="2" s="1"/>
  <c r="A718" i="5" s="1"/>
  <c r="O717" i="2"/>
  <c r="L717" i="2"/>
  <c r="M717" i="2" s="1"/>
  <c r="N717" i="2" s="1"/>
  <c r="I717" i="2"/>
  <c r="J717" i="2" s="1"/>
  <c r="K717" i="2" s="1"/>
  <c r="F717" i="2"/>
  <c r="G717" i="2" s="1"/>
  <c r="H717" i="2" s="1"/>
  <c r="C717" i="5" s="1"/>
  <c r="D717" i="2"/>
  <c r="E717" i="2" s="1"/>
  <c r="B717" i="5" s="1"/>
  <c r="B717" i="2"/>
  <c r="C717" i="2" s="1"/>
  <c r="O716" i="2"/>
  <c r="L716" i="2"/>
  <c r="M716" i="2" s="1"/>
  <c r="N716" i="2" s="1"/>
  <c r="E716" i="5" s="1"/>
  <c r="I716" i="2"/>
  <c r="J716" i="2" s="1"/>
  <c r="K716" i="2" s="1"/>
  <c r="F716" i="2"/>
  <c r="G716" i="2" s="1"/>
  <c r="H716" i="2" s="1"/>
  <c r="C716" i="5" s="1"/>
  <c r="D716" i="2"/>
  <c r="E716" i="2" s="1"/>
  <c r="B716" i="5" s="1"/>
  <c r="B716" i="2"/>
  <c r="C716" i="2" s="1"/>
  <c r="A716" i="5" s="1"/>
  <c r="O715" i="2"/>
  <c r="L715" i="2"/>
  <c r="M715" i="2" s="1"/>
  <c r="N715" i="2" s="1"/>
  <c r="I715" i="2"/>
  <c r="J715" i="2" s="1"/>
  <c r="K715" i="2" s="1"/>
  <c r="F715" i="2"/>
  <c r="G715" i="2" s="1"/>
  <c r="H715" i="2" s="1"/>
  <c r="C715" i="5" s="1"/>
  <c r="D715" i="2"/>
  <c r="E715" i="2" s="1"/>
  <c r="B715" i="5" s="1"/>
  <c r="B715" i="2"/>
  <c r="C715" i="2" s="1"/>
  <c r="A715" i="5" s="1"/>
  <c r="O714" i="2"/>
  <c r="L714" i="2"/>
  <c r="M714" i="2" s="1"/>
  <c r="N714" i="2" s="1"/>
  <c r="E714" i="5" s="1"/>
  <c r="I714" i="2"/>
  <c r="J714" i="2" s="1"/>
  <c r="K714" i="2" s="1"/>
  <c r="F714" i="2"/>
  <c r="G714" i="2" s="1"/>
  <c r="H714" i="2" s="1"/>
  <c r="C714" i="5" s="1"/>
  <c r="D714" i="2"/>
  <c r="E714" i="2" s="1"/>
  <c r="B714" i="5" s="1"/>
  <c r="B714" i="2"/>
  <c r="C714" i="2" s="1"/>
  <c r="A714" i="5" s="1"/>
  <c r="O713" i="2"/>
  <c r="L713" i="2"/>
  <c r="M713" i="2" s="1"/>
  <c r="N713" i="2" s="1"/>
  <c r="I713" i="2"/>
  <c r="J713" i="2" s="1"/>
  <c r="K713" i="2" s="1"/>
  <c r="F713" i="2"/>
  <c r="G713" i="2" s="1"/>
  <c r="H713" i="2" s="1"/>
  <c r="C713" i="5" s="1"/>
  <c r="D713" i="2"/>
  <c r="E713" i="2" s="1"/>
  <c r="B713" i="5" s="1"/>
  <c r="B713" i="2"/>
  <c r="C713" i="2" s="1"/>
  <c r="O712" i="2"/>
  <c r="L712" i="2"/>
  <c r="M712" i="2" s="1"/>
  <c r="N712" i="2" s="1"/>
  <c r="E712" i="5" s="1"/>
  <c r="I712" i="2"/>
  <c r="J712" i="2" s="1"/>
  <c r="K712" i="2" s="1"/>
  <c r="F712" i="2"/>
  <c r="G712" i="2" s="1"/>
  <c r="H712" i="2" s="1"/>
  <c r="C712" i="5" s="1"/>
  <c r="D712" i="2"/>
  <c r="E712" i="2" s="1"/>
  <c r="B712" i="5" s="1"/>
  <c r="B712" i="2"/>
  <c r="C712" i="2" s="1"/>
  <c r="A712" i="5" s="1"/>
  <c r="O711" i="2"/>
  <c r="L711" i="2"/>
  <c r="M711" i="2" s="1"/>
  <c r="N711" i="2" s="1"/>
  <c r="I711" i="2"/>
  <c r="J711" i="2" s="1"/>
  <c r="K711" i="2" s="1"/>
  <c r="F711" i="2"/>
  <c r="G711" i="2" s="1"/>
  <c r="H711" i="2" s="1"/>
  <c r="C711" i="5" s="1"/>
  <c r="D711" i="2"/>
  <c r="E711" i="2" s="1"/>
  <c r="B711" i="5" s="1"/>
  <c r="B711" i="2"/>
  <c r="C711" i="2" s="1"/>
  <c r="O710" i="2"/>
  <c r="L710" i="2"/>
  <c r="M710" i="2" s="1"/>
  <c r="N710" i="2" s="1"/>
  <c r="E710" i="5" s="1"/>
  <c r="I710" i="2"/>
  <c r="J710" i="2" s="1"/>
  <c r="K710" i="2" s="1"/>
  <c r="F710" i="2"/>
  <c r="G710" i="2" s="1"/>
  <c r="H710" i="2" s="1"/>
  <c r="C710" i="5" s="1"/>
  <c r="D710" i="2"/>
  <c r="E710" i="2" s="1"/>
  <c r="B710" i="5" s="1"/>
  <c r="B710" i="2"/>
  <c r="C710" i="2" s="1"/>
  <c r="A710" i="5" s="1"/>
  <c r="O709" i="2"/>
  <c r="L709" i="2"/>
  <c r="M709" i="2" s="1"/>
  <c r="N709" i="2" s="1"/>
  <c r="I709" i="2"/>
  <c r="J709" i="2" s="1"/>
  <c r="K709" i="2" s="1"/>
  <c r="F709" i="2"/>
  <c r="G709" i="2" s="1"/>
  <c r="H709" i="2" s="1"/>
  <c r="C709" i="5" s="1"/>
  <c r="D709" i="2"/>
  <c r="E709" i="2" s="1"/>
  <c r="B709" i="5" s="1"/>
  <c r="B709" i="2"/>
  <c r="C709" i="2" s="1"/>
  <c r="O708" i="2"/>
  <c r="L708" i="2"/>
  <c r="M708" i="2" s="1"/>
  <c r="N708" i="2" s="1"/>
  <c r="E708" i="5" s="1"/>
  <c r="I708" i="2"/>
  <c r="J708" i="2" s="1"/>
  <c r="K708" i="2" s="1"/>
  <c r="F708" i="2"/>
  <c r="G708" i="2" s="1"/>
  <c r="H708" i="2" s="1"/>
  <c r="C708" i="5" s="1"/>
  <c r="D708" i="2"/>
  <c r="E708" i="2" s="1"/>
  <c r="B708" i="5" s="1"/>
  <c r="B708" i="2"/>
  <c r="C708" i="2" s="1"/>
  <c r="A708" i="5" s="1"/>
  <c r="O707" i="2"/>
  <c r="L707" i="2"/>
  <c r="M707" i="2" s="1"/>
  <c r="N707" i="2" s="1"/>
  <c r="I707" i="2"/>
  <c r="J707" i="2" s="1"/>
  <c r="K707" i="2" s="1"/>
  <c r="F707" i="2"/>
  <c r="G707" i="2" s="1"/>
  <c r="H707" i="2" s="1"/>
  <c r="C707" i="5" s="1"/>
  <c r="D707" i="2"/>
  <c r="E707" i="2" s="1"/>
  <c r="B707" i="5" s="1"/>
  <c r="B707" i="2"/>
  <c r="C707" i="2" s="1"/>
  <c r="O706" i="2"/>
  <c r="L706" i="2"/>
  <c r="M706" i="2" s="1"/>
  <c r="N706" i="2" s="1"/>
  <c r="E706" i="5" s="1"/>
  <c r="I706" i="2"/>
  <c r="J706" i="2" s="1"/>
  <c r="K706" i="2" s="1"/>
  <c r="F706" i="2"/>
  <c r="G706" i="2" s="1"/>
  <c r="H706" i="2" s="1"/>
  <c r="C706" i="5" s="1"/>
  <c r="D706" i="2"/>
  <c r="E706" i="2" s="1"/>
  <c r="B706" i="5" s="1"/>
  <c r="B706" i="2"/>
  <c r="C706" i="2" s="1"/>
  <c r="A706" i="5" s="1"/>
  <c r="O705" i="2"/>
  <c r="L705" i="2"/>
  <c r="M705" i="2" s="1"/>
  <c r="N705" i="2" s="1"/>
  <c r="I705" i="2"/>
  <c r="J705" i="2" s="1"/>
  <c r="K705" i="2" s="1"/>
  <c r="F705" i="2"/>
  <c r="G705" i="2" s="1"/>
  <c r="H705" i="2" s="1"/>
  <c r="C705" i="5" s="1"/>
  <c r="D705" i="2"/>
  <c r="E705" i="2" s="1"/>
  <c r="B705" i="5" s="1"/>
  <c r="B705" i="2"/>
  <c r="C705" i="2" s="1"/>
  <c r="O704" i="2"/>
  <c r="L704" i="2"/>
  <c r="M704" i="2" s="1"/>
  <c r="N704" i="2" s="1"/>
  <c r="E704" i="5" s="1"/>
  <c r="I704" i="2"/>
  <c r="J704" i="2" s="1"/>
  <c r="K704" i="2" s="1"/>
  <c r="F704" i="2"/>
  <c r="G704" i="2" s="1"/>
  <c r="H704" i="2" s="1"/>
  <c r="C704" i="5" s="1"/>
  <c r="D704" i="2"/>
  <c r="E704" i="2" s="1"/>
  <c r="B704" i="5" s="1"/>
  <c r="B704" i="2"/>
  <c r="C704" i="2" s="1"/>
  <c r="A704" i="5" s="1"/>
  <c r="O703" i="2"/>
  <c r="L703" i="2"/>
  <c r="M703" i="2" s="1"/>
  <c r="N703" i="2" s="1"/>
  <c r="I703" i="2"/>
  <c r="J703" i="2" s="1"/>
  <c r="K703" i="2" s="1"/>
  <c r="F703" i="2"/>
  <c r="G703" i="2" s="1"/>
  <c r="H703" i="2" s="1"/>
  <c r="C703" i="5" s="1"/>
  <c r="D703" i="2"/>
  <c r="E703" i="2" s="1"/>
  <c r="B703" i="5" s="1"/>
  <c r="B703" i="2"/>
  <c r="C703" i="2" s="1"/>
  <c r="O702" i="2"/>
  <c r="L702" i="2"/>
  <c r="M702" i="2" s="1"/>
  <c r="N702" i="2" s="1"/>
  <c r="E702" i="5" s="1"/>
  <c r="I702" i="2"/>
  <c r="J702" i="2" s="1"/>
  <c r="K702" i="2" s="1"/>
  <c r="F702" i="2"/>
  <c r="G702" i="2" s="1"/>
  <c r="H702" i="2" s="1"/>
  <c r="C702" i="5" s="1"/>
  <c r="D702" i="2"/>
  <c r="E702" i="2" s="1"/>
  <c r="B702" i="5" s="1"/>
  <c r="B702" i="2"/>
  <c r="C702" i="2" s="1"/>
  <c r="A702" i="5" s="1"/>
  <c r="O701" i="2"/>
  <c r="L701" i="2"/>
  <c r="M701" i="2" s="1"/>
  <c r="N701" i="2" s="1"/>
  <c r="I701" i="2"/>
  <c r="J701" i="2" s="1"/>
  <c r="K701" i="2" s="1"/>
  <c r="F701" i="2"/>
  <c r="G701" i="2" s="1"/>
  <c r="H701" i="2" s="1"/>
  <c r="C701" i="5" s="1"/>
  <c r="D701" i="2"/>
  <c r="E701" i="2" s="1"/>
  <c r="B701" i="5" s="1"/>
  <c r="B701" i="2"/>
  <c r="C701" i="2" s="1"/>
  <c r="O700" i="2"/>
  <c r="L700" i="2"/>
  <c r="M700" i="2" s="1"/>
  <c r="N700" i="2" s="1"/>
  <c r="E700" i="5" s="1"/>
  <c r="I700" i="2"/>
  <c r="J700" i="2" s="1"/>
  <c r="K700" i="2" s="1"/>
  <c r="F700" i="2"/>
  <c r="G700" i="2" s="1"/>
  <c r="H700" i="2" s="1"/>
  <c r="C700" i="5" s="1"/>
  <c r="D700" i="2"/>
  <c r="E700" i="2" s="1"/>
  <c r="B700" i="5" s="1"/>
  <c r="B700" i="2"/>
  <c r="C700" i="2" s="1"/>
  <c r="A700" i="5" s="1"/>
  <c r="O699" i="2"/>
  <c r="L699" i="2"/>
  <c r="M699" i="2" s="1"/>
  <c r="N699" i="2" s="1"/>
  <c r="I699" i="2"/>
  <c r="J699" i="2" s="1"/>
  <c r="K699" i="2" s="1"/>
  <c r="F699" i="2"/>
  <c r="G699" i="2" s="1"/>
  <c r="H699" i="2" s="1"/>
  <c r="C699" i="5" s="1"/>
  <c r="D699" i="2"/>
  <c r="E699" i="2" s="1"/>
  <c r="B699" i="5" s="1"/>
  <c r="B699" i="2"/>
  <c r="C699" i="2" s="1"/>
  <c r="A699" i="5" s="1"/>
  <c r="O698" i="2"/>
  <c r="L698" i="2"/>
  <c r="M698" i="2" s="1"/>
  <c r="N698" i="2" s="1"/>
  <c r="E698" i="5" s="1"/>
  <c r="I698" i="2"/>
  <c r="J698" i="2" s="1"/>
  <c r="K698" i="2" s="1"/>
  <c r="F698" i="2"/>
  <c r="G698" i="2" s="1"/>
  <c r="H698" i="2" s="1"/>
  <c r="C698" i="5" s="1"/>
  <c r="D698" i="2"/>
  <c r="E698" i="2" s="1"/>
  <c r="B698" i="5" s="1"/>
  <c r="B698" i="2"/>
  <c r="C698" i="2" s="1"/>
  <c r="A698" i="5" s="1"/>
  <c r="O697" i="2"/>
  <c r="L697" i="2"/>
  <c r="M697" i="2" s="1"/>
  <c r="N697" i="2" s="1"/>
  <c r="I697" i="2"/>
  <c r="J697" i="2" s="1"/>
  <c r="K697" i="2" s="1"/>
  <c r="F697" i="2"/>
  <c r="G697" i="2" s="1"/>
  <c r="H697" i="2" s="1"/>
  <c r="C697" i="5" s="1"/>
  <c r="D697" i="2"/>
  <c r="E697" i="2" s="1"/>
  <c r="B697" i="5" s="1"/>
  <c r="B697" i="2"/>
  <c r="C697" i="2" s="1"/>
  <c r="O696" i="2"/>
  <c r="L696" i="2"/>
  <c r="M696" i="2" s="1"/>
  <c r="N696" i="2" s="1"/>
  <c r="E696" i="5" s="1"/>
  <c r="I696" i="2"/>
  <c r="J696" i="2" s="1"/>
  <c r="K696" i="2" s="1"/>
  <c r="F696" i="2"/>
  <c r="G696" i="2" s="1"/>
  <c r="H696" i="2" s="1"/>
  <c r="C696" i="5" s="1"/>
  <c r="D696" i="2"/>
  <c r="E696" i="2" s="1"/>
  <c r="B696" i="5" s="1"/>
  <c r="B696" i="2"/>
  <c r="C696" i="2" s="1"/>
  <c r="A696" i="5" s="1"/>
  <c r="O695" i="2"/>
  <c r="L695" i="2"/>
  <c r="M695" i="2" s="1"/>
  <c r="N695" i="2" s="1"/>
  <c r="I695" i="2"/>
  <c r="J695" i="2" s="1"/>
  <c r="K695" i="2" s="1"/>
  <c r="F695" i="2"/>
  <c r="G695" i="2" s="1"/>
  <c r="H695" i="2" s="1"/>
  <c r="C695" i="5" s="1"/>
  <c r="D695" i="2"/>
  <c r="E695" i="2" s="1"/>
  <c r="B695" i="5" s="1"/>
  <c r="B695" i="2"/>
  <c r="C695" i="2" s="1"/>
  <c r="A695" i="5" s="1"/>
  <c r="O694" i="2"/>
  <c r="L694" i="2"/>
  <c r="M694" i="2" s="1"/>
  <c r="N694" i="2" s="1"/>
  <c r="E694" i="5" s="1"/>
  <c r="I694" i="2"/>
  <c r="J694" i="2" s="1"/>
  <c r="K694" i="2" s="1"/>
  <c r="F694" i="2"/>
  <c r="G694" i="2" s="1"/>
  <c r="H694" i="2" s="1"/>
  <c r="C694" i="5" s="1"/>
  <c r="D694" i="2"/>
  <c r="E694" i="2" s="1"/>
  <c r="B694" i="5" s="1"/>
  <c r="B694" i="2"/>
  <c r="C694" i="2" s="1"/>
  <c r="A694" i="5" s="1"/>
  <c r="O693" i="2"/>
  <c r="L693" i="2"/>
  <c r="M693" i="2" s="1"/>
  <c r="N693" i="2" s="1"/>
  <c r="I693" i="2"/>
  <c r="J693" i="2" s="1"/>
  <c r="K693" i="2" s="1"/>
  <c r="F693" i="2"/>
  <c r="G693" i="2" s="1"/>
  <c r="H693" i="2" s="1"/>
  <c r="C693" i="5" s="1"/>
  <c r="D693" i="2"/>
  <c r="E693" i="2" s="1"/>
  <c r="B693" i="5" s="1"/>
  <c r="B693" i="2"/>
  <c r="C693" i="2" s="1"/>
  <c r="A693" i="5" s="1"/>
  <c r="O692" i="2"/>
  <c r="L692" i="2"/>
  <c r="M692" i="2" s="1"/>
  <c r="N692" i="2" s="1"/>
  <c r="E692" i="5" s="1"/>
  <c r="I692" i="2"/>
  <c r="J692" i="2" s="1"/>
  <c r="K692" i="2" s="1"/>
  <c r="F692" i="2"/>
  <c r="G692" i="2" s="1"/>
  <c r="H692" i="2" s="1"/>
  <c r="C692" i="5" s="1"/>
  <c r="D692" i="2"/>
  <c r="E692" i="2" s="1"/>
  <c r="B692" i="5" s="1"/>
  <c r="B692" i="2"/>
  <c r="C692" i="2" s="1"/>
  <c r="A692" i="5" s="1"/>
  <c r="O691" i="2"/>
  <c r="L691" i="2"/>
  <c r="M691" i="2" s="1"/>
  <c r="N691" i="2" s="1"/>
  <c r="I691" i="2"/>
  <c r="J691" i="2" s="1"/>
  <c r="K691" i="2" s="1"/>
  <c r="F691" i="2"/>
  <c r="G691" i="2" s="1"/>
  <c r="H691" i="2" s="1"/>
  <c r="C691" i="5" s="1"/>
  <c r="D691" i="2"/>
  <c r="E691" i="2" s="1"/>
  <c r="B691" i="5" s="1"/>
  <c r="B691" i="2"/>
  <c r="C691" i="2" s="1"/>
  <c r="A691" i="5" s="1"/>
  <c r="O690" i="2"/>
  <c r="L690" i="2"/>
  <c r="M690" i="2" s="1"/>
  <c r="N690" i="2" s="1"/>
  <c r="E690" i="5" s="1"/>
  <c r="I690" i="2"/>
  <c r="J690" i="2" s="1"/>
  <c r="K690" i="2" s="1"/>
  <c r="F690" i="2"/>
  <c r="G690" i="2" s="1"/>
  <c r="H690" i="2" s="1"/>
  <c r="C690" i="5" s="1"/>
  <c r="D690" i="2"/>
  <c r="E690" i="2" s="1"/>
  <c r="B690" i="5" s="1"/>
  <c r="B690" i="2"/>
  <c r="C690" i="2" s="1"/>
  <c r="A690" i="5" s="1"/>
  <c r="O689" i="2"/>
  <c r="L689" i="2"/>
  <c r="M689" i="2" s="1"/>
  <c r="N689" i="2" s="1"/>
  <c r="I689" i="2"/>
  <c r="J689" i="2" s="1"/>
  <c r="K689" i="2" s="1"/>
  <c r="F689" i="2"/>
  <c r="G689" i="2" s="1"/>
  <c r="H689" i="2" s="1"/>
  <c r="C689" i="5" s="1"/>
  <c r="D689" i="2"/>
  <c r="E689" i="2" s="1"/>
  <c r="B689" i="5" s="1"/>
  <c r="B689" i="2"/>
  <c r="C689" i="2" s="1"/>
  <c r="O688" i="2"/>
  <c r="L688" i="2"/>
  <c r="M688" i="2" s="1"/>
  <c r="N688" i="2" s="1"/>
  <c r="E688" i="5" s="1"/>
  <c r="I688" i="2"/>
  <c r="J688" i="2" s="1"/>
  <c r="K688" i="2" s="1"/>
  <c r="F688" i="2"/>
  <c r="G688" i="2" s="1"/>
  <c r="H688" i="2" s="1"/>
  <c r="C688" i="5" s="1"/>
  <c r="D688" i="2"/>
  <c r="E688" i="2" s="1"/>
  <c r="B688" i="5" s="1"/>
  <c r="B688" i="2"/>
  <c r="C688" i="2" s="1"/>
  <c r="A688" i="5" s="1"/>
  <c r="O687" i="2"/>
  <c r="L687" i="2"/>
  <c r="M687" i="2" s="1"/>
  <c r="N687" i="2" s="1"/>
  <c r="I687" i="2"/>
  <c r="J687" i="2" s="1"/>
  <c r="K687" i="2" s="1"/>
  <c r="F687" i="2"/>
  <c r="G687" i="2" s="1"/>
  <c r="H687" i="2" s="1"/>
  <c r="C687" i="5" s="1"/>
  <c r="D687" i="2"/>
  <c r="E687" i="2" s="1"/>
  <c r="B687" i="5" s="1"/>
  <c r="B687" i="2"/>
  <c r="C687" i="2" s="1"/>
  <c r="A687" i="5" s="1"/>
  <c r="O686" i="2"/>
  <c r="L686" i="2"/>
  <c r="M686" i="2" s="1"/>
  <c r="N686" i="2" s="1"/>
  <c r="E686" i="5" s="1"/>
  <c r="I686" i="2"/>
  <c r="J686" i="2" s="1"/>
  <c r="K686" i="2" s="1"/>
  <c r="F686" i="2"/>
  <c r="G686" i="2" s="1"/>
  <c r="H686" i="2" s="1"/>
  <c r="C686" i="5" s="1"/>
  <c r="D686" i="2"/>
  <c r="E686" i="2" s="1"/>
  <c r="B686" i="5" s="1"/>
  <c r="B686" i="2"/>
  <c r="C686" i="2" s="1"/>
  <c r="A686" i="5" s="1"/>
  <c r="O685" i="2"/>
  <c r="L685" i="2"/>
  <c r="M685" i="2" s="1"/>
  <c r="N685" i="2" s="1"/>
  <c r="I685" i="2"/>
  <c r="J685" i="2" s="1"/>
  <c r="K685" i="2" s="1"/>
  <c r="F685" i="2"/>
  <c r="G685" i="2" s="1"/>
  <c r="H685" i="2" s="1"/>
  <c r="C685" i="5" s="1"/>
  <c r="D685" i="2"/>
  <c r="E685" i="2" s="1"/>
  <c r="B685" i="5" s="1"/>
  <c r="B685" i="2"/>
  <c r="C685" i="2" s="1"/>
  <c r="A685" i="5" s="1"/>
  <c r="O684" i="2"/>
  <c r="L684" i="2"/>
  <c r="M684" i="2" s="1"/>
  <c r="N684" i="2" s="1"/>
  <c r="E684" i="5" s="1"/>
  <c r="I684" i="2"/>
  <c r="J684" i="2" s="1"/>
  <c r="K684" i="2" s="1"/>
  <c r="F684" i="2"/>
  <c r="G684" i="2" s="1"/>
  <c r="H684" i="2" s="1"/>
  <c r="C684" i="5" s="1"/>
  <c r="D684" i="2"/>
  <c r="E684" i="2" s="1"/>
  <c r="B684" i="5" s="1"/>
  <c r="B684" i="2"/>
  <c r="C684" i="2" s="1"/>
  <c r="A684" i="5" s="1"/>
  <c r="O683" i="2"/>
  <c r="L683" i="2"/>
  <c r="M683" i="2" s="1"/>
  <c r="N683" i="2" s="1"/>
  <c r="I683" i="2"/>
  <c r="J683" i="2" s="1"/>
  <c r="K683" i="2" s="1"/>
  <c r="F683" i="2"/>
  <c r="G683" i="2" s="1"/>
  <c r="H683" i="2" s="1"/>
  <c r="C683" i="5" s="1"/>
  <c r="D683" i="2"/>
  <c r="E683" i="2" s="1"/>
  <c r="B683" i="5" s="1"/>
  <c r="B683" i="2"/>
  <c r="C683" i="2" s="1"/>
  <c r="A683" i="5" s="1"/>
  <c r="O682" i="2"/>
  <c r="L682" i="2"/>
  <c r="M682" i="2" s="1"/>
  <c r="N682" i="2" s="1"/>
  <c r="E682" i="5" s="1"/>
  <c r="I682" i="2"/>
  <c r="J682" i="2" s="1"/>
  <c r="K682" i="2" s="1"/>
  <c r="F682" i="2"/>
  <c r="G682" i="2" s="1"/>
  <c r="H682" i="2" s="1"/>
  <c r="C682" i="5" s="1"/>
  <c r="D682" i="2"/>
  <c r="E682" i="2" s="1"/>
  <c r="B682" i="5" s="1"/>
  <c r="B682" i="2"/>
  <c r="C682" i="2" s="1"/>
  <c r="A682" i="5" s="1"/>
  <c r="O681" i="2"/>
  <c r="L681" i="2"/>
  <c r="M681" i="2" s="1"/>
  <c r="N681" i="2" s="1"/>
  <c r="I681" i="2"/>
  <c r="J681" i="2" s="1"/>
  <c r="K681" i="2" s="1"/>
  <c r="F681" i="2"/>
  <c r="G681" i="2" s="1"/>
  <c r="H681" i="2" s="1"/>
  <c r="C681" i="5" s="1"/>
  <c r="D681" i="2"/>
  <c r="E681" i="2" s="1"/>
  <c r="B681" i="5" s="1"/>
  <c r="B681" i="2"/>
  <c r="C681" i="2" s="1"/>
  <c r="A681" i="5" s="1"/>
  <c r="O680" i="2"/>
  <c r="L680" i="2"/>
  <c r="M680" i="2" s="1"/>
  <c r="N680" i="2" s="1"/>
  <c r="E680" i="5" s="1"/>
  <c r="I680" i="2"/>
  <c r="J680" i="2" s="1"/>
  <c r="K680" i="2" s="1"/>
  <c r="F680" i="2"/>
  <c r="G680" i="2" s="1"/>
  <c r="H680" i="2" s="1"/>
  <c r="C680" i="5" s="1"/>
  <c r="D680" i="2"/>
  <c r="E680" i="2" s="1"/>
  <c r="B680" i="5" s="1"/>
  <c r="B680" i="2"/>
  <c r="C680" i="2" s="1"/>
  <c r="A680" i="5" s="1"/>
  <c r="O679" i="2"/>
  <c r="L679" i="2"/>
  <c r="M679" i="2" s="1"/>
  <c r="N679" i="2" s="1"/>
  <c r="I679" i="2"/>
  <c r="J679" i="2" s="1"/>
  <c r="K679" i="2" s="1"/>
  <c r="F679" i="2"/>
  <c r="G679" i="2" s="1"/>
  <c r="H679" i="2" s="1"/>
  <c r="C679" i="5" s="1"/>
  <c r="D679" i="2"/>
  <c r="E679" i="2" s="1"/>
  <c r="B679" i="5" s="1"/>
  <c r="B679" i="2"/>
  <c r="C679" i="2" s="1"/>
  <c r="A679" i="5" s="1"/>
  <c r="O678" i="2"/>
  <c r="L678" i="2"/>
  <c r="M678" i="2" s="1"/>
  <c r="N678" i="2" s="1"/>
  <c r="E678" i="5" s="1"/>
  <c r="I678" i="2"/>
  <c r="J678" i="2" s="1"/>
  <c r="K678" i="2" s="1"/>
  <c r="F678" i="2"/>
  <c r="G678" i="2" s="1"/>
  <c r="H678" i="2" s="1"/>
  <c r="C678" i="5" s="1"/>
  <c r="D678" i="2"/>
  <c r="E678" i="2" s="1"/>
  <c r="B678" i="5" s="1"/>
  <c r="B678" i="2"/>
  <c r="C678" i="2" s="1"/>
  <c r="A678" i="5" s="1"/>
  <c r="O677" i="2"/>
  <c r="L677" i="2"/>
  <c r="M677" i="2" s="1"/>
  <c r="N677" i="2" s="1"/>
  <c r="I677" i="2"/>
  <c r="J677" i="2" s="1"/>
  <c r="K677" i="2" s="1"/>
  <c r="F677" i="2"/>
  <c r="G677" i="2" s="1"/>
  <c r="H677" i="2" s="1"/>
  <c r="C677" i="5" s="1"/>
  <c r="D677" i="2"/>
  <c r="E677" i="2" s="1"/>
  <c r="B677" i="5" s="1"/>
  <c r="B677" i="2"/>
  <c r="C677" i="2" s="1"/>
  <c r="A677" i="5" s="1"/>
  <c r="O676" i="2"/>
  <c r="L676" i="2"/>
  <c r="M676" i="2" s="1"/>
  <c r="N676" i="2" s="1"/>
  <c r="E676" i="5" s="1"/>
  <c r="I676" i="2"/>
  <c r="J676" i="2" s="1"/>
  <c r="K676" i="2" s="1"/>
  <c r="F676" i="2"/>
  <c r="G676" i="2" s="1"/>
  <c r="H676" i="2" s="1"/>
  <c r="C676" i="5" s="1"/>
  <c r="D676" i="2"/>
  <c r="E676" i="2" s="1"/>
  <c r="B676" i="5" s="1"/>
  <c r="B676" i="2"/>
  <c r="C676" i="2" s="1"/>
  <c r="A676" i="5" s="1"/>
  <c r="O675" i="2"/>
  <c r="L675" i="2"/>
  <c r="M675" i="2" s="1"/>
  <c r="N675" i="2" s="1"/>
  <c r="I675" i="2"/>
  <c r="J675" i="2" s="1"/>
  <c r="K675" i="2" s="1"/>
  <c r="F675" i="2"/>
  <c r="G675" i="2" s="1"/>
  <c r="H675" i="2" s="1"/>
  <c r="C675" i="5" s="1"/>
  <c r="D675" i="2"/>
  <c r="E675" i="2" s="1"/>
  <c r="B675" i="5" s="1"/>
  <c r="B675" i="2"/>
  <c r="C675" i="2" s="1"/>
  <c r="A675" i="5" s="1"/>
  <c r="O674" i="2"/>
  <c r="L674" i="2"/>
  <c r="M674" i="2" s="1"/>
  <c r="N674" i="2" s="1"/>
  <c r="E674" i="5" s="1"/>
  <c r="I674" i="2"/>
  <c r="J674" i="2" s="1"/>
  <c r="K674" i="2" s="1"/>
  <c r="F674" i="2"/>
  <c r="G674" i="2" s="1"/>
  <c r="H674" i="2" s="1"/>
  <c r="C674" i="5" s="1"/>
  <c r="D674" i="2"/>
  <c r="E674" i="2" s="1"/>
  <c r="B674" i="5" s="1"/>
  <c r="B674" i="2"/>
  <c r="C674" i="2" s="1"/>
  <c r="A674" i="5" s="1"/>
  <c r="O673" i="2"/>
  <c r="L673" i="2"/>
  <c r="M673" i="2" s="1"/>
  <c r="N673" i="2" s="1"/>
  <c r="I673" i="2"/>
  <c r="J673" i="2" s="1"/>
  <c r="K673" i="2" s="1"/>
  <c r="F673" i="2"/>
  <c r="G673" i="2" s="1"/>
  <c r="H673" i="2" s="1"/>
  <c r="C673" i="5" s="1"/>
  <c r="D673" i="2"/>
  <c r="E673" i="2" s="1"/>
  <c r="B673" i="5" s="1"/>
  <c r="B673" i="2"/>
  <c r="C673" i="2" s="1"/>
  <c r="O672" i="2"/>
  <c r="L672" i="2"/>
  <c r="M672" i="2" s="1"/>
  <c r="N672" i="2" s="1"/>
  <c r="E672" i="5" s="1"/>
  <c r="I672" i="2"/>
  <c r="J672" i="2" s="1"/>
  <c r="K672" i="2" s="1"/>
  <c r="F672" i="2"/>
  <c r="G672" i="2" s="1"/>
  <c r="H672" i="2" s="1"/>
  <c r="C672" i="5" s="1"/>
  <c r="D672" i="2"/>
  <c r="E672" i="2" s="1"/>
  <c r="B672" i="5" s="1"/>
  <c r="B672" i="2"/>
  <c r="C672" i="2" s="1"/>
  <c r="A672" i="5" s="1"/>
  <c r="O671" i="2"/>
  <c r="L671" i="2"/>
  <c r="M671" i="2" s="1"/>
  <c r="N671" i="2" s="1"/>
  <c r="I671" i="2"/>
  <c r="J671" i="2" s="1"/>
  <c r="K671" i="2" s="1"/>
  <c r="F671" i="2"/>
  <c r="G671" i="2" s="1"/>
  <c r="H671" i="2" s="1"/>
  <c r="C671" i="5" s="1"/>
  <c r="D671" i="2"/>
  <c r="E671" i="2" s="1"/>
  <c r="B671" i="5" s="1"/>
  <c r="B671" i="2"/>
  <c r="C671" i="2" s="1"/>
  <c r="A671" i="5" s="1"/>
  <c r="O670" i="2"/>
  <c r="L670" i="2"/>
  <c r="M670" i="2" s="1"/>
  <c r="N670" i="2" s="1"/>
  <c r="E670" i="5" s="1"/>
  <c r="I670" i="2"/>
  <c r="J670" i="2" s="1"/>
  <c r="K670" i="2" s="1"/>
  <c r="F670" i="2"/>
  <c r="G670" i="2" s="1"/>
  <c r="H670" i="2" s="1"/>
  <c r="C670" i="5" s="1"/>
  <c r="D670" i="2"/>
  <c r="E670" i="2" s="1"/>
  <c r="B670" i="5" s="1"/>
  <c r="B670" i="2"/>
  <c r="C670" i="2" s="1"/>
  <c r="A670" i="5" s="1"/>
  <c r="O669" i="2"/>
  <c r="L669" i="2"/>
  <c r="M669" i="2" s="1"/>
  <c r="N669" i="2" s="1"/>
  <c r="I669" i="2"/>
  <c r="J669" i="2" s="1"/>
  <c r="K669" i="2" s="1"/>
  <c r="F669" i="2"/>
  <c r="G669" i="2" s="1"/>
  <c r="H669" i="2" s="1"/>
  <c r="C669" i="5" s="1"/>
  <c r="D669" i="2"/>
  <c r="E669" i="2" s="1"/>
  <c r="B669" i="5" s="1"/>
  <c r="B669" i="2"/>
  <c r="C669" i="2" s="1"/>
  <c r="A669" i="5" s="1"/>
  <c r="O668" i="2"/>
  <c r="L668" i="2"/>
  <c r="M668" i="2" s="1"/>
  <c r="N668" i="2" s="1"/>
  <c r="E668" i="5" s="1"/>
  <c r="I668" i="2"/>
  <c r="J668" i="2" s="1"/>
  <c r="K668" i="2" s="1"/>
  <c r="F668" i="2"/>
  <c r="G668" i="2" s="1"/>
  <c r="H668" i="2" s="1"/>
  <c r="C668" i="5" s="1"/>
  <c r="D668" i="2"/>
  <c r="E668" i="2" s="1"/>
  <c r="B668" i="5" s="1"/>
  <c r="B668" i="2"/>
  <c r="C668" i="2" s="1"/>
  <c r="A668" i="5" s="1"/>
  <c r="O667" i="2"/>
  <c r="L667" i="2"/>
  <c r="M667" i="2" s="1"/>
  <c r="N667" i="2" s="1"/>
  <c r="I667" i="2"/>
  <c r="J667" i="2" s="1"/>
  <c r="K667" i="2" s="1"/>
  <c r="F667" i="2"/>
  <c r="G667" i="2" s="1"/>
  <c r="H667" i="2" s="1"/>
  <c r="C667" i="5" s="1"/>
  <c r="D667" i="2"/>
  <c r="E667" i="2" s="1"/>
  <c r="B667" i="5" s="1"/>
  <c r="B667" i="2"/>
  <c r="C667" i="2" s="1"/>
  <c r="A667" i="5" s="1"/>
  <c r="O666" i="2"/>
  <c r="L666" i="2"/>
  <c r="M666" i="2" s="1"/>
  <c r="N666" i="2" s="1"/>
  <c r="E666" i="5" s="1"/>
  <c r="I666" i="2"/>
  <c r="J666" i="2" s="1"/>
  <c r="K666" i="2" s="1"/>
  <c r="F666" i="2"/>
  <c r="G666" i="2" s="1"/>
  <c r="H666" i="2" s="1"/>
  <c r="C666" i="5" s="1"/>
  <c r="D666" i="2"/>
  <c r="E666" i="2" s="1"/>
  <c r="B666" i="5" s="1"/>
  <c r="B666" i="2"/>
  <c r="C666" i="2" s="1"/>
  <c r="A666" i="5" s="1"/>
  <c r="O665" i="2"/>
  <c r="L665" i="2"/>
  <c r="M665" i="2" s="1"/>
  <c r="N665" i="2" s="1"/>
  <c r="I665" i="2"/>
  <c r="J665" i="2" s="1"/>
  <c r="K665" i="2" s="1"/>
  <c r="F665" i="2"/>
  <c r="G665" i="2" s="1"/>
  <c r="H665" i="2" s="1"/>
  <c r="C665" i="5" s="1"/>
  <c r="D665" i="2"/>
  <c r="E665" i="2" s="1"/>
  <c r="B665" i="5" s="1"/>
  <c r="B665" i="2"/>
  <c r="C665" i="2" s="1"/>
  <c r="A665" i="5" s="1"/>
  <c r="O664" i="2"/>
  <c r="L664" i="2"/>
  <c r="M664" i="2" s="1"/>
  <c r="N664" i="2" s="1"/>
  <c r="E664" i="5" s="1"/>
  <c r="I664" i="2"/>
  <c r="J664" i="2" s="1"/>
  <c r="K664" i="2" s="1"/>
  <c r="F664" i="2"/>
  <c r="G664" i="2" s="1"/>
  <c r="H664" i="2" s="1"/>
  <c r="C664" i="5" s="1"/>
  <c r="D664" i="2"/>
  <c r="E664" i="2" s="1"/>
  <c r="B664" i="5" s="1"/>
  <c r="B664" i="2"/>
  <c r="C664" i="2" s="1"/>
  <c r="A664" i="5" s="1"/>
  <c r="O663" i="2"/>
  <c r="L663" i="2"/>
  <c r="M663" i="2" s="1"/>
  <c r="N663" i="2" s="1"/>
  <c r="I663" i="2"/>
  <c r="J663" i="2" s="1"/>
  <c r="K663" i="2" s="1"/>
  <c r="F663" i="2"/>
  <c r="G663" i="2" s="1"/>
  <c r="H663" i="2" s="1"/>
  <c r="C663" i="5" s="1"/>
  <c r="D663" i="2"/>
  <c r="E663" i="2" s="1"/>
  <c r="B663" i="5" s="1"/>
  <c r="B663" i="2"/>
  <c r="C663" i="2" s="1"/>
  <c r="A663" i="5" s="1"/>
  <c r="O662" i="2"/>
  <c r="L662" i="2"/>
  <c r="M662" i="2" s="1"/>
  <c r="N662" i="2" s="1"/>
  <c r="E662" i="5" s="1"/>
  <c r="I662" i="2"/>
  <c r="J662" i="2" s="1"/>
  <c r="K662" i="2" s="1"/>
  <c r="F662" i="2"/>
  <c r="G662" i="2" s="1"/>
  <c r="H662" i="2" s="1"/>
  <c r="C662" i="5" s="1"/>
  <c r="D662" i="2"/>
  <c r="E662" i="2" s="1"/>
  <c r="B662" i="5" s="1"/>
  <c r="B662" i="2"/>
  <c r="C662" i="2" s="1"/>
  <c r="A662" i="5" s="1"/>
  <c r="O661" i="2"/>
  <c r="L661" i="2"/>
  <c r="M661" i="2" s="1"/>
  <c r="N661" i="2" s="1"/>
  <c r="I661" i="2"/>
  <c r="J661" i="2" s="1"/>
  <c r="K661" i="2" s="1"/>
  <c r="F661" i="2"/>
  <c r="G661" i="2" s="1"/>
  <c r="H661" i="2" s="1"/>
  <c r="C661" i="5" s="1"/>
  <c r="D661" i="2"/>
  <c r="E661" i="2" s="1"/>
  <c r="B661" i="5" s="1"/>
  <c r="B661" i="2"/>
  <c r="C661" i="2" s="1"/>
  <c r="O660" i="2"/>
  <c r="L660" i="2"/>
  <c r="M660" i="2" s="1"/>
  <c r="N660" i="2" s="1"/>
  <c r="E660" i="5" s="1"/>
  <c r="I660" i="2"/>
  <c r="J660" i="2" s="1"/>
  <c r="K660" i="2" s="1"/>
  <c r="F660" i="2"/>
  <c r="G660" i="2" s="1"/>
  <c r="H660" i="2" s="1"/>
  <c r="C660" i="5" s="1"/>
  <c r="D660" i="2"/>
  <c r="E660" i="2" s="1"/>
  <c r="B660" i="5" s="1"/>
  <c r="B660" i="2"/>
  <c r="C660" i="2" s="1"/>
  <c r="A660" i="5" s="1"/>
  <c r="O659" i="2"/>
  <c r="L659" i="2"/>
  <c r="M659" i="2" s="1"/>
  <c r="N659" i="2" s="1"/>
  <c r="I659" i="2"/>
  <c r="J659" i="2" s="1"/>
  <c r="K659" i="2" s="1"/>
  <c r="F659" i="2"/>
  <c r="G659" i="2" s="1"/>
  <c r="H659" i="2" s="1"/>
  <c r="C659" i="5" s="1"/>
  <c r="D659" i="2"/>
  <c r="E659" i="2" s="1"/>
  <c r="B659" i="5" s="1"/>
  <c r="B659" i="2"/>
  <c r="C659" i="2" s="1"/>
  <c r="O658" i="2"/>
  <c r="L658" i="2"/>
  <c r="M658" i="2" s="1"/>
  <c r="N658" i="2" s="1"/>
  <c r="E658" i="5" s="1"/>
  <c r="I658" i="2"/>
  <c r="J658" i="2" s="1"/>
  <c r="K658" i="2" s="1"/>
  <c r="F658" i="2"/>
  <c r="G658" i="2" s="1"/>
  <c r="H658" i="2" s="1"/>
  <c r="C658" i="5" s="1"/>
  <c r="D658" i="2"/>
  <c r="E658" i="2" s="1"/>
  <c r="B658" i="5" s="1"/>
  <c r="B658" i="2"/>
  <c r="C658" i="2" s="1"/>
  <c r="A658" i="5" s="1"/>
  <c r="O657" i="2"/>
  <c r="L657" i="2"/>
  <c r="M657" i="2" s="1"/>
  <c r="N657" i="2" s="1"/>
  <c r="I657" i="2"/>
  <c r="J657" i="2" s="1"/>
  <c r="K657" i="2" s="1"/>
  <c r="F657" i="2"/>
  <c r="G657" i="2" s="1"/>
  <c r="H657" i="2" s="1"/>
  <c r="C657" i="5" s="1"/>
  <c r="D657" i="2"/>
  <c r="E657" i="2" s="1"/>
  <c r="B657" i="5" s="1"/>
  <c r="B657" i="2"/>
  <c r="C657" i="2" s="1"/>
  <c r="O656" i="2"/>
  <c r="L656" i="2"/>
  <c r="M656" i="2" s="1"/>
  <c r="N656" i="2" s="1"/>
  <c r="E656" i="5" s="1"/>
  <c r="I656" i="2"/>
  <c r="J656" i="2" s="1"/>
  <c r="K656" i="2" s="1"/>
  <c r="F656" i="2"/>
  <c r="G656" i="2" s="1"/>
  <c r="H656" i="2" s="1"/>
  <c r="C656" i="5" s="1"/>
  <c r="D656" i="2"/>
  <c r="E656" i="2" s="1"/>
  <c r="B656" i="5" s="1"/>
  <c r="B656" i="2"/>
  <c r="C656" i="2" s="1"/>
  <c r="A656" i="5" s="1"/>
  <c r="O655" i="2"/>
  <c r="L655" i="2"/>
  <c r="M655" i="2" s="1"/>
  <c r="N655" i="2" s="1"/>
  <c r="I655" i="2"/>
  <c r="J655" i="2" s="1"/>
  <c r="K655" i="2" s="1"/>
  <c r="F655" i="2"/>
  <c r="G655" i="2" s="1"/>
  <c r="H655" i="2" s="1"/>
  <c r="C655" i="5" s="1"/>
  <c r="D655" i="2"/>
  <c r="E655" i="2" s="1"/>
  <c r="B655" i="5" s="1"/>
  <c r="B655" i="2"/>
  <c r="C655" i="2" s="1"/>
  <c r="O654" i="2"/>
  <c r="L654" i="2"/>
  <c r="M654" i="2" s="1"/>
  <c r="N654" i="2" s="1"/>
  <c r="E654" i="5" s="1"/>
  <c r="I654" i="2"/>
  <c r="J654" i="2" s="1"/>
  <c r="K654" i="2" s="1"/>
  <c r="F654" i="2"/>
  <c r="G654" i="2" s="1"/>
  <c r="H654" i="2" s="1"/>
  <c r="C654" i="5" s="1"/>
  <c r="D654" i="2"/>
  <c r="E654" i="2" s="1"/>
  <c r="B654" i="5" s="1"/>
  <c r="B654" i="2"/>
  <c r="C654" i="2" s="1"/>
  <c r="A654" i="5" s="1"/>
  <c r="O653" i="2"/>
  <c r="L653" i="2"/>
  <c r="M653" i="2" s="1"/>
  <c r="N653" i="2" s="1"/>
  <c r="I653" i="2"/>
  <c r="J653" i="2" s="1"/>
  <c r="K653" i="2" s="1"/>
  <c r="F653" i="2"/>
  <c r="G653" i="2" s="1"/>
  <c r="H653" i="2" s="1"/>
  <c r="C653" i="5" s="1"/>
  <c r="D653" i="2"/>
  <c r="E653" i="2" s="1"/>
  <c r="B653" i="5" s="1"/>
  <c r="B653" i="2"/>
  <c r="C653" i="2" s="1"/>
  <c r="O652" i="2"/>
  <c r="L652" i="2"/>
  <c r="M652" i="2" s="1"/>
  <c r="N652" i="2" s="1"/>
  <c r="E652" i="5" s="1"/>
  <c r="I652" i="2"/>
  <c r="J652" i="2" s="1"/>
  <c r="K652" i="2" s="1"/>
  <c r="F652" i="2"/>
  <c r="G652" i="2" s="1"/>
  <c r="H652" i="2" s="1"/>
  <c r="C652" i="5" s="1"/>
  <c r="D652" i="2"/>
  <c r="E652" i="2" s="1"/>
  <c r="B652" i="5" s="1"/>
  <c r="B652" i="2"/>
  <c r="C652" i="2" s="1"/>
  <c r="A652" i="5" s="1"/>
  <c r="O651" i="2"/>
  <c r="L651" i="2"/>
  <c r="M651" i="2" s="1"/>
  <c r="N651" i="2" s="1"/>
  <c r="I651" i="2"/>
  <c r="J651" i="2" s="1"/>
  <c r="K651" i="2" s="1"/>
  <c r="F651" i="2"/>
  <c r="G651" i="2" s="1"/>
  <c r="H651" i="2" s="1"/>
  <c r="C651" i="5" s="1"/>
  <c r="D651" i="2"/>
  <c r="E651" i="2" s="1"/>
  <c r="B651" i="5" s="1"/>
  <c r="B651" i="2"/>
  <c r="C651" i="2" s="1"/>
  <c r="A651" i="5" s="1"/>
  <c r="O650" i="2"/>
  <c r="L650" i="2"/>
  <c r="M650" i="2" s="1"/>
  <c r="N650" i="2" s="1"/>
  <c r="E650" i="5" s="1"/>
  <c r="I650" i="2"/>
  <c r="J650" i="2" s="1"/>
  <c r="K650" i="2" s="1"/>
  <c r="F650" i="2"/>
  <c r="G650" i="2" s="1"/>
  <c r="H650" i="2" s="1"/>
  <c r="C650" i="5" s="1"/>
  <c r="D650" i="2"/>
  <c r="E650" i="2" s="1"/>
  <c r="B650" i="5" s="1"/>
  <c r="B650" i="2"/>
  <c r="C650" i="2" s="1"/>
  <c r="A650" i="5" s="1"/>
  <c r="O649" i="2"/>
  <c r="L649" i="2"/>
  <c r="M649" i="2" s="1"/>
  <c r="N649" i="2" s="1"/>
  <c r="I649" i="2"/>
  <c r="J649" i="2" s="1"/>
  <c r="K649" i="2" s="1"/>
  <c r="F649" i="2"/>
  <c r="G649" i="2" s="1"/>
  <c r="H649" i="2" s="1"/>
  <c r="C649" i="5" s="1"/>
  <c r="D649" i="2"/>
  <c r="E649" i="2" s="1"/>
  <c r="B649" i="5" s="1"/>
  <c r="B649" i="2"/>
  <c r="C649" i="2" s="1"/>
  <c r="O648" i="2"/>
  <c r="L648" i="2"/>
  <c r="M648" i="2" s="1"/>
  <c r="N648" i="2" s="1"/>
  <c r="E648" i="5" s="1"/>
  <c r="I648" i="2"/>
  <c r="J648" i="2" s="1"/>
  <c r="K648" i="2" s="1"/>
  <c r="F648" i="2"/>
  <c r="G648" i="2" s="1"/>
  <c r="H648" i="2" s="1"/>
  <c r="C648" i="5" s="1"/>
  <c r="D648" i="2"/>
  <c r="E648" i="2" s="1"/>
  <c r="B648" i="5" s="1"/>
  <c r="B648" i="2"/>
  <c r="C648" i="2" s="1"/>
  <c r="A648" i="5" s="1"/>
  <c r="O647" i="2"/>
  <c r="L647" i="2"/>
  <c r="M647" i="2" s="1"/>
  <c r="N647" i="2" s="1"/>
  <c r="I647" i="2"/>
  <c r="J647" i="2" s="1"/>
  <c r="K647" i="2" s="1"/>
  <c r="F647" i="2"/>
  <c r="G647" i="2" s="1"/>
  <c r="H647" i="2" s="1"/>
  <c r="C647" i="5" s="1"/>
  <c r="D647" i="2"/>
  <c r="E647" i="2" s="1"/>
  <c r="B647" i="5" s="1"/>
  <c r="B647" i="2"/>
  <c r="C647" i="2" s="1"/>
  <c r="A647" i="5" s="1"/>
  <c r="O646" i="2"/>
  <c r="L646" i="2"/>
  <c r="M646" i="2" s="1"/>
  <c r="N646" i="2" s="1"/>
  <c r="E646" i="5" s="1"/>
  <c r="I646" i="2"/>
  <c r="J646" i="2" s="1"/>
  <c r="K646" i="2" s="1"/>
  <c r="F646" i="2"/>
  <c r="G646" i="2" s="1"/>
  <c r="H646" i="2" s="1"/>
  <c r="C646" i="5" s="1"/>
  <c r="D646" i="2"/>
  <c r="E646" i="2" s="1"/>
  <c r="B646" i="5" s="1"/>
  <c r="B646" i="2"/>
  <c r="C646" i="2" s="1"/>
  <c r="A646" i="5" s="1"/>
  <c r="O645" i="2"/>
  <c r="L645" i="2"/>
  <c r="M645" i="2" s="1"/>
  <c r="N645" i="2" s="1"/>
  <c r="I645" i="2"/>
  <c r="J645" i="2" s="1"/>
  <c r="K645" i="2" s="1"/>
  <c r="F645" i="2"/>
  <c r="G645" i="2" s="1"/>
  <c r="H645" i="2" s="1"/>
  <c r="C645" i="5" s="1"/>
  <c r="D645" i="2"/>
  <c r="E645" i="2" s="1"/>
  <c r="B645" i="5" s="1"/>
  <c r="B645" i="2"/>
  <c r="C645" i="2" s="1"/>
  <c r="O644" i="2"/>
  <c r="L644" i="2"/>
  <c r="M644" i="2" s="1"/>
  <c r="N644" i="2" s="1"/>
  <c r="E644" i="5" s="1"/>
  <c r="I644" i="2"/>
  <c r="J644" i="2" s="1"/>
  <c r="K644" i="2" s="1"/>
  <c r="F644" i="2"/>
  <c r="G644" i="2" s="1"/>
  <c r="H644" i="2" s="1"/>
  <c r="C644" i="5" s="1"/>
  <c r="D644" i="2"/>
  <c r="E644" i="2" s="1"/>
  <c r="B644" i="5" s="1"/>
  <c r="B644" i="2"/>
  <c r="C644" i="2" s="1"/>
  <c r="A644" i="5" s="1"/>
  <c r="O643" i="2"/>
  <c r="L643" i="2"/>
  <c r="M643" i="2" s="1"/>
  <c r="N643" i="2" s="1"/>
  <c r="I643" i="2"/>
  <c r="J643" i="2" s="1"/>
  <c r="K643" i="2" s="1"/>
  <c r="F643" i="2"/>
  <c r="G643" i="2" s="1"/>
  <c r="H643" i="2" s="1"/>
  <c r="C643" i="5" s="1"/>
  <c r="D643" i="2"/>
  <c r="E643" i="2" s="1"/>
  <c r="B643" i="5" s="1"/>
  <c r="B643" i="2"/>
  <c r="C643" i="2" s="1"/>
  <c r="A643" i="5" s="1"/>
  <c r="O642" i="2"/>
  <c r="L642" i="2"/>
  <c r="M642" i="2" s="1"/>
  <c r="N642" i="2" s="1"/>
  <c r="E642" i="5" s="1"/>
  <c r="I642" i="2"/>
  <c r="J642" i="2" s="1"/>
  <c r="K642" i="2" s="1"/>
  <c r="F642" i="2"/>
  <c r="G642" i="2" s="1"/>
  <c r="H642" i="2" s="1"/>
  <c r="C642" i="5" s="1"/>
  <c r="D642" i="2"/>
  <c r="E642" i="2" s="1"/>
  <c r="B642" i="5" s="1"/>
  <c r="B642" i="2"/>
  <c r="C642" i="2" s="1"/>
  <c r="A642" i="5" s="1"/>
  <c r="O641" i="2"/>
  <c r="L641" i="2"/>
  <c r="M641" i="2" s="1"/>
  <c r="N641" i="2" s="1"/>
  <c r="I641" i="2"/>
  <c r="J641" i="2" s="1"/>
  <c r="K641" i="2" s="1"/>
  <c r="F641" i="2"/>
  <c r="G641" i="2" s="1"/>
  <c r="H641" i="2" s="1"/>
  <c r="C641" i="5" s="1"/>
  <c r="D641" i="2"/>
  <c r="E641" i="2" s="1"/>
  <c r="B641" i="5" s="1"/>
  <c r="B641" i="2"/>
  <c r="C641" i="2" s="1"/>
  <c r="A641" i="5" s="1"/>
  <c r="O640" i="2"/>
  <c r="L640" i="2"/>
  <c r="M640" i="2" s="1"/>
  <c r="N640" i="2" s="1"/>
  <c r="E640" i="5" s="1"/>
  <c r="I640" i="2"/>
  <c r="J640" i="2" s="1"/>
  <c r="K640" i="2" s="1"/>
  <c r="F640" i="2"/>
  <c r="G640" i="2" s="1"/>
  <c r="H640" i="2" s="1"/>
  <c r="C640" i="5" s="1"/>
  <c r="D640" i="2"/>
  <c r="E640" i="2" s="1"/>
  <c r="B640" i="5" s="1"/>
  <c r="B640" i="2"/>
  <c r="C640" i="2" s="1"/>
  <c r="A640" i="5" s="1"/>
  <c r="O639" i="2"/>
  <c r="L639" i="2"/>
  <c r="M639" i="2" s="1"/>
  <c r="N639" i="2" s="1"/>
  <c r="I639" i="2"/>
  <c r="J639" i="2" s="1"/>
  <c r="K639" i="2" s="1"/>
  <c r="F639" i="2"/>
  <c r="G639" i="2" s="1"/>
  <c r="H639" i="2" s="1"/>
  <c r="C639" i="5" s="1"/>
  <c r="D639" i="2"/>
  <c r="E639" i="2" s="1"/>
  <c r="B639" i="5" s="1"/>
  <c r="B639" i="2"/>
  <c r="C639" i="2" s="1"/>
  <c r="A639" i="5" s="1"/>
  <c r="O638" i="2"/>
  <c r="L638" i="2"/>
  <c r="M638" i="2" s="1"/>
  <c r="N638" i="2" s="1"/>
  <c r="E638" i="5" s="1"/>
  <c r="I638" i="2"/>
  <c r="J638" i="2" s="1"/>
  <c r="K638" i="2" s="1"/>
  <c r="F638" i="2"/>
  <c r="G638" i="2" s="1"/>
  <c r="H638" i="2" s="1"/>
  <c r="C638" i="5" s="1"/>
  <c r="D638" i="2"/>
  <c r="E638" i="2" s="1"/>
  <c r="B638" i="5" s="1"/>
  <c r="B638" i="2"/>
  <c r="C638" i="2" s="1"/>
  <c r="A638" i="5" s="1"/>
  <c r="O637" i="2"/>
  <c r="L637" i="2"/>
  <c r="M637" i="2" s="1"/>
  <c r="N637" i="2" s="1"/>
  <c r="I637" i="2"/>
  <c r="J637" i="2" s="1"/>
  <c r="K637" i="2" s="1"/>
  <c r="F637" i="2"/>
  <c r="G637" i="2" s="1"/>
  <c r="H637" i="2" s="1"/>
  <c r="C637" i="5" s="1"/>
  <c r="D637" i="2"/>
  <c r="E637" i="2" s="1"/>
  <c r="B637" i="5" s="1"/>
  <c r="B637" i="2"/>
  <c r="C637" i="2" s="1"/>
  <c r="A637" i="5" s="1"/>
  <c r="O636" i="2"/>
  <c r="L636" i="2"/>
  <c r="M636" i="2" s="1"/>
  <c r="N636" i="2" s="1"/>
  <c r="E636" i="5" s="1"/>
  <c r="I636" i="2"/>
  <c r="J636" i="2" s="1"/>
  <c r="K636" i="2" s="1"/>
  <c r="F636" i="2"/>
  <c r="G636" i="2" s="1"/>
  <c r="H636" i="2" s="1"/>
  <c r="C636" i="5" s="1"/>
  <c r="D636" i="2"/>
  <c r="E636" i="2" s="1"/>
  <c r="B636" i="5" s="1"/>
  <c r="B636" i="2"/>
  <c r="C636" i="2" s="1"/>
  <c r="A636" i="5" s="1"/>
  <c r="O635" i="2"/>
  <c r="L635" i="2"/>
  <c r="M635" i="2" s="1"/>
  <c r="N635" i="2" s="1"/>
  <c r="I635" i="2"/>
  <c r="J635" i="2" s="1"/>
  <c r="K635" i="2" s="1"/>
  <c r="F635" i="2"/>
  <c r="G635" i="2" s="1"/>
  <c r="H635" i="2" s="1"/>
  <c r="C635" i="5" s="1"/>
  <c r="D635" i="2"/>
  <c r="E635" i="2" s="1"/>
  <c r="B635" i="5" s="1"/>
  <c r="B635" i="2"/>
  <c r="C635" i="2" s="1"/>
  <c r="A635" i="5" s="1"/>
  <c r="O634" i="2"/>
  <c r="L634" i="2"/>
  <c r="M634" i="2" s="1"/>
  <c r="N634" i="2" s="1"/>
  <c r="E634" i="5" s="1"/>
  <c r="I634" i="2"/>
  <c r="J634" i="2" s="1"/>
  <c r="K634" i="2" s="1"/>
  <c r="F634" i="2"/>
  <c r="G634" i="2" s="1"/>
  <c r="H634" i="2" s="1"/>
  <c r="C634" i="5" s="1"/>
  <c r="D634" i="2"/>
  <c r="E634" i="2" s="1"/>
  <c r="B634" i="5" s="1"/>
  <c r="B634" i="2"/>
  <c r="C634" i="2" s="1"/>
  <c r="A634" i="5" s="1"/>
  <c r="O633" i="2"/>
  <c r="L633" i="2"/>
  <c r="M633" i="2" s="1"/>
  <c r="N633" i="2" s="1"/>
  <c r="I633" i="2"/>
  <c r="J633" i="2" s="1"/>
  <c r="K633" i="2" s="1"/>
  <c r="F633" i="2"/>
  <c r="G633" i="2" s="1"/>
  <c r="H633" i="2" s="1"/>
  <c r="C633" i="5" s="1"/>
  <c r="D633" i="2"/>
  <c r="E633" i="2" s="1"/>
  <c r="B633" i="5" s="1"/>
  <c r="B633" i="2"/>
  <c r="C633" i="2" s="1"/>
  <c r="A633" i="5" s="1"/>
  <c r="O632" i="2"/>
  <c r="L632" i="2"/>
  <c r="M632" i="2" s="1"/>
  <c r="N632" i="2" s="1"/>
  <c r="E632" i="5" s="1"/>
  <c r="I632" i="2"/>
  <c r="J632" i="2" s="1"/>
  <c r="K632" i="2" s="1"/>
  <c r="F632" i="2"/>
  <c r="G632" i="2" s="1"/>
  <c r="H632" i="2" s="1"/>
  <c r="C632" i="5" s="1"/>
  <c r="D632" i="2"/>
  <c r="E632" i="2" s="1"/>
  <c r="B632" i="5" s="1"/>
  <c r="B632" i="2"/>
  <c r="C632" i="2" s="1"/>
  <c r="A632" i="5" s="1"/>
  <c r="O631" i="2"/>
  <c r="L631" i="2"/>
  <c r="M631" i="2" s="1"/>
  <c r="N631" i="2" s="1"/>
  <c r="I631" i="2"/>
  <c r="J631" i="2" s="1"/>
  <c r="K631" i="2" s="1"/>
  <c r="F631" i="2"/>
  <c r="G631" i="2" s="1"/>
  <c r="H631" i="2" s="1"/>
  <c r="C631" i="5" s="1"/>
  <c r="D631" i="2"/>
  <c r="E631" i="2" s="1"/>
  <c r="B631" i="5" s="1"/>
  <c r="B631" i="2"/>
  <c r="C631" i="2" s="1"/>
  <c r="A631" i="5" s="1"/>
  <c r="O630" i="2"/>
  <c r="L630" i="2"/>
  <c r="M630" i="2" s="1"/>
  <c r="N630" i="2" s="1"/>
  <c r="E630" i="5" s="1"/>
  <c r="I630" i="2"/>
  <c r="J630" i="2" s="1"/>
  <c r="K630" i="2" s="1"/>
  <c r="F630" i="2"/>
  <c r="G630" i="2" s="1"/>
  <c r="H630" i="2" s="1"/>
  <c r="C630" i="5" s="1"/>
  <c r="D630" i="2"/>
  <c r="E630" i="2" s="1"/>
  <c r="B630" i="5" s="1"/>
  <c r="B630" i="2"/>
  <c r="C630" i="2" s="1"/>
  <c r="A630" i="5" s="1"/>
  <c r="O629" i="2"/>
  <c r="L629" i="2"/>
  <c r="M629" i="2" s="1"/>
  <c r="N629" i="2" s="1"/>
  <c r="I629" i="2"/>
  <c r="J629" i="2" s="1"/>
  <c r="K629" i="2" s="1"/>
  <c r="F629" i="2"/>
  <c r="G629" i="2" s="1"/>
  <c r="H629" i="2" s="1"/>
  <c r="C629" i="5" s="1"/>
  <c r="D629" i="2"/>
  <c r="E629" i="2" s="1"/>
  <c r="B629" i="5" s="1"/>
  <c r="B629" i="2"/>
  <c r="C629" i="2" s="1"/>
  <c r="O628" i="2"/>
  <c r="L628" i="2"/>
  <c r="M628" i="2" s="1"/>
  <c r="N628" i="2" s="1"/>
  <c r="E628" i="5" s="1"/>
  <c r="I628" i="2"/>
  <c r="J628" i="2" s="1"/>
  <c r="K628" i="2" s="1"/>
  <c r="F628" i="2"/>
  <c r="G628" i="2" s="1"/>
  <c r="H628" i="2" s="1"/>
  <c r="C628" i="5" s="1"/>
  <c r="D628" i="2"/>
  <c r="E628" i="2" s="1"/>
  <c r="B628" i="5" s="1"/>
  <c r="B628" i="2"/>
  <c r="C628" i="2" s="1"/>
  <c r="A628" i="5" s="1"/>
  <c r="O627" i="2"/>
  <c r="L627" i="2"/>
  <c r="M627" i="2" s="1"/>
  <c r="N627" i="2" s="1"/>
  <c r="I627" i="2"/>
  <c r="J627" i="2" s="1"/>
  <c r="K627" i="2" s="1"/>
  <c r="F627" i="2"/>
  <c r="G627" i="2" s="1"/>
  <c r="H627" i="2" s="1"/>
  <c r="C627" i="5" s="1"/>
  <c r="D627" i="2"/>
  <c r="E627" i="2" s="1"/>
  <c r="B627" i="5" s="1"/>
  <c r="B627" i="2"/>
  <c r="C627" i="2" s="1"/>
  <c r="O626" i="2"/>
  <c r="L626" i="2"/>
  <c r="M626" i="2" s="1"/>
  <c r="N626" i="2" s="1"/>
  <c r="E626" i="5" s="1"/>
  <c r="I626" i="2"/>
  <c r="J626" i="2" s="1"/>
  <c r="K626" i="2" s="1"/>
  <c r="F626" i="2"/>
  <c r="G626" i="2" s="1"/>
  <c r="H626" i="2" s="1"/>
  <c r="C626" i="5" s="1"/>
  <c r="D626" i="2"/>
  <c r="E626" i="2" s="1"/>
  <c r="B626" i="5" s="1"/>
  <c r="B626" i="2"/>
  <c r="C626" i="2" s="1"/>
  <c r="A626" i="5" s="1"/>
  <c r="O625" i="2"/>
  <c r="L625" i="2"/>
  <c r="M625" i="2" s="1"/>
  <c r="N625" i="2" s="1"/>
  <c r="I625" i="2"/>
  <c r="J625" i="2" s="1"/>
  <c r="K625" i="2" s="1"/>
  <c r="F625" i="2"/>
  <c r="G625" i="2" s="1"/>
  <c r="H625" i="2" s="1"/>
  <c r="C625" i="5" s="1"/>
  <c r="D625" i="2"/>
  <c r="E625" i="2" s="1"/>
  <c r="B625" i="5" s="1"/>
  <c r="B625" i="2"/>
  <c r="C625" i="2" s="1"/>
  <c r="O624" i="2"/>
  <c r="L624" i="2"/>
  <c r="M624" i="2" s="1"/>
  <c r="N624" i="2" s="1"/>
  <c r="E624" i="5" s="1"/>
  <c r="I624" i="2"/>
  <c r="J624" i="2" s="1"/>
  <c r="K624" i="2" s="1"/>
  <c r="F624" i="2"/>
  <c r="G624" i="2" s="1"/>
  <c r="H624" i="2" s="1"/>
  <c r="C624" i="5" s="1"/>
  <c r="D624" i="2"/>
  <c r="E624" i="2" s="1"/>
  <c r="B624" i="5" s="1"/>
  <c r="B624" i="2"/>
  <c r="C624" i="2" s="1"/>
  <c r="A624" i="5" s="1"/>
  <c r="O623" i="2"/>
  <c r="L623" i="2"/>
  <c r="M623" i="2" s="1"/>
  <c r="N623" i="2" s="1"/>
  <c r="I623" i="2"/>
  <c r="J623" i="2" s="1"/>
  <c r="K623" i="2" s="1"/>
  <c r="F623" i="2"/>
  <c r="G623" i="2" s="1"/>
  <c r="H623" i="2" s="1"/>
  <c r="C623" i="5" s="1"/>
  <c r="D623" i="2"/>
  <c r="E623" i="2" s="1"/>
  <c r="B623" i="5" s="1"/>
  <c r="B623" i="2"/>
  <c r="C623" i="2" s="1"/>
  <c r="O622" i="2"/>
  <c r="L622" i="2"/>
  <c r="M622" i="2" s="1"/>
  <c r="N622" i="2" s="1"/>
  <c r="E622" i="5" s="1"/>
  <c r="I622" i="2"/>
  <c r="J622" i="2" s="1"/>
  <c r="K622" i="2" s="1"/>
  <c r="F622" i="2"/>
  <c r="G622" i="2" s="1"/>
  <c r="H622" i="2" s="1"/>
  <c r="C622" i="5" s="1"/>
  <c r="D622" i="2"/>
  <c r="E622" i="2" s="1"/>
  <c r="B622" i="5" s="1"/>
  <c r="B622" i="2"/>
  <c r="C622" i="2" s="1"/>
  <c r="A622" i="5" s="1"/>
  <c r="O621" i="2"/>
  <c r="L621" i="2"/>
  <c r="M621" i="2" s="1"/>
  <c r="N621" i="2" s="1"/>
  <c r="I621" i="2"/>
  <c r="J621" i="2" s="1"/>
  <c r="K621" i="2" s="1"/>
  <c r="F621" i="2"/>
  <c r="G621" i="2" s="1"/>
  <c r="H621" i="2" s="1"/>
  <c r="C621" i="5" s="1"/>
  <c r="D621" i="2"/>
  <c r="E621" i="2" s="1"/>
  <c r="B621" i="5" s="1"/>
  <c r="B621" i="2"/>
  <c r="C621" i="2" s="1"/>
  <c r="O620" i="2"/>
  <c r="L620" i="2"/>
  <c r="M620" i="2" s="1"/>
  <c r="N620" i="2" s="1"/>
  <c r="E620" i="5" s="1"/>
  <c r="I620" i="2"/>
  <c r="J620" i="2" s="1"/>
  <c r="K620" i="2" s="1"/>
  <c r="F620" i="2"/>
  <c r="G620" i="2" s="1"/>
  <c r="H620" i="2" s="1"/>
  <c r="C620" i="5" s="1"/>
  <c r="D620" i="2"/>
  <c r="E620" i="2" s="1"/>
  <c r="B620" i="5" s="1"/>
  <c r="B620" i="2"/>
  <c r="C620" i="2" s="1"/>
  <c r="A620" i="5" s="1"/>
  <c r="O619" i="2"/>
  <c r="L619" i="2"/>
  <c r="M619" i="2" s="1"/>
  <c r="N619" i="2" s="1"/>
  <c r="I619" i="2"/>
  <c r="J619" i="2" s="1"/>
  <c r="K619" i="2" s="1"/>
  <c r="F619" i="2"/>
  <c r="G619" i="2" s="1"/>
  <c r="H619" i="2" s="1"/>
  <c r="C619" i="5" s="1"/>
  <c r="D619" i="2"/>
  <c r="E619" i="2" s="1"/>
  <c r="B619" i="5" s="1"/>
  <c r="B619" i="2"/>
  <c r="C619" i="2" s="1"/>
  <c r="A619" i="5" s="1"/>
  <c r="O618" i="2"/>
  <c r="L618" i="2"/>
  <c r="M618" i="2" s="1"/>
  <c r="N618" i="2" s="1"/>
  <c r="I618" i="2"/>
  <c r="J618" i="2" s="1"/>
  <c r="K618" i="2" s="1"/>
  <c r="F618" i="2"/>
  <c r="G618" i="2" s="1"/>
  <c r="H618" i="2" s="1"/>
  <c r="C618" i="5" s="1"/>
  <c r="D618" i="2"/>
  <c r="E618" i="2" s="1"/>
  <c r="B618" i="5" s="1"/>
  <c r="B618" i="2"/>
  <c r="C618" i="2" s="1"/>
  <c r="A618" i="5" s="1"/>
  <c r="O617" i="2"/>
  <c r="L617" i="2"/>
  <c r="M617" i="2" s="1"/>
  <c r="N617" i="2" s="1"/>
  <c r="I617" i="2"/>
  <c r="J617" i="2" s="1"/>
  <c r="K617" i="2" s="1"/>
  <c r="F617" i="2"/>
  <c r="G617" i="2" s="1"/>
  <c r="H617" i="2" s="1"/>
  <c r="C617" i="5" s="1"/>
  <c r="D617" i="2"/>
  <c r="E617" i="2" s="1"/>
  <c r="B617" i="5" s="1"/>
  <c r="B617" i="2"/>
  <c r="C617" i="2" s="1"/>
  <c r="A617" i="5" s="1"/>
  <c r="O616" i="2"/>
  <c r="L616" i="2"/>
  <c r="M616" i="2" s="1"/>
  <c r="N616" i="2" s="1"/>
  <c r="I616" i="2"/>
  <c r="J616" i="2" s="1"/>
  <c r="K616" i="2" s="1"/>
  <c r="F616" i="2"/>
  <c r="G616" i="2" s="1"/>
  <c r="H616" i="2" s="1"/>
  <c r="C616" i="5" s="1"/>
  <c r="D616" i="2"/>
  <c r="E616" i="2" s="1"/>
  <c r="B616" i="5" s="1"/>
  <c r="B616" i="2"/>
  <c r="C616" i="2" s="1"/>
  <c r="A616" i="5" s="1"/>
  <c r="O615" i="2"/>
  <c r="L615" i="2"/>
  <c r="M615" i="2" s="1"/>
  <c r="N615" i="2" s="1"/>
  <c r="I615" i="2"/>
  <c r="J615" i="2" s="1"/>
  <c r="K615" i="2" s="1"/>
  <c r="F615" i="2"/>
  <c r="G615" i="2" s="1"/>
  <c r="H615" i="2" s="1"/>
  <c r="C615" i="5" s="1"/>
  <c r="D615" i="2"/>
  <c r="E615" i="2" s="1"/>
  <c r="B615" i="5" s="1"/>
  <c r="B615" i="2"/>
  <c r="C615" i="2" s="1"/>
  <c r="A615" i="5" s="1"/>
  <c r="O614" i="2"/>
  <c r="L614" i="2"/>
  <c r="M614" i="2" s="1"/>
  <c r="N614" i="2" s="1"/>
  <c r="I614" i="2"/>
  <c r="J614" i="2" s="1"/>
  <c r="K614" i="2" s="1"/>
  <c r="F614" i="2"/>
  <c r="G614" i="2" s="1"/>
  <c r="H614" i="2" s="1"/>
  <c r="C614" i="5" s="1"/>
  <c r="D614" i="2"/>
  <c r="E614" i="2" s="1"/>
  <c r="B614" i="5" s="1"/>
  <c r="B614" i="2"/>
  <c r="C614" i="2" s="1"/>
  <c r="A614" i="5" s="1"/>
  <c r="O613" i="2"/>
  <c r="L613" i="2"/>
  <c r="M613" i="2" s="1"/>
  <c r="N613" i="2" s="1"/>
  <c r="I613" i="2"/>
  <c r="J613" i="2" s="1"/>
  <c r="K613" i="2" s="1"/>
  <c r="F613" i="2"/>
  <c r="G613" i="2" s="1"/>
  <c r="H613" i="2" s="1"/>
  <c r="C613" i="5" s="1"/>
  <c r="D613" i="2"/>
  <c r="E613" i="2" s="1"/>
  <c r="B613" i="5" s="1"/>
  <c r="B613" i="2"/>
  <c r="C613" i="2" s="1"/>
  <c r="A613" i="5" s="1"/>
  <c r="O612" i="2"/>
  <c r="L612" i="2"/>
  <c r="M612" i="2" s="1"/>
  <c r="N612" i="2" s="1"/>
  <c r="I612" i="2"/>
  <c r="J612" i="2" s="1"/>
  <c r="K612" i="2" s="1"/>
  <c r="F612" i="2"/>
  <c r="G612" i="2" s="1"/>
  <c r="H612" i="2" s="1"/>
  <c r="C612" i="5" s="1"/>
  <c r="D612" i="2"/>
  <c r="E612" i="2" s="1"/>
  <c r="B612" i="5" s="1"/>
  <c r="B612" i="2"/>
  <c r="C612" i="2" s="1"/>
  <c r="A612" i="5" s="1"/>
  <c r="O611" i="2"/>
  <c r="L611" i="2"/>
  <c r="M611" i="2" s="1"/>
  <c r="N611" i="2" s="1"/>
  <c r="I611" i="2"/>
  <c r="J611" i="2" s="1"/>
  <c r="K611" i="2" s="1"/>
  <c r="F611" i="2"/>
  <c r="G611" i="2" s="1"/>
  <c r="H611" i="2" s="1"/>
  <c r="C611" i="5" s="1"/>
  <c r="D611" i="2"/>
  <c r="E611" i="2" s="1"/>
  <c r="B611" i="5" s="1"/>
  <c r="B611" i="2"/>
  <c r="C611" i="2" s="1"/>
  <c r="A611" i="5" s="1"/>
  <c r="O610" i="2"/>
  <c r="L610" i="2"/>
  <c r="M610" i="2" s="1"/>
  <c r="N610" i="2" s="1"/>
  <c r="I610" i="2"/>
  <c r="J610" i="2" s="1"/>
  <c r="K610" i="2" s="1"/>
  <c r="F610" i="2"/>
  <c r="G610" i="2" s="1"/>
  <c r="H610" i="2" s="1"/>
  <c r="C610" i="5" s="1"/>
  <c r="D610" i="2"/>
  <c r="E610" i="2" s="1"/>
  <c r="B610" i="5" s="1"/>
  <c r="B610" i="2"/>
  <c r="C610" i="2" s="1"/>
  <c r="A610" i="5" s="1"/>
  <c r="O609" i="2"/>
  <c r="L609" i="2"/>
  <c r="M609" i="2" s="1"/>
  <c r="N609" i="2" s="1"/>
  <c r="I609" i="2"/>
  <c r="J609" i="2" s="1"/>
  <c r="K609" i="2" s="1"/>
  <c r="F609" i="2"/>
  <c r="G609" i="2" s="1"/>
  <c r="H609" i="2" s="1"/>
  <c r="C609" i="5" s="1"/>
  <c r="D609" i="2"/>
  <c r="E609" i="2" s="1"/>
  <c r="B609" i="5" s="1"/>
  <c r="B609" i="2"/>
  <c r="C609" i="2" s="1"/>
  <c r="A609" i="5" s="1"/>
  <c r="O608" i="2"/>
  <c r="L608" i="2"/>
  <c r="M608" i="2" s="1"/>
  <c r="N608" i="2" s="1"/>
  <c r="I608" i="2"/>
  <c r="J608" i="2" s="1"/>
  <c r="K608" i="2" s="1"/>
  <c r="F608" i="2"/>
  <c r="G608" i="2" s="1"/>
  <c r="H608" i="2" s="1"/>
  <c r="C608" i="5" s="1"/>
  <c r="D608" i="2"/>
  <c r="E608" i="2" s="1"/>
  <c r="B608" i="5" s="1"/>
  <c r="B608" i="2"/>
  <c r="C608" i="2" s="1"/>
  <c r="A608" i="5" s="1"/>
  <c r="O607" i="2"/>
  <c r="L607" i="2"/>
  <c r="M607" i="2" s="1"/>
  <c r="N607" i="2" s="1"/>
  <c r="I607" i="2"/>
  <c r="J607" i="2" s="1"/>
  <c r="K607" i="2" s="1"/>
  <c r="F607" i="2"/>
  <c r="G607" i="2" s="1"/>
  <c r="H607" i="2" s="1"/>
  <c r="C607" i="5" s="1"/>
  <c r="D607" i="2"/>
  <c r="E607" i="2" s="1"/>
  <c r="B607" i="5" s="1"/>
  <c r="B607" i="2"/>
  <c r="C607" i="2" s="1"/>
  <c r="A607" i="5" s="1"/>
  <c r="O606" i="2"/>
  <c r="L606" i="2"/>
  <c r="M606" i="2" s="1"/>
  <c r="N606" i="2" s="1"/>
  <c r="I606" i="2"/>
  <c r="J606" i="2" s="1"/>
  <c r="K606" i="2" s="1"/>
  <c r="F606" i="2"/>
  <c r="G606" i="2" s="1"/>
  <c r="H606" i="2" s="1"/>
  <c r="C606" i="5" s="1"/>
  <c r="D606" i="2"/>
  <c r="E606" i="2" s="1"/>
  <c r="B606" i="5" s="1"/>
  <c r="B606" i="2"/>
  <c r="C606" i="2" s="1"/>
  <c r="A606" i="5" s="1"/>
  <c r="O605" i="2"/>
  <c r="L605" i="2"/>
  <c r="M605" i="2" s="1"/>
  <c r="N605" i="2" s="1"/>
  <c r="I605" i="2"/>
  <c r="J605" i="2" s="1"/>
  <c r="K605" i="2" s="1"/>
  <c r="F605" i="2"/>
  <c r="G605" i="2" s="1"/>
  <c r="H605" i="2" s="1"/>
  <c r="C605" i="5" s="1"/>
  <c r="D605" i="2"/>
  <c r="E605" i="2" s="1"/>
  <c r="B605" i="5" s="1"/>
  <c r="B605" i="2"/>
  <c r="C605" i="2" s="1"/>
  <c r="A605" i="5" s="1"/>
  <c r="O604" i="2"/>
  <c r="L604" i="2"/>
  <c r="M604" i="2" s="1"/>
  <c r="N604" i="2" s="1"/>
  <c r="I604" i="2"/>
  <c r="J604" i="2" s="1"/>
  <c r="K604" i="2" s="1"/>
  <c r="F604" i="2"/>
  <c r="G604" i="2" s="1"/>
  <c r="H604" i="2" s="1"/>
  <c r="C604" i="5" s="1"/>
  <c r="D604" i="2"/>
  <c r="E604" i="2" s="1"/>
  <c r="B604" i="5" s="1"/>
  <c r="B604" i="2"/>
  <c r="C604" i="2" s="1"/>
  <c r="A604" i="5" s="1"/>
  <c r="O603" i="2"/>
  <c r="L603" i="2"/>
  <c r="M603" i="2" s="1"/>
  <c r="N603" i="2" s="1"/>
  <c r="I603" i="2"/>
  <c r="J603" i="2" s="1"/>
  <c r="K603" i="2" s="1"/>
  <c r="F603" i="2"/>
  <c r="G603" i="2" s="1"/>
  <c r="H603" i="2" s="1"/>
  <c r="C603" i="5" s="1"/>
  <c r="D603" i="2"/>
  <c r="E603" i="2" s="1"/>
  <c r="B603" i="5" s="1"/>
  <c r="B603" i="2"/>
  <c r="C603" i="2" s="1"/>
  <c r="A603" i="5" s="1"/>
  <c r="O602" i="2"/>
  <c r="L602" i="2"/>
  <c r="M602" i="2" s="1"/>
  <c r="N602" i="2" s="1"/>
  <c r="I602" i="2"/>
  <c r="J602" i="2" s="1"/>
  <c r="K602" i="2" s="1"/>
  <c r="F602" i="2"/>
  <c r="G602" i="2" s="1"/>
  <c r="H602" i="2" s="1"/>
  <c r="C602" i="5" s="1"/>
  <c r="D602" i="2"/>
  <c r="E602" i="2" s="1"/>
  <c r="B602" i="5" s="1"/>
  <c r="B602" i="2"/>
  <c r="C602" i="2" s="1"/>
  <c r="A602" i="5" s="1"/>
  <c r="O601" i="2"/>
  <c r="L601" i="2"/>
  <c r="M601" i="2" s="1"/>
  <c r="N601" i="2" s="1"/>
  <c r="I601" i="2"/>
  <c r="J601" i="2" s="1"/>
  <c r="K601" i="2" s="1"/>
  <c r="F601" i="2"/>
  <c r="G601" i="2" s="1"/>
  <c r="H601" i="2" s="1"/>
  <c r="C601" i="5" s="1"/>
  <c r="D601" i="2"/>
  <c r="E601" i="2" s="1"/>
  <c r="B601" i="5" s="1"/>
  <c r="B601" i="2"/>
  <c r="C601" i="2" s="1"/>
  <c r="A601" i="5" s="1"/>
  <c r="O600" i="2"/>
  <c r="L600" i="2"/>
  <c r="M600" i="2" s="1"/>
  <c r="N600" i="2" s="1"/>
  <c r="I600" i="2"/>
  <c r="J600" i="2" s="1"/>
  <c r="K600" i="2" s="1"/>
  <c r="F600" i="2"/>
  <c r="G600" i="2" s="1"/>
  <c r="H600" i="2" s="1"/>
  <c r="C600" i="5" s="1"/>
  <c r="D600" i="2"/>
  <c r="E600" i="2" s="1"/>
  <c r="B600" i="5" s="1"/>
  <c r="B600" i="2"/>
  <c r="C600" i="2" s="1"/>
  <c r="A600" i="5" s="1"/>
  <c r="O599" i="2"/>
  <c r="L599" i="2"/>
  <c r="M599" i="2" s="1"/>
  <c r="N599" i="2" s="1"/>
  <c r="I599" i="2"/>
  <c r="J599" i="2" s="1"/>
  <c r="K599" i="2" s="1"/>
  <c r="F599" i="2"/>
  <c r="G599" i="2" s="1"/>
  <c r="H599" i="2" s="1"/>
  <c r="C599" i="5" s="1"/>
  <c r="D599" i="2"/>
  <c r="E599" i="2" s="1"/>
  <c r="B599" i="5" s="1"/>
  <c r="B599" i="2"/>
  <c r="C599" i="2" s="1"/>
  <c r="A599" i="5" s="1"/>
  <c r="O598" i="2"/>
  <c r="L598" i="2"/>
  <c r="M598" i="2" s="1"/>
  <c r="N598" i="2" s="1"/>
  <c r="I598" i="2"/>
  <c r="J598" i="2" s="1"/>
  <c r="K598" i="2" s="1"/>
  <c r="F598" i="2"/>
  <c r="G598" i="2" s="1"/>
  <c r="H598" i="2" s="1"/>
  <c r="C598" i="5" s="1"/>
  <c r="D598" i="2"/>
  <c r="E598" i="2" s="1"/>
  <c r="B598" i="5" s="1"/>
  <c r="B598" i="2"/>
  <c r="C598" i="2" s="1"/>
  <c r="A598" i="5" s="1"/>
  <c r="O597" i="2"/>
  <c r="L597" i="2"/>
  <c r="M597" i="2" s="1"/>
  <c r="N597" i="2" s="1"/>
  <c r="I597" i="2"/>
  <c r="J597" i="2" s="1"/>
  <c r="K597" i="2" s="1"/>
  <c r="F597" i="2"/>
  <c r="G597" i="2" s="1"/>
  <c r="H597" i="2" s="1"/>
  <c r="C597" i="5" s="1"/>
  <c r="D597" i="2"/>
  <c r="E597" i="2" s="1"/>
  <c r="B597" i="5" s="1"/>
  <c r="B597" i="2"/>
  <c r="C597" i="2" s="1"/>
  <c r="A597" i="5" s="1"/>
  <c r="O596" i="2"/>
  <c r="L596" i="2"/>
  <c r="M596" i="2" s="1"/>
  <c r="N596" i="2" s="1"/>
  <c r="I596" i="2"/>
  <c r="J596" i="2" s="1"/>
  <c r="K596" i="2" s="1"/>
  <c r="F596" i="2"/>
  <c r="G596" i="2" s="1"/>
  <c r="H596" i="2" s="1"/>
  <c r="C596" i="5" s="1"/>
  <c r="D596" i="2"/>
  <c r="E596" i="2" s="1"/>
  <c r="B596" i="5" s="1"/>
  <c r="B596" i="2"/>
  <c r="C596" i="2" s="1"/>
  <c r="A596" i="5" s="1"/>
  <c r="O595" i="2"/>
  <c r="L595" i="2"/>
  <c r="M595" i="2" s="1"/>
  <c r="N595" i="2" s="1"/>
  <c r="I595" i="2"/>
  <c r="J595" i="2" s="1"/>
  <c r="K595" i="2" s="1"/>
  <c r="F595" i="2"/>
  <c r="G595" i="2" s="1"/>
  <c r="H595" i="2" s="1"/>
  <c r="C595" i="5" s="1"/>
  <c r="D595" i="2"/>
  <c r="E595" i="2" s="1"/>
  <c r="B595" i="5" s="1"/>
  <c r="B595" i="2"/>
  <c r="C595" i="2" s="1"/>
  <c r="A595" i="5" s="1"/>
  <c r="O594" i="2"/>
  <c r="L594" i="2"/>
  <c r="M594" i="2" s="1"/>
  <c r="N594" i="2" s="1"/>
  <c r="I594" i="2"/>
  <c r="J594" i="2" s="1"/>
  <c r="K594" i="2" s="1"/>
  <c r="F594" i="2"/>
  <c r="G594" i="2" s="1"/>
  <c r="H594" i="2" s="1"/>
  <c r="C594" i="5" s="1"/>
  <c r="D594" i="2"/>
  <c r="E594" i="2" s="1"/>
  <c r="B594" i="5" s="1"/>
  <c r="B594" i="2"/>
  <c r="C594" i="2" s="1"/>
  <c r="A594" i="5" s="1"/>
  <c r="O593" i="2"/>
  <c r="L593" i="2"/>
  <c r="M593" i="2" s="1"/>
  <c r="N593" i="2" s="1"/>
  <c r="I593" i="2"/>
  <c r="J593" i="2" s="1"/>
  <c r="K593" i="2" s="1"/>
  <c r="F593" i="2"/>
  <c r="G593" i="2" s="1"/>
  <c r="H593" i="2" s="1"/>
  <c r="C593" i="5" s="1"/>
  <c r="D593" i="2"/>
  <c r="E593" i="2" s="1"/>
  <c r="B593" i="5" s="1"/>
  <c r="B593" i="2"/>
  <c r="C593" i="2" s="1"/>
  <c r="A593" i="5" s="1"/>
  <c r="O592" i="2"/>
  <c r="L592" i="2"/>
  <c r="M592" i="2" s="1"/>
  <c r="N592" i="2" s="1"/>
  <c r="I592" i="2"/>
  <c r="J592" i="2" s="1"/>
  <c r="K592" i="2" s="1"/>
  <c r="F592" i="2"/>
  <c r="G592" i="2" s="1"/>
  <c r="H592" i="2" s="1"/>
  <c r="C592" i="5" s="1"/>
  <c r="D592" i="2"/>
  <c r="E592" i="2" s="1"/>
  <c r="B592" i="5" s="1"/>
  <c r="B592" i="2"/>
  <c r="C592" i="2" s="1"/>
  <c r="A592" i="5" s="1"/>
  <c r="O591" i="2"/>
  <c r="L591" i="2"/>
  <c r="M591" i="2" s="1"/>
  <c r="N591" i="2" s="1"/>
  <c r="I591" i="2"/>
  <c r="J591" i="2" s="1"/>
  <c r="K591" i="2" s="1"/>
  <c r="F591" i="2"/>
  <c r="G591" i="2" s="1"/>
  <c r="H591" i="2" s="1"/>
  <c r="C591" i="5" s="1"/>
  <c r="D591" i="2"/>
  <c r="E591" i="2" s="1"/>
  <c r="B591" i="5" s="1"/>
  <c r="B591" i="2"/>
  <c r="C591" i="2" s="1"/>
  <c r="A591" i="5" s="1"/>
  <c r="O590" i="2"/>
  <c r="L590" i="2"/>
  <c r="M590" i="2" s="1"/>
  <c r="N590" i="2" s="1"/>
  <c r="I590" i="2"/>
  <c r="J590" i="2" s="1"/>
  <c r="K590" i="2" s="1"/>
  <c r="F590" i="2"/>
  <c r="G590" i="2" s="1"/>
  <c r="H590" i="2" s="1"/>
  <c r="C590" i="5" s="1"/>
  <c r="D590" i="2"/>
  <c r="E590" i="2" s="1"/>
  <c r="B590" i="5" s="1"/>
  <c r="B590" i="2"/>
  <c r="C590" i="2" s="1"/>
  <c r="A590" i="5" s="1"/>
  <c r="O589" i="2"/>
  <c r="L589" i="2"/>
  <c r="M589" i="2" s="1"/>
  <c r="N589" i="2" s="1"/>
  <c r="I589" i="2"/>
  <c r="J589" i="2" s="1"/>
  <c r="K589" i="2" s="1"/>
  <c r="F589" i="2"/>
  <c r="G589" i="2" s="1"/>
  <c r="H589" i="2" s="1"/>
  <c r="C589" i="5" s="1"/>
  <c r="D589" i="2"/>
  <c r="E589" i="2" s="1"/>
  <c r="B589" i="5" s="1"/>
  <c r="B589" i="2"/>
  <c r="C589" i="2" s="1"/>
  <c r="A589" i="5" s="1"/>
  <c r="O588" i="2"/>
  <c r="L588" i="2"/>
  <c r="M588" i="2" s="1"/>
  <c r="N588" i="2" s="1"/>
  <c r="I588" i="2"/>
  <c r="J588" i="2" s="1"/>
  <c r="K588" i="2" s="1"/>
  <c r="F588" i="2"/>
  <c r="G588" i="2" s="1"/>
  <c r="H588" i="2" s="1"/>
  <c r="C588" i="5" s="1"/>
  <c r="D588" i="2"/>
  <c r="E588" i="2" s="1"/>
  <c r="B588" i="5" s="1"/>
  <c r="B588" i="2"/>
  <c r="C588" i="2" s="1"/>
  <c r="A588" i="5" s="1"/>
  <c r="O587" i="2"/>
  <c r="L587" i="2"/>
  <c r="M587" i="2" s="1"/>
  <c r="N587" i="2" s="1"/>
  <c r="I587" i="2"/>
  <c r="J587" i="2" s="1"/>
  <c r="K587" i="2" s="1"/>
  <c r="F587" i="2"/>
  <c r="G587" i="2" s="1"/>
  <c r="H587" i="2" s="1"/>
  <c r="C587" i="5" s="1"/>
  <c r="D587" i="2"/>
  <c r="E587" i="2" s="1"/>
  <c r="B587" i="5" s="1"/>
  <c r="B587" i="2"/>
  <c r="C587" i="2" s="1"/>
  <c r="A587" i="5" s="1"/>
  <c r="O586" i="2"/>
  <c r="L586" i="2"/>
  <c r="M586" i="2" s="1"/>
  <c r="N586" i="2" s="1"/>
  <c r="I586" i="2"/>
  <c r="J586" i="2" s="1"/>
  <c r="K586" i="2" s="1"/>
  <c r="F586" i="2"/>
  <c r="G586" i="2" s="1"/>
  <c r="H586" i="2" s="1"/>
  <c r="C586" i="5" s="1"/>
  <c r="D586" i="2"/>
  <c r="E586" i="2" s="1"/>
  <c r="B586" i="5" s="1"/>
  <c r="B586" i="2"/>
  <c r="C586" i="2" s="1"/>
  <c r="A586" i="5" s="1"/>
  <c r="O585" i="2"/>
  <c r="L585" i="2"/>
  <c r="M585" i="2" s="1"/>
  <c r="N585" i="2" s="1"/>
  <c r="I585" i="2"/>
  <c r="J585" i="2" s="1"/>
  <c r="K585" i="2" s="1"/>
  <c r="F585" i="2"/>
  <c r="G585" i="2" s="1"/>
  <c r="H585" i="2" s="1"/>
  <c r="C585" i="5" s="1"/>
  <c r="D585" i="2"/>
  <c r="E585" i="2" s="1"/>
  <c r="B585" i="5" s="1"/>
  <c r="B585" i="2"/>
  <c r="C585" i="2" s="1"/>
  <c r="A585" i="5" s="1"/>
  <c r="O584" i="2"/>
  <c r="L584" i="2"/>
  <c r="M584" i="2" s="1"/>
  <c r="N584" i="2" s="1"/>
  <c r="I584" i="2"/>
  <c r="J584" i="2" s="1"/>
  <c r="K584" i="2" s="1"/>
  <c r="F584" i="2"/>
  <c r="G584" i="2" s="1"/>
  <c r="H584" i="2" s="1"/>
  <c r="C584" i="5" s="1"/>
  <c r="D584" i="2"/>
  <c r="E584" i="2" s="1"/>
  <c r="B584" i="5" s="1"/>
  <c r="B584" i="2"/>
  <c r="C584" i="2" s="1"/>
  <c r="A584" i="5" s="1"/>
  <c r="O583" i="2"/>
  <c r="L583" i="2"/>
  <c r="M583" i="2" s="1"/>
  <c r="N583" i="2" s="1"/>
  <c r="I583" i="2"/>
  <c r="J583" i="2" s="1"/>
  <c r="K583" i="2" s="1"/>
  <c r="F583" i="2"/>
  <c r="G583" i="2" s="1"/>
  <c r="H583" i="2" s="1"/>
  <c r="C583" i="5" s="1"/>
  <c r="D583" i="2"/>
  <c r="E583" i="2" s="1"/>
  <c r="B583" i="5" s="1"/>
  <c r="B583" i="2"/>
  <c r="C583" i="2" s="1"/>
  <c r="A583" i="5" s="1"/>
  <c r="O582" i="2"/>
  <c r="L582" i="2"/>
  <c r="M582" i="2" s="1"/>
  <c r="N582" i="2" s="1"/>
  <c r="I582" i="2"/>
  <c r="J582" i="2" s="1"/>
  <c r="K582" i="2" s="1"/>
  <c r="F582" i="2"/>
  <c r="G582" i="2" s="1"/>
  <c r="H582" i="2" s="1"/>
  <c r="C582" i="5" s="1"/>
  <c r="D582" i="2"/>
  <c r="E582" i="2" s="1"/>
  <c r="B582" i="5" s="1"/>
  <c r="B582" i="2"/>
  <c r="C582" i="2" s="1"/>
  <c r="A582" i="5" s="1"/>
  <c r="O581" i="2"/>
  <c r="L581" i="2"/>
  <c r="M581" i="2" s="1"/>
  <c r="N581" i="2" s="1"/>
  <c r="I581" i="2"/>
  <c r="J581" i="2" s="1"/>
  <c r="K581" i="2" s="1"/>
  <c r="F581" i="2"/>
  <c r="G581" i="2" s="1"/>
  <c r="H581" i="2" s="1"/>
  <c r="C581" i="5" s="1"/>
  <c r="D581" i="2"/>
  <c r="E581" i="2" s="1"/>
  <c r="B581" i="5" s="1"/>
  <c r="B581" i="2"/>
  <c r="C581" i="2" s="1"/>
  <c r="A581" i="5" s="1"/>
  <c r="O580" i="2"/>
  <c r="L580" i="2"/>
  <c r="M580" i="2" s="1"/>
  <c r="N580" i="2" s="1"/>
  <c r="I580" i="2"/>
  <c r="J580" i="2" s="1"/>
  <c r="K580" i="2" s="1"/>
  <c r="F580" i="2"/>
  <c r="G580" i="2" s="1"/>
  <c r="H580" i="2" s="1"/>
  <c r="C580" i="5" s="1"/>
  <c r="D580" i="2"/>
  <c r="E580" i="2" s="1"/>
  <c r="B580" i="5" s="1"/>
  <c r="B580" i="2"/>
  <c r="C580" i="2" s="1"/>
  <c r="A580" i="5" s="1"/>
  <c r="O579" i="2"/>
  <c r="L579" i="2"/>
  <c r="M579" i="2" s="1"/>
  <c r="N579" i="2" s="1"/>
  <c r="I579" i="2"/>
  <c r="J579" i="2" s="1"/>
  <c r="K579" i="2" s="1"/>
  <c r="F579" i="2"/>
  <c r="G579" i="2" s="1"/>
  <c r="H579" i="2" s="1"/>
  <c r="C579" i="5" s="1"/>
  <c r="D579" i="2"/>
  <c r="E579" i="2" s="1"/>
  <c r="B579" i="5" s="1"/>
  <c r="B579" i="2"/>
  <c r="C579" i="2" s="1"/>
  <c r="A579" i="5" s="1"/>
  <c r="O578" i="2"/>
  <c r="L578" i="2"/>
  <c r="M578" i="2" s="1"/>
  <c r="N578" i="2" s="1"/>
  <c r="I578" i="2"/>
  <c r="J578" i="2" s="1"/>
  <c r="K578" i="2" s="1"/>
  <c r="F578" i="2"/>
  <c r="G578" i="2" s="1"/>
  <c r="H578" i="2" s="1"/>
  <c r="C578" i="5" s="1"/>
  <c r="D578" i="2"/>
  <c r="E578" i="2" s="1"/>
  <c r="B578" i="5" s="1"/>
  <c r="B578" i="2"/>
  <c r="C578" i="2" s="1"/>
  <c r="A578" i="5" s="1"/>
  <c r="O577" i="2"/>
  <c r="L577" i="2"/>
  <c r="M577" i="2" s="1"/>
  <c r="N577" i="2" s="1"/>
  <c r="I577" i="2"/>
  <c r="J577" i="2" s="1"/>
  <c r="K577" i="2" s="1"/>
  <c r="F577" i="2"/>
  <c r="G577" i="2" s="1"/>
  <c r="H577" i="2" s="1"/>
  <c r="C577" i="5" s="1"/>
  <c r="D577" i="2"/>
  <c r="E577" i="2" s="1"/>
  <c r="B577" i="5" s="1"/>
  <c r="B577" i="2"/>
  <c r="C577" i="2" s="1"/>
  <c r="A577" i="5" s="1"/>
  <c r="O576" i="2"/>
  <c r="L576" i="2"/>
  <c r="M576" i="2" s="1"/>
  <c r="N576" i="2" s="1"/>
  <c r="I576" i="2"/>
  <c r="J576" i="2" s="1"/>
  <c r="K576" i="2" s="1"/>
  <c r="F576" i="2"/>
  <c r="G576" i="2" s="1"/>
  <c r="H576" i="2" s="1"/>
  <c r="C576" i="5" s="1"/>
  <c r="D576" i="2"/>
  <c r="E576" i="2" s="1"/>
  <c r="B576" i="5" s="1"/>
  <c r="B576" i="2"/>
  <c r="C576" i="2" s="1"/>
  <c r="A576" i="5" s="1"/>
  <c r="O575" i="2"/>
  <c r="L575" i="2"/>
  <c r="M575" i="2" s="1"/>
  <c r="N575" i="2" s="1"/>
  <c r="I575" i="2"/>
  <c r="J575" i="2" s="1"/>
  <c r="K575" i="2" s="1"/>
  <c r="F575" i="2"/>
  <c r="G575" i="2" s="1"/>
  <c r="H575" i="2" s="1"/>
  <c r="C575" i="5" s="1"/>
  <c r="D575" i="2"/>
  <c r="E575" i="2" s="1"/>
  <c r="B575" i="5" s="1"/>
  <c r="B575" i="2"/>
  <c r="C575" i="2" s="1"/>
  <c r="A575" i="5" s="1"/>
  <c r="O574" i="2"/>
  <c r="L574" i="2"/>
  <c r="M574" i="2" s="1"/>
  <c r="N574" i="2" s="1"/>
  <c r="I574" i="2"/>
  <c r="J574" i="2" s="1"/>
  <c r="K574" i="2" s="1"/>
  <c r="F574" i="2"/>
  <c r="G574" i="2" s="1"/>
  <c r="H574" i="2" s="1"/>
  <c r="C574" i="5" s="1"/>
  <c r="D574" i="2"/>
  <c r="E574" i="2" s="1"/>
  <c r="B574" i="5" s="1"/>
  <c r="B574" i="2"/>
  <c r="C574" i="2" s="1"/>
  <c r="A574" i="5" s="1"/>
  <c r="O573" i="2"/>
  <c r="L573" i="2"/>
  <c r="M573" i="2" s="1"/>
  <c r="N573" i="2" s="1"/>
  <c r="I573" i="2"/>
  <c r="J573" i="2" s="1"/>
  <c r="K573" i="2" s="1"/>
  <c r="F573" i="2"/>
  <c r="G573" i="2" s="1"/>
  <c r="H573" i="2" s="1"/>
  <c r="C573" i="5" s="1"/>
  <c r="D573" i="2"/>
  <c r="E573" i="2" s="1"/>
  <c r="B573" i="5" s="1"/>
  <c r="B573" i="2"/>
  <c r="C573" i="2" s="1"/>
  <c r="A573" i="5" s="1"/>
  <c r="O572" i="2"/>
  <c r="L572" i="2"/>
  <c r="M572" i="2" s="1"/>
  <c r="N572" i="2" s="1"/>
  <c r="I572" i="2"/>
  <c r="J572" i="2" s="1"/>
  <c r="K572" i="2" s="1"/>
  <c r="F572" i="2"/>
  <c r="G572" i="2" s="1"/>
  <c r="H572" i="2" s="1"/>
  <c r="C572" i="5" s="1"/>
  <c r="D572" i="2"/>
  <c r="E572" i="2" s="1"/>
  <c r="B572" i="5" s="1"/>
  <c r="B572" i="2"/>
  <c r="C572" i="2" s="1"/>
  <c r="A572" i="5" s="1"/>
  <c r="O571" i="2"/>
  <c r="L571" i="2"/>
  <c r="M571" i="2" s="1"/>
  <c r="N571" i="2" s="1"/>
  <c r="I571" i="2"/>
  <c r="J571" i="2" s="1"/>
  <c r="K571" i="2" s="1"/>
  <c r="F571" i="2"/>
  <c r="G571" i="2" s="1"/>
  <c r="H571" i="2" s="1"/>
  <c r="C571" i="5" s="1"/>
  <c r="D571" i="2"/>
  <c r="E571" i="2" s="1"/>
  <c r="B571" i="5" s="1"/>
  <c r="B571" i="2"/>
  <c r="C571" i="2" s="1"/>
  <c r="A571" i="5" s="1"/>
  <c r="O570" i="2"/>
  <c r="L570" i="2"/>
  <c r="M570" i="2" s="1"/>
  <c r="N570" i="2" s="1"/>
  <c r="I570" i="2"/>
  <c r="J570" i="2" s="1"/>
  <c r="K570" i="2" s="1"/>
  <c r="F570" i="2"/>
  <c r="G570" i="2" s="1"/>
  <c r="H570" i="2" s="1"/>
  <c r="C570" i="5" s="1"/>
  <c r="D570" i="2"/>
  <c r="E570" i="2" s="1"/>
  <c r="B570" i="5" s="1"/>
  <c r="B570" i="2"/>
  <c r="C570" i="2" s="1"/>
  <c r="A570" i="5" s="1"/>
  <c r="O569" i="2"/>
  <c r="L569" i="2"/>
  <c r="M569" i="2" s="1"/>
  <c r="N569" i="2" s="1"/>
  <c r="I569" i="2"/>
  <c r="J569" i="2" s="1"/>
  <c r="K569" i="2" s="1"/>
  <c r="F569" i="2"/>
  <c r="G569" i="2" s="1"/>
  <c r="H569" i="2" s="1"/>
  <c r="C569" i="5" s="1"/>
  <c r="D569" i="2"/>
  <c r="E569" i="2" s="1"/>
  <c r="B569" i="5" s="1"/>
  <c r="B569" i="2"/>
  <c r="C569" i="2" s="1"/>
  <c r="A569" i="5" s="1"/>
  <c r="O568" i="2"/>
  <c r="L568" i="2"/>
  <c r="M568" i="2" s="1"/>
  <c r="N568" i="2" s="1"/>
  <c r="I568" i="2"/>
  <c r="J568" i="2" s="1"/>
  <c r="K568" i="2" s="1"/>
  <c r="F568" i="2"/>
  <c r="G568" i="2" s="1"/>
  <c r="H568" i="2" s="1"/>
  <c r="C568" i="5" s="1"/>
  <c r="D568" i="2"/>
  <c r="E568" i="2" s="1"/>
  <c r="B568" i="5" s="1"/>
  <c r="B568" i="2"/>
  <c r="C568" i="2" s="1"/>
  <c r="A568" i="5" s="1"/>
  <c r="O567" i="2"/>
  <c r="L567" i="2"/>
  <c r="M567" i="2" s="1"/>
  <c r="N567" i="2" s="1"/>
  <c r="I567" i="2"/>
  <c r="J567" i="2" s="1"/>
  <c r="K567" i="2" s="1"/>
  <c r="F567" i="2"/>
  <c r="G567" i="2" s="1"/>
  <c r="H567" i="2" s="1"/>
  <c r="C567" i="5" s="1"/>
  <c r="D567" i="2"/>
  <c r="E567" i="2" s="1"/>
  <c r="B567" i="5" s="1"/>
  <c r="B567" i="2"/>
  <c r="C567" i="2" s="1"/>
  <c r="A567" i="5" s="1"/>
  <c r="O566" i="2"/>
  <c r="L566" i="2"/>
  <c r="M566" i="2" s="1"/>
  <c r="N566" i="2" s="1"/>
  <c r="I566" i="2"/>
  <c r="J566" i="2" s="1"/>
  <c r="K566" i="2" s="1"/>
  <c r="F566" i="2"/>
  <c r="G566" i="2" s="1"/>
  <c r="H566" i="2" s="1"/>
  <c r="C566" i="5" s="1"/>
  <c r="D566" i="2"/>
  <c r="E566" i="2" s="1"/>
  <c r="B566" i="5" s="1"/>
  <c r="B566" i="2"/>
  <c r="C566" i="2" s="1"/>
  <c r="A566" i="5" s="1"/>
  <c r="O565" i="2"/>
  <c r="L565" i="2"/>
  <c r="M565" i="2" s="1"/>
  <c r="N565" i="2" s="1"/>
  <c r="I565" i="2"/>
  <c r="J565" i="2" s="1"/>
  <c r="K565" i="2" s="1"/>
  <c r="F565" i="2"/>
  <c r="G565" i="2" s="1"/>
  <c r="H565" i="2" s="1"/>
  <c r="C565" i="5" s="1"/>
  <c r="D565" i="2"/>
  <c r="E565" i="2" s="1"/>
  <c r="B565" i="5" s="1"/>
  <c r="B565" i="2"/>
  <c r="C565" i="2" s="1"/>
  <c r="A565" i="5" s="1"/>
  <c r="O564" i="2"/>
  <c r="L564" i="2"/>
  <c r="M564" i="2" s="1"/>
  <c r="N564" i="2" s="1"/>
  <c r="I564" i="2"/>
  <c r="J564" i="2" s="1"/>
  <c r="K564" i="2" s="1"/>
  <c r="F564" i="2"/>
  <c r="G564" i="2" s="1"/>
  <c r="H564" i="2" s="1"/>
  <c r="C564" i="5" s="1"/>
  <c r="D564" i="2"/>
  <c r="E564" i="2" s="1"/>
  <c r="B564" i="5" s="1"/>
  <c r="B564" i="2"/>
  <c r="C564" i="2" s="1"/>
  <c r="A564" i="5" s="1"/>
  <c r="O563" i="2"/>
  <c r="L563" i="2"/>
  <c r="M563" i="2" s="1"/>
  <c r="N563" i="2" s="1"/>
  <c r="I563" i="2"/>
  <c r="J563" i="2" s="1"/>
  <c r="K563" i="2" s="1"/>
  <c r="F563" i="2"/>
  <c r="G563" i="2" s="1"/>
  <c r="H563" i="2" s="1"/>
  <c r="C563" i="5" s="1"/>
  <c r="D563" i="2"/>
  <c r="E563" i="2" s="1"/>
  <c r="B563" i="5" s="1"/>
  <c r="B563" i="2"/>
  <c r="C563" i="2" s="1"/>
  <c r="A563" i="5" s="1"/>
  <c r="O562" i="2"/>
  <c r="L562" i="2"/>
  <c r="M562" i="2" s="1"/>
  <c r="N562" i="2" s="1"/>
  <c r="I562" i="2"/>
  <c r="J562" i="2" s="1"/>
  <c r="K562" i="2" s="1"/>
  <c r="F562" i="2"/>
  <c r="G562" i="2" s="1"/>
  <c r="H562" i="2" s="1"/>
  <c r="C562" i="5" s="1"/>
  <c r="D562" i="2"/>
  <c r="E562" i="2" s="1"/>
  <c r="B562" i="5" s="1"/>
  <c r="B562" i="2"/>
  <c r="C562" i="2" s="1"/>
  <c r="A562" i="5" s="1"/>
  <c r="O561" i="2"/>
  <c r="L561" i="2"/>
  <c r="M561" i="2" s="1"/>
  <c r="N561" i="2" s="1"/>
  <c r="I561" i="2"/>
  <c r="J561" i="2" s="1"/>
  <c r="K561" i="2" s="1"/>
  <c r="F561" i="2"/>
  <c r="G561" i="2" s="1"/>
  <c r="H561" i="2" s="1"/>
  <c r="C561" i="5" s="1"/>
  <c r="D561" i="2"/>
  <c r="E561" i="2" s="1"/>
  <c r="B561" i="5" s="1"/>
  <c r="B561" i="2"/>
  <c r="C561" i="2" s="1"/>
  <c r="A561" i="5" s="1"/>
  <c r="O560" i="2"/>
  <c r="L560" i="2"/>
  <c r="M560" i="2" s="1"/>
  <c r="N560" i="2" s="1"/>
  <c r="I560" i="2"/>
  <c r="J560" i="2" s="1"/>
  <c r="K560" i="2" s="1"/>
  <c r="F560" i="2"/>
  <c r="G560" i="2" s="1"/>
  <c r="H560" i="2" s="1"/>
  <c r="C560" i="5" s="1"/>
  <c r="D560" i="2"/>
  <c r="E560" i="2" s="1"/>
  <c r="B560" i="5" s="1"/>
  <c r="B560" i="2"/>
  <c r="C560" i="2" s="1"/>
  <c r="A560" i="5" s="1"/>
  <c r="O559" i="2"/>
  <c r="L559" i="2"/>
  <c r="M559" i="2" s="1"/>
  <c r="N559" i="2" s="1"/>
  <c r="I559" i="2"/>
  <c r="J559" i="2" s="1"/>
  <c r="K559" i="2" s="1"/>
  <c r="F559" i="2"/>
  <c r="G559" i="2" s="1"/>
  <c r="H559" i="2" s="1"/>
  <c r="C559" i="5" s="1"/>
  <c r="D559" i="2"/>
  <c r="E559" i="2" s="1"/>
  <c r="B559" i="5" s="1"/>
  <c r="B559" i="2"/>
  <c r="C559" i="2" s="1"/>
  <c r="A559" i="5" s="1"/>
  <c r="O558" i="2"/>
  <c r="L558" i="2"/>
  <c r="M558" i="2" s="1"/>
  <c r="N558" i="2" s="1"/>
  <c r="I558" i="2"/>
  <c r="J558" i="2" s="1"/>
  <c r="K558" i="2" s="1"/>
  <c r="F558" i="2"/>
  <c r="G558" i="2" s="1"/>
  <c r="H558" i="2" s="1"/>
  <c r="C558" i="5" s="1"/>
  <c r="D558" i="2"/>
  <c r="E558" i="2" s="1"/>
  <c r="B558" i="5" s="1"/>
  <c r="B558" i="2"/>
  <c r="C558" i="2" s="1"/>
  <c r="A558" i="5" s="1"/>
  <c r="O557" i="2"/>
  <c r="L557" i="2"/>
  <c r="M557" i="2" s="1"/>
  <c r="N557" i="2" s="1"/>
  <c r="I557" i="2"/>
  <c r="J557" i="2" s="1"/>
  <c r="K557" i="2" s="1"/>
  <c r="F557" i="2"/>
  <c r="G557" i="2" s="1"/>
  <c r="H557" i="2" s="1"/>
  <c r="C557" i="5" s="1"/>
  <c r="D557" i="2"/>
  <c r="E557" i="2" s="1"/>
  <c r="B557" i="5" s="1"/>
  <c r="B557" i="2"/>
  <c r="C557" i="2" s="1"/>
  <c r="A557" i="5" s="1"/>
  <c r="O556" i="2"/>
  <c r="L556" i="2"/>
  <c r="M556" i="2" s="1"/>
  <c r="N556" i="2" s="1"/>
  <c r="I556" i="2"/>
  <c r="J556" i="2" s="1"/>
  <c r="K556" i="2" s="1"/>
  <c r="F556" i="2"/>
  <c r="G556" i="2" s="1"/>
  <c r="H556" i="2" s="1"/>
  <c r="C556" i="5" s="1"/>
  <c r="D556" i="2"/>
  <c r="E556" i="2" s="1"/>
  <c r="B556" i="5" s="1"/>
  <c r="B556" i="2"/>
  <c r="C556" i="2" s="1"/>
  <c r="A556" i="5" s="1"/>
  <c r="O555" i="2"/>
  <c r="L555" i="2"/>
  <c r="M555" i="2" s="1"/>
  <c r="N555" i="2" s="1"/>
  <c r="I555" i="2"/>
  <c r="J555" i="2" s="1"/>
  <c r="K555" i="2" s="1"/>
  <c r="F555" i="2"/>
  <c r="G555" i="2" s="1"/>
  <c r="H555" i="2" s="1"/>
  <c r="C555" i="5" s="1"/>
  <c r="D555" i="2"/>
  <c r="E555" i="2" s="1"/>
  <c r="B555" i="5" s="1"/>
  <c r="B555" i="2"/>
  <c r="C555" i="2" s="1"/>
  <c r="A555" i="5" s="1"/>
  <c r="O554" i="2"/>
  <c r="L554" i="2"/>
  <c r="M554" i="2" s="1"/>
  <c r="N554" i="2" s="1"/>
  <c r="I554" i="2"/>
  <c r="J554" i="2" s="1"/>
  <c r="K554" i="2" s="1"/>
  <c r="F554" i="2"/>
  <c r="G554" i="2" s="1"/>
  <c r="H554" i="2" s="1"/>
  <c r="C554" i="5" s="1"/>
  <c r="D554" i="2"/>
  <c r="E554" i="2" s="1"/>
  <c r="B554" i="5" s="1"/>
  <c r="B554" i="2"/>
  <c r="C554" i="2" s="1"/>
  <c r="A554" i="5" s="1"/>
  <c r="O553" i="2"/>
  <c r="L553" i="2"/>
  <c r="M553" i="2" s="1"/>
  <c r="N553" i="2" s="1"/>
  <c r="I553" i="2"/>
  <c r="J553" i="2" s="1"/>
  <c r="K553" i="2" s="1"/>
  <c r="F553" i="2"/>
  <c r="G553" i="2" s="1"/>
  <c r="H553" i="2" s="1"/>
  <c r="C553" i="5" s="1"/>
  <c r="D553" i="2"/>
  <c r="E553" i="2" s="1"/>
  <c r="B553" i="5" s="1"/>
  <c r="B553" i="2"/>
  <c r="C553" i="2" s="1"/>
  <c r="A553" i="5" s="1"/>
  <c r="O552" i="2"/>
  <c r="L552" i="2"/>
  <c r="M552" i="2" s="1"/>
  <c r="N552" i="2" s="1"/>
  <c r="I552" i="2"/>
  <c r="J552" i="2" s="1"/>
  <c r="K552" i="2" s="1"/>
  <c r="Y552" i="2" s="1"/>
  <c r="F552" i="2"/>
  <c r="G552" i="2" s="1"/>
  <c r="H552" i="2" s="1"/>
  <c r="C552" i="5" s="1"/>
  <c r="D552" i="2"/>
  <c r="E552" i="2" s="1"/>
  <c r="B552" i="5" s="1"/>
  <c r="B552" i="2"/>
  <c r="C552" i="2" s="1"/>
  <c r="A552" i="5" s="1"/>
  <c r="O551" i="2"/>
  <c r="L551" i="2"/>
  <c r="M551" i="2" s="1"/>
  <c r="N551" i="2" s="1"/>
  <c r="I551" i="2"/>
  <c r="J551" i="2" s="1"/>
  <c r="K551" i="2" s="1"/>
  <c r="F551" i="2"/>
  <c r="G551" i="2" s="1"/>
  <c r="H551" i="2" s="1"/>
  <c r="C551" i="5" s="1"/>
  <c r="D551" i="2"/>
  <c r="E551" i="2" s="1"/>
  <c r="B551" i="5" s="1"/>
  <c r="B551" i="2"/>
  <c r="C551" i="2" s="1"/>
  <c r="A551" i="5" s="1"/>
  <c r="O550" i="2"/>
  <c r="L550" i="2"/>
  <c r="M550" i="2" s="1"/>
  <c r="N550" i="2" s="1"/>
  <c r="I550" i="2"/>
  <c r="J550" i="2" s="1"/>
  <c r="K550" i="2" s="1"/>
  <c r="Y550" i="2" s="1"/>
  <c r="F550" i="2"/>
  <c r="G550" i="2" s="1"/>
  <c r="H550" i="2" s="1"/>
  <c r="C550" i="5" s="1"/>
  <c r="D550" i="2"/>
  <c r="E550" i="2" s="1"/>
  <c r="B550" i="5" s="1"/>
  <c r="B550" i="2"/>
  <c r="C550" i="2" s="1"/>
  <c r="A550" i="5" s="1"/>
  <c r="O549" i="2"/>
  <c r="L549" i="2"/>
  <c r="M549" i="2" s="1"/>
  <c r="N549" i="2" s="1"/>
  <c r="I549" i="2"/>
  <c r="J549" i="2" s="1"/>
  <c r="K549" i="2" s="1"/>
  <c r="F549" i="2"/>
  <c r="G549" i="2" s="1"/>
  <c r="H549" i="2" s="1"/>
  <c r="C549" i="5" s="1"/>
  <c r="D549" i="2"/>
  <c r="E549" i="2" s="1"/>
  <c r="B549" i="5" s="1"/>
  <c r="B549" i="2"/>
  <c r="C549" i="2" s="1"/>
  <c r="A549" i="5" s="1"/>
  <c r="O548" i="2"/>
  <c r="L548" i="2"/>
  <c r="M548" i="2" s="1"/>
  <c r="N548" i="2" s="1"/>
  <c r="I548" i="2"/>
  <c r="J548" i="2" s="1"/>
  <c r="K548" i="2" s="1"/>
  <c r="Y548" i="2" s="1"/>
  <c r="F548" i="2"/>
  <c r="G548" i="2" s="1"/>
  <c r="H548" i="2" s="1"/>
  <c r="C548" i="5" s="1"/>
  <c r="D548" i="2"/>
  <c r="E548" i="2" s="1"/>
  <c r="B548" i="5" s="1"/>
  <c r="B548" i="2"/>
  <c r="C548" i="2" s="1"/>
  <c r="A548" i="5" s="1"/>
  <c r="O547" i="2"/>
  <c r="L547" i="2"/>
  <c r="M547" i="2" s="1"/>
  <c r="N547" i="2" s="1"/>
  <c r="I547" i="2"/>
  <c r="J547" i="2" s="1"/>
  <c r="K547" i="2" s="1"/>
  <c r="F547" i="2"/>
  <c r="G547" i="2" s="1"/>
  <c r="H547" i="2" s="1"/>
  <c r="C547" i="5" s="1"/>
  <c r="D547" i="2"/>
  <c r="E547" i="2" s="1"/>
  <c r="B547" i="5" s="1"/>
  <c r="B547" i="2"/>
  <c r="C547" i="2" s="1"/>
  <c r="A547" i="5" s="1"/>
  <c r="O546" i="2"/>
  <c r="L546" i="2"/>
  <c r="M546" i="2" s="1"/>
  <c r="N546" i="2" s="1"/>
  <c r="I546" i="2"/>
  <c r="J546" i="2" s="1"/>
  <c r="K546" i="2" s="1"/>
  <c r="F546" i="2"/>
  <c r="G546" i="2" s="1"/>
  <c r="H546" i="2" s="1"/>
  <c r="C546" i="5" s="1"/>
  <c r="D546" i="2"/>
  <c r="E546" i="2" s="1"/>
  <c r="B546" i="5" s="1"/>
  <c r="B546" i="2"/>
  <c r="C546" i="2" s="1"/>
  <c r="A546" i="5" s="1"/>
  <c r="O545" i="2"/>
  <c r="L545" i="2"/>
  <c r="M545" i="2" s="1"/>
  <c r="N545" i="2" s="1"/>
  <c r="I545" i="2"/>
  <c r="J545" i="2" s="1"/>
  <c r="K545" i="2" s="1"/>
  <c r="F545" i="2"/>
  <c r="G545" i="2" s="1"/>
  <c r="H545" i="2" s="1"/>
  <c r="C545" i="5" s="1"/>
  <c r="D545" i="2"/>
  <c r="E545" i="2" s="1"/>
  <c r="B545" i="5" s="1"/>
  <c r="B545" i="2"/>
  <c r="C545" i="2" s="1"/>
  <c r="A545" i="5" s="1"/>
  <c r="O544" i="2"/>
  <c r="L544" i="2"/>
  <c r="M544" i="2" s="1"/>
  <c r="N544" i="2" s="1"/>
  <c r="I544" i="2"/>
  <c r="J544" i="2" s="1"/>
  <c r="K544" i="2" s="1"/>
  <c r="Y544" i="2" s="1"/>
  <c r="F544" i="2"/>
  <c r="G544" i="2" s="1"/>
  <c r="H544" i="2" s="1"/>
  <c r="C544" i="5" s="1"/>
  <c r="D544" i="2"/>
  <c r="E544" i="2" s="1"/>
  <c r="B544" i="5" s="1"/>
  <c r="B544" i="2"/>
  <c r="C544" i="2" s="1"/>
  <c r="A544" i="5" s="1"/>
  <c r="O543" i="2"/>
  <c r="L543" i="2"/>
  <c r="M543" i="2" s="1"/>
  <c r="N543" i="2" s="1"/>
  <c r="I543" i="2"/>
  <c r="J543" i="2" s="1"/>
  <c r="K543" i="2" s="1"/>
  <c r="F543" i="2"/>
  <c r="G543" i="2" s="1"/>
  <c r="H543" i="2" s="1"/>
  <c r="C543" i="5" s="1"/>
  <c r="D543" i="2"/>
  <c r="E543" i="2" s="1"/>
  <c r="B543" i="5" s="1"/>
  <c r="B543" i="2"/>
  <c r="C543" i="2" s="1"/>
  <c r="A543" i="5" s="1"/>
  <c r="O542" i="2"/>
  <c r="L542" i="2"/>
  <c r="M542" i="2" s="1"/>
  <c r="N542" i="2" s="1"/>
  <c r="I542" i="2"/>
  <c r="J542" i="2" s="1"/>
  <c r="K542" i="2" s="1"/>
  <c r="Y542" i="2" s="1"/>
  <c r="F542" i="2"/>
  <c r="G542" i="2" s="1"/>
  <c r="H542" i="2" s="1"/>
  <c r="C542" i="5" s="1"/>
  <c r="D542" i="2"/>
  <c r="E542" i="2" s="1"/>
  <c r="B542" i="5" s="1"/>
  <c r="B542" i="2"/>
  <c r="C542" i="2" s="1"/>
  <c r="A542" i="5" s="1"/>
  <c r="O541" i="2"/>
  <c r="L541" i="2"/>
  <c r="M541" i="2" s="1"/>
  <c r="N541" i="2" s="1"/>
  <c r="I541" i="2"/>
  <c r="J541" i="2" s="1"/>
  <c r="K541" i="2" s="1"/>
  <c r="F541" i="2"/>
  <c r="G541" i="2" s="1"/>
  <c r="H541" i="2" s="1"/>
  <c r="C541" i="5" s="1"/>
  <c r="D541" i="2"/>
  <c r="E541" i="2" s="1"/>
  <c r="B541" i="5" s="1"/>
  <c r="B541" i="2"/>
  <c r="C541" i="2" s="1"/>
  <c r="A541" i="5" s="1"/>
  <c r="O540" i="2"/>
  <c r="L540" i="2"/>
  <c r="M540" i="2" s="1"/>
  <c r="N540" i="2" s="1"/>
  <c r="I540" i="2"/>
  <c r="J540" i="2" s="1"/>
  <c r="K540" i="2" s="1"/>
  <c r="Y540" i="2" s="1"/>
  <c r="F540" i="2"/>
  <c r="G540" i="2" s="1"/>
  <c r="H540" i="2" s="1"/>
  <c r="C540" i="5" s="1"/>
  <c r="D540" i="2"/>
  <c r="E540" i="2" s="1"/>
  <c r="B540" i="5" s="1"/>
  <c r="B540" i="2"/>
  <c r="C540" i="2" s="1"/>
  <c r="A540" i="5" s="1"/>
  <c r="O539" i="2"/>
  <c r="L539" i="2"/>
  <c r="M539" i="2" s="1"/>
  <c r="N539" i="2" s="1"/>
  <c r="I539" i="2"/>
  <c r="J539" i="2" s="1"/>
  <c r="K539" i="2" s="1"/>
  <c r="F539" i="2"/>
  <c r="G539" i="2" s="1"/>
  <c r="H539" i="2" s="1"/>
  <c r="C539" i="5" s="1"/>
  <c r="D539" i="2"/>
  <c r="E539" i="2" s="1"/>
  <c r="B539" i="5" s="1"/>
  <c r="B539" i="2"/>
  <c r="C539" i="2" s="1"/>
  <c r="A539" i="5" s="1"/>
  <c r="O538" i="2"/>
  <c r="L538" i="2"/>
  <c r="M538" i="2" s="1"/>
  <c r="N538" i="2" s="1"/>
  <c r="I538" i="2"/>
  <c r="J538" i="2" s="1"/>
  <c r="K538" i="2" s="1"/>
  <c r="F538" i="2"/>
  <c r="G538" i="2" s="1"/>
  <c r="H538" i="2" s="1"/>
  <c r="C538" i="5" s="1"/>
  <c r="D538" i="2"/>
  <c r="E538" i="2" s="1"/>
  <c r="B538" i="5" s="1"/>
  <c r="B538" i="2"/>
  <c r="C538" i="2" s="1"/>
  <c r="A538" i="5" s="1"/>
  <c r="O537" i="2"/>
  <c r="L537" i="2"/>
  <c r="M537" i="2" s="1"/>
  <c r="N537" i="2" s="1"/>
  <c r="I537" i="2"/>
  <c r="J537" i="2" s="1"/>
  <c r="K537" i="2" s="1"/>
  <c r="F537" i="2"/>
  <c r="G537" i="2" s="1"/>
  <c r="H537" i="2" s="1"/>
  <c r="C537" i="5" s="1"/>
  <c r="D537" i="2"/>
  <c r="E537" i="2" s="1"/>
  <c r="B537" i="5" s="1"/>
  <c r="B537" i="2"/>
  <c r="C537" i="2" s="1"/>
  <c r="A537" i="5" s="1"/>
  <c r="O536" i="2"/>
  <c r="L536" i="2"/>
  <c r="M536" i="2" s="1"/>
  <c r="N536" i="2" s="1"/>
  <c r="I536" i="2"/>
  <c r="J536" i="2" s="1"/>
  <c r="K536" i="2" s="1"/>
  <c r="Y536" i="2" s="1"/>
  <c r="F536" i="2"/>
  <c r="G536" i="2" s="1"/>
  <c r="H536" i="2" s="1"/>
  <c r="C536" i="5" s="1"/>
  <c r="D536" i="2"/>
  <c r="E536" i="2" s="1"/>
  <c r="B536" i="5" s="1"/>
  <c r="B536" i="2"/>
  <c r="C536" i="2" s="1"/>
  <c r="A536" i="5" s="1"/>
  <c r="O535" i="2"/>
  <c r="L535" i="2"/>
  <c r="M535" i="2" s="1"/>
  <c r="N535" i="2" s="1"/>
  <c r="I535" i="2"/>
  <c r="J535" i="2" s="1"/>
  <c r="K535" i="2" s="1"/>
  <c r="F535" i="2"/>
  <c r="G535" i="2" s="1"/>
  <c r="H535" i="2" s="1"/>
  <c r="C535" i="5" s="1"/>
  <c r="D535" i="2"/>
  <c r="E535" i="2" s="1"/>
  <c r="B535" i="5" s="1"/>
  <c r="B535" i="2"/>
  <c r="C535" i="2" s="1"/>
  <c r="A535" i="5" s="1"/>
  <c r="O534" i="2"/>
  <c r="L534" i="2"/>
  <c r="M534" i="2" s="1"/>
  <c r="N534" i="2" s="1"/>
  <c r="I534" i="2"/>
  <c r="J534" i="2" s="1"/>
  <c r="K534" i="2" s="1"/>
  <c r="Y534" i="2" s="1"/>
  <c r="F534" i="2"/>
  <c r="G534" i="2" s="1"/>
  <c r="H534" i="2" s="1"/>
  <c r="C534" i="5" s="1"/>
  <c r="D534" i="2"/>
  <c r="E534" i="2" s="1"/>
  <c r="B534" i="5" s="1"/>
  <c r="B534" i="2"/>
  <c r="C534" i="2" s="1"/>
  <c r="A534" i="5" s="1"/>
  <c r="O533" i="2"/>
  <c r="L533" i="2"/>
  <c r="M533" i="2" s="1"/>
  <c r="N533" i="2" s="1"/>
  <c r="I533" i="2"/>
  <c r="J533" i="2" s="1"/>
  <c r="K533" i="2" s="1"/>
  <c r="F533" i="2"/>
  <c r="G533" i="2" s="1"/>
  <c r="H533" i="2" s="1"/>
  <c r="C533" i="5" s="1"/>
  <c r="D533" i="2"/>
  <c r="E533" i="2" s="1"/>
  <c r="B533" i="5" s="1"/>
  <c r="B533" i="2"/>
  <c r="C533" i="2" s="1"/>
  <c r="A533" i="5" s="1"/>
  <c r="O532" i="2"/>
  <c r="L532" i="2"/>
  <c r="M532" i="2" s="1"/>
  <c r="N532" i="2" s="1"/>
  <c r="I532" i="2"/>
  <c r="J532" i="2" s="1"/>
  <c r="K532" i="2" s="1"/>
  <c r="Y532" i="2" s="1"/>
  <c r="F532" i="2"/>
  <c r="G532" i="2" s="1"/>
  <c r="H532" i="2" s="1"/>
  <c r="C532" i="5" s="1"/>
  <c r="D532" i="2"/>
  <c r="E532" i="2" s="1"/>
  <c r="B532" i="5" s="1"/>
  <c r="B532" i="2"/>
  <c r="C532" i="2" s="1"/>
  <c r="A532" i="5" s="1"/>
  <c r="O531" i="2"/>
  <c r="L531" i="2"/>
  <c r="M531" i="2" s="1"/>
  <c r="N531" i="2" s="1"/>
  <c r="I531" i="2"/>
  <c r="J531" i="2" s="1"/>
  <c r="K531" i="2" s="1"/>
  <c r="F531" i="2"/>
  <c r="G531" i="2" s="1"/>
  <c r="H531" i="2" s="1"/>
  <c r="C531" i="5" s="1"/>
  <c r="D531" i="2"/>
  <c r="E531" i="2" s="1"/>
  <c r="B531" i="5" s="1"/>
  <c r="B531" i="2"/>
  <c r="C531" i="2" s="1"/>
  <c r="A531" i="5" s="1"/>
  <c r="O530" i="2"/>
  <c r="L530" i="2"/>
  <c r="M530" i="2" s="1"/>
  <c r="N530" i="2" s="1"/>
  <c r="I530" i="2"/>
  <c r="J530" i="2" s="1"/>
  <c r="K530" i="2" s="1"/>
  <c r="F530" i="2"/>
  <c r="G530" i="2" s="1"/>
  <c r="H530" i="2" s="1"/>
  <c r="C530" i="5" s="1"/>
  <c r="D530" i="2"/>
  <c r="E530" i="2" s="1"/>
  <c r="B530" i="5" s="1"/>
  <c r="B530" i="2"/>
  <c r="C530" i="2" s="1"/>
  <c r="A530" i="5" s="1"/>
  <c r="O529" i="2"/>
  <c r="L529" i="2"/>
  <c r="M529" i="2" s="1"/>
  <c r="N529" i="2" s="1"/>
  <c r="I529" i="2"/>
  <c r="J529" i="2" s="1"/>
  <c r="K529" i="2" s="1"/>
  <c r="F529" i="2"/>
  <c r="G529" i="2" s="1"/>
  <c r="H529" i="2" s="1"/>
  <c r="C529" i="5" s="1"/>
  <c r="D529" i="2"/>
  <c r="E529" i="2" s="1"/>
  <c r="B529" i="5" s="1"/>
  <c r="B529" i="2"/>
  <c r="C529" i="2" s="1"/>
  <c r="A529" i="5" s="1"/>
  <c r="O528" i="2"/>
  <c r="L528" i="2"/>
  <c r="M528" i="2" s="1"/>
  <c r="N528" i="2" s="1"/>
  <c r="I528" i="2"/>
  <c r="J528" i="2" s="1"/>
  <c r="K528" i="2" s="1"/>
  <c r="Y528" i="2" s="1"/>
  <c r="F528" i="2"/>
  <c r="G528" i="2" s="1"/>
  <c r="H528" i="2" s="1"/>
  <c r="C528" i="5" s="1"/>
  <c r="D528" i="2"/>
  <c r="E528" i="2" s="1"/>
  <c r="B528" i="5" s="1"/>
  <c r="B528" i="2"/>
  <c r="C528" i="2" s="1"/>
  <c r="A528" i="5" s="1"/>
  <c r="O527" i="2"/>
  <c r="L527" i="2"/>
  <c r="M527" i="2" s="1"/>
  <c r="N527" i="2" s="1"/>
  <c r="I527" i="2"/>
  <c r="J527" i="2" s="1"/>
  <c r="K527" i="2" s="1"/>
  <c r="F527" i="2"/>
  <c r="G527" i="2" s="1"/>
  <c r="H527" i="2" s="1"/>
  <c r="C527" i="5" s="1"/>
  <c r="D527" i="2"/>
  <c r="E527" i="2" s="1"/>
  <c r="B527" i="5" s="1"/>
  <c r="B527" i="2"/>
  <c r="C527" i="2" s="1"/>
  <c r="A527" i="5" s="1"/>
  <c r="O526" i="2"/>
  <c r="L526" i="2"/>
  <c r="M526" i="2" s="1"/>
  <c r="N526" i="2" s="1"/>
  <c r="I526" i="2"/>
  <c r="J526" i="2" s="1"/>
  <c r="K526" i="2" s="1"/>
  <c r="Y526" i="2" s="1"/>
  <c r="F526" i="2"/>
  <c r="G526" i="2" s="1"/>
  <c r="H526" i="2" s="1"/>
  <c r="C526" i="5" s="1"/>
  <c r="D526" i="2"/>
  <c r="E526" i="2" s="1"/>
  <c r="B526" i="5" s="1"/>
  <c r="B526" i="2"/>
  <c r="C526" i="2" s="1"/>
  <c r="A526" i="5" s="1"/>
  <c r="O525" i="2"/>
  <c r="L525" i="2"/>
  <c r="M525" i="2" s="1"/>
  <c r="N525" i="2" s="1"/>
  <c r="I525" i="2"/>
  <c r="J525" i="2" s="1"/>
  <c r="K525" i="2" s="1"/>
  <c r="F525" i="2"/>
  <c r="G525" i="2" s="1"/>
  <c r="H525" i="2" s="1"/>
  <c r="C525" i="5" s="1"/>
  <c r="D525" i="2"/>
  <c r="E525" i="2" s="1"/>
  <c r="B525" i="5" s="1"/>
  <c r="B525" i="2"/>
  <c r="C525" i="2" s="1"/>
  <c r="A525" i="5" s="1"/>
  <c r="O524" i="2"/>
  <c r="L524" i="2"/>
  <c r="M524" i="2" s="1"/>
  <c r="N524" i="2" s="1"/>
  <c r="I524" i="2"/>
  <c r="J524" i="2" s="1"/>
  <c r="K524" i="2" s="1"/>
  <c r="Y524" i="2" s="1"/>
  <c r="F524" i="2"/>
  <c r="G524" i="2" s="1"/>
  <c r="H524" i="2" s="1"/>
  <c r="C524" i="5" s="1"/>
  <c r="D524" i="2"/>
  <c r="E524" i="2" s="1"/>
  <c r="B524" i="5" s="1"/>
  <c r="B524" i="2"/>
  <c r="C524" i="2" s="1"/>
  <c r="A524" i="5" s="1"/>
  <c r="O523" i="2"/>
  <c r="L523" i="2"/>
  <c r="M523" i="2" s="1"/>
  <c r="N523" i="2" s="1"/>
  <c r="I523" i="2"/>
  <c r="J523" i="2" s="1"/>
  <c r="K523" i="2" s="1"/>
  <c r="F523" i="2"/>
  <c r="G523" i="2" s="1"/>
  <c r="H523" i="2" s="1"/>
  <c r="C523" i="5" s="1"/>
  <c r="D523" i="2"/>
  <c r="E523" i="2" s="1"/>
  <c r="B523" i="5" s="1"/>
  <c r="B523" i="2"/>
  <c r="C523" i="2" s="1"/>
  <c r="A523" i="5" s="1"/>
  <c r="O522" i="2"/>
  <c r="L522" i="2"/>
  <c r="M522" i="2" s="1"/>
  <c r="N522" i="2" s="1"/>
  <c r="I522" i="2"/>
  <c r="J522" i="2" s="1"/>
  <c r="K522" i="2" s="1"/>
  <c r="F522" i="2"/>
  <c r="G522" i="2" s="1"/>
  <c r="H522" i="2" s="1"/>
  <c r="C522" i="5" s="1"/>
  <c r="D522" i="2"/>
  <c r="E522" i="2" s="1"/>
  <c r="B522" i="5" s="1"/>
  <c r="B522" i="2"/>
  <c r="C522" i="2" s="1"/>
  <c r="A522" i="5" s="1"/>
  <c r="O521" i="2"/>
  <c r="L521" i="2"/>
  <c r="M521" i="2" s="1"/>
  <c r="N521" i="2" s="1"/>
  <c r="I521" i="2"/>
  <c r="J521" i="2" s="1"/>
  <c r="K521" i="2" s="1"/>
  <c r="F521" i="2"/>
  <c r="G521" i="2" s="1"/>
  <c r="H521" i="2" s="1"/>
  <c r="C521" i="5" s="1"/>
  <c r="D521" i="2"/>
  <c r="E521" i="2" s="1"/>
  <c r="B521" i="5" s="1"/>
  <c r="B521" i="2"/>
  <c r="C521" i="2" s="1"/>
  <c r="A521" i="5" s="1"/>
  <c r="O520" i="2"/>
  <c r="L520" i="2"/>
  <c r="M520" i="2" s="1"/>
  <c r="N520" i="2" s="1"/>
  <c r="I520" i="2"/>
  <c r="J520" i="2" s="1"/>
  <c r="K520" i="2" s="1"/>
  <c r="Y520" i="2" s="1"/>
  <c r="F520" i="2"/>
  <c r="G520" i="2" s="1"/>
  <c r="H520" i="2" s="1"/>
  <c r="C520" i="5" s="1"/>
  <c r="D520" i="2"/>
  <c r="E520" i="2" s="1"/>
  <c r="B520" i="5" s="1"/>
  <c r="B520" i="2"/>
  <c r="C520" i="2" s="1"/>
  <c r="A520" i="5" s="1"/>
  <c r="O519" i="2"/>
  <c r="L519" i="2"/>
  <c r="M519" i="2" s="1"/>
  <c r="N519" i="2" s="1"/>
  <c r="I519" i="2"/>
  <c r="J519" i="2" s="1"/>
  <c r="K519" i="2" s="1"/>
  <c r="F519" i="2"/>
  <c r="G519" i="2" s="1"/>
  <c r="H519" i="2" s="1"/>
  <c r="C519" i="5" s="1"/>
  <c r="D519" i="2"/>
  <c r="E519" i="2" s="1"/>
  <c r="B519" i="5" s="1"/>
  <c r="B519" i="2"/>
  <c r="C519" i="2" s="1"/>
  <c r="A519" i="5" s="1"/>
  <c r="O518" i="2"/>
  <c r="L518" i="2"/>
  <c r="M518" i="2" s="1"/>
  <c r="N518" i="2" s="1"/>
  <c r="I518" i="2"/>
  <c r="J518" i="2" s="1"/>
  <c r="K518" i="2" s="1"/>
  <c r="Y518" i="2" s="1"/>
  <c r="F518" i="2"/>
  <c r="G518" i="2" s="1"/>
  <c r="H518" i="2" s="1"/>
  <c r="C518" i="5" s="1"/>
  <c r="D518" i="2"/>
  <c r="E518" i="2" s="1"/>
  <c r="B518" i="5" s="1"/>
  <c r="B518" i="2"/>
  <c r="C518" i="2" s="1"/>
  <c r="A518" i="5" s="1"/>
  <c r="O517" i="2"/>
  <c r="L517" i="2"/>
  <c r="M517" i="2" s="1"/>
  <c r="N517" i="2" s="1"/>
  <c r="I517" i="2"/>
  <c r="J517" i="2" s="1"/>
  <c r="K517" i="2" s="1"/>
  <c r="F517" i="2"/>
  <c r="G517" i="2" s="1"/>
  <c r="H517" i="2" s="1"/>
  <c r="C517" i="5" s="1"/>
  <c r="D517" i="2"/>
  <c r="E517" i="2" s="1"/>
  <c r="B517" i="5" s="1"/>
  <c r="B517" i="2"/>
  <c r="C517" i="2" s="1"/>
  <c r="A517" i="5" s="1"/>
  <c r="O516" i="2"/>
  <c r="L516" i="2"/>
  <c r="M516" i="2" s="1"/>
  <c r="N516" i="2" s="1"/>
  <c r="I516" i="2"/>
  <c r="J516" i="2" s="1"/>
  <c r="K516" i="2" s="1"/>
  <c r="Y516" i="2" s="1"/>
  <c r="F516" i="2"/>
  <c r="G516" i="2" s="1"/>
  <c r="H516" i="2" s="1"/>
  <c r="C516" i="5" s="1"/>
  <c r="D516" i="2"/>
  <c r="E516" i="2" s="1"/>
  <c r="B516" i="5" s="1"/>
  <c r="B516" i="2"/>
  <c r="C516" i="2" s="1"/>
  <c r="A516" i="5" s="1"/>
  <c r="O515" i="2"/>
  <c r="L515" i="2"/>
  <c r="M515" i="2" s="1"/>
  <c r="N515" i="2" s="1"/>
  <c r="I515" i="2"/>
  <c r="J515" i="2" s="1"/>
  <c r="K515" i="2" s="1"/>
  <c r="F515" i="2"/>
  <c r="G515" i="2" s="1"/>
  <c r="H515" i="2" s="1"/>
  <c r="C515" i="5" s="1"/>
  <c r="D515" i="2"/>
  <c r="E515" i="2" s="1"/>
  <c r="B515" i="5" s="1"/>
  <c r="B515" i="2"/>
  <c r="C515" i="2" s="1"/>
  <c r="A515" i="5" s="1"/>
  <c r="O514" i="2"/>
  <c r="L514" i="2"/>
  <c r="M514" i="2" s="1"/>
  <c r="N514" i="2" s="1"/>
  <c r="I514" i="2"/>
  <c r="J514" i="2" s="1"/>
  <c r="K514" i="2" s="1"/>
  <c r="F514" i="2"/>
  <c r="G514" i="2" s="1"/>
  <c r="H514" i="2" s="1"/>
  <c r="C514" i="5" s="1"/>
  <c r="D514" i="2"/>
  <c r="E514" i="2" s="1"/>
  <c r="B514" i="5" s="1"/>
  <c r="B514" i="2"/>
  <c r="C514" i="2" s="1"/>
  <c r="A514" i="5" s="1"/>
  <c r="O513" i="2"/>
  <c r="L513" i="2"/>
  <c r="M513" i="2" s="1"/>
  <c r="N513" i="2" s="1"/>
  <c r="I513" i="2"/>
  <c r="J513" i="2" s="1"/>
  <c r="K513" i="2" s="1"/>
  <c r="F513" i="2"/>
  <c r="G513" i="2" s="1"/>
  <c r="H513" i="2" s="1"/>
  <c r="C513" i="5" s="1"/>
  <c r="D513" i="2"/>
  <c r="E513" i="2" s="1"/>
  <c r="B513" i="5" s="1"/>
  <c r="B513" i="2"/>
  <c r="C513" i="2" s="1"/>
  <c r="A513" i="5" s="1"/>
  <c r="O512" i="2"/>
  <c r="L512" i="2"/>
  <c r="M512" i="2" s="1"/>
  <c r="N512" i="2" s="1"/>
  <c r="I512" i="2"/>
  <c r="J512" i="2" s="1"/>
  <c r="K512" i="2" s="1"/>
  <c r="Y512" i="2" s="1"/>
  <c r="F512" i="2"/>
  <c r="G512" i="2" s="1"/>
  <c r="H512" i="2" s="1"/>
  <c r="C512" i="5" s="1"/>
  <c r="D512" i="2"/>
  <c r="E512" i="2" s="1"/>
  <c r="B512" i="5" s="1"/>
  <c r="B512" i="2"/>
  <c r="C512" i="2" s="1"/>
  <c r="A512" i="5" s="1"/>
  <c r="O511" i="2"/>
  <c r="L511" i="2"/>
  <c r="M511" i="2" s="1"/>
  <c r="N511" i="2" s="1"/>
  <c r="I511" i="2"/>
  <c r="J511" i="2" s="1"/>
  <c r="K511" i="2" s="1"/>
  <c r="F511" i="2"/>
  <c r="G511" i="2" s="1"/>
  <c r="H511" i="2" s="1"/>
  <c r="C511" i="5" s="1"/>
  <c r="D511" i="2"/>
  <c r="E511" i="2" s="1"/>
  <c r="B511" i="5" s="1"/>
  <c r="B511" i="2"/>
  <c r="C511" i="2" s="1"/>
  <c r="A511" i="5" s="1"/>
  <c r="O510" i="2"/>
  <c r="L510" i="2"/>
  <c r="M510" i="2" s="1"/>
  <c r="N510" i="2" s="1"/>
  <c r="I510" i="2"/>
  <c r="J510" i="2" s="1"/>
  <c r="K510" i="2" s="1"/>
  <c r="Y510" i="2" s="1"/>
  <c r="F510" i="2"/>
  <c r="G510" i="2" s="1"/>
  <c r="H510" i="2" s="1"/>
  <c r="C510" i="5" s="1"/>
  <c r="D510" i="2"/>
  <c r="E510" i="2" s="1"/>
  <c r="B510" i="5" s="1"/>
  <c r="B510" i="2"/>
  <c r="C510" i="2" s="1"/>
  <c r="A510" i="5" s="1"/>
  <c r="O509" i="2"/>
  <c r="L509" i="2"/>
  <c r="M509" i="2" s="1"/>
  <c r="N509" i="2" s="1"/>
  <c r="I509" i="2"/>
  <c r="J509" i="2" s="1"/>
  <c r="K509" i="2" s="1"/>
  <c r="F509" i="2"/>
  <c r="G509" i="2" s="1"/>
  <c r="H509" i="2" s="1"/>
  <c r="C509" i="5" s="1"/>
  <c r="D509" i="2"/>
  <c r="E509" i="2" s="1"/>
  <c r="B509" i="5" s="1"/>
  <c r="B509" i="2"/>
  <c r="C509" i="2" s="1"/>
  <c r="A509" i="5" s="1"/>
  <c r="O508" i="2"/>
  <c r="L508" i="2"/>
  <c r="M508" i="2" s="1"/>
  <c r="N508" i="2" s="1"/>
  <c r="I508" i="2"/>
  <c r="J508" i="2" s="1"/>
  <c r="K508" i="2" s="1"/>
  <c r="Y508" i="2" s="1"/>
  <c r="F508" i="2"/>
  <c r="G508" i="2" s="1"/>
  <c r="H508" i="2" s="1"/>
  <c r="C508" i="5" s="1"/>
  <c r="D508" i="2"/>
  <c r="E508" i="2" s="1"/>
  <c r="B508" i="5" s="1"/>
  <c r="B508" i="2"/>
  <c r="C508" i="2" s="1"/>
  <c r="A508" i="5" s="1"/>
  <c r="O507" i="2"/>
  <c r="L507" i="2"/>
  <c r="M507" i="2" s="1"/>
  <c r="N507" i="2" s="1"/>
  <c r="I507" i="2"/>
  <c r="J507" i="2" s="1"/>
  <c r="K507" i="2" s="1"/>
  <c r="F507" i="2"/>
  <c r="G507" i="2" s="1"/>
  <c r="H507" i="2" s="1"/>
  <c r="C507" i="5" s="1"/>
  <c r="D507" i="2"/>
  <c r="E507" i="2" s="1"/>
  <c r="B507" i="5" s="1"/>
  <c r="B507" i="2"/>
  <c r="C507" i="2" s="1"/>
  <c r="A507" i="5" s="1"/>
  <c r="O506" i="2"/>
  <c r="L506" i="2"/>
  <c r="M506" i="2" s="1"/>
  <c r="N506" i="2" s="1"/>
  <c r="I506" i="2"/>
  <c r="J506" i="2" s="1"/>
  <c r="K506" i="2" s="1"/>
  <c r="Y506" i="2" s="1"/>
  <c r="F506" i="2"/>
  <c r="G506" i="2" s="1"/>
  <c r="H506" i="2" s="1"/>
  <c r="C506" i="5" s="1"/>
  <c r="D506" i="2"/>
  <c r="E506" i="2" s="1"/>
  <c r="B506" i="5" s="1"/>
  <c r="B506" i="2"/>
  <c r="C506" i="2" s="1"/>
  <c r="A506" i="5" s="1"/>
  <c r="O505" i="2"/>
  <c r="L505" i="2"/>
  <c r="M505" i="2" s="1"/>
  <c r="N505" i="2" s="1"/>
  <c r="I505" i="2"/>
  <c r="J505" i="2" s="1"/>
  <c r="K505" i="2" s="1"/>
  <c r="F505" i="2"/>
  <c r="G505" i="2" s="1"/>
  <c r="H505" i="2" s="1"/>
  <c r="C505" i="5" s="1"/>
  <c r="D505" i="2"/>
  <c r="E505" i="2" s="1"/>
  <c r="B505" i="5" s="1"/>
  <c r="B505" i="2"/>
  <c r="C505" i="2" s="1"/>
  <c r="A505" i="5" s="1"/>
  <c r="O504" i="2"/>
  <c r="L504" i="2"/>
  <c r="M504" i="2" s="1"/>
  <c r="N504" i="2" s="1"/>
  <c r="I504" i="2"/>
  <c r="J504" i="2" s="1"/>
  <c r="K504" i="2" s="1"/>
  <c r="Y504" i="2" s="1"/>
  <c r="F504" i="2"/>
  <c r="G504" i="2" s="1"/>
  <c r="H504" i="2" s="1"/>
  <c r="C504" i="5" s="1"/>
  <c r="D504" i="2"/>
  <c r="E504" i="2" s="1"/>
  <c r="B504" i="5" s="1"/>
  <c r="B504" i="2"/>
  <c r="C504" i="2" s="1"/>
  <c r="O503" i="2"/>
  <c r="L503" i="2"/>
  <c r="M503" i="2" s="1"/>
  <c r="N503" i="2" s="1"/>
  <c r="I503" i="2"/>
  <c r="J503" i="2" s="1"/>
  <c r="K503" i="2" s="1"/>
  <c r="F503" i="2"/>
  <c r="G503" i="2" s="1"/>
  <c r="H503" i="2" s="1"/>
  <c r="C503" i="5" s="1"/>
  <c r="D503" i="2"/>
  <c r="E503" i="2" s="1"/>
  <c r="B503" i="5" s="1"/>
  <c r="B503" i="2"/>
  <c r="C503" i="2" s="1"/>
  <c r="A503" i="5" s="1"/>
  <c r="O502" i="2"/>
  <c r="L502" i="2"/>
  <c r="M502" i="2" s="1"/>
  <c r="N502" i="2" s="1"/>
  <c r="I502" i="2"/>
  <c r="J502" i="2" s="1"/>
  <c r="K502" i="2" s="1"/>
  <c r="Y502" i="2" s="1"/>
  <c r="F502" i="2"/>
  <c r="G502" i="2" s="1"/>
  <c r="H502" i="2" s="1"/>
  <c r="C502" i="5" s="1"/>
  <c r="D502" i="2"/>
  <c r="E502" i="2" s="1"/>
  <c r="B502" i="5" s="1"/>
  <c r="B502" i="2"/>
  <c r="C502" i="2" s="1"/>
  <c r="A502" i="5" s="1"/>
  <c r="O501" i="2"/>
  <c r="L501" i="2"/>
  <c r="M501" i="2" s="1"/>
  <c r="N501" i="2" s="1"/>
  <c r="I501" i="2"/>
  <c r="J501" i="2" s="1"/>
  <c r="K501" i="2" s="1"/>
  <c r="F501" i="2"/>
  <c r="G501" i="2" s="1"/>
  <c r="H501" i="2" s="1"/>
  <c r="C501" i="5" s="1"/>
  <c r="D501" i="2"/>
  <c r="E501" i="2" s="1"/>
  <c r="B501" i="5" s="1"/>
  <c r="B501" i="2"/>
  <c r="C501" i="2" s="1"/>
  <c r="A501" i="5" s="1"/>
  <c r="O500" i="2"/>
  <c r="L500" i="2"/>
  <c r="M500" i="2" s="1"/>
  <c r="N500" i="2" s="1"/>
  <c r="I500" i="2"/>
  <c r="J500" i="2" s="1"/>
  <c r="K500" i="2" s="1"/>
  <c r="Y500" i="2" s="1"/>
  <c r="F500" i="2"/>
  <c r="G500" i="2" s="1"/>
  <c r="H500" i="2" s="1"/>
  <c r="C500" i="5" s="1"/>
  <c r="D500" i="2"/>
  <c r="E500" i="2" s="1"/>
  <c r="B500" i="5" s="1"/>
  <c r="B500" i="2"/>
  <c r="C500" i="2" s="1"/>
  <c r="A500" i="5" s="1"/>
  <c r="O499" i="2"/>
  <c r="L499" i="2"/>
  <c r="M499" i="2" s="1"/>
  <c r="N499" i="2" s="1"/>
  <c r="I499" i="2"/>
  <c r="J499" i="2" s="1"/>
  <c r="K499" i="2" s="1"/>
  <c r="F499" i="2"/>
  <c r="G499" i="2" s="1"/>
  <c r="H499" i="2" s="1"/>
  <c r="C499" i="5" s="1"/>
  <c r="D499" i="2"/>
  <c r="E499" i="2" s="1"/>
  <c r="B499" i="5" s="1"/>
  <c r="B499" i="2"/>
  <c r="C499" i="2" s="1"/>
  <c r="A499" i="5" s="1"/>
  <c r="O498" i="2"/>
  <c r="L498" i="2"/>
  <c r="M498" i="2" s="1"/>
  <c r="N498" i="2" s="1"/>
  <c r="I498" i="2"/>
  <c r="J498" i="2" s="1"/>
  <c r="K498" i="2" s="1"/>
  <c r="Y498" i="2" s="1"/>
  <c r="F498" i="2"/>
  <c r="G498" i="2" s="1"/>
  <c r="H498" i="2" s="1"/>
  <c r="C498" i="5" s="1"/>
  <c r="D498" i="2"/>
  <c r="E498" i="2" s="1"/>
  <c r="B498" i="5" s="1"/>
  <c r="B498" i="2"/>
  <c r="C498" i="2" s="1"/>
  <c r="A498" i="5" s="1"/>
  <c r="O497" i="2"/>
  <c r="L497" i="2"/>
  <c r="M497" i="2" s="1"/>
  <c r="N497" i="2" s="1"/>
  <c r="I497" i="2"/>
  <c r="J497" i="2" s="1"/>
  <c r="K497" i="2" s="1"/>
  <c r="F497" i="2"/>
  <c r="G497" i="2" s="1"/>
  <c r="H497" i="2" s="1"/>
  <c r="C497" i="5" s="1"/>
  <c r="D497" i="2"/>
  <c r="E497" i="2" s="1"/>
  <c r="B497" i="5" s="1"/>
  <c r="B497" i="2"/>
  <c r="C497" i="2" s="1"/>
  <c r="A497" i="5" s="1"/>
  <c r="O496" i="2"/>
  <c r="L496" i="2"/>
  <c r="M496" i="2" s="1"/>
  <c r="N496" i="2" s="1"/>
  <c r="I496" i="2"/>
  <c r="J496" i="2" s="1"/>
  <c r="K496" i="2" s="1"/>
  <c r="Y496" i="2" s="1"/>
  <c r="F496" i="2"/>
  <c r="G496" i="2" s="1"/>
  <c r="H496" i="2" s="1"/>
  <c r="C496" i="5" s="1"/>
  <c r="D496" i="2"/>
  <c r="E496" i="2" s="1"/>
  <c r="B496" i="5" s="1"/>
  <c r="B496" i="2"/>
  <c r="C496" i="2" s="1"/>
  <c r="O495" i="2"/>
  <c r="L495" i="2"/>
  <c r="M495" i="2" s="1"/>
  <c r="N495" i="2" s="1"/>
  <c r="I495" i="2"/>
  <c r="J495" i="2" s="1"/>
  <c r="K495" i="2" s="1"/>
  <c r="F495" i="2"/>
  <c r="G495" i="2" s="1"/>
  <c r="H495" i="2" s="1"/>
  <c r="C495" i="5" s="1"/>
  <c r="D495" i="2"/>
  <c r="E495" i="2" s="1"/>
  <c r="B495" i="5" s="1"/>
  <c r="B495" i="2"/>
  <c r="C495" i="2" s="1"/>
  <c r="A495" i="5" s="1"/>
  <c r="O494" i="2"/>
  <c r="L494" i="2"/>
  <c r="M494" i="2" s="1"/>
  <c r="N494" i="2" s="1"/>
  <c r="E494" i="5" s="1"/>
  <c r="I494" i="2"/>
  <c r="J494" i="2" s="1"/>
  <c r="K494" i="2" s="1"/>
  <c r="F494" i="2"/>
  <c r="G494" i="2" s="1"/>
  <c r="H494" i="2" s="1"/>
  <c r="C494" i="5" s="1"/>
  <c r="D494" i="2"/>
  <c r="E494" i="2" s="1"/>
  <c r="B494" i="5" s="1"/>
  <c r="B494" i="2"/>
  <c r="C494" i="2" s="1"/>
  <c r="A494" i="5" s="1"/>
  <c r="O493" i="2"/>
  <c r="L493" i="2"/>
  <c r="M493" i="2" s="1"/>
  <c r="N493" i="2" s="1"/>
  <c r="I493" i="2"/>
  <c r="J493" i="2" s="1"/>
  <c r="K493" i="2" s="1"/>
  <c r="F493" i="2"/>
  <c r="G493" i="2" s="1"/>
  <c r="H493" i="2" s="1"/>
  <c r="C493" i="5" s="1"/>
  <c r="D493" i="2"/>
  <c r="E493" i="2" s="1"/>
  <c r="B493" i="5" s="1"/>
  <c r="B493" i="2"/>
  <c r="C493" i="2" s="1"/>
  <c r="A493" i="5" s="1"/>
  <c r="O492" i="2"/>
  <c r="L492" i="2"/>
  <c r="M492" i="2" s="1"/>
  <c r="N492" i="2" s="1"/>
  <c r="I492" i="2"/>
  <c r="J492" i="2" s="1"/>
  <c r="K492" i="2" s="1"/>
  <c r="F492" i="2"/>
  <c r="G492" i="2" s="1"/>
  <c r="H492" i="2" s="1"/>
  <c r="C492" i="5" s="1"/>
  <c r="D492" i="2"/>
  <c r="E492" i="2" s="1"/>
  <c r="B492" i="5" s="1"/>
  <c r="B492" i="2"/>
  <c r="C492" i="2" s="1"/>
  <c r="A492" i="5" s="1"/>
  <c r="O491" i="2"/>
  <c r="L491" i="2"/>
  <c r="M491" i="2" s="1"/>
  <c r="N491" i="2" s="1"/>
  <c r="I491" i="2"/>
  <c r="J491" i="2" s="1"/>
  <c r="K491" i="2" s="1"/>
  <c r="D491" i="5" s="1"/>
  <c r="F491" i="2"/>
  <c r="G491" i="2" s="1"/>
  <c r="H491" i="2" s="1"/>
  <c r="C491" i="5" s="1"/>
  <c r="D491" i="2"/>
  <c r="E491" i="2" s="1"/>
  <c r="B491" i="5" s="1"/>
  <c r="B491" i="2"/>
  <c r="C491" i="2" s="1"/>
  <c r="A491" i="5" s="1"/>
  <c r="O490" i="2"/>
  <c r="L490" i="2"/>
  <c r="M490" i="2" s="1"/>
  <c r="N490" i="2" s="1"/>
  <c r="I490" i="2"/>
  <c r="J490" i="2" s="1"/>
  <c r="K490" i="2" s="1"/>
  <c r="Y490" i="2" s="1"/>
  <c r="F490" i="2"/>
  <c r="G490" i="2" s="1"/>
  <c r="H490" i="2" s="1"/>
  <c r="C490" i="5" s="1"/>
  <c r="D490" i="2"/>
  <c r="E490" i="2" s="1"/>
  <c r="B490" i="5" s="1"/>
  <c r="B490" i="2"/>
  <c r="C490" i="2" s="1"/>
  <c r="O489" i="2"/>
  <c r="L489" i="2"/>
  <c r="M489" i="2" s="1"/>
  <c r="N489" i="2" s="1"/>
  <c r="I489" i="2"/>
  <c r="J489" i="2" s="1"/>
  <c r="K489" i="2" s="1"/>
  <c r="F489" i="2"/>
  <c r="G489" i="2" s="1"/>
  <c r="H489" i="2" s="1"/>
  <c r="C489" i="5" s="1"/>
  <c r="D489" i="2"/>
  <c r="E489" i="2" s="1"/>
  <c r="B489" i="5" s="1"/>
  <c r="B489" i="2"/>
  <c r="C489" i="2" s="1"/>
  <c r="A489" i="5" s="1"/>
  <c r="O488" i="2"/>
  <c r="L488" i="2"/>
  <c r="M488" i="2" s="1"/>
  <c r="N488" i="2" s="1"/>
  <c r="I488" i="2"/>
  <c r="J488" i="2" s="1"/>
  <c r="K488" i="2" s="1"/>
  <c r="Y488" i="2" s="1"/>
  <c r="F488" i="2"/>
  <c r="G488" i="2" s="1"/>
  <c r="H488" i="2" s="1"/>
  <c r="C488" i="5" s="1"/>
  <c r="D488" i="2"/>
  <c r="E488" i="2" s="1"/>
  <c r="B488" i="5" s="1"/>
  <c r="B488" i="2"/>
  <c r="C488" i="2" s="1"/>
  <c r="A488" i="5" s="1"/>
  <c r="O487" i="2"/>
  <c r="L487" i="2"/>
  <c r="M487" i="2" s="1"/>
  <c r="N487" i="2" s="1"/>
  <c r="I487" i="2"/>
  <c r="J487" i="2" s="1"/>
  <c r="K487" i="2" s="1"/>
  <c r="F487" i="2"/>
  <c r="G487" i="2" s="1"/>
  <c r="H487" i="2" s="1"/>
  <c r="C487" i="5" s="1"/>
  <c r="D487" i="2"/>
  <c r="E487" i="2" s="1"/>
  <c r="B487" i="5" s="1"/>
  <c r="B487" i="2"/>
  <c r="C487" i="2" s="1"/>
  <c r="A487" i="5" s="1"/>
  <c r="O486" i="2"/>
  <c r="L486" i="2"/>
  <c r="M486" i="2" s="1"/>
  <c r="N486" i="2" s="1"/>
  <c r="E486" i="5" s="1"/>
  <c r="I486" i="2"/>
  <c r="J486" i="2" s="1"/>
  <c r="K486" i="2" s="1"/>
  <c r="F486" i="2"/>
  <c r="G486" i="2" s="1"/>
  <c r="H486" i="2" s="1"/>
  <c r="C486" i="5" s="1"/>
  <c r="D486" i="2"/>
  <c r="E486" i="2" s="1"/>
  <c r="B486" i="5" s="1"/>
  <c r="B486" i="2"/>
  <c r="C486" i="2" s="1"/>
  <c r="A486" i="5" s="1"/>
  <c r="O485" i="2"/>
  <c r="L485" i="2"/>
  <c r="M485" i="2" s="1"/>
  <c r="N485" i="2" s="1"/>
  <c r="I485" i="2"/>
  <c r="J485" i="2" s="1"/>
  <c r="K485" i="2" s="1"/>
  <c r="F485" i="2"/>
  <c r="G485" i="2" s="1"/>
  <c r="H485" i="2" s="1"/>
  <c r="C485" i="5" s="1"/>
  <c r="D485" i="2"/>
  <c r="E485" i="2" s="1"/>
  <c r="B485" i="5" s="1"/>
  <c r="B485" i="2"/>
  <c r="C485" i="2" s="1"/>
  <c r="A485" i="5" s="1"/>
  <c r="O484" i="2"/>
  <c r="L484" i="2"/>
  <c r="M484" i="2" s="1"/>
  <c r="N484" i="2" s="1"/>
  <c r="I484" i="2"/>
  <c r="J484" i="2" s="1"/>
  <c r="K484" i="2" s="1"/>
  <c r="F484" i="2"/>
  <c r="G484" i="2" s="1"/>
  <c r="H484" i="2" s="1"/>
  <c r="C484" i="5" s="1"/>
  <c r="D484" i="2"/>
  <c r="E484" i="2" s="1"/>
  <c r="B484" i="5" s="1"/>
  <c r="B484" i="2"/>
  <c r="C484" i="2" s="1"/>
  <c r="A484" i="5" s="1"/>
  <c r="O483" i="2"/>
  <c r="L483" i="2"/>
  <c r="M483" i="2" s="1"/>
  <c r="N483" i="2" s="1"/>
  <c r="I483" i="2"/>
  <c r="J483" i="2" s="1"/>
  <c r="K483" i="2" s="1"/>
  <c r="D483" i="5" s="1"/>
  <c r="F483" i="2"/>
  <c r="G483" i="2" s="1"/>
  <c r="H483" i="2" s="1"/>
  <c r="C483" i="5" s="1"/>
  <c r="D483" i="2"/>
  <c r="E483" i="2" s="1"/>
  <c r="B483" i="5" s="1"/>
  <c r="B483" i="2"/>
  <c r="C483" i="2" s="1"/>
  <c r="A483" i="5" s="1"/>
  <c r="O482" i="2"/>
  <c r="L482" i="2"/>
  <c r="M482" i="2" s="1"/>
  <c r="N482" i="2" s="1"/>
  <c r="I482" i="2"/>
  <c r="J482" i="2" s="1"/>
  <c r="K482" i="2" s="1"/>
  <c r="Y482" i="2" s="1"/>
  <c r="F482" i="2"/>
  <c r="G482" i="2" s="1"/>
  <c r="H482" i="2" s="1"/>
  <c r="C482" i="5" s="1"/>
  <c r="D482" i="2"/>
  <c r="E482" i="2" s="1"/>
  <c r="B482" i="5" s="1"/>
  <c r="B482" i="2"/>
  <c r="C482" i="2" s="1"/>
  <c r="A482" i="5" s="1"/>
  <c r="O481" i="2"/>
  <c r="L481" i="2"/>
  <c r="M481" i="2" s="1"/>
  <c r="N481" i="2" s="1"/>
  <c r="I481" i="2"/>
  <c r="J481" i="2" s="1"/>
  <c r="K481" i="2" s="1"/>
  <c r="F481" i="2"/>
  <c r="G481" i="2" s="1"/>
  <c r="H481" i="2" s="1"/>
  <c r="C481" i="5" s="1"/>
  <c r="D481" i="2"/>
  <c r="E481" i="2" s="1"/>
  <c r="B481" i="5" s="1"/>
  <c r="B481" i="2"/>
  <c r="C481" i="2" s="1"/>
  <c r="A481" i="5" s="1"/>
  <c r="O480" i="2"/>
  <c r="L480" i="2"/>
  <c r="M480" i="2" s="1"/>
  <c r="N480" i="2" s="1"/>
  <c r="I480" i="2"/>
  <c r="J480" i="2" s="1"/>
  <c r="K480" i="2" s="1"/>
  <c r="Y480" i="2" s="1"/>
  <c r="F480" i="2"/>
  <c r="G480" i="2" s="1"/>
  <c r="H480" i="2" s="1"/>
  <c r="C480" i="5" s="1"/>
  <c r="D480" i="2"/>
  <c r="E480" i="2" s="1"/>
  <c r="B480" i="5" s="1"/>
  <c r="B480" i="2"/>
  <c r="C480" i="2" s="1"/>
  <c r="A480" i="5" s="1"/>
  <c r="O479" i="2"/>
  <c r="L479" i="2"/>
  <c r="M479" i="2" s="1"/>
  <c r="N479" i="2" s="1"/>
  <c r="I479" i="2"/>
  <c r="J479" i="2" s="1"/>
  <c r="K479" i="2" s="1"/>
  <c r="F479" i="2"/>
  <c r="G479" i="2" s="1"/>
  <c r="H479" i="2" s="1"/>
  <c r="C479" i="5" s="1"/>
  <c r="D479" i="2"/>
  <c r="E479" i="2" s="1"/>
  <c r="B479" i="5" s="1"/>
  <c r="B479" i="2"/>
  <c r="C479" i="2" s="1"/>
  <c r="A479" i="5" s="1"/>
  <c r="O478" i="2"/>
  <c r="L478" i="2"/>
  <c r="M478" i="2" s="1"/>
  <c r="N478" i="2" s="1"/>
  <c r="E478" i="5" s="1"/>
  <c r="I478" i="2"/>
  <c r="J478" i="2" s="1"/>
  <c r="K478" i="2" s="1"/>
  <c r="F478" i="2"/>
  <c r="G478" i="2" s="1"/>
  <c r="H478" i="2" s="1"/>
  <c r="C478" i="5" s="1"/>
  <c r="D478" i="2"/>
  <c r="E478" i="2" s="1"/>
  <c r="B478" i="5" s="1"/>
  <c r="B478" i="2"/>
  <c r="C478" i="2" s="1"/>
  <c r="A478" i="5" s="1"/>
  <c r="O477" i="2"/>
  <c r="L477" i="2"/>
  <c r="M477" i="2" s="1"/>
  <c r="N477" i="2" s="1"/>
  <c r="I477" i="2"/>
  <c r="J477" i="2" s="1"/>
  <c r="K477" i="2" s="1"/>
  <c r="F477" i="2"/>
  <c r="G477" i="2" s="1"/>
  <c r="H477" i="2" s="1"/>
  <c r="C477" i="5" s="1"/>
  <c r="D477" i="2"/>
  <c r="E477" i="2" s="1"/>
  <c r="B477" i="5" s="1"/>
  <c r="B477" i="2"/>
  <c r="C477" i="2" s="1"/>
  <c r="A477" i="5" s="1"/>
  <c r="O476" i="2"/>
  <c r="L476" i="2"/>
  <c r="M476" i="2" s="1"/>
  <c r="N476" i="2" s="1"/>
  <c r="E476" i="5" s="1"/>
  <c r="I476" i="2"/>
  <c r="J476" i="2" s="1"/>
  <c r="K476" i="2" s="1"/>
  <c r="F476" i="2"/>
  <c r="G476" i="2" s="1"/>
  <c r="H476" i="2" s="1"/>
  <c r="C476" i="5" s="1"/>
  <c r="D476" i="2"/>
  <c r="E476" i="2" s="1"/>
  <c r="B476" i="5" s="1"/>
  <c r="B476" i="2"/>
  <c r="C476" i="2" s="1"/>
  <c r="A476" i="5" s="1"/>
  <c r="O475" i="2"/>
  <c r="L475" i="2"/>
  <c r="M475" i="2" s="1"/>
  <c r="N475" i="2" s="1"/>
  <c r="I475" i="2"/>
  <c r="J475" i="2" s="1"/>
  <c r="K475" i="2" s="1"/>
  <c r="D475" i="5" s="1"/>
  <c r="F475" i="2"/>
  <c r="G475" i="2" s="1"/>
  <c r="H475" i="2" s="1"/>
  <c r="C475" i="5" s="1"/>
  <c r="D475" i="2"/>
  <c r="E475" i="2" s="1"/>
  <c r="B475" i="5" s="1"/>
  <c r="B475" i="2"/>
  <c r="C475" i="2" s="1"/>
  <c r="A475" i="5" s="1"/>
  <c r="O474" i="2"/>
  <c r="L474" i="2"/>
  <c r="M474" i="2" s="1"/>
  <c r="N474" i="2" s="1"/>
  <c r="I474" i="2"/>
  <c r="J474" i="2" s="1"/>
  <c r="K474" i="2" s="1"/>
  <c r="Y474" i="2" s="1"/>
  <c r="F474" i="2"/>
  <c r="G474" i="2" s="1"/>
  <c r="H474" i="2" s="1"/>
  <c r="C474" i="5" s="1"/>
  <c r="D474" i="2"/>
  <c r="E474" i="2" s="1"/>
  <c r="B474" i="5" s="1"/>
  <c r="B474" i="2"/>
  <c r="C474" i="2" s="1"/>
  <c r="A474" i="5" s="1"/>
  <c r="O473" i="2"/>
  <c r="L473" i="2"/>
  <c r="M473" i="2" s="1"/>
  <c r="N473" i="2" s="1"/>
  <c r="I473" i="2"/>
  <c r="J473" i="2" s="1"/>
  <c r="K473" i="2" s="1"/>
  <c r="F473" i="2"/>
  <c r="G473" i="2" s="1"/>
  <c r="H473" i="2" s="1"/>
  <c r="C473" i="5" s="1"/>
  <c r="D473" i="2"/>
  <c r="E473" i="2" s="1"/>
  <c r="B473" i="5" s="1"/>
  <c r="B473" i="2"/>
  <c r="C473" i="2" s="1"/>
  <c r="A473" i="5" s="1"/>
  <c r="O472" i="2"/>
  <c r="L472" i="2"/>
  <c r="M472" i="2" s="1"/>
  <c r="N472" i="2" s="1"/>
  <c r="I472" i="2"/>
  <c r="J472" i="2" s="1"/>
  <c r="K472" i="2" s="1"/>
  <c r="Y472" i="2" s="1"/>
  <c r="F472" i="2"/>
  <c r="G472" i="2" s="1"/>
  <c r="H472" i="2" s="1"/>
  <c r="C472" i="5" s="1"/>
  <c r="D472" i="2"/>
  <c r="E472" i="2" s="1"/>
  <c r="B472" i="5" s="1"/>
  <c r="B472" i="2"/>
  <c r="C472" i="2" s="1"/>
  <c r="A472" i="5" s="1"/>
  <c r="O471" i="2"/>
  <c r="L471" i="2"/>
  <c r="M471" i="2" s="1"/>
  <c r="N471" i="2" s="1"/>
  <c r="I471" i="2"/>
  <c r="J471" i="2" s="1"/>
  <c r="K471" i="2" s="1"/>
  <c r="F471" i="2"/>
  <c r="G471" i="2" s="1"/>
  <c r="H471" i="2" s="1"/>
  <c r="C471" i="5" s="1"/>
  <c r="D471" i="2"/>
  <c r="E471" i="2" s="1"/>
  <c r="B471" i="5" s="1"/>
  <c r="B471" i="2"/>
  <c r="C471" i="2" s="1"/>
  <c r="A471" i="5" s="1"/>
  <c r="O470" i="2"/>
  <c r="L470" i="2"/>
  <c r="M470" i="2" s="1"/>
  <c r="N470" i="2" s="1"/>
  <c r="E470" i="5" s="1"/>
  <c r="I470" i="2"/>
  <c r="J470" i="2" s="1"/>
  <c r="K470" i="2" s="1"/>
  <c r="F470" i="2"/>
  <c r="G470" i="2" s="1"/>
  <c r="H470" i="2" s="1"/>
  <c r="C470" i="5" s="1"/>
  <c r="D470" i="2"/>
  <c r="E470" i="2" s="1"/>
  <c r="B470" i="5" s="1"/>
  <c r="B470" i="2"/>
  <c r="C470" i="2" s="1"/>
  <c r="A470" i="5" s="1"/>
  <c r="O469" i="2"/>
  <c r="L469" i="2"/>
  <c r="M469" i="2" s="1"/>
  <c r="N469" i="2" s="1"/>
  <c r="I469" i="2"/>
  <c r="J469" i="2" s="1"/>
  <c r="K469" i="2" s="1"/>
  <c r="F469" i="2"/>
  <c r="G469" i="2" s="1"/>
  <c r="H469" i="2" s="1"/>
  <c r="C469" i="5" s="1"/>
  <c r="D469" i="2"/>
  <c r="E469" i="2" s="1"/>
  <c r="B469" i="5" s="1"/>
  <c r="B469" i="2"/>
  <c r="C469" i="2" s="1"/>
  <c r="A469" i="5" s="1"/>
  <c r="O468" i="2"/>
  <c r="L468" i="2"/>
  <c r="M468" i="2" s="1"/>
  <c r="N468" i="2" s="1"/>
  <c r="E468" i="5" s="1"/>
  <c r="I468" i="2"/>
  <c r="J468" i="2" s="1"/>
  <c r="K468" i="2" s="1"/>
  <c r="F468" i="2"/>
  <c r="G468" i="2" s="1"/>
  <c r="H468" i="2" s="1"/>
  <c r="C468" i="5" s="1"/>
  <c r="D468" i="2"/>
  <c r="E468" i="2" s="1"/>
  <c r="B468" i="5" s="1"/>
  <c r="B468" i="2"/>
  <c r="C468" i="2" s="1"/>
  <c r="A468" i="5" s="1"/>
  <c r="O467" i="2"/>
  <c r="L467" i="2"/>
  <c r="M467" i="2" s="1"/>
  <c r="N467" i="2" s="1"/>
  <c r="I467" i="2"/>
  <c r="J467" i="2" s="1"/>
  <c r="K467" i="2" s="1"/>
  <c r="D467" i="5" s="1"/>
  <c r="F467" i="2"/>
  <c r="G467" i="2" s="1"/>
  <c r="H467" i="2" s="1"/>
  <c r="C467" i="5" s="1"/>
  <c r="D467" i="2"/>
  <c r="E467" i="2" s="1"/>
  <c r="B467" i="5" s="1"/>
  <c r="B467" i="2"/>
  <c r="C467" i="2" s="1"/>
  <c r="A467" i="5" s="1"/>
  <c r="O466" i="2"/>
  <c r="L466" i="2"/>
  <c r="M466" i="2" s="1"/>
  <c r="N466" i="2" s="1"/>
  <c r="I466" i="2"/>
  <c r="J466" i="2" s="1"/>
  <c r="K466" i="2" s="1"/>
  <c r="Y466" i="2" s="1"/>
  <c r="F466" i="2"/>
  <c r="G466" i="2" s="1"/>
  <c r="H466" i="2" s="1"/>
  <c r="C466" i="5" s="1"/>
  <c r="D466" i="2"/>
  <c r="E466" i="2" s="1"/>
  <c r="B466" i="5" s="1"/>
  <c r="B466" i="2"/>
  <c r="C466" i="2" s="1"/>
  <c r="A466" i="5" s="1"/>
  <c r="O465" i="2"/>
  <c r="L465" i="2"/>
  <c r="M465" i="2" s="1"/>
  <c r="N465" i="2" s="1"/>
  <c r="I465" i="2"/>
  <c r="J465" i="2" s="1"/>
  <c r="K465" i="2" s="1"/>
  <c r="F465" i="2"/>
  <c r="G465" i="2" s="1"/>
  <c r="H465" i="2" s="1"/>
  <c r="C465" i="5" s="1"/>
  <c r="D465" i="2"/>
  <c r="E465" i="2" s="1"/>
  <c r="B465" i="5" s="1"/>
  <c r="B465" i="2"/>
  <c r="C465" i="2" s="1"/>
  <c r="A465" i="5" s="1"/>
  <c r="O464" i="2"/>
  <c r="L464" i="2"/>
  <c r="M464" i="2" s="1"/>
  <c r="N464" i="2" s="1"/>
  <c r="I464" i="2"/>
  <c r="J464" i="2" s="1"/>
  <c r="K464" i="2" s="1"/>
  <c r="Y464" i="2" s="1"/>
  <c r="F464" i="2"/>
  <c r="G464" i="2" s="1"/>
  <c r="H464" i="2" s="1"/>
  <c r="C464" i="5" s="1"/>
  <c r="D464" i="2"/>
  <c r="E464" i="2" s="1"/>
  <c r="B464" i="5" s="1"/>
  <c r="B464" i="2"/>
  <c r="C464" i="2" s="1"/>
  <c r="A464" i="5" s="1"/>
  <c r="O463" i="2"/>
  <c r="L463" i="2"/>
  <c r="M463" i="2" s="1"/>
  <c r="N463" i="2" s="1"/>
  <c r="I463" i="2"/>
  <c r="J463" i="2" s="1"/>
  <c r="K463" i="2" s="1"/>
  <c r="F463" i="2"/>
  <c r="G463" i="2" s="1"/>
  <c r="H463" i="2" s="1"/>
  <c r="C463" i="5" s="1"/>
  <c r="D463" i="2"/>
  <c r="E463" i="2" s="1"/>
  <c r="B463" i="5" s="1"/>
  <c r="B463" i="2"/>
  <c r="C463" i="2" s="1"/>
  <c r="A463" i="5" s="1"/>
  <c r="O462" i="2"/>
  <c r="L462" i="2"/>
  <c r="M462" i="2" s="1"/>
  <c r="N462" i="2" s="1"/>
  <c r="E462" i="5" s="1"/>
  <c r="I462" i="2"/>
  <c r="J462" i="2" s="1"/>
  <c r="K462" i="2" s="1"/>
  <c r="F462" i="2"/>
  <c r="G462" i="2" s="1"/>
  <c r="H462" i="2" s="1"/>
  <c r="C462" i="5" s="1"/>
  <c r="D462" i="2"/>
  <c r="E462" i="2" s="1"/>
  <c r="B462" i="5" s="1"/>
  <c r="B462" i="2"/>
  <c r="C462" i="2" s="1"/>
  <c r="A462" i="5" s="1"/>
  <c r="O461" i="2"/>
  <c r="L461" i="2"/>
  <c r="M461" i="2" s="1"/>
  <c r="N461" i="2" s="1"/>
  <c r="I461" i="2"/>
  <c r="J461" i="2" s="1"/>
  <c r="K461" i="2" s="1"/>
  <c r="F461" i="2"/>
  <c r="G461" i="2" s="1"/>
  <c r="H461" i="2" s="1"/>
  <c r="C461" i="5" s="1"/>
  <c r="D461" i="2"/>
  <c r="E461" i="2" s="1"/>
  <c r="B461" i="5" s="1"/>
  <c r="B461" i="2"/>
  <c r="C461" i="2" s="1"/>
  <c r="A461" i="5" s="1"/>
  <c r="O460" i="2"/>
  <c r="L460" i="2"/>
  <c r="M460" i="2" s="1"/>
  <c r="N460" i="2" s="1"/>
  <c r="I460" i="2"/>
  <c r="J460" i="2" s="1"/>
  <c r="K460" i="2" s="1"/>
  <c r="F460" i="2"/>
  <c r="G460" i="2" s="1"/>
  <c r="H460" i="2" s="1"/>
  <c r="C460" i="5" s="1"/>
  <c r="D460" i="2"/>
  <c r="E460" i="2" s="1"/>
  <c r="B460" i="5" s="1"/>
  <c r="B460" i="2"/>
  <c r="C460" i="2" s="1"/>
  <c r="A460" i="5" s="1"/>
  <c r="O459" i="2"/>
  <c r="L459" i="2"/>
  <c r="M459" i="2" s="1"/>
  <c r="N459" i="2" s="1"/>
  <c r="I459" i="2"/>
  <c r="J459" i="2" s="1"/>
  <c r="K459" i="2" s="1"/>
  <c r="D459" i="5" s="1"/>
  <c r="F459" i="2"/>
  <c r="G459" i="2" s="1"/>
  <c r="H459" i="2" s="1"/>
  <c r="C459" i="5" s="1"/>
  <c r="D459" i="2"/>
  <c r="E459" i="2" s="1"/>
  <c r="B459" i="5" s="1"/>
  <c r="B459" i="2"/>
  <c r="C459" i="2" s="1"/>
  <c r="A459" i="5" s="1"/>
  <c r="O458" i="2"/>
  <c r="L458" i="2"/>
  <c r="M458" i="2" s="1"/>
  <c r="N458" i="2" s="1"/>
  <c r="I458" i="2"/>
  <c r="J458" i="2" s="1"/>
  <c r="K458" i="2" s="1"/>
  <c r="Y458" i="2" s="1"/>
  <c r="F458" i="2"/>
  <c r="G458" i="2" s="1"/>
  <c r="H458" i="2" s="1"/>
  <c r="C458" i="5" s="1"/>
  <c r="D458" i="2"/>
  <c r="E458" i="2" s="1"/>
  <c r="B458" i="5" s="1"/>
  <c r="B458" i="2"/>
  <c r="C458" i="2" s="1"/>
  <c r="A458" i="5" s="1"/>
  <c r="O457" i="2"/>
  <c r="L457" i="2"/>
  <c r="M457" i="2" s="1"/>
  <c r="N457" i="2" s="1"/>
  <c r="I457" i="2"/>
  <c r="J457" i="2" s="1"/>
  <c r="K457" i="2" s="1"/>
  <c r="F457" i="2"/>
  <c r="G457" i="2" s="1"/>
  <c r="H457" i="2" s="1"/>
  <c r="C457" i="5" s="1"/>
  <c r="D457" i="2"/>
  <c r="E457" i="2" s="1"/>
  <c r="B457" i="5" s="1"/>
  <c r="B457" i="2"/>
  <c r="C457" i="2" s="1"/>
  <c r="A457" i="5" s="1"/>
  <c r="O456" i="2"/>
  <c r="L456" i="2"/>
  <c r="M456" i="2" s="1"/>
  <c r="N456" i="2" s="1"/>
  <c r="I456" i="2"/>
  <c r="J456" i="2" s="1"/>
  <c r="K456" i="2" s="1"/>
  <c r="Y456" i="2" s="1"/>
  <c r="F456" i="2"/>
  <c r="G456" i="2" s="1"/>
  <c r="H456" i="2" s="1"/>
  <c r="C456" i="5" s="1"/>
  <c r="D456" i="2"/>
  <c r="E456" i="2" s="1"/>
  <c r="B456" i="5" s="1"/>
  <c r="B456" i="2"/>
  <c r="C456" i="2" s="1"/>
  <c r="A456" i="5" s="1"/>
  <c r="O455" i="2"/>
  <c r="L455" i="2"/>
  <c r="M455" i="2" s="1"/>
  <c r="N455" i="2" s="1"/>
  <c r="I455" i="2"/>
  <c r="J455" i="2" s="1"/>
  <c r="K455" i="2" s="1"/>
  <c r="F455" i="2"/>
  <c r="G455" i="2" s="1"/>
  <c r="H455" i="2" s="1"/>
  <c r="C455" i="5" s="1"/>
  <c r="D455" i="2"/>
  <c r="E455" i="2" s="1"/>
  <c r="B455" i="5" s="1"/>
  <c r="B455" i="2"/>
  <c r="C455" i="2" s="1"/>
  <c r="A455" i="5" s="1"/>
  <c r="O454" i="2"/>
  <c r="L454" i="2"/>
  <c r="M454" i="2" s="1"/>
  <c r="N454" i="2" s="1"/>
  <c r="E454" i="5" s="1"/>
  <c r="I454" i="2"/>
  <c r="J454" i="2" s="1"/>
  <c r="K454" i="2" s="1"/>
  <c r="F454" i="2"/>
  <c r="G454" i="2" s="1"/>
  <c r="H454" i="2" s="1"/>
  <c r="C454" i="5" s="1"/>
  <c r="D454" i="2"/>
  <c r="E454" i="2" s="1"/>
  <c r="B454" i="5" s="1"/>
  <c r="B454" i="2"/>
  <c r="C454" i="2" s="1"/>
  <c r="A454" i="5" s="1"/>
  <c r="O453" i="2"/>
  <c r="L453" i="2"/>
  <c r="M453" i="2" s="1"/>
  <c r="N453" i="2" s="1"/>
  <c r="I453" i="2"/>
  <c r="J453" i="2" s="1"/>
  <c r="K453" i="2" s="1"/>
  <c r="F453" i="2"/>
  <c r="G453" i="2" s="1"/>
  <c r="H453" i="2" s="1"/>
  <c r="C453" i="5" s="1"/>
  <c r="D453" i="2"/>
  <c r="E453" i="2" s="1"/>
  <c r="B453" i="5" s="1"/>
  <c r="B453" i="2"/>
  <c r="C453" i="2" s="1"/>
  <c r="A453" i="5" s="1"/>
  <c r="O452" i="2"/>
  <c r="L452" i="2"/>
  <c r="M452" i="2" s="1"/>
  <c r="N452" i="2" s="1"/>
  <c r="E452" i="5" s="1"/>
  <c r="I452" i="2"/>
  <c r="J452" i="2" s="1"/>
  <c r="K452" i="2" s="1"/>
  <c r="F452" i="2"/>
  <c r="G452" i="2" s="1"/>
  <c r="H452" i="2" s="1"/>
  <c r="C452" i="5" s="1"/>
  <c r="D452" i="2"/>
  <c r="E452" i="2" s="1"/>
  <c r="B452" i="5" s="1"/>
  <c r="B452" i="2"/>
  <c r="C452" i="2" s="1"/>
  <c r="A452" i="5" s="1"/>
  <c r="O451" i="2"/>
  <c r="L451" i="2"/>
  <c r="M451" i="2" s="1"/>
  <c r="N451" i="2" s="1"/>
  <c r="I451" i="2"/>
  <c r="J451" i="2" s="1"/>
  <c r="K451" i="2" s="1"/>
  <c r="D451" i="5" s="1"/>
  <c r="F451" i="2"/>
  <c r="G451" i="2" s="1"/>
  <c r="H451" i="2" s="1"/>
  <c r="C451" i="5" s="1"/>
  <c r="D451" i="2"/>
  <c r="E451" i="2" s="1"/>
  <c r="B451" i="5" s="1"/>
  <c r="B451" i="2"/>
  <c r="C451" i="2" s="1"/>
  <c r="A451" i="5" s="1"/>
  <c r="O450" i="2"/>
  <c r="L450" i="2"/>
  <c r="M450" i="2" s="1"/>
  <c r="N450" i="2" s="1"/>
  <c r="I450" i="2"/>
  <c r="J450" i="2" s="1"/>
  <c r="K450" i="2" s="1"/>
  <c r="Y450" i="2" s="1"/>
  <c r="F450" i="2"/>
  <c r="G450" i="2" s="1"/>
  <c r="H450" i="2" s="1"/>
  <c r="C450" i="5" s="1"/>
  <c r="D450" i="2"/>
  <c r="E450" i="2" s="1"/>
  <c r="B450" i="5" s="1"/>
  <c r="B450" i="2"/>
  <c r="C450" i="2" s="1"/>
  <c r="A450" i="5" s="1"/>
  <c r="O449" i="2"/>
  <c r="L449" i="2"/>
  <c r="M449" i="2" s="1"/>
  <c r="N449" i="2" s="1"/>
  <c r="I449" i="2"/>
  <c r="J449" i="2" s="1"/>
  <c r="K449" i="2" s="1"/>
  <c r="F449" i="2"/>
  <c r="G449" i="2" s="1"/>
  <c r="H449" i="2" s="1"/>
  <c r="C449" i="5" s="1"/>
  <c r="D449" i="2"/>
  <c r="E449" i="2" s="1"/>
  <c r="B449" i="5" s="1"/>
  <c r="B449" i="2"/>
  <c r="C449" i="2" s="1"/>
  <c r="A449" i="5" s="1"/>
  <c r="O448" i="2"/>
  <c r="L448" i="2"/>
  <c r="M448" i="2" s="1"/>
  <c r="N448" i="2" s="1"/>
  <c r="I448" i="2"/>
  <c r="J448" i="2" s="1"/>
  <c r="K448" i="2" s="1"/>
  <c r="Y448" i="2" s="1"/>
  <c r="F448" i="2"/>
  <c r="G448" i="2" s="1"/>
  <c r="H448" i="2" s="1"/>
  <c r="C448" i="5" s="1"/>
  <c r="D448" i="2"/>
  <c r="E448" i="2" s="1"/>
  <c r="B448" i="5" s="1"/>
  <c r="B448" i="2"/>
  <c r="C448" i="2" s="1"/>
  <c r="A448" i="5" s="1"/>
  <c r="O447" i="2"/>
  <c r="L447" i="2"/>
  <c r="M447" i="2" s="1"/>
  <c r="N447" i="2" s="1"/>
  <c r="I447" i="2"/>
  <c r="J447" i="2" s="1"/>
  <c r="K447" i="2" s="1"/>
  <c r="F447" i="2"/>
  <c r="G447" i="2" s="1"/>
  <c r="H447" i="2" s="1"/>
  <c r="C447" i="5" s="1"/>
  <c r="D447" i="2"/>
  <c r="E447" i="2" s="1"/>
  <c r="B447" i="5" s="1"/>
  <c r="B447" i="2"/>
  <c r="C447" i="2" s="1"/>
  <c r="A447" i="5" s="1"/>
  <c r="O446" i="2"/>
  <c r="L446" i="2"/>
  <c r="M446" i="2" s="1"/>
  <c r="N446" i="2" s="1"/>
  <c r="E446" i="5" s="1"/>
  <c r="I446" i="2"/>
  <c r="J446" i="2" s="1"/>
  <c r="K446" i="2" s="1"/>
  <c r="F446" i="2"/>
  <c r="G446" i="2" s="1"/>
  <c r="H446" i="2" s="1"/>
  <c r="C446" i="5" s="1"/>
  <c r="D446" i="2"/>
  <c r="E446" i="2" s="1"/>
  <c r="B446" i="5" s="1"/>
  <c r="B446" i="2"/>
  <c r="C446" i="2" s="1"/>
  <c r="A446" i="5" s="1"/>
  <c r="O445" i="2"/>
  <c r="L445" i="2"/>
  <c r="M445" i="2" s="1"/>
  <c r="N445" i="2" s="1"/>
  <c r="I445" i="2"/>
  <c r="J445" i="2" s="1"/>
  <c r="K445" i="2" s="1"/>
  <c r="F445" i="2"/>
  <c r="G445" i="2" s="1"/>
  <c r="H445" i="2" s="1"/>
  <c r="C445" i="5" s="1"/>
  <c r="D445" i="2"/>
  <c r="E445" i="2" s="1"/>
  <c r="B445" i="5" s="1"/>
  <c r="B445" i="2"/>
  <c r="C445" i="2" s="1"/>
  <c r="A445" i="5" s="1"/>
  <c r="O444" i="2"/>
  <c r="L444" i="2"/>
  <c r="M444" i="2" s="1"/>
  <c r="N444" i="2" s="1"/>
  <c r="E444" i="5" s="1"/>
  <c r="I444" i="2"/>
  <c r="J444" i="2" s="1"/>
  <c r="K444" i="2" s="1"/>
  <c r="F444" i="2"/>
  <c r="G444" i="2" s="1"/>
  <c r="H444" i="2" s="1"/>
  <c r="C444" i="5" s="1"/>
  <c r="D444" i="2"/>
  <c r="E444" i="2" s="1"/>
  <c r="B444" i="5" s="1"/>
  <c r="B444" i="2"/>
  <c r="C444" i="2" s="1"/>
  <c r="A444" i="5" s="1"/>
  <c r="O443" i="2"/>
  <c r="L443" i="2"/>
  <c r="M443" i="2" s="1"/>
  <c r="N443" i="2" s="1"/>
  <c r="I443" i="2"/>
  <c r="J443" i="2" s="1"/>
  <c r="K443" i="2" s="1"/>
  <c r="D443" i="5" s="1"/>
  <c r="F443" i="2"/>
  <c r="G443" i="2" s="1"/>
  <c r="H443" i="2" s="1"/>
  <c r="C443" i="5" s="1"/>
  <c r="D443" i="2"/>
  <c r="E443" i="2" s="1"/>
  <c r="B443" i="5" s="1"/>
  <c r="B443" i="2"/>
  <c r="C443" i="2" s="1"/>
  <c r="A443" i="5" s="1"/>
  <c r="O442" i="2"/>
  <c r="L442" i="2"/>
  <c r="M442" i="2" s="1"/>
  <c r="N442" i="2" s="1"/>
  <c r="I442" i="2"/>
  <c r="J442" i="2" s="1"/>
  <c r="K442" i="2" s="1"/>
  <c r="Y442" i="2" s="1"/>
  <c r="F442" i="2"/>
  <c r="G442" i="2" s="1"/>
  <c r="H442" i="2" s="1"/>
  <c r="C442" i="5" s="1"/>
  <c r="D442" i="2"/>
  <c r="E442" i="2" s="1"/>
  <c r="B442" i="5" s="1"/>
  <c r="B442" i="2"/>
  <c r="C442" i="2" s="1"/>
  <c r="O441" i="2"/>
  <c r="L441" i="2"/>
  <c r="M441" i="2" s="1"/>
  <c r="N441" i="2" s="1"/>
  <c r="I441" i="2"/>
  <c r="J441" i="2" s="1"/>
  <c r="K441" i="2" s="1"/>
  <c r="F441" i="2"/>
  <c r="G441" i="2" s="1"/>
  <c r="H441" i="2" s="1"/>
  <c r="C441" i="5" s="1"/>
  <c r="D441" i="2"/>
  <c r="E441" i="2" s="1"/>
  <c r="B441" i="5" s="1"/>
  <c r="B441" i="2"/>
  <c r="C441" i="2" s="1"/>
  <c r="A441" i="5" s="1"/>
  <c r="O440" i="2"/>
  <c r="L440" i="2"/>
  <c r="M440" i="2" s="1"/>
  <c r="N440" i="2" s="1"/>
  <c r="I440" i="2"/>
  <c r="J440" i="2" s="1"/>
  <c r="K440" i="2" s="1"/>
  <c r="Y440" i="2" s="1"/>
  <c r="F440" i="2"/>
  <c r="G440" i="2" s="1"/>
  <c r="H440" i="2" s="1"/>
  <c r="C440" i="5" s="1"/>
  <c r="D440" i="2"/>
  <c r="E440" i="2" s="1"/>
  <c r="B440" i="5" s="1"/>
  <c r="B440" i="2"/>
  <c r="C440" i="2" s="1"/>
  <c r="A440" i="5" s="1"/>
  <c r="O439" i="2"/>
  <c r="L439" i="2"/>
  <c r="M439" i="2" s="1"/>
  <c r="N439" i="2" s="1"/>
  <c r="I439" i="2"/>
  <c r="J439" i="2" s="1"/>
  <c r="K439" i="2" s="1"/>
  <c r="F439" i="2"/>
  <c r="G439" i="2" s="1"/>
  <c r="H439" i="2" s="1"/>
  <c r="C439" i="5" s="1"/>
  <c r="D439" i="2"/>
  <c r="E439" i="2" s="1"/>
  <c r="B439" i="5" s="1"/>
  <c r="B439" i="2"/>
  <c r="C439" i="2" s="1"/>
  <c r="A439" i="5" s="1"/>
  <c r="O438" i="2"/>
  <c r="L438" i="2"/>
  <c r="M438" i="2" s="1"/>
  <c r="N438" i="2" s="1"/>
  <c r="E438" i="5" s="1"/>
  <c r="I438" i="2"/>
  <c r="J438" i="2" s="1"/>
  <c r="K438" i="2" s="1"/>
  <c r="F438" i="2"/>
  <c r="G438" i="2" s="1"/>
  <c r="H438" i="2" s="1"/>
  <c r="C438" i="5" s="1"/>
  <c r="D438" i="2"/>
  <c r="E438" i="2" s="1"/>
  <c r="B438" i="5" s="1"/>
  <c r="B438" i="2"/>
  <c r="C438" i="2" s="1"/>
  <c r="A438" i="5" s="1"/>
  <c r="O437" i="2"/>
  <c r="L437" i="2"/>
  <c r="M437" i="2" s="1"/>
  <c r="N437" i="2" s="1"/>
  <c r="I437" i="2"/>
  <c r="J437" i="2" s="1"/>
  <c r="K437" i="2" s="1"/>
  <c r="F437" i="2"/>
  <c r="G437" i="2" s="1"/>
  <c r="H437" i="2" s="1"/>
  <c r="C437" i="5" s="1"/>
  <c r="D437" i="2"/>
  <c r="E437" i="2" s="1"/>
  <c r="B437" i="5" s="1"/>
  <c r="B437" i="2"/>
  <c r="C437" i="2" s="1"/>
  <c r="A437" i="5" s="1"/>
  <c r="O436" i="2"/>
  <c r="L436" i="2"/>
  <c r="M436" i="2" s="1"/>
  <c r="N436" i="2" s="1"/>
  <c r="I436" i="2"/>
  <c r="J436" i="2" s="1"/>
  <c r="K436" i="2" s="1"/>
  <c r="F436" i="2"/>
  <c r="G436" i="2" s="1"/>
  <c r="H436" i="2" s="1"/>
  <c r="C436" i="5" s="1"/>
  <c r="D436" i="2"/>
  <c r="E436" i="2" s="1"/>
  <c r="B436" i="5" s="1"/>
  <c r="B436" i="2"/>
  <c r="C436" i="2" s="1"/>
  <c r="A436" i="5" s="1"/>
  <c r="O435" i="2"/>
  <c r="L435" i="2"/>
  <c r="M435" i="2" s="1"/>
  <c r="N435" i="2" s="1"/>
  <c r="I435" i="2"/>
  <c r="J435" i="2" s="1"/>
  <c r="K435" i="2" s="1"/>
  <c r="D435" i="5" s="1"/>
  <c r="F435" i="2"/>
  <c r="G435" i="2" s="1"/>
  <c r="H435" i="2" s="1"/>
  <c r="C435" i="5" s="1"/>
  <c r="D435" i="2"/>
  <c r="E435" i="2" s="1"/>
  <c r="B435" i="5" s="1"/>
  <c r="B435" i="2"/>
  <c r="C435" i="2" s="1"/>
  <c r="A435" i="5" s="1"/>
  <c r="O434" i="2"/>
  <c r="L434" i="2"/>
  <c r="M434" i="2" s="1"/>
  <c r="N434" i="2" s="1"/>
  <c r="I434" i="2"/>
  <c r="J434" i="2" s="1"/>
  <c r="K434" i="2" s="1"/>
  <c r="Y434" i="2" s="1"/>
  <c r="F434" i="2"/>
  <c r="G434" i="2" s="1"/>
  <c r="H434" i="2" s="1"/>
  <c r="C434" i="5" s="1"/>
  <c r="D434" i="2"/>
  <c r="E434" i="2" s="1"/>
  <c r="B434" i="5" s="1"/>
  <c r="B434" i="2"/>
  <c r="C434" i="2" s="1"/>
  <c r="O433" i="2"/>
  <c r="L433" i="2"/>
  <c r="M433" i="2" s="1"/>
  <c r="N433" i="2" s="1"/>
  <c r="I433" i="2"/>
  <c r="J433" i="2" s="1"/>
  <c r="K433" i="2" s="1"/>
  <c r="F433" i="2"/>
  <c r="G433" i="2" s="1"/>
  <c r="H433" i="2" s="1"/>
  <c r="C433" i="5" s="1"/>
  <c r="D433" i="2"/>
  <c r="E433" i="2" s="1"/>
  <c r="B433" i="5" s="1"/>
  <c r="B433" i="2"/>
  <c r="C433" i="2" s="1"/>
  <c r="A433" i="5" s="1"/>
  <c r="O432" i="2"/>
  <c r="L432" i="2"/>
  <c r="M432" i="2" s="1"/>
  <c r="N432" i="2" s="1"/>
  <c r="I432" i="2"/>
  <c r="J432" i="2" s="1"/>
  <c r="K432" i="2" s="1"/>
  <c r="Y432" i="2" s="1"/>
  <c r="F432" i="2"/>
  <c r="G432" i="2" s="1"/>
  <c r="H432" i="2" s="1"/>
  <c r="C432" i="5" s="1"/>
  <c r="D432" i="2"/>
  <c r="E432" i="2" s="1"/>
  <c r="B432" i="5" s="1"/>
  <c r="B432" i="2"/>
  <c r="C432" i="2" s="1"/>
  <c r="A432" i="5" s="1"/>
  <c r="O431" i="2"/>
  <c r="L431" i="2"/>
  <c r="M431" i="2" s="1"/>
  <c r="N431" i="2" s="1"/>
  <c r="I431" i="2"/>
  <c r="J431" i="2" s="1"/>
  <c r="K431" i="2" s="1"/>
  <c r="F431" i="2"/>
  <c r="G431" i="2" s="1"/>
  <c r="H431" i="2" s="1"/>
  <c r="C431" i="5" s="1"/>
  <c r="D431" i="2"/>
  <c r="E431" i="2" s="1"/>
  <c r="B431" i="5" s="1"/>
  <c r="B431" i="2"/>
  <c r="C431" i="2" s="1"/>
  <c r="A431" i="5" s="1"/>
  <c r="O430" i="2"/>
  <c r="L430" i="2"/>
  <c r="M430" i="2" s="1"/>
  <c r="N430" i="2" s="1"/>
  <c r="E430" i="5" s="1"/>
  <c r="I430" i="2"/>
  <c r="J430" i="2" s="1"/>
  <c r="K430" i="2" s="1"/>
  <c r="F430" i="2"/>
  <c r="G430" i="2" s="1"/>
  <c r="H430" i="2" s="1"/>
  <c r="C430" i="5" s="1"/>
  <c r="D430" i="2"/>
  <c r="E430" i="2" s="1"/>
  <c r="B430" i="5" s="1"/>
  <c r="B430" i="2"/>
  <c r="C430" i="2" s="1"/>
  <c r="A430" i="5" s="1"/>
  <c r="O429" i="2"/>
  <c r="L429" i="2"/>
  <c r="M429" i="2" s="1"/>
  <c r="N429" i="2" s="1"/>
  <c r="I429" i="2"/>
  <c r="J429" i="2" s="1"/>
  <c r="K429" i="2" s="1"/>
  <c r="F429" i="2"/>
  <c r="G429" i="2" s="1"/>
  <c r="H429" i="2" s="1"/>
  <c r="C429" i="5" s="1"/>
  <c r="D429" i="2"/>
  <c r="E429" i="2" s="1"/>
  <c r="B429" i="5" s="1"/>
  <c r="B429" i="2"/>
  <c r="C429" i="2" s="1"/>
  <c r="A429" i="5" s="1"/>
  <c r="O428" i="2"/>
  <c r="L428" i="2"/>
  <c r="M428" i="2" s="1"/>
  <c r="N428" i="2" s="1"/>
  <c r="I428" i="2"/>
  <c r="J428" i="2" s="1"/>
  <c r="K428" i="2" s="1"/>
  <c r="F428" i="2"/>
  <c r="G428" i="2" s="1"/>
  <c r="H428" i="2" s="1"/>
  <c r="C428" i="5" s="1"/>
  <c r="D428" i="2"/>
  <c r="E428" i="2" s="1"/>
  <c r="B428" i="5" s="1"/>
  <c r="B428" i="2"/>
  <c r="C428" i="2" s="1"/>
  <c r="A428" i="5" s="1"/>
  <c r="O427" i="2"/>
  <c r="L427" i="2"/>
  <c r="M427" i="2" s="1"/>
  <c r="N427" i="2" s="1"/>
  <c r="I427" i="2"/>
  <c r="J427" i="2" s="1"/>
  <c r="K427" i="2" s="1"/>
  <c r="D427" i="5" s="1"/>
  <c r="F427" i="2"/>
  <c r="G427" i="2" s="1"/>
  <c r="H427" i="2" s="1"/>
  <c r="C427" i="5" s="1"/>
  <c r="D427" i="2"/>
  <c r="E427" i="2" s="1"/>
  <c r="B427" i="5" s="1"/>
  <c r="B427" i="2"/>
  <c r="C427" i="2" s="1"/>
  <c r="A427" i="5" s="1"/>
  <c r="O426" i="2"/>
  <c r="L426" i="2"/>
  <c r="M426" i="2" s="1"/>
  <c r="N426" i="2" s="1"/>
  <c r="I426" i="2"/>
  <c r="J426" i="2" s="1"/>
  <c r="K426" i="2" s="1"/>
  <c r="Y426" i="2" s="1"/>
  <c r="F426" i="2"/>
  <c r="G426" i="2" s="1"/>
  <c r="H426" i="2" s="1"/>
  <c r="C426" i="5" s="1"/>
  <c r="D426" i="2"/>
  <c r="E426" i="2" s="1"/>
  <c r="B426" i="5" s="1"/>
  <c r="B426" i="2"/>
  <c r="C426" i="2" s="1"/>
  <c r="A426" i="5" s="1"/>
  <c r="O425" i="2"/>
  <c r="L425" i="2"/>
  <c r="M425" i="2" s="1"/>
  <c r="N425" i="2" s="1"/>
  <c r="I425" i="2"/>
  <c r="J425" i="2" s="1"/>
  <c r="K425" i="2" s="1"/>
  <c r="F425" i="2"/>
  <c r="G425" i="2" s="1"/>
  <c r="H425" i="2" s="1"/>
  <c r="C425" i="5" s="1"/>
  <c r="D425" i="2"/>
  <c r="E425" i="2" s="1"/>
  <c r="B425" i="5" s="1"/>
  <c r="B425" i="2"/>
  <c r="C425" i="2" s="1"/>
  <c r="A425" i="5" s="1"/>
  <c r="O424" i="2"/>
  <c r="L424" i="2"/>
  <c r="M424" i="2" s="1"/>
  <c r="N424" i="2" s="1"/>
  <c r="I424" i="2"/>
  <c r="J424" i="2" s="1"/>
  <c r="K424" i="2" s="1"/>
  <c r="Y424" i="2" s="1"/>
  <c r="F424" i="2"/>
  <c r="G424" i="2" s="1"/>
  <c r="H424" i="2" s="1"/>
  <c r="C424" i="5" s="1"/>
  <c r="D424" i="2"/>
  <c r="E424" i="2" s="1"/>
  <c r="B424" i="5" s="1"/>
  <c r="B424" i="2"/>
  <c r="C424" i="2" s="1"/>
  <c r="A424" i="5" s="1"/>
  <c r="O423" i="2"/>
  <c r="L423" i="2"/>
  <c r="M423" i="2" s="1"/>
  <c r="N423" i="2" s="1"/>
  <c r="I423" i="2"/>
  <c r="J423" i="2" s="1"/>
  <c r="K423" i="2" s="1"/>
  <c r="F423" i="2"/>
  <c r="G423" i="2" s="1"/>
  <c r="H423" i="2" s="1"/>
  <c r="C423" i="5" s="1"/>
  <c r="D423" i="2"/>
  <c r="E423" i="2" s="1"/>
  <c r="B423" i="5" s="1"/>
  <c r="B423" i="2"/>
  <c r="C423" i="2" s="1"/>
  <c r="A423" i="5" s="1"/>
  <c r="O422" i="2"/>
  <c r="L422" i="2"/>
  <c r="M422" i="2" s="1"/>
  <c r="N422" i="2" s="1"/>
  <c r="E422" i="5" s="1"/>
  <c r="I422" i="2"/>
  <c r="J422" i="2" s="1"/>
  <c r="K422" i="2" s="1"/>
  <c r="F422" i="2"/>
  <c r="G422" i="2" s="1"/>
  <c r="H422" i="2" s="1"/>
  <c r="C422" i="5" s="1"/>
  <c r="D422" i="2"/>
  <c r="E422" i="2" s="1"/>
  <c r="B422" i="5" s="1"/>
  <c r="B422" i="2"/>
  <c r="C422" i="2" s="1"/>
  <c r="A422" i="5" s="1"/>
  <c r="O421" i="2"/>
  <c r="L421" i="2"/>
  <c r="M421" i="2" s="1"/>
  <c r="N421" i="2" s="1"/>
  <c r="I421" i="2"/>
  <c r="J421" i="2" s="1"/>
  <c r="K421" i="2" s="1"/>
  <c r="F421" i="2"/>
  <c r="G421" i="2" s="1"/>
  <c r="H421" i="2" s="1"/>
  <c r="C421" i="5" s="1"/>
  <c r="D421" i="2"/>
  <c r="E421" i="2" s="1"/>
  <c r="B421" i="5" s="1"/>
  <c r="B421" i="2"/>
  <c r="C421" i="2" s="1"/>
  <c r="A421" i="5" s="1"/>
  <c r="O420" i="2"/>
  <c r="L420" i="2"/>
  <c r="M420" i="2" s="1"/>
  <c r="N420" i="2" s="1"/>
  <c r="E420" i="5" s="1"/>
  <c r="I420" i="2"/>
  <c r="J420" i="2" s="1"/>
  <c r="K420" i="2" s="1"/>
  <c r="F420" i="2"/>
  <c r="G420" i="2" s="1"/>
  <c r="H420" i="2" s="1"/>
  <c r="C420" i="5" s="1"/>
  <c r="D420" i="2"/>
  <c r="E420" i="2" s="1"/>
  <c r="B420" i="5" s="1"/>
  <c r="B420" i="2"/>
  <c r="C420" i="2" s="1"/>
  <c r="A420" i="5" s="1"/>
  <c r="O419" i="2"/>
  <c r="L419" i="2"/>
  <c r="M419" i="2" s="1"/>
  <c r="N419" i="2" s="1"/>
  <c r="I419" i="2"/>
  <c r="J419" i="2" s="1"/>
  <c r="K419" i="2" s="1"/>
  <c r="D419" i="5" s="1"/>
  <c r="F419" i="2"/>
  <c r="G419" i="2" s="1"/>
  <c r="H419" i="2" s="1"/>
  <c r="C419" i="5" s="1"/>
  <c r="D419" i="2"/>
  <c r="E419" i="2" s="1"/>
  <c r="B419" i="5" s="1"/>
  <c r="B419" i="2"/>
  <c r="C419" i="2" s="1"/>
  <c r="A419" i="5" s="1"/>
  <c r="O418" i="2"/>
  <c r="L418" i="2"/>
  <c r="M418" i="2" s="1"/>
  <c r="N418" i="2" s="1"/>
  <c r="I418" i="2"/>
  <c r="J418" i="2" s="1"/>
  <c r="K418" i="2" s="1"/>
  <c r="Y418" i="2" s="1"/>
  <c r="F418" i="2"/>
  <c r="G418" i="2" s="1"/>
  <c r="H418" i="2" s="1"/>
  <c r="C418" i="5" s="1"/>
  <c r="D418" i="2"/>
  <c r="E418" i="2" s="1"/>
  <c r="B418" i="5" s="1"/>
  <c r="B418" i="2"/>
  <c r="C418" i="2" s="1"/>
  <c r="A418" i="5" s="1"/>
  <c r="O417" i="2"/>
  <c r="L417" i="2"/>
  <c r="M417" i="2" s="1"/>
  <c r="N417" i="2" s="1"/>
  <c r="I417" i="2"/>
  <c r="J417" i="2" s="1"/>
  <c r="K417" i="2" s="1"/>
  <c r="F417" i="2"/>
  <c r="G417" i="2" s="1"/>
  <c r="H417" i="2" s="1"/>
  <c r="C417" i="5" s="1"/>
  <c r="D417" i="2"/>
  <c r="E417" i="2" s="1"/>
  <c r="B417" i="5" s="1"/>
  <c r="B417" i="2"/>
  <c r="C417" i="2" s="1"/>
  <c r="A417" i="5" s="1"/>
  <c r="O416" i="2"/>
  <c r="L416" i="2"/>
  <c r="M416" i="2" s="1"/>
  <c r="N416" i="2" s="1"/>
  <c r="I416" i="2"/>
  <c r="J416" i="2" s="1"/>
  <c r="K416" i="2" s="1"/>
  <c r="Y416" i="2" s="1"/>
  <c r="F416" i="2"/>
  <c r="G416" i="2" s="1"/>
  <c r="H416" i="2" s="1"/>
  <c r="C416" i="5" s="1"/>
  <c r="D416" i="2"/>
  <c r="E416" i="2" s="1"/>
  <c r="B416" i="5" s="1"/>
  <c r="B416" i="2"/>
  <c r="C416" i="2" s="1"/>
  <c r="A416" i="5" s="1"/>
  <c r="O415" i="2"/>
  <c r="L415" i="2"/>
  <c r="M415" i="2" s="1"/>
  <c r="N415" i="2" s="1"/>
  <c r="I415" i="2"/>
  <c r="J415" i="2" s="1"/>
  <c r="K415" i="2" s="1"/>
  <c r="F415" i="2"/>
  <c r="G415" i="2" s="1"/>
  <c r="H415" i="2" s="1"/>
  <c r="C415" i="5" s="1"/>
  <c r="D415" i="2"/>
  <c r="E415" i="2" s="1"/>
  <c r="B415" i="5" s="1"/>
  <c r="B415" i="2"/>
  <c r="C415" i="2" s="1"/>
  <c r="A415" i="5" s="1"/>
  <c r="O414" i="2"/>
  <c r="L414" i="2"/>
  <c r="M414" i="2" s="1"/>
  <c r="N414" i="2" s="1"/>
  <c r="E414" i="5" s="1"/>
  <c r="I414" i="2"/>
  <c r="J414" i="2" s="1"/>
  <c r="K414" i="2" s="1"/>
  <c r="F414" i="2"/>
  <c r="G414" i="2" s="1"/>
  <c r="H414" i="2" s="1"/>
  <c r="C414" i="5" s="1"/>
  <c r="D414" i="2"/>
  <c r="E414" i="2" s="1"/>
  <c r="B414" i="5" s="1"/>
  <c r="B414" i="2"/>
  <c r="C414" i="2" s="1"/>
  <c r="A414" i="5" s="1"/>
  <c r="O413" i="2"/>
  <c r="L413" i="2"/>
  <c r="M413" i="2" s="1"/>
  <c r="N413" i="2" s="1"/>
  <c r="I413" i="2"/>
  <c r="J413" i="2" s="1"/>
  <c r="K413" i="2" s="1"/>
  <c r="F413" i="2"/>
  <c r="G413" i="2" s="1"/>
  <c r="H413" i="2" s="1"/>
  <c r="C413" i="5" s="1"/>
  <c r="D413" i="2"/>
  <c r="E413" i="2" s="1"/>
  <c r="B413" i="5" s="1"/>
  <c r="B413" i="2"/>
  <c r="C413" i="2" s="1"/>
  <c r="A413" i="5" s="1"/>
  <c r="O412" i="2"/>
  <c r="L412" i="2"/>
  <c r="M412" i="2" s="1"/>
  <c r="N412" i="2" s="1"/>
  <c r="I412" i="2"/>
  <c r="J412" i="2" s="1"/>
  <c r="K412" i="2" s="1"/>
  <c r="F412" i="2"/>
  <c r="G412" i="2" s="1"/>
  <c r="H412" i="2" s="1"/>
  <c r="C412" i="5" s="1"/>
  <c r="D412" i="2"/>
  <c r="E412" i="2" s="1"/>
  <c r="B412" i="5" s="1"/>
  <c r="B412" i="2"/>
  <c r="C412" i="2" s="1"/>
  <c r="A412" i="5" s="1"/>
  <c r="O411" i="2"/>
  <c r="L411" i="2"/>
  <c r="M411" i="2" s="1"/>
  <c r="N411" i="2" s="1"/>
  <c r="I411" i="2"/>
  <c r="J411" i="2" s="1"/>
  <c r="K411" i="2" s="1"/>
  <c r="D411" i="5" s="1"/>
  <c r="F411" i="2"/>
  <c r="G411" i="2" s="1"/>
  <c r="H411" i="2" s="1"/>
  <c r="C411" i="5" s="1"/>
  <c r="D411" i="2"/>
  <c r="E411" i="2" s="1"/>
  <c r="B411" i="5" s="1"/>
  <c r="B411" i="2"/>
  <c r="C411" i="2" s="1"/>
  <c r="A411" i="5" s="1"/>
  <c r="O410" i="2"/>
  <c r="L410" i="2"/>
  <c r="M410" i="2" s="1"/>
  <c r="N410" i="2" s="1"/>
  <c r="I410" i="2"/>
  <c r="J410" i="2" s="1"/>
  <c r="K410" i="2" s="1"/>
  <c r="Y410" i="2" s="1"/>
  <c r="F410" i="2"/>
  <c r="G410" i="2" s="1"/>
  <c r="H410" i="2" s="1"/>
  <c r="C410" i="5" s="1"/>
  <c r="D410" i="2"/>
  <c r="E410" i="2" s="1"/>
  <c r="B410" i="5" s="1"/>
  <c r="B410" i="2"/>
  <c r="C410" i="2" s="1"/>
  <c r="O409" i="2"/>
  <c r="L409" i="2"/>
  <c r="M409" i="2" s="1"/>
  <c r="N409" i="2" s="1"/>
  <c r="I409" i="2"/>
  <c r="J409" i="2" s="1"/>
  <c r="K409" i="2" s="1"/>
  <c r="F409" i="2"/>
  <c r="G409" i="2" s="1"/>
  <c r="H409" i="2" s="1"/>
  <c r="C409" i="5" s="1"/>
  <c r="D409" i="2"/>
  <c r="E409" i="2" s="1"/>
  <c r="B409" i="5" s="1"/>
  <c r="B409" i="2"/>
  <c r="C409" i="2" s="1"/>
  <c r="A409" i="5" s="1"/>
  <c r="O408" i="2"/>
  <c r="L408" i="2"/>
  <c r="M408" i="2" s="1"/>
  <c r="N408" i="2" s="1"/>
  <c r="I408" i="2"/>
  <c r="J408" i="2" s="1"/>
  <c r="K408" i="2" s="1"/>
  <c r="Y408" i="2" s="1"/>
  <c r="F408" i="2"/>
  <c r="G408" i="2" s="1"/>
  <c r="H408" i="2" s="1"/>
  <c r="C408" i="5" s="1"/>
  <c r="D408" i="2"/>
  <c r="E408" i="2" s="1"/>
  <c r="B408" i="5" s="1"/>
  <c r="B408" i="2"/>
  <c r="C408" i="2" s="1"/>
  <c r="A408" i="5" s="1"/>
  <c r="O407" i="2"/>
  <c r="L407" i="2"/>
  <c r="M407" i="2" s="1"/>
  <c r="N407" i="2" s="1"/>
  <c r="I407" i="2"/>
  <c r="J407" i="2" s="1"/>
  <c r="K407" i="2" s="1"/>
  <c r="F407" i="2"/>
  <c r="G407" i="2" s="1"/>
  <c r="H407" i="2" s="1"/>
  <c r="C407" i="5" s="1"/>
  <c r="D407" i="2"/>
  <c r="E407" i="2" s="1"/>
  <c r="B407" i="5" s="1"/>
  <c r="B407" i="2"/>
  <c r="C407" i="2" s="1"/>
  <c r="A407" i="5" s="1"/>
  <c r="O406" i="2"/>
  <c r="L406" i="2"/>
  <c r="M406" i="2" s="1"/>
  <c r="N406" i="2" s="1"/>
  <c r="E406" i="5" s="1"/>
  <c r="I406" i="2"/>
  <c r="J406" i="2" s="1"/>
  <c r="K406" i="2" s="1"/>
  <c r="F406" i="2"/>
  <c r="G406" i="2" s="1"/>
  <c r="H406" i="2" s="1"/>
  <c r="C406" i="5" s="1"/>
  <c r="D406" i="2"/>
  <c r="E406" i="2" s="1"/>
  <c r="B406" i="5" s="1"/>
  <c r="B406" i="2"/>
  <c r="C406" i="2" s="1"/>
  <c r="A406" i="5" s="1"/>
  <c r="O405" i="2"/>
  <c r="L405" i="2"/>
  <c r="M405" i="2" s="1"/>
  <c r="N405" i="2" s="1"/>
  <c r="I405" i="2"/>
  <c r="J405" i="2" s="1"/>
  <c r="K405" i="2" s="1"/>
  <c r="F405" i="2"/>
  <c r="G405" i="2" s="1"/>
  <c r="H405" i="2" s="1"/>
  <c r="C405" i="5" s="1"/>
  <c r="D405" i="2"/>
  <c r="E405" i="2" s="1"/>
  <c r="B405" i="5" s="1"/>
  <c r="B405" i="2"/>
  <c r="C405" i="2" s="1"/>
  <c r="A405" i="5" s="1"/>
  <c r="O404" i="2"/>
  <c r="L404" i="2"/>
  <c r="M404" i="2" s="1"/>
  <c r="N404" i="2" s="1"/>
  <c r="E404" i="5" s="1"/>
  <c r="I404" i="2"/>
  <c r="J404" i="2" s="1"/>
  <c r="K404" i="2" s="1"/>
  <c r="F404" i="2"/>
  <c r="G404" i="2" s="1"/>
  <c r="H404" i="2" s="1"/>
  <c r="C404" i="5" s="1"/>
  <c r="D404" i="2"/>
  <c r="E404" i="2" s="1"/>
  <c r="B404" i="5" s="1"/>
  <c r="B404" i="2"/>
  <c r="C404" i="2" s="1"/>
  <c r="A404" i="5" s="1"/>
  <c r="O403" i="2"/>
  <c r="L403" i="2"/>
  <c r="M403" i="2" s="1"/>
  <c r="N403" i="2" s="1"/>
  <c r="I403" i="2"/>
  <c r="J403" i="2" s="1"/>
  <c r="K403" i="2" s="1"/>
  <c r="D403" i="5" s="1"/>
  <c r="F403" i="2"/>
  <c r="G403" i="2" s="1"/>
  <c r="H403" i="2" s="1"/>
  <c r="C403" i="5" s="1"/>
  <c r="D403" i="2"/>
  <c r="E403" i="2" s="1"/>
  <c r="B403" i="5" s="1"/>
  <c r="B403" i="2"/>
  <c r="C403" i="2" s="1"/>
  <c r="A403" i="5" s="1"/>
  <c r="O402" i="2"/>
  <c r="L402" i="2"/>
  <c r="M402" i="2" s="1"/>
  <c r="N402" i="2" s="1"/>
  <c r="I402" i="2"/>
  <c r="J402" i="2" s="1"/>
  <c r="K402" i="2" s="1"/>
  <c r="Y402" i="2" s="1"/>
  <c r="F402" i="2"/>
  <c r="G402" i="2" s="1"/>
  <c r="H402" i="2" s="1"/>
  <c r="C402" i="5" s="1"/>
  <c r="D402" i="2"/>
  <c r="E402" i="2" s="1"/>
  <c r="B402" i="5" s="1"/>
  <c r="B402" i="2"/>
  <c r="C402" i="2" s="1"/>
  <c r="A402" i="5" s="1"/>
  <c r="O401" i="2"/>
  <c r="L401" i="2"/>
  <c r="M401" i="2" s="1"/>
  <c r="N401" i="2" s="1"/>
  <c r="I401" i="2"/>
  <c r="J401" i="2" s="1"/>
  <c r="K401" i="2" s="1"/>
  <c r="D401" i="5" s="1"/>
  <c r="F401" i="2"/>
  <c r="G401" i="2" s="1"/>
  <c r="H401" i="2" s="1"/>
  <c r="C401" i="5" s="1"/>
  <c r="D401" i="2"/>
  <c r="E401" i="2" s="1"/>
  <c r="B401" i="5" s="1"/>
  <c r="B401" i="2"/>
  <c r="C401" i="2" s="1"/>
  <c r="A401" i="5" s="1"/>
  <c r="O400" i="2"/>
  <c r="L400" i="2"/>
  <c r="M400" i="2" s="1"/>
  <c r="N400" i="2" s="1"/>
  <c r="I400" i="2"/>
  <c r="J400" i="2" s="1"/>
  <c r="K400" i="2" s="1"/>
  <c r="Y400" i="2" s="1"/>
  <c r="F400" i="2"/>
  <c r="G400" i="2" s="1"/>
  <c r="H400" i="2" s="1"/>
  <c r="C400" i="5" s="1"/>
  <c r="D400" i="2"/>
  <c r="E400" i="2" s="1"/>
  <c r="B400" i="5" s="1"/>
  <c r="B400" i="2"/>
  <c r="C400" i="2" s="1"/>
  <c r="A400" i="5" s="1"/>
  <c r="O399" i="2"/>
  <c r="L399" i="2"/>
  <c r="M399" i="2" s="1"/>
  <c r="N399" i="2" s="1"/>
  <c r="I399" i="2"/>
  <c r="J399" i="2" s="1"/>
  <c r="K399" i="2" s="1"/>
  <c r="F399" i="2"/>
  <c r="G399" i="2" s="1"/>
  <c r="H399" i="2" s="1"/>
  <c r="C399" i="5" s="1"/>
  <c r="D399" i="2"/>
  <c r="E399" i="2" s="1"/>
  <c r="B399" i="5" s="1"/>
  <c r="B399" i="2"/>
  <c r="C399" i="2" s="1"/>
  <c r="A399" i="5" s="1"/>
  <c r="O398" i="2"/>
  <c r="L398" i="2"/>
  <c r="M398" i="2" s="1"/>
  <c r="N398" i="2" s="1"/>
  <c r="E398" i="5" s="1"/>
  <c r="I398" i="2"/>
  <c r="J398" i="2" s="1"/>
  <c r="K398" i="2" s="1"/>
  <c r="F398" i="2"/>
  <c r="G398" i="2" s="1"/>
  <c r="H398" i="2" s="1"/>
  <c r="C398" i="5" s="1"/>
  <c r="D398" i="2"/>
  <c r="E398" i="2" s="1"/>
  <c r="B398" i="5" s="1"/>
  <c r="B398" i="2"/>
  <c r="C398" i="2" s="1"/>
  <c r="A398" i="5" s="1"/>
  <c r="O397" i="2"/>
  <c r="L397" i="2"/>
  <c r="M397" i="2" s="1"/>
  <c r="N397" i="2" s="1"/>
  <c r="I397" i="2"/>
  <c r="J397" i="2" s="1"/>
  <c r="K397" i="2" s="1"/>
  <c r="F397" i="2"/>
  <c r="G397" i="2" s="1"/>
  <c r="H397" i="2" s="1"/>
  <c r="C397" i="5" s="1"/>
  <c r="D397" i="2"/>
  <c r="E397" i="2" s="1"/>
  <c r="B397" i="5" s="1"/>
  <c r="B397" i="2"/>
  <c r="C397" i="2" s="1"/>
  <c r="A397" i="5" s="1"/>
  <c r="O396" i="2"/>
  <c r="L396" i="2"/>
  <c r="M396" i="2" s="1"/>
  <c r="N396" i="2" s="1"/>
  <c r="E396" i="5" s="1"/>
  <c r="I396" i="2"/>
  <c r="J396" i="2" s="1"/>
  <c r="K396" i="2" s="1"/>
  <c r="F396" i="2"/>
  <c r="G396" i="2" s="1"/>
  <c r="H396" i="2" s="1"/>
  <c r="C396" i="5" s="1"/>
  <c r="D396" i="2"/>
  <c r="E396" i="2" s="1"/>
  <c r="B396" i="5" s="1"/>
  <c r="B396" i="2"/>
  <c r="C396" i="2" s="1"/>
  <c r="A396" i="5" s="1"/>
  <c r="O395" i="2"/>
  <c r="L395" i="2"/>
  <c r="M395" i="2" s="1"/>
  <c r="N395" i="2" s="1"/>
  <c r="I395" i="2"/>
  <c r="J395" i="2" s="1"/>
  <c r="K395" i="2" s="1"/>
  <c r="D395" i="5" s="1"/>
  <c r="F395" i="2"/>
  <c r="G395" i="2" s="1"/>
  <c r="H395" i="2" s="1"/>
  <c r="C395" i="5" s="1"/>
  <c r="D395" i="2"/>
  <c r="E395" i="2" s="1"/>
  <c r="B395" i="5" s="1"/>
  <c r="B395" i="2"/>
  <c r="C395" i="2" s="1"/>
  <c r="A395" i="5" s="1"/>
  <c r="O394" i="2"/>
  <c r="L394" i="2"/>
  <c r="M394" i="2" s="1"/>
  <c r="N394" i="2" s="1"/>
  <c r="I394" i="2"/>
  <c r="J394" i="2" s="1"/>
  <c r="K394" i="2" s="1"/>
  <c r="Y394" i="2" s="1"/>
  <c r="F394" i="2"/>
  <c r="G394" i="2" s="1"/>
  <c r="H394" i="2" s="1"/>
  <c r="C394" i="5" s="1"/>
  <c r="D394" i="2"/>
  <c r="E394" i="2" s="1"/>
  <c r="B394" i="5" s="1"/>
  <c r="B394" i="2"/>
  <c r="C394" i="2" s="1"/>
  <c r="A394" i="5" s="1"/>
  <c r="O393" i="2"/>
  <c r="L393" i="2"/>
  <c r="M393" i="2" s="1"/>
  <c r="N393" i="2" s="1"/>
  <c r="I393" i="2"/>
  <c r="J393" i="2" s="1"/>
  <c r="K393" i="2" s="1"/>
  <c r="D393" i="5" s="1"/>
  <c r="F393" i="2"/>
  <c r="G393" i="2" s="1"/>
  <c r="H393" i="2" s="1"/>
  <c r="C393" i="5" s="1"/>
  <c r="D393" i="2"/>
  <c r="E393" i="2" s="1"/>
  <c r="B393" i="5" s="1"/>
  <c r="B393" i="2"/>
  <c r="C393" i="2" s="1"/>
  <c r="A393" i="5" s="1"/>
  <c r="O392" i="2"/>
  <c r="L392" i="2"/>
  <c r="M392" i="2" s="1"/>
  <c r="N392" i="2" s="1"/>
  <c r="I392" i="2"/>
  <c r="J392" i="2" s="1"/>
  <c r="K392" i="2" s="1"/>
  <c r="Y392" i="2" s="1"/>
  <c r="F392" i="2"/>
  <c r="G392" i="2" s="1"/>
  <c r="H392" i="2" s="1"/>
  <c r="C392" i="5" s="1"/>
  <c r="D392" i="2"/>
  <c r="E392" i="2" s="1"/>
  <c r="B392" i="5" s="1"/>
  <c r="B392" i="2"/>
  <c r="C392" i="2" s="1"/>
  <c r="A392" i="5" s="1"/>
  <c r="O391" i="2"/>
  <c r="L391" i="2"/>
  <c r="M391" i="2" s="1"/>
  <c r="N391" i="2" s="1"/>
  <c r="I391" i="2"/>
  <c r="J391" i="2" s="1"/>
  <c r="K391" i="2" s="1"/>
  <c r="F391" i="2"/>
  <c r="G391" i="2" s="1"/>
  <c r="H391" i="2" s="1"/>
  <c r="C391" i="5" s="1"/>
  <c r="D391" i="2"/>
  <c r="E391" i="2" s="1"/>
  <c r="B391" i="5" s="1"/>
  <c r="B391" i="2"/>
  <c r="C391" i="2" s="1"/>
  <c r="A391" i="5" s="1"/>
  <c r="O390" i="2"/>
  <c r="L390" i="2"/>
  <c r="M390" i="2" s="1"/>
  <c r="N390" i="2" s="1"/>
  <c r="E390" i="5" s="1"/>
  <c r="I390" i="2"/>
  <c r="J390" i="2" s="1"/>
  <c r="K390" i="2" s="1"/>
  <c r="F390" i="2"/>
  <c r="G390" i="2" s="1"/>
  <c r="H390" i="2" s="1"/>
  <c r="C390" i="5" s="1"/>
  <c r="D390" i="2"/>
  <c r="E390" i="2" s="1"/>
  <c r="B390" i="5" s="1"/>
  <c r="B390" i="2"/>
  <c r="C390" i="2" s="1"/>
  <c r="A390" i="5" s="1"/>
  <c r="O389" i="2"/>
  <c r="L389" i="2"/>
  <c r="M389" i="2" s="1"/>
  <c r="N389" i="2" s="1"/>
  <c r="I389" i="2"/>
  <c r="J389" i="2" s="1"/>
  <c r="K389" i="2" s="1"/>
  <c r="F389" i="2"/>
  <c r="G389" i="2" s="1"/>
  <c r="H389" i="2" s="1"/>
  <c r="C389" i="5" s="1"/>
  <c r="D389" i="2"/>
  <c r="E389" i="2" s="1"/>
  <c r="B389" i="5" s="1"/>
  <c r="B389" i="2"/>
  <c r="C389" i="2" s="1"/>
  <c r="A389" i="5" s="1"/>
  <c r="O388" i="2"/>
  <c r="L388" i="2"/>
  <c r="M388" i="2" s="1"/>
  <c r="N388" i="2" s="1"/>
  <c r="E388" i="5" s="1"/>
  <c r="I388" i="2"/>
  <c r="J388" i="2" s="1"/>
  <c r="K388" i="2" s="1"/>
  <c r="F388" i="2"/>
  <c r="G388" i="2" s="1"/>
  <c r="H388" i="2" s="1"/>
  <c r="C388" i="5" s="1"/>
  <c r="D388" i="2"/>
  <c r="E388" i="2" s="1"/>
  <c r="B388" i="5" s="1"/>
  <c r="B388" i="2"/>
  <c r="C388" i="2" s="1"/>
  <c r="A388" i="5" s="1"/>
  <c r="O387" i="2"/>
  <c r="L387" i="2"/>
  <c r="M387" i="2" s="1"/>
  <c r="N387" i="2" s="1"/>
  <c r="I387" i="2"/>
  <c r="J387" i="2" s="1"/>
  <c r="K387" i="2" s="1"/>
  <c r="D387" i="5" s="1"/>
  <c r="F387" i="2"/>
  <c r="G387" i="2" s="1"/>
  <c r="H387" i="2" s="1"/>
  <c r="C387" i="5" s="1"/>
  <c r="D387" i="2"/>
  <c r="E387" i="2" s="1"/>
  <c r="B387" i="5" s="1"/>
  <c r="B387" i="2"/>
  <c r="C387" i="2" s="1"/>
  <c r="A387" i="5" s="1"/>
  <c r="O386" i="2"/>
  <c r="L386" i="2"/>
  <c r="M386" i="2" s="1"/>
  <c r="N386" i="2" s="1"/>
  <c r="I386" i="2"/>
  <c r="J386" i="2" s="1"/>
  <c r="K386" i="2" s="1"/>
  <c r="Y386" i="2" s="1"/>
  <c r="F386" i="2"/>
  <c r="G386" i="2" s="1"/>
  <c r="H386" i="2" s="1"/>
  <c r="C386" i="5" s="1"/>
  <c r="D386" i="2"/>
  <c r="E386" i="2" s="1"/>
  <c r="B386" i="5" s="1"/>
  <c r="B386" i="2"/>
  <c r="C386" i="2" s="1"/>
  <c r="A386" i="5" s="1"/>
  <c r="O385" i="2"/>
  <c r="L385" i="2"/>
  <c r="M385" i="2" s="1"/>
  <c r="N385" i="2" s="1"/>
  <c r="I385" i="2"/>
  <c r="J385" i="2" s="1"/>
  <c r="K385" i="2" s="1"/>
  <c r="D385" i="5" s="1"/>
  <c r="F385" i="2"/>
  <c r="G385" i="2" s="1"/>
  <c r="H385" i="2" s="1"/>
  <c r="C385" i="5" s="1"/>
  <c r="D385" i="2"/>
  <c r="E385" i="2" s="1"/>
  <c r="B385" i="5" s="1"/>
  <c r="B385" i="2"/>
  <c r="C385" i="2" s="1"/>
  <c r="A385" i="5" s="1"/>
  <c r="O384" i="2"/>
  <c r="L384" i="2"/>
  <c r="M384" i="2" s="1"/>
  <c r="N384" i="2" s="1"/>
  <c r="I384" i="2"/>
  <c r="J384" i="2" s="1"/>
  <c r="K384" i="2" s="1"/>
  <c r="Y384" i="2" s="1"/>
  <c r="F384" i="2"/>
  <c r="G384" i="2" s="1"/>
  <c r="H384" i="2" s="1"/>
  <c r="C384" i="5" s="1"/>
  <c r="D384" i="2"/>
  <c r="E384" i="2" s="1"/>
  <c r="B384" i="5" s="1"/>
  <c r="B384" i="2"/>
  <c r="C384" i="2" s="1"/>
  <c r="A384" i="5" s="1"/>
  <c r="O383" i="2"/>
  <c r="L383" i="2"/>
  <c r="M383" i="2" s="1"/>
  <c r="N383" i="2" s="1"/>
  <c r="I383" i="2"/>
  <c r="J383" i="2" s="1"/>
  <c r="K383" i="2" s="1"/>
  <c r="F383" i="2"/>
  <c r="G383" i="2" s="1"/>
  <c r="H383" i="2" s="1"/>
  <c r="C383" i="5" s="1"/>
  <c r="D383" i="2"/>
  <c r="E383" i="2" s="1"/>
  <c r="B383" i="5" s="1"/>
  <c r="B383" i="2"/>
  <c r="C383" i="2" s="1"/>
  <c r="A383" i="5" s="1"/>
  <c r="O382" i="2"/>
  <c r="L382" i="2"/>
  <c r="M382" i="2" s="1"/>
  <c r="N382" i="2" s="1"/>
  <c r="E382" i="5" s="1"/>
  <c r="I382" i="2"/>
  <c r="J382" i="2" s="1"/>
  <c r="K382" i="2" s="1"/>
  <c r="F382" i="2"/>
  <c r="G382" i="2" s="1"/>
  <c r="H382" i="2" s="1"/>
  <c r="C382" i="5" s="1"/>
  <c r="D382" i="2"/>
  <c r="E382" i="2" s="1"/>
  <c r="B382" i="5" s="1"/>
  <c r="B382" i="2"/>
  <c r="C382" i="2" s="1"/>
  <c r="A382" i="5" s="1"/>
  <c r="O381" i="2"/>
  <c r="L381" i="2"/>
  <c r="M381" i="2" s="1"/>
  <c r="N381" i="2" s="1"/>
  <c r="I381" i="2"/>
  <c r="J381" i="2" s="1"/>
  <c r="K381" i="2" s="1"/>
  <c r="F381" i="2"/>
  <c r="G381" i="2" s="1"/>
  <c r="H381" i="2" s="1"/>
  <c r="C381" i="5" s="1"/>
  <c r="D381" i="2"/>
  <c r="E381" i="2" s="1"/>
  <c r="B381" i="5" s="1"/>
  <c r="B381" i="2"/>
  <c r="C381" i="2" s="1"/>
  <c r="A381" i="5" s="1"/>
  <c r="O380" i="2"/>
  <c r="L380" i="2"/>
  <c r="M380" i="2" s="1"/>
  <c r="N380" i="2" s="1"/>
  <c r="E380" i="5" s="1"/>
  <c r="I380" i="2"/>
  <c r="J380" i="2" s="1"/>
  <c r="K380" i="2" s="1"/>
  <c r="F380" i="2"/>
  <c r="G380" i="2" s="1"/>
  <c r="H380" i="2" s="1"/>
  <c r="C380" i="5" s="1"/>
  <c r="D380" i="2"/>
  <c r="E380" i="2" s="1"/>
  <c r="B380" i="5" s="1"/>
  <c r="B380" i="2"/>
  <c r="C380" i="2" s="1"/>
  <c r="A380" i="5" s="1"/>
  <c r="O379" i="2"/>
  <c r="L379" i="2"/>
  <c r="M379" i="2" s="1"/>
  <c r="N379" i="2" s="1"/>
  <c r="I379" i="2"/>
  <c r="J379" i="2" s="1"/>
  <c r="K379" i="2" s="1"/>
  <c r="D379" i="5" s="1"/>
  <c r="F379" i="2"/>
  <c r="G379" i="2" s="1"/>
  <c r="H379" i="2" s="1"/>
  <c r="C379" i="5" s="1"/>
  <c r="D379" i="2"/>
  <c r="E379" i="2" s="1"/>
  <c r="B379" i="5" s="1"/>
  <c r="B379" i="2"/>
  <c r="C379" i="2" s="1"/>
  <c r="A379" i="5" s="1"/>
  <c r="O378" i="2"/>
  <c r="L378" i="2"/>
  <c r="M378" i="2" s="1"/>
  <c r="N378" i="2" s="1"/>
  <c r="I378" i="2"/>
  <c r="J378" i="2" s="1"/>
  <c r="K378" i="2" s="1"/>
  <c r="Y378" i="2" s="1"/>
  <c r="F378" i="2"/>
  <c r="G378" i="2" s="1"/>
  <c r="H378" i="2" s="1"/>
  <c r="C378" i="5" s="1"/>
  <c r="D378" i="2"/>
  <c r="E378" i="2" s="1"/>
  <c r="B378" i="5" s="1"/>
  <c r="B378" i="2"/>
  <c r="C378" i="2" s="1"/>
  <c r="A378" i="5" s="1"/>
  <c r="O377" i="2"/>
  <c r="L377" i="2"/>
  <c r="M377" i="2" s="1"/>
  <c r="N377" i="2" s="1"/>
  <c r="I377" i="2"/>
  <c r="J377" i="2" s="1"/>
  <c r="K377" i="2" s="1"/>
  <c r="D377" i="5" s="1"/>
  <c r="F377" i="2"/>
  <c r="G377" i="2" s="1"/>
  <c r="H377" i="2" s="1"/>
  <c r="C377" i="5" s="1"/>
  <c r="D377" i="2"/>
  <c r="E377" i="2" s="1"/>
  <c r="B377" i="5" s="1"/>
  <c r="B377" i="2"/>
  <c r="C377" i="2" s="1"/>
  <c r="A377" i="5" s="1"/>
  <c r="O376" i="2"/>
  <c r="L376" i="2"/>
  <c r="M376" i="2" s="1"/>
  <c r="N376" i="2" s="1"/>
  <c r="I376" i="2"/>
  <c r="J376" i="2" s="1"/>
  <c r="K376" i="2" s="1"/>
  <c r="Y376" i="2" s="1"/>
  <c r="F376" i="2"/>
  <c r="G376" i="2" s="1"/>
  <c r="H376" i="2" s="1"/>
  <c r="C376" i="5" s="1"/>
  <c r="D376" i="2"/>
  <c r="E376" i="2" s="1"/>
  <c r="B376" i="5" s="1"/>
  <c r="B376" i="2"/>
  <c r="C376" i="2" s="1"/>
  <c r="A376" i="5" s="1"/>
  <c r="O375" i="2"/>
  <c r="L375" i="2"/>
  <c r="M375" i="2" s="1"/>
  <c r="N375" i="2" s="1"/>
  <c r="I375" i="2"/>
  <c r="J375" i="2" s="1"/>
  <c r="K375" i="2" s="1"/>
  <c r="F375" i="2"/>
  <c r="G375" i="2" s="1"/>
  <c r="H375" i="2" s="1"/>
  <c r="C375" i="5" s="1"/>
  <c r="D375" i="2"/>
  <c r="E375" i="2" s="1"/>
  <c r="B375" i="5" s="1"/>
  <c r="B375" i="2"/>
  <c r="C375" i="2" s="1"/>
  <c r="A375" i="5" s="1"/>
  <c r="O374" i="2"/>
  <c r="L374" i="2"/>
  <c r="M374" i="2" s="1"/>
  <c r="N374" i="2" s="1"/>
  <c r="E374" i="5" s="1"/>
  <c r="I374" i="2"/>
  <c r="J374" i="2" s="1"/>
  <c r="K374" i="2" s="1"/>
  <c r="F374" i="2"/>
  <c r="G374" i="2" s="1"/>
  <c r="H374" i="2" s="1"/>
  <c r="C374" i="5" s="1"/>
  <c r="D374" i="2"/>
  <c r="E374" i="2" s="1"/>
  <c r="B374" i="5" s="1"/>
  <c r="B374" i="2"/>
  <c r="C374" i="2" s="1"/>
  <c r="A374" i="5" s="1"/>
  <c r="O373" i="2"/>
  <c r="L373" i="2"/>
  <c r="M373" i="2" s="1"/>
  <c r="N373" i="2" s="1"/>
  <c r="I373" i="2"/>
  <c r="J373" i="2" s="1"/>
  <c r="K373" i="2" s="1"/>
  <c r="F373" i="2"/>
  <c r="G373" i="2" s="1"/>
  <c r="H373" i="2" s="1"/>
  <c r="C373" i="5" s="1"/>
  <c r="D373" i="2"/>
  <c r="E373" i="2" s="1"/>
  <c r="B373" i="5" s="1"/>
  <c r="B373" i="2"/>
  <c r="C373" i="2" s="1"/>
  <c r="A373" i="5" s="1"/>
  <c r="O372" i="2"/>
  <c r="L372" i="2"/>
  <c r="M372" i="2" s="1"/>
  <c r="N372" i="2" s="1"/>
  <c r="E372" i="5" s="1"/>
  <c r="I372" i="2"/>
  <c r="J372" i="2" s="1"/>
  <c r="K372" i="2" s="1"/>
  <c r="F372" i="2"/>
  <c r="G372" i="2" s="1"/>
  <c r="H372" i="2" s="1"/>
  <c r="C372" i="5" s="1"/>
  <c r="D372" i="2"/>
  <c r="E372" i="2" s="1"/>
  <c r="B372" i="5" s="1"/>
  <c r="B372" i="2"/>
  <c r="C372" i="2" s="1"/>
  <c r="A372" i="5" s="1"/>
  <c r="O371" i="2"/>
  <c r="L371" i="2"/>
  <c r="M371" i="2" s="1"/>
  <c r="N371" i="2" s="1"/>
  <c r="I371" i="2"/>
  <c r="J371" i="2" s="1"/>
  <c r="K371" i="2" s="1"/>
  <c r="D371" i="5" s="1"/>
  <c r="F371" i="2"/>
  <c r="G371" i="2" s="1"/>
  <c r="H371" i="2" s="1"/>
  <c r="C371" i="5" s="1"/>
  <c r="D371" i="2"/>
  <c r="E371" i="2" s="1"/>
  <c r="B371" i="5" s="1"/>
  <c r="B371" i="2"/>
  <c r="C371" i="2" s="1"/>
  <c r="A371" i="5" s="1"/>
  <c r="O370" i="2"/>
  <c r="L370" i="2"/>
  <c r="M370" i="2" s="1"/>
  <c r="N370" i="2" s="1"/>
  <c r="I370" i="2"/>
  <c r="J370" i="2" s="1"/>
  <c r="K370" i="2" s="1"/>
  <c r="Y370" i="2" s="1"/>
  <c r="F370" i="2"/>
  <c r="G370" i="2" s="1"/>
  <c r="H370" i="2" s="1"/>
  <c r="C370" i="5" s="1"/>
  <c r="D370" i="2"/>
  <c r="E370" i="2" s="1"/>
  <c r="B370" i="5" s="1"/>
  <c r="B370" i="2"/>
  <c r="C370" i="2" s="1"/>
  <c r="A370" i="5" s="1"/>
  <c r="O369" i="2"/>
  <c r="L369" i="2"/>
  <c r="M369" i="2" s="1"/>
  <c r="N369" i="2" s="1"/>
  <c r="I369" i="2"/>
  <c r="J369" i="2" s="1"/>
  <c r="K369" i="2" s="1"/>
  <c r="D369" i="5" s="1"/>
  <c r="F369" i="2"/>
  <c r="G369" i="2" s="1"/>
  <c r="H369" i="2" s="1"/>
  <c r="C369" i="5" s="1"/>
  <c r="D369" i="2"/>
  <c r="E369" i="2" s="1"/>
  <c r="B369" i="5" s="1"/>
  <c r="B369" i="2"/>
  <c r="C369" i="2" s="1"/>
  <c r="A369" i="5" s="1"/>
  <c r="O368" i="2"/>
  <c r="L368" i="2"/>
  <c r="M368" i="2" s="1"/>
  <c r="N368" i="2" s="1"/>
  <c r="I368" i="2"/>
  <c r="J368" i="2" s="1"/>
  <c r="K368" i="2" s="1"/>
  <c r="Y368" i="2" s="1"/>
  <c r="F368" i="2"/>
  <c r="G368" i="2" s="1"/>
  <c r="H368" i="2" s="1"/>
  <c r="C368" i="5" s="1"/>
  <c r="D368" i="2"/>
  <c r="E368" i="2" s="1"/>
  <c r="B368" i="5" s="1"/>
  <c r="B368" i="2"/>
  <c r="C368" i="2" s="1"/>
  <c r="A368" i="5" s="1"/>
  <c r="O367" i="2"/>
  <c r="L367" i="2"/>
  <c r="M367" i="2" s="1"/>
  <c r="N367" i="2" s="1"/>
  <c r="I367" i="2"/>
  <c r="J367" i="2" s="1"/>
  <c r="K367" i="2" s="1"/>
  <c r="F367" i="2"/>
  <c r="G367" i="2" s="1"/>
  <c r="H367" i="2" s="1"/>
  <c r="C367" i="5" s="1"/>
  <c r="D367" i="2"/>
  <c r="E367" i="2" s="1"/>
  <c r="B367" i="5" s="1"/>
  <c r="B367" i="2"/>
  <c r="C367" i="2" s="1"/>
  <c r="A367" i="5" s="1"/>
  <c r="O366" i="2"/>
  <c r="L366" i="2"/>
  <c r="M366" i="2" s="1"/>
  <c r="N366" i="2" s="1"/>
  <c r="E366" i="5" s="1"/>
  <c r="I366" i="2"/>
  <c r="J366" i="2" s="1"/>
  <c r="K366" i="2" s="1"/>
  <c r="F366" i="2"/>
  <c r="G366" i="2" s="1"/>
  <c r="H366" i="2" s="1"/>
  <c r="C366" i="5" s="1"/>
  <c r="D366" i="2"/>
  <c r="E366" i="2" s="1"/>
  <c r="B366" i="5" s="1"/>
  <c r="B366" i="2"/>
  <c r="C366" i="2" s="1"/>
  <c r="A366" i="5" s="1"/>
  <c r="O365" i="2"/>
  <c r="L365" i="2"/>
  <c r="M365" i="2" s="1"/>
  <c r="N365" i="2" s="1"/>
  <c r="I365" i="2"/>
  <c r="J365" i="2" s="1"/>
  <c r="K365" i="2" s="1"/>
  <c r="F365" i="2"/>
  <c r="G365" i="2" s="1"/>
  <c r="H365" i="2" s="1"/>
  <c r="C365" i="5" s="1"/>
  <c r="D365" i="2"/>
  <c r="E365" i="2" s="1"/>
  <c r="B365" i="5" s="1"/>
  <c r="B365" i="2"/>
  <c r="C365" i="2" s="1"/>
  <c r="A365" i="5" s="1"/>
  <c r="O364" i="2"/>
  <c r="L364" i="2"/>
  <c r="M364" i="2" s="1"/>
  <c r="N364" i="2" s="1"/>
  <c r="E364" i="5" s="1"/>
  <c r="I364" i="2"/>
  <c r="J364" i="2" s="1"/>
  <c r="K364" i="2" s="1"/>
  <c r="F364" i="2"/>
  <c r="G364" i="2" s="1"/>
  <c r="H364" i="2" s="1"/>
  <c r="C364" i="5" s="1"/>
  <c r="D364" i="2"/>
  <c r="E364" i="2" s="1"/>
  <c r="B364" i="5" s="1"/>
  <c r="B364" i="2"/>
  <c r="C364" i="2" s="1"/>
  <c r="A364" i="5" s="1"/>
  <c r="O363" i="2"/>
  <c r="L363" i="2"/>
  <c r="M363" i="2" s="1"/>
  <c r="N363" i="2" s="1"/>
  <c r="I363" i="2"/>
  <c r="J363" i="2" s="1"/>
  <c r="K363" i="2" s="1"/>
  <c r="D363" i="5" s="1"/>
  <c r="F363" i="2"/>
  <c r="G363" i="2" s="1"/>
  <c r="H363" i="2" s="1"/>
  <c r="C363" i="5" s="1"/>
  <c r="D363" i="2"/>
  <c r="E363" i="2" s="1"/>
  <c r="B363" i="5" s="1"/>
  <c r="B363" i="2"/>
  <c r="C363" i="2" s="1"/>
  <c r="A363" i="5" s="1"/>
  <c r="O362" i="2"/>
  <c r="L362" i="2"/>
  <c r="M362" i="2" s="1"/>
  <c r="N362" i="2" s="1"/>
  <c r="I362" i="2"/>
  <c r="J362" i="2" s="1"/>
  <c r="K362" i="2" s="1"/>
  <c r="Y362" i="2" s="1"/>
  <c r="F362" i="2"/>
  <c r="G362" i="2" s="1"/>
  <c r="H362" i="2" s="1"/>
  <c r="C362" i="5" s="1"/>
  <c r="D362" i="2"/>
  <c r="E362" i="2" s="1"/>
  <c r="B362" i="5" s="1"/>
  <c r="B362" i="2"/>
  <c r="C362" i="2" s="1"/>
  <c r="A362" i="5" s="1"/>
  <c r="O361" i="2"/>
  <c r="L361" i="2"/>
  <c r="M361" i="2" s="1"/>
  <c r="N361" i="2" s="1"/>
  <c r="I361" i="2"/>
  <c r="J361" i="2" s="1"/>
  <c r="K361" i="2" s="1"/>
  <c r="D361" i="5" s="1"/>
  <c r="F361" i="2"/>
  <c r="G361" i="2" s="1"/>
  <c r="H361" i="2" s="1"/>
  <c r="C361" i="5" s="1"/>
  <c r="D361" i="2"/>
  <c r="E361" i="2" s="1"/>
  <c r="B361" i="5" s="1"/>
  <c r="B361" i="2"/>
  <c r="C361" i="2" s="1"/>
  <c r="A361" i="5" s="1"/>
  <c r="O360" i="2"/>
  <c r="L360" i="2"/>
  <c r="M360" i="2" s="1"/>
  <c r="N360" i="2" s="1"/>
  <c r="I360" i="2"/>
  <c r="J360" i="2" s="1"/>
  <c r="K360" i="2" s="1"/>
  <c r="Y360" i="2" s="1"/>
  <c r="F360" i="2"/>
  <c r="G360" i="2" s="1"/>
  <c r="H360" i="2" s="1"/>
  <c r="C360" i="5" s="1"/>
  <c r="D360" i="2"/>
  <c r="E360" i="2" s="1"/>
  <c r="B360" i="5" s="1"/>
  <c r="B360" i="2"/>
  <c r="C360" i="2" s="1"/>
  <c r="A360" i="5" s="1"/>
  <c r="O359" i="2"/>
  <c r="L359" i="2"/>
  <c r="M359" i="2" s="1"/>
  <c r="N359" i="2" s="1"/>
  <c r="I359" i="2"/>
  <c r="J359" i="2" s="1"/>
  <c r="K359" i="2" s="1"/>
  <c r="F359" i="2"/>
  <c r="G359" i="2" s="1"/>
  <c r="H359" i="2" s="1"/>
  <c r="C359" i="5" s="1"/>
  <c r="D359" i="2"/>
  <c r="E359" i="2" s="1"/>
  <c r="B359" i="5" s="1"/>
  <c r="B359" i="2"/>
  <c r="C359" i="2" s="1"/>
  <c r="A359" i="5" s="1"/>
  <c r="O358" i="2"/>
  <c r="L358" i="2"/>
  <c r="M358" i="2" s="1"/>
  <c r="N358" i="2" s="1"/>
  <c r="E358" i="5" s="1"/>
  <c r="I358" i="2"/>
  <c r="J358" i="2" s="1"/>
  <c r="K358" i="2" s="1"/>
  <c r="F358" i="2"/>
  <c r="G358" i="2" s="1"/>
  <c r="H358" i="2" s="1"/>
  <c r="C358" i="5" s="1"/>
  <c r="D358" i="2"/>
  <c r="E358" i="2" s="1"/>
  <c r="B358" i="5" s="1"/>
  <c r="B358" i="2"/>
  <c r="C358" i="2" s="1"/>
  <c r="A358" i="5" s="1"/>
  <c r="O357" i="2"/>
  <c r="L357" i="2"/>
  <c r="M357" i="2" s="1"/>
  <c r="N357" i="2" s="1"/>
  <c r="I357" i="2"/>
  <c r="J357" i="2" s="1"/>
  <c r="K357" i="2" s="1"/>
  <c r="F357" i="2"/>
  <c r="G357" i="2" s="1"/>
  <c r="H357" i="2" s="1"/>
  <c r="C357" i="5" s="1"/>
  <c r="D357" i="2"/>
  <c r="E357" i="2" s="1"/>
  <c r="B357" i="5" s="1"/>
  <c r="B357" i="2"/>
  <c r="C357" i="2" s="1"/>
  <c r="A357" i="5" s="1"/>
  <c r="O356" i="2"/>
  <c r="L356" i="2"/>
  <c r="M356" i="2" s="1"/>
  <c r="N356" i="2" s="1"/>
  <c r="I356" i="2"/>
  <c r="J356" i="2" s="1"/>
  <c r="K356" i="2" s="1"/>
  <c r="F356" i="2"/>
  <c r="G356" i="2" s="1"/>
  <c r="H356" i="2" s="1"/>
  <c r="C356" i="5" s="1"/>
  <c r="D356" i="2"/>
  <c r="E356" i="2" s="1"/>
  <c r="B356" i="5" s="1"/>
  <c r="B356" i="2"/>
  <c r="C356" i="2" s="1"/>
  <c r="A356" i="5" s="1"/>
  <c r="O355" i="2"/>
  <c r="L355" i="2"/>
  <c r="M355" i="2" s="1"/>
  <c r="N355" i="2" s="1"/>
  <c r="I355" i="2"/>
  <c r="J355" i="2" s="1"/>
  <c r="K355" i="2" s="1"/>
  <c r="D355" i="5" s="1"/>
  <c r="F355" i="2"/>
  <c r="G355" i="2" s="1"/>
  <c r="H355" i="2" s="1"/>
  <c r="C355" i="5" s="1"/>
  <c r="D355" i="2"/>
  <c r="E355" i="2" s="1"/>
  <c r="B355" i="5" s="1"/>
  <c r="B355" i="2"/>
  <c r="C355" i="2" s="1"/>
  <c r="A355" i="5" s="1"/>
  <c r="O354" i="2"/>
  <c r="L354" i="2"/>
  <c r="M354" i="2" s="1"/>
  <c r="N354" i="2" s="1"/>
  <c r="I354" i="2"/>
  <c r="J354" i="2" s="1"/>
  <c r="K354" i="2" s="1"/>
  <c r="Y354" i="2" s="1"/>
  <c r="F354" i="2"/>
  <c r="G354" i="2" s="1"/>
  <c r="H354" i="2" s="1"/>
  <c r="C354" i="5" s="1"/>
  <c r="D354" i="2"/>
  <c r="E354" i="2" s="1"/>
  <c r="B354" i="5" s="1"/>
  <c r="B354" i="2"/>
  <c r="C354" i="2" s="1"/>
  <c r="A354" i="5" s="1"/>
  <c r="O353" i="2"/>
  <c r="L353" i="2"/>
  <c r="M353" i="2" s="1"/>
  <c r="N353" i="2" s="1"/>
  <c r="I353" i="2"/>
  <c r="J353" i="2" s="1"/>
  <c r="K353" i="2" s="1"/>
  <c r="D353" i="5" s="1"/>
  <c r="F353" i="2"/>
  <c r="G353" i="2" s="1"/>
  <c r="H353" i="2" s="1"/>
  <c r="C353" i="5" s="1"/>
  <c r="D353" i="2"/>
  <c r="E353" i="2" s="1"/>
  <c r="B353" i="5" s="1"/>
  <c r="B353" i="2"/>
  <c r="C353" i="2" s="1"/>
  <c r="A353" i="5" s="1"/>
  <c r="O352" i="2"/>
  <c r="L352" i="2"/>
  <c r="M352" i="2" s="1"/>
  <c r="N352" i="2" s="1"/>
  <c r="I352" i="2"/>
  <c r="J352" i="2" s="1"/>
  <c r="K352" i="2" s="1"/>
  <c r="Y352" i="2" s="1"/>
  <c r="F352" i="2"/>
  <c r="G352" i="2" s="1"/>
  <c r="H352" i="2" s="1"/>
  <c r="C352" i="5" s="1"/>
  <c r="D352" i="2"/>
  <c r="E352" i="2" s="1"/>
  <c r="B352" i="5" s="1"/>
  <c r="B352" i="2"/>
  <c r="C352" i="2" s="1"/>
  <c r="A352" i="5" s="1"/>
  <c r="O351" i="2"/>
  <c r="L351" i="2"/>
  <c r="M351" i="2" s="1"/>
  <c r="N351" i="2" s="1"/>
  <c r="I351" i="2"/>
  <c r="J351" i="2" s="1"/>
  <c r="K351" i="2" s="1"/>
  <c r="F351" i="2"/>
  <c r="G351" i="2" s="1"/>
  <c r="H351" i="2" s="1"/>
  <c r="C351" i="5" s="1"/>
  <c r="D351" i="2"/>
  <c r="E351" i="2" s="1"/>
  <c r="B351" i="5" s="1"/>
  <c r="B351" i="2"/>
  <c r="C351" i="2" s="1"/>
  <c r="A351" i="5" s="1"/>
  <c r="O350" i="2"/>
  <c r="L350" i="2"/>
  <c r="M350" i="2" s="1"/>
  <c r="N350" i="2" s="1"/>
  <c r="E350" i="5" s="1"/>
  <c r="I350" i="2"/>
  <c r="J350" i="2" s="1"/>
  <c r="K350" i="2" s="1"/>
  <c r="F350" i="2"/>
  <c r="G350" i="2" s="1"/>
  <c r="H350" i="2" s="1"/>
  <c r="C350" i="5" s="1"/>
  <c r="D350" i="2"/>
  <c r="E350" i="2" s="1"/>
  <c r="B350" i="5" s="1"/>
  <c r="B350" i="2"/>
  <c r="C350" i="2" s="1"/>
  <c r="A350" i="5" s="1"/>
  <c r="O349" i="2"/>
  <c r="L349" i="2"/>
  <c r="M349" i="2" s="1"/>
  <c r="N349" i="2" s="1"/>
  <c r="I349" i="2"/>
  <c r="J349" i="2" s="1"/>
  <c r="K349" i="2" s="1"/>
  <c r="F349" i="2"/>
  <c r="G349" i="2" s="1"/>
  <c r="H349" i="2" s="1"/>
  <c r="C349" i="5" s="1"/>
  <c r="D349" i="2"/>
  <c r="E349" i="2" s="1"/>
  <c r="B349" i="5" s="1"/>
  <c r="B349" i="2"/>
  <c r="C349" i="2" s="1"/>
  <c r="A349" i="5" s="1"/>
  <c r="O348" i="2"/>
  <c r="L348" i="2"/>
  <c r="M348" i="2" s="1"/>
  <c r="N348" i="2" s="1"/>
  <c r="E348" i="5" s="1"/>
  <c r="I348" i="2"/>
  <c r="J348" i="2" s="1"/>
  <c r="K348" i="2" s="1"/>
  <c r="F348" i="2"/>
  <c r="G348" i="2" s="1"/>
  <c r="H348" i="2" s="1"/>
  <c r="C348" i="5" s="1"/>
  <c r="D348" i="2"/>
  <c r="E348" i="2" s="1"/>
  <c r="B348" i="5" s="1"/>
  <c r="B348" i="2"/>
  <c r="C348" i="2" s="1"/>
  <c r="A348" i="5" s="1"/>
  <c r="O347" i="2"/>
  <c r="L347" i="2"/>
  <c r="M347" i="2" s="1"/>
  <c r="N347" i="2" s="1"/>
  <c r="I347" i="2"/>
  <c r="J347" i="2" s="1"/>
  <c r="K347" i="2" s="1"/>
  <c r="D347" i="5" s="1"/>
  <c r="F347" i="2"/>
  <c r="G347" i="2" s="1"/>
  <c r="H347" i="2" s="1"/>
  <c r="C347" i="5" s="1"/>
  <c r="D347" i="2"/>
  <c r="E347" i="2" s="1"/>
  <c r="B347" i="5" s="1"/>
  <c r="B347" i="2"/>
  <c r="C347" i="2" s="1"/>
  <c r="A347" i="5" s="1"/>
  <c r="O346" i="2"/>
  <c r="L346" i="2"/>
  <c r="M346" i="2" s="1"/>
  <c r="N346" i="2" s="1"/>
  <c r="I346" i="2"/>
  <c r="J346" i="2" s="1"/>
  <c r="K346" i="2" s="1"/>
  <c r="Y346" i="2" s="1"/>
  <c r="F346" i="2"/>
  <c r="G346" i="2" s="1"/>
  <c r="H346" i="2" s="1"/>
  <c r="C346" i="5" s="1"/>
  <c r="D346" i="2"/>
  <c r="E346" i="2" s="1"/>
  <c r="B346" i="5" s="1"/>
  <c r="B346" i="2"/>
  <c r="C346" i="2" s="1"/>
  <c r="A346" i="5" s="1"/>
  <c r="O345" i="2"/>
  <c r="L345" i="2"/>
  <c r="M345" i="2" s="1"/>
  <c r="N345" i="2" s="1"/>
  <c r="I345" i="2"/>
  <c r="J345" i="2" s="1"/>
  <c r="K345" i="2" s="1"/>
  <c r="D345" i="5" s="1"/>
  <c r="F345" i="2"/>
  <c r="G345" i="2" s="1"/>
  <c r="H345" i="2" s="1"/>
  <c r="C345" i="5" s="1"/>
  <c r="D345" i="2"/>
  <c r="E345" i="2" s="1"/>
  <c r="B345" i="5" s="1"/>
  <c r="B345" i="2"/>
  <c r="C345" i="2" s="1"/>
  <c r="A345" i="5" s="1"/>
  <c r="O344" i="2"/>
  <c r="L344" i="2"/>
  <c r="M344" i="2" s="1"/>
  <c r="N344" i="2" s="1"/>
  <c r="I344" i="2"/>
  <c r="J344" i="2" s="1"/>
  <c r="K344" i="2" s="1"/>
  <c r="Y344" i="2" s="1"/>
  <c r="F344" i="2"/>
  <c r="G344" i="2" s="1"/>
  <c r="H344" i="2" s="1"/>
  <c r="C344" i="5" s="1"/>
  <c r="D344" i="2"/>
  <c r="E344" i="2" s="1"/>
  <c r="B344" i="5" s="1"/>
  <c r="B344" i="2"/>
  <c r="C344" i="2" s="1"/>
  <c r="A344" i="5" s="1"/>
  <c r="O343" i="2"/>
  <c r="L343" i="2"/>
  <c r="M343" i="2" s="1"/>
  <c r="N343" i="2" s="1"/>
  <c r="I343" i="2"/>
  <c r="J343" i="2" s="1"/>
  <c r="K343" i="2" s="1"/>
  <c r="F343" i="2"/>
  <c r="G343" i="2" s="1"/>
  <c r="H343" i="2" s="1"/>
  <c r="C343" i="5" s="1"/>
  <c r="D343" i="2"/>
  <c r="E343" i="2" s="1"/>
  <c r="B343" i="5" s="1"/>
  <c r="B343" i="2"/>
  <c r="C343" i="2" s="1"/>
  <c r="A343" i="5" s="1"/>
  <c r="O342" i="2"/>
  <c r="L342" i="2"/>
  <c r="M342" i="2" s="1"/>
  <c r="N342" i="2" s="1"/>
  <c r="E342" i="5" s="1"/>
  <c r="I342" i="2"/>
  <c r="J342" i="2" s="1"/>
  <c r="K342" i="2" s="1"/>
  <c r="F342" i="2"/>
  <c r="G342" i="2" s="1"/>
  <c r="H342" i="2" s="1"/>
  <c r="C342" i="5" s="1"/>
  <c r="D342" i="2"/>
  <c r="E342" i="2" s="1"/>
  <c r="B342" i="5" s="1"/>
  <c r="B342" i="2"/>
  <c r="C342" i="2" s="1"/>
  <c r="A342" i="5" s="1"/>
  <c r="O341" i="2"/>
  <c r="L341" i="2"/>
  <c r="M341" i="2" s="1"/>
  <c r="N341" i="2" s="1"/>
  <c r="I341" i="2"/>
  <c r="J341" i="2" s="1"/>
  <c r="K341" i="2" s="1"/>
  <c r="F341" i="2"/>
  <c r="G341" i="2" s="1"/>
  <c r="H341" i="2" s="1"/>
  <c r="C341" i="5" s="1"/>
  <c r="D341" i="2"/>
  <c r="E341" i="2" s="1"/>
  <c r="B341" i="5" s="1"/>
  <c r="B341" i="2"/>
  <c r="C341" i="2" s="1"/>
  <c r="A341" i="5" s="1"/>
  <c r="O340" i="2"/>
  <c r="L340" i="2"/>
  <c r="M340" i="2" s="1"/>
  <c r="N340" i="2" s="1"/>
  <c r="E340" i="5" s="1"/>
  <c r="I340" i="2"/>
  <c r="J340" i="2" s="1"/>
  <c r="K340" i="2" s="1"/>
  <c r="F340" i="2"/>
  <c r="G340" i="2" s="1"/>
  <c r="H340" i="2" s="1"/>
  <c r="C340" i="5" s="1"/>
  <c r="D340" i="2"/>
  <c r="E340" i="2" s="1"/>
  <c r="B340" i="5" s="1"/>
  <c r="B340" i="2"/>
  <c r="C340" i="2" s="1"/>
  <c r="A340" i="5" s="1"/>
  <c r="O339" i="2"/>
  <c r="L339" i="2"/>
  <c r="M339" i="2" s="1"/>
  <c r="N339" i="2" s="1"/>
  <c r="I339" i="2"/>
  <c r="J339" i="2" s="1"/>
  <c r="K339" i="2" s="1"/>
  <c r="D339" i="5" s="1"/>
  <c r="F339" i="2"/>
  <c r="G339" i="2" s="1"/>
  <c r="H339" i="2" s="1"/>
  <c r="C339" i="5" s="1"/>
  <c r="D339" i="2"/>
  <c r="E339" i="2" s="1"/>
  <c r="B339" i="5" s="1"/>
  <c r="B339" i="2"/>
  <c r="C339" i="2" s="1"/>
  <c r="A339" i="5" s="1"/>
  <c r="O338" i="2"/>
  <c r="L338" i="2"/>
  <c r="M338" i="2" s="1"/>
  <c r="N338" i="2" s="1"/>
  <c r="I338" i="2"/>
  <c r="J338" i="2" s="1"/>
  <c r="K338" i="2" s="1"/>
  <c r="Y338" i="2" s="1"/>
  <c r="F338" i="2"/>
  <c r="G338" i="2" s="1"/>
  <c r="H338" i="2" s="1"/>
  <c r="C338" i="5" s="1"/>
  <c r="D338" i="2"/>
  <c r="E338" i="2" s="1"/>
  <c r="B338" i="5" s="1"/>
  <c r="B338" i="2"/>
  <c r="C338" i="2" s="1"/>
  <c r="A338" i="5" s="1"/>
  <c r="O337" i="2"/>
  <c r="L337" i="2"/>
  <c r="M337" i="2" s="1"/>
  <c r="N337" i="2" s="1"/>
  <c r="I337" i="2"/>
  <c r="J337" i="2" s="1"/>
  <c r="K337" i="2" s="1"/>
  <c r="D337" i="5" s="1"/>
  <c r="F337" i="2"/>
  <c r="G337" i="2" s="1"/>
  <c r="H337" i="2" s="1"/>
  <c r="C337" i="5" s="1"/>
  <c r="D337" i="2"/>
  <c r="E337" i="2" s="1"/>
  <c r="B337" i="5" s="1"/>
  <c r="B337" i="2"/>
  <c r="C337" i="2" s="1"/>
  <c r="A337" i="5" s="1"/>
  <c r="O336" i="2"/>
  <c r="L336" i="2"/>
  <c r="M336" i="2" s="1"/>
  <c r="N336" i="2" s="1"/>
  <c r="I336" i="2"/>
  <c r="J336" i="2" s="1"/>
  <c r="K336" i="2" s="1"/>
  <c r="Y336" i="2" s="1"/>
  <c r="F336" i="2"/>
  <c r="G336" i="2" s="1"/>
  <c r="H336" i="2" s="1"/>
  <c r="C336" i="5" s="1"/>
  <c r="D336" i="2"/>
  <c r="E336" i="2" s="1"/>
  <c r="B336" i="5" s="1"/>
  <c r="B336" i="2"/>
  <c r="C336" i="2" s="1"/>
  <c r="A336" i="5" s="1"/>
  <c r="O335" i="2"/>
  <c r="L335" i="2"/>
  <c r="M335" i="2" s="1"/>
  <c r="N335" i="2" s="1"/>
  <c r="I335" i="2"/>
  <c r="J335" i="2" s="1"/>
  <c r="K335" i="2" s="1"/>
  <c r="F335" i="2"/>
  <c r="G335" i="2" s="1"/>
  <c r="H335" i="2" s="1"/>
  <c r="C335" i="5" s="1"/>
  <c r="D335" i="2"/>
  <c r="E335" i="2" s="1"/>
  <c r="B335" i="5" s="1"/>
  <c r="B335" i="2"/>
  <c r="C335" i="2" s="1"/>
  <c r="A335" i="5" s="1"/>
  <c r="O334" i="2"/>
  <c r="L334" i="2"/>
  <c r="M334" i="2" s="1"/>
  <c r="N334" i="2" s="1"/>
  <c r="E334" i="5" s="1"/>
  <c r="I334" i="2"/>
  <c r="J334" i="2" s="1"/>
  <c r="K334" i="2" s="1"/>
  <c r="F334" i="2"/>
  <c r="G334" i="2" s="1"/>
  <c r="H334" i="2" s="1"/>
  <c r="C334" i="5" s="1"/>
  <c r="D334" i="2"/>
  <c r="E334" i="2" s="1"/>
  <c r="B334" i="5" s="1"/>
  <c r="B334" i="2"/>
  <c r="C334" i="2" s="1"/>
  <c r="A334" i="5" s="1"/>
  <c r="O333" i="2"/>
  <c r="L333" i="2"/>
  <c r="M333" i="2" s="1"/>
  <c r="N333" i="2" s="1"/>
  <c r="I333" i="2"/>
  <c r="J333" i="2" s="1"/>
  <c r="K333" i="2" s="1"/>
  <c r="F333" i="2"/>
  <c r="G333" i="2" s="1"/>
  <c r="H333" i="2" s="1"/>
  <c r="C333" i="5" s="1"/>
  <c r="D333" i="2"/>
  <c r="E333" i="2" s="1"/>
  <c r="B333" i="5" s="1"/>
  <c r="B333" i="2"/>
  <c r="C333" i="2" s="1"/>
  <c r="A333" i="5" s="1"/>
  <c r="O332" i="2"/>
  <c r="L332" i="2"/>
  <c r="M332" i="2" s="1"/>
  <c r="N332" i="2" s="1"/>
  <c r="E332" i="5" s="1"/>
  <c r="I332" i="2"/>
  <c r="J332" i="2" s="1"/>
  <c r="K332" i="2" s="1"/>
  <c r="F332" i="2"/>
  <c r="G332" i="2" s="1"/>
  <c r="H332" i="2" s="1"/>
  <c r="C332" i="5" s="1"/>
  <c r="D332" i="2"/>
  <c r="E332" i="2" s="1"/>
  <c r="B332" i="5" s="1"/>
  <c r="B332" i="2"/>
  <c r="C332" i="2" s="1"/>
  <c r="A332" i="5" s="1"/>
  <c r="O331" i="2"/>
  <c r="L331" i="2"/>
  <c r="M331" i="2" s="1"/>
  <c r="N331" i="2" s="1"/>
  <c r="I331" i="2"/>
  <c r="J331" i="2" s="1"/>
  <c r="K331" i="2" s="1"/>
  <c r="D331" i="5" s="1"/>
  <c r="F331" i="2"/>
  <c r="G331" i="2" s="1"/>
  <c r="H331" i="2" s="1"/>
  <c r="C331" i="5" s="1"/>
  <c r="D331" i="2"/>
  <c r="E331" i="2" s="1"/>
  <c r="B331" i="5" s="1"/>
  <c r="B331" i="2"/>
  <c r="C331" i="2" s="1"/>
  <c r="A331" i="5" s="1"/>
  <c r="O330" i="2"/>
  <c r="L330" i="2"/>
  <c r="M330" i="2" s="1"/>
  <c r="N330" i="2" s="1"/>
  <c r="I330" i="2"/>
  <c r="J330" i="2" s="1"/>
  <c r="K330" i="2" s="1"/>
  <c r="Y330" i="2" s="1"/>
  <c r="F330" i="2"/>
  <c r="G330" i="2" s="1"/>
  <c r="H330" i="2" s="1"/>
  <c r="C330" i="5" s="1"/>
  <c r="D330" i="2"/>
  <c r="E330" i="2" s="1"/>
  <c r="B330" i="5" s="1"/>
  <c r="B330" i="2"/>
  <c r="C330" i="2" s="1"/>
  <c r="A330" i="5" s="1"/>
  <c r="O329" i="2"/>
  <c r="L329" i="2"/>
  <c r="M329" i="2" s="1"/>
  <c r="N329" i="2" s="1"/>
  <c r="I329" i="2"/>
  <c r="J329" i="2" s="1"/>
  <c r="K329" i="2" s="1"/>
  <c r="D329" i="5" s="1"/>
  <c r="F329" i="2"/>
  <c r="G329" i="2" s="1"/>
  <c r="H329" i="2" s="1"/>
  <c r="C329" i="5" s="1"/>
  <c r="D329" i="2"/>
  <c r="E329" i="2" s="1"/>
  <c r="B329" i="5" s="1"/>
  <c r="B329" i="2"/>
  <c r="C329" i="2" s="1"/>
  <c r="A329" i="5" s="1"/>
  <c r="O328" i="2"/>
  <c r="L328" i="2"/>
  <c r="M328" i="2" s="1"/>
  <c r="N328" i="2" s="1"/>
  <c r="I328" i="2"/>
  <c r="J328" i="2" s="1"/>
  <c r="K328" i="2" s="1"/>
  <c r="Y328" i="2" s="1"/>
  <c r="F328" i="2"/>
  <c r="G328" i="2" s="1"/>
  <c r="H328" i="2" s="1"/>
  <c r="C328" i="5" s="1"/>
  <c r="D328" i="2"/>
  <c r="E328" i="2" s="1"/>
  <c r="B328" i="5" s="1"/>
  <c r="B328" i="2"/>
  <c r="C328" i="2" s="1"/>
  <c r="A328" i="5" s="1"/>
  <c r="O327" i="2"/>
  <c r="L327" i="2"/>
  <c r="M327" i="2" s="1"/>
  <c r="N327" i="2" s="1"/>
  <c r="I327" i="2"/>
  <c r="J327" i="2" s="1"/>
  <c r="K327" i="2" s="1"/>
  <c r="F327" i="2"/>
  <c r="G327" i="2" s="1"/>
  <c r="H327" i="2" s="1"/>
  <c r="C327" i="5" s="1"/>
  <c r="D327" i="2"/>
  <c r="E327" i="2" s="1"/>
  <c r="B327" i="5" s="1"/>
  <c r="B327" i="2"/>
  <c r="C327" i="2" s="1"/>
  <c r="A327" i="5" s="1"/>
  <c r="O326" i="2"/>
  <c r="L326" i="2"/>
  <c r="M326" i="2" s="1"/>
  <c r="N326" i="2" s="1"/>
  <c r="E326" i="5" s="1"/>
  <c r="I326" i="2"/>
  <c r="J326" i="2" s="1"/>
  <c r="K326" i="2" s="1"/>
  <c r="F326" i="2"/>
  <c r="G326" i="2" s="1"/>
  <c r="H326" i="2" s="1"/>
  <c r="C326" i="5" s="1"/>
  <c r="D326" i="2"/>
  <c r="E326" i="2" s="1"/>
  <c r="B326" i="5" s="1"/>
  <c r="B326" i="2"/>
  <c r="C326" i="2" s="1"/>
  <c r="A326" i="5" s="1"/>
  <c r="O325" i="2"/>
  <c r="L325" i="2"/>
  <c r="M325" i="2" s="1"/>
  <c r="N325" i="2" s="1"/>
  <c r="I325" i="2"/>
  <c r="J325" i="2" s="1"/>
  <c r="K325" i="2" s="1"/>
  <c r="F325" i="2"/>
  <c r="G325" i="2" s="1"/>
  <c r="H325" i="2" s="1"/>
  <c r="C325" i="5" s="1"/>
  <c r="D325" i="2"/>
  <c r="E325" i="2" s="1"/>
  <c r="B325" i="5" s="1"/>
  <c r="B325" i="2"/>
  <c r="C325" i="2" s="1"/>
  <c r="A325" i="5" s="1"/>
  <c r="O324" i="2"/>
  <c r="L324" i="2"/>
  <c r="M324" i="2" s="1"/>
  <c r="N324" i="2" s="1"/>
  <c r="E324" i="5" s="1"/>
  <c r="I324" i="2"/>
  <c r="J324" i="2" s="1"/>
  <c r="K324" i="2" s="1"/>
  <c r="F324" i="2"/>
  <c r="G324" i="2" s="1"/>
  <c r="H324" i="2" s="1"/>
  <c r="C324" i="5" s="1"/>
  <c r="D324" i="2"/>
  <c r="E324" i="2" s="1"/>
  <c r="B324" i="5" s="1"/>
  <c r="B324" i="2"/>
  <c r="C324" i="2" s="1"/>
  <c r="A324" i="5" s="1"/>
  <c r="O323" i="2"/>
  <c r="L323" i="2"/>
  <c r="M323" i="2" s="1"/>
  <c r="N323" i="2" s="1"/>
  <c r="I323" i="2"/>
  <c r="J323" i="2" s="1"/>
  <c r="K323" i="2" s="1"/>
  <c r="F323" i="2"/>
  <c r="G323" i="2" s="1"/>
  <c r="H323" i="2" s="1"/>
  <c r="C323" i="5" s="1"/>
  <c r="D323" i="2"/>
  <c r="E323" i="2" s="1"/>
  <c r="B323" i="5" s="1"/>
  <c r="B323" i="2"/>
  <c r="C323" i="2" s="1"/>
  <c r="A323" i="5" s="1"/>
  <c r="O322" i="2"/>
  <c r="L322" i="2"/>
  <c r="M322" i="2" s="1"/>
  <c r="N322" i="2" s="1"/>
  <c r="I322" i="2"/>
  <c r="J322" i="2" s="1"/>
  <c r="K322" i="2" s="1"/>
  <c r="Y322" i="2" s="1"/>
  <c r="F322" i="2"/>
  <c r="G322" i="2" s="1"/>
  <c r="H322" i="2" s="1"/>
  <c r="C322" i="5" s="1"/>
  <c r="D322" i="2"/>
  <c r="E322" i="2" s="1"/>
  <c r="B322" i="5" s="1"/>
  <c r="B322" i="2"/>
  <c r="C322" i="2" s="1"/>
  <c r="A322" i="5" s="1"/>
  <c r="O321" i="2"/>
  <c r="L321" i="2"/>
  <c r="M321" i="2" s="1"/>
  <c r="N321" i="2" s="1"/>
  <c r="I321" i="2"/>
  <c r="J321" i="2" s="1"/>
  <c r="K321" i="2" s="1"/>
  <c r="Y321" i="2" s="1"/>
  <c r="F321" i="2"/>
  <c r="G321" i="2" s="1"/>
  <c r="H321" i="2" s="1"/>
  <c r="C321" i="5" s="1"/>
  <c r="D321" i="2"/>
  <c r="E321" i="2" s="1"/>
  <c r="B321" i="5" s="1"/>
  <c r="B321" i="2"/>
  <c r="C321" i="2" s="1"/>
  <c r="A321" i="5" s="1"/>
  <c r="O320" i="2"/>
  <c r="L320" i="2"/>
  <c r="M320" i="2" s="1"/>
  <c r="N320" i="2" s="1"/>
  <c r="E320" i="5" s="1"/>
  <c r="I320" i="2"/>
  <c r="J320" i="2" s="1"/>
  <c r="K320" i="2" s="1"/>
  <c r="F320" i="2"/>
  <c r="G320" i="2" s="1"/>
  <c r="H320" i="2" s="1"/>
  <c r="C320" i="5" s="1"/>
  <c r="D320" i="2"/>
  <c r="E320" i="2" s="1"/>
  <c r="B320" i="5" s="1"/>
  <c r="B320" i="2"/>
  <c r="C320" i="2" s="1"/>
  <c r="A320" i="5" s="1"/>
  <c r="O319" i="2"/>
  <c r="L319" i="2"/>
  <c r="M319" i="2" s="1"/>
  <c r="N319" i="2" s="1"/>
  <c r="I319" i="2"/>
  <c r="J319" i="2" s="1"/>
  <c r="K319" i="2" s="1"/>
  <c r="F319" i="2"/>
  <c r="G319" i="2" s="1"/>
  <c r="H319" i="2" s="1"/>
  <c r="C319" i="5" s="1"/>
  <c r="D319" i="2"/>
  <c r="E319" i="2" s="1"/>
  <c r="B319" i="5" s="1"/>
  <c r="B319" i="2"/>
  <c r="C319" i="2" s="1"/>
  <c r="A319" i="5" s="1"/>
  <c r="O318" i="2"/>
  <c r="L318" i="2"/>
  <c r="M318" i="2" s="1"/>
  <c r="N318" i="2" s="1"/>
  <c r="E318" i="5" s="1"/>
  <c r="I318" i="2"/>
  <c r="J318" i="2" s="1"/>
  <c r="K318" i="2" s="1"/>
  <c r="F318" i="2"/>
  <c r="G318" i="2" s="1"/>
  <c r="H318" i="2" s="1"/>
  <c r="C318" i="5" s="1"/>
  <c r="D318" i="2"/>
  <c r="E318" i="2" s="1"/>
  <c r="B318" i="5" s="1"/>
  <c r="B318" i="2"/>
  <c r="C318" i="2" s="1"/>
  <c r="A318" i="5" s="1"/>
  <c r="O317" i="2"/>
  <c r="L317" i="2"/>
  <c r="M317" i="2" s="1"/>
  <c r="N317" i="2" s="1"/>
  <c r="I317" i="2"/>
  <c r="J317" i="2" s="1"/>
  <c r="K317" i="2" s="1"/>
  <c r="F317" i="2"/>
  <c r="G317" i="2" s="1"/>
  <c r="H317" i="2" s="1"/>
  <c r="C317" i="5" s="1"/>
  <c r="D317" i="2"/>
  <c r="E317" i="2" s="1"/>
  <c r="B317" i="5" s="1"/>
  <c r="B317" i="2"/>
  <c r="C317" i="2" s="1"/>
  <c r="A317" i="5" s="1"/>
  <c r="O316" i="2"/>
  <c r="L316" i="2"/>
  <c r="M316" i="2" s="1"/>
  <c r="N316" i="2" s="1"/>
  <c r="I316" i="2"/>
  <c r="J316" i="2" s="1"/>
  <c r="K316" i="2" s="1"/>
  <c r="F316" i="2"/>
  <c r="G316" i="2" s="1"/>
  <c r="H316" i="2" s="1"/>
  <c r="C316" i="5" s="1"/>
  <c r="D316" i="2"/>
  <c r="E316" i="2" s="1"/>
  <c r="B316" i="5" s="1"/>
  <c r="B316" i="2"/>
  <c r="C316" i="2" s="1"/>
  <c r="A316" i="5" s="1"/>
  <c r="O315" i="2"/>
  <c r="L315" i="2"/>
  <c r="M315" i="2" s="1"/>
  <c r="N315" i="2" s="1"/>
  <c r="I315" i="2"/>
  <c r="J315" i="2" s="1"/>
  <c r="K315" i="2" s="1"/>
  <c r="F315" i="2"/>
  <c r="G315" i="2" s="1"/>
  <c r="H315" i="2" s="1"/>
  <c r="C315" i="5" s="1"/>
  <c r="D315" i="2"/>
  <c r="E315" i="2" s="1"/>
  <c r="B315" i="5" s="1"/>
  <c r="B315" i="2"/>
  <c r="C315" i="2" s="1"/>
  <c r="A315" i="5" s="1"/>
  <c r="O314" i="2"/>
  <c r="L314" i="2"/>
  <c r="M314" i="2" s="1"/>
  <c r="N314" i="2" s="1"/>
  <c r="I314" i="2"/>
  <c r="J314" i="2" s="1"/>
  <c r="K314" i="2" s="1"/>
  <c r="Y314" i="2" s="1"/>
  <c r="F314" i="2"/>
  <c r="G314" i="2" s="1"/>
  <c r="H314" i="2" s="1"/>
  <c r="C314" i="5" s="1"/>
  <c r="D314" i="2"/>
  <c r="E314" i="2" s="1"/>
  <c r="B314" i="5" s="1"/>
  <c r="B314" i="2"/>
  <c r="C314" i="2" s="1"/>
  <c r="O313" i="2"/>
  <c r="L313" i="2"/>
  <c r="M313" i="2" s="1"/>
  <c r="N313" i="2" s="1"/>
  <c r="I313" i="2"/>
  <c r="J313" i="2" s="1"/>
  <c r="K313" i="2" s="1"/>
  <c r="Y313" i="2" s="1"/>
  <c r="F313" i="2"/>
  <c r="G313" i="2" s="1"/>
  <c r="H313" i="2" s="1"/>
  <c r="C313" i="5" s="1"/>
  <c r="D313" i="2"/>
  <c r="E313" i="2" s="1"/>
  <c r="B313" i="5" s="1"/>
  <c r="B313" i="2"/>
  <c r="C313" i="2" s="1"/>
  <c r="A313" i="5" s="1"/>
  <c r="O312" i="2"/>
  <c r="L312" i="2"/>
  <c r="M312" i="2" s="1"/>
  <c r="N312" i="2" s="1"/>
  <c r="E312" i="5" s="1"/>
  <c r="I312" i="2"/>
  <c r="J312" i="2" s="1"/>
  <c r="K312" i="2" s="1"/>
  <c r="F312" i="2"/>
  <c r="G312" i="2" s="1"/>
  <c r="H312" i="2" s="1"/>
  <c r="C312" i="5" s="1"/>
  <c r="D312" i="2"/>
  <c r="E312" i="2" s="1"/>
  <c r="B312" i="5" s="1"/>
  <c r="B312" i="2"/>
  <c r="C312" i="2" s="1"/>
  <c r="A312" i="5" s="1"/>
  <c r="O311" i="2"/>
  <c r="L311" i="2"/>
  <c r="M311" i="2" s="1"/>
  <c r="N311" i="2" s="1"/>
  <c r="I311" i="2"/>
  <c r="J311" i="2" s="1"/>
  <c r="K311" i="2" s="1"/>
  <c r="F311" i="2"/>
  <c r="G311" i="2" s="1"/>
  <c r="H311" i="2" s="1"/>
  <c r="C311" i="5" s="1"/>
  <c r="D311" i="2"/>
  <c r="E311" i="2" s="1"/>
  <c r="B311" i="5" s="1"/>
  <c r="B311" i="2"/>
  <c r="C311" i="2" s="1"/>
  <c r="A311" i="5" s="1"/>
  <c r="O310" i="2"/>
  <c r="L310" i="2"/>
  <c r="M310" i="2" s="1"/>
  <c r="N310" i="2" s="1"/>
  <c r="E310" i="5" s="1"/>
  <c r="I310" i="2"/>
  <c r="J310" i="2" s="1"/>
  <c r="K310" i="2" s="1"/>
  <c r="F310" i="2"/>
  <c r="G310" i="2" s="1"/>
  <c r="H310" i="2" s="1"/>
  <c r="C310" i="5" s="1"/>
  <c r="D310" i="2"/>
  <c r="E310" i="2" s="1"/>
  <c r="B310" i="5" s="1"/>
  <c r="B310" i="2"/>
  <c r="C310" i="2" s="1"/>
  <c r="A310" i="5" s="1"/>
  <c r="O309" i="2"/>
  <c r="L309" i="2"/>
  <c r="M309" i="2" s="1"/>
  <c r="N309" i="2" s="1"/>
  <c r="I309" i="2"/>
  <c r="J309" i="2" s="1"/>
  <c r="K309" i="2" s="1"/>
  <c r="F309" i="2"/>
  <c r="G309" i="2" s="1"/>
  <c r="H309" i="2" s="1"/>
  <c r="C309" i="5" s="1"/>
  <c r="D309" i="2"/>
  <c r="E309" i="2" s="1"/>
  <c r="B309" i="5" s="1"/>
  <c r="B309" i="2"/>
  <c r="C309" i="2" s="1"/>
  <c r="A309" i="5" s="1"/>
  <c r="O308" i="2"/>
  <c r="L308" i="2"/>
  <c r="M308" i="2" s="1"/>
  <c r="N308" i="2" s="1"/>
  <c r="I308" i="2"/>
  <c r="J308" i="2" s="1"/>
  <c r="K308" i="2" s="1"/>
  <c r="F308" i="2"/>
  <c r="G308" i="2" s="1"/>
  <c r="H308" i="2" s="1"/>
  <c r="C308" i="5" s="1"/>
  <c r="D308" i="2"/>
  <c r="E308" i="2" s="1"/>
  <c r="B308" i="5" s="1"/>
  <c r="B308" i="2"/>
  <c r="C308" i="2" s="1"/>
  <c r="A308" i="5" s="1"/>
  <c r="O307" i="2"/>
  <c r="L307" i="2"/>
  <c r="M307" i="2" s="1"/>
  <c r="N307" i="2" s="1"/>
  <c r="I307" i="2"/>
  <c r="J307" i="2" s="1"/>
  <c r="K307" i="2" s="1"/>
  <c r="F307" i="2"/>
  <c r="G307" i="2" s="1"/>
  <c r="H307" i="2" s="1"/>
  <c r="C307" i="5" s="1"/>
  <c r="D307" i="2"/>
  <c r="E307" i="2" s="1"/>
  <c r="B307" i="5" s="1"/>
  <c r="B307" i="2"/>
  <c r="C307" i="2" s="1"/>
  <c r="A307" i="5" s="1"/>
  <c r="O306" i="2"/>
  <c r="L306" i="2"/>
  <c r="M306" i="2" s="1"/>
  <c r="N306" i="2" s="1"/>
  <c r="I306" i="2"/>
  <c r="J306" i="2" s="1"/>
  <c r="K306" i="2" s="1"/>
  <c r="Y306" i="2" s="1"/>
  <c r="F306" i="2"/>
  <c r="G306" i="2" s="1"/>
  <c r="H306" i="2" s="1"/>
  <c r="C306" i="5" s="1"/>
  <c r="D306" i="2"/>
  <c r="E306" i="2" s="1"/>
  <c r="B306" i="5" s="1"/>
  <c r="B306" i="2"/>
  <c r="C306" i="2" s="1"/>
  <c r="O305" i="2"/>
  <c r="L305" i="2"/>
  <c r="M305" i="2" s="1"/>
  <c r="N305" i="2" s="1"/>
  <c r="I305" i="2"/>
  <c r="J305" i="2" s="1"/>
  <c r="K305" i="2" s="1"/>
  <c r="Y305" i="2" s="1"/>
  <c r="F305" i="2"/>
  <c r="G305" i="2" s="1"/>
  <c r="H305" i="2" s="1"/>
  <c r="C305" i="5" s="1"/>
  <c r="D305" i="2"/>
  <c r="E305" i="2" s="1"/>
  <c r="B305" i="5" s="1"/>
  <c r="B305" i="2"/>
  <c r="C305" i="2" s="1"/>
  <c r="A305" i="5" s="1"/>
  <c r="O304" i="2"/>
  <c r="L304" i="2"/>
  <c r="M304" i="2" s="1"/>
  <c r="N304" i="2" s="1"/>
  <c r="I304" i="2"/>
  <c r="J304" i="2" s="1"/>
  <c r="K304" i="2" s="1"/>
  <c r="F304" i="2"/>
  <c r="G304" i="2" s="1"/>
  <c r="H304" i="2" s="1"/>
  <c r="C304" i="5" s="1"/>
  <c r="D304" i="2"/>
  <c r="E304" i="2" s="1"/>
  <c r="B304" i="5" s="1"/>
  <c r="B304" i="2"/>
  <c r="C304" i="2" s="1"/>
  <c r="A304" i="5" s="1"/>
  <c r="O303" i="2"/>
  <c r="L303" i="2"/>
  <c r="M303" i="2" s="1"/>
  <c r="N303" i="2" s="1"/>
  <c r="I303" i="2"/>
  <c r="J303" i="2" s="1"/>
  <c r="K303" i="2" s="1"/>
  <c r="F303" i="2"/>
  <c r="G303" i="2" s="1"/>
  <c r="H303" i="2" s="1"/>
  <c r="C303" i="5" s="1"/>
  <c r="D303" i="2"/>
  <c r="E303" i="2" s="1"/>
  <c r="B303" i="5" s="1"/>
  <c r="B303" i="2"/>
  <c r="C303" i="2" s="1"/>
  <c r="A303" i="5" s="1"/>
  <c r="O302" i="2"/>
  <c r="L302" i="2"/>
  <c r="M302" i="2" s="1"/>
  <c r="N302" i="2" s="1"/>
  <c r="E302" i="5" s="1"/>
  <c r="I302" i="2"/>
  <c r="J302" i="2" s="1"/>
  <c r="K302" i="2" s="1"/>
  <c r="F302" i="2"/>
  <c r="G302" i="2" s="1"/>
  <c r="H302" i="2" s="1"/>
  <c r="C302" i="5" s="1"/>
  <c r="D302" i="2"/>
  <c r="E302" i="2" s="1"/>
  <c r="B302" i="5" s="1"/>
  <c r="B302" i="2"/>
  <c r="C302" i="2" s="1"/>
  <c r="A302" i="5" s="1"/>
  <c r="O301" i="2"/>
  <c r="L301" i="2"/>
  <c r="M301" i="2" s="1"/>
  <c r="N301" i="2" s="1"/>
  <c r="I301" i="2"/>
  <c r="J301" i="2" s="1"/>
  <c r="K301" i="2" s="1"/>
  <c r="F301" i="2"/>
  <c r="G301" i="2" s="1"/>
  <c r="H301" i="2" s="1"/>
  <c r="C301" i="5" s="1"/>
  <c r="D301" i="2"/>
  <c r="E301" i="2" s="1"/>
  <c r="B301" i="5" s="1"/>
  <c r="B301" i="2"/>
  <c r="C301" i="2" s="1"/>
  <c r="A301" i="5" s="1"/>
  <c r="O300" i="2"/>
  <c r="L300" i="2"/>
  <c r="M300" i="2" s="1"/>
  <c r="N300" i="2" s="1"/>
  <c r="I300" i="2"/>
  <c r="J300" i="2" s="1"/>
  <c r="K300" i="2" s="1"/>
  <c r="F300" i="2"/>
  <c r="G300" i="2" s="1"/>
  <c r="H300" i="2" s="1"/>
  <c r="C300" i="5" s="1"/>
  <c r="D300" i="2"/>
  <c r="E300" i="2" s="1"/>
  <c r="B300" i="5" s="1"/>
  <c r="B300" i="2"/>
  <c r="C300" i="2" s="1"/>
  <c r="A300" i="5" s="1"/>
  <c r="O299" i="2"/>
  <c r="L299" i="2"/>
  <c r="M299" i="2" s="1"/>
  <c r="N299" i="2" s="1"/>
  <c r="I299" i="2"/>
  <c r="J299" i="2" s="1"/>
  <c r="K299" i="2" s="1"/>
  <c r="F299" i="2"/>
  <c r="G299" i="2" s="1"/>
  <c r="H299" i="2" s="1"/>
  <c r="C299" i="5" s="1"/>
  <c r="D299" i="2"/>
  <c r="E299" i="2" s="1"/>
  <c r="B299" i="5" s="1"/>
  <c r="B299" i="2"/>
  <c r="C299" i="2" s="1"/>
  <c r="A299" i="5" s="1"/>
  <c r="O298" i="2"/>
  <c r="L298" i="2"/>
  <c r="M298" i="2" s="1"/>
  <c r="N298" i="2" s="1"/>
  <c r="I298" i="2"/>
  <c r="J298" i="2" s="1"/>
  <c r="K298" i="2" s="1"/>
  <c r="Y298" i="2" s="1"/>
  <c r="F298" i="2"/>
  <c r="G298" i="2" s="1"/>
  <c r="H298" i="2" s="1"/>
  <c r="C298" i="5" s="1"/>
  <c r="D298" i="2"/>
  <c r="E298" i="2" s="1"/>
  <c r="B298" i="5" s="1"/>
  <c r="B298" i="2"/>
  <c r="C298" i="2" s="1"/>
  <c r="O297" i="2"/>
  <c r="L297" i="2"/>
  <c r="M297" i="2" s="1"/>
  <c r="N297" i="2" s="1"/>
  <c r="I297" i="2"/>
  <c r="J297" i="2" s="1"/>
  <c r="K297" i="2" s="1"/>
  <c r="Y297" i="2" s="1"/>
  <c r="F297" i="2"/>
  <c r="G297" i="2" s="1"/>
  <c r="H297" i="2" s="1"/>
  <c r="C297" i="5" s="1"/>
  <c r="D297" i="2"/>
  <c r="E297" i="2" s="1"/>
  <c r="B297" i="5" s="1"/>
  <c r="B297" i="2"/>
  <c r="C297" i="2" s="1"/>
  <c r="A297" i="5" s="1"/>
  <c r="O296" i="2"/>
  <c r="L296" i="2"/>
  <c r="M296" i="2" s="1"/>
  <c r="N296" i="2" s="1"/>
  <c r="E296" i="5" s="1"/>
  <c r="I296" i="2"/>
  <c r="J296" i="2" s="1"/>
  <c r="K296" i="2" s="1"/>
  <c r="F296" i="2"/>
  <c r="G296" i="2" s="1"/>
  <c r="H296" i="2" s="1"/>
  <c r="C296" i="5" s="1"/>
  <c r="D296" i="2"/>
  <c r="E296" i="2" s="1"/>
  <c r="B296" i="5" s="1"/>
  <c r="B296" i="2"/>
  <c r="C296" i="2" s="1"/>
  <c r="A296" i="5" s="1"/>
  <c r="O295" i="2"/>
  <c r="L295" i="2"/>
  <c r="M295" i="2" s="1"/>
  <c r="N295" i="2" s="1"/>
  <c r="I295" i="2"/>
  <c r="J295" i="2" s="1"/>
  <c r="K295" i="2" s="1"/>
  <c r="Z295" i="2" s="1"/>
  <c r="F295" i="2"/>
  <c r="G295" i="2" s="1"/>
  <c r="H295" i="2" s="1"/>
  <c r="C295" i="5" s="1"/>
  <c r="D295" i="2"/>
  <c r="E295" i="2" s="1"/>
  <c r="B295" i="5" s="1"/>
  <c r="B295" i="2"/>
  <c r="C295" i="2" s="1"/>
  <c r="A295" i="5" s="1"/>
  <c r="O294" i="2"/>
  <c r="L294" i="2"/>
  <c r="M294" i="2" s="1"/>
  <c r="N294" i="2" s="1"/>
  <c r="E294" i="5" s="1"/>
  <c r="I294" i="2"/>
  <c r="J294" i="2" s="1"/>
  <c r="K294" i="2" s="1"/>
  <c r="F294" i="2"/>
  <c r="G294" i="2" s="1"/>
  <c r="H294" i="2" s="1"/>
  <c r="C294" i="5" s="1"/>
  <c r="D294" i="2"/>
  <c r="E294" i="2" s="1"/>
  <c r="B294" i="5" s="1"/>
  <c r="B294" i="2"/>
  <c r="C294" i="2" s="1"/>
  <c r="O293" i="2"/>
  <c r="L293" i="2"/>
  <c r="M293" i="2" s="1"/>
  <c r="N293" i="2" s="1"/>
  <c r="I293" i="2"/>
  <c r="J293" i="2" s="1"/>
  <c r="K293" i="2" s="1"/>
  <c r="F293" i="2"/>
  <c r="G293" i="2" s="1"/>
  <c r="H293" i="2" s="1"/>
  <c r="C293" i="5" s="1"/>
  <c r="D293" i="2"/>
  <c r="E293" i="2" s="1"/>
  <c r="B293" i="5" s="1"/>
  <c r="B293" i="2"/>
  <c r="C293" i="2" s="1"/>
  <c r="A293" i="5" s="1"/>
  <c r="O292" i="2"/>
  <c r="L292" i="2"/>
  <c r="M292" i="2" s="1"/>
  <c r="N292" i="2" s="1"/>
  <c r="I292" i="2"/>
  <c r="J292" i="2" s="1"/>
  <c r="K292" i="2" s="1"/>
  <c r="F292" i="2"/>
  <c r="G292" i="2" s="1"/>
  <c r="H292" i="2" s="1"/>
  <c r="C292" i="5" s="1"/>
  <c r="D292" i="2"/>
  <c r="E292" i="2" s="1"/>
  <c r="B292" i="5" s="1"/>
  <c r="B292" i="2"/>
  <c r="C292" i="2" s="1"/>
  <c r="A292" i="5" s="1"/>
  <c r="O291" i="2"/>
  <c r="L291" i="2"/>
  <c r="M291" i="2" s="1"/>
  <c r="N291" i="2" s="1"/>
  <c r="I291" i="2"/>
  <c r="J291" i="2" s="1"/>
  <c r="K291" i="2" s="1"/>
  <c r="F291" i="2"/>
  <c r="G291" i="2" s="1"/>
  <c r="H291" i="2" s="1"/>
  <c r="C291" i="5" s="1"/>
  <c r="D291" i="2"/>
  <c r="E291" i="2" s="1"/>
  <c r="B291" i="5" s="1"/>
  <c r="B291" i="2"/>
  <c r="C291" i="2" s="1"/>
  <c r="A291" i="5" s="1"/>
  <c r="O290" i="2"/>
  <c r="L290" i="2"/>
  <c r="M290" i="2" s="1"/>
  <c r="N290" i="2" s="1"/>
  <c r="I290" i="2"/>
  <c r="J290" i="2" s="1"/>
  <c r="K290" i="2" s="1"/>
  <c r="Y290" i="2" s="1"/>
  <c r="F290" i="2"/>
  <c r="G290" i="2" s="1"/>
  <c r="H290" i="2" s="1"/>
  <c r="C290" i="5" s="1"/>
  <c r="D290" i="2"/>
  <c r="E290" i="2" s="1"/>
  <c r="B290" i="5" s="1"/>
  <c r="B290" i="2"/>
  <c r="C290" i="2" s="1"/>
  <c r="A290" i="5" s="1"/>
  <c r="O289" i="2"/>
  <c r="L289" i="2"/>
  <c r="M289" i="2" s="1"/>
  <c r="N289" i="2" s="1"/>
  <c r="I289" i="2"/>
  <c r="J289" i="2" s="1"/>
  <c r="K289" i="2" s="1"/>
  <c r="Y289" i="2" s="1"/>
  <c r="F289" i="2"/>
  <c r="G289" i="2" s="1"/>
  <c r="H289" i="2" s="1"/>
  <c r="C289" i="5" s="1"/>
  <c r="D289" i="2"/>
  <c r="E289" i="2" s="1"/>
  <c r="B289" i="5" s="1"/>
  <c r="B289" i="2"/>
  <c r="C289" i="2" s="1"/>
  <c r="A289" i="5" s="1"/>
  <c r="O288" i="2"/>
  <c r="L288" i="2"/>
  <c r="M288" i="2" s="1"/>
  <c r="N288" i="2" s="1"/>
  <c r="E288" i="5" s="1"/>
  <c r="I288" i="2"/>
  <c r="J288" i="2" s="1"/>
  <c r="K288" i="2" s="1"/>
  <c r="F288" i="2"/>
  <c r="G288" i="2" s="1"/>
  <c r="H288" i="2" s="1"/>
  <c r="C288" i="5" s="1"/>
  <c r="D288" i="2"/>
  <c r="E288" i="2" s="1"/>
  <c r="B288" i="5" s="1"/>
  <c r="B288" i="2"/>
  <c r="C288" i="2" s="1"/>
  <c r="A288" i="5" s="1"/>
  <c r="O287" i="2"/>
  <c r="L287" i="2"/>
  <c r="M287" i="2" s="1"/>
  <c r="N287" i="2" s="1"/>
  <c r="I287" i="2"/>
  <c r="J287" i="2" s="1"/>
  <c r="K287" i="2" s="1"/>
  <c r="F287" i="2"/>
  <c r="G287" i="2" s="1"/>
  <c r="H287" i="2" s="1"/>
  <c r="C287" i="5" s="1"/>
  <c r="D287" i="2"/>
  <c r="E287" i="2" s="1"/>
  <c r="B287" i="5" s="1"/>
  <c r="B287" i="2"/>
  <c r="C287" i="2" s="1"/>
  <c r="A287" i="5" s="1"/>
  <c r="O286" i="2"/>
  <c r="L286" i="2"/>
  <c r="M286" i="2" s="1"/>
  <c r="N286" i="2" s="1"/>
  <c r="E286" i="5" s="1"/>
  <c r="I286" i="2"/>
  <c r="J286" i="2" s="1"/>
  <c r="K286" i="2" s="1"/>
  <c r="F286" i="2"/>
  <c r="G286" i="2" s="1"/>
  <c r="H286" i="2" s="1"/>
  <c r="C286" i="5" s="1"/>
  <c r="D286" i="2"/>
  <c r="E286" i="2" s="1"/>
  <c r="B286" i="5" s="1"/>
  <c r="B286" i="2"/>
  <c r="C286" i="2" s="1"/>
  <c r="O285" i="2"/>
  <c r="L285" i="2"/>
  <c r="M285" i="2" s="1"/>
  <c r="N285" i="2" s="1"/>
  <c r="I285" i="2"/>
  <c r="J285" i="2" s="1"/>
  <c r="K285" i="2" s="1"/>
  <c r="F285" i="2"/>
  <c r="G285" i="2" s="1"/>
  <c r="H285" i="2" s="1"/>
  <c r="C285" i="5" s="1"/>
  <c r="D285" i="2"/>
  <c r="E285" i="2" s="1"/>
  <c r="B285" i="5" s="1"/>
  <c r="B285" i="2"/>
  <c r="C285" i="2" s="1"/>
  <c r="A285" i="5" s="1"/>
  <c r="O284" i="2"/>
  <c r="L284" i="2"/>
  <c r="M284" i="2" s="1"/>
  <c r="N284" i="2" s="1"/>
  <c r="I284" i="2"/>
  <c r="J284" i="2" s="1"/>
  <c r="K284" i="2" s="1"/>
  <c r="F284" i="2"/>
  <c r="G284" i="2" s="1"/>
  <c r="H284" i="2" s="1"/>
  <c r="C284" i="5" s="1"/>
  <c r="D284" i="2"/>
  <c r="E284" i="2" s="1"/>
  <c r="B284" i="5" s="1"/>
  <c r="B284" i="2"/>
  <c r="C284" i="2" s="1"/>
  <c r="A284" i="5" s="1"/>
  <c r="O283" i="2"/>
  <c r="L283" i="2"/>
  <c r="M283" i="2" s="1"/>
  <c r="N283" i="2" s="1"/>
  <c r="I283" i="2"/>
  <c r="J283" i="2" s="1"/>
  <c r="K283" i="2" s="1"/>
  <c r="F283" i="2"/>
  <c r="G283" i="2" s="1"/>
  <c r="H283" i="2" s="1"/>
  <c r="C283" i="5" s="1"/>
  <c r="D283" i="2"/>
  <c r="E283" i="2" s="1"/>
  <c r="B283" i="5" s="1"/>
  <c r="B283" i="2"/>
  <c r="C283" i="2" s="1"/>
  <c r="A283" i="5" s="1"/>
  <c r="O282" i="2"/>
  <c r="L282" i="2"/>
  <c r="M282" i="2" s="1"/>
  <c r="N282" i="2" s="1"/>
  <c r="I282" i="2"/>
  <c r="J282" i="2" s="1"/>
  <c r="K282" i="2" s="1"/>
  <c r="Y282" i="2" s="1"/>
  <c r="F282" i="2"/>
  <c r="G282" i="2" s="1"/>
  <c r="H282" i="2" s="1"/>
  <c r="C282" i="5" s="1"/>
  <c r="D282" i="2"/>
  <c r="E282" i="2" s="1"/>
  <c r="B282" i="5" s="1"/>
  <c r="B282" i="2"/>
  <c r="C282" i="2" s="1"/>
  <c r="A282" i="5" s="1"/>
  <c r="O281" i="2"/>
  <c r="L281" i="2"/>
  <c r="M281" i="2" s="1"/>
  <c r="N281" i="2" s="1"/>
  <c r="I281" i="2"/>
  <c r="J281" i="2" s="1"/>
  <c r="K281" i="2" s="1"/>
  <c r="Y281" i="2" s="1"/>
  <c r="F281" i="2"/>
  <c r="G281" i="2" s="1"/>
  <c r="H281" i="2" s="1"/>
  <c r="C281" i="5" s="1"/>
  <c r="D281" i="2"/>
  <c r="E281" i="2" s="1"/>
  <c r="B281" i="5" s="1"/>
  <c r="B281" i="2"/>
  <c r="C281" i="2" s="1"/>
  <c r="A281" i="5" s="1"/>
  <c r="O280" i="2"/>
  <c r="L280" i="2"/>
  <c r="M280" i="2" s="1"/>
  <c r="N280" i="2" s="1"/>
  <c r="E280" i="5" s="1"/>
  <c r="I280" i="2"/>
  <c r="J280" i="2" s="1"/>
  <c r="K280" i="2" s="1"/>
  <c r="F280" i="2"/>
  <c r="G280" i="2" s="1"/>
  <c r="H280" i="2" s="1"/>
  <c r="C280" i="5" s="1"/>
  <c r="D280" i="2"/>
  <c r="E280" i="2" s="1"/>
  <c r="B280" i="5" s="1"/>
  <c r="B280" i="2"/>
  <c r="C280" i="2" s="1"/>
  <c r="A280" i="5" s="1"/>
  <c r="O279" i="2"/>
  <c r="L279" i="2"/>
  <c r="M279" i="2" s="1"/>
  <c r="N279" i="2" s="1"/>
  <c r="I279" i="2"/>
  <c r="J279" i="2" s="1"/>
  <c r="K279" i="2" s="1"/>
  <c r="Z279" i="2" s="1"/>
  <c r="F279" i="2"/>
  <c r="G279" i="2" s="1"/>
  <c r="H279" i="2" s="1"/>
  <c r="C279" i="5" s="1"/>
  <c r="D279" i="2"/>
  <c r="E279" i="2" s="1"/>
  <c r="B279" i="5" s="1"/>
  <c r="B279" i="2"/>
  <c r="C279" i="2" s="1"/>
  <c r="A279" i="5" s="1"/>
  <c r="O278" i="2"/>
  <c r="L278" i="2"/>
  <c r="M278" i="2" s="1"/>
  <c r="N278" i="2" s="1"/>
  <c r="E278" i="5" s="1"/>
  <c r="I278" i="2"/>
  <c r="J278" i="2" s="1"/>
  <c r="K278" i="2" s="1"/>
  <c r="F278" i="2"/>
  <c r="G278" i="2" s="1"/>
  <c r="H278" i="2" s="1"/>
  <c r="C278" i="5" s="1"/>
  <c r="D278" i="2"/>
  <c r="E278" i="2" s="1"/>
  <c r="B278" i="5" s="1"/>
  <c r="B278" i="2"/>
  <c r="C278" i="2" s="1"/>
  <c r="A278" i="5" s="1"/>
  <c r="O277" i="2"/>
  <c r="L277" i="2"/>
  <c r="M277" i="2" s="1"/>
  <c r="N277" i="2" s="1"/>
  <c r="I277" i="2"/>
  <c r="J277" i="2" s="1"/>
  <c r="K277" i="2" s="1"/>
  <c r="F277" i="2"/>
  <c r="G277" i="2" s="1"/>
  <c r="H277" i="2" s="1"/>
  <c r="C277" i="5" s="1"/>
  <c r="D277" i="2"/>
  <c r="E277" i="2" s="1"/>
  <c r="B277" i="5" s="1"/>
  <c r="B277" i="2"/>
  <c r="C277" i="2" s="1"/>
  <c r="A277" i="5" s="1"/>
  <c r="O276" i="2"/>
  <c r="L276" i="2"/>
  <c r="M276" i="2" s="1"/>
  <c r="N276" i="2" s="1"/>
  <c r="I276" i="2"/>
  <c r="J276" i="2" s="1"/>
  <c r="K276" i="2" s="1"/>
  <c r="F276" i="2"/>
  <c r="G276" i="2" s="1"/>
  <c r="H276" i="2" s="1"/>
  <c r="C276" i="5" s="1"/>
  <c r="D276" i="2"/>
  <c r="E276" i="2" s="1"/>
  <c r="B276" i="5" s="1"/>
  <c r="B276" i="2"/>
  <c r="C276" i="2" s="1"/>
  <c r="A276" i="5" s="1"/>
  <c r="O275" i="2"/>
  <c r="L275" i="2"/>
  <c r="M275" i="2" s="1"/>
  <c r="N275" i="2" s="1"/>
  <c r="I275" i="2"/>
  <c r="J275" i="2" s="1"/>
  <c r="K275" i="2" s="1"/>
  <c r="F275" i="2"/>
  <c r="G275" i="2" s="1"/>
  <c r="H275" i="2" s="1"/>
  <c r="C275" i="5" s="1"/>
  <c r="D275" i="2"/>
  <c r="E275" i="2" s="1"/>
  <c r="B275" i="5" s="1"/>
  <c r="B275" i="2"/>
  <c r="C275" i="2" s="1"/>
  <c r="A275" i="5" s="1"/>
  <c r="O274" i="2"/>
  <c r="L274" i="2"/>
  <c r="M274" i="2" s="1"/>
  <c r="N274" i="2" s="1"/>
  <c r="I274" i="2"/>
  <c r="J274" i="2" s="1"/>
  <c r="K274" i="2" s="1"/>
  <c r="Y274" i="2" s="1"/>
  <c r="F274" i="2"/>
  <c r="G274" i="2" s="1"/>
  <c r="H274" i="2" s="1"/>
  <c r="C274" i="5" s="1"/>
  <c r="D274" i="2"/>
  <c r="E274" i="2" s="1"/>
  <c r="B274" i="5" s="1"/>
  <c r="B274" i="2"/>
  <c r="C274" i="2" s="1"/>
  <c r="O273" i="2"/>
  <c r="L273" i="2"/>
  <c r="M273" i="2" s="1"/>
  <c r="N273" i="2" s="1"/>
  <c r="I273" i="2"/>
  <c r="J273" i="2" s="1"/>
  <c r="K273" i="2" s="1"/>
  <c r="Y273" i="2" s="1"/>
  <c r="F273" i="2"/>
  <c r="G273" i="2" s="1"/>
  <c r="H273" i="2" s="1"/>
  <c r="C273" i="5" s="1"/>
  <c r="D273" i="2"/>
  <c r="E273" i="2" s="1"/>
  <c r="B273" i="5" s="1"/>
  <c r="B273" i="2"/>
  <c r="C273" i="2" s="1"/>
  <c r="A273" i="5" s="1"/>
  <c r="O272" i="2"/>
  <c r="L272" i="2"/>
  <c r="M272" i="2" s="1"/>
  <c r="N272" i="2" s="1"/>
  <c r="I272" i="2"/>
  <c r="J272" i="2" s="1"/>
  <c r="K272" i="2" s="1"/>
  <c r="F272" i="2"/>
  <c r="G272" i="2" s="1"/>
  <c r="H272" i="2" s="1"/>
  <c r="C272" i="5" s="1"/>
  <c r="D272" i="2"/>
  <c r="E272" i="2" s="1"/>
  <c r="B272" i="5" s="1"/>
  <c r="B272" i="2"/>
  <c r="C272" i="2" s="1"/>
  <c r="A272" i="5" s="1"/>
  <c r="O271" i="2"/>
  <c r="L271" i="2"/>
  <c r="M271" i="2" s="1"/>
  <c r="N271" i="2" s="1"/>
  <c r="I271" i="2"/>
  <c r="J271" i="2" s="1"/>
  <c r="K271" i="2" s="1"/>
  <c r="F271" i="2"/>
  <c r="G271" i="2" s="1"/>
  <c r="H271" i="2" s="1"/>
  <c r="C271" i="5" s="1"/>
  <c r="D271" i="2"/>
  <c r="E271" i="2" s="1"/>
  <c r="B271" i="5" s="1"/>
  <c r="B271" i="2"/>
  <c r="C271" i="2" s="1"/>
  <c r="A271" i="5" s="1"/>
  <c r="O270" i="2"/>
  <c r="L270" i="2"/>
  <c r="M270" i="2" s="1"/>
  <c r="N270" i="2" s="1"/>
  <c r="E270" i="5" s="1"/>
  <c r="I270" i="2"/>
  <c r="J270" i="2" s="1"/>
  <c r="K270" i="2" s="1"/>
  <c r="F270" i="2"/>
  <c r="G270" i="2" s="1"/>
  <c r="H270" i="2" s="1"/>
  <c r="C270" i="5" s="1"/>
  <c r="D270" i="2"/>
  <c r="E270" i="2" s="1"/>
  <c r="B270" i="5" s="1"/>
  <c r="B270" i="2"/>
  <c r="C270" i="2" s="1"/>
  <c r="A270" i="5" s="1"/>
  <c r="O269" i="2"/>
  <c r="L269" i="2"/>
  <c r="M269" i="2" s="1"/>
  <c r="N269" i="2" s="1"/>
  <c r="I269" i="2"/>
  <c r="J269" i="2" s="1"/>
  <c r="K269" i="2" s="1"/>
  <c r="F269" i="2"/>
  <c r="G269" i="2" s="1"/>
  <c r="H269" i="2" s="1"/>
  <c r="C269" i="5" s="1"/>
  <c r="D269" i="2"/>
  <c r="E269" i="2" s="1"/>
  <c r="B269" i="5" s="1"/>
  <c r="B269" i="2"/>
  <c r="C269" i="2" s="1"/>
  <c r="A269" i="5" s="1"/>
  <c r="O268" i="2"/>
  <c r="L268" i="2"/>
  <c r="M268" i="2" s="1"/>
  <c r="N268" i="2" s="1"/>
  <c r="I268" i="2"/>
  <c r="J268" i="2" s="1"/>
  <c r="K268" i="2" s="1"/>
  <c r="F268" i="2"/>
  <c r="G268" i="2" s="1"/>
  <c r="H268" i="2" s="1"/>
  <c r="C268" i="5" s="1"/>
  <c r="D268" i="2"/>
  <c r="E268" i="2" s="1"/>
  <c r="B268" i="5" s="1"/>
  <c r="B268" i="2"/>
  <c r="C268" i="2" s="1"/>
  <c r="A268" i="5" s="1"/>
  <c r="O267" i="2"/>
  <c r="L267" i="2"/>
  <c r="M267" i="2" s="1"/>
  <c r="N267" i="2" s="1"/>
  <c r="I267" i="2"/>
  <c r="J267" i="2" s="1"/>
  <c r="K267" i="2" s="1"/>
  <c r="F267" i="2"/>
  <c r="G267" i="2" s="1"/>
  <c r="H267" i="2" s="1"/>
  <c r="C267" i="5" s="1"/>
  <c r="D267" i="2"/>
  <c r="E267" i="2" s="1"/>
  <c r="B267" i="5" s="1"/>
  <c r="B267" i="2"/>
  <c r="C267" i="2" s="1"/>
  <c r="A267" i="5" s="1"/>
  <c r="O266" i="2"/>
  <c r="L266" i="2"/>
  <c r="M266" i="2" s="1"/>
  <c r="N266" i="2" s="1"/>
  <c r="I266" i="2"/>
  <c r="J266" i="2" s="1"/>
  <c r="K266" i="2" s="1"/>
  <c r="Y266" i="2" s="1"/>
  <c r="F266" i="2"/>
  <c r="G266" i="2" s="1"/>
  <c r="H266" i="2" s="1"/>
  <c r="C266" i="5" s="1"/>
  <c r="D266" i="2"/>
  <c r="E266" i="2" s="1"/>
  <c r="B266" i="5" s="1"/>
  <c r="B266" i="2"/>
  <c r="C266" i="2" s="1"/>
  <c r="O265" i="2"/>
  <c r="L265" i="2"/>
  <c r="M265" i="2" s="1"/>
  <c r="N265" i="2" s="1"/>
  <c r="I265" i="2"/>
  <c r="J265" i="2" s="1"/>
  <c r="K265" i="2" s="1"/>
  <c r="Y265" i="2" s="1"/>
  <c r="F265" i="2"/>
  <c r="G265" i="2" s="1"/>
  <c r="H265" i="2" s="1"/>
  <c r="C265" i="5" s="1"/>
  <c r="D265" i="2"/>
  <c r="E265" i="2" s="1"/>
  <c r="B265" i="5" s="1"/>
  <c r="B265" i="2"/>
  <c r="C265" i="2" s="1"/>
  <c r="A265" i="5" s="1"/>
  <c r="O264" i="2"/>
  <c r="L264" i="2"/>
  <c r="M264" i="2" s="1"/>
  <c r="N264" i="2" s="1"/>
  <c r="E264" i="5" s="1"/>
  <c r="I264" i="2"/>
  <c r="J264" i="2" s="1"/>
  <c r="K264" i="2" s="1"/>
  <c r="F264" i="2"/>
  <c r="G264" i="2" s="1"/>
  <c r="H264" i="2" s="1"/>
  <c r="C264" i="5" s="1"/>
  <c r="D264" i="2"/>
  <c r="E264" i="2" s="1"/>
  <c r="B264" i="5" s="1"/>
  <c r="B264" i="2"/>
  <c r="C264" i="2" s="1"/>
  <c r="A264" i="5" s="1"/>
  <c r="O263" i="2"/>
  <c r="L263" i="2"/>
  <c r="M263" i="2" s="1"/>
  <c r="N263" i="2" s="1"/>
  <c r="I263" i="2"/>
  <c r="J263" i="2" s="1"/>
  <c r="K263" i="2" s="1"/>
  <c r="F263" i="2"/>
  <c r="G263" i="2" s="1"/>
  <c r="H263" i="2" s="1"/>
  <c r="C263" i="5" s="1"/>
  <c r="D263" i="2"/>
  <c r="E263" i="2" s="1"/>
  <c r="B263" i="5" s="1"/>
  <c r="B263" i="2"/>
  <c r="C263" i="2" s="1"/>
  <c r="A263" i="5" s="1"/>
  <c r="O262" i="2"/>
  <c r="L262" i="2"/>
  <c r="M262" i="2" s="1"/>
  <c r="N262" i="2" s="1"/>
  <c r="E262" i="5" s="1"/>
  <c r="I262" i="2"/>
  <c r="J262" i="2" s="1"/>
  <c r="K262" i="2" s="1"/>
  <c r="F262" i="2"/>
  <c r="G262" i="2" s="1"/>
  <c r="H262" i="2" s="1"/>
  <c r="C262" i="5" s="1"/>
  <c r="D262" i="2"/>
  <c r="E262" i="2" s="1"/>
  <c r="B262" i="5" s="1"/>
  <c r="B262" i="2"/>
  <c r="C262" i="2" s="1"/>
  <c r="A262" i="5" s="1"/>
  <c r="O261" i="2"/>
  <c r="L261" i="2"/>
  <c r="M261" i="2" s="1"/>
  <c r="N261" i="2" s="1"/>
  <c r="I261" i="2"/>
  <c r="J261" i="2" s="1"/>
  <c r="K261" i="2" s="1"/>
  <c r="F261" i="2"/>
  <c r="G261" i="2" s="1"/>
  <c r="H261" i="2" s="1"/>
  <c r="C261" i="5" s="1"/>
  <c r="D261" i="2"/>
  <c r="E261" i="2" s="1"/>
  <c r="B261" i="5" s="1"/>
  <c r="B261" i="2"/>
  <c r="C261" i="2" s="1"/>
  <c r="A261" i="5" s="1"/>
  <c r="O260" i="2"/>
  <c r="L260" i="2"/>
  <c r="M260" i="2" s="1"/>
  <c r="N260" i="2" s="1"/>
  <c r="I260" i="2"/>
  <c r="J260" i="2" s="1"/>
  <c r="K260" i="2" s="1"/>
  <c r="F260" i="2"/>
  <c r="G260" i="2" s="1"/>
  <c r="H260" i="2" s="1"/>
  <c r="C260" i="5" s="1"/>
  <c r="D260" i="2"/>
  <c r="E260" i="2" s="1"/>
  <c r="B260" i="5" s="1"/>
  <c r="B260" i="2"/>
  <c r="C260" i="2" s="1"/>
  <c r="A260" i="5" s="1"/>
  <c r="O259" i="2"/>
  <c r="L259" i="2"/>
  <c r="M259" i="2" s="1"/>
  <c r="N259" i="2" s="1"/>
  <c r="I259" i="2"/>
  <c r="J259" i="2" s="1"/>
  <c r="K259" i="2" s="1"/>
  <c r="F259" i="2"/>
  <c r="G259" i="2" s="1"/>
  <c r="H259" i="2" s="1"/>
  <c r="C259" i="5" s="1"/>
  <c r="D259" i="2"/>
  <c r="E259" i="2" s="1"/>
  <c r="B259" i="5" s="1"/>
  <c r="B259" i="2"/>
  <c r="C259" i="2" s="1"/>
  <c r="A259" i="5" s="1"/>
  <c r="O258" i="2"/>
  <c r="L258" i="2"/>
  <c r="M258" i="2" s="1"/>
  <c r="N258" i="2" s="1"/>
  <c r="I258" i="2"/>
  <c r="J258" i="2" s="1"/>
  <c r="K258" i="2" s="1"/>
  <c r="Y258" i="2" s="1"/>
  <c r="F258" i="2"/>
  <c r="G258" i="2" s="1"/>
  <c r="H258" i="2" s="1"/>
  <c r="C258" i="5" s="1"/>
  <c r="D258" i="2"/>
  <c r="E258" i="2" s="1"/>
  <c r="B258" i="5" s="1"/>
  <c r="B258" i="2"/>
  <c r="C258" i="2" s="1"/>
  <c r="A258" i="5" s="1"/>
  <c r="O257" i="2"/>
  <c r="L257" i="2"/>
  <c r="M257" i="2" s="1"/>
  <c r="N257" i="2" s="1"/>
  <c r="I257" i="2"/>
  <c r="J257" i="2" s="1"/>
  <c r="K257" i="2" s="1"/>
  <c r="Y257" i="2" s="1"/>
  <c r="F257" i="2"/>
  <c r="G257" i="2" s="1"/>
  <c r="H257" i="2" s="1"/>
  <c r="C257" i="5" s="1"/>
  <c r="D257" i="2"/>
  <c r="E257" i="2" s="1"/>
  <c r="B257" i="5" s="1"/>
  <c r="B257" i="2"/>
  <c r="C257" i="2" s="1"/>
  <c r="A257" i="5" s="1"/>
  <c r="O256" i="2"/>
  <c r="L256" i="2"/>
  <c r="M256" i="2" s="1"/>
  <c r="N256" i="2" s="1"/>
  <c r="E256" i="5" s="1"/>
  <c r="I256" i="2"/>
  <c r="J256" i="2" s="1"/>
  <c r="K256" i="2" s="1"/>
  <c r="F256" i="2"/>
  <c r="G256" i="2" s="1"/>
  <c r="H256" i="2" s="1"/>
  <c r="C256" i="5" s="1"/>
  <c r="D256" i="2"/>
  <c r="E256" i="2" s="1"/>
  <c r="B256" i="5" s="1"/>
  <c r="B256" i="2"/>
  <c r="C256" i="2" s="1"/>
  <c r="A256" i="5" s="1"/>
  <c r="O255" i="2"/>
  <c r="L255" i="2"/>
  <c r="M255" i="2" s="1"/>
  <c r="N255" i="2" s="1"/>
  <c r="I255" i="2"/>
  <c r="J255" i="2" s="1"/>
  <c r="K255" i="2" s="1"/>
  <c r="F255" i="2"/>
  <c r="G255" i="2" s="1"/>
  <c r="H255" i="2" s="1"/>
  <c r="C255" i="5" s="1"/>
  <c r="D255" i="2"/>
  <c r="E255" i="2" s="1"/>
  <c r="B255" i="5" s="1"/>
  <c r="B255" i="2"/>
  <c r="C255" i="2" s="1"/>
  <c r="A255" i="5" s="1"/>
  <c r="O254" i="2"/>
  <c r="L254" i="2"/>
  <c r="M254" i="2" s="1"/>
  <c r="N254" i="2" s="1"/>
  <c r="E254" i="5" s="1"/>
  <c r="I254" i="2"/>
  <c r="J254" i="2" s="1"/>
  <c r="K254" i="2" s="1"/>
  <c r="F254" i="2"/>
  <c r="G254" i="2" s="1"/>
  <c r="H254" i="2" s="1"/>
  <c r="C254" i="5" s="1"/>
  <c r="D254" i="2"/>
  <c r="E254" i="2" s="1"/>
  <c r="B254" i="5" s="1"/>
  <c r="B254" i="2"/>
  <c r="C254" i="2" s="1"/>
  <c r="O253" i="2"/>
  <c r="L253" i="2"/>
  <c r="M253" i="2" s="1"/>
  <c r="N253" i="2" s="1"/>
  <c r="I253" i="2"/>
  <c r="J253" i="2" s="1"/>
  <c r="K253" i="2" s="1"/>
  <c r="F253" i="2"/>
  <c r="G253" i="2" s="1"/>
  <c r="H253" i="2" s="1"/>
  <c r="C253" i="5" s="1"/>
  <c r="D253" i="2"/>
  <c r="E253" i="2" s="1"/>
  <c r="B253" i="5" s="1"/>
  <c r="B253" i="2"/>
  <c r="C253" i="2" s="1"/>
  <c r="A253" i="5" s="1"/>
  <c r="O252" i="2"/>
  <c r="L252" i="2"/>
  <c r="M252" i="2" s="1"/>
  <c r="N252" i="2" s="1"/>
  <c r="I252" i="2"/>
  <c r="J252" i="2" s="1"/>
  <c r="K252" i="2" s="1"/>
  <c r="F252" i="2"/>
  <c r="G252" i="2" s="1"/>
  <c r="H252" i="2" s="1"/>
  <c r="C252" i="5" s="1"/>
  <c r="D252" i="2"/>
  <c r="E252" i="2" s="1"/>
  <c r="B252" i="5" s="1"/>
  <c r="B252" i="2"/>
  <c r="C252" i="2" s="1"/>
  <c r="A252" i="5" s="1"/>
  <c r="O251" i="2"/>
  <c r="L251" i="2"/>
  <c r="M251" i="2" s="1"/>
  <c r="N251" i="2" s="1"/>
  <c r="I251" i="2"/>
  <c r="J251" i="2" s="1"/>
  <c r="K251" i="2" s="1"/>
  <c r="F251" i="2"/>
  <c r="G251" i="2" s="1"/>
  <c r="H251" i="2" s="1"/>
  <c r="C251" i="5" s="1"/>
  <c r="D251" i="2"/>
  <c r="E251" i="2" s="1"/>
  <c r="B251" i="5" s="1"/>
  <c r="B251" i="2"/>
  <c r="C251" i="2" s="1"/>
  <c r="A251" i="5" s="1"/>
  <c r="O250" i="2"/>
  <c r="L250" i="2"/>
  <c r="M250" i="2" s="1"/>
  <c r="N250" i="2" s="1"/>
  <c r="I250" i="2"/>
  <c r="J250" i="2" s="1"/>
  <c r="K250" i="2" s="1"/>
  <c r="Y250" i="2" s="1"/>
  <c r="F250" i="2"/>
  <c r="G250" i="2" s="1"/>
  <c r="H250" i="2" s="1"/>
  <c r="C250" i="5" s="1"/>
  <c r="D250" i="2"/>
  <c r="E250" i="2" s="1"/>
  <c r="B250" i="5" s="1"/>
  <c r="B250" i="2"/>
  <c r="C250" i="2" s="1"/>
  <c r="A250" i="5" s="1"/>
  <c r="O249" i="2"/>
  <c r="L249" i="2"/>
  <c r="M249" i="2" s="1"/>
  <c r="N249" i="2" s="1"/>
  <c r="I249" i="2"/>
  <c r="J249" i="2" s="1"/>
  <c r="K249" i="2" s="1"/>
  <c r="F249" i="2"/>
  <c r="G249" i="2" s="1"/>
  <c r="H249" i="2" s="1"/>
  <c r="C249" i="5" s="1"/>
  <c r="D249" i="2"/>
  <c r="E249" i="2" s="1"/>
  <c r="B249" i="5" s="1"/>
  <c r="B249" i="2"/>
  <c r="C249" i="2" s="1"/>
  <c r="A249" i="5" s="1"/>
  <c r="O248" i="2"/>
  <c r="L248" i="2"/>
  <c r="M248" i="2" s="1"/>
  <c r="N248" i="2" s="1"/>
  <c r="I248" i="2"/>
  <c r="J248" i="2" s="1"/>
  <c r="K248" i="2" s="1"/>
  <c r="F248" i="2"/>
  <c r="G248" i="2" s="1"/>
  <c r="H248" i="2" s="1"/>
  <c r="C248" i="5" s="1"/>
  <c r="D248" i="2"/>
  <c r="E248" i="2" s="1"/>
  <c r="B248" i="5" s="1"/>
  <c r="B248" i="2"/>
  <c r="C248" i="2" s="1"/>
  <c r="A248" i="5" s="1"/>
  <c r="O247" i="2"/>
  <c r="L247" i="2"/>
  <c r="M247" i="2" s="1"/>
  <c r="N247" i="2" s="1"/>
  <c r="I247" i="2"/>
  <c r="J247" i="2" s="1"/>
  <c r="K247" i="2" s="1"/>
  <c r="F247" i="2"/>
  <c r="G247" i="2" s="1"/>
  <c r="H247" i="2" s="1"/>
  <c r="C247" i="5" s="1"/>
  <c r="D247" i="2"/>
  <c r="E247" i="2" s="1"/>
  <c r="B247" i="5" s="1"/>
  <c r="B247" i="2"/>
  <c r="C247" i="2" s="1"/>
  <c r="A247" i="5" s="1"/>
  <c r="O246" i="2"/>
  <c r="L246" i="2"/>
  <c r="M246" i="2" s="1"/>
  <c r="N246" i="2" s="1"/>
  <c r="E246" i="5" s="1"/>
  <c r="I246" i="2"/>
  <c r="J246" i="2" s="1"/>
  <c r="K246" i="2" s="1"/>
  <c r="F246" i="2"/>
  <c r="G246" i="2" s="1"/>
  <c r="H246" i="2" s="1"/>
  <c r="C246" i="5" s="1"/>
  <c r="D246" i="2"/>
  <c r="E246" i="2" s="1"/>
  <c r="B246" i="5" s="1"/>
  <c r="B246" i="2"/>
  <c r="C246" i="2" s="1"/>
  <c r="O245" i="2"/>
  <c r="L245" i="2"/>
  <c r="M245" i="2" s="1"/>
  <c r="N245" i="2" s="1"/>
  <c r="I245" i="2"/>
  <c r="J245" i="2" s="1"/>
  <c r="K245" i="2" s="1"/>
  <c r="F245" i="2"/>
  <c r="G245" i="2" s="1"/>
  <c r="H245" i="2" s="1"/>
  <c r="C245" i="5" s="1"/>
  <c r="D245" i="2"/>
  <c r="E245" i="2" s="1"/>
  <c r="B245" i="5" s="1"/>
  <c r="B245" i="2"/>
  <c r="C245" i="2" s="1"/>
  <c r="A245" i="5" s="1"/>
  <c r="O244" i="2"/>
  <c r="L244" i="2"/>
  <c r="M244" i="2" s="1"/>
  <c r="N244" i="2" s="1"/>
  <c r="I244" i="2"/>
  <c r="J244" i="2" s="1"/>
  <c r="K244" i="2" s="1"/>
  <c r="F244" i="2"/>
  <c r="G244" i="2" s="1"/>
  <c r="H244" i="2" s="1"/>
  <c r="C244" i="5" s="1"/>
  <c r="D244" i="2"/>
  <c r="E244" i="2" s="1"/>
  <c r="B244" i="5" s="1"/>
  <c r="B244" i="2"/>
  <c r="C244" i="2" s="1"/>
  <c r="A244" i="5" s="1"/>
  <c r="O243" i="2"/>
  <c r="L243" i="2"/>
  <c r="M243" i="2" s="1"/>
  <c r="N243" i="2" s="1"/>
  <c r="I243" i="2"/>
  <c r="J243" i="2" s="1"/>
  <c r="K243" i="2" s="1"/>
  <c r="F243" i="2"/>
  <c r="G243" i="2" s="1"/>
  <c r="H243" i="2" s="1"/>
  <c r="C243" i="5" s="1"/>
  <c r="D243" i="2"/>
  <c r="E243" i="2" s="1"/>
  <c r="B243" i="5" s="1"/>
  <c r="B243" i="2"/>
  <c r="C243" i="2" s="1"/>
  <c r="A243" i="5" s="1"/>
  <c r="O242" i="2"/>
  <c r="L242" i="2"/>
  <c r="M242" i="2" s="1"/>
  <c r="N242" i="2" s="1"/>
  <c r="I242" i="2"/>
  <c r="J242" i="2" s="1"/>
  <c r="K242" i="2" s="1"/>
  <c r="Y242" i="2" s="1"/>
  <c r="F242" i="2"/>
  <c r="G242" i="2" s="1"/>
  <c r="H242" i="2" s="1"/>
  <c r="C242" i="5" s="1"/>
  <c r="D242" i="2"/>
  <c r="E242" i="2" s="1"/>
  <c r="B242" i="5" s="1"/>
  <c r="B242" i="2"/>
  <c r="C242" i="2" s="1"/>
  <c r="A242" i="5" s="1"/>
  <c r="O241" i="2"/>
  <c r="L241" i="2"/>
  <c r="M241" i="2" s="1"/>
  <c r="N241" i="2" s="1"/>
  <c r="I241" i="2"/>
  <c r="J241" i="2" s="1"/>
  <c r="K241" i="2" s="1"/>
  <c r="Y241" i="2" s="1"/>
  <c r="F241" i="2"/>
  <c r="G241" i="2" s="1"/>
  <c r="H241" i="2" s="1"/>
  <c r="C241" i="5" s="1"/>
  <c r="D241" i="2"/>
  <c r="E241" i="2" s="1"/>
  <c r="B241" i="5" s="1"/>
  <c r="B241" i="2"/>
  <c r="C241" i="2" s="1"/>
  <c r="A241" i="5" s="1"/>
  <c r="O240" i="2"/>
  <c r="L240" i="2"/>
  <c r="M240" i="2" s="1"/>
  <c r="N240" i="2" s="1"/>
  <c r="E240" i="5" s="1"/>
  <c r="I240" i="2"/>
  <c r="J240" i="2" s="1"/>
  <c r="K240" i="2" s="1"/>
  <c r="F240" i="2"/>
  <c r="G240" i="2" s="1"/>
  <c r="H240" i="2" s="1"/>
  <c r="C240" i="5" s="1"/>
  <c r="D240" i="2"/>
  <c r="E240" i="2" s="1"/>
  <c r="B240" i="5" s="1"/>
  <c r="B240" i="2"/>
  <c r="C240" i="2" s="1"/>
  <c r="A240" i="5" s="1"/>
  <c r="O239" i="2"/>
  <c r="L239" i="2"/>
  <c r="M239" i="2" s="1"/>
  <c r="N239" i="2" s="1"/>
  <c r="I239" i="2"/>
  <c r="J239" i="2" s="1"/>
  <c r="K239" i="2" s="1"/>
  <c r="F239" i="2"/>
  <c r="G239" i="2" s="1"/>
  <c r="H239" i="2" s="1"/>
  <c r="C239" i="5" s="1"/>
  <c r="D239" i="2"/>
  <c r="E239" i="2" s="1"/>
  <c r="B239" i="5" s="1"/>
  <c r="B239" i="2"/>
  <c r="C239" i="2" s="1"/>
  <c r="A239" i="5" s="1"/>
  <c r="O238" i="2"/>
  <c r="L238" i="2"/>
  <c r="M238" i="2" s="1"/>
  <c r="N238" i="2" s="1"/>
  <c r="E238" i="5" s="1"/>
  <c r="I238" i="2"/>
  <c r="J238" i="2" s="1"/>
  <c r="K238" i="2" s="1"/>
  <c r="F238" i="2"/>
  <c r="G238" i="2" s="1"/>
  <c r="H238" i="2" s="1"/>
  <c r="C238" i="5" s="1"/>
  <c r="D238" i="2"/>
  <c r="E238" i="2" s="1"/>
  <c r="B238" i="5" s="1"/>
  <c r="B238" i="2"/>
  <c r="C238" i="2" s="1"/>
  <c r="O237" i="2"/>
  <c r="L237" i="2"/>
  <c r="M237" i="2" s="1"/>
  <c r="N237" i="2" s="1"/>
  <c r="I237" i="2"/>
  <c r="J237" i="2" s="1"/>
  <c r="K237" i="2" s="1"/>
  <c r="F237" i="2"/>
  <c r="G237" i="2" s="1"/>
  <c r="H237" i="2" s="1"/>
  <c r="C237" i="5" s="1"/>
  <c r="D237" i="2"/>
  <c r="E237" i="2" s="1"/>
  <c r="B237" i="5" s="1"/>
  <c r="B237" i="2"/>
  <c r="C237" i="2" s="1"/>
  <c r="A237" i="5" s="1"/>
  <c r="O236" i="2"/>
  <c r="L236" i="2"/>
  <c r="M236" i="2" s="1"/>
  <c r="N236" i="2" s="1"/>
  <c r="I236" i="2"/>
  <c r="J236" i="2" s="1"/>
  <c r="K236" i="2" s="1"/>
  <c r="F236" i="2"/>
  <c r="G236" i="2" s="1"/>
  <c r="H236" i="2" s="1"/>
  <c r="C236" i="5" s="1"/>
  <c r="D236" i="2"/>
  <c r="E236" i="2" s="1"/>
  <c r="B236" i="5" s="1"/>
  <c r="B236" i="2"/>
  <c r="C236" i="2" s="1"/>
  <c r="A236" i="5" s="1"/>
  <c r="O235" i="2"/>
  <c r="L235" i="2"/>
  <c r="M235" i="2" s="1"/>
  <c r="N235" i="2" s="1"/>
  <c r="I235" i="2"/>
  <c r="J235" i="2" s="1"/>
  <c r="K235" i="2" s="1"/>
  <c r="F235" i="2"/>
  <c r="G235" i="2" s="1"/>
  <c r="H235" i="2" s="1"/>
  <c r="C235" i="5" s="1"/>
  <c r="D235" i="2"/>
  <c r="E235" i="2" s="1"/>
  <c r="B235" i="5" s="1"/>
  <c r="B235" i="2"/>
  <c r="C235" i="2" s="1"/>
  <c r="A235" i="5" s="1"/>
  <c r="O234" i="2"/>
  <c r="L234" i="2"/>
  <c r="M234" i="2" s="1"/>
  <c r="N234" i="2" s="1"/>
  <c r="I234" i="2"/>
  <c r="J234" i="2" s="1"/>
  <c r="K234" i="2" s="1"/>
  <c r="Y234" i="2" s="1"/>
  <c r="F234" i="2"/>
  <c r="G234" i="2" s="1"/>
  <c r="H234" i="2" s="1"/>
  <c r="C234" i="5" s="1"/>
  <c r="D234" i="2"/>
  <c r="E234" i="2" s="1"/>
  <c r="B234" i="5" s="1"/>
  <c r="B234" i="2"/>
  <c r="C234" i="2" s="1"/>
  <c r="O233" i="2"/>
  <c r="L233" i="2"/>
  <c r="M233" i="2" s="1"/>
  <c r="N233" i="2" s="1"/>
  <c r="I233" i="2"/>
  <c r="J233" i="2" s="1"/>
  <c r="K233" i="2" s="1"/>
  <c r="F233" i="2"/>
  <c r="G233" i="2" s="1"/>
  <c r="H233" i="2" s="1"/>
  <c r="C233" i="5" s="1"/>
  <c r="D233" i="2"/>
  <c r="E233" i="2" s="1"/>
  <c r="B233" i="5" s="1"/>
  <c r="B233" i="2"/>
  <c r="C233" i="2" s="1"/>
  <c r="A233" i="5" s="1"/>
  <c r="O232" i="2"/>
  <c r="L232" i="2"/>
  <c r="M232" i="2" s="1"/>
  <c r="N232" i="2" s="1"/>
  <c r="E232" i="5" s="1"/>
  <c r="I232" i="2"/>
  <c r="J232" i="2" s="1"/>
  <c r="K232" i="2" s="1"/>
  <c r="F232" i="2"/>
  <c r="G232" i="2" s="1"/>
  <c r="H232" i="2" s="1"/>
  <c r="C232" i="5" s="1"/>
  <c r="D232" i="2"/>
  <c r="E232" i="2" s="1"/>
  <c r="B232" i="5" s="1"/>
  <c r="B232" i="2"/>
  <c r="C232" i="2" s="1"/>
  <c r="A232" i="5" s="1"/>
  <c r="O231" i="2"/>
  <c r="L231" i="2"/>
  <c r="M231" i="2" s="1"/>
  <c r="N231" i="2" s="1"/>
  <c r="I231" i="2"/>
  <c r="J231" i="2" s="1"/>
  <c r="K231" i="2" s="1"/>
  <c r="F231" i="2"/>
  <c r="G231" i="2" s="1"/>
  <c r="H231" i="2" s="1"/>
  <c r="C231" i="5" s="1"/>
  <c r="D231" i="2"/>
  <c r="E231" i="2" s="1"/>
  <c r="B231" i="5" s="1"/>
  <c r="B231" i="2"/>
  <c r="C231" i="2" s="1"/>
  <c r="A231" i="5" s="1"/>
  <c r="O230" i="2"/>
  <c r="L230" i="2"/>
  <c r="M230" i="2" s="1"/>
  <c r="N230" i="2" s="1"/>
  <c r="E230" i="5" s="1"/>
  <c r="I230" i="2"/>
  <c r="J230" i="2" s="1"/>
  <c r="K230" i="2" s="1"/>
  <c r="F230" i="2"/>
  <c r="G230" i="2" s="1"/>
  <c r="H230" i="2" s="1"/>
  <c r="C230" i="5" s="1"/>
  <c r="D230" i="2"/>
  <c r="E230" i="2" s="1"/>
  <c r="B230" i="5" s="1"/>
  <c r="B230" i="2"/>
  <c r="C230" i="2" s="1"/>
  <c r="A230" i="5" s="1"/>
  <c r="O229" i="2"/>
  <c r="L229" i="2"/>
  <c r="M229" i="2" s="1"/>
  <c r="N229" i="2" s="1"/>
  <c r="I229" i="2"/>
  <c r="J229" i="2" s="1"/>
  <c r="K229" i="2" s="1"/>
  <c r="F229" i="2"/>
  <c r="G229" i="2" s="1"/>
  <c r="H229" i="2" s="1"/>
  <c r="C229" i="5" s="1"/>
  <c r="D229" i="2"/>
  <c r="E229" i="2" s="1"/>
  <c r="B229" i="5" s="1"/>
  <c r="B229" i="2"/>
  <c r="C229" i="2" s="1"/>
  <c r="A229" i="5" s="1"/>
  <c r="O228" i="2"/>
  <c r="L228" i="2"/>
  <c r="M228" i="2" s="1"/>
  <c r="N228" i="2" s="1"/>
  <c r="I228" i="2"/>
  <c r="J228" i="2" s="1"/>
  <c r="K228" i="2" s="1"/>
  <c r="F228" i="2"/>
  <c r="G228" i="2" s="1"/>
  <c r="H228" i="2" s="1"/>
  <c r="C228" i="5" s="1"/>
  <c r="D228" i="2"/>
  <c r="E228" i="2" s="1"/>
  <c r="B228" i="5" s="1"/>
  <c r="B228" i="2"/>
  <c r="C228" i="2" s="1"/>
  <c r="A228" i="5" s="1"/>
  <c r="O227" i="2"/>
  <c r="L227" i="2"/>
  <c r="M227" i="2" s="1"/>
  <c r="N227" i="2" s="1"/>
  <c r="I227" i="2"/>
  <c r="J227" i="2" s="1"/>
  <c r="K227" i="2" s="1"/>
  <c r="F227" i="2"/>
  <c r="G227" i="2" s="1"/>
  <c r="H227" i="2" s="1"/>
  <c r="C227" i="5" s="1"/>
  <c r="D227" i="2"/>
  <c r="E227" i="2" s="1"/>
  <c r="B227" i="5" s="1"/>
  <c r="B227" i="2"/>
  <c r="C227" i="2" s="1"/>
  <c r="A227" i="5" s="1"/>
  <c r="O226" i="2"/>
  <c r="L226" i="2"/>
  <c r="M226" i="2" s="1"/>
  <c r="N226" i="2" s="1"/>
  <c r="I226" i="2"/>
  <c r="J226" i="2" s="1"/>
  <c r="K226" i="2" s="1"/>
  <c r="Y226" i="2" s="1"/>
  <c r="F226" i="2"/>
  <c r="G226" i="2" s="1"/>
  <c r="H226" i="2" s="1"/>
  <c r="C226" i="5" s="1"/>
  <c r="D226" i="2"/>
  <c r="E226" i="2" s="1"/>
  <c r="B226" i="5" s="1"/>
  <c r="B226" i="2"/>
  <c r="C226" i="2" s="1"/>
  <c r="A226" i="5" s="1"/>
  <c r="O225" i="2"/>
  <c r="L225" i="2"/>
  <c r="M225" i="2" s="1"/>
  <c r="N225" i="2" s="1"/>
  <c r="I225" i="2"/>
  <c r="J225" i="2" s="1"/>
  <c r="K225" i="2" s="1"/>
  <c r="Y225" i="2" s="1"/>
  <c r="F225" i="2"/>
  <c r="G225" i="2" s="1"/>
  <c r="H225" i="2" s="1"/>
  <c r="C225" i="5" s="1"/>
  <c r="D225" i="2"/>
  <c r="E225" i="2" s="1"/>
  <c r="B225" i="5" s="1"/>
  <c r="B225" i="2"/>
  <c r="C225" i="2" s="1"/>
  <c r="A225" i="5" s="1"/>
  <c r="O224" i="2"/>
  <c r="L224" i="2"/>
  <c r="M224" i="2" s="1"/>
  <c r="N224" i="2" s="1"/>
  <c r="E224" i="5" s="1"/>
  <c r="I224" i="2"/>
  <c r="J224" i="2" s="1"/>
  <c r="K224" i="2" s="1"/>
  <c r="F224" i="2"/>
  <c r="G224" i="2" s="1"/>
  <c r="H224" i="2" s="1"/>
  <c r="C224" i="5" s="1"/>
  <c r="D224" i="2"/>
  <c r="E224" i="2" s="1"/>
  <c r="B224" i="5" s="1"/>
  <c r="B224" i="2"/>
  <c r="C224" i="2" s="1"/>
  <c r="A224" i="5" s="1"/>
  <c r="O223" i="2"/>
  <c r="L223" i="2"/>
  <c r="M223" i="2" s="1"/>
  <c r="N223" i="2" s="1"/>
  <c r="I223" i="2"/>
  <c r="J223" i="2" s="1"/>
  <c r="K223" i="2" s="1"/>
  <c r="F223" i="2"/>
  <c r="G223" i="2" s="1"/>
  <c r="H223" i="2" s="1"/>
  <c r="C223" i="5" s="1"/>
  <c r="D223" i="2"/>
  <c r="E223" i="2" s="1"/>
  <c r="B223" i="5" s="1"/>
  <c r="B223" i="2"/>
  <c r="C223" i="2" s="1"/>
  <c r="A223" i="5" s="1"/>
  <c r="O222" i="2"/>
  <c r="L222" i="2"/>
  <c r="M222" i="2" s="1"/>
  <c r="N222" i="2" s="1"/>
  <c r="E222" i="5" s="1"/>
  <c r="I222" i="2"/>
  <c r="J222" i="2" s="1"/>
  <c r="K222" i="2" s="1"/>
  <c r="F222" i="2"/>
  <c r="G222" i="2" s="1"/>
  <c r="H222" i="2" s="1"/>
  <c r="C222" i="5" s="1"/>
  <c r="D222" i="2"/>
  <c r="E222" i="2" s="1"/>
  <c r="B222" i="5" s="1"/>
  <c r="B222" i="2"/>
  <c r="C222" i="2" s="1"/>
  <c r="O221" i="2"/>
  <c r="L221" i="2"/>
  <c r="M221" i="2" s="1"/>
  <c r="N221" i="2" s="1"/>
  <c r="I221" i="2"/>
  <c r="J221" i="2" s="1"/>
  <c r="K221" i="2" s="1"/>
  <c r="F221" i="2"/>
  <c r="G221" i="2" s="1"/>
  <c r="H221" i="2" s="1"/>
  <c r="C221" i="5" s="1"/>
  <c r="D221" i="2"/>
  <c r="E221" i="2" s="1"/>
  <c r="B221" i="5" s="1"/>
  <c r="B221" i="2"/>
  <c r="C221" i="2" s="1"/>
  <c r="A221" i="5" s="1"/>
  <c r="O220" i="2"/>
  <c r="L220" i="2"/>
  <c r="M220" i="2" s="1"/>
  <c r="N220" i="2" s="1"/>
  <c r="I220" i="2"/>
  <c r="J220" i="2" s="1"/>
  <c r="K220" i="2" s="1"/>
  <c r="F220" i="2"/>
  <c r="G220" i="2" s="1"/>
  <c r="H220" i="2" s="1"/>
  <c r="C220" i="5" s="1"/>
  <c r="D220" i="2"/>
  <c r="E220" i="2" s="1"/>
  <c r="B220" i="5" s="1"/>
  <c r="B220" i="2"/>
  <c r="C220" i="2" s="1"/>
  <c r="A220" i="5" s="1"/>
  <c r="O219" i="2"/>
  <c r="L219" i="2"/>
  <c r="M219" i="2" s="1"/>
  <c r="N219" i="2" s="1"/>
  <c r="I219" i="2"/>
  <c r="J219" i="2" s="1"/>
  <c r="K219" i="2" s="1"/>
  <c r="F219" i="2"/>
  <c r="G219" i="2" s="1"/>
  <c r="H219" i="2" s="1"/>
  <c r="C219" i="5" s="1"/>
  <c r="D219" i="2"/>
  <c r="E219" i="2" s="1"/>
  <c r="B219" i="5" s="1"/>
  <c r="B219" i="2"/>
  <c r="C219" i="2" s="1"/>
  <c r="A219" i="5" s="1"/>
  <c r="O218" i="2"/>
  <c r="L218" i="2"/>
  <c r="M218" i="2" s="1"/>
  <c r="N218" i="2" s="1"/>
  <c r="I218" i="2"/>
  <c r="J218" i="2" s="1"/>
  <c r="K218" i="2" s="1"/>
  <c r="Y218" i="2" s="1"/>
  <c r="F218" i="2"/>
  <c r="G218" i="2" s="1"/>
  <c r="H218" i="2" s="1"/>
  <c r="C218" i="5" s="1"/>
  <c r="D218" i="2"/>
  <c r="E218" i="2" s="1"/>
  <c r="B218" i="5" s="1"/>
  <c r="B218" i="2"/>
  <c r="C218" i="2" s="1"/>
  <c r="A218" i="5" s="1"/>
  <c r="O217" i="2"/>
  <c r="L217" i="2"/>
  <c r="M217" i="2" s="1"/>
  <c r="N217" i="2" s="1"/>
  <c r="I217" i="2"/>
  <c r="J217" i="2" s="1"/>
  <c r="K217" i="2" s="1"/>
  <c r="F217" i="2"/>
  <c r="G217" i="2" s="1"/>
  <c r="H217" i="2" s="1"/>
  <c r="C217" i="5" s="1"/>
  <c r="D217" i="2"/>
  <c r="E217" i="2" s="1"/>
  <c r="B217" i="5" s="1"/>
  <c r="B217" i="2"/>
  <c r="C217" i="2" s="1"/>
  <c r="A217" i="5" s="1"/>
  <c r="O216" i="2"/>
  <c r="L216" i="2"/>
  <c r="M216" i="2" s="1"/>
  <c r="N216" i="2" s="1"/>
  <c r="E216" i="5" s="1"/>
  <c r="I216" i="2"/>
  <c r="J216" i="2" s="1"/>
  <c r="K216" i="2" s="1"/>
  <c r="F216" i="2"/>
  <c r="G216" i="2" s="1"/>
  <c r="H216" i="2" s="1"/>
  <c r="C216" i="5" s="1"/>
  <c r="D216" i="2"/>
  <c r="E216" i="2" s="1"/>
  <c r="B216" i="5" s="1"/>
  <c r="B216" i="2"/>
  <c r="C216" i="2" s="1"/>
  <c r="A216" i="5" s="1"/>
  <c r="O215" i="2"/>
  <c r="L215" i="2"/>
  <c r="M215" i="2" s="1"/>
  <c r="N215" i="2" s="1"/>
  <c r="I215" i="2"/>
  <c r="J215" i="2" s="1"/>
  <c r="K215" i="2" s="1"/>
  <c r="F215" i="2"/>
  <c r="G215" i="2" s="1"/>
  <c r="H215" i="2" s="1"/>
  <c r="C215" i="5" s="1"/>
  <c r="D215" i="2"/>
  <c r="E215" i="2" s="1"/>
  <c r="B215" i="5" s="1"/>
  <c r="B215" i="2"/>
  <c r="C215" i="2" s="1"/>
  <c r="A215" i="5" s="1"/>
  <c r="O214" i="2"/>
  <c r="L214" i="2"/>
  <c r="M214" i="2" s="1"/>
  <c r="N214" i="2" s="1"/>
  <c r="E214" i="5" s="1"/>
  <c r="I214" i="2"/>
  <c r="J214" i="2" s="1"/>
  <c r="K214" i="2" s="1"/>
  <c r="F214" i="2"/>
  <c r="G214" i="2" s="1"/>
  <c r="H214" i="2" s="1"/>
  <c r="C214" i="5" s="1"/>
  <c r="D214" i="2"/>
  <c r="E214" i="2" s="1"/>
  <c r="B214" i="5" s="1"/>
  <c r="B214" i="2"/>
  <c r="C214" i="2" s="1"/>
  <c r="O213" i="2"/>
  <c r="L213" i="2"/>
  <c r="M213" i="2" s="1"/>
  <c r="N213" i="2" s="1"/>
  <c r="I213" i="2"/>
  <c r="J213" i="2" s="1"/>
  <c r="K213" i="2" s="1"/>
  <c r="F213" i="2"/>
  <c r="G213" i="2" s="1"/>
  <c r="H213" i="2" s="1"/>
  <c r="C213" i="5" s="1"/>
  <c r="D213" i="2"/>
  <c r="E213" i="2" s="1"/>
  <c r="B213" i="5" s="1"/>
  <c r="B213" i="2"/>
  <c r="C213" i="2" s="1"/>
  <c r="A213" i="5" s="1"/>
  <c r="O212" i="2"/>
  <c r="L212" i="2"/>
  <c r="M212" i="2" s="1"/>
  <c r="N212" i="2" s="1"/>
  <c r="I212" i="2"/>
  <c r="J212" i="2" s="1"/>
  <c r="K212" i="2" s="1"/>
  <c r="F212" i="2"/>
  <c r="G212" i="2" s="1"/>
  <c r="H212" i="2" s="1"/>
  <c r="C212" i="5" s="1"/>
  <c r="D212" i="2"/>
  <c r="E212" i="2" s="1"/>
  <c r="B212" i="5" s="1"/>
  <c r="B212" i="2"/>
  <c r="C212" i="2" s="1"/>
  <c r="A212" i="5" s="1"/>
  <c r="O211" i="2"/>
  <c r="L211" i="2"/>
  <c r="M211" i="2" s="1"/>
  <c r="N211" i="2" s="1"/>
  <c r="I211" i="2"/>
  <c r="J211" i="2" s="1"/>
  <c r="K211" i="2" s="1"/>
  <c r="F211" i="2"/>
  <c r="G211" i="2" s="1"/>
  <c r="H211" i="2" s="1"/>
  <c r="C211" i="5" s="1"/>
  <c r="D211" i="2"/>
  <c r="E211" i="2" s="1"/>
  <c r="B211" i="5" s="1"/>
  <c r="B211" i="2"/>
  <c r="C211" i="2" s="1"/>
  <c r="A211" i="5" s="1"/>
  <c r="O210" i="2"/>
  <c r="L210" i="2"/>
  <c r="M210" i="2" s="1"/>
  <c r="N210" i="2" s="1"/>
  <c r="I210" i="2"/>
  <c r="J210" i="2" s="1"/>
  <c r="K210" i="2" s="1"/>
  <c r="Y210" i="2" s="1"/>
  <c r="F210" i="2"/>
  <c r="G210" i="2" s="1"/>
  <c r="H210" i="2" s="1"/>
  <c r="C210" i="5" s="1"/>
  <c r="D210" i="2"/>
  <c r="E210" i="2" s="1"/>
  <c r="B210" i="5" s="1"/>
  <c r="B210" i="2"/>
  <c r="C210" i="2" s="1"/>
  <c r="A210" i="5" s="1"/>
  <c r="O209" i="2"/>
  <c r="L209" i="2"/>
  <c r="M209" i="2" s="1"/>
  <c r="N209" i="2" s="1"/>
  <c r="I209" i="2"/>
  <c r="J209" i="2" s="1"/>
  <c r="K209" i="2" s="1"/>
  <c r="Y209" i="2" s="1"/>
  <c r="F209" i="2"/>
  <c r="G209" i="2" s="1"/>
  <c r="H209" i="2" s="1"/>
  <c r="C209" i="5" s="1"/>
  <c r="D209" i="2"/>
  <c r="E209" i="2" s="1"/>
  <c r="B209" i="5" s="1"/>
  <c r="B209" i="2"/>
  <c r="C209" i="2" s="1"/>
  <c r="A209" i="5" s="1"/>
  <c r="O208" i="2"/>
  <c r="L208" i="2"/>
  <c r="M208" i="2" s="1"/>
  <c r="N208" i="2" s="1"/>
  <c r="E208" i="5" s="1"/>
  <c r="I208" i="2"/>
  <c r="J208" i="2" s="1"/>
  <c r="K208" i="2" s="1"/>
  <c r="F208" i="2"/>
  <c r="G208" i="2" s="1"/>
  <c r="H208" i="2" s="1"/>
  <c r="C208" i="5" s="1"/>
  <c r="D208" i="2"/>
  <c r="E208" i="2" s="1"/>
  <c r="B208" i="5" s="1"/>
  <c r="B208" i="2"/>
  <c r="C208" i="2" s="1"/>
  <c r="A208" i="5" s="1"/>
  <c r="O207" i="2"/>
  <c r="L207" i="2"/>
  <c r="M207" i="2" s="1"/>
  <c r="N207" i="2" s="1"/>
  <c r="I207" i="2"/>
  <c r="J207" i="2" s="1"/>
  <c r="K207" i="2" s="1"/>
  <c r="F207" i="2"/>
  <c r="G207" i="2" s="1"/>
  <c r="H207" i="2" s="1"/>
  <c r="C207" i="5" s="1"/>
  <c r="D207" i="2"/>
  <c r="E207" i="2" s="1"/>
  <c r="B207" i="5" s="1"/>
  <c r="B207" i="2"/>
  <c r="C207" i="2" s="1"/>
  <c r="A207" i="5" s="1"/>
  <c r="O206" i="2"/>
  <c r="L206" i="2"/>
  <c r="M206" i="2" s="1"/>
  <c r="N206" i="2" s="1"/>
  <c r="I206" i="2"/>
  <c r="J206" i="2" s="1"/>
  <c r="K206" i="2" s="1"/>
  <c r="F206" i="2"/>
  <c r="G206" i="2" s="1"/>
  <c r="H206" i="2" s="1"/>
  <c r="C206" i="5" s="1"/>
  <c r="D206" i="2"/>
  <c r="E206" i="2" s="1"/>
  <c r="B206" i="5" s="1"/>
  <c r="B206" i="2"/>
  <c r="C206" i="2" s="1"/>
  <c r="O205" i="2"/>
  <c r="L205" i="2"/>
  <c r="M205" i="2" s="1"/>
  <c r="N205" i="2" s="1"/>
  <c r="I205" i="2"/>
  <c r="J205" i="2" s="1"/>
  <c r="K205" i="2" s="1"/>
  <c r="F205" i="2"/>
  <c r="G205" i="2" s="1"/>
  <c r="H205" i="2" s="1"/>
  <c r="C205" i="5" s="1"/>
  <c r="D205" i="2"/>
  <c r="E205" i="2" s="1"/>
  <c r="B205" i="5" s="1"/>
  <c r="B205" i="2"/>
  <c r="C205" i="2" s="1"/>
  <c r="A205" i="5" s="1"/>
  <c r="O204" i="2"/>
  <c r="L204" i="2"/>
  <c r="M204" i="2" s="1"/>
  <c r="N204" i="2" s="1"/>
  <c r="E204" i="5" s="1"/>
  <c r="I204" i="2"/>
  <c r="J204" i="2" s="1"/>
  <c r="K204" i="2" s="1"/>
  <c r="Y204" i="2" s="1"/>
  <c r="F204" i="2"/>
  <c r="G204" i="2" s="1"/>
  <c r="H204" i="2" s="1"/>
  <c r="C204" i="5" s="1"/>
  <c r="D204" i="2"/>
  <c r="E204" i="2" s="1"/>
  <c r="B204" i="5" s="1"/>
  <c r="B204" i="2"/>
  <c r="C204" i="2" s="1"/>
  <c r="A204" i="5" s="1"/>
  <c r="O203" i="2"/>
  <c r="L203" i="2"/>
  <c r="M203" i="2" s="1"/>
  <c r="N203" i="2" s="1"/>
  <c r="I203" i="2"/>
  <c r="J203" i="2" s="1"/>
  <c r="K203" i="2" s="1"/>
  <c r="Z203" i="2" s="1"/>
  <c r="F203" i="2"/>
  <c r="G203" i="2" s="1"/>
  <c r="H203" i="2" s="1"/>
  <c r="C203" i="5" s="1"/>
  <c r="D203" i="2"/>
  <c r="E203" i="2" s="1"/>
  <c r="B203" i="5" s="1"/>
  <c r="B203" i="2"/>
  <c r="C203" i="2" s="1"/>
  <c r="A203" i="5" s="1"/>
  <c r="O202" i="2"/>
  <c r="L202" i="2"/>
  <c r="M202" i="2" s="1"/>
  <c r="N202" i="2" s="1"/>
  <c r="I202" i="2"/>
  <c r="J202" i="2" s="1"/>
  <c r="K202" i="2" s="1"/>
  <c r="F202" i="2"/>
  <c r="G202" i="2" s="1"/>
  <c r="H202" i="2" s="1"/>
  <c r="C202" i="5" s="1"/>
  <c r="D202" i="2"/>
  <c r="E202" i="2" s="1"/>
  <c r="B202" i="5" s="1"/>
  <c r="B202" i="2"/>
  <c r="C202" i="2" s="1"/>
  <c r="A202" i="5" s="1"/>
  <c r="O201" i="2"/>
  <c r="L201" i="2"/>
  <c r="M201" i="2" s="1"/>
  <c r="N201" i="2" s="1"/>
  <c r="I201" i="2"/>
  <c r="J201" i="2" s="1"/>
  <c r="K201" i="2" s="1"/>
  <c r="F201" i="2"/>
  <c r="G201" i="2" s="1"/>
  <c r="H201" i="2" s="1"/>
  <c r="D201" i="2"/>
  <c r="E201" i="2" s="1"/>
  <c r="B201" i="2"/>
  <c r="C201" i="2" s="1"/>
  <c r="O200" i="2"/>
  <c r="L200" i="2"/>
  <c r="M200" i="2" s="1"/>
  <c r="N200" i="2" s="1"/>
  <c r="T200" i="2" s="1"/>
  <c r="I200" i="2"/>
  <c r="J200" i="2" s="1"/>
  <c r="K200" i="2" s="1"/>
  <c r="F200" i="2"/>
  <c r="G200" i="2" s="1"/>
  <c r="H200" i="2" s="1"/>
  <c r="D200" i="2"/>
  <c r="E200" i="2" s="1"/>
  <c r="B200" i="2"/>
  <c r="C200" i="2" s="1"/>
  <c r="O199" i="2"/>
  <c r="L199" i="2"/>
  <c r="M199" i="2" s="1"/>
  <c r="N199" i="2" s="1"/>
  <c r="I199" i="2"/>
  <c r="J199" i="2" s="1"/>
  <c r="K199" i="2" s="1"/>
  <c r="F199" i="2"/>
  <c r="G199" i="2" s="1"/>
  <c r="H199" i="2" s="1"/>
  <c r="D199" i="2"/>
  <c r="E199" i="2" s="1"/>
  <c r="B199" i="2"/>
  <c r="C199" i="2" s="1"/>
  <c r="O198" i="2"/>
  <c r="L198" i="2"/>
  <c r="M198" i="2" s="1"/>
  <c r="N198" i="2" s="1"/>
  <c r="I198" i="2"/>
  <c r="J198" i="2" s="1"/>
  <c r="K198" i="2" s="1"/>
  <c r="F198" i="2"/>
  <c r="G198" i="2" s="1"/>
  <c r="H198" i="2" s="1"/>
  <c r="D198" i="2"/>
  <c r="E198" i="2" s="1"/>
  <c r="B198" i="2"/>
  <c r="C198" i="2" s="1"/>
  <c r="P198" i="2" s="1"/>
  <c r="O197" i="2"/>
  <c r="L197" i="2"/>
  <c r="M197" i="2" s="1"/>
  <c r="N197" i="2" s="1"/>
  <c r="I197" i="2"/>
  <c r="J197" i="2" s="1"/>
  <c r="K197" i="2" s="1"/>
  <c r="F197" i="2"/>
  <c r="G197" i="2" s="1"/>
  <c r="H197" i="2" s="1"/>
  <c r="D197" i="2"/>
  <c r="E197" i="2" s="1"/>
  <c r="B197" i="2"/>
  <c r="C197" i="2" s="1"/>
  <c r="O196" i="2"/>
  <c r="L196" i="2"/>
  <c r="M196" i="2" s="1"/>
  <c r="N196" i="2" s="1"/>
  <c r="T196" i="2" s="1"/>
  <c r="I196" i="2"/>
  <c r="J196" i="2" s="1"/>
  <c r="K196" i="2" s="1"/>
  <c r="Y196" i="2" s="1"/>
  <c r="F196" i="2"/>
  <c r="G196" i="2" s="1"/>
  <c r="H196" i="2" s="1"/>
  <c r="D196" i="2"/>
  <c r="E196" i="2" s="1"/>
  <c r="B196" i="2"/>
  <c r="C196" i="2" s="1"/>
  <c r="O195" i="2"/>
  <c r="L195" i="2"/>
  <c r="M195" i="2" s="1"/>
  <c r="N195" i="2" s="1"/>
  <c r="I195" i="2"/>
  <c r="J195" i="2" s="1"/>
  <c r="K195" i="2" s="1"/>
  <c r="Z195" i="2" s="1"/>
  <c r="F195" i="2"/>
  <c r="G195" i="2" s="1"/>
  <c r="H195" i="2" s="1"/>
  <c r="D195" i="2"/>
  <c r="E195" i="2" s="1"/>
  <c r="B195" i="2"/>
  <c r="C195" i="2" s="1"/>
  <c r="O194" i="2"/>
  <c r="L194" i="2"/>
  <c r="M194" i="2" s="1"/>
  <c r="N194" i="2" s="1"/>
  <c r="I194" i="2"/>
  <c r="J194" i="2" s="1"/>
  <c r="K194" i="2" s="1"/>
  <c r="F194" i="2"/>
  <c r="G194" i="2" s="1"/>
  <c r="H194" i="2" s="1"/>
  <c r="D194" i="2"/>
  <c r="E194" i="2" s="1"/>
  <c r="B194" i="2"/>
  <c r="C194" i="2" s="1"/>
  <c r="P194" i="2" s="1"/>
  <c r="S194" i="2" s="1"/>
  <c r="O193" i="2"/>
  <c r="L193" i="2"/>
  <c r="M193" i="2" s="1"/>
  <c r="N193" i="2" s="1"/>
  <c r="I193" i="2"/>
  <c r="J193" i="2" s="1"/>
  <c r="K193" i="2" s="1"/>
  <c r="F193" i="2"/>
  <c r="G193" i="2" s="1"/>
  <c r="H193" i="2" s="1"/>
  <c r="D193" i="2"/>
  <c r="E193" i="2" s="1"/>
  <c r="B193" i="2"/>
  <c r="C193" i="2" s="1"/>
  <c r="O192" i="2"/>
  <c r="L192" i="2"/>
  <c r="M192" i="2" s="1"/>
  <c r="N192" i="2" s="1"/>
  <c r="T192" i="2" s="1"/>
  <c r="I192" i="2"/>
  <c r="J192" i="2" s="1"/>
  <c r="K192" i="2" s="1"/>
  <c r="Y192" i="2" s="1"/>
  <c r="F192" i="2"/>
  <c r="G192" i="2" s="1"/>
  <c r="H192" i="2" s="1"/>
  <c r="D192" i="2"/>
  <c r="E192" i="2" s="1"/>
  <c r="B192" i="2"/>
  <c r="C192" i="2" s="1"/>
  <c r="O191" i="2"/>
  <c r="L191" i="2"/>
  <c r="M191" i="2" s="1"/>
  <c r="N191" i="2" s="1"/>
  <c r="I191" i="2"/>
  <c r="J191" i="2" s="1"/>
  <c r="K191" i="2" s="1"/>
  <c r="F191" i="2"/>
  <c r="G191" i="2" s="1"/>
  <c r="H191" i="2" s="1"/>
  <c r="D191" i="2"/>
  <c r="E191" i="2" s="1"/>
  <c r="B191" i="2"/>
  <c r="C191" i="2" s="1"/>
  <c r="O190" i="2"/>
  <c r="L190" i="2"/>
  <c r="M190" i="2" s="1"/>
  <c r="N190" i="2" s="1"/>
  <c r="I190" i="2"/>
  <c r="J190" i="2" s="1"/>
  <c r="K190" i="2" s="1"/>
  <c r="F190" i="2"/>
  <c r="G190" i="2" s="1"/>
  <c r="H190" i="2" s="1"/>
  <c r="D190" i="2"/>
  <c r="E190" i="2" s="1"/>
  <c r="B190" i="2"/>
  <c r="C190" i="2" s="1"/>
  <c r="P190" i="2" s="1"/>
  <c r="S190" i="2" s="1"/>
  <c r="O189" i="2"/>
  <c r="L189" i="2"/>
  <c r="M189" i="2" s="1"/>
  <c r="N189" i="2" s="1"/>
  <c r="I189" i="2"/>
  <c r="J189" i="2" s="1"/>
  <c r="K189" i="2" s="1"/>
  <c r="F189" i="2"/>
  <c r="G189" i="2" s="1"/>
  <c r="H189" i="2" s="1"/>
  <c r="D189" i="2"/>
  <c r="E189" i="2" s="1"/>
  <c r="B189" i="2"/>
  <c r="C189" i="2" s="1"/>
  <c r="O188" i="2"/>
  <c r="L188" i="2"/>
  <c r="M188" i="2" s="1"/>
  <c r="N188" i="2" s="1"/>
  <c r="T188" i="2" s="1"/>
  <c r="I188" i="2"/>
  <c r="J188" i="2" s="1"/>
  <c r="K188" i="2" s="1"/>
  <c r="Y188" i="2" s="1"/>
  <c r="F188" i="2"/>
  <c r="G188" i="2" s="1"/>
  <c r="H188" i="2" s="1"/>
  <c r="D188" i="2"/>
  <c r="E188" i="2" s="1"/>
  <c r="B188" i="2"/>
  <c r="C188" i="2" s="1"/>
  <c r="O187" i="2"/>
  <c r="L187" i="2"/>
  <c r="M187" i="2" s="1"/>
  <c r="N187" i="2" s="1"/>
  <c r="I187" i="2"/>
  <c r="J187" i="2" s="1"/>
  <c r="K187" i="2" s="1"/>
  <c r="Z187" i="2" s="1"/>
  <c r="F187" i="2"/>
  <c r="G187" i="2" s="1"/>
  <c r="H187" i="2" s="1"/>
  <c r="D187" i="2"/>
  <c r="E187" i="2" s="1"/>
  <c r="B187" i="2"/>
  <c r="C187" i="2" s="1"/>
  <c r="O186" i="2"/>
  <c r="L186" i="2"/>
  <c r="M186" i="2" s="1"/>
  <c r="N186" i="2" s="1"/>
  <c r="I186" i="2"/>
  <c r="J186" i="2" s="1"/>
  <c r="K186" i="2" s="1"/>
  <c r="F186" i="2"/>
  <c r="G186" i="2" s="1"/>
  <c r="H186" i="2" s="1"/>
  <c r="D186" i="2"/>
  <c r="E186" i="2" s="1"/>
  <c r="B186" i="2"/>
  <c r="C186" i="2" s="1"/>
  <c r="P186" i="2" s="1"/>
  <c r="S186" i="2" s="1"/>
  <c r="O185" i="2"/>
  <c r="L185" i="2"/>
  <c r="M185" i="2" s="1"/>
  <c r="N185" i="2" s="1"/>
  <c r="I185" i="2"/>
  <c r="J185" i="2" s="1"/>
  <c r="K185" i="2" s="1"/>
  <c r="F185" i="2"/>
  <c r="G185" i="2" s="1"/>
  <c r="H185" i="2" s="1"/>
  <c r="D185" i="2"/>
  <c r="E185" i="2" s="1"/>
  <c r="B185" i="2"/>
  <c r="C185" i="2" s="1"/>
  <c r="O184" i="2"/>
  <c r="L184" i="2"/>
  <c r="M184" i="2" s="1"/>
  <c r="N184" i="2" s="1"/>
  <c r="T184" i="2" s="1"/>
  <c r="I184" i="2"/>
  <c r="J184" i="2" s="1"/>
  <c r="K184" i="2" s="1"/>
  <c r="F184" i="2"/>
  <c r="G184" i="2" s="1"/>
  <c r="H184" i="2" s="1"/>
  <c r="D184" i="2"/>
  <c r="E184" i="2" s="1"/>
  <c r="B184" i="2"/>
  <c r="C184" i="2" s="1"/>
  <c r="O183" i="2"/>
  <c r="L183" i="2"/>
  <c r="M183" i="2" s="1"/>
  <c r="N183" i="2" s="1"/>
  <c r="I183" i="2"/>
  <c r="J183" i="2" s="1"/>
  <c r="K183" i="2" s="1"/>
  <c r="F183" i="2"/>
  <c r="G183" i="2" s="1"/>
  <c r="H183" i="2" s="1"/>
  <c r="D183" i="2"/>
  <c r="E183" i="2" s="1"/>
  <c r="B183" i="2"/>
  <c r="C183" i="2" s="1"/>
  <c r="O182" i="2"/>
  <c r="L182" i="2"/>
  <c r="M182" i="2" s="1"/>
  <c r="N182" i="2" s="1"/>
  <c r="I182" i="2"/>
  <c r="J182" i="2" s="1"/>
  <c r="K182" i="2" s="1"/>
  <c r="F182" i="2"/>
  <c r="G182" i="2" s="1"/>
  <c r="H182" i="2" s="1"/>
  <c r="D182" i="2"/>
  <c r="E182" i="2" s="1"/>
  <c r="B182" i="2"/>
  <c r="C182" i="2" s="1"/>
  <c r="P182" i="2" s="1"/>
  <c r="O181" i="2"/>
  <c r="L181" i="2"/>
  <c r="M181" i="2" s="1"/>
  <c r="N181" i="2" s="1"/>
  <c r="I181" i="2"/>
  <c r="J181" i="2" s="1"/>
  <c r="K181" i="2" s="1"/>
  <c r="F181" i="2"/>
  <c r="G181" i="2" s="1"/>
  <c r="H181" i="2" s="1"/>
  <c r="D181" i="2"/>
  <c r="E181" i="2" s="1"/>
  <c r="B181" i="2"/>
  <c r="C181" i="2" s="1"/>
  <c r="O180" i="2"/>
  <c r="L180" i="2"/>
  <c r="M180" i="2" s="1"/>
  <c r="N180" i="2" s="1"/>
  <c r="T180" i="2" s="1"/>
  <c r="I180" i="2"/>
  <c r="J180" i="2" s="1"/>
  <c r="K180" i="2" s="1"/>
  <c r="Y180" i="2" s="1"/>
  <c r="F180" i="2"/>
  <c r="G180" i="2" s="1"/>
  <c r="H180" i="2" s="1"/>
  <c r="D180" i="2"/>
  <c r="E180" i="2" s="1"/>
  <c r="B180" i="2"/>
  <c r="C180" i="2" s="1"/>
  <c r="O179" i="2"/>
  <c r="L179" i="2"/>
  <c r="M179" i="2" s="1"/>
  <c r="N179" i="2" s="1"/>
  <c r="I179" i="2"/>
  <c r="J179" i="2" s="1"/>
  <c r="K179" i="2" s="1"/>
  <c r="Z179" i="2" s="1"/>
  <c r="F179" i="2"/>
  <c r="G179" i="2" s="1"/>
  <c r="H179" i="2" s="1"/>
  <c r="D179" i="2"/>
  <c r="E179" i="2" s="1"/>
  <c r="B179" i="2"/>
  <c r="C179" i="2" s="1"/>
  <c r="O178" i="2"/>
  <c r="L178" i="2"/>
  <c r="M178" i="2" s="1"/>
  <c r="N178" i="2" s="1"/>
  <c r="I178" i="2"/>
  <c r="J178" i="2" s="1"/>
  <c r="K178" i="2" s="1"/>
  <c r="F178" i="2"/>
  <c r="G178" i="2" s="1"/>
  <c r="H178" i="2" s="1"/>
  <c r="D178" i="2"/>
  <c r="E178" i="2" s="1"/>
  <c r="B178" i="2"/>
  <c r="C178" i="2" s="1"/>
  <c r="P178" i="2" s="1"/>
  <c r="S178" i="2" s="1"/>
  <c r="O177" i="2"/>
  <c r="L177" i="2"/>
  <c r="M177" i="2" s="1"/>
  <c r="N177" i="2" s="1"/>
  <c r="I177" i="2"/>
  <c r="J177" i="2" s="1"/>
  <c r="K177" i="2" s="1"/>
  <c r="F177" i="2"/>
  <c r="G177" i="2" s="1"/>
  <c r="H177" i="2" s="1"/>
  <c r="D177" i="2"/>
  <c r="E177" i="2" s="1"/>
  <c r="B177" i="2"/>
  <c r="C177" i="2" s="1"/>
  <c r="O176" i="2"/>
  <c r="L176" i="2"/>
  <c r="M176" i="2" s="1"/>
  <c r="N176" i="2" s="1"/>
  <c r="T176" i="2" s="1"/>
  <c r="I176" i="2"/>
  <c r="J176" i="2" s="1"/>
  <c r="K176" i="2" s="1"/>
  <c r="Y176" i="2" s="1"/>
  <c r="F176" i="2"/>
  <c r="G176" i="2" s="1"/>
  <c r="H176" i="2" s="1"/>
  <c r="D176" i="2"/>
  <c r="E176" i="2" s="1"/>
  <c r="B176" i="2"/>
  <c r="C176" i="2" s="1"/>
  <c r="O175" i="2"/>
  <c r="L175" i="2"/>
  <c r="M175" i="2" s="1"/>
  <c r="N175" i="2" s="1"/>
  <c r="I175" i="2"/>
  <c r="J175" i="2" s="1"/>
  <c r="K175" i="2" s="1"/>
  <c r="F175" i="2"/>
  <c r="G175" i="2" s="1"/>
  <c r="H175" i="2" s="1"/>
  <c r="D175" i="2"/>
  <c r="E175" i="2" s="1"/>
  <c r="B175" i="2"/>
  <c r="C175" i="2" s="1"/>
  <c r="O174" i="2"/>
  <c r="L174" i="2"/>
  <c r="M174" i="2" s="1"/>
  <c r="N174" i="2" s="1"/>
  <c r="I174" i="2"/>
  <c r="J174" i="2" s="1"/>
  <c r="K174" i="2" s="1"/>
  <c r="F174" i="2"/>
  <c r="G174" i="2" s="1"/>
  <c r="H174" i="2" s="1"/>
  <c r="D174" i="2"/>
  <c r="E174" i="2" s="1"/>
  <c r="B174" i="2"/>
  <c r="C174" i="2" s="1"/>
  <c r="P174" i="2" s="1"/>
  <c r="S174" i="2" s="1"/>
  <c r="O173" i="2"/>
  <c r="L173" i="2"/>
  <c r="M173" i="2" s="1"/>
  <c r="N173" i="2" s="1"/>
  <c r="I173" i="2"/>
  <c r="J173" i="2" s="1"/>
  <c r="K173" i="2" s="1"/>
  <c r="F173" i="2"/>
  <c r="G173" i="2" s="1"/>
  <c r="H173" i="2" s="1"/>
  <c r="D173" i="2"/>
  <c r="E173" i="2" s="1"/>
  <c r="B173" i="2"/>
  <c r="C173" i="2" s="1"/>
  <c r="O172" i="2"/>
  <c r="L172" i="2"/>
  <c r="M172" i="2" s="1"/>
  <c r="N172" i="2" s="1"/>
  <c r="T172" i="2" s="1"/>
  <c r="I172" i="2"/>
  <c r="J172" i="2" s="1"/>
  <c r="K172" i="2" s="1"/>
  <c r="Y172" i="2" s="1"/>
  <c r="F172" i="2"/>
  <c r="G172" i="2" s="1"/>
  <c r="H172" i="2" s="1"/>
  <c r="D172" i="2"/>
  <c r="E172" i="2" s="1"/>
  <c r="B172" i="2"/>
  <c r="C172" i="2" s="1"/>
  <c r="O171" i="2"/>
  <c r="L171" i="2"/>
  <c r="M171" i="2" s="1"/>
  <c r="N171" i="2" s="1"/>
  <c r="I171" i="2"/>
  <c r="J171" i="2" s="1"/>
  <c r="K171" i="2" s="1"/>
  <c r="Z171" i="2" s="1"/>
  <c r="F171" i="2"/>
  <c r="G171" i="2" s="1"/>
  <c r="H171" i="2" s="1"/>
  <c r="D171" i="2"/>
  <c r="E171" i="2" s="1"/>
  <c r="B171" i="2"/>
  <c r="C171" i="2" s="1"/>
  <c r="O170" i="2"/>
  <c r="L170" i="2"/>
  <c r="M170" i="2" s="1"/>
  <c r="N170" i="2" s="1"/>
  <c r="I170" i="2"/>
  <c r="J170" i="2" s="1"/>
  <c r="K170" i="2" s="1"/>
  <c r="F170" i="2"/>
  <c r="G170" i="2" s="1"/>
  <c r="H170" i="2" s="1"/>
  <c r="D170" i="2"/>
  <c r="E170" i="2" s="1"/>
  <c r="B170" i="2"/>
  <c r="C170" i="2" s="1"/>
  <c r="P170" i="2" s="1"/>
  <c r="S170" i="2" s="1"/>
  <c r="O169" i="2"/>
  <c r="L169" i="2"/>
  <c r="M169" i="2" s="1"/>
  <c r="N169" i="2" s="1"/>
  <c r="I169" i="2"/>
  <c r="J169" i="2" s="1"/>
  <c r="K169" i="2" s="1"/>
  <c r="F169" i="2"/>
  <c r="G169" i="2" s="1"/>
  <c r="H169" i="2" s="1"/>
  <c r="D169" i="2"/>
  <c r="E169" i="2" s="1"/>
  <c r="B169" i="2"/>
  <c r="C169" i="2" s="1"/>
  <c r="O168" i="2"/>
  <c r="L168" i="2"/>
  <c r="M168" i="2" s="1"/>
  <c r="N168" i="2" s="1"/>
  <c r="T168" i="2" s="1"/>
  <c r="I168" i="2"/>
  <c r="J168" i="2" s="1"/>
  <c r="K168" i="2" s="1"/>
  <c r="F168" i="2"/>
  <c r="G168" i="2" s="1"/>
  <c r="H168" i="2" s="1"/>
  <c r="D168" i="2"/>
  <c r="E168" i="2" s="1"/>
  <c r="B168" i="2"/>
  <c r="C168" i="2" s="1"/>
  <c r="O167" i="2"/>
  <c r="L167" i="2"/>
  <c r="M167" i="2" s="1"/>
  <c r="N167" i="2" s="1"/>
  <c r="I167" i="2"/>
  <c r="J167" i="2" s="1"/>
  <c r="K167" i="2" s="1"/>
  <c r="F167" i="2"/>
  <c r="G167" i="2" s="1"/>
  <c r="H167" i="2" s="1"/>
  <c r="D167" i="2"/>
  <c r="E167" i="2" s="1"/>
  <c r="B167" i="2"/>
  <c r="C167" i="2" s="1"/>
  <c r="O166" i="2"/>
  <c r="L166" i="2"/>
  <c r="M166" i="2" s="1"/>
  <c r="N166" i="2" s="1"/>
  <c r="I166" i="2"/>
  <c r="J166" i="2" s="1"/>
  <c r="K166" i="2" s="1"/>
  <c r="F166" i="2"/>
  <c r="G166" i="2" s="1"/>
  <c r="H166" i="2" s="1"/>
  <c r="D166" i="2"/>
  <c r="E166" i="2" s="1"/>
  <c r="B166" i="2"/>
  <c r="C166" i="2" s="1"/>
  <c r="P166" i="2" s="1"/>
  <c r="O165" i="2"/>
  <c r="L165" i="2"/>
  <c r="M165" i="2" s="1"/>
  <c r="N165" i="2" s="1"/>
  <c r="I165" i="2"/>
  <c r="J165" i="2" s="1"/>
  <c r="K165" i="2" s="1"/>
  <c r="F165" i="2"/>
  <c r="G165" i="2" s="1"/>
  <c r="H165" i="2" s="1"/>
  <c r="D165" i="2"/>
  <c r="E165" i="2" s="1"/>
  <c r="B165" i="2"/>
  <c r="C165" i="2" s="1"/>
  <c r="O164" i="2"/>
  <c r="L164" i="2"/>
  <c r="M164" i="2" s="1"/>
  <c r="N164" i="2" s="1"/>
  <c r="T164" i="2" s="1"/>
  <c r="I164" i="2"/>
  <c r="J164" i="2" s="1"/>
  <c r="K164" i="2" s="1"/>
  <c r="Y164" i="2" s="1"/>
  <c r="F164" i="2"/>
  <c r="G164" i="2" s="1"/>
  <c r="H164" i="2" s="1"/>
  <c r="D164" i="2"/>
  <c r="E164" i="2" s="1"/>
  <c r="B164" i="2"/>
  <c r="C164" i="2" s="1"/>
  <c r="O163" i="2"/>
  <c r="L163" i="2"/>
  <c r="M163" i="2" s="1"/>
  <c r="N163" i="2" s="1"/>
  <c r="I163" i="2"/>
  <c r="J163" i="2" s="1"/>
  <c r="K163" i="2" s="1"/>
  <c r="Z163" i="2" s="1"/>
  <c r="F163" i="2"/>
  <c r="G163" i="2" s="1"/>
  <c r="H163" i="2" s="1"/>
  <c r="D163" i="2"/>
  <c r="E163" i="2" s="1"/>
  <c r="B163" i="2"/>
  <c r="C163" i="2" s="1"/>
  <c r="O162" i="2"/>
  <c r="L162" i="2"/>
  <c r="M162" i="2" s="1"/>
  <c r="N162" i="2" s="1"/>
  <c r="I162" i="2"/>
  <c r="J162" i="2" s="1"/>
  <c r="K162" i="2" s="1"/>
  <c r="F162" i="2"/>
  <c r="G162" i="2" s="1"/>
  <c r="H162" i="2" s="1"/>
  <c r="D162" i="2"/>
  <c r="E162" i="2" s="1"/>
  <c r="B162" i="2"/>
  <c r="C162" i="2" s="1"/>
  <c r="P162" i="2" s="1"/>
  <c r="S162" i="2" s="1"/>
  <c r="O161" i="2"/>
  <c r="L161" i="2"/>
  <c r="M161" i="2" s="1"/>
  <c r="N161" i="2" s="1"/>
  <c r="I161" i="2"/>
  <c r="J161" i="2" s="1"/>
  <c r="K161" i="2" s="1"/>
  <c r="F161" i="2"/>
  <c r="G161" i="2" s="1"/>
  <c r="H161" i="2" s="1"/>
  <c r="D161" i="2"/>
  <c r="E161" i="2" s="1"/>
  <c r="B161" i="2"/>
  <c r="C161" i="2" s="1"/>
  <c r="O160" i="2"/>
  <c r="L160" i="2"/>
  <c r="M160" i="2" s="1"/>
  <c r="N160" i="2" s="1"/>
  <c r="T160" i="2" s="1"/>
  <c r="I160" i="2"/>
  <c r="J160" i="2" s="1"/>
  <c r="K160" i="2" s="1"/>
  <c r="Y160" i="2" s="1"/>
  <c r="F160" i="2"/>
  <c r="G160" i="2" s="1"/>
  <c r="H160" i="2" s="1"/>
  <c r="D160" i="2"/>
  <c r="E160" i="2" s="1"/>
  <c r="B160" i="2"/>
  <c r="C160" i="2" s="1"/>
  <c r="O159" i="2"/>
  <c r="L159" i="2"/>
  <c r="M159" i="2" s="1"/>
  <c r="N159" i="2" s="1"/>
  <c r="I159" i="2"/>
  <c r="J159" i="2" s="1"/>
  <c r="K159" i="2" s="1"/>
  <c r="F159" i="2"/>
  <c r="G159" i="2" s="1"/>
  <c r="H159" i="2" s="1"/>
  <c r="D159" i="2"/>
  <c r="E159" i="2" s="1"/>
  <c r="B159" i="2"/>
  <c r="C159" i="2" s="1"/>
  <c r="O158" i="2"/>
  <c r="L158" i="2"/>
  <c r="M158" i="2" s="1"/>
  <c r="N158" i="2" s="1"/>
  <c r="I158" i="2"/>
  <c r="J158" i="2" s="1"/>
  <c r="K158" i="2" s="1"/>
  <c r="F158" i="2"/>
  <c r="G158" i="2" s="1"/>
  <c r="H158" i="2" s="1"/>
  <c r="D158" i="2"/>
  <c r="E158" i="2" s="1"/>
  <c r="B158" i="2"/>
  <c r="C158" i="2" s="1"/>
  <c r="P158" i="2" s="1"/>
  <c r="S158" i="2" s="1"/>
  <c r="O157" i="2"/>
  <c r="L157" i="2"/>
  <c r="M157" i="2" s="1"/>
  <c r="N157" i="2" s="1"/>
  <c r="I157" i="2"/>
  <c r="J157" i="2" s="1"/>
  <c r="K157" i="2" s="1"/>
  <c r="F157" i="2"/>
  <c r="G157" i="2" s="1"/>
  <c r="H157" i="2" s="1"/>
  <c r="D157" i="2"/>
  <c r="E157" i="2" s="1"/>
  <c r="B157" i="2"/>
  <c r="C157" i="2" s="1"/>
  <c r="O156" i="2"/>
  <c r="L156" i="2"/>
  <c r="M156" i="2" s="1"/>
  <c r="N156" i="2" s="1"/>
  <c r="T156" i="2" s="1"/>
  <c r="I156" i="2"/>
  <c r="J156" i="2" s="1"/>
  <c r="K156" i="2" s="1"/>
  <c r="Y156" i="2" s="1"/>
  <c r="F156" i="2"/>
  <c r="G156" i="2" s="1"/>
  <c r="H156" i="2" s="1"/>
  <c r="D156" i="2"/>
  <c r="E156" i="2" s="1"/>
  <c r="B156" i="2"/>
  <c r="C156" i="2" s="1"/>
  <c r="O155" i="2"/>
  <c r="L155" i="2"/>
  <c r="M155" i="2" s="1"/>
  <c r="N155" i="2" s="1"/>
  <c r="I155" i="2"/>
  <c r="J155" i="2" s="1"/>
  <c r="K155" i="2" s="1"/>
  <c r="Z155" i="2" s="1"/>
  <c r="F155" i="2"/>
  <c r="G155" i="2" s="1"/>
  <c r="H155" i="2" s="1"/>
  <c r="D155" i="2"/>
  <c r="E155" i="2" s="1"/>
  <c r="B155" i="2"/>
  <c r="C155" i="2" s="1"/>
  <c r="O154" i="2"/>
  <c r="L154" i="2"/>
  <c r="M154" i="2" s="1"/>
  <c r="N154" i="2" s="1"/>
  <c r="I154" i="2"/>
  <c r="J154" i="2" s="1"/>
  <c r="K154" i="2" s="1"/>
  <c r="F154" i="2"/>
  <c r="G154" i="2" s="1"/>
  <c r="H154" i="2" s="1"/>
  <c r="D154" i="2"/>
  <c r="E154" i="2" s="1"/>
  <c r="B154" i="2"/>
  <c r="C154" i="2" s="1"/>
  <c r="P154" i="2" s="1"/>
  <c r="S154" i="2" s="1"/>
  <c r="O153" i="2"/>
  <c r="L153" i="2"/>
  <c r="M153" i="2" s="1"/>
  <c r="N153" i="2" s="1"/>
  <c r="I153" i="2"/>
  <c r="J153" i="2" s="1"/>
  <c r="K153" i="2" s="1"/>
  <c r="F153" i="2"/>
  <c r="G153" i="2" s="1"/>
  <c r="H153" i="2" s="1"/>
  <c r="D153" i="2"/>
  <c r="E153" i="2" s="1"/>
  <c r="B153" i="2"/>
  <c r="C153" i="2" s="1"/>
  <c r="O152" i="2"/>
  <c r="L152" i="2"/>
  <c r="M152" i="2" s="1"/>
  <c r="N152" i="2" s="1"/>
  <c r="T152" i="2" s="1"/>
  <c r="I152" i="2"/>
  <c r="J152" i="2" s="1"/>
  <c r="K152" i="2" s="1"/>
  <c r="F152" i="2"/>
  <c r="G152" i="2" s="1"/>
  <c r="H152" i="2" s="1"/>
  <c r="D152" i="2"/>
  <c r="E152" i="2" s="1"/>
  <c r="B152" i="2"/>
  <c r="C152" i="2" s="1"/>
  <c r="O151" i="2"/>
  <c r="L151" i="2"/>
  <c r="M151" i="2" s="1"/>
  <c r="N151" i="2" s="1"/>
  <c r="I151" i="2"/>
  <c r="J151" i="2" s="1"/>
  <c r="K151" i="2" s="1"/>
  <c r="F151" i="2"/>
  <c r="G151" i="2" s="1"/>
  <c r="H151" i="2" s="1"/>
  <c r="D151" i="2"/>
  <c r="E151" i="2" s="1"/>
  <c r="B151" i="2"/>
  <c r="C151" i="2" s="1"/>
  <c r="O150" i="2"/>
  <c r="L150" i="2"/>
  <c r="M150" i="2" s="1"/>
  <c r="N150" i="2" s="1"/>
  <c r="I150" i="2"/>
  <c r="J150" i="2" s="1"/>
  <c r="K150" i="2" s="1"/>
  <c r="F150" i="2"/>
  <c r="G150" i="2" s="1"/>
  <c r="H150" i="2" s="1"/>
  <c r="D150" i="2"/>
  <c r="E150" i="2" s="1"/>
  <c r="B150" i="2"/>
  <c r="C150" i="2" s="1"/>
  <c r="P150" i="2" s="1"/>
  <c r="O149" i="2"/>
  <c r="L149" i="2"/>
  <c r="M149" i="2" s="1"/>
  <c r="N149" i="2" s="1"/>
  <c r="I149" i="2"/>
  <c r="J149" i="2" s="1"/>
  <c r="K149" i="2" s="1"/>
  <c r="F149" i="2"/>
  <c r="G149" i="2" s="1"/>
  <c r="H149" i="2" s="1"/>
  <c r="D149" i="2"/>
  <c r="E149" i="2" s="1"/>
  <c r="B149" i="2"/>
  <c r="C149" i="2" s="1"/>
  <c r="O148" i="2"/>
  <c r="L148" i="2"/>
  <c r="M148" i="2" s="1"/>
  <c r="N148" i="2" s="1"/>
  <c r="T148" i="2" s="1"/>
  <c r="I148" i="2"/>
  <c r="J148" i="2" s="1"/>
  <c r="K148" i="2" s="1"/>
  <c r="Y148" i="2" s="1"/>
  <c r="F148" i="2"/>
  <c r="G148" i="2" s="1"/>
  <c r="H148" i="2" s="1"/>
  <c r="D148" i="2"/>
  <c r="E148" i="2" s="1"/>
  <c r="B148" i="2"/>
  <c r="C148" i="2" s="1"/>
  <c r="O147" i="2"/>
  <c r="L147" i="2"/>
  <c r="M147" i="2" s="1"/>
  <c r="N147" i="2" s="1"/>
  <c r="I147" i="2"/>
  <c r="J147" i="2" s="1"/>
  <c r="K147" i="2" s="1"/>
  <c r="Z147" i="2" s="1"/>
  <c r="F147" i="2"/>
  <c r="G147" i="2" s="1"/>
  <c r="H147" i="2" s="1"/>
  <c r="D147" i="2"/>
  <c r="E147" i="2" s="1"/>
  <c r="B147" i="2"/>
  <c r="C147" i="2" s="1"/>
  <c r="O146" i="2"/>
  <c r="L146" i="2"/>
  <c r="M146" i="2" s="1"/>
  <c r="N146" i="2" s="1"/>
  <c r="I146" i="2"/>
  <c r="J146" i="2" s="1"/>
  <c r="K146" i="2" s="1"/>
  <c r="F146" i="2"/>
  <c r="G146" i="2" s="1"/>
  <c r="H146" i="2" s="1"/>
  <c r="D146" i="2"/>
  <c r="E146" i="2" s="1"/>
  <c r="B146" i="2"/>
  <c r="C146" i="2" s="1"/>
  <c r="P146" i="2" s="1"/>
  <c r="S146" i="2" s="1"/>
  <c r="O145" i="2"/>
  <c r="L145" i="2"/>
  <c r="M145" i="2" s="1"/>
  <c r="N145" i="2" s="1"/>
  <c r="I145" i="2"/>
  <c r="J145" i="2" s="1"/>
  <c r="K145" i="2" s="1"/>
  <c r="F145" i="2"/>
  <c r="G145" i="2" s="1"/>
  <c r="H145" i="2" s="1"/>
  <c r="D145" i="2"/>
  <c r="E145" i="2" s="1"/>
  <c r="B145" i="2"/>
  <c r="C145" i="2" s="1"/>
  <c r="O144" i="2"/>
  <c r="L144" i="2"/>
  <c r="M144" i="2" s="1"/>
  <c r="N144" i="2" s="1"/>
  <c r="T144" i="2" s="1"/>
  <c r="I144" i="2"/>
  <c r="J144" i="2" s="1"/>
  <c r="K144" i="2" s="1"/>
  <c r="Y144" i="2" s="1"/>
  <c r="F144" i="2"/>
  <c r="G144" i="2" s="1"/>
  <c r="H144" i="2" s="1"/>
  <c r="D144" i="2"/>
  <c r="E144" i="2" s="1"/>
  <c r="B144" i="2"/>
  <c r="C144" i="2" s="1"/>
  <c r="O143" i="2"/>
  <c r="L143" i="2"/>
  <c r="M143" i="2" s="1"/>
  <c r="N143" i="2" s="1"/>
  <c r="I143" i="2"/>
  <c r="J143" i="2" s="1"/>
  <c r="K143" i="2" s="1"/>
  <c r="F143" i="2"/>
  <c r="G143" i="2" s="1"/>
  <c r="H143" i="2" s="1"/>
  <c r="D143" i="2"/>
  <c r="E143" i="2" s="1"/>
  <c r="B143" i="2"/>
  <c r="C143" i="2" s="1"/>
  <c r="O142" i="2"/>
  <c r="L142" i="2"/>
  <c r="M142" i="2" s="1"/>
  <c r="N142" i="2" s="1"/>
  <c r="I142" i="2"/>
  <c r="J142" i="2" s="1"/>
  <c r="K142" i="2" s="1"/>
  <c r="F142" i="2"/>
  <c r="G142" i="2" s="1"/>
  <c r="H142" i="2" s="1"/>
  <c r="D142" i="2"/>
  <c r="E142" i="2" s="1"/>
  <c r="B142" i="2"/>
  <c r="C142" i="2" s="1"/>
  <c r="P142" i="2" s="1"/>
  <c r="S142" i="2" s="1"/>
  <c r="O141" i="2"/>
  <c r="L141" i="2"/>
  <c r="M141" i="2" s="1"/>
  <c r="N141" i="2" s="1"/>
  <c r="I141" i="2"/>
  <c r="J141" i="2" s="1"/>
  <c r="K141" i="2" s="1"/>
  <c r="F141" i="2"/>
  <c r="G141" i="2" s="1"/>
  <c r="H141" i="2" s="1"/>
  <c r="D141" i="2"/>
  <c r="E141" i="2" s="1"/>
  <c r="B141" i="2"/>
  <c r="C141" i="2" s="1"/>
  <c r="O140" i="2"/>
  <c r="L140" i="2"/>
  <c r="M140" i="2" s="1"/>
  <c r="N140" i="2" s="1"/>
  <c r="T140" i="2" s="1"/>
  <c r="I140" i="2"/>
  <c r="J140" i="2" s="1"/>
  <c r="K140" i="2" s="1"/>
  <c r="Y140" i="2" s="1"/>
  <c r="F140" i="2"/>
  <c r="G140" i="2" s="1"/>
  <c r="H140" i="2" s="1"/>
  <c r="D140" i="2"/>
  <c r="E140" i="2" s="1"/>
  <c r="B140" i="2"/>
  <c r="C140" i="2" s="1"/>
  <c r="O139" i="2"/>
  <c r="L139" i="2"/>
  <c r="M139" i="2" s="1"/>
  <c r="N139" i="2" s="1"/>
  <c r="I139" i="2"/>
  <c r="J139" i="2" s="1"/>
  <c r="K139" i="2" s="1"/>
  <c r="Z139" i="2" s="1"/>
  <c r="F139" i="2"/>
  <c r="G139" i="2" s="1"/>
  <c r="H139" i="2" s="1"/>
  <c r="D139" i="2"/>
  <c r="E139" i="2" s="1"/>
  <c r="B139" i="2"/>
  <c r="C139" i="2" s="1"/>
  <c r="O138" i="2"/>
  <c r="L138" i="2"/>
  <c r="M138" i="2" s="1"/>
  <c r="N138" i="2" s="1"/>
  <c r="I138" i="2"/>
  <c r="J138" i="2" s="1"/>
  <c r="K138" i="2" s="1"/>
  <c r="F138" i="2"/>
  <c r="G138" i="2" s="1"/>
  <c r="H138" i="2" s="1"/>
  <c r="D138" i="2"/>
  <c r="E138" i="2" s="1"/>
  <c r="B138" i="2"/>
  <c r="C138" i="2" s="1"/>
  <c r="P138" i="2" s="1"/>
  <c r="S138" i="2" s="1"/>
  <c r="O137" i="2"/>
  <c r="L137" i="2"/>
  <c r="M137" i="2" s="1"/>
  <c r="N137" i="2" s="1"/>
  <c r="I137" i="2"/>
  <c r="J137" i="2" s="1"/>
  <c r="K137" i="2" s="1"/>
  <c r="F137" i="2"/>
  <c r="G137" i="2" s="1"/>
  <c r="H137" i="2" s="1"/>
  <c r="D137" i="2"/>
  <c r="E137" i="2" s="1"/>
  <c r="B137" i="2"/>
  <c r="C137" i="2" s="1"/>
  <c r="O136" i="2"/>
  <c r="L136" i="2"/>
  <c r="M136" i="2" s="1"/>
  <c r="N136" i="2" s="1"/>
  <c r="T136" i="2" s="1"/>
  <c r="I136" i="2"/>
  <c r="J136" i="2" s="1"/>
  <c r="K136" i="2" s="1"/>
  <c r="F136" i="2"/>
  <c r="G136" i="2" s="1"/>
  <c r="H136" i="2" s="1"/>
  <c r="D136" i="2"/>
  <c r="E136" i="2" s="1"/>
  <c r="B136" i="2"/>
  <c r="C136" i="2" s="1"/>
  <c r="O135" i="2"/>
  <c r="L135" i="2"/>
  <c r="M135" i="2" s="1"/>
  <c r="N135" i="2" s="1"/>
  <c r="I135" i="2"/>
  <c r="J135" i="2" s="1"/>
  <c r="K135" i="2" s="1"/>
  <c r="F135" i="2"/>
  <c r="G135" i="2" s="1"/>
  <c r="H135" i="2" s="1"/>
  <c r="D135" i="2"/>
  <c r="E135" i="2" s="1"/>
  <c r="B135" i="2"/>
  <c r="C135" i="2" s="1"/>
  <c r="O134" i="2"/>
  <c r="L134" i="2"/>
  <c r="M134" i="2" s="1"/>
  <c r="N134" i="2" s="1"/>
  <c r="I134" i="2"/>
  <c r="J134" i="2" s="1"/>
  <c r="K134" i="2" s="1"/>
  <c r="F134" i="2"/>
  <c r="G134" i="2" s="1"/>
  <c r="H134" i="2" s="1"/>
  <c r="D134" i="2"/>
  <c r="E134" i="2" s="1"/>
  <c r="B134" i="2"/>
  <c r="C134" i="2" s="1"/>
  <c r="P134" i="2" s="1"/>
  <c r="O133" i="2"/>
  <c r="L133" i="2"/>
  <c r="M133" i="2" s="1"/>
  <c r="N133" i="2" s="1"/>
  <c r="I133" i="2"/>
  <c r="J133" i="2" s="1"/>
  <c r="K133" i="2" s="1"/>
  <c r="F133" i="2"/>
  <c r="G133" i="2" s="1"/>
  <c r="H133" i="2" s="1"/>
  <c r="D133" i="2"/>
  <c r="E133" i="2" s="1"/>
  <c r="B133" i="2"/>
  <c r="C133" i="2" s="1"/>
  <c r="O132" i="2"/>
  <c r="L132" i="2"/>
  <c r="M132" i="2" s="1"/>
  <c r="N132" i="2" s="1"/>
  <c r="T132" i="2" s="1"/>
  <c r="I132" i="2"/>
  <c r="J132" i="2" s="1"/>
  <c r="K132" i="2" s="1"/>
  <c r="Y132" i="2" s="1"/>
  <c r="F132" i="2"/>
  <c r="G132" i="2" s="1"/>
  <c r="H132" i="2" s="1"/>
  <c r="D132" i="2"/>
  <c r="E132" i="2" s="1"/>
  <c r="B132" i="2"/>
  <c r="C132" i="2" s="1"/>
  <c r="O131" i="2"/>
  <c r="L131" i="2"/>
  <c r="M131" i="2" s="1"/>
  <c r="N131" i="2" s="1"/>
  <c r="I131" i="2"/>
  <c r="J131" i="2" s="1"/>
  <c r="K131" i="2" s="1"/>
  <c r="Z131" i="2" s="1"/>
  <c r="F131" i="2"/>
  <c r="G131" i="2" s="1"/>
  <c r="H131" i="2" s="1"/>
  <c r="D131" i="2"/>
  <c r="E131" i="2" s="1"/>
  <c r="B131" i="2"/>
  <c r="C131" i="2" s="1"/>
  <c r="O130" i="2"/>
  <c r="L130" i="2"/>
  <c r="M130" i="2" s="1"/>
  <c r="N130" i="2" s="1"/>
  <c r="I130" i="2"/>
  <c r="J130" i="2" s="1"/>
  <c r="K130" i="2" s="1"/>
  <c r="F130" i="2"/>
  <c r="G130" i="2" s="1"/>
  <c r="H130" i="2" s="1"/>
  <c r="D130" i="2"/>
  <c r="E130" i="2" s="1"/>
  <c r="B130" i="2"/>
  <c r="C130" i="2" s="1"/>
  <c r="P130" i="2" s="1"/>
  <c r="S130" i="2" s="1"/>
  <c r="O129" i="2"/>
  <c r="L129" i="2"/>
  <c r="M129" i="2" s="1"/>
  <c r="N129" i="2" s="1"/>
  <c r="I129" i="2"/>
  <c r="J129" i="2" s="1"/>
  <c r="K129" i="2" s="1"/>
  <c r="F129" i="2"/>
  <c r="G129" i="2" s="1"/>
  <c r="H129" i="2" s="1"/>
  <c r="D129" i="2"/>
  <c r="E129" i="2" s="1"/>
  <c r="B129" i="2"/>
  <c r="C129" i="2" s="1"/>
  <c r="O128" i="2"/>
  <c r="L128" i="2"/>
  <c r="M128" i="2" s="1"/>
  <c r="N128" i="2" s="1"/>
  <c r="T128" i="2" s="1"/>
  <c r="I128" i="2"/>
  <c r="J128" i="2" s="1"/>
  <c r="K128" i="2" s="1"/>
  <c r="Y128" i="2" s="1"/>
  <c r="F128" i="2"/>
  <c r="G128" i="2" s="1"/>
  <c r="H128" i="2" s="1"/>
  <c r="D128" i="2"/>
  <c r="E128" i="2" s="1"/>
  <c r="B128" i="2"/>
  <c r="C128" i="2" s="1"/>
  <c r="O127" i="2"/>
  <c r="L127" i="2"/>
  <c r="M127" i="2" s="1"/>
  <c r="N127" i="2" s="1"/>
  <c r="I127" i="2"/>
  <c r="J127" i="2" s="1"/>
  <c r="K127" i="2" s="1"/>
  <c r="F127" i="2"/>
  <c r="G127" i="2" s="1"/>
  <c r="H127" i="2" s="1"/>
  <c r="D127" i="2"/>
  <c r="E127" i="2" s="1"/>
  <c r="B127" i="2"/>
  <c r="C127" i="2" s="1"/>
  <c r="O126" i="2"/>
  <c r="L126" i="2"/>
  <c r="M126" i="2" s="1"/>
  <c r="N126" i="2" s="1"/>
  <c r="I126" i="2"/>
  <c r="J126" i="2" s="1"/>
  <c r="K126" i="2" s="1"/>
  <c r="F126" i="2"/>
  <c r="G126" i="2" s="1"/>
  <c r="H126" i="2" s="1"/>
  <c r="D126" i="2"/>
  <c r="E126" i="2" s="1"/>
  <c r="B126" i="2"/>
  <c r="C126" i="2" s="1"/>
  <c r="P126" i="2" s="1"/>
  <c r="S126" i="2" s="1"/>
  <c r="O125" i="2"/>
  <c r="L125" i="2"/>
  <c r="M125" i="2" s="1"/>
  <c r="N125" i="2" s="1"/>
  <c r="I125" i="2"/>
  <c r="J125" i="2" s="1"/>
  <c r="K125" i="2" s="1"/>
  <c r="F125" i="2"/>
  <c r="G125" i="2" s="1"/>
  <c r="H125" i="2" s="1"/>
  <c r="D125" i="2"/>
  <c r="E125" i="2" s="1"/>
  <c r="B125" i="2"/>
  <c r="C125" i="2" s="1"/>
  <c r="O124" i="2"/>
  <c r="L124" i="2"/>
  <c r="M124" i="2" s="1"/>
  <c r="N124" i="2" s="1"/>
  <c r="T124" i="2" s="1"/>
  <c r="I124" i="2"/>
  <c r="J124" i="2" s="1"/>
  <c r="K124" i="2" s="1"/>
  <c r="Y124" i="2" s="1"/>
  <c r="F124" i="2"/>
  <c r="G124" i="2" s="1"/>
  <c r="H124" i="2" s="1"/>
  <c r="D124" i="2"/>
  <c r="E124" i="2" s="1"/>
  <c r="B124" i="2"/>
  <c r="C124" i="2" s="1"/>
  <c r="O123" i="2"/>
  <c r="L123" i="2"/>
  <c r="M123" i="2" s="1"/>
  <c r="N123" i="2" s="1"/>
  <c r="I123" i="2"/>
  <c r="J123" i="2" s="1"/>
  <c r="K123" i="2" s="1"/>
  <c r="Z123" i="2" s="1"/>
  <c r="F123" i="2"/>
  <c r="G123" i="2" s="1"/>
  <c r="H123" i="2" s="1"/>
  <c r="D123" i="2"/>
  <c r="E123" i="2" s="1"/>
  <c r="B123" i="2"/>
  <c r="C123" i="2" s="1"/>
  <c r="O122" i="2"/>
  <c r="L122" i="2"/>
  <c r="M122" i="2" s="1"/>
  <c r="N122" i="2" s="1"/>
  <c r="I122" i="2"/>
  <c r="J122" i="2" s="1"/>
  <c r="K122" i="2" s="1"/>
  <c r="F122" i="2"/>
  <c r="G122" i="2" s="1"/>
  <c r="H122" i="2" s="1"/>
  <c r="D122" i="2"/>
  <c r="E122" i="2" s="1"/>
  <c r="B122" i="2"/>
  <c r="C122" i="2" s="1"/>
  <c r="P122" i="2" s="1"/>
  <c r="S122" i="2" s="1"/>
  <c r="O121" i="2"/>
  <c r="L121" i="2"/>
  <c r="M121" i="2" s="1"/>
  <c r="N121" i="2" s="1"/>
  <c r="I121" i="2"/>
  <c r="J121" i="2" s="1"/>
  <c r="K121" i="2" s="1"/>
  <c r="F121" i="2"/>
  <c r="G121" i="2" s="1"/>
  <c r="H121" i="2" s="1"/>
  <c r="D121" i="2"/>
  <c r="E121" i="2" s="1"/>
  <c r="B121" i="2"/>
  <c r="C121" i="2" s="1"/>
  <c r="O120" i="2"/>
  <c r="L120" i="2"/>
  <c r="M120" i="2" s="1"/>
  <c r="N120" i="2" s="1"/>
  <c r="T120" i="2" s="1"/>
  <c r="I120" i="2"/>
  <c r="J120" i="2" s="1"/>
  <c r="K120" i="2" s="1"/>
  <c r="F120" i="2"/>
  <c r="G120" i="2" s="1"/>
  <c r="H120" i="2" s="1"/>
  <c r="D120" i="2"/>
  <c r="E120" i="2" s="1"/>
  <c r="B120" i="2"/>
  <c r="C120" i="2" s="1"/>
  <c r="O119" i="2"/>
  <c r="L119" i="2"/>
  <c r="M119" i="2" s="1"/>
  <c r="N119" i="2" s="1"/>
  <c r="I119" i="2"/>
  <c r="J119" i="2" s="1"/>
  <c r="K119" i="2" s="1"/>
  <c r="F119" i="2"/>
  <c r="G119" i="2" s="1"/>
  <c r="H119" i="2" s="1"/>
  <c r="D119" i="2"/>
  <c r="E119" i="2" s="1"/>
  <c r="B119" i="2"/>
  <c r="C119" i="2" s="1"/>
  <c r="O118" i="2"/>
  <c r="L118" i="2"/>
  <c r="M118" i="2" s="1"/>
  <c r="N118" i="2" s="1"/>
  <c r="I118" i="2"/>
  <c r="J118" i="2" s="1"/>
  <c r="K118" i="2" s="1"/>
  <c r="F118" i="2"/>
  <c r="G118" i="2" s="1"/>
  <c r="H118" i="2" s="1"/>
  <c r="D118" i="2"/>
  <c r="E118" i="2" s="1"/>
  <c r="B118" i="2"/>
  <c r="C118" i="2" s="1"/>
  <c r="P118" i="2" s="1"/>
  <c r="O117" i="2"/>
  <c r="L117" i="2"/>
  <c r="M117" i="2" s="1"/>
  <c r="N117" i="2" s="1"/>
  <c r="I117" i="2"/>
  <c r="J117" i="2" s="1"/>
  <c r="K117" i="2" s="1"/>
  <c r="F117" i="2"/>
  <c r="G117" i="2" s="1"/>
  <c r="H117" i="2" s="1"/>
  <c r="D117" i="2"/>
  <c r="E117" i="2" s="1"/>
  <c r="B117" i="2"/>
  <c r="C117" i="2" s="1"/>
  <c r="O116" i="2"/>
  <c r="L116" i="2"/>
  <c r="M116" i="2" s="1"/>
  <c r="N116" i="2" s="1"/>
  <c r="T116" i="2" s="1"/>
  <c r="I116" i="2"/>
  <c r="J116" i="2" s="1"/>
  <c r="K116" i="2" s="1"/>
  <c r="Y116" i="2" s="1"/>
  <c r="F116" i="2"/>
  <c r="G116" i="2" s="1"/>
  <c r="H116" i="2" s="1"/>
  <c r="D116" i="2"/>
  <c r="E116" i="2" s="1"/>
  <c r="B116" i="2"/>
  <c r="C116" i="2" s="1"/>
  <c r="O115" i="2"/>
  <c r="L115" i="2"/>
  <c r="M115" i="2" s="1"/>
  <c r="N115" i="2" s="1"/>
  <c r="I115" i="2"/>
  <c r="J115" i="2" s="1"/>
  <c r="K115" i="2" s="1"/>
  <c r="Z115" i="2" s="1"/>
  <c r="F115" i="2"/>
  <c r="G115" i="2" s="1"/>
  <c r="H115" i="2" s="1"/>
  <c r="D115" i="2"/>
  <c r="E115" i="2" s="1"/>
  <c r="B115" i="2"/>
  <c r="C115" i="2" s="1"/>
  <c r="O114" i="2"/>
  <c r="L114" i="2"/>
  <c r="M114" i="2" s="1"/>
  <c r="N114" i="2" s="1"/>
  <c r="I114" i="2"/>
  <c r="J114" i="2" s="1"/>
  <c r="K114" i="2" s="1"/>
  <c r="F114" i="2"/>
  <c r="G114" i="2" s="1"/>
  <c r="H114" i="2" s="1"/>
  <c r="D114" i="2"/>
  <c r="E114" i="2" s="1"/>
  <c r="B114" i="2"/>
  <c r="C114" i="2" s="1"/>
  <c r="P114" i="2" s="1"/>
  <c r="S114" i="2" s="1"/>
  <c r="O113" i="2"/>
  <c r="L113" i="2"/>
  <c r="M113" i="2" s="1"/>
  <c r="N113" i="2" s="1"/>
  <c r="I113" i="2"/>
  <c r="J113" i="2" s="1"/>
  <c r="K113" i="2" s="1"/>
  <c r="F113" i="2"/>
  <c r="G113" i="2" s="1"/>
  <c r="H113" i="2" s="1"/>
  <c r="D113" i="2"/>
  <c r="E113" i="2" s="1"/>
  <c r="B113" i="2"/>
  <c r="C113" i="2" s="1"/>
  <c r="O112" i="2"/>
  <c r="L112" i="2"/>
  <c r="M112" i="2" s="1"/>
  <c r="N112" i="2" s="1"/>
  <c r="T112" i="2" s="1"/>
  <c r="I112" i="2"/>
  <c r="J112" i="2" s="1"/>
  <c r="K112" i="2" s="1"/>
  <c r="Y112" i="2" s="1"/>
  <c r="F112" i="2"/>
  <c r="G112" i="2" s="1"/>
  <c r="H112" i="2" s="1"/>
  <c r="D112" i="2"/>
  <c r="E112" i="2" s="1"/>
  <c r="B112" i="2"/>
  <c r="C112" i="2" s="1"/>
  <c r="O111" i="2"/>
  <c r="L111" i="2"/>
  <c r="M111" i="2" s="1"/>
  <c r="N111" i="2" s="1"/>
  <c r="I111" i="2"/>
  <c r="J111" i="2" s="1"/>
  <c r="K111" i="2" s="1"/>
  <c r="F111" i="2"/>
  <c r="G111" i="2" s="1"/>
  <c r="H111" i="2" s="1"/>
  <c r="D111" i="2"/>
  <c r="E111" i="2" s="1"/>
  <c r="B111" i="2"/>
  <c r="C111" i="2" s="1"/>
  <c r="O110" i="2"/>
  <c r="L110" i="2"/>
  <c r="M110" i="2" s="1"/>
  <c r="N110" i="2" s="1"/>
  <c r="I110" i="2"/>
  <c r="J110" i="2" s="1"/>
  <c r="K110" i="2" s="1"/>
  <c r="F110" i="2"/>
  <c r="G110" i="2" s="1"/>
  <c r="H110" i="2" s="1"/>
  <c r="D110" i="2"/>
  <c r="E110" i="2" s="1"/>
  <c r="B110" i="2"/>
  <c r="C110" i="2" s="1"/>
  <c r="P110" i="2" s="1"/>
  <c r="S110" i="2" s="1"/>
  <c r="O109" i="2"/>
  <c r="L109" i="2"/>
  <c r="M109" i="2" s="1"/>
  <c r="N109" i="2" s="1"/>
  <c r="I109" i="2"/>
  <c r="J109" i="2" s="1"/>
  <c r="K109" i="2" s="1"/>
  <c r="F109" i="2"/>
  <c r="G109" i="2" s="1"/>
  <c r="H109" i="2" s="1"/>
  <c r="D109" i="2"/>
  <c r="E109" i="2" s="1"/>
  <c r="B109" i="2"/>
  <c r="C109" i="2" s="1"/>
  <c r="O108" i="2"/>
  <c r="L108" i="2"/>
  <c r="M108" i="2" s="1"/>
  <c r="N108" i="2" s="1"/>
  <c r="T108" i="2" s="1"/>
  <c r="I108" i="2"/>
  <c r="J108" i="2" s="1"/>
  <c r="K108" i="2" s="1"/>
  <c r="Y108" i="2" s="1"/>
  <c r="F108" i="2"/>
  <c r="G108" i="2" s="1"/>
  <c r="H108" i="2" s="1"/>
  <c r="D108" i="2"/>
  <c r="E108" i="2" s="1"/>
  <c r="B108" i="2"/>
  <c r="C108" i="2" s="1"/>
  <c r="O107" i="2"/>
  <c r="L107" i="2"/>
  <c r="M107" i="2" s="1"/>
  <c r="N107" i="2" s="1"/>
  <c r="I107" i="2"/>
  <c r="J107" i="2" s="1"/>
  <c r="K107" i="2" s="1"/>
  <c r="Z107" i="2" s="1"/>
  <c r="F107" i="2"/>
  <c r="G107" i="2" s="1"/>
  <c r="H107" i="2" s="1"/>
  <c r="D107" i="2"/>
  <c r="E107" i="2" s="1"/>
  <c r="B107" i="2"/>
  <c r="C107" i="2" s="1"/>
  <c r="O106" i="2"/>
  <c r="L106" i="2"/>
  <c r="M106" i="2" s="1"/>
  <c r="N106" i="2" s="1"/>
  <c r="I106" i="2"/>
  <c r="J106" i="2" s="1"/>
  <c r="K106" i="2" s="1"/>
  <c r="F106" i="2"/>
  <c r="G106" i="2" s="1"/>
  <c r="H106" i="2" s="1"/>
  <c r="D106" i="2"/>
  <c r="E106" i="2" s="1"/>
  <c r="B106" i="2"/>
  <c r="C106" i="2" s="1"/>
  <c r="P106" i="2" s="1"/>
  <c r="S106" i="2" s="1"/>
  <c r="O105" i="2"/>
  <c r="L105" i="2"/>
  <c r="M105" i="2" s="1"/>
  <c r="N105" i="2" s="1"/>
  <c r="I105" i="2"/>
  <c r="J105" i="2" s="1"/>
  <c r="K105" i="2" s="1"/>
  <c r="F105" i="2"/>
  <c r="G105" i="2" s="1"/>
  <c r="H105" i="2" s="1"/>
  <c r="D105" i="2"/>
  <c r="E105" i="2" s="1"/>
  <c r="B105" i="2"/>
  <c r="C105" i="2" s="1"/>
  <c r="O104" i="2"/>
  <c r="L104" i="2"/>
  <c r="M104" i="2" s="1"/>
  <c r="N104" i="2" s="1"/>
  <c r="T104" i="2" s="1"/>
  <c r="I104" i="2"/>
  <c r="J104" i="2" s="1"/>
  <c r="K104" i="2" s="1"/>
  <c r="F104" i="2"/>
  <c r="G104" i="2" s="1"/>
  <c r="H104" i="2" s="1"/>
  <c r="D104" i="2"/>
  <c r="E104" i="2" s="1"/>
  <c r="B104" i="2"/>
  <c r="C104" i="2" s="1"/>
  <c r="O103" i="2"/>
  <c r="L103" i="2"/>
  <c r="M103" i="2" s="1"/>
  <c r="N103" i="2" s="1"/>
  <c r="I103" i="2"/>
  <c r="J103" i="2" s="1"/>
  <c r="K103" i="2" s="1"/>
  <c r="F103" i="2"/>
  <c r="G103" i="2" s="1"/>
  <c r="H103" i="2" s="1"/>
  <c r="D103" i="2"/>
  <c r="E103" i="2" s="1"/>
  <c r="B103" i="2"/>
  <c r="C103" i="2" s="1"/>
  <c r="O102" i="2"/>
  <c r="L102" i="2"/>
  <c r="M102" i="2" s="1"/>
  <c r="N102" i="2" s="1"/>
  <c r="I102" i="2"/>
  <c r="J102" i="2" s="1"/>
  <c r="K102" i="2" s="1"/>
  <c r="F102" i="2"/>
  <c r="G102" i="2" s="1"/>
  <c r="H102" i="2" s="1"/>
  <c r="D102" i="2"/>
  <c r="E102" i="2" s="1"/>
  <c r="B102" i="2"/>
  <c r="C102" i="2" s="1"/>
  <c r="P102" i="2" s="1"/>
  <c r="O101" i="2"/>
  <c r="L101" i="2"/>
  <c r="M101" i="2" s="1"/>
  <c r="N101" i="2" s="1"/>
  <c r="I101" i="2"/>
  <c r="J101" i="2" s="1"/>
  <c r="K101" i="2" s="1"/>
  <c r="F101" i="2"/>
  <c r="G101" i="2" s="1"/>
  <c r="H101" i="2" s="1"/>
  <c r="D101" i="2"/>
  <c r="E101" i="2" s="1"/>
  <c r="B101" i="2"/>
  <c r="C101" i="2" s="1"/>
  <c r="O100" i="2"/>
  <c r="L100" i="2"/>
  <c r="M100" i="2" s="1"/>
  <c r="N100" i="2" s="1"/>
  <c r="I100" i="2"/>
  <c r="J100" i="2" s="1"/>
  <c r="K100" i="2" s="1"/>
  <c r="F100" i="2"/>
  <c r="G100" i="2" s="1"/>
  <c r="H100" i="2" s="1"/>
  <c r="D100" i="2"/>
  <c r="E100" i="2" s="1"/>
  <c r="B100" i="2"/>
  <c r="C100" i="2" s="1"/>
  <c r="O99" i="2"/>
  <c r="L99" i="2"/>
  <c r="M99" i="2" s="1"/>
  <c r="N99" i="2" s="1"/>
  <c r="I99" i="2"/>
  <c r="J99" i="2" s="1"/>
  <c r="K99" i="2" s="1"/>
  <c r="F99" i="2"/>
  <c r="G99" i="2" s="1"/>
  <c r="H99" i="2" s="1"/>
  <c r="D99" i="2"/>
  <c r="E99" i="2" s="1"/>
  <c r="B99" i="2"/>
  <c r="C99" i="2" s="1"/>
  <c r="O98" i="2"/>
  <c r="L98" i="2"/>
  <c r="M98" i="2" s="1"/>
  <c r="N98" i="2" s="1"/>
  <c r="I98" i="2"/>
  <c r="J98" i="2" s="1"/>
  <c r="K98" i="2" s="1"/>
  <c r="F98" i="2"/>
  <c r="G98" i="2" s="1"/>
  <c r="H98" i="2" s="1"/>
  <c r="D98" i="2"/>
  <c r="E98" i="2" s="1"/>
  <c r="B98" i="2"/>
  <c r="C98" i="2" s="1"/>
  <c r="P98" i="2" s="1"/>
  <c r="O97" i="2"/>
  <c r="L97" i="2"/>
  <c r="M97" i="2" s="1"/>
  <c r="N97" i="2" s="1"/>
  <c r="I97" i="2"/>
  <c r="J97" i="2" s="1"/>
  <c r="K97" i="2" s="1"/>
  <c r="Z97" i="2" s="1"/>
  <c r="F97" i="2"/>
  <c r="G97" i="2" s="1"/>
  <c r="H97" i="2" s="1"/>
  <c r="D97" i="2"/>
  <c r="E97" i="2" s="1"/>
  <c r="B97" i="2"/>
  <c r="C97" i="2" s="1"/>
  <c r="O96" i="2"/>
  <c r="L96" i="2"/>
  <c r="M96" i="2" s="1"/>
  <c r="N96" i="2" s="1"/>
  <c r="I96" i="2"/>
  <c r="J96" i="2" s="1"/>
  <c r="K96" i="2" s="1"/>
  <c r="F96" i="2"/>
  <c r="G96" i="2" s="1"/>
  <c r="H96" i="2" s="1"/>
  <c r="D96" i="2"/>
  <c r="E96" i="2" s="1"/>
  <c r="B96" i="2"/>
  <c r="C96" i="2" s="1"/>
  <c r="O95" i="2"/>
  <c r="L95" i="2"/>
  <c r="M95" i="2" s="1"/>
  <c r="N95" i="2" s="1"/>
  <c r="I95" i="2"/>
  <c r="J95" i="2" s="1"/>
  <c r="K95" i="2" s="1"/>
  <c r="F95" i="2"/>
  <c r="G95" i="2" s="1"/>
  <c r="H95" i="2" s="1"/>
  <c r="D95" i="2"/>
  <c r="E95" i="2" s="1"/>
  <c r="B95" i="2"/>
  <c r="C95" i="2" s="1"/>
  <c r="O94" i="2"/>
  <c r="L94" i="2"/>
  <c r="M94" i="2" s="1"/>
  <c r="N94" i="2" s="1"/>
  <c r="I94" i="2"/>
  <c r="J94" i="2" s="1"/>
  <c r="K94" i="2" s="1"/>
  <c r="F94" i="2"/>
  <c r="G94" i="2" s="1"/>
  <c r="H94" i="2" s="1"/>
  <c r="D94" i="2"/>
  <c r="E94" i="2" s="1"/>
  <c r="B94" i="2"/>
  <c r="C94" i="2" s="1"/>
  <c r="P94" i="2" s="1"/>
  <c r="S94" i="2" s="1"/>
  <c r="O93" i="2"/>
  <c r="L93" i="2"/>
  <c r="M93" i="2" s="1"/>
  <c r="N93" i="2" s="1"/>
  <c r="I93" i="2"/>
  <c r="J93" i="2" s="1"/>
  <c r="K93" i="2" s="1"/>
  <c r="F93" i="2"/>
  <c r="G93" i="2" s="1"/>
  <c r="H93" i="2" s="1"/>
  <c r="D93" i="2"/>
  <c r="E93" i="2" s="1"/>
  <c r="B93" i="2"/>
  <c r="C93" i="2" s="1"/>
  <c r="O92" i="2"/>
  <c r="L92" i="2"/>
  <c r="M92" i="2" s="1"/>
  <c r="N92" i="2" s="1"/>
  <c r="I92" i="2"/>
  <c r="J92" i="2" s="1"/>
  <c r="K92" i="2" s="1"/>
  <c r="Y92" i="2" s="1"/>
  <c r="F92" i="2"/>
  <c r="G92" i="2" s="1"/>
  <c r="H92" i="2" s="1"/>
  <c r="D92" i="2"/>
  <c r="E92" i="2" s="1"/>
  <c r="B92" i="2"/>
  <c r="C92" i="2" s="1"/>
  <c r="O91" i="2"/>
  <c r="L91" i="2"/>
  <c r="M91" i="2" s="1"/>
  <c r="N91" i="2" s="1"/>
  <c r="I91" i="2"/>
  <c r="J91" i="2" s="1"/>
  <c r="K91" i="2" s="1"/>
  <c r="F91" i="2"/>
  <c r="G91" i="2" s="1"/>
  <c r="H91" i="2" s="1"/>
  <c r="D91" i="2"/>
  <c r="E91" i="2" s="1"/>
  <c r="B91" i="2"/>
  <c r="C91" i="2" s="1"/>
  <c r="O90" i="2"/>
  <c r="L90" i="2"/>
  <c r="M90" i="2" s="1"/>
  <c r="N90" i="2" s="1"/>
  <c r="I90" i="2"/>
  <c r="J90" i="2" s="1"/>
  <c r="K90" i="2" s="1"/>
  <c r="F90" i="2"/>
  <c r="G90" i="2" s="1"/>
  <c r="H90" i="2" s="1"/>
  <c r="D90" i="2"/>
  <c r="E90" i="2" s="1"/>
  <c r="B90" i="2"/>
  <c r="C90" i="2" s="1"/>
  <c r="O89" i="2"/>
  <c r="L89" i="2"/>
  <c r="M89" i="2" s="1"/>
  <c r="N89" i="2" s="1"/>
  <c r="I89" i="2"/>
  <c r="J89" i="2" s="1"/>
  <c r="K89" i="2" s="1"/>
  <c r="F89" i="2"/>
  <c r="G89" i="2" s="1"/>
  <c r="H89" i="2" s="1"/>
  <c r="D89" i="2"/>
  <c r="E89" i="2" s="1"/>
  <c r="B89" i="2"/>
  <c r="C89" i="2" s="1"/>
  <c r="O88" i="2"/>
  <c r="L88" i="2"/>
  <c r="M88" i="2" s="1"/>
  <c r="N88" i="2" s="1"/>
  <c r="I88" i="2"/>
  <c r="J88" i="2" s="1"/>
  <c r="K88" i="2" s="1"/>
  <c r="F88" i="2"/>
  <c r="G88" i="2" s="1"/>
  <c r="H88" i="2" s="1"/>
  <c r="D88" i="2"/>
  <c r="E88" i="2" s="1"/>
  <c r="B88" i="2"/>
  <c r="C88" i="2" s="1"/>
  <c r="P88" i="2" s="1"/>
  <c r="Q88" i="2" s="1"/>
  <c r="O87" i="2"/>
  <c r="L87" i="2"/>
  <c r="M87" i="2" s="1"/>
  <c r="N87" i="2" s="1"/>
  <c r="I87" i="2"/>
  <c r="J87" i="2" s="1"/>
  <c r="K87" i="2" s="1"/>
  <c r="F87" i="2"/>
  <c r="G87" i="2" s="1"/>
  <c r="H87" i="2" s="1"/>
  <c r="D87" i="2"/>
  <c r="E87" i="2" s="1"/>
  <c r="B87" i="2"/>
  <c r="C87" i="2" s="1"/>
  <c r="O86" i="2"/>
  <c r="L86" i="2"/>
  <c r="M86" i="2" s="1"/>
  <c r="N86" i="2" s="1"/>
  <c r="I86" i="2"/>
  <c r="J86" i="2" s="1"/>
  <c r="K86" i="2" s="1"/>
  <c r="F86" i="2"/>
  <c r="G86" i="2" s="1"/>
  <c r="H86" i="2" s="1"/>
  <c r="D86" i="2"/>
  <c r="E86" i="2" s="1"/>
  <c r="B86" i="2"/>
  <c r="C86" i="2" s="1"/>
  <c r="P86" i="2" s="1"/>
  <c r="O85" i="2"/>
  <c r="L85" i="2"/>
  <c r="M85" i="2" s="1"/>
  <c r="N85" i="2" s="1"/>
  <c r="I85" i="2"/>
  <c r="J85" i="2" s="1"/>
  <c r="K85" i="2" s="1"/>
  <c r="Y85" i="2" s="1"/>
  <c r="F85" i="2"/>
  <c r="G85" i="2" s="1"/>
  <c r="H85" i="2" s="1"/>
  <c r="D85" i="2"/>
  <c r="E85" i="2" s="1"/>
  <c r="B85" i="2"/>
  <c r="C85" i="2" s="1"/>
  <c r="O84" i="2"/>
  <c r="L84" i="2"/>
  <c r="M84" i="2" s="1"/>
  <c r="N84" i="2" s="1"/>
  <c r="I84" i="2"/>
  <c r="J84" i="2" s="1"/>
  <c r="K84" i="2" s="1"/>
  <c r="Y84" i="2" s="1"/>
  <c r="F84" i="2"/>
  <c r="G84" i="2" s="1"/>
  <c r="H84" i="2" s="1"/>
  <c r="D84" i="2"/>
  <c r="E84" i="2" s="1"/>
  <c r="B84" i="2"/>
  <c r="C84" i="2" s="1"/>
  <c r="O83" i="2"/>
  <c r="L83" i="2"/>
  <c r="M83" i="2" s="1"/>
  <c r="N83" i="2" s="1"/>
  <c r="I83" i="2"/>
  <c r="J83" i="2" s="1"/>
  <c r="K83" i="2" s="1"/>
  <c r="F83" i="2"/>
  <c r="G83" i="2" s="1"/>
  <c r="H83" i="2" s="1"/>
  <c r="D83" i="2"/>
  <c r="E83" i="2" s="1"/>
  <c r="B83" i="2"/>
  <c r="C83" i="2" s="1"/>
  <c r="O82" i="2"/>
  <c r="L82" i="2"/>
  <c r="M82" i="2" s="1"/>
  <c r="N82" i="2" s="1"/>
  <c r="I82" i="2"/>
  <c r="J82" i="2" s="1"/>
  <c r="K82" i="2" s="1"/>
  <c r="Y82" i="2" s="1"/>
  <c r="F82" i="2"/>
  <c r="G82" i="2" s="1"/>
  <c r="H82" i="2" s="1"/>
  <c r="D82" i="2"/>
  <c r="E82" i="2" s="1"/>
  <c r="B82" i="2"/>
  <c r="C82" i="2" s="1"/>
  <c r="P82" i="2" s="1"/>
  <c r="S82" i="2" s="1"/>
  <c r="O81" i="2"/>
  <c r="L81" i="2"/>
  <c r="M81" i="2" s="1"/>
  <c r="N81" i="2" s="1"/>
  <c r="I81" i="2"/>
  <c r="J81" i="2" s="1"/>
  <c r="K81" i="2" s="1"/>
  <c r="Z81" i="2" s="1"/>
  <c r="F81" i="2"/>
  <c r="G81" i="2" s="1"/>
  <c r="H81" i="2" s="1"/>
  <c r="D81" i="2"/>
  <c r="E81" i="2" s="1"/>
  <c r="B81" i="2"/>
  <c r="C81" i="2" s="1"/>
  <c r="O80" i="2"/>
  <c r="L80" i="2"/>
  <c r="M80" i="2" s="1"/>
  <c r="N80" i="2" s="1"/>
  <c r="I80" i="2"/>
  <c r="J80" i="2" s="1"/>
  <c r="K80" i="2" s="1"/>
  <c r="F80" i="2"/>
  <c r="G80" i="2" s="1"/>
  <c r="H80" i="2" s="1"/>
  <c r="D80" i="2"/>
  <c r="E80" i="2" s="1"/>
  <c r="B80" i="2"/>
  <c r="C80" i="2" s="1"/>
  <c r="O79" i="2"/>
  <c r="L79" i="2"/>
  <c r="M79" i="2" s="1"/>
  <c r="N79" i="2" s="1"/>
  <c r="I79" i="2"/>
  <c r="J79" i="2" s="1"/>
  <c r="K79" i="2" s="1"/>
  <c r="Z79" i="2" s="1"/>
  <c r="F79" i="2"/>
  <c r="G79" i="2" s="1"/>
  <c r="H79" i="2" s="1"/>
  <c r="D79" i="2"/>
  <c r="E79" i="2" s="1"/>
  <c r="B79" i="2"/>
  <c r="C79" i="2" s="1"/>
  <c r="O78" i="2"/>
  <c r="L78" i="2"/>
  <c r="M78" i="2" s="1"/>
  <c r="N78" i="2" s="1"/>
  <c r="I78" i="2"/>
  <c r="J78" i="2" s="1"/>
  <c r="K78" i="2" s="1"/>
  <c r="F78" i="2"/>
  <c r="G78" i="2" s="1"/>
  <c r="H78" i="2" s="1"/>
  <c r="D78" i="2"/>
  <c r="E78" i="2" s="1"/>
  <c r="B78" i="2"/>
  <c r="C78" i="2" s="1"/>
  <c r="P78" i="2" s="1"/>
  <c r="O77" i="2"/>
  <c r="L77" i="2"/>
  <c r="M77" i="2" s="1"/>
  <c r="N77" i="2" s="1"/>
  <c r="I77" i="2"/>
  <c r="J77" i="2" s="1"/>
  <c r="K77" i="2" s="1"/>
  <c r="F77" i="2"/>
  <c r="G77" i="2" s="1"/>
  <c r="H77" i="2" s="1"/>
  <c r="D77" i="2"/>
  <c r="E77" i="2" s="1"/>
  <c r="B77" i="2"/>
  <c r="C77" i="2" s="1"/>
  <c r="O76" i="2"/>
  <c r="L76" i="2"/>
  <c r="M76" i="2" s="1"/>
  <c r="N76" i="2" s="1"/>
  <c r="I76" i="2"/>
  <c r="J76" i="2" s="1"/>
  <c r="K76" i="2" s="1"/>
  <c r="Y76" i="2" s="1"/>
  <c r="F76" i="2"/>
  <c r="G76" i="2" s="1"/>
  <c r="H76" i="2" s="1"/>
  <c r="D76" i="2"/>
  <c r="E76" i="2" s="1"/>
  <c r="B76" i="2"/>
  <c r="C76" i="2" s="1"/>
  <c r="O75" i="2"/>
  <c r="L75" i="2"/>
  <c r="M75" i="2" s="1"/>
  <c r="N75" i="2" s="1"/>
  <c r="I75" i="2"/>
  <c r="J75" i="2" s="1"/>
  <c r="K75" i="2" s="1"/>
  <c r="F75" i="2"/>
  <c r="G75" i="2" s="1"/>
  <c r="H75" i="2" s="1"/>
  <c r="D75" i="2"/>
  <c r="E75" i="2" s="1"/>
  <c r="B75" i="2"/>
  <c r="C75" i="2" s="1"/>
  <c r="O74" i="2"/>
  <c r="L74" i="2"/>
  <c r="M74" i="2" s="1"/>
  <c r="N74" i="2" s="1"/>
  <c r="I74" i="2"/>
  <c r="J74" i="2" s="1"/>
  <c r="K74" i="2" s="1"/>
  <c r="F74" i="2"/>
  <c r="G74" i="2" s="1"/>
  <c r="H74" i="2" s="1"/>
  <c r="D74" i="2"/>
  <c r="E74" i="2" s="1"/>
  <c r="B74" i="2"/>
  <c r="C74" i="2" s="1"/>
  <c r="O73" i="2"/>
  <c r="L73" i="2"/>
  <c r="M73" i="2" s="1"/>
  <c r="N73" i="2" s="1"/>
  <c r="I73" i="2"/>
  <c r="J73" i="2" s="1"/>
  <c r="K73" i="2" s="1"/>
  <c r="F73" i="2"/>
  <c r="G73" i="2" s="1"/>
  <c r="H73" i="2" s="1"/>
  <c r="D73" i="2"/>
  <c r="E73" i="2" s="1"/>
  <c r="B73" i="2"/>
  <c r="C73" i="2" s="1"/>
  <c r="O72" i="2"/>
  <c r="L72" i="2"/>
  <c r="M72" i="2" s="1"/>
  <c r="N72" i="2" s="1"/>
  <c r="I72" i="2"/>
  <c r="J72" i="2" s="1"/>
  <c r="K72" i="2" s="1"/>
  <c r="F72" i="2"/>
  <c r="G72" i="2" s="1"/>
  <c r="H72" i="2" s="1"/>
  <c r="D72" i="2"/>
  <c r="E72" i="2" s="1"/>
  <c r="B72" i="2"/>
  <c r="C72" i="2" s="1"/>
  <c r="P72" i="2" s="1"/>
  <c r="O71" i="2"/>
  <c r="L71" i="2"/>
  <c r="M71" i="2" s="1"/>
  <c r="N71" i="2" s="1"/>
  <c r="I71" i="2"/>
  <c r="J71" i="2" s="1"/>
  <c r="K71" i="2" s="1"/>
  <c r="F71" i="2"/>
  <c r="G71" i="2" s="1"/>
  <c r="H71" i="2" s="1"/>
  <c r="D71" i="2"/>
  <c r="E71" i="2" s="1"/>
  <c r="B71" i="2"/>
  <c r="C71" i="2" s="1"/>
  <c r="O70" i="2"/>
  <c r="L70" i="2"/>
  <c r="M70" i="2" s="1"/>
  <c r="N70" i="2" s="1"/>
  <c r="I70" i="2"/>
  <c r="J70" i="2" s="1"/>
  <c r="K70" i="2" s="1"/>
  <c r="F70" i="2"/>
  <c r="G70" i="2" s="1"/>
  <c r="H70" i="2" s="1"/>
  <c r="D70" i="2"/>
  <c r="E70" i="2" s="1"/>
  <c r="B70" i="2"/>
  <c r="C70" i="2" s="1"/>
  <c r="P70" i="2" s="1"/>
  <c r="O69" i="2"/>
  <c r="L69" i="2"/>
  <c r="M69" i="2" s="1"/>
  <c r="N69" i="2" s="1"/>
  <c r="I69" i="2"/>
  <c r="J69" i="2" s="1"/>
  <c r="K69" i="2" s="1"/>
  <c r="Y69" i="2" s="1"/>
  <c r="F69" i="2"/>
  <c r="G69" i="2" s="1"/>
  <c r="H69" i="2" s="1"/>
  <c r="D69" i="2"/>
  <c r="E69" i="2" s="1"/>
  <c r="B69" i="2"/>
  <c r="C69" i="2" s="1"/>
  <c r="O68" i="2"/>
  <c r="L68" i="2"/>
  <c r="M68" i="2" s="1"/>
  <c r="N68" i="2" s="1"/>
  <c r="I68" i="2"/>
  <c r="J68" i="2" s="1"/>
  <c r="K68" i="2" s="1"/>
  <c r="F68" i="2"/>
  <c r="G68" i="2" s="1"/>
  <c r="H68" i="2" s="1"/>
  <c r="D68" i="2"/>
  <c r="E68" i="2" s="1"/>
  <c r="B68" i="2"/>
  <c r="C68" i="2" s="1"/>
  <c r="O67" i="2"/>
  <c r="L67" i="2"/>
  <c r="M67" i="2" s="1"/>
  <c r="N67" i="2" s="1"/>
  <c r="I67" i="2"/>
  <c r="J67" i="2" s="1"/>
  <c r="K67" i="2" s="1"/>
  <c r="F67" i="2"/>
  <c r="G67" i="2" s="1"/>
  <c r="H67" i="2" s="1"/>
  <c r="D67" i="2"/>
  <c r="E67" i="2" s="1"/>
  <c r="B67" i="2"/>
  <c r="C67" i="2" s="1"/>
  <c r="O66" i="2"/>
  <c r="L66" i="2"/>
  <c r="M66" i="2" s="1"/>
  <c r="N66" i="2" s="1"/>
  <c r="I66" i="2"/>
  <c r="J66" i="2" s="1"/>
  <c r="K66" i="2" s="1"/>
  <c r="F66" i="2"/>
  <c r="G66" i="2" s="1"/>
  <c r="H66" i="2" s="1"/>
  <c r="D66" i="2"/>
  <c r="E66" i="2" s="1"/>
  <c r="B66" i="2"/>
  <c r="C66" i="2" s="1"/>
  <c r="P66" i="2" s="1"/>
  <c r="O65" i="2"/>
  <c r="L65" i="2"/>
  <c r="M65" i="2" s="1"/>
  <c r="N65" i="2" s="1"/>
  <c r="I65" i="2"/>
  <c r="J65" i="2" s="1"/>
  <c r="K65" i="2" s="1"/>
  <c r="Z65" i="2" s="1"/>
  <c r="F65" i="2"/>
  <c r="G65" i="2" s="1"/>
  <c r="H65" i="2" s="1"/>
  <c r="D65" i="2"/>
  <c r="E65" i="2" s="1"/>
  <c r="B65" i="2"/>
  <c r="C65" i="2" s="1"/>
  <c r="O64" i="2"/>
  <c r="L64" i="2"/>
  <c r="M64" i="2" s="1"/>
  <c r="N64" i="2" s="1"/>
  <c r="I64" i="2"/>
  <c r="J64" i="2" s="1"/>
  <c r="K64" i="2" s="1"/>
  <c r="F64" i="2"/>
  <c r="G64" i="2" s="1"/>
  <c r="H64" i="2" s="1"/>
  <c r="D64" i="2"/>
  <c r="E64" i="2" s="1"/>
  <c r="B64" i="2"/>
  <c r="C64" i="2" s="1"/>
  <c r="O63" i="2"/>
  <c r="L63" i="2"/>
  <c r="M63" i="2" s="1"/>
  <c r="N63" i="2" s="1"/>
  <c r="I63" i="2"/>
  <c r="J63" i="2" s="1"/>
  <c r="K63" i="2" s="1"/>
  <c r="F63" i="2"/>
  <c r="G63" i="2" s="1"/>
  <c r="H63" i="2" s="1"/>
  <c r="D63" i="2"/>
  <c r="E63" i="2" s="1"/>
  <c r="B63" i="2"/>
  <c r="C63" i="2" s="1"/>
  <c r="O62" i="2"/>
  <c r="L62" i="2"/>
  <c r="M62" i="2" s="1"/>
  <c r="N62" i="2" s="1"/>
  <c r="I62" i="2"/>
  <c r="J62" i="2" s="1"/>
  <c r="K62" i="2" s="1"/>
  <c r="F62" i="2"/>
  <c r="G62" i="2" s="1"/>
  <c r="H62" i="2" s="1"/>
  <c r="D62" i="2"/>
  <c r="E62" i="2" s="1"/>
  <c r="B62" i="2"/>
  <c r="C62" i="2" s="1"/>
  <c r="P62" i="2" s="1"/>
  <c r="S62" i="2" s="1"/>
  <c r="O61" i="2"/>
  <c r="L61" i="2"/>
  <c r="M61" i="2" s="1"/>
  <c r="N61" i="2" s="1"/>
  <c r="I61" i="2"/>
  <c r="J61" i="2" s="1"/>
  <c r="K61" i="2" s="1"/>
  <c r="F61" i="2"/>
  <c r="G61" i="2" s="1"/>
  <c r="H61" i="2" s="1"/>
  <c r="D61" i="2"/>
  <c r="E61" i="2" s="1"/>
  <c r="B61" i="2"/>
  <c r="C61" i="2" s="1"/>
  <c r="O60" i="2"/>
  <c r="L60" i="2"/>
  <c r="M60" i="2" s="1"/>
  <c r="N60" i="2" s="1"/>
  <c r="I60" i="2"/>
  <c r="J60" i="2" s="1"/>
  <c r="K60" i="2" s="1"/>
  <c r="Y60" i="2" s="1"/>
  <c r="F60" i="2"/>
  <c r="G60" i="2" s="1"/>
  <c r="H60" i="2" s="1"/>
  <c r="D60" i="2"/>
  <c r="E60" i="2" s="1"/>
  <c r="B60" i="2"/>
  <c r="C60" i="2" s="1"/>
  <c r="O59" i="2"/>
  <c r="L59" i="2"/>
  <c r="M59" i="2" s="1"/>
  <c r="N59" i="2" s="1"/>
  <c r="I59" i="2"/>
  <c r="J59" i="2" s="1"/>
  <c r="K59" i="2" s="1"/>
  <c r="F59" i="2"/>
  <c r="G59" i="2" s="1"/>
  <c r="H59" i="2" s="1"/>
  <c r="D59" i="2"/>
  <c r="E59" i="2" s="1"/>
  <c r="B59" i="2"/>
  <c r="C59" i="2" s="1"/>
  <c r="O58" i="2"/>
  <c r="L58" i="2"/>
  <c r="M58" i="2" s="1"/>
  <c r="N58" i="2" s="1"/>
  <c r="I58" i="2"/>
  <c r="J58" i="2" s="1"/>
  <c r="K58" i="2" s="1"/>
  <c r="F58" i="2"/>
  <c r="G58" i="2" s="1"/>
  <c r="H58" i="2" s="1"/>
  <c r="D58" i="2"/>
  <c r="E58" i="2" s="1"/>
  <c r="B58" i="2"/>
  <c r="C58" i="2" s="1"/>
  <c r="O57" i="2"/>
  <c r="L57" i="2"/>
  <c r="M57" i="2" s="1"/>
  <c r="N57" i="2" s="1"/>
  <c r="I57" i="2"/>
  <c r="J57" i="2" s="1"/>
  <c r="K57" i="2" s="1"/>
  <c r="F57" i="2"/>
  <c r="G57" i="2" s="1"/>
  <c r="H57" i="2" s="1"/>
  <c r="D57" i="2"/>
  <c r="E57" i="2" s="1"/>
  <c r="B57" i="2"/>
  <c r="C57" i="2" s="1"/>
  <c r="O56" i="2"/>
  <c r="L56" i="2"/>
  <c r="M56" i="2" s="1"/>
  <c r="N56" i="2" s="1"/>
  <c r="I56" i="2"/>
  <c r="J56" i="2" s="1"/>
  <c r="K56" i="2" s="1"/>
  <c r="F56" i="2"/>
  <c r="G56" i="2" s="1"/>
  <c r="H56" i="2" s="1"/>
  <c r="D56" i="2"/>
  <c r="E56" i="2" s="1"/>
  <c r="B56" i="2"/>
  <c r="C56" i="2" s="1"/>
  <c r="P56" i="2" s="1"/>
  <c r="Q56" i="2" s="1"/>
  <c r="O55" i="2"/>
  <c r="L55" i="2"/>
  <c r="M55" i="2" s="1"/>
  <c r="N55" i="2" s="1"/>
  <c r="I55" i="2"/>
  <c r="J55" i="2" s="1"/>
  <c r="K55" i="2" s="1"/>
  <c r="F55" i="2"/>
  <c r="G55" i="2" s="1"/>
  <c r="H55" i="2" s="1"/>
  <c r="D55" i="2"/>
  <c r="E55" i="2" s="1"/>
  <c r="B55" i="2"/>
  <c r="C55" i="2" s="1"/>
  <c r="O54" i="2"/>
  <c r="L54" i="2"/>
  <c r="M54" i="2" s="1"/>
  <c r="N54" i="2" s="1"/>
  <c r="I54" i="2"/>
  <c r="J54" i="2" s="1"/>
  <c r="K54" i="2" s="1"/>
  <c r="F54" i="2"/>
  <c r="G54" i="2" s="1"/>
  <c r="H54" i="2" s="1"/>
  <c r="D54" i="2"/>
  <c r="E54" i="2" s="1"/>
  <c r="B54" i="2"/>
  <c r="C54" i="2" s="1"/>
  <c r="P54" i="2" s="1"/>
  <c r="O53" i="2"/>
  <c r="L53" i="2"/>
  <c r="M53" i="2" s="1"/>
  <c r="N53" i="2" s="1"/>
  <c r="I53" i="2"/>
  <c r="J53" i="2" s="1"/>
  <c r="K53" i="2" s="1"/>
  <c r="Y53" i="2" s="1"/>
  <c r="F53" i="2"/>
  <c r="G53" i="2" s="1"/>
  <c r="H53" i="2" s="1"/>
  <c r="D53" i="2"/>
  <c r="E53" i="2" s="1"/>
  <c r="B53" i="2"/>
  <c r="C53" i="2" s="1"/>
  <c r="O52" i="2"/>
  <c r="L52" i="2"/>
  <c r="M52" i="2" s="1"/>
  <c r="N52" i="2" s="1"/>
  <c r="I52" i="2"/>
  <c r="J52" i="2" s="1"/>
  <c r="K52" i="2" s="1"/>
  <c r="Y52" i="2" s="1"/>
  <c r="F52" i="2"/>
  <c r="G52" i="2" s="1"/>
  <c r="H52" i="2" s="1"/>
  <c r="D52" i="2"/>
  <c r="E52" i="2" s="1"/>
  <c r="B52" i="2"/>
  <c r="C52" i="2" s="1"/>
  <c r="O51" i="2"/>
  <c r="L51" i="2"/>
  <c r="M51" i="2" s="1"/>
  <c r="N51" i="2" s="1"/>
  <c r="I51" i="2"/>
  <c r="J51" i="2" s="1"/>
  <c r="K51" i="2" s="1"/>
  <c r="F51" i="2"/>
  <c r="G51" i="2" s="1"/>
  <c r="H51" i="2" s="1"/>
  <c r="D51" i="2"/>
  <c r="E51" i="2" s="1"/>
  <c r="B51" i="2"/>
  <c r="C51" i="2" s="1"/>
  <c r="O50" i="2"/>
  <c r="L50" i="2"/>
  <c r="M50" i="2" s="1"/>
  <c r="N50" i="2" s="1"/>
  <c r="I50" i="2"/>
  <c r="J50" i="2" s="1"/>
  <c r="K50" i="2" s="1"/>
  <c r="Y50" i="2" s="1"/>
  <c r="F50" i="2"/>
  <c r="G50" i="2" s="1"/>
  <c r="H50" i="2" s="1"/>
  <c r="D50" i="2"/>
  <c r="E50" i="2" s="1"/>
  <c r="B50" i="2"/>
  <c r="C50" i="2" s="1"/>
  <c r="P50" i="2" s="1"/>
  <c r="S50" i="2" s="1"/>
  <c r="O49" i="2"/>
  <c r="L49" i="2"/>
  <c r="M49" i="2" s="1"/>
  <c r="N49" i="2" s="1"/>
  <c r="I49" i="2"/>
  <c r="J49" i="2" s="1"/>
  <c r="K49" i="2" s="1"/>
  <c r="Z49" i="2" s="1"/>
  <c r="F49" i="2"/>
  <c r="G49" i="2" s="1"/>
  <c r="H49" i="2" s="1"/>
  <c r="D49" i="2"/>
  <c r="E49" i="2" s="1"/>
  <c r="B49" i="2"/>
  <c r="C49" i="2" s="1"/>
  <c r="O48" i="2"/>
  <c r="L48" i="2"/>
  <c r="M48" i="2" s="1"/>
  <c r="N48" i="2" s="1"/>
  <c r="I48" i="2"/>
  <c r="J48" i="2" s="1"/>
  <c r="K48" i="2" s="1"/>
  <c r="F48" i="2"/>
  <c r="G48" i="2" s="1"/>
  <c r="H48" i="2" s="1"/>
  <c r="D48" i="2"/>
  <c r="E48" i="2" s="1"/>
  <c r="B48" i="2"/>
  <c r="C48" i="2" s="1"/>
  <c r="O47" i="2"/>
  <c r="L47" i="2"/>
  <c r="M47" i="2" s="1"/>
  <c r="N47" i="2" s="1"/>
  <c r="I47" i="2"/>
  <c r="J47" i="2" s="1"/>
  <c r="K47" i="2" s="1"/>
  <c r="Z47" i="2" s="1"/>
  <c r="F47" i="2"/>
  <c r="G47" i="2" s="1"/>
  <c r="H47" i="2" s="1"/>
  <c r="D47" i="2"/>
  <c r="E47" i="2" s="1"/>
  <c r="B47" i="2"/>
  <c r="C47" i="2" s="1"/>
  <c r="O46" i="2"/>
  <c r="L46" i="2"/>
  <c r="M46" i="2" s="1"/>
  <c r="N46" i="2" s="1"/>
  <c r="I46" i="2"/>
  <c r="J46" i="2" s="1"/>
  <c r="K46" i="2" s="1"/>
  <c r="F46" i="2"/>
  <c r="G46" i="2" s="1"/>
  <c r="H46" i="2" s="1"/>
  <c r="D46" i="2"/>
  <c r="E46" i="2" s="1"/>
  <c r="B46" i="2"/>
  <c r="C46" i="2" s="1"/>
  <c r="P46" i="2" s="1"/>
  <c r="O45" i="2"/>
  <c r="L45" i="2"/>
  <c r="M45" i="2" s="1"/>
  <c r="N45" i="2" s="1"/>
  <c r="I45" i="2"/>
  <c r="J45" i="2" s="1"/>
  <c r="K45" i="2" s="1"/>
  <c r="F45" i="2"/>
  <c r="G45" i="2" s="1"/>
  <c r="H45" i="2" s="1"/>
  <c r="D45" i="2"/>
  <c r="E45" i="2" s="1"/>
  <c r="B45" i="2"/>
  <c r="C45" i="2" s="1"/>
  <c r="O44" i="2"/>
  <c r="L44" i="2"/>
  <c r="M44" i="2" s="1"/>
  <c r="N44" i="2" s="1"/>
  <c r="I44" i="2"/>
  <c r="J44" i="2" s="1"/>
  <c r="K44" i="2" s="1"/>
  <c r="Y44" i="2" s="1"/>
  <c r="F44" i="2"/>
  <c r="G44" i="2" s="1"/>
  <c r="H44" i="2" s="1"/>
  <c r="D44" i="2"/>
  <c r="E44" i="2" s="1"/>
  <c r="B44" i="2"/>
  <c r="C44" i="2" s="1"/>
  <c r="O43" i="2"/>
  <c r="L43" i="2"/>
  <c r="M43" i="2" s="1"/>
  <c r="N43" i="2" s="1"/>
  <c r="I43" i="2"/>
  <c r="J43" i="2" s="1"/>
  <c r="K43" i="2" s="1"/>
  <c r="F43" i="2"/>
  <c r="G43" i="2" s="1"/>
  <c r="H43" i="2" s="1"/>
  <c r="D43" i="2"/>
  <c r="E43" i="2" s="1"/>
  <c r="B43" i="2"/>
  <c r="C43" i="2" s="1"/>
  <c r="O42" i="2"/>
  <c r="L42" i="2"/>
  <c r="M42" i="2" s="1"/>
  <c r="N42" i="2" s="1"/>
  <c r="I42" i="2"/>
  <c r="J42" i="2" s="1"/>
  <c r="K42" i="2" s="1"/>
  <c r="F42" i="2"/>
  <c r="G42" i="2" s="1"/>
  <c r="H42" i="2" s="1"/>
  <c r="D42" i="2"/>
  <c r="E42" i="2" s="1"/>
  <c r="B42" i="2"/>
  <c r="C42" i="2" s="1"/>
  <c r="O41" i="2"/>
  <c r="L41" i="2"/>
  <c r="M41" i="2" s="1"/>
  <c r="N41" i="2" s="1"/>
  <c r="I41" i="2"/>
  <c r="J41" i="2" s="1"/>
  <c r="K41" i="2" s="1"/>
  <c r="F41" i="2"/>
  <c r="G41" i="2" s="1"/>
  <c r="H41" i="2" s="1"/>
  <c r="D41" i="2"/>
  <c r="E41" i="2" s="1"/>
  <c r="B41" i="2"/>
  <c r="C41" i="2" s="1"/>
  <c r="O40" i="2"/>
  <c r="L40" i="2"/>
  <c r="M40" i="2" s="1"/>
  <c r="N40" i="2" s="1"/>
  <c r="I40" i="2"/>
  <c r="J40" i="2" s="1"/>
  <c r="K40" i="2" s="1"/>
  <c r="F40" i="2"/>
  <c r="G40" i="2" s="1"/>
  <c r="H40" i="2" s="1"/>
  <c r="D40" i="2"/>
  <c r="E40" i="2" s="1"/>
  <c r="B40" i="2"/>
  <c r="C40" i="2" s="1"/>
  <c r="P40" i="2" s="1"/>
  <c r="O39" i="2"/>
  <c r="L39" i="2"/>
  <c r="M39" i="2" s="1"/>
  <c r="N39" i="2" s="1"/>
  <c r="I39" i="2"/>
  <c r="J39" i="2" s="1"/>
  <c r="K39" i="2" s="1"/>
  <c r="F39" i="2"/>
  <c r="G39" i="2" s="1"/>
  <c r="H39" i="2" s="1"/>
  <c r="D39" i="2"/>
  <c r="E39" i="2" s="1"/>
  <c r="B39" i="2"/>
  <c r="C39" i="2" s="1"/>
  <c r="O38" i="2"/>
  <c r="L38" i="2"/>
  <c r="M38" i="2" s="1"/>
  <c r="N38" i="2" s="1"/>
  <c r="I38" i="2"/>
  <c r="J38" i="2" s="1"/>
  <c r="K38" i="2" s="1"/>
  <c r="F38" i="2"/>
  <c r="G38" i="2" s="1"/>
  <c r="H38" i="2" s="1"/>
  <c r="D38" i="2"/>
  <c r="E38" i="2" s="1"/>
  <c r="B38" i="2"/>
  <c r="C38" i="2" s="1"/>
  <c r="O37" i="2"/>
  <c r="L37" i="2"/>
  <c r="M37" i="2" s="1"/>
  <c r="N37" i="2" s="1"/>
  <c r="I37" i="2"/>
  <c r="J37" i="2" s="1"/>
  <c r="K37" i="2" s="1"/>
  <c r="Y37" i="2" s="1"/>
  <c r="F37" i="2"/>
  <c r="G37" i="2" s="1"/>
  <c r="H37" i="2" s="1"/>
  <c r="D37" i="2"/>
  <c r="E37" i="2" s="1"/>
  <c r="B37" i="2"/>
  <c r="C37" i="2" s="1"/>
  <c r="O36" i="2"/>
  <c r="L36" i="2"/>
  <c r="M36" i="2" s="1"/>
  <c r="N36" i="2" s="1"/>
  <c r="I36" i="2"/>
  <c r="J36" i="2" s="1"/>
  <c r="K36" i="2" s="1"/>
  <c r="F36" i="2"/>
  <c r="G36" i="2" s="1"/>
  <c r="H36" i="2" s="1"/>
  <c r="D36" i="2"/>
  <c r="E36" i="2" s="1"/>
  <c r="B36" i="2"/>
  <c r="C36" i="2" s="1"/>
  <c r="O35" i="2"/>
  <c r="L35" i="2"/>
  <c r="M35" i="2" s="1"/>
  <c r="N35" i="2" s="1"/>
  <c r="I35" i="2"/>
  <c r="J35" i="2" s="1"/>
  <c r="K35" i="2" s="1"/>
  <c r="F35" i="2"/>
  <c r="G35" i="2" s="1"/>
  <c r="H35" i="2" s="1"/>
  <c r="D35" i="2"/>
  <c r="E35" i="2" s="1"/>
  <c r="B35" i="2"/>
  <c r="C35" i="2" s="1"/>
  <c r="O34" i="2"/>
  <c r="L34" i="2"/>
  <c r="M34" i="2" s="1"/>
  <c r="N34" i="2" s="1"/>
  <c r="I34" i="2"/>
  <c r="J34" i="2" s="1"/>
  <c r="K34" i="2" s="1"/>
  <c r="F34" i="2"/>
  <c r="G34" i="2" s="1"/>
  <c r="H34" i="2" s="1"/>
  <c r="D34" i="2"/>
  <c r="E34" i="2" s="1"/>
  <c r="B34" i="2"/>
  <c r="C34" i="2" s="1"/>
  <c r="P34" i="2" s="1"/>
  <c r="O33" i="2"/>
  <c r="L33" i="2"/>
  <c r="M33" i="2" s="1"/>
  <c r="N33" i="2" s="1"/>
  <c r="I33" i="2"/>
  <c r="J33" i="2" s="1"/>
  <c r="K33" i="2" s="1"/>
  <c r="Z33" i="2" s="1"/>
  <c r="F33" i="2"/>
  <c r="G33" i="2" s="1"/>
  <c r="H33" i="2" s="1"/>
  <c r="D33" i="2"/>
  <c r="E33" i="2" s="1"/>
  <c r="B33" i="2"/>
  <c r="C33" i="2" s="1"/>
  <c r="O32" i="2"/>
  <c r="L32" i="2"/>
  <c r="M32" i="2" s="1"/>
  <c r="N32" i="2" s="1"/>
  <c r="I32" i="2"/>
  <c r="J32" i="2" s="1"/>
  <c r="K32" i="2" s="1"/>
  <c r="F32" i="2"/>
  <c r="G32" i="2" s="1"/>
  <c r="H32" i="2" s="1"/>
  <c r="D32" i="2"/>
  <c r="E32" i="2" s="1"/>
  <c r="B32" i="2"/>
  <c r="C32" i="2" s="1"/>
  <c r="O31" i="2"/>
  <c r="L31" i="2"/>
  <c r="M31" i="2" s="1"/>
  <c r="N31" i="2" s="1"/>
  <c r="I31" i="2"/>
  <c r="J31" i="2" s="1"/>
  <c r="K31" i="2" s="1"/>
  <c r="F31" i="2"/>
  <c r="G31" i="2" s="1"/>
  <c r="H31" i="2" s="1"/>
  <c r="D31" i="2"/>
  <c r="E31" i="2" s="1"/>
  <c r="B31" i="2"/>
  <c r="C31" i="2" s="1"/>
  <c r="O30" i="2"/>
  <c r="L30" i="2"/>
  <c r="M30" i="2" s="1"/>
  <c r="N30" i="2" s="1"/>
  <c r="I30" i="2"/>
  <c r="J30" i="2" s="1"/>
  <c r="K30" i="2" s="1"/>
  <c r="F30" i="2"/>
  <c r="G30" i="2" s="1"/>
  <c r="H30" i="2" s="1"/>
  <c r="D30" i="2"/>
  <c r="E30" i="2" s="1"/>
  <c r="B30" i="2"/>
  <c r="C30" i="2" s="1"/>
  <c r="P30" i="2" s="1"/>
  <c r="O29" i="2"/>
  <c r="L29" i="2"/>
  <c r="M29" i="2" s="1"/>
  <c r="N29" i="2" s="1"/>
  <c r="I29" i="2"/>
  <c r="J29" i="2" s="1"/>
  <c r="K29" i="2" s="1"/>
  <c r="F29" i="2"/>
  <c r="G29" i="2" s="1"/>
  <c r="H29" i="2" s="1"/>
  <c r="D29" i="2"/>
  <c r="E29" i="2" s="1"/>
  <c r="B29" i="2"/>
  <c r="C29" i="2" s="1"/>
  <c r="O28" i="2"/>
  <c r="L28" i="2"/>
  <c r="M28" i="2" s="1"/>
  <c r="N28" i="2" s="1"/>
  <c r="I28" i="2"/>
  <c r="J28" i="2" s="1"/>
  <c r="K28" i="2" s="1"/>
  <c r="Y28" i="2" s="1"/>
  <c r="F28" i="2"/>
  <c r="G28" i="2" s="1"/>
  <c r="H28" i="2" s="1"/>
  <c r="D28" i="2"/>
  <c r="E28" i="2" s="1"/>
  <c r="B28" i="2"/>
  <c r="C28" i="2" s="1"/>
  <c r="O27" i="2"/>
  <c r="L27" i="2"/>
  <c r="M27" i="2" s="1"/>
  <c r="N27" i="2" s="1"/>
  <c r="I27" i="2"/>
  <c r="J27" i="2" s="1"/>
  <c r="K27" i="2" s="1"/>
  <c r="F27" i="2"/>
  <c r="G27" i="2" s="1"/>
  <c r="H27" i="2" s="1"/>
  <c r="D27" i="2"/>
  <c r="E27" i="2" s="1"/>
  <c r="B27" i="2"/>
  <c r="C27" i="2" s="1"/>
  <c r="O26" i="2"/>
  <c r="L26" i="2"/>
  <c r="M26" i="2" s="1"/>
  <c r="N26" i="2" s="1"/>
  <c r="I26" i="2"/>
  <c r="J26" i="2" s="1"/>
  <c r="K26" i="2" s="1"/>
  <c r="F26" i="2"/>
  <c r="G26" i="2" s="1"/>
  <c r="H26" i="2" s="1"/>
  <c r="D26" i="2"/>
  <c r="E26" i="2" s="1"/>
  <c r="B26" i="2"/>
  <c r="C26" i="2" s="1"/>
  <c r="O25" i="2"/>
  <c r="L25" i="2"/>
  <c r="M25" i="2" s="1"/>
  <c r="N25" i="2" s="1"/>
  <c r="I25" i="2"/>
  <c r="J25" i="2" s="1"/>
  <c r="K25" i="2" s="1"/>
  <c r="F25" i="2"/>
  <c r="G25" i="2" s="1"/>
  <c r="H25" i="2" s="1"/>
  <c r="D25" i="2"/>
  <c r="E25" i="2" s="1"/>
  <c r="B25" i="2"/>
  <c r="C25" i="2" s="1"/>
  <c r="O24" i="2"/>
  <c r="L24" i="2"/>
  <c r="M24" i="2" s="1"/>
  <c r="N24" i="2" s="1"/>
  <c r="I24" i="2"/>
  <c r="J24" i="2" s="1"/>
  <c r="K24" i="2" s="1"/>
  <c r="F24" i="2"/>
  <c r="G24" i="2" s="1"/>
  <c r="H24" i="2" s="1"/>
  <c r="D24" i="2"/>
  <c r="E24" i="2" s="1"/>
  <c r="B24" i="2"/>
  <c r="C24" i="2" s="1"/>
  <c r="P24" i="2" s="1"/>
  <c r="Q24" i="2" s="1"/>
  <c r="O23" i="2"/>
  <c r="L23" i="2"/>
  <c r="M23" i="2" s="1"/>
  <c r="N23" i="2" s="1"/>
  <c r="I23" i="2"/>
  <c r="J23" i="2" s="1"/>
  <c r="K23" i="2" s="1"/>
  <c r="F23" i="2"/>
  <c r="G23" i="2" s="1"/>
  <c r="H23" i="2" s="1"/>
  <c r="D23" i="2"/>
  <c r="E23" i="2" s="1"/>
  <c r="B23" i="2"/>
  <c r="C23" i="2" s="1"/>
  <c r="O22" i="2"/>
  <c r="L22" i="2"/>
  <c r="M22" i="2" s="1"/>
  <c r="N22" i="2" s="1"/>
  <c r="I22" i="2"/>
  <c r="J22" i="2" s="1"/>
  <c r="K22" i="2" s="1"/>
  <c r="F22" i="2"/>
  <c r="G22" i="2" s="1"/>
  <c r="H22" i="2" s="1"/>
  <c r="D22" i="2"/>
  <c r="E22" i="2" s="1"/>
  <c r="B22" i="2"/>
  <c r="C22" i="2" s="1"/>
  <c r="P22" i="2" s="1"/>
  <c r="Q22" i="2" s="1"/>
  <c r="O21" i="2"/>
  <c r="L21" i="2"/>
  <c r="M21" i="2" s="1"/>
  <c r="N21" i="2" s="1"/>
  <c r="I21" i="2"/>
  <c r="J21" i="2" s="1"/>
  <c r="K21" i="2" s="1"/>
  <c r="Y21" i="2" s="1"/>
  <c r="F21" i="2"/>
  <c r="G21" i="2" s="1"/>
  <c r="H21" i="2" s="1"/>
  <c r="D21" i="2"/>
  <c r="E21" i="2" s="1"/>
  <c r="B21" i="2"/>
  <c r="C21" i="2" s="1"/>
  <c r="O20" i="2"/>
  <c r="L20" i="2"/>
  <c r="M20" i="2" s="1"/>
  <c r="N20" i="2" s="1"/>
  <c r="T20" i="2" s="1"/>
  <c r="I20" i="2"/>
  <c r="J20" i="2" s="1"/>
  <c r="K20" i="2" s="1"/>
  <c r="F20" i="2"/>
  <c r="G20" i="2" s="1"/>
  <c r="H20" i="2" s="1"/>
  <c r="D20" i="2"/>
  <c r="E20" i="2" s="1"/>
  <c r="B20" i="2"/>
  <c r="C20" i="2" s="1"/>
  <c r="O19" i="2"/>
  <c r="L19" i="2"/>
  <c r="M19" i="2" s="1"/>
  <c r="N19" i="2" s="1"/>
  <c r="I19" i="2"/>
  <c r="J19" i="2" s="1"/>
  <c r="K19" i="2" s="1"/>
  <c r="F19" i="2"/>
  <c r="G19" i="2" s="1"/>
  <c r="H19" i="2" s="1"/>
  <c r="D19" i="2"/>
  <c r="E19" i="2" s="1"/>
  <c r="B19" i="2"/>
  <c r="C19" i="2" s="1"/>
  <c r="O18" i="2"/>
  <c r="L18" i="2"/>
  <c r="M18" i="2" s="1"/>
  <c r="N18" i="2" s="1"/>
  <c r="T18" i="2" s="1"/>
  <c r="I18" i="2"/>
  <c r="J18" i="2" s="1"/>
  <c r="K18" i="2" s="1"/>
  <c r="Y18" i="2" s="1"/>
  <c r="F18" i="2"/>
  <c r="G18" i="2" s="1"/>
  <c r="H18" i="2" s="1"/>
  <c r="D18" i="2"/>
  <c r="E18" i="2" s="1"/>
  <c r="B18" i="2"/>
  <c r="C18" i="2" s="1"/>
  <c r="P18" i="2" s="1"/>
  <c r="O17" i="2"/>
  <c r="L17" i="2"/>
  <c r="M17" i="2" s="1"/>
  <c r="N17" i="2" s="1"/>
  <c r="I17" i="2"/>
  <c r="J17" i="2" s="1"/>
  <c r="K17" i="2" s="1"/>
  <c r="Z17" i="2" s="1"/>
  <c r="F17" i="2"/>
  <c r="G17" i="2" s="1"/>
  <c r="H17" i="2" s="1"/>
  <c r="D17" i="2"/>
  <c r="E17" i="2" s="1"/>
  <c r="B17" i="2"/>
  <c r="C17" i="2" s="1"/>
  <c r="O16" i="2"/>
  <c r="L16" i="2"/>
  <c r="M16" i="2" s="1"/>
  <c r="N16" i="2" s="1"/>
  <c r="I16" i="2"/>
  <c r="J16" i="2" s="1"/>
  <c r="K16" i="2" s="1"/>
  <c r="Y16" i="2" s="1"/>
  <c r="F16" i="2"/>
  <c r="G16" i="2" s="1"/>
  <c r="H16" i="2" s="1"/>
  <c r="D16" i="2"/>
  <c r="E16" i="2" s="1"/>
  <c r="B16" i="2"/>
  <c r="C16" i="2" s="1"/>
  <c r="O15" i="2"/>
  <c r="L15" i="2"/>
  <c r="M15" i="2" s="1"/>
  <c r="N15" i="2" s="1"/>
  <c r="I15" i="2"/>
  <c r="J15" i="2" s="1"/>
  <c r="K15" i="2" s="1"/>
  <c r="Z15" i="2" s="1"/>
  <c r="F15" i="2"/>
  <c r="G15" i="2" s="1"/>
  <c r="H15" i="2" s="1"/>
  <c r="D15" i="2"/>
  <c r="E15" i="2" s="1"/>
  <c r="B15" i="2"/>
  <c r="C15" i="2" s="1"/>
  <c r="O14" i="2"/>
  <c r="L14" i="2"/>
  <c r="M14" i="2" s="1"/>
  <c r="N14" i="2" s="1"/>
  <c r="I14" i="2"/>
  <c r="J14" i="2" s="1"/>
  <c r="K14" i="2" s="1"/>
  <c r="F14" i="2"/>
  <c r="G14" i="2" s="1"/>
  <c r="H14" i="2" s="1"/>
  <c r="D14" i="2"/>
  <c r="E14" i="2" s="1"/>
  <c r="B14" i="2"/>
  <c r="C14" i="2" s="1"/>
  <c r="P14" i="2" s="1"/>
  <c r="O13" i="2"/>
  <c r="L13" i="2"/>
  <c r="M13" i="2" s="1"/>
  <c r="N13" i="2" s="1"/>
  <c r="I13" i="2"/>
  <c r="J13" i="2" s="1"/>
  <c r="K13" i="2" s="1"/>
  <c r="F13" i="2"/>
  <c r="G13" i="2" s="1"/>
  <c r="H13" i="2" s="1"/>
  <c r="D13" i="2"/>
  <c r="E13" i="2" s="1"/>
  <c r="B13" i="2"/>
  <c r="C13" i="2" s="1"/>
  <c r="O12" i="2"/>
  <c r="L12" i="2"/>
  <c r="M12" i="2" s="1"/>
  <c r="N12" i="2" s="1"/>
  <c r="I12" i="2"/>
  <c r="J12" i="2" s="1"/>
  <c r="K12" i="2" s="1"/>
  <c r="Y12" i="2" s="1"/>
  <c r="F12" i="2"/>
  <c r="G12" i="2" s="1"/>
  <c r="H12" i="2" s="1"/>
  <c r="D12" i="2"/>
  <c r="E12" i="2" s="1"/>
  <c r="B12" i="2"/>
  <c r="C12" i="2" s="1"/>
  <c r="O11" i="2"/>
  <c r="L11" i="2"/>
  <c r="M11" i="2" s="1"/>
  <c r="N11" i="2" s="1"/>
  <c r="I11" i="2"/>
  <c r="J11" i="2" s="1"/>
  <c r="K11" i="2" s="1"/>
  <c r="F11" i="2"/>
  <c r="G11" i="2" s="1"/>
  <c r="H11" i="2" s="1"/>
  <c r="D11" i="2"/>
  <c r="E11" i="2" s="1"/>
  <c r="B11" i="2"/>
  <c r="C11" i="2" s="1"/>
  <c r="O10" i="2"/>
  <c r="L10" i="2"/>
  <c r="M10" i="2" s="1"/>
  <c r="N10" i="2" s="1"/>
  <c r="I10" i="2"/>
  <c r="J10" i="2" s="1"/>
  <c r="K10" i="2" s="1"/>
  <c r="F10" i="2"/>
  <c r="G10" i="2" s="1"/>
  <c r="H10" i="2" s="1"/>
  <c r="D10" i="2"/>
  <c r="E10" i="2" s="1"/>
  <c r="B10" i="2"/>
  <c r="C10" i="2" s="1"/>
  <c r="O9" i="2"/>
  <c r="L9" i="2"/>
  <c r="M9" i="2" s="1"/>
  <c r="N9" i="2" s="1"/>
  <c r="I9" i="2"/>
  <c r="J9" i="2" s="1"/>
  <c r="K9" i="2" s="1"/>
  <c r="F9" i="2"/>
  <c r="G9" i="2" s="1"/>
  <c r="H9" i="2" s="1"/>
  <c r="D9" i="2"/>
  <c r="E9" i="2" s="1"/>
  <c r="B9" i="2"/>
  <c r="C9" i="2" s="1"/>
  <c r="O8" i="2"/>
  <c r="L8" i="2"/>
  <c r="M8" i="2" s="1"/>
  <c r="N8" i="2" s="1"/>
  <c r="I8" i="2"/>
  <c r="J8" i="2" s="1"/>
  <c r="K8" i="2" s="1"/>
  <c r="F8" i="2"/>
  <c r="G8" i="2" s="1"/>
  <c r="H8" i="2" s="1"/>
  <c r="D8" i="2"/>
  <c r="E8" i="2" s="1"/>
  <c r="B8" i="2"/>
  <c r="C8" i="2" s="1"/>
  <c r="P8" i="2" s="1"/>
  <c r="O7" i="2"/>
  <c r="L7" i="2"/>
  <c r="M7" i="2" s="1"/>
  <c r="N7" i="2" s="1"/>
  <c r="I7" i="2"/>
  <c r="J7" i="2" s="1"/>
  <c r="K7" i="2" s="1"/>
  <c r="F7" i="2"/>
  <c r="G7" i="2" s="1"/>
  <c r="H7" i="2" s="1"/>
  <c r="D7" i="2"/>
  <c r="E7" i="2" s="1"/>
  <c r="B7" i="2"/>
  <c r="C7" i="2" s="1"/>
  <c r="O6" i="2"/>
  <c r="L6" i="2"/>
  <c r="M6" i="2" s="1"/>
  <c r="N6" i="2" s="1"/>
  <c r="I6" i="2"/>
  <c r="J6" i="2" s="1"/>
  <c r="K6" i="2" s="1"/>
  <c r="F6" i="2"/>
  <c r="G6" i="2" s="1"/>
  <c r="H6" i="2" s="1"/>
  <c r="D6" i="2"/>
  <c r="E6" i="2" s="1"/>
  <c r="B6" i="2"/>
  <c r="C6" i="2" s="1"/>
  <c r="O5" i="2"/>
  <c r="L5" i="2"/>
  <c r="M5" i="2" s="1"/>
  <c r="N5" i="2" s="1"/>
  <c r="I5" i="2"/>
  <c r="J5" i="2" s="1"/>
  <c r="K5" i="2" s="1"/>
  <c r="Y5" i="2" s="1"/>
  <c r="F5" i="2"/>
  <c r="G5" i="2" s="1"/>
  <c r="H5" i="2" s="1"/>
  <c r="D5" i="2"/>
  <c r="E5" i="2" s="1"/>
  <c r="B5" i="2"/>
  <c r="C5" i="2" s="1"/>
  <c r="O4" i="2"/>
  <c r="L4" i="2"/>
  <c r="M4" i="2" s="1"/>
  <c r="N4" i="2" s="1"/>
  <c r="T4" i="2" s="1"/>
  <c r="I4" i="2"/>
  <c r="J4" i="2" s="1"/>
  <c r="K4" i="2" s="1"/>
  <c r="F4" i="2"/>
  <c r="G4" i="2" s="1"/>
  <c r="H4" i="2" s="1"/>
  <c r="D4" i="2"/>
  <c r="E4" i="2" s="1"/>
  <c r="B4" i="2"/>
  <c r="C4" i="2" s="1"/>
  <c r="O3" i="2"/>
  <c r="L3" i="2"/>
  <c r="M3" i="2" s="1"/>
  <c r="N3" i="2" s="1"/>
  <c r="I3" i="2"/>
  <c r="J3" i="2" s="1"/>
  <c r="K3" i="2" s="1"/>
  <c r="F3" i="2"/>
  <c r="G3" i="2" s="1"/>
  <c r="H3" i="2" s="1"/>
  <c r="D3" i="2"/>
  <c r="E3" i="2" s="1"/>
  <c r="B3" i="2"/>
  <c r="C3" i="2" s="1"/>
  <c r="O2" i="2"/>
  <c r="L2" i="2"/>
  <c r="M2" i="2" s="1"/>
  <c r="N2" i="2" s="1"/>
  <c r="T2" i="2" s="1"/>
  <c r="I2" i="2"/>
  <c r="J2" i="2" s="1"/>
  <c r="K2" i="2" s="1"/>
  <c r="F2" i="2"/>
  <c r="G2" i="2" s="1"/>
  <c r="H2" i="2" s="1"/>
  <c r="D2" i="2"/>
  <c r="E2" i="2" s="1"/>
  <c r="B2" i="2"/>
  <c r="C2" i="2" s="1"/>
  <c r="P2" i="2" s="1"/>
  <c r="B13" i="3" l="1"/>
  <c r="P1079" i="2"/>
  <c r="Q1079" i="2" s="1"/>
  <c r="P750" i="2"/>
  <c r="R750" i="2" s="1"/>
  <c r="AP750" i="2" s="1"/>
  <c r="P850" i="2"/>
  <c r="S850" i="2" s="1"/>
  <c r="P2332" i="2"/>
  <c r="R2332" i="2" s="1"/>
  <c r="AP2332" i="2" s="1"/>
  <c r="P858" i="2"/>
  <c r="R858" i="2" s="1"/>
  <c r="AP858" i="2" s="1"/>
  <c r="P1075" i="2"/>
  <c r="S1075" i="2" s="1"/>
  <c r="P2381" i="2"/>
  <c r="S2381" i="2" s="1"/>
  <c r="P747" i="2"/>
  <c r="R747" i="2" s="1"/>
  <c r="AP747" i="2" s="1"/>
  <c r="T1151" i="2"/>
  <c r="AK1151" i="2" s="1"/>
  <c r="P511" i="2"/>
  <c r="P2480" i="2"/>
  <c r="Q2480" i="2" s="1"/>
  <c r="T468" i="2"/>
  <c r="AK468" i="2" s="1"/>
  <c r="P1063" i="2"/>
  <c r="S1063" i="2" s="1"/>
  <c r="P2316" i="2"/>
  <c r="Q2316" i="2" s="1"/>
  <c r="P527" i="2"/>
  <c r="P1135" i="2"/>
  <c r="Q1135" i="2" s="1"/>
  <c r="P643" i="2"/>
  <c r="S643" i="2" s="1"/>
  <c r="A775" i="5"/>
  <c r="P775" i="2"/>
  <c r="E1143" i="5"/>
  <c r="T1143" i="2"/>
  <c r="U1143" i="2" s="1"/>
  <c r="A1095" i="5"/>
  <c r="P1095" i="2"/>
  <c r="R1095" i="2" s="1"/>
  <c r="AP1095" i="2" s="1"/>
  <c r="A1119" i="5"/>
  <c r="P1119" i="2"/>
  <c r="S1119" i="2" s="1"/>
  <c r="E412" i="5"/>
  <c r="T412" i="2"/>
  <c r="A731" i="5"/>
  <c r="P731" i="2"/>
  <c r="Q731" i="2" s="1"/>
  <c r="E248" i="5"/>
  <c r="T248" i="2"/>
  <c r="E356" i="5"/>
  <c r="T356" i="2"/>
  <c r="AK356" i="2" s="1"/>
  <c r="P552" i="2"/>
  <c r="R552" i="2" s="1"/>
  <c r="AP552" i="2" s="1"/>
  <c r="P124" i="2"/>
  <c r="S124" i="2" s="1"/>
  <c r="P272" i="2"/>
  <c r="P412" i="2"/>
  <c r="Q412" i="2" s="1"/>
  <c r="P811" i="2"/>
  <c r="Q811" i="2" s="1"/>
  <c r="P818" i="2"/>
  <c r="P823" i="2"/>
  <c r="S823" i="2" s="1"/>
  <c r="P839" i="2"/>
  <c r="S839" i="2" s="1"/>
  <c r="P851" i="2"/>
  <c r="P1844" i="2"/>
  <c r="R1844" i="2" s="1"/>
  <c r="AP1844" i="2" s="1"/>
  <c r="P2111" i="2"/>
  <c r="R2111" i="2" s="1"/>
  <c r="AP2111" i="2" s="1"/>
  <c r="P2149" i="2"/>
  <c r="R2149" i="2" s="1"/>
  <c r="AP2149" i="2" s="1"/>
  <c r="P2280" i="2"/>
  <c r="A673" i="5"/>
  <c r="P673" i="2"/>
  <c r="A697" i="5"/>
  <c r="P697" i="2"/>
  <c r="S697" i="2" s="1"/>
  <c r="A645" i="5"/>
  <c r="P645" i="2"/>
  <c r="Q645" i="2" s="1"/>
  <c r="A803" i="5"/>
  <c r="P803" i="2"/>
  <c r="A1071" i="5"/>
  <c r="P1071" i="2"/>
  <c r="Q1071" i="2" s="1"/>
  <c r="A1115" i="5"/>
  <c r="P1115" i="2"/>
  <c r="A1099" i="5"/>
  <c r="P1099" i="2"/>
  <c r="Q1099" i="2" s="1"/>
  <c r="A807" i="5"/>
  <c r="P807" i="2"/>
  <c r="A874" i="5"/>
  <c r="P874" i="2"/>
  <c r="T380" i="2"/>
  <c r="AK380" i="2" s="1"/>
  <c r="P494" i="2"/>
  <c r="P637" i="2"/>
  <c r="P681" i="2"/>
  <c r="A802" i="5"/>
  <c r="P802" i="2"/>
  <c r="A689" i="5"/>
  <c r="P689" i="2"/>
  <c r="S689" i="2" s="1"/>
  <c r="A814" i="5"/>
  <c r="P814" i="2"/>
  <c r="T224" i="2"/>
  <c r="AK224" i="2" s="1"/>
  <c r="T452" i="2"/>
  <c r="AF452" i="2" s="1"/>
  <c r="P665" i="2"/>
  <c r="S665" i="2" s="1"/>
  <c r="P754" i="2"/>
  <c r="E1147" i="5"/>
  <c r="T1147" i="2"/>
  <c r="AK1147" i="2" s="1"/>
  <c r="P1524" i="2"/>
  <c r="S1524" i="2" s="1"/>
  <c r="P1655" i="2"/>
  <c r="S1655" i="2" s="1"/>
  <c r="P2202" i="2"/>
  <c r="Q2202" i="2" s="1"/>
  <c r="P2322" i="2"/>
  <c r="R2322" i="2" s="1"/>
  <c r="AP2322" i="2" s="1"/>
  <c r="P2330" i="2"/>
  <c r="R2330" i="2" s="1"/>
  <c r="AP2330" i="2" s="1"/>
  <c r="P2387" i="2"/>
  <c r="Q2387" i="2" s="1"/>
  <c r="E492" i="5"/>
  <c r="T492" i="2"/>
  <c r="A234" i="5"/>
  <c r="P234" i="2"/>
  <c r="A246" i="5"/>
  <c r="P246" i="2"/>
  <c r="A655" i="5"/>
  <c r="P655" i="2"/>
  <c r="A701" i="5"/>
  <c r="P701" i="2"/>
  <c r="A705" i="5"/>
  <c r="P705" i="2"/>
  <c r="A709" i="5"/>
  <c r="P709" i="2"/>
  <c r="Q709" i="2" s="1"/>
  <c r="A713" i="5"/>
  <c r="P713" i="2"/>
  <c r="A782" i="5"/>
  <c r="P782" i="2"/>
  <c r="A830" i="5"/>
  <c r="P830" i="2"/>
  <c r="A866" i="5"/>
  <c r="P866" i="2"/>
  <c r="S866" i="2" s="1"/>
  <c r="A1107" i="5"/>
  <c r="P1107" i="2"/>
  <c r="A1845" i="5"/>
  <c r="P1845" i="2"/>
  <c r="Q1845" i="2" s="1"/>
  <c r="A621" i="5"/>
  <c r="P621" i="2"/>
  <c r="A629" i="5"/>
  <c r="P629" i="2"/>
  <c r="A771" i="5"/>
  <c r="P771" i="2"/>
  <c r="R771" i="2" s="1"/>
  <c r="AP771" i="2" s="1"/>
  <c r="A1051" i="5"/>
  <c r="P1051" i="2"/>
  <c r="S1051" i="2" s="1"/>
  <c r="P164" i="2"/>
  <c r="S164" i="2" s="1"/>
  <c r="T204" i="2"/>
  <c r="AK204" i="2" s="1"/>
  <c r="T216" i="2"/>
  <c r="T232" i="2"/>
  <c r="T264" i="2"/>
  <c r="AF264" i="2" s="1"/>
  <c r="P288" i="2"/>
  <c r="S288" i="2" s="1"/>
  <c r="P304" i="2"/>
  <c r="T348" i="2"/>
  <c r="U348" i="2" s="1"/>
  <c r="T476" i="2"/>
  <c r="AK476" i="2" s="1"/>
  <c r="P498" i="2"/>
  <c r="P500" i="2"/>
  <c r="A623" i="5"/>
  <c r="P623" i="2"/>
  <c r="S623" i="2" s="1"/>
  <c r="P633" i="2"/>
  <c r="P641" i="2"/>
  <c r="A649" i="5"/>
  <c r="P649" i="2"/>
  <c r="S649" i="2" s="1"/>
  <c r="A657" i="5"/>
  <c r="P657" i="2"/>
  <c r="P671" i="2"/>
  <c r="P679" i="2"/>
  <c r="S679" i="2" s="1"/>
  <c r="P687" i="2"/>
  <c r="P695" i="2"/>
  <c r="Q695" i="2" s="1"/>
  <c r="A703" i="5"/>
  <c r="P703" i="2"/>
  <c r="S703" i="2" s="1"/>
  <c r="A707" i="5"/>
  <c r="P707" i="2"/>
  <c r="A711" i="5"/>
  <c r="P711" i="2"/>
  <c r="S711" i="2" s="1"/>
  <c r="A717" i="5"/>
  <c r="P717" i="2"/>
  <c r="A721" i="5"/>
  <c r="P721" i="2"/>
  <c r="S721" i="2" s="1"/>
  <c r="A725" i="5"/>
  <c r="P725" i="2"/>
  <c r="A786" i="5"/>
  <c r="P786" i="2"/>
  <c r="R786" i="2" s="1"/>
  <c r="AP786" i="2" s="1"/>
  <c r="A834" i="5"/>
  <c r="P834" i="2"/>
  <c r="Q834" i="2" s="1"/>
  <c r="A1103" i="5"/>
  <c r="P1103" i="2"/>
  <c r="Q1103" i="2" s="1"/>
  <c r="T288" i="2"/>
  <c r="T320" i="2"/>
  <c r="AK320" i="2" s="1"/>
  <c r="T324" i="2"/>
  <c r="T388" i="2"/>
  <c r="AK388" i="2" s="1"/>
  <c r="P454" i="2"/>
  <c r="R454" i="2" s="1"/>
  <c r="AP454" i="2" s="1"/>
  <c r="P492" i="2"/>
  <c r="P506" i="2"/>
  <c r="R506" i="2" s="1"/>
  <c r="AP506" i="2" s="1"/>
  <c r="A625" i="5"/>
  <c r="P625" i="2"/>
  <c r="R625" i="2" s="1"/>
  <c r="AP625" i="2" s="1"/>
  <c r="P639" i="2"/>
  <c r="A659" i="5"/>
  <c r="P659" i="2"/>
  <c r="S659" i="2" s="1"/>
  <c r="P669" i="2"/>
  <c r="Q669" i="2" s="1"/>
  <c r="P677" i="2"/>
  <c r="P685" i="2"/>
  <c r="P693" i="2"/>
  <c r="S693" i="2" s="1"/>
  <c r="A719" i="5"/>
  <c r="P719" i="2"/>
  <c r="A723" i="5"/>
  <c r="P723" i="2"/>
  <c r="S723" i="2" s="1"/>
  <c r="A779" i="5"/>
  <c r="P779" i="2"/>
  <c r="Q779" i="2" s="1"/>
  <c r="A795" i="5"/>
  <c r="P795" i="2"/>
  <c r="R795" i="2" s="1"/>
  <c r="AP795" i="2" s="1"/>
  <c r="A842" i="5"/>
  <c r="P842" i="2"/>
  <c r="A1059" i="5"/>
  <c r="P1059" i="2"/>
  <c r="S1059" i="2" s="1"/>
  <c r="P42" i="2"/>
  <c r="Q42" i="2" s="1"/>
  <c r="P74" i="2"/>
  <c r="P10" i="2"/>
  <c r="S10" i="2" s="1"/>
  <c r="P196" i="2"/>
  <c r="G196" i="4" s="1"/>
  <c r="P26" i="2"/>
  <c r="P27" i="2"/>
  <c r="P230" i="2"/>
  <c r="R230" i="2" s="1"/>
  <c r="AP230" i="2" s="1"/>
  <c r="P250" i="2"/>
  <c r="R250" i="2" s="1"/>
  <c r="AP250" i="2" s="1"/>
  <c r="P262" i="2"/>
  <c r="Q262" i="2" s="1"/>
  <c r="P450" i="2"/>
  <c r="P512" i="2"/>
  <c r="P520" i="2"/>
  <c r="Q520" i="2" s="1"/>
  <c r="P528" i="2"/>
  <c r="R528" i="2" s="1"/>
  <c r="AP528" i="2" s="1"/>
  <c r="P536" i="2"/>
  <c r="A627" i="5"/>
  <c r="P627" i="2"/>
  <c r="S627" i="2" s="1"/>
  <c r="A653" i="5"/>
  <c r="P653" i="2"/>
  <c r="A661" i="5"/>
  <c r="P661" i="2"/>
  <c r="S661" i="2" s="1"/>
  <c r="P675" i="2"/>
  <c r="P691" i="2"/>
  <c r="A871" i="5"/>
  <c r="P871" i="2"/>
  <c r="S871" i="2" s="1"/>
  <c r="A1139" i="5"/>
  <c r="P1139" i="2"/>
  <c r="R1139" i="2" s="1"/>
  <c r="AP1139" i="2" s="1"/>
  <c r="P730" i="2"/>
  <c r="P746" i="2"/>
  <c r="R746" i="2" s="1"/>
  <c r="AP746" i="2" s="1"/>
  <c r="P759" i="2"/>
  <c r="P763" i="2"/>
  <c r="P787" i="2"/>
  <c r="S787" i="2" s="1"/>
  <c r="P835" i="2"/>
  <c r="Q835" i="2" s="1"/>
  <c r="P843" i="2"/>
  <c r="P846" i="2"/>
  <c r="P1055" i="2"/>
  <c r="Q1055" i="2" s="1"/>
  <c r="P1067" i="2"/>
  <c r="R1067" i="2" s="1"/>
  <c r="AP1067" i="2" s="1"/>
  <c r="P1087" i="2"/>
  <c r="A1111" i="5"/>
  <c r="P1111" i="2"/>
  <c r="Q1111" i="2" s="1"/>
  <c r="P1127" i="2"/>
  <c r="S1127" i="2" s="1"/>
  <c r="T1141" i="2"/>
  <c r="T1145" i="2"/>
  <c r="T1149" i="2"/>
  <c r="U1149" i="2" s="1"/>
  <c r="A1083" i="5"/>
  <c r="P1083" i="2"/>
  <c r="A1123" i="5"/>
  <c r="P1123" i="2"/>
  <c r="S1123" i="2" s="1"/>
  <c r="P738" i="2"/>
  <c r="R738" i="2" s="1"/>
  <c r="AP738" i="2" s="1"/>
  <c r="P743" i="2"/>
  <c r="S743" i="2" s="1"/>
  <c r="P766" i="2"/>
  <c r="P770" i="2"/>
  <c r="P778" i="2"/>
  <c r="R778" i="2" s="1"/>
  <c r="AP778" i="2" s="1"/>
  <c r="P794" i="2"/>
  <c r="P827" i="2"/>
  <c r="P859" i="2"/>
  <c r="P875" i="2"/>
  <c r="S875" i="2" s="1"/>
  <c r="P878" i="2"/>
  <c r="P882" i="2"/>
  <c r="A1091" i="5"/>
  <c r="P1091" i="2"/>
  <c r="Q1091" i="2" s="1"/>
  <c r="A1131" i="5"/>
  <c r="P1131" i="2"/>
  <c r="P1377" i="2"/>
  <c r="S1377" i="2" s="1"/>
  <c r="P1663" i="2"/>
  <c r="S1663" i="2" s="1"/>
  <c r="P1544" i="2"/>
  <c r="Q1544" i="2" s="1"/>
  <c r="P1674" i="2"/>
  <c r="Q1674" i="2" s="1"/>
  <c r="E1839" i="5"/>
  <c r="T1839" i="2"/>
  <c r="U1839" i="2" s="1"/>
  <c r="P1489" i="2"/>
  <c r="P1512" i="2"/>
  <c r="Q1512" i="2" s="1"/>
  <c r="P1587" i="2"/>
  <c r="R1587" i="2" s="1"/>
  <c r="AP1587" i="2" s="1"/>
  <c r="P1595" i="2"/>
  <c r="S1595" i="2" s="1"/>
  <c r="P1603" i="2"/>
  <c r="P1611" i="2"/>
  <c r="Q1611" i="2" s="1"/>
  <c r="P1619" i="2"/>
  <c r="Q1619" i="2" s="1"/>
  <c r="P1627" i="2"/>
  <c r="R1627" i="2" s="1"/>
  <c r="AP1627" i="2" s="1"/>
  <c r="P1635" i="2"/>
  <c r="P1643" i="2"/>
  <c r="S1643" i="2" s="1"/>
  <c r="P1651" i="2"/>
  <c r="S1651" i="2" s="1"/>
  <c r="P1682" i="2"/>
  <c r="R1682" i="2" s="1"/>
  <c r="AP1682" i="2" s="1"/>
  <c r="P1738" i="2"/>
  <c r="R1738" i="2" s="1"/>
  <c r="AP1738" i="2" s="1"/>
  <c r="P1836" i="2"/>
  <c r="P1837" i="2"/>
  <c r="Q1837" i="2" s="1"/>
  <c r="P2125" i="2"/>
  <c r="R2125" i="2" s="1"/>
  <c r="AP2125" i="2" s="1"/>
  <c r="P1730" i="2"/>
  <c r="R1730" i="2" s="1"/>
  <c r="AP1730" i="2" s="1"/>
  <c r="P1746" i="2"/>
  <c r="S1746" i="2" s="1"/>
  <c r="P1840" i="2"/>
  <c r="S1840" i="2" s="1"/>
  <c r="P2119" i="2"/>
  <c r="R2119" i="2" s="1"/>
  <c r="AP2119" i="2" s="1"/>
  <c r="P2123" i="2"/>
  <c r="R2123" i="2" s="1"/>
  <c r="AP2123" i="2" s="1"/>
  <c r="P1841" i="2"/>
  <c r="R1841" i="2" s="1"/>
  <c r="AP1841" i="2" s="1"/>
  <c r="P2022" i="2"/>
  <c r="S2022" i="2" s="1"/>
  <c r="A2402" i="5"/>
  <c r="P2402" i="2"/>
  <c r="S2402" i="2" s="1"/>
  <c r="P2135" i="2"/>
  <c r="P2139" i="2"/>
  <c r="S2139" i="2" s="1"/>
  <c r="P2127" i="2"/>
  <c r="R2127" i="2" s="1"/>
  <c r="AP2127" i="2" s="1"/>
  <c r="P2238" i="2"/>
  <c r="R2238" i="2" s="1"/>
  <c r="AP2238" i="2" s="1"/>
  <c r="P2250" i="2"/>
  <c r="S2250" i="2" s="1"/>
  <c r="P2256" i="2"/>
  <c r="P2306" i="2"/>
  <c r="R2306" i="2" s="1"/>
  <c r="AP2306" i="2" s="1"/>
  <c r="P2212" i="2"/>
  <c r="R2212" i="2" s="1"/>
  <c r="AP2212" i="2" s="1"/>
  <c r="A2406" i="5"/>
  <c r="P2406" i="2"/>
  <c r="S2406" i="2" s="1"/>
  <c r="P2278" i="2"/>
  <c r="R2278" i="2" s="1"/>
  <c r="AP2278" i="2" s="1"/>
  <c r="P2302" i="2"/>
  <c r="Q2302" i="2" s="1"/>
  <c r="P2324" i="2"/>
  <c r="R2324" i="2" s="1"/>
  <c r="AP2324" i="2" s="1"/>
  <c r="A238" i="5"/>
  <c r="P238" i="2"/>
  <c r="S238" i="2" s="1"/>
  <c r="A442" i="5"/>
  <c r="P442" i="2"/>
  <c r="R442" i="2" s="1"/>
  <c r="AP442" i="2" s="1"/>
  <c r="S70" i="2"/>
  <c r="Q70" i="2"/>
  <c r="A294" i="5"/>
  <c r="P294" i="2"/>
  <c r="R294" i="2" s="1"/>
  <c r="AP294" i="2" s="1"/>
  <c r="A306" i="5"/>
  <c r="P306" i="2"/>
  <c r="Q306" i="2" s="1"/>
  <c r="A314" i="5"/>
  <c r="P314" i="2"/>
  <c r="Q314" i="2" s="1"/>
  <c r="D1388" i="5"/>
  <c r="Z1388" i="2"/>
  <c r="A254" i="5"/>
  <c r="P254" i="2"/>
  <c r="E460" i="5"/>
  <c r="T460" i="2"/>
  <c r="A286" i="5"/>
  <c r="P286" i="2"/>
  <c r="S286" i="2" s="1"/>
  <c r="P116" i="2"/>
  <c r="S116" i="2" s="1"/>
  <c r="A206" i="5"/>
  <c r="P206" i="2"/>
  <c r="S206" i="2" s="1"/>
  <c r="P232" i="2"/>
  <c r="P264" i="2"/>
  <c r="R264" i="2" s="1"/>
  <c r="AP264" i="2" s="1"/>
  <c r="A298" i="5"/>
  <c r="P298" i="2"/>
  <c r="Q298" i="2" s="1"/>
  <c r="E346" i="5"/>
  <c r="T346" i="2"/>
  <c r="AA346" i="2" s="1"/>
  <c r="P362" i="2"/>
  <c r="R362" i="2" s="1"/>
  <c r="AP362" i="2" s="1"/>
  <c r="E378" i="5"/>
  <c r="T378" i="2"/>
  <c r="AA378" i="2" s="1"/>
  <c r="P394" i="2"/>
  <c r="R394" i="2" s="1"/>
  <c r="AP394" i="2" s="1"/>
  <c r="A410" i="5"/>
  <c r="P410" i="2"/>
  <c r="E428" i="5"/>
  <c r="T428" i="2"/>
  <c r="A434" i="5"/>
  <c r="P434" i="2"/>
  <c r="A734" i="5"/>
  <c r="P734" i="2"/>
  <c r="R734" i="2" s="1"/>
  <c r="AP734" i="2" s="1"/>
  <c r="A751" i="5"/>
  <c r="P751" i="2"/>
  <c r="A862" i="5"/>
  <c r="P862" i="2"/>
  <c r="P132" i="2"/>
  <c r="S132" i="2" s="1"/>
  <c r="A222" i="5"/>
  <c r="P222" i="2"/>
  <c r="P224" i="2"/>
  <c r="R224" i="2" s="1"/>
  <c r="AP224" i="2" s="1"/>
  <c r="P248" i="2"/>
  <c r="R248" i="2" s="1"/>
  <c r="AP248" i="2" s="1"/>
  <c r="A274" i="5"/>
  <c r="P274" i="2"/>
  <c r="Q274" i="2" s="1"/>
  <c r="P290" i="2"/>
  <c r="Q290" i="2" s="1"/>
  <c r="E304" i="5"/>
  <c r="T304" i="2"/>
  <c r="P322" i="2"/>
  <c r="Q322" i="2" s="1"/>
  <c r="P330" i="2"/>
  <c r="Q330" i="2" s="1"/>
  <c r="A735" i="5"/>
  <c r="P735" i="2"/>
  <c r="A755" i="5"/>
  <c r="P755" i="2"/>
  <c r="Q755" i="2" s="1"/>
  <c r="A762" i="5"/>
  <c r="P762" i="2"/>
  <c r="A863" i="5"/>
  <c r="P863" i="2"/>
  <c r="R863" i="2" s="1"/>
  <c r="AP863" i="2" s="1"/>
  <c r="A879" i="5"/>
  <c r="P879" i="2"/>
  <c r="A883" i="5"/>
  <c r="P883" i="2"/>
  <c r="R883" i="2" s="1"/>
  <c r="AP883" i="2" s="1"/>
  <c r="A1053" i="5"/>
  <c r="P1053" i="2"/>
  <c r="Q1053" i="2" s="1"/>
  <c r="A1073" i="5"/>
  <c r="P1073" i="2"/>
  <c r="Q1073" i="2" s="1"/>
  <c r="P16" i="2"/>
  <c r="P28" i="2"/>
  <c r="P48" i="2"/>
  <c r="P180" i="2"/>
  <c r="S180" i="2" s="1"/>
  <c r="P270" i="2"/>
  <c r="E386" i="5"/>
  <c r="T386" i="2"/>
  <c r="P446" i="2"/>
  <c r="R446" i="2" s="1"/>
  <c r="AP446" i="2" s="1"/>
  <c r="P720" i="2"/>
  <c r="R720" i="2" s="1"/>
  <c r="AP720" i="2" s="1"/>
  <c r="A791" i="5"/>
  <c r="P791" i="2"/>
  <c r="A1121" i="5"/>
  <c r="P1121" i="2"/>
  <c r="R1121" i="2" s="1"/>
  <c r="AP1121" i="2" s="1"/>
  <c r="P58" i="2"/>
  <c r="P59" i="2"/>
  <c r="Q59" i="2" s="1"/>
  <c r="P90" i="2"/>
  <c r="S90" i="2" s="1"/>
  <c r="P91" i="2"/>
  <c r="P140" i="2"/>
  <c r="P188" i="2"/>
  <c r="R188" i="2" s="1"/>
  <c r="AP188" i="2" s="1"/>
  <c r="P202" i="2"/>
  <c r="P218" i="2"/>
  <c r="Q218" i="2" s="1"/>
  <c r="P226" i="2"/>
  <c r="Q226" i="2" s="1"/>
  <c r="P240" i="2"/>
  <c r="P242" i="2"/>
  <c r="Q242" i="2" s="1"/>
  <c r="P256" i="2"/>
  <c r="Q256" i="2" s="1"/>
  <c r="P258" i="2"/>
  <c r="Q258" i="2" s="1"/>
  <c r="P278" i="2"/>
  <c r="P280" i="2"/>
  <c r="Q280" i="2" s="1"/>
  <c r="P296" i="2"/>
  <c r="P302" i="2"/>
  <c r="R302" i="2" s="1"/>
  <c r="AP302" i="2" s="1"/>
  <c r="P318" i="2"/>
  <c r="E330" i="5"/>
  <c r="T330" i="2"/>
  <c r="AA330" i="2" s="1"/>
  <c r="T332" i="2"/>
  <c r="P346" i="2"/>
  <c r="E362" i="5"/>
  <c r="T362" i="2"/>
  <c r="T364" i="2"/>
  <c r="P378" i="2"/>
  <c r="E394" i="5"/>
  <c r="T394" i="2"/>
  <c r="AA394" i="2" s="1"/>
  <c r="T396" i="2"/>
  <c r="P436" i="2"/>
  <c r="P444" i="2"/>
  <c r="Q444" i="2" s="1"/>
  <c r="P466" i="2"/>
  <c r="P474" i="2"/>
  <c r="Q474" i="2" s="1"/>
  <c r="E484" i="5"/>
  <c r="T484" i="2"/>
  <c r="A490" i="5"/>
  <c r="P490" i="2"/>
  <c r="A504" i="5"/>
  <c r="P504" i="2"/>
  <c r="R504" i="2" s="1"/>
  <c r="AP504" i="2" s="1"/>
  <c r="P631" i="2"/>
  <c r="P647" i="2"/>
  <c r="R647" i="2" s="1"/>
  <c r="AP647" i="2" s="1"/>
  <c r="P663" i="2"/>
  <c r="P724" i="2"/>
  <c r="R724" i="2" s="1"/>
  <c r="AP724" i="2" s="1"/>
  <c r="A798" i="5"/>
  <c r="P798" i="2"/>
  <c r="S798" i="2" s="1"/>
  <c r="A799" i="5"/>
  <c r="P799" i="2"/>
  <c r="R799" i="2" s="1"/>
  <c r="AP799" i="2" s="1"/>
  <c r="A815" i="5"/>
  <c r="P815" i="2"/>
  <c r="A819" i="5"/>
  <c r="P819" i="2"/>
  <c r="Q819" i="2" s="1"/>
  <c r="A826" i="5"/>
  <c r="P826" i="2"/>
  <c r="P1393" i="2"/>
  <c r="P12" i="2"/>
  <c r="P44" i="2"/>
  <c r="P64" i="2"/>
  <c r="P76" i="2"/>
  <c r="P80" i="2"/>
  <c r="R80" i="2" s="1"/>
  <c r="AP80" i="2" s="1"/>
  <c r="P96" i="2"/>
  <c r="P210" i="2"/>
  <c r="Q210" i="2" s="1"/>
  <c r="P338" i="2"/>
  <c r="S338" i="2" s="1"/>
  <c r="E354" i="5"/>
  <c r="T354" i="2"/>
  <c r="P370" i="2"/>
  <c r="P402" i="2"/>
  <c r="P426" i="2"/>
  <c r="Q426" i="2" s="1"/>
  <c r="E436" i="5"/>
  <c r="T436" i="2"/>
  <c r="A496" i="5"/>
  <c r="P496" i="2"/>
  <c r="S496" i="2" s="1"/>
  <c r="A774" i="5"/>
  <c r="P774" i="2"/>
  <c r="A822" i="5"/>
  <c r="P822" i="2"/>
  <c r="A1081" i="5"/>
  <c r="P1081" i="2"/>
  <c r="P32" i="2"/>
  <c r="P60" i="2"/>
  <c r="Q60" i="2" s="1"/>
  <c r="P92" i="2"/>
  <c r="P156" i="2"/>
  <c r="S156" i="2" s="1"/>
  <c r="P204" i="2"/>
  <c r="Q204" i="2" s="1"/>
  <c r="A214" i="5"/>
  <c r="P214" i="2"/>
  <c r="P216" i="2"/>
  <c r="R216" i="2" s="1"/>
  <c r="AP216" i="2" s="1"/>
  <c r="T240" i="2"/>
  <c r="AK240" i="2" s="1"/>
  <c r="T256" i="2"/>
  <c r="U256" i="2" s="1"/>
  <c r="A266" i="5"/>
  <c r="P266" i="2"/>
  <c r="Q266" i="2" s="1"/>
  <c r="E272" i="5"/>
  <c r="T272" i="2"/>
  <c r="U272" i="2" s="1"/>
  <c r="P282" i="2"/>
  <c r="Q282" i="2" s="1"/>
  <c r="P310" i="2"/>
  <c r="E338" i="5"/>
  <c r="T338" i="2"/>
  <c r="AA338" i="2" s="1"/>
  <c r="T340" i="2"/>
  <c r="AF340" i="2" s="1"/>
  <c r="P354" i="2"/>
  <c r="R354" i="2" s="1"/>
  <c r="AP354" i="2" s="1"/>
  <c r="E370" i="5"/>
  <c r="T370" i="2"/>
  <c r="T372" i="2"/>
  <c r="AK372" i="2" s="1"/>
  <c r="P386" i="2"/>
  <c r="Q386" i="2" s="1"/>
  <c r="E402" i="5"/>
  <c r="T402" i="2"/>
  <c r="AA402" i="2" s="1"/>
  <c r="T404" i="2"/>
  <c r="AK404" i="2" s="1"/>
  <c r="P414" i="2"/>
  <c r="P418" i="2"/>
  <c r="T420" i="2"/>
  <c r="P422" i="2"/>
  <c r="Q422" i="2" s="1"/>
  <c r="T444" i="2"/>
  <c r="AF444" i="2" s="1"/>
  <c r="P458" i="2"/>
  <c r="P484" i="2"/>
  <c r="P502" i="2"/>
  <c r="Q502" i="2" s="1"/>
  <c r="P543" i="2"/>
  <c r="P544" i="2"/>
  <c r="P635" i="2"/>
  <c r="P651" i="2"/>
  <c r="S651" i="2" s="1"/>
  <c r="P667" i="2"/>
  <c r="P683" i="2"/>
  <c r="P699" i="2"/>
  <c r="Q699" i="2" s="1"/>
  <c r="P715" i="2"/>
  <c r="S715" i="2" s="1"/>
  <c r="A727" i="5"/>
  <c r="P727" i="2"/>
  <c r="P739" i="2"/>
  <c r="Q739" i="2" s="1"/>
  <c r="A758" i="5"/>
  <c r="P758" i="2"/>
  <c r="P810" i="2"/>
  <c r="R810" i="2" s="1"/>
  <c r="AP810" i="2" s="1"/>
  <c r="A838" i="5"/>
  <c r="P838" i="2"/>
  <c r="R838" i="2" s="1"/>
  <c r="AP838" i="2" s="1"/>
  <c r="A855" i="5"/>
  <c r="P855" i="2"/>
  <c r="P867" i="2"/>
  <c r="Q867" i="2" s="1"/>
  <c r="A1085" i="5"/>
  <c r="P1085" i="2"/>
  <c r="A1105" i="5"/>
  <c r="P1105" i="2"/>
  <c r="A1133" i="5"/>
  <c r="P1133" i="2"/>
  <c r="Q1133" i="2" s="1"/>
  <c r="P428" i="2"/>
  <c r="P438" i="2"/>
  <c r="R438" i="2" s="1"/>
  <c r="AP438" i="2" s="1"/>
  <c r="P460" i="2"/>
  <c r="Q460" i="2" s="1"/>
  <c r="P478" i="2"/>
  <c r="S478" i="2" s="1"/>
  <c r="P482" i="2"/>
  <c r="P519" i="2"/>
  <c r="P535" i="2"/>
  <c r="S535" i="2" s="1"/>
  <c r="P551" i="2"/>
  <c r="Q551" i="2" s="1"/>
  <c r="A742" i="5"/>
  <c r="P742" i="2"/>
  <c r="S742" i="2" s="1"/>
  <c r="A783" i="5"/>
  <c r="P783" i="2"/>
  <c r="Q783" i="2" s="1"/>
  <c r="A806" i="5"/>
  <c r="P806" i="2"/>
  <c r="S806" i="2" s="1"/>
  <c r="A847" i="5"/>
  <c r="P847" i="2"/>
  <c r="A870" i="5"/>
  <c r="P870" i="2"/>
  <c r="E889" i="5"/>
  <c r="T889" i="2"/>
  <c r="U889" i="2" s="1"/>
  <c r="E893" i="5"/>
  <c r="T893" i="2"/>
  <c r="AF893" i="2" s="1"/>
  <c r="E897" i="5"/>
  <c r="T897" i="2"/>
  <c r="E901" i="5"/>
  <c r="T901" i="2"/>
  <c r="AK901" i="2" s="1"/>
  <c r="E905" i="5"/>
  <c r="T905" i="2"/>
  <c r="U905" i="2" s="1"/>
  <c r="E909" i="5"/>
  <c r="T909" i="2"/>
  <c r="AF909" i="2" s="1"/>
  <c r="E913" i="5"/>
  <c r="T913" i="2"/>
  <c r="U913" i="2" s="1"/>
  <c r="E917" i="5"/>
  <c r="T917" i="2"/>
  <c r="E921" i="5"/>
  <c r="T921" i="2"/>
  <c r="E925" i="5"/>
  <c r="T925" i="2"/>
  <c r="U925" i="2" s="1"/>
  <c r="E929" i="5"/>
  <c r="T929" i="2"/>
  <c r="A1057" i="5"/>
  <c r="P1057" i="2"/>
  <c r="R1057" i="2" s="1"/>
  <c r="AP1057" i="2" s="1"/>
  <c r="A1069" i="5"/>
  <c r="P1069" i="2"/>
  <c r="A1089" i="5"/>
  <c r="P1089" i="2"/>
  <c r="Q1089" i="2" s="1"/>
  <c r="A1101" i="5"/>
  <c r="P1101" i="2"/>
  <c r="A1137" i="5"/>
  <c r="P1137" i="2"/>
  <c r="R1137" i="2" s="1"/>
  <c r="AP1137" i="2" s="1"/>
  <c r="D1380" i="5"/>
  <c r="Z1380" i="2"/>
  <c r="P108" i="2"/>
  <c r="P148" i="2"/>
  <c r="S148" i="2" s="1"/>
  <c r="P172" i="2"/>
  <c r="Q172" i="2" s="1"/>
  <c r="P312" i="2"/>
  <c r="Q312" i="2" s="1"/>
  <c r="P320" i="2"/>
  <c r="Q320" i="2" s="1"/>
  <c r="P332" i="2"/>
  <c r="S332" i="2" s="1"/>
  <c r="P340" i="2"/>
  <c r="Q340" i="2" s="1"/>
  <c r="P348" i="2"/>
  <c r="P356" i="2"/>
  <c r="P364" i="2"/>
  <c r="P372" i="2"/>
  <c r="Q372" i="2" s="1"/>
  <c r="P380" i="2"/>
  <c r="S380" i="2" s="1"/>
  <c r="P388" i="2"/>
  <c r="Q388" i="2" s="1"/>
  <c r="P396" i="2"/>
  <c r="R396" i="2" s="1"/>
  <c r="AP396" i="2" s="1"/>
  <c r="P404" i="2"/>
  <c r="R404" i="2" s="1"/>
  <c r="AP404" i="2" s="1"/>
  <c r="P420" i="2"/>
  <c r="P430" i="2"/>
  <c r="P452" i="2"/>
  <c r="R452" i="2" s="1"/>
  <c r="AP452" i="2" s="1"/>
  <c r="P462" i="2"/>
  <c r="R462" i="2" s="1"/>
  <c r="AP462" i="2" s="1"/>
  <c r="P468" i="2"/>
  <c r="P470" i="2"/>
  <c r="P718" i="2"/>
  <c r="Q718" i="2" s="1"/>
  <c r="P722" i="2"/>
  <c r="S722" i="2" s="1"/>
  <c r="A767" i="5"/>
  <c r="P767" i="2"/>
  <c r="A790" i="5"/>
  <c r="P790" i="2"/>
  <c r="R790" i="2" s="1"/>
  <c r="AP790" i="2" s="1"/>
  <c r="A831" i="5"/>
  <c r="P831" i="2"/>
  <c r="S831" i="2" s="1"/>
  <c r="A854" i="5"/>
  <c r="P854" i="2"/>
  <c r="R854" i="2" s="1"/>
  <c r="AP854" i="2" s="1"/>
  <c r="A1065" i="5"/>
  <c r="P1065" i="2"/>
  <c r="A1097" i="5"/>
  <c r="P1097" i="2"/>
  <c r="Q1097" i="2" s="1"/>
  <c r="A1117" i="5"/>
  <c r="P1117" i="2"/>
  <c r="A1385" i="5"/>
  <c r="P1385" i="2"/>
  <c r="S1385" i="2" s="1"/>
  <c r="P1718" i="2"/>
  <c r="R1718" i="2" s="1"/>
  <c r="AP1718" i="2" s="1"/>
  <c r="P1722" i="2"/>
  <c r="E1759" i="5"/>
  <c r="T1759" i="2"/>
  <c r="U1759" i="2" s="1"/>
  <c r="E1763" i="5"/>
  <c r="T1763" i="2"/>
  <c r="AF1763" i="2" s="1"/>
  <c r="E1767" i="5"/>
  <c r="T1767" i="2"/>
  <c r="AK1767" i="2" s="1"/>
  <c r="E1771" i="5"/>
  <c r="T1771" i="2"/>
  <c r="E1775" i="5"/>
  <c r="T1775" i="2"/>
  <c r="AK1775" i="2" s="1"/>
  <c r="E1779" i="5"/>
  <c r="T1779" i="2"/>
  <c r="E1783" i="5"/>
  <c r="T1783" i="2"/>
  <c r="U1783" i="2" s="1"/>
  <c r="E1787" i="5"/>
  <c r="T1787" i="2"/>
  <c r="E1791" i="5"/>
  <c r="T1791" i="2"/>
  <c r="AF1791" i="2" s="1"/>
  <c r="E1795" i="5"/>
  <c r="T1795" i="2"/>
  <c r="AK1795" i="2" s="1"/>
  <c r="E1799" i="5"/>
  <c r="T1799" i="2"/>
  <c r="AF1799" i="2" s="1"/>
  <c r="E1803" i="5"/>
  <c r="T1803" i="2"/>
  <c r="AK1803" i="2" s="1"/>
  <c r="E1807" i="5"/>
  <c r="T1807" i="2"/>
  <c r="AF1807" i="2" s="1"/>
  <c r="E1811" i="5"/>
  <c r="T1811" i="2"/>
  <c r="E1815" i="5"/>
  <c r="T1815" i="2"/>
  <c r="AK1815" i="2" s="1"/>
  <c r="E1819" i="5"/>
  <c r="T1819" i="2"/>
  <c r="E1823" i="5"/>
  <c r="T1823" i="2"/>
  <c r="AF1823" i="2" s="1"/>
  <c r="E1827" i="5"/>
  <c r="T1827" i="2"/>
  <c r="AF1827" i="2" s="1"/>
  <c r="E1831" i="5"/>
  <c r="T1831" i="2"/>
  <c r="U1831" i="2" s="1"/>
  <c r="E1835" i="5"/>
  <c r="T1835" i="2"/>
  <c r="E1843" i="5"/>
  <c r="T1843" i="2"/>
  <c r="AK1843" i="2" s="1"/>
  <c r="E2020" i="5"/>
  <c r="T2020" i="2"/>
  <c r="U2020" i="2" s="1"/>
  <c r="P2270" i="2"/>
  <c r="Q2270" i="2" s="1"/>
  <c r="A1113" i="5"/>
  <c r="P1113" i="2"/>
  <c r="R1113" i="2" s="1"/>
  <c r="AP1113" i="2" s="1"/>
  <c r="A1129" i="5"/>
  <c r="P1129" i="2"/>
  <c r="P1702" i="2"/>
  <c r="R1702" i="2" s="1"/>
  <c r="AP1702" i="2" s="1"/>
  <c r="P476" i="2"/>
  <c r="R476" i="2" s="1"/>
  <c r="AP476" i="2" s="1"/>
  <c r="P486" i="2"/>
  <c r="R486" i="2" s="1"/>
  <c r="AP486" i="2" s="1"/>
  <c r="P509" i="2"/>
  <c r="Q509" i="2" s="1"/>
  <c r="P510" i="2"/>
  <c r="S510" i="2" s="1"/>
  <c r="P517" i="2"/>
  <c r="P518" i="2"/>
  <c r="R518" i="2" s="1"/>
  <c r="AP518" i="2" s="1"/>
  <c r="P525" i="2"/>
  <c r="P526" i="2"/>
  <c r="P533" i="2"/>
  <c r="P534" i="2"/>
  <c r="R534" i="2" s="1"/>
  <c r="AP534" i="2" s="1"/>
  <c r="P541" i="2"/>
  <c r="P542" i="2"/>
  <c r="P549" i="2"/>
  <c r="R549" i="2" s="1"/>
  <c r="AP549" i="2" s="1"/>
  <c r="P550" i="2"/>
  <c r="R550" i="2" s="1"/>
  <c r="AP550" i="2" s="1"/>
  <c r="P557" i="2"/>
  <c r="R557" i="2" s="1"/>
  <c r="AP557" i="2" s="1"/>
  <c r="P559" i="2"/>
  <c r="P561" i="2"/>
  <c r="S561" i="2" s="1"/>
  <c r="P563" i="2"/>
  <c r="Q563" i="2" s="1"/>
  <c r="P565" i="2"/>
  <c r="Q565" i="2" s="1"/>
  <c r="P567" i="2"/>
  <c r="P569" i="2"/>
  <c r="P571" i="2"/>
  <c r="P573" i="2"/>
  <c r="P575" i="2"/>
  <c r="P577" i="2"/>
  <c r="P579" i="2"/>
  <c r="P581" i="2"/>
  <c r="P583" i="2"/>
  <c r="P585" i="2"/>
  <c r="P587" i="2"/>
  <c r="R587" i="2" s="1"/>
  <c r="AP587" i="2" s="1"/>
  <c r="P589" i="2"/>
  <c r="P591" i="2"/>
  <c r="P593" i="2"/>
  <c r="P595" i="2"/>
  <c r="P597" i="2"/>
  <c r="Q597" i="2" s="1"/>
  <c r="P599" i="2"/>
  <c r="P601" i="2"/>
  <c r="P603" i="2"/>
  <c r="Q603" i="2" s="1"/>
  <c r="P605" i="2"/>
  <c r="P607" i="2"/>
  <c r="P609" i="2"/>
  <c r="P611" i="2"/>
  <c r="P613" i="2"/>
  <c r="S613" i="2" s="1"/>
  <c r="P615" i="2"/>
  <c r="P617" i="2"/>
  <c r="Q617" i="2" s="1"/>
  <c r="E887" i="5"/>
  <c r="T887" i="2"/>
  <c r="E891" i="5"/>
  <c r="T891" i="2"/>
  <c r="AK891" i="2" s="1"/>
  <c r="E895" i="5"/>
  <c r="T895" i="2"/>
  <c r="E899" i="5"/>
  <c r="T899" i="2"/>
  <c r="AF899" i="2" s="1"/>
  <c r="E903" i="5"/>
  <c r="T903" i="2"/>
  <c r="E907" i="5"/>
  <c r="T907" i="2"/>
  <c r="E911" i="5"/>
  <c r="T911" i="2"/>
  <c r="E915" i="5"/>
  <c r="T915" i="2"/>
  <c r="E919" i="5"/>
  <c r="T919" i="2"/>
  <c r="E923" i="5"/>
  <c r="T923" i="2"/>
  <c r="E927" i="5"/>
  <c r="T927" i="2"/>
  <c r="E931" i="5"/>
  <c r="T931" i="2"/>
  <c r="U931" i="2" s="1"/>
  <c r="A1061" i="5"/>
  <c r="P1061" i="2"/>
  <c r="R1061" i="2" s="1"/>
  <c r="AP1061" i="2" s="1"/>
  <c r="A1077" i="5"/>
  <c r="P1077" i="2"/>
  <c r="R1077" i="2" s="1"/>
  <c r="AP1077" i="2" s="1"/>
  <c r="A1093" i="5"/>
  <c r="P1093" i="2"/>
  <c r="S1093" i="2" s="1"/>
  <c r="A1109" i="5"/>
  <c r="P1109" i="2"/>
  <c r="S1109" i="2" s="1"/>
  <c r="A1125" i="5"/>
  <c r="P1125" i="2"/>
  <c r="P1477" i="2"/>
  <c r="P1583" i="2"/>
  <c r="S1583" i="2" s="1"/>
  <c r="P1591" i="2"/>
  <c r="P1599" i="2"/>
  <c r="S1599" i="2" s="1"/>
  <c r="P1607" i="2"/>
  <c r="R1607" i="2" s="1"/>
  <c r="AP1607" i="2" s="1"/>
  <c r="P1615" i="2"/>
  <c r="Q1615" i="2" s="1"/>
  <c r="P1623" i="2"/>
  <c r="Q1623" i="2" s="1"/>
  <c r="P1631" i="2"/>
  <c r="R1631" i="2" s="1"/>
  <c r="AP1631" i="2" s="1"/>
  <c r="P1639" i="2"/>
  <c r="P1647" i="2"/>
  <c r="S1647" i="2" s="1"/>
  <c r="P1659" i="2"/>
  <c r="S1659" i="2" s="1"/>
  <c r="P1698" i="2"/>
  <c r="R1698" i="2" s="1"/>
  <c r="AP1698" i="2" s="1"/>
  <c r="A1760" i="5"/>
  <c r="P1760" i="2"/>
  <c r="Q1760" i="2" s="1"/>
  <c r="A1764" i="5"/>
  <c r="P1764" i="2"/>
  <c r="Q1764" i="2" s="1"/>
  <c r="A1768" i="5"/>
  <c r="P1768" i="2"/>
  <c r="R1768" i="2" s="1"/>
  <c r="AP1768" i="2" s="1"/>
  <c r="A1772" i="5"/>
  <c r="P1772" i="2"/>
  <c r="R1772" i="2" s="1"/>
  <c r="AP1772" i="2" s="1"/>
  <c r="A1776" i="5"/>
  <c r="P1776" i="2"/>
  <c r="R1776" i="2" s="1"/>
  <c r="AP1776" i="2" s="1"/>
  <c r="A1780" i="5"/>
  <c r="P1780" i="2"/>
  <c r="S1780" i="2" s="1"/>
  <c r="A1784" i="5"/>
  <c r="P1784" i="2"/>
  <c r="S1784" i="2" s="1"/>
  <c r="A1788" i="5"/>
  <c r="P1788" i="2"/>
  <c r="S1788" i="2" s="1"/>
  <c r="A1792" i="5"/>
  <c r="P1792" i="2"/>
  <c r="R1792" i="2" s="1"/>
  <c r="AP1792" i="2" s="1"/>
  <c r="P2214" i="2"/>
  <c r="Q2214" i="2" s="1"/>
  <c r="P1482" i="2"/>
  <c r="Q1482" i="2" s="1"/>
  <c r="P1500" i="2"/>
  <c r="P1505" i="2"/>
  <c r="S1505" i="2" s="1"/>
  <c r="P1506" i="2"/>
  <c r="P1581" i="2"/>
  <c r="P1585" i="2"/>
  <c r="P1589" i="2"/>
  <c r="Q1589" i="2" s="1"/>
  <c r="P1593" i="2"/>
  <c r="S1593" i="2" s="1"/>
  <c r="P1597" i="2"/>
  <c r="R1597" i="2" s="1"/>
  <c r="AP1597" i="2" s="1"/>
  <c r="P1601" i="2"/>
  <c r="R1601" i="2" s="1"/>
  <c r="AP1601" i="2" s="1"/>
  <c r="P1605" i="2"/>
  <c r="S1605" i="2" s="1"/>
  <c r="P1609" i="2"/>
  <c r="R1609" i="2" s="1"/>
  <c r="AP1609" i="2" s="1"/>
  <c r="P1613" i="2"/>
  <c r="S1613" i="2" s="1"/>
  <c r="P1617" i="2"/>
  <c r="R1617" i="2" s="1"/>
  <c r="AP1617" i="2" s="1"/>
  <c r="P1621" i="2"/>
  <c r="Q1621" i="2" s="1"/>
  <c r="P1625" i="2"/>
  <c r="S1625" i="2" s="1"/>
  <c r="P1629" i="2"/>
  <c r="P1633" i="2"/>
  <c r="Q1633" i="2" s="1"/>
  <c r="P1637" i="2"/>
  <c r="Q1637" i="2" s="1"/>
  <c r="P1641" i="2"/>
  <c r="R1641" i="2" s="1"/>
  <c r="AP1641" i="2" s="1"/>
  <c r="P1645" i="2"/>
  <c r="S1645" i="2" s="1"/>
  <c r="P1649" i="2"/>
  <c r="P1653" i="2"/>
  <c r="Q1653" i="2" s="1"/>
  <c r="P1657" i="2"/>
  <c r="R1657" i="2" s="1"/>
  <c r="AP1657" i="2" s="1"/>
  <c r="P1661" i="2"/>
  <c r="Q1661" i="2" s="1"/>
  <c r="P1665" i="2"/>
  <c r="P1667" i="2"/>
  <c r="Q1667" i="2" s="1"/>
  <c r="P1686" i="2"/>
  <c r="P1706" i="2"/>
  <c r="R1706" i="2" s="1"/>
  <c r="AP1706" i="2" s="1"/>
  <c r="P1750" i="2"/>
  <c r="P1759" i="2"/>
  <c r="Q1759" i="2" s="1"/>
  <c r="P1763" i="2"/>
  <c r="S1763" i="2" s="1"/>
  <c r="P1767" i="2"/>
  <c r="Q1767" i="2" s="1"/>
  <c r="P1771" i="2"/>
  <c r="P1775" i="2"/>
  <c r="P1779" i="2"/>
  <c r="R1779" i="2" s="1"/>
  <c r="AP1779" i="2" s="1"/>
  <c r="P1783" i="2"/>
  <c r="S1783" i="2" s="1"/>
  <c r="P1787" i="2"/>
  <c r="R1787" i="2" s="1"/>
  <c r="AP1787" i="2" s="1"/>
  <c r="P1791" i="2"/>
  <c r="R1791" i="2" s="1"/>
  <c r="AP1791" i="2" s="1"/>
  <c r="P1795" i="2"/>
  <c r="P1799" i="2"/>
  <c r="R1799" i="2" s="1"/>
  <c r="AP1799" i="2" s="1"/>
  <c r="P1803" i="2"/>
  <c r="S1803" i="2" s="1"/>
  <c r="P1807" i="2"/>
  <c r="R1807" i="2" s="1"/>
  <c r="AP1807" i="2" s="1"/>
  <c r="P2117" i="2"/>
  <c r="R2117" i="2" s="1"/>
  <c r="AP2117" i="2" s="1"/>
  <c r="P2133" i="2"/>
  <c r="R2133" i="2" s="1"/>
  <c r="AP2133" i="2" s="1"/>
  <c r="P1375" i="2"/>
  <c r="R1375" i="2" s="1"/>
  <c r="AP1375" i="2" s="1"/>
  <c r="P1379" i="2"/>
  <c r="P1383" i="2"/>
  <c r="P1387" i="2"/>
  <c r="Q1387" i="2" s="1"/>
  <c r="P1391" i="2"/>
  <c r="P1441" i="2"/>
  <c r="S1441" i="2" s="1"/>
  <c r="P1442" i="2"/>
  <c r="S1442" i="2" s="1"/>
  <c r="P1480" i="2"/>
  <c r="S1480" i="2" s="1"/>
  <c r="P1486" i="2"/>
  <c r="Q1486" i="2" s="1"/>
  <c r="P1498" i="2"/>
  <c r="Q1498" i="2" s="1"/>
  <c r="P1520" i="2"/>
  <c r="P1670" i="2"/>
  <c r="R1670" i="2" s="1"/>
  <c r="AP1670" i="2" s="1"/>
  <c r="P1690" i="2"/>
  <c r="R1690" i="2" s="1"/>
  <c r="AP1690" i="2" s="1"/>
  <c r="P1714" i="2"/>
  <c r="P1734" i="2"/>
  <c r="R1734" i="2" s="1"/>
  <c r="AP1734" i="2" s="1"/>
  <c r="P1754" i="2"/>
  <c r="R1754" i="2" s="1"/>
  <c r="AP1754" i="2" s="1"/>
  <c r="P2115" i="2"/>
  <c r="S2115" i="2" s="1"/>
  <c r="P2131" i="2"/>
  <c r="Q2131" i="2" s="1"/>
  <c r="P1678" i="2"/>
  <c r="P1694" i="2"/>
  <c r="R1694" i="2" s="1"/>
  <c r="AP1694" i="2" s="1"/>
  <c r="P1710" i="2"/>
  <c r="P1726" i="2"/>
  <c r="S1726" i="2" s="1"/>
  <c r="P1742" i="2"/>
  <c r="A1796" i="5"/>
  <c r="P1796" i="2"/>
  <c r="S1796" i="2" s="1"/>
  <c r="A1800" i="5"/>
  <c r="P1800" i="2"/>
  <c r="A1804" i="5"/>
  <c r="P1804" i="2"/>
  <c r="R1804" i="2" s="1"/>
  <c r="AP1804" i="2" s="1"/>
  <c r="A1808" i="5"/>
  <c r="P1808" i="2"/>
  <c r="R1808" i="2" s="1"/>
  <c r="AP1808" i="2" s="1"/>
  <c r="A1812" i="5"/>
  <c r="P1812" i="2"/>
  <c r="R1812" i="2" s="1"/>
  <c r="AP1812" i="2" s="1"/>
  <c r="A1816" i="5"/>
  <c r="P1816" i="2"/>
  <c r="Q1816" i="2" s="1"/>
  <c r="A1820" i="5"/>
  <c r="P1820" i="2"/>
  <c r="S1820" i="2" s="1"/>
  <c r="A1824" i="5"/>
  <c r="P1824" i="2"/>
  <c r="A1828" i="5"/>
  <c r="P1828" i="2"/>
  <c r="Q1828" i="2" s="1"/>
  <c r="A1832" i="5"/>
  <c r="P1832" i="2"/>
  <c r="P2113" i="2"/>
  <c r="S2113" i="2" s="1"/>
  <c r="P2121" i="2"/>
  <c r="S2121" i="2" s="1"/>
  <c r="P2129" i="2"/>
  <c r="Q2129" i="2" s="1"/>
  <c r="P2137" i="2"/>
  <c r="S2137" i="2" s="1"/>
  <c r="A2146" i="5"/>
  <c r="P2146" i="2"/>
  <c r="Q2146" i="2" s="1"/>
  <c r="P2204" i="2"/>
  <c r="Q2204" i="2" s="1"/>
  <c r="P2206" i="2"/>
  <c r="R2206" i="2" s="1"/>
  <c r="AP2206" i="2" s="1"/>
  <c r="P2208" i="2"/>
  <c r="Q2208" i="2" s="1"/>
  <c r="P2236" i="2"/>
  <c r="Q2236" i="2" s="1"/>
  <c r="P2312" i="2"/>
  <c r="Q2312" i="2" s="1"/>
  <c r="P2357" i="2"/>
  <c r="Q2357" i="2" s="1"/>
  <c r="P2218" i="2"/>
  <c r="R2218" i="2" s="1"/>
  <c r="AP2218" i="2" s="1"/>
  <c r="P2222" i="2"/>
  <c r="R2222" i="2" s="1"/>
  <c r="AP2222" i="2" s="1"/>
  <c r="P2224" i="2"/>
  <c r="Q2224" i="2" s="1"/>
  <c r="P2252" i="2"/>
  <c r="Q2252" i="2" s="1"/>
  <c r="P2274" i="2"/>
  <c r="R2274" i="2" s="1"/>
  <c r="AP2274" i="2" s="1"/>
  <c r="P2292" i="2"/>
  <c r="Q2292" i="2" s="1"/>
  <c r="P2349" i="2"/>
  <c r="Q2349" i="2" s="1"/>
  <c r="P2230" i="2"/>
  <c r="S2230" i="2" s="1"/>
  <c r="P2234" i="2"/>
  <c r="R2234" i="2" s="1"/>
  <c r="AP2234" i="2" s="1"/>
  <c r="P2240" i="2"/>
  <c r="Q2240" i="2" s="1"/>
  <c r="P2262" i="2"/>
  <c r="Q2262" i="2" s="1"/>
  <c r="P2308" i="2"/>
  <c r="Q2308" i="2" s="1"/>
  <c r="P2373" i="2"/>
  <c r="S2373" i="2" s="1"/>
  <c r="P2020" i="2"/>
  <c r="Q2020" i="2" s="1"/>
  <c r="P2220" i="2"/>
  <c r="Q2220" i="2" s="1"/>
  <c r="P2228" i="2"/>
  <c r="Q2228" i="2" s="1"/>
  <c r="P2246" i="2"/>
  <c r="Q2246" i="2" s="1"/>
  <c r="P2264" i="2"/>
  <c r="Q2264" i="2" s="1"/>
  <c r="P2296" i="2"/>
  <c r="Q2296" i="2" s="1"/>
  <c r="P2365" i="2"/>
  <c r="R2365" i="2" s="1"/>
  <c r="AP2365" i="2" s="1"/>
  <c r="P2210" i="2"/>
  <c r="R2210" i="2" s="1"/>
  <c r="AP2210" i="2" s="1"/>
  <c r="P2216" i="2"/>
  <c r="Q2216" i="2" s="1"/>
  <c r="P2226" i="2"/>
  <c r="R2226" i="2" s="1"/>
  <c r="AP2226" i="2" s="1"/>
  <c r="P2232" i="2"/>
  <c r="Q2232" i="2" s="1"/>
  <c r="P2242" i="2"/>
  <c r="R2242" i="2" s="1"/>
  <c r="AP2242" i="2" s="1"/>
  <c r="P2248" i="2"/>
  <c r="Q2248" i="2" s="1"/>
  <c r="P2258" i="2"/>
  <c r="R2258" i="2" s="1"/>
  <c r="AP2258" i="2" s="1"/>
  <c r="P2268" i="2"/>
  <c r="Q2268" i="2" s="1"/>
  <c r="P2286" i="2"/>
  <c r="Q2286" i="2" s="1"/>
  <c r="P2290" i="2"/>
  <c r="R2290" i="2" s="1"/>
  <c r="AP2290" i="2" s="1"/>
  <c r="P2294" i="2"/>
  <c r="Q2294" i="2" s="1"/>
  <c r="P2300" i="2"/>
  <c r="Q2300" i="2" s="1"/>
  <c r="P2310" i="2"/>
  <c r="Q2310" i="2" s="1"/>
  <c r="P2318" i="2"/>
  <c r="Q2318" i="2" s="1"/>
  <c r="P2326" i="2"/>
  <c r="R2326" i="2" s="1"/>
  <c r="AP2326" i="2" s="1"/>
  <c r="P2334" i="2"/>
  <c r="R2334" i="2" s="1"/>
  <c r="AP2334" i="2" s="1"/>
  <c r="P2336" i="2"/>
  <c r="S2336" i="2" s="1"/>
  <c r="P2338" i="2"/>
  <c r="Q2338" i="2" s="1"/>
  <c r="P2340" i="2"/>
  <c r="Q2340" i="2" s="1"/>
  <c r="P2342" i="2"/>
  <c r="R2342" i="2" s="1"/>
  <c r="AP2342" i="2" s="1"/>
  <c r="P2344" i="2"/>
  <c r="R2344" i="2" s="1"/>
  <c r="AP2344" i="2" s="1"/>
  <c r="P2346" i="2"/>
  <c r="S2346" i="2" s="1"/>
  <c r="P2351" i="2"/>
  <c r="R2351" i="2" s="1"/>
  <c r="AP2351" i="2" s="1"/>
  <c r="P2359" i="2"/>
  <c r="P2367" i="2"/>
  <c r="S2367" i="2" s="1"/>
  <c r="P2375" i="2"/>
  <c r="S2375" i="2" s="1"/>
  <c r="P2383" i="2"/>
  <c r="R2383" i="2" s="1"/>
  <c r="AP2383" i="2" s="1"/>
  <c r="P2244" i="2"/>
  <c r="Q2244" i="2" s="1"/>
  <c r="P2254" i="2"/>
  <c r="Q2254" i="2" s="1"/>
  <c r="P2260" i="2"/>
  <c r="Q2260" i="2" s="1"/>
  <c r="P2276" i="2"/>
  <c r="P2284" i="2"/>
  <c r="Q2284" i="2" s="1"/>
  <c r="P2298" i="2"/>
  <c r="Q2298" i="2" s="1"/>
  <c r="P2304" i="2"/>
  <c r="Q2304" i="2" s="1"/>
  <c r="P2314" i="2"/>
  <c r="P2320" i="2"/>
  <c r="S2320" i="2" s="1"/>
  <c r="P2328" i="2"/>
  <c r="R2328" i="2" s="1"/>
  <c r="AP2328" i="2" s="1"/>
  <c r="A2394" i="5"/>
  <c r="P2394" i="2"/>
  <c r="Q2394" i="2" s="1"/>
  <c r="P2353" i="2"/>
  <c r="R2353" i="2" s="1"/>
  <c r="AP2353" i="2" s="1"/>
  <c r="P2361" i="2"/>
  <c r="Q2361" i="2" s="1"/>
  <c r="P2369" i="2"/>
  <c r="R2369" i="2" s="1"/>
  <c r="AP2369" i="2" s="1"/>
  <c r="P2377" i="2"/>
  <c r="S2377" i="2" s="1"/>
  <c r="P2385" i="2"/>
  <c r="R2385" i="2" s="1"/>
  <c r="AP2385" i="2" s="1"/>
  <c r="A2408" i="5"/>
  <c r="P2408" i="2"/>
  <c r="R2408" i="2" s="1"/>
  <c r="AP2408" i="2" s="1"/>
  <c r="P2266" i="2"/>
  <c r="R2266" i="2" s="1"/>
  <c r="AP2266" i="2" s="1"/>
  <c r="P2272" i="2"/>
  <c r="Q2272" i="2" s="1"/>
  <c r="P2282" i="2"/>
  <c r="R2282" i="2" s="1"/>
  <c r="AP2282" i="2" s="1"/>
  <c r="P2288" i="2"/>
  <c r="Q2288" i="2" s="1"/>
  <c r="P2317" i="2"/>
  <c r="Q2317" i="2" s="1"/>
  <c r="P2319" i="2"/>
  <c r="R2319" i="2" s="1"/>
  <c r="AP2319" i="2" s="1"/>
  <c r="P2321" i="2"/>
  <c r="Q2321" i="2" s="1"/>
  <c r="P2323" i="2"/>
  <c r="R2323" i="2" s="1"/>
  <c r="AP2323" i="2" s="1"/>
  <c r="P2325" i="2"/>
  <c r="Q2325" i="2" s="1"/>
  <c r="P2327" i="2"/>
  <c r="P2329" i="2"/>
  <c r="Q2329" i="2" s="1"/>
  <c r="P2331" i="2"/>
  <c r="R2331" i="2" s="1"/>
  <c r="AP2331" i="2" s="1"/>
  <c r="P2333" i="2"/>
  <c r="Q2333" i="2" s="1"/>
  <c r="P2335" i="2"/>
  <c r="P2337" i="2"/>
  <c r="Q2337" i="2" s="1"/>
  <c r="P2339" i="2"/>
  <c r="Q2339" i="2" s="1"/>
  <c r="P2341" i="2"/>
  <c r="Q2341" i="2" s="1"/>
  <c r="P2343" i="2"/>
  <c r="R2343" i="2" s="1"/>
  <c r="AP2343" i="2" s="1"/>
  <c r="P2345" i="2"/>
  <c r="Q2345" i="2" s="1"/>
  <c r="P2347" i="2"/>
  <c r="Q2347" i="2" s="1"/>
  <c r="P2355" i="2"/>
  <c r="R2355" i="2" s="1"/>
  <c r="AP2355" i="2" s="1"/>
  <c r="P2363" i="2"/>
  <c r="S2363" i="2" s="1"/>
  <c r="P2371" i="2"/>
  <c r="S2371" i="2" s="1"/>
  <c r="P2379" i="2"/>
  <c r="S2379" i="2" s="1"/>
  <c r="P2391" i="2"/>
  <c r="R2391" i="2" s="1"/>
  <c r="AP2391" i="2" s="1"/>
  <c r="A2396" i="5"/>
  <c r="P2396" i="2"/>
  <c r="Q2396" i="2" s="1"/>
  <c r="P2398" i="2"/>
  <c r="S2398" i="2" s="1"/>
  <c r="A2404" i="5"/>
  <c r="P2404" i="2"/>
  <c r="P2348" i="2"/>
  <c r="R2348" i="2" s="1"/>
  <c r="AP2348" i="2" s="1"/>
  <c r="P2350" i="2"/>
  <c r="R2350" i="2" s="1"/>
  <c r="AP2350" i="2" s="1"/>
  <c r="P2352" i="2"/>
  <c r="Q2352" i="2" s="1"/>
  <c r="P2354" i="2"/>
  <c r="S2354" i="2" s="1"/>
  <c r="P2356" i="2"/>
  <c r="R2356" i="2" s="1"/>
  <c r="AP2356" i="2" s="1"/>
  <c r="P2358" i="2"/>
  <c r="R2358" i="2" s="1"/>
  <c r="AP2358" i="2" s="1"/>
  <c r="P2360" i="2"/>
  <c r="Q2360" i="2" s="1"/>
  <c r="P2362" i="2"/>
  <c r="R2362" i="2" s="1"/>
  <c r="AP2362" i="2" s="1"/>
  <c r="P2364" i="2"/>
  <c r="S2364" i="2" s="1"/>
  <c r="P2366" i="2"/>
  <c r="R2366" i="2" s="1"/>
  <c r="AP2366" i="2" s="1"/>
  <c r="P2368" i="2"/>
  <c r="S2368" i="2" s="1"/>
  <c r="P2370" i="2"/>
  <c r="R2370" i="2" s="1"/>
  <c r="AP2370" i="2" s="1"/>
  <c r="P2372" i="2"/>
  <c r="R2372" i="2" s="1"/>
  <c r="AP2372" i="2" s="1"/>
  <c r="P2374" i="2"/>
  <c r="R2374" i="2" s="1"/>
  <c r="AP2374" i="2" s="1"/>
  <c r="P2376" i="2"/>
  <c r="R2376" i="2" s="1"/>
  <c r="AP2376" i="2" s="1"/>
  <c r="P2378" i="2"/>
  <c r="R2378" i="2" s="1"/>
  <c r="AP2378" i="2" s="1"/>
  <c r="P2380" i="2"/>
  <c r="R2380" i="2" s="1"/>
  <c r="AP2380" i="2" s="1"/>
  <c r="P2382" i="2"/>
  <c r="R2382" i="2" s="1"/>
  <c r="AP2382" i="2" s="1"/>
  <c r="P2384" i="2"/>
  <c r="Q2384" i="2" s="1"/>
  <c r="P2389" i="2"/>
  <c r="S2389" i="2" s="1"/>
  <c r="A2400" i="5"/>
  <c r="P2400" i="2"/>
  <c r="S2400" i="2" s="1"/>
  <c r="P2476" i="2"/>
  <c r="P2386" i="2"/>
  <c r="S2386" i="2" s="1"/>
  <c r="P2388" i="2"/>
  <c r="R2388" i="2" s="1"/>
  <c r="AP2388" i="2" s="1"/>
  <c r="P2390" i="2"/>
  <c r="R2390" i="2" s="1"/>
  <c r="AP2390" i="2" s="1"/>
  <c r="P2392" i="2"/>
  <c r="Q2392" i="2" s="1"/>
  <c r="P2484" i="2"/>
  <c r="Q2484" i="2" s="1"/>
  <c r="B2" i="5"/>
  <c r="C2" i="4"/>
  <c r="E2" i="3"/>
  <c r="AK4" i="2"/>
  <c r="AF4" i="2"/>
  <c r="U4" i="2"/>
  <c r="E6" i="5"/>
  <c r="F6" i="4"/>
  <c r="T6" i="2"/>
  <c r="D8" i="5"/>
  <c r="E8" i="4"/>
  <c r="Z8" i="2"/>
  <c r="Y8" i="2"/>
  <c r="A17" i="5"/>
  <c r="B17" i="4"/>
  <c r="U18" i="2"/>
  <c r="AA18" i="2"/>
  <c r="AF18" i="2"/>
  <c r="AK18" i="2"/>
  <c r="D19" i="5"/>
  <c r="E19" i="4"/>
  <c r="Z19" i="2"/>
  <c r="Y19" i="2"/>
  <c r="E21" i="5"/>
  <c r="F21" i="4"/>
  <c r="T21" i="2"/>
  <c r="D24" i="5"/>
  <c r="E24" i="4"/>
  <c r="Z24" i="2"/>
  <c r="Y24" i="2"/>
  <c r="D29" i="5"/>
  <c r="E29" i="4"/>
  <c r="Z29" i="2"/>
  <c r="Y29" i="2"/>
  <c r="B34" i="5"/>
  <c r="C34" i="4"/>
  <c r="E38" i="5"/>
  <c r="F38" i="4"/>
  <c r="T38" i="2"/>
  <c r="D40" i="5"/>
  <c r="E40" i="4"/>
  <c r="Z40" i="2"/>
  <c r="Y40" i="2"/>
  <c r="A49" i="5"/>
  <c r="B49" i="4"/>
  <c r="D51" i="5"/>
  <c r="E51" i="4"/>
  <c r="Z51" i="2"/>
  <c r="Y51" i="2"/>
  <c r="E53" i="5"/>
  <c r="F53" i="4"/>
  <c r="T53" i="2"/>
  <c r="G54" i="4"/>
  <c r="R54" i="2"/>
  <c r="AP54" i="2" s="1"/>
  <c r="S54" i="2"/>
  <c r="Q54" i="2"/>
  <c r="A55" i="5"/>
  <c r="B55" i="4"/>
  <c r="D55" i="5"/>
  <c r="E55" i="4"/>
  <c r="Y55" i="2"/>
  <c r="Z55" i="2"/>
  <c r="E60" i="5"/>
  <c r="F60" i="4"/>
  <c r="T60" i="2"/>
  <c r="A65" i="5"/>
  <c r="B65" i="4"/>
  <c r="D72" i="5"/>
  <c r="E72" i="4"/>
  <c r="Z72" i="2"/>
  <c r="Y72" i="2"/>
  <c r="A81" i="5"/>
  <c r="B81" i="4"/>
  <c r="D83" i="5"/>
  <c r="E83" i="4"/>
  <c r="Z83" i="2"/>
  <c r="Y83" i="2"/>
  <c r="E85" i="5"/>
  <c r="F85" i="4"/>
  <c r="T85" i="2"/>
  <c r="G86" i="4"/>
  <c r="R86" i="2"/>
  <c r="AP86" i="2" s="1"/>
  <c r="S86" i="2"/>
  <c r="Q86" i="2"/>
  <c r="A87" i="5"/>
  <c r="B87" i="4"/>
  <c r="D87" i="5"/>
  <c r="E87" i="4"/>
  <c r="Y87" i="2"/>
  <c r="Z87" i="2"/>
  <c r="E92" i="5"/>
  <c r="F92" i="4"/>
  <c r="T92" i="2"/>
  <c r="A97" i="5"/>
  <c r="B97" i="4"/>
  <c r="D103" i="5"/>
  <c r="E103" i="4"/>
  <c r="Y103" i="2"/>
  <c r="Z103" i="2"/>
  <c r="AK128" i="2"/>
  <c r="AF128" i="2"/>
  <c r="AA128" i="2"/>
  <c r="U128" i="2"/>
  <c r="D143" i="5"/>
  <c r="E143" i="4"/>
  <c r="Y143" i="2"/>
  <c r="Z143" i="2"/>
  <c r="AK152" i="2"/>
  <c r="AF152" i="2"/>
  <c r="U152" i="2"/>
  <c r="E167" i="4"/>
  <c r="D167" i="5"/>
  <c r="Y167" i="2"/>
  <c r="Z167" i="2"/>
  <c r="AK192" i="2"/>
  <c r="AF192" i="2"/>
  <c r="AA192" i="2"/>
  <c r="U192" i="2"/>
  <c r="D207" i="5"/>
  <c r="Y207" i="2"/>
  <c r="Z207" i="2"/>
  <c r="D215" i="5"/>
  <c r="Y215" i="2"/>
  <c r="Z215" i="2"/>
  <c r="D223" i="5"/>
  <c r="Y223" i="2"/>
  <c r="Z223" i="2"/>
  <c r="D287" i="5"/>
  <c r="Y287" i="2"/>
  <c r="Z287" i="2"/>
  <c r="C4" i="5"/>
  <c r="D4" i="4"/>
  <c r="C6" i="5"/>
  <c r="D6" i="4"/>
  <c r="C7" i="5"/>
  <c r="D7" i="4"/>
  <c r="E11" i="5"/>
  <c r="F11" i="4"/>
  <c r="T11" i="2"/>
  <c r="B12" i="5"/>
  <c r="C12" i="4"/>
  <c r="G14" i="4"/>
  <c r="R14" i="2"/>
  <c r="AP14" i="2" s="1"/>
  <c r="S14" i="2"/>
  <c r="Q14" i="2"/>
  <c r="B18" i="5"/>
  <c r="C18" i="4"/>
  <c r="AK20" i="2"/>
  <c r="AF20" i="2"/>
  <c r="U20" i="2"/>
  <c r="C23" i="5"/>
  <c r="D23" i="4"/>
  <c r="E27" i="5"/>
  <c r="F27" i="4"/>
  <c r="T27" i="2"/>
  <c r="B28" i="5"/>
  <c r="C28" i="4"/>
  <c r="C33" i="5"/>
  <c r="D33" i="4"/>
  <c r="C36" i="5"/>
  <c r="D36" i="4"/>
  <c r="C38" i="5"/>
  <c r="D38" i="4"/>
  <c r="C39" i="5"/>
  <c r="D39" i="4"/>
  <c r="E43" i="5"/>
  <c r="F43" i="4"/>
  <c r="T43" i="2"/>
  <c r="B44" i="5"/>
  <c r="C44" i="4"/>
  <c r="G46" i="4"/>
  <c r="R46" i="2"/>
  <c r="AP46" i="2" s="1"/>
  <c r="S46" i="2"/>
  <c r="Q46" i="2"/>
  <c r="B50" i="5"/>
  <c r="C50" i="4"/>
  <c r="D57" i="5"/>
  <c r="E57" i="4"/>
  <c r="Y57" i="2"/>
  <c r="Z57" i="2"/>
  <c r="D58" i="5"/>
  <c r="E58" i="4"/>
  <c r="Z58" i="2"/>
  <c r="Y58" i="2"/>
  <c r="D59" i="5"/>
  <c r="E59" i="4"/>
  <c r="Z59" i="2"/>
  <c r="Y59" i="2"/>
  <c r="D67" i="5"/>
  <c r="E67" i="4"/>
  <c r="Y67" i="2"/>
  <c r="Z67" i="2"/>
  <c r="E69" i="5"/>
  <c r="F69" i="4"/>
  <c r="T69" i="2"/>
  <c r="C71" i="5"/>
  <c r="D71" i="4"/>
  <c r="E75" i="5"/>
  <c r="F75" i="4"/>
  <c r="T75" i="2"/>
  <c r="B76" i="5"/>
  <c r="C76" i="4"/>
  <c r="G78" i="4"/>
  <c r="R78" i="2"/>
  <c r="AP78" i="2" s="1"/>
  <c r="S78" i="2"/>
  <c r="Q78" i="2"/>
  <c r="B82" i="5"/>
  <c r="C82" i="4"/>
  <c r="D89" i="5"/>
  <c r="E89" i="4"/>
  <c r="Y89" i="2"/>
  <c r="Z89" i="2"/>
  <c r="D90" i="5"/>
  <c r="E90" i="4"/>
  <c r="Z90" i="2"/>
  <c r="Y90" i="2"/>
  <c r="D91" i="5"/>
  <c r="E91" i="4"/>
  <c r="Z91" i="2"/>
  <c r="Y91" i="2"/>
  <c r="D99" i="5"/>
  <c r="E99" i="4"/>
  <c r="Y99" i="2"/>
  <c r="Z99" i="2"/>
  <c r="AK112" i="2"/>
  <c r="AF112" i="2"/>
  <c r="AA112" i="2"/>
  <c r="U112" i="2"/>
  <c r="D127" i="5"/>
  <c r="E127" i="4"/>
  <c r="Y127" i="2"/>
  <c r="Z127" i="2"/>
  <c r="AK136" i="2"/>
  <c r="AF136" i="2"/>
  <c r="U136" i="2"/>
  <c r="D151" i="5"/>
  <c r="E151" i="4"/>
  <c r="Y151" i="2"/>
  <c r="Z151" i="2"/>
  <c r="AK176" i="2"/>
  <c r="AF176" i="2"/>
  <c r="AA176" i="2"/>
  <c r="U176" i="2"/>
  <c r="D191" i="5"/>
  <c r="E191" i="4"/>
  <c r="Y191" i="2"/>
  <c r="Z191" i="2"/>
  <c r="AK200" i="2"/>
  <c r="AF200" i="2"/>
  <c r="U200" i="2"/>
  <c r="D231" i="5"/>
  <c r="Y231" i="2"/>
  <c r="Z231" i="2"/>
  <c r="D239" i="5"/>
  <c r="Y239" i="2"/>
  <c r="Z239" i="2"/>
  <c r="D247" i="5"/>
  <c r="Y247" i="2"/>
  <c r="Z247" i="2"/>
  <c r="D255" i="5"/>
  <c r="Y255" i="2"/>
  <c r="Z255" i="2"/>
  <c r="D263" i="5"/>
  <c r="Y263" i="2"/>
  <c r="Z263" i="2"/>
  <c r="A7" i="5"/>
  <c r="B7" i="4"/>
  <c r="D7" i="5"/>
  <c r="E7" i="4"/>
  <c r="Y7" i="2"/>
  <c r="Z7" i="2"/>
  <c r="E12" i="5"/>
  <c r="F12" i="4"/>
  <c r="T12" i="2"/>
  <c r="C20" i="5"/>
  <c r="D20" i="4"/>
  <c r="E22" i="5"/>
  <c r="F22" i="4"/>
  <c r="T22" i="2"/>
  <c r="A23" i="5"/>
  <c r="B23" i="4"/>
  <c r="D23" i="5"/>
  <c r="E23" i="4"/>
  <c r="Y23" i="2"/>
  <c r="Z23" i="2"/>
  <c r="E28" i="5"/>
  <c r="F28" i="4"/>
  <c r="T28" i="2"/>
  <c r="A33" i="5"/>
  <c r="B33" i="4"/>
  <c r="A39" i="5"/>
  <c r="B39" i="4"/>
  <c r="D39" i="5"/>
  <c r="E39" i="4"/>
  <c r="Y39" i="2"/>
  <c r="Z39" i="2"/>
  <c r="E44" i="5"/>
  <c r="F44" i="4"/>
  <c r="T44" i="2"/>
  <c r="C52" i="5"/>
  <c r="D52" i="4"/>
  <c r="E54" i="5"/>
  <c r="F54" i="4"/>
  <c r="T54" i="2"/>
  <c r="D56" i="5"/>
  <c r="E56" i="4"/>
  <c r="Z56" i="2"/>
  <c r="Y56" i="2"/>
  <c r="D61" i="5"/>
  <c r="E61" i="4"/>
  <c r="Z61" i="2"/>
  <c r="Y61" i="2"/>
  <c r="B66" i="5"/>
  <c r="C66" i="4"/>
  <c r="E70" i="5"/>
  <c r="F70" i="4"/>
  <c r="T70" i="2"/>
  <c r="A71" i="5"/>
  <c r="B71" i="4"/>
  <c r="D71" i="5"/>
  <c r="E71" i="4"/>
  <c r="Y71" i="2"/>
  <c r="Z71" i="2"/>
  <c r="E76" i="5"/>
  <c r="F76" i="4"/>
  <c r="T76" i="2"/>
  <c r="C84" i="5"/>
  <c r="D84" i="4"/>
  <c r="E86" i="5"/>
  <c r="F86" i="4"/>
  <c r="T86" i="2"/>
  <c r="D88" i="5"/>
  <c r="E88" i="4"/>
  <c r="Z88" i="2"/>
  <c r="Y88" i="2"/>
  <c r="D93" i="5"/>
  <c r="E93" i="4"/>
  <c r="Z93" i="2"/>
  <c r="Y93" i="2"/>
  <c r="B98" i="5"/>
  <c r="C98" i="4"/>
  <c r="D111" i="5"/>
  <c r="E111" i="4"/>
  <c r="Y111" i="2"/>
  <c r="Z111" i="2"/>
  <c r="AK120" i="2"/>
  <c r="AF120" i="2"/>
  <c r="U120" i="2"/>
  <c r="D135" i="5"/>
  <c r="E135" i="4"/>
  <c r="Y135" i="2"/>
  <c r="Z135" i="2"/>
  <c r="AK160" i="2"/>
  <c r="AF160" i="2"/>
  <c r="AA160" i="2"/>
  <c r="U160" i="2"/>
  <c r="D175" i="5"/>
  <c r="E175" i="4"/>
  <c r="Y175" i="2"/>
  <c r="Z175" i="2"/>
  <c r="AK184" i="2"/>
  <c r="AF184" i="2"/>
  <c r="U184" i="2"/>
  <c r="D199" i="5"/>
  <c r="E199" i="4"/>
  <c r="Y199" i="2"/>
  <c r="Z199" i="2"/>
  <c r="D271" i="5"/>
  <c r="Y271" i="2"/>
  <c r="Z271" i="2"/>
  <c r="D303" i="5"/>
  <c r="Y303" i="2"/>
  <c r="Z303" i="2"/>
  <c r="AF2" i="2"/>
  <c r="AK2" i="2"/>
  <c r="U2" i="2"/>
  <c r="D3" i="5"/>
  <c r="E3" i="4"/>
  <c r="Y3" i="2"/>
  <c r="Z3" i="2"/>
  <c r="E5" i="5"/>
  <c r="F5" i="4"/>
  <c r="T5" i="2"/>
  <c r="D9" i="5"/>
  <c r="E9" i="4"/>
  <c r="Z9" i="2"/>
  <c r="Y9" i="2"/>
  <c r="D10" i="5"/>
  <c r="E10" i="4"/>
  <c r="Z10" i="2"/>
  <c r="Y10" i="2"/>
  <c r="D11" i="5"/>
  <c r="E11" i="4"/>
  <c r="Z11" i="2"/>
  <c r="Y11" i="2"/>
  <c r="D13" i="5"/>
  <c r="E13" i="4"/>
  <c r="Z13" i="2"/>
  <c r="Y13" i="2"/>
  <c r="C17" i="5"/>
  <c r="D17" i="4"/>
  <c r="C22" i="5"/>
  <c r="D22" i="4"/>
  <c r="D25" i="5"/>
  <c r="E25" i="4"/>
  <c r="Z25" i="2"/>
  <c r="Y25" i="2"/>
  <c r="D26" i="5"/>
  <c r="E26" i="4"/>
  <c r="Z26" i="2"/>
  <c r="Y26" i="2"/>
  <c r="D27" i="5"/>
  <c r="E27" i="4"/>
  <c r="Z27" i="2"/>
  <c r="Y27" i="2"/>
  <c r="D35" i="5"/>
  <c r="E35" i="4"/>
  <c r="Y35" i="2"/>
  <c r="Z35" i="2"/>
  <c r="E37" i="5"/>
  <c r="F37" i="4"/>
  <c r="T37" i="2"/>
  <c r="D41" i="5"/>
  <c r="E41" i="4"/>
  <c r="Z41" i="2"/>
  <c r="Y41" i="2"/>
  <c r="D42" i="5"/>
  <c r="E42" i="4"/>
  <c r="Z42" i="2"/>
  <c r="Y42" i="2"/>
  <c r="D43" i="5"/>
  <c r="E43" i="4"/>
  <c r="Z43" i="2"/>
  <c r="Y43" i="2"/>
  <c r="D45" i="5"/>
  <c r="E45" i="4"/>
  <c r="Z45" i="2"/>
  <c r="Y45" i="2"/>
  <c r="C49" i="5"/>
  <c r="D49" i="4"/>
  <c r="C54" i="5"/>
  <c r="D54" i="4"/>
  <c r="C55" i="5"/>
  <c r="D55" i="4"/>
  <c r="E59" i="5"/>
  <c r="F59" i="4"/>
  <c r="T59" i="2"/>
  <c r="B60" i="5"/>
  <c r="C60" i="4"/>
  <c r="C65" i="5"/>
  <c r="D65" i="4"/>
  <c r="C68" i="5"/>
  <c r="D68" i="4"/>
  <c r="C70" i="5"/>
  <c r="D70" i="4"/>
  <c r="D73" i="5"/>
  <c r="E73" i="4"/>
  <c r="Z73" i="2"/>
  <c r="Y73" i="2"/>
  <c r="D74" i="5"/>
  <c r="E74" i="4"/>
  <c r="Z74" i="2"/>
  <c r="Y74" i="2"/>
  <c r="D75" i="5"/>
  <c r="E75" i="4"/>
  <c r="Z75" i="2"/>
  <c r="Y75" i="2"/>
  <c r="D77" i="5"/>
  <c r="E77" i="4"/>
  <c r="Z77" i="2"/>
  <c r="Y77" i="2"/>
  <c r="C81" i="5"/>
  <c r="D81" i="4"/>
  <c r="C86" i="5"/>
  <c r="D86" i="4"/>
  <c r="C87" i="5"/>
  <c r="D87" i="4"/>
  <c r="E91" i="5"/>
  <c r="F91" i="4"/>
  <c r="T91" i="2"/>
  <c r="B92" i="5"/>
  <c r="C92" i="4"/>
  <c r="C97" i="5"/>
  <c r="D97" i="4"/>
  <c r="C100" i="5"/>
  <c r="D100" i="4"/>
  <c r="AK104" i="2"/>
  <c r="AF104" i="2"/>
  <c r="U104" i="2"/>
  <c r="D119" i="5"/>
  <c r="E119" i="4"/>
  <c r="Y119" i="2"/>
  <c r="Z119" i="2"/>
  <c r="AK144" i="2"/>
  <c r="AF144" i="2"/>
  <c r="AA144" i="2"/>
  <c r="U144" i="2"/>
  <c r="E159" i="4"/>
  <c r="D159" i="5"/>
  <c r="Y159" i="2"/>
  <c r="Z159" i="2"/>
  <c r="AK168" i="2"/>
  <c r="AF168" i="2"/>
  <c r="U168" i="2"/>
  <c r="D183" i="5"/>
  <c r="E183" i="4"/>
  <c r="Y183" i="2"/>
  <c r="Z183" i="2"/>
  <c r="D319" i="5"/>
  <c r="Y319" i="2"/>
  <c r="Z319" i="2"/>
  <c r="C2" i="5"/>
  <c r="D2" i="4"/>
  <c r="A4" i="5"/>
  <c r="B4" i="4"/>
  <c r="B5" i="5"/>
  <c r="C5" i="4"/>
  <c r="E8" i="5"/>
  <c r="F8" i="4"/>
  <c r="T8" i="2"/>
  <c r="B10" i="5"/>
  <c r="C10" i="4"/>
  <c r="A11" i="5"/>
  <c r="B11" i="4"/>
  <c r="G12" i="4"/>
  <c r="E14" i="5"/>
  <c r="F14" i="4"/>
  <c r="T14" i="2"/>
  <c r="A16" i="5"/>
  <c r="B16" i="4"/>
  <c r="P17" i="2"/>
  <c r="G18" i="4"/>
  <c r="R18" i="2"/>
  <c r="AP18" i="2" s="1"/>
  <c r="Q18" i="2"/>
  <c r="D20" i="5"/>
  <c r="E20" i="4"/>
  <c r="Z20" i="2"/>
  <c r="A21" i="5"/>
  <c r="B21" i="4"/>
  <c r="B22" i="5"/>
  <c r="C22" i="4"/>
  <c r="A25" i="5"/>
  <c r="B25" i="4"/>
  <c r="B27" i="5"/>
  <c r="C27" i="4"/>
  <c r="G30" i="4"/>
  <c r="R30" i="2"/>
  <c r="AP30" i="2" s="1"/>
  <c r="C31" i="5"/>
  <c r="D31" i="4"/>
  <c r="B32" i="5"/>
  <c r="C32" i="4"/>
  <c r="A36" i="5"/>
  <c r="B36" i="4"/>
  <c r="A3" i="5"/>
  <c r="B3" i="4"/>
  <c r="P4" i="2"/>
  <c r="A6" i="5"/>
  <c r="B6" i="4"/>
  <c r="A8" i="5"/>
  <c r="B8" i="4"/>
  <c r="C8" i="5"/>
  <c r="D8" i="4"/>
  <c r="P9" i="2"/>
  <c r="D12" i="5"/>
  <c r="E12" i="4"/>
  <c r="Z12" i="2"/>
  <c r="A13" i="5"/>
  <c r="B13" i="4"/>
  <c r="C13" i="5"/>
  <c r="D13" i="4"/>
  <c r="B14" i="5"/>
  <c r="C14" i="4"/>
  <c r="Y17" i="2"/>
  <c r="S18" i="2"/>
  <c r="B19" i="5"/>
  <c r="C19" i="4"/>
  <c r="P19" i="2"/>
  <c r="Y20" i="2"/>
  <c r="AA20" i="2" s="1"/>
  <c r="D22" i="5"/>
  <c r="E22" i="4"/>
  <c r="Z22" i="2"/>
  <c r="Y22" i="2"/>
  <c r="G22" i="4"/>
  <c r="R22" i="2"/>
  <c r="AP22" i="2" s="1"/>
  <c r="E23" i="5"/>
  <c r="F23" i="4"/>
  <c r="T23" i="2"/>
  <c r="B24" i="5"/>
  <c r="C24" i="4"/>
  <c r="C26" i="5"/>
  <c r="D26" i="4"/>
  <c r="E26" i="5"/>
  <c r="F26" i="4"/>
  <c r="T26" i="2"/>
  <c r="C27" i="5"/>
  <c r="D27" i="4"/>
  <c r="A28" i="5"/>
  <c r="B28" i="4"/>
  <c r="B29" i="5"/>
  <c r="C29" i="4"/>
  <c r="Q30" i="2"/>
  <c r="P31" i="2"/>
  <c r="E32" i="5"/>
  <c r="F32" i="4"/>
  <c r="T32" i="2"/>
  <c r="B33" i="5"/>
  <c r="C33" i="4"/>
  <c r="E33" i="5"/>
  <c r="F33" i="4"/>
  <c r="T33" i="2"/>
  <c r="A35" i="5"/>
  <c r="B35" i="4"/>
  <c r="P36" i="2"/>
  <c r="A38" i="5"/>
  <c r="B38" i="4"/>
  <c r="A40" i="5"/>
  <c r="B40" i="4"/>
  <c r="C40" i="5"/>
  <c r="D40" i="4"/>
  <c r="P41" i="2"/>
  <c r="D44" i="5"/>
  <c r="E44" i="4"/>
  <c r="Z44" i="2"/>
  <c r="A45" i="5"/>
  <c r="B45" i="4"/>
  <c r="C45" i="5"/>
  <c r="D45" i="4"/>
  <c r="B46" i="5"/>
  <c r="C46" i="4"/>
  <c r="Y49" i="2"/>
  <c r="B51" i="5"/>
  <c r="C51" i="4"/>
  <c r="P51" i="2"/>
  <c r="D54" i="5"/>
  <c r="E54" i="4"/>
  <c r="Z54" i="2"/>
  <c r="Y54" i="2"/>
  <c r="E55" i="5"/>
  <c r="F55" i="4"/>
  <c r="T55" i="2"/>
  <c r="B56" i="5"/>
  <c r="C56" i="4"/>
  <c r="C58" i="5"/>
  <c r="D58" i="4"/>
  <c r="E58" i="5"/>
  <c r="F58" i="4"/>
  <c r="T58" i="2"/>
  <c r="C59" i="5"/>
  <c r="D59" i="4"/>
  <c r="A60" i="5"/>
  <c r="B60" i="4"/>
  <c r="B61" i="5"/>
  <c r="C61" i="4"/>
  <c r="Q62" i="2"/>
  <c r="BD62" i="2" s="1"/>
  <c r="P63" i="2"/>
  <c r="E64" i="5"/>
  <c r="F64" i="4"/>
  <c r="T64" i="2"/>
  <c r="B65" i="5"/>
  <c r="C65" i="4"/>
  <c r="E65" i="5"/>
  <c r="F65" i="4"/>
  <c r="T65" i="2"/>
  <c r="A67" i="5"/>
  <c r="B67" i="4"/>
  <c r="P68" i="2"/>
  <c r="A70" i="5"/>
  <c r="B70" i="4"/>
  <c r="A72" i="5"/>
  <c r="B72" i="4"/>
  <c r="C72" i="5"/>
  <c r="D72" i="4"/>
  <c r="P73" i="2"/>
  <c r="D76" i="5"/>
  <c r="E76" i="4"/>
  <c r="Z76" i="2"/>
  <c r="A77" i="5"/>
  <c r="B77" i="4"/>
  <c r="C77" i="5"/>
  <c r="D77" i="4"/>
  <c r="B78" i="5"/>
  <c r="C78" i="4"/>
  <c r="Y81" i="2"/>
  <c r="B83" i="5"/>
  <c r="C83" i="4"/>
  <c r="P83" i="2"/>
  <c r="D86" i="5"/>
  <c r="E86" i="4"/>
  <c r="Z86" i="2"/>
  <c r="Y86" i="2"/>
  <c r="E87" i="5"/>
  <c r="F87" i="4"/>
  <c r="T87" i="2"/>
  <c r="B88" i="5"/>
  <c r="C88" i="4"/>
  <c r="C90" i="5"/>
  <c r="D90" i="4"/>
  <c r="E90" i="5"/>
  <c r="F90" i="4"/>
  <c r="T90" i="2"/>
  <c r="C91" i="5"/>
  <c r="D91" i="4"/>
  <c r="A92" i="5"/>
  <c r="B92" i="4"/>
  <c r="B93" i="5"/>
  <c r="C93" i="4"/>
  <c r="Q94" i="2"/>
  <c r="BD94" i="2" s="1"/>
  <c r="P95" i="2"/>
  <c r="E96" i="5"/>
  <c r="F96" i="4"/>
  <c r="T96" i="2"/>
  <c r="B97" i="5"/>
  <c r="C97" i="4"/>
  <c r="E97" i="5"/>
  <c r="F97" i="4"/>
  <c r="T97" i="2"/>
  <c r="A99" i="5"/>
  <c r="B99" i="4"/>
  <c r="P100" i="2"/>
  <c r="B102" i="5"/>
  <c r="C102" i="4"/>
  <c r="D104" i="5"/>
  <c r="E104" i="4"/>
  <c r="Z104" i="2"/>
  <c r="B105" i="5"/>
  <c r="C105" i="4"/>
  <c r="D105" i="5"/>
  <c r="E105" i="4"/>
  <c r="Z105" i="2"/>
  <c r="Y105" i="2"/>
  <c r="C106" i="5"/>
  <c r="D106" i="4"/>
  <c r="E106" i="5"/>
  <c r="F106" i="4"/>
  <c r="T106" i="2"/>
  <c r="A107" i="5"/>
  <c r="B107" i="4"/>
  <c r="P107" i="2"/>
  <c r="A108" i="5"/>
  <c r="B108" i="4"/>
  <c r="C108" i="5"/>
  <c r="D108" i="4"/>
  <c r="E109" i="5"/>
  <c r="F109" i="4"/>
  <c r="T109" i="2"/>
  <c r="C111" i="5"/>
  <c r="D111" i="4"/>
  <c r="E111" i="5"/>
  <c r="F111" i="4"/>
  <c r="T111" i="2"/>
  <c r="P112" i="2"/>
  <c r="A113" i="5"/>
  <c r="B113" i="4"/>
  <c r="C113" i="5"/>
  <c r="D113" i="4"/>
  <c r="D114" i="5"/>
  <c r="E114" i="4"/>
  <c r="Z114" i="2"/>
  <c r="Y114" i="2"/>
  <c r="G114" i="4"/>
  <c r="R114" i="2"/>
  <c r="AP114" i="2" s="1"/>
  <c r="Q114" i="2"/>
  <c r="BD114" i="2" s="1"/>
  <c r="B116" i="5"/>
  <c r="C116" i="4"/>
  <c r="E116" i="5"/>
  <c r="F116" i="4"/>
  <c r="B118" i="5"/>
  <c r="C118" i="4"/>
  <c r="D120" i="5"/>
  <c r="E120" i="4"/>
  <c r="Z120" i="2"/>
  <c r="B121" i="5"/>
  <c r="C121" i="4"/>
  <c r="D121" i="5"/>
  <c r="E121" i="4"/>
  <c r="Z121" i="2"/>
  <c r="Y121" i="2"/>
  <c r="C122" i="5"/>
  <c r="D122" i="4"/>
  <c r="E122" i="5"/>
  <c r="F122" i="4"/>
  <c r="T122" i="2"/>
  <c r="A123" i="5"/>
  <c r="B123" i="4"/>
  <c r="P123" i="2"/>
  <c r="A124" i="5"/>
  <c r="B124" i="4"/>
  <c r="C124" i="5"/>
  <c r="D124" i="4"/>
  <c r="E125" i="5"/>
  <c r="F125" i="4"/>
  <c r="T125" i="2"/>
  <c r="C127" i="5"/>
  <c r="D127" i="4"/>
  <c r="E127" i="5"/>
  <c r="F127" i="4"/>
  <c r="T127" i="2"/>
  <c r="P128" i="2"/>
  <c r="A129" i="5"/>
  <c r="B129" i="4"/>
  <c r="C129" i="5"/>
  <c r="D129" i="4"/>
  <c r="D130" i="5"/>
  <c r="E130" i="4"/>
  <c r="Z130" i="2"/>
  <c r="Y130" i="2"/>
  <c r="G130" i="4"/>
  <c r="R130" i="2"/>
  <c r="AP130" i="2" s="1"/>
  <c r="Q130" i="2"/>
  <c r="BD130" i="2" s="1"/>
  <c r="B132" i="5"/>
  <c r="C132" i="4"/>
  <c r="E132" i="5"/>
  <c r="F132" i="4"/>
  <c r="B134" i="5"/>
  <c r="C134" i="4"/>
  <c r="D136" i="5"/>
  <c r="E136" i="4"/>
  <c r="Z136" i="2"/>
  <c r="B137" i="5"/>
  <c r="C137" i="4"/>
  <c r="D137" i="5"/>
  <c r="E137" i="4"/>
  <c r="Z137" i="2"/>
  <c r="Y137" i="2"/>
  <c r="C138" i="5"/>
  <c r="D138" i="4"/>
  <c r="E138" i="5"/>
  <c r="F138" i="4"/>
  <c r="T138" i="2"/>
  <c r="A139" i="5"/>
  <c r="B139" i="4"/>
  <c r="P139" i="2"/>
  <c r="A140" i="5"/>
  <c r="B140" i="4"/>
  <c r="C140" i="5"/>
  <c r="D140" i="4"/>
  <c r="E141" i="5"/>
  <c r="F141" i="4"/>
  <c r="T141" i="2"/>
  <c r="C143" i="5"/>
  <c r="D143" i="4"/>
  <c r="E143" i="5"/>
  <c r="F143" i="4"/>
  <c r="T143" i="2"/>
  <c r="P144" i="2"/>
  <c r="A145" i="5"/>
  <c r="B145" i="4"/>
  <c r="C145" i="5"/>
  <c r="D145" i="4"/>
  <c r="D146" i="5"/>
  <c r="E146" i="4"/>
  <c r="Z146" i="2"/>
  <c r="Y146" i="2"/>
  <c r="G146" i="4"/>
  <c r="R146" i="2"/>
  <c r="AP146" i="2" s="1"/>
  <c r="Q146" i="2"/>
  <c r="BD146" i="2" s="1"/>
  <c r="B148" i="5"/>
  <c r="C148" i="4"/>
  <c r="E148" i="5"/>
  <c r="F148" i="4"/>
  <c r="B150" i="5"/>
  <c r="C150" i="4"/>
  <c r="D152" i="5"/>
  <c r="E152" i="4"/>
  <c r="Z152" i="2"/>
  <c r="B153" i="5"/>
  <c r="C153" i="4"/>
  <c r="D153" i="5"/>
  <c r="E153" i="4"/>
  <c r="Z153" i="2"/>
  <c r="Y153" i="2"/>
  <c r="C154" i="5"/>
  <c r="D154" i="4"/>
  <c r="F154" i="4"/>
  <c r="E154" i="5"/>
  <c r="T154" i="2"/>
  <c r="A155" i="5"/>
  <c r="B155" i="4"/>
  <c r="P155" i="2"/>
  <c r="A156" i="5"/>
  <c r="B156" i="4"/>
  <c r="C156" i="5"/>
  <c r="D156" i="4"/>
  <c r="E157" i="5"/>
  <c r="F157" i="4"/>
  <c r="T157" i="2"/>
  <c r="D159" i="4"/>
  <c r="C159" i="5"/>
  <c r="E159" i="5"/>
  <c r="F159" i="4"/>
  <c r="T159" i="2"/>
  <c r="P160" i="2"/>
  <c r="A161" i="5"/>
  <c r="B161" i="4"/>
  <c r="C161" i="5"/>
  <c r="D161" i="4"/>
  <c r="E162" i="4"/>
  <c r="D162" i="5"/>
  <c r="Z162" i="2"/>
  <c r="Y162" i="2"/>
  <c r="G162" i="4"/>
  <c r="R162" i="2"/>
  <c r="AP162" i="2" s="1"/>
  <c r="Q162" i="2"/>
  <c r="BD162" i="2" s="1"/>
  <c r="C164" i="4"/>
  <c r="B164" i="5"/>
  <c r="E164" i="5"/>
  <c r="F164" i="4"/>
  <c r="C166" i="4"/>
  <c r="B166" i="5"/>
  <c r="D168" i="5"/>
  <c r="E168" i="4"/>
  <c r="Z168" i="2"/>
  <c r="B169" i="5"/>
  <c r="C169" i="4"/>
  <c r="D169" i="5"/>
  <c r="E169" i="4"/>
  <c r="Z169" i="2"/>
  <c r="Y169" i="2"/>
  <c r="C170" i="5"/>
  <c r="D170" i="4"/>
  <c r="F170" i="4"/>
  <c r="E170" i="5"/>
  <c r="T170" i="2"/>
  <c r="A171" i="5"/>
  <c r="B171" i="4"/>
  <c r="P171" i="2"/>
  <c r="A172" i="5"/>
  <c r="B172" i="4"/>
  <c r="C172" i="5"/>
  <c r="D172" i="4"/>
  <c r="E173" i="5"/>
  <c r="F173" i="4"/>
  <c r="T173" i="2"/>
  <c r="C175" i="5"/>
  <c r="D175" i="4"/>
  <c r="E175" i="5"/>
  <c r="F175" i="4"/>
  <c r="T175" i="2"/>
  <c r="P176" i="2"/>
  <c r="A177" i="5"/>
  <c r="B177" i="4"/>
  <c r="C177" i="5"/>
  <c r="D177" i="4"/>
  <c r="D178" i="5"/>
  <c r="E178" i="4"/>
  <c r="Z178" i="2"/>
  <c r="Y178" i="2"/>
  <c r="G178" i="4"/>
  <c r="R178" i="2"/>
  <c r="AP178" i="2" s="1"/>
  <c r="Q178" i="2"/>
  <c r="BD178" i="2" s="1"/>
  <c r="B180" i="5"/>
  <c r="C180" i="4"/>
  <c r="E180" i="5"/>
  <c r="F180" i="4"/>
  <c r="B182" i="5"/>
  <c r="C182" i="4"/>
  <c r="D184" i="5"/>
  <c r="E184" i="4"/>
  <c r="Z184" i="2"/>
  <c r="B185" i="5"/>
  <c r="C185" i="4"/>
  <c r="D185" i="5"/>
  <c r="E185" i="4"/>
  <c r="Z185" i="2"/>
  <c r="Y185" i="2"/>
  <c r="C186" i="5"/>
  <c r="D186" i="4"/>
  <c r="E186" i="5"/>
  <c r="F186" i="4"/>
  <c r="T186" i="2"/>
  <c r="A187" i="5"/>
  <c r="B187" i="4"/>
  <c r="P187" i="2"/>
  <c r="A188" i="5"/>
  <c r="B188" i="4"/>
  <c r="C188" i="5"/>
  <c r="D188" i="4"/>
  <c r="E189" i="5"/>
  <c r="F189" i="4"/>
  <c r="T189" i="2"/>
  <c r="C191" i="5"/>
  <c r="D191" i="4"/>
  <c r="E191" i="5"/>
  <c r="F191" i="4"/>
  <c r="T191" i="2"/>
  <c r="P192" i="2"/>
  <c r="A193" i="5"/>
  <c r="B193" i="4"/>
  <c r="C193" i="5"/>
  <c r="D193" i="4"/>
  <c r="D194" i="5"/>
  <c r="E194" i="4"/>
  <c r="Z194" i="2"/>
  <c r="Y194" i="2"/>
  <c r="G194" i="4"/>
  <c r="R194" i="2"/>
  <c r="AP194" i="2" s="1"/>
  <c r="Q194" i="2"/>
  <c r="BD194" i="2" s="1"/>
  <c r="B196" i="5"/>
  <c r="C196" i="4"/>
  <c r="E196" i="5"/>
  <c r="F196" i="4"/>
  <c r="B198" i="5"/>
  <c r="C198" i="4"/>
  <c r="D200" i="5"/>
  <c r="E200" i="4"/>
  <c r="Z200" i="2"/>
  <c r="B201" i="5"/>
  <c r="C201" i="4"/>
  <c r="D201" i="5"/>
  <c r="E201" i="4"/>
  <c r="Z201" i="2"/>
  <c r="Y201" i="2"/>
  <c r="E202" i="5"/>
  <c r="T202" i="2"/>
  <c r="P203" i="2"/>
  <c r="E205" i="5"/>
  <c r="T205" i="2"/>
  <c r="E207" i="5"/>
  <c r="T207" i="2"/>
  <c r="P208" i="2"/>
  <c r="D212" i="5"/>
  <c r="Z212" i="2"/>
  <c r="Y212" i="2"/>
  <c r="D214" i="5"/>
  <c r="Z214" i="2"/>
  <c r="Y214" i="2"/>
  <c r="E215" i="5"/>
  <c r="T215" i="2"/>
  <c r="D217" i="5"/>
  <c r="Z217" i="2"/>
  <c r="P220" i="2"/>
  <c r="D228" i="5"/>
  <c r="Z228" i="2"/>
  <c r="Y228" i="2"/>
  <c r="D230" i="5"/>
  <c r="Z230" i="2"/>
  <c r="Y230" i="2"/>
  <c r="E231" i="5"/>
  <c r="T231" i="2"/>
  <c r="D233" i="5"/>
  <c r="Z233" i="2"/>
  <c r="P236" i="2"/>
  <c r="D244" i="5"/>
  <c r="Z244" i="2"/>
  <c r="Y244" i="2"/>
  <c r="D246" i="5"/>
  <c r="Z246" i="2"/>
  <c r="Y246" i="2"/>
  <c r="E247" i="5"/>
  <c r="T247" i="2"/>
  <c r="D249" i="5"/>
  <c r="Z249" i="2"/>
  <c r="P252" i="2"/>
  <c r="D260" i="5"/>
  <c r="Z260" i="2"/>
  <c r="Y260" i="2"/>
  <c r="D262" i="5"/>
  <c r="Z262" i="2"/>
  <c r="Y262" i="2"/>
  <c r="E263" i="5"/>
  <c r="T263" i="2"/>
  <c r="D265" i="5"/>
  <c r="Z265" i="2"/>
  <c r="P268" i="2"/>
  <c r="D276" i="5"/>
  <c r="Z276" i="2"/>
  <c r="Y276" i="2"/>
  <c r="D278" i="5"/>
  <c r="Z278" i="2"/>
  <c r="Y278" i="2"/>
  <c r="E279" i="5"/>
  <c r="T279" i="2"/>
  <c r="T280" i="2"/>
  <c r="D281" i="5"/>
  <c r="Z281" i="2"/>
  <c r="P284" i="2"/>
  <c r="D292" i="5"/>
  <c r="Z292" i="2"/>
  <c r="Y292" i="2"/>
  <c r="D294" i="5"/>
  <c r="Z294" i="2"/>
  <c r="Y294" i="2"/>
  <c r="E295" i="5"/>
  <c r="T295" i="2"/>
  <c r="T296" i="2"/>
  <c r="D297" i="5"/>
  <c r="Z297" i="2"/>
  <c r="P300" i="2"/>
  <c r="D308" i="5"/>
  <c r="Z308" i="2"/>
  <c r="Y308" i="2"/>
  <c r="D310" i="5"/>
  <c r="Z310" i="2"/>
  <c r="Y310" i="2"/>
  <c r="E311" i="5"/>
  <c r="T311" i="2"/>
  <c r="T312" i="2"/>
  <c r="D313" i="5"/>
  <c r="Z313" i="2"/>
  <c r="P316" i="2"/>
  <c r="D324" i="5"/>
  <c r="Z324" i="2"/>
  <c r="Y324" i="2"/>
  <c r="D325" i="5"/>
  <c r="Z325" i="2"/>
  <c r="Y325" i="2"/>
  <c r="E327" i="5"/>
  <c r="T327" i="2"/>
  <c r="D332" i="5"/>
  <c r="Z332" i="2"/>
  <c r="Y332" i="2"/>
  <c r="D333" i="5"/>
  <c r="Z333" i="2"/>
  <c r="Y333" i="2"/>
  <c r="E335" i="5"/>
  <c r="T335" i="2"/>
  <c r="D340" i="5"/>
  <c r="Z340" i="2"/>
  <c r="Y340" i="2"/>
  <c r="D341" i="5"/>
  <c r="Z341" i="2"/>
  <c r="Y341" i="2"/>
  <c r="E343" i="5"/>
  <c r="T343" i="2"/>
  <c r="D348" i="5"/>
  <c r="Z348" i="2"/>
  <c r="Y348" i="2"/>
  <c r="D349" i="5"/>
  <c r="Z349" i="2"/>
  <c r="Y349" i="2"/>
  <c r="E351" i="5"/>
  <c r="T351" i="2"/>
  <c r="D356" i="5"/>
  <c r="Z356" i="2"/>
  <c r="Y356" i="2"/>
  <c r="D357" i="5"/>
  <c r="Z357" i="2"/>
  <c r="Y357" i="2"/>
  <c r="E359" i="5"/>
  <c r="T359" i="2"/>
  <c r="D364" i="5"/>
  <c r="Z364" i="2"/>
  <c r="Y364" i="2"/>
  <c r="D365" i="5"/>
  <c r="Z365" i="2"/>
  <c r="Y365" i="2"/>
  <c r="E367" i="5"/>
  <c r="T367" i="2"/>
  <c r="D372" i="5"/>
  <c r="Z372" i="2"/>
  <c r="Y372" i="2"/>
  <c r="D373" i="5"/>
  <c r="Z373" i="2"/>
  <c r="Y373" i="2"/>
  <c r="E375" i="5"/>
  <c r="T375" i="2"/>
  <c r="D380" i="5"/>
  <c r="Z380" i="2"/>
  <c r="Y380" i="2"/>
  <c r="D381" i="5"/>
  <c r="Z381" i="2"/>
  <c r="Y381" i="2"/>
  <c r="E383" i="5"/>
  <c r="T383" i="2"/>
  <c r="D388" i="5"/>
  <c r="Z388" i="2"/>
  <c r="Y388" i="2"/>
  <c r="D389" i="5"/>
  <c r="Z389" i="2"/>
  <c r="Y389" i="2"/>
  <c r="E391" i="5"/>
  <c r="T391" i="2"/>
  <c r="D396" i="5"/>
  <c r="Z396" i="2"/>
  <c r="Y396" i="2"/>
  <c r="D397" i="5"/>
  <c r="Z397" i="2"/>
  <c r="Y397" i="2"/>
  <c r="E399" i="5"/>
  <c r="T399" i="2"/>
  <c r="D404" i="5"/>
  <c r="Z404" i="2"/>
  <c r="Y404" i="2"/>
  <c r="D407" i="5"/>
  <c r="Y407" i="2"/>
  <c r="Z407" i="2"/>
  <c r="E408" i="5"/>
  <c r="T408" i="2"/>
  <c r="D409" i="5"/>
  <c r="Z409" i="2"/>
  <c r="Y409" i="2"/>
  <c r="E410" i="5"/>
  <c r="T410" i="2"/>
  <c r="D415" i="5"/>
  <c r="Y415" i="2"/>
  <c r="Z415" i="2"/>
  <c r="D420" i="5"/>
  <c r="Z420" i="2"/>
  <c r="Y420" i="2"/>
  <c r="E425" i="5"/>
  <c r="T425" i="2"/>
  <c r="D430" i="5"/>
  <c r="Z430" i="2"/>
  <c r="Y430" i="2"/>
  <c r="E431" i="5"/>
  <c r="T431" i="2"/>
  <c r="D437" i="5"/>
  <c r="Z437" i="2"/>
  <c r="Y437" i="2"/>
  <c r="E440" i="5"/>
  <c r="T440" i="2"/>
  <c r="D441" i="5"/>
  <c r="Z441" i="2"/>
  <c r="Y441" i="2"/>
  <c r="E442" i="5"/>
  <c r="T442" i="2"/>
  <c r="D447" i="5"/>
  <c r="Y447" i="2"/>
  <c r="Z447" i="2"/>
  <c r="D452" i="5"/>
  <c r="Z452" i="2"/>
  <c r="Y452" i="2"/>
  <c r="E457" i="5"/>
  <c r="T457" i="2"/>
  <c r="D462" i="5"/>
  <c r="Z462" i="2"/>
  <c r="Y462" i="2"/>
  <c r="E463" i="5"/>
  <c r="T463" i="2"/>
  <c r="D469" i="5"/>
  <c r="Z469" i="2"/>
  <c r="Y469" i="2"/>
  <c r="E472" i="5"/>
  <c r="T472" i="2"/>
  <c r="D473" i="5"/>
  <c r="Z473" i="2"/>
  <c r="Y473" i="2"/>
  <c r="E474" i="5"/>
  <c r="T474" i="2"/>
  <c r="D479" i="5"/>
  <c r="Y479" i="2"/>
  <c r="Z479" i="2"/>
  <c r="D484" i="5"/>
  <c r="Z484" i="2"/>
  <c r="Y484" i="2"/>
  <c r="E489" i="5"/>
  <c r="T489" i="2"/>
  <c r="D494" i="5"/>
  <c r="Z494" i="2"/>
  <c r="Y494" i="2"/>
  <c r="E496" i="5"/>
  <c r="T496" i="2"/>
  <c r="E498" i="5"/>
  <c r="T498" i="2"/>
  <c r="E500" i="5"/>
  <c r="T500" i="2"/>
  <c r="E502" i="5"/>
  <c r="T502" i="2"/>
  <c r="E504" i="5"/>
  <c r="T504" i="2"/>
  <c r="E506" i="5"/>
  <c r="T506" i="2"/>
  <c r="D2" i="5"/>
  <c r="E2" i="4"/>
  <c r="Z2" i="2"/>
  <c r="E3" i="5"/>
  <c r="F3" i="4"/>
  <c r="T3" i="2"/>
  <c r="D4" i="5"/>
  <c r="E4" i="4"/>
  <c r="Z4" i="2"/>
  <c r="C5" i="5"/>
  <c r="D5" i="4"/>
  <c r="C9" i="5"/>
  <c r="D9" i="4"/>
  <c r="P11" i="2"/>
  <c r="D14" i="5"/>
  <c r="E14" i="4"/>
  <c r="Z14" i="2"/>
  <c r="Y14" i="2"/>
  <c r="C15" i="5"/>
  <c r="D15" i="4"/>
  <c r="B16" i="5"/>
  <c r="C16" i="4"/>
  <c r="C18" i="5"/>
  <c r="D18" i="4"/>
  <c r="A20" i="5"/>
  <c r="B20" i="4"/>
  <c r="B21" i="5"/>
  <c r="C21" i="4"/>
  <c r="P23" i="2"/>
  <c r="B25" i="5"/>
  <c r="C25" i="4"/>
  <c r="B26" i="5"/>
  <c r="C26" i="4"/>
  <c r="A27" i="5"/>
  <c r="B27" i="4"/>
  <c r="C28" i="5"/>
  <c r="D28" i="4"/>
  <c r="E30" i="5"/>
  <c r="F30" i="4"/>
  <c r="T30" i="2"/>
  <c r="A32" i="5"/>
  <c r="B32" i="4"/>
  <c r="C32" i="5"/>
  <c r="D32" i="4"/>
  <c r="D33" i="5"/>
  <c r="E33" i="4"/>
  <c r="P33" i="2"/>
  <c r="D34" i="5"/>
  <c r="E34" i="4"/>
  <c r="Z34" i="2"/>
  <c r="G34" i="4"/>
  <c r="R34" i="2"/>
  <c r="AP34" i="2" s="1"/>
  <c r="Q34" i="2"/>
  <c r="E35" i="5"/>
  <c r="F35" i="4"/>
  <c r="T35" i="2"/>
  <c r="B36" i="5"/>
  <c r="C36" i="4"/>
  <c r="D36" i="5"/>
  <c r="E36" i="4"/>
  <c r="Z36" i="2"/>
  <c r="A37" i="5"/>
  <c r="B37" i="4"/>
  <c r="C37" i="5"/>
  <c r="D37" i="4"/>
  <c r="B38" i="5"/>
  <c r="C38" i="4"/>
  <c r="G40" i="4"/>
  <c r="R40" i="2"/>
  <c r="AP40" i="2" s="1"/>
  <c r="S40" i="2"/>
  <c r="A41" i="5"/>
  <c r="B41" i="4"/>
  <c r="C41" i="5"/>
  <c r="D41" i="4"/>
  <c r="B43" i="5"/>
  <c r="C43" i="4"/>
  <c r="P43" i="2"/>
  <c r="E45" i="5"/>
  <c r="F45" i="4"/>
  <c r="T45" i="2"/>
  <c r="D46" i="5"/>
  <c r="E46" i="4"/>
  <c r="Z46" i="2"/>
  <c r="Y46" i="2"/>
  <c r="A47" i="5"/>
  <c r="B47" i="4"/>
  <c r="C47" i="5"/>
  <c r="D47" i="4"/>
  <c r="E47" i="5"/>
  <c r="F47" i="4"/>
  <c r="T47" i="2"/>
  <c r="B48" i="5"/>
  <c r="C48" i="4"/>
  <c r="D48" i="5"/>
  <c r="E48" i="4"/>
  <c r="Z48" i="2"/>
  <c r="Y48" i="2"/>
  <c r="C50" i="5"/>
  <c r="D50" i="4"/>
  <c r="E50" i="5"/>
  <c r="F50" i="4"/>
  <c r="T50" i="2"/>
  <c r="C51" i="5"/>
  <c r="D51" i="4"/>
  <c r="A52" i="5"/>
  <c r="B52" i="4"/>
  <c r="E52" i="5"/>
  <c r="F52" i="4"/>
  <c r="T52" i="2"/>
  <c r="B53" i="5"/>
  <c r="C53" i="4"/>
  <c r="D53" i="5"/>
  <c r="E53" i="4"/>
  <c r="Z53" i="2"/>
  <c r="P55" i="2"/>
  <c r="E56" i="5"/>
  <c r="F56" i="4"/>
  <c r="T56" i="2"/>
  <c r="B57" i="5"/>
  <c r="C57" i="4"/>
  <c r="E57" i="5"/>
  <c r="F57" i="4"/>
  <c r="T57" i="2"/>
  <c r="B58" i="5"/>
  <c r="C58" i="4"/>
  <c r="A59" i="5"/>
  <c r="B59" i="4"/>
  <c r="C60" i="5"/>
  <c r="D60" i="4"/>
  <c r="A62" i="5"/>
  <c r="B62" i="4"/>
  <c r="C62" i="5"/>
  <c r="D62" i="4"/>
  <c r="E62" i="5"/>
  <c r="F62" i="4"/>
  <c r="T62" i="2"/>
  <c r="D63" i="5"/>
  <c r="E63" i="4"/>
  <c r="Y63" i="2"/>
  <c r="A64" i="5"/>
  <c r="B64" i="4"/>
  <c r="C64" i="5"/>
  <c r="D64" i="4"/>
  <c r="D65" i="5"/>
  <c r="E65" i="4"/>
  <c r="P65" i="2"/>
  <c r="D66" i="5"/>
  <c r="E66" i="4"/>
  <c r="Z66" i="2"/>
  <c r="G66" i="4"/>
  <c r="R66" i="2"/>
  <c r="AP66" i="2" s="1"/>
  <c r="Q66" i="2"/>
  <c r="E67" i="5"/>
  <c r="F67" i="4"/>
  <c r="T67" i="2"/>
  <c r="B68" i="5"/>
  <c r="C68" i="4"/>
  <c r="D68" i="5"/>
  <c r="E68" i="4"/>
  <c r="Z68" i="2"/>
  <c r="A69" i="5"/>
  <c r="B69" i="4"/>
  <c r="C69" i="5"/>
  <c r="D69" i="4"/>
  <c r="B70" i="5"/>
  <c r="C70" i="4"/>
  <c r="G72" i="4"/>
  <c r="R72" i="2"/>
  <c r="AP72" i="2" s="1"/>
  <c r="S72" i="2"/>
  <c r="A73" i="5"/>
  <c r="B73" i="4"/>
  <c r="C73" i="5"/>
  <c r="D73" i="4"/>
  <c r="B75" i="5"/>
  <c r="C75" i="4"/>
  <c r="P75" i="2"/>
  <c r="E77" i="5"/>
  <c r="F77" i="4"/>
  <c r="T77" i="2"/>
  <c r="D78" i="5"/>
  <c r="E78" i="4"/>
  <c r="Z78" i="2"/>
  <c r="Y78" i="2"/>
  <c r="A79" i="5"/>
  <c r="B79" i="4"/>
  <c r="C79" i="5"/>
  <c r="D79" i="4"/>
  <c r="E79" i="5"/>
  <c r="F79" i="4"/>
  <c r="T79" i="2"/>
  <c r="B80" i="5"/>
  <c r="C80" i="4"/>
  <c r="D80" i="5"/>
  <c r="E80" i="4"/>
  <c r="Z80" i="2"/>
  <c r="Y80" i="2"/>
  <c r="C82" i="5"/>
  <c r="D82" i="4"/>
  <c r="E82" i="5"/>
  <c r="F82" i="4"/>
  <c r="T82" i="2"/>
  <c r="C83" i="5"/>
  <c r="D83" i="4"/>
  <c r="A84" i="5"/>
  <c r="B84" i="4"/>
  <c r="E84" i="5"/>
  <c r="F84" i="4"/>
  <c r="T84" i="2"/>
  <c r="B85" i="5"/>
  <c r="C85" i="4"/>
  <c r="D85" i="5"/>
  <c r="E85" i="4"/>
  <c r="Z85" i="2"/>
  <c r="P87" i="2"/>
  <c r="E88" i="5"/>
  <c r="F88" i="4"/>
  <c r="T88" i="2"/>
  <c r="B89" i="5"/>
  <c r="C89" i="4"/>
  <c r="E89" i="5"/>
  <c r="F89" i="4"/>
  <c r="T89" i="2"/>
  <c r="B90" i="5"/>
  <c r="C90" i="4"/>
  <c r="A91" i="5"/>
  <c r="B91" i="4"/>
  <c r="C92" i="5"/>
  <c r="D92" i="4"/>
  <c r="A94" i="5"/>
  <c r="B94" i="4"/>
  <c r="C94" i="5"/>
  <c r="D94" i="4"/>
  <c r="E94" i="5"/>
  <c r="F94" i="4"/>
  <c r="T94" i="2"/>
  <c r="D95" i="5"/>
  <c r="E95" i="4"/>
  <c r="Y95" i="2"/>
  <c r="A96" i="5"/>
  <c r="B96" i="4"/>
  <c r="C96" i="5"/>
  <c r="D96" i="4"/>
  <c r="D97" i="5"/>
  <c r="E97" i="4"/>
  <c r="P97" i="2"/>
  <c r="D98" i="5"/>
  <c r="E98" i="4"/>
  <c r="Z98" i="2"/>
  <c r="G98" i="4"/>
  <c r="R98" i="2"/>
  <c r="AP98" i="2" s="1"/>
  <c r="Q98" i="2"/>
  <c r="E99" i="5"/>
  <c r="F99" i="4"/>
  <c r="T99" i="2"/>
  <c r="B100" i="5"/>
  <c r="C100" i="4"/>
  <c r="D100" i="5"/>
  <c r="E100" i="4"/>
  <c r="Z100" i="2"/>
  <c r="A101" i="5"/>
  <c r="B101" i="4"/>
  <c r="C101" i="5"/>
  <c r="D101" i="4"/>
  <c r="D102" i="5"/>
  <c r="E102" i="4"/>
  <c r="Z102" i="2"/>
  <c r="Y102" i="2"/>
  <c r="G102" i="4"/>
  <c r="R102" i="2"/>
  <c r="AP102" i="2" s="1"/>
  <c r="Q102" i="2"/>
  <c r="B104" i="5"/>
  <c r="C104" i="4"/>
  <c r="E104" i="5"/>
  <c r="F104" i="4"/>
  <c r="B106" i="5"/>
  <c r="C106" i="4"/>
  <c r="D107" i="5"/>
  <c r="E107" i="4"/>
  <c r="Y107" i="2"/>
  <c r="D108" i="5"/>
  <c r="E108" i="4"/>
  <c r="Z108" i="2"/>
  <c r="AK108" i="2"/>
  <c r="AF108" i="2"/>
  <c r="AA108" i="2"/>
  <c r="U108" i="2"/>
  <c r="B109" i="5"/>
  <c r="C109" i="4"/>
  <c r="D109" i="5"/>
  <c r="E109" i="4"/>
  <c r="Z109" i="2"/>
  <c r="Y109" i="2"/>
  <c r="C110" i="5"/>
  <c r="D110" i="4"/>
  <c r="E110" i="5"/>
  <c r="F110" i="4"/>
  <c r="T110" i="2"/>
  <c r="A111" i="5"/>
  <c r="B111" i="4"/>
  <c r="P111" i="2"/>
  <c r="A112" i="5"/>
  <c r="B112" i="4"/>
  <c r="C112" i="5"/>
  <c r="D112" i="4"/>
  <c r="E113" i="5"/>
  <c r="F113" i="4"/>
  <c r="T113" i="2"/>
  <c r="C115" i="5"/>
  <c r="D115" i="4"/>
  <c r="E115" i="5"/>
  <c r="F115" i="4"/>
  <c r="T115" i="2"/>
  <c r="A117" i="5"/>
  <c r="B117" i="4"/>
  <c r="C117" i="5"/>
  <c r="D117" i="4"/>
  <c r="D118" i="5"/>
  <c r="E118" i="4"/>
  <c r="Z118" i="2"/>
  <c r="Y118" i="2"/>
  <c r="G118" i="4"/>
  <c r="R118" i="2"/>
  <c r="AP118" i="2" s="1"/>
  <c r="Q118" i="2"/>
  <c r="B120" i="5"/>
  <c r="C120" i="4"/>
  <c r="E120" i="5"/>
  <c r="F120" i="4"/>
  <c r="B122" i="5"/>
  <c r="C122" i="4"/>
  <c r="D123" i="5"/>
  <c r="E123" i="4"/>
  <c r="Y123" i="2"/>
  <c r="D124" i="5"/>
  <c r="E124" i="4"/>
  <c r="Z124" i="2"/>
  <c r="AK124" i="2"/>
  <c r="AF124" i="2"/>
  <c r="AA124" i="2"/>
  <c r="U124" i="2"/>
  <c r="B125" i="5"/>
  <c r="C125" i="4"/>
  <c r="D125" i="5"/>
  <c r="E125" i="4"/>
  <c r="Z125" i="2"/>
  <c r="Y125" i="2"/>
  <c r="C126" i="5"/>
  <c r="D126" i="4"/>
  <c r="E126" i="5"/>
  <c r="F126" i="4"/>
  <c r="T126" i="2"/>
  <c r="A127" i="5"/>
  <c r="B127" i="4"/>
  <c r="P127" i="2"/>
  <c r="A128" i="5"/>
  <c r="B128" i="4"/>
  <c r="C128" i="5"/>
  <c r="D128" i="4"/>
  <c r="E129" i="5"/>
  <c r="F129" i="4"/>
  <c r="T129" i="2"/>
  <c r="C131" i="5"/>
  <c r="D131" i="4"/>
  <c r="E131" i="5"/>
  <c r="F131" i="4"/>
  <c r="T131" i="2"/>
  <c r="A133" i="5"/>
  <c r="B133" i="4"/>
  <c r="C133" i="5"/>
  <c r="D133" i="4"/>
  <c r="D134" i="5"/>
  <c r="E134" i="4"/>
  <c r="Z134" i="2"/>
  <c r="Y134" i="2"/>
  <c r="G134" i="4"/>
  <c r="R134" i="2"/>
  <c r="AP134" i="2" s="1"/>
  <c r="Q134" i="2"/>
  <c r="B136" i="5"/>
  <c r="C136" i="4"/>
  <c r="E136" i="5"/>
  <c r="F136" i="4"/>
  <c r="B138" i="5"/>
  <c r="C138" i="4"/>
  <c r="D139" i="5"/>
  <c r="E139" i="4"/>
  <c r="Y139" i="2"/>
  <c r="D140" i="5"/>
  <c r="E140" i="4"/>
  <c r="Z140" i="2"/>
  <c r="AK140" i="2"/>
  <c r="AF140" i="2"/>
  <c r="AA140" i="2"/>
  <c r="U140" i="2"/>
  <c r="B141" i="5"/>
  <c r="C141" i="4"/>
  <c r="D141" i="5"/>
  <c r="E141" i="4"/>
  <c r="Z141" i="2"/>
  <c r="Y141" i="2"/>
  <c r="C142" i="5"/>
  <c r="D142" i="4"/>
  <c r="E142" i="5"/>
  <c r="F142" i="4"/>
  <c r="T142" i="2"/>
  <c r="A143" i="5"/>
  <c r="B143" i="4"/>
  <c r="P143" i="2"/>
  <c r="A144" i="5"/>
  <c r="B144" i="4"/>
  <c r="C144" i="5"/>
  <c r="D144" i="4"/>
  <c r="E145" i="5"/>
  <c r="F145" i="4"/>
  <c r="T145" i="2"/>
  <c r="C147" i="5"/>
  <c r="D147" i="4"/>
  <c r="E147" i="5"/>
  <c r="F147" i="4"/>
  <c r="T147" i="2"/>
  <c r="A149" i="5"/>
  <c r="B149" i="4"/>
  <c r="C149" i="5"/>
  <c r="D149" i="4"/>
  <c r="D150" i="5"/>
  <c r="E150" i="4"/>
  <c r="Z150" i="2"/>
  <c r="Y150" i="2"/>
  <c r="G150" i="4"/>
  <c r="R150" i="2"/>
  <c r="AP150" i="2" s="1"/>
  <c r="Q150" i="2"/>
  <c r="B152" i="5"/>
  <c r="C152" i="4"/>
  <c r="E152" i="5"/>
  <c r="F152" i="4"/>
  <c r="B154" i="5"/>
  <c r="C154" i="4"/>
  <c r="D155" i="5"/>
  <c r="E155" i="4"/>
  <c r="Y155" i="2"/>
  <c r="D156" i="5"/>
  <c r="E156" i="4"/>
  <c r="Z156" i="2"/>
  <c r="AK156" i="2"/>
  <c r="AF156" i="2"/>
  <c r="AA156" i="2"/>
  <c r="U156" i="2"/>
  <c r="B157" i="5"/>
  <c r="C157" i="4"/>
  <c r="D157" i="5"/>
  <c r="E157" i="4"/>
  <c r="Z157" i="2"/>
  <c r="Y157" i="2"/>
  <c r="C158" i="5"/>
  <c r="D158" i="4"/>
  <c r="F158" i="4"/>
  <c r="E158" i="5"/>
  <c r="T158" i="2"/>
  <c r="A159" i="5"/>
  <c r="B159" i="4"/>
  <c r="P159" i="2"/>
  <c r="A160" i="5"/>
  <c r="B160" i="4"/>
  <c r="C160" i="5"/>
  <c r="D160" i="4"/>
  <c r="E161" i="5"/>
  <c r="F161" i="4"/>
  <c r="T161" i="2"/>
  <c r="D163" i="4"/>
  <c r="C163" i="5"/>
  <c r="E163" i="5"/>
  <c r="F163" i="4"/>
  <c r="T163" i="2"/>
  <c r="A165" i="5"/>
  <c r="B165" i="4"/>
  <c r="C165" i="5"/>
  <c r="D165" i="4"/>
  <c r="E166" i="4"/>
  <c r="D166" i="5"/>
  <c r="Z166" i="2"/>
  <c r="Y166" i="2"/>
  <c r="G166" i="4"/>
  <c r="R166" i="2"/>
  <c r="AP166" i="2" s="1"/>
  <c r="Q166" i="2"/>
  <c r="C168" i="4"/>
  <c r="B168" i="5"/>
  <c r="E168" i="5"/>
  <c r="F168" i="4"/>
  <c r="C170" i="4"/>
  <c r="B170" i="5"/>
  <c r="E171" i="4"/>
  <c r="D171" i="5"/>
  <c r="Y171" i="2"/>
  <c r="D172" i="5"/>
  <c r="E172" i="4"/>
  <c r="Z172" i="2"/>
  <c r="AK172" i="2"/>
  <c r="AF172" i="2"/>
  <c r="AA172" i="2"/>
  <c r="U172" i="2"/>
  <c r="B173" i="5"/>
  <c r="C173" i="4"/>
  <c r="D173" i="5"/>
  <c r="E173" i="4"/>
  <c r="Z173" i="2"/>
  <c r="Y173" i="2"/>
  <c r="C174" i="5"/>
  <c r="D174" i="4"/>
  <c r="F174" i="4"/>
  <c r="E174" i="5"/>
  <c r="T174" i="2"/>
  <c r="A175" i="5"/>
  <c r="B175" i="4"/>
  <c r="P175" i="2"/>
  <c r="A176" i="5"/>
  <c r="B176" i="4"/>
  <c r="C176" i="5"/>
  <c r="D176" i="4"/>
  <c r="E177" i="5"/>
  <c r="F177" i="4"/>
  <c r="T177" i="2"/>
  <c r="C179" i="5"/>
  <c r="D179" i="4"/>
  <c r="E179" i="5"/>
  <c r="F179" i="4"/>
  <c r="T179" i="2"/>
  <c r="A181" i="5"/>
  <c r="B181" i="4"/>
  <c r="C181" i="5"/>
  <c r="D181" i="4"/>
  <c r="D182" i="5"/>
  <c r="E182" i="4"/>
  <c r="Z182" i="2"/>
  <c r="Y182" i="2"/>
  <c r="G182" i="4"/>
  <c r="R182" i="2"/>
  <c r="AP182" i="2" s="1"/>
  <c r="Q182" i="2"/>
  <c r="B184" i="5"/>
  <c r="C184" i="4"/>
  <c r="E184" i="5"/>
  <c r="F184" i="4"/>
  <c r="B186" i="5"/>
  <c r="C186" i="4"/>
  <c r="D187" i="5"/>
  <c r="E187" i="4"/>
  <c r="Y187" i="2"/>
  <c r="D188" i="5"/>
  <c r="E188" i="4"/>
  <c r="Z188" i="2"/>
  <c r="AK188" i="2"/>
  <c r="AF188" i="2"/>
  <c r="AA188" i="2"/>
  <c r="U188" i="2"/>
  <c r="B189" i="5"/>
  <c r="C189" i="4"/>
  <c r="D189" i="5"/>
  <c r="E189" i="4"/>
  <c r="Z189" i="2"/>
  <c r="Y189" i="2"/>
  <c r="C190" i="5"/>
  <c r="D190" i="4"/>
  <c r="E190" i="5"/>
  <c r="F190" i="4"/>
  <c r="T190" i="2"/>
  <c r="A191" i="5"/>
  <c r="B191" i="4"/>
  <c r="P191" i="2"/>
  <c r="A192" i="5"/>
  <c r="B192" i="4"/>
  <c r="C192" i="5"/>
  <c r="D192" i="4"/>
  <c r="E193" i="5"/>
  <c r="F193" i="4"/>
  <c r="T193" i="2"/>
  <c r="C195" i="5"/>
  <c r="D195" i="4"/>
  <c r="E195" i="5"/>
  <c r="F195" i="4"/>
  <c r="T195" i="2"/>
  <c r="A197" i="5"/>
  <c r="B197" i="4"/>
  <c r="C197" i="5"/>
  <c r="D197" i="4"/>
  <c r="D198" i="5"/>
  <c r="E198" i="4"/>
  <c r="Z198" i="2"/>
  <c r="Y198" i="2"/>
  <c r="G198" i="4"/>
  <c r="R198" i="2"/>
  <c r="AP198" i="2" s="1"/>
  <c r="Q198" i="2"/>
  <c r="B200" i="5"/>
  <c r="C200" i="4"/>
  <c r="E200" i="5"/>
  <c r="F200" i="4"/>
  <c r="D203" i="5"/>
  <c r="Y203" i="2"/>
  <c r="D204" i="5"/>
  <c r="Z204" i="2"/>
  <c r="D205" i="5"/>
  <c r="Z205" i="2"/>
  <c r="Y205" i="2"/>
  <c r="E206" i="5"/>
  <c r="T206" i="2"/>
  <c r="P207" i="2"/>
  <c r="T208" i="2"/>
  <c r="E209" i="5"/>
  <c r="T209" i="2"/>
  <c r="E210" i="5"/>
  <c r="T210" i="2"/>
  <c r="D211" i="5"/>
  <c r="Z211" i="2"/>
  <c r="Y211" i="2"/>
  <c r="E212" i="5"/>
  <c r="T212" i="2"/>
  <c r="P215" i="2"/>
  <c r="D216" i="5"/>
  <c r="Z216" i="2"/>
  <c r="Y216" i="2"/>
  <c r="E219" i="5"/>
  <c r="T219" i="2"/>
  <c r="D221" i="5"/>
  <c r="Z221" i="2"/>
  <c r="Y221" i="2"/>
  <c r="E225" i="5"/>
  <c r="T225" i="2"/>
  <c r="E226" i="5"/>
  <c r="T226" i="2"/>
  <c r="D227" i="5"/>
  <c r="Z227" i="2"/>
  <c r="Y227" i="2"/>
  <c r="E228" i="5"/>
  <c r="T228" i="2"/>
  <c r="P231" i="2"/>
  <c r="D232" i="5"/>
  <c r="Z232" i="2"/>
  <c r="Y232" i="2"/>
  <c r="E235" i="5"/>
  <c r="T235" i="2"/>
  <c r="D237" i="5"/>
  <c r="Z237" i="2"/>
  <c r="Y237" i="2"/>
  <c r="E241" i="5"/>
  <c r="T241" i="2"/>
  <c r="E242" i="5"/>
  <c r="T242" i="2"/>
  <c r="D243" i="5"/>
  <c r="Z243" i="2"/>
  <c r="Y243" i="2"/>
  <c r="E244" i="5"/>
  <c r="T244" i="2"/>
  <c r="P247" i="2"/>
  <c r="D248" i="5"/>
  <c r="Z248" i="2"/>
  <c r="Y248" i="2"/>
  <c r="E251" i="5"/>
  <c r="T251" i="2"/>
  <c r="D253" i="5"/>
  <c r="Z253" i="2"/>
  <c r="Y253" i="2"/>
  <c r="E257" i="5"/>
  <c r="T257" i="2"/>
  <c r="E258" i="5"/>
  <c r="T258" i="2"/>
  <c r="D259" i="5"/>
  <c r="Z259" i="2"/>
  <c r="Y259" i="2"/>
  <c r="E260" i="5"/>
  <c r="T260" i="2"/>
  <c r="P263" i="2"/>
  <c r="D264" i="5"/>
  <c r="Z264" i="2"/>
  <c r="Y264" i="2"/>
  <c r="E267" i="5"/>
  <c r="T267" i="2"/>
  <c r="D269" i="5"/>
  <c r="Z269" i="2"/>
  <c r="Y269" i="2"/>
  <c r="E273" i="5"/>
  <c r="T273" i="2"/>
  <c r="E274" i="5"/>
  <c r="T274" i="2"/>
  <c r="D275" i="5"/>
  <c r="Z275" i="2"/>
  <c r="Y275" i="2"/>
  <c r="E276" i="5"/>
  <c r="T276" i="2"/>
  <c r="P279" i="2"/>
  <c r="D280" i="5"/>
  <c r="Z280" i="2"/>
  <c r="Y280" i="2"/>
  <c r="E283" i="5"/>
  <c r="T283" i="2"/>
  <c r="D285" i="5"/>
  <c r="Z285" i="2"/>
  <c r="Y285" i="2"/>
  <c r="E289" i="5"/>
  <c r="T289" i="2"/>
  <c r="E290" i="5"/>
  <c r="T290" i="2"/>
  <c r="D291" i="5"/>
  <c r="Z291" i="2"/>
  <c r="Y291" i="2"/>
  <c r="E292" i="5"/>
  <c r="T292" i="2"/>
  <c r="P295" i="2"/>
  <c r="D296" i="5"/>
  <c r="Z296" i="2"/>
  <c r="Y296" i="2"/>
  <c r="E299" i="5"/>
  <c r="T299" i="2"/>
  <c r="D301" i="5"/>
  <c r="Z301" i="2"/>
  <c r="Y301" i="2"/>
  <c r="E305" i="5"/>
  <c r="T305" i="2"/>
  <c r="E306" i="5"/>
  <c r="T306" i="2"/>
  <c r="D307" i="5"/>
  <c r="Z307" i="2"/>
  <c r="Y307" i="2"/>
  <c r="E308" i="5"/>
  <c r="T308" i="2"/>
  <c r="P311" i="2"/>
  <c r="D312" i="5"/>
  <c r="Z312" i="2"/>
  <c r="Y312" i="2"/>
  <c r="E315" i="5"/>
  <c r="T315" i="2"/>
  <c r="D317" i="5"/>
  <c r="Z317" i="2"/>
  <c r="Y317" i="2"/>
  <c r="E321" i="5"/>
  <c r="T321" i="2"/>
  <c r="E322" i="5"/>
  <c r="T322" i="2"/>
  <c r="D323" i="5"/>
  <c r="Z323" i="2"/>
  <c r="Y323" i="2"/>
  <c r="D412" i="5"/>
  <c r="Z412" i="2"/>
  <c r="Y412" i="2"/>
  <c r="E417" i="5"/>
  <c r="T417" i="2"/>
  <c r="D422" i="5"/>
  <c r="Z422" i="2"/>
  <c r="Y422" i="2"/>
  <c r="E423" i="5"/>
  <c r="T423" i="2"/>
  <c r="D429" i="5"/>
  <c r="Z429" i="2"/>
  <c r="Y429" i="2"/>
  <c r="E432" i="5"/>
  <c r="T432" i="2"/>
  <c r="D433" i="5"/>
  <c r="Z433" i="2"/>
  <c r="Y433" i="2"/>
  <c r="E434" i="5"/>
  <c r="T434" i="2"/>
  <c r="D439" i="5"/>
  <c r="Y439" i="2"/>
  <c r="Z439" i="2"/>
  <c r="D444" i="5"/>
  <c r="Z444" i="2"/>
  <c r="Y444" i="2"/>
  <c r="E449" i="5"/>
  <c r="T449" i="2"/>
  <c r="D454" i="5"/>
  <c r="Z454" i="2"/>
  <c r="Y454" i="2"/>
  <c r="E455" i="5"/>
  <c r="T455" i="2"/>
  <c r="D461" i="5"/>
  <c r="Z461" i="2"/>
  <c r="Y461" i="2"/>
  <c r="E464" i="5"/>
  <c r="T464" i="2"/>
  <c r="D465" i="5"/>
  <c r="Z465" i="2"/>
  <c r="Y465" i="2"/>
  <c r="E466" i="5"/>
  <c r="T466" i="2"/>
  <c r="D471" i="5"/>
  <c r="Y471" i="2"/>
  <c r="Z471" i="2"/>
  <c r="D476" i="5"/>
  <c r="Z476" i="2"/>
  <c r="Y476" i="2"/>
  <c r="E481" i="5"/>
  <c r="T481" i="2"/>
  <c r="D486" i="5"/>
  <c r="Z486" i="2"/>
  <c r="Y486" i="2"/>
  <c r="E487" i="5"/>
  <c r="T487" i="2"/>
  <c r="D493" i="5"/>
  <c r="Z493" i="2"/>
  <c r="Y493" i="2"/>
  <c r="G2" i="4"/>
  <c r="R2" i="2"/>
  <c r="AP2" i="2" s="1"/>
  <c r="Q2" i="2"/>
  <c r="B4" i="5"/>
  <c r="C4" i="4"/>
  <c r="A5" i="5"/>
  <c r="B5" i="4"/>
  <c r="B6" i="5"/>
  <c r="C6" i="4"/>
  <c r="G8" i="4"/>
  <c r="R8" i="2"/>
  <c r="AP8" i="2" s="1"/>
  <c r="S8" i="2"/>
  <c r="A9" i="5"/>
  <c r="B9" i="4"/>
  <c r="B11" i="5"/>
  <c r="C11" i="4"/>
  <c r="E13" i="5"/>
  <c r="F13" i="4"/>
  <c r="T13" i="2"/>
  <c r="A15" i="5"/>
  <c r="B15" i="4"/>
  <c r="E15" i="5"/>
  <c r="F15" i="4"/>
  <c r="T15" i="2"/>
  <c r="D16" i="5"/>
  <c r="E16" i="4"/>
  <c r="Z16" i="2"/>
  <c r="E18" i="5"/>
  <c r="F18" i="4"/>
  <c r="C19" i="5"/>
  <c r="D19" i="4"/>
  <c r="E20" i="5"/>
  <c r="F20" i="4"/>
  <c r="D21" i="5"/>
  <c r="E21" i="4"/>
  <c r="Z21" i="2"/>
  <c r="E24" i="5"/>
  <c r="F24" i="4"/>
  <c r="T24" i="2"/>
  <c r="E25" i="5"/>
  <c r="F25" i="4"/>
  <c r="T25" i="2"/>
  <c r="A30" i="5"/>
  <c r="B30" i="4"/>
  <c r="C30" i="5"/>
  <c r="D30" i="4"/>
  <c r="S30" i="2"/>
  <c r="D31" i="5"/>
  <c r="E31" i="4"/>
  <c r="Y31" i="2"/>
  <c r="S2" i="2"/>
  <c r="Y2" i="2"/>
  <c r="AA2" i="2" s="1"/>
  <c r="B3" i="5"/>
  <c r="C3" i="4"/>
  <c r="P3" i="2"/>
  <c r="Y4" i="2"/>
  <c r="AA4" i="2" s="1"/>
  <c r="D6" i="5"/>
  <c r="E6" i="4"/>
  <c r="Z6" i="2"/>
  <c r="Y6" i="2"/>
  <c r="P6" i="2"/>
  <c r="E7" i="5"/>
  <c r="F7" i="4"/>
  <c r="T7" i="2"/>
  <c r="B8" i="5"/>
  <c r="C8" i="4"/>
  <c r="Q8" i="2"/>
  <c r="C10" i="5"/>
  <c r="D10" i="4"/>
  <c r="E10" i="5"/>
  <c r="F10" i="4"/>
  <c r="T10" i="2"/>
  <c r="C11" i="5"/>
  <c r="D11" i="4"/>
  <c r="A12" i="5"/>
  <c r="B12" i="4"/>
  <c r="B13" i="5"/>
  <c r="C13" i="4"/>
  <c r="P15" i="2"/>
  <c r="E16" i="5"/>
  <c r="F16" i="4"/>
  <c r="T16" i="2"/>
  <c r="B17" i="5"/>
  <c r="C17" i="4"/>
  <c r="E17" i="5"/>
  <c r="F17" i="4"/>
  <c r="T17" i="2"/>
  <c r="A19" i="5"/>
  <c r="B19" i="4"/>
  <c r="P20" i="2"/>
  <c r="A22" i="5"/>
  <c r="B22" i="4"/>
  <c r="S22" i="2"/>
  <c r="BD22" i="2" s="1"/>
  <c r="A24" i="5"/>
  <c r="B24" i="4"/>
  <c r="C24" i="5"/>
  <c r="D24" i="4"/>
  <c r="P25" i="2"/>
  <c r="D28" i="5"/>
  <c r="E28" i="4"/>
  <c r="Z28" i="2"/>
  <c r="A29" i="5"/>
  <c r="B29" i="4"/>
  <c r="C29" i="5"/>
  <c r="D29" i="4"/>
  <c r="B30" i="5"/>
  <c r="C30" i="4"/>
  <c r="Z31" i="2"/>
  <c r="Y33" i="2"/>
  <c r="S34" i="2"/>
  <c r="Y34" i="2"/>
  <c r="B35" i="5"/>
  <c r="C35" i="4"/>
  <c r="P35" i="2"/>
  <c r="Y36" i="2"/>
  <c r="D38" i="5"/>
  <c r="E38" i="4"/>
  <c r="Z38" i="2"/>
  <c r="Y38" i="2"/>
  <c r="P38" i="2"/>
  <c r="E39" i="5"/>
  <c r="F39" i="4"/>
  <c r="T39" i="2"/>
  <c r="B40" i="5"/>
  <c r="C40" i="4"/>
  <c r="Q40" i="2"/>
  <c r="C42" i="5"/>
  <c r="D42" i="4"/>
  <c r="E42" i="5"/>
  <c r="F42" i="4"/>
  <c r="T42" i="2"/>
  <c r="C43" i="5"/>
  <c r="D43" i="4"/>
  <c r="A44" i="5"/>
  <c r="B44" i="4"/>
  <c r="B45" i="5"/>
  <c r="C45" i="4"/>
  <c r="P47" i="2"/>
  <c r="E48" i="5"/>
  <c r="F48" i="4"/>
  <c r="T48" i="2"/>
  <c r="B49" i="5"/>
  <c r="C49" i="4"/>
  <c r="E49" i="5"/>
  <c r="F49" i="4"/>
  <c r="T49" i="2"/>
  <c r="A51" i="5"/>
  <c r="B51" i="4"/>
  <c r="P52" i="2"/>
  <c r="A54" i="5"/>
  <c r="B54" i="4"/>
  <c r="A56" i="5"/>
  <c r="B56" i="4"/>
  <c r="C56" i="5"/>
  <c r="D56" i="4"/>
  <c r="P57" i="2"/>
  <c r="D60" i="5"/>
  <c r="E60" i="4"/>
  <c r="Z60" i="2"/>
  <c r="A61" i="5"/>
  <c r="B61" i="4"/>
  <c r="C61" i="5"/>
  <c r="D61" i="4"/>
  <c r="B62" i="5"/>
  <c r="C62" i="4"/>
  <c r="Z63" i="2"/>
  <c r="Y65" i="2"/>
  <c r="S66" i="2"/>
  <c r="Y66" i="2"/>
  <c r="B67" i="5"/>
  <c r="C67" i="4"/>
  <c r="P67" i="2"/>
  <c r="Y68" i="2"/>
  <c r="D70" i="5"/>
  <c r="E70" i="4"/>
  <c r="Z70" i="2"/>
  <c r="Y70" i="2"/>
  <c r="G70" i="4"/>
  <c r="R70" i="2"/>
  <c r="AP70" i="2" s="1"/>
  <c r="E71" i="5"/>
  <c r="F71" i="4"/>
  <c r="T71" i="2"/>
  <c r="B72" i="5"/>
  <c r="C72" i="4"/>
  <c r="Q72" i="2"/>
  <c r="C74" i="5"/>
  <c r="D74" i="4"/>
  <c r="E74" i="5"/>
  <c r="F74" i="4"/>
  <c r="T74" i="2"/>
  <c r="C75" i="5"/>
  <c r="D75" i="4"/>
  <c r="A76" i="5"/>
  <c r="B76" i="4"/>
  <c r="B77" i="5"/>
  <c r="C77" i="4"/>
  <c r="P79" i="2"/>
  <c r="E80" i="5"/>
  <c r="F80" i="4"/>
  <c r="T80" i="2"/>
  <c r="B81" i="5"/>
  <c r="C81" i="4"/>
  <c r="E81" i="5"/>
  <c r="F81" i="4"/>
  <c r="T81" i="2"/>
  <c r="A83" i="5"/>
  <c r="B83" i="4"/>
  <c r="P84" i="2"/>
  <c r="A86" i="5"/>
  <c r="B86" i="4"/>
  <c r="A88" i="5"/>
  <c r="B88" i="4"/>
  <c r="C88" i="5"/>
  <c r="D88" i="4"/>
  <c r="P89" i="2"/>
  <c r="D92" i="5"/>
  <c r="E92" i="4"/>
  <c r="Z92" i="2"/>
  <c r="A93" i="5"/>
  <c r="B93" i="4"/>
  <c r="C93" i="5"/>
  <c r="D93" i="4"/>
  <c r="B94" i="5"/>
  <c r="C94" i="4"/>
  <c r="Z95" i="2"/>
  <c r="Y97" i="2"/>
  <c r="S98" i="2"/>
  <c r="Y98" i="2"/>
  <c r="B99" i="5"/>
  <c r="C99" i="4"/>
  <c r="P99" i="2"/>
  <c r="Y100" i="2"/>
  <c r="E101" i="5"/>
  <c r="F101" i="4"/>
  <c r="T101" i="2"/>
  <c r="S102" i="2"/>
  <c r="C103" i="5"/>
  <c r="D103" i="4"/>
  <c r="E103" i="5"/>
  <c r="F103" i="4"/>
  <c r="T103" i="2"/>
  <c r="P104" i="2"/>
  <c r="Y104" i="2"/>
  <c r="AA104" i="2" s="1"/>
  <c r="A105" i="5"/>
  <c r="B105" i="4"/>
  <c r="C105" i="5"/>
  <c r="D105" i="4"/>
  <c r="D106" i="5"/>
  <c r="E106" i="4"/>
  <c r="Z106" i="2"/>
  <c r="Y106" i="2"/>
  <c r="G106" i="4"/>
  <c r="R106" i="2"/>
  <c r="AP106" i="2" s="1"/>
  <c r="Q106" i="2"/>
  <c r="BD106" i="2" s="1"/>
  <c r="B108" i="5"/>
  <c r="C108" i="4"/>
  <c r="E108" i="5"/>
  <c r="F108" i="4"/>
  <c r="B110" i="5"/>
  <c r="C110" i="4"/>
  <c r="D112" i="5"/>
  <c r="E112" i="4"/>
  <c r="Z112" i="2"/>
  <c r="B113" i="5"/>
  <c r="C113" i="4"/>
  <c r="D113" i="5"/>
  <c r="E113" i="4"/>
  <c r="Z113" i="2"/>
  <c r="Y113" i="2"/>
  <c r="C114" i="5"/>
  <c r="D114" i="4"/>
  <c r="E114" i="5"/>
  <c r="F114" i="4"/>
  <c r="T114" i="2"/>
  <c r="A115" i="5"/>
  <c r="B115" i="4"/>
  <c r="P115" i="2"/>
  <c r="A116" i="5"/>
  <c r="B116" i="4"/>
  <c r="C116" i="5"/>
  <c r="D116" i="4"/>
  <c r="Q116" i="2"/>
  <c r="E117" i="5"/>
  <c r="F117" i="4"/>
  <c r="T117" i="2"/>
  <c r="S118" i="2"/>
  <c r="C119" i="5"/>
  <c r="D119" i="4"/>
  <c r="E119" i="5"/>
  <c r="F119" i="4"/>
  <c r="T119" i="2"/>
  <c r="P120" i="2"/>
  <c r="Y120" i="2"/>
  <c r="AA120" i="2" s="1"/>
  <c r="A121" i="5"/>
  <c r="B121" i="4"/>
  <c r="C121" i="5"/>
  <c r="D121" i="4"/>
  <c r="D122" i="5"/>
  <c r="E122" i="4"/>
  <c r="Z122" i="2"/>
  <c r="Y122" i="2"/>
  <c r="G122" i="4"/>
  <c r="R122" i="2"/>
  <c r="AP122" i="2" s="1"/>
  <c r="Q122" i="2"/>
  <c r="BD122" i="2" s="1"/>
  <c r="B124" i="5"/>
  <c r="C124" i="4"/>
  <c r="E124" i="5"/>
  <c r="F124" i="4"/>
  <c r="B126" i="5"/>
  <c r="C126" i="4"/>
  <c r="D128" i="5"/>
  <c r="E128" i="4"/>
  <c r="Z128" i="2"/>
  <c r="B129" i="5"/>
  <c r="C129" i="4"/>
  <c r="D129" i="5"/>
  <c r="E129" i="4"/>
  <c r="Z129" i="2"/>
  <c r="Y129" i="2"/>
  <c r="C130" i="5"/>
  <c r="D130" i="4"/>
  <c r="E130" i="5"/>
  <c r="F130" i="4"/>
  <c r="T130" i="2"/>
  <c r="A131" i="5"/>
  <c r="B131" i="4"/>
  <c r="P131" i="2"/>
  <c r="A132" i="5"/>
  <c r="B132" i="4"/>
  <c r="C132" i="5"/>
  <c r="D132" i="4"/>
  <c r="E133" i="5"/>
  <c r="F133" i="4"/>
  <c r="T133" i="2"/>
  <c r="S134" i="2"/>
  <c r="C135" i="5"/>
  <c r="D135" i="4"/>
  <c r="E135" i="5"/>
  <c r="F135" i="4"/>
  <c r="T135" i="2"/>
  <c r="P136" i="2"/>
  <c r="Y136" i="2"/>
  <c r="AA136" i="2" s="1"/>
  <c r="A137" i="5"/>
  <c r="B137" i="4"/>
  <c r="C137" i="5"/>
  <c r="D137" i="4"/>
  <c r="D138" i="5"/>
  <c r="E138" i="4"/>
  <c r="Z138" i="2"/>
  <c r="Y138" i="2"/>
  <c r="G138" i="4"/>
  <c r="R138" i="2"/>
  <c r="AP138" i="2" s="1"/>
  <c r="Q138" i="2"/>
  <c r="BD138" i="2" s="1"/>
  <c r="B140" i="5"/>
  <c r="C140" i="4"/>
  <c r="E140" i="5"/>
  <c r="F140" i="4"/>
  <c r="B142" i="5"/>
  <c r="C142" i="4"/>
  <c r="D144" i="5"/>
  <c r="E144" i="4"/>
  <c r="Z144" i="2"/>
  <c r="B145" i="5"/>
  <c r="C145" i="4"/>
  <c r="D145" i="5"/>
  <c r="E145" i="4"/>
  <c r="Z145" i="2"/>
  <c r="Y145" i="2"/>
  <c r="C146" i="5"/>
  <c r="D146" i="4"/>
  <c r="E146" i="5"/>
  <c r="F146" i="4"/>
  <c r="T146" i="2"/>
  <c r="A147" i="5"/>
  <c r="B147" i="4"/>
  <c r="P147" i="2"/>
  <c r="A148" i="5"/>
  <c r="B148" i="4"/>
  <c r="C148" i="5"/>
  <c r="D148" i="4"/>
  <c r="E149" i="5"/>
  <c r="F149" i="4"/>
  <c r="T149" i="2"/>
  <c r="S150" i="2"/>
  <c r="C151" i="5"/>
  <c r="D151" i="4"/>
  <c r="E151" i="5"/>
  <c r="F151" i="4"/>
  <c r="T151" i="2"/>
  <c r="P152" i="2"/>
  <c r="Y152" i="2"/>
  <c r="AA152" i="2" s="1"/>
  <c r="A153" i="5"/>
  <c r="B153" i="4"/>
  <c r="C153" i="5"/>
  <c r="D153" i="4"/>
  <c r="D154" i="5"/>
  <c r="E154" i="4"/>
  <c r="Z154" i="2"/>
  <c r="Y154" i="2"/>
  <c r="G154" i="4"/>
  <c r="R154" i="2"/>
  <c r="AP154" i="2" s="1"/>
  <c r="Q154" i="2"/>
  <c r="BD154" i="2" s="1"/>
  <c r="C156" i="4"/>
  <c r="B156" i="5"/>
  <c r="E156" i="5"/>
  <c r="F156" i="4"/>
  <c r="C158" i="4"/>
  <c r="B158" i="5"/>
  <c r="D160" i="5"/>
  <c r="E160" i="4"/>
  <c r="Z160" i="2"/>
  <c r="B161" i="5"/>
  <c r="C161" i="4"/>
  <c r="D161" i="5"/>
  <c r="E161" i="4"/>
  <c r="Z161" i="2"/>
  <c r="Y161" i="2"/>
  <c r="C162" i="5"/>
  <c r="D162" i="4"/>
  <c r="F162" i="4"/>
  <c r="E162" i="5"/>
  <c r="T162" i="2"/>
  <c r="A163" i="5"/>
  <c r="B163" i="4"/>
  <c r="P163" i="2"/>
  <c r="A164" i="5"/>
  <c r="B164" i="4"/>
  <c r="C164" i="5"/>
  <c r="D164" i="4"/>
  <c r="E165" i="5"/>
  <c r="F165" i="4"/>
  <c r="T165" i="2"/>
  <c r="S166" i="2"/>
  <c r="D167" i="4"/>
  <c r="C167" i="5"/>
  <c r="E167" i="5"/>
  <c r="F167" i="4"/>
  <c r="T167" i="2"/>
  <c r="P168" i="2"/>
  <c r="Y168" i="2"/>
  <c r="AA168" i="2" s="1"/>
  <c r="A169" i="5"/>
  <c r="B169" i="4"/>
  <c r="C169" i="5"/>
  <c r="D169" i="4"/>
  <c r="E170" i="4"/>
  <c r="D170" i="5"/>
  <c r="Z170" i="2"/>
  <c r="Y170" i="2"/>
  <c r="G170" i="4"/>
  <c r="R170" i="2"/>
  <c r="AP170" i="2" s="1"/>
  <c r="Q170" i="2"/>
  <c r="BD170" i="2" s="1"/>
  <c r="C172" i="4"/>
  <c r="B172" i="5"/>
  <c r="E172" i="5"/>
  <c r="F172" i="4"/>
  <c r="C174" i="4"/>
  <c r="B174" i="5"/>
  <c r="D176" i="5"/>
  <c r="E176" i="4"/>
  <c r="Z176" i="2"/>
  <c r="B177" i="5"/>
  <c r="C177" i="4"/>
  <c r="D177" i="5"/>
  <c r="E177" i="4"/>
  <c r="Z177" i="2"/>
  <c r="Y177" i="2"/>
  <c r="C178" i="5"/>
  <c r="D178" i="4"/>
  <c r="E178" i="5"/>
  <c r="F178" i="4"/>
  <c r="T178" i="2"/>
  <c r="A179" i="5"/>
  <c r="B179" i="4"/>
  <c r="P179" i="2"/>
  <c r="A180" i="5"/>
  <c r="B180" i="4"/>
  <c r="C180" i="5"/>
  <c r="D180" i="4"/>
  <c r="E181" i="5"/>
  <c r="F181" i="4"/>
  <c r="T181" i="2"/>
  <c r="S182" i="2"/>
  <c r="C183" i="5"/>
  <c r="D183" i="4"/>
  <c r="E183" i="5"/>
  <c r="F183" i="4"/>
  <c r="T183" i="2"/>
  <c r="P184" i="2"/>
  <c r="Y184" i="2"/>
  <c r="AA184" i="2" s="1"/>
  <c r="A185" i="5"/>
  <c r="B185" i="4"/>
  <c r="C185" i="5"/>
  <c r="D185" i="4"/>
  <c r="D186" i="5"/>
  <c r="E186" i="4"/>
  <c r="Z186" i="2"/>
  <c r="Y186" i="2"/>
  <c r="G186" i="4"/>
  <c r="R186" i="2"/>
  <c r="AP186" i="2" s="1"/>
  <c r="Q186" i="2"/>
  <c r="BD186" i="2" s="1"/>
  <c r="B188" i="5"/>
  <c r="C188" i="4"/>
  <c r="E188" i="5"/>
  <c r="F188" i="4"/>
  <c r="B190" i="5"/>
  <c r="C190" i="4"/>
  <c r="D192" i="5"/>
  <c r="E192" i="4"/>
  <c r="Z192" i="2"/>
  <c r="B193" i="5"/>
  <c r="C193" i="4"/>
  <c r="D193" i="5"/>
  <c r="E193" i="4"/>
  <c r="Z193" i="2"/>
  <c r="Y193" i="2"/>
  <c r="C194" i="5"/>
  <c r="D194" i="4"/>
  <c r="E194" i="5"/>
  <c r="F194" i="4"/>
  <c r="T194" i="2"/>
  <c r="A195" i="5"/>
  <c r="B195" i="4"/>
  <c r="P195" i="2"/>
  <c r="A196" i="5"/>
  <c r="B196" i="4"/>
  <c r="C196" i="5"/>
  <c r="D196" i="4"/>
  <c r="E197" i="5"/>
  <c r="F197" i="4"/>
  <c r="T197" i="2"/>
  <c r="S198" i="2"/>
  <c r="C199" i="5"/>
  <c r="D199" i="4"/>
  <c r="E199" i="5"/>
  <c r="F199" i="4"/>
  <c r="T199" i="2"/>
  <c r="P200" i="2"/>
  <c r="Y200" i="2"/>
  <c r="AA200" i="2" s="1"/>
  <c r="A201" i="5"/>
  <c r="B201" i="4"/>
  <c r="C201" i="5"/>
  <c r="D201" i="4"/>
  <c r="D202" i="5"/>
  <c r="Z202" i="2"/>
  <c r="Y202" i="2"/>
  <c r="D208" i="5"/>
  <c r="Z208" i="2"/>
  <c r="Y208" i="2"/>
  <c r="D209" i="5"/>
  <c r="Z209" i="2"/>
  <c r="P212" i="2"/>
  <c r="Y217" i="2"/>
  <c r="D220" i="5"/>
  <c r="Z220" i="2"/>
  <c r="Y220" i="2"/>
  <c r="D222" i="5"/>
  <c r="Z222" i="2"/>
  <c r="Y222" i="2"/>
  <c r="E223" i="5"/>
  <c r="T223" i="2"/>
  <c r="D225" i="5"/>
  <c r="Z225" i="2"/>
  <c r="P228" i="2"/>
  <c r="Y233" i="2"/>
  <c r="D236" i="5"/>
  <c r="Z236" i="2"/>
  <c r="Y236" i="2"/>
  <c r="D238" i="5"/>
  <c r="Z238" i="2"/>
  <c r="Y238" i="2"/>
  <c r="E239" i="5"/>
  <c r="T239" i="2"/>
  <c r="D241" i="5"/>
  <c r="Z241" i="2"/>
  <c r="P244" i="2"/>
  <c r="Y249" i="2"/>
  <c r="D252" i="5"/>
  <c r="Z252" i="2"/>
  <c r="Y252" i="2"/>
  <c r="D254" i="5"/>
  <c r="Z254" i="2"/>
  <c r="Y254" i="2"/>
  <c r="E255" i="5"/>
  <c r="T255" i="2"/>
  <c r="AK256" i="2"/>
  <c r="D257" i="5"/>
  <c r="Z257" i="2"/>
  <c r="P260" i="2"/>
  <c r="D268" i="5"/>
  <c r="Z268" i="2"/>
  <c r="Y268" i="2"/>
  <c r="D270" i="5"/>
  <c r="Z270" i="2"/>
  <c r="Y270" i="2"/>
  <c r="E271" i="5"/>
  <c r="T271" i="2"/>
  <c r="D273" i="5"/>
  <c r="Z273" i="2"/>
  <c r="P276" i="2"/>
  <c r="D279" i="5"/>
  <c r="Y279" i="2"/>
  <c r="D284" i="5"/>
  <c r="Z284" i="2"/>
  <c r="Y284" i="2"/>
  <c r="D286" i="5"/>
  <c r="Z286" i="2"/>
  <c r="Y286" i="2"/>
  <c r="E287" i="5"/>
  <c r="T287" i="2"/>
  <c r="D289" i="5"/>
  <c r="Z289" i="2"/>
  <c r="P292" i="2"/>
  <c r="D295" i="5"/>
  <c r="Y295" i="2"/>
  <c r="D300" i="5"/>
  <c r="Z300" i="2"/>
  <c r="Y300" i="2"/>
  <c r="D302" i="5"/>
  <c r="Z302" i="2"/>
  <c r="Y302" i="2"/>
  <c r="E303" i="5"/>
  <c r="T303" i="2"/>
  <c r="D305" i="5"/>
  <c r="Z305" i="2"/>
  <c r="P308" i="2"/>
  <c r="D311" i="5"/>
  <c r="Y311" i="2"/>
  <c r="D316" i="5"/>
  <c r="Z316" i="2"/>
  <c r="Y316" i="2"/>
  <c r="D318" i="5"/>
  <c r="Z318" i="2"/>
  <c r="Y318" i="2"/>
  <c r="E319" i="5"/>
  <c r="T319" i="2"/>
  <c r="D321" i="5"/>
  <c r="Z321" i="2"/>
  <c r="D327" i="5"/>
  <c r="Y327" i="2"/>
  <c r="Z327" i="2"/>
  <c r="E328" i="5"/>
  <c r="T328" i="2"/>
  <c r="D335" i="5"/>
  <c r="Y335" i="2"/>
  <c r="Z335" i="2"/>
  <c r="E336" i="5"/>
  <c r="T336" i="2"/>
  <c r="D343" i="5"/>
  <c r="Y343" i="2"/>
  <c r="Z343" i="2"/>
  <c r="E344" i="5"/>
  <c r="T344" i="2"/>
  <c r="D351" i="5"/>
  <c r="Y351" i="2"/>
  <c r="Z351" i="2"/>
  <c r="E352" i="5"/>
  <c r="T352" i="2"/>
  <c r="D359" i="5"/>
  <c r="Y359" i="2"/>
  <c r="Z359" i="2"/>
  <c r="E360" i="5"/>
  <c r="T360" i="2"/>
  <c r="D367" i="5"/>
  <c r="Y367" i="2"/>
  <c r="Z367" i="2"/>
  <c r="E368" i="5"/>
  <c r="T368" i="2"/>
  <c r="D375" i="5"/>
  <c r="Y375" i="2"/>
  <c r="Z375" i="2"/>
  <c r="E376" i="5"/>
  <c r="T376" i="2"/>
  <c r="D383" i="5"/>
  <c r="Y383" i="2"/>
  <c r="Z383" i="2"/>
  <c r="E384" i="5"/>
  <c r="T384" i="2"/>
  <c r="D391" i="5"/>
  <c r="Y391" i="2"/>
  <c r="Z391" i="2"/>
  <c r="E392" i="5"/>
  <c r="T392" i="2"/>
  <c r="D399" i="5"/>
  <c r="Y399" i="2"/>
  <c r="Z399" i="2"/>
  <c r="E400" i="5"/>
  <c r="T400" i="2"/>
  <c r="D405" i="5"/>
  <c r="Z405" i="2"/>
  <c r="Y405" i="2"/>
  <c r="E407" i="5"/>
  <c r="T407" i="2"/>
  <c r="E409" i="5"/>
  <c r="T409" i="2"/>
  <c r="D414" i="5"/>
  <c r="Z414" i="2"/>
  <c r="Y414" i="2"/>
  <c r="E415" i="5"/>
  <c r="T415" i="2"/>
  <c r="D421" i="5"/>
  <c r="Z421" i="2"/>
  <c r="Y421" i="2"/>
  <c r="E424" i="5"/>
  <c r="T424" i="2"/>
  <c r="D425" i="5"/>
  <c r="Z425" i="2"/>
  <c r="Y425" i="2"/>
  <c r="E426" i="5"/>
  <c r="T426" i="2"/>
  <c r="D431" i="5"/>
  <c r="Y431" i="2"/>
  <c r="Z431" i="2"/>
  <c r="D436" i="5"/>
  <c r="Z436" i="2"/>
  <c r="Y436" i="2"/>
  <c r="E441" i="5"/>
  <c r="T441" i="2"/>
  <c r="D446" i="5"/>
  <c r="Z446" i="2"/>
  <c r="Y446" i="2"/>
  <c r="E447" i="5"/>
  <c r="T447" i="2"/>
  <c r="D453" i="5"/>
  <c r="Z453" i="2"/>
  <c r="Y453" i="2"/>
  <c r="E456" i="5"/>
  <c r="T456" i="2"/>
  <c r="D457" i="5"/>
  <c r="Z457" i="2"/>
  <c r="Y457" i="2"/>
  <c r="E458" i="5"/>
  <c r="T458" i="2"/>
  <c r="D463" i="5"/>
  <c r="Y463" i="2"/>
  <c r="Z463" i="2"/>
  <c r="D468" i="5"/>
  <c r="Z468" i="2"/>
  <c r="Y468" i="2"/>
  <c r="E473" i="5"/>
  <c r="T473" i="2"/>
  <c r="D478" i="5"/>
  <c r="Z478" i="2"/>
  <c r="Y478" i="2"/>
  <c r="E479" i="5"/>
  <c r="T479" i="2"/>
  <c r="D485" i="5"/>
  <c r="Z485" i="2"/>
  <c r="Y485" i="2"/>
  <c r="E488" i="5"/>
  <c r="T488" i="2"/>
  <c r="D489" i="5"/>
  <c r="Z489" i="2"/>
  <c r="Y489" i="2"/>
  <c r="E490" i="5"/>
  <c r="T490" i="2"/>
  <c r="D507" i="5"/>
  <c r="Z507" i="2"/>
  <c r="Y507" i="2"/>
  <c r="D509" i="5"/>
  <c r="Z509" i="2"/>
  <c r="Y509" i="2"/>
  <c r="D515" i="5"/>
  <c r="Z515" i="2"/>
  <c r="Y515" i="2"/>
  <c r="D517" i="5"/>
  <c r="Z517" i="2"/>
  <c r="Y517" i="2"/>
  <c r="D523" i="5"/>
  <c r="Z523" i="2"/>
  <c r="Y523" i="2"/>
  <c r="D525" i="5"/>
  <c r="Z525" i="2"/>
  <c r="Y525" i="2"/>
  <c r="D531" i="5"/>
  <c r="Z531" i="2"/>
  <c r="Y531" i="2"/>
  <c r="D533" i="5"/>
  <c r="Z533" i="2"/>
  <c r="Y533" i="2"/>
  <c r="D539" i="5"/>
  <c r="Z539" i="2"/>
  <c r="Y539" i="2"/>
  <c r="D541" i="5"/>
  <c r="Z541" i="2"/>
  <c r="Y541" i="2"/>
  <c r="D547" i="5"/>
  <c r="Z547" i="2"/>
  <c r="Y547" i="2"/>
  <c r="D549" i="5"/>
  <c r="Z549" i="2"/>
  <c r="Y549" i="2"/>
  <c r="D555" i="5"/>
  <c r="Z555" i="2"/>
  <c r="Y555" i="2"/>
  <c r="E2" i="5"/>
  <c r="F2" i="4"/>
  <c r="C3" i="5"/>
  <c r="D3" i="4"/>
  <c r="E4" i="5"/>
  <c r="F4" i="4"/>
  <c r="D5" i="5"/>
  <c r="E5" i="4"/>
  <c r="Z5" i="2"/>
  <c r="P7" i="2"/>
  <c r="B9" i="5"/>
  <c r="C9" i="4"/>
  <c r="E9" i="5"/>
  <c r="F9" i="4"/>
  <c r="T9" i="2"/>
  <c r="C12" i="5"/>
  <c r="D12" i="4"/>
  <c r="A14" i="5"/>
  <c r="B14" i="4"/>
  <c r="C14" i="5"/>
  <c r="D14" i="4"/>
  <c r="D15" i="5"/>
  <c r="E15" i="4"/>
  <c r="Y15" i="2"/>
  <c r="C16" i="5"/>
  <c r="D16" i="4"/>
  <c r="D17" i="5"/>
  <c r="E17" i="4"/>
  <c r="D18" i="5"/>
  <c r="E18" i="4"/>
  <c r="Z18" i="2"/>
  <c r="E19" i="5"/>
  <c r="F19" i="4"/>
  <c r="T19" i="2"/>
  <c r="B20" i="5"/>
  <c r="C20" i="4"/>
  <c r="C21" i="5"/>
  <c r="D21" i="4"/>
  <c r="G24" i="4"/>
  <c r="R24" i="2"/>
  <c r="AP24" i="2" s="1"/>
  <c r="S24" i="2"/>
  <c r="BD24" i="2" s="1"/>
  <c r="C25" i="5"/>
  <c r="D25" i="4"/>
  <c r="E29" i="5"/>
  <c r="F29" i="4"/>
  <c r="T29" i="2"/>
  <c r="D30" i="5"/>
  <c r="E30" i="4"/>
  <c r="Z30" i="2"/>
  <c r="Y30" i="2"/>
  <c r="A31" i="5"/>
  <c r="B31" i="4"/>
  <c r="E31" i="5"/>
  <c r="F31" i="4"/>
  <c r="T31" i="2"/>
  <c r="D32" i="5"/>
  <c r="E32" i="4"/>
  <c r="Z32" i="2"/>
  <c r="Y32" i="2"/>
  <c r="C34" i="5"/>
  <c r="D34" i="4"/>
  <c r="E34" i="5"/>
  <c r="F34" i="4"/>
  <c r="T34" i="2"/>
  <c r="C35" i="5"/>
  <c r="D35" i="4"/>
  <c r="E36" i="5"/>
  <c r="F36" i="4"/>
  <c r="T36" i="2"/>
  <c r="B37" i="5"/>
  <c r="C37" i="4"/>
  <c r="D37" i="5"/>
  <c r="E37" i="4"/>
  <c r="Z37" i="2"/>
  <c r="P39" i="2"/>
  <c r="E40" i="5"/>
  <c r="F40" i="4"/>
  <c r="T40" i="2"/>
  <c r="B41" i="5"/>
  <c r="C41" i="4"/>
  <c r="E41" i="5"/>
  <c r="F41" i="4"/>
  <c r="T41" i="2"/>
  <c r="B42" i="5"/>
  <c r="C42" i="4"/>
  <c r="A43" i="5"/>
  <c r="B43" i="4"/>
  <c r="C44" i="5"/>
  <c r="D44" i="4"/>
  <c r="A46" i="5"/>
  <c r="B46" i="4"/>
  <c r="C46" i="5"/>
  <c r="D46" i="4"/>
  <c r="E46" i="5"/>
  <c r="F46" i="4"/>
  <c r="T46" i="2"/>
  <c r="D47" i="5"/>
  <c r="E47" i="4"/>
  <c r="Y47" i="2"/>
  <c r="A48" i="5"/>
  <c r="B48" i="4"/>
  <c r="C48" i="5"/>
  <c r="D48" i="4"/>
  <c r="D49" i="5"/>
  <c r="E49" i="4"/>
  <c r="P49" i="2"/>
  <c r="D50" i="5"/>
  <c r="E50" i="4"/>
  <c r="Z50" i="2"/>
  <c r="G50" i="4"/>
  <c r="R50" i="2"/>
  <c r="AP50" i="2" s="1"/>
  <c r="Q50" i="2"/>
  <c r="BD50" i="2" s="1"/>
  <c r="E51" i="5"/>
  <c r="F51" i="4"/>
  <c r="T51" i="2"/>
  <c r="B52" i="5"/>
  <c r="C52" i="4"/>
  <c r="D52" i="5"/>
  <c r="E52" i="4"/>
  <c r="Z52" i="2"/>
  <c r="A53" i="5"/>
  <c r="B53" i="4"/>
  <c r="C53" i="5"/>
  <c r="D53" i="4"/>
  <c r="B54" i="5"/>
  <c r="C54" i="4"/>
  <c r="G56" i="4"/>
  <c r="R56" i="2"/>
  <c r="AP56" i="2" s="1"/>
  <c r="S56" i="2"/>
  <c r="BD56" i="2" s="1"/>
  <c r="A57" i="5"/>
  <c r="B57" i="4"/>
  <c r="C57" i="5"/>
  <c r="D57" i="4"/>
  <c r="B59" i="5"/>
  <c r="C59" i="4"/>
  <c r="E61" i="5"/>
  <c r="F61" i="4"/>
  <c r="T61" i="2"/>
  <c r="D62" i="5"/>
  <c r="E62" i="4"/>
  <c r="Z62" i="2"/>
  <c r="Y62" i="2"/>
  <c r="G62" i="4"/>
  <c r="R62" i="2"/>
  <c r="AP62" i="2" s="1"/>
  <c r="A63" i="5"/>
  <c r="B63" i="4"/>
  <c r="C63" i="5"/>
  <c r="D63" i="4"/>
  <c r="E63" i="5"/>
  <c r="F63" i="4"/>
  <c r="T63" i="2"/>
  <c r="B64" i="5"/>
  <c r="C64" i="4"/>
  <c r="D64" i="5"/>
  <c r="E64" i="4"/>
  <c r="Z64" i="2"/>
  <c r="Y64" i="2"/>
  <c r="C66" i="5"/>
  <c r="D66" i="4"/>
  <c r="E66" i="5"/>
  <c r="F66" i="4"/>
  <c r="T66" i="2"/>
  <c r="C67" i="5"/>
  <c r="D67" i="4"/>
  <c r="A68" i="5"/>
  <c r="B68" i="4"/>
  <c r="E68" i="5"/>
  <c r="F68" i="4"/>
  <c r="T68" i="2"/>
  <c r="B69" i="5"/>
  <c r="C69" i="4"/>
  <c r="D69" i="5"/>
  <c r="E69" i="4"/>
  <c r="Z69" i="2"/>
  <c r="P71" i="2"/>
  <c r="E72" i="5"/>
  <c r="F72" i="4"/>
  <c r="T72" i="2"/>
  <c r="B73" i="5"/>
  <c r="C73" i="4"/>
  <c r="E73" i="5"/>
  <c r="F73" i="4"/>
  <c r="T73" i="2"/>
  <c r="B74" i="5"/>
  <c r="C74" i="4"/>
  <c r="A75" i="5"/>
  <c r="B75" i="4"/>
  <c r="C76" i="5"/>
  <c r="D76" i="4"/>
  <c r="A78" i="5"/>
  <c r="B78" i="4"/>
  <c r="C78" i="5"/>
  <c r="D78" i="4"/>
  <c r="E78" i="5"/>
  <c r="F78" i="4"/>
  <c r="T78" i="2"/>
  <c r="D79" i="5"/>
  <c r="E79" i="4"/>
  <c r="Y79" i="2"/>
  <c r="A80" i="5"/>
  <c r="B80" i="4"/>
  <c r="C80" i="5"/>
  <c r="D80" i="4"/>
  <c r="D81" i="5"/>
  <c r="E81" i="4"/>
  <c r="P81" i="2"/>
  <c r="D82" i="5"/>
  <c r="E82" i="4"/>
  <c r="Z82" i="2"/>
  <c r="G82" i="4"/>
  <c r="R82" i="2"/>
  <c r="AP82" i="2" s="1"/>
  <c r="Q82" i="2"/>
  <c r="BD82" i="2" s="1"/>
  <c r="E83" i="5"/>
  <c r="F83" i="4"/>
  <c r="T83" i="2"/>
  <c r="B84" i="5"/>
  <c r="C84" i="4"/>
  <c r="D84" i="5"/>
  <c r="E84" i="4"/>
  <c r="Z84" i="2"/>
  <c r="A85" i="5"/>
  <c r="B85" i="4"/>
  <c r="C85" i="5"/>
  <c r="D85" i="4"/>
  <c r="B86" i="5"/>
  <c r="C86" i="4"/>
  <c r="G88" i="4"/>
  <c r="R88" i="2"/>
  <c r="AP88" i="2" s="1"/>
  <c r="S88" i="2"/>
  <c r="BD88" i="2" s="1"/>
  <c r="A89" i="5"/>
  <c r="B89" i="4"/>
  <c r="C89" i="5"/>
  <c r="D89" i="4"/>
  <c r="B91" i="5"/>
  <c r="C91" i="4"/>
  <c r="E93" i="5"/>
  <c r="F93" i="4"/>
  <c r="T93" i="2"/>
  <c r="D94" i="5"/>
  <c r="E94" i="4"/>
  <c r="Z94" i="2"/>
  <c r="Y94" i="2"/>
  <c r="G94" i="4"/>
  <c r="R94" i="2"/>
  <c r="AP94" i="2" s="1"/>
  <c r="A95" i="5"/>
  <c r="B95" i="4"/>
  <c r="C95" i="5"/>
  <c r="D95" i="4"/>
  <c r="E95" i="5"/>
  <c r="F95" i="4"/>
  <c r="T95" i="2"/>
  <c r="B96" i="5"/>
  <c r="C96" i="4"/>
  <c r="D96" i="5"/>
  <c r="E96" i="4"/>
  <c r="Z96" i="2"/>
  <c r="Y96" i="2"/>
  <c r="C98" i="5"/>
  <c r="D98" i="4"/>
  <c r="E98" i="5"/>
  <c r="F98" i="4"/>
  <c r="T98" i="2"/>
  <c r="C99" i="5"/>
  <c r="D99" i="4"/>
  <c r="A100" i="5"/>
  <c r="B100" i="4"/>
  <c r="E100" i="5"/>
  <c r="F100" i="4"/>
  <c r="T100" i="2"/>
  <c r="B101" i="5"/>
  <c r="C101" i="4"/>
  <c r="D101" i="5"/>
  <c r="E101" i="4"/>
  <c r="Z101" i="2"/>
  <c r="Y101" i="2"/>
  <c r="C102" i="5"/>
  <c r="D102" i="4"/>
  <c r="E102" i="5"/>
  <c r="F102" i="4"/>
  <c r="T102" i="2"/>
  <c r="A103" i="5"/>
  <c r="B103" i="4"/>
  <c r="P103" i="2"/>
  <c r="A104" i="5"/>
  <c r="B104" i="4"/>
  <c r="C104" i="5"/>
  <c r="D104" i="4"/>
  <c r="E105" i="5"/>
  <c r="F105" i="4"/>
  <c r="T105" i="2"/>
  <c r="C107" i="5"/>
  <c r="D107" i="4"/>
  <c r="E107" i="5"/>
  <c r="F107" i="4"/>
  <c r="T107" i="2"/>
  <c r="A109" i="5"/>
  <c r="B109" i="4"/>
  <c r="C109" i="5"/>
  <c r="D109" i="4"/>
  <c r="D110" i="5"/>
  <c r="E110" i="4"/>
  <c r="Z110" i="2"/>
  <c r="Y110" i="2"/>
  <c r="G110" i="4"/>
  <c r="R110" i="2"/>
  <c r="AP110" i="2" s="1"/>
  <c r="Q110" i="2"/>
  <c r="BD110" i="2" s="1"/>
  <c r="B112" i="5"/>
  <c r="C112" i="4"/>
  <c r="E112" i="5"/>
  <c r="F112" i="4"/>
  <c r="B114" i="5"/>
  <c r="C114" i="4"/>
  <c r="D115" i="5"/>
  <c r="E115" i="4"/>
  <c r="Y115" i="2"/>
  <c r="D116" i="5"/>
  <c r="E116" i="4"/>
  <c r="Z116" i="2"/>
  <c r="AK116" i="2"/>
  <c r="AF116" i="2"/>
  <c r="AA116" i="2"/>
  <c r="U116" i="2"/>
  <c r="B117" i="5"/>
  <c r="C117" i="4"/>
  <c r="D117" i="5"/>
  <c r="E117" i="4"/>
  <c r="Z117" i="2"/>
  <c r="Y117" i="2"/>
  <c r="C118" i="5"/>
  <c r="D118" i="4"/>
  <c r="E118" i="5"/>
  <c r="F118" i="4"/>
  <c r="T118" i="2"/>
  <c r="A119" i="5"/>
  <c r="B119" i="4"/>
  <c r="P119" i="2"/>
  <c r="A120" i="5"/>
  <c r="B120" i="4"/>
  <c r="C120" i="5"/>
  <c r="D120" i="4"/>
  <c r="E121" i="5"/>
  <c r="F121" i="4"/>
  <c r="T121" i="2"/>
  <c r="C123" i="5"/>
  <c r="D123" i="4"/>
  <c r="E123" i="5"/>
  <c r="F123" i="4"/>
  <c r="T123" i="2"/>
  <c r="A125" i="5"/>
  <c r="B125" i="4"/>
  <c r="C125" i="5"/>
  <c r="D125" i="4"/>
  <c r="D126" i="5"/>
  <c r="E126" i="4"/>
  <c r="Z126" i="2"/>
  <c r="Y126" i="2"/>
  <c r="G126" i="4"/>
  <c r="R126" i="2"/>
  <c r="AP126" i="2" s="1"/>
  <c r="Q126" i="2"/>
  <c r="BD126" i="2" s="1"/>
  <c r="B128" i="5"/>
  <c r="C128" i="4"/>
  <c r="E128" i="5"/>
  <c r="F128" i="4"/>
  <c r="B130" i="5"/>
  <c r="C130" i="4"/>
  <c r="D131" i="5"/>
  <c r="E131" i="4"/>
  <c r="Y131" i="2"/>
  <c r="D132" i="5"/>
  <c r="E132" i="4"/>
  <c r="Z132" i="2"/>
  <c r="AK132" i="2"/>
  <c r="AF132" i="2"/>
  <c r="AA132" i="2"/>
  <c r="U132" i="2"/>
  <c r="B133" i="5"/>
  <c r="C133" i="4"/>
  <c r="D133" i="5"/>
  <c r="E133" i="4"/>
  <c r="Z133" i="2"/>
  <c r="Y133" i="2"/>
  <c r="C134" i="5"/>
  <c r="D134" i="4"/>
  <c r="E134" i="5"/>
  <c r="F134" i="4"/>
  <c r="T134" i="2"/>
  <c r="A135" i="5"/>
  <c r="B135" i="4"/>
  <c r="P135" i="2"/>
  <c r="A136" i="5"/>
  <c r="B136" i="4"/>
  <c r="C136" i="5"/>
  <c r="D136" i="4"/>
  <c r="E137" i="5"/>
  <c r="F137" i="4"/>
  <c r="T137" i="2"/>
  <c r="C139" i="5"/>
  <c r="D139" i="4"/>
  <c r="E139" i="5"/>
  <c r="F139" i="4"/>
  <c r="T139" i="2"/>
  <c r="A141" i="5"/>
  <c r="B141" i="4"/>
  <c r="C141" i="5"/>
  <c r="D141" i="4"/>
  <c r="D142" i="5"/>
  <c r="E142" i="4"/>
  <c r="Z142" i="2"/>
  <c r="Y142" i="2"/>
  <c r="G142" i="4"/>
  <c r="R142" i="2"/>
  <c r="AP142" i="2" s="1"/>
  <c r="Q142" i="2"/>
  <c r="BD142" i="2" s="1"/>
  <c r="B144" i="5"/>
  <c r="C144" i="4"/>
  <c r="E144" i="5"/>
  <c r="F144" i="4"/>
  <c r="B146" i="5"/>
  <c r="C146" i="4"/>
  <c r="D147" i="5"/>
  <c r="E147" i="4"/>
  <c r="Y147" i="2"/>
  <c r="D148" i="5"/>
  <c r="E148" i="4"/>
  <c r="Z148" i="2"/>
  <c r="AK148" i="2"/>
  <c r="AF148" i="2"/>
  <c r="AA148" i="2"/>
  <c r="U148" i="2"/>
  <c r="B149" i="5"/>
  <c r="C149" i="4"/>
  <c r="D149" i="5"/>
  <c r="E149" i="4"/>
  <c r="Z149" i="2"/>
  <c r="Y149" i="2"/>
  <c r="C150" i="5"/>
  <c r="D150" i="4"/>
  <c r="E150" i="5"/>
  <c r="F150" i="4"/>
  <c r="T150" i="2"/>
  <c r="A151" i="5"/>
  <c r="B151" i="4"/>
  <c r="P151" i="2"/>
  <c r="A152" i="5"/>
  <c r="B152" i="4"/>
  <c r="C152" i="5"/>
  <c r="D152" i="4"/>
  <c r="E153" i="5"/>
  <c r="F153" i="4"/>
  <c r="T153" i="2"/>
  <c r="D155" i="4"/>
  <c r="C155" i="5"/>
  <c r="E155" i="5"/>
  <c r="F155" i="4"/>
  <c r="T155" i="2"/>
  <c r="A157" i="5"/>
  <c r="B157" i="4"/>
  <c r="C157" i="5"/>
  <c r="D157" i="4"/>
  <c r="E158" i="4"/>
  <c r="D158" i="5"/>
  <c r="Z158" i="2"/>
  <c r="Y158" i="2"/>
  <c r="G158" i="4"/>
  <c r="R158" i="2"/>
  <c r="AP158" i="2" s="1"/>
  <c r="Q158" i="2"/>
  <c r="BD158" i="2" s="1"/>
  <c r="C160" i="4"/>
  <c r="B160" i="5"/>
  <c r="E160" i="5"/>
  <c r="F160" i="4"/>
  <c r="C162" i="4"/>
  <c r="B162" i="5"/>
  <c r="E163" i="4"/>
  <c r="D163" i="5"/>
  <c r="Y163" i="2"/>
  <c r="D164" i="5"/>
  <c r="E164" i="4"/>
  <c r="Z164" i="2"/>
  <c r="AK164" i="2"/>
  <c r="AF164" i="2"/>
  <c r="AA164" i="2"/>
  <c r="U164" i="2"/>
  <c r="B165" i="5"/>
  <c r="C165" i="4"/>
  <c r="D165" i="5"/>
  <c r="E165" i="4"/>
  <c r="Z165" i="2"/>
  <c r="Y165" i="2"/>
  <c r="C166" i="5"/>
  <c r="D166" i="4"/>
  <c r="F166" i="4"/>
  <c r="E166" i="5"/>
  <c r="T166" i="2"/>
  <c r="A167" i="5"/>
  <c r="B167" i="4"/>
  <c r="P167" i="2"/>
  <c r="A168" i="5"/>
  <c r="B168" i="4"/>
  <c r="C168" i="5"/>
  <c r="D168" i="4"/>
  <c r="E169" i="5"/>
  <c r="F169" i="4"/>
  <c r="T169" i="2"/>
  <c r="D171" i="4"/>
  <c r="C171" i="5"/>
  <c r="E171" i="5"/>
  <c r="F171" i="4"/>
  <c r="T171" i="2"/>
  <c r="A173" i="5"/>
  <c r="B173" i="4"/>
  <c r="C173" i="5"/>
  <c r="D173" i="4"/>
  <c r="E174" i="4"/>
  <c r="D174" i="5"/>
  <c r="Z174" i="2"/>
  <c r="Y174" i="2"/>
  <c r="G174" i="4"/>
  <c r="R174" i="2"/>
  <c r="AP174" i="2" s="1"/>
  <c r="Q174" i="2"/>
  <c r="BD174" i="2" s="1"/>
  <c r="B176" i="5"/>
  <c r="C176" i="4"/>
  <c r="E176" i="5"/>
  <c r="F176" i="4"/>
  <c r="B178" i="5"/>
  <c r="C178" i="4"/>
  <c r="D179" i="5"/>
  <c r="E179" i="4"/>
  <c r="Y179" i="2"/>
  <c r="D180" i="5"/>
  <c r="E180" i="4"/>
  <c r="Z180" i="2"/>
  <c r="AK180" i="2"/>
  <c r="AF180" i="2"/>
  <c r="AA180" i="2"/>
  <c r="U180" i="2"/>
  <c r="B181" i="5"/>
  <c r="C181" i="4"/>
  <c r="D181" i="5"/>
  <c r="E181" i="4"/>
  <c r="Z181" i="2"/>
  <c r="Y181" i="2"/>
  <c r="C182" i="5"/>
  <c r="D182" i="4"/>
  <c r="E182" i="5"/>
  <c r="F182" i="4"/>
  <c r="T182" i="2"/>
  <c r="A183" i="5"/>
  <c r="B183" i="4"/>
  <c r="P183" i="2"/>
  <c r="A184" i="5"/>
  <c r="B184" i="4"/>
  <c r="C184" i="5"/>
  <c r="D184" i="4"/>
  <c r="E185" i="5"/>
  <c r="F185" i="4"/>
  <c r="T185" i="2"/>
  <c r="C187" i="5"/>
  <c r="D187" i="4"/>
  <c r="E187" i="5"/>
  <c r="F187" i="4"/>
  <c r="T187" i="2"/>
  <c r="A189" i="5"/>
  <c r="B189" i="4"/>
  <c r="C189" i="5"/>
  <c r="D189" i="4"/>
  <c r="D190" i="5"/>
  <c r="E190" i="4"/>
  <c r="Z190" i="2"/>
  <c r="Y190" i="2"/>
  <c r="G190" i="4"/>
  <c r="R190" i="2"/>
  <c r="AP190" i="2" s="1"/>
  <c r="Q190" i="2"/>
  <c r="BD190" i="2" s="1"/>
  <c r="B192" i="5"/>
  <c r="C192" i="4"/>
  <c r="E192" i="5"/>
  <c r="F192" i="4"/>
  <c r="B194" i="5"/>
  <c r="C194" i="4"/>
  <c r="D195" i="5"/>
  <c r="E195" i="4"/>
  <c r="Y195" i="2"/>
  <c r="D196" i="5"/>
  <c r="E196" i="4"/>
  <c r="Z196" i="2"/>
  <c r="AK196" i="2"/>
  <c r="AF196" i="2"/>
  <c r="AA196" i="2"/>
  <c r="U196" i="2"/>
  <c r="B197" i="5"/>
  <c r="C197" i="4"/>
  <c r="D197" i="5"/>
  <c r="E197" i="4"/>
  <c r="Z197" i="2"/>
  <c r="Y197" i="2"/>
  <c r="C198" i="5"/>
  <c r="D198" i="4"/>
  <c r="E198" i="5"/>
  <c r="F198" i="4"/>
  <c r="T198" i="2"/>
  <c r="A199" i="5"/>
  <c r="B199" i="4"/>
  <c r="P199" i="2"/>
  <c r="A200" i="5"/>
  <c r="B200" i="4"/>
  <c r="C200" i="5"/>
  <c r="D200" i="4"/>
  <c r="E201" i="5"/>
  <c r="F201" i="4"/>
  <c r="T201" i="2"/>
  <c r="E203" i="5"/>
  <c r="T203" i="2"/>
  <c r="D206" i="5"/>
  <c r="Z206" i="2"/>
  <c r="Y206" i="2"/>
  <c r="E211" i="5"/>
  <c r="T211" i="2"/>
  <c r="D213" i="5"/>
  <c r="Z213" i="2"/>
  <c r="Y213" i="2"/>
  <c r="E217" i="5"/>
  <c r="T217" i="2"/>
  <c r="E218" i="5"/>
  <c r="T218" i="2"/>
  <c r="D219" i="5"/>
  <c r="Z219" i="2"/>
  <c r="Y219" i="2"/>
  <c r="E220" i="5"/>
  <c r="T220" i="2"/>
  <c r="P223" i="2"/>
  <c r="D224" i="5"/>
  <c r="Z224" i="2"/>
  <c r="Y224" i="2"/>
  <c r="E227" i="5"/>
  <c r="T227" i="2"/>
  <c r="D229" i="5"/>
  <c r="Z229" i="2"/>
  <c r="Y229" i="2"/>
  <c r="E233" i="5"/>
  <c r="T233" i="2"/>
  <c r="E234" i="5"/>
  <c r="T234" i="2"/>
  <c r="D235" i="5"/>
  <c r="Z235" i="2"/>
  <c r="Y235" i="2"/>
  <c r="E236" i="5"/>
  <c r="T236" i="2"/>
  <c r="P239" i="2"/>
  <c r="D240" i="5"/>
  <c r="Z240" i="2"/>
  <c r="Y240" i="2"/>
  <c r="E243" i="5"/>
  <c r="T243" i="2"/>
  <c r="D245" i="5"/>
  <c r="Z245" i="2"/>
  <c r="Y245" i="2"/>
  <c r="E249" i="5"/>
  <c r="T249" i="2"/>
  <c r="E250" i="5"/>
  <c r="T250" i="2"/>
  <c r="D251" i="5"/>
  <c r="Z251" i="2"/>
  <c r="Y251" i="2"/>
  <c r="E252" i="5"/>
  <c r="T252" i="2"/>
  <c r="P255" i="2"/>
  <c r="D256" i="5"/>
  <c r="Z256" i="2"/>
  <c r="Y256" i="2"/>
  <c r="E259" i="5"/>
  <c r="T259" i="2"/>
  <c r="D261" i="5"/>
  <c r="Z261" i="2"/>
  <c r="Y261" i="2"/>
  <c r="E265" i="5"/>
  <c r="T265" i="2"/>
  <c r="E266" i="5"/>
  <c r="T266" i="2"/>
  <c r="D267" i="5"/>
  <c r="Z267" i="2"/>
  <c r="Y267" i="2"/>
  <c r="E268" i="5"/>
  <c r="T268" i="2"/>
  <c r="P271" i="2"/>
  <c r="D272" i="5"/>
  <c r="Z272" i="2"/>
  <c r="Y272" i="2"/>
  <c r="E275" i="5"/>
  <c r="T275" i="2"/>
  <c r="D277" i="5"/>
  <c r="Z277" i="2"/>
  <c r="Y277" i="2"/>
  <c r="E281" i="5"/>
  <c r="T281" i="2"/>
  <c r="E282" i="5"/>
  <c r="T282" i="2"/>
  <c r="D283" i="5"/>
  <c r="Z283" i="2"/>
  <c r="Y283" i="2"/>
  <c r="E284" i="5"/>
  <c r="T284" i="2"/>
  <c r="P287" i="2"/>
  <c r="D288" i="5"/>
  <c r="Z288" i="2"/>
  <c r="Y288" i="2"/>
  <c r="E291" i="5"/>
  <c r="T291" i="2"/>
  <c r="D293" i="5"/>
  <c r="Z293" i="2"/>
  <c r="Y293" i="2"/>
  <c r="E297" i="5"/>
  <c r="T297" i="2"/>
  <c r="E298" i="5"/>
  <c r="T298" i="2"/>
  <c r="D299" i="5"/>
  <c r="Z299" i="2"/>
  <c r="Y299" i="2"/>
  <c r="E300" i="5"/>
  <c r="T300" i="2"/>
  <c r="P303" i="2"/>
  <c r="D304" i="5"/>
  <c r="Z304" i="2"/>
  <c r="Y304" i="2"/>
  <c r="E307" i="5"/>
  <c r="T307" i="2"/>
  <c r="D309" i="5"/>
  <c r="Z309" i="2"/>
  <c r="Y309" i="2"/>
  <c r="Z311" i="2"/>
  <c r="E313" i="5"/>
  <c r="T313" i="2"/>
  <c r="E314" i="5"/>
  <c r="T314" i="2"/>
  <c r="D315" i="5"/>
  <c r="Z315" i="2"/>
  <c r="Y315" i="2"/>
  <c r="E316" i="5"/>
  <c r="T316" i="2"/>
  <c r="P319" i="2"/>
  <c r="D320" i="5"/>
  <c r="Z320" i="2"/>
  <c r="Y320" i="2"/>
  <c r="E323" i="5"/>
  <c r="T323" i="2"/>
  <c r="P324" i="2"/>
  <c r="D413" i="5"/>
  <c r="Z413" i="2"/>
  <c r="Y413" i="2"/>
  <c r="E416" i="5"/>
  <c r="T416" i="2"/>
  <c r="D417" i="5"/>
  <c r="Z417" i="2"/>
  <c r="Y417" i="2"/>
  <c r="E418" i="5"/>
  <c r="T418" i="2"/>
  <c r="D423" i="5"/>
  <c r="Y423" i="2"/>
  <c r="Z423" i="2"/>
  <c r="D428" i="5"/>
  <c r="Z428" i="2"/>
  <c r="Y428" i="2"/>
  <c r="E433" i="5"/>
  <c r="T433" i="2"/>
  <c r="D438" i="5"/>
  <c r="Z438" i="2"/>
  <c r="Y438" i="2"/>
  <c r="E439" i="5"/>
  <c r="T439" i="2"/>
  <c r="D445" i="5"/>
  <c r="Z445" i="2"/>
  <c r="Y445" i="2"/>
  <c r="E448" i="5"/>
  <c r="T448" i="2"/>
  <c r="D449" i="5"/>
  <c r="Z449" i="2"/>
  <c r="Y449" i="2"/>
  <c r="E450" i="5"/>
  <c r="T450" i="2"/>
  <c r="D455" i="5"/>
  <c r="Y455" i="2"/>
  <c r="Z455" i="2"/>
  <c r="D460" i="5"/>
  <c r="Z460" i="2"/>
  <c r="Y460" i="2"/>
  <c r="E465" i="5"/>
  <c r="T465" i="2"/>
  <c r="D470" i="5"/>
  <c r="Z470" i="2"/>
  <c r="Y470" i="2"/>
  <c r="E471" i="5"/>
  <c r="T471" i="2"/>
  <c r="D477" i="5"/>
  <c r="Z477" i="2"/>
  <c r="Y477" i="2"/>
  <c r="E480" i="5"/>
  <c r="T480" i="2"/>
  <c r="D481" i="5"/>
  <c r="Z481" i="2"/>
  <c r="Y481" i="2"/>
  <c r="E482" i="5"/>
  <c r="T482" i="2"/>
  <c r="D487" i="5"/>
  <c r="Y487" i="2"/>
  <c r="Z487" i="2"/>
  <c r="D492" i="5"/>
  <c r="Z492" i="2"/>
  <c r="Y492" i="2"/>
  <c r="D495" i="5"/>
  <c r="Y495" i="2"/>
  <c r="Z495" i="2"/>
  <c r="D497" i="5"/>
  <c r="Y497" i="2"/>
  <c r="Z497" i="2"/>
  <c r="D499" i="5"/>
  <c r="Y499" i="2"/>
  <c r="Z499" i="2"/>
  <c r="D501" i="5"/>
  <c r="Y501" i="2"/>
  <c r="Z501" i="2"/>
  <c r="D503" i="5"/>
  <c r="Y503" i="2"/>
  <c r="Z503" i="2"/>
  <c r="D505" i="5"/>
  <c r="Y505" i="2"/>
  <c r="Z505" i="2"/>
  <c r="D326" i="5"/>
  <c r="Z326" i="2"/>
  <c r="P326" i="2"/>
  <c r="P327" i="2"/>
  <c r="E329" i="5"/>
  <c r="T329" i="2"/>
  <c r="Y329" i="2"/>
  <c r="D334" i="5"/>
  <c r="Z334" i="2"/>
  <c r="P334" i="2"/>
  <c r="P335" i="2"/>
  <c r="E337" i="5"/>
  <c r="T337" i="2"/>
  <c r="Y337" i="2"/>
  <c r="D342" i="5"/>
  <c r="Z342" i="2"/>
  <c r="P342" i="2"/>
  <c r="P343" i="2"/>
  <c r="E345" i="5"/>
  <c r="T345" i="2"/>
  <c r="Y345" i="2"/>
  <c r="D350" i="5"/>
  <c r="Z350" i="2"/>
  <c r="P350" i="2"/>
  <c r="P351" i="2"/>
  <c r="E353" i="5"/>
  <c r="T353" i="2"/>
  <c r="Y353" i="2"/>
  <c r="D358" i="5"/>
  <c r="Z358" i="2"/>
  <c r="P358" i="2"/>
  <c r="P359" i="2"/>
  <c r="E361" i="5"/>
  <c r="T361" i="2"/>
  <c r="Y361" i="2"/>
  <c r="D366" i="5"/>
  <c r="Z366" i="2"/>
  <c r="P366" i="2"/>
  <c r="P367" i="2"/>
  <c r="E369" i="5"/>
  <c r="T369" i="2"/>
  <c r="Y369" i="2"/>
  <c r="D374" i="5"/>
  <c r="Z374" i="2"/>
  <c r="P374" i="2"/>
  <c r="P375" i="2"/>
  <c r="E377" i="5"/>
  <c r="T377" i="2"/>
  <c r="Y377" i="2"/>
  <c r="D382" i="5"/>
  <c r="Z382" i="2"/>
  <c r="P382" i="2"/>
  <c r="P383" i="2"/>
  <c r="E385" i="5"/>
  <c r="T385" i="2"/>
  <c r="Y385" i="2"/>
  <c r="D390" i="5"/>
  <c r="Z390" i="2"/>
  <c r="P390" i="2"/>
  <c r="P391" i="2"/>
  <c r="E393" i="5"/>
  <c r="T393" i="2"/>
  <c r="Y393" i="2"/>
  <c r="D398" i="5"/>
  <c r="Z398" i="2"/>
  <c r="P398" i="2"/>
  <c r="P399" i="2"/>
  <c r="E401" i="5"/>
  <c r="T401" i="2"/>
  <c r="Y401" i="2"/>
  <c r="D406" i="5"/>
  <c r="Z406" i="2"/>
  <c r="P406" i="2"/>
  <c r="P407" i="2"/>
  <c r="P415" i="2"/>
  <c r="P423" i="2"/>
  <c r="P431" i="2"/>
  <c r="P439" i="2"/>
  <c r="P447" i="2"/>
  <c r="P455" i="2"/>
  <c r="P463" i="2"/>
  <c r="P471" i="2"/>
  <c r="P479" i="2"/>
  <c r="P487" i="2"/>
  <c r="E507" i="5"/>
  <c r="T507" i="2"/>
  <c r="E508" i="5"/>
  <c r="T508" i="2"/>
  <c r="D512" i="5"/>
  <c r="Z512" i="2"/>
  <c r="P513" i="2"/>
  <c r="P514" i="2"/>
  <c r="E515" i="5"/>
  <c r="T515" i="2"/>
  <c r="E516" i="5"/>
  <c r="T516" i="2"/>
  <c r="D520" i="5"/>
  <c r="Z520" i="2"/>
  <c r="P521" i="2"/>
  <c r="P522" i="2"/>
  <c r="E523" i="5"/>
  <c r="T523" i="2"/>
  <c r="E524" i="5"/>
  <c r="T524" i="2"/>
  <c r="D528" i="5"/>
  <c r="Z528" i="2"/>
  <c r="P529" i="2"/>
  <c r="P530" i="2"/>
  <c r="E531" i="5"/>
  <c r="T531" i="2"/>
  <c r="E532" i="5"/>
  <c r="T532" i="2"/>
  <c r="D536" i="5"/>
  <c r="Z536" i="2"/>
  <c r="P537" i="2"/>
  <c r="P538" i="2"/>
  <c r="E539" i="5"/>
  <c r="T539" i="2"/>
  <c r="E540" i="5"/>
  <c r="T540" i="2"/>
  <c r="D544" i="5"/>
  <c r="Z544" i="2"/>
  <c r="P545" i="2"/>
  <c r="P546" i="2"/>
  <c r="E547" i="5"/>
  <c r="T547" i="2"/>
  <c r="E548" i="5"/>
  <c r="T548" i="2"/>
  <c r="D552" i="5"/>
  <c r="Z552" i="2"/>
  <c r="P553" i="2"/>
  <c r="P554" i="2"/>
  <c r="E555" i="5"/>
  <c r="T555" i="2"/>
  <c r="P556" i="2"/>
  <c r="P558" i="2"/>
  <c r="P560" i="2"/>
  <c r="P562" i="2"/>
  <c r="P564" i="2"/>
  <c r="P566" i="2"/>
  <c r="P568" i="2"/>
  <c r="P570" i="2"/>
  <c r="P572" i="2"/>
  <c r="P574" i="2"/>
  <c r="P576" i="2"/>
  <c r="P578" i="2"/>
  <c r="P580" i="2"/>
  <c r="P582" i="2"/>
  <c r="P584" i="2"/>
  <c r="P586" i="2"/>
  <c r="P588" i="2"/>
  <c r="P590" i="2"/>
  <c r="P592" i="2"/>
  <c r="P594" i="2"/>
  <c r="P596" i="2"/>
  <c r="P598" i="2"/>
  <c r="P600" i="2"/>
  <c r="P602" i="2"/>
  <c r="P604" i="2"/>
  <c r="P606" i="2"/>
  <c r="P608" i="2"/>
  <c r="P610" i="2"/>
  <c r="P612" i="2"/>
  <c r="P614" i="2"/>
  <c r="P616" i="2"/>
  <c r="P618" i="2"/>
  <c r="E619" i="5"/>
  <c r="T619" i="2"/>
  <c r="E726" i="5"/>
  <c r="T726" i="2"/>
  <c r="E727" i="5"/>
  <c r="T727" i="2"/>
  <c r="E734" i="5"/>
  <c r="T734" i="2"/>
  <c r="E743" i="5"/>
  <c r="T743" i="2"/>
  <c r="E750" i="5"/>
  <c r="T750" i="2"/>
  <c r="E759" i="5"/>
  <c r="T759" i="2"/>
  <c r="E766" i="5"/>
  <c r="T766" i="2"/>
  <c r="E775" i="5"/>
  <c r="T775" i="2"/>
  <c r="E782" i="5"/>
  <c r="T782" i="2"/>
  <c r="E791" i="5"/>
  <c r="T791" i="2"/>
  <c r="E798" i="5"/>
  <c r="T798" i="2"/>
  <c r="E807" i="5"/>
  <c r="T807" i="2"/>
  <c r="E814" i="5"/>
  <c r="T814" i="2"/>
  <c r="E823" i="5"/>
  <c r="T823" i="2"/>
  <c r="E830" i="5"/>
  <c r="T830" i="2"/>
  <c r="E839" i="5"/>
  <c r="T839" i="2"/>
  <c r="E846" i="5"/>
  <c r="T846" i="2"/>
  <c r="E855" i="5"/>
  <c r="T855" i="2"/>
  <c r="E862" i="5"/>
  <c r="T862" i="2"/>
  <c r="E871" i="5"/>
  <c r="T871" i="2"/>
  <c r="E878" i="5"/>
  <c r="T878" i="2"/>
  <c r="E936" i="5"/>
  <c r="T936" i="2"/>
  <c r="A102" i="5"/>
  <c r="B102" i="4"/>
  <c r="P105" i="2"/>
  <c r="B107" i="5"/>
  <c r="C107" i="4"/>
  <c r="A110" i="5"/>
  <c r="B110" i="4"/>
  <c r="P113" i="2"/>
  <c r="B115" i="5"/>
  <c r="C115" i="4"/>
  <c r="A118" i="5"/>
  <c r="B118" i="4"/>
  <c r="P121" i="2"/>
  <c r="B123" i="5"/>
  <c r="C123" i="4"/>
  <c r="A126" i="5"/>
  <c r="B126" i="4"/>
  <c r="P129" i="2"/>
  <c r="B131" i="5"/>
  <c r="C131" i="4"/>
  <c r="A134" i="5"/>
  <c r="B134" i="4"/>
  <c r="P137" i="2"/>
  <c r="B139" i="5"/>
  <c r="C139" i="4"/>
  <c r="A142" i="5"/>
  <c r="B142" i="4"/>
  <c r="P145" i="2"/>
  <c r="B147" i="5"/>
  <c r="C147" i="4"/>
  <c r="A150" i="5"/>
  <c r="B150" i="4"/>
  <c r="P153" i="2"/>
  <c r="B155" i="5"/>
  <c r="C155" i="4"/>
  <c r="B158" i="4"/>
  <c r="A158" i="5"/>
  <c r="P161" i="2"/>
  <c r="B163" i="5"/>
  <c r="C163" i="4"/>
  <c r="B166" i="4"/>
  <c r="A166" i="5"/>
  <c r="P169" i="2"/>
  <c r="B171" i="5"/>
  <c r="C171" i="4"/>
  <c r="B174" i="4"/>
  <c r="A174" i="5"/>
  <c r="P177" i="2"/>
  <c r="B179" i="5"/>
  <c r="C179" i="4"/>
  <c r="A182" i="5"/>
  <c r="B182" i="4"/>
  <c r="P185" i="2"/>
  <c r="B187" i="5"/>
  <c r="C187" i="4"/>
  <c r="A190" i="5"/>
  <c r="B190" i="4"/>
  <c r="P193" i="2"/>
  <c r="B195" i="5"/>
  <c r="C195" i="4"/>
  <c r="A198" i="5"/>
  <c r="B198" i="4"/>
  <c r="P201" i="2"/>
  <c r="P209" i="2"/>
  <c r="P217" i="2"/>
  <c r="P225" i="2"/>
  <c r="P233" i="2"/>
  <c r="P241" i="2"/>
  <c r="P249" i="2"/>
  <c r="P257" i="2"/>
  <c r="P265" i="2"/>
  <c r="P273" i="2"/>
  <c r="P281" i="2"/>
  <c r="P289" i="2"/>
  <c r="P297" i="2"/>
  <c r="P305" i="2"/>
  <c r="P313" i="2"/>
  <c r="P321" i="2"/>
  <c r="D328" i="5"/>
  <c r="Z328" i="2"/>
  <c r="P328" i="2"/>
  <c r="P329" i="2"/>
  <c r="Z329" i="2"/>
  <c r="E331" i="5"/>
  <c r="T331" i="2"/>
  <c r="Y331" i="2"/>
  <c r="D336" i="5"/>
  <c r="Z336" i="2"/>
  <c r="P336" i="2"/>
  <c r="P337" i="2"/>
  <c r="Z337" i="2"/>
  <c r="E339" i="5"/>
  <c r="T339" i="2"/>
  <c r="Y339" i="2"/>
  <c r="D344" i="5"/>
  <c r="Z344" i="2"/>
  <c r="P344" i="2"/>
  <c r="P345" i="2"/>
  <c r="Z345" i="2"/>
  <c r="E347" i="5"/>
  <c r="T347" i="2"/>
  <c r="Y347" i="2"/>
  <c r="D352" i="5"/>
  <c r="Z352" i="2"/>
  <c r="P352" i="2"/>
  <c r="P353" i="2"/>
  <c r="Z353" i="2"/>
  <c r="E355" i="5"/>
  <c r="T355" i="2"/>
  <c r="Y355" i="2"/>
  <c r="D360" i="5"/>
  <c r="Z360" i="2"/>
  <c r="P360" i="2"/>
  <c r="P361" i="2"/>
  <c r="Z361" i="2"/>
  <c r="E363" i="5"/>
  <c r="T363" i="2"/>
  <c r="Y363" i="2"/>
  <c r="D368" i="5"/>
  <c r="Z368" i="2"/>
  <c r="P368" i="2"/>
  <c r="P369" i="2"/>
  <c r="Z369" i="2"/>
  <c r="E371" i="5"/>
  <c r="T371" i="2"/>
  <c r="Y371" i="2"/>
  <c r="D376" i="5"/>
  <c r="Z376" i="2"/>
  <c r="P376" i="2"/>
  <c r="P377" i="2"/>
  <c r="Z377" i="2"/>
  <c r="E379" i="5"/>
  <c r="T379" i="2"/>
  <c r="Y379" i="2"/>
  <c r="D384" i="5"/>
  <c r="Z384" i="2"/>
  <c r="P384" i="2"/>
  <c r="P385" i="2"/>
  <c r="Z385" i="2"/>
  <c r="E387" i="5"/>
  <c r="T387" i="2"/>
  <c r="Y387" i="2"/>
  <c r="D392" i="5"/>
  <c r="Z392" i="2"/>
  <c r="P392" i="2"/>
  <c r="P393" i="2"/>
  <c r="Z393" i="2"/>
  <c r="E395" i="5"/>
  <c r="T395" i="2"/>
  <c r="Y395" i="2"/>
  <c r="D400" i="5"/>
  <c r="Z400" i="2"/>
  <c r="P400" i="2"/>
  <c r="P401" i="2"/>
  <c r="Z401" i="2"/>
  <c r="E403" i="5"/>
  <c r="T403" i="2"/>
  <c r="Y403" i="2"/>
  <c r="D408" i="5"/>
  <c r="Z408" i="2"/>
  <c r="P408" i="2"/>
  <c r="P409" i="2"/>
  <c r="E411" i="5"/>
  <c r="T411" i="2"/>
  <c r="Y411" i="2"/>
  <c r="D416" i="5"/>
  <c r="Z416" i="2"/>
  <c r="P416" i="2"/>
  <c r="P417" i="2"/>
  <c r="E419" i="5"/>
  <c r="T419" i="2"/>
  <c r="Y419" i="2"/>
  <c r="D424" i="5"/>
  <c r="Z424" i="2"/>
  <c r="P424" i="2"/>
  <c r="P425" i="2"/>
  <c r="E427" i="5"/>
  <c r="T427" i="2"/>
  <c r="Y427" i="2"/>
  <c r="D432" i="5"/>
  <c r="Z432" i="2"/>
  <c r="P432" i="2"/>
  <c r="P433" i="2"/>
  <c r="E435" i="5"/>
  <c r="T435" i="2"/>
  <c r="Y435" i="2"/>
  <c r="D440" i="5"/>
  <c r="Z440" i="2"/>
  <c r="P440" i="2"/>
  <c r="P441" i="2"/>
  <c r="E443" i="5"/>
  <c r="T443" i="2"/>
  <c r="Y443" i="2"/>
  <c r="D448" i="5"/>
  <c r="Z448" i="2"/>
  <c r="P448" i="2"/>
  <c r="P449" i="2"/>
  <c r="E451" i="5"/>
  <c r="T451" i="2"/>
  <c r="Y451" i="2"/>
  <c r="D456" i="5"/>
  <c r="Z456" i="2"/>
  <c r="P456" i="2"/>
  <c r="P457" i="2"/>
  <c r="E459" i="5"/>
  <c r="T459" i="2"/>
  <c r="Y459" i="2"/>
  <c r="D464" i="5"/>
  <c r="Z464" i="2"/>
  <c r="P464" i="2"/>
  <c r="P465" i="2"/>
  <c r="E467" i="5"/>
  <c r="T467" i="2"/>
  <c r="Y467" i="2"/>
  <c r="D472" i="5"/>
  <c r="Z472" i="2"/>
  <c r="P472" i="2"/>
  <c r="P473" i="2"/>
  <c r="E475" i="5"/>
  <c r="T475" i="2"/>
  <c r="Y475" i="2"/>
  <c r="D480" i="5"/>
  <c r="Z480" i="2"/>
  <c r="P480" i="2"/>
  <c r="P481" i="2"/>
  <c r="E483" i="5"/>
  <c r="T483" i="2"/>
  <c r="Y483" i="2"/>
  <c r="D488" i="5"/>
  <c r="Z488" i="2"/>
  <c r="P488" i="2"/>
  <c r="P489" i="2"/>
  <c r="E491" i="5"/>
  <c r="T491" i="2"/>
  <c r="Y491" i="2"/>
  <c r="D496" i="5"/>
  <c r="Z496" i="2"/>
  <c r="D498" i="5"/>
  <c r="Z498" i="2"/>
  <c r="D500" i="5"/>
  <c r="Z500" i="2"/>
  <c r="D502" i="5"/>
  <c r="Z502" i="2"/>
  <c r="D504" i="5"/>
  <c r="Z504" i="2"/>
  <c r="D506" i="5"/>
  <c r="Z506" i="2"/>
  <c r="P507" i="2"/>
  <c r="P508" i="2"/>
  <c r="E509" i="5"/>
  <c r="T509" i="2"/>
  <c r="E510" i="5"/>
  <c r="T510" i="2"/>
  <c r="D511" i="5"/>
  <c r="Z511" i="2"/>
  <c r="Y511" i="2"/>
  <c r="D514" i="5"/>
  <c r="Z514" i="2"/>
  <c r="P515" i="2"/>
  <c r="P516" i="2"/>
  <c r="E517" i="5"/>
  <c r="T517" i="2"/>
  <c r="E518" i="5"/>
  <c r="T518" i="2"/>
  <c r="D519" i="5"/>
  <c r="Z519" i="2"/>
  <c r="Y519" i="2"/>
  <c r="D522" i="5"/>
  <c r="Z522" i="2"/>
  <c r="P523" i="2"/>
  <c r="P524" i="2"/>
  <c r="E525" i="5"/>
  <c r="T525" i="2"/>
  <c r="E526" i="5"/>
  <c r="T526" i="2"/>
  <c r="D527" i="5"/>
  <c r="Z527" i="2"/>
  <c r="Y527" i="2"/>
  <c r="D530" i="5"/>
  <c r="Z530" i="2"/>
  <c r="P531" i="2"/>
  <c r="P532" i="2"/>
  <c r="E533" i="5"/>
  <c r="T533" i="2"/>
  <c r="E534" i="5"/>
  <c r="T534" i="2"/>
  <c r="D535" i="5"/>
  <c r="Z535" i="2"/>
  <c r="Y535" i="2"/>
  <c r="D538" i="5"/>
  <c r="Z538" i="2"/>
  <c r="P539" i="2"/>
  <c r="P540" i="2"/>
  <c r="E541" i="5"/>
  <c r="T541" i="2"/>
  <c r="E542" i="5"/>
  <c r="T542" i="2"/>
  <c r="D543" i="5"/>
  <c r="Z543" i="2"/>
  <c r="Y543" i="2"/>
  <c r="D546" i="5"/>
  <c r="Z546" i="2"/>
  <c r="P547" i="2"/>
  <c r="P548" i="2"/>
  <c r="E549" i="5"/>
  <c r="T549" i="2"/>
  <c r="E550" i="5"/>
  <c r="T550" i="2"/>
  <c r="D551" i="5"/>
  <c r="Z551" i="2"/>
  <c r="Y551" i="2"/>
  <c r="D554" i="5"/>
  <c r="Z554" i="2"/>
  <c r="P555" i="2"/>
  <c r="D556" i="5"/>
  <c r="Y556" i="2"/>
  <c r="Z556" i="2"/>
  <c r="D558" i="5"/>
  <c r="Y558" i="2"/>
  <c r="Z558" i="2"/>
  <c r="D560" i="5"/>
  <c r="Y560" i="2"/>
  <c r="Z560" i="2"/>
  <c r="D562" i="5"/>
  <c r="Y562" i="2"/>
  <c r="Z562" i="2"/>
  <c r="D564" i="5"/>
  <c r="Y564" i="2"/>
  <c r="Z564" i="2"/>
  <c r="D566" i="5"/>
  <c r="Y566" i="2"/>
  <c r="Z566" i="2"/>
  <c r="D568" i="5"/>
  <c r="Y568" i="2"/>
  <c r="Z568" i="2"/>
  <c r="D570" i="5"/>
  <c r="Y570" i="2"/>
  <c r="Z570" i="2"/>
  <c r="D572" i="5"/>
  <c r="Y572" i="2"/>
  <c r="Z572" i="2"/>
  <c r="D574" i="5"/>
  <c r="Y574" i="2"/>
  <c r="Z574" i="2"/>
  <c r="D576" i="5"/>
  <c r="Y576" i="2"/>
  <c r="Z576" i="2"/>
  <c r="D578" i="5"/>
  <c r="Y578" i="2"/>
  <c r="Z578" i="2"/>
  <c r="D580" i="5"/>
  <c r="Y580" i="2"/>
  <c r="Z580" i="2"/>
  <c r="D582" i="5"/>
  <c r="Y582" i="2"/>
  <c r="Z582" i="2"/>
  <c r="D584" i="5"/>
  <c r="Y584" i="2"/>
  <c r="Z584" i="2"/>
  <c r="D586" i="5"/>
  <c r="Y586" i="2"/>
  <c r="Z586" i="2"/>
  <c r="D588" i="5"/>
  <c r="Y588" i="2"/>
  <c r="Z588" i="2"/>
  <c r="D590" i="5"/>
  <c r="Y590" i="2"/>
  <c r="Z590" i="2"/>
  <c r="D592" i="5"/>
  <c r="Y592" i="2"/>
  <c r="Z592" i="2"/>
  <c r="D594" i="5"/>
  <c r="Y594" i="2"/>
  <c r="Z594" i="2"/>
  <c r="D596" i="5"/>
  <c r="Y596" i="2"/>
  <c r="Z596" i="2"/>
  <c r="D598" i="5"/>
  <c r="Y598" i="2"/>
  <c r="Z598" i="2"/>
  <c r="D600" i="5"/>
  <c r="Y600" i="2"/>
  <c r="Z600" i="2"/>
  <c r="D602" i="5"/>
  <c r="Y602" i="2"/>
  <c r="Z602" i="2"/>
  <c r="D604" i="5"/>
  <c r="Y604" i="2"/>
  <c r="Z604" i="2"/>
  <c r="D606" i="5"/>
  <c r="Y606" i="2"/>
  <c r="Z606" i="2"/>
  <c r="D608" i="5"/>
  <c r="Y608" i="2"/>
  <c r="Z608" i="2"/>
  <c r="D610" i="5"/>
  <c r="Y610" i="2"/>
  <c r="Z610" i="2"/>
  <c r="D612" i="5"/>
  <c r="Y612" i="2"/>
  <c r="Z612" i="2"/>
  <c r="D614" i="5"/>
  <c r="Y614" i="2"/>
  <c r="Z614" i="2"/>
  <c r="D616" i="5"/>
  <c r="Y616" i="2"/>
  <c r="Z616" i="2"/>
  <c r="D618" i="5"/>
  <c r="Y618" i="2"/>
  <c r="Z618" i="2"/>
  <c r="E731" i="5"/>
  <c r="T731" i="2"/>
  <c r="E738" i="5"/>
  <c r="T738" i="2"/>
  <c r="E747" i="5"/>
  <c r="T747" i="2"/>
  <c r="E754" i="5"/>
  <c r="T754" i="2"/>
  <c r="E763" i="5"/>
  <c r="T763" i="2"/>
  <c r="E770" i="5"/>
  <c r="T770" i="2"/>
  <c r="E779" i="5"/>
  <c r="T779" i="2"/>
  <c r="E786" i="5"/>
  <c r="T786" i="2"/>
  <c r="E795" i="5"/>
  <c r="T795" i="2"/>
  <c r="E802" i="5"/>
  <c r="T802" i="2"/>
  <c r="E811" i="5"/>
  <c r="T811" i="2"/>
  <c r="E818" i="5"/>
  <c r="T818" i="2"/>
  <c r="E827" i="5"/>
  <c r="T827" i="2"/>
  <c r="E834" i="5"/>
  <c r="T834" i="2"/>
  <c r="E843" i="5"/>
  <c r="T843" i="2"/>
  <c r="E850" i="5"/>
  <c r="T850" i="2"/>
  <c r="E859" i="5"/>
  <c r="T859" i="2"/>
  <c r="E866" i="5"/>
  <c r="T866" i="2"/>
  <c r="E875" i="5"/>
  <c r="T875" i="2"/>
  <c r="E882" i="5"/>
  <c r="T882" i="2"/>
  <c r="E934" i="5"/>
  <c r="T934" i="2"/>
  <c r="D210" i="5"/>
  <c r="Z210" i="2"/>
  <c r="E213" i="5"/>
  <c r="T213" i="2"/>
  <c r="D218" i="5"/>
  <c r="Z218" i="2"/>
  <c r="P219" i="2"/>
  <c r="E221" i="5"/>
  <c r="T221" i="2"/>
  <c r="D226" i="5"/>
  <c r="Z226" i="2"/>
  <c r="P227" i="2"/>
  <c r="E229" i="5"/>
  <c r="T229" i="2"/>
  <c r="D234" i="5"/>
  <c r="Z234" i="2"/>
  <c r="P235" i="2"/>
  <c r="E237" i="5"/>
  <c r="T237" i="2"/>
  <c r="D242" i="5"/>
  <c r="Z242" i="2"/>
  <c r="P243" i="2"/>
  <c r="E245" i="5"/>
  <c r="T245" i="2"/>
  <c r="D250" i="5"/>
  <c r="Z250" i="2"/>
  <c r="P251" i="2"/>
  <c r="E253" i="5"/>
  <c r="T253" i="2"/>
  <c r="D258" i="5"/>
  <c r="Z258" i="2"/>
  <c r="P259" i="2"/>
  <c r="E261" i="5"/>
  <c r="T261" i="2"/>
  <c r="D266" i="5"/>
  <c r="Z266" i="2"/>
  <c r="P267" i="2"/>
  <c r="E269" i="5"/>
  <c r="T269" i="2"/>
  <c r="D274" i="5"/>
  <c r="Z274" i="2"/>
  <c r="P275" i="2"/>
  <c r="E277" i="5"/>
  <c r="T277" i="2"/>
  <c r="D282" i="5"/>
  <c r="Z282" i="2"/>
  <c r="P283" i="2"/>
  <c r="E285" i="5"/>
  <c r="T285" i="2"/>
  <c r="D290" i="5"/>
  <c r="Z290" i="2"/>
  <c r="P291" i="2"/>
  <c r="E293" i="5"/>
  <c r="T293" i="2"/>
  <c r="D298" i="5"/>
  <c r="Z298" i="2"/>
  <c r="P299" i="2"/>
  <c r="E301" i="5"/>
  <c r="T301" i="2"/>
  <c r="D306" i="5"/>
  <c r="Z306" i="2"/>
  <c r="P307" i="2"/>
  <c r="E309" i="5"/>
  <c r="T309" i="2"/>
  <c r="D314" i="5"/>
  <c r="Z314" i="2"/>
  <c r="P315" i="2"/>
  <c r="E317" i="5"/>
  <c r="T317" i="2"/>
  <c r="D322" i="5"/>
  <c r="Z322" i="2"/>
  <c r="P323" i="2"/>
  <c r="E325" i="5"/>
  <c r="T325" i="2"/>
  <c r="D330" i="5"/>
  <c r="Z330" i="2"/>
  <c r="P331" i="2"/>
  <c r="Z331" i="2"/>
  <c r="E333" i="5"/>
  <c r="T333" i="2"/>
  <c r="D338" i="5"/>
  <c r="Z338" i="2"/>
  <c r="P339" i="2"/>
  <c r="Z339" i="2"/>
  <c r="E341" i="5"/>
  <c r="T341" i="2"/>
  <c r="D346" i="5"/>
  <c r="Z346" i="2"/>
  <c r="P347" i="2"/>
  <c r="Z347" i="2"/>
  <c r="E349" i="5"/>
  <c r="T349" i="2"/>
  <c r="D354" i="5"/>
  <c r="Z354" i="2"/>
  <c r="P355" i="2"/>
  <c r="Z355" i="2"/>
  <c r="E357" i="5"/>
  <c r="T357" i="2"/>
  <c r="D362" i="5"/>
  <c r="Z362" i="2"/>
  <c r="P363" i="2"/>
  <c r="Z363" i="2"/>
  <c r="E365" i="5"/>
  <c r="T365" i="2"/>
  <c r="D370" i="5"/>
  <c r="Z370" i="2"/>
  <c r="P371" i="2"/>
  <c r="Z371" i="2"/>
  <c r="E373" i="5"/>
  <c r="T373" i="2"/>
  <c r="D378" i="5"/>
  <c r="Z378" i="2"/>
  <c r="P379" i="2"/>
  <c r="Z379" i="2"/>
  <c r="E381" i="5"/>
  <c r="T381" i="2"/>
  <c r="D386" i="5"/>
  <c r="Z386" i="2"/>
  <c r="P387" i="2"/>
  <c r="Z387" i="2"/>
  <c r="E389" i="5"/>
  <c r="T389" i="2"/>
  <c r="D394" i="5"/>
  <c r="Z394" i="2"/>
  <c r="P395" i="2"/>
  <c r="Z395" i="2"/>
  <c r="E397" i="5"/>
  <c r="T397" i="2"/>
  <c r="D402" i="5"/>
  <c r="Z402" i="2"/>
  <c r="P403" i="2"/>
  <c r="Z403" i="2"/>
  <c r="E405" i="5"/>
  <c r="T405" i="2"/>
  <c r="D410" i="5"/>
  <c r="Z410" i="2"/>
  <c r="P411" i="2"/>
  <c r="Z411" i="2"/>
  <c r="E413" i="5"/>
  <c r="T413" i="2"/>
  <c r="D418" i="5"/>
  <c r="Z418" i="2"/>
  <c r="P419" i="2"/>
  <c r="Z419" i="2"/>
  <c r="E421" i="5"/>
  <c r="T421" i="2"/>
  <c r="D426" i="5"/>
  <c r="Z426" i="2"/>
  <c r="P427" i="2"/>
  <c r="Z427" i="2"/>
  <c r="E429" i="5"/>
  <c r="T429" i="2"/>
  <c r="D434" i="5"/>
  <c r="Z434" i="2"/>
  <c r="P435" i="2"/>
  <c r="Z435" i="2"/>
  <c r="E437" i="5"/>
  <c r="T437" i="2"/>
  <c r="D442" i="5"/>
  <c r="Z442" i="2"/>
  <c r="P443" i="2"/>
  <c r="Z443" i="2"/>
  <c r="E445" i="5"/>
  <c r="T445" i="2"/>
  <c r="D450" i="5"/>
  <c r="Z450" i="2"/>
  <c r="P451" i="2"/>
  <c r="Z451" i="2"/>
  <c r="E453" i="5"/>
  <c r="T453" i="2"/>
  <c r="D458" i="5"/>
  <c r="Z458" i="2"/>
  <c r="P459" i="2"/>
  <c r="Z459" i="2"/>
  <c r="E461" i="5"/>
  <c r="T461" i="2"/>
  <c r="D466" i="5"/>
  <c r="Z466" i="2"/>
  <c r="P467" i="2"/>
  <c r="Z467" i="2"/>
  <c r="E469" i="5"/>
  <c r="T469" i="2"/>
  <c r="D474" i="5"/>
  <c r="Z474" i="2"/>
  <c r="P475" i="2"/>
  <c r="Z475" i="2"/>
  <c r="E477" i="5"/>
  <c r="T477" i="2"/>
  <c r="D482" i="5"/>
  <c r="Z482" i="2"/>
  <c r="P483" i="2"/>
  <c r="Z483" i="2"/>
  <c r="E485" i="5"/>
  <c r="T485" i="2"/>
  <c r="D490" i="5"/>
  <c r="Z490" i="2"/>
  <c r="P491" i="2"/>
  <c r="Z491" i="2"/>
  <c r="E493" i="5"/>
  <c r="T493" i="2"/>
  <c r="E495" i="5"/>
  <c r="T495" i="2"/>
  <c r="E497" i="5"/>
  <c r="T497" i="2"/>
  <c r="E499" i="5"/>
  <c r="T499" i="2"/>
  <c r="E501" i="5"/>
  <c r="T501" i="2"/>
  <c r="E503" i="5"/>
  <c r="T503" i="2"/>
  <c r="E505" i="5"/>
  <c r="T505" i="2"/>
  <c r="D508" i="5"/>
  <c r="Z508" i="2"/>
  <c r="E511" i="5"/>
  <c r="T511" i="2"/>
  <c r="E512" i="5"/>
  <c r="T512" i="2"/>
  <c r="D513" i="5"/>
  <c r="Z513" i="2"/>
  <c r="Y513" i="2"/>
  <c r="D516" i="5"/>
  <c r="Z516" i="2"/>
  <c r="E519" i="5"/>
  <c r="T519" i="2"/>
  <c r="E520" i="5"/>
  <c r="T520" i="2"/>
  <c r="D521" i="5"/>
  <c r="Z521" i="2"/>
  <c r="Y521" i="2"/>
  <c r="D524" i="5"/>
  <c r="Z524" i="2"/>
  <c r="E527" i="5"/>
  <c r="T527" i="2"/>
  <c r="E528" i="5"/>
  <c r="T528" i="2"/>
  <c r="D529" i="5"/>
  <c r="Z529" i="2"/>
  <c r="Y529" i="2"/>
  <c r="D532" i="5"/>
  <c r="Z532" i="2"/>
  <c r="E535" i="5"/>
  <c r="T535" i="2"/>
  <c r="E536" i="5"/>
  <c r="T536" i="2"/>
  <c r="D537" i="5"/>
  <c r="Z537" i="2"/>
  <c r="Y537" i="2"/>
  <c r="D540" i="5"/>
  <c r="Z540" i="2"/>
  <c r="E543" i="5"/>
  <c r="T543" i="2"/>
  <c r="E544" i="5"/>
  <c r="T544" i="2"/>
  <c r="D545" i="5"/>
  <c r="Z545" i="2"/>
  <c r="Y545" i="2"/>
  <c r="D548" i="5"/>
  <c r="Z548" i="2"/>
  <c r="E551" i="5"/>
  <c r="T551" i="2"/>
  <c r="E552" i="5"/>
  <c r="T552" i="2"/>
  <c r="D553" i="5"/>
  <c r="Z553" i="2"/>
  <c r="Y553" i="2"/>
  <c r="D557" i="5"/>
  <c r="Z557" i="2"/>
  <c r="Y557" i="2"/>
  <c r="D559" i="5"/>
  <c r="Z559" i="2"/>
  <c r="Y559" i="2"/>
  <c r="D561" i="5"/>
  <c r="Z561" i="2"/>
  <c r="Y561" i="2"/>
  <c r="D563" i="5"/>
  <c r="Z563" i="2"/>
  <c r="Y563" i="2"/>
  <c r="D565" i="5"/>
  <c r="Z565" i="2"/>
  <c r="Y565" i="2"/>
  <c r="D567" i="5"/>
  <c r="Z567" i="2"/>
  <c r="Y567" i="2"/>
  <c r="D569" i="5"/>
  <c r="Z569" i="2"/>
  <c r="Y569" i="2"/>
  <c r="D571" i="5"/>
  <c r="Z571" i="2"/>
  <c r="Y571" i="2"/>
  <c r="D573" i="5"/>
  <c r="Z573" i="2"/>
  <c r="Y573" i="2"/>
  <c r="D575" i="5"/>
  <c r="Z575" i="2"/>
  <c r="Y575" i="2"/>
  <c r="D577" i="5"/>
  <c r="Z577" i="2"/>
  <c r="Y577" i="2"/>
  <c r="D579" i="5"/>
  <c r="Z579" i="2"/>
  <c r="Y579" i="2"/>
  <c r="D581" i="5"/>
  <c r="Z581" i="2"/>
  <c r="Y581" i="2"/>
  <c r="D583" i="5"/>
  <c r="Z583" i="2"/>
  <c r="Y583" i="2"/>
  <c r="D585" i="5"/>
  <c r="Z585" i="2"/>
  <c r="Y585" i="2"/>
  <c r="D587" i="5"/>
  <c r="Z587" i="2"/>
  <c r="Y587" i="2"/>
  <c r="D589" i="5"/>
  <c r="Z589" i="2"/>
  <c r="Y589" i="2"/>
  <c r="D591" i="5"/>
  <c r="Z591" i="2"/>
  <c r="Y591" i="2"/>
  <c r="D593" i="5"/>
  <c r="Z593" i="2"/>
  <c r="Y593" i="2"/>
  <c r="D595" i="5"/>
  <c r="Z595" i="2"/>
  <c r="Y595" i="2"/>
  <c r="D597" i="5"/>
  <c r="Z597" i="2"/>
  <c r="Y597" i="2"/>
  <c r="D599" i="5"/>
  <c r="Z599" i="2"/>
  <c r="Y599" i="2"/>
  <c r="D601" i="5"/>
  <c r="Z601" i="2"/>
  <c r="Y601" i="2"/>
  <c r="D603" i="5"/>
  <c r="Z603" i="2"/>
  <c r="Y603" i="2"/>
  <c r="D605" i="5"/>
  <c r="Z605" i="2"/>
  <c r="Y605" i="2"/>
  <c r="D607" i="5"/>
  <c r="Z607" i="2"/>
  <c r="Y607" i="2"/>
  <c r="D609" i="5"/>
  <c r="Z609" i="2"/>
  <c r="Y609" i="2"/>
  <c r="D611" i="5"/>
  <c r="Z611" i="2"/>
  <c r="Y611" i="2"/>
  <c r="D613" i="5"/>
  <c r="Z613" i="2"/>
  <c r="Y613" i="2"/>
  <c r="D615" i="5"/>
  <c r="Z615" i="2"/>
  <c r="Y615" i="2"/>
  <c r="D617" i="5"/>
  <c r="Z617" i="2"/>
  <c r="Y617" i="2"/>
  <c r="D621" i="5"/>
  <c r="Z621" i="2"/>
  <c r="Y621" i="2"/>
  <c r="D623" i="5"/>
  <c r="Z623" i="2"/>
  <c r="Y623" i="2"/>
  <c r="D625" i="5"/>
  <c r="Z625" i="2"/>
  <c r="Y625" i="2"/>
  <c r="D627" i="5"/>
  <c r="Z627" i="2"/>
  <c r="Y627" i="2"/>
  <c r="D629" i="5"/>
  <c r="Z629" i="2"/>
  <c r="Y629" i="2"/>
  <c r="D631" i="5"/>
  <c r="Z631" i="2"/>
  <c r="Y631" i="2"/>
  <c r="D633" i="5"/>
  <c r="Z633" i="2"/>
  <c r="Y633" i="2"/>
  <c r="D635" i="5"/>
  <c r="Z635" i="2"/>
  <c r="Y635" i="2"/>
  <c r="D637" i="5"/>
  <c r="Z637" i="2"/>
  <c r="Y637" i="2"/>
  <c r="D639" i="5"/>
  <c r="Z639" i="2"/>
  <c r="Y639" i="2"/>
  <c r="D641" i="5"/>
  <c r="Z641" i="2"/>
  <c r="Y641" i="2"/>
  <c r="D643" i="5"/>
  <c r="Z643" i="2"/>
  <c r="Y643" i="2"/>
  <c r="D645" i="5"/>
  <c r="Z645" i="2"/>
  <c r="Y645" i="2"/>
  <c r="D647" i="5"/>
  <c r="Z647" i="2"/>
  <c r="Y647" i="2"/>
  <c r="D649" i="5"/>
  <c r="Z649" i="2"/>
  <c r="Y649" i="2"/>
  <c r="D651" i="5"/>
  <c r="Z651" i="2"/>
  <c r="Y651" i="2"/>
  <c r="D653" i="5"/>
  <c r="Z653" i="2"/>
  <c r="Y653" i="2"/>
  <c r="D655" i="5"/>
  <c r="Z655" i="2"/>
  <c r="Y655" i="2"/>
  <c r="D657" i="5"/>
  <c r="Z657" i="2"/>
  <c r="Y657" i="2"/>
  <c r="D659" i="5"/>
  <c r="Z659" i="2"/>
  <c r="Y659" i="2"/>
  <c r="D661" i="5"/>
  <c r="Z661" i="2"/>
  <c r="Y661" i="2"/>
  <c r="D663" i="5"/>
  <c r="Z663" i="2"/>
  <c r="Y663" i="2"/>
  <c r="D665" i="5"/>
  <c r="Z665" i="2"/>
  <c r="Y665" i="2"/>
  <c r="D667" i="5"/>
  <c r="Z667" i="2"/>
  <c r="Y667" i="2"/>
  <c r="D669" i="5"/>
  <c r="Z669" i="2"/>
  <c r="Y669" i="2"/>
  <c r="D671" i="5"/>
  <c r="Z671" i="2"/>
  <c r="Y671" i="2"/>
  <c r="D673" i="5"/>
  <c r="Z673" i="2"/>
  <c r="Y673" i="2"/>
  <c r="D675" i="5"/>
  <c r="Z675" i="2"/>
  <c r="Y675" i="2"/>
  <c r="D677" i="5"/>
  <c r="Z677" i="2"/>
  <c r="Y677" i="2"/>
  <c r="D679" i="5"/>
  <c r="Z679" i="2"/>
  <c r="Y679" i="2"/>
  <c r="D681" i="5"/>
  <c r="Z681" i="2"/>
  <c r="Y681" i="2"/>
  <c r="D683" i="5"/>
  <c r="Z683" i="2"/>
  <c r="Y683" i="2"/>
  <c r="D685" i="5"/>
  <c r="Z685" i="2"/>
  <c r="Y685" i="2"/>
  <c r="D687" i="5"/>
  <c r="Z687" i="2"/>
  <c r="Y687" i="2"/>
  <c r="D689" i="5"/>
  <c r="Z689" i="2"/>
  <c r="Y689" i="2"/>
  <c r="D691" i="5"/>
  <c r="Z691" i="2"/>
  <c r="Y691" i="2"/>
  <c r="D693" i="5"/>
  <c r="Z693" i="2"/>
  <c r="Y693" i="2"/>
  <c r="D695" i="5"/>
  <c r="Z695" i="2"/>
  <c r="Y695" i="2"/>
  <c r="D697" i="5"/>
  <c r="Z697" i="2"/>
  <c r="Y697" i="2"/>
  <c r="D699" i="5"/>
  <c r="Z699" i="2"/>
  <c r="Y699" i="2"/>
  <c r="D701" i="5"/>
  <c r="Z701" i="2"/>
  <c r="Y701" i="2"/>
  <c r="D703" i="5"/>
  <c r="Z703" i="2"/>
  <c r="Y703" i="2"/>
  <c r="D705" i="5"/>
  <c r="Z705" i="2"/>
  <c r="Y705" i="2"/>
  <c r="D707" i="5"/>
  <c r="Z707" i="2"/>
  <c r="Y707" i="2"/>
  <c r="D709" i="5"/>
  <c r="Z709" i="2"/>
  <c r="Y709" i="2"/>
  <c r="D711" i="5"/>
  <c r="Z711" i="2"/>
  <c r="Y711" i="2"/>
  <c r="D713" i="5"/>
  <c r="Z713" i="2"/>
  <c r="Y713" i="2"/>
  <c r="D715" i="5"/>
  <c r="Z715" i="2"/>
  <c r="Y715" i="2"/>
  <c r="D717" i="5"/>
  <c r="Z717" i="2"/>
  <c r="Y717" i="2"/>
  <c r="D719" i="5"/>
  <c r="Z719" i="2"/>
  <c r="Y719" i="2"/>
  <c r="D721" i="5"/>
  <c r="Z721" i="2"/>
  <c r="Y721" i="2"/>
  <c r="D723" i="5"/>
  <c r="Z723" i="2"/>
  <c r="Y723" i="2"/>
  <c r="D725" i="5"/>
  <c r="Z725" i="2"/>
  <c r="Y725" i="2"/>
  <c r="A726" i="5"/>
  <c r="P726" i="2"/>
  <c r="E735" i="5"/>
  <c r="T735" i="2"/>
  <c r="E742" i="5"/>
  <c r="T742" i="2"/>
  <c r="E751" i="5"/>
  <c r="T751" i="2"/>
  <c r="E758" i="5"/>
  <c r="T758" i="2"/>
  <c r="E767" i="5"/>
  <c r="T767" i="2"/>
  <c r="E774" i="5"/>
  <c r="T774" i="2"/>
  <c r="E783" i="5"/>
  <c r="T783" i="2"/>
  <c r="E790" i="5"/>
  <c r="T790" i="2"/>
  <c r="E799" i="5"/>
  <c r="T799" i="2"/>
  <c r="E806" i="5"/>
  <c r="T806" i="2"/>
  <c r="E815" i="5"/>
  <c r="T815" i="2"/>
  <c r="E822" i="5"/>
  <c r="T822" i="2"/>
  <c r="E831" i="5"/>
  <c r="T831" i="2"/>
  <c r="E838" i="5"/>
  <c r="T838" i="2"/>
  <c r="E847" i="5"/>
  <c r="T847" i="2"/>
  <c r="E854" i="5"/>
  <c r="T854" i="2"/>
  <c r="E863" i="5"/>
  <c r="T863" i="2"/>
  <c r="E870" i="5"/>
  <c r="T870" i="2"/>
  <c r="E879" i="5"/>
  <c r="T879" i="2"/>
  <c r="E886" i="5"/>
  <c r="T886" i="2"/>
  <c r="E888" i="5"/>
  <c r="T888" i="2"/>
  <c r="E890" i="5"/>
  <c r="T890" i="2"/>
  <c r="E892" i="5"/>
  <c r="T892" i="2"/>
  <c r="E894" i="5"/>
  <c r="T894" i="2"/>
  <c r="E896" i="5"/>
  <c r="T896" i="2"/>
  <c r="E898" i="5"/>
  <c r="T898" i="2"/>
  <c r="E900" i="5"/>
  <c r="T900" i="2"/>
  <c r="E902" i="5"/>
  <c r="T902" i="2"/>
  <c r="E904" i="5"/>
  <c r="T904" i="2"/>
  <c r="E906" i="5"/>
  <c r="T906" i="2"/>
  <c r="E908" i="5"/>
  <c r="T908" i="2"/>
  <c r="E910" i="5"/>
  <c r="T910" i="2"/>
  <c r="E912" i="5"/>
  <c r="T912" i="2"/>
  <c r="E914" i="5"/>
  <c r="T914" i="2"/>
  <c r="E916" i="5"/>
  <c r="T916" i="2"/>
  <c r="E918" i="5"/>
  <c r="T918" i="2"/>
  <c r="E920" i="5"/>
  <c r="T920" i="2"/>
  <c r="E922" i="5"/>
  <c r="T922" i="2"/>
  <c r="E924" i="5"/>
  <c r="T924" i="2"/>
  <c r="E926" i="5"/>
  <c r="T926" i="2"/>
  <c r="E928" i="5"/>
  <c r="T928" i="2"/>
  <c r="E930" i="5"/>
  <c r="T930" i="2"/>
  <c r="E932" i="5"/>
  <c r="T932" i="2"/>
  <c r="P211" i="2"/>
  <c r="A2" i="5"/>
  <c r="B2" i="4"/>
  <c r="P5" i="2"/>
  <c r="B7" i="5"/>
  <c r="C7" i="4"/>
  <c r="A10" i="5"/>
  <c r="B10" i="4"/>
  <c r="P13" i="2"/>
  <c r="B15" i="5"/>
  <c r="C15" i="4"/>
  <c r="A18" i="5"/>
  <c r="B18" i="4"/>
  <c r="P21" i="2"/>
  <c r="B23" i="5"/>
  <c r="C23" i="4"/>
  <c r="A26" i="5"/>
  <c r="B26" i="4"/>
  <c r="P29" i="2"/>
  <c r="B31" i="5"/>
  <c r="C31" i="4"/>
  <c r="A34" i="5"/>
  <c r="B34" i="4"/>
  <c r="P37" i="2"/>
  <c r="B39" i="5"/>
  <c r="C39" i="4"/>
  <c r="A42" i="5"/>
  <c r="B42" i="4"/>
  <c r="P45" i="2"/>
  <c r="B47" i="5"/>
  <c r="C47" i="4"/>
  <c r="A50" i="5"/>
  <c r="B50" i="4"/>
  <c r="P53" i="2"/>
  <c r="B55" i="5"/>
  <c r="C55" i="4"/>
  <c r="A58" i="5"/>
  <c r="B58" i="4"/>
  <c r="P61" i="2"/>
  <c r="B63" i="5"/>
  <c r="C63" i="4"/>
  <c r="A66" i="5"/>
  <c r="B66" i="4"/>
  <c r="P69" i="2"/>
  <c r="B71" i="5"/>
  <c r="C71" i="4"/>
  <c r="A74" i="5"/>
  <c r="B74" i="4"/>
  <c r="P77" i="2"/>
  <c r="B79" i="5"/>
  <c r="C79" i="4"/>
  <c r="A82" i="5"/>
  <c r="B82" i="4"/>
  <c r="P85" i="2"/>
  <c r="B87" i="5"/>
  <c r="C87" i="4"/>
  <c r="A90" i="5"/>
  <c r="B90" i="4"/>
  <c r="P93" i="2"/>
  <c r="B95" i="5"/>
  <c r="C95" i="4"/>
  <c r="A98" i="5"/>
  <c r="B98" i="4"/>
  <c r="P101" i="2"/>
  <c r="B103" i="5"/>
  <c r="C103" i="4"/>
  <c r="A106" i="5"/>
  <c r="B106" i="4"/>
  <c r="P109" i="2"/>
  <c r="B111" i="5"/>
  <c r="C111" i="4"/>
  <c r="A114" i="5"/>
  <c r="B114" i="4"/>
  <c r="P117" i="2"/>
  <c r="B119" i="5"/>
  <c r="C119" i="4"/>
  <c r="A122" i="5"/>
  <c r="B122" i="4"/>
  <c r="P125" i="2"/>
  <c r="B127" i="5"/>
  <c r="C127" i="4"/>
  <c r="A130" i="5"/>
  <c r="B130" i="4"/>
  <c r="P133" i="2"/>
  <c r="B135" i="5"/>
  <c r="C135" i="4"/>
  <c r="A138" i="5"/>
  <c r="B138" i="4"/>
  <c r="P141" i="2"/>
  <c r="B143" i="5"/>
  <c r="C143" i="4"/>
  <c r="A146" i="5"/>
  <c r="B146" i="4"/>
  <c r="P149" i="2"/>
  <c r="B151" i="5"/>
  <c r="C151" i="4"/>
  <c r="B154" i="4"/>
  <c r="A154" i="5"/>
  <c r="P157" i="2"/>
  <c r="B159" i="5"/>
  <c r="C159" i="4"/>
  <c r="B162" i="4"/>
  <c r="A162" i="5"/>
  <c r="P165" i="2"/>
  <c r="B167" i="5"/>
  <c r="C167" i="4"/>
  <c r="B170" i="4"/>
  <c r="A170" i="5"/>
  <c r="P173" i="2"/>
  <c r="B175" i="5"/>
  <c r="C175" i="4"/>
  <c r="A178" i="5"/>
  <c r="B178" i="4"/>
  <c r="P181" i="2"/>
  <c r="B183" i="5"/>
  <c r="C183" i="4"/>
  <c r="A186" i="5"/>
  <c r="B186" i="4"/>
  <c r="P189" i="2"/>
  <c r="B191" i="5"/>
  <c r="C191" i="4"/>
  <c r="A194" i="5"/>
  <c r="B194" i="4"/>
  <c r="P197" i="2"/>
  <c r="B199" i="5"/>
  <c r="C199" i="4"/>
  <c r="P205" i="2"/>
  <c r="P213" i="2"/>
  <c r="T214" i="2"/>
  <c r="P221" i="2"/>
  <c r="T222" i="2"/>
  <c r="P229" i="2"/>
  <c r="T230" i="2"/>
  <c r="P237" i="2"/>
  <c r="T238" i="2"/>
  <c r="P245" i="2"/>
  <c r="T246" i="2"/>
  <c r="P253" i="2"/>
  <c r="T254" i="2"/>
  <c r="P261" i="2"/>
  <c r="T262" i="2"/>
  <c r="P269" i="2"/>
  <c r="T270" i="2"/>
  <c r="P277" i="2"/>
  <c r="T278" i="2"/>
  <c r="P285" i="2"/>
  <c r="T286" i="2"/>
  <c r="P293" i="2"/>
  <c r="T294" i="2"/>
  <c r="P301" i="2"/>
  <c r="T302" i="2"/>
  <c r="P309" i="2"/>
  <c r="T310" i="2"/>
  <c r="P317" i="2"/>
  <c r="T318" i="2"/>
  <c r="P325" i="2"/>
  <c r="T326" i="2"/>
  <c r="Y326" i="2"/>
  <c r="P333" i="2"/>
  <c r="T334" i="2"/>
  <c r="Y334" i="2"/>
  <c r="P341" i="2"/>
  <c r="T342" i="2"/>
  <c r="Y342" i="2"/>
  <c r="P349" i="2"/>
  <c r="T350" i="2"/>
  <c r="Y350" i="2"/>
  <c r="P357" i="2"/>
  <c r="T358" i="2"/>
  <c r="Y358" i="2"/>
  <c r="P365" i="2"/>
  <c r="T366" i="2"/>
  <c r="Y366" i="2"/>
  <c r="P373" i="2"/>
  <c r="T374" i="2"/>
  <c r="Y374" i="2"/>
  <c r="P381" i="2"/>
  <c r="T382" i="2"/>
  <c r="Y382" i="2"/>
  <c r="P389" i="2"/>
  <c r="T390" i="2"/>
  <c r="Y390" i="2"/>
  <c r="P397" i="2"/>
  <c r="T398" i="2"/>
  <c r="Y398" i="2"/>
  <c r="P405" i="2"/>
  <c r="T406" i="2"/>
  <c r="Y406" i="2"/>
  <c r="P413" i="2"/>
  <c r="T414" i="2"/>
  <c r="P421" i="2"/>
  <c r="T422" i="2"/>
  <c r="P429" i="2"/>
  <c r="T430" i="2"/>
  <c r="P437" i="2"/>
  <c r="T438" i="2"/>
  <c r="P445" i="2"/>
  <c r="T446" i="2"/>
  <c r="P453" i="2"/>
  <c r="T454" i="2"/>
  <c r="P461" i="2"/>
  <c r="T462" i="2"/>
  <c r="P469" i="2"/>
  <c r="T470" i="2"/>
  <c r="P477" i="2"/>
  <c r="T478" i="2"/>
  <c r="P485" i="2"/>
  <c r="T486" i="2"/>
  <c r="P493" i="2"/>
  <c r="T494" i="2"/>
  <c r="P495" i="2"/>
  <c r="P497" i="2"/>
  <c r="P499" i="2"/>
  <c r="P501" i="2"/>
  <c r="P503" i="2"/>
  <c r="P505" i="2"/>
  <c r="D510" i="5"/>
  <c r="Z510" i="2"/>
  <c r="E513" i="5"/>
  <c r="T513" i="2"/>
  <c r="E514" i="5"/>
  <c r="T514" i="2"/>
  <c r="Y514" i="2"/>
  <c r="D518" i="5"/>
  <c r="Z518" i="2"/>
  <c r="E521" i="5"/>
  <c r="T521" i="2"/>
  <c r="E522" i="5"/>
  <c r="T522" i="2"/>
  <c r="Y522" i="2"/>
  <c r="D526" i="5"/>
  <c r="Z526" i="2"/>
  <c r="E529" i="5"/>
  <c r="T529" i="2"/>
  <c r="E530" i="5"/>
  <c r="T530" i="2"/>
  <c r="Y530" i="2"/>
  <c r="S533" i="2"/>
  <c r="D534" i="5"/>
  <c r="Z534" i="2"/>
  <c r="E537" i="5"/>
  <c r="T537" i="2"/>
  <c r="E538" i="5"/>
  <c r="T538" i="2"/>
  <c r="Y538" i="2"/>
  <c r="D542" i="5"/>
  <c r="Z542" i="2"/>
  <c r="E545" i="5"/>
  <c r="T545" i="2"/>
  <c r="E546" i="5"/>
  <c r="T546" i="2"/>
  <c r="Y546" i="2"/>
  <c r="D550" i="5"/>
  <c r="Z550" i="2"/>
  <c r="E553" i="5"/>
  <c r="T553" i="2"/>
  <c r="E554" i="5"/>
  <c r="T554" i="2"/>
  <c r="Y554" i="2"/>
  <c r="E556" i="5"/>
  <c r="T556" i="2"/>
  <c r="E557" i="5"/>
  <c r="T557" i="2"/>
  <c r="E558" i="5"/>
  <c r="T558" i="2"/>
  <c r="E559" i="5"/>
  <c r="T559" i="2"/>
  <c r="E560" i="5"/>
  <c r="T560" i="2"/>
  <c r="E561" i="5"/>
  <c r="T561" i="2"/>
  <c r="E562" i="5"/>
  <c r="T562" i="2"/>
  <c r="E563" i="5"/>
  <c r="T563" i="2"/>
  <c r="E564" i="5"/>
  <c r="T564" i="2"/>
  <c r="E565" i="5"/>
  <c r="T565" i="2"/>
  <c r="E566" i="5"/>
  <c r="T566" i="2"/>
  <c r="E567" i="5"/>
  <c r="T567" i="2"/>
  <c r="E568" i="5"/>
  <c r="T568" i="2"/>
  <c r="E569" i="5"/>
  <c r="T569" i="2"/>
  <c r="E570" i="5"/>
  <c r="T570" i="2"/>
  <c r="E571" i="5"/>
  <c r="T571" i="2"/>
  <c r="E572" i="5"/>
  <c r="T572" i="2"/>
  <c r="E573" i="5"/>
  <c r="T573" i="2"/>
  <c r="E574" i="5"/>
  <c r="T574" i="2"/>
  <c r="E575" i="5"/>
  <c r="T575" i="2"/>
  <c r="E576" i="5"/>
  <c r="T576" i="2"/>
  <c r="E577" i="5"/>
  <c r="T577" i="2"/>
  <c r="E578" i="5"/>
  <c r="T578" i="2"/>
  <c r="E579" i="5"/>
  <c r="T579" i="2"/>
  <c r="E580" i="5"/>
  <c r="T580" i="2"/>
  <c r="E581" i="5"/>
  <c r="T581" i="2"/>
  <c r="E582" i="5"/>
  <c r="T582" i="2"/>
  <c r="E583" i="5"/>
  <c r="T583" i="2"/>
  <c r="E584" i="5"/>
  <c r="T584" i="2"/>
  <c r="E585" i="5"/>
  <c r="T585" i="2"/>
  <c r="E586" i="5"/>
  <c r="T586" i="2"/>
  <c r="E587" i="5"/>
  <c r="T587" i="2"/>
  <c r="E588" i="5"/>
  <c r="T588" i="2"/>
  <c r="E589" i="5"/>
  <c r="T589" i="2"/>
  <c r="E590" i="5"/>
  <c r="T590" i="2"/>
  <c r="E591" i="5"/>
  <c r="T591" i="2"/>
  <c r="E592" i="5"/>
  <c r="T592" i="2"/>
  <c r="E593" i="5"/>
  <c r="T593" i="2"/>
  <c r="E594" i="5"/>
  <c r="T594" i="2"/>
  <c r="E595" i="5"/>
  <c r="T595" i="2"/>
  <c r="E596" i="5"/>
  <c r="T596" i="2"/>
  <c r="E597" i="5"/>
  <c r="T597" i="2"/>
  <c r="E598" i="5"/>
  <c r="T598" i="2"/>
  <c r="E599" i="5"/>
  <c r="T599" i="2"/>
  <c r="E600" i="5"/>
  <c r="T600" i="2"/>
  <c r="E601" i="5"/>
  <c r="T601" i="2"/>
  <c r="E602" i="5"/>
  <c r="T602" i="2"/>
  <c r="E603" i="5"/>
  <c r="T603" i="2"/>
  <c r="E604" i="5"/>
  <c r="T604" i="2"/>
  <c r="E605" i="5"/>
  <c r="T605" i="2"/>
  <c r="E606" i="5"/>
  <c r="T606" i="2"/>
  <c r="E607" i="5"/>
  <c r="T607" i="2"/>
  <c r="E608" i="5"/>
  <c r="T608" i="2"/>
  <c r="E609" i="5"/>
  <c r="T609" i="2"/>
  <c r="E610" i="5"/>
  <c r="T610" i="2"/>
  <c r="E611" i="5"/>
  <c r="T611" i="2"/>
  <c r="E612" i="5"/>
  <c r="T612" i="2"/>
  <c r="E613" i="5"/>
  <c r="T613" i="2"/>
  <c r="E614" i="5"/>
  <c r="T614" i="2"/>
  <c r="E615" i="5"/>
  <c r="T615" i="2"/>
  <c r="E616" i="5"/>
  <c r="T616" i="2"/>
  <c r="E617" i="5"/>
  <c r="T617" i="2"/>
  <c r="E618" i="5"/>
  <c r="T618" i="2"/>
  <c r="D619" i="5"/>
  <c r="Z619" i="2"/>
  <c r="Y619" i="2"/>
  <c r="D620" i="5"/>
  <c r="Y620" i="2"/>
  <c r="Z620" i="2"/>
  <c r="P620" i="2"/>
  <c r="E621" i="5"/>
  <c r="T621" i="2"/>
  <c r="D622" i="5"/>
  <c r="Y622" i="2"/>
  <c r="Z622" i="2"/>
  <c r="P622" i="2"/>
  <c r="E623" i="5"/>
  <c r="T623" i="2"/>
  <c r="D624" i="5"/>
  <c r="Y624" i="2"/>
  <c r="Z624" i="2"/>
  <c r="P624" i="2"/>
  <c r="E625" i="5"/>
  <c r="T625" i="2"/>
  <c r="D626" i="5"/>
  <c r="Y626" i="2"/>
  <c r="Z626" i="2"/>
  <c r="P626" i="2"/>
  <c r="E627" i="5"/>
  <c r="T627" i="2"/>
  <c r="D628" i="5"/>
  <c r="Y628" i="2"/>
  <c r="Z628" i="2"/>
  <c r="P628" i="2"/>
  <c r="E629" i="5"/>
  <c r="T629" i="2"/>
  <c r="D630" i="5"/>
  <c r="Y630" i="2"/>
  <c r="Z630" i="2"/>
  <c r="P630" i="2"/>
  <c r="E631" i="5"/>
  <c r="T631" i="2"/>
  <c r="D632" i="5"/>
  <c r="Y632" i="2"/>
  <c r="Z632" i="2"/>
  <c r="P632" i="2"/>
  <c r="E633" i="5"/>
  <c r="T633" i="2"/>
  <c r="D634" i="5"/>
  <c r="Y634" i="2"/>
  <c r="Z634" i="2"/>
  <c r="P634" i="2"/>
  <c r="E635" i="5"/>
  <c r="T635" i="2"/>
  <c r="D636" i="5"/>
  <c r="Y636" i="2"/>
  <c r="Z636" i="2"/>
  <c r="P636" i="2"/>
  <c r="E637" i="5"/>
  <c r="T637" i="2"/>
  <c r="D638" i="5"/>
  <c r="Y638" i="2"/>
  <c r="Z638" i="2"/>
  <c r="P638" i="2"/>
  <c r="E639" i="5"/>
  <c r="T639" i="2"/>
  <c r="D640" i="5"/>
  <c r="Y640" i="2"/>
  <c r="Z640" i="2"/>
  <c r="P640" i="2"/>
  <c r="E641" i="5"/>
  <c r="T641" i="2"/>
  <c r="D642" i="5"/>
  <c r="Y642" i="2"/>
  <c r="Z642" i="2"/>
  <c r="P642" i="2"/>
  <c r="E643" i="5"/>
  <c r="T643" i="2"/>
  <c r="D644" i="5"/>
  <c r="Y644" i="2"/>
  <c r="Z644" i="2"/>
  <c r="P644" i="2"/>
  <c r="E645" i="5"/>
  <c r="T645" i="2"/>
  <c r="D646" i="5"/>
  <c r="Y646" i="2"/>
  <c r="Z646" i="2"/>
  <c r="P646" i="2"/>
  <c r="E647" i="5"/>
  <c r="T647" i="2"/>
  <c r="D648" i="5"/>
  <c r="Y648" i="2"/>
  <c r="Z648" i="2"/>
  <c r="P648" i="2"/>
  <c r="E649" i="5"/>
  <c r="T649" i="2"/>
  <c r="D650" i="5"/>
  <c r="Y650" i="2"/>
  <c r="Z650" i="2"/>
  <c r="P650" i="2"/>
  <c r="E651" i="5"/>
  <c r="T651" i="2"/>
  <c r="D652" i="5"/>
  <c r="Y652" i="2"/>
  <c r="Z652" i="2"/>
  <c r="P652" i="2"/>
  <c r="E653" i="5"/>
  <c r="T653" i="2"/>
  <c r="D654" i="5"/>
  <c r="Y654" i="2"/>
  <c r="Z654" i="2"/>
  <c r="P654" i="2"/>
  <c r="E655" i="5"/>
  <c r="T655" i="2"/>
  <c r="D656" i="5"/>
  <c r="Y656" i="2"/>
  <c r="Z656" i="2"/>
  <c r="P656" i="2"/>
  <c r="E657" i="5"/>
  <c r="T657" i="2"/>
  <c r="D658" i="5"/>
  <c r="Y658" i="2"/>
  <c r="Z658" i="2"/>
  <c r="P658" i="2"/>
  <c r="E659" i="5"/>
  <c r="T659" i="2"/>
  <c r="D660" i="5"/>
  <c r="Y660" i="2"/>
  <c r="Z660" i="2"/>
  <c r="P660" i="2"/>
  <c r="E661" i="5"/>
  <c r="T661" i="2"/>
  <c r="D662" i="5"/>
  <c r="Y662" i="2"/>
  <c r="Z662" i="2"/>
  <c r="P662" i="2"/>
  <c r="E663" i="5"/>
  <c r="T663" i="2"/>
  <c r="D664" i="5"/>
  <c r="Y664" i="2"/>
  <c r="Z664" i="2"/>
  <c r="P664" i="2"/>
  <c r="E665" i="5"/>
  <c r="T665" i="2"/>
  <c r="D666" i="5"/>
  <c r="Y666" i="2"/>
  <c r="Z666" i="2"/>
  <c r="P666" i="2"/>
  <c r="E667" i="5"/>
  <c r="T667" i="2"/>
  <c r="D668" i="5"/>
  <c r="Y668" i="2"/>
  <c r="Z668" i="2"/>
  <c r="P668" i="2"/>
  <c r="E669" i="5"/>
  <c r="T669" i="2"/>
  <c r="D670" i="5"/>
  <c r="Y670" i="2"/>
  <c r="Z670" i="2"/>
  <c r="P670" i="2"/>
  <c r="E671" i="5"/>
  <c r="T671" i="2"/>
  <c r="D672" i="5"/>
  <c r="Y672" i="2"/>
  <c r="Z672" i="2"/>
  <c r="P672" i="2"/>
  <c r="E673" i="5"/>
  <c r="T673" i="2"/>
  <c r="D674" i="5"/>
  <c r="Y674" i="2"/>
  <c r="Z674" i="2"/>
  <c r="P674" i="2"/>
  <c r="E675" i="5"/>
  <c r="T675" i="2"/>
  <c r="D676" i="5"/>
  <c r="Y676" i="2"/>
  <c r="Z676" i="2"/>
  <c r="P676" i="2"/>
  <c r="E677" i="5"/>
  <c r="T677" i="2"/>
  <c r="D678" i="5"/>
  <c r="Y678" i="2"/>
  <c r="Z678" i="2"/>
  <c r="P678" i="2"/>
  <c r="E679" i="5"/>
  <c r="T679" i="2"/>
  <c r="D680" i="5"/>
  <c r="Y680" i="2"/>
  <c r="Z680" i="2"/>
  <c r="P680" i="2"/>
  <c r="E681" i="5"/>
  <c r="T681" i="2"/>
  <c r="D682" i="5"/>
  <c r="Y682" i="2"/>
  <c r="Z682" i="2"/>
  <c r="P682" i="2"/>
  <c r="E683" i="5"/>
  <c r="T683" i="2"/>
  <c r="D684" i="5"/>
  <c r="Y684" i="2"/>
  <c r="Z684" i="2"/>
  <c r="P684" i="2"/>
  <c r="E685" i="5"/>
  <c r="T685" i="2"/>
  <c r="D686" i="5"/>
  <c r="Y686" i="2"/>
  <c r="Z686" i="2"/>
  <c r="P686" i="2"/>
  <c r="E687" i="5"/>
  <c r="T687" i="2"/>
  <c r="D688" i="5"/>
  <c r="Y688" i="2"/>
  <c r="Z688" i="2"/>
  <c r="P688" i="2"/>
  <c r="E689" i="5"/>
  <c r="T689" i="2"/>
  <c r="D690" i="5"/>
  <c r="Y690" i="2"/>
  <c r="Z690" i="2"/>
  <c r="P690" i="2"/>
  <c r="E691" i="5"/>
  <c r="T691" i="2"/>
  <c r="D692" i="5"/>
  <c r="Y692" i="2"/>
  <c r="Z692" i="2"/>
  <c r="P692" i="2"/>
  <c r="E693" i="5"/>
  <c r="T693" i="2"/>
  <c r="D694" i="5"/>
  <c r="Y694" i="2"/>
  <c r="Z694" i="2"/>
  <c r="P694" i="2"/>
  <c r="E695" i="5"/>
  <c r="T695" i="2"/>
  <c r="D696" i="5"/>
  <c r="Y696" i="2"/>
  <c r="Z696" i="2"/>
  <c r="P696" i="2"/>
  <c r="E697" i="5"/>
  <c r="T697" i="2"/>
  <c r="D698" i="5"/>
  <c r="Y698" i="2"/>
  <c r="Z698" i="2"/>
  <c r="P698" i="2"/>
  <c r="E699" i="5"/>
  <c r="T699" i="2"/>
  <c r="D700" i="5"/>
  <c r="Y700" i="2"/>
  <c r="Z700" i="2"/>
  <c r="P700" i="2"/>
  <c r="E701" i="5"/>
  <c r="T701" i="2"/>
  <c r="D702" i="5"/>
  <c r="Y702" i="2"/>
  <c r="Z702" i="2"/>
  <c r="P702" i="2"/>
  <c r="E703" i="5"/>
  <c r="T703" i="2"/>
  <c r="D704" i="5"/>
  <c r="Y704" i="2"/>
  <c r="Z704" i="2"/>
  <c r="P704" i="2"/>
  <c r="E705" i="5"/>
  <c r="T705" i="2"/>
  <c r="D706" i="5"/>
  <c r="Y706" i="2"/>
  <c r="Z706" i="2"/>
  <c r="P706" i="2"/>
  <c r="E707" i="5"/>
  <c r="T707" i="2"/>
  <c r="D708" i="5"/>
  <c r="Y708" i="2"/>
  <c r="Z708" i="2"/>
  <c r="P708" i="2"/>
  <c r="E709" i="5"/>
  <c r="T709" i="2"/>
  <c r="D710" i="5"/>
  <c r="Y710" i="2"/>
  <c r="Z710" i="2"/>
  <c r="P710" i="2"/>
  <c r="E711" i="5"/>
  <c r="T711" i="2"/>
  <c r="D712" i="5"/>
  <c r="Y712" i="2"/>
  <c r="Z712" i="2"/>
  <c r="P712" i="2"/>
  <c r="E713" i="5"/>
  <c r="T713" i="2"/>
  <c r="D714" i="5"/>
  <c r="Y714" i="2"/>
  <c r="Z714" i="2"/>
  <c r="P714" i="2"/>
  <c r="E715" i="5"/>
  <c r="T715" i="2"/>
  <c r="D716" i="5"/>
  <c r="Y716" i="2"/>
  <c r="Z716" i="2"/>
  <c r="P716" i="2"/>
  <c r="E717" i="5"/>
  <c r="T717" i="2"/>
  <c r="D718" i="5"/>
  <c r="Y718" i="2"/>
  <c r="Z718" i="2"/>
  <c r="E719" i="5"/>
  <c r="T719" i="2"/>
  <c r="D720" i="5"/>
  <c r="Y720" i="2"/>
  <c r="Z720" i="2"/>
  <c r="E721" i="5"/>
  <c r="T721" i="2"/>
  <c r="D722" i="5"/>
  <c r="Y722" i="2"/>
  <c r="Z722" i="2"/>
  <c r="E723" i="5"/>
  <c r="T723" i="2"/>
  <c r="D724" i="5"/>
  <c r="Y724" i="2"/>
  <c r="Z724" i="2"/>
  <c r="E725" i="5"/>
  <c r="T725" i="2"/>
  <c r="E730" i="5"/>
  <c r="T730" i="2"/>
  <c r="E739" i="5"/>
  <c r="T739" i="2"/>
  <c r="E746" i="5"/>
  <c r="T746" i="2"/>
  <c r="E755" i="5"/>
  <c r="T755" i="2"/>
  <c r="E762" i="5"/>
  <c r="T762" i="2"/>
  <c r="E771" i="5"/>
  <c r="T771" i="2"/>
  <c r="E778" i="5"/>
  <c r="T778" i="2"/>
  <c r="E787" i="5"/>
  <c r="T787" i="2"/>
  <c r="E794" i="5"/>
  <c r="T794" i="2"/>
  <c r="E803" i="5"/>
  <c r="T803" i="2"/>
  <c r="E810" i="5"/>
  <c r="T810" i="2"/>
  <c r="E819" i="5"/>
  <c r="T819" i="2"/>
  <c r="E826" i="5"/>
  <c r="T826" i="2"/>
  <c r="E835" i="5"/>
  <c r="T835" i="2"/>
  <c r="E842" i="5"/>
  <c r="T842" i="2"/>
  <c r="E851" i="5"/>
  <c r="T851" i="2"/>
  <c r="E858" i="5"/>
  <c r="T858" i="2"/>
  <c r="E867" i="5"/>
  <c r="T867" i="2"/>
  <c r="E874" i="5"/>
  <c r="T874" i="2"/>
  <c r="E883" i="5"/>
  <c r="T883" i="2"/>
  <c r="P619" i="2"/>
  <c r="D727" i="5"/>
  <c r="Y727" i="2"/>
  <c r="T729" i="2"/>
  <c r="D731" i="5"/>
  <c r="Y731" i="2"/>
  <c r="T733" i="2"/>
  <c r="D735" i="5"/>
  <c r="Y735" i="2"/>
  <c r="T737" i="2"/>
  <c r="D739" i="5"/>
  <c r="Y739" i="2"/>
  <c r="T741" i="2"/>
  <c r="D743" i="5"/>
  <c r="Y743" i="2"/>
  <c r="T745" i="2"/>
  <c r="D747" i="5"/>
  <c r="Y747" i="2"/>
  <c r="T749" i="2"/>
  <c r="D751" i="5"/>
  <c r="Y751" i="2"/>
  <c r="T753" i="2"/>
  <c r="D755" i="5"/>
  <c r="Y755" i="2"/>
  <c r="T757" i="2"/>
  <c r="D759" i="5"/>
  <c r="Y759" i="2"/>
  <c r="T761" i="2"/>
  <c r="D763" i="5"/>
  <c r="Y763" i="2"/>
  <c r="T765" i="2"/>
  <c r="D767" i="5"/>
  <c r="Y767" i="2"/>
  <c r="T769" i="2"/>
  <c r="D771" i="5"/>
  <c r="Y771" i="2"/>
  <c r="T773" i="2"/>
  <c r="D775" i="5"/>
  <c r="Y775" i="2"/>
  <c r="T777" i="2"/>
  <c r="D779" i="5"/>
  <c r="Y779" i="2"/>
  <c r="T781" i="2"/>
  <c r="D783" i="5"/>
  <c r="Y783" i="2"/>
  <c r="T785" i="2"/>
  <c r="D787" i="5"/>
  <c r="Y787" i="2"/>
  <c r="T789" i="2"/>
  <c r="D791" i="5"/>
  <c r="Y791" i="2"/>
  <c r="T793" i="2"/>
  <c r="D795" i="5"/>
  <c r="Y795" i="2"/>
  <c r="S795" i="2"/>
  <c r="T797" i="2"/>
  <c r="D799" i="5"/>
  <c r="Y799" i="2"/>
  <c r="T801" i="2"/>
  <c r="D803" i="5"/>
  <c r="Y803" i="2"/>
  <c r="T805" i="2"/>
  <c r="D807" i="5"/>
  <c r="Y807" i="2"/>
  <c r="T809" i="2"/>
  <c r="D811" i="5"/>
  <c r="Y811" i="2"/>
  <c r="T813" i="2"/>
  <c r="D815" i="5"/>
  <c r="Y815" i="2"/>
  <c r="T817" i="2"/>
  <c r="D819" i="5"/>
  <c r="Y819" i="2"/>
  <c r="T821" i="2"/>
  <c r="D823" i="5"/>
  <c r="Y823" i="2"/>
  <c r="T825" i="2"/>
  <c r="D827" i="5"/>
  <c r="Y827" i="2"/>
  <c r="T829" i="2"/>
  <c r="D831" i="5"/>
  <c r="Y831" i="2"/>
  <c r="T833" i="2"/>
  <c r="D835" i="5"/>
  <c r="Y835" i="2"/>
  <c r="T837" i="2"/>
  <c r="D839" i="5"/>
  <c r="Y839" i="2"/>
  <c r="T841" i="2"/>
  <c r="D843" i="5"/>
  <c r="Y843" i="2"/>
  <c r="T845" i="2"/>
  <c r="D847" i="5"/>
  <c r="Y847" i="2"/>
  <c r="T849" i="2"/>
  <c r="D851" i="5"/>
  <c r="Y851" i="2"/>
  <c r="T853" i="2"/>
  <c r="D855" i="5"/>
  <c r="Y855" i="2"/>
  <c r="T857" i="2"/>
  <c r="D859" i="5"/>
  <c r="Y859" i="2"/>
  <c r="T861" i="2"/>
  <c r="D863" i="5"/>
  <c r="Y863" i="2"/>
  <c r="T865" i="2"/>
  <c r="D867" i="5"/>
  <c r="Y867" i="2"/>
  <c r="T869" i="2"/>
  <c r="D871" i="5"/>
  <c r="Y871" i="2"/>
  <c r="T873" i="2"/>
  <c r="D875" i="5"/>
  <c r="Y875" i="2"/>
  <c r="T877" i="2"/>
  <c r="D879" i="5"/>
  <c r="Y879" i="2"/>
  <c r="T881" i="2"/>
  <c r="D883" i="5"/>
  <c r="Y883" i="2"/>
  <c r="T885" i="2"/>
  <c r="D887" i="5"/>
  <c r="Y887" i="2"/>
  <c r="Z887" i="2"/>
  <c r="D889" i="5"/>
  <c r="Y889" i="2"/>
  <c r="Z889" i="2"/>
  <c r="D891" i="5"/>
  <c r="Y891" i="2"/>
  <c r="Z891" i="2"/>
  <c r="D893" i="5"/>
  <c r="Y893" i="2"/>
  <c r="Z893" i="2"/>
  <c r="D895" i="5"/>
  <c r="Y895" i="2"/>
  <c r="Z895" i="2"/>
  <c r="D897" i="5"/>
  <c r="Y897" i="2"/>
  <c r="Z897" i="2"/>
  <c r="D899" i="5"/>
  <c r="Y899" i="2"/>
  <c r="Z899" i="2"/>
  <c r="D901" i="5"/>
  <c r="Y901" i="2"/>
  <c r="Z901" i="2"/>
  <c r="D903" i="5"/>
  <c r="Y903" i="2"/>
  <c r="Z903" i="2"/>
  <c r="D905" i="5"/>
  <c r="Y905" i="2"/>
  <c r="Z905" i="2"/>
  <c r="D907" i="5"/>
  <c r="Y907" i="2"/>
  <c r="Z907" i="2"/>
  <c r="D909" i="5"/>
  <c r="Y909" i="2"/>
  <c r="Z909" i="2"/>
  <c r="D911" i="5"/>
  <c r="Y911" i="2"/>
  <c r="Z911" i="2"/>
  <c r="D913" i="5"/>
  <c r="Y913" i="2"/>
  <c r="Z913" i="2"/>
  <c r="D915" i="5"/>
  <c r="Y915" i="2"/>
  <c r="Z915" i="2"/>
  <c r="D917" i="5"/>
  <c r="Y917" i="2"/>
  <c r="Z917" i="2"/>
  <c r="D919" i="5"/>
  <c r="Y919" i="2"/>
  <c r="Z919" i="2"/>
  <c r="D921" i="5"/>
  <c r="Y921" i="2"/>
  <c r="Z921" i="2"/>
  <c r="D923" i="5"/>
  <c r="Y923" i="2"/>
  <c r="Z923" i="2"/>
  <c r="D925" i="5"/>
  <c r="Y925" i="2"/>
  <c r="Z925" i="2"/>
  <c r="D927" i="5"/>
  <c r="Y927" i="2"/>
  <c r="Z927" i="2"/>
  <c r="D929" i="5"/>
  <c r="Y929" i="2"/>
  <c r="Z929" i="2"/>
  <c r="D931" i="5"/>
  <c r="Y931" i="2"/>
  <c r="Z931" i="2"/>
  <c r="D933" i="5"/>
  <c r="Y933" i="2"/>
  <c r="Z933" i="2"/>
  <c r="T933" i="2"/>
  <c r="D935" i="5"/>
  <c r="Y935" i="2"/>
  <c r="Z935" i="2"/>
  <c r="T935" i="2"/>
  <c r="D937" i="5"/>
  <c r="Y937" i="2"/>
  <c r="Z937" i="2"/>
  <c r="T937" i="2"/>
  <c r="D939" i="5"/>
  <c r="Y939" i="2"/>
  <c r="Z939" i="2"/>
  <c r="T939" i="2"/>
  <c r="D941" i="5"/>
  <c r="Y941" i="2"/>
  <c r="Z941" i="2"/>
  <c r="T941" i="2"/>
  <c r="D943" i="5"/>
  <c r="Y943" i="2"/>
  <c r="Z943" i="2"/>
  <c r="T943" i="2"/>
  <c r="D945" i="5"/>
  <c r="Y945" i="2"/>
  <c r="Z945" i="2"/>
  <c r="T945" i="2"/>
  <c r="D947" i="5"/>
  <c r="Y947" i="2"/>
  <c r="Z947" i="2"/>
  <c r="T947" i="2"/>
  <c r="D949" i="5"/>
  <c r="Y949" i="2"/>
  <c r="Z949" i="2"/>
  <c r="T949" i="2"/>
  <c r="D951" i="5"/>
  <c r="Y951" i="2"/>
  <c r="Z951" i="2"/>
  <c r="T951" i="2"/>
  <c r="D953" i="5"/>
  <c r="Y953" i="2"/>
  <c r="Z953" i="2"/>
  <c r="T953" i="2"/>
  <c r="D955" i="5"/>
  <c r="Y955" i="2"/>
  <c r="Z955" i="2"/>
  <c r="T955" i="2"/>
  <c r="D957" i="5"/>
  <c r="Y957" i="2"/>
  <c r="Z957" i="2"/>
  <c r="T957" i="2"/>
  <c r="D959" i="5"/>
  <c r="Y959" i="2"/>
  <c r="Z959" i="2"/>
  <c r="T959" i="2"/>
  <c r="D961" i="5"/>
  <c r="Y961" i="2"/>
  <c r="Z961" i="2"/>
  <c r="T961" i="2"/>
  <c r="D963" i="5"/>
  <c r="Y963" i="2"/>
  <c r="Z963" i="2"/>
  <c r="T963" i="2"/>
  <c r="D965" i="5"/>
  <c r="Y965" i="2"/>
  <c r="Z965" i="2"/>
  <c r="T965" i="2"/>
  <c r="D967" i="5"/>
  <c r="Y967" i="2"/>
  <c r="Z967" i="2"/>
  <c r="T967" i="2"/>
  <c r="D969" i="5"/>
  <c r="Y969" i="2"/>
  <c r="Z969" i="2"/>
  <c r="T969" i="2"/>
  <c r="D971" i="5"/>
  <c r="Y971" i="2"/>
  <c r="Z971" i="2"/>
  <c r="T971" i="2"/>
  <c r="D973" i="5"/>
  <c r="Y973" i="2"/>
  <c r="Z973" i="2"/>
  <c r="T973" i="2"/>
  <c r="D975" i="5"/>
  <c r="Y975" i="2"/>
  <c r="Z975" i="2"/>
  <c r="T975" i="2"/>
  <c r="D977" i="5"/>
  <c r="Y977" i="2"/>
  <c r="Z977" i="2"/>
  <c r="T977" i="2"/>
  <c r="D979" i="5"/>
  <c r="Y979" i="2"/>
  <c r="Z979" i="2"/>
  <c r="T979" i="2"/>
  <c r="D981" i="5"/>
  <c r="Y981" i="2"/>
  <c r="Z981" i="2"/>
  <c r="T981" i="2"/>
  <c r="D983" i="5"/>
  <c r="Y983" i="2"/>
  <c r="Z983" i="2"/>
  <c r="T983" i="2"/>
  <c r="D985" i="5"/>
  <c r="Y985" i="2"/>
  <c r="Z985" i="2"/>
  <c r="T985" i="2"/>
  <c r="D987" i="5"/>
  <c r="Y987" i="2"/>
  <c r="Z987" i="2"/>
  <c r="T987" i="2"/>
  <c r="D989" i="5"/>
  <c r="Y989" i="2"/>
  <c r="Z989" i="2"/>
  <c r="T989" i="2"/>
  <c r="D991" i="5"/>
  <c r="Y991" i="2"/>
  <c r="Z991" i="2"/>
  <c r="T991" i="2"/>
  <c r="D993" i="5"/>
  <c r="Y993" i="2"/>
  <c r="Z993" i="2"/>
  <c r="T993" i="2"/>
  <c r="D995" i="5"/>
  <c r="Y995" i="2"/>
  <c r="Z995" i="2"/>
  <c r="T995" i="2"/>
  <c r="D997" i="5"/>
  <c r="Y997" i="2"/>
  <c r="Z997" i="2"/>
  <c r="T997" i="2"/>
  <c r="D999" i="5"/>
  <c r="Y999" i="2"/>
  <c r="Z999" i="2"/>
  <c r="T999" i="2"/>
  <c r="D1001" i="5"/>
  <c r="Y1001" i="2"/>
  <c r="Z1001" i="2"/>
  <c r="T1001" i="2"/>
  <c r="D1003" i="5"/>
  <c r="Y1003" i="2"/>
  <c r="Z1003" i="2"/>
  <c r="T1003" i="2"/>
  <c r="D1005" i="5"/>
  <c r="Y1005" i="2"/>
  <c r="Z1005" i="2"/>
  <c r="T1005" i="2"/>
  <c r="D1007" i="5"/>
  <c r="Y1007" i="2"/>
  <c r="Z1007" i="2"/>
  <c r="T1007" i="2"/>
  <c r="D1009" i="5"/>
  <c r="Y1009" i="2"/>
  <c r="Z1009" i="2"/>
  <c r="T1009" i="2"/>
  <c r="D1011" i="5"/>
  <c r="Y1011" i="2"/>
  <c r="Z1011" i="2"/>
  <c r="T1011" i="2"/>
  <c r="D1013" i="5"/>
  <c r="Y1013" i="2"/>
  <c r="Z1013" i="2"/>
  <c r="T1013" i="2"/>
  <c r="D1015" i="5"/>
  <c r="Y1015" i="2"/>
  <c r="Z1015" i="2"/>
  <c r="T1015" i="2"/>
  <c r="D1017" i="5"/>
  <c r="Y1017" i="2"/>
  <c r="Z1017" i="2"/>
  <c r="T1017" i="2"/>
  <c r="D1019" i="5"/>
  <c r="Y1019" i="2"/>
  <c r="Z1019" i="2"/>
  <c r="T1019" i="2"/>
  <c r="D1021" i="5"/>
  <c r="Y1021" i="2"/>
  <c r="Z1021" i="2"/>
  <c r="T1021" i="2"/>
  <c r="D1023" i="5"/>
  <c r="Y1023" i="2"/>
  <c r="Z1023" i="2"/>
  <c r="T1023" i="2"/>
  <c r="D1025" i="5"/>
  <c r="Y1025" i="2"/>
  <c r="Z1025" i="2"/>
  <c r="T1025" i="2"/>
  <c r="D1027" i="5"/>
  <c r="Y1027" i="2"/>
  <c r="Z1027" i="2"/>
  <c r="T1027" i="2"/>
  <c r="D1029" i="5"/>
  <c r="Y1029" i="2"/>
  <c r="Z1029" i="2"/>
  <c r="T1029" i="2"/>
  <c r="D1031" i="5"/>
  <c r="Y1031" i="2"/>
  <c r="Z1031" i="2"/>
  <c r="T1031" i="2"/>
  <c r="D1033" i="5"/>
  <c r="Y1033" i="2"/>
  <c r="Z1033" i="2"/>
  <c r="T1033" i="2"/>
  <c r="D1035" i="5"/>
  <c r="Y1035" i="2"/>
  <c r="Z1035" i="2"/>
  <c r="T1035" i="2"/>
  <c r="D1037" i="5"/>
  <c r="Y1037" i="2"/>
  <c r="Z1037" i="2"/>
  <c r="T1037" i="2"/>
  <c r="D1039" i="5"/>
  <c r="Y1039" i="2"/>
  <c r="Z1039" i="2"/>
  <c r="T1039" i="2"/>
  <c r="E1041" i="5"/>
  <c r="T1041" i="2"/>
  <c r="A1044" i="5"/>
  <c r="P1044" i="2"/>
  <c r="D1044" i="5"/>
  <c r="Z1044" i="2"/>
  <c r="Y1044" i="2"/>
  <c r="E1045" i="5"/>
  <c r="T1045" i="2"/>
  <c r="A1048" i="5"/>
  <c r="P1048" i="2"/>
  <c r="D1048" i="5"/>
  <c r="Z1048" i="2"/>
  <c r="Y1048" i="2"/>
  <c r="E1052" i="5"/>
  <c r="T1052" i="2"/>
  <c r="E1056" i="5"/>
  <c r="T1056" i="2"/>
  <c r="E1060" i="5"/>
  <c r="T1060" i="2"/>
  <c r="E1064" i="5"/>
  <c r="T1064" i="2"/>
  <c r="E1068" i="5"/>
  <c r="T1068" i="2"/>
  <c r="E1072" i="5"/>
  <c r="T1072" i="2"/>
  <c r="E1076" i="5"/>
  <c r="T1076" i="2"/>
  <c r="E1080" i="5"/>
  <c r="T1080" i="2"/>
  <c r="E1084" i="5"/>
  <c r="T1084" i="2"/>
  <c r="E1088" i="5"/>
  <c r="T1088" i="2"/>
  <c r="E1092" i="5"/>
  <c r="T1092" i="2"/>
  <c r="E1096" i="5"/>
  <c r="T1096" i="2"/>
  <c r="E1100" i="5"/>
  <c r="T1100" i="2"/>
  <c r="E1104" i="5"/>
  <c r="T1104" i="2"/>
  <c r="E1108" i="5"/>
  <c r="T1108" i="2"/>
  <c r="E1112" i="5"/>
  <c r="T1112" i="2"/>
  <c r="E1116" i="5"/>
  <c r="T1116" i="2"/>
  <c r="E1120" i="5"/>
  <c r="T1120" i="2"/>
  <c r="E1124" i="5"/>
  <c r="T1124" i="2"/>
  <c r="E1128" i="5"/>
  <c r="T1128" i="2"/>
  <c r="E1132" i="5"/>
  <c r="T1132" i="2"/>
  <c r="E1136" i="5"/>
  <c r="T1136" i="2"/>
  <c r="E1140" i="5"/>
  <c r="T1140" i="2"/>
  <c r="Z727" i="2"/>
  <c r="D728" i="5"/>
  <c r="Y728" i="2"/>
  <c r="P728" i="2"/>
  <c r="Z731" i="2"/>
  <c r="D732" i="5"/>
  <c r="Y732" i="2"/>
  <c r="P732" i="2"/>
  <c r="Z735" i="2"/>
  <c r="D736" i="5"/>
  <c r="Y736" i="2"/>
  <c r="P736" i="2"/>
  <c r="Z739" i="2"/>
  <c r="D740" i="5"/>
  <c r="Y740" i="2"/>
  <c r="P740" i="2"/>
  <c r="Z743" i="2"/>
  <c r="D744" i="5"/>
  <c r="Y744" i="2"/>
  <c r="P744" i="2"/>
  <c r="Z747" i="2"/>
  <c r="D748" i="5"/>
  <c r="Y748" i="2"/>
  <c r="P748" i="2"/>
  <c r="Z751" i="2"/>
  <c r="D752" i="5"/>
  <c r="Y752" i="2"/>
  <c r="P752" i="2"/>
  <c r="Z755" i="2"/>
  <c r="D756" i="5"/>
  <c r="Y756" i="2"/>
  <c r="P756" i="2"/>
  <c r="Z759" i="2"/>
  <c r="D760" i="5"/>
  <c r="Y760" i="2"/>
  <c r="P760" i="2"/>
  <c r="Z763" i="2"/>
  <c r="D764" i="5"/>
  <c r="Y764" i="2"/>
  <c r="P764" i="2"/>
  <c r="Z767" i="2"/>
  <c r="D768" i="5"/>
  <c r="Y768" i="2"/>
  <c r="P768" i="2"/>
  <c r="Z771" i="2"/>
  <c r="D772" i="5"/>
  <c r="Y772" i="2"/>
  <c r="P772" i="2"/>
  <c r="Z775" i="2"/>
  <c r="D776" i="5"/>
  <c r="Y776" i="2"/>
  <c r="P776" i="2"/>
  <c r="Z779" i="2"/>
  <c r="D780" i="5"/>
  <c r="Y780" i="2"/>
  <c r="P780" i="2"/>
  <c r="Z783" i="2"/>
  <c r="D784" i="5"/>
  <c r="Y784" i="2"/>
  <c r="P784" i="2"/>
  <c r="Z787" i="2"/>
  <c r="D788" i="5"/>
  <c r="Y788" i="2"/>
  <c r="P788" i="2"/>
  <c r="Z791" i="2"/>
  <c r="D792" i="5"/>
  <c r="Y792" i="2"/>
  <c r="P792" i="2"/>
  <c r="Z795" i="2"/>
  <c r="D796" i="5"/>
  <c r="Y796" i="2"/>
  <c r="P796" i="2"/>
  <c r="Z799" i="2"/>
  <c r="D800" i="5"/>
  <c r="Y800" i="2"/>
  <c r="P800" i="2"/>
  <c r="Z803" i="2"/>
  <c r="D804" i="5"/>
  <c r="Y804" i="2"/>
  <c r="P804" i="2"/>
  <c r="Z807" i="2"/>
  <c r="D808" i="5"/>
  <c r="Y808" i="2"/>
  <c r="P808" i="2"/>
  <c r="Z811" i="2"/>
  <c r="D812" i="5"/>
  <c r="Y812" i="2"/>
  <c r="P812" i="2"/>
  <c r="Z815" i="2"/>
  <c r="D816" i="5"/>
  <c r="Y816" i="2"/>
  <c r="P816" i="2"/>
  <c r="Z819" i="2"/>
  <c r="D820" i="5"/>
  <c r="Y820" i="2"/>
  <c r="P820" i="2"/>
  <c r="Z823" i="2"/>
  <c r="D824" i="5"/>
  <c r="Y824" i="2"/>
  <c r="P824" i="2"/>
  <c r="Z827" i="2"/>
  <c r="D828" i="5"/>
  <c r="Y828" i="2"/>
  <c r="P828" i="2"/>
  <c r="Z831" i="2"/>
  <c r="D832" i="5"/>
  <c r="Y832" i="2"/>
  <c r="P832" i="2"/>
  <c r="Z835" i="2"/>
  <c r="D836" i="5"/>
  <c r="Y836" i="2"/>
  <c r="P836" i="2"/>
  <c r="Z839" i="2"/>
  <c r="D840" i="5"/>
  <c r="Y840" i="2"/>
  <c r="P840" i="2"/>
  <c r="Z843" i="2"/>
  <c r="D844" i="5"/>
  <c r="Y844" i="2"/>
  <c r="P844" i="2"/>
  <c r="Z847" i="2"/>
  <c r="D848" i="5"/>
  <c r="Y848" i="2"/>
  <c r="P848" i="2"/>
  <c r="Z851" i="2"/>
  <c r="D852" i="5"/>
  <c r="Y852" i="2"/>
  <c r="P852" i="2"/>
  <c r="Z855" i="2"/>
  <c r="D856" i="5"/>
  <c r="Y856" i="2"/>
  <c r="P856" i="2"/>
  <c r="Z859" i="2"/>
  <c r="D860" i="5"/>
  <c r="Y860" i="2"/>
  <c r="P860" i="2"/>
  <c r="Z863" i="2"/>
  <c r="D864" i="5"/>
  <c r="Y864" i="2"/>
  <c r="P864" i="2"/>
  <c r="Z867" i="2"/>
  <c r="D868" i="5"/>
  <c r="Y868" i="2"/>
  <c r="P868" i="2"/>
  <c r="Z871" i="2"/>
  <c r="D872" i="5"/>
  <c r="Y872" i="2"/>
  <c r="P872" i="2"/>
  <c r="Z875" i="2"/>
  <c r="D876" i="5"/>
  <c r="Y876" i="2"/>
  <c r="P876" i="2"/>
  <c r="Z879" i="2"/>
  <c r="D880" i="5"/>
  <c r="Y880" i="2"/>
  <c r="P880" i="2"/>
  <c r="Z883" i="2"/>
  <c r="D884" i="5"/>
  <c r="Y884" i="2"/>
  <c r="P884" i="2"/>
  <c r="E938" i="5"/>
  <c r="T938" i="2"/>
  <c r="E940" i="5"/>
  <c r="T940" i="2"/>
  <c r="E942" i="5"/>
  <c r="T942" i="2"/>
  <c r="E944" i="5"/>
  <c r="T944" i="2"/>
  <c r="E946" i="5"/>
  <c r="T946" i="2"/>
  <c r="E948" i="5"/>
  <c r="T948" i="2"/>
  <c r="E950" i="5"/>
  <c r="T950" i="2"/>
  <c r="E952" i="5"/>
  <c r="T952" i="2"/>
  <c r="E954" i="5"/>
  <c r="T954" i="2"/>
  <c r="E956" i="5"/>
  <c r="T956" i="2"/>
  <c r="E958" i="5"/>
  <c r="T958" i="2"/>
  <c r="E960" i="5"/>
  <c r="T960" i="2"/>
  <c r="E962" i="5"/>
  <c r="T962" i="2"/>
  <c r="E964" i="5"/>
  <c r="T964" i="2"/>
  <c r="E966" i="5"/>
  <c r="T966" i="2"/>
  <c r="E968" i="5"/>
  <c r="T968" i="2"/>
  <c r="E970" i="5"/>
  <c r="T970" i="2"/>
  <c r="E972" i="5"/>
  <c r="T972" i="2"/>
  <c r="E974" i="5"/>
  <c r="T974" i="2"/>
  <c r="E976" i="5"/>
  <c r="T976" i="2"/>
  <c r="E978" i="5"/>
  <c r="T978" i="2"/>
  <c r="E980" i="5"/>
  <c r="T980" i="2"/>
  <c r="E982" i="5"/>
  <c r="T982" i="2"/>
  <c r="E984" i="5"/>
  <c r="T984" i="2"/>
  <c r="E986" i="5"/>
  <c r="T986" i="2"/>
  <c r="E988" i="5"/>
  <c r="T988" i="2"/>
  <c r="E990" i="5"/>
  <c r="T990" i="2"/>
  <c r="E992" i="5"/>
  <c r="T992" i="2"/>
  <c r="E994" i="5"/>
  <c r="T994" i="2"/>
  <c r="E996" i="5"/>
  <c r="T996" i="2"/>
  <c r="E998" i="5"/>
  <c r="T998" i="2"/>
  <c r="E1000" i="5"/>
  <c r="T1000" i="2"/>
  <c r="E1002" i="5"/>
  <c r="T1002" i="2"/>
  <c r="E1004" i="5"/>
  <c r="T1004" i="2"/>
  <c r="E1006" i="5"/>
  <c r="T1006" i="2"/>
  <c r="E1008" i="5"/>
  <c r="T1008" i="2"/>
  <c r="E1010" i="5"/>
  <c r="T1010" i="2"/>
  <c r="E1012" i="5"/>
  <c r="T1012" i="2"/>
  <c r="E1014" i="5"/>
  <c r="T1014" i="2"/>
  <c r="E1016" i="5"/>
  <c r="T1016" i="2"/>
  <c r="E1018" i="5"/>
  <c r="T1018" i="2"/>
  <c r="E1020" i="5"/>
  <c r="T1020" i="2"/>
  <c r="E1022" i="5"/>
  <c r="T1022" i="2"/>
  <c r="E1024" i="5"/>
  <c r="T1024" i="2"/>
  <c r="E1026" i="5"/>
  <c r="T1026" i="2"/>
  <c r="E1028" i="5"/>
  <c r="T1028" i="2"/>
  <c r="E1030" i="5"/>
  <c r="T1030" i="2"/>
  <c r="E1032" i="5"/>
  <c r="T1032" i="2"/>
  <c r="E1034" i="5"/>
  <c r="T1034" i="2"/>
  <c r="E1036" i="5"/>
  <c r="T1036" i="2"/>
  <c r="E1038" i="5"/>
  <c r="T1038" i="2"/>
  <c r="E1040" i="5"/>
  <c r="T1040" i="2"/>
  <c r="A1043" i="5"/>
  <c r="P1043" i="2"/>
  <c r="D1043" i="5"/>
  <c r="Y1043" i="2"/>
  <c r="Z1043" i="2"/>
  <c r="E1044" i="5"/>
  <c r="T1044" i="2"/>
  <c r="A1047" i="5"/>
  <c r="P1047" i="2"/>
  <c r="D1047" i="5"/>
  <c r="Y1047" i="2"/>
  <c r="Z1047" i="2"/>
  <c r="E1048" i="5"/>
  <c r="T1048" i="2"/>
  <c r="E1142" i="5"/>
  <c r="T1142" i="2"/>
  <c r="E1144" i="5"/>
  <c r="T1144" i="2"/>
  <c r="E1146" i="5"/>
  <c r="T1146" i="2"/>
  <c r="E1148" i="5"/>
  <c r="T1148" i="2"/>
  <c r="E1150" i="5"/>
  <c r="T1150" i="2"/>
  <c r="E1152" i="5"/>
  <c r="T1152" i="2"/>
  <c r="T620" i="2"/>
  <c r="T622" i="2"/>
  <c r="T624" i="2"/>
  <c r="T626" i="2"/>
  <c r="T628" i="2"/>
  <c r="T630" i="2"/>
  <c r="T632" i="2"/>
  <c r="T634" i="2"/>
  <c r="T636" i="2"/>
  <c r="T638" i="2"/>
  <c r="T640" i="2"/>
  <c r="T642" i="2"/>
  <c r="T644" i="2"/>
  <c r="T646" i="2"/>
  <c r="T648" i="2"/>
  <c r="T650" i="2"/>
  <c r="T652" i="2"/>
  <c r="T654" i="2"/>
  <c r="T656" i="2"/>
  <c r="T658" i="2"/>
  <c r="T660" i="2"/>
  <c r="T662" i="2"/>
  <c r="T664" i="2"/>
  <c r="T666" i="2"/>
  <c r="T668" i="2"/>
  <c r="T670" i="2"/>
  <c r="T672" i="2"/>
  <c r="T674" i="2"/>
  <c r="T676" i="2"/>
  <c r="T678" i="2"/>
  <c r="T680" i="2"/>
  <c r="T682" i="2"/>
  <c r="T684" i="2"/>
  <c r="T686" i="2"/>
  <c r="T688" i="2"/>
  <c r="T690" i="2"/>
  <c r="T692" i="2"/>
  <c r="T694" i="2"/>
  <c r="T696" i="2"/>
  <c r="T698" i="2"/>
  <c r="T700" i="2"/>
  <c r="T702" i="2"/>
  <c r="T704" i="2"/>
  <c r="T706" i="2"/>
  <c r="T708" i="2"/>
  <c r="T710" i="2"/>
  <c r="T712" i="2"/>
  <c r="T714" i="2"/>
  <c r="T716" i="2"/>
  <c r="T718" i="2"/>
  <c r="T720" i="2"/>
  <c r="T722" i="2"/>
  <c r="T724" i="2"/>
  <c r="Z728" i="2"/>
  <c r="D729" i="5"/>
  <c r="Y729" i="2"/>
  <c r="P729" i="2"/>
  <c r="Z732" i="2"/>
  <c r="D733" i="5"/>
  <c r="Y733" i="2"/>
  <c r="P733" i="2"/>
  <c r="Z736" i="2"/>
  <c r="D737" i="5"/>
  <c r="Y737" i="2"/>
  <c r="P737" i="2"/>
  <c r="Z740" i="2"/>
  <c r="D741" i="5"/>
  <c r="Y741" i="2"/>
  <c r="P741" i="2"/>
  <c r="Z744" i="2"/>
  <c r="D745" i="5"/>
  <c r="Y745" i="2"/>
  <c r="P745" i="2"/>
  <c r="Z748" i="2"/>
  <c r="D749" i="5"/>
  <c r="Y749" i="2"/>
  <c r="P749" i="2"/>
  <c r="Z752" i="2"/>
  <c r="D753" i="5"/>
  <c r="Y753" i="2"/>
  <c r="P753" i="2"/>
  <c r="Z756" i="2"/>
  <c r="D757" i="5"/>
  <c r="Y757" i="2"/>
  <c r="P757" i="2"/>
  <c r="Z760" i="2"/>
  <c r="D761" i="5"/>
  <c r="Y761" i="2"/>
  <c r="P761" i="2"/>
  <c r="Z764" i="2"/>
  <c r="D765" i="5"/>
  <c r="Y765" i="2"/>
  <c r="P765" i="2"/>
  <c r="Z768" i="2"/>
  <c r="D769" i="5"/>
  <c r="Y769" i="2"/>
  <c r="P769" i="2"/>
  <c r="Z772" i="2"/>
  <c r="D773" i="5"/>
  <c r="Y773" i="2"/>
  <c r="P773" i="2"/>
  <c r="Z776" i="2"/>
  <c r="D777" i="5"/>
  <c r="Y777" i="2"/>
  <c r="P777" i="2"/>
  <c r="Z780" i="2"/>
  <c r="D781" i="5"/>
  <c r="Y781" i="2"/>
  <c r="P781" i="2"/>
  <c r="Z784" i="2"/>
  <c r="D785" i="5"/>
  <c r="Y785" i="2"/>
  <c r="P785" i="2"/>
  <c r="Z788" i="2"/>
  <c r="D789" i="5"/>
  <c r="Y789" i="2"/>
  <c r="P789" i="2"/>
  <c r="Z792" i="2"/>
  <c r="D793" i="5"/>
  <c r="Y793" i="2"/>
  <c r="P793" i="2"/>
  <c r="Z796" i="2"/>
  <c r="D797" i="5"/>
  <c r="Y797" i="2"/>
  <c r="P797" i="2"/>
  <c r="Z800" i="2"/>
  <c r="D801" i="5"/>
  <c r="Y801" i="2"/>
  <c r="P801" i="2"/>
  <c r="Z804" i="2"/>
  <c r="D805" i="5"/>
  <c r="Y805" i="2"/>
  <c r="P805" i="2"/>
  <c r="Z808" i="2"/>
  <c r="D809" i="5"/>
  <c r="Y809" i="2"/>
  <c r="P809" i="2"/>
  <c r="Z812" i="2"/>
  <c r="D813" i="5"/>
  <c r="Y813" i="2"/>
  <c r="P813" i="2"/>
  <c r="Z816" i="2"/>
  <c r="D817" i="5"/>
  <c r="Y817" i="2"/>
  <c r="P817" i="2"/>
  <c r="Z820" i="2"/>
  <c r="D821" i="5"/>
  <c r="Y821" i="2"/>
  <c r="P821" i="2"/>
  <c r="Z824" i="2"/>
  <c r="D825" i="5"/>
  <c r="Y825" i="2"/>
  <c r="P825" i="2"/>
  <c r="Z828" i="2"/>
  <c r="D829" i="5"/>
  <c r="Y829" i="2"/>
  <c r="P829" i="2"/>
  <c r="Z832" i="2"/>
  <c r="D833" i="5"/>
  <c r="Y833" i="2"/>
  <c r="P833" i="2"/>
  <c r="Z836" i="2"/>
  <c r="D837" i="5"/>
  <c r="Y837" i="2"/>
  <c r="P837" i="2"/>
  <c r="Z840" i="2"/>
  <c r="D841" i="5"/>
  <c r="Y841" i="2"/>
  <c r="P841" i="2"/>
  <c r="Z844" i="2"/>
  <c r="D845" i="5"/>
  <c r="Y845" i="2"/>
  <c r="P845" i="2"/>
  <c r="Z848" i="2"/>
  <c r="D849" i="5"/>
  <c r="Y849" i="2"/>
  <c r="P849" i="2"/>
  <c r="Z852" i="2"/>
  <c r="D853" i="5"/>
  <c r="Y853" i="2"/>
  <c r="P853" i="2"/>
  <c r="Z856" i="2"/>
  <c r="D857" i="5"/>
  <c r="Y857" i="2"/>
  <c r="P857" i="2"/>
  <c r="Z860" i="2"/>
  <c r="D861" i="5"/>
  <c r="Y861" i="2"/>
  <c r="P861" i="2"/>
  <c r="Z864" i="2"/>
  <c r="D865" i="5"/>
  <c r="Y865" i="2"/>
  <c r="P865" i="2"/>
  <c r="Z868" i="2"/>
  <c r="D869" i="5"/>
  <c r="Y869" i="2"/>
  <c r="P869" i="2"/>
  <c r="Z872" i="2"/>
  <c r="D873" i="5"/>
  <c r="Y873" i="2"/>
  <c r="P873" i="2"/>
  <c r="Z876" i="2"/>
  <c r="D877" i="5"/>
  <c r="Y877" i="2"/>
  <c r="P877" i="2"/>
  <c r="Z880" i="2"/>
  <c r="D881" i="5"/>
  <c r="Y881" i="2"/>
  <c r="P881" i="2"/>
  <c r="Z884" i="2"/>
  <c r="D885" i="5"/>
  <c r="Y885" i="2"/>
  <c r="P885" i="2"/>
  <c r="A886" i="5"/>
  <c r="P886" i="2"/>
  <c r="A1042" i="5"/>
  <c r="P1042" i="2"/>
  <c r="D1042" i="5"/>
  <c r="Z1042" i="2"/>
  <c r="Y1042" i="2"/>
  <c r="E1043" i="5"/>
  <c r="T1043" i="2"/>
  <c r="A1046" i="5"/>
  <c r="P1046" i="2"/>
  <c r="D1046" i="5"/>
  <c r="Z1046" i="2"/>
  <c r="Y1046" i="2"/>
  <c r="E1047" i="5"/>
  <c r="T1047" i="2"/>
  <c r="E1050" i="5"/>
  <c r="T1050" i="2"/>
  <c r="E1054" i="5"/>
  <c r="T1054" i="2"/>
  <c r="E1058" i="5"/>
  <c r="T1058" i="2"/>
  <c r="E1062" i="5"/>
  <c r="T1062" i="2"/>
  <c r="E1066" i="5"/>
  <c r="T1066" i="2"/>
  <c r="E1070" i="5"/>
  <c r="T1070" i="2"/>
  <c r="E1074" i="5"/>
  <c r="T1074" i="2"/>
  <c r="E1078" i="5"/>
  <c r="T1078" i="2"/>
  <c r="E1082" i="5"/>
  <c r="T1082" i="2"/>
  <c r="E1086" i="5"/>
  <c r="T1086" i="2"/>
  <c r="E1090" i="5"/>
  <c r="T1090" i="2"/>
  <c r="E1094" i="5"/>
  <c r="T1094" i="2"/>
  <c r="E1098" i="5"/>
  <c r="T1098" i="2"/>
  <c r="E1102" i="5"/>
  <c r="T1102" i="2"/>
  <c r="E1106" i="5"/>
  <c r="T1106" i="2"/>
  <c r="E1110" i="5"/>
  <c r="T1110" i="2"/>
  <c r="E1114" i="5"/>
  <c r="T1114" i="2"/>
  <c r="E1118" i="5"/>
  <c r="T1118" i="2"/>
  <c r="E1122" i="5"/>
  <c r="T1122" i="2"/>
  <c r="E1126" i="5"/>
  <c r="T1126" i="2"/>
  <c r="E1130" i="5"/>
  <c r="T1130" i="2"/>
  <c r="E1134" i="5"/>
  <c r="T1134" i="2"/>
  <c r="E1138" i="5"/>
  <c r="T1138" i="2"/>
  <c r="D726" i="5"/>
  <c r="Y726" i="2"/>
  <c r="T728" i="2"/>
  <c r="D730" i="5"/>
  <c r="Y730" i="2"/>
  <c r="T732" i="2"/>
  <c r="D734" i="5"/>
  <c r="Y734" i="2"/>
  <c r="T736" i="2"/>
  <c r="D738" i="5"/>
  <c r="Y738" i="2"/>
  <c r="T740" i="2"/>
  <c r="D742" i="5"/>
  <c r="Y742" i="2"/>
  <c r="T744" i="2"/>
  <c r="D746" i="5"/>
  <c r="Y746" i="2"/>
  <c r="T748" i="2"/>
  <c r="D750" i="5"/>
  <c r="Y750" i="2"/>
  <c r="T752" i="2"/>
  <c r="D754" i="5"/>
  <c r="Y754" i="2"/>
  <c r="T756" i="2"/>
  <c r="D758" i="5"/>
  <c r="Y758" i="2"/>
  <c r="T760" i="2"/>
  <c r="D762" i="5"/>
  <c r="Y762" i="2"/>
  <c r="T764" i="2"/>
  <c r="D766" i="5"/>
  <c r="Y766" i="2"/>
  <c r="T768" i="2"/>
  <c r="D770" i="5"/>
  <c r="Y770" i="2"/>
  <c r="T772" i="2"/>
  <c r="D774" i="5"/>
  <c r="Y774" i="2"/>
  <c r="T776" i="2"/>
  <c r="D778" i="5"/>
  <c r="Y778" i="2"/>
  <c r="T780" i="2"/>
  <c r="D782" i="5"/>
  <c r="Y782" i="2"/>
  <c r="T784" i="2"/>
  <c r="D786" i="5"/>
  <c r="Y786" i="2"/>
  <c r="T788" i="2"/>
  <c r="D790" i="5"/>
  <c r="Y790" i="2"/>
  <c r="T792" i="2"/>
  <c r="D794" i="5"/>
  <c r="Y794" i="2"/>
  <c r="T796" i="2"/>
  <c r="D798" i="5"/>
  <c r="Y798" i="2"/>
  <c r="T800" i="2"/>
  <c r="D802" i="5"/>
  <c r="Y802" i="2"/>
  <c r="T804" i="2"/>
  <c r="D806" i="5"/>
  <c r="Y806" i="2"/>
  <c r="T808" i="2"/>
  <c r="D810" i="5"/>
  <c r="Y810" i="2"/>
  <c r="T812" i="2"/>
  <c r="D814" i="5"/>
  <c r="Y814" i="2"/>
  <c r="T816" i="2"/>
  <c r="D818" i="5"/>
  <c r="Y818" i="2"/>
  <c r="T820" i="2"/>
  <c r="D822" i="5"/>
  <c r="Y822" i="2"/>
  <c r="T824" i="2"/>
  <c r="D826" i="5"/>
  <c r="Y826" i="2"/>
  <c r="T828" i="2"/>
  <c r="D830" i="5"/>
  <c r="Y830" i="2"/>
  <c r="T832" i="2"/>
  <c r="D834" i="5"/>
  <c r="Y834" i="2"/>
  <c r="T836" i="2"/>
  <c r="D838" i="5"/>
  <c r="Y838" i="2"/>
  <c r="T840" i="2"/>
  <c r="D842" i="5"/>
  <c r="Y842" i="2"/>
  <c r="T844" i="2"/>
  <c r="D846" i="5"/>
  <c r="Y846" i="2"/>
  <c r="T848" i="2"/>
  <c r="D850" i="5"/>
  <c r="Y850" i="2"/>
  <c r="T852" i="2"/>
  <c r="D854" i="5"/>
  <c r="Y854" i="2"/>
  <c r="T856" i="2"/>
  <c r="D858" i="5"/>
  <c r="Y858" i="2"/>
  <c r="T860" i="2"/>
  <c r="D862" i="5"/>
  <c r="Y862" i="2"/>
  <c r="T864" i="2"/>
  <c r="D866" i="5"/>
  <c r="Y866" i="2"/>
  <c r="T868" i="2"/>
  <c r="D870" i="5"/>
  <c r="Y870" i="2"/>
  <c r="T872" i="2"/>
  <c r="D874" i="5"/>
  <c r="Y874" i="2"/>
  <c r="T876" i="2"/>
  <c r="D878" i="5"/>
  <c r="Y878" i="2"/>
  <c r="T880" i="2"/>
  <c r="D882" i="5"/>
  <c r="Y882" i="2"/>
  <c r="T884" i="2"/>
  <c r="D886" i="5"/>
  <c r="Y886" i="2"/>
  <c r="P887" i="2"/>
  <c r="A888" i="5"/>
  <c r="P888" i="2"/>
  <c r="D888" i="5"/>
  <c r="Y888" i="2"/>
  <c r="P889" i="2"/>
  <c r="A890" i="5"/>
  <c r="P890" i="2"/>
  <c r="D890" i="5"/>
  <c r="Y890" i="2"/>
  <c r="P891" i="2"/>
  <c r="A892" i="5"/>
  <c r="P892" i="2"/>
  <c r="D892" i="5"/>
  <c r="Y892" i="2"/>
  <c r="P893" i="2"/>
  <c r="A894" i="5"/>
  <c r="P894" i="2"/>
  <c r="D894" i="5"/>
  <c r="Y894" i="2"/>
  <c r="P895" i="2"/>
  <c r="A896" i="5"/>
  <c r="P896" i="2"/>
  <c r="D896" i="5"/>
  <c r="Y896" i="2"/>
  <c r="P897" i="2"/>
  <c r="A898" i="5"/>
  <c r="P898" i="2"/>
  <c r="D898" i="5"/>
  <c r="Y898" i="2"/>
  <c r="P899" i="2"/>
  <c r="A900" i="5"/>
  <c r="P900" i="2"/>
  <c r="D900" i="5"/>
  <c r="Y900" i="2"/>
  <c r="P901" i="2"/>
  <c r="A902" i="5"/>
  <c r="P902" i="2"/>
  <c r="D902" i="5"/>
  <c r="Y902" i="2"/>
  <c r="P903" i="2"/>
  <c r="A904" i="5"/>
  <c r="P904" i="2"/>
  <c r="D904" i="5"/>
  <c r="Y904" i="2"/>
  <c r="P905" i="2"/>
  <c r="A906" i="5"/>
  <c r="P906" i="2"/>
  <c r="D906" i="5"/>
  <c r="Y906" i="2"/>
  <c r="P907" i="2"/>
  <c r="A908" i="5"/>
  <c r="P908" i="2"/>
  <c r="D908" i="5"/>
  <c r="Y908" i="2"/>
  <c r="P909" i="2"/>
  <c r="A910" i="5"/>
  <c r="P910" i="2"/>
  <c r="D910" i="5"/>
  <c r="Y910" i="2"/>
  <c r="P911" i="2"/>
  <c r="A912" i="5"/>
  <c r="P912" i="2"/>
  <c r="D912" i="5"/>
  <c r="Y912" i="2"/>
  <c r="P913" i="2"/>
  <c r="A914" i="5"/>
  <c r="P914" i="2"/>
  <c r="D914" i="5"/>
  <c r="Y914" i="2"/>
  <c r="P915" i="2"/>
  <c r="A916" i="5"/>
  <c r="P916" i="2"/>
  <c r="D916" i="5"/>
  <c r="Y916" i="2"/>
  <c r="P917" i="2"/>
  <c r="A918" i="5"/>
  <c r="P918" i="2"/>
  <c r="D918" i="5"/>
  <c r="Y918" i="2"/>
  <c r="P919" i="2"/>
  <c r="A920" i="5"/>
  <c r="P920" i="2"/>
  <c r="D920" i="5"/>
  <c r="Y920" i="2"/>
  <c r="P921" i="2"/>
  <c r="A922" i="5"/>
  <c r="P922" i="2"/>
  <c r="D922" i="5"/>
  <c r="Y922" i="2"/>
  <c r="P923" i="2"/>
  <c r="A924" i="5"/>
  <c r="P924" i="2"/>
  <c r="D924" i="5"/>
  <c r="Y924" i="2"/>
  <c r="P925" i="2"/>
  <c r="A926" i="5"/>
  <c r="P926" i="2"/>
  <c r="D926" i="5"/>
  <c r="Y926" i="2"/>
  <c r="P927" i="2"/>
  <c r="A928" i="5"/>
  <c r="P928" i="2"/>
  <c r="D928" i="5"/>
  <c r="Y928" i="2"/>
  <c r="P929" i="2"/>
  <c r="A930" i="5"/>
  <c r="P930" i="2"/>
  <c r="D930" i="5"/>
  <c r="Y930" i="2"/>
  <c r="P931" i="2"/>
  <c r="A932" i="5"/>
  <c r="P932" i="2"/>
  <c r="D932" i="5"/>
  <c r="Y932" i="2"/>
  <c r="P933" i="2"/>
  <c r="A934" i="5"/>
  <c r="P934" i="2"/>
  <c r="D934" i="5"/>
  <c r="Y934" i="2"/>
  <c r="P935" i="2"/>
  <c r="A936" i="5"/>
  <c r="P936" i="2"/>
  <c r="D936" i="5"/>
  <c r="Y936" i="2"/>
  <c r="P937" i="2"/>
  <c r="A938" i="5"/>
  <c r="P938" i="2"/>
  <c r="D938" i="5"/>
  <c r="Y938" i="2"/>
  <c r="P939" i="2"/>
  <c r="A940" i="5"/>
  <c r="P940" i="2"/>
  <c r="D940" i="5"/>
  <c r="Y940" i="2"/>
  <c r="P941" i="2"/>
  <c r="A942" i="5"/>
  <c r="P942" i="2"/>
  <c r="D942" i="5"/>
  <c r="Y942" i="2"/>
  <c r="P943" i="2"/>
  <c r="A944" i="5"/>
  <c r="P944" i="2"/>
  <c r="D944" i="5"/>
  <c r="Y944" i="2"/>
  <c r="P945" i="2"/>
  <c r="A946" i="5"/>
  <c r="P946" i="2"/>
  <c r="D946" i="5"/>
  <c r="Y946" i="2"/>
  <c r="P947" i="2"/>
  <c r="A948" i="5"/>
  <c r="P948" i="2"/>
  <c r="D948" i="5"/>
  <c r="Y948" i="2"/>
  <c r="P949" i="2"/>
  <c r="A950" i="5"/>
  <c r="P950" i="2"/>
  <c r="D950" i="5"/>
  <c r="Y950" i="2"/>
  <c r="P951" i="2"/>
  <c r="A952" i="5"/>
  <c r="P952" i="2"/>
  <c r="D952" i="5"/>
  <c r="Y952" i="2"/>
  <c r="P953" i="2"/>
  <c r="A954" i="5"/>
  <c r="P954" i="2"/>
  <c r="D954" i="5"/>
  <c r="Y954" i="2"/>
  <c r="P955" i="2"/>
  <c r="A956" i="5"/>
  <c r="P956" i="2"/>
  <c r="D956" i="5"/>
  <c r="Y956" i="2"/>
  <c r="P957" i="2"/>
  <c r="A958" i="5"/>
  <c r="P958" i="2"/>
  <c r="D958" i="5"/>
  <c r="Y958" i="2"/>
  <c r="P959" i="2"/>
  <c r="A960" i="5"/>
  <c r="P960" i="2"/>
  <c r="D960" i="5"/>
  <c r="Y960" i="2"/>
  <c r="P961" i="2"/>
  <c r="A962" i="5"/>
  <c r="P962" i="2"/>
  <c r="D962" i="5"/>
  <c r="Y962" i="2"/>
  <c r="P963" i="2"/>
  <c r="A964" i="5"/>
  <c r="P964" i="2"/>
  <c r="D964" i="5"/>
  <c r="Y964" i="2"/>
  <c r="P965" i="2"/>
  <c r="A966" i="5"/>
  <c r="P966" i="2"/>
  <c r="D966" i="5"/>
  <c r="Y966" i="2"/>
  <c r="P967" i="2"/>
  <c r="A968" i="5"/>
  <c r="P968" i="2"/>
  <c r="D968" i="5"/>
  <c r="Y968" i="2"/>
  <c r="P969" i="2"/>
  <c r="A970" i="5"/>
  <c r="P970" i="2"/>
  <c r="D970" i="5"/>
  <c r="Y970" i="2"/>
  <c r="P971" i="2"/>
  <c r="A972" i="5"/>
  <c r="P972" i="2"/>
  <c r="D972" i="5"/>
  <c r="Y972" i="2"/>
  <c r="P973" i="2"/>
  <c r="A974" i="5"/>
  <c r="P974" i="2"/>
  <c r="D974" i="5"/>
  <c r="Y974" i="2"/>
  <c r="P975" i="2"/>
  <c r="A976" i="5"/>
  <c r="P976" i="2"/>
  <c r="D976" i="5"/>
  <c r="Y976" i="2"/>
  <c r="P977" i="2"/>
  <c r="A978" i="5"/>
  <c r="P978" i="2"/>
  <c r="D978" i="5"/>
  <c r="Y978" i="2"/>
  <c r="P979" i="2"/>
  <c r="A980" i="5"/>
  <c r="P980" i="2"/>
  <c r="D980" i="5"/>
  <c r="Y980" i="2"/>
  <c r="P981" i="2"/>
  <c r="A982" i="5"/>
  <c r="P982" i="2"/>
  <c r="D982" i="5"/>
  <c r="Y982" i="2"/>
  <c r="P983" i="2"/>
  <c r="A984" i="5"/>
  <c r="P984" i="2"/>
  <c r="D984" i="5"/>
  <c r="Y984" i="2"/>
  <c r="P985" i="2"/>
  <c r="A986" i="5"/>
  <c r="P986" i="2"/>
  <c r="D986" i="5"/>
  <c r="Y986" i="2"/>
  <c r="P987" i="2"/>
  <c r="A988" i="5"/>
  <c r="P988" i="2"/>
  <c r="D988" i="5"/>
  <c r="Y988" i="2"/>
  <c r="P989" i="2"/>
  <c r="A990" i="5"/>
  <c r="P990" i="2"/>
  <c r="D990" i="5"/>
  <c r="Y990" i="2"/>
  <c r="P991" i="2"/>
  <c r="A992" i="5"/>
  <c r="P992" i="2"/>
  <c r="D992" i="5"/>
  <c r="Y992" i="2"/>
  <c r="P993" i="2"/>
  <c r="A994" i="5"/>
  <c r="P994" i="2"/>
  <c r="D994" i="5"/>
  <c r="Y994" i="2"/>
  <c r="P995" i="2"/>
  <c r="A996" i="5"/>
  <c r="P996" i="2"/>
  <c r="D996" i="5"/>
  <c r="Y996" i="2"/>
  <c r="P997" i="2"/>
  <c r="A998" i="5"/>
  <c r="P998" i="2"/>
  <c r="D998" i="5"/>
  <c r="Y998" i="2"/>
  <c r="P999" i="2"/>
  <c r="A1000" i="5"/>
  <c r="P1000" i="2"/>
  <c r="D1000" i="5"/>
  <c r="Y1000" i="2"/>
  <c r="P1001" i="2"/>
  <c r="A1002" i="5"/>
  <c r="P1002" i="2"/>
  <c r="D1002" i="5"/>
  <c r="Y1002" i="2"/>
  <c r="P1003" i="2"/>
  <c r="A1004" i="5"/>
  <c r="P1004" i="2"/>
  <c r="D1004" i="5"/>
  <c r="Y1004" i="2"/>
  <c r="P1005" i="2"/>
  <c r="A1006" i="5"/>
  <c r="P1006" i="2"/>
  <c r="D1006" i="5"/>
  <c r="Y1006" i="2"/>
  <c r="P1007" i="2"/>
  <c r="A1008" i="5"/>
  <c r="P1008" i="2"/>
  <c r="D1008" i="5"/>
  <c r="Y1008" i="2"/>
  <c r="P1009" i="2"/>
  <c r="A1010" i="5"/>
  <c r="P1010" i="2"/>
  <c r="D1010" i="5"/>
  <c r="Y1010" i="2"/>
  <c r="P1011" i="2"/>
  <c r="A1012" i="5"/>
  <c r="P1012" i="2"/>
  <c r="D1012" i="5"/>
  <c r="Y1012" i="2"/>
  <c r="P1013" i="2"/>
  <c r="A1014" i="5"/>
  <c r="P1014" i="2"/>
  <c r="D1014" i="5"/>
  <c r="Y1014" i="2"/>
  <c r="P1015" i="2"/>
  <c r="A1016" i="5"/>
  <c r="P1016" i="2"/>
  <c r="D1016" i="5"/>
  <c r="Y1016" i="2"/>
  <c r="P1017" i="2"/>
  <c r="A1018" i="5"/>
  <c r="P1018" i="2"/>
  <c r="D1018" i="5"/>
  <c r="Y1018" i="2"/>
  <c r="P1019" i="2"/>
  <c r="A1020" i="5"/>
  <c r="P1020" i="2"/>
  <c r="D1020" i="5"/>
  <c r="Y1020" i="2"/>
  <c r="P1021" i="2"/>
  <c r="A1022" i="5"/>
  <c r="P1022" i="2"/>
  <c r="D1022" i="5"/>
  <c r="Y1022" i="2"/>
  <c r="P1023" i="2"/>
  <c r="A1024" i="5"/>
  <c r="P1024" i="2"/>
  <c r="D1024" i="5"/>
  <c r="Y1024" i="2"/>
  <c r="P1025" i="2"/>
  <c r="A1026" i="5"/>
  <c r="P1026" i="2"/>
  <c r="D1026" i="5"/>
  <c r="Y1026" i="2"/>
  <c r="P1027" i="2"/>
  <c r="A1028" i="5"/>
  <c r="P1028" i="2"/>
  <c r="D1028" i="5"/>
  <c r="Y1028" i="2"/>
  <c r="P1029" i="2"/>
  <c r="A1030" i="5"/>
  <c r="P1030" i="2"/>
  <c r="D1030" i="5"/>
  <c r="Y1030" i="2"/>
  <c r="P1031" i="2"/>
  <c r="A1032" i="5"/>
  <c r="P1032" i="2"/>
  <c r="D1032" i="5"/>
  <c r="Y1032" i="2"/>
  <c r="P1033" i="2"/>
  <c r="A1034" i="5"/>
  <c r="P1034" i="2"/>
  <c r="D1034" i="5"/>
  <c r="Y1034" i="2"/>
  <c r="P1035" i="2"/>
  <c r="A1036" i="5"/>
  <c r="P1036" i="2"/>
  <c r="D1036" i="5"/>
  <c r="Y1036" i="2"/>
  <c r="P1037" i="2"/>
  <c r="A1038" i="5"/>
  <c r="P1038" i="2"/>
  <c r="D1038" i="5"/>
  <c r="Y1038" i="2"/>
  <c r="P1039" i="2"/>
  <c r="A1040" i="5"/>
  <c r="P1040" i="2"/>
  <c r="D1040" i="5"/>
  <c r="Y1040" i="2"/>
  <c r="A1041" i="5"/>
  <c r="P1041" i="2"/>
  <c r="D1041" i="5"/>
  <c r="Y1041" i="2"/>
  <c r="Z1041" i="2"/>
  <c r="E1042" i="5"/>
  <c r="T1042" i="2"/>
  <c r="A1045" i="5"/>
  <c r="P1045" i="2"/>
  <c r="D1045" i="5"/>
  <c r="Y1045" i="2"/>
  <c r="Z1045" i="2"/>
  <c r="E1046" i="5"/>
  <c r="T1046" i="2"/>
  <c r="A1049" i="5"/>
  <c r="P1049" i="2"/>
  <c r="D1049" i="5"/>
  <c r="Y1049" i="2"/>
  <c r="D1051" i="5"/>
  <c r="Y1051" i="2"/>
  <c r="T1053" i="2"/>
  <c r="D1055" i="5"/>
  <c r="Y1055" i="2"/>
  <c r="T1057" i="2"/>
  <c r="D1059" i="5"/>
  <c r="Y1059" i="2"/>
  <c r="T1061" i="2"/>
  <c r="D1063" i="5"/>
  <c r="Y1063" i="2"/>
  <c r="T1065" i="2"/>
  <c r="D1067" i="5"/>
  <c r="Y1067" i="2"/>
  <c r="T1069" i="2"/>
  <c r="D1071" i="5"/>
  <c r="Y1071" i="2"/>
  <c r="T1073" i="2"/>
  <c r="D1075" i="5"/>
  <c r="Y1075" i="2"/>
  <c r="T1077" i="2"/>
  <c r="D1079" i="5"/>
  <c r="Y1079" i="2"/>
  <c r="T1081" i="2"/>
  <c r="D1083" i="5"/>
  <c r="Y1083" i="2"/>
  <c r="T1085" i="2"/>
  <c r="D1087" i="5"/>
  <c r="Y1087" i="2"/>
  <c r="T1089" i="2"/>
  <c r="D1091" i="5"/>
  <c r="Y1091" i="2"/>
  <c r="T1093" i="2"/>
  <c r="D1095" i="5"/>
  <c r="Y1095" i="2"/>
  <c r="T1097" i="2"/>
  <c r="D1099" i="5"/>
  <c r="Y1099" i="2"/>
  <c r="S1099" i="2"/>
  <c r="T1101" i="2"/>
  <c r="D1103" i="5"/>
  <c r="Y1103" i="2"/>
  <c r="T1105" i="2"/>
  <c r="D1107" i="5"/>
  <c r="Y1107" i="2"/>
  <c r="T1109" i="2"/>
  <c r="D1111" i="5"/>
  <c r="Y1111" i="2"/>
  <c r="T1113" i="2"/>
  <c r="D1115" i="5"/>
  <c r="Y1115" i="2"/>
  <c r="T1117" i="2"/>
  <c r="D1119" i="5"/>
  <c r="Y1119" i="2"/>
  <c r="T1121" i="2"/>
  <c r="D1123" i="5"/>
  <c r="Y1123" i="2"/>
  <c r="T1125" i="2"/>
  <c r="D1127" i="5"/>
  <c r="Y1127" i="2"/>
  <c r="T1129" i="2"/>
  <c r="D1131" i="5"/>
  <c r="Y1131" i="2"/>
  <c r="T1133" i="2"/>
  <c r="D1135" i="5"/>
  <c r="Y1135" i="2"/>
  <c r="S1135" i="2"/>
  <c r="T1137" i="2"/>
  <c r="D1139" i="5"/>
  <c r="Y1139" i="2"/>
  <c r="D1141" i="5"/>
  <c r="Z1141" i="2"/>
  <c r="Y1141" i="2"/>
  <c r="D1143" i="5"/>
  <c r="Z1143" i="2"/>
  <c r="Y1143" i="2"/>
  <c r="D1145" i="5"/>
  <c r="Z1145" i="2"/>
  <c r="Y1145" i="2"/>
  <c r="D1147" i="5"/>
  <c r="Z1147" i="2"/>
  <c r="Y1147" i="2"/>
  <c r="D1149" i="5"/>
  <c r="Z1149" i="2"/>
  <c r="Y1149" i="2"/>
  <c r="D1151" i="5"/>
  <c r="Z1151" i="2"/>
  <c r="Y1151" i="2"/>
  <c r="D1153" i="5"/>
  <c r="Z1153" i="2"/>
  <c r="Y1153" i="2"/>
  <c r="T1153" i="2"/>
  <c r="D1155" i="5"/>
  <c r="Z1155" i="2"/>
  <c r="Y1155" i="2"/>
  <c r="T1155" i="2"/>
  <c r="D1157" i="5"/>
  <c r="Z1157" i="2"/>
  <c r="Y1157" i="2"/>
  <c r="T1157" i="2"/>
  <c r="D1159" i="5"/>
  <c r="Z1159" i="2"/>
  <c r="Y1159" i="2"/>
  <c r="T1159" i="2"/>
  <c r="D1161" i="5"/>
  <c r="Z1161" i="2"/>
  <c r="Y1161" i="2"/>
  <c r="T1161" i="2"/>
  <c r="D1163" i="5"/>
  <c r="Z1163" i="2"/>
  <c r="Y1163" i="2"/>
  <c r="T1163" i="2"/>
  <c r="D1165" i="5"/>
  <c r="Z1165" i="2"/>
  <c r="Y1165" i="2"/>
  <c r="T1165" i="2"/>
  <c r="D1167" i="5"/>
  <c r="Z1167" i="2"/>
  <c r="Y1167" i="2"/>
  <c r="T1167" i="2"/>
  <c r="D1169" i="5"/>
  <c r="Z1169" i="2"/>
  <c r="Y1169" i="2"/>
  <c r="T1169" i="2"/>
  <c r="D1171" i="5"/>
  <c r="Z1171" i="2"/>
  <c r="Y1171" i="2"/>
  <c r="T1171" i="2"/>
  <c r="D1173" i="5"/>
  <c r="Z1173" i="2"/>
  <c r="Y1173" i="2"/>
  <c r="T1173" i="2"/>
  <c r="D1175" i="5"/>
  <c r="Z1175" i="2"/>
  <c r="Y1175" i="2"/>
  <c r="T1175" i="2"/>
  <c r="E1177" i="5"/>
  <c r="T1177" i="2"/>
  <c r="A1180" i="5"/>
  <c r="P1180" i="2"/>
  <c r="D1180" i="5"/>
  <c r="Z1180" i="2"/>
  <c r="Y1180" i="2"/>
  <c r="E1181" i="5"/>
  <c r="T1181" i="2"/>
  <c r="A1184" i="5"/>
  <c r="P1184" i="2"/>
  <c r="D1184" i="5"/>
  <c r="Z1184" i="2"/>
  <c r="Y1184" i="2"/>
  <c r="E1185" i="5"/>
  <c r="T1185" i="2"/>
  <c r="A1188" i="5"/>
  <c r="P1188" i="2"/>
  <c r="D1188" i="5"/>
  <c r="Z1188" i="2"/>
  <c r="Y1188" i="2"/>
  <c r="E1189" i="5"/>
  <c r="T1189" i="2"/>
  <c r="A1192" i="5"/>
  <c r="P1192" i="2"/>
  <c r="D1192" i="5"/>
  <c r="Z1192" i="2"/>
  <c r="Y1192" i="2"/>
  <c r="E1193" i="5"/>
  <c r="T1193" i="2"/>
  <c r="A1196" i="5"/>
  <c r="P1196" i="2"/>
  <c r="D1196" i="5"/>
  <c r="Z1196" i="2"/>
  <c r="Y1196" i="2"/>
  <c r="E1197" i="5"/>
  <c r="T1197" i="2"/>
  <c r="A1200" i="5"/>
  <c r="P1200" i="2"/>
  <c r="D1200" i="5"/>
  <c r="Z1200" i="2"/>
  <c r="Y1200" i="2"/>
  <c r="E1201" i="5"/>
  <c r="T1201" i="2"/>
  <c r="A1204" i="5"/>
  <c r="P1204" i="2"/>
  <c r="D1204" i="5"/>
  <c r="Z1204" i="2"/>
  <c r="Y1204" i="2"/>
  <c r="E1205" i="5"/>
  <c r="T1205" i="2"/>
  <c r="A1208" i="5"/>
  <c r="P1208" i="2"/>
  <c r="D1208" i="5"/>
  <c r="Z1208" i="2"/>
  <c r="Y1208" i="2"/>
  <c r="E1209" i="5"/>
  <c r="T1209" i="2"/>
  <c r="A1212" i="5"/>
  <c r="P1212" i="2"/>
  <c r="D1212" i="5"/>
  <c r="Z1212" i="2"/>
  <c r="Y1212" i="2"/>
  <c r="E1213" i="5"/>
  <c r="T1213" i="2"/>
  <c r="A1216" i="5"/>
  <c r="P1216" i="2"/>
  <c r="D1216" i="5"/>
  <c r="Z1216" i="2"/>
  <c r="Y1216" i="2"/>
  <c r="E1217" i="5"/>
  <c r="T1217" i="2"/>
  <c r="A1220" i="5"/>
  <c r="P1220" i="2"/>
  <c r="D1220" i="5"/>
  <c r="Z1220" i="2"/>
  <c r="Y1220" i="2"/>
  <c r="E1221" i="5"/>
  <c r="T1221" i="2"/>
  <c r="A1224" i="5"/>
  <c r="P1224" i="2"/>
  <c r="D1224" i="5"/>
  <c r="Z1224" i="2"/>
  <c r="Y1224" i="2"/>
  <c r="E1225" i="5"/>
  <c r="T1225" i="2"/>
  <c r="A1228" i="5"/>
  <c r="P1228" i="2"/>
  <c r="D1228" i="5"/>
  <c r="Z1228" i="2"/>
  <c r="Y1228" i="2"/>
  <c r="E1229" i="5"/>
  <c r="T1229" i="2"/>
  <c r="A1232" i="5"/>
  <c r="P1232" i="2"/>
  <c r="D1232" i="5"/>
  <c r="Z1232" i="2"/>
  <c r="Y1232" i="2"/>
  <c r="E1233" i="5"/>
  <c r="T1233" i="2"/>
  <c r="A1236" i="5"/>
  <c r="P1236" i="2"/>
  <c r="D1236" i="5"/>
  <c r="Z1236" i="2"/>
  <c r="Y1236" i="2"/>
  <c r="E1237" i="5"/>
  <c r="T1237" i="2"/>
  <c r="A1240" i="5"/>
  <c r="P1240" i="2"/>
  <c r="D1240" i="5"/>
  <c r="Z1240" i="2"/>
  <c r="Y1240" i="2"/>
  <c r="E1241" i="5"/>
  <c r="T1241" i="2"/>
  <c r="A1244" i="5"/>
  <c r="P1244" i="2"/>
  <c r="D1244" i="5"/>
  <c r="Z1244" i="2"/>
  <c r="Y1244" i="2"/>
  <c r="E1245" i="5"/>
  <c r="T1245" i="2"/>
  <c r="A1248" i="5"/>
  <c r="P1248" i="2"/>
  <c r="D1248" i="5"/>
  <c r="Z1248" i="2"/>
  <c r="Y1248" i="2"/>
  <c r="E1249" i="5"/>
  <c r="T1249" i="2"/>
  <c r="A1252" i="5"/>
  <c r="P1252" i="2"/>
  <c r="D1252" i="5"/>
  <c r="Z1252" i="2"/>
  <c r="Y1252" i="2"/>
  <c r="E1253" i="5"/>
  <c r="T1253" i="2"/>
  <c r="A1256" i="5"/>
  <c r="P1256" i="2"/>
  <c r="D1256" i="5"/>
  <c r="Z1256" i="2"/>
  <c r="Y1256" i="2"/>
  <c r="E1257" i="5"/>
  <c r="T1257" i="2"/>
  <c r="A1260" i="5"/>
  <c r="P1260" i="2"/>
  <c r="D1260" i="5"/>
  <c r="Z1260" i="2"/>
  <c r="Y1260" i="2"/>
  <c r="E1261" i="5"/>
  <c r="T1261" i="2"/>
  <c r="A1264" i="5"/>
  <c r="P1264" i="2"/>
  <c r="D1264" i="5"/>
  <c r="Z1264" i="2"/>
  <c r="Y1264" i="2"/>
  <c r="E1265" i="5"/>
  <c r="T1265" i="2"/>
  <c r="A1268" i="5"/>
  <c r="P1268" i="2"/>
  <c r="D1268" i="5"/>
  <c r="Z1268" i="2"/>
  <c r="Y1268" i="2"/>
  <c r="E1269" i="5"/>
  <c r="T1269" i="2"/>
  <c r="A1272" i="5"/>
  <c r="P1272" i="2"/>
  <c r="D1272" i="5"/>
  <c r="Z1272" i="2"/>
  <c r="Y1272" i="2"/>
  <c r="E1273" i="5"/>
  <c r="T1273" i="2"/>
  <c r="A1276" i="5"/>
  <c r="P1276" i="2"/>
  <c r="D1276" i="5"/>
  <c r="Z1276" i="2"/>
  <c r="Y1276" i="2"/>
  <c r="E1277" i="5"/>
  <c r="T1277" i="2"/>
  <c r="A1280" i="5"/>
  <c r="P1280" i="2"/>
  <c r="D1280" i="5"/>
  <c r="Z1280" i="2"/>
  <c r="Y1280" i="2"/>
  <c r="E1281" i="5"/>
  <c r="T1281" i="2"/>
  <c r="A1284" i="5"/>
  <c r="P1284" i="2"/>
  <c r="D1284" i="5"/>
  <c r="Z1284" i="2"/>
  <c r="Y1284" i="2"/>
  <c r="E1285" i="5"/>
  <c r="T1285" i="2"/>
  <c r="A1288" i="5"/>
  <c r="P1288" i="2"/>
  <c r="D1288" i="5"/>
  <c r="Z1288" i="2"/>
  <c r="Y1288" i="2"/>
  <c r="E1289" i="5"/>
  <c r="T1289" i="2"/>
  <c r="A1292" i="5"/>
  <c r="P1292" i="2"/>
  <c r="D1292" i="5"/>
  <c r="Z1292" i="2"/>
  <c r="Y1292" i="2"/>
  <c r="E1293" i="5"/>
  <c r="T1293" i="2"/>
  <c r="A1296" i="5"/>
  <c r="P1296" i="2"/>
  <c r="D1296" i="5"/>
  <c r="Z1296" i="2"/>
  <c r="Y1296" i="2"/>
  <c r="E1297" i="5"/>
  <c r="T1297" i="2"/>
  <c r="A1300" i="5"/>
  <c r="P1300" i="2"/>
  <c r="D1300" i="5"/>
  <c r="Z1300" i="2"/>
  <c r="Y1300" i="2"/>
  <c r="E1301" i="5"/>
  <c r="T1301" i="2"/>
  <c r="A1304" i="5"/>
  <c r="P1304" i="2"/>
  <c r="D1304" i="5"/>
  <c r="Z1304" i="2"/>
  <c r="Y1304" i="2"/>
  <c r="E1305" i="5"/>
  <c r="T1305" i="2"/>
  <c r="A1308" i="5"/>
  <c r="P1308" i="2"/>
  <c r="D1308" i="5"/>
  <c r="Z1308" i="2"/>
  <c r="Y1308" i="2"/>
  <c r="E1309" i="5"/>
  <c r="T1309" i="2"/>
  <c r="A1312" i="5"/>
  <c r="P1312" i="2"/>
  <c r="D1312" i="5"/>
  <c r="Z1312" i="2"/>
  <c r="Y1312" i="2"/>
  <c r="E1313" i="5"/>
  <c r="T1313" i="2"/>
  <c r="A1316" i="5"/>
  <c r="P1316" i="2"/>
  <c r="D1316" i="5"/>
  <c r="Z1316" i="2"/>
  <c r="Y1316" i="2"/>
  <c r="E1317" i="5"/>
  <c r="T1317" i="2"/>
  <c r="A1320" i="5"/>
  <c r="P1320" i="2"/>
  <c r="D1320" i="5"/>
  <c r="Z1320" i="2"/>
  <c r="Y1320" i="2"/>
  <c r="E1321" i="5"/>
  <c r="T1321" i="2"/>
  <c r="A1324" i="5"/>
  <c r="P1324" i="2"/>
  <c r="D1324" i="5"/>
  <c r="Z1324" i="2"/>
  <c r="Y1324" i="2"/>
  <c r="E1325" i="5"/>
  <c r="T1325" i="2"/>
  <c r="A1328" i="5"/>
  <c r="P1328" i="2"/>
  <c r="D1328" i="5"/>
  <c r="Z1328" i="2"/>
  <c r="Y1328" i="2"/>
  <c r="E1329" i="5"/>
  <c r="T1329" i="2"/>
  <c r="A1332" i="5"/>
  <c r="P1332" i="2"/>
  <c r="D1332" i="5"/>
  <c r="Z1332" i="2"/>
  <c r="Y1332" i="2"/>
  <c r="E1333" i="5"/>
  <c r="T1333" i="2"/>
  <c r="A1336" i="5"/>
  <c r="P1336" i="2"/>
  <c r="D1336" i="5"/>
  <c r="Z1336" i="2"/>
  <c r="Y1336" i="2"/>
  <c r="E1337" i="5"/>
  <c r="T1337" i="2"/>
  <c r="A1340" i="5"/>
  <c r="P1340" i="2"/>
  <c r="D1340" i="5"/>
  <c r="Z1340" i="2"/>
  <c r="Y1340" i="2"/>
  <c r="E1341" i="5"/>
  <c r="T1341" i="2"/>
  <c r="A1344" i="5"/>
  <c r="P1344" i="2"/>
  <c r="D1344" i="5"/>
  <c r="Z1344" i="2"/>
  <c r="Y1344" i="2"/>
  <c r="E1345" i="5"/>
  <c r="T1345" i="2"/>
  <c r="A1348" i="5"/>
  <c r="P1348" i="2"/>
  <c r="D1348" i="5"/>
  <c r="Z1348" i="2"/>
  <c r="Y1348" i="2"/>
  <c r="E1349" i="5"/>
  <c r="T1349" i="2"/>
  <c r="A1352" i="5"/>
  <c r="P1352" i="2"/>
  <c r="D1352" i="5"/>
  <c r="Z1352" i="2"/>
  <c r="Y1352" i="2"/>
  <c r="E1353" i="5"/>
  <c r="T1353" i="2"/>
  <c r="A1356" i="5"/>
  <c r="P1356" i="2"/>
  <c r="D1356" i="5"/>
  <c r="Z1356" i="2"/>
  <c r="Y1356" i="2"/>
  <c r="E1357" i="5"/>
  <c r="T1357" i="2"/>
  <c r="A1360" i="5"/>
  <c r="P1360" i="2"/>
  <c r="D1360" i="5"/>
  <c r="Z1360" i="2"/>
  <c r="Y1360" i="2"/>
  <c r="E1361" i="5"/>
  <c r="T1361" i="2"/>
  <c r="A1364" i="5"/>
  <c r="P1364" i="2"/>
  <c r="D1364" i="5"/>
  <c r="Z1364" i="2"/>
  <c r="Y1364" i="2"/>
  <c r="E1365" i="5"/>
  <c r="T1365" i="2"/>
  <c r="A1368" i="5"/>
  <c r="P1368" i="2"/>
  <c r="D1368" i="5"/>
  <c r="Z1368" i="2"/>
  <c r="Y1368" i="2"/>
  <c r="E1369" i="5"/>
  <c r="T1369" i="2"/>
  <c r="E1372" i="5"/>
  <c r="T1372" i="2"/>
  <c r="D1443" i="5"/>
  <c r="Z1443" i="2"/>
  <c r="Y1443" i="2"/>
  <c r="Z1051" i="2"/>
  <c r="D1052" i="5"/>
  <c r="Y1052" i="2"/>
  <c r="P1052" i="2"/>
  <c r="Z1055" i="2"/>
  <c r="D1056" i="5"/>
  <c r="Y1056" i="2"/>
  <c r="P1056" i="2"/>
  <c r="Z1059" i="2"/>
  <c r="D1060" i="5"/>
  <c r="Y1060" i="2"/>
  <c r="P1060" i="2"/>
  <c r="Z1063" i="2"/>
  <c r="D1064" i="5"/>
  <c r="Y1064" i="2"/>
  <c r="P1064" i="2"/>
  <c r="Z1067" i="2"/>
  <c r="D1068" i="5"/>
  <c r="Y1068" i="2"/>
  <c r="P1068" i="2"/>
  <c r="Z1071" i="2"/>
  <c r="D1072" i="5"/>
  <c r="Y1072" i="2"/>
  <c r="P1072" i="2"/>
  <c r="Z1075" i="2"/>
  <c r="D1076" i="5"/>
  <c r="Y1076" i="2"/>
  <c r="P1076" i="2"/>
  <c r="Z1079" i="2"/>
  <c r="D1080" i="5"/>
  <c r="Y1080" i="2"/>
  <c r="P1080" i="2"/>
  <c r="Z1083" i="2"/>
  <c r="D1084" i="5"/>
  <c r="Y1084" i="2"/>
  <c r="P1084" i="2"/>
  <c r="Z1087" i="2"/>
  <c r="D1088" i="5"/>
  <c r="Y1088" i="2"/>
  <c r="P1088" i="2"/>
  <c r="Z1091" i="2"/>
  <c r="D1092" i="5"/>
  <c r="Y1092" i="2"/>
  <c r="P1092" i="2"/>
  <c r="Z1095" i="2"/>
  <c r="D1096" i="5"/>
  <c r="Y1096" i="2"/>
  <c r="P1096" i="2"/>
  <c r="Z1099" i="2"/>
  <c r="D1100" i="5"/>
  <c r="Y1100" i="2"/>
  <c r="P1100" i="2"/>
  <c r="Z1103" i="2"/>
  <c r="D1104" i="5"/>
  <c r="Y1104" i="2"/>
  <c r="P1104" i="2"/>
  <c r="Z1107" i="2"/>
  <c r="D1108" i="5"/>
  <c r="Y1108" i="2"/>
  <c r="P1108" i="2"/>
  <c r="Z1111" i="2"/>
  <c r="D1112" i="5"/>
  <c r="Y1112" i="2"/>
  <c r="P1112" i="2"/>
  <c r="Z1115" i="2"/>
  <c r="D1116" i="5"/>
  <c r="Y1116" i="2"/>
  <c r="P1116" i="2"/>
  <c r="Z1119" i="2"/>
  <c r="D1120" i="5"/>
  <c r="Y1120" i="2"/>
  <c r="P1120" i="2"/>
  <c r="Z1123" i="2"/>
  <c r="D1124" i="5"/>
  <c r="Y1124" i="2"/>
  <c r="P1124" i="2"/>
  <c r="Z1127" i="2"/>
  <c r="D1128" i="5"/>
  <c r="Y1128" i="2"/>
  <c r="P1128" i="2"/>
  <c r="Z1131" i="2"/>
  <c r="D1132" i="5"/>
  <c r="Y1132" i="2"/>
  <c r="P1132" i="2"/>
  <c r="Z1135" i="2"/>
  <c r="D1136" i="5"/>
  <c r="Y1136" i="2"/>
  <c r="P1136" i="2"/>
  <c r="Z1139" i="2"/>
  <c r="D1140" i="5"/>
  <c r="Y1140" i="2"/>
  <c r="P1140" i="2"/>
  <c r="E1154" i="5"/>
  <c r="T1154" i="2"/>
  <c r="E1156" i="5"/>
  <c r="T1156" i="2"/>
  <c r="E1158" i="5"/>
  <c r="T1158" i="2"/>
  <c r="E1160" i="5"/>
  <c r="T1160" i="2"/>
  <c r="E1162" i="5"/>
  <c r="T1162" i="2"/>
  <c r="E1164" i="5"/>
  <c r="T1164" i="2"/>
  <c r="E1166" i="5"/>
  <c r="T1166" i="2"/>
  <c r="E1168" i="5"/>
  <c r="T1168" i="2"/>
  <c r="E1170" i="5"/>
  <c r="T1170" i="2"/>
  <c r="E1172" i="5"/>
  <c r="T1172" i="2"/>
  <c r="E1174" i="5"/>
  <c r="T1174" i="2"/>
  <c r="E1176" i="5"/>
  <c r="T1176" i="2"/>
  <c r="A1179" i="5"/>
  <c r="P1179" i="2"/>
  <c r="D1179" i="5"/>
  <c r="Z1179" i="2"/>
  <c r="Y1179" i="2"/>
  <c r="E1180" i="5"/>
  <c r="T1180" i="2"/>
  <c r="A1183" i="5"/>
  <c r="P1183" i="2"/>
  <c r="D1183" i="5"/>
  <c r="Z1183" i="2"/>
  <c r="Y1183" i="2"/>
  <c r="E1184" i="5"/>
  <c r="T1184" i="2"/>
  <c r="A1187" i="5"/>
  <c r="P1187" i="2"/>
  <c r="D1187" i="5"/>
  <c r="Z1187" i="2"/>
  <c r="Y1187" i="2"/>
  <c r="E1188" i="5"/>
  <c r="T1188" i="2"/>
  <c r="A1191" i="5"/>
  <c r="P1191" i="2"/>
  <c r="D1191" i="5"/>
  <c r="Z1191" i="2"/>
  <c r="Y1191" i="2"/>
  <c r="E1192" i="5"/>
  <c r="T1192" i="2"/>
  <c r="A1195" i="5"/>
  <c r="P1195" i="2"/>
  <c r="D1195" i="5"/>
  <c r="Z1195" i="2"/>
  <c r="Y1195" i="2"/>
  <c r="E1196" i="5"/>
  <c r="T1196" i="2"/>
  <c r="A1199" i="5"/>
  <c r="P1199" i="2"/>
  <c r="D1199" i="5"/>
  <c r="Z1199" i="2"/>
  <c r="Y1199" i="2"/>
  <c r="E1200" i="5"/>
  <c r="T1200" i="2"/>
  <c r="A1203" i="5"/>
  <c r="P1203" i="2"/>
  <c r="D1203" i="5"/>
  <c r="Z1203" i="2"/>
  <c r="Y1203" i="2"/>
  <c r="E1204" i="5"/>
  <c r="T1204" i="2"/>
  <c r="A1207" i="5"/>
  <c r="P1207" i="2"/>
  <c r="D1207" i="5"/>
  <c r="Z1207" i="2"/>
  <c r="Y1207" i="2"/>
  <c r="E1208" i="5"/>
  <c r="T1208" i="2"/>
  <c r="A1211" i="5"/>
  <c r="P1211" i="2"/>
  <c r="D1211" i="5"/>
  <c r="Z1211" i="2"/>
  <c r="Y1211" i="2"/>
  <c r="E1212" i="5"/>
  <c r="T1212" i="2"/>
  <c r="A1215" i="5"/>
  <c r="P1215" i="2"/>
  <c r="D1215" i="5"/>
  <c r="Z1215" i="2"/>
  <c r="Y1215" i="2"/>
  <c r="E1216" i="5"/>
  <c r="T1216" i="2"/>
  <c r="A1219" i="5"/>
  <c r="P1219" i="2"/>
  <c r="D1219" i="5"/>
  <c r="Z1219" i="2"/>
  <c r="Y1219" i="2"/>
  <c r="E1220" i="5"/>
  <c r="T1220" i="2"/>
  <c r="A1223" i="5"/>
  <c r="P1223" i="2"/>
  <c r="D1223" i="5"/>
  <c r="Z1223" i="2"/>
  <c r="Y1223" i="2"/>
  <c r="E1224" i="5"/>
  <c r="T1224" i="2"/>
  <c r="A1227" i="5"/>
  <c r="P1227" i="2"/>
  <c r="D1227" i="5"/>
  <c r="Z1227" i="2"/>
  <c r="Y1227" i="2"/>
  <c r="E1228" i="5"/>
  <c r="T1228" i="2"/>
  <c r="A1231" i="5"/>
  <c r="P1231" i="2"/>
  <c r="D1231" i="5"/>
  <c r="Z1231" i="2"/>
  <c r="Y1231" i="2"/>
  <c r="E1232" i="5"/>
  <c r="T1232" i="2"/>
  <c r="A1235" i="5"/>
  <c r="P1235" i="2"/>
  <c r="D1235" i="5"/>
  <c r="Z1235" i="2"/>
  <c r="Y1235" i="2"/>
  <c r="E1236" i="5"/>
  <c r="T1236" i="2"/>
  <c r="A1239" i="5"/>
  <c r="P1239" i="2"/>
  <c r="D1239" i="5"/>
  <c r="Z1239" i="2"/>
  <c r="Y1239" i="2"/>
  <c r="E1240" i="5"/>
  <c r="T1240" i="2"/>
  <c r="A1243" i="5"/>
  <c r="P1243" i="2"/>
  <c r="D1243" i="5"/>
  <c r="Z1243" i="2"/>
  <c r="Y1243" i="2"/>
  <c r="E1244" i="5"/>
  <c r="T1244" i="2"/>
  <c r="A1247" i="5"/>
  <c r="P1247" i="2"/>
  <c r="D1247" i="5"/>
  <c r="Z1247" i="2"/>
  <c r="Y1247" i="2"/>
  <c r="E1248" i="5"/>
  <c r="T1248" i="2"/>
  <c r="A1251" i="5"/>
  <c r="P1251" i="2"/>
  <c r="D1251" i="5"/>
  <c r="Z1251" i="2"/>
  <c r="Y1251" i="2"/>
  <c r="E1252" i="5"/>
  <c r="T1252" i="2"/>
  <c r="A1255" i="5"/>
  <c r="P1255" i="2"/>
  <c r="D1255" i="5"/>
  <c r="Z1255" i="2"/>
  <c r="Y1255" i="2"/>
  <c r="E1256" i="5"/>
  <c r="T1256" i="2"/>
  <c r="A1259" i="5"/>
  <c r="P1259" i="2"/>
  <c r="D1259" i="5"/>
  <c r="Z1259" i="2"/>
  <c r="Y1259" i="2"/>
  <c r="E1260" i="5"/>
  <c r="T1260" i="2"/>
  <c r="A1263" i="5"/>
  <c r="P1263" i="2"/>
  <c r="D1263" i="5"/>
  <c r="Z1263" i="2"/>
  <c r="Y1263" i="2"/>
  <c r="E1264" i="5"/>
  <c r="T1264" i="2"/>
  <c r="A1267" i="5"/>
  <c r="P1267" i="2"/>
  <c r="D1267" i="5"/>
  <c r="Z1267" i="2"/>
  <c r="Y1267" i="2"/>
  <c r="E1268" i="5"/>
  <c r="T1268" i="2"/>
  <c r="A1271" i="5"/>
  <c r="P1271" i="2"/>
  <c r="D1271" i="5"/>
  <c r="Z1271" i="2"/>
  <c r="Y1271" i="2"/>
  <c r="E1272" i="5"/>
  <c r="T1272" i="2"/>
  <c r="A1275" i="5"/>
  <c r="P1275" i="2"/>
  <c r="D1275" i="5"/>
  <c r="Z1275" i="2"/>
  <c r="Y1275" i="2"/>
  <c r="E1276" i="5"/>
  <c r="T1276" i="2"/>
  <c r="A1279" i="5"/>
  <c r="P1279" i="2"/>
  <c r="D1279" i="5"/>
  <c r="Z1279" i="2"/>
  <c r="Y1279" i="2"/>
  <c r="E1280" i="5"/>
  <c r="T1280" i="2"/>
  <c r="A1283" i="5"/>
  <c r="P1283" i="2"/>
  <c r="D1283" i="5"/>
  <c r="Z1283" i="2"/>
  <c r="Y1283" i="2"/>
  <c r="E1284" i="5"/>
  <c r="T1284" i="2"/>
  <c r="A1287" i="5"/>
  <c r="P1287" i="2"/>
  <c r="D1287" i="5"/>
  <c r="Z1287" i="2"/>
  <c r="Y1287" i="2"/>
  <c r="E1288" i="5"/>
  <c r="T1288" i="2"/>
  <c r="A1291" i="5"/>
  <c r="P1291" i="2"/>
  <c r="D1291" i="5"/>
  <c r="Z1291" i="2"/>
  <c r="Y1291" i="2"/>
  <c r="E1292" i="5"/>
  <c r="T1292" i="2"/>
  <c r="A1295" i="5"/>
  <c r="P1295" i="2"/>
  <c r="D1295" i="5"/>
  <c r="Z1295" i="2"/>
  <c r="Y1295" i="2"/>
  <c r="E1296" i="5"/>
  <c r="T1296" i="2"/>
  <c r="A1299" i="5"/>
  <c r="P1299" i="2"/>
  <c r="D1299" i="5"/>
  <c r="Z1299" i="2"/>
  <c r="Y1299" i="2"/>
  <c r="E1300" i="5"/>
  <c r="T1300" i="2"/>
  <c r="A1303" i="5"/>
  <c r="P1303" i="2"/>
  <c r="D1303" i="5"/>
  <c r="Z1303" i="2"/>
  <c r="Y1303" i="2"/>
  <c r="E1304" i="5"/>
  <c r="T1304" i="2"/>
  <c r="A1307" i="5"/>
  <c r="P1307" i="2"/>
  <c r="D1307" i="5"/>
  <c r="Z1307" i="2"/>
  <c r="Y1307" i="2"/>
  <c r="E1308" i="5"/>
  <c r="T1308" i="2"/>
  <c r="A1311" i="5"/>
  <c r="P1311" i="2"/>
  <c r="D1311" i="5"/>
  <c r="Z1311" i="2"/>
  <c r="Y1311" i="2"/>
  <c r="E1312" i="5"/>
  <c r="T1312" i="2"/>
  <c r="A1315" i="5"/>
  <c r="P1315" i="2"/>
  <c r="D1315" i="5"/>
  <c r="Z1315" i="2"/>
  <c r="Y1315" i="2"/>
  <c r="E1316" i="5"/>
  <c r="T1316" i="2"/>
  <c r="A1319" i="5"/>
  <c r="P1319" i="2"/>
  <c r="D1319" i="5"/>
  <c r="Z1319" i="2"/>
  <c r="Y1319" i="2"/>
  <c r="E1320" i="5"/>
  <c r="T1320" i="2"/>
  <c r="A1323" i="5"/>
  <c r="P1323" i="2"/>
  <c r="D1323" i="5"/>
  <c r="Z1323" i="2"/>
  <c r="Y1323" i="2"/>
  <c r="E1324" i="5"/>
  <c r="T1324" i="2"/>
  <c r="A1327" i="5"/>
  <c r="P1327" i="2"/>
  <c r="D1327" i="5"/>
  <c r="Z1327" i="2"/>
  <c r="Y1327" i="2"/>
  <c r="E1328" i="5"/>
  <c r="T1328" i="2"/>
  <c r="A1331" i="5"/>
  <c r="P1331" i="2"/>
  <c r="D1331" i="5"/>
  <c r="Z1331" i="2"/>
  <c r="Y1331" i="2"/>
  <c r="E1332" i="5"/>
  <c r="T1332" i="2"/>
  <c r="A1335" i="5"/>
  <c r="P1335" i="2"/>
  <c r="D1335" i="5"/>
  <c r="Z1335" i="2"/>
  <c r="Y1335" i="2"/>
  <c r="E1336" i="5"/>
  <c r="T1336" i="2"/>
  <c r="A1339" i="5"/>
  <c r="P1339" i="2"/>
  <c r="D1339" i="5"/>
  <c r="Z1339" i="2"/>
  <c r="Y1339" i="2"/>
  <c r="E1340" i="5"/>
  <c r="T1340" i="2"/>
  <c r="A1343" i="5"/>
  <c r="P1343" i="2"/>
  <c r="D1343" i="5"/>
  <c r="Z1343" i="2"/>
  <c r="Y1343" i="2"/>
  <c r="E1344" i="5"/>
  <c r="T1344" i="2"/>
  <c r="A1347" i="5"/>
  <c r="P1347" i="2"/>
  <c r="D1347" i="5"/>
  <c r="Z1347" i="2"/>
  <c r="Y1347" i="2"/>
  <c r="E1348" i="5"/>
  <c r="T1348" i="2"/>
  <c r="A1351" i="5"/>
  <c r="P1351" i="2"/>
  <c r="D1351" i="5"/>
  <c r="Z1351" i="2"/>
  <c r="Y1351" i="2"/>
  <c r="E1352" i="5"/>
  <c r="T1352" i="2"/>
  <c r="A1355" i="5"/>
  <c r="P1355" i="2"/>
  <c r="D1355" i="5"/>
  <c r="Z1355" i="2"/>
  <c r="Y1355" i="2"/>
  <c r="E1356" i="5"/>
  <c r="T1356" i="2"/>
  <c r="A1359" i="5"/>
  <c r="P1359" i="2"/>
  <c r="D1359" i="5"/>
  <c r="Z1359" i="2"/>
  <c r="Y1359" i="2"/>
  <c r="E1360" i="5"/>
  <c r="T1360" i="2"/>
  <c r="A1363" i="5"/>
  <c r="P1363" i="2"/>
  <c r="D1363" i="5"/>
  <c r="Z1363" i="2"/>
  <c r="Y1363" i="2"/>
  <c r="E1364" i="5"/>
  <c r="T1364" i="2"/>
  <c r="A1367" i="5"/>
  <c r="P1367" i="2"/>
  <c r="D1367" i="5"/>
  <c r="Z1367" i="2"/>
  <c r="Y1367" i="2"/>
  <c r="E1368" i="5"/>
  <c r="T1368" i="2"/>
  <c r="A1371" i="5"/>
  <c r="P1371" i="2"/>
  <c r="D1371" i="5"/>
  <c r="Z1371" i="2"/>
  <c r="Y1371" i="2"/>
  <c r="E1376" i="5"/>
  <c r="T1376" i="2"/>
  <c r="E1380" i="5"/>
  <c r="T1380" i="2"/>
  <c r="E1384" i="5"/>
  <c r="T1384" i="2"/>
  <c r="E1388" i="5"/>
  <c r="T1388" i="2"/>
  <c r="E1392" i="5"/>
  <c r="T1392" i="2"/>
  <c r="T1051" i="2"/>
  <c r="D1053" i="5"/>
  <c r="Y1053" i="2"/>
  <c r="T1055" i="2"/>
  <c r="D1057" i="5"/>
  <c r="Y1057" i="2"/>
  <c r="T1059" i="2"/>
  <c r="D1061" i="5"/>
  <c r="Y1061" i="2"/>
  <c r="T1063" i="2"/>
  <c r="D1065" i="5"/>
  <c r="Y1065" i="2"/>
  <c r="T1067" i="2"/>
  <c r="D1069" i="5"/>
  <c r="Y1069" i="2"/>
  <c r="T1071" i="2"/>
  <c r="D1073" i="5"/>
  <c r="Y1073" i="2"/>
  <c r="T1075" i="2"/>
  <c r="D1077" i="5"/>
  <c r="Y1077" i="2"/>
  <c r="S1077" i="2"/>
  <c r="T1079" i="2"/>
  <c r="D1081" i="5"/>
  <c r="Y1081" i="2"/>
  <c r="T1083" i="2"/>
  <c r="D1085" i="5"/>
  <c r="Y1085" i="2"/>
  <c r="T1087" i="2"/>
  <c r="D1089" i="5"/>
  <c r="Y1089" i="2"/>
  <c r="T1091" i="2"/>
  <c r="D1093" i="5"/>
  <c r="Y1093" i="2"/>
  <c r="T1095" i="2"/>
  <c r="D1097" i="5"/>
  <c r="Y1097" i="2"/>
  <c r="T1099" i="2"/>
  <c r="D1101" i="5"/>
  <c r="Y1101" i="2"/>
  <c r="T1103" i="2"/>
  <c r="D1105" i="5"/>
  <c r="Y1105" i="2"/>
  <c r="T1107" i="2"/>
  <c r="D1109" i="5"/>
  <c r="Y1109" i="2"/>
  <c r="T1111" i="2"/>
  <c r="D1113" i="5"/>
  <c r="Y1113" i="2"/>
  <c r="T1115" i="2"/>
  <c r="D1117" i="5"/>
  <c r="Y1117" i="2"/>
  <c r="T1119" i="2"/>
  <c r="D1121" i="5"/>
  <c r="Y1121" i="2"/>
  <c r="T1123" i="2"/>
  <c r="D1125" i="5"/>
  <c r="Y1125" i="2"/>
  <c r="T1127" i="2"/>
  <c r="D1129" i="5"/>
  <c r="Y1129" i="2"/>
  <c r="T1131" i="2"/>
  <c r="D1133" i="5"/>
  <c r="Y1133" i="2"/>
  <c r="T1135" i="2"/>
  <c r="D1137" i="5"/>
  <c r="Y1137" i="2"/>
  <c r="T1139" i="2"/>
  <c r="A1178" i="5"/>
  <c r="P1178" i="2"/>
  <c r="D1178" i="5"/>
  <c r="Z1178" i="2"/>
  <c r="Y1178" i="2"/>
  <c r="E1179" i="5"/>
  <c r="T1179" i="2"/>
  <c r="A1182" i="5"/>
  <c r="P1182" i="2"/>
  <c r="D1182" i="5"/>
  <c r="Z1182" i="2"/>
  <c r="Y1182" i="2"/>
  <c r="E1183" i="5"/>
  <c r="T1183" i="2"/>
  <c r="A1186" i="5"/>
  <c r="P1186" i="2"/>
  <c r="D1186" i="5"/>
  <c r="Z1186" i="2"/>
  <c r="Y1186" i="2"/>
  <c r="E1187" i="5"/>
  <c r="T1187" i="2"/>
  <c r="A1190" i="5"/>
  <c r="P1190" i="2"/>
  <c r="D1190" i="5"/>
  <c r="Z1190" i="2"/>
  <c r="Y1190" i="2"/>
  <c r="E1191" i="5"/>
  <c r="T1191" i="2"/>
  <c r="A1194" i="5"/>
  <c r="P1194" i="2"/>
  <c r="D1194" i="5"/>
  <c r="Z1194" i="2"/>
  <c r="Y1194" i="2"/>
  <c r="E1195" i="5"/>
  <c r="T1195" i="2"/>
  <c r="A1198" i="5"/>
  <c r="P1198" i="2"/>
  <c r="D1198" i="5"/>
  <c r="Z1198" i="2"/>
  <c r="Y1198" i="2"/>
  <c r="E1199" i="5"/>
  <c r="T1199" i="2"/>
  <c r="A1202" i="5"/>
  <c r="P1202" i="2"/>
  <c r="D1202" i="5"/>
  <c r="Z1202" i="2"/>
  <c r="Y1202" i="2"/>
  <c r="E1203" i="5"/>
  <c r="T1203" i="2"/>
  <c r="A1206" i="5"/>
  <c r="P1206" i="2"/>
  <c r="D1206" i="5"/>
  <c r="Z1206" i="2"/>
  <c r="Y1206" i="2"/>
  <c r="E1207" i="5"/>
  <c r="T1207" i="2"/>
  <c r="A1210" i="5"/>
  <c r="P1210" i="2"/>
  <c r="D1210" i="5"/>
  <c r="Z1210" i="2"/>
  <c r="Y1210" i="2"/>
  <c r="E1211" i="5"/>
  <c r="T1211" i="2"/>
  <c r="A1214" i="5"/>
  <c r="P1214" i="2"/>
  <c r="D1214" i="5"/>
  <c r="Z1214" i="2"/>
  <c r="Y1214" i="2"/>
  <c r="E1215" i="5"/>
  <c r="T1215" i="2"/>
  <c r="A1218" i="5"/>
  <c r="P1218" i="2"/>
  <c r="D1218" i="5"/>
  <c r="Z1218" i="2"/>
  <c r="Y1218" i="2"/>
  <c r="E1219" i="5"/>
  <c r="T1219" i="2"/>
  <c r="A1222" i="5"/>
  <c r="P1222" i="2"/>
  <c r="D1222" i="5"/>
  <c r="Z1222" i="2"/>
  <c r="Y1222" i="2"/>
  <c r="E1223" i="5"/>
  <c r="T1223" i="2"/>
  <c r="A1226" i="5"/>
  <c r="P1226" i="2"/>
  <c r="D1226" i="5"/>
  <c r="Z1226" i="2"/>
  <c r="Y1226" i="2"/>
  <c r="E1227" i="5"/>
  <c r="T1227" i="2"/>
  <c r="A1230" i="5"/>
  <c r="P1230" i="2"/>
  <c r="D1230" i="5"/>
  <c r="Z1230" i="2"/>
  <c r="Y1230" i="2"/>
  <c r="E1231" i="5"/>
  <c r="T1231" i="2"/>
  <c r="A1234" i="5"/>
  <c r="P1234" i="2"/>
  <c r="D1234" i="5"/>
  <c r="Z1234" i="2"/>
  <c r="Y1234" i="2"/>
  <c r="E1235" i="5"/>
  <c r="T1235" i="2"/>
  <c r="A1238" i="5"/>
  <c r="P1238" i="2"/>
  <c r="D1238" i="5"/>
  <c r="Z1238" i="2"/>
  <c r="Y1238" i="2"/>
  <c r="E1239" i="5"/>
  <c r="T1239" i="2"/>
  <c r="A1242" i="5"/>
  <c r="P1242" i="2"/>
  <c r="D1242" i="5"/>
  <c r="Z1242" i="2"/>
  <c r="Y1242" i="2"/>
  <c r="E1243" i="5"/>
  <c r="T1243" i="2"/>
  <c r="A1246" i="5"/>
  <c r="P1246" i="2"/>
  <c r="D1246" i="5"/>
  <c r="Z1246" i="2"/>
  <c r="Y1246" i="2"/>
  <c r="E1247" i="5"/>
  <c r="T1247" i="2"/>
  <c r="A1250" i="5"/>
  <c r="P1250" i="2"/>
  <c r="D1250" i="5"/>
  <c r="Z1250" i="2"/>
  <c r="Y1250" i="2"/>
  <c r="E1251" i="5"/>
  <c r="T1251" i="2"/>
  <c r="A1254" i="5"/>
  <c r="P1254" i="2"/>
  <c r="D1254" i="5"/>
  <c r="Z1254" i="2"/>
  <c r="Y1254" i="2"/>
  <c r="E1255" i="5"/>
  <c r="T1255" i="2"/>
  <c r="A1258" i="5"/>
  <c r="P1258" i="2"/>
  <c r="D1258" i="5"/>
  <c r="Z1258" i="2"/>
  <c r="Y1258" i="2"/>
  <c r="E1259" i="5"/>
  <c r="T1259" i="2"/>
  <c r="A1262" i="5"/>
  <c r="P1262" i="2"/>
  <c r="D1262" i="5"/>
  <c r="Z1262" i="2"/>
  <c r="Y1262" i="2"/>
  <c r="E1263" i="5"/>
  <c r="T1263" i="2"/>
  <c r="A1266" i="5"/>
  <c r="P1266" i="2"/>
  <c r="D1266" i="5"/>
  <c r="Z1266" i="2"/>
  <c r="Y1266" i="2"/>
  <c r="E1267" i="5"/>
  <c r="T1267" i="2"/>
  <c r="A1270" i="5"/>
  <c r="P1270" i="2"/>
  <c r="D1270" i="5"/>
  <c r="Z1270" i="2"/>
  <c r="Y1270" i="2"/>
  <c r="E1271" i="5"/>
  <c r="T1271" i="2"/>
  <c r="A1274" i="5"/>
  <c r="P1274" i="2"/>
  <c r="D1274" i="5"/>
  <c r="Z1274" i="2"/>
  <c r="Y1274" i="2"/>
  <c r="E1275" i="5"/>
  <c r="T1275" i="2"/>
  <c r="A1278" i="5"/>
  <c r="P1278" i="2"/>
  <c r="D1278" i="5"/>
  <c r="Z1278" i="2"/>
  <c r="Y1278" i="2"/>
  <c r="E1279" i="5"/>
  <c r="T1279" i="2"/>
  <c r="A1282" i="5"/>
  <c r="P1282" i="2"/>
  <c r="D1282" i="5"/>
  <c r="Z1282" i="2"/>
  <c r="Y1282" i="2"/>
  <c r="E1283" i="5"/>
  <c r="T1283" i="2"/>
  <c r="A1286" i="5"/>
  <c r="P1286" i="2"/>
  <c r="D1286" i="5"/>
  <c r="Z1286" i="2"/>
  <c r="Y1286" i="2"/>
  <c r="E1287" i="5"/>
  <c r="T1287" i="2"/>
  <c r="A1290" i="5"/>
  <c r="P1290" i="2"/>
  <c r="D1290" i="5"/>
  <c r="Z1290" i="2"/>
  <c r="Y1290" i="2"/>
  <c r="E1291" i="5"/>
  <c r="T1291" i="2"/>
  <c r="A1294" i="5"/>
  <c r="P1294" i="2"/>
  <c r="D1294" i="5"/>
  <c r="Z1294" i="2"/>
  <c r="Y1294" i="2"/>
  <c r="E1295" i="5"/>
  <c r="T1295" i="2"/>
  <c r="A1298" i="5"/>
  <c r="P1298" i="2"/>
  <c r="D1298" i="5"/>
  <c r="Z1298" i="2"/>
  <c r="Y1298" i="2"/>
  <c r="E1299" i="5"/>
  <c r="T1299" i="2"/>
  <c r="A1302" i="5"/>
  <c r="P1302" i="2"/>
  <c r="D1302" i="5"/>
  <c r="Z1302" i="2"/>
  <c r="Y1302" i="2"/>
  <c r="E1303" i="5"/>
  <c r="T1303" i="2"/>
  <c r="A1306" i="5"/>
  <c r="P1306" i="2"/>
  <c r="D1306" i="5"/>
  <c r="Z1306" i="2"/>
  <c r="Y1306" i="2"/>
  <c r="E1307" i="5"/>
  <c r="T1307" i="2"/>
  <c r="A1310" i="5"/>
  <c r="P1310" i="2"/>
  <c r="D1310" i="5"/>
  <c r="Z1310" i="2"/>
  <c r="Y1310" i="2"/>
  <c r="E1311" i="5"/>
  <c r="T1311" i="2"/>
  <c r="A1314" i="5"/>
  <c r="P1314" i="2"/>
  <c r="D1314" i="5"/>
  <c r="Z1314" i="2"/>
  <c r="Y1314" i="2"/>
  <c r="E1315" i="5"/>
  <c r="T1315" i="2"/>
  <c r="A1318" i="5"/>
  <c r="P1318" i="2"/>
  <c r="D1318" i="5"/>
  <c r="Z1318" i="2"/>
  <c r="Y1318" i="2"/>
  <c r="E1319" i="5"/>
  <c r="T1319" i="2"/>
  <c r="A1322" i="5"/>
  <c r="P1322" i="2"/>
  <c r="D1322" i="5"/>
  <c r="Z1322" i="2"/>
  <c r="Y1322" i="2"/>
  <c r="E1323" i="5"/>
  <c r="T1323" i="2"/>
  <c r="A1326" i="5"/>
  <c r="P1326" i="2"/>
  <c r="D1326" i="5"/>
  <c r="Z1326" i="2"/>
  <c r="Y1326" i="2"/>
  <c r="E1327" i="5"/>
  <c r="T1327" i="2"/>
  <c r="A1330" i="5"/>
  <c r="P1330" i="2"/>
  <c r="D1330" i="5"/>
  <c r="Z1330" i="2"/>
  <c r="Y1330" i="2"/>
  <c r="E1331" i="5"/>
  <c r="T1331" i="2"/>
  <c r="A1334" i="5"/>
  <c r="P1334" i="2"/>
  <c r="D1334" i="5"/>
  <c r="Z1334" i="2"/>
  <c r="Y1334" i="2"/>
  <c r="E1335" i="5"/>
  <c r="T1335" i="2"/>
  <c r="A1338" i="5"/>
  <c r="P1338" i="2"/>
  <c r="D1338" i="5"/>
  <c r="Z1338" i="2"/>
  <c r="Y1338" i="2"/>
  <c r="E1339" i="5"/>
  <c r="T1339" i="2"/>
  <c r="A1342" i="5"/>
  <c r="P1342" i="2"/>
  <c r="D1342" i="5"/>
  <c r="Z1342" i="2"/>
  <c r="Y1342" i="2"/>
  <c r="E1343" i="5"/>
  <c r="T1343" i="2"/>
  <c r="A1346" i="5"/>
  <c r="P1346" i="2"/>
  <c r="D1346" i="5"/>
  <c r="Z1346" i="2"/>
  <c r="Y1346" i="2"/>
  <c r="E1347" i="5"/>
  <c r="T1347" i="2"/>
  <c r="A1350" i="5"/>
  <c r="P1350" i="2"/>
  <c r="D1350" i="5"/>
  <c r="Z1350" i="2"/>
  <c r="Y1350" i="2"/>
  <c r="E1351" i="5"/>
  <c r="T1351" i="2"/>
  <c r="A1354" i="5"/>
  <c r="P1354" i="2"/>
  <c r="D1354" i="5"/>
  <c r="Z1354" i="2"/>
  <c r="Y1354" i="2"/>
  <c r="E1355" i="5"/>
  <c r="T1355" i="2"/>
  <c r="A1358" i="5"/>
  <c r="P1358" i="2"/>
  <c r="D1358" i="5"/>
  <c r="Z1358" i="2"/>
  <c r="Y1358" i="2"/>
  <c r="E1359" i="5"/>
  <c r="T1359" i="2"/>
  <c r="A1362" i="5"/>
  <c r="P1362" i="2"/>
  <c r="D1362" i="5"/>
  <c r="Z1362" i="2"/>
  <c r="Y1362" i="2"/>
  <c r="E1363" i="5"/>
  <c r="T1363" i="2"/>
  <c r="A1366" i="5"/>
  <c r="P1366" i="2"/>
  <c r="D1366" i="5"/>
  <c r="Z1366" i="2"/>
  <c r="Y1366" i="2"/>
  <c r="E1367" i="5"/>
  <c r="T1367" i="2"/>
  <c r="A1370" i="5"/>
  <c r="P1370" i="2"/>
  <c r="D1370" i="5"/>
  <c r="Z1370" i="2"/>
  <c r="Y1370" i="2"/>
  <c r="E1371" i="5"/>
  <c r="T1371" i="2"/>
  <c r="D1501" i="5"/>
  <c r="Z1501" i="2"/>
  <c r="Y1501" i="2"/>
  <c r="D1545" i="5"/>
  <c r="Z1545" i="2"/>
  <c r="Y1545" i="2"/>
  <c r="T1049" i="2"/>
  <c r="Z1049" i="2"/>
  <c r="D1050" i="5"/>
  <c r="Y1050" i="2"/>
  <c r="P1050" i="2"/>
  <c r="Z1053" i="2"/>
  <c r="D1054" i="5"/>
  <c r="Y1054" i="2"/>
  <c r="P1054" i="2"/>
  <c r="Z1057" i="2"/>
  <c r="D1058" i="5"/>
  <c r="Y1058" i="2"/>
  <c r="P1058" i="2"/>
  <c r="Z1061" i="2"/>
  <c r="D1062" i="5"/>
  <c r="Y1062" i="2"/>
  <c r="P1062" i="2"/>
  <c r="Z1065" i="2"/>
  <c r="D1066" i="5"/>
  <c r="Y1066" i="2"/>
  <c r="P1066" i="2"/>
  <c r="Z1069" i="2"/>
  <c r="D1070" i="5"/>
  <c r="Y1070" i="2"/>
  <c r="P1070" i="2"/>
  <c r="Z1073" i="2"/>
  <c r="D1074" i="5"/>
  <c r="Y1074" i="2"/>
  <c r="P1074" i="2"/>
  <c r="Z1077" i="2"/>
  <c r="D1078" i="5"/>
  <c r="Y1078" i="2"/>
  <c r="P1078" i="2"/>
  <c r="Z1081" i="2"/>
  <c r="D1082" i="5"/>
  <c r="Y1082" i="2"/>
  <c r="P1082" i="2"/>
  <c r="Z1085" i="2"/>
  <c r="D1086" i="5"/>
  <c r="Y1086" i="2"/>
  <c r="P1086" i="2"/>
  <c r="Z1089" i="2"/>
  <c r="D1090" i="5"/>
  <c r="Y1090" i="2"/>
  <c r="P1090" i="2"/>
  <c r="Z1093" i="2"/>
  <c r="D1094" i="5"/>
  <c r="Y1094" i="2"/>
  <c r="P1094" i="2"/>
  <c r="Z1097" i="2"/>
  <c r="D1098" i="5"/>
  <c r="Y1098" i="2"/>
  <c r="P1098" i="2"/>
  <c r="Z1101" i="2"/>
  <c r="D1102" i="5"/>
  <c r="Y1102" i="2"/>
  <c r="P1102" i="2"/>
  <c r="Z1105" i="2"/>
  <c r="D1106" i="5"/>
  <c r="Y1106" i="2"/>
  <c r="P1106" i="2"/>
  <c r="Z1109" i="2"/>
  <c r="D1110" i="5"/>
  <c r="Y1110" i="2"/>
  <c r="P1110" i="2"/>
  <c r="Z1113" i="2"/>
  <c r="D1114" i="5"/>
  <c r="Y1114" i="2"/>
  <c r="P1114" i="2"/>
  <c r="Z1117" i="2"/>
  <c r="D1118" i="5"/>
  <c r="Y1118" i="2"/>
  <c r="P1118" i="2"/>
  <c r="Z1121" i="2"/>
  <c r="D1122" i="5"/>
  <c r="Y1122" i="2"/>
  <c r="P1122" i="2"/>
  <c r="Z1125" i="2"/>
  <c r="D1126" i="5"/>
  <c r="Y1126" i="2"/>
  <c r="P1126" i="2"/>
  <c r="Z1129" i="2"/>
  <c r="D1130" i="5"/>
  <c r="Y1130" i="2"/>
  <c r="P1130" i="2"/>
  <c r="Z1133" i="2"/>
  <c r="D1134" i="5"/>
  <c r="Y1134" i="2"/>
  <c r="P1134" i="2"/>
  <c r="Z1137" i="2"/>
  <c r="D1138" i="5"/>
  <c r="Y1138" i="2"/>
  <c r="P1138" i="2"/>
  <c r="P1141" i="2"/>
  <c r="A1142" i="5"/>
  <c r="P1142" i="2"/>
  <c r="D1142" i="5"/>
  <c r="Y1142" i="2"/>
  <c r="P1143" i="2"/>
  <c r="A1144" i="5"/>
  <c r="P1144" i="2"/>
  <c r="D1144" i="5"/>
  <c r="Y1144" i="2"/>
  <c r="P1145" i="2"/>
  <c r="A1146" i="5"/>
  <c r="P1146" i="2"/>
  <c r="D1146" i="5"/>
  <c r="Y1146" i="2"/>
  <c r="P1147" i="2"/>
  <c r="A1148" i="5"/>
  <c r="P1148" i="2"/>
  <c r="D1148" i="5"/>
  <c r="Y1148" i="2"/>
  <c r="P1149" i="2"/>
  <c r="A1150" i="5"/>
  <c r="P1150" i="2"/>
  <c r="D1150" i="5"/>
  <c r="Y1150" i="2"/>
  <c r="P1151" i="2"/>
  <c r="A1152" i="5"/>
  <c r="P1152" i="2"/>
  <c r="D1152" i="5"/>
  <c r="Y1152" i="2"/>
  <c r="P1153" i="2"/>
  <c r="A1154" i="5"/>
  <c r="P1154" i="2"/>
  <c r="D1154" i="5"/>
  <c r="Y1154" i="2"/>
  <c r="P1155" i="2"/>
  <c r="A1156" i="5"/>
  <c r="P1156" i="2"/>
  <c r="D1156" i="5"/>
  <c r="Y1156" i="2"/>
  <c r="P1157" i="2"/>
  <c r="A1158" i="5"/>
  <c r="P1158" i="2"/>
  <c r="D1158" i="5"/>
  <c r="Y1158" i="2"/>
  <c r="P1159" i="2"/>
  <c r="A1160" i="5"/>
  <c r="P1160" i="2"/>
  <c r="D1160" i="5"/>
  <c r="Y1160" i="2"/>
  <c r="P1161" i="2"/>
  <c r="A1162" i="5"/>
  <c r="P1162" i="2"/>
  <c r="D1162" i="5"/>
  <c r="Y1162" i="2"/>
  <c r="P1163" i="2"/>
  <c r="A1164" i="5"/>
  <c r="P1164" i="2"/>
  <c r="D1164" i="5"/>
  <c r="Y1164" i="2"/>
  <c r="P1165" i="2"/>
  <c r="A1166" i="5"/>
  <c r="P1166" i="2"/>
  <c r="D1166" i="5"/>
  <c r="Y1166" i="2"/>
  <c r="P1167" i="2"/>
  <c r="A1168" i="5"/>
  <c r="P1168" i="2"/>
  <c r="D1168" i="5"/>
  <c r="Y1168" i="2"/>
  <c r="P1169" i="2"/>
  <c r="A1170" i="5"/>
  <c r="P1170" i="2"/>
  <c r="D1170" i="5"/>
  <c r="Y1170" i="2"/>
  <c r="P1171" i="2"/>
  <c r="A1172" i="5"/>
  <c r="P1172" i="2"/>
  <c r="D1172" i="5"/>
  <c r="Y1172" i="2"/>
  <c r="P1173" i="2"/>
  <c r="A1174" i="5"/>
  <c r="P1174" i="2"/>
  <c r="D1174" i="5"/>
  <c r="Y1174" i="2"/>
  <c r="P1175" i="2"/>
  <c r="A1176" i="5"/>
  <c r="P1176" i="2"/>
  <c r="D1176" i="5"/>
  <c r="Y1176" i="2"/>
  <c r="A1177" i="5"/>
  <c r="P1177" i="2"/>
  <c r="D1177" i="5"/>
  <c r="Z1177" i="2"/>
  <c r="Y1177" i="2"/>
  <c r="E1178" i="5"/>
  <c r="T1178" i="2"/>
  <c r="A1181" i="5"/>
  <c r="P1181" i="2"/>
  <c r="D1181" i="5"/>
  <c r="Z1181" i="2"/>
  <c r="Y1181" i="2"/>
  <c r="E1182" i="5"/>
  <c r="T1182" i="2"/>
  <c r="A1185" i="5"/>
  <c r="P1185" i="2"/>
  <c r="D1185" i="5"/>
  <c r="Z1185" i="2"/>
  <c r="Y1185" i="2"/>
  <c r="E1186" i="5"/>
  <c r="T1186" i="2"/>
  <c r="A1189" i="5"/>
  <c r="P1189" i="2"/>
  <c r="D1189" i="5"/>
  <c r="Z1189" i="2"/>
  <c r="Y1189" i="2"/>
  <c r="E1190" i="5"/>
  <c r="T1190" i="2"/>
  <c r="A1193" i="5"/>
  <c r="P1193" i="2"/>
  <c r="D1193" i="5"/>
  <c r="Z1193" i="2"/>
  <c r="Y1193" i="2"/>
  <c r="E1194" i="5"/>
  <c r="T1194" i="2"/>
  <c r="A1197" i="5"/>
  <c r="P1197" i="2"/>
  <c r="D1197" i="5"/>
  <c r="Z1197" i="2"/>
  <c r="Y1197" i="2"/>
  <c r="E1198" i="5"/>
  <c r="T1198" i="2"/>
  <c r="A1201" i="5"/>
  <c r="P1201" i="2"/>
  <c r="D1201" i="5"/>
  <c r="Z1201" i="2"/>
  <c r="Y1201" i="2"/>
  <c r="E1202" i="5"/>
  <c r="T1202" i="2"/>
  <c r="A1205" i="5"/>
  <c r="P1205" i="2"/>
  <c r="D1205" i="5"/>
  <c r="Z1205" i="2"/>
  <c r="Y1205" i="2"/>
  <c r="E1206" i="5"/>
  <c r="T1206" i="2"/>
  <c r="A1209" i="5"/>
  <c r="P1209" i="2"/>
  <c r="D1209" i="5"/>
  <c r="Z1209" i="2"/>
  <c r="Y1209" i="2"/>
  <c r="E1210" i="5"/>
  <c r="T1210" i="2"/>
  <c r="A1213" i="5"/>
  <c r="P1213" i="2"/>
  <c r="D1213" i="5"/>
  <c r="Z1213" i="2"/>
  <c r="Y1213" i="2"/>
  <c r="E1214" i="5"/>
  <c r="T1214" i="2"/>
  <c r="A1217" i="5"/>
  <c r="P1217" i="2"/>
  <c r="D1217" i="5"/>
  <c r="Z1217" i="2"/>
  <c r="Y1217" i="2"/>
  <c r="E1218" i="5"/>
  <c r="T1218" i="2"/>
  <c r="A1221" i="5"/>
  <c r="P1221" i="2"/>
  <c r="D1221" i="5"/>
  <c r="Z1221" i="2"/>
  <c r="Y1221" i="2"/>
  <c r="E1222" i="5"/>
  <c r="T1222" i="2"/>
  <c r="A1225" i="5"/>
  <c r="P1225" i="2"/>
  <c r="D1225" i="5"/>
  <c r="Z1225" i="2"/>
  <c r="Y1225" i="2"/>
  <c r="E1226" i="5"/>
  <c r="T1226" i="2"/>
  <c r="A1229" i="5"/>
  <c r="P1229" i="2"/>
  <c r="D1229" i="5"/>
  <c r="Z1229" i="2"/>
  <c r="Y1229" i="2"/>
  <c r="E1230" i="5"/>
  <c r="T1230" i="2"/>
  <c r="A1233" i="5"/>
  <c r="P1233" i="2"/>
  <c r="D1233" i="5"/>
  <c r="Z1233" i="2"/>
  <c r="Y1233" i="2"/>
  <c r="E1234" i="5"/>
  <c r="T1234" i="2"/>
  <c r="A1237" i="5"/>
  <c r="P1237" i="2"/>
  <c r="D1237" i="5"/>
  <c r="Z1237" i="2"/>
  <c r="Y1237" i="2"/>
  <c r="E1238" i="5"/>
  <c r="T1238" i="2"/>
  <c r="A1241" i="5"/>
  <c r="P1241" i="2"/>
  <c r="D1241" i="5"/>
  <c r="Z1241" i="2"/>
  <c r="Y1241" i="2"/>
  <c r="E1242" i="5"/>
  <c r="T1242" i="2"/>
  <c r="A1245" i="5"/>
  <c r="P1245" i="2"/>
  <c r="D1245" i="5"/>
  <c r="Z1245" i="2"/>
  <c r="Y1245" i="2"/>
  <c r="E1246" i="5"/>
  <c r="T1246" i="2"/>
  <c r="A1249" i="5"/>
  <c r="P1249" i="2"/>
  <c r="D1249" i="5"/>
  <c r="Z1249" i="2"/>
  <c r="Y1249" i="2"/>
  <c r="E1250" i="5"/>
  <c r="T1250" i="2"/>
  <c r="A1253" i="5"/>
  <c r="P1253" i="2"/>
  <c r="D1253" i="5"/>
  <c r="Z1253" i="2"/>
  <c r="Y1253" i="2"/>
  <c r="E1254" i="5"/>
  <c r="T1254" i="2"/>
  <c r="A1257" i="5"/>
  <c r="P1257" i="2"/>
  <c r="D1257" i="5"/>
  <c r="Z1257" i="2"/>
  <c r="Y1257" i="2"/>
  <c r="E1258" i="5"/>
  <c r="T1258" i="2"/>
  <c r="A1261" i="5"/>
  <c r="P1261" i="2"/>
  <c r="D1261" i="5"/>
  <c r="Z1261" i="2"/>
  <c r="Y1261" i="2"/>
  <c r="E1262" i="5"/>
  <c r="T1262" i="2"/>
  <c r="A1265" i="5"/>
  <c r="P1265" i="2"/>
  <c r="D1265" i="5"/>
  <c r="Z1265" i="2"/>
  <c r="Y1265" i="2"/>
  <c r="E1266" i="5"/>
  <c r="T1266" i="2"/>
  <c r="A1269" i="5"/>
  <c r="P1269" i="2"/>
  <c r="D1269" i="5"/>
  <c r="Z1269" i="2"/>
  <c r="Y1269" i="2"/>
  <c r="E1270" i="5"/>
  <c r="T1270" i="2"/>
  <c r="A1273" i="5"/>
  <c r="P1273" i="2"/>
  <c r="D1273" i="5"/>
  <c r="Z1273" i="2"/>
  <c r="Y1273" i="2"/>
  <c r="E1274" i="5"/>
  <c r="T1274" i="2"/>
  <c r="A1277" i="5"/>
  <c r="P1277" i="2"/>
  <c r="D1277" i="5"/>
  <c r="Z1277" i="2"/>
  <c r="Y1277" i="2"/>
  <c r="E1278" i="5"/>
  <c r="T1278" i="2"/>
  <c r="A1281" i="5"/>
  <c r="P1281" i="2"/>
  <c r="D1281" i="5"/>
  <c r="Z1281" i="2"/>
  <c r="Y1281" i="2"/>
  <c r="E1282" i="5"/>
  <c r="T1282" i="2"/>
  <c r="A1285" i="5"/>
  <c r="P1285" i="2"/>
  <c r="D1285" i="5"/>
  <c r="Z1285" i="2"/>
  <c r="Y1285" i="2"/>
  <c r="E1286" i="5"/>
  <c r="T1286" i="2"/>
  <c r="A1289" i="5"/>
  <c r="P1289" i="2"/>
  <c r="D1289" i="5"/>
  <c r="Z1289" i="2"/>
  <c r="Y1289" i="2"/>
  <c r="E1290" i="5"/>
  <c r="T1290" i="2"/>
  <c r="A1293" i="5"/>
  <c r="P1293" i="2"/>
  <c r="D1293" i="5"/>
  <c r="Z1293" i="2"/>
  <c r="Y1293" i="2"/>
  <c r="E1294" i="5"/>
  <c r="T1294" i="2"/>
  <c r="A1297" i="5"/>
  <c r="P1297" i="2"/>
  <c r="D1297" i="5"/>
  <c r="Z1297" i="2"/>
  <c r="Y1297" i="2"/>
  <c r="E1298" i="5"/>
  <c r="T1298" i="2"/>
  <c r="A1301" i="5"/>
  <c r="P1301" i="2"/>
  <c r="D1301" i="5"/>
  <c r="Z1301" i="2"/>
  <c r="Y1301" i="2"/>
  <c r="E1302" i="5"/>
  <c r="T1302" i="2"/>
  <c r="A1305" i="5"/>
  <c r="P1305" i="2"/>
  <c r="D1305" i="5"/>
  <c r="Z1305" i="2"/>
  <c r="Y1305" i="2"/>
  <c r="E1306" i="5"/>
  <c r="T1306" i="2"/>
  <c r="A1309" i="5"/>
  <c r="P1309" i="2"/>
  <c r="D1309" i="5"/>
  <c r="Z1309" i="2"/>
  <c r="Y1309" i="2"/>
  <c r="E1310" i="5"/>
  <c r="T1310" i="2"/>
  <c r="A1313" i="5"/>
  <c r="P1313" i="2"/>
  <c r="D1313" i="5"/>
  <c r="Z1313" i="2"/>
  <c r="Y1313" i="2"/>
  <c r="E1314" i="5"/>
  <c r="T1314" i="2"/>
  <c r="A1317" i="5"/>
  <c r="P1317" i="2"/>
  <c r="D1317" i="5"/>
  <c r="Z1317" i="2"/>
  <c r="Y1317" i="2"/>
  <c r="E1318" i="5"/>
  <c r="T1318" i="2"/>
  <c r="A1321" i="5"/>
  <c r="P1321" i="2"/>
  <c r="D1321" i="5"/>
  <c r="Z1321" i="2"/>
  <c r="Y1321" i="2"/>
  <c r="E1322" i="5"/>
  <c r="T1322" i="2"/>
  <c r="A1325" i="5"/>
  <c r="P1325" i="2"/>
  <c r="D1325" i="5"/>
  <c r="Z1325" i="2"/>
  <c r="Y1325" i="2"/>
  <c r="E1326" i="5"/>
  <c r="T1326" i="2"/>
  <c r="A1329" i="5"/>
  <c r="P1329" i="2"/>
  <c r="D1329" i="5"/>
  <c r="Z1329" i="2"/>
  <c r="Y1329" i="2"/>
  <c r="E1330" i="5"/>
  <c r="T1330" i="2"/>
  <c r="A1333" i="5"/>
  <c r="P1333" i="2"/>
  <c r="D1333" i="5"/>
  <c r="Z1333" i="2"/>
  <c r="Y1333" i="2"/>
  <c r="E1334" i="5"/>
  <c r="T1334" i="2"/>
  <c r="A1337" i="5"/>
  <c r="P1337" i="2"/>
  <c r="D1337" i="5"/>
  <c r="Z1337" i="2"/>
  <c r="Y1337" i="2"/>
  <c r="E1338" i="5"/>
  <c r="T1338" i="2"/>
  <c r="A1341" i="5"/>
  <c r="P1341" i="2"/>
  <c r="D1341" i="5"/>
  <c r="Z1341" i="2"/>
  <c r="Y1341" i="2"/>
  <c r="E1342" i="5"/>
  <c r="T1342" i="2"/>
  <c r="A1345" i="5"/>
  <c r="P1345" i="2"/>
  <c r="D1345" i="5"/>
  <c r="Z1345" i="2"/>
  <c r="Y1345" i="2"/>
  <c r="E1346" i="5"/>
  <c r="T1346" i="2"/>
  <c r="A1349" i="5"/>
  <c r="P1349" i="2"/>
  <c r="D1349" i="5"/>
  <c r="Z1349" i="2"/>
  <c r="Y1349" i="2"/>
  <c r="E1350" i="5"/>
  <c r="T1350" i="2"/>
  <c r="A1353" i="5"/>
  <c r="P1353" i="2"/>
  <c r="D1353" i="5"/>
  <c r="Z1353" i="2"/>
  <c r="Y1353" i="2"/>
  <c r="E1354" i="5"/>
  <c r="T1354" i="2"/>
  <c r="A1357" i="5"/>
  <c r="P1357" i="2"/>
  <c r="D1357" i="5"/>
  <c r="Z1357" i="2"/>
  <c r="Y1357" i="2"/>
  <c r="E1358" i="5"/>
  <c r="T1358" i="2"/>
  <c r="A1361" i="5"/>
  <c r="P1361" i="2"/>
  <c r="D1361" i="5"/>
  <c r="Z1361" i="2"/>
  <c r="Y1361" i="2"/>
  <c r="E1362" i="5"/>
  <c r="T1362" i="2"/>
  <c r="A1365" i="5"/>
  <c r="P1365" i="2"/>
  <c r="D1365" i="5"/>
  <c r="Z1365" i="2"/>
  <c r="Y1365" i="2"/>
  <c r="E1366" i="5"/>
  <c r="T1366" i="2"/>
  <c r="A1369" i="5"/>
  <c r="P1369" i="2"/>
  <c r="D1369" i="5"/>
  <c r="Z1369" i="2"/>
  <c r="Y1369" i="2"/>
  <c r="E1370" i="5"/>
  <c r="T1370" i="2"/>
  <c r="D1374" i="5"/>
  <c r="Y1374" i="2"/>
  <c r="Z1374" i="2"/>
  <c r="D1378" i="5"/>
  <c r="Z1378" i="2"/>
  <c r="Y1378" i="2"/>
  <c r="D1382" i="5"/>
  <c r="Y1382" i="2"/>
  <c r="Z1382" i="2"/>
  <c r="D1386" i="5"/>
  <c r="Z1386" i="2"/>
  <c r="Y1386" i="2"/>
  <c r="D1390" i="5"/>
  <c r="Y1390" i="2"/>
  <c r="Z1390" i="2"/>
  <c r="D1487" i="5"/>
  <c r="Z1487" i="2"/>
  <c r="Y1487" i="2"/>
  <c r="T1375" i="2"/>
  <c r="Y1376" i="2"/>
  <c r="D1377" i="5"/>
  <c r="Z1377" i="2"/>
  <c r="Y1377" i="2"/>
  <c r="A1380" i="5"/>
  <c r="P1380" i="2"/>
  <c r="T1383" i="2"/>
  <c r="Y1384" i="2"/>
  <c r="D1385" i="5"/>
  <c r="Z1385" i="2"/>
  <c r="Y1385" i="2"/>
  <c r="A1388" i="5"/>
  <c r="P1388" i="2"/>
  <c r="T1391" i="2"/>
  <c r="Y1392" i="2"/>
  <c r="D1393" i="5"/>
  <c r="Z1393" i="2"/>
  <c r="Y1393" i="2"/>
  <c r="P1395" i="2"/>
  <c r="D1397" i="5"/>
  <c r="Z1397" i="2"/>
  <c r="Y1397" i="2"/>
  <c r="P1399" i="2"/>
  <c r="D1401" i="5"/>
  <c r="Z1401" i="2"/>
  <c r="Y1401" i="2"/>
  <c r="P1403" i="2"/>
  <c r="D1405" i="5"/>
  <c r="Z1405" i="2"/>
  <c r="Y1405" i="2"/>
  <c r="P1407" i="2"/>
  <c r="D1409" i="5"/>
  <c r="Z1409" i="2"/>
  <c r="Y1409" i="2"/>
  <c r="P1411" i="2"/>
  <c r="D1413" i="5"/>
  <c r="Z1413" i="2"/>
  <c r="Y1413" i="2"/>
  <c r="P1415" i="2"/>
  <c r="D1417" i="5"/>
  <c r="Z1417" i="2"/>
  <c r="Y1417" i="2"/>
  <c r="P1419" i="2"/>
  <c r="D1421" i="5"/>
  <c r="Z1421" i="2"/>
  <c r="Y1421" i="2"/>
  <c r="P1423" i="2"/>
  <c r="D1425" i="5"/>
  <c r="Z1425" i="2"/>
  <c r="Y1425" i="2"/>
  <c r="P1427" i="2"/>
  <c r="D1429" i="5"/>
  <c r="Z1429" i="2"/>
  <c r="Y1429" i="2"/>
  <c r="P1431" i="2"/>
  <c r="D1433" i="5"/>
  <c r="Z1433" i="2"/>
  <c r="Y1433" i="2"/>
  <c r="P1435" i="2"/>
  <c r="D1437" i="5"/>
  <c r="Z1437" i="2"/>
  <c r="Y1437" i="2"/>
  <c r="P1439" i="2"/>
  <c r="P1440" i="2"/>
  <c r="E1441" i="5"/>
  <c r="T1441" i="2"/>
  <c r="E1442" i="5"/>
  <c r="T1442" i="2"/>
  <c r="P1445" i="2"/>
  <c r="D1447" i="5"/>
  <c r="Z1447" i="2"/>
  <c r="Y1447" i="2"/>
  <c r="P1449" i="2"/>
  <c r="D1451" i="5"/>
  <c r="Z1451" i="2"/>
  <c r="Y1451" i="2"/>
  <c r="P1453" i="2"/>
  <c r="D1455" i="5"/>
  <c r="Z1455" i="2"/>
  <c r="Y1455" i="2"/>
  <c r="P1457" i="2"/>
  <c r="D1459" i="5"/>
  <c r="Z1459" i="2"/>
  <c r="Y1459" i="2"/>
  <c r="P1461" i="2"/>
  <c r="D1463" i="5"/>
  <c r="Z1463" i="2"/>
  <c r="Y1463" i="2"/>
  <c r="P1465" i="2"/>
  <c r="D1467" i="5"/>
  <c r="Z1467" i="2"/>
  <c r="Y1467" i="2"/>
  <c r="P1469" i="2"/>
  <c r="D1471" i="5"/>
  <c r="Z1471" i="2"/>
  <c r="Y1471" i="2"/>
  <c r="P1473" i="2"/>
  <c r="P1474" i="2"/>
  <c r="D1475" i="5"/>
  <c r="Z1475" i="2"/>
  <c r="Y1475" i="2"/>
  <c r="A1478" i="5"/>
  <c r="P1478" i="2"/>
  <c r="D1478" i="5"/>
  <c r="Z1478" i="2"/>
  <c r="E1479" i="5"/>
  <c r="T1479" i="2"/>
  <c r="E1480" i="5"/>
  <c r="T1480" i="2"/>
  <c r="D1482" i="5"/>
  <c r="Z1482" i="2"/>
  <c r="E1483" i="5"/>
  <c r="T1483" i="2"/>
  <c r="E1484" i="5"/>
  <c r="T1484" i="2"/>
  <c r="D1486" i="5"/>
  <c r="Z1486" i="2"/>
  <c r="P1487" i="2"/>
  <c r="P1488" i="2"/>
  <c r="E1489" i="5"/>
  <c r="T1489" i="2"/>
  <c r="E1490" i="5"/>
  <c r="T1490" i="2"/>
  <c r="A1492" i="5"/>
  <c r="P1492" i="2"/>
  <c r="D1492" i="5"/>
  <c r="Z1492" i="2"/>
  <c r="E1493" i="5"/>
  <c r="T1493" i="2"/>
  <c r="E1494" i="5"/>
  <c r="T1494" i="2"/>
  <c r="A1496" i="5"/>
  <c r="P1496" i="2"/>
  <c r="D1496" i="5"/>
  <c r="Z1496" i="2"/>
  <c r="E1497" i="5"/>
  <c r="T1497" i="2"/>
  <c r="E1498" i="5"/>
  <c r="T1498" i="2"/>
  <c r="D1500" i="5"/>
  <c r="Z1500" i="2"/>
  <c r="P1501" i="2"/>
  <c r="D1503" i="5"/>
  <c r="Z1503" i="2"/>
  <c r="Y1503" i="2"/>
  <c r="D1506" i="5"/>
  <c r="Z1506" i="2"/>
  <c r="E1507" i="5"/>
  <c r="T1507" i="2"/>
  <c r="E1508" i="5"/>
  <c r="T1508" i="2"/>
  <c r="A1510" i="5"/>
  <c r="P1510" i="2"/>
  <c r="D1510" i="5"/>
  <c r="Z1510" i="2"/>
  <c r="E1511" i="5"/>
  <c r="T1511" i="2"/>
  <c r="E1512" i="5"/>
  <c r="T1512" i="2"/>
  <c r="A1514" i="5"/>
  <c r="P1514" i="2"/>
  <c r="D1514" i="5"/>
  <c r="Z1514" i="2"/>
  <c r="E1515" i="5"/>
  <c r="T1515" i="2"/>
  <c r="E1516" i="5"/>
  <c r="T1516" i="2"/>
  <c r="A1518" i="5"/>
  <c r="P1518" i="2"/>
  <c r="D1518" i="5"/>
  <c r="Z1518" i="2"/>
  <c r="E1519" i="5"/>
  <c r="T1519" i="2"/>
  <c r="E1520" i="5"/>
  <c r="T1520" i="2"/>
  <c r="A1522" i="5"/>
  <c r="P1522" i="2"/>
  <c r="D1522" i="5"/>
  <c r="Z1522" i="2"/>
  <c r="E1523" i="5"/>
  <c r="T1523" i="2"/>
  <c r="E1524" i="5"/>
  <c r="T1524" i="2"/>
  <c r="A1526" i="5"/>
  <c r="P1526" i="2"/>
  <c r="D1526" i="5"/>
  <c r="Z1526" i="2"/>
  <c r="E1527" i="5"/>
  <c r="T1527" i="2"/>
  <c r="E1528" i="5"/>
  <c r="T1528" i="2"/>
  <c r="A1530" i="5"/>
  <c r="P1530" i="2"/>
  <c r="D1530" i="5"/>
  <c r="Z1530" i="2"/>
  <c r="E1531" i="5"/>
  <c r="T1531" i="2"/>
  <c r="E1532" i="5"/>
  <c r="T1532" i="2"/>
  <c r="A1534" i="5"/>
  <c r="P1534" i="2"/>
  <c r="D1534" i="5"/>
  <c r="Z1534" i="2"/>
  <c r="E1535" i="5"/>
  <c r="T1535" i="2"/>
  <c r="E1536" i="5"/>
  <c r="T1536" i="2"/>
  <c r="A1538" i="5"/>
  <c r="P1538" i="2"/>
  <c r="D1538" i="5"/>
  <c r="Z1538" i="2"/>
  <c r="E1539" i="5"/>
  <c r="T1539" i="2"/>
  <c r="E1540" i="5"/>
  <c r="T1540" i="2"/>
  <c r="A1542" i="5"/>
  <c r="P1542" i="2"/>
  <c r="D1542" i="5"/>
  <c r="Z1542" i="2"/>
  <c r="E1543" i="5"/>
  <c r="T1543" i="2"/>
  <c r="E1544" i="5"/>
  <c r="T1544" i="2"/>
  <c r="P1547" i="2"/>
  <c r="D1549" i="5"/>
  <c r="Z1549" i="2"/>
  <c r="Y1549" i="2"/>
  <c r="P1551" i="2"/>
  <c r="D1553" i="5"/>
  <c r="Z1553" i="2"/>
  <c r="Y1553" i="2"/>
  <c r="P1555" i="2"/>
  <c r="D1557" i="5"/>
  <c r="Z1557" i="2"/>
  <c r="Y1557" i="2"/>
  <c r="P1559" i="2"/>
  <c r="D1561" i="5"/>
  <c r="Z1561" i="2"/>
  <c r="Y1561" i="2"/>
  <c r="P1563" i="2"/>
  <c r="D1565" i="5"/>
  <c r="Z1565" i="2"/>
  <c r="Y1565" i="2"/>
  <c r="P1567" i="2"/>
  <c r="D1569" i="5"/>
  <c r="Z1569" i="2"/>
  <c r="Y1569" i="2"/>
  <c r="P1571" i="2"/>
  <c r="D1573" i="5"/>
  <c r="Z1573" i="2"/>
  <c r="Y1573" i="2"/>
  <c r="P1575" i="2"/>
  <c r="D1577" i="5"/>
  <c r="Z1577" i="2"/>
  <c r="Y1577" i="2"/>
  <c r="P1579" i="2"/>
  <c r="P1590" i="2"/>
  <c r="P1666" i="2"/>
  <c r="P1668" i="2"/>
  <c r="D1673" i="5"/>
  <c r="Z1673" i="2"/>
  <c r="Y1673" i="2"/>
  <c r="D1680" i="5"/>
  <c r="Z1680" i="2"/>
  <c r="Y1680" i="2"/>
  <c r="D1682" i="5"/>
  <c r="Z1682" i="2"/>
  <c r="Y1682" i="2"/>
  <c r="D1689" i="5"/>
  <c r="Z1689" i="2"/>
  <c r="Y1689" i="2"/>
  <c r="D1696" i="5"/>
  <c r="Z1696" i="2"/>
  <c r="Y1696" i="2"/>
  <c r="D1698" i="5"/>
  <c r="Z1698" i="2"/>
  <c r="Y1698" i="2"/>
  <c r="D1705" i="5"/>
  <c r="Z1705" i="2"/>
  <c r="Y1705" i="2"/>
  <c r="D1712" i="5"/>
  <c r="Z1712" i="2"/>
  <c r="Y1712" i="2"/>
  <c r="D1714" i="5"/>
  <c r="Z1714" i="2"/>
  <c r="Y1714" i="2"/>
  <c r="D1721" i="5"/>
  <c r="Z1721" i="2"/>
  <c r="Y1721" i="2"/>
  <c r="D1728" i="5"/>
  <c r="Z1728" i="2"/>
  <c r="Y1728" i="2"/>
  <c r="D1730" i="5"/>
  <c r="Z1730" i="2"/>
  <c r="Y1730" i="2"/>
  <c r="D1737" i="5"/>
  <c r="Z1737" i="2"/>
  <c r="Y1737" i="2"/>
  <c r="D1744" i="5"/>
  <c r="Z1744" i="2"/>
  <c r="Y1744" i="2"/>
  <c r="D1746" i="5"/>
  <c r="Z1746" i="2"/>
  <c r="Y1746" i="2"/>
  <c r="D1753" i="5"/>
  <c r="Z1753" i="2"/>
  <c r="Y1753" i="2"/>
  <c r="Y1372" i="2"/>
  <c r="P1373" i="2"/>
  <c r="A1374" i="5"/>
  <c r="P1374" i="2"/>
  <c r="E1374" i="5"/>
  <c r="T1374" i="2"/>
  <c r="Z1376" i="2"/>
  <c r="T1377" i="2"/>
  <c r="D1379" i="5"/>
  <c r="Z1379" i="2"/>
  <c r="Y1379" i="2"/>
  <c r="P1381" i="2"/>
  <c r="A1382" i="5"/>
  <c r="P1382" i="2"/>
  <c r="E1382" i="5"/>
  <c r="T1382" i="2"/>
  <c r="Z1384" i="2"/>
  <c r="T1385" i="2"/>
  <c r="D1387" i="5"/>
  <c r="Z1387" i="2"/>
  <c r="Y1387" i="2"/>
  <c r="P1389" i="2"/>
  <c r="A1390" i="5"/>
  <c r="P1390" i="2"/>
  <c r="E1390" i="5"/>
  <c r="T1390" i="2"/>
  <c r="Z1392" i="2"/>
  <c r="T1393" i="2"/>
  <c r="E1394" i="5"/>
  <c r="T1394" i="2"/>
  <c r="A1396" i="5"/>
  <c r="P1396" i="2"/>
  <c r="D1396" i="5"/>
  <c r="Z1396" i="2"/>
  <c r="E1397" i="5"/>
  <c r="T1397" i="2"/>
  <c r="E1398" i="5"/>
  <c r="T1398" i="2"/>
  <c r="A1400" i="5"/>
  <c r="P1400" i="2"/>
  <c r="D1400" i="5"/>
  <c r="Z1400" i="2"/>
  <c r="E1401" i="5"/>
  <c r="T1401" i="2"/>
  <c r="E1402" i="5"/>
  <c r="T1402" i="2"/>
  <c r="A1404" i="5"/>
  <c r="P1404" i="2"/>
  <c r="D1404" i="5"/>
  <c r="Z1404" i="2"/>
  <c r="E1405" i="5"/>
  <c r="T1405" i="2"/>
  <c r="E1406" i="5"/>
  <c r="T1406" i="2"/>
  <c r="A1408" i="5"/>
  <c r="P1408" i="2"/>
  <c r="D1408" i="5"/>
  <c r="Z1408" i="2"/>
  <c r="E1409" i="5"/>
  <c r="T1409" i="2"/>
  <c r="E1410" i="5"/>
  <c r="T1410" i="2"/>
  <c r="A1412" i="5"/>
  <c r="P1412" i="2"/>
  <c r="D1412" i="5"/>
  <c r="Z1412" i="2"/>
  <c r="E1413" i="5"/>
  <c r="T1413" i="2"/>
  <c r="E1414" i="5"/>
  <c r="T1414" i="2"/>
  <c r="A1416" i="5"/>
  <c r="P1416" i="2"/>
  <c r="D1416" i="5"/>
  <c r="Z1416" i="2"/>
  <c r="E1417" i="5"/>
  <c r="T1417" i="2"/>
  <c r="E1418" i="5"/>
  <c r="T1418" i="2"/>
  <c r="A1420" i="5"/>
  <c r="P1420" i="2"/>
  <c r="D1420" i="5"/>
  <c r="Z1420" i="2"/>
  <c r="E1421" i="5"/>
  <c r="T1421" i="2"/>
  <c r="E1422" i="5"/>
  <c r="T1422" i="2"/>
  <c r="A1424" i="5"/>
  <c r="P1424" i="2"/>
  <c r="D1424" i="5"/>
  <c r="Z1424" i="2"/>
  <c r="E1425" i="5"/>
  <c r="T1425" i="2"/>
  <c r="E1426" i="5"/>
  <c r="T1426" i="2"/>
  <c r="A1428" i="5"/>
  <c r="P1428" i="2"/>
  <c r="D1428" i="5"/>
  <c r="Z1428" i="2"/>
  <c r="E1429" i="5"/>
  <c r="T1429" i="2"/>
  <c r="E1430" i="5"/>
  <c r="T1430" i="2"/>
  <c r="A1432" i="5"/>
  <c r="P1432" i="2"/>
  <c r="D1432" i="5"/>
  <c r="Z1432" i="2"/>
  <c r="E1433" i="5"/>
  <c r="T1433" i="2"/>
  <c r="E1434" i="5"/>
  <c r="T1434" i="2"/>
  <c r="A1436" i="5"/>
  <c r="P1436" i="2"/>
  <c r="D1436" i="5"/>
  <c r="Z1436" i="2"/>
  <c r="E1437" i="5"/>
  <c r="T1437" i="2"/>
  <c r="E1438" i="5"/>
  <c r="T1438" i="2"/>
  <c r="D1440" i="5"/>
  <c r="Z1440" i="2"/>
  <c r="E1443" i="5"/>
  <c r="T1443" i="2"/>
  <c r="E1444" i="5"/>
  <c r="T1444" i="2"/>
  <c r="A1446" i="5"/>
  <c r="P1446" i="2"/>
  <c r="D1446" i="5"/>
  <c r="Z1446" i="2"/>
  <c r="E1447" i="5"/>
  <c r="T1447" i="2"/>
  <c r="E1448" i="5"/>
  <c r="T1448" i="2"/>
  <c r="A1450" i="5"/>
  <c r="P1450" i="2"/>
  <c r="D1450" i="5"/>
  <c r="Z1450" i="2"/>
  <c r="E1451" i="5"/>
  <c r="T1451" i="2"/>
  <c r="E1452" i="5"/>
  <c r="T1452" i="2"/>
  <c r="A1454" i="5"/>
  <c r="P1454" i="2"/>
  <c r="D1454" i="5"/>
  <c r="Z1454" i="2"/>
  <c r="E1455" i="5"/>
  <c r="T1455" i="2"/>
  <c r="E1456" i="5"/>
  <c r="T1456" i="2"/>
  <c r="A1458" i="5"/>
  <c r="P1458" i="2"/>
  <c r="D1458" i="5"/>
  <c r="Z1458" i="2"/>
  <c r="E1459" i="5"/>
  <c r="T1459" i="2"/>
  <c r="E1460" i="5"/>
  <c r="T1460" i="2"/>
  <c r="A1462" i="5"/>
  <c r="P1462" i="2"/>
  <c r="D1462" i="5"/>
  <c r="Z1462" i="2"/>
  <c r="E1463" i="5"/>
  <c r="T1463" i="2"/>
  <c r="E1464" i="5"/>
  <c r="T1464" i="2"/>
  <c r="A1466" i="5"/>
  <c r="P1466" i="2"/>
  <c r="D1466" i="5"/>
  <c r="Z1466" i="2"/>
  <c r="E1467" i="5"/>
  <c r="T1467" i="2"/>
  <c r="E1468" i="5"/>
  <c r="T1468" i="2"/>
  <c r="A1470" i="5"/>
  <c r="P1470" i="2"/>
  <c r="D1470" i="5"/>
  <c r="Z1470" i="2"/>
  <c r="E1471" i="5"/>
  <c r="T1471" i="2"/>
  <c r="E1472" i="5"/>
  <c r="T1472" i="2"/>
  <c r="D1474" i="5"/>
  <c r="Z1474" i="2"/>
  <c r="E1475" i="5"/>
  <c r="T1475" i="2"/>
  <c r="E1476" i="5"/>
  <c r="T1476" i="2"/>
  <c r="D1477" i="5"/>
  <c r="Z1477" i="2"/>
  <c r="Y1477" i="2"/>
  <c r="P1479" i="2"/>
  <c r="D1481" i="5"/>
  <c r="Z1481" i="2"/>
  <c r="Y1481" i="2"/>
  <c r="P1483" i="2"/>
  <c r="D1485" i="5"/>
  <c r="Z1485" i="2"/>
  <c r="Y1485" i="2"/>
  <c r="D1488" i="5"/>
  <c r="Z1488" i="2"/>
  <c r="D1491" i="5"/>
  <c r="Z1491" i="2"/>
  <c r="Y1491" i="2"/>
  <c r="P1493" i="2"/>
  <c r="D1495" i="5"/>
  <c r="Z1495" i="2"/>
  <c r="Y1495" i="2"/>
  <c r="P1497" i="2"/>
  <c r="D1499" i="5"/>
  <c r="Z1499" i="2"/>
  <c r="Y1499" i="2"/>
  <c r="A1502" i="5"/>
  <c r="P1502" i="2"/>
  <c r="D1502" i="5"/>
  <c r="Z1502" i="2"/>
  <c r="E1503" i="5"/>
  <c r="T1503" i="2"/>
  <c r="E1504" i="5"/>
  <c r="T1504" i="2"/>
  <c r="D1505" i="5"/>
  <c r="Z1505" i="2"/>
  <c r="Y1505" i="2"/>
  <c r="P1507" i="2"/>
  <c r="D1509" i="5"/>
  <c r="Z1509" i="2"/>
  <c r="Y1509" i="2"/>
  <c r="P1511" i="2"/>
  <c r="D1513" i="5"/>
  <c r="Z1513" i="2"/>
  <c r="Y1513" i="2"/>
  <c r="P1515" i="2"/>
  <c r="D1517" i="5"/>
  <c r="Z1517" i="2"/>
  <c r="Y1517" i="2"/>
  <c r="P1519" i="2"/>
  <c r="D1521" i="5"/>
  <c r="Z1521" i="2"/>
  <c r="Y1521" i="2"/>
  <c r="P1523" i="2"/>
  <c r="D1525" i="5"/>
  <c r="Z1525" i="2"/>
  <c r="Y1525" i="2"/>
  <c r="P1527" i="2"/>
  <c r="D1529" i="5"/>
  <c r="Z1529" i="2"/>
  <c r="Y1529" i="2"/>
  <c r="P1531" i="2"/>
  <c r="D1533" i="5"/>
  <c r="Z1533" i="2"/>
  <c r="Y1533" i="2"/>
  <c r="P1535" i="2"/>
  <c r="D1537" i="5"/>
  <c r="Z1537" i="2"/>
  <c r="Y1537" i="2"/>
  <c r="P1539" i="2"/>
  <c r="D1541" i="5"/>
  <c r="Z1541" i="2"/>
  <c r="Y1541" i="2"/>
  <c r="P1543" i="2"/>
  <c r="E1545" i="5"/>
  <c r="T1545" i="2"/>
  <c r="E1546" i="5"/>
  <c r="T1546" i="2"/>
  <c r="A1548" i="5"/>
  <c r="P1548" i="2"/>
  <c r="D1548" i="5"/>
  <c r="Z1548" i="2"/>
  <c r="E1549" i="5"/>
  <c r="T1549" i="2"/>
  <c r="E1550" i="5"/>
  <c r="T1550" i="2"/>
  <c r="A1552" i="5"/>
  <c r="P1552" i="2"/>
  <c r="D1552" i="5"/>
  <c r="Z1552" i="2"/>
  <c r="E1553" i="5"/>
  <c r="T1553" i="2"/>
  <c r="E1554" i="5"/>
  <c r="T1554" i="2"/>
  <c r="A1556" i="5"/>
  <c r="P1556" i="2"/>
  <c r="D1556" i="5"/>
  <c r="Z1556" i="2"/>
  <c r="E1557" i="5"/>
  <c r="T1557" i="2"/>
  <c r="E1558" i="5"/>
  <c r="T1558" i="2"/>
  <c r="A1560" i="5"/>
  <c r="P1560" i="2"/>
  <c r="D1560" i="5"/>
  <c r="Z1560" i="2"/>
  <c r="E1561" i="5"/>
  <c r="T1561" i="2"/>
  <c r="E1562" i="5"/>
  <c r="T1562" i="2"/>
  <c r="A1564" i="5"/>
  <c r="P1564" i="2"/>
  <c r="D1564" i="5"/>
  <c r="Z1564" i="2"/>
  <c r="E1565" i="5"/>
  <c r="T1565" i="2"/>
  <c r="E1566" i="5"/>
  <c r="T1566" i="2"/>
  <c r="A1568" i="5"/>
  <c r="P1568" i="2"/>
  <c r="D1568" i="5"/>
  <c r="Z1568" i="2"/>
  <c r="E1569" i="5"/>
  <c r="T1569" i="2"/>
  <c r="E1570" i="5"/>
  <c r="T1570" i="2"/>
  <c r="A1572" i="5"/>
  <c r="P1572" i="2"/>
  <c r="D1572" i="5"/>
  <c r="Z1572" i="2"/>
  <c r="E1573" i="5"/>
  <c r="T1573" i="2"/>
  <c r="E1574" i="5"/>
  <c r="T1574" i="2"/>
  <c r="A1576" i="5"/>
  <c r="P1576" i="2"/>
  <c r="D1576" i="5"/>
  <c r="Z1576" i="2"/>
  <c r="E1577" i="5"/>
  <c r="T1577" i="2"/>
  <c r="E1578" i="5"/>
  <c r="T1578" i="2"/>
  <c r="E1580" i="5"/>
  <c r="T1580" i="2"/>
  <c r="A1582" i="5"/>
  <c r="P1582" i="2"/>
  <c r="D1582" i="5"/>
  <c r="Z1582" i="2"/>
  <c r="Y1582" i="2"/>
  <c r="E1583" i="5"/>
  <c r="T1583" i="2"/>
  <c r="E1584" i="5"/>
  <c r="T1584" i="2"/>
  <c r="A1586" i="5"/>
  <c r="P1586" i="2"/>
  <c r="D1586" i="5"/>
  <c r="Z1586" i="2"/>
  <c r="Y1586" i="2"/>
  <c r="E1587" i="5"/>
  <c r="T1587" i="2"/>
  <c r="E1588" i="5"/>
  <c r="T1588" i="2"/>
  <c r="D1590" i="5"/>
  <c r="Z1590" i="2"/>
  <c r="Y1590" i="2"/>
  <c r="E1591" i="5"/>
  <c r="T1591" i="2"/>
  <c r="E1592" i="5"/>
  <c r="T1592" i="2"/>
  <c r="A1594" i="5"/>
  <c r="P1594" i="2"/>
  <c r="D1594" i="5"/>
  <c r="Z1594" i="2"/>
  <c r="Y1594" i="2"/>
  <c r="E1595" i="5"/>
  <c r="T1595" i="2"/>
  <c r="E1596" i="5"/>
  <c r="T1596" i="2"/>
  <c r="A1598" i="5"/>
  <c r="P1598" i="2"/>
  <c r="D1598" i="5"/>
  <c r="Z1598" i="2"/>
  <c r="Y1598" i="2"/>
  <c r="E1599" i="5"/>
  <c r="T1599" i="2"/>
  <c r="E1600" i="5"/>
  <c r="T1600" i="2"/>
  <c r="A1602" i="5"/>
  <c r="P1602" i="2"/>
  <c r="D1602" i="5"/>
  <c r="Z1602" i="2"/>
  <c r="Y1602" i="2"/>
  <c r="E1603" i="5"/>
  <c r="T1603" i="2"/>
  <c r="E1604" i="5"/>
  <c r="T1604" i="2"/>
  <c r="A1606" i="5"/>
  <c r="P1606" i="2"/>
  <c r="D1606" i="5"/>
  <c r="Z1606" i="2"/>
  <c r="Y1606" i="2"/>
  <c r="E1607" i="5"/>
  <c r="T1607" i="2"/>
  <c r="E1608" i="5"/>
  <c r="T1608" i="2"/>
  <c r="A1610" i="5"/>
  <c r="P1610" i="2"/>
  <c r="D1610" i="5"/>
  <c r="Z1610" i="2"/>
  <c r="Y1610" i="2"/>
  <c r="E1611" i="5"/>
  <c r="T1611" i="2"/>
  <c r="E1612" i="5"/>
  <c r="T1612" i="2"/>
  <c r="A1614" i="5"/>
  <c r="P1614" i="2"/>
  <c r="D1614" i="5"/>
  <c r="Z1614" i="2"/>
  <c r="Y1614" i="2"/>
  <c r="E1615" i="5"/>
  <c r="T1615" i="2"/>
  <c r="E1616" i="5"/>
  <c r="T1616" i="2"/>
  <c r="A1618" i="5"/>
  <c r="P1618" i="2"/>
  <c r="D1618" i="5"/>
  <c r="Z1618" i="2"/>
  <c r="Y1618" i="2"/>
  <c r="E1619" i="5"/>
  <c r="T1619" i="2"/>
  <c r="E1620" i="5"/>
  <c r="T1620" i="2"/>
  <c r="A1622" i="5"/>
  <c r="P1622" i="2"/>
  <c r="D1622" i="5"/>
  <c r="Z1622" i="2"/>
  <c r="Y1622" i="2"/>
  <c r="E1623" i="5"/>
  <c r="T1623" i="2"/>
  <c r="E1624" i="5"/>
  <c r="T1624" i="2"/>
  <c r="A1626" i="5"/>
  <c r="P1626" i="2"/>
  <c r="D1626" i="5"/>
  <c r="Z1626" i="2"/>
  <c r="Y1626" i="2"/>
  <c r="E1627" i="5"/>
  <c r="T1627" i="2"/>
  <c r="E1628" i="5"/>
  <c r="T1628" i="2"/>
  <c r="A1630" i="5"/>
  <c r="P1630" i="2"/>
  <c r="D1630" i="5"/>
  <c r="Z1630" i="2"/>
  <c r="Y1630" i="2"/>
  <c r="E1631" i="5"/>
  <c r="T1631" i="2"/>
  <c r="E1632" i="5"/>
  <c r="T1632" i="2"/>
  <c r="A1634" i="5"/>
  <c r="P1634" i="2"/>
  <c r="D1634" i="5"/>
  <c r="Z1634" i="2"/>
  <c r="Y1634" i="2"/>
  <c r="E1635" i="5"/>
  <c r="T1635" i="2"/>
  <c r="E1636" i="5"/>
  <c r="T1636" i="2"/>
  <c r="A1638" i="5"/>
  <c r="P1638" i="2"/>
  <c r="D1638" i="5"/>
  <c r="Z1638" i="2"/>
  <c r="Y1638" i="2"/>
  <c r="E1639" i="5"/>
  <c r="T1639" i="2"/>
  <c r="E1640" i="5"/>
  <c r="T1640" i="2"/>
  <c r="A1642" i="5"/>
  <c r="P1642" i="2"/>
  <c r="D1642" i="5"/>
  <c r="Z1642" i="2"/>
  <c r="Y1642" i="2"/>
  <c r="E1643" i="5"/>
  <c r="T1643" i="2"/>
  <c r="E1644" i="5"/>
  <c r="T1644" i="2"/>
  <c r="A1646" i="5"/>
  <c r="P1646" i="2"/>
  <c r="D1646" i="5"/>
  <c r="Z1646" i="2"/>
  <c r="Y1646" i="2"/>
  <c r="E1647" i="5"/>
  <c r="T1647" i="2"/>
  <c r="E1648" i="5"/>
  <c r="T1648" i="2"/>
  <c r="A1650" i="5"/>
  <c r="P1650" i="2"/>
  <c r="D1650" i="5"/>
  <c r="Z1650" i="2"/>
  <c r="Y1650" i="2"/>
  <c r="E1651" i="5"/>
  <c r="T1651" i="2"/>
  <c r="E1652" i="5"/>
  <c r="T1652" i="2"/>
  <c r="A1654" i="5"/>
  <c r="P1654" i="2"/>
  <c r="D1654" i="5"/>
  <c r="Z1654" i="2"/>
  <c r="Y1654" i="2"/>
  <c r="E1655" i="5"/>
  <c r="T1655" i="2"/>
  <c r="E1656" i="5"/>
  <c r="T1656" i="2"/>
  <c r="A1658" i="5"/>
  <c r="P1658" i="2"/>
  <c r="D1658" i="5"/>
  <c r="Z1658" i="2"/>
  <c r="Y1658" i="2"/>
  <c r="E1659" i="5"/>
  <c r="T1659" i="2"/>
  <c r="E1660" i="5"/>
  <c r="T1660" i="2"/>
  <c r="A1662" i="5"/>
  <c r="P1662" i="2"/>
  <c r="D1662" i="5"/>
  <c r="Z1662" i="2"/>
  <c r="Y1662" i="2"/>
  <c r="E1663" i="5"/>
  <c r="T1663" i="2"/>
  <c r="E1664" i="5"/>
  <c r="T1664" i="2"/>
  <c r="D1666" i="5"/>
  <c r="Z1666" i="2"/>
  <c r="Y1666" i="2"/>
  <c r="D1668" i="5"/>
  <c r="Z1668" i="2"/>
  <c r="Y1668" i="2"/>
  <c r="D1670" i="5"/>
  <c r="Z1670" i="2"/>
  <c r="Y1670" i="2"/>
  <c r="D1677" i="5"/>
  <c r="Z1677" i="2"/>
  <c r="Y1677" i="2"/>
  <c r="D1684" i="5"/>
  <c r="Z1684" i="2"/>
  <c r="Y1684" i="2"/>
  <c r="D1686" i="5"/>
  <c r="Z1686" i="2"/>
  <c r="Y1686" i="2"/>
  <c r="D1693" i="5"/>
  <c r="Z1693" i="2"/>
  <c r="Y1693" i="2"/>
  <c r="D1700" i="5"/>
  <c r="Z1700" i="2"/>
  <c r="Y1700" i="2"/>
  <c r="D1702" i="5"/>
  <c r="Z1702" i="2"/>
  <c r="Y1702" i="2"/>
  <c r="D1709" i="5"/>
  <c r="Z1709" i="2"/>
  <c r="Y1709" i="2"/>
  <c r="D1716" i="5"/>
  <c r="Z1716" i="2"/>
  <c r="Y1716" i="2"/>
  <c r="D1718" i="5"/>
  <c r="Z1718" i="2"/>
  <c r="Y1718" i="2"/>
  <c r="D1725" i="5"/>
  <c r="Z1725" i="2"/>
  <c r="Y1725" i="2"/>
  <c r="D1732" i="5"/>
  <c r="Z1732" i="2"/>
  <c r="Y1732" i="2"/>
  <c r="D1734" i="5"/>
  <c r="Z1734" i="2"/>
  <c r="Y1734" i="2"/>
  <c r="D1741" i="5"/>
  <c r="Z1741" i="2"/>
  <c r="Y1741" i="2"/>
  <c r="D1748" i="5"/>
  <c r="Z1748" i="2"/>
  <c r="Y1748" i="2"/>
  <c r="D1750" i="5"/>
  <c r="Z1750" i="2"/>
  <c r="Y1750" i="2"/>
  <c r="P1372" i="2"/>
  <c r="Z1372" i="2"/>
  <c r="D1373" i="5"/>
  <c r="Z1373" i="2"/>
  <c r="Y1373" i="2"/>
  <c r="A1376" i="5"/>
  <c r="P1376" i="2"/>
  <c r="T1379" i="2"/>
  <c r="Y1380" i="2"/>
  <c r="D1381" i="5"/>
  <c r="Z1381" i="2"/>
  <c r="Y1381" i="2"/>
  <c r="A1384" i="5"/>
  <c r="P1384" i="2"/>
  <c r="T1387" i="2"/>
  <c r="Y1388" i="2"/>
  <c r="D1389" i="5"/>
  <c r="Z1389" i="2"/>
  <c r="Y1389" i="2"/>
  <c r="A1392" i="5"/>
  <c r="P1392" i="2"/>
  <c r="D1395" i="5"/>
  <c r="Z1395" i="2"/>
  <c r="Y1395" i="2"/>
  <c r="P1397" i="2"/>
  <c r="D1399" i="5"/>
  <c r="Z1399" i="2"/>
  <c r="Y1399" i="2"/>
  <c r="P1401" i="2"/>
  <c r="D1403" i="5"/>
  <c r="Z1403" i="2"/>
  <c r="Y1403" i="2"/>
  <c r="P1405" i="2"/>
  <c r="D1407" i="5"/>
  <c r="Z1407" i="2"/>
  <c r="Y1407" i="2"/>
  <c r="P1409" i="2"/>
  <c r="D1411" i="5"/>
  <c r="Z1411" i="2"/>
  <c r="Y1411" i="2"/>
  <c r="P1413" i="2"/>
  <c r="D1415" i="5"/>
  <c r="Z1415" i="2"/>
  <c r="Y1415" i="2"/>
  <c r="P1417" i="2"/>
  <c r="D1419" i="5"/>
  <c r="Z1419" i="2"/>
  <c r="Y1419" i="2"/>
  <c r="P1421" i="2"/>
  <c r="D1423" i="5"/>
  <c r="Z1423" i="2"/>
  <c r="Y1423" i="2"/>
  <c r="P1425" i="2"/>
  <c r="D1427" i="5"/>
  <c r="Z1427" i="2"/>
  <c r="Y1427" i="2"/>
  <c r="P1429" i="2"/>
  <c r="D1431" i="5"/>
  <c r="Z1431" i="2"/>
  <c r="Y1431" i="2"/>
  <c r="P1433" i="2"/>
  <c r="D1435" i="5"/>
  <c r="Z1435" i="2"/>
  <c r="Y1435" i="2"/>
  <c r="P1437" i="2"/>
  <c r="P1438" i="2"/>
  <c r="D1439" i="5"/>
  <c r="Z1439" i="2"/>
  <c r="Y1439" i="2"/>
  <c r="D1442" i="5"/>
  <c r="Z1442" i="2"/>
  <c r="P1443" i="2"/>
  <c r="P1444" i="2"/>
  <c r="D1445" i="5"/>
  <c r="Z1445" i="2"/>
  <c r="Y1445" i="2"/>
  <c r="P1447" i="2"/>
  <c r="D1449" i="5"/>
  <c r="Z1449" i="2"/>
  <c r="Y1449" i="2"/>
  <c r="P1451" i="2"/>
  <c r="D1453" i="5"/>
  <c r="Z1453" i="2"/>
  <c r="Y1453" i="2"/>
  <c r="P1455" i="2"/>
  <c r="D1457" i="5"/>
  <c r="Z1457" i="2"/>
  <c r="Y1457" i="2"/>
  <c r="P1459" i="2"/>
  <c r="D1461" i="5"/>
  <c r="Z1461" i="2"/>
  <c r="Y1461" i="2"/>
  <c r="P1463" i="2"/>
  <c r="D1465" i="5"/>
  <c r="Z1465" i="2"/>
  <c r="Y1465" i="2"/>
  <c r="P1467" i="2"/>
  <c r="D1469" i="5"/>
  <c r="Z1469" i="2"/>
  <c r="Y1469" i="2"/>
  <c r="P1471" i="2"/>
  <c r="D1473" i="5"/>
  <c r="Z1473" i="2"/>
  <c r="Y1473" i="2"/>
  <c r="P1475" i="2"/>
  <c r="P1476" i="2"/>
  <c r="E1477" i="5"/>
  <c r="T1477" i="2"/>
  <c r="E1478" i="5"/>
  <c r="T1478" i="2"/>
  <c r="Y1478" i="2"/>
  <c r="D1480" i="5"/>
  <c r="Z1480" i="2"/>
  <c r="Q1480" i="2"/>
  <c r="E1481" i="5"/>
  <c r="T1481" i="2"/>
  <c r="E1482" i="5"/>
  <c r="T1482" i="2"/>
  <c r="Y1482" i="2"/>
  <c r="A1484" i="5"/>
  <c r="P1484" i="2"/>
  <c r="D1484" i="5"/>
  <c r="Z1484" i="2"/>
  <c r="E1485" i="5"/>
  <c r="T1485" i="2"/>
  <c r="E1486" i="5"/>
  <c r="T1486" i="2"/>
  <c r="Y1486" i="2"/>
  <c r="A1490" i="5"/>
  <c r="P1490" i="2"/>
  <c r="D1490" i="5"/>
  <c r="Z1490" i="2"/>
  <c r="E1491" i="5"/>
  <c r="T1491" i="2"/>
  <c r="E1492" i="5"/>
  <c r="T1492" i="2"/>
  <c r="Y1492" i="2"/>
  <c r="A1494" i="5"/>
  <c r="P1494" i="2"/>
  <c r="D1494" i="5"/>
  <c r="Z1494" i="2"/>
  <c r="E1495" i="5"/>
  <c r="T1495" i="2"/>
  <c r="E1496" i="5"/>
  <c r="T1496" i="2"/>
  <c r="Y1496" i="2"/>
  <c r="D1498" i="5"/>
  <c r="Z1498" i="2"/>
  <c r="E1499" i="5"/>
  <c r="T1499" i="2"/>
  <c r="E1500" i="5"/>
  <c r="T1500" i="2"/>
  <c r="Y1500" i="2"/>
  <c r="P1503" i="2"/>
  <c r="P1504" i="2"/>
  <c r="E1505" i="5"/>
  <c r="T1505" i="2"/>
  <c r="E1506" i="5"/>
  <c r="T1506" i="2"/>
  <c r="Y1506" i="2"/>
  <c r="A1508" i="5"/>
  <c r="P1508" i="2"/>
  <c r="D1508" i="5"/>
  <c r="Z1508" i="2"/>
  <c r="E1509" i="5"/>
  <c r="T1509" i="2"/>
  <c r="E1510" i="5"/>
  <c r="T1510" i="2"/>
  <c r="Y1510" i="2"/>
  <c r="D1512" i="5"/>
  <c r="Z1512" i="2"/>
  <c r="E1513" i="5"/>
  <c r="T1513" i="2"/>
  <c r="E1514" i="5"/>
  <c r="T1514" i="2"/>
  <c r="Y1514" i="2"/>
  <c r="A1516" i="5"/>
  <c r="P1516" i="2"/>
  <c r="D1516" i="5"/>
  <c r="Z1516" i="2"/>
  <c r="E1517" i="5"/>
  <c r="T1517" i="2"/>
  <c r="E1518" i="5"/>
  <c r="T1518" i="2"/>
  <c r="Y1518" i="2"/>
  <c r="D1520" i="5"/>
  <c r="Z1520" i="2"/>
  <c r="E1521" i="5"/>
  <c r="T1521" i="2"/>
  <c r="E1522" i="5"/>
  <c r="T1522" i="2"/>
  <c r="Y1522" i="2"/>
  <c r="D1524" i="5"/>
  <c r="Z1524" i="2"/>
  <c r="E1525" i="5"/>
  <c r="T1525" i="2"/>
  <c r="E1526" i="5"/>
  <c r="T1526" i="2"/>
  <c r="Y1526" i="2"/>
  <c r="A1528" i="5"/>
  <c r="P1528" i="2"/>
  <c r="D1528" i="5"/>
  <c r="Z1528" i="2"/>
  <c r="E1529" i="5"/>
  <c r="T1529" i="2"/>
  <c r="E1530" i="5"/>
  <c r="T1530" i="2"/>
  <c r="Y1530" i="2"/>
  <c r="A1532" i="5"/>
  <c r="P1532" i="2"/>
  <c r="D1532" i="5"/>
  <c r="Z1532" i="2"/>
  <c r="E1533" i="5"/>
  <c r="T1533" i="2"/>
  <c r="E1534" i="5"/>
  <c r="T1534" i="2"/>
  <c r="Y1534" i="2"/>
  <c r="A1536" i="5"/>
  <c r="P1536" i="2"/>
  <c r="D1536" i="5"/>
  <c r="Z1536" i="2"/>
  <c r="E1537" i="5"/>
  <c r="T1537" i="2"/>
  <c r="E1538" i="5"/>
  <c r="T1538" i="2"/>
  <c r="Y1538" i="2"/>
  <c r="A1540" i="5"/>
  <c r="P1540" i="2"/>
  <c r="D1540" i="5"/>
  <c r="Z1540" i="2"/>
  <c r="E1541" i="5"/>
  <c r="T1541" i="2"/>
  <c r="E1542" i="5"/>
  <c r="T1542" i="2"/>
  <c r="Y1542" i="2"/>
  <c r="D1544" i="5"/>
  <c r="Z1544" i="2"/>
  <c r="P1545" i="2"/>
  <c r="P1546" i="2"/>
  <c r="D1547" i="5"/>
  <c r="Z1547" i="2"/>
  <c r="Y1547" i="2"/>
  <c r="P1549" i="2"/>
  <c r="D1551" i="5"/>
  <c r="Z1551" i="2"/>
  <c r="Y1551" i="2"/>
  <c r="P1553" i="2"/>
  <c r="D1555" i="5"/>
  <c r="Z1555" i="2"/>
  <c r="Y1555" i="2"/>
  <c r="P1557" i="2"/>
  <c r="D1559" i="5"/>
  <c r="Z1559" i="2"/>
  <c r="Y1559" i="2"/>
  <c r="P1561" i="2"/>
  <c r="D1563" i="5"/>
  <c r="Z1563" i="2"/>
  <c r="Y1563" i="2"/>
  <c r="P1565" i="2"/>
  <c r="D1567" i="5"/>
  <c r="Z1567" i="2"/>
  <c r="Y1567" i="2"/>
  <c r="P1569" i="2"/>
  <c r="D1571" i="5"/>
  <c r="Z1571" i="2"/>
  <c r="Y1571" i="2"/>
  <c r="P1573" i="2"/>
  <c r="D1575" i="5"/>
  <c r="Z1575" i="2"/>
  <c r="Y1575" i="2"/>
  <c r="P1577" i="2"/>
  <c r="D1579" i="5"/>
  <c r="Z1579" i="2"/>
  <c r="Y1579" i="2"/>
  <c r="P1588" i="2"/>
  <c r="Q1639" i="2"/>
  <c r="D1667" i="5"/>
  <c r="Z1667" i="2"/>
  <c r="Y1667" i="2"/>
  <c r="D1672" i="5"/>
  <c r="Z1672" i="2"/>
  <c r="Y1672" i="2"/>
  <c r="D1674" i="5"/>
  <c r="Z1674" i="2"/>
  <c r="Y1674" i="2"/>
  <c r="D1681" i="5"/>
  <c r="Z1681" i="2"/>
  <c r="Y1681" i="2"/>
  <c r="D1688" i="5"/>
  <c r="Z1688" i="2"/>
  <c r="Y1688" i="2"/>
  <c r="D1690" i="5"/>
  <c r="Z1690" i="2"/>
  <c r="Y1690" i="2"/>
  <c r="D1697" i="5"/>
  <c r="Z1697" i="2"/>
  <c r="Y1697" i="2"/>
  <c r="D1704" i="5"/>
  <c r="Z1704" i="2"/>
  <c r="Y1704" i="2"/>
  <c r="D1706" i="5"/>
  <c r="Z1706" i="2"/>
  <c r="Y1706" i="2"/>
  <c r="D1713" i="5"/>
  <c r="Z1713" i="2"/>
  <c r="Y1713" i="2"/>
  <c r="D1720" i="5"/>
  <c r="Z1720" i="2"/>
  <c r="Y1720" i="2"/>
  <c r="D1722" i="5"/>
  <c r="Z1722" i="2"/>
  <c r="Y1722" i="2"/>
  <c r="D1729" i="5"/>
  <c r="Z1729" i="2"/>
  <c r="Y1729" i="2"/>
  <c r="D1736" i="5"/>
  <c r="Z1736" i="2"/>
  <c r="Y1736" i="2"/>
  <c r="D1738" i="5"/>
  <c r="Z1738" i="2"/>
  <c r="Y1738" i="2"/>
  <c r="D1745" i="5"/>
  <c r="Z1745" i="2"/>
  <c r="Y1745" i="2"/>
  <c r="D1752" i="5"/>
  <c r="Z1752" i="2"/>
  <c r="Y1752" i="2"/>
  <c r="D1754" i="5"/>
  <c r="Z1754" i="2"/>
  <c r="Y1754" i="2"/>
  <c r="T1373" i="2"/>
  <c r="D1375" i="5"/>
  <c r="Z1375" i="2"/>
  <c r="Y1375" i="2"/>
  <c r="A1378" i="5"/>
  <c r="P1378" i="2"/>
  <c r="E1378" i="5"/>
  <c r="T1378" i="2"/>
  <c r="T1381" i="2"/>
  <c r="D1383" i="5"/>
  <c r="Z1383" i="2"/>
  <c r="Y1383" i="2"/>
  <c r="A1386" i="5"/>
  <c r="P1386" i="2"/>
  <c r="E1386" i="5"/>
  <c r="T1386" i="2"/>
  <c r="T1389" i="2"/>
  <c r="D1391" i="5"/>
  <c r="Z1391" i="2"/>
  <c r="Y1391" i="2"/>
  <c r="A1394" i="5"/>
  <c r="P1394" i="2"/>
  <c r="D1394" i="5"/>
  <c r="Z1394" i="2"/>
  <c r="E1395" i="5"/>
  <c r="T1395" i="2"/>
  <c r="E1396" i="5"/>
  <c r="T1396" i="2"/>
  <c r="A1398" i="5"/>
  <c r="P1398" i="2"/>
  <c r="D1398" i="5"/>
  <c r="Z1398" i="2"/>
  <c r="E1399" i="5"/>
  <c r="T1399" i="2"/>
  <c r="E1400" i="5"/>
  <c r="T1400" i="2"/>
  <c r="A1402" i="5"/>
  <c r="P1402" i="2"/>
  <c r="D1402" i="5"/>
  <c r="Z1402" i="2"/>
  <c r="E1403" i="5"/>
  <c r="T1403" i="2"/>
  <c r="E1404" i="5"/>
  <c r="T1404" i="2"/>
  <c r="A1406" i="5"/>
  <c r="P1406" i="2"/>
  <c r="D1406" i="5"/>
  <c r="Z1406" i="2"/>
  <c r="E1407" i="5"/>
  <c r="T1407" i="2"/>
  <c r="E1408" i="5"/>
  <c r="T1408" i="2"/>
  <c r="A1410" i="5"/>
  <c r="P1410" i="2"/>
  <c r="D1410" i="5"/>
  <c r="Z1410" i="2"/>
  <c r="E1411" i="5"/>
  <c r="T1411" i="2"/>
  <c r="E1412" i="5"/>
  <c r="T1412" i="2"/>
  <c r="A1414" i="5"/>
  <c r="P1414" i="2"/>
  <c r="D1414" i="5"/>
  <c r="Z1414" i="2"/>
  <c r="E1415" i="5"/>
  <c r="T1415" i="2"/>
  <c r="E1416" i="5"/>
  <c r="T1416" i="2"/>
  <c r="A1418" i="5"/>
  <c r="P1418" i="2"/>
  <c r="D1418" i="5"/>
  <c r="Z1418" i="2"/>
  <c r="E1419" i="5"/>
  <c r="T1419" i="2"/>
  <c r="E1420" i="5"/>
  <c r="T1420" i="2"/>
  <c r="A1422" i="5"/>
  <c r="P1422" i="2"/>
  <c r="D1422" i="5"/>
  <c r="Z1422" i="2"/>
  <c r="E1423" i="5"/>
  <c r="T1423" i="2"/>
  <c r="E1424" i="5"/>
  <c r="T1424" i="2"/>
  <c r="A1426" i="5"/>
  <c r="P1426" i="2"/>
  <c r="D1426" i="5"/>
  <c r="Z1426" i="2"/>
  <c r="E1427" i="5"/>
  <c r="T1427" i="2"/>
  <c r="E1428" i="5"/>
  <c r="T1428" i="2"/>
  <c r="A1430" i="5"/>
  <c r="P1430" i="2"/>
  <c r="D1430" i="5"/>
  <c r="Z1430" i="2"/>
  <c r="E1431" i="5"/>
  <c r="T1431" i="2"/>
  <c r="E1432" i="5"/>
  <c r="T1432" i="2"/>
  <c r="A1434" i="5"/>
  <c r="P1434" i="2"/>
  <c r="D1434" i="5"/>
  <c r="Z1434" i="2"/>
  <c r="E1435" i="5"/>
  <c r="T1435" i="2"/>
  <c r="E1436" i="5"/>
  <c r="T1436" i="2"/>
  <c r="D1438" i="5"/>
  <c r="Z1438" i="2"/>
  <c r="E1439" i="5"/>
  <c r="T1439" i="2"/>
  <c r="E1440" i="5"/>
  <c r="T1440" i="2"/>
  <c r="D1441" i="5"/>
  <c r="Z1441" i="2"/>
  <c r="Y1441" i="2"/>
  <c r="D1444" i="5"/>
  <c r="Z1444" i="2"/>
  <c r="E1445" i="5"/>
  <c r="T1445" i="2"/>
  <c r="E1446" i="5"/>
  <c r="T1446" i="2"/>
  <c r="A1448" i="5"/>
  <c r="P1448" i="2"/>
  <c r="D1448" i="5"/>
  <c r="Z1448" i="2"/>
  <c r="E1449" i="5"/>
  <c r="T1449" i="2"/>
  <c r="E1450" i="5"/>
  <c r="T1450" i="2"/>
  <c r="A1452" i="5"/>
  <c r="P1452" i="2"/>
  <c r="D1452" i="5"/>
  <c r="Z1452" i="2"/>
  <c r="E1453" i="5"/>
  <c r="T1453" i="2"/>
  <c r="E1454" i="5"/>
  <c r="T1454" i="2"/>
  <c r="A1456" i="5"/>
  <c r="P1456" i="2"/>
  <c r="D1456" i="5"/>
  <c r="Z1456" i="2"/>
  <c r="E1457" i="5"/>
  <c r="T1457" i="2"/>
  <c r="E1458" i="5"/>
  <c r="T1458" i="2"/>
  <c r="A1460" i="5"/>
  <c r="P1460" i="2"/>
  <c r="D1460" i="5"/>
  <c r="Z1460" i="2"/>
  <c r="E1461" i="5"/>
  <c r="T1461" i="2"/>
  <c r="E1462" i="5"/>
  <c r="T1462" i="2"/>
  <c r="A1464" i="5"/>
  <c r="P1464" i="2"/>
  <c r="D1464" i="5"/>
  <c r="Z1464" i="2"/>
  <c r="E1465" i="5"/>
  <c r="T1465" i="2"/>
  <c r="E1466" i="5"/>
  <c r="T1466" i="2"/>
  <c r="A1468" i="5"/>
  <c r="P1468" i="2"/>
  <c r="D1468" i="5"/>
  <c r="Z1468" i="2"/>
  <c r="E1469" i="5"/>
  <c r="T1469" i="2"/>
  <c r="E1470" i="5"/>
  <c r="T1470" i="2"/>
  <c r="A1472" i="5"/>
  <c r="P1472" i="2"/>
  <c r="D1472" i="5"/>
  <c r="Z1472" i="2"/>
  <c r="E1473" i="5"/>
  <c r="T1473" i="2"/>
  <c r="E1474" i="5"/>
  <c r="T1474" i="2"/>
  <c r="D1476" i="5"/>
  <c r="Z1476" i="2"/>
  <c r="D1479" i="5"/>
  <c r="Z1479" i="2"/>
  <c r="Y1479" i="2"/>
  <c r="P1481" i="2"/>
  <c r="D1483" i="5"/>
  <c r="Z1483" i="2"/>
  <c r="Y1483" i="2"/>
  <c r="P1485" i="2"/>
  <c r="E1487" i="5"/>
  <c r="T1487" i="2"/>
  <c r="E1488" i="5"/>
  <c r="T1488" i="2"/>
  <c r="D1489" i="5"/>
  <c r="Z1489" i="2"/>
  <c r="Y1489" i="2"/>
  <c r="P1491" i="2"/>
  <c r="D1493" i="5"/>
  <c r="Z1493" i="2"/>
  <c r="Y1493" i="2"/>
  <c r="P1495" i="2"/>
  <c r="D1497" i="5"/>
  <c r="Z1497" i="2"/>
  <c r="Y1497" i="2"/>
  <c r="P1499" i="2"/>
  <c r="E1501" i="5"/>
  <c r="T1501" i="2"/>
  <c r="E1502" i="5"/>
  <c r="T1502" i="2"/>
  <c r="D1504" i="5"/>
  <c r="Z1504" i="2"/>
  <c r="D1507" i="5"/>
  <c r="Z1507" i="2"/>
  <c r="Y1507" i="2"/>
  <c r="P1509" i="2"/>
  <c r="D1511" i="5"/>
  <c r="Z1511" i="2"/>
  <c r="Y1511" i="2"/>
  <c r="P1513" i="2"/>
  <c r="D1515" i="5"/>
  <c r="Z1515" i="2"/>
  <c r="Y1515" i="2"/>
  <c r="P1517" i="2"/>
  <c r="D1519" i="5"/>
  <c r="Z1519" i="2"/>
  <c r="Y1519" i="2"/>
  <c r="P1521" i="2"/>
  <c r="D1523" i="5"/>
  <c r="Z1523" i="2"/>
  <c r="Y1523" i="2"/>
  <c r="P1525" i="2"/>
  <c r="D1527" i="5"/>
  <c r="Z1527" i="2"/>
  <c r="Y1527" i="2"/>
  <c r="P1529" i="2"/>
  <c r="D1531" i="5"/>
  <c r="Z1531" i="2"/>
  <c r="Y1531" i="2"/>
  <c r="P1533" i="2"/>
  <c r="D1535" i="5"/>
  <c r="Z1535" i="2"/>
  <c r="Y1535" i="2"/>
  <c r="P1537" i="2"/>
  <c r="D1539" i="5"/>
  <c r="Z1539" i="2"/>
  <c r="Y1539" i="2"/>
  <c r="P1541" i="2"/>
  <c r="D1543" i="5"/>
  <c r="Z1543" i="2"/>
  <c r="Y1543" i="2"/>
  <c r="D1546" i="5"/>
  <c r="Z1546" i="2"/>
  <c r="E1547" i="5"/>
  <c r="T1547" i="2"/>
  <c r="E1548" i="5"/>
  <c r="T1548" i="2"/>
  <c r="A1550" i="5"/>
  <c r="P1550" i="2"/>
  <c r="D1550" i="5"/>
  <c r="Z1550" i="2"/>
  <c r="E1551" i="5"/>
  <c r="T1551" i="2"/>
  <c r="E1552" i="5"/>
  <c r="T1552" i="2"/>
  <c r="A1554" i="5"/>
  <c r="P1554" i="2"/>
  <c r="D1554" i="5"/>
  <c r="Z1554" i="2"/>
  <c r="E1555" i="5"/>
  <c r="T1555" i="2"/>
  <c r="E1556" i="5"/>
  <c r="T1556" i="2"/>
  <c r="A1558" i="5"/>
  <c r="P1558" i="2"/>
  <c r="D1558" i="5"/>
  <c r="Z1558" i="2"/>
  <c r="E1559" i="5"/>
  <c r="T1559" i="2"/>
  <c r="E1560" i="5"/>
  <c r="T1560" i="2"/>
  <c r="A1562" i="5"/>
  <c r="P1562" i="2"/>
  <c r="D1562" i="5"/>
  <c r="Z1562" i="2"/>
  <c r="E1563" i="5"/>
  <c r="T1563" i="2"/>
  <c r="E1564" i="5"/>
  <c r="T1564" i="2"/>
  <c r="A1566" i="5"/>
  <c r="P1566" i="2"/>
  <c r="D1566" i="5"/>
  <c r="Z1566" i="2"/>
  <c r="E1567" i="5"/>
  <c r="T1567" i="2"/>
  <c r="E1568" i="5"/>
  <c r="T1568" i="2"/>
  <c r="A1570" i="5"/>
  <c r="P1570" i="2"/>
  <c r="D1570" i="5"/>
  <c r="Z1570" i="2"/>
  <c r="E1571" i="5"/>
  <c r="T1571" i="2"/>
  <c r="E1572" i="5"/>
  <c r="T1572" i="2"/>
  <c r="A1574" i="5"/>
  <c r="P1574" i="2"/>
  <c r="D1574" i="5"/>
  <c r="Z1574" i="2"/>
  <c r="E1575" i="5"/>
  <c r="T1575" i="2"/>
  <c r="E1576" i="5"/>
  <c r="T1576" i="2"/>
  <c r="A1578" i="5"/>
  <c r="P1578" i="2"/>
  <c r="D1578" i="5"/>
  <c r="Z1578" i="2"/>
  <c r="E1579" i="5"/>
  <c r="T1579" i="2"/>
  <c r="A1580" i="5"/>
  <c r="P1580" i="2"/>
  <c r="D1580" i="5"/>
  <c r="Z1580" i="2"/>
  <c r="Y1580" i="2"/>
  <c r="E1581" i="5"/>
  <c r="T1581" i="2"/>
  <c r="E1582" i="5"/>
  <c r="T1582" i="2"/>
  <c r="A1584" i="5"/>
  <c r="P1584" i="2"/>
  <c r="D1584" i="5"/>
  <c r="Z1584" i="2"/>
  <c r="Y1584" i="2"/>
  <c r="E1585" i="5"/>
  <c r="T1585" i="2"/>
  <c r="E1586" i="5"/>
  <c r="T1586" i="2"/>
  <c r="D1588" i="5"/>
  <c r="Z1588" i="2"/>
  <c r="Y1588" i="2"/>
  <c r="E1589" i="5"/>
  <c r="T1589" i="2"/>
  <c r="E1590" i="5"/>
  <c r="T1590" i="2"/>
  <c r="A1592" i="5"/>
  <c r="P1592" i="2"/>
  <c r="D1592" i="5"/>
  <c r="Z1592" i="2"/>
  <c r="Y1592" i="2"/>
  <c r="E1593" i="5"/>
  <c r="T1593" i="2"/>
  <c r="E1594" i="5"/>
  <c r="T1594" i="2"/>
  <c r="A1596" i="5"/>
  <c r="P1596" i="2"/>
  <c r="D1596" i="5"/>
  <c r="Z1596" i="2"/>
  <c r="Y1596" i="2"/>
  <c r="E1597" i="5"/>
  <c r="T1597" i="2"/>
  <c r="E1598" i="5"/>
  <c r="T1598" i="2"/>
  <c r="A1600" i="5"/>
  <c r="P1600" i="2"/>
  <c r="D1600" i="5"/>
  <c r="Z1600" i="2"/>
  <c r="Y1600" i="2"/>
  <c r="E1601" i="5"/>
  <c r="T1601" i="2"/>
  <c r="E1602" i="5"/>
  <c r="T1602" i="2"/>
  <c r="A1604" i="5"/>
  <c r="P1604" i="2"/>
  <c r="D1604" i="5"/>
  <c r="Z1604" i="2"/>
  <c r="Y1604" i="2"/>
  <c r="E1605" i="5"/>
  <c r="T1605" i="2"/>
  <c r="E1606" i="5"/>
  <c r="T1606" i="2"/>
  <c r="A1608" i="5"/>
  <c r="P1608" i="2"/>
  <c r="D1608" i="5"/>
  <c r="Z1608" i="2"/>
  <c r="Y1608" i="2"/>
  <c r="E1609" i="5"/>
  <c r="T1609" i="2"/>
  <c r="E1610" i="5"/>
  <c r="T1610" i="2"/>
  <c r="A1612" i="5"/>
  <c r="P1612" i="2"/>
  <c r="D1612" i="5"/>
  <c r="Z1612" i="2"/>
  <c r="Y1612" i="2"/>
  <c r="E1613" i="5"/>
  <c r="T1613" i="2"/>
  <c r="E1614" i="5"/>
  <c r="T1614" i="2"/>
  <c r="A1616" i="5"/>
  <c r="P1616" i="2"/>
  <c r="D1616" i="5"/>
  <c r="Z1616" i="2"/>
  <c r="Y1616" i="2"/>
  <c r="E1617" i="5"/>
  <c r="T1617" i="2"/>
  <c r="E1618" i="5"/>
  <c r="T1618" i="2"/>
  <c r="A1620" i="5"/>
  <c r="P1620" i="2"/>
  <c r="D1620" i="5"/>
  <c r="Z1620" i="2"/>
  <c r="Y1620" i="2"/>
  <c r="E1621" i="5"/>
  <c r="T1621" i="2"/>
  <c r="E1622" i="5"/>
  <c r="T1622" i="2"/>
  <c r="A1624" i="5"/>
  <c r="P1624" i="2"/>
  <c r="D1624" i="5"/>
  <c r="Z1624" i="2"/>
  <c r="Y1624" i="2"/>
  <c r="E1625" i="5"/>
  <c r="T1625" i="2"/>
  <c r="E1626" i="5"/>
  <c r="T1626" i="2"/>
  <c r="A1628" i="5"/>
  <c r="P1628" i="2"/>
  <c r="D1628" i="5"/>
  <c r="Z1628" i="2"/>
  <c r="Y1628" i="2"/>
  <c r="E1629" i="5"/>
  <c r="T1629" i="2"/>
  <c r="E1630" i="5"/>
  <c r="T1630" i="2"/>
  <c r="A1632" i="5"/>
  <c r="P1632" i="2"/>
  <c r="D1632" i="5"/>
  <c r="Z1632" i="2"/>
  <c r="Y1632" i="2"/>
  <c r="E1633" i="5"/>
  <c r="T1633" i="2"/>
  <c r="E1634" i="5"/>
  <c r="T1634" i="2"/>
  <c r="A1636" i="5"/>
  <c r="P1636" i="2"/>
  <c r="D1636" i="5"/>
  <c r="Z1636" i="2"/>
  <c r="Y1636" i="2"/>
  <c r="E1637" i="5"/>
  <c r="T1637" i="2"/>
  <c r="E1638" i="5"/>
  <c r="T1638" i="2"/>
  <c r="A1640" i="5"/>
  <c r="P1640" i="2"/>
  <c r="D1640" i="5"/>
  <c r="Z1640" i="2"/>
  <c r="Y1640" i="2"/>
  <c r="E1641" i="5"/>
  <c r="T1641" i="2"/>
  <c r="E1642" i="5"/>
  <c r="T1642" i="2"/>
  <c r="A1644" i="5"/>
  <c r="P1644" i="2"/>
  <c r="D1644" i="5"/>
  <c r="Z1644" i="2"/>
  <c r="Y1644" i="2"/>
  <c r="E1645" i="5"/>
  <c r="T1645" i="2"/>
  <c r="E1646" i="5"/>
  <c r="T1646" i="2"/>
  <c r="A1648" i="5"/>
  <c r="P1648" i="2"/>
  <c r="D1648" i="5"/>
  <c r="Z1648" i="2"/>
  <c r="Y1648" i="2"/>
  <c r="E1649" i="5"/>
  <c r="T1649" i="2"/>
  <c r="E1650" i="5"/>
  <c r="T1650" i="2"/>
  <c r="A1652" i="5"/>
  <c r="P1652" i="2"/>
  <c r="D1652" i="5"/>
  <c r="Z1652" i="2"/>
  <c r="Y1652" i="2"/>
  <c r="E1653" i="5"/>
  <c r="T1653" i="2"/>
  <c r="E1654" i="5"/>
  <c r="T1654" i="2"/>
  <c r="A1656" i="5"/>
  <c r="P1656" i="2"/>
  <c r="D1656" i="5"/>
  <c r="Z1656" i="2"/>
  <c r="Y1656" i="2"/>
  <c r="E1657" i="5"/>
  <c r="T1657" i="2"/>
  <c r="E1658" i="5"/>
  <c r="T1658" i="2"/>
  <c r="A1660" i="5"/>
  <c r="P1660" i="2"/>
  <c r="D1660" i="5"/>
  <c r="Z1660" i="2"/>
  <c r="Y1660" i="2"/>
  <c r="E1661" i="5"/>
  <c r="T1661" i="2"/>
  <c r="E1662" i="5"/>
  <c r="T1662" i="2"/>
  <c r="A1664" i="5"/>
  <c r="P1664" i="2"/>
  <c r="D1664" i="5"/>
  <c r="Z1664" i="2"/>
  <c r="Y1664" i="2"/>
  <c r="E1665" i="5"/>
  <c r="T1665" i="2"/>
  <c r="E1666" i="5"/>
  <c r="T1666" i="2"/>
  <c r="E1667" i="5"/>
  <c r="T1667" i="2"/>
  <c r="E1668" i="5"/>
  <c r="T1668" i="2"/>
  <c r="D1669" i="5"/>
  <c r="Z1669" i="2"/>
  <c r="Y1669" i="2"/>
  <c r="D1676" i="5"/>
  <c r="Z1676" i="2"/>
  <c r="Y1676" i="2"/>
  <c r="D1678" i="5"/>
  <c r="Z1678" i="2"/>
  <c r="Y1678" i="2"/>
  <c r="D1685" i="5"/>
  <c r="Z1685" i="2"/>
  <c r="Y1685" i="2"/>
  <c r="D1692" i="5"/>
  <c r="Z1692" i="2"/>
  <c r="Y1692" i="2"/>
  <c r="D1694" i="5"/>
  <c r="Z1694" i="2"/>
  <c r="Y1694" i="2"/>
  <c r="D1701" i="5"/>
  <c r="Z1701" i="2"/>
  <c r="Y1701" i="2"/>
  <c r="D1708" i="5"/>
  <c r="Z1708" i="2"/>
  <c r="Y1708" i="2"/>
  <c r="D1710" i="5"/>
  <c r="Z1710" i="2"/>
  <c r="Y1710" i="2"/>
  <c r="D1717" i="5"/>
  <c r="Z1717" i="2"/>
  <c r="Y1717" i="2"/>
  <c r="D1724" i="5"/>
  <c r="Z1724" i="2"/>
  <c r="Y1724" i="2"/>
  <c r="D1726" i="5"/>
  <c r="Z1726" i="2"/>
  <c r="Y1726" i="2"/>
  <c r="D1733" i="5"/>
  <c r="Z1733" i="2"/>
  <c r="Y1733" i="2"/>
  <c r="D1740" i="5"/>
  <c r="Z1740" i="2"/>
  <c r="Y1740" i="2"/>
  <c r="D1742" i="5"/>
  <c r="Z1742" i="2"/>
  <c r="Y1742" i="2"/>
  <c r="D1749" i="5"/>
  <c r="Z1749" i="2"/>
  <c r="Y1749" i="2"/>
  <c r="D1756" i="5"/>
  <c r="Z1756" i="2"/>
  <c r="Y1756" i="2"/>
  <c r="Y1581" i="2"/>
  <c r="Y1583" i="2"/>
  <c r="Y1585" i="2"/>
  <c r="Y1587" i="2"/>
  <c r="Y1589" i="2"/>
  <c r="Y1591" i="2"/>
  <c r="Y1593" i="2"/>
  <c r="Y1595" i="2"/>
  <c r="Y1597" i="2"/>
  <c r="Y1599" i="2"/>
  <c r="Y1601" i="2"/>
  <c r="Y1603" i="2"/>
  <c r="Y1605" i="2"/>
  <c r="Y1607" i="2"/>
  <c r="Y1609" i="2"/>
  <c r="Y1611" i="2"/>
  <c r="Y1613" i="2"/>
  <c r="Y1615" i="2"/>
  <c r="Y1617" i="2"/>
  <c r="Y1619" i="2"/>
  <c r="Y1621" i="2"/>
  <c r="Y1623" i="2"/>
  <c r="Y1625" i="2"/>
  <c r="Y1627" i="2"/>
  <c r="Y1629" i="2"/>
  <c r="Y1631" i="2"/>
  <c r="Y1633" i="2"/>
  <c r="Y1635" i="2"/>
  <c r="Y1637" i="2"/>
  <c r="Y1639" i="2"/>
  <c r="Y1641" i="2"/>
  <c r="Y1643" i="2"/>
  <c r="Y1645" i="2"/>
  <c r="Y1647" i="2"/>
  <c r="Y1649" i="2"/>
  <c r="Y1651" i="2"/>
  <c r="Y1653" i="2"/>
  <c r="Y1655" i="2"/>
  <c r="Y1657" i="2"/>
  <c r="Y1659" i="2"/>
  <c r="Y1661" i="2"/>
  <c r="Y1663" i="2"/>
  <c r="Y1665" i="2"/>
  <c r="E1671" i="5"/>
  <c r="T1671" i="2"/>
  <c r="P1672" i="2"/>
  <c r="E1675" i="5"/>
  <c r="T1675" i="2"/>
  <c r="P1676" i="2"/>
  <c r="E1679" i="5"/>
  <c r="T1679" i="2"/>
  <c r="P1680" i="2"/>
  <c r="E1683" i="5"/>
  <c r="T1683" i="2"/>
  <c r="P1684" i="2"/>
  <c r="E1687" i="5"/>
  <c r="T1687" i="2"/>
  <c r="P1688" i="2"/>
  <c r="E1691" i="5"/>
  <c r="T1691" i="2"/>
  <c r="P1692" i="2"/>
  <c r="E1695" i="5"/>
  <c r="T1695" i="2"/>
  <c r="P1696" i="2"/>
  <c r="E1699" i="5"/>
  <c r="T1699" i="2"/>
  <c r="P1700" i="2"/>
  <c r="E1703" i="5"/>
  <c r="T1703" i="2"/>
  <c r="P1704" i="2"/>
  <c r="E1707" i="5"/>
  <c r="T1707" i="2"/>
  <c r="P1708" i="2"/>
  <c r="E1711" i="5"/>
  <c r="T1711" i="2"/>
  <c r="P1712" i="2"/>
  <c r="E1715" i="5"/>
  <c r="T1715" i="2"/>
  <c r="P1716" i="2"/>
  <c r="E1719" i="5"/>
  <c r="T1719" i="2"/>
  <c r="P1720" i="2"/>
  <c r="E1723" i="5"/>
  <c r="T1723" i="2"/>
  <c r="P1724" i="2"/>
  <c r="E1727" i="5"/>
  <c r="T1727" i="2"/>
  <c r="P1728" i="2"/>
  <c r="E1731" i="5"/>
  <c r="T1731" i="2"/>
  <c r="P1732" i="2"/>
  <c r="E1735" i="5"/>
  <c r="T1735" i="2"/>
  <c r="P1736" i="2"/>
  <c r="E1739" i="5"/>
  <c r="T1739" i="2"/>
  <c r="P1740" i="2"/>
  <c r="E1743" i="5"/>
  <c r="T1743" i="2"/>
  <c r="P1744" i="2"/>
  <c r="E1747" i="5"/>
  <c r="T1747" i="2"/>
  <c r="P1748" i="2"/>
  <c r="E1751" i="5"/>
  <c r="T1751" i="2"/>
  <c r="P1752" i="2"/>
  <c r="E1755" i="5"/>
  <c r="T1755" i="2"/>
  <c r="P1756" i="2"/>
  <c r="D1757" i="5"/>
  <c r="Y1757" i="2"/>
  <c r="Z1757" i="2"/>
  <c r="P1757" i="2"/>
  <c r="D1758" i="5"/>
  <c r="Z1758" i="2"/>
  <c r="D1759" i="5"/>
  <c r="Y1759" i="2"/>
  <c r="AA1759" i="2" s="1"/>
  <c r="D1760" i="5"/>
  <c r="Y1760" i="2"/>
  <c r="Z1760" i="2"/>
  <c r="D1761" i="5"/>
  <c r="Y1761" i="2"/>
  <c r="Z1761" i="2"/>
  <c r="P1761" i="2"/>
  <c r="D1762" i="5"/>
  <c r="Z1762" i="2"/>
  <c r="D1763" i="5"/>
  <c r="Y1763" i="2"/>
  <c r="D1764" i="5"/>
  <c r="Y1764" i="2"/>
  <c r="Z1764" i="2"/>
  <c r="D1765" i="5"/>
  <c r="Y1765" i="2"/>
  <c r="Z1765" i="2"/>
  <c r="P1765" i="2"/>
  <c r="D1766" i="5"/>
  <c r="Z1766" i="2"/>
  <c r="D1767" i="5"/>
  <c r="Y1767" i="2"/>
  <c r="D1768" i="5"/>
  <c r="Y1768" i="2"/>
  <c r="Z1768" i="2"/>
  <c r="D1769" i="5"/>
  <c r="Y1769" i="2"/>
  <c r="Z1769" i="2"/>
  <c r="P1769" i="2"/>
  <c r="D1770" i="5"/>
  <c r="Z1770" i="2"/>
  <c r="D1771" i="5"/>
  <c r="Y1771" i="2"/>
  <c r="D1772" i="5"/>
  <c r="Y1772" i="2"/>
  <c r="Z1772" i="2"/>
  <c r="D1773" i="5"/>
  <c r="Y1773" i="2"/>
  <c r="Z1773" i="2"/>
  <c r="P1773" i="2"/>
  <c r="D1774" i="5"/>
  <c r="Z1774" i="2"/>
  <c r="D1775" i="5"/>
  <c r="Y1775" i="2"/>
  <c r="D1776" i="5"/>
  <c r="Y1776" i="2"/>
  <c r="Z1776" i="2"/>
  <c r="D1777" i="5"/>
  <c r="Y1777" i="2"/>
  <c r="Z1777" i="2"/>
  <c r="P1777" i="2"/>
  <c r="D1778" i="5"/>
  <c r="Z1778" i="2"/>
  <c r="D1779" i="5"/>
  <c r="Y1779" i="2"/>
  <c r="D1780" i="5"/>
  <c r="Y1780" i="2"/>
  <c r="Z1780" i="2"/>
  <c r="D1781" i="5"/>
  <c r="Y1781" i="2"/>
  <c r="Z1781" i="2"/>
  <c r="P1781" i="2"/>
  <c r="D1782" i="5"/>
  <c r="Z1782" i="2"/>
  <c r="D1783" i="5"/>
  <c r="Y1783" i="2"/>
  <c r="D1784" i="5"/>
  <c r="Y1784" i="2"/>
  <c r="Z1784" i="2"/>
  <c r="D1785" i="5"/>
  <c r="Y1785" i="2"/>
  <c r="Z1785" i="2"/>
  <c r="P1785" i="2"/>
  <c r="D1786" i="5"/>
  <c r="Z1786" i="2"/>
  <c r="D1787" i="5"/>
  <c r="Y1787" i="2"/>
  <c r="D1788" i="5"/>
  <c r="Y1788" i="2"/>
  <c r="Z1788" i="2"/>
  <c r="D1789" i="5"/>
  <c r="Y1789" i="2"/>
  <c r="Z1789" i="2"/>
  <c r="P1789" i="2"/>
  <c r="D1790" i="5"/>
  <c r="Z1790" i="2"/>
  <c r="D1791" i="5"/>
  <c r="Y1791" i="2"/>
  <c r="D1792" i="5"/>
  <c r="Y1792" i="2"/>
  <c r="Z1792" i="2"/>
  <c r="D1793" i="5"/>
  <c r="Y1793" i="2"/>
  <c r="Z1793" i="2"/>
  <c r="P1793" i="2"/>
  <c r="D1794" i="5"/>
  <c r="Z1794" i="2"/>
  <c r="D1795" i="5"/>
  <c r="Y1795" i="2"/>
  <c r="D1796" i="5"/>
  <c r="Y1796" i="2"/>
  <c r="Z1796" i="2"/>
  <c r="D1797" i="5"/>
  <c r="Y1797" i="2"/>
  <c r="Z1797" i="2"/>
  <c r="P1797" i="2"/>
  <c r="D1798" i="5"/>
  <c r="Z1798" i="2"/>
  <c r="D1799" i="5"/>
  <c r="Y1799" i="2"/>
  <c r="D1800" i="5"/>
  <c r="Y1800" i="2"/>
  <c r="Z1800" i="2"/>
  <c r="D1801" i="5"/>
  <c r="Y1801" i="2"/>
  <c r="Z1801" i="2"/>
  <c r="P1801" i="2"/>
  <c r="D1802" i="5"/>
  <c r="Z1802" i="2"/>
  <c r="D1803" i="5"/>
  <c r="Y1803" i="2"/>
  <c r="D1804" i="5"/>
  <c r="Y1804" i="2"/>
  <c r="Z1804" i="2"/>
  <c r="D1805" i="5"/>
  <c r="Y1805" i="2"/>
  <c r="Z1805" i="2"/>
  <c r="P1805" i="2"/>
  <c r="D1806" i="5"/>
  <c r="Z1806" i="2"/>
  <c r="D1807" i="5"/>
  <c r="Y1807" i="2"/>
  <c r="D1808" i="5"/>
  <c r="Y1808" i="2"/>
  <c r="Z1808" i="2"/>
  <c r="D1809" i="5"/>
  <c r="Y1809" i="2"/>
  <c r="Z1809" i="2"/>
  <c r="P1809" i="2"/>
  <c r="D1810" i="5"/>
  <c r="Z1810" i="2"/>
  <c r="D1811" i="5"/>
  <c r="Y1811" i="2"/>
  <c r="D1812" i="5"/>
  <c r="Y1812" i="2"/>
  <c r="Z1812" i="2"/>
  <c r="D1813" i="5"/>
  <c r="Y1813" i="2"/>
  <c r="Z1813" i="2"/>
  <c r="P1813" i="2"/>
  <c r="D1814" i="5"/>
  <c r="Z1814" i="2"/>
  <c r="D1815" i="5"/>
  <c r="Y1815" i="2"/>
  <c r="D1816" i="5"/>
  <c r="Y1816" i="2"/>
  <c r="Z1816" i="2"/>
  <c r="D1817" i="5"/>
  <c r="Y1817" i="2"/>
  <c r="Z1817" i="2"/>
  <c r="P1817" i="2"/>
  <c r="D1818" i="5"/>
  <c r="Z1818" i="2"/>
  <c r="D1819" i="5"/>
  <c r="Y1819" i="2"/>
  <c r="D1820" i="5"/>
  <c r="Y1820" i="2"/>
  <c r="Z1820" i="2"/>
  <c r="D1821" i="5"/>
  <c r="Y1821" i="2"/>
  <c r="Z1821" i="2"/>
  <c r="P1821" i="2"/>
  <c r="D1822" i="5"/>
  <c r="Z1822" i="2"/>
  <c r="D1823" i="5"/>
  <c r="Y1823" i="2"/>
  <c r="D1824" i="5"/>
  <c r="Y1824" i="2"/>
  <c r="Z1824" i="2"/>
  <c r="D1825" i="5"/>
  <c r="Y1825" i="2"/>
  <c r="Z1825" i="2"/>
  <c r="P1825" i="2"/>
  <c r="D1826" i="5"/>
  <c r="Z1826" i="2"/>
  <c r="D1827" i="5"/>
  <c r="Y1827" i="2"/>
  <c r="D1828" i="5"/>
  <c r="Y1828" i="2"/>
  <c r="Z1828" i="2"/>
  <c r="D1829" i="5"/>
  <c r="Y1829" i="2"/>
  <c r="Z1829" i="2"/>
  <c r="P1829" i="2"/>
  <c r="D1830" i="5"/>
  <c r="Z1830" i="2"/>
  <c r="D1831" i="5"/>
  <c r="Y1831" i="2"/>
  <c r="D1832" i="5"/>
  <c r="Y1832" i="2"/>
  <c r="Z1832" i="2"/>
  <c r="D1833" i="5"/>
  <c r="Y1833" i="2"/>
  <c r="Z1833" i="2"/>
  <c r="P1833" i="2"/>
  <c r="D1834" i="5"/>
  <c r="Z1834" i="2"/>
  <c r="D1835" i="5"/>
  <c r="Y1835" i="2"/>
  <c r="D1836" i="5"/>
  <c r="Y1836" i="2"/>
  <c r="Z1836" i="2"/>
  <c r="D1837" i="5"/>
  <c r="Y1837" i="2"/>
  <c r="Z1837" i="2"/>
  <c r="D1838" i="5"/>
  <c r="Z1838" i="2"/>
  <c r="D1839" i="5"/>
  <c r="Y1839" i="2"/>
  <c r="D1840" i="5"/>
  <c r="Y1840" i="2"/>
  <c r="Z1840" i="2"/>
  <c r="D1841" i="5"/>
  <c r="Y1841" i="2"/>
  <c r="Z1841" i="2"/>
  <c r="D1842" i="5"/>
  <c r="Z1842" i="2"/>
  <c r="D1843" i="5"/>
  <c r="Y1843" i="2"/>
  <c r="D1844" i="5"/>
  <c r="Y1844" i="2"/>
  <c r="Z1844" i="2"/>
  <c r="D1845" i="5"/>
  <c r="Y1845" i="2"/>
  <c r="Z1845" i="2"/>
  <c r="D1846" i="5"/>
  <c r="Z1846" i="2"/>
  <c r="A1850" i="5"/>
  <c r="P1850" i="2"/>
  <c r="D1850" i="5"/>
  <c r="Z1850" i="2"/>
  <c r="E1852" i="5"/>
  <c r="T1852" i="2"/>
  <c r="E1853" i="5"/>
  <c r="T1853" i="2"/>
  <c r="A1854" i="5"/>
  <c r="P1854" i="2"/>
  <c r="D1854" i="5"/>
  <c r="Z1854" i="2"/>
  <c r="E1856" i="5"/>
  <c r="T1856" i="2"/>
  <c r="E1857" i="5"/>
  <c r="T1857" i="2"/>
  <c r="A1858" i="5"/>
  <c r="P1858" i="2"/>
  <c r="D1858" i="5"/>
  <c r="Z1858" i="2"/>
  <c r="E1860" i="5"/>
  <c r="T1860" i="2"/>
  <c r="E1864" i="5"/>
  <c r="T1864" i="2"/>
  <c r="E1868" i="5"/>
  <c r="T1868" i="2"/>
  <c r="E1872" i="5"/>
  <c r="T1872" i="2"/>
  <c r="E1876" i="5"/>
  <c r="T1876" i="2"/>
  <c r="E1880" i="5"/>
  <c r="T1880" i="2"/>
  <c r="E1884" i="5"/>
  <c r="T1884" i="2"/>
  <c r="E1888" i="5"/>
  <c r="T1888" i="2"/>
  <c r="E1892" i="5"/>
  <c r="T1892" i="2"/>
  <c r="E1896" i="5"/>
  <c r="T1896" i="2"/>
  <c r="E1900" i="5"/>
  <c r="T1900" i="2"/>
  <c r="E1904" i="5"/>
  <c r="T1904" i="2"/>
  <c r="E1908" i="5"/>
  <c r="T1908" i="2"/>
  <c r="E1912" i="5"/>
  <c r="T1912" i="2"/>
  <c r="E1916" i="5"/>
  <c r="T1916" i="2"/>
  <c r="E1920" i="5"/>
  <c r="T1920" i="2"/>
  <c r="E1924" i="5"/>
  <c r="T1924" i="2"/>
  <c r="E1928" i="5"/>
  <c r="T1928" i="2"/>
  <c r="E1932" i="5"/>
  <c r="T1932" i="2"/>
  <c r="E1936" i="5"/>
  <c r="T1936" i="2"/>
  <c r="E1940" i="5"/>
  <c r="T1940" i="2"/>
  <c r="E1944" i="5"/>
  <c r="T1944" i="2"/>
  <c r="E1948" i="5"/>
  <c r="T1948" i="2"/>
  <c r="E1952" i="5"/>
  <c r="T1952" i="2"/>
  <c r="Z1581" i="2"/>
  <c r="Z1583" i="2"/>
  <c r="Z1585" i="2"/>
  <c r="Z1587" i="2"/>
  <c r="Z1589" i="2"/>
  <c r="Z1591" i="2"/>
  <c r="Z1593" i="2"/>
  <c r="Z1595" i="2"/>
  <c r="Z1597" i="2"/>
  <c r="Z1599" i="2"/>
  <c r="Z1601" i="2"/>
  <c r="Z1603" i="2"/>
  <c r="Z1605" i="2"/>
  <c r="Z1607" i="2"/>
  <c r="Z1609" i="2"/>
  <c r="Z1611" i="2"/>
  <c r="Z1613" i="2"/>
  <c r="Z1615" i="2"/>
  <c r="Z1617" i="2"/>
  <c r="Z1619" i="2"/>
  <c r="Z1621" i="2"/>
  <c r="Z1623" i="2"/>
  <c r="Z1625" i="2"/>
  <c r="Z1627" i="2"/>
  <c r="Z1629" i="2"/>
  <c r="Z1631" i="2"/>
  <c r="Z1633" i="2"/>
  <c r="Z1635" i="2"/>
  <c r="Z1637" i="2"/>
  <c r="Z1639" i="2"/>
  <c r="Z1641" i="2"/>
  <c r="Z1643" i="2"/>
  <c r="Z1645" i="2"/>
  <c r="Z1647" i="2"/>
  <c r="Z1649" i="2"/>
  <c r="Z1651" i="2"/>
  <c r="Z1653" i="2"/>
  <c r="Z1655" i="2"/>
  <c r="Z1657" i="2"/>
  <c r="Z1659" i="2"/>
  <c r="Z1661" i="2"/>
  <c r="Z1663" i="2"/>
  <c r="Z1665" i="2"/>
  <c r="E1670" i="5"/>
  <c r="T1670" i="2"/>
  <c r="P1671" i="2"/>
  <c r="E1674" i="5"/>
  <c r="T1674" i="2"/>
  <c r="P1675" i="2"/>
  <c r="E1678" i="5"/>
  <c r="T1678" i="2"/>
  <c r="P1679" i="2"/>
  <c r="E1682" i="5"/>
  <c r="T1682" i="2"/>
  <c r="P1683" i="2"/>
  <c r="E1686" i="5"/>
  <c r="T1686" i="2"/>
  <c r="P1687" i="2"/>
  <c r="E1690" i="5"/>
  <c r="T1690" i="2"/>
  <c r="P1691" i="2"/>
  <c r="E1694" i="5"/>
  <c r="T1694" i="2"/>
  <c r="P1695" i="2"/>
  <c r="E1698" i="5"/>
  <c r="T1698" i="2"/>
  <c r="P1699" i="2"/>
  <c r="E1702" i="5"/>
  <c r="T1702" i="2"/>
  <c r="P1703" i="2"/>
  <c r="E1706" i="5"/>
  <c r="T1706" i="2"/>
  <c r="P1707" i="2"/>
  <c r="E1710" i="5"/>
  <c r="T1710" i="2"/>
  <c r="P1711" i="2"/>
  <c r="E1714" i="5"/>
  <c r="T1714" i="2"/>
  <c r="P1715" i="2"/>
  <c r="E1718" i="5"/>
  <c r="T1718" i="2"/>
  <c r="P1719" i="2"/>
  <c r="E1722" i="5"/>
  <c r="T1722" i="2"/>
  <c r="P1723" i="2"/>
  <c r="E1726" i="5"/>
  <c r="T1726" i="2"/>
  <c r="P1727" i="2"/>
  <c r="E1730" i="5"/>
  <c r="T1730" i="2"/>
  <c r="P1731" i="2"/>
  <c r="E1734" i="5"/>
  <c r="T1734" i="2"/>
  <c r="P1735" i="2"/>
  <c r="E1738" i="5"/>
  <c r="T1738" i="2"/>
  <c r="P1739" i="2"/>
  <c r="E1742" i="5"/>
  <c r="T1742" i="2"/>
  <c r="P1743" i="2"/>
  <c r="E1746" i="5"/>
  <c r="T1746" i="2"/>
  <c r="P1747" i="2"/>
  <c r="E1750" i="5"/>
  <c r="T1750" i="2"/>
  <c r="P1751" i="2"/>
  <c r="E1754" i="5"/>
  <c r="T1754" i="2"/>
  <c r="P1755" i="2"/>
  <c r="T1758" i="2"/>
  <c r="T1762" i="2"/>
  <c r="T1766" i="2"/>
  <c r="T1770" i="2"/>
  <c r="T1774" i="2"/>
  <c r="T1778" i="2"/>
  <c r="T1782" i="2"/>
  <c r="T1786" i="2"/>
  <c r="T1790" i="2"/>
  <c r="T1794" i="2"/>
  <c r="T1798" i="2"/>
  <c r="T1802" i="2"/>
  <c r="T1806" i="2"/>
  <c r="T1810" i="2"/>
  <c r="T1814" i="2"/>
  <c r="T1818" i="2"/>
  <c r="T1822" i="2"/>
  <c r="T1826" i="2"/>
  <c r="T1830" i="2"/>
  <c r="T1834" i="2"/>
  <c r="T1838" i="2"/>
  <c r="T1842" i="2"/>
  <c r="T1846" i="2"/>
  <c r="E1847" i="5"/>
  <c r="T1847" i="2"/>
  <c r="E1848" i="5"/>
  <c r="T1848" i="2"/>
  <c r="D1849" i="5"/>
  <c r="Z1849" i="2"/>
  <c r="Y1849" i="2"/>
  <c r="Y1850" i="2"/>
  <c r="Y1854" i="2"/>
  <c r="Y1858" i="2"/>
  <c r="E1863" i="5"/>
  <c r="T1863" i="2"/>
  <c r="E1867" i="5"/>
  <c r="T1867" i="2"/>
  <c r="E1871" i="5"/>
  <c r="T1871" i="2"/>
  <c r="E1875" i="5"/>
  <c r="T1875" i="2"/>
  <c r="E1879" i="5"/>
  <c r="T1879" i="2"/>
  <c r="E1883" i="5"/>
  <c r="T1883" i="2"/>
  <c r="E1887" i="5"/>
  <c r="T1887" i="2"/>
  <c r="E1891" i="5"/>
  <c r="T1891" i="2"/>
  <c r="E1895" i="5"/>
  <c r="T1895" i="2"/>
  <c r="E1899" i="5"/>
  <c r="T1899" i="2"/>
  <c r="E1903" i="5"/>
  <c r="T1903" i="2"/>
  <c r="E1907" i="5"/>
  <c r="T1907" i="2"/>
  <c r="E1911" i="5"/>
  <c r="T1911" i="2"/>
  <c r="E1915" i="5"/>
  <c r="T1915" i="2"/>
  <c r="E1919" i="5"/>
  <c r="T1919" i="2"/>
  <c r="E1923" i="5"/>
  <c r="T1923" i="2"/>
  <c r="E1927" i="5"/>
  <c r="T1927" i="2"/>
  <c r="E1931" i="5"/>
  <c r="T1931" i="2"/>
  <c r="E1935" i="5"/>
  <c r="T1935" i="2"/>
  <c r="E1939" i="5"/>
  <c r="T1939" i="2"/>
  <c r="E1943" i="5"/>
  <c r="T1943" i="2"/>
  <c r="E1947" i="5"/>
  <c r="T1947" i="2"/>
  <c r="E1951" i="5"/>
  <c r="T1951" i="2"/>
  <c r="E1669" i="5"/>
  <c r="T1669" i="2"/>
  <c r="D1671" i="5"/>
  <c r="Z1671" i="2"/>
  <c r="Y1671" i="2"/>
  <c r="E1673" i="5"/>
  <c r="T1673" i="2"/>
  <c r="D1675" i="5"/>
  <c r="Z1675" i="2"/>
  <c r="Y1675" i="2"/>
  <c r="E1677" i="5"/>
  <c r="T1677" i="2"/>
  <c r="D1679" i="5"/>
  <c r="Z1679" i="2"/>
  <c r="Y1679" i="2"/>
  <c r="E1681" i="5"/>
  <c r="T1681" i="2"/>
  <c r="D1683" i="5"/>
  <c r="Z1683" i="2"/>
  <c r="Y1683" i="2"/>
  <c r="E1685" i="5"/>
  <c r="T1685" i="2"/>
  <c r="D1687" i="5"/>
  <c r="Z1687" i="2"/>
  <c r="Y1687" i="2"/>
  <c r="E1689" i="5"/>
  <c r="T1689" i="2"/>
  <c r="D1691" i="5"/>
  <c r="Z1691" i="2"/>
  <c r="Y1691" i="2"/>
  <c r="E1693" i="5"/>
  <c r="T1693" i="2"/>
  <c r="D1695" i="5"/>
  <c r="Z1695" i="2"/>
  <c r="Y1695" i="2"/>
  <c r="E1697" i="5"/>
  <c r="T1697" i="2"/>
  <c r="D1699" i="5"/>
  <c r="Z1699" i="2"/>
  <c r="Y1699" i="2"/>
  <c r="E1701" i="5"/>
  <c r="T1701" i="2"/>
  <c r="D1703" i="5"/>
  <c r="Z1703" i="2"/>
  <c r="Y1703" i="2"/>
  <c r="E1705" i="5"/>
  <c r="T1705" i="2"/>
  <c r="D1707" i="5"/>
  <c r="Z1707" i="2"/>
  <c r="Y1707" i="2"/>
  <c r="E1709" i="5"/>
  <c r="T1709" i="2"/>
  <c r="D1711" i="5"/>
  <c r="Z1711" i="2"/>
  <c r="Y1711" i="2"/>
  <c r="E1713" i="5"/>
  <c r="T1713" i="2"/>
  <c r="D1715" i="5"/>
  <c r="Z1715" i="2"/>
  <c r="Y1715" i="2"/>
  <c r="E1717" i="5"/>
  <c r="T1717" i="2"/>
  <c r="D1719" i="5"/>
  <c r="Z1719" i="2"/>
  <c r="Y1719" i="2"/>
  <c r="E1721" i="5"/>
  <c r="T1721" i="2"/>
  <c r="D1723" i="5"/>
  <c r="Z1723" i="2"/>
  <c r="Y1723" i="2"/>
  <c r="E1725" i="5"/>
  <c r="T1725" i="2"/>
  <c r="D1727" i="5"/>
  <c r="Z1727" i="2"/>
  <c r="Y1727" i="2"/>
  <c r="E1729" i="5"/>
  <c r="T1729" i="2"/>
  <c r="D1731" i="5"/>
  <c r="Z1731" i="2"/>
  <c r="Y1731" i="2"/>
  <c r="E1733" i="5"/>
  <c r="T1733" i="2"/>
  <c r="D1735" i="5"/>
  <c r="Z1735" i="2"/>
  <c r="Y1735" i="2"/>
  <c r="E1737" i="5"/>
  <c r="T1737" i="2"/>
  <c r="D1739" i="5"/>
  <c r="Z1739" i="2"/>
  <c r="Y1739" i="2"/>
  <c r="E1741" i="5"/>
  <c r="T1741" i="2"/>
  <c r="D1743" i="5"/>
  <c r="Z1743" i="2"/>
  <c r="Y1743" i="2"/>
  <c r="E1745" i="5"/>
  <c r="T1745" i="2"/>
  <c r="D1747" i="5"/>
  <c r="Z1747" i="2"/>
  <c r="Y1747" i="2"/>
  <c r="E1749" i="5"/>
  <c r="T1749" i="2"/>
  <c r="D1751" i="5"/>
  <c r="Z1751" i="2"/>
  <c r="Y1751" i="2"/>
  <c r="E1753" i="5"/>
  <c r="T1753" i="2"/>
  <c r="D1755" i="5"/>
  <c r="Z1755" i="2"/>
  <c r="Y1755" i="2"/>
  <c r="E1757" i="5"/>
  <c r="T1757" i="2"/>
  <c r="A1758" i="5"/>
  <c r="P1758" i="2"/>
  <c r="E1760" i="5"/>
  <c r="T1760" i="2"/>
  <c r="E1761" i="5"/>
  <c r="T1761" i="2"/>
  <c r="A1762" i="5"/>
  <c r="P1762" i="2"/>
  <c r="E1764" i="5"/>
  <c r="T1764" i="2"/>
  <c r="E1765" i="5"/>
  <c r="T1765" i="2"/>
  <c r="A1766" i="5"/>
  <c r="P1766" i="2"/>
  <c r="E1768" i="5"/>
  <c r="T1768" i="2"/>
  <c r="E1769" i="5"/>
  <c r="T1769" i="2"/>
  <c r="A1770" i="5"/>
  <c r="P1770" i="2"/>
  <c r="E1772" i="5"/>
  <c r="T1772" i="2"/>
  <c r="E1773" i="5"/>
  <c r="T1773" i="2"/>
  <c r="A1774" i="5"/>
  <c r="P1774" i="2"/>
  <c r="E1776" i="5"/>
  <c r="T1776" i="2"/>
  <c r="E1777" i="5"/>
  <c r="T1777" i="2"/>
  <c r="A1778" i="5"/>
  <c r="P1778" i="2"/>
  <c r="E1780" i="5"/>
  <c r="T1780" i="2"/>
  <c r="E1781" i="5"/>
  <c r="T1781" i="2"/>
  <c r="A1782" i="5"/>
  <c r="P1782" i="2"/>
  <c r="E1784" i="5"/>
  <c r="T1784" i="2"/>
  <c r="E1785" i="5"/>
  <c r="T1785" i="2"/>
  <c r="A1786" i="5"/>
  <c r="P1786" i="2"/>
  <c r="E1788" i="5"/>
  <c r="T1788" i="2"/>
  <c r="E1789" i="5"/>
  <c r="T1789" i="2"/>
  <c r="A1790" i="5"/>
  <c r="P1790" i="2"/>
  <c r="E1792" i="5"/>
  <c r="T1792" i="2"/>
  <c r="E1793" i="5"/>
  <c r="T1793" i="2"/>
  <c r="A1794" i="5"/>
  <c r="P1794" i="2"/>
  <c r="E1796" i="5"/>
  <c r="T1796" i="2"/>
  <c r="E1797" i="5"/>
  <c r="T1797" i="2"/>
  <c r="A1798" i="5"/>
  <c r="P1798" i="2"/>
  <c r="E1800" i="5"/>
  <c r="T1800" i="2"/>
  <c r="E1801" i="5"/>
  <c r="T1801" i="2"/>
  <c r="A1802" i="5"/>
  <c r="P1802" i="2"/>
  <c r="E1804" i="5"/>
  <c r="T1804" i="2"/>
  <c r="E1805" i="5"/>
  <c r="T1805" i="2"/>
  <c r="A1806" i="5"/>
  <c r="P1806" i="2"/>
  <c r="E1808" i="5"/>
  <c r="T1808" i="2"/>
  <c r="E1809" i="5"/>
  <c r="T1809" i="2"/>
  <c r="A1810" i="5"/>
  <c r="P1810" i="2"/>
  <c r="P1811" i="2"/>
  <c r="E1812" i="5"/>
  <c r="T1812" i="2"/>
  <c r="E1813" i="5"/>
  <c r="T1813" i="2"/>
  <c r="A1814" i="5"/>
  <c r="P1814" i="2"/>
  <c r="P1815" i="2"/>
  <c r="E1816" i="5"/>
  <c r="T1816" i="2"/>
  <c r="E1817" i="5"/>
  <c r="T1817" i="2"/>
  <c r="A1818" i="5"/>
  <c r="P1818" i="2"/>
  <c r="P1819" i="2"/>
  <c r="E1820" i="5"/>
  <c r="T1820" i="2"/>
  <c r="E1821" i="5"/>
  <c r="T1821" i="2"/>
  <c r="A1822" i="5"/>
  <c r="P1822" i="2"/>
  <c r="P1823" i="2"/>
  <c r="E1824" i="5"/>
  <c r="T1824" i="2"/>
  <c r="E1825" i="5"/>
  <c r="T1825" i="2"/>
  <c r="A1826" i="5"/>
  <c r="P1826" i="2"/>
  <c r="P1827" i="2"/>
  <c r="E1828" i="5"/>
  <c r="T1828" i="2"/>
  <c r="E1829" i="5"/>
  <c r="T1829" i="2"/>
  <c r="A1830" i="5"/>
  <c r="P1830" i="2"/>
  <c r="P1831" i="2"/>
  <c r="E1832" i="5"/>
  <c r="T1832" i="2"/>
  <c r="E1833" i="5"/>
  <c r="T1833" i="2"/>
  <c r="A1834" i="5"/>
  <c r="P1834" i="2"/>
  <c r="P1835" i="2"/>
  <c r="Z1835" i="2"/>
  <c r="E1836" i="5"/>
  <c r="T1836" i="2"/>
  <c r="E1837" i="5"/>
  <c r="T1837" i="2"/>
  <c r="A1838" i="5"/>
  <c r="P1838" i="2"/>
  <c r="P1839" i="2"/>
  <c r="Z1839" i="2"/>
  <c r="E1840" i="5"/>
  <c r="T1840" i="2"/>
  <c r="E1841" i="5"/>
  <c r="T1841" i="2"/>
  <c r="A1842" i="5"/>
  <c r="P1842" i="2"/>
  <c r="P1843" i="2"/>
  <c r="Z1843" i="2"/>
  <c r="E1844" i="5"/>
  <c r="T1844" i="2"/>
  <c r="E1845" i="5"/>
  <c r="T1845" i="2"/>
  <c r="A1846" i="5"/>
  <c r="P1846" i="2"/>
  <c r="E1850" i="5"/>
  <c r="T1850" i="2"/>
  <c r="E1851" i="5"/>
  <c r="T1851" i="2"/>
  <c r="A1852" i="5"/>
  <c r="P1852" i="2"/>
  <c r="D1852" i="5"/>
  <c r="Z1852" i="2"/>
  <c r="E1854" i="5"/>
  <c r="T1854" i="2"/>
  <c r="E1855" i="5"/>
  <c r="T1855" i="2"/>
  <c r="A1856" i="5"/>
  <c r="P1856" i="2"/>
  <c r="D1856" i="5"/>
  <c r="Z1856" i="2"/>
  <c r="E1858" i="5"/>
  <c r="T1858" i="2"/>
  <c r="E1859" i="5"/>
  <c r="T1859" i="2"/>
  <c r="A1860" i="5"/>
  <c r="P1860" i="2"/>
  <c r="D1860" i="5"/>
  <c r="Z1860" i="2"/>
  <c r="Y1860" i="2"/>
  <c r="A1862" i="5"/>
  <c r="P1862" i="2"/>
  <c r="D1862" i="5"/>
  <c r="Z1862" i="2"/>
  <c r="Y1862" i="2"/>
  <c r="A1866" i="5"/>
  <c r="P1866" i="2"/>
  <c r="D1866" i="5"/>
  <c r="Z1866" i="2"/>
  <c r="Y1866" i="2"/>
  <c r="A1870" i="5"/>
  <c r="P1870" i="2"/>
  <c r="D1870" i="5"/>
  <c r="Z1870" i="2"/>
  <c r="Y1870" i="2"/>
  <c r="A1874" i="5"/>
  <c r="P1874" i="2"/>
  <c r="D1874" i="5"/>
  <c r="Z1874" i="2"/>
  <c r="Y1874" i="2"/>
  <c r="A1878" i="5"/>
  <c r="P1878" i="2"/>
  <c r="D1878" i="5"/>
  <c r="Z1878" i="2"/>
  <c r="Y1878" i="2"/>
  <c r="A1882" i="5"/>
  <c r="P1882" i="2"/>
  <c r="D1882" i="5"/>
  <c r="Z1882" i="2"/>
  <c r="Y1882" i="2"/>
  <c r="A1886" i="5"/>
  <c r="P1886" i="2"/>
  <c r="D1886" i="5"/>
  <c r="Z1886" i="2"/>
  <c r="Y1886" i="2"/>
  <c r="A1890" i="5"/>
  <c r="P1890" i="2"/>
  <c r="D1890" i="5"/>
  <c r="Z1890" i="2"/>
  <c r="Y1890" i="2"/>
  <c r="A1894" i="5"/>
  <c r="P1894" i="2"/>
  <c r="D1894" i="5"/>
  <c r="Z1894" i="2"/>
  <c r="Y1894" i="2"/>
  <c r="A1898" i="5"/>
  <c r="P1898" i="2"/>
  <c r="D1898" i="5"/>
  <c r="Z1898" i="2"/>
  <c r="Y1898" i="2"/>
  <c r="A1902" i="5"/>
  <c r="P1902" i="2"/>
  <c r="D1902" i="5"/>
  <c r="Z1902" i="2"/>
  <c r="Y1902" i="2"/>
  <c r="A1906" i="5"/>
  <c r="P1906" i="2"/>
  <c r="D1906" i="5"/>
  <c r="Z1906" i="2"/>
  <c r="Y1906" i="2"/>
  <c r="A1910" i="5"/>
  <c r="P1910" i="2"/>
  <c r="D1910" i="5"/>
  <c r="Z1910" i="2"/>
  <c r="Y1910" i="2"/>
  <c r="A1914" i="5"/>
  <c r="P1914" i="2"/>
  <c r="D1914" i="5"/>
  <c r="Z1914" i="2"/>
  <c r="Y1914" i="2"/>
  <c r="A1918" i="5"/>
  <c r="P1918" i="2"/>
  <c r="D1918" i="5"/>
  <c r="Z1918" i="2"/>
  <c r="Y1918" i="2"/>
  <c r="A1922" i="5"/>
  <c r="P1922" i="2"/>
  <c r="D1922" i="5"/>
  <c r="Z1922" i="2"/>
  <c r="Y1922" i="2"/>
  <c r="A1926" i="5"/>
  <c r="P1926" i="2"/>
  <c r="D1926" i="5"/>
  <c r="Z1926" i="2"/>
  <c r="Y1926" i="2"/>
  <c r="A1930" i="5"/>
  <c r="P1930" i="2"/>
  <c r="D1930" i="5"/>
  <c r="Z1930" i="2"/>
  <c r="Y1930" i="2"/>
  <c r="A1934" i="5"/>
  <c r="P1934" i="2"/>
  <c r="D1934" i="5"/>
  <c r="Z1934" i="2"/>
  <c r="Y1934" i="2"/>
  <c r="A1938" i="5"/>
  <c r="P1938" i="2"/>
  <c r="D1938" i="5"/>
  <c r="Z1938" i="2"/>
  <c r="Y1938" i="2"/>
  <c r="A1942" i="5"/>
  <c r="P1942" i="2"/>
  <c r="D1942" i="5"/>
  <c r="Z1942" i="2"/>
  <c r="Y1942" i="2"/>
  <c r="A1946" i="5"/>
  <c r="P1946" i="2"/>
  <c r="D1946" i="5"/>
  <c r="Z1946" i="2"/>
  <c r="Y1946" i="2"/>
  <c r="A1950" i="5"/>
  <c r="P1950" i="2"/>
  <c r="D1950" i="5"/>
  <c r="Z1950" i="2"/>
  <c r="Y1950" i="2"/>
  <c r="P1669" i="2"/>
  <c r="E1672" i="5"/>
  <c r="T1672" i="2"/>
  <c r="P1673" i="2"/>
  <c r="E1676" i="5"/>
  <c r="T1676" i="2"/>
  <c r="P1677" i="2"/>
  <c r="E1680" i="5"/>
  <c r="T1680" i="2"/>
  <c r="P1681" i="2"/>
  <c r="E1684" i="5"/>
  <c r="T1684" i="2"/>
  <c r="P1685" i="2"/>
  <c r="E1688" i="5"/>
  <c r="T1688" i="2"/>
  <c r="P1689" i="2"/>
  <c r="E1692" i="5"/>
  <c r="T1692" i="2"/>
  <c r="P1693" i="2"/>
  <c r="E1696" i="5"/>
  <c r="T1696" i="2"/>
  <c r="P1697" i="2"/>
  <c r="E1700" i="5"/>
  <c r="T1700" i="2"/>
  <c r="P1701" i="2"/>
  <c r="E1704" i="5"/>
  <c r="T1704" i="2"/>
  <c r="P1705" i="2"/>
  <c r="E1708" i="5"/>
  <c r="T1708" i="2"/>
  <c r="P1709" i="2"/>
  <c r="E1712" i="5"/>
  <c r="T1712" i="2"/>
  <c r="P1713" i="2"/>
  <c r="E1716" i="5"/>
  <c r="T1716" i="2"/>
  <c r="P1717" i="2"/>
  <c r="E1720" i="5"/>
  <c r="T1720" i="2"/>
  <c r="P1721" i="2"/>
  <c r="E1724" i="5"/>
  <c r="T1724" i="2"/>
  <c r="P1725" i="2"/>
  <c r="E1728" i="5"/>
  <c r="T1728" i="2"/>
  <c r="P1729" i="2"/>
  <c r="E1732" i="5"/>
  <c r="T1732" i="2"/>
  <c r="P1733" i="2"/>
  <c r="E1736" i="5"/>
  <c r="T1736" i="2"/>
  <c r="P1737" i="2"/>
  <c r="E1740" i="5"/>
  <c r="T1740" i="2"/>
  <c r="P1741" i="2"/>
  <c r="E1744" i="5"/>
  <c r="T1744" i="2"/>
  <c r="P1745" i="2"/>
  <c r="E1748" i="5"/>
  <c r="T1748" i="2"/>
  <c r="P1749" i="2"/>
  <c r="E1752" i="5"/>
  <c r="T1752" i="2"/>
  <c r="P1753" i="2"/>
  <c r="E1756" i="5"/>
  <c r="T1756" i="2"/>
  <c r="D1847" i="5"/>
  <c r="Y1847" i="2"/>
  <c r="A1848" i="5"/>
  <c r="P1848" i="2"/>
  <c r="E1849" i="5"/>
  <c r="T1849" i="2"/>
  <c r="P1847" i="2"/>
  <c r="P1849" i="2"/>
  <c r="P1851" i="2"/>
  <c r="D1853" i="5"/>
  <c r="Z1853" i="2"/>
  <c r="Y1853" i="2"/>
  <c r="P1855" i="2"/>
  <c r="D1857" i="5"/>
  <c r="Z1857" i="2"/>
  <c r="Y1857" i="2"/>
  <c r="P1859" i="2"/>
  <c r="D1861" i="5"/>
  <c r="Z1861" i="2"/>
  <c r="Y1861" i="2"/>
  <c r="P1863" i="2"/>
  <c r="D1865" i="5"/>
  <c r="Z1865" i="2"/>
  <c r="Y1865" i="2"/>
  <c r="P1867" i="2"/>
  <c r="D1869" i="5"/>
  <c r="Z1869" i="2"/>
  <c r="Y1869" i="2"/>
  <c r="P1871" i="2"/>
  <c r="D1873" i="5"/>
  <c r="Z1873" i="2"/>
  <c r="Y1873" i="2"/>
  <c r="P1875" i="2"/>
  <c r="D1877" i="5"/>
  <c r="Z1877" i="2"/>
  <c r="Y1877" i="2"/>
  <c r="P1879" i="2"/>
  <c r="D1881" i="5"/>
  <c r="Z1881" i="2"/>
  <c r="Y1881" i="2"/>
  <c r="P1883" i="2"/>
  <c r="D1885" i="5"/>
  <c r="Z1885" i="2"/>
  <c r="Y1885" i="2"/>
  <c r="P1887" i="2"/>
  <c r="D1889" i="5"/>
  <c r="Z1889" i="2"/>
  <c r="Y1889" i="2"/>
  <c r="P1891" i="2"/>
  <c r="D1893" i="5"/>
  <c r="Z1893" i="2"/>
  <c r="Y1893" i="2"/>
  <c r="P1895" i="2"/>
  <c r="D1897" i="5"/>
  <c r="Z1897" i="2"/>
  <c r="Y1897" i="2"/>
  <c r="P1899" i="2"/>
  <c r="D1901" i="5"/>
  <c r="Z1901" i="2"/>
  <c r="Y1901" i="2"/>
  <c r="P1903" i="2"/>
  <c r="D1905" i="5"/>
  <c r="Z1905" i="2"/>
  <c r="Y1905" i="2"/>
  <c r="P1907" i="2"/>
  <c r="D1909" i="5"/>
  <c r="Z1909" i="2"/>
  <c r="Y1909" i="2"/>
  <c r="P1911" i="2"/>
  <c r="D1913" i="5"/>
  <c r="Z1913" i="2"/>
  <c r="Y1913" i="2"/>
  <c r="P1915" i="2"/>
  <c r="D1917" i="5"/>
  <c r="Z1917" i="2"/>
  <c r="Y1917" i="2"/>
  <c r="P1919" i="2"/>
  <c r="D1921" i="5"/>
  <c r="Z1921" i="2"/>
  <c r="Y1921" i="2"/>
  <c r="P1923" i="2"/>
  <c r="D1925" i="5"/>
  <c r="Z1925" i="2"/>
  <c r="Y1925" i="2"/>
  <c r="P1927" i="2"/>
  <c r="D1929" i="5"/>
  <c r="Z1929" i="2"/>
  <c r="Y1929" i="2"/>
  <c r="P1931" i="2"/>
  <c r="D1933" i="5"/>
  <c r="Z1933" i="2"/>
  <c r="Y1933" i="2"/>
  <c r="P1935" i="2"/>
  <c r="D1937" i="5"/>
  <c r="Z1937" i="2"/>
  <c r="Y1937" i="2"/>
  <c r="P1939" i="2"/>
  <c r="D1941" i="5"/>
  <c r="Z1941" i="2"/>
  <c r="Y1941" i="2"/>
  <c r="P1943" i="2"/>
  <c r="D1945" i="5"/>
  <c r="Z1945" i="2"/>
  <c r="Y1945" i="2"/>
  <c r="P1947" i="2"/>
  <c r="D1949" i="5"/>
  <c r="Z1949" i="2"/>
  <c r="Y1949" i="2"/>
  <c r="P1951" i="2"/>
  <c r="D1953" i="5"/>
  <c r="Z1953" i="2"/>
  <c r="Y1953" i="2"/>
  <c r="P1955" i="2"/>
  <c r="D1957" i="5"/>
  <c r="Z1957" i="2"/>
  <c r="Y1957" i="2"/>
  <c r="P1959" i="2"/>
  <c r="D1961" i="5"/>
  <c r="Z1961" i="2"/>
  <c r="Y1961" i="2"/>
  <c r="P1963" i="2"/>
  <c r="D1965" i="5"/>
  <c r="Z1965" i="2"/>
  <c r="Y1965" i="2"/>
  <c r="P1967" i="2"/>
  <c r="D1969" i="5"/>
  <c r="Z1969" i="2"/>
  <c r="Y1969" i="2"/>
  <c r="P1971" i="2"/>
  <c r="D1973" i="5"/>
  <c r="Z1973" i="2"/>
  <c r="Y1973" i="2"/>
  <c r="P1975" i="2"/>
  <c r="D1977" i="5"/>
  <c r="Z1977" i="2"/>
  <c r="Y1977" i="2"/>
  <c r="P1979" i="2"/>
  <c r="D1981" i="5"/>
  <c r="Z1981" i="2"/>
  <c r="Y1981" i="2"/>
  <c r="P1983" i="2"/>
  <c r="D1985" i="5"/>
  <c r="Z1985" i="2"/>
  <c r="Y1985" i="2"/>
  <c r="P1987" i="2"/>
  <c r="D1989" i="5"/>
  <c r="Z1989" i="2"/>
  <c r="Y1989" i="2"/>
  <c r="P1991" i="2"/>
  <c r="D1993" i="5"/>
  <c r="Z1993" i="2"/>
  <c r="Y1993" i="2"/>
  <c r="P1995" i="2"/>
  <c r="D1997" i="5"/>
  <c r="Z1997" i="2"/>
  <c r="Y1997" i="2"/>
  <c r="P1999" i="2"/>
  <c r="D2001" i="5"/>
  <c r="Z2001" i="2"/>
  <c r="Y2001" i="2"/>
  <c r="P2003" i="2"/>
  <c r="D2005" i="5"/>
  <c r="Z2005" i="2"/>
  <c r="Y2005" i="2"/>
  <c r="P2007" i="2"/>
  <c r="D2009" i="5"/>
  <c r="Z2009" i="2"/>
  <c r="Y2009" i="2"/>
  <c r="P2011" i="2"/>
  <c r="D2013" i="5"/>
  <c r="Z2013" i="2"/>
  <c r="Y2013" i="2"/>
  <c r="P2015" i="2"/>
  <c r="D2017" i="5"/>
  <c r="Z2017" i="2"/>
  <c r="Y2017" i="2"/>
  <c r="P2019" i="2"/>
  <c r="D2023" i="5"/>
  <c r="Y2023" i="2"/>
  <c r="Z2023" i="2"/>
  <c r="D2025" i="5"/>
  <c r="Y2025" i="2"/>
  <c r="Z2025" i="2"/>
  <c r="D2027" i="5"/>
  <c r="Y2027" i="2"/>
  <c r="Z2027" i="2"/>
  <c r="D2029" i="5"/>
  <c r="Y2029" i="2"/>
  <c r="Z2029" i="2"/>
  <c r="D2031" i="5"/>
  <c r="Y2031" i="2"/>
  <c r="Z2031" i="2"/>
  <c r="D2033" i="5"/>
  <c r="Y2033" i="2"/>
  <c r="Z2033" i="2"/>
  <c r="D2035" i="5"/>
  <c r="Y2035" i="2"/>
  <c r="Z2035" i="2"/>
  <c r="D2037" i="5"/>
  <c r="Y2037" i="2"/>
  <c r="Z2037" i="2"/>
  <c r="D2039" i="5"/>
  <c r="Y2039" i="2"/>
  <c r="Z2039" i="2"/>
  <c r="D2041" i="5"/>
  <c r="Y2041" i="2"/>
  <c r="Z2041" i="2"/>
  <c r="E1861" i="5"/>
  <c r="T1861" i="2"/>
  <c r="E1862" i="5"/>
  <c r="T1862" i="2"/>
  <c r="A1864" i="5"/>
  <c r="P1864" i="2"/>
  <c r="D1864" i="5"/>
  <c r="Z1864" i="2"/>
  <c r="E1865" i="5"/>
  <c r="T1865" i="2"/>
  <c r="E1866" i="5"/>
  <c r="T1866" i="2"/>
  <c r="A1868" i="5"/>
  <c r="P1868" i="2"/>
  <c r="D1868" i="5"/>
  <c r="Z1868" i="2"/>
  <c r="E1869" i="5"/>
  <c r="T1869" i="2"/>
  <c r="E1870" i="5"/>
  <c r="T1870" i="2"/>
  <c r="A1872" i="5"/>
  <c r="P1872" i="2"/>
  <c r="D1872" i="5"/>
  <c r="Z1872" i="2"/>
  <c r="E1873" i="5"/>
  <c r="T1873" i="2"/>
  <c r="E1874" i="5"/>
  <c r="T1874" i="2"/>
  <c r="A1876" i="5"/>
  <c r="P1876" i="2"/>
  <c r="D1876" i="5"/>
  <c r="Z1876" i="2"/>
  <c r="E1877" i="5"/>
  <c r="T1877" i="2"/>
  <c r="E1878" i="5"/>
  <c r="T1878" i="2"/>
  <c r="A1880" i="5"/>
  <c r="P1880" i="2"/>
  <c r="D1880" i="5"/>
  <c r="Z1880" i="2"/>
  <c r="E1881" i="5"/>
  <c r="T1881" i="2"/>
  <c r="E1882" i="5"/>
  <c r="T1882" i="2"/>
  <c r="A1884" i="5"/>
  <c r="P1884" i="2"/>
  <c r="D1884" i="5"/>
  <c r="Z1884" i="2"/>
  <c r="E1885" i="5"/>
  <c r="T1885" i="2"/>
  <c r="E1886" i="5"/>
  <c r="T1886" i="2"/>
  <c r="A1888" i="5"/>
  <c r="P1888" i="2"/>
  <c r="D1888" i="5"/>
  <c r="Z1888" i="2"/>
  <c r="E1889" i="5"/>
  <c r="T1889" i="2"/>
  <c r="E1890" i="5"/>
  <c r="T1890" i="2"/>
  <c r="A1892" i="5"/>
  <c r="P1892" i="2"/>
  <c r="D1892" i="5"/>
  <c r="Z1892" i="2"/>
  <c r="E1893" i="5"/>
  <c r="T1893" i="2"/>
  <c r="E1894" i="5"/>
  <c r="T1894" i="2"/>
  <c r="A1896" i="5"/>
  <c r="P1896" i="2"/>
  <c r="D1896" i="5"/>
  <c r="Z1896" i="2"/>
  <c r="E1897" i="5"/>
  <c r="T1897" i="2"/>
  <c r="E1898" i="5"/>
  <c r="T1898" i="2"/>
  <c r="A1900" i="5"/>
  <c r="P1900" i="2"/>
  <c r="D1900" i="5"/>
  <c r="Z1900" i="2"/>
  <c r="E1901" i="5"/>
  <c r="T1901" i="2"/>
  <c r="E1902" i="5"/>
  <c r="T1902" i="2"/>
  <c r="A1904" i="5"/>
  <c r="P1904" i="2"/>
  <c r="D1904" i="5"/>
  <c r="Z1904" i="2"/>
  <c r="E1905" i="5"/>
  <c r="T1905" i="2"/>
  <c r="E1906" i="5"/>
  <c r="T1906" i="2"/>
  <c r="A1908" i="5"/>
  <c r="P1908" i="2"/>
  <c r="D1908" i="5"/>
  <c r="Z1908" i="2"/>
  <c r="E1909" i="5"/>
  <c r="T1909" i="2"/>
  <c r="E1910" i="5"/>
  <c r="T1910" i="2"/>
  <c r="A1912" i="5"/>
  <c r="P1912" i="2"/>
  <c r="D1912" i="5"/>
  <c r="Z1912" i="2"/>
  <c r="E1913" i="5"/>
  <c r="T1913" i="2"/>
  <c r="E1914" i="5"/>
  <c r="T1914" i="2"/>
  <c r="A1916" i="5"/>
  <c r="P1916" i="2"/>
  <c r="D1916" i="5"/>
  <c r="Z1916" i="2"/>
  <c r="E1917" i="5"/>
  <c r="T1917" i="2"/>
  <c r="E1918" i="5"/>
  <c r="T1918" i="2"/>
  <c r="A1920" i="5"/>
  <c r="P1920" i="2"/>
  <c r="D1920" i="5"/>
  <c r="Z1920" i="2"/>
  <c r="E1921" i="5"/>
  <c r="T1921" i="2"/>
  <c r="E1922" i="5"/>
  <c r="T1922" i="2"/>
  <c r="A1924" i="5"/>
  <c r="P1924" i="2"/>
  <c r="D1924" i="5"/>
  <c r="Z1924" i="2"/>
  <c r="E1925" i="5"/>
  <c r="T1925" i="2"/>
  <c r="E1926" i="5"/>
  <c r="T1926" i="2"/>
  <c r="A1928" i="5"/>
  <c r="P1928" i="2"/>
  <c r="D1928" i="5"/>
  <c r="Z1928" i="2"/>
  <c r="E1929" i="5"/>
  <c r="T1929" i="2"/>
  <c r="E1930" i="5"/>
  <c r="T1930" i="2"/>
  <c r="A1932" i="5"/>
  <c r="P1932" i="2"/>
  <c r="D1932" i="5"/>
  <c r="Z1932" i="2"/>
  <c r="E1933" i="5"/>
  <c r="T1933" i="2"/>
  <c r="E1934" i="5"/>
  <c r="T1934" i="2"/>
  <c r="A1936" i="5"/>
  <c r="P1936" i="2"/>
  <c r="D1936" i="5"/>
  <c r="Z1936" i="2"/>
  <c r="E1937" i="5"/>
  <c r="T1937" i="2"/>
  <c r="E1938" i="5"/>
  <c r="T1938" i="2"/>
  <c r="A1940" i="5"/>
  <c r="P1940" i="2"/>
  <c r="D1940" i="5"/>
  <c r="Z1940" i="2"/>
  <c r="E1941" i="5"/>
  <c r="T1941" i="2"/>
  <c r="E1942" i="5"/>
  <c r="T1942" i="2"/>
  <c r="A1944" i="5"/>
  <c r="P1944" i="2"/>
  <c r="D1944" i="5"/>
  <c r="Z1944" i="2"/>
  <c r="E1945" i="5"/>
  <c r="T1945" i="2"/>
  <c r="E1946" i="5"/>
  <c r="T1946" i="2"/>
  <c r="A1948" i="5"/>
  <c r="P1948" i="2"/>
  <c r="D1948" i="5"/>
  <c r="Z1948" i="2"/>
  <c r="E1949" i="5"/>
  <c r="T1949" i="2"/>
  <c r="E1950" i="5"/>
  <c r="T1950" i="2"/>
  <c r="A1952" i="5"/>
  <c r="P1952" i="2"/>
  <c r="D1952" i="5"/>
  <c r="Z1952" i="2"/>
  <c r="E1953" i="5"/>
  <c r="T1953" i="2"/>
  <c r="E1954" i="5"/>
  <c r="T1954" i="2"/>
  <c r="A1956" i="5"/>
  <c r="P1956" i="2"/>
  <c r="D1956" i="5"/>
  <c r="Z1956" i="2"/>
  <c r="E1957" i="5"/>
  <c r="T1957" i="2"/>
  <c r="E1958" i="5"/>
  <c r="T1958" i="2"/>
  <c r="A1960" i="5"/>
  <c r="P1960" i="2"/>
  <c r="D1960" i="5"/>
  <c r="Z1960" i="2"/>
  <c r="E1961" i="5"/>
  <c r="T1961" i="2"/>
  <c r="E1962" i="5"/>
  <c r="T1962" i="2"/>
  <c r="A1964" i="5"/>
  <c r="P1964" i="2"/>
  <c r="D1964" i="5"/>
  <c r="Z1964" i="2"/>
  <c r="E1965" i="5"/>
  <c r="T1965" i="2"/>
  <c r="E1966" i="5"/>
  <c r="T1966" i="2"/>
  <c r="A1968" i="5"/>
  <c r="P1968" i="2"/>
  <c r="D1968" i="5"/>
  <c r="Z1968" i="2"/>
  <c r="E1969" i="5"/>
  <c r="T1969" i="2"/>
  <c r="E1970" i="5"/>
  <c r="T1970" i="2"/>
  <c r="A1972" i="5"/>
  <c r="P1972" i="2"/>
  <c r="D1972" i="5"/>
  <c r="Z1972" i="2"/>
  <c r="E1973" i="5"/>
  <c r="T1973" i="2"/>
  <c r="E1974" i="5"/>
  <c r="T1974" i="2"/>
  <c r="A1976" i="5"/>
  <c r="P1976" i="2"/>
  <c r="D1976" i="5"/>
  <c r="Z1976" i="2"/>
  <c r="E1977" i="5"/>
  <c r="T1977" i="2"/>
  <c r="E1978" i="5"/>
  <c r="T1978" i="2"/>
  <c r="A1980" i="5"/>
  <c r="P1980" i="2"/>
  <c r="D1980" i="5"/>
  <c r="Z1980" i="2"/>
  <c r="E1981" i="5"/>
  <c r="T1981" i="2"/>
  <c r="E1982" i="5"/>
  <c r="T1982" i="2"/>
  <c r="A1984" i="5"/>
  <c r="P1984" i="2"/>
  <c r="D1984" i="5"/>
  <c r="Z1984" i="2"/>
  <c r="E1985" i="5"/>
  <c r="T1985" i="2"/>
  <c r="E1986" i="5"/>
  <c r="T1986" i="2"/>
  <c r="A1988" i="5"/>
  <c r="P1988" i="2"/>
  <c r="D1988" i="5"/>
  <c r="Z1988" i="2"/>
  <c r="E1989" i="5"/>
  <c r="T1989" i="2"/>
  <c r="E1990" i="5"/>
  <c r="T1990" i="2"/>
  <c r="A1992" i="5"/>
  <c r="P1992" i="2"/>
  <c r="D1992" i="5"/>
  <c r="Z1992" i="2"/>
  <c r="E1993" i="5"/>
  <c r="T1993" i="2"/>
  <c r="E1994" i="5"/>
  <c r="T1994" i="2"/>
  <c r="A1996" i="5"/>
  <c r="P1996" i="2"/>
  <c r="D1996" i="5"/>
  <c r="Z1996" i="2"/>
  <c r="E1997" i="5"/>
  <c r="T1997" i="2"/>
  <c r="E1998" i="5"/>
  <c r="T1998" i="2"/>
  <c r="A2000" i="5"/>
  <c r="P2000" i="2"/>
  <c r="D2000" i="5"/>
  <c r="Z2000" i="2"/>
  <c r="E2001" i="5"/>
  <c r="T2001" i="2"/>
  <c r="E2002" i="5"/>
  <c r="T2002" i="2"/>
  <c r="A2004" i="5"/>
  <c r="P2004" i="2"/>
  <c r="D2004" i="5"/>
  <c r="Z2004" i="2"/>
  <c r="E2005" i="5"/>
  <c r="T2005" i="2"/>
  <c r="E2006" i="5"/>
  <c r="T2006" i="2"/>
  <c r="A2008" i="5"/>
  <c r="P2008" i="2"/>
  <c r="D2008" i="5"/>
  <c r="Z2008" i="2"/>
  <c r="E2009" i="5"/>
  <c r="T2009" i="2"/>
  <c r="E2010" i="5"/>
  <c r="T2010" i="2"/>
  <c r="A2012" i="5"/>
  <c r="P2012" i="2"/>
  <c r="D2012" i="5"/>
  <c r="Z2012" i="2"/>
  <c r="E2013" i="5"/>
  <c r="T2013" i="2"/>
  <c r="E2014" i="5"/>
  <c r="T2014" i="2"/>
  <c r="A2016" i="5"/>
  <c r="P2016" i="2"/>
  <c r="D2016" i="5"/>
  <c r="Z2016" i="2"/>
  <c r="E2017" i="5"/>
  <c r="T2017" i="2"/>
  <c r="E2018" i="5"/>
  <c r="T2018" i="2"/>
  <c r="D2020" i="5"/>
  <c r="Z2020" i="2"/>
  <c r="E2023" i="5"/>
  <c r="T2023" i="2"/>
  <c r="A2024" i="5"/>
  <c r="P2024" i="2"/>
  <c r="E2025" i="5"/>
  <c r="T2025" i="2"/>
  <c r="A2026" i="5"/>
  <c r="P2026" i="2"/>
  <c r="E2027" i="5"/>
  <c r="T2027" i="2"/>
  <c r="A2028" i="5"/>
  <c r="P2028" i="2"/>
  <c r="E2029" i="5"/>
  <c r="T2029" i="2"/>
  <c r="A2030" i="5"/>
  <c r="P2030" i="2"/>
  <c r="E2031" i="5"/>
  <c r="T2031" i="2"/>
  <c r="A2032" i="5"/>
  <c r="P2032" i="2"/>
  <c r="E2033" i="5"/>
  <c r="T2033" i="2"/>
  <c r="A2034" i="5"/>
  <c r="P2034" i="2"/>
  <c r="E2035" i="5"/>
  <c r="T2035" i="2"/>
  <c r="A2036" i="5"/>
  <c r="P2036" i="2"/>
  <c r="E2037" i="5"/>
  <c r="T2037" i="2"/>
  <c r="A2038" i="5"/>
  <c r="P2038" i="2"/>
  <c r="E2039" i="5"/>
  <c r="T2039" i="2"/>
  <c r="A2040" i="5"/>
  <c r="P2040" i="2"/>
  <c r="E2041" i="5"/>
  <c r="T2041" i="2"/>
  <c r="D1848" i="5"/>
  <c r="Z1848" i="2"/>
  <c r="D1851" i="5"/>
  <c r="Z1851" i="2"/>
  <c r="Y1851" i="2"/>
  <c r="P1853" i="2"/>
  <c r="D1855" i="5"/>
  <c r="Z1855" i="2"/>
  <c r="Y1855" i="2"/>
  <c r="P1857" i="2"/>
  <c r="D1859" i="5"/>
  <c r="Z1859" i="2"/>
  <c r="Y1859" i="2"/>
  <c r="P1861" i="2"/>
  <c r="D1863" i="5"/>
  <c r="Z1863" i="2"/>
  <c r="Y1863" i="2"/>
  <c r="P1865" i="2"/>
  <c r="D1867" i="5"/>
  <c r="Z1867" i="2"/>
  <c r="Y1867" i="2"/>
  <c r="P1869" i="2"/>
  <c r="D1871" i="5"/>
  <c r="Z1871" i="2"/>
  <c r="Y1871" i="2"/>
  <c r="P1873" i="2"/>
  <c r="D1875" i="5"/>
  <c r="Z1875" i="2"/>
  <c r="Y1875" i="2"/>
  <c r="P1877" i="2"/>
  <c r="D1879" i="5"/>
  <c r="Z1879" i="2"/>
  <c r="Y1879" i="2"/>
  <c r="P1881" i="2"/>
  <c r="D1883" i="5"/>
  <c r="Z1883" i="2"/>
  <c r="Y1883" i="2"/>
  <c r="P1885" i="2"/>
  <c r="D1887" i="5"/>
  <c r="Z1887" i="2"/>
  <c r="Y1887" i="2"/>
  <c r="P1889" i="2"/>
  <c r="D1891" i="5"/>
  <c r="Z1891" i="2"/>
  <c r="Y1891" i="2"/>
  <c r="P1893" i="2"/>
  <c r="D1895" i="5"/>
  <c r="Z1895" i="2"/>
  <c r="Y1895" i="2"/>
  <c r="P1897" i="2"/>
  <c r="D1899" i="5"/>
  <c r="Z1899" i="2"/>
  <c r="Y1899" i="2"/>
  <c r="P1901" i="2"/>
  <c r="D1903" i="5"/>
  <c r="Z1903" i="2"/>
  <c r="Y1903" i="2"/>
  <c r="P1905" i="2"/>
  <c r="D1907" i="5"/>
  <c r="Z1907" i="2"/>
  <c r="Y1907" i="2"/>
  <c r="P1909" i="2"/>
  <c r="D1911" i="5"/>
  <c r="Z1911" i="2"/>
  <c r="Y1911" i="2"/>
  <c r="P1913" i="2"/>
  <c r="D1915" i="5"/>
  <c r="Z1915" i="2"/>
  <c r="Y1915" i="2"/>
  <c r="P1917" i="2"/>
  <c r="D1919" i="5"/>
  <c r="Z1919" i="2"/>
  <c r="Y1919" i="2"/>
  <c r="P1921" i="2"/>
  <c r="D1923" i="5"/>
  <c r="Z1923" i="2"/>
  <c r="Y1923" i="2"/>
  <c r="P1925" i="2"/>
  <c r="D1927" i="5"/>
  <c r="Z1927" i="2"/>
  <c r="Y1927" i="2"/>
  <c r="P1929" i="2"/>
  <c r="D1931" i="5"/>
  <c r="Z1931" i="2"/>
  <c r="Y1931" i="2"/>
  <c r="P1933" i="2"/>
  <c r="D1935" i="5"/>
  <c r="Z1935" i="2"/>
  <c r="Y1935" i="2"/>
  <c r="P1937" i="2"/>
  <c r="D1939" i="5"/>
  <c r="Z1939" i="2"/>
  <c r="Y1939" i="2"/>
  <c r="P1941" i="2"/>
  <c r="D1943" i="5"/>
  <c r="Z1943" i="2"/>
  <c r="Y1943" i="2"/>
  <c r="P1945" i="2"/>
  <c r="D1947" i="5"/>
  <c r="Z1947" i="2"/>
  <c r="Y1947" i="2"/>
  <c r="P1949" i="2"/>
  <c r="D1951" i="5"/>
  <c r="Z1951" i="2"/>
  <c r="Y1951" i="2"/>
  <c r="P1953" i="2"/>
  <c r="D1955" i="5"/>
  <c r="Z1955" i="2"/>
  <c r="Y1955" i="2"/>
  <c r="P1957" i="2"/>
  <c r="D1959" i="5"/>
  <c r="Z1959" i="2"/>
  <c r="Y1959" i="2"/>
  <c r="P1961" i="2"/>
  <c r="D1963" i="5"/>
  <c r="Z1963" i="2"/>
  <c r="Y1963" i="2"/>
  <c r="P1965" i="2"/>
  <c r="D1967" i="5"/>
  <c r="Z1967" i="2"/>
  <c r="Y1967" i="2"/>
  <c r="P1969" i="2"/>
  <c r="D1971" i="5"/>
  <c r="Z1971" i="2"/>
  <c r="Y1971" i="2"/>
  <c r="P1973" i="2"/>
  <c r="D1975" i="5"/>
  <c r="Z1975" i="2"/>
  <c r="Y1975" i="2"/>
  <c r="P1977" i="2"/>
  <c r="D1979" i="5"/>
  <c r="Z1979" i="2"/>
  <c r="Y1979" i="2"/>
  <c r="P1981" i="2"/>
  <c r="D1983" i="5"/>
  <c r="Z1983" i="2"/>
  <c r="Y1983" i="2"/>
  <c r="P1985" i="2"/>
  <c r="D1987" i="5"/>
  <c r="Z1987" i="2"/>
  <c r="Y1987" i="2"/>
  <c r="P1989" i="2"/>
  <c r="D1991" i="5"/>
  <c r="Z1991" i="2"/>
  <c r="Y1991" i="2"/>
  <c r="P1993" i="2"/>
  <c r="D1995" i="5"/>
  <c r="Z1995" i="2"/>
  <c r="Y1995" i="2"/>
  <c r="P1997" i="2"/>
  <c r="D1999" i="5"/>
  <c r="Z1999" i="2"/>
  <c r="Y1999" i="2"/>
  <c r="P2001" i="2"/>
  <c r="D2003" i="5"/>
  <c r="Z2003" i="2"/>
  <c r="Y2003" i="2"/>
  <c r="P2005" i="2"/>
  <c r="D2007" i="5"/>
  <c r="Z2007" i="2"/>
  <c r="Y2007" i="2"/>
  <c r="P2009" i="2"/>
  <c r="D2011" i="5"/>
  <c r="Z2011" i="2"/>
  <c r="Y2011" i="2"/>
  <c r="P2013" i="2"/>
  <c r="D2015" i="5"/>
  <c r="Z2015" i="2"/>
  <c r="Y2015" i="2"/>
  <c r="P2017" i="2"/>
  <c r="D2019" i="5"/>
  <c r="Y2019" i="2"/>
  <c r="Z2019" i="2"/>
  <c r="Y2020" i="2"/>
  <c r="E2021" i="5"/>
  <c r="T2021" i="2"/>
  <c r="A1954" i="5"/>
  <c r="P1954" i="2"/>
  <c r="D1954" i="5"/>
  <c r="Z1954" i="2"/>
  <c r="E1955" i="5"/>
  <c r="T1955" i="2"/>
  <c r="E1956" i="5"/>
  <c r="T1956" i="2"/>
  <c r="A1958" i="5"/>
  <c r="P1958" i="2"/>
  <c r="D1958" i="5"/>
  <c r="Z1958" i="2"/>
  <c r="E1959" i="5"/>
  <c r="T1959" i="2"/>
  <c r="E1960" i="5"/>
  <c r="T1960" i="2"/>
  <c r="A1962" i="5"/>
  <c r="P1962" i="2"/>
  <c r="D1962" i="5"/>
  <c r="Z1962" i="2"/>
  <c r="E1963" i="5"/>
  <c r="T1963" i="2"/>
  <c r="E1964" i="5"/>
  <c r="T1964" i="2"/>
  <c r="A1966" i="5"/>
  <c r="P1966" i="2"/>
  <c r="D1966" i="5"/>
  <c r="Z1966" i="2"/>
  <c r="E1967" i="5"/>
  <c r="T1967" i="2"/>
  <c r="E1968" i="5"/>
  <c r="T1968" i="2"/>
  <c r="A1970" i="5"/>
  <c r="P1970" i="2"/>
  <c r="D1970" i="5"/>
  <c r="Z1970" i="2"/>
  <c r="E1971" i="5"/>
  <c r="T1971" i="2"/>
  <c r="E1972" i="5"/>
  <c r="T1972" i="2"/>
  <c r="A1974" i="5"/>
  <c r="P1974" i="2"/>
  <c r="D1974" i="5"/>
  <c r="Z1974" i="2"/>
  <c r="E1975" i="5"/>
  <c r="T1975" i="2"/>
  <c r="E1976" i="5"/>
  <c r="T1976" i="2"/>
  <c r="A1978" i="5"/>
  <c r="P1978" i="2"/>
  <c r="D1978" i="5"/>
  <c r="Z1978" i="2"/>
  <c r="E1979" i="5"/>
  <c r="T1979" i="2"/>
  <c r="E1980" i="5"/>
  <c r="T1980" i="2"/>
  <c r="A1982" i="5"/>
  <c r="P1982" i="2"/>
  <c r="D1982" i="5"/>
  <c r="Z1982" i="2"/>
  <c r="E1983" i="5"/>
  <c r="T1983" i="2"/>
  <c r="E1984" i="5"/>
  <c r="T1984" i="2"/>
  <c r="A1986" i="5"/>
  <c r="P1986" i="2"/>
  <c r="D1986" i="5"/>
  <c r="Z1986" i="2"/>
  <c r="E1987" i="5"/>
  <c r="T1987" i="2"/>
  <c r="E1988" i="5"/>
  <c r="T1988" i="2"/>
  <c r="A1990" i="5"/>
  <c r="P1990" i="2"/>
  <c r="D1990" i="5"/>
  <c r="Z1990" i="2"/>
  <c r="E1991" i="5"/>
  <c r="T1991" i="2"/>
  <c r="E1992" i="5"/>
  <c r="T1992" i="2"/>
  <c r="A1994" i="5"/>
  <c r="P1994" i="2"/>
  <c r="D1994" i="5"/>
  <c r="Z1994" i="2"/>
  <c r="E1995" i="5"/>
  <c r="T1995" i="2"/>
  <c r="E1996" i="5"/>
  <c r="T1996" i="2"/>
  <c r="A1998" i="5"/>
  <c r="P1998" i="2"/>
  <c r="D1998" i="5"/>
  <c r="Z1998" i="2"/>
  <c r="E1999" i="5"/>
  <c r="T1999" i="2"/>
  <c r="E2000" i="5"/>
  <c r="T2000" i="2"/>
  <c r="A2002" i="5"/>
  <c r="P2002" i="2"/>
  <c r="D2002" i="5"/>
  <c r="Z2002" i="2"/>
  <c r="E2003" i="5"/>
  <c r="T2003" i="2"/>
  <c r="E2004" i="5"/>
  <c r="T2004" i="2"/>
  <c r="A2006" i="5"/>
  <c r="P2006" i="2"/>
  <c r="D2006" i="5"/>
  <c r="Z2006" i="2"/>
  <c r="E2007" i="5"/>
  <c r="T2007" i="2"/>
  <c r="E2008" i="5"/>
  <c r="T2008" i="2"/>
  <c r="A2010" i="5"/>
  <c r="P2010" i="2"/>
  <c r="D2010" i="5"/>
  <c r="Z2010" i="2"/>
  <c r="E2011" i="5"/>
  <c r="T2011" i="2"/>
  <c r="E2012" i="5"/>
  <c r="T2012" i="2"/>
  <c r="A2014" i="5"/>
  <c r="P2014" i="2"/>
  <c r="D2014" i="5"/>
  <c r="Z2014" i="2"/>
  <c r="E2015" i="5"/>
  <c r="T2015" i="2"/>
  <c r="E2016" i="5"/>
  <c r="T2016" i="2"/>
  <c r="A2018" i="5"/>
  <c r="P2018" i="2"/>
  <c r="D2018" i="5"/>
  <c r="Z2018" i="2"/>
  <c r="E2019" i="5"/>
  <c r="T2019" i="2"/>
  <c r="D2021" i="5"/>
  <c r="Y2021" i="2"/>
  <c r="Z2021" i="2"/>
  <c r="E2043" i="5"/>
  <c r="T2043" i="2"/>
  <c r="E2045" i="5"/>
  <c r="T2045" i="2"/>
  <c r="P2021" i="2"/>
  <c r="D2022" i="5"/>
  <c r="Z2022" i="2"/>
  <c r="D2024" i="5"/>
  <c r="Z2024" i="2"/>
  <c r="D2026" i="5"/>
  <c r="Z2026" i="2"/>
  <c r="D2028" i="5"/>
  <c r="Z2028" i="2"/>
  <c r="D2030" i="5"/>
  <c r="Z2030" i="2"/>
  <c r="D2032" i="5"/>
  <c r="Z2032" i="2"/>
  <c r="D2034" i="5"/>
  <c r="Z2034" i="2"/>
  <c r="D2036" i="5"/>
  <c r="Z2036" i="2"/>
  <c r="D2038" i="5"/>
  <c r="Z2038" i="2"/>
  <c r="D2040" i="5"/>
  <c r="Z2040" i="2"/>
  <c r="D2042" i="5"/>
  <c r="Z2042" i="2"/>
  <c r="P2042" i="2"/>
  <c r="D2044" i="5"/>
  <c r="Z2044" i="2"/>
  <c r="P2044" i="2"/>
  <c r="D2046" i="5"/>
  <c r="Z2046" i="2"/>
  <c r="P2046" i="2"/>
  <c r="Y2046" i="2"/>
  <c r="A2048" i="5"/>
  <c r="P2048" i="2"/>
  <c r="D2048" i="5"/>
  <c r="Z2048" i="2"/>
  <c r="E2049" i="5"/>
  <c r="T2049" i="2"/>
  <c r="E2050" i="5"/>
  <c r="T2050" i="2"/>
  <c r="A2052" i="5"/>
  <c r="P2052" i="2"/>
  <c r="D2052" i="5"/>
  <c r="Z2052" i="2"/>
  <c r="E2053" i="5"/>
  <c r="T2053" i="2"/>
  <c r="E2054" i="5"/>
  <c r="T2054" i="2"/>
  <c r="A2056" i="5"/>
  <c r="P2056" i="2"/>
  <c r="D2056" i="5"/>
  <c r="Z2056" i="2"/>
  <c r="E2057" i="5"/>
  <c r="T2057" i="2"/>
  <c r="E2058" i="5"/>
  <c r="T2058" i="2"/>
  <c r="A2060" i="5"/>
  <c r="P2060" i="2"/>
  <c r="D2060" i="5"/>
  <c r="Z2060" i="2"/>
  <c r="E2061" i="5"/>
  <c r="T2061" i="2"/>
  <c r="E2062" i="5"/>
  <c r="T2062" i="2"/>
  <c r="A2064" i="5"/>
  <c r="P2064" i="2"/>
  <c r="D2064" i="5"/>
  <c r="Z2064" i="2"/>
  <c r="E2065" i="5"/>
  <c r="T2065" i="2"/>
  <c r="E2066" i="5"/>
  <c r="T2066" i="2"/>
  <c r="A2068" i="5"/>
  <c r="P2068" i="2"/>
  <c r="D2068" i="5"/>
  <c r="Z2068" i="2"/>
  <c r="E2069" i="5"/>
  <c r="T2069" i="2"/>
  <c r="E2070" i="5"/>
  <c r="T2070" i="2"/>
  <c r="A2072" i="5"/>
  <c r="P2072" i="2"/>
  <c r="D2072" i="5"/>
  <c r="Z2072" i="2"/>
  <c r="E2073" i="5"/>
  <c r="T2073" i="2"/>
  <c r="E2074" i="5"/>
  <c r="T2074" i="2"/>
  <c r="A2076" i="5"/>
  <c r="P2076" i="2"/>
  <c r="D2076" i="5"/>
  <c r="Z2076" i="2"/>
  <c r="E2077" i="5"/>
  <c r="T2077" i="2"/>
  <c r="E2078" i="5"/>
  <c r="T2078" i="2"/>
  <c r="A2080" i="5"/>
  <c r="P2080" i="2"/>
  <c r="D2080" i="5"/>
  <c r="Z2080" i="2"/>
  <c r="E2081" i="5"/>
  <c r="T2081" i="2"/>
  <c r="E2082" i="5"/>
  <c r="T2082" i="2"/>
  <c r="A2084" i="5"/>
  <c r="P2084" i="2"/>
  <c r="D2084" i="5"/>
  <c r="Z2084" i="2"/>
  <c r="E2085" i="5"/>
  <c r="T2085" i="2"/>
  <c r="E2086" i="5"/>
  <c r="T2086" i="2"/>
  <c r="A2088" i="5"/>
  <c r="P2088" i="2"/>
  <c r="D2088" i="5"/>
  <c r="Z2088" i="2"/>
  <c r="E2089" i="5"/>
  <c r="T2089" i="2"/>
  <c r="E2090" i="5"/>
  <c r="T2090" i="2"/>
  <c r="A2092" i="5"/>
  <c r="P2092" i="2"/>
  <c r="D2092" i="5"/>
  <c r="Z2092" i="2"/>
  <c r="E2093" i="5"/>
  <c r="T2093" i="2"/>
  <c r="E2094" i="5"/>
  <c r="T2094" i="2"/>
  <c r="A2096" i="5"/>
  <c r="P2096" i="2"/>
  <c r="D2096" i="5"/>
  <c r="Z2096" i="2"/>
  <c r="E2097" i="5"/>
  <c r="T2097" i="2"/>
  <c r="E2098" i="5"/>
  <c r="T2098" i="2"/>
  <c r="A2100" i="5"/>
  <c r="P2100" i="2"/>
  <c r="D2100" i="5"/>
  <c r="Z2100" i="2"/>
  <c r="E2101" i="5"/>
  <c r="T2101" i="2"/>
  <c r="E2102" i="5"/>
  <c r="T2102" i="2"/>
  <c r="A2104" i="5"/>
  <c r="P2104" i="2"/>
  <c r="D2104" i="5"/>
  <c r="Z2104" i="2"/>
  <c r="E2105" i="5"/>
  <c r="T2105" i="2"/>
  <c r="E2106" i="5"/>
  <c r="T2106" i="2"/>
  <c r="A2108" i="5"/>
  <c r="P2108" i="2"/>
  <c r="D2108" i="5"/>
  <c r="Z2108" i="2"/>
  <c r="E2109" i="5"/>
  <c r="T2109" i="2"/>
  <c r="A2110" i="5"/>
  <c r="P2110" i="2"/>
  <c r="D2110" i="5"/>
  <c r="Y2110" i="2"/>
  <c r="Z2110" i="2"/>
  <c r="E2111" i="5"/>
  <c r="T2111" i="2"/>
  <c r="E2112" i="5"/>
  <c r="T2112" i="2"/>
  <c r="A2114" i="5"/>
  <c r="P2114" i="2"/>
  <c r="D2114" i="5"/>
  <c r="Y2114" i="2"/>
  <c r="Z2114" i="2"/>
  <c r="E2115" i="5"/>
  <c r="T2115" i="2"/>
  <c r="E2116" i="5"/>
  <c r="T2116" i="2"/>
  <c r="E2117" i="5"/>
  <c r="T2117" i="2"/>
  <c r="E2118" i="5"/>
  <c r="T2118" i="2"/>
  <c r="E2119" i="5"/>
  <c r="T2119" i="2"/>
  <c r="E2120" i="5"/>
  <c r="T2120" i="2"/>
  <c r="E2121" i="5"/>
  <c r="T2121" i="2"/>
  <c r="E2122" i="5"/>
  <c r="T2122" i="2"/>
  <c r="E2123" i="5"/>
  <c r="T2123" i="2"/>
  <c r="E2124" i="5"/>
  <c r="T2124" i="2"/>
  <c r="E2125" i="5"/>
  <c r="T2125" i="2"/>
  <c r="E2126" i="5"/>
  <c r="T2126" i="2"/>
  <c r="E2127" i="5"/>
  <c r="T2127" i="2"/>
  <c r="E2128" i="5"/>
  <c r="T2128" i="2"/>
  <c r="E2129" i="5"/>
  <c r="T2129" i="2"/>
  <c r="E2130" i="5"/>
  <c r="T2130" i="2"/>
  <c r="E2131" i="5"/>
  <c r="T2131" i="2"/>
  <c r="E2132" i="5"/>
  <c r="T2132" i="2"/>
  <c r="E2133" i="5"/>
  <c r="T2133" i="2"/>
  <c r="E2134" i="5"/>
  <c r="T2134" i="2"/>
  <c r="E2135" i="5"/>
  <c r="T2135" i="2"/>
  <c r="E2136" i="5"/>
  <c r="T2136" i="2"/>
  <c r="E2137" i="5"/>
  <c r="T2137" i="2"/>
  <c r="E2138" i="5"/>
  <c r="T2138" i="2"/>
  <c r="E2139" i="5"/>
  <c r="T2139" i="2"/>
  <c r="E2140" i="5"/>
  <c r="T2140" i="2"/>
  <c r="E2141" i="5"/>
  <c r="T2141" i="2"/>
  <c r="E2145" i="5"/>
  <c r="T2145" i="2"/>
  <c r="E2146" i="5"/>
  <c r="T2146" i="2"/>
  <c r="Y2022" i="2"/>
  <c r="Y2024" i="2"/>
  <c r="Y2026" i="2"/>
  <c r="Y2028" i="2"/>
  <c r="Y2030" i="2"/>
  <c r="Y2032" i="2"/>
  <c r="Y2034" i="2"/>
  <c r="Y2036" i="2"/>
  <c r="Y2038" i="2"/>
  <c r="Y2040" i="2"/>
  <c r="Y2042" i="2"/>
  <c r="Y2044" i="2"/>
  <c r="D2047" i="5"/>
  <c r="Z2047" i="2"/>
  <c r="Y2047" i="2"/>
  <c r="P2049" i="2"/>
  <c r="D2051" i="5"/>
  <c r="Z2051" i="2"/>
  <c r="Y2051" i="2"/>
  <c r="P2053" i="2"/>
  <c r="D2055" i="5"/>
  <c r="Z2055" i="2"/>
  <c r="Y2055" i="2"/>
  <c r="P2057" i="2"/>
  <c r="D2059" i="5"/>
  <c r="Z2059" i="2"/>
  <c r="Y2059" i="2"/>
  <c r="P2061" i="2"/>
  <c r="D2063" i="5"/>
  <c r="Z2063" i="2"/>
  <c r="Y2063" i="2"/>
  <c r="P2065" i="2"/>
  <c r="D2067" i="5"/>
  <c r="Z2067" i="2"/>
  <c r="Y2067" i="2"/>
  <c r="P2069" i="2"/>
  <c r="D2071" i="5"/>
  <c r="Z2071" i="2"/>
  <c r="Y2071" i="2"/>
  <c r="P2073" i="2"/>
  <c r="D2075" i="5"/>
  <c r="Z2075" i="2"/>
  <c r="Y2075" i="2"/>
  <c r="P2077" i="2"/>
  <c r="D2079" i="5"/>
  <c r="Z2079" i="2"/>
  <c r="Y2079" i="2"/>
  <c r="P2081" i="2"/>
  <c r="D2083" i="5"/>
  <c r="Z2083" i="2"/>
  <c r="Y2083" i="2"/>
  <c r="P2085" i="2"/>
  <c r="D2087" i="5"/>
  <c r="Z2087" i="2"/>
  <c r="Y2087" i="2"/>
  <c r="P2089" i="2"/>
  <c r="D2091" i="5"/>
  <c r="Z2091" i="2"/>
  <c r="Y2091" i="2"/>
  <c r="P2093" i="2"/>
  <c r="D2095" i="5"/>
  <c r="Z2095" i="2"/>
  <c r="Y2095" i="2"/>
  <c r="P2097" i="2"/>
  <c r="D2099" i="5"/>
  <c r="Z2099" i="2"/>
  <c r="Y2099" i="2"/>
  <c r="P2101" i="2"/>
  <c r="D2103" i="5"/>
  <c r="Z2103" i="2"/>
  <c r="Y2103" i="2"/>
  <c r="P2105" i="2"/>
  <c r="D2107" i="5"/>
  <c r="Z2107" i="2"/>
  <c r="Y2107" i="2"/>
  <c r="P2109" i="2"/>
  <c r="P2116" i="2"/>
  <c r="P2118" i="2"/>
  <c r="S2119" i="2"/>
  <c r="P2120" i="2"/>
  <c r="P2122" i="2"/>
  <c r="P2124" i="2"/>
  <c r="P2126" i="2"/>
  <c r="P2128" i="2"/>
  <c r="P2130" i="2"/>
  <c r="P2132" i="2"/>
  <c r="P2134" i="2"/>
  <c r="P2136" i="2"/>
  <c r="P2138" i="2"/>
  <c r="P2140" i="2"/>
  <c r="E2150" i="5"/>
  <c r="T2150" i="2"/>
  <c r="E2154" i="5"/>
  <c r="T2154" i="2"/>
  <c r="T2022" i="2"/>
  <c r="P2023" i="2"/>
  <c r="T2024" i="2"/>
  <c r="P2025" i="2"/>
  <c r="T2026" i="2"/>
  <c r="P2027" i="2"/>
  <c r="T2028" i="2"/>
  <c r="P2029" i="2"/>
  <c r="T2030" i="2"/>
  <c r="P2031" i="2"/>
  <c r="T2032" i="2"/>
  <c r="P2033" i="2"/>
  <c r="T2034" i="2"/>
  <c r="P2035" i="2"/>
  <c r="T2036" i="2"/>
  <c r="P2037" i="2"/>
  <c r="T2038" i="2"/>
  <c r="P2039" i="2"/>
  <c r="T2040" i="2"/>
  <c r="P2041" i="2"/>
  <c r="T2042" i="2"/>
  <c r="P2043" i="2"/>
  <c r="T2044" i="2"/>
  <c r="P2045" i="2"/>
  <c r="T2046" i="2"/>
  <c r="E2047" i="5"/>
  <c r="T2047" i="2"/>
  <c r="E2048" i="5"/>
  <c r="T2048" i="2"/>
  <c r="Y2048" i="2"/>
  <c r="A2050" i="5"/>
  <c r="P2050" i="2"/>
  <c r="D2050" i="5"/>
  <c r="Z2050" i="2"/>
  <c r="E2051" i="5"/>
  <c r="T2051" i="2"/>
  <c r="E2052" i="5"/>
  <c r="T2052" i="2"/>
  <c r="Y2052" i="2"/>
  <c r="A2054" i="5"/>
  <c r="P2054" i="2"/>
  <c r="D2054" i="5"/>
  <c r="Z2054" i="2"/>
  <c r="E2055" i="5"/>
  <c r="T2055" i="2"/>
  <c r="E2056" i="5"/>
  <c r="T2056" i="2"/>
  <c r="Y2056" i="2"/>
  <c r="A2058" i="5"/>
  <c r="P2058" i="2"/>
  <c r="D2058" i="5"/>
  <c r="Z2058" i="2"/>
  <c r="E2059" i="5"/>
  <c r="T2059" i="2"/>
  <c r="E2060" i="5"/>
  <c r="T2060" i="2"/>
  <c r="Y2060" i="2"/>
  <c r="A2062" i="5"/>
  <c r="P2062" i="2"/>
  <c r="D2062" i="5"/>
  <c r="Z2062" i="2"/>
  <c r="E2063" i="5"/>
  <c r="T2063" i="2"/>
  <c r="E2064" i="5"/>
  <c r="T2064" i="2"/>
  <c r="Y2064" i="2"/>
  <c r="A2066" i="5"/>
  <c r="P2066" i="2"/>
  <c r="D2066" i="5"/>
  <c r="Z2066" i="2"/>
  <c r="E2067" i="5"/>
  <c r="T2067" i="2"/>
  <c r="E2068" i="5"/>
  <c r="T2068" i="2"/>
  <c r="Y2068" i="2"/>
  <c r="A2070" i="5"/>
  <c r="P2070" i="2"/>
  <c r="D2070" i="5"/>
  <c r="Z2070" i="2"/>
  <c r="E2071" i="5"/>
  <c r="T2071" i="2"/>
  <c r="E2072" i="5"/>
  <c r="T2072" i="2"/>
  <c r="Y2072" i="2"/>
  <c r="A2074" i="5"/>
  <c r="P2074" i="2"/>
  <c r="D2074" i="5"/>
  <c r="Z2074" i="2"/>
  <c r="E2075" i="5"/>
  <c r="T2075" i="2"/>
  <c r="E2076" i="5"/>
  <c r="T2076" i="2"/>
  <c r="Y2076" i="2"/>
  <c r="A2078" i="5"/>
  <c r="P2078" i="2"/>
  <c r="D2078" i="5"/>
  <c r="Z2078" i="2"/>
  <c r="E2079" i="5"/>
  <c r="T2079" i="2"/>
  <c r="E2080" i="5"/>
  <c r="T2080" i="2"/>
  <c r="Y2080" i="2"/>
  <c r="A2082" i="5"/>
  <c r="P2082" i="2"/>
  <c r="D2082" i="5"/>
  <c r="Z2082" i="2"/>
  <c r="E2083" i="5"/>
  <c r="T2083" i="2"/>
  <c r="E2084" i="5"/>
  <c r="T2084" i="2"/>
  <c r="Y2084" i="2"/>
  <c r="A2086" i="5"/>
  <c r="P2086" i="2"/>
  <c r="D2086" i="5"/>
  <c r="Z2086" i="2"/>
  <c r="E2087" i="5"/>
  <c r="T2087" i="2"/>
  <c r="E2088" i="5"/>
  <c r="T2088" i="2"/>
  <c r="Y2088" i="2"/>
  <c r="A2090" i="5"/>
  <c r="P2090" i="2"/>
  <c r="D2090" i="5"/>
  <c r="Z2090" i="2"/>
  <c r="E2091" i="5"/>
  <c r="T2091" i="2"/>
  <c r="E2092" i="5"/>
  <c r="T2092" i="2"/>
  <c r="Y2092" i="2"/>
  <c r="A2094" i="5"/>
  <c r="P2094" i="2"/>
  <c r="D2094" i="5"/>
  <c r="Z2094" i="2"/>
  <c r="E2095" i="5"/>
  <c r="T2095" i="2"/>
  <c r="E2096" i="5"/>
  <c r="T2096" i="2"/>
  <c r="Y2096" i="2"/>
  <c r="A2098" i="5"/>
  <c r="P2098" i="2"/>
  <c r="D2098" i="5"/>
  <c r="Z2098" i="2"/>
  <c r="E2099" i="5"/>
  <c r="T2099" i="2"/>
  <c r="E2100" i="5"/>
  <c r="T2100" i="2"/>
  <c r="Y2100" i="2"/>
  <c r="A2102" i="5"/>
  <c r="P2102" i="2"/>
  <c r="D2102" i="5"/>
  <c r="Z2102" i="2"/>
  <c r="E2103" i="5"/>
  <c r="T2103" i="2"/>
  <c r="E2104" i="5"/>
  <c r="T2104" i="2"/>
  <c r="Y2104" i="2"/>
  <c r="A2106" i="5"/>
  <c r="P2106" i="2"/>
  <c r="D2106" i="5"/>
  <c r="Z2106" i="2"/>
  <c r="E2107" i="5"/>
  <c r="T2107" i="2"/>
  <c r="E2108" i="5"/>
  <c r="T2108" i="2"/>
  <c r="Y2108" i="2"/>
  <c r="E2110" i="5"/>
  <c r="T2110" i="2"/>
  <c r="A2112" i="5"/>
  <c r="P2112" i="2"/>
  <c r="D2112" i="5"/>
  <c r="Y2112" i="2"/>
  <c r="Z2112" i="2"/>
  <c r="E2113" i="5"/>
  <c r="T2113" i="2"/>
  <c r="E2114" i="5"/>
  <c r="T2114" i="2"/>
  <c r="D2116" i="5"/>
  <c r="Y2116" i="2"/>
  <c r="Z2116" i="2"/>
  <c r="D2118" i="5"/>
  <c r="Y2118" i="2"/>
  <c r="Z2118" i="2"/>
  <c r="D2120" i="5"/>
  <c r="Y2120" i="2"/>
  <c r="Z2120" i="2"/>
  <c r="D2122" i="5"/>
  <c r="Y2122" i="2"/>
  <c r="Z2122" i="2"/>
  <c r="D2124" i="5"/>
  <c r="Y2124" i="2"/>
  <c r="Z2124" i="2"/>
  <c r="D2126" i="5"/>
  <c r="Y2126" i="2"/>
  <c r="Z2126" i="2"/>
  <c r="D2128" i="5"/>
  <c r="Y2128" i="2"/>
  <c r="Z2128" i="2"/>
  <c r="D2130" i="5"/>
  <c r="Y2130" i="2"/>
  <c r="Z2130" i="2"/>
  <c r="D2132" i="5"/>
  <c r="Y2132" i="2"/>
  <c r="Z2132" i="2"/>
  <c r="D2134" i="5"/>
  <c r="Y2134" i="2"/>
  <c r="Z2134" i="2"/>
  <c r="D2136" i="5"/>
  <c r="Y2136" i="2"/>
  <c r="Z2136" i="2"/>
  <c r="D2138" i="5"/>
  <c r="Y2138" i="2"/>
  <c r="Z2138" i="2"/>
  <c r="D2140" i="5"/>
  <c r="Y2140" i="2"/>
  <c r="Z2140" i="2"/>
  <c r="D2143" i="5"/>
  <c r="Z2143" i="2"/>
  <c r="Y2143" i="2"/>
  <c r="D2144" i="5"/>
  <c r="Y2144" i="2"/>
  <c r="Z2144" i="2"/>
  <c r="P2144" i="2"/>
  <c r="D2043" i="5"/>
  <c r="Y2043" i="2"/>
  <c r="Z2043" i="2"/>
  <c r="D2045" i="5"/>
  <c r="Y2045" i="2"/>
  <c r="Z2045" i="2"/>
  <c r="P2047" i="2"/>
  <c r="D2049" i="5"/>
  <c r="Z2049" i="2"/>
  <c r="Y2049" i="2"/>
  <c r="P2051" i="2"/>
  <c r="D2053" i="5"/>
  <c r="Z2053" i="2"/>
  <c r="Y2053" i="2"/>
  <c r="P2055" i="2"/>
  <c r="D2057" i="5"/>
  <c r="Z2057" i="2"/>
  <c r="Y2057" i="2"/>
  <c r="P2059" i="2"/>
  <c r="D2061" i="5"/>
  <c r="Z2061" i="2"/>
  <c r="Y2061" i="2"/>
  <c r="P2063" i="2"/>
  <c r="D2065" i="5"/>
  <c r="Z2065" i="2"/>
  <c r="Y2065" i="2"/>
  <c r="P2067" i="2"/>
  <c r="D2069" i="5"/>
  <c r="Z2069" i="2"/>
  <c r="Y2069" i="2"/>
  <c r="P2071" i="2"/>
  <c r="D2073" i="5"/>
  <c r="Z2073" i="2"/>
  <c r="Y2073" i="2"/>
  <c r="P2075" i="2"/>
  <c r="D2077" i="5"/>
  <c r="Z2077" i="2"/>
  <c r="Y2077" i="2"/>
  <c r="P2079" i="2"/>
  <c r="D2081" i="5"/>
  <c r="Z2081" i="2"/>
  <c r="Y2081" i="2"/>
  <c r="P2083" i="2"/>
  <c r="D2085" i="5"/>
  <c r="Z2085" i="2"/>
  <c r="Y2085" i="2"/>
  <c r="P2087" i="2"/>
  <c r="D2089" i="5"/>
  <c r="Z2089" i="2"/>
  <c r="Y2089" i="2"/>
  <c r="P2091" i="2"/>
  <c r="D2093" i="5"/>
  <c r="Z2093" i="2"/>
  <c r="Y2093" i="2"/>
  <c r="P2095" i="2"/>
  <c r="D2097" i="5"/>
  <c r="Z2097" i="2"/>
  <c r="Y2097" i="2"/>
  <c r="P2099" i="2"/>
  <c r="D2101" i="5"/>
  <c r="Z2101" i="2"/>
  <c r="Y2101" i="2"/>
  <c r="P2103" i="2"/>
  <c r="D2105" i="5"/>
  <c r="Z2105" i="2"/>
  <c r="Y2105" i="2"/>
  <c r="P2107" i="2"/>
  <c r="D2109" i="5"/>
  <c r="Z2109" i="2"/>
  <c r="Y2109" i="2"/>
  <c r="Q2113" i="2"/>
  <c r="D2117" i="5"/>
  <c r="Z2117" i="2"/>
  <c r="Y2117" i="2"/>
  <c r="D2119" i="5"/>
  <c r="Z2119" i="2"/>
  <c r="Y2119" i="2"/>
  <c r="D2121" i="5"/>
  <c r="Z2121" i="2"/>
  <c r="Y2121" i="2"/>
  <c r="D2123" i="5"/>
  <c r="Z2123" i="2"/>
  <c r="Y2123" i="2"/>
  <c r="D2125" i="5"/>
  <c r="Z2125" i="2"/>
  <c r="Y2125" i="2"/>
  <c r="D2127" i="5"/>
  <c r="Z2127" i="2"/>
  <c r="Y2127" i="2"/>
  <c r="D2129" i="5"/>
  <c r="Z2129" i="2"/>
  <c r="Y2129" i="2"/>
  <c r="D2131" i="5"/>
  <c r="Z2131" i="2"/>
  <c r="Y2131" i="2"/>
  <c r="D2133" i="5"/>
  <c r="Z2133" i="2"/>
  <c r="Y2133" i="2"/>
  <c r="D2135" i="5"/>
  <c r="Z2135" i="2"/>
  <c r="Y2135" i="2"/>
  <c r="D2137" i="5"/>
  <c r="Z2137" i="2"/>
  <c r="Y2137" i="2"/>
  <c r="D2139" i="5"/>
  <c r="Z2139" i="2"/>
  <c r="Y2139" i="2"/>
  <c r="D2141" i="5"/>
  <c r="Z2141" i="2"/>
  <c r="Y2141" i="2"/>
  <c r="D2142" i="5"/>
  <c r="Y2142" i="2"/>
  <c r="Z2142" i="2"/>
  <c r="P2142" i="2"/>
  <c r="E2143" i="5"/>
  <c r="T2143" i="2"/>
  <c r="E2149" i="5"/>
  <c r="T2149" i="2"/>
  <c r="E2152" i="5"/>
  <c r="T2152" i="2"/>
  <c r="P2141" i="2"/>
  <c r="P2143" i="2"/>
  <c r="D2146" i="5"/>
  <c r="Y2146" i="2"/>
  <c r="T2148" i="2"/>
  <c r="D2150" i="5"/>
  <c r="Y2150" i="2"/>
  <c r="P2150" i="2"/>
  <c r="D2151" i="5"/>
  <c r="Y2151" i="2"/>
  <c r="Z2151" i="2"/>
  <c r="T2151" i="2"/>
  <c r="D2153" i="5"/>
  <c r="Y2153" i="2"/>
  <c r="Z2153" i="2"/>
  <c r="T2153" i="2"/>
  <c r="E2155" i="5"/>
  <c r="T2155" i="2"/>
  <c r="A2158" i="5"/>
  <c r="P2158" i="2"/>
  <c r="D2158" i="5"/>
  <c r="Z2158" i="2"/>
  <c r="Y2158" i="2"/>
  <c r="E2159" i="5"/>
  <c r="T2159" i="2"/>
  <c r="A2162" i="5"/>
  <c r="P2162" i="2"/>
  <c r="D2162" i="5"/>
  <c r="Z2162" i="2"/>
  <c r="Y2162" i="2"/>
  <c r="E2163" i="5"/>
  <c r="T2163" i="2"/>
  <c r="A2166" i="5"/>
  <c r="P2166" i="2"/>
  <c r="D2166" i="5"/>
  <c r="Z2166" i="2"/>
  <c r="Y2166" i="2"/>
  <c r="E2167" i="5"/>
  <c r="T2167" i="2"/>
  <c r="A2170" i="5"/>
  <c r="P2170" i="2"/>
  <c r="D2170" i="5"/>
  <c r="Z2170" i="2"/>
  <c r="Y2170" i="2"/>
  <c r="E2171" i="5"/>
  <c r="T2171" i="2"/>
  <c r="A2174" i="5"/>
  <c r="P2174" i="2"/>
  <c r="D2174" i="5"/>
  <c r="Z2174" i="2"/>
  <c r="Y2174" i="2"/>
  <c r="E2175" i="5"/>
  <c r="T2175" i="2"/>
  <c r="A2178" i="5"/>
  <c r="P2178" i="2"/>
  <c r="D2178" i="5"/>
  <c r="Z2178" i="2"/>
  <c r="Y2178" i="2"/>
  <c r="E2179" i="5"/>
  <c r="T2179" i="2"/>
  <c r="A2182" i="5"/>
  <c r="P2182" i="2"/>
  <c r="D2182" i="5"/>
  <c r="Z2182" i="2"/>
  <c r="Y2182" i="2"/>
  <c r="E2183" i="5"/>
  <c r="T2183" i="2"/>
  <c r="A2186" i="5"/>
  <c r="P2186" i="2"/>
  <c r="D2186" i="5"/>
  <c r="Z2186" i="2"/>
  <c r="Y2186" i="2"/>
  <c r="E2187" i="5"/>
  <c r="T2187" i="2"/>
  <c r="A2190" i="5"/>
  <c r="P2190" i="2"/>
  <c r="D2190" i="5"/>
  <c r="Z2190" i="2"/>
  <c r="Y2190" i="2"/>
  <c r="E2191" i="5"/>
  <c r="T2191" i="2"/>
  <c r="A2194" i="5"/>
  <c r="P2194" i="2"/>
  <c r="D2194" i="5"/>
  <c r="Z2194" i="2"/>
  <c r="Y2194" i="2"/>
  <c r="E2195" i="5"/>
  <c r="T2195" i="2"/>
  <c r="A2198" i="5"/>
  <c r="P2198" i="2"/>
  <c r="D2198" i="5"/>
  <c r="Z2198" i="2"/>
  <c r="Y2198" i="2"/>
  <c r="E2199" i="5"/>
  <c r="T2199" i="2"/>
  <c r="D2200" i="5"/>
  <c r="Z2200" i="2"/>
  <c r="Y2200" i="2"/>
  <c r="D2206" i="5"/>
  <c r="Z2206" i="2"/>
  <c r="Y2206" i="2"/>
  <c r="D2212" i="5"/>
  <c r="Z2212" i="2"/>
  <c r="Y2212" i="2"/>
  <c r="D2222" i="5"/>
  <c r="Z2222" i="2"/>
  <c r="Y2222" i="2"/>
  <c r="D2228" i="5"/>
  <c r="Z2228" i="2"/>
  <c r="Y2228" i="2"/>
  <c r="D2238" i="5"/>
  <c r="Z2238" i="2"/>
  <c r="Y2238" i="2"/>
  <c r="D2244" i="5"/>
  <c r="Z2244" i="2"/>
  <c r="Y2244" i="2"/>
  <c r="D2254" i="5"/>
  <c r="Z2254" i="2"/>
  <c r="Y2254" i="2"/>
  <c r="D2260" i="5"/>
  <c r="Z2260" i="2"/>
  <c r="Y2260" i="2"/>
  <c r="D2270" i="5"/>
  <c r="Z2270" i="2"/>
  <c r="Y2270" i="2"/>
  <c r="D2276" i="5"/>
  <c r="Z2276" i="2"/>
  <c r="Y2276" i="2"/>
  <c r="D2286" i="5"/>
  <c r="Z2286" i="2"/>
  <c r="Y2286" i="2"/>
  <c r="D2292" i="5"/>
  <c r="Z2292" i="2"/>
  <c r="Y2292" i="2"/>
  <c r="D2296" i="5"/>
  <c r="Z2296" i="2"/>
  <c r="Y2296" i="2"/>
  <c r="D2300" i="5"/>
  <c r="Z2300" i="2"/>
  <c r="Y2300" i="2"/>
  <c r="D2304" i="5"/>
  <c r="Z2304" i="2"/>
  <c r="Y2304" i="2"/>
  <c r="D2308" i="5"/>
  <c r="Z2308" i="2"/>
  <c r="Y2308" i="2"/>
  <c r="D2312" i="5"/>
  <c r="Z2312" i="2"/>
  <c r="Y2312" i="2"/>
  <c r="Y2111" i="2"/>
  <c r="Y2113" i="2"/>
  <c r="Y2115" i="2"/>
  <c r="Z2146" i="2"/>
  <c r="D2147" i="5"/>
  <c r="Y2147" i="2"/>
  <c r="P2147" i="2"/>
  <c r="Z2150" i="2"/>
  <c r="A2157" i="5"/>
  <c r="P2157" i="2"/>
  <c r="D2157" i="5"/>
  <c r="Y2157" i="2"/>
  <c r="Z2157" i="2"/>
  <c r="E2158" i="5"/>
  <c r="T2158" i="2"/>
  <c r="A2161" i="5"/>
  <c r="P2161" i="2"/>
  <c r="D2161" i="5"/>
  <c r="Y2161" i="2"/>
  <c r="Z2161" i="2"/>
  <c r="E2162" i="5"/>
  <c r="T2162" i="2"/>
  <c r="A2165" i="5"/>
  <c r="P2165" i="2"/>
  <c r="D2165" i="5"/>
  <c r="Y2165" i="2"/>
  <c r="Z2165" i="2"/>
  <c r="E2166" i="5"/>
  <c r="T2166" i="2"/>
  <c r="A2169" i="5"/>
  <c r="P2169" i="2"/>
  <c r="D2169" i="5"/>
  <c r="Y2169" i="2"/>
  <c r="Z2169" i="2"/>
  <c r="E2170" i="5"/>
  <c r="T2170" i="2"/>
  <c r="A2173" i="5"/>
  <c r="P2173" i="2"/>
  <c r="D2173" i="5"/>
  <c r="Y2173" i="2"/>
  <c r="Z2173" i="2"/>
  <c r="E2174" i="5"/>
  <c r="T2174" i="2"/>
  <c r="A2177" i="5"/>
  <c r="P2177" i="2"/>
  <c r="D2177" i="5"/>
  <c r="Y2177" i="2"/>
  <c r="Z2177" i="2"/>
  <c r="E2178" i="5"/>
  <c r="T2178" i="2"/>
  <c r="A2181" i="5"/>
  <c r="P2181" i="2"/>
  <c r="D2181" i="5"/>
  <c r="Y2181" i="2"/>
  <c r="Z2181" i="2"/>
  <c r="E2182" i="5"/>
  <c r="T2182" i="2"/>
  <c r="A2185" i="5"/>
  <c r="P2185" i="2"/>
  <c r="D2185" i="5"/>
  <c r="Y2185" i="2"/>
  <c r="Z2185" i="2"/>
  <c r="E2186" i="5"/>
  <c r="T2186" i="2"/>
  <c r="A2189" i="5"/>
  <c r="P2189" i="2"/>
  <c r="D2189" i="5"/>
  <c r="Y2189" i="2"/>
  <c r="Z2189" i="2"/>
  <c r="E2190" i="5"/>
  <c r="T2190" i="2"/>
  <c r="A2193" i="5"/>
  <c r="P2193" i="2"/>
  <c r="D2193" i="5"/>
  <c r="Y2193" i="2"/>
  <c r="Z2193" i="2"/>
  <c r="E2194" i="5"/>
  <c r="T2194" i="2"/>
  <c r="A2197" i="5"/>
  <c r="P2197" i="2"/>
  <c r="D2197" i="5"/>
  <c r="Y2197" i="2"/>
  <c r="Z2197" i="2"/>
  <c r="E2198" i="5"/>
  <c r="T2198" i="2"/>
  <c r="D2202" i="5"/>
  <c r="Z2202" i="2"/>
  <c r="Y2202" i="2"/>
  <c r="D2208" i="5"/>
  <c r="Z2208" i="2"/>
  <c r="Y2208" i="2"/>
  <c r="D2218" i="5"/>
  <c r="Z2218" i="2"/>
  <c r="Y2218" i="2"/>
  <c r="D2224" i="5"/>
  <c r="Z2224" i="2"/>
  <c r="Y2224" i="2"/>
  <c r="D2234" i="5"/>
  <c r="Z2234" i="2"/>
  <c r="Y2234" i="2"/>
  <c r="D2240" i="5"/>
  <c r="Z2240" i="2"/>
  <c r="Y2240" i="2"/>
  <c r="D2250" i="5"/>
  <c r="Z2250" i="2"/>
  <c r="Y2250" i="2"/>
  <c r="D2256" i="5"/>
  <c r="Z2256" i="2"/>
  <c r="Y2256" i="2"/>
  <c r="D2266" i="5"/>
  <c r="Z2266" i="2"/>
  <c r="Y2266" i="2"/>
  <c r="D2272" i="5"/>
  <c r="Z2272" i="2"/>
  <c r="Y2272" i="2"/>
  <c r="D2282" i="5"/>
  <c r="Z2282" i="2"/>
  <c r="Y2282" i="2"/>
  <c r="D2288" i="5"/>
  <c r="Z2288" i="2"/>
  <c r="Y2288" i="2"/>
  <c r="Z2111" i="2"/>
  <c r="Z2113" i="2"/>
  <c r="Z2115" i="2"/>
  <c r="T2142" i="2"/>
  <c r="T2144" i="2"/>
  <c r="Z2147" i="2"/>
  <c r="D2148" i="5"/>
  <c r="Y2148" i="2"/>
  <c r="P2148" i="2"/>
  <c r="A2156" i="5"/>
  <c r="P2156" i="2"/>
  <c r="D2156" i="5"/>
  <c r="Z2156" i="2"/>
  <c r="Y2156" i="2"/>
  <c r="E2157" i="5"/>
  <c r="T2157" i="2"/>
  <c r="A2160" i="5"/>
  <c r="P2160" i="2"/>
  <c r="D2160" i="5"/>
  <c r="Z2160" i="2"/>
  <c r="Y2160" i="2"/>
  <c r="E2161" i="5"/>
  <c r="T2161" i="2"/>
  <c r="A2164" i="5"/>
  <c r="P2164" i="2"/>
  <c r="D2164" i="5"/>
  <c r="Z2164" i="2"/>
  <c r="Y2164" i="2"/>
  <c r="E2165" i="5"/>
  <c r="T2165" i="2"/>
  <c r="A2168" i="5"/>
  <c r="P2168" i="2"/>
  <c r="D2168" i="5"/>
  <c r="Z2168" i="2"/>
  <c r="Y2168" i="2"/>
  <c r="E2169" i="5"/>
  <c r="T2169" i="2"/>
  <c r="A2172" i="5"/>
  <c r="P2172" i="2"/>
  <c r="D2172" i="5"/>
  <c r="Z2172" i="2"/>
  <c r="Y2172" i="2"/>
  <c r="E2173" i="5"/>
  <c r="T2173" i="2"/>
  <c r="A2176" i="5"/>
  <c r="P2176" i="2"/>
  <c r="D2176" i="5"/>
  <c r="Z2176" i="2"/>
  <c r="Y2176" i="2"/>
  <c r="E2177" i="5"/>
  <c r="T2177" i="2"/>
  <c r="A2180" i="5"/>
  <c r="P2180" i="2"/>
  <c r="D2180" i="5"/>
  <c r="Z2180" i="2"/>
  <c r="Y2180" i="2"/>
  <c r="E2181" i="5"/>
  <c r="T2181" i="2"/>
  <c r="A2184" i="5"/>
  <c r="P2184" i="2"/>
  <c r="D2184" i="5"/>
  <c r="Z2184" i="2"/>
  <c r="Y2184" i="2"/>
  <c r="E2185" i="5"/>
  <c r="T2185" i="2"/>
  <c r="A2188" i="5"/>
  <c r="P2188" i="2"/>
  <c r="D2188" i="5"/>
  <c r="Z2188" i="2"/>
  <c r="Y2188" i="2"/>
  <c r="E2189" i="5"/>
  <c r="T2189" i="2"/>
  <c r="A2192" i="5"/>
  <c r="P2192" i="2"/>
  <c r="D2192" i="5"/>
  <c r="Z2192" i="2"/>
  <c r="Y2192" i="2"/>
  <c r="E2193" i="5"/>
  <c r="T2193" i="2"/>
  <c r="A2196" i="5"/>
  <c r="P2196" i="2"/>
  <c r="D2196" i="5"/>
  <c r="Z2196" i="2"/>
  <c r="Y2196" i="2"/>
  <c r="E2197" i="5"/>
  <c r="T2197" i="2"/>
  <c r="D2204" i="5"/>
  <c r="Z2204" i="2"/>
  <c r="Y2204" i="2"/>
  <c r="D2214" i="5"/>
  <c r="Z2214" i="2"/>
  <c r="Y2214" i="2"/>
  <c r="D2220" i="5"/>
  <c r="Z2220" i="2"/>
  <c r="Y2220" i="2"/>
  <c r="D2230" i="5"/>
  <c r="Z2230" i="2"/>
  <c r="Y2230" i="2"/>
  <c r="D2236" i="5"/>
  <c r="Z2236" i="2"/>
  <c r="Y2236" i="2"/>
  <c r="D2246" i="5"/>
  <c r="Z2246" i="2"/>
  <c r="Y2246" i="2"/>
  <c r="D2252" i="5"/>
  <c r="Z2252" i="2"/>
  <c r="Y2252" i="2"/>
  <c r="D2262" i="5"/>
  <c r="Z2262" i="2"/>
  <c r="Y2262" i="2"/>
  <c r="D2268" i="5"/>
  <c r="Z2268" i="2"/>
  <c r="Y2268" i="2"/>
  <c r="D2278" i="5"/>
  <c r="Z2278" i="2"/>
  <c r="Y2278" i="2"/>
  <c r="D2284" i="5"/>
  <c r="Z2284" i="2"/>
  <c r="Y2284" i="2"/>
  <c r="D2294" i="5"/>
  <c r="Z2294" i="2"/>
  <c r="Y2294" i="2"/>
  <c r="D2298" i="5"/>
  <c r="Z2298" i="2"/>
  <c r="Y2298" i="2"/>
  <c r="D2302" i="5"/>
  <c r="Z2302" i="2"/>
  <c r="Y2302" i="2"/>
  <c r="D2306" i="5"/>
  <c r="Z2306" i="2"/>
  <c r="Y2306" i="2"/>
  <c r="D2310" i="5"/>
  <c r="Z2310" i="2"/>
  <c r="Y2310" i="2"/>
  <c r="D2314" i="5"/>
  <c r="Z2314" i="2"/>
  <c r="Y2314" i="2"/>
  <c r="D2145" i="5"/>
  <c r="Y2145" i="2"/>
  <c r="P2145" i="2"/>
  <c r="T2147" i="2"/>
  <c r="D2149" i="5"/>
  <c r="Y2149" i="2"/>
  <c r="P2151" i="2"/>
  <c r="A2152" i="5"/>
  <c r="P2152" i="2"/>
  <c r="D2152" i="5"/>
  <c r="Y2152" i="2"/>
  <c r="P2153" i="2"/>
  <c r="A2154" i="5"/>
  <c r="P2154" i="2"/>
  <c r="D2154" i="5"/>
  <c r="Z2154" i="2"/>
  <c r="Y2154" i="2"/>
  <c r="A2155" i="5"/>
  <c r="P2155" i="2"/>
  <c r="D2155" i="5"/>
  <c r="Y2155" i="2"/>
  <c r="Z2155" i="2"/>
  <c r="E2156" i="5"/>
  <c r="T2156" i="2"/>
  <c r="A2159" i="5"/>
  <c r="P2159" i="2"/>
  <c r="D2159" i="5"/>
  <c r="Y2159" i="2"/>
  <c r="Z2159" i="2"/>
  <c r="E2160" i="5"/>
  <c r="T2160" i="2"/>
  <c r="A2163" i="5"/>
  <c r="P2163" i="2"/>
  <c r="D2163" i="5"/>
  <c r="Y2163" i="2"/>
  <c r="Z2163" i="2"/>
  <c r="E2164" i="5"/>
  <c r="T2164" i="2"/>
  <c r="A2167" i="5"/>
  <c r="P2167" i="2"/>
  <c r="D2167" i="5"/>
  <c r="Y2167" i="2"/>
  <c r="Z2167" i="2"/>
  <c r="E2168" i="5"/>
  <c r="T2168" i="2"/>
  <c r="A2171" i="5"/>
  <c r="P2171" i="2"/>
  <c r="D2171" i="5"/>
  <c r="Y2171" i="2"/>
  <c r="Z2171" i="2"/>
  <c r="E2172" i="5"/>
  <c r="T2172" i="2"/>
  <c r="A2175" i="5"/>
  <c r="P2175" i="2"/>
  <c r="D2175" i="5"/>
  <c r="Y2175" i="2"/>
  <c r="Z2175" i="2"/>
  <c r="E2176" i="5"/>
  <c r="T2176" i="2"/>
  <c r="A2179" i="5"/>
  <c r="P2179" i="2"/>
  <c r="D2179" i="5"/>
  <c r="Y2179" i="2"/>
  <c r="Z2179" i="2"/>
  <c r="E2180" i="5"/>
  <c r="T2180" i="2"/>
  <c r="A2183" i="5"/>
  <c r="P2183" i="2"/>
  <c r="D2183" i="5"/>
  <c r="Y2183" i="2"/>
  <c r="Z2183" i="2"/>
  <c r="E2184" i="5"/>
  <c r="T2184" i="2"/>
  <c r="A2187" i="5"/>
  <c r="P2187" i="2"/>
  <c r="D2187" i="5"/>
  <c r="Y2187" i="2"/>
  <c r="Z2187" i="2"/>
  <c r="E2188" i="5"/>
  <c r="T2188" i="2"/>
  <c r="A2191" i="5"/>
  <c r="P2191" i="2"/>
  <c r="D2191" i="5"/>
  <c r="Y2191" i="2"/>
  <c r="Z2191" i="2"/>
  <c r="E2192" i="5"/>
  <c r="T2192" i="2"/>
  <c r="A2195" i="5"/>
  <c r="P2195" i="2"/>
  <c r="D2195" i="5"/>
  <c r="Y2195" i="2"/>
  <c r="Z2195" i="2"/>
  <c r="E2196" i="5"/>
  <c r="T2196" i="2"/>
  <c r="A2199" i="5"/>
  <c r="P2199" i="2"/>
  <c r="D2199" i="5"/>
  <c r="Y2199" i="2"/>
  <c r="Z2199" i="2"/>
  <c r="D2210" i="5"/>
  <c r="Z2210" i="2"/>
  <c r="Y2210" i="2"/>
  <c r="D2216" i="5"/>
  <c r="Z2216" i="2"/>
  <c r="Y2216" i="2"/>
  <c r="D2226" i="5"/>
  <c r="Z2226" i="2"/>
  <c r="Y2226" i="2"/>
  <c r="D2232" i="5"/>
  <c r="Z2232" i="2"/>
  <c r="Y2232" i="2"/>
  <c r="D2242" i="5"/>
  <c r="Z2242" i="2"/>
  <c r="Y2242" i="2"/>
  <c r="D2248" i="5"/>
  <c r="Z2248" i="2"/>
  <c r="Y2248" i="2"/>
  <c r="D2258" i="5"/>
  <c r="Z2258" i="2"/>
  <c r="Y2258" i="2"/>
  <c r="D2264" i="5"/>
  <c r="Z2264" i="2"/>
  <c r="Y2264" i="2"/>
  <c r="D2274" i="5"/>
  <c r="Z2274" i="2"/>
  <c r="Y2274" i="2"/>
  <c r="D2280" i="5"/>
  <c r="Z2280" i="2"/>
  <c r="Y2280" i="2"/>
  <c r="D2290" i="5"/>
  <c r="Z2290" i="2"/>
  <c r="Y2290" i="2"/>
  <c r="P2200" i="2"/>
  <c r="D2201" i="5"/>
  <c r="Z2201" i="2"/>
  <c r="Y2201" i="2"/>
  <c r="E2203" i="5"/>
  <c r="T2203" i="2"/>
  <c r="D2205" i="5"/>
  <c r="Z2205" i="2"/>
  <c r="Y2205" i="2"/>
  <c r="E2207" i="5"/>
  <c r="T2207" i="2"/>
  <c r="D2209" i="5"/>
  <c r="Z2209" i="2"/>
  <c r="Y2209" i="2"/>
  <c r="E2211" i="5"/>
  <c r="T2211" i="2"/>
  <c r="D2213" i="5"/>
  <c r="Z2213" i="2"/>
  <c r="Y2213" i="2"/>
  <c r="E2215" i="5"/>
  <c r="T2215" i="2"/>
  <c r="D2217" i="5"/>
  <c r="Z2217" i="2"/>
  <c r="Y2217" i="2"/>
  <c r="E2219" i="5"/>
  <c r="T2219" i="2"/>
  <c r="D2221" i="5"/>
  <c r="Z2221" i="2"/>
  <c r="Y2221" i="2"/>
  <c r="E2223" i="5"/>
  <c r="T2223" i="2"/>
  <c r="D2225" i="5"/>
  <c r="Z2225" i="2"/>
  <c r="Y2225" i="2"/>
  <c r="E2227" i="5"/>
  <c r="T2227" i="2"/>
  <c r="D2229" i="5"/>
  <c r="Z2229" i="2"/>
  <c r="Y2229" i="2"/>
  <c r="E2231" i="5"/>
  <c r="T2231" i="2"/>
  <c r="D2233" i="5"/>
  <c r="Z2233" i="2"/>
  <c r="Y2233" i="2"/>
  <c r="E2235" i="5"/>
  <c r="T2235" i="2"/>
  <c r="D2237" i="5"/>
  <c r="Z2237" i="2"/>
  <c r="Y2237" i="2"/>
  <c r="E2239" i="5"/>
  <c r="T2239" i="2"/>
  <c r="D2241" i="5"/>
  <c r="Z2241" i="2"/>
  <c r="Y2241" i="2"/>
  <c r="E2243" i="5"/>
  <c r="T2243" i="2"/>
  <c r="D2245" i="5"/>
  <c r="Z2245" i="2"/>
  <c r="Y2245" i="2"/>
  <c r="E2247" i="5"/>
  <c r="T2247" i="2"/>
  <c r="D2249" i="5"/>
  <c r="Z2249" i="2"/>
  <c r="Y2249" i="2"/>
  <c r="E2251" i="5"/>
  <c r="T2251" i="2"/>
  <c r="D2253" i="5"/>
  <c r="Z2253" i="2"/>
  <c r="Y2253" i="2"/>
  <c r="E2255" i="5"/>
  <c r="T2255" i="2"/>
  <c r="D2257" i="5"/>
  <c r="Z2257" i="2"/>
  <c r="Y2257" i="2"/>
  <c r="E2259" i="5"/>
  <c r="T2259" i="2"/>
  <c r="D2261" i="5"/>
  <c r="Z2261" i="2"/>
  <c r="Y2261" i="2"/>
  <c r="E2263" i="5"/>
  <c r="T2263" i="2"/>
  <c r="D2265" i="5"/>
  <c r="Z2265" i="2"/>
  <c r="Y2265" i="2"/>
  <c r="E2267" i="5"/>
  <c r="T2267" i="2"/>
  <c r="D2269" i="5"/>
  <c r="Z2269" i="2"/>
  <c r="Y2269" i="2"/>
  <c r="E2271" i="5"/>
  <c r="T2271" i="2"/>
  <c r="D2273" i="5"/>
  <c r="Z2273" i="2"/>
  <c r="Y2273" i="2"/>
  <c r="E2275" i="5"/>
  <c r="T2275" i="2"/>
  <c r="D2277" i="5"/>
  <c r="Z2277" i="2"/>
  <c r="Y2277" i="2"/>
  <c r="E2279" i="5"/>
  <c r="T2279" i="2"/>
  <c r="D2281" i="5"/>
  <c r="Z2281" i="2"/>
  <c r="Y2281" i="2"/>
  <c r="E2283" i="5"/>
  <c r="T2283" i="2"/>
  <c r="D2285" i="5"/>
  <c r="Z2285" i="2"/>
  <c r="Y2285" i="2"/>
  <c r="E2287" i="5"/>
  <c r="T2287" i="2"/>
  <c r="D2289" i="5"/>
  <c r="Z2289" i="2"/>
  <c r="Y2289" i="2"/>
  <c r="E2291" i="5"/>
  <c r="T2291" i="2"/>
  <c r="D2293" i="5"/>
  <c r="Z2293" i="2"/>
  <c r="Y2293" i="2"/>
  <c r="E2295" i="5"/>
  <c r="T2295" i="2"/>
  <c r="D2297" i="5"/>
  <c r="Z2297" i="2"/>
  <c r="Y2297" i="2"/>
  <c r="E2299" i="5"/>
  <c r="T2299" i="2"/>
  <c r="D2301" i="5"/>
  <c r="Z2301" i="2"/>
  <c r="Y2301" i="2"/>
  <c r="E2303" i="5"/>
  <c r="T2303" i="2"/>
  <c r="D2305" i="5"/>
  <c r="Z2305" i="2"/>
  <c r="Y2305" i="2"/>
  <c r="E2307" i="5"/>
  <c r="T2307" i="2"/>
  <c r="D2309" i="5"/>
  <c r="Z2309" i="2"/>
  <c r="Y2309" i="2"/>
  <c r="E2311" i="5"/>
  <c r="T2311" i="2"/>
  <c r="D2313" i="5"/>
  <c r="Z2313" i="2"/>
  <c r="Y2313" i="2"/>
  <c r="P2315" i="2"/>
  <c r="R2325" i="2"/>
  <c r="AP2325" i="2" s="1"/>
  <c r="Q2373" i="2"/>
  <c r="E2393" i="5"/>
  <c r="T2393" i="2"/>
  <c r="E2397" i="5"/>
  <c r="T2397" i="2"/>
  <c r="E2401" i="5"/>
  <c r="T2401" i="2"/>
  <c r="E2405" i="5"/>
  <c r="T2405" i="2"/>
  <c r="E2202" i="5"/>
  <c r="T2202" i="2"/>
  <c r="P2203" i="2"/>
  <c r="E2206" i="5"/>
  <c r="T2206" i="2"/>
  <c r="P2207" i="2"/>
  <c r="E2210" i="5"/>
  <c r="T2210" i="2"/>
  <c r="P2211" i="2"/>
  <c r="E2214" i="5"/>
  <c r="T2214" i="2"/>
  <c r="P2215" i="2"/>
  <c r="E2218" i="5"/>
  <c r="T2218" i="2"/>
  <c r="P2219" i="2"/>
  <c r="E2222" i="5"/>
  <c r="T2222" i="2"/>
  <c r="P2223" i="2"/>
  <c r="E2226" i="5"/>
  <c r="T2226" i="2"/>
  <c r="P2227" i="2"/>
  <c r="E2230" i="5"/>
  <c r="T2230" i="2"/>
  <c r="P2231" i="2"/>
  <c r="E2234" i="5"/>
  <c r="T2234" i="2"/>
  <c r="P2235" i="2"/>
  <c r="E2238" i="5"/>
  <c r="T2238" i="2"/>
  <c r="P2239" i="2"/>
  <c r="E2242" i="5"/>
  <c r="T2242" i="2"/>
  <c r="P2243" i="2"/>
  <c r="E2246" i="5"/>
  <c r="T2246" i="2"/>
  <c r="P2247" i="2"/>
  <c r="E2250" i="5"/>
  <c r="T2250" i="2"/>
  <c r="P2251" i="2"/>
  <c r="E2254" i="5"/>
  <c r="T2254" i="2"/>
  <c r="P2255" i="2"/>
  <c r="E2258" i="5"/>
  <c r="T2258" i="2"/>
  <c r="P2259" i="2"/>
  <c r="E2262" i="5"/>
  <c r="T2262" i="2"/>
  <c r="P2263" i="2"/>
  <c r="E2266" i="5"/>
  <c r="T2266" i="2"/>
  <c r="P2267" i="2"/>
  <c r="E2270" i="5"/>
  <c r="T2270" i="2"/>
  <c r="P2271" i="2"/>
  <c r="E2274" i="5"/>
  <c r="T2274" i="2"/>
  <c r="P2275" i="2"/>
  <c r="Q2276" i="2"/>
  <c r="E2278" i="5"/>
  <c r="T2278" i="2"/>
  <c r="P2279" i="2"/>
  <c r="Q2280" i="2"/>
  <c r="E2282" i="5"/>
  <c r="T2282" i="2"/>
  <c r="P2283" i="2"/>
  <c r="E2286" i="5"/>
  <c r="T2286" i="2"/>
  <c r="P2287" i="2"/>
  <c r="E2290" i="5"/>
  <c r="T2290" i="2"/>
  <c r="P2291" i="2"/>
  <c r="E2294" i="5"/>
  <c r="T2294" i="2"/>
  <c r="P2295" i="2"/>
  <c r="E2298" i="5"/>
  <c r="T2298" i="2"/>
  <c r="P2299" i="2"/>
  <c r="E2302" i="5"/>
  <c r="T2302" i="2"/>
  <c r="P2303" i="2"/>
  <c r="E2306" i="5"/>
  <c r="T2306" i="2"/>
  <c r="P2307" i="2"/>
  <c r="E2310" i="5"/>
  <c r="T2310" i="2"/>
  <c r="P2311" i="2"/>
  <c r="E2314" i="5"/>
  <c r="T2314" i="2"/>
  <c r="D2315" i="5"/>
  <c r="Z2315" i="2"/>
  <c r="Y2315" i="2"/>
  <c r="E2316" i="5"/>
  <c r="T2316" i="2"/>
  <c r="D2317" i="5"/>
  <c r="Z2317" i="2"/>
  <c r="Y2317" i="2"/>
  <c r="E2318" i="5"/>
  <c r="T2318" i="2"/>
  <c r="D2319" i="5"/>
  <c r="Z2319" i="2"/>
  <c r="Y2319" i="2"/>
  <c r="E2320" i="5"/>
  <c r="T2320" i="2"/>
  <c r="D2321" i="5"/>
  <c r="Z2321" i="2"/>
  <c r="Y2321" i="2"/>
  <c r="E2322" i="5"/>
  <c r="T2322" i="2"/>
  <c r="D2323" i="5"/>
  <c r="Z2323" i="2"/>
  <c r="Y2323" i="2"/>
  <c r="E2324" i="5"/>
  <c r="T2324" i="2"/>
  <c r="D2325" i="5"/>
  <c r="Z2325" i="2"/>
  <c r="Y2325" i="2"/>
  <c r="E2326" i="5"/>
  <c r="T2326" i="2"/>
  <c r="D2327" i="5"/>
  <c r="Z2327" i="2"/>
  <c r="Y2327" i="2"/>
  <c r="E2328" i="5"/>
  <c r="T2328" i="2"/>
  <c r="D2329" i="5"/>
  <c r="Z2329" i="2"/>
  <c r="Y2329" i="2"/>
  <c r="E2330" i="5"/>
  <c r="T2330" i="2"/>
  <c r="D2331" i="5"/>
  <c r="Z2331" i="2"/>
  <c r="Y2331" i="2"/>
  <c r="E2332" i="5"/>
  <c r="T2332" i="2"/>
  <c r="D2333" i="5"/>
  <c r="Z2333" i="2"/>
  <c r="Y2333" i="2"/>
  <c r="E2334" i="5"/>
  <c r="T2334" i="2"/>
  <c r="D2335" i="5"/>
  <c r="Z2335" i="2"/>
  <c r="Y2335" i="2"/>
  <c r="E2336" i="5"/>
  <c r="T2336" i="2"/>
  <c r="D2337" i="5"/>
  <c r="Z2337" i="2"/>
  <c r="Y2337" i="2"/>
  <c r="E2338" i="5"/>
  <c r="T2338" i="2"/>
  <c r="D2339" i="5"/>
  <c r="Z2339" i="2"/>
  <c r="Y2339" i="2"/>
  <c r="E2340" i="5"/>
  <c r="T2340" i="2"/>
  <c r="D2341" i="5"/>
  <c r="Z2341" i="2"/>
  <c r="Y2341" i="2"/>
  <c r="E2342" i="5"/>
  <c r="T2342" i="2"/>
  <c r="D2343" i="5"/>
  <c r="Z2343" i="2"/>
  <c r="Y2343" i="2"/>
  <c r="E2344" i="5"/>
  <c r="T2344" i="2"/>
  <c r="D2345" i="5"/>
  <c r="Z2345" i="2"/>
  <c r="Y2345" i="2"/>
  <c r="E2346" i="5"/>
  <c r="T2346" i="2"/>
  <c r="D2347" i="5"/>
  <c r="Z2347" i="2"/>
  <c r="Y2347" i="2"/>
  <c r="E2348" i="5"/>
  <c r="T2348" i="2"/>
  <c r="D2349" i="5"/>
  <c r="Z2349" i="2"/>
  <c r="Y2349" i="2"/>
  <c r="E2350" i="5"/>
  <c r="T2350" i="2"/>
  <c r="D2351" i="5"/>
  <c r="Z2351" i="2"/>
  <c r="Y2351" i="2"/>
  <c r="E2352" i="5"/>
  <c r="T2352" i="2"/>
  <c r="D2353" i="5"/>
  <c r="Z2353" i="2"/>
  <c r="Y2353" i="2"/>
  <c r="E2354" i="5"/>
  <c r="T2354" i="2"/>
  <c r="D2355" i="5"/>
  <c r="Z2355" i="2"/>
  <c r="Y2355" i="2"/>
  <c r="E2356" i="5"/>
  <c r="T2356" i="2"/>
  <c r="D2357" i="5"/>
  <c r="Z2357" i="2"/>
  <c r="Y2357" i="2"/>
  <c r="E2358" i="5"/>
  <c r="T2358" i="2"/>
  <c r="D2359" i="5"/>
  <c r="Z2359" i="2"/>
  <c r="Y2359" i="2"/>
  <c r="E2360" i="5"/>
  <c r="T2360" i="2"/>
  <c r="D2361" i="5"/>
  <c r="Z2361" i="2"/>
  <c r="Y2361" i="2"/>
  <c r="E2362" i="5"/>
  <c r="T2362" i="2"/>
  <c r="D2363" i="5"/>
  <c r="Z2363" i="2"/>
  <c r="Y2363" i="2"/>
  <c r="E2364" i="5"/>
  <c r="T2364" i="2"/>
  <c r="D2365" i="5"/>
  <c r="Z2365" i="2"/>
  <c r="Y2365" i="2"/>
  <c r="E2366" i="5"/>
  <c r="T2366" i="2"/>
  <c r="D2367" i="5"/>
  <c r="Z2367" i="2"/>
  <c r="Y2367" i="2"/>
  <c r="E2368" i="5"/>
  <c r="T2368" i="2"/>
  <c r="D2369" i="5"/>
  <c r="Z2369" i="2"/>
  <c r="Y2369" i="2"/>
  <c r="E2370" i="5"/>
  <c r="T2370" i="2"/>
  <c r="D2371" i="5"/>
  <c r="Z2371" i="2"/>
  <c r="Y2371" i="2"/>
  <c r="E2372" i="5"/>
  <c r="T2372" i="2"/>
  <c r="D2373" i="5"/>
  <c r="Z2373" i="2"/>
  <c r="Y2373" i="2"/>
  <c r="E2374" i="5"/>
  <c r="T2374" i="2"/>
  <c r="D2375" i="5"/>
  <c r="Z2375" i="2"/>
  <c r="Y2375" i="2"/>
  <c r="E2376" i="5"/>
  <c r="T2376" i="2"/>
  <c r="D2377" i="5"/>
  <c r="Z2377" i="2"/>
  <c r="Y2377" i="2"/>
  <c r="E2378" i="5"/>
  <c r="T2378" i="2"/>
  <c r="D2379" i="5"/>
  <c r="Z2379" i="2"/>
  <c r="Y2379" i="2"/>
  <c r="E2380" i="5"/>
  <c r="T2380" i="2"/>
  <c r="D2381" i="5"/>
  <c r="Z2381" i="2"/>
  <c r="Y2381" i="2"/>
  <c r="E2382" i="5"/>
  <c r="T2382" i="2"/>
  <c r="D2383" i="5"/>
  <c r="Z2383" i="2"/>
  <c r="Y2383" i="2"/>
  <c r="E2384" i="5"/>
  <c r="T2384" i="2"/>
  <c r="D2385" i="5"/>
  <c r="Z2385" i="2"/>
  <c r="Y2385" i="2"/>
  <c r="E2386" i="5"/>
  <c r="T2386" i="2"/>
  <c r="D2387" i="5"/>
  <c r="Z2387" i="2"/>
  <c r="Y2387" i="2"/>
  <c r="E2388" i="5"/>
  <c r="T2388" i="2"/>
  <c r="D2389" i="5"/>
  <c r="Z2389" i="2"/>
  <c r="Y2389" i="2"/>
  <c r="E2390" i="5"/>
  <c r="T2390" i="2"/>
  <c r="D2391" i="5"/>
  <c r="Z2391" i="2"/>
  <c r="Y2391" i="2"/>
  <c r="E2392" i="5"/>
  <c r="T2392" i="2"/>
  <c r="E2201" i="5"/>
  <c r="T2201" i="2"/>
  <c r="D2203" i="5"/>
  <c r="Z2203" i="2"/>
  <c r="Y2203" i="2"/>
  <c r="E2205" i="5"/>
  <c r="T2205" i="2"/>
  <c r="D2207" i="5"/>
  <c r="Z2207" i="2"/>
  <c r="Y2207" i="2"/>
  <c r="E2209" i="5"/>
  <c r="T2209" i="2"/>
  <c r="D2211" i="5"/>
  <c r="Z2211" i="2"/>
  <c r="Y2211" i="2"/>
  <c r="E2213" i="5"/>
  <c r="T2213" i="2"/>
  <c r="D2215" i="5"/>
  <c r="Z2215" i="2"/>
  <c r="Y2215" i="2"/>
  <c r="E2217" i="5"/>
  <c r="T2217" i="2"/>
  <c r="D2219" i="5"/>
  <c r="Z2219" i="2"/>
  <c r="Y2219" i="2"/>
  <c r="E2221" i="5"/>
  <c r="T2221" i="2"/>
  <c r="D2223" i="5"/>
  <c r="Z2223" i="2"/>
  <c r="Y2223" i="2"/>
  <c r="E2225" i="5"/>
  <c r="T2225" i="2"/>
  <c r="D2227" i="5"/>
  <c r="Z2227" i="2"/>
  <c r="Y2227" i="2"/>
  <c r="E2229" i="5"/>
  <c r="T2229" i="2"/>
  <c r="D2231" i="5"/>
  <c r="Z2231" i="2"/>
  <c r="Y2231" i="2"/>
  <c r="E2233" i="5"/>
  <c r="T2233" i="2"/>
  <c r="D2235" i="5"/>
  <c r="Z2235" i="2"/>
  <c r="Y2235" i="2"/>
  <c r="E2237" i="5"/>
  <c r="T2237" i="2"/>
  <c r="D2239" i="5"/>
  <c r="Z2239" i="2"/>
  <c r="Y2239" i="2"/>
  <c r="E2241" i="5"/>
  <c r="T2241" i="2"/>
  <c r="D2243" i="5"/>
  <c r="Z2243" i="2"/>
  <c r="Y2243" i="2"/>
  <c r="E2245" i="5"/>
  <c r="T2245" i="2"/>
  <c r="D2247" i="5"/>
  <c r="Z2247" i="2"/>
  <c r="Y2247" i="2"/>
  <c r="E2249" i="5"/>
  <c r="T2249" i="2"/>
  <c r="D2251" i="5"/>
  <c r="Z2251" i="2"/>
  <c r="Y2251" i="2"/>
  <c r="E2253" i="5"/>
  <c r="T2253" i="2"/>
  <c r="D2255" i="5"/>
  <c r="Z2255" i="2"/>
  <c r="Y2255" i="2"/>
  <c r="E2257" i="5"/>
  <c r="T2257" i="2"/>
  <c r="D2259" i="5"/>
  <c r="Z2259" i="2"/>
  <c r="Y2259" i="2"/>
  <c r="E2261" i="5"/>
  <c r="T2261" i="2"/>
  <c r="D2263" i="5"/>
  <c r="Z2263" i="2"/>
  <c r="Y2263" i="2"/>
  <c r="E2265" i="5"/>
  <c r="T2265" i="2"/>
  <c r="D2267" i="5"/>
  <c r="Z2267" i="2"/>
  <c r="Y2267" i="2"/>
  <c r="E2269" i="5"/>
  <c r="T2269" i="2"/>
  <c r="D2271" i="5"/>
  <c r="Z2271" i="2"/>
  <c r="Y2271" i="2"/>
  <c r="E2273" i="5"/>
  <c r="T2273" i="2"/>
  <c r="D2275" i="5"/>
  <c r="Z2275" i="2"/>
  <c r="Y2275" i="2"/>
  <c r="E2277" i="5"/>
  <c r="T2277" i="2"/>
  <c r="D2279" i="5"/>
  <c r="Z2279" i="2"/>
  <c r="Y2279" i="2"/>
  <c r="E2281" i="5"/>
  <c r="T2281" i="2"/>
  <c r="D2283" i="5"/>
  <c r="Z2283" i="2"/>
  <c r="Y2283" i="2"/>
  <c r="E2285" i="5"/>
  <c r="T2285" i="2"/>
  <c r="D2287" i="5"/>
  <c r="Z2287" i="2"/>
  <c r="Y2287" i="2"/>
  <c r="E2289" i="5"/>
  <c r="T2289" i="2"/>
  <c r="D2291" i="5"/>
  <c r="Z2291" i="2"/>
  <c r="Y2291" i="2"/>
  <c r="E2293" i="5"/>
  <c r="T2293" i="2"/>
  <c r="D2295" i="5"/>
  <c r="Z2295" i="2"/>
  <c r="Y2295" i="2"/>
  <c r="E2297" i="5"/>
  <c r="T2297" i="2"/>
  <c r="D2299" i="5"/>
  <c r="Z2299" i="2"/>
  <c r="Y2299" i="2"/>
  <c r="E2301" i="5"/>
  <c r="T2301" i="2"/>
  <c r="D2303" i="5"/>
  <c r="Z2303" i="2"/>
  <c r="Y2303" i="2"/>
  <c r="E2305" i="5"/>
  <c r="T2305" i="2"/>
  <c r="D2307" i="5"/>
  <c r="Z2307" i="2"/>
  <c r="Y2307" i="2"/>
  <c r="E2309" i="5"/>
  <c r="T2309" i="2"/>
  <c r="D2311" i="5"/>
  <c r="Z2311" i="2"/>
  <c r="Y2311" i="2"/>
  <c r="E2313" i="5"/>
  <c r="T2313" i="2"/>
  <c r="R2316" i="2"/>
  <c r="AP2316" i="2" s="1"/>
  <c r="Q2368" i="2"/>
  <c r="R2384" i="2"/>
  <c r="AP2384" i="2" s="1"/>
  <c r="E2395" i="5"/>
  <c r="T2395" i="2"/>
  <c r="E2399" i="5"/>
  <c r="T2399" i="2"/>
  <c r="E2403" i="5"/>
  <c r="T2403" i="2"/>
  <c r="E2407" i="5"/>
  <c r="T2407" i="2"/>
  <c r="E2200" i="5"/>
  <c r="T2200" i="2"/>
  <c r="P2201" i="2"/>
  <c r="E2204" i="5"/>
  <c r="T2204" i="2"/>
  <c r="P2205" i="2"/>
  <c r="E2208" i="5"/>
  <c r="T2208" i="2"/>
  <c r="P2209" i="2"/>
  <c r="Q2210" i="2"/>
  <c r="E2212" i="5"/>
  <c r="T2212" i="2"/>
  <c r="P2213" i="2"/>
  <c r="E2216" i="5"/>
  <c r="T2216" i="2"/>
  <c r="P2217" i="2"/>
  <c r="Q2218" i="2"/>
  <c r="E2220" i="5"/>
  <c r="T2220" i="2"/>
  <c r="P2221" i="2"/>
  <c r="E2224" i="5"/>
  <c r="T2224" i="2"/>
  <c r="P2225" i="2"/>
  <c r="E2228" i="5"/>
  <c r="T2228" i="2"/>
  <c r="P2229" i="2"/>
  <c r="E2232" i="5"/>
  <c r="T2232" i="2"/>
  <c r="P2233" i="2"/>
  <c r="E2236" i="5"/>
  <c r="T2236" i="2"/>
  <c r="P2237" i="2"/>
  <c r="E2240" i="5"/>
  <c r="T2240" i="2"/>
  <c r="P2241" i="2"/>
  <c r="E2244" i="5"/>
  <c r="T2244" i="2"/>
  <c r="P2245" i="2"/>
  <c r="E2248" i="5"/>
  <c r="T2248" i="2"/>
  <c r="P2249" i="2"/>
  <c r="E2252" i="5"/>
  <c r="T2252" i="2"/>
  <c r="P2253" i="2"/>
  <c r="E2256" i="5"/>
  <c r="T2256" i="2"/>
  <c r="P2257" i="2"/>
  <c r="E2260" i="5"/>
  <c r="T2260" i="2"/>
  <c r="P2261" i="2"/>
  <c r="E2264" i="5"/>
  <c r="T2264" i="2"/>
  <c r="P2265" i="2"/>
  <c r="E2268" i="5"/>
  <c r="T2268" i="2"/>
  <c r="P2269" i="2"/>
  <c r="E2272" i="5"/>
  <c r="T2272" i="2"/>
  <c r="P2273" i="2"/>
  <c r="E2276" i="5"/>
  <c r="T2276" i="2"/>
  <c r="P2277" i="2"/>
  <c r="E2280" i="5"/>
  <c r="T2280" i="2"/>
  <c r="P2281" i="2"/>
  <c r="E2284" i="5"/>
  <c r="T2284" i="2"/>
  <c r="P2285" i="2"/>
  <c r="E2288" i="5"/>
  <c r="T2288" i="2"/>
  <c r="P2289" i="2"/>
  <c r="E2292" i="5"/>
  <c r="T2292" i="2"/>
  <c r="P2293" i="2"/>
  <c r="E2296" i="5"/>
  <c r="T2296" i="2"/>
  <c r="P2297" i="2"/>
  <c r="E2300" i="5"/>
  <c r="T2300" i="2"/>
  <c r="P2301" i="2"/>
  <c r="E2304" i="5"/>
  <c r="T2304" i="2"/>
  <c r="P2305" i="2"/>
  <c r="E2308" i="5"/>
  <c r="T2308" i="2"/>
  <c r="P2309" i="2"/>
  <c r="E2312" i="5"/>
  <c r="T2312" i="2"/>
  <c r="P2313" i="2"/>
  <c r="Q2314" i="2"/>
  <c r="E2315" i="5"/>
  <c r="T2315" i="2"/>
  <c r="D2316" i="5"/>
  <c r="Z2316" i="2"/>
  <c r="Y2316" i="2"/>
  <c r="E2317" i="5"/>
  <c r="T2317" i="2"/>
  <c r="D2318" i="5"/>
  <c r="Z2318" i="2"/>
  <c r="Y2318" i="2"/>
  <c r="E2319" i="5"/>
  <c r="T2319" i="2"/>
  <c r="D2320" i="5"/>
  <c r="Z2320" i="2"/>
  <c r="Y2320" i="2"/>
  <c r="E2321" i="5"/>
  <c r="T2321" i="2"/>
  <c r="D2322" i="5"/>
  <c r="Z2322" i="2"/>
  <c r="Y2322" i="2"/>
  <c r="E2323" i="5"/>
  <c r="T2323" i="2"/>
  <c r="D2324" i="5"/>
  <c r="Z2324" i="2"/>
  <c r="Y2324" i="2"/>
  <c r="E2325" i="5"/>
  <c r="T2325" i="2"/>
  <c r="D2326" i="5"/>
  <c r="Z2326" i="2"/>
  <c r="Y2326" i="2"/>
  <c r="E2327" i="5"/>
  <c r="T2327" i="2"/>
  <c r="D2328" i="5"/>
  <c r="Z2328" i="2"/>
  <c r="Y2328" i="2"/>
  <c r="E2329" i="5"/>
  <c r="T2329" i="2"/>
  <c r="D2330" i="5"/>
  <c r="Z2330" i="2"/>
  <c r="Y2330" i="2"/>
  <c r="E2331" i="5"/>
  <c r="T2331" i="2"/>
  <c r="D2332" i="5"/>
  <c r="Z2332" i="2"/>
  <c r="Y2332" i="2"/>
  <c r="E2333" i="5"/>
  <c r="T2333" i="2"/>
  <c r="D2334" i="5"/>
  <c r="Z2334" i="2"/>
  <c r="Y2334" i="2"/>
  <c r="E2335" i="5"/>
  <c r="T2335" i="2"/>
  <c r="D2336" i="5"/>
  <c r="Z2336" i="2"/>
  <c r="Y2336" i="2"/>
  <c r="E2337" i="5"/>
  <c r="T2337" i="2"/>
  <c r="D2338" i="5"/>
  <c r="Z2338" i="2"/>
  <c r="Y2338" i="2"/>
  <c r="E2339" i="5"/>
  <c r="T2339" i="2"/>
  <c r="D2340" i="5"/>
  <c r="Z2340" i="2"/>
  <c r="Y2340" i="2"/>
  <c r="E2341" i="5"/>
  <c r="T2341" i="2"/>
  <c r="D2342" i="5"/>
  <c r="Z2342" i="2"/>
  <c r="Y2342" i="2"/>
  <c r="E2343" i="5"/>
  <c r="T2343" i="2"/>
  <c r="D2344" i="5"/>
  <c r="Z2344" i="2"/>
  <c r="Y2344" i="2"/>
  <c r="E2345" i="5"/>
  <c r="T2345" i="2"/>
  <c r="D2346" i="5"/>
  <c r="Z2346" i="2"/>
  <c r="Y2346" i="2"/>
  <c r="E2347" i="5"/>
  <c r="T2347" i="2"/>
  <c r="D2348" i="5"/>
  <c r="Z2348" i="2"/>
  <c r="Y2348" i="2"/>
  <c r="E2349" i="5"/>
  <c r="T2349" i="2"/>
  <c r="D2350" i="5"/>
  <c r="Z2350" i="2"/>
  <c r="Y2350" i="2"/>
  <c r="E2351" i="5"/>
  <c r="T2351" i="2"/>
  <c r="D2352" i="5"/>
  <c r="Z2352" i="2"/>
  <c r="Y2352" i="2"/>
  <c r="E2353" i="5"/>
  <c r="T2353" i="2"/>
  <c r="D2354" i="5"/>
  <c r="Z2354" i="2"/>
  <c r="Y2354" i="2"/>
  <c r="E2355" i="5"/>
  <c r="T2355" i="2"/>
  <c r="D2356" i="5"/>
  <c r="Z2356" i="2"/>
  <c r="Y2356" i="2"/>
  <c r="E2357" i="5"/>
  <c r="T2357" i="2"/>
  <c r="D2358" i="5"/>
  <c r="Z2358" i="2"/>
  <c r="Y2358" i="2"/>
  <c r="E2359" i="5"/>
  <c r="T2359" i="2"/>
  <c r="D2360" i="5"/>
  <c r="Z2360" i="2"/>
  <c r="Y2360" i="2"/>
  <c r="E2361" i="5"/>
  <c r="T2361" i="2"/>
  <c r="D2362" i="5"/>
  <c r="Z2362" i="2"/>
  <c r="Y2362" i="2"/>
  <c r="E2363" i="5"/>
  <c r="T2363" i="2"/>
  <c r="D2364" i="5"/>
  <c r="Z2364" i="2"/>
  <c r="Y2364" i="2"/>
  <c r="E2365" i="5"/>
  <c r="T2365" i="2"/>
  <c r="D2366" i="5"/>
  <c r="Z2366" i="2"/>
  <c r="Y2366" i="2"/>
  <c r="E2367" i="5"/>
  <c r="T2367" i="2"/>
  <c r="D2368" i="5"/>
  <c r="Z2368" i="2"/>
  <c r="Y2368" i="2"/>
  <c r="E2369" i="5"/>
  <c r="T2369" i="2"/>
  <c r="D2370" i="5"/>
  <c r="Z2370" i="2"/>
  <c r="Y2370" i="2"/>
  <c r="E2371" i="5"/>
  <c r="T2371" i="2"/>
  <c r="D2372" i="5"/>
  <c r="Z2372" i="2"/>
  <c r="Y2372" i="2"/>
  <c r="E2373" i="5"/>
  <c r="T2373" i="2"/>
  <c r="D2374" i="5"/>
  <c r="Z2374" i="2"/>
  <c r="Y2374" i="2"/>
  <c r="E2375" i="5"/>
  <c r="T2375" i="2"/>
  <c r="D2376" i="5"/>
  <c r="Z2376" i="2"/>
  <c r="Y2376" i="2"/>
  <c r="E2377" i="5"/>
  <c r="T2377" i="2"/>
  <c r="D2378" i="5"/>
  <c r="Z2378" i="2"/>
  <c r="Y2378" i="2"/>
  <c r="E2379" i="5"/>
  <c r="T2379" i="2"/>
  <c r="D2380" i="5"/>
  <c r="Z2380" i="2"/>
  <c r="Y2380" i="2"/>
  <c r="E2381" i="5"/>
  <c r="T2381" i="2"/>
  <c r="D2382" i="5"/>
  <c r="Z2382" i="2"/>
  <c r="Y2382" i="2"/>
  <c r="E2383" i="5"/>
  <c r="T2383" i="2"/>
  <c r="D2384" i="5"/>
  <c r="Z2384" i="2"/>
  <c r="Y2384" i="2"/>
  <c r="E2385" i="5"/>
  <c r="T2385" i="2"/>
  <c r="D2386" i="5"/>
  <c r="Z2386" i="2"/>
  <c r="Y2386" i="2"/>
  <c r="E2387" i="5"/>
  <c r="T2387" i="2"/>
  <c r="D2388" i="5"/>
  <c r="Z2388" i="2"/>
  <c r="Y2388" i="2"/>
  <c r="E2389" i="5"/>
  <c r="T2389" i="2"/>
  <c r="D2390" i="5"/>
  <c r="Z2390" i="2"/>
  <c r="Y2390" i="2"/>
  <c r="E2391" i="5"/>
  <c r="T2391" i="2"/>
  <c r="D2392" i="5"/>
  <c r="Z2392" i="2"/>
  <c r="Y2392" i="2"/>
  <c r="D2394" i="5"/>
  <c r="Y2394" i="2"/>
  <c r="T2396" i="2"/>
  <c r="D2398" i="5"/>
  <c r="Y2398" i="2"/>
  <c r="T2400" i="2"/>
  <c r="D2402" i="5"/>
  <c r="Y2402" i="2"/>
  <c r="T2404" i="2"/>
  <c r="D2406" i="5"/>
  <c r="Y2406" i="2"/>
  <c r="T2408" i="2"/>
  <c r="A2412" i="5"/>
  <c r="P2412" i="2"/>
  <c r="D2412" i="5"/>
  <c r="Z2412" i="2"/>
  <c r="Y2412" i="2"/>
  <c r="E2413" i="5"/>
  <c r="T2413" i="2"/>
  <c r="A2416" i="5"/>
  <c r="P2416" i="2"/>
  <c r="D2416" i="5"/>
  <c r="Z2416" i="2"/>
  <c r="Y2416" i="2"/>
  <c r="E2417" i="5"/>
  <c r="T2417" i="2"/>
  <c r="A2420" i="5"/>
  <c r="P2420" i="2"/>
  <c r="D2420" i="5"/>
  <c r="Z2420" i="2"/>
  <c r="Y2420" i="2"/>
  <c r="E2421" i="5"/>
  <c r="T2421" i="2"/>
  <c r="A2424" i="5"/>
  <c r="P2424" i="2"/>
  <c r="D2424" i="5"/>
  <c r="Z2424" i="2"/>
  <c r="Y2424" i="2"/>
  <c r="E2425" i="5"/>
  <c r="T2425" i="2"/>
  <c r="A2428" i="5"/>
  <c r="P2428" i="2"/>
  <c r="D2428" i="5"/>
  <c r="Z2428" i="2"/>
  <c r="Y2428" i="2"/>
  <c r="E2429" i="5"/>
  <c r="T2429" i="2"/>
  <c r="A2432" i="5"/>
  <c r="P2432" i="2"/>
  <c r="D2432" i="5"/>
  <c r="Z2432" i="2"/>
  <c r="Y2432" i="2"/>
  <c r="E2433" i="5"/>
  <c r="T2433" i="2"/>
  <c r="A2436" i="5"/>
  <c r="P2436" i="2"/>
  <c r="D2436" i="5"/>
  <c r="Z2436" i="2"/>
  <c r="Y2436" i="2"/>
  <c r="E2437" i="5"/>
  <c r="T2437" i="2"/>
  <c r="A2440" i="5"/>
  <c r="P2440" i="2"/>
  <c r="D2440" i="5"/>
  <c r="Z2440" i="2"/>
  <c r="Y2440" i="2"/>
  <c r="E2441" i="5"/>
  <c r="T2441" i="2"/>
  <c r="A2444" i="5"/>
  <c r="P2444" i="2"/>
  <c r="D2444" i="5"/>
  <c r="Z2444" i="2"/>
  <c r="Y2444" i="2"/>
  <c r="E2445" i="5"/>
  <c r="T2445" i="2"/>
  <c r="A2448" i="5"/>
  <c r="P2448" i="2"/>
  <c r="D2448" i="5"/>
  <c r="Z2448" i="2"/>
  <c r="Y2448" i="2"/>
  <c r="E2449" i="5"/>
  <c r="T2449" i="2"/>
  <c r="A2452" i="5"/>
  <c r="P2452" i="2"/>
  <c r="D2452" i="5"/>
  <c r="Z2452" i="2"/>
  <c r="Y2452" i="2"/>
  <c r="E2453" i="5"/>
  <c r="T2453" i="2"/>
  <c r="A2456" i="5"/>
  <c r="P2456" i="2"/>
  <c r="D2456" i="5"/>
  <c r="Z2456" i="2"/>
  <c r="Y2456" i="2"/>
  <c r="E2457" i="5"/>
  <c r="T2457" i="2"/>
  <c r="A2460" i="5"/>
  <c r="P2460" i="2"/>
  <c r="D2460" i="5"/>
  <c r="Z2460" i="2"/>
  <c r="Y2460" i="2"/>
  <c r="E2461" i="5"/>
  <c r="T2461" i="2"/>
  <c r="A2464" i="5"/>
  <c r="P2464" i="2"/>
  <c r="D2464" i="5"/>
  <c r="Z2464" i="2"/>
  <c r="Y2464" i="2"/>
  <c r="E2465" i="5"/>
  <c r="T2465" i="2"/>
  <c r="A2468" i="5"/>
  <c r="P2468" i="2"/>
  <c r="D2468" i="5"/>
  <c r="Z2468" i="2"/>
  <c r="Y2468" i="2"/>
  <c r="E2469" i="5"/>
  <c r="T2469" i="2"/>
  <c r="A2472" i="5"/>
  <c r="P2472" i="2"/>
  <c r="D2472" i="5"/>
  <c r="Z2472" i="2"/>
  <c r="Y2472" i="2"/>
  <c r="E2473" i="5"/>
  <c r="T2473" i="2"/>
  <c r="D2478" i="5"/>
  <c r="Z2478" i="2"/>
  <c r="Y2478" i="2"/>
  <c r="D2484" i="5"/>
  <c r="Z2484" i="2"/>
  <c r="Y2484" i="2"/>
  <c r="D2490" i="5"/>
  <c r="Z2490" i="2"/>
  <c r="Y2490" i="2"/>
  <c r="D2498" i="5"/>
  <c r="Z2498" i="2"/>
  <c r="Y2498" i="2"/>
  <c r="Z2394" i="2"/>
  <c r="D2395" i="5"/>
  <c r="Y2395" i="2"/>
  <c r="P2395" i="2"/>
  <c r="Z2398" i="2"/>
  <c r="D2399" i="5"/>
  <c r="Y2399" i="2"/>
  <c r="P2399" i="2"/>
  <c r="Z2402" i="2"/>
  <c r="D2403" i="5"/>
  <c r="Y2403" i="2"/>
  <c r="P2403" i="2"/>
  <c r="Z2406" i="2"/>
  <c r="D2407" i="5"/>
  <c r="Y2407" i="2"/>
  <c r="P2407" i="2"/>
  <c r="A2411" i="5"/>
  <c r="P2411" i="2"/>
  <c r="D2411" i="5"/>
  <c r="Y2411" i="2"/>
  <c r="Z2411" i="2"/>
  <c r="E2412" i="5"/>
  <c r="T2412" i="2"/>
  <c r="A2415" i="5"/>
  <c r="P2415" i="2"/>
  <c r="D2415" i="5"/>
  <c r="Y2415" i="2"/>
  <c r="Z2415" i="2"/>
  <c r="E2416" i="5"/>
  <c r="T2416" i="2"/>
  <c r="A2419" i="5"/>
  <c r="P2419" i="2"/>
  <c r="D2419" i="5"/>
  <c r="Y2419" i="2"/>
  <c r="Z2419" i="2"/>
  <c r="E2420" i="5"/>
  <c r="T2420" i="2"/>
  <c r="A2423" i="5"/>
  <c r="P2423" i="2"/>
  <c r="D2423" i="5"/>
  <c r="Y2423" i="2"/>
  <c r="Z2423" i="2"/>
  <c r="E2424" i="5"/>
  <c r="T2424" i="2"/>
  <c r="A2427" i="5"/>
  <c r="P2427" i="2"/>
  <c r="D2427" i="5"/>
  <c r="Y2427" i="2"/>
  <c r="Z2427" i="2"/>
  <c r="E2428" i="5"/>
  <c r="T2428" i="2"/>
  <c r="A2431" i="5"/>
  <c r="P2431" i="2"/>
  <c r="D2431" i="5"/>
  <c r="Y2431" i="2"/>
  <c r="Z2431" i="2"/>
  <c r="E2432" i="5"/>
  <c r="T2432" i="2"/>
  <c r="A2435" i="5"/>
  <c r="P2435" i="2"/>
  <c r="D2435" i="5"/>
  <c r="Y2435" i="2"/>
  <c r="Z2435" i="2"/>
  <c r="E2436" i="5"/>
  <c r="T2436" i="2"/>
  <c r="A2439" i="5"/>
  <c r="P2439" i="2"/>
  <c r="D2439" i="5"/>
  <c r="Y2439" i="2"/>
  <c r="Z2439" i="2"/>
  <c r="E2440" i="5"/>
  <c r="T2440" i="2"/>
  <c r="A2443" i="5"/>
  <c r="P2443" i="2"/>
  <c r="D2443" i="5"/>
  <c r="Y2443" i="2"/>
  <c r="Z2443" i="2"/>
  <c r="E2444" i="5"/>
  <c r="T2444" i="2"/>
  <c r="A2447" i="5"/>
  <c r="P2447" i="2"/>
  <c r="D2447" i="5"/>
  <c r="Y2447" i="2"/>
  <c r="Z2447" i="2"/>
  <c r="E2448" i="5"/>
  <c r="T2448" i="2"/>
  <c r="A2451" i="5"/>
  <c r="P2451" i="2"/>
  <c r="D2451" i="5"/>
  <c r="Y2451" i="2"/>
  <c r="Z2451" i="2"/>
  <c r="E2452" i="5"/>
  <c r="T2452" i="2"/>
  <c r="A2455" i="5"/>
  <c r="P2455" i="2"/>
  <c r="D2455" i="5"/>
  <c r="Y2455" i="2"/>
  <c r="Z2455" i="2"/>
  <c r="E2456" i="5"/>
  <c r="T2456" i="2"/>
  <c r="A2459" i="5"/>
  <c r="P2459" i="2"/>
  <c r="D2459" i="5"/>
  <c r="Y2459" i="2"/>
  <c r="Z2459" i="2"/>
  <c r="E2460" i="5"/>
  <c r="T2460" i="2"/>
  <c r="A2463" i="5"/>
  <c r="P2463" i="2"/>
  <c r="D2463" i="5"/>
  <c r="Y2463" i="2"/>
  <c r="Z2463" i="2"/>
  <c r="E2464" i="5"/>
  <c r="T2464" i="2"/>
  <c r="A2467" i="5"/>
  <c r="P2467" i="2"/>
  <c r="D2467" i="5"/>
  <c r="Y2467" i="2"/>
  <c r="Z2467" i="2"/>
  <c r="E2468" i="5"/>
  <c r="T2468" i="2"/>
  <c r="A2471" i="5"/>
  <c r="P2471" i="2"/>
  <c r="D2471" i="5"/>
  <c r="Y2471" i="2"/>
  <c r="Z2471" i="2"/>
  <c r="E2472" i="5"/>
  <c r="T2472" i="2"/>
  <c r="D2480" i="5"/>
  <c r="Z2480" i="2"/>
  <c r="Y2480" i="2"/>
  <c r="D2492" i="5"/>
  <c r="Z2492" i="2"/>
  <c r="Y2492" i="2"/>
  <c r="D2500" i="5"/>
  <c r="Z2500" i="2"/>
  <c r="Y2500" i="2"/>
  <c r="T2394" i="2"/>
  <c r="D2396" i="5"/>
  <c r="Y2396" i="2"/>
  <c r="T2398" i="2"/>
  <c r="D2400" i="5"/>
  <c r="Y2400" i="2"/>
  <c r="T2402" i="2"/>
  <c r="D2404" i="5"/>
  <c r="Y2404" i="2"/>
  <c r="T2406" i="2"/>
  <c r="D2408" i="5"/>
  <c r="Y2408" i="2"/>
  <c r="P2409" i="2"/>
  <c r="A2410" i="5"/>
  <c r="P2410" i="2"/>
  <c r="D2410" i="5"/>
  <c r="Z2410" i="2"/>
  <c r="Y2410" i="2"/>
  <c r="E2411" i="5"/>
  <c r="T2411" i="2"/>
  <c r="A2414" i="5"/>
  <c r="P2414" i="2"/>
  <c r="D2414" i="5"/>
  <c r="Z2414" i="2"/>
  <c r="Y2414" i="2"/>
  <c r="E2415" i="5"/>
  <c r="T2415" i="2"/>
  <c r="A2418" i="5"/>
  <c r="P2418" i="2"/>
  <c r="D2418" i="5"/>
  <c r="Z2418" i="2"/>
  <c r="Y2418" i="2"/>
  <c r="E2419" i="5"/>
  <c r="T2419" i="2"/>
  <c r="A2422" i="5"/>
  <c r="P2422" i="2"/>
  <c r="D2422" i="5"/>
  <c r="Z2422" i="2"/>
  <c r="Y2422" i="2"/>
  <c r="E2423" i="5"/>
  <c r="T2423" i="2"/>
  <c r="A2426" i="5"/>
  <c r="P2426" i="2"/>
  <c r="D2426" i="5"/>
  <c r="Z2426" i="2"/>
  <c r="Y2426" i="2"/>
  <c r="E2427" i="5"/>
  <c r="T2427" i="2"/>
  <c r="A2430" i="5"/>
  <c r="P2430" i="2"/>
  <c r="D2430" i="5"/>
  <c r="Z2430" i="2"/>
  <c r="Y2430" i="2"/>
  <c r="E2431" i="5"/>
  <c r="T2431" i="2"/>
  <c r="A2434" i="5"/>
  <c r="P2434" i="2"/>
  <c r="D2434" i="5"/>
  <c r="Z2434" i="2"/>
  <c r="Y2434" i="2"/>
  <c r="E2435" i="5"/>
  <c r="T2435" i="2"/>
  <c r="A2438" i="5"/>
  <c r="P2438" i="2"/>
  <c r="D2438" i="5"/>
  <c r="Z2438" i="2"/>
  <c r="Y2438" i="2"/>
  <c r="E2439" i="5"/>
  <c r="T2439" i="2"/>
  <c r="A2442" i="5"/>
  <c r="P2442" i="2"/>
  <c r="D2442" i="5"/>
  <c r="Z2442" i="2"/>
  <c r="Y2442" i="2"/>
  <c r="E2443" i="5"/>
  <c r="T2443" i="2"/>
  <c r="A2446" i="5"/>
  <c r="P2446" i="2"/>
  <c r="D2446" i="5"/>
  <c r="Z2446" i="2"/>
  <c r="Y2446" i="2"/>
  <c r="E2447" i="5"/>
  <c r="T2447" i="2"/>
  <c r="A2450" i="5"/>
  <c r="P2450" i="2"/>
  <c r="D2450" i="5"/>
  <c r="Z2450" i="2"/>
  <c r="Y2450" i="2"/>
  <c r="E2451" i="5"/>
  <c r="T2451" i="2"/>
  <c r="A2454" i="5"/>
  <c r="P2454" i="2"/>
  <c r="D2454" i="5"/>
  <c r="Z2454" i="2"/>
  <c r="Y2454" i="2"/>
  <c r="E2455" i="5"/>
  <c r="T2455" i="2"/>
  <c r="A2458" i="5"/>
  <c r="P2458" i="2"/>
  <c r="D2458" i="5"/>
  <c r="Z2458" i="2"/>
  <c r="Y2458" i="2"/>
  <c r="E2459" i="5"/>
  <c r="T2459" i="2"/>
  <c r="A2462" i="5"/>
  <c r="P2462" i="2"/>
  <c r="D2462" i="5"/>
  <c r="Z2462" i="2"/>
  <c r="Y2462" i="2"/>
  <c r="E2463" i="5"/>
  <c r="T2463" i="2"/>
  <c r="A2466" i="5"/>
  <c r="P2466" i="2"/>
  <c r="D2466" i="5"/>
  <c r="Z2466" i="2"/>
  <c r="Y2466" i="2"/>
  <c r="E2467" i="5"/>
  <c r="T2467" i="2"/>
  <c r="A2470" i="5"/>
  <c r="P2470" i="2"/>
  <c r="D2470" i="5"/>
  <c r="Z2470" i="2"/>
  <c r="Y2470" i="2"/>
  <c r="E2471" i="5"/>
  <c r="T2471" i="2"/>
  <c r="A2474" i="5"/>
  <c r="P2474" i="2"/>
  <c r="D2474" i="5"/>
  <c r="Z2474" i="2"/>
  <c r="Y2474" i="2"/>
  <c r="D2476" i="5"/>
  <c r="Z2476" i="2"/>
  <c r="Y2476" i="2"/>
  <c r="D2486" i="5"/>
  <c r="Z2486" i="2"/>
  <c r="Y2486" i="2"/>
  <c r="D2494" i="5"/>
  <c r="Z2494" i="2"/>
  <c r="Y2494" i="2"/>
  <c r="D2393" i="5"/>
  <c r="Y2393" i="2"/>
  <c r="P2393" i="2"/>
  <c r="Z2396" i="2"/>
  <c r="D2397" i="5"/>
  <c r="Y2397" i="2"/>
  <c r="P2397" i="2"/>
  <c r="Z2400" i="2"/>
  <c r="D2401" i="5"/>
  <c r="Y2401" i="2"/>
  <c r="P2401" i="2"/>
  <c r="Z2404" i="2"/>
  <c r="D2405" i="5"/>
  <c r="Y2405" i="2"/>
  <c r="P2405" i="2"/>
  <c r="Z2408" i="2"/>
  <c r="D2409" i="5"/>
  <c r="Y2409" i="2"/>
  <c r="Z2409" i="2"/>
  <c r="T2409" i="2"/>
  <c r="E2410" i="5"/>
  <c r="T2410" i="2"/>
  <c r="A2413" i="5"/>
  <c r="P2413" i="2"/>
  <c r="D2413" i="5"/>
  <c r="Y2413" i="2"/>
  <c r="Z2413" i="2"/>
  <c r="E2414" i="5"/>
  <c r="T2414" i="2"/>
  <c r="A2417" i="5"/>
  <c r="P2417" i="2"/>
  <c r="D2417" i="5"/>
  <c r="Y2417" i="2"/>
  <c r="Z2417" i="2"/>
  <c r="E2418" i="5"/>
  <c r="T2418" i="2"/>
  <c r="A2421" i="5"/>
  <c r="P2421" i="2"/>
  <c r="D2421" i="5"/>
  <c r="Y2421" i="2"/>
  <c r="Z2421" i="2"/>
  <c r="E2422" i="5"/>
  <c r="T2422" i="2"/>
  <c r="A2425" i="5"/>
  <c r="P2425" i="2"/>
  <c r="D2425" i="5"/>
  <c r="Y2425" i="2"/>
  <c r="Z2425" i="2"/>
  <c r="E2426" i="5"/>
  <c r="T2426" i="2"/>
  <c r="A2429" i="5"/>
  <c r="P2429" i="2"/>
  <c r="D2429" i="5"/>
  <c r="Y2429" i="2"/>
  <c r="Z2429" i="2"/>
  <c r="E2430" i="5"/>
  <c r="T2430" i="2"/>
  <c r="A2433" i="5"/>
  <c r="P2433" i="2"/>
  <c r="D2433" i="5"/>
  <c r="Y2433" i="2"/>
  <c r="Z2433" i="2"/>
  <c r="E2434" i="5"/>
  <c r="T2434" i="2"/>
  <c r="A2437" i="5"/>
  <c r="P2437" i="2"/>
  <c r="D2437" i="5"/>
  <c r="Y2437" i="2"/>
  <c r="Z2437" i="2"/>
  <c r="E2438" i="5"/>
  <c r="T2438" i="2"/>
  <c r="A2441" i="5"/>
  <c r="P2441" i="2"/>
  <c r="D2441" i="5"/>
  <c r="Y2441" i="2"/>
  <c r="Z2441" i="2"/>
  <c r="E2442" i="5"/>
  <c r="T2442" i="2"/>
  <c r="A2445" i="5"/>
  <c r="P2445" i="2"/>
  <c r="D2445" i="5"/>
  <c r="Y2445" i="2"/>
  <c r="Z2445" i="2"/>
  <c r="E2446" i="5"/>
  <c r="T2446" i="2"/>
  <c r="A2449" i="5"/>
  <c r="P2449" i="2"/>
  <c r="D2449" i="5"/>
  <c r="Y2449" i="2"/>
  <c r="Z2449" i="2"/>
  <c r="E2450" i="5"/>
  <c r="T2450" i="2"/>
  <c r="A2453" i="5"/>
  <c r="P2453" i="2"/>
  <c r="D2453" i="5"/>
  <c r="Y2453" i="2"/>
  <c r="Z2453" i="2"/>
  <c r="E2454" i="5"/>
  <c r="T2454" i="2"/>
  <c r="A2457" i="5"/>
  <c r="P2457" i="2"/>
  <c r="D2457" i="5"/>
  <c r="Y2457" i="2"/>
  <c r="Z2457" i="2"/>
  <c r="E2458" i="5"/>
  <c r="T2458" i="2"/>
  <c r="A2461" i="5"/>
  <c r="P2461" i="2"/>
  <c r="D2461" i="5"/>
  <c r="Y2461" i="2"/>
  <c r="Z2461" i="2"/>
  <c r="E2462" i="5"/>
  <c r="T2462" i="2"/>
  <c r="A2465" i="5"/>
  <c r="P2465" i="2"/>
  <c r="D2465" i="5"/>
  <c r="Y2465" i="2"/>
  <c r="Z2465" i="2"/>
  <c r="E2466" i="5"/>
  <c r="T2466" i="2"/>
  <c r="A2469" i="5"/>
  <c r="P2469" i="2"/>
  <c r="D2469" i="5"/>
  <c r="Y2469" i="2"/>
  <c r="Z2469" i="2"/>
  <c r="E2470" i="5"/>
  <c r="T2470" i="2"/>
  <c r="A2473" i="5"/>
  <c r="P2473" i="2"/>
  <c r="D2473" i="5"/>
  <c r="Y2473" i="2"/>
  <c r="Z2473" i="2"/>
  <c r="E2474" i="5"/>
  <c r="T2474" i="2"/>
  <c r="D2482" i="5"/>
  <c r="Z2482" i="2"/>
  <c r="Y2482" i="2"/>
  <c r="D2488" i="5"/>
  <c r="Z2488" i="2"/>
  <c r="Y2488" i="2"/>
  <c r="D2496" i="5"/>
  <c r="Z2496" i="2"/>
  <c r="Y2496" i="2"/>
  <c r="E2475" i="5"/>
  <c r="T2475" i="2"/>
  <c r="D2477" i="5"/>
  <c r="Z2477" i="2"/>
  <c r="Y2477" i="2"/>
  <c r="E2479" i="5"/>
  <c r="T2479" i="2"/>
  <c r="D2481" i="5"/>
  <c r="Z2481" i="2"/>
  <c r="Y2481" i="2"/>
  <c r="E2483" i="5"/>
  <c r="T2483" i="2"/>
  <c r="D2485" i="5"/>
  <c r="Z2485" i="2"/>
  <c r="Y2485" i="2"/>
  <c r="E2487" i="5"/>
  <c r="T2487" i="2"/>
  <c r="P2488" i="2"/>
  <c r="D2489" i="5"/>
  <c r="Z2489" i="2"/>
  <c r="Y2489" i="2"/>
  <c r="E2491" i="5"/>
  <c r="T2491" i="2"/>
  <c r="P2492" i="2"/>
  <c r="D2493" i="5"/>
  <c r="Z2493" i="2"/>
  <c r="Y2493" i="2"/>
  <c r="E2495" i="5"/>
  <c r="T2495" i="2"/>
  <c r="P2496" i="2"/>
  <c r="D2497" i="5"/>
  <c r="Z2497" i="2"/>
  <c r="Y2497" i="2"/>
  <c r="E2499" i="5"/>
  <c r="T2499" i="2"/>
  <c r="P2500" i="2"/>
  <c r="P2475" i="2"/>
  <c r="Q2476" i="2"/>
  <c r="E2478" i="5"/>
  <c r="T2478" i="2"/>
  <c r="P2479" i="2"/>
  <c r="E2482" i="5"/>
  <c r="T2482" i="2"/>
  <c r="P2483" i="2"/>
  <c r="E2486" i="5"/>
  <c r="T2486" i="2"/>
  <c r="P2487" i="2"/>
  <c r="E2490" i="5"/>
  <c r="T2490" i="2"/>
  <c r="P2491" i="2"/>
  <c r="E2494" i="5"/>
  <c r="T2494" i="2"/>
  <c r="P2495" i="2"/>
  <c r="E2498" i="5"/>
  <c r="T2498" i="2"/>
  <c r="P2499" i="2"/>
  <c r="E2501" i="5"/>
  <c r="T2501" i="2"/>
  <c r="D2475" i="5"/>
  <c r="Z2475" i="2"/>
  <c r="Y2475" i="2"/>
  <c r="E2477" i="5"/>
  <c r="T2477" i="2"/>
  <c r="P2478" i="2"/>
  <c r="D2479" i="5"/>
  <c r="Z2479" i="2"/>
  <c r="Y2479" i="2"/>
  <c r="E2481" i="5"/>
  <c r="T2481" i="2"/>
  <c r="P2482" i="2"/>
  <c r="D2483" i="5"/>
  <c r="Z2483" i="2"/>
  <c r="Y2483" i="2"/>
  <c r="E2485" i="5"/>
  <c r="T2485" i="2"/>
  <c r="P2486" i="2"/>
  <c r="D2487" i="5"/>
  <c r="Z2487" i="2"/>
  <c r="Y2487" i="2"/>
  <c r="E2489" i="5"/>
  <c r="T2489" i="2"/>
  <c r="P2490" i="2"/>
  <c r="D2491" i="5"/>
  <c r="Z2491" i="2"/>
  <c r="Y2491" i="2"/>
  <c r="E2493" i="5"/>
  <c r="T2493" i="2"/>
  <c r="P2494" i="2"/>
  <c r="D2495" i="5"/>
  <c r="Z2495" i="2"/>
  <c r="Y2495" i="2"/>
  <c r="E2497" i="5"/>
  <c r="T2497" i="2"/>
  <c r="P2498" i="2"/>
  <c r="D2499" i="5"/>
  <c r="Z2499" i="2"/>
  <c r="Y2499" i="2"/>
  <c r="P2501" i="2"/>
  <c r="E2476" i="5"/>
  <c r="T2476" i="2"/>
  <c r="P2477" i="2"/>
  <c r="E2480" i="5"/>
  <c r="T2480" i="2"/>
  <c r="P2481" i="2"/>
  <c r="E2484" i="5"/>
  <c r="T2484" i="2"/>
  <c r="P2485" i="2"/>
  <c r="E2488" i="5"/>
  <c r="T2488" i="2"/>
  <c r="P2489" i="2"/>
  <c r="E2492" i="5"/>
  <c r="T2492" i="2"/>
  <c r="P2493" i="2"/>
  <c r="E2496" i="5"/>
  <c r="T2496" i="2"/>
  <c r="P2497" i="2"/>
  <c r="E2500" i="5"/>
  <c r="T2500" i="2"/>
  <c r="D2501" i="5"/>
  <c r="Z2501" i="2"/>
  <c r="Y2501" i="2"/>
  <c r="B14" i="3"/>
  <c r="S2392" i="2" l="1"/>
  <c r="R2360" i="2"/>
  <c r="AP2360" i="2" s="1"/>
  <c r="S1621" i="2"/>
  <c r="S2384" i="2"/>
  <c r="BD2384" i="2" s="1"/>
  <c r="S2340" i="2"/>
  <c r="R2333" i="2"/>
  <c r="AP2333" i="2" s="1"/>
  <c r="R206" i="2"/>
  <c r="AP206" i="2" s="1"/>
  <c r="Q2324" i="2"/>
  <c r="S2323" i="2"/>
  <c r="AA1839" i="2"/>
  <c r="AK1791" i="2"/>
  <c r="R1097" i="2"/>
  <c r="AP1097" i="2" s="1"/>
  <c r="Q1121" i="2"/>
  <c r="R1079" i="2"/>
  <c r="AP1079" i="2" s="1"/>
  <c r="S1079" i="2"/>
  <c r="BD1079" i="2" s="1"/>
  <c r="S2369" i="2"/>
  <c r="R1059" i="2"/>
  <c r="AP1059" i="2" s="1"/>
  <c r="S1091" i="2"/>
  <c r="S2330" i="2"/>
  <c r="R2375" i="2"/>
  <c r="AP2375" i="2" s="1"/>
  <c r="AK1823" i="2"/>
  <c r="AF1767" i="2"/>
  <c r="Q1595" i="2"/>
  <c r="BD1595" i="2" s="1"/>
  <c r="S1097" i="2"/>
  <c r="BD1097" i="2" s="1"/>
  <c r="Q2342" i="2"/>
  <c r="S2378" i="2"/>
  <c r="Q2206" i="2"/>
  <c r="Q2362" i="2"/>
  <c r="Q2378" i="2"/>
  <c r="Q1734" i="2"/>
  <c r="AK2020" i="2"/>
  <c r="Q2354" i="2"/>
  <c r="BD2354" i="2" s="1"/>
  <c r="AA2020" i="2"/>
  <c r="S2362" i="2"/>
  <c r="R2354" i="2"/>
  <c r="AP2354" i="2" s="1"/>
  <c r="S2324" i="2"/>
  <c r="BD2324" i="2" s="1"/>
  <c r="R2389" i="2"/>
  <c r="AP2389" i="2" s="1"/>
  <c r="Q2348" i="2"/>
  <c r="Q2320" i="2"/>
  <c r="BD2320" i="2" s="1"/>
  <c r="Q2367" i="2"/>
  <c r="BD2367" i="2" s="1"/>
  <c r="S2206" i="2"/>
  <c r="AK1763" i="2"/>
  <c r="R1613" i="2"/>
  <c r="AP1613" i="2" s="1"/>
  <c r="AF1147" i="2"/>
  <c r="S1057" i="2"/>
  <c r="R779" i="2"/>
  <c r="AP779" i="2" s="1"/>
  <c r="S587" i="2"/>
  <c r="S388" i="2"/>
  <c r="BD388" i="2" s="1"/>
  <c r="R116" i="2"/>
  <c r="AP116" i="2" s="1"/>
  <c r="AQ116" i="2" s="1"/>
  <c r="AV116" i="2" s="1"/>
  <c r="BE116" i="2" s="1"/>
  <c r="R1387" i="2"/>
  <c r="AP1387" i="2" s="1"/>
  <c r="R1111" i="2"/>
  <c r="AP1111" i="2" s="1"/>
  <c r="Q2356" i="2"/>
  <c r="S2342" i="2"/>
  <c r="R2320" i="2"/>
  <c r="AP2320" i="2" s="1"/>
  <c r="Q2389" i="2"/>
  <c r="BD2389" i="2" s="1"/>
  <c r="Q1783" i="2"/>
  <c r="BD1783" i="2" s="1"/>
  <c r="AK1827" i="2"/>
  <c r="AF1795" i="2"/>
  <c r="R1442" i="2"/>
  <c r="AP1442" i="2" s="1"/>
  <c r="Q810" i="2"/>
  <c r="Q689" i="2"/>
  <c r="BD689" i="2" s="1"/>
  <c r="S2396" i="2"/>
  <c r="S2388" i="2"/>
  <c r="S2332" i="2"/>
  <c r="BD2332" i="2" s="1"/>
  <c r="R2022" i="2"/>
  <c r="AP2022" i="2" s="1"/>
  <c r="S747" i="2"/>
  <c r="U468" i="2"/>
  <c r="AB468" i="2" s="1"/>
  <c r="G116" i="4"/>
  <c r="R60" i="2"/>
  <c r="AP60" i="2" s="1"/>
  <c r="R2396" i="2"/>
  <c r="AP2396" i="2" s="1"/>
  <c r="S2344" i="2"/>
  <c r="Q2371" i="2"/>
  <c r="BD2371" i="2" s="1"/>
  <c r="S1845" i="2"/>
  <c r="S1089" i="2"/>
  <c r="AA428" i="2"/>
  <c r="R2406" i="2"/>
  <c r="AP2406" i="2" s="1"/>
  <c r="Q2388" i="2"/>
  <c r="S2380" i="2"/>
  <c r="S2372" i="2"/>
  <c r="BD2372" i="2" s="1"/>
  <c r="Q2364" i="2"/>
  <c r="BD2364" i="2" s="1"/>
  <c r="Q2344" i="2"/>
  <c r="Q2336" i="2"/>
  <c r="R2371" i="2"/>
  <c r="AP2371" i="2" s="1"/>
  <c r="R2337" i="2"/>
  <c r="AP2337" i="2" s="1"/>
  <c r="S2282" i="2"/>
  <c r="S2242" i="2"/>
  <c r="Q2139" i="2"/>
  <c r="BD2139" i="2" s="1"/>
  <c r="R1480" i="2"/>
  <c r="AP1480" i="2" s="1"/>
  <c r="R1089" i="2"/>
  <c r="AP1089" i="2" s="1"/>
  <c r="S755" i="2"/>
  <c r="Q747" i="2"/>
  <c r="BD747" i="2" s="1"/>
  <c r="S2234" i="2"/>
  <c r="Q2380" i="2"/>
  <c r="Q2372" i="2"/>
  <c r="R2364" i="2"/>
  <c r="AP2364" i="2" s="1"/>
  <c r="S2356" i="2"/>
  <c r="BD2356" i="2" s="1"/>
  <c r="S2348" i="2"/>
  <c r="R2336" i="2"/>
  <c r="AP2336" i="2" s="1"/>
  <c r="S2328" i="2"/>
  <c r="S2337" i="2"/>
  <c r="BD2337" i="2" s="1"/>
  <c r="R2321" i="2"/>
  <c r="AP2321" i="2" s="1"/>
  <c r="S2133" i="2"/>
  <c r="Q1694" i="2"/>
  <c r="S1799" i="2"/>
  <c r="Q1772" i="2"/>
  <c r="S1631" i="2"/>
  <c r="Q1057" i="2"/>
  <c r="BD1057" i="2" s="1"/>
  <c r="S1387" i="2"/>
  <c r="BD1387" i="2" s="1"/>
  <c r="R1051" i="2"/>
  <c r="AP1051" i="2" s="1"/>
  <c r="Q799" i="2"/>
  <c r="R180" i="2"/>
  <c r="AP180" i="2" s="1"/>
  <c r="AQ180" i="2" s="1"/>
  <c r="AV180" i="2" s="1"/>
  <c r="BE180" i="2" s="1"/>
  <c r="R2386" i="2"/>
  <c r="AP2386" i="2" s="1"/>
  <c r="Q2386" i="2"/>
  <c r="BD2386" i="2" s="1"/>
  <c r="Q2370" i="2"/>
  <c r="S2370" i="2"/>
  <c r="S2404" i="2"/>
  <c r="BD2404" i="2" s="1"/>
  <c r="R2404" i="2"/>
  <c r="AP2404" i="2" s="1"/>
  <c r="Q2404" i="2"/>
  <c r="R2363" i="2"/>
  <c r="AP2363" i="2" s="1"/>
  <c r="Q2363" i="2"/>
  <c r="BD2363" i="2" s="1"/>
  <c r="Q2343" i="2"/>
  <c r="S2343" i="2"/>
  <c r="S2335" i="2"/>
  <c r="Q2335" i="2"/>
  <c r="R2335" i="2"/>
  <c r="AP2335" i="2" s="1"/>
  <c r="S2327" i="2"/>
  <c r="R2327" i="2"/>
  <c r="AP2327" i="2" s="1"/>
  <c r="Q2327" i="2"/>
  <c r="BD2327" i="2" s="1"/>
  <c r="Q2319" i="2"/>
  <c r="S2319" i="2"/>
  <c r="Q2385" i="2"/>
  <c r="S2385" i="2"/>
  <c r="Q2353" i="2"/>
  <c r="S2353" i="2"/>
  <c r="S2359" i="2"/>
  <c r="Q2359" i="2"/>
  <c r="R2359" i="2"/>
  <c r="AP2359" i="2" s="1"/>
  <c r="Q2334" i="2"/>
  <c r="S2334" i="2"/>
  <c r="BD2334" i="2" s="1"/>
  <c r="Q2365" i="2"/>
  <c r="S2365" i="2"/>
  <c r="R2230" i="2"/>
  <c r="AP2230" i="2" s="1"/>
  <c r="Q2230" i="2"/>
  <c r="BD2230" i="2" s="1"/>
  <c r="S2357" i="2"/>
  <c r="BD2357" i="2" s="1"/>
  <c r="R2357" i="2"/>
  <c r="AP2357" i="2" s="1"/>
  <c r="R2137" i="2"/>
  <c r="AP2137" i="2" s="1"/>
  <c r="Q2137" i="2"/>
  <c r="BD2137" i="2" s="1"/>
  <c r="S1832" i="2"/>
  <c r="BD1832" i="2" s="1"/>
  <c r="R1832" i="2"/>
  <c r="AP1832" i="2" s="1"/>
  <c r="Q1832" i="2"/>
  <c r="S1824" i="2"/>
  <c r="Q1824" i="2"/>
  <c r="R1824" i="2"/>
  <c r="AP1824" i="2" s="1"/>
  <c r="S1816" i="2"/>
  <c r="R1816" i="2"/>
  <c r="AP1816" i="2" s="1"/>
  <c r="S1808" i="2"/>
  <c r="Q1808" i="2"/>
  <c r="S1800" i="2"/>
  <c r="R1800" i="2"/>
  <c r="AP1800" i="2" s="1"/>
  <c r="Q1800" i="2"/>
  <c r="BD1800" i="2" s="1"/>
  <c r="R1742" i="2"/>
  <c r="AP1742" i="2" s="1"/>
  <c r="Q1742" i="2"/>
  <c r="R1678" i="2"/>
  <c r="AP1678" i="2" s="1"/>
  <c r="Q1678" i="2"/>
  <c r="S1520" i="2"/>
  <c r="R1520" i="2"/>
  <c r="AP1520" i="2" s="1"/>
  <c r="Q1383" i="2"/>
  <c r="R1383" i="2"/>
  <c r="AP1383" i="2" s="1"/>
  <c r="Q2117" i="2"/>
  <c r="S2117" i="2"/>
  <c r="Q1795" i="2"/>
  <c r="R1795" i="2"/>
  <c r="AP1795" i="2" s="1"/>
  <c r="S1795" i="2"/>
  <c r="Q1779" i="2"/>
  <c r="S1779" i="2"/>
  <c r="BD1779" i="2" s="1"/>
  <c r="Q1763" i="2"/>
  <c r="BD1763" i="2" s="1"/>
  <c r="R1763" i="2"/>
  <c r="AP1763" i="2" s="1"/>
  <c r="R1686" i="2"/>
  <c r="AP1686" i="2" s="1"/>
  <c r="S1686" i="2"/>
  <c r="Q1686" i="2"/>
  <c r="Q1657" i="2"/>
  <c r="S1657" i="2"/>
  <c r="Q1641" i="2"/>
  <c r="S1641" i="2"/>
  <c r="R1625" i="2"/>
  <c r="AP1625" i="2" s="1"/>
  <c r="Q1625" i="2"/>
  <c r="Q1609" i="2"/>
  <c r="S1609" i="2"/>
  <c r="R1593" i="2"/>
  <c r="AP1593" i="2" s="1"/>
  <c r="Q1593" i="2"/>
  <c r="Q1506" i="2"/>
  <c r="S1506" i="2"/>
  <c r="R1506" i="2"/>
  <c r="AP1506" i="2" s="1"/>
  <c r="R2214" i="2"/>
  <c r="AP2214" i="2" s="1"/>
  <c r="S2214" i="2"/>
  <c r="BD2214" i="2" s="1"/>
  <c r="R1659" i="2"/>
  <c r="AP1659" i="2" s="1"/>
  <c r="Q1659" i="2"/>
  <c r="BD1659" i="2" s="1"/>
  <c r="R1623" i="2"/>
  <c r="AP1623" i="2" s="1"/>
  <c r="S1623" i="2"/>
  <c r="BD1623" i="2" s="1"/>
  <c r="S1591" i="2"/>
  <c r="BD1591" i="2" s="1"/>
  <c r="R1591" i="2"/>
  <c r="AP1591" i="2" s="1"/>
  <c r="Q1591" i="2"/>
  <c r="S611" i="2"/>
  <c r="Q611" i="2"/>
  <c r="S603" i="2"/>
  <c r="BD603" i="2" s="1"/>
  <c r="R603" i="2"/>
  <c r="AP603" i="2" s="1"/>
  <c r="Q595" i="2"/>
  <c r="S595" i="2"/>
  <c r="R595" i="2"/>
  <c r="AP595" i="2" s="1"/>
  <c r="S579" i="2"/>
  <c r="Q579" i="2"/>
  <c r="BD579" i="2" s="1"/>
  <c r="S571" i="2"/>
  <c r="BD571" i="2" s="1"/>
  <c r="R571" i="2"/>
  <c r="AP571" i="2" s="1"/>
  <c r="Q571" i="2"/>
  <c r="S563" i="2"/>
  <c r="BD563" i="2" s="1"/>
  <c r="R563" i="2"/>
  <c r="AP563" i="2" s="1"/>
  <c r="S550" i="2"/>
  <c r="Q550" i="2"/>
  <c r="S534" i="2"/>
  <c r="Q534" i="2"/>
  <c r="Q518" i="2"/>
  <c r="S518" i="2"/>
  <c r="U1835" i="2"/>
  <c r="V1835" i="2" s="1"/>
  <c r="AK1835" i="2"/>
  <c r="AF1835" i="2"/>
  <c r="U1819" i="2"/>
  <c r="AK1819" i="2"/>
  <c r="AF1819" i="2"/>
  <c r="AK1811" i="2"/>
  <c r="AF1811" i="2"/>
  <c r="U1803" i="2"/>
  <c r="AG1803" i="2" s="1"/>
  <c r="AF1803" i="2"/>
  <c r="U1787" i="2"/>
  <c r="AL1787" i="2" s="1"/>
  <c r="AF1787" i="2"/>
  <c r="AK1787" i="2"/>
  <c r="AK1779" i="2"/>
  <c r="AF1779" i="2"/>
  <c r="U1771" i="2"/>
  <c r="AK1771" i="2"/>
  <c r="AF1771" i="2"/>
  <c r="R1722" i="2"/>
  <c r="AP1722" i="2" s="1"/>
  <c r="Q1722" i="2"/>
  <c r="Q1117" i="2"/>
  <c r="R1117" i="2"/>
  <c r="AP1117" i="2" s="1"/>
  <c r="S1117" i="2"/>
  <c r="S1065" i="2"/>
  <c r="Q1065" i="2"/>
  <c r="BD1065" i="2" s="1"/>
  <c r="Q831" i="2"/>
  <c r="BD831" i="2" s="1"/>
  <c r="R831" i="2"/>
  <c r="AP831" i="2" s="1"/>
  <c r="Q767" i="2"/>
  <c r="S767" i="2"/>
  <c r="BD767" i="2" s="1"/>
  <c r="R767" i="2"/>
  <c r="AP767" i="2" s="1"/>
  <c r="S470" i="2"/>
  <c r="R470" i="2"/>
  <c r="AP470" i="2" s="1"/>
  <c r="Q470" i="2"/>
  <c r="Q430" i="2"/>
  <c r="S430" i="2"/>
  <c r="Q356" i="2"/>
  <c r="S356" i="2"/>
  <c r="BD356" i="2" s="1"/>
  <c r="Q108" i="2"/>
  <c r="R108" i="2"/>
  <c r="AP108" i="2" s="1"/>
  <c r="AQ108" i="2" s="1"/>
  <c r="AV108" i="2" s="1"/>
  <c r="BE108" i="2" s="1"/>
  <c r="R482" i="2"/>
  <c r="AP482" i="2" s="1"/>
  <c r="S482" i="2"/>
  <c r="S428" i="2"/>
  <c r="BD428" i="2" s="1"/>
  <c r="R428" i="2"/>
  <c r="AP428" i="2" s="1"/>
  <c r="Q428" i="2"/>
  <c r="Q855" i="2"/>
  <c r="R855" i="2"/>
  <c r="AP855" i="2" s="1"/>
  <c r="S855" i="2"/>
  <c r="Q727" i="2"/>
  <c r="R727" i="2"/>
  <c r="AP727" i="2" s="1"/>
  <c r="S727" i="2"/>
  <c r="BD727" i="2" s="1"/>
  <c r="S683" i="2"/>
  <c r="Q683" i="2"/>
  <c r="Q544" i="2"/>
  <c r="R544" i="2"/>
  <c r="AP544" i="2" s="1"/>
  <c r="R458" i="2"/>
  <c r="AP458" i="2" s="1"/>
  <c r="S458" i="2"/>
  <c r="R418" i="2"/>
  <c r="AP418" i="2" s="1"/>
  <c r="S418" i="2"/>
  <c r="Q418" i="2"/>
  <c r="S1393" i="2"/>
  <c r="R1393" i="2"/>
  <c r="AP1393" i="2" s="1"/>
  <c r="R2250" i="2"/>
  <c r="AP2250" i="2" s="1"/>
  <c r="Q2250" i="2"/>
  <c r="BD2250" i="2" s="1"/>
  <c r="S2135" i="2"/>
  <c r="R2135" i="2"/>
  <c r="AP2135" i="2" s="1"/>
  <c r="Q2135" i="2"/>
  <c r="BD2135" i="2" s="1"/>
  <c r="S1836" i="2"/>
  <c r="Q1836" i="2"/>
  <c r="R2202" i="2"/>
  <c r="AP2202" i="2" s="1"/>
  <c r="S2202" i="2"/>
  <c r="BD2202" i="2" s="1"/>
  <c r="R2381" i="2"/>
  <c r="AP2381" i="2" s="1"/>
  <c r="Q2381" i="2"/>
  <c r="R850" i="2"/>
  <c r="AP850" i="2" s="1"/>
  <c r="Q850" i="2"/>
  <c r="BD850" i="2" s="1"/>
  <c r="B11" i="3"/>
  <c r="S2394" i="2"/>
  <c r="Q2226" i="2"/>
  <c r="R2392" i="2"/>
  <c r="AP2392" i="2" s="1"/>
  <c r="S2352" i="2"/>
  <c r="BD2352" i="2" s="1"/>
  <c r="S2316" i="2"/>
  <c r="S2383" i="2"/>
  <c r="R2349" i="2"/>
  <c r="AP2349" i="2" s="1"/>
  <c r="R2341" i="2"/>
  <c r="AP2341" i="2" s="1"/>
  <c r="S1791" i="2"/>
  <c r="S1760" i="2"/>
  <c r="BD1760" i="2" s="1"/>
  <c r="R1653" i="2"/>
  <c r="AP1653" i="2" s="1"/>
  <c r="R1053" i="2"/>
  <c r="AP1053" i="2" s="1"/>
  <c r="Q750" i="2"/>
  <c r="Q2376" i="2"/>
  <c r="S2360" i="2"/>
  <c r="BD2360" i="2" s="1"/>
  <c r="R2352" i="2"/>
  <c r="AP2352" i="2" s="1"/>
  <c r="R1505" i="2"/>
  <c r="AP1505" i="2" s="1"/>
  <c r="S750" i="2"/>
  <c r="BD750" i="2" s="1"/>
  <c r="S2290" i="2"/>
  <c r="Q2149" i="2"/>
  <c r="R2020" i="2"/>
  <c r="AP2020" i="2" s="1"/>
  <c r="Q1702" i="2"/>
  <c r="Q1812" i="2"/>
  <c r="R1486" i="2"/>
  <c r="AP1486" i="2" s="1"/>
  <c r="Q1385" i="2"/>
  <c r="BD1385" i="2" s="1"/>
  <c r="R1595" i="2"/>
  <c r="AP1595" i="2" s="1"/>
  <c r="R1103" i="2"/>
  <c r="AP1103" i="2" s="1"/>
  <c r="S2127" i="2"/>
  <c r="U1799" i="2"/>
  <c r="AK1783" i="2"/>
  <c r="AA1767" i="2"/>
  <c r="Q1663" i="2"/>
  <c r="BD1663" i="2" s="1"/>
  <c r="Q722" i="2"/>
  <c r="Q2306" i="2"/>
  <c r="Q2274" i="2"/>
  <c r="Q2234" i="2"/>
  <c r="Q2332" i="2"/>
  <c r="Q2328" i="2"/>
  <c r="BD2328" i="2" s="1"/>
  <c r="R2373" i="2"/>
  <c r="AP2373" i="2" s="1"/>
  <c r="R2367" i="2"/>
  <c r="AP2367" i="2" s="1"/>
  <c r="R2361" i="2"/>
  <c r="AP2361" i="2" s="1"/>
  <c r="S2347" i="2"/>
  <c r="BD2347" i="2" s="1"/>
  <c r="S2331" i="2"/>
  <c r="S2321" i="2"/>
  <c r="BD2321" i="2" s="1"/>
  <c r="S2218" i="2"/>
  <c r="S2210" i="2"/>
  <c r="BD2210" i="2" s="1"/>
  <c r="R2113" i="2"/>
  <c r="AP2113" i="2" s="1"/>
  <c r="R2121" i="2"/>
  <c r="AP2121" i="2" s="1"/>
  <c r="S2111" i="2"/>
  <c r="Q1754" i="2"/>
  <c r="Q1670" i="2"/>
  <c r="R1840" i="2"/>
  <c r="AP1840" i="2" s="1"/>
  <c r="AF1843" i="2"/>
  <c r="AA1831" i="2"/>
  <c r="AA1815" i="2"/>
  <c r="U1807" i="2"/>
  <c r="V1807" i="2" s="1"/>
  <c r="AK1799" i="2"/>
  <c r="AA1783" i="2"/>
  <c r="AF1775" i="2"/>
  <c r="S1764" i="2"/>
  <c r="BD1764" i="2" s="1"/>
  <c r="S1694" i="2"/>
  <c r="S1670" i="2"/>
  <c r="R1482" i="2"/>
  <c r="AP1482" i="2" s="1"/>
  <c r="R1385" i="2"/>
  <c r="AP1385" i="2" s="1"/>
  <c r="R1663" i="2"/>
  <c r="AP1663" i="2" s="1"/>
  <c r="Q1651" i="2"/>
  <c r="BD1651" i="2" s="1"/>
  <c r="S1627" i="2"/>
  <c r="R1619" i="2"/>
  <c r="AP1619" i="2" s="1"/>
  <c r="S1587" i="2"/>
  <c r="R1524" i="2"/>
  <c r="AP1524" i="2" s="1"/>
  <c r="R1135" i="2"/>
  <c r="AP1135" i="2" s="1"/>
  <c r="R1091" i="2"/>
  <c r="AP1091" i="2" s="1"/>
  <c r="AA1143" i="2"/>
  <c r="Q858" i="2"/>
  <c r="S786" i="2"/>
  <c r="R689" i="2"/>
  <c r="AP689" i="2" s="1"/>
  <c r="R623" i="2"/>
  <c r="AP623" i="2" s="1"/>
  <c r="R835" i="2"/>
  <c r="AP835" i="2" s="1"/>
  <c r="R755" i="2"/>
  <c r="AP755" i="2" s="1"/>
  <c r="Q703" i="2"/>
  <c r="BD703" i="2" s="1"/>
  <c r="Q649" i="2"/>
  <c r="BD649" i="2" s="1"/>
  <c r="AF356" i="2"/>
  <c r="R372" i="2"/>
  <c r="AP372" i="2" s="1"/>
  <c r="AA468" i="2"/>
  <c r="G180" i="4"/>
  <c r="AK1831" i="2"/>
  <c r="U1151" i="2"/>
  <c r="AB1151" i="2" s="1"/>
  <c r="S1103" i="2"/>
  <c r="BD1103" i="2" s="1"/>
  <c r="Q1067" i="2"/>
  <c r="S778" i="2"/>
  <c r="Q711" i="2"/>
  <c r="BD711" i="2" s="1"/>
  <c r="Q795" i="2"/>
  <c r="BD795" i="2" s="1"/>
  <c r="R502" i="2"/>
  <c r="AP502" i="2" s="1"/>
  <c r="R2400" i="2"/>
  <c r="AP2400" i="2" s="1"/>
  <c r="Q2408" i="2"/>
  <c r="Q2282" i="2"/>
  <c r="Q2242" i="2"/>
  <c r="Q2390" i="2"/>
  <c r="Q2374" i="2"/>
  <c r="Q2358" i="2"/>
  <c r="Q2346" i="2"/>
  <c r="S2322" i="2"/>
  <c r="R2318" i="2"/>
  <c r="AP2318" i="2" s="1"/>
  <c r="Q2375" i="2"/>
  <c r="BD2375" i="2" s="1"/>
  <c r="Q2369" i="2"/>
  <c r="S2361" i="2"/>
  <c r="BD2361" i="2" s="1"/>
  <c r="S2274" i="2"/>
  <c r="BD2274" i="2" s="1"/>
  <c r="S2146" i="2"/>
  <c r="BD2146" i="2" s="1"/>
  <c r="S2125" i="2"/>
  <c r="U1843" i="2"/>
  <c r="AL1843" i="2" s="1"/>
  <c r="AK1839" i="2"/>
  <c r="U1823" i="2"/>
  <c r="AL1823" i="2" s="1"/>
  <c r="AF1815" i="2"/>
  <c r="AK1807" i="2"/>
  <c r="U1791" i="2"/>
  <c r="AL1791" i="2" s="1"/>
  <c r="AA1775" i="2"/>
  <c r="AK1759" i="2"/>
  <c r="S1754" i="2"/>
  <c r="BD1754" i="2" s="1"/>
  <c r="S1702" i="2"/>
  <c r="Q1524" i="2"/>
  <c r="BD1524" i="2" s="1"/>
  <c r="S1661" i="2"/>
  <c r="AF1143" i="2"/>
  <c r="R1127" i="2"/>
  <c r="AP1127" i="2" s="1"/>
  <c r="AF925" i="2"/>
  <c r="S738" i="2"/>
  <c r="S734" i="2"/>
  <c r="R723" i="2"/>
  <c r="AP723" i="2" s="1"/>
  <c r="R693" i="2"/>
  <c r="AP693" i="2" s="1"/>
  <c r="R649" i="2"/>
  <c r="AP649" i="2" s="1"/>
  <c r="R643" i="2"/>
  <c r="AP643" i="2" s="1"/>
  <c r="R871" i="2"/>
  <c r="AP871" i="2" s="1"/>
  <c r="Q871" i="2"/>
  <c r="BD871" i="2" s="1"/>
  <c r="S724" i="2"/>
  <c r="R520" i="2"/>
  <c r="AP520" i="2" s="1"/>
  <c r="AF468" i="2"/>
  <c r="S196" i="2"/>
  <c r="Q2398" i="2"/>
  <c r="S2338" i="2"/>
  <c r="BD2338" i="2" s="1"/>
  <c r="Q2330" i="2"/>
  <c r="S2278" i="2"/>
  <c r="Q2127" i="2"/>
  <c r="AF1839" i="2"/>
  <c r="AF1831" i="2"/>
  <c r="S1828" i="2"/>
  <c r="BD1828" i="2" s="1"/>
  <c r="AA1823" i="2"/>
  <c r="U1815" i="2"/>
  <c r="AG1815" i="2" s="1"/>
  <c r="S1812" i="2"/>
  <c r="AA1807" i="2"/>
  <c r="AQ1807" i="2" s="1"/>
  <c r="AA1799" i="2"/>
  <c r="AA1791" i="2"/>
  <c r="AQ1791" i="2" s="1"/>
  <c r="AV1791" i="2" s="1"/>
  <c r="BE1791" i="2" s="1"/>
  <c r="AF1783" i="2"/>
  <c r="U1775" i="2"/>
  <c r="AL1775" i="2" s="1"/>
  <c r="U1767" i="2"/>
  <c r="AF1759" i="2"/>
  <c r="Q1627" i="2"/>
  <c r="Q1607" i="2"/>
  <c r="S1617" i="2"/>
  <c r="AF1151" i="2"/>
  <c r="R1119" i="2"/>
  <c r="AP1119" i="2" s="1"/>
  <c r="S1067" i="2"/>
  <c r="Q1063" i="2"/>
  <c r="S838" i="2"/>
  <c r="R661" i="2"/>
  <c r="AP661" i="2" s="1"/>
  <c r="Q665" i="2"/>
  <c r="BD665" i="2" s="1"/>
  <c r="Q623" i="2"/>
  <c r="BD623" i="2" s="1"/>
  <c r="Q839" i="2"/>
  <c r="BD839" i="2" s="1"/>
  <c r="S835" i="2"/>
  <c r="BD835" i="2" s="1"/>
  <c r="AF476" i="2"/>
  <c r="Q404" i="2"/>
  <c r="BD134" i="2"/>
  <c r="R196" i="2"/>
  <c r="AP196" i="2" s="1"/>
  <c r="AQ196" i="2" s="1"/>
  <c r="AV196" i="2" s="1"/>
  <c r="BE196" i="2" s="1"/>
  <c r="S412" i="2"/>
  <c r="BD412" i="2" s="1"/>
  <c r="AA404" i="2"/>
  <c r="AA388" i="2"/>
  <c r="AA380" i="2"/>
  <c r="AA372" i="2"/>
  <c r="AA356" i="2"/>
  <c r="S2408" i="2"/>
  <c r="R2398" i="2"/>
  <c r="AP2398" i="2" s="1"/>
  <c r="R2346" i="2"/>
  <c r="AP2346" i="2" s="1"/>
  <c r="S2318" i="2"/>
  <c r="Q2379" i="2"/>
  <c r="BD2379" i="2" s="1"/>
  <c r="R2339" i="2"/>
  <c r="AP2339" i="2" s="1"/>
  <c r="Q2331" i="2"/>
  <c r="Q2323" i="2"/>
  <c r="S2222" i="2"/>
  <c r="R2146" i="2"/>
  <c r="AP2146" i="2" s="1"/>
  <c r="Q2125" i="2"/>
  <c r="Q2119" i="2"/>
  <c r="Q2115" i="2"/>
  <c r="BD2115" i="2" s="1"/>
  <c r="Q2400" i="2"/>
  <c r="BD2400" i="2" s="1"/>
  <c r="Q2290" i="2"/>
  <c r="Q2278" i="2"/>
  <c r="Q2222" i="2"/>
  <c r="R2338" i="2"/>
  <c r="AP2338" i="2" s="1"/>
  <c r="R2379" i="2"/>
  <c r="AP2379" i="2" s="1"/>
  <c r="R2347" i="2"/>
  <c r="AP2347" i="2" s="1"/>
  <c r="S2339" i="2"/>
  <c r="BD2339" i="2" s="1"/>
  <c r="S2149" i="2"/>
  <c r="Q2121" i="2"/>
  <c r="BD2121" i="2" s="1"/>
  <c r="R2115" i="2"/>
  <c r="AP2115" i="2" s="1"/>
  <c r="S2020" i="2"/>
  <c r="BD2020" i="2" s="1"/>
  <c r="Q1690" i="2"/>
  <c r="Q1682" i="2"/>
  <c r="AA1843" i="2"/>
  <c r="Q1820" i="2"/>
  <c r="BD1820" i="2" s="1"/>
  <c r="Q1796" i="2"/>
  <c r="BD1796" i="2" s="1"/>
  <c r="S1690" i="2"/>
  <c r="S1682" i="2"/>
  <c r="S1607" i="2"/>
  <c r="S1601" i="2"/>
  <c r="R1063" i="2"/>
  <c r="AP1063" i="2" s="1"/>
  <c r="AK1143" i="2"/>
  <c r="S746" i="2"/>
  <c r="Q738" i="2"/>
  <c r="BD738" i="2" s="1"/>
  <c r="Q723" i="2"/>
  <c r="BD723" i="2" s="1"/>
  <c r="Q693" i="2"/>
  <c r="BD693" i="2" s="1"/>
  <c r="Q661" i="2"/>
  <c r="BD661" i="2" s="1"/>
  <c r="Q875" i="2"/>
  <c r="BD875" i="2" s="1"/>
  <c r="Q535" i="2"/>
  <c r="BD535" i="2" s="1"/>
  <c r="U380" i="2"/>
  <c r="AF372" i="2"/>
  <c r="S404" i="2"/>
  <c r="BD404" i="2" s="1"/>
  <c r="R238" i="2"/>
  <c r="AP238" i="2" s="1"/>
  <c r="Q164" i="2"/>
  <c r="R164" i="2"/>
  <c r="AP164" i="2" s="1"/>
  <c r="AQ164" i="2" s="1"/>
  <c r="AV164" i="2" s="1"/>
  <c r="BE164" i="2" s="1"/>
  <c r="R412" i="2"/>
  <c r="AP412" i="2" s="1"/>
  <c r="U372" i="2"/>
  <c r="AB372" i="2" s="1"/>
  <c r="Q362" i="2"/>
  <c r="Q462" i="2"/>
  <c r="Q196" i="2"/>
  <c r="G164" i="4"/>
  <c r="AK264" i="2"/>
  <c r="R2394" i="2"/>
  <c r="AP2394" i="2" s="1"/>
  <c r="S2376" i="2"/>
  <c r="R2368" i="2"/>
  <c r="AP2368" i="2" s="1"/>
  <c r="R2340" i="2"/>
  <c r="AP2340" i="2" s="1"/>
  <c r="R2377" i="2"/>
  <c r="AP2377" i="2" s="1"/>
  <c r="Q2355" i="2"/>
  <c r="S2349" i="2"/>
  <c r="BD2349" i="2" s="1"/>
  <c r="R2317" i="2"/>
  <c r="AP2317" i="2" s="1"/>
  <c r="Q1791" i="2"/>
  <c r="BD1791" i="2" s="1"/>
  <c r="R1760" i="2"/>
  <c r="AP1760" i="2" s="1"/>
  <c r="Q1776" i="2"/>
  <c r="R1615" i="2"/>
  <c r="AP1615" i="2" s="1"/>
  <c r="S1498" i="2"/>
  <c r="BD1498" i="2" s="1"/>
  <c r="S1653" i="2"/>
  <c r="BD1653" i="2" s="1"/>
  <c r="R1637" i="2"/>
  <c r="AP1637" i="2" s="1"/>
  <c r="R1075" i="2"/>
  <c r="AP1075" i="2" s="1"/>
  <c r="S2258" i="2"/>
  <c r="S1776" i="2"/>
  <c r="S1615" i="2"/>
  <c r="BD1615" i="2" s="1"/>
  <c r="Q1583" i="2"/>
  <c r="R1498" i="2"/>
  <c r="AP1498" i="2" s="1"/>
  <c r="S1637" i="2"/>
  <c r="BD1637" i="2" s="1"/>
  <c r="Q1605" i="2"/>
  <c r="BD1605" i="2" s="1"/>
  <c r="Q1075" i="2"/>
  <c r="Q2391" i="2"/>
  <c r="S2355" i="2"/>
  <c r="BD2355" i="2" s="1"/>
  <c r="Q2351" i="2"/>
  <c r="R2402" i="2"/>
  <c r="AP2402" i="2" s="1"/>
  <c r="Q2266" i="2"/>
  <c r="Q2258" i="2"/>
  <c r="Q2326" i="2"/>
  <c r="S2391" i="2"/>
  <c r="R2387" i="2"/>
  <c r="AP2387" i="2" s="1"/>
  <c r="Q2383" i="2"/>
  <c r="S2351" i="2"/>
  <c r="BD2351" i="2" s="1"/>
  <c r="S2266" i="2"/>
  <c r="S2226" i="2"/>
  <c r="BD2226" i="2" s="1"/>
  <c r="S2123" i="2"/>
  <c r="Q1505" i="2"/>
  <c r="BD1505" i="2" s="1"/>
  <c r="R1583" i="2"/>
  <c r="AP1583" i="2" s="1"/>
  <c r="R1621" i="2"/>
  <c r="AP1621" i="2" s="1"/>
  <c r="R1605" i="2"/>
  <c r="AP1605" i="2" s="1"/>
  <c r="R1109" i="2"/>
  <c r="AP1109" i="2" s="1"/>
  <c r="Q1109" i="2"/>
  <c r="Q1077" i="2"/>
  <c r="BD1077" i="2" s="1"/>
  <c r="S1053" i="2"/>
  <c r="BD1053" i="2" s="1"/>
  <c r="AF931" i="2"/>
  <c r="BD102" i="2"/>
  <c r="S422" i="2"/>
  <c r="BD422" i="2" s="1"/>
  <c r="S1383" i="2"/>
  <c r="Q1127" i="2"/>
  <c r="BD1127" i="2" s="1"/>
  <c r="Q1119" i="2"/>
  <c r="Q1059" i="2"/>
  <c r="BD1059" i="2" s="1"/>
  <c r="S858" i="2"/>
  <c r="S854" i="2"/>
  <c r="Q790" i="2"/>
  <c r="R711" i="2"/>
  <c r="AP711" i="2" s="1"/>
  <c r="R679" i="2"/>
  <c r="AP679" i="2" s="1"/>
  <c r="R665" i="2"/>
  <c r="AP665" i="2" s="1"/>
  <c r="R627" i="2"/>
  <c r="AP627" i="2" s="1"/>
  <c r="Q721" i="2"/>
  <c r="BD721" i="2" s="1"/>
  <c r="Q659" i="2"/>
  <c r="BD659" i="2" s="1"/>
  <c r="Q643" i="2"/>
  <c r="BD643" i="2" s="1"/>
  <c r="S731" i="2"/>
  <c r="Q724" i="2"/>
  <c r="BD724" i="2" s="1"/>
  <c r="S520" i="2"/>
  <c r="BD520" i="2" s="1"/>
  <c r="U476" i="2"/>
  <c r="AG476" i="2" s="1"/>
  <c r="AF404" i="2"/>
  <c r="Q394" i="2"/>
  <c r="AF388" i="2"/>
  <c r="U356" i="2"/>
  <c r="AL356" i="2" s="1"/>
  <c r="R611" i="2"/>
  <c r="AP611" i="2" s="1"/>
  <c r="Q587" i="2"/>
  <c r="BD587" i="2" s="1"/>
  <c r="R579" i="2"/>
  <c r="AP579" i="2" s="1"/>
  <c r="S462" i="2"/>
  <c r="R340" i="2"/>
  <c r="AP340" i="2" s="1"/>
  <c r="AA272" i="2"/>
  <c r="AA476" i="2"/>
  <c r="AA264" i="2"/>
  <c r="AQ264" i="2" s="1"/>
  <c r="U264" i="2"/>
  <c r="S250" i="2"/>
  <c r="AA1151" i="2"/>
  <c r="S790" i="2"/>
  <c r="Q786" i="2"/>
  <c r="Q778" i="2"/>
  <c r="Q746" i="2"/>
  <c r="R721" i="2"/>
  <c r="AP721" i="2" s="1"/>
  <c r="R715" i="2"/>
  <c r="AP715" i="2" s="1"/>
  <c r="R703" i="2"/>
  <c r="AP703" i="2" s="1"/>
  <c r="R659" i="2"/>
  <c r="AP659" i="2" s="1"/>
  <c r="R875" i="2"/>
  <c r="AP875" i="2" s="1"/>
  <c r="R839" i="2"/>
  <c r="AP839" i="2" s="1"/>
  <c r="R731" i="2"/>
  <c r="AP731" i="2" s="1"/>
  <c r="Q715" i="2"/>
  <c r="BD715" i="2" s="1"/>
  <c r="Q679" i="2"/>
  <c r="BD679" i="2" s="1"/>
  <c r="Q651" i="2"/>
  <c r="BD651" i="2" s="1"/>
  <c r="Q627" i="2"/>
  <c r="BD627" i="2" s="1"/>
  <c r="U909" i="2"/>
  <c r="AB909" i="2" s="1"/>
  <c r="S799" i="2"/>
  <c r="U388" i="2"/>
  <c r="AF380" i="2"/>
  <c r="Q250" i="2"/>
  <c r="S372" i="2"/>
  <c r="BD372" i="2" s="1"/>
  <c r="AF256" i="2"/>
  <c r="Q238" i="2"/>
  <c r="BD238" i="2" s="1"/>
  <c r="Q180" i="2"/>
  <c r="BD180" i="2" s="1"/>
  <c r="BD66" i="2"/>
  <c r="S224" i="2"/>
  <c r="S486" i="2"/>
  <c r="S2306" i="2"/>
  <c r="Q2382" i="2"/>
  <c r="Q2366" i="2"/>
  <c r="Q2350" i="2"/>
  <c r="R1836" i="2"/>
  <c r="AP1836" i="2" s="1"/>
  <c r="R1828" i="2"/>
  <c r="AP1828" i="2" s="1"/>
  <c r="R1820" i="2"/>
  <c r="AP1820" i="2" s="1"/>
  <c r="R1796" i="2"/>
  <c r="AP1796" i="2" s="1"/>
  <c r="S1486" i="2"/>
  <c r="BD1486" i="2" s="1"/>
  <c r="Q854" i="2"/>
  <c r="Q838" i="2"/>
  <c r="R651" i="2"/>
  <c r="AP651" i="2" s="1"/>
  <c r="R811" i="2"/>
  <c r="AP811" i="2" s="1"/>
  <c r="R722" i="2"/>
  <c r="AP722" i="2" s="1"/>
  <c r="S720" i="2"/>
  <c r="R535" i="2"/>
  <c r="AP535" i="2" s="1"/>
  <c r="U404" i="2"/>
  <c r="AB404" i="2" s="1"/>
  <c r="S502" i="2"/>
  <c r="BD502" i="2" s="1"/>
  <c r="S811" i="2"/>
  <c r="S442" i="2"/>
  <c r="S340" i="2"/>
  <c r="BD340" i="2" s="1"/>
  <c r="Q206" i="2"/>
  <c r="BD206" i="2" s="1"/>
  <c r="R172" i="2"/>
  <c r="AP172" i="2" s="1"/>
  <c r="S460" i="2"/>
  <c r="BD460" i="2" s="1"/>
  <c r="S1804" i="2"/>
  <c r="Q1804" i="2"/>
  <c r="R1710" i="2"/>
  <c r="AP1710" i="2" s="1"/>
  <c r="S1710" i="2"/>
  <c r="Q1710" i="2"/>
  <c r="Q1391" i="2"/>
  <c r="S1391" i="2"/>
  <c r="Q1375" i="2"/>
  <c r="S1375" i="2"/>
  <c r="Q1803" i="2"/>
  <c r="BD1803" i="2" s="1"/>
  <c r="R1803" i="2"/>
  <c r="AP1803" i="2" s="1"/>
  <c r="Q1787" i="2"/>
  <c r="S1787" i="2"/>
  <c r="Q1771" i="2"/>
  <c r="R1771" i="2"/>
  <c r="AP1771" i="2" s="1"/>
  <c r="S1771" i="2"/>
  <c r="R1750" i="2"/>
  <c r="AP1750" i="2" s="1"/>
  <c r="Q1750" i="2"/>
  <c r="R1665" i="2"/>
  <c r="AP1665" i="2" s="1"/>
  <c r="S1665" i="2"/>
  <c r="Q1665" i="2"/>
  <c r="R1649" i="2"/>
  <c r="AP1649" i="2" s="1"/>
  <c r="S1649" i="2"/>
  <c r="Q1649" i="2"/>
  <c r="R1633" i="2"/>
  <c r="AP1633" i="2" s="1"/>
  <c r="S1633" i="2"/>
  <c r="BD1633" i="2" s="1"/>
  <c r="Q1585" i="2"/>
  <c r="R1585" i="2"/>
  <c r="AP1585" i="2" s="1"/>
  <c r="Q1500" i="2"/>
  <c r="R1500" i="2"/>
  <c r="AP1500" i="2" s="1"/>
  <c r="R1639" i="2"/>
  <c r="AP1639" i="2" s="1"/>
  <c r="S1639" i="2"/>
  <c r="BD1639" i="2" s="1"/>
  <c r="S1477" i="2"/>
  <c r="R1477" i="2"/>
  <c r="AP1477" i="2" s="1"/>
  <c r="R615" i="2"/>
  <c r="AP615" i="2" s="1"/>
  <c r="S615" i="2"/>
  <c r="Q615" i="2"/>
  <c r="R607" i="2"/>
  <c r="AP607" i="2" s="1"/>
  <c r="S607" i="2"/>
  <c r="R599" i="2"/>
  <c r="AP599" i="2" s="1"/>
  <c r="S599" i="2"/>
  <c r="Q599" i="2"/>
  <c r="R591" i="2"/>
  <c r="AP591" i="2" s="1"/>
  <c r="S591" i="2"/>
  <c r="Q591" i="2"/>
  <c r="R583" i="2"/>
  <c r="AP583" i="2" s="1"/>
  <c r="Q583" i="2"/>
  <c r="R575" i="2"/>
  <c r="AP575" i="2" s="1"/>
  <c r="S575" i="2"/>
  <c r="R567" i="2"/>
  <c r="AP567" i="2" s="1"/>
  <c r="S567" i="2"/>
  <c r="Q567" i="2"/>
  <c r="R559" i="2"/>
  <c r="AP559" i="2" s="1"/>
  <c r="Q559" i="2"/>
  <c r="R542" i="2"/>
  <c r="AP542" i="2" s="1"/>
  <c r="S542" i="2"/>
  <c r="Q542" i="2"/>
  <c r="R526" i="2"/>
  <c r="AP526" i="2" s="1"/>
  <c r="S526" i="2"/>
  <c r="R510" i="2"/>
  <c r="AP510" i="2" s="1"/>
  <c r="Q510" i="2"/>
  <c r="BD510" i="2" s="1"/>
  <c r="R310" i="2"/>
  <c r="AP310" i="2" s="1"/>
  <c r="S310" i="2"/>
  <c r="Q310" i="2"/>
  <c r="S216" i="2"/>
  <c r="Q216" i="2"/>
  <c r="Q156" i="2"/>
  <c r="BD156" i="2" s="1"/>
  <c r="G156" i="4"/>
  <c r="R156" i="2"/>
  <c r="AP156" i="2" s="1"/>
  <c r="AQ156" i="2" s="1"/>
  <c r="AV156" i="2" s="1"/>
  <c r="BE156" i="2" s="1"/>
  <c r="S1081" i="2"/>
  <c r="Q1081" i="2"/>
  <c r="R1081" i="2"/>
  <c r="AP1081" i="2" s="1"/>
  <c r="R774" i="2"/>
  <c r="AP774" i="2" s="1"/>
  <c r="S774" i="2"/>
  <c r="Q774" i="2"/>
  <c r="AK436" i="2"/>
  <c r="U436" i="2"/>
  <c r="AB436" i="2" s="1"/>
  <c r="AF436" i="2"/>
  <c r="R370" i="2"/>
  <c r="AP370" i="2" s="1"/>
  <c r="Q370" i="2"/>
  <c r="G64" i="4"/>
  <c r="R64" i="2"/>
  <c r="AP64" i="2" s="1"/>
  <c r="S64" i="2"/>
  <c r="R826" i="2"/>
  <c r="AP826" i="2" s="1"/>
  <c r="S826" i="2"/>
  <c r="Q815" i="2"/>
  <c r="S815" i="2"/>
  <c r="R815" i="2"/>
  <c r="AP815" i="2" s="1"/>
  <c r="R798" i="2"/>
  <c r="AP798" i="2" s="1"/>
  <c r="Q798" i="2"/>
  <c r="BD798" i="2" s="1"/>
  <c r="S647" i="2"/>
  <c r="Q647" i="2"/>
  <c r="BD647" i="2" s="1"/>
  <c r="R490" i="2"/>
  <c r="AP490" i="2" s="1"/>
  <c r="S490" i="2"/>
  <c r="Q490" i="2"/>
  <c r="R474" i="2"/>
  <c r="AP474" i="2" s="1"/>
  <c r="S474" i="2"/>
  <c r="BD474" i="2" s="1"/>
  <c r="AK396" i="2"/>
  <c r="U396" i="2"/>
  <c r="AK364" i="2"/>
  <c r="U364" i="2"/>
  <c r="AB364" i="2" s="1"/>
  <c r="AF364" i="2"/>
  <c r="AK332" i="2"/>
  <c r="U332" i="2"/>
  <c r="AL332" i="2" s="1"/>
  <c r="S302" i="2"/>
  <c r="Q302" i="2"/>
  <c r="Q140" i="2"/>
  <c r="G140" i="4"/>
  <c r="R140" i="2"/>
  <c r="AP140" i="2" s="1"/>
  <c r="AQ140" i="2" s="1"/>
  <c r="AV140" i="2" s="1"/>
  <c r="BE140" i="2" s="1"/>
  <c r="S58" i="2"/>
  <c r="G58" i="4"/>
  <c r="R58" i="2"/>
  <c r="AP58" i="2" s="1"/>
  <c r="S28" i="2"/>
  <c r="G28" i="4"/>
  <c r="Q879" i="2"/>
  <c r="S879" i="2"/>
  <c r="R762" i="2"/>
  <c r="AP762" i="2" s="1"/>
  <c r="S762" i="2"/>
  <c r="Q762" i="2"/>
  <c r="R735" i="2"/>
  <c r="AP735" i="2" s="1"/>
  <c r="Q735" i="2"/>
  <c r="S735" i="2"/>
  <c r="AF304" i="2"/>
  <c r="AK304" i="2"/>
  <c r="U304" i="2"/>
  <c r="AL304" i="2" s="1"/>
  <c r="Q751" i="2"/>
  <c r="S751" i="2"/>
  <c r="R751" i="2"/>
  <c r="AP751" i="2" s="1"/>
  <c r="R434" i="2"/>
  <c r="AP434" i="2" s="1"/>
  <c r="S434" i="2"/>
  <c r="R410" i="2"/>
  <c r="AP410" i="2" s="1"/>
  <c r="S410" i="2"/>
  <c r="Q410" i="2"/>
  <c r="Q1841" i="2"/>
  <c r="S1841" i="2"/>
  <c r="R1746" i="2"/>
  <c r="AP1746" i="2" s="1"/>
  <c r="Q1746" i="2"/>
  <c r="BD1746" i="2" s="1"/>
  <c r="R1643" i="2"/>
  <c r="AP1643" i="2" s="1"/>
  <c r="Q1643" i="2"/>
  <c r="S1611" i="2"/>
  <c r="BD1611" i="2" s="1"/>
  <c r="R1611" i="2"/>
  <c r="AP1611" i="2" s="1"/>
  <c r="R1512" i="2"/>
  <c r="AP1512" i="2" s="1"/>
  <c r="S1512" i="2"/>
  <c r="R1674" i="2"/>
  <c r="AP1674" i="2" s="1"/>
  <c r="S1674" i="2"/>
  <c r="BD1674" i="2" s="1"/>
  <c r="S1131" i="2"/>
  <c r="Q1131" i="2"/>
  <c r="R882" i="2"/>
  <c r="AP882" i="2" s="1"/>
  <c r="S882" i="2"/>
  <c r="Q882" i="2"/>
  <c r="Q827" i="2"/>
  <c r="S827" i="2"/>
  <c r="BD827" i="2" s="1"/>
  <c r="R766" i="2"/>
  <c r="AP766" i="2" s="1"/>
  <c r="S766" i="2"/>
  <c r="Q766" i="2"/>
  <c r="U1145" i="2"/>
  <c r="AB1145" i="2" s="1"/>
  <c r="AF1145" i="2"/>
  <c r="R846" i="2"/>
  <c r="AP846" i="2" s="1"/>
  <c r="S846" i="2"/>
  <c r="Q846" i="2"/>
  <c r="R763" i="2"/>
  <c r="AP763" i="2" s="1"/>
  <c r="Q763" i="2"/>
  <c r="S763" i="2"/>
  <c r="S691" i="2"/>
  <c r="R691" i="2"/>
  <c r="AP691" i="2" s="1"/>
  <c r="Q691" i="2"/>
  <c r="S653" i="2"/>
  <c r="Q653" i="2"/>
  <c r="R653" i="2"/>
  <c r="AP653" i="2" s="1"/>
  <c r="Q536" i="2"/>
  <c r="S536" i="2"/>
  <c r="R536" i="2"/>
  <c r="AP536" i="2" s="1"/>
  <c r="R450" i="2"/>
  <c r="AP450" i="2" s="1"/>
  <c r="S450" i="2"/>
  <c r="Q450" i="2"/>
  <c r="S27" i="2"/>
  <c r="G27" i="4"/>
  <c r="Q27" i="2"/>
  <c r="G74" i="4"/>
  <c r="Q74" i="2"/>
  <c r="S74" i="2"/>
  <c r="R842" i="2"/>
  <c r="AP842" i="2" s="1"/>
  <c r="S842" i="2"/>
  <c r="Q842" i="2"/>
  <c r="S719" i="2"/>
  <c r="Q719" i="2"/>
  <c r="R719" i="2"/>
  <c r="AP719" i="2" s="1"/>
  <c r="S677" i="2"/>
  <c r="Q677" i="2"/>
  <c r="R677" i="2"/>
  <c r="AP677" i="2" s="1"/>
  <c r="S639" i="2"/>
  <c r="R639" i="2"/>
  <c r="AP639" i="2" s="1"/>
  <c r="Q639" i="2"/>
  <c r="S492" i="2"/>
  <c r="Q492" i="2"/>
  <c r="AF320" i="2"/>
  <c r="U320" i="2"/>
  <c r="AL320" i="2" s="1"/>
  <c r="R834" i="2"/>
  <c r="AP834" i="2" s="1"/>
  <c r="S834" i="2"/>
  <c r="S725" i="2"/>
  <c r="R725" i="2"/>
  <c r="AP725" i="2" s="1"/>
  <c r="Q725" i="2"/>
  <c r="S717" i="2"/>
  <c r="R717" i="2"/>
  <c r="AP717" i="2" s="1"/>
  <c r="Q717" i="2"/>
  <c r="S707" i="2"/>
  <c r="R707" i="2"/>
  <c r="AP707" i="2" s="1"/>
  <c r="Q707" i="2"/>
  <c r="S695" i="2"/>
  <c r="BD695" i="2" s="1"/>
  <c r="R695" i="2"/>
  <c r="AP695" i="2" s="1"/>
  <c r="S657" i="2"/>
  <c r="R657" i="2"/>
  <c r="AP657" i="2" s="1"/>
  <c r="Q657" i="2"/>
  <c r="S641" i="2"/>
  <c r="Q641" i="2"/>
  <c r="R641" i="2"/>
  <c r="AP641" i="2" s="1"/>
  <c r="Q500" i="2"/>
  <c r="S500" i="2"/>
  <c r="R500" i="2"/>
  <c r="AP500" i="2" s="1"/>
  <c r="S304" i="2"/>
  <c r="Q304" i="2"/>
  <c r="AK216" i="2"/>
  <c r="AF216" i="2"/>
  <c r="U216" i="2"/>
  <c r="AB216" i="2" s="1"/>
  <c r="AF224" i="2"/>
  <c r="U224" i="2"/>
  <c r="AL224" i="2" s="1"/>
  <c r="S637" i="2"/>
  <c r="Q637" i="2"/>
  <c r="R637" i="2"/>
  <c r="AP637" i="2" s="1"/>
  <c r="S1844" i="2"/>
  <c r="Q1844" i="2"/>
  <c r="R818" i="2"/>
  <c r="AP818" i="2" s="1"/>
  <c r="S818" i="2"/>
  <c r="Q124" i="2"/>
  <c r="BD124" i="2" s="1"/>
  <c r="G124" i="4"/>
  <c r="R124" i="2"/>
  <c r="AP124" i="2" s="1"/>
  <c r="AQ124" i="2" s="1"/>
  <c r="AV124" i="2" s="1"/>
  <c r="BE124" i="2" s="1"/>
  <c r="AK248" i="2"/>
  <c r="AF248" i="2"/>
  <c r="AK412" i="2"/>
  <c r="U412" i="2"/>
  <c r="AG412" i="2" s="1"/>
  <c r="AF412" i="2"/>
  <c r="S1095" i="2"/>
  <c r="Q1095" i="2"/>
  <c r="Q775" i="2"/>
  <c r="S775" i="2"/>
  <c r="R775" i="2"/>
  <c r="AP775" i="2" s="1"/>
  <c r="S527" i="2"/>
  <c r="R527" i="2"/>
  <c r="AP527" i="2" s="1"/>
  <c r="Q527" i="2"/>
  <c r="R2480" i="2"/>
  <c r="AP2480" i="2" s="1"/>
  <c r="S2480" i="2"/>
  <c r="BD2480" i="2" s="1"/>
  <c r="Q607" i="2"/>
  <c r="BD607" i="2" s="1"/>
  <c r="Q28" i="2"/>
  <c r="BD28" i="2" s="1"/>
  <c r="R28" i="2"/>
  <c r="AP28" i="2" s="1"/>
  <c r="R304" i="2"/>
  <c r="AP304" i="2" s="1"/>
  <c r="AA248" i="2"/>
  <c r="AA396" i="2"/>
  <c r="AA364" i="2"/>
  <c r="AA332" i="2"/>
  <c r="Q64" i="2"/>
  <c r="BD64" i="2" s="1"/>
  <c r="BD1812" i="2"/>
  <c r="R1391" i="2"/>
  <c r="AP1391" i="2" s="1"/>
  <c r="AK1145" i="2"/>
  <c r="Q1139" i="2"/>
  <c r="Q818" i="2"/>
  <c r="BD818" i="2" s="1"/>
  <c r="R879" i="2"/>
  <c r="AP879" i="2" s="1"/>
  <c r="R827" i="2"/>
  <c r="AP827" i="2" s="1"/>
  <c r="S779" i="2"/>
  <c r="BD779" i="2" s="1"/>
  <c r="Q434" i="2"/>
  <c r="S370" i="2"/>
  <c r="AA304" i="2"/>
  <c r="S140" i="2"/>
  <c r="BD140" i="2" s="1"/>
  <c r="R492" i="2"/>
  <c r="AP492" i="2" s="1"/>
  <c r="AA436" i="2"/>
  <c r="S294" i="2"/>
  <c r="U248" i="2"/>
  <c r="AB248" i="2" s="1"/>
  <c r="Q1617" i="2"/>
  <c r="BD1617" i="2" s="1"/>
  <c r="Q1601" i="2"/>
  <c r="R1131" i="2"/>
  <c r="AP1131" i="2" s="1"/>
  <c r="AA1145" i="2"/>
  <c r="S1139" i="2"/>
  <c r="Q826" i="2"/>
  <c r="Q526" i="2"/>
  <c r="AF396" i="2"/>
  <c r="AF332" i="2"/>
  <c r="S583" i="2"/>
  <c r="Q575" i="2"/>
  <c r="S559" i="2"/>
  <c r="Q58" i="2"/>
  <c r="AA320" i="2"/>
  <c r="AA224" i="2"/>
  <c r="AA216" i="2"/>
  <c r="AQ216" i="2" s="1"/>
  <c r="AA412" i="2"/>
  <c r="AQ412" i="2" s="1"/>
  <c r="AV412" i="2" s="1"/>
  <c r="BE412" i="2" s="1"/>
  <c r="S1129" i="2"/>
  <c r="Q1129" i="2"/>
  <c r="R1129" i="2"/>
  <c r="AP1129" i="2" s="1"/>
  <c r="R2270" i="2"/>
  <c r="AP2270" i="2" s="1"/>
  <c r="S2270" i="2"/>
  <c r="BD2270" i="2" s="1"/>
  <c r="S1137" i="2"/>
  <c r="Q1137" i="2"/>
  <c r="AA893" i="2"/>
  <c r="R806" i="2"/>
  <c r="AP806" i="2" s="1"/>
  <c r="Q806" i="2"/>
  <c r="BD806" i="2" s="1"/>
  <c r="R742" i="2"/>
  <c r="AP742" i="2" s="1"/>
  <c r="Q742" i="2"/>
  <c r="BD742" i="2" s="1"/>
  <c r="S1105" i="2"/>
  <c r="Q1105" i="2"/>
  <c r="R1105" i="2"/>
  <c r="AP1105" i="2" s="1"/>
  <c r="AK272" i="2"/>
  <c r="AF272" i="2"/>
  <c r="S60" i="2"/>
  <c r="BD60" i="2" s="1"/>
  <c r="G60" i="4"/>
  <c r="R822" i="2"/>
  <c r="AP822" i="2" s="1"/>
  <c r="S822" i="2"/>
  <c r="Q822" i="2"/>
  <c r="Q496" i="2"/>
  <c r="BD496" i="2" s="1"/>
  <c r="R496" i="2"/>
  <c r="AP496" i="2" s="1"/>
  <c r="R426" i="2"/>
  <c r="AP426" i="2" s="1"/>
  <c r="S426" i="2"/>
  <c r="BD426" i="2" s="1"/>
  <c r="Q80" i="2"/>
  <c r="S80" i="2"/>
  <c r="R12" i="2"/>
  <c r="AP12" i="2" s="1"/>
  <c r="Q12" i="2"/>
  <c r="S12" i="2"/>
  <c r="S819" i="2"/>
  <c r="BD819" i="2" s="1"/>
  <c r="R819" i="2"/>
  <c r="AP819" i="2" s="1"/>
  <c r="Q504" i="2"/>
  <c r="S504" i="2"/>
  <c r="AK484" i="2"/>
  <c r="U484" i="2"/>
  <c r="AG484" i="2" s="1"/>
  <c r="AF484" i="2"/>
  <c r="R444" i="2"/>
  <c r="AP444" i="2" s="1"/>
  <c r="S444" i="2"/>
  <c r="BD444" i="2" s="1"/>
  <c r="R280" i="2"/>
  <c r="AP280" i="2" s="1"/>
  <c r="S280" i="2"/>
  <c r="BD280" i="2" s="1"/>
  <c r="S202" i="2"/>
  <c r="R202" i="2"/>
  <c r="AP202" i="2" s="1"/>
  <c r="Q202" i="2"/>
  <c r="R90" i="2"/>
  <c r="AP90" i="2" s="1"/>
  <c r="G90" i="4"/>
  <c r="S446" i="2"/>
  <c r="Q446" i="2"/>
  <c r="R1073" i="2"/>
  <c r="AP1073" i="2" s="1"/>
  <c r="S1073" i="2"/>
  <c r="BD1073" i="2" s="1"/>
  <c r="Q883" i="2"/>
  <c r="S883" i="2"/>
  <c r="Q863" i="2"/>
  <c r="S863" i="2"/>
  <c r="R330" i="2"/>
  <c r="AP330" i="2" s="1"/>
  <c r="S330" i="2"/>
  <c r="BD330" i="2" s="1"/>
  <c r="R862" i="2"/>
  <c r="AP862" i="2" s="1"/>
  <c r="S862" i="2"/>
  <c r="AK428" i="2"/>
  <c r="AF428" i="2"/>
  <c r="S264" i="2"/>
  <c r="Q264" i="2"/>
  <c r="BD2336" i="2"/>
  <c r="R2262" i="2"/>
  <c r="AP2262" i="2" s="1"/>
  <c r="S2262" i="2"/>
  <c r="BD2262" i="2" s="1"/>
  <c r="S2129" i="2"/>
  <c r="BD2129" i="2" s="1"/>
  <c r="R2129" i="2"/>
  <c r="AP2129" i="2" s="1"/>
  <c r="R1726" i="2"/>
  <c r="AP1726" i="2" s="1"/>
  <c r="Q1726" i="2"/>
  <c r="S2131" i="2"/>
  <c r="BD2131" i="2" s="1"/>
  <c r="R2131" i="2"/>
  <c r="AP2131" i="2" s="1"/>
  <c r="R1714" i="2"/>
  <c r="AP1714" i="2" s="1"/>
  <c r="S1714" i="2"/>
  <c r="Q1714" i="2"/>
  <c r="Q1807" i="2"/>
  <c r="S1807" i="2"/>
  <c r="Q1775" i="2"/>
  <c r="R1775" i="2"/>
  <c r="AP1775" i="2" s="1"/>
  <c r="S1775" i="2"/>
  <c r="S1759" i="2"/>
  <c r="BD1759" i="2" s="1"/>
  <c r="R1759" i="2"/>
  <c r="AP1759" i="2" s="1"/>
  <c r="S1667" i="2"/>
  <c r="BD1667" i="2" s="1"/>
  <c r="R1667" i="2"/>
  <c r="AP1667" i="2" s="1"/>
  <c r="S1589" i="2"/>
  <c r="BD1589" i="2" s="1"/>
  <c r="R1589" i="2"/>
  <c r="AP1589" i="2" s="1"/>
  <c r="S1792" i="2"/>
  <c r="Q1792" i="2"/>
  <c r="Q1784" i="2"/>
  <c r="BD1784" i="2" s="1"/>
  <c r="R1784" i="2"/>
  <c r="AP1784" i="2" s="1"/>
  <c r="S1768" i="2"/>
  <c r="Q1768" i="2"/>
  <c r="R1647" i="2"/>
  <c r="AP1647" i="2" s="1"/>
  <c r="Q1647" i="2"/>
  <c r="BD1647" i="2" s="1"/>
  <c r="AF915" i="2"/>
  <c r="U915" i="2"/>
  <c r="V915" i="2" s="1"/>
  <c r="S2345" i="2"/>
  <c r="BD2345" i="2" s="1"/>
  <c r="R2345" i="2"/>
  <c r="AP2345" i="2" s="1"/>
  <c r="S2329" i="2"/>
  <c r="BD2329" i="2" s="1"/>
  <c r="R2329" i="2"/>
  <c r="AP2329" i="2" s="1"/>
  <c r="R2254" i="2"/>
  <c r="AP2254" i="2" s="1"/>
  <c r="S2254" i="2"/>
  <c r="BD2254" i="2" s="1"/>
  <c r="R2286" i="2"/>
  <c r="AP2286" i="2" s="1"/>
  <c r="S2286" i="2"/>
  <c r="BD2286" i="2" s="1"/>
  <c r="R2246" i="2"/>
  <c r="AP2246" i="2" s="1"/>
  <c r="S2246" i="2"/>
  <c r="Q1635" i="2"/>
  <c r="R1635" i="2"/>
  <c r="AP1635" i="2" s="1"/>
  <c r="R1603" i="2"/>
  <c r="AP1603" i="2" s="1"/>
  <c r="S1603" i="2"/>
  <c r="S621" i="2"/>
  <c r="Q621" i="2"/>
  <c r="R234" i="2"/>
  <c r="AP234" i="2" s="1"/>
  <c r="Q234" i="2"/>
  <c r="R2280" i="2"/>
  <c r="AP2280" i="2" s="1"/>
  <c r="S2280" i="2"/>
  <c r="BD2280" i="2" s="1"/>
  <c r="Q851" i="2"/>
  <c r="S851" i="2"/>
  <c r="R851" i="2"/>
  <c r="AP851" i="2" s="1"/>
  <c r="Q552" i="2"/>
  <c r="S552" i="2"/>
  <c r="S511" i="2"/>
  <c r="R511" i="2"/>
  <c r="AP511" i="2" s="1"/>
  <c r="Q511" i="2"/>
  <c r="AA256" i="2"/>
  <c r="BD198" i="2"/>
  <c r="BD166" i="2"/>
  <c r="AA899" i="2"/>
  <c r="BD30" i="2"/>
  <c r="AA484" i="2"/>
  <c r="R730" i="2"/>
  <c r="AP730" i="2" s="1"/>
  <c r="S730" i="2"/>
  <c r="Q730" i="2"/>
  <c r="Q512" i="2"/>
  <c r="S512" i="2"/>
  <c r="R512" i="2"/>
  <c r="AP512" i="2" s="1"/>
  <c r="AK324" i="2"/>
  <c r="U324" i="2"/>
  <c r="V324" i="2" s="1"/>
  <c r="AA324" i="2"/>
  <c r="S671" i="2"/>
  <c r="Q671" i="2"/>
  <c r="R671" i="2"/>
  <c r="AP671" i="2" s="1"/>
  <c r="AK232" i="2"/>
  <c r="AF232" i="2"/>
  <c r="U232" i="2"/>
  <c r="AG232" i="2" s="1"/>
  <c r="S701" i="2"/>
  <c r="Q701" i="2"/>
  <c r="R701" i="2"/>
  <c r="AP701" i="2" s="1"/>
  <c r="R874" i="2"/>
  <c r="AP874" i="2" s="1"/>
  <c r="S874" i="2"/>
  <c r="S673" i="2"/>
  <c r="Q673" i="2"/>
  <c r="R673" i="2"/>
  <c r="AP673" i="2" s="1"/>
  <c r="Q2406" i="2"/>
  <c r="BD2406" i="2" s="1"/>
  <c r="Q2022" i="2"/>
  <c r="BD2022" i="2" s="1"/>
  <c r="R1651" i="2"/>
  <c r="AP1651" i="2" s="1"/>
  <c r="S1619" i="2"/>
  <c r="BD1619" i="2" s="1"/>
  <c r="AK1149" i="2"/>
  <c r="U1147" i="2"/>
  <c r="AG1147" i="2" s="1"/>
  <c r="S1055" i="2"/>
  <c r="BD1055" i="2" s="1"/>
  <c r="Q1051" i="2"/>
  <c r="BD1051" i="2" s="1"/>
  <c r="Q874" i="2"/>
  <c r="AK340" i="2"/>
  <c r="U340" i="2"/>
  <c r="V340" i="2" s="1"/>
  <c r="S214" i="2"/>
  <c r="R214" i="2"/>
  <c r="AP214" i="2" s="1"/>
  <c r="S92" i="2"/>
  <c r="Q92" i="2"/>
  <c r="S96" i="2"/>
  <c r="Q96" i="2"/>
  <c r="S44" i="2"/>
  <c r="R44" i="2"/>
  <c r="AP44" i="2" s="1"/>
  <c r="S631" i="2"/>
  <c r="Q631" i="2"/>
  <c r="R466" i="2"/>
  <c r="AP466" i="2" s="1"/>
  <c r="S466" i="2"/>
  <c r="R296" i="2"/>
  <c r="AP296" i="2" s="1"/>
  <c r="S296" i="2"/>
  <c r="S91" i="2"/>
  <c r="Q91" i="2"/>
  <c r="Q270" i="2"/>
  <c r="S270" i="2"/>
  <c r="R16" i="2"/>
  <c r="AP16" i="2" s="1"/>
  <c r="S16" i="2"/>
  <c r="S248" i="2"/>
  <c r="Q248" i="2"/>
  <c r="G132" i="4"/>
  <c r="R132" i="2"/>
  <c r="AP132" i="2" s="1"/>
  <c r="AQ132" i="2" s="1"/>
  <c r="AV132" i="2" s="1"/>
  <c r="BE132" i="2" s="1"/>
  <c r="Q132" i="2"/>
  <c r="BD132" i="2" s="1"/>
  <c r="R232" i="2"/>
  <c r="AP232" i="2" s="1"/>
  <c r="S232" i="2"/>
  <c r="Q286" i="2"/>
  <c r="BD286" i="2" s="1"/>
  <c r="R286" i="2"/>
  <c r="AP286" i="2" s="1"/>
  <c r="S254" i="2"/>
  <c r="R254" i="2"/>
  <c r="AP254" i="2" s="1"/>
  <c r="Q254" i="2"/>
  <c r="BD254" i="2" s="1"/>
  <c r="R2256" i="2"/>
  <c r="AP2256" i="2" s="1"/>
  <c r="S2256" i="2"/>
  <c r="R859" i="2"/>
  <c r="AP859" i="2" s="1"/>
  <c r="Q859" i="2"/>
  <c r="S859" i="2"/>
  <c r="R770" i="2"/>
  <c r="AP770" i="2" s="1"/>
  <c r="S770" i="2"/>
  <c r="S230" i="2"/>
  <c r="Q230" i="2"/>
  <c r="AK348" i="2"/>
  <c r="AA348" i="2"/>
  <c r="AF348" i="2"/>
  <c r="R866" i="2"/>
  <c r="AP866" i="2" s="1"/>
  <c r="Q866" i="2"/>
  <c r="BD866" i="2" s="1"/>
  <c r="S709" i="2"/>
  <c r="BD709" i="2" s="1"/>
  <c r="R709" i="2"/>
  <c r="AP709" i="2" s="1"/>
  <c r="AK492" i="2"/>
  <c r="U492" i="2"/>
  <c r="AG492" i="2" s="1"/>
  <c r="R823" i="2"/>
  <c r="AP823" i="2" s="1"/>
  <c r="Q823" i="2"/>
  <c r="BD823" i="2" s="1"/>
  <c r="Q2322" i="2"/>
  <c r="R2139" i="2"/>
  <c r="AP2139" i="2" s="1"/>
  <c r="Q2111" i="2"/>
  <c r="BD2111" i="2" s="1"/>
  <c r="S1837" i="2"/>
  <c r="BD1837" i="2" s="1"/>
  <c r="R1845" i="2"/>
  <c r="AP1845" i="2" s="1"/>
  <c r="Q1840" i="2"/>
  <c r="BD1840" i="2" s="1"/>
  <c r="R1837" i="2"/>
  <c r="AP1837" i="2" s="1"/>
  <c r="Q1377" i="2"/>
  <c r="BD1377" i="2" s="1"/>
  <c r="Q1587" i="2"/>
  <c r="BD1587" i="2" s="1"/>
  <c r="AF1149" i="2"/>
  <c r="R1123" i="2"/>
  <c r="AP1123" i="2" s="1"/>
  <c r="R1099" i="2"/>
  <c r="AP1099" i="2" s="1"/>
  <c r="AA1149" i="2"/>
  <c r="S1071" i="2"/>
  <c r="BD1071" i="2" s="1"/>
  <c r="R787" i="2"/>
  <c r="AP787" i="2" s="1"/>
  <c r="AF492" i="2"/>
  <c r="AA931" i="2"/>
  <c r="AK931" i="2"/>
  <c r="AK923" i="2"/>
  <c r="U923" i="2"/>
  <c r="V923" i="2" s="1"/>
  <c r="AF923" i="2"/>
  <c r="AA923" i="2"/>
  <c r="AA915" i="2"/>
  <c r="AK915" i="2"/>
  <c r="AK907" i="2"/>
  <c r="U907" i="2"/>
  <c r="AL907" i="2" s="1"/>
  <c r="AF907" i="2"/>
  <c r="AA907" i="2"/>
  <c r="AK899" i="2"/>
  <c r="U899" i="2"/>
  <c r="AL899" i="2" s="1"/>
  <c r="U891" i="2"/>
  <c r="AG891" i="2" s="1"/>
  <c r="AA891" i="2"/>
  <c r="AF891" i="2"/>
  <c r="S617" i="2"/>
  <c r="BD617" i="2" s="1"/>
  <c r="R617" i="2"/>
  <c r="AP617" i="2" s="1"/>
  <c r="S609" i="2"/>
  <c r="R609" i="2"/>
  <c r="AP609" i="2" s="1"/>
  <c r="Q609" i="2"/>
  <c r="S601" i="2"/>
  <c r="R601" i="2"/>
  <c r="AP601" i="2" s="1"/>
  <c r="Q601" i="2"/>
  <c r="S593" i="2"/>
  <c r="R593" i="2"/>
  <c r="AP593" i="2" s="1"/>
  <c r="Q593" i="2"/>
  <c r="S585" i="2"/>
  <c r="R585" i="2"/>
  <c r="AP585" i="2" s="1"/>
  <c r="Q585" i="2"/>
  <c r="S577" i="2"/>
  <c r="R577" i="2"/>
  <c r="AP577" i="2" s="1"/>
  <c r="Q577" i="2"/>
  <c r="S569" i="2"/>
  <c r="R569" i="2"/>
  <c r="AP569" i="2" s="1"/>
  <c r="Q569" i="2"/>
  <c r="R561" i="2"/>
  <c r="AP561" i="2" s="1"/>
  <c r="Q561" i="2"/>
  <c r="BD561" i="2" s="1"/>
  <c r="Q549" i="2"/>
  <c r="S549" i="2"/>
  <c r="R533" i="2"/>
  <c r="AP533" i="2" s="1"/>
  <c r="Q533" i="2"/>
  <c r="BD533" i="2" s="1"/>
  <c r="S517" i="2"/>
  <c r="R517" i="2"/>
  <c r="AP517" i="2" s="1"/>
  <c r="Q517" i="2"/>
  <c r="S476" i="2"/>
  <c r="Q476" i="2"/>
  <c r="S718" i="2"/>
  <c r="BD718" i="2" s="1"/>
  <c r="R718" i="2"/>
  <c r="AP718" i="2" s="1"/>
  <c r="S452" i="2"/>
  <c r="Q452" i="2"/>
  <c r="S396" i="2"/>
  <c r="Q396" i="2"/>
  <c r="R364" i="2"/>
  <c r="AP364" i="2" s="1"/>
  <c r="S364" i="2"/>
  <c r="Q364" i="2"/>
  <c r="Q332" i="2"/>
  <c r="BD332" i="2" s="1"/>
  <c r="R332" i="2"/>
  <c r="AP332" i="2" s="1"/>
  <c r="Q148" i="2"/>
  <c r="BD148" i="2" s="1"/>
  <c r="G148" i="4"/>
  <c r="R148" i="2"/>
  <c r="AP148" i="2" s="1"/>
  <c r="AQ148" i="2" s="1"/>
  <c r="AV148" i="2" s="1"/>
  <c r="BE148" i="2" s="1"/>
  <c r="AA925" i="2"/>
  <c r="AK925" i="2"/>
  <c r="AK917" i="2"/>
  <c r="U917" i="2"/>
  <c r="AG917" i="2" s="1"/>
  <c r="AF917" i="2"/>
  <c r="AA917" i="2"/>
  <c r="AA909" i="2"/>
  <c r="AK909" i="2"/>
  <c r="U901" i="2"/>
  <c r="AB901" i="2" s="1"/>
  <c r="AA901" i="2"/>
  <c r="AF901" i="2"/>
  <c r="AK893" i="2"/>
  <c r="U893" i="2"/>
  <c r="AB893" i="2" s="1"/>
  <c r="R870" i="2"/>
  <c r="AP870" i="2" s="1"/>
  <c r="S870" i="2"/>
  <c r="Q870" i="2"/>
  <c r="S519" i="2"/>
  <c r="R519" i="2"/>
  <c r="AP519" i="2" s="1"/>
  <c r="Q519" i="2"/>
  <c r="S438" i="2"/>
  <c r="Q438" i="2"/>
  <c r="S867" i="2"/>
  <c r="BD867" i="2" s="1"/>
  <c r="R867" i="2"/>
  <c r="AP867" i="2" s="1"/>
  <c r="S739" i="2"/>
  <c r="BD739" i="2" s="1"/>
  <c r="R739" i="2"/>
  <c r="AP739" i="2" s="1"/>
  <c r="S699" i="2"/>
  <c r="BD699" i="2" s="1"/>
  <c r="R699" i="2"/>
  <c r="AP699" i="2" s="1"/>
  <c r="S635" i="2"/>
  <c r="R635" i="2"/>
  <c r="AP635" i="2" s="1"/>
  <c r="Q635" i="2"/>
  <c r="R484" i="2"/>
  <c r="AP484" i="2" s="1"/>
  <c r="S484" i="2"/>
  <c r="Q484" i="2"/>
  <c r="AK420" i="2"/>
  <c r="U420" i="2"/>
  <c r="AB420" i="2" s="1"/>
  <c r="AF420" i="2"/>
  <c r="G10" i="4"/>
  <c r="R10" i="2"/>
  <c r="AP10" i="2" s="1"/>
  <c r="Q10" i="2"/>
  <c r="BD10" i="2" s="1"/>
  <c r="S685" i="2"/>
  <c r="R685" i="2"/>
  <c r="AP685" i="2" s="1"/>
  <c r="Q685" i="2"/>
  <c r="Q506" i="2"/>
  <c r="S506" i="2"/>
  <c r="S629" i="2"/>
  <c r="Q629" i="2"/>
  <c r="R629" i="2"/>
  <c r="AP629" i="2" s="1"/>
  <c r="R782" i="2"/>
  <c r="AP782" i="2" s="1"/>
  <c r="S782" i="2"/>
  <c r="Q782" i="2"/>
  <c r="R246" i="2"/>
  <c r="AP246" i="2" s="1"/>
  <c r="S246" i="2"/>
  <c r="Q246" i="2"/>
  <c r="AK452" i="2"/>
  <c r="U452" i="2"/>
  <c r="AB452" i="2" s="1"/>
  <c r="AA452" i="2"/>
  <c r="AQ452" i="2" s="1"/>
  <c r="S681" i="2"/>
  <c r="Q681" i="2"/>
  <c r="R681" i="2"/>
  <c r="AP681" i="2" s="1"/>
  <c r="S645" i="2"/>
  <c r="BD645" i="2" s="1"/>
  <c r="R645" i="2"/>
  <c r="AP645" i="2" s="1"/>
  <c r="R272" i="2"/>
  <c r="AP272" i="2" s="1"/>
  <c r="S272" i="2"/>
  <c r="Q272" i="2"/>
  <c r="Q2256" i="2"/>
  <c r="R1377" i="2"/>
  <c r="AP1377" i="2" s="1"/>
  <c r="R1071" i="2"/>
  <c r="AP1071" i="2" s="1"/>
  <c r="R1055" i="2"/>
  <c r="AP1055" i="2" s="1"/>
  <c r="AA1147" i="2"/>
  <c r="Q1123" i="2"/>
  <c r="BD1123" i="2" s="1"/>
  <c r="S1111" i="2"/>
  <c r="BD1111" i="2" s="1"/>
  <c r="Q770" i="2"/>
  <c r="Q787" i="2"/>
  <c r="BD787" i="2" s="1"/>
  <c r="AF324" i="2"/>
  <c r="AA232" i="2"/>
  <c r="AA420" i="2"/>
  <c r="R27" i="2"/>
  <c r="AP27" i="2" s="1"/>
  <c r="G80" i="4"/>
  <c r="R74" i="2"/>
  <c r="AP74" i="2" s="1"/>
  <c r="Q90" i="2"/>
  <c r="BD1091" i="2"/>
  <c r="BD1075" i="2"/>
  <c r="AA492" i="2"/>
  <c r="BD182" i="2"/>
  <c r="BD150" i="2"/>
  <c r="BD118" i="2"/>
  <c r="S1629" i="2"/>
  <c r="R1629" i="2"/>
  <c r="AP1629" i="2" s="1"/>
  <c r="S1125" i="2"/>
  <c r="R1125" i="2"/>
  <c r="AP1125" i="2" s="1"/>
  <c r="Q1125" i="2"/>
  <c r="AK927" i="2"/>
  <c r="U927" i="2"/>
  <c r="AL927" i="2" s="1"/>
  <c r="AA927" i="2"/>
  <c r="AF927" i="2"/>
  <c r="AK911" i="2"/>
  <c r="U911" i="2"/>
  <c r="AG911" i="2" s="1"/>
  <c r="AA911" i="2"/>
  <c r="AF911" i="2"/>
  <c r="AK895" i="2"/>
  <c r="U895" i="2"/>
  <c r="AG895" i="2" s="1"/>
  <c r="AA895" i="2"/>
  <c r="AF895" i="2"/>
  <c r="S605" i="2"/>
  <c r="R605" i="2"/>
  <c r="AP605" i="2" s="1"/>
  <c r="Q605" i="2"/>
  <c r="Q589" i="2"/>
  <c r="S589" i="2"/>
  <c r="S565" i="2"/>
  <c r="BD565" i="2" s="1"/>
  <c r="R565" i="2"/>
  <c r="AP565" i="2" s="1"/>
  <c r="Q525" i="2"/>
  <c r="S525" i="2"/>
  <c r="S1113" i="2"/>
  <c r="Q1113" i="2"/>
  <c r="Q420" i="2"/>
  <c r="R420" i="2"/>
  <c r="AP420" i="2" s="1"/>
  <c r="R348" i="2"/>
  <c r="AP348" i="2" s="1"/>
  <c r="S348" i="2"/>
  <c r="R1101" i="2"/>
  <c r="AP1101" i="2" s="1"/>
  <c r="S1101" i="2"/>
  <c r="Q1101" i="2"/>
  <c r="AA921" i="2"/>
  <c r="AF921" i="2"/>
  <c r="AK921" i="2"/>
  <c r="AA905" i="2"/>
  <c r="AF905" i="2"/>
  <c r="AK905" i="2"/>
  <c r="Q847" i="2"/>
  <c r="R847" i="2"/>
  <c r="AP847" i="2" s="1"/>
  <c r="Q478" i="2"/>
  <c r="BD478" i="2" s="1"/>
  <c r="R478" i="2"/>
  <c r="AP478" i="2" s="1"/>
  <c r="S543" i="2"/>
  <c r="R543" i="2"/>
  <c r="AP543" i="2" s="1"/>
  <c r="Q414" i="2"/>
  <c r="R414" i="2"/>
  <c r="AP414" i="2" s="1"/>
  <c r="R402" i="2"/>
  <c r="AP402" i="2" s="1"/>
  <c r="S402" i="2"/>
  <c r="Q402" i="2"/>
  <c r="S76" i="2"/>
  <c r="Q76" i="2"/>
  <c r="R76" i="2"/>
  <c r="AP76" i="2" s="1"/>
  <c r="S663" i="2"/>
  <c r="Q663" i="2"/>
  <c r="R663" i="2"/>
  <c r="AP663" i="2" s="1"/>
  <c r="R436" i="2"/>
  <c r="AP436" i="2" s="1"/>
  <c r="S436" i="2"/>
  <c r="R346" i="2"/>
  <c r="AP346" i="2" s="1"/>
  <c r="Q346" i="2"/>
  <c r="S240" i="2"/>
  <c r="Q240" i="2"/>
  <c r="R1489" i="2"/>
  <c r="AP1489" i="2" s="1"/>
  <c r="Q1489" i="2"/>
  <c r="R878" i="2"/>
  <c r="AP878" i="2" s="1"/>
  <c r="Q878" i="2"/>
  <c r="R794" i="2"/>
  <c r="AP794" i="2" s="1"/>
  <c r="S794" i="2"/>
  <c r="Q794" i="2"/>
  <c r="S1083" i="2"/>
  <c r="Q1083" i="2"/>
  <c r="R1087" i="2"/>
  <c r="AP1087" i="2" s="1"/>
  <c r="S1087" i="2"/>
  <c r="R759" i="2"/>
  <c r="AP759" i="2" s="1"/>
  <c r="Q759" i="2"/>
  <c r="Q2402" i="2"/>
  <c r="BD2402" i="2" s="1"/>
  <c r="Q2238" i="2"/>
  <c r="S2387" i="2"/>
  <c r="BD2387" i="2" s="1"/>
  <c r="Q1799" i="2"/>
  <c r="Q1780" i="2"/>
  <c r="BD1780" i="2" s="1"/>
  <c r="S1772" i="2"/>
  <c r="S1718" i="2"/>
  <c r="S1706" i="2"/>
  <c r="S1698" i="2"/>
  <c r="Q1655" i="2"/>
  <c r="BD1655" i="2" s="1"/>
  <c r="S1635" i="2"/>
  <c r="Q1599" i="2"/>
  <c r="BD1599" i="2" s="1"/>
  <c r="R1133" i="2"/>
  <c r="AP1133" i="2" s="1"/>
  <c r="R1083" i="2"/>
  <c r="AP1083" i="2" s="1"/>
  <c r="R621" i="2"/>
  <c r="AP621" i="2" s="1"/>
  <c r="Q354" i="2"/>
  <c r="R525" i="2"/>
  <c r="AP525" i="2" s="1"/>
  <c r="S354" i="2"/>
  <c r="S346" i="2"/>
  <c r="R1581" i="2"/>
  <c r="AP1581" i="2" s="1"/>
  <c r="Q1581" i="2"/>
  <c r="S1061" i="2"/>
  <c r="Q1061" i="2"/>
  <c r="AK919" i="2"/>
  <c r="U919" i="2"/>
  <c r="AG919" i="2" s="1"/>
  <c r="AA919" i="2"/>
  <c r="AF919" i="2"/>
  <c r="AK887" i="2"/>
  <c r="U887" i="2"/>
  <c r="AG887" i="2" s="1"/>
  <c r="AA887" i="2"/>
  <c r="AF887" i="2"/>
  <c r="S597" i="2"/>
  <c r="BD597" i="2" s="1"/>
  <c r="R597" i="2"/>
  <c r="AP597" i="2" s="1"/>
  <c r="R581" i="2"/>
  <c r="AP581" i="2" s="1"/>
  <c r="Q581" i="2"/>
  <c r="S573" i="2"/>
  <c r="R573" i="2"/>
  <c r="AP573" i="2" s="1"/>
  <c r="Q573" i="2"/>
  <c r="R541" i="2"/>
  <c r="AP541" i="2" s="1"/>
  <c r="Q541" i="2"/>
  <c r="S541" i="2"/>
  <c r="R509" i="2"/>
  <c r="AP509" i="2" s="1"/>
  <c r="S509" i="2"/>
  <c r="BD509" i="2" s="1"/>
  <c r="Q380" i="2"/>
  <c r="BD380" i="2" s="1"/>
  <c r="R380" i="2"/>
  <c r="AP380" i="2" s="1"/>
  <c r="AA929" i="2"/>
  <c r="AF929" i="2"/>
  <c r="AK929" i="2"/>
  <c r="AA913" i="2"/>
  <c r="AF913" i="2"/>
  <c r="AK913" i="2"/>
  <c r="AA897" i="2"/>
  <c r="AF897" i="2"/>
  <c r="AK897" i="2"/>
  <c r="S783" i="2"/>
  <c r="BD783" i="2" s="1"/>
  <c r="R783" i="2"/>
  <c r="AP783" i="2" s="1"/>
  <c r="S551" i="2"/>
  <c r="BD551" i="2" s="1"/>
  <c r="R551" i="2"/>
  <c r="AP551" i="2" s="1"/>
  <c r="R1085" i="2"/>
  <c r="AP1085" i="2" s="1"/>
  <c r="S1085" i="2"/>
  <c r="Q1085" i="2"/>
  <c r="R758" i="2"/>
  <c r="AP758" i="2" s="1"/>
  <c r="Q758" i="2"/>
  <c r="S667" i="2"/>
  <c r="R667" i="2"/>
  <c r="AP667" i="2" s="1"/>
  <c r="Q667" i="2"/>
  <c r="R338" i="2"/>
  <c r="AP338" i="2" s="1"/>
  <c r="Q338" i="2"/>
  <c r="BD338" i="2" s="1"/>
  <c r="R378" i="2"/>
  <c r="AP378" i="2" s="1"/>
  <c r="Q378" i="2"/>
  <c r="S378" i="2"/>
  <c r="S278" i="2"/>
  <c r="R278" i="2"/>
  <c r="AP278" i="2" s="1"/>
  <c r="R791" i="2"/>
  <c r="AP791" i="2" s="1"/>
  <c r="Q791" i="2"/>
  <c r="S791" i="2"/>
  <c r="R222" i="2"/>
  <c r="AP222" i="2" s="1"/>
  <c r="S222" i="2"/>
  <c r="AK460" i="2"/>
  <c r="U460" i="2"/>
  <c r="AB460" i="2" s="1"/>
  <c r="AA460" i="2"/>
  <c r="AF460" i="2"/>
  <c r="AK1141" i="2"/>
  <c r="U1141" i="2"/>
  <c r="AL1141" i="2" s="1"/>
  <c r="AF1141" i="2"/>
  <c r="S675" i="2"/>
  <c r="R675" i="2"/>
  <c r="AP675" i="2" s="1"/>
  <c r="Q675" i="2"/>
  <c r="Q528" i="2"/>
  <c r="S528" i="2"/>
  <c r="Q26" i="2"/>
  <c r="S26" i="2"/>
  <c r="G26" i="4"/>
  <c r="S669" i="2"/>
  <c r="BD669" i="2" s="1"/>
  <c r="R669" i="2"/>
  <c r="AP669" i="2" s="1"/>
  <c r="AK288" i="2"/>
  <c r="AF288" i="2"/>
  <c r="U288" i="2"/>
  <c r="V288" i="2" s="1"/>
  <c r="Q498" i="2"/>
  <c r="S498" i="2"/>
  <c r="R498" i="2"/>
  <c r="AP498" i="2" s="1"/>
  <c r="AF204" i="2"/>
  <c r="AA204" i="2"/>
  <c r="U204" i="2"/>
  <c r="V204" i="2" s="1"/>
  <c r="Q771" i="2"/>
  <c r="S771" i="2"/>
  <c r="Q1107" i="2"/>
  <c r="R1107" i="2"/>
  <c r="AP1107" i="2" s="1"/>
  <c r="R830" i="2"/>
  <c r="AP830" i="2" s="1"/>
  <c r="S830" i="2"/>
  <c r="Q830" i="2"/>
  <c r="S713" i="2"/>
  <c r="Q713" i="2"/>
  <c r="R713" i="2"/>
  <c r="AP713" i="2" s="1"/>
  <c r="S705" i="2"/>
  <c r="Q705" i="2"/>
  <c r="R705" i="2"/>
  <c r="AP705" i="2" s="1"/>
  <c r="S655" i="2"/>
  <c r="Q655" i="2"/>
  <c r="R655" i="2"/>
  <c r="AP655" i="2" s="1"/>
  <c r="R754" i="2"/>
  <c r="AP754" i="2" s="1"/>
  <c r="S754" i="2"/>
  <c r="R802" i="2"/>
  <c r="AP802" i="2" s="1"/>
  <c r="S802" i="2"/>
  <c r="R807" i="2"/>
  <c r="AP807" i="2" s="1"/>
  <c r="Q807" i="2"/>
  <c r="S807" i="2"/>
  <c r="Q803" i="2"/>
  <c r="S803" i="2"/>
  <c r="Q2212" i="2"/>
  <c r="Q2133" i="2"/>
  <c r="BD2133" i="2" s="1"/>
  <c r="Q2123" i="2"/>
  <c r="R1783" i="2"/>
  <c r="AP1783" i="2" s="1"/>
  <c r="R1767" i="2"/>
  <c r="AP1767" i="2" s="1"/>
  <c r="S1767" i="2"/>
  <c r="BD1767" i="2" s="1"/>
  <c r="R1788" i="2"/>
  <c r="AP1788" i="2" s="1"/>
  <c r="R1780" i="2"/>
  <c r="AP1780" i="2" s="1"/>
  <c r="R1764" i="2"/>
  <c r="AP1764" i="2" s="1"/>
  <c r="Q1788" i="2"/>
  <c r="BD1788" i="2" s="1"/>
  <c r="S1730" i="2"/>
  <c r="R1655" i="2"/>
  <c r="AP1655" i="2" s="1"/>
  <c r="Q1631" i="2"/>
  <c r="BD1631" i="2" s="1"/>
  <c r="Q1603" i="2"/>
  <c r="R1599" i="2"/>
  <c r="AP1599" i="2" s="1"/>
  <c r="Q1629" i="2"/>
  <c r="S1581" i="2"/>
  <c r="AA1141" i="2"/>
  <c r="R803" i="2"/>
  <c r="AP803" i="2" s="1"/>
  <c r="U921" i="2"/>
  <c r="V921" i="2" s="1"/>
  <c r="S847" i="2"/>
  <c r="S759" i="2"/>
  <c r="R589" i="2"/>
  <c r="AP589" i="2" s="1"/>
  <c r="S420" i="2"/>
  <c r="Q278" i="2"/>
  <c r="R26" i="2"/>
  <c r="AP26" i="2" s="1"/>
  <c r="R1441" i="2"/>
  <c r="AP1441" i="2" s="1"/>
  <c r="Q1441" i="2"/>
  <c r="BD1441" i="2" s="1"/>
  <c r="R1379" i="2"/>
  <c r="AP1379" i="2" s="1"/>
  <c r="Q1379" i="2"/>
  <c r="S1379" i="2"/>
  <c r="R1645" i="2"/>
  <c r="AP1645" i="2" s="1"/>
  <c r="Q1645" i="2"/>
  <c r="BD1645" i="2" s="1"/>
  <c r="Q1597" i="2"/>
  <c r="S1597" i="2"/>
  <c r="Q1093" i="2"/>
  <c r="BD1093" i="2" s="1"/>
  <c r="R1093" i="2"/>
  <c r="AP1093" i="2" s="1"/>
  <c r="AK903" i="2"/>
  <c r="U903" i="2"/>
  <c r="AG903" i="2" s="1"/>
  <c r="AA903" i="2"/>
  <c r="AF903" i="2"/>
  <c r="R613" i="2"/>
  <c r="AP613" i="2" s="1"/>
  <c r="Q613" i="2"/>
  <c r="BD613" i="2" s="1"/>
  <c r="Q557" i="2"/>
  <c r="S557" i="2"/>
  <c r="R468" i="2"/>
  <c r="AP468" i="2" s="1"/>
  <c r="S468" i="2"/>
  <c r="R312" i="2"/>
  <c r="AP312" i="2" s="1"/>
  <c r="S312" i="2"/>
  <c r="BD312" i="2" s="1"/>
  <c r="R1069" i="2"/>
  <c r="AP1069" i="2" s="1"/>
  <c r="S1069" i="2"/>
  <c r="Q1069" i="2"/>
  <c r="AA889" i="2"/>
  <c r="AF889" i="2"/>
  <c r="AK889" i="2"/>
  <c r="AK444" i="2"/>
  <c r="U444" i="2"/>
  <c r="V444" i="2" s="1"/>
  <c r="AA444" i="2"/>
  <c r="R386" i="2"/>
  <c r="AP386" i="2" s="1"/>
  <c r="S386" i="2"/>
  <c r="BD386" i="2" s="1"/>
  <c r="Q32" i="2"/>
  <c r="G32" i="4"/>
  <c r="S32" i="2"/>
  <c r="S318" i="2"/>
  <c r="R318" i="2"/>
  <c r="AP318" i="2" s="1"/>
  <c r="Q318" i="2"/>
  <c r="Q188" i="2"/>
  <c r="S188" i="2"/>
  <c r="G188" i="4"/>
  <c r="S59" i="2"/>
  <c r="BD59" i="2" s="1"/>
  <c r="R59" i="2"/>
  <c r="AP59" i="2" s="1"/>
  <c r="S48" i="2"/>
  <c r="R48" i="2"/>
  <c r="AP48" i="2" s="1"/>
  <c r="Q48" i="2"/>
  <c r="R2302" i="2"/>
  <c r="AP2302" i="2" s="1"/>
  <c r="S2302" i="2"/>
  <c r="BD2302" i="2" s="1"/>
  <c r="R1544" i="2"/>
  <c r="AP1544" i="2" s="1"/>
  <c r="S1544" i="2"/>
  <c r="BD1544" i="2" s="1"/>
  <c r="R743" i="2"/>
  <c r="AP743" i="2" s="1"/>
  <c r="Q743" i="2"/>
  <c r="BD743" i="2" s="1"/>
  <c r="Q843" i="2"/>
  <c r="R843" i="2"/>
  <c r="AP843" i="2" s="1"/>
  <c r="S843" i="2"/>
  <c r="R262" i="2"/>
  <c r="AP262" i="2" s="1"/>
  <c r="S262" i="2"/>
  <c r="BD262" i="2" s="1"/>
  <c r="S42" i="2"/>
  <c r="BD42" i="2" s="1"/>
  <c r="G42" i="4"/>
  <c r="R42" i="2"/>
  <c r="AP42" i="2" s="1"/>
  <c r="S625" i="2"/>
  <c r="Q625" i="2"/>
  <c r="S454" i="2"/>
  <c r="Q454" i="2"/>
  <c r="S687" i="2"/>
  <c r="Q687" i="2"/>
  <c r="S633" i="2"/>
  <c r="Q633" i="2"/>
  <c r="R633" i="2"/>
  <c r="AP633" i="2" s="1"/>
  <c r="Q288" i="2"/>
  <c r="BD288" i="2" s="1"/>
  <c r="R288" i="2"/>
  <c r="AP288" i="2" s="1"/>
  <c r="R814" i="2"/>
  <c r="AP814" i="2" s="1"/>
  <c r="S814" i="2"/>
  <c r="Q814" i="2"/>
  <c r="S494" i="2"/>
  <c r="Q494" i="2"/>
  <c r="S1115" i="2"/>
  <c r="Q1115" i="2"/>
  <c r="S2238" i="2"/>
  <c r="Q1738" i="2"/>
  <c r="Q1730" i="2"/>
  <c r="Q1718" i="2"/>
  <c r="Q1706" i="2"/>
  <c r="Q1698" i="2"/>
  <c r="S1738" i="2"/>
  <c r="S1482" i="2"/>
  <c r="BD1482" i="2" s="1"/>
  <c r="Q1393" i="2"/>
  <c r="BD1393" i="2" s="1"/>
  <c r="S1489" i="2"/>
  <c r="R1661" i="2"/>
  <c r="AP1661" i="2" s="1"/>
  <c r="Q1613" i="2"/>
  <c r="BD1613" i="2" s="1"/>
  <c r="S1133" i="2"/>
  <c r="BD1133" i="2" s="1"/>
  <c r="R1115" i="2"/>
  <c r="AP1115" i="2" s="1"/>
  <c r="S1107" i="2"/>
  <c r="Q1087" i="2"/>
  <c r="S878" i="2"/>
  <c r="Q802" i="2"/>
  <c r="S758" i="2"/>
  <c r="Q754" i="2"/>
  <c r="R687" i="2"/>
  <c r="AP687" i="2" s="1"/>
  <c r="U929" i="2"/>
  <c r="V929" i="2" s="1"/>
  <c r="U897" i="2"/>
  <c r="V897" i="2" s="1"/>
  <c r="Q543" i="2"/>
  <c r="S581" i="2"/>
  <c r="R494" i="2"/>
  <c r="AP494" i="2" s="1"/>
  <c r="Q348" i="2"/>
  <c r="AA288" i="2"/>
  <c r="R204" i="2"/>
  <c r="AP204" i="2" s="1"/>
  <c r="AF240" i="2"/>
  <c r="Q222" i="2"/>
  <c r="Q468" i="2"/>
  <c r="S414" i="2"/>
  <c r="R240" i="2"/>
  <c r="AP240" i="2" s="1"/>
  <c r="S2212" i="2"/>
  <c r="R697" i="2"/>
  <c r="AP697" i="2" s="1"/>
  <c r="Q697" i="2"/>
  <c r="BD697" i="2" s="1"/>
  <c r="BD722" i="2"/>
  <c r="AA240" i="2"/>
  <c r="BD18" i="2"/>
  <c r="BD2368" i="2"/>
  <c r="BD1109" i="2"/>
  <c r="AA1827" i="2"/>
  <c r="AA1811" i="2"/>
  <c r="AA1795" i="2"/>
  <c r="AA1779" i="2"/>
  <c r="AA1763" i="2"/>
  <c r="BD1621" i="2"/>
  <c r="S234" i="2"/>
  <c r="BD2392" i="2"/>
  <c r="BD2113" i="2"/>
  <c r="BD1643" i="2"/>
  <c r="BD2323" i="2"/>
  <c r="BD1816" i="2"/>
  <c r="BD2394" i="2"/>
  <c r="BD2242" i="2"/>
  <c r="BD2218" i="2"/>
  <c r="BD2119" i="2"/>
  <c r="BD34" i="2"/>
  <c r="BD2" i="2"/>
  <c r="S320" i="2"/>
  <c r="BD320" i="2" s="1"/>
  <c r="S256" i="2"/>
  <c r="BD256" i="2" s="1"/>
  <c r="G92" i="4"/>
  <c r="Q214" i="2"/>
  <c r="R96" i="2"/>
  <c r="AP96" i="2" s="1"/>
  <c r="G16" i="4"/>
  <c r="R2484" i="2"/>
  <c r="AP2484" i="2" s="1"/>
  <c r="S2484" i="2"/>
  <c r="BD2484" i="2" s="1"/>
  <c r="R2298" i="2"/>
  <c r="AP2298" i="2" s="1"/>
  <c r="S2298" i="2"/>
  <c r="BD2298" i="2" s="1"/>
  <c r="R2310" i="2"/>
  <c r="AP2310" i="2" s="1"/>
  <c r="S2310" i="2"/>
  <c r="BD2310" i="2" s="1"/>
  <c r="R2252" i="2"/>
  <c r="AP2252" i="2" s="1"/>
  <c r="S2252" i="2"/>
  <c r="BD2252" i="2" s="1"/>
  <c r="U386" i="2"/>
  <c r="AK386" i="2"/>
  <c r="AF386" i="2"/>
  <c r="R290" i="2"/>
  <c r="AP290" i="2" s="1"/>
  <c r="S290" i="2"/>
  <c r="BD290" i="2" s="1"/>
  <c r="U378" i="2"/>
  <c r="AF378" i="2"/>
  <c r="AK378" i="2"/>
  <c r="R306" i="2"/>
  <c r="AP306" i="2" s="1"/>
  <c r="S306" i="2"/>
  <c r="BD306" i="2" s="1"/>
  <c r="S2390" i="2"/>
  <c r="S2382" i="2"/>
  <c r="S2374" i="2"/>
  <c r="S2366" i="2"/>
  <c r="BD2366" i="2" s="1"/>
  <c r="S2358" i="2"/>
  <c r="S2350" i="2"/>
  <c r="BD2342" i="2"/>
  <c r="S2326" i="2"/>
  <c r="BD2318" i="2"/>
  <c r="Q2377" i="2"/>
  <c r="BD2377" i="2" s="1"/>
  <c r="S2341" i="2"/>
  <c r="BD2341" i="2" s="1"/>
  <c r="S2333" i="2"/>
  <c r="BD2333" i="2" s="1"/>
  <c r="S2325" i="2"/>
  <c r="BD2325" i="2" s="1"/>
  <c r="S2317" i="2"/>
  <c r="BD2317" i="2" s="1"/>
  <c r="AF2020" i="2"/>
  <c r="AQ2020" i="2" s="1"/>
  <c r="AA1835" i="2"/>
  <c r="U1827" i="2"/>
  <c r="V1827" i="2" s="1"/>
  <c r="AA1819" i="2"/>
  <c r="U1811" i="2"/>
  <c r="AB1811" i="2" s="1"/>
  <c r="AA1803" i="2"/>
  <c r="U1795" i="2"/>
  <c r="V1795" i="2" s="1"/>
  <c r="AA1787" i="2"/>
  <c r="AQ1787" i="2" s="1"/>
  <c r="U1779" i="2"/>
  <c r="AG1779" i="2" s="1"/>
  <c r="AA1771" i="2"/>
  <c r="U1763" i="2"/>
  <c r="AG1763" i="2" s="1"/>
  <c r="Q1477" i="2"/>
  <c r="Q1520" i="2"/>
  <c r="Q1442" i="2"/>
  <c r="BD1442" i="2" s="1"/>
  <c r="BD1480" i="2"/>
  <c r="S1585" i="2"/>
  <c r="BD1585" i="2" s="1"/>
  <c r="R1065" i="2"/>
  <c r="AP1065" i="2" s="1"/>
  <c r="S1121" i="2"/>
  <c r="BD1121" i="2" s="1"/>
  <c r="S810" i="2"/>
  <c r="BD755" i="2"/>
  <c r="Q720" i="2"/>
  <c r="BD720" i="2" s="1"/>
  <c r="Q458" i="2"/>
  <c r="BD458" i="2" s="1"/>
  <c r="Q442" i="2"/>
  <c r="AA340" i="2"/>
  <c r="AQ340" i="2" s="1"/>
  <c r="R430" i="2"/>
  <c r="AP430" i="2" s="1"/>
  <c r="R388" i="2"/>
  <c r="AP388" i="2" s="1"/>
  <c r="R356" i="2"/>
  <c r="AP356" i="2" s="1"/>
  <c r="Q296" i="2"/>
  <c r="Q232" i="2"/>
  <c r="G172" i="4"/>
  <c r="G108" i="4"/>
  <c r="R460" i="2"/>
  <c r="AP460" i="2" s="1"/>
  <c r="R270" i="2"/>
  <c r="AP270" i="2" s="1"/>
  <c r="U240" i="2"/>
  <c r="AB240" i="2" s="1"/>
  <c r="BD98" i="2"/>
  <c r="Q436" i="2"/>
  <c r="R320" i="2"/>
  <c r="AP320" i="2" s="1"/>
  <c r="R256" i="2"/>
  <c r="AP256" i="2" s="1"/>
  <c r="Q224" i="2"/>
  <c r="BD224" i="2" s="1"/>
  <c r="Q486" i="2"/>
  <c r="R422" i="2"/>
  <c r="AP422" i="2" s="1"/>
  <c r="Q294" i="2"/>
  <c r="BD294" i="2" s="1"/>
  <c r="Q44" i="2"/>
  <c r="G96" i="4"/>
  <c r="G48" i="4"/>
  <c r="Q16" i="2"/>
  <c r="R32" i="2"/>
  <c r="AP32" i="2" s="1"/>
  <c r="BD54" i="2"/>
  <c r="R2476" i="2"/>
  <c r="AP2476" i="2" s="1"/>
  <c r="S2476" i="2"/>
  <c r="BD2476" i="2" s="1"/>
  <c r="R2272" i="2"/>
  <c r="AP2272" i="2" s="1"/>
  <c r="S2272" i="2"/>
  <c r="BD2272" i="2" s="1"/>
  <c r="R2284" i="2"/>
  <c r="AP2284" i="2" s="1"/>
  <c r="S2284" i="2"/>
  <c r="BD2284" i="2" s="1"/>
  <c r="R2244" i="2"/>
  <c r="AP2244" i="2" s="1"/>
  <c r="S2244" i="2"/>
  <c r="BD2244" i="2" s="1"/>
  <c r="R2300" i="2"/>
  <c r="AP2300" i="2" s="1"/>
  <c r="S2300" i="2"/>
  <c r="BD2300" i="2" s="1"/>
  <c r="R2268" i="2"/>
  <c r="AP2268" i="2" s="1"/>
  <c r="S2268" i="2"/>
  <c r="BD2268" i="2" s="1"/>
  <c r="R2232" i="2"/>
  <c r="AP2232" i="2" s="1"/>
  <c r="S2232" i="2"/>
  <c r="BD2232" i="2" s="1"/>
  <c r="R2224" i="2"/>
  <c r="AP2224" i="2" s="1"/>
  <c r="S2224" i="2"/>
  <c r="BD2224" i="2" s="1"/>
  <c r="R2312" i="2"/>
  <c r="AP2312" i="2" s="1"/>
  <c r="S2312" i="2"/>
  <c r="BD2312" i="2" s="1"/>
  <c r="R2208" i="2"/>
  <c r="AP2208" i="2" s="1"/>
  <c r="S2208" i="2"/>
  <c r="BD2208" i="2" s="1"/>
  <c r="U402" i="2"/>
  <c r="AK402" i="2"/>
  <c r="AF402" i="2"/>
  <c r="R266" i="2"/>
  <c r="AP266" i="2" s="1"/>
  <c r="S266" i="2"/>
  <c r="BD266" i="2" s="1"/>
  <c r="R210" i="2"/>
  <c r="AP210" i="2" s="1"/>
  <c r="S210" i="2"/>
  <c r="BD210" i="2" s="1"/>
  <c r="R258" i="2"/>
  <c r="AP258" i="2" s="1"/>
  <c r="S258" i="2"/>
  <c r="BD258" i="2" s="1"/>
  <c r="R226" i="2"/>
  <c r="AP226" i="2" s="1"/>
  <c r="S226" i="2"/>
  <c r="BD226" i="2" s="1"/>
  <c r="R322" i="2"/>
  <c r="AP322" i="2" s="1"/>
  <c r="S322" i="2"/>
  <c r="BD322" i="2" s="1"/>
  <c r="R274" i="2"/>
  <c r="AP274" i="2" s="1"/>
  <c r="S274" i="2"/>
  <c r="BD274" i="2" s="1"/>
  <c r="R298" i="2"/>
  <c r="AP298" i="2" s="1"/>
  <c r="S298" i="2"/>
  <c r="BD298" i="2" s="1"/>
  <c r="BD70" i="2"/>
  <c r="R2314" i="2"/>
  <c r="AP2314" i="2" s="1"/>
  <c r="S2314" i="2"/>
  <c r="BD2314" i="2" s="1"/>
  <c r="R2276" i="2"/>
  <c r="AP2276" i="2" s="1"/>
  <c r="S2276" i="2"/>
  <c r="BD2276" i="2" s="1"/>
  <c r="R2294" i="2"/>
  <c r="AP2294" i="2" s="1"/>
  <c r="S2294" i="2"/>
  <c r="BD2294" i="2" s="1"/>
  <c r="R2296" i="2"/>
  <c r="AP2296" i="2" s="1"/>
  <c r="S2296" i="2"/>
  <c r="BD2296" i="2" s="1"/>
  <c r="R2228" i="2"/>
  <c r="AP2228" i="2" s="1"/>
  <c r="S2228" i="2"/>
  <c r="BD2228" i="2" s="1"/>
  <c r="R2308" i="2"/>
  <c r="AP2308" i="2" s="1"/>
  <c r="S2308" i="2"/>
  <c r="BD2308" i="2" s="1"/>
  <c r="R2240" i="2"/>
  <c r="AP2240" i="2" s="1"/>
  <c r="S2240" i="2"/>
  <c r="BD2240" i="2" s="1"/>
  <c r="R2292" i="2"/>
  <c r="AP2292" i="2" s="1"/>
  <c r="S2292" i="2"/>
  <c r="BD2292" i="2" s="1"/>
  <c r="R2236" i="2"/>
  <c r="AP2236" i="2" s="1"/>
  <c r="S2236" i="2"/>
  <c r="BD2236" i="2" s="1"/>
  <c r="U370" i="2"/>
  <c r="AK370" i="2"/>
  <c r="AF370" i="2"/>
  <c r="R282" i="2"/>
  <c r="AP282" i="2" s="1"/>
  <c r="S282" i="2"/>
  <c r="BD282" i="2" s="1"/>
  <c r="U354" i="2"/>
  <c r="AK354" i="2"/>
  <c r="AF354" i="2"/>
  <c r="U394" i="2"/>
  <c r="AF394" i="2"/>
  <c r="AQ394" i="2" s="1"/>
  <c r="AK394" i="2"/>
  <c r="U362" i="2"/>
  <c r="AF362" i="2"/>
  <c r="AK362" i="2"/>
  <c r="U330" i="2"/>
  <c r="AF330" i="2"/>
  <c r="AK330" i="2"/>
  <c r="R218" i="2"/>
  <c r="AP218" i="2" s="1"/>
  <c r="S218" i="2"/>
  <c r="BD218" i="2" s="1"/>
  <c r="AA362" i="2"/>
  <c r="R314" i="2"/>
  <c r="AP314" i="2" s="1"/>
  <c r="S314" i="2"/>
  <c r="BD314" i="2" s="1"/>
  <c r="S1750" i="2"/>
  <c r="S1742" i="2"/>
  <c r="BD1742" i="2" s="1"/>
  <c r="S1734" i="2"/>
  <c r="BD1734" i="2" s="1"/>
  <c r="S1722" i="2"/>
  <c r="BD1722" i="2" s="1"/>
  <c r="S1678" i="2"/>
  <c r="S1500" i="2"/>
  <c r="Q862" i="2"/>
  <c r="Q734" i="2"/>
  <c r="R683" i="2"/>
  <c r="AP683" i="2" s="1"/>
  <c r="R631" i="2"/>
  <c r="AP631" i="2" s="1"/>
  <c r="S544" i="2"/>
  <c r="Q482" i="2"/>
  <c r="Q466" i="2"/>
  <c r="U428" i="2"/>
  <c r="AL428" i="2" s="1"/>
  <c r="S394" i="2"/>
  <c r="S362" i="2"/>
  <c r="BD362" i="2" s="1"/>
  <c r="S204" i="2"/>
  <c r="BD204" i="2" s="1"/>
  <c r="S172" i="2"/>
  <c r="BD172" i="2" s="1"/>
  <c r="S108" i="2"/>
  <c r="G91" i="4"/>
  <c r="G76" i="4"/>
  <c r="G59" i="4"/>
  <c r="G44" i="4"/>
  <c r="R92" i="2"/>
  <c r="AP92" i="2" s="1"/>
  <c r="R91" i="2"/>
  <c r="AP91" i="2" s="1"/>
  <c r="BD78" i="2"/>
  <c r="BD46" i="2"/>
  <c r="R2288" i="2"/>
  <c r="AP2288" i="2" s="1"/>
  <c r="S2288" i="2"/>
  <c r="BD2288" i="2" s="1"/>
  <c r="R2304" i="2"/>
  <c r="AP2304" i="2" s="1"/>
  <c r="S2304" i="2"/>
  <c r="BD2304" i="2" s="1"/>
  <c r="R2260" i="2"/>
  <c r="AP2260" i="2" s="1"/>
  <c r="S2260" i="2"/>
  <c r="BD2260" i="2" s="1"/>
  <c r="R2248" i="2"/>
  <c r="AP2248" i="2" s="1"/>
  <c r="S2248" i="2"/>
  <c r="BD2248" i="2" s="1"/>
  <c r="R2216" i="2"/>
  <c r="AP2216" i="2" s="1"/>
  <c r="S2216" i="2"/>
  <c r="BD2216" i="2" s="1"/>
  <c r="R2264" i="2"/>
  <c r="AP2264" i="2" s="1"/>
  <c r="S2264" i="2"/>
  <c r="BD2264" i="2" s="1"/>
  <c r="R2220" i="2"/>
  <c r="AP2220" i="2" s="1"/>
  <c r="S2220" i="2"/>
  <c r="BD2220" i="2" s="1"/>
  <c r="R2204" i="2"/>
  <c r="AP2204" i="2" s="1"/>
  <c r="S2204" i="2"/>
  <c r="BD2204" i="2" s="1"/>
  <c r="U338" i="2"/>
  <c r="AK338" i="2"/>
  <c r="AF338" i="2"/>
  <c r="R242" i="2"/>
  <c r="AP242" i="2" s="1"/>
  <c r="S242" i="2"/>
  <c r="BD242" i="2" s="1"/>
  <c r="AA354" i="2"/>
  <c r="AA386" i="2"/>
  <c r="U346" i="2"/>
  <c r="AF346" i="2"/>
  <c r="AK346" i="2"/>
  <c r="AA370" i="2"/>
  <c r="AQ304" i="2"/>
  <c r="AQ2" i="2"/>
  <c r="AV2" i="2" s="1"/>
  <c r="BE2" i="2" s="1"/>
  <c r="R2489" i="2"/>
  <c r="AP2489" i="2" s="1"/>
  <c r="S2489" i="2"/>
  <c r="Q2489" i="2"/>
  <c r="Q2469" i="2"/>
  <c r="S2469" i="2"/>
  <c r="R2469" i="2"/>
  <c r="AP2469" i="2" s="1"/>
  <c r="AA2458" i="2"/>
  <c r="AK2458" i="2"/>
  <c r="U2458" i="2"/>
  <c r="AF2458" i="2"/>
  <c r="Q2437" i="2"/>
  <c r="S2437" i="2"/>
  <c r="R2437" i="2"/>
  <c r="AP2437" i="2" s="1"/>
  <c r="AA2426" i="2"/>
  <c r="AK2426" i="2"/>
  <c r="U2426" i="2"/>
  <c r="AF2426" i="2"/>
  <c r="AA2410" i="2"/>
  <c r="AK2410" i="2"/>
  <c r="U2410" i="2"/>
  <c r="AF2410" i="2"/>
  <c r="Q2405" i="2"/>
  <c r="S2405" i="2"/>
  <c r="R2405" i="2"/>
  <c r="AP2405" i="2" s="1"/>
  <c r="AK2471" i="2"/>
  <c r="U2471" i="2"/>
  <c r="AF2471" i="2"/>
  <c r="AA2471" i="2"/>
  <c r="S2466" i="2"/>
  <c r="R2466" i="2"/>
  <c r="AP2466" i="2" s="1"/>
  <c r="Q2466" i="2"/>
  <c r="S2450" i="2"/>
  <c r="R2450" i="2"/>
  <c r="AP2450" i="2" s="1"/>
  <c r="Q2450" i="2"/>
  <c r="AK2439" i="2"/>
  <c r="U2439" i="2"/>
  <c r="AF2439" i="2"/>
  <c r="AA2439" i="2"/>
  <c r="S2434" i="2"/>
  <c r="R2434" i="2"/>
  <c r="AP2434" i="2" s="1"/>
  <c r="Q2434" i="2"/>
  <c r="AK2423" i="2"/>
  <c r="U2423" i="2"/>
  <c r="AF2423" i="2"/>
  <c r="AA2423" i="2"/>
  <c r="Q2409" i="2"/>
  <c r="S2409" i="2"/>
  <c r="R2409" i="2"/>
  <c r="AP2409" i="2" s="1"/>
  <c r="AA2464" i="2"/>
  <c r="AK2464" i="2"/>
  <c r="U2464" i="2"/>
  <c r="AF2464" i="2"/>
  <c r="AA2448" i="2"/>
  <c r="AK2448" i="2"/>
  <c r="U2448" i="2"/>
  <c r="AF2448" i="2"/>
  <c r="AA2432" i="2"/>
  <c r="AK2432" i="2"/>
  <c r="U2432" i="2"/>
  <c r="AF2432" i="2"/>
  <c r="AA2416" i="2"/>
  <c r="AK2416" i="2"/>
  <c r="U2416" i="2"/>
  <c r="AF2416" i="2"/>
  <c r="Q2399" i="2"/>
  <c r="S2399" i="2"/>
  <c r="R2399" i="2"/>
  <c r="AP2399" i="2" s="1"/>
  <c r="S2460" i="2"/>
  <c r="R2460" i="2"/>
  <c r="AP2460" i="2" s="1"/>
  <c r="Q2460" i="2"/>
  <c r="AF2221" i="2"/>
  <c r="AK2221" i="2"/>
  <c r="U2221" i="2"/>
  <c r="AA2221" i="2"/>
  <c r="AF2205" i="2"/>
  <c r="AK2205" i="2"/>
  <c r="U2205" i="2"/>
  <c r="AA2205" i="2"/>
  <c r="AA2392" i="2"/>
  <c r="AK2392" i="2"/>
  <c r="AF2392" i="2"/>
  <c r="U2392" i="2"/>
  <c r="AK2384" i="2"/>
  <c r="U2384" i="2"/>
  <c r="AF2384" i="2"/>
  <c r="AA2384" i="2"/>
  <c r="AK2376" i="2"/>
  <c r="U2376" i="2"/>
  <c r="AF2376" i="2"/>
  <c r="AA2376" i="2"/>
  <c r="AK2344" i="2"/>
  <c r="U2344" i="2"/>
  <c r="AF2344" i="2"/>
  <c r="AA2344" i="2"/>
  <c r="R2493" i="2"/>
  <c r="AP2493" i="2" s="1"/>
  <c r="S2493" i="2"/>
  <c r="Q2493" i="2"/>
  <c r="AF2488" i="2"/>
  <c r="AK2488" i="2"/>
  <c r="U2488" i="2"/>
  <c r="AA2488" i="2"/>
  <c r="R2482" i="2"/>
  <c r="AP2482" i="2" s="1"/>
  <c r="Q2482" i="2"/>
  <c r="S2482" i="2"/>
  <c r="R2499" i="2"/>
  <c r="AP2499" i="2" s="1"/>
  <c r="S2499" i="2"/>
  <c r="Q2499" i="2"/>
  <c r="AF2494" i="2"/>
  <c r="AK2494" i="2"/>
  <c r="U2494" i="2"/>
  <c r="AA2494" i="2"/>
  <c r="R2488" i="2"/>
  <c r="AP2488" i="2" s="1"/>
  <c r="S2488" i="2"/>
  <c r="Q2488" i="2"/>
  <c r="Q2473" i="2"/>
  <c r="S2473" i="2"/>
  <c r="R2473" i="2"/>
  <c r="AP2473" i="2" s="1"/>
  <c r="Q2441" i="2"/>
  <c r="S2441" i="2"/>
  <c r="R2441" i="2"/>
  <c r="AP2441" i="2" s="1"/>
  <c r="AA2430" i="2"/>
  <c r="AK2430" i="2"/>
  <c r="U2430" i="2"/>
  <c r="AF2430" i="2"/>
  <c r="Q2425" i="2"/>
  <c r="S2425" i="2"/>
  <c r="R2425" i="2"/>
  <c r="AP2425" i="2" s="1"/>
  <c r="AA2414" i="2"/>
  <c r="AK2414" i="2"/>
  <c r="U2414" i="2"/>
  <c r="AF2414" i="2"/>
  <c r="S2454" i="2"/>
  <c r="R2454" i="2"/>
  <c r="AP2454" i="2" s="1"/>
  <c r="Q2454" i="2"/>
  <c r="S2438" i="2"/>
  <c r="R2438" i="2"/>
  <c r="AP2438" i="2" s="1"/>
  <c r="Q2438" i="2"/>
  <c r="AK2427" i="2"/>
  <c r="U2427" i="2"/>
  <c r="AF2427" i="2"/>
  <c r="AA2427" i="2"/>
  <c r="AK2411" i="2"/>
  <c r="U2411" i="2"/>
  <c r="AF2411" i="2"/>
  <c r="AA2411" i="2"/>
  <c r="AA2468" i="2"/>
  <c r="AK2468" i="2"/>
  <c r="U2468" i="2"/>
  <c r="AF2468" i="2"/>
  <c r="Q2463" i="2"/>
  <c r="S2463" i="2"/>
  <c r="R2463" i="2"/>
  <c r="AP2463" i="2" s="1"/>
  <c r="AA2452" i="2"/>
  <c r="AK2452" i="2"/>
  <c r="U2452" i="2"/>
  <c r="AF2452" i="2"/>
  <c r="Q2447" i="2"/>
  <c r="S2447" i="2"/>
  <c r="R2447" i="2"/>
  <c r="AP2447" i="2" s="1"/>
  <c r="Q2431" i="2"/>
  <c r="S2431" i="2"/>
  <c r="R2431" i="2"/>
  <c r="AP2431" i="2" s="1"/>
  <c r="AA2420" i="2"/>
  <c r="AK2420" i="2"/>
  <c r="U2420" i="2"/>
  <c r="AF2420" i="2"/>
  <c r="Q2395" i="2"/>
  <c r="S2395" i="2"/>
  <c r="R2395" i="2"/>
  <c r="AP2395" i="2" s="1"/>
  <c r="AK2469" i="2"/>
  <c r="U2469" i="2"/>
  <c r="AF2469" i="2"/>
  <c r="AA2469" i="2"/>
  <c r="S2464" i="2"/>
  <c r="R2464" i="2"/>
  <c r="AP2464" i="2" s="1"/>
  <c r="Q2464" i="2"/>
  <c r="AK2453" i="2"/>
  <c r="U2453" i="2"/>
  <c r="AF2453" i="2"/>
  <c r="AA2453" i="2"/>
  <c r="AK2437" i="2"/>
  <c r="U2437" i="2"/>
  <c r="AF2437" i="2"/>
  <c r="AA2437" i="2"/>
  <c r="S2416" i="2"/>
  <c r="R2416" i="2"/>
  <c r="AP2416" i="2" s="1"/>
  <c r="Q2416" i="2"/>
  <c r="AF2391" i="2"/>
  <c r="AA2391" i="2"/>
  <c r="AK2391" i="2"/>
  <c r="U2391" i="2"/>
  <c r="AF2351" i="2"/>
  <c r="AA2351" i="2"/>
  <c r="AK2351" i="2"/>
  <c r="U2351" i="2"/>
  <c r="AF2343" i="2"/>
  <c r="AA2343" i="2"/>
  <c r="AK2343" i="2"/>
  <c r="U2343" i="2"/>
  <c r="AF2327" i="2"/>
  <c r="AA2327" i="2"/>
  <c r="AK2327" i="2"/>
  <c r="U2327" i="2"/>
  <c r="AF2319" i="2"/>
  <c r="AA2319" i="2"/>
  <c r="AK2319" i="2"/>
  <c r="U2319" i="2"/>
  <c r="AK2407" i="2"/>
  <c r="U2407" i="2"/>
  <c r="AA2407" i="2"/>
  <c r="AF2407" i="2"/>
  <c r="AK2399" i="2"/>
  <c r="U2399" i="2"/>
  <c r="AA2399" i="2"/>
  <c r="AF2399" i="2"/>
  <c r="R2497" i="2"/>
  <c r="AP2497" i="2" s="1"/>
  <c r="S2497" i="2"/>
  <c r="Q2497" i="2"/>
  <c r="AF2492" i="2"/>
  <c r="AK2492" i="2"/>
  <c r="U2492" i="2"/>
  <c r="AA2492" i="2"/>
  <c r="R2481" i="2"/>
  <c r="AP2481" i="2" s="1"/>
  <c r="S2481" i="2"/>
  <c r="Q2481" i="2"/>
  <c r="AF2476" i="2"/>
  <c r="AK2476" i="2"/>
  <c r="U2476" i="2"/>
  <c r="AA2476" i="2"/>
  <c r="R2494" i="2"/>
  <c r="AP2494" i="2" s="1"/>
  <c r="Q2494" i="2"/>
  <c r="S2494" i="2"/>
  <c r="R2486" i="2"/>
  <c r="AP2486" i="2" s="1"/>
  <c r="Q2486" i="2"/>
  <c r="S2486" i="2"/>
  <c r="AF2481" i="2"/>
  <c r="AK2481" i="2"/>
  <c r="U2481" i="2"/>
  <c r="AA2481" i="2"/>
  <c r="AF2498" i="2"/>
  <c r="AK2498" i="2"/>
  <c r="U2498" i="2"/>
  <c r="AA2498" i="2"/>
  <c r="R2487" i="2"/>
  <c r="AP2487" i="2" s="1"/>
  <c r="S2487" i="2"/>
  <c r="Q2487" i="2"/>
  <c r="R2483" i="2"/>
  <c r="AP2483" i="2" s="1"/>
  <c r="S2483" i="2"/>
  <c r="Q2483" i="2"/>
  <c r="R2479" i="2"/>
  <c r="AP2479" i="2" s="1"/>
  <c r="S2479" i="2"/>
  <c r="Q2479" i="2"/>
  <c r="R2475" i="2"/>
  <c r="AP2475" i="2" s="1"/>
  <c r="S2475" i="2"/>
  <c r="Q2475" i="2"/>
  <c r="AF2495" i="2"/>
  <c r="AA2495" i="2"/>
  <c r="AK2495" i="2"/>
  <c r="U2495" i="2"/>
  <c r="AF2487" i="2"/>
  <c r="AA2487" i="2"/>
  <c r="AK2487" i="2"/>
  <c r="U2487" i="2"/>
  <c r="AA2466" i="2"/>
  <c r="AK2466" i="2"/>
  <c r="U2466" i="2"/>
  <c r="AF2466" i="2"/>
  <c r="Q2461" i="2"/>
  <c r="S2461" i="2"/>
  <c r="R2461" i="2"/>
  <c r="AP2461" i="2" s="1"/>
  <c r="AA2450" i="2"/>
  <c r="AK2450" i="2"/>
  <c r="U2450" i="2"/>
  <c r="AF2450" i="2"/>
  <c r="Q2445" i="2"/>
  <c r="S2445" i="2"/>
  <c r="R2445" i="2"/>
  <c r="AP2445" i="2" s="1"/>
  <c r="AA2434" i="2"/>
  <c r="AK2434" i="2"/>
  <c r="U2434" i="2"/>
  <c r="AF2434" i="2"/>
  <c r="Q2429" i="2"/>
  <c r="S2429" i="2"/>
  <c r="R2429" i="2"/>
  <c r="AP2429" i="2" s="1"/>
  <c r="AA2418" i="2"/>
  <c r="AK2418" i="2"/>
  <c r="U2418" i="2"/>
  <c r="AF2418" i="2"/>
  <c r="Q2413" i="2"/>
  <c r="S2413" i="2"/>
  <c r="R2413" i="2"/>
  <c r="AP2413" i="2" s="1"/>
  <c r="AK2409" i="2"/>
  <c r="U2409" i="2"/>
  <c r="AA2409" i="2"/>
  <c r="AF2409" i="2"/>
  <c r="Q2397" i="2"/>
  <c r="S2397" i="2"/>
  <c r="R2397" i="2"/>
  <c r="AP2397" i="2" s="1"/>
  <c r="S2474" i="2"/>
  <c r="R2474" i="2"/>
  <c r="AP2474" i="2" s="1"/>
  <c r="Q2474" i="2"/>
  <c r="AK2463" i="2"/>
  <c r="U2463" i="2"/>
  <c r="AF2463" i="2"/>
  <c r="AA2463" i="2"/>
  <c r="S2458" i="2"/>
  <c r="R2458" i="2"/>
  <c r="AP2458" i="2" s="1"/>
  <c r="Q2458" i="2"/>
  <c r="AK2447" i="2"/>
  <c r="U2447" i="2"/>
  <c r="AF2447" i="2"/>
  <c r="AA2447" i="2"/>
  <c r="S2442" i="2"/>
  <c r="R2442" i="2"/>
  <c r="AP2442" i="2" s="1"/>
  <c r="Q2442" i="2"/>
  <c r="AK2431" i="2"/>
  <c r="U2431" i="2"/>
  <c r="AF2431" i="2"/>
  <c r="AA2431" i="2"/>
  <c r="S2426" i="2"/>
  <c r="R2426" i="2"/>
  <c r="AP2426" i="2" s="1"/>
  <c r="Q2426" i="2"/>
  <c r="AK2415" i="2"/>
  <c r="U2415" i="2"/>
  <c r="AF2415" i="2"/>
  <c r="AA2415" i="2"/>
  <c r="S2410" i="2"/>
  <c r="R2410" i="2"/>
  <c r="AP2410" i="2" s="1"/>
  <c r="Q2410" i="2"/>
  <c r="AA2402" i="2"/>
  <c r="AK2402" i="2"/>
  <c r="U2402" i="2"/>
  <c r="AF2402" i="2"/>
  <c r="AA2472" i="2"/>
  <c r="AK2472" i="2"/>
  <c r="U2472" i="2"/>
  <c r="AF2472" i="2"/>
  <c r="Q2467" i="2"/>
  <c r="S2467" i="2"/>
  <c r="R2467" i="2"/>
  <c r="AP2467" i="2" s="1"/>
  <c r="AA2456" i="2"/>
  <c r="AK2456" i="2"/>
  <c r="U2456" i="2"/>
  <c r="AF2456" i="2"/>
  <c r="Q2451" i="2"/>
  <c r="S2451" i="2"/>
  <c r="R2451" i="2"/>
  <c r="AP2451" i="2" s="1"/>
  <c r="AA2440" i="2"/>
  <c r="AK2440" i="2"/>
  <c r="U2440" i="2"/>
  <c r="AF2440" i="2"/>
  <c r="Q2435" i="2"/>
  <c r="S2435" i="2"/>
  <c r="R2435" i="2"/>
  <c r="AP2435" i="2" s="1"/>
  <c r="AA2424" i="2"/>
  <c r="AK2424" i="2"/>
  <c r="U2424" i="2"/>
  <c r="AF2424" i="2"/>
  <c r="Q2419" i="2"/>
  <c r="S2419" i="2"/>
  <c r="R2419" i="2"/>
  <c r="AP2419" i="2" s="1"/>
  <c r="Q2407" i="2"/>
  <c r="S2407" i="2"/>
  <c r="R2407" i="2"/>
  <c r="AP2407" i="2" s="1"/>
  <c r="AK2473" i="2"/>
  <c r="U2473" i="2"/>
  <c r="AF2473" i="2"/>
  <c r="AA2473" i="2"/>
  <c r="S2468" i="2"/>
  <c r="R2468" i="2"/>
  <c r="AP2468" i="2" s="1"/>
  <c r="Q2468" i="2"/>
  <c r="AK2457" i="2"/>
  <c r="U2457" i="2"/>
  <c r="AF2457" i="2"/>
  <c r="AA2457" i="2"/>
  <c r="S2452" i="2"/>
  <c r="R2452" i="2"/>
  <c r="AP2452" i="2" s="1"/>
  <c r="Q2452" i="2"/>
  <c r="AK2441" i="2"/>
  <c r="U2441" i="2"/>
  <c r="AF2441" i="2"/>
  <c r="AA2441" i="2"/>
  <c r="S2436" i="2"/>
  <c r="R2436" i="2"/>
  <c r="AP2436" i="2" s="1"/>
  <c r="Q2436" i="2"/>
  <c r="AK2425" i="2"/>
  <c r="U2425" i="2"/>
  <c r="AF2425" i="2"/>
  <c r="AA2425" i="2"/>
  <c r="S2420" i="2"/>
  <c r="R2420" i="2"/>
  <c r="AP2420" i="2" s="1"/>
  <c r="Q2420" i="2"/>
  <c r="AA2408" i="2"/>
  <c r="AK2408" i="2"/>
  <c r="U2408" i="2"/>
  <c r="AF2408" i="2"/>
  <c r="BD2398" i="2"/>
  <c r="AF2389" i="2"/>
  <c r="AA2389" i="2"/>
  <c r="AK2389" i="2"/>
  <c r="U2389" i="2"/>
  <c r="AF2381" i="2"/>
  <c r="AA2381" i="2"/>
  <c r="AK2381" i="2"/>
  <c r="U2381" i="2"/>
  <c r="AF2373" i="2"/>
  <c r="AA2373" i="2"/>
  <c r="AK2373" i="2"/>
  <c r="U2373" i="2"/>
  <c r="AF2365" i="2"/>
  <c r="AA2365" i="2"/>
  <c r="AK2365" i="2"/>
  <c r="U2365" i="2"/>
  <c r="AF2357" i="2"/>
  <c r="AA2357" i="2"/>
  <c r="AK2357" i="2"/>
  <c r="U2357" i="2"/>
  <c r="AF2349" i="2"/>
  <c r="AA2349" i="2"/>
  <c r="AK2349" i="2"/>
  <c r="U2349" i="2"/>
  <c r="AF2341" i="2"/>
  <c r="AA2341" i="2"/>
  <c r="AK2341" i="2"/>
  <c r="U2341" i="2"/>
  <c r="AF2333" i="2"/>
  <c r="AA2333" i="2"/>
  <c r="AK2333" i="2"/>
  <c r="U2333" i="2"/>
  <c r="AF2325" i="2"/>
  <c r="AA2325" i="2"/>
  <c r="AK2325" i="2"/>
  <c r="U2325" i="2"/>
  <c r="AF2317" i="2"/>
  <c r="AA2317" i="2"/>
  <c r="AK2317" i="2"/>
  <c r="U2317" i="2"/>
  <c r="R2313" i="2"/>
  <c r="AP2313" i="2" s="1"/>
  <c r="S2313" i="2"/>
  <c r="Q2313" i="2"/>
  <c r="R2309" i="2"/>
  <c r="AP2309" i="2" s="1"/>
  <c r="S2309" i="2"/>
  <c r="Q2309" i="2"/>
  <c r="R2305" i="2"/>
  <c r="AP2305" i="2" s="1"/>
  <c r="S2305" i="2"/>
  <c r="Q2305" i="2"/>
  <c r="R2301" i="2"/>
  <c r="AP2301" i="2" s="1"/>
  <c r="S2301" i="2"/>
  <c r="Q2301" i="2"/>
  <c r="R2297" i="2"/>
  <c r="AP2297" i="2" s="1"/>
  <c r="S2297" i="2"/>
  <c r="Q2297" i="2"/>
  <c r="R2293" i="2"/>
  <c r="AP2293" i="2" s="1"/>
  <c r="S2293" i="2"/>
  <c r="Q2293" i="2"/>
  <c r="R2289" i="2"/>
  <c r="AP2289" i="2" s="1"/>
  <c r="S2289" i="2"/>
  <c r="Q2289" i="2"/>
  <c r="R2285" i="2"/>
  <c r="AP2285" i="2" s="1"/>
  <c r="S2285" i="2"/>
  <c r="Q2285" i="2"/>
  <c r="R2281" i="2"/>
  <c r="AP2281" i="2" s="1"/>
  <c r="S2281" i="2"/>
  <c r="Q2281" i="2"/>
  <c r="R2277" i="2"/>
  <c r="AP2277" i="2" s="1"/>
  <c r="S2277" i="2"/>
  <c r="Q2277" i="2"/>
  <c r="R2273" i="2"/>
  <c r="AP2273" i="2" s="1"/>
  <c r="S2273" i="2"/>
  <c r="Q2273" i="2"/>
  <c r="R2269" i="2"/>
  <c r="AP2269" i="2" s="1"/>
  <c r="S2269" i="2"/>
  <c r="Q2269" i="2"/>
  <c r="R2265" i="2"/>
  <c r="AP2265" i="2" s="1"/>
  <c r="S2265" i="2"/>
  <c r="Q2265" i="2"/>
  <c r="R2261" i="2"/>
  <c r="AP2261" i="2" s="1"/>
  <c r="S2261" i="2"/>
  <c r="Q2261" i="2"/>
  <c r="R2257" i="2"/>
  <c r="AP2257" i="2" s="1"/>
  <c r="S2257" i="2"/>
  <c r="Q2257" i="2"/>
  <c r="R2253" i="2"/>
  <c r="AP2253" i="2" s="1"/>
  <c r="S2253" i="2"/>
  <c r="Q2253" i="2"/>
  <c r="R2249" i="2"/>
  <c r="AP2249" i="2" s="1"/>
  <c r="S2249" i="2"/>
  <c r="Q2249" i="2"/>
  <c r="R2245" i="2"/>
  <c r="AP2245" i="2" s="1"/>
  <c r="S2245" i="2"/>
  <c r="Q2245" i="2"/>
  <c r="R2241" i="2"/>
  <c r="AP2241" i="2" s="1"/>
  <c r="S2241" i="2"/>
  <c r="Q2241" i="2"/>
  <c r="R2237" i="2"/>
  <c r="AP2237" i="2" s="1"/>
  <c r="S2237" i="2"/>
  <c r="Q2237" i="2"/>
  <c r="R2233" i="2"/>
  <c r="AP2233" i="2" s="1"/>
  <c r="S2233" i="2"/>
  <c r="Q2233" i="2"/>
  <c r="R2229" i="2"/>
  <c r="AP2229" i="2" s="1"/>
  <c r="S2229" i="2"/>
  <c r="Q2229" i="2"/>
  <c r="R2225" i="2"/>
  <c r="AP2225" i="2" s="1"/>
  <c r="S2225" i="2"/>
  <c r="Q2225" i="2"/>
  <c r="R2221" i="2"/>
  <c r="AP2221" i="2" s="1"/>
  <c r="S2221" i="2"/>
  <c r="Q2221" i="2"/>
  <c r="R2217" i="2"/>
  <c r="AP2217" i="2" s="1"/>
  <c r="S2217" i="2"/>
  <c r="Q2217" i="2"/>
  <c r="R2213" i="2"/>
  <c r="AP2213" i="2" s="1"/>
  <c r="S2213" i="2"/>
  <c r="Q2213" i="2"/>
  <c r="R2209" i="2"/>
  <c r="AP2209" i="2" s="1"/>
  <c r="S2209" i="2"/>
  <c r="Q2209" i="2"/>
  <c r="R2205" i="2"/>
  <c r="AP2205" i="2" s="1"/>
  <c r="S2205" i="2"/>
  <c r="Q2205" i="2"/>
  <c r="R2201" i="2"/>
  <c r="AP2201" i="2" s="1"/>
  <c r="S2201" i="2"/>
  <c r="Q2201" i="2"/>
  <c r="BD2378" i="2"/>
  <c r="BD2346" i="2"/>
  <c r="AF2313" i="2"/>
  <c r="AK2313" i="2"/>
  <c r="U2313" i="2"/>
  <c r="AA2313" i="2"/>
  <c r="AF2305" i="2"/>
  <c r="AK2305" i="2"/>
  <c r="U2305" i="2"/>
  <c r="AA2305" i="2"/>
  <c r="AF2297" i="2"/>
  <c r="AK2297" i="2"/>
  <c r="U2297" i="2"/>
  <c r="AA2297" i="2"/>
  <c r="AF2289" i="2"/>
  <c r="AK2289" i="2"/>
  <c r="U2289" i="2"/>
  <c r="AA2289" i="2"/>
  <c r="AF2281" i="2"/>
  <c r="AK2281" i="2"/>
  <c r="U2281" i="2"/>
  <c r="AA2281" i="2"/>
  <c r="AF2273" i="2"/>
  <c r="AK2273" i="2"/>
  <c r="U2273" i="2"/>
  <c r="AA2273" i="2"/>
  <c r="AF2265" i="2"/>
  <c r="AK2265" i="2"/>
  <c r="U2265" i="2"/>
  <c r="AA2265" i="2"/>
  <c r="AF2257" i="2"/>
  <c r="AK2257" i="2"/>
  <c r="U2257" i="2"/>
  <c r="AA2257" i="2"/>
  <c r="AF2249" i="2"/>
  <c r="AK2249" i="2"/>
  <c r="U2249" i="2"/>
  <c r="AA2249" i="2"/>
  <c r="AF2241" i="2"/>
  <c r="AK2241" i="2"/>
  <c r="U2241" i="2"/>
  <c r="AA2241" i="2"/>
  <c r="AF2233" i="2"/>
  <c r="AK2233" i="2"/>
  <c r="U2233" i="2"/>
  <c r="AA2233" i="2"/>
  <c r="AF2225" i="2"/>
  <c r="AK2225" i="2"/>
  <c r="U2225" i="2"/>
  <c r="AA2225" i="2"/>
  <c r="AF2217" i="2"/>
  <c r="AK2217" i="2"/>
  <c r="U2217" i="2"/>
  <c r="AA2217" i="2"/>
  <c r="AF2209" i="2"/>
  <c r="AK2209" i="2"/>
  <c r="U2209" i="2"/>
  <c r="AA2209" i="2"/>
  <c r="AF2201" i="2"/>
  <c r="AK2201" i="2"/>
  <c r="U2201" i="2"/>
  <c r="AA2201" i="2"/>
  <c r="AK2388" i="2"/>
  <c r="U2388" i="2"/>
  <c r="AF2388" i="2"/>
  <c r="AA2388" i="2"/>
  <c r="AK2380" i="2"/>
  <c r="U2380" i="2"/>
  <c r="AF2380" i="2"/>
  <c r="AA2380" i="2"/>
  <c r="AK2372" i="2"/>
  <c r="U2372" i="2"/>
  <c r="AF2372" i="2"/>
  <c r="AA2372" i="2"/>
  <c r="AK2364" i="2"/>
  <c r="U2364" i="2"/>
  <c r="AF2364" i="2"/>
  <c r="AA2364" i="2"/>
  <c r="AK2356" i="2"/>
  <c r="U2356" i="2"/>
  <c r="AF2356" i="2"/>
  <c r="AA2356" i="2"/>
  <c r="AK2348" i="2"/>
  <c r="U2348" i="2"/>
  <c r="AF2348" i="2"/>
  <c r="AA2348" i="2"/>
  <c r="AK2340" i="2"/>
  <c r="U2340" i="2"/>
  <c r="AF2340" i="2"/>
  <c r="AA2340" i="2"/>
  <c r="AK2332" i="2"/>
  <c r="U2332" i="2"/>
  <c r="AF2332" i="2"/>
  <c r="AA2332" i="2"/>
  <c r="AK2324" i="2"/>
  <c r="U2324" i="2"/>
  <c r="AF2324" i="2"/>
  <c r="AA2324" i="2"/>
  <c r="AK2316" i="2"/>
  <c r="U2316" i="2"/>
  <c r="AF2316" i="2"/>
  <c r="AA2316" i="2"/>
  <c r="R2311" i="2"/>
  <c r="AP2311" i="2" s="1"/>
  <c r="S2311" i="2"/>
  <c r="Q2311" i="2"/>
  <c r="R2307" i="2"/>
  <c r="AP2307" i="2" s="1"/>
  <c r="S2307" i="2"/>
  <c r="Q2307" i="2"/>
  <c r="R2303" i="2"/>
  <c r="AP2303" i="2" s="1"/>
  <c r="S2303" i="2"/>
  <c r="Q2303" i="2"/>
  <c r="R2299" i="2"/>
  <c r="AP2299" i="2" s="1"/>
  <c r="S2299" i="2"/>
  <c r="Q2299" i="2"/>
  <c r="R2295" i="2"/>
  <c r="AP2295" i="2" s="1"/>
  <c r="S2295" i="2"/>
  <c r="Q2295" i="2"/>
  <c r="R2291" i="2"/>
  <c r="AP2291" i="2" s="1"/>
  <c r="S2291" i="2"/>
  <c r="Q2291" i="2"/>
  <c r="R2287" i="2"/>
  <c r="AP2287" i="2" s="1"/>
  <c r="S2287" i="2"/>
  <c r="Q2287" i="2"/>
  <c r="R2283" i="2"/>
  <c r="AP2283" i="2" s="1"/>
  <c r="S2283" i="2"/>
  <c r="Q2283" i="2"/>
  <c r="R2279" i="2"/>
  <c r="AP2279" i="2" s="1"/>
  <c r="S2279" i="2"/>
  <c r="Q2279" i="2"/>
  <c r="R2275" i="2"/>
  <c r="AP2275" i="2" s="1"/>
  <c r="S2275" i="2"/>
  <c r="Q2275" i="2"/>
  <c r="R2271" i="2"/>
  <c r="AP2271" i="2" s="1"/>
  <c r="S2271" i="2"/>
  <c r="Q2271" i="2"/>
  <c r="R2267" i="2"/>
  <c r="AP2267" i="2" s="1"/>
  <c r="S2267" i="2"/>
  <c r="Q2267" i="2"/>
  <c r="R2263" i="2"/>
  <c r="AP2263" i="2" s="1"/>
  <c r="S2263" i="2"/>
  <c r="Q2263" i="2"/>
  <c r="R2259" i="2"/>
  <c r="AP2259" i="2" s="1"/>
  <c r="S2259" i="2"/>
  <c r="Q2259" i="2"/>
  <c r="R2255" i="2"/>
  <c r="AP2255" i="2" s="1"/>
  <c r="S2255" i="2"/>
  <c r="Q2255" i="2"/>
  <c r="R2251" i="2"/>
  <c r="AP2251" i="2" s="1"/>
  <c r="S2251" i="2"/>
  <c r="Q2251" i="2"/>
  <c r="R2247" i="2"/>
  <c r="AP2247" i="2" s="1"/>
  <c r="S2247" i="2"/>
  <c r="Q2247" i="2"/>
  <c r="R2243" i="2"/>
  <c r="AP2243" i="2" s="1"/>
  <c r="S2243" i="2"/>
  <c r="Q2243" i="2"/>
  <c r="R2239" i="2"/>
  <c r="AP2239" i="2" s="1"/>
  <c r="S2239" i="2"/>
  <c r="Q2239" i="2"/>
  <c r="R2235" i="2"/>
  <c r="AP2235" i="2" s="1"/>
  <c r="S2235" i="2"/>
  <c r="Q2235" i="2"/>
  <c r="R2231" i="2"/>
  <c r="AP2231" i="2" s="1"/>
  <c r="S2231" i="2"/>
  <c r="Q2231" i="2"/>
  <c r="R2227" i="2"/>
  <c r="AP2227" i="2" s="1"/>
  <c r="S2227" i="2"/>
  <c r="Q2227" i="2"/>
  <c r="R2223" i="2"/>
  <c r="AP2223" i="2" s="1"/>
  <c r="S2223" i="2"/>
  <c r="Q2223" i="2"/>
  <c r="R2219" i="2"/>
  <c r="AP2219" i="2" s="1"/>
  <c r="S2219" i="2"/>
  <c r="Q2219" i="2"/>
  <c r="R2215" i="2"/>
  <c r="AP2215" i="2" s="1"/>
  <c r="S2215" i="2"/>
  <c r="Q2215" i="2"/>
  <c r="R2211" i="2"/>
  <c r="AP2211" i="2" s="1"/>
  <c r="S2211" i="2"/>
  <c r="Q2211" i="2"/>
  <c r="R2207" i="2"/>
  <c r="AP2207" i="2" s="1"/>
  <c r="S2207" i="2"/>
  <c r="Q2207" i="2"/>
  <c r="R2203" i="2"/>
  <c r="AP2203" i="2" s="1"/>
  <c r="S2203" i="2"/>
  <c r="Q2203" i="2"/>
  <c r="BD2381" i="2"/>
  <c r="BD2373" i="2"/>
  <c r="AF2307" i="2"/>
  <c r="AA2307" i="2"/>
  <c r="AK2307" i="2"/>
  <c r="U2307" i="2"/>
  <c r="AF2299" i="2"/>
  <c r="AA2299" i="2"/>
  <c r="AK2299" i="2"/>
  <c r="U2299" i="2"/>
  <c r="AF2291" i="2"/>
  <c r="AA2291" i="2"/>
  <c r="AK2291" i="2"/>
  <c r="U2291" i="2"/>
  <c r="AF2283" i="2"/>
  <c r="AA2283" i="2"/>
  <c r="AK2283" i="2"/>
  <c r="U2283" i="2"/>
  <c r="AF2275" i="2"/>
  <c r="AA2275" i="2"/>
  <c r="AK2275" i="2"/>
  <c r="U2275" i="2"/>
  <c r="AF2267" i="2"/>
  <c r="AA2267" i="2"/>
  <c r="AK2267" i="2"/>
  <c r="U2267" i="2"/>
  <c r="AF2259" i="2"/>
  <c r="AA2259" i="2"/>
  <c r="AK2259" i="2"/>
  <c r="U2259" i="2"/>
  <c r="AF2251" i="2"/>
  <c r="AA2251" i="2"/>
  <c r="AK2251" i="2"/>
  <c r="U2251" i="2"/>
  <c r="BD2246" i="2"/>
  <c r="AF2243" i="2"/>
  <c r="AA2243" i="2"/>
  <c r="AK2243" i="2"/>
  <c r="U2243" i="2"/>
  <c r="AF2235" i="2"/>
  <c r="AA2235" i="2"/>
  <c r="AK2235" i="2"/>
  <c r="U2235" i="2"/>
  <c r="AF2227" i="2"/>
  <c r="AA2227" i="2"/>
  <c r="AK2227" i="2"/>
  <c r="U2227" i="2"/>
  <c r="AF2219" i="2"/>
  <c r="AA2219" i="2"/>
  <c r="AK2219" i="2"/>
  <c r="U2219" i="2"/>
  <c r="AF2211" i="2"/>
  <c r="AA2211" i="2"/>
  <c r="AK2211" i="2"/>
  <c r="U2211" i="2"/>
  <c r="AF2203" i="2"/>
  <c r="AA2203" i="2"/>
  <c r="AK2203" i="2"/>
  <c r="U2203" i="2"/>
  <c r="AA2192" i="2"/>
  <c r="AK2192" i="2"/>
  <c r="U2192" i="2"/>
  <c r="AF2192" i="2"/>
  <c r="Q2187" i="2"/>
  <c r="S2187" i="2"/>
  <c r="R2187" i="2"/>
  <c r="AP2187" i="2" s="1"/>
  <c r="AA2176" i="2"/>
  <c r="AK2176" i="2"/>
  <c r="U2176" i="2"/>
  <c r="AF2176" i="2"/>
  <c r="Q2171" i="2"/>
  <c r="S2171" i="2"/>
  <c r="R2171" i="2"/>
  <c r="AP2171" i="2" s="1"/>
  <c r="AA2160" i="2"/>
  <c r="AK2160" i="2"/>
  <c r="U2160" i="2"/>
  <c r="AF2160" i="2"/>
  <c r="Q2155" i="2"/>
  <c r="S2155" i="2"/>
  <c r="R2155" i="2"/>
  <c r="AP2155" i="2" s="1"/>
  <c r="Q2151" i="2"/>
  <c r="S2151" i="2"/>
  <c r="R2151" i="2"/>
  <c r="AP2151" i="2" s="1"/>
  <c r="AK2197" i="2"/>
  <c r="U2197" i="2"/>
  <c r="AF2197" i="2"/>
  <c r="AA2197" i="2"/>
  <c r="S2192" i="2"/>
  <c r="R2192" i="2"/>
  <c r="AP2192" i="2" s="1"/>
  <c r="Q2192" i="2"/>
  <c r="AK2181" i="2"/>
  <c r="U2181" i="2"/>
  <c r="AF2181" i="2"/>
  <c r="AA2181" i="2"/>
  <c r="S2176" i="2"/>
  <c r="R2176" i="2"/>
  <c r="AP2176" i="2" s="1"/>
  <c r="Q2176" i="2"/>
  <c r="AK2165" i="2"/>
  <c r="U2165" i="2"/>
  <c r="AF2165" i="2"/>
  <c r="AA2165" i="2"/>
  <c r="S2160" i="2"/>
  <c r="R2160" i="2"/>
  <c r="AP2160" i="2" s="1"/>
  <c r="Q2160" i="2"/>
  <c r="AA2190" i="2"/>
  <c r="AK2190" i="2"/>
  <c r="U2190" i="2"/>
  <c r="AF2190" i="2"/>
  <c r="Q2185" i="2"/>
  <c r="S2185" i="2"/>
  <c r="R2185" i="2"/>
  <c r="AP2185" i="2" s="1"/>
  <c r="AA2174" i="2"/>
  <c r="AK2174" i="2"/>
  <c r="U2174" i="2"/>
  <c r="AF2174" i="2"/>
  <c r="Q2169" i="2"/>
  <c r="S2169" i="2"/>
  <c r="R2169" i="2"/>
  <c r="AP2169" i="2" s="1"/>
  <c r="AA2158" i="2"/>
  <c r="AK2158" i="2"/>
  <c r="U2158" i="2"/>
  <c r="AF2158" i="2"/>
  <c r="Q2147" i="2"/>
  <c r="S2147" i="2"/>
  <c r="R2147" i="2"/>
  <c r="AP2147" i="2" s="1"/>
  <c r="AK2191" i="2"/>
  <c r="U2191" i="2"/>
  <c r="AF2191" i="2"/>
  <c r="AA2191" i="2"/>
  <c r="S2186" i="2"/>
  <c r="R2186" i="2"/>
  <c r="AP2186" i="2" s="1"/>
  <c r="Q2186" i="2"/>
  <c r="AK2175" i="2"/>
  <c r="U2175" i="2"/>
  <c r="AF2175" i="2"/>
  <c r="AA2175" i="2"/>
  <c r="S2170" i="2"/>
  <c r="R2170" i="2"/>
  <c r="AP2170" i="2" s="1"/>
  <c r="Q2170" i="2"/>
  <c r="AK2159" i="2"/>
  <c r="U2159" i="2"/>
  <c r="AF2159" i="2"/>
  <c r="AA2159" i="2"/>
  <c r="AA2148" i="2"/>
  <c r="AK2148" i="2"/>
  <c r="U2148" i="2"/>
  <c r="AF2148" i="2"/>
  <c r="AK2110" i="2"/>
  <c r="U2110" i="2"/>
  <c r="AF2110" i="2"/>
  <c r="AA2110" i="2"/>
  <c r="AF2104" i="2"/>
  <c r="AA2104" i="2"/>
  <c r="AK2104" i="2"/>
  <c r="U2104" i="2"/>
  <c r="AK2095" i="2"/>
  <c r="U2095" i="2"/>
  <c r="AF2095" i="2"/>
  <c r="AA2095" i="2"/>
  <c r="S2094" i="2"/>
  <c r="R2094" i="2"/>
  <c r="AP2094" i="2" s="1"/>
  <c r="Q2094" i="2"/>
  <c r="AF2088" i="2"/>
  <c r="AA2088" i="2"/>
  <c r="AK2088" i="2"/>
  <c r="U2088" i="2"/>
  <c r="AK2079" i="2"/>
  <c r="U2079" i="2"/>
  <c r="AF2079" i="2"/>
  <c r="AA2079" i="2"/>
  <c r="S2078" i="2"/>
  <c r="R2078" i="2"/>
  <c r="AP2078" i="2" s="1"/>
  <c r="Q2078" i="2"/>
  <c r="AF2072" i="2"/>
  <c r="AA2072" i="2"/>
  <c r="AK2072" i="2"/>
  <c r="U2072" i="2"/>
  <c r="AK2063" i="2"/>
  <c r="U2063" i="2"/>
  <c r="AF2063" i="2"/>
  <c r="AA2063" i="2"/>
  <c r="S2062" i="2"/>
  <c r="R2062" i="2"/>
  <c r="AP2062" i="2" s="1"/>
  <c r="Q2062" i="2"/>
  <c r="AF2056" i="2"/>
  <c r="AA2056" i="2"/>
  <c r="AK2056" i="2"/>
  <c r="U2056" i="2"/>
  <c r="AK2047" i="2"/>
  <c r="U2047" i="2"/>
  <c r="AF2047" i="2"/>
  <c r="AA2047" i="2"/>
  <c r="AA2044" i="2"/>
  <c r="AK2044" i="2"/>
  <c r="U2044" i="2"/>
  <c r="AF2044" i="2"/>
  <c r="AA2040" i="2"/>
  <c r="AF2040" i="2"/>
  <c r="AK2040" i="2"/>
  <c r="U2040" i="2"/>
  <c r="AA2036" i="2"/>
  <c r="AF2036" i="2"/>
  <c r="AK2036" i="2"/>
  <c r="U2036" i="2"/>
  <c r="AA2032" i="2"/>
  <c r="AF2032" i="2"/>
  <c r="AK2032" i="2"/>
  <c r="U2032" i="2"/>
  <c r="AA2028" i="2"/>
  <c r="AF2028" i="2"/>
  <c r="AK2028" i="2"/>
  <c r="U2028" i="2"/>
  <c r="AA2024" i="2"/>
  <c r="AF2024" i="2"/>
  <c r="AK2024" i="2"/>
  <c r="U2024" i="2"/>
  <c r="Q2114" i="2"/>
  <c r="S2114" i="2"/>
  <c r="R2114" i="2"/>
  <c r="AP2114" i="2" s="1"/>
  <c r="AA2111" i="2"/>
  <c r="AK2111" i="2"/>
  <c r="U2111" i="2"/>
  <c r="AF2111" i="2"/>
  <c r="S2042" i="2"/>
  <c r="R2042" i="2"/>
  <c r="AP2042" i="2" s="1"/>
  <c r="Q2042" i="2"/>
  <c r="AK2043" i="2"/>
  <c r="U2043" i="2"/>
  <c r="AF2043" i="2"/>
  <c r="AA2043" i="2"/>
  <c r="S2019" i="2"/>
  <c r="R2019" i="2"/>
  <c r="AP2019" i="2" s="1"/>
  <c r="Q2019" i="2"/>
  <c r="R2015" i="2"/>
  <c r="AP2015" i="2" s="1"/>
  <c r="Q2015" i="2"/>
  <c r="S2015" i="2"/>
  <c r="R2011" i="2"/>
  <c r="AP2011" i="2" s="1"/>
  <c r="Q2011" i="2"/>
  <c r="S2011" i="2"/>
  <c r="R2007" i="2"/>
  <c r="AP2007" i="2" s="1"/>
  <c r="Q2007" i="2"/>
  <c r="S2007" i="2"/>
  <c r="R2003" i="2"/>
  <c r="AP2003" i="2" s="1"/>
  <c r="Q2003" i="2"/>
  <c r="S2003" i="2"/>
  <c r="R1999" i="2"/>
  <c r="AP1999" i="2" s="1"/>
  <c r="Q1999" i="2"/>
  <c r="S1999" i="2"/>
  <c r="R1995" i="2"/>
  <c r="AP1995" i="2" s="1"/>
  <c r="Q1995" i="2"/>
  <c r="S1995" i="2"/>
  <c r="R1991" i="2"/>
  <c r="AP1991" i="2" s="1"/>
  <c r="Q1991" i="2"/>
  <c r="S1991" i="2"/>
  <c r="R1987" i="2"/>
  <c r="AP1987" i="2" s="1"/>
  <c r="Q1987" i="2"/>
  <c r="S1987" i="2"/>
  <c r="R1983" i="2"/>
  <c r="AP1983" i="2" s="1"/>
  <c r="Q1983" i="2"/>
  <c r="S1983" i="2"/>
  <c r="R1979" i="2"/>
  <c r="AP1979" i="2" s="1"/>
  <c r="Q1979" i="2"/>
  <c r="S1979" i="2"/>
  <c r="R1975" i="2"/>
  <c r="AP1975" i="2" s="1"/>
  <c r="Q1975" i="2"/>
  <c r="S1975" i="2"/>
  <c r="R1971" i="2"/>
  <c r="AP1971" i="2" s="1"/>
  <c r="Q1971" i="2"/>
  <c r="S1971" i="2"/>
  <c r="R1967" i="2"/>
  <c r="AP1967" i="2" s="1"/>
  <c r="Q1967" i="2"/>
  <c r="S1967" i="2"/>
  <c r="R1963" i="2"/>
  <c r="AP1963" i="2" s="1"/>
  <c r="Q1963" i="2"/>
  <c r="S1963" i="2"/>
  <c r="R1959" i="2"/>
  <c r="AP1959" i="2" s="1"/>
  <c r="Q1959" i="2"/>
  <c r="S1959" i="2"/>
  <c r="R1955" i="2"/>
  <c r="AP1955" i="2" s="1"/>
  <c r="Q1955" i="2"/>
  <c r="S1955" i="2"/>
  <c r="R1951" i="2"/>
  <c r="AP1951" i="2" s="1"/>
  <c r="Q1951" i="2"/>
  <c r="S1951" i="2"/>
  <c r="R1947" i="2"/>
  <c r="AP1947" i="2" s="1"/>
  <c r="Q1947" i="2"/>
  <c r="S1947" i="2"/>
  <c r="R1943" i="2"/>
  <c r="AP1943" i="2" s="1"/>
  <c r="Q1943" i="2"/>
  <c r="S1943" i="2"/>
  <c r="R1939" i="2"/>
  <c r="AP1939" i="2" s="1"/>
  <c r="Q1939" i="2"/>
  <c r="S1939" i="2"/>
  <c r="R1935" i="2"/>
  <c r="AP1935" i="2" s="1"/>
  <c r="Q1935" i="2"/>
  <c r="S1935" i="2"/>
  <c r="R1931" i="2"/>
  <c r="AP1931" i="2" s="1"/>
  <c r="Q1931" i="2"/>
  <c r="S1931" i="2"/>
  <c r="R1927" i="2"/>
  <c r="AP1927" i="2" s="1"/>
  <c r="Q1927" i="2"/>
  <c r="S1927" i="2"/>
  <c r="R1923" i="2"/>
  <c r="AP1923" i="2" s="1"/>
  <c r="Q1923" i="2"/>
  <c r="S1923" i="2"/>
  <c r="R1919" i="2"/>
  <c r="AP1919" i="2" s="1"/>
  <c r="Q1919" i="2"/>
  <c r="S1919" i="2"/>
  <c r="R1915" i="2"/>
  <c r="AP1915" i="2" s="1"/>
  <c r="Q1915" i="2"/>
  <c r="S1915" i="2"/>
  <c r="R1911" i="2"/>
  <c r="AP1911" i="2" s="1"/>
  <c r="Q1911" i="2"/>
  <c r="S1911" i="2"/>
  <c r="R1907" i="2"/>
  <c r="AP1907" i="2" s="1"/>
  <c r="Q1907" i="2"/>
  <c r="S1907" i="2"/>
  <c r="R1903" i="2"/>
  <c r="AP1903" i="2" s="1"/>
  <c r="Q1903" i="2"/>
  <c r="S1903" i="2"/>
  <c r="R1899" i="2"/>
  <c r="AP1899" i="2" s="1"/>
  <c r="Q1899" i="2"/>
  <c r="S1899" i="2"/>
  <c r="R1895" i="2"/>
  <c r="AP1895" i="2" s="1"/>
  <c r="Q1895" i="2"/>
  <c r="S1895" i="2"/>
  <c r="R1891" i="2"/>
  <c r="AP1891" i="2" s="1"/>
  <c r="Q1891" i="2"/>
  <c r="S1891" i="2"/>
  <c r="R1887" i="2"/>
  <c r="AP1887" i="2" s="1"/>
  <c r="Q1887" i="2"/>
  <c r="S1887" i="2"/>
  <c r="R1883" i="2"/>
  <c r="AP1883" i="2" s="1"/>
  <c r="Q1883" i="2"/>
  <c r="S1883" i="2"/>
  <c r="R1879" i="2"/>
  <c r="AP1879" i="2" s="1"/>
  <c r="Q1879" i="2"/>
  <c r="S1879" i="2"/>
  <c r="R1875" i="2"/>
  <c r="AP1875" i="2" s="1"/>
  <c r="Q1875" i="2"/>
  <c r="S1875" i="2"/>
  <c r="R1871" i="2"/>
  <c r="AP1871" i="2" s="1"/>
  <c r="Q1871" i="2"/>
  <c r="S1871" i="2"/>
  <c r="R1867" i="2"/>
  <c r="AP1867" i="2" s="1"/>
  <c r="Q1867" i="2"/>
  <c r="S1867" i="2"/>
  <c r="R1863" i="2"/>
  <c r="AP1863" i="2" s="1"/>
  <c r="Q1863" i="2"/>
  <c r="S1863" i="2"/>
  <c r="R1859" i="2"/>
  <c r="AP1859" i="2" s="1"/>
  <c r="Q1859" i="2"/>
  <c r="S1859" i="2"/>
  <c r="R1855" i="2"/>
  <c r="AP1855" i="2" s="1"/>
  <c r="Q1855" i="2"/>
  <c r="S1855" i="2"/>
  <c r="R1851" i="2"/>
  <c r="AP1851" i="2" s="1"/>
  <c r="Q1851" i="2"/>
  <c r="S1851" i="2"/>
  <c r="S1938" i="2"/>
  <c r="R1938" i="2"/>
  <c r="AP1938" i="2" s="1"/>
  <c r="Q1938" i="2"/>
  <c r="S1922" i="2"/>
  <c r="R1922" i="2"/>
  <c r="AP1922" i="2" s="1"/>
  <c r="Q1922" i="2"/>
  <c r="S1906" i="2"/>
  <c r="R1906" i="2"/>
  <c r="AP1906" i="2" s="1"/>
  <c r="Q1906" i="2"/>
  <c r="S1890" i="2"/>
  <c r="R1890" i="2"/>
  <c r="AP1890" i="2" s="1"/>
  <c r="Q1890" i="2"/>
  <c r="S1874" i="2"/>
  <c r="R1874" i="2"/>
  <c r="AP1874" i="2" s="1"/>
  <c r="Q1874" i="2"/>
  <c r="S1860" i="2"/>
  <c r="R1860" i="2"/>
  <c r="AP1860" i="2" s="1"/>
  <c r="Q1860" i="2"/>
  <c r="AF1858" i="2"/>
  <c r="AA1858" i="2"/>
  <c r="AK1858" i="2"/>
  <c r="U1858" i="2"/>
  <c r="S1856" i="2"/>
  <c r="R1856" i="2"/>
  <c r="AP1856" i="2" s="1"/>
  <c r="Q1856" i="2"/>
  <c r="AF1854" i="2"/>
  <c r="AA1854" i="2"/>
  <c r="AK1854" i="2"/>
  <c r="U1854" i="2"/>
  <c r="S1852" i="2"/>
  <c r="R1852" i="2"/>
  <c r="AP1852" i="2" s="1"/>
  <c r="Q1852" i="2"/>
  <c r="AF1850" i="2"/>
  <c r="AA1850" i="2"/>
  <c r="AK1850" i="2"/>
  <c r="U1850" i="2"/>
  <c r="AK1845" i="2"/>
  <c r="U1845" i="2"/>
  <c r="AF1845" i="2"/>
  <c r="AA1845" i="2"/>
  <c r="AK1841" i="2"/>
  <c r="U1841" i="2"/>
  <c r="AF1841" i="2"/>
  <c r="AA1841" i="2"/>
  <c r="AK1837" i="2"/>
  <c r="U1837" i="2"/>
  <c r="AF1837" i="2"/>
  <c r="AA1837" i="2"/>
  <c r="AK1833" i="2"/>
  <c r="U1833" i="2"/>
  <c r="AF1833" i="2"/>
  <c r="AA1833" i="2"/>
  <c r="Q1831" i="2"/>
  <c r="S1831" i="2"/>
  <c r="R1831" i="2"/>
  <c r="AP1831" i="2" s="1"/>
  <c r="S1826" i="2"/>
  <c r="R1826" i="2"/>
  <c r="AP1826" i="2" s="1"/>
  <c r="Q1826" i="2"/>
  <c r="AA1824" i="2"/>
  <c r="AF1824" i="2"/>
  <c r="U1824" i="2"/>
  <c r="AK1824" i="2"/>
  <c r="AK1817" i="2"/>
  <c r="U1817" i="2"/>
  <c r="AF1817" i="2"/>
  <c r="AA1817" i="2"/>
  <c r="Q1815" i="2"/>
  <c r="S1815" i="2"/>
  <c r="R1815" i="2"/>
  <c r="AP1815" i="2" s="1"/>
  <c r="S1810" i="2"/>
  <c r="R1810" i="2"/>
  <c r="AP1810" i="2" s="1"/>
  <c r="Q1810" i="2"/>
  <c r="AA1808" i="2"/>
  <c r="AF1808" i="2"/>
  <c r="U1808" i="2"/>
  <c r="AK1808" i="2"/>
  <c r="S1806" i="2"/>
  <c r="R1806" i="2"/>
  <c r="AP1806" i="2" s="1"/>
  <c r="Q1806" i="2"/>
  <c r="AA1804" i="2"/>
  <c r="AF1804" i="2"/>
  <c r="U1804" i="2"/>
  <c r="AK1804" i="2"/>
  <c r="S1802" i="2"/>
  <c r="R1802" i="2"/>
  <c r="AP1802" i="2" s="1"/>
  <c r="Q1802" i="2"/>
  <c r="AA1800" i="2"/>
  <c r="AF1800" i="2"/>
  <c r="U1800" i="2"/>
  <c r="AK1800" i="2"/>
  <c r="S1798" i="2"/>
  <c r="R1798" i="2"/>
  <c r="AP1798" i="2" s="1"/>
  <c r="Q1798" i="2"/>
  <c r="AA1796" i="2"/>
  <c r="AF1796" i="2"/>
  <c r="U1796" i="2"/>
  <c r="AK1796" i="2"/>
  <c r="S1794" i="2"/>
  <c r="R1794" i="2"/>
  <c r="AP1794" i="2" s="1"/>
  <c r="Q1794" i="2"/>
  <c r="AA1792" i="2"/>
  <c r="AF1792" i="2"/>
  <c r="U1792" i="2"/>
  <c r="AK1792" i="2"/>
  <c r="S1790" i="2"/>
  <c r="R1790" i="2"/>
  <c r="AP1790" i="2" s="1"/>
  <c r="Q1790" i="2"/>
  <c r="AA1788" i="2"/>
  <c r="AF1788" i="2"/>
  <c r="U1788" i="2"/>
  <c r="AK1788" i="2"/>
  <c r="S1786" i="2"/>
  <c r="R1786" i="2"/>
  <c r="AP1786" i="2" s="1"/>
  <c r="Q1786" i="2"/>
  <c r="AA1784" i="2"/>
  <c r="AF1784" i="2"/>
  <c r="U1784" i="2"/>
  <c r="AK1784" i="2"/>
  <c r="S1782" i="2"/>
  <c r="R1782" i="2"/>
  <c r="AP1782" i="2" s="1"/>
  <c r="Q1782" i="2"/>
  <c r="AA1780" i="2"/>
  <c r="AF1780" i="2"/>
  <c r="U1780" i="2"/>
  <c r="AK1780" i="2"/>
  <c r="S1778" i="2"/>
  <c r="R1778" i="2"/>
  <c r="AP1778" i="2" s="1"/>
  <c r="Q1778" i="2"/>
  <c r="AA1776" i="2"/>
  <c r="AF1776" i="2"/>
  <c r="U1776" i="2"/>
  <c r="AK1776" i="2"/>
  <c r="S1774" i="2"/>
  <c r="R1774" i="2"/>
  <c r="AP1774" i="2" s="1"/>
  <c r="Q1774" i="2"/>
  <c r="AA1772" i="2"/>
  <c r="AF1772" i="2"/>
  <c r="U1772" i="2"/>
  <c r="AK1772" i="2"/>
  <c r="S1770" i="2"/>
  <c r="R1770" i="2"/>
  <c r="AP1770" i="2" s="1"/>
  <c r="Q1770" i="2"/>
  <c r="AA1768" i="2"/>
  <c r="AF1768" i="2"/>
  <c r="U1768" i="2"/>
  <c r="AK1768" i="2"/>
  <c r="S1766" i="2"/>
  <c r="R1766" i="2"/>
  <c r="AP1766" i="2" s="1"/>
  <c r="Q1766" i="2"/>
  <c r="AA1764" i="2"/>
  <c r="AF1764" i="2"/>
  <c r="U1764" i="2"/>
  <c r="AK1764" i="2"/>
  <c r="S1762" i="2"/>
  <c r="R1762" i="2"/>
  <c r="AP1762" i="2" s="1"/>
  <c r="Q1762" i="2"/>
  <c r="AA1760" i="2"/>
  <c r="AF1760" i="2"/>
  <c r="U1760" i="2"/>
  <c r="AK1760" i="2"/>
  <c r="S1758" i="2"/>
  <c r="R1758" i="2"/>
  <c r="AP1758" i="2" s="1"/>
  <c r="Q1758" i="2"/>
  <c r="AF1749" i="2"/>
  <c r="AK1749" i="2"/>
  <c r="U1749" i="2"/>
  <c r="AA1749" i="2"/>
  <c r="AF1733" i="2"/>
  <c r="AK1733" i="2"/>
  <c r="U1733" i="2"/>
  <c r="AA1733" i="2"/>
  <c r="AF1717" i="2"/>
  <c r="AK1717" i="2"/>
  <c r="U1717" i="2"/>
  <c r="AA1717" i="2"/>
  <c r="AF1701" i="2"/>
  <c r="AK1701" i="2"/>
  <c r="U1701" i="2"/>
  <c r="AA1701" i="2"/>
  <c r="AF1685" i="2"/>
  <c r="AK1685" i="2"/>
  <c r="U1685" i="2"/>
  <c r="AA1685" i="2"/>
  <c r="AF1669" i="2"/>
  <c r="AK1669" i="2"/>
  <c r="U1669" i="2"/>
  <c r="AA1669" i="2"/>
  <c r="AK1947" i="2"/>
  <c r="U1947" i="2"/>
  <c r="AF1947" i="2"/>
  <c r="AA1947" i="2"/>
  <c r="AK1939" i="2"/>
  <c r="U1939" i="2"/>
  <c r="AF1939" i="2"/>
  <c r="AA1939" i="2"/>
  <c r="AK1931" i="2"/>
  <c r="U1931" i="2"/>
  <c r="AF1931" i="2"/>
  <c r="AA1931" i="2"/>
  <c r="AK1923" i="2"/>
  <c r="U1923" i="2"/>
  <c r="AF1923" i="2"/>
  <c r="AA1923" i="2"/>
  <c r="AK1915" i="2"/>
  <c r="U1915" i="2"/>
  <c r="AF1915" i="2"/>
  <c r="AA1915" i="2"/>
  <c r="AK1907" i="2"/>
  <c r="U1907" i="2"/>
  <c r="AF1907" i="2"/>
  <c r="AA1907" i="2"/>
  <c r="AK1899" i="2"/>
  <c r="U1899" i="2"/>
  <c r="AF1899" i="2"/>
  <c r="AA1899" i="2"/>
  <c r="AK1891" i="2"/>
  <c r="U1891" i="2"/>
  <c r="AF1891" i="2"/>
  <c r="AA1891" i="2"/>
  <c r="AK1883" i="2"/>
  <c r="U1883" i="2"/>
  <c r="AF1883" i="2"/>
  <c r="AA1883" i="2"/>
  <c r="AK1875" i="2"/>
  <c r="U1875" i="2"/>
  <c r="AF1875" i="2"/>
  <c r="AA1875" i="2"/>
  <c r="AK1867" i="2"/>
  <c r="U1867" i="2"/>
  <c r="AF1867" i="2"/>
  <c r="AA1867" i="2"/>
  <c r="AK1847" i="2"/>
  <c r="U1847" i="2"/>
  <c r="AF1847" i="2"/>
  <c r="AA1847" i="2"/>
  <c r="AA1838" i="2"/>
  <c r="AK1838" i="2"/>
  <c r="AF1838" i="2"/>
  <c r="U1838" i="2"/>
  <c r="R1747" i="2"/>
  <c r="AP1747" i="2" s="1"/>
  <c r="S1747" i="2"/>
  <c r="Q1747" i="2"/>
  <c r="AF1742" i="2"/>
  <c r="AK1742" i="2"/>
  <c r="U1742" i="2"/>
  <c r="AA1742" i="2"/>
  <c r="R1731" i="2"/>
  <c r="AP1731" i="2" s="1"/>
  <c r="S1731" i="2"/>
  <c r="Q1731" i="2"/>
  <c r="AF1726" i="2"/>
  <c r="AK1726" i="2"/>
  <c r="U1726" i="2"/>
  <c r="AA1726" i="2"/>
  <c r="R1715" i="2"/>
  <c r="AP1715" i="2" s="1"/>
  <c r="S1715" i="2"/>
  <c r="Q1715" i="2"/>
  <c r="AF1710" i="2"/>
  <c r="AK1710" i="2"/>
  <c r="U1710" i="2"/>
  <c r="AA1710" i="2"/>
  <c r="R1699" i="2"/>
  <c r="AP1699" i="2" s="1"/>
  <c r="S1699" i="2"/>
  <c r="Q1699" i="2"/>
  <c r="AF1694" i="2"/>
  <c r="AK1694" i="2"/>
  <c r="U1694" i="2"/>
  <c r="AA1694" i="2"/>
  <c r="R1683" i="2"/>
  <c r="AP1683" i="2" s="1"/>
  <c r="S1683" i="2"/>
  <c r="Q1683" i="2"/>
  <c r="AF1678" i="2"/>
  <c r="AK1678" i="2"/>
  <c r="U1678" i="2"/>
  <c r="AA1678" i="2"/>
  <c r="Q1829" i="2"/>
  <c r="R1829" i="2"/>
  <c r="AP1829" i="2" s="1"/>
  <c r="S1829" i="2"/>
  <c r="Q1813" i="2"/>
  <c r="R1813" i="2"/>
  <c r="AP1813" i="2" s="1"/>
  <c r="S1813" i="2"/>
  <c r="AQ1799" i="2"/>
  <c r="AV1799" i="2" s="1"/>
  <c r="BE1799" i="2" s="1"/>
  <c r="Q1797" i="2"/>
  <c r="R1797" i="2"/>
  <c r="AP1797" i="2" s="1"/>
  <c r="S1797" i="2"/>
  <c r="Q1781" i="2"/>
  <c r="R1781" i="2"/>
  <c r="AP1781" i="2" s="1"/>
  <c r="S1781" i="2"/>
  <c r="Q1765" i="2"/>
  <c r="R1765" i="2"/>
  <c r="AP1765" i="2" s="1"/>
  <c r="S1765" i="2"/>
  <c r="AG1759" i="2"/>
  <c r="AL1759" i="2"/>
  <c r="V1759" i="2"/>
  <c r="AB1759" i="2"/>
  <c r="AK1668" i="2"/>
  <c r="U1668" i="2"/>
  <c r="AF1668" i="2"/>
  <c r="AA1668" i="2"/>
  <c r="AK1666" i="2"/>
  <c r="U1666" i="2"/>
  <c r="AF1666" i="2"/>
  <c r="AA1666" i="2"/>
  <c r="R1660" i="2"/>
  <c r="AP1660" i="2" s="1"/>
  <c r="Q1660" i="2"/>
  <c r="S1660" i="2"/>
  <c r="AF1657" i="2"/>
  <c r="AA1657" i="2"/>
  <c r="AK1657" i="2"/>
  <c r="U1657" i="2"/>
  <c r="AK1650" i="2"/>
  <c r="U1650" i="2"/>
  <c r="AF1650" i="2"/>
  <c r="AA1650" i="2"/>
  <c r="R1644" i="2"/>
  <c r="AP1644" i="2" s="1"/>
  <c r="Q1644" i="2"/>
  <c r="S1644" i="2"/>
  <c r="AF1641" i="2"/>
  <c r="AA1641" i="2"/>
  <c r="AK1641" i="2"/>
  <c r="U1641" i="2"/>
  <c r="AK1634" i="2"/>
  <c r="U1634" i="2"/>
  <c r="AF1634" i="2"/>
  <c r="AA1634" i="2"/>
  <c r="R1628" i="2"/>
  <c r="AP1628" i="2" s="1"/>
  <c r="Q1628" i="2"/>
  <c r="S1628" i="2"/>
  <c r="AF1625" i="2"/>
  <c r="AA1625" i="2"/>
  <c r="AK1625" i="2"/>
  <c r="U1625" i="2"/>
  <c r="AK1618" i="2"/>
  <c r="U1618" i="2"/>
  <c r="AF1618" i="2"/>
  <c r="AA1618" i="2"/>
  <c r="R1612" i="2"/>
  <c r="AP1612" i="2" s="1"/>
  <c r="Q1612" i="2"/>
  <c r="S1612" i="2"/>
  <c r="AF1609" i="2"/>
  <c r="AA1609" i="2"/>
  <c r="AK1609" i="2"/>
  <c r="U1609" i="2"/>
  <c r="AK1602" i="2"/>
  <c r="U1602" i="2"/>
  <c r="AF1602" i="2"/>
  <c r="AA1602" i="2"/>
  <c r="R1596" i="2"/>
  <c r="AP1596" i="2" s="1"/>
  <c r="Q1596" i="2"/>
  <c r="S1596" i="2"/>
  <c r="AF1593" i="2"/>
  <c r="AA1593" i="2"/>
  <c r="AK1593" i="2"/>
  <c r="U1593" i="2"/>
  <c r="AF1585" i="2"/>
  <c r="AA1585" i="2"/>
  <c r="AK1585" i="2"/>
  <c r="U1585" i="2"/>
  <c r="AF1579" i="2"/>
  <c r="AK1579" i="2"/>
  <c r="U1579" i="2"/>
  <c r="AA1579" i="2"/>
  <c r="R1578" i="2"/>
  <c r="AP1578" i="2" s="1"/>
  <c r="S1578" i="2"/>
  <c r="Q1578" i="2"/>
  <c r="AF1575" i="2"/>
  <c r="AK1575" i="2"/>
  <c r="U1575" i="2"/>
  <c r="AA1575" i="2"/>
  <c r="R1574" i="2"/>
  <c r="AP1574" i="2" s="1"/>
  <c r="S1574" i="2"/>
  <c r="Q1574" i="2"/>
  <c r="AF1571" i="2"/>
  <c r="AK1571" i="2"/>
  <c r="U1571" i="2"/>
  <c r="AA1571" i="2"/>
  <c r="R1570" i="2"/>
  <c r="AP1570" i="2" s="1"/>
  <c r="S1570" i="2"/>
  <c r="Q1570" i="2"/>
  <c r="AF1567" i="2"/>
  <c r="AK1567" i="2"/>
  <c r="U1567" i="2"/>
  <c r="AA1567" i="2"/>
  <c r="R1566" i="2"/>
  <c r="AP1566" i="2" s="1"/>
  <c r="S1566" i="2"/>
  <c r="Q1566" i="2"/>
  <c r="AF1563" i="2"/>
  <c r="AK1563" i="2"/>
  <c r="U1563" i="2"/>
  <c r="AA1563" i="2"/>
  <c r="R1562" i="2"/>
  <c r="AP1562" i="2" s="1"/>
  <c r="S1562" i="2"/>
  <c r="Q1562" i="2"/>
  <c r="AF1559" i="2"/>
  <c r="AK1559" i="2"/>
  <c r="U1559" i="2"/>
  <c r="AA1559" i="2"/>
  <c r="R1558" i="2"/>
  <c r="AP1558" i="2" s="1"/>
  <c r="S1558" i="2"/>
  <c r="Q1558" i="2"/>
  <c r="AF1555" i="2"/>
  <c r="AK1555" i="2"/>
  <c r="U1555" i="2"/>
  <c r="AA1555" i="2"/>
  <c r="R1554" i="2"/>
  <c r="AP1554" i="2" s="1"/>
  <c r="S1554" i="2"/>
  <c r="Q1554" i="2"/>
  <c r="AF1551" i="2"/>
  <c r="AK1551" i="2"/>
  <c r="U1551" i="2"/>
  <c r="AA1551" i="2"/>
  <c r="R1550" i="2"/>
  <c r="AP1550" i="2" s="1"/>
  <c r="S1550" i="2"/>
  <c r="Q1550" i="2"/>
  <c r="AF1547" i="2"/>
  <c r="AK1547" i="2"/>
  <c r="U1547" i="2"/>
  <c r="AA1547" i="2"/>
  <c r="AF1440" i="2"/>
  <c r="AA1440" i="2"/>
  <c r="AK1440" i="2"/>
  <c r="U1440" i="2"/>
  <c r="AF1435" i="2"/>
  <c r="AK1435" i="2"/>
  <c r="U1435" i="2"/>
  <c r="AA1435" i="2"/>
  <c r="R1434" i="2"/>
  <c r="AP1434" i="2" s="1"/>
  <c r="S1434" i="2"/>
  <c r="Q1434" i="2"/>
  <c r="AF1431" i="2"/>
  <c r="AK1431" i="2"/>
  <c r="U1431" i="2"/>
  <c r="AA1431" i="2"/>
  <c r="R1430" i="2"/>
  <c r="AP1430" i="2" s="1"/>
  <c r="S1430" i="2"/>
  <c r="Q1430" i="2"/>
  <c r="AF1427" i="2"/>
  <c r="AK1427" i="2"/>
  <c r="U1427" i="2"/>
  <c r="AA1427" i="2"/>
  <c r="R1426" i="2"/>
  <c r="AP1426" i="2" s="1"/>
  <c r="S1426" i="2"/>
  <c r="Q1426" i="2"/>
  <c r="AF1423" i="2"/>
  <c r="AK1423" i="2"/>
  <c r="U1423" i="2"/>
  <c r="AA1423" i="2"/>
  <c r="R1422" i="2"/>
  <c r="AP1422" i="2" s="1"/>
  <c r="S1422" i="2"/>
  <c r="Q1422" i="2"/>
  <c r="AF1419" i="2"/>
  <c r="AK1419" i="2"/>
  <c r="U1419" i="2"/>
  <c r="AA1419" i="2"/>
  <c r="R1418" i="2"/>
  <c r="AP1418" i="2" s="1"/>
  <c r="S1418" i="2"/>
  <c r="Q1418" i="2"/>
  <c r="AF1415" i="2"/>
  <c r="AK1415" i="2"/>
  <c r="U1415" i="2"/>
  <c r="AA1415" i="2"/>
  <c r="R1414" i="2"/>
  <c r="AP1414" i="2" s="1"/>
  <c r="S1414" i="2"/>
  <c r="Q1414" i="2"/>
  <c r="AF1411" i="2"/>
  <c r="AK1411" i="2"/>
  <c r="U1411" i="2"/>
  <c r="AA1411" i="2"/>
  <c r="R1410" i="2"/>
  <c r="AP1410" i="2" s="1"/>
  <c r="S1410" i="2"/>
  <c r="Q1410" i="2"/>
  <c r="AF1407" i="2"/>
  <c r="AK1407" i="2"/>
  <c r="U1407" i="2"/>
  <c r="AA1407" i="2"/>
  <c r="R1406" i="2"/>
  <c r="AP1406" i="2" s="1"/>
  <c r="S1406" i="2"/>
  <c r="Q1406" i="2"/>
  <c r="AF1403" i="2"/>
  <c r="AK1403" i="2"/>
  <c r="U1403" i="2"/>
  <c r="AA1403" i="2"/>
  <c r="R1402" i="2"/>
  <c r="AP1402" i="2" s="1"/>
  <c r="S1402" i="2"/>
  <c r="Q1402" i="2"/>
  <c r="AF1399" i="2"/>
  <c r="AK1399" i="2"/>
  <c r="U1399" i="2"/>
  <c r="AA1399" i="2"/>
  <c r="R1398" i="2"/>
  <c r="AP1398" i="2" s="1"/>
  <c r="S1398" i="2"/>
  <c r="Q1398" i="2"/>
  <c r="AF1395" i="2"/>
  <c r="AK1395" i="2"/>
  <c r="U1395" i="2"/>
  <c r="AA1395" i="2"/>
  <c r="R1394" i="2"/>
  <c r="AP1394" i="2" s="1"/>
  <c r="S1394" i="2"/>
  <c r="Q1394" i="2"/>
  <c r="AF1386" i="2"/>
  <c r="AA1386" i="2"/>
  <c r="AK1386" i="2"/>
  <c r="U1386" i="2"/>
  <c r="S1378" i="2"/>
  <c r="R1378" i="2"/>
  <c r="AP1378" i="2" s="1"/>
  <c r="Q1378" i="2"/>
  <c r="AF1538" i="2"/>
  <c r="AA1538" i="2"/>
  <c r="AK1538" i="2"/>
  <c r="U1538" i="2"/>
  <c r="AF1529" i="2"/>
  <c r="AK1529" i="2"/>
  <c r="U1529" i="2"/>
  <c r="AA1529" i="2"/>
  <c r="R1528" i="2"/>
  <c r="AP1528" i="2" s="1"/>
  <c r="S1528" i="2"/>
  <c r="Q1528" i="2"/>
  <c r="AF1514" i="2"/>
  <c r="AA1514" i="2"/>
  <c r="AK1514" i="2"/>
  <c r="U1514" i="2"/>
  <c r="AF1510" i="2"/>
  <c r="AA1510" i="2"/>
  <c r="AK1510" i="2"/>
  <c r="U1510" i="2"/>
  <c r="AF1500" i="2"/>
  <c r="AA1500" i="2"/>
  <c r="AK1500" i="2"/>
  <c r="U1500" i="2"/>
  <c r="AF1496" i="2"/>
  <c r="AA1496" i="2"/>
  <c r="AK1496" i="2"/>
  <c r="U1496" i="2"/>
  <c r="AF1482" i="2"/>
  <c r="AA1482" i="2"/>
  <c r="AK1482" i="2"/>
  <c r="U1482" i="2"/>
  <c r="AF1478" i="2"/>
  <c r="AA1478" i="2"/>
  <c r="AK1478" i="2"/>
  <c r="U1478" i="2"/>
  <c r="R1476" i="2"/>
  <c r="AP1476" i="2" s="1"/>
  <c r="S1476" i="2"/>
  <c r="Q1476" i="2"/>
  <c r="AK1379" i="2"/>
  <c r="U1379" i="2"/>
  <c r="AA1379" i="2"/>
  <c r="AF1379" i="2"/>
  <c r="AF1663" i="2"/>
  <c r="AA1663" i="2"/>
  <c r="AK1663" i="2"/>
  <c r="U1663" i="2"/>
  <c r="AK1656" i="2"/>
  <c r="U1656" i="2"/>
  <c r="AF1656" i="2"/>
  <c r="AA1656" i="2"/>
  <c r="R1650" i="2"/>
  <c r="AP1650" i="2" s="1"/>
  <c r="Q1650" i="2"/>
  <c r="S1650" i="2"/>
  <c r="AF1647" i="2"/>
  <c r="AA1647" i="2"/>
  <c r="AK1647" i="2"/>
  <c r="U1647" i="2"/>
  <c r="AK1640" i="2"/>
  <c r="U1640" i="2"/>
  <c r="AF1640" i="2"/>
  <c r="AA1640" i="2"/>
  <c r="R1634" i="2"/>
  <c r="AP1634" i="2" s="1"/>
  <c r="Q1634" i="2"/>
  <c r="S1634" i="2"/>
  <c r="AF1631" i="2"/>
  <c r="AA1631" i="2"/>
  <c r="AK1631" i="2"/>
  <c r="U1631" i="2"/>
  <c r="AK1624" i="2"/>
  <c r="U1624" i="2"/>
  <c r="AF1624" i="2"/>
  <c r="AA1624" i="2"/>
  <c r="R1618" i="2"/>
  <c r="AP1618" i="2" s="1"/>
  <c r="Q1618" i="2"/>
  <c r="S1618" i="2"/>
  <c r="AF1615" i="2"/>
  <c r="AA1615" i="2"/>
  <c r="AK1615" i="2"/>
  <c r="U1615" i="2"/>
  <c r="AK1608" i="2"/>
  <c r="U1608" i="2"/>
  <c r="AF1608" i="2"/>
  <c r="AA1608" i="2"/>
  <c r="R1602" i="2"/>
  <c r="AP1602" i="2" s="1"/>
  <c r="Q1602" i="2"/>
  <c r="S1602" i="2"/>
  <c r="AF1599" i="2"/>
  <c r="AA1599" i="2"/>
  <c r="AK1599" i="2"/>
  <c r="U1599" i="2"/>
  <c r="AK1592" i="2"/>
  <c r="U1592" i="2"/>
  <c r="AF1592" i="2"/>
  <c r="AA1592" i="2"/>
  <c r="AK1584" i="2"/>
  <c r="U1584" i="2"/>
  <c r="AF1584" i="2"/>
  <c r="AA1584" i="2"/>
  <c r="R1497" i="2"/>
  <c r="AP1497" i="2" s="1"/>
  <c r="Q1497" i="2"/>
  <c r="S1497" i="2"/>
  <c r="R1493" i="2"/>
  <c r="AP1493" i="2" s="1"/>
  <c r="Q1493" i="2"/>
  <c r="S1493" i="2"/>
  <c r="BD1625" i="2"/>
  <c r="BD1593" i="2"/>
  <c r="AF1544" i="2"/>
  <c r="AA1544" i="2"/>
  <c r="AK1544" i="2"/>
  <c r="U1544" i="2"/>
  <c r="AF1540" i="2"/>
  <c r="AA1540" i="2"/>
  <c r="AK1540" i="2"/>
  <c r="U1540" i="2"/>
  <c r="AF1536" i="2"/>
  <c r="AA1536" i="2"/>
  <c r="AK1536" i="2"/>
  <c r="U1536" i="2"/>
  <c r="AF1532" i="2"/>
  <c r="AA1532" i="2"/>
  <c r="AK1532" i="2"/>
  <c r="U1532" i="2"/>
  <c r="AF1528" i="2"/>
  <c r="AA1528" i="2"/>
  <c r="AK1528" i="2"/>
  <c r="U1528" i="2"/>
  <c r="AF1524" i="2"/>
  <c r="AA1524" i="2"/>
  <c r="AK1524" i="2"/>
  <c r="U1524" i="2"/>
  <c r="AF1520" i="2"/>
  <c r="AA1520" i="2"/>
  <c r="AK1520" i="2"/>
  <c r="U1520" i="2"/>
  <c r="AF1516" i="2"/>
  <c r="AA1516" i="2"/>
  <c r="AK1516" i="2"/>
  <c r="U1516" i="2"/>
  <c r="AF1512" i="2"/>
  <c r="AA1512" i="2"/>
  <c r="AK1512" i="2"/>
  <c r="U1512" i="2"/>
  <c r="AF1508" i="2"/>
  <c r="AA1508" i="2"/>
  <c r="AK1508" i="2"/>
  <c r="U1508" i="2"/>
  <c r="AF1498" i="2"/>
  <c r="AA1498" i="2"/>
  <c r="AK1498" i="2"/>
  <c r="U1498" i="2"/>
  <c r="AF1494" i="2"/>
  <c r="AA1494" i="2"/>
  <c r="AK1494" i="2"/>
  <c r="U1494" i="2"/>
  <c r="AF1490" i="2"/>
  <c r="AA1490" i="2"/>
  <c r="AK1490" i="2"/>
  <c r="U1490" i="2"/>
  <c r="R1488" i="2"/>
  <c r="AP1488" i="2" s="1"/>
  <c r="S1488" i="2"/>
  <c r="Q1488" i="2"/>
  <c r="AF1484" i="2"/>
  <c r="AA1484" i="2"/>
  <c r="AK1484" i="2"/>
  <c r="U1484" i="2"/>
  <c r="AF1479" i="2"/>
  <c r="AK1479" i="2"/>
  <c r="U1479" i="2"/>
  <c r="AA1479" i="2"/>
  <c r="R1478" i="2"/>
  <c r="AP1478" i="2" s="1"/>
  <c r="S1478" i="2"/>
  <c r="Q1478" i="2"/>
  <c r="R1439" i="2"/>
  <c r="AP1439" i="2" s="1"/>
  <c r="Q1439" i="2"/>
  <c r="S1439" i="2"/>
  <c r="R1435" i="2"/>
  <c r="AP1435" i="2" s="1"/>
  <c r="Q1435" i="2"/>
  <c r="S1435" i="2"/>
  <c r="R1431" i="2"/>
  <c r="AP1431" i="2" s="1"/>
  <c r="Q1431" i="2"/>
  <c r="S1431" i="2"/>
  <c r="R1427" i="2"/>
  <c r="AP1427" i="2" s="1"/>
  <c r="Q1427" i="2"/>
  <c r="S1427" i="2"/>
  <c r="R1423" i="2"/>
  <c r="AP1423" i="2" s="1"/>
  <c r="Q1423" i="2"/>
  <c r="S1423" i="2"/>
  <c r="R1419" i="2"/>
  <c r="AP1419" i="2" s="1"/>
  <c r="Q1419" i="2"/>
  <c r="S1419" i="2"/>
  <c r="R1415" i="2"/>
  <c r="AP1415" i="2" s="1"/>
  <c r="Q1415" i="2"/>
  <c r="S1415" i="2"/>
  <c r="R1411" i="2"/>
  <c r="AP1411" i="2" s="1"/>
  <c r="Q1411" i="2"/>
  <c r="S1411" i="2"/>
  <c r="R1407" i="2"/>
  <c r="AP1407" i="2" s="1"/>
  <c r="Q1407" i="2"/>
  <c r="S1407" i="2"/>
  <c r="R1403" i="2"/>
  <c r="AP1403" i="2" s="1"/>
  <c r="Q1403" i="2"/>
  <c r="S1403" i="2"/>
  <c r="R1399" i="2"/>
  <c r="AP1399" i="2" s="1"/>
  <c r="Q1399" i="2"/>
  <c r="S1399" i="2"/>
  <c r="R1395" i="2"/>
  <c r="AP1395" i="2" s="1"/>
  <c r="Q1395" i="2"/>
  <c r="S1395" i="2"/>
  <c r="AK1383" i="2"/>
  <c r="U1383" i="2"/>
  <c r="AA1383" i="2"/>
  <c r="AF1383" i="2"/>
  <c r="S1369" i="2"/>
  <c r="R1369" i="2"/>
  <c r="AP1369" i="2" s="1"/>
  <c r="Q1369" i="2"/>
  <c r="AK1358" i="2"/>
  <c r="U1358" i="2"/>
  <c r="AF1358" i="2"/>
  <c r="AA1358" i="2"/>
  <c r="S1353" i="2"/>
  <c r="R1353" i="2"/>
  <c r="AP1353" i="2" s="1"/>
  <c r="Q1353" i="2"/>
  <c r="AK1342" i="2"/>
  <c r="U1342" i="2"/>
  <c r="AF1342" i="2"/>
  <c r="AA1342" i="2"/>
  <c r="S1337" i="2"/>
  <c r="R1337" i="2"/>
  <c r="AP1337" i="2" s="1"/>
  <c r="Q1337" i="2"/>
  <c r="AK1326" i="2"/>
  <c r="U1326" i="2"/>
  <c r="AF1326" i="2"/>
  <c r="AA1326" i="2"/>
  <c r="S1321" i="2"/>
  <c r="R1321" i="2"/>
  <c r="AP1321" i="2" s="1"/>
  <c r="Q1321" i="2"/>
  <c r="AK1310" i="2"/>
  <c r="U1310" i="2"/>
  <c r="AF1310" i="2"/>
  <c r="AA1310" i="2"/>
  <c r="S1305" i="2"/>
  <c r="R1305" i="2"/>
  <c r="AP1305" i="2" s="1"/>
  <c r="Q1305" i="2"/>
  <c r="AK1294" i="2"/>
  <c r="U1294" i="2"/>
  <c r="AF1294" i="2"/>
  <c r="AA1294" i="2"/>
  <c r="S1289" i="2"/>
  <c r="R1289" i="2"/>
  <c r="AP1289" i="2" s="1"/>
  <c r="Q1289" i="2"/>
  <c r="AK1278" i="2"/>
  <c r="U1278" i="2"/>
  <c r="AF1278" i="2"/>
  <c r="AA1278" i="2"/>
  <c r="S1273" i="2"/>
  <c r="R1273" i="2"/>
  <c r="AP1273" i="2" s="1"/>
  <c r="Q1273" i="2"/>
  <c r="AK1262" i="2"/>
  <c r="U1262" i="2"/>
  <c r="AF1262" i="2"/>
  <c r="AA1262" i="2"/>
  <c r="S1257" i="2"/>
  <c r="R1257" i="2"/>
  <c r="AP1257" i="2" s="1"/>
  <c r="Q1257" i="2"/>
  <c r="AK1246" i="2"/>
  <c r="U1246" i="2"/>
  <c r="AF1246" i="2"/>
  <c r="AA1246" i="2"/>
  <c r="S1241" i="2"/>
  <c r="R1241" i="2"/>
  <c r="AP1241" i="2" s="1"/>
  <c r="Q1241" i="2"/>
  <c r="AK1230" i="2"/>
  <c r="U1230" i="2"/>
  <c r="AF1230" i="2"/>
  <c r="AA1230" i="2"/>
  <c r="S1225" i="2"/>
  <c r="R1225" i="2"/>
  <c r="AP1225" i="2" s="1"/>
  <c r="Q1225" i="2"/>
  <c r="AK1214" i="2"/>
  <c r="U1214" i="2"/>
  <c r="AF1214" i="2"/>
  <c r="AA1214" i="2"/>
  <c r="S1209" i="2"/>
  <c r="R1209" i="2"/>
  <c r="AP1209" i="2" s="1"/>
  <c r="Q1209" i="2"/>
  <c r="AK1198" i="2"/>
  <c r="U1198" i="2"/>
  <c r="AF1198" i="2"/>
  <c r="AA1198" i="2"/>
  <c r="S1193" i="2"/>
  <c r="R1193" i="2"/>
  <c r="AP1193" i="2" s="1"/>
  <c r="Q1193" i="2"/>
  <c r="AK1182" i="2"/>
  <c r="U1182" i="2"/>
  <c r="AF1182" i="2"/>
  <c r="AA1182" i="2"/>
  <c r="S1177" i="2"/>
  <c r="R1177" i="2"/>
  <c r="AP1177" i="2" s="1"/>
  <c r="Q1177" i="2"/>
  <c r="Q1176" i="2"/>
  <c r="S1176" i="2"/>
  <c r="R1176" i="2"/>
  <c r="AP1176" i="2" s="1"/>
  <c r="S1171" i="2"/>
  <c r="R1171" i="2"/>
  <c r="AP1171" i="2" s="1"/>
  <c r="Q1171" i="2"/>
  <c r="Q1168" i="2"/>
  <c r="S1168" i="2"/>
  <c r="R1168" i="2"/>
  <c r="AP1168" i="2" s="1"/>
  <c r="S1163" i="2"/>
  <c r="R1163" i="2"/>
  <c r="AP1163" i="2" s="1"/>
  <c r="Q1163" i="2"/>
  <c r="Q1160" i="2"/>
  <c r="S1160" i="2"/>
  <c r="R1160" i="2"/>
  <c r="AP1160" i="2" s="1"/>
  <c r="S1155" i="2"/>
  <c r="R1155" i="2"/>
  <c r="AP1155" i="2" s="1"/>
  <c r="Q1155" i="2"/>
  <c r="Q1152" i="2"/>
  <c r="S1152" i="2"/>
  <c r="R1152" i="2"/>
  <c r="AP1152" i="2" s="1"/>
  <c r="Q1148" i="2"/>
  <c r="S1148" i="2"/>
  <c r="R1148" i="2"/>
  <c r="AP1148" i="2" s="1"/>
  <c r="Q1144" i="2"/>
  <c r="S1144" i="2"/>
  <c r="R1144" i="2"/>
  <c r="AP1144" i="2" s="1"/>
  <c r="Q1130" i="2"/>
  <c r="S1130" i="2"/>
  <c r="R1130" i="2"/>
  <c r="AP1130" i="2" s="1"/>
  <c r="Q1114" i="2"/>
  <c r="S1114" i="2"/>
  <c r="R1114" i="2"/>
  <c r="AP1114" i="2" s="1"/>
  <c r="Q1098" i="2"/>
  <c r="S1098" i="2"/>
  <c r="R1098" i="2"/>
  <c r="AP1098" i="2" s="1"/>
  <c r="Q1082" i="2"/>
  <c r="S1082" i="2"/>
  <c r="R1082" i="2"/>
  <c r="AP1082" i="2" s="1"/>
  <c r="Q1066" i="2"/>
  <c r="S1066" i="2"/>
  <c r="R1066" i="2"/>
  <c r="AP1066" i="2" s="1"/>
  <c r="Q1050" i="2"/>
  <c r="S1050" i="2"/>
  <c r="R1050" i="2"/>
  <c r="AP1050" i="2" s="1"/>
  <c r="AA1049" i="2"/>
  <c r="AK1049" i="2"/>
  <c r="U1049" i="2"/>
  <c r="AF1049" i="2"/>
  <c r="AF1363" i="2"/>
  <c r="AA1363" i="2"/>
  <c r="AK1363" i="2"/>
  <c r="U1363" i="2"/>
  <c r="R1358" i="2"/>
  <c r="AP1358" i="2" s="1"/>
  <c r="Q1358" i="2"/>
  <c r="S1358" i="2"/>
  <c r="AF1347" i="2"/>
  <c r="AA1347" i="2"/>
  <c r="AK1347" i="2"/>
  <c r="U1347" i="2"/>
  <c r="R1342" i="2"/>
  <c r="AP1342" i="2" s="1"/>
  <c r="Q1342" i="2"/>
  <c r="S1342" i="2"/>
  <c r="AF1331" i="2"/>
  <c r="AA1331" i="2"/>
  <c r="AK1331" i="2"/>
  <c r="U1331" i="2"/>
  <c r="R1326" i="2"/>
  <c r="AP1326" i="2" s="1"/>
  <c r="Q1326" i="2"/>
  <c r="S1326" i="2"/>
  <c r="AF1315" i="2"/>
  <c r="AA1315" i="2"/>
  <c r="AK1315" i="2"/>
  <c r="U1315" i="2"/>
  <c r="R1310" i="2"/>
  <c r="AP1310" i="2" s="1"/>
  <c r="Q1310" i="2"/>
  <c r="S1310" i="2"/>
  <c r="AF1299" i="2"/>
  <c r="AA1299" i="2"/>
  <c r="AK1299" i="2"/>
  <c r="U1299" i="2"/>
  <c r="R1294" i="2"/>
  <c r="AP1294" i="2" s="1"/>
  <c r="Q1294" i="2"/>
  <c r="S1294" i="2"/>
  <c r="AF1283" i="2"/>
  <c r="AA1283" i="2"/>
  <c r="AK1283" i="2"/>
  <c r="U1283" i="2"/>
  <c r="R1278" i="2"/>
  <c r="AP1278" i="2" s="1"/>
  <c r="Q1278" i="2"/>
  <c r="S1278" i="2"/>
  <c r="AF1267" i="2"/>
  <c r="AA1267" i="2"/>
  <c r="AK1267" i="2"/>
  <c r="U1267" i="2"/>
  <c r="R1262" i="2"/>
  <c r="AP1262" i="2" s="1"/>
  <c r="Q1262" i="2"/>
  <c r="S1262" i="2"/>
  <c r="AF1251" i="2"/>
  <c r="AA1251" i="2"/>
  <c r="AK1251" i="2"/>
  <c r="U1251" i="2"/>
  <c r="R1246" i="2"/>
  <c r="AP1246" i="2" s="1"/>
  <c r="Q1246" i="2"/>
  <c r="S1246" i="2"/>
  <c r="AF1235" i="2"/>
  <c r="AA1235" i="2"/>
  <c r="AK1235" i="2"/>
  <c r="U1235" i="2"/>
  <c r="R1230" i="2"/>
  <c r="AP1230" i="2" s="1"/>
  <c r="Q1230" i="2"/>
  <c r="S1230" i="2"/>
  <c r="AF1219" i="2"/>
  <c r="AA1219" i="2"/>
  <c r="AK1219" i="2"/>
  <c r="U1219" i="2"/>
  <c r="R1214" i="2"/>
  <c r="AP1214" i="2" s="1"/>
  <c r="Q1214" i="2"/>
  <c r="S1214" i="2"/>
  <c r="AF1203" i="2"/>
  <c r="AA1203" i="2"/>
  <c r="AK1203" i="2"/>
  <c r="U1203" i="2"/>
  <c r="R1198" i="2"/>
  <c r="AP1198" i="2" s="1"/>
  <c r="Q1198" i="2"/>
  <c r="S1198" i="2"/>
  <c r="AF1187" i="2"/>
  <c r="AA1187" i="2"/>
  <c r="AK1187" i="2"/>
  <c r="U1187" i="2"/>
  <c r="R1182" i="2"/>
  <c r="AP1182" i="2" s="1"/>
  <c r="Q1182" i="2"/>
  <c r="S1182" i="2"/>
  <c r="AA1127" i="2"/>
  <c r="AK1127" i="2"/>
  <c r="U1127" i="2"/>
  <c r="AF1127" i="2"/>
  <c r="AA1111" i="2"/>
  <c r="AK1111" i="2"/>
  <c r="U1111" i="2"/>
  <c r="AF1111" i="2"/>
  <c r="AA1095" i="2"/>
  <c r="AK1095" i="2"/>
  <c r="U1095" i="2"/>
  <c r="AF1095" i="2"/>
  <c r="AA1079" i="2"/>
  <c r="AK1079" i="2"/>
  <c r="U1079" i="2"/>
  <c r="AF1079" i="2"/>
  <c r="AA1063" i="2"/>
  <c r="AK1063" i="2"/>
  <c r="U1063" i="2"/>
  <c r="AF1063" i="2"/>
  <c r="AF1392" i="2"/>
  <c r="AA1392" i="2"/>
  <c r="AK1392" i="2"/>
  <c r="U1392" i="2"/>
  <c r="AF1376" i="2"/>
  <c r="AA1376" i="2"/>
  <c r="AK1376" i="2"/>
  <c r="U1376" i="2"/>
  <c r="S1371" i="2"/>
  <c r="R1371" i="2"/>
  <c r="AP1371" i="2" s="1"/>
  <c r="Q1371" i="2"/>
  <c r="AK1360" i="2"/>
  <c r="U1360" i="2"/>
  <c r="AF1360" i="2"/>
  <c r="AA1360" i="2"/>
  <c r="S1355" i="2"/>
  <c r="R1355" i="2"/>
  <c r="AP1355" i="2" s="1"/>
  <c r="Q1355" i="2"/>
  <c r="AK1344" i="2"/>
  <c r="U1344" i="2"/>
  <c r="AF1344" i="2"/>
  <c r="AA1344" i="2"/>
  <c r="S1339" i="2"/>
  <c r="R1339" i="2"/>
  <c r="AP1339" i="2" s="1"/>
  <c r="Q1339" i="2"/>
  <c r="AK1328" i="2"/>
  <c r="U1328" i="2"/>
  <c r="AF1328" i="2"/>
  <c r="AA1328" i="2"/>
  <c r="S1323" i="2"/>
  <c r="R1323" i="2"/>
  <c r="AP1323" i="2" s="1"/>
  <c r="Q1323" i="2"/>
  <c r="AK1312" i="2"/>
  <c r="U1312" i="2"/>
  <c r="AF1312" i="2"/>
  <c r="AA1312" i="2"/>
  <c r="S1307" i="2"/>
  <c r="R1307" i="2"/>
  <c r="AP1307" i="2" s="1"/>
  <c r="Q1307" i="2"/>
  <c r="AK1296" i="2"/>
  <c r="U1296" i="2"/>
  <c r="AF1296" i="2"/>
  <c r="AA1296" i="2"/>
  <c r="S1291" i="2"/>
  <c r="R1291" i="2"/>
  <c r="AP1291" i="2" s="1"/>
  <c r="Q1291" i="2"/>
  <c r="AK1280" i="2"/>
  <c r="U1280" i="2"/>
  <c r="AF1280" i="2"/>
  <c r="AA1280" i="2"/>
  <c r="S1275" i="2"/>
  <c r="R1275" i="2"/>
  <c r="AP1275" i="2" s="1"/>
  <c r="Q1275" i="2"/>
  <c r="AK1264" i="2"/>
  <c r="U1264" i="2"/>
  <c r="AF1264" i="2"/>
  <c r="AA1264" i="2"/>
  <c r="S1259" i="2"/>
  <c r="R1259" i="2"/>
  <c r="AP1259" i="2" s="1"/>
  <c r="Q1259" i="2"/>
  <c r="AK1248" i="2"/>
  <c r="U1248" i="2"/>
  <c r="AF1248" i="2"/>
  <c r="AA1248" i="2"/>
  <c r="S1243" i="2"/>
  <c r="R1243" i="2"/>
  <c r="AP1243" i="2" s="1"/>
  <c r="Q1243" i="2"/>
  <c r="AK1232" i="2"/>
  <c r="U1232" i="2"/>
  <c r="AF1232" i="2"/>
  <c r="AA1232" i="2"/>
  <c r="S1227" i="2"/>
  <c r="R1227" i="2"/>
  <c r="AP1227" i="2" s="1"/>
  <c r="Q1227" i="2"/>
  <c r="AK1216" i="2"/>
  <c r="U1216" i="2"/>
  <c r="AF1216" i="2"/>
  <c r="AA1216" i="2"/>
  <c r="S1211" i="2"/>
  <c r="R1211" i="2"/>
  <c r="AP1211" i="2" s="1"/>
  <c r="Q1211" i="2"/>
  <c r="AK1200" i="2"/>
  <c r="U1200" i="2"/>
  <c r="AF1200" i="2"/>
  <c r="AA1200" i="2"/>
  <c r="S1195" i="2"/>
  <c r="R1195" i="2"/>
  <c r="AP1195" i="2" s="1"/>
  <c r="Q1195" i="2"/>
  <c r="AK1184" i="2"/>
  <c r="U1184" i="2"/>
  <c r="AF1184" i="2"/>
  <c r="AA1184" i="2"/>
  <c r="S1179" i="2"/>
  <c r="R1179" i="2"/>
  <c r="AP1179" i="2" s="1"/>
  <c r="Q1179" i="2"/>
  <c r="AK1174" i="2"/>
  <c r="U1174" i="2"/>
  <c r="AF1174" i="2"/>
  <c r="AA1174" i="2"/>
  <c r="AK1170" i="2"/>
  <c r="U1170" i="2"/>
  <c r="AF1170" i="2"/>
  <c r="AA1170" i="2"/>
  <c r="AK1166" i="2"/>
  <c r="U1166" i="2"/>
  <c r="AF1166" i="2"/>
  <c r="AA1166" i="2"/>
  <c r="AK1162" i="2"/>
  <c r="U1162" i="2"/>
  <c r="AF1162" i="2"/>
  <c r="AA1162" i="2"/>
  <c r="AK1158" i="2"/>
  <c r="U1158" i="2"/>
  <c r="AF1158" i="2"/>
  <c r="AA1158" i="2"/>
  <c r="AK1154" i="2"/>
  <c r="U1154" i="2"/>
  <c r="AF1154" i="2"/>
  <c r="AA1154" i="2"/>
  <c r="Q1132" i="2"/>
  <c r="S1132" i="2"/>
  <c r="R1132" i="2"/>
  <c r="AP1132" i="2" s="1"/>
  <c r="Q1116" i="2"/>
  <c r="S1116" i="2"/>
  <c r="R1116" i="2"/>
  <c r="AP1116" i="2" s="1"/>
  <c r="Q1100" i="2"/>
  <c r="S1100" i="2"/>
  <c r="R1100" i="2"/>
  <c r="AP1100" i="2" s="1"/>
  <c r="Q1084" i="2"/>
  <c r="S1084" i="2"/>
  <c r="R1084" i="2"/>
  <c r="AP1084" i="2" s="1"/>
  <c r="Q1068" i="2"/>
  <c r="S1068" i="2"/>
  <c r="R1068" i="2"/>
  <c r="AP1068" i="2" s="1"/>
  <c r="Q1052" i="2"/>
  <c r="S1052" i="2"/>
  <c r="R1052" i="2"/>
  <c r="AP1052" i="2" s="1"/>
  <c r="R1368" i="2"/>
  <c r="AP1368" i="2" s="1"/>
  <c r="Q1368" i="2"/>
  <c r="S1368" i="2"/>
  <c r="AF1357" i="2"/>
  <c r="AA1357" i="2"/>
  <c r="AK1357" i="2"/>
  <c r="U1357" i="2"/>
  <c r="R1352" i="2"/>
  <c r="AP1352" i="2" s="1"/>
  <c r="Q1352" i="2"/>
  <c r="S1352" i="2"/>
  <c r="AF1341" i="2"/>
  <c r="AA1341" i="2"/>
  <c r="AK1341" i="2"/>
  <c r="U1341" i="2"/>
  <c r="R1336" i="2"/>
  <c r="AP1336" i="2" s="1"/>
  <c r="Q1336" i="2"/>
  <c r="S1336" i="2"/>
  <c r="AF1325" i="2"/>
  <c r="AA1325" i="2"/>
  <c r="AK1325" i="2"/>
  <c r="U1325" i="2"/>
  <c r="R1320" i="2"/>
  <c r="AP1320" i="2" s="1"/>
  <c r="Q1320" i="2"/>
  <c r="S1320" i="2"/>
  <c r="AF1309" i="2"/>
  <c r="AA1309" i="2"/>
  <c r="AK1309" i="2"/>
  <c r="U1309" i="2"/>
  <c r="R1304" i="2"/>
  <c r="AP1304" i="2" s="1"/>
  <c r="Q1304" i="2"/>
  <c r="S1304" i="2"/>
  <c r="AF1293" i="2"/>
  <c r="AA1293" i="2"/>
  <c r="AK1293" i="2"/>
  <c r="U1293" i="2"/>
  <c r="R1288" i="2"/>
  <c r="AP1288" i="2" s="1"/>
  <c r="Q1288" i="2"/>
  <c r="S1288" i="2"/>
  <c r="AF1277" i="2"/>
  <c r="AA1277" i="2"/>
  <c r="AK1277" i="2"/>
  <c r="U1277" i="2"/>
  <c r="R1272" i="2"/>
  <c r="AP1272" i="2" s="1"/>
  <c r="Q1272" i="2"/>
  <c r="S1272" i="2"/>
  <c r="AF1261" i="2"/>
  <c r="AA1261" i="2"/>
  <c r="AK1261" i="2"/>
  <c r="U1261" i="2"/>
  <c r="R1256" i="2"/>
  <c r="AP1256" i="2" s="1"/>
  <c r="Q1256" i="2"/>
  <c r="S1256" i="2"/>
  <c r="AF1245" i="2"/>
  <c r="AA1245" i="2"/>
  <c r="AK1245" i="2"/>
  <c r="U1245" i="2"/>
  <c r="R1240" i="2"/>
  <c r="AP1240" i="2" s="1"/>
  <c r="Q1240" i="2"/>
  <c r="S1240" i="2"/>
  <c r="AF1229" i="2"/>
  <c r="AA1229" i="2"/>
  <c r="AK1229" i="2"/>
  <c r="U1229" i="2"/>
  <c r="R1224" i="2"/>
  <c r="AP1224" i="2" s="1"/>
  <c r="Q1224" i="2"/>
  <c r="S1224" i="2"/>
  <c r="AF1213" i="2"/>
  <c r="AA1213" i="2"/>
  <c r="AK1213" i="2"/>
  <c r="U1213" i="2"/>
  <c r="R1208" i="2"/>
  <c r="AP1208" i="2" s="1"/>
  <c r="Q1208" i="2"/>
  <c r="S1208" i="2"/>
  <c r="AF1197" i="2"/>
  <c r="AA1197" i="2"/>
  <c r="AK1197" i="2"/>
  <c r="U1197" i="2"/>
  <c r="R1192" i="2"/>
  <c r="AP1192" i="2" s="1"/>
  <c r="Q1192" i="2"/>
  <c r="S1192" i="2"/>
  <c r="AF1181" i="2"/>
  <c r="AA1181" i="2"/>
  <c r="AK1181" i="2"/>
  <c r="U1181" i="2"/>
  <c r="AA1125" i="2"/>
  <c r="AK1125" i="2"/>
  <c r="U1125" i="2"/>
  <c r="AF1125" i="2"/>
  <c r="AA1109" i="2"/>
  <c r="AK1109" i="2"/>
  <c r="U1109" i="2"/>
  <c r="AF1109" i="2"/>
  <c r="BD1099" i="2"/>
  <c r="AA1093" i="2"/>
  <c r="AK1093" i="2"/>
  <c r="U1093" i="2"/>
  <c r="AF1093" i="2"/>
  <c r="AA1077" i="2"/>
  <c r="AK1077" i="2"/>
  <c r="U1077" i="2"/>
  <c r="AF1077" i="2"/>
  <c r="AA1061" i="2"/>
  <c r="AK1061" i="2"/>
  <c r="U1061" i="2"/>
  <c r="AF1061" i="2"/>
  <c r="Q1045" i="2"/>
  <c r="S1045" i="2"/>
  <c r="R1045" i="2"/>
  <c r="AP1045" i="2" s="1"/>
  <c r="S1038" i="2"/>
  <c r="Q1038" i="2"/>
  <c r="R1038" i="2"/>
  <c r="AP1038" i="2" s="1"/>
  <c r="Q1033" i="2"/>
  <c r="S1033" i="2"/>
  <c r="R1033" i="2"/>
  <c r="AP1033" i="2" s="1"/>
  <c r="S1030" i="2"/>
  <c r="Q1030" i="2"/>
  <c r="R1030" i="2"/>
  <c r="AP1030" i="2" s="1"/>
  <c r="Q1025" i="2"/>
  <c r="S1025" i="2"/>
  <c r="R1025" i="2"/>
  <c r="AP1025" i="2" s="1"/>
  <c r="S1022" i="2"/>
  <c r="Q1022" i="2"/>
  <c r="R1022" i="2"/>
  <c r="AP1022" i="2" s="1"/>
  <c r="Q1017" i="2"/>
  <c r="S1017" i="2"/>
  <c r="R1017" i="2"/>
  <c r="AP1017" i="2" s="1"/>
  <c r="S1014" i="2"/>
  <c r="Q1014" i="2"/>
  <c r="R1014" i="2"/>
  <c r="AP1014" i="2" s="1"/>
  <c r="Q1009" i="2"/>
  <c r="S1009" i="2"/>
  <c r="R1009" i="2"/>
  <c r="AP1009" i="2" s="1"/>
  <c r="S1006" i="2"/>
  <c r="Q1006" i="2"/>
  <c r="R1006" i="2"/>
  <c r="AP1006" i="2" s="1"/>
  <c r="Q1001" i="2"/>
  <c r="S1001" i="2"/>
  <c r="R1001" i="2"/>
  <c r="AP1001" i="2" s="1"/>
  <c r="S998" i="2"/>
  <c r="Q998" i="2"/>
  <c r="R998" i="2"/>
  <c r="AP998" i="2" s="1"/>
  <c r="Q993" i="2"/>
  <c r="S993" i="2"/>
  <c r="R993" i="2"/>
  <c r="AP993" i="2" s="1"/>
  <c r="S990" i="2"/>
  <c r="Q990" i="2"/>
  <c r="R990" i="2"/>
  <c r="AP990" i="2" s="1"/>
  <c r="Q985" i="2"/>
  <c r="S985" i="2"/>
  <c r="R985" i="2"/>
  <c r="AP985" i="2" s="1"/>
  <c r="S982" i="2"/>
  <c r="Q982" i="2"/>
  <c r="R982" i="2"/>
  <c r="AP982" i="2" s="1"/>
  <c r="Q977" i="2"/>
  <c r="S977" i="2"/>
  <c r="R977" i="2"/>
  <c r="AP977" i="2" s="1"/>
  <c r="S974" i="2"/>
  <c r="Q974" i="2"/>
  <c r="R974" i="2"/>
  <c r="AP974" i="2" s="1"/>
  <c r="Q969" i="2"/>
  <c r="S969" i="2"/>
  <c r="R969" i="2"/>
  <c r="AP969" i="2" s="1"/>
  <c r="S966" i="2"/>
  <c r="Q966" i="2"/>
  <c r="R966" i="2"/>
  <c r="AP966" i="2" s="1"/>
  <c r="Q961" i="2"/>
  <c r="S961" i="2"/>
  <c r="R961" i="2"/>
  <c r="AP961" i="2" s="1"/>
  <c r="S958" i="2"/>
  <c r="Q958" i="2"/>
  <c r="R958" i="2"/>
  <c r="AP958" i="2" s="1"/>
  <c r="Q953" i="2"/>
  <c r="S953" i="2"/>
  <c r="R953" i="2"/>
  <c r="AP953" i="2" s="1"/>
  <c r="S950" i="2"/>
  <c r="Q950" i="2"/>
  <c r="R950" i="2"/>
  <c r="AP950" i="2" s="1"/>
  <c r="Q945" i="2"/>
  <c r="S945" i="2"/>
  <c r="R945" i="2"/>
  <c r="AP945" i="2" s="1"/>
  <c r="S942" i="2"/>
  <c r="Q942" i="2"/>
  <c r="R942" i="2"/>
  <c r="AP942" i="2" s="1"/>
  <c r="Q937" i="2"/>
  <c r="S937" i="2"/>
  <c r="R937" i="2"/>
  <c r="AP937" i="2" s="1"/>
  <c r="S934" i="2"/>
  <c r="Q934" i="2"/>
  <c r="R934" i="2"/>
  <c r="AP934" i="2" s="1"/>
  <c r="Q931" i="2"/>
  <c r="S931" i="2"/>
  <c r="R931" i="2"/>
  <c r="AP931" i="2" s="1"/>
  <c r="Q927" i="2"/>
  <c r="S927" i="2"/>
  <c r="R927" i="2"/>
  <c r="AP927" i="2" s="1"/>
  <c r="Q923" i="2"/>
  <c r="S923" i="2"/>
  <c r="R923" i="2"/>
  <c r="AP923" i="2" s="1"/>
  <c r="Q919" i="2"/>
  <c r="S919" i="2"/>
  <c r="R919" i="2"/>
  <c r="AP919" i="2" s="1"/>
  <c r="Q915" i="2"/>
  <c r="S915" i="2"/>
  <c r="R915" i="2"/>
  <c r="AP915" i="2" s="1"/>
  <c r="Q911" i="2"/>
  <c r="S911" i="2"/>
  <c r="R911" i="2"/>
  <c r="AP911" i="2" s="1"/>
  <c r="Q907" i="2"/>
  <c r="S907" i="2"/>
  <c r="R907" i="2"/>
  <c r="AP907" i="2" s="1"/>
  <c r="Q903" i="2"/>
  <c r="S903" i="2"/>
  <c r="R903" i="2"/>
  <c r="AP903" i="2" s="1"/>
  <c r="Q899" i="2"/>
  <c r="S899" i="2"/>
  <c r="R899" i="2"/>
  <c r="AP899" i="2" s="1"/>
  <c r="Q895" i="2"/>
  <c r="S895" i="2"/>
  <c r="R895" i="2"/>
  <c r="AP895" i="2" s="1"/>
  <c r="Q891" i="2"/>
  <c r="S891" i="2"/>
  <c r="R891" i="2"/>
  <c r="AP891" i="2" s="1"/>
  <c r="Q887" i="2"/>
  <c r="S887" i="2"/>
  <c r="R887" i="2"/>
  <c r="AP887" i="2" s="1"/>
  <c r="AA880" i="2"/>
  <c r="AK880" i="2"/>
  <c r="U880" i="2"/>
  <c r="AF880" i="2"/>
  <c r="AA864" i="2"/>
  <c r="AK864" i="2"/>
  <c r="U864" i="2"/>
  <c r="AF864" i="2"/>
  <c r="AA848" i="2"/>
  <c r="AK848" i="2"/>
  <c r="U848" i="2"/>
  <c r="AF848" i="2"/>
  <c r="AA832" i="2"/>
  <c r="AK832" i="2"/>
  <c r="U832" i="2"/>
  <c r="AF832" i="2"/>
  <c r="AA816" i="2"/>
  <c r="AK816" i="2"/>
  <c r="U816" i="2"/>
  <c r="AF816" i="2"/>
  <c r="AA800" i="2"/>
  <c r="AK800" i="2"/>
  <c r="U800" i="2"/>
  <c r="AF800" i="2"/>
  <c r="AA784" i="2"/>
  <c r="AK784" i="2"/>
  <c r="U784" i="2"/>
  <c r="AF784" i="2"/>
  <c r="AA768" i="2"/>
  <c r="AK768" i="2"/>
  <c r="U768" i="2"/>
  <c r="AF768" i="2"/>
  <c r="AA752" i="2"/>
  <c r="AK752" i="2"/>
  <c r="U752" i="2"/>
  <c r="AF752" i="2"/>
  <c r="AA736" i="2"/>
  <c r="AK736" i="2"/>
  <c r="U736" i="2"/>
  <c r="AF736" i="2"/>
  <c r="S1046" i="2"/>
  <c r="R1046" i="2"/>
  <c r="AP1046" i="2" s="1"/>
  <c r="Q1046" i="2"/>
  <c r="AK724" i="2"/>
  <c r="U724" i="2"/>
  <c r="AF724" i="2"/>
  <c r="AA724" i="2"/>
  <c r="AK720" i="2"/>
  <c r="U720" i="2"/>
  <c r="AF720" i="2"/>
  <c r="AA720" i="2"/>
  <c r="AK716" i="2"/>
  <c r="U716" i="2"/>
  <c r="AF716" i="2"/>
  <c r="AA716" i="2"/>
  <c r="AK712" i="2"/>
  <c r="U712" i="2"/>
  <c r="AF712" i="2"/>
  <c r="AA712" i="2"/>
  <c r="AK708" i="2"/>
  <c r="U708" i="2"/>
  <c r="AF708" i="2"/>
  <c r="AA708" i="2"/>
  <c r="AK704" i="2"/>
  <c r="U704" i="2"/>
  <c r="AF704" i="2"/>
  <c r="AA704" i="2"/>
  <c r="AK700" i="2"/>
  <c r="U700" i="2"/>
  <c r="AF700" i="2"/>
  <c r="AA700" i="2"/>
  <c r="AK696" i="2"/>
  <c r="U696" i="2"/>
  <c r="AF696" i="2"/>
  <c r="AA696" i="2"/>
  <c r="AK692" i="2"/>
  <c r="U692" i="2"/>
  <c r="AF692" i="2"/>
  <c r="AA692" i="2"/>
  <c r="AK688" i="2"/>
  <c r="U688" i="2"/>
  <c r="AF688" i="2"/>
  <c r="AA688" i="2"/>
  <c r="AK684" i="2"/>
  <c r="U684" i="2"/>
  <c r="AF684" i="2"/>
  <c r="AA684" i="2"/>
  <c r="AK680" i="2"/>
  <c r="U680" i="2"/>
  <c r="AF680" i="2"/>
  <c r="AA680" i="2"/>
  <c r="AK676" i="2"/>
  <c r="U676" i="2"/>
  <c r="AF676" i="2"/>
  <c r="AA676" i="2"/>
  <c r="AK672" i="2"/>
  <c r="U672" i="2"/>
  <c r="AF672" i="2"/>
  <c r="AA672" i="2"/>
  <c r="AK668" i="2"/>
  <c r="U668" i="2"/>
  <c r="AF668" i="2"/>
  <c r="AA668" i="2"/>
  <c r="AK664" i="2"/>
  <c r="U664" i="2"/>
  <c r="AF664" i="2"/>
  <c r="AA664" i="2"/>
  <c r="AK660" i="2"/>
  <c r="U660" i="2"/>
  <c r="AF660" i="2"/>
  <c r="AA660" i="2"/>
  <c r="AK656" i="2"/>
  <c r="U656" i="2"/>
  <c r="AF656" i="2"/>
  <c r="AA656" i="2"/>
  <c r="AK652" i="2"/>
  <c r="U652" i="2"/>
  <c r="AF652" i="2"/>
  <c r="AA652" i="2"/>
  <c r="AK648" i="2"/>
  <c r="U648" i="2"/>
  <c r="AF648" i="2"/>
  <c r="AA648" i="2"/>
  <c r="AK644" i="2"/>
  <c r="U644" i="2"/>
  <c r="AF644" i="2"/>
  <c r="AA644" i="2"/>
  <c r="AK640" i="2"/>
  <c r="U640" i="2"/>
  <c r="AF640" i="2"/>
  <c r="AA640" i="2"/>
  <c r="AK636" i="2"/>
  <c r="U636" i="2"/>
  <c r="AF636" i="2"/>
  <c r="AA636" i="2"/>
  <c r="AK632" i="2"/>
  <c r="U632" i="2"/>
  <c r="AF632" i="2"/>
  <c r="AA632" i="2"/>
  <c r="AK628" i="2"/>
  <c r="U628" i="2"/>
  <c r="AF628" i="2"/>
  <c r="AA628" i="2"/>
  <c r="AK624" i="2"/>
  <c r="U624" i="2"/>
  <c r="AF624" i="2"/>
  <c r="AA624" i="2"/>
  <c r="AK620" i="2"/>
  <c r="U620" i="2"/>
  <c r="AF620" i="2"/>
  <c r="AA620" i="2"/>
  <c r="AA1044" i="2"/>
  <c r="AK1044" i="2"/>
  <c r="U1044" i="2"/>
  <c r="AF1044" i="2"/>
  <c r="S880" i="2"/>
  <c r="Q880" i="2"/>
  <c r="R880" i="2"/>
  <c r="AP880" i="2" s="1"/>
  <c r="S864" i="2"/>
  <c r="Q864" i="2"/>
  <c r="R864" i="2"/>
  <c r="AP864" i="2" s="1"/>
  <c r="S848" i="2"/>
  <c r="Q848" i="2"/>
  <c r="R848" i="2"/>
  <c r="AP848" i="2" s="1"/>
  <c r="S832" i="2"/>
  <c r="Q832" i="2"/>
  <c r="R832" i="2"/>
  <c r="AP832" i="2" s="1"/>
  <c r="S816" i="2"/>
  <c r="Q816" i="2"/>
  <c r="R816" i="2"/>
  <c r="AP816" i="2" s="1"/>
  <c r="S800" i="2"/>
  <c r="Q800" i="2"/>
  <c r="R800" i="2"/>
  <c r="AP800" i="2" s="1"/>
  <c r="S784" i="2"/>
  <c r="Q784" i="2"/>
  <c r="R784" i="2"/>
  <c r="AP784" i="2" s="1"/>
  <c r="S768" i="2"/>
  <c r="Q768" i="2"/>
  <c r="R768" i="2"/>
  <c r="AP768" i="2" s="1"/>
  <c r="S752" i="2"/>
  <c r="Q752" i="2"/>
  <c r="R752" i="2"/>
  <c r="AP752" i="2" s="1"/>
  <c r="S736" i="2"/>
  <c r="Q736" i="2"/>
  <c r="R736" i="2"/>
  <c r="AP736" i="2" s="1"/>
  <c r="AK1140" i="2"/>
  <c r="U1140" i="2"/>
  <c r="AA1140" i="2"/>
  <c r="AF1140" i="2"/>
  <c r="AK1132" i="2"/>
  <c r="U1132" i="2"/>
  <c r="AA1132" i="2"/>
  <c r="AF1132" i="2"/>
  <c r="AK1124" i="2"/>
  <c r="U1124" i="2"/>
  <c r="AA1124" i="2"/>
  <c r="AF1124" i="2"/>
  <c r="AK1116" i="2"/>
  <c r="U1116" i="2"/>
  <c r="AA1116" i="2"/>
  <c r="AF1116" i="2"/>
  <c r="AK1108" i="2"/>
  <c r="U1108" i="2"/>
  <c r="AA1108" i="2"/>
  <c r="AF1108" i="2"/>
  <c r="AK1100" i="2"/>
  <c r="U1100" i="2"/>
  <c r="AA1100" i="2"/>
  <c r="AF1100" i="2"/>
  <c r="AK1092" i="2"/>
  <c r="U1092" i="2"/>
  <c r="AA1092" i="2"/>
  <c r="AF1092" i="2"/>
  <c r="AK1084" i="2"/>
  <c r="U1084" i="2"/>
  <c r="AA1084" i="2"/>
  <c r="AF1084" i="2"/>
  <c r="AK1076" i="2"/>
  <c r="U1076" i="2"/>
  <c r="AA1076" i="2"/>
  <c r="AF1076" i="2"/>
  <c r="AK1068" i="2"/>
  <c r="U1068" i="2"/>
  <c r="AA1068" i="2"/>
  <c r="AF1068" i="2"/>
  <c r="AK1060" i="2"/>
  <c r="U1060" i="2"/>
  <c r="AA1060" i="2"/>
  <c r="AF1060" i="2"/>
  <c r="AK1052" i="2"/>
  <c r="U1052" i="2"/>
  <c r="AA1052" i="2"/>
  <c r="AF1052" i="2"/>
  <c r="S1044" i="2"/>
  <c r="R1044" i="2"/>
  <c r="AP1044" i="2" s="1"/>
  <c r="Q1044" i="2"/>
  <c r="AK1039" i="2"/>
  <c r="U1039" i="2"/>
  <c r="AA1039" i="2"/>
  <c r="AF1039" i="2"/>
  <c r="AK1037" i="2"/>
  <c r="U1037" i="2"/>
  <c r="AA1037" i="2"/>
  <c r="AF1037" i="2"/>
  <c r="AK1035" i="2"/>
  <c r="U1035" i="2"/>
  <c r="AA1035" i="2"/>
  <c r="AF1035" i="2"/>
  <c r="AK1033" i="2"/>
  <c r="U1033" i="2"/>
  <c r="AA1033" i="2"/>
  <c r="AF1033" i="2"/>
  <c r="AK1031" i="2"/>
  <c r="U1031" i="2"/>
  <c r="AA1031" i="2"/>
  <c r="AF1031" i="2"/>
  <c r="AK1029" i="2"/>
  <c r="U1029" i="2"/>
  <c r="AA1029" i="2"/>
  <c r="AF1029" i="2"/>
  <c r="AK1027" i="2"/>
  <c r="U1027" i="2"/>
  <c r="AA1027" i="2"/>
  <c r="AF1027" i="2"/>
  <c r="AK1025" i="2"/>
  <c r="U1025" i="2"/>
  <c r="AA1025" i="2"/>
  <c r="AF1025" i="2"/>
  <c r="AK1023" i="2"/>
  <c r="U1023" i="2"/>
  <c r="AA1023" i="2"/>
  <c r="AF1023" i="2"/>
  <c r="AK1021" i="2"/>
  <c r="U1021" i="2"/>
  <c r="AA1021" i="2"/>
  <c r="AF1021" i="2"/>
  <c r="AK1019" i="2"/>
  <c r="U1019" i="2"/>
  <c r="AA1019" i="2"/>
  <c r="AF1019" i="2"/>
  <c r="AK1017" i="2"/>
  <c r="U1017" i="2"/>
  <c r="AA1017" i="2"/>
  <c r="AF1017" i="2"/>
  <c r="AK1015" i="2"/>
  <c r="U1015" i="2"/>
  <c r="AA1015" i="2"/>
  <c r="AF1015" i="2"/>
  <c r="AK1013" i="2"/>
  <c r="U1013" i="2"/>
  <c r="AA1013" i="2"/>
  <c r="AF1013" i="2"/>
  <c r="AK1011" i="2"/>
  <c r="U1011" i="2"/>
  <c r="AA1011" i="2"/>
  <c r="AF1011" i="2"/>
  <c r="AK1009" i="2"/>
  <c r="U1009" i="2"/>
  <c r="AA1009" i="2"/>
  <c r="AF1009" i="2"/>
  <c r="AK1007" i="2"/>
  <c r="U1007" i="2"/>
  <c r="AA1007" i="2"/>
  <c r="AF1007" i="2"/>
  <c r="AK1005" i="2"/>
  <c r="U1005" i="2"/>
  <c r="AA1005" i="2"/>
  <c r="AF1005" i="2"/>
  <c r="AK1003" i="2"/>
  <c r="U1003" i="2"/>
  <c r="AA1003" i="2"/>
  <c r="AF1003" i="2"/>
  <c r="AK1001" i="2"/>
  <c r="U1001" i="2"/>
  <c r="AA1001" i="2"/>
  <c r="AF1001" i="2"/>
  <c r="AK999" i="2"/>
  <c r="U999" i="2"/>
  <c r="AA999" i="2"/>
  <c r="AF999" i="2"/>
  <c r="AK997" i="2"/>
  <c r="U997" i="2"/>
  <c r="AA997" i="2"/>
  <c r="AF997" i="2"/>
  <c r="AK995" i="2"/>
  <c r="U995" i="2"/>
  <c r="AA995" i="2"/>
  <c r="AF995" i="2"/>
  <c r="AK993" i="2"/>
  <c r="U993" i="2"/>
  <c r="AA993" i="2"/>
  <c r="AF993" i="2"/>
  <c r="AK991" i="2"/>
  <c r="U991" i="2"/>
  <c r="AA991" i="2"/>
  <c r="AF991" i="2"/>
  <c r="AK989" i="2"/>
  <c r="U989" i="2"/>
  <c r="AA989" i="2"/>
  <c r="AF989" i="2"/>
  <c r="AK987" i="2"/>
  <c r="U987" i="2"/>
  <c r="AA987" i="2"/>
  <c r="AF987" i="2"/>
  <c r="AK985" i="2"/>
  <c r="U985" i="2"/>
  <c r="AA985" i="2"/>
  <c r="AF985" i="2"/>
  <c r="AK983" i="2"/>
  <c r="U983" i="2"/>
  <c r="AA983" i="2"/>
  <c r="AF983" i="2"/>
  <c r="AK981" i="2"/>
  <c r="U981" i="2"/>
  <c r="AA981" i="2"/>
  <c r="AF981" i="2"/>
  <c r="AK979" i="2"/>
  <c r="U979" i="2"/>
  <c r="AA979" i="2"/>
  <c r="AF979" i="2"/>
  <c r="AK977" i="2"/>
  <c r="U977" i="2"/>
  <c r="AA977" i="2"/>
  <c r="AF977" i="2"/>
  <c r="AK975" i="2"/>
  <c r="U975" i="2"/>
  <c r="AA975" i="2"/>
  <c r="AF975" i="2"/>
  <c r="AK973" i="2"/>
  <c r="U973" i="2"/>
  <c r="AA973" i="2"/>
  <c r="AF973" i="2"/>
  <c r="AK971" i="2"/>
  <c r="U971" i="2"/>
  <c r="AA971" i="2"/>
  <c r="AF971" i="2"/>
  <c r="AK969" i="2"/>
  <c r="U969" i="2"/>
  <c r="AA969" i="2"/>
  <c r="AF969" i="2"/>
  <c r="AK967" i="2"/>
  <c r="U967" i="2"/>
  <c r="AA967" i="2"/>
  <c r="AF967" i="2"/>
  <c r="AK965" i="2"/>
  <c r="U965" i="2"/>
  <c r="AA965" i="2"/>
  <c r="AF965" i="2"/>
  <c r="AK963" i="2"/>
  <c r="U963" i="2"/>
  <c r="AA963" i="2"/>
  <c r="AF963" i="2"/>
  <c r="AK961" i="2"/>
  <c r="U961" i="2"/>
  <c r="AA961" i="2"/>
  <c r="AF961" i="2"/>
  <c r="AK959" i="2"/>
  <c r="U959" i="2"/>
  <c r="AA959" i="2"/>
  <c r="AF959" i="2"/>
  <c r="AK957" i="2"/>
  <c r="U957" i="2"/>
  <c r="AA957" i="2"/>
  <c r="AF957" i="2"/>
  <c r="AK955" i="2"/>
  <c r="U955" i="2"/>
  <c r="AA955" i="2"/>
  <c r="AF955" i="2"/>
  <c r="AK953" i="2"/>
  <c r="U953" i="2"/>
  <c r="AA953" i="2"/>
  <c r="AF953" i="2"/>
  <c r="AK951" i="2"/>
  <c r="U951" i="2"/>
  <c r="AA951" i="2"/>
  <c r="AF951" i="2"/>
  <c r="AK949" i="2"/>
  <c r="U949" i="2"/>
  <c r="AA949" i="2"/>
  <c r="AF949" i="2"/>
  <c r="AK947" i="2"/>
  <c r="U947" i="2"/>
  <c r="AA947" i="2"/>
  <c r="AF947" i="2"/>
  <c r="AK945" i="2"/>
  <c r="U945" i="2"/>
  <c r="AA945" i="2"/>
  <c r="AF945" i="2"/>
  <c r="AK943" i="2"/>
  <c r="U943" i="2"/>
  <c r="AA943" i="2"/>
  <c r="AF943" i="2"/>
  <c r="AK941" i="2"/>
  <c r="U941" i="2"/>
  <c r="AA941" i="2"/>
  <c r="AF941" i="2"/>
  <c r="AK939" i="2"/>
  <c r="U939" i="2"/>
  <c r="AA939" i="2"/>
  <c r="AF939" i="2"/>
  <c r="AK937" i="2"/>
  <c r="U937" i="2"/>
  <c r="AA937" i="2"/>
  <c r="AF937" i="2"/>
  <c r="AK935" i="2"/>
  <c r="U935" i="2"/>
  <c r="AA935" i="2"/>
  <c r="AF935" i="2"/>
  <c r="AK933" i="2"/>
  <c r="U933" i="2"/>
  <c r="AA933" i="2"/>
  <c r="AF933" i="2"/>
  <c r="AK877" i="2"/>
  <c r="U877" i="2"/>
  <c r="AA877" i="2"/>
  <c r="AF877" i="2"/>
  <c r="AK861" i="2"/>
  <c r="U861" i="2"/>
  <c r="AA861" i="2"/>
  <c r="AF861" i="2"/>
  <c r="AK845" i="2"/>
  <c r="U845" i="2"/>
  <c r="AA845" i="2"/>
  <c r="AF845" i="2"/>
  <c r="AK829" i="2"/>
  <c r="U829" i="2"/>
  <c r="AA829" i="2"/>
  <c r="AF829" i="2"/>
  <c r="AK813" i="2"/>
  <c r="U813" i="2"/>
  <c r="AA813" i="2"/>
  <c r="AF813" i="2"/>
  <c r="AK797" i="2"/>
  <c r="U797" i="2"/>
  <c r="AA797" i="2"/>
  <c r="AF797" i="2"/>
  <c r="AK781" i="2"/>
  <c r="U781" i="2"/>
  <c r="AA781" i="2"/>
  <c r="AF781" i="2"/>
  <c r="AK765" i="2"/>
  <c r="U765" i="2"/>
  <c r="AA765" i="2"/>
  <c r="AF765" i="2"/>
  <c r="AK749" i="2"/>
  <c r="U749" i="2"/>
  <c r="AA749" i="2"/>
  <c r="AF749" i="2"/>
  <c r="AK733" i="2"/>
  <c r="U733" i="2"/>
  <c r="AA733" i="2"/>
  <c r="AF733" i="2"/>
  <c r="AK618" i="2"/>
  <c r="U618" i="2"/>
  <c r="AF618" i="2"/>
  <c r="AA618" i="2"/>
  <c r="AK616" i="2"/>
  <c r="U616" i="2"/>
  <c r="AF616" i="2"/>
  <c r="AA616" i="2"/>
  <c r="AK614" i="2"/>
  <c r="U614" i="2"/>
  <c r="AF614" i="2"/>
  <c r="AA614" i="2"/>
  <c r="AK612" i="2"/>
  <c r="U612" i="2"/>
  <c r="AF612" i="2"/>
  <c r="AA612" i="2"/>
  <c r="AK610" i="2"/>
  <c r="U610" i="2"/>
  <c r="AF610" i="2"/>
  <c r="AA610" i="2"/>
  <c r="AK608" i="2"/>
  <c r="U608" i="2"/>
  <c r="AF608" i="2"/>
  <c r="AA608" i="2"/>
  <c r="AK606" i="2"/>
  <c r="U606" i="2"/>
  <c r="AF606" i="2"/>
  <c r="AA606" i="2"/>
  <c r="AK604" i="2"/>
  <c r="U604" i="2"/>
  <c r="AF604" i="2"/>
  <c r="AA604" i="2"/>
  <c r="AK602" i="2"/>
  <c r="U602" i="2"/>
  <c r="AF602" i="2"/>
  <c r="AA602" i="2"/>
  <c r="AK600" i="2"/>
  <c r="U600" i="2"/>
  <c r="AF600" i="2"/>
  <c r="AA600" i="2"/>
  <c r="AK598" i="2"/>
  <c r="U598" i="2"/>
  <c r="AF598" i="2"/>
  <c r="AA598" i="2"/>
  <c r="AK596" i="2"/>
  <c r="U596" i="2"/>
  <c r="AF596" i="2"/>
  <c r="AA596" i="2"/>
  <c r="AK594" i="2"/>
  <c r="U594" i="2"/>
  <c r="AF594" i="2"/>
  <c r="AA594" i="2"/>
  <c r="AK592" i="2"/>
  <c r="U592" i="2"/>
  <c r="AF592" i="2"/>
  <c r="AA592" i="2"/>
  <c r="AK590" i="2"/>
  <c r="U590" i="2"/>
  <c r="AF590" i="2"/>
  <c r="AA590" i="2"/>
  <c r="AK588" i="2"/>
  <c r="U588" i="2"/>
  <c r="AF588" i="2"/>
  <c r="AA588" i="2"/>
  <c r="AK586" i="2"/>
  <c r="U586" i="2"/>
  <c r="AF586" i="2"/>
  <c r="AA586" i="2"/>
  <c r="AK584" i="2"/>
  <c r="U584" i="2"/>
  <c r="AF584" i="2"/>
  <c r="AA584" i="2"/>
  <c r="AK582" i="2"/>
  <c r="U582" i="2"/>
  <c r="AF582" i="2"/>
  <c r="AA582" i="2"/>
  <c r="AK580" i="2"/>
  <c r="U580" i="2"/>
  <c r="AF580" i="2"/>
  <c r="AA580" i="2"/>
  <c r="AK578" i="2"/>
  <c r="U578" i="2"/>
  <c r="AF578" i="2"/>
  <c r="AA578" i="2"/>
  <c r="AK576" i="2"/>
  <c r="U576" i="2"/>
  <c r="AF576" i="2"/>
  <c r="AA576" i="2"/>
  <c r="AK574" i="2"/>
  <c r="U574" i="2"/>
  <c r="AF574" i="2"/>
  <c r="AA574" i="2"/>
  <c r="AK572" i="2"/>
  <c r="U572" i="2"/>
  <c r="AF572" i="2"/>
  <c r="AA572" i="2"/>
  <c r="AK570" i="2"/>
  <c r="U570" i="2"/>
  <c r="AF570" i="2"/>
  <c r="AA570" i="2"/>
  <c r="AK568" i="2"/>
  <c r="U568" i="2"/>
  <c r="AF568" i="2"/>
  <c r="AA568" i="2"/>
  <c r="AK566" i="2"/>
  <c r="U566" i="2"/>
  <c r="AF566" i="2"/>
  <c r="AA566" i="2"/>
  <c r="AK564" i="2"/>
  <c r="U564" i="2"/>
  <c r="AF564" i="2"/>
  <c r="AA564" i="2"/>
  <c r="AK562" i="2"/>
  <c r="U562" i="2"/>
  <c r="AF562" i="2"/>
  <c r="AA562" i="2"/>
  <c r="AK560" i="2"/>
  <c r="U560" i="2"/>
  <c r="AF560" i="2"/>
  <c r="AA560" i="2"/>
  <c r="AK558" i="2"/>
  <c r="U558" i="2"/>
  <c r="AF558" i="2"/>
  <c r="AA558" i="2"/>
  <c r="AK556" i="2"/>
  <c r="U556" i="2"/>
  <c r="AF556" i="2"/>
  <c r="AA556" i="2"/>
  <c r="AF546" i="2"/>
  <c r="AA546" i="2"/>
  <c r="AK546" i="2"/>
  <c r="U546" i="2"/>
  <c r="AK529" i="2"/>
  <c r="U529" i="2"/>
  <c r="AF529" i="2"/>
  <c r="AA529" i="2"/>
  <c r="AF514" i="2"/>
  <c r="AA514" i="2"/>
  <c r="AK514" i="2"/>
  <c r="U514" i="2"/>
  <c r="Q505" i="2"/>
  <c r="S505" i="2"/>
  <c r="R505" i="2"/>
  <c r="AP505" i="2" s="1"/>
  <c r="Q497" i="2"/>
  <c r="S497" i="2"/>
  <c r="R497" i="2"/>
  <c r="AP497" i="2" s="1"/>
  <c r="AK486" i="2"/>
  <c r="AF486" i="2"/>
  <c r="AA486" i="2"/>
  <c r="U486" i="2"/>
  <c r="AK470" i="2"/>
  <c r="AF470" i="2"/>
  <c r="AA470" i="2"/>
  <c r="U470" i="2"/>
  <c r="AK454" i="2"/>
  <c r="AF454" i="2"/>
  <c r="AA454" i="2"/>
  <c r="U454" i="2"/>
  <c r="AK438" i="2"/>
  <c r="AF438" i="2"/>
  <c r="AA438" i="2"/>
  <c r="U438" i="2"/>
  <c r="AK422" i="2"/>
  <c r="AF422" i="2"/>
  <c r="AA422" i="2"/>
  <c r="U422" i="2"/>
  <c r="AQ404" i="2"/>
  <c r="AV404" i="2" s="1"/>
  <c r="BE404" i="2" s="1"/>
  <c r="S389" i="2"/>
  <c r="R389" i="2"/>
  <c r="AP389" i="2" s="1"/>
  <c r="Q389" i="2"/>
  <c r="AK382" i="2"/>
  <c r="AF382" i="2"/>
  <c r="AA382" i="2"/>
  <c r="U382" i="2"/>
  <c r="AL380" i="2"/>
  <c r="V380" i="2"/>
  <c r="AG380" i="2"/>
  <c r="AB380" i="2"/>
  <c r="S357" i="2"/>
  <c r="R357" i="2"/>
  <c r="AP357" i="2" s="1"/>
  <c r="Q357" i="2"/>
  <c r="AK350" i="2"/>
  <c r="AF350" i="2"/>
  <c r="AA350" i="2"/>
  <c r="U350" i="2"/>
  <c r="AL348" i="2"/>
  <c r="V348" i="2"/>
  <c r="AG348" i="2"/>
  <c r="AB348" i="2"/>
  <c r="S325" i="2"/>
  <c r="R325" i="2"/>
  <c r="AP325" i="2" s="1"/>
  <c r="Q325" i="2"/>
  <c r="AF310" i="2"/>
  <c r="AA310" i="2"/>
  <c r="U310" i="2"/>
  <c r="AK310" i="2"/>
  <c r="S301" i="2"/>
  <c r="R301" i="2"/>
  <c r="AP301" i="2" s="1"/>
  <c r="Q301" i="2"/>
  <c r="AF278" i="2"/>
  <c r="AA278" i="2"/>
  <c r="U278" i="2"/>
  <c r="AK278" i="2"/>
  <c r="S269" i="2"/>
  <c r="R269" i="2"/>
  <c r="AP269" i="2" s="1"/>
  <c r="Q269" i="2"/>
  <c r="AF246" i="2"/>
  <c r="AA246" i="2"/>
  <c r="U246" i="2"/>
  <c r="AK246" i="2"/>
  <c r="S237" i="2"/>
  <c r="R237" i="2"/>
  <c r="AP237" i="2" s="1"/>
  <c r="Q237" i="2"/>
  <c r="AF214" i="2"/>
  <c r="AA214" i="2"/>
  <c r="U214" i="2"/>
  <c r="AK214" i="2"/>
  <c r="G181" i="4"/>
  <c r="R181" i="2"/>
  <c r="AP181" i="2" s="1"/>
  <c r="S181" i="2"/>
  <c r="Q181" i="2"/>
  <c r="G149" i="4"/>
  <c r="R149" i="2"/>
  <c r="AP149" i="2" s="1"/>
  <c r="S149" i="2"/>
  <c r="Q149" i="2"/>
  <c r="G117" i="4"/>
  <c r="R117" i="2"/>
  <c r="AP117" i="2" s="1"/>
  <c r="S117" i="2"/>
  <c r="Q117" i="2"/>
  <c r="G85" i="4"/>
  <c r="R85" i="2"/>
  <c r="AP85" i="2" s="1"/>
  <c r="Q85" i="2"/>
  <c r="S85" i="2"/>
  <c r="G53" i="4"/>
  <c r="R53" i="2"/>
  <c r="AP53" i="2" s="1"/>
  <c r="Q53" i="2"/>
  <c r="S53" i="2"/>
  <c r="G21" i="4"/>
  <c r="R21" i="2"/>
  <c r="AP21" i="2" s="1"/>
  <c r="Q21" i="2"/>
  <c r="S21" i="2"/>
  <c r="AA930" i="2"/>
  <c r="AK930" i="2"/>
  <c r="U930" i="2"/>
  <c r="AF930" i="2"/>
  <c r="AA926" i="2"/>
  <c r="AK926" i="2"/>
  <c r="U926" i="2"/>
  <c r="AF926" i="2"/>
  <c r="AA922" i="2"/>
  <c r="AK922" i="2"/>
  <c r="U922" i="2"/>
  <c r="AF922" i="2"/>
  <c r="AA918" i="2"/>
  <c r="AK918" i="2"/>
  <c r="U918" i="2"/>
  <c r="AF918" i="2"/>
  <c r="AA914" i="2"/>
  <c r="AK914" i="2"/>
  <c r="U914" i="2"/>
  <c r="AF914" i="2"/>
  <c r="AA910" i="2"/>
  <c r="AK910" i="2"/>
  <c r="U910" i="2"/>
  <c r="AF910" i="2"/>
  <c r="AA906" i="2"/>
  <c r="AK906" i="2"/>
  <c r="U906" i="2"/>
  <c r="AF906" i="2"/>
  <c r="AA902" i="2"/>
  <c r="AK902" i="2"/>
  <c r="U902" i="2"/>
  <c r="AF902" i="2"/>
  <c r="AA898" i="2"/>
  <c r="AK898" i="2"/>
  <c r="U898" i="2"/>
  <c r="AF898" i="2"/>
  <c r="AA894" i="2"/>
  <c r="AK894" i="2"/>
  <c r="U894" i="2"/>
  <c r="AF894" i="2"/>
  <c r="AA890" i="2"/>
  <c r="AK890" i="2"/>
  <c r="U890" i="2"/>
  <c r="AF890" i="2"/>
  <c r="AA886" i="2"/>
  <c r="AK886" i="2"/>
  <c r="U886" i="2"/>
  <c r="AF886" i="2"/>
  <c r="AA870" i="2"/>
  <c r="AK870" i="2"/>
  <c r="U870" i="2"/>
  <c r="AF870" i="2"/>
  <c r="AA854" i="2"/>
  <c r="AK854" i="2"/>
  <c r="U854" i="2"/>
  <c r="AF854" i="2"/>
  <c r="AA838" i="2"/>
  <c r="AK838" i="2"/>
  <c r="U838" i="2"/>
  <c r="AF838" i="2"/>
  <c r="AA822" i="2"/>
  <c r="AK822" i="2"/>
  <c r="U822" i="2"/>
  <c r="AF822" i="2"/>
  <c r="AA806" i="2"/>
  <c r="AK806" i="2"/>
  <c r="U806" i="2"/>
  <c r="AF806" i="2"/>
  <c r="AA790" i="2"/>
  <c r="AK790" i="2"/>
  <c r="U790" i="2"/>
  <c r="AF790" i="2"/>
  <c r="AA774" i="2"/>
  <c r="AK774" i="2"/>
  <c r="U774" i="2"/>
  <c r="AF774" i="2"/>
  <c r="AA758" i="2"/>
  <c r="AK758" i="2"/>
  <c r="U758" i="2"/>
  <c r="AF758" i="2"/>
  <c r="AA742" i="2"/>
  <c r="AK742" i="2"/>
  <c r="U742" i="2"/>
  <c r="AF742" i="2"/>
  <c r="S726" i="2"/>
  <c r="Q726" i="2"/>
  <c r="R726" i="2"/>
  <c r="AP726" i="2" s="1"/>
  <c r="AK543" i="2"/>
  <c r="U543" i="2"/>
  <c r="AF543" i="2"/>
  <c r="AA543" i="2"/>
  <c r="AF528" i="2"/>
  <c r="AA528" i="2"/>
  <c r="AK528" i="2"/>
  <c r="U528" i="2"/>
  <c r="AK511" i="2"/>
  <c r="U511" i="2"/>
  <c r="AF511" i="2"/>
  <c r="AA511" i="2"/>
  <c r="AK505" i="2"/>
  <c r="U505" i="2"/>
  <c r="AF505" i="2"/>
  <c r="AA505" i="2"/>
  <c r="AK501" i="2"/>
  <c r="U501" i="2"/>
  <c r="AF501" i="2"/>
  <c r="AA501" i="2"/>
  <c r="AK497" i="2"/>
  <c r="U497" i="2"/>
  <c r="AF497" i="2"/>
  <c r="AA497" i="2"/>
  <c r="AF493" i="2"/>
  <c r="AK493" i="2"/>
  <c r="U493" i="2"/>
  <c r="AA493" i="2"/>
  <c r="AF477" i="2"/>
  <c r="AK477" i="2"/>
  <c r="U477" i="2"/>
  <c r="AA477" i="2"/>
  <c r="AF461" i="2"/>
  <c r="AK461" i="2"/>
  <c r="U461" i="2"/>
  <c r="AA461" i="2"/>
  <c r="AF445" i="2"/>
  <c r="AK445" i="2"/>
  <c r="U445" i="2"/>
  <c r="AA445" i="2"/>
  <c r="AF429" i="2"/>
  <c r="AK429" i="2"/>
  <c r="U429" i="2"/>
  <c r="AA429" i="2"/>
  <c r="AF413" i="2"/>
  <c r="AK413" i="2"/>
  <c r="U413" i="2"/>
  <c r="AA413" i="2"/>
  <c r="Q323" i="2"/>
  <c r="S323" i="2"/>
  <c r="R323" i="2"/>
  <c r="AP323" i="2" s="1"/>
  <c r="AF309" i="2"/>
  <c r="AK309" i="2"/>
  <c r="U309" i="2"/>
  <c r="AA309" i="2"/>
  <c r="Q291" i="2"/>
  <c r="S291" i="2"/>
  <c r="R291" i="2"/>
  <c r="AP291" i="2" s="1"/>
  <c r="AF277" i="2"/>
  <c r="AK277" i="2"/>
  <c r="U277" i="2"/>
  <c r="AA277" i="2"/>
  <c r="Q259" i="2"/>
  <c r="S259" i="2"/>
  <c r="R259" i="2"/>
  <c r="AP259" i="2" s="1"/>
  <c r="AF245" i="2"/>
  <c r="AK245" i="2"/>
  <c r="U245" i="2"/>
  <c r="AA245" i="2"/>
  <c r="Q227" i="2"/>
  <c r="S227" i="2"/>
  <c r="R227" i="2"/>
  <c r="AP227" i="2" s="1"/>
  <c r="AF213" i="2"/>
  <c r="AK213" i="2"/>
  <c r="U213" i="2"/>
  <c r="AA213" i="2"/>
  <c r="AA934" i="2"/>
  <c r="AK934" i="2"/>
  <c r="U934" i="2"/>
  <c r="AF934" i="2"/>
  <c r="AK875" i="2"/>
  <c r="U875" i="2"/>
  <c r="AA875" i="2"/>
  <c r="AF875" i="2"/>
  <c r="AK859" i="2"/>
  <c r="U859" i="2"/>
  <c r="AA859" i="2"/>
  <c r="AF859" i="2"/>
  <c r="AK843" i="2"/>
  <c r="U843" i="2"/>
  <c r="AA843" i="2"/>
  <c r="AF843" i="2"/>
  <c r="AK827" i="2"/>
  <c r="U827" i="2"/>
  <c r="AA827" i="2"/>
  <c r="AF827" i="2"/>
  <c r="AK811" i="2"/>
  <c r="U811" i="2"/>
  <c r="AA811" i="2"/>
  <c r="AF811" i="2"/>
  <c r="AK795" i="2"/>
  <c r="U795" i="2"/>
  <c r="AA795" i="2"/>
  <c r="AF795" i="2"/>
  <c r="AK779" i="2"/>
  <c r="U779" i="2"/>
  <c r="AA779" i="2"/>
  <c r="AF779" i="2"/>
  <c r="AK763" i="2"/>
  <c r="U763" i="2"/>
  <c r="AA763" i="2"/>
  <c r="AF763" i="2"/>
  <c r="AK747" i="2"/>
  <c r="U747" i="2"/>
  <c r="AA747" i="2"/>
  <c r="AF747" i="2"/>
  <c r="AK731" i="2"/>
  <c r="U731" i="2"/>
  <c r="AA731" i="2"/>
  <c r="AF731" i="2"/>
  <c r="AF542" i="2"/>
  <c r="AA542" i="2"/>
  <c r="AK542" i="2"/>
  <c r="U542" i="2"/>
  <c r="S540" i="2"/>
  <c r="R540" i="2"/>
  <c r="AP540" i="2" s="1"/>
  <c r="Q540" i="2"/>
  <c r="R531" i="2"/>
  <c r="AP531" i="2" s="1"/>
  <c r="Q531" i="2"/>
  <c r="S531" i="2"/>
  <c r="AK525" i="2"/>
  <c r="U525" i="2"/>
  <c r="AF525" i="2"/>
  <c r="AA525" i="2"/>
  <c r="AF510" i="2"/>
  <c r="AA510" i="2"/>
  <c r="AK510" i="2"/>
  <c r="U510" i="2"/>
  <c r="S508" i="2"/>
  <c r="R508" i="2"/>
  <c r="AP508" i="2" s="1"/>
  <c r="Q508" i="2"/>
  <c r="R481" i="2"/>
  <c r="AP481" i="2" s="1"/>
  <c r="Q481" i="2"/>
  <c r="S481" i="2"/>
  <c r="R472" i="2"/>
  <c r="AP472" i="2" s="1"/>
  <c r="S472" i="2"/>
  <c r="Q472" i="2"/>
  <c r="AF467" i="2"/>
  <c r="AA467" i="2"/>
  <c r="AK467" i="2"/>
  <c r="U467" i="2"/>
  <c r="R449" i="2"/>
  <c r="AP449" i="2" s="1"/>
  <c r="Q449" i="2"/>
  <c r="S449" i="2"/>
  <c r="R440" i="2"/>
  <c r="AP440" i="2" s="1"/>
  <c r="S440" i="2"/>
  <c r="Q440" i="2"/>
  <c r="AF435" i="2"/>
  <c r="AA435" i="2"/>
  <c r="AK435" i="2"/>
  <c r="U435" i="2"/>
  <c r="R417" i="2"/>
  <c r="AP417" i="2" s="1"/>
  <c r="Q417" i="2"/>
  <c r="S417" i="2"/>
  <c r="R408" i="2"/>
  <c r="AP408" i="2" s="1"/>
  <c r="S408" i="2"/>
  <c r="Q408" i="2"/>
  <c r="AF403" i="2"/>
  <c r="AA403" i="2"/>
  <c r="AK403" i="2"/>
  <c r="U403" i="2"/>
  <c r="R400" i="2"/>
  <c r="AP400" i="2" s="1"/>
  <c r="S400" i="2"/>
  <c r="Q400" i="2"/>
  <c r="AF395" i="2"/>
  <c r="AA395" i="2"/>
  <c r="AK395" i="2"/>
  <c r="U395" i="2"/>
  <c r="R392" i="2"/>
  <c r="AP392" i="2" s="1"/>
  <c r="S392" i="2"/>
  <c r="Q392" i="2"/>
  <c r="AF387" i="2"/>
  <c r="AA387" i="2"/>
  <c r="AK387" i="2"/>
  <c r="U387" i="2"/>
  <c r="R384" i="2"/>
  <c r="AP384" i="2" s="1"/>
  <c r="S384" i="2"/>
  <c r="Q384" i="2"/>
  <c r="AF379" i="2"/>
  <c r="AA379" i="2"/>
  <c r="AK379" i="2"/>
  <c r="U379" i="2"/>
  <c r="R376" i="2"/>
  <c r="AP376" i="2" s="1"/>
  <c r="S376" i="2"/>
  <c r="Q376" i="2"/>
  <c r="AF371" i="2"/>
  <c r="AA371" i="2"/>
  <c r="AK371" i="2"/>
  <c r="U371" i="2"/>
  <c r="R368" i="2"/>
  <c r="AP368" i="2" s="1"/>
  <c r="S368" i="2"/>
  <c r="Q368" i="2"/>
  <c r="AF363" i="2"/>
  <c r="AA363" i="2"/>
  <c r="AK363" i="2"/>
  <c r="U363" i="2"/>
  <c r="R360" i="2"/>
  <c r="AP360" i="2" s="1"/>
  <c r="S360" i="2"/>
  <c r="Q360" i="2"/>
  <c r="AF355" i="2"/>
  <c r="AA355" i="2"/>
  <c r="AK355" i="2"/>
  <c r="U355" i="2"/>
  <c r="R352" i="2"/>
  <c r="AP352" i="2" s="1"/>
  <c r="S352" i="2"/>
  <c r="Q352" i="2"/>
  <c r="AF347" i="2"/>
  <c r="AA347" i="2"/>
  <c r="AK347" i="2"/>
  <c r="U347" i="2"/>
  <c r="R344" i="2"/>
  <c r="AP344" i="2" s="1"/>
  <c r="S344" i="2"/>
  <c r="Q344" i="2"/>
  <c r="AF339" i="2"/>
  <c r="AA339" i="2"/>
  <c r="AK339" i="2"/>
  <c r="U339" i="2"/>
  <c r="R336" i="2"/>
  <c r="AP336" i="2" s="1"/>
  <c r="S336" i="2"/>
  <c r="Q336" i="2"/>
  <c r="AF331" i="2"/>
  <c r="AA331" i="2"/>
  <c r="AK331" i="2"/>
  <c r="U331" i="2"/>
  <c r="R328" i="2"/>
  <c r="AP328" i="2" s="1"/>
  <c r="S328" i="2"/>
  <c r="Q328" i="2"/>
  <c r="R313" i="2"/>
  <c r="AP313" i="2" s="1"/>
  <c r="Q313" i="2"/>
  <c r="S313" i="2"/>
  <c r="R281" i="2"/>
  <c r="AP281" i="2" s="1"/>
  <c r="Q281" i="2"/>
  <c r="S281" i="2"/>
  <c r="R249" i="2"/>
  <c r="AP249" i="2" s="1"/>
  <c r="Q249" i="2"/>
  <c r="S249" i="2"/>
  <c r="R217" i="2"/>
  <c r="AP217" i="2" s="1"/>
  <c r="Q217" i="2"/>
  <c r="S217" i="2"/>
  <c r="G185" i="4"/>
  <c r="R185" i="2"/>
  <c r="AP185" i="2" s="1"/>
  <c r="S185" i="2"/>
  <c r="Q185" i="2"/>
  <c r="G153" i="4"/>
  <c r="R153" i="2"/>
  <c r="AP153" i="2" s="1"/>
  <c r="S153" i="2"/>
  <c r="Q153" i="2"/>
  <c r="G121" i="4"/>
  <c r="R121" i="2"/>
  <c r="AP121" i="2" s="1"/>
  <c r="S121" i="2"/>
  <c r="Q121" i="2"/>
  <c r="AK555" i="2"/>
  <c r="U555" i="2"/>
  <c r="AF555" i="2"/>
  <c r="AA555" i="2"/>
  <c r="AK547" i="2"/>
  <c r="U547" i="2"/>
  <c r="AF547" i="2"/>
  <c r="AA547" i="2"/>
  <c r="AK539" i="2"/>
  <c r="U539" i="2"/>
  <c r="AF539" i="2"/>
  <c r="AA539" i="2"/>
  <c r="AK531" i="2"/>
  <c r="U531" i="2"/>
  <c r="AF531" i="2"/>
  <c r="AA531" i="2"/>
  <c r="AK523" i="2"/>
  <c r="U523" i="2"/>
  <c r="AF523" i="2"/>
  <c r="AA523" i="2"/>
  <c r="AK515" i="2"/>
  <c r="U515" i="2"/>
  <c r="AF515" i="2"/>
  <c r="AA515" i="2"/>
  <c r="AK507" i="2"/>
  <c r="U507" i="2"/>
  <c r="AF507" i="2"/>
  <c r="AA507" i="2"/>
  <c r="R406" i="2"/>
  <c r="AP406" i="2" s="1"/>
  <c r="S406" i="2"/>
  <c r="Q406" i="2"/>
  <c r="R398" i="2"/>
  <c r="AP398" i="2" s="1"/>
  <c r="S398" i="2"/>
  <c r="Q398" i="2"/>
  <c r="R390" i="2"/>
  <c r="AP390" i="2" s="1"/>
  <c r="S390" i="2"/>
  <c r="Q390" i="2"/>
  <c r="R382" i="2"/>
  <c r="AP382" i="2" s="1"/>
  <c r="S382" i="2"/>
  <c r="Q382" i="2"/>
  <c r="R374" i="2"/>
  <c r="AP374" i="2" s="1"/>
  <c r="S374" i="2"/>
  <c r="Q374" i="2"/>
  <c r="R366" i="2"/>
  <c r="AP366" i="2" s="1"/>
  <c r="S366" i="2"/>
  <c r="Q366" i="2"/>
  <c r="R358" i="2"/>
  <c r="AP358" i="2" s="1"/>
  <c r="S358" i="2"/>
  <c r="Q358" i="2"/>
  <c r="R350" i="2"/>
  <c r="AP350" i="2" s="1"/>
  <c r="S350" i="2"/>
  <c r="Q350" i="2"/>
  <c r="R342" i="2"/>
  <c r="AP342" i="2" s="1"/>
  <c r="S342" i="2"/>
  <c r="Q342" i="2"/>
  <c r="R334" i="2"/>
  <c r="AP334" i="2" s="1"/>
  <c r="S334" i="2"/>
  <c r="Q334" i="2"/>
  <c r="R326" i="2"/>
  <c r="AP326" i="2" s="1"/>
  <c r="S326" i="2"/>
  <c r="Q326" i="2"/>
  <c r="AF465" i="2"/>
  <c r="AA465" i="2"/>
  <c r="AK465" i="2"/>
  <c r="U465" i="2"/>
  <c r="AF439" i="2"/>
  <c r="AA439" i="2"/>
  <c r="AK439" i="2"/>
  <c r="U439" i="2"/>
  <c r="AK416" i="2"/>
  <c r="AF416" i="2"/>
  <c r="AA416" i="2"/>
  <c r="U416" i="2"/>
  <c r="AF323" i="2"/>
  <c r="AA323" i="2"/>
  <c r="AK323" i="2"/>
  <c r="U323" i="2"/>
  <c r="AK300" i="2"/>
  <c r="AF300" i="2"/>
  <c r="AA300" i="2"/>
  <c r="U300" i="2"/>
  <c r="S287" i="2"/>
  <c r="R287" i="2"/>
  <c r="AP287" i="2" s="1"/>
  <c r="Q287" i="2"/>
  <c r="AF281" i="2"/>
  <c r="AA281" i="2"/>
  <c r="AK281" i="2"/>
  <c r="U281" i="2"/>
  <c r="AF275" i="2"/>
  <c r="AA275" i="2"/>
  <c r="AK275" i="2"/>
  <c r="U275" i="2"/>
  <c r="AK250" i="2"/>
  <c r="AF250" i="2"/>
  <c r="AA250" i="2"/>
  <c r="U250" i="2"/>
  <c r="AK236" i="2"/>
  <c r="AF236" i="2"/>
  <c r="AA236" i="2"/>
  <c r="U236" i="2"/>
  <c r="S223" i="2"/>
  <c r="R223" i="2"/>
  <c r="AP223" i="2" s="1"/>
  <c r="Q223" i="2"/>
  <c r="AF217" i="2"/>
  <c r="AA217" i="2"/>
  <c r="AK217" i="2"/>
  <c r="U217" i="2"/>
  <c r="AF211" i="2"/>
  <c r="AA211" i="2"/>
  <c r="AK211" i="2"/>
  <c r="U211" i="2"/>
  <c r="AL196" i="2"/>
  <c r="V196" i="2"/>
  <c r="AB196" i="2"/>
  <c r="AG196" i="2"/>
  <c r="AL180" i="2"/>
  <c r="V180" i="2"/>
  <c r="AB180" i="2"/>
  <c r="AG180" i="2"/>
  <c r="AL164" i="2"/>
  <c r="V164" i="2"/>
  <c r="AB164" i="2"/>
  <c r="AG164" i="2"/>
  <c r="AL148" i="2"/>
  <c r="V148" i="2"/>
  <c r="AB148" i="2"/>
  <c r="AG148" i="2"/>
  <c r="AL132" i="2"/>
  <c r="V132" i="2"/>
  <c r="AB132" i="2"/>
  <c r="AG132" i="2"/>
  <c r="AL116" i="2"/>
  <c r="V116" i="2"/>
  <c r="AB116" i="2"/>
  <c r="AG116" i="2"/>
  <c r="AK100" i="2"/>
  <c r="AF100" i="2"/>
  <c r="AA100" i="2"/>
  <c r="U100" i="2"/>
  <c r="AF83" i="2"/>
  <c r="AA83" i="2"/>
  <c r="U83" i="2"/>
  <c r="AK83" i="2"/>
  <c r="AK68" i="2"/>
  <c r="AF68" i="2"/>
  <c r="AA68" i="2"/>
  <c r="U68" i="2"/>
  <c r="AF51" i="2"/>
  <c r="AA51" i="2"/>
  <c r="U51" i="2"/>
  <c r="AK51" i="2"/>
  <c r="AK36" i="2"/>
  <c r="AF36" i="2"/>
  <c r="AA36" i="2"/>
  <c r="U36" i="2"/>
  <c r="AF9" i="2"/>
  <c r="AA9" i="2"/>
  <c r="U9" i="2"/>
  <c r="AK9" i="2"/>
  <c r="AK488" i="2"/>
  <c r="AF488" i="2"/>
  <c r="AA488" i="2"/>
  <c r="U488" i="2"/>
  <c r="AK458" i="2"/>
  <c r="AF458" i="2"/>
  <c r="AA458" i="2"/>
  <c r="U458" i="2"/>
  <c r="AF409" i="2"/>
  <c r="AA409" i="2"/>
  <c r="AK409" i="2"/>
  <c r="U409" i="2"/>
  <c r="AK392" i="2"/>
  <c r="AF392" i="2"/>
  <c r="AA392" i="2"/>
  <c r="U392" i="2"/>
  <c r="AK360" i="2"/>
  <c r="AF360" i="2"/>
  <c r="AA360" i="2"/>
  <c r="U360" i="2"/>
  <c r="AK328" i="2"/>
  <c r="AF328" i="2"/>
  <c r="AA328" i="2"/>
  <c r="U328" i="2"/>
  <c r="R308" i="2"/>
  <c r="AP308" i="2" s="1"/>
  <c r="S308" i="2"/>
  <c r="Q308" i="2"/>
  <c r="R292" i="2"/>
  <c r="AP292" i="2" s="1"/>
  <c r="S292" i="2"/>
  <c r="Q292" i="2"/>
  <c r="R276" i="2"/>
  <c r="AP276" i="2" s="1"/>
  <c r="S276" i="2"/>
  <c r="Q276" i="2"/>
  <c r="AF239" i="2"/>
  <c r="AA239" i="2"/>
  <c r="AK239" i="2"/>
  <c r="U239" i="2"/>
  <c r="R228" i="2"/>
  <c r="AP228" i="2" s="1"/>
  <c r="S228" i="2"/>
  <c r="Q228" i="2"/>
  <c r="AF199" i="2"/>
  <c r="AA199" i="2"/>
  <c r="AK199" i="2"/>
  <c r="U199" i="2"/>
  <c r="AF181" i="2"/>
  <c r="AK181" i="2"/>
  <c r="U181" i="2"/>
  <c r="AA181" i="2"/>
  <c r="G179" i="4"/>
  <c r="Q179" i="2"/>
  <c r="S179" i="2"/>
  <c r="R179" i="2"/>
  <c r="AP179" i="2" s="1"/>
  <c r="AF167" i="2"/>
  <c r="AA167" i="2"/>
  <c r="AK167" i="2"/>
  <c r="U167" i="2"/>
  <c r="AF149" i="2"/>
  <c r="AK149" i="2"/>
  <c r="U149" i="2"/>
  <c r="AA149" i="2"/>
  <c r="G147" i="4"/>
  <c r="Q147" i="2"/>
  <c r="S147" i="2"/>
  <c r="R147" i="2"/>
  <c r="AP147" i="2" s="1"/>
  <c r="AF135" i="2"/>
  <c r="AA135" i="2"/>
  <c r="AK135" i="2"/>
  <c r="U135" i="2"/>
  <c r="AF117" i="2"/>
  <c r="AK117" i="2"/>
  <c r="U117" i="2"/>
  <c r="AA117" i="2"/>
  <c r="G115" i="4"/>
  <c r="Q115" i="2"/>
  <c r="S115" i="2"/>
  <c r="R115" i="2"/>
  <c r="AP115" i="2" s="1"/>
  <c r="AF103" i="2"/>
  <c r="AA103" i="2"/>
  <c r="AK103" i="2"/>
  <c r="U103" i="2"/>
  <c r="U74" i="2"/>
  <c r="AA74" i="2"/>
  <c r="AF74" i="2"/>
  <c r="AK74" i="2"/>
  <c r="AF71" i="2"/>
  <c r="AK71" i="2"/>
  <c r="AA71" i="2"/>
  <c r="U71" i="2"/>
  <c r="U42" i="2"/>
  <c r="AA42" i="2"/>
  <c r="AF42" i="2"/>
  <c r="AK42" i="2"/>
  <c r="AF39" i="2"/>
  <c r="AK39" i="2"/>
  <c r="AA39" i="2"/>
  <c r="U39" i="2"/>
  <c r="U10" i="2"/>
  <c r="AA10" i="2"/>
  <c r="AF10" i="2"/>
  <c r="AK10" i="2"/>
  <c r="AF7" i="2"/>
  <c r="AK7" i="2"/>
  <c r="AA7" i="2"/>
  <c r="U7" i="2"/>
  <c r="AF25" i="2"/>
  <c r="AK25" i="2"/>
  <c r="AA25" i="2"/>
  <c r="U25" i="2"/>
  <c r="AK466" i="2"/>
  <c r="AF466" i="2"/>
  <c r="AA466" i="2"/>
  <c r="U466" i="2"/>
  <c r="AF417" i="2"/>
  <c r="AA417" i="2"/>
  <c r="AK417" i="2"/>
  <c r="U417" i="2"/>
  <c r="AK306" i="2"/>
  <c r="AF306" i="2"/>
  <c r="AA306" i="2"/>
  <c r="U306" i="2"/>
  <c r="AK292" i="2"/>
  <c r="AF292" i="2"/>
  <c r="AA292" i="2"/>
  <c r="U292" i="2"/>
  <c r="S279" i="2"/>
  <c r="R279" i="2"/>
  <c r="AP279" i="2" s="1"/>
  <c r="Q279" i="2"/>
  <c r="AF273" i="2"/>
  <c r="AA273" i="2"/>
  <c r="AK273" i="2"/>
  <c r="U273" i="2"/>
  <c r="AF267" i="2"/>
  <c r="AA267" i="2"/>
  <c r="AK267" i="2"/>
  <c r="U267" i="2"/>
  <c r="AK242" i="2"/>
  <c r="AF242" i="2"/>
  <c r="AA242" i="2"/>
  <c r="U242" i="2"/>
  <c r="AK228" i="2"/>
  <c r="AF228" i="2"/>
  <c r="AA228" i="2"/>
  <c r="U228" i="2"/>
  <c r="S215" i="2"/>
  <c r="R215" i="2"/>
  <c r="AP215" i="2" s="1"/>
  <c r="Q215" i="2"/>
  <c r="AF209" i="2"/>
  <c r="AA209" i="2"/>
  <c r="AK209" i="2"/>
  <c r="U209" i="2"/>
  <c r="AK206" i="2"/>
  <c r="AA206" i="2"/>
  <c r="AF206" i="2"/>
  <c r="U206" i="2"/>
  <c r="AF193" i="2"/>
  <c r="AK193" i="2"/>
  <c r="U193" i="2"/>
  <c r="AA193" i="2"/>
  <c r="AF177" i="2"/>
  <c r="AK177" i="2"/>
  <c r="U177" i="2"/>
  <c r="AA177" i="2"/>
  <c r="BD164" i="2"/>
  <c r="AF161" i="2"/>
  <c r="AK161" i="2"/>
  <c r="U161" i="2"/>
  <c r="AA161" i="2"/>
  <c r="AF145" i="2"/>
  <c r="AK145" i="2"/>
  <c r="U145" i="2"/>
  <c r="AA145" i="2"/>
  <c r="AF129" i="2"/>
  <c r="AK129" i="2"/>
  <c r="U129" i="2"/>
  <c r="AA129" i="2"/>
  <c r="BD116" i="2"/>
  <c r="AF113" i="2"/>
  <c r="AK113" i="2"/>
  <c r="U113" i="2"/>
  <c r="AA113" i="2"/>
  <c r="AK94" i="2"/>
  <c r="U94" i="2"/>
  <c r="AA94" i="2"/>
  <c r="AF94" i="2"/>
  <c r="AK88" i="2"/>
  <c r="U88" i="2"/>
  <c r="AA88" i="2"/>
  <c r="AF88" i="2"/>
  <c r="AK82" i="2"/>
  <c r="U82" i="2"/>
  <c r="AA82" i="2"/>
  <c r="AF82" i="2"/>
  <c r="BD72" i="2"/>
  <c r="AF57" i="2"/>
  <c r="AK57" i="2"/>
  <c r="AA57" i="2"/>
  <c r="U57" i="2"/>
  <c r="G55" i="4"/>
  <c r="S55" i="2"/>
  <c r="R55" i="2"/>
  <c r="AP55" i="2" s="1"/>
  <c r="Q55" i="2"/>
  <c r="AF47" i="2"/>
  <c r="AK47" i="2"/>
  <c r="AA47" i="2"/>
  <c r="U47" i="2"/>
  <c r="G33" i="4"/>
  <c r="R33" i="2"/>
  <c r="AP33" i="2" s="1"/>
  <c r="S33" i="2"/>
  <c r="Q33" i="2"/>
  <c r="AA506" i="2"/>
  <c r="AF506" i="2"/>
  <c r="AK506" i="2"/>
  <c r="U506" i="2"/>
  <c r="AA502" i="2"/>
  <c r="AF502" i="2"/>
  <c r="AK502" i="2"/>
  <c r="U502" i="2"/>
  <c r="AA498" i="2"/>
  <c r="AF498" i="2"/>
  <c r="AK498" i="2"/>
  <c r="U498" i="2"/>
  <c r="AF457" i="2"/>
  <c r="AA457" i="2"/>
  <c r="AK457" i="2"/>
  <c r="U457" i="2"/>
  <c r="AF431" i="2"/>
  <c r="AA431" i="2"/>
  <c r="AK431" i="2"/>
  <c r="U431" i="2"/>
  <c r="AK408" i="2"/>
  <c r="AF408" i="2"/>
  <c r="AA408" i="2"/>
  <c r="U408" i="2"/>
  <c r="AF399" i="2"/>
  <c r="AA399" i="2"/>
  <c r="AK399" i="2"/>
  <c r="U399" i="2"/>
  <c r="AF391" i="2"/>
  <c r="AA391" i="2"/>
  <c r="AK391" i="2"/>
  <c r="U391" i="2"/>
  <c r="AF383" i="2"/>
  <c r="AA383" i="2"/>
  <c r="AK383" i="2"/>
  <c r="U383" i="2"/>
  <c r="AF375" i="2"/>
  <c r="AA375" i="2"/>
  <c r="AK375" i="2"/>
  <c r="U375" i="2"/>
  <c r="AF367" i="2"/>
  <c r="AA367" i="2"/>
  <c r="AK367" i="2"/>
  <c r="U367" i="2"/>
  <c r="AF359" i="2"/>
  <c r="AA359" i="2"/>
  <c r="AK359" i="2"/>
  <c r="U359" i="2"/>
  <c r="AF351" i="2"/>
  <c r="AA351" i="2"/>
  <c r="AK351" i="2"/>
  <c r="U351" i="2"/>
  <c r="AF343" i="2"/>
  <c r="AA343" i="2"/>
  <c r="AK343" i="2"/>
  <c r="U343" i="2"/>
  <c r="AF335" i="2"/>
  <c r="AA335" i="2"/>
  <c r="AK335" i="2"/>
  <c r="U335" i="2"/>
  <c r="AF327" i="2"/>
  <c r="AA327" i="2"/>
  <c r="AK327" i="2"/>
  <c r="U327" i="2"/>
  <c r="R316" i="2"/>
  <c r="AP316" i="2" s="1"/>
  <c r="S316" i="2"/>
  <c r="Q316" i="2"/>
  <c r="AF311" i="2"/>
  <c r="AA311" i="2"/>
  <c r="U311" i="2"/>
  <c r="AK311" i="2"/>
  <c r="AL264" i="2"/>
  <c r="V264" i="2"/>
  <c r="AG264" i="2"/>
  <c r="AB264" i="2"/>
  <c r="AF263" i="2"/>
  <c r="AA263" i="2"/>
  <c r="U263" i="2"/>
  <c r="AK263" i="2"/>
  <c r="AF231" i="2"/>
  <c r="AA231" i="2"/>
  <c r="U231" i="2"/>
  <c r="AK231" i="2"/>
  <c r="AF205" i="2"/>
  <c r="AK205" i="2"/>
  <c r="U205" i="2"/>
  <c r="AA205" i="2"/>
  <c r="AF191" i="2"/>
  <c r="AA191" i="2"/>
  <c r="U191" i="2"/>
  <c r="AK191" i="2"/>
  <c r="G187" i="4"/>
  <c r="Q187" i="2"/>
  <c r="S187" i="2"/>
  <c r="R187" i="2"/>
  <c r="AP187" i="2" s="1"/>
  <c r="AF173" i="2"/>
  <c r="AK173" i="2"/>
  <c r="U173" i="2"/>
  <c r="AA173" i="2"/>
  <c r="G144" i="4"/>
  <c r="R144" i="2"/>
  <c r="AP144" i="2" s="1"/>
  <c r="AQ144" i="2" s="1"/>
  <c r="AV144" i="2" s="1"/>
  <c r="BE144" i="2" s="1"/>
  <c r="S144" i="2"/>
  <c r="Q144" i="2"/>
  <c r="AK138" i="2"/>
  <c r="AA138" i="2"/>
  <c r="AF138" i="2"/>
  <c r="U138" i="2"/>
  <c r="AF127" i="2"/>
  <c r="AA127" i="2"/>
  <c r="U127" i="2"/>
  <c r="AK127" i="2"/>
  <c r="G123" i="4"/>
  <c r="Q123" i="2"/>
  <c r="S123" i="2"/>
  <c r="R123" i="2"/>
  <c r="AP123" i="2" s="1"/>
  <c r="AF109" i="2"/>
  <c r="AK109" i="2"/>
  <c r="U109" i="2"/>
  <c r="AA109" i="2"/>
  <c r="G83" i="4"/>
  <c r="Q83" i="2"/>
  <c r="S83" i="2"/>
  <c r="R83" i="2"/>
  <c r="AP83" i="2" s="1"/>
  <c r="AF65" i="2"/>
  <c r="AK65" i="2"/>
  <c r="AA65" i="2"/>
  <c r="U65" i="2"/>
  <c r="G63" i="4"/>
  <c r="S63" i="2"/>
  <c r="R63" i="2"/>
  <c r="AP63" i="2" s="1"/>
  <c r="Q63" i="2"/>
  <c r="AF55" i="2"/>
  <c r="AK55" i="2"/>
  <c r="AA55" i="2"/>
  <c r="U55" i="2"/>
  <c r="G36" i="4"/>
  <c r="R36" i="2"/>
  <c r="AP36" i="2" s="1"/>
  <c r="S36" i="2"/>
  <c r="Q36" i="2"/>
  <c r="AF32" i="2"/>
  <c r="AK32" i="2"/>
  <c r="U32" i="2"/>
  <c r="AA32" i="2"/>
  <c r="AF26" i="2"/>
  <c r="AK26" i="2"/>
  <c r="U26" i="2"/>
  <c r="AA26" i="2"/>
  <c r="G9" i="4"/>
  <c r="R9" i="2"/>
  <c r="AP9" i="2" s="1"/>
  <c r="S9" i="2"/>
  <c r="Q9" i="2"/>
  <c r="G17" i="4"/>
  <c r="R17" i="2"/>
  <c r="AP17" i="2" s="1"/>
  <c r="S17" i="2"/>
  <c r="Q17" i="2"/>
  <c r="AF8" i="2"/>
  <c r="AK8" i="2"/>
  <c r="U8" i="2"/>
  <c r="AA8" i="2"/>
  <c r="AL104" i="2"/>
  <c r="V104" i="2"/>
  <c r="AB104" i="2"/>
  <c r="AG104" i="2"/>
  <c r="AF59" i="2"/>
  <c r="AA59" i="2"/>
  <c r="AK59" i="2"/>
  <c r="U59" i="2"/>
  <c r="AL120" i="2"/>
  <c r="V120" i="2"/>
  <c r="AB120" i="2"/>
  <c r="AG120" i="2"/>
  <c r="U86" i="2"/>
  <c r="AA86" i="2"/>
  <c r="AF86" i="2"/>
  <c r="AK86" i="2"/>
  <c r="AK44" i="2"/>
  <c r="AF44" i="2"/>
  <c r="AA44" i="2"/>
  <c r="U44" i="2"/>
  <c r="AF69" i="2"/>
  <c r="AK69" i="2"/>
  <c r="U69" i="2"/>
  <c r="AA69" i="2"/>
  <c r="AF27" i="2"/>
  <c r="AA27" i="2"/>
  <c r="U27" i="2"/>
  <c r="AK27" i="2"/>
  <c r="BD14" i="2"/>
  <c r="BD86" i="2"/>
  <c r="AK60" i="2"/>
  <c r="AF60" i="2"/>
  <c r="AA60" i="2"/>
  <c r="U60" i="2"/>
  <c r="AF2500" i="2"/>
  <c r="AK2500" i="2"/>
  <c r="U2500" i="2"/>
  <c r="AA2500" i="2"/>
  <c r="S2501" i="2"/>
  <c r="R2501" i="2"/>
  <c r="AP2501" i="2" s="1"/>
  <c r="Q2501" i="2"/>
  <c r="R2498" i="2"/>
  <c r="AP2498" i="2" s="1"/>
  <c r="Q2498" i="2"/>
  <c r="S2498" i="2"/>
  <c r="R2490" i="2"/>
  <c r="AP2490" i="2" s="1"/>
  <c r="Q2490" i="2"/>
  <c r="S2490" i="2"/>
  <c r="AF2490" i="2"/>
  <c r="AK2490" i="2"/>
  <c r="U2490" i="2"/>
  <c r="AA2490" i="2"/>
  <c r="AF2499" i="2"/>
  <c r="AA2499" i="2"/>
  <c r="AK2499" i="2"/>
  <c r="U2499" i="2"/>
  <c r="AF2491" i="2"/>
  <c r="AA2491" i="2"/>
  <c r="AK2491" i="2"/>
  <c r="U2491" i="2"/>
  <c r="AF2474" i="2"/>
  <c r="AK2474" i="2"/>
  <c r="U2474" i="2"/>
  <c r="AA2474" i="2"/>
  <c r="Q2453" i="2"/>
  <c r="S2453" i="2"/>
  <c r="R2453" i="2"/>
  <c r="AP2453" i="2" s="1"/>
  <c r="AA2442" i="2"/>
  <c r="AK2442" i="2"/>
  <c r="U2442" i="2"/>
  <c r="AF2442" i="2"/>
  <c r="Q2421" i="2"/>
  <c r="S2421" i="2"/>
  <c r="R2421" i="2"/>
  <c r="AP2421" i="2" s="1"/>
  <c r="AK2455" i="2"/>
  <c r="U2455" i="2"/>
  <c r="AF2455" i="2"/>
  <c r="AA2455" i="2"/>
  <c r="AA2394" i="2"/>
  <c r="AK2394" i="2"/>
  <c r="U2394" i="2"/>
  <c r="AF2394" i="2"/>
  <c r="Q2459" i="2"/>
  <c r="S2459" i="2"/>
  <c r="R2459" i="2"/>
  <c r="AP2459" i="2" s="1"/>
  <c r="Q2443" i="2"/>
  <c r="S2443" i="2"/>
  <c r="R2443" i="2"/>
  <c r="AP2443" i="2" s="1"/>
  <c r="Q2427" i="2"/>
  <c r="S2427" i="2"/>
  <c r="R2427" i="2"/>
  <c r="AP2427" i="2" s="1"/>
  <c r="Q2411" i="2"/>
  <c r="S2411" i="2"/>
  <c r="R2411" i="2"/>
  <c r="AP2411" i="2" s="1"/>
  <c r="AK2465" i="2"/>
  <c r="U2465" i="2"/>
  <c r="AF2465" i="2"/>
  <c r="AA2465" i="2"/>
  <c r="AK2449" i="2"/>
  <c r="U2449" i="2"/>
  <c r="AF2449" i="2"/>
  <c r="AA2449" i="2"/>
  <c r="AK2433" i="2"/>
  <c r="U2433" i="2"/>
  <c r="AF2433" i="2"/>
  <c r="AA2433" i="2"/>
  <c r="S2428" i="2"/>
  <c r="R2428" i="2"/>
  <c r="AP2428" i="2" s="1"/>
  <c r="Q2428" i="2"/>
  <c r="S2412" i="2"/>
  <c r="R2412" i="2"/>
  <c r="AP2412" i="2" s="1"/>
  <c r="Q2412" i="2"/>
  <c r="AF2377" i="2"/>
  <c r="AA2377" i="2"/>
  <c r="AK2377" i="2"/>
  <c r="U2377" i="2"/>
  <c r="AF2369" i="2"/>
  <c r="AA2369" i="2"/>
  <c r="AK2369" i="2"/>
  <c r="U2369" i="2"/>
  <c r="AF2353" i="2"/>
  <c r="AA2353" i="2"/>
  <c r="AK2353" i="2"/>
  <c r="U2353" i="2"/>
  <c r="AF2337" i="2"/>
  <c r="AA2337" i="2"/>
  <c r="AK2337" i="2"/>
  <c r="U2337" i="2"/>
  <c r="AF2329" i="2"/>
  <c r="AA2329" i="2"/>
  <c r="AK2329" i="2"/>
  <c r="U2329" i="2"/>
  <c r="AF2293" i="2"/>
  <c r="AK2293" i="2"/>
  <c r="U2293" i="2"/>
  <c r="AA2293" i="2"/>
  <c r="AF2285" i="2"/>
  <c r="AK2285" i="2"/>
  <c r="U2285" i="2"/>
  <c r="AA2285" i="2"/>
  <c r="AF2277" i="2"/>
  <c r="AK2277" i="2"/>
  <c r="U2277" i="2"/>
  <c r="AA2277" i="2"/>
  <c r="AF2269" i="2"/>
  <c r="AK2269" i="2"/>
  <c r="U2269" i="2"/>
  <c r="AA2269" i="2"/>
  <c r="AF2261" i="2"/>
  <c r="AK2261" i="2"/>
  <c r="U2261" i="2"/>
  <c r="AA2261" i="2"/>
  <c r="AF2229" i="2"/>
  <c r="AK2229" i="2"/>
  <c r="U2229" i="2"/>
  <c r="AA2229" i="2"/>
  <c r="AK2360" i="2"/>
  <c r="U2360" i="2"/>
  <c r="AF2360" i="2"/>
  <c r="AA2360" i="2"/>
  <c r="AK2352" i="2"/>
  <c r="U2352" i="2"/>
  <c r="AF2352" i="2"/>
  <c r="AA2352" i="2"/>
  <c r="AK2328" i="2"/>
  <c r="U2328" i="2"/>
  <c r="AF2328" i="2"/>
  <c r="AA2328" i="2"/>
  <c r="R2477" i="2"/>
  <c r="AP2477" i="2" s="1"/>
  <c r="S2477" i="2"/>
  <c r="Q2477" i="2"/>
  <c r="AF2497" i="2"/>
  <c r="AK2497" i="2"/>
  <c r="U2497" i="2"/>
  <c r="AA2497" i="2"/>
  <c r="AF2489" i="2"/>
  <c r="AK2489" i="2"/>
  <c r="U2489" i="2"/>
  <c r="AA2489" i="2"/>
  <c r="AF2477" i="2"/>
  <c r="AK2477" i="2"/>
  <c r="U2477" i="2"/>
  <c r="AA2477" i="2"/>
  <c r="R2496" i="2"/>
  <c r="AP2496" i="2" s="1"/>
  <c r="S2496" i="2"/>
  <c r="Q2496" i="2"/>
  <c r="AF2475" i="2"/>
  <c r="AA2475" i="2"/>
  <c r="AK2475" i="2"/>
  <c r="U2475" i="2"/>
  <c r="AA2462" i="2"/>
  <c r="AK2462" i="2"/>
  <c r="U2462" i="2"/>
  <c r="AF2462" i="2"/>
  <c r="Q2457" i="2"/>
  <c r="S2457" i="2"/>
  <c r="R2457" i="2"/>
  <c r="AP2457" i="2" s="1"/>
  <c r="AA2446" i="2"/>
  <c r="AK2446" i="2"/>
  <c r="U2446" i="2"/>
  <c r="AF2446" i="2"/>
  <c r="Q2401" i="2"/>
  <c r="S2401" i="2"/>
  <c r="R2401" i="2"/>
  <c r="AP2401" i="2" s="1"/>
  <c r="S2470" i="2"/>
  <c r="R2470" i="2"/>
  <c r="AP2470" i="2" s="1"/>
  <c r="Q2470" i="2"/>
  <c r="AK2459" i="2"/>
  <c r="U2459" i="2"/>
  <c r="AF2459" i="2"/>
  <c r="AA2459" i="2"/>
  <c r="AK2443" i="2"/>
  <c r="U2443" i="2"/>
  <c r="AF2443" i="2"/>
  <c r="AA2443" i="2"/>
  <c r="S2422" i="2"/>
  <c r="R2422" i="2"/>
  <c r="AP2422" i="2" s="1"/>
  <c r="Q2422" i="2"/>
  <c r="AA2406" i="2"/>
  <c r="AK2406" i="2"/>
  <c r="U2406" i="2"/>
  <c r="AF2406" i="2"/>
  <c r="BD2396" i="2"/>
  <c r="AA2436" i="2"/>
  <c r="AK2436" i="2"/>
  <c r="U2436" i="2"/>
  <c r="AF2436" i="2"/>
  <c r="Q2415" i="2"/>
  <c r="S2415" i="2"/>
  <c r="R2415" i="2"/>
  <c r="AP2415" i="2" s="1"/>
  <c r="S2448" i="2"/>
  <c r="R2448" i="2"/>
  <c r="AP2448" i="2" s="1"/>
  <c r="Q2448" i="2"/>
  <c r="S2432" i="2"/>
  <c r="R2432" i="2"/>
  <c r="AP2432" i="2" s="1"/>
  <c r="Q2432" i="2"/>
  <c r="AK2421" i="2"/>
  <c r="U2421" i="2"/>
  <c r="AF2421" i="2"/>
  <c r="AA2421" i="2"/>
  <c r="AA2396" i="2"/>
  <c r="AK2396" i="2"/>
  <c r="U2396" i="2"/>
  <c r="AF2396" i="2"/>
  <c r="AF2383" i="2"/>
  <c r="AA2383" i="2"/>
  <c r="AK2383" i="2"/>
  <c r="U2383" i="2"/>
  <c r="AF2375" i="2"/>
  <c r="AA2375" i="2"/>
  <c r="AK2375" i="2"/>
  <c r="U2375" i="2"/>
  <c r="AF2367" i="2"/>
  <c r="AA2367" i="2"/>
  <c r="AK2367" i="2"/>
  <c r="U2367" i="2"/>
  <c r="AF2359" i="2"/>
  <c r="AA2359" i="2"/>
  <c r="AK2359" i="2"/>
  <c r="U2359" i="2"/>
  <c r="AF2335" i="2"/>
  <c r="AA2335" i="2"/>
  <c r="AK2335" i="2"/>
  <c r="U2335" i="2"/>
  <c r="AF2496" i="2"/>
  <c r="AK2496" i="2"/>
  <c r="U2496" i="2"/>
  <c r="AA2496" i="2"/>
  <c r="R2485" i="2"/>
  <c r="AP2485" i="2" s="1"/>
  <c r="S2485" i="2"/>
  <c r="Q2485" i="2"/>
  <c r="AF2480" i="2"/>
  <c r="AK2480" i="2"/>
  <c r="U2480" i="2"/>
  <c r="AA2480" i="2"/>
  <c r="AF2493" i="2"/>
  <c r="AK2493" i="2"/>
  <c r="U2493" i="2"/>
  <c r="AA2493" i="2"/>
  <c r="AF2485" i="2"/>
  <c r="AK2485" i="2"/>
  <c r="U2485" i="2"/>
  <c r="AA2485" i="2"/>
  <c r="AA2501" i="2"/>
  <c r="AK2501" i="2"/>
  <c r="U2501" i="2"/>
  <c r="AF2501" i="2"/>
  <c r="R2491" i="2"/>
  <c r="AP2491" i="2" s="1"/>
  <c r="S2491" i="2"/>
  <c r="Q2491" i="2"/>
  <c r="AF2486" i="2"/>
  <c r="AK2486" i="2"/>
  <c r="U2486" i="2"/>
  <c r="AA2486" i="2"/>
  <c r="AF2482" i="2"/>
  <c r="AK2482" i="2"/>
  <c r="U2482" i="2"/>
  <c r="AA2482" i="2"/>
  <c r="AF2478" i="2"/>
  <c r="AK2478" i="2"/>
  <c r="U2478" i="2"/>
  <c r="AA2478" i="2"/>
  <c r="R2500" i="2"/>
  <c r="AP2500" i="2" s="1"/>
  <c r="S2500" i="2"/>
  <c r="Q2500" i="2"/>
  <c r="R2492" i="2"/>
  <c r="AP2492" i="2" s="1"/>
  <c r="S2492" i="2"/>
  <c r="Q2492" i="2"/>
  <c r="AF2483" i="2"/>
  <c r="AA2483" i="2"/>
  <c r="AK2483" i="2"/>
  <c r="U2483" i="2"/>
  <c r="AA2470" i="2"/>
  <c r="AK2470" i="2"/>
  <c r="U2470" i="2"/>
  <c r="AF2470" i="2"/>
  <c r="Q2465" i="2"/>
  <c r="S2465" i="2"/>
  <c r="R2465" i="2"/>
  <c r="AP2465" i="2" s="1"/>
  <c r="AA2454" i="2"/>
  <c r="AK2454" i="2"/>
  <c r="U2454" i="2"/>
  <c r="AF2454" i="2"/>
  <c r="Q2449" i="2"/>
  <c r="S2449" i="2"/>
  <c r="R2449" i="2"/>
  <c r="AP2449" i="2" s="1"/>
  <c r="AA2438" i="2"/>
  <c r="AK2438" i="2"/>
  <c r="U2438" i="2"/>
  <c r="AF2438" i="2"/>
  <c r="Q2433" i="2"/>
  <c r="S2433" i="2"/>
  <c r="R2433" i="2"/>
  <c r="AP2433" i="2" s="1"/>
  <c r="AA2422" i="2"/>
  <c r="AK2422" i="2"/>
  <c r="U2422" i="2"/>
  <c r="AF2422" i="2"/>
  <c r="Q2417" i="2"/>
  <c r="S2417" i="2"/>
  <c r="R2417" i="2"/>
  <c r="AP2417" i="2" s="1"/>
  <c r="Q2393" i="2"/>
  <c r="S2393" i="2"/>
  <c r="R2393" i="2"/>
  <c r="AP2393" i="2" s="1"/>
  <c r="AK2467" i="2"/>
  <c r="U2467" i="2"/>
  <c r="AF2467" i="2"/>
  <c r="AA2467" i="2"/>
  <c r="S2462" i="2"/>
  <c r="R2462" i="2"/>
  <c r="AP2462" i="2" s="1"/>
  <c r="Q2462" i="2"/>
  <c r="AK2451" i="2"/>
  <c r="U2451" i="2"/>
  <c r="AF2451" i="2"/>
  <c r="AA2451" i="2"/>
  <c r="S2446" i="2"/>
  <c r="R2446" i="2"/>
  <c r="AP2446" i="2" s="1"/>
  <c r="Q2446" i="2"/>
  <c r="AK2435" i="2"/>
  <c r="U2435" i="2"/>
  <c r="AF2435" i="2"/>
  <c r="AA2435" i="2"/>
  <c r="S2430" i="2"/>
  <c r="R2430" i="2"/>
  <c r="AP2430" i="2" s="1"/>
  <c r="Q2430" i="2"/>
  <c r="AK2419" i="2"/>
  <c r="U2419" i="2"/>
  <c r="AF2419" i="2"/>
  <c r="AA2419" i="2"/>
  <c r="S2414" i="2"/>
  <c r="R2414" i="2"/>
  <c r="AP2414" i="2" s="1"/>
  <c r="Q2414" i="2"/>
  <c r="AA2398" i="2"/>
  <c r="AK2398" i="2"/>
  <c r="U2398" i="2"/>
  <c r="AF2398" i="2"/>
  <c r="Q2471" i="2"/>
  <c r="S2471" i="2"/>
  <c r="R2471" i="2"/>
  <c r="AP2471" i="2" s="1"/>
  <c r="AA2460" i="2"/>
  <c r="AK2460" i="2"/>
  <c r="U2460" i="2"/>
  <c r="AF2460" i="2"/>
  <c r="Q2455" i="2"/>
  <c r="S2455" i="2"/>
  <c r="R2455" i="2"/>
  <c r="AP2455" i="2" s="1"/>
  <c r="AA2444" i="2"/>
  <c r="AK2444" i="2"/>
  <c r="U2444" i="2"/>
  <c r="AF2444" i="2"/>
  <c r="Q2439" i="2"/>
  <c r="S2439" i="2"/>
  <c r="R2439" i="2"/>
  <c r="AP2439" i="2" s="1"/>
  <c r="AA2428" i="2"/>
  <c r="AK2428" i="2"/>
  <c r="U2428" i="2"/>
  <c r="AF2428" i="2"/>
  <c r="Q2423" i="2"/>
  <c r="S2423" i="2"/>
  <c r="R2423" i="2"/>
  <c r="AP2423" i="2" s="1"/>
  <c r="AA2412" i="2"/>
  <c r="AK2412" i="2"/>
  <c r="U2412" i="2"/>
  <c r="AF2412" i="2"/>
  <c r="Q2403" i="2"/>
  <c r="S2403" i="2"/>
  <c r="R2403" i="2"/>
  <c r="AP2403" i="2" s="1"/>
  <c r="S2472" i="2"/>
  <c r="R2472" i="2"/>
  <c r="AP2472" i="2" s="1"/>
  <c r="Q2472" i="2"/>
  <c r="AK2461" i="2"/>
  <c r="U2461" i="2"/>
  <c r="AF2461" i="2"/>
  <c r="AA2461" i="2"/>
  <c r="S2456" i="2"/>
  <c r="R2456" i="2"/>
  <c r="AP2456" i="2" s="1"/>
  <c r="Q2456" i="2"/>
  <c r="AK2445" i="2"/>
  <c r="U2445" i="2"/>
  <c r="AF2445" i="2"/>
  <c r="AA2445" i="2"/>
  <c r="S2440" i="2"/>
  <c r="R2440" i="2"/>
  <c r="AP2440" i="2" s="1"/>
  <c r="Q2440" i="2"/>
  <c r="AK2429" i="2"/>
  <c r="U2429" i="2"/>
  <c r="AF2429" i="2"/>
  <c r="AA2429" i="2"/>
  <c r="S2424" i="2"/>
  <c r="R2424" i="2"/>
  <c r="AP2424" i="2" s="1"/>
  <c r="Q2424" i="2"/>
  <c r="AK2413" i="2"/>
  <c r="U2413" i="2"/>
  <c r="AF2413" i="2"/>
  <c r="AA2413" i="2"/>
  <c r="AA2404" i="2"/>
  <c r="AK2404" i="2"/>
  <c r="U2404" i="2"/>
  <c r="AF2404" i="2"/>
  <c r="AF2387" i="2"/>
  <c r="AA2387" i="2"/>
  <c r="AK2387" i="2"/>
  <c r="U2387" i="2"/>
  <c r="AF2379" i="2"/>
  <c r="AA2379" i="2"/>
  <c r="AK2379" i="2"/>
  <c r="U2379" i="2"/>
  <c r="AF2371" i="2"/>
  <c r="AA2371" i="2"/>
  <c r="AK2371" i="2"/>
  <c r="U2371" i="2"/>
  <c r="AF2363" i="2"/>
  <c r="AA2363" i="2"/>
  <c r="AK2363" i="2"/>
  <c r="U2363" i="2"/>
  <c r="AF2355" i="2"/>
  <c r="AA2355" i="2"/>
  <c r="AK2355" i="2"/>
  <c r="U2355" i="2"/>
  <c r="AF2347" i="2"/>
  <c r="AA2347" i="2"/>
  <c r="AK2347" i="2"/>
  <c r="U2347" i="2"/>
  <c r="AF2339" i="2"/>
  <c r="AA2339" i="2"/>
  <c r="AK2339" i="2"/>
  <c r="U2339" i="2"/>
  <c r="AF2331" i="2"/>
  <c r="AA2331" i="2"/>
  <c r="AK2331" i="2"/>
  <c r="U2331" i="2"/>
  <c r="AF2323" i="2"/>
  <c r="AA2323" i="2"/>
  <c r="AK2323" i="2"/>
  <c r="U2323" i="2"/>
  <c r="AF2315" i="2"/>
  <c r="AA2315" i="2"/>
  <c r="AK2315" i="2"/>
  <c r="U2315" i="2"/>
  <c r="AF2312" i="2"/>
  <c r="AK2312" i="2"/>
  <c r="U2312" i="2"/>
  <c r="AA2312" i="2"/>
  <c r="AF2308" i="2"/>
  <c r="AK2308" i="2"/>
  <c r="U2308" i="2"/>
  <c r="AA2308" i="2"/>
  <c r="AF2304" i="2"/>
  <c r="AK2304" i="2"/>
  <c r="U2304" i="2"/>
  <c r="AA2304" i="2"/>
  <c r="AF2300" i="2"/>
  <c r="AK2300" i="2"/>
  <c r="U2300" i="2"/>
  <c r="AA2300" i="2"/>
  <c r="AF2296" i="2"/>
  <c r="AK2296" i="2"/>
  <c r="U2296" i="2"/>
  <c r="AA2296" i="2"/>
  <c r="AF2292" i="2"/>
  <c r="AK2292" i="2"/>
  <c r="U2292" i="2"/>
  <c r="AA2292" i="2"/>
  <c r="AF2288" i="2"/>
  <c r="AK2288" i="2"/>
  <c r="U2288" i="2"/>
  <c r="AA2288" i="2"/>
  <c r="AF2284" i="2"/>
  <c r="AK2284" i="2"/>
  <c r="U2284" i="2"/>
  <c r="AA2284" i="2"/>
  <c r="AF2280" i="2"/>
  <c r="AK2280" i="2"/>
  <c r="U2280" i="2"/>
  <c r="AA2280" i="2"/>
  <c r="AF2276" i="2"/>
  <c r="AK2276" i="2"/>
  <c r="U2276" i="2"/>
  <c r="AA2276" i="2"/>
  <c r="AF2272" i="2"/>
  <c r="AK2272" i="2"/>
  <c r="U2272" i="2"/>
  <c r="AA2272" i="2"/>
  <c r="AF2268" i="2"/>
  <c r="AK2268" i="2"/>
  <c r="U2268" i="2"/>
  <c r="AA2268" i="2"/>
  <c r="AF2264" i="2"/>
  <c r="AK2264" i="2"/>
  <c r="U2264" i="2"/>
  <c r="AA2264" i="2"/>
  <c r="AF2260" i="2"/>
  <c r="AK2260" i="2"/>
  <c r="U2260" i="2"/>
  <c r="AA2260" i="2"/>
  <c r="AF2256" i="2"/>
  <c r="AK2256" i="2"/>
  <c r="U2256" i="2"/>
  <c r="AA2256" i="2"/>
  <c r="AF2252" i="2"/>
  <c r="AK2252" i="2"/>
  <c r="U2252" i="2"/>
  <c r="AA2252" i="2"/>
  <c r="AF2248" i="2"/>
  <c r="AK2248" i="2"/>
  <c r="U2248" i="2"/>
  <c r="AA2248" i="2"/>
  <c r="AF2244" i="2"/>
  <c r="AK2244" i="2"/>
  <c r="U2244" i="2"/>
  <c r="AA2244" i="2"/>
  <c r="AF2240" i="2"/>
  <c r="AK2240" i="2"/>
  <c r="U2240" i="2"/>
  <c r="AA2240" i="2"/>
  <c r="AF2236" i="2"/>
  <c r="AK2236" i="2"/>
  <c r="U2236" i="2"/>
  <c r="AA2236" i="2"/>
  <c r="AF2232" i="2"/>
  <c r="AK2232" i="2"/>
  <c r="U2232" i="2"/>
  <c r="AA2232" i="2"/>
  <c r="AF2228" i="2"/>
  <c r="AK2228" i="2"/>
  <c r="U2228" i="2"/>
  <c r="AA2228" i="2"/>
  <c r="AF2224" i="2"/>
  <c r="AK2224" i="2"/>
  <c r="U2224" i="2"/>
  <c r="AA2224" i="2"/>
  <c r="AF2220" i="2"/>
  <c r="AK2220" i="2"/>
  <c r="U2220" i="2"/>
  <c r="AA2220" i="2"/>
  <c r="AF2216" i="2"/>
  <c r="AK2216" i="2"/>
  <c r="U2216" i="2"/>
  <c r="AA2216" i="2"/>
  <c r="AF2212" i="2"/>
  <c r="AK2212" i="2"/>
  <c r="U2212" i="2"/>
  <c r="AA2212" i="2"/>
  <c r="AF2208" i="2"/>
  <c r="AK2208" i="2"/>
  <c r="U2208" i="2"/>
  <c r="AA2208" i="2"/>
  <c r="AF2204" i="2"/>
  <c r="AK2204" i="2"/>
  <c r="U2204" i="2"/>
  <c r="AA2204" i="2"/>
  <c r="AF2200" i="2"/>
  <c r="AK2200" i="2"/>
  <c r="U2200" i="2"/>
  <c r="AA2200" i="2"/>
  <c r="AK2403" i="2"/>
  <c r="U2403" i="2"/>
  <c r="AA2403" i="2"/>
  <c r="AF2403" i="2"/>
  <c r="AK2395" i="2"/>
  <c r="U2395" i="2"/>
  <c r="AA2395" i="2"/>
  <c r="AF2395" i="2"/>
  <c r="BD2340" i="2"/>
  <c r="BD2316" i="2"/>
  <c r="AK2386" i="2"/>
  <c r="U2386" i="2"/>
  <c r="AF2386" i="2"/>
  <c r="AA2386" i="2"/>
  <c r="AK2378" i="2"/>
  <c r="U2378" i="2"/>
  <c r="AF2378" i="2"/>
  <c r="AA2378" i="2"/>
  <c r="AK2370" i="2"/>
  <c r="U2370" i="2"/>
  <c r="AF2370" i="2"/>
  <c r="AA2370" i="2"/>
  <c r="AK2362" i="2"/>
  <c r="U2362" i="2"/>
  <c r="AF2362" i="2"/>
  <c r="AA2362" i="2"/>
  <c r="AK2354" i="2"/>
  <c r="U2354" i="2"/>
  <c r="AF2354" i="2"/>
  <c r="AA2354" i="2"/>
  <c r="AK2346" i="2"/>
  <c r="U2346" i="2"/>
  <c r="AF2346" i="2"/>
  <c r="AA2346" i="2"/>
  <c r="AK2338" i="2"/>
  <c r="U2338" i="2"/>
  <c r="AF2338" i="2"/>
  <c r="AA2338" i="2"/>
  <c r="AK2330" i="2"/>
  <c r="U2330" i="2"/>
  <c r="AF2330" i="2"/>
  <c r="AA2330" i="2"/>
  <c r="AK2322" i="2"/>
  <c r="U2322" i="2"/>
  <c r="AF2322" i="2"/>
  <c r="AA2322" i="2"/>
  <c r="AF2314" i="2"/>
  <c r="AK2314" i="2"/>
  <c r="U2314" i="2"/>
  <c r="AA2314" i="2"/>
  <c r="AF2310" i="2"/>
  <c r="AK2310" i="2"/>
  <c r="U2310" i="2"/>
  <c r="AA2310" i="2"/>
  <c r="AF2306" i="2"/>
  <c r="AK2306" i="2"/>
  <c r="U2306" i="2"/>
  <c r="AA2306" i="2"/>
  <c r="AF2302" i="2"/>
  <c r="AK2302" i="2"/>
  <c r="U2302" i="2"/>
  <c r="AA2302" i="2"/>
  <c r="AF2298" i="2"/>
  <c r="AK2298" i="2"/>
  <c r="U2298" i="2"/>
  <c r="AA2298" i="2"/>
  <c r="AF2294" i="2"/>
  <c r="AK2294" i="2"/>
  <c r="U2294" i="2"/>
  <c r="AA2294" i="2"/>
  <c r="AF2290" i="2"/>
  <c r="AK2290" i="2"/>
  <c r="U2290" i="2"/>
  <c r="AA2290" i="2"/>
  <c r="AF2286" i="2"/>
  <c r="AK2286" i="2"/>
  <c r="U2286" i="2"/>
  <c r="AA2286" i="2"/>
  <c r="AF2282" i="2"/>
  <c r="AK2282" i="2"/>
  <c r="U2282" i="2"/>
  <c r="AA2282" i="2"/>
  <c r="AF2278" i="2"/>
  <c r="AK2278" i="2"/>
  <c r="U2278" i="2"/>
  <c r="AA2278" i="2"/>
  <c r="AF2274" i="2"/>
  <c r="AK2274" i="2"/>
  <c r="U2274" i="2"/>
  <c r="AA2274" i="2"/>
  <c r="AF2270" i="2"/>
  <c r="AK2270" i="2"/>
  <c r="U2270" i="2"/>
  <c r="AA2270" i="2"/>
  <c r="AF2266" i="2"/>
  <c r="AK2266" i="2"/>
  <c r="U2266" i="2"/>
  <c r="AA2266" i="2"/>
  <c r="AF2262" i="2"/>
  <c r="AK2262" i="2"/>
  <c r="U2262" i="2"/>
  <c r="AA2262" i="2"/>
  <c r="AF2258" i="2"/>
  <c r="AK2258" i="2"/>
  <c r="U2258" i="2"/>
  <c r="AA2258" i="2"/>
  <c r="AF2254" i="2"/>
  <c r="AK2254" i="2"/>
  <c r="U2254" i="2"/>
  <c r="AA2254" i="2"/>
  <c r="AF2250" i="2"/>
  <c r="AK2250" i="2"/>
  <c r="U2250" i="2"/>
  <c r="AA2250" i="2"/>
  <c r="AF2246" i="2"/>
  <c r="AK2246" i="2"/>
  <c r="U2246" i="2"/>
  <c r="AA2246" i="2"/>
  <c r="AF2242" i="2"/>
  <c r="AK2242" i="2"/>
  <c r="U2242" i="2"/>
  <c r="AA2242" i="2"/>
  <c r="AF2238" i="2"/>
  <c r="AK2238" i="2"/>
  <c r="U2238" i="2"/>
  <c r="AA2238" i="2"/>
  <c r="AF2234" i="2"/>
  <c r="AK2234" i="2"/>
  <c r="U2234" i="2"/>
  <c r="AA2234" i="2"/>
  <c r="AF2230" i="2"/>
  <c r="AK2230" i="2"/>
  <c r="U2230" i="2"/>
  <c r="AA2230" i="2"/>
  <c r="AF2226" i="2"/>
  <c r="AK2226" i="2"/>
  <c r="U2226" i="2"/>
  <c r="AA2226" i="2"/>
  <c r="AF2222" i="2"/>
  <c r="AK2222" i="2"/>
  <c r="U2222" i="2"/>
  <c r="AA2222" i="2"/>
  <c r="AF2218" i="2"/>
  <c r="AK2218" i="2"/>
  <c r="U2218" i="2"/>
  <c r="AA2218" i="2"/>
  <c r="AF2214" i="2"/>
  <c r="AK2214" i="2"/>
  <c r="U2214" i="2"/>
  <c r="AA2214" i="2"/>
  <c r="AF2210" i="2"/>
  <c r="AK2210" i="2"/>
  <c r="U2210" i="2"/>
  <c r="AA2210" i="2"/>
  <c r="AF2206" i="2"/>
  <c r="AK2206" i="2"/>
  <c r="U2206" i="2"/>
  <c r="AA2206" i="2"/>
  <c r="AF2202" i="2"/>
  <c r="AK2202" i="2"/>
  <c r="U2202" i="2"/>
  <c r="AA2202" i="2"/>
  <c r="AK2401" i="2"/>
  <c r="U2401" i="2"/>
  <c r="AA2401" i="2"/>
  <c r="AF2401" i="2"/>
  <c r="AK2393" i="2"/>
  <c r="U2393" i="2"/>
  <c r="AA2393" i="2"/>
  <c r="AF2393" i="2"/>
  <c r="BD2319" i="2"/>
  <c r="S2315" i="2"/>
  <c r="R2315" i="2"/>
  <c r="AP2315" i="2" s="1"/>
  <c r="Q2315" i="2"/>
  <c r="AA2196" i="2"/>
  <c r="AK2196" i="2"/>
  <c r="U2196" i="2"/>
  <c r="AF2196" i="2"/>
  <c r="Q2191" i="2"/>
  <c r="S2191" i="2"/>
  <c r="R2191" i="2"/>
  <c r="AP2191" i="2" s="1"/>
  <c r="AA2180" i="2"/>
  <c r="AK2180" i="2"/>
  <c r="U2180" i="2"/>
  <c r="AF2180" i="2"/>
  <c r="Q2175" i="2"/>
  <c r="S2175" i="2"/>
  <c r="R2175" i="2"/>
  <c r="AP2175" i="2" s="1"/>
  <c r="AA2164" i="2"/>
  <c r="AK2164" i="2"/>
  <c r="U2164" i="2"/>
  <c r="AF2164" i="2"/>
  <c r="Q2159" i="2"/>
  <c r="S2159" i="2"/>
  <c r="R2159" i="2"/>
  <c r="AP2159" i="2" s="1"/>
  <c r="S2154" i="2"/>
  <c r="R2154" i="2"/>
  <c r="AP2154" i="2" s="1"/>
  <c r="Q2154" i="2"/>
  <c r="AK2147" i="2"/>
  <c r="U2147" i="2"/>
  <c r="AA2147" i="2"/>
  <c r="AF2147" i="2"/>
  <c r="S2196" i="2"/>
  <c r="R2196" i="2"/>
  <c r="AP2196" i="2" s="1"/>
  <c r="Q2196" i="2"/>
  <c r="AK2185" i="2"/>
  <c r="U2185" i="2"/>
  <c r="AF2185" i="2"/>
  <c r="AA2185" i="2"/>
  <c r="S2180" i="2"/>
  <c r="R2180" i="2"/>
  <c r="AP2180" i="2" s="1"/>
  <c r="Q2180" i="2"/>
  <c r="AK2169" i="2"/>
  <c r="U2169" i="2"/>
  <c r="AF2169" i="2"/>
  <c r="AA2169" i="2"/>
  <c r="S2164" i="2"/>
  <c r="R2164" i="2"/>
  <c r="AP2164" i="2" s="1"/>
  <c r="Q2164" i="2"/>
  <c r="S2148" i="2"/>
  <c r="Q2148" i="2"/>
  <c r="R2148" i="2"/>
  <c r="AP2148" i="2" s="1"/>
  <c r="AK2144" i="2"/>
  <c r="U2144" i="2"/>
  <c r="AF2144" i="2"/>
  <c r="AA2144" i="2"/>
  <c r="AA2194" i="2"/>
  <c r="AK2194" i="2"/>
  <c r="U2194" i="2"/>
  <c r="AF2194" i="2"/>
  <c r="Q2189" i="2"/>
  <c r="S2189" i="2"/>
  <c r="R2189" i="2"/>
  <c r="AP2189" i="2" s="1"/>
  <c r="AA2178" i="2"/>
  <c r="AK2178" i="2"/>
  <c r="U2178" i="2"/>
  <c r="AF2178" i="2"/>
  <c r="Q2173" i="2"/>
  <c r="S2173" i="2"/>
  <c r="R2173" i="2"/>
  <c r="AP2173" i="2" s="1"/>
  <c r="AA2162" i="2"/>
  <c r="AK2162" i="2"/>
  <c r="U2162" i="2"/>
  <c r="AF2162" i="2"/>
  <c r="Q2157" i="2"/>
  <c r="S2157" i="2"/>
  <c r="R2157" i="2"/>
  <c r="AP2157" i="2" s="1"/>
  <c r="AK2195" i="2"/>
  <c r="U2195" i="2"/>
  <c r="AF2195" i="2"/>
  <c r="AA2195" i="2"/>
  <c r="S2190" i="2"/>
  <c r="R2190" i="2"/>
  <c r="AP2190" i="2" s="1"/>
  <c r="Q2190" i="2"/>
  <c r="AK2179" i="2"/>
  <c r="U2179" i="2"/>
  <c r="AF2179" i="2"/>
  <c r="AA2179" i="2"/>
  <c r="S2174" i="2"/>
  <c r="R2174" i="2"/>
  <c r="AP2174" i="2" s="1"/>
  <c r="Q2174" i="2"/>
  <c r="AK2163" i="2"/>
  <c r="U2163" i="2"/>
  <c r="AF2163" i="2"/>
  <c r="AA2163" i="2"/>
  <c r="S2158" i="2"/>
  <c r="R2158" i="2"/>
  <c r="AP2158" i="2" s="1"/>
  <c r="Q2158" i="2"/>
  <c r="AK2153" i="2"/>
  <c r="U2153" i="2"/>
  <c r="AA2153" i="2"/>
  <c r="AF2153" i="2"/>
  <c r="AK2151" i="2"/>
  <c r="U2151" i="2"/>
  <c r="AA2151" i="2"/>
  <c r="AF2151" i="2"/>
  <c r="S2150" i="2"/>
  <c r="Q2150" i="2"/>
  <c r="R2150" i="2"/>
  <c r="AP2150" i="2" s="1"/>
  <c r="S2143" i="2"/>
  <c r="R2143" i="2"/>
  <c r="AP2143" i="2" s="1"/>
  <c r="Q2143" i="2"/>
  <c r="AK2149" i="2"/>
  <c r="U2149" i="2"/>
  <c r="AA2149" i="2"/>
  <c r="AF2149" i="2"/>
  <c r="Q2142" i="2"/>
  <c r="S2142" i="2"/>
  <c r="R2142" i="2"/>
  <c r="AP2142" i="2" s="1"/>
  <c r="Q2144" i="2"/>
  <c r="S2144" i="2"/>
  <c r="R2144" i="2"/>
  <c r="AP2144" i="2" s="1"/>
  <c r="AA2113" i="2"/>
  <c r="AK2113" i="2"/>
  <c r="U2113" i="2"/>
  <c r="AF2113" i="2"/>
  <c r="AK2107" i="2"/>
  <c r="U2107" i="2"/>
  <c r="AF2107" i="2"/>
  <c r="AA2107" i="2"/>
  <c r="S2106" i="2"/>
  <c r="R2106" i="2"/>
  <c r="AP2106" i="2" s="1"/>
  <c r="Q2106" i="2"/>
  <c r="AF2100" i="2"/>
  <c r="AA2100" i="2"/>
  <c r="AK2100" i="2"/>
  <c r="U2100" i="2"/>
  <c r="AK2091" i="2"/>
  <c r="U2091" i="2"/>
  <c r="AF2091" i="2"/>
  <c r="AA2091" i="2"/>
  <c r="S2090" i="2"/>
  <c r="R2090" i="2"/>
  <c r="AP2090" i="2" s="1"/>
  <c r="Q2090" i="2"/>
  <c r="AF2084" i="2"/>
  <c r="AA2084" i="2"/>
  <c r="AK2084" i="2"/>
  <c r="U2084" i="2"/>
  <c r="AK2075" i="2"/>
  <c r="U2075" i="2"/>
  <c r="AF2075" i="2"/>
  <c r="AA2075" i="2"/>
  <c r="S2074" i="2"/>
  <c r="R2074" i="2"/>
  <c r="AP2074" i="2" s="1"/>
  <c r="Q2074" i="2"/>
  <c r="AF2068" i="2"/>
  <c r="AA2068" i="2"/>
  <c r="AK2068" i="2"/>
  <c r="U2068" i="2"/>
  <c r="AK2059" i="2"/>
  <c r="U2059" i="2"/>
  <c r="AF2059" i="2"/>
  <c r="AA2059" i="2"/>
  <c r="S2058" i="2"/>
  <c r="R2058" i="2"/>
  <c r="AP2058" i="2" s="1"/>
  <c r="Q2058" i="2"/>
  <c r="AF2052" i="2"/>
  <c r="AA2052" i="2"/>
  <c r="AK2052" i="2"/>
  <c r="U2052" i="2"/>
  <c r="Q2043" i="2"/>
  <c r="R2043" i="2"/>
  <c r="AP2043" i="2" s="1"/>
  <c r="S2043" i="2"/>
  <c r="Q2039" i="2"/>
  <c r="S2039" i="2"/>
  <c r="R2039" i="2"/>
  <c r="AP2039" i="2" s="1"/>
  <c r="Q2035" i="2"/>
  <c r="S2035" i="2"/>
  <c r="R2035" i="2"/>
  <c r="AP2035" i="2" s="1"/>
  <c r="Q2031" i="2"/>
  <c r="S2031" i="2"/>
  <c r="R2031" i="2"/>
  <c r="AP2031" i="2" s="1"/>
  <c r="Q2027" i="2"/>
  <c r="S2027" i="2"/>
  <c r="R2027" i="2"/>
  <c r="AP2027" i="2" s="1"/>
  <c r="Q2023" i="2"/>
  <c r="S2023" i="2"/>
  <c r="R2023" i="2"/>
  <c r="AP2023" i="2" s="1"/>
  <c r="AA2150" i="2"/>
  <c r="AK2150" i="2"/>
  <c r="U2150" i="2"/>
  <c r="AF2150" i="2"/>
  <c r="AK2145" i="2"/>
  <c r="U2145" i="2"/>
  <c r="AA2145" i="2"/>
  <c r="AF2145" i="2"/>
  <c r="AK2140" i="2"/>
  <c r="U2140" i="2"/>
  <c r="AF2140" i="2"/>
  <c r="AA2140" i="2"/>
  <c r="AK2138" i="2"/>
  <c r="U2138" i="2"/>
  <c r="AF2138" i="2"/>
  <c r="AA2138" i="2"/>
  <c r="AK2136" i="2"/>
  <c r="U2136" i="2"/>
  <c r="AF2136" i="2"/>
  <c r="AA2136" i="2"/>
  <c r="AK2134" i="2"/>
  <c r="U2134" i="2"/>
  <c r="AF2134" i="2"/>
  <c r="AA2134" i="2"/>
  <c r="AK2132" i="2"/>
  <c r="U2132" i="2"/>
  <c r="AF2132" i="2"/>
  <c r="AA2132" i="2"/>
  <c r="AK2130" i="2"/>
  <c r="U2130" i="2"/>
  <c r="AF2130" i="2"/>
  <c r="AA2130" i="2"/>
  <c r="AK2128" i="2"/>
  <c r="U2128" i="2"/>
  <c r="AF2128" i="2"/>
  <c r="AA2128" i="2"/>
  <c r="AK2126" i="2"/>
  <c r="U2126" i="2"/>
  <c r="AF2126" i="2"/>
  <c r="AA2126" i="2"/>
  <c r="AK2124" i="2"/>
  <c r="U2124" i="2"/>
  <c r="AF2124" i="2"/>
  <c r="AA2124" i="2"/>
  <c r="AK2122" i="2"/>
  <c r="U2122" i="2"/>
  <c r="AF2122" i="2"/>
  <c r="AA2122" i="2"/>
  <c r="AK2120" i="2"/>
  <c r="U2120" i="2"/>
  <c r="AF2120" i="2"/>
  <c r="AA2120" i="2"/>
  <c r="AK2118" i="2"/>
  <c r="U2118" i="2"/>
  <c r="AF2118" i="2"/>
  <c r="AA2118" i="2"/>
  <c r="AK2116" i="2"/>
  <c r="U2116" i="2"/>
  <c r="AF2116" i="2"/>
  <c r="AA2116" i="2"/>
  <c r="Q2110" i="2"/>
  <c r="S2110" i="2"/>
  <c r="R2110" i="2"/>
  <c r="AP2110" i="2" s="1"/>
  <c r="AF2106" i="2"/>
  <c r="AA2106" i="2"/>
  <c r="AK2106" i="2"/>
  <c r="U2106" i="2"/>
  <c r="AF2102" i="2"/>
  <c r="AA2102" i="2"/>
  <c r="AK2102" i="2"/>
  <c r="U2102" i="2"/>
  <c r="AF2098" i="2"/>
  <c r="AA2098" i="2"/>
  <c r="AK2098" i="2"/>
  <c r="U2098" i="2"/>
  <c r="AF2094" i="2"/>
  <c r="AA2094" i="2"/>
  <c r="AK2094" i="2"/>
  <c r="U2094" i="2"/>
  <c r="AF2090" i="2"/>
  <c r="AA2090" i="2"/>
  <c r="AK2090" i="2"/>
  <c r="U2090" i="2"/>
  <c r="AF2086" i="2"/>
  <c r="AA2086" i="2"/>
  <c r="AK2086" i="2"/>
  <c r="U2086" i="2"/>
  <c r="AF2082" i="2"/>
  <c r="AA2082" i="2"/>
  <c r="AK2082" i="2"/>
  <c r="U2082" i="2"/>
  <c r="AF2078" i="2"/>
  <c r="AA2078" i="2"/>
  <c r="AK2078" i="2"/>
  <c r="U2078" i="2"/>
  <c r="AF2074" i="2"/>
  <c r="AA2074" i="2"/>
  <c r="AK2074" i="2"/>
  <c r="U2074" i="2"/>
  <c r="AF2070" i="2"/>
  <c r="AA2070" i="2"/>
  <c r="AK2070" i="2"/>
  <c r="U2070" i="2"/>
  <c r="AF2066" i="2"/>
  <c r="AA2066" i="2"/>
  <c r="AK2066" i="2"/>
  <c r="U2066" i="2"/>
  <c r="AF2062" i="2"/>
  <c r="AA2062" i="2"/>
  <c r="AK2062" i="2"/>
  <c r="U2062" i="2"/>
  <c r="AF2058" i="2"/>
  <c r="AA2058" i="2"/>
  <c r="AK2058" i="2"/>
  <c r="U2058" i="2"/>
  <c r="AF2054" i="2"/>
  <c r="AA2054" i="2"/>
  <c r="AK2054" i="2"/>
  <c r="U2054" i="2"/>
  <c r="AF2050" i="2"/>
  <c r="AA2050" i="2"/>
  <c r="AK2050" i="2"/>
  <c r="U2050" i="2"/>
  <c r="S2044" i="2"/>
  <c r="R2044" i="2"/>
  <c r="AP2044" i="2" s="1"/>
  <c r="Q2044" i="2"/>
  <c r="Q2021" i="2"/>
  <c r="S2021" i="2"/>
  <c r="R2021" i="2"/>
  <c r="AP2021" i="2" s="1"/>
  <c r="AF2019" i="2"/>
  <c r="AA2019" i="2"/>
  <c r="U2019" i="2"/>
  <c r="AK2019" i="2"/>
  <c r="S2018" i="2"/>
  <c r="R2018" i="2"/>
  <c r="AP2018" i="2" s="1"/>
  <c r="Q2018" i="2"/>
  <c r="AK2015" i="2"/>
  <c r="U2015" i="2"/>
  <c r="AF2015" i="2"/>
  <c r="AA2015" i="2"/>
  <c r="S2014" i="2"/>
  <c r="R2014" i="2"/>
  <c r="AP2014" i="2" s="1"/>
  <c r="Q2014" i="2"/>
  <c r="AK2011" i="2"/>
  <c r="U2011" i="2"/>
  <c r="AF2011" i="2"/>
  <c r="AA2011" i="2"/>
  <c r="S2010" i="2"/>
  <c r="R2010" i="2"/>
  <c r="AP2010" i="2" s="1"/>
  <c r="Q2010" i="2"/>
  <c r="AK2007" i="2"/>
  <c r="U2007" i="2"/>
  <c r="AF2007" i="2"/>
  <c r="AA2007" i="2"/>
  <c r="S2006" i="2"/>
  <c r="R2006" i="2"/>
  <c r="AP2006" i="2" s="1"/>
  <c r="Q2006" i="2"/>
  <c r="AK2003" i="2"/>
  <c r="U2003" i="2"/>
  <c r="AF2003" i="2"/>
  <c r="AA2003" i="2"/>
  <c r="S2002" i="2"/>
  <c r="R2002" i="2"/>
  <c r="AP2002" i="2" s="1"/>
  <c r="Q2002" i="2"/>
  <c r="AK1999" i="2"/>
  <c r="U1999" i="2"/>
  <c r="AF1999" i="2"/>
  <c r="AA1999" i="2"/>
  <c r="S1998" i="2"/>
  <c r="R1998" i="2"/>
  <c r="AP1998" i="2" s="1"/>
  <c r="Q1998" i="2"/>
  <c r="AK1995" i="2"/>
  <c r="U1995" i="2"/>
  <c r="AF1995" i="2"/>
  <c r="AA1995" i="2"/>
  <c r="S1994" i="2"/>
  <c r="R1994" i="2"/>
  <c r="AP1994" i="2" s="1"/>
  <c r="Q1994" i="2"/>
  <c r="AK1991" i="2"/>
  <c r="U1991" i="2"/>
  <c r="AF1991" i="2"/>
  <c r="AA1991" i="2"/>
  <c r="S1990" i="2"/>
  <c r="R1990" i="2"/>
  <c r="AP1990" i="2" s="1"/>
  <c r="Q1990" i="2"/>
  <c r="AK1987" i="2"/>
  <c r="U1987" i="2"/>
  <c r="AF1987" i="2"/>
  <c r="AA1987" i="2"/>
  <c r="S1986" i="2"/>
  <c r="R1986" i="2"/>
  <c r="AP1986" i="2" s="1"/>
  <c r="Q1986" i="2"/>
  <c r="AK1983" i="2"/>
  <c r="U1983" i="2"/>
  <c r="AF1983" i="2"/>
  <c r="AA1983" i="2"/>
  <c r="S1982" i="2"/>
  <c r="R1982" i="2"/>
  <c r="AP1982" i="2" s="1"/>
  <c r="Q1982" i="2"/>
  <c r="AK1979" i="2"/>
  <c r="U1979" i="2"/>
  <c r="AF1979" i="2"/>
  <c r="AA1979" i="2"/>
  <c r="S1978" i="2"/>
  <c r="R1978" i="2"/>
  <c r="AP1978" i="2" s="1"/>
  <c r="Q1978" i="2"/>
  <c r="AK1975" i="2"/>
  <c r="U1975" i="2"/>
  <c r="AF1975" i="2"/>
  <c r="AA1975" i="2"/>
  <c r="S1974" i="2"/>
  <c r="R1974" i="2"/>
  <c r="AP1974" i="2" s="1"/>
  <c r="Q1974" i="2"/>
  <c r="AK1971" i="2"/>
  <c r="U1971" i="2"/>
  <c r="AF1971" i="2"/>
  <c r="AA1971" i="2"/>
  <c r="S1970" i="2"/>
  <c r="R1970" i="2"/>
  <c r="AP1970" i="2" s="1"/>
  <c r="Q1970" i="2"/>
  <c r="AK1967" i="2"/>
  <c r="U1967" i="2"/>
  <c r="AF1967" i="2"/>
  <c r="AA1967" i="2"/>
  <c r="S1966" i="2"/>
  <c r="R1966" i="2"/>
  <c r="AP1966" i="2" s="1"/>
  <c r="Q1966" i="2"/>
  <c r="AK1963" i="2"/>
  <c r="U1963" i="2"/>
  <c r="AF1963" i="2"/>
  <c r="AA1963" i="2"/>
  <c r="S1962" i="2"/>
  <c r="R1962" i="2"/>
  <c r="AP1962" i="2" s="1"/>
  <c r="Q1962" i="2"/>
  <c r="AK1959" i="2"/>
  <c r="U1959" i="2"/>
  <c r="AF1959" i="2"/>
  <c r="AA1959" i="2"/>
  <c r="S1958" i="2"/>
  <c r="R1958" i="2"/>
  <c r="AP1958" i="2" s="1"/>
  <c r="Q1958" i="2"/>
  <c r="AK1955" i="2"/>
  <c r="U1955" i="2"/>
  <c r="AF1955" i="2"/>
  <c r="AA1955" i="2"/>
  <c r="S1954" i="2"/>
  <c r="R1954" i="2"/>
  <c r="AP1954" i="2" s="1"/>
  <c r="Q1954" i="2"/>
  <c r="R2017" i="2"/>
  <c r="AP2017" i="2" s="1"/>
  <c r="Q2017" i="2"/>
  <c r="S2017" i="2"/>
  <c r="R2013" i="2"/>
  <c r="AP2013" i="2" s="1"/>
  <c r="Q2013" i="2"/>
  <c r="S2013" i="2"/>
  <c r="R2009" i="2"/>
  <c r="AP2009" i="2" s="1"/>
  <c r="Q2009" i="2"/>
  <c r="S2009" i="2"/>
  <c r="R2005" i="2"/>
  <c r="AP2005" i="2" s="1"/>
  <c r="Q2005" i="2"/>
  <c r="S2005" i="2"/>
  <c r="R2001" i="2"/>
  <c r="AP2001" i="2" s="1"/>
  <c r="Q2001" i="2"/>
  <c r="S2001" i="2"/>
  <c r="R1997" i="2"/>
  <c r="AP1997" i="2" s="1"/>
  <c r="Q1997" i="2"/>
  <c r="S1997" i="2"/>
  <c r="R1993" i="2"/>
  <c r="AP1993" i="2" s="1"/>
  <c r="Q1993" i="2"/>
  <c r="S1993" i="2"/>
  <c r="R1989" i="2"/>
  <c r="AP1989" i="2" s="1"/>
  <c r="Q1989" i="2"/>
  <c r="S1989" i="2"/>
  <c r="R1985" i="2"/>
  <c r="AP1985" i="2" s="1"/>
  <c r="Q1985" i="2"/>
  <c r="S1985" i="2"/>
  <c r="R1981" i="2"/>
  <c r="AP1981" i="2" s="1"/>
  <c r="Q1981" i="2"/>
  <c r="S1981" i="2"/>
  <c r="R1977" i="2"/>
  <c r="AP1977" i="2" s="1"/>
  <c r="Q1977" i="2"/>
  <c r="S1977" i="2"/>
  <c r="R1973" i="2"/>
  <c r="AP1973" i="2" s="1"/>
  <c r="Q1973" i="2"/>
  <c r="S1973" i="2"/>
  <c r="R1969" i="2"/>
  <c r="AP1969" i="2" s="1"/>
  <c r="Q1969" i="2"/>
  <c r="S1969" i="2"/>
  <c r="R1965" i="2"/>
  <c r="AP1965" i="2" s="1"/>
  <c r="Q1965" i="2"/>
  <c r="S1965" i="2"/>
  <c r="R1961" i="2"/>
  <c r="AP1961" i="2" s="1"/>
  <c r="Q1961" i="2"/>
  <c r="S1961" i="2"/>
  <c r="R1957" i="2"/>
  <c r="AP1957" i="2" s="1"/>
  <c r="Q1957" i="2"/>
  <c r="S1957" i="2"/>
  <c r="R1953" i="2"/>
  <c r="AP1953" i="2" s="1"/>
  <c r="Q1953" i="2"/>
  <c r="S1953" i="2"/>
  <c r="R1949" i="2"/>
  <c r="AP1949" i="2" s="1"/>
  <c r="Q1949" i="2"/>
  <c r="S1949" i="2"/>
  <c r="R1945" i="2"/>
  <c r="AP1945" i="2" s="1"/>
  <c r="Q1945" i="2"/>
  <c r="S1945" i="2"/>
  <c r="R1941" i="2"/>
  <c r="AP1941" i="2" s="1"/>
  <c r="Q1941" i="2"/>
  <c r="S1941" i="2"/>
  <c r="R1937" i="2"/>
  <c r="AP1937" i="2" s="1"/>
  <c r="Q1937" i="2"/>
  <c r="S1937" i="2"/>
  <c r="R1933" i="2"/>
  <c r="AP1933" i="2" s="1"/>
  <c r="Q1933" i="2"/>
  <c r="S1933" i="2"/>
  <c r="R1929" i="2"/>
  <c r="AP1929" i="2" s="1"/>
  <c r="Q1929" i="2"/>
  <c r="S1929" i="2"/>
  <c r="R1925" i="2"/>
  <c r="AP1925" i="2" s="1"/>
  <c r="Q1925" i="2"/>
  <c r="S1925" i="2"/>
  <c r="R1921" i="2"/>
  <c r="AP1921" i="2" s="1"/>
  <c r="Q1921" i="2"/>
  <c r="S1921" i="2"/>
  <c r="R1917" i="2"/>
  <c r="AP1917" i="2" s="1"/>
  <c r="Q1917" i="2"/>
  <c r="S1917" i="2"/>
  <c r="R1913" i="2"/>
  <c r="AP1913" i="2" s="1"/>
  <c r="Q1913" i="2"/>
  <c r="S1913" i="2"/>
  <c r="R1909" i="2"/>
  <c r="AP1909" i="2" s="1"/>
  <c r="Q1909" i="2"/>
  <c r="S1909" i="2"/>
  <c r="R1905" i="2"/>
  <c r="AP1905" i="2" s="1"/>
  <c r="Q1905" i="2"/>
  <c r="S1905" i="2"/>
  <c r="R1901" i="2"/>
  <c r="AP1901" i="2" s="1"/>
  <c r="Q1901" i="2"/>
  <c r="S1901" i="2"/>
  <c r="R1897" i="2"/>
  <c r="AP1897" i="2" s="1"/>
  <c r="Q1897" i="2"/>
  <c r="S1897" i="2"/>
  <c r="R1893" i="2"/>
  <c r="AP1893" i="2" s="1"/>
  <c r="Q1893" i="2"/>
  <c r="S1893" i="2"/>
  <c r="R1889" i="2"/>
  <c r="AP1889" i="2" s="1"/>
  <c r="Q1889" i="2"/>
  <c r="S1889" i="2"/>
  <c r="R1885" i="2"/>
  <c r="AP1885" i="2" s="1"/>
  <c r="Q1885" i="2"/>
  <c r="S1885" i="2"/>
  <c r="R1881" i="2"/>
  <c r="AP1881" i="2" s="1"/>
  <c r="Q1881" i="2"/>
  <c r="S1881" i="2"/>
  <c r="R1877" i="2"/>
  <c r="AP1877" i="2" s="1"/>
  <c r="Q1877" i="2"/>
  <c r="S1877" i="2"/>
  <c r="R1873" i="2"/>
  <c r="AP1873" i="2" s="1"/>
  <c r="Q1873" i="2"/>
  <c r="S1873" i="2"/>
  <c r="R1869" i="2"/>
  <c r="AP1869" i="2" s="1"/>
  <c r="Q1869" i="2"/>
  <c r="S1869" i="2"/>
  <c r="R1865" i="2"/>
  <c r="AP1865" i="2" s="1"/>
  <c r="Q1865" i="2"/>
  <c r="S1865" i="2"/>
  <c r="R1861" i="2"/>
  <c r="AP1861" i="2" s="1"/>
  <c r="Q1861" i="2"/>
  <c r="S1861" i="2"/>
  <c r="R1857" i="2"/>
  <c r="AP1857" i="2" s="1"/>
  <c r="Q1857" i="2"/>
  <c r="S1857" i="2"/>
  <c r="R1853" i="2"/>
  <c r="AP1853" i="2" s="1"/>
  <c r="Q1853" i="2"/>
  <c r="S1853" i="2"/>
  <c r="S2040" i="2"/>
  <c r="R2040" i="2"/>
  <c r="AP2040" i="2" s="1"/>
  <c r="Q2040" i="2"/>
  <c r="S2038" i="2"/>
  <c r="R2038" i="2"/>
  <c r="AP2038" i="2" s="1"/>
  <c r="Q2038" i="2"/>
  <c r="S2036" i="2"/>
  <c r="R2036" i="2"/>
  <c r="AP2036" i="2" s="1"/>
  <c r="Q2036" i="2"/>
  <c r="S2034" i="2"/>
  <c r="R2034" i="2"/>
  <c r="AP2034" i="2" s="1"/>
  <c r="Q2034" i="2"/>
  <c r="S2032" i="2"/>
  <c r="R2032" i="2"/>
  <c r="AP2032" i="2" s="1"/>
  <c r="Q2032" i="2"/>
  <c r="S2030" i="2"/>
  <c r="R2030" i="2"/>
  <c r="AP2030" i="2" s="1"/>
  <c r="Q2030" i="2"/>
  <c r="S2028" i="2"/>
  <c r="R2028" i="2"/>
  <c r="AP2028" i="2" s="1"/>
  <c r="Q2028" i="2"/>
  <c r="S2026" i="2"/>
  <c r="R2026" i="2"/>
  <c r="AP2026" i="2" s="1"/>
  <c r="Q2026" i="2"/>
  <c r="S2024" i="2"/>
  <c r="R2024" i="2"/>
  <c r="AP2024" i="2" s="1"/>
  <c r="Q2024" i="2"/>
  <c r="AL2020" i="2"/>
  <c r="V2020" i="2"/>
  <c r="AG2020" i="2"/>
  <c r="AB2020" i="2"/>
  <c r="AK2017" i="2"/>
  <c r="U2017" i="2"/>
  <c r="AF2017" i="2"/>
  <c r="AA2017" i="2"/>
  <c r="S2016" i="2"/>
  <c r="R2016" i="2"/>
  <c r="AP2016" i="2" s="1"/>
  <c r="Q2016" i="2"/>
  <c r="AK2013" i="2"/>
  <c r="U2013" i="2"/>
  <c r="AF2013" i="2"/>
  <c r="AA2013" i="2"/>
  <c r="S2012" i="2"/>
  <c r="R2012" i="2"/>
  <c r="AP2012" i="2" s="1"/>
  <c r="Q2012" i="2"/>
  <c r="AK2009" i="2"/>
  <c r="U2009" i="2"/>
  <c r="AF2009" i="2"/>
  <c r="AA2009" i="2"/>
  <c r="S2008" i="2"/>
  <c r="R2008" i="2"/>
  <c r="AP2008" i="2" s="1"/>
  <c r="Q2008" i="2"/>
  <c r="AK2005" i="2"/>
  <c r="U2005" i="2"/>
  <c r="AF2005" i="2"/>
  <c r="AA2005" i="2"/>
  <c r="S2004" i="2"/>
  <c r="R2004" i="2"/>
  <c r="AP2004" i="2" s="1"/>
  <c r="Q2004" i="2"/>
  <c r="AK2001" i="2"/>
  <c r="U2001" i="2"/>
  <c r="AF2001" i="2"/>
  <c r="AA2001" i="2"/>
  <c r="S2000" i="2"/>
  <c r="R2000" i="2"/>
  <c r="AP2000" i="2" s="1"/>
  <c r="Q2000" i="2"/>
  <c r="AK1997" i="2"/>
  <c r="U1997" i="2"/>
  <c r="AF1997" i="2"/>
  <c r="AA1997" i="2"/>
  <c r="S1996" i="2"/>
  <c r="R1996" i="2"/>
  <c r="AP1996" i="2" s="1"/>
  <c r="Q1996" i="2"/>
  <c r="AK1993" i="2"/>
  <c r="U1993" i="2"/>
  <c r="AF1993" i="2"/>
  <c r="AA1993" i="2"/>
  <c r="S1992" i="2"/>
  <c r="R1992" i="2"/>
  <c r="AP1992" i="2" s="1"/>
  <c r="Q1992" i="2"/>
  <c r="AK1989" i="2"/>
  <c r="U1989" i="2"/>
  <c r="AF1989" i="2"/>
  <c r="AA1989" i="2"/>
  <c r="S1988" i="2"/>
  <c r="R1988" i="2"/>
  <c r="AP1988" i="2" s="1"/>
  <c r="Q1988" i="2"/>
  <c r="AK1985" i="2"/>
  <c r="U1985" i="2"/>
  <c r="AF1985" i="2"/>
  <c r="AA1985" i="2"/>
  <c r="S1984" i="2"/>
  <c r="R1984" i="2"/>
  <c r="AP1984" i="2" s="1"/>
  <c r="Q1984" i="2"/>
  <c r="AK1981" i="2"/>
  <c r="U1981" i="2"/>
  <c r="AF1981" i="2"/>
  <c r="AA1981" i="2"/>
  <c r="S1980" i="2"/>
  <c r="R1980" i="2"/>
  <c r="AP1980" i="2" s="1"/>
  <c r="Q1980" i="2"/>
  <c r="AK1977" i="2"/>
  <c r="U1977" i="2"/>
  <c r="AF1977" i="2"/>
  <c r="AA1977" i="2"/>
  <c r="S1976" i="2"/>
  <c r="R1976" i="2"/>
  <c r="AP1976" i="2" s="1"/>
  <c r="Q1976" i="2"/>
  <c r="AK1973" i="2"/>
  <c r="U1973" i="2"/>
  <c r="AF1973" i="2"/>
  <c r="AA1973" i="2"/>
  <c r="S1972" i="2"/>
  <c r="R1972" i="2"/>
  <c r="AP1972" i="2" s="1"/>
  <c r="Q1972" i="2"/>
  <c r="AK1969" i="2"/>
  <c r="U1969" i="2"/>
  <c r="AF1969" i="2"/>
  <c r="AA1969" i="2"/>
  <c r="S1968" i="2"/>
  <c r="R1968" i="2"/>
  <c r="AP1968" i="2" s="1"/>
  <c r="Q1968" i="2"/>
  <c r="AK1965" i="2"/>
  <c r="U1965" i="2"/>
  <c r="AF1965" i="2"/>
  <c r="AA1965" i="2"/>
  <c r="S1964" i="2"/>
  <c r="R1964" i="2"/>
  <c r="AP1964" i="2" s="1"/>
  <c r="Q1964" i="2"/>
  <c r="AK1961" i="2"/>
  <c r="U1961" i="2"/>
  <c r="AF1961" i="2"/>
  <c r="AA1961" i="2"/>
  <c r="S1960" i="2"/>
  <c r="R1960" i="2"/>
  <c r="AP1960" i="2" s="1"/>
  <c r="Q1960" i="2"/>
  <c r="AK1957" i="2"/>
  <c r="U1957" i="2"/>
  <c r="AF1957" i="2"/>
  <c r="AA1957" i="2"/>
  <c r="S1956" i="2"/>
  <c r="R1956" i="2"/>
  <c r="AP1956" i="2" s="1"/>
  <c r="Q1956" i="2"/>
  <c r="AK1953" i="2"/>
  <c r="U1953" i="2"/>
  <c r="AF1953" i="2"/>
  <c r="AA1953" i="2"/>
  <c r="S1952" i="2"/>
  <c r="R1952" i="2"/>
  <c r="AP1952" i="2" s="1"/>
  <c r="Q1952" i="2"/>
  <c r="AK1949" i="2"/>
  <c r="U1949" i="2"/>
  <c r="AF1949" i="2"/>
  <c r="AA1949" i="2"/>
  <c r="S1948" i="2"/>
  <c r="R1948" i="2"/>
  <c r="AP1948" i="2" s="1"/>
  <c r="Q1948" i="2"/>
  <c r="AK1945" i="2"/>
  <c r="U1945" i="2"/>
  <c r="AF1945" i="2"/>
  <c r="AA1945" i="2"/>
  <c r="S1944" i="2"/>
  <c r="R1944" i="2"/>
  <c r="AP1944" i="2" s="1"/>
  <c r="Q1944" i="2"/>
  <c r="AK1941" i="2"/>
  <c r="U1941" i="2"/>
  <c r="AF1941" i="2"/>
  <c r="AA1941" i="2"/>
  <c r="S1940" i="2"/>
  <c r="R1940" i="2"/>
  <c r="AP1940" i="2" s="1"/>
  <c r="Q1940" i="2"/>
  <c r="AK1937" i="2"/>
  <c r="U1937" i="2"/>
  <c r="AF1937" i="2"/>
  <c r="AA1937" i="2"/>
  <c r="S1936" i="2"/>
  <c r="R1936" i="2"/>
  <c r="AP1936" i="2" s="1"/>
  <c r="Q1936" i="2"/>
  <c r="AK1933" i="2"/>
  <c r="U1933" i="2"/>
  <c r="AF1933" i="2"/>
  <c r="AA1933" i="2"/>
  <c r="S1932" i="2"/>
  <c r="R1932" i="2"/>
  <c r="AP1932" i="2" s="1"/>
  <c r="Q1932" i="2"/>
  <c r="AK1929" i="2"/>
  <c r="U1929" i="2"/>
  <c r="AF1929" i="2"/>
  <c r="AA1929" i="2"/>
  <c r="S1928" i="2"/>
  <c r="R1928" i="2"/>
  <c r="AP1928" i="2" s="1"/>
  <c r="Q1928" i="2"/>
  <c r="AK1925" i="2"/>
  <c r="U1925" i="2"/>
  <c r="AF1925" i="2"/>
  <c r="AA1925" i="2"/>
  <c r="S1924" i="2"/>
  <c r="R1924" i="2"/>
  <c r="AP1924" i="2" s="1"/>
  <c r="Q1924" i="2"/>
  <c r="AK1921" i="2"/>
  <c r="U1921" i="2"/>
  <c r="AF1921" i="2"/>
  <c r="AA1921" i="2"/>
  <c r="S1920" i="2"/>
  <c r="R1920" i="2"/>
  <c r="AP1920" i="2" s="1"/>
  <c r="Q1920" i="2"/>
  <c r="AK1917" i="2"/>
  <c r="U1917" i="2"/>
  <c r="AF1917" i="2"/>
  <c r="AA1917" i="2"/>
  <c r="S1916" i="2"/>
  <c r="R1916" i="2"/>
  <c r="AP1916" i="2" s="1"/>
  <c r="Q1916" i="2"/>
  <c r="AK1913" i="2"/>
  <c r="U1913" i="2"/>
  <c r="AF1913" i="2"/>
  <c r="AA1913" i="2"/>
  <c r="S1912" i="2"/>
  <c r="R1912" i="2"/>
  <c r="AP1912" i="2" s="1"/>
  <c r="Q1912" i="2"/>
  <c r="AK1909" i="2"/>
  <c r="U1909" i="2"/>
  <c r="AF1909" i="2"/>
  <c r="AA1909" i="2"/>
  <c r="S1908" i="2"/>
  <c r="R1908" i="2"/>
  <c r="AP1908" i="2" s="1"/>
  <c r="Q1908" i="2"/>
  <c r="AK1905" i="2"/>
  <c r="U1905" i="2"/>
  <c r="AF1905" i="2"/>
  <c r="AA1905" i="2"/>
  <c r="S1904" i="2"/>
  <c r="R1904" i="2"/>
  <c r="AP1904" i="2" s="1"/>
  <c r="Q1904" i="2"/>
  <c r="AK1901" i="2"/>
  <c r="U1901" i="2"/>
  <c r="AF1901" i="2"/>
  <c r="AA1901" i="2"/>
  <c r="S1900" i="2"/>
  <c r="R1900" i="2"/>
  <c r="AP1900" i="2" s="1"/>
  <c r="Q1900" i="2"/>
  <c r="AK1897" i="2"/>
  <c r="U1897" i="2"/>
  <c r="AF1897" i="2"/>
  <c r="AA1897" i="2"/>
  <c r="S1896" i="2"/>
  <c r="R1896" i="2"/>
  <c r="AP1896" i="2" s="1"/>
  <c r="Q1896" i="2"/>
  <c r="AK1893" i="2"/>
  <c r="U1893" i="2"/>
  <c r="AF1893" i="2"/>
  <c r="AA1893" i="2"/>
  <c r="S1892" i="2"/>
  <c r="R1892" i="2"/>
  <c r="AP1892" i="2" s="1"/>
  <c r="Q1892" i="2"/>
  <c r="AK1889" i="2"/>
  <c r="U1889" i="2"/>
  <c r="AF1889" i="2"/>
  <c r="AA1889" i="2"/>
  <c r="S1888" i="2"/>
  <c r="R1888" i="2"/>
  <c r="AP1888" i="2" s="1"/>
  <c r="Q1888" i="2"/>
  <c r="AK1885" i="2"/>
  <c r="U1885" i="2"/>
  <c r="AF1885" i="2"/>
  <c r="AA1885" i="2"/>
  <c r="S1884" i="2"/>
  <c r="R1884" i="2"/>
  <c r="AP1884" i="2" s="1"/>
  <c r="Q1884" i="2"/>
  <c r="AK1881" i="2"/>
  <c r="U1881" i="2"/>
  <c r="AF1881" i="2"/>
  <c r="AA1881" i="2"/>
  <c r="S1880" i="2"/>
  <c r="R1880" i="2"/>
  <c r="AP1880" i="2" s="1"/>
  <c r="Q1880" i="2"/>
  <c r="AK1877" i="2"/>
  <c r="U1877" i="2"/>
  <c r="AF1877" i="2"/>
  <c r="AA1877" i="2"/>
  <c r="S1876" i="2"/>
  <c r="R1876" i="2"/>
  <c r="AP1876" i="2" s="1"/>
  <c r="Q1876" i="2"/>
  <c r="AK1873" i="2"/>
  <c r="U1873" i="2"/>
  <c r="AF1873" i="2"/>
  <c r="AA1873" i="2"/>
  <c r="S1872" i="2"/>
  <c r="R1872" i="2"/>
  <c r="AP1872" i="2" s="1"/>
  <c r="Q1872" i="2"/>
  <c r="AK1869" i="2"/>
  <c r="U1869" i="2"/>
  <c r="AF1869" i="2"/>
  <c r="AA1869" i="2"/>
  <c r="S1868" i="2"/>
  <c r="R1868" i="2"/>
  <c r="AP1868" i="2" s="1"/>
  <c r="Q1868" i="2"/>
  <c r="AK1865" i="2"/>
  <c r="U1865" i="2"/>
  <c r="AF1865" i="2"/>
  <c r="AA1865" i="2"/>
  <c r="S1864" i="2"/>
  <c r="R1864" i="2"/>
  <c r="AP1864" i="2" s="1"/>
  <c r="Q1864" i="2"/>
  <c r="AK1861" i="2"/>
  <c r="U1861" i="2"/>
  <c r="AF1861" i="2"/>
  <c r="AA1861" i="2"/>
  <c r="Q1849" i="2"/>
  <c r="S1849" i="2"/>
  <c r="R1849" i="2"/>
  <c r="AP1849" i="2" s="1"/>
  <c r="S1848" i="2"/>
  <c r="R1848" i="2"/>
  <c r="AP1848" i="2" s="1"/>
  <c r="Q1848" i="2"/>
  <c r="R1753" i="2"/>
  <c r="AP1753" i="2" s="1"/>
  <c r="S1753" i="2"/>
  <c r="Q1753" i="2"/>
  <c r="R1749" i="2"/>
  <c r="AP1749" i="2" s="1"/>
  <c r="S1749" i="2"/>
  <c r="Q1749" i="2"/>
  <c r="R1745" i="2"/>
  <c r="AP1745" i="2" s="1"/>
  <c r="S1745" i="2"/>
  <c r="Q1745" i="2"/>
  <c r="R1741" i="2"/>
  <c r="AP1741" i="2" s="1"/>
  <c r="S1741" i="2"/>
  <c r="Q1741" i="2"/>
  <c r="R1737" i="2"/>
  <c r="AP1737" i="2" s="1"/>
  <c r="S1737" i="2"/>
  <c r="Q1737" i="2"/>
  <c r="R1733" i="2"/>
  <c r="AP1733" i="2" s="1"/>
  <c r="S1733" i="2"/>
  <c r="Q1733" i="2"/>
  <c r="R1729" i="2"/>
  <c r="AP1729" i="2" s="1"/>
  <c r="S1729" i="2"/>
  <c r="Q1729" i="2"/>
  <c r="R1725" i="2"/>
  <c r="AP1725" i="2" s="1"/>
  <c r="S1725" i="2"/>
  <c r="Q1725" i="2"/>
  <c r="R1721" i="2"/>
  <c r="AP1721" i="2" s="1"/>
  <c r="S1721" i="2"/>
  <c r="Q1721" i="2"/>
  <c r="R1717" i="2"/>
  <c r="AP1717" i="2" s="1"/>
  <c r="S1717" i="2"/>
  <c r="Q1717" i="2"/>
  <c r="R1713" i="2"/>
  <c r="AP1713" i="2" s="1"/>
  <c r="S1713" i="2"/>
  <c r="Q1713" i="2"/>
  <c r="R1709" i="2"/>
  <c r="AP1709" i="2" s="1"/>
  <c r="S1709" i="2"/>
  <c r="Q1709" i="2"/>
  <c r="R1705" i="2"/>
  <c r="AP1705" i="2" s="1"/>
  <c r="S1705" i="2"/>
  <c r="Q1705" i="2"/>
  <c r="R1701" i="2"/>
  <c r="AP1701" i="2" s="1"/>
  <c r="S1701" i="2"/>
  <c r="Q1701" i="2"/>
  <c r="R1697" i="2"/>
  <c r="AP1697" i="2" s="1"/>
  <c r="S1697" i="2"/>
  <c r="Q1697" i="2"/>
  <c r="R1693" i="2"/>
  <c r="AP1693" i="2" s="1"/>
  <c r="S1693" i="2"/>
  <c r="Q1693" i="2"/>
  <c r="R1689" i="2"/>
  <c r="AP1689" i="2" s="1"/>
  <c r="S1689" i="2"/>
  <c r="Q1689" i="2"/>
  <c r="R1685" i="2"/>
  <c r="AP1685" i="2" s="1"/>
  <c r="S1685" i="2"/>
  <c r="Q1685" i="2"/>
  <c r="R1681" i="2"/>
  <c r="AP1681" i="2" s="1"/>
  <c r="S1681" i="2"/>
  <c r="Q1681" i="2"/>
  <c r="R1677" i="2"/>
  <c r="AP1677" i="2" s="1"/>
  <c r="S1677" i="2"/>
  <c r="Q1677" i="2"/>
  <c r="R1673" i="2"/>
  <c r="AP1673" i="2" s="1"/>
  <c r="S1673" i="2"/>
  <c r="Q1673" i="2"/>
  <c r="R1669" i="2"/>
  <c r="AP1669" i="2" s="1"/>
  <c r="S1669" i="2"/>
  <c r="Q1669" i="2"/>
  <c r="S1950" i="2"/>
  <c r="R1950" i="2"/>
  <c r="AP1950" i="2" s="1"/>
  <c r="Q1950" i="2"/>
  <c r="S1934" i="2"/>
  <c r="R1934" i="2"/>
  <c r="AP1934" i="2" s="1"/>
  <c r="Q1934" i="2"/>
  <c r="S1918" i="2"/>
  <c r="R1918" i="2"/>
  <c r="AP1918" i="2" s="1"/>
  <c r="Q1918" i="2"/>
  <c r="S1902" i="2"/>
  <c r="R1902" i="2"/>
  <c r="AP1902" i="2" s="1"/>
  <c r="Q1902" i="2"/>
  <c r="S1886" i="2"/>
  <c r="R1886" i="2"/>
  <c r="AP1886" i="2" s="1"/>
  <c r="Q1886" i="2"/>
  <c r="S1870" i="2"/>
  <c r="R1870" i="2"/>
  <c r="AP1870" i="2" s="1"/>
  <c r="Q1870" i="2"/>
  <c r="Q1843" i="2"/>
  <c r="S1843" i="2"/>
  <c r="R1843" i="2"/>
  <c r="AP1843" i="2" s="1"/>
  <c r="AQ1843" i="2" s="1"/>
  <c r="AV1843" i="2" s="1"/>
  <c r="BE1843" i="2" s="1"/>
  <c r="Q1839" i="2"/>
  <c r="S1839" i="2"/>
  <c r="R1839" i="2"/>
  <c r="AP1839" i="2" s="1"/>
  <c r="Q1835" i="2"/>
  <c r="S1835" i="2"/>
  <c r="R1835" i="2"/>
  <c r="AP1835" i="2" s="1"/>
  <c r="S1830" i="2"/>
  <c r="R1830" i="2"/>
  <c r="AP1830" i="2" s="1"/>
  <c r="Q1830" i="2"/>
  <c r="AA1828" i="2"/>
  <c r="AF1828" i="2"/>
  <c r="U1828" i="2"/>
  <c r="AK1828" i="2"/>
  <c r="AK1821" i="2"/>
  <c r="U1821" i="2"/>
  <c r="AF1821" i="2"/>
  <c r="AA1821" i="2"/>
  <c r="Q1819" i="2"/>
  <c r="S1819" i="2"/>
  <c r="R1819" i="2"/>
  <c r="AP1819" i="2" s="1"/>
  <c r="S1814" i="2"/>
  <c r="R1814" i="2"/>
  <c r="AP1814" i="2" s="1"/>
  <c r="Q1814" i="2"/>
  <c r="AA1812" i="2"/>
  <c r="AF1812" i="2"/>
  <c r="U1812" i="2"/>
  <c r="AK1812" i="2"/>
  <c r="AF1745" i="2"/>
  <c r="AK1745" i="2"/>
  <c r="U1745" i="2"/>
  <c r="AA1745" i="2"/>
  <c r="AF1729" i="2"/>
  <c r="AK1729" i="2"/>
  <c r="U1729" i="2"/>
  <c r="AA1729" i="2"/>
  <c r="AF1713" i="2"/>
  <c r="AK1713" i="2"/>
  <c r="U1713" i="2"/>
  <c r="AA1713" i="2"/>
  <c r="AF1697" i="2"/>
  <c r="AK1697" i="2"/>
  <c r="U1697" i="2"/>
  <c r="AA1697" i="2"/>
  <c r="AF1681" i="2"/>
  <c r="AK1681" i="2"/>
  <c r="U1681" i="2"/>
  <c r="AA1681" i="2"/>
  <c r="AA1842" i="2"/>
  <c r="AK1842" i="2"/>
  <c r="AF1842" i="2"/>
  <c r="U1842" i="2"/>
  <c r="AA1830" i="2"/>
  <c r="AK1830" i="2"/>
  <c r="AF1830" i="2"/>
  <c r="U1830" i="2"/>
  <c r="AA1822" i="2"/>
  <c r="AK1822" i="2"/>
  <c r="AF1822" i="2"/>
  <c r="U1822" i="2"/>
  <c r="AA1814" i="2"/>
  <c r="AK1814" i="2"/>
  <c r="AF1814" i="2"/>
  <c r="U1814" i="2"/>
  <c r="AA1806" i="2"/>
  <c r="AK1806" i="2"/>
  <c r="AF1806" i="2"/>
  <c r="U1806" i="2"/>
  <c r="AA1798" i="2"/>
  <c r="AK1798" i="2"/>
  <c r="AF1798" i="2"/>
  <c r="U1798" i="2"/>
  <c r="AA1790" i="2"/>
  <c r="AK1790" i="2"/>
  <c r="AF1790" i="2"/>
  <c r="U1790" i="2"/>
  <c r="AA1782" i="2"/>
  <c r="AK1782" i="2"/>
  <c r="AF1782" i="2"/>
  <c r="U1782" i="2"/>
  <c r="AA1774" i="2"/>
  <c r="AK1774" i="2"/>
  <c r="AF1774" i="2"/>
  <c r="U1774" i="2"/>
  <c r="AA1766" i="2"/>
  <c r="AK1766" i="2"/>
  <c r="AF1766" i="2"/>
  <c r="U1766" i="2"/>
  <c r="AA1758" i="2"/>
  <c r="AK1758" i="2"/>
  <c r="AF1758" i="2"/>
  <c r="U1758" i="2"/>
  <c r="R1751" i="2"/>
  <c r="AP1751" i="2" s="1"/>
  <c r="S1751" i="2"/>
  <c r="Q1751" i="2"/>
  <c r="AF1746" i="2"/>
  <c r="AK1746" i="2"/>
  <c r="U1746" i="2"/>
  <c r="AA1746" i="2"/>
  <c r="R1735" i="2"/>
  <c r="AP1735" i="2" s="1"/>
  <c r="S1735" i="2"/>
  <c r="Q1735" i="2"/>
  <c r="AF1730" i="2"/>
  <c r="AK1730" i="2"/>
  <c r="U1730" i="2"/>
  <c r="AA1730" i="2"/>
  <c r="R1719" i="2"/>
  <c r="AP1719" i="2" s="1"/>
  <c r="S1719" i="2"/>
  <c r="Q1719" i="2"/>
  <c r="AF1714" i="2"/>
  <c r="AK1714" i="2"/>
  <c r="U1714" i="2"/>
  <c r="AA1714" i="2"/>
  <c r="R1703" i="2"/>
  <c r="AP1703" i="2" s="1"/>
  <c r="S1703" i="2"/>
  <c r="Q1703" i="2"/>
  <c r="AF1698" i="2"/>
  <c r="AK1698" i="2"/>
  <c r="U1698" i="2"/>
  <c r="AA1698" i="2"/>
  <c r="R1687" i="2"/>
  <c r="AP1687" i="2" s="1"/>
  <c r="S1687" i="2"/>
  <c r="Q1687" i="2"/>
  <c r="AF1682" i="2"/>
  <c r="AK1682" i="2"/>
  <c r="U1682" i="2"/>
  <c r="AA1682" i="2"/>
  <c r="R1671" i="2"/>
  <c r="AP1671" i="2" s="1"/>
  <c r="S1671" i="2"/>
  <c r="Q1671" i="2"/>
  <c r="AF1948" i="2"/>
  <c r="AA1948" i="2"/>
  <c r="AK1948" i="2"/>
  <c r="U1948" i="2"/>
  <c r="AF1940" i="2"/>
  <c r="AA1940" i="2"/>
  <c r="AK1940" i="2"/>
  <c r="U1940" i="2"/>
  <c r="AF1932" i="2"/>
  <c r="AA1932" i="2"/>
  <c r="AK1932" i="2"/>
  <c r="U1932" i="2"/>
  <c r="AF1924" i="2"/>
  <c r="AA1924" i="2"/>
  <c r="AK1924" i="2"/>
  <c r="U1924" i="2"/>
  <c r="AF1916" i="2"/>
  <c r="AA1916" i="2"/>
  <c r="AK1916" i="2"/>
  <c r="U1916" i="2"/>
  <c r="AF1908" i="2"/>
  <c r="AA1908" i="2"/>
  <c r="AK1908" i="2"/>
  <c r="U1908" i="2"/>
  <c r="AF1900" i="2"/>
  <c r="AA1900" i="2"/>
  <c r="AK1900" i="2"/>
  <c r="U1900" i="2"/>
  <c r="AF1892" i="2"/>
  <c r="AA1892" i="2"/>
  <c r="AK1892" i="2"/>
  <c r="U1892" i="2"/>
  <c r="AF1884" i="2"/>
  <c r="AA1884" i="2"/>
  <c r="AK1884" i="2"/>
  <c r="U1884" i="2"/>
  <c r="AF1876" i="2"/>
  <c r="AA1876" i="2"/>
  <c r="AK1876" i="2"/>
  <c r="U1876" i="2"/>
  <c r="AF1868" i="2"/>
  <c r="AA1868" i="2"/>
  <c r="AK1868" i="2"/>
  <c r="U1868" i="2"/>
  <c r="AF1860" i="2"/>
  <c r="AA1860" i="2"/>
  <c r="AK1860" i="2"/>
  <c r="U1860" i="2"/>
  <c r="S1858" i="2"/>
  <c r="R1858" i="2"/>
  <c r="AP1858" i="2" s="1"/>
  <c r="Q1858" i="2"/>
  <c r="AF1856" i="2"/>
  <c r="AA1856" i="2"/>
  <c r="AK1856" i="2"/>
  <c r="U1856" i="2"/>
  <c r="S1854" i="2"/>
  <c r="R1854" i="2"/>
  <c r="AP1854" i="2" s="1"/>
  <c r="Q1854" i="2"/>
  <c r="AF1852" i="2"/>
  <c r="AA1852" i="2"/>
  <c r="AK1852" i="2"/>
  <c r="U1852" i="2"/>
  <c r="S1850" i="2"/>
  <c r="R1850" i="2"/>
  <c r="AP1850" i="2" s="1"/>
  <c r="Q1850" i="2"/>
  <c r="Q1825" i="2"/>
  <c r="R1825" i="2"/>
  <c r="AP1825" i="2" s="1"/>
  <c r="S1825" i="2"/>
  <c r="AG1819" i="2"/>
  <c r="AL1819" i="2"/>
  <c r="V1819" i="2"/>
  <c r="AB1819" i="2"/>
  <c r="Q1809" i="2"/>
  <c r="R1809" i="2"/>
  <c r="AP1809" i="2" s="1"/>
  <c r="S1809" i="2"/>
  <c r="Q1793" i="2"/>
  <c r="R1793" i="2"/>
  <c r="AP1793" i="2" s="1"/>
  <c r="S1793" i="2"/>
  <c r="AG1787" i="2"/>
  <c r="Q1777" i="2"/>
  <c r="R1777" i="2"/>
  <c r="AP1777" i="2" s="1"/>
  <c r="S1777" i="2"/>
  <c r="AG1771" i="2"/>
  <c r="AL1771" i="2"/>
  <c r="V1771" i="2"/>
  <c r="AB1771" i="2"/>
  <c r="Q1761" i="2"/>
  <c r="R1761" i="2"/>
  <c r="AP1761" i="2" s="1"/>
  <c r="S1761" i="2"/>
  <c r="BD1726" i="2"/>
  <c r="AK1662" i="2"/>
  <c r="U1662" i="2"/>
  <c r="AF1662" i="2"/>
  <c r="AA1662" i="2"/>
  <c r="R1656" i="2"/>
  <c r="AP1656" i="2" s="1"/>
  <c r="Q1656" i="2"/>
  <c r="S1656" i="2"/>
  <c r="AF1653" i="2"/>
  <c r="AA1653" i="2"/>
  <c r="AK1653" i="2"/>
  <c r="U1653" i="2"/>
  <c r="AK1646" i="2"/>
  <c r="U1646" i="2"/>
  <c r="AF1646" i="2"/>
  <c r="AA1646" i="2"/>
  <c r="R1640" i="2"/>
  <c r="AP1640" i="2" s="1"/>
  <c r="Q1640" i="2"/>
  <c r="S1640" i="2"/>
  <c r="AF1637" i="2"/>
  <c r="AA1637" i="2"/>
  <c r="AK1637" i="2"/>
  <c r="U1637" i="2"/>
  <c r="AK1630" i="2"/>
  <c r="U1630" i="2"/>
  <c r="AF1630" i="2"/>
  <c r="AA1630" i="2"/>
  <c r="R1624" i="2"/>
  <c r="AP1624" i="2" s="1"/>
  <c r="Q1624" i="2"/>
  <c r="S1624" i="2"/>
  <c r="AF1621" i="2"/>
  <c r="AA1621" i="2"/>
  <c r="AK1621" i="2"/>
  <c r="U1621" i="2"/>
  <c r="AK1614" i="2"/>
  <c r="U1614" i="2"/>
  <c r="AF1614" i="2"/>
  <c r="AA1614" i="2"/>
  <c r="R1608" i="2"/>
  <c r="AP1608" i="2" s="1"/>
  <c r="Q1608" i="2"/>
  <c r="S1608" i="2"/>
  <c r="AF1605" i="2"/>
  <c r="AA1605" i="2"/>
  <c r="AK1605" i="2"/>
  <c r="U1605" i="2"/>
  <c r="AK1598" i="2"/>
  <c r="U1598" i="2"/>
  <c r="AF1598" i="2"/>
  <c r="AA1598" i="2"/>
  <c r="R1592" i="2"/>
  <c r="AP1592" i="2" s="1"/>
  <c r="Q1592" i="2"/>
  <c r="S1592" i="2"/>
  <c r="AF1589" i="2"/>
  <c r="AA1589" i="2"/>
  <c r="AK1589" i="2"/>
  <c r="U1589" i="2"/>
  <c r="R1584" i="2"/>
  <c r="AP1584" i="2" s="1"/>
  <c r="Q1584" i="2"/>
  <c r="S1584" i="2"/>
  <c r="AF1581" i="2"/>
  <c r="AA1581" i="2"/>
  <c r="AK1581" i="2"/>
  <c r="U1581" i="2"/>
  <c r="AF1502" i="2"/>
  <c r="AA1502" i="2"/>
  <c r="AK1502" i="2"/>
  <c r="U1502" i="2"/>
  <c r="AF1487" i="2"/>
  <c r="AK1487" i="2"/>
  <c r="U1487" i="2"/>
  <c r="AA1487" i="2"/>
  <c r="R1485" i="2"/>
  <c r="AP1485" i="2" s="1"/>
  <c r="Q1485" i="2"/>
  <c r="S1485" i="2"/>
  <c r="AF1473" i="2"/>
  <c r="AK1473" i="2"/>
  <c r="U1473" i="2"/>
  <c r="AA1473" i="2"/>
  <c r="R1472" i="2"/>
  <c r="AP1472" i="2" s="1"/>
  <c r="S1472" i="2"/>
  <c r="Q1472" i="2"/>
  <c r="AF1469" i="2"/>
  <c r="AK1469" i="2"/>
  <c r="U1469" i="2"/>
  <c r="AA1469" i="2"/>
  <c r="R1468" i="2"/>
  <c r="AP1468" i="2" s="1"/>
  <c r="S1468" i="2"/>
  <c r="Q1468" i="2"/>
  <c r="AF1465" i="2"/>
  <c r="AK1465" i="2"/>
  <c r="U1465" i="2"/>
  <c r="AA1465" i="2"/>
  <c r="R1464" i="2"/>
  <c r="AP1464" i="2" s="1"/>
  <c r="S1464" i="2"/>
  <c r="Q1464" i="2"/>
  <c r="AF1461" i="2"/>
  <c r="AK1461" i="2"/>
  <c r="U1461" i="2"/>
  <c r="AA1461" i="2"/>
  <c r="R1460" i="2"/>
  <c r="AP1460" i="2" s="1"/>
  <c r="S1460" i="2"/>
  <c r="Q1460" i="2"/>
  <c r="AF1457" i="2"/>
  <c r="AK1457" i="2"/>
  <c r="U1457" i="2"/>
  <c r="AA1457" i="2"/>
  <c r="R1456" i="2"/>
  <c r="AP1456" i="2" s="1"/>
  <c r="S1456" i="2"/>
  <c r="Q1456" i="2"/>
  <c r="AF1453" i="2"/>
  <c r="AK1453" i="2"/>
  <c r="U1453" i="2"/>
  <c r="AA1453" i="2"/>
  <c r="R1452" i="2"/>
  <c r="AP1452" i="2" s="1"/>
  <c r="S1452" i="2"/>
  <c r="Q1452" i="2"/>
  <c r="AF1449" i="2"/>
  <c r="AK1449" i="2"/>
  <c r="U1449" i="2"/>
  <c r="AA1449" i="2"/>
  <c r="R1448" i="2"/>
  <c r="AP1448" i="2" s="1"/>
  <c r="S1448" i="2"/>
  <c r="Q1448" i="2"/>
  <c r="AF1445" i="2"/>
  <c r="AK1445" i="2"/>
  <c r="U1445" i="2"/>
  <c r="AA1445" i="2"/>
  <c r="AK1381" i="2"/>
  <c r="U1381" i="2"/>
  <c r="AA1381" i="2"/>
  <c r="AF1381" i="2"/>
  <c r="BD1583" i="2"/>
  <c r="R1577" i="2"/>
  <c r="AP1577" i="2" s="1"/>
  <c r="Q1577" i="2"/>
  <c r="S1577" i="2"/>
  <c r="R1573" i="2"/>
  <c r="AP1573" i="2" s="1"/>
  <c r="Q1573" i="2"/>
  <c r="S1573" i="2"/>
  <c r="R1569" i="2"/>
  <c r="AP1569" i="2" s="1"/>
  <c r="Q1569" i="2"/>
  <c r="S1569" i="2"/>
  <c r="R1565" i="2"/>
  <c r="AP1565" i="2" s="1"/>
  <c r="Q1565" i="2"/>
  <c r="S1565" i="2"/>
  <c r="R1561" i="2"/>
  <c r="AP1561" i="2" s="1"/>
  <c r="Q1561" i="2"/>
  <c r="S1561" i="2"/>
  <c r="R1557" i="2"/>
  <c r="AP1557" i="2" s="1"/>
  <c r="Q1557" i="2"/>
  <c r="S1557" i="2"/>
  <c r="R1553" i="2"/>
  <c r="AP1553" i="2" s="1"/>
  <c r="Q1553" i="2"/>
  <c r="S1553" i="2"/>
  <c r="R1549" i="2"/>
  <c r="AP1549" i="2" s="1"/>
  <c r="Q1549" i="2"/>
  <c r="S1549" i="2"/>
  <c r="R1546" i="2"/>
  <c r="AP1546" i="2" s="1"/>
  <c r="S1546" i="2"/>
  <c r="Q1546" i="2"/>
  <c r="AF1541" i="2"/>
  <c r="AK1541" i="2"/>
  <c r="U1541" i="2"/>
  <c r="AA1541" i="2"/>
  <c r="R1540" i="2"/>
  <c r="AP1540" i="2" s="1"/>
  <c r="S1540" i="2"/>
  <c r="Q1540" i="2"/>
  <c r="AF1534" i="2"/>
  <c r="AA1534" i="2"/>
  <c r="AK1534" i="2"/>
  <c r="U1534" i="2"/>
  <c r="AF1525" i="2"/>
  <c r="AK1525" i="2"/>
  <c r="U1525" i="2"/>
  <c r="AA1525" i="2"/>
  <c r="AF1521" i="2"/>
  <c r="AK1521" i="2"/>
  <c r="U1521" i="2"/>
  <c r="AA1521" i="2"/>
  <c r="AF1517" i="2"/>
  <c r="AK1517" i="2"/>
  <c r="U1517" i="2"/>
  <c r="AA1517" i="2"/>
  <c r="R1516" i="2"/>
  <c r="AP1516" i="2" s="1"/>
  <c r="S1516" i="2"/>
  <c r="Q1516" i="2"/>
  <c r="AF1506" i="2"/>
  <c r="AA1506" i="2"/>
  <c r="AK1506" i="2"/>
  <c r="U1506" i="2"/>
  <c r="R1504" i="2"/>
  <c r="AP1504" i="2" s="1"/>
  <c r="S1504" i="2"/>
  <c r="Q1504" i="2"/>
  <c r="AF1492" i="2"/>
  <c r="AA1492" i="2"/>
  <c r="AK1492" i="2"/>
  <c r="U1492" i="2"/>
  <c r="AF1485" i="2"/>
  <c r="AK1485" i="2"/>
  <c r="U1485" i="2"/>
  <c r="AA1485" i="2"/>
  <c r="R1484" i="2"/>
  <c r="AP1484" i="2" s="1"/>
  <c r="S1484" i="2"/>
  <c r="Q1484" i="2"/>
  <c r="R1475" i="2"/>
  <c r="AP1475" i="2" s="1"/>
  <c r="Q1475" i="2"/>
  <c r="S1475" i="2"/>
  <c r="R1471" i="2"/>
  <c r="AP1471" i="2" s="1"/>
  <c r="Q1471" i="2"/>
  <c r="S1471" i="2"/>
  <c r="R1467" i="2"/>
  <c r="AP1467" i="2" s="1"/>
  <c r="Q1467" i="2"/>
  <c r="S1467" i="2"/>
  <c r="R1463" i="2"/>
  <c r="AP1463" i="2" s="1"/>
  <c r="Q1463" i="2"/>
  <c r="S1463" i="2"/>
  <c r="R1459" i="2"/>
  <c r="AP1459" i="2" s="1"/>
  <c r="Q1459" i="2"/>
  <c r="S1459" i="2"/>
  <c r="R1455" i="2"/>
  <c r="AP1455" i="2" s="1"/>
  <c r="Q1455" i="2"/>
  <c r="S1455" i="2"/>
  <c r="R1451" i="2"/>
  <c r="AP1451" i="2" s="1"/>
  <c r="Q1451" i="2"/>
  <c r="S1451" i="2"/>
  <c r="R1447" i="2"/>
  <c r="AP1447" i="2" s="1"/>
  <c r="Q1447" i="2"/>
  <c r="S1447" i="2"/>
  <c r="R1444" i="2"/>
  <c r="AP1444" i="2" s="1"/>
  <c r="S1444" i="2"/>
  <c r="Q1444" i="2"/>
  <c r="AK1387" i="2"/>
  <c r="U1387" i="2"/>
  <c r="AA1387" i="2"/>
  <c r="AF1387" i="2"/>
  <c r="S1376" i="2"/>
  <c r="R1376" i="2"/>
  <c r="AP1376" i="2" s="1"/>
  <c r="Q1376" i="2"/>
  <c r="R1662" i="2"/>
  <c r="AP1662" i="2" s="1"/>
  <c r="Q1662" i="2"/>
  <c r="S1662" i="2"/>
  <c r="AF1659" i="2"/>
  <c r="AA1659" i="2"/>
  <c r="AK1659" i="2"/>
  <c r="U1659" i="2"/>
  <c r="AK1652" i="2"/>
  <c r="U1652" i="2"/>
  <c r="AF1652" i="2"/>
  <c r="AA1652" i="2"/>
  <c r="R1646" i="2"/>
  <c r="AP1646" i="2" s="1"/>
  <c r="Q1646" i="2"/>
  <c r="S1646" i="2"/>
  <c r="AF1643" i="2"/>
  <c r="AA1643" i="2"/>
  <c r="AK1643" i="2"/>
  <c r="U1643" i="2"/>
  <c r="AK1636" i="2"/>
  <c r="U1636" i="2"/>
  <c r="AF1636" i="2"/>
  <c r="AA1636" i="2"/>
  <c r="R1630" i="2"/>
  <c r="AP1630" i="2" s="1"/>
  <c r="Q1630" i="2"/>
  <c r="S1630" i="2"/>
  <c r="AF1627" i="2"/>
  <c r="AA1627" i="2"/>
  <c r="AK1627" i="2"/>
  <c r="U1627" i="2"/>
  <c r="AK1620" i="2"/>
  <c r="U1620" i="2"/>
  <c r="AF1620" i="2"/>
  <c r="AA1620" i="2"/>
  <c r="R1614" i="2"/>
  <c r="AP1614" i="2" s="1"/>
  <c r="Q1614" i="2"/>
  <c r="S1614" i="2"/>
  <c r="AF1611" i="2"/>
  <c r="AA1611" i="2"/>
  <c r="AK1611" i="2"/>
  <c r="U1611" i="2"/>
  <c r="AK1604" i="2"/>
  <c r="U1604" i="2"/>
  <c r="AF1604" i="2"/>
  <c r="AA1604" i="2"/>
  <c r="R1598" i="2"/>
  <c r="AP1598" i="2" s="1"/>
  <c r="Q1598" i="2"/>
  <c r="S1598" i="2"/>
  <c r="AF1595" i="2"/>
  <c r="AA1595" i="2"/>
  <c r="AK1595" i="2"/>
  <c r="U1595" i="2"/>
  <c r="AF1587" i="2"/>
  <c r="AA1587" i="2"/>
  <c r="AK1587" i="2"/>
  <c r="U1587" i="2"/>
  <c r="AK1580" i="2"/>
  <c r="U1580" i="2"/>
  <c r="AF1580" i="2"/>
  <c r="AA1580" i="2"/>
  <c r="AF1577" i="2"/>
  <c r="AK1577" i="2"/>
  <c r="U1577" i="2"/>
  <c r="AA1577" i="2"/>
  <c r="R1576" i="2"/>
  <c r="AP1576" i="2" s="1"/>
  <c r="S1576" i="2"/>
  <c r="Q1576" i="2"/>
  <c r="AF1573" i="2"/>
  <c r="AK1573" i="2"/>
  <c r="U1573" i="2"/>
  <c r="AA1573" i="2"/>
  <c r="R1572" i="2"/>
  <c r="AP1572" i="2" s="1"/>
  <c r="S1572" i="2"/>
  <c r="Q1572" i="2"/>
  <c r="AF1569" i="2"/>
  <c r="AK1569" i="2"/>
  <c r="U1569" i="2"/>
  <c r="AA1569" i="2"/>
  <c r="R1568" i="2"/>
  <c r="AP1568" i="2" s="1"/>
  <c r="S1568" i="2"/>
  <c r="Q1568" i="2"/>
  <c r="AF1565" i="2"/>
  <c r="AK1565" i="2"/>
  <c r="U1565" i="2"/>
  <c r="AA1565" i="2"/>
  <c r="R1564" i="2"/>
  <c r="AP1564" i="2" s="1"/>
  <c r="S1564" i="2"/>
  <c r="Q1564" i="2"/>
  <c r="AF1561" i="2"/>
  <c r="AK1561" i="2"/>
  <c r="U1561" i="2"/>
  <c r="AA1561" i="2"/>
  <c r="R1560" i="2"/>
  <c r="AP1560" i="2" s="1"/>
  <c r="S1560" i="2"/>
  <c r="Q1560" i="2"/>
  <c r="AF1557" i="2"/>
  <c r="AK1557" i="2"/>
  <c r="U1557" i="2"/>
  <c r="AA1557" i="2"/>
  <c r="R1556" i="2"/>
  <c r="AP1556" i="2" s="1"/>
  <c r="S1556" i="2"/>
  <c r="Q1556" i="2"/>
  <c r="AF1553" i="2"/>
  <c r="AK1553" i="2"/>
  <c r="U1553" i="2"/>
  <c r="AA1553" i="2"/>
  <c r="R1552" i="2"/>
  <c r="AP1552" i="2" s="1"/>
  <c r="S1552" i="2"/>
  <c r="Q1552" i="2"/>
  <c r="AF1549" i="2"/>
  <c r="AK1549" i="2"/>
  <c r="U1549" i="2"/>
  <c r="AA1549" i="2"/>
  <c r="R1548" i="2"/>
  <c r="AP1548" i="2" s="1"/>
  <c r="S1548" i="2"/>
  <c r="Q1548" i="2"/>
  <c r="AF1545" i="2"/>
  <c r="AK1545" i="2"/>
  <c r="U1545" i="2"/>
  <c r="AA1545" i="2"/>
  <c r="R1543" i="2"/>
  <c r="AP1543" i="2" s="1"/>
  <c r="Q1543" i="2"/>
  <c r="S1543" i="2"/>
  <c r="R1539" i="2"/>
  <c r="AP1539" i="2" s="1"/>
  <c r="Q1539" i="2"/>
  <c r="S1539" i="2"/>
  <c r="R1535" i="2"/>
  <c r="AP1535" i="2" s="1"/>
  <c r="Q1535" i="2"/>
  <c r="S1535" i="2"/>
  <c r="R1531" i="2"/>
  <c r="AP1531" i="2" s="1"/>
  <c r="Q1531" i="2"/>
  <c r="S1531" i="2"/>
  <c r="R1527" i="2"/>
  <c r="AP1527" i="2" s="1"/>
  <c r="Q1527" i="2"/>
  <c r="S1527" i="2"/>
  <c r="R1519" i="2"/>
  <c r="AP1519" i="2" s="1"/>
  <c r="Q1519" i="2"/>
  <c r="S1519" i="2"/>
  <c r="R1515" i="2"/>
  <c r="AP1515" i="2" s="1"/>
  <c r="Q1515" i="2"/>
  <c r="S1515" i="2"/>
  <c r="BD1512" i="2"/>
  <c r="AF1503" i="2"/>
  <c r="AK1503" i="2"/>
  <c r="U1503" i="2"/>
  <c r="AA1503" i="2"/>
  <c r="R1502" i="2"/>
  <c r="AP1502" i="2" s="1"/>
  <c r="S1502" i="2"/>
  <c r="Q1502" i="2"/>
  <c r="R1479" i="2"/>
  <c r="AP1479" i="2" s="1"/>
  <c r="Q1479" i="2"/>
  <c r="S1479" i="2"/>
  <c r="AF1476" i="2"/>
  <c r="AA1476" i="2"/>
  <c r="AK1476" i="2"/>
  <c r="U1476" i="2"/>
  <c r="AF1471" i="2"/>
  <c r="AK1471" i="2"/>
  <c r="U1471" i="2"/>
  <c r="AA1471" i="2"/>
  <c r="R1470" i="2"/>
  <c r="AP1470" i="2" s="1"/>
  <c r="S1470" i="2"/>
  <c r="Q1470" i="2"/>
  <c r="AF1467" i="2"/>
  <c r="AK1467" i="2"/>
  <c r="U1467" i="2"/>
  <c r="AA1467" i="2"/>
  <c r="R1466" i="2"/>
  <c r="AP1466" i="2" s="1"/>
  <c r="S1466" i="2"/>
  <c r="Q1466" i="2"/>
  <c r="AF1463" i="2"/>
  <c r="AK1463" i="2"/>
  <c r="U1463" i="2"/>
  <c r="AA1463" i="2"/>
  <c r="R1462" i="2"/>
  <c r="AP1462" i="2" s="1"/>
  <c r="S1462" i="2"/>
  <c r="Q1462" i="2"/>
  <c r="AF1459" i="2"/>
  <c r="AK1459" i="2"/>
  <c r="U1459" i="2"/>
  <c r="AA1459" i="2"/>
  <c r="R1458" i="2"/>
  <c r="AP1458" i="2" s="1"/>
  <c r="S1458" i="2"/>
  <c r="Q1458" i="2"/>
  <c r="AF1455" i="2"/>
  <c r="AK1455" i="2"/>
  <c r="U1455" i="2"/>
  <c r="AA1455" i="2"/>
  <c r="R1454" i="2"/>
  <c r="AP1454" i="2" s="1"/>
  <c r="S1454" i="2"/>
  <c r="Q1454" i="2"/>
  <c r="AF1451" i="2"/>
  <c r="AK1451" i="2"/>
  <c r="U1451" i="2"/>
  <c r="AA1451" i="2"/>
  <c r="R1450" i="2"/>
  <c r="AP1450" i="2" s="1"/>
  <c r="S1450" i="2"/>
  <c r="Q1450" i="2"/>
  <c r="AF1447" i="2"/>
  <c r="AK1447" i="2"/>
  <c r="U1447" i="2"/>
  <c r="AA1447" i="2"/>
  <c r="R1446" i="2"/>
  <c r="AP1446" i="2" s="1"/>
  <c r="S1446" i="2"/>
  <c r="Q1446" i="2"/>
  <c r="AF1443" i="2"/>
  <c r="AK1443" i="2"/>
  <c r="U1443" i="2"/>
  <c r="AA1443" i="2"/>
  <c r="AF1438" i="2"/>
  <c r="AA1438" i="2"/>
  <c r="AK1438" i="2"/>
  <c r="U1438" i="2"/>
  <c r="AF1434" i="2"/>
  <c r="AA1434" i="2"/>
  <c r="AK1434" i="2"/>
  <c r="U1434" i="2"/>
  <c r="AF1430" i="2"/>
  <c r="AA1430" i="2"/>
  <c r="AK1430" i="2"/>
  <c r="U1430" i="2"/>
  <c r="AF1426" i="2"/>
  <c r="AA1426" i="2"/>
  <c r="AK1426" i="2"/>
  <c r="U1426" i="2"/>
  <c r="AF1422" i="2"/>
  <c r="AA1422" i="2"/>
  <c r="AK1422" i="2"/>
  <c r="U1422" i="2"/>
  <c r="AF1418" i="2"/>
  <c r="AA1418" i="2"/>
  <c r="AK1418" i="2"/>
  <c r="U1418" i="2"/>
  <c r="AF1414" i="2"/>
  <c r="AA1414" i="2"/>
  <c r="AK1414" i="2"/>
  <c r="U1414" i="2"/>
  <c r="AF1410" i="2"/>
  <c r="AA1410" i="2"/>
  <c r="AK1410" i="2"/>
  <c r="U1410" i="2"/>
  <c r="AF1406" i="2"/>
  <c r="AA1406" i="2"/>
  <c r="AK1406" i="2"/>
  <c r="U1406" i="2"/>
  <c r="AF1402" i="2"/>
  <c r="AA1402" i="2"/>
  <c r="AK1402" i="2"/>
  <c r="U1402" i="2"/>
  <c r="AF1398" i="2"/>
  <c r="AA1398" i="2"/>
  <c r="AK1398" i="2"/>
  <c r="U1398" i="2"/>
  <c r="AF1394" i="2"/>
  <c r="AA1394" i="2"/>
  <c r="AK1394" i="2"/>
  <c r="U1394" i="2"/>
  <c r="AF1390" i="2"/>
  <c r="AA1390" i="2"/>
  <c r="AK1390" i="2"/>
  <c r="U1390" i="2"/>
  <c r="R1389" i="2"/>
  <c r="AP1389" i="2" s="1"/>
  <c r="Q1389" i="2"/>
  <c r="S1389" i="2"/>
  <c r="AK1385" i="2"/>
  <c r="U1385" i="2"/>
  <c r="AF1385" i="2"/>
  <c r="AA1385" i="2"/>
  <c r="S1382" i="2"/>
  <c r="Q1382" i="2"/>
  <c r="R1382" i="2"/>
  <c r="AP1382" i="2" s="1"/>
  <c r="AF1374" i="2"/>
  <c r="AA1374" i="2"/>
  <c r="AK1374" i="2"/>
  <c r="U1374" i="2"/>
  <c r="R1373" i="2"/>
  <c r="AP1373" i="2" s="1"/>
  <c r="Q1373" i="2"/>
  <c r="S1373" i="2"/>
  <c r="BD1661" i="2"/>
  <c r="R1590" i="2"/>
  <c r="AP1590" i="2" s="1"/>
  <c r="Q1590" i="2"/>
  <c r="S1590" i="2"/>
  <c r="R1501" i="2"/>
  <c r="AP1501" i="2" s="1"/>
  <c r="Q1501" i="2"/>
  <c r="S1501" i="2"/>
  <c r="R1487" i="2"/>
  <c r="AP1487" i="2" s="1"/>
  <c r="Q1487" i="2"/>
  <c r="S1487" i="2"/>
  <c r="R1474" i="2"/>
  <c r="AP1474" i="2" s="1"/>
  <c r="S1474" i="2"/>
  <c r="Q1474" i="2"/>
  <c r="AF1441" i="2"/>
  <c r="AK1441" i="2"/>
  <c r="U1441" i="2"/>
  <c r="AA1441" i="2"/>
  <c r="AK1391" i="2"/>
  <c r="U1391" i="2"/>
  <c r="AA1391" i="2"/>
  <c r="AF1391" i="2"/>
  <c r="S1380" i="2"/>
  <c r="R1380" i="2"/>
  <c r="AP1380" i="2" s="1"/>
  <c r="Q1380" i="2"/>
  <c r="AK1362" i="2"/>
  <c r="U1362" i="2"/>
  <c r="AF1362" i="2"/>
  <c r="AA1362" i="2"/>
  <c r="S1357" i="2"/>
  <c r="R1357" i="2"/>
  <c r="AP1357" i="2" s="1"/>
  <c r="Q1357" i="2"/>
  <c r="AK1346" i="2"/>
  <c r="U1346" i="2"/>
  <c r="AF1346" i="2"/>
  <c r="AA1346" i="2"/>
  <c r="S1341" i="2"/>
  <c r="R1341" i="2"/>
  <c r="AP1341" i="2" s="1"/>
  <c r="Q1341" i="2"/>
  <c r="AK1330" i="2"/>
  <c r="U1330" i="2"/>
  <c r="AF1330" i="2"/>
  <c r="AA1330" i="2"/>
  <c r="S1325" i="2"/>
  <c r="R1325" i="2"/>
  <c r="AP1325" i="2" s="1"/>
  <c r="Q1325" i="2"/>
  <c r="AK1314" i="2"/>
  <c r="U1314" i="2"/>
  <c r="AF1314" i="2"/>
  <c r="AA1314" i="2"/>
  <c r="S1309" i="2"/>
  <c r="R1309" i="2"/>
  <c r="AP1309" i="2" s="1"/>
  <c r="Q1309" i="2"/>
  <c r="AK1298" i="2"/>
  <c r="U1298" i="2"/>
  <c r="AF1298" i="2"/>
  <c r="AA1298" i="2"/>
  <c r="S1293" i="2"/>
  <c r="R1293" i="2"/>
  <c r="AP1293" i="2" s="1"/>
  <c r="Q1293" i="2"/>
  <c r="AK1282" i="2"/>
  <c r="U1282" i="2"/>
  <c r="AF1282" i="2"/>
  <c r="AA1282" i="2"/>
  <c r="S1277" i="2"/>
  <c r="R1277" i="2"/>
  <c r="AP1277" i="2" s="1"/>
  <c r="Q1277" i="2"/>
  <c r="AK1266" i="2"/>
  <c r="U1266" i="2"/>
  <c r="AF1266" i="2"/>
  <c r="AA1266" i="2"/>
  <c r="S1261" i="2"/>
  <c r="R1261" i="2"/>
  <c r="AP1261" i="2" s="1"/>
  <c r="Q1261" i="2"/>
  <c r="AK1250" i="2"/>
  <c r="U1250" i="2"/>
  <c r="AF1250" i="2"/>
  <c r="AA1250" i="2"/>
  <c r="S1245" i="2"/>
  <c r="R1245" i="2"/>
  <c r="AP1245" i="2" s="1"/>
  <c r="Q1245" i="2"/>
  <c r="AK1234" i="2"/>
  <c r="U1234" i="2"/>
  <c r="AF1234" i="2"/>
  <c r="AA1234" i="2"/>
  <c r="S1229" i="2"/>
  <c r="R1229" i="2"/>
  <c r="AP1229" i="2" s="1"/>
  <c r="Q1229" i="2"/>
  <c r="AK1218" i="2"/>
  <c r="U1218" i="2"/>
  <c r="AF1218" i="2"/>
  <c r="AA1218" i="2"/>
  <c r="S1213" i="2"/>
  <c r="R1213" i="2"/>
  <c r="AP1213" i="2" s="1"/>
  <c r="Q1213" i="2"/>
  <c r="AK1202" i="2"/>
  <c r="U1202" i="2"/>
  <c r="AF1202" i="2"/>
  <c r="AA1202" i="2"/>
  <c r="S1197" i="2"/>
  <c r="R1197" i="2"/>
  <c r="AP1197" i="2" s="1"/>
  <c r="Q1197" i="2"/>
  <c r="AK1186" i="2"/>
  <c r="U1186" i="2"/>
  <c r="AF1186" i="2"/>
  <c r="AA1186" i="2"/>
  <c r="S1181" i="2"/>
  <c r="R1181" i="2"/>
  <c r="AP1181" i="2" s="1"/>
  <c r="Q1181" i="2"/>
  <c r="Q1174" i="2"/>
  <c r="S1174" i="2"/>
  <c r="R1174" i="2"/>
  <c r="AP1174" i="2" s="1"/>
  <c r="S1169" i="2"/>
  <c r="R1169" i="2"/>
  <c r="AP1169" i="2" s="1"/>
  <c r="Q1169" i="2"/>
  <c r="Q1166" i="2"/>
  <c r="S1166" i="2"/>
  <c r="R1166" i="2"/>
  <c r="AP1166" i="2" s="1"/>
  <c r="S1161" i="2"/>
  <c r="R1161" i="2"/>
  <c r="AP1161" i="2" s="1"/>
  <c r="Q1161" i="2"/>
  <c r="Q1158" i="2"/>
  <c r="S1158" i="2"/>
  <c r="R1158" i="2"/>
  <c r="AP1158" i="2" s="1"/>
  <c r="S1153" i="2"/>
  <c r="R1153" i="2"/>
  <c r="AP1153" i="2" s="1"/>
  <c r="Q1153" i="2"/>
  <c r="S1149" i="2"/>
  <c r="R1149" i="2"/>
  <c r="AP1149" i="2" s="1"/>
  <c r="Q1149" i="2"/>
  <c r="S1145" i="2"/>
  <c r="R1145" i="2"/>
  <c r="AP1145" i="2" s="1"/>
  <c r="Q1145" i="2"/>
  <c r="S1141" i="2"/>
  <c r="R1141" i="2"/>
  <c r="AP1141" i="2" s="1"/>
  <c r="Q1141" i="2"/>
  <c r="Q1126" i="2"/>
  <c r="S1126" i="2"/>
  <c r="R1126" i="2"/>
  <c r="AP1126" i="2" s="1"/>
  <c r="Q1110" i="2"/>
  <c r="S1110" i="2"/>
  <c r="R1110" i="2"/>
  <c r="AP1110" i="2" s="1"/>
  <c r="Q1094" i="2"/>
  <c r="S1094" i="2"/>
  <c r="R1094" i="2"/>
  <c r="AP1094" i="2" s="1"/>
  <c r="Q1078" i="2"/>
  <c r="S1078" i="2"/>
  <c r="R1078" i="2"/>
  <c r="AP1078" i="2" s="1"/>
  <c r="Q1062" i="2"/>
  <c r="S1062" i="2"/>
  <c r="R1062" i="2"/>
  <c r="AP1062" i="2" s="1"/>
  <c r="AF1367" i="2"/>
  <c r="AA1367" i="2"/>
  <c r="AK1367" i="2"/>
  <c r="U1367" i="2"/>
  <c r="R1362" i="2"/>
  <c r="AP1362" i="2" s="1"/>
  <c r="Q1362" i="2"/>
  <c r="S1362" i="2"/>
  <c r="AF1351" i="2"/>
  <c r="AA1351" i="2"/>
  <c r="AK1351" i="2"/>
  <c r="U1351" i="2"/>
  <c r="R1346" i="2"/>
  <c r="AP1346" i="2" s="1"/>
  <c r="Q1346" i="2"/>
  <c r="S1346" i="2"/>
  <c r="AF1335" i="2"/>
  <c r="AA1335" i="2"/>
  <c r="AK1335" i="2"/>
  <c r="U1335" i="2"/>
  <c r="R1330" i="2"/>
  <c r="AP1330" i="2" s="1"/>
  <c r="Q1330" i="2"/>
  <c r="S1330" i="2"/>
  <c r="AF1319" i="2"/>
  <c r="AA1319" i="2"/>
  <c r="AK1319" i="2"/>
  <c r="U1319" i="2"/>
  <c r="R1314" i="2"/>
  <c r="AP1314" i="2" s="1"/>
  <c r="Q1314" i="2"/>
  <c r="S1314" i="2"/>
  <c r="AF1303" i="2"/>
  <c r="AA1303" i="2"/>
  <c r="AK1303" i="2"/>
  <c r="U1303" i="2"/>
  <c r="R1298" i="2"/>
  <c r="AP1298" i="2" s="1"/>
  <c r="Q1298" i="2"/>
  <c r="S1298" i="2"/>
  <c r="AF1287" i="2"/>
  <c r="AA1287" i="2"/>
  <c r="AK1287" i="2"/>
  <c r="U1287" i="2"/>
  <c r="R1282" i="2"/>
  <c r="AP1282" i="2" s="1"/>
  <c r="Q1282" i="2"/>
  <c r="S1282" i="2"/>
  <c r="AF1271" i="2"/>
  <c r="AA1271" i="2"/>
  <c r="AK1271" i="2"/>
  <c r="U1271" i="2"/>
  <c r="R1266" i="2"/>
  <c r="AP1266" i="2" s="1"/>
  <c r="Q1266" i="2"/>
  <c r="S1266" i="2"/>
  <c r="AF1255" i="2"/>
  <c r="AA1255" i="2"/>
  <c r="AK1255" i="2"/>
  <c r="U1255" i="2"/>
  <c r="R1250" i="2"/>
  <c r="AP1250" i="2" s="1"/>
  <c r="Q1250" i="2"/>
  <c r="S1250" i="2"/>
  <c r="AF1239" i="2"/>
  <c r="AA1239" i="2"/>
  <c r="AK1239" i="2"/>
  <c r="U1239" i="2"/>
  <c r="R1234" i="2"/>
  <c r="AP1234" i="2" s="1"/>
  <c r="Q1234" i="2"/>
  <c r="S1234" i="2"/>
  <c r="AF1223" i="2"/>
  <c r="AA1223" i="2"/>
  <c r="AK1223" i="2"/>
  <c r="U1223" i="2"/>
  <c r="R1218" i="2"/>
  <c r="AP1218" i="2" s="1"/>
  <c r="Q1218" i="2"/>
  <c r="S1218" i="2"/>
  <c r="AF1207" i="2"/>
  <c r="AA1207" i="2"/>
  <c r="AK1207" i="2"/>
  <c r="U1207" i="2"/>
  <c r="R1202" i="2"/>
  <c r="AP1202" i="2" s="1"/>
  <c r="Q1202" i="2"/>
  <c r="S1202" i="2"/>
  <c r="AF1191" i="2"/>
  <c r="AA1191" i="2"/>
  <c r="AK1191" i="2"/>
  <c r="U1191" i="2"/>
  <c r="R1186" i="2"/>
  <c r="AP1186" i="2" s="1"/>
  <c r="Q1186" i="2"/>
  <c r="S1186" i="2"/>
  <c r="AA1139" i="2"/>
  <c r="AK1139" i="2"/>
  <c r="U1139" i="2"/>
  <c r="AF1139" i="2"/>
  <c r="AA1123" i="2"/>
  <c r="AK1123" i="2"/>
  <c r="U1123" i="2"/>
  <c r="AF1123" i="2"/>
  <c r="AA1107" i="2"/>
  <c r="AK1107" i="2"/>
  <c r="U1107" i="2"/>
  <c r="AF1107" i="2"/>
  <c r="AA1091" i="2"/>
  <c r="AK1091" i="2"/>
  <c r="U1091" i="2"/>
  <c r="AF1091" i="2"/>
  <c r="AA1075" i="2"/>
  <c r="AK1075" i="2"/>
  <c r="U1075" i="2"/>
  <c r="AF1075" i="2"/>
  <c r="AA1059" i="2"/>
  <c r="AK1059" i="2"/>
  <c r="U1059" i="2"/>
  <c r="AF1059" i="2"/>
  <c r="AF1388" i="2"/>
  <c r="AA1388" i="2"/>
  <c r="AK1388" i="2"/>
  <c r="U1388" i="2"/>
  <c r="AK1364" i="2"/>
  <c r="U1364" i="2"/>
  <c r="AF1364" i="2"/>
  <c r="AA1364" i="2"/>
  <c r="S1359" i="2"/>
  <c r="R1359" i="2"/>
  <c r="AP1359" i="2" s="1"/>
  <c r="Q1359" i="2"/>
  <c r="AK1348" i="2"/>
  <c r="U1348" i="2"/>
  <c r="AF1348" i="2"/>
  <c r="AA1348" i="2"/>
  <c r="S1343" i="2"/>
  <c r="R1343" i="2"/>
  <c r="AP1343" i="2" s="1"/>
  <c r="Q1343" i="2"/>
  <c r="AK1332" i="2"/>
  <c r="U1332" i="2"/>
  <c r="AF1332" i="2"/>
  <c r="AA1332" i="2"/>
  <c r="S1327" i="2"/>
  <c r="R1327" i="2"/>
  <c r="AP1327" i="2" s="1"/>
  <c r="Q1327" i="2"/>
  <c r="AK1316" i="2"/>
  <c r="U1316" i="2"/>
  <c r="AF1316" i="2"/>
  <c r="AA1316" i="2"/>
  <c r="S1311" i="2"/>
  <c r="R1311" i="2"/>
  <c r="AP1311" i="2" s="1"/>
  <c r="Q1311" i="2"/>
  <c r="AK1300" i="2"/>
  <c r="U1300" i="2"/>
  <c r="AF1300" i="2"/>
  <c r="AA1300" i="2"/>
  <c r="S1295" i="2"/>
  <c r="R1295" i="2"/>
  <c r="AP1295" i="2" s="1"/>
  <c r="Q1295" i="2"/>
  <c r="AK1284" i="2"/>
  <c r="U1284" i="2"/>
  <c r="AF1284" i="2"/>
  <c r="AA1284" i="2"/>
  <c r="S1279" i="2"/>
  <c r="R1279" i="2"/>
  <c r="AP1279" i="2" s="1"/>
  <c r="Q1279" i="2"/>
  <c r="AK1268" i="2"/>
  <c r="U1268" i="2"/>
  <c r="AF1268" i="2"/>
  <c r="AA1268" i="2"/>
  <c r="S1263" i="2"/>
  <c r="R1263" i="2"/>
  <c r="AP1263" i="2" s="1"/>
  <c r="Q1263" i="2"/>
  <c r="AK1252" i="2"/>
  <c r="U1252" i="2"/>
  <c r="AF1252" i="2"/>
  <c r="AA1252" i="2"/>
  <c r="S1247" i="2"/>
  <c r="R1247" i="2"/>
  <c r="AP1247" i="2" s="1"/>
  <c r="Q1247" i="2"/>
  <c r="AK1236" i="2"/>
  <c r="U1236" i="2"/>
  <c r="AF1236" i="2"/>
  <c r="AA1236" i="2"/>
  <c r="S1231" i="2"/>
  <c r="R1231" i="2"/>
  <c r="AP1231" i="2" s="1"/>
  <c r="Q1231" i="2"/>
  <c r="AK1220" i="2"/>
  <c r="U1220" i="2"/>
  <c r="AF1220" i="2"/>
  <c r="AA1220" i="2"/>
  <c r="S1215" i="2"/>
  <c r="R1215" i="2"/>
  <c r="AP1215" i="2" s="1"/>
  <c r="Q1215" i="2"/>
  <c r="AK1204" i="2"/>
  <c r="U1204" i="2"/>
  <c r="AF1204" i="2"/>
  <c r="AA1204" i="2"/>
  <c r="S1199" i="2"/>
  <c r="R1199" i="2"/>
  <c r="AP1199" i="2" s="1"/>
  <c r="Q1199" i="2"/>
  <c r="AK1188" i="2"/>
  <c r="U1188" i="2"/>
  <c r="AF1188" i="2"/>
  <c r="AA1188" i="2"/>
  <c r="S1183" i="2"/>
  <c r="R1183" i="2"/>
  <c r="AP1183" i="2" s="1"/>
  <c r="Q1183" i="2"/>
  <c r="Q1128" i="2"/>
  <c r="S1128" i="2"/>
  <c r="R1128" i="2"/>
  <c r="AP1128" i="2" s="1"/>
  <c r="Q1112" i="2"/>
  <c r="S1112" i="2"/>
  <c r="R1112" i="2"/>
  <c r="AP1112" i="2" s="1"/>
  <c r="Q1096" i="2"/>
  <c r="S1096" i="2"/>
  <c r="R1096" i="2"/>
  <c r="AP1096" i="2" s="1"/>
  <c r="Q1080" i="2"/>
  <c r="S1080" i="2"/>
  <c r="R1080" i="2"/>
  <c r="AP1080" i="2" s="1"/>
  <c r="Q1064" i="2"/>
  <c r="S1064" i="2"/>
  <c r="R1064" i="2"/>
  <c r="AP1064" i="2" s="1"/>
  <c r="AA1372" i="2"/>
  <c r="AK1372" i="2"/>
  <c r="AF1372" i="2"/>
  <c r="U1372" i="2"/>
  <c r="AF1361" i="2"/>
  <c r="AA1361" i="2"/>
  <c r="AK1361" i="2"/>
  <c r="U1361" i="2"/>
  <c r="R1356" i="2"/>
  <c r="AP1356" i="2" s="1"/>
  <c r="Q1356" i="2"/>
  <c r="S1356" i="2"/>
  <c r="AF1345" i="2"/>
  <c r="AA1345" i="2"/>
  <c r="AK1345" i="2"/>
  <c r="U1345" i="2"/>
  <c r="R1340" i="2"/>
  <c r="AP1340" i="2" s="1"/>
  <c r="Q1340" i="2"/>
  <c r="S1340" i="2"/>
  <c r="AF1329" i="2"/>
  <c r="AA1329" i="2"/>
  <c r="AK1329" i="2"/>
  <c r="U1329" i="2"/>
  <c r="R1324" i="2"/>
  <c r="AP1324" i="2" s="1"/>
  <c r="Q1324" i="2"/>
  <c r="S1324" i="2"/>
  <c r="AF1313" i="2"/>
  <c r="AA1313" i="2"/>
  <c r="AK1313" i="2"/>
  <c r="U1313" i="2"/>
  <c r="R1308" i="2"/>
  <c r="AP1308" i="2" s="1"/>
  <c r="Q1308" i="2"/>
  <c r="S1308" i="2"/>
  <c r="AF1297" i="2"/>
  <c r="AA1297" i="2"/>
  <c r="AK1297" i="2"/>
  <c r="U1297" i="2"/>
  <c r="R1292" i="2"/>
  <c r="AP1292" i="2" s="1"/>
  <c r="Q1292" i="2"/>
  <c r="S1292" i="2"/>
  <c r="AF1281" i="2"/>
  <c r="AA1281" i="2"/>
  <c r="AK1281" i="2"/>
  <c r="U1281" i="2"/>
  <c r="R1276" i="2"/>
  <c r="AP1276" i="2" s="1"/>
  <c r="Q1276" i="2"/>
  <c r="S1276" i="2"/>
  <c r="AF1265" i="2"/>
  <c r="AA1265" i="2"/>
  <c r="AK1265" i="2"/>
  <c r="U1265" i="2"/>
  <c r="R1260" i="2"/>
  <c r="AP1260" i="2" s="1"/>
  <c r="Q1260" i="2"/>
  <c r="S1260" i="2"/>
  <c r="AF1249" i="2"/>
  <c r="AA1249" i="2"/>
  <c r="AK1249" i="2"/>
  <c r="U1249" i="2"/>
  <c r="R1244" i="2"/>
  <c r="AP1244" i="2" s="1"/>
  <c r="Q1244" i="2"/>
  <c r="S1244" i="2"/>
  <c r="AF1233" i="2"/>
  <c r="AA1233" i="2"/>
  <c r="AK1233" i="2"/>
  <c r="U1233" i="2"/>
  <c r="R1228" i="2"/>
  <c r="AP1228" i="2" s="1"/>
  <c r="Q1228" i="2"/>
  <c r="S1228" i="2"/>
  <c r="AF1217" i="2"/>
  <c r="AA1217" i="2"/>
  <c r="AK1217" i="2"/>
  <c r="U1217" i="2"/>
  <c r="R1212" i="2"/>
  <c r="AP1212" i="2" s="1"/>
  <c r="Q1212" i="2"/>
  <c r="S1212" i="2"/>
  <c r="AF1201" i="2"/>
  <c r="AA1201" i="2"/>
  <c r="AK1201" i="2"/>
  <c r="U1201" i="2"/>
  <c r="R1196" i="2"/>
  <c r="AP1196" i="2" s="1"/>
  <c r="Q1196" i="2"/>
  <c r="S1196" i="2"/>
  <c r="AF1185" i="2"/>
  <c r="AA1185" i="2"/>
  <c r="AK1185" i="2"/>
  <c r="U1185" i="2"/>
  <c r="R1180" i="2"/>
  <c r="AP1180" i="2" s="1"/>
  <c r="Q1180" i="2"/>
  <c r="S1180" i="2"/>
  <c r="AA1175" i="2"/>
  <c r="AK1175" i="2"/>
  <c r="U1175" i="2"/>
  <c r="AF1175" i="2"/>
  <c r="AA1173" i="2"/>
  <c r="AK1173" i="2"/>
  <c r="U1173" i="2"/>
  <c r="AF1173" i="2"/>
  <c r="AA1171" i="2"/>
  <c r="AK1171" i="2"/>
  <c r="U1171" i="2"/>
  <c r="AF1171" i="2"/>
  <c r="AA1169" i="2"/>
  <c r="AK1169" i="2"/>
  <c r="U1169" i="2"/>
  <c r="AF1169" i="2"/>
  <c r="AA1167" i="2"/>
  <c r="AK1167" i="2"/>
  <c r="U1167" i="2"/>
  <c r="AF1167" i="2"/>
  <c r="AA1165" i="2"/>
  <c r="AK1165" i="2"/>
  <c r="U1165" i="2"/>
  <c r="AF1165" i="2"/>
  <c r="AA1163" i="2"/>
  <c r="AK1163" i="2"/>
  <c r="U1163" i="2"/>
  <c r="AF1163" i="2"/>
  <c r="AA1161" i="2"/>
  <c r="AK1161" i="2"/>
  <c r="U1161" i="2"/>
  <c r="AF1161" i="2"/>
  <c r="AA1159" i="2"/>
  <c r="AK1159" i="2"/>
  <c r="U1159" i="2"/>
  <c r="AF1159" i="2"/>
  <c r="AA1157" i="2"/>
  <c r="AK1157" i="2"/>
  <c r="U1157" i="2"/>
  <c r="AF1157" i="2"/>
  <c r="AA1155" i="2"/>
  <c r="AK1155" i="2"/>
  <c r="U1155" i="2"/>
  <c r="AF1155" i="2"/>
  <c r="AA1153" i="2"/>
  <c r="AK1153" i="2"/>
  <c r="U1153" i="2"/>
  <c r="AF1153" i="2"/>
  <c r="AL1143" i="2"/>
  <c r="V1143" i="2"/>
  <c r="AG1143" i="2"/>
  <c r="AB1143" i="2"/>
  <c r="AA1137" i="2"/>
  <c r="AK1137" i="2"/>
  <c r="U1137" i="2"/>
  <c r="AF1137" i="2"/>
  <c r="AA1121" i="2"/>
  <c r="AK1121" i="2"/>
  <c r="U1121" i="2"/>
  <c r="AF1121" i="2"/>
  <c r="AA1105" i="2"/>
  <c r="AK1105" i="2"/>
  <c r="U1105" i="2"/>
  <c r="AF1105" i="2"/>
  <c r="AA1089" i="2"/>
  <c r="AK1089" i="2"/>
  <c r="U1089" i="2"/>
  <c r="AF1089" i="2"/>
  <c r="AA1073" i="2"/>
  <c r="AK1073" i="2"/>
  <c r="U1073" i="2"/>
  <c r="AF1073" i="2"/>
  <c r="BD1063" i="2"/>
  <c r="AA1057" i="2"/>
  <c r="AK1057" i="2"/>
  <c r="U1057" i="2"/>
  <c r="AF1057" i="2"/>
  <c r="Q1049" i="2"/>
  <c r="S1049" i="2"/>
  <c r="R1049" i="2"/>
  <c r="AP1049" i="2" s="1"/>
  <c r="Q1039" i="2"/>
  <c r="S1039" i="2"/>
  <c r="R1039" i="2"/>
  <c r="AP1039" i="2" s="1"/>
  <c r="S1036" i="2"/>
  <c r="Q1036" i="2"/>
  <c r="R1036" i="2"/>
  <c r="AP1036" i="2" s="1"/>
  <c r="Q1031" i="2"/>
  <c r="S1031" i="2"/>
  <c r="R1031" i="2"/>
  <c r="AP1031" i="2" s="1"/>
  <c r="S1028" i="2"/>
  <c r="Q1028" i="2"/>
  <c r="R1028" i="2"/>
  <c r="AP1028" i="2" s="1"/>
  <c r="Q1023" i="2"/>
  <c r="S1023" i="2"/>
  <c r="R1023" i="2"/>
  <c r="AP1023" i="2" s="1"/>
  <c r="S1020" i="2"/>
  <c r="Q1020" i="2"/>
  <c r="R1020" i="2"/>
  <c r="AP1020" i="2" s="1"/>
  <c r="Q1015" i="2"/>
  <c r="S1015" i="2"/>
  <c r="R1015" i="2"/>
  <c r="AP1015" i="2" s="1"/>
  <c r="S1012" i="2"/>
  <c r="Q1012" i="2"/>
  <c r="R1012" i="2"/>
  <c r="AP1012" i="2" s="1"/>
  <c r="Q1007" i="2"/>
  <c r="S1007" i="2"/>
  <c r="R1007" i="2"/>
  <c r="AP1007" i="2" s="1"/>
  <c r="S1004" i="2"/>
  <c r="Q1004" i="2"/>
  <c r="R1004" i="2"/>
  <c r="AP1004" i="2" s="1"/>
  <c r="Q999" i="2"/>
  <c r="S999" i="2"/>
  <c r="R999" i="2"/>
  <c r="AP999" i="2" s="1"/>
  <c r="S996" i="2"/>
  <c r="Q996" i="2"/>
  <c r="R996" i="2"/>
  <c r="AP996" i="2" s="1"/>
  <c r="Q991" i="2"/>
  <c r="S991" i="2"/>
  <c r="R991" i="2"/>
  <c r="AP991" i="2" s="1"/>
  <c r="S988" i="2"/>
  <c r="Q988" i="2"/>
  <c r="R988" i="2"/>
  <c r="AP988" i="2" s="1"/>
  <c r="Q983" i="2"/>
  <c r="S983" i="2"/>
  <c r="R983" i="2"/>
  <c r="AP983" i="2" s="1"/>
  <c r="S980" i="2"/>
  <c r="Q980" i="2"/>
  <c r="R980" i="2"/>
  <c r="AP980" i="2" s="1"/>
  <c r="Q975" i="2"/>
  <c r="S975" i="2"/>
  <c r="R975" i="2"/>
  <c r="AP975" i="2" s="1"/>
  <c r="S972" i="2"/>
  <c r="Q972" i="2"/>
  <c r="R972" i="2"/>
  <c r="AP972" i="2" s="1"/>
  <c r="Q967" i="2"/>
  <c r="S967" i="2"/>
  <c r="R967" i="2"/>
  <c r="AP967" i="2" s="1"/>
  <c r="S964" i="2"/>
  <c r="Q964" i="2"/>
  <c r="R964" i="2"/>
  <c r="AP964" i="2" s="1"/>
  <c r="Q959" i="2"/>
  <c r="S959" i="2"/>
  <c r="R959" i="2"/>
  <c r="AP959" i="2" s="1"/>
  <c r="S956" i="2"/>
  <c r="Q956" i="2"/>
  <c r="R956" i="2"/>
  <c r="AP956" i="2" s="1"/>
  <c r="Q951" i="2"/>
  <c r="S951" i="2"/>
  <c r="R951" i="2"/>
  <c r="AP951" i="2" s="1"/>
  <c r="S948" i="2"/>
  <c r="Q948" i="2"/>
  <c r="R948" i="2"/>
  <c r="AP948" i="2" s="1"/>
  <c r="Q943" i="2"/>
  <c r="S943" i="2"/>
  <c r="R943" i="2"/>
  <c r="AP943" i="2" s="1"/>
  <c r="S940" i="2"/>
  <c r="Q940" i="2"/>
  <c r="R940" i="2"/>
  <c r="AP940" i="2" s="1"/>
  <c r="Q935" i="2"/>
  <c r="S935" i="2"/>
  <c r="R935" i="2"/>
  <c r="AP935" i="2" s="1"/>
  <c r="S932" i="2"/>
  <c r="Q932" i="2"/>
  <c r="R932" i="2"/>
  <c r="AP932" i="2" s="1"/>
  <c r="S928" i="2"/>
  <c r="Q928" i="2"/>
  <c r="R928" i="2"/>
  <c r="AP928" i="2" s="1"/>
  <c r="S924" i="2"/>
  <c r="Q924" i="2"/>
  <c r="R924" i="2"/>
  <c r="AP924" i="2" s="1"/>
  <c r="S920" i="2"/>
  <c r="Q920" i="2"/>
  <c r="R920" i="2"/>
  <c r="AP920" i="2" s="1"/>
  <c r="S916" i="2"/>
  <c r="Q916" i="2"/>
  <c r="R916" i="2"/>
  <c r="AP916" i="2" s="1"/>
  <c r="S912" i="2"/>
  <c r="Q912" i="2"/>
  <c r="R912" i="2"/>
  <c r="AP912" i="2" s="1"/>
  <c r="S908" i="2"/>
  <c r="Q908" i="2"/>
  <c r="R908" i="2"/>
  <c r="AP908" i="2" s="1"/>
  <c r="S904" i="2"/>
  <c r="Q904" i="2"/>
  <c r="R904" i="2"/>
  <c r="AP904" i="2" s="1"/>
  <c r="S900" i="2"/>
  <c r="Q900" i="2"/>
  <c r="R900" i="2"/>
  <c r="AP900" i="2" s="1"/>
  <c r="S896" i="2"/>
  <c r="Q896" i="2"/>
  <c r="R896" i="2"/>
  <c r="AP896" i="2" s="1"/>
  <c r="S892" i="2"/>
  <c r="Q892" i="2"/>
  <c r="R892" i="2"/>
  <c r="AP892" i="2" s="1"/>
  <c r="S888" i="2"/>
  <c r="Q888" i="2"/>
  <c r="R888" i="2"/>
  <c r="AP888" i="2" s="1"/>
  <c r="AA876" i="2"/>
  <c r="AK876" i="2"/>
  <c r="U876" i="2"/>
  <c r="AF876" i="2"/>
  <c r="AA860" i="2"/>
  <c r="AK860" i="2"/>
  <c r="U860" i="2"/>
  <c r="AF860" i="2"/>
  <c r="AA844" i="2"/>
  <c r="AK844" i="2"/>
  <c r="U844" i="2"/>
  <c r="AF844" i="2"/>
  <c r="BD834" i="2"/>
  <c r="AA828" i="2"/>
  <c r="AK828" i="2"/>
  <c r="U828" i="2"/>
  <c r="AF828" i="2"/>
  <c r="AA812" i="2"/>
  <c r="AK812" i="2"/>
  <c r="U812" i="2"/>
  <c r="AF812" i="2"/>
  <c r="AA796" i="2"/>
  <c r="AK796" i="2"/>
  <c r="U796" i="2"/>
  <c r="AF796" i="2"/>
  <c r="AA780" i="2"/>
  <c r="AK780" i="2"/>
  <c r="U780" i="2"/>
  <c r="AF780" i="2"/>
  <c r="AA764" i="2"/>
  <c r="AK764" i="2"/>
  <c r="U764" i="2"/>
  <c r="AF764" i="2"/>
  <c r="AA748" i="2"/>
  <c r="AK748" i="2"/>
  <c r="U748" i="2"/>
  <c r="AF748" i="2"/>
  <c r="AA732" i="2"/>
  <c r="AK732" i="2"/>
  <c r="U732" i="2"/>
  <c r="AF732" i="2"/>
  <c r="AK1138" i="2"/>
  <c r="U1138" i="2"/>
  <c r="AA1138" i="2"/>
  <c r="AF1138" i="2"/>
  <c r="AK1130" i="2"/>
  <c r="U1130" i="2"/>
  <c r="AA1130" i="2"/>
  <c r="AF1130" i="2"/>
  <c r="AK1122" i="2"/>
  <c r="U1122" i="2"/>
  <c r="AA1122" i="2"/>
  <c r="AF1122" i="2"/>
  <c r="AK1114" i="2"/>
  <c r="U1114" i="2"/>
  <c r="AA1114" i="2"/>
  <c r="AF1114" i="2"/>
  <c r="AK1106" i="2"/>
  <c r="U1106" i="2"/>
  <c r="AA1106" i="2"/>
  <c r="AF1106" i="2"/>
  <c r="AK1098" i="2"/>
  <c r="U1098" i="2"/>
  <c r="AA1098" i="2"/>
  <c r="AF1098" i="2"/>
  <c r="AK1090" i="2"/>
  <c r="U1090" i="2"/>
  <c r="AA1090" i="2"/>
  <c r="AF1090" i="2"/>
  <c r="AK1082" i="2"/>
  <c r="U1082" i="2"/>
  <c r="AA1082" i="2"/>
  <c r="AF1082" i="2"/>
  <c r="AK1074" i="2"/>
  <c r="U1074" i="2"/>
  <c r="AA1074" i="2"/>
  <c r="AF1074" i="2"/>
  <c r="AK1066" i="2"/>
  <c r="U1066" i="2"/>
  <c r="AA1066" i="2"/>
  <c r="AF1066" i="2"/>
  <c r="AK1058" i="2"/>
  <c r="U1058" i="2"/>
  <c r="AA1058" i="2"/>
  <c r="AF1058" i="2"/>
  <c r="AK1050" i="2"/>
  <c r="U1050" i="2"/>
  <c r="AA1050" i="2"/>
  <c r="AF1050" i="2"/>
  <c r="S886" i="2"/>
  <c r="Q886" i="2"/>
  <c r="R886" i="2"/>
  <c r="AP886" i="2" s="1"/>
  <c r="AK1152" i="2"/>
  <c r="U1152" i="2"/>
  <c r="AF1152" i="2"/>
  <c r="AA1152" i="2"/>
  <c r="AK1148" i="2"/>
  <c r="U1148" i="2"/>
  <c r="AF1148" i="2"/>
  <c r="AA1148" i="2"/>
  <c r="AK1144" i="2"/>
  <c r="U1144" i="2"/>
  <c r="AF1144" i="2"/>
  <c r="AA1144" i="2"/>
  <c r="AA1048" i="2"/>
  <c r="AK1048" i="2"/>
  <c r="U1048" i="2"/>
  <c r="AF1048" i="2"/>
  <c r="Q1043" i="2"/>
  <c r="S1043" i="2"/>
  <c r="R1043" i="2"/>
  <c r="AP1043" i="2" s="1"/>
  <c r="AA1038" i="2"/>
  <c r="AK1038" i="2"/>
  <c r="U1038" i="2"/>
  <c r="AF1038" i="2"/>
  <c r="AA1034" i="2"/>
  <c r="AK1034" i="2"/>
  <c r="U1034" i="2"/>
  <c r="AF1034" i="2"/>
  <c r="AA1030" i="2"/>
  <c r="AK1030" i="2"/>
  <c r="U1030" i="2"/>
  <c r="AF1030" i="2"/>
  <c r="AA1026" i="2"/>
  <c r="AK1026" i="2"/>
  <c r="U1026" i="2"/>
  <c r="AF1026" i="2"/>
  <c r="AA1022" i="2"/>
  <c r="AK1022" i="2"/>
  <c r="U1022" i="2"/>
  <c r="AF1022" i="2"/>
  <c r="AA1018" i="2"/>
  <c r="AK1018" i="2"/>
  <c r="U1018" i="2"/>
  <c r="AF1018" i="2"/>
  <c r="AA1014" i="2"/>
  <c r="AK1014" i="2"/>
  <c r="U1014" i="2"/>
  <c r="AF1014" i="2"/>
  <c r="AA1010" i="2"/>
  <c r="AK1010" i="2"/>
  <c r="U1010" i="2"/>
  <c r="AF1010" i="2"/>
  <c r="AA1006" i="2"/>
  <c r="AK1006" i="2"/>
  <c r="U1006" i="2"/>
  <c r="AF1006" i="2"/>
  <c r="AA1002" i="2"/>
  <c r="AK1002" i="2"/>
  <c r="U1002" i="2"/>
  <c r="AF1002" i="2"/>
  <c r="AA998" i="2"/>
  <c r="AK998" i="2"/>
  <c r="U998" i="2"/>
  <c r="AF998" i="2"/>
  <c r="AA994" i="2"/>
  <c r="AK994" i="2"/>
  <c r="U994" i="2"/>
  <c r="AF994" i="2"/>
  <c r="AA990" i="2"/>
  <c r="AK990" i="2"/>
  <c r="U990" i="2"/>
  <c r="AF990" i="2"/>
  <c r="AA986" i="2"/>
  <c r="AK986" i="2"/>
  <c r="U986" i="2"/>
  <c r="AF986" i="2"/>
  <c r="AA982" i="2"/>
  <c r="AK982" i="2"/>
  <c r="U982" i="2"/>
  <c r="AF982" i="2"/>
  <c r="AA978" i="2"/>
  <c r="AK978" i="2"/>
  <c r="U978" i="2"/>
  <c r="AF978" i="2"/>
  <c r="AA974" i="2"/>
  <c r="AK974" i="2"/>
  <c r="U974" i="2"/>
  <c r="AF974" i="2"/>
  <c r="AA970" i="2"/>
  <c r="AK970" i="2"/>
  <c r="U970" i="2"/>
  <c r="AF970" i="2"/>
  <c r="AA966" i="2"/>
  <c r="AK966" i="2"/>
  <c r="U966" i="2"/>
  <c r="AF966" i="2"/>
  <c r="AA962" i="2"/>
  <c r="AK962" i="2"/>
  <c r="U962" i="2"/>
  <c r="AF962" i="2"/>
  <c r="AA958" i="2"/>
  <c r="AK958" i="2"/>
  <c r="U958" i="2"/>
  <c r="AF958" i="2"/>
  <c r="AA954" i="2"/>
  <c r="AK954" i="2"/>
  <c r="U954" i="2"/>
  <c r="AF954" i="2"/>
  <c r="AA950" i="2"/>
  <c r="AK950" i="2"/>
  <c r="U950" i="2"/>
  <c r="AF950" i="2"/>
  <c r="AA946" i="2"/>
  <c r="AK946" i="2"/>
  <c r="U946" i="2"/>
  <c r="AF946" i="2"/>
  <c r="AA942" i="2"/>
  <c r="AK942" i="2"/>
  <c r="U942" i="2"/>
  <c r="AF942" i="2"/>
  <c r="AA938" i="2"/>
  <c r="AK938" i="2"/>
  <c r="U938" i="2"/>
  <c r="AF938" i="2"/>
  <c r="S876" i="2"/>
  <c r="Q876" i="2"/>
  <c r="R876" i="2"/>
  <c r="AP876" i="2" s="1"/>
  <c r="S860" i="2"/>
  <c r="Q860" i="2"/>
  <c r="R860" i="2"/>
  <c r="AP860" i="2" s="1"/>
  <c r="S844" i="2"/>
  <c r="Q844" i="2"/>
  <c r="R844" i="2"/>
  <c r="AP844" i="2" s="1"/>
  <c r="S828" i="2"/>
  <c r="Q828" i="2"/>
  <c r="R828" i="2"/>
  <c r="AP828" i="2" s="1"/>
  <c r="S812" i="2"/>
  <c r="Q812" i="2"/>
  <c r="R812" i="2"/>
  <c r="AP812" i="2" s="1"/>
  <c r="S796" i="2"/>
  <c r="Q796" i="2"/>
  <c r="R796" i="2"/>
  <c r="AP796" i="2" s="1"/>
  <c r="S780" i="2"/>
  <c r="Q780" i="2"/>
  <c r="R780" i="2"/>
  <c r="AP780" i="2" s="1"/>
  <c r="S764" i="2"/>
  <c r="Q764" i="2"/>
  <c r="R764" i="2"/>
  <c r="AP764" i="2" s="1"/>
  <c r="S748" i="2"/>
  <c r="Q748" i="2"/>
  <c r="R748" i="2"/>
  <c r="AP748" i="2" s="1"/>
  <c r="S732" i="2"/>
  <c r="Q732" i="2"/>
  <c r="R732" i="2"/>
  <c r="AP732" i="2" s="1"/>
  <c r="S1048" i="2"/>
  <c r="R1048" i="2"/>
  <c r="AP1048" i="2" s="1"/>
  <c r="Q1048" i="2"/>
  <c r="AG931" i="2"/>
  <c r="AL931" i="2"/>
  <c r="V931" i="2"/>
  <c r="AB931" i="2"/>
  <c r="AG907" i="2"/>
  <c r="AG899" i="2"/>
  <c r="AK873" i="2"/>
  <c r="U873" i="2"/>
  <c r="AA873" i="2"/>
  <c r="AF873" i="2"/>
  <c r="AK857" i="2"/>
  <c r="U857" i="2"/>
  <c r="AA857" i="2"/>
  <c r="AF857" i="2"/>
  <c r="AK841" i="2"/>
  <c r="U841" i="2"/>
  <c r="AA841" i="2"/>
  <c r="AF841" i="2"/>
  <c r="AK825" i="2"/>
  <c r="U825" i="2"/>
  <c r="AA825" i="2"/>
  <c r="AF825" i="2"/>
  <c r="BD811" i="2"/>
  <c r="AK809" i="2"/>
  <c r="U809" i="2"/>
  <c r="AA809" i="2"/>
  <c r="AF809" i="2"/>
  <c r="AK793" i="2"/>
  <c r="U793" i="2"/>
  <c r="AA793" i="2"/>
  <c r="AF793" i="2"/>
  <c r="AK777" i="2"/>
  <c r="U777" i="2"/>
  <c r="AA777" i="2"/>
  <c r="AF777" i="2"/>
  <c r="AK761" i="2"/>
  <c r="U761" i="2"/>
  <c r="AA761" i="2"/>
  <c r="AF761" i="2"/>
  <c r="AK745" i="2"/>
  <c r="U745" i="2"/>
  <c r="AA745" i="2"/>
  <c r="AF745" i="2"/>
  <c r="BD731" i="2"/>
  <c r="AK729" i="2"/>
  <c r="U729" i="2"/>
  <c r="AA729" i="2"/>
  <c r="AF729" i="2"/>
  <c r="AA874" i="2"/>
  <c r="AK874" i="2"/>
  <c r="U874" i="2"/>
  <c r="AF874" i="2"/>
  <c r="AA858" i="2"/>
  <c r="AK858" i="2"/>
  <c r="U858" i="2"/>
  <c r="AF858" i="2"/>
  <c r="AA842" i="2"/>
  <c r="AK842" i="2"/>
  <c r="U842" i="2"/>
  <c r="AF842" i="2"/>
  <c r="AA826" i="2"/>
  <c r="AK826" i="2"/>
  <c r="U826" i="2"/>
  <c r="AF826" i="2"/>
  <c r="AA810" i="2"/>
  <c r="AK810" i="2"/>
  <c r="U810" i="2"/>
  <c r="AF810" i="2"/>
  <c r="AA794" i="2"/>
  <c r="AK794" i="2"/>
  <c r="U794" i="2"/>
  <c r="AF794" i="2"/>
  <c r="AA778" i="2"/>
  <c r="AK778" i="2"/>
  <c r="U778" i="2"/>
  <c r="AF778" i="2"/>
  <c r="AA762" i="2"/>
  <c r="AK762" i="2"/>
  <c r="U762" i="2"/>
  <c r="AF762" i="2"/>
  <c r="AA746" i="2"/>
  <c r="AK746" i="2"/>
  <c r="U746" i="2"/>
  <c r="AF746" i="2"/>
  <c r="AA730" i="2"/>
  <c r="AK730" i="2"/>
  <c r="U730" i="2"/>
  <c r="AF730" i="2"/>
  <c r="Q716" i="2"/>
  <c r="S716" i="2"/>
  <c r="R716" i="2"/>
  <c r="AP716" i="2" s="1"/>
  <c r="AA715" i="2"/>
  <c r="AK715" i="2"/>
  <c r="U715" i="2"/>
  <c r="AF715" i="2"/>
  <c r="Q712" i="2"/>
  <c r="S712" i="2"/>
  <c r="R712" i="2"/>
  <c r="AP712" i="2" s="1"/>
  <c r="AA711" i="2"/>
  <c r="AK711" i="2"/>
  <c r="U711" i="2"/>
  <c r="AF711" i="2"/>
  <c r="Q708" i="2"/>
  <c r="S708" i="2"/>
  <c r="R708" i="2"/>
  <c r="AP708" i="2" s="1"/>
  <c r="AA707" i="2"/>
  <c r="AK707" i="2"/>
  <c r="U707" i="2"/>
  <c r="AF707" i="2"/>
  <c r="Q704" i="2"/>
  <c r="S704" i="2"/>
  <c r="R704" i="2"/>
  <c r="AP704" i="2" s="1"/>
  <c r="AA703" i="2"/>
  <c r="AK703" i="2"/>
  <c r="U703" i="2"/>
  <c r="AF703" i="2"/>
  <c r="Q700" i="2"/>
  <c r="S700" i="2"/>
  <c r="R700" i="2"/>
  <c r="AP700" i="2" s="1"/>
  <c r="AA699" i="2"/>
  <c r="AK699" i="2"/>
  <c r="U699" i="2"/>
  <c r="AF699" i="2"/>
  <c r="Q696" i="2"/>
  <c r="S696" i="2"/>
  <c r="R696" i="2"/>
  <c r="AP696" i="2" s="1"/>
  <c r="AA695" i="2"/>
  <c r="AK695" i="2"/>
  <c r="U695" i="2"/>
  <c r="AF695" i="2"/>
  <c r="Q692" i="2"/>
  <c r="S692" i="2"/>
  <c r="R692" i="2"/>
  <c r="AP692" i="2" s="1"/>
  <c r="AA691" i="2"/>
  <c r="AK691" i="2"/>
  <c r="U691" i="2"/>
  <c r="AF691" i="2"/>
  <c r="Q688" i="2"/>
  <c r="S688" i="2"/>
  <c r="R688" i="2"/>
  <c r="AP688" i="2" s="1"/>
  <c r="AA687" i="2"/>
  <c r="AK687" i="2"/>
  <c r="U687" i="2"/>
  <c r="AF687" i="2"/>
  <c r="Q684" i="2"/>
  <c r="S684" i="2"/>
  <c r="R684" i="2"/>
  <c r="AP684" i="2" s="1"/>
  <c r="AA683" i="2"/>
  <c r="AK683" i="2"/>
  <c r="U683" i="2"/>
  <c r="AF683" i="2"/>
  <c r="Q680" i="2"/>
  <c r="S680" i="2"/>
  <c r="R680" i="2"/>
  <c r="AP680" i="2" s="1"/>
  <c r="AA679" i="2"/>
  <c r="AK679" i="2"/>
  <c r="U679" i="2"/>
  <c r="AF679" i="2"/>
  <c r="Q676" i="2"/>
  <c r="S676" i="2"/>
  <c r="R676" i="2"/>
  <c r="AP676" i="2" s="1"/>
  <c r="AA675" i="2"/>
  <c r="AK675" i="2"/>
  <c r="U675" i="2"/>
  <c r="AF675" i="2"/>
  <c r="Q672" i="2"/>
  <c r="S672" i="2"/>
  <c r="R672" i="2"/>
  <c r="AP672" i="2" s="1"/>
  <c r="AA671" i="2"/>
  <c r="AK671" i="2"/>
  <c r="U671" i="2"/>
  <c r="AF671" i="2"/>
  <c r="Q668" i="2"/>
  <c r="S668" i="2"/>
  <c r="R668" i="2"/>
  <c r="AP668" i="2" s="1"/>
  <c r="AA667" i="2"/>
  <c r="AK667" i="2"/>
  <c r="U667" i="2"/>
  <c r="AF667" i="2"/>
  <c r="Q664" i="2"/>
  <c r="S664" i="2"/>
  <c r="R664" i="2"/>
  <c r="AP664" i="2" s="1"/>
  <c r="AA663" i="2"/>
  <c r="AK663" i="2"/>
  <c r="U663" i="2"/>
  <c r="AF663" i="2"/>
  <c r="Q660" i="2"/>
  <c r="S660" i="2"/>
  <c r="R660" i="2"/>
  <c r="AP660" i="2" s="1"/>
  <c r="AA659" i="2"/>
  <c r="AK659" i="2"/>
  <c r="U659" i="2"/>
  <c r="AF659" i="2"/>
  <c r="Q656" i="2"/>
  <c r="S656" i="2"/>
  <c r="R656" i="2"/>
  <c r="AP656" i="2" s="1"/>
  <c r="AA655" i="2"/>
  <c r="AK655" i="2"/>
  <c r="U655" i="2"/>
  <c r="AF655" i="2"/>
  <c r="Q652" i="2"/>
  <c r="S652" i="2"/>
  <c r="R652" i="2"/>
  <c r="AP652" i="2" s="1"/>
  <c r="AA651" i="2"/>
  <c r="AK651" i="2"/>
  <c r="U651" i="2"/>
  <c r="AF651" i="2"/>
  <c r="Q648" i="2"/>
  <c r="S648" i="2"/>
  <c r="R648" i="2"/>
  <c r="AP648" i="2" s="1"/>
  <c r="AA647" i="2"/>
  <c r="AK647" i="2"/>
  <c r="U647" i="2"/>
  <c r="AF647" i="2"/>
  <c r="Q644" i="2"/>
  <c r="S644" i="2"/>
  <c r="R644" i="2"/>
  <c r="AP644" i="2" s="1"/>
  <c r="AA643" i="2"/>
  <c r="AK643" i="2"/>
  <c r="U643" i="2"/>
  <c r="AF643" i="2"/>
  <c r="Q640" i="2"/>
  <c r="S640" i="2"/>
  <c r="R640" i="2"/>
  <c r="AP640" i="2" s="1"/>
  <c r="AA639" i="2"/>
  <c r="AK639" i="2"/>
  <c r="U639" i="2"/>
  <c r="AF639" i="2"/>
  <c r="Q636" i="2"/>
  <c r="S636" i="2"/>
  <c r="R636" i="2"/>
  <c r="AP636" i="2" s="1"/>
  <c r="AA635" i="2"/>
  <c r="AK635" i="2"/>
  <c r="U635" i="2"/>
  <c r="AF635" i="2"/>
  <c r="Q632" i="2"/>
  <c r="S632" i="2"/>
  <c r="R632" i="2"/>
  <c r="AP632" i="2" s="1"/>
  <c r="AA631" i="2"/>
  <c r="AK631" i="2"/>
  <c r="U631" i="2"/>
  <c r="AF631" i="2"/>
  <c r="Q628" i="2"/>
  <c r="S628" i="2"/>
  <c r="R628" i="2"/>
  <c r="AP628" i="2" s="1"/>
  <c r="AA627" i="2"/>
  <c r="AK627" i="2"/>
  <c r="U627" i="2"/>
  <c r="AF627" i="2"/>
  <c r="Q624" i="2"/>
  <c r="S624" i="2"/>
  <c r="R624" i="2"/>
  <c r="AP624" i="2" s="1"/>
  <c r="AA623" i="2"/>
  <c r="AK623" i="2"/>
  <c r="U623" i="2"/>
  <c r="AF623" i="2"/>
  <c r="Q620" i="2"/>
  <c r="S620" i="2"/>
  <c r="R620" i="2"/>
  <c r="AP620" i="2" s="1"/>
  <c r="AK553" i="2"/>
  <c r="U553" i="2"/>
  <c r="AF553" i="2"/>
  <c r="AA553" i="2"/>
  <c r="AF538" i="2"/>
  <c r="AA538" i="2"/>
  <c r="AK538" i="2"/>
  <c r="U538" i="2"/>
  <c r="AK521" i="2"/>
  <c r="U521" i="2"/>
  <c r="AF521" i="2"/>
  <c r="AA521" i="2"/>
  <c r="Q503" i="2"/>
  <c r="S503" i="2"/>
  <c r="R503" i="2"/>
  <c r="AP503" i="2" s="1"/>
  <c r="Q495" i="2"/>
  <c r="S495" i="2"/>
  <c r="R495" i="2"/>
  <c r="AP495" i="2" s="1"/>
  <c r="S485" i="2"/>
  <c r="R485" i="2"/>
  <c r="AP485" i="2" s="1"/>
  <c r="Q485" i="2"/>
  <c r="S469" i="2"/>
  <c r="R469" i="2"/>
  <c r="AP469" i="2" s="1"/>
  <c r="Q469" i="2"/>
  <c r="S453" i="2"/>
  <c r="R453" i="2"/>
  <c r="AP453" i="2" s="1"/>
  <c r="Q453" i="2"/>
  <c r="S437" i="2"/>
  <c r="R437" i="2"/>
  <c r="AP437" i="2" s="1"/>
  <c r="Q437" i="2"/>
  <c r="S421" i="2"/>
  <c r="R421" i="2"/>
  <c r="AP421" i="2" s="1"/>
  <c r="Q421" i="2"/>
  <c r="AK406" i="2"/>
  <c r="AF406" i="2"/>
  <c r="AA406" i="2"/>
  <c r="U406" i="2"/>
  <c r="S381" i="2"/>
  <c r="R381" i="2"/>
  <c r="AP381" i="2" s="1"/>
  <c r="Q381" i="2"/>
  <c r="AK374" i="2"/>
  <c r="AF374" i="2"/>
  <c r="AA374" i="2"/>
  <c r="U374" i="2"/>
  <c r="S349" i="2"/>
  <c r="R349" i="2"/>
  <c r="AP349" i="2" s="1"/>
  <c r="Q349" i="2"/>
  <c r="AK342" i="2"/>
  <c r="AF342" i="2"/>
  <c r="AA342" i="2"/>
  <c r="U342" i="2"/>
  <c r="U318" i="2"/>
  <c r="AK318" i="2"/>
  <c r="AF318" i="2"/>
  <c r="AA318" i="2"/>
  <c r="S309" i="2"/>
  <c r="R309" i="2"/>
  <c r="AP309" i="2" s="1"/>
  <c r="Q309" i="2"/>
  <c r="U286" i="2"/>
  <c r="AK286" i="2"/>
  <c r="AF286" i="2"/>
  <c r="AA286" i="2"/>
  <c r="S277" i="2"/>
  <c r="R277" i="2"/>
  <c r="AP277" i="2" s="1"/>
  <c r="Q277" i="2"/>
  <c r="U254" i="2"/>
  <c r="AK254" i="2"/>
  <c r="AF254" i="2"/>
  <c r="AA254" i="2"/>
  <c r="S245" i="2"/>
  <c r="R245" i="2"/>
  <c r="AP245" i="2" s="1"/>
  <c r="Q245" i="2"/>
  <c r="U222" i="2"/>
  <c r="AK222" i="2"/>
  <c r="AF222" i="2"/>
  <c r="AA222" i="2"/>
  <c r="S213" i="2"/>
  <c r="R213" i="2"/>
  <c r="AP213" i="2" s="1"/>
  <c r="Q213" i="2"/>
  <c r="G173" i="4"/>
  <c r="R173" i="2"/>
  <c r="AP173" i="2" s="1"/>
  <c r="S173" i="2"/>
  <c r="Q173" i="2"/>
  <c r="G141" i="4"/>
  <c r="R141" i="2"/>
  <c r="AP141" i="2" s="1"/>
  <c r="S141" i="2"/>
  <c r="Q141" i="2"/>
  <c r="G109" i="4"/>
  <c r="R109" i="2"/>
  <c r="AP109" i="2" s="1"/>
  <c r="S109" i="2"/>
  <c r="Q109" i="2"/>
  <c r="G77" i="4"/>
  <c r="Q77" i="2"/>
  <c r="S77" i="2"/>
  <c r="R77" i="2"/>
  <c r="AP77" i="2" s="1"/>
  <c r="G45" i="4"/>
  <c r="Q45" i="2"/>
  <c r="S45" i="2"/>
  <c r="R45" i="2"/>
  <c r="AP45" i="2" s="1"/>
  <c r="G13" i="4"/>
  <c r="S13" i="2"/>
  <c r="R13" i="2"/>
  <c r="AP13" i="2" s="1"/>
  <c r="Q13" i="2"/>
  <c r="Q211" i="2"/>
  <c r="S211" i="2"/>
  <c r="R211" i="2"/>
  <c r="AP211" i="2" s="1"/>
  <c r="AF552" i="2"/>
  <c r="AA552" i="2"/>
  <c r="AK552" i="2"/>
  <c r="U552" i="2"/>
  <c r="AK535" i="2"/>
  <c r="U535" i="2"/>
  <c r="AF535" i="2"/>
  <c r="AA535" i="2"/>
  <c r="BD526" i="2"/>
  <c r="AF520" i="2"/>
  <c r="AA520" i="2"/>
  <c r="AK520" i="2"/>
  <c r="U520" i="2"/>
  <c r="Q483" i="2"/>
  <c r="S483" i="2"/>
  <c r="R483" i="2"/>
  <c r="AP483" i="2" s="1"/>
  <c r="Q467" i="2"/>
  <c r="S467" i="2"/>
  <c r="R467" i="2"/>
  <c r="AP467" i="2" s="1"/>
  <c r="Q451" i="2"/>
  <c r="S451" i="2"/>
  <c r="R451" i="2"/>
  <c r="AP451" i="2" s="1"/>
  <c r="Q435" i="2"/>
  <c r="S435" i="2"/>
  <c r="R435" i="2"/>
  <c r="AP435" i="2" s="1"/>
  <c r="Q419" i="2"/>
  <c r="S419" i="2"/>
  <c r="R419" i="2"/>
  <c r="AP419" i="2" s="1"/>
  <c r="Q403" i="2"/>
  <c r="S403" i="2"/>
  <c r="R403" i="2"/>
  <c r="AP403" i="2" s="1"/>
  <c r="Q395" i="2"/>
  <c r="S395" i="2"/>
  <c r="R395" i="2"/>
  <c r="AP395" i="2" s="1"/>
  <c r="Q387" i="2"/>
  <c r="S387" i="2"/>
  <c r="R387" i="2"/>
  <c r="AP387" i="2" s="1"/>
  <c r="Q379" i="2"/>
  <c r="S379" i="2"/>
  <c r="R379" i="2"/>
  <c r="AP379" i="2" s="1"/>
  <c r="Q371" i="2"/>
  <c r="S371" i="2"/>
  <c r="R371" i="2"/>
  <c r="AP371" i="2" s="1"/>
  <c r="Q363" i="2"/>
  <c r="S363" i="2"/>
  <c r="R363" i="2"/>
  <c r="AP363" i="2" s="1"/>
  <c r="Q355" i="2"/>
  <c r="S355" i="2"/>
  <c r="R355" i="2"/>
  <c r="AP355" i="2" s="1"/>
  <c r="Q347" i="2"/>
  <c r="S347" i="2"/>
  <c r="R347" i="2"/>
  <c r="AP347" i="2" s="1"/>
  <c r="Q339" i="2"/>
  <c r="S339" i="2"/>
  <c r="R339" i="2"/>
  <c r="AP339" i="2" s="1"/>
  <c r="Q331" i="2"/>
  <c r="S331" i="2"/>
  <c r="R331" i="2"/>
  <c r="AP331" i="2" s="1"/>
  <c r="Q315" i="2"/>
  <c r="S315" i="2"/>
  <c r="R315" i="2"/>
  <c r="AP315" i="2" s="1"/>
  <c r="AF301" i="2"/>
  <c r="AK301" i="2"/>
  <c r="U301" i="2"/>
  <c r="AA301" i="2"/>
  <c r="Q283" i="2"/>
  <c r="S283" i="2"/>
  <c r="R283" i="2"/>
  <c r="AP283" i="2" s="1"/>
  <c r="AF269" i="2"/>
  <c r="AK269" i="2"/>
  <c r="U269" i="2"/>
  <c r="AA269" i="2"/>
  <c r="Q251" i="2"/>
  <c r="S251" i="2"/>
  <c r="R251" i="2"/>
  <c r="AP251" i="2" s="1"/>
  <c r="AF237" i="2"/>
  <c r="AK237" i="2"/>
  <c r="U237" i="2"/>
  <c r="AA237" i="2"/>
  <c r="Q219" i="2"/>
  <c r="S219" i="2"/>
  <c r="R219" i="2"/>
  <c r="AP219" i="2" s="1"/>
  <c r="AF550" i="2"/>
  <c r="AA550" i="2"/>
  <c r="AK550" i="2"/>
  <c r="U550" i="2"/>
  <c r="S548" i="2"/>
  <c r="R548" i="2"/>
  <c r="AP548" i="2" s="1"/>
  <c r="Q548" i="2"/>
  <c r="R539" i="2"/>
  <c r="AP539" i="2" s="1"/>
  <c r="Q539" i="2"/>
  <c r="S539" i="2"/>
  <c r="AK533" i="2"/>
  <c r="U533" i="2"/>
  <c r="AF533" i="2"/>
  <c r="AA533" i="2"/>
  <c r="AF518" i="2"/>
  <c r="AA518" i="2"/>
  <c r="AK518" i="2"/>
  <c r="U518" i="2"/>
  <c r="S516" i="2"/>
  <c r="R516" i="2"/>
  <c r="AP516" i="2" s="1"/>
  <c r="Q516" i="2"/>
  <c r="R507" i="2"/>
  <c r="AP507" i="2" s="1"/>
  <c r="Q507" i="2"/>
  <c r="S507" i="2"/>
  <c r="R489" i="2"/>
  <c r="AP489" i="2" s="1"/>
  <c r="Q489" i="2"/>
  <c r="S489" i="2"/>
  <c r="R480" i="2"/>
  <c r="AP480" i="2" s="1"/>
  <c r="S480" i="2"/>
  <c r="Q480" i="2"/>
  <c r="AF475" i="2"/>
  <c r="AA475" i="2"/>
  <c r="AK475" i="2"/>
  <c r="U475" i="2"/>
  <c r="R457" i="2"/>
  <c r="AP457" i="2" s="1"/>
  <c r="Q457" i="2"/>
  <c r="S457" i="2"/>
  <c r="R448" i="2"/>
  <c r="AP448" i="2" s="1"/>
  <c r="S448" i="2"/>
  <c r="Q448" i="2"/>
  <c r="AF443" i="2"/>
  <c r="AA443" i="2"/>
  <c r="AK443" i="2"/>
  <c r="U443" i="2"/>
  <c r="R425" i="2"/>
  <c r="AP425" i="2" s="1"/>
  <c r="Q425" i="2"/>
  <c r="S425" i="2"/>
  <c r="R416" i="2"/>
  <c r="AP416" i="2" s="1"/>
  <c r="S416" i="2"/>
  <c r="Q416" i="2"/>
  <c r="AF411" i="2"/>
  <c r="AA411" i="2"/>
  <c r="AK411" i="2"/>
  <c r="U411" i="2"/>
  <c r="R305" i="2"/>
  <c r="AP305" i="2" s="1"/>
  <c r="Q305" i="2"/>
  <c r="S305" i="2"/>
  <c r="R273" i="2"/>
  <c r="AP273" i="2" s="1"/>
  <c r="Q273" i="2"/>
  <c r="S273" i="2"/>
  <c r="R241" i="2"/>
  <c r="AP241" i="2" s="1"/>
  <c r="Q241" i="2"/>
  <c r="S241" i="2"/>
  <c r="R209" i="2"/>
  <c r="AP209" i="2" s="1"/>
  <c r="Q209" i="2"/>
  <c r="S209" i="2"/>
  <c r="G177" i="4"/>
  <c r="R177" i="2"/>
  <c r="AP177" i="2" s="1"/>
  <c r="Q177" i="2"/>
  <c r="S177" i="2"/>
  <c r="G145" i="4"/>
  <c r="R145" i="2"/>
  <c r="AP145" i="2" s="1"/>
  <c r="Q145" i="2"/>
  <c r="S145" i="2"/>
  <c r="G113" i="4"/>
  <c r="R113" i="2"/>
  <c r="AP113" i="2" s="1"/>
  <c r="Q113" i="2"/>
  <c r="S113" i="2"/>
  <c r="AA936" i="2"/>
  <c r="AK936" i="2"/>
  <c r="U936" i="2"/>
  <c r="AF936" i="2"/>
  <c r="AK871" i="2"/>
  <c r="U871" i="2"/>
  <c r="AA871" i="2"/>
  <c r="AF871" i="2"/>
  <c r="AK855" i="2"/>
  <c r="U855" i="2"/>
  <c r="AA855" i="2"/>
  <c r="AF855" i="2"/>
  <c r="AK839" i="2"/>
  <c r="U839" i="2"/>
  <c r="AA839" i="2"/>
  <c r="AF839" i="2"/>
  <c r="AK823" i="2"/>
  <c r="U823" i="2"/>
  <c r="AA823" i="2"/>
  <c r="AF823" i="2"/>
  <c r="AK807" i="2"/>
  <c r="U807" i="2"/>
  <c r="AA807" i="2"/>
  <c r="AF807" i="2"/>
  <c r="AK791" i="2"/>
  <c r="U791" i="2"/>
  <c r="AA791" i="2"/>
  <c r="AF791" i="2"/>
  <c r="AK775" i="2"/>
  <c r="U775" i="2"/>
  <c r="AA775" i="2"/>
  <c r="AF775" i="2"/>
  <c r="AK759" i="2"/>
  <c r="U759" i="2"/>
  <c r="AA759" i="2"/>
  <c r="AF759" i="2"/>
  <c r="AK743" i="2"/>
  <c r="U743" i="2"/>
  <c r="AA743" i="2"/>
  <c r="AF743" i="2"/>
  <c r="AK727" i="2"/>
  <c r="U727" i="2"/>
  <c r="AA727" i="2"/>
  <c r="AF727" i="2"/>
  <c r="AA619" i="2"/>
  <c r="AK619" i="2"/>
  <c r="U619" i="2"/>
  <c r="AF619" i="2"/>
  <c r="S479" i="2"/>
  <c r="R479" i="2"/>
  <c r="AP479" i="2" s="1"/>
  <c r="Q479" i="2"/>
  <c r="S463" i="2"/>
  <c r="R463" i="2"/>
  <c r="AP463" i="2" s="1"/>
  <c r="Q463" i="2"/>
  <c r="S447" i="2"/>
  <c r="R447" i="2"/>
  <c r="AP447" i="2" s="1"/>
  <c r="Q447" i="2"/>
  <c r="S431" i="2"/>
  <c r="R431" i="2"/>
  <c r="AP431" i="2" s="1"/>
  <c r="Q431" i="2"/>
  <c r="S415" i="2"/>
  <c r="R415" i="2"/>
  <c r="AP415" i="2" s="1"/>
  <c r="Q415" i="2"/>
  <c r="AF401" i="2"/>
  <c r="AA401" i="2"/>
  <c r="AK401" i="2"/>
  <c r="U401" i="2"/>
  <c r="AF393" i="2"/>
  <c r="AA393" i="2"/>
  <c r="AK393" i="2"/>
  <c r="U393" i="2"/>
  <c r="AF385" i="2"/>
  <c r="AA385" i="2"/>
  <c r="AK385" i="2"/>
  <c r="U385" i="2"/>
  <c r="AF377" i="2"/>
  <c r="AA377" i="2"/>
  <c r="AK377" i="2"/>
  <c r="U377" i="2"/>
  <c r="AF369" i="2"/>
  <c r="AA369" i="2"/>
  <c r="AK369" i="2"/>
  <c r="U369" i="2"/>
  <c r="AF361" i="2"/>
  <c r="AA361" i="2"/>
  <c r="AK361" i="2"/>
  <c r="U361" i="2"/>
  <c r="AF353" i="2"/>
  <c r="AA353" i="2"/>
  <c r="AK353" i="2"/>
  <c r="U353" i="2"/>
  <c r="AF345" i="2"/>
  <c r="AA345" i="2"/>
  <c r="AK345" i="2"/>
  <c r="U345" i="2"/>
  <c r="AF337" i="2"/>
  <c r="AA337" i="2"/>
  <c r="AK337" i="2"/>
  <c r="U337" i="2"/>
  <c r="AF329" i="2"/>
  <c r="AA329" i="2"/>
  <c r="AK329" i="2"/>
  <c r="U329" i="2"/>
  <c r="AK482" i="2"/>
  <c r="AF482" i="2"/>
  <c r="AA482" i="2"/>
  <c r="U482" i="2"/>
  <c r="AF433" i="2"/>
  <c r="AA433" i="2"/>
  <c r="AK433" i="2"/>
  <c r="U433" i="2"/>
  <c r="S319" i="2"/>
  <c r="R319" i="2"/>
  <c r="AP319" i="2" s="1"/>
  <c r="Q319" i="2"/>
  <c r="AF313" i="2"/>
  <c r="AA313" i="2"/>
  <c r="AK313" i="2"/>
  <c r="U313" i="2"/>
  <c r="AK298" i="2"/>
  <c r="AF298" i="2"/>
  <c r="AA298" i="2"/>
  <c r="U298" i="2"/>
  <c r="AK284" i="2"/>
  <c r="AF284" i="2"/>
  <c r="AA284" i="2"/>
  <c r="U284" i="2"/>
  <c r="S271" i="2"/>
  <c r="R271" i="2"/>
  <c r="AP271" i="2" s="1"/>
  <c r="Q271" i="2"/>
  <c r="AF265" i="2"/>
  <c r="AA265" i="2"/>
  <c r="AK265" i="2"/>
  <c r="U265" i="2"/>
  <c r="AF259" i="2"/>
  <c r="AA259" i="2"/>
  <c r="AK259" i="2"/>
  <c r="U259" i="2"/>
  <c r="AK234" i="2"/>
  <c r="AF234" i="2"/>
  <c r="AA234" i="2"/>
  <c r="U234" i="2"/>
  <c r="AK220" i="2"/>
  <c r="AF220" i="2"/>
  <c r="AA220" i="2"/>
  <c r="U220" i="2"/>
  <c r="AF203" i="2"/>
  <c r="AA203" i="2"/>
  <c r="U203" i="2"/>
  <c r="AK203" i="2"/>
  <c r="AF198" i="2"/>
  <c r="U198" i="2"/>
  <c r="AK198" i="2"/>
  <c r="AA198" i="2"/>
  <c r="AF182" i="2"/>
  <c r="U182" i="2"/>
  <c r="AK182" i="2"/>
  <c r="AA182" i="2"/>
  <c r="AF166" i="2"/>
  <c r="U166" i="2"/>
  <c r="AK166" i="2"/>
  <c r="AA166" i="2"/>
  <c r="AF150" i="2"/>
  <c r="U150" i="2"/>
  <c r="AK150" i="2"/>
  <c r="AA150" i="2"/>
  <c r="AF134" i="2"/>
  <c r="U134" i="2"/>
  <c r="AK134" i="2"/>
  <c r="AA134" i="2"/>
  <c r="AF118" i="2"/>
  <c r="U118" i="2"/>
  <c r="AK118" i="2"/>
  <c r="AA118" i="2"/>
  <c r="AF102" i="2"/>
  <c r="U102" i="2"/>
  <c r="AK102" i="2"/>
  <c r="AA102" i="2"/>
  <c r="G81" i="4"/>
  <c r="R81" i="2"/>
  <c r="AP81" i="2" s="1"/>
  <c r="S81" i="2"/>
  <c r="Q81" i="2"/>
  <c r="G49" i="4"/>
  <c r="R49" i="2"/>
  <c r="AP49" i="2" s="1"/>
  <c r="S49" i="2"/>
  <c r="Q49" i="2"/>
  <c r="AA34" i="2"/>
  <c r="AF34" i="2"/>
  <c r="AK34" i="2"/>
  <c r="U34" i="2"/>
  <c r="AF19" i="2"/>
  <c r="AA19" i="2"/>
  <c r="AK19" i="2"/>
  <c r="U19" i="2"/>
  <c r="G7" i="4"/>
  <c r="S7" i="2"/>
  <c r="R7" i="2"/>
  <c r="AP7" i="2" s="1"/>
  <c r="Q7" i="2"/>
  <c r="AF479" i="2"/>
  <c r="AA479" i="2"/>
  <c r="AK479" i="2"/>
  <c r="U479" i="2"/>
  <c r="AK456" i="2"/>
  <c r="AF456" i="2"/>
  <c r="AA456" i="2"/>
  <c r="U456" i="2"/>
  <c r="AK426" i="2"/>
  <c r="AF426" i="2"/>
  <c r="AA426" i="2"/>
  <c r="U426" i="2"/>
  <c r="AK384" i="2"/>
  <c r="AF384" i="2"/>
  <c r="AA384" i="2"/>
  <c r="U384" i="2"/>
  <c r="AK352" i="2"/>
  <c r="AF352" i="2"/>
  <c r="AA352" i="2"/>
  <c r="U352" i="2"/>
  <c r="AL256" i="2"/>
  <c r="V256" i="2"/>
  <c r="AG256" i="2"/>
  <c r="AB256" i="2"/>
  <c r="AF255" i="2"/>
  <c r="AA255" i="2"/>
  <c r="AK255" i="2"/>
  <c r="U255" i="2"/>
  <c r="R244" i="2"/>
  <c r="AP244" i="2" s="1"/>
  <c r="S244" i="2"/>
  <c r="Q244" i="2"/>
  <c r="AF194" i="2"/>
  <c r="U194" i="2"/>
  <c r="AK194" i="2"/>
  <c r="AA194" i="2"/>
  <c r="G184" i="4"/>
  <c r="R184" i="2"/>
  <c r="AP184" i="2" s="1"/>
  <c r="AQ184" i="2" s="1"/>
  <c r="AV184" i="2" s="1"/>
  <c r="BE184" i="2" s="1"/>
  <c r="S184" i="2"/>
  <c r="Q184" i="2"/>
  <c r="AF162" i="2"/>
  <c r="U162" i="2"/>
  <c r="AK162" i="2"/>
  <c r="AA162" i="2"/>
  <c r="G152" i="4"/>
  <c r="R152" i="2"/>
  <c r="AP152" i="2" s="1"/>
  <c r="AQ152" i="2" s="1"/>
  <c r="AV152" i="2" s="1"/>
  <c r="BE152" i="2" s="1"/>
  <c r="S152" i="2"/>
  <c r="Q152" i="2"/>
  <c r="AF130" i="2"/>
  <c r="U130" i="2"/>
  <c r="AK130" i="2"/>
  <c r="AA130" i="2"/>
  <c r="G120" i="4"/>
  <c r="R120" i="2"/>
  <c r="AP120" i="2" s="1"/>
  <c r="AQ120" i="2" s="1"/>
  <c r="AV120" i="2" s="1"/>
  <c r="BE120" i="2" s="1"/>
  <c r="S120" i="2"/>
  <c r="Q120" i="2"/>
  <c r="AF81" i="2"/>
  <c r="AK81" i="2"/>
  <c r="AA81" i="2"/>
  <c r="U81" i="2"/>
  <c r="G79" i="4"/>
  <c r="S79" i="2"/>
  <c r="Q79" i="2"/>
  <c r="R79" i="2"/>
  <c r="AP79" i="2" s="1"/>
  <c r="AF49" i="2"/>
  <c r="AK49" i="2"/>
  <c r="AA49" i="2"/>
  <c r="U49" i="2"/>
  <c r="G47" i="4"/>
  <c r="S47" i="2"/>
  <c r="Q47" i="2"/>
  <c r="R47" i="2"/>
  <c r="AP47" i="2" s="1"/>
  <c r="G35" i="4"/>
  <c r="Q35" i="2"/>
  <c r="R35" i="2"/>
  <c r="AP35" i="2" s="1"/>
  <c r="S35" i="2"/>
  <c r="AF17" i="2"/>
  <c r="AA17" i="2"/>
  <c r="U17" i="2"/>
  <c r="AK17" i="2"/>
  <c r="G15" i="4"/>
  <c r="S15" i="2"/>
  <c r="Q15" i="2"/>
  <c r="R15" i="2"/>
  <c r="AP15" i="2" s="1"/>
  <c r="G3" i="4"/>
  <c r="Q3" i="2"/>
  <c r="R3" i="2"/>
  <c r="AP3" i="2" s="1"/>
  <c r="S3" i="2"/>
  <c r="AF487" i="2"/>
  <c r="AA487" i="2"/>
  <c r="AK487" i="2"/>
  <c r="U487" i="2"/>
  <c r="AK464" i="2"/>
  <c r="AF464" i="2"/>
  <c r="AA464" i="2"/>
  <c r="U464" i="2"/>
  <c r="AK434" i="2"/>
  <c r="AF434" i="2"/>
  <c r="AA434" i="2"/>
  <c r="U434" i="2"/>
  <c r="AF321" i="2"/>
  <c r="AA321" i="2"/>
  <c r="AK321" i="2"/>
  <c r="U321" i="2"/>
  <c r="AF315" i="2"/>
  <c r="AA315" i="2"/>
  <c r="AK315" i="2"/>
  <c r="U315" i="2"/>
  <c r="AK290" i="2"/>
  <c r="AF290" i="2"/>
  <c r="AA290" i="2"/>
  <c r="U290" i="2"/>
  <c r="AK276" i="2"/>
  <c r="AF276" i="2"/>
  <c r="AA276" i="2"/>
  <c r="U276" i="2"/>
  <c r="S263" i="2"/>
  <c r="R263" i="2"/>
  <c r="AP263" i="2" s="1"/>
  <c r="Q263" i="2"/>
  <c r="AF257" i="2"/>
  <c r="AA257" i="2"/>
  <c r="AK257" i="2"/>
  <c r="U257" i="2"/>
  <c r="AF251" i="2"/>
  <c r="AA251" i="2"/>
  <c r="AK251" i="2"/>
  <c r="U251" i="2"/>
  <c r="AK226" i="2"/>
  <c r="AF226" i="2"/>
  <c r="AA226" i="2"/>
  <c r="U226" i="2"/>
  <c r="AK212" i="2"/>
  <c r="AF212" i="2"/>
  <c r="AA212" i="2"/>
  <c r="U212" i="2"/>
  <c r="AL204" i="2"/>
  <c r="AL188" i="2"/>
  <c r="V188" i="2"/>
  <c r="AG188" i="2"/>
  <c r="AB188" i="2"/>
  <c r="AL172" i="2"/>
  <c r="V172" i="2"/>
  <c r="AG172" i="2"/>
  <c r="AB172" i="2"/>
  <c r="AL156" i="2"/>
  <c r="V156" i="2"/>
  <c r="AG156" i="2"/>
  <c r="AB156" i="2"/>
  <c r="AL140" i="2"/>
  <c r="V140" i="2"/>
  <c r="AG140" i="2"/>
  <c r="AB140" i="2"/>
  <c r="AL124" i="2"/>
  <c r="V124" i="2"/>
  <c r="AG124" i="2"/>
  <c r="AB124" i="2"/>
  <c r="AL108" i="2"/>
  <c r="V108" i="2"/>
  <c r="AG108" i="2"/>
  <c r="AB108" i="2"/>
  <c r="AF99" i="2"/>
  <c r="AA99" i="2"/>
  <c r="AK99" i="2"/>
  <c r="U99" i="2"/>
  <c r="AK84" i="2"/>
  <c r="AF84" i="2"/>
  <c r="AA84" i="2"/>
  <c r="U84" i="2"/>
  <c r="G75" i="4"/>
  <c r="Q75" i="2"/>
  <c r="S75" i="2"/>
  <c r="R75" i="2"/>
  <c r="AP75" i="2" s="1"/>
  <c r="AK62" i="2"/>
  <c r="U62" i="2"/>
  <c r="AA62" i="2"/>
  <c r="AF62" i="2"/>
  <c r="AK56" i="2"/>
  <c r="U56" i="2"/>
  <c r="AA56" i="2"/>
  <c r="AF56" i="2"/>
  <c r="AK50" i="2"/>
  <c r="U50" i="2"/>
  <c r="AA50" i="2"/>
  <c r="AF50" i="2"/>
  <c r="BD40" i="2"/>
  <c r="AK474" i="2"/>
  <c r="AF474" i="2"/>
  <c r="AA474" i="2"/>
  <c r="U474" i="2"/>
  <c r="AF425" i="2"/>
  <c r="AA425" i="2"/>
  <c r="AK425" i="2"/>
  <c r="U425" i="2"/>
  <c r="AK280" i="2"/>
  <c r="AF280" i="2"/>
  <c r="AA280" i="2"/>
  <c r="U280" i="2"/>
  <c r="R268" i="2"/>
  <c r="AP268" i="2" s="1"/>
  <c r="S268" i="2"/>
  <c r="Q268" i="2"/>
  <c r="R236" i="2"/>
  <c r="AP236" i="2" s="1"/>
  <c r="S236" i="2"/>
  <c r="Q236" i="2"/>
  <c r="R208" i="2"/>
  <c r="AP208" i="2" s="1"/>
  <c r="S208" i="2"/>
  <c r="Q208" i="2"/>
  <c r="AF189" i="2"/>
  <c r="AK189" i="2"/>
  <c r="U189" i="2"/>
  <c r="AA189" i="2"/>
  <c r="G160" i="4"/>
  <c r="R160" i="2"/>
  <c r="AP160" i="2" s="1"/>
  <c r="AQ160" i="2" s="1"/>
  <c r="AV160" i="2" s="1"/>
  <c r="BE160" i="2" s="1"/>
  <c r="S160" i="2"/>
  <c r="Q160" i="2"/>
  <c r="AK154" i="2"/>
  <c r="AA154" i="2"/>
  <c r="AF154" i="2"/>
  <c r="U154" i="2"/>
  <c r="AF143" i="2"/>
  <c r="AA143" i="2"/>
  <c r="U143" i="2"/>
  <c r="AK143" i="2"/>
  <c r="G139" i="4"/>
  <c r="Q139" i="2"/>
  <c r="S139" i="2"/>
  <c r="R139" i="2"/>
  <c r="AP139" i="2" s="1"/>
  <c r="AF125" i="2"/>
  <c r="AK125" i="2"/>
  <c r="U125" i="2"/>
  <c r="AA125" i="2"/>
  <c r="AF97" i="2"/>
  <c r="AK97" i="2"/>
  <c r="AA97" i="2"/>
  <c r="U97" i="2"/>
  <c r="G95" i="4"/>
  <c r="S95" i="2"/>
  <c r="R95" i="2"/>
  <c r="AP95" i="2" s="1"/>
  <c r="Q95" i="2"/>
  <c r="AF87" i="2"/>
  <c r="AK87" i="2"/>
  <c r="AA87" i="2"/>
  <c r="U87" i="2"/>
  <c r="G68" i="4"/>
  <c r="R68" i="2"/>
  <c r="AP68" i="2" s="1"/>
  <c r="S68" i="2"/>
  <c r="Q68" i="2"/>
  <c r="AF64" i="2"/>
  <c r="AK64" i="2"/>
  <c r="U64" i="2"/>
  <c r="AA64" i="2"/>
  <c r="AF58" i="2"/>
  <c r="AK58" i="2"/>
  <c r="U58" i="2"/>
  <c r="AA58" i="2"/>
  <c r="G41" i="4"/>
  <c r="R41" i="2"/>
  <c r="AP41" i="2" s="1"/>
  <c r="S41" i="2"/>
  <c r="Q41" i="2"/>
  <c r="G19" i="4"/>
  <c r="Q19" i="2"/>
  <c r="S19" i="2"/>
  <c r="R19" i="2"/>
  <c r="AP19" i="2" s="1"/>
  <c r="AF5" i="2"/>
  <c r="AK5" i="2"/>
  <c r="U5" i="2"/>
  <c r="AA5" i="2"/>
  <c r="AL2" i="2"/>
  <c r="V2" i="2"/>
  <c r="AG2" i="2"/>
  <c r="AB2" i="2"/>
  <c r="AA22" i="2"/>
  <c r="AF22" i="2"/>
  <c r="AK22" i="2"/>
  <c r="U22" i="2"/>
  <c r="AL136" i="2"/>
  <c r="V136" i="2"/>
  <c r="AB136" i="2"/>
  <c r="AG136" i="2"/>
  <c r="AL112" i="2"/>
  <c r="V112" i="2"/>
  <c r="AG112" i="2"/>
  <c r="AB112" i="2"/>
  <c r="AL20" i="2"/>
  <c r="V20" i="2"/>
  <c r="AB20" i="2"/>
  <c r="AG20" i="2"/>
  <c r="AF11" i="2"/>
  <c r="AA11" i="2"/>
  <c r="AK11" i="2"/>
  <c r="U11" i="2"/>
  <c r="AL152" i="2"/>
  <c r="V152" i="2"/>
  <c r="AB152" i="2"/>
  <c r="AG152" i="2"/>
  <c r="AL128" i="2"/>
  <c r="V128" i="2"/>
  <c r="AG128" i="2"/>
  <c r="AB128" i="2"/>
  <c r="AK92" i="2"/>
  <c r="AF92" i="2"/>
  <c r="AA92" i="2"/>
  <c r="U92" i="2"/>
  <c r="BD90" i="2"/>
  <c r="AF21" i="2"/>
  <c r="AK21" i="2"/>
  <c r="U21" i="2"/>
  <c r="AA21" i="2"/>
  <c r="AL4" i="2"/>
  <c r="V4" i="2"/>
  <c r="AB4" i="2"/>
  <c r="AG4" i="2"/>
  <c r="AF2253" i="2"/>
  <c r="AK2253" i="2"/>
  <c r="U2253" i="2"/>
  <c r="AA2253" i="2"/>
  <c r="AF2245" i="2"/>
  <c r="AK2245" i="2"/>
  <c r="U2245" i="2"/>
  <c r="AA2245" i="2"/>
  <c r="AF2237" i="2"/>
  <c r="AK2237" i="2"/>
  <c r="U2237" i="2"/>
  <c r="AA2237" i="2"/>
  <c r="AF2213" i="2"/>
  <c r="AK2213" i="2"/>
  <c r="U2213" i="2"/>
  <c r="AA2213" i="2"/>
  <c r="AK2368" i="2"/>
  <c r="U2368" i="2"/>
  <c r="AF2368" i="2"/>
  <c r="AA2368" i="2"/>
  <c r="AK2336" i="2"/>
  <c r="U2336" i="2"/>
  <c r="AF2336" i="2"/>
  <c r="AA2336" i="2"/>
  <c r="AK2320" i="2"/>
  <c r="U2320" i="2"/>
  <c r="AF2320" i="2"/>
  <c r="AA2320" i="2"/>
  <c r="AF2311" i="2"/>
  <c r="AA2311" i="2"/>
  <c r="AK2311" i="2"/>
  <c r="U2311" i="2"/>
  <c r="AF2303" i="2"/>
  <c r="AA2303" i="2"/>
  <c r="AK2303" i="2"/>
  <c r="U2303" i="2"/>
  <c r="AF2295" i="2"/>
  <c r="AA2295" i="2"/>
  <c r="AK2295" i="2"/>
  <c r="U2295" i="2"/>
  <c r="AF2287" i="2"/>
  <c r="AA2287" i="2"/>
  <c r="AK2287" i="2"/>
  <c r="U2287" i="2"/>
  <c r="AF2279" i="2"/>
  <c r="AA2279" i="2"/>
  <c r="AK2279" i="2"/>
  <c r="U2279" i="2"/>
  <c r="AF2271" i="2"/>
  <c r="AA2271" i="2"/>
  <c r="AK2271" i="2"/>
  <c r="U2271" i="2"/>
  <c r="AF2263" i="2"/>
  <c r="AA2263" i="2"/>
  <c r="AK2263" i="2"/>
  <c r="U2263" i="2"/>
  <c r="AF2255" i="2"/>
  <c r="AA2255" i="2"/>
  <c r="AK2255" i="2"/>
  <c r="U2255" i="2"/>
  <c r="AF2247" i="2"/>
  <c r="AA2247" i="2"/>
  <c r="AK2247" i="2"/>
  <c r="U2247" i="2"/>
  <c r="AF2239" i="2"/>
  <c r="AA2239" i="2"/>
  <c r="AK2239" i="2"/>
  <c r="U2239" i="2"/>
  <c r="AF2231" i="2"/>
  <c r="AA2231" i="2"/>
  <c r="AK2231" i="2"/>
  <c r="U2231" i="2"/>
  <c r="AF2223" i="2"/>
  <c r="AA2223" i="2"/>
  <c r="AK2223" i="2"/>
  <c r="U2223" i="2"/>
  <c r="AF2215" i="2"/>
  <c r="AA2215" i="2"/>
  <c r="AK2215" i="2"/>
  <c r="U2215" i="2"/>
  <c r="AF2207" i="2"/>
  <c r="AA2207" i="2"/>
  <c r="AK2207" i="2"/>
  <c r="U2207" i="2"/>
  <c r="R2200" i="2"/>
  <c r="AP2200" i="2" s="1"/>
  <c r="S2200" i="2"/>
  <c r="Q2200" i="2"/>
  <c r="Q2195" i="2"/>
  <c r="S2195" i="2"/>
  <c r="R2195" i="2"/>
  <c r="AP2195" i="2" s="1"/>
  <c r="AA2184" i="2"/>
  <c r="AK2184" i="2"/>
  <c r="U2184" i="2"/>
  <c r="AF2184" i="2"/>
  <c r="Q2179" i="2"/>
  <c r="S2179" i="2"/>
  <c r="R2179" i="2"/>
  <c r="AP2179" i="2" s="1"/>
  <c r="AA2168" i="2"/>
  <c r="AK2168" i="2"/>
  <c r="U2168" i="2"/>
  <c r="AF2168" i="2"/>
  <c r="Q2163" i="2"/>
  <c r="S2163" i="2"/>
  <c r="R2163" i="2"/>
  <c r="AP2163" i="2" s="1"/>
  <c r="S2152" i="2"/>
  <c r="Q2152" i="2"/>
  <c r="R2152" i="2"/>
  <c r="AP2152" i="2" s="1"/>
  <c r="Q2145" i="2"/>
  <c r="S2145" i="2"/>
  <c r="R2145" i="2"/>
  <c r="AP2145" i="2" s="1"/>
  <c r="AK2189" i="2"/>
  <c r="U2189" i="2"/>
  <c r="AF2189" i="2"/>
  <c r="AA2189" i="2"/>
  <c r="S2184" i="2"/>
  <c r="R2184" i="2"/>
  <c r="AP2184" i="2" s="1"/>
  <c r="Q2184" i="2"/>
  <c r="AK2173" i="2"/>
  <c r="U2173" i="2"/>
  <c r="AF2173" i="2"/>
  <c r="AA2173" i="2"/>
  <c r="S2168" i="2"/>
  <c r="R2168" i="2"/>
  <c r="AP2168" i="2" s="1"/>
  <c r="Q2168" i="2"/>
  <c r="AK2157" i="2"/>
  <c r="U2157" i="2"/>
  <c r="AF2157" i="2"/>
  <c r="AA2157" i="2"/>
  <c r="AK2142" i="2"/>
  <c r="U2142" i="2"/>
  <c r="AF2142" i="2"/>
  <c r="AA2142" i="2"/>
  <c r="AA2198" i="2"/>
  <c r="AK2198" i="2"/>
  <c r="U2198" i="2"/>
  <c r="AF2198" i="2"/>
  <c r="Q2193" i="2"/>
  <c r="S2193" i="2"/>
  <c r="R2193" i="2"/>
  <c r="AP2193" i="2" s="1"/>
  <c r="AA2182" i="2"/>
  <c r="AK2182" i="2"/>
  <c r="U2182" i="2"/>
  <c r="AF2182" i="2"/>
  <c r="Q2177" i="2"/>
  <c r="S2177" i="2"/>
  <c r="R2177" i="2"/>
  <c r="AP2177" i="2" s="1"/>
  <c r="AA2166" i="2"/>
  <c r="AK2166" i="2"/>
  <c r="U2166" i="2"/>
  <c r="AF2166" i="2"/>
  <c r="Q2161" i="2"/>
  <c r="S2161" i="2"/>
  <c r="R2161" i="2"/>
  <c r="AP2161" i="2" s="1"/>
  <c r="AK2199" i="2"/>
  <c r="U2199" i="2"/>
  <c r="AF2199" i="2"/>
  <c r="AA2199" i="2"/>
  <c r="S2194" i="2"/>
  <c r="R2194" i="2"/>
  <c r="AP2194" i="2" s="1"/>
  <c r="Q2194" i="2"/>
  <c r="AK2183" i="2"/>
  <c r="U2183" i="2"/>
  <c r="AF2183" i="2"/>
  <c r="AA2183" i="2"/>
  <c r="S2178" i="2"/>
  <c r="R2178" i="2"/>
  <c r="AP2178" i="2" s="1"/>
  <c r="Q2178" i="2"/>
  <c r="AK2167" i="2"/>
  <c r="U2167" i="2"/>
  <c r="AF2167" i="2"/>
  <c r="AA2167" i="2"/>
  <c r="S2162" i="2"/>
  <c r="R2162" i="2"/>
  <c r="AP2162" i="2" s="1"/>
  <c r="Q2162" i="2"/>
  <c r="S2141" i="2"/>
  <c r="R2141" i="2"/>
  <c r="AP2141" i="2" s="1"/>
  <c r="Q2141" i="2"/>
  <c r="R2107" i="2"/>
  <c r="AP2107" i="2" s="1"/>
  <c r="Q2107" i="2"/>
  <c r="S2107" i="2"/>
  <c r="R2103" i="2"/>
  <c r="AP2103" i="2" s="1"/>
  <c r="Q2103" i="2"/>
  <c r="S2103" i="2"/>
  <c r="R2099" i="2"/>
  <c r="AP2099" i="2" s="1"/>
  <c r="Q2099" i="2"/>
  <c r="S2099" i="2"/>
  <c r="R2095" i="2"/>
  <c r="AP2095" i="2" s="1"/>
  <c r="Q2095" i="2"/>
  <c r="S2095" i="2"/>
  <c r="R2091" i="2"/>
  <c r="AP2091" i="2" s="1"/>
  <c r="Q2091" i="2"/>
  <c r="S2091" i="2"/>
  <c r="R2087" i="2"/>
  <c r="AP2087" i="2" s="1"/>
  <c r="Q2087" i="2"/>
  <c r="S2087" i="2"/>
  <c r="R2083" i="2"/>
  <c r="AP2083" i="2" s="1"/>
  <c r="Q2083" i="2"/>
  <c r="S2083" i="2"/>
  <c r="R2079" i="2"/>
  <c r="AP2079" i="2" s="1"/>
  <c r="Q2079" i="2"/>
  <c r="S2079" i="2"/>
  <c r="R2075" i="2"/>
  <c r="AP2075" i="2" s="1"/>
  <c r="Q2075" i="2"/>
  <c r="S2075" i="2"/>
  <c r="R2071" i="2"/>
  <c r="AP2071" i="2" s="1"/>
  <c r="Q2071" i="2"/>
  <c r="S2071" i="2"/>
  <c r="R2067" i="2"/>
  <c r="AP2067" i="2" s="1"/>
  <c r="Q2067" i="2"/>
  <c r="S2067" i="2"/>
  <c r="R2063" i="2"/>
  <c r="AP2063" i="2" s="1"/>
  <c r="Q2063" i="2"/>
  <c r="S2063" i="2"/>
  <c r="R2059" i="2"/>
  <c r="AP2059" i="2" s="1"/>
  <c r="Q2059" i="2"/>
  <c r="S2059" i="2"/>
  <c r="R2055" i="2"/>
  <c r="AP2055" i="2" s="1"/>
  <c r="Q2055" i="2"/>
  <c r="S2055" i="2"/>
  <c r="R2051" i="2"/>
  <c r="AP2051" i="2" s="1"/>
  <c r="Q2051" i="2"/>
  <c r="S2051" i="2"/>
  <c r="R2047" i="2"/>
  <c r="AP2047" i="2" s="1"/>
  <c r="Q2047" i="2"/>
  <c r="S2047" i="2"/>
  <c r="Q2112" i="2"/>
  <c r="S2112" i="2"/>
  <c r="R2112" i="2"/>
  <c r="AP2112" i="2" s="1"/>
  <c r="AK2103" i="2"/>
  <c r="U2103" i="2"/>
  <c r="AF2103" i="2"/>
  <c r="AA2103" i="2"/>
  <c r="S2102" i="2"/>
  <c r="R2102" i="2"/>
  <c r="AP2102" i="2" s="1"/>
  <c r="Q2102" i="2"/>
  <c r="AF2096" i="2"/>
  <c r="AA2096" i="2"/>
  <c r="AK2096" i="2"/>
  <c r="U2096" i="2"/>
  <c r="AK2087" i="2"/>
  <c r="U2087" i="2"/>
  <c r="AF2087" i="2"/>
  <c r="AA2087" i="2"/>
  <c r="S2086" i="2"/>
  <c r="R2086" i="2"/>
  <c r="AP2086" i="2" s="1"/>
  <c r="Q2086" i="2"/>
  <c r="AF2080" i="2"/>
  <c r="AA2080" i="2"/>
  <c r="AK2080" i="2"/>
  <c r="U2080" i="2"/>
  <c r="AK2071" i="2"/>
  <c r="U2071" i="2"/>
  <c r="AF2071" i="2"/>
  <c r="AA2071" i="2"/>
  <c r="S2070" i="2"/>
  <c r="R2070" i="2"/>
  <c r="AP2070" i="2" s="1"/>
  <c r="Q2070" i="2"/>
  <c r="AF2064" i="2"/>
  <c r="AA2064" i="2"/>
  <c r="AK2064" i="2"/>
  <c r="U2064" i="2"/>
  <c r="AK2055" i="2"/>
  <c r="U2055" i="2"/>
  <c r="AF2055" i="2"/>
  <c r="AA2055" i="2"/>
  <c r="S2054" i="2"/>
  <c r="R2054" i="2"/>
  <c r="AP2054" i="2" s="1"/>
  <c r="Q2054" i="2"/>
  <c r="AF2048" i="2"/>
  <c r="AA2048" i="2"/>
  <c r="AK2048" i="2"/>
  <c r="U2048" i="2"/>
  <c r="AF2046" i="2"/>
  <c r="AA2046" i="2"/>
  <c r="AK2046" i="2"/>
  <c r="U2046" i="2"/>
  <c r="AA2042" i="2"/>
  <c r="AK2042" i="2"/>
  <c r="U2042" i="2"/>
  <c r="AF2042" i="2"/>
  <c r="AA2038" i="2"/>
  <c r="AF2038" i="2"/>
  <c r="AK2038" i="2"/>
  <c r="U2038" i="2"/>
  <c r="AA2034" i="2"/>
  <c r="AF2034" i="2"/>
  <c r="AK2034" i="2"/>
  <c r="U2034" i="2"/>
  <c r="AA2030" i="2"/>
  <c r="AF2030" i="2"/>
  <c r="AK2030" i="2"/>
  <c r="U2030" i="2"/>
  <c r="AA2026" i="2"/>
  <c r="AF2026" i="2"/>
  <c r="AK2026" i="2"/>
  <c r="U2026" i="2"/>
  <c r="AA2022" i="2"/>
  <c r="AF2022" i="2"/>
  <c r="AK2022" i="2"/>
  <c r="U2022" i="2"/>
  <c r="R2109" i="2"/>
  <c r="AP2109" i="2" s="1"/>
  <c r="Q2109" i="2"/>
  <c r="S2109" i="2"/>
  <c r="R2105" i="2"/>
  <c r="AP2105" i="2" s="1"/>
  <c r="Q2105" i="2"/>
  <c r="S2105" i="2"/>
  <c r="R2101" i="2"/>
  <c r="AP2101" i="2" s="1"/>
  <c r="Q2101" i="2"/>
  <c r="S2101" i="2"/>
  <c r="R2097" i="2"/>
  <c r="AP2097" i="2" s="1"/>
  <c r="Q2097" i="2"/>
  <c r="S2097" i="2"/>
  <c r="R2093" i="2"/>
  <c r="AP2093" i="2" s="1"/>
  <c r="Q2093" i="2"/>
  <c r="S2093" i="2"/>
  <c r="R2089" i="2"/>
  <c r="AP2089" i="2" s="1"/>
  <c r="Q2089" i="2"/>
  <c r="S2089" i="2"/>
  <c r="R2085" i="2"/>
  <c r="AP2085" i="2" s="1"/>
  <c r="Q2085" i="2"/>
  <c r="S2085" i="2"/>
  <c r="R2081" i="2"/>
  <c r="AP2081" i="2" s="1"/>
  <c r="Q2081" i="2"/>
  <c r="S2081" i="2"/>
  <c r="R2077" i="2"/>
  <c r="AP2077" i="2" s="1"/>
  <c r="Q2077" i="2"/>
  <c r="S2077" i="2"/>
  <c r="R2073" i="2"/>
  <c r="AP2073" i="2" s="1"/>
  <c r="Q2073" i="2"/>
  <c r="S2073" i="2"/>
  <c r="R2069" i="2"/>
  <c r="AP2069" i="2" s="1"/>
  <c r="Q2069" i="2"/>
  <c r="S2069" i="2"/>
  <c r="R2065" i="2"/>
  <c r="AP2065" i="2" s="1"/>
  <c r="Q2065" i="2"/>
  <c r="S2065" i="2"/>
  <c r="R2061" i="2"/>
  <c r="AP2061" i="2" s="1"/>
  <c r="Q2061" i="2"/>
  <c r="S2061" i="2"/>
  <c r="R2057" i="2"/>
  <c r="AP2057" i="2" s="1"/>
  <c r="Q2057" i="2"/>
  <c r="S2057" i="2"/>
  <c r="R2053" i="2"/>
  <c r="AP2053" i="2" s="1"/>
  <c r="Q2053" i="2"/>
  <c r="S2053" i="2"/>
  <c r="R2049" i="2"/>
  <c r="AP2049" i="2" s="1"/>
  <c r="Q2049" i="2"/>
  <c r="S2049" i="2"/>
  <c r="AK2112" i="2"/>
  <c r="U2112" i="2"/>
  <c r="AF2112" i="2"/>
  <c r="AA2112" i="2"/>
  <c r="S2046" i="2"/>
  <c r="R2046" i="2"/>
  <c r="AP2046" i="2" s="1"/>
  <c r="Q2046" i="2"/>
  <c r="AK2045" i="2"/>
  <c r="U2045" i="2"/>
  <c r="AF2045" i="2"/>
  <c r="AA2045" i="2"/>
  <c r="Q1847" i="2"/>
  <c r="S1847" i="2"/>
  <c r="R1847" i="2"/>
  <c r="AP1847" i="2" s="1"/>
  <c r="AF1756" i="2"/>
  <c r="AK1756" i="2"/>
  <c r="U1756" i="2"/>
  <c r="AA1756" i="2"/>
  <c r="AF1752" i="2"/>
  <c r="AK1752" i="2"/>
  <c r="U1752" i="2"/>
  <c r="AA1752" i="2"/>
  <c r="AF1748" i="2"/>
  <c r="AK1748" i="2"/>
  <c r="U1748" i="2"/>
  <c r="AA1748" i="2"/>
  <c r="AF1744" i="2"/>
  <c r="AK1744" i="2"/>
  <c r="U1744" i="2"/>
  <c r="AA1744" i="2"/>
  <c r="AF1740" i="2"/>
  <c r="AK1740" i="2"/>
  <c r="U1740" i="2"/>
  <c r="AA1740" i="2"/>
  <c r="AF1736" i="2"/>
  <c r="AK1736" i="2"/>
  <c r="U1736" i="2"/>
  <c r="AA1736" i="2"/>
  <c r="AF1732" i="2"/>
  <c r="AK1732" i="2"/>
  <c r="U1732" i="2"/>
  <c r="AA1732" i="2"/>
  <c r="AF1728" i="2"/>
  <c r="AK1728" i="2"/>
  <c r="U1728" i="2"/>
  <c r="AA1728" i="2"/>
  <c r="AF1724" i="2"/>
  <c r="AK1724" i="2"/>
  <c r="U1724" i="2"/>
  <c r="AA1724" i="2"/>
  <c r="AF1720" i="2"/>
  <c r="AK1720" i="2"/>
  <c r="U1720" i="2"/>
  <c r="AA1720" i="2"/>
  <c r="AF1716" i="2"/>
  <c r="AK1716" i="2"/>
  <c r="U1716" i="2"/>
  <c r="AA1716" i="2"/>
  <c r="AF1712" i="2"/>
  <c r="AK1712" i="2"/>
  <c r="U1712" i="2"/>
  <c r="AA1712" i="2"/>
  <c r="AF1708" i="2"/>
  <c r="AK1708" i="2"/>
  <c r="U1708" i="2"/>
  <c r="AA1708" i="2"/>
  <c r="AF1704" i="2"/>
  <c r="AK1704" i="2"/>
  <c r="U1704" i="2"/>
  <c r="AA1704" i="2"/>
  <c r="AF1700" i="2"/>
  <c r="AK1700" i="2"/>
  <c r="U1700" i="2"/>
  <c r="AA1700" i="2"/>
  <c r="AF1696" i="2"/>
  <c r="AK1696" i="2"/>
  <c r="U1696" i="2"/>
  <c r="AA1696" i="2"/>
  <c r="AF1692" i="2"/>
  <c r="AK1692" i="2"/>
  <c r="U1692" i="2"/>
  <c r="AA1692" i="2"/>
  <c r="AF1688" i="2"/>
  <c r="AK1688" i="2"/>
  <c r="U1688" i="2"/>
  <c r="AA1688" i="2"/>
  <c r="AF1684" i="2"/>
  <c r="AK1684" i="2"/>
  <c r="U1684" i="2"/>
  <c r="AA1684" i="2"/>
  <c r="AF1680" i="2"/>
  <c r="AK1680" i="2"/>
  <c r="U1680" i="2"/>
  <c r="AA1680" i="2"/>
  <c r="AF1676" i="2"/>
  <c r="AK1676" i="2"/>
  <c r="U1676" i="2"/>
  <c r="AA1676" i="2"/>
  <c r="AF1672" i="2"/>
  <c r="AK1672" i="2"/>
  <c r="U1672" i="2"/>
  <c r="AA1672" i="2"/>
  <c r="S1946" i="2"/>
  <c r="R1946" i="2"/>
  <c r="AP1946" i="2" s="1"/>
  <c r="Q1946" i="2"/>
  <c r="S1930" i="2"/>
  <c r="R1930" i="2"/>
  <c r="AP1930" i="2" s="1"/>
  <c r="Q1930" i="2"/>
  <c r="S1914" i="2"/>
  <c r="R1914" i="2"/>
  <c r="AP1914" i="2" s="1"/>
  <c r="Q1914" i="2"/>
  <c r="S1898" i="2"/>
  <c r="R1898" i="2"/>
  <c r="AP1898" i="2" s="1"/>
  <c r="Q1898" i="2"/>
  <c r="S1882" i="2"/>
  <c r="R1882" i="2"/>
  <c r="AP1882" i="2" s="1"/>
  <c r="Q1882" i="2"/>
  <c r="S1866" i="2"/>
  <c r="R1866" i="2"/>
  <c r="AP1866" i="2" s="1"/>
  <c r="Q1866" i="2"/>
  <c r="AK1859" i="2"/>
  <c r="U1859" i="2"/>
  <c r="AF1859" i="2"/>
  <c r="AA1859" i="2"/>
  <c r="AK1855" i="2"/>
  <c r="U1855" i="2"/>
  <c r="AF1855" i="2"/>
  <c r="AA1855" i="2"/>
  <c r="AK1851" i="2"/>
  <c r="U1851" i="2"/>
  <c r="AF1851" i="2"/>
  <c r="AA1851" i="2"/>
  <c r="S1846" i="2"/>
  <c r="R1846" i="2"/>
  <c r="AP1846" i="2" s="1"/>
  <c r="Q1846" i="2"/>
  <c r="AA1844" i="2"/>
  <c r="AF1844" i="2"/>
  <c r="U1844" i="2"/>
  <c r="AK1844" i="2"/>
  <c r="S1842" i="2"/>
  <c r="R1842" i="2"/>
  <c r="AP1842" i="2" s="1"/>
  <c r="Q1842" i="2"/>
  <c r="AA1840" i="2"/>
  <c r="AF1840" i="2"/>
  <c r="U1840" i="2"/>
  <c r="AK1840" i="2"/>
  <c r="S1838" i="2"/>
  <c r="R1838" i="2"/>
  <c r="AP1838" i="2" s="1"/>
  <c r="Q1838" i="2"/>
  <c r="AA1836" i="2"/>
  <c r="AF1836" i="2"/>
  <c r="U1836" i="2"/>
  <c r="AK1836" i="2"/>
  <c r="S1834" i="2"/>
  <c r="R1834" i="2"/>
  <c r="AP1834" i="2" s="1"/>
  <c r="Q1834" i="2"/>
  <c r="AA1832" i="2"/>
  <c r="AF1832" i="2"/>
  <c r="U1832" i="2"/>
  <c r="AK1832" i="2"/>
  <c r="AK1825" i="2"/>
  <c r="U1825" i="2"/>
  <c r="AF1825" i="2"/>
  <c r="AA1825" i="2"/>
  <c r="Q1823" i="2"/>
  <c r="S1823" i="2"/>
  <c r="R1823" i="2"/>
  <c r="AP1823" i="2" s="1"/>
  <c r="AQ1823" i="2" s="1"/>
  <c r="AV1823" i="2" s="1"/>
  <c r="BE1823" i="2" s="1"/>
  <c r="S1818" i="2"/>
  <c r="R1818" i="2"/>
  <c r="AP1818" i="2" s="1"/>
  <c r="Q1818" i="2"/>
  <c r="AA1816" i="2"/>
  <c r="AF1816" i="2"/>
  <c r="U1816" i="2"/>
  <c r="AK1816" i="2"/>
  <c r="AK1809" i="2"/>
  <c r="U1809" i="2"/>
  <c r="AF1809" i="2"/>
  <c r="AA1809" i="2"/>
  <c r="AK1805" i="2"/>
  <c r="U1805" i="2"/>
  <c r="AF1805" i="2"/>
  <c r="AA1805" i="2"/>
  <c r="AK1801" i="2"/>
  <c r="U1801" i="2"/>
  <c r="AF1801" i="2"/>
  <c r="AA1801" i="2"/>
  <c r="AK1797" i="2"/>
  <c r="U1797" i="2"/>
  <c r="AF1797" i="2"/>
  <c r="AA1797" i="2"/>
  <c r="AK1793" i="2"/>
  <c r="U1793" i="2"/>
  <c r="AF1793" i="2"/>
  <c r="AA1793" i="2"/>
  <c r="AK1789" i="2"/>
  <c r="U1789" i="2"/>
  <c r="AF1789" i="2"/>
  <c r="AA1789" i="2"/>
  <c r="AK1785" i="2"/>
  <c r="U1785" i="2"/>
  <c r="AF1785" i="2"/>
  <c r="AA1785" i="2"/>
  <c r="AK1781" i="2"/>
  <c r="U1781" i="2"/>
  <c r="AF1781" i="2"/>
  <c r="AA1781" i="2"/>
  <c r="AK1777" i="2"/>
  <c r="U1777" i="2"/>
  <c r="AF1777" i="2"/>
  <c r="AA1777" i="2"/>
  <c r="AK1773" i="2"/>
  <c r="U1773" i="2"/>
  <c r="AF1773" i="2"/>
  <c r="AA1773" i="2"/>
  <c r="AK1769" i="2"/>
  <c r="U1769" i="2"/>
  <c r="AF1769" i="2"/>
  <c r="AA1769" i="2"/>
  <c r="AK1765" i="2"/>
  <c r="U1765" i="2"/>
  <c r="AF1765" i="2"/>
  <c r="AA1765" i="2"/>
  <c r="AK1761" i="2"/>
  <c r="U1761" i="2"/>
  <c r="AF1761" i="2"/>
  <c r="AA1761" i="2"/>
  <c r="AK1757" i="2"/>
  <c r="U1757" i="2"/>
  <c r="AF1757" i="2"/>
  <c r="AA1757" i="2"/>
  <c r="AF1741" i="2"/>
  <c r="AK1741" i="2"/>
  <c r="U1741" i="2"/>
  <c r="AA1741" i="2"/>
  <c r="AF1725" i="2"/>
  <c r="AK1725" i="2"/>
  <c r="U1725" i="2"/>
  <c r="AA1725" i="2"/>
  <c r="AF1709" i="2"/>
  <c r="AK1709" i="2"/>
  <c r="U1709" i="2"/>
  <c r="AA1709" i="2"/>
  <c r="AF1693" i="2"/>
  <c r="AK1693" i="2"/>
  <c r="U1693" i="2"/>
  <c r="AA1693" i="2"/>
  <c r="AF1677" i="2"/>
  <c r="AK1677" i="2"/>
  <c r="U1677" i="2"/>
  <c r="AA1677" i="2"/>
  <c r="AK1951" i="2"/>
  <c r="U1951" i="2"/>
  <c r="AF1951" i="2"/>
  <c r="AA1951" i="2"/>
  <c r="AK1943" i="2"/>
  <c r="U1943" i="2"/>
  <c r="AF1943" i="2"/>
  <c r="AA1943" i="2"/>
  <c r="AK1935" i="2"/>
  <c r="U1935" i="2"/>
  <c r="AF1935" i="2"/>
  <c r="AA1935" i="2"/>
  <c r="AK1927" i="2"/>
  <c r="U1927" i="2"/>
  <c r="AF1927" i="2"/>
  <c r="AA1927" i="2"/>
  <c r="AK1919" i="2"/>
  <c r="U1919" i="2"/>
  <c r="AF1919" i="2"/>
  <c r="AA1919" i="2"/>
  <c r="AK1911" i="2"/>
  <c r="U1911" i="2"/>
  <c r="AF1911" i="2"/>
  <c r="AA1911" i="2"/>
  <c r="AK1903" i="2"/>
  <c r="U1903" i="2"/>
  <c r="AF1903" i="2"/>
  <c r="AA1903" i="2"/>
  <c r="AK1895" i="2"/>
  <c r="U1895" i="2"/>
  <c r="AF1895" i="2"/>
  <c r="AA1895" i="2"/>
  <c r="AK1887" i="2"/>
  <c r="U1887" i="2"/>
  <c r="AF1887" i="2"/>
  <c r="AA1887" i="2"/>
  <c r="AK1879" i="2"/>
  <c r="U1879" i="2"/>
  <c r="AF1879" i="2"/>
  <c r="AA1879" i="2"/>
  <c r="AK1871" i="2"/>
  <c r="U1871" i="2"/>
  <c r="AF1871" i="2"/>
  <c r="AA1871" i="2"/>
  <c r="AK1863" i="2"/>
  <c r="U1863" i="2"/>
  <c r="AF1863" i="2"/>
  <c r="AA1863" i="2"/>
  <c r="AA1848" i="2"/>
  <c r="AF1848" i="2"/>
  <c r="AK1848" i="2"/>
  <c r="U1848" i="2"/>
  <c r="AA1846" i="2"/>
  <c r="AF1846" i="2"/>
  <c r="U1846" i="2"/>
  <c r="AK1846" i="2"/>
  <c r="R1755" i="2"/>
  <c r="AP1755" i="2" s="1"/>
  <c r="S1755" i="2"/>
  <c r="Q1755" i="2"/>
  <c r="AF1750" i="2"/>
  <c r="AK1750" i="2"/>
  <c r="U1750" i="2"/>
  <c r="AA1750" i="2"/>
  <c r="R1739" i="2"/>
  <c r="AP1739" i="2" s="1"/>
  <c r="S1739" i="2"/>
  <c r="Q1739" i="2"/>
  <c r="AF1734" i="2"/>
  <c r="AK1734" i="2"/>
  <c r="U1734" i="2"/>
  <c r="AA1734" i="2"/>
  <c r="R1723" i="2"/>
  <c r="AP1723" i="2" s="1"/>
  <c r="S1723" i="2"/>
  <c r="Q1723" i="2"/>
  <c r="AF1718" i="2"/>
  <c r="AK1718" i="2"/>
  <c r="U1718" i="2"/>
  <c r="AA1718" i="2"/>
  <c r="R1707" i="2"/>
  <c r="AP1707" i="2" s="1"/>
  <c r="S1707" i="2"/>
  <c r="Q1707" i="2"/>
  <c r="AF1702" i="2"/>
  <c r="AK1702" i="2"/>
  <c r="U1702" i="2"/>
  <c r="AA1702" i="2"/>
  <c r="R1691" i="2"/>
  <c r="AP1691" i="2" s="1"/>
  <c r="S1691" i="2"/>
  <c r="Q1691" i="2"/>
  <c r="AF1686" i="2"/>
  <c r="AK1686" i="2"/>
  <c r="U1686" i="2"/>
  <c r="AA1686" i="2"/>
  <c r="R1675" i="2"/>
  <c r="AP1675" i="2" s="1"/>
  <c r="S1675" i="2"/>
  <c r="Q1675" i="2"/>
  <c r="AF1670" i="2"/>
  <c r="AK1670" i="2"/>
  <c r="U1670" i="2"/>
  <c r="AA1670" i="2"/>
  <c r="AG1831" i="2"/>
  <c r="AL1831" i="2"/>
  <c r="V1831" i="2"/>
  <c r="AB1831" i="2"/>
  <c r="Q1821" i="2"/>
  <c r="R1821" i="2"/>
  <c r="AP1821" i="2" s="1"/>
  <c r="S1821" i="2"/>
  <c r="Q1805" i="2"/>
  <c r="R1805" i="2"/>
  <c r="AP1805" i="2" s="1"/>
  <c r="S1805" i="2"/>
  <c r="AG1799" i="2"/>
  <c r="AL1799" i="2"/>
  <c r="V1799" i="2"/>
  <c r="AB1799" i="2"/>
  <c r="Q1789" i="2"/>
  <c r="R1789" i="2"/>
  <c r="AP1789" i="2" s="1"/>
  <c r="S1789" i="2"/>
  <c r="AG1783" i="2"/>
  <c r="AL1783" i="2"/>
  <c r="V1783" i="2"/>
  <c r="AB1783" i="2"/>
  <c r="Q1773" i="2"/>
  <c r="R1773" i="2"/>
  <c r="AP1773" i="2" s="1"/>
  <c r="S1773" i="2"/>
  <c r="AG1767" i="2"/>
  <c r="AL1767" i="2"/>
  <c r="V1767" i="2"/>
  <c r="AB1767" i="2"/>
  <c r="Q1757" i="2"/>
  <c r="R1757" i="2"/>
  <c r="AP1757" i="2" s="1"/>
  <c r="S1757" i="2"/>
  <c r="R1756" i="2"/>
  <c r="AP1756" i="2" s="1"/>
  <c r="S1756" i="2"/>
  <c r="Q1756" i="2"/>
  <c r="R1752" i="2"/>
  <c r="AP1752" i="2" s="1"/>
  <c r="S1752" i="2"/>
  <c r="Q1752" i="2"/>
  <c r="R1748" i="2"/>
  <c r="AP1748" i="2" s="1"/>
  <c r="S1748" i="2"/>
  <c r="Q1748" i="2"/>
  <c r="R1744" i="2"/>
  <c r="AP1744" i="2" s="1"/>
  <c r="S1744" i="2"/>
  <c r="Q1744" i="2"/>
  <c r="R1740" i="2"/>
  <c r="AP1740" i="2" s="1"/>
  <c r="S1740" i="2"/>
  <c r="Q1740" i="2"/>
  <c r="R1736" i="2"/>
  <c r="AP1736" i="2" s="1"/>
  <c r="S1736" i="2"/>
  <c r="Q1736" i="2"/>
  <c r="R1732" i="2"/>
  <c r="AP1732" i="2" s="1"/>
  <c r="S1732" i="2"/>
  <c r="Q1732" i="2"/>
  <c r="R1728" i="2"/>
  <c r="AP1728" i="2" s="1"/>
  <c r="S1728" i="2"/>
  <c r="Q1728" i="2"/>
  <c r="R1724" i="2"/>
  <c r="AP1724" i="2" s="1"/>
  <c r="S1724" i="2"/>
  <c r="Q1724" i="2"/>
  <c r="R1720" i="2"/>
  <c r="AP1720" i="2" s="1"/>
  <c r="S1720" i="2"/>
  <c r="Q1720" i="2"/>
  <c r="R1716" i="2"/>
  <c r="AP1716" i="2" s="1"/>
  <c r="S1716" i="2"/>
  <c r="Q1716" i="2"/>
  <c r="R1712" i="2"/>
  <c r="AP1712" i="2" s="1"/>
  <c r="S1712" i="2"/>
  <c r="Q1712" i="2"/>
  <c r="R1708" i="2"/>
  <c r="AP1708" i="2" s="1"/>
  <c r="S1708" i="2"/>
  <c r="Q1708" i="2"/>
  <c r="R1704" i="2"/>
  <c r="AP1704" i="2" s="1"/>
  <c r="S1704" i="2"/>
  <c r="Q1704" i="2"/>
  <c r="R1700" i="2"/>
  <c r="AP1700" i="2" s="1"/>
  <c r="S1700" i="2"/>
  <c r="Q1700" i="2"/>
  <c r="R1696" i="2"/>
  <c r="AP1696" i="2" s="1"/>
  <c r="S1696" i="2"/>
  <c r="Q1696" i="2"/>
  <c r="R1692" i="2"/>
  <c r="AP1692" i="2" s="1"/>
  <c r="S1692" i="2"/>
  <c r="Q1692" i="2"/>
  <c r="R1688" i="2"/>
  <c r="AP1688" i="2" s="1"/>
  <c r="S1688" i="2"/>
  <c r="Q1688" i="2"/>
  <c r="R1684" i="2"/>
  <c r="AP1684" i="2" s="1"/>
  <c r="S1684" i="2"/>
  <c r="Q1684" i="2"/>
  <c r="R1680" i="2"/>
  <c r="AP1680" i="2" s="1"/>
  <c r="S1680" i="2"/>
  <c r="Q1680" i="2"/>
  <c r="R1676" i="2"/>
  <c r="AP1676" i="2" s="1"/>
  <c r="S1676" i="2"/>
  <c r="Q1676" i="2"/>
  <c r="R1672" i="2"/>
  <c r="AP1672" i="2" s="1"/>
  <c r="S1672" i="2"/>
  <c r="Q1672" i="2"/>
  <c r="AF1667" i="2"/>
  <c r="AA1667" i="2"/>
  <c r="AK1667" i="2"/>
  <c r="U1667" i="2"/>
  <c r="AF1665" i="2"/>
  <c r="AA1665" i="2"/>
  <c r="AK1665" i="2"/>
  <c r="U1665" i="2"/>
  <c r="AK1658" i="2"/>
  <c r="U1658" i="2"/>
  <c r="AF1658" i="2"/>
  <c r="AA1658" i="2"/>
  <c r="R1652" i="2"/>
  <c r="AP1652" i="2" s="1"/>
  <c r="Q1652" i="2"/>
  <c r="S1652" i="2"/>
  <c r="AF1649" i="2"/>
  <c r="AA1649" i="2"/>
  <c r="AK1649" i="2"/>
  <c r="U1649" i="2"/>
  <c r="AK1642" i="2"/>
  <c r="U1642" i="2"/>
  <c r="AF1642" i="2"/>
  <c r="AA1642" i="2"/>
  <c r="R1636" i="2"/>
  <c r="AP1636" i="2" s="1"/>
  <c r="Q1636" i="2"/>
  <c r="S1636" i="2"/>
  <c r="AF1633" i="2"/>
  <c r="AA1633" i="2"/>
  <c r="AK1633" i="2"/>
  <c r="U1633" i="2"/>
  <c r="AK1626" i="2"/>
  <c r="U1626" i="2"/>
  <c r="AF1626" i="2"/>
  <c r="AA1626" i="2"/>
  <c r="R1620" i="2"/>
  <c r="AP1620" i="2" s="1"/>
  <c r="Q1620" i="2"/>
  <c r="S1620" i="2"/>
  <c r="AF1617" i="2"/>
  <c r="AA1617" i="2"/>
  <c r="AK1617" i="2"/>
  <c r="U1617" i="2"/>
  <c r="AK1610" i="2"/>
  <c r="U1610" i="2"/>
  <c r="AF1610" i="2"/>
  <c r="AA1610" i="2"/>
  <c r="R1604" i="2"/>
  <c r="AP1604" i="2" s="1"/>
  <c r="Q1604" i="2"/>
  <c r="S1604" i="2"/>
  <c r="AF1601" i="2"/>
  <c r="AA1601" i="2"/>
  <c r="AK1601" i="2"/>
  <c r="U1601" i="2"/>
  <c r="AK1594" i="2"/>
  <c r="U1594" i="2"/>
  <c r="AF1594" i="2"/>
  <c r="AA1594" i="2"/>
  <c r="AK1586" i="2"/>
  <c r="U1586" i="2"/>
  <c r="AF1586" i="2"/>
  <c r="AA1586" i="2"/>
  <c r="R1580" i="2"/>
  <c r="AP1580" i="2" s="1"/>
  <c r="Q1580" i="2"/>
  <c r="S1580" i="2"/>
  <c r="AF1576" i="2"/>
  <c r="AA1576" i="2"/>
  <c r="AK1576" i="2"/>
  <c r="U1576" i="2"/>
  <c r="AF1572" i="2"/>
  <c r="AA1572" i="2"/>
  <c r="AK1572" i="2"/>
  <c r="U1572" i="2"/>
  <c r="AF1568" i="2"/>
  <c r="AA1568" i="2"/>
  <c r="AK1568" i="2"/>
  <c r="U1568" i="2"/>
  <c r="AF1564" i="2"/>
  <c r="AA1564" i="2"/>
  <c r="AK1564" i="2"/>
  <c r="U1564" i="2"/>
  <c r="AF1560" i="2"/>
  <c r="AA1560" i="2"/>
  <c r="AK1560" i="2"/>
  <c r="U1560" i="2"/>
  <c r="AF1556" i="2"/>
  <c r="AA1556" i="2"/>
  <c r="AK1556" i="2"/>
  <c r="U1556" i="2"/>
  <c r="AF1552" i="2"/>
  <c r="AA1552" i="2"/>
  <c r="AK1552" i="2"/>
  <c r="U1552" i="2"/>
  <c r="AF1548" i="2"/>
  <c r="AA1548" i="2"/>
  <c r="AK1548" i="2"/>
  <c r="U1548" i="2"/>
  <c r="AF1439" i="2"/>
  <c r="AK1439" i="2"/>
  <c r="U1439" i="2"/>
  <c r="AA1439" i="2"/>
  <c r="AF1436" i="2"/>
  <c r="AA1436" i="2"/>
  <c r="AK1436" i="2"/>
  <c r="U1436" i="2"/>
  <c r="AF1432" i="2"/>
  <c r="AA1432" i="2"/>
  <c r="AK1432" i="2"/>
  <c r="U1432" i="2"/>
  <c r="AF1428" i="2"/>
  <c r="AA1428" i="2"/>
  <c r="AK1428" i="2"/>
  <c r="U1428" i="2"/>
  <c r="AF1424" i="2"/>
  <c r="AA1424" i="2"/>
  <c r="AK1424" i="2"/>
  <c r="U1424" i="2"/>
  <c r="AF1420" i="2"/>
  <c r="AA1420" i="2"/>
  <c r="AK1420" i="2"/>
  <c r="U1420" i="2"/>
  <c r="AF1416" i="2"/>
  <c r="AA1416" i="2"/>
  <c r="AK1416" i="2"/>
  <c r="U1416" i="2"/>
  <c r="AF1412" i="2"/>
  <c r="AA1412" i="2"/>
  <c r="AK1412" i="2"/>
  <c r="U1412" i="2"/>
  <c r="AF1408" i="2"/>
  <c r="AA1408" i="2"/>
  <c r="AK1408" i="2"/>
  <c r="U1408" i="2"/>
  <c r="AF1404" i="2"/>
  <c r="AA1404" i="2"/>
  <c r="AK1404" i="2"/>
  <c r="U1404" i="2"/>
  <c r="AF1400" i="2"/>
  <c r="AA1400" i="2"/>
  <c r="AK1400" i="2"/>
  <c r="U1400" i="2"/>
  <c r="AF1396" i="2"/>
  <c r="AA1396" i="2"/>
  <c r="AK1396" i="2"/>
  <c r="U1396" i="2"/>
  <c r="S1386" i="2"/>
  <c r="R1386" i="2"/>
  <c r="AP1386" i="2" s="1"/>
  <c r="Q1386" i="2"/>
  <c r="AF1378" i="2"/>
  <c r="AA1378" i="2"/>
  <c r="AK1378" i="2"/>
  <c r="U1378" i="2"/>
  <c r="R1545" i="2"/>
  <c r="AP1545" i="2" s="1"/>
  <c r="Q1545" i="2"/>
  <c r="S1545" i="2"/>
  <c r="AF1537" i="2"/>
  <c r="AK1537" i="2"/>
  <c r="U1537" i="2"/>
  <c r="AA1537" i="2"/>
  <c r="R1536" i="2"/>
  <c r="AP1536" i="2" s="1"/>
  <c r="S1536" i="2"/>
  <c r="Q1536" i="2"/>
  <c r="AF1530" i="2"/>
  <c r="AA1530" i="2"/>
  <c r="AK1530" i="2"/>
  <c r="U1530" i="2"/>
  <c r="AF1513" i="2"/>
  <c r="AK1513" i="2"/>
  <c r="U1513" i="2"/>
  <c r="AA1513" i="2"/>
  <c r="AF1509" i="2"/>
  <c r="AK1509" i="2"/>
  <c r="U1509" i="2"/>
  <c r="AA1509" i="2"/>
  <c r="R1508" i="2"/>
  <c r="AP1508" i="2" s="1"/>
  <c r="S1508" i="2"/>
  <c r="Q1508" i="2"/>
  <c r="R1503" i="2"/>
  <c r="AP1503" i="2" s="1"/>
  <c r="Q1503" i="2"/>
  <c r="S1503" i="2"/>
  <c r="AF1499" i="2"/>
  <c r="AK1499" i="2"/>
  <c r="U1499" i="2"/>
  <c r="AA1499" i="2"/>
  <c r="AF1495" i="2"/>
  <c r="AK1495" i="2"/>
  <c r="U1495" i="2"/>
  <c r="AA1495" i="2"/>
  <c r="R1494" i="2"/>
  <c r="AP1494" i="2" s="1"/>
  <c r="S1494" i="2"/>
  <c r="Q1494" i="2"/>
  <c r="AF1481" i="2"/>
  <c r="AK1481" i="2"/>
  <c r="U1481" i="2"/>
  <c r="AA1481" i="2"/>
  <c r="AF1477" i="2"/>
  <c r="AK1477" i="2"/>
  <c r="U1477" i="2"/>
  <c r="AA1477" i="2"/>
  <c r="R1443" i="2"/>
  <c r="AP1443" i="2" s="1"/>
  <c r="Q1443" i="2"/>
  <c r="S1443" i="2"/>
  <c r="R1438" i="2"/>
  <c r="AP1438" i="2" s="1"/>
  <c r="S1438" i="2"/>
  <c r="Q1438" i="2"/>
  <c r="S1384" i="2"/>
  <c r="R1384" i="2"/>
  <c r="AP1384" i="2" s="1"/>
  <c r="Q1384" i="2"/>
  <c r="AK1664" i="2"/>
  <c r="U1664" i="2"/>
  <c r="AF1664" i="2"/>
  <c r="AA1664" i="2"/>
  <c r="R1658" i="2"/>
  <c r="AP1658" i="2" s="1"/>
  <c r="Q1658" i="2"/>
  <c r="S1658" i="2"/>
  <c r="AF1655" i="2"/>
  <c r="AA1655" i="2"/>
  <c r="AK1655" i="2"/>
  <c r="U1655" i="2"/>
  <c r="AK1648" i="2"/>
  <c r="U1648" i="2"/>
  <c r="AF1648" i="2"/>
  <c r="AA1648" i="2"/>
  <c r="R1642" i="2"/>
  <c r="AP1642" i="2" s="1"/>
  <c r="Q1642" i="2"/>
  <c r="S1642" i="2"/>
  <c r="AF1639" i="2"/>
  <c r="AA1639" i="2"/>
  <c r="AK1639" i="2"/>
  <c r="U1639" i="2"/>
  <c r="AK1632" i="2"/>
  <c r="U1632" i="2"/>
  <c r="AF1632" i="2"/>
  <c r="AA1632" i="2"/>
  <c r="R1626" i="2"/>
  <c r="AP1626" i="2" s="1"/>
  <c r="Q1626" i="2"/>
  <c r="S1626" i="2"/>
  <c r="AF1623" i="2"/>
  <c r="AA1623" i="2"/>
  <c r="AK1623" i="2"/>
  <c r="U1623" i="2"/>
  <c r="AK1616" i="2"/>
  <c r="U1616" i="2"/>
  <c r="AF1616" i="2"/>
  <c r="AA1616" i="2"/>
  <c r="R1610" i="2"/>
  <c r="AP1610" i="2" s="1"/>
  <c r="Q1610" i="2"/>
  <c r="S1610" i="2"/>
  <c r="AF1607" i="2"/>
  <c r="AA1607" i="2"/>
  <c r="AK1607" i="2"/>
  <c r="U1607" i="2"/>
  <c r="AK1600" i="2"/>
  <c r="U1600" i="2"/>
  <c r="AF1600" i="2"/>
  <c r="AA1600" i="2"/>
  <c r="R1594" i="2"/>
  <c r="AP1594" i="2" s="1"/>
  <c r="Q1594" i="2"/>
  <c r="S1594" i="2"/>
  <c r="AF1591" i="2"/>
  <c r="AA1591" i="2"/>
  <c r="AK1591" i="2"/>
  <c r="U1591" i="2"/>
  <c r="R1586" i="2"/>
  <c r="AP1586" i="2" s="1"/>
  <c r="Q1586" i="2"/>
  <c r="S1586" i="2"/>
  <c r="AF1583" i="2"/>
  <c r="AA1583" i="2"/>
  <c r="AK1583" i="2"/>
  <c r="U1583" i="2"/>
  <c r="AF1543" i="2"/>
  <c r="AK1543" i="2"/>
  <c r="U1543" i="2"/>
  <c r="AA1543" i="2"/>
  <c r="R1542" i="2"/>
  <c r="AP1542" i="2" s="1"/>
  <c r="S1542" i="2"/>
  <c r="Q1542" i="2"/>
  <c r="AF1539" i="2"/>
  <c r="AK1539" i="2"/>
  <c r="U1539" i="2"/>
  <c r="AA1539" i="2"/>
  <c r="R1538" i="2"/>
  <c r="AP1538" i="2" s="1"/>
  <c r="S1538" i="2"/>
  <c r="Q1538" i="2"/>
  <c r="AF1535" i="2"/>
  <c r="AK1535" i="2"/>
  <c r="U1535" i="2"/>
  <c r="AA1535" i="2"/>
  <c r="R1534" i="2"/>
  <c r="AP1534" i="2" s="1"/>
  <c r="S1534" i="2"/>
  <c r="Q1534" i="2"/>
  <c r="AF1531" i="2"/>
  <c r="AK1531" i="2"/>
  <c r="U1531" i="2"/>
  <c r="AA1531" i="2"/>
  <c r="R1530" i="2"/>
  <c r="AP1530" i="2" s="1"/>
  <c r="S1530" i="2"/>
  <c r="Q1530" i="2"/>
  <c r="AF1527" i="2"/>
  <c r="AK1527" i="2"/>
  <c r="U1527" i="2"/>
  <c r="AA1527" i="2"/>
  <c r="R1526" i="2"/>
  <c r="AP1526" i="2" s="1"/>
  <c r="S1526" i="2"/>
  <c r="Q1526" i="2"/>
  <c r="AF1523" i="2"/>
  <c r="AK1523" i="2"/>
  <c r="U1523" i="2"/>
  <c r="AA1523" i="2"/>
  <c r="R1522" i="2"/>
  <c r="AP1522" i="2" s="1"/>
  <c r="S1522" i="2"/>
  <c r="Q1522" i="2"/>
  <c r="AF1519" i="2"/>
  <c r="AK1519" i="2"/>
  <c r="U1519" i="2"/>
  <c r="AA1519" i="2"/>
  <c r="R1518" i="2"/>
  <c r="AP1518" i="2" s="1"/>
  <c r="S1518" i="2"/>
  <c r="Q1518" i="2"/>
  <c r="AF1515" i="2"/>
  <c r="AK1515" i="2"/>
  <c r="U1515" i="2"/>
  <c r="AA1515" i="2"/>
  <c r="R1514" i="2"/>
  <c r="AP1514" i="2" s="1"/>
  <c r="S1514" i="2"/>
  <c r="Q1514" i="2"/>
  <c r="AF1511" i="2"/>
  <c r="AK1511" i="2"/>
  <c r="U1511" i="2"/>
  <c r="AA1511" i="2"/>
  <c r="R1510" i="2"/>
  <c r="AP1510" i="2" s="1"/>
  <c r="S1510" i="2"/>
  <c r="Q1510" i="2"/>
  <c r="AF1507" i="2"/>
  <c r="AK1507" i="2"/>
  <c r="U1507" i="2"/>
  <c r="AA1507" i="2"/>
  <c r="AF1497" i="2"/>
  <c r="AK1497" i="2"/>
  <c r="U1497" i="2"/>
  <c r="AA1497" i="2"/>
  <c r="R1496" i="2"/>
  <c r="AP1496" i="2" s="1"/>
  <c r="S1496" i="2"/>
  <c r="Q1496" i="2"/>
  <c r="AF1493" i="2"/>
  <c r="AK1493" i="2"/>
  <c r="U1493" i="2"/>
  <c r="AA1493" i="2"/>
  <c r="R1492" i="2"/>
  <c r="AP1492" i="2" s="1"/>
  <c r="S1492" i="2"/>
  <c r="Q1492" i="2"/>
  <c r="AF1489" i="2"/>
  <c r="AK1489" i="2"/>
  <c r="U1489" i="2"/>
  <c r="AA1489" i="2"/>
  <c r="AF1483" i="2"/>
  <c r="AK1483" i="2"/>
  <c r="U1483" i="2"/>
  <c r="AA1483" i="2"/>
  <c r="AF1480" i="2"/>
  <c r="AA1480" i="2"/>
  <c r="AK1480" i="2"/>
  <c r="U1480" i="2"/>
  <c r="R1473" i="2"/>
  <c r="AP1473" i="2" s="1"/>
  <c r="Q1473" i="2"/>
  <c r="S1473" i="2"/>
  <c r="R1469" i="2"/>
  <c r="AP1469" i="2" s="1"/>
  <c r="Q1469" i="2"/>
  <c r="S1469" i="2"/>
  <c r="R1465" i="2"/>
  <c r="AP1465" i="2" s="1"/>
  <c r="Q1465" i="2"/>
  <c r="S1465" i="2"/>
  <c r="R1461" i="2"/>
  <c r="AP1461" i="2" s="1"/>
  <c r="Q1461" i="2"/>
  <c r="S1461" i="2"/>
  <c r="R1457" i="2"/>
  <c r="AP1457" i="2" s="1"/>
  <c r="Q1457" i="2"/>
  <c r="S1457" i="2"/>
  <c r="R1453" i="2"/>
  <c r="AP1453" i="2" s="1"/>
  <c r="Q1453" i="2"/>
  <c r="S1453" i="2"/>
  <c r="R1449" i="2"/>
  <c r="AP1449" i="2" s="1"/>
  <c r="Q1449" i="2"/>
  <c r="S1449" i="2"/>
  <c r="R1445" i="2"/>
  <c r="AP1445" i="2" s="1"/>
  <c r="Q1445" i="2"/>
  <c r="S1445" i="2"/>
  <c r="S1388" i="2"/>
  <c r="R1388" i="2"/>
  <c r="AP1388" i="2" s="1"/>
  <c r="Q1388" i="2"/>
  <c r="AK1366" i="2"/>
  <c r="U1366" i="2"/>
  <c r="AF1366" i="2"/>
  <c r="AA1366" i="2"/>
  <c r="S1361" i="2"/>
  <c r="R1361" i="2"/>
  <c r="AP1361" i="2" s="1"/>
  <c r="Q1361" i="2"/>
  <c r="AK1350" i="2"/>
  <c r="U1350" i="2"/>
  <c r="AF1350" i="2"/>
  <c r="AA1350" i="2"/>
  <c r="S1345" i="2"/>
  <c r="R1345" i="2"/>
  <c r="AP1345" i="2" s="1"/>
  <c r="Q1345" i="2"/>
  <c r="AK1334" i="2"/>
  <c r="U1334" i="2"/>
  <c r="AF1334" i="2"/>
  <c r="AA1334" i="2"/>
  <c r="S1329" i="2"/>
  <c r="R1329" i="2"/>
  <c r="AP1329" i="2" s="1"/>
  <c r="Q1329" i="2"/>
  <c r="AK1318" i="2"/>
  <c r="U1318" i="2"/>
  <c r="AF1318" i="2"/>
  <c r="AA1318" i="2"/>
  <c r="S1313" i="2"/>
  <c r="R1313" i="2"/>
  <c r="AP1313" i="2" s="1"/>
  <c r="Q1313" i="2"/>
  <c r="AK1302" i="2"/>
  <c r="U1302" i="2"/>
  <c r="AF1302" i="2"/>
  <c r="AA1302" i="2"/>
  <c r="S1297" i="2"/>
  <c r="R1297" i="2"/>
  <c r="AP1297" i="2" s="1"/>
  <c r="Q1297" i="2"/>
  <c r="AK1286" i="2"/>
  <c r="U1286" i="2"/>
  <c r="AF1286" i="2"/>
  <c r="AA1286" i="2"/>
  <c r="S1281" i="2"/>
  <c r="R1281" i="2"/>
  <c r="AP1281" i="2" s="1"/>
  <c r="Q1281" i="2"/>
  <c r="AK1270" i="2"/>
  <c r="U1270" i="2"/>
  <c r="AF1270" i="2"/>
  <c r="AA1270" i="2"/>
  <c r="S1265" i="2"/>
  <c r="R1265" i="2"/>
  <c r="AP1265" i="2" s="1"/>
  <c r="Q1265" i="2"/>
  <c r="AK1254" i="2"/>
  <c r="U1254" i="2"/>
  <c r="AF1254" i="2"/>
  <c r="AA1254" i="2"/>
  <c r="S1249" i="2"/>
  <c r="R1249" i="2"/>
  <c r="AP1249" i="2" s="1"/>
  <c r="Q1249" i="2"/>
  <c r="AK1238" i="2"/>
  <c r="U1238" i="2"/>
  <c r="AF1238" i="2"/>
  <c r="AA1238" i="2"/>
  <c r="S1233" i="2"/>
  <c r="R1233" i="2"/>
  <c r="AP1233" i="2" s="1"/>
  <c r="Q1233" i="2"/>
  <c r="AK1222" i="2"/>
  <c r="U1222" i="2"/>
  <c r="AF1222" i="2"/>
  <c r="AA1222" i="2"/>
  <c r="S1217" i="2"/>
  <c r="R1217" i="2"/>
  <c r="AP1217" i="2" s="1"/>
  <c r="Q1217" i="2"/>
  <c r="AK1206" i="2"/>
  <c r="U1206" i="2"/>
  <c r="AF1206" i="2"/>
  <c r="AA1206" i="2"/>
  <c r="S1201" i="2"/>
  <c r="R1201" i="2"/>
  <c r="AP1201" i="2" s="1"/>
  <c r="Q1201" i="2"/>
  <c r="AK1190" i="2"/>
  <c r="U1190" i="2"/>
  <c r="AF1190" i="2"/>
  <c r="AA1190" i="2"/>
  <c r="S1185" i="2"/>
  <c r="R1185" i="2"/>
  <c r="AP1185" i="2" s="1"/>
  <c r="Q1185" i="2"/>
  <c r="S1175" i="2"/>
  <c r="R1175" i="2"/>
  <c r="AP1175" i="2" s="1"/>
  <c r="Q1175" i="2"/>
  <c r="Q1172" i="2"/>
  <c r="S1172" i="2"/>
  <c r="R1172" i="2"/>
  <c r="AP1172" i="2" s="1"/>
  <c r="S1167" i="2"/>
  <c r="R1167" i="2"/>
  <c r="AP1167" i="2" s="1"/>
  <c r="Q1167" i="2"/>
  <c r="Q1164" i="2"/>
  <c r="S1164" i="2"/>
  <c r="R1164" i="2"/>
  <c r="AP1164" i="2" s="1"/>
  <c r="S1159" i="2"/>
  <c r="R1159" i="2"/>
  <c r="AP1159" i="2" s="1"/>
  <c r="Q1159" i="2"/>
  <c r="Q1156" i="2"/>
  <c r="S1156" i="2"/>
  <c r="R1156" i="2"/>
  <c r="AP1156" i="2" s="1"/>
  <c r="Q1150" i="2"/>
  <c r="S1150" i="2"/>
  <c r="R1150" i="2"/>
  <c r="AP1150" i="2" s="1"/>
  <c r="Q1146" i="2"/>
  <c r="S1146" i="2"/>
  <c r="R1146" i="2"/>
  <c r="AP1146" i="2" s="1"/>
  <c r="Q1142" i="2"/>
  <c r="S1142" i="2"/>
  <c r="R1142" i="2"/>
  <c r="AP1142" i="2" s="1"/>
  <c r="Q1138" i="2"/>
  <c r="S1138" i="2"/>
  <c r="R1138" i="2"/>
  <c r="AP1138" i="2" s="1"/>
  <c r="Q1122" i="2"/>
  <c r="S1122" i="2"/>
  <c r="R1122" i="2"/>
  <c r="AP1122" i="2" s="1"/>
  <c r="Q1106" i="2"/>
  <c r="S1106" i="2"/>
  <c r="R1106" i="2"/>
  <c r="AP1106" i="2" s="1"/>
  <c r="Q1090" i="2"/>
  <c r="S1090" i="2"/>
  <c r="R1090" i="2"/>
  <c r="AP1090" i="2" s="1"/>
  <c r="Q1074" i="2"/>
  <c r="S1074" i="2"/>
  <c r="R1074" i="2"/>
  <c r="AP1074" i="2" s="1"/>
  <c r="Q1058" i="2"/>
  <c r="S1058" i="2"/>
  <c r="R1058" i="2"/>
  <c r="AP1058" i="2" s="1"/>
  <c r="AF1371" i="2"/>
  <c r="AA1371" i="2"/>
  <c r="AK1371" i="2"/>
  <c r="U1371" i="2"/>
  <c r="R1366" i="2"/>
  <c r="AP1366" i="2" s="1"/>
  <c r="Q1366" i="2"/>
  <c r="S1366" i="2"/>
  <c r="AF1355" i="2"/>
  <c r="AA1355" i="2"/>
  <c r="AK1355" i="2"/>
  <c r="U1355" i="2"/>
  <c r="R1350" i="2"/>
  <c r="AP1350" i="2" s="1"/>
  <c r="Q1350" i="2"/>
  <c r="S1350" i="2"/>
  <c r="AF1339" i="2"/>
  <c r="AA1339" i="2"/>
  <c r="AK1339" i="2"/>
  <c r="U1339" i="2"/>
  <c r="R1334" i="2"/>
  <c r="AP1334" i="2" s="1"/>
  <c r="Q1334" i="2"/>
  <c r="S1334" i="2"/>
  <c r="AF1323" i="2"/>
  <c r="AA1323" i="2"/>
  <c r="AK1323" i="2"/>
  <c r="U1323" i="2"/>
  <c r="R1318" i="2"/>
  <c r="AP1318" i="2" s="1"/>
  <c r="Q1318" i="2"/>
  <c r="S1318" i="2"/>
  <c r="AF1307" i="2"/>
  <c r="AA1307" i="2"/>
  <c r="AK1307" i="2"/>
  <c r="U1307" i="2"/>
  <c r="R1302" i="2"/>
  <c r="AP1302" i="2" s="1"/>
  <c r="Q1302" i="2"/>
  <c r="S1302" i="2"/>
  <c r="AF1291" i="2"/>
  <c r="AA1291" i="2"/>
  <c r="AK1291" i="2"/>
  <c r="U1291" i="2"/>
  <c r="R1286" i="2"/>
  <c r="AP1286" i="2" s="1"/>
  <c r="Q1286" i="2"/>
  <c r="S1286" i="2"/>
  <c r="AF1275" i="2"/>
  <c r="AA1275" i="2"/>
  <c r="AK1275" i="2"/>
  <c r="U1275" i="2"/>
  <c r="R1270" i="2"/>
  <c r="AP1270" i="2" s="1"/>
  <c r="Q1270" i="2"/>
  <c r="S1270" i="2"/>
  <c r="AF1259" i="2"/>
  <c r="AA1259" i="2"/>
  <c r="AK1259" i="2"/>
  <c r="U1259" i="2"/>
  <c r="R1254" i="2"/>
  <c r="AP1254" i="2" s="1"/>
  <c r="Q1254" i="2"/>
  <c r="S1254" i="2"/>
  <c r="AF1243" i="2"/>
  <c r="AA1243" i="2"/>
  <c r="AK1243" i="2"/>
  <c r="U1243" i="2"/>
  <c r="R1238" i="2"/>
  <c r="AP1238" i="2" s="1"/>
  <c r="Q1238" i="2"/>
  <c r="S1238" i="2"/>
  <c r="AF1227" i="2"/>
  <c r="AA1227" i="2"/>
  <c r="AK1227" i="2"/>
  <c r="U1227" i="2"/>
  <c r="R1222" i="2"/>
  <c r="AP1222" i="2" s="1"/>
  <c r="Q1222" i="2"/>
  <c r="S1222" i="2"/>
  <c r="AF1211" i="2"/>
  <c r="AA1211" i="2"/>
  <c r="AK1211" i="2"/>
  <c r="U1211" i="2"/>
  <c r="R1206" i="2"/>
  <c r="AP1206" i="2" s="1"/>
  <c r="Q1206" i="2"/>
  <c r="S1206" i="2"/>
  <c r="AF1195" i="2"/>
  <c r="AA1195" i="2"/>
  <c r="AK1195" i="2"/>
  <c r="U1195" i="2"/>
  <c r="R1190" i="2"/>
  <c r="AP1190" i="2" s="1"/>
  <c r="Q1190" i="2"/>
  <c r="S1190" i="2"/>
  <c r="AF1179" i="2"/>
  <c r="AA1179" i="2"/>
  <c r="AK1179" i="2"/>
  <c r="U1179" i="2"/>
  <c r="AA1135" i="2"/>
  <c r="AK1135" i="2"/>
  <c r="U1135" i="2"/>
  <c r="AF1135" i="2"/>
  <c r="AA1119" i="2"/>
  <c r="AK1119" i="2"/>
  <c r="U1119" i="2"/>
  <c r="AF1119" i="2"/>
  <c r="AA1103" i="2"/>
  <c r="AK1103" i="2"/>
  <c r="U1103" i="2"/>
  <c r="AF1103" i="2"/>
  <c r="AA1087" i="2"/>
  <c r="AK1087" i="2"/>
  <c r="U1087" i="2"/>
  <c r="AF1087" i="2"/>
  <c r="AA1071" i="2"/>
  <c r="AK1071" i="2"/>
  <c r="U1071" i="2"/>
  <c r="AF1071" i="2"/>
  <c r="AA1055" i="2"/>
  <c r="AK1055" i="2"/>
  <c r="U1055" i="2"/>
  <c r="AF1055" i="2"/>
  <c r="AF1384" i="2"/>
  <c r="AA1384" i="2"/>
  <c r="AK1384" i="2"/>
  <c r="U1384" i="2"/>
  <c r="AK1368" i="2"/>
  <c r="U1368" i="2"/>
  <c r="AF1368" i="2"/>
  <c r="AA1368" i="2"/>
  <c r="S1363" i="2"/>
  <c r="R1363" i="2"/>
  <c r="AP1363" i="2" s="1"/>
  <c r="Q1363" i="2"/>
  <c r="AK1352" i="2"/>
  <c r="U1352" i="2"/>
  <c r="AF1352" i="2"/>
  <c r="AA1352" i="2"/>
  <c r="S1347" i="2"/>
  <c r="R1347" i="2"/>
  <c r="AP1347" i="2" s="1"/>
  <c r="Q1347" i="2"/>
  <c r="AK1336" i="2"/>
  <c r="U1336" i="2"/>
  <c r="AF1336" i="2"/>
  <c r="AA1336" i="2"/>
  <c r="S1331" i="2"/>
  <c r="R1331" i="2"/>
  <c r="AP1331" i="2" s="1"/>
  <c r="Q1331" i="2"/>
  <c r="AK1320" i="2"/>
  <c r="U1320" i="2"/>
  <c r="AF1320" i="2"/>
  <c r="AA1320" i="2"/>
  <c r="S1315" i="2"/>
  <c r="R1315" i="2"/>
  <c r="AP1315" i="2" s="1"/>
  <c r="Q1315" i="2"/>
  <c r="AK1304" i="2"/>
  <c r="U1304" i="2"/>
  <c r="AF1304" i="2"/>
  <c r="AA1304" i="2"/>
  <c r="S1299" i="2"/>
  <c r="R1299" i="2"/>
  <c r="AP1299" i="2" s="1"/>
  <c r="Q1299" i="2"/>
  <c r="AK1288" i="2"/>
  <c r="U1288" i="2"/>
  <c r="AF1288" i="2"/>
  <c r="AA1288" i="2"/>
  <c r="S1283" i="2"/>
  <c r="R1283" i="2"/>
  <c r="AP1283" i="2" s="1"/>
  <c r="Q1283" i="2"/>
  <c r="AK1272" i="2"/>
  <c r="U1272" i="2"/>
  <c r="AF1272" i="2"/>
  <c r="AA1272" i="2"/>
  <c r="S1267" i="2"/>
  <c r="R1267" i="2"/>
  <c r="AP1267" i="2" s="1"/>
  <c r="Q1267" i="2"/>
  <c r="AK1256" i="2"/>
  <c r="U1256" i="2"/>
  <c r="AF1256" i="2"/>
  <c r="AA1256" i="2"/>
  <c r="S1251" i="2"/>
  <c r="R1251" i="2"/>
  <c r="AP1251" i="2" s="1"/>
  <c r="Q1251" i="2"/>
  <c r="AK1240" i="2"/>
  <c r="U1240" i="2"/>
  <c r="AF1240" i="2"/>
  <c r="AA1240" i="2"/>
  <c r="S1235" i="2"/>
  <c r="R1235" i="2"/>
  <c r="AP1235" i="2" s="1"/>
  <c r="Q1235" i="2"/>
  <c r="AK1224" i="2"/>
  <c r="U1224" i="2"/>
  <c r="AF1224" i="2"/>
  <c r="AA1224" i="2"/>
  <c r="S1219" i="2"/>
  <c r="R1219" i="2"/>
  <c r="AP1219" i="2" s="1"/>
  <c r="Q1219" i="2"/>
  <c r="AK1208" i="2"/>
  <c r="U1208" i="2"/>
  <c r="AF1208" i="2"/>
  <c r="AA1208" i="2"/>
  <c r="S1203" i="2"/>
  <c r="R1203" i="2"/>
  <c r="AP1203" i="2" s="1"/>
  <c r="Q1203" i="2"/>
  <c r="AK1192" i="2"/>
  <c r="U1192" i="2"/>
  <c r="AF1192" i="2"/>
  <c r="AA1192" i="2"/>
  <c r="S1187" i="2"/>
  <c r="R1187" i="2"/>
  <c r="AP1187" i="2" s="1"/>
  <c r="Q1187" i="2"/>
  <c r="AK1176" i="2"/>
  <c r="U1176" i="2"/>
  <c r="AF1176" i="2"/>
  <c r="AA1176" i="2"/>
  <c r="AK1172" i="2"/>
  <c r="U1172" i="2"/>
  <c r="AF1172" i="2"/>
  <c r="AA1172" i="2"/>
  <c r="AK1168" i="2"/>
  <c r="U1168" i="2"/>
  <c r="AF1168" i="2"/>
  <c r="AA1168" i="2"/>
  <c r="AK1164" i="2"/>
  <c r="U1164" i="2"/>
  <c r="AF1164" i="2"/>
  <c r="AA1164" i="2"/>
  <c r="AK1160" i="2"/>
  <c r="U1160" i="2"/>
  <c r="AF1160" i="2"/>
  <c r="AA1160" i="2"/>
  <c r="AK1156" i="2"/>
  <c r="U1156" i="2"/>
  <c r="AF1156" i="2"/>
  <c r="AA1156" i="2"/>
  <c r="Q1140" i="2"/>
  <c r="S1140" i="2"/>
  <c r="R1140" i="2"/>
  <c r="AP1140" i="2" s="1"/>
  <c r="Q1124" i="2"/>
  <c r="S1124" i="2"/>
  <c r="R1124" i="2"/>
  <c r="AP1124" i="2" s="1"/>
  <c r="Q1108" i="2"/>
  <c r="S1108" i="2"/>
  <c r="R1108" i="2"/>
  <c r="AP1108" i="2" s="1"/>
  <c r="Q1092" i="2"/>
  <c r="S1092" i="2"/>
  <c r="R1092" i="2"/>
  <c r="AP1092" i="2" s="1"/>
  <c r="Q1076" i="2"/>
  <c r="S1076" i="2"/>
  <c r="R1076" i="2"/>
  <c r="AP1076" i="2" s="1"/>
  <c r="Q1060" i="2"/>
  <c r="S1060" i="2"/>
  <c r="R1060" i="2"/>
  <c r="AP1060" i="2" s="1"/>
  <c r="AF1365" i="2"/>
  <c r="AA1365" i="2"/>
  <c r="AK1365" i="2"/>
  <c r="U1365" i="2"/>
  <c r="R1360" i="2"/>
  <c r="AP1360" i="2" s="1"/>
  <c r="Q1360" i="2"/>
  <c r="S1360" i="2"/>
  <c r="AF1349" i="2"/>
  <c r="AA1349" i="2"/>
  <c r="AK1349" i="2"/>
  <c r="U1349" i="2"/>
  <c r="R1344" i="2"/>
  <c r="AP1344" i="2" s="1"/>
  <c r="Q1344" i="2"/>
  <c r="S1344" i="2"/>
  <c r="AF1333" i="2"/>
  <c r="AA1333" i="2"/>
  <c r="AK1333" i="2"/>
  <c r="U1333" i="2"/>
  <c r="R1328" i="2"/>
  <c r="AP1328" i="2" s="1"/>
  <c r="Q1328" i="2"/>
  <c r="S1328" i="2"/>
  <c r="AF1317" i="2"/>
  <c r="AA1317" i="2"/>
  <c r="AK1317" i="2"/>
  <c r="U1317" i="2"/>
  <c r="R1312" i="2"/>
  <c r="AP1312" i="2" s="1"/>
  <c r="Q1312" i="2"/>
  <c r="S1312" i="2"/>
  <c r="AF1301" i="2"/>
  <c r="AA1301" i="2"/>
  <c r="AK1301" i="2"/>
  <c r="U1301" i="2"/>
  <c r="R1296" i="2"/>
  <c r="AP1296" i="2" s="1"/>
  <c r="Q1296" i="2"/>
  <c r="S1296" i="2"/>
  <c r="AF1285" i="2"/>
  <c r="AA1285" i="2"/>
  <c r="AK1285" i="2"/>
  <c r="U1285" i="2"/>
  <c r="R1280" i="2"/>
  <c r="AP1280" i="2" s="1"/>
  <c r="Q1280" i="2"/>
  <c r="S1280" i="2"/>
  <c r="AF1269" i="2"/>
  <c r="AA1269" i="2"/>
  <c r="AK1269" i="2"/>
  <c r="U1269" i="2"/>
  <c r="R1264" i="2"/>
  <c r="AP1264" i="2" s="1"/>
  <c r="Q1264" i="2"/>
  <c r="S1264" i="2"/>
  <c r="AF1253" i="2"/>
  <c r="AA1253" i="2"/>
  <c r="AK1253" i="2"/>
  <c r="U1253" i="2"/>
  <c r="R1248" i="2"/>
  <c r="AP1248" i="2" s="1"/>
  <c r="Q1248" i="2"/>
  <c r="S1248" i="2"/>
  <c r="AF1237" i="2"/>
  <c r="AA1237" i="2"/>
  <c r="AK1237" i="2"/>
  <c r="U1237" i="2"/>
  <c r="R1232" i="2"/>
  <c r="AP1232" i="2" s="1"/>
  <c r="Q1232" i="2"/>
  <c r="S1232" i="2"/>
  <c r="AF1221" i="2"/>
  <c r="AA1221" i="2"/>
  <c r="AK1221" i="2"/>
  <c r="U1221" i="2"/>
  <c r="R1216" i="2"/>
  <c r="AP1216" i="2" s="1"/>
  <c r="Q1216" i="2"/>
  <c r="S1216" i="2"/>
  <c r="AF1205" i="2"/>
  <c r="AA1205" i="2"/>
  <c r="AK1205" i="2"/>
  <c r="U1205" i="2"/>
  <c r="R1200" i="2"/>
  <c r="AP1200" i="2" s="1"/>
  <c r="Q1200" i="2"/>
  <c r="S1200" i="2"/>
  <c r="AF1189" i="2"/>
  <c r="AA1189" i="2"/>
  <c r="AK1189" i="2"/>
  <c r="U1189" i="2"/>
  <c r="R1184" i="2"/>
  <c r="AP1184" i="2" s="1"/>
  <c r="Q1184" i="2"/>
  <c r="S1184" i="2"/>
  <c r="AA1133" i="2"/>
  <c r="AK1133" i="2"/>
  <c r="U1133" i="2"/>
  <c r="AF1133" i="2"/>
  <c r="AA1117" i="2"/>
  <c r="AK1117" i="2"/>
  <c r="U1117" i="2"/>
  <c r="AF1117" i="2"/>
  <c r="AA1101" i="2"/>
  <c r="AK1101" i="2"/>
  <c r="U1101" i="2"/>
  <c r="AF1101" i="2"/>
  <c r="AA1085" i="2"/>
  <c r="AK1085" i="2"/>
  <c r="U1085" i="2"/>
  <c r="AF1085" i="2"/>
  <c r="AA1069" i="2"/>
  <c r="AK1069" i="2"/>
  <c r="U1069" i="2"/>
  <c r="AF1069" i="2"/>
  <c r="AA1053" i="2"/>
  <c r="AK1053" i="2"/>
  <c r="U1053" i="2"/>
  <c r="AF1053" i="2"/>
  <c r="AA1042" i="2"/>
  <c r="AK1042" i="2"/>
  <c r="U1042" i="2"/>
  <c r="AF1042" i="2"/>
  <c r="Q1037" i="2"/>
  <c r="S1037" i="2"/>
  <c r="R1037" i="2"/>
  <c r="AP1037" i="2" s="1"/>
  <c r="S1034" i="2"/>
  <c r="Q1034" i="2"/>
  <c r="R1034" i="2"/>
  <c r="AP1034" i="2" s="1"/>
  <c r="Q1029" i="2"/>
  <c r="S1029" i="2"/>
  <c r="R1029" i="2"/>
  <c r="AP1029" i="2" s="1"/>
  <c r="S1026" i="2"/>
  <c r="Q1026" i="2"/>
  <c r="R1026" i="2"/>
  <c r="AP1026" i="2" s="1"/>
  <c r="Q1021" i="2"/>
  <c r="S1021" i="2"/>
  <c r="R1021" i="2"/>
  <c r="AP1021" i="2" s="1"/>
  <c r="S1018" i="2"/>
  <c r="Q1018" i="2"/>
  <c r="R1018" i="2"/>
  <c r="AP1018" i="2" s="1"/>
  <c r="Q1013" i="2"/>
  <c r="S1013" i="2"/>
  <c r="R1013" i="2"/>
  <c r="AP1013" i="2" s="1"/>
  <c r="S1010" i="2"/>
  <c r="Q1010" i="2"/>
  <c r="R1010" i="2"/>
  <c r="AP1010" i="2" s="1"/>
  <c r="Q1005" i="2"/>
  <c r="S1005" i="2"/>
  <c r="R1005" i="2"/>
  <c r="AP1005" i="2" s="1"/>
  <c r="S1002" i="2"/>
  <c r="Q1002" i="2"/>
  <c r="R1002" i="2"/>
  <c r="AP1002" i="2" s="1"/>
  <c r="Q997" i="2"/>
  <c r="S997" i="2"/>
  <c r="R997" i="2"/>
  <c r="AP997" i="2" s="1"/>
  <c r="S994" i="2"/>
  <c r="Q994" i="2"/>
  <c r="R994" i="2"/>
  <c r="AP994" i="2" s="1"/>
  <c r="Q989" i="2"/>
  <c r="S989" i="2"/>
  <c r="R989" i="2"/>
  <c r="AP989" i="2" s="1"/>
  <c r="S986" i="2"/>
  <c r="Q986" i="2"/>
  <c r="R986" i="2"/>
  <c r="AP986" i="2" s="1"/>
  <c r="Q981" i="2"/>
  <c r="S981" i="2"/>
  <c r="R981" i="2"/>
  <c r="AP981" i="2" s="1"/>
  <c r="S978" i="2"/>
  <c r="Q978" i="2"/>
  <c r="R978" i="2"/>
  <c r="AP978" i="2" s="1"/>
  <c r="Q973" i="2"/>
  <c r="S973" i="2"/>
  <c r="R973" i="2"/>
  <c r="AP973" i="2" s="1"/>
  <c r="S970" i="2"/>
  <c r="Q970" i="2"/>
  <c r="R970" i="2"/>
  <c r="AP970" i="2" s="1"/>
  <c r="Q965" i="2"/>
  <c r="S965" i="2"/>
  <c r="R965" i="2"/>
  <c r="AP965" i="2" s="1"/>
  <c r="S962" i="2"/>
  <c r="Q962" i="2"/>
  <c r="R962" i="2"/>
  <c r="AP962" i="2" s="1"/>
  <c r="Q957" i="2"/>
  <c r="S957" i="2"/>
  <c r="R957" i="2"/>
  <c r="AP957" i="2" s="1"/>
  <c r="S954" i="2"/>
  <c r="Q954" i="2"/>
  <c r="R954" i="2"/>
  <c r="AP954" i="2" s="1"/>
  <c r="Q949" i="2"/>
  <c r="S949" i="2"/>
  <c r="R949" i="2"/>
  <c r="AP949" i="2" s="1"/>
  <c r="S946" i="2"/>
  <c r="Q946" i="2"/>
  <c r="R946" i="2"/>
  <c r="AP946" i="2" s="1"/>
  <c r="Q941" i="2"/>
  <c r="S941" i="2"/>
  <c r="R941" i="2"/>
  <c r="AP941" i="2" s="1"/>
  <c r="S938" i="2"/>
  <c r="Q938" i="2"/>
  <c r="R938" i="2"/>
  <c r="AP938" i="2" s="1"/>
  <c r="Q933" i="2"/>
  <c r="S933" i="2"/>
  <c r="R933" i="2"/>
  <c r="AP933" i="2" s="1"/>
  <c r="Q929" i="2"/>
  <c r="S929" i="2"/>
  <c r="R929" i="2"/>
  <c r="AP929" i="2" s="1"/>
  <c r="Q925" i="2"/>
  <c r="S925" i="2"/>
  <c r="R925" i="2"/>
  <c r="AP925" i="2" s="1"/>
  <c r="Q921" i="2"/>
  <c r="S921" i="2"/>
  <c r="R921" i="2"/>
  <c r="AP921" i="2" s="1"/>
  <c r="Q917" i="2"/>
  <c r="S917" i="2"/>
  <c r="R917" i="2"/>
  <c r="AP917" i="2" s="1"/>
  <c r="Q913" i="2"/>
  <c r="S913" i="2"/>
  <c r="R913" i="2"/>
  <c r="AP913" i="2" s="1"/>
  <c r="Q909" i="2"/>
  <c r="S909" i="2"/>
  <c r="R909" i="2"/>
  <c r="AP909" i="2" s="1"/>
  <c r="Q905" i="2"/>
  <c r="S905" i="2"/>
  <c r="R905" i="2"/>
  <c r="AP905" i="2" s="1"/>
  <c r="Q901" i="2"/>
  <c r="S901" i="2"/>
  <c r="R901" i="2"/>
  <c r="AP901" i="2" s="1"/>
  <c r="Q897" i="2"/>
  <c r="S897" i="2"/>
  <c r="R897" i="2"/>
  <c r="AP897" i="2" s="1"/>
  <c r="Q893" i="2"/>
  <c r="S893" i="2"/>
  <c r="R893" i="2"/>
  <c r="AP893" i="2" s="1"/>
  <c r="Q889" i="2"/>
  <c r="S889" i="2"/>
  <c r="R889" i="2"/>
  <c r="AP889" i="2" s="1"/>
  <c r="AA872" i="2"/>
  <c r="AK872" i="2"/>
  <c r="U872" i="2"/>
  <c r="AF872" i="2"/>
  <c r="AA856" i="2"/>
  <c r="AK856" i="2"/>
  <c r="U856" i="2"/>
  <c r="AF856" i="2"/>
  <c r="AA840" i="2"/>
  <c r="AK840" i="2"/>
  <c r="U840" i="2"/>
  <c r="AF840" i="2"/>
  <c r="AA824" i="2"/>
  <c r="AK824" i="2"/>
  <c r="U824" i="2"/>
  <c r="AF824" i="2"/>
  <c r="AA808" i="2"/>
  <c r="AK808" i="2"/>
  <c r="U808" i="2"/>
  <c r="AF808" i="2"/>
  <c r="AA792" i="2"/>
  <c r="AK792" i="2"/>
  <c r="U792" i="2"/>
  <c r="AF792" i="2"/>
  <c r="AA776" i="2"/>
  <c r="AK776" i="2"/>
  <c r="U776" i="2"/>
  <c r="AF776" i="2"/>
  <c r="AA760" i="2"/>
  <c r="AK760" i="2"/>
  <c r="U760" i="2"/>
  <c r="AF760" i="2"/>
  <c r="AA744" i="2"/>
  <c r="AK744" i="2"/>
  <c r="U744" i="2"/>
  <c r="AF744" i="2"/>
  <c r="AA728" i="2"/>
  <c r="AK728" i="2"/>
  <c r="U728" i="2"/>
  <c r="AF728" i="2"/>
  <c r="AK1043" i="2"/>
  <c r="U1043" i="2"/>
  <c r="AF1043" i="2"/>
  <c r="AA1043" i="2"/>
  <c r="AK722" i="2"/>
  <c r="U722" i="2"/>
  <c r="AF722" i="2"/>
  <c r="AA722" i="2"/>
  <c r="AK718" i="2"/>
  <c r="U718" i="2"/>
  <c r="AF718" i="2"/>
  <c r="AA718" i="2"/>
  <c r="AK714" i="2"/>
  <c r="U714" i="2"/>
  <c r="AF714" i="2"/>
  <c r="AA714" i="2"/>
  <c r="AK710" i="2"/>
  <c r="U710" i="2"/>
  <c r="AF710" i="2"/>
  <c r="AA710" i="2"/>
  <c r="AK706" i="2"/>
  <c r="U706" i="2"/>
  <c r="AF706" i="2"/>
  <c r="AA706" i="2"/>
  <c r="AK702" i="2"/>
  <c r="U702" i="2"/>
  <c r="AF702" i="2"/>
  <c r="AA702" i="2"/>
  <c r="AK698" i="2"/>
  <c r="U698" i="2"/>
  <c r="AF698" i="2"/>
  <c r="AA698" i="2"/>
  <c r="AK694" i="2"/>
  <c r="U694" i="2"/>
  <c r="AF694" i="2"/>
  <c r="AA694" i="2"/>
  <c r="AK690" i="2"/>
  <c r="U690" i="2"/>
  <c r="AF690" i="2"/>
  <c r="AA690" i="2"/>
  <c r="AK686" i="2"/>
  <c r="U686" i="2"/>
  <c r="AF686" i="2"/>
  <c r="AA686" i="2"/>
  <c r="AK682" i="2"/>
  <c r="U682" i="2"/>
  <c r="AF682" i="2"/>
  <c r="AA682" i="2"/>
  <c r="AK678" i="2"/>
  <c r="U678" i="2"/>
  <c r="AF678" i="2"/>
  <c r="AA678" i="2"/>
  <c r="AK674" i="2"/>
  <c r="U674" i="2"/>
  <c r="AF674" i="2"/>
  <c r="AA674" i="2"/>
  <c r="AK670" i="2"/>
  <c r="U670" i="2"/>
  <c r="AF670" i="2"/>
  <c r="AA670" i="2"/>
  <c r="AK666" i="2"/>
  <c r="U666" i="2"/>
  <c r="AF666" i="2"/>
  <c r="AA666" i="2"/>
  <c r="AK662" i="2"/>
  <c r="U662" i="2"/>
  <c r="AF662" i="2"/>
  <c r="AA662" i="2"/>
  <c r="AK658" i="2"/>
  <c r="U658" i="2"/>
  <c r="AF658" i="2"/>
  <c r="AA658" i="2"/>
  <c r="AK654" i="2"/>
  <c r="U654" i="2"/>
  <c r="AF654" i="2"/>
  <c r="AA654" i="2"/>
  <c r="AK650" i="2"/>
  <c r="U650" i="2"/>
  <c r="AF650" i="2"/>
  <c r="AA650" i="2"/>
  <c r="AK646" i="2"/>
  <c r="U646" i="2"/>
  <c r="AF646" i="2"/>
  <c r="AA646" i="2"/>
  <c r="AK642" i="2"/>
  <c r="U642" i="2"/>
  <c r="AF642" i="2"/>
  <c r="AA642" i="2"/>
  <c r="AK638" i="2"/>
  <c r="U638" i="2"/>
  <c r="AF638" i="2"/>
  <c r="AA638" i="2"/>
  <c r="AK634" i="2"/>
  <c r="U634" i="2"/>
  <c r="AF634" i="2"/>
  <c r="AA634" i="2"/>
  <c r="AK630" i="2"/>
  <c r="U630" i="2"/>
  <c r="AF630" i="2"/>
  <c r="AA630" i="2"/>
  <c r="AK626" i="2"/>
  <c r="U626" i="2"/>
  <c r="AF626" i="2"/>
  <c r="AA626" i="2"/>
  <c r="AK622" i="2"/>
  <c r="U622" i="2"/>
  <c r="AF622" i="2"/>
  <c r="AA622" i="2"/>
  <c r="Q1047" i="2"/>
  <c r="S1047" i="2"/>
  <c r="R1047" i="2"/>
  <c r="AP1047" i="2" s="1"/>
  <c r="S872" i="2"/>
  <c r="Q872" i="2"/>
  <c r="R872" i="2"/>
  <c r="AP872" i="2" s="1"/>
  <c r="S856" i="2"/>
  <c r="Q856" i="2"/>
  <c r="R856" i="2"/>
  <c r="AP856" i="2" s="1"/>
  <c r="S840" i="2"/>
  <c r="Q840" i="2"/>
  <c r="R840" i="2"/>
  <c r="AP840" i="2" s="1"/>
  <c r="S824" i="2"/>
  <c r="Q824" i="2"/>
  <c r="R824" i="2"/>
  <c r="AP824" i="2" s="1"/>
  <c r="S808" i="2"/>
  <c r="Q808" i="2"/>
  <c r="R808" i="2"/>
  <c r="AP808" i="2" s="1"/>
  <c r="S792" i="2"/>
  <c r="Q792" i="2"/>
  <c r="R792" i="2"/>
  <c r="AP792" i="2" s="1"/>
  <c r="S776" i="2"/>
  <c r="Q776" i="2"/>
  <c r="R776" i="2"/>
  <c r="AP776" i="2" s="1"/>
  <c r="S760" i="2"/>
  <c r="Q760" i="2"/>
  <c r="R760" i="2"/>
  <c r="AP760" i="2" s="1"/>
  <c r="S744" i="2"/>
  <c r="Q744" i="2"/>
  <c r="R744" i="2"/>
  <c r="AP744" i="2" s="1"/>
  <c r="S728" i="2"/>
  <c r="Q728" i="2"/>
  <c r="R728" i="2"/>
  <c r="AP728" i="2" s="1"/>
  <c r="AK1136" i="2"/>
  <c r="U1136" i="2"/>
  <c r="AA1136" i="2"/>
  <c r="AF1136" i="2"/>
  <c r="AK1128" i="2"/>
  <c r="U1128" i="2"/>
  <c r="AA1128" i="2"/>
  <c r="AF1128" i="2"/>
  <c r="AK1120" i="2"/>
  <c r="U1120" i="2"/>
  <c r="AA1120" i="2"/>
  <c r="AF1120" i="2"/>
  <c r="AK1112" i="2"/>
  <c r="U1112" i="2"/>
  <c r="AA1112" i="2"/>
  <c r="AF1112" i="2"/>
  <c r="AK1104" i="2"/>
  <c r="U1104" i="2"/>
  <c r="AA1104" i="2"/>
  <c r="AF1104" i="2"/>
  <c r="AK1096" i="2"/>
  <c r="U1096" i="2"/>
  <c r="AA1096" i="2"/>
  <c r="AF1096" i="2"/>
  <c r="AK1088" i="2"/>
  <c r="U1088" i="2"/>
  <c r="AA1088" i="2"/>
  <c r="AF1088" i="2"/>
  <c r="AK1080" i="2"/>
  <c r="U1080" i="2"/>
  <c r="AA1080" i="2"/>
  <c r="AF1080" i="2"/>
  <c r="AK1072" i="2"/>
  <c r="U1072" i="2"/>
  <c r="AA1072" i="2"/>
  <c r="AF1072" i="2"/>
  <c r="AK1064" i="2"/>
  <c r="U1064" i="2"/>
  <c r="AA1064" i="2"/>
  <c r="AF1064" i="2"/>
  <c r="AK1056" i="2"/>
  <c r="U1056" i="2"/>
  <c r="AA1056" i="2"/>
  <c r="AF1056" i="2"/>
  <c r="AK1041" i="2"/>
  <c r="U1041" i="2"/>
  <c r="AF1041" i="2"/>
  <c r="AA1041" i="2"/>
  <c r="AK885" i="2"/>
  <c r="U885" i="2"/>
  <c r="AA885" i="2"/>
  <c r="AF885" i="2"/>
  <c r="AK869" i="2"/>
  <c r="U869" i="2"/>
  <c r="AA869" i="2"/>
  <c r="AF869" i="2"/>
  <c r="AK853" i="2"/>
  <c r="U853" i="2"/>
  <c r="AA853" i="2"/>
  <c r="AF853" i="2"/>
  <c r="AK837" i="2"/>
  <c r="U837" i="2"/>
  <c r="AA837" i="2"/>
  <c r="AF837" i="2"/>
  <c r="AK821" i="2"/>
  <c r="U821" i="2"/>
  <c r="AA821" i="2"/>
  <c r="AF821" i="2"/>
  <c r="AK805" i="2"/>
  <c r="U805" i="2"/>
  <c r="AA805" i="2"/>
  <c r="AF805" i="2"/>
  <c r="AK789" i="2"/>
  <c r="U789" i="2"/>
  <c r="AA789" i="2"/>
  <c r="AF789" i="2"/>
  <c r="AK773" i="2"/>
  <c r="U773" i="2"/>
  <c r="AA773" i="2"/>
  <c r="AF773" i="2"/>
  <c r="AK757" i="2"/>
  <c r="U757" i="2"/>
  <c r="AA757" i="2"/>
  <c r="AF757" i="2"/>
  <c r="AK741" i="2"/>
  <c r="U741" i="2"/>
  <c r="AA741" i="2"/>
  <c r="AF741" i="2"/>
  <c r="S619" i="2"/>
  <c r="R619" i="2"/>
  <c r="AP619" i="2" s="1"/>
  <c r="Q619" i="2"/>
  <c r="AA617" i="2"/>
  <c r="AK617" i="2"/>
  <c r="U617" i="2"/>
  <c r="AF617" i="2"/>
  <c r="AA615" i="2"/>
  <c r="AK615" i="2"/>
  <c r="U615" i="2"/>
  <c r="AF615" i="2"/>
  <c r="AA613" i="2"/>
  <c r="AK613" i="2"/>
  <c r="U613" i="2"/>
  <c r="AF613" i="2"/>
  <c r="AA611" i="2"/>
  <c r="AK611" i="2"/>
  <c r="U611" i="2"/>
  <c r="AF611" i="2"/>
  <c r="AA609" i="2"/>
  <c r="AK609" i="2"/>
  <c r="U609" i="2"/>
  <c r="AF609" i="2"/>
  <c r="AA607" i="2"/>
  <c r="AK607" i="2"/>
  <c r="U607" i="2"/>
  <c r="AF607" i="2"/>
  <c r="AA605" i="2"/>
  <c r="AK605" i="2"/>
  <c r="U605" i="2"/>
  <c r="AF605" i="2"/>
  <c r="AA603" i="2"/>
  <c r="AK603" i="2"/>
  <c r="U603" i="2"/>
  <c r="AF603" i="2"/>
  <c r="AA601" i="2"/>
  <c r="AK601" i="2"/>
  <c r="U601" i="2"/>
  <c r="AF601" i="2"/>
  <c r="AA599" i="2"/>
  <c r="AK599" i="2"/>
  <c r="U599" i="2"/>
  <c r="AF599" i="2"/>
  <c r="AA597" i="2"/>
  <c r="AK597" i="2"/>
  <c r="U597" i="2"/>
  <c r="AF597" i="2"/>
  <c r="AA595" i="2"/>
  <c r="AK595" i="2"/>
  <c r="U595" i="2"/>
  <c r="AF595" i="2"/>
  <c r="AA593" i="2"/>
  <c r="AK593" i="2"/>
  <c r="U593" i="2"/>
  <c r="AF593" i="2"/>
  <c r="AA591" i="2"/>
  <c r="AK591" i="2"/>
  <c r="U591" i="2"/>
  <c r="AF591" i="2"/>
  <c r="AA589" i="2"/>
  <c r="AK589" i="2"/>
  <c r="U589" i="2"/>
  <c r="AF589" i="2"/>
  <c r="AA587" i="2"/>
  <c r="AK587" i="2"/>
  <c r="U587" i="2"/>
  <c r="AF587" i="2"/>
  <c r="AA585" i="2"/>
  <c r="AK585" i="2"/>
  <c r="U585" i="2"/>
  <c r="AF585" i="2"/>
  <c r="AA583" i="2"/>
  <c r="AK583" i="2"/>
  <c r="U583" i="2"/>
  <c r="AF583" i="2"/>
  <c r="AA581" i="2"/>
  <c r="AK581" i="2"/>
  <c r="U581" i="2"/>
  <c r="AF581" i="2"/>
  <c r="AA579" i="2"/>
  <c r="AK579" i="2"/>
  <c r="U579" i="2"/>
  <c r="AF579" i="2"/>
  <c r="AA577" i="2"/>
  <c r="AK577" i="2"/>
  <c r="U577" i="2"/>
  <c r="AF577" i="2"/>
  <c r="AA575" i="2"/>
  <c r="AK575" i="2"/>
  <c r="U575" i="2"/>
  <c r="AF575" i="2"/>
  <c r="AA573" i="2"/>
  <c r="AK573" i="2"/>
  <c r="U573" i="2"/>
  <c r="AF573" i="2"/>
  <c r="AA571" i="2"/>
  <c r="AK571" i="2"/>
  <c r="U571" i="2"/>
  <c r="AF571" i="2"/>
  <c r="AA569" i="2"/>
  <c r="AK569" i="2"/>
  <c r="U569" i="2"/>
  <c r="AF569" i="2"/>
  <c r="AA567" i="2"/>
  <c r="AK567" i="2"/>
  <c r="U567" i="2"/>
  <c r="AF567" i="2"/>
  <c r="AA565" i="2"/>
  <c r="AK565" i="2"/>
  <c r="U565" i="2"/>
  <c r="AF565" i="2"/>
  <c r="AA563" i="2"/>
  <c r="AK563" i="2"/>
  <c r="U563" i="2"/>
  <c r="AF563" i="2"/>
  <c r="AA561" i="2"/>
  <c r="AK561" i="2"/>
  <c r="U561" i="2"/>
  <c r="AF561" i="2"/>
  <c r="AA559" i="2"/>
  <c r="AK559" i="2"/>
  <c r="U559" i="2"/>
  <c r="AF559" i="2"/>
  <c r="AA557" i="2"/>
  <c r="AK557" i="2"/>
  <c r="U557" i="2"/>
  <c r="AF557" i="2"/>
  <c r="AK545" i="2"/>
  <c r="U545" i="2"/>
  <c r="AF545" i="2"/>
  <c r="AA545" i="2"/>
  <c r="AF530" i="2"/>
  <c r="AA530" i="2"/>
  <c r="AK530" i="2"/>
  <c r="U530" i="2"/>
  <c r="AK513" i="2"/>
  <c r="U513" i="2"/>
  <c r="AF513" i="2"/>
  <c r="AA513" i="2"/>
  <c r="Q501" i="2"/>
  <c r="S501" i="2"/>
  <c r="R501" i="2"/>
  <c r="AP501" i="2" s="1"/>
  <c r="AK494" i="2"/>
  <c r="AF494" i="2"/>
  <c r="AA494" i="2"/>
  <c r="U494" i="2"/>
  <c r="V492" i="2"/>
  <c r="AK478" i="2"/>
  <c r="AF478" i="2"/>
  <c r="AA478" i="2"/>
  <c r="U478" i="2"/>
  <c r="V476" i="2"/>
  <c r="AK462" i="2"/>
  <c r="AF462" i="2"/>
  <c r="AA462" i="2"/>
  <c r="U462" i="2"/>
  <c r="AK446" i="2"/>
  <c r="AF446" i="2"/>
  <c r="AA446" i="2"/>
  <c r="U446" i="2"/>
  <c r="AK430" i="2"/>
  <c r="AF430" i="2"/>
  <c r="AA430" i="2"/>
  <c r="U430" i="2"/>
  <c r="AK414" i="2"/>
  <c r="AF414" i="2"/>
  <c r="AA414" i="2"/>
  <c r="U414" i="2"/>
  <c r="S405" i="2"/>
  <c r="R405" i="2"/>
  <c r="AP405" i="2" s="1"/>
  <c r="Q405" i="2"/>
  <c r="AK398" i="2"/>
  <c r="AF398" i="2"/>
  <c r="AA398" i="2"/>
  <c r="U398" i="2"/>
  <c r="AL396" i="2"/>
  <c r="V396" i="2"/>
  <c r="AG396" i="2"/>
  <c r="AB396" i="2"/>
  <c r="S373" i="2"/>
  <c r="R373" i="2"/>
  <c r="AP373" i="2" s="1"/>
  <c r="Q373" i="2"/>
  <c r="AK366" i="2"/>
  <c r="AF366" i="2"/>
  <c r="AA366" i="2"/>
  <c r="U366" i="2"/>
  <c r="S341" i="2"/>
  <c r="R341" i="2"/>
  <c r="AP341" i="2" s="1"/>
  <c r="Q341" i="2"/>
  <c r="AK334" i="2"/>
  <c r="AF334" i="2"/>
  <c r="AA334" i="2"/>
  <c r="U334" i="2"/>
  <c r="S317" i="2"/>
  <c r="R317" i="2"/>
  <c r="AP317" i="2" s="1"/>
  <c r="Q317" i="2"/>
  <c r="AF294" i="2"/>
  <c r="AA294" i="2"/>
  <c r="U294" i="2"/>
  <c r="AK294" i="2"/>
  <c r="S285" i="2"/>
  <c r="R285" i="2"/>
  <c r="AP285" i="2" s="1"/>
  <c r="Q285" i="2"/>
  <c r="AF262" i="2"/>
  <c r="AA262" i="2"/>
  <c r="U262" i="2"/>
  <c r="AK262" i="2"/>
  <c r="S253" i="2"/>
  <c r="R253" i="2"/>
  <c r="AP253" i="2" s="1"/>
  <c r="Q253" i="2"/>
  <c r="AF230" i="2"/>
  <c r="AA230" i="2"/>
  <c r="U230" i="2"/>
  <c r="AK230" i="2"/>
  <c r="S221" i="2"/>
  <c r="R221" i="2"/>
  <c r="AP221" i="2" s="1"/>
  <c r="Q221" i="2"/>
  <c r="G197" i="4"/>
  <c r="R197" i="2"/>
  <c r="AP197" i="2" s="1"/>
  <c r="S197" i="2"/>
  <c r="Q197" i="2"/>
  <c r="G165" i="4"/>
  <c r="R165" i="2"/>
  <c r="AP165" i="2" s="1"/>
  <c r="S165" i="2"/>
  <c r="Q165" i="2"/>
  <c r="G133" i="4"/>
  <c r="R133" i="2"/>
  <c r="AP133" i="2" s="1"/>
  <c r="S133" i="2"/>
  <c r="Q133" i="2"/>
  <c r="G101" i="4"/>
  <c r="R101" i="2"/>
  <c r="AP101" i="2" s="1"/>
  <c r="S101" i="2"/>
  <c r="Q101" i="2"/>
  <c r="G69" i="4"/>
  <c r="S69" i="2"/>
  <c r="R69" i="2"/>
  <c r="AP69" i="2" s="1"/>
  <c r="Q69" i="2"/>
  <c r="G37" i="4"/>
  <c r="S37" i="2"/>
  <c r="R37" i="2"/>
  <c r="AP37" i="2" s="1"/>
  <c r="Q37" i="2"/>
  <c r="G5" i="4"/>
  <c r="S5" i="2"/>
  <c r="R5" i="2"/>
  <c r="AP5" i="2" s="1"/>
  <c r="Q5" i="2"/>
  <c r="AA932" i="2"/>
  <c r="AK932" i="2"/>
  <c r="U932" i="2"/>
  <c r="AF932" i="2"/>
  <c r="AA928" i="2"/>
  <c r="AK928" i="2"/>
  <c r="U928" i="2"/>
  <c r="AF928" i="2"/>
  <c r="AA924" i="2"/>
  <c r="AK924" i="2"/>
  <c r="U924" i="2"/>
  <c r="AF924" i="2"/>
  <c r="AA920" i="2"/>
  <c r="AK920" i="2"/>
  <c r="U920" i="2"/>
  <c r="AF920" i="2"/>
  <c r="AA916" i="2"/>
  <c r="AK916" i="2"/>
  <c r="U916" i="2"/>
  <c r="AF916" i="2"/>
  <c r="AA912" i="2"/>
  <c r="AK912" i="2"/>
  <c r="U912" i="2"/>
  <c r="AF912" i="2"/>
  <c r="AA908" i="2"/>
  <c r="AK908" i="2"/>
  <c r="U908" i="2"/>
  <c r="AF908" i="2"/>
  <c r="AA904" i="2"/>
  <c r="AK904" i="2"/>
  <c r="U904" i="2"/>
  <c r="AF904" i="2"/>
  <c r="AA900" i="2"/>
  <c r="AK900" i="2"/>
  <c r="U900" i="2"/>
  <c r="AF900" i="2"/>
  <c r="AA896" i="2"/>
  <c r="AK896" i="2"/>
  <c r="U896" i="2"/>
  <c r="AF896" i="2"/>
  <c r="AA892" i="2"/>
  <c r="AK892" i="2"/>
  <c r="U892" i="2"/>
  <c r="AF892" i="2"/>
  <c r="AA888" i="2"/>
  <c r="AK888" i="2"/>
  <c r="U888" i="2"/>
  <c r="AF888" i="2"/>
  <c r="AK879" i="2"/>
  <c r="U879" i="2"/>
  <c r="AA879" i="2"/>
  <c r="AF879" i="2"/>
  <c r="AK863" i="2"/>
  <c r="U863" i="2"/>
  <c r="AA863" i="2"/>
  <c r="AF863" i="2"/>
  <c r="AK847" i="2"/>
  <c r="U847" i="2"/>
  <c r="AA847" i="2"/>
  <c r="AF847" i="2"/>
  <c r="AK831" i="2"/>
  <c r="U831" i="2"/>
  <c r="AA831" i="2"/>
  <c r="AF831" i="2"/>
  <c r="AK815" i="2"/>
  <c r="U815" i="2"/>
  <c r="AA815" i="2"/>
  <c r="AF815" i="2"/>
  <c r="AK799" i="2"/>
  <c r="U799" i="2"/>
  <c r="AA799" i="2"/>
  <c r="AF799" i="2"/>
  <c r="AK783" i="2"/>
  <c r="U783" i="2"/>
  <c r="AA783" i="2"/>
  <c r="AF783" i="2"/>
  <c r="AK767" i="2"/>
  <c r="U767" i="2"/>
  <c r="AA767" i="2"/>
  <c r="AF767" i="2"/>
  <c r="AK751" i="2"/>
  <c r="U751" i="2"/>
  <c r="AA751" i="2"/>
  <c r="AF751" i="2"/>
  <c r="AK735" i="2"/>
  <c r="U735" i="2"/>
  <c r="AA735" i="2"/>
  <c r="AF735" i="2"/>
  <c r="AF544" i="2"/>
  <c r="AA544" i="2"/>
  <c r="AK544" i="2"/>
  <c r="U544" i="2"/>
  <c r="AK527" i="2"/>
  <c r="U527" i="2"/>
  <c r="AF527" i="2"/>
  <c r="AA527" i="2"/>
  <c r="AF512" i="2"/>
  <c r="AA512" i="2"/>
  <c r="AK512" i="2"/>
  <c r="U512" i="2"/>
  <c r="AK503" i="2"/>
  <c r="U503" i="2"/>
  <c r="AF503" i="2"/>
  <c r="AA503" i="2"/>
  <c r="AK499" i="2"/>
  <c r="U499" i="2"/>
  <c r="AF499" i="2"/>
  <c r="AA499" i="2"/>
  <c r="AK495" i="2"/>
  <c r="U495" i="2"/>
  <c r="AF495" i="2"/>
  <c r="AA495" i="2"/>
  <c r="AF485" i="2"/>
  <c r="AK485" i="2"/>
  <c r="U485" i="2"/>
  <c r="AA485" i="2"/>
  <c r="AF469" i="2"/>
  <c r="AK469" i="2"/>
  <c r="U469" i="2"/>
  <c r="AA469" i="2"/>
  <c r="AF453" i="2"/>
  <c r="AK453" i="2"/>
  <c r="U453" i="2"/>
  <c r="AA453" i="2"/>
  <c r="AF437" i="2"/>
  <c r="AK437" i="2"/>
  <c r="U437" i="2"/>
  <c r="AA437" i="2"/>
  <c r="AF421" i="2"/>
  <c r="AK421" i="2"/>
  <c r="U421" i="2"/>
  <c r="AA421" i="2"/>
  <c r="AF405" i="2"/>
  <c r="AK405" i="2"/>
  <c r="U405" i="2"/>
  <c r="AA405" i="2"/>
  <c r="AF397" i="2"/>
  <c r="AK397" i="2"/>
  <c r="U397" i="2"/>
  <c r="AA397" i="2"/>
  <c r="AF389" i="2"/>
  <c r="AK389" i="2"/>
  <c r="U389" i="2"/>
  <c r="AA389" i="2"/>
  <c r="AF381" i="2"/>
  <c r="AK381" i="2"/>
  <c r="U381" i="2"/>
  <c r="AA381" i="2"/>
  <c r="AF373" i="2"/>
  <c r="AK373" i="2"/>
  <c r="U373" i="2"/>
  <c r="AA373" i="2"/>
  <c r="AF365" i="2"/>
  <c r="AK365" i="2"/>
  <c r="U365" i="2"/>
  <c r="AA365" i="2"/>
  <c r="AF357" i="2"/>
  <c r="AK357" i="2"/>
  <c r="U357" i="2"/>
  <c r="AA357" i="2"/>
  <c r="AF349" i="2"/>
  <c r="AK349" i="2"/>
  <c r="U349" i="2"/>
  <c r="AA349" i="2"/>
  <c r="AF341" i="2"/>
  <c r="AK341" i="2"/>
  <c r="U341" i="2"/>
  <c r="AA341" i="2"/>
  <c r="AF333" i="2"/>
  <c r="AK333" i="2"/>
  <c r="U333" i="2"/>
  <c r="AA333" i="2"/>
  <c r="AF325" i="2"/>
  <c r="AK325" i="2"/>
  <c r="U325" i="2"/>
  <c r="AA325" i="2"/>
  <c r="Q307" i="2"/>
  <c r="S307" i="2"/>
  <c r="R307" i="2"/>
  <c r="AP307" i="2" s="1"/>
  <c r="AF293" i="2"/>
  <c r="AK293" i="2"/>
  <c r="U293" i="2"/>
  <c r="AA293" i="2"/>
  <c r="Q275" i="2"/>
  <c r="S275" i="2"/>
  <c r="R275" i="2"/>
  <c r="AP275" i="2" s="1"/>
  <c r="AF261" i="2"/>
  <c r="AK261" i="2"/>
  <c r="U261" i="2"/>
  <c r="AA261" i="2"/>
  <c r="Q243" i="2"/>
  <c r="S243" i="2"/>
  <c r="R243" i="2"/>
  <c r="AP243" i="2" s="1"/>
  <c r="AF229" i="2"/>
  <c r="AK229" i="2"/>
  <c r="U229" i="2"/>
  <c r="AA229" i="2"/>
  <c r="AA882" i="2"/>
  <c r="AK882" i="2"/>
  <c r="U882" i="2"/>
  <c r="AF882" i="2"/>
  <c r="AA866" i="2"/>
  <c r="AK866" i="2"/>
  <c r="U866" i="2"/>
  <c r="AF866" i="2"/>
  <c r="AA850" i="2"/>
  <c r="AK850" i="2"/>
  <c r="U850" i="2"/>
  <c r="AF850" i="2"/>
  <c r="AA834" i="2"/>
  <c r="AK834" i="2"/>
  <c r="U834" i="2"/>
  <c r="AF834" i="2"/>
  <c r="AA818" i="2"/>
  <c r="AK818" i="2"/>
  <c r="U818" i="2"/>
  <c r="AF818" i="2"/>
  <c r="AA802" i="2"/>
  <c r="AK802" i="2"/>
  <c r="U802" i="2"/>
  <c r="AF802" i="2"/>
  <c r="AA786" i="2"/>
  <c r="AK786" i="2"/>
  <c r="U786" i="2"/>
  <c r="AF786" i="2"/>
  <c r="AA770" i="2"/>
  <c r="AK770" i="2"/>
  <c r="U770" i="2"/>
  <c r="AF770" i="2"/>
  <c r="AA754" i="2"/>
  <c r="AK754" i="2"/>
  <c r="U754" i="2"/>
  <c r="AF754" i="2"/>
  <c r="AA738" i="2"/>
  <c r="AK738" i="2"/>
  <c r="U738" i="2"/>
  <c r="AF738" i="2"/>
  <c r="R547" i="2"/>
  <c r="AP547" i="2" s="1"/>
  <c r="Q547" i="2"/>
  <c r="S547" i="2"/>
  <c r="AK541" i="2"/>
  <c r="U541" i="2"/>
  <c r="AF541" i="2"/>
  <c r="AA541" i="2"/>
  <c r="AF526" i="2"/>
  <c r="AA526" i="2"/>
  <c r="AK526" i="2"/>
  <c r="U526" i="2"/>
  <c r="S524" i="2"/>
  <c r="R524" i="2"/>
  <c r="AP524" i="2" s="1"/>
  <c r="Q524" i="2"/>
  <c r="R515" i="2"/>
  <c r="AP515" i="2" s="1"/>
  <c r="Q515" i="2"/>
  <c r="S515" i="2"/>
  <c r="AK509" i="2"/>
  <c r="U509" i="2"/>
  <c r="AF509" i="2"/>
  <c r="AA509" i="2"/>
  <c r="R488" i="2"/>
  <c r="AP488" i="2" s="1"/>
  <c r="S488" i="2"/>
  <c r="Q488" i="2"/>
  <c r="AF483" i="2"/>
  <c r="AA483" i="2"/>
  <c r="AK483" i="2"/>
  <c r="U483" i="2"/>
  <c r="R465" i="2"/>
  <c r="AP465" i="2" s="1"/>
  <c r="Q465" i="2"/>
  <c r="S465" i="2"/>
  <c r="R456" i="2"/>
  <c r="AP456" i="2" s="1"/>
  <c r="S456" i="2"/>
  <c r="Q456" i="2"/>
  <c r="AF451" i="2"/>
  <c r="AA451" i="2"/>
  <c r="AK451" i="2"/>
  <c r="U451" i="2"/>
  <c r="R433" i="2"/>
  <c r="AP433" i="2" s="1"/>
  <c r="Q433" i="2"/>
  <c r="S433" i="2"/>
  <c r="R424" i="2"/>
  <c r="AP424" i="2" s="1"/>
  <c r="S424" i="2"/>
  <c r="Q424" i="2"/>
  <c r="AF419" i="2"/>
  <c r="AA419" i="2"/>
  <c r="AK419" i="2"/>
  <c r="U419" i="2"/>
  <c r="R297" i="2"/>
  <c r="AP297" i="2" s="1"/>
  <c r="Q297" i="2"/>
  <c r="S297" i="2"/>
  <c r="R265" i="2"/>
  <c r="AP265" i="2" s="1"/>
  <c r="Q265" i="2"/>
  <c r="S265" i="2"/>
  <c r="R233" i="2"/>
  <c r="AP233" i="2" s="1"/>
  <c r="Q233" i="2"/>
  <c r="S233" i="2"/>
  <c r="G201" i="4"/>
  <c r="R201" i="2"/>
  <c r="AP201" i="2" s="1"/>
  <c r="S201" i="2"/>
  <c r="Q201" i="2"/>
  <c r="G169" i="4"/>
  <c r="R169" i="2"/>
  <c r="AP169" i="2" s="1"/>
  <c r="S169" i="2"/>
  <c r="Q169" i="2"/>
  <c r="G137" i="4"/>
  <c r="R137" i="2"/>
  <c r="AP137" i="2" s="1"/>
  <c r="S137" i="2"/>
  <c r="Q137" i="2"/>
  <c r="G105" i="4"/>
  <c r="R105" i="2"/>
  <c r="AP105" i="2" s="1"/>
  <c r="S105" i="2"/>
  <c r="Q105" i="2"/>
  <c r="S554" i="2"/>
  <c r="R554" i="2"/>
  <c r="AP554" i="2" s="1"/>
  <c r="Q554" i="2"/>
  <c r="AF548" i="2"/>
  <c r="AA548" i="2"/>
  <c r="AK548" i="2"/>
  <c r="U548" i="2"/>
  <c r="S546" i="2"/>
  <c r="R546" i="2"/>
  <c r="AP546" i="2" s="1"/>
  <c r="Q546" i="2"/>
  <c r="AF540" i="2"/>
  <c r="AA540" i="2"/>
  <c r="AK540" i="2"/>
  <c r="U540" i="2"/>
  <c r="S538" i="2"/>
  <c r="R538" i="2"/>
  <c r="AP538" i="2" s="1"/>
  <c r="Q538" i="2"/>
  <c r="AF532" i="2"/>
  <c r="AA532" i="2"/>
  <c r="AK532" i="2"/>
  <c r="U532" i="2"/>
  <c r="S530" i="2"/>
  <c r="R530" i="2"/>
  <c r="AP530" i="2" s="1"/>
  <c r="Q530" i="2"/>
  <c r="AF524" i="2"/>
  <c r="AA524" i="2"/>
  <c r="AK524" i="2"/>
  <c r="U524" i="2"/>
  <c r="S522" i="2"/>
  <c r="R522" i="2"/>
  <c r="AP522" i="2" s="1"/>
  <c r="Q522" i="2"/>
  <c r="AF516" i="2"/>
  <c r="AA516" i="2"/>
  <c r="AK516" i="2"/>
  <c r="U516" i="2"/>
  <c r="S514" i="2"/>
  <c r="R514" i="2"/>
  <c r="AP514" i="2" s="1"/>
  <c r="Q514" i="2"/>
  <c r="AF508" i="2"/>
  <c r="AA508" i="2"/>
  <c r="AK508" i="2"/>
  <c r="U508" i="2"/>
  <c r="AK480" i="2"/>
  <c r="AF480" i="2"/>
  <c r="AA480" i="2"/>
  <c r="U480" i="2"/>
  <c r="AK450" i="2"/>
  <c r="AF450" i="2"/>
  <c r="AA450" i="2"/>
  <c r="U450" i="2"/>
  <c r="AK316" i="2"/>
  <c r="AF316" i="2"/>
  <c r="AA316" i="2"/>
  <c r="U316" i="2"/>
  <c r="AF307" i="2"/>
  <c r="AA307" i="2"/>
  <c r="AK307" i="2"/>
  <c r="U307" i="2"/>
  <c r="AK282" i="2"/>
  <c r="AF282" i="2"/>
  <c r="AA282" i="2"/>
  <c r="U282" i="2"/>
  <c r="AK268" i="2"/>
  <c r="AF268" i="2"/>
  <c r="AA268" i="2"/>
  <c r="U268" i="2"/>
  <c r="S255" i="2"/>
  <c r="R255" i="2"/>
  <c r="AP255" i="2" s="1"/>
  <c r="Q255" i="2"/>
  <c r="AF249" i="2"/>
  <c r="AA249" i="2"/>
  <c r="AK249" i="2"/>
  <c r="U249" i="2"/>
  <c r="AF243" i="2"/>
  <c r="AA243" i="2"/>
  <c r="AK243" i="2"/>
  <c r="U243" i="2"/>
  <c r="AK218" i="2"/>
  <c r="AF218" i="2"/>
  <c r="AA218" i="2"/>
  <c r="U218" i="2"/>
  <c r="G199" i="4"/>
  <c r="S199" i="2"/>
  <c r="Q199" i="2"/>
  <c r="R199" i="2"/>
  <c r="AP199" i="2" s="1"/>
  <c r="AF187" i="2"/>
  <c r="AA187" i="2"/>
  <c r="U187" i="2"/>
  <c r="AK187" i="2"/>
  <c r="G183" i="4"/>
  <c r="S183" i="2"/>
  <c r="Q183" i="2"/>
  <c r="R183" i="2"/>
  <c r="AP183" i="2" s="1"/>
  <c r="AF171" i="2"/>
  <c r="AA171" i="2"/>
  <c r="U171" i="2"/>
  <c r="AK171" i="2"/>
  <c r="G167" i="4"/>
  <c r="S167" i="2"/>
  <c r="Q167" i="2"/>
  <c r="R167" i="2"/>
  <c r="AP167" i="2" s="1"/>
  <c r="AF155" i="2"/>
  <c r="AA155" i="2"/>
  <c r="U155" i="2"/>
  <c r="AK155" i="2"/>
  <c r="G151" i="4"/>
  <c r="S151" i="2"/>
  <c r="Q151" i="2"/>
  <c r="R151" i="2"/>
  <c r="AP151" i="2" s="1"/>
  <c r="AF139" i="2"/>
  <c r="AA139" i="2"/>
  <c r="U139" i="2"/>
  <c r="AK139" i="2"/>
  <c r="G135" i="4"/>
  <c r="S135" i="2"/>
  <c r="Q135" i="2"/>
  <c r="R135" i="2"/>
  <c r="AP135" i="2" s="1"/>
  <c r="AF123" i="2"/>
  <c r="AA123" i="2"/>
  <c r="U123" i="2"/>
  <c r="AK123" i="2"/>
  <c r="G119" i="4"/>
  <c r="S119" i="2"/>
  <c r="Q119" i="2"/>
  <c r="R119" i="2"/>
  <c r="AP119" i="2" s="1"/>
  <c r="AF107" i="2"/>
  <c r="AA107" i="2"/>
  <c r="U107" i="2"/>
  <c r="AK107" i="2"/>
  <c r="G103" i="4"/>
  <c r="S103" i="2"/>
  <c r="Q103" i="2"/>
  <c r="R103" i="2"/>
  <c r="AP103" i="2" s="1"/>
  <c r="AF95" i="2"/>
  <c r="AA95" i="2"/>
  <c r="U95" i="2"/>
  <c r="AK95" i="2"/>
  <c r="AF73" i="2"/>
  <c r="AA73" i="2"/>
  <c r="U73" i="2"/>
  <c r="AK73" i="2"/>
  <c r="G71" i="4"/>
  <c r="S71" i="2"/>
  <c r="R71" i="2"/>
  <c r="AP71" i="2" s="1"/>
  <c r="Q71" i="2"/>
  <c r="AF63" i="2"/>
  <c r="AA63" i="2"/>
  <c r="U63" i="2"/>
  <c r="AK63" i="2"/>
  <c r="AF41" i="2"/>
  <c r="AA41" i="2"/>
  <c r="U41" i="2"/>
  <c r="AK41" i="2"/>
  <c r="G39" i="4"/>
  <c r="S39" i="2"/>
  <c r="R39" i="2"/>
  <c r="AP39" i="2" s="1"/>
  <c r="Q39" i="2"/>
  <c r="AF31" i="2"/>
  <c r="AA31" i="2"/>
  <c r="U31" i="2"/>
  <c r="AK31" i="2"/>
  <c r="AF473" i="2"/>
  <c r="AA473" i="2"/>
  <c r="AK473" i="2"/>
  <c r="U473" i="2"/>
  <c r="AF447" i="2"/>
  <c r="AA447" i="2"/>
  <c r="AK447" i="2"/>
  <c r="U447" i="2"/>
  <c r="AK424" i="2"/>
  <c r="AF424" i="2"/>
  <c r="AA424" i="2"/>
  <c r="U424" i="2"/>
  <c r="AF407" i="2"/>
  <c r="AA407" i="2"/>
  <c r="AK407" i="2"/>
  <c r="U407" i="2"/>
  <c r="AK376" i="2"/>
  <c r="AF376" i="2"/>
  <c r="AA376" i="2"/>
  <c r="U376" i="2"/>
  <c r="AK344" i="2"/>
  <c r="AF344" i="2"/>
  <c r="AA344" i="2"/>
  <c r="U344" i="2"/>
  <c r="R260" i="2"/>
  <c r="AP260" i="2" s="1"/>
  <c r="S260" i="2"/>
  <c r="Q260" i="2"/>
  <c r="AF197" i="2"/>
  <c r="AK197" i="2"/>
  <c r="U197" i="2"/>
  <c r="AA197" i="2"/>
  <c r="G195" i="4"/>
  <c r="Q195" i="2"/>
  <c r="S195" i="2"/>
  <c r="R195" i="2"/>
  <c r="AP195" i="2" s="1"/>
  <c r="AF183" i="2"/>
  <c r="AA183" i="2"/>
  <c r="AK183" i="2"/>
  <c r="U183" i="2"/>
  <c r="AF165" i="2"/>
  <c r="AK165" i="2"/>
  <c r="U165" i="2"/>
  <c r="AA165" i="2"/>
  <c r="G163" i="4"/>
  <c r="Q163" i="2"/>
  <c r="S163" i="2"/>
  <c r="R163" i="2"/>
  <c r="AP163" i="2" s="1"/>
  <c r="AF151" i="2"/>
  <c r="AA151" i="2"/>
  <c r="AK151" i="2"/>
  <c r="U151" i="2"/>
  <c r="AF133" i="2"/>
  <c r="AK133" i="2"/>
  <c r="U133" i="2"/>
  <c r="AA133" i="2"/>
  <c r="G131" i="4"/>
  <c r="Q131" i="2"/>
  <c r="S131" i="2"/>
  <c r="R131" i="2"/>
  <c r="AP131" i="2" s="1"/>
  <c r="AF119" i="2"/>
  <c r="AA119" i="2"/>
  <c r="AK119" i="2"/>
  <c r="U119" i="2"/>
  <c r="AF101" i="2"/>
  <c r="AK101" i="2"/>
  <c r="U101" i="2"/>
  <c r="AA101" i="2"/>
  <c r="G99" i="4"/>
  <c r="Q99" i="2"/>
  <c r="R99" i="2"/>
  <c r="AP99" i="2" s="1"/>
  <c r="S99" i="2"/>
  <c r="G84" i="4"/>
  <c r="R84" i="2"/>
  <c r="AP84" i="2" s="1"/>
  <c r="Q84" i="2"/>
  <c r="S84" i="2"/>
  <c r="U80" i="2"/>
  <c r="AA80" i="2"/>
  <c r="AF80" i="2"/>
  <c r="AK80" i="2"/>
  <c r="G67" i="4"/>
  <c r="Q67" i="2"/>
  <c r="R67" i="2"/>
  <c r="AP67" i="2" s="1"/>
  <c r="S67" i="2"/>
  <c r="G52" i="4"/>
  <c r="R52" i="2"/>
  <c r="AP52" i="2" s="1"/>
  <c r="Q52" i="2"/>
  <c r="S52" i="2"/>
  <c r="U48" i="2"/>
  <c r="AA48" i="2"/>
  <c r="AF48" i="2"/>
  <c r="AK48" i="2"/>
  <c r="G25" i="4"/>
  <c r="R25" i="2"/>
  <c r="AP25" i="2" s="1"/>
  <c r="Q25" i="2"/>
  <c r="S25" i="2"/>
  <c r="G20" i="4"/>
  <c r="R20" i="2"/>
  <c r="AP20" i="2" s="1"/>
  <c r="AQ20" i="2" s="1"/>
  <c r="AV20" i="2" s="1"/>
  <c r="BE20" i="2" s="1"/>
  <c r="Q20" i="2"/>
  <c r="S20" i="2"/>
  <c r="U16" i="2"/>
  <c r="AA16" i="2"/>
  <c r="AF16" i="2"/>
  <c r="AK16" i="2"/>
  <c r="AF15" i="2"/>
  <c r="AK15" i="2"/>
  <c r="AA15" i="2"/>
  <c r="U15" i="2"/>
  <c r="BD8" i="2"/>
  <c r="AF481" i="2"/>
  <c r="AA481" i="2"/>
  <c r="AK481" i="2"/>
  <c r="U481" i="2"/>
  <c r="AF455" i="2"/>
  <c r="AA455" i="2"/>
  <c r="AK455" i="2"/>
  <c r="U455" i="2"/>
  <c r="AK432" i="2"/>
  <c r="AF432" i="2"/>
  <c r="AA432" i="2"/>
  <c r="U432" i="2"/>
  <c r="S311" i="2"/>
  <c r="R311" i="2"/>
  <c r="AP311" i="2" s="1"/>
  <c r="Q311" i="2"/>
  <c r="AF305" i="2"/>
  <c r="AA305" i="2"/>
  <c r="AK305" i="2"/>
  <c r="U305" i="2"/>
  <c r="AF299" i="2"/>
  <c r="AA299" i="2"/>
  <c r="AK299" i="2"/>
  <c r="U299" i="2"/>
  <c r="AK274" i="2"/>
  <c r="AF274" i="2"/>
  <c r="AA274" i="2"/>
  <c r="U274" i="2"/>
  <c r="AK260" i="2"/>
  <c r="AF260" i="2"/>
  <c r="AA260" i="2"/>
  <c r="U260" i="2"/>
  <c r="S247" i="2"/>
  <c r="R247" i="2"/>
  <c r="AP247" i="2" s="1"/>
  <c r="Q247" i="2"/>
  <c r="AF241" i="2"/>
  <c r="AA241" i="2"/>
  <c r="AK241" i="2"/>
  <c r="U241" i="2"/>
  <c r="AF235" i="2"/>
  <c r="AA235" i="2"/>
  <c r="AK235" i="2"/>
  <c r="U235" i="2"/>
  <c r="AK210" i="2"/>
  <c r="AA210" i="2"/>
  <c r="AF210" i="2"/>
  <c r="U210" i="2"/>
  <c r="AK208" i="2"/>
  <c r="AF208" i="2"/>
  <c r="AA208" i="2"/>
  <c r="U208" i="2"/>
  <c r="AK190" i="2"/>
  <c r="AA190" i="2"/>
  <c r="AF190" i="2"/>
  <c r="U190" i="2"/>
  <c r="AQ188" i="2"/>
  <c r="AV188" i="2" s="1"/>
  <c r="BE188" i="2" s="1"/>
  <c r="AK174" i="2"/>
  <c r="AA174" i="2"/>
  <c r="AF174" i="2"/>
  <c r="U174" i="2"/>
  <c r="AQ172" i="2"/>
  <c r="AV172" i="2" s="1"/>
  <c r="BE172" i="2" s="1"/>
  <c r="AK158" i="2"/>
  <c r="AA158" i="2"/>
  <c r="AF158" i="2"/>
  <c r="U158" i="2"/>
  <c r="AK142" i="2"/>
  <c r="AA142" i="2"/>
  <c r="AF142" i="2"/>
  <c r="U142" i="2"/>
  <c r="AK126" i="2"/>
  <c r="AA126" i="2"/>
  <c r="AF126" i="2"/>
  <c r="U126" i="2"/>
  <c r="AK110" i="2"/>
  <c r="AA110" i="2"/>
  <c r="AF110" i="2"/>
  <c r="U110" i="2"/>
  <c r="G97" i="4"/>
  <c r="R97" i="2"/>
  <c r="AP97" i="2" s="1"/>
  <c r="S97" i="2"/>
  <c r="Q97" i="2"/>
  <c r="AF77" i="2"/>
  <c r="AK77" i="2"/>
  <c r="U77" i="2"/>
  <c r="AA77" i="2"/>
  <c r="AF67" i="2"/>
  <c r="AA67" i="2"/>
  <c r="AK67" i="2"/>
  <c r="U67" i="2"/>
  <c r="AK52" i="2"/>
  <c r="AF52" i="2"/>
  <c r="AA52" i="2"/>
  <c r="U52" i="2"/>
  <c r="G43" i="4"/>
  <c r="Q43" i="2"/>
  <c r="S43" i="2"/>
  <c r="R43" i="2"/>
  <c r="AP43" i="2" s="1"/>
  <c r="G23" i="4"/>
  <c r="S23" i="2"/>
  <c r="R23" i="2"/>
  <c r="AP23" i="2" s="1"/>
  <c r="Q23" i="2"/>
  <c r="G11" i="4"/>
  <c r="Q11" i="2"/>
  <c r="R11" i="2"/>
  <c r="AP11" i="2" s="1"/>
  <c r="S11" i="2"/>
  <c r="AF3" i="2"/>
  <c r="AA3" i="2"/>
  <c r="AK3" i="2"/>
  <c r="U3" i="2"/>
  <c r="AA504" i="2"/>
  <c r="AF504" i="2"/>
  <c r="AK504" i="2"/>
  <c r="U504" i="2"/>
  <c r="AA500" i="2"/>
  <c r="AF500" i="2"/>
  <c r="AK500" i="2"/>
  <c r="U500" i="2"/>
  <c r="AA496" i="2"/>
  <c r="AF496" i="2"/>
  <c r="AK496" i="2"/>
  <c r="U496" i="2"/>
  <c r="AK472" i="2"/>
  <c r="AF472" i="2"/>
  <c r="AA472" i="2"/>
  <c r="U472" i="2"/>
  <c r="AK442" i="2"/>
  <c r="AF442" i="2"/>
  <c r="AA442" i="2"/>
  <c r="U442" i="2"/>
  <c r="AK296" i="2"/>
  <c r="AF296" i="2"/>
  <c r="AA296" i="2"/>
  <c r="U296" i="2"/>
  <c r="R284" i="2"/>
  <c r="AP284" i="2" s="1"/>
  <c r="S284" i="2"/>
  <c r="Q284" i="2"/>
  <c r="AF279" i="2"/>
  <c r="AA279" i="2"/>
  <c r="U279" i="2"/>
  <c r="AK279" i="2"/>
  <c r="AF247" i="2"/>
  <c r="AA247" i="2"/>
  <c r="U247" i="2"/>
  <c r="AK247" i="2"/>
  <c r="AF215" i="2"/>
  <c r="AA215" i="2"/>
  <c r="U215" i="2"/>
  <c r="AK215" i="2"/>
  <c r="AF207" i="2"/>
  <c r="AA207" i="2"/>
  <c r="U207" i="2"/>
  <c r="AK207" i="2"/>
  <c r="Q203" i="2"/>
  <c r="S203" i="2"/>
  <c r="R203" i="2"/>
  <c r="AP203" i="2" s="1"/>
  <c r="G176" i="4"/>
  <c r="R176" i="2"/>
  <c r="AP176" i="2" s="1"/>
  <c r="AQ176" i="2" s="1"/>
  <c r="AV176" i="2" s="1"/>
  <c r="BE176" i="2" s="1"/>
  <c r="S176" i="2"/>
  <c r="Q176" i="2"/>
  <c r="AK170" i="2"/>
  <c r="AA170" i="2"/>
  <c r="AF170" i="2"/>
  <c r="U170" i="2"/>
  <c r="AF159" i="2"/>
  <c r="AA159" i="2"/>
  <c r="U159" i="2"/>
  <c r="AK159" i="2"/>
  <c r="G155" i="4"/>
  <c r="Q155" i="2"/>
  <c r="S155" i="2"/>
  <c r="R155" i="2"/>
  <c r="AP155" i="2" s="1"/>
  <c r="AF141" i="2"/>
  <c r="AK141" i="2"/>
  <c r="U141" i="2"/>
  <c r="AA141" i="2"/>
  <c r="G112" i="4"/>
  <c r="R112" i="2"/>
  <c r="AP112" i="2" s="1"/>
  <c r="AQ112" i="2" s="1"/>
  <c r="AV112" i="2" s="1"/>
  <c r="BE112" i="2" s="1"/>
  <c r="S112" i="2"/>
  <c r="Q112" i="2"/>
  <c r="AK106" i="2"/>
  <c r="AA106" i="2"/>
  <c r="AF106" i="2"/>
  <c r="U106" i="2"/>
  <c r="G100" i="4"/>
  <c r="R100" i="2"/>
  <c r="AP100" i="2" s="1"/>
  <c r="S100" i="2"/>
  <c r="Q100" i="2"/>
  <c r="AF96" i="2"/>
  <c r="AK96" i="2"/>
  <c r="U96" i="2"/>
  <c r="AA96" i="2"/>
  <c r="AF90" i="2"/>
  <c r="AK90" i="2"/>
  <c r="U90" i="2"/>
  <c r="AA90" i="2"/>
  <c r="G73" i="4"/>
  <c r="R73" i="2"/>
  <c r="AP73" i="2" s="1"/>
  <c r="S73" i="2"/>
  <c r="Q73" i="2"/>
  <c r="AL168" i="2"/>
  <c r="V168" i="2"/>
  <c r="AB168" i="2"/>
  <c r="AG168" i="2"/>
  <c r="AL144" i="2"/>
  <c r="V144" i="2"/>
  <c r="AG144" i="2"/>
  <c r="AB144" i="2"/>
  <c r="AF91" i="2"/>
  <c r="AA91" i="2"/>
  <c r="AK91" i="2"/>
  <c r="U91" i="2"/>
  <c r="AF37" i="2"/>
  <c r="AK37" i="2"/>
  <c r="U37" i="2"/>
  <c r="AA37" i="2"/>
  <c r="AL184" i="2"/>
  <c r="V184" i="2"/>
  <c r="AB184" i="2"/>
  <c r="AG184" i="2"/>
  <c r="AL160" i="2"/>
  <c r="V160" i="2"/>
  <c r="AG160" i="2"/>
  <c r="AB160" i="2"/>
  <c r="AK76" i="2"/>
  <c r="AF76" i="2"/>
  <c r="AA76" i="2"/>
  <c r="U76" i="2"/>
  <c r="U54" i="2"/>
  <c r="AA54" i="2"/>
  <c r="AF54" i="2"/>
  <c r="AK54" i="2"/>
  <c r="AK12" i="2"/>
  <c r="AF12" i="2"/>
  <c r="AA12" i="2"/>
  <c r="U12" i="2"/>
  <c r="AF53" i="2"/>
  <c r="AK53" i="2"/>
  <c r="U53" i="2"/>
  <c r="AA53" i="2"/>
  <c r="AQ18" i="2"/>
  <c r="AV18" i="2" s="1"/>
  <c r="BE18" i="2" s="1"/>
  <c r="AF6" i="2"/>
  <c r="AK6" i="2"/>
  <c r="U6" i="2"/>
  <c r="AA6" i="2"/>
  <c r="AF2484" i="2"/>
  <c r="AK2484" i="2"/>
  <c r="U2484" i="2"/>
  <c r="AA2484" i="2"/>
  <c r="R2478" i="2"/>
  <c r="AP2478" i="2" s="1"/>
  <c r="Q2478" i="2"/>
  <c r="S2478" i="2"/>
  <c r="R2495" i="2"/>
  <c r="AP2495" i="2" s="1"/>
  <c r="S2495" i="2"/>
  <c r="Q2495" i="2"/>
  <c r="AF2479" i="2"/>
  <c r="AA2479" i="2"/>
  <c r="AK2479" i="2"/>
  <c r="U2479" i="2"/>
  <c r="S2418" i="2"/>
  <c r="R2418" i="2"/>
  <c r="AP2418" i="2" s="1"/>
  <c r="Q2418" i="2"/>
  <c r="S2444" i="2"/>
  <c r="R2444" i="2"/>
  <c r="AP2444" i="2" s="1"/>
  <c r="Q2444" i="2"/>
  <c r="AK2417" i="2"/>
  <c r="U2417" i="2"/>
  <c r="AF2417" i="2"/>
  <c r="AA2417" i="2"/>
  <c r="AA2400" i="2"/>
  <c r="AK2400" i="2"/>
  <c r="U2400" i="2"/>
  <c r="AF2400" i="2"/>
  <c r="AF2385" i="2"/>
  <c r="AA2385" i="2"/>
  <c r="AK2385" i="2"/>
  <c r="U2385" i="2"/>
  <c r="AF2361" i="2"/>
  <c r="AA2361" i="2"/>
  <c r="AK2361" i="2"/>
  <c r="U2361" i="2"/>
  <c r="AF2345" i="2"/>
  <c r="AA2345" i="2"/>
  <c r="AK2345" i="2"/>
  <c r="U2345" i="2"/>
  <c r="AF2321" i="2"/>
  <c r="AA2321" i="2"/>
  <c r="AK2321" i="2"/>
  <c r="U2321" i="2"/>
  <c r="AF2309" i="2"/>
  <c r="AK2309" i="2"/>
  <c r="U2309" i="2"/>
  <c r="AA2309" i="2"/>
  <c r="AF2301" i="2"/>
  <c r="AK2301" i="2"/>
  <c r="U2301" i="2"/>
  <c r="AA2301" i="2"/>
  <c r="AK2390" i="2"/>
  <c r="U2390" i="2"/>
  <c r="AF2390" i="2"/>
  <c r="AA2390" i="2"/>
  <c r="AK2382" i="2"/>
  <c r="U2382" i="2"/>
  <c r="AF2382" i="2"/>
  <c r="AA2382" i="2"/>
  <c r="AK2374" i="2"/>
  <c r="U2374" i="2"/>
  <c r="AF2374" i="2"/>
  <c r="AA2374" i="2"/>
  <c r="AK2366" i="2"/>
  <c r="U2366" i="2"/>
  <c r="AF2366" i="2"/>
  <c r="AA2366" i="2"/>
  <c r="AK2358" i="2"/>
  <c r="U2358" i="2"/>
  <c r="AF2358" i="2"/>
  <c r="AA2358" i="2"/>
  <c r="AK2350" i="2"/>
  <c r="U2350" i="2"/>
  <c r="AF2350" i="2"/>
  <c r="AA2350" i="2"/>
  <c r="AK2342" i="2"/>
  <c r="U2342" i="2"/>
  <c r="AF2342" i="2"/>
  <c r="AA2342" i="2"/>
  <c r="AK2334" i="2"/>
  <c r="U2334" i="2"/>
  <c r="AF2334" i="2"/>
  <c r="AA2334" i="2"/>
  <c r="AK2326" i="2"/>
  <c r="U2326" i="2"/>
  <c r="AF2326" i="2"/>
  <c r="AA2326" i="2"/>
  <c r="AK2318" i="2"/>
  <c r="U2318" i="2"/>
  <c r="AF2318" i="2"/>
  <c r="AA2318" i="2"/>
  <c r="AK2405" i="2"/>
  <c r="U2405" i="2"/>
  <c r="AA2405" i="2"/>
  <c r="AF2405" i="2"/>
  <c r="AK2397" i="2"/>
  <c r="U2397" i="2"/>
  <c r="AA2397" i="2"/>
  <c r="AF2397" i="2"/>
  <c r="Q2199" i="2"/>
  <c r="S2199" i="2"/>
  <c r="R2199" i="2"/>
  <c r="AP2199" i="2" s="1"/>
  <c r="AA2188" i="2"/>
  <c r="AK2188" i="2"/>
  <c r="U2188" i="2"/>
  <c r="AF2188" i="2"/>
  <c r="Q2183" i="2"/>
  <c r="S2183" i="2"/>
  <c r="R2183" i="2"/>
  <c r="AP2183" i="2" s="1"/>
  <c r="AA2172" i="2"/>
  <c r="AK2172" i="2"/>
  <c r="U2172" i="2"/>
  <c r="AF2172" i="2"/>
  <c r="Q2167" i="2"/>
  <c r="S2167" i="2"/>
  <c r="R2167" i="2"/>
  <c r="AP2167" i="2" s="1"/>
  <c r="AA2156" i="2"/>
  <c r="AK2156" i="2"/>
  <c r="U2156" i="2"/>
  <c r="AF2156" i="2"/>
  <c r="Q2153" i="2"/>
  <c r="S2153" i="2"/>
  <c r="R2153" i="2"/>
  <c r="AP2153" i="2" s="1"/>
  <c r="AK2193" i="2"/>
  <c r="U2193" i="2"/>
  <c r="AF2193" i="2"/>
  <c r="AA2193" i="2"/>
  <c r="S2188" i="2"/>
  <c r="R2188" i="2"/>
  <c r="AP2188" i="2" s="1"/>
  <c r="Q2188" i="2"/>
  <c r="AK2177" i="2"/>
  <c r="U2177" i="2"/>
  <c r="AF2177" i="2"/>
  <c r="AA2177" i="2"/>
  <c r="S2172" i="2"/>
  <c r="R2172" i="2"/>
  <c r="AP2172" i="2" s="1"/>
  <c r="Q2172" i="2"/>
  <c r="AK2161" i="2"/>
  <c r="U2161" i="2"/>
  <c r="AF2161" i="2"/>
  <c r="AA2161" i="2"/>
  <c r="S2156" i="2"/>
  <c r="R2156" i="2"/>
  <c r="AP2156" i="2" s="1"/>
  <c r="Q2156" i="2"/>
  <c r="Q2197" i="2"/>
  <c r="S2197" i="2"/>
  <c r="R2197" i="2"/>
  <c r="AP2197" i="2" s="1"/>
  <c r="AA2186" i="2"/>
  <c r="AK2186" i="2"/>
  <c r="U2186" i="2"/>
  <c r="AF2186" i="2"/>
  <c r="Q2181" i="2"/>
  <c r="S2181" i="2"/>
  <c r="R2181" i="2"/>
  <c r="AP2181" i="2" s="1"/>
  <c r="AA2170" i="2"/>
  <c r="AK2170" i="2"/>
  <c r="U2170" i="2"/>
  <c r="AF2170" i="2"/>
  <c r="Q2165" i="2"/>
  <c r="S2165" i="2"/>
  <c r="R2165" i="2"/>
  <c r="AP2165" i="2" s="1"/>
  <c r="S2198" i="2"/>
  <c r="R2198" i="2"/>
  <c r="AP2198" i="2" s="1"/>
  <c r="Q2198" i="2"/>
  <c r="AK2187" i="2"/>
  <c r="U2187" i="2"/>
  <c r="AF2187" i="2"/>
  <c r="AA2187" i="2"/>
  <c r="S2182" i="2"/>
  <c r="R2182" i="2"/>
  <c r="AP2182" i="2" s="1"/>
  <c r="Q2182" i="2"/>
  <c r="AK2171" i="2"/>
  <c r="U2171" i="2"/>
  <c r="AF2171" i="2"/>
  <c r="AA2171" i="2"/>
  <c r="S2166" i="2"/>
  <c r="R2166" i="2"/>
  <c r="AP2166" i="2" s="1"/>
  <c r="Q2166" i="2"/>
  <c r="AK2155" i="2"/>
  <c r="U2155" i="2"/>
  <c r="AF2155" i="2"/>
  <c r="AA2155" i="2"/>
  <c r="AA2152" i="2"/>
  <c r="AK2152" i="2"/>
  <c r="U2152" i="2"/>
  <c r="AF2152" i="2"/>
  <c r="AA2143" i="2"/>
  <c r="AK2143" i="2"/>
  <c r="U2143" i="2"/>
  <c r="AF2143" i="2"/>
  <c r="AK2114" i="2"/>
  <c r="U2114" i="2"/>
  <c r="AF2114" i="2"/>
  <c r="AA2114" i="2"/>
  <c r="AF2108" i="2"/>
  <c r="AA2108" i="2"/>
  <c r="AK2108" i="2"/>
  <c r="U2108" i="2"/>
  <c r="AK2099" i="2"/>
  <c r="U2099" i="2"/>
  <c r="AF2099" i="2"/>
  <c r="AA2099" i="2"/>
  <c r="S2098" i="2"/>
  <c r="R2098" i="2"/>
  <c r="AP2098" i="2" s="1"/>
  <c r="Q2098" i="2"/>
  <c r="AF2092" i="2"/>
  <c r="AA2092" i="2"/>
  <c r="AK2092" i="2"/>
  <c r="U2092" i="2"/>
  <c r="AK2083" i="2"/>
  <c r="U2083" i="2"/>
  <c r="AF2083" i="2"/>
  <c r="AA2083" i="2"/>
  <c r="S2082" i="2"/>
  <c r="R2082" i="2"/>
  <c r="AP2082" i="2" s="1"/>
  <c r="Q2082" i="2"/>
  <c r="AF2076" i="2"/>
  <c r="AA2076" i="2"/>
  <c r="AK2076" i="2"/>
  <c r="U2076" i="2"/>
  <c r="AK2067" i="2"/>
  <c r="U2067" i="2"/>
  <c r="AF2067" i="2"/>
  <c r="AA2067" i="2"/>
  <c r="S2066" i="2"/>
  <c r="R2066" i="2"/>
  <c r="AP2066" i="2" s="1"/>
  <c r="Q2066" i="2"/>
  <c r="AF2060" i="2"/>
  <c r="AA2060" i="2"/>
  <c r="AK2060" i="2"/>
  <c r="U2060" i="2"/>
  <c r="AK2051" i="2"/>
  <c r="U2051" i="2"/>
  <c r="AF2051" i="2"/>
  <c r="AA2051" i="2"/>
  <c r="S2050" i="2"/>
  <c r="R2050" i="2"/>
  <c r="AP2050" i="2" s="1"/>
  <c r="Q2050" i="2"/>
  <c r="Q2045" i="2"/>
  <c r="R2045" i="2"/>
  <c r="AP2045" i="2" s="1"/>
  <c r="S2045" i="2"/>
  <c r="Q2041" i="2"/>
  <c r="S2041" i="2"/>
  <c r="R2041" i="2"/>
  <c r="AP2041" i="2" s="1"/>
  <c r="Q2037" i="2"/>
  <c r="S2037" i="2"/>
  <c r="R2037" i="2"/>
  <c r="AP2037" i="2" s="1"/>
  <c r="Q2033" i="2"/>
  <c r="S2033" i="2"/>
  <c r="R2033" i="2"/>
  <c r="AP2033" i="2" s="1"/>
  <c r="Q2029" i="2"/>
  <c r="S2029" i="2"/>
  <c r="R2029" i="2"/>
  <c r="AP2029" i="2" s="1"/>
  <c r="Q2025" i="2"/>
  <c r="S2025" i="2"/>
  <c r="R2025" i="2"/>
  <c r="AP2025" i="2" s="1"/>
  <c r="AA2154" i="2"/>
  <c r="AK2154" i="2"/>
  <c r="U2154" i="2"/>
  <c r="AF2154" i="2"/>
  <c r="Q2140" i="2"/>
  <c r="S2140" i="2"/>
  <c r="R2140" i="2"/>
  <c r="AP2140" i="2" s="1"/>
  <c r="Q2138" i="2"/>
  <c r="S2138" i="2"/>
  <c r="R2138" i="2"/>
  <c r="AP2138" i="2" s="1"/>
  <c r="Q2136" i="2"/>
  <c r="S2136" i="2"/>
  <c r="R2136" i="2"/>
  <c r="AP2136" i="2" s="1"/>
  <c r="Q2134" i="2"/>
  <c r="S2134" i="2"/>
  <c r="R2134" i="2"/>
  <c r="AP2134" i="2" s="1"/>
  <c r="Q2132" i="2"/>
  <c r="S2132" i="2"/>
  <c r="R2132" i="2"/>
  <c r="AP2132" i="2" s="1"/>
  <c r="Q2130" i="2"/>
  <c r="S2130" i="2"/>
  <c r="R2130" i="2"/>
  <c r="AP2130" i="2" s="1"/>
  <c r="Q2128" i="2"/>
  <c r="S2128" i="2"/>
  <c r="R2128" i="2"/>
  <c r="AP2128" i="2" s="1"/>
  <c r="Q2126" i="2"/>
  <c r="S2126" i="2"/>
  <c r="R2126" i="2"/>
  <c r="AP2126" i="2" s="1"/>
  <c r="Q2124" i="2"/>
  <c r="S2124" i="2"/>
  <c r="R2124" i="2"/>
  <c r="AP2124" i="2" s="1"/>
  <c r="Q2122" i="2"/>
  <c r="S2122" i="2"/>
  <c r="R2122" i="2"/>
  <c r="AP2122" i="2" s="1"/>
  <c r="Q2120" i="2"/>
  <c r="S2120" i="2"/>
  <c r="R2120" i="2"/>
  <c r="AP2120" i="2" s="1"/>
  <c r="Q2118" i="2"/>
  <c r="S2118" i="2"/>
  <c r="R2118" i="2"/>
  <c r="AP2118" i="2" s="1"/>
  <c r="Q2116" i="2"/>
  <c r="S2116" i="2"/>
  <c r="R2116" i="2"/>
  <c r="AP2116" i="2" s="1"/>
  <c r="AA2146" i="2"/>
  <c r="AK2146" i="2"/>
  <c r="U2146" i="2"/>
  <c r="AF2146" i="2"/>
  <c r="AA2141" i="2"/>
  <c r="AK2141" i="2"/>
  <c r="U2141" i="2"/>
  <c r="AF2141" i="2"/>
  <c r="AA2139" i="2"/>
  <c r="AK2139" i="2"/>
  <c r="U2139" i="2"/>
  <c r="AF2139" i="2"/>
  <c r="AA2137" i="2"/>
  <c r="AK2137" i="2"/>
  <c r="U2137" i="2"/>
  <c r="AF2137" i="2"/>
  <c r="AA2135" i="2"/>
  <c r="AK2135" i="2"/>
  <c r="U2135" i="2"/>
  <c r="AF2135" i="2"/>
  <c r="AA2133" i="2"/>
  <c r="AK2133" i="2"/>
  <c r="U2133" i="2"/>
  <c r="AF2133" i="2"/>
  <c r="AA2131" i="2"/>
  <c r="AK2131" i="2"/>
  <c r="U2131" i="2"/>
  <c r="AF2131" i="2"/>
  <c r="AA2129" i="2"/>
  <c r="AK2129" i="2"/>
  <c r="U2129" i="2"/>
  <c r="AF2129" i="2"/>
  <c r="AA2127" i="2"/>
  <c r="AK2127" i="2"/>
  <c r="U2127" i="2"/>
  <c r="AF2127" i="2"/>
  <c r="AA2125" i="2"/>
  <c r="AK2125" i="2"/>
  <c r="U2125" i="2"/>
  <c r="AF2125" i="2"/>
  <c r="AA2123" i="2"/>
  <c r="AK2123" i="2"/>
  <c r="U2123" i="2"/>
  <c r="AF2123" i="2"/>
  <c r="AA2121" i="2"/>
  <c r="AK2121" i="2"/>
  <c r="U2121" i="2"/>
  <c r="AF2121" i="2"/>
  <c r="AA2119" i="2"/>
  <c r="AK2119" i="2"/>
  <c r="U2119" i="2"/>
  <c r="AF2119" i="2"/>
  <c r="AA2117" i="2"/>
  <c r="AK2117" i="2"/>
  <c r="U2117" i="2"/>
  <c r="AF2117" i="2"/>
  <c r="AA2115" i="2"/>
  <c r="AK2115" i="2"/>
  <c r="U2115" i="2"/>
  <c r="AF2115" i="2"/>
  <c r="AK2109" i="2"/>
  <c r="U2109" i="2"/>
  <c r="AF2109" i="2"/>
  <c r="AA2109" i="2"/>
  <c r="S2108" i="2"/>
  <c r="R2108" i="2"/>
  <c r="AP2108" i="2" s="1"/>
  <c r="Q2108" i="2"/>
  <c r="AK2105" i="2"/>
  <c r="U2105" i="2"/>
  <c r="AF2105" i="2"/>
  <c r="AA2105" i="2"/>
  <c r="S2104" i="2"/>
  <c r="R2104" i="2"/>
  <c r="AP2104" i="2" s="1"/>
  <c r="Q2104" i="2"/>
  <c r="AK2101" i="2"/>
  <c r="U2101" i="2"/>
  <c r="AF2101" i="2"/>
  <c r="AA2101" i="2"/>
  <c r="S2100" i="2"/>
  <c r="R2100" i="2"/>
  <c r="AP2100" i="2" s="1"/>
  <c r="Q2100" i="2"/>
  <c r="AK2097" i="2"/>
  <c r="U2097" i="2"/>
  <c r="AF2097" i="2"/>
  <c r="AA2097" i="2"/>
  <c r="S2096" i="2"/>
  <c r="R2096" i="2"/>
  <c r="AP2096" i="2" s="1"/>
  <c r="Q2096" i="2"/>
  <c r="AK2093" i="2"/>
  <c r="U2093" i="2"/>
  <c r="AF2093" i="2"/>
  <c r="AA2093" i="2"/>
  <c r="S2092" i="2"/>
  <c r="R2092" i="2"/>
  <c r="AP2092" i="2" s="1"/>
  <c r="Q2092" i="2"/>
  <c r="AK2089" i="2"/>
  <c r="U2089" i="2"/>
  <c r="AF2089" i="2"/>
  <c r="AA2089" i="2"/>
  <c r="S2088" i="2"/>
  <c r="R2088" i="2"/>
  <c r="AP2088" i="2" s="1"/>
  <c r="Q2088" i="2"/>
  <c r="AK2085" i="2"/>
  <c r="U2085" i="2"/>
  <c r="AF2085" i="2"/>
  <c r="AA2085" i="2"/>
  <c r="S2084" i="2"/>
  <c r="R2084" i="2"/>
  <c r="AP2084" i="2" s="1"/>
  <c r="Q2084" i="2"/>
  <c r="AK2081" i="2"/>
  <c r="U2081" i="2"/>
  <c r="AF2081" i="2"/>
  <c r="AA2081" i="2"/>
  <c r="S2080" i="2"/>
  <c r="R2080" i="2"/>
  <c r="AP2080" i="2" s="1"/>
  <c r="Q2080" i="2"/>
  <c r="AK2077" i="2"/>
  <c r="U2077" i="2"/>
  <c r="AF2077" i="2"/>
  <c r="AA2077" i="2"/>
  <c r="S2076" i="2"/>
  <c r="R2076" i="2"/>
  <c r="AP2076" i="2" s="1"/>
  <c r="Q2076" i="2"/>
  <c r="AK2073" i="2"/>
  <c r="U2073" i="2"/>
  <c r="AF2073" i="2"/>
  <c r="AA2073" i="2"/>
  <c r="S2072" i="2"/>
  <c r="R2072" i="2"/>
  <c r="AP2072" i="2" s="1"/>
  <c r="Q2072" i="2"/>
  <c r="AK2069" i="2"/>
  <c r="U2069" i="2"/>
  <c r="AF2069" i="2"/>
  <c r="AA2069" i="2"/>
  <c r="S2068" i="2"/>
  <c r="R2068" i="2"/>
  <c r="AP2068" i="2" s="1"/>
  <c r="Q2068" i="2"/>
  <c r="AK2065" i="2"/>
  <c r="U2065" i="2"/>
  <c r="AF2065" i="2"/>
  <c r="AA2065" i="2"/>
  <c r="S2064" i="2"/>
  <c r="R2064" i="2"/>
  <c r="AP2064" i="2" s="1"/>
  <c r="Q2064" i="2"/>
  <c r="AK2061" i="2"/>
  <c r="U2061" i="2"/>
  <c r="AF2061" i="2"/>
  <c r="AA2061" i="2"/>
  <c r="S2060" i="2"/>
  <c r="R2060" i="2"/>
  <c r="AP2060" i="2" s="1"/>
  <c r="Q2060" i="2"/>
  <c r="AK2057" i="2"/>
  <c r="U2057" i="2"/>
  <c r="AF2057" i="2"/>
  <c r="AA2057" i="2"/>
  <c r="S2056" i="2"/>
  <c r="R2056" i="2"/>
  <c r="AP2056" i="2" s="1"/>
  <c r="Q2056" i="2"/>
  <c r="AK2053" i="2"/>
  <c r="U2053" i="2"/>
  <c r="AF2053" i="2"/>
  <c r="AA2053" i="2"/>
  <c r="S2052" i="2"/>
  <c r="R2052" i="2"/>
  <c r="AP2052" i="2" s="1"/>
  <c r="Q2052" i="2"/>
  <c r="AK2049" i="2"/>
  <c r="U2049" i="2"/>
  <c r="AF2049" i="2"/>
  <c r="AA2049" i="2"/>
  <c r="S2048" i="2"/>
  <c r="R2048" i="2"/>
  <c r="AP2048" i="2" s="1"/>
  <c r="Q2048" i="2"/>
  <c r="AF2016" i="2"/>
  <c r="AA2016" i="2"/>
  <c r="AK2016" i="2"/>
  <c r="U2016" i="2"/>
  <c r="AF2012" i="2"/>
  <c r="AA2012" i="2"/>
  <c r="AK2012" i="2"/>
  <c r="U2012" i="2"/>
  <c r="AF2008" i="2"/>
  <c r="AA2008" i="2"/>
  <c r="AK2008" i="2"/>
  <c r="U2008" i="2"/>
  <c r="AF2004" i="2"/>
  <c r="AA2004" i="2"/>
  <c r="AK2004" i="2"/>
  <c r="U2004" i="2"/>
  <c r="AF2000" i="2"/>
  <c r="AA2000" i="2"/>
  <c r="AK2000" i="2"/>
  <c r="U2000" i="2"/>
  <c r="AF1996" i="2"/>
  <c r="AA1996" i="2"/>
  <c r="AK1996" i="2"/>
  <c r="U1996" i="2"/>
  <c r="AF1992" i="2"/>
  <c r="AA1992" i="2"/>
  <c r="AK1992" i="2"/>
  <c r="U1992" i="2"/>
  <c r="AF1988" i="2"/>
  <c r="AA1988" i="2"/>
  <c r="AK1988" i="2"/>
  <c r="U1988" i="2"/>
  <c r="AF1984" i="2"/>
  <c r="AA1984" i="2"/>
  <c r="AK1984" i="2"/>
  <c r="U1984" i="2"/>
  <c r="AF1980" i="2"/>
  <c r="AA1980" i="2"/>
  <c r="AK1980" i="2"/>
  <c r="U1980" i="2"/>
  <c r="AF1976" i="2"/>
  <c r="AA1976" i="2"/>
  <c r="AK1976" i="2"/>
  <c r="U1976" i="2"/>
  <c r="AF1972" i="2"/>
  <c r="AA1972" i="2"/>
  <c r="AK1972" i="2"/>
  <c r="U1972" i="2"/>
  <c r="AF1968" i="2"/>
  <c r="AA1968" i="2"/>
  <c r="AK1968" i="2"/>
  <c r="U1968" i="2"/>
  <c r="AF1964" i="2"/>
  <c r="AA1964" i="2"/>
  <c r="AK1964" i="2"/>
  <c r="U1964" i="2"/>
  <c r="AF1960" i="2"/>
  <c r="AA1960" i="2"/>
  <c r="AK1960" i="2"/>
  <c r="U1960" i="2"/>
  <c r="AF1956" i="2"/>
  <c r="AA1956" i="2"/>
  <c r="AK1956" i="2"/>
  <c r="U1956" i="2"/>
  <c r="AK2021" i="2"/>
  <c r="U2021" i="2"/>
  <c r="AF2021" i="2"/>
  <c r="AA2021" i="2"/>
  <c r="AK2041" i="2"/>
  <c r="U2041" i="2"/>
  <c r="AF2041" i="2"/>
  <c r="AA2041" i="2"/>
  <c r="AK2039" i="2"/>
  <c r="U2039" i="2"/>
  <c r="AF2039" i="2"/>
  <c r="AA2039" i="2"/>
  <c r="AK2037" i="2"/>
  <c r="U2037" i="2"/>
  <c r="AF2037" i="2"/>
  <c r="AA2037" i="2"/>
  <c r="AK2035" i="2"/>
  <c r="U2035" i="2"/>
  <c r="AF2035" i="2"/>
  <c r="AA2035" i="2"/>
  <c r="AK2033" i="2"/>
  <c r="U2033" i="2"/>
  <c r="AF2033" i="2"/>
  <c r="AA2033" i="2"/>
  <c r="AK2031" i="2"/>
  <c r="U2031" i="2"/>
  <c r="AF2031" i="2"/>
  <c r="AA2031" i="2"/>
  <c r="AK2029" i="2"/>
  <c r="U2029" i="2"/>
  <c r="AF2029" i="2"/>
  <c r="AA2029" i="2"/>
  <c r="AK2027" i="2"/>
  <c r="U2027" i="2"/>
  <c r="AF2027" i="2"/>
  <c r="AA2027" i="2"/>
  <c r="AK2025" i="2"/>
  <c r="U2025" i="2"/>
  <c r="AF2025" i="2"/>
  <c r="AA2025" i="2"/>
  <c r="AK2023" i="2"/>
  <c r="U2023" i="2"/>
  <c r="AF2023" i="2"/>
  <c r="AA2023" i="2"/>
  <c r="AF2018" i="2"/>
  <c r="AA2018" i="2"/>
  <c r="AK2018" i="2"/>
  <c r="U2018" i="2"/>
  <c r="AF2014" i="2"/>
  <c r="AA2014" i="2"/>
  <c r="AK2014" i="2"/>
  <c r="U2014" i="2"/>
  <c r="AF2010" i="2"/>
  <c r="AA2010" i="2"/>
  <c r="AK2010" i="2"/>
  <c r="U2010" i="2"/>
  <c r="AF2006" i="2"/>
  <c r="AA2006" i="2"/>
  <c r="AK2006" i="2"/>
  <c r="U2006" i="2"/>
  <c r="AF2002" i="2"/>
  <c r="AA2002" i="2"/>
  <c r="AK2002" i="2"/>
  <c r="U2002" i="2"/>
  <c r="AF1998" i="2"/>
  <c r="AA1998" i="2"/>
  <c r="AK1998" i="2"/>
  <c r="U1998" i="2"/>
  <c r="AF1994" i="2"/>
  <c r="AA1994" i="2"/>
  <c r="AK1994" i="2"/>
  <c r="U1994" i="2"/>
  <c r="AF1990" i="2"/>
  <c r="AA1990" i="2"/>
  <c r="AK1990" i="2"/>
  <c r="U1990" i="2"/>
  <c r="AF1986" i="2"/>
  <c r="AA1986" i="2"/>
  <c r="AK1986" i="2"/>
  <c r="U1986" i="2"/>
  <c r="AF1982" i="2"/>
  <c r="AA1982" i="2"/>
  <c r="AK1982" i="2"/>
  <c r="U1982" i="2"/>
  <c r="AF1978" i="2"/>
  <c r="AA1978" i="2"/>
  <c r="AK1978" i="2"/>
  <c r="U1978" i="2"/>
  <c r="AF1974" i="2"/>
  <c r="AA1974" i="2"/>
  <c r="AK1974" i="2"/>
  <c r="U1974" i="2"/>
  <c r="AF1970" i="2"/>
  <c r="AA1970" i="2"/>
  <c r="AK1970" i="2"/>
  <c r="U1970" i="2"/>
  <c r="AF1966" i="2"/>
  <c r="AA1966" i="2"/>
  <c r="AK1966" i="2"/>
  <c r="U1966" i="2"/>
  <c r="AF1962" i="2"/>
  <c r="AA1962" i="2"/>
  <c r="AK1962" i="2"/>
  <c r="U1962" i="2"/>
  <c r="AF1958" i="2"/>
  <c r="AA1958" i="2"/>
  <c r="AK1958" i="2"/>
  <c r="U1958" i="2"/>
  <c r="AF1954" i="2"/>
  <c r="AA1954" i="2"/>
  <c r="AK1954" i="2"/>
  <c r="U1954" i="2"/>
  <c r="AF1950" i="2"/>
  <c r="AA1950" i="2"/>
  <c r="AK1950" i="2"/>
  <c r="U1950" i="2"/>
  <c r="AF1946" i="2"/>
  <c r="AA1946" i="2"/>
  <c r="AK1946" i="2"/>
  <c r="U1946" i="2"/>
  <c r="AF1942" i="2"/>
  <c r="AA1942" i="2"/>
  <c r="AK1942" i="2"/>
  <c r="U1942" i="2"/>
  <c r="AF1938" i="2"/>
  <c r="AA1938" i="2"/>
  <c r="AK1938" i="2"/>
  <c r="U1938" i="2"/>
  <c r="AF1934" i="2"/>
  <c r="AA1934" i="2"/>
  <c r="AK1934" i="2"/>
  <c r="U1934" i="2"/>
  <c r="AF1930" i="2"/>
  <c r="AA1930" i="2"/>
  <c r="AK1930" i="2"/>
  <c r="U1930" i="2"/>
  <c r="AF1926" i="2"/>
  <c r="AA1926" i="2"/>
  <c r="AK1926" i="2"/>
  <c r="U1926" i="2"/>
  <c r="AF1922" i="2"/>
  <c r="AA1922" i="2"/>
  <c r="AK1922" i="2"/>
  <c r="U1922" i="2"/>
  <c r="AF1918" i="2"/>
  <c r="AA1918" i="2"/>
  <c r="AK1918" i="2"/>
  <c r="U1918" i="2"/>
  <c r="AF1914" i="2"/>
  <c r="AA1914" i="2"/>
  <c r="AK1914" i="2"/>
  <c r="U1914" i="2"/>
  <c r="AF1910" i="2"/>
  <c r="AA1910" i="2"/>
  <c r="AK1910" i="2"/>
  <c r="U1910" i="2"/>
  <c r="AF1906" i="2"/>
  <c r="AA1906" i="2"/>
  <c r="AK1906" i="2"/>
  <c r="U1906" i="2"/>
  <c r="AF1902" i="2"/>
  <c r="AA1902" i="2"/>
  <c r="AK1902" i="2"/>
  <c r="U1902" i="2"/>
  <c r="AF1898" i="2"/>
  <c r="AA1898" i="2"/>
  <c r="AK1898" i="2"/>
  <c r="U1898" i="2"/>
  <c r="AF1894" i="2"/>
  <c r="AA1894" i="2"/>
  <c r="AK1894" i="2"/>
  <c r="U1894" i="2"/>
  <c r="AF1890" i="2"/>
  <c r="AA1890" i="2"/>
  <c r="AK1890" i="2"/>
  <c r="U1890" i="2"/>
  <c r="AF1886" i="2"/>
  <c r="AA1886" i="2"/>
  <c r="AK1886" i="2"/>
  <c r="U1886" i="2"/>
  <c r="AF1882" i="2"/>
  <c r="AA1882" i="2"/>
  <c r="AK1882" i="2"/>
  <c r="U1882" i="2"/>
  <c r="AF1878" i="2"/>
  <c r="AA1878" i="2"/>
  <c r="AK1878" i="2"/>
  <c r="U1878" i="2"/>
  <c r="AF1874" i="2"/>
  <c r="AA1874" i="2"/>
  <c r="AK1874" i="2"/>
  <c r="U1874" i="2"/>
  <c r="AF1870" i="2"/>
  <c r="AA1870" i="2"/>
  <c r="AK1870" i="2"/>
  <c r="U1870" i="2"/>
  <c r="AF1866" i="2"/>
  <c r="AA1866" i="2"/>
  <c r="AK1866" i="2"/>
  <c r="U1866" i="2"/>
  <c r="AF1862" i="2"/>
  <c r="AA1862" i="2"/>
  <c r="AK1862" i="2"/>
  <c r="U1862" i="2"/>
  <c r="AK1849" i="2"/>
  <c r="U1849" i="2"/>
  <c r="AF1849" i="2"/>
  <c r="AA1849" i="2"/>
  <c r="S1942" i="2"/>
  <c r="R1942" i="2"/>
  <c r="AP1942" i="2" s="1"/>
  <c r="Q1942" i="2"/>
  <c r="S1926" i="2"/>
  <c r="R1926" i="2"/>
  <c r="AP1926" i="2" s="1"/>
  <c r="Q1926" i="2"/>
  <c r="S1910" i="2"/>
  <c r="R1910" i="2"/>
  <c r="AP1910" i="2" s="1"/>
  <c r="Q1910" i="2"/>
  <c r="S1894" i="2"/>
  <c r="R1894" i="2"/>
  <c r="AP1894" i="2" s="1"/>
  <c r="Q1894" i="2"/>
  <c r="S1878" i="2"/>
  <c r="R1878" i="2"/>
  <c r="AP1878" i="2" s="1"/>
  <c r="Q1878" i="2"/>
  <c r="S1862" i="2"/>
  <c r="R1862" i="2"/>
  <c r="AP1862" i="2" s="1"/>
  <c r="Q1862" i="2"/>
  <c r="AK1829" i="2"/>
  <c r="U1829" i="2"/>
  <c r="AF1829" i="2"/>
  <c r="AA1829" i="2"/>
  <c r="Q1827" i="2"/>
  <c r="S1827" i="2"/>
  <c r="R1827" i="2"/>
  <c r="AP1827" i="2" s="1"/>
  <c r="S1822" i="2"/>
  <c r="R1822" i="2"/>
  <c r="AP1822" i="2" s="1"/>
  <c r="Q1822" i="2"/>
  <c r="AA1820" i="2"/>
  <c r="AF1820" i="2"/>
  <c r="U1820" i="2"/>
  <c r="AK1820" i="2"/>
  <c r="AK1813" i="2"/>
  <c r="U1813" i="2"/>
  <c r="AF1813" i="2"/>
  <c r="AA1813" i="2"/>
  <c r="Q1811" i="2"/>
  <c r="S1811" i="2"/>
  <c r="R1811" i="2"/>
  <c r="AP1811" i="2" s="1"/>
  <c r="AF1753" i="2"/>
  <c r="AK1753" i="2"/>
  <c r="U1753" i="2"/>
  <c r="AA1753" i="2"/>
  <c r="AF1737" i="2"/>
  <c r="AK1737" i="2"/>
  <c r="U1737" i="2"/>
  <c r="AA1737" i="2"/>
  <c r="AF1721" i="2"/>
  <c r="AK1721" i="2"/>
  <c r="U1721" i="2"/>
  <c r="AA1721" i="2"/>
  <c r="AF1705" i="2"/>
  <c r="AK1705" i="2"/>
  <c r="U1705" i="2"/>
  <c r="AA1705" i="2"/>
  <c r="AF1689" i="2"/>
  <c r="AK1689" i="2"/>
  <c r="U1689" i="2"/>
  <c r="AA1689" i="2"/>
  <c r="AF1673" i="2"/>
  <c r="AK1673" i="2"/>
  <c r="U1673" i="2"/>
  <c r="AA1673" i="2"/>
  <c r="BD1845" i="2"/>
  <c r="AA1834" i="2"/>
  <c r="AK1834" i="2"/>
  <c r="AF1834" i="2"/>
  <c r="U1834" i="2"/>
  <c r="AA1826" i="2"/>
  <c r="AK1826" i="2"/>
  <c r="AF1826" i="2"/>
  <c r="U1826" i="2"/>
  <c r="AA1818" i="2"/>
  <c r="AK1818" i="2"/>
  <c r="AF1818" i="2"/>
  <c r="U1818" i="2"/>
  <c r="AA1810" i="2"/>
  <c r="AK1810" i="2"/>
  <c r="AF1810" i="2"/>
  <c r="U1810" i="2"/>
  <c r="AA1802" i="2"/>
  <c r="AK1802" i="2"/>
  <c r="AF1802" i="2"/>
  <c r="U1802" i="2"/>
  <c r="AA1794" i="2"/>
  <c r="AK1794" i="2"/>
  <c r="AF1794" i="2"/>
  <c r="U1794" i="2"/>
  <c r="AA1786" i="2"/>
  <c r="AK1786" i="2"/>
  <c r="AF1786" i="2"/>
  <c r="U1786" i="2"/>
  <c r="AA1778" i="2"/>
  <c r="AK1778" i="2"/>
  <c r="AF1778" i="2"/>
  <c r="U1778" i="2"/>
  <c r="AA1770" i="2"/>
  <c r="AK1770" i="2"/>
  <c r="AF1770" i="2"/>
  <c r="U1770" i="2"/>
  <c r="AA1762" i="2"/>
  <c r="AK1762" i="2"/>
  <c r="AF1762" i="2"/>
  <c r="U1762" i="2"/>
  <c r="AF1754" i="2"/>
  <c r="AK1754" i="2"/>
  <c r="U1754" i="2"/>
  <c r="AA1754" i="2"/>
  <c r="R1743" i="2"/>
  <c r="AP1743" i="2" s="1"/>
  <c r="S1743" i="2"/>
  <c r="Q1743" i="2"/>
  <c r="AF1738" i="2"/>
  <c r="AK1738" i="2"/>
  <c r="U1738" i="2"/>
  <c r="AA1738" i="2"/>
  <c r="R1727" i="2"/>
  <c r="AP1727" i="2" s="1"/>
  <c r="S1727" i="2"/>
  <c r="Q1727" i="2"/>
  <c r="AF1722" i="2"/>
  <c r="AK1722" i="2"/>
  <c r="U1722" i="2"/>
  <c r="AA1722" i="2"/>
  <c r="R1711" i="2"/>
  <c r="AP1711" i="2" s="1"/>
  <c r="S1711" i="2"/>
  <c r="Q1711" i="2"/>
  <c r="AF1706" i="2"/>
  <c r="AK1706" i="2"/>
  <c r="U1706" i="2"/>
  <c r="AA1706" i="2"/>
  <c r="R1695" i="2"/>
  <c r="AP1695" i="2" s="1"/>
  <c r="S1695" i="2"/>
  <c r="Q1695" i="2"/>
  <c r="AF1690" i="2"/>
  <c r="AK1690" i="2"/>
  <c r="U1690" i="2"/>
  <c r="AA1690" i="2"/>
  <c r="R1679" i="2"/>
  <c r="AP1679" i="2" s="1"/>
  <c r="S1679" i="2"/>
  <c r="Q1679" i="2"/>
  <c r="AF1674" i="2"/>
  <c r="AK1674" i="2"/>
  <c r="U1674" i="2"/>
  <c r="AA1674" i="2"/>
  <c r="AF1952" i="2"/>
  <c r="AA1952" i="2"/>
  <c r="AK1952" i="2"/>
  <c r="U1952" i="2"/>
  <c r="AF1944" i="2"/>
  <c r="AA1944" i="2"/>
  <c r="AK1944" i="2"/>
  <c r="U1944" i="2"/>
  <c r="AF1936" i="2"/>
  <c r="AA1936" i="2"/>
  <c r="AK1936" i="2"/>
  <c r="U1936" i="2"/>
  <c r="AF1928" i="2"/>
  <c r="AA1928" i="2"/>
  <c r="AK1928" i="2"/>
  <c r="U1928" i="2"/>
  <c r="AF1920" i="2"/>
  <c r="AA1920" i="2"/>
  <c r="AK1920" i="2"/>
  <c r="U1920" i="2"/>
  <c r="AF1912" i="2"/>
  <c r="AA1912" i="2"/>
  <c r="AK1912" i="2"/>
  <c r="U1912" i="2"/>
  <c r="AF1904" i="2"/>
  <c r="AA1904" i="2"/>
  <c r="AK1904" i="2"/>
  <c r="U1904" i="2"/>
  <c r="AF1896" i="2"/>
  <c r="AA1896" i="2"/>
  <c r="AK1896" i="2"/>
  <c r="U1896" i="2"/>
  <c r="AF1888" i="2"/>
  <c r="AA1888" i="2"/>
  <c r="AK1888" i="2"/>
  <c r="U1888" i="2"/>
  <c r="AF1880" i="2"/>
  <c r="AA1880" i="2"/>
  <c r="AK1880" i="2"/>
  <c r="U1880" i="2"/>
  <c r="AF1872" i="2"/>
  <c r="AA1872" i="2"/>
  <c r="AK1872" i="2"/>
  <c r="U1872" i="2"/>
  <c r="AF1864" i="2"/>
  <c r="AA1864" i="2"/>
  <c r="AK1864" i="2"/>
  <c r="U1864" i="2"/>
  <c r="AK1857" i="2"/>
  <c r="U1857" i="2"/>
  <c r="AF1857" i="2"/>
  <c r="AA1857" i="2"/>
  <c r="AK1853" i="2"/>
  <c r="U1853" i="2"/>
  <c r="AF1853" i="2"/>
  <c r="AA1853" i="2"/>
  <c r="AG1839" i="2"/>
  <c r="AL1839" i="2"/>
  <c r="V1839" i="2"/>
  <c r="AB1839" i="2"/>
  <c r="Q1833" i="2"/>
  <c r="R1833" i="2"/>
  <c r="AP1833" i="2" s="1"/>
  <c r="S1833" i="2"/>
  <c r="Q1817" i="2"/>
  <c r="R1817" i="2"/>
  <c r="AP1817" i="2" s="1"/>
  <c r="S1817" i="2"/>
  <c r="Q1801" i="2"/>
  <c r="R1801" i="2"/>
  <c r="AP1801" i="2" s="1"/>
  <c r="S1801" i="2"/>
  <c r="Q1785" i="2"/>
  <c r="R1785" i="2"/>
  <c r="AP1785" i="2" s="1"/>
  <c r="S1785" i="2"/>
  <c r="Q1769" i="2"/>
  <c r="R1769" i="2"/>
  <c r="AP1769" i="2" s="1"/>
  <c r="S1769" i="2"/>
  <c r="AF1755" i="2"/>
  <c r="AA1755" i="2"/>
  <c r="AK1755" i="2"/>
  <c r="U1755" i="2"/>
  <c r="AF1751" i="2"/>
  <c r="AA1751" i="2"/>
  <c r="AK1751" i="2"/>
  <c r="U1751" i="2"/>
  <c r="AF1747" i="2"/>
  <c r="AA1747" i="2"/>
  <c r="AK1747" i="2"/>
  <c r="U1747" i="2"/>
  <c r="AF1743" i="2"/>
  <c r="AA1743" i="2"/>
  <c r="AK1743" i="2"/>
  <c r="U1743" i="2"/>
  <c r="AF1739" i="2"/>
  <c r="AA1739" i="2"/>
  <c r="AK1739" i="2"/>
  <c r="U1739" i="2"/>
  <c r="AF1735" i="2"/>
  <c r="AA1735" i="2"/>
  <c r="AK1735" i="2"/>
  <c r="U1735" i="2"/>
  <c r="AF1731" i="2"/>
  <c r="AA1731" i="2"/>
  <c r="AK1731" i="2"/>
  <c r="U1731" i="2"/>
  <c r="AF1727" i="2"/>
  <c r="AA1727" i="2"/>
  <c r="AK1727" i="2"/>
  <c r="U1727" i="2"/>
  <c r="AF1723" i="2"/>
  <c r="AA1723" i="2"/>
  <c r="AK1723" i="2"/>
  <c r="U1723" i="2"/>
  <c r="AF1719" i="2"/>
  <c r="AA1719" i="2"/>
  <c r="AK1719" i="2"/>
  <c r="U1719" i="2"/>
  <c r="AF1715" i="2"/>
  <c r="AA1715" i="2"/>
  <c r="AK1715" i="2"/>
  <c r="U1715" i="2"/>
  <c r="AF1711" i="2"/>
  <c r="AA1711" i="2"/>
  <c r="AK1711" i="2"/>
  <c r="U1711" i="2"/>
  <c r="AF1707" i="2"/>
  <c r="AA1707" i="2"/>
  <c r="AK1707" i="2"/>
  <c r="U1707" i="2"/>
  <c r="AF1703" i="2"/>
  <c r="AA1703" i="2"/>
  <c r="AK1703" i="2"/>
  <c r="U1703" i="2"/>
  <c r="AF1699" i="2"/>
  <c r="AA1699" i="2"/>
  <c r="AK1699" i="2"/>
  <c r="U1699" i="2"/>
  <c r="AF1695" i="2"/>
  <c r="AA1695" i="2"/>
  <c r="AK1695" i="2"/>
  <c r="U1695" i="2"/>
  <c r="AF1691" i="2"/>
  <c r="AA1691" i="2"/>
  <c r="AK1691" i="2"/>
  <c r="U1691" i="2"/>
  <c r="AF1687" i="2"/>
  <c r="AA1687" i="2"/>
  <c r="AK1687" i="2"/>
  <c r="U1687" i="2"/>
  <c r="AF1683" i="2"/>
  <c r="AA1683" i="2"/>
  <c r="AK1683" i="2"/>
  <c r="U1683" i="2"/>
  <c r="AF1679" i="2"/>
  <c r="AA1679" i="2"/>
  <c r="AK1679" i="2"/>
  <c r="U1679" i="2"/>
  <c r="AF1675" i="2"/>
  <c r="AA1675" i="2"/>
  <c r="AK1675" i="2"/>
  <c r="U1675" i="2"/>
  <c r="AF1671" i="2"/>
  <c r="AA1671" i="2"/>
  <c r="AK1671" i="2"/>
  <c r="U1671" i="2"/>
  <c r="R1664" i="2"/>
  <c r="AP1664" i="2" s="1"/>
  <c r="Q1664" i="2"/>
  <c r="S1664" i="2"/>
  <c r="AF1661" i="2"/>
  <c r="AA1661" i="2"/>
  <c r="AK1661" i="2"/>
  <c r="U1661" i="2"/>
  <c r="AK1654" i="2"/>
  <c r="U1654" i="2"/>
  <c r="AF1654" i="2"/>
  <c r="AA1654" i="2"/>
  <c r="R1648" i="2"/>
  <c r="AP1648" i="2" s="1"/>
  <c r="Q1648" i="2"/>
  <c r="S1648" i="2"/>
  <c r="AF1645" i="2"/>
  <c r="AA1645" i="2"/>
  <c r="AK1645" i="2"/>
  <c r="U1645" i="2"/>
  <c r="AK1638" i="2"/>
  <c r="U1638" i="2"/>
  <c r="AF1638" i="2"/>
  <c r="AA1638" i="2"/>
  <c r="R1632" i="2"/>
  <c r="AP1632" i="2" s="1"/>
  <c r="Q1632" i="2"/>
  <c r="S1632" i="2"/>
  <c r="AF1629" i="2"/>
  <c r="AA1629" i="2"/>
  <c r="AK1629" i="2"/>
  <c r="U1629" i="2"/>
  <c r="AK1622" i="2"/>
  <c r="U1622" i="2"/>
  <c r="AF1622" i="2"/>
  <c r="AA1622" i="2"/>
  <c r="R1616" i="2"/>
  <c r="AP1616" i="2" s="1"/>
  <c r="Q1616" i="2"/>
  <c r="S1616" i="2"/>
  <c r="AF1613" i="2"/>
  <c r="AA1613" i="2"/>
  <c r="AK1613" i="2"/>
  <c r="U1613" i="2"/>
  <c r="AK1606" i="2"/>
  <c r="U1606" i="2"/>
  <c r="AF1606" i="2"/>
  <c r="AA1606" i="2"/>
  <c r="R1600" i="2"/>
  <c r="AP1600" i="2" s="1"/>
  <c r="Q1600" i="2"/>
  <c r="S1600" i="2"/>
  <c r="AF1597" i="2"/>
  <c r="AA1597" i="2"/>
  <c r="AK1597" i="2"/>
  <c r="U1597" i="2"/>
  <c r="AK1590" i="2"/>
  <c r="U1590" i="2"/>
  <c r="AF1590" i="2"/>
  <c r="AA1590" i="2"/>
  <c r="AK1582" i="2"/>
  <c r="U1582" i="2"/>
  <c r="AF1582" i="2"/>
  <c r="AA1582" i="2"/>
  <c r="R1541" i="2"/>
  <c r="AP1541" i="2" s="1"/>
  <c r="Q1541" i="2"/>
  <c r="S1541" i="2"/>
  <c r="R1537" i="2"/>
  <c r="AP1537" i="2" s="1"/>
  <c r="Q1537" i="2"/>
  <c r="S1537" i="2"/>
  <c r="R1533" i="2"/>
  <c r="AP1533" i="2" s="1"/>
  <c r="Q1533" i="2"/>
  <c r="S1533" i="2"/>
  <c r="R1529" i="2"/>
  <c r="AP1529" i="2" s="1"/>
  <c r="Q1529" i="2"/>
  <c r="S1529" i="2"/>
  <c r="R1525" i="2"/>
  <c r="AP1525" i="2" s="1"/>
  <c r="Q1525" i="2"/>
  <c r="S1525" i="2"/>
  <c r="R1521" i="2"/>
  <c r="AP1521" i="2" s="1"/>
  <c r="Q1521" i="2"/>
  <c r="S1521" i="2"/>
  <c r="R1517" i="2"/>
  <c r="AP1517" i="2" s="1"/>
  <c r="Q1517" i="2"/>
  <c r="S1517" i="2"/>
  <c r="R1513" i="2"/>
  <c r="AP1513" i="2" s="1"/>
  <c r="Q1513" i="2"/>
  <c r="S1513" i="2"/>
  <c r="R1509" i="2"/>
  <c r="AP1509" i="2" s="1"/>
  <c r="Q1509" i="2"/>
  <c r="S1509" i="2"/>
  <c r="AF1501" i="2"/>
  <c r="AK1501" i="2"/>
  <c r="U1501" i="2"/>
  <c r="AA1501" i="2"/>
  <c r="R1499" i="2"/>
  <c r="AP1499" i="2" s="1"/>
  <c r="Q1499" i="2"/>
  <c r="S1499" i="2"/>
  <c r="R1495" i="2"/>
  <c r="AP1495" i="2" s="1"/>
  <c r="Q1495" i="2"/>
  <c r="S1495" i="2"/>
  <c r="R1491" i="2"/>
  <c r="AP1491" i="2" s="1"/>
  <c r="Q1491" i="2"/>
  <c r="S1491" i="2"/>
  <c r="AF1488" i="2"/>
  <c r="AA1488" i="2"/>
  <c r="AK1488" i="2"/>
  <c r="U1488" i="2"/>
  <c r="R1481" i="2"/>
  <c r="AP1481" i="2" s="1"/>
  <c r="Q1481" i="2"/>
  <c r="S1481" i="2"/>
  <c r="AF1474" i="2"/>
  <c r="AA1474" i="2"/>
  <c r="AK1474" i="2"/>
  <c r="U1474" i="2"/>
  <c r="AF1470" i="2"/>
  <c r="AA1470" i="2"/>
  <c r="AK1470" i="2"/>
  <c r="U1470" i="2"/>
  <c r="AF1466" i="2"/>
  <c r="AA1466" i="2"/>
  <c r="AK1466" i="2"/>
  <c r="U1466" i="2"/>
  <c r="AF1462" i="2"/>
  <c r="AA1462" i="2"/>
  <c r="AK1462" i="2"/>
  <c r="U1462" i="2"/>
  <c r="AF1458" i="2"/>
  <c r="AA1458" i="2"/>
  <c r="AK1458" i="2"/>
  <c r="U1458" i="2"/>
  <c r="AF1454" i="2"/>
  <c r="AA1454" i="2"/>
  <c r="AK1454" i="2"/>
  <c r="U1454" i="2"/>
  <c r="AF1450" i="2"/>
  <c r="AA1450" i="2"/>
  <c r="AK1450" i="2"/>
  <c r="U1450" i="2"/>
  <c r="AF1446" i="2"/>
  <c r="AA1446" i="2"/>
  <c r="AK1446" i="2"/>
  <c r="U1446" i="2"/>
  <c r="AK1389" i="2"/>
  <c r="U1389" i="2"/>
  <c r="AA1389" i="2"/>
  <c r="AF1389" i="2"/>
  <c r="AK1373" i="2"/>
  <c r="U1373" i="2"/>
  <c r="AA1373" i="2"/>
  <c r="AF1373" i="2"/>
  <c r="R1588" i="2"/>
  <c r="AP1588" i="2" s="1"/>
  <c r="Q1588" i="2"/>
  <c r="S1588" i="2"/>
  <c r="AF1542" i="2"/>
  <c r="AA1542" i="2"/>
  <c r="AK1542" i="2"/>
  <c r="U1542" i="2"/>
  <c r="AF1533" i="2"/>
  <c r="AK1533" i="2"/>
  <c r="U1533" i="2"/>
  <c r="AA1533" i="2"/>
  <c r="R1532" i="2"/>
  <c r="AP1532" i="2" s="1"/>
  <c r="S1532" i="2"/>
  <c r="Q1532" i="2"/>
  <c r="AF1526" i="2"/>
  <c r="AA1526" i="2"/>
  <c r="AK1526" i="2"/>
  <c r="U1526" i="2"/>
  <c r="AF1522" i="2"/>
  <c r="AA1522" i="2"/>
  <c r="AK1522" i="2"/>
  <c r="U1522" i="2"/>
  <c r="AF1518" i="2"/>
  <c r="AA1518" i="2"/>
  <c r="AK1518" i="2"/>
  <c r="U1518" i="2"/>
  <c r="AF1505" i="2"/>
  <c r="AK1505" i="2"/>
  <c r="U1505" i="2"/>
  <c r="AA1505" i="2"/>
  <c r="AF1491" i="2"/>
  <c r="AK1491" i="2"/>
  <c r="U1491" i="2"/>
  <c r="AA1491" i="2"/>
  <c r="R1490" i="2"/>
  <c r="AP1490" i="2" s="1"/>
  <c r="S1490" i="2"/>
  <c r="Q1490" i="2"/>
  <c r="AF1486" i="2"/>
  <c r="AA1486" i="2"/>
  <c r="AK1486" i="2"/>
  <c r="U1486" i="2"/>
  <c r="R1437" i="2"/>
  <c r="AP1437" i="2" s="1"/>
  <c r="Q1437" i="2"/>
  <c r="S1437" i="2"/>
  <c r="R1433" i="2"/>
  <c r="AP1433" i="2" s="1"/>
  <c r="Q1433" i="2"/>
  <c r="S1433" i="2"/>
  <c r="R1429" i="2"/>
  <c r="AP1429" i="2" s="1"/>
  <c r="Q1429" i="2"/>
  <c r="S1429" i="2"/>
  <c r="R1425" i="2"/>
  <c r="AP1425" i="2" s="1"/>
  <c r="Q1425" i="2"/>
  <c r="S1425" i="2"/>
  <c r="R1421" i="2"/>
  <c r="AP1421" i="2" s="1"/>
  <c r="Q1421" i="2"/>
  <c r="S1421" i="2"/>
  <c r="R1417" i="2"/>
  <c r="AP1417" i="2" s="1"/>
  <c r="Q1417" i="2"/>
  <c r="S1417" i="2"/>
  <c r="R1413" i="2"/>
  <c r="AP1413" i="2" s="1"/>
  <c r="Q1413" i="2"/>
  <c r="S1413" i="2"/>
  <c r="R1409" i="2"/>
  <c r="AP1409" i="2" s="1"/>
  <c r="Q1409" i="2"/>
  <c r="S1409" i="2"/>
  <c r="R1405" i="2"/>
  <c r="AP1405" i="2" s="1"/>
  <c r="Q1405" i="2"/>
  <c r="S1405" i="2"/>
  <c r="R1401" i="2"/>
  <c r="AP1401" i="2" s="1"/>
  <c r="Q1401" i="2"/>
  <c r="S1401" i="2"/>
  <c r="R1397" i="2"/>
  <c r="AP1397" i="2" s="1"/>
  <c r="Q1397" i="2"/>
  <c r="S1397" i="2"/>
  <c r="S1392" i="2"/>
  <c r="R1392" i="2"/>
  <c r="AP1392" i="2" s="1"/>
  <c r="Q1392" i="2"/>
  <c r="S1372" i="2"/>
  <c r="Q1372" i="2"/>
  <c r="R1372" i="2"/>
  <c r="AP1372" i="2" s="1"/>
  <c r="AK1660" i="2"/>
  <c r="U1660" i="2"/>
  <c r="AF1660" i="2"/>
  <c r="AA1660" i="2"/>
  <c r="R1654" i="2"/>
  <c r="AP1654" i="2" s="1"/>
  <c r="Q1654" i="2"/>
  <c r="S1654" i="2"/>
  <c r="AF1651" i="2"/>
  <c r="AA1651" i="2"/>
  <c r="AK1651" i="2"/>
  <c r="U1651" i="2"/>
  <c r="AK1644" i="2"/>
  <c r="U1644" i="2"/>
  <c r="AF1644" i="2"/>
  <c r="AA1644" i="2"/>
  <c r="R1638" i="2"/>
  <c r="AP1638" i="2" s="1"/>
  <c r="Q1638" i="2"/>
  <c r="S1638" i="2"/>
  <c r="AF1635" i="2"/>
  <c r="AA1635" i="2"/>
  <c r="AK1635" i="2"/>
  <c r="U1635" i="2"/>
  <c r="AK1628" i="2"/>
  <c r="U1628" i="2"/>
  <c r="AF1628" i="2"/>
  <c r="AA1628" i="2"/>
  <c r="R1622" i="2"/>
  <c r="AP1622" i="2" s="1"/>
  <c r="Q1622" i="2"/>
  <c r="S1622" i="2"/>
  <c r="AF1619" i="2"/>
  <c r="AA1619" i="2"/>
  <c r="AK1619" i="2"/>
  <c r="U1619" i="2"/>
  <c r="AK1612" i="2"/>
  <c r="U1612" i="2"/>
  <c r="AF1612" i="2"/>
  <c r="AA1612" i="2"/>
  <c r="R1606" i="2"/>
  <c r="AP1606" i="2" s="1"/>
  <c r="Q1606" i="2"/>
  <c r="S1606" i="2"/>
  <c r="AF1603" i="2"/>
  <c r="AA1603" i="2"/>
  <c r="AK1603" i="2"/>
  <c r="U1603" i="2"/>
  <c r="AK1596" i="2"/>
  <c r="U1596" i="2"/>
  <c r="AF1596" i="2"/>
  <c r="AA1596" i="2"/>
  <c r="AK1588" i="2"/>
  <c r="U1588" i="2"/>
  <c r="AF1588" i="2"/>
  <c r="AA1588" i="2"/>
  <c r="R1582" i="2"/>
  <c r="AP1582" i="2" s="1"/>
  <c r="Q1582" i="2"/>
  <c r="S1582" i="2"/>
  <c r="AF1578" i="2"/>
  <c r="AA1578" i="2"/>
  <c r="AK1578" i="2"/>
  <c r="U1578" i="2"/>
  <c r="AF1574" i="2"/>
  <c r="AA1574" i="2"/>
  <c r="AK1574" i="2"/>
  <c r="U1574" i="2"/>
  <c r="AF1570" i="2"/>
  <c r="AA1570" i="2"/>
  <c r="AK1570" i="2"/>
  <c r="U1570" i="2"/>
  <c r="AF1566" i="2"/>
  <c r="AA1566" i="2"/>
  <c r="AK1566" i="2"/>
  <c r="U1566" i="2"/>
  <c r="AF1562" i="2"/>
  <c r="AA1562" i="2"/>
  <c r="AK1562" i="2"/>
  <c r="U1562" i="2"/>
  <c r="AF1558" i="2"/>
  <c r="AA1558" i="2"/>
  <c r="AK1558" i="2"/>
  <c r="U1558" i="2"/>
  <c r="AF1554" i="2"/>
  <c r="AA1554" i="2"/>
  <c r="AK1554" i="2"/>
  <c r="U1554" i="2"/>
  <c r="AF1550" i="2"/>
  <c r="AA1550" i="2"/>
  <c r="AK1550" i="2"/>
  <c r="U1550" i="2"/>
  <c r="AF1546" i="2"/>
  <c r="AA1546" i="2"/>
  <c r="AK1546" i="2"/>
  <c r="U1546" i="2"/>
  <c r="R1523" i="2"/>
  <c r="AP1523" i="2" s="1"/>
  <c r="Q1523" i="2"/>
  <c r="S1523" i="2"/>
  <c r="R1511" i="2"/>
  <c r="AP1511" i="2" s="1"/>
  <c r="Q1511" i="2"/>
  <c r="S1511" i="2"/>
  <c r="R1507" i="2"/>
  <c r="AP1507" i="2" s="1"/>
  <c r="Q1507" i="2"/>
  <c r="S1507" i="2"/>
  <c r="AF1504" i="2"/>
  <c r="AA1504" i="2"/>
  <c r="AK1504" i="2"/>
  <c r="U1504" i="2"/>
  <c r="R1483" i="2"/>
  <c r="AP1483" i="2" s="1"/>
  <c r="Q1483" i="2"/>
  <c r="S1483" i="2"/>
  <c r="AF1475" i="2"/>
  <c r="AK1475" i="2"/>
  <c r="U1475" i="2"/>
  <c r="AA1475" i="2"/>
  <c r="AF1472" i="2"/>
  <c r="AA1472" i="2"/>
  <c r="AK1472" i="2"/>
  <c r="U1472" i="2"/>
  <c r="AF1468" i="2"/>
  <c r="AA1468" i="2"/>
  <c r="AK1468" i="2"/>
  <c r="U1468" i="2"/>
  <c r="AF1464" i="2"/>
  <c r="AA1464" i="2"/>
  <c r="AK1464" i="2"/>
  <c r="U1464" i="2"/>
  <c r="AF1460" i="2"/>
  <c r="AA1460" i="2"/>
  <c r="AK1460" i="2"/>
  <c r="U1460" i="2"/>
  <c r="AF1456" i="2"/>
  <c r="AA1456" i="2"/>
  <c r="AK1456" i="2"/>
  <c r="U1456" i="2"/>
  <c r="AF1452" i="2"/>
  <c r="AA1452" i="2"/>
  <c r="AK1452" i="2"/>
  <c r="U1452" i="2"/>
  <c r="AF1448" i="2"/>
  <c r="AA1448" i="2"/>
  <c r="AK1448" i="2"/>
  <c r="U1448" i="2"/>
  <c r="AF1444" i="2"/>
  <c r="AA1444" i="2"/>
  <c r="AK1444" i="2"/>
  <c r="U1444" i="2"/>
  <c r="AF1437" i="2"/>
  <c r="AK1437" i="2"/>
  <c r="U1437" i="2"/>
  <c r="AA1437" i="2"/>
  <c r="R1436" i="2"/>
  <c r="AP1436" i="2" s="1"/>
  <c r="S1436" i="2"/>
  <c r="Q1436" i="2"/>
  <c r="AF1433" i="2"/>
  <c r="AK1433" i="2"/>
  <c r="U1433" i="2"/>
  <c r="AA1433" i="2"/>
  <c r="R1432" i="2"/>
  <c r="AP1432" i="2" s="1"/>
  <c r="S1432" i="2"/>
  <c r="Q1432" i="2"/>
  <c r="AF1429" i="2"/>
  <c r="AK1429" i="2"/>
  <c r="U1429" i="2"/>
  <c r="AA1429" i="2"/>
  <c r="R1428" i="2"/>
  <c r="AP1428" i="2" s="1"/>
  <c r="S1428" i="2"/>
  <c r="Q1428" i="2"/>
  <c r="AF1425" i="2"/>
  <c r="AK1425" i="2"/>
  <c r="U1425" i="2"/>
  <c r="AA1425" i="2"/>
  <c r="R1424" i="2"/>
  <c r="AP1424" i="2" s="1"/>
  <c r="S1424" i="2"/>
  <c r="Q1424" i="2"/>
  <c r="AF1421" i="2"/>
  <c r="AK1421" i="2"/>
  <c r="U1421" i="2"/>
  <c r="AA1421" i="2"/>
  <c r="R1420" i="2"/>
  <c r="AP1420" i="2" s="1"/>
  <c r="S1420" i="2"/>
  <c r="Q1420" i="2"/>
  <c r="AF1417" i="2"/>
  <c r="AK1417" i="2"/>
  <c r="U1417" i="2"/>
  <c r="AA1417" i="2"/>
  <c r="R1416" i="2"/>
  <c r="AP1416" i="2" s="1"/>
  <c r="S1416" i="2"/>
  <c r="Q1416" i="2"/>
  <c r="AF1413" i="2"/>
  <c r="AK1413" i="2"/>
  <c r="U1413" i="2"/>
  <c r="AA1413" i="2"/>
  <c r="R1412" i="2"/>
  <c r="AP1412" i="2" s="1"/>
  <c r="S1412" i="2"/>
  <c r="Q1412" i="2"/>
  <c r="AF1409" i="2"/>
  <c r="AK1409" i="2"/>
  <c r="U1409" i="2"/>
  <c r="AA1409" i="2"/>
  <c r="R1408" i="2"/>
  <c r="AP1408" i="2" s="1"/>
  <c r="S1408" i="2"/>
  <c r="Q1408" i="2"/>
  <c r="AF1405" i="2"/>
  <c r="AK1405" i="2"/>
  <c r="U1405" i="2"/>
  <c r="AA1405" i="2"/>
  <c r="R1404" i="2"/>
  <c r="AP1404" i="2" s="1"/>
  <c r="S1404" i="2"/>
  <c r="Q1404" i="2"/>
  <c r="AF1401" i="2"/>
  <c r="AK1401" i="2"/>
  <c r="U1401" i="2"/>
  <c r="AA1401" i="2"/>
  <c r="R1400" i="2"/>
  <c r="AP1400" i="2" s="1"/>
  <c r="S1400" i="2"/>
  <c r="Q1400" i="2"/>
  <c r="AF1397" i="2"/>
  <c r="AK1397" i="2"/>
  <c r="U1397" i="2"/>
  <c r="AA1397" i="2"/>
  <c r="R1396" i="2"/>
  <c r="AP1396" i="2" s="1"/>
  <c r="S1396" i="2"/>
  <c r="Q1396" i="2"/>
  <c r="AK1393" i="2"/>
  <c r="U1393" i="2"/>
  <c r="AF1393" i="2"/>
  <c r="AA1393" i="2"/>
  <c r="S1390" i="2"/>
  <c r="Q1390" i="2"/>
  <c r="R1390" i="2"/>
  <c r="AP1390" i="2" s="1"/>
  <c r="AF1382" i="2"/>
  <c r="AA1382" i="2"/>
  <c r="AK1382" i="2"/>
  <c r="U1382" i="2"/>
  <c r="R1381" i="2"/>
  <c r="AP1381" i="2" s="1"/>
  <c r="Q1381" i="2"/>
  <c r="S1381" i="2"/>
  <c r="AK1377" i="2"/>
  <c r="U1377" i="2"/>
  <c r="AF1377" i="2"/>
  <c r="AA1377" i="2"/>
  <c r="S1374" i="2"/>
  <c r="Q1374" i="2"/>
  <c r="R1374" i="2"/>
  <c r="AP1374" i="2" s="1"/>
  <c r="R1668" i="2"/>
  <c r="AP1668" i="2" s="1"/>
  <c r="Q1668" i="2"/>
  <c r="S1668" i="2"/>
  <c r="R1666" i="2"/>
  <c r="AP1666" i="2" s="1"/>
  <c r="Q1666" i="2"/>
  <c r="S1666" i="2"/>
  <c r="R1579" i="2"/>
  <c r="AP1579" i="2" s="1"/>
  <c r="Q1579" i="2"/>
  <c r="S1579" i="2"/>
  <c r="R1575" i="2"/>
  <c r="AP1575" i="2" s="1"/>
  <c r="Q1575" i="2"/>
  <c r="S1575" i="2"/>
  <c r="R1571" i="2"/>
  <c r="AP1571" i="2" s="1"/>
  <c r="Q1571" i="2"/>
  <c r="S1571" i="2"/>
  <c r="R1567" i="2"/>
  <c r="AP1567" i="2" s="1"/>
  <c r="Q1567" i="2"/>
  <c r="S1567" i="2"/>
  <c r="R1563" i="2"/>
  <c r="AP1563" i="2" s="1"/>
  <c r="Q1563" i="2"/>
  <c r="S1563" i="2"/>
  <c r="R1559" i="2"/>
  <c r="AP1559" i="2" s="1"/>
  <c r="Q1559" i="2"/>
  <c r="S1559" i="2"/>
  <c r="R1555" i="2"/>
  <c r="AP1555" i="2" s="1"/>
  <c r="Q1555" i="2"/>
  <c r="S1555" i="2"/>
  <c r="R1551" i="2"/>
  <c r="AP1551" i="2" s="1"/>
  <c r="Q1551" i="2"/>
  <c r="S1551" i="2"/>
  <c r="R1547" i="2"/>
  <c r="AP1547" i="2" s="1"/>
  <c r="Q1547" i="2"/>
  <c r="S1547" i="2"/>
  <c r="AF1442" i="2"/>
  <c r="AA1442" i="2"/>
  <c r="AK1442" i="2"/>
  <c r="U1442" i="2"/>
  <c r="R1440" i="2"/>
  <c r="AP1440" i="2" s="1"/>
  <c r="S1440" i="2"/>
  <c r="Q1440" i="2"/>
  <c r="AK1375" i="2"/>
  <c r="U1375" i="2"/>
  <c r="AA1375" i="2"/>
  <c r="AF1375" i="2"/>
  <c r="AK1370" i="2"/>
  <c r="U1370" i="2"/>
  <c r="AF1370" i="2"/>
  <c r="AA1370" i="2"/>
  <c r="S1365" i="2"/>
  <c r="R1365" i="2"/>
  <c r="AP1365" i="2" s="1"/>
  <c r="Q1365" i="2"/>
  <c r="AK1354" i="2"/>
  <c r="U1354" i="2"/>
  <c r="AF1354" i="2"/>
  <c r="AA1354" i="2"/>
  <c r="S1349" i="2"/>
  <c r="R1349" i="2"/>
  <c r="AP1349" i="2" s="1"/>
  <c r="Q1349" i="2"/>
  <c r="AK1338" i="2"/>
  <c r="U1338" i="2"/>
  <c r="AF1338" i="2"/>
  <c r="AA1338" i="2"/>
  <c r="S1333" i="2"/>
  <c r="R1333" i="2"/>
  <c r="AP1333" i="2" s="1"/>
  <c r="Q1333" i="2"/>
  <c r="AK1322" i="2"/>
  <c r="U1322" i="2"/>
  <c r="AF1322" i="2"/>
  <c r="AA1322" i="2"/>
  <c r="S1317" i="2"/>
  <c r="R1317" i="2"/>
  <c r="AP1317" i="2" s="1"/>
  <c r="Q1317" i="2"/>
  <c r="AK1306" i="2"/>
  <c r="U1306" i="2"/>
  <c r="AF1306" i="2"/>
  <c r="AA1306" i="2"/>
  <c r="S1301" i="2"/>
  <c r="R1301" i="2"/>
  <c r="AP1301" i="2" s="1"/>
  <c r="Q1301" i="2"/>
  <c r="AK1290" i="2"/>
  <c r="U1290" i="2"/>
  <c r="AF1290" i="2"/>
  <c r="AA1290" i="2"/>
  <c r="S1285" i="2"/>
  <c r="R1285" i="2"/>
  <c r="AP1285" i="2" s="1"/>
  <c r="Q1285" i="2"/>
  <c r="AK1274" i="2"/>
  <c r="U1274" i="2"/>
  <c r="AF1274" i="2"/>
  <c r="AA1274" i="2"/>
  <c r="S1269" i="2"/>
  <c r="R1269" i="2"/>
  <c r="AP1269" i="2" s="1"/>
  <c r="Q1269" i="2"/>
  <c r="AK1258" i="2"/>
  <c r="U1258" i="2"/>
  <c r="AF1258" i="2"/>
  <c r="AA1258" i="2"/>
  <c r="S1253" i="2"/>
  <c r="R1253" i="2"/>
  <c r="AP1253" i="2" s="1"/>
  <c r="Q1253" i="2"/>
  <c r="AK1242" i="2"/>
  <c r="U1242" i="2"/>
  <c r="AF1242" i="2"/>
  <c r="AA1242" i="2"/>
  <c r="S1237" i="2"/>
  <c r="R1237" i="2"/>
  <c r="AP1237" i="2" s="1"/>
  <c r="Q1237" i="2"/>
  <c r="AK1226" i="2"/>
  <c r="U1226" i="2"/>
  <c r="AF1226" i="2"/>
  <c r="AA1226" i="2"/>
  <c r="S1221" i="2"/>
  <c r="R1221" i="2"/>
  <c r="AP1221" i="2" s="1"/>
  <c r="Q1221" i="2"/>
  <c r="AK1210" i="2"/>
  <c r="U1210" i="2"/>
  <c r="AF1210" i="2"/>
  <c r="AA1210" i="2"/>
  <c r="S1205" i="2"/>
  <c r="R1205" i="2"/>
  <c r="AP1205" i="2" s="1"/>
  <c r="Q1205" i="2"/>
  <c r="AK1194" i="2"/>
  <c r="U1194" i="2"/>
  <c r="AF1194" i="2"/>
  <c r="AA1194" i="2"/>
  <c r="S1189" i="2"/>
  <c r="R1189" i="2"/>
  <c r="AP1189" i="2" s="1"/>
  <c r="Q1189" i="2"/>
  <c r="AK1178" i="2"/>
  <c r="U1178" i="2"/>
  <c r="AF1178" i="2"/>
  <c r="AA1178" i="2"/>
  <c r="S1173" i="2"/>
  <c r="R1173" i="2"/>
  <c r="AP1173" i="2" s="1"/>
  <c r="Q1173" i="2"/>
  <c r="Q1170" i="2"/>
  <c r="S1170" i="2"/>
  <c r="R1170" i="2"/>
  <c r="AP1170" i="2" s="1"/>
  <c r="S1165" i="2"/>
  <c r="R1165" i="2"/>
  <c r="AP1165" i="2" s="1"/>
  <c r="Q1165" i="2"/>
  <c r="Q1162" i="2"/>
  <c r="S1162" i="2"/>
  <c r="R1162" i="2"/>
  <c r="AP1162" i="2" s="1"/>
  <c r="S1157" i="2"/>
  <c r="R1157" i="2"/>
  <c r="AP1157" i="2" s="1"/>
  <c r="Q1157" i="2"/>
  <c r="Q1154" i="2"/>
  <c r="S1154" i="2"/>
  <c r="R1154" i="2"/>
  <c r="AP1154" i="2" s="1"/>
  <c r="S1151" i="2"/>
  <c r="R1151" i="2"/>
  <c r="AP1151" i="2" s="1"/>
  <c r="Q1151" i="2"/>
  <c r="S1147" i="2"/>
  <c r="R1147" i="2"/>
  <c r="AP1147" i="2" s="1"/>
  <c r="Q1147" i="2"/>
  <c r="S1143" i="2"/>
  <c r="R1143" i="2"/>
  <c r="AP1143" i="2" s="1"/>
  <c r="Q1143" i="2"/>
  <c r="Q1134" i="2"/>
  <c r="S1134" i="2"/>
  <c r="R1134" i="2"/>
  <c r="AP1134" i="2" s="1"/>
  <c r="Q1118" i="2"/>
  <c r="S1118" i="2"/>
  <c r="R1118" i="2"/>
  <c r="AP1118" i="2" s="1"/>
  <c r="Q1102" i="2"/>
  <c r="S1102" i="2"/>
  <c r="R1102" i="2"/>
  <c r="AP1102" i="2" s="1"/>
  <c r="Q1086" i="2"/>
  <c r="S1086" i="2"/>
  <c r="R1086" i="2"/>
  <c r="AP1086" i="2" s="1"/>
  <c r="Q1070" i="2"/>
  <c r="S1070" i="2"/>
  <c r="R1070" i="2"/>
  <c r="AP1070" i="2" s="1"/>
  <c r="Q1054" i="2"/>
  <c r="S1054" i="2"/>
  <c r="R1054" i="2"/>
  <c r="AP1054" i="2" s="1"/>
  <c r="R1370" i="2"/>
  <c r="AP1370" i="2" s="1"/>
  <c r="Q1370" i="2"/>
  <c r="S1370" i="2"/>
  <c r="AF1359" i="2"/>
  <c r="AA1359" i="2"/>
  <c r="AK1359" i="2"/>
  <c r="U1359" i="2"/>
  <c r="R1354" i="2"/>
  <c r="AP1354" i="2" s="1"/>
  <c r="Q1354" i="2"/>
  <c r="S1354" i="2"/>
  <c r="AF1343" i="2"/>
  <c r="AA1343" i="2"/>
  <c r="AK1343" i="2"/>
  <c r="U1343" i="2"/>
  <c r="R1338" i="2"/>
  <c r="AP1338" i="2" s="1"/>
  <c r="Q1338" i="2"/>
  <c r="S1338" i="2"/>
  <c r="AF1327" i="2"/>
  <c r="AA1327" i="2"/>
  <c r="AK1327" i="2"/>
  <c r="U1327" i="2"/>
  <c r="R1322" i="2"/>
  <c r="AP1322" i="2" s="1"/>
  <c r="Q1322" i="2"/>
  <c r="S1322" i="2"/>
  <c r="AF1311" i="2"/>
  <c r="AA1311" i="2"/>
  <c r="AK1311" i="2"/>
  <c r="U1311" i="2"/>
  <c r="R1306" i="2"/>
  <c r="AP1306" i="2" s="1"/>
  <c r="Q1306" i="2"/>
  <c r="S1306" i="2"/>
  <c r="AF1295" i="2"/>
  <c r="AA1295" i="2"/>
  <c r="AK1295" i="2"/>
  <c r="U1295" i="2"/>
  <c r="R1290" i="2"/>
  <c r="AP1290" i="2" s="1"/>
  <c r="Q1290" i="2"/>
  <c r="S1290" i="2"/>
  <c r="AF1279" i="2"/>
  <c r="AA1279" i="2"/>
  <c r="AK1279" i="2"/>
  <c r="U1279" i="2"/>
  <c r="R1274" i="2"/>
  <c r="AP1274" i="2" s="1"/>
  <c r="Q1274" i="2"/>
  <c r="S1274" i="2"/>
  <c r="AF1263" i="2"/>
  <c r="AA1263" i="2"/>
  <c r="AK1263" i="2"/>
  <c r="U1263" i="2"/>
  <c r="R1258" i="2"/>
  <c r="AP1258" i="2" s="1"/>
  <c r="Q1258" i="2"/>
  <c r="S1258" i="2"/>
  <c r="AF1247" i="2"/>
  <c r="AA1247" i="2"/>
  <c r="AK1247" i="2"/>
  <c r="U1247" i="2"/>
  <c r="R1242" i="2"/>
  <c r="AP1242" i="2" s="1"/>
  <c r="Q1242" i="2"/>
  <c r="S1242" i="2"/>
  <c r="AF1231" i="2"/>
  <c r="AA1231" i="2"/>
  <c r="AK1231" i="2"/>
  <c r="U1231" i="2"/>
  <c r="R1226" i="2"/>
  <c r="AP1226" i="2" s="1"/>
  <c r="Q1226" i="2"/>
  <c r="S1226" i="2"/>
  <c r="AF1215" i="2"/>
  <c r="AA1215" i="2"/>
  <c r="AK1215" i="2"/>
  <c r="U1215" i="2"/>
  <c r="R1210" i="2"/>
  <c r="AP1210" i="2" s="1"/>
  <c r="Q1210" i="2"/>
  <c r="S1210" i="2"/>
  <c r="AF1199" i="2"/>
  <c r="AA1199" i="2"/>
  <c r="AK1199" i="2"/>
  <c r="U1199" i="2"/>
  <c r="R1194" i="2"/>
  <c r="AP1194" i="2" s="1"/>
  <c r="Q1194" i="2"/>
  <c r="S1194" i="2"/>
  <c r="AF1183" i="2"/>
  <c r="AA1183" i="2"/>
  <c r="AK1183" i="2"/>
  <c r="U1183" i="2"/>
  <c r="R1178" i="2"/>
  <c r="AP1178" i="2" s="1"/>
  <c r="Q1178" i="2"/>
  <c r="S1178" i="2"/>
  <c r="AA1131" i="2"/>
  <c r="AK1131" i="2"/>
  <c r="U1131" i="2"/>
  <c r="AF1131" i="2"/>
  <c r="AA1115" i="2"/>
  <c r="AK1115" i="2"/>
  <c r="U1115" i="2"/>
  <c r="AF1115" i="2"/>
  <c r="AA1099" i="2"/>
  <c r="AK1099" i="2"/>
  <c r="U1099" i="2"/>
  <c r="AF1099" i="2"/>
  <c r="BD1089" i="2"/>
  <c r="AA1083" i="2"/>
  <c r="AK1083" i="2"/>
  <c r="U1083" i="2"/>
  <c r="AF1083" i="2"/>
  <c r="AA1067" i="2"/>
  <c r="AK1067" i="2"/>
  <c r="U1067" i="2"/>
  <c r="AF1067" i="2"/>
  <c r="AA1051" i="2"/>
  <c r="AK1051" i="2"/>
  <c r="U1051" i="2"/>
  <c r="AF1051" i="2"/>
  <c r="AF1380" i="2"/>
  <c r="AA1380" i="2"/>
  <c r="AK1380" i="2"/>
  <c r="U1380" i="2"/>
  <c r="S1367" i="2"/>
  <c r="R1367" i="2"/>
  <c r="AP1367" i="2" s="1"/>
  <c r="Q1367" i="2"/>
  <c r="AK1356" i="2"/>
  <c r="U1356" i="2"/>
  <c r="AF1356" i="2"/>
  <c r="AA1356" i="2"/>
  <c r="S1351" i="2"/>
  <c r="R1351" i="2"/>
  <c r="AP1351" i="2" s="1"/>
  <c r="Q1351" i="2"/>
  <c r="AK1340" i="2"/>
  <c r="U1340" i="2"/>
  <c r="AF1340" i="2"/>
  <c r="AA1340" i="2"/>
  <c r="S1335" i="2"/>
  <c r="R1335" i="2"/>
  <c r="AP1335" i="2" s="1"/>
  <c r="Q1335" i="2"/>
  <c r="AK1324" i="2"/>
  <c r="U1324" i="2"/>
  <c r="AF1324" i="2"/>
  <c r="AA1324" i="2"/>
  <c r="S1319" i="2"/>
  <c r="R1319" i="2"/>
  <c r="AP1319" i="2" s="1"/>
  <c r="Q1319" i="2"/>
  <c r="AK1308" i="2"/>
  <c r="U1308" i="2"/>
  <c r="AF1308" i="2"/>
  <c r="AA1308" i="2"/>
  <c r="S1303" i="2"/>
  <c r="R1303" i="2"/>
  <c r="AP1303" i="2" s="1"/>
  <c r="Q1303" i="2"/>
  <c r="AK1292" i="2"/>
  <c r="U1292" i="2"/>
  <c r="AF1292" i="2"/>
  <c r="AA1292" i="2"/>
  <c r="S1287" i="2"/>
  <c r="R1287" i="2"/>
  <c r="AP1287" i="2" s="1"/>
  <c r="Q1287" i="2"/>
  <c r="AK1276" i="2"/>
  <c r="U1276" i="2"/>
  <c r="AF1276" i="2"/>
  <c r="AA1276" i="2"/>
  <c r="S1271" i="2"/>
  <c r="R1271" i="2"/>
  <c r="AP1271" i="2" s="1"/>
  <c r="Q1271" i="2"/>
  <c r="AK1260" i="2"/>
  <c r="U1260" i="2"/>
  <c r="AF1260" i="2"/>
  <c r="AA1260" i="2"/>
  <c r="S1255" i="2"/>
  <c r="R1255" i="2"/>
  <c r="AP1255" i="2" s="1"/>
  <c r="Q1255" i="2"/>
  <c r="AK1244" i="2"/>
  <c r="U1244" i="2"/>
  <c r="AF1244" i="2"/>
  <c r="AA1244" i="2"/>
  <c r="S1239" i="2"/>
  <c r="R1239" i="2"/>
  <c r="AP1239" i="2" s="1"/>
  <c r="Q1239" i="2"/>
  <c r="AK1228" i="2"/>
  <c r="U1228" i="2"/>
  <c r="AF1228" i="2"/>
  <c r="AA1228" i="2"/>
  <c r="S1223" i="2"/>
  <c r="R1223" i="2"/>
  <c r="AP1223" i="2" s="1"/>
  <c r="Q1223" i="2"/>
  <c r="AK1212" i="2"/>
  <c r="U1212" i="2"/>
  <c r="AF1212" i="2"/>
  <c r="AA1212" i="2"/>
  <c r="S1207" i="2"/>
  <c r="R1207" i="2"/>
  <c r="AP1207" i="2" s="1"/>
  <c r="Q1207" i="2"/>
  <c r="AK1196" i="2"/>
  <c r="U1196" i="2"/>
  <c r="AF1196" i="2"/>
  <c r="AA1196" i="2"/>
  <c r="S1191" i="2"/>
  <c r="R1191" i="2"/>
  <c r="AP1191" i="2" s="1"/>
  <c r="Q1191" i="2"/>
  <c r="AK1180" i="2"/>
  <c r="U1180" i="2"/>
  <c r="AF1180" i="2"/>
  <c r="AA1180" i="2"/>
  <c r="Q1136" i="2"/>
  <c r="S1136" i="2"/>
  <c r="R1136" i="2"/>
  <c r="AP1136" i="2" s="1"/>
  <c r="Q1120" i="2"/>
  <c r="S1120" i="2"/>
  <c r="R1120" i="2"/>
  <c r="AP1120" i="2" s="1"/>
  <c r="Q1104" i="2"/>
  <c r="S1104" i="2"/>
  <c r="R1104" i="2"/>
  <c r="AP1104" i="2" s="1"/>
  <c r="Q1088" i="2"/>
  <c r="S1088" i="2"/>
  <c r="R1088" i="2"/>
  <c r="AP1088" i="2" s="1"/>
  <c r="Q1072" i="2"/>
  <c r="S1072" i="2"/>
  <c r="R1072" i="2"/>
  <c r="AP1072" i="2" s="1"/>
  <c r="Q1056" i="2"/>
  <c r="S1056" i="2"/>
  <c r="R1056" i="2"/>
  <c r="AP1056" i="2" s="1"/>
  <c r="AF1369" i="2"/>
  <c r="AA1369" i="2"/>
  <c r="AK1369" i="2"/>
  <c r="U1369" i="2"/>
  <c r="R1364" i="2"/>
  <c r="AP1364" i="2" s="1"/>
  <c r="Q1364" i="2"/>
  <c r="S1364" i="2"/>
  <c r="AF1353" i="2"/>
  <c r="AA1353" i="2"/>
  <c r="AK1353" i="2"/>
  <c r="U1353" i="2"/>
  <c r="R1348" i="2"/>
  <c r="AP1348" i="2" s="1"/>
  <c r="Q1348" i="2"/>
  <c r="S1348" i="2"/>
  <c r="AF1337" i="2"/>
  <c r="AA1337" i="2"/>
  <c r="AK1337" i="2"/>
  <c r="U1337" i="2"/>
  <c r="R1332" i="2"/>
  <c r="AP1332" i="2" s="1"/>
  <c r="Q1332" i="2"/>
  <c r="S1332" i="2"/>
  <c r="AF1321" i="2"/>
  <c r="AA1321" i="2"/>
  <c r="AK1321" i="2"/>
  <c r="U1321" i="2"/>
  <c r="R1316" i="2"/>
  <c r="AP1316" i="2" s="1"/>
  <c r="Q1316" i="2"/>
  <c r="S1316" i="2"/>
  <c r="AF1305" i="2"/>
  <c r="AA1305" i="2"/>
  <c r="AK1305" i="2"/>
  <c r="U1305" i="2"/>
  <c r="R1300" i="2"/>
  <c r="AP1300" i="2" s="1"/>
  <c r="Q1300" i="2"/>
  <c r="S1300" i="2"/>
  <c r="AF1289" i="2"/>
  <c r="AA1289" i="2"/>
  <c r="AK1289" i="2"/>
  <c r="U1289" i="2"/>
  <c r="R1284" i="2"/>
  <c r="AP1284" i="2" s="1"/>
  <c r="Q1284" i="2"/>
  <c r="S1284" i="2"/>
  <c r="AF1273" i="2"/>
  <c r="AA1273" i="2"/>
  <c r="AK1273" i="2"/>
  <c r="U1273" i="2"/>
  <c r="R1268" i="2"/>
  <c r="AP1268" i="2" s="1"/>
  <c r="Q1268" i="2"/>
  <c r="S1268" i="2"/>
  <c r="AF1257" i="2"/>
  <c r="AA1257" i="2"/>
  <c r="AK1257" i="2"/>
  <c r="U1257" i="2"/>
  <c r="R1252" i="2"/>
  <c r="AP1252" i="2" s="1"/>
  <c r="Q1252" i="2"/>
  <c r="S1252" i="2"/>
  <c r="AF1241" i="2"/>
  <c r="AA1241" i="2"/>
  <c r="AK1241" i="2"/>
  <c r="U1241" i="2"/>
  <c r="R1236" i="2"/>
  <c r="AP1236" i="2" s="1"/>
  <c r="Q1236" i="2"/>
  <c r="S1236" i="2"/>
  <c r="AF1225" i="2"/>
  <c r="AA1225" i="2"/>
  <c r="AK1225" i="2"/>
  <c r="U1225" i="2"/>
  <c r="R1220" i="2"/>
  <c r="AP1220" i="2" s="1"/>
  <c r="Q1220" i="2"/>
  <c r="S1220" i="2"/>
  <c r="AF1209" i="2"/>
  <c r="AA1209" i="2"/>
  <c r="AK1209" i="2"/>
  <c r="U1209" i="2"/>
  <c r="R1204" i="2"/>
  <c r="AP1204" i="2" s="1"/>
  <c r="Q1204" i="2"/>
  <c r="S1204" i="2"/>
  <c r="AF1193" i="2"/>
  <c r="AA1193" i="2"/>
  <c r="AK1193" i="2"/>
  <c r="U1193" i="2"/>
  <c r="R1188" i="2"/>
  <c r="AP1188" i="2" s="1"/>
  <c r="Q1188" i="2"/>
  <c r="S1188" i="2"/>
  <c r="AF1177" i="2"/>
  <c r="AA1177" i="2"/>
  <c r="AK1177" i="2"/>
  <c r="U1177" i="2"/>
  <c r="AL1149" i="2"/>
  <c r="V1149" i="2"/>
  <c r="AG1149" i="2"/>
  <c r="AB1149" i="2"/>
  <c r="BD1135" i="2"/>
  <c r="AA1129" i="2"/>
  <c r="AK1129" i="2"/>
  <c r="U1129" i="2"/>
  <c r="AF1129" i="2"/>
  <c r="BD1119" i="2"/>
  <c r="AA1113" i="2"/>
  <c r="AK1113" i="2"/>
  <c r="U1113" i="2"/>
  <c r="AF1113" i="2"/>
  <c r="AA1097" i="2"/>
  <c r="AK1097" i="2"/>
  <c r="U1097" i="2"/>
  <c r="AF1097" i="2"/>
  <c r="AA1081" i="2"/>
  <c r="AK1081" i="2"/>
  <c r="U1081" i="2"/>
  <c r="AF1081" i="2"/>
  <c r="AA1065" i="2"/>
  <c r="AK1065" i="2"/>
  <c r="U1065" i="2"/>
  <c r="AF1065" i="2"/>
  <c r="AA1046" i="2"/>
  <c r="AK1046" i="2"/>
  <c r="U1046" i="2"/>
  <c r="AF1046" i="2"/>
  <c r="Q1041" i="2"/>
  <c r="S1041" i="2"/>
  <c r="R1041" i="2"/>
  <c r="AP1041" i="2" s="1"/>
  <c r="S1040" i="2"/>
  <c r="Q1040" i="2"/>
  <c r="R1040" i="2"/>
  <c r="AP1040" i="2" s="1"/>
  <c r="Q1035" i="2"/>
  <c r="S1035" i="2"/>
  <c r="R1035" i="2"/>
  <c r="AP1035" i="2" s="1"/>
  <c r="S1032" i="2"/>
  <c r="Q1032" i="2"/>
  <c r="R1032" i="2"/>
  <c r="AP1032" i="2" s="1"/>
  <c r="Q1027" i="2"/>
  <c r="S1027" i="2"/>
  <c r="R1027" i="2"/>
  <c r="AP1027" i="2" s="1"/>
  <c r="S1024" i="2"/>
  <c r="Q1024" i="2"/>
  <c r="R1024" i="2"/>
  <c r="AP1024" i="2" s="1"/>
  <c r="Q1019" i="2"/>
  <c r="S1019" i="2"/>
  <c r="R1019" i="2"/>
  <c r="AP1019" i="2" s="1"/>
  <c r="S1016" i="2"/>
  <c r="Q1016" i="2"/>
  <c r="R1016" i="2"/>
  <c r="AP1016" i="2" s="1"/>
  <c r="Q1011" i="2"/>
  <c r="S1011" i="2"/>
  <c r="R1011" i="2"/>
  <c r="AP1011" i="2" s="1"/>
  <c r="S1008" i="2"/>
  <c r="Q1008" i="2"/>
  <c r="R1008" i="2"/>
  <c r="AP1008" i="2" s="1"/>
  <c r="Q1003" i="2"/>
  <c r="S1003" i="2"/>
  <c r="R1003" i="2"/>
  <c r="AP1003" i="2" s="1"/>
  <c r="S1000" i="2"/>
  <c r="Q1000" i="2"/>
  <c r="R1000" i="2"/>
  <c r="AP1000" i="2" s="1"/>
  <c r="Q995" i="2"/>
  <c r="S995" i="2"/>
  <c r="R995" i="2"/>
  <c r="AP995" i="2" s="1"/>
  <c r="S992" i="2"/>
  <c r="Q992" i="2"/>
  <c r="R992" i="2"/>
  <c r="AP992" i="2" s="1"/>
  <c r="Q987" i="2"/>
  <c r="S987" i="2"/>
  <c r="R987" i="2"/>
  <c r="AP987" i="2" s="1"/>
  <c r="S984" i="2"/>
  <c r="Q984" i="2"/>
  <c r="R984" i="2"/>
  <c r="AP984" i="2" s="1"/>
  <c r="Q979" i="2"/>
  <c r="S979" i="2"/>
  <c r="R979" i="2"/>
  <c r="AP979" i="2" s="1"/>
  <c r="S976" i="2"/>
  <c r="Q976" i="2"/>
  <c r="R976" i="2"/>
  <c r="AP976" i="2" s="1"/>
  <c r="Q971" i="2"/>
  <c r="S971" i="2"/>
  <c r="R971" i="2"/>
  <c r="AP971" i="2" s="1"/>
  <c r="S968" i="2"/>
  <c r="Q968" i="2"/>
  <c r="R968" i="2"/>
  <c r="AP968" i="2" s="1"/>
  <c r="Q963" i="2"/>
  <c r="S963" i="2"/>
  <c r="R963" i="2"/>
  <c r="AP963" i="2" s="1"/>
  <c r="S960" i="2"/>
  <c r="Q960" i="2"/>
  <c r="R960" i="2"/>
  <c r="AP960" i="2" s="1"/>
  <c r="Q955" i="2"/>
  <c r="S955" i="2"/>
  <c r="R955" i="2"/>
  <c r="AP955" i="2" s="1"/>
  <c r="S952" i="2"/>
  <c r="Q952" i="2"/>
  <c r="R952" i="2"/>
  <c r="AP952" i="2" s="1"/>
  <c r="Q947" i="2"/>
  <c r="S947" i="2"/>
  <c r="R947" i="2"/>
  <c r="AP947" i="2" s="1"/>
  <c r="S944" i="2"/>
  <c r="Q944" i="2"/>
  <c r="R944" i="2"/>
  <c r="AP944" i="2" s="1"/>
  <c r="Q939" i="2"/>
  <c r="S939" i="2"/>
  <c r="R939" i="2"/>
  <c r="AP939" i="2" s="1"/>
  <c r="S936" i="2"/>
  <c r="Q936" i="2"/>
  <c r="R936" i="2"/>
  <c r="AP936" i="2" s="1"/>
  <c r="S930" i="2"/>
  <c r="Q930" i="2"/>
  <c r="R930" i="2"/>
  <c r="AP930" i="2" s="1"/>
  <c r="S926" i="2"/>
  <c r="Q926" i="2"/>
  <c r="R926" i="2"/>
  <c r="AP926" i="2" s="1"/>
  <c r="S922" i="2"/>
  <c r="Q922" i="2"/>
  <c r="R922" i="2"/>
  <c r="AP922" i="2" s="1"/>
  <c r="S918" i="2"/>
  <c r="Q918" i="2"/>
  <c r="R918" i="2"/>
  <c r="AP918" i="2" s="1"/>
  <c r="S914" i="2"/>
  <c r="Q914" i="2"/>
  <c r="R914" i="2"/>
  <c r="AP914" i="2" s="1"/>
  <c r="S910" i="2"/>
  <c r="Q910" i="2"/>
  <c r="R910" i="2"/>
  <c r="AP910" i="2" s="1"/>
  <c r="S906" i="2"/>
  <c r="Q906" i="2"/>
  <c r="R906" i="2"/>
  <c r="AP906" i="2" s="1"/>
  <c r="S902" i="2"/>
  <c r="Q902" i="2"/>
  <c r="R902" i="2"/>
  <c r="AP902" i="2" s="1"/>
  <c r="S898" i="2"/>
  <c r="Q898" i="2"/>
  <c r="R898" i="2"/>
  <c r="AP898" i="2" s="1"/>
  <c r="S894" i="2"/>
  <c r="Q894" i="2"/>
  <c r="R894" i="2"/>
  <c r="AP894" i="2" s="1"/>
  <c r="S890" i="2"/>
  <c r="Q890" i="2"/>
  <c r="R890" i="2"/>
  <c r="AP890" i="2" s="1"/>
  <c r="AA884" i="2"/>
  <c r="AK884" i="2"/>
  <c r="U884" i="2"/>
  <c r="AF884" i="2"/>
  <c r="AA868" i="2"/>
  <c r="AK868" i="2"/>
  <c r="U868" i="2"/>
  <c r="AF868" i="2"/>
  <c r="AA852" i="2"/>
  <c r="AK852" i="2"/>
  <c r="U852" i="2"/>
  <c r="AF852" i="2"/>
  <c r="AA836" i="2"/>
  <c r="AK836" i="2"/>
  <c r="U836" i="2"/>
  <c r="AF836" i="2"/>
  <c r="AA820" i="2"/>
  <c r="AK820" i="2"/>
  <c r="U820" i="2"/>
  <c r="AF820" i="2"/>
  <c r="AA804" i="2"/>
  <c r="AK804" i="2"/>
  <c r="U804" i="2"/>
  <c r="AF804" i="2"/>
  <c r="AA788" i="2"/>
  <c r="AK788" i="2"/>
  <c r="U788" i="2"/>
  <c r="AF788" i="2"/>
  <c r="AA772" i="2"/>
  <c r="AK772" i="2"/>
  <c r="U772" i="2"/>
  <c r="AF772" i="2"/>
  <c r="AA756" i="2"/>
  <c r="AK756" i="2"/>
  <c r="U756" i="2"/>
  <c r="AF756" i="2"/>
  <c r="AA740" i="2"/>
  <c r="AK740" i="2"/>
  <c r="U740" i="2"/>
  <c r="AF740" i="2"/>
  <c r="AK1134" i="2"/>
  <c r="U1134" i="2"/>
  <c r="AA1134" i="2"/>
  <c r="AF1134" i="2"/>
  <c r="AK1126" i="2"/>
  <c r="U1126" i="2"/>
  <c r="AA1126" i="2"/>
  <c r="AF1126" i="2"/>
  <c r="AK1118" i="2"/>
  <c r="U1118" i="2"/>
  <c r="AA1118" i="2"/>
  <c r="AF1118" i="2"/>
  <c r="AK1110" i="2"/>
  <c r="U1110" i="2"/>
  <c r="AA1110" i="2"/>
  <c r="AF1110" i="2"/>
  <c r="AK1102" i="2"/>
  <c r="U1102" i="2"/>
  <c r="AA1102" i="2"/>
  <c r="AF1102" i="2"/>
  <c r="AK1094" i="2"/>
  <c r="U1094" i="2"/>
  <c r="AA1094" i="2"/>
  <c r="AF1094" i="2"/>
  <c r="AK1086" i="2"/>
  <c r="U1086" i="2"/>
  <c r="AA1086" i="2"/>
  <c r="AF1086" i="2"/>
  <c r="AK1078" i="2"/>
  <c r="U1078" i="2"/>
  <c r="AA1078" i="2"/>
  <c r="AF1078" i="2"/>
  <c r="AK1070" i="2"/>
  <c r="U1070" i="2"/>
  <c r="AA1070" i="2"/>
  <c r="AF1070" i="2"/>
  <c r="AK1062" i="2"/>
  <c r="U1062" i="2"/>
  <c r="AA1062" i="2"/>
  <c r="AF1062" i="2"/>
  <c r="AK1054" i="2"/>
  <c r="U1054" i="2"/>
  <c r="AA1054" i="2"/>
  <c r="AF1054" i="2"/>
  <c r="AK1047" i="2"/>
  <c r="U1047" i="2"/>
  <c r="AF1047" i="2"/>
  <c r="AA1047" i="2"/>
  <c r="S1042" i="2"/>
  <c r="R1042" i="2"/>
  <c r="AP1042" i="2" s="1"/>
  <c r="Q1042" i="2"/>
  <c r="Q885" i="2"/>
  <c r="S885" i="2"/>
  <c r="R885" i="2"/>
  <c r="AP885" i="2" s="1"/>
  <c r="Q881" i="2"/>
  <c r="S881" i="2"/>
  <c r="R881" i="2"/>
  <c r="AP881" i="2" s="1"/>
  <c r="Q877" i="2"/>
  <c r="S877" i="2"/>
  <c r="R877" i="2"/>
  <c r="AP877" i="2" s="1"/>
  <c r="Q873" i="2"/>
  <c r="S873" i="2"/>
  <c r="R873" i="2"/>
  <c r="AP873" i="2" s="1"/>
  <c r="Q869" i="2"/>
  <c r="S869" i="2"/>
  <c r="R869" i="2"/>
  <c r="AP869" i="2" s="1"/>
  <c r="Q865" i="2"/>
  <c r="S865" i="2"/>
  <c r="R865" i="2"/>
  <c r="AP865" i="2" s="1"/>
  <c r="Q861" i="2"/>
  <c r="S861" i="2"/>
  <c r="R861" i="2"/>
  <c r="AP861" i="2" s="1"/>
  <c r="Q857" i="2"/>
  <c r="S857" i="2"/>
  <c r="R857" i="2"/>
  <c r="AP857" i="2" s="1"/>
  <c r="Q853" i="2"/>
  <c r="S853" i="2"/>
  <c r="R853" i="2"/>
  <c r="AP853" i="2" s="1"/>
  <c r="Q849" i="2"/>
  <c r="S849" i="2"/>
  <c r="R849" i="2"/>
  <c r="AP849" i="2" s="1"/>
  <c r="Q845" i="2"/>
  <c r="S845" i="2"/>
  <c r="R845" i="2"/>
  <c r="AP845" i="2" s="1"/>
  <c r="Q841" i="2"/>
  <c r="S841" i="2"/>
  <c r="R841" i="2"/>
  <c r="AP841" i="2" s="1"/>
  <c r="Q837" i="2"/>
  <c r="S837" i="2"/>
  <c r="R837" i="2"/>
  <c r="AP837" i="2" s="1"/>
  <c r="Q833" i="2"/>
  <c r="S833" i="2"/>
  <c r="R833" i="2"/>
  <c r="AP833" i="2" s="1"/>
  <c r="Q829" i="2"/>
  <c r="S829" i="2"/>
  <c r="R829" i="2"/>
  <c r="AP829" i="2" s="1"/>
  <c r="Q825" i="2"/>
  <c r="S825" i="2"/>
  <c r="R825" i="2"/>
  <c r="AP825" i="2" s="1"/>
  <c r="Q821" i="2"/>
  <c r="S821" i="2"/>
  <c r="R821" i="2"/>
  <c r="AP821" i="2" s="1"/>
  <c r="Q817" i="2"/>
  <c r="S817" i="2"/>
  <c r="R817" i="2"/>
  <c r="AP817" i="2" s="1"/>
  <c r="Q813" i="2"/>
  <c r="S813" i="2"/>
  <c r="R813" i="2"/>
  <c r="AP813" i="2" s="1"/>
  <c r="Q809" i="2"/>
  <c r="S809" i="2"/>
  <c r="R809" i="2"/>
  <c r="AP809" i="2" s="1"/>
  <c r="Q805" i="2"/>
  <c r="S805" i="2"/>
  <c r="R805" i="2"/>
  <c r="AP805" i="2" s="1"/>
  <c r="Q801" i="2"/>
  <c r="S801" i="2"/>
  <c r="R801" i="2"/>
  <c r="AP801" i="2" s="1"/>
  <c r="Q797" i="2"/>
  <c r="S797" i="2"/>
  <c r="R797" i="2"/>
  <c r="AP797" i="2" s="1"/>
  <c r="Q793" i="2"/>
  <c r="S793" i="2"/>
  <c r="R793" i="2"/>
  <c r="AP793" i="2" s="1"/>
  <c r="Q789" i="2"/>
  <c r="S789" i="2"/>
  <c r="R789" i="2"/>
  <c r="AP789" i="2" s="1"/>
  <c r="Q785" i="2"/>
  <c r="S785" i="2"/>
  <c r="R785" i="2"/>
  <c r="AP785" i="2" s="1"/>
  <c r="Q781" i="2"/>
  <c r="S781" i="2"/>
  <c r="R781" i="2"/>
  <c r="AP781" i="2" s="1"/>
  <c r="Q777" i="2"/>
  <c r="S777" i="2"/>
  <c r="R777" i="2"/>
  <c r="AP777" i="2" s="1"/>
  <c r="Q773" i="2"/>
  <c r="S773" i="2"/>
  <c r="R773" i="2"/>
  <c r="AP773" i="2" s="1"/>
  <c r="Q769" i="2"/>
  <c r="S769" i="2"/>
  <c r="R769" i="2"/>
  <c r="AP769" i="2" s="1"/>
  <c r="Q765" i="2"/>
  <c r="S765" i="2"/>
  <c r="R765" i="2"/>
  <c r="AP765" i="2" s="1"/>
  <c r="Q761" i="2"/>
  <c r="S761" i="2"/>
  <c r="R761" i="2"/>
  <c r="AP761" i="2" s="1"/>
  <c r="Q757" i="2"/>
  <c r="S757" i="2"/>
  <c r="R757" i="2"/>
  <c r="AP757" i="2" s="1"/>
  <c r="Q753" i="2"/>
  <c r="S753" i="2"/>
  <c r="R753" i="2"/>
  <c r="AP753" i="2" s="1"/>
  <c r="Q749" i="2"/>
  <c r="S749" i="2"/>
  <c r="R749" i="2"/>
  <c r="AP749" i="2" s="1"/>
  <c r="Q745" i="2"/>
  <c r="S745" i="2"/>
  <c r="R745" i="2"/>
  <c r="AP745" i="2" s="1"/>
  <c r="Q741" i="2"/>
  <c r="S741" i="2"/>
  <c r="R741" i="2"/>
  <c r="AP741" i="2" s="1"/>
  <c r="Q737" i="2"/>
  <c r="S737" i="2"/>
  <c r="R737" i="2"/>
  <c r="AP737" i="2" s="1"/>
  <c r="Q733" i="2"/>
  <c r="S733" i="2"/>
  <c r="R733" i="2"/>
  <c r="AP733" i="2" s="1"/>
  <c r="Q729" i="2"/>
  <c r="S729" i="2"/>
  <c r="R729" i="2"/>
  <c r="AP729" i="2" s="1"/>
  <c r="AK1150" i="2"/>
  <c r="U1150" i="2"/>
  <c r="AF1150" i="2"/>
  <c r="AA1150" i="2"/>
  <c r="AK1146" i="2"/>
  <c r="U1146" i="2"/>
  <c r="AF1146" i="2"/>
  <c r="AA1146" i="2"/>
  <c r="AK1142" i="2"/>
  <c r="U1142" i="2"/>
  <c r="AF1142" i="2"/>
  <c r="AA1142" i="2"/>
  <c r="AA1040" i="2"/>
  <c r="AK1040" i="2"/>
  <c r="U1040" i="2"/>
  <c r="AF1040" i="2"/>
  <c r="AA1036" i="2"/>
  <c r="AK1036" i="2"/>
  <c r="U1036" i="2"/>
  <c r="AF1036" i="2"/>
  <c r="AA1032" i="2"/>
  <c r="AK1032" i="2"/>
  <c r="U1032" i="2"/>
  <c r="AF1032" i="2"/>
  <c r="AA1028" i="2"/>
  <c r="AK1028" i="2"/>
  <c r="U1028" i="2"/>
  <c r="AF1028" i="2"/>
  <c r="AA1024" i="2"/>
  <c r="AK1024" i="2"/>
  <c r="U1024" i="2"/>
  <c r="AF1024" i="2"/>
  <c r="AA1020" i="2"/>
  <c r="AK1020" i="2"/>
  <c r="U1020" i="2"/>
  <c r="AF1020" i="2"/>
  <c r="AA1016" i="2"/>
  <c r="AK1016" i="2"/>
  <c r="U1016" i="2"/>
  <c r="AF1016" i="2"/>
  <c r="AA1012" i="2"/>
  <c r="AK1012" i="2"/>
  <c r="U1012" i="2"/>
  <c r="AF1012" i="2"/>
  <c r="AA1008" i="2"/>
  <c r="AK1008" i="2"/>
  <c r="U1008" i="2"/>
  <c r="AF1008" i="2"/>
  <c r="AA1004" i="2"/>
  <c r="AK1004" i="2"/>
  <c r="U1004" i="2"/>
  <c r="AF1004" i="2"/>
  <c r="AA1000" i="2"/>
  <c r="AK1000" i="2"/>
  <c r="U1000" i="2"/>
  <c r="AF1000" i="2"/>
  <c r="AA996" i="2"/>
  <c r="AK996" i="2"/>
  <c r="U996" i="2"/>
  <c r="AF996" i="2"/>
  <c r="AA992" i="2"/>
  <c r="AK992" i="2"/>
  <c r="U992" i="2"/>
  <c r="AF992" i="2"/>
  <c r="AA988" i="2"/>
  <c r="AK988" i="2"/>
  <c r="U988" i="2"/>
  <c r="AF988" i="2"/>
  <c r="AA984" i="2"/>
  <c r="AK984" i="2"/>
  <c r="U984" i="2"/>
  <c r="AF984" i="2"/>
  <c r="AA980" i="2"/>
  <c r="AK980" i="2"/>
  <c r="U980" i="2"/>
  <c r="AF980" i="2"/>
  <c r="AA976" i="2"/>
  <c r="AK976" i="2"/>
  <c r="U976" i="2"/>
  <c r="AF976" i="2"/>
  <c r="AA972" i="2"/>
  <c r="AK972" i="2"/>
  <c r="U972" i="2"/>
  <c r="AF972" i="2"/>
  <c r="AA968" i="2"/>
  <c r="AK968" i="2"/>
  <c r="U968" i="2"/>
  <c r="AF968" i="2"/>
  <c r="AA964" i="2"/>
  <c r="AK964" i="2"/>
  <c r="U964" i="2"/>
  <c r="AF964" i="2"/>
  <c r="AA960" i="2"/>
  <c r="AK960" i="2"/>
  <c r="U960" i="2"/>
  <c r="AF960" i="2"/>
  <c r="AA956" i="2"/>
  <c r="AK956" i="2"/>
  <c r="U956" i="2"/>
  <c r="AF956" i="2"/>
  <c r="AA952" i="2"/>
  <c r="AK952" i="2"/>
  <c r="U952" i="2"/>
  <c r="AF952" i="2"/>
  <c r="AA948" i="2"/>
  <c r="AK948" i="2"/>
  <c r="U948" i="2"/>
  <c r="AF948" i="2"/>
  <c r="AA944" i="2"/>
  <c r="AK944" i="2"/>
  <c r="U944" i="2"/>
  <c r="AF944" i="2"/>
  <c r="AA940" i="2"/>
  <c r="AK940" i="2"/>
  <c r="U940" i="2"/>
  <c r="AF940" i="2"/>
  <c r="S884" i="2"/>
  <c r="Q884" i="2"/>
  <c r="R884" i="2"/>
  <c r="AP884" i="2" s="1"/>
  <c r="S868" i="2"/>
  <c r="Q868" i="2"/>
  <c r="R868" i="2"/>
  <c r="AP868" i="2" s="1"/>
  <c r="S852" i="2"/>
  <c r="Q852" i="2"/>
  <c r="R852" i="2"/>
  <c r="AP852" i="2" s="1"/>
  <c r="S836" i="2"/>
  <c r="Q836" i="2"/>
  <c r="R836" i="2"/>
  <c r="AP836" i="2" s="1"/>
  <c r="S820" i="2"/>
  <c r="Q820" i="2"/>
  <c r="R820" i="2"/>
  <c r="AP820" i="2" s="1"/>
  <c r="S804" i="2"/>
  <c r="Q804" i="2"/>
  <c r="R804" i="2"/>
  <c r="AP804" i="2" s="1"/>
  <c r="S788" i="2"/>
  <c r="Q788" i="2"/>
  <c r="R788" i="2"/>
  <c r="AP788" i="2" s="1"/>
  <c r="S772" i="2"/>
  <c r="Q772" i="2"/>
  <c r="R772" i="2"/>
  <c r="AP772" i="2" s="1"/>
  <c r="S756" i="2"/>
  <c r="Q756" i="2"/>
  <c r="R756" i="2"/>
  <c r="AP756" i="2" s="1"/>
  <c r="S740" i="2"/>
  <c r="Q740" i="2"/>
  <c r="R740" i="2"/>
  <c r="AP740" i="2" s="1"/>
  <c r="AK1045" i="2"/>
  <c r="U1045" i="2"/>
  <c r="AF1045" i="2"/>
  <c r="AA1045" i="2"/>
  <c r="AG925" i="2"/>
  <c r="AL925" i="2"/>
  <c r="V925" i="2"/>
  <c r="AB925" i="2"/>
  <c r="AB917" i="2"/>
  <c r="AG913" i="2"/>
  <c r="AL913" i="2"/>
  <c r="V913" i="2"/>
  <c r="AB913" i="2"/>
  <c r="AG905" i="2"/>
  <c r="AL905" i="2"/>
  <c r="V905" i="2"/>
  <c r="AB905" i="2"/>
  <c r="AG889" i="2"/>
  <c r="AL889" i="2"/>
  <c r="V889" i="2"/>
  <c r="AB889" i="2"/>
  <c r="AK881" i="2"/>
  <c r="U881" i="2"/>
  <c r="AA881" i="2"/>
  <c r="AF881" i="2"/>
  <c r="AK865" i="2"/>
  <c r="U865" i="2"/>
  <c r="AA865" i="2"/>
  <c r="AF865" i="2"/>
  <c r="AK849" i="2"/>
  <c r="U849" i="2"/>
  <c r="AA849" i="2"/>
  <c r="AF849" i="2"/>
  <c r="AK833" i="2"/>
  <c r="U833" i="2"/>
  <c r="AA833" i="2"/>
  <c r="AF833" i="2"/>
  <c r="AK817" i="2"/>
  <c r="U817" i="2"/>
  <c r="AA817" i="2"/>
  <c r="AF817" i="2"/>
  <c r="AK801" i="2"/>
  <c r="U801" i="2"/>
  <c r="AA801" i="2"/>
  <c r="AF801" i="2"/>
  <c r="AK785" i="2"/>
  <c r="U785" i="2"/>
  <c r="AA785" i="2"/>
  <c r="AF785" i="2"/>
  <c r="AK769" i="2"/>
  <c r="U769" i="2"/>
  <c r="AA769" i="2"/>
  <c r="AF769" i="2"/>
  <c r="AK753" i="2"/>
  <c r="U753" i="2"/>
  <c r="AA753" i="2"/>
  <c r="AF753" i="2"/>
  <c r="AK737" i="2"/>
  <c r="U737" i="2"/>
  <c r="AA737" i="2"/>
  <c r="AF737" i="2"/>
  <c r="AK883" i="2"/>
  <c r="U883" i="2"/>
  <c r="AA883" i="2"/>
  <c r="AF883" i="2"/>
  <c r="AK867" i="2"/>
  <c r="U867" i="2"/>
  <c r="AA867" i="2"/>
  <c r="AF867" i="2"/>
  <c r="AK851" i="2"/>
  <c r="U851" i="2"/>
  <c r="AA851" i="2"/>
  <c r="AF851" i="2"/>
  <c r="AK835" i="2"/>
  <c r="U835" i="2"/>
  <c r="AA835" i="2"/>
  <c r="AF835" i="2"/>
  <c r="AK819" i="2"/>
  <c r="U819" i="2"/>
  <c r="AA819" i="2"/>
  <c r="AF819" i="2"/>
  <c r="AK803" i="2"/>
  <c r="U803" i="2"/>
  <c r="AA803" i="2"/>
  <c r="AF803" i="2"/>
  <c r="AK787" i="2"/>
  <c r="U787" i="2"/>
  <c r="AA787" i="2"/>
  <c r="AF787" i="2"/>
  <c r="AK771" i="2"/>
  <c r="U771" i="2"/>
  <c r="AA771" i="2"/>
  <c r="AF771" i="2"/>
  <c r="AK755" i="2"/>
  <c r="U755" i="2"/>
  <c r="AA755" i="2"/>
  <c r="AF755" i="2"/>
  <c r="AK739" i="2"/>
  <c r="U739" i="2"/>
  <c r="AA739" i="2"/>
  <c r="AF739" i="2"/>
  <c r="AA725" i="2"/>
  <c r="AK725" i="2"/>
  <c r="U725" i="2"/>
  <c r="AF725" i="2"/>
  <c r="AA723" i="2"/>
  <c r="AK723" i="2"/>
  <c r="U723" i="2"/>
  <c r="AF723" i="2"/>
  <c r="AA721" i="2"/>
  <c r="AK721" i="2"/>
  <c r="U721" i="2"/>
  <c r="AF721" i="2"/>
  <c r="AA719" i="2"/>
  <c r="AK719" i="2"/>
  <c r="U719" i="2"/>
  <c r="AF719" i="2"/>
  <c r="AA717" i="2"/>
  <c r="AK717" i="2"/>
  <c r="U717" i="2"/>
  <c r="AF717" i="2"/>
  <c r="Q714" i="2"/>
  <c r="S714" i="2"/>
  <c r="R714" i="2"/>
  <c r="AP714" i="2" s="1"/>
  <c r="AA713" i="2"/>
  <c r="AK713" i="2"/>
  <c r="U713" i="2"/>
  <c r="AF713" i="2"/>
  <c r="Q710" i="2"/>
  <c r="S710" i="2"/>
  <c r="R710" i="2"/>
  <c r="AP710" i="2" s="1"/>
  <c r="AA709" i="2"/>
  <c r="AK709" i="2"/>
  <c r="U709" i="2"/>
  <c r="AF709" i="2"/>
  <c r="Q706" i="2"/>
  <c r="S706" i="2"/>
  <c r="R706" i="2"/>
  <c r="AP706" i="2" s="1"/>
  <c r="AA705" i="2"/>
  <c r="AK705" i="2"/>
  <c r="U705" i="2"/>
  <c r="AF705" i="2"/>
  <c r="Q702" i="2"/>
  <c r="S702" i="2"/>
  <c r="R702" i="2"/>
  <c r="AP702" i="2" s="1"/>
  <c r="AA701" i="2"/>
  <c r="AK701" i="2"/>
  <c r="U701" i="2"/>
  <c r="AF701" i="2"/>
  <c r="Q698" i="2"/>
  <c r="S698" i="2"/>
  <c r="R698" i="2"/>
  <c r="AP698" i="2" s="1"/>
  <c r="AA697" i="2"/>
  <c r="AK697" i="2"/>
  <c r="U697" i="2"/>
  <c r="AF697" i="2"/>
  <c r="Q694" i="2"/>
  <c r="S694" i="2"/>
  <c r="R694" i="2"/>
  <c r="AP694" i="2" s="1"/>
  <c r="AA693" i="2"/>
  <c r="AK693" i="2"/>
  <c r="U693" i="2"/>
  <c r="AF693" i="2"/>
  <c r="Q690" i="2"/>
  <c r="S690" i="2"/>
  <c r="R690" i="2"/>
  <c r="AP690" i="2" s="1"/>
  <c r="AA689" i="2"/>
  <c r="AK689" i="2"/>
  <c r="U689" i="2"/>
  <c r="AF689" i="2"/>
  <c r="Q686" i="2"/>
  <c r="S686" i="2"/>
  <c r="R686" i="2"/>
  <c r="AP686" i="2" s="1"/>
  <c r="AA685" i="2"/>
  <c r="AK685" i="2"/>
  <c r="U685" i="2"/>
  <c r="AF685" i="2"/>
  <c r="Q682" i="2"/>
  <c r="S682" i="2"/>
  <c r="R682" i="2"/>
  <c r="AP682" i="2" s="1"/>
  <c r="AA681" i="2"/>
  <c r="AK681" i="2"/>
  <c r="U681" i="2"/>
  <c r="AF681" i="2"/>
  <c r="Q678" i="2"/>
  <c r="S678" i="2"/>
  <c r="R678" i="2"/>
  <c r="AP678" i="2" s="1"/>
  <c r="AA677" i="2"/>
  <c r="AK677" i="2"/>
  <c r="U677" i="2"/>
  <c r="AF677" i="2"/>
  <c r="Q674" i="2"/>
  <c r="S674" i="2"/>
  <c r="R674" i="2"/>
  <c r="AP674" i="2" s="1"/>
  <c r="AA673" i="2"/>
  <c r="AK673" i="2"/>
  <c r="U673" i="2"/>
  <c r="AF673" i="2"/>
  <c r="Q670" i="2"/>
  <c r="S670" i="2"/>
  <c r="R670" i="2"/>
  <c r="AP670" i="2" s="1"/>
  <c r="AA669" i="2"/>
  <c r="AK669" i="2"/>
  <c r="U669" i="2"/>
  <c r="AF669" i="2"/>
  <c r="Q666" i="2"/>
  <c r="S666" i="2"/>
  <c r="R666" i="2"/>
  <c r="AP666" i="2" s="1"/>
  <c r="AA665" i="2"/>
  <c r="AK665" i="2"/>
  <c r="U665" i="2"/>
  <c r="AF665" i="2"/>
  <c r="Q662" i="2"/>
  <c r="S662" i="2"/>
  <c r="R662" i="2"/>
  <c r="AP662" i="2" s="1"/>
  <c r="AA661" i="2"/>
  <c r="AK661" i="2"/>
  <c r="U661" i="2"/>
  <c r="AF661" i="2"/>
  <c r="Q658" i="2"/>
  <c r="S658" i="2"/>
  <c r="R658" i="2"/>
  <c r="AP658" i="2" s="1"/>
  <c r="AA657" i="2"/>
  <c r="AK657" i="2"/>
  <c r="U657" i="2"/>
  <c r="AF657" i="2"/>
  <c r="Q654" i="2"/>
  <c r="S654" i="2"/>
  <c r="R654" i="2"/>
  <c r="AP654" i="2" s="1"/>
  <c r="AA653" i="2"/>
  <c r="AK653" i="2"/>
  <c r="U653" i="2"/>
  <c r="AF653" i="2"/>
  <c r="Q650" i="2"/>
  <c r="S650" i="2"/>
  <c r="R650" i="2"/>
  <c r="AP650" i="2" s="1"/>
  <c r="AA649" i="2"/>
  <c r="AK649" i="2"/>
  <c r="U649" i="2"/>
  <c r="AF649" i="2"/>
  <c r="Q646" i="2"/>
  <c r="S646" i="2"/>
  <c r="R646" i="2"/>
  <c r="AP646" i="2" s="1"/>
  <c r="AA645" i="2"/>
  <c r="AK645" i="2"/>
  <c r="U645" i="2"/>
  <c r="AF645" i="2"/>
  <c r="Q642" i="2"/>
  <c r="S642" i="2"/>
  <c r="R642" i="2"/>
  <c r="AP642" i="2" s="1"/>
  <c r="AA641" i="2"/>
  <c r="AK641" i="2"/>
  <c r="U641" i="2"/>
  <c r="AF641" i="2"/>
  <c r="Q638" i="2"/>
  <c r="S638" i="2"/>
  <c r="R638" i="2"/>
  <c r="AP638" i="2" s="1"/>
  <c r="AA637" i="2"/>
  <c r="AK637" i="2"/>
  <c r="U637" i="2"/>
  <c r="AF637" i="2"/>
  <c r="Q634" i="2"/>
  <c r="S634" i="2"/>
  <c r="R634" i="2"/>
  <c r="AP634" i="2" s="1"/>
  <c r="AA633" i="2"/>
  <c r="AK633" i="2"/>
  <c r="U633" i="2"/>
  <c r="AF633" i="2"/>
  <c r="Q630" i="2"/>
  <c r="S630" i="2"/>
  <c r="R630" i="2"/>
  <c r="AP630" i="2" s="1"/>
  <c r="AA629" i="2"/>
  <c r="AK629" i="2"/>
  <c r="U629" i="2"/>
  <c r="AF629" i="2"/>
  <c r="Q626" i="2"/>
  <c r="S626" i="2"/>
  <c r="R626" i="2"/>
  <c r="AP626" i="2" s="1"/>
  <c r="AA625" i="2"/>
  <c r="AK625" i="2"/>
  <c r="U625" i="2"/>
  <c r="AF625" i="2"/>
  <c r="Q622" i="2"/>
  <c r="S622" i="2"/>
  <c r="R622" i="2"/>
  <c r="AP622" i="2" s="1"/>
  <c r="AA621" i="2"/>
  <c r="AK621" i="2"/>
  <c r="U621" i="2"/>
  <c r="AF621" i="2"/>
  <c r="AF554" i="2"/>
  <c r="AA554" i="2"/>
  <c r="AK554" i="2"/>
  <c r="U554" i="2"/>
  <c r="AK537" i="2"/>
  <c r="U537" i="2"/>
  <c r="AF537" i="2"/>
  <c r="AA537" i="2"/>
  <c r="AF522" i="2"/>
  <c r="AA522" i="2"/>
  <c r="AK522" i="2"/>
  <c r="U522" i="2"/>
  <c r="Q499" i="2"/>
  <c r="S499" i="2"/>
  <c r="R499" i="2"/>
  <c r="AP499" i="2" s="1"/>
  <c r="S493" i="2"/>
  <c r="R493" i="2"/>
  <c r="AP493" i="2" s="1"/>
  <c r="Q493" i="2"/>
  <c r="S477" i="2"/>
  <c r="R477" i="2"/>
  <c r="AP477" i="2" s="1"/>
  <c r="Q477" i="2"/>
  <c r="S461" i="2"/>
  <c r="R461" i="2"/>
  <c r="AP461" i="2" s="1"/>
  <c r="Q461" i="2"/>
  <c r="S445" i="2"/>
  <c r="R445" i="2"/>
  <c r="AP445" i="2" s="1"/>
  <c r="Q445" i="2"/>
  <c r="S429" i="2"/>
  <c r="R429" i="2"/>
  <c r="AP429" i="2" s="1"/>
  <c r="Q429" i="2"/>
  <c r="S413" i="2"/>
  <c r="R413" i="2"/>
  <c r="AP413" i="2" s="1"/>
  <c r="Q413" i="2"/>
  <c r="S397" i="2"/>
  <c r="R397" i="2"/>
  <c r="AP397" i="2" s="1"/>
  <c r="Q397" i="2"/>
  <c r="AK390" i="2"/>
  <c r="AF390" i="2"/>
  <c r="AA390" i="2"/>
  <c r="U390" i="2"/>
  <c r="AL388" i="2"/>
  <c r="V388" i="2"/>
  <c r="AG388" i="2"/>
  <c r="AB388" i="2"/>
  <c r="S365" i="2"/>
  <c r="R365" i="2"/>
  <c r="AP365" i="2" s="1"/>
  <c r="Q365" i="2"/>
  <c r="AK358" i="2"/>
  <c r="AF358" i="2"/>
  <c r="AA358" i="2"/>
  <c r="U358" i="2"/>
  <c r="AB356" i="2"/>
  <c r="S333" i="2"/>
  <c r="R333" i="2"/>
  <c r="AP333" i="2" s="1"/>
  <c r="Q333" i="2"/>
  <c r="AK326" i="2"/>
  <c r="AF326" i="2"/>
  <c r="AA326" i="2"/>
  <c r="U326" i="2"/>
  <c r="U302" i="2"/>
  <c r="AK302" i="2"/>
  <c r="AF302" i="2"/>
  <c r="AA302" i="2"/>
  <c r="S293" i="2"/>
  <c r="R293" i="2"/>
  <c r="AP293" i="2" s="1"/>
  <c r="Q293" i="2"/>
  <c r="U270" i="2"/>
  <c r="AK270" i="2"/>
  <c r="AF270" i="2"/>
  <c r="AA270" i="2"/>
  <c r="S261" i="2"/>
  <c r="R261" i="2"/>
  <c r="AP261" i="2" s="1"/>
  <c r="Q261" i="2"/>
  <c r="U238" i="2"/>
  <c r="AK238" i="2"/>
  <c r="AF238" i="2"/>
  <c r="AA238" i="2"/>
  <c r="S229" i="2"/>
  <c r="R229" i="2"/>
  <c r="AP229" i="2" s="1"/>
  <c r="Q229" i="2"/>
  <c r="R205" i="2"/>
  <c r="AP205" i="2" s="1"/>
  <c r="S205" i="2"/>
  <c r="Q205" i="2"/>
  <c r="G189" i="4"/>
  <c r="R189" i="2"/>
  <c r="AP189" i="2" s="1"/>
  <c r="S189" i="2"/>
  <c r="Q189" i="2"/>
  <c r="G157" i="4"/>
  <c r="R157" i="2"/>
  <c r="AP157" i="2" s="1"/>
  <c r="S157" i="2"/>
  <c r="Q157" i="2"/>
  <c r="G125" i="4"/>
  <c r="R125" i="2"/>
  <c r="AP125" i="2" s="1"/>
  <c r="S125" i="2"/>
  <c r="Q125" i="2"/>
  <c r="G93" i="4"/>
  <c r="S93" i="2"/>
  <c r="R93" i="2"/>
  <c r="AP93" i="2" s="1"/>
  <c r="Q93" i="2"/>
  <c r="G61" i="4"/>
  <c r="S61" i="2"/>
  <c r="R61" i="2"/>
  <c r="AP61" i="2" s="1"/>
  <c r="Q61" i="2"/>
  <c r="G29" i="4"/>
  <c r="R29" i="2"/>
  <c r="AP29" i="2" s="1"/>
  <c r="Q29" i="2"/>
  <c r="S29" i="2"/>
  <c r="AK551" i="2"/>
  <c r="U551" i="2"/>
  <c r="AF551" i="2"/>
  <c r="AA551" i="2"/>
  <c r="AF536" i="2"/>
  <c r="AA536" i="2"/>
  <c r="AK536" i="2"/>
  <c r="U536" i="2"/>
  <c r="AK519" i="2"/>
  <c r="U519" i="2"/>
  <c r="AF519" i="2"/>
  <c r="AA519" i="2"/>
  <c r="Q491" i="2"/>
  <c r="S491" i="2"/>
  <c r="R491" i="2"/>
  <c r="AP491" i="2" s="1"/>
  <c r="Q475" i="2"/>
  <c r="S475" i="2"/>
  <c r="R475" i="2"/>
  <c r="AP475" i="2" s="1"/>
  <c r="Q459" i="2"/>
  <c r="S459" i="2"/>
  <c r="R459" i="2"/>
  <c r="AP459" i="2" s="1"/>
  <c r="Q443" i="2"/>
  <c r="S443" i="2"/>
  <c r="R443" i="2"/>
  <c r="AP443" i="2" s="1"/>
  <c r="Q427" i="2"/>
  <c r="S427" i="2"/>
  <c r="R427" i="2"/>
  <c r="AP427" i="2" s="1"/>
  <c r="Q411" i="2"/>
  <c r="S411" i="2"/>
  <c r="R411" i="2"/>
  <c r="AP411" i="2" s="1"/>
  <c r="AF317" i="2"/>
  <c r="AK317" i="2"/>
  <c r="U317" i="2"/>
  <c r="AA317" i="2"/>
  <c r="Q299" i="2"/>
  <c r="S299" i="2"/>
  <c r="R299" i="2"/>
  <c r="AP299" i="2" s="1"/>
  <c r="AF285" i="2"/>
  <c r="AK285" i="2"/>
  <c r="U285" i="2"/>
  <c r="AA285" i="2"/>
  <c r="Q267" i="2"/>
  <c r="S267" i="2"/>
  <c r="R267" i="2"/>
  <c r="AP267" i="2" s="1"/>
  <c r="AF253" i="2"/>
  <c r="AK253" i="2"/>
  <c r="U253" i="2"/>
  <c r="AA253" i="2"/>
  <c r="Q235" i="2"/>
  <c r="S235" i="2"/>
  <c r="R235" i="2"/>
  <c r="AP235" i="2" s="1"/>
  <c r="AF221" i="2"/>
  <c r="AK221" i="2"/>
  <c r="U221" i="2"/>
  <c r="AA221" i="2"/>
  <c r="R555" i="2"/>
  <c r="AP555" i="2" s="1"/>
  <c r="Q555" i="2"/>
  <c r="S555" i="2"/>
  <c r="AK549" i="2"/>
  <c r="U549" i="2"/>
  <c r="AF549" i="2"/>
  <c r="AA549" i="2"/>
  <c r="AF534" i="2"/>
  <c r="AA534" i="2"/>
  <c r="AK534" i="2"/>
  <c r="U534" i="2"/>
  <c r="S532" i="2"/>
  <c r="R532" i="2"/>
  <c r="AP532" i="2" s="1"/>
  <c r="Q532" i="2"/>
  <c r="R523" i="2"/>
  <c r="AP523" i="2" s="1"/>
  <c r="Q523" i="2"/>
  <c r="S523" i="2"/>
  <c r="AK517" i="2"/>
  <c r="U517" i="2"/>
  <c r="AF517" i="2"/>
  <c r="AA517" i="2"/>
  <c r="AF491" i="2"/>
  <c r="AA491" i="2"/>
  <c r="AK491" i="2"/>
  <c r="U491" i="2"/>
  <c r="R473" i="2"/>
  <c r="AP473" i="2" s="1"/>
  <c r="Q473" i="2"/>
  <c r="S473" i="2"/>
  <c r="R464" i="2"/>
  <c r="AP464" i="2" s="1"/>
  <c r="S464" i="2"/>
  <c r="Q464" i="2"/>
  <c r="AF459" i="2"/>
  <c r="AA459" i="2"/>
  <c r="AK459" i="2"/>
  <c r="U459" i="2"/>
  <c r="R441" i="2"/>
  <c r="AP441" i="2" s="1"/>
  <c r="Q441" i="2"/>
  <c r="S441" i="2"/>
  <c r="R432" i="2"/>
  <c r="AP432" i="2" s="1"/>
  <c r="S432" i="2"/>
  <c r="Q432" i="2"/>
  <c r="AF427" i="2"/>
  <c r="AA427" i="2"/>
  <c r="AK427" i="2"/>
  <c r="U427" i="2"/>
  <c r="R409" i="2"/>
  <c r="AP409" i="2" s="1"/>
  <c r="Q409" i="2"/>
  <c r="S409" i="2"/>
  <c r="R401" i="2"/>
  <c r="AP401" i="2" s="1"/>
  <c r="Q401" i="2"/>
  <c r="S401" i="2"/>
  <c r="R393" i="2"/>
  <c r="AP393" i="2" s="1"/>
  <c r="Q393" i="2"/>
  <c r="S393" i="2"/>
  <c r="R385" i="2"/>
  <c r="AP385" i="2" s="1"/>
  <c r="Q385" i="2"/>
  <c r="S385" i="2"/>
  <c r="R377" i="2"/>
  <c r="AP377" i="2" s="1"/>
  <c r="Q377" i="2"/>
  <c r="S377" i="2"/>
  <c r="R369" i="2"/>
  <c r="AP369" i="2" s="1"/>
  <c r="Q369" i="2"/>
  <c r="S369" i="2"/>
  <c r="R361" i="2"/>
  <c r="AP361" i="2" s="1"/>
  <c r="Q361" i="2"/>
  <c r="S361" i="2"/>
  <c r="R353" i="2"/>
  <c r="AP353" i="2" s="1"/>
  <c r="Q353" i="2"/>
  <c r="S353" i="2"/>
  <c r="R345" i="2"/>
  <c r="AP345" i="2" s="1"/>
  <c r="Q345" i="2"/>
  <c r="S345" i="2"/>
  <c r="R337" i="2"/>
  <c r="AP337" i="2" s="1"/>
  <c r="Q337" i="2"/>
  <c r="S337" i="2"/>
  <c r="R329" i="2"/>
  <c r="AP329" i="2" s="1"/>
  <c r="Q329" i="2"/>
  <c r="S329" i="2"/>
  <c r="R321" i="2"/>
  <c r="AP321" i="2" s="1"/>
  <c r="Q321" i="2"/>
  <c r="S321" i="2"/>
  <c r="R289" i="2"/>
  <c r="AP289" i="2" s="1"/>
  <c r="Q289" i="2"/>
  <c r="S289" i="2"/>
  <c r="R257" i="2"/>
  <c r="AP257" i="2" s="1"/>
  <c r="Q257" i="2"/>
  <c r="S257" i="2"/>
  <c r="R225" i="2"/>
  <c r="AP225" i="2" s="1"/>
  <c r="Q225" i="2"/>
  <c r="S225" i="2"/>
  <c r="G193" i="4"/>
  <c r="R193" i="2"/>
  <c r="AP193" i="2" s="1"/>
  <c r="Q193" i="2"/>
  <c r="S193" i="2"/>
  <c r="G161" i="4"/>
  <c r="R161" i="2"/>
  <c r="AP161" i="2" s="1"/>
  <c r="Q161" i="2"/>
  <c r="S161" i="2"/>
  <c r="G129" i="4"/>
  <c r="R129" i="2"/>
  <c r="AP129" i="2" s="1"/>
  <c r="Q129" i="2"/>
  <c r="S129" i="2"/>
  <c r="AA878" i="2"/>
  <c r="AK878" i="2"/>
  <c r="U878" i="2"/>
  <c r="AF878" i="2"/>
  <c r="AA862" i="2"/>
  <c r="AK862" i="2"/>
  <c r="U862" i="2"/>
  <c r="AF862" i="2"/>
  <c r="AA846" i="2"/>
  <c r="AK846" i="2"/>
  <c r="U846" i="2"/>
  <c r="AF846" i="2"/>
  <c r="AA830" i="2"/>
  <c r="AK830" i="2"/>
  <c r="U830" i="2"/>
  <c r="AF830" i="2"/>
  <c r="AA814" i="2"/>
  <c r="AK814" i="2"/>
  <c r="U814" i="2"/>
  <c r="AF814" i="2"/>
  <c r="AA798" i="2"/>
  <c r="AK798" i="2"/>
  <c r="U798" i="2"/>
  <c r="AF798" i="2"/>
  <c r="AA782" i="2"/>
  <c r="AK782" i="2"/>
  <c r="U782" i="2"/>
  <c r="AF782" i="2"/>
  <c r="AA766" i="2"/>
  <c r="AK766" i="2"/>
  <c r="U766" i="2"/>
  <c r="AF766" i="2"/>
  <c r="AA750" i="2"/>
  <c r="AK750" i="2"/>
  <c r="U750" i="2"/>
  <c r="AF750" i="2"/>
  <c r="AA734" i="2"/>
  <c r="AK734" i="2"/>
  <c r="U734" i="2"/>
  <c r="AF734" i="2"/>
  <c r="AA726" i="2"/>
  <c r="AK726" i="2"/>
  <c r="U726" i="2"/>
  <c r="AF726" i="2"/>
  <c r="Q618" i="2"/>
  <c r="S618" i="2"/>
  <c r="R618" i="2"/>
  <c r="AP618" i="2" s="1"/>
  <c r="Q616" i="2"/>
  <c r="S616" i="2"/>
  <c r="R616" i="2"/>
  <c r="AP616" i="2" s="1"/>
  <c r="Q614" i="2"/>
  <c r="S614" i="2"/>
  <c r="R614" i="2"/>
  <c r="AP614" i="2" s="1"/>
  <c r="Q612" i="2"/>
  <c r="S612" i="2"/>
  <c r="R612" i="2"/>
  <c r="AP612" i="2" s="1"/>
  <c r="Q610" i="2"/>
  <c r="S610" i="2"/>
  <c r="R610" i="2"/>
  <c r="AP610" i="2" s="1"/>
  <c r="Q608" i="2"/>
  <c r="S608" i="2"/>
  <c r="R608" i="2"/>
  <c r="AP608" i="2" s="1"/>
  <c r="Q606" i="2"/>
  <c r="S606" i="2"/>
  <c r="R606" i="2"/>
  <c r="AP606" i="2" s="1"/>
  <c r="Q604" i="2"/>
  <c r="S604" i="2"/>
  <c r="R604" i="2"/>
  <c r="AP604" i="2" s="1"/>
  <c r="Q602" i="2"/>
  <c r="S602" i="2"/>
  <c r="R602" i="2"/>
  <c r="AP602" i="2" s="1"/>
  <c r="Q600" i="2"/>
  <c r="S600" i="2"/>
  <c r="R600" i="2"/>
  <c r="AP600" i="2" s="1"/>
  <c r="Q598" i="2"/>
  <c r="S598" i="2"/>
  <c r="R598" i="2"/>
  <c r="AP598" i="2" s="1"/>
  <c r="Q596" i="2"/>
  <c r="S596" i="2"/>
  <c r="R596" i="2"/>
  <c r="AP596" i="2" s="1"/>
  <c r="Q594" i="2"/>
  <c r="S594" i="2"/>
  <c r="R594" i="2"/>
  <c r="AP594" i="2" s="1"/>
  <c r="Q592" i="2"/>
  <c r="S592" i="2"/>
  <c r="R592" i="2"/>
  <c r="AP592" i="2" s="1"/>
  <c r="Q590" i="2"/>
  <c r="S590" i="2"/>
  <c r="R590" i="2"/>
  <c r="AP590" i="2" s="1"/>
  <c r="Q588" i="2"/>
  <c r="S588" i="2"/>
  <c r="R588" i="2"/>
  <c r="AP588" i="2" s="1"/>
  <c r="Q586" i="2"/>
  <c r="S586" i="2"/>
  <c r="R586" i="2"/>
  <c r="AP586" i="2" s="1"/>
  <c r="Q584" i="2"/>
  <c r="S584" i="2"/>
  <c r="R584" i="2"/>
  <c r="AP584" i="2" s="1"/>
  <c r="Q582" i="2"/>
  <c r="S582" i="2"/>
  <c r="R582" i="2"/>
  <c r="AP582" i="2" s="1"/>
  <c r="Q580" i="2"/>
  <c r="S580" i="2"/>
  <c r="R580" i="2"/>
  <c r="AP580" i="2" s="1"/>
  <c r="Q578" i="2"/>
  <c r="S578" i="2"/>
  <c r="R578" i="2"/>
  <c r="AP578" i="2" s="1"/>
  <c r="Q576" i="2"/>
  <c r="S576" i="2"/>
  <c r="R576" i="2"/>
  <c r="AP576" i="2" s="1"/>
  <c r="Q574" i="2"/>
  <c r="S574" i="2"/>
  <c r="R574" i="2"/>
  <c r="AP574" i="2" s="1"/>
  <c r="Q572" i="2"/>
  <c r="S572" i="2"/>
  <c r="R572" i="2"/>
  <c r="AP572" i="2" s="1"/>
  <c r="Q570" i="2"/>
  <c r="S570" i="2"/>
  <c r="R570" i="2"/>
  <c r="AP570" i="2" s="1"/>
  <c r="Q568" i="2"/>
  <c r="S568" i="2"/>
  <c r="R568" i="2"/>
  <c r="AP568" i="2" s="1"/>
  <c r="Q566" i="2"/>
  <c r="S566" i="2"/>
  <c r="R566" i="2"/>
  <c r="AP566" i="2" s="1"/>
  <c r="Q564" i="2"/>
  <c r="S564" i="2"/>
  <c r="R564" i="2"/>
  <c r="AP564" i="2" s="1"/>
  <c r="Q562" i="2"/>
  <c r="S562" i="2"/>
  <c r="R562" i="2"/>
  <c r="AP562" i="2" s="1"/>
  <c r="Q560" i="2"/>
  <c r="S560" i="2"/>
  <c r="R560" i="2"/>
  <c r="AP560" i="2" s="1"/>
  <c r="Q558" i="2"/>
  <c r="S558" i="2"/>
  <c r="R558" i="2"/>
  <c r="AP558" i="2" s="1"/>
  <c r="Q556" i="2"/>
  <c r="S556" i="2"/>
  <c r="R556" i="2"/>
  <c r="AP556" i="2" s="1"/>
  <c r="R553" i="2"/>
  <c r="AP553" i="2" s="1"/>
  <c r="Q553" i="2"/>
  <c r="S553" i="2"/>
  <c r="R545" i="2"/>
  <c r="AP545" i="2" s="1"/>
  <c r="Q545" i="2"/>
  <c r="S545" i="2"/>
  <c r="R537" i="2"/>
  <c r="AP537" i="2" s="1"/>
  <c r="Q537" i="2"/>
  <c r="S537" i="2"/>
  <c r="R529" i="2"/>
  <c r="AP529" i="2" s="1"/>
  <c r="Q529" i="2"/>
  <c r="S529" i="2"/>
  <c r="R521" i="2"/>
  <c r="AP521" i="2" s="1"/>
  <c r="Q521" i="2"/>
  <c r="S521" i="2"/>
  <c r="R513" i="2"/>
  <c r="AP513" i="2" s="1"/>
  <c r="Q513" i="2"/>
  <c r="S513" i="2"/>
  <c r="S487" i="2"/>
  <c r="R487" i="2"/>
  <c r="AP487" i="2" s="1"/>
  <c r="Q487" i="2"/>
  <c r="S471" i="2"/>
  <c r="R471" i="2"/>
  <c r="AP471" i="2" s="1"/>
  <c r="Q471" i="2"/>
  <c r="S455" i="2"/>
  <c r="R455" i="2"/>
  <c r="AP455" i="2" s="1"/>
  <c r="Q455" i="2"/>
  <c r="S439" i="2"/>
  <c r="R439" i="2"/>
  <c r="AP439" i="2" s="1"/>
  <c r="Q439" i="2"/>
  <c r="S423" i="2"/>
  <c r="R423" i="2"/>
  <c r="AP423" i="2" s="1"/>
  <c r="Q423" i="2"/>
  <c r="S407" i="2"/>
  <c r="R407" i="2"/>
  <c r="AP407" i="2" s="1"/>
  <c r="Q407" i="2"/>
  <c r="S399" i="2"/>
  <c r="R399" i="2"/>
  <c r="AP399" i="2" s="1"/>
  <c r="Q399" i="2"/>
  <c r="S391" i="2"/>
  <c r="R391" i="2"/>
  <c r="AP391" i="2" s="1"/>
  <c r="Q391" i="2"/>
  <c r="S383" i="2"/>
  <c r="R383" i="2"/>
  <c r="AP383" i="2" s="1"/>
  <c r="Q383" i="2"/>
  <c r="S375" i="2"/>
  <c r="R375" i="2"/>
  <c r="AP375" i="2" s="1"/>
  <c r="Q375" i="2"/>
  <c r="S367" i="2"/>
  <c r="R367" i="2"/>
  <c r="AP367" i="2" s="1"/>
  <c r="Q367" i="2"/>
  <c r="S359" i="2"/>
  <c r="R359" i="2"/>
  <c r="AP359" i="2" s="1"/>
  <c r="Q359" i="2"/>
  <c r="S351" i="2"/>
  <c r="R351" i="2"/>
  <c r="AP351" i="2" s="1"/>
  <c r="Q351" i="2"/>
  <c r="S343" i="2"/>
  <c r="R343" i="2"/>
  <c r="AP343" i="2" s="1"/>
  <c r="Q343" i="2"/>
  <c r="S335" i="2"/>
  <c r="R335" i="2"/>
  <c r="AP335" i="2" s="1"/>
  <c r="Q335" i="2"/>
  <c r="S327" i="2"/>
  <c r="R327" i="2"/>
  <c r="AP327" i="2" s="1"/>
  <c r="Q327" i="2"/>
  <c r="AF471" i="2"/>
  <c r="AA471" i="2"/>
  <c r="AK471" i="2"/>
  <c r="U471" i="2"/>
  <c r="AK448" i="2"/>
  <c r="AF448" i="2"/>
  <c r="AA448" i="2"/>
  <c r="U448" i="2"/>
  <c r="AK418" i="2"/>
  <c r="AF418" i="2"/>
  <c r="AA418" i="2"/>
  <c r="U418" i="2"/>
  <c r="R324" i="2"/>
  <c r="AP324" i="2" s="1"/>
  <c r="S324" i="2"/>
  <c r="Q324" i="2"/>
  <c r="AK314" i="2"/>
  <c r="AF314" i="2"/>
  <c r="AA314" i="2"/>
  <c r="U314" i="2"/>
  <c r="S303" i="2"/>
  <c r="R303" i="2"/>
  <c r="AP303" i="2" s="1"/>
  <c r="Q303" i="2"/>
  <c r="AF297" i="2"/>
  <c r="AA297" i="2"/>
  <c r="AK297" i="2"/>
  <c r="U297" i="2"/>
  <c r="AF291" i="2"/>
  <c r="AA291" i="2"/>
  <c r="AK291" i="2"/>
  <c r="U291" i="2"/>
  <c r="AK266" i="2"/>
  <c r="AF266" i="2"/>
  <c r="AA266" i="2"/>
  <c r="U266" i="2"/>
  <c r="AK252" i="2"/>
  <c r="AF252" i="2"/>
  <c r="AA252" i="2"/>
  <c r="U252" i="2"/>
  <c r="S239" i="2"/>
  <c r="R239" i="2"/>
  <c r="AP239" i="2" s="1"/>
  <c r="Q239" i="2"/>
  <c r="AF233" i="2"/>
  <c r="AA233" i="2"/>
  <c r="AK233" i="2"/>
  <c r="U233" i="2"/>
  <c r="AF227" i="2"/>
  <c r="AA227" i="2"/>
  <c r="AK227" i="2"/>
  <c r="U227" i="2"/>
  <c r="AF201" i="2"/>
  <c r="AK201" i="2"/>
  <c r="U201" i="2"/>
  <c r="AA201" i="2"/>
  <c r="AF185" i="2"/>
  <c r="AK185" i="2"/>
  <c r="U185" i="2"/>
  <c r="AA185" i="2"/>
  <c r="AF169" i="2"/>
  <c r="AK169" i="2"/>
  <c r="U169" i="2"/>
  <c r="AA169" i="2"/>
  <c r="AF153" i="2"/>
  <c r="AK153" i="2"/>
  <c r="U153" i="2"/>
  <c r="AA153" i="2"/>
  <c r="AF137" i="2"/>
  <c r="AK137" i="2"/>
  <c r="U137" i="2"/>
  <c r="AA137" i="2"/>
  <c r="AF121" i="2"/>
  <c r="AK121" i="2"/>
  <c r="U121" i="2"/>
  <c r="AA121" i="2"/>
  <c r="AF105" i="2"/>
  <c r="AK105" i="2"/>
  <c r="U105" i="2"/>
  <c r="AA105" i="2"/>
  <c r="AA98" i="2"/>
  <c r="AF98" i="2"/>
  <c r="AK98" i="2"/>
  <c r="U98" i="2"/>
  <c r="AF93" i="2"/>
  <c r="AK93" i="2"/>
  <c r="U93" i="2"/>
  <c r="AA93" i="2"/>
  <c r="AA78" i="2"/>
  <c r="AF78" i="2"/>
  <c r="AK78" i="2"/>
  <c r="U78" i="2"/>
  <c r="AA72" i="2"/>
  <c r="AF72" i="2"/>
  <c r="AK72" i="2"/>
  <c r="U72" i="2"/>
  <c r="AA66" i="2"/>
  <c r="AF66" i="2"/>
  <c r="AK66" i="2"/>
  <c r="U66" i="2"/>
  <c r="AF61" i="2"/>
  <c r="AK61" i="2"/>
  <c r="U61" i="2"/>
  <c r="AA61" i="2"/>
  <c r="AA46" i="2"/>
  <c r="AF46" i="2"/>
  <c r="AK46" i="2"/>
  <c r="U46" i="2"/>
  <c r="AA40" i="2"/>
  <c r="AF40" i="2"/>
  <c r="AK40" i="2"/>
  <c r="U40" i="2"/>
  <c r="AF29" i="2"/>
  <c r="AK29" i="2"/>
  <c r="U29" i="2"/>
  <c r="AA29" i="2"/>
  <c r="AK490" i="2"/>
  <c r="AF490" i="2"/>
  <c r="AA490" i="2"/>
  <c r="U490" i="2"/>
  <c r="AF441" i="2"/>
  <c r="AA441" i="2"/>
  <c r="AK441" i="2"/>
  <c r="U441" i="2"/>
  <c r="AF415" i="2"/>
  <c r="AA415" i="2"/>
  <c r="AK415" i="2"/>
  <c r="U415" i="2"/>
  <c r="AK400" i="2"/>
  <c r="AF400" i="2"/>
  <c r="AA400" i="2"/>
  <c r="U400" i="2"/>
  <c r="AK368" i="2"/>
  <c r="AF368" i="2"/>
  <c r="AA368" i="2"/>
  <c r="U368" i="2"/>
  <c r="AK336" i="2"/>
  <c r="AF336" i="2"/>
  <c r="AA336" i="2"/>
  <c r="U336" i="2"/>
  <c r="AF319" i="2"/>
  <c r="AA319" i="2"/>
  <c r="AK319" i="2"/>
  <c r="U319" i="2"/>
  <c r="AF303" i="2"/>
  <c r="AA303" i="2"/>
  <c r="AK303" i="2"/>
  <c r="U303" i="2"/>
  <c r="AF287" i="2"/>
  <c r="AA287" i="2"/>
  <c r="AK287" i="2"/>
  <c r="U287" i="2"/>
  <c r="AL272" i="2"/>
  <c r="V272" i="2"/>
  <c r="AG272" i="2"/>
  <c r="AB272" i="2"/>
  <c r="AF271" i="2"/>
  <c r="AA271" i="2"/>
  <c r="AK271" i="2"/>
  <c r="U271" i="2"/>
  <c r="AF223" i="2"/>
  <c r="AA223" i="2"/>
  <c r="AK223" i="2"/>
  <c r="U223" i="2"/>
  <c r="R212" i="2"/>
  <c r="AP212" i="2" s="1"/>
  <c r="S212" i="2"/>
  <c r="Q212" i="2"/>
  <c r="G200" i="4"/>
  <c r="R200" i="2"/>
  <c r="AP200" i="2" s="1"/>
  <c r="AQ200" i="2" s="1"/>
  <c r="AV200" i="2" s="1"/>
  <c r="BE200" i="2" s="1"/>
  <c r="S200" i="2"/>
  <c r="Q200" i="2"/>
  <c r="AF178" i="2"/>
  <c r="U178" i="2"/>
  <c r="AK178" i="2"/>
  <c r="AA178" i="2"/>
  <c r="G168" i="4"/>
  <c r="R168" i="2"/>
  <c r="AP168" i="2" s="1"/>
  <c r="AQ168" i="2" s="1"/>
  <c r="AV168" i="2" s="1"/>
  <c r="BE168" i="2" s="1"/>
  <c r="S168" i="2"/>
  <c r="Q168" i="2"/>
  <c r="AF146" i="2"/>
  <c r="U146" i="2"/>
  <c r="AK146" i="2"/>
  <c r="AA146" i="2"/>
  <c r="G136" i="4"/>
  <c r="R136" i="2"/>
  <c r="AP136" i="2" s="1"/>
  <c r="AQ136" i="2" s="1"/>
  <c r="AV136" i="2" s="1"/>
  <c r="BE136" i="2" s="1"/>
  <c r="S136" i="2"/>
  <c r="Q136" i="2"/>
  <c r="AF114" i="2"/>
  <c r="U114" i="2"/>
  <c r="AK114" i="2"/>
  <c r="AA114" i="2"/>
  <c r="G104" i="4"/>
  <c r="R104" i="2"/>
  <c r="AP104" i="2" s="1"/>
  <c r="AQ104" i="2" s="1"/>
  <c r="AV104" i="2" s="1"/>
  <c r="BE104" i="2" s="1"/>
  <c r="S104" i="2"/>
  <c r="Q104" i="2"/>
  <c r="G89" i="4"/>
  <c r="R89" i="2"/>
  <c r="AP89" i="2" s="1"/>
  <c r="Q89" i="2"/>
  <c r="S89" i="2"/>
  <c r="G57" i="4"/>
  <c r="R57" i="2"/>
  <c r="AP57" i="2" s="1"/>
  <c r="Q57" i="2"/>
  <c r="S57" i="2"/>
  <c r="G38" i="4"/>
  <c r="R38" i="2"/>
  <c r="AP38" i="2" s="1"/>
  <c r="Q38" i="2"/>
  <c r="S38" i="2"/>
  <c r="G6" i="4"/>
  <c r="R6" i="2"/>
  <c r="AP6" i="2" s="1"/>
  <c r="Q6" i="2"/>
  <c r="S6" i="2"/>
  <c r="AK24" i="2"/>
  <c r="U24" i="2"/>
  <c r="AA24" i="2"/>
  <c r="AF24" i="2"/>
  <c r="AF13" i="2"/>
  <c r="AK13" i="2"/>
  <c r="U13" i="2"/>
  <c r="AA13" i="2"/>
  <c r="AF449" i="2"/>
  <c r="AA449" i="2"/>
  <c r="AK449" i="2"/>
  <c r="U449" i="2"/>
  <c r="AF423" i="2"/>
  <c r="AA423" i="2"/>
  <c r="AK423" i="2"/>
  <c r="U423" i="2"/>
  <c r="AK322" i="2"/>
  <c r="AF322" i="2"/>
  <c r="AA322" i="2"/>
  <c r="U322" i="2"/>
  <c r="AK308" i="2"/>
  <c r="AF308" i="2"/>
  <c r="AA308" i="2"/>
  <c r="U308" i="2"/>
  <c r="S295" i="2"/>
  <c r="R295" i="2"/>
  <c r="AP295" i="2" s="1"/>
  <c r="Q295" i="2"/>
  <c r="AF289" i="2"/>
  <c r="AA289" i="2"/>
  <c r="AK289" i="2"/>
  <c r="U289" i="2"/>
  <c r="AF283" i="2"/>
  <c r="AA283" i="2"/>
  <c r="AK283" i="2"/>
  <c r="U283" i="2"/>
  <c r="AK258" i="2"/>
  <c r="AF258" i="2"/>
  <c r="AA258" i="2"/>
  <c r="U258" i="2"/>
  <c r="AK244" i="2"/>
  <c r="AF244" i="2"/>
  <c r="AA244" i="2"/>
  <c r="U244" i="2"/>
  <c r="S231" i="2"/>
  <c r="R231" i="2"/>
  <c r="AP231" i="2" s="1"/>
  <c r="Q231" i="2"/>
  <c r="AF225" i="2"/>
  <c r="AA225" i="2"/>
  <c r="AK225" i="2"/>
  <c r="U225" i="2"/>
  <c r="AF219" i="2"/>
  <c r="AA219" i="2"/>
  <c r="AK219" i="2"/>
  <c r="U219" i="2"/>
  <c r="S207" i="2"/>
  <c r="Q207" i="2"/>
  <c r="R207" i="2"/>
  <c r="AP207" i="2" s="1"/>
  <c r="AF195" i="2"/>
  <c r="AA195" i="2"/>
  <c r="AK195" i="2"/>
  <c r="U195" i="2"/>
  <c r="G191" i="4"/>
  <c r="S191" i="2"/>
  <c r="Q191" i="2"/>
  <c r="R191" i="2"/>
  <c r="AP191" i="2" s="1"/>
  <c r="AF179" i="2"/>
  <c r="AA179" i="2"/>
  <c r="AK179" i="2"/>
  <c r="U179" i="2"/>
  <c r="G175" i="4"/>
  <c r="S175" i="2"/>
  <c r="Q175" i="2"/>
  <c r="R175" i="2"/>
  <c r="AP175" i="2" s="1"/>
  <c r="AF163" i="2"/>
  <c r="AA163" i="2"/>
  <c r="AK163" i="2"/>
  <c r="U163" i="2"/>
  <c r="G159" i="4"/>
  <c r="S159" i="2"/>
  <c r="Q159" i="2"/>
  <c r="R159" i="2"/>
  <c r="AP159" i="2" s="1"/>
  <c r="AF147" i="2"/>
  <c r="AA147" i="2"/>
  <c r="AK147" i="2"/>
  <c r="U147" i="2"/>
  <c r="G143" i="4"/>
  <c r="S143" i="2"/>
  <c r="Q143" i="2"/>
  <c r="R143" i="2"/>
  <c r="AP143" i="2" s="1"/>
  <c r="AF131" i="2"/>
  <c r="AA131" i="2"/>
  <c r="AK131" i="2"/>
  <c r="U131" i="2"/>
  <c r="G127" i="4"/>
  <c r="S127" i="2"/>
  <c r="Q127" i="2"/>
  <c r="R127" i="2"/>
  <c r="AP127" i="2" s="1"/>
  <c r="AF115" i="2"/>
  <c r="AA115" i="2"/>
  <c r="AK115" i="2"/>
  <c r="U115" i="2"/>
  <c r="G111" i="4"/>
  <c r="S111" i="2"/>
  <c r="Q111" i="2"/>
  <c r="R111" i="2"/>
  <c r="AP111" i="2" s="1"/>
  <c r="AF89" i="2"/>
  <c r="AK89" i="2"/>
  <c r="AA89" i="2"/>
  <c r="U89" i="2"/>
  <c r="G87" i="4"/>
  <c r="S87" i="2"/>
  <c r="R87" i="2"/>
  <c r="AP87" i="2" s="1"/>
  <c r="Q87" i="2"/>
  <c r="AF79" i="2"/>
  <c r="AK79" i="2"/>
  <c r="AA79" i="2"/>
  <c r="U79" i="2"/>
  <c r="G65" i="4"/>
  <c r="R65" i="2"/>
  <c r="AP65" i="2" s="1"/>
  <c r="S65" i="2"/>
  <c r="Q65" i="2"/>
  <c r="AF45" i="2"/>
  <c r="AK45" i="2"/>
  <c r="U45" i="2"/>
  <c r="AA45" i="2"/>
  <c r="AF35" i="2"/>
  <c r="AA35" i="2"/>
  <c r="AK35" i="2"/>
  <c r="U35" i="2"/>
  <c r="U30" i="2"/>
  <c r="AA30" i="2"/>
  <c r="AF30" i="2"/>
  <c r="AK30" i="2"/>
  <c r="AF489" i="2"/>
  <c r="AA489" i="2"/>
  <c r="AK489" i="2"/>
  <c r="U489" i="2"/>
  <c r="AF463" i="2"/>
  <c r="AA463" i="2"/>
  <c r="AK463" i="2"/>
  <c r="U463" i="2"/>
  <c r="AK440" i="2"/>
  <c r="AF440" i="2"/>
  <c r="AA440" i="2"/>
  <c r="U440" i="2"/>
  <c r="AK410" i="2"/>
  <c r="AF410" i="2"/>
  <c r="AA410" i="2"/>
  <c r="U410" i="2"/>
  <c r="AK312" i="2"/>
  <c r="AF312" i="2"/>
  <c r="AA312" i="2"/>
  <c r="U312" i="2"/>
  <c r="R300" i="2"/>
  <c r="AP300" i="2" s="1"/>
  <c r="S300" i="2"/>
  <c r="Q300" i="2"/>
  <c r="AF295" i="2"/>
  <c r="AA295" i="2"/>
  <c r="U295" i="2"/>
  <c r="AK295" i="2"/>
  <c r="R252" i="2"/>
  <c r="AP252" i="2" s="1"/>
  <c r="S252" i="2"/>
  <c r="Q252" i="2"/>
  <c r="R220" i="2"/>
  <c r="AP220" i="2" s="1"/>
  <c r="S220" i="2"/>
  <c r="Q220" i="2"/>
  <c r="AK202" i="2"/>
  <c r="AA202" i="2"/>
  <c r="AF202" i="2"/>
  <c r="U202" i="2"/>
  <c r="G192" i="4"/>
  <c r="R192" i="2"/>
  <c r="AP192" i="2" s="1"/>
  <c r="AQ192" i="2" s="1"/>
  <c r="AV192" i="2" s="1"/>
  <c r="BE192" i="2" s="1"/>
  <c r="S192" i="2"/>
  <c r="Q192" i="2"/>
  <c r="AK186" i="2"/>
  <c r="AA186" i="2"/>
  <c r="AF186" i="2"/>
  <c r="U186" i="2"/>
  <c r="AF175" i="2"/>
  <c r="AA175" i="2"/>
  <c r="U175" i="2"/>
  <c r="AK175" i="2"/>
  <c r="G171" i="4"/>
  <c r="Q171" i="2"/>
  <c r="S171" i="2"/>
  <c r="R171" i="2"/>
  <c r="AP171" i="2" s="1"/>
  <c r="AF157" i="2"/>
  <c r="AK157" i="2"/>
  <c r="U157" i="2"/>
  <c r="AA157" i="2"/>
  <c r="G128" i="4"/>
  <c r="R128" i="2"/>
  <c r="AP128" i="2" s="1"/>
  <c r="AQ128" i="2" s="1"/>
  <c r="AV128" i="2" s="1"/>
  <c r="BE128" i="2" s="1"/>
  <c r="S128" i="2"/>
  <c r="Q128" i="2"/>
  <c r="AK122" i="2"/>
  <c r="AA122" i="2"/>
  <c r="AF122" i="2"/>
  <c r="U122" i="2"/>
  <c r="AF111" i="2"/>
  <c r="AA111" i="2"/>
  <c r="U111" i="2"/>
  <c r="AK111" i="2"/>
  <c r="G107" i="4"/>
  <c r="Q107" i="2"/>
  <c r="S107" i="2"/>
  <c r="R107" i="2"/>
  <c r="AP107" i="2" s="1"/>
  <c r="G51" i="4"/>
  <c r="Q51" i="2"/>
  <c r="S51" i="2"/>
  <c r="R51" i="2"/>
  <c r="AP51" i="2" s="1"/>
  <c r="AF33" i="2"/>
  <c r="AK33" i="2"/>
  <c r="AA33" i="2"/>
  <c r="U33" i="2"/>
  <c r="G31" i="4"/>
  <c r="S31" i="2"/>
  <c r="R31" i="2"/>
  <c r="AP31" i="2" s="1"/>
  <c r="Q31" i="2"/>
  <c r="AF23" i="2"/>
  <c r="AK23" i="2"/>
  <c r="AA23" i="2"/>
  <c r="U23" i="2"/>
  <c r="G4" i="4"/>
  <c r="R4" i="2"/>
  <c r="AP4" i="2" s="1"/>
  <c r="AQ4" i="2" s="1"/>
  <c r="AV4" i="2" s="1"/>
  <c r="BE4" i="2" s="1"/>
  <c r="S4" i="2"/>
  <c r="Q4" i="2"/>
  <c r="AF14" i="2"/>
  <c r="AK14" i="2"/>
  <c r="U14" i="2"/>
  <c r="AA14" i="2"/>
  <c r="AF70" i="2"/>
  <c r="AK70" i="2"/>
  <c r="U70" i="2"/>
  <c r="AA70" i="2"/>
  <c r="AK28" i="2"/>
  <c r="AF28" i="2"/>
  <c r="AA28" i="2"/>
  <c r="U28" i="2"/>
  <c r="AL200" i="2"/>
  <c r="V200" i="2"/>
  <c r="AB200" i="2"/>
  <c r="AG200" i="2"/>
  <c r="AL176" i="2"/>
  <c r="V176" i="2"/>
  <c r="AG176" i="2"/>
  <c r="AB176" i="2"/>
  <c r="AF75" i="2"/>
  <c r="AA75" i="2"/>
  <c r="AK75" i="2"/>
  <c r="U75" i="2"/>
  <c r="AF43" i="2"/>
  <c r="AA43" i="2"/>
  <c r="AK43" i="2"/>
  <c r="U43" i="2"/>
  <c r="AL192" i="2"/>
  <c r="V192" i="2"/>
  <c r="AG192" i="2"/>
  <c r="AB192" i="2"/>
  <c r="AF85" i="2"/>
  <c r="AK85" i="2"/>
  <c r="U85" i="2"/>
  <c r="AA85" i="2"/>
  <c r="AF38" i="2"/>
  <c r="AK38" i="2"/>
  <c r="U38" i="2"/>
  <c r="AA38" i="2"/>
  <c r="AL18" i="2"/>
  <c r="V18" i="2"/>
  <c r="AG18" i="2"/>
  <c r="AB18" i="2"/>
  <c r="BD583" i="2" l="1"/>
  <c r="BD1095" i="2"/>
  <c r="BD1844" i="2"/>
  <c r="BD492" i="2"/>
  <c r="BD450" i="2"/>
  <c r="BD763" i="2"/>
  <c r="BD766" i="2"/>
  <c r="BD1131" i="2"/>
  <c r="BD1841" i="2"/>
  <c r="BD751" i="2"/>
  <c r="BD762" i="2"/>
  <c r="BD490" i="2"/>
  <c r="BD815" i="2"/>
  <c r="BD774" i="2"/>
  <c r="BD1081" i="2"/>
  <c r="BD1391" i="2"/>
  <c r="BD799" i="2"/>
  <c r="BD790" i="2"/>
  <c r="AV264" i="2"/>
  <c r="BE264" i="2" s="1"/>
  <c r="BD2125" i="2"/>
  <c r="BD1067" i="2"/>
  <c r="BD2127" i="2"/>
  <c r="BD1836" i="2"/>
  <c r="BD2353" i="2"/>
  <c r="BD2343" i="2"/>
  <c r="BD2348" i="2"/>
  <c r="BD2380" i="2"/>
  <c r="AG1791" i="2"/>
  <c r="AQ1815" i="2"/>
  <c r="AV1815" i="2" s="1"/>
  <c r="BE1815" i="2" s="1"/>
  <c r="V1811" i="2"/>
  <c r="BD2206" i="2"/>
  <c r="BD778" i="2"/>
  <c r="BD2362" i="2"/>
  <c r="AQ925" i="2"/>
  <c r="AV925" i="2" s="1"/>
  <c r="BE925" i="2" s="1"/>
  <c r="AL929" i="2"/>
  <c r="V468" i="2"/>
  <c r="AC468" i="2" s="1"/>
  <c r="BD2330" i="2"/>
  <c r="BD2369" i="2"/>
  <c r="AL340" i="2"/>
  <c r="AL923" i="2"/>
  <c r="AG1151" i="2"/>
  <c r="AR1151" i="2" s="1"/>
  <c r="AW1151" i="2" s="1"/>
  <c r="BF1151" i="2" s="1"/>
  <c r="AG436" i="2"/>
  <c r="AR436" i="2" s="1"/>
  <c r="AB304" i="2"/>
  <c r="AB320" i="2"/>
  <c r="V909" i="2"/>
  <c r="AM909" i="2" s="1"/>
  <c r="AG364" i="2"/>
  <c r="AR364" i="2" s="1"/>
  <c r="AG404" i="2"/>
  <c r="AR404" i="2" s="1"/>
  <c r="AQ1771" i="2"/>
  <c r="AV1771" i="2" s="1"/>
  <c r="BE1771" i="2" s="1"/>
  <c r="AQ1803" i="2"/>
  <c r="AV1803" i="2" s="1"/>
  <c r="BE1803" i="2" s="1"/>
  <c r="BD534" i="2"/>
  <c r="BD1694" i="2"/>
  <c r="AL897" i="2"/>
  <c r="V901" i="2"/>
  <c r="AM901" i="2" s="1"/>
  <c r="AL444" i="2"/>
  <c r="AG468" i="2"/>
  <c r="AQ444" i="2"/>
  <c r="AV444" i="2" s="1"/>
  <c r="BE444" i="2" s="1"/>
  <c r="BD16" i="2"/>
  <c r="BD1768" i="2"/>
  <c r="BD1792" i="2"/>
  <c r="AQ224" i="2"/>
  <c r="AV224" i="2" s="1"/>
  <c r="BE224" i="2" s="1"/>
  <c r="BD575" i="2"/>
  <c r="BD2383" i="2"/>
  <c r="BD1601" i="2"/>
  <c r="BD2149" i="2"/>
  <c r="BD786" i="2"/>
  <c r="AQ1795" i="2"/>
  <c r="AV1795" i="2" s="1"/>
  <c r="BE1795" i="2" s="1"/>
  <c r="BD1730" i="2"/>
  <c r="V893" i="2"/>
  <c r="W893" i="2" s="1"/>
  <c r="AG1145" i="2"/>
  <c r="AR1145" i="2" s="1"/>
  <c r="V1147" i="2"/>
  <c r="AM1147" i="2" s="1"/>
  <c r="AL1835" i="2"/>
  <c r="AL468" i="2"/>
  <c r="AQ915" i="2"/>
  <c r="AV915" i="2" s="1"/>
  <c r="BE915" i="2" s="1"/>
  <c r="BD862" i="2"/>
  <c r="AV2020" i="2"/>
  <c r="BE2020" i="2" s="1"/>
  <c r="AB891" i="2"/>
  <c r="AR891" i="2" s="1"/>
  <c r="AB1803" i="2"/>
  <c r="AR1803" i="2" s="1"/>
  <c r="AQ428" i="2"/>
  <c r="AV428" i="2" s="1"/>
  <c r="BE428" i="2" s="1"/>
  <c r="BD518" i="2"/>
  <c r="BD550" i="2"/>
  <c r="BD1657" i="2"/>
  <c r="BD2117" i="2"/>
  <c r="BD2344" i="2"/>
  <c r="BD2388" i="2"/>
  <c r="BD1627" i="2"/>
  <c r="V364" i="2"/>
  <c r="AC364" i="2" s="1"/>
  <c r="AB444" i="2"/>
  <c r="AQ893" i="2"/>
  <c r="AV893" i="2" s="1"/>
  <c r="BE893" i="2" s="1"/>
  <c r="AB340" i="2"/>
  <c r="V404" i="2"/>
  <c r="AM404" i="2" s="1"/>
  <c r="V1151" i="2"/>
  <c r="AC1151" i="2" s="1"/>
  <c r="V436" i="2"/>
  <c r="AB1791" i="2"/>
  <c r="AR1791" i="2" s="1"/>
  <c r="AW1791" i="2" s="1"/>
  <c r="BF1791" i="2" s="1"/>
  <c r="AG304" i="2"/>
  <c r="AG320" i="2"/>
  <c r="V304" i="2"/>
  <c r="AC304" i="2" s="1"/>
  <c r="V320" i="2"/>
  <c r="W320" i="2" s="1"/>
  <c r="AB897" i="2"/>
  <c r="AG909" i="2"/>
  <c r="AR909" i="2" s="1"/>
  <c r="AL364" i="2"/>
  <c r="AG444" i="2"/>
  <c r="AG340" i="2"/>
  <c r="AL404" i="2"/>
  <c r="AL1151" i="2"/>
  <c r="AL436" i="2"/>
  <c r="AQ899" i="2"/>
  <c r="AV899" i="2" s="1"/>
  <c r="BE899" i="2" s="1"/>
  <c r="V1791" i="2"/>
  <c r="AH1791" i="2" s="1"/>
  <c r="BD843" i="2"/>
  <c r="AQ1767" i="2"/>
  <c r="AV1767" i="2" s="1"/>
  <c r="BE1767" i="2" s="1"/>
  <c r="BD1799" i="2"/>
  <c r="AG897" i="2"/>
  <c r="AL909" i="2"/>
  <c r="AL915" i="2"/>
  <c r="BD108" i="2"/>
  <c r="BD1678" i="2"/>
  <c r="BD2374" i="2"/>
  <c r="BD310" i="2"/>
  <c r="BD567" i="2"/>
  <c r="BD1649" i="2"/>
  <c r="BD2370" i="2"/>
  <c r="BD466" i="2"/>
  <c r="BD810" i="2"/>
  <c r="BD1477" i="2"/>
  <c r="BD2123" i="2"/>
  <c r="AQ348" i="2"/>
  <c r="AV348" i="2" s="1"/>
  <c r="BE348" i="2" s="1"/>
  <c r="BD1500" i="2"/>
  <c r="BD826" i="2"/>
  <c r="BD882" i="2"/>
  <c r="BD434" i="2"/>
  <c r="BD735" i="2"/>
  <c r="BD216" i="2"/>
  <c r="BD599" i="2"/>
  <c r="BD1804" i="2"/>
  <c r="BD1776" i="2"/>
  <c r="BD1690" i="2"/>
  <c r="BD2290" i="2"/>
  <c r="BD2331" i="2"/>
  <c r="AQ476" i="2"/>
  <c r="AV476" i="2" s="1"/>
  <c r="BE476" i="2" s="1"/>
  <c r="BD196" i="2"/>
  <c r="AQ1775" i="2"/>
  <c r="AV1775" i="2" s="1"/>
  <c r="BE1775" i="2" s="1"/>
  <c r="BD2234" i="2"/>
  <c r="BD418" i="2"/>
  <c r="BD430" i="2"/>
  <c r="AQ1763" i="2"/>
  <c r="AV1763" i="2" s="1"/>
  <c r="BE1763" i="2" s="1"/>
  <c r="BD1808" i="2"/>
  <c r="BD2365" i="2"/>
  <c r="BD1520" i="2"/>
  <c r="BD2282" i="2"/>
  <c r="AB1779" i="2"/>
  <c r="AR1779" i="2" s="1"/>
  <c r="AL1807" i="2"/>
  <c r="AG1823" i="2"/>
  <c r="AQ402" i="2"/>
  <c r="AV402" i="2" s="1"/>
  <c r="BE402" i="2" s="1"/>
  <c r="AQ288" i="2"/>
  <c r="AV288" i="2" s="1"/>
  <c r="BE288" i="2" s="1"/>
  <c r="BD543" i="2"/>
  <c r="AQ468" i="2"/>
  <c r="AV468" i="2" s="1"/>
  <c r="BE468" i="2" s="1"/>
  <c r="AB903" i="2"/>
  <c r="V232" i="2"/>
  <c r="AC232" i="2" s="1"/>
  <c r="AQ1779" i="2"/>
  <c r="AV1779" i="2" s="1"/>
  <c r="BE1779" i="2" s="1"/>
  <c r="AQ396" i="2"/>
  <c r="BD304" i="2"/>
  <c r="BD842" i="2"/>
  <c r="BD74" i="2"/>
  <c r="BD410" i="2"/>
  <c r="BD879" i="2"/>
  <c r="BD542" i="2"/>
  <c r="BD591" i="2"/>
  <c r="BD615" i="2"/>
  <c r="BD1665" i="2"/>
  <c r="BD1375" i="2"/>
  <c r="BD1710" i="2"/>
  <c r="BD250" i="2"/>
  <c r="BD2258" i="2"/>
  <c r="BD2408" i="2"/>
  <c r="BD1670" i="2"/>
  <c r="BD595" i="2"/>
  <c r="BD611" i="2"/>
  <c r="BD1609" i="2"/>
  <c r="BD1641" i="2"/>
  <c r="BD1686" i="2"/>
  <c r="AB1141" i="2"/>
  <c r="V1779" i="2"/>
  <c r="AC1779" i="2" s="1"/>
  <c r="AL1811" i="2"/>
  <c r="AB1787" i="2"/>
  <c r="AR1787" i="2" s="1"/>
  <c r="AW1787" i="2" s="1"/>
  <c r="BF1787" i="2" s="1"/>
  <c r="AL232" i="2"/>
  <c r="AG1775" i="2"/>
  <c r="AG1807" i="2"/>
  <c r="AB1823" i="2"/>
  <c r="AR1823" i="2" s="1"/>
  <c r="AW1823" i="2" s="1"/>
  <c r="BF1823" i="2" s="1"/>
  <c r="AB224" i="2"/>
  <c r="AL1779" i="2"/>
  <c r="AG1811" i="2"/>
  <c r="AR1811" i="2" s="1"/>
  <c r="AW1811" i="2" s="1"/>
  <c r="BF1811" i="2" s="1"/>
  <c r="AG372" i="2"/>
  <c r="AR372" i="2" s="1"/>
  <c r="V1787" i="2"/>
  <c r="AM1787" i="2" s="1"/>
  <c r="AQ1835" i="2"/>
  <c r="AV1835" i="2" s="1"/>
  <c r="BE1835" i="2" s="1"/>
  <c r="AB232" i="2"/>
  <c r="AR232" i="2" s="1"/>
  <c r="AB1807" i="2"/>
  <c r="V1823" i="2"/>
  <c r="AM1823" i="2" s="1"/>
  <c r="AQ256" i="2"/>
  <c r="AV256" i="2" s="1"/>
  <c r="BE256" i="2" s="1"/>
  <c r="BD2358" i="2"/>
  <c r="AQ903" i="2"/>
  <c r="AV903" i="2" s="1"/>
  <c r="BE903" i="2" s="1"/>
  <c r="BD1772" i="2"/>
  <c r="BD559" i="2"/>
  <c r="BD2266" i="2"/>
  <c r="BD2391" i="2"/>
  <c r="AQ1759" i="2"/>
  <c r="AV1759" i="2" s="1"/>
  <c r="BE1759" i="2" s="1"/>
  <c r="BD1702" i="2"/>
  <c r="BD2376" i="2"/>
  <c r="BD855" i="2"/>
  <c r="BD470" i="2"/>
  <c r="BD1117" i="2"/>
  <c r="BD1795" i="2"/>
  <c r="BD1383" i="2"/>
  <c r="BD1824" i="2"/>
  <c r="BD2359" i="2"/>
  <c r="BD2385" i="2"/>
  <c r="BD2335" i="2"/>
  <c r="AG460" i="2"/>
  <c r="AR460" i="2" s="1"/>
  <c r="AQ897" i="2"/>
  <c r="AV897" i="2" s="1"/>
  <c r="BE897" i="2" s="1"/>
  <c r="V484" i="2"/>
  <c r="AM484" i="2" s="1"/>
  <c r="BD851" i="2"/>
  <c r="BD1603" i="2"/>
  <c r="BD1714" i="2"/>
  <c r="AQ324" i="2"/>
  <c r="AV324" i="2" s="1"/>
  <c r="BE324" i="2" s="1"/>
  <c r="AG929" i="2"/>
  <c r="AB332" i="2"/>
  <c r="V1803" i="2"/>
  <c r="AC1803" i="2" s="1"/>
  <c r="AG1835" i="2"/>
  <c r="AQ931" i="2"/>
  <c r="AV931" i="2" s="1"/>
  <c r="BE931" i="2" s="1"/>
  <c r="BD794" i="2"/>
  <c r="BD683" i="2"/>
  <c r="AL921" i="2"/>
  <c r="AB929" i="2"/>
  <c r="AL1795" i="2"/>
  <c r="AG248" i="2"/>
  <c r="AR248" i="2" s="1"/>
  <c r="AL1803" i="2"/>
  <c r="AB1835" i="2"/>
  <c r="BD482" i="2"/>
  <c r="BD1087" i="2"/>
  <c r="BD511" i="2"/>
  <c r="AB1763" i="2"/>
  <c r="AR1763" i="2" s="1"/>
  <c r="AL288" i="2"/>
  <c r="AL1827" i="2"/>
  <c r="AQ1811" i="2"/>
  <c r="AV1811" i="2" s="1"/>
  <c r="BE1811" i="2" s="1"/>
  <c r="AB1815" i="2"/>
  <c r="BD544" i="2"/>
  <c r="BD1750" i="2"/>
  <c r="BD442" i="2"/>
  <c r="AV1787" i="2"/>
  <c r="BE1787" i="2" s="1"/>
  <c r="BD234" i="2"/>
  <c r="BD402" i="2"/>
  <c r="BD1506" i="2"/>
  <c r="BD1695" i="2"/>
  <c r="AQ320" i="2"/>
  <c r="AV320" i="2" s="1"/>
  <c r="BE320" i="2" s="1"/>
  <c r="BD370" i="2"/>
  <c r="BD486" i="2"/>
  <c r="AQ380" i="2"/>
  <c r="AV380" i="2" s="1"/>
  <c r="BE380" i="2" s="1"/>
  <c r="AQ272" i="2"/>
  <c r="AV272" i="2" s="1"/>
  <c r="BE272" i="2" s="1"/>
  <c r="BD746" i="2"/>
  <c r="BD838" i="2"/>
  <c r="BD858" i="2"/>
  <c r="BD802" i="2"/>
  <c r="BD525" i="2"/>
  <c r="BD452" i="2"/>
  <c r="BD730" i="2"/>
  <c r="BD2170" i="2"/>
  <c r="BD1682" i="2"/>
  <c r="BD2222" i="2"/>
  <c r="BD104" i="2"/>
  <c r="AL893" i="2"/>
  <c r="AL901" i="2"/>
  <c r="AG1141" i="2"/>
  <c r="AR1141" i="2" s="1"/>
  <c r="AW1141" i="2" s="1"/>
  <c r="BF1141" i="2" s="1"/>
  <c r="BD2048" i="2"/>
  <c r="BD2064" i="2"/>
  <c r="BD2080" i="2"/>
  <c r="BD2096" i="2"/>
  <c r="BD2045" i="2"/>
  <c r="V460" i="2"/>
  <c r="AH460" i="2" s="1"/>
  <c r="AB204" i="2"/>
  <c r="V891" i="2"/>
  <c r="AM891" i="2" s="1"/>
  <c r="AL1147" i="2"/>
  <c r="AG1843" i="2"/>
  <c r="BD278" i="2"/>
  <c r="BD414" i="2"/>
  <c r="AV452" i="2"/>
  <c r="BE452" i="2" s="1"/>
  <c r="BD1635" i="2"/>
  <c r="BD1775" i="2"/>
  <c r="BD822" i="2"/>
  <c r="AQ356" i="2"/>
  <c r="AV356" i="2" s="1"/>
  <c r="BE356" i="2" s="1"/>
  <c r="AG893" i="2"/>
  <c r="AR893" i="2" s="1"/>
  <c r="AW893" i="2" s="1"/>
  <c r="BF893" i="2" s="1"/>
  <c r="AG901" i="2"/>
  <c r="AR901" i="2" s="1"/>
  <c r="AW901" i="2" s="1"/>
  <c r="BF901" i="2" s="1"/>
  <c r="V1141" i="2"/>
  <c r="AM1141" i="2" s="1"/>
  <c r="V412" i="2"/>
  <c r="W412" i="2" s="1"/>
  <c r="AL460" i="2"/>
  <c r="AG204" i="2"/>
  <c r="AL891" i="2"/>
  <c r="BD1048" i="2"/>
  <c r="AB1147" i="2"/>
  <c r="AR1147" i="2" s="1"/>
  <c r="AQ907" i="2"/>
  <c r="AV907" i="2" s="1"/>
  <c r="BE907" i="2" s="1"/>
  <c r="AV304" i="2"/>
  <c r="BE304" i="2" s="1"/>
  <c r="BD44" i="2"/>
  <c r="BD232" i="2"/>
  <c r="BD420" i="2"/>
  <c r="BD354" i="2"/>
  <c r="BD2322" i="2"/>
  <c r="BD58" i="2"/>
  <c r="BD302" i="2"/>
  <c r="AG216" i="2"/>
  <c r="AR216" i="2" s="1"/>
  <c r="AV340" i="2"/>
  <c r="BE340" i="2" s="1"/>
  <c r="BD1706" i="2"/>
  <c r="BD468" i="2"/>
  <c r="BD1379" i="2"/>
  <c r="BD1489" i="2"/>
  <c r="AQ1147" i="2"/>
  <c r="AV1147" i="2" s="1"/>
  <c r="BE1147" i="2" s="1"/>
  <c r="V1145" i="2"/>
  <c r="AH1145" i="2" s="1"/>
  <c r="AQ1151" i="2"/>
  <c r="AV1151" i="2" s="1"/>
  <c r="BE1151" i="2" s="1"/>
  <c r="V216" i="2"/>
  <c r="AC216" i="2" s="1"/>
  <c r="V248" i="2"/>
  <c r="W248" i="2" s="1"/>
  <c r="AG332" i="2"/>
  <c r="AR332" i="2" s="1"/>
  <c r="AW332" i="2" s="1"/>
  <c r="BF332" i="2" s="1"/>
  <c r="AL412" i="2"/>
  <c r="V1815" i="2"/>
  <c r="AC1815" i="2" s="1"/>
  <c r="V903" i="2"/>
  <c r="AH903" i="2" s="1"/>
  <c r="AG915" i="2"/>
  <c r="AB1843" i="2"/>
  <c r="AQ1839" i="2"/>
  <c r="AV1839" i="2" s="1"/>
  <c r="BE1839" i="2" s="1"/>
  <c r="AL484" i="2"/>
  <c r="AQ338" i="2"/>
  <c r="AV338" i="2" s="1"/>
  <c r="BE338" i="2" s="1"/>
  <c r="BD394" i="2"/>
  <c r="BD436" i="2"/>
  <c r="AQ388" i="2"/>
  <c r="AV388" i="2" s="1"/>
  <c r="BE388" i="2" s="1"/>
  <c r="BD2350" i="2"/>
  <c r="AQ240" i="2"/>
  <c r="AV240" i="2" s="1"/>
  <c r="BE240" i="2" s="1"/>
  <c r="BD770" i="2"/>
  <c r="AL1145" i="2"/>
  <c r="V332" i="2"/>
  <c r="AH332" i="2" s="1"/>
  <c r="AB412" i="2"/>
  <c r="AR412" i="2" s="1"/>
  <c r="AW412" i="2" s="1"/>
  <c r="BF412" i="2" s="1"/>
  <c r="AB428" i="2"/>
  <c r="AL1815" i="2"/>
  <c r="AL903" i="2"/>
  <c r="AB915" i="2"/>
  <c r="AQ1145" i="2"/>
  <c r="AV1145" i="2" s="1"/>
  <c r="BE1145" i="2" s="1"/>
  <c r="V1843" i="2"/>
  <c r="AC1843" i="2" s="1"/>
  <c r="AB484" i="2"/>
  <c r="AR484" i="2" s="1"/>
  <c r="AQ1831" i="2"/>
  <c r="AV1831" i="2" s="1"/>
  <c r="BE1831" i="2" s="1"/>
  <c r="BD734" i="2"/>
  <c r="BD2390" i="2"/>
  <c r="BD847" i="2"/>
  <c r="AQ1783" i="2"/>
  <c r="AV1783" i="2" s="1"/>
  <c r="BE1783" i="2" s="1"/>
  <c r="AQ364" i="2"/>
  <c r="AV364" i="2" s="1"/>
  <c r="BE364" i="2" s="1"/>
  <c r="AQ248" i="2"/>
  <c r="AV248" i="2" s="1"/>
  <c r="BE248" i="2" s="1"/>
  <c r="AQ436" i="2"/>
  <c r="AV436" i="2" s="1"/>
  <c r="BE436" i="2" s="1"/>
  <c r="BD1771" i="2"/>
  <c r="BD462" i="2"/>
  <c r="BD854" i="2"/>
  <c r="AQ372" i="2"/>
  <c r="AV372" i="2" s="1"/>
  <c r="BE372" i="2" s="1"/>
  <c r="BD1607" i="2"/>
  <c r="AV1807" i="2"/>
  <c r="BE1807" i="2" s="1"/>
  <c r="BD2278" i="2"/>
  <c r="AL216" i="2"/>
  <c r="AL248" i="2"/>
  <c r="AL324" i="2"/>
  <c r="AQ1143" i="2"/>
  <c r="AV1143" i="2" s="1"/>
  <c r="BE1143" i="2" s="1"/>
  <c r="BD878" i="2"/>
  <c r="AQ913" i="2"/>
  <c r="AV913" i="2" s="1"/>
  <c r="BE913" i="2" s="1"/>
  <c r="BD484" i="2"/>
  <c r="BD438" i="2"/>
  <c r="BD874" i="2"/>
  <c r="BD621" i="2"/>
  <c r="BD1807" i="2"/>
  <c r="BD264" i="2"/>
  <c r="AQ484" i="2"/>
  <c r="AV484" i="2" s="1"/>
  <c r="BE484" i="2" s="1"/>
  <c r="BD12" i="2"/>
  <c r="BD1105" i="2"/>
  <c r="BD1137" i="2"/>
  <c r="BD1129" i="2"/>
  <c r="AQ332" i="2"/>
  <c r="AV332" i="2" s="1"/>
  <c r="BE332" i="2" s="1"/>
  <c r="BD1139" i="2"/>
  <c r="BD2306" i="2"/>
  <c r="AG224" i="2"/>
  <c r="AB288" i="2"/>
  <c r="AG356" i="2"/>
  <c r="AR356" i="2" s="1"/>
  <c r="AW356" i="2" s="1"/>
  <c r="BF356" i="2" s="1"/>
  <c r="V917" i="2"/>
  <c r="AM917" i="2" s="1"/>
  <c r="AQ1827" i="2"/>
  <c r="AV1827" i="2" s="1"/>
  <c r="BE1827" i="2" s="1"/>
  <c r="AL476" i="2"/>
  <c r="AL492" i="2"/>
  <c r="BD1847" i="2"/>
  <c r="BD2061" i="2"/>
  <c r="BD2077" i="2"/>
  <c r="BD2093" i="2"/>
  <c r="BD2109" i="2"/>
  <c r="V372" i="2"/>
  <c r="AH372" i="2" s="1"/>
  <c r="AB899" i="2"/>
  <c r="AB907" i="2"/>
  <c r="AR907" i="2" s="1"/>
  <c r="AW907" i="2" s="1"/>
  <c r="BF907" i="2" s="1"/>
  <c r="AB1775" i="2"/>
  <c r="AV216" i="2"/>
  <c r="BE216" i="2" s="1"/>
  <c r="BD2382" i="2"/>
  <c r="BD754" i="2"/>
  <c r="BD803" i="2"/>
  <c r="BD859" i="2"/>
  <c r="V224" i="2"/>
  <c r="AH224" i="2" s="1"/>
  <c r="AG288" i="2"/>
  <c r="V356" i="2"/>
  <c r="W356" i="2" s="1"/>
  <c r="AL917" i="2"/>
  <c r="AB476" i="2"/>
  <c r="AR476" i="2" s="1"/>
  <c r="AW476" i="2" s="1"/>
  <c r="BF476" i="2" s="1"/>
  <c r="AB492" i="2"/>
  <c r="AR492" i="2" s="1"/>
  <c r="AW492" i="2" s="1"/>
  <c r="BF492" i="2" s="1"/>
  <c r="AL372" i="2"/>
  <c r="AV396" i="2"/>
  <c r="BE396" i="2" s="1"/>
  <c r="V899" i="2"/>
  <c r="AC899" i="2" s="1"/>
  <c r="V907" i="2"/>
  <c r="AH907" i="2" s="1"/>
  <c r="AQ1149" i="2"/>
  <c r="AV1149" i="2" s="1"/>
  <c r="BE1149" i="2" s="1"/>
  <c r="V1775" i="2"/>
  <c r="AM1775" i="2" s="1"/>
  <c r="BD2326" i="2"/>
  <c r="BD222" i="2"/>
  <c r="BD348" i="2"/>
  <c r="BD1718" i="2"/>
  <c r="BD20" i="2"/>
  <c r="BD25" i="2"/>
  <c r="BD52" i="2"/>
  <c r="BD557" i="2"/>
  <c r="BD807" i="2"/>
  <c r="BD378" i="2"/>
  <c r="BD1083" i="2"/>
  <c r="BD663" i="2"/>
  <c r="BD2256" i="2"/>
  <c r="BD2182" i="2"/>
  <c r="BD246" i="2"/>
  <c r="BD863" i="2"/>
  <c r="BD504" i="2"/>
  <c r="BD2120" i="2"/>
  <c r="BD2128" i="2"/>
  <c r="BD2136" i="2"/>
  <c r="BD2029" i="2"/>
  <c r="BD2165" i="2"/>
  <c r="BD2183" i="2"/>
  <c r="BD49" i="2"/>
  <c r="BD81" i="2"/>
  <c r="BD416" i="2"/>
  <c r="BD480" i="2"/>
  <c r="BD1085" i="2"/>
  <c r="BD883" i="2"/>
  <c r="BD446" i="2"/>
  <c r="BD80" i="2"/>
  <c r="BD707" i="2"/>
  <c r="BD207" i="2"/>
  <c r="BD168" i="2"/>
  <c r="BD399" i="2"/>
  <c r="BD333" i="2"/>
  <c r="BD1287" i="2"/>
  <c r="BD1707" i="2"/>
  <c r="BD1462" i="2"/>
  <c r="BD1502" i="2"/>
  <c r="BD1572" i="2"/>
  <c r="BD1540" i="2"/>
  <c r="BD771" i="2"/>
  <c r="BD240" i="2"/>
  <c r="BD1101" i="2"/>
  <c r="BD1113" i="2"/>
  <c r="BD272" i="2"/>
  <c r="BD519" i="2"/>
  <c r="BD870" i="2"/>
  <c r="BD396" i="2"/>
  <c r="BD1207" i="2"/>
  <c r="BD1271" i="2"/>
  <c r="BD1335" i="2"/>
  <c r="BD1584" i="2"/>
  <c r="BD1640" i="2"/>
  <c r="BD1738" i="2"/>
  <c r="BD48" i="2"/>
  <c r="BD675" i="2"/>
  <c r="BD573" i="2"/>
  <c r="BD605" i="2"/>
  <c r="BD685" i="2"/>
  <c r="BD635" i="2"/>
  <c r="BD517" i="2"/>
  <c r="BD577" i="2"/>
  <c r="BD593" i="2"/>
  <c r="BD527" i="2"/>
  <c r="BD775" i="2"/>
  <c r="BD657" i="2"/>
  <c r="BD717" i="2"/>
  <c r="BD639" i="2"/>
  <c r="BD1787" i="2"/>
  <c r="BD752" i="2"/>
  <c r="BD816" i="2"/>
  <c r="BD880" i="2"/>
  <c r="BD637" i="2"/>
  <c r="BD653" i="2"/>
  <c r="BD1188" i="2"/>
  <c r="BD1252" i="2"/>
  <c r="BD1316" i="2"/>
  <c r="BD284" i="2"/>
  <c r="BD97" i="2"/>
  <c r="BD585" i="2"/>
  <c r="BD1561" i="2"/>
  <c r="BD1577" i="2"/>
  <c r="BD1240" i="2"/>
  <c r="BD1304" i="2"/>
  <c r="BD1368" i="2"/>
  <c r="BD1052" i="2"/>
  <c r="BD1116" i="2"/>
  <c r="BD2463" i="2"/>
  <c r="BD2441" i="2"/>
  <c r="BD2409" i="2"/>
  <c r="BD2405" i="2"/>
  <c r="BD1115" i="2"/>
  <c r="BD476" i="2"/>
  <c r="BD111" i="2"/>
  <c r="BD127" i="2"/>
  <c r="BD143" i="2"/>
  <c r="BD159" i="2"/>
  <c r="BD175" i="2"/>
  <c r="BD191" i="2"/>
  <c r="BD456" i="2"/>
  <c r="BD946" i="2"/>
  <c r="BD962" i="2"/>
  <c r="BD978" i="2"/>
  <c r="BD994" i="2"/>
  <c r="BD1010" i="2"/>
  <c r="BD32" i="2"/>
  <c r="BD91" i="2"/>
  <c r="BD92" i="2"/>
  <c r="BD671" i="2"/>
  <c r="BD500" i="2"/>
  <c r="BD725" i="2"/>
  <c r="BD719" i="2"/>
  <c r="BD27" i="2"/>
  <c r="BD691" i="2"/>
  <c r="BD1846" i="2"/>
  <c r="BD454" i="2"/>
  <c r="BD188" i="2"/>
  <c r="BD1069" i="2"/>
  <c r="BD677" i="2"/>
  <c r="BD1581" i="2"/>
  <c r="BD2238" i="2"/>
  <c r="AQ909" i="2"/>
  <c r="AV909" i="2" s="1"/>
  <c r="BE909" i="2" s="1"/>
  <c r="AQ232" i="2"/>
  <c r="AV232" i="2" s="1"/>
  <c r="BE232" i="2" s="1"/>
  <c r="BD624" i="2"/>
  <c r="BD640" i="2"/>
  <c r="BD656" i="2"/>
  <c r="BD672" i="2"/>
  <c r="BD688" i="2"/>
  <c r="BD704" i="2"/>
  <c r="BD1597" i="2"/>
  <c r="BD609" i="2"/>
  <c r="BD641" i="2"/>
  <c r="BD536" i="2"/>
  <c r="BD846" i="2"/>
  <c r="BD537" i="2"/>
  <c r="BD560" i="2"/>
  <c r="BD568" i="2"/>
  <c r="BD576" i="2"/>
  <c r="BD584" i="2"/>
  <c r="BD592" i="2"/>
  <c r="BD600" i="2"/>
  <c r="BD608" i="2"/>
  <c r="BD616" i="2"/>
  <c r="AL887" i="2"/>
  <c r="V887" i="2"/>
  <c r="AM887" i="2" s="1"/>
  <c r="AB887" i="2"/>
  <c r="AR887" i="2" s="1"/>
  <c r="AL919" i="2"/>
  <c r="V919" i="2"/>
  <c r="AB919" i="2"/>
  <c r="AL895" i="2"/>
  <c r="V895" i="2"/>
  <c r="AC895" i="2" s="1"/>
  <c r="AB895" i="2"/>
  <c r="AL911" i="2"/>
  <c r="V911" i="2"/>
  <c r="W911" i="2" s="1"/>
  <c r="AB911" i="2"/>
  <c r="AR911" i="2" s="1"/>
  <c r="V927" i="2"/>
  <c r="AB927" i="2"/>
  <c r="AG927" i="2"/>
  <c r="AL452" i="2"/>
  <c r="V452" i="2"/>
  <c r="AG452" i="2"/>
  <c r="AL420" i="2"/>
  <c r="V420" i="2"/>
  <c r="W420" i="2" s="1"/>
  <c r="AG420" i="2"/>
  <c r="AQ901" i="2"/>
  <c r="AV901" i="2" s="1"/>
  <c r="BE901" i="2" s="1"/>
  <c r="AL240" i="2"/>
  <c r="V240" i="2"/>
  <c r="AH240" i="2" s="1"/>
  <c r="AG240" i="2"/>
  <c r="AQ378" i="2"/>
  <c r="AV378" i="2" s="1"/>
  <c r="BE378" i="2" s="1"/>
  <c r="BD61" i="2"/>
  <c r="BD93" i="2"/>
  <c r="BD268" i="2"/>
  <c r="BD47" i="2"/>
  <c r="BD292" i="2"/>
  <c r="BD342" i="2"/>
  <c r="BD374" i="2"/>
  <c r="BD406" i="2"/>
  <c r="BD784" i="2"/>
  <c r="BD848" i="2"/>
  <c r="AV394" i="2"/>
  <c r="BE394" i="2" s="1"/>
  <c r="BD814" i="2"/>
  <c r="AQ917" i="2"/>
  <c r="AV917" i="2" s="1"/>
  <c r="BE917" i="2" s="1"/>
  <c r="BD364" i="2"/>
  <c r="BD230" i="2"/>
  <c r="BD248" i="2"/>
  <c r="BD270" i="2"/>
  <c r="BD96" i="2"/>
  <c r="BD1351" i="2"/>
  <c r="BD1675" i="2"/>
  <c r="BD1739" i="2"/>
  <c r="BD2152" i="2"/>
  <c r="BD1183" i="2"/>
  <c r="BD1247" i="2"/>
  <c r="BD1311" i="2"/>
  <c r="AQ1141" i="2"/>
  <c r="AV1141" i="2" s="1"/>
  <c r="BE1141" i="2" s="1"/>
  <c r="BD1145" i="2"/>
  <c r="BD1161" i="2"/>
  <c r="BD1181" i="2"/>
  <c r="BD1245" i="2"/>
  <c r="BD1309" i="2"/>
  <c r="BD1380" i="2"/>
  <c r="BD1719" i="2"/>
  <c r="AQ1819" i="2"/>
  <c r="AV1819" i="2" s="1"/>
  <c r="BE1819" i="2" s="1"/>
  <c r="BD1677" i="2"/>
  <c r="BD1693" i="2"/>
  <c r="BD1709" i="2"/>
  <c r="BD1725" i="2"/>
  <c r="BD1741" i="2"/>
  <c r="BD2456" i="2"/>
  <c r="BD2446" i="2"/>
  <c r="AQ891" i="2"/>
  <c r="AV891" i="2" s="1"/>
  <c r="BE891" i="2" s="1"/>
  <c r="AQ923" i="2"/>
  <c r="AV923" i="2" s="1"/>
  <c r="BE923" i="2" s="1"/>
  <c r="BD2203" i="2"/>
  <c r="BD2219" i="2"/>
  <c r="BD2235" i="2"/>
  <c r="BD2251" i="2"/>
  <c r="BD2267" i="2"/>
  <c r="BD2283" i="2"/>
  <c r="BD2299" i="2"/>
  <c r="BD2205" i="2"/>
  <c r="BD2221" i="2"/>
  <c r="BD2237" i="2"/>
  <c r="BD2253" i="2"/>
  <c r="BD2269" i="2"/>
  <c r="BD2285" i="2"/>
  <c r="BD2301" i="2"/>
  <c r="BD2488" i="2"/>
  <c r="BD1698" i="2"/>
  <c r="BD318" i="2"/>
  <c r="AQ204" i="2"/>
  <c r="AV204" i="2" s="1"/>
  <c r="BE204" i="2" s="1"/>
  <c r="BD26" i="2"/>
  <c r="BD758" i="2"/>
  <c r="AQ929" i="2"/>
  <c r="AV929" i="2" s="1"/>
  <c r="BE929" i="2" s="1"/>
  <c r="AQ887" i="2"/>
  <c r="AQ919" i="2"/>
  <c r="AV919" i="2" s="1"/>
  <c r="BE919" i="2" s="1"/>
  <c r="BD346" i="2"/>
  <c r="BD759" i="2"/>
  <c r="BD589" i="2"/>
  <c r="AQ895" i="2"/>
  <c r="AV895" i="2" s="1"/>
  <c r="BE895" i="2" s="1"/>
  <c r="AQ911" i="2"/>
  <c r="AV911" i="2" s="1"/>
  <c r="BE911" i="2" s="1"/>
  <c r="AQ927" i="2"/>
  <c r="AV927" i="2" s="1"/>
  <c r="BE927" i="2" s="1"/>
  <c r="BD1125" i="2"/>
  <c r="BD1629" i="2"/>
  <c r="AQ492" i="2"/>
  <c r="AV492" i="2" s="1"/>
  <c r="BE492" i="2" s="1"/>
  <c r="AQ420" i="2"/>
  <c r="AV420" i="2" s="1"/>
  <c r="BE420" i="2" s="1"/>
  <c r="BD782" i="2"/>
  <c r="AQ889" i="2"/>
  <c r="AV889" i="2" s="1"/>
  <c r="BE889" i="2" s="1"/>
  <c r="AQ905" i="2"/>
  <c r="AV905" i="2" s="1"/>
  <c r="BE905" i="2" s="1"/>
  <c r="BD1219" i="2"/>
  <c r="BD139" i="2"/>
  <c r="BD1602" i="2"/>
  <c r="BD2454" i="2"/>
  <c r="BD2450" i="2"/>
  <c r="AQ370" i="2"/>
  <c r="AV370" i="2" s="1"/>
  <c r="BE370" i="2" s="1"/>
  <c r="AQ386" i="2"/>
  <c r="AV386" i="2" s="1"/>
  <c r="BE386" i="2" s="1"/>
  <c r="AQ460" i="2"/>
  <c r="AV460" i="2" s="1"/>
  <c r="BE460" i="2" s="1"/>
  <c r="BD296" i="2"/>
  <c r="BD552" i="2"/>
  <c r="BD202" i="2"/>
  <c r="BD327" i="2"/>
  <c r="BD335" i="2"/>
  <c r="BD343" i="2"/>
  <c r="BD351" i="2"/>
  <c r="BD359" i="2"/>
  <c r="BD367" i="2"/>
  <c r="BD375" i="2"/>
  <c r="BD383" i="2"/>
  <c r="BD391" i="2"/>
  <c r="AB324" i="2"/>
  <c r="AG921" i="2"/>
  <c r="V1763" i="2"/>
  <c r="AC1763" i="2" s="1"/>
  <c r="AG1795" i="2"/>
  <c r="AG1827" i="2"/>
  <c r="AG428" i="2"/>
  <c r="BD776" i="2"/>
  <c r="BD840" i="2"/>
  <c r="BD938" i="2"/>
  <c r="BD954" i="2"/>
  <c r="BD970" i="2"/>
  <c r="BD986" i="2"/>
  <c r="BD1002" i="2"/>
  <c r="BD1018" i="2"/>
  <c r="BD1034" i="2"/>
  <c r="BD1536" i="2"/>
  <c r="BD1818" i="2"/>
  <c r="BD1842" i="2"/>
  <c r="BD1898" i="2"/>
  <c r="BD2194" i="2"/>
  <c r="BD431" i="2"/>
  <c r="BD309" i="2"/>
  <c r="BD437" i="2"/>
  <c r="BD453" i="2"/>
  <c r="AG923" i="2"/>
  <c r="BD1830" i="2"/>
  <c r="BD1872" i="2"/>
  <c r="BD1888" i="2"/>
  <c r="BD1904" i="2"/>
  <c r="BD1920" i="2"/>
  <c r="BD1936" i="2"/>
  <c r="BD1952" i="2"/>
  <c r="BD1968" i="2"/>
  <c r="BD1984" i="2"/>
  <c r="BD2000" i="2"/>
  <c r="BD2016" i="2"/>
  <c r="BD1954" i="2"/>
  <c r="BD1970" i="2"/>
  <c r="BD1986" i="2"/>
  <c r="BD2002" i="2"/>
  <c r="BD2018" i="2"/>
  <c r="BD2106" i="2"/>
  <c r="BD2164" i="2"/>
  <c r="AV887" i="2"/>
  <c r="BE887" i="2" s="1"/>
  <c r="BD1163" i="2"/>
  <c r="BD1177" i="2"/>
  <c r="BD1241" i="2"/>
  <c r="BD1305" i="2"/>
  <c r="BD1369" i="2"/>
  <c r="BD1731" i="2"/>
  <c r="BD1107" i="2"/>
  <c r="BD494" i="2"/>
  <c r="BD830" i="2"/>
  <c r="BD667" i="2"/>
  <c r="BD1061" i="2"/>
  <c r="BD506" i="2"/>
  <c r="BD569" i="2"/>
  <c r="BD601" i="2"/>
  <c r="BD51" i="2"/>
  <c r="BD107" i="2"/>
  <c r="BD171" i="2"/>
  <c r="AG324" i="2"/>
  <c r="BD429" i="2"/>
  <c r="BD445" i="2"/>
  <c r="BD493" i="2"/>
  <c r="AB921" i="2"/>
  <c r="AR921" i="2" s="1"/>
  <c r="AL1763" i="2"/>
  <c r="AB1795" i="2"/>
  <c r="BD1801" i="2"/>
  <c r="AB1827" i="2"/>
  <c r="BD255" i="2"/>
  <c r="V428" i="2"/>
  <c r="W428" i="2" s="1"/>
  <c r="BD1757" i="2"/>
  <c r="BD1773" i="2"/>
  <c r="BD1805" i="2"/>
  <c r="BD1821" i="2"/>
  <c r="BD2047" i="2"/>
  <c r="BD2063" i="2"/>
  <c r="BD2079" i="2"/>
  <c r="BD2095" i="2"/>
  <c r="BD2177" i="2"/>
  <c r="BD2145" i="2"/>
  <c r="BD2195" i="2"/>
  <c r="BD241" i="2"/>
  <c r="BD425" i="2"/>
  <c r="BD489" i="2"/>
  <c r="BD219" i="2"/>
  <c r="BD331" i="2"/>
  <c r="BD363" i="2"/>
  <c r="BD395" i="2"/>
  <c r="BD451" i="2"/>
  <c r="AB923" i="2"/>
  <c r="BD1839" i="2"/>
  <c r="BD1865" i="2"/>
  <c r="BD1881" i="2"/>
  <c r="BD1897" i="2"/>
  <c r="BD1913" i="2"/>
  <c r="BD1929" i="2"/>
  <c r="BD1945" i="2"/>
  <c r="BD1961" i="2"/>
  <c r="BD1977" i="2"/>
  <c r="BD2035" i="2"/>
  <c r="BD2142" i="2"/>
  <c r="BD2189" i="2"/>
  <c r="BD1182" i="2"/>
  <c r="BD1246" i="2"/>
  <c r="BD1310" i="2"/>
  <c r="BD1066" i="2"/>
  <c r="BD1130" i="2"/>
  <c r="BD1798" i="2"/>
  <c r="BD2452" i="2"/>
  <c r="BD2469" i="2"/>
  <c r="BD581" i="2"/>
  <c r="BD713" i="2"/>
  <c r="BD673" i="2"/>
  <c r="BD1220" i="2"/>
  <c r="BD1284" i="2"/>
  <c r="BD1348" i="2"/>
  <c r="BD1210" i="2"/>
  <c r="BD1274" i="2"/>
  <c r="BD1338" i="2"/>
  <c r="BD1086" i="2"/>
  <c r="BD43" i="2"/>
  <c r="BD233" i="2"/>
  <c r="BD433" i="2"/>
  <c r="BD515" i="2"/>
  <c r="BD307" i="2"/>
  <c r="BD893" i="2"/>
  <c r="BD909" i="2"/>
  <c r="AQ921" i="2"/>
  <c r="AV921" i="2" s="1"/>
  <c r="BE921" i="2" s="1"/>
  <c r="BD925" i="2"/>
  <c r="BD941" i="2"/>
  <c r="BD957" i="2"/>
  <c r="BD973" i="2"/>
  <c r="BD989" i="2"/>
  <c r="BD1005" i="2"/>
  <c r="BD1021" i="2"/>
  <c r="BD1037" i="2"/>
  <c r="BD1216" i="2"/>
  <c r="BD1280" i="2"/>
  <c r="BD1545" i="2"/>
  <c r="BD1228" i="2"/>
  <c r="BD1292" i="2"/>
  <c r="BD1356" i="2"/>
  <c r="BD1064" i="2"/>
  <c r="BD1128" i="2"/>
  <c r="BD1186" i="2"/>
  <c r="BD1250" i="2"/>
  <c r="BD1314" i="2"/>
  <c r="BD1078" i="2"/>
  <c r="BD1158" i="2"/>
  <c r="BD1174" i="2"/>
  <c r="BD1487" i="2"/>
  <c r="BD1389" i="2"/>
  <c r="BD1479" i="2"/>
  <c r="BD1535" i="2"/>
  <c r="BD1614" i="2"/>
  <c r="BD1455" i="2"/>
  <c r="BD214" i="2"/>
  <c r="BD705" i="2"/>
  <c r="BD498" i="2"/>
  <c r="BD76" i="2"/>
  <c r="BD681" i="2"/>
  <c r="BD629" i="2"/>
  <c r="BD549" i="2"/>
  <c r="BD631" i="2"/>
  <c r="BD701" i="2"/>
  <c r="BD512" i="2"/>
  <c r="BD1993" i="2"/>
  <c r="BD2009" i="2"/>
  <c r="BD1762" i="2"/>
  <c r="BD541" i="2"/>
  <c r="BD630" i="2"/>
  <c r="BD646" i="2"/>
  <c r="BD662" i="2"/>
  <c r="BD678" i="2"/>
  <c r="BD694" i="2"/>
  <c r="BD710" i="2"/>
  <c r="BD1072" i="2"/>
  <c r="BD1481" i="2"/>
  <c r="BD1509" i="2"/>
  <c r="BD1344" i="2"/>
  <c r="BD1108" i="2"/>
  <c r="BD1620" i="2"/>
  <c r="BD1471" i="2"/>
  <c r="BD633" i="2"/>
  <c r="BD791" i="2"/>
  <c r="BD2212" i="2"/>
  <c r="BD655" i="2"/>
  <c r="BD1223" i="2"/>
  <c r="BD1551" i="2"/>
  <c r="BD1567" i="2"/>
  <c r="BD1374" i="2"/>
  <c r="BD1396" i="2"/>
  <c r="BD1412" i="2"/>
  <c r="BD1428" i="2"/>
  <c r="BD1507" i="2"/>
  <c r="BD1822" i="2"/>
  <c r="BD2066" i="2"/>
  <c r="BD1222" i="2"/>
  <c r="BD1286" i="2"/>
  <c r="BD1350" i="2"/>
  <c r="BD1672" i="2"/>
  <c r="BD1688" i="2"/>
  <c r="BD1704" i="2"/>
  <c r="BD1720" i="2"/>
  <c r="BD1736" i="2"/>
  <c r="BD1752" i="2"/>
  <c r="BD249" i="2"/>
  <c r="BD449" i="2"/>
  <c r="BD531" i="2"/>
  <c r="BD323" i="2"/>
  <c r="BD1829" i="2"/>
  <c r="BD2466" i="2"/>
  <c r="BD687" i="2"/>
  <c r="BD625" i="2"/>
  <c r="BD528" i="2"/>
  <c r="BD87" i="2"/>
  <c r="BD532" i="2"/>
  <c r="BD293" i="2"/>
  <c r="BD1638" i="2"/>
  <c r="BD1495" i="2"/>
  <c r="BD5" i="2"/>
  <c r="BD37" i="2"/>
  <c r="BD69" i="2"/>
  <c r="BD405" i="2"/>
  <c r="BD1217" i="2"/>
  <c r="BD1281" i="2"/>
  <c r="BD1345" i="2"/>
  <c r="BD2141" i="2"/>
  <c r="BD19" i="2"/>
  <c r="BD41" i="2"/>
  <c r="BD68" i="2"/>
  <c r="BD160" i="2"/>
  <c r="BD35" i="2"/>
  <c r="BD555" i="2"/>
  <c r="BD235" i="2"/>
  <c r="BD427" i="2"/>
  <c r="BD491" i="2"/>
  <c r="BD1769" i="2"/>
  <c r="BD1106" i="2"/>
  <c r="BD1146" i="2"/>
  <c r="BD1164" i="2"/>
  <c r="BD1453" i="2"/>
  <c r="BD1469" i="2"/>
  <c r="BD1626" i="2"/>
  <c r="BD2054" i="2"/>
  <c r="BD2168" i="2"/>
  <c r="BD1687" i="2"/>
  <c r="BD1751" i="2"/>
  <c r="BD2491" i="2"/>
  <c r="BD1699" i="2"/>
  <c r="BD4" i="2"/>
  <c r="BD192" i="2"/>
  <c r="BD220" i="2"/>
  <c r="BD729" i="2"/>
  <c r="BD745" i="2"/>
  <c r="BD761" i="2"/>
  <c r="BD777" i="2"/>
  <c r="BD793" i="2"/>
  <c r="BD809" i="2"/>
  <c r="BD825" i="2"/>
  <c r="BD841" i="2"/>
  <c r="BD857" i="2"/>
  <c r="BD873" i="2"/>
  <c r="BD1136" i="2"/>
  <c r="BD1490" i="2"/>
  <c r="BD1525" i="2"/>
  <c r="BD1541" i="2"/>
  <c r="BD1648" i="2"/>
  <c r="BD424" i="2"/>
  <c r="BD1235" i="2"/>
  <c r="BD1299" i="2"/>
  <c r="BD1363" i="2"/>
  <c r="BD421" i="2"/>
  <c r="BD764" i="2"/>
  <c r="BD828" i="2"/>
  <c r="BD1474" i="2"/>
  <c r="BD1454" i="2"/>
  <c r="BD1470" i="2"/>
  <c r="BD1548" i="2"/>
  <c r="BD1564" i="2"/>
  <c r="BD1452" i="2"/>
  <c r="BD1468" i="2"/>
  <c r="BD2462" i="2"/>
  <c r="BD121" i="2"/>
  <c r="BD301" i="2"/>
  <c r="BD505" i="2"/>
  <c r="BD1225" i="2"/>
  <c r="BD1398" i="2"/>
  <c r="BD1765" i="2"/>
  <c r="BD1758" i="2"/>
  <c r="BD1774" i="2"/>
  <c r="BD1874" i="2"/>
  <c r="BD1938" i="2"/>
  <c r="BD2094" i="2"/>
  <c r="BD2192" i="2"/>
  <c r="BD2213" i="2"/>
  <c r="BD2229" i="2"/>
  <c r="BD2245" i="2"/>
  <c r="BD2261" i="2"/>
  <c r="BD2277" i="2"/>
  <c r="BD2293" i="2"/>
  <c r="BD2309" i="2"/>
  <c r="BD31" i="2"/>
  <c r="BD1151" i="2"/>
  <c r="BD1205" i="2"/>
  <c r="BD1269" i="2"/>
  <c r="BD1333" i="2"/>
  <c r="BD1392" i="2"/>
  <c r="BD2116" i="2"/>
  <c r="BD2124" i="2"/>
  <c r="BD2132" i="2"/>
  <c r="BD2140" i="2"/>
  <c r="BD2037" i="2"/>
  <c r="BD2197" i="2"/>
  <c r="BD2153" i="2"/>
  <c r="BD2478" i="2"/>
  <c r="BD253" i="2"/>
  <c r="BD1283" i="2"/>
  <c r="BD1347" i="2"/>
  <c r="BD1496" i="2"/>
  <c r="BD1522" i="2"/>
  <c r="BD1538" i="2"/>
  <c r="BD1199" i="2"/>
  <c r="BD1263" i="2"/>
  <c r="BD1327" i="2"/>
  <c r="BD1149" i="2"/>
  <c r="BD1197" i="2"/>
  <c r="BD1261" i="2"/>
  <c r="BD1325" i="2"/>
  <c r="BD2423" i="2"/>
  <c r="BD2417" i="2"/>
  <c r="BD2459" i="2"/>
  <c r="BD1046" i="2"/>
  <c r="BD1179" i="2"/>
  <c r="BD1243" i="2"/>
  <c r="BD1307" i="2"/>
  <c r="BD1815" i="2"/>
  <c r="BD1899" i="2"/>
  <c r="BD1915" i="2"/>
  <c r="BD1931" i="2"/>
  <c r="BD1947" i="2"/>
  <c r="BD1963" i="2"/>
  <c r="BD1979" i="2"/>
  <c r="BD1995" i="2"/>
  <c r="BD2011" i="2"/>
  <c r="BD2155" i="2"/>
  <c r="BD2468" i="2"/>
  <c r="BD2458" i="2"/>
  <c r="AQ354" i="2"/>
  <c r="AV354" i="2" s="1"/>
  <c r="BE354" i="2" s="1"/>
  <c r="AQ346" i="2"/>
  <c r="AV346" i="2" s="1"/>
  <c r="BE346" i="2" s="1"/>
  <c r="V338" i="2"/>
  <c r="AG338" i="2"/>
  <c r="AL338" i="2"/>
  <c r="AB338" i="2"/>
  <c r="V394" i="2"/>
  <c r="AB394" i="2"/>
  <c r="AL394" i="2"/>
  <c r="AG394" i="2"/>
  <c r="V370" i="2"/>
  <c r="AG370" i="2"/>
  <c r="AL370" i="2"/>
  <c r="AB370" i="2"/>
  <c r="V402" i="2"/>
  <c r="AG402" i="2"/>
  <c r="AL402" i="2"/>
  <c r="AB402" i="2"/>
  <c r="V386" i="2"/>
  <c r="AB386" i="2"/>
  <c r="AG386" i="2"/>
  <c r="AL386" i="2"/>
  <c r="BD252" i="2"/>
  <c r="BD324" i="2"/>
  <c r="BD407" i="2"/>
  <c r="BD471" i="2"/>
  <c r="BD513" i="2"/>
  <c r="BD545" i="2"/>
  <c r="BD562" i="2"/>
  <c r="BD570" i="2"/>
  <c r="BD578" i="2"/>
  <c r="BD586" i="2"/>
  <c r="BD594" i="2"/>
  <c r="BD602" i="2"/>
  <c r="BD610" i="2"/>
  <c r="BD618" i="2"/>
  <c r="BD289" i="2"/>
  <c r="BD345" i="2"/>
  <c r="BD377" i="2"/>
  <c r="BD409" i="2"/>
  <c r="BD432" i="2"/>
  <c r="BD473" i="2"/>
  <c r="BD267" i="2"/>
  <c r="BD443" i="2"/>
  <c r="BD626" i="2"/>
  <c r="BD642" i="2"/>
  <c r="BD658" i="2"/>
  <c r="BD674" i="2"/>
  <c r="BD690" i="2"/>
  <c r="BD706" i="2"/>
  <c r="BD772" i="2"/>
  <c r="BD836" i="2"/>
  <c r="BD741" i="2"/>
  <c r="BD757" i="2"/>
  <c r="BD773" i="2"/>
  <c r="BD789" i="2"/>
  <c r="BD805" i="2"/>
  <c r="BD821" i="2"/>
  <c r="BD837" i="2"/>
  <c r="BD853" i="2"/>
  <c r="BD869" i="2"/>
  <c r="BD885" i="2"/>
  <c r="BD939" i="2"/>
  <c r="BD955" i="2"/>
  <c r="BD971" i="2"/>
  <c r="BD987" i="2"/>
  <c r="BD1003" i="2"/>
  <c r="BD1019" i="2"/>
  <c r="BD1035" i="2"/>
  <c r="BD1204" i="2"/>
  <c r="BD1268" i="2"/>
  <c r="BD1332" i="2"/>
  <c r="BD1088" i="2"/>
  <c r="BD1381" i="2"/>
  <c r="BD1408" i="2"/>
  <c r="BD1424" i="2"/>
  <c r="BD1532" i="2"/>
  <c r="BD1513" i="2"/>
  <c r="BD1529" i="2"/>
  <c r="BD1600" i="2"/>
  <c r="BD1664" i="2"/>
  <c r="BD1833" i="2"/>
  <c r="BD155" i="2"/>
  <c r="BD176" i="2"/>
  <c r="BD538" i="2"/>
  <c r="BD275" i="2"/>
  <c r="BD1200" i="2"/>
  <c r="BD1264" i="2"/>
  <c r="BD1328" i="2"/>
  <c r="BD1092" i="2"/>
  <c r="BD1238" i="2"/>
  <c r="BD1302" i="2"/>
  <c r="BD1366" i="2"/>
  <c r="BD1058" i="2"/>
  <c r="BD1122" i="2"/>
  <c r="BD1150" i="2"/>
  <c r="BD1457" i="2"/>
  <c r="BD1473" i="2"/>
  <c r="BD1492" i="2"/>
  <c r="BD1518" i="2"/>
  <c r="BD1534" i="2"/>
  <c r="BD1586" i="2"/>
  <c r="BD1642" i="2"/>
  <c r="BD1384" i="2"/>
  <c r="BD2057" i="2"/>
  <c r="BD2193" i="2"/>
  <c r="BD2200" i="2"/>
  <c r="BD120" i="2"/>
  <c r="BD184" i="2"/>
  <c r="BD273" i="2"/>
  <c r="BD507" i="2"/>
  <c r="BD251" i="2"/>
  <c r="BD339" i="2"/>
  <c r="BD371" i="2"/>
  <c r="BD403" i="2"/>
  <c r="BD467" i="2"/>
  <c r="BD349" i="2"/>
  <c r="BD628" i="2"/>
  <c r="BD644" i="2"/>
  <c r="BD660" i="2"/>
  <c r="BD676" i="2"/>
  <c r="BD692" i="2"/>
  <c r="BD708" i="2"/>
  <c r="BD780" i="2"/>
  <c r="BD844" i="2"/>
  <c r="BD1043" i="2"/>
  <c r="BD886" i="2"/>
  <c r="BD935" i="2"/>
  <c r="BD951" i="2"/>
  <c r="BD967" i="2"/>
  <c r="BD983" i="2"/>
  <c r="BD999" i="2"/>
  <c r="BD1015" i="2"/>
  <c r="BD1031" i="2"/>
  <c r="BD1212" i="2"/>
  <c r="BD1276" i="2"/>
  <c r="BD1340" i="2"/>
  <c r="BD1112" i="2"/>
  <c r="BD1234" i="2"/>
  <c r="BD1298" i="2"/>
  <c r="BD1362" i="2"/>
  <c r="BD1062" i="2"/>
  <c r="BD1126" i="2"/>
  <c r="BD1598" i="2"/>
  <c r="BD1662" i="2"/>
  <c r="BD1451" i="2"/>
  <c r="BD1467" i="2"/>
  <c r="BD1516" i="2"/>
  <c r="BD1456" i="2"/>
  <c r="BD1472" i="2"/>
  <c r="BD1793" i="2"/>
  <c r="BD1858" i="2"/>
  <c r="BD1703" i="2"/>
  <c r="BD1819" i="2"/>
  <c r="BD1843" i="2"/>
  <c r="BD1870" i="2"/>
  <c r="BD1934" i="2"/>
  <c r="BD1673" i="2"/>
  <c r="BD1689" i="2"/>
  <c r="BD1705" i="2"/>
  <c r="BD1721" i="2"/>
  <c r="BD1737" i="2"/>
  <c r="BD1753" i="2"/>
  <c r="BD1848" i="2"/>
  <c r="BD2030" i="2"/>
  <c r="BD2038" i="2"/>
  <c r="BD1853" i="2"/>
  <c r="BD1869" i="2"/>
  <c r="BD1885" i="2"/>
  <c r="BD1901" i="2"/>
  <c r="BD1917" i="2"/>
  <c r="BD1933" i="2"/>
  <c r="BD1949" i="2"/>
  <c r="BD1965" i="2"/>
  <c r="BD1981" i="2"/>
  <c r="BD1997" i="2"/>
  <c r="BD2013" i="2"/>
  <c r="BD2150" i="2"/>
  <c r="BD2159" i="2"/>
  <c r="BD2403" i="2"/>
  <c r="BD2471" i="2"/>
  <c r="BD2448" i="2"/>
  <c r="BD2401" i="2"/>
  <c r="BD2443" i="2"/>
  <c r="BD36" i="2"/>
  <c r="BD83" i="2"/>
  <c r="BD123" i="2"/>
  <c r="BD316" i="2"/>
  <c r="BD115" i="2"/>
  <c r="BD147" i="2"/>
  <c r="BD179" i="2"/>
  <c r="BD228" i="2"/>
  <c r="BD276" i="2"/>
  <c r="BD334" i="2"/>
  <c r="BD366" i="2"/>
  <c r="BD398" i="2"/>
  <c r="BD281" i="2"/>
  <c r="BD352" i="2"/>
  <c r="BD384" i="2"/>
  <c r="BD508" i="2"/>
  <c r="BD227" i="2"/>
  <c r="BD117" i="2"/>
  <c r="BD149" i="2"/>
  <c r="BD181" i="2"/>
  <c r="BD269" i="2"/>
  <c r="BD357" i="2"/>
  <c r="BD768" i="2"/>
  <c r="BD832" i="2"/>
  <c r="BD899" i="2"/>
  <c r="BD915" i="2"/>
  <c r="BD931" i="2"/>
  <c r="BD934" i="2"/>
  <c r="BD945" i="2"/>
  <c r="BD950" i="2"/>
  <c r="BD961" i="2"/>
  <c r="BD966" i="2"/>
  <c r="BD977" i="2"/>
  <c r="BD982" i="2"/>
  <c r="BD993" i="2"/>
  <c r="BD998" i="2"/>
  <c r="BD1014" i="2"/>
  <c r="BD1030" i="2"/>
  <c r="BD1371" i="2"/>
  <c r="BD1230" i="2"/>
  <c r="BD1294" i="2"/>
  <c r="BD1358" i="2"/>
  <c r="BD1050" i="2"/>
  <c r="BD1114" i="2"/>
  <c r="BD1152" i="2"/>
  <c r="BD1168" i="2"/>
  <c r="BD1407" i="2"/>
  <c r="BD1423" i="2"/>
  <c r="BD1439" i="2"/>
  <c r="BD1478" i="2"/>
  <c r="BD1618" i="2"/>
  <c r="BD1394" i="2"/>
  <c r="BD1410" i="2"/>
  <c r="BD1426" i="2"/>
  <c r="BD1554" i="2"/>
  <c r="BD1570" i="2"/>
  <c r="BD1596" i="2"/>
  <c r="BD1660" i="2"/>
  <c r="BD1683" i="2"/>
  <c r="BD1747" i="2"/>
  <c r="BD1790" i="2"/>
  <c r="BD1806" i="2"/>
  <c r="BD1855" i="2"/>
  <c r="BD1871" i="2"/>
  <c r="BD1887" i="2"/>
  <c r="BD1903" i="2"/>
  <c r="BD1919" i="2"/>
  <c r="BD1935" i="2"/>
  <c r="BD1951" i="2"/>
  <c r="BD1967" i="2"/>
  <c r="BD1983" i="2"/>
  <c r="BD1999" i="2"/>
  <c r="BD2015" i="2"/>
  <c r="BD2042" i="2"/>
  <c r="BD2147" i="2"/>
  <c r="BD2171" i="2"/>
  <c r="BD2215" i="2"/>
  <c r="BD2231" i="2"/>
  <c r="BD2247" i="2"/>
  <c r="BD2263" i="2"/>
  <c r="BD2279" i="2"/>
  <c r="BD2295" i="2"/>
  <c r="BD2311" i="2"/>
  <c r="BD2407" i="2"/>
  <c r="BD2467" i="2"/>
  <c r="BD2445" i="2"/>
  <c r="BD2483" i="2"/>
  <c r="BD2494" i="2"/>
  <c r="BD2481" i="2"/>
  <c r="BD2395" i="2"/>
  <c r="BD2473" i="2"/>
  <c r="BD2493" i="2"/>
  <c r="BD2437" i="2"/>
  <c r="V346" i="2"/>
  <c r="AB346" i="2"/>
  <c r="AG346" i="2"/>
  <c r="AL346" i="2"/>
  <c r="AQ362" i="2"/>
  <c r="AV362" i="2" s="1"/>
  <c r="BE362" i="2" s="1"/>
  <c r="V362" i="2"/>
  <c r="AB362" i="2"/>
  <c r="AL362" i="2"/>
  <c r="AG362" i="2"/>
  <c r="AQ330" i="2"/>
  <c r="AV330" i="2" s="1"/>
  <c r="BE330" i="2" s="1"/>
  <c r="BD295" i="2"/>
  <c r="BD455" i="2"/>
  <c r="BD1221" i="2"/>
  <c r="BD1285" i="2"/>
  <c r="BD1349" i="2"/>
  <c r="BD1910" i="2"/>
  <c r="BD2052" i="2"/>
  <c r="BD2068" i="2"/>
  <c r="BD2084" i="2"/>
  <c r="BD2100" i="2"/>
  <c r="BD2082" i="2"/>
  <c r="BD2198" i="2"/>
  <c r="BD2156" i="2"/>
  <c r="BD2418" i="2"/>
  <c r="BD99" i="2"/>
  <c r="BD530" i="2"/>
  <c r="BD285" i="2"/>
  <c r="BD619" i="2"/>
  <c r="BD1167" i="2"/>
  <c r="BD1201" i="2"/>
  <c r="BD1265" i="2"/>
  <c r="BD1329" i="2"/>
  <c r="BD1882" i="2"/>
  <c r="BD1946" i="2"/>
  <c r="BD2102" i="2"/>
  <c r="BD2178" i="2"/>
  <c r="BD415" i="2"/>
  <c r="BD479" i="2"/>
  <c r="BD516" i="2"/>
  <c r="BD277" i="2"/>
  <c r="BD381" i="2"/>
  <c r="BD1761" i="2"/>
  <c r="BD1809" i="2"/>
  <c r="BD1854" i="2"/>
  <c r="BD1918" i="2"/>
  <c r="BD1868" i="2"/>
  <c r="BD1884" i="2"/>
  <c r="BD1900" i="2"/>
  <c r="BD1916" i="2"/>
  <c r="BD1932" i="2"/>
  <c r="BD1948" i="2"/>
  <c r="BD1964" i="2"/>
  <c r="BD1980" i="2"/>
  <c r="BD1996" i="2"/>
  <c r="BD2012" i="2"/>
  <c r="BD2028" i="2"/>
  <c r="BD2036" i="2"/>
  <c r="BD1966" i="2"/>
  <c r="BD1982" i="2"/>
  <c r="BD1998" i="2"/>
  <c r="BD2014" i="2"/>
  <c r="BD2090" i="2"/>
  <c r="BD2143" i="2"/>
  <c r="BD2190" i="2"/>
  <c r="BD2432" i="2"/>
  <c r="BD63" i="2"/>
  <c r="BD215" i="2"/>
  <c r="BD279" i="2"/>
  <c r="BD389" i="2"/>
  <c r="BD1227" i="2"/>
  <c r="BD1291" i="2"/>
  <c r="BD1355" i="2"/>
  <c r="BD1257" i="2"/>
  <c r="BD1321" i="2"/>
  <c r="BD1797" i="2"/>
  <c r="BD1770" i="2"/>
  <c r="BD1802" i="2"/>
  <c r="BD1826" i="2"/>
  <c r="V330" i="2"/>
  <c r="AB330" i="2"/>
  <c r="AL330" i="2"/>
  <c r="AG330" i="2"/>
  <c r="BD261" i="2"/>
  <c r="BD65" i="2"/>
  <c r="BD231" i="2"/>
  <c r="BD6" i="2"/>
  <c r="BD529" i="2"/>
  <c r="BD558" i="2"/>
  <c r="BD566" i="2"/>
  <c r="BD574" i="2"/>
  <c r="BD582" i="2"/>
  <c r="BD590" i="2"/>
  <c r="BD598" i="2"/>
  <c r="BD606" i="2"/>
  <c r="BD614" i="2"/>
  <c r="BD129" i="2"/>
  <c r="BD161" i="2"/>
  <c r="BD193" i="2"/>
  <c r="BD225" i="2"/>
  <c r="BD329" i="2"/>
  <c r="BD361" i="2"/>
  <c r="BD393" i="2"/>
  <c r="BD441" i="2"/>
  <c r="BD464" i="2"/>
  <c r="BD125" i="2"/>
  <c r="BD157" i="2"/>
  <c r="BD189" i="2"/>
  <c r="BD740" i="2"/>
  <c r="BD804" i="2"/>
  <c r="BD868" i="2"/>
  <c r="BD733" i="2"/>
  <c r="BD749" i="2"/>
  <c r="BD765" i="2"/>
  <c r="BD781" i="2"/>
  <c r="BD797" i="2"/>
  <c r="BD813" i="2"/>
  <c r="BD829" i="2"/>
  <c r="BD845" i="2"/>
  <c r="BD861" i="2"/>
  <c r="BD877" i="2"/>
  <c r="BD902" i="2"/>
  <c r="BD918" i="2"/>
  <c r="BD936" i="2"/>
  <c r="BD947" i="2"/>
  <c r="BD952" i="2"/>
  <c r="BD963" i="2"/>
  <c r="BD968" i="2"/>
  <c r="BD979" i="2"/>
  <c r="BD984" i="2"/>
  <c r="BD995" i="2"/>
  <c r="BD1000" i="2"/>
  <c r="BD1011" i="2"/>
  <c r="BD1016" i="2"/>
  <c r="BD1027" i="2"/>
  <c r="BD1032" i="2"/>
  <c r="BD1226" i="2"/>
  <c r="BD1290" i="2"/>
  <c r="BD1354" i="2"/>
  <c r="BD1102" i="2"/>
  <c r="BD1162" i="2"/>
  <c r="BD1165" i="2"/>
  <c r="BD1440" i="2"/>
  <c r="BD1555" i="2"/>
  <c r="BD1571" i="2"/>
  <c r="BD1511" i="2"/>
  <c r="BD1523" i="2"/>
  <c r="BD1582" i="2"/>
  <c r="BD1654" i="2"/>
  <c r="BD1401" i="2"/>
  <c r="BD1417" i="2"/>
  <c r="BD1433" i="2"/>
  <c r="BD1588" i="2"/>
  <c r="BD1499" i="2"/>
  <c r="BD1811" i="2"/>
  <c r="BD1894" i="2"/>
  <c r="BD2122" i="2"/>
  <c r="BD2130" i="2"/>
  <c r="BD2138" i="2"/>
  <c r="BD2033" i="2"/>
  <c r="BD2181" i="2"/>
  <c r="BD2199" i="2"/>
  <c r="BD11" i="2"/>
  <c r="BD260" i="2"/>
  <c r="BD71" i="2"/>
  <c r="BD101" i="2"/>
  <c r="BD133" i="2"/>
  <c r="BD165" i="2"/>
  <c r="BD197" i="2"/>
  <c r="BD760" i="2"/>
  <c r="BD824" i="2"/>
  <c r="BD1232" i="2"/>
  <c r="BD1296" i="2"/>
  <c r="BD1360" i="2"/>
  <c r="BD1060" i="2"/>
  <c r="BD1124" i="2"/>
  <c r="BD1206" i="2"/>
  <c r="BD1270" i="2"/>
  <c r="BD1334" i="2"/>
  <c r="BD1090" i="2"/>
  <c r="BD1142" i="2"/>
  <c r="BD1449" i="2"/>
  <c r="BD1465" i="2"/>
  <c r="BD1610" i="2"/>
  <c r="BD1438" i="2"/>
  <c r="BD1503" i="2"/>
  <c r="BD1508" i="2"/>
  <c r="BD1636" i="2"/>
  <c r="BD1684" i="2"/>
  <c r="BD1700" i="2"/>
  <c r="BD1716" i="2"/>
  <c r="BD1732" i="2"/>
  <c r="BD1748" i="2"/>
  <c r="BD2059" i="2"/>
  <c r="BD2075" i="2"/>
  <c r="BD2091" i="2"/>
  <c r="BD2107" i="2"/>
  <c r="BD2161" i="2"/>
  <c r="BD2179" i="2"/>
  <c r="BD236" i="2"/>
  <c r="BD113" i="2"/>
  <c r="BD539" i="2"/>
  <c r="BD315" i="2"/>
  <c r="BD355" i="2"/>
  <c r="BD387" i="2"/>
  <c r="BD435" i="2"/>
  <c r="BD45" i="2"/>
  <c r="BD77" i="2"/>
  <c r="BD245" i="2"/>
  <c r="BD503" i="2"/>
  <c r="BD620" i="2"/>
  <c r="BD636" i="2"/>
  <c r="BD652" i="2"/>
  <c r="BD668" i="2"/>
  <c r="BD684" i="2"/>
  <c r="BD700" i="2"/>
  <c r="BD716" i="2"/>
  <c r="BD900" i="2"/>
  <c r="BD916" i="2"/>
  <c r="BD932" i="2"/>
  <c r="BD943" i="2"/>
  <c r="BD948" i="2"/>
  <c r="BD959" i="2"/>
  <c r="BD964" i="2"/>
  <c r="BD975" i="2"/>
  <c r="BD980" i="2"/>
  <c r="BD991" i="2"/>
  <c r="BD996" i="2"/>
  <c r="BD1012" i="2"/>
  <c r="BD1028" i="2"/>
  <c r="BD1382" i="2"/>
  <c r="BD1450" i="2"/>
  <c r="BD1466" i="2"/>
  <c r="BD1515" i="2"/>
  <c r="BD1539" i="2"/>
  <c r="BD1560" i="2"/>
  <c r="BD1576" i="2"/>
  <c r="BD1630" i="2"/>
  <c r="BD1459" i="2"/>
  <c r="BD1475" i="2"/>
  <c r="BD1484" i="2"/>
  <c r="BD1624" i="2"/>
  <c r="BD1849" i="2"/>
  <c r="BD1861" i="2"/>
  <c r="BD1877" i="2"/>
  <c r="BD1893" i="2"/>
  <c r="BD1909" i="2"/>
  <c r="BD1925" i="2"/>
  <c r="BD1941" i="2"/>
  <c r="BD1957" i="2"/>
  <c r="BD1973" i="2"/>
  <c r="BD1989" i="2"/>
  <c r="BD2005" i="2"/>
  <c r="BD2021" i="2"/>
  <c r="BD2031" i="2"/>
  <c r="BD2472" i="2"/>
  <c r="BD2439" i="2"/>
  <c r="BD2433" i="2"/>
  <c r="BD2500" i="2"/>
  <c r="BD2415" i="2"/>
  <c r="BD2411" i="2"/>
  <c r="BD2421" i="2"/>
  <c r="BD2498" i="2"/>
  <c r="BD217" i="2"/>
  <c r="BD291" i="2"/>
  <c r="BD497" i="2"/>
  <c r="BD891" i="2"/>
  <c r="BD907" i="2"/>
  <c r="BD923" i="2"/>
  <c r="BD937" i="2"/>
  <c r="BD942" i="2"/>
  <c r="BD953" i="2"/>
  <c r="BD958" i="2"/>
  <c r="BD969" i="2"/>
  <c r="BD974" i="2"/>
  <c r="BD985" i="2"/>
  <c r="BD1001" i="2"/>
  <c r="BD1017" i="2"/>
  <c r="BD1033" i="2"/>
  <c r="BD1224" i="2"/>
  <c r="BD1288" i="2"/>
  <c r="BD1352" i="2"/>
  <c r="BD1198" i="2"/>
  <c r="BD1262" i="2"/>
  <c r="BD1326" i="2"/>
  <c r="BD1082" i="2"/>
  <c r="BD1144" i="2"/>
  <c r="BD1160" i="2"/>
  <c r="BD1176" i="2"/>
  <c r="BD1399" i="2"/>
  <c r="BD1415" i="2"/>
  <c r="BD1431" i="2"/>
  <c r="BD1497" i="2"/>
  <c r="BD1650" i="2"/>
  <c r="BD1418" i="2"/>
  <c r="BD1434" i="2"/>
  <c r="BD1562" i="2"/>
  <c r="BD1578" i="2"/>
  <c r="BD1628" i="2"/>
  <c r="BD1863" i="2"/>
  <c r="BD1879" i="2"/>
  <c r="BD1895" i="2"/>
  <c r="BD1911" i="2"/>
  <c r="BD2225" i="2"/>
  <c r="BD2241" i="2"/>
  <c r="BD2257" i="2"/>
  <c r="BD2273" i="2"/>
  <c r="BD2289" i="2"/>
  <c r="BD2305" i="2"/>
  <c r="BD2435" i="2"/>
  <c r="BD2413" i="2"/>
  <c r="BD2475" i="2"/>
  <c r="BD2447" i="2"/>
  <c r="BD2399" i="2"/>
  <c r="BD2489" i="2"/>
  <c r="V354" i="2"/>
  <c r="AB354" i="2"/>
  <c r="AG354" i="2"/>
  <c r="AL354" i="2"/>
  <c r="V378" i="2"/>
  <c r="AB378" i="2"/>
  <c r="AG378" i="2"/>
  <c r="AL378" i="2"/>
  <c r="AR18" i="2"/>
  <c r="AW18" i="2" s="1"/>
  <c r="BF18" i="2" s="1"/>
  <c r="AB43" i="2"/>
  <c r="AL43" i="2"/>
  <c r="AG43" i="2"/>
  <c r="V43" i="2"/>
  <c r="AR176" i="2"/>
  <c r="AW176" i="2" s="1"/>
  <c r="BF176" i="2" s="1"/>
  <c r="AL38" i="2"/>
  <c r="V38" i="2"/>
  <c r="AB38" i="2"/>
  <c r="AG38" i="2"/>
  <c r="AH18" i="2"/>
  <c r="AM18" i="2"/>
  <c r="W18" i="2"/>
  <c r="AC18" i="2"/>
  <c r="AQ85" i="2"/>
  <c r="AV85" i="2" s="1"/>
  <c r="BE85" i="2" s="1"/>
  <c r="AR192" i="2"/>
  <c r="AW192" i="2" s="1"/>
  <c r="BF192" i="2" s="1"/>
  <c r="AQ43" i="2"/>
  <c r="AV43" i="2" s="1"/>
  <c r="BE43" i="2" s="1"/>
  <c r="AQ75" i="2"/>
  <c r="AV75" i="2" s="1"/>
  <c r="BE75" i="2" s="1"/>
  <c r="AH176" i="2"/>
  <c r="AC176" i="2"/>
  <c r="W176" i="2"/>
  <c r="AM176" i="2"/>
  <c r="AH200" i="2"/>
  <c r="AC200" i="2"/>
  <c r="AM200" i="2"/>
  <c r="W200" i="2"/>
  <c r="AL28" i="2"/>
  <c r="V28" i="2"/>
  <c r="AB28" i="2"/>
  <c r="AG28" i="2"/>
  <c r="AQ14" i="2"/>
  <c r="AV14" i="2" s="1"/>
  <c r="BE14" i="2" s="1"/>
  <c r="AB23" i="2"/>
  <c r="AL23" i="2"/>
  <c r="V23" i="2"/>
  <c r="AG23" i="2"/>
  <c r="AB33" i="2"/>
  <c r="AG33" i="2"/>
  <c r="AL33" i="2"/>
  <c r="V33" i="2"/>
  <c r="AQ122" i="2"/>
  <c r="AV122" i="2" s="1"/>
  <c r="BE122" i="2" s="1"/>
  <c r="AQ175" i="2"/>
  <c r="AV175" i="2" s="1"/>
  <c r="BE175" i="2" s="1"/>
  <c r="AL186" i="2"/>
  <c r="V186" i="2"/>
  <c r="AG186" i="2"/>
  <c r="AB186" i="2"/>
  <c r="AL202" i="2"/>
  <c r="V202" i="2"/>
  <c r="AG202" i="2"/>
  <c r="AB202" i="2"/>
  <c r="AQ295" i="2"/>
  <c r="AV295" i="2" s="1"/>
  <c r="BE295" i="2" s="1"/>
  <c r="AQ312" i="2"/>
  <c r="AV312" i="2" s="1"/>
  <c r="BE312" i="2" s="1"/>
  <c r="AQ410" i="2"/>
  <c r="AV410" i="2" s="1"/>
  <c r="BE410" i="2" s="1"/>
  <c r="AQ440" i="2"/>
  <c r="AV440" i="2" s="1"/>
  <c r="BE440" i="2" s="1"/>
  <c r="AB45" i="2"/>
  <c r="AL45" i="2"/>
  <c r="V45" i="2"/>
  <c r="AG45" i="2"/>
  <c r="AQ79" i="2"/>
  <c r="AV79" i="2" s="1"/>
  <c r="BE79" i="2" s="1"/>
  <c r="AQ89" i="2"/>
  <c r="AV89" i="2" s="1"/>
  <c r="BE89" i="2" s="1"/>
  <c r="AQ219" i="2"/>
  <c r="AV219" i="2" s="1"/>
  <c r="BE219" i="2" s="1"/>
  <c r="AQ225" i="2"/>
  <c r="AV225" i="2" s="1"/>
  <c r="BE225" i="2" s="1"/>
  <c r="AB423" i="2"/>
  <c r="AL423" i="2"/>
  <c r="AG423" i="2"/>
  <c r="V423" i="2"/>
  <c r="AQ449" i="2"/>
  <c r="AV449" i="2" s="1"/>
  <c r="BE449" i="2" s="1"/>
  <c r="AL24" i="2"/>
  <c r="V24" i="2"/>
  <c r="AB24" i="2"/>
  <c r="AG24" i="2"/>
  <c r="BD38" i="2"/>
  <c r="BD57" i="2"/>
  <c r="BD89" i="2"/>
  <c r="AQ114" i="2"/>
  <c r="AV114" i="2" s="1"/>
  <c r="BE114" i="2" s="1"/>
  <c r="AL146" i="2"/>
  <c r="V146" i="2"/>
  <c r="AG146" i="2"/>
  <c r="AB146" i="2"/>
  <c r="AQ178" i="2"/>
  <c r="AV178" i="2" s="1"/>
  <c r="BE178" i="2" s="1"/>
  <c r="AQ271" i="2"/>
  <c r="AV271" i="2" s="1"/>
  <c r="BE271" i="2" s="1"/>
  <c r="AH272" i="2"/>
  <c r="AC272" i="2"/>
  <c r="AM272" i="2"/>
  <c r="W272" i="2"/>
  <c r="AQ287" i="2"/>
  <c r="AV287" i="2" s="1"/>
  <c r="BE287" i="2" s="1"/>
  <c r="AH288" i="2"/>
  <c r="AC288" i="2"/>
  <c r="AM288" i="2"/>
  <c r="W288" i="2"/>
  <c r="AQ303" i="2"/>
  <c r="AV303" i="2" s="1"/>
  <c r="BE303" i="2" s="1"/>
  <c r="AH304" i="2"/>
  <c r="AQ319" i="2"/>
  <c r="AV319" i="2" s="1"/>
  <c r="BE319" i="2" s="1"/>
  <c r="AQ415" i="2"/>
  <c r="AV415" i="2" s="1"/>
  <c r="BE415" i="2" s="1"/>
  <c r="AQ490" i="2"/>
  <c r="AV490" i="2" s="1"/>
  <c r="BE490" i="2" s="1"/>
  <c r="AB29" i="2"/>
  <c r="AG29" i="2"/>
  <c r="AL29" i="2"/>
  <c r="V29" i="2"/>
  <c r="AB61" i="2"/>
  <c r="AG61" i="2"/>
  <c r="AL61" i="2"/>
  <c r="V61" i="2"/>
  <c r="AB93" i="2"/>
  <c r="AG93" i="2"/>
  <c r="AL93" i="2"/>
  <c r="V93" i="2"/>
  <c r="AB105" i="2"/>
  <c r="AG105" i="2"/>
  <c r="V105" i="2"/>
  <c r="AL105" i="2"/>
  <c r="AB137" i="2"/>
  <c r="AG137" i="2"/>
  <c r="V137" i="2"/>
  <c r="AL137" i="2"/>
  <c r="AB169" i="2"/>
  <c r="AG169" i="2"/>
  <c r="V169" i="2"/>
  <c r="AL169" i="2"/>
  <c r="AB201" i="2"/>
  <c r="AG201" i="2"/>
  <c r="V201" i="2"/>
  <c r="AL201" i="2"/>
  <c r="AQ227" i="2"/>
  <c r="AV227" i="2" s="1"/>
  <c r="BE227" i="2" s="1"/>
  <c r="AQ233" i="2"/>
  <c r="AV233" i="2" s="1"/>
  <c r="BE233" i="2" s="1"/>
  <c r="BD239" i="2"/>
  <c r="AQ291" i="2"/>
  <c r="AV291" i="2" s="1"/>
  <c r="BE291" i="2" s="1"/>
  <c r="AQ297" i="2"/>
  <c r="AV297" i="2" s="1"/>
  <c r="BE297" i="2" s="1"/>
  <c r="BD303" i="2"/>
  <c r="BD439" i="2"/>
  <c r="AQ285" i="2"/>
  <c r="AV285" i="2" s="1"/>
  <c r="BE285" i="2" s="1"/>
  <c r="AB317" i="2"/>
  <c r="V317" i="2"/>
  <c r="AL317" i="2"/>
  <c r="AG317" i="2"/>
  <c r="BD411" i="2"/>
  <c r="BD475" i="2"/>
  <c r="AL519" i="2"/>
  <c r="V519" i="2"/>
  <c r="AG519" i="2"/>
  <c r="AB519" i="2"/>
  <c r="AQ536" i="2"/>
  <c r="AV536" i="2" s="1"/>
  <c r="BE536" i="2" s="1"/>
  <c r="BD205" i="2"/>
  <c r="AQ270" i="2"/>
  <c r="AV270" i="2" s="1"/>
  <c r="BE270" i="2" s="1"/>
  <c r="AL302" i="2"/>
  <c r="V302" i="2"/>
  <c r="AG302" i="2"/>
  <c r="AB302" i="2"/>
  <c r="AL358" i="2"/>
  <c r="V358" i="2"/>
  <c r="AG358" i="2"/>
  <c r="AB358" i="2"/>
  <c r="AQ390" i="2"/>
  <c r="AV390" i="2" s="1"/>
  <c r="BE390" i="2" s="1"/>
  <c r="AQ621" i="2"/>
  <c r="AV621" i="2" s="1"/>
  <c r="BE621" i="2" s="1"/>
  <c r="AL629" i="2"/>
  <c r="V629" i="2"/>
  <c r="AG629" i="2"/>
  <c r="AB629" i="2"/>
  <c r="AQ637" i="2"/>
  <c r="AV637" i="2" s="1"/>
  <c r="BE637" i="2" s="1"/>
  <c r="AL645" i="2"/>
  <c r="V645" i="2"/>
  <c r="AG645" i="2"/>
  <c r="AB645" i="2"/>
  <c r="AQ653" i="2"/>
  <c r="AV653" i="2" s="1"/>
  <c r="BE653" i="2" s="1"/>
  <c r="AL661" i="2"/>
  <c r="V661" i="2"/>
  <c r="AG661" i="2"/>
  <c r="AB661" i="2"/>
  <c r="AQ669" i="2"/>
  <c r="AV669" i="2" s="1"/>
  <c r="BE669" i="2" s="1"/>
  <c r="AL677" i="2"/>
  <c r="V677" i="2"/>
  <c r="AG677" i="2"/>
  <c r="AB677" i="2"/>
  <c r="AQ685" i="2"/>
  <c r="AV685" i="2" s="1"/>
  <c r="BE685" i="2" s="1"/>
  <c r="AL693" i="2"/>
  <c r="V693" i="2"/>
  <c r="AG693" i="2"/>
  <c r="AB693" i="2"/>
  <c r="AQ701" i="2"/>
  <c r="AV701" i="2" s="1"/>
  <c r="BE701" i="2" s="1"/>
  <c r="AL709" i="2"/>
  <c r="V709" i="2"/>
  <c r="AG709" i="2"/>
  <c r="AB709" i="2"/>
  <c r="AQ717" i="2"/>
  <c r="AV717" i="2" s="1"/>
  <c r="BE717" i="2" s="1"/>
  <c r="AQ719" i="2"/>
  <c r="AV719" i="2" s="1"/>
  <c r="BE719" i="2" s="1"/>
  <c r="AQ721" i="2"/>
  <c r="AV721" i="2" s="1"/>
  <c r="BE721" i="2" s="1"/>
  <c r="AQ723" i="2"/>
  <c r="AV723" i="2" s="1"/>
  <c r="BE723" i="2" s="1"/>
  <c r="AQ725" i="2"/>
  <c r="AV725" i="2" s="1"/>
  <c r="BE725" i="2" s="1"/>
  <c r="AQ753" i="2"/>
  <c r="AV753" i="2" s="1"/>
  <c r="BE753" i="2" s="1"/>
  <c r="AQ785" i="2"/>
  <c r="AV785" i="2" s="1"/>
  <c r="BE785" i="2" s="1"/>
  <c r="AQ817" i="2"/>
  <c r="AV817" i="2" s="1"/>
  <c r="BE817" i="2" s="1"/>
  <c r="AQ849" i="2"/>
  <c r="AV849" i="2" s="1"/>
  <c r="BE849" i="2" s="1"/>
  <c r="AQ881" i="2"/>
  <c r="AV881" i="2" s="1"/>
  <c r="BE881" i="2" s="1"/>
  <c r="BD788" i="2"/>
  <c r="BD852" i="2"/>
  <c r="AG940" i="2"/>
  <c r="AB940" i="2"/>
  <c r="AL940" i="2"/>
  <c r="V940" i="2"/>
  <c r="AG944" i="2"/>
  <c r="AB944" i="2"/>
  <c r="AL944" i="2"/>
  <c r="V944" i="2"/>
  <c r="AG948" i="2"/>
  <c r="AB948" i="2"/>
  <c r="AL948" i="2"/>
  <c r="V948" i="2"/>
  <c r="AG952" i="2"/>
  <c r="AB952" i="2"/>
  <c r="AL952" i="2"/>
  <c r="V952" i="2"/>
  <c r="AG956" i="2"/>
  <c r="AB956" i="2"/>
  <c r="AL956" i="2"/>
  <c r="V956" i="2"/>
  <c r="AG960" i="2"/>
  <c r="AB960" i="2"/>
  <c r="AL960" i="2"/>
  <c r="V960" i="2"/>
  <c r="AG964" i="2"/>
  <c r="AB964" i="2"/>
  <c r="AL964" i="2"/>
  <c r="V964" i="2"/>
  <c r="AG968" i="2"/>
  <c r="AB968" i="2"/>
  <c r="AL968" i="2"/>
  <c r="V968" i="2"/>
  <c r="AG972" i="2"/>
  <c r="AB972" i="2"/>
  <c r="AL972" i="2"/>
  <c r="V972" i="2"/>
  <c r="AG976" i="2"/>
  <c r="AB976" i="2"/>
  <c r="AL976" i="2"/>
  <c r="V976" i="2"/>
  <c r="AG980" i="2"/>
  <c r="AB980" i="2"/>
  <c r="AL980" i="2"/>
  <c r="V980" i="2"/>
  <c r="AG984" i="2"/>
  <c r="AB984" i="2"/>
  <c r="AL984" i="2"/>
  <c r="V984" i="2"/>
  <c r="AG988" i="2"/>
  <c r="AB988" i="2"/>
  <c r="AL988" i="2"/>
  <c r="V988" i="2"/>
  <c r="AG992" i="2"/>
  <c r="AB992" i="2"/>
  <c r="AL992" i="2"/>
  <c r="V992" i="2"/>
  <c r="AG996" i="2"/>
  <c r="AB996" i="2"/>
  <c r="AL996" i="2"/>
  <c r="V996" i="2"/>
  <c r="AG1000" i="2"/>
  <c r="AB1000" i="2"/>
  <c r="AL1000" i="2"/>
  <c r="V1000" i="2"/>
  <c r="AG1004" i="2"/>
  <c r="AB1004" i="2"/>
  <c r="AL1004" i="2"/>
  <c r="V1004" i="2"/>
  <c r="AG1008" i="2"/>
  <c r="AB1008" i="2"/>
  <c r="AL1008" i="2"/>
  <c r="V1008" i="2"/>
  <c r="AG1012" i="2"/>
  <c r="AB1012" i="2"/>
  <c r="AL1012" i="2"/>
  <c r="V1012" i="2"/>
  <c r="AG1016" i="2"/>
  <c r="AB1016" i="2"/>
  <c r="AL1016" i="2"/>
  <c r="V1016" i="2"/>
  <c r="AG1020" i="2"/>
  <c r="AB1020" i="2"/>
  <c r="AL1020" i="2"/>
  <c r="V1020" i="2"/>
  <c r="AG1024" i="2"/>
  <c r="AB1024" i="2"/>
  <c r="AL1024" i="2"/>
  <c r="V1024" i="2"/>
  <c r="AG1028" i="2"/>
  <c r="AB1028" i="2"/>
  <c r="AL1028" i="2"/>
  <c r="V1028" i="2"/>
  <c r="AG1032" i="2"/>
  <c r="AB1032" i="2"/>
  <c r="AL1032" i="2"/>
  <c r="V1032" i="2"/>
  <c r="AG1036" i="2"/>
  <c r="AB1036" i="2"/>
  <c r="AL1036" i="2"/>
  <c r="V1036" i="2"/>
  <c r="AG1040" i="2"/>
  <c r="AB1040" i="2"/>
  <c r="AL1040" i="2"/>
  <c r="V1040" i="2"/>
  <c r="AG1047" i="2"/>
  <c r="AB1047" i="2"/>
  <c r="AL1047" i="2"/>
  <c r="V1047" i="2"/>
  <c r="AG1054" i="2"/>
  <c r="AL1054" i="2"/>
  <c r="V1054" i="2"/>
  <c r="AB1054" i="2"/>
  <c r="AG1062" i="2"/>
  <c r="AL1062" i="2"/>
  <c r="V1062" i="2"/>
  <c r="AB1062" i="2"/>
  <c r="AG1070" i="2"/>
  <c r="AL1070" i="2"/>
  <c r="V1070" i="2"/>
  <c r="AB1070" i="2"/>
  <c r="AG1078" i="2"/>
  <c r="AL1078" i="2"/>
  <c r="V1078" i="2"/>
  <c r="AB1078" i="2"/>
  <c r="AG1086" i="2"/>
  <c r="AL1086" i="2"/>
  <c r="V1086" i="2"/>
  <c r="AB1086" i="2"/>
  <c r="AG1094" i="2"/>
  <c r="AL1094" i="2"/>
  <c r="V1094" i="2"/>
  <c r="AB1094" i="2"/>
  <c r="AG1102" i="2"/>
  <c r="AL1102" i="2"/>
  <c r="V1102" i="2"/>
  <c r="AB1102" i="2"/>
  <c r="AG1110" i="2"/>
  <c r="AL1110" i="2"/>
  <c r="V1110" i="2"/>
  <c r="AB1110" i="2"/>
  <c r="AG1118" i="2"/>
  <c r="AL1118" i="2"/>
  <c r="V1118" i="2"/>
  <c r="AB1118" i="2"/>
  <c r="AG1126" i="2"/>
  <c r="AL1126" i="2"/>
  <c r="V1126" i="2"/>
  <c r="AB1126" i="2"/>
  <c r="AG1134" i="2"/>
  <c r="AL1134" i="2"/>
  <c r="V1134" i="2"/>
  <c r="AB1134" i="2"/>
  <c r="AG740" i="2"/>
  <c r="AB740" i="2"/>
  <c r="AL740" i="2"/>
  <c r="V740" i="2"/>
  <c r="AQ772" i="2"/>
  <c r="AV772" i="2" s="1"/>
  <c r="BE772" i="2" s="1"/>
  <c r="AG804" i="2"/>
  <c r="AB804" i="2"/>
  <c r="AL804" i="2"/>
  <c r="V804" i="2"/>
  <c r="AQ836" i="2"/>
  <c r="AV836" i="2" s="1"/>
  <c r="BE836" i="2" s="1"/>
  <c r="AG868" i="2"/>
  <c r="AB868" i="2"/>
  <c r="AL868" i="2"/>
  <c r="V868" i="2"/>
  <c r="BD898" i="2"/>
  <c r="BD914" i="2"/>
  <c r="BD930" i="2"/>
  <c r="AQ1046" i="2"/>
  <c r="AV1046" i="2" s="1"/>
  <c r="BE1046" i="2" s="1"/>
  <c r="AG1081" i="2"/>
  <c r="AL1081" i="2"/>
  <c r="V1081" i="2"/>
  <c r="AB1081" i="2"/>
  <c r="AQ1113" i="2"/>
  <c r="AV1113" i="2" s="1"/>
  <c r="BE1113" i="2" s="1"/>
  <c r="AB1193" i="2"/>
  <c r="AL1193" i="2"/>
  <c r="V1193" i="2"/>
  <c r="AG1193" i="2"/>
  <c r="AQ1225" i="2"/>
  <c r="AV1225" i="2" s="1"/>
  <c r="BE1225" i="2" s="1"/>
  <c r="AB1257" i="2"/>
  <c r="AL1257" i="2"/>
  <c r="V1257" i="2"/>
  <c r="AG1257" i="2"/>
  <c r="AQ1289" i="2"/>
  <c r="AV1289" i="2" s="1"/>
  <c r="BE1289" i="2" s="1"/>
  <c r="AB1321" i="2"/>
  <c r="AL1321" i="2"/>
  <c r="V1321" i="2"/>
  <c r="AG1321" i="2"/>
  <c r="AQ1353" i="2"/>
  <c r="AV1353" i="2" s="1"/>
  <c r="BE1353" i="2" s="1"/>
  <c r="AL1196" i="2"/>
  <c r="V1196" i="2"/>
  <c r="AG1196" i="2"/>
  <c r="AB1196" i="2"/>
  <c r="AQ1228" i="2"/>
  <c r="AV1228" i="2" s="1"/>
  <c r="BE1228" i="2" s="1"/>
  <c r="AL1260" i="2"/>
  <c r="V1260" i="2"/>
  <c r="AG1260" i="2"/>
  <c r="AB1260" i="2"/>
  <c r="AQ1292" i="2"/>
  <c r="AV1292" i="2" s="1"/>
  <c r="BE1292" i="2" s="1"/>
  <c r="AL1324" i="2"/>
  <c r="V1324" i="2"/>
  <c r="AG1324" i="2"/>
  <c r="AB1324" i="2"/>
  <c r="AQ1356" i="2"/>
  <c r="AV1356" i="2" s="1"/>
  <c r="BE1356" i="2" s="1"/>
  <c r="AQ1051" i="2"/>
  <c r="AV1051" i="2" s="1"/>
  <c r="BE1051" i="2" s="1"/>
  <c r="AG1083" i="2"/>
  <c r="AL1083" i="2"/>
  <c r="V1083" i="2"/>
  <c r="AB1083" i="2"/>
  <c r="AQ1115" i="2"/>
  <c r="AV1115" i="2" s="1"/>
  <c r="BE1115" i="2" s="1"/>
  <c r="AQ1183" i="2"/>
  <c r="AV1183" i="2" s="1"/>
  <c r="BE1183" i="2" s="1"/>
  <c r="AB1215" i="2"/>
  <c r="AL1215" i="2"/>
  <c r="V1215" i="2"/>
  <c r="AG1215" i="2"/>
  <c r="AQ1247" i="2"/>
  <c r="AV1247" i="2" s="1"/>
  <c r="BE1247" i="2" s="1"/>
  <c r="AB1279" i="2"/>
  <c r="AL1279" i="2"/>
  <c r="V1279" i="2"/>
  <c r="AG1279" i="2"/>
  <c r="AQ1311" i="2"/>
  <c r="AV1311" i="2" s="1"/>
  <c r="BE1311" i="2" s="1"/>
  <c r="AB1343" i="2"/>
  <c r="AL1343" i="2"/>
  <c r="V1343" i="2"/>
  <c r="AG1343" i="2"/>
  <c r="AL1194" i="2"/>
  <c r="V1194" i="2"/>
  <c r="AG1194" i="2"/>
  <c r="AB1194" i="2"/>
  <c r="AQ1226" i="2"/>
  <c r="AV1226" i="2" s="1"/>
  <c r="BE1226" i="2" s="1"/>
  <c r="AL1258" i="2"/>
  <c r="V1258" i="2"/>
  <c r="AG1258" i="2"/>
  <c r="AB1258" i="2"/>
  <c r="AQ1290" i="2"/>
  <c r="AV1290" i="2" s="1"/>
  <c r="BE1290" i="2" s="1"/>
  <c r="AL1322" i="2"/>
  <c r="V1322" i="2"/>
  <c r="AG1322" i="2"/>
  <c r="AB1322" i="2"/>
  <c r="AQ1354" i="2"/>
  <c r="AV1354" i="2" s="1"/>
  <c r="BE1354" i="2" s="1"/>
  <c r="AQ1375" i="2"/>
  <c r="AV1375" i="2" s="1"/>
  <c r="BE1375" i="2" s="1"/>
  <c r="AQ1442" i="2"/>
  <c r="AV1442" i="2" s="1"/>
  <c r="BE1442" i="2" s="1"/>
  <c r="AQ1377" i="2"/>
  <c r="AV1377" i="2" s="1"/>
  <c r="BE1377" i="2" s="1"/>
  <c r="AL1393" i="2"/>
  <c r="V1393" i="2"/>
  <c r="AG1393" i="2"/>
  <c r="AB1393" i="2"/>
  <c r="AQ1401" i="2"/>
  <c r="AV1401" i="2" s="1"/>
  <c r="BE1401" i="2" s="1"/>
  <c r="AB1405" i="2"/>
  <c r="AL1405" i="2"/>
  <c r="V1405" i="2"/>
  <c r="AG1405" i="2"/>
  <c r="AQ1417" i="2"/>
  <c r="AV1417" i="2" s="1"/>
  <c r="BE1417" i="2" s="1"/>
  <c r="AB1421" i="2"/>
  <c r="AL1421" i="2"/>
  <c r="V1421" i="2"/>
  <c r="AG1421" i="2"/>
  <c r="AQ1433" i="2"/>
  <c r="AV1433" i="2" s="1"/>
  <c r="BE1433" i="2" s="1"/>
  <c r="AB1437" i="2"/>
  <c r="AL1437" i="2"/>
  <c r="V1437" i="2"/>
  <c r="AG1437" i="2"/>
  <c r="AL1444" i="2"/>
  <c r="V1444" i="2"/>
  <c r="AB1444" i="2"/>
  <c r="AG1444" i="2"/>
  <c r="AL1448" i="2"/>
  <c r="V1448" i="2"/>
  <c r="AB1448" i="2"/>
  <c r="AG1448" i="2"/>
  <c r="AL1452" i="2"/>
  <c r="V1452" i="2"/>
  <c r="AB1452" i="2"/>
  <c r="AG1452" i="2"/>
  <c r="AL1456" i="2"/>
  <c r="V1456" i="2"/>
  <c r="AB1456" i="2"/>
  <c r="AG1456" i="2"/>
  <c r="AL1460" i="2"/>
  <c r="V1460" i="2"/>
  <c r="AB1460" i="2"/>
  <c r="AG1460" i="2"/>
  <c r="AL1464" i="2"/>
  <c r="V1464" i="2"/>
  <c r="AB1464" i="2"/>
  <c r="AG1464" i="2"/>
  <c r="AL1468" i="2"/>
  <c r="V1468" i="2"/>
  <c r="AB1468" i="2"/>
  <c r="AG1468" i="2"/>
  <c r="AL1472" i="2"/>
  <c r="V1472" i="2"/>
  <c r="AB1472" i="2"/>
  <c r="AG1472" i="2"/>
  <c r="AQ1475" i="2"/>
  <c r="AV1475" i="2" s="1"/>
  <c r="BE1475" i="2" s="1"/>
  <c r="AL1546" i="2"/>
  <c r="V1546" i="2"/>
  <c r="AB1546" i="2"/>
  <c r="AG1546" i="2"/>
  <c r="AL1550" i="2"/>
  <c r="V1550" i="2"/>
  <c r="AB1550" i="2"/>
  <c r="AG1550" i="2"/>
  <c r="AL1554" i="2"/>
  <c r="V1554" i="2"/>
  <c r="AB1554" i="2"/>
  <c r="AG1554" i="2"/>
  <c r="AL1558" i="2"/>
  <c r="V1558" i="2"/>
  <c r="AB1558" i="2"/>
  <c r="AG1558" i="2"/>
  <c r="AL1562" i="2"/>
  <c r="V1562" i="2"/>
  <c r="AB1562" i="2"/>
  <c r="AG1562" i="2"/>
  <c r="AL1566" i="2"/>
  <c r="V1566" i="2"/>
  <c r="AB1566" i="2"/>
  <c r="AG1566" i="2"/>
  <c r="AL1570" i="2"/>
  <c r="V1570" i="2"/>
  <c r="AB1570" i="2"/>
  <c r="AG1570" i="2"/>
  <c r="AL1574" i="2"/>
  <c r="V1574" i="2"/>
  <c r="AB1574" i="2"/>
  <c r="AG1574" i="2"/>
  <c r="AL1578" i="2"/>
  <c r="V1578" i="2"/>
  <c r="AB1578" i="2"/>
  <c r="AG1578" i="2"/>
  <c r="AL1612" i="2"/>
  <c r="V1612" i="2"/>
  <c r="AG1612" i="2"/>
  <c r="AB1612" i="2"/>
  <c r="AQ1619" i="2"/>
  <c r="AV1619" i="2" s="1"/>
  <c r="BE1619" i="2" s="1"/>
  <c r="AQ1644" i="2"/>
  <c r="AV1644" i="2" s="1"/>
  <c r="BE1644" i="2" s="1"/>
  <c r="AB1651" i="2"/>
  <c r="AL1651" i="2"/>
  <c r="V1651" i="2"/>
  <c r="AG1651" i="2"/>
  <c r="AQ1486" i="2"/>
  <c r="AV1486" i="2" s="1"/>
  <c r="BE1486" i="2" s="1"/>
  <c r="AQ1533" i="2"/>
  <c r="AV1533" i="2" s="1"/>
  <c r="BE1533" i="2" s="1"/>
  <c r="AL1542" i="2"/>
  <c r="V1542" i="2"/>
  <c r="AB1542" i="2"/>
  <c r="AG1542" i="2"/>
  <c r="AQ1488" i="2"/>
  <c r="AV1488" i="2" s="1"/>
  <c r="BE1488" i="2" s="1"/>
  <c r="AB1501" i="2"/>
  <c r="AL1501" i="2"/>
  <c r="V1501" i="2"/>
  <c r="AG1501" i="2"/>
  <c r="AQ1582" i="2"/>
  <c r="AV1582" i="2" s="1"/>
  <c r="BE1582" i="2" s="1"/>
  <c r="AQ1590" i="2"/>
  <c r="AV1590" i="2" s="1"/>
  <c r="BE1590" i="2" s="1"/>
  <c r="AB1597" i="2"/>
  <c r="AL1597" i="2"/>
  <c r="V1597" i="2"/>
  <c r="AG1597" i="2"/>
  <c r="AL1622" i="2"/>
  <c r="V1622" i="2"/>
  <c r="AG1622" i="2"/>
  <c r="AB1622" i="2"/>
  <c r="AQ1629" i="2"/>
  <c r="AV1629" i="2" s="1"/>
  <c r="BE1629" i="2" s="1"/>
  <c r="AQ1654" i="2"/>
  <c r="AV1654" i="2" s="1"/>
  <c r="BE1654" i="2" s="1"/>
  <c r="AB1661" i="2"/>
  <c r="AL1661" i="2"/>
  <c r="V1661" i="2"/>
  <c r="AG1661" i="2"/>
  <c r="AB1674" i="2"/>
  <c r="AL1674" i="2"/>
  <c r="V1674" i="2"/>
  <c r="AG1674" i="2"/>
  <c r="BD1679" i="2"/>
  <c r="AQ1722" i="2"/>
  <c r="AV1722" i="2" s="1"/>
  <c r="BE1722" i="2" s="1"/>
  <c r="AB1738" i="2"/>
  <c r="AL1738" i="2"/>
  <c r="V1738" i="2"/>
  <c r="AG1738" i="2"/>
  <c r="BD1743" i="2"/>
  <c r="AL1673" i="2"/>
  <c r="V1673" i="2"/>
  <c r="AB1673" i="2"/>
  <c r="AG1673" i="2"/>
  <c r="AL1689" i="2"/>
  <c r="V1689" i="2"/>
  <c r="AB1689" i="2"/>
  <c r="AG1689" i="2"/>
  <c r="AL1705" i="2"/>
  <c r="V1705" i="2"/>
  <c r="AB1705" i="2"/>
  <c r="AG1705" i="2"/>
  <c r="AL1721" i="2"/>
  <c r="V1721" i="2"/>
  <c r="AB1721" i="2"/>
  <c r="AG1721" i="2"/>
  <c r="AL1737" i="2"/>
  <c r="V1737" i="2"/>
  <c r="AB1737" i="2"/>
  <c r="AG1737" i="2"/>
  <c r="AL1753" i="2"/>
  <c r="V1753" i="2"/>
  <c r="AB1753" i="2"/>
  <c r="AG1753" i="2"/>
  <c r="AG1813" i="2"/>
  <c r="AB1813" i="2"/>
  <c r="V1813" i="2"/>
  <c r="AL1813" i="2"/>
  <c r="AQ1829" i="2"/>
  <c r="AV1829" i="2" s="1"/>
  <c r="BE1829" i="2" s="1"/>
  <c r="AL1849" i="2"/>
  <c r="AG1849" i="2"/>
  <c r="AB1849" i="2"/>
  <c r="V1849" i="2"/>
  <c r="AQ1862" i="2"/>
  <c r="AV1862" i="2" s="1"/>
  <c r="BE1862" i="2" s="1"/>
  <c r="AQ1866" i="2"/>
  <c r="AV1866" i="2" s="1"/>
  <c r="BE1866" i="2" s="1"/>
  <c r="AQ1870" i="2"/>
  <c r="AV1870" i="2" s="1"/>
  <c r="BE1870" i="2" s="1"/>
  <c r="AQ1874" i="2"/>
  <c r="AV1874" i="2" s="1"/>
  <c r="BE1874" i="2" s="1"/>
  <c r="AQ1878" i="2"/>
  <c r="AV1878" i="2" s="1"/>
  <c r="BE1878" i="2" s="1"/>
  <c r="AQ1882" i="2"/>
  <c r="AV1882" i="2" s="1"/>
  <c r="BE1882" i="2" s="1"/>
  <c r="AQ1886" i="2"/>
  <c r="AV1886" i="2" s="1"/>
  <c r="BE1886" i="2" s="1"/>
  <c r="AQ1890" i="2"/>
  <c r="AV1890" i="2" s="1"/>
  <c r="BE1890" i="2" s="1"/>
  <c r="AQ1894" i="2"/>
  <c r="AV1894" i="2" s="1"/>
  <c r="BE1894" i="2" s="1"/>
  <c r="AQ1898" i="2"/>
  <c r="AV1898" i="2" s="1"/>
  <c r="BE1898" i="2" s="1"/>
  <c r="AQ1902" i="2"/>
  <c r="AV1902" i="2" s="1"/>
  <c r="BE1902" i="2" s="1"/>
  <c r="AQ1906" i="2"/>
  <c r="AV1906" i="2" s="1"/>
  <c r="BE1906" i="2" s="1"/>
  <c r="AQ1910" i="2"/>
  <c r="AV1910" i="2" s="1"/>
  <c r="BE1910" i="2" s="1"/>
  <c r="AQ1914" i="2"/>
  <c r="AV1914" i="2" s="1"/>
  <c r="BE1914" i="2" s="1"/>
  <c r="AQ1918" i="2"/>
  <c r="AV1918" i="2" s="1"/>
  <c r="BE1918" i="2" s="1"/>
  <c r="AQ1922" i="2"/>
  <c r="AV1922" i="2" s="1"/>
  <c r="BE1922" i="2" s="1"/>
  <c r="AQ1926" i="2"/>
  <c r="AV1926" i="2" s="1"/>
  <c r="BE1926" i="2" s="1"/>
  <c r="AQ1930" i="2"/>
  <c r="AV1930" i="2" s="1"/>
  <c r="BE1930" i="2" s="1"/>
  <c r="AQ1934" i="2"/>
  <c r="AV1934" i="2" s="1"/>
  <c r="BE1934" i="2" s="1"/>
  <c r="AQ1938" i="2"/>
  <c r="AV1938" i="2" s="1"/>
  <c r="BE1938" i="2" s="1"/>
  <c r="AQ1942" i="2"/>
  <c r="AV1942" i="2" s="1"/>
  <c r="BE1942" i="2" s="1"/>
  <c r="AQ1946" i="2"/>
  <c r="AV1946" i="2" s="1"/>
  <c r="BE1946" i="2" s="1"/>
  <c r="AQ1950" i="2"/>
  <c r="AV1950" i="2" s="1"/>
  <c r="BE1950" i="2" s="1"/>
  <c r="AQ1954" i="2"/>
  <c r="AV1954" i="2" s="1"/>
  <c r="BE1954" i="2" s="1"/>
  <c r="AQ1958" i="2"/>
  <c r="AV1958" i="2" s="1"/>
  <c r="BE1958" i="2" s="1"/>
  <c r="AQ1962" i="2"/>
  <c r="AV1962" i="2" s="1"/>
  <c r="BE1962" i="2" s="1"/>
  <c r="AQ1966" i="2"/>
  <c r="AV1966" i="2" s="1"/>
  <c r="BE1966" i="2" s="1"/>
  <c r="AQ1970" i="2"/>
  <c r="AV1970" i="2" s="1"/>
  <c r="BE1970" i="2" s="1"/>
  <c r="AQ1974" i="2"/>
  <c r="AV1974" i="2" s="1"/>
  <c r="BE1974" i="2" s="1"/>
  <c r="AQ1978" i="2"/>
  <c r="AV1978" i="2" s="1"/>
  <c r="BE1978" i="2" s="1"/>
  <c r="AQ1982" i="2"/>
  <c r="AV1982" i="2" s="1"/>
  <c r="BE1982" i="2" s="1"/>
  <c r="AQ1986" i="2"/>
  <c r="AV1986" i="2" s="1"/>
  <c r="BE1986" i="2" s="1"/>
  <c r="AQ1990" i="2"/>
  <c r="AV1990" i="2" s="1"/>
  <c r="BE1990" i="2" s="1"/>
  <c r="AQ1994" i="2"/>
  <c r="AV1994" i="2" s="1"/>
  <c r="BE1994" i="2" s="1"/>
  <c r="AQ1998" i="2"/>
  <c r="AV1998" i="2" s="1"/>
  <c r="BE1998" i="2" s="1"/>
  <c r="AQ2002" i="2"/>
  <c r="AV2002" i="2" s="1"/>
  <c r="BE2002" i="2" s="1"/>
  <c r="AQ2006" i="2"/>
  <c r="AV2006" i="2" s="1"/>
  <c r="BE2006" i="2" s="1"/>
  <c r="AQ2010" i="2"/>
  <c r="AV2010" i="2" s="1"/>
  <c r="BE2010" i="2" s="1"/>
  <c r="AQ2014" i="2"/>
  <c r="AV2014" i="2" s="1"/>
  <c r="BE2014" i="2" s="1"/>
  <c r="AQ2018" i="2"/>
  <c r="AV2018" i="2" s="1"/>
  <c r="BE2018" i="2" s="1"/>
  <c r="AG2023" i="2"/>
  <c r="AB2023" i="2"/>
  <c r="AL2023" i="2"/>
  <c r="V2023" i="2"/>
  <c r="AG2025" i="2"/>
  <c r="AB2025" i="2"/>
  <c r="AL2025" i="2"/>
  <c r="V2025" i="2"/>
  <c r="AG2027" i="2"/>
  <c r="AB2027" i="2"/>
  <c r="AL2027" i="2"/>
  <c r="V2027" i="2"/>
  <c r="AG2029" i="2"/>
  <c r="AB2029" i="2"/>
  <c r="AL2029" i="2"/>
  <c r="V2029" i="2"/>
  <c r="AG2031" i="2"/>
  <c r="AB2031" i="2"/>
  <c r="AL2031" i="2"/>
  <c r="V2031" i="2"/>
  <c r="AG2033" i="2"/>
  <c r="AB2033" i="2"/>
  <c r="AL2033" i="2"/>
  <c r="V2033" i="2"/>
  <c r="AG2035" i="2"/>
  <c r="AB2035" i="2"/>
  <c r="AL2035" i="2"/>
  <c r="V2035" i="2"/>
  <c r="AG2037" i="2"/>
  <c r="AB2037" i="2"/>
  <c r="AL2037" i="2"/>
  <c r="V2037" i="2"/>
  <c r="AG2039" i="2"/>
  <c r="AB2039" i="2"/>
  <c r="AL2039" i="2"/>
  <c r="V2039" i="2"/>
  <c r="AG2041" i="2"/>
  <c r="AB2041" i="2"/>
  <c r="AL2041" i="2"/>
  <c r="V2041" i="2"/>
  <c r="AG2021" i="2"/>
  <c r="AB2021" i="2"/>
  <c r="AL2021" i="2"/>
  <c r="V2021" i="2"/>
  <c r="AQ1956" i="2"/>
  <c r="AV1956" i="2" s="1"/>
  <c r="BE1956" i="2" s="1"/>
  <c r="AQ1960" i="2"/>
  <c r="AV1960" i="2" s="1"/>
  <c r="BE1960" i="2" s="1"/>
  <c r="AQ1964" i="2"/>
  <c r="AV1964" i="2" s="1"/>
  <c r="BE1964" i="2" s="1"/>
  <c r="AQ1968" i="2"/>
  <c r="AV1968" i="2" s="1"/>
  <c r="BE1968" i="2" s="1"/>
  <c r="AQ1972" i="2"/>
  <c r="AV1972" i="2" s="1"/>
  <c r="BE1972" i="2" s="1"/>
  <c r="AQ1976" i="2"/>
  <c r="AV1976" i="2" s="1"/>
  <c r="BE1976" i="2" s="1"/>
  <c r="AQ1980" i="2"/>
  <c r="AV1980" i="2" s="1"/>
  <c r="BE1980" i="2" s="1"/>
  <c r="AQ1984" i="2"/>
  <c r="AV1984" i="2" s="1"/>
  <c r="BE1984" i="2" s="1"/>
  <c r="AQ1988" i="2"/>
  <c r="AV1988" i="2" s="1"/>
  <c r="BE1988" i="2" s="1"/>
  <c r="AQ1992" i="2"/>
  <c r="AV1992" i="2" s="1"/>
  <c r="BE1992" i="2" s="1"/>
  <c r="AQ1996" i="2"/>
  <c r="AV1996" i="2" s="1"/>
  <c r="BE1996" i="2" s="1"/>
  <c r="AQ2000" i="2"/>
  <c r="AV2000" i="2" s="1"/>
  <c r="BE2000" i="2" s="1"/>
  <c r="AQ2004" i="2"/>
  <c r="AV2004" i="2" s="1"/>
  <c r="BE2004" i="2" s="1"/>
  <c r="AQ2008" i="2"/>
  <c r="AV2008" i="2" s="1"/>
  <c r="BE2008" i="2" s="1"/>
  <c r="AQ2012" i="2"/>
  <c r="AV2012" i="2" s="1"/>
  <c r="BE2012" i="2" s="1"/>
  <c r="AQ2016" i="2"/>
  <c r="AV2016" i="2" s="1"/>
  <c r="BE2016" i="2" s="1"/>
  <c r="AQ2053" i="2"/>
  <c r="AV2053" i="2" s="1"/>
  <c r="BE2053" i="2" s="1"/>
  <c r="AL2061" i="2"/>
  <c r="V2061" i="2"/>
  <c r="AG2061" i="2"/>
  <c r="AB2061" i="2"/>
  <c r="AQ2069" i="2"/>
  <c r="AV2069" i="2" s="1"/>
  <c r="BE2069" i="2" s="1"/>
  <c r="AL2077" i="2"/>
  <c r="V2077" i="2"/>
  <c r="AG2077" i="2"/>
  <c r="AB2077" i="2"/>
  <c r="AQ2085" i="2"/>
  <c r="AV2085" i="2" s="1"/>
  <c r="BE2085" i="2" s="1"/>
  <c r="AL2093" i="2"/>
  <c r="V2093" i="2"/>
  <c r="AG2093" i="2"/>
  <c r="AB2093" i="2"/>
  <c r="AQ2101" i="2"/>
  <c r="AV2101" i="2" s="1"/>
  <c r="BE2101" i="2" s="1"/>
  <c r="AL2109" i="2"/>
  <c r="V2109" i="2"/>
  <c r="AG2109" i="2"/>
  <c r="AB2109" i="2"/>
  <c r="AQ2154" i="2"/>
  <c r="AV2154" i="2" s="1"/>
  <c r="BE2154" i="2" s="1"/>
  <c r="AL2051" i="2"/>
  <c r="V2051" i="2"/>
  <c r="AG2051" i="2"/>
  <c r="AB2051" i="2"/>
  <c r="AQ2060" i="2"/>
  <c r="AV2060" i="2" s="1"/>
  <c r="BE2060" i="2" s="1"/>
  <c r="AQ2083" i="2"/>
  <c r="AV2083" i="2" s="1"/>
  <c r="BE2083" i="2" s="1"/>
  <c r="AB2092" i="2"/>
  <c r="AL2092" i="2"/>
  <c r="V2092" i="2"/>
  <c r="AG2092" i="2"/>
  <c r="AL2143" i="2"/>
  <c r="V2143" i="2"/>
  <c r="AG2143" i="2"/>
  <c r="AB2143" i="2"/>
  <c r="AG2152" i="2"/>
  <c r="AB2152" i="2"/>
  <c r="AL2152" i="2"/>
  <c r="V2152" i="2"/>
  <c r="AG2171" i="2"/>
  <c r="AB2171" i="2"/>
  <c r="AL2171" i="2"/>
  <c r="V2171" i="2"/>
  <c r="AL2170" i="2"/>
  <c r="V2170" i="2"/>
  <c r="AG2170" i="2"/>
  <c r="AB2170" i="2"/>
  <c r="AQ2161" i="2"/>
  <c r="AV2161" i="2" s="1"/>
  <c r="BE2161" i="2" s="1"/>
  <c r="AG2193" i="2"/>
  <c r="AB2193" i="2"/>
  <c r="AL2193" i="2"/>
  <c r="V2193" i="2"/>
  <c r="AQ2156" i="2"/>
  <c r="AV2156" i="2" s="1"/>
  <c r="BE2156" i="2" s="1"/>
  <c r="AL2188" i="2"/>
  <c r="V2188" i="2"/>
  <c r="AG2188" i="2"/>
  <c r="AB2188" i="2"/>
  <c r="AQ2318" i="2"/>
  <c r="AV2318" i="2" s="1"/>
  <c r="BE2318" i="2" s="1"/>
  <c r="AQ2326" i="2"/>
  <c r="AV2326" i="2" s="1"/>
  <c r="BE2326" i="2" s="1"/>
  <c r="AQ2334" i="2"/>
  <c r="AV2334" i="2" s="1"/>
  <c r="BE2334" i="2" s="1"/>
  <c r="AQ2342" i="2"/>
  <c r="AV2342" i="2" s="1"/>
  <c r="BE2342" i="2" s="1"/>
  <c r="AQ2350" i="2"/>
  <c r="AV2350" i="2" s="1"/>
  <c r="BE2350" i="2" s="1"/>
  <c r="AQ2358" i="2"/>
  <c r="AV2358" i="2" s="1"/>
  <c r="BE2358" i="2" s="1"/>
  <c r="AQ2366" i="2"/>
  <c r="AV2366" i="2" s="1"/>
  <c r="BE2366" i="2" s="1"/>
  <c r="AQ2374" i="2"/>
  <c r="AV2374" i="2" s="1"/>
  <c r="BE2374" i="2" s="1"/>
  <c r="AQ2382" i="2"/>
  <c r="AV2382" i="2" s="1"/>
  <c r="BE2382" i="2" s="1"/>
  <c r="AQ2390" i="2"/>
  <c r="AV2390" i="2" s="1"/>
  <c r="BE2390" i="2" s="1"/>
  <c r="AQ2301" i="2"/>
  <c r="AV2301" i="2" s="1"/>
  <c r="BE2301" i="2" s="1"/>
  <c r="AQ2309" i="2"/>
  <c r="AV2309" i="2" s="1"/>
  <c r="BE2309" i="2" s="1"/>
  <c r="AQ2321" i="2"/>
  <c r="AV2321" i="2" s="1"/>
  <c r="BE2321" i="2" s="1"/>
  <c r="AQ2345" i="2"/>
  <c r="AV2345" i="2" s="1"/>
  <c r="BE2345" i="2" s="1"/>
  <c r="AQ2361" i="2"/>
  <c r="AV2361" i="2" s="1"/>
  <c r="BE2361" i="2" s="1"/>
  <c r="AQ2385" i="2"/>
  <c r="AV2385" i="2" s="1"/>
  <c r="BE2385" i="2" s="1"/>
  <c r="AQ2417" i="2"/>
  <c r="AV2417" i="2" s="1"/>
  <c r="BE2417" i="2" s="1"/>
  <c r="AL2479" i="2"/>
  <c r="V2479" i="2"/>
  <c r="AB2479" i="2"/>
  <c r="AG2479" i="2"/>
  <c r="AQ53" i="2"/>
  <c r="AV53" i="2" s="1"/>
  <c r="BE53" i="2" s="1"/>
  <c r="AL12" i="2"/>
  <c r="V12" i="2"/>
  <c r="AB12" i="2"/>
  <c r="AG12" i="2"/>
  <c r="AL76" i="2"/>
  <c r="V76" i="2"/>
  <c r="AB76" i="2"/>
  <c r="AG76" i="2"/>
  <c r="AR160" i="2"/>
  <c r="AW160" i="2" s="1"/>
  <c r="BF160" i="2" s="1"/>
  <c r="AB91" i="2"/>
  <c r="AL91" i="2"/>
  <c r="AG91" i="2"/>
  <c r="V91" i="2"/>
  <c r="AR144" i="2"/>
  <c r="AW144" i="2" s="1"/>
  <c r="BF144" i="2" s="1"/>
  <c r="AQ90" i="2"/>
  <c r="AV90" i="2" s="1"/>
  <c r="BE90" i="2" s="1"/>
  <c r="AQ96" i="2"/>
  <c r="AV96" i="2" s="1"/>
  <c r="BE96" i="2" s="1"/>
  <c r="AL106" i="2"/>
  <c r="V106" i="2"/>
  <c r="AG106" i="2"/>
  <c r="AB106" i="2"/>
  <c r="AQ141" i="2"/>
  <c r="AV141" i="2" s="1"/>
  <c r="BE141" i="2" s="1"/>
  <c r="AQ170" i="2"/>
  <c r="AV170" i="2" s="1"/>
  <c r="BE170" i="2" s="1"/>
  <c r="AQ52" i="2"/>
  <c r="AV52" i="2" s="1"/>
  <c r="BE52" i="2" s="1"/>
  <c r="AB77" i="2"/>
  <c r="AL77" i="2"/>
  <c r="V77" i="2"/>
  <c r="AG77" i="2"/>
  <c r="AB299" i="2"/>
  <c r="AL299" i="2"/>
  <c r="AG299" i="2"/>
  <c r="V299" i="2"/>
  <c r="AB305" i="2"/>
  <c r="AL305" i="2"/>
  <c r="AG305" i="2"/>
  <c r="V305" i="2"/>
  <c r="AQ432" i="2"/>
  <c r="AV432" i="2" s="1"/>
  <c r="BE432" i="2" s="1"/>
  <c r="AB15" i="2"/>
  <c r="AL15" i="2"/>
  <c r="V15" i="2"/>
  <c r="AG15" i="2"/>
  <c r="AQ80" i="2"/>
  <c r="AV80" i="2" s="1"/>
  <c r="BE80" i="2" s="1"/>
  <c r="AQ101" i="2"/>
  <c r="AV101" i="2" s="1"/>
  <c r="BE101" i="2" s="1"/>
  <c r="AB119" i="2"/>
  <c r="AL119" i="2"/>
  <c r="AG119" i="2"/>
  <c r="V119" i="2"/>
  <c r="AQ133" i="2"/>
  <c r="AV133" i="2" s="1"/>
  <c r="BE133" i="2" s="1"/>
  <c r="AB151" i="2"/>
  <c r="AL151" i="2"/>
  <c r="AG151" i="2"/>
  <c r="V151" i="2"/>
  <c r="AQ165" i="2"/>
  <c r="AV165" i="2" s="1"/>
  <c r="BE165" i="2" s="1"/>
  <c r="AB183" i="2"/>
  <c r="AL183" i="2"/>
  <c r="AG183" i="2"/>
  <c r="V183" i="2"/>
  <c r="AQ197" i="2"/>
  <c r="AV197" i="2" s="1"/>
  <c r="BE197" i="2" s="1"/>
  <c r="AB31" i="2"/>
  <c r="AG31" i="2"/>
  <c r="AL31" i="2"/>
  <c r="V31" i="2"/>
  <c r="AB41" i="2"/>
  <c r="AG41" i="2"/>
  <c r="AL41" i="2"/>
  <c r="V41" i="2"/>
  <c r="AB95" i="2"/>
  <c r="AG95" i="2"/>
  <c r="AL95" i="2"/>
  <c r="V95" i="2"/>
  <c r="AB107" i="2"/>
  <c r="AL107" i="2"/>
  <c r="AG107" i="2"/>
  <c r="V107" i="2"/>
  <c r="AB123" i="2"/>
  <c r="AL123" i="2"/>
  <c r="AG123" i="2"/>
  <c r="V123" i="2"/>
  <c r="AB139" i="2"/>
  <c r="AL139" i="2"/>
  <c r="AG139" i="2"/>
  <c r="V139" i="2"/>
  <c r="AB155" i="2"/>
  <c r="AL155" i="2"/>
  <c r="AG155" i="2"/>
  <c r="V155" i="2"/>
  <c r="AB171" i="2"/>
  <c r="AL171" i="2"/>
  <c r="AG171" i="2"/>
  <c r="V171" i="2"/>
  <c r="AB187" i="2"/>
  <c r="AL187" i="2"/>
  <c r="AG187" i="2"/>
  <c r="V187" i="2"/>
  <c r="AQ218" i="2"/>
  <c r="AV218" i="2" s="1"/>
  <c r="BE218" i="2" s="1"/>
  <c r="AL268" i="2"/>
  <c r="V268" i="2"/>
  <c r="AB268" i="2"/>
  <c r="AG268" i="2"/>
  <c r="AL282" i="2"/>
  <c r="V282" i="2"/>
  <c r="AG282" i="2"/>
  <c r="AB282" i="2"/>
  <c r="AQ307" i="2"/>
  <c r="AV307" i="2" s="1"/>
  <c r="BE307" i="2" s="1"/>
  <c r="AL450" i="2"/>
  <c r="V450" i="2"/>
  <c r="AG450" i="2"/>
  <c r="AB450" i="2"/>
  <c r="AL480" i="2"/>
  <c r="V480" i="2"/>
  <c r="AG480" i="2"/>
  <c r="AB480" i="2"/>
  <c r="AB508" i="2"/>
  <c r="AL508" i="2"/>
  <c r="V508" i="2"/>
  <c r="AG508" i="2"/>
  <c r="AQ524" i="2"/>
  <c r="AV524" i="2" s="1"/>
  <c r="BE524" i="2" s="1"/>
  <c r="AB540" i="2"/>
  <c r="AL540" i="2"/>
  <c r="V540" i="2"/>
  <c r="AG540" i="2"/>
  <c r="AQ509" i="2"/>
  <c r="AV509" i="2" s="1"/>
  <c r="BE509" i="2" s="1"/>
  <c r="AQ526" i="2"/>
  <c r="AV526" i="2" s="1"/>
  <c r="BE526" i="2" s="1"/>
  <c r="AL541" i="2"/>
  <c r="V541" i="2"/>
  <c r="AG541" i="2"/>
  <c r="AB541" i="2"/>
  <c r="AQ738" i="2"/>
  <c r="AV738" i="2" s="1"/>
  <c r="BE738" i="2" s="1"/>
  <c r="AQ754" i="2"/>
  <c r="AV754" i="2" s="1"/>
  <c r="BE754" i="2" s="1"/>
  <c r="AQ770" i="2"/>
  <c r="AV770" i="2" s="1"/>
  <c r="BE770" i="2" s="1"/>
  <c r="AQ786" i="2"/>
  <c r="AV786" i="2" s="1"/>
  <c r="BE786" i="2" s="1"/>
  <c r="AQ802" i="2"/>
  <c r="AV802" i="2" s="1"/>
  <c r="BE802" i="2" s="1"/>
  <c r="AQ818" i="2"/>
  <c r="AV818" i="2" s="1"/>
  <c r="BE818" i="2" s="1"/>
  <c r="AQ834" i="2"/>
  <c r="AV834" i="2" s="1"/>
  <c r="BE834" i="2" s="1"/>
  <c r="AQ850" i="2"/>
  <c r="AV850" i="2" s="1"/>
  <c r="BE850" i="2" s="1"/>
  <c r="AQ866" i="2"/>
  <c r="AV866" i="2" s="1"/>
  <c r="BE866" i="2" s="1"/>
  <c r="AQ882" i="2"/>
  <c r="AV882" i="2" s="1"/>
  <c r="BE882" i="2" s="1"/>
  <c r="AQ261" i="2"/>
  <c r="AV261" i="2" s="1"/>
  <c r="BE261" i="2" s="1"/>
  <c r="AB293" i="2"/>
  <c r="AG293" i="2"/>
  <c r="V293" i="2"/>
  <c r="AL293" i="2"/>
  <c r="AG495" i="2"/>
  <c r="AB495" i="2"/>
  <c r="AL495" i="2"/>
  <c r="V495" i="2"/>
  <c r="AG499" i="2"/>
  <c r="AB499" i="2"/>
  <c r="AL499" i="2"/>
  <c r="V499" i="2"/>
  <c r="AG503" i="2"/>
  <c r="AB503" i="2"/>
  <c r="AL503" i="2"/>
  <c r="V503" i="2"/>
  <c r="AQ512" i="2"/>
  <c r="AV512" i="2" s="1"/>
  <c r="BE512" i="2" s="1"/>
  <c r="AQ527" i="2"/>
  <c r="AV527" i="2" s="1"/>
  <c r="BE527" i="2" s="1"/>
  <c r="AB544" i="2"/>
  <c r="AL544" i="2"/>
  <c r="V544" i="2"/>
  <c r="AG544" i="2"/>
  <c r="AG735" i="2"/>
  <c r="AL735" i="2"/>
  <c r="V735" i="2"/>
  <c r="AB735" i="2"/>
  <c r="AG751" i="2"/>
  <c r="AL751" i="2"/>
  <c r="V751" i="2"/>
  <c r="AB751" i="2"/>
  <c r="AG767" i="2"/>
  <c r="AL767" i="2"/>
  <c r="V767" i="2"/>
  <c r="AB767" i="2"/>
  <c r="AG783" i="2"/>
  <c r="AL783" i="2"/>
  <c r="V783" i="2"/>
  <c r="AB783" i="2"/>
  <c r="AG799" i="2"/>
  <c r="AL799" i="2"/>
  <c r="V799" i="2"/>
  <c r="AB799" i="2"/>
  <c r="AG815" i="2"/>
  <c r="AL815" i="2"/>
  <c r="V815" i="2"/>
  <c r="AB815" i="2"/>
  <c r="AG831" i="2"/>
  <c r="AL831" i="2"/>
  <c r="V831" i="2"/>
  <c r="AB831" i="2"/>
  <c r="AG847" i="2"/>
  <c r="AL847" i="2"/>
  <c r="V847" i="2"/>
  <c r="AB847" i="2"/>
  <c r="AG863" i="2"/>
  <c r="AL863" i="2"/>
  <c r="V863" i="2"/>
  <c r="AB863" i="2"/>
  <c r="AG879" i="2"/>
  <c r="AL879" i="2"/>
  <c r="V879" i="2"/>
  <c r="AB879" i="2"/>
  <c r="AL230" i="2"/>
  <c r="V230" i="2"/>
  <c r="AG230" i="2"/>
  <c r="AB230" i="2"/>
  <c r="AL334" i="2"/>
  <c r="V334" i="2"/>
  <c r="AG334" i="2"/>
  <c r="AB334" i="2"/>
  <c r="AQ366" i="2"/>
  <c r="AV366" i="2" s="1"/>
  <c r="BE366" i="2" s="1"/>
  <c r="AH396" i="2"/>
  <c r="AC396" i="2"/>
  <c r="AM396" i="2"/>
  <c r="W396" i="2"/>
  <c r="AQ513" i="2"/>
  <c r="AV513" i="2" s="1"/>
  <c r="BE513" i="2" s="1"/>
  <c r="AQ530" i="2"/>
  <c r="AV530" i="2" s="1"/>
  <c r="BE530" i="2" s="1"/>
  <c r="AQ545" i="2"/>
  <c r="AV545" i="2" s="1"/>
  <c r="BE545" i="2" s="1"/>
  <c r="AQ741" i="2"/>
  <c r="AV741" i="2" s="1"/>
  <c r="BE741" i="2" s="1"/>
  <c r="AQ773" i="2"/>
  <c r="AV773" i="2" s="1"/>
  <c r="BE773" i="2" s="1"/>
  <c r="AQ805" i="2"/>
  <c r="AV805" i="2" s="1"/>
  <c r="BE805" i="2" s="1"/>
  <c r="AQ837" i="2"/>
  <c r="AV837" i="2" s="1"/>
  <c r="BE837" i="2" s="1"/>
  <c r="AQ869" i="2"/>
  <c r="AV869" i="2" s="1"/>
  <c r="BE869" i="2" s="1"/>
  <c r="AQ1056" i="2"/>
  <c r="AV1056" i="2" s="1"/>
  <c r="BE1056" i="2" s="1"/>
  <c r="AQ1064" i="2"/>
  <c r="AV1064" i="2" s="1"/>
  <c r="BE1064" i="2" s="1"/>
  <c r="AQ1072" i="2"/>
  <c r="AV1072" i="2" s="1"/>
  <c r="BE1072" i="2" s="1"/>
  <c r="AQ1080" i="2"/>
  <c r="AV1080" i="2" s="1"/>
  <c r="BE1080" i="2" s="1"/>
  <c r="AQ1088" i="2"/>
  <c r="AV1088" i="2" s="1"/>
  <c r="BE1088" i="2" s="1"/>
  <c r="AQ1096" i="2"/>
  <c r="AV1096" i="2" s="1"/>
  <c r="BE1096" i="2" s="1"/>
  <c r="AQ1104" i="2"/>
  <c r="AV1104" i="2" s="1"/>
  <c r="BE1104" i="2" s="1"/>
  <c r="AQ1112" i="2"/>
  <c r="AV1112" i="2" s="1"/>
  <c r="BE1112" i="2" s="1"/>
  <c r="AQ1120" i="2"/>
  <c r="AV1120" i="2" s="1"/>
  <c r="BE1120" i="2" s="1"/>
  <c r="AQ1128" i="2"/>
  <c r="AV1128" i="2" s="1"/>
  <c r="BE1128" i="2" s="1"/>
  <c r="AQ1136" i="2"/>
  <c r="AV1136" i="2" s="1"/>
  <c r="BE1136" i="2" s="1"/>
  <c r="BD744" i="2"/>
  <c r="BD808" i="2"/>
  <c r="BD872" i="2"/>
  <c r="AQ622" i="2"/>
  <c r="AV622" i="2" s="1"/>
  <c r="BE622" i="2" s="1"/>
  <c r="AQ626" i="2"/>
  <c r="AV626" i="2" s="1"/>
  <c r="BE626" i="2" s="1"/>
  <c r="AQ630" i="2"/>
  <c r="AV630" i="2" s="1"/>
  <c r="BE630" i="2" s="1"/>
  <c r="AQ634" i="2"/>
  <c r="AV634" i="2" s="1"/>
  <c r="BE634" i="2" s="1"/>
  <c r="AQ638" i="2"/>
  <c r="AV638" i="2" s="1"/>
  <c r="BE638" i="2" s="1"/>
  <c r="AQ642" i="2"/>
  <c r="AV642" i="2" s="1"/>
  <c r="BE642" i="2" s="1"/>
  <c r="AQ646" i="2"/>
  <c r="AV646" i="2" s="1"/>
  <c r="BE646" i="2" s="1"/>
  <c r="AQ650" i="2"/>
  <c r="AV650" i="2" s="1"/>
  <c r="BE650" i="2" s="1"/>
  <c r="AQ654" i="2"/>
  <c r="AV654" i="2" s="1"/>
  <c r="BE654" i="2" s="1"/>
  <c r="AQ658" i="2"/>
  <c r="AV658" i="2" s="1"/>
  <c r="BE658" i="2" s="1"/>
  <c r="AQ662" i="2"/>
  <c r="AV662" i="2" s="1"/>
  <c r="BE662" i="2" s="1"/>
  <c r="AQ666" i="2"/>
  <c r="AV666" i="2" s="1"/>
  <c r="BE666" i="2" s="1"/>
  <c r="AQ670" i="2"/>
  <c r="AV670" i="2" s="1"/>
  <c r="BE670" i="2" s="1"/>
  <c r="AQ674" i="2"/>
  <c r="AV674" i="2" s="1"/>
  <c r="BE674" i="2" s="1"/>
  <c r="AQ678" i="2"/>
  <c r="AV678" i="2" s="1"/>
  <c r="BE678" i="2" s="1"/>
  <c r="AQ682" i="2"/>
  <c r="AV682" i="2" s="1"/>
  <c r="BE682" i="2" s="1"/>
  <c r="AQ686" i="2"/>
  <c r="AV686" i="2" s="1"/>
  <c r="BE686" i="2" s="1"/>
  <c r="AQ690" i="2"/>
  <c r="AV690" i="2" s="1"/>
  <c r="BE690" i="2" s="1"/>
  <c r="AQ694" i="2"/>
  <c r="AV694" i="2" s="1"/>
  <c r="BE694" i="2" s="1"/>
  <c r="AQ698" i="2"/>
  <c r="AV698" i="2" s="1"/>
  <c r="BE698" i="2" s="1"/>
  <c r="AQ702" i="2"/>
  <c r="AV702" i="2" s="1"/>
  <c r="BE702" i="2" s="1"/>
  <c r="AQ706" i="2"/>
  <c r="AV706" i="2" s="1"/>
  <c r="BE706" i="2" s="1"/>
  <c r="AQ710" i="2"/>
  <c r="AV710" i="2" s="1"/>
  <c r="BE710" i="2" s="1"/>
  <c r="AQ714" i="2"/>
  <c r="AV714" i="2" s="1"/>
  <c r="BE714" i="2" s="1"/>
  <c r="AQ718" i="2"/>
  <c r="AV718" i="2" s="1"/>
  <c r="BE718" i="2" s="1"/>
  <c r="AQ722" i="2"/>
  <c r="AV722" i="2" s="1"/>
  <c r="BE722" i="2" s="1"/>
  <c r="AQ1043" i="2"/>
  <c r="AV1043" i="2" s="1"/>
  <c r="BE1043" i="2" s="1"/>
  <c r="BD1026" i="2"/>
  <c r="AB1205" i="2"/>
  <c r="AL1205" i="2"/>
  <c r="V1205" i="2"/>
  <c r="AG1205" i="2"/>
  <c r="AQ1237" i="2"/>
  <c r="AV1237" i="2" s="1"/>
  <c r="BE1237" i="2" s="1"/>
  <c r="AB1269" i="2"/>
  <c r="AL1269" i="2"/>
  <c r="V1269" i="2"/>
  <c r="AG1269" i="2"/>
  <c r="AQ1301" i="2"/>
  <c r="AV1301" i="2" s="1"/>
  <c r="BE1301" i="2" s="1"/>
  <c r="AB1333" i="2"/>
  <c r="AL1333" i="2"/>
  <c r="V1333" i="2"/>
  <c r="AG1333" i="2"/>
  <c r="AQ1365" i="2"/>
  <c r="AV1365" i="2" s="1"/>
  <c r="BE1365" i="2" s="1"/>
  <c r="AQ1156" i="2"/>
  <c r="AV1156" i="2" s="1"/>
  <c r="BE1156" i="2" s="1"/>
  <c r="AQ1160" i="2"/>
  <c r="AV1160" i="2" s="1"/>
  <c r="BE1160" i="2" s="1"/>
  <c r="AQ1164" i="2"/>
  <c r="AV1164" i="2" s="1"/>
  <c r="BE1164" i="2" s="1"/>
  <c r="AQ1168" i="2"/>
  <c r="AV1168" i="2" s="1"/>
  <c r="BE1168" i="2" s="1"/>
  <c r="AQ1172" i="2"/>
  <c r="AV1172" i="2" s="1"/>
  <c r="BE1172" i="2" s="1"/>
  <c r="AQ1176" i="2"/>
  <c r="AV1176" i="2" s="1"/>
  <c r="BE1176" i="2" s="1"/>
  <c r="AL1208" i="2"/>
  <c r="V1208" i="2"/>
  <c r="AG1208" i="2"/>
  <c r="AB1208" i="2"/>
  <c r="AQ1240" i="2"/>
  <c r="AV1240" i="2" s="1"/>
  <c r="BE1240" i="2" s="1"/>
  <c r="AL1272" i="2"/>
  <c r="V1272" i="2"/>
  <c r="AG1272" i="2"/>
  <c r="AB1272" i="2"/>
  <c r="AQ1304" i="2"/>
  <c r="AV1304" i="2" s="1"/>
  <c r="BE1304" i="2" s="1"/>
  <c r="AL1336" i="2"/>
  <c r="V1336" i="2"/>
  <c r="AG1336" i="2"/>
  <c r="AB1336" i="2"/>
  <c r="AQ1368" i="2"/>
  <c r="AV1368" i="2" s="1"/>
  <c r="BE1368" i="2" s="1"/>
  <c r="AQ1384" i="2"/>
  <c r="AV1384" i="2" s="1"/>
  <c r="BE1384" i="2" s="1"/>
  <c r="AQ1179" i="2"/>
  <c r="AV1179" i="2" s="1"/>
  <c r="BE1179" i="2" s="1"/>
  <c r="AB1211" i="2"/>
  <c r="AL1211" i="2"/>
  <c r="V1211" i="2"/>
  <c r="AG1211" i="2"/>
  <c r="AQ1243" i="2"/>
  <c r="AV1243" i="2" s="1"/>
  <c r="BE1243" i="2" s="1"/>
  <c r="AB1275" i="2"/>
  <c r="AL1275" i="2"/>
  <c r="V1275" i="2"/>
  <c r="AG1275" i="2"/>
  <c r="AQ1307" i="2"/>
  <c r="AV1307" i="2" s="1"/>
  <c r="BE1307" i="2" s="1"/>
  <c r="AB1339" i="2"/>
  <c r="AL1339" i="2"/>
  <c r="V1339" i="2"/>
  <c r="AG1339" i="2"/>
  <c r="AQ1371" i="2"/>
  <c r="AV1371" i="2" s="1"/>
  <c r="BE1371" i="2" s="1"/>
  <c r="AL1190" i="2"/>
  <c r="V1190" i="2"/>
  <c r="AG1190" i="2"/>
  <c r="AB1190" i="2"/>
  <c r="AQ1222" i="2"/>
  <c r="AV1222" i="2" s="1"/>
  <c r="BE1222" i="2" s="1"/>
  <c r="AL1254" i="2"/>
  <c r="V1254" i="2"/>
  <c r="AG1254" i="2"/>
  <c r="AB1254" i="2"/>
  <c r="AQ1286" i="2"/>
  <c r="AV1286" i="2" s="1"/>
  <c r="BE1286" i="2" s="1"/>
  <c r="AL1318" i="2"/>
  <c r="V1318" i="2"/>
  <c r="AG1318" i="2"/>
  <c r="AB1318" i="2"/>
  <c r="AQ1350" i="2"/>
  <c r="AV1350" i="2" s="1"/>
  <c r="BE1350" i="2" s="1"/>
  <c r="AQ1480" i="2"/>
  <c r="AV1480" i="2" s="1"/>
  <c r="BE1480" i="2" s="1"/>
  <c r="AQ1497" i="2"/>
  <c r="AV1497" i="2" s="1"/>
  <c r="BE1497" i="2" s="1"/>
  <c r="AQ1507" i="2"/>
  <c r="AV1507" i="2" s="1"/>
  <c r="BE1507" i="2" s="1"/>
  <c r="AB1511" i="2"/>
  <c r="AL1511" i="2"/>
  <c r="V1511" i="2"/>
  <c r="AG1511" i="2"/>
  <c r="BD1514" i="2"/>
  <c r="AQ1523" i="2"/>
  <c r="AV1523" i="2" s="1"/>
  <c r="BE1523" i="2" s="1"/>
  <c r="AB1527" i="2"/>
  <c r="AL1527" i="2"/>
  <c r="V1527" i="2"/>
  <c r="AG1527" i="2"/>
  <c r="BD1530" i="2"/>
  <c r="AQ1539" i="2"/>
  <c r="AV1539" i="2" s="1"/>
  <c r="BE1539" i="2" s="1"/>
  <c r="AB1543" i="2"/>
  <c r="AL1543" i="2"/>
  <c r="V1543" i="2"/>
  <c r="AG1543" i="2"/>
  <c r="AQ1591" i="2"/>
  <c r="AV1591" i="2" s="1"/>
  <c r="BE1591" i="2" s="1"/>
  <c r="AQ1616" i="2"/>
  <c r="AV1616" i="2" s="1"/>
  <c r="BE1616" i="2" s="1"/>
  <c r="AB1623" i="2"/>
  <c r="AL1623" i="2"/>
  <c r="V1623" i="2"/>
  <c r="AG1623" i="2"/>
  <c r="AL1648" i="2"/>
  <c r="V1648" i="2"/>
  <c r="AG1648" i="2"/>
  <c r="AB1648" i="2"/>
  <c r="AQ1655" i="2"/>
  <c r="AV1655" i="2" s="1"/>
  <c r="BE1655" i="2" s="1"/>
  <c r="AQ1477" i="2"/>
  <c r="AV1477" i="2" s="1"/>
  <c r="BE1477" i="2" s="1"/>
  <c r="AQ1481" i="2"/>
  <c r="AV1481" i="2" s="1"/>
  <c r="BE1481" i="2" s="1"/>
  <c r="AB1495" i="2"/>
  <c r="AL1495" i="2"/>
  <c r="V1495" i="2"/>
  <c r="AG1495" i="2"/>
  <c r="AB1499" i="2"/>
  <c r="AL1499" i="2"/>
  <c r="V1499" i="2"/>
  <c r="AG1499" i="2"/>
  <c r="AQ1537" i="2"/>
  <c r="AV1537" i="2" s="1"/>
  <c r="BE1537" i="2" s="1"/>
  <c r="AQ1396" i="2"/>
  <c r="AV1396" i="2" s="1"/>
  <c r="BE1396" i="2" s="1"/>
  <c r="AQ1400" i="2"/>
  <c r="AV1400" i="2" s="1"/>
  <c r="BE1400" i="2" s="1"/>
  <c r="AQ1404" i="2"/>
  <c r="AV1404" i="2" s="1"/>
  <c r="BE1404" i="2" s="1"/>
  <c r="AQ1408" i="2"/>
  <c r="AV1408" i="2" s="1"/>
  <c r="BE1408" i="2" s="1"/>
  <c r="AQ1412" i="2"/>
  <c r="AV1412" i="2" s="1"/>
  <c r="BE1412" i="2" s="1"/>
  <c r="AQ1416" i="2"/>
  <c r="AV1416" i="2" s="1"/>
  <c r="BE1416" i="2" s="1"/>
  <c r="AQ1420" i="2"/>
  <c r="AV1420" i="2" s="1"/>
  <c r="BE1420" i="2" s="1"/>
  <c r="AQ1424" i="2"/>
  <c r="AV1424" i="2" s="1"/>
  <c r="BE1424" i="2" s="1"/>
  <c r="AQ1428" i="2"/>
  <c r="AV1428" i="2" s="1"/>
  <c r="BE1428" i="2" s="1"/>
  <c r="AQ1432" i="2"/>
  <c r="AV1432" i="2" s="1"/>
  <c r="BE1432" i="2" s="1"/>
  <c r="AQ1436" i="2"/>
  <c r="AV1436" i="2" s="1"/>
  <c r="BE1436" i="2" s="1"/>
  <c r="AQ1548" i="2"/>
  <c r="AV1548" i="2" s="1"/>
  <c r="BE1548" i="2" s="1"/>
  <c r="AQ1552" i="2"/>
  <c r="AV1552" i="2" s="1"/>
  <c r="BE1552" i="2" s="1"/>
  <c r="AQ1556" i="2"/>
  <c r="AV1556" i="2" s="1"/>
  <c r="BE1556" i="2" s="1"/>
  <c r="AQ1560" i="2"/>
  <c r="AV1560" i="2" s="1"/>
  <c r="BE1560" i="2" s="1"/>
  <c r="AQ1564" i="2"/>
  <c r="AV1564" i="2" s="1"/>
  <c r="BE1564" i="2" s="1"/>
  <c r="AQ1568" i="2"/>
  <c r="AV1568" i="2" s="1"/>
  <c r="BE1568" i="2" s="1"/>
  <c r="AQ1572" i="2"/>
  <c r="AV1572" i="2" s="1"/>
  <c r="BE1572" i="2" s="1"/>
  <c r="AQ1576" i="2"/>
  <c r="AV1576" i="2" s="1"/>
  <c r="BE1576" i="2" s="1"/>
  <c r="AQ1610" i="2"/>
  <c r="AV1610" i="2" s="1"/>
  <c r="BE1610" i="2" s="1"/>
  <c r="AB1617" i="2"/>
  <c r="AL1617" i="2"/>
  <c r="V1617" i="2"/>
  <c r="AG1617" i="2"/>
  <c r="AL1642" i="2"/>
  <c r="V1642" i="2"/>
  <c r="AG1642" i="2"/>
  <c r="AB1642" i="2"/>
  <c r="AQ1649" i="2"/>
  <c r="AV1649" i="2" s="1"/>
  <c r="BE1649" i="2" s="1"/>
  <c r="BD1680" i="2"/>
  <c r="BD1696" i="2"/>
  <c r="BD1712" i="2"/>
  <c r="BD1728" i="2"/>
  <c r="BD1744" i="2"/>
  <c r="AR1799" i="2"/>
  <c r="AW1799" i="2" s="1"/>
  <c r="BF1799" i="2" s="1"/>
  <c r="AM1815" i="2"/>
  <c r="AQ1670" i="2"/>
  <c r="AV1670" i="2" s="1"/>
  <c r="BE1670" i="2" s="1"/>
  <c r="AB1686" i="2"/>
  <c r="AL1686" i="2"/>
  <c r="V1686" i="2"/>
  <c r="AG1686" i="2"/>
  <c r="BD1691" i="2"/>
  <c r="AQ1734" i="2"/>
  <c r="AV1734" i="2" s="1"/>
  <c r="BE1734" i="2" s="1"/>
  <c r="AB1750" i="2"/>
  <c r="AL1750" i="2"/>
  <c r="V1750" i="2"/>
  <c r="AG1750" i="2"/>
  <c r="BD1755" i="2"/>
  <c r="AL1848" i="2"/>
  <c r="V1848" i="2"/>
  <c r="AB1848" i="2"/>
  <c r="AG1848" i="2"/>
  <c r="AQ1863" i="2"/>
  <c r="AV1863" i="2" s="1"/>
  <c r="BE1863" i="2" s="1"/>
  <c r="AQ1871" i="2"/>
  <c r="AV1871" i="2" s="1"/>
  <c r="BE1871" i="2" s="1"/>
  <c r="AQ1879" i="2"/>
  <c r="AV1879" i="2" s="1"/>
  <c r="BE1879" i="2" s="1"/>
  <c r="AQ1887" i="2"/>
  <c r="AV1887" i="2" s="1"/>
  <c r="BE1887" i="2" s="1"/>
  <c r="AQ1895" i="2"/>
  <c r="AV1895" i="2" s="1"/>
  <c r="BE1895" i="2" s="1"/>
  <c r="AQ1903" i="2"/>
  <c r="AV1903" i="2" s="1"/>
  <c r="BE1903" i="2" s="1"/>
  <c r="AQ1911" i="2"/>
  <c r="AV1911" i="2" s="1"/>
  <c r="BE1911" i="2" s="1"/>
  <c r="AQ1919" i="2"/>
  <c r="AV1919" i="2" s="1"/>
  <c r="BE1919" i="2" s="1"/>
  <c r="AQ1927" i="2"/>
  <c r="AV1927" i="2" s="1"/>
  <c r="BE1927" i="2" s="1"/>
  <c r="AQ1935" i="2"/>
  <c r="AV1935" i="2" s="1"/>
  <c r="BE1935" i="2" s="1"/>
  <c r="AQ1943" i="2"/>
  <c r="AV1943" i="2" s="1"/>
  <c r="BE1943" i="2" s="1"/>
  <c r="AQ1951" i="2"/>
  <c r="AV1951" i="2" s="1"/>
  <c r="BE1951" i="2" s="1"/>
  <c r="AQ1677" i="2"/>
  <c r="AV1677" i="2" s="1"/>
  <c r="BE1677" i="2" s="1"/>
  <c r="AQ1693" i="2"/>
  <c r="AV1693" i="2" s="1"/>
  <c r="BE1693" i="2" s="1"/>
  <c r="AQ1709" i="2"/>
  <c r="AV1709" i="2" s="1"/>
  <c r="BE1709" i="2" s="1"/>
  <c r="AQ1725" i="2"/>
  <c r="AV1725" i="2" s="1"/>
  <c r="BE1725" i="2" s="1"/>
  <c r="AQ1741" i="2"/>
  <c r="AV1741" i="2" s="1"/>
  <c r="BE1741" i="2" s="1"/>
  <c r="AQ1757" i="2"/>
  <c r="AV1757" i="2" s="1"/>
  <c r="BE1757" i="2" s="1"/>
  <c r="AG1761" i="2"/>
  <c r="AB1761" i="2"/>
  <c r="V1761" i="2"/>
  <c r="AL1761" i="2"/>
  <c r="AQ1765" i="2"/>
  <c r="AV1765" i="2" s="1"/>
  <c r="BE1765" i="2" s="1"/>
  <c r="AG1769" i="2"/>
  <c r="AB1769" i="2"/>
  <c r="V1769" i="2"/>
  <c r="AL1769" i="2"/>
  <c r="AQ1773" i="2"/>
  <c r="AV1773" i="2" s="1"/>
  <c r="BE1773" i="2" s="1"/>
  <c r="AG1777" i="2"/>
  <c r="AB1777" i="2"/>
  <c r="V1777" i="2"/>
  <c r="AL1777" i="2"/>
  <c r="AQ1781" i="2"/>
  <c r="AV1781" i="2" s="1"/>
  <c r="BE1781" i="2" s="1"/>
  <c r="AG1785" i="2"/>
  <c r="AB1785" i="2"/>
  <c r="V1785" i="2"/>
  <c r="AL1785" i="2"/>
  <c r="AQ1789" i="2"/>
  <c r="AV1789" i="2" s="1"/>
  <c r="BE1789" i="2" s="1"/>
  <c r="AG1793" i="2"/>
  <c r="AB1793" i="2"/>
  <c r="V1793" i="2"/>
  <c r="AL1793" i="2"/>
  <c r="AQ1797" i="2"/>
  <c r="AV1797" i="2" s="1"/>
  <c r="BE1797" i="2" s="1"/>
  <c r="AG1801" i="2"/>
  <c r="AB1801" i="2"/>
  <c r="V1801" i="2"/>
  <c r="AL1801" i="2"/>
  <c r="AQ1805" i="2"/>
  <c r="AV1805" i="2" s="1"/>
  <c r="BE1805" i="2" s="1"/>
  <c r="AG1809" i="2"/>
  <c r="AB1809" i="2"/>
  <c r="V1809" i="2"/>
  <c r="AL1809" i="2"/>
  <c r="AQ1825" i="2"/>
  <c r="AV1825" i="2" s="1"/>
  <c r="BE1825" i="2" s="1"/>
  <c r="AL1836" i="2"/>
  <c r="AG1836" i="2"/>
  <c r="AB1836" i="2"/>
  <c r="V1836" i="2"/>
  <c r="AQ1844" i="2"/>
  <c r="AV1844" i="2" s="1"/>
  <c r="BE1844" i="2" s="1"/>
  <c r="AQ1851" i="2"/>
  <c r="AV1851" i="2" s="1"/>
  <c r="BE1851" i="2" s="1"/>
  <c r="AQ1855" i="2"/>
  <c r="AV1855" i="2" s="1"/>
  <c r="BE1855" i="2" s="1"/>
  <c r="AQ1859" i="2"/>
  <c r="AV1859" i="2" s="1"/>
  <c r="BE1859" i="2" s="1"/>
  <c r="BD2046" i="2"/>
  <c r="BD2053" i="2"/>
  <c r="BD2069" i="2"/>
  <c r="BD2085" i="2"/>
  <c r="BD2101" i="2"/>
  <c r="AL2042" i="2"/>
  <c r="V2042" i="2"/>
  <c r="AB2042" i="2"/>
  <c r="AG2042" i="2"/>
  <c r="AL2055" i="2"/>
  <c r="V2055" i="2"/>
  <c r="AG2055" i="2"/>
  <c r="AB2055" i="2"/>
  <c r="AQ2064" i="2"/>
  <c r="AV2064" i="2" s="1"/>
  <c r="BE2064" i="2" s="1"/>
  <c r="BD2070" i="2"/>
  <c r="AQ2087" i="2"/>
  <c r="AV2087" i="2" s="1"/>
  <c r="BE2087" i="2" s="1"/>
  <c r="AB2096" i="2"/>
  <c r="AL2096" i="2"/>
  <c r="V2096" i="2"/>
  <c r="AG2096" i="2"/>
  <c r="BD2112" i="2"/>
  <c r="BD2055" i="2"/>
  <c r="BD2071" i="2"/>
  <c r="BD2087" i="2"/>
  <c r="BD2103" i="2"/>
  <c r="AQ2167" i="2"/>
  <c r="AV2167" i="2" s="1"/>
  <c r="BE2167" i="2" s="1"/>
  <c r="AG2199" i="2"/>
  <c r="AB2199" i="2"/>
  <c r="AL2199" i="2"/>
  <c r="V2199" i="2"/>
  <c r="AQ2166" i="2"/>
  <c r="AV2166" i="2" s="1"/>
  <c r="BE2166" i="2" s="1"/>
  <c r="AL2198" i="2"/>
  <c r="V2198" i="2"/>
  <c r="AG2198" i="2"/>
  <c r="AB2198" i="2"/>
  <c r="AG2173" i="2"/>
  <c r="AB2173" i="2"/>
  <c r="AL2173" i="2"/>
  <c r="V2173" i="2"/>
  <c r="BD2184" i="2"/>
  <c r="BD2163" i="2"/>
  <c r="AQ2184" i="2"/>
  <c r="AV2184" i="2" s="1"/>
  <c r="BE2184" i="2" s="1"/>
  <c r="AB2213" i="2"/>
  <c r="AL2213" i="2"/>
  <c r="V2213" i="2"/>
  <c r="AG2213" i="2"/>
  <c r="AB2237" i="2"/>
  <c r="AL2237" i="2"/>
  <c r="V2237" i="2"/>
  <c r="AG2237" i="2"/>
  <c r="AB2245" i="2"/>
  <c r="AL2245" i="2"/>
  <c r="V2245" i="2"/>
  <c r="AG2245" i="2"/>
  <c r="AB2253" i="2"/>
  <c r="AL2253" i="2"/>
  <c r="V2253" i="2"/>
  <c r="AG2253" i="2"/>
  <c r="AH128" i="2"/>
  <c r="AC128" i="2"/>
  <c r="W128" i="2"/>
  <c r="AM128" i="2"/>
  <c r="AH152" i="2"/>
  <c r="AC152" i="2"/>
  <c r="AM152" i="2"/>
  <c r="W152" i="2"/>
  <c r="AQ11" i="2"/>
  <c r="AV11" i="2" s="1"/>
  <c r="BE11" i="2" s="1"/>
  <c r="AH20" i="2"/>
  <c r="AM20" i="2"/>
  <c r="AC20" i="2"/>
  <c r="W20" i="2"/>
  <c r="AH112" i="2"/>
  <c r="AC112" i="2"/>
  <c r="W112" i="2"/>
  <c r="AM112" i="2"/>
  <c r="AH136" i="2"/>
  <c r="AC136" i="2"/>
  <c r="AM136" i="2"/>
  <c r="W136" i="2"/>
  <c r="AR2" i="2"/>
  <c r="AW2" i="2" s="1"/>
  <c r="BF2" i="2" s="1"/>
  <c r="AQ5" i="2"/>
  <c r="AV5" i="2" s="1"/>
  <c r="BE5" i="2" s="1"/>
  <c r="AB189" i="2"/>
  <c r="AL189" i="2"/>
  <c r="AG189" i="2"/>
  <c r="V189" i="2"/>
  <c r="BD208" i="2"/>
  <c r="AB425" i="2"/>
  <c r="AL425" i="2"/>
  <c r="AG425" i="2"/>
  <c r="V425" i="2"/>
  <c r="AL474" i="2"/>
  <c r="V474" i="2"/>
  <c r="AG474" i="2"/>
  <c r="AB474" i="2"/>
  <c r="AQ50" i="2"/>
  <c r="AV50" i="2" s="1"/>
  <c r="BE50" i="2" s="1"/>
  <c r="AQ56" i="2"/>
  <c r="AV56" i="2" s="1"/>
  <c r="BE56" i="2" s="1"/>
  <c r="AQ62" i="2"/>
  <c r="AV62" i="2" s="1"/>
  <c r="BE62" i="2" s="1"/>
  <c r="BD75" i="2"/>
  <c r="AQ84" i="2"/>
  <c r="AV84" i="2" s="1"/>
  <c r="BE84" i="2" s="1"/>
  <c r="AQ212" i="2"/>
  <c r="AV212" i="2" s="1"/>
  <c r="BE212" i="2" s="1"/>
  <c r="AQ226" i="2"/>
  <c r="AV226" i="2" s="1"/>
  <c r="BE226" i="2" s="1"/>
  <c r="AL276" i="2"/>
  <c r="V276" i="2"/>
  <c r="AG276" i="2"/>
  <c r="AB276" i="2"/>
  <c r="AL290" i="2"/>
  <c r="V290" i="2"/>
  <c r="AG290" i="2"/>
  <c r="AB290" i="2"/>
  <c r="AQ315" i="2"/>
  <c r="AV315" i="2" s="1"/>
  <c r="BE315" i="2" s="1"/>
  <c r="AQ321" i="2"/>
  <c r="AV321" i="2" s="1"/>
  <c r="BE321" i="2" s="1"/>
  <c r="AB487" i="2"/>
  <c r="AL487" i="2"/>
  <c r="AG487" i="2"/>
  <c r="V487" i="2"/>
  <c r="BD3" i="2"/>
  <c r="BD79" i="2"/>
  <c r="AQ130" i="2"/>
  <c r="AV130" i="2" s="1"/>
  <c r="BE130" i="2" s="1"/>
  <c r="AL162" i="2"/>
  <c r="V162" i="2"/>
  <c r="AG162" i="2"/>
  <c r="AB162" i="2"/>
  <c r="AQ194" i="2"/>
  <c r="AV194" i="2" s="1"/>
  <c r="BE194" i="2" s="1"/>
  <c r="AQ34" i="2"/>
  <c r="AV34" i="2" s="1"/>
  <c r="BE34" i="2" s="1"/>
  <c r="AQ259" i="2"/>
  <c r="AV259" i="2" s="1"/>
  <c r="BE259" i="2" s="1"/>
  <c r="AQ265" i="2"/>
  <c r="AV265" i="2" s="1"/>
  <c r="BE265" i="2" s="1"/>
  <c r="BD271" i="2"/>
  <c r="AB433" i="2"/>
  <c r="AL433" i="2"/>
  <c r="AG433" i="2"/>
  <c r="V433" i="2"/>
  <c r="AL482" i="2"/>
  <c r="V482" i="2"/>
  <c r="AG482" i="2"/>
  <c r="AB482" i="2"/>
  <c r="AB329" i="2"/>
  <c r="AL329" i="2"/>
  <c r="AG329" i="2"/>
  <c r="V329" i="2"/>
  <c r="AB337" i="2"/>
  <c r="AL337" i="2"/>
  <c r="AG337" i="2"/>
  <c r="V337" i="2"/>
  <c r="AB345" i="2"/>
  <c r="AL345" i="2"/>
  <c r="AG345" i="2"/>
  <c r="V345" i="2"/>
  <c r="AB353" i="2"/>
  <c r="AL353" i="2"/>
  <c r="AG353" i="2"/>
  <c r="V353" i="2"/>
  <c r="AB361" i="2"/>
  <c r="AL361" i="2"/>
  <c r="AG361" i="2"/>
  <c r="V361" i="2"/>
  <c r="AB369" i="2"/>
  <c r="AL369" i="2"/>
  <c r="AG369" i="2"/>
  <c r="V369" i="2"/>
  <c r="AB377" i="2"/>
  <c r="AL377" i="2"/>
  <c r="AG377" i="2"/>
  <c r="V377" i="2"/>
  <c r="AB385" i="2"/>
  <c r="AL385" i="2"/>
  <c r="AG385" i="2"/>
  <c r="V385" i="2"/>
  <c r="AB393" i="2"/>
  <c r="AL393" i="2"/>
  <c r="AG393" i="2"/>
  <c r="V393" i="2"/>
  <c r="AB401" i="2"/>
  <c r="AL401" i="2"/>
  <c r="AG401" i="2"/>
  <c r="V401" i="2"/>
  <c r="BD447" i="2"/>
  <c r="AL619" i="2"/>
  <c r="V619" i="2"/>
  <c r="AG619" i="2"/>
  <c r="AB619" i="2"/>
  <c r="AQ727" i="2"/>
  <c r="AV727" i="2" s="1"/>
  <c r="BE727" i="2" s="1"/>
  <c r="AQ743" i="2"/>
  <c r="AV743" i="2" s="1"/>
  <c r="BE743" i="2" s="1"/>
  <c r="AQ759" i="2"/>
  <c r="AV759" i="2" s="1"/>
  <c r="BE759" i="2" s="1"/>
  <c r="AQ775" i="2"/>
  <c r="AV775" i="2" s="1"/>
  <c r="BE775" i="2" s="1"/>
  <c r="AQ791" i="2"/>
  <c r="AV791" i="2" s="1"/>
  <c r="BE791" i="2" s="1"/>
  <c r="AQ807" i="2"/>
  <c r="AV807" i="2" s="1"/>
  <c r="BE807" i="2" s="1"/>
  <c r="AQ823" i="2"/>
  <c r="AV823" i="2" s="1"/>
  <c r="BE823" i="2" s="1"/>
  <c r="AQ839" i="2"/>
  <c r="AV839" i="2" s="1"/>
  <c r="BE839" i="2" s="1"/>
  <c r="AQ855" i="2"/>
  <c r="AV855" i="2" s="1"/>
  <c r="BE855" i="2" s="1"/>
  <c r="AQ871" i="2"/>
  <c r="AV871" i="2" s="1"/>
  <c r="BE871" i="2" s="1"/>
  <c r="AG936" i="2"/>
  <c r="AB936" i="2"/>
  <c r="AL936" i="2"/>
  <c r="V936" i="2"/>
  <c r="BD305" i="2"/>
  <c r="BD457" i="2"/>
  <c r="BD548" i="2"/>
  <c r="AQ237" i="2"/>
  <c r="AV237" i="2" s="1"/>
  <c r="BE237" i="2" s="1"/>
  <c r="AB269" i="2"/>
  <c r="V269" i="2"/>
  <c r="AL269" i="2"/>
  <c r="AG269" i="2"/>
  <c r="BD283" i="2"/>
  <c r="BD347" i="2"/>
  <c r="BD379" i="2"/>
  <c r="BD419" i="2"/>
  <c r="BD483" i="2"/>
  <c r="AQ520" i="2"/>
  <c r="AV520" i="2" s="1"/>
  <c r="BE520" i="2" s="1"/>
  <c r="BD211" i="2"/>
  <c r="BD13" i="2"/>
  <c r="BD213" i="2"/>
  <c r="AL222" i="2"/>
  <c r="V222" i="2"/>
  <c r="AG222" i="2"/>
  <c r="AB222" i="2"/>
  <c r="AL342" i="2"/>
  <c r="V342" i="2"/>
  <c r="AG342" i="2"/>
  <c r="AB342" i="2"/>
  <c r="AQ374" i="2"/>
  <c r="AV374" i="2" s="1"/>
  <c r="BE374" i="2" s="1"/>
  <c r="AC404" i="2"/>
  <c r="BD485" i="2"/>
  <c r="BD495" i="2"/>
  <c r="AB538" i="2"/>
  <c r="AL538" i="2"/>
  <c r="V538" i="2"/>
  <c r="AG538" i="2"/>
  <c r="AL553" i="2"/>
  <c r="V553" i="2"/>
  <c r="AG553" i="2"/>
  <c r="AB553" i="2"/>
  <c r="AQ623" i="2"/>
  <c r="AV623" i="2" s="1"/>
  <c r="BE623" i="2" s="1"/>
  <c r="AL631" i="2"/>
  <c r="V631" i="2"/>
  <c r="AG631" i="2"/>
  <c r="AB631" i="2"/>
  <c r="BD632" i="2"/>
  <c r="AQ639" i="2"/>
  <c r="AV639" i="2" s="1"/>
  <c r="BE639" i="2" s="1"/>
  <c r="AL647" i="2"/>
  <c r="V647" i="2"/>
  <c r="AG647" i="2"/>
  <c r="AB647" i="2"/>
  <c r="BD648" i="2"/>
  <c r="AQ655" i="2"/>
  <c r="AV655" i="2" s="1"/>
  <c r="BE655" i="2" s="1"/>
  <c r="AL663" i="2"/>
  <c r="V663" i="2"/>
  <c r="AG663" i="2"/>
  <c r="AB663" i="2"/>
  <c r="BD664" i="2"/>
  <c r="AQ671" i="2"/>
  <c r="AV671" i="2" s="1"/>
  <c r="BE671" i="2" s="1"/>
  <c r="AL679" i="2"/>
  <c r="V679" i="2"/>
  <c r="AG679" i="2"/>
  <c r="AB679" i="2"/>
  <c r="BD680" i="2"/>
  <c r="AQ687" i="2"/>
  <c r="AV687" i="2" s="1"/>
  <c r="BE687" i="2" s="1"/>
  <c r="AL695" i="2"/>
  <c r="V695" i="2"/>
  <c r="AG695" i="2"/>
  <c r="AB695" i="2"/>
  <c r="BD696" i="2"/>
  <c r="AQ703" i="2"/>
  <c r="AV703" i="2" s="1"/>
  <c r="BE703" i="2" s="1"/>
  <c r="AL711" i="2"/>
  <c r="V711" i="2"/>
  <c r="AG711" i="2"/>
  <c r="AB711" i="2"/>
  <c r="BD712" i="2"/>
  <c r="AQ730" i="2"/>
  <c r="AV730" i="2" s="1"/>
  <c r="BE730" i="2" s="1"/>
  <c r="AQ746" i="2"/>
  <c r="AV746" i="2" s="1"/>
  <c r="BE746" i="2" s="1"/>
  <c r="AQ762" i="2"/>
  <c r="AV762" i="2" s="1"/>
  <c r="BE762" i="2" s="1"/>
  <c r="AQ778" i="2"/>
  <c r="AV778" i="2" s="1"/>
  <c r="BE778" i="2" s="1"/>
  <c r="AQ794" i="2"/>
  <c r="AV794" i="2" s="1"/>
  <c r="BE794" i="2" s="1"/>
  <c r="AQ810" i="2"/>
  <c r="AV810" i="2" s="1"/>
  <c r="BE810" i="2" s="1"/>
  <c r="AQ826" i="2"/>
  <c r="AV826" i="2" s="1"/>
  <c r="BE826" i="2" s="1"/>
  <c r="AQ842" i="2"/>
  <c r="AV842" i="2" s="1"/>
  <c r="BE842" i="2" s="1"/>
  <c r="AQ858" i="2"/>
  <c r="AV858" i="2" s="1"/>
  <c r="BE858" i="2" s="1"/>
  <c r="AQ874" i="2"/>
  <c r="AV874" i="2" s="1"/>
  <c r="BE874" i="2" s="1"/>
  <c r="AG745" i="2"/>
  <c r="AL745" i="2"/>
  <c r="V745" i="2"/>
  <c r="AB745" i="2"/>
  <c r="AQ761" i="2"/>
  <c r="AV761" i="2" s="1"/>
  <c r="BE761" i="2" s="1"/>
  <c r="AG809" i="2"/>
  <c r="AL809" i="2"/>
  <c r="V809" i="2"/>
  <c r="AB809" i="2"/>
  <c r="AQ825" i="2"/>
  <c r="AV825" i="2" s="1"/>
  <c r="BE825" i="2" s="1"/>
  <c r="AG873" i="2"/>
  <c r="AL873" i="2"/>
  <c r="V873" i="2"/>
  <c r="AB873" i="2"/>
  <c r="W903" i="2"/>
  <c r="AC915" i="2"/>
  <c r="AM915" i="2"/>
  <c r="W915" i="2"/>
  <c r="AH915" i="2"/>
  <c r="AC919" i="2"/>
  <c r="AM919" i="2"/>
  <c r="W919" i="2"/>
  <c r="AH919" i="2"/>
  <c r="AC923" i="2"/>
  <c r="AM923" i="2"/>
  <c r="W923" i="2"/>
  <c r="AH923" i="2"/>
  <c r="AC927" i="2"/>
  <c r="AM927" i="2"/>
  <c r="W927" i="2"/>
  <c r="AH927" i="2"/>
  <c r="AC931" i="2"/>
  <c r="AM931" i="2"/>
  <c r="W931" i="2"/>
  <c r="AH931" i="2"/>
  <c r="BD732" i="2"/>
  <c r="BD796" i="2"/>
  <c r="BD860" i="2"/>
  <c r="AL1048" i="2"/>
  <c r="V1048" i="2"/>
  <c r="AG1048" i="2"/>
  <c r="AB1048" i="2"/>
  <c r="AG1050" i="2"/>
  <c r="AL1050" i="2"/>
  <c r="V1050" i="2"/>
  <c r="AB1050" i="2"/>
  <c r="AG1058" i="2"/>
  <c r="AL1058" i="2"/>
  <c r="V1058" i="2"/>
  <c r="AB1058" i="2"/>
  <c r="AG1066" i="2"/>
  <c r="AL1066" i="2"/>
  <c r="V1066" i="2"/>
  <c r="AB1066" i="2"/>
  <c r="AG1074" i="2"/>
  <c r="AL1074" i="2"/>
  <c r="V1074" i="2"/>
  <c r="AB1074" i="2"/>
  <c r="AG1082" i="2"/>
  <c r="AL1082" i="2"/>
  <c r="V1082" i="2"/>
  <c r="AB1082" i="2"/>
  <c r="AG1090" i="2"/>
  <c r="AL1090" i="2"/>
  <c r="V1090" i="2"/>
  <c r="AB1090" i="2"/>
  <c r="AG1098" i="2"/>
  <c r="AL1098" i="2"/>
  <c r="V1098" i="2"/>
  <c r="AB1098" i="2"/>
  <c r="AG1106" i="2"/>
  <c r="AL1106" i="2"/>
  <c r="V1106" i="2"/>
  <c r="AB1106" i="2"/>
  <c r="AG1114" i="2"/>
  <c r="AL1114" i="2"/>
  <c r="V1114" i="2"/>
  <c r="AB1114" i="2"/>
  <c r="AG1122" i="2"/>
  <c r="AL1122" i="2"/>
  <c r="V1122" i="2"/>
  <c r="AB1122" i="2"/>
  <c r="AG1130" i="2"/>
  <c r="AL1130" i="2"/>
  <c r="V1130" i="2"/>
  <c r="AB1130" i="2"/>
  <c r="AG1138" i="2"/>
  <c r="AL1138" i="2"/>
  <c r="V1138" i="2"/>
  <c r="AB1138" i="2"/>
  <c r="AG748" i="2"/>
  <c r="AB748" i="2"/>
  <c r="AL748" i="2"/>
  <c r="V748" i="2"/>
  <c r="AQ780" i="2"/>
  <c r="AV780" i="2" s="1"/>
  <c r="BE780" i="2" s="1"/>
  <c r="AG812" i="2"/>
  <c r="AB812" i="2"/>
  <c r="AL812" i="2"/>
  <c r="V812" i="2"/>
  <c r="AQ844" i="2"/>
  <c r="AV844" i="2" s="1"/>
  <c r="BE844" i="2" s="1"/>
  <c r="AG876" i="2"/>
  <c r="AB876" i="2"/>
  <c r="AL876" i="2"/>
  <c r="V876" i="2"/>
  <c r="BD896" i="2"/>
  <c r="BD912" i="2"/>
  <c r="BD928" i="2"/>
  <c r="AQ1073" i="2"/>
  <c r="AV1073" i="2" s="1"/>
  <c r="BE1073" i="2" s="1"/>
  <c r="AG1137" i="2"/>
  <c r="AL1137" i="2"/>
  <c r="V1137" i="2"/>
  <c r="AB1137" i="2"/>
  <c r="AL1153" i="2"/>
  <c r="V1153" i="2"/>
  <c r="AG1153" i="2"/>
  <c r="AB1153" i="2"/>
  <c r="AL1155" i="2"/>
  <c r="V1155" i="2"/>
  <c r="AG1155" i="2"/>
  <c r="AB1155" i="2"/>
  <c r="AL1157" i="2"/>
  <c r="V1157" i="2"/>
  <c r="AG1157" i="2"/>
  <c r="AB1157" i="2"/>
  <c r="AL1159" i="2"/>
  <c r="V1159" i="2"/>
  <c r="AG1159" i="2"/>
  <c r="AB1159" i="2"/>
  <c r="AL1161" i="2"/>
  <c r="V1161" i="2"/>
  <c r="AG1161" i="2"/>
  <c r="AB1161" i="2"/>
  <c r="AL1163" i="2"/>
  <c r="V1163" i="2"/>
  <c r="AG1163" i="2"/>
  <c r="AB1163" i="2"/>
  <c r="AL1165" i="2"/>
  <c r="V1165" i="2"/>
  <c r="AG1165" i="2"/>
  <c r="AB1165" i="2"/>
  <c r="AL1167" i="2"/>
  <c r="V1167" i="2"/>
  <c r="AG1167" i="2"/>
  <c r="AB1167" i="2"/>
  <c r="AL1169" i="2"/>
  <c r="V1169" i="2"/>
  <c r="AG1169" i="2"/>
  <c r="AB1169" i="2"/>
  <c r="AL1171" i="2"/>
  <c r="V1171" i="2"/>
  <c r="AG1171" i="2"/>
  <c r="AB1171" i="2"/>
  <c r="AL1173" i="2"/>
  <c r="V1173" i="2"/>
  <c r="AG1173" i="2"/>
  <c r="AB1173" i="2"/>
  <c r="AL1175" i="2"/>
  <c r="V1175" i="2"/>
  <c r="AG1175" i="2"/>
  <c r="AB1175" i="2"/>
  <c r="AQ1185" i="2"/>
  <c r="AV1185" i="2" s="1"/>
  <c r="BE1185" i="2" s="1"/>
  <c r="AB1217" i="2"/>
  <c r="AL1217" i="2"/>
  <c r="V1217" i="2"/>
  <c r="AG1217" i="2"/>
  <c r="AQ1249" i="2"/>
  <c r="AV1249" i="2" s="1"/>
  <c r="BE1249" i="2" s="1"/>
  <c r="AB1281" i="2"/>
  <c r="AL1281" i="2"/>
  <c r="V1281" i="2"/>
  <c r="AG1281" i="2"/>
  <c r="AQ1313" i="2"/>
  <c r="AV1313" i="2" s="1"/>
  <c r="BE1313" i="2" s="1"/>
  <c r="AB1345" i="2"/>
  <c r="AL1345" i="2"/>
  <c r="V1345" i="2"/>
  <c r="AG1345" i="2"/>
  <c r="AQ1204" i="2"/>
  <c r="AV1204" i="2" s="1"/>
  <c r="BE1204" i="2" s="1"/>
  <c r="AL1236" i="2"/>
  <c r="V1236" i="2"/>
  <c r="AG1236" i="2"/>
  <c r="AB1236" i="2"/>
  <c r="AQ1268" i="2"/>
  <c r="AV1268" i="2" s="1"/>
  <c r="BE1268" i="2" s="1"/>
  <c r="AL1300" i="2"/>
  <c r="V1300" i="2"/>
  <c r="AG1300" i="2"/>
  <c r="AB1300" i="2"/>
  <c r="AQ1332" i="2"/>
  <c r="AV1332" i="2" s="1"/>
  <c r="BE1332" i="2" s="1"/>
  <c r="AL1364" i="2"/>
  <c r="V1364" i="2"/>
  <c r="AG1364" i="2"/>
  <c r="AB1364" i="2"/>
  <c r="AG1059" i="2"/>
  <c r="AL1059" i="2"/>
  <c r="V1059" i="2"/>
  <c r="AB1059" i="2"/>
  <c r="AQ1075" i="2"/>
  <c r="AV1075" i="2" s="1"/>
  <c r="BE1075" i="2" s="1"/>
  <c r="AQ1207" i="2"/>
  <c r="AV1207" i="2" s="1"/>
  <c r="BE1207" i="2" s="1"/>
  <c r="AB1239" i="2"/>
  <c r="AL1239" i="2"/>
  <c r="V1239" i="2"/>
  <c r="AG1239" i="2"/>
  <c r="AQ1271" i="2"/>
  <c r="AV1271" i="2" s="1"/>
  <c r="BE1271" i="2" s="1"/>
  <c r="AB1303" i="2"/>
  <c r="AL1303" i="2"/>
  <c r="V1303" i="2"/>
  <c r="AG1303" i="2"/>
  <c r="AQ1335" i="2"/>
  <c r="AV1335" i="2" s="1"/>
  <c r="BE1335" i="2" s="1"/>
  <c r="AB1367" i="2"/>
  <c r="AL1367" i="2"/>
  <c r="V1367" i="2"/>
  <c r="AG1367" i="2"/>
  <c r="AQ1202" i="2"/>
  <c r="AV1202" i="2" s="1"/>
  <c r="BE1202" i="2" s="1"/>
  <c r="AL1234" i="2"/>
  <c r="V1234" i="2"/>
  <c r="AG1234" i="2"/>
  <c r="AB1234" i="2"/>
  <c r="AQ1266" i="2"/>
  <c r="AV1266" i="2" s="1"/>
  <c r="BE1266" i="2" s="1"/>
  <c r="AL1298" i="2"/>
  <c r="V1298" i="2"/>
  <c r="AG1298" i="2"/>
  <c r="AB1298" i="2"/>
  <c r="AQ1330" i="2"/>
  <c r="AV1330" i="2" s="1"/>
  <c r="BE1330" i="2" s="1"/>
  <c r="AL1362" i="2"/>
  <c r="V1362" i="2"/>
  <c r="AG1362" i="2"/>
  <c r="AB1362" i="2"/>
  <c r="AQ1385" i="2"/>
  <c r="AV1385" i="2" s="1"/>
  <c r="BE1385" i="2" s="1"/>
  <c r="AB1443" i="2"/>
  <c r="AL1443" i="2"/>
  <c r="V1443" i="2"/>
  <c r="AG1443" i="2"/>
  <c r="BD1446" i="2"/>
  <c r="AQ1455" i="2"/>
  <c r="AV1455" i="2" s="1"/>
  <c r="BE1455" i="2" s="1"/>
  <c r="AB1459" i="2"/>
  <c r="AL1459" i="2"/>
  <c r="V1459" i="2"/>
  <c r="AG1459" i="2"/>
  <c r="AQ1471" i="2"/>
  <c r="AV1471" i="2" s="1"/>
  <c r="BE1471" i="2" s="1"/>
  <c r="AL1476" i="2"/>
  <c r="V1476" i="2"/>
  <c r="AB1476" i="2"/>
  <c r="AG1476" i="2"/>
  <c r="AQ1549" i="2"/>
  <c r="AV1549" i="2" s="1"/>
  <c r="BE1549" i="2" s="1"/>
  <c r="AB1553" i="2"/>
  <c r="AL1553" i="2"/>
  <c r="V1553" i="2"/>
  <c r="AG1553" i="2"/>
  <c r="BD1556" i="2"/>
  <c r="AQ1565" i="2"/>
  <c r="AV1565" i="2" s="1"/>
  <c r="BE1565" i="2" s="1"/>
  <c r="AB1569" i="2"/>
  <c r="AL1569" i="2"/>
  <c r="V1569" i="2"/>
  <c r="AG1569" i="2"/>
  <c r="AQ1604" i="2"/>
  <c r="AV1604" i="2" s="1"/>
  <c r="BE1604" i="2" s="1"/>
  <c r="AB1611" i="2"/>
  <c r="AL1611" i="2"/>
  <c r="V1611" i="2"/>
  <c r="AG1611" i="2"/>
  <c r="AL1636" i="2"/>
  <c r="V1636" i="2"/>
  <c r="AG1636" i="2"/>
  <c r="AB1636" i="2"/>
  <c r="AQ1643" i="2"/>
  <c r="AV1643" i="2" s="1"/>
  <c r="BE1643" i="2" s="1"/>
  <c r="AQ1387" i="2"/>
  <c r="AV1387" i="2" s="1"/>
  <c r="BE1387" i="2" s="1"/>
  <c r="BD1444" i="2"/>
  <c r="BD1504" i="2"/>
  <c r="AQ1506" i="2"/>
  <c r="AV1506" i="2" s="1"/>
  <c r="BE1506" i="2" s="1"/>
  <c r="AQ1541" i="2"/>
  <c r="AV1541" i="2" s="1"/>
  <c r="BE1541" i="2" s="1"/>
  <c r="AQ1445" i="2"/>
  <c r="AV1445" i="2" s="1"/>
  <c r="BE1445" i="2" s="1"/>
  <c r="AB1449" i="2"/>
  <c r="AL1449" i="2"/>
  <c r="V1449" i="2"/>
  <c r="AG1449" i="2"/>
  <c r="AQ1461" i="2"/>
  <c r="AV1461" i="2" s="1"/>
  <c r="BE1461" i="2" s="1"/>
  <c r="AB1465" i="2"/>
  <c r="AL1465" i="2"/>
  <c r="V1465" i="2"/>
  <c r="AG1465" i="2"/>
  <c r="AL1502" i="2"/>
  <c r="V1502" i="2"/>
  <c r="AB1502" i="2"/>
  <c r="AG1502" i="2"/>
  <c r="AB1581" i="2"/>
  <c r="AL1581" i="2"/>
  <c r="V1581" i="2"/>
  <c r="AG1581" i="2"/>
  <c r="AL1598" i="2"/>
  <c r="V1598" i="2"/>
  <c r="AG1598" i="2"/>
  <c r="AB1598" i="2"/>
  <c r="AQ1605" i="2"/>
  <c r="AV1605" i="2" s="1"/>
  <c r="BE1605" i="2" s="1"/>
  <c r="AQ1630" i="2"/>
  <c r="AV1630" i="2" s="1"/>
  <c r="BE1630" i="2" s="1"/>
  <c r="AB1637" i="2"/>
  <c r="AL1637" i="2"/>
  <c r="V1637" i="2"/>
  <c r="AG1637" i="2"/>
  <c r="AL1662" i="2"/>
  <c r="V1662" i="2"/>
  <c r="AG1662" i="2"/>
  <c r="AB1662" i="2"/>
  <c r="W1803" i="2"/>
  <c r="W1843" i="2"/>
  <c r="AQ1852" i="2"/>
  <c r="AV1852" i="2" s="1"/>
  <c r="BE1852" i="2" s="1"/>
  <c r="AB1860" i="2"/>
  <c r="AL1860" i="2"/>
  <c r="V1860" i="2"/>
  <c r="AG1860" i="2"/>
  <c r="AB1868" i="2"/>
  <c r="AL1868" i="2"/>
  <c r="V1868" i="2"/>
  <c r="AG1868" i="2"/>
  <c r="AB1876" i="2"/>
  <c r="AL1876" i="2"/>
  <c r="V1876" i="2"/>
  <c r="AG1876" i="2"/>
  <c r="AB1884" i="2"/>
  <c r="AL1884" i="2"/>
  <c r="V1884" i="2"/>
  <c r="AG1884" i="2"/>
  <c r="AB1892" i="2"/>
  <c r="AL1892" i="2"/>
  <c r="V1892" i="2"/>
  <c r="AG1892" i="2"/>
  <c r="AB1900" i="2"/>
  <c r="AL1900" i="2"/>
  <c r="V1900" i="2"/>
  <c r="AG1900" i="2"/>
  <c r="AB1908" i="2"/>
  <c r="AL1908" i="2"/>
  <c r="V1908" i="2"/>
  <c r="AG1908" i="2"/>
  <c r="AB1916" i="2"/>
  <c r="AL1916" i="2"/>
  <c r="V1916" i="2"/>
  <c r="AG1916" i="2"/>
  <c r="AB1924" i="2"/>
  <c r="AL1924" i="2"/>
  <c r="V1924" i="2"/>
  <c r="AG1924" i="2"/>
  <c r="AB1932" i="2"/>
  <c r="AL1932" i="2"/>
  <c r="V1932" i="2"/>
  <c r="AG1932" i="2"/>
  <c r="AB1940" i="2"/>
  <c r="AL1940" i="2"/>
  <c r="V1940" i="2"/>
  <c r="AG1940" i="2"/>
  <c r="AB1948" i="2"/>
  <c r="AL1948" i="2"/>
  <c r="V1948" i="2"/>
  <c r="AG1948" i="2"/>
  <c r="AB1682" i="2"/>
  <c r="AL1682" i="2"/>
  <c r="V1682" i="2"/>
  <c r="AG1682" i="2"/>
  <c r="AQ1730" i="2"/>
  <c r="AV1730" i="2" s="1"/>
  <c r="BE1730" i="2" s="1"/>
  <c r="AB1746" i="2"/>
  <c r="AL1746" i="2"/>
  <c r="V1746" i="2"/>
  <c r="AG1746" i="2"/>
  <c r="AL1681" i="2"/>
  <c r="V1681" i="2"/>
  <c r="AB1681" i="2"/>
  <c r="AG1681" i="2"/>
  <c r="AL1697" i="2"/>
  <c r="V1697" i="2"/>
  <c r="AB1697" i="2"/>
  <c r="AG1697" i="2"/>
  <c r="AL1713" i="2"/>
  <c r="V1713" i="2"/>
  <c r="AB1713" i="2"/>
  <c r="AG1713" i="2"/>
  <c r="AL1729" i="2"/>
  <c r="V1729" i="2"/>
  <c r="AB1729" i="2"/>
  <c r="AG1729" i="2"/>
  <c r="AL1745" i="2"/>
  <c r="V1745" i="2"/>
  <c r="AB1745" i="2"/>
  <c r="AG1745" i="2"/>
  <c r="AL1812" i="2"/>
  <c r="AG1812" i="2"/>
  <c r="AB1812" i="2"/>
  <c r="V1812" i="2"/>
  <c r="AQ1828" i="2"/>
  <c r="AV1828" i="2" s="1"/>
  <c r="BE1828" i="2" s="1"/>
  <c r="BD1669" i="2"/>
  <c r="BD1685" i="2"/>
  <c r="BD1701" i="2"/>
  <c r="BD1717" i="2"/>
  <c r="BD1733" i="2"/>
  <c r="BD1749" i="2"/>
  <c r="AL1865" i="2"/>
  <c r="V1865" i="2"/>
  <c r="AG1865" i="2"/>
  <c r="AB1865" i="2"/>
  <c r="AQ1873" i="2"/>
  <c r="AV1873" i="2" s="1"/>
  <c r="BE1873" i="2" s="1"/>
  <c r="AL1881" i="2"/>
  <c r="V1881" i="2"/>
  <c r="AG1881" i="2"/>
  <c r="AB1881" i="2"/>
  <c r="AQ1889" i="2"/>
  <c r="AV1889" i="2" s="1"/>
  <c r="BE1889" i="2" s="1"/>
  <c r="AL1897" i="2"/>
  <c r="V1897" i="2"/>
  <c r="AG1897" i="2"/>
  <c r="AB1897" i="2"/>
  <c r="AQ1905" i="2"/>
  <c r="AV1905" i="2" s="1"/>
  <c r="BE1905" i="2" s="1"/>
  <c r="AL1913" i="2"/>
  <c r="V1913" i="2"/>
  <c r="AG1913" i="2"/>
  <c r="AB1913" i="2"/>
  <c r="AQ1921" i="2"/>
  <c r="AV1921" i="2" s="1"/>
  <c r="BE1921" i="2" s="1"/>
  <c r="AL1929" i="2"/>
  <c r="V1929" i="2"/>
  <c r="AG1929" i="2"/>
  <c r="AB1929" i="2"/>
  <c r="AQ1937" i="2"/>
  <c r="AV1937" i="2" s="1"/>
  <c r="BE1937" i="2" s="1"/>
  <c r="AL1945" i="2"/>
  <c r="V1945" i="2"/>
  <c r="AG1945" i="2"/>
  <c r="AB1945" i="2"/>
  <c r="AQ1953" i="2"/>
  <c r="AV1953" i="2" s="1"/>
  <c r="BE1953" i="2" s="1"/>
  <c r="AL1961" i="2"/>
  <c r="V1961" i="2"/>
  <c r="AG1961" i="2"/>
  <c r="AB1961" i="2"/>
  <c r="AQ1969" i="2"/>
  <c r="AV1969" i="2" s="1"/>
  <c r="BE1969" i="2" s="1"/>
  <c r="AL1977" i="2"/>
  <c r="V1977" i="2"/>
  <c r="AG1977" i="2"/>
  <c r="AB1977" i="2"/>
  <c r="AQ1985" i="2"/>
  <c r="AV1985" i="2" s="1"/>
  <c r="BE1985" i="2" s="1"/>
  <c r="AL1993" i="2"/>
  <c r="V1993" i="2"/>
  <c r="AG1993" i="2"/>
  <c r="AB1993" i="2"/>
  <c r="AQ2001" i="2"/>
  <c r="AV2001" i="2" s="1"/>
  <c r="BE2001" i="2" s="1"/>
  <c r="AL2009" i="2"/>
  <c r="V2009" i="2"/>
  <c r="AG2009" i="2"/>
  <c r="AB2009" i="2"/>
  <c r="AQ2017" i="2"/>
  <c r="AV2017" i="2" s="1"/>
  <c r="BE2017" i="2" s="1"/>
  <c r="AR2020" i="2"/>
  <c r="AW2020" i="2" s="1"/>
  <c r="BF2020" i="2" s="1"/>
  <c r="AQ1955" i="2"/>
  <c r="AV1955" i="2" s="1"/>
  <c r="BE1955" i="2" s="1"/>
  <c r="AL1963" i="2"/>
  <c r="V1963" i="2"/>
  <c r="AG1963" i="2"/>
  <c r="AB1963" i="2"/>
  <c r="AQ1971" i="2"/>
  <c r="AV1971" i="2" s="1"/>
  <c r="BE1971" i="2" s="1"/>
  <c r="AL1979" i="2"/>
  <c r="V1979" i="2"/>
  <c r="AG1979" i="2"/>
  <c r="AB1979" i="2"/>
  <c r="AQ1987" i="2"/>
  <c r="AV1987" i="2" s="1"/>
  <c r="BE1987" i="2" s="1"/>
  <c r="AL1995" i="2"/>
  <c r="V1995" i="2"/>
  <c r="AG1995" i="2"/>
  <c r="AB1995" i="2"/>
  <c r="AQ2003" i="2"/>
  <c r="AV2003" i="2" s="1"/>
  <c r="BE2003" i="2" s="1"/>
  <c r="AL2011" i="2"/>
  <c r="V2011" i="2"/>
  <c r="AG2011" i="2"/>
  <c r="AB2011" i="2"/>
  <c r="AQ2050" i="2"/>
  <c r="AV2050" i="2" s="1"/>
  <c r="BE2050" i="2" s="1"/>
  <c r="AQ2054" i="2"/>
  <c r="AV2054" i="2" s="1"/>
  <c r="BE2054" i="2" s="1"/>
  <c r="AQ2058" i="2"/>
  <c r="AV2058" i="2" s="1"/>
  <c r="BE2058" i="2" s="1"/>
  <c r="AQ2062" i="2"/>
  <c r="AV2062" i="2" s="1"/>
  <c r="BE2062" i="2" s="1"/>
  <c r="AQ2066" i="2"/>
  <c r="AV2066" i="2" s="1"/>
  <c r="BE2066" i="2" s="1"/>
  <c r="AQ2070" i="2"/>
  <c r="AV2070" i="2" s="1"/>
  <c r="BE2070" i="2" s="1"/>
  <c r="AQ2074" i="2"/>
  <c r="AV2074" i="2" s="1"/>
  <c r="BE2074" i="2" s="1"/>
  <c r="AQ2078" i="2"/>
  <c r="AV2078" i="2" s="1"/>
  <c r="BE2078" i="2" s="1"/>
  <c r="AQ2082" i="2"/>
  <c r="AV2082" i="2" s="1"/>
  <c r="BE2082" i="2" s="1"/>
  <c r="AQ2086" i="2"/>
  <c r="AV2086" i="2" s="1"/>
  <c r="BE2086" i="2" s="1"/>
  <c r="AQ2090" i="2"/>
  <c r="AV2090" i="2" s="1"/>
  <c r="BE2090" i="2" s="1"/>
  <c r="AQ2094" i="2"/>
  <c r="AV2094" i="2" s="1"/>
  <c r="BE2094" i="2" s="1"/>
  <c r="AQ2098" i="2"/>
  <c r="AV2098" i="2" s="1"/>
  <c r="BE2098" i="2" s="1"/>
  <c r="AQ2102" i="2"/>
  <c r="AV2102" i="2" s="1"/>
  <c r="BE2102" i="2" s="1"/>
  <c r="AQ2106" i="2"/>
  <c r="AV2106" i="2" s="1"/>
  <c r="BE2106" i="2" s="1"/>
  <c r="AB2052" i="2"/>
  <c r="AL2052" i="2"/>
  <c r="V2052" i="2"/>
  <c r="AG2052" i="2"/>
  <c r="AL2075" i="2"/>
  <c r="V2075" i="2"/>
  <c r="AG2075" i="2"/>
  <c r="AB2075" i="2"/>
  <c r="AQ2084" i="2"/>
  <c r="AV2084" i="2" s="1"/>
  <c r="BE2084" i="2" s="1"/>
  <c r="AQ2107" i="2"/>
  <c r="AV2107" i="2" s="1"/>
  <c r="BE2107" i="2" s="1"/>
  <c r="AG2149" i="2"/>
  <c r="AL2149" i="2"/>
  <c r="V2149" i="2"/>
  <c r="AB2149" i="2"/>
  <c r="AG2179" i="2"/>
  <c r="AB2179" i="2"/>
  <c r="AL2179" i="2"/>
  <c r="V2179" i="2"/>
  <c r="AL2178" i="2"/>
  <c r="V2178" i="2"/>
  <c r="AG2178" i="2"/>
  <c r="AB2178" i="2"/>
  <c r="AG2144" i="2"/>
  <c r="AB2144" i="2"/>
  <c r="AL2144" i="2"/>
  <c r="V2144" i="2"/>
  <c r="BD2148" i="2"/>
  <c r="AQ2169" i="2"/>
  <c r="AV2169" i="2" s="1"/>
  <c r="BE2169" i="2" s="1"/>
  <c r="AG2147" i="2"/>
  <c r="AB2147" i="2"/>
  <c r="AL2147" i="2"/>
  <c r="V2147" i="2"/>
  <c r="AQ2164" i="2"/>
  <c r="AV2164" i="2" s="1"/>
  <c r="BE2164" i="2" s="1"/>
  <c r="AL2196" i="2"/>
  <c r="V2196" i="2"/>
  <c r="AG2196" i="2"/>
  <c r="AB2196" i="2"/>
  <c r="AQ2202" i="2"/>
  <c r="AV2202" i="2" s="1"/>
  <c r="BE2202" i="2" s="1"/>
  <c r="AQ2206" i="2"/>
  <c r="AV2206" i="2" s="1"/>
  <c r="BE2206" i="2" s="1"/>
  <c r="AQ2210" i="2"/>
  <c r="AV2210" i="2" s="1"/>
  <c r="BE2210" i="2" s="1"/>
  <c r="AQ2214" i="2"/>
  <c r="AV2214" i="2" s="1"/>
  <c r="BE2214" i="2" s="1"/>
  <c r="AQ2218" i="2"/>
  <c r="AV2218" i="2" s="1"/>
  <c r="BE2218" i="2" s="1"/>
  <c r="AQ2222" i="2"/>
  <c r="AV2222" i="2" s="1"/>
  <c r="BE2222" i="2" s="1"/>
  <c r="AQ2226" i="2"/>
  <c r="AV2226" i="2" s="1"/>
  <c r="BE2226" i="2" s="1"/>
  <c r="AQ2230" i="2"/>
  <c r="AV2230" i="2" s="1"/>
  <c r="BE2230" i="2" s="1"/>
  <c r="AQ2234" i="2"/>
  <c r="AV2234" i="2" s="1"/>
  <c r="BE2234" i="2" s="1"/>
  <c r="AQ2238" i="2"/>
  <c r="AV2238" i="2" s="1"/>
  <c r="BE2238" i="2" s="1"/>
  <c r="AQ2242" i="2"/>
  <c r="AV2242" i="2" s="1"/>
  <c r="BE2242" i="2" s="1"/>
  <c r="AQ2246" i="2"/>
  <c r="AV2246" i="2" s="1"/>
  <c r="BE2246" i="2" s="1"/>
  <c r="AQ2250" i="2"/>
  <c r="AV2250" i="2" s="1"/>
  <c r="BE2250" i="2" s="1"/>
  <c r="AQ2254" i="2"/>
  <c r="AV2254" i="2" s="1"/>
  <c r="BE2254" i="2" s="1"/>
  <c r="AQ2258" i="2"/>
  <c r="AV2258" i="2" s="1"/>
  <c r="BE2258" i="2" s="1"/>
  <c r="AQ2262" i="2"/>
  <c r="AV2262" i="2" s="1"/>
  <c r="BE2262" i="2" s="1"/>
  <c r="AQ2266" i="2"/>
  <c r="AV2266" i="2" s="1"/>
  <c r="BE2266" i="2" s="1"/>
  <c r="AQ2270" i="2"/>
  <c r="AV2270" i="2" s="1"/>
  <c r="BE2270" i="2" s="1"/>
  <c r="AQ2274" i="2"/>
  <c r="AV2274" i="2" s="1"/>
  <c r="BE2274" i="2" s="1"/>
  <c r="AQ2278" i="2"/>
  <c r="AV2278" i="2" s="1"/>
  <c r="BE2278" i="2" s="1"/>
  <c r="AQ2282" i="2"/>
  <c r="AV2282" i="2" s="1"/>
  <c r="BE2282" i="2" s="1"/>
  <c r="AQ2286" i="2"/>
  <c r="AV2286" i="2" s="1"/>
  <c r="BE2286" i="2" s="1"/>
  <c r="AQ2290" i="2"/>
  <c r="AV2290" i="2" s="1"/>
  <c r="BE2290" i="2" s="1"/>
  <c r="AQ2294" i="2"/>
  <c r="AV2294" i="2" s="1"/>
  <c r="BE2294" i="2" s="1"/>
  <c r="AQ2298" i="2"/>
  <c r="AV2298" i="2" s="1"/>
  <c r="BE2298" i="2" s="1"/>
  <c r="AQ2302" i="2"/>
  <c r="AV2302" i="2" s="1"/>
  <c r="BE2302" i="2" s="1"/>
  <c r="AQ2306" i="2"/>
  <c r="AV2306" i="2" s="1"/>
  <c r="BE2306" i="2" s="1"/>
  <c r="AQ2310" i="2"/>
  <c r="AV2310" i="2" s="1"/>
  <c r="BE2310" i="2" s="1"/>
  <c r="AQ2314" i="2"/>
  <c r="AV2314" i="2" s="1"/>
  <c r="BE2314" i="2" s="1"/>
  <c r="AQ2322" i="2"/>
  <c r="AV2322" i="2" s="1"/>
  <c r="BE2322" i="2" s="1"/>
  <c r="AQ2330" i="2"/>
  <c r="AV2330" i="2" s="1"/>
  <c r="BE2330" i="2" s="1"/>
  <c r="AQ2338" i="2"/>
  <c r="AV2338" i="2" s="1"/>
  <c r="BE2338" i="2" s="1"/>
  <c r="AQ2346" i="2"/>
  <c r="AV2346" i="2" s="1"/>
  <c r="BE2346" i="2" s="1"/>
  <c r="AQ2354" i="2"/>
  <c r="AV2354" i="2" s="1"/>
  <c r="BE2354" i="2" s="1"/>
  <c r="AQ2362" i="2"/>
  <c r="AV2362" i="2" s="1"/>
  <c r="BE2362" i="2" s="1"/>
  <c r="AQ2370" i="2"/>
  <c r="AV2370" i="2" s="1"/>
  <c r="BE2370" i="2" s="1"/>
  <c r="AQ2378" i="2"/>
  <c r="AV2378" i="2" s="1"/>
  <c r="BE2378" i="2" s="1"/>
  <c r="AQ2386" i="2"/>
  <c r="AV2386" i="2" s="1"/>
  <c r="BE2386" i="2" s="1"/>
  <c r="AG2395" i="2"/>
  <c r="AB2395" i="2"/>
  <c r="AL2395" i="2"/>
  <c r="V2395" i="2"/>
  <c r="AG2403" i="2"/>
  <c r="AB2403" i="2"/>
  <c r="AL2403" i="2"/>
  <c r="V2403" i="2"/>
  <c r="AQ2315" i="2"/>
  <c r="AV2315" i="2" s="1"/>
  <c r="BE2315" i="2" s="1"/>
  <c r="AQ2323" i="2"/>
  <c r="AV2323" i="2" s="1"/>
  <c r="BE2323" i="2" s="1"/>
  <c r="AQ2331" i="2"/>
  <c r="AV2331" i="2" s="1"/>
  <c r="BE2331" i="2" s="1"/>
  <c r="AQ2339" i="2"/>
  <c r="AV2339" i="2" s="1"/>
  <c r="BE2339" i="2" s="1"/>
  <c r="AQ2347" i="2"/>
  <c r="AV2347" i="2" s="1"/>
  <c r="BE2347" i="2" s="1"/>
  <c r="AQ2355" i="2"/>
  <c r="AV2355" i="2" s="1"/>
  <c r="BE2355" i="2" s="1"/>
  <c r="AQ2363" i="2"/>
  <c r="AV2363" i="2" s="1"/>
  <c r="BE2363" i="2" s="1"/>
  <c r="AQ2371" i="2"/>
  <c r="AV2371" i="2" s="1"/>
  <c r="BE2371" i="2" s="1"/>
  <c r="AQ2379" i="2"/>
  <c r="AV2379" i="2" s="1"/>
  <c r="BE2379" i="2" s="1"/>
  <c r="AQ2387" i="2"/>
  <c r="AV2387" i="2" s="1"/>
  <c r="BE2387" i="2" s="1"/>
  <c r="AQ2413" i="2"/>
  <c r="AV2413" i="2" s="1"/>
  <c r="BE2413" i="2" s="1"/>
  <c r="AG2445" i="2"/>
  <c r="AB2445" i="2"/>
  <c r="AL2445" i="2"/>
  <c r="V2445" i="2"/>
  <c r="AL2412" i="2"/>
  <c r="V2412" i="2"/>
  <c r="AG2412" i="2"/>
  <c r="AB2412" i="2"/>
  <c r="AQ2444" i="2"/>
  <c r="AV2444" i="2" s="1"/>
  <c r="BE2444" i="2" s="1"/>
  <c r="AG2398" i="2"/>
  <c r="AL2398" i="2"/>
  <c r="V2398" i="2"/>
  <c r="AB2398" i="2"/>
  <c r="AG2435" i="2"/>
  <c r="AB2435" i="2"/>
  <c r="AL2435" i="2"/>
  <c r="V2435" i="2"/>
  <c r="AQ2467" i="2"/>
  <c r="AV2467" i="2" s="1"/>
  <c r="BE2467" i="2" s="1"/>
  <c r="AQ2438" i="2"/>
  <c r="AV2438" i="2" s="1"/>
  <c r="BE2438" i="2" s="1"/>
  <c r="AL2470" i="2"/>
  <c r="V2470" i="2"/>
  <c r="AG2470" i="2"/>
  <c r="AB2470" i="2"/>
  <c r="BD2492" i="2"/>
  <c r="AQ2485" i="2"/>
  <c r="AV2485" i="2" s="1"/>
  <c r="BE2485" i="2" s="1"/>
  <c r="AQ2493" i="2"/>
  <c r="AV2493" i="2" s="1"/>
  <c r="BE2493" i="2" s="1"/>
  <c r="AQ2480" i="2"/>
  <c r="AV2480" i="2" s="1"/>
  <c r="BE2480" i="2" s="1"/>
  <c r="AB2496" i="2"/>
  <c r="AL2496" i="2"/>
  <c r="V2496" i="2"/>
  <c r="AG2496" i="2"/>
  <c r="AQ2396" i="2"/>
  <c r="AV2396" i="2" s="1"/>
  <c r="BE2396" i="2" s="1"/>
  <c r="AG2421" i="2"/>
  <c r="AB2421" i="2"/>
  <c r="AL2421" i="2"/>
  <c r="V2421" i="2"/>
  <c r="AL2436" i="2"/>
  <c r="V2436" i="2"/>
  <c r="AG2436" i="2"/>
  <c r="AB2436" i="2"/>
  <c r="AQ2446" i="2"/>
  <c r="AV2446" i="2" s="1"/>
  <c r="BE2446" i="2" s="1"/>
  <c r="AL2475" i="2"/>
  <c r="V2475" i="2"/>
  <c r="AB2475" i="2"/>
  <c r="AG2475" i="2"/>
  <c r="AL2477" i="2"/>
  <c r="V2477" i="2"/>
  <c r="AB2477" i="2"/>
  <c r="AG2477" i="2"/>
  <c r="AQ2328" i="2"/>
  <c r="AV2328" i="2" s="1"/>
  <c r="BE2328" i="2" s="1"/>
  <c r="AQ2352" i="2"/>
  <c r="AV2352" i="2" s="1"/>
  <c r="BE2352" i="2" s="1"/>
  <c r="AQ2360" i="2"/>
  <c r="AV2360" i="2" s="1"/>
  <c r="BE2360" i="2" s="1"/>
  <c r="AQ2261" i="2"/>
  <c r="AV2261" i="2" s="1"/>
  <c r="BE2261" i="2" s="1"/>
  <c r="AQ2269" i="2"/>
  <c r="AV2269" i="2" s="1"/>
  <c r="BE2269" i="2" s="1"/>
  <c r="AQ2277" i="2"/>
  <c r="AV2277" i="2" s="1"/>
  <c r="BE2277" i="2" s="1"/>
  <c r="AQ2285" i="2"/>
  <c r="AV2285" i="2" s="1"/>
  <c r="BE2285" i="2" s="1"/>
  <c r="AQ2293" i="2"/>
  <c r="AV2293" i="2" s="1"/>
  <c r="BE2293" i="2" s="1"/>
  <c r="AB2329" i="2"/>
  <c r="AL2329" i="2"/>
  <c r="V2329" i="2"/>
  <c r="AG2329" i="2"/>
  <c r="AB2337" i="2"/>
  <c r="AL2337" i="2"/>
  <c r="V2337" i="2"/>
  <c r="AG2337" i="2"/>
  <c r="AB2353" i="2"/>
  <c r="AL2353" i="2"/>
  <c r="V2353" i="2"/>
  <c r="AG2353" i="2"/>
  <c r="AB2369" i="2"/>
  <c r="AL2369" i="2"/>
  <c r="V2369" i="2"/>
  <c r="AG2369" i="2"/>
  <c r="AB2377" i="2"/>
  <c r="AL2377" i="2"/>
  <c r="V2377" i="2"/>
  <c r="AG2377" i="2"/>
  <c r="AG2433" i="2"/>
  <c r="AB2433" i="2"/>
  <c r="AL2433" i="2"/>
  <c r="V2433" i="2"/>
  <c r="AG2449" i="2"/>
  <c r="AB2449" i="2"/>
  <c r="AL2449" i="2"/>
  <c r="V2449" i="2"/>
  <c r="AG2465" i="2"/>
  <c r="AB2465" i="2"/>
  <c r="AL2465" i="2"/>
  <c r="V2465" i="2"/>
  <c r="AG2455" i="2"/>
  <c r="AB2455" i="2"/>
  <c r="AL2455" i="2"/>
  <c r="V2455" i="2"/>
  <c r="AQ2442" i="2"/>
  <c r="AV2442" i="2" s="1"/>
  <c r="BE2442" i="2" s="1"/>
  <c r="AQ2474" i="2"/>
  <c r="AV2474" i="2" s="1"/>
  <c r="BE2474" i="2" s="1"/>
  <c r="AL2491" i="2"/>
  <c r="V2491" i="2"/>
  <c r="AB2491" i="2"/>
  <c r="AG2491" i="2"/>
  <c r="AL2499" i="2"/>
  <c r="V2499" i="2"/>
  <c r="AB2499" i="2"/>
  <c r="AG2499" i="2"/>
  <c r="AQ2490" i="2"/>
  <c r="AV2490" i="2" s="1"/>
  <c r="BE2490" i="2" s="1"/>
  <c r="AB2500" i="2"/>
  <c r="AL2500" i="2"/>
  <c r="V2500" i="2"/>
  <c r="AG2500" i="2"/>
  <c r="AQ44" i="2"/>
  <c r="AV44" i="2" s="1"/>
  <c r="BE44" i="2" s="1"/>
  <c r="AR120" i="2"/>
  <c r="AW120" i="2" s="1"/>
  <c r="BF120" i="2" s="1"/>
  <c r="AQ8" i="2"/>
  <c r="AV8" i="2" s="1"/>
  <c r="BE8" i="2" s="1"/>
  <c r="AQ127" i="2"/>
  <c r="AV127" i="2" s="1"/>
  <c r="BE127" i="2" s="1"/>
  <c r="AL138" i="2"/>
  <c r="V138" i="2"/>
  <c r="AG138" i="2"/>
  <c r="AB138" i="2"/>
  <c r="AQ173" i="2"/>
  <c r="AV173" i="2" s="1"/>
  <c r="BE173" i="2" s="1"/>
  <c r="AQ231" i="2"/>
  <c r="AV231" i="2" s="1"/>
  <c r="BE231" i="2" s="1"/>
  <c r="AQ263" i="2"/>
  <c r="AV263" i="2" s="1"/>
  <c r="BE263" i="2" s="1"/>
  <c r="AH264" i="2"/>
  <c r="AC264" i="2"/>
  <c r="AM264" i="2"/>
  <c r="W264" i="2"/>
  <c r="AQ311" i="2"/>
  <c r="AV311" i="2" s="1"/>
  <c r="BE311" i="2" s="1"/>
  <c r="AQ431" i="2"/>
  <c r="AV431" i="2" s="1"/>
  <c r="BE431" i="2" s="1"/>
  <c r="BD33" i="2"/>
  <c r="AQ47" i="2"/>
  <c r="AV47" i="2" s="1"/>
  <c r="BE47" i="2" s="1"/>
  <c r="AQ57" i="2"/>
  <c r="AV57" i="2" s="1"/>
  <c r="BE57" i="2" s="1"/>
  <c r="AQ113" i="2"/>
  <c r="AV113" i="2" s="1"/>
  <c r="BE113" i="2" s="1"/>
  <c r="AB161" i="2"/>
  <c r="AL161" i="2"/>
  <c r="AG161" i="2"/>
  <c r="V161" i="2"/>
  <c r="AQ177" i="2"/>
  <c r="AV177" i="2" s="1"/>
  <c r="BE177" i="2" s="1"/>
  <c r="AQ206" i="2"/>
  <c r="AV206" i="2" s="1"/>
  <c r="BE206" i="2" s="1"/>
  <c r="AQ209" i="2"/>
  <c r="AV209" i="2" s="1"/>
  <c r="BE209" i="2" s="1"/>
  <c r="AQ267" i="2"/>
  <c r="AV267" i="2" s="1"/>
  <c r="BE267" i="2" s="1"/>
  <c r="AQ273" i="2"/>
  <c r="AV273" i="2" s="1"/>
  <c r="BE273" i="2" s="1"/>
  <c r="AQ417" i="2"/>
  <c r="AV417" i="2" s="1"/>
  <c r="BE417" i="2" s="1"/>
  <c r="AQ10" i="2"/>
  <c r="AV10" i="2" s="1"/>
  <c r="BE10" i="2" s="1"/>
  <c r="AQ42" i="2"/>
  <c r="AV42" i="2" s="1"/>
  <c r="BE42" i="2" s="1"/>
  <c r="AQ74" i="2"/>
  <c r="AV74" i="2" s="1"/>
  <c r="BE74" i="2" s="1"/>
  <c r="AQ103" i="2"/>
  <c r="AV103" i="2" s="1"/>
  <c r="BE103" i="2" s="1"/>
  <c r="AQ135" i="2"/>
  <c r="AV135" i="2" s="1"/>
  <c r="BE135" i="2" s="1"/>
  <c r="AQ167" i="2"/>
  <c r="AV167" i="2" s="1"/>
  <c r="BE167" i="2" s="1"/>
  <c r="AQ199" i="2"/>
  <c r="AV199" i="2" s="1"/>
  <c r="BE199" i="2" s="1"/>
  <c r="AQ328" i="2"/>
  <c r="AV328" i="2" s="1"/>
  <c r="BE328" i="2" s="1"/>
  <c r="AQ360" i="2"/>
  <c r="AV360" i="2" s="1"/>
  <c r="BE360" i="2" s="1"/>
  <c r="AQ392" i="2"/>
  <c r="AV392" i="2" s="1"/>
  <c r="BE392" i="2" s="1"/>
  <c r="AQ458" i="2"/>
  <c r="AV458" i="2" s="1"/>
  <c r="BE458" i="2" s="1"/>
  <c r="AQ488" i="2"/>
  <c r="AV488" i="2" s="1"/>
  <c r="BE488" i="2" s="1"/>
  <c r="AB9" i="2"/>
  <c r="AG9" i="2"/>
  <c r="AL9" i="2"/>
  <c r="V9" i="2"/>
  <c r="AQ36" i="2"/>
  <c r="AV36" i="2" s="1"/>
  <c r="BE36" i="2" s="1"/>
  <c r="AB51" i="2"/>
  <c r="AL51" i="2"/>
  <c r="AG51" i="2"/>
  <c r="V51" i="2"/>
  <c r="AQ68" i="2"/>
  <c r="AV68" i="2" s="1"/>
  <c r="BE68" i="2" s="1"/>
  <c r="AB83" i="2"/>
  <c r="AL83" i="2"/>
  <c r="AG83" i="2"/>
  <c r="V83" i="2"/>
  <c r="AQ100" i="2"/>
  <c r="AV100" i="2" s="1"/>
  <c r="BE100" i="2" s="1"/>
  <c r="AR116" i="2"/>
  <c r="AW116" i="2" s="1"/>
  <c r="BF116" i="2" s="1"/>
  <c r="AR132" i="2"/>
  <c r="AW132" i="2" s="1"/>
  <c r="BF132" i="2" s="1"/>
  <c r="AR148" i="2"/>
  <c r="AW148" i="2" s="1"/>
  <c r="BF148" i="2" s="1"/>
  <c r="AR164" i="2"/>
  <c r="AW164" i="2" s="1"/>
  <c r="BF164" i="2" s="1"/>
  <c r="AR180" i="2"/>
  <c r="AW180" i="2" s="1"/>
  <c r="BF180" i="2" s="1"/>
  <c r="AR196" i="2"/>
  <c r="AW196" i="2" s="1"/>
  <c r="BF196" i="2" s="1"/>
  <c r="AQ439" i="2"/>
  <c r="AV439" i="2" s="1"/>
  <c r="BE439" i="2" s="1"/>
  <c r="BD326" i="2"/>
  <c r="BD358" i="2"/>
  <c r="BD390" i="2"/>
  <c r="AB331" i="2"/>
  <c r="AL331" i="2"/>
  <c r="AG331" i="2"/>
  <c r="V331" i="2"/>
  <c r="BD344" i="2"/>
  <c r="AQ347" i="2"/>
  <c r="AV347" i="2" s="1"/>
  <c r="BE347" i="2" s="1"/>
  <c r="AB363" i="2"/>
  <c r="AL363" i="2"/>
  <c r="AG363" i="2"/>
  <c r="V363" i="2"/>
  <c r="BD376" i="2"/>
  <c r="AQ379" i="2"/>
  <c r="AV379" i="2" s="1"/>
  <c r="BE379" i="2" s="1"/>
  <c r="AB395" i="2"/>
  <c r="AL395" i="2"/>
  <c r="AG395" i="2"/>
  <c r="V395" i="2"/>
  <c r="BD408" i="2"/>
  <c r="BD472" i="2"/>
  <c r="AB510" i="2"/>
  <c r="AL510" i="2"/>
  <c r="V510" i="2"/>
  <c r="AG510" i="2"/>
  <c r="AQ525" i="2"/>
  <c r="AV525" i="2" s="1"/>
  <c r="BE525" i="2" s="1"/>
  <c r="AQ542" i="2"/>
  <c r="AV542" i="2" s="1"/>
  <c r="BE542" i="2" s="1"/>
  <c r="AG731" i="2"/>
  <c r="AL731" i="2"/>
  <c r="V731" i="2"/>
  <c r="AB731" i="2"/>
  <c r="AG747" i="2"/>
  <c r="AL747" i="2"/>
  <c r="V747" i="2"/>
  <c r="AB747" i="2"/>
  <c r="AG763" i="2"/>
  <c r="AL763" i="2"/>
  <c r="V763" i="2"/>
  <c r="AB763" i="2"/>
  <c r="AG779" i="2"/>
  <c r="AL779" i="2"/>
  <c r="V779" i="2"/>
  <c r="AB779" i="2"/>
  <c r="AG795" i="2"/>
  <c r="AL795" i="2"/>
  <c r="V795" i="2"/>
  <c r="AB795" i="2"/>
  <c r="AG811" i="2"/>
  <c r="AL811" i="2"/>
  <c r="V811" i="2"/>
  <c r="AB811" i="2"/>
  <c r="AG827" i="2"/>
  <c r="AL827" i="2"/>
  <c r="V827" i="2"/>
  <c r="AB827" i="2"/>
  <c r="AG843" i="2"/>
  <c r="AL843" i="2"/>
  <c r="V843" i="2"/>
  <c r="AB843" i="2"/>
  <c r="AG859" i="2"/>
  <c r="AL859" i="2"/>
  <c r="V859" i="2"/>
  <c r="AB859" i="2"/>
  <c r="AG875" i="2"/>
  <c r="AL875" i="2"/>
  <c r="V875" i="2"/>
  <c r="AB875" i="2"/>
  <c r="AQ277" i="2"/>
  <c r="AV277" i="2" s="1"/>
  <c r="BE277" i="2" s="1"/>
  <c r="AB309" i="2"/>
  <c r="AG309" i="2"/>
  <c r="V309" i="2"/>
  <c r="AL309" i="2"/>
  <c r="AG497" i="2"/>
  <c r="AB497" i="2"/>
  <c r="AL497" i="2"/>
  <c r="V497" i="2"/>
  <c r="AG501" i="2"/>
  <c r="AB501" i="2"/>
  <c r="AL501" i="2"/>
  <c r="V501" i="2"/>
  <c r="AG505" i="2"/>
  <c r="AB505" i="2"/>
  <c r="AL505" i="2"/>
  <c r="V505" i="2"/>
  <c r="AL511" i="2"/>
  <c r="V511" i="2"/>
  <c r="AG511" i="2"/>
  <c r="AB511" i="2"/>
  <c r="AQ528" i="2"/>
  <c r="AV528" i="2" s="1"/>
  <c r="BE528" i="2" s="1"/>
  <c r="AQ214" i="2"/>
  <c r="AV214" i="2" s="1"/>
  <c r="BE214" i="2" s="1"/>
  <c r="AL246" i="2"/>
  <c r="V246" i="2"/>
  <c r="AG246" i="2"/>
  <c r="AB246" i="2"/>
  <c r="AH348" i="2"/>
  <c r="AC348" i="2"/>
  <c r="AM348" i="2"/>
  <c r="W348" i="2"/>
  <c r="AR420" i="2"/>
  <c r="AL422" i="2"/>
  <c r="V422" i="2"/>
  <c r="AG422" i="2"/>
  <c r="AB422" i="2"/>
  <c r="AL438" i="2"/>
  <c r="V438" i="2"/>
  <c r="AG438" i="2"/>
  <c r="AB438" i="2"/>
  <c r="AR452" i="2"/>
  <c r="AL454" i="2"/>
  <c r="V454" i="2"/>
  <c r="AG454" i="2"/>
  <c r="AB454" i="2"/>
  <c r="AR468" i="2"/>
  <c r="AL470" i="2"/>
  <c r="V470" i="2"/>
  <c r="AG470" i="2"/>
  <c r="AB470" i="2"/>
  <c r="AL486" i="2"/>
  <c r="V486" i="2"/>
  <c r="AG486" i="2"/>
  <c r="AB486" i="2"/>
  <c r="AQ514" i="2"/>
  <c r="AV514" i="2" s="1"/>
  <c r="BE514" i="2" s="1"/>
  <c r="AQ529" i="2"/>
  <c r="AV529" i="2" s="1"/>
  <c r="BE529" i="2" s="1"/>
  <c r="AQ546" i="2"/>
  <c r="AV546" i="2" s="1"/>
  <c r="BE546" i="2" s="1"/>
  <c r="AQ556" i="2"/>
  <c r="AV556" i="2" s="1"/>
  <c r="BE556" i="2" s="1"/>
  <c r="AQ558" i="2"/>
  <c r="AV558" i="2" s="1"/>
  <c r="BE558" i="2" s="1"/>
  <c r="AQ560" i="2"/>
  <c r="AV560" i="2" s="1"/>
  <c r="BE560" i="2" s="1"/>
  <c r="AQ562" i="2"/>
  <c r="AV562" i="2" s="1"/>
  <c r="BE562" i="2" s="1"/>
  <c r="AQ564" i="2"/>
  <c r="AV564" i="2" s="1"/>
  <c r="BE564" i="2" s="1"/>
  <c r="AQ566" i="2"/>
  <c r="AV566" i="2" s="1"/>
  <c r="BE566" i="2" s="1"/>
  <c r="AQ568" i="2"/>
  <c r="AV568" i="2" s="1"/>
  <c r="BE568" i="2" s="1"/>
  <c r="AQ570" i="2"/>
  <c r="AV570" i="2" s="1"/>
  <c r="BE570" i="2" s="1"/>
  <c r="AQ572" i="2"/>
  <c r="AV572" i="2" s="1"/>
  <c r="BE572" i="2" s="1"/>
  <c r="AQ574" i="2"/>
  <c r="AV574" i="2" s="1"/>
  <c r="BE574" i="2" s="1"/>
  <c r="AQ576" i="2"/>
  <c r="AV576" i="2" s="1"/>
  <c r="BE576" i="2" s="1"/>
  <c r="AQ578" i="2"/>
  <c r="AV578" i="2" s="1"/>
  <c r="BE578" i="2" s="1"/>
  <c r="AQ580" i="2"/>
  <c r="AV580" i="2" s="1"/>
  <c r="BE580" i="2" s="1"/>
  <c r="AQ582" i="2"/>
  <c r="AV582" i="2" s="1"/>
  <c r="BE582" i="2" s="1"/>
  <c r="AQ584" i="2"/>
  <c r="AV584" i="2" s="1"/>
  <c r="BE584" i="2" s="1"/>
  <c r="AQ586" i="2"/>
  <c r="AV586" i="2" s="1"/>
  <c r="BE586" i="2" s="1"/>
  <c r="AQ588" i="2"/>
  <c r="AV588" i="2" s="1"/>
  <c r="BE588" i="2" s="1"/>
  <c r="AQ590" i="2"/>
  <c r="AV590" i="2" s="1"/>
  <c r="BE590" i="2" s="1"/>
  <c r="AQ592" i="2"/>
  <c r="AV592" i="2" s="1"/>
  <c r="BE592" i="2" s="1"/>
  <c r="AQ594" i="2"/>
  <c r="AV594" i="2" s="1"/>
  <c r="BE594" i="2" s="1"/>
  <c r="AQ596" i="2"/>
  <c r="AV596" i="2" s="1"/>
  <c r="BE596" i="2" s="1"/>
  <c r="AQ598" i="2"/>
  <c r="AV598" i="2" s="1"/>
  <c r="BE598" i="2" s="1"/>
  <c r="AQ600" i="2"/>
  <c r="AV600" i="2" s="1"/>
  <c r="BE600" i="2" s="1"/>
  <c r="AQ602" i="2"/>
  <c r="AV602" i="2" s="1"/>
  <c r="BE602" i="2" s="1"/>
  <c r="AQ604" i="2"/>
  <c r="AV604" i="2" s="1"/>
  <c r="BE604" i="2" s="1"/>
  <c r="AQ606" i="2"/>
  <c r="AV606" i="2" s="1"/>
  <c r="BE606" i="2" s="1"/>
  <c r="AQ608" i="2"/>
  <c r="AV608" i="2" s="1"/>
  <c r="BE608" i="2" s="1"/>
  <c r="AQ610" i="2"/>
  <c r="AV610" i="2" s="1"/>
  <c r="BE610" i="2" s="1"/>
  <c r="AQ612" i="2"/>
  <c r="AV612" i="2" s="1"/>
  <c r="BE612" i="2" s="1"/>
  <c r="AQ614" i="2"/>
  <c r="AV614" i="2" s="1"/>
  <c r="BE614" i="2" s="1"/>
  <c r="AQ616" i="2"/>
  <c r="AV616" i="2" s="1"/>
  <c r="BE616" i="2" s="1"/>
  <c r="AQ618" i="2"/>
  <c r="AV618" i="2" s="1"/>
  <c r="BE618" i="2" s="1"/>
  <c r="AG749" i="2"/>
  <c r="AL749" i="2"/>
  <c r="V749" i="2"/>
  <c r="AB749" i="2"/>
  <c r="AG781" i="2"/>
  <c r="AL781" i="2"/>
  <c r="V781" i="2"/>
  <c r="AB781" i="2"/>
  <c r="AG813" i="2"/>
  <c r="AL813" i="2"/>
  <c r="V813" i="2"/>
  <c r="AB813" i="2"/>
  <c r="AG845" i="2"/>
  <c r="AL845" i="2"/>
  <c r="V845" i="2"/>
  <c r="AB845" i="2"/>
  <c r="AG877" i="2"/>
  <c r="AL877" i="2"/>
  <c r="V877" i="2"/>
  <c r="AB877" i="2"/>
  <c r="AQ1052" i="2"/>
  <c r="AV1052" i="2" s="1"/>
  <c r="BE1052" i="2" s="1"/>
  <c r="AQ1060" i="2"/>
  <c r="AV1060" i="2" s="1"/>
  <c r="BE1060" i="2" s="1"/>
  <c r="AQ1068" i="2"/>
  <c r="AV1068" i="2" s="1"/>
  <c r="BE1068" i="2" s="1"/>
  <c r="AQ1076" i="2"/>
  <c r="AV1076" i="2" s="1"/>
  <c r="BE1076" i="2" s="1"/>
  <c r="AQ1084" i="2"/>
  <c r="AV1084" i="2" s="1"/>
  <c r="BE1084" i="2" s="1"/>
  <c r="AQ1092" i="2"/>
  <c r="AV1092" i="2" s="1"/>
  <c r="BE1092" i="2" s="1"/>
  <c r="AQ1100" i="2"/>
  <c r="AV1100" i="2" s="1"/>
  <c r="BE1100" i="2" s="1"/>
  <c r="AQ1108" i="2"/>
  <c r="AV1108" i="2" s="1"/>
  <c r="BE1108" i="2" s="1"/>
  <c r="AQ1116" i="2"/>
  <c r="AV1116" i="2" s="1"/>
  <c r="BE1116" i="2" s="1"/>
  <c r="AQ1124" i="2"/>
  <c r="AV1124" i="2" s="1"/>
  <c r="BE1124" i="2" s="1"/>
  <c r="AQ1132" i="2"/>
  <c r="AV1132" i="2" s="1"/>
  <c r="BE1132" i="2" s="1"/>
  <c r="AQ1140" i="2"/>
  <c r="AV1140" i="2" s="1"/>
  <c r="BE1140" i="2" s="1"/>
  <c r="AQ1044" i="2"/>
  <c r="AV1044" i="2" s="1"/>
  <c r="BE1044" i="2" s="1"/>
  <c r="AQ752" i="2"/>
  <c r="AV752" i="2" s="1"/>
  <c r="BE752" i="2" s="1"/>
  <c r="AG784" i="2"/>
  <c r="AB784" i="2"/>
  <c r="AL784" i="2"/>
  <c r="V784" i="2"/>
  <c r="AQ816" i="2"/>
  <c r="AV816" i="2" s="1"/>
  <c r="BE816" i="2" s="1"/>
  <c r="AG848" i="2"/>
  <c r="AB848" i="2"/>
  <c r="AL848" i="2"/>
  <c r="V848" i="2"/>
  <c r="AQ880" i="2"/>
  <c r="AV880" i="2" s="1"/>
  <c r="BE880" i="2" s="1"/>
  <c r="BD895" i="2"/>
  <c r="BD911" i="2"/>
  <c r="BD927" i="2"/>
  <c r="AG1077" i="2"/>
  <c r="AL1077" i="2"/>
  <c r="V1077" i="2"/>
  <c r="AB1077" i="2"/>
  <c r="AQ1109" i="2"/>
  <c r="AV1109" i="2" s="1"/>
  <c r="BE1109" i="2" s="1"/>
  <c r="AQ1197" i="2"/>
  <c r="AV1197" i="2" s="1"/>
  <c r="BE1197" i="2" s="1"/>
  <c r="AB1229" i="2"/>
  <c r="AL1229" i="2"/>
  <c r="V1229" i="2"/>
  <c r="AG1229" i="2"/>
  <c r="AQ1261" i="2"/>
  <c r="AV1261" i="2" s="1"/>
  <c r="BE1261" i="2" s="1"/>
  <c r="AB1293" i="2"/>
  <c r="AL1293" i="2"/>
  <c r="V1293" i="2"/>
  <c r="AG1293" i="2"/>
  <c r="AQ1325" i="2"/>
  <c r="AV1325" i="2" s="1"/>
  <c r="BE1325" i="2" s="1"/>
  <c r="AB1357" i="2"/>
  <c r="AL1357" i="2"/>
  <c r="V1357" i="2"/>
  <c r="AG1357" i="2"/>
  <c r="AQ1184" i="2"/>
  <c r="AV1184" i="2" s="1"/>
  <c r="BE1184" i="2" s="1"/>
  <c r="AL1216" i="2"/>
  <c r="V1216" i="2"/>
  <c r="AG1216" i="2"/>
  <c r="AB1216" i="2"/>
  <c r="AQ1248" i="2"/>
  <c r="AV1248" i="2" s="1"/>
  <c r="BE1248" i="2" s="1"/>
  <c r="AL1280" i="2"/>
  <c r="V1280" i="2"/>
  <c r="AG1280" i="2"/>
  <c r="AB1280" i="2"/>
  <c r="AQ1312" i="2"/>
  <c r="AV1312" i="2" s="1"/>
  <c r="BE1312" i="2" s="1"/>
  <c r="AL1344" i="2"/>
  <c r="V1344" i="2"/>
  <c r="AG1344" i="2"/>
  <c r="AB1344" i="2"/>
  <c r="AB1376" i="2"/>
  <c r="AL1376" i="2"/>
  <c r="V1376" i="2"/>
  <c r="AG1376" i="2"/>
  <c r="AQ1392" i="2"/>
  <c r="AV1392" i="2" s="1"/>
  <c r="BE1392" i="2" s="1"/>
  <c r="AG1063" i="2"/>
  <c r="AL1063" i="2"/>
  <c r="V1063" i="2"/>
  <c r="AB1063" i="2"/>
  <c r="AQ1095" i="2"/>
  <c r="AV1095" i="2" s="1"/>
  <c r="BE1095" i="2" s="1"/>
  <c r="AG1127" i="2"/>
  <c r="AL1127" i="2"/>
  <c r="V1127" i="2"/>
  <c r="AB1127" i="2"/>
  <c r="AQ1203" i="2"/>
  <c r="AV1203" i="2" s="1"/>
  <c r="BE1203" i="2" s="1"/>
  <c r="AB1235" i="2"/>
  <c r="AL1235" i="2"/>
  <c r="V1235" i="2"/>
  <c r="AG1235" i="2"/>
  <c r="AQ1267" i="2"/>
  <c r="AV1267" i="2" s="1"/>
  <c r="BE1267" i="2" s="1"/>
  <c r="AB1299" i="2"/>
  <c r="AL1299" i="2"/>
  <c r="V1299" i="2"/>
  <c r="AG1299" i="2"/>
  <c r="AQ1331" i="2"/>
  <c r="AV1331" i="2" s="1"/>
  <c r="BE1331" i="2" s="1"/>
  <c r="AB1363" i="2"/>
  <c r="AL1363" i="2"/>
  <c r="V1363" i="2"/>
  <c r="AG1363" i="2"/>
  <c r="AQ1182" i="2"/>
  <c r="AV1182" i="2" s="1"/>
  <c r="BE1182" i="2" s="1"/>
  <c r="AL1214" i="2"/>
  <c r="V1214" i="2"/>
  <c r="AG1214" i="2"/>
  <c r="AB1214" i="2"/>
  <c r="AQ1246" i="2"/>
  <c r="AV1246" i="2" s="1"/>
  <c r="BE1246" i="2" s="1"/>
  <c r="AL1278" i="2"/>
  <c r="V1278" i="2"/>
  <c r="AG1278" i="2"/>
  <c r="AB1278" i="2"/>
  <c r="BD1289" i="2"/>
  <c r="AQ1310" i="2"/>
  <c r="AV1310" i="2" s="1"/>
  <c r="BE1310" i="2" s="1"/>
  <c r="AL1342" i="2"/>
  <c r="V1342" i="2"/>
  <c r="AG1342" i="2"/>
  <c r="AB1342" i="2"/>
  <c r="BD1353" i="2"/>
  <c r="BD1395" i="2"/>
  <c r="BD1411" i="2"/>
  <c r="BD1427" i="2"/>
  <c r="AB1479" i="2"/>
  <c r="AL1479" i="2"/>
  <c r="V1479" i="2"/>
  <c r="AG1479" i="2"/>
  <c r="BD1488" i="2"/>
  <c r="AQ1490" i="2"/>
  <c r="AV1490" i="2" s="1"/>
  <c r="BE1490" i="2" s="1"/>
  <c r="AQ1494" i="2"/>
  <c r="AV1494" i="2" s="1"/>
  <c r="BE1494" i="2" s="1"/>
  <c r="AQ1498" i="2"/>
  <c r="AV1498" i="2" s="1"/>
  <c r="BE1498" i="2" s="1"/>
  <c r="AQ1508" i="2"/>
  <c r="AV1508" i="2" s="1"/>
  <c r="BE1508" i="2" s="1"/>
  <c r="AQ1512" i="2"/>
  <c r="AV1512" i="2" s="1"/>
  <c r="BE1512" i="2" s="1"/>
  <c r="AQ1516" i="2"/>
  <c r="AV1516" i="2" s="1"/>
  <c r="BE1516" i="2" s="1"/>
  <c r="AQ1520" i="2"/>
  <c r="AV1520" i="2" s="1"/>
  <c r="BE1520" i="2" s="1"/>
  <c r="AQ1524" i="2"/>
  <c r="AV1524" i="2" s="1"/>
  <c r="BE1524" i="2" s="1"/>
  <c r="AQ1528" i="2"/>
  <c r="AV1528" i="2" s="1"/>
  <c r="BE1528" i="2" s="1"/>
  <c r="AQ1532" i="2"/>
  <c r="AV1532" i="2" s="1"/>
  <c r="BE1532" i="2" s="1"/>
  <c r="AQ1536" i="2"/>
  <c r="AV1536" i="2" s="1"/>
  <c r="BE1536" i="2" s="1"/>
  <c r="AQ1540" i="2"/>
  <c r="AV1540" i="2" s="1"/>
  <c r="BE1540" i="2" s="1"/>
  <c r="AQ1544" i="2"/>
  <c r="AV1544" i="2" s="1"/>
  <c r="BE1544" i="2" s="1"/>
  <c r="BD1493" i="2"/>
  <c r="AL1584" i="2"/>
  <c r="V1584" i="2"/>
  <c r="AG1584" i="2"/>
  <c r="AB1584" i="2"/>
  <c r="AL1592" i="2"/>
  <c r="V1592" i="2"/>
  <c r="AG1592" i="2"/>
  <c r="AB1592" i="2"/>
  <c r="AQ1599" i="2"/>
  <c r="AV1599" i="2" s="1"/>
  <c r="BE1599" i="2" s="1"/>
  <c r="AQ1624" i="2"/>
  <c r="AV1624" i="2" s="1"/>
  <c r="BE1624" i="2" s="1"/>
  <c r="AB1631" i="2"/>
  <c r="AL1631" i="2"/>
  <c r="V1631" i="2"/>
  <c r="AG1631" i="2"/>
  <c r="BD1634" i="2"/>
  <c r="AL1656" i="2"/>
  <c r="V1656" i="2"/>
  <c r="AG1656" i="2"/>
  <c r="AB1656" i="2"/>
  <c r="AQ1663" i="2"/>
  <c r="AV1663" i="2" s="1"/>
  <c r="BE1663" i="2" s="1"/>
  <c r="AL1379" i="2"/>
  <c r="V1379" i="2"/>
  <c r="AG1379" i="2"/>
  <c r="AB1379" i="2"/>
  <c r="AQ1529" i="2"/>
  <c r="AV1529" i="2" s="1"/>
  <c r="BE1529" i="2" s="1"/>
  <c r="AL1538" i="2"/>
  <c r="V1538" i="2"/>
  <c r="AB1538" i="2"/>
  <c r="AG1538" i="2"/>
  <c r="AB1386" i="2"/>
  <c r="AG1386" i="2"/>
  <c r="AL1386" i="2"/>
  <c r="V1386" i="2"/>
  <c r="AB1395" i="2"/>
  <c r="AL1395" i="2"/>
  <c r="V1395" i="2"/>
  <c r="AG1395" i="2"/>
  <c r="AQ1407" i="2"/>
  <c r="AV1407" i="2" s="1"/>
  <c r="BE1407" i="2" s="1"/>
  <c r="AB1411" i="2"/>
  <c r="AL1411" i="2"/>
  <c r="V1411" i="2"/>
  <c r="AG1411" i="2"/>
  <c r="BD1414" i="2"/>
  <c r="AQ1423" i="2"/>
  <c r="AV1423" i="2" s="1"/>
  <c r="BE1423" i="2" s="1"/>
  <c r="AB1427" i="2"/>
  <c r="AL1427" i="2"/>
  <c r="V1427" i="2"/>
  <c r="AG1427" i="2"/>
  <c r="BD1430" i="2"/>
  <c r="AQ1551" i="2"/>
  <c r="AV1551" i="2" s="1"/>
  <c r="BE1551" i="2" s="1"/>
  <c r="AB1555" i="2"/>
  <c r="AL1555" i="2"/>
  <c r="V1555" i="2"/>
  <c r="AG1555" i="2"/>
  <c r="BD1558" i="2"/>
  <c r="AQ1567" i="2"/>
  <c r="AV1567" i="2" s="1"/>
  <c r="BE1567" i="2" s="1"/>
  <c r="AB1571" i="2"/>
  <c r="AL1571" i="2"/>
  <c r="V1571" i="2"/>
  <c r="AG1571" i="2"/>
  <c r="BD1574" i="2"/>
  <c r="AQ1602" i="2"/>
  <c r="AV1602" i="2" s="1"/>
  <c r="BE1602" i="2" s="1"/>
  <c r="AB1609" i="2"/>
  <c r="AL1609" i="2"/>
  <c r="V1609" i="2"/>
  <c r="AG1609" i="2"/>
  <c r="BD1612" i="2"/>
  <c r="AL1634" i="2"/>
  <c r="V1634" i="2"/>
  <c r="AG1634" i="2"/>
  <c r="AB1634" i="2"/>
  <c r="AQ1641" i="2"/>
  <c r="AV1641" i="2" s="1"/>
  <c r="BE1641" i="2" s="1"/>
  <c r="AQ1666" i="2"/>
  <c r="AV1666" i="2" s="1"/>
  <c r="BE1666" i="2" s="1"/>
  <c r="AQ1668" i="2"/>
  <c r="AV1668" i="2" s="1"/>
  <c r="BE1668" i="2" s="1"/>
  <c r="AR1759" i="2"/>
  <c r="AW1759" i="2" s="1"/>
  <c r="BF1759" i="2" s="1"/>
  <c r="AB1678" i="2"/>
  <c r="AL1678" i="2"/>
  <c r="V1678" i="2"/>
  <c r="AG1678" i="2"/>
  <c r="AQ1726" i="2"/>
  <c r="AV1726" i="2" s="1"/>
  <c r="BE1726" i="2" s="1"/>
  <c r="AB1742" i="2"/>
  <c r="AL1742" i="2"/>
  <c r="V1742" i="2"/>
  <c r="AG1742" i="2"/>
  <c r="AG1847" i="2"/>
  <c r="AB1847" i="2"/>
  <c r="AL1847" i="2"/>
  <c r="V1847" i="2"/>
  <c r="AL1867" i="2"/>
  <c r="V1867" i="2"/>
  <c r="AG1867" i="2"/>
  <c r="AB1867" i="2"/>
  <c r="AL1875" i="2"/>
  <c r="V1875" i="2"/>
  <c r="AG1875" i="2"/>
  <c r="AB1875" i="2"/>
  <c r="AL1883" i="2"/>
  <c r="V1883" i="2"/>
  <c r="AG1883" i="2"/>
  <c r="AB1883" i="2"/>
  <c r="AL1891" i="2"/>
  <c r="V1891" i="2"/>
  <c r="AG1891" i="2"/>
  <c r="AB1891" i="2"/>
  <c r="AL1899" i="2"/>
  <c r="V1899" i="2"/>
  <c r="AG1899" i="2"/>
  <c r="AB1899" i="2"/>
  <c r="AL1907" i="2"/>
  <c r="V1907" i="2"/>
  <c r="AG1907" i="2"/>
  <c r="AB1907" i="2"/>
  <c r="AL1915" i="2"/>
  <c r="V1915" i="2"/>
  <c r="AG1915" i="2"/>
  <c r="AB1915" i="2"/>
  <c r="AL1923" i="2"/>
  <c r="V1923" i="2"/>
  <c r="AG1923" i="2"/>
  <c r="AB1923" i="2"/>
  <c r="AL1931" i="2"/>
  <c r="V1931" i="2"/>
  <c r="AG1931" i="2"/>
  <c r="AB1931" i="2"/>
  <c r="AL1939" i="2"/>
  <c r="V1939" i="2"/>
  <c r="AG1939" i="2"/>
  <c r="AB1939" i="2"/>
  <c r="AL1947" i="2"/>
  <c r="V1947" i="2"/>
  <c r="AG1947" i="2"/>
  <c r="AB1947" i="2"/>
  <c r="AQ1760" i="2"/>
  <c r="AV1760" i="2" s="1"/>
  <c r="BE1760" i="2" s="1"/>
  <c r="AL1768" i="2"/>
  <c r="AG1768" i="2"/>
  <c r="AB1768" i="2"/>
  <c r="V1768" i="2"/>
  <c r="AQ1776" i="2"/>
  <c r="AV1776" i="2" s="1"/>
  <c r="BE1776" i="2" s="1"/>
  <c r="AL1784" i="2"/>
  <c r="AG1784" i="2"/>
  <c r="AB1784" i="2"/>
  <c r="V1784" i="2"/>
  <c r="AQ1792" i="2"/>
  <c r="AV1792" i="2" s="1"/>
  <c r="BE1792" i="2" s="1"/>
  <c r="AL1800" i="2"/>
  <c r="AG1800" i="2"/>
  <c r="AB1800" i="2"/>
  <c r="V1800" i="2"/>
  <c r="AQ1808" i="2"/>
  <c r="AV1808" i="2" s="1"/>
  <c r="BE1808" i="2" s="1"/>
  <c r="AL1824" i="2"/>
  <c r="AG1824" i="2"/>
  <c r="AB1824" i="2"/>
  <c r="V1824" i="2"/>
  <c r="AB1854" i="2"/>
  <c r="AL1854" i="2"/>
  <c r="V1854" i="2"/>
  <c r="AG1854" i="2"/>
  <c r="AG2043" i="2"/>
  <c r="AB2043" i="2"/>
  <c r="AL2043" i="2"/>
  <c r="V2043" i="2"/>
  <c r="AQ2111" i="2"/>
  <c r="AV2111" i="2" s="1"/>
  <c r="BE2111" i="2" s="1"/>
  <c r="AL2024" i="2"/>
  <c r="V2024" i="2"/>
  <c r="AB2024" i="2"/>
  <c r="AG2024" i="2"/>
  <c r="AL2028" i="2"/>
  <c r="V2028" i="2"/>
  <c r="AB2028" i="2"/>
  <c r="AG2028" i="2"/>
  <c r="AL2032" i="2"/>
  <c r="V2032" i="2"/>
  <c r="AB2032" i="2"/>
  <c r="AG2032" i="2"/>
  <c r="AL2036" i="2"/>
  <c r="V2036" i="2"/>
  <c r="AB2036" i="2"/>
  <c r="AG2036" i="2"/>
  <c r="AL2040" i="2"/>
  <c r="V2040" i="2"/>
  <c r="AB2040" i="2"/>
  <c r="AG2040" i="2"/>
  <c r="AQ2047" i="2"/>
  <c r="AV2047" i="2" s="1"/>
  <c r="BE2047" i="2" s="1"/>
  <c r="AB2056" i="2"/>
  <c r="AL2056" i="2"/>
  <c r="V2056" i="2"/>
  <c r="AG2056" i="2"/>
  <c r="AL2079" i="2"/>
  <c r="V2079" i="2"/>
  <c r="AG2079" i="2"/>
  <c r="AB2079" i="2"/>
  <c r="AQ2088" i="2"/>
  <c r="AV2088" i="2" s="1"/>
  <c r="BE2088" i="2" s="1"/>
  <c r="AQ2148" i="2"/>
  <c r="AV2148" i="2" s="1"/>
  <c r="BE2148" i="2" s="1"/>
  <c r="AQ2175" i="2"/>
  <c r="AV2175" i="2" s="1"/>
  <c r="BE2175" i="2" s="1"/>
  <c r="AQ2174" i="2"/>
  <c r="AV2174" i="2" s="1"/>
  <c r="BE2174" i="2" s="1"/>
  <c r="AG2181" i="2"/>
  <c r="AB2181" i="2"/>
  <c r="AL2181" i="2"/>
  <c r="V2181" i="2"/>
  <c r="AL2160" i="2"/>
  <c r="V2160" i="2"/>
  <c r="AG2160" i="2"/>
  <c r="AB2160" i="2"/>
  <c r="AQ2192" i="2"/>
  <c r="AV2192" i="2" s="1"/>
  <c r="BE2192" i="2" s="1"/>
  <c r="AQ2211" i="2"/>
  <c r="AV2211" i="2" s="1"/>
  <c r="BE2211" i="2" s="1"/>
  <c r="AB2227" i="2"/>
  <c r="AL2227" i="2"/>
  <c r="V2227" i="2"/>
  <c r="AG2227" i="2"/>
  <c r="AQ2243" i="2"/>
  <c r="AV2243" i="2" s="1"/>
  <c r="BE2243" i="2" s="1"/>
  <c r="AB2259" i="2"/>
  <c r="AL2259" i="2"/>
  <c r="V2259" i="2"/>
  <c r="AG2259" i="2"/>
  <c r="AQ2275" i="2"/>
  <c r="AV2275" i="2" s="1"/>
  <c r="BE2275" i="2" s="1"/>
  <c r="AB2291" i="2"/>
  <c r="AL2291" i="2"/>
  <c r="V2291" i="2"/>
  <c r="AG2291" i="2"/>
  <c r="AB2299" i="2"/>
  <c r="AL2299" i="2"/>
  <c r="V2299" i="2"/>
  <c r="AG2299" i="2"/>
  <c r="AB2307" i="2"/>
  <c r="AL2307" i="2"/>
  <c r="V2307" i="2"/>
  <c r="AG2307" i="2"/>
  <c r="AL2316" i="2"/>
  <c r="V2316" i="2"/>
  <c r="AG2316" i="2"/>
  <c r="AB2316" i="2"/>
  <c r="AL2324" i="2"/>
  <c r="V2324" i="2"/>
  <c r="AG2324" i="2"/>
  <c r="AB2324" i="2"/>
  <c r="AL2332" i="2"/>
  <c r="V2332" i="2"/>
  <c r="AG2332" i="2"/>
  <c r="AB2332" i="2"/>
  <c r="AL2340" i="2"/>
  <c r="V2340" i="2"/>
  <c r="AG2340" i="2"/>
  <c r="AB2340" i="2"/>
  <c r="AL2348" i="2"/>
  <c r="V2348" i="2"/>
  <c r="AG2348" i="2"/>
  <c r="AB2348" i="2"/>
  <c r="AL2356" i="2"/>
  <c r="V2356" i="2"/>
  <c r="AG2356" i="2"/>
  <c r="AB2356" i="2"/>
  <c r="AL2364" i="2"/>
  <c r="V2364" i="2"/>
  <c r="AG2364" i="2"/>
  <c r="AB2364" i="2"/>
  <c r="AL2372" i="2"/>
  <c r="V2372" i="2"/>
  <c r="AG2372" i="2"/>
  <c r="AB2372" i="2"/>
  <c r="AL2380" i="2"/>
  <c r="V2380" i="2"/>
  <c r="AG2380" i="2"/>
  <c r="AB2380" i="2"/>
  <c r="AL2388" i="2"/>
  <c r="V2388" i="2"/>
  <c r="AG2388" i="2"/>
  <c r="AB2388" i="2"/>
  <c r="BD2201" i="2"/>
  <c r="BD2217" i="2"/>
  <c r="BD2233" i="2"/>
  <c r="BD2249" i="2"/>
  <c r="BD2265" i="2"/>
  <c r="BD2281" i="2"/>
  <c r="BD2297" i="2"/>
  <c r="BD2313" i="2"/>
  <c r="AQ2317" i="2"/>
  <c r="AV2317" i="2" s="1"/>
  <c r="BE2317" i="2" s="1"/>
  <c r="AQ2325" i="2"/>
  <c r="AV2325" i="2" s="1"/>
  <c r="BE2325" i="2" s="1"/>
  <c r="AQ2333" i="2"/>
  <c r="AV2333" i="2" s="1"/>
  <c r="BE2333" i="2" s="1"/>
  <c r="AQ2341" i="2"/>
  <c r="AV2341" i="2" s="1"/>
  <c r="BE2341" i="2" s="1"/>
  <c r="AQ2349" i="2"/>
  <c r="AV2349" i="2" s="1"/>
  <c r="BE2349" i="2" s="1"/>
  <c r="AQ2357" i="2"/>
  <c r="AV2357" i="2" s="1"/>
  <c r="BE2357" i="2" s="1"/>
  <c r="AQ2365" i="2"/>
  <c r="AV2365" i="2" s="1"/>
  <c r="BE2365" i="2" s="1"/>
  <c r="AQ2373" i="2"/>
  <c r="AV2373" i="2" s="1"/>
  <c r="BE2373" i="2" s="1"/>
  <c r="AQ2381" i="2"/>
  <c r="AV2381" i="2" s="1"/>
  <c r="BE2381" i="2" s="1"/>
  <c r="AQ2389" i="2"/>
  <c r="AV2389" i="2" s="1"/>
  <c r="BE2389" i="2" s="1"/>
  <c r="AG2408" i="2"/>
  <c r="AL2408" i="2"/>
  <c r="V2408" i="2"/>
  <c r="AB2408" i="2"/>
  <c r="AG2425" i="2"/>
  <c r="AB2425" i="2"/>
  <c r="AL2425" i="2"/>
  <c r="V2425" i="2"/>
  <c r="BD2436" i="2"/>
  <c r="AQ2457" i="2"/>
  <c r="AV2457" i="2" s="1"/>
  <c r="BE2457" i="2" s="1"/>
  <c r="AQ2424" i="2"/>
  <c r="AV2424" i="2" s="1"/>
  <c r="BE2424" i="2" s="1"/>
  <c r="AL2456" i="2"/>
  <c r="V2456" i="2"/>
  <c r="AG2456" i="2"/>
  <c r="AB2456" i="2"/>
  <c r="AG2415" i="2"/>
  <c r="AB2415" i="2"/>
  <c r="AL2415" i="2"/>
  <c r="V2415" i="2"/>
  <c r="BD2426" i="2"/>
  <c r="AQ2447" i="2"/>
  <c r="AV2447" i="2" s="1"/>
  <c r="BE2447" i="2" s="1"/>
  <c r="AL2434" i="2"/>
  <c r="V2434" i="2"/>
  <c r="AG2434" i="2"/>
  <c r="AB2434" i="2"/>
  <c r="AQ2466" i="2"/>
  <c r="AV2466" i="2" s="1"/>
  <c r="BE2466" i="2" s="1"/>
  <c r="AB2476" i="2"/>
  <c r="AL2476" i="2"/>
  <c r="V2476" i="2"/>
  <c r="AG2476" i="2"/>
  <c r="AQ2437" i="2"/>
  <c r="AV2437" i="2" s="1"/>
  <c r="BE2437" i="2" s="1"/>
  <c r="AQ2453" i="2"/>
  <c r="AV2453" i="2" s="1"/>
  <c r="BE2453" i="2" s="1"/>
  <c r="AL2468" i="2"/>
  <c r="V2468" i="2"/>
  <c r="AG2468" i="2"/>
  <c r="AB2468" i="2"/>
  <c r="AQ2414" i="2"/>
  <c r="AV2414" i="2" s="1"/>
  <c r="BE2414" i="2" s="1"/>
  <c r="BD2482" i="2"/>
  <c r="AB2488" i="2"/>
  <c r="AL2488" i="2"/>
  <c r="V2488" i="2"/>
  <c r="AG2488" i="2"/>
  <c r="AL2344" i="2"/>
  <c r="V2344" i="2"/>
  <c r="AG2344" i="2"/>
  <c r="AB2344" i="2"/>
  <c r="AL2376" i="2"/>
  <c r="V2376" i="2"/>
  <c r="AG2376" i="2"/>
  <c r="AB2376" i="2"/>
  <c r="AL2384" i="2"/>
  <c r="V2384" i="2"/>
  <c r="AG2384" i="2"/>
  <c r="AB2384" i="2"/>
  <c r="AQ2221" i="2"/>
  <c r="AV2221" i="2" s="1"/>
  <c r="BE2221" i="2" s="1"/>
  <c r="AQ2439" i="2"/>
  <c r="AV2439" i="2" s="1"/>
  <c r="BE2439" i="2" s="1"/>
  <c r="AG2471" i="2"/>
  <c r="AB2471" i="2"/>
  <c r="AL2471" i="2"/>
  <c r="V2471" i="2"/>
  <c r="AQ2410" i="2"/>
  <c r="AV2410" i="2" s="1"/>
  <c r="BE2410" i="2" s="1"/>
  <c r="AQ2426" i="2"/>
  <c r="AV2426" i="2" s="1"/>
  <c r="BE2426" i="2" s="1"/>
  <c r="AQ28" i="2"/>
  <c r="AV28" i="2" s="1"/>
  <c r="BE28" i="2" s="1"/>
  <c r="AL14" i="2"/>
  <c r="V14" i="2"/>
  <c r="AB14" i="2"/>
  <c r="AG14" i="2"/>
  <c r="AQ23" i="2"/>
  <c r="AV23" i="2" s="1"/>
  <c r="BE23" i="2" s="1"/>
  <c r="AQ33" i="2"/>
  <c r="AV33" i="2" s="1"/>
  <c r="BE33" i="2" s="1"/>
  <c r="AB111" i="2"/>
  <c r="AL111" i="2"/>
  <c r="AG111" i="2"/>
  <c r="V111" i="2"/>
  <c r="AB463" i="2"/>
  <c r="AL463" i="2"/>
  <c r="AG463" i="2"/>
  <c r="V463" i="2"/>
  <c r="AQ489" i="2"/>
  <c r="AV489" i="2" s="1"/>
  <c r="BE489" i="2" s="1"/>
  <c r="AQ30" i="2"/>
  <c r="AV30" i="2" s="1"/>
  <c r="BE30" i="2" s="1"/>
  <c r="AQ35" i="2"/>
  <c r="AV35" i="2" s="1"/>
  <c r="BE35" i="2" s="1"/>
  <c r="AQ115" i="2"/>
  <c r="AV115" i="2" s="1"/>
  <c r="BE115" i="2" s="1"/>
  <c r="AQ131" i="2"/>
  <c r="AV131" i="2" s="1"/>
  <c r="BE131" i="2" s="1"/>
  <c r="AQ147" i="2"/>
  <c r="AV147" i="2" s="1"/>
  <c r="BE147" i="2" s="1"/>
  <c r="AQ163" i="2"/>
  <c r="AV163" i="2" s="1"/>
  <c r="BE163" i="2" s="1"/>
  <c r="AQ179" i="2"/>
  <c r="AV179" i="2" s="1"/>
  <c r="BE179" i="2" s="1"/>
  <c r="AQ195" i="2"/>
  <c r="AV195" i="2" s="1"/>
  <c r="BE195" i="2" s="1"/>
  <c r="AL244" i="2"/>
  <c r="V244" i="2"/>
  <c r="AG244" i="2"/>
  <c r="AB244" i="2"/>
  <c r="AL258" i="2"/>
  <c r="V258" i="2"/>
  <c r="AG258" i="2"/>
  <c r="AB258" i="2"/>
  <c r="AQ283" i="2"/>
  <c r="AV283" i="2" s="1"/>
  <c r="BE283" i="2" s="1"/>
  <c r="AQ289" i="2"/>
  <c r="AV289" i="2" s="1"/>
  <c r="BE289" i="2" s="1"/>
  <c r="AB223" i="2"/>
  <c r="AL223" i="2"/>
  <c r="AG223" i="2"/>
  <c r="V223" i="2"/>
  <c r="AQ441" i="2"/>
  <c r="AV441" i="2" s="1"/>
  <c r="BE441" i="2" s="1"/>
  <c r="AQ121" i="2"/>
  <c r="AV121" i="2" s="1"/>
  <c r="BE121" i="2" s="1"/>
  <c r="AQ153" i="2"/>
  <c r="AV153" i="2" s="1"/>
  <c r="BE153" i="2" s="1"/>
  <c r="AQ185" i="2"/>
  <c r="AV185" i="2" s="1"/>
  <c r="BE185" i="2" s="1"/>
  <c r="AL252" i="2"/>
  <c r="V252" i="2"/>
  <c r="AB252" i="2"/>
  <c r="AG252" i="2"/>
  <c r="AL266" i="2"/>
  <c r="V266" i="2"/>
  <c r="AG266" i="2"/>
  <c r="AB266" i="2"/>
  <c r="AL314" i="2"/>
  <c r="V314" i="2"/>
  <c r="AG314" i="2"/>
  <c r="AB314" i="2"/>
  <c r="AQ471" i="2"/>
  <c r="AV471" i="2" s="1"/>
  <c r="BE471" i="2" s="1"/>
  <c r="BD423" i="2"/>
  <c r="BD487" i="2"/>
  <c r="BD521" i="2"/>
  <c r="BD553" i="2"/>
  <c r="BD556" i="2"/>
  <c r="BD564" i="2"/>
  <c r="BD572" i="2"/>
  <c r="BD580" i="2"/>
  <c r="BD588" i="2"/>
  <c r="BD596" i="2"/>
  <c r="BD604" i="2"/>
  <c r="BD612" i="2"/>
  <c r="AG726" i="2"/>
  <c r="AL726" i="2"/>
  <c r="V726" i="2"/>
  <c r="AB726" i="2"/>
  <c r="AG734" i="2"/>
  <c r="AL734" i="2"/>
  <c r="V734" i="2"/>
  <c r="AB734" i="2"/>
  <c r="AG750" i="2"/>
  <c r="AL750" i="2"/>
  <c r="V750" i="2"/>
  <c r="AB750" i="2"/>
  <c r="AG766" i="2"/>
  <c r="AL766" i="2"/>
  <c r="V766" i="2"/>
  <c r="AB766" i="2"/>
  <c r="AG782" i="2"/>
  <c r="AL782" i="2"/>
  <c r="V782" i="2"/>
  <c r="AB782" i="2"/>
  <c r="AG798" i="2"/>
  <c r="AL798" i="2"/>
  <c r="V798" i="2"/>
  <c r="AB798" i="2"/>
  <c r="AG814" i="2"/>
  <c r="AL814" i="2"/>
  <c r="V814" i="2"/>
  <c r="AB814" i="2"/>
  <c r="AG830" i="2"/>
  <c r="AL830" i="2"/>
  <c r="V830" i="2"/>
  <c r="AB830" i="2"/>
  <c r="AG846" i="2"/>
  <c r="AL846" i="2"/>
  <c r="V846" i="2"/>
  <c r="AB846" i="2"/>
  <c r="AG862" i="2"/>
  <c r="AL862" i="2"/>
  <c r="V862" i="2"/>
  <c r="AB862" i="2"/>
  <c r="AG878" i="2"/>
  <c r="AL878" i="2"/>
  <c r="V878" i="2"/>
  <c r="AB878" i="2"/>
  <c r="BD321" i="2"/>
  <c r="BD353" i="2"/>
  <c r="BD385" i="2"/>
  <c r="AB427" i="2"/>
  <c r="AL427" i="2"/>
  <c r="AG427" i="2"/>
  <c r="V427" i="2"/>
  <c r="AQ459" i="2"/>
  <c r="AV459" i="2" s="1"/>
  <c r="BE459" i="2" s="1"/>
  <c r="AB491" i="2"/>
  <c r="AL491" i="2"/>
  <c r="AG491" i="2"/>
  <c r="V491" i="2"/>
  <c r="AQ517" i="2"/>
  <c r="AV517" i="2" s="1"/>
  <c r="BE517" i="2" s="1"/>
  <c r="BD523" i="2"/>
  <c r="AQ534" i="2"/>
  <c r="AV534" i="2" s="1"/>
  <c r="BE534" i="2" s="1"/>
  <c r="AL549" i="2"/>
  <c r="V549" i="2"/>
  <c r="AG549" i="2"/>
  <c r="AB549" i="2"/>
  <c r="AQ253" i="2"/>
  <c r="AV253" i="2" s="1"/>
  <c r="BE253" i="2" s="1"/>
  <c r="AB285" i="2"/>
  <c r="V285" i="2"/>
  <c r="AL285" i="2"/>
  <c r="AG285" i="2"/>
  <c r="BD299" i="2"/>
  <c r="BD459" i="2"/>
  <c r="AL551" i="2"/>
  <c r="V551" i="2"/>
  <c r="AG551" i="2"/>
  <c r="AB551" i="2"/>
  <c r="AQ302" i="2"/>
  <c r="AV302" i="2" s="1"/>
  <c r="BE302" i="2" s="1"/>
  <c r="AL326" i="2"/>
  <c r="V326" i="2"/>
  <c r="AG326" i="2"/>
  <c r="AB326" i="2"/>
  <c r="AQ358" i="2"/>
  <c r="AV358" i="2" s="1"/>
  <c r="BE358" i="2" s="1"/>
  <c r="AH388" i="2"/>
  <c r="AC388" i="2"/>
  <c r="AM388" i="2"/>
  <c r="W388" i="2"/>
  <c r="BD397" i="2"/>
  <c r="BD461" i="2"/>
  <c r="BD499" i="2"/>
  <c r="AB522" i="2"/>
  <c r="AL522" i="2"/>
  <c r="V522" i="2"/>
  <c r="AG522" i="2"/>
  <c r="AL537" i="2"/>
  <c r="V537" i="2"/>
  <c r="AG537" i="2"/>
  <c r="AB537" i="2"/>
  <c r="AB554" i="2"/>
  <c r="AL554" i="2"/>
  <c r="V554" i="2"/>
  <c r="AG554" i="2"/>
  <c r="AL625" i="2"/>
  <c r="V625" i="2"/>
  <c r="AG625" i="2"/>
  <c r="AB625" i="2"/>
  <c r="AQ633" i="2"/>
  <c r="AV633" i="2" s="1"/>
  <c r="BE633" i="2" s="1"/>
  <c r="AL641" i="2"/>
  <c r="V641" i="2"/>
  <c r="AG641" i="2"/>
  <c r="AB641" i="2"/>
  <c r="AQ649" i="2"/>
  <c r="AV649" i="2" s="1"/>
  <c r="BE649" i="2" s="1"/>
  <c r="AL657" i="2"/>
  <c r="V657" i="2"/>
  <c r="AG657" i="2"/>
  <c r="AB657" i="2"/>
  <c r="AQ665" i="2"/>
  <c r="AV665" i="2" s="1"/>
  <c r="BE665" i="2" s="1"/>
  <c r="AL673" i="2"/>
  <c r="V673" i="2"/>
  <c r="AG673" i="2"/>
  <c r="AB673" i="2"/>
  <c r="AQ681" i="2"/>
  <c r="AV681" i="2" s="1"/>
  <c r="BE681" i="2" s="1"/>
  <c r="AL689" i="2"/>
  <c r="V689" i="2"/>
  <c r="AG689" i="2"/>
  <c r="AB689" i="2"/>
  <c r="AQ697" i="2"/>
  <c r="AV697" i="2" s="1"/>
  <c r="BE697" i="2" s="1"/>
  <c r="AL705" i="2"/>
  <c r="V705" i="2"/>
  <c r="AG705" i="2"/>
  <c r="AB705" i="2"/>
  <c r="AQ713" i="2"/>
  <c r="AV713" i="2" s="1"/>
  <c r="BE713" i="2" s="1"/>
  <c r="AG753" i="2"/>
  <c r="AL753" i="2"/>
  <c r="V753" i="2"/>
  <c r="AB753" i="2"/>
  <c r="AG785" i="2"/>
  <c r="AL785" i="2"/>
  <c r="V785" i="2"/>
  <c r="AB785" i="2"/>
  <c r="AG817" i="2"/>
  <c r="AL817" i="2"/>
  <c r="V817" i="2"/>
  <c r="AB817" i="2"/>
  <c r="AG849" i="2"/>
  <c r="AL849" i="2"/>
  <c r="V849" i="2"/>
  <c r="AB849" i="2"/>
  <c r="AG881" i="2"/>
  <c r="AL881" i="2"/>
  <c r="V881" i="2"/>
  <c r="AB881" i="2"/>
  <c r="AR889" i="2"/>
  <c r="AW889" i="2" s="1"/>
  <c r="BF889" i="2" s="1"/>
  <c r="AR905" i="2"/>
  <c r="AW905" i="2" s="1"/>
  <c r="BF905" i="2" s="1"/>
  <c r="AR913" i="2"/>
  <c r="AW913" i="2" s="1"/>
  <c r="BF913" i="2" s="1"/>
  <c r="AR917" i="2"/>
  <c r="AR925" i="2"/>
  <c r="AW925" i="2" s="1"/>
  <c r="BF925" i="2" s="1"/>
  <c r="AQ1045" i="2"/>
  <c r="AV1045" i="2" s="1"/>
  <c r="BE1045" i="2" s="1"/>
  <c r="AG1142" i="2"/>
  <c r="AB1142" i="2"/>
  <c r="AL1142" i="2"/>
  <c r="V1142" i="2"/>
  <c r="AG1146" i="2"/>
  <c r="AB1146" i="2"/>
  <c r="AL1146" i="2"/>
  <c r="V1146" i="2"/>
  <c r="AG1150" i="2"/>
  <c r="AB1150" i="2"/>
  <c r="AL1150" i="2"/>
  <c r="V1150" i="2"/>
  <c r="BD1042" i="2"/>
  <c r="AG756" i="2"/>
  <c r="AB756" i="2"/>
  <c r="AL756" i="2"/>
  <c r="V756" i="2"/>
  <c r="AQ788" i="2"/>
  <c r="AV788" i="2" s="1"/>
  <c r="BE788" i="2" s="1"/>
  <c r="AG820" i="2"/>
  <c r="AB820" i="2"/>
  <c r="AL820" i="2"/>
  <c r="V820" i="2"/>
  <c r="AQ852" i="2"/>
  <c r="AV852" i="2" s="1"/>
  <c r="BE852" i="2" s="1"/>
  <c r="AG884" i="2"/>
  <c r="AB884" i="2"/>
  <c r="AL884" i="2"/>
  <c r="V884" i="2"/>
  <c r="BD894" i="2"/>
  <c r="BD910" i="2"/>
  <c r="BD926" i="2"/>
  <c r="BD944" i="2"/>
  <c r="BD960" i="2"/>
  <c r="BD976" i="2"/>
  <c r="BD992" i="2"/>
  <c r="BD1008" i="2"/>
  <c r="BD1024" i="2"/>
  <c r="BD1040" i="2"/>
  <c r="AQ1065" i="2"/>
  <c r="AV1065" i="2" s="1"/>
  <c r="BE1065" i="2" s="1"/>
  <c r="AG1097" i="2"/>
  <c r="AL1097" i="2"/>
  <c r="V1097" i="2"/>
  <c r="AB1097" i="2"/>
  <c r="AQ1129" i="2"/>
  <c r="AV1129" i="2" s="1"/>
  <c r="BE1129" i="2" s="1"/>
  <c r="AM1149" i="2"/>
  <c r="W1149" i="2"/>
  <c r="AH1149" i="2"/>
  <c r="AC1149" i="2"/>
  <c r="AB1177" i="2"/>
  <c r="AL1177" i="2"/>
  <c r="V1177" i="2"/>
  <c r="AG1177" i="2"/>
  <c r="AQ1209" i="2"/>
  <c r="AV1209" i="2" s="1"/>
  <c r="BE1209" i="2" s="1"/>
  <c r="AB1241" i="2"/>
  <c r="AL1241" i="2"/>
  <c r="V1241" i="2"/>
  <c r="AG1241" i="2"/>
  <c r="AQ1273" i="2"/>
  <c r="AV1273" i="2" s="1"/>
  <c r="BE1273" i="2" s="1"/>
  <c r="AB1305" i="2"/>
  <c r="AL1305" i="2"/>
  <c r="V1305" i="2"/>
  <c r="AG1305" i="2"/>
  <c r="AQ1337" i="2"/>
  <c r="AV1337" i="2" s="1"/>
  <c r="BE1337" i="2" s="1"/>
  <c r="AB1369" i="2"/>
  <c r="AL1369" i="2"/>
  <c r="V1369" i="2"/>
  <c r="AG1369" i="2"/>
  <c r="AL1180" i="2"/>
  <c r="V1180" i="2"/>
  <c r="AG1180" i="2"/>
  <c r="AB1180" i="2"/>
  <c r="BD1191" i="2"/>
  <c r="AQ1212" i="2"/>
  <c r="AV1212" i="2" s="1"/>
  <c r="BE1212" i="2" s="1"/>
  <c r="AL1244" i="2"/>
  <c r="V1244" i="2"/>
  <c r="AG1244" i="2"/>
  <c r="AB1244" i="2"/>
  <c r="BD1255" i="2"/>
  <c r="AQ1276" i="2"/>
  <c r="AV1276" i="2" s="1"/>
  <c r="BE1276" i="2" s="1"/>
  <c r="AL1308" i="2"/>
  <c r="V1308" i="2"/>
  <c r="AG1308" i="2"/>
  <c r="AB1308" i="2"/>
  <c r="BD1319" i="2"/>
  <c r="AQ1340" i="2"/>
  <c r="AV1340" i="2" s="1"/>
  <c r="BE1340" i="2" s="1"/>
  <c r="AQ1380" i="2"/>
  <c r="AV1380" i="2" s="1"/>
  <c r="BE1380" i="2" s="1"/>
  <c r="AQ1067" i="2"/>
  <c r="AV1067" i="2" s="1"/>
  <c r="BE1067" i="2" s="1"/>
  <c r="AG1099" i="2"/>
  <c r="AL1099" i="2"/>
  <c r="V1099" i="2"/>
  <c r="AB1099" i="2"/>
  <c r="AQ1131" i="2"/>
  <c r="AV1131" i="2" s="1"/>
  <c r="BE1131" i="2" s="1"/>
  <c r="AB1199" i="2"/>
  <c r="AL1199" i="2"/>
  <c r="V1199" i="2"/>
  <c r="AG1199" i="2"/>
  <c r="AQ1231" i="2"/>
  <c r="AV1231" i="2" s="1"/>
  <c r="BE1231" i="2" s="1"/>
  <c r="AB1263" i="2"/>
  <c r="AL1263" i="2"/>
  <c r="V1263" i="2"/>
  <c r="AG1263" i="2"/>
  <c r="AQ1295" i="2"/>
  <c r="AV1295" i="2" s="1"/>
  <c r="BE1295" i="2" s="1"/>
  <c r="AB1327" i="2"/>
  <c r="AL1327" i="2"/>
  <c r="V1327" i="2"/>
  <c r="AG1327" i="2"/>
  <c r="AQ1359" i="2"/>
  <c r="AV1359" i="2" s="1"/>
  <c r="BE1359" i="2" s="1"/>
  <c r="BD1147" i="2"/>
  <c r="AL1178" i="2"/>
  <c r="V1178" i="2"/>
  <c r="AG1178" i="2"/>
  <c r="AB1178" i="2"/>
  <c r="BD1189" i="2"/>
  <c r="AQ1210" i="2"/>
  <c r="AV1210" i="2" s="1"/>
  <c r="BE1210" i="2" s="1"/>
  <c r="AL1242" i="2"/>
  <c r="V1242" i="2"/>
  <c r="AG1242" i="2"/>
  <c r="AB1242" i="2"/>
  <c r="BD1253" i="2"/>
  <c r="AQ1274" i="2"/>
  <c r="AV1274" i="2" s="1"/>
  <c r="BE1274" i="2" s="1"/>
  <c r="AL1306" i="2"/>
  <c r="V1306" i="2"/>
  <c r="AG1306" i="2"/>
  <c r="AB1306" i="2"/>
  <c r="BD1317" i="2"/>
  <c r="AQ1338" i="2"/>
  <c r="AV1338" i="2" s="1"/>
  <c r="BE1338" i="2" s="1"/>
  <c r="AL1370" i="2"/>
  <c r="V1370" i="2"/>
  <c r="AG1370" i="2"/>
  <c r="AB1370" i="2"/>
  <c r="AL1375" i="2"/>
  <c r="V1375" i="2"/>
  <c r="AG1375" i="2"/>
  <c r="AB1375" i="2"/>
  <c r="AQ1382" i="2"/>
  <c r="AV1382" i="2" s="1"/>
  <c r="BE1382" i="2" s="1"/>
  <c r="BD1390" i="2"/>
  <c r="AQ1397" i="2"/>
  <c r="AV1397" i="2" s="1"/>
  <c r="BE1397" i="2" s="1"/>
  <c r="AB1401" i="2"/>
  <c r="AL1401" i="2"/>
  <c r="V1401" i="2"/>
  <c r="AG1401" i="2"/>
  <c r="BD1404" i="2"/>
  <c r="AQ1413" i="2"/>
  <c r="AV1413" i="2" s="1"/>
  <c r="BE1413" i="2" s="1"/>
  <c r="AB1417" i="2"/>
  <c r="AL1417" i="2"/>
  <c r="V1417" i="2"/>
  <c r="AG1417" i="2"/>
  <c r="BD1420" i="2"/>
  <c r="AQ1429" i="2"/>
  <c r="AV1429" i="2" s="1"/>
  <c r="BE1429" i="2" s="1"/>
  <c r="AB1433" i="2"/>
  <c r="AL1433" i="2"/>
  <c r="V1433" i="2"/>
  <c r="AG1433" i="2"/>
  <c r="BD1436" i="2"/>
  <c r="AB1475" i="2"/>
  <c r="AL1475" i="2"/>
  <c r="V1475" i="2"/>
  <c r="AG1475" i="2"/>
  <c r="AL1504" i="2"/>
  <c r="V1504" i="2"/>
  <c r="AB1504" i="2"/>
  <c r="AG1504" i="2"/>
  <c r="AL1588" i="2"/>
  <c r="V1588" i="2"/>
  <c r="AG1588" i="2"/>
  <c r="AB1588" i="2"/>
  <c r="AL1596" i="2"/>
  <c r="V1596" i="2"/>
  <c r="AG1596" i="2"/>
  <c r="AB1596" i="2"/>
  <c r="AQ1603" i="2"/>
  <c r="AV1603" i="2" s="1"/>
  <c r="BE1603" i="2" s="1"/>
  <c r="AQ1628" i="2"/>
  <c r="AV1628" i="2" s="1"/>
  <c r="BE1628" i="2" s="1"/>
  <c r="AB1635" i="2"/>
  <c r="AL1635" i="2"/>
  <c r="V1635" i="2"/>
  <c r="AG1635" i="2"/>
  <c r="AL1660" i="2"/>
  <c r="V1660" i="2"/>
  <c r="AG1660" i="2"/>
  <c r="AB1660" i="2"/>
  <c r="BD1372" i="2"/>
  <c r="BD1397" i="2"/>
  <c r="BD1413" i="2"/>
  <c r="BD1429" i="2"/>
  <c r="AQ1491" i="2"/>
  <c r="AV1491" i="2" s="1"/>
  <c r="BE1491" i="2" s="1"/>
  <c r="AQ1505" i="2"/>
  <c r="AV1505" i="2" s="1"/>
  <c r="BE1505" i="2" s="1"/>
  <c r="AL1518" i="2"/>
  <c r="V1518" i="2"/>
  <c r="AB1518" i="2"/>
  <c r="AG1518" i="2"/>
  <c r="AL1522" i="2"/>
  <c r="V1522" i="2"/>
  <c r="AB1522" i="2"/>
  <c r="AG1522" i="2"/>
  <c r="AL1526" i="2"/>
  <c r="V1526" i="2"/>
  <c r="AB1526" i="2"/>
  <c r="AG1526" i="2"/>
  <c r="AB1533" i="2"/>
  <c r="AL1533" i="2"/>
  <c r="V1533" i="2"/>
  <c r="AG1533" i="2"/>
  <c r="AL1446" i="2"/>
  <c r="V1446" i="2"/>
  <c r="AB1446" i="2"/>
  <c r="AG1446" i="2"/>
  <c r="AL1450" i="2"/>
  <c r="V1450" i="2"/>
  <c r="AB1450" i="2"/>
  <c r="AG1450" i="2"/>
  <c r="AL1454" i="2"/>
  <c r="V1454" i="2"/>
  <c r="AB1454" i="2"/>
  <c r="AG1454" i="2"/>
  <c r="AL1458" i="2"/>
  <c r="V1458" i="2"/>
  <c r="AB1458" i="2"/>
  <c r="AG1458" i="2"/>
  <c r="AL1462" i="2"/>
  <c r="V1462" i="2"/>
  <c r="AB1462" i="2"/>
  <c r="AG1462" i="2"/>
  <c r="AL1466" i="2"/>
  <c r="V1466" i="2"/>
  <c r="AB1466" i="2"/>
  <c r="AG1466" i="2"/>
  <c r="AL1470" i="2"/>
  <c r="V1470" i="2"/>
  <c r="AB1470" i="2"/>
  <c r="AG1470" i="2"/>
  <c r="AL1474" i="2"/>
  <c r="V1474" i="2"/>
  <c r="AB1474" i="2"/>
  <c r="AG1474" i="2"/>
  <c r="AL1606" i="2"/>
  <c r="V1606" i="2"/>
  <c r="AG1606" i="2"/>
  <c r="AB1606" i="2"/>
  <c r="AQ1613" i="2"/>
  <c r="AV1613" i="2" s="1"/>
  <c r="BE1613" i="2" s="1"/>
  <c r="AQ1638" i="2"/>
  <c r="AV1638" i="2" s="1"/>
  <c r="BE1638" i="2" s="1"/>
  <c r="AB1645" i="2"/>
  <c r="AL1645" i="2"/>
  <c r="V1645" i="2"/>
  <c r="AG1645" i="2"/>
  <c r="AQ1671" i="2"/>
  <c r="AV1671" i="2" s="1"/>
  <c r="BE1671" i="2" s="1"/>
  <c r="AQ1675" i="2"/>
  <c r="AV1675" i="2" s="1"/>
  <c r="BE1675" i="2" s="1"/>
  <c r="AQ1679" i="2"/>
  <c r="AV1679" i="2" s="1"/>
  <c r="BE1679" i="2" s="1"/>
  <c r="AQ1683" i="2"/>
  <c r="AV1683" i="2" s="1"/>
  <c r="BE1683" i="2" s="1"/>
  <c r="AQ1687" i="2"/>
  <c r="AV1687" i="2" s="1"/>
  <c r="BE1687" i="2" s="1"/>
  <c r="AQ1691" i="2"/>
  <c r="AV1691" i="2" s="1"/>
  <c r="BE1691" i="2" s="1"/>
  <c r="AQ1695" i="2"/>
  <c r="AV1695" i="2" s="1"/>
  <c r="BE1695" i="2" s="1"/>
  <c r="AQ1699" i="2"/>
  <c r="AV1699" i="2" s="1"/>
  <c r="BE1699" i="2" s="1"/>
  <c r="AQ1703" i="2"/>
  <c r="AV1703" i="2" s="1"/>
  <c r="BE1703" i="2" s="1"/>
  <c r="AQ1707" i="2"/>
  <c r="AV1707" i="2" s="1"/>
  <c r="BE1707" i="2" s="1"/>
  <c r="AQ1711" i="2"/>
  <c r="AV1711" i="2" s="1"/>
  <c r="BE1711" i="2" s="1"/>
  <c r="AQ1715" i="2"/>
  <c r="AV1715" i="2" s="1"/>
  <c r="BE1715" i="2" s="1"/>
  <c r="AQ1719" i="2"/>
  <c r="AV1719" i="2" s="1"/>
  <c r="BE1719" i="2" s="1"/>
  <c r="AQ1723" i="2"/>
  <c r="AV1723" i="2" s="1"/>
  <c r="BE1723" i="2" s="1"/>
  <c r="AQ1727" i="2"/>
  <c r="AV1727" i="2" s="1"/>
  <c r="BE1727" i="2" s="1"/>
  <c r="AQ1731" i="2"/>
  <c r="AV1731" i="2" s="1"/>
  <c r="BE1731" i="2" s="1"/>
  <c r="AQ1735" i="2"/>
  <c r="AV1735" i="2" s="1"/>
  <c r="BE1735" i="2" s="1"/>
  <c r="AQ1739" i="2"/>
  <c r="AV1739" i="2" s="1"/>
  <c r="BE1739" i="2" s="1"/>
  <c r="AQ1743" i="2"/>
  <c r="AV1743" i="2" s="1"/>
  <c r="BE1743" i="2" s="1"/>
  <c r="AQ1747" i="2"/>
  <c r="AV1747" i="2" s="1"/>
  <c r="BE1747" i="2" s="1"/>
  <c r="AQ1751" i="2"/>
  <c r="AV1751" i="2" s="1"/>
  <c r="BE1751" i="2" s="1"/>
  <c r="AQ1755" i="2"/>
  <c r="AV1755" i="2" s="1"/>
  <c r="BE1755" i="2" s="1"/>
  <c r="AC1795" i="2"/>
  <c r="AM1795" i="2"/>
  <c r="AH1795" i="2"/>
  <c r="W1795" i="2"/>
  <c r="AC1827" i="2"/>
  <c r="AM1827" i="2"/>
  <c r="AH1827" i="2"/>
  <c r="W1827" i="2"/>
  <c r="AR1839" i="2"/>
  <c r="AW1839" i="2" s="1"/>
  <c r="BF1839" i="2" s="1"/>
  <c r="AL1853" i="2"/>
  <c r="V1853" i="2"/>
  <c r="AG1853" i="2"/>
  <c r="AB1853" i="2"/>
  <c r="AL1857" i="2"/>
  <c r="V1857" i="2"/>
  <c r="AG1857" i="2"/>
  <c r="AB1857" i="2"/>
  <c r="AQ1864" i="2"/>
  <c r="AV1864" i="2" s="1"/>
  <c r="BE1864" i="2" s="1"/>
  <c r="AQ1872" i="2"/>
  <c r="AV1872" i="2" s="1"/>
  <c r="BE1872" i="2" s="1"/>
  <c r="AQ1880" i="2"/>
  <c r="AV1880" i="2" s="1"/>
  <c r="BE1880" i="2" s="1"/>
  <c r="AQ1888" i="2"/>
  <c r="AV1888" i="2" s="1"/>
  <c r="BE1888" i="2" s="1"/>
  <c r="AQ1896" i="2"/>
  <c r="AV1896" i="2" s="1"/>
  <c r="BE1896" i="2" s="1"/>
  <c r="AQ1904" i="2"/>
  <c r="AV1904" i="2" s="1"/>
  <c r="BE1904" i="2" s="1"/>
  <c r="AQ1912" i="2"/>
  <c r="AV1912" i="2" s="1"/>
  <c r="BE1912" i="2" s="1"/>
  <c r="AQ1920" i="2"/>
  <c r="AV1920" i="2" s="1"/>
  <c r="BE1920" i="2" s="1"/>
  <c r="AQ1928" i="2"/>
  <c r="AV1928" i="2" s="1"/>
  <c r="BE1928" i="2" s="1"/>
  <c r="AQ1936" i="2"/>
  <c r="AV1936" i="2" s="1"/>
  <c r="BE1936" i="2" s="1"/>
  <c r="AQ1944" i="2"/>
  <c r="AV1944" i="2" s="1"/>
  <c r="BE1944" i="2" s="1"/>
  <c r="AQ1952" i="2"/>
  <c r="AV1952" i="2" s="1"/>
  <c r="BE1952" i="2" s="1"/>
  <c r="AQ1706" i="2"/>
  <c r="AV1706" i="2" s="1"/>
  <c r="BE1706" i="2" s="1"/>
  <c r="AB1722" i="2"/>
  <c r="AL1722" i="2"/>
  <c r="V1722" i="2"/>
  <c r="AG1722" i="2"/>
  <c r="BD1727" i="2"/>
  <c r="AQ1762" i="2"/>
  <c r="AV1762" i="2" s="1"/>
  <c r="BE1762" i="2" s="1"/>
  <c r="AQ1770" i="2"/>
  <c r="AV1770" i="2" s="1"/>
  <c r="BE1770" i="2" s="1"/>
  <c r="AQ1778" i="2"/>
  <c r="AV1778" i="2" s="1"/>
  <c r="BE1778" i="2" s="1"/>
  <c r="AQ1786" i="2"/>
  <c r="AV1786" i="2" s="1"/>
  <c r="BE1786" i="2" s="1"/>
  <c r="AQ1794" i="2"/>
  <c r="AV1794" i="2" s="1"/>
  <c r="BE1794" i="2" s="1"/>
  <c r="AQ1802" i="2"/>
  <c r="AV1802" i="2" s="1"/>
  <c r="BE1802" i="2" s="1"/>
  <c r="AQ1810" i="2"/>
  <c r="AV1810" i="2" s="1"/>
  <c r="BE1810" i="2" s="1"/>
  <c r="AQ1818" i="2"/>
  <c r="AV1818" i="2" s="1"/>
  <c r="BE1818" i="2" s="1"/>
  <c r="AQ1826" i="2"/>
  <c r="AV1826" i="2" s="1"/>
  <c r="BE1826" i="2" s="1"/>
  <c r="AQ1834" i="2"/>
  <c r="AV1834" i="2" s="1"/>
  <c r="BE1834" i="2" s="1"/>
  <c r="AQ1820" i="2"/>
  <c r="AV1820" i="2" s="1"/>
  <c r="BE1820" i="2" s="1"/>
  <c r="BD1878" i="2"/>
  <c r="BD1942" i="2"/>
  <c r="AQ2049" i="2"/>
  <c r="AV2049" i="2" s="1"/>
  <c r="BE2049" i="2" s="1"/>
  <c r="AL2057" i="2"/>
  <c r="V2057" i="2"/>
  <c r="AG2057" i="2"/>
  <c r="AB2057" i="2"/>
  <c r="BD2060" i="2"/>
  <c r="AQ2065" i="2"/>
  <c r="AV2065" i="2" s="1"/>
  <c r="BE2065" i="2" s="1"/>
  <c r="AL2073" i="2"/>
  <c r="V2073" i="2"/>
  <c r="AG2073" i="2"/>
  <c r="AB2073" i="2"/>
  <c r="BD2076" i="2"/>
  <c r="AQ2081" i="2"/>
  <c r="AV2081" i="2" s="1"/>
  <c r="BE2081" i="2" s="1"/>
  <c r="AL2089" i="2"/>
  <c r="V2089" i="2"/>
  <c r="AG2089" i="2"/>
  <c r="AB2089" i="2"/>
  <c r="BD2092" i="2"/>
  <c r="AQ2097" i="2"/>
  <c r="AV2097" i="2" s="1"/>
  <c r="BE2097" i="2" s="1"/>
  <c r="AL2105" i="2"/>
  <c r="V2105" i="2"/>
  <c r="AG2105" i="2"/>
  <c r="AB2105" i="2"/>
  <c r="BD2108" i="2"/>
  <c r="AQ2115" i="2"/>
  <c r="AV2115" i="2" s="1"/>
  <c r="BE2115" i="2" s="1"/>
  <c r="AQ2117" i="2"/>
  <c r="AV2117" i="2" s="1"/>
  <c r="BE2117" i="2" s="1"/>
  <c r="AQ2119" i="2"/>
  <c r="AV2119" i="2" s="1"/>
  <c r="BE2119" i="2" s="1"/>
  <c r="AQ2121" i="2"/>
  <c r="AV2121" i="2" s="1"/>
  <c r="BE2121" i="2" s="1"/>
  <c r="AQ2123" i="2"/>
  <c r="AV2123" i="2" s="1"/>
  <c r="BE2123" i="2" s="1"/>
  <c r="AQ2125" i="2"/>
  <c r="AV2125" i="2" s="1"/>
  <c r="BE2125" i="2" s="1"/>
  <c r="AQ2127" i="2"/>
  <c r="AV2127" i="2" s="1"/>
  <c r="BE2127" i="2" s="1"/>
  <c r="AQ2129" i="2"/>
  <c r="AV2129" i="2" s="1"/>
  <c r="BE2129" i="2" s="1"/>
  <c r="AQ2131" i="2"/>
  <c r="AV2131" i="2" s="1"/>
  <c r="BE2131" i="2" s="1"/>
  <c r="AQ2133" i="2"/>
  <c r="AV2133" i="2" s="1"/>
  <c r="BE2133" i="2" s="1"/>
  <c r="AQ2135" i="2"/>
  <c r="AV2135" i="2" s="1"/>
  <c r="BE2135" i="2" s="1"/>
  <c r="AQ2137" i="2"/>
  <c r="AV2137" i="2" s="1"/>
  <c r="BE2137" i="2" s="1"/>
  <c r="AQ2139" i="2"/>
  <c r="AV2139" i="2" s="1"/>
  <c r="BE2139" i="2" s="1"/>
  <c r="AQ2141" i="2"/>
  <c r="AV2141" i="2" s="1"/>
  <c r="BE2141" i="2" s="1"/>
  <c r="AQ2146" i="2"/>
  <c r="AV2146" i="2" s="1"/>
  <c r="BE2146" i="2" s="1"/>
  <c r="BD2050" i="2"/>
  <c r="AQ2067" i="2"/>
  <c r="AV2067" i="2" s="1"/>
  <c r="BE2067" i="2" s="1"/>
  <c r="AB2076" i="2"/>
  <c r="AL2076" i="2"/>
  <c r="V2076" i="2"/>
  <c r="AG2076" i="2"/>
  <c r="AL2099" i="2"/>
  <c r="V2099" i="2"/>
  <c r="AG2099" i="2"/>
  <c r="AB2099" i="2"/>
  <c r="AQ2108" i="2"/>
  <c r="AV2108" i="2" s="1"/>
  <c r="BE2108" i="2" s="1"/>
  <c r="AG2114" i="2"/>
  <c r="AB2114" i="2"/>
  <c r="AL2114" i="2"/>
  <c r="V2114" i="2"/>
  <c r="AG2155" i="2"/>
  <c r="AB2155" i="2"/>
  <c r="AL2155" i="2"/>
  <c r="V2155" i="2"/>
  <c r="BD2166" i="2"/>
  <c r="AQ2187" i="2"/>
  <c r="AV2187" i="2" s="1"/>
  <c r="BE2187" i="2" s="1"/>
  <c r="AQ2186" i="2"/>
  <c r="AV2186" i="2" s="1"/>
  <c r="BE2186" i="2" s="1"/>
  <c r="AG2177" i="2"/>
  <c r="AB2177" i="2"/>
  <c r="AL2177" i="2"/>
  <c r="V2177" i="2"/>
  <c r="BD2188" i="2"/>
  <c r="AL2172" i="2"/>
  <c r="V2172" i="2"/>
  <c r="AG2172" i="2"/>
  <c r="AB2172" i="2"/>
  <c r="AQ2397" i="2"/>
  <c r="AV2397" i="2" s="1"/>
  <c r="BE2397" i="2" s="1"/>
  <c r="AQ2405" i="2"/>
  <c r="AV2405" i="2" s="1"/>
  <c r="BE2405" i="2" s="1"/>
  <c r="AB2301" i="2"/>
  <c r="AL2301" i="2"/>
  <c r="V2301" i="2"/>
  <c r="AG2301" i="2"/>
  <c r="AB2309" i="2"/>
  <c r="AL2309" i="2"/>
  <c r="V2309" i="2"/>
  <c r="AG2309" i="2"/>
  <c r="AQ2400" i="2"/>
  <c r="AV2400" i="2" s="1"/>
  <c r="BE2400" i="2" s="1"/>
  <c r="BD2495" i="2"/>
  <c r="AB53" i="2"/>
  <c r="AG53" i="2"/>
  <c r="AL53" i="2"/>
  <c r="V53" i="2"/>
  <c r="AQ12" i="2"/>
  <c r="AV12" i="2" s="1"/>
  <c r="BE12" i="2" s="1"/>
  <c r="AQ76" i="2"/>
  <c r="AV76" i="2" s="1"/>
  <c r="BE76" i="2" s="1"/>
  <c r="AR184" i="2"/>
  <c r="AW184" i="2" s="1"/>
  <c r="BF184" i="2" s="1"/>
  <c r="AR168" i="2"/>
  <c r="AW168" i="2" s="1"/>
  <c r="BF168" i="2" s="1"/>
  <c r="BD73" i="2"/>
  <c r="AL90" i="2"/>
  <c r="V90" i="2"/>
  <c r="AG90" i="2"/>
  <c r="AB90" i="2"/>
  <c r="AL96" i="2"/>
  <c r="V96" i="2"/>
  <c r="AB96" i="2"/>
  <c r="AG96" i="2"/>
  <c r="BD100" i="2"/>
  <c r="BD112" i="2"/>
  <c r="AB141" i="2"/>
  <c r="AL141" i="2"/>
  <c r="AG141" i="2"/>
  <c r="V141" i="2"/>
  <c r="AB159" i="2"/>
  <c r="AL159" i="2"/>
  <c r="AG159" i="2"/>
  <c r="V159" i="2"/>
  <c r="AQ3" i="2"/>
  <c r="AV3" i="2" s="1"/>
  <c r="BE3" i="2" s="1"/>
  <c r="BD23" i="2"/>
  <c r="AQ67" i="2"/>
  <c r="AV67" i="2" s="1"/>
  <c r="BE67" i="2" s="1"/>
  <c r="AL110" i="2"/>
  <c r="V110" i="2"/>
  <c r="AG110" i="2"/>
  <c r="AB110" i="2"/>
  <c r="AQ126" i="2"/>
  <c r="AV126" i="2" s="1"/>
  <c r="BE126" i="2" s="1"/>
  <c r="AL142" i="2"/>
  <c r="V142" i="2"/>
  <c r="AG142" i="2"/>
  <c r="AB142" i="2"/>
  <c r="AQ158" i="2"/>
  <c r="AV158" i="2" s="1"/>
  <c r="BE158" i="2" s="1"/>
  <c r="AL174" i="2"/>
  <c r="V174" i="2"/>
  <c r="AG174" i="2"/>
  <c r="AB174" i="2"/>
  <c r="AQ190" i="2"/>
  <c r="AV190" i="2" s="1"/>
  <c r="BE190" i="2" s="1"/>
  <c r="AL208" i="2"/>
  <c r="V208" i="2"/>
  <c r="AG208" i="2"/>
  <c r="AB208" i="2"/>
  <c r="AL210" i="2"/>
  <c r="V210" i="2"/>
  <c r="AG210" i="2"/>
  <c r="AB210" i="2"/>
  <c r="AQ235" i="2"/>
  <c r="AV235" i="2" s="1"/>
  <c r="BE235" i="2" s="1"/>
  <c r="AQ241" i="2"/>
  <c r="AV241" i="2" s="1"/>
  <c r="BE241" i="2" s="1"/>
  <c r="BD247" i="2"/>
  <c r="AB455" i="2"/>
  <c r="AL455" i="2"/>
  <c r="AG455" i="2"/>
  <c r="V455" i="2"/>
  <c r="AQ481" i="2"/>
  <c r="AV481" i="2" s="1"/>
  <c r="BE481" i="2" s="1"/>
  <c r="AQ15" i="2"/>
  <c r="AV15" i="2" s="1"/>
  <c r="BE15" i="2" s="1"/>
  <c r="AL80" i="2"/>
  <c r="V80" i="2"/>
  <c r="AB80" i="2"/>
  <c r="AG80" i="2"/>
  <c r="AB101" i="2"/>
  <c r="AG101" i="2"/>
  <c r="V101" i="2"/>
  <c r="AL101" i="2"/>
  <c r="BD131" i="2"/>
  <c r="AB133" i="2"/>
  <c r="AG133" i="2"/>
  <c r="V133" i="2"/>
  <c r="AL133" i="2"/>
  <c r="BD163" i="2"/>
  <c r="AB165" i="2"/>
  <c r="AG165" i="2"/>
  <c r="V165" i="2"/>
  <c r="AL165" i="2"/>
  <c r="BD195" i="2"/>
  <c r="AB197" i="2"/>
  <c r="AG197" i="2"/>
  <c r="V197" i="2"/>
  <c r="AL197" i="2"/>
  <c r="AL344" i="2"/>
  <c r="V344" i="2"/>
  <c r="AG344" i="2"/>
  <c r="AB344" i="2"/>
  <c r="AL376" i="2"/>
  <c r="V376" i="2"/>
  <c r="AG376" i="2"/>
  <c r="AB376" i="2"/>
  <c r="AB407" i="2"/>
  <c r="AL407" i="2"/>
  <c r="AG407" i="2"/>
  <c r="V407" i="2"/>
  <c r="AL424" i="2"/>
  <c r="V424" i="2"/>
  <c r="AG424" i="2"/>
  <c r="AB424" i="2"/>
  <c r="AQ447" i="2"/>
  <c r="AV447" i="2" s="1"/>
  <c r="BE447" i="2" s="1"/>
  <c r="AB473" i="2"/>
  <c r="AL473" i="2"/>
  <c r="AG473" i="2"/>
  <c r="V473" i="2"/>
  <c r="AQ31" i="2"/>
  <c r="AV31" i="2" s="1"/>
  <c r="BE31" i="2" s="1"/>
  <c r="BD39" i="2"/>
  <c r="AQ41" i="2"/>
  <c r="AV41" i="2" s="1"/>
  <c r="BE41" i="2" s="1"/>
  <c r="AQ95" i="2"/>
  <c r="AV95" i="2" s="1"/>
  <c r="BE95" i="2" s="1"/>
  <c r="BD103" i="2"/>
  <c r="AQ107" i="2"/>
  <c r="AV107" i="2" s="1"/>
  <c r="BE107" i="2" s="1"/>
  <c r="BD119" i="2"/>
  <c r="AQ123" i="2"/>
  <c r="AV123" i="2" s="1"/>
  <c r="BE123" i="2" s="1"/>
  <c r="BD135" i="2"/>
  <c r="AQ139" i="2"/>
  <c r="AV139" i="2" s="1"/>
  <c r="BE139" i="2" s="1"/>
  <c r="BD151" i="2"/>
  <c r="AQ155" i="2"/>
  <c r="AV155" i="2" s="1"/>
  <c r="BE155" i="2" s="1"/>
  <c r="BD167" i="2"/>
  <c r="AQ171" i="2"/>
  <c r="AV171" i="2" s="1"/>
  <c r="BE171" i="2" s="1"/>
  <c r="BD183" i="2"/>
  <c r="AQ187" i="2"/>
  <c r="AV187" i="2" s="1"/>
  <c r="BE187" i="2" s="1"/>
  <c r="BD199" i="2"/>
  <c r="AB243" i="2"/>
  <c r="AL243" i="2"/>
  <c r="AG243" i="2"/>
  <c r="V243" i="2"/>
  <c r="AB249" i="2"/>
  <c r="AL249" i="2"/>
  <c r="AG249" i="2"/>
  <c r="V249" i="2"/>
  <c r="AQ268" i="2"/>
  <c r="AV268" i="2" s="1"/>
  <c r="BE268" i="2" s="1"/>
  <c r="AQ282" i="2"/>
  <c r="AV282" i="2" s="1"/>
  <c r="BE282" i="2" s="1"/>
  <c r="AQ450" i="2"/>
  <c r="AV450" i="2" s="1"/>
  <c r="BE450" i="2" s="1"/>
  <c r="AQ480" i="2"/>
  <c r="AV480" i="2" s="1"/>
  <c r="BE480" i="2" s="1"/>
  <c r="AQ516" i="2"/>
  <c r="AV516" i="2" s="1"/>
  <c r="BE516" i="2" s="1"/>
  <c r="BD522" i="2"/>
  <c r="AB532" i="2"/>
  <c r="AL532" i="2"/>
  <c r="V532" i="2"/>
  <c r="AG532" i="2"/>
  <c r="AQ548" i="2"/>
  <c r="AV548" i="2" s="1"/>
  <c r="BE548" i="2" s="1"/>
  <c r="BD554" i="2"/>
  <c r="BD105" i="2"/>
  <c r="BD137" i="2"/>
  <c r="BD169" i="2"/>
  <c r="BD201" i="2"/>
  <c r="AB419" i="2"/>
  <c r="AL419" i="2"/>
  <c r="AG419" i="2"/>
  <c r="V419" i="2"/>
  <c r="AQ451" i="2"/>
  <c r="AV451" i="2" s="1"/>
  <c r="BE451" i="2" s="1"/>
  <c r="AB483" i="2"/>
  <c r="AL483" i="2"/>
  <c r="AG483" i="2"/>
  <c r="V483" i="2"/>
  <c r="BD524" i="2"/>
  <c r="AQ229" i="2"/>
  <c r="AV229" i="2" s="1"/>
  <c r="BE229" i="2" s="1"/>
  <c r="AB261" i="2"/>
  <c r="AG261" i="2"/>
  <c r="V261" i="2"/>
  <c r="AL261" i="2"/>
  <c r="AQ888" i="2"/>
  <c r="AV888" i="2" s="1"/>
  <c r="BE888" i="2" s="1"/>
  <c r="AQ892" i="2"/>
  <c r="AV892" i="2" s="1"/>
  <c r="BE892" i="2" s="1"/>
  <c r="AQ896" i="2"/>
  <c r="AV896" i="2" s="1"/>
  <c r="BE896" i="2" s="1"/>
  <c r="AQ900" i="2"/>
  <c r="AV900" i="2" s="1"/>
  <c r="BE900" i="2" s="1"/>
  <c r="AQ904" i="2"/>
  <c r="AV904" i="2" s="1"/>
  <c r="BE904" i="2" s="1"/>
  <c r="AQ908" i="2"/>
  <c r="AV908" i="2" s="1"/>
  <c r="BE908" i="2" s="1"/>
  <c r="AQ912" i="2"/>
  <c r="AV912" i="2" s="1"/>
  <c r="BE912" i="2" s="1"/>
  <c r="AQ916" i="2"/>
  <c r="AV916" i="2" s="1"/>
  <c r="BE916" i="2" s="1"/>
  <c r="AQ920" i="2"/>
  <c r="AV920" i="2" s="1"/>
  <c r="BE920" i="2" s="1"/>
  <c r="AQ924" i="2"/>
  <c r="AV924" i="2" s="1"/>
  <c r="BE924" i="2" s="1"/>
  <c r="AQ928" i="2"/>
  <c r="AV928" i="2" s="1"/>
  <c r="BE928" i="2" s="1"/>
  <c r="AQ932" i="2"/>
  <c r="AV932" i="2" s="1"/>
  <c r="BE932" i="2" s="1"/>
  <c r="AQ230" i="2"/>
  <c r="AV230" i="2" s="1"/>
  <c r="BE230" i="2" s="1"/>
  <c r="AL262" i="2"/>
  <c r="V262" i="2"/>
  <c r="AG262" i="2"/>
  <c r="AB262" i="2"/>
  <c r="BD317" i="2"/>
  <c r="AQ334" i="2"/>
  <c r="AV334" i="2" s="1"/>
  <c r="BE334" i="2" s="1"/>
  <c r="BD373" i="2"/>
  <c r="AL414" i="2"/>
  <c r="V414" i="2"/>
  <c r="AG414" i="2"/>
  <c r="AB414" i="2"/>
  <c r="AL430" i="2"/>
  <c r="V430" i="2"/>
  <c r="AG430" i="2"/>
  <c r="AB430" i="2"/>
  <c r="AL446" i="2"/>
  <c r="V446" i="2"/>
  <c r="AG446" i="2"/>
  <c r="AB446" i="2"/>
  <c r="AL462" i="2"/>
  <c r="V462" i="2"/>
  <c r="AG462" i="2"/>
  <c r="AB462" i="2"/>
  <c r="AL478" i="2"/>
  <c r="V478" i="2"/>
  <c r="AG478" i="2"/>
  <c r="AB478" i="2"/>
  <c r="AL494" i="2"/>
  <c r="V494" i="2"/>
  <c r="AG494" i="2"/>
  <c r="AB494" i="2"/>
  <c r="AQ557" i="2"/>
  <c r="AV557" i="2" s="1"/>
  <c r="BE557" i="2" s="1"/>
  <c r="AQ559" i="2"/>
  <c r="AV559" i="2" s="1"/>
  <c r="BE559" i="2" s="1"/>
  <c r="AQ561" i="2"/>
  <c r="AV561" i="2" s="1"/>
  <c r="BE561" i="2" s="1"/>
  <c r="AQ563" i="2"/>
  <c r="AV563" i="2" s="1"/>
  <c r="BE563" i="2" s="1"/>
  <c r="AQ565" i="2"/>
  <c r="AV565" i="2" s="1"/>
  <c r="BE565" i="2" s="1"/>
  <c r="AQ567" i="2"/>
  <c r="AV567" i="2" s="1"/>
  <c r="BE567" i="2" s="1"/>
  <c r="AQ569" i="2"/>
  <c r="AV569" i="2" s="1"/>
  <c r="BE569" i="2" s="1"/>
  <c r="AQ571" i="2"/>
  <c r="AV571" i="2" s="1"/>
  <c r="BE571" i="2" s="1"/>
  <c r="AQ573" i="2"/>
  <c r="AV573" i="2" s="1"/>
  <c r="BE573" i="2" s="1"/>
  <c r="AQ575" i="2"/>
  <c r="AV575" i="2" s="1"/>
  <c r="BE575" i="2" s="1"/>
  <c r="AQ577" i="2"/>
  <c r="AV577" i="2" s="1"/>
  <c r="BE577" i="2" s="1"/>
  <c r="AQ579" i="2"/>
  <c r="AV579" i="2" s="1"/>
  <c r="BE579" i="2" s="1"/>
  <c r="AQ581" i="2"/>
  <c r="AV581" i="2" s="1"/>
  <c r="BE581" i="2" s="1"/>
  <c r="AQ583" i="2"/>
  <c r="AV583" i="2" s="1"/>
  <c r="BE583" i="2" s="1"/>
  <c r="AQ585" i="2"/>
  <c r="AV585" i="2" s="1"/>
  <c r="BE585" i="2" s="1"/>
  <c r="AQ587" i="2"/>
  <c r="AV587" i="2" s="1"/>
  <c r="BE587" i="2" s="1"/>
  <c r="AQ589" i="2"/>
  <c r="AV589" i="2" s="1"/>
  <c r="BE589" i="2" s="1"/>
  <c r="AQ591" i="2"/>
  <c r="AV591" i="2" s="1"/>
  <c r="BE591" i="2" s="1"/>
  <c r="AQ593" i="2"/>
  <c r="AV593" i="2" s="1"/>
  <c r="BE593" i="2" s="1"/>
  <c r="AQ595" i="2"/>
  <c r="AV595" i="2" s="1"/>
  <c r="BE595" i="2" s="1"/>
  <c r="AQ597" i="2"/>
  <c r="AV597" i="2" s="1"/>
  <c r="BE597" i="2" s="1"/>
  <c r="AQ599" i="2"/>
  <c r="AV599" i="2" s="1"/>
  <c r="BE599" i="2" s="1"/>
  <c r="AQ601" i="2"/>
  <c r="AV601" i="2" s="1"/>
  <c r="BE601" i="2" s="1"/>
  <c r="AQ603" i="2"/>
  <c r="AV603" i="2" s="1"/>
  <c r="BE603" i="2" s="1"/>
  <c r="AQ605" i="2"/>
  <c r="AV605" i="2" s="1"/>
  <c r="BE605" i="2" s="1"/>
  <c r="AQ607" i="2"/>
  <c r="AV607" i="2" s="1"/>
  <c r="BE607" i="2" s="1"/>
  <c r="AQ609" i="2"/>
  <c r="AV609" i="2" s="1"/>
  <c r="BE609" i="2" s="1"/>
  <c r="AQ611" i="2"/>
  <c r="AV611" i="2" s="1"/>
  <c r="BE611" i="2" s="1"/>
  <c r="AQ613" i="2"/>
  <c r="AV613" i="2" s="1"/>
  <c r="BE613" i="2" s="1"/>
  <c r="AQ615" i="2"/>
  <c r="AV615" i="2" s="1"/>
  <c r="BE615" i="2" s="1"/>
  <c r="AQ617" i="2"/>
  <c r="AV617" i="2" s="1"/>
  <c r="BE617" i="2" s="1"/>
  <c r="AG741" i="2"/>
  <c r="AL741" i="2"/>
  <c r="V741" i="2"/>
  <c r="AB741" i="2"/>
  <c r="AG773" i="2"/>
  <c r="AL773" i="2"/>
  <c r="V773" i="2"/>
  <c r="AB773" i="2"/>
  <c r="AG805" i="2"/>
  <c r="AL805" i="2"/>
  <c r="V805" i="2"/>
  <c r="AB805" i="2"/>
  <c r="AG837" i="2"/>
  <c r="AL837" i="2"/>
  <c r="V837" i="2"/>
  <c r="AB837" i="2"/>
  <c r="AG869" i="2"/>
  <c r="AL869" i="2"/>
  <c r="V869" i="2"/>
  <c r="AB869" i="2"/>
  <c r="AG1041" i="2"/>
  <c r="AB1041" i="2"/>
  <c r="AL1041" i="2"/>
  <c r="V1041" i="2"/>
  <c r="AG1056" i="2"/>
  <c r="AB1056" i="2"/>
  <c r="AL1056" i="2"/>
  <c r="V1056" i="2"/>
  <c r="AG1064" i="2"/>
  <c r="AB1064" i="2"/>
  <c r="AL1064" i="2"/>
  <c r="V1064" i="2"/>
  <c r="AG1072" i="2"/>
  <c r="AB1072" i="2"/>
  <c r="AL1072" i="2"/>
  <c r="V1072" i="2"/>
  <c r="AG1080" i="2"/>
  <c r="AB1080" i="2"/>
  <c r="AL1080" i="2"/>
  <c r="V1080" i="2"/>
  <c r="AG1088" i="2"/>
  <c r="AB1088" i="2"/>
  <c r="AL1088" i="2"/>
  <c r="V1088" i="2"/>
  <c r="AG1096" i="2"/>
  <c r="AB1096" i="2"/>
  <c r="AL1096" i="2"/>
  <c r="V1096" i="2"/>
  <c r="AG1104" i="2"/>
  <c r="AB1104" i="2"/>
  <c r="AL1104" i="2"/>
  <c r="V1104" i="2"/>
  <c r="AG1112" i="2"/>
  <c r="AB1112" i="2"/>
  <c r="AL1112" i="2"/>
  <c r="V1112" i="2"/>
  <c r="AG1120" i="2"/>
  <c r="AB1120" i="2"/>
  <c r="AL1120" i="2"/>
  <c r="V1120" i="2"/>
  <c r="AG1128" i="2"/>
  <c r="AB1128" i="2"/>
  <c r="AL1128" i="2"/>
  <c r="V1128" i="2"/>
  <c r="AG1136" i="2"/>
  <c r="AB1136" i="2"/>
  <c r="AL1136" i="2"/>
  <c r="V1136" i="2"/>
  <c r="BD728" i="2"/>
  <c r="BD792" i="2"/>
  <c r="BD856" i="2"/>
  <c r="AG728" i="2"/>
  <c r="AB728" i="2"/>
  <c r="AL728" i="2"/>
  <c r="V728" i="2"/>
  <c r="AQ744" i="2"/>
  <c r="AV744" i="2" s="1"/>
  <c r="BE744" i="2" s="1"/>
  <c r="AG760" i="2"/>
  <c r="AB760" i="2"/>
  <c r="AL760" i="2"/>
  <c r="V760" i="2"/>
  <c r="AQ776" i="2"/>
  <c r="AV776" i="2" s="1"/>
  <c r="BE776" i="2" s="1"/>
  <c r="AG792" i="2"/>
  <c r="AB792" i="2"/>
  <c r="AL792" i="2"/>
  <c r="V792" i="2"/>
  <c r="AQ808" i="2"/>
  <c r="AV808" i="2" s="1"/>
  <c r="BE808" i="2" s="1"/>
  <c r="AG824" i="2"/>
  <c r="AB824" i="2"/>
  <c r="AL824" i="2"/>
  <c r="V824" i="2"/>
  <c r="AQ840" i="2"/>
  <c r="AV840" i="2" s="1"/>
  <c r="BE840" i="2" s="1"/>
  <c r="AG856" i="2"/>
  <c r="AB856" i="2"/>
  <c r="AL856" i="2"/>
  <c r="V856" i="2"/>
  <c r="AQ872" i="2"/>
  <c r="AV872" i="2" s="1"/>
  <c r="BE872" i="2" s="1"/>
  <c r="BD889" i="2"/>
  <c r="BD905" i="2"/>
  <c r="BD921" i="2"/>
  <c r="AQ1042" i="2"/>
  <c r="AV1042" i="2" s="1"/>
  <c r="BE1042" i="2" s="1"/>
  <c r="AQ1053" i="2"/>
  <c r="AV1053" i="2" s="1"/>
  <c r="BE1053" i="2" s="1"/>
  <c r="AG1069" i="2"/>
  <c r="AL1069" i="2"/>
  <c r="V1069" i="2"/>
  <c r="AB1069" i="2"/>
  <c r="AQ1085" i="2"/>
  <c r="AV1085" i="2" s="1"/>
  <c r="BE1085" i="2" s="1"/>
  <c r="AG1101" i="2"/>
  <c r="AL1101" i="2"/>
  <c r="V1101" i="2"/>
  <c r="AB1101" i="2"/>
  <c r="AQ1117" i="2"/>
  <c r="AV1117" i="2" s="1"/>
  <c r="BE1117" i="2" s="1"/>
  <c r="AG1133" i="2"/>
  <c r="AL1133" i="2"/>
  <c r="V1133" i="2"/>
  <c r="AB1133" i="2"/>
  <c r="AB1189" i="2"/>
  <c r="AL1189" i="2"/>
  <c r="V1189" i="2"/>
  <c r="AG1189" i="2"/>
  <c r="AQ1221" i="2"/>
  <c r="AV1221" i="2" s="1"/>
  <c r="BE1221" i="2" s="1"/>
  <c r="AB1253" i="2"/>
  <c r="AL1253" i="2"/>
  <c r="V1253" i="2"/>
  <c r="AG1253" i="2"/>
  <c r="AQ1285" i="2"/>
  <c r="AV1285" i="2" s="1"/>
  <c r="BE1285" i="2" s="1"/>
  <c r="AB1317" i="2"/>
  <c r="AL1317" i="2"/>
  <c r="V1317" i="2"/>
  <c r="AG1317" i="2"/>
  <c r="AQ1349" i="2"/>
  <c r="AV1349" i="2" s="1"/>
  <c r="BE1349" i="2" s="1"/>
  <c r="AL1192" i="2"/>
  <c r="V1192" i="2"/>
  <c r="AG1192" i="2"/>
  <c r="AB1192" i="2"/>
  <c r="BD1203" i="2"/>
  <c r="AQ1224" i="2"/>
  <c r="AV1224" i="2" s="1"/>
  <c r="BE1224" i="2" s="1"/>
  <c r="AL1256" i="2"/>
  <c r="V1256" i="2"/>
  <c r="AG1256" i="2"/>
  <c r="AB1256" i="2"/>
  <c r="BD1267" i="2"/>
  <c r="AQ1288" i="2"/>
  <c r="AV1288" i="2" s="1"/>
  <c r="BE1288" i="2" s="1"/>
  <c r="AL1320" i="2"/>
  <c r="V1320" i="2"/>
  <c r="AG1320" i="2"/>
  <c r="AB1320" i="2"/>
  <c r="BD1331" i="2"/>
  <c r="AQ1352" i="2"/>
  <c r="AV1352" i="2" s="1"/>
  <c r="BE1352" i="2" s="1"/>
  <c r="AG1055" i="2"/>
  <c r="AL1055" i="2"/>
  <c r="V1055" i="2"/>
  <c r="AB1055" i="2"/>
  <c r="AQ1071" i="2"/>
  <c r="AV1071" i="2" s="1"/>
  <c r="BE1071" i="2" s="1"/>
  <c r="AG1087" i="2"/>
  <c r="AL1087" i="2"/>
  <c r="V1087" i="2"/>
  <c r="AB1087" i="2"/>
  <c r="AQ1103" i="2"/>
  <c r="AV1103" i="2" s="1"/>
  <c r="BE1103" i="2" s="1"/>
  <c r="AG1119" i="2"/>
  <c r="AL1119" i="2"/>
  <c r="V1119" i="2"/>
  <c r="AB1119" i="2"/>
  <c r="AQ1135" i="2"/>
  <c r="AV1135" i="2" s="1"/>
  <c r="BE1135" i="2" s="1"/>
  <c r="AB1195" i="2"/>
  <c r="AL1195" i="2"/>
  <c r="V1195" i="2"/>
  <c r="AG1195" i="2"/>
  <c r="AQ1227" i="2"/>
  <c r="AV1227" i="2" s="1"/>
  <c r="BE1227" i="2" s="1"/>
  <c r="AB1259" i="2"/>
  <c r="AL1259" i="2"/>
  <c r="V1259" i="2"/>
  <c r="AG1259" i="2"/>
  <c r="AQ1291" i="2"/>
  <c r="AV1291" i="2" s="1"/>
  <c r="BE1291" i="2" s="1"/>
  <c r="AB1323" i="2"/>
  <c r="AL1323" i="2"/>
  <c r="V1323" i="2"/>
  <c r="AG1323" i="2"/>
  <c r="AQ1355" i="2"/>
  <c r="AV1355" i="2" s="1"/>
  <c r="BE1355" i="2" s="1"/>
  <c r="BD1185" i="2"/>
  <c r="AQ1206" i="2"/>
  <c r="AV1206" i="2" s="1"/>
  <c r="BE1206" i="2" s="1"/>
  <c r="AL1238" i="2"/>
  <c r="V1238" i="2"/>
  <c r="AG1238" i="2"/>
  <c r="AB1238" i="2"/>
  <c r="BD1249" i="2"/>
  <c r="AQ1270" i="2"/>
  <c r="AV1270" i="2" s="1"/>
  <c r="BE1270" i="2" s="1"/>
  <c r="AL1302" i="2"/>
  <c r="V1302" i="2"/>
  <c r="AG1302" i="2"/>
  <c r="AB1302" i="2"/>
  <c r="BD1313" i="2"/>
  <c r="AQ1334" i="2"/>
  <c r="AV1334" i="2" s="1"/>
  <c r="BE1334" i="2" s="1"/>
  <c r="AL1366" i="2"/>
  <c r="V1366" i="2"/>
  <c r="AG1366" i="2"/>
  <c r="AB1366" i="2"/>
  <c r="BD1388" i="2"/>
  <c r="AQ1493" i="2"/>
  <c r="AV1493" i="2" s="1"/>
  <c r="BE1493" i="2" s="1"/>
  <c r="AB1497" i="2"/>
  <c r="AL1497" i="2"/>
  <c r="V1497" i="2"/>
  <c r="AG1497" i="2"/>
  <c r="AB1507" i="2"/>
  <c r="AL1507" i="2"/>
  <c r="V1507" i="2"/>
  <c r="AG1507" i="2"/>
  <c r="BD1510" i="2"/>
  <c r="AQ1519" i="2"/>
  <c r="AV1519" i="2" s="1"/>
  <c r="BE1519" i="2" s="1"/>
  <c r="AB1523" i="2"/>
  <c r="AL1523" i="2"/>
  <c r="V1523" i="2"/>
  <c r="AG1523" i="2"/>
  <c r="BD1526" i="2"/>
  <c r="AQ1535" i="2"/>
  <c r="AV1535" i="2" s="1"/>
  <c r="BE1535" i="2" s="1"/>
  <c r="AB1539" i="2"/>
  <c r="AL1539" i="2"/>
  <c r="V1539" i="2"/>
  <c r="AG1539" i="2"/>
  <c r="BD1542" i="2"/>
  <c r="AQ1583" i="2"/>
  <c r="AV1583" i="2" s="1"/>
  <c r="BE1583" i="2" s="1"/>
  <c r="AQ1600" i="2"/>
  <c r="AV1600" i="2" s="1"/>
  <c r="BE1600" i="2" s="1"/>
  <c r="AB1607" i="2"/>
  <c r="AL1607" i="2"/>
  <c r="V1607" i="2"/>
  <c r="AG1607" i="2"/>
  <c r="AL1632" i="2"/>
  <c r="V1632" i="2"/>
  <c r="AG1632" i="2"/>
  <c r="AB1632" i="2"/>
  <c r="AQ1639" i="2"/>
  <c r="AV1639" i="2" s="1"/>
  <c r="BE1639" i="2" s="1"/>
  <c r="AQ1664" i="2"/>
  <c r="AV1664" i="2" s="1"/>
  <c r="BE1664" i="2" s="1"/>
  <c r="BD1443" i="2"/>
  <c r="AB1477" i="2"/>
  <c r="AL1477" i="2"/>
  <c r="V1477" i="2"/>
  <c r="AG1477" i="2"/>
  <c r="AB1481" i="2"/>
  <c r="AL1481" i="2"/>
  <c r="V1481" i="2"/>
  <c r="AG1481" i="2"/>
  <c r="BD1494" i="2"/>
  <c r="AQ1509" i="2"/>
  <c r="AV1509" i="2" s="1"/>
  <c r="BE1509" i="2" s="1"/>
  <c r="AQ1513" i="2"/>
  <c r="AV1513" i="2" s="1"/>
  <c r="BE1513" i="2" s="1"/>
  <c r="AL1530" i="2"/>
  <c r="V1530" i="2"/>
  <c r="AB1530" i="2"/>
  <c r="AG1530" i="2"/>
  <c r="AB1537" i="2"/>
  <c r="AL1537" i="2"/>
  <c r="V1537" i="2"/>
  <c r="AG1537" i="2"/>
  <c r="AQ1378" i="2"/>
  <c r="AV1378" i="2" s="1"/>
  <c r="BE1378" i="2" s="1"/>
  <c r="BD1386" i="2"/>
  <c r="AQ1586" i="2"/>
  <c r="AV1586" i="2" s="1"/>
  <c r="BE1586" i="2" s="1"/>
  <c r="AQ1594" i="2"/>
  <c r="AV1594" i="2" s="1"/>
  <c r="BE1594" i="2" s="1"/>
  <c r="AB1601" i="2"/>
  <c r="AL1601" i="2"/>
  <c r="V1601" i="2"/>
  <c r="AG1601" i="2"/>
  <c r="BD1604" i="2"/>
  <c r="AL1626" i="2"/>
  <c r="V1626" i="2"/>
  <c r="AG1626" i="2"/>
  <c r="AB1626" i="2"/>
  <c r="AQ1633" i="2"/>
  <c r="AV1633" i="2" s="1"/>
  <c r="BE1633" i="2" s="1"/>
  <c r="AQ1658" i="2"/>
  <c r="AV1658" i="2" s="1"/>
  <c r="BE1658" i="2" s="1"/>
  <c r="AB1665" i="2"/>
  <c r="AL1665" i="2"/>
  <c r="V1665" i="2"/>
  <c r="AG1665" i="2"/>
  <c r="AB1667" i="2"/>
  <c r="AL1667" i="2"/>
  <c r="V1667" i="2"/>
  <c r="AG1667" i="2"/>
  <c r="BD1676" i="2"/>
  <c r="BD1692" i="2"/>
  <c r="BD1708" i="2"/>
  <c r="BD1724" i="2"/>
  <c r="BD1740" i="2"/>
  <c r="BD1756" i="2"/>
  <c r="AR1783" i="2"/>
  <c r="AW1783" i="2" s="1"/>
  <c r="BF1783" i="2" s="1"/>
  <c r="BD1789" i="2"/>
  <c r="AC1799" i="2"/>
  <c r="AM1799" i="2"/>
  <c r="AH1799" i="2"/>
  <c r="W1799" i="2"/>
  <c r="AB1670" i="2"/>
  <c r="AL1670" i="2"/>
  <c r="V1670" i="2"/>
  <c r="AG1670" i="2"/>
  <c r="AQ1718" i="2"/>
  <c r="AV1718" i="2" s="1"/>
  <c r="BE1718" i="2" s="1"/>
  <c r="AB1734" i="2"/>
  <c r="AL1734" i="2"/>
  <c r="V1734" i="2"/>
  <c r="AG1734" i="2"/>
  <c r="AL1846" i="2"/>
  <c r="AB1846" i="2"/>
  <c r="V1846" i="2"/>
  <c r="AG1846" i="2"/>
  <c r="AL1677" i="2"/>
  <c r="V1677" i="2"/>
  <c r="AB1677" i="2"/>
  <c r="AG1677" i="2"/>
  <c r="AL1693" i="2"/>
  <c r="V1693" i="2"/>
  <c r="AB1693" i="2"/>
  <c r="AG1693" i="2"/>
  <c r="AL1709" i="2"/>
  <c r="V1709" i="2"/>
  <c r="AB1709" i="2"/>
  <c r="AG1709" i="2"/>
  <c r="AL1725" i="2"/>
  <c r="V1725" i="2"/>
  <c r="AB1725" i="2"/>
  <c r="AG1725" i="2"/>
  <c r="AL1741" i="2"/>
  <c r="V1741" i="2"/>
  <c r="AB1741" i="2"/>
  <c r="AG1741" i="2"/>
  <c r="AQ1816" i="2"/>
  <c r="AV1816" i="2" s="1"/>
  <c r="BE1816" i="2" s="1"/>
  <c r="AL1832" i="2"/>
  <c r="AG1832" i="2"/>
  <c r="AB1832" i="2"/>
  <c r="V1832" i="2"/>
  <c r="BD1838" i="2"/>
  <c r="AQ1840" i="2"/>
  <c r="AV1840" i="2" s="1"/>
  <c r="BE1840" i="2" s="1"/>
  <c r="AQ2045" i="2"/>
  <c r="AV2045" i="2" s="1"/>
  <c r="BE2045" i="2" s="1"/>
  <c r="AQ2112" i="2"/>
  <c r="AV2112" i="2" s="1"/>
  <c r="BE2112" i="2" s="1"/>
  <c r="BD2049" i="2"/>
  <c r="BD2065" i="2"/>
  <c r="BD2081" i="2"/>
  <c r="BD2097" i="2"/>
  <c r="AQ2046" i="2"/>
  <c r="AV2046" i="2" s="1"/>
  <c r="BE2046" i="2" s="1"/>
  <c r="AQ2048" i="2"/>
  <c r="AV2048" i="2" s="1"/>
  <c r="BE2048" i="2" s="1"/>
  <c r="AQ2071" i="2"/>
  <c r="AV2071" i="2" s="1"/>
  <c r="BE2071" i="2" s="1"/>
  <c r="AB2080" i="2"/>
  <c r="AL2080" i="2"/>
  <c r="V2080" i="2"/>
  <c r="AG2080" i="2"/>
  <c r="AL2103" i="2"/>
  <c r="V2103" i="2"/>
  <c r="AG2103" i="2"/>
  <c r="AB2103" i="2"/>
  <c r="BD2051" i="2"/>
  <c r="BD2067" i="2"/>
  <c r="BD2083" i="2"/>
  <c r="BD2099" i="2"/>
  <c r="AG2183" i="2"/>
  <c r="AB2183" i="2"/>
  <c r="AL2183" i="2"/>
  <c r="V2183" i="2"/>
  <c r="AL2182" i="2"/>
  <c r="V2182" i="2"/>
  <c r="AG2182" i="2"/>
  <c r="AB2182" i="2"/>
  <c r="AG2142" i="2"/>
  <c r="AB2142" i="2"/>
  <c r="AL2142" i="2"/>
  <c r="V2142" i="2"/>
  <c r="AG2157" i="2"/>
  <c r="AB2157" i="2"/>
  <c r="AL2157" i="2"/>
  <c r="V2157" i="2"/>
  <c r="AQ2189" i="2"/>
  <c r="AV2189" i="2" s="1"/>
  <c r="BE2189" i="2" s="1"/>
  <c r="AQ2168" i="2"/>
  <c r="AV2168" i="2" s="1"/>
  <c r="BE2168" i="2" s="1"/>
  <c r="AB2207" i="2"/>
  <c r="AL2207" i="2"/>
  <c r="V2207" i="2"/>
  <c r="AG2207" i="2"/>
  <c r="AQ2215" i="2"/>
  <c r="AV2215" i="2" s="1"/>
  <c r="BE2215" i="2" s="1"/>
  <c r="AB2223" i="2"/>
  <c r="AL2223" i="2"/>
  <c r="V2223" i="2"/>
  <c r="AG2223" i="2"/>
  <c r="AQ2231" i="2"/>
  <c r="AV2231" i="2" s="1"/>
  <c r="BE2231" i="2" s="1"/>
  <c r="AB2239" i="2"/>
  <c r="AL2239" i="2"/>
  <c r="V2239" i="2"/>
  <c r="AG2239" i="2"/>
  <c r="AQ2247" i="2"/>
  <c r="AV2247" i="2" s="1"/>
  <c r="BE2247" i="2" s="1"/>
  <c r="AB2255" i="2"/>
  <c r="AL2255" i="2"/>
  <c r="V2255" i="2"/>
  <c r="AG2255" i="2"/>
  <c r="AQ2263" i="2"/>
  <c r="AV2263" i="2" s="1"/>
  <c r="BE2263" i="2" s="1"/>
  <c r="AB2271" i="2"/>
  <c r="AL2271" i="2"/>
  <c r="V2271" i="2"/>
  <c r="AG2271" i="2"/>
  <c r="AQ2279" i="2"/>
  <c r="AV2279" i="2" s="1"/>
  <c r="BE2279" i="2" s="1"/>
  <c r="AB2287" i="2"/>
  <c r="AL2287" i="2"/>
  <c r="V2287" i="2"/>
  <c r="AG2287" i="2"/>
  <c r="AQ2295" i="2"/>
  <c r="AV2295" i="2" s="1"/>
  <c r="BE2295" i="2" s="1"/>
  <c r="AB2303" i="2"/>
  <c r="AL2303" i="2"/>
  <c r="V2303" i="2"/>
  <c r="AG2303" i="2"/>
  <c r="AQ2311" i="2"/>
  <c r="AV2311" i="2" s="1"/>
  <c r="BE2311" i="2" s="1"/>
  <c r="AL2320" i="2"/>
  <c r="V2320" i="2"/>
  <c r="AG2320" i="2"/>
  <c r="AB2320" i="2"/>
  <c r="AL2336" i="2"/>
  <c r="V2336" i="2"/>
  <c r="AG2336" i="2"/>
  <c r="AB2336" i="2"/>
  <c r="AL2368" i="2"/>
  <c r="V2368" i="2"/>
  <c r="AG2368" i="2"/>
  <c r="AB2368" i="2"/>
  <c r="AQ21" i="2"/>
  <c r="AV21" i="2" s="1"/>
  <c r="BE21" i="2" s="1"/>
  <c r="AB5" i="2"/>
  <c r="V5" i="2"/>
  <c r="AG5" i="2"/>
  <c r="AL5" i="2"/>
  <c r="AQ58" i="2"/>
  <c r="AV58" i="2" s="1"/>
  <c r="BE58" i="2" s="1"/>
  <c r="AQ64" i="2"/>
  <c r="AV64" i="2" s="1"/>
  <c r="BE64" i="2" s="1"/>
  <c r="AB87" i="2"/>
  <c r="AG87" i="2"/>
  <c r="AL87" i="2"/>
  <c r="V87" i="2"/>
  <c r="AB97" i="2"/>
  <c r="AG97" i="2"/>
  <c r="AL97" i="2"/>
  <c r="V97" i="2"/>
  <c r="AQ125" i="2"/>
  <c r="AV125" i="2" s="1"/>
  <c r="BE125" i="2" s="1"/>
  <c r="AQ154" i="2"/>
  <c r="AV154" i="2" s="1"/>
  <c r="BE154" i="2" s="1"/>
  <c r="AQ474" i="2"/>
  <c r="AV474" i="2" s="1"/>
  <c r="BE474" i="2" s="1"/>
  <c r="AL50" i="2"/>
  <c r="V50" i="2"/>
  <c r="AG50" i="2"/>
  <c r="AB50" i="2"/>
  <c r="AL56" i="2"/>
  <c r="V56" i="2"/>
  <c r="AB56" i="2"/>
  <c r="AG56" i="2"/>
  <c r="AL62" i="2"/>
  <c r="V62" i="2"/>
  <c r="AB62" i="2"/>
  <c r="AG62" i="2"/>
  <c r="AQ99" i="2"/>
  <c r="AV99" i="2" s="1"/>
  <c r="BE99" i="2" s="1"/>
  <c r="AH108" i="2"/>
  <c r="AC108" i="2"/>
  <c r="W108" i="2"/>
  <c r="AM108" i="2"/>
  <c r="AH124" i="2"/>
  <c r="AC124" i="2"/>
  <c r="W124" i="2"/>
  <c r="AM124" i="2"/>
  <c r="AH140" i="2"/>
  <c r="AC140" i="2"/>
  <c r="W140" i="2"/>
  <c r="AM140" i="2"/>
  <c r="AH156" i="2"/>
  <c r="AC156" i="2"/>
  <c r="W156" i="2"/>
  <c r="AM156" i="2"/>
  <c r="AH172" i="2"/>
  <c r="AC172" i="2"/>
  <c r="W172" i="2"/>
  <c r="AM172" i="2"/>
  <c r="AH188" i="2"/>
  <c r="AC188" i="2"/>
  <c r="W188" i="2"/>
  <c r="AM188" i="2"/>
  <c r="AH204" i="2"/>
  <c r="AC204" i="2"/>
  <c r="W204" i="2"/>
  <c r="AM204" i="2"/>
  <c r="AB251" i="2"/>
  <c r="AL251" i="2"/>
  <c r="AG251" i="2"/>
  <c r="V251" i="2"/>
  <c r="AB257" i="2"/>
  <c r="AL257" i="2"/>
  <c r="AG257" i="2"/>
  <c r="V257" i="2"/>
  <c r="AQ276" i="2"/>
  <c r="AV276" i="2" s="1"/>
  <c r="BE276" i="2" s="1"/>
  <c r="AQ290" i="2"/>
  <c r="AV290" i="2" s="1"/>
  <c r="BE290" i="2" s="1"/>
  <c r="AB17" i="2"/>
  <c r="AG17" i="2"/>
  <c r="AL17" i="2"/>
  <c r="V17" i="2"/>
  <c r="AB255" i="2"/>
  <c r="AL255" i="2"/>
  <c r="AG255" i="2"/>
  <c r="V255" i="2"/>
  <c r="AR256" i="2"/>
  <c r="AW256" i="2" s="1"/>
  <c r="BF256" i="2" s="1"/>
  <c r="AL352" i="2"/>
  <c r="V352" i="2"/>
  <c r="AG352" i="2"/>
  <c r="AB352" i="2"/>
  <c r="AL384" i="2"/>
  <c r="V384" i="2"/>
  <c r="AG384" i="2"/>
  <c r="AB384" i="2"/>
  <c r="AL426" i="2"/>
  <c r="V426" i="2"/>
  <c r="AG426" i="2"/>
  <c r="AB426" i="2"/>
  <c r="AL456" i="2"/>
  <c r="V456" i="2"/>
  <c r="AG456" i="2"/>
  <c r="AB456" i="2"/>
  <c r="AQ479" i="2"/>
  <c r="AV479" i="2" s="1"/>
  <c r="BE479" i="2" s="1"/>
  <c r="AB19" i="2"/>
  <c r="AL19" i="2"/>
  <c r="AG19" i="2"/>
  <c r="V19" i="2"/>
  <c r="AL34" i="2"/>
  <c r="V34" i="2"/>
  <c r="AG34" i="2"/>
  <c r="AB34" i="2"/>
  <c r="AQ102" i="2"/>
  <c r="AV102" i="2" s="1"/>
  <c r="BE102" i="2" s="1"/>
  <c r="AL118" i="2"/>
  <c r="V118" i="2"/>
  <c r="AG118" i="2"/>
  <c r="AB118" i="2"/>
  <c r="AQ134" i="2"/>
  <c r="AV134" i="2" s="1"/>
  <c r="BE134" i="2" s="1"/>
  <c r="AL150" i="2"/>
  <c r="V150" i="2"/>
  <c r="AG150" i="2"/>
  <c r="AB150" i="2"/>
  <c r="AQ166" i="2"/>
  <c r="AV166" i="2" s="1"/>
  <c r="BE166" i="2" s="1"/>
  <c r="AL182" i="2"/>
  <c r="V182" i="2"/>
  <c r="AG182" i="2"/>
  <c r="AB182" i="2"/>
  <c r="AQ198" i="2"/>
  <c r="AV198" i="2" s="1"/>
  <c r="BE198" i="2" s="1"/>
  <c r="AL220" i="2"/>
  <c r="V220" i="2"/>
  <c r="AB220" i="2"/>
  <c r="AG220" i="2"/>
  <c r="AL234" i="2"/>
  <c r="V234" i="2"/>
  <c r="AG234" i="2"/>
  <c r="AB234" i="2"/>
  <c r="AL284" i="2"/>
  <c r="V284" i="2"/>
  <c r="AB284" i="2"/>
  <c r="AG284" i="2"/>
  <c r="AL298" i="2"/>
  <c r="V298" i="2"/>
  <c r="AG298" i="2"/>
  <c r="AB298" i="2"/>
  <c r="AB313" i="2"/>
  <c r="AL313" i="2"/>
  <c r="AG313" i="2"/>
  <c r="V313" i="2"/>
  <c r="AQ482" i="2"/>
  <c r="AV482" i="2" s="1"/>
  <c r="BE482" i="2" s="1"/>
  <c r="AG727" i="2"/>
  <c r="AL727" i="2"/>
  <c r="V727" i="2"/>
  <c r="AB727" i="2"/>
  <c r="AG743" i="2"/>
  <c r="AL743" i="2"/>
  <c r="V743" i="2"/>
  <c r="AB743" i="2"/>
  <c r="AG759" i="2"/>
  <c r="AL759" i="2"/>
  <c r="V759" i="2"/>
  <c r="AB759" i="2"/>
  <c r="AG775" i="2"/>
  <c r="AL775" i="2"/>
  <c r="V775" i="2"/>
  <c r="AB775" i="2"/>
  <c r="AG791" i="2"/>
  <c r="AL791" i="2"/>
  <c r="V791" i="2"/>
  <c r="AB791" i="2"/>
  <c r="AG807" i="2"/>
  <c r="AL807" i="2"/>
  <c r="V807" i="2"/>
  <c r="AB807" i="2"/>
  <c r="AG823" i="2"/>
  <c r="AL823" i="2"/>
  <c r="V823" i="2"/>
  <c r="AB823" i="2"/>
  <c r="AG839" i="2"/>
  <c r="AL839" i="2"/>
  <c r="V839" i="2"/>
  <c r="AB839" i="2"/>
  <c r="AG855" i="2"/>
  <c r="AL855" i="2"/>
  <c r="V855" i="2"/>
  <c r="AB855" i="2"/>
  <c r="AG871" i="2"/>
  <c r="AL871" i="2"/>
  <c r="V871" i="2"/>
  <c r="AB871" i="2"/>
  <c r="AQ411" i="2"/>
  <c r="AV411" i="2" s="1"/>
  <c r="BE411" i="2" s="1"/>
  <c r="AB443" i="2"/>
  <c r="AL443" i="2"/>
  <c r="AG443" i="2"/>
  <c r="V443" i="2"/>
  <c r="AQ475" i="2"/>
  <c r="AV475" i="2" s="1"/>
  <c r="BE475" i="2" s="1"/>
  <c r="AQ518" i="2"/>
  <c r="AV518" i="2" s="1"/>
  <c r="BE518" i="2" s="1"/>
  <c r="AL533" i="2"/>
  <c r="V533" i="2"/>
  <c r="AG533" i="2"/>
  <c r="AB533" i="2"/>
  <c r="AB550" i="2"/>
  <c r="AL550" i="2"/>
  <c r="V550" i="2"/>
  <c r="AG550" i="2"/>
  <c r="AB237" i="2"/>
  <c r="V237" i="2"/>
  <c r="AL237" i="2"/>
  <c r="AG237" i="2"/>
  <c r="AL535" i="2"/>
  <c r="V535" i="2"/>
  <c r="AG535" i="2"/>
  <c r="AB535" i="2"/>
  <c r="AQ552" i="2"/>
  <c r="AV552" i="2" s="1"/>
  <c r="BE552" i="2" s="1"/>
  <c r="AQ222" i="2"/>
  <c r="AV222" i="2" s="1"/>
  <c r="BE222" i="2" s="1"/>
  <c r="AL254" i="2"/>
  <c r="V254" i="2"/>
  <c r="AG254" i="2"/>
  <c r="AB254" i="2"/>
  <c r="AL318" i="2"/>
  <c r="V318" i="2"/>
  <c r="AG318" i="2"/>
  <c r="AB318" i="2"/>
  <c r="AQ342" i="2"/>
  <c r="AV342" i="2" s="1"/>
  <c r="BE342" i="2" s="1"/>
  <c r="W372" i="2"/>
  <c r="AL521" i="2"/>
  <c r="V521" i="2"/>
  <c r="AG521" i="2"/>
  <c r="AB521" i="2"/>
  <c r="AL627" i="2"/>
  <c r="V627" i="2"/>
  <c r="AG627" i="2"/>
  <c r="AB627" i="2"/>
  <c r="AQ635" i="2"/>
  <c r="AV635" i="2" s="1"/>
  <c r="BE635" i="2" s="1"/>
  <c r="AL643" i="2"/>
  <c r="V643" i="2"/>
  <c r="AG643" i="2"/>
  <c r="AB643" i="2"/>
  <c r="AQ651" i="2"/>
  <c r="AV651" i="2" s="1"/>
  <c r="BE651" i="2" s="1"/>
  <c r="AL659" i="2"/>
  <c r="V659" i="2"/>
  <c r="AG659" i="2"/>
  <c r="AB659" i="2"/>
  <c r="AQ667" i="2"/>
  <c r="AV667" i="2" s="1"/>
  <c r="BE667" i="2" s="1"/>
  <c r="AL675" i="2"/>
  <c r="V675" i="2"/>
  <c r="AG675" i="2"/>
  <c r="AB675" i="2"/>
  <c r="AQ683" i="2"/>
  <c r="AV683" i="2" s="1"/>
  <c r="BE683" i="2" s="1"/>
  <c r="AL691" i="2"/>
  <c r="V691" i="2"/>
  <c r="AG691" i="2"/>
  <c r="AB691" i="2"/>
  <c r="AQ699" i="2"/>
  <c r="AV699" i="2" s="1"/>
  <c r="BE699" i="2" s="1"/>
  <c r="AL707" i="2"/>
  <c r="V707" i="2"/>
  <c r="AG707" i="2"/>
  <c r="AB707" i="2"/>
  <c r="AQ715" i="2"/>
  <c r="AV715" i="2" s="1"/>
  <c r="BE715" i="2" s="1"/>
  <c r="AG761" i="2"/>
  <c r="AL761" i="2"/>
  <c r="V761" i="2"/>
  <c r="AB761" i="2"/>
  <c r="AQ777" i="2"/>
  <c r="AV777" i="2" s="1"/>
  <c r="BE777" i="2" s="1"/>
  <c r="AG825" i="2"/>
  <c r="AL825" i="2"/>
  <c r="V825" i="2"/>
  <c r="AB825" i="2"/>
  <c r="AQ841" i="2"/>
  <c r="AV841" i="2" s="1"/>
  <c r="BE841" i="2" s="1"/>
  <c r="AG938" i="2"/>
  <c r="AB938" i="2"/>
  <c r="AL938" i="2"/>
  <c r="V938" i="2"/>
  <c r="AG942" i="2"/>
  <c r="AB942" i="2"/>
  <c r="AL942" i="2"/>
  <c r="V942" i="2"/>
  <c r="AG946" i="2"/>
  <c r="AB946" i="2"/>
  <c r="AL946" i="2"/>
  <c r="V946" i="2"/>
  <c r="AG950" i="2"/>
  <c r="AB950" i="2"/>
  <c r="AL950" i="2"/>
  <c r="V950" i="2"/>
  <c r="AG954" i="2"/>
  <c r="AB954" i="2"/>
  <c r="AL954" i="2"/>
  <c r="V954" i="2"/>
  <c r="AG958" i="2"/>
  <c r="AB958" i="2"/>
  <c r="AL958" i="2"/>
  <c r="V958" i="2"/>
  <c r="AG962" i="2"/>
  <c r="AB962" i="2"/>
  <c r="AL962" i="2"/>
  <c r="V962" i="2"/>
  <c r="AG966" i="2"/>
  <c r="AB966" i="2"/>
  <c r="AL966" i="2"/>
  <c r="V966" i="2"/>
  <c r="AG970" i="2"/>
  <c r="AB970" i="2"/>
  <c r="AL970" i="2"/>
  <c r="V970" i="2"/>
  <c r="AG974" i="2"/>
  <c r="AB974" i="2"/>
  <c r="AL974" i="2"/>
  <c r="V974" i="2"/>
  <c r="AG978" i="2"/>
  <c r="AB978" i="2"/>
  <c r="AL978" i="2"/>
  <c r="V978" i="2"/>
  <c r="AG982" i="2"/>
  <c r="AB982" i="2"/>
  <c r="AL982" i="2"/>
  <c r="V982" i="2"/>
  <c r="AG986" i="2"/>
  <c r="AB986" i="2"/>
  <c r="AL986" i="2"/>
  <c r="V986" i="2"/>
  <c r="AG990" i="2"/>
  <c r="AB990" i="2"/>
  <c r="AL990" i="2"/>
  <c r="V990" i="2"/>
  <c r="AG994" i="2"/>
  <c r="AB994" i="2"/>
  <c r="AL994" i="2"/>
  <c r="V994" i="2"/>
  <c r="AG998" i="2"/>
  <c r="AB998" i="2"/>
  <c r="AL998" i="2"/>
  <c r="V998" i="2"/>
  <c r="AG1002" i="2"/>
  <c r="AB1002" i="2"/>
  <c r="AL1002" i="2"/>
  <c r="V1002" i="2"/>
  <c r="AG1006" i="2"/>
  <c r="AB1006" i="2"/>
  <c r="AL1006" i="2"/>
  <c r="V1006" i="2"/>
  <c r="AG1010" i="2"/>
  <c r="AB1010" i="2"/>
  <c r="AL1010" i="2"/>
  <c r="V1010" i="2"/>
  <c r="AG1014" i="2"/>
  <c r="AB1014" i="2"/>
  <c r="AL1014" i="2"/>
  <c r="V1014" i="2"/>
  <c r="AG1018" i="2"/>
  <c r="AB1018" i="2"/>
  <c r="AL1018" i="2"/>
  <c r="V1018" i="2"/>
  <c r="AG1022" i="2"/>
  <c r="AB1022" i="2"/>
  <c r="AL1022" i="2"/>
  <c r="V1022" i="2"/>
  <c r="AG1026" i="2"/>
  <c r="AB1026" i="2"/>
  <c r="AL1026" i="2"/>
  <c r="V1026" i="2"/>
  <c r="AG1030" i="2"/>
  <c r="AB1030" i="2"/>
  <c r="AL1030" i="2"/>
  <c r="V1030" i="2"/>
  <c r="AG1034" i="2"/>
  <c r="AB1034" i="2"/>
  <c r="AL1034" i="2"/>
  <c r="V1034" i="2"/>
  <c r="AG1038" i="2"/>
  <c r="AB1038" i="2"/>
  <c r="AL1038" i="2"/>
  <c r="V1038" i="2"/>
  <c r="AG1144" i="2"/>
  <c r="AB1144" i="2"/>
  <c r="AL1144" i="2"/>
  <c r="V1144" i="2"/>
  <c r="AG1148" i="2"/>
  <c r="AB1148" i="2"/>
  <c r="AL1148" i="2"/>
  <c r="V1148" i="2"/>
  <c r="AG1152" i="2"/>
  <c r="AB1152" i="2"/>
  <c r="AL1152" i="2"/>
  <c r="V1152" i="2"/>
  <c r="AQ732" i="2"/>
  <c r="AV732" i="2" s="1"/>
  <c r="BE732" i="2" s="1"/>
  <c r="AG764" i="2"/>
  <c r="AB764" i="2"/>
  <c r="AL764" i="2"/>
  <c r="V764" i="2"/>
  <c r="AQ796" i="2"/>
  <c r="AV796" i="2" s="1"/>
  <c r="BE796" i="2" s="1"/>
  <c r="AG828" i="2"/>
  <c r="AB828" i="2"/>
  <c r="AL828" i="2"/>
  <c r="V828" i="2"/>
  <c r="AQ860" i="2"/>
  <c r="AV860" i="2" s="1"/>
  <c r="BE860" i="2" s="1"/>
  <c r="BD892" i="2"/>
  <c r="BD908" i="2"/>
  <c r="BD924" i="2"/>
  <c r="BD940" i="2"/>
  <c r="BD956" i="2"/>
  <c r="BD972" i="2"/>
  <c r="BD988" i="2"/>
  <c r="BD1004" i="2"/>
  <c r="BD1020" i="2"/>
  <c r="BD1036" i="2"/>
  <c r="AG1057" i="2"/>
  <c r="AL1057" i="2"/>
  <c r="V1057" i="2"/>
  <c r="AB1057" i="2"/>
  <c r="AQ1089" i="2"/>
  <c r="AV1089" i="2" s="1"/>
  <c r="BE1089" i="2" s="1"/>
  <c r="AG1105" i="2"/>
  <c r="AL1105" i="2"/>
  <c r="V1105" i="2"/>
  <c r="AB1105" i="2"/>
  <c r="AQ1121" i="2"/>
  <c r="AV1121" i="2" s="1"/>
  <c r="BE1121" i="2" s="1"/>
  <c r="AM1143" i="2"/>
  <c r="W1143" i="2"/>
  <c r="AH1143" i="2"/>
  <c r="AC1143" i="2"/>
  <c r="AC1147" i="2"/>
  <c r="AH1151" i="2"/>
  <c r="AB1201" i="2"/>
  <c r="AL1201" i="2"/>
  <c r="V1201" i="2"/>
  <c r="AG1201" i="2"/>
  <c r="AQ1233" i="2"/>
  <c r="AV1233" i="2" s="1"/>
  <c r="BE1233" i="2" s="1"/>
  <c r="AB1265" i="2"/>
  <c r="AL1265" i="2"/>
  <c r="V1265" i="2"/>
  <c r="AG1265" i="2"/>
  <c r="AQ1297" i="2"/>
  <c r="AV1297" i="2" s="1"/>
  <c r="BE1297" i="2" s="1"/>
  <c r="AB1329" i="2"/>
  <c r="AL1329" i="2"/>
  <c r="V1329" i="2"/>
  <c r="AG1329" i="2"/>
  <c r="AQ1361" i="2"/>
  <c r="AV1361" i="2" s="1"/>
  <c r="BE1361" i="2" s="1"/>
  <c r="AQ1188" i="2"/>
  <c r="AV1188" i="2" s="1"/>
  <c r="BE1188" i="2" s="1"/>
  <c r="AL1220" i="2"/>
  <c r="V1220" i="2"/>
  <c r="AG1220" i="2"/>
  <c r="AB1220" i="2"/>
  <c r="BD1231" i="2"/>
  <c r="AQ1252" i="2"/>
  <c r="AV1252" i="2" s="1"/>
  <c r="BE1252" i="2" s="1"/>
  <c r="AL1284" i="2"/>
  <c r="V1284" i="2"/>
  <c r="AG1284" i="2"/>
  <c r="AB1284" i="2"/>
  <c r="BD1295" i="2"/>
  <c r="AQ1316" i="2"/>
  <c r="AV1316" i="2" s="1"/>
  <c r="BE1316" i="2" s="1"/>
  <c r="AL1348" i="2"/>
  <c r="V1348" i="2"/>
  <c r="AG1348" i="2"/>
  <c r="AB1348" i="2"/>
  <c r="BD1359" i="2"/>
  <c r="AQ1388" i="2"/>
  <c r="AV1388" i="2" s="1"/>
  <c r="BE1388" i="2" s="1"/>
  <c r="AQ1091" i="2"/>
  <c r="AV1091" i="2" s="1"/>
  <c r="BE1091" i="2" s="1"/>
  <c r="AG1107" i="2"/>
  <c r="AL1107" i="2"/>
  <c r="V1107" i="2"/>
  <c r="AB1107" i="2"/>
  <c r="AQ1123" i="2"/>
  <c r="AV1123" i="2" s="1"/>
  <c r="BE1123" i="2" s="1"/>
  <c r="AG1139" i="2"/>
  <c r="AL1139" i="2"/>
  <c r="V1139" i="2"/>
  <c r="AB1139" i="2"/>
  <c r="AQ1191" i="2"/>
  <c r="AV1191" i="2" s="1"/>
  <c r="BE1191" i="2" s="1"/>
  <c r="AB1223" i="2"/>
  <c r="AL1223" i="2"/>
  <c r="V1223" i="2"/>
  <c r="AG1223" i="2"/>
  <c r="AQ1255" i="2"/>
  <c r="AV1255" i="2" s="1"/>
  <c r="BE1255" i="2" s="1"/>
  <c r="AB1287" i="2"/>
  <c r="AL1287" i="2"/>
  <c r="V1287" i="2"/>
  <c r="AG1287" i="2"/>
  <c r="AQ1319" i="2"/>
  <c r="AV1319" i="2" s="1"/>
  <c r="BE1319" i="2" s="1"/>
  <c r="AB1351" i="2"/>
  <c r="AL1351" i="2"/>
  <c r="V1351" i="2"/>
  <c r="AG1351" i="2"/>
  <c r="BD1141" i="2"/>
  <c r="AQ1186" i="2"/>
  <c r="AV1186" i="2" s="1"/>
  <c r="BE1186" i="2" s="1"/>
  <c r="AL1218" i="2"/>
  <c r="V1218" i="2"/>
  <c r="AG1218" i="2"/>
  <c r="AB1218" i="2"/>
  <c r="BD1229" i="2"/>
  <c r="AQ1250" i="2"/>
  <c r="AV1250" i="2" s="1"/>
  <c r="BE1250" i="2" s="1"/>
  <c r="AL1282" i="2"/>
  <c r="V1282" i="2"/>
  <c r="AG1282" i="2"/>
  <c r="AB1282" i="2"/>
  <c r="BD1293" i="2"/>
  <c r="AQ1314" i="2"/>
  <c r="AV1314" i="2" s="1"/>
  <c r="BE1314" i="2" s="1"/>
  <c r="AL1346" i="2"/>
  <c r="V1346" i="2"/>
  <c r="AG1346" i="2"/>
  <c r="AB1346" i="2"/>
  <c r="BD1357" i="2"/>
  <c r="AQ1441" i="2"/>
  <c r="AV1441" i="2" s="1"/>
  <c r="BE1441" i="2" s="1"/>
  <c r="AB1374" i="2"/>
  <c r="AG1374" i="2"/>
  <c r="AL1374" i="2"/>
  <c r="V1374" i="2"/>
  <c r="AQ1390" i="2"/>
  <c r="AV1390" i="2" s="1"/>
  <c r="BE1390" i="2" s="1"/>
  <c r="AQ1394" i="2"/>
  <c r="AV1394" i="2" s="1"/>
  <c r="BE1394" i="2" s="1"/>
  <c r="AQ1398" i="2"/>
  <c r="AV1398" i="2" s="1"/>
  <c r="BE1398" i="2" s="1"/>
  <c r="AQ1402" i="2"/>
  <c r="AV1402" i="2" s="1"/>
  <c r="BE1402" i="2" s="1"/>
  <c r="AQ1406" i="2"/>
  <c r="AV1406" i="2" s="1"/>
  <c r="BE1406" i="2" s="1"/>
  <c r="AQ1410" i="2"/>
  <c r="AV1410" i="2" s="1"/>
  <c r="BE1410" i="2" s="1"/>
  <c r="AQ1414" i="2"/>
  <c r="AV1414" i="2" s="1"/>
  <c r="BE1414" i="2" s="1"/>
  <c r="AQ1418" i="2"/>
  <c r="AV1418" i="2" s="1"/>
  <c r="BE1418" i="2" s="1"/>
  <c r="AQ1422" i="2"/>
  <c r="AV1422" i="2" s="1"/>
  <c r="BE1422" i="2" s="1"/>
  <c r="AQ1426" i="2"/>
  <c r="AV1426" i="2" s="1"/>
  <c r="BE1426" i="2" s="1"/>
  <c r="AQ1430" i="2"/>
  <c r="AV1430" i="2" s="1"/>
  <c r="BE1430" i="2" s="1"/>
  <c r="AQ1434" i="2"/>
  <c r="AV1434" i="2" s="1"/>
  <c r="BE1434" i="2" s="1"/>
  <c r="AQ1438" i="2"/>
  <c r="AV1438" i="2" s="1"/>
  <c r="BE1438" i="2" s="1"/>
  <c r="AQ1451" i="2"/>
  <c r="AV1451" i="2" s="1"/>
  <c r="BE1451" i="2" s="1"/>
  <c r="AB1455" i="2"/>
  <c r="AL1455" i="2"/>
  <c r="V1455" i="2"/>
  <c r="AG1455" i="2"/>
  <c r="BD1458" i="2"/>
  <c r="AQ1467" i="2"/>
  <c r="AV1467" i="2" s="1"/>
  <c r="BE1467" i="2" s="1"/>
  <c r="AB1471" i="2"/>
  <c r="AL1471" i="2"/>
  <c r="V1471" i="2"/>
  <c r="AG1471" i="2"/>
  <c r="BD1531" i="2"/>
  <c r="AQ1545" i="2"/>
  <c r="AV1545" i="2" s="1"/>
  <c r="BE1545" i="2" s="1"/>
  <c r="AB1549" i="2"/>
  <c r="AL1549" i="2"/>
  <c r="V1549" i="2"/>
  <c r="AG1549" i="2"/>
  <c r="BD1552" i="2"/>
  <c r="AQ1561" i="2"/>
  <c r="AV1561" i="2" s="1"/>
  <c r="BE1561" i="2" s="1"/>
  <c r="AB1565" i="2"/>
  <c r="AL1565" i="2"/>
  <c r="V1565" i="2"/>
  <c r="AG1565" i="2"/>
  <c r="BD1568" i="2"/>
  <c r="AQ1577" i="2"/>
  <c r="AV1577" i="2" s="1"/>
  <c r="BE1577" i="2" s="1"/>
  <c r="AQ1580" i="2"/>
  <c r="AV1580" i="2" s="1"/>
  <c r="BE1580" i="2" s="1"/>
  <c r="AB1587" i="2"/>
  <c r="AL1587" i="2"/>
  <c r="V1587" i="2"/>
  <c r="AG1587" i="2"/>
  <c r="AB1595" i="2"/>
  <c r="AL1595" i="2"/>
  <c r="V1595" i="2"/>
  <c r="AG1595" i="2"/>
  <c r="AL1620" i="2"/>
  <c r="V1620" i="2"/>
  <c r="AG1620" i="2"/>
  <c r="AB1620" i="2"/>
  <c r="AQ1627" i="2"/>
  <c r="AV1627" i="2" s="1"/>
  <c r="BE1627" i="2" s="1"/>
  <c r="AQ1652" i="2"/>
  <c r="AV1652" i="2" s="1"/>
  <c r="BE1652" i="2" s="1"/>
  <c r="AB1659" i="2"/>
  <c r="AL1659" i="2"/>
  <c r="V1659" i="2"/>
  <c r="AG1659" i="2"/>
  <c r="AL1387" i="2"/>
  <c r="V1387" i="2"/>
  <c r="AG1387" i="2"/>
  <c r="AB1387" i="2"/>
  <c r="AQ1485" i="2"/>
  <c r="AV1485" i="2" s="1"/>
  <c r="BE1485" i="2" s="1"/>
  <c r="AQ1492" i="2"/>
  <c r="AV1492" i="2" s="1"/>
  <c r="BE1492" i="2" s="1"/>
  <c r="AQ1517" i="2"/>
  <c r="AV1517" i="2" s="1"/>
  <c r="BE1517" i="2" s="1"/>
  <c r="AQ1521" i="2"/>
  <c r="AV1521" i="2" s="1"/>
  <c r="BE1521" i="2" s="1"/>
  <c r="AQ1525" i="2"/>
  <c r="AV1525" i="2" s="1"/>
  <c r="BE1525" i="2" s="1"/>
  <c r="AL1534" i="2"/>
  <c r="V1534" i="2"/>
  <c r="AB1534" i="2"/>
  <c r="AG1534" i="2"/>
  <c r="AB1541" i="2"/>
  <c r="AL1541" i="2"/>
  <c r="V1541" i="2"/>
  <c r="AG1541" i="2"/>
  <c r="BD1546" i="2"/>
  <c r="BD1557" i="2"/>
  <c r="BD1573" i="2"/>
  <c r="AQ1381" i="2"/>
  <c r="AV1381" i="2" s="1"/>
  <c r="BE1381" i="2" s="1"/>
  <c r="AB1445" i="2"/>
  <c r="AL1445" i="2"/>
  <c r="V1445" i="2"/>
  <c r="AG1445" i="2"/>
  <c r="BD1448" i="2"/>
  <c r="AQ1457" i="2"/>
  <c r="AV1457" i="2" s="1"/>
  <c r="BE1457" i="2" s="1"/>
  <c r="AB1461" i="2"/>
  <c r="AL1461" i="2"/>
  <c r="V1461" i="2"/>
  <c r="AG1461" i="2"/>
  <c r="BD1464" i="2"/>
  <c r="AQ1473" i="2"/>
  <c r="AV1473" i="2" s="1"/>
  <c r="BE1473" i="2" s="1"/>
  <c r="AQ1589" i="2"/>
  <c r="AV1589" i="2" s="1"/>
  <c r="BE1589" i="2" s="1"/>
  <c r="AQ1614" i="2"/>
  <c r="AV1614" i="2" s="1"/>
  <c r="BE1614" i="2" s="1"/>
  <c r="AB1621" i="2"/>
  <c r="AL1621" i="2"/>
  <c r="V1621" i="2"/>
  <c r="AG1621" i="2"/>
  <c r="AL1646" i="2"/>
  <c r="V1646" i="2"/>
  <c r="AG1646" i="2"/>
  <c r="AB1646" i="2"/>
  <c r="AQ1653" i="2"/>
  <c r="AV1653" i="2" s="1"/>
  <c r="BE1653" i="2" s="1"/>
  <c r="AC1787" i="2"/>
  <c r="BD1850" i="2"/>
  <c r="AB1856" i="2"/>
  <c r="AL1856" i="2"/>
  <c r="V1856" i="2"/>
  <c r="AG1856" i="2"/>
  <c r="BD1671" i="2"/>
  <c r="AQ1714" i="2"/>
  <c r="AV1714" i="2" s="1"/>
  <c r="BE1714" i="2" s="1"/>
  <c r="AB1730" i="2"/>
  <c r="AL1730" i="2"/>
  <c r="V1730" i="2"/>
  <c r="AG1730" i="2"/>
  <c r="BD1735" i="2"/>
  <c r="AQ1758" i="2"/>
  <c r="AV1758" i="2" s="1"/>
  <c r="BE1758" i="2" s="1"/>
  <c r="AQ1766" i="2"/>
  <c r="AV1766" i="2" s="1"/>
  <c r="BE1766" i="2" s="1"/>
  <c r="AQ1774" i="2"/>
  <c r="AV1774" i="2" s="1"/>
  <c r="BE1774" i="2" s="1"/>
  <c r="AQ1782" i="2"/>
  <c r="AV1782" i="2" s="1"/>
  <c r="BE1782" i="2" s="1"/>
  <c r="AQ1790" i="2"/>
  <c r="AV1790" i="2" s="1"/>
  <c r="BE1790" i="2" s="1"/>
  <c r="AQ1798" i="2"/>
  <c r="AV1798" i="2" s="1"/>
  <c r="BE1798" i="2" s="1"/>
  <c r="AQ1806" i="2"/>
  <c r="AV1806" i="2" s="1"/>
  <c r="BE1806" i="2" s="1"/>
  <c r="AQ1814" i="2"/>
  <c r="AV1814" i="2" s="1"/>
  <c r="BE1814" i="2" s="1"/>
  <c r="AQ1822" i="2"/>
  <c r="AV1822" i="2" s="1"/>
  <c r="BE1822" i="2" s="1"/>
  <c r="AQ1830" i="2"/>
  <c r="AV1830" i="2" s="1"/>
  <c r="BE1830" i="2" s="1"/>
  <c r="BD1814" i="2"/>
  <c r="AQ1821" i="2"/>
  <c r="AV1821" i="2" s="1"/>
  <c r="BE1821" i="2" s="1"/>
  <c r="BD1835" i="2"/>
  <c r="BD1902" i="2"/>
  <c r="BD1681" i="2"/>
  <c r="BD1697" i="2"/>
  <c r="BD1713" i="2"/>
  <c r="BD1729" i="2"/>
  <c r="BD1745" i="2"/>
  <c r="AL1861" i="2"/>
  <c r="V1861" i="2"/>
  <c r="AG1861" i="2"/>
  <c r="AB1861" i="2"/>
  <c r="BD1864" i="2"/>
  <c r="AQ1869" i="2"/>
  <c r="AV1869" i="2" s="1"/>
  <c r="BE1869" i="2" s="1"/>
  <c r="AL1877" i="2"/>
  <c r="V1877" i="2"/>
  <c r="AG1877" i="2"/>
  <c r="AB1877" i="2"/>
  <c r="BD1880" i="2"/>
  <c r="AQ1885" i="2"/>
  <c r="AV1885" i="2" s="1"/>
  <c r="BE1885" i="2" s="1"/>
  <c r="AL1893" i="2"/>
  <c r="V1893" i="2"/>
  <c r="AG1893" i="2"/>
  <c r="AB1893" i="2"/>
  <c r="BD1896" i="2"/>
  <c r="AQ1901" i="2"/>
  <c r="AV1901" i="2" s="1"/>
  <c r="BE1901" i="2" s="1"/>
  <c r="AL1909" i="2"/>
  <c r="V1909" i="2"/>
  <c r="AG1909" i="2"/>
  <c r="AB1909" i="2"/>
  <c r="BD1912" i="2"/>
  <c r="AQ1917" i="2"/>
  <c r="AV1917" i="2" s="1"/>
  <c r="BE1917" i="2" s="1"/>
  <c r="AL1925" i="2"/>
  <c r="V1925" i="2"/>
  <c r="AG1925" i="2"/>
  <c r="AB1925" i="2"/>
  <c r="BD1928" i="2"/>
  <c r="AQ1933" i="2"/>
  <c r="AV1933" i="2" s="1"/>
  <c r="BE1933" i="2" s="1"/>
  <c r="AL1941" i="2"/>
  <c r="V1941" i="2"/>
  <c r="AG1941" i="2"/>
  <c r="AB1941" i="2"/>
  <c r="BD1944" i="2"/>
  <c r="AQ1949" i="2"/>
  <c r="AV1949" i="2" s="1"/>
  <c r="BE1949" i="2" s="1"/>
  <c r="AL1957" i="2"/>
  <c r="V1957" i="2"/>
  <c r="AG1957" i="2"/>
  <c r="AB1957" i="2"/>
  <c r="BD1960" i="2"/>
  <c r="AQ1965" i="2"/>
  <c r="AV1965" i="2" s="1"/>
  <c r="BE1965" i="2" s="1"/>
  <c r="AL1973" i="2"/>
  <c r="V1973" i="2"/>
  <c r="AG1973" i="2"/>
  <c r="AB1973" i="2"/>
  <c r="BD1976" i="2"/>
  <c r="AQ1981" i="2"/>
  <c r="AV1981" i="2" s="1"/>
  <c r="BE1981" i="2" s="1"/>
  <c r="AL1989" i="2"/>
  <c r="V1989" i="2"/>
  <c r="AG1989" i="2"/>
  <c r="AB1989" i="2"/>
  <c r="BD1992" i="2"/>
  <c r="AQ1997" i="2"/>
  <c r="AV1997" i="2" s="1"/>
  <c r="BE1997" i="2" s="1"/>
  <c r="AL2005" i="2"/>
  <c r="V2005" i="2"/>
  <c r="AG2005" i="2"/>
  <c r="AB2005" i="2"/>
  <c r="BD2008" i="2"/>
  <c r="AQ2013" i="2"/>
  <c r="AV2013" i="2" s="1"/>
  <c r="BE2013" i="2" s="1"/>
  <c r="BD2026" i="2"/>
  <c r="BD2034" i="2"/>
  <c r="AL1959" i="2"/>
  <c r="V1959" i="2"/>
  <c r="AG1959" i="2"/>
  <c r="AB1959" i="2"/>
  <c r="BD1962" i="2"/>
  <c r="AQ1967" i="2"/>
  <c r="AV1967" i="2" s="1"/>
  <c r="BE1967" i="2" s="1"/>
  <c r="AL1975" i="2"/>
  <c r="V1975" i="2"/>
  <c r="AG1975" i="2"/>
  <c r="AB1975" i="2"/>
  <c r="BD1978" i="2"/>
  <c r="AQ1983" i="2"/>
  <c r="AV1983" i="2" s="1"/>
  <c r="BE1983" i="2" s="1"/>
  <c r="AL1991" i="2"/>
  <c r="V1991" i="2"/>
  <c r="AG1991" i="2"/>
  <c r="AB1991" i="2"/>
  <c r="BD1994" i="2"/>
  <c r="AQ1999" i="2"/>
  <c r="AV1999" i="2" s="1"/>
  <c r="BE1999" i="2" s="1"/>
  <c r="AL2007" i="2"/>
  <c r="V2007" i="2"/>
  <c r="AG2007" i="2"/>
  <c r="AB2007" i="2"/>
  <c r="BD2010" i="2"/>
  <c r="AQ2015" i="2"/>
  <c r="AV2015" i="2" s="1"/>
  <c r="BE2015" i="2" s="1"/>
  <c r="AB2019" i="2"/>
  <c r="AL2019" i="2"/>
  <c r="AG2019" i="2"/>
  <c r="V2019" i="2"/>
  <c r="BD2044" i="2"/>
  <c r="AQ2116" i="2"/>
  <c r="AV2116" i="2" s="1"/>
  <c r="BE2116" i="2" s="1"/>
  <c r="AQ2118" i="2"/>
  <c r="AV2118" i="2" s="1"/>
  <c r="BE2118" i="2" s="1"/>
  <c r="AQ2120" i="2"/>
  <c r="AV2120" i="2" s="1"/>
  <c r="BE2120" i="2" s="1"/>
  <c r="AQ2122" i="2"/>
  <c r="AV2122" i="2" s="1"/>
  <c r="BE2122" i="2" s="1"/>
  <c r="AQ2124" i="2"/>
  <c r="AV2124" i="2" s="1"/>
  <c r="BE2124" i="2" s="1"/>
  <c r="AQ2126" i="2"/>
  <c r="AV2126" i="2" s="1"/>
  <c r="BE2126" i="2" s="1"/>
  <c r="AQ2128" i="2"/>
  <c r="AV2128" i="2" s="1"/>
  <c r="BE2128" i="2" s="1"/>
  <c r="AQ2130" i="2"/>
  <c r="AV2130" i="2" s="1"/>
  <c r="BE2130" i="2" s="1"/>
  <c r="AQ2132" i="2"/>
  <c r="AV2132" i="2" s="1"/>
  <c r="BE2132" i="2" s="1"/>
  <c r="AQ2134" i="2"/>
  <c r="AV2134" i="2" s="1"/>
  <c r="BE2134" i="2" s="1"/>
  <c r="AQ2136" i="2"/>
  <c r="AV2136" i="2" s="1"/>
  <c r="BE2136" i="2" s="1"/>
  <c r="AQ2138" i="2"/>
  <c r="AV2138" i="2" s="1"/>
  <c r="BE2138" i="2" s="1"/>
  <c r="AQ2140" i="2"/>
  <c r="AV2140" i="2" s="1"/>
  <c r="BE2140" i="2" s="1"/>
  <c r="AQ2150" i="2"/>
  <c r="AV2150" i="2" s="1"/>
  <c r="BE2150" i="2" s="1"/>
  <c r="BD2043" i="2"/>
  <c r="AL2059" i="2"/>
  <c r="V2059" i="2"/>
  <c r="AG2059" i="2"/>
  <c r="AB2059" i="2"/>
  <c r="AQ2068" i="2"/>
  <c r="AV2068" i="2" s="1"/>
  <c r="BE2068" i="2" s="1"/>
  <c r="BD2074" i="2"/>
  <c r="AQ2091" i="2"/>
  <c r="AV2091" i="2" s="1"/>
  <c r="BE2091" i="2" s="1"/>
  <c r="AB2100" i="2"/>
  <c r="AL2100" i="2"/>
  <c r="V2100" i="2"/>
  <c r="AG2100" i="2"/>
  <c r="AL2113" i="2"/>
  <c r="V2113" i="2"/>
  <c r="AG2113" i="2"/>
  <c r="AB2113" i="2"/>
  <c r="BD2144" i="2"/>
  <c r="AQ2151" i="2"/>
  <c r="AV2151" i="2" s="1"/>
  <c r="BE2151" i="2" s="1"/>
  <c r="AQ2153" i="2"/>
  <c r="AV2153" i="2" s="1"/>
  <c r="BE2153" i="2" s="1"/>
  <c r="AG2163" i="2"/>
  <c r="AB2163" i="2"/>
  <c r="AL2163" i="2"/>
  <c r="V2163" i="2"/>
  <c r="BD2174" i="2"/>
  <c r="AQ2195" i="2"/>
  <c r="AV2195" i="2" s="1"/>
  <c r="BE2195" i="2" s="1"/>
  <c r="AL2162" i="2"/>
  <c r="V2162" i="2"/>
  <c r="AG2162" i="2"/>
  <c r="AB2162" i="2"/>
  <c r="BD2173" i="2"/>
  <c r="AQ2194" i="2"/>
  <c r="AV2194" i="2" s="1"/>
  <c r="BE2194" i="2" s="1"/>
  <c r="AG2185" i="2"/>
  <c r="AB2185" i="2"/>
  <c r="AL2185" i="2"/>
  <c r="V2185" i="2"/>
  <c r="BD2196" i="2"/>
  <c r="BD2154" i="2"/>
  <c r="AL2180" i="2"/>
  <c r="V2180" i="2"/>
  <c r="AG2180" i="2"/>
  <c r="AB2180" i="2"/>
  <c r="BD2191" i="2"/>
  <c r="BD2315" i="2"/>
  <c r="AQ2393" i="2"/>
  <c r="AV2393" i="2" s="1"/>
  <c r="BE2393" i="2" s="1"/>
  <c r="AQ2401" i="2"/>
  <c r="AV2401" i="2" s="1"/>
  <c r="BE2401" i="2" s="1"/>
  <c r="AL2202" i="2"/>
  <c r="V2202" i="2"/>
  <c r="AB2202" i="2"/>
  <c r="AG2202" i="2"/>
  <c r="AL2206" i="2"/>
  <c r="V2206" i="2"/>
  <c r="AB2206" i="2"/>
  <c r="AG2206" i="2"/>
  <c r="AL2210" i="2"/>
  <c r="V2210" i="2"/>
  <c r="AB2210" i="2"/>
  <c r="AG2210" i="2"/>
  <c r="AL2214" i="2"/>
  <c r="V2214" i="2"/>
  <c r="AB2214" i="2"/>
  <c r="AG2214" i="2"/>
  <c r="AL2218" i="2"/>
  <c r="V2218" i="2"/>
  <c r="AB2218" i="2"/>
  <c r="AG2218" i="2"/>
  <c r="AL2222" i="2"/>
  <c r="V2222" i="2"/>
  <c r="AB2222" i="2"/>
  <c r="AG2222" i="2"/>
  <c r="AL2226" i="2"/>
  <c r="V2226" i="2"/>
  <c r="AB2226" i="2"/>
  <c r="AG2226" i="2"/>
  <c r="AL2230" i="2"/>
  <c r="V2230" i="2"/>
  <c r="AB2230" i="2"/>
  <c r="AG2230" i="2"/>
  <c r="AL2234" i="2"/>
  <c r="V2234" i="2"/>
  <c r="AB2234" i="2"/>
  <c r="AG2234" i="2"/>
  <c r="AL2238" i="2"/>
  <c r="V2238" i="2"/>
  <c r="AB2238" i="2"/>
  <c r="AG2238" i="2"/>
  <c r="AL2242" i="2"/>
  <c r="V2242" i="2"/>
  <c r="AB2242" i="2"/>
  <c r="AG2242" i="2"/>
  <c r="AL2246" i="2"/>
  <c r="V2246" i="2"/>
  <c r="AB2246" i="2"/>
  <c r="AG2246" i="2"/>
  <c r="AL2250" i="2"/>
  <c r="V2250" i="2"/>
  <c r="AB2250" i="2"/>
  <c r="AG2250" i="2"/>
  <c r="AL2254" i="2"/>
  <c r="V2254" i="2"/>
  <c r="AB2254" i="2"/>
  <c r="AG2254" i="2"/>
  <c r="AL2258" i="2"/>
  <c r="V2258" i="2"/>
  <c r="AB2258" i="2"/>
  <c r="AG2258" i="2"/>
  <c r="AL2262" i="2"/>
  <c r="V2262" i="2"/>
  <c r="AB2262" i="2"/>
  <c r="AG2262" i="2"/>
  <c r="AL2266" i="2"/>
  <c r="V2266" i="2"/>
  <c r="AB2266" i="2"/>
  <c r="AG2266" i="2"/>
  <c r="AL2270" i="2"/>
  <c r="V2270" i="2"/>
  <c r="AB2270" i="2"/>
  <c r="AG2270" i="2"/>
  <c r="AL2274" i="2"/>
  <c r="V2274" i="2"/>
  <c r="AB2274" i="2"/>
  <c r="AG2274" i="2"/>
  <c r="AL2278" i="2"/>
  <c r="V2278" i="2"/>
  <c r="AB2278" i="2"/>
  <c r="AG2278" i="2"/>
  <c r="AL2282" i="2"/>
  <c r="V2282" i="2"/>
  <c r="AB2282" i="2"/>
  <c r="AG2282" i="2"/>
  <c r="AL2286" i="2"/>
  <c r="V2286" i="2"/>
  <c r="AB2286" i="2"/>
  <c r="AG2286" i="2"/>
  <c r="AL2290" i="2"/>
  <c r="V2290" i="2"/>
  <c r="AB2290" i="2"/>
  <c r="AG2290" i="2"/>
  <c r="AL2294" i="2"/>
  <c r="V2294" i="2"/>
  <c r="AB2294" i="2"/>
  <c r="AG2294" i="2"/>
  <c r="AL2298" i="2"/>
  <c r="V2298" i="2"/>
  <c r="AB2298" i="2"/>
  <c r="AG2298" i="2"/>
  <c r="AL2302" i="2"/>
  <c r="V2302" i="2"/>
  <c r="AB2302" i="2"/>
  <c r="AG2302" i="2"/>
  <c r="AL2306" i="2"/>
  <c r="V2306" i="2"/>
  <c r="AB2306" i="2"/>
  <c r="AG2306" i="2"/>
  <c r="AL2310" i="2"/>
  <c r="V2310" i="2"/>
  <c r="AB2310" i="2"/>
  <c r="AG2310" i="2"/>
  <c r="AL2314" i="2"/>
  <c r="V2314" i="2"/>
  <c r="AB2314" i="2"/>
  <c r="AG2314" i="2"/>
  <c r="AG2404" i="2"/>
  <c r="AL2404" i="2"/>
  <c r="V2404" i="2"/>
  <c r="AB2404" i="2"/>
  <c r="AG2429" i="2"/>
  <c r="AB2429" i="2"/>
  <c r="AL2429" i="2"/>
  <c r="V2429" i="2"/>
  <c r="BD2440" i="2"/>
  <c r="AQ2461" i="2"/>
  <c r="AV2461" i="2" s="1"/>
  <c r="BE2461" i="2" s="1"/>
  <c r="AQ2428" i="2"/>
  <c r="AV2428" i="2" s="1"/>
  <c r="BE2428" i="2" s="1"/>
  <c r="AL2460" i="2"/>
  <c r="V2460" i="2"/>
  <c r="AG2460" i="2"/>
  <c r="AB2460" i="2"/>
  <c r="AG2419" i="2"/>
  <c r="AB2419" i="2"/>
  <c r="AL2419" i="2"/>
  <c r="V2419" i="2"/>
  <c r="BD2430" i="2"/>
  <c r="AQ2451" i="2"/>
  <c r="AV2451" i="2" s="1"/>
  <c r="BE2451" i="2" s="1"/>
  <c r="BD2393" i="2"/>
  <c r="AQ2422" i="2"/>
  <c r="AV2422" i="2" s="1"/>
  <c r="BE2422" i="2" s="1"/>
  <c r="AL2454" i="2"/>
  <c r="V2454" i="2"/>
  <c r="AG2454" i="2"/>
  <c r="AB2454" i="2"/>
  <c r="BD2465" i="2"/>
  <c r="AQ2483" i="2"/>
  <c r="AV2483" i="2" s="1"/>
  <c r="BE2483" i="2" s="1"/>
  <c r="AQ2478" i="2"/>
  <c r="AV2478" i="2" s="1"/>
  <c r="BE2478" i="2" s="1"/>
  <c r="AQ2482" i="2"/>
  <c r="AV2482" i="2" s="1"/>
  <c r="BE2482" i="2" s="1"/>
  <c r="AQ2486" i="2"/>
  <c r="AV2486" i="2" s="1"/>
  <c r="BE2486" i="2" s="1"/>
  <c r="AL2501" i="2"/>
  <c r="V2501" i="2"/>
  <c r="AG2501" i="2"/>
  <c r="AB2501" i="2"/>
  <c r="AL2485" i="2"/>
  <c r="V2485" i="2"/>
  <c r="AB2485" i="2"/>
  <c r="AG2485" i="2"/>
  <c r="AL2493" i="2"/>
  <c r="V2493" i="2"/>
  <c r="AB2493" i="2"/>
  <c r="AG2493" i="2"/>
  <c r="AB2480" i="2"/>
  <c r="AL2480" i="2"/>
  <c r="V2480" i="2"/>
  <c r="AG2480" i="2"/>
  <c r="BD2485" i="2"/>
  <c r="AB2335" i="2"/>
  <c r="AL2335" i="2"/>
  <c r="V2335" i="2"/>
  <c r="AG2335" i="2"/>
  <c r="AB2359" i="2"/>
  <c r="AL2359" i="2"/>
  <c r="V2359" i="2"/>
  <c r="AG2359" i="2"/>
  <c r="AB2367" i="2"/>
  <c r="AL2367" i="2"/>
  <c r="V2367" i="2"/>
  <c r="AG2367" i="2"/>
  <c r="AB2375" i="2"/>
  <c r="AL2375" i="2"/>
  <c r="V2375" i="2"/>
  <c r="AG2375" i="2"/>
  <c r="AB2383" i="2"/>
  <c r="AL2383" i="2"/>
  <c r="V2383" i="2"/>
  <c r="AG2383" i="2"/>
  <c r="AG2406" i="2"/>
  <c r="AL2406" i="2"/>
  <c r="V2406" i="2"/>
  <c r="AB2406" i="2"/>
  <c r="AG2443" i="2"/>
  <c r="AB2443" i="2"/>
  <c r="AL2443" i="2"/>
  <c r="V2443" i="2"/>
  <c r="AG2459" i="2"/>
  <c r="AB2459" i="2"/>
  <c r="AL2459" i="2"/>
  <c r="V2459" i="2"/>
  <c r="BD2470" i="2"/>
  <c r="AL2462" i="2"/>
  <c r="V2462" i="2"/>
  <c r="AG2462" i="2"/>
  <c r="AB2462" i="2"/>
  <c r="BD2496" i="2"/>
  <c r="AQ2489" i="2"/>
  <c r="AV2489" i="2" s="1"/>
  <c r="BE2489" i="2" s="1"/>
  <c r="AQ2497" i="2"/>
  <c r="AV2497" i="2" s="1"/>
  <c r="BE2497" i="2" s="1"/>
  <c r="AB2261" i="2"/>
  <c r="AL2261" i="2"/>
  <c r="V2261" i="2"/>
  <c r="AG2261" i="2"/>
  <c r="AB2269" i="2"/>
  <c r="AL2269" i="2"/>
  <c r="V2269" i="2"/>
  <c r="AG2269" i="2"/>
  <c r="AB2277" i="2"/>
  <c r="AL2277" i="2"/>
  <c r="V2277" i="2"/>
  <c r="AG2277" i="2"/>
  <c r="AB2285" i="2"/>
  <c r="AL2285" i="2"/>
  <c r="V2285" i="2"/>
  <c r="AG2285" i="2"/>
  <c r="AB2293" i="2"/>
  <c r="AL2293" i="2"/>
  <c r="V2293" i="2"/>
  <c r="AG2293" i="2"/>
  <c r="BD2428" i="2"/>
  <c r="AQ2394" i="2"/>
  <c r="AV2394" i="2" s="1"/>
  <c r="BE2394" i="2" s="1"/>
  <c r="AB2474" i="2"/>
  <c r="AL2474" i="2"/>
  <c r="V2474" i="2"/>
  <c r="AG2474" i="2"/>
  <c r="AB2490" i="2"/>
  <c r="AL2490" i="2"/>
  <c r="V2490" i="2"/>
  <c r="AG2490" i="2"/>
  <c r="AL60" i="2"/>
  <c r="V60" i="2"/>
  <c r="AG60" i="2"/>
  <c r="AB60" i="2"/>
  <c r="AQ69" i="2"/>
  <c r="AV69" i="2" s="1"/>
  <c r="BE69" i="2" s="1"/>
  <c r="AQ86" i="2"/>
  <c r="AV86" i="2" s="1"/>
  <c r="BE86" i="2" s="1"/>
  <c r="AH120" i="2"/>
  <c r="AC120" i="2"/>
  <c r="AM120" i="2"/>
  <c r="W120" i="2"/>
  <c r="AQ59" i="2"/>
  <c r="AV59" i="2" s="1"/>
  <c r="BE59" i="2" s="1"/>
  <c r="AR104" i="2"/>
  <c r="AW104" i="2" s="1"/>
  <c r="BF104" i="2" s="1"/>
  <c r="AL8" i="2"/>
  <c r="V8" i="2"/>
  <c r="AB8" i="2"/>
  <c r="AG8" i="2"/>
  <c r="BD17" i="2"/>
  <c r="BD9" i="2"/>
  <c r="BD144" i="2"/>
  <c r="AB173" i="2"/>
  <c r="AL173" i="2"/>
  <c r="AG173" i="2"/>
  <c r="V173" i="2"/>
  <c r="BD187" i="2"/>
  <c r="AB191" i="2"/>
  <c r="AL191" i="2"/>
  <c r="AG191" i="2"/>
  <c r="V191" i="2"/>
  <c r="AB327" i="2"/>
  <c r="AL327" i="2"/>
  <c r="AG327" i="2"/>
  <c r="V327" i="2"/>
  <c r="AB335" i="2"/>
  <c r="AL335" i="2"/>
  <c r="AG335" i="2"/>
  <c r="V335" i="2"/>
  <c r="AB343" i="2"/>
  <c r="AL343" i="2"/>
  <c r="AG343" i="2"/>
  <c r="V343" i="2"/>
  <c r="AB351" i="2"/>
  <c r="AL351" i="2"/>
  <c r="AG351" i="2"/>
  <c r="V351" i="2"/>
  <c r="AB359" i="2"/>
  <c r="AL359" i="2"/>
  <c r="AG359" i="2"/>
  <c r="V359" i="2"/>
  <c r="AB367" i="2"/>
  <c r="AL367" i="2"/>
  <c r="AG367" i="2"/>
  <c r="V367" i="2"/>
  <c r="AB375" i="2"/>
  <c r="AL375" i="2"/>
  <c r="AG375" i="2"/>
  <c r="V375" i="2"/>
  <c r="AB383" i="2"/>
  <c r="AL383" i="2"/>
  <c r="AG383" i="2"/>
  <c r="V383" i="2"/>
  <c r="AB391" i="2"/>
  <c r="AL391" i="2"/>
  <c r="AG391" i="2"/>
  <c r="V391" i="2"/>
  <c r="AB399" i="2"/>
  <c r="AL399" i="2"/>
  <c r="AG399" i="2"/>
  <c r="V399" i="2"/>
  <c r="AL408" i="2"/>
  <c r="V408" i="2"/>
  <c r="AG408" i="2"/>
  <c r="AB408" i="2"/>
  <c r="AQ457" i="2"/>
  <c r="AV457" i="2" s="1"/>
  <c r="BE457" i="2" s="1"/>
  <c r="BD55" i="2"/>
  <c r="AQ82" i="2"/>
  <c r="AV82" i="2" s="1"/>
  <c r="BE82" i="2" s="1"/>
  <c r="AQ88" i="2"/>
  <c r="AV88" i="2" s="1"/>
  <c r="BE88" i="2" s="1"/>
  <c r="AQ94" i="2"/>
  <c r="AV94" i="2" s="1"/>
  <c r="BE94" i="2" s="1"/>
  <c r="AB113" i="2"/>
  <c r="AL113" i="2"/>
  <c r="AG113" i="2"/>
  <c r="V113" i="2"/>
  <c r="AQ129" i="2"/>
  <c r="AV129" i="2" s="1"/>
  <c r="BE129" i="2" s="1"/>
  <c r="AB177" i="2"/>
  <c r="AL177" i="2"/>
  <c r="AG177" i="2"/>
  <c r="V177" i="2"/>
  <c r="AQ193" i="2"/>
  <c r="AV193" i="2" s="1"/>
  <c r="BE193" i="2" s="1"/>
  <c r="AL228" i="2"/>
  <c r="V228" i="2"/>
  <c r="AG228" i="2"/>
  <c r="AB228" i="2"/>
  <c r="AL242" i="2"/>
  <c r="V242" i="2"/>
  <c r="AG242" i="2"/>
  <c r="AB242" i="2"/>
  <c r="AL292" i="2"/>
  <c r="V292" i="2"/>
  <c r="AG292" i="2"/>
  <c r="AB292" i="2"/>
  <c r="AL306" i="2"/>
  <c r="V306" i="2"/>
  <c r="AG306" i="2"/>
  <c r="AB306" i="2"/>
  <c r="AL10" i="2"/>
  <c r="V10" i="2"/>
  <c r="AG10" i="2"/>
  <c r="AB10" i="2"/>
  <c r="AL42" i="2"/>
  <c r="V42" i="2"/>
  <c r="AG42" i="2"/>
  <c r="AB42" i="2"/>
  <c r="AL74" i="2"/>
  <c r="V74" i="2"/>
  <c r="AG74" i="2"/>
  <c r="AB74" i="2"/>
  <c r="AB239" i="2"/>
  <c r="AL239" i="2"/>
  <c r="AG239" i="2"/>
  <c r="V239" i="2"/>
  <c r="AR240" i="2"/>
  <c r="BD308" i="2"/>
  <c r="AQ409" i="2"/>
  <c r="AV409" i="2" s="1"/>
  <c r="BE409" i="2" s="1"/>
  <c r="AQ9" i="2"/>
  <c r="AV9" i="2" s="1"/>
  <c r="BE9" i="2" s="1"/>
  <c r="AQ51" i="2"/>
  <c r="AV51" i="2" s="1"/>
  <c r="BE51" i="2" s="1"/>
  <c r="AQ83" i="2"/>
  <c r="AV83" i="2" s="1"/>
  <c r="BE83" i="2" s="1"/>
  <c r="AH116" i="2"/>
  <c r="AC116" i="2"/>
  <c r="AM116" i="2"/>
  <c r="W116" i="2"/>
  <c r="AH132" i="2"/>
  <c r="AC132" i="2"/>
  <c r="AM132" i="2"/>
  <c r="W132" i="2"/>
  <c r="AH148" i="2"/>
  <c r="AC148" i="2"/>
  <c r="AM148" i="2"/>
  <c r="W148" i="2"/>
  <c r="AH164" i="2"/>
  <c r="AC164" i="2"/>
  <c r="AM164" i="2"/>
  <c r="W164" i="2"/>
  <c r="AH180" i="2"/>
  <c r="AC180" i="2"/>
  <c r="AM180" i="2"/>
  <c r="W180" i="2"/>
  <c r="AH196" i="2"/>
  <c r="AC196" i="2"/>
  <c r="AM196" i="2"/>
  <c r="W196" i="2"/>
  <c r="AQ211" i="2"/>
  <c r="AV211" i="2" s="1"/>
  <c r="BE211" i="2" s="1"/>
  <c r="AQ217" i="2"/>
  <c r="AV217" i="2" s="1"/>
  <c r="BE217" i="2" s="1"/>
  <c r="BD223" i="2"/>
  <c r="AQ275" i="2"/>
  <c r="AV275" i="2" s="1"/>
  <c r="BE275" i="2" s="1"/>
  <c r="AQ281" i="2"/>
  <c r="AV281" i="2" s="1"/>
  <c r="BE281" i="2" s="1"/>
  <c r="BD287" i="2"/>
  <c r="AQ323" i="2"/>
  <c r="AV323" i="2" s="1"/>
  <c r="BE323" i="2" s="1"/>
  <c r="AL416" i="2"/>
  <c r="V416" i="2"/>
  <c r="AG416" i="2"/>
  <c r="AB416" i="2"/>
  <c r="AQ465" i="2"/>
  <c r="AV465" i="2" s="1"/>
  <c r="BE465" i="2" s="1"/>
  <c r="BD350" i="2"/>
  <c r="BD382" i="2"/>
  <c r="AQ507" i="2"/>
  <c r="AV507" i="2" s="1"/>
  <c r="BE507" i="2" s="1"/>
  <c r="AQ515" i="2"/>
  <c r="AV515" i="2" s="1"/>
  <c r="BE515" i="2" s="1"/>
  <c r="AQ523" i="2"/>
  <c r="AV523" i="2" s="1"/>
  <c r="BE523" i="2" s="1"/>
  <c r="AQ531" i="2"/>
  <c r="AV531" i="2" s="1"/>
  <c r="BE531" i="2" s="1"/>
  <c r="AQ539" i="2"/>
  <c r="AV539" i="2" s="1"/>
  <c r="BE539" i="2" s="1"/>
  <c r="AQ547" i="2"/>
  <c r="AV547" i="2" s="1"/>
  <c r="BE547" i="2" s="1"/>
  <c r="AQ555" i="2"/>
  <c r="AV555" i="2" s="1"/>
  <c r="BE555" i="2" s="1"/>
  <c r="BD336" i="2"/>
  <c r="AQ339" i="2"/>
  <c r="AV339" i="2" s="1"/>
  <c r="BE339" i="2" s="1"/>
  <c r="AB355" i="2"/>
  <c r="AL355" i="2"/>
  <c r="AG355" i="2"/>
  <c r="V355" i="2"/>
  <c r="BD368" i="2"/>
  <c r="AQ371" i="2"/>
  <c r="AV371" i="2" s="1"/>
  <c r="BE371" i="2" s="1"/>
  <c r="AB387" i="2"/>
  <c r="AL387" i="2"/>
  <c r="AG387" i="2"/>
  <c r="V387" i="2"/>
  <c r="BD400" i="2"/>
  <c r="AQ403" i="2"/>
  <c r="AV403" i="2" s="1"/>
  <c r="BE403" i="2" s="1"/>
  <c r="AB435" i="2"/>
  <c r="AL435" i="2"/>
  <c r="AG435" i="2"/>
  <c r="V435" i="2"/>
  <c r="AQ467" i="2"/>
  <c r="AV467" i="2" s="1"/>
  <c r="BE467" i="2" s="1"/>
  <c r="BD540" i="2"/>
  <c r="AQ934" i="2"/>
  <c r="AV934" i="2" s="1"/>
  <c r="BE934" i="2" s="1"/>
  <c r="AQ245" i="2"/>
  <c r="AV245" i="2" s="1"/>
  <c r="BE245" i="2" s="1"/>
  <c r="AB277" i="2"/>
  <c r="AG277" i="2"/>
  <c r="V277" i="2"/>
  <c r="AL277" i="2"/>
  <c r="AL543" i="2"/>
  <c r="V543" i="2"/>
  <c r="AG543" i="2"/>
  <c r="AB543" i="2"/>
  <c r="BD726" i="2"/>
  <c r="AQ742" i="2"/>
  <c r="AV742" i="2" s="1"/>
  <c r="BE742" i="2" s="1"/>
  <c r="AQ758" i="2"/>
  <c r="AV758" i="2" s="1"/>
  <c r="BE758" i="2" s="1"/>
  <c r="AQ774" i="2"/>
  <c r="AV774" i="2" s="1"/>
  <c r="BE774" i="2" s="1"/>
  <c r="AQ790" i="2"/>
  <c r="AV790" i="2" s="1"/>
  <c r="BE790" i="2" s="1"/>
  <c r="AQ806" i="2"/>
  <c r="AV806" i="2" s="1"/>
  <c r="BE806" i="2" s="1"/>
  <c r="AQ822" i="2"/>
  <c r="AV822" i="2" s="1"/>
  <c r="BE822" i="2" s="1"/>
  <c r="AQ838" i="2"/>
  <c r="AV838" i="2" s="1"/>
  <c r="BE838" i="2" s="1"/>
  <c r="AQ854" i="2"/>
  <c r="AV854" i="2" s="1"/>
  <c r="BE854" i="2" s="1"/>
  <c r="AQ870" i="2"/>
  <c r="AV870" i="2" s="1"/>
  <c r="BE870" i="2" s="1"/>
  <c r="AQ886" i="2"/>
  <c r="AV886" i="2" s="1"/>
  <c r="BE886" i="2" s="1"/>
  <c r="AQ890" i="2"/>
  <c r="AV890" i="2" s="1"/>
  <c r="BE890" i="2" s="1"/>
  <c r="AQ894" i="2"/>
  <c r="AV894" i="2" s="1"/>
  <c r="BE894" i="2" s="1"/>
  <c r="AQ898" i="2"/>
  <c r="AV898" i="2" s="1"/>
  <c r="BE898" i="2" s="1"/>
  <c r="AQ902" i="2"/>
  <c r="AV902" i="2" s="1"/>
  <c r="BE902" i="2" s="1"/>
  <c r="AQ906" i="2"/>
  <c r="AV906" i="2" s="1"/>
  <c r="BE906" i="2" s="1"/>
  <c r="AQ910" i="2"/>
  <c r="AV910" i="2" s="1"/>
  <c r="BE910" i="2" s="1"/>
  <c r="AQ914" i="2"/>
  <c r="AV914" i="2" s="1"/>
  <c r="BE914" i="2" s="1"/>
  <c r="AQ918" i="2"/>
  <c r="AV918" i="2" s="1"/>
  <c r="BE918" i="2" s="1"/>
  <c r="AQ922" i="2"/>
  <c r="AV922" i="2" s="1"/>
  <c r="BE922" i="2" s="1"/>
  <c r="AQ926" i="2"/>
  <c r="AV926" i="2" s="1"/>
  <c r="BE926" i="2" s="1"/>
  <c r="AQ930" i="2"/>
  <c r="AV930" i="2" s="1"/>
  <c r="BE930" i="2" s="1"/>
  <c r="AQ246" i="2"/>
  <c r="AV246" i="2" s="1"/>
  <c r="BE246" i="2" s="1"/>
  <c r="AL278" i="2"/>
  <c r="V278" i="2"/>
  <c r="AG278" i="2"/>
  <c r="AB278" i="2"/>
  <c r="BD325" i="2"/>
  <c r="AR380" i="2"/>
  <c r="AW380" i="2" s="1"/>
  <c r="BF380" i="2" s="1"/>
  <c r="AL382" i="2"/>
  <c r="V382" i="2"/>
  <c r="AG382" i="2"/>
  <c r="AB382" i="2"/>
  <c r="AQ422" i="2"/>
  <c r="AV422" i="2" s="1"/>
  <c r="BE422" i="2" s="1"/>
  <c r="AQ438" i="2"/>
  <c r="AV438" i="2" s="1"/>
  <c r="BE438" i="2" s="1"/>
  <c r="AQ454" i="2"/>
  <c r="AV454" i="2" s="1"/>
  <c r="BE454" i="2" s="1"/>
  <c r="AQ470" i="2"/>
  <c r="AV470" i="2" s="1"/>
  <c r="BE470" i="2" s="1"/>
  <c r="AQ486" i="2"/>
  <c r="AV486" i="2" s="1"/>
  <c r="BE486" i="2" s="1"/>
  <c r="AQ733" i="2"/>
  <c r="AV733" i="2" s="1"/>
  <c r="BE733" i="2" s="1"/>
  <c r="AQ765" i="2"/>
  <c r="AV765" i="2" s="1"/>
  <c r="BE765" i="2" s="1"/>
  <c r="AQ797" i="2"/>
  <c r="AV797" i="2" s="1"/>
  <c r="BE797" i="2" s="1"/>
  <c r="AQ829" i="2"/>
  <c r="AV829" i="2" s="1"/>
  <c r="BE829" i="2" s="1"/>
  <c r="AQ861" i="2"/>
  <c r="AV861" i="2" s="1"/>
  <c r="BE861" i="2" s="1"/>
  <c r="AQ933" i="2"/>
  <c r="AV933" i="2" s="1"/>
  <c r="BE933" i="2" s="1"/>
  <c r="AQ935" i="2"/>
  <c r="AV935" i="2" s="1"/>
  <c r="BE935" i="2" s="1"/>
  <c r="AQ937" i="2"/>
  <c r="AV937" i="2" s="1"/>
  <c r="BE937" i="2" s="1"/>
  <c r="AQ939" i="2"/>
  <c r="AV939" i="2" s="1"/>
  <c r="BE939" i="2" s="1"/>
  <c r="AQ941" i="2"/>
  <c r="AV941" i="2" s="1"/>
  <c r="BE941" i="2" s="1"/>
  <c r="AQ943" i="2"/>
  <c r="AV943" i="2" s="1"/>
  <c r="BE943" i="2" s="1"/>
  <c r="AQ945" i="2"/>
  <c r="AV945" i="2" s="1"/>
  <c r="BE945" i="2" s="1"/>
  <c r="AQ947" i="2"/>
  <c r="AV947" i="2" s="1"/>
  <c r="BE947" i="2" s="1"/>
  <c r="AQ949" i="2"/>
  <c r="AV949" i="2" s="1"/>
  <c r="BE949" i="2" s="1"/>
  <c r="AQ951" i="2"/>
  <c r="AV951" i="2" s="1"/>
  <c r="BE951" i="2" s="1"/>
  <c r="AQ953" i="2"/>
  <c r="AV953" i="2" s="1"/>
  <c r="BE953" i="2" s="1"/>
  <c r="AQ955" i="2"/>
  <c r="AV955" i="2" s="1"/>
  <c r="BE955" i="2" s="1"/>
  <c r="AQ957" i="2"/>
  <c r="AV957" i="2" s="1"/>
  <c r="BE957" i="2" s="1"/>
  <c r="AQ959" i="2"/>
  <c r="AV959" i="2" s="1"/>
  <c r="BE959" i="2" s="1"/>
  <c r="AQ961" i="2"/>
  <c r="AV961" i="2" s="1"/>
  <c r="BE961" i="2" s="1"/>
  <c r="AQ963" i="2"/>
  <c r="AV963" i="2" s="1"/>
  <c r="BE963" i="2" s="1"/>
  <c r="AQ965" i="2"/>
  <c r="AV965" i="2" s="1"/>
  <c r="BE965" i="2" s="1"/>
  <c r="AQ967" i="2"/>
  <c r="AV967" i="2" s="1"/>
  <c r="BE967" i="2" s="1"/>
  <c r="AQ969" i="2"/>
  <c r="AV969" i="2" s="1"/>
  <c r="BE969" i="2" s="1"/>
  <c r="AQ971" i="2"/>
  <c r="AV971" i="2" s="1"/>
  <c r="BE971" i="2" s="1"/>
  <c r="AQ973" i="2"/>
  <c r="AV973" i="2" s="1"/>
  <c r="BE973" i="2" s="1"/>
  <c r="AQ975" i="2"/>
  <c r="AV975" i="2" s="1"/>
  <c r="BE975" i="2" s="1"/>
  <c r="AQ977" i="2"/>
  <c r="AV977" i="2" s="1"/>
  <c r="BE977" i="2" s="1"/>
  <c r="AQ979" i="2"/>
  <c r="AV979" i="2" s="1"/>
  <c r="BE979" i="2" s="1"/>
  <c r="AQ981" i="2"/>
  <c r="AV981" i="2" s="1"/>
  <c r="BE981" i="2" s="1"/>
  <c r="AQ983" i="2"/>
  <c r="AV983" i="2" s="1"/>
  <c r="BE983" i="2" s="1"/>
  <c r="AQ985" i="2"/>
  <c r="AV985" i="2" s="1"/>
  <c r="BE985" i="2" s="1"/>
  <c r="AQ987" i="2"/>
  <c r="AV987" i="2" s="1"/>
  <c r="BE987" i="2" s="1"/>
  <c r="AQ989" i="2"/>
  <c r="AV989" i="2" s="1"/>
  <c r="BE989" i="2" s="1"/>
  <c r="AQ991" i="2"/>
  <c r="AV991" i="2" s="1"/>
  <c r="BE991" i="2" s="1"/>
  <c r="AQ993" i="2"/>
  <c r="AV993" i="2" s="1"/>
  <c r="BE993" i="2" s="1"/>
  <c r="AQ995" i="2"/>
  <c r="AV995" i="2" s="1"/>
  <c r="BE995" i="2" s="1"/>
  <c r="AQ997" i="2"/>
  <c r="AV997" i="2" s="1"/>
  <c r="BE997" i="2" s="1"/>
  <c r="AQ999" i="2"/>
  <c r="AV999" i="2" s="1"/>
  <c r="BE999" i="2" s="1"/>
  <c r="AQ1001" i="2"/>
  <c r="AV1001" i="2" s="1"/>
  <c r="BE1001" i="2" s="1"/>
  <c r="AQ1003" i="2"/>
  <c r="AV1003" i="2" s="1"/>
  <c r="BE1003" i="2" s="1"/>
  <c r="AQ1005" i="2"/>
  <c r="AV1005" i="2" s="1"/>
  <c r="BE1005" i="2" s="1"/>
  <c r="AQ1007" i="2"/>
  <c r="AV1007" i="2" s="1"/>
  <c r="BE1007" i="2" s="1"/>
  <c r="AQ1009" i="2"/>
  <c r="AV1009" i="2" s="1"/>
  <c r="BE1009" i="2" s="1"/>
  <c r="AQ1011" i="2"/>
  <c r="AV1011" i="2" s="1"/>
  <c r="BE1011" i="2" s="1"/>
  <c r="AQ1013" i="2"/>
  <c r="AV1013" i="2" s="1"/>
  <c r="BE1013" i="2" s="1"/>
  <c r="AQ1015" i="2"/>
  <c r="AV1015" i="2" s="1"/>
  <c r="BE1015" i="2" s="1"/>
  <c r="AQ1017" i="2"/>
  <c r="AV1017" i="2" s="1"/>
  <c r="BE1017" i="2" s="1"/>
  <c r="AQ1019" i="2"/>
  <c r="AV1019" i="2" s="1"/>
  <c r="BE1019" i="2" s="1"/>
  <c r="AQ1021" i="2"/>
  <c r="AV1021" i="2" s="1"/>
  <c r="BE1021" i="2" s="1"/>
  <c r="AQ1023" i="2"/>
  <c r="AV1023" i="2" s="1"/>
  <c r="BE1023" i="2" s="1"/>
  <c r="AQ1025" i="2"/>
  <c r="AV1025" i="2" s="1"/>
  <c r="BE1025" i="2" s="1"/>
  <c r="AQ1027" i="2"/>
  <c r="AV1027" i="2" s="1"/>
  <c r="BE1027" i="2" s="1"/>
  <c r="AQ1029" i="2"/>
  <c r="AV1029" i="2" s="1"/>
  <c r="BE1029" i="2" s="1"/>
  <c r="AQ1031" i="2"/>
  <c r="AV1031" i="2" s="1"/>
  <c r="BE1031" i="2" s="1"/>
  <c r="AQ1033" i="2"/>
  <c r="AV1033" i="2" s="1"/>
  <c r="BE1033" i="2" s="1"/>
  <c r="AQ1035" i="2"/>
  <c r="AV1035" i="2" s="1"/>
  <c r="BE1035" i="2" s="1"/>
  <c r="AQ1037" i="2"/>
  <c r="AV1037" i="2" s="1"/>
  <c r="BE1037" i="2" s="1"/>
  <c r="AQ1039" i="2"/>
  <c r="AV1039" i="2" s="1"/>
  <c r="BE1039" i="2" s="1"/>
  <c r="AG1052" i="2"/>
  <c r="AB1052" i="2"/>
  <c r="AL1052" i="2"/>
  <c r="V1052" i="2"/>
  <c r="AG1060" i="2"/>
  <c r="AB1060" i="2"/>
  <c r="AL1060" i="2"/>
  <c r="V1060" i="2"/>
  <c r="AG1068" i="2"/>
  <c r="AB1068" i="2"/>
  <c r="AL1068" i="2"/>
  <c r="V1068" i="2"/>
  <c r="AG1076" i="2"/>
  <c r="AB1076" i="2"/>
  <c r="AL1076" i="2"/>
  <c r="V1076" i="2"/>
  <c r="AG1084" i="2"/>
  <c r="AB1084" i="2"/>
  <c r="AL1084" i="2"/>
  <c r="V1084" i="2"/>
  <c r="AG1092" i="2"/>
  <c r="AB1092" i="2"/>
  <c r="AL1092" i="2"/>
  <c r="V1092" i="2"/>
  <c r="AG1100" i="2"/>
  <c r="AB1100" i="2"/>
  <c r="AL1100" i="2"/>
  <c r="V1100" i="2"/>
  <c r="AG1108" i="2"/>
  <c r="AB1108" i="2"/>
  <c r="AL1108" i="2"/>
  <c r="V1108" i="2"/>
  <c r="AG1116" i="2"/>
  <c r="AB1116" i="2"/>
  <c r="AL1116" i="2"/>
  <c r="V1116" i="2"/>
  <c r="AG1124" i="2"/>
  <c r="AB1124" i="2"/>
  <c r="AL1124" i="2"/>
  <c r="V1124" i="2"/>
  <c r="AG1132" i="2"/>
  <c r="AB1132" i="2"/>
  <c r="AL1132" i="2"/>
  <c r="V1132" i="2"/>
  <c r="AG1140" i="2"/>
  <c r="AB1140" i="2"/>
  <c r="AL1140" i="2"/>
  <c r="V1140" i="2"/>
  <c r="BD736" i="2"/>
  <c r="BD800" i="2"/>
  <c r="BD864" i="2"/>
  <c r="AQ620" i="2"/>
  <c r="AV620" i="2" s="1"/>
  <c r="BE620" i="2" s="1"/>
  <c r="AQ624" i="2"/>
  <c r="AV624" i="2" s="1"/>
  <c r="BE624" i="2" s="1"/>
  <c r="AQ628" i="2"/>
  <c r="AV628" i="2" s="1"/>
  <c r="BE628" i="2" s="1"/>
  <c r="AQ632" i="2"/>
  <c r="AV632" i="2" s="1"/>
  <c r="BE632" i="2" s="1"/>
  <c r="AQ636" i="2"/>
  <c r="AV636" i="2" s="1"/>
  <c r="BE636" i="2" s="1"/>
  <c r="AQ640" i="2"/>
  <c r="AV640" i="2" s="1"/>
  <c r="BE640" i="2" s="1"/>
  <c r="AQ644" i="2"/>
  <c r="AV644" i="2" s="1"/>
  <c r="BE644" i="2" s="1"/>
  <c r="AQ648" i="2"/>
  <c r="AV648" i="2" s="1"/>
  <c r="BE648" i="2" s="1"/>
  <c r="AQ652" i="2"/>
  <c r="AV652" i="2" s="1"/>
  <c r="BE652" i="2" s="1"/>
  <c r="AQ656" i="2"/>
  <c r="AV656" i="2" s="1"/>
  <c r="BE656" i="2" s="1"/>
  <c r="AQ660" i="2"/>
  <c r="AV660" i="2" s="1"/>
  <c r="BE660" i="2" s="1"/>
  <c r="AQ664" i="2"/>
  <c r="AV664" i="2" s="1"/>
  <c r="BE664" i="2" s="1"/>
  <c r="AQ668" i="2"/>
  <c r="AV668" i="2" s="1"/>
  <c r="BE668" i="2" s="1"/>
  <c r="AQ672" i="2"/>
  <c r="AV672" i="2" s="1"/>
  <c r="BE672" i="2" s="1"/>
  <c r="AQ676" i="2"/>
  <c r="AV676" i="2" s="1"/>
  <c r="BE676" i="2" s="1"/>
  <c r="AQ680" i="2"/>
  <c r="AV680" i="2" s="1"/>
  <c r="BE680" i="2" s="1"/>
  <c r="AQ684" i="2"/>
  <c r="AV684" i="2" s="1"/>
  <c r="BE684" i="2" s="1"/>
  <c r="AQ688" i="2"/>
  <c r="AV688" i="2" s="1"/>
  <c r="BE688" i="2" s="1"/>
  <c r="AQ692" i="2"/>
  <c r="AV692" i="2" s="1"/>
  <c r="BE692" i="2" s="1"/>
  <c r="AQ696" i="2"/>
  <c r="AV696" i="2" s="1"/>
  <c r="BE696" i="2" s="1"/>
  <c r="AQ700" i="2"/>
  <c r="AV700" i="2" s="1"/>
  <c r="BE700" i="2" s="1"/>
  <c r="AQ704" i="2"/>
  <c r="AV704" i="2" s="1"/>
  <c r="BE704" i="2" s="1"/>
  <c r="AQ708" i="2"/>
  <c r="AV708" i="2" s="1"/>
  <c r="BE708" i="2" s="1"/>
  <c r="AQ712" i="2"/>
  <c r="AV712" i="2" s="1"/>
  <c r="BE712" i="2" s="1"/>
  <c r="AQ716" i="2"/>
  <c r="AV716" i="2" s="1"/>
  <c r="BE716" i="2" s="1"/>
  <c r="AQ720" i="2"/>
  <c r="AV720" i="2" s="1"/>
  <c r="BE720" i="2" s="1"/>
  <c r="AQ724" i="2"/>
  <c r="AV724" i="2" s="1"/>
  <c r="BE724" i="2" s="1"/>
  <c r="AG736" i="2"/>
  <c r="AB736" i="2"/>
  <c r="AL736" i="2"/>
  <c r="V736" i="2"/>
  <c r="AQ768" i="2"/>
  <c r="AV768" i="2" s="1"/>
  <c r="BE768" i="2" s="1"/>
  <c r="AG800" i="2"/>
  <c r="AB800" i="2"/>
  <c r="AL800" i="2"/>
  <c r="V800" i="2"/>
  <c r="AQ832" i="2"/>
  <c r="AV832" i="2" s="1"/>
  <c r="BE832" i="2" s="1"/>
  <c r="AG864" i="2"/>
  <c r="AB864" i="2"/>
  <c r="AL864" i="2"/>
  <c r="V864" i="2"/>
  <c r="BD990" i="2"/>
  <c r="BD1006" i="2"/>
  <c r="BD1022" i="2"/>
  <c r="BD1038" i="2"/>
  <c r="AQ1061" i="2"/>
  <c r="AV1061" i="2" s="1"/>
  <c r="BE1061" i="2" s="1"/>
  <c r="AG1093" i="2"/>
  <c r="AL1093" i="2"/>
  <c r="V1093" i="2"/>
  <c r="AB1093" i="2"/>
  <c r="AQ1125" i="2"/>
  <c r="AV1125" i="2" s="1"/>
  <c r="BE1125" i="2" s="1"/>
  <c r="AQ1181" i="2"/>
  <c r="AV1181" i="2" s="1"/>
  <c r="BE1181" i="2" s="1"/>
  <c r="AB1213" i="2"/>
  <c r="AL1213" i="2"/>
  <c r="V1213" i="2"/>
  <c r="AG1213" i="2"/>
  <c r="AQ1245" i="2"/>
  <c r="AV1245" i="2" s="1"/>
  <c r="BE1245" i="2" s="1"/>
  <c r="AB1277" i="2"/>
  <c r="AL1277" i="2"/>
  <c r="V1277" i="2"/>
  <c r="AG1277" i="2"/>
  <c r="AQ1309" i="2"/>
  <c r="AV1309" i="2" s="1"/>
  <c r="BE1309" i="2" s="1"/>
  <c r="AB1341" i="2"/>
  <c r="AL1341" i="2"/>
  <c r="V1341" i="2"/>
  <c r="AG1341" i="2"/>
  <c r="BD1100" i="2"/>
  <c r="AQ1154" i="2"/>
  <c r="AV1154" i="2" s="1"/>
  <c r="BE1154" i="2" s="1"/>
  <c r="AQ1158" i="2"/>
  <c r="AV1158" i="2" s="1"/>
  <c r="BE1158" i="2" s="1"/>
  <c r="AQ1162" i="2"/>
  <c r="AV1162" i="2" s="1"/>
  <c r="BE1162" i="2" s="1"/>
  <c r="AQ1166" i="2"/>
  <c r="AV1166" i="2" s="1"/>
  <c r="BE1166" i="2" s="1"/>
  <c r="AQ1170" i="2"/>
  <c r="AV1170" i="2" s="1"/>
  <c r="BE1170" i="2" s="1"/>
  <c r="AQ1174" i="2"/>
  <c r="AV1174" i="2" s="1"/>
  <c r="BE1174" i="2" s="1"/>
  <c r="AL1200" i="2"/>
  <c r="V1200" i="2"/>
  <c r="AG1200" i="2"/>
  <c r="AB1200" i="2"/>
  <c r="BD1211" i="2"/>
  <c r="AQ1232" i="2"/>
  <c r="AV1232" i="2" s="1"/>
  <c r="BE1232" i="2" s="1"/>
  <c r="AL1264" i="2"/>
  <c r="V1264" i="2"/>
  <c r="AG1264" i="2"/>
  <c r="AB1264" i="2"/>
  <c r="BD1275" i="2"/>
  <c r="AQ1296" i="2"/>
  <c r="AV1296" i="2" s="1"/>
  <c r="BE1296" i="2" s="1"/>
  <c r="AL1328" i="2"/>
  <c r="V1328" i="2"/>
  <c r="AG1328" i="2"/>
  <c r="AB1328" i="2"/>
  <c r="BD1339" i="2"/>
  <c r="AQ1360" i="2"/>
  <c r="AV1360" i="2" s="1"/>
  <c r="BE1360" i="2" s="1"/>
  <c r="AG1079" i="2"/>
  <c r="AL1079" i="2"/>
  <c r="V1079" i="2"/>
  <c r="AB1079" i="2"/>
  <c r="AQ1111" i="2"/>
  <c r="AV1111" i="2" s="1"/>
  <c r="BE1111" i="2" s="1"/>
  <c r="AQ1187" i="2"/>
  <c r="AV1187" i="2" s="1"/>
  <c r="BE1187" i="2" s="1"/>
  <c r="AB1219" i="2"/>
  <c r="AL1219" i="2"/>
  <c r="V1219" i="2"/>
  <c r="AG1219" i="2"/>
  <c r="AQ1251" i="2"/>
  <c r="AV1251" i="2" s="1"/>
  <c r="BE1251" i="2" s="1"/>
  <c r="AB1283" i="2"/>
  <c r="AL1283" i="2"/>
  <c r="V1283" i="2"/>
  <c r="AG1283" i="2"/>
  <c r="AQ1315" i="2"/>
  <c r="AV1315" i="2" s="1"/>
  <c r="BE1315" i="2" s="1"/>
  <c r="AB1347" i="2"/>
  <c r="AL1347" i="2"/>
  <c r="V1347" i="2"/>
  <c r="AG1347" i="2"/>
  <c r="AG1049" i="2"/>
  <c r="AL1049" i="2"/>
  <c r="AB1049" i="2"/>
  <c r="V1049" i="2"/>
  <c r="BD1155" i="2"/>
  <c r="BD1171" i="2"/>
  <c r="AL1198" i="2"/>
  <c r="V1198" i="2"/>
  <c r="AG1198" i="2"/>
  <c r="AB1198" i="2"/>
  <c r="BD1209" i="2"/>
  <c r="AQ1230" i="2"/>
  <c r="AV1230" i="2" s="1"/>
  <c r="BE1230" i="2" s="1"/>
  <c r="AL1262" i="2"/>
  <c r="V1262" i="2"/>
  <c r="AG1262" i="2"/>
  <c r="AB1262" i="2"/>
  <c r="BD1273" i="2"/>
  <c r="AQ1294" i="2"/>
  <c r="AV1294" i="2" s="1"/>
  <c r="BE1294" i="2" s="1"/>
  <c r="AL1326" i="2"/>
  <c r="V1326" i="2"/>
  <c r="AG1326" i="2"/>
  <c r="AB1326" i="2"/>
  <c r="BD1337" i="2"/>
  <c r="AQ1358" i="2"/>
  <c r="AV1358" i="2" s="1"/>
  <c r="BE1358" i="2" s="1"/>
  <c r="AQ1383" i="2"/>
  <c r="AV1383" i="2" s="1"/>
  <c r="BE1383" i="2" s="1"/>
  <c r="AQ1484" i="2"/>
  <c r="AV1484" i="2" s="1"/>
  <c r="BE1484" i="2" s="1"/>
  <c r="AQ1608" i="2"/>
  <c r="AV1608" i="2" s="1"/>
  <c r="BE1608" i="2" s="1"/>
  <c r="AB1615" i="2"/>
  <c r="AL1615" i="2"/>
  <c r="V1615" i="2"/>
  <c r="AG1615" i="2"/>
  <c r="AL1640" i="2"/>
  <c r="V1640" i="2"/>
  <c r="AG1640" i="2"/>
  <c r="AB1640" i="2"/>
  <c r="AQ1647" i="2"/>
  <c r="AV1647" i="2" s="1"/>
  <c r="BE1647" i="2" s="1"/>
  <c r="AL1478" i="2"/>
  <c r="V1478" i="2"/>
  <c r="AB1478" i="2"/>
  <c r="AG1478" i="2"/>
  <c r="AL1482" i="2"/>
  <c r="V1482" i="2"/>
  <c r="AB1482" i="2"/>
  <c r="AG1482" i="2"/>
  <c r="AL1496" i="2"/>
  <c r="V1496" i="2"/>
  <c r="AB1496" i="2"/>
  <c r="AG1496" i="2"/>
  <c r="AL1500" i="2"/>
  <c r="V1500" i="2"/>
  <c r="AB1500" i="2"/>
  <c r="AG1500" i="2"/>
  <c r="AL1510" i="2"/>
  <c r="V1510" i="2"/>
  <c r="AB1510" i="2"/>
  <c r="AG1510" i="2"/>
  <c r="AL1514" i="2"/>
  <c r="V1514" i="2"/>
  <c r="AB1514" i="2"/>
  <c r="AG1514" i="2"/>
  <c r="AB1529" i="2"/>
  <c r="AL1529" i="2"/>
  <c r="V1529" i="2"/>
  <c r="AG1529" i="2"/>
  <c r="AQ1403" i="2"/>
  <c r="AV1403" i="2" s="1"/>
  <c r="BE1403" i="2" s="1"/>
  <c r="AB1407" i="2"/>
  <c r="AL1407" i="2"/>
  <c r="V1407" i="2"/>
  <c r="AG1407" i="2"/>
  <c r="AQ1419" i="2"/>
  <c r="AV1419" i="2" s="1"/>
  <c r="BE1419" i="2" s="1"/>
  <c r="AB1423" i="2"/>
  <c r="AL1423" i="2"/>
  <c r="V1423" i="2"/>
  <c r="AG1423" i="2"/>
  <c r="AQ1435" i="2"/>
  <c r="AV1435" i="2" s="1"/>
  <c r="BE1435" i="2" s="1"/>
  <c r="AL1440" i="2"/>
  <c r="V1440" i="2"/>
  <c r="AB1440" i="2"/>
  <c r="AG1440" i="2"/>
  <c r="AQ1547" i="2"/>
  <c r="AV1547" i="2" s="1"/>
  <c r="BE1547" i="2" s="1"/>
  <c r="AB1551" i="2"/>
  <c r="AL1551" i="2"/>
  <c r="V1551" i="2"/>
  <c r="AG1551" i="2"/>
  <c r="AQ1563" i="2"/>
  <c r="AV1563" i="2" s="1"/>
  <c r="BE1563" i="2" s="1"/>
  <c r="AB1567" i="2"/>
  <c r="AL1567" i="2"/>
  <c r="V1567" i="2"/>
  <c r="AG1567" i="2"/>
  <c r="AQ1579" i="2"/>
  <c r="AV1579" i="2" s="1"/>
  <c r="BE1579" i="2" s="1"/>
  <c r="AB1585" i="2"/>
  <c r="AL1585" i="2"/>
  <c r="V1585" i="2"/>
  <c r="AG1585" i="2"/>
  <c r="AB1593" i="2"/>
  <c r="AL1593" i="2"/>
  <c r="V1593" i="2"/>
  <c r="AG1593" i="2"/>
  <c r="AL1618" i="2"/>
  <c r="V1618" i="2"/>
  <c r="AG1618" i="2"/>
  <c r="AB1618" i="2"/>
  <c r="AQ1625" i="2"/>
  <c r="AV1625" i="2" s="1"/>
  <c r="BE1625" i="2" s="1"/>
  <c r="AQ1650" i="2"/>
  <c r="AV1650" i="2" s="1"/>
  <c r="BE1650" i="2" s="1"/>
  <c r="AB1657" i="2"/>
  <c r="AL1657" i="2"/>
  <c r="V1657" i="2"/>
  <c r="AG1657" i="2"/>
  <c r="AC1759" i="2"/>
  <c r="AM1759" i="2"/>
  <c r="AH1759" i="2"/>
  <c r="W1759" i="2"/>
  <c r="AM1791" i="2"/>
  <c r="AC1823" i="2"/>
  <c r="AQ1710" i="2"/>
  <c r="AV1710" i="2" s="1"/>
  <c r="BE1710" i="2" s="1"/>
  <c r="AB1726" i="2"/>
  <c r="AL1726" i="2"/>
  <c r="V1726" i="2"/>
  <c r="AG1726" i="2"/>
  <c r="AQ1838" i="2"/>
  <c r="AV1838" i="2" s="1"/>
  <c r="BE1838" i="2" s="1"/>
  <c r="AL1764" i="2"/>
  <c r="AG1764" i="2"/>
  <c r="AB1764" i="2"/>
  <c r="V1764" i="2"/>
  <c r="AQ1772" i="2"/>
  <c r="AV1772" i="2" s="1"/>
  <c r="BE1772" i="2" s="1"/>
  <c r="AL1780" i="2"/>
  <c r="AG1780" i="2"/>
  <c r="AB1780" i="2"/>
  <c r="V1780" i="2"/>
  <c r="BD1786" i="2"/>
  <c r="AQ1788" i="2"/>
  <c r="AV1788" i="2" s="1"/>
  <c r="BE1788" i="2" s="1"/>
  <c r="AL1796" i="2"/>
  <c r="AG1796" i="2"/>
  <c r="AB1796" i="2"/>
  <c r="V1796" i="2"/>
  <c r="AQ1804" i="2"/>
  <c r="AV1804" i="2" s="1"/>
  <c r="BE1804" i="2" s="1"/>
  <c r="AG1817" i="2"/>
  <c r="AB1817" i="2"/>
  <c r="V1817" i="2"/>
  <c r="AL1817" i="2"/>
  <c r="AQ1833" i="2"/>
  <c r="AV1833" i="2" s="1"/>
  <c r="BE1833" i="2" s="1"/>
  <c r="AQ1837" i="2"/>
  <c r="AV1837" i="2" s="1"/>
  <c r="BE1837" i="2" s="1"/>
  <c r="AQ1841" i="2"/>
  <c r="AV1841" i="2" s="1"/>
  <c r="BE1841" i="2" s="1"/>
  <c r="AQ1845" i="2"/>
  <c r="AV1845" i="2" s="1"/>
  <c r="BE1845" i="2" s="1"/>
  <c r="AB1850" i="2"/>
  <c r="AL1850" i="2"/>
  <c r="V1850" i="2"/>
  <c r="AG1850" i="2"/>
  <c r="AQ1858" i="2"/>
  <c r="AV1858" i="2" s="1"/>
  <c r="BE1858" i="2" s="1"/>
  <c r="BD1860" i="2"/>
  <c r="BD1922" i="2"/>
  <c r="BD1851" i="2"/>
  <c r="BD1867" i="2"/>
  <c r="BD1883" i="2"/>
  <c r="BD2019" i="2"/>
  <c r="AL2044" i="2"/>
  <c r="V2044" i="2"/>
  <c r="AB2044" i="2"/>
  <c r="AG2044" i="2"/>
  <c r="AL2063" i="2"/>
  <c r="V2063" i="2"/>
  <c r="AG2063" i="2"/>
  <c r="AB2063" i="2"/>
  <c r="AQ2072" i="2"/>
  <c r="AV2072" i="2" s="1"/>
  <c r="BE2072" i="2" s="1"/>
  <c r="BD2078" i="2"/>
  <c r="AQ2095" i="2"/>
  <c r="AV2095" i="2" s="1"/>
  <c r="BE2095" i="2" s="1"/>
  <c r="AB2104" i="2"/>
  <c r="AL2104" i="2"/>
  <c r="V2104" i="2"/>
  <c r="AG2104" i="2"/>
  <c r="AQ2110" i="2"/>
  <c r="AV2110" i="2" s="1"/>
  <c r="BE2110" i="2" s="1"/>
  <c r="AQ2159" i="2"/>
  <c r="AV2159" i="2" s="1"/>
  <c r="BE2159" i="2" s="1"/>
  <c r="AG2191" i="2"/>
  <c r="AB2191" i="2"/>
  <c r="AL2191" i="2"/>
  <c r="V2191" i="2"/>
  <c r="AQ2158" i="2"/>
  <c r="AV2158" i="2" s="1"/>
  <c r="BE2158" i="2" s="1"/>
  <c r="AL2190" i="2"/>
  <c r="V2190" i="2"/>
  <c r="AG2190" i="2"/>
  <c r="AB2190" i="2"/>
  <c r="AG2165" i="2"/>
  <c r="AB2165" i="2"/>
  <c r="AL2165" i="2"/>
  <c r="V2165" i="2"/>
  <c r="BD2176" i="2"/>
  <c r="AQ2197" i="2"/>
  <c r="AV2197" i="2" s="1"/>
  <c r="BE2197" i="2" s="1"/>
  <c r="AQ2176" i="2"/>
  <c r="AV2176" i="2" s="1"/>
  <c r="BE2176" i="2" s="1"/>
  <c r="AB2203" i="2"/>
  <c r="AL2203" i="2"/>
  <c r="V2203" i="2"/>
  <c r="AG2203" i="2"/>
  <c r="AQ2219" i="2"/>
  <c r="AV2219" i="2" s="1"/>
  <c r="BE2219" i="2" s="1"/>
  <c r="AB2235" i="2"/>
  <c r="AL2235" i="2"/>
  <c r="V2235" i="2"/>
  <c r="AG2235" i="2"/>
  <c r="AQ2251" i="2"/>
  <c r="AV2251" i="2" s="1"/>
  <c r="BE2251" i="2" s="1"/>
  <c r="AB2267" i="2"/>
  <c r="AL2267" i="2"/>
  <c r="V2267" i="2"/>
  <c r="AG2267" i="2"/>
  <c r="AQ2283" i="2"/>
  <c r="AV2283" i="2" s="1"/>
  <c r="BE2283" i="2" s="1"/>
  <c r="BD2211" i="2"/>
  <c r="BD2227" i="2"/>
  <c r="BD2243" i="2"/>
  <c r="BD2259" i="2"/>
  <c r="BD2275" i="2"/>
  <c r="BD2291" i="2"/>
  <c r="BD2307" i="2"/>
  <c r="BD2420" i="2"/>
  <c r="AQ2441" i="2"/>
  <c r="AV2441" i="2" s="1"/>
  <c r="BE2441" i="2" s="1"/>
  <c r="AG2473" i="2"/>
  <c r="AB2473" i="2"/>
  <c r="AL2473" i="2"/>
  <c r="V2473" i="2"/>
  <c r="AL2440" i="2"/>
  <c r="V2440" i="2"/>
  <c r="AG2440" i="2"/>
  <c r="AB2440" i="2"/>
  <c r="BD2451" i="2"/>
  <c r="AQ2472" i="2"/>
  <c r="AV2472" i="2" s="1"/>
  <c r="BE2472" i="2" s="1"/>
  <c r="AQ2402" i="2"/>
  <c r="AV2402" i="2" s="1"/>
  <c r="BE2402" i="2" s="1"/>
  <c r="BD2410" i="2"/>
  <c r="AQ2431" i="2"/>
  <c r="AV2431" i="2" s="1"/>
  <c r="BE2431" i="2" s="1"/>
  <c r="AG2463" i="2"/>
  <c r="AB2463" i="2"/>
  <c r="AL2463" i="2"/>
  <c r="V2463" i="2"/>
  <c r="BD2474" i="2"/>
  <c r="AL2418" i="2"/>
  <c r="V2418" i="2"/>
  <c r="AG2418" i="2"/>
  <c r="AB2418" i="2"/>
  <c r="BD2429" i="2"/>
  <c r="AQ2450" i="2"/>
  <c r="AV2450" i="2" s="1"/>
  <c r="BE2450" i="2" s="1"/>
  <c r="AL2487" i="2"/>
  <c r="V2487" i="2"/>
  <c r="AB2487" i="2"/>
  <c r="AG2487" i="2"/>
  <c r="AL2495" i="2"/>
  <c r="V2495" i="2"/>
  <c r="AB2495" i="2"/>
  <c r="AG2495" i="2"/>
  <c r="BD2479" i="2"/>
  <c r="AQ2498" i="2"/>
  <c r="AV2498" i="2" s="1"/>
  <c r="BE2498" i="2" s="1"/>
  <c r="AQ2481" i="2"/>
  <c r="AV2481" i="2" s="1"/>
  <c r="BE2481" i="2" s="1"/>
  <c r="BD2486" i="2"/>
  <c r="AB2319" i="2"/>
  <c r="AL2319" i="2"/>
  <c r="V2319" i="2"/>
  <c r="AG2319" i="2"/>
  <c r="AB2327" i="2"/>
  <c r="AL2327" i="2"/>
  <c r="V2327" i="2"/>
  <c r="AG2327" i="2"/>
  <c r="AB2343" i="2"/>
  <c r="AL2343" i="2"/>
  <c r="V2343" i="2"/>
  <c r="AG2343" i="2"/>
  <c r="AB2351" i="2"/>
  <c r="AL2351" i="2"/>
  <c r="V2351" i="2"/>
  <c r="AG2351" i="2"/>
  <c r="AB2391" i="2"/>
  <c r="AL2391" i="2"/>
  <c r="V2391" i="2"/>
  <c r="AG2391" i="2"/>
  <c r="AG2469" i="2"/>
  <c r="AB2469" i="2"/>
  <c r="AL2469" i="2"/>
  <c r="V2469" i="2"/>
  <c r="AQ2420" i="2"/>
  <c r="AV2420" i="2" s="1"/>
  <c r="BE2420" i="2" s="1"/>
  <c r="AL2452" i="2"/>
  <c r="V2452" i="2"/>
  <c r="AG2452" i="2"/>
  <c r="AB2452" i="2"/>
  <c r="AG2411" i="2"/>
  <c r="AB2411" i="2"/>
  <c r="AL2411" i="2"/>
  <c r="V2411" i="2"/>
  <c r="AG2427" i="2"/>
  <c r="AB2427" i="2"/>
  <c r="AL2427" i="2"/>
  <c r="V2427" i="2"/>
  <c r="BD2438" i="2"/>
  <c r="AL2430" i="2"/>
  <c r="V2430" i="2"/>
  <c r="AG2430" i="2"/>
  <c r="AB2430" i="2"/>
  <c r="AQ2494" i="2"/>
  <c r="AV2494" i="2" s="1"/>
  <c r="BE2494" i="2" s="1"/>
  <c r="AQ2392" i="2"/>
  <c r="AV2392" i="2" s="1"/>
  <c r="BE2392" i="2" s="1"/>
  <c r="AB2221" i="2"/>
  <c r="AL2221" i="2"/>
  <c r="V2221" i="2"/>
  <c r="AG2221" i="2"/>
  <c r="AQ2416" i="2"/>
  <c r="AV2416" i="2" s="1"/>
  <c r="BE2416" i="2" s="1"/>
  <c r="AQ2432" i="2"/>
  <c r="AV2432" i="2" s="1"/>
  <c r="BE2432" i="2" s="1"/>
  <c r="AQ2448" i="2"/>
  <c r="AV2448" i="2" s="1"/>
  <c r="BE2448" i="2" s="1"/>
  <c r="AQ2464" i="2"/>
  <c r="AV2464" i="2" s="1"/>
  <c r="BE2464" i="2" s="1"/>
  <c r="AQ2423" i="2"/>
  <c r="AV2423" i="2" s="1"/>
  <c r="BE2423" i="2" s="1"/>
  <c r="AL2458" i="2"/>
  <c r="V2458" i="2"/>
  <c r="AG2458" i="2"/>
  <c r="AB2458" i="2"/>
  <c r="AQ111" i="2"/>
  <c r="AV111" i="2" s="1"/>
  <c r="BE111" i="2" s="1"/>
  <c r="AL122" i="2"/>
  <c r="V122" i="2"/>
  <c r="AG122" i="2"/>
  <c r="AB122" i="2"/>
  <c r="AQ157" i="2"/>
  <c r="AV157" i="2" s="1"/>
  <c r="BE157" i="2" s="1"/>
  <c r="AQ186" i="2"/>
  <c r="AV186" i="2" s="1"/>
  <c r="BE186" i="2" s="1"/>
  <c r="AQ202" i="2"/>
  <c r="AV202" i="2" s="1"/>
  <c r="BE202" i="2" s="1"/>
  <c r="AL30" i="2"/>
  <c r="V30" i="2"/>
  <c r="AB30" i="2"/>
  <c r="AG30" i="2"/>
  <c r="AB219" i="2"/>
  <c r="AL219" i="2"/>
  <c r="AG219" i="2"/>
  <c r="V219" i="2"/>
  <c r="AB225" i="2"/>
  <c r="AL225" i="2"/>
  <c r="AG225" i="2"/>
  <c r="V225" i="2"/>
  <c r="AQ244" i="2"/>
  <c r="AV244" i="2" s="1"/>
  <c r="BE244" i="2" s="1"/>
  <c r="AQ258" i="2"/>
  <c r="AV258" i="2" s="1"/>
  <c r="BE258" i="2" s="1"/>
  <c r="AL308" i="2"/>
  <c r="V308" i="2"/>
  <c r="AG308" i="2"/>
  <c r="AB308" i="2"/>
  <c r="AL322" i="2"/>
  <c r="V322" i="2"/>
  <c r="AG322" i="2"/>
  <c r="AB322" i="2"/>
  <c r="AQ423" i="2"/>
  <c r="AV423" i="2" s="1"/>
  <c r="BE423" i="2" s="1"/>
  <c r="AB449" i="2"/>
  <c r="AL449" i="2"/>
  <c r="AG449" i="2"/>
  <c r="V449" i="2"/>
  <c r="AQ13" i="2"/>
  <c r="AV13" i="2" s="1"/>
  <c r="BE13" i="2" s="1"/>
  <c r="AL114" i="2"/>
  <c r="V114" i="2"/>
  <c r="AG114" i="2"/>
  <c r="AB114" i="2"/>
  <c r="AQ146" i="2"/>
  <c r="AV146" i="2" s="1"/>
  <c r="BE146" i="2" s="1"/>
  <c r="AL178" i="2"/>
  <c r="V178" i="2"/>
  <c r="AG178" i="2"/>
  <c r="AB178" i="2"/>
  <c r="AB271" i="2"/>
  <c r="AL271" i="2"/>
  <c r="AG271" i="2"/>
  <c r="V271" i="2"/>
  <c r="AR272" i="2"/>
  <c r="AW272" i="2" s="1"/>
  <c r="BF272" i="2" s="1"/>
  <c r="AB287" i="2"/>
  <c r="AL287" i="2"/>
  <c r="AG287" i="2"/>
  <c r="V287" i="2"/>
  <c r="AB303" i="2"/>
  <c r="AL303" i="2"/>
  <c r="AG303" i="2"/>
  <c r="V303" i="2"/>
  <c r="AB319" i="2"/>
  <c r="AL319" i="2"/>
  <c r="AG319" i="2"/>
  <c r="V319" i="2"/>
  <c r="AL336" i="2"/>
  <c r="V336" i="2"/>
  <c r="AG336" i="2"/>
  <c r="AB336" i="2"/>
  <c r="AL368" i="2"/>
  <c r="V368" i="2"/>
  <c r="AG368" i="2"/>
  <c r="AB368" i="2"/>
  <c r="AL400" i="2"/>
  <c r="V400" i="2"/>
  <c r="AG400" i="2"/>
  <c r="AB400" i="2"/>
  <c r="AB415" i="2"/>
  <c r="AL415" i="2"/>
  <c r="AG415" i="2"/>
  <c r="V415" i="2"/>
  <c r="AQ40" i="2"/>
  <c r="AV40" i="2" s="1"/>
  <c r="BE40" i="2" s="1"/>
  <c r="AQ46" i="2"/>
  <c r="AV46" i="2" s="1"/>
  <c r="BE46" i="2" s="1"/>
  <c r="AQ66" i="2"/>
  <c r="AV66" i="2" s="1"/>
  <c r="BE66" i="2" s="1"/>
  <c r="AQ72" i="2"/>
  <c r="AV72" i="2" s="1"/>
  <c r="BE72" i="2" s="1"/>
  <c r="AQ78" i="2"/>
  <c r="AV78" i="2" s="1"/>
  <c r="BE78" i="2" s="1"/>
  <c r="AQ98" i="2"/>
  <c r="AV98" i="2" s="1"/>
  <c r="BE98" i="2" s="1"/>
  <c r="AB121" i="2"/>
  <c r="AG121" i="2"/>
  <c r="V121" i="2"/>
  <c r="AL121" i="2"/>
  <c r="AB153" i="2"/>
  <c r="AG153" i="2"/>
  <c r="V153" i="2"/>
  <c r="AL153" i="2"/>
  <c r="AB185" i="2"/>
  <c r="AG185" i="2"/>
  <c r="V185" i="2"/>
  <c r="AL185" i="2"/>
  <c r="AB227" i="2"/>
  <c r="AL227" i="2"/>
  <c r="AG227" i="2"/>
  <c r="V227" i="2"/>
  <c r="AB233" i="2"/>
  <c r="AL233" i="2"/>
  <c r="AG233" i="2"/>
  <c r="V233" i="2"/>
  <c r="AQ252" i="2"/>
  <c r="AV252" i="2" s="1"/>
  <c r="BE252" i="2" s="1"/>
  <c r="AQ266" i="2"/>
  <c r="AV266" i="2" s="1"/>
  <c r="BE266" i="2" s="1"/>
  <c r="AB291" i="2"/>
  <c r="AL291" i="2"/>
  <c r="AG291" i="2"/>
  <c r="V291" i="2"/>
  <c r="AB297" i="2"/>
  <c r="AL297" i="2"/>
  <c r="AG297" i="2"/>
  <c r="V297" i="2"/>
  <c r="AQ314" i="2"/>
  <c r="AV314" i="2" s="1"/>
  <c r="BE314" i="2" s="1"/>
  <c r="AL418" i="2"/>
  <c r="V418" i="2"/>
  <c r="AG418" i="2"/>
  <c r="AB418" i="2"/>
  <c r="AL448" i="2"/>
  <c r="V448" i="2"/>
  <c r="AG448" i="2"/>
  <c r="AB448" i="2"/>
  <c r="AQ221" i="2"/>
  <c r="AV221" i="2" s="1"/>
  <c r="BE221" i="2" s="1"/>
  <c r="AB253" i="2"/>
  <c r="V253" i="2"/>
  <c r="AL253" i="2"/>
  <c r="AG253" i="2"/>
  <c r="AQ519" i="2"/>
  <c r="AV519" i="2" s="1"/>
  <c r="BE519" i="2" s="1"/>
  <c r="AB536" i="2"/>
  <c r="AL536" i="2"/>
  <c r="V536" i="2"/>
  <c r="AG536" i="2"/>
  <c r="BD229" i="2"/>
  <c r="AL238" i="2"/>
  <c r="V238" i="2"/>
  <c r="AG238" i="2"/>
  <c r="AB238" i="2"/>
  <c r="AQ326" i="2"/>
  <c r="AV326" i="2" s="1"/>
  <c r="BE326" i="2" s="1"/>
  <c r="AM356" i="2"/>
  <c r="BD365" i="2"/>
  <c r="BD413" i="2"/>
  <c r="BD477" i="2"/>
  <c r="AL621" i="2"/>
  <c r="V621" i="2"/>
  <c r="AG621" i="2"/>
  <c r="AB621" i="2"/>
  <c r="BD622" i="2"/>
  <c r="AQ629" i="2"/>
  <c r="AV629" i="2" s="1"/>
  <c r="BE629" i="2" s="1"/>
  <c r="AL637" i="2"/>
  <c r="V637" i="2"/>
  <c r="AG637" i="2"/>
  <c r="AB637" i="2"/>
  <c r="BD638" i="2"/>
  <c r="AQ645" i="2"/>
  <c r="AV645" i="2" s="1"/>
  <c r="BE645" i="2" s="1"/>
  <c r="AL653" i="2"/>
  <c r="V653" i="2"/>
  <c r="AG653" i="2"/>
  <c r="AB653" i="2"/>
  <c r="BD654" i="2"/>
  <c r="AQ661" i="2"/>
  <c r="AV661" i="2" s="1"/>
  <c r="BE661" i="2" s="1"/>
  <c r="AL669" i="2"/>
  <c r="V669" i="2"/>
  <c r="AG669" i="2"/>
  <c r="AB669" i="2"/>
  <c r="BD670" i="2"/>
  <c r="AQ677" i="2"/>
  <c r="AV677" i="2" s="1"/>
  <c r="BE677" i="2" s="1"/>
  <c r="AL685" i="2"/>
  <c r="V685" i="2"/>
  <c r="AG685" i="2"/>
  <c r="AB685" i="2"/>
  <c r="BD686" i="2"/>
  <c r="AQ693" i="2"/>
  <c r="AV693" i="2" s="1"/>
  <c r="BE693" i="2" s="1"/>
  <c r="AL701" i="2"/>
  <c r="V701" i="2"/>
  <c r="AG701" i="2"/>
  <c r="AB701" i="2"/>
  <c r="BD702" i="2"/>
  <c r="AQ709" i="2"/>
  <c r="AV709" i="2" s="1"/>
  <c r="BE709" i="2" s="1"/>
  <c r="AL717" i="2"/>
  <c r="V717" i="2"/>
  <c r="AG717" i="2"/>
  <c r="AB717" i="2"/>
  <c r="AL719" i="2"/>
  <c r="V719" i="2"/>
  <c r="AG719" i="2"/>
  <c r="AB719" i="2"/>
  <c r="AL721" i="2"/>
  <c r="V721" i="2"/>
  <c r="AG721" i="2"/>
  <c r="AB721" i="2"/>
  <c r="AL723" i="2"/>
  <c r="V723" i="2"/>
  <c r="AG723" i="2"/>
  <c r="AB723" i="2"/>
  <c r="AL725" i="2"/>
  <c r="V725" i="2"/>
  <c r="AG725" i="2"/>
  <c r="AB725" i="2"/>
  <c r="AQ739" i="2"/>
  <c r="AV739" i="2" s="1"/>
  <c r="BE739" i="2" s="1"/>
  <c r="AQ755" i="2"/>
  <c r="AV755" i="2" s="1"/>
  <c r="BE755" i="2" s="1"/>
  <c r="AQ771" i="2"/>
  <c r="AV771" i="2" s="1"/>
  <c r="BE771" i="2" s="1"/>
  <c r="AQ787" i="2"/>
  <c r="AV787" i="2" s="1"/>
  <c r="BE787" i="2" s="1"/>
  <c r="AQ803" i="2"/>
  <c r="AV803" i="2" s="1"/>
  <c r="BE803" i="2" s="1"/>
  <c r="AQ819" i="2"/>
  <c r="AV819" i="2" s="1"/>
  <c r="BE819" i="2" s="1"/>
  <c r="AQ835" i="2"/>
  <c r="AV835" i="2" s="1"/>
  <c r="BE835" i="2" s="1"/>
  <c r="AQ851" i="2"/>
  <c r="AV851" i="2" s="1"/>
  <c r="BE851" i="2" s="1"/>
  <c r="AQ867" i="2"/>
  <c r="AV867" i="2" s="1"/>
  <c r="BE867" i="2" s="1"/>
  <c r="AQ883" i="2"/>
  <c r="AV883" i="2" s="1"/>
  <c r="BE883" i="2" s="1"/>
  <c r="AQ737" i="2"/>
  <c r="AV737" i="2" s="1"/>
  <c r="BE737" i="2" s="1"/>
  <c r="AQ769" i="2"/>
  <c r="AV769" i="2" s="1"/>
  <c r="BE769" i="2" s="1"/>
  <c r="AQ801" i="2"/>
  <c r="AV801" i="2" s="1"/>
  <c r="BE801" i="2" s="1"/>
  <c r="AQ833" i="2"/>
  <c r="AV833" i="2" s="1"/>
  <c r="BE833" i="2" s="1"/>
  <c r="AQ865" i="2"/>
  <c r="AV865" i="2" s="1"/>
  <c r="BE865" i="2" s="1"/>
  <c r="AC889" i="2"/>
  <c r="AM889" i="2"/>
  <c r="W889" i="2"/>
  <c r="AH889" i="2"/>
  <c r="AM893" i="2"/>
  <c r="AC897" i="2"/>
  <c r="AM897" i="2"/>
  <c r="W897" i="2"/>
  <c r="AH897" i="2"/>
  <c r="AC905" i="2"/>
  <c r="AM905" i="2"/>
  <c r="W905" i="2"/>
  <c r="AH905" i="2"/>
  <c r="AC913" i="2"/>
  <c r="AM913" i="2"/>
  <c r="W913" i="2"/>
  <c r="AH913" i="2"/>
  <c r="AC917" i="2"/>
  <c r="AC921" i="2"/>
  <c r="AM921" i="2"/>
  <c r="W921" i="2"/>
  <c r="AH921" i="2"/>
  <c r="AC925" i="2"/>
  <c r="AM925" i="2"/>
  <c r="W925" i="2"/>
  <c r="AH925" i="2"/>
  <c r="AC929" i="2"/>
  <c r="AM929" i="2"/>
  <c r="W929" i="2"/>
  <c r="AH929" i="2"/>
  <c r="BD756" i="2"/>
  <c r="BD820" i="2"/>
  <c r="BD884" i="2"/>
  <c r="AQ940" i="2"/>
  <c r="AV940" i="2" s="1"/>
  <c r="BE940" i="2" s="1"/>
  <c r="AQ944" i="2"/>
  <c r="AV944" i="2" s="1"/>
  <c r="BE944" i="2" s="1"/>
  <c r="AQ948" i="2"/>
  <c r="AV948" i="2" s="1"/>
  <c r="BE948" i="2" s="1"/>
  <c r="AQ952" i="2"/>
  <c r="AV952" i="2" s="1"/>
  <c r="BE952" i="2" s="1"/>
  <c r="AQ956" i="2"/>
  <c r="AV956" i="2" s="1"/>
  <c r="BE956" i="2" s="1"/>
  <c r="AQ960" i="2"/>
  <c r="AV960" i="2" s="1"/>
  <c r="BE960" i="2" s="1"/>
  <c r="AQ964" i="2"/>
  <c r="AV964" i="2" s="1"/>
  <c r="BE964" i="2" s="1"/>
  <c r="AQ968" i="2"/>
  <c r="AV968" i="2" s="1"/>
  <c r="BE968" i="2" s="1"/>
  <c r="AQ972" i="2"/>
  <c r="AV972" i="2" s="1"/>
  <c r="BE972" i="2" s="1"/>
  <c r="AQ976" i="2"/>
  <c r="AV976" i="2" s="1"/>
  <c r="BE976" i="2" s="1"/>
  <c r="AQ980" i="2"/>
  <c r="AV980" i="2" s="1"/>
  <c r="BE980" i="2" s="1"/>
  <c r="AQ984" i="2"/>
  <c r="AV984" i="2" s="1"/>
  <c r="BE984" i="2" s="1"/>
  <c r="AQ988" i="2"/>
  <c r="AV988" i="2" s="1"/>
  <c r="BE988" i="2" s="1"/>
  <c r="AQ992" i="2"/>
  <c r="AV992" i="2" s="1"/>
  <c r="BE992" i="2" s="1"/>
  <c r="AQ996" i="2"/>
  <c r="AV996" i="2" s="1"/>
  <c r="BE996" i="2" s="1"/>
  <c r="AQ1000" i="2"/>
  <c r="AV1000" i="2" s="1"/>
  <c r="BE1000" i="2" s="1"/>
  <c r="AQ1004" i="2"/>
  <c r="AV1004" i="2" s="1"/>
  <c r="BE1004" i="2" s="1"/>
  <c r="AQ1008" i="2"/>
  <c r="AV1008" i="2" s="1"/>
  <c r="BE1008" i="2" s="1"/>
  <c r="AQ1012" i="2"/>
  <c r="AV1012" i="2" s="1"/>
  <c r="BE1012" i="2" s="1"/>
  <c r="AQ1016" i="2"/>
  <c r="AV1016" i="2" s="1"/>
  <c r="BE1016" i="2" s="1"/>
  <c r="AQ1020" i="2"/>
  <c r="AV1020" i="2" s="1"/>
  <c r="BE1020" i="2" s="1"/>
  <c r="AQ1024" i="2"/>
  <c r="AV1024" i="2" s="1"/>
  <c r="BE1024" i="2" s="1"/>
  <c r="AQ1028" i="2"/>
  <c r="AV1028" i="2" s="1"/>
  <c r="BE1028" i="2" s="1"/>
  <c r="AQ1032" i="2"/>
  <c r="AV1032" i="2" s="1"/>
  <c r="BE1032" i="2" s="1"/>
  <c r="AQ1036" i="2"/>
  <c r="AV1036" i="2" s="1"/>
  <c r="BE1036" i="2" s="1"/>
  <c r="AQ1040" i="2"/>
  <c r="AV1040" i="2" s="1"/>
  <c r="BE1040" i="2" s="1"/>
  <c r="BD737" i="2"/>
  <c r="BD753" i="2"/>
  <c r="BD769" i="2"/>
  <c r="BD785" i="2"/>
  <c r="BD801" i="2"/>
  <c r="BD817" i="2"/>
  <c r="BD833" i="2"/>
  <c r="BD849" i="2"/>
  <c r="BD865" i="2"/>
  <c r="BD881" i="2"/>
  <c r="AQ1047" i="2"/>
  <c r="AV1047" i="2" s="1"/>
  <c r="BE1047" i="2" s="1"/>
  <c r="AQ740" i="2"/>
  <c r="AV740" i="2" s="1"/>
  <c r="BE740" i="2" s="1"/>
  <c r="AG772" i="2"/>
  <c r="AB772" i="2"/>
  <c r="AL772" i="2"/>
  <c r="V772" i="2"/>
  <c r="AQ804" i="2"/>
  <c r="AV804" i="2" s="1"/>
  <c r="BE804" i="2" s="1"/>
  <c r="AG836" i="2"/>
  <c r="AB836" i="2"/>
  <c r="AL836" i="2"/>
  <c r="V836" i="2"/>
  <c r="AQ868" i="2"/>
  <c r="AV868" i="2" s="1"/>
  <c r="BE868" i="2" s="1"/>
  <c r="BD890" i="2"/>
  <c r="BD906" i="2"/>
  <c r="BD922" i="2"/>
  <c r="AL1046" i="2"/>
  <c r="V1046" i="2"/>
  <c r="AG1046" i="2"/>
  <c r="AB1046" i="2"/>
  <c r="AQ1081" i="2"/>
  <c r="AV1081" i="2" s="1"/>
  <c r="BE1081" i="2" s="1"/>
  <c r="AG1113" i="2"/>
  <c r="AL1113" i="2"/>
  <c r="V1113" i="2"/>
  <c r="AB1113" i="2"/>
  <c r="AQ1193" i="2"/>
  <c r="AV1193" i="2" s="1"/>
  <c r="BE1193" i="2" s="1"/>
  <c r="AB1225" i="2"/>
  <c r="AL1225" i="2"/>
  <c r="V1225" i="2"/>
  <c r="AG1225" i="2"/>
  <c r="BD1236" i="2"/>
  <c r="AQ1257" i="2"/>
  <c r="AV1257" i="2" s="1"/>
  <c r="BE1257" i="2" s="1"/>
  <c r="AB1289" i="2"/>
  <c r="AL1289" i="2"/>
  <c r="V1289" i="2"/>
  <c r="AG1289" i="2"/>
  <c r="BD1300" i="2"/>
  <c r="AQ1321" i="2"/>
  <c r="AV1321" i="2" s="1"/>
  <c r="BE1321" i="2" s="1"/>
  <c r="AB1353" i="2"/>
  <c r="AL1353" i="2"/>
  <c r="V1353" i="2"/>
  <c r="AG1353" i="2"/>
  <c r="BD1364" i="2"/>
  <c r="BD1056" i="2"/>
  <c r="BD1120" i="2"/>
  <c r="AQ1196" i="2"/>
  <c r="AV1196" i="2" s="1"/>
  <c r="BE1196" i="2" s="1"/>
  <c r="AL1228" i="2"/>
  <c r="V1228" i="2"/>
  <c r="AG1228" i="2"/>
  <c r="AB1228" i="2"/>
  <c r="BD1239" i="2"/>
  <c r="AQ1260" i="2"/>
  <c r="AV1260" i="2" s="1"/>
  <c r="BE1260" i="2" s="1"/>
  <c r="AL1292" i="2"/>
  <c r="V1292" i="2"/>
  <c r="AG1292" i="2"/>
  <c r="AB1292" i="2"/>
  <c r="BD1303" i="2"/>
  <c r="AQ1324" i="2"/>
  <c r="AV1324" i="2" s="1"/>
  <c r="BE1324" i="2" s="1"/>
  <c r="AL1356" i="2"/>
  <c r="V1356" i="2"/>
  <c r="AG1356" i="2"/>
  <c r="AB1356" i="2"/>
  <c r="BD1367" i="2"/>
  <c r="AG1051" i="2"/>
  <c r="AL1051" i="2"/>
  <c r="V1051" i="2"/>
  <c r="AB1051" i="2"/>
  <c r="AQ1083" i="2"/>
  <c r="AV1083" i="2" s="1"/>
  <c r="BE1083" i="2" s="1"/>
  <c r="AG1115" i="2"/>
  <c r="AL1115" i="2"/>
  <c r="V1115" i="2"/>
  <c r="AB1115" i="2"/>
  <c r="AB1183" i="2"/>
  <c r="AL1183" i="2"/>
  <c r="V1183" i="2"/>
  <c r="AG1183" i="2"/>
  <c r="BD1194" i="2"/>
  <c r="AQ1215" i="2"/>
  <c r="AV1215" i="2" s="1"/>
  <c r="BE1215" i="2" s="1"/>
  <c r="AB1247" i="2"/>
  <c r="AL1247" i="2"/>
  <c r="V1247" i="2"/>
  <c r="AG1247" i="2"/>
  <c r="BD1258" i="2"/>
  <c r="AQ1279" i="2"/>
  <c r="AV1279" i="2" s="1"/>
  <c r="BE1279" i="2" s="1"/>
  <c r="AB1311" i="2"/>
  <c r="AL1311" i="2"/>
  <c r="V1311" i="2"/>
  <c r="AG1311" i="2"/>
  <c r="BD1322" i="2"/>
  <c r="AQ1343" i="2"/>
  <c r="AV1343" i="2" s="1"/>
  <c r="BE1343" i="2" s="1"/>
  <c r="BD1070" i="2"/>
  <c r="BD1134" i="2"/>
  <c r="BD1143" i="2"/>
  <c r="BD1154" i="2"/>
  <c r="BD1157" i="2"/>
  <c r="BD1170" i="2"/>
  <c r="BD1173" i="2"/>
  <c r="AQ1194" i="2"/>
  <c r="AV1194" i="2" s="1"/>
  <c r="BE1194" i="2" s="1"/>
  <c r="AL1226" i="2"/>
  <c r="V1226" i="2"/>
  <c r="AG1226" i="2"/>
  <c r="AB1226" i="2"/>
  <c r="BD1237" i="2"/>
  <c r="AQ1258" i="2"/>
  <c r="AV1258" i="2" s="1"/>
  <c r="BE1258" i="2" s="1"/>
  <c r="AL1290" i="2"/>
  <c r="V1290" i="2"/>
  <c r="AG1290" i="2"/>
  <c r="AB1290" i="2"/>
  <c r="BD1301" i="2"/>
  <c r="AQ1322" i="2"/>
  <c r="AV1322" i="2" s="1"/>
  <c r="BE1322" i="2" s="1"/>
  <c r="AL1354" i="2"/>
  <c r="V1354" i="2"/>
  <c r="AG1354" i="2"/>
  <c r="AB1354" i="2"/>
  <c r="BD1365" i="2"/>
  <c r="AL1442" i="2"/>
  <c r="V1442" i="2"/>
  <c r="AB1442" i="2"/>
  <c r="AG1442" i="2"/>
  <c r="BD1547" i="2"/>
  <c r="BD1563" i="2"/>
  <c r="BD1579" i="2"/>
  <c r="BD1668" i="2"/>
  <c r="AL1377" i="2"/>
  <c r="V1377" i="2"/>
  <c r="AG1377" i="2"/>
  <c r="AB1377" i="2"/>
  <c r="AQ1393" i="2"/>
  <c r="AV1393" i="2" s="1"/>
  <c r="BE1393" i="2" s="1"/>
  <c r="AB1397" i="2"/>
  <c r="AL1397" i="2"/>
  <c r="V1397" i="2"/>
  <c r="AG1397" i="2"/>
  <c r="BD1400" i="2"/>
  <c r="AQ1409" i="2"/>
  <c r="AV1409" i="2" s="1"/>
  <c r="BE1409" i="2" s="1"/>
  <c r="AB1413" i="2"/>
  <c r="AL1413" i="2"/>
  <c r="V1413" i="2"/>
  <c r="AG1413" i="2"/>
  <c r="BD1416" i="2"/>
  <c r="AQ1425" i="2"/>
  <c r="AV1425" i="2" s="1"/>
  <c r="BE1425" i="2" s="1"/>
  <c r="AB1429" i="2"/>
  <c r="AL1429" i="2"/>
  <c r="V1429" i="2"/>
  <c r="AG1429" i="2"/>
  <c r="BD1432" i="2"/>
  <c r="AQ1444" i="2"/>
  <c r="AV1444" i="2" s="1"/>
  <c r="BE1444" i="2" s="1"/>
  <c r="AQ1448" i="2"/>
  <c r="AV1448" i="2" s="1"/>
  <c r="BE1448" i="2" s="1"/>
  <c r="AQ1452" i="2"/>
  <c r="AV1452" i="2" s="1"/>
  <c r="BE1452" i="2" s="1"/>
  <c r="AQ1456" i="2"/>
  <c r="AV1456" i="2" s="1"/>
  <c r="BE1456" i="2" s="1"/>
  <c r="AQ1460" i="2"/>
  <c r="AV1460" i="2" s="1"/>
  <c r="BE1460" i="2" s="1"/>
  <c r="AQ1464" i="2"/>
  <c r="AV1464" i="2" s="1"/>
  <c r="BE1464" i="2" s="1"/>
  <c r="AQ1468" i="2"/>
  <c r="AV1468" i="2" s="1"/>
  <c r="BE1468" i="2" s="1"/>
  <c r="AQ1472" i="2"/>
  <c r="AV1472" i="2" s="1"/>
  <c r="BE1472" i="2" s="1"/>
  <c r="BD1483" i="2"/>
  <c r="AQ1546" i="2"/>
  <c r="AV1546" i="2" s="1"/>
  <c r="BE1546" i="2" s="1"/>
  <c r="AQ1550" i="2"/>
  <c r="AV1550" i="2" s="1"/>
  <c r="BE1550" i="2" s="1"/>
  <c r="AQ1554" i="2"/>
  <c r="AV1554" i="2" s="1"/>
  <c r="BE1554" i="2" s="1"/>
  <c r="AQ1558" i="2"/>
  <c r="AV1558" i="2" s="1"/>
  <c r="BE1558" i="2" s="1"/>
  <c r="AQ1562" i="2"/>
  <c r="AV1562" i="2" s="1"/>
  <c r="BE1562" i="2" s="1"/>
  <c r="AQ1566" i="2"/>
  <c r="AV1566" i="2" s="1"/>
  <c r="BE1566" i="2" s="1"/>
  <c r="AQ1570" i="2"/>
  <c r="AV1570" i="2" s="1"/>
  <c r="BE1570" i="2" s="1"/>
  <c r="AQ1574" i="2"/>
  <c r="AV1574" i="2" s="1"/>
  <c r="BE1574" i="2" s="1"/>
  <c r="AQ1578" i="2"/>
  <c r="AV1578" i="2" s="1"/>
  <c r="BE1578" i="2" s="1"/>
  <c r="AQ1612" i="2"/>
  <c r="AV1612" i="2" s="1"/>
  <c r="BE1612" i="2" s="1"/>
  <c r="AB1619" i="2"/>
  <c r="AL1619" i="2"/>
  <c r="V1619" i="2"/>
  <c r="AG1619" i="2"/>
  <c r="BD1622" i="2"/>
  <c r="AL1644" i="2"/>
  <c r="V1644" i="2"/>
  <c r="AG1644" i="2"/>
  <c r="AB1644" i="2"/>
  <c r="AQ1651" i="2"/>
  <c r="AV1651" i="2" s="1"/>
  <c r="BE1651" i="2" s="1"/>
  <c r="BD1409" i="2"/>
  <c r="BD1425" i="2"/>
  <c r="AL1486" i="2"/>
  <c r="V1486" i="2"/>
  <c r="AB1486" i="2"/>
  <c r="AG1486" i="2"/>
  <c r="AB1491" i="2"/>
  <c r="AL1491" i="2"/>
  <c r="V1491" i="2"/>
  <c r="AG1491" i="2"/>
  <c r="AB1505" i="2"/>
  <c r="AL1505" i="2"/>
  <c r="V1505" i="2"/>
  <c r="AG1505" i="2"/>
  <c r="AQ1542" i="2"/>
  <c r="AV1542" i="2" s="1"/>
  <c r="BE1542" i="2" s="1"/>
  <c r="AQ1373" i="2"/>
  <c r="AV1373" i="2" s="1"/>
  <c r="BE1373" i="2" s="1"/>
  <c r="AQ1389" i="2"/>
  <c r="AV1389" i="2" s="1"/>
  <c r="BE1389" i="2" s="1"/>
  <c r="AL1488" i="2"/>
  <c r="V1488" i="2"/>
  <c r="AB1488" i="2"/>
  <c r="AG1488" i="2"/>
  <c r="BD1491" i="2"/>
  <c r="BD1521" i="2"/>
  <c r="BD1537" i="2"/>
  <c r="AL1582" i="2"/>
  <c r="V1582" i="2"/>
  <c r="AG1582" i="2"/>
  <c r="AB1582" i="2"/>
  <c r="AL1590" i="2"/>
  <c r="V1590" i="2"/>
  <c r="AG1590" i="2"/>
  <c r="AB1590" i="2"/>
  <c r="AQ1597" i="2"/>
  <c r="AV1597" i="2" s="1"/>
  <c r="BE1597" i="2" s="1"/>
  <c r="AQ1622" i="2"/>
  <c r="AV1622" i="2" s="1"/>
  <c r="BE1622" i="2" s="1"/>
  <c r="AB1629" i="2"/>
  <c r="AL1629" i="2"/>
  <c r="V1629" i="2"/>
  <c r="AG1629" i="2"/>
  <c r="BD1632" i="2"/>
  <c r="AL1654" i="2"/>
  <c r="V1654" i="2"/>
  <c r="AG1654" i="2"/>
  <c r="AB1654" i="2"/>
  <c r="AQ1661" i="2"/>
  <c r="AV1661" i="2" s="1"/>
  <c r="BE1661" i="2" s="1"/>
  <c r="BD1785" i="2"/>
  <c r="BD1817" i="2"/>
  <c r="AC1839" i="2"/>
  <c r="AM1839" i="2"/>
  <c r="AH1839" i="2"/>
  <c r="W1839" i="2"/>
  <c r="AQ1690" i="2"/>
  <c r="AV1690" i="2" s="1"/>
  <c r="BE1690" i="2" s="1"/>
  <c r="AB1706" i="2"/>
  <c r="AL1706" i="2"/>
  <c r="V1706" i="2"/>
  <c r="AG1706" i="2"/>
  <c r="BD1711" i="2"/>
  <c r="AQ1754" i="2"/>
  <c r="AV1754" i="2" s="1"/>
  <c r="BE1754" i="2" s="1"/>
  <c r="AG1762" i="2"/>
  <c r="V1762" i="2"/>
  <c r="AL1762" i="2"/>
  <c r="AB1762" i="2"/>
  <c r="AG1770" i="2"/>
  <c r="V1770" i="2"/>
  <c r="AL1770" i="2"/>
  <c r="AB1770" i="2"/>
  <c r="AG1778" i="2"/>
  <c r="V1778" i="2"/>
  <c r="AL1778" i="2"/>
  <c r="AB1778" i="2"/>
  <c r="AG1786" i="2"/>
  <c r="V1786" i="2"/>
  <c r="AL1786" i="2"/>
  <c r="AB1786" i="2"/>
  <c r="AG1794" i="2"/>
  <c r="V1794" i="2"/>
  <c r="AL1794" i="2"/>
  <c r="AB1794" i="2"/>
  <c r="AG1802" i="2"/>
  <c r="V1802" i="2"/>
  <c r="AL1802" i="2"/>
  <c r="AB1802" i="2"/>
  <c r="AG1810" i="2"/>
  <c r="V1810" i="2"/>
  <c r="AL1810" i="2"/>
  <c r="AB1810" i="2"/>
  <c r="AG1818" i="2"/>
  <c r="V1818" i="2"/>
  <c r="AL1818" i="2"/>
  <c r="AB1818" i="2"/>
  <c r="AG1826" i="2"/>
  <c r="V1826" i="2"/>
  <c r="AL1826" i="2"/>
  <c r="AB1826" i="2"/>
  <c r="AG1834" i="2"/>
  <c r="V1834" i="2"/>
  <c r="AL1834" i="2"/>
  <c r="AB1834" i="2"/>
  <c r="AQ1813" i="2"/>
  <c r="AV1813" i="2" s="1"/>
  <c r="BE1813" i="2" s="1"/>
  <c r="BD1827" i="2"/>
  <c r="AG1829" i="2"/>
  <c r="AB1829" i="2"/>
  <c r="V1829" i="2"/>
  <c r="AL1829" i="2"/>
  <c r="BD1862" i="2"/>
  <c r="BD1926" i="2"/>
  <c r="AQ1849" i="2"/>
  <c r="AV1849" i="2" s="1"/>
  <c r="BE1849" i="2" s="1"/>
  <c r="AB1862" i="2"/>
  <c r="AL1862" i="2"/>
  <c r="V1862" i="2"/>
  <c r="AG1862" i="2"/>
  <c r="AB1866" i="2"/>
  <c r="AL1866" i="2"/>
  <c r="V1866" i="2"/>
  <c r="AG1866" i="2"/>
  <c r="AB1870" i="2"/>
  <c r="AL1870" i="2"/>
  <c r="V1870" i="2"/>
  <c r="AG1870" i="2"/>
  <c r="AB1874" i="2"/>
  <c r="AL1874" i="2"/>
  <c r="V1874" i="2"/>
  <c r="AG1874" i="2"/>
  <c r="AB1878" i="2"/>
  <c r="AL1878" i="2"/>
  <c r="V1878" i="2"/>
  <c r="AG1878" i="2"/>
  <c r="AB1882" i="2"/>
  <c r="AL1882" i="2"/>
  <c r="V1882" i="2"/>
  <c r="AG1882" i="2"/>
  <c r="AB1886" i="2"/>
  <c r="AL1886" i="2"/>
  <c r="V1886" i="2"/>
  <c r="AG1886" i="2"/>
  <c r="AB1890" i="2"/>
  <c r="AL1890" i="2"/>
  <c r="V1890" i="2"/>
  <c r="AG1890" i="2"/>
  <c r="AB1894" i="2"/>
  <c r="AL1894" i="2"/>
  <c r="V1894" i="2"/>
  <c r="AG1894" i="2"/>
  <c r="AB1898" i="2"/>
  <c r="AL1898" i="2"/>
  <c r="V1898" i="2"/>
  <c r="AG1898" i="2"/>
  <c r="AB1902" i="2"/>
  <c r="AL1902" i="2"/>
  <c r="V1902" i="2"/>
  <c r="AG1902" i="2"/>
  <c r="AB1906" i="2"/>
  <c r="AL1906" i="2"/>
  <c r="V1906" i="2"/>
  <c r="AG1906" i="2"/>
  <c r="AB1910" i="2"/>
  <c r="AL1910" i="2"/>
  <c r="V1910" i="2"/>
  <c r="AG1910" i="2"/>
  <c r="AB1914" i="2"/>
  <c r="AL1914" i="2"/>
  <c r="V1914" i="2"/>
  <c r="AG1914" i="2"/>
  <c r="AB1918" i="2"/>
  <c r="AL1918" i="2"/>
  <c r="V1918" i="2"/>
  <c r="AG1918" i="2"/>
  <c r="AB1922" i="2"/>
  <c r="AL1922" i="2"/>
  <c r="V1922" i="2"/>
  <c r="AG1922" i="2"/>
  <c r="AB1926" i="2"/>
  <c r="AL1926" i="2"/>
  <c r="V1926" i="2"/>
  <c r="AG1926" i="2"/>
  <c r="AB1930" i="2"/>
  <c r="AL1930" i="2"/>
  <c r="V1930" i="2"/>
  <c r="AG1930" i="2"/>
  <c r="AB1934" i="2"/>
  <c r="AL1934" i="2"/>
  <c r="V1934" i="2"/>
  <c r="AG1934" i="2"/>
  <c r="AB1938" i="2"/>
  <c r="AL1938" i="2"/>
  <c r="V1938" i="2"/>
  <c r="AG1938" i="2"/>
  <c r="AB1942" i="2"/>
  <c r="AL1942" i="2"/>
  <c r="V1942" i="2"/>
  <c r="AG1942" i="2"/>
  <c r="AB1946" i="2"/>
  <c r="AL1946" i="2"/>
  <c r="V1946" i="2"/>
  <c r="AG1946" i="2"/>
  <c r="AB1950" i="2"/>
  <c r="AL1950" i="2"/>
  <c r="V1950" i="2"/>
  <c r="AG1950" i="2"/>
  <c r="AB1954" i="2"/>
  <c r="AL1954" i="2"/>
  <c r="V1954" i="2"/>
  <c r="AG1954" i="2"/>
  <c r="AB1958" i="2"/>
  <c r="AL1958" i="2"/>
  <c r="V1958" i="2"/>
  <c r="AG1958" i="2"/>
  <c r="AB1962" i="2"/>
  <c r="AL1962" i="2"/>
  <c r="V1962" i="2"/>
  <c r="AG1962" i="2"/>
  <c r="AB1966" i="2"/>
  <c r="AL1966" i="2"/>
  <c r="V1966" i="2"/>
  <c r="AG1966" i="2"/>
  <c r="AB1970" i="2"/>
  <c r="AL1970" i="2"/>
  <c r="V1970" i="2"/>
  <c r="AG1970" i="2"/>
  <c r="AB1974" i="2"/>
  <c r="AL1974" i="2"/>
  <c r="V1974" i="2"/>
  <c r="AG1974" i="2"/>
  <c r="AB1978" i="2"/>
  <c r="AL1978" i="2"/>
  <c r="V1978" i="2"/>
  <c r="AG1978" i="2"/>
  <c r="AB1982" i="2"/>
  <c r="AL1982" i="2"/>
  <c r="V1982" i="2"/>
  <c r="AG1982" i="2"/>
  <c r="AB1986" i="2"/>
  <c r="AL1986" i="2"/>
  <c r="V1986" i="2"/>
  <c r="AG1986" i="2"/>
  <c r="AB1990" i="2"/>
  <c r="AL1990" i="2"/>
  <c r="V1990" i="2"/>
  <c r="AG1990" i="2"/>
  <c r="AB1994" i="2"/>
  <c r="AL1994" i="2"/>
  <c r="V1994" i="2"/>
  <c r="AG1994" i="2"/>
  <c r="AB1998" i="2"/>
  <c r="AL1998" i="2"/>
  <c r="V1998" i="2"/>
  <c r="AG1998" i="2"/>
  <c r="AB2002" i="2"/>
  <c r="AL2002" i="2"/>
  <c r="V2002" i="2"/>
  <c r="AG2002" i="2"/>
  <c r="AB2006" i="2"/>
  <c r="AL2006" i="2"/>
  <c r="V2006" i="2"/>
  <c r="AG2006" i="2"/>
  <c r="AB2010" i="2"/>
  <c r="AL2010" i="2"/>
  <c r="V2010" i="2"/>
  <c r="AG2010" i="2"/>
  <c r="AB2014" i="2"/>
  <c r="AL2014" i="2"/>
  <c r="V2014" i="2"/>
  <c r="AG2014" i="2"/>
  <c r="AB2018" i="2"/>
  <c r="AL2018" i="2"/>
  <c r="V2018" i="2"/>
  <c r="AG2018" i="2"/>
  <c r="AQ2023" i="2"/>
  <c r="AV2023" i="2" s="1"/>
  <c r="BE2023" i="2" s="1"/>
  <c r="AQ2025" i="2"/>
  <c r="AV2025" i="2" s="1"/>
  <c r="BE2025" i="2" s="1"/>
  <c r="AQ2027" i="2"/>
  <c r="AV2027" i="2" s="1"/>
  <c r="BE2027" i="2" s="1"/>
  <c r="AQ2029" i="2"/>
  <c r="AV2029" i="2" s="1"/>
  <c r="BE2029" i="2" s="1"/>
  <c r="AQ2031" i="2"/>
  <c r="AV2031" i="2" s="1"/>
  <c r="BE2031" i="2" s="1"/>
  <c r="AQ2033" i="2"/>
  <c r="AV2033" i="2" s="1"/>
  <c r="BE2033" i="2" s="1"/>
  <c r="AQ2035" i="2"/>
  <c r="AV2035" i="2" s="1"/>
  <c r="BE2035" i="2" s="1"/>
  <c r="AQ2037" i="2"/>
  <c r="AV2037" i="2" s="1"/>
  <c r="BE2037" i="2" s="1"/>
  <c r="AQ2039" i="2"/>
  <c r="AV2039" i="2" s="1"/>
  <c r="BE2039" i="2" s="1"/>
  <c r="AQ2041" i="2"/>
  <c r="AV2041" i="2" s="1"/>
  <c r="BE2041" i="2" s="1"/>
  <c r="AQ2021" i="2"/>
  <c r="AV2021" i="2" s="1"/>
  <c r="BE2021" i="2" s="1"/>
  <c r="AB1956" i="2"/>
  <c r="AL1956" i="2"/>
  <c r="V1956" i="2"/>
  <c r="AG1956" i="2"/>
  <c r="AB1960" i="2"/>
  <c r="AL1960" i="2"/>
  <c r="V1960" i="2"/>
  <c r="AG1960" i="2"/>
  <c r="AB1964" i="2"/>
  <c r="AL1964" i="2"/>
  <c r="V1964" i="2"/>
  <c r="AG1964" i="2"/>
  <c r="AB1968" i="2"/>
  <c r="AL1968" i="2"/>
  <c r="V1968" i="2"/>
  <c r="AG1968" i="2"/>
  <c r="AB1972" i="2"/>
  <c r="AL1972" i="2"/>
  <c r="V1972" i="2"/>
  <c r="AG1972" i="2"/>
  <c r="AB1976" i="2"/>
  <c r="AL1976" i="2"/>
  <c r="V1976" i="2"/>
  <c r="AG1976" i="2"/>
  <c r="AB1980" i="2"/>
  <c r="AL1980" i="2"/>
  <c r="V1980" i="2"/>
  <c r="AG1980" i="2"/>
  <c r="AB1984" i="2"/>
  <c r="AL1984" i="2"/>
  <c r="V1984" i="2"/>
  <c r="AG1984" i="2"/>
  <c r="AB1988" i="2"/>
  <c r="AL1988" i="2"/>
  <c r="V1988" i="2"/>
  <c r="AG1988" i="2"/>
  <c r="AB1992" i="2"/>
  <c r="AL1992" i="2"/>
  <c r="V1992" i="2"/>
  <c r="AG1992" i="2"/>
  <c r="AB1996" i="2"/>
  <c r="AL1996" i="2"/>
  <c r="V1996" i="2"/>
  <c r="AG1996" i="2"/>
  <c r="AB2000" i="2"/>
  <c r="AL2000" i="2"/>
  <c r="V2000" i="2"/>
  <c r="AG2000" i="2"/>
  <c r="AB2004" i="2"/>
  <c r="AL2004" i="2"/>
  <c r="V2004" i="2"/>
  <c r="AG2004" i="2"/>
  <c r="AB2008" i="2"/>
  <c r="AL2008" i="2"/>
  <c r="V2008" i="2"/>
  <c r="AG2008" i="2"/>
  <c r="AB2012" i="2"/>
  <c r="AL2012" i="2"/>
  <c r="V2012" i="2"/>
  <c r="AG2012" i="2"/>
  <c r="AB2016" i="2"/>
  <c r="AL2016" i="2"/>
  <c r="V2016" i="2"/>
  <c r="AG2016" i="2"/>
  <c r="AL2053" i="2"/>
  <c r="V2053" i="2"/>
  <c r="AG2053" i="2"/>
  <c r="AB2053" i="2"/>
  <c r="BD2056" i="2"/>
  <c r="AQ2061" i="2"/>
  <c r="AV2061" i="2" s="1"/>
  <c r="BE2061" i="2" s="1"/>
  <c r="AL2069" i="2"/>
  <c r="V2069" i="2"/>
  <c r="AG2069" i="2"/>
  <c r="AB2069" i="2"/>
  <c r="BD2072" i="2"/>
  <c r="AQ2077" i="2"/>
  <c r="AV2077" i="2" s="1"/>
  <c r="BE2077" i="2" s="1"/>
  <c r="AL2085" i="2"/>
  <c r="V2085" i="2"/>
  <c r="AG2085" i="2"/>
  <c r="AB2085" i="2"/>
  <c r="BD2088" i="2"/>
  <c r="AQ2093" i="2"/>
  <c r="AV2093" i="2" s="1"/>
  <c r="BE2093" i="2" s="1"/>
  <c r="AL2101" i="2"/>
  <c r="V2101" i="2"/>
  <c r="AG2101" i="2"/>
  <c r="AB2101" i="2"/>
  <c r="BD2104" i="2"/>
  <c r="AQ2109" i="2"/>
  <c r="AV2109" i="2" s="1"/>
  <c r="BE2109" i="2" s="1"/>
  <c r="BD2118" i="2"/>
  <c r="BD2126" i="2"/>
  <c r="BD2134" i="2"/>
  <c r="AL2154" i="2"/>
  <c r="V2154" i="2"/>
  <c r="AG2154" i="2"/>
  <c r="AB2154" i="2"/>
  <c r="BD2025" i="2"/>
  <c r="BD2041" i="2"/>
  <c r="AQ2051" i="2"/>
  <c r="AV2051" i="2" s="1"/>
  <c r="BE2051" i="2" s="1"/>
  <c r="AB2060" i="2"/>
  <c r="AL2060" i="2"/>
  <c r="V2060" i="2"/>
  <c r="AG2060" i="2"/>
  <c r="AL2083" i="2"/>
  <c r="V2083" i="2"/>
  <c r="AG2083" i="2"/>
  <c r="AB2083" i="2"/>
  <c r="AQ2092" i="2"/>
  <c r="AV2092" i="2" s="1"/>
  <c r="BE2092" i="2" s="1"/>
  <c r="BD2098" i="2"/>
  <c r="AQ2143" i="2"/>
  <c r="AV2143" i="2" s="1"/>
  <c r="BE2143" i="2" s="1"/>
  <c r="AQ2152" i="2"/>
  <c r="AV2152" i="2" s="1"/>
  <c r="BE2152" i="2" s="1"/>
  <c r="AQ2171" i="2"/>
  <c r="AV2171" i="2" s="1"/>
  <c r="BE2171" i="2" s="1"/>
  <c r="AQ2170" i="2"/>
  <c r="AV2170" i="2" s="1"/>
  <c r="BE2170" i="2" s="1"/>
  <c r="AG2161" i="2"/>
  <c r="AB2161" i="2"/>
  <c r="AL2161" i="2"/>
  <c r="V2161" i="2"/>
  <c r="BD2172" i="2"/>
  <c r="AQ2193" i="2"/>
  <c r="AV2193" i="2" s="1"/>
  <c r="BE2193" i="2" s="1"/>
  <c r="AL2156" i="2"/>
  <c r="V2156" i="2"/>
  <c r="AG2156" i="2"/>
  <c r="AB2156" i="2"/>
  <c r="BD2167" i="2"/>
  <c r="AQ2188" i="2"/>
  <c r="AV2188" i="2" s="1"/>
  <c r="BE2188" i="2" s="1"/>
  <c r="AG2397" i="2"/>
  <c r="AL2397" i="2"/>
  <c r="V2397" i="2"/>
  <c r="AB2397" i="2"/>
  <c r="AG2405" i="2"/>
  <c r="AL2405" i="2"/>
  <c r="V2405" i="2"/>
  <c r="AB2405" i="2"/>
  <c r="AL2318" i="2"/>
  <c r="V2318" i="2"/>
  <c r="AG2318" i="2"/>
  <c r="AB2318" i="2"/>
  <c r="AL2326" i="2"/>
  <c r="V2326" i="2"/>
  <c r="AG2326" i="2"/>
  <c r="AB2326" i="2"/>
  <c r="AL2334" i="2"/>
  <c r="V2334" i="2"/>
  <c r="AG2334" i="2"/>
  <c r="AB2334" i="2"/>
  <c r="AL2342" i="2"/>
  <c r="V2342" i="2"/>
  <c r="AG2342" i="2"/>
  <c r="AB2342" i="2"/>
  <c r="AL2350" i="2"/>
  <c r="V2350" i="2"/>
  <c r="AG2350" i="2"/>
  <c r="AB2350" i="2"/>
  <c r="AL2358" i="2"/>
  <c r="V2358" i="2"/>
  <c r="AG2358" i="2"/>
  <c r="AB2358" i="2"/>
  <c r="AL2366" i="2"/>
  <c r="V2366" i="2"/>
  <c r="AG2366" i="2"/>
  <c r="AB2366" i="2"/>
  <c r="AL2374" i="2"/>
  <c r="V2374" i="2"/>
  <c r="AG2374" i="2"/>
  <c r="AB2374" i="2"/>
  <c r="AL2382" i="2"/>
  <c r="V2382" i="2"/>
  <c r="AG2382" i="2"/>
  <c r="AB2382" i="2"/>
  <c r="AL2390" i="2"/>
  <c r="V2390" i="2"/>
  <c r="AG2390" i="2"/>
  <c r="AB2390" i="2"/>
  <c r="AB2321" i="2"/>
  <c r="AL2321" i="2"/>
  <c r="V2321" i="2"/>
  <c r="AG2321" i="2"/>
  <c r="AB2345" i="2"/>
  <c r="AL2345" i="2"/>
  <c r="V2345" i="2"/>
  <c r="AG2345" i="2"/>
  <c r="AB2361" i="2"/>
  <c r="AL2361" i="2"/>
  <c r="V2361" i="2"/>
  <c r="AG2361" i="2"/>
  <c r="AB2385" i="2"/>
  <c r="AL2385" i="2"/>
  <c r="V2385" i="2"/>
  <c r="AG2385" i="2"/>
  <c r="AG2417" i="2"/>
  <c r="AB2417" i="2"/>
  <c r="AL2417" i="2"/>
  <c r="V2417" i="2"/>
  <c r="BD2444" i="2"/>
  <c r="AQ2479" i="2"/>
  <c r="AV2479" i="2" s="1"/>
  <c r="BE2479" i="2" s="1"/>
  <c r="AQ2484" i="2"/>
  <c r="AV2484" i="2" s="1"/>
  <c r="BE2484" i="2" s="1"/>
  <c r="AQ6" i="2"/>
  <c r="AV6" i="2" s="1"/>
  <c r="BE6" i="2" s="1"/>
  <c r="AQ54" i="2"/>
  <c r="AV54" i="2" s="1"/>
  <c r="BE54" i="2" s="1"/>
  <c r="AH160" i="2"/>
  <c r="AC160" i="2"/>
  <c r="W160" i="2"/>
  <c r="AM160" i="2"/>
  <c r="AH184" i="2"/>
  <c r="AC184" i="2"/>
  <c r="AM184" i="2"/>
  <c r="W184" i="2"/>
  <c r="AQ37" i="2"/>
  <c r="AV37" i="2" s="1"/>
  <c r="BE37" i="2" s="1"/>
  <c r="AQ91" i="2"/>
  <c r="AV91" i="2" s="1"/>
  <c r="BE91" i="2" s="1"/>
  <c r="AH144" i="2"/>
  <c r="AC144" i="2"/>
  <c r="W144" i="2"/>
  <c r="AM144" i="2"/>
  <c r="AH168" i="2"/>
  <c r="AC168" i="2"/>
  <c r="AM168" i="2"/>
  <c r="W168" i="2"/>
  <c r="AQ106" i="2"/>
  <c r="AV106" i="2" s="1"/>
  <c r="BE106" i="2" s="1"/>
  <c r="AQ159" i="2"/>
  <c r="AV159" i="2" s="1"/>
  <c r="BE159" i="2" s="1"/>
  <c r="AL170" i="2"/>
  <c r="V170" i="2"/>
  <c r="AG170" i="2"/>
  <c r="AB170" i="2"/>
  <c r="AB207" i="2"/>
  <c r="AL207" i="2"/>
  <c r="AG207" i="2"/>
  <c r="V207" i="2"/>
  <c r="AB215" i="2"/>
  <c r="AL215" i="2"/>
  <c r="AG215" i="2"/>
  <c r="V215" i="2"/>
  <c r="AB247" i="2"/>
  <c r="AL247" i="2"/>
  <c r="AG247" i="2"/>
  <c r="V247" i="2"/>
  <c r="AB279" i="2"/>
  <c r="AL279" i="2"/>
  <c r="AG279" i="2"/>
  <c r="V279" i="2"/>
  <c r="AL296" i="2"/>
  <c r="V296" i="2"/>
  <c r="AG296" i="2"/>
  <c r="AB296" i="2"/>
  <c r="AL442" i="2"/>
  <c r="V442" i="2"/>
  <c r="AG442" i="2"/>
  <c r="AB442" i="2"/>
  <c r="AL472" i="2"/>
  <c r="V472" i="2"/>
  <c r="AG472" i="2"/>
  <c r="AB472" i="2"/>
  <c r="AQ496" i="2"/>
  <c r="AV496" i="2" s="1"/>
  <c r="BE496" i="2" s="1"/>
  <c r="AQ500" i="2"/>
  <c r="AV500" i="2" s="1"/>
  <c r="BE500" i="2" s="1"/>
  <c r="AQ504" i="2"/>
  <c r="AV504" i="2" s="1"/>
  <c r="BE504" i="2" s="1"/>
  <c r="AQ208" i="2"/>
  <c r="AV208" i="2" s="1"/>
  <c r="BE208" i="2" s="1"/>
  <c r="AL260" i="2"/>
  <c r="V260" i="2"/>
  <c r="AG260" i="2"/>
  <c r="AB260" i="2"/>
  <c r="AL274" i="2"/>
  <c r="V274" i="2"/>
  <c r="AG274" i="2"/>
  <c r="AB274" i="2"/>
  <c r="AQ299" i="2"/>
  <c r="AV299" i="2" s="1"/>
  <c r="BE299" i="2" s="1"/>
  <c r="AQ305" i="2"/>
  <c r="AV305" i="2" s="1"/>
  <c r="BE305" i="2" s="1"/>
  <c r="BD311" i="2"/>
  <c r="AQ16" i="2"/>
  <c r="AV16" i="2" s="1"/>
  <c r="BE16" i="2" s="1"/>
  <c r="AQ48" i="2"/>
  <c r="AV48" i="2" s="1"/>
  <c r="BE48" i="2" s="1"/>
  <c r="BD67" i="2"/>
  <c r="BD84" i="2"/>
  <c r="AQ119" i="2"/>
  <c r="AV119" i="2" s="1"/>
  <c r="BE119" i="2" s="1"/>
  <c r="AQ151" i="2"/>
  <c r="AV151" i="2" s="1"/>
  <c r="BE151" i="2" s="1"/>
  <c r="AQ183" i="2"/>
  <c r="AV183" i="2" s="1"/>
  <c r="BE183" i="2" s="1"/>
  <c r="AQ344" i="2"/>
  <c r="AV344" i="2" s="1"/>
  <c r="BE344" i="2" s="1"/>
  <c r="AQ376" i="2"/>
  <c r="AV376" i="2" s="1"/>
  <c r="BE376" i="2" s="1"/>
  <c r="AQ424" i="2"/>
  <c r="AV424" i="2" s="1"/>
  <c r="BE424" i="2" s="1"/>
  <c r="AB63" i="2"/>
  <c r="AG63" i="2"/>
  <c r="AL63" i="2"/>
  <c r="V63" i="2"/>
  <c r="AB73" i="2"/>
  <c r="AG73" i="2"/>
  <c r="AL73" i="2"/>
  <c r="V73" i="2"/>
  <c r="AB307" i="2"/>
  <c r="AL307" i="2"/>
  <c r="AG307" i="2"/>
  <c r="V307" i="2"/>
  <c r="AL316" i="2"/>
  <c r="V316" i="2"/>
  <c r="AB316" i="2"/>
  <c r="AG316" i="2"/>
  <c r="AQ508" i="2"/>
  <c r="AV508" i="2" s="1"/>
  <c r="BE508" i="2" s="1"/>
  <c r="BD514" i="2"/>
  <c r="AB524" i="2"/>
  <c r="AL524" i="2"/>
  <c r="V524" i="2"/>
  <c r="AG524" i="2"/>
  <c r="AQ540" i="2"/>
  <c r="AV540" i="2" s="1"/>
  <c r="BE540" i="2" s="1"/>
  <c r="BD546" i="2"/>
  <c r="BD297" i="2"/>
  <c r="BD465" i="2"/>
  <c r="BD488" i="2"/>
  <c r="AL509" i="2"/>
  <c r="V509" i="2"/>
  <c r="AG509" i="2"/>
  <c r="AB509" i="2"/>
  <c r="AB526" i="2"/>
  <c r="AL526" i="2"/>
  <c r="V526" i="2"/>
  <c r="AG526" i="2"/>
  <c r="AQ541" i="2"/>
  <c r="AV541" i="2" s="1"/>
  <c r="BE541" i="2" s="1"/>
  <c r="BD547" i="2"/>
  <c r="AG738" i="2"/>
  <c r="AL738" i="2"/>
  <c r="V738" i="2"/>
  <c r="AB738" i="2"/>
  <c r="AG754" i="2"/>
  <c r="AL754" i="2"/>
  <c r="V754" i="2"/>
  <c r="AB754" i="2"/>
  <c r="AG770" i="2"/>
  <c r="AL770" i="2"/>
  <c r="V770" i="2"/>
  <c r="AB770" i="2"/>
  <c r="AG786" i="2"/>
  <c r="AL786" i="2"/>
  <c r="V786" i="2"/>
  <c r="AB786" i="2"/>
  <c r="AG802" i="2"/>
  <c r="AL802" i="2"/>
  <c r="V802" i="2"/>
  <c r="AB802" i="2"/>
  <c r="AG818" i="2"/>
  <c r="AL818" i="2"/>
  <c r="V818" i="2"/>
  <c r="AB818" i="2"/>
  <c r="AG834" i="2"/>
  <c r="AL834" i="2"/>
  <c r="V834" i="2"/>
  <c r="AB834" i="2"/>
  <c r="AG850" i="2"/>
  <c r="AL850" i="2"/>
  <c r="V850" i="2"/>
  <c r="AB850" i="2"/>
  <c r="AG866" i="2"/>
  <c r="AL866" i="2"/>
  <c r="V866" i="2"/>
  <c r="AB866" i="2"/>
  <c r="AG882" i="2"/>
  <c r="AL882" i="2"/>
  <c r="V882" i="2"/>
  <c r="AB882" i="2"/>
  <c r="AB229" i="2"/>
  <c r="AG229" i="2"/>
  <c r="V229" i="2"/>
  <c r="AL229" i="2"/>
  <c r="BD243" i="2"/>
  <c r="AQ325" i="2"/>
  <c r="AV325" i="2" s="1"/>
  <c r="BE325" i="2" s="1"/>
  <c r="AQ333" i="2"/>
  <c r="AV333" i="2" s="1"/>
  <c r="BE333" i="2" s="1"/>
  <c r="AQ341" i="2"/>
  <c r="AV341" i="2" s="1"/>
  <c r="BE341" i="2" s="1"/>
  <c r="AQ349" i="2"/>
  <c r="AV349" i="2" s="1"/>
  <c r="BE349" i="2" s="1"/>
  <c r="AQ357" i="2"/>
  <c r="AV357" i="2" s="1"/>
  <c r="BE357" i="2" s="1"/>
  <c r="AQ365" i="2"/>
  <c r="AV365" i="2" s="1"/>
  <c r="BE365" i="2" s="1"/>
  <c r="AQ373" i="2"/>
  <c r="AV373" i="2" s="1"/>
  <c r="BE373" i="2" s="1"/>
  <c r="AQ381" i="2"/>
  <c r="AV381" i="2" s="1"/>
  <c r="BE381" i="2" s="1"/>
  <c r="AQ389" i="2"/>
  <c r="AV389" i="2" s="1"/>
  <c r="BE389" i="2" s="1"/>
  <c r="AQ397" i="2"/>
  <c r="AV397" i="2" s="1"/>
  <c r="BE397" i="2" s="1"/>
  <c r="AQ405" i="2"/>
  <c r="AV405" i="2" s="1"/>
  <c r="BE405" i="2" s="1"/>
  <c r="AQ421" i="2"/>
  <c r="AV421" i="2" s="1"/>
  <c r="BE421" i="2" s="1"/>
  <c r="AQ437" i="2"/>
  <c r="AV437" i="2" s="1"/>
  <c r="BE437" i="2" s="1"/>
  <c r="AQ453" i="2"/>
  <c r="AV453" i="2" s="1"/>
  <c r="BE453" i="2" s="1"/>
  <c r="AQ469" i="2"/>
  <c r="AV469" i="2" s="1"/>
  <c r="BE469" i="2" s="1"/>
  <c r="AQ485" i="2"/>
  <c r="AV485" i="2" s="1"/>
  <c r="BE485" i="2" s="1"/>
  <c r="AQ495" i="2"/>
  <c r="AV495" i="2" s="1"/>
  <c r="BE495" i="2" s="1"/>
  <c r="AQ499" i="2"/>
  <c r="AV499" i="2" s="1"/>
  <c r="BE499" i="2" s="1"/>
  <c r="AQ503" i="2"/>
  <c r="AV503" i="2" s="1"/>
  <c r="BE503" i="2" s="1"/>
  <c r="AB512" i="2"/>
  <c r="AL512" i="2"/>
  <c r="V512" i="2"/>
  <c r="AG512" i="2"/>
  <c r="AL527" i="2"/>
  <c r="V527" i="2"/>
  <c r="AG527" i="2"/>
  <c r="AB527" i="2"/>
  <c r="AQ544" i="2"/>
  <c r="AV544" i="2" s="1"/>
  <c r="BE544" i="2" s="1"/>
  <c r="BD221" i="2"/>
  <c r="AQ262" i="2"/>
  <c r="AV262" i="2" s="1"/>
  <c r="BE262" i="2" s="1"/>
  <c r="AL294" i="2"/>
  <c r="V294" i="2"/>
  <c r="AG294" i="2"/>
  <c r="AB294" i="2"/>
  <c r="W332" i="2"/>
  <c r="BD341" i="2"/>
  <c r="AR396" i="2"/>
  <c r="AW396" i="2" s="1"/>
  <c r="BF396" i="2" s="1"/>
  <c r="AL398" i="2"/>
  <c r="V398" i="2"/>
  <c r="AG398" i="2"/>
  <c r="AB398" i="2"/>
  <c r="AQ414" i="2"/>
  <c r="AV414" i="2" s="1"/>
  <c r="BE414" i="2" s="1"/>
  <c r="AQ430" i="2"/>
  <c r="AV430" i="2" s="1"/>
  <c r="BE430" i="2" s="1"/>
  <c r="AQ446" i="2"/>
  <c r="AV446" i="2" s="1"/>
  <c r="BE446" i="2" s="1"/>
  <c r="AQ462" i="2"/>
  <c r="AV462" i="2" s="1"/>
  <c r="BE462" i="2" s="1"/>
  <c r="AQ478" i="2"/>
  <c r="AV478" i="2" s="1"/>
  <c r="BE478" i="2" s="1"/>
  <c r="AQ494" i="2"/>
  <c r="AV494" i="2" s="1"/>
  <c r="BE494" i="2" s="1"/>
  <c r="BD501" i="2"/>
  <c r="AL513" i="2"/>
  <c r="V513" i="2"/>
  <c r="AG513" i="2"/>
  <c r="AB513" i="2"/>
  <c r="AB530" i="2"/>
  <c r="AL530" i="2"/>
  <c r="V530" i="2"/>
  <c r="AG530" i="2"/>
  <c r="AL545" i="2"/>
  <c r="V545" i="2"/>
  <c r="AG545" i="2"/>
  <c r="AB545" i="2"/>
  <c r="AQ757" i="2"/>
  <c r="AV757" i="2" s="1"/>
  <c r="BE757" i="2" s="1"/>
  <c r="AQ789" i="2"/>
  <c r="AV789" i="2" s="1"/>
  <c r="BE789" i="2" s="1"/>
  <c r="AQ821" i="2"/>
  <c r="AV821" i="2" s="1"/>
  <c r="BE821" i="2" s="1"/>
  <c r="AQ853" i="2"/>
  <c r="AV853" i="2" s="1"/>
  <c r="BE853" i="2" s="1"/>
  <c r="AQ885" i="2"/>
  <c r="AV885" i="2" s="1"/>
  <c r="BE885" i="2" s="1"/>
  <c r="BD1047" i="2"/>
  <c r="AG622" i="2"/>
  <c r="AB622" i="2"/>
  <c r="AL622" i="2"/>
  <c r="V622" i="2"/>
  <c r="AG626" i="2"/>
  <c r="AB626" i="2"/>
  <c r="AL626" i="2"/>
  <c r="V626" i="2"/>
  <c r="AG630" i="2"/>
  <c r="AB630" i="2"/>
  <c r="AL630" i="2"/>
  <c r="V630" i="2"/>
  <c r="AG634" i="2"/>
  <c r="AB634" i="2"/>
  <c r="AL634" i="2"/>
  <c r="V634" i="2"/>
  <c r="AG638" i="2"/>
  <c r="AB638" i="2"/>
  <c r="AL638" i="2"/>
  <c r="V638" i="2"/>
  <c r="AG642" i="2"/>
  <c r="AB642" i="2"/>
  <c r="AL642" i="2"/>
  <c r="V642" i="2"/>
  <c r="AG646" i="2"/>
  <c r="AB646" i="2"/>
  <c r="AL646" i="2"/>
  <c r="V646" i="2"/>
  <c r="AG650" i="2"/>
  <c r="AB650" i="2"/>
  <c r="AL650" i="2"/>
  <c r="V650" i="2"/>
  <c r="AG654" i="2"/>
  <c r="AB654" i="2"/>
  <c r="AL654" i="2"/>
  <c r="V654" i="2"/>
  <c r="AG658" i="2"/>
  <c r="AB658" i="2"/>
  <c r="AL658" i="2"/>
  <c r="V658" i="2"/>
  <c r="AG662" i="2"/>
  <c r="AB662" i="2"/>
  <c r="AL662" i="2"/>
  <c r="V662" i="2"/>
  <c r="AG666" i="2"/>
  <c r="AB666" i="2"/>
  <c r="AL666" i="2"/>
  <c r="V666" i="2"/>
  <c r="AG670" i="2"/>
  <c r="AB670" i="2"/>
  <c r="AL670" i="2"/>
  <c r="V670" i="2"/>
  <c r="AG674" i="2"/>
  <c r="AB674" i="2"/>
  <c r="AL674" i="2"/>
  <c r="V674" i="2"/>
  <c r="AG678" i="2"/>
  <c r="AB678" i="2"/>
  <c r="AL678" i="2"/>
  <c r="V678" i="2"/>
  <c r="AG682" i="2"/>
  <c r="AB682" i="2"/>
  <c r="AL682" i="2"/>
  <c r="V682" i="2"/>
  <c r="AG686" i="2"/>
  <c r="AB686" i="2"/>
  <c r="AL686" i="2"/>
  <c r="V686" i="2"/>
  <c r="AG690" i="2"/>
  <c r="AB690" i="2"/>
  <c r="AL690" i="2"/>
  <c r="V690" i="2"/>
  <c r="AG694" i="2"/>
  <c r="AB694" i="2"/>
  <c r="AL694" i="2"/>
  <c r="V694" i="2"/>
  <c r="AG698" i="2"/>
  <c r="AB698" i="2"/>
  <c r="AL698" i="2"/>
  <c r="V698" i="2"/>
  <c r="AG702" i="2"/>
  <c r="AB702" i="2"/>
  <c r="AL702" i="2"/>
  <c r="V702" i="2"/>
  <c r="AG706" i="2"/>
  <c r="AB706" i="2"/>
  <c r="AL706" i="2"/>
  <c r="V706" i="2"/>
  <c r="AG710" i="2"/>
  <c r="AB710" i="2"/>
  <c r="AL710" i="2"/>
  <c r="V710" i="2"/>
  <c r="AG714" i="2"/>
  <c r="AB714" i="2"/>
  <c r="AL714" i="2"/>
  <c r="V714" i="2"/>
  <c r="AG718" i="2"/>
  <c r="AB718" i="2"/>
  <c r="AL718" i="2"/>
  <c r="V718" i="2"/>
  <c r="AG722" i="2"/>
  <c r="AB722" i="2"/>
  <c r="AL722" i="2"/>
  <c r="V722" i="2"/>
  <c r="AG1043" i="2"/>
  <c r="AB1043" i="2"/>
  <c r="AL1043" i="2"/>
  <c r="V1043" i="2"/>
  <c r="BD901" i="2"/>
  <c r="BD917" i="2"/>
  <c r="BD933" i="2"/>
  <c r="BD949" i="2"/>
  <c r="BD965" i="2"/>
  <c r="BD981" i="2"/>
  <c r="BD997" i="2"/>
  <c r="BD1013" i="2"/>
  <c r="BD1029" i="2"/>
  <c r="BD1184" i="2"/>
  <c r="AQ1205" i="2"/>
  <c r="AV1205" i="2" s="1"/>
  <c r="BE1205" i="2" s="1"/>
  <c r="AB1237" i="2"/>
  <c r="AL1237" i="2"/>
  <c r="V1237" i="2"/>
  <c r="AG1237" i="2"/>
  <c r="BD1248" i="2"/>
  <c r="AQ1269" i="2"/>
  <c r="AV1269" i="2" s="1"/>
  <c r="BE1269" i="2" s="1"/>
  <c r="AB1301" i="2"/>
  <c r="AL1301" i="2"/>
  <c r="V1301" i="2"/>
  <c r="AG1301" i="2"/>
  <c r="BD1312" i="2"/>
  <c r="AQ1333" i="2"/>
  <c r="AV1333" i="2" s="1"/>
  <c r="BE1333" i="2" s="1"/>
  <c r="AB1365" i="2"/>
  <c r="AL1365" i="2"/>
  <c r="V1365" i="2"/>
  <c r="AG1365" i="2"/>
  <c r="BD1076" i="2"/>
  <c r="BD1140" i="2"/>
  <c r="AG1156" i="2"/>
  <c r="AB1156" i="2"/>
  <c r="AL1156" i="2"/>
  <c r="V1156" i="2"/>
  <c r="AG1160" i="2"/>
  <c r="AB1160" i="2"/>
  <c r="AL1160" i="2"/>
  <c r="V1160" i="2"/>
  <c r="AG1164" i="2"/>
  <c r="AB1164" i="2"/>
  <c r="AL1164" i="2"/>
  <c r="V1164" i="2"/>
  <c r="AG1168" i="2"/>
  <c r="AB1168" i="2"/>
  <c r="AL1168" i="2"/>
  <c r="V1168" i="2"/>
  <c r="AG1172" i="2"/>
  <c r="AB1172" i="2"/>
  <c r="AL1172" i="2"/>
  <c r="V1172" i="2"/>
  <c r="AG1176" i="2"/>
  <c r="AB1176" i="2"/>
  <c r="AL1176" i="2"/>
  <c r="V1176" i="2"/>
  <c r="BD1187" i="2"/>
  <c r="AQ1208" i="2"/>
  <c r="AV1208" i="2" s="1"/>
  <c r="BE1208" i="2" s="1"/>
  <c r="AL1240" i="2"/>
  <c r="V1240" i="2"/>
  <c r="AG1240" i="2"/>
  <c r="AB1240" i="2"/>
  <c r="BD1251" i="2"/>
  <c r="AQ1272" i="2"/>
  <c r="AV1272" i="2" s="1"/>
  <c r="BE1272" i="2" s="1"/>
  <c r="AL1304" i="2"/>
  <c r="V1304" i="2"/>
  <c r="AG1304" i="2"/>
  <c r="AB1304" i="2"/>
  <c r="BD1315" i="2"/>
  <c r="AQ1336" i="2"/>
  <c r="AV1336" i="2" s="1"/>
  <c r="BE1336" i="2" s="1"/>
  <c r="AL1368" i="2"/>
  <c r="V1368" i="2"/>
  <c r="AG1368" i="2"/>
  <c r="AB1368" i="2"/>
  <c r="AB1384" i="2"/>
  <c r="AL1384" i="2"/>
  <c r="V1384" i="2"/>
  <c r="AG1384" i="2"/>
  <c r="AB1179" i="2"/>
  <c r="AL1179" i="2"/>
  <c r="V1179" i="2"/>
  <c r="AG1179" i="2"/>
  <c r="BD1190" i="2"/>
  <c r="AQ1211" i="2"/>
  <c r="AV1211" i="2" s="1"/>
  <c r="BE1211" i="2" s="1"/>
  <c r="AB1243" i="2"/>
  <c r="AL1243" i="2"/>
  <c r="V1243" i="2"/>
  <c r="AG1243" i="2"/>
  <c r="BD1254" i="2"/>
  <c r="AQ1275" i="2"/>
  <c r="AV1275" i="2" s="1"/>
  <c r="BE1275" i="2" s="1"/>
  <c r="AB1307" i="2"/>
  <c r="AL1307" i="2"/>
  <c r="V1307" i="2"/>
  <c r="AG1307" i="2"/>
  <c r="BD1318" i="2"/>
  <c r="AQ1339" i="2"/>
  <c r="AV1339" i="2" s="1"/>
  <c r="BE1339" i="2" s="1"/>
  <c r="AB1371" i="2"/>
  <c r="AL1371" i="2"/>
  <c r="V1371" i="2"/>
  <c r="AG1371" i="2"/>
  <c r="BD1074" i="2"/>
  <c r="BD1138" i="2"/>
  <c r="BD1156" i="2"/>
  <c r="BD1159" i="2"/>
  <c r="BD1172" i="2"/>
  <c r="BD1175" i="2"/>
  <c r="AQ1190" i="2"/>
  <c r="AV1190" i="2" s="1"/>
  <c r="BE1190" i="2" s="1"/>
  <c r="AL1222" i="2"/>
  <c r="V1222" i="2"/>
  <c r="AG1222" i="2"/>
  <c r="AB1222" i="2"/>
  <c r="BD1233" i="2"/>
  <c r="AQ1254" i="2"/>
  <c r="AV1254" i="2" s="1"/>
  <c r="BE1254" i="2" s="1"/>
  <c r="AL1286" i="2"/>
  <c r="V1286" i="2"/>
  <c r="AG1286" i="2"/>
  <c r="AB1286" i="2"/>
  <c r="BD1297" i="2"/>
  <c r="AQ1318" i="2"/>
  <c r="AV1318" i="2" s="1"/>
  <c r="BE1318" i="2" s="1"/>
  <c r="AL1350" i="2"/>
  <c r="V1350" i="2"/>
  <c r="AG1350" i="2"/>
  <c r="AB1350" i="2"/>
  <c r="BD1361" i="2"/>
  <c r="BD1445" i="2"/>
  <c r="BD1461" i="2"/>
  <c r="AL1480" i="2"/>
  <c r="V1480" i="2"/>
  <c r="AB1480" i="2"/>
  <c r="AG1480" i="2"/>
  <c r="AQ1483" i="2"/>
  <c r="AV1483" i="2" s="1"/>
  <c r="BE1483" i="2" s="1"/>
  <c r="AQ1489" i="2"/>
  <c r="AV1489" i="2" s="1"/>
  <c r="BE1489" i="2" s="1"/>
  <c r="AB1493" i="2"/>
  <c r="AL1493" i="2"/>
  <c r="V1493" i="2"/>
  <c r="AG1493" i="2"/>
  <c r="AQ1515" i="2"/>
  <c r="AV1515" i="2" s="1"/>
  <c r="BE1515" i="2" s="1"/>
  <c r="AB1519" i="2"/>
  <c r="AL1519" i="2"/>
  <c r="V1519" i="2"/>
  <c r="AG1519" i="2"/>
  <c r="AQ1531" i="2"/>
  <c r="AV1531" i="2" s="1"/>
  <c r="BE1531" i="2" s="1"/>
  <c r="AB1535" i="2"/>
  <c r="AL1535" i="2"/>
  <c r="V1535" i="2"/>
  <c r="AG1535" i="2"/>
  <c r="AB1591" i="2"/>
  <c r="AL1591" i="2"/>
  <c r="V1591" i="2"/>
  <c r="AG1591" i="2"/>
  <c r="BD1594" i="2"/>
  <c r="AL1616" i="2"/>
  <c r="V1616" i="2"/>
  <c r="AG1616" i="2"/>
  <c r="AB1616" i="2"/>
  <c r="AQ1623" i="2"/>
  <c r="AV1623" i="2" s="1"/>
  <c r="BE1623" i="2" s="1"/>
  <c r="AQ1648" i="2"/>
  <c r="AV1648" i="2" s="1"/>
  <c r="BE1648" i="2" s="1"/>
  <c r="AB1655" i="2"/>
  <c r="AL1655" i="2"/>
  <c r="V1655" i="2"/>
  <c r="AG1655" i="2"/>
  <c r="BD1658" i="2"/>
  <c r="AB1509" i="2"/>
  <c r="AL1509" i="2"/>
  <c r="V1509" i="2"/>
  <c r="AG1509" i="2"/>
  <c r="AB1513" i="2"/>
  <c r="AL1513" i="2"/>
  <c r="V1513" i="2"/>
  <c r="AG1513" i="2"/>
  <c r="AL1396" i="2"/>
  <c r="V1396" i="2"/>
  <c r="AB1396" i="2"/>
  <c r="AG1396" i="2"/>
  <c r="AL1400" i="2"/>
  <c r="V1400" i="2"/>
  <c r="AB1400" i="2"/>
  <c r="AG1400" i="2"/>
  <c r="AL1404" i="2"/>
  <c r="V1404" i="2"/>
  <c r="AB1404" i="2"/>
  <c r="AG1404" i="2"/>
  <c r="AL1408" i="2"/>
  <c r="V1408" i="2"/>
  <c r="AB1408" i="2"/>
  <c r="AG1408" i="2"/>
  <c r="AL1412" i="2"/>
  <c r="V1412" i="2"/>
  <c r="AB1412" i="2"/>
  <c r="AG1412" i="2"/>
  <c r="AL1416" i="2"/>
  <c r="V1416" i="2"/>
  <c r="AB1416" i="2"/>
  <c r="AG1416" i="2"/>
  <c r="AL1420" i="2"/>
  <c r="V1420" i="2"/>
  <c r="AB1420" i="2"/>
  <c r="AG1420" i="2"/>
  <c r="AL1424" i="2"/>
  <c r="V1424" i="2"/>
  <c r="AB1424" i="2"/>
  <c r="AG1424" i="2"/>
  <c r="AL1428" i="2"/>
  <c r="V1428" i="2"/>
  <c r="AB1428" i="2"/>
  <c r="AG1428" i="2"/>
  <c r="AL1432" i="2"/>
  <c r="V1432" i="2"/>
  <c r="AB1432" i="2"/>
  <c r="AG1432" i="2"/>
  <c r="AL1436" i="2"/>
  <c r="V1436" i="2"/>
  <c r="AB1436" i="2"/>
  <c r="AG1436" i="2"/>
  <c r="AQ1439" i="2"/>
  <c r="AV1439" i="2" s="1"/>
  <c r="BE1439" i="2" s="1"/>
  <c r="AL1548" i="2"/>
  <c r="V1548" i="2"/>
  <c r="AB1548" i="2"/>
  <c r="AG1548" i="2"/>
  <c r="AL1552" i="2"/>
  <c r="V1552" i="2"/>
  <c r="AB1552" i="2"/>
  <c r="AG1552" i="2"/>
  <c r="AL1556" i="2"/>
  <c r="V1556" i="2"/>
  <c r="AB1556" i="2"/>
  <c r="AG1556" i="2"/>
  <c r="AL1560" i="2"/>
  <c r="V1560" i="2"/>
  <c r="AB1560" i="2"/>
  <c r="AG1560" i="2"/>
  <c r="AL1564" i="2"/>
  <c r="V1564" i="2"/>
  <c r="AB1564" i="2"/>
  <c r="AG1564" i="2"/>
  <c r="AL1568" i="2"/>
  <c r="V1568" i="2"/>
  <c r="AB1568" i="2"/>
  <c r="AG1568" i="2"/>
  <c r="AL1572" i="2"/>
  <c r="V1572" i="2"/>
  <c r="AB1572" i="2"/>
  <c r="AG1572" i="2"/>
  <c r="AL1576" i="2"/>
  <c r="V1576" i="2"/>
  <c r="AB1576" i="2"/>
  <c r="AG1576" i="2"/>
  <c r="BD1580" i="2"/>
  <c r="AL1610" i="2"/>
  <c r="V1610" i="2"/>
  <c r="AG1610" i="2"/>
  <c r="AB1610" i="2"/>
  <c r="AQ1617" i="2"/>
  <c r="AV1617" i="2" s="1"/>
  <c r="BE1617" i="2" s="1"/>
  <c r="AQ1642" i="2"/>
  <c r="AV1642" i="2" s="1"/>
  <c r="BE1642" i="2" s="1"/>
  <c r="AB1649" i="2"/>
  <c r="AL1649" i="2"/>
  <c r="V1649" i="2"/>
  <c r="AG1649" i="2"/>
  <c r="BD1652" i="2"/>
  <c r="AR1767" i="2"/>
  <c r="AW1767" i="2" s="1"/>
  <c r="BF1767" i="2" s="1"/>
  <c r="AC1783" i="2"/>
  <c r="AM1783" i="2"/>
  <c r="AH1783" i="2"/>
  <c r="W1783" i="2"/>
  <c r="AR1831" i="2"/>
  <c r="AW1831" i="2" s="1"/>
  <c r="BF1831" i="2" s="1"/>
  <c r="AQ1702" i="2"/>
  <c r="AV1702" i="2" s="1"/>
  <c r="BE1702" i="2" s="1"/>
  <c r="AB1718" i="2"/>
  <c r="AL1718" i="2"/>
  <c r="V1718" i="2"/>
  <c r="AG1718" i="2"/>
  <c r="BD1723" i="2"/>
  <c r="AL1863" i="2"/>
  <c r="V1863" i="2"/>
  <c r="AG1863" i="2"/>
  <c r="AB1863" i="2"/>
  <c r="AL1871" i="2"/>
  <c r="V1871" i="2"/>
  <c r="AG1871" i="2"/>
  <c r="AB1871" i="2"/>
  <c r="AL1879" i="2"/>
  <c r="V1879" i="2"/>
  <c r="AG1879" i="2"/>
  <c r="AB1879" i="2"/>
  <c r="AL1887" i="2"/>
  <c r="V1887" i="2"/>
  <c r="AG1887" i="2"/>
  <c r="AB1887" i="2"/>
  <c r="AL1895" i="2"/>
  <c r="V1895" i="2"/>
  <c r="AG1895" i="2"/>
  <c r="AB1895" i="2"/>
  <c r="AL1903" i="2"/>
  <c r="V1903" i="2"/>
  <c r="AG1903" i="2"/>
  <c r="AB1903" i="2"/>
  <c r="AL1911" i="2"/>
  <c r="V1911" i="2"/>
  <c r="AG1911" i="2"/>
  <c r="AB1911" i="2"/>
  <c r="AL1919" i="2"/>
  <c r="V1919" i="2"/>
  <c r="AG1919" i="2"/>
  <c r="AB1919" i="2"/>
  <c r="AL1927" i="2"/>
  <c r="V1927" i="2"/>
  <c r="AG1927" i="2"/>
  <c r="AB1927" i="2"/>
  <c r="AL1935" i="2"/>
  <c r="V1935" i="2"/>
  <c r="AG1935" i="2"/>
  <c r="AB1935" i="2"/>
  <c r="AL1943" i="2"/>
  <c r="V1943" i="2"/>
  <c r="AG1943" i="2"/>
  <c r="AB1943" i="2"/>
  <c r="AL1951" i="2"/>
  <c r="V1951" i="2"/>
  <c r="AG1951" i="2"/>
  <c r="AB1951" i="2"/>
  <c r="AG1757" i="2"/>
  <c r="AB1757" i="2"/>
  <c r="V1757" i="2"/>
  <c r="AL1757" i="2"/>
  <c r="AQ1761" i="2"/>
  <c r="AV1761" i="2" s="1"/>
  <c r="BE1761" i="2" s="1"/>
  <c r="AG1765" i="2"/>
  <c r="AB1765" i="2"/>
  <c r="V1765" i="2"/>
  <c r="AL1765" i="2"/>
  <c r="AQ1769" i="2"/>
  <c r="AV1769" i="2" s="1"/>
  <c r="BE1769" i="2" s="1"/>
  <c r="AG1773" i="2"/>
  <c r="AB1773" i="2"/>
  <c r="V1773" i="2"/>
  <c r="AL1773" i="2"/>
  <c r="AQ1777" i="2"/>
  <c r="AV1777" i="2" s="1"/>
  <c r="BE1777" i="2" s="1"/>
  <c r="AG1781" i="2"/>
  <c r="AB1781" i="2"/>
  <c r="V1781" i="2"/>
  <c r="AL1781" i="2"/>
  <c r="AQ1785" i="2"/>
  <c r="AV1785" i="2" s="1"/>
  <c r="BE1785" i="2" s="1"/>
  <c r="AG1789" i="2"/>
  <c r="AB1789" i="2"/>
  <c r="V1789" i="2"/>
  <c r="AL1789" i="2"/>
  <c r="AQ1793" i="2"/>
  <c r="AV1793" i="2" s="1"/>
  <c r="BE1793" i="2" s="1"/>
  <c r="AG1797" i="2"/>
  <c r="AB1797" i="2"/>
  <c r="V1797" i="2"/>
  <c r="AL1797" i="2"/>
  <c r="AQ1801" i="2"/>
  <c r="AV1801" i="2" s="1"/>
  <c r="BE1801" i="2" s="1"/>
  <c r="AG1805" i="2"/>
  <c r="AB1805" i="2"/>
  <c r="V1805" i="2"/>
  <c r="AL1805" i="2"/>
  <c r="AQ1809" i="2"/>
  <c r="AV1809" i="2" s="1"/>
  <c r="BE1809" i="2" s="1"/>
  <c r="BD1823" i="2"/>
  <c r="AG1825" i="2"/>
  <c r="AB1825" i="2"/>
  <c r="V1825" i="2"/>
  <c r="AL1825" i="2"/>
  <c r="BD1834" i="2"/>
  <c r="AQ1836" i="2"/>
  <c r="AV1836" i="2" s="1"/>
  <c r="BE1836" i="2" s="1"/>
  <c r="AL1844" i="2"/>
  <c r="AG1844" i="2"/>
  <c r="AB1844" i="2"/>
  <c r="V1844" i="2"/>
  <c r="AL1851" i="2"/>
  <c r="V1851" i="2"/>
  <c r="AG1851" i="2"/>
  <c r="AB1851" i="2"/>
  <c r="AL1855" i="2"/>
  <c r="V1855" i="2"/>
  <c r="AG1855" i="2"/>
  <c r="AB1855" i="2"/>
  <c r="AL1859" i="2"/>
  <c r="V1859" i="2"/>
  <c r="AG1859" i="2"/>
  <c r="AB1859" i="2"/>
  <c r="BD1866" i="2"/>
  <c r="BD1930" i="2"/>
  <c r="AQ1672" i="2"/>
  <c r="AV1672" i="2" s="1"/>
  <c r="BE1672" i="2" s="1"/>
  <c r="AQ1676" i="2"/>
  <c r="AV1676" i="2" s="1"/>
  <c r="BE1676" i="2" s="1"/>
  <c r="AQ1680" i="2"/>
  <c r="AV1680" i="2" s="1"/>
  <c r="BE1680" i="2" s="1"/>
  <c r="AQ1684" i="2"/>
  <c r="AV1684" i="2" s="1"/>
  <c r="BE1684" i="2" s="1"/>
  <c r="AQ1688" i="2"/>
  <c r="AV1688" i="2" s="1"/>
  <c r="BE1688" i="2" s="1"/>
  <c r="AQ1692" i="2"/>
  <c r="AV1692" i="2" s="1"/>
  <c r="BE1692" i="2" s="1"/>
  <c r="AQ1696" i="2"/>
  <c r="AV1696" i="2" s="1"/>
  <c r="BE1696" i="2" s="1"/>
  <c r="AQ1700" i="2"/>
  <c r="AV1700" i="2" s="1"/>
  <c r="BE1700" i="2" s="1"/>
  <c r="AQ1704" i="2"/>
  <c r="AV1704" i="2" s="1"/>
  <c r="BE1704" i="2" s="1"/>
  <c r="AQ1708" i="2"/>
  <c r="AV1708" i="2" s="1"/>
  <c r="BE1708" i="2" s="1"/>
  <c r="AQ1712" i="2"/>
  <c r="AV1712" i="2" s="1"/>
  <c r="BE1712" i="2" s="1"/>
  <c r="AQ1716" i="2"/>
  <c r="AV1716" i="2" s="1"/>
  <c r="BE1716" i="2" s="1"/>
  <c r="AQ1720" i="2"/>
  <c r="AV1720" i="2" s="1"/>
  <c r="BE1720" i="2" s="1"/>
  <c r="AQ1724" i="2"/>
  <c r="AV1724" i="2" s="1"/>
  <c r="BE1724" i="2" s="1"/>
  <c r="AQ1728" i="2"/>
  <c r="AV1728" i="2" s="1"/>
  <c r="BE1728" i="2" s="1"/>
  <c r="AQ1732" i="2"/>
  <c r="AV1732" i="2" s="1"/>
  <c r="BE1732" i="2" s="1"/>
  <c r="AQ1736" i="2"/>
  <c r="AV1736" i="2" s="1"/>
  <c r="BE1736" i="2" s="1"/>
  <c r="AQ1740" i="2"/>
  <c r="AV1740" i="2" s="1"/>
  <c r="BE1740" i="2" s="1"/>
  <c r="AQ1744" i="2"/>
  <c r="AV1744" i="2" s="1"/>
  <c r="BE1744" i="2" s="1"/>
  <c r="AQ1748" i="2"/>
  <c r="AV1748" i="2" s="1"/>
  <c r="BE1748" i="2" s="1"/>
  <c r="AQ1752" i="2"/>
  <c r="AV1752" i="2" s="1"/>
  <c r="BE1752" i="2" s="1"/>
  <c r="AQ1756" i="2"/>
  <c r="AV1756" i="2" s="1"/>
  <c r="BE1756" i="2" s="1"/>
  <c r="AQ2022" i="2"/>
  <c r="AV2022" i="2" s="1"/>
  <c r="BE2022" i="2" s="1"/>
  <c r="AQ2026" i="2"/>
  <c r="AV2026" i="2" s="1"/>
  <c r="BE2026" i="2" s="1"/>
  <c r="AQ2030" i="2"/>
  <c r="AV2030" i="2" s="1"/>
  <c r="BE2030" i="2" s="1"/>
  <c r="AQ2034" i="2"/>
  <c r="AV2034" i="2" s="1"/>
  <c r="BE2034" i="2" s="1"/>
  <c r="AQ2038" i="2"/>
  <c r="AV2038" i="2" s="1"/>
  <c r="BE2038" i="2" s="1"/>
  <c r="AQ2042" i="2"/>
  <c r="AV2042" i="2" s="1"/>
  <c r="BE2042" i="2" s="1"/>
  <c r="AQ2055" i="2"/>
  <c r="AV2055" i="2" s="1"/>
  <c r="BE2055" i="2" s="1"/>
  <c r="AB2064" i="2"/>
  <c r="AL2064" i="2"/>
  <c r="V2064" i="2"/>
  <c r="AG2064" i="2"/>
  <c r="AL2087" i="2"/>
  <c r="V2087" i="2"/>
  <c r="AG2087" i="2"/>
  <c r="AB2087" i="2"/>
  <c r="AQ2096" i="2"/>
  <c r="AV2096" i="2" s="1"/>
  <c r="BE2096" i="2" s="1"/>
  <c r="AG2167" i="2"/>
  <c r="AB2167" i="2"/>
  <c r="AL2167" i="2"/>
  <c r="V2167" i="2"/>
  <c r="AQ2199" i="2"/>
  <c r="AV2199" i="2" s="1"/>
  <c r="BE2199" i="2" s="1"/>
  <c r="AL2166" i="2"/>
  <c r="V2166" i="2"/>
  <c r="AG2166" i="2"/>
  <c r="AB2166" i="2"/>
  <c r="AQ2198" i="2"/>
  <c r="AV2198" i="2" s="1"/>
  <c r="BE2198" i="2" s="1"/>
  <c r="AQ2173" i="2"/>
  <c r="AV2173" i="2" s="1"/>
  <c r="BE2173" i="2" s="1"/>
  <c r="AL2184" i="2"/>
  <c r="V2184" i="2"/>
  <c r="AG2184" i="2"/>
  <c r="AB2184" i="2"/>
  <c r="AR4" i="2"/>
  <c r="AW4" i="2" s="1"/>
  <c r="BF4" i="2" s="1"/>
  <c r="AB21" i="2"/>
  <c r="AG21" i="2"/>
  <c r="AL21" i="2"/>
  <c r="V21" i="2"/>
  <c r="AL92" i="2"/>
  <c r="V92" i="2"/>
  <c r="AG92" i="2"/>
  <c r="AB92" i="2"/>
  <c r="AR128" i="2"/>
  <c r="AW128" i="2" s="1"/>
  <c r="BF128" i="2" s="1"/>
  <c r="AB11" i="2"/>
  <c r="AL11" i="2"/>
  <c r="AG11" i="2"/>
  <c r="V11" i="2"/>
  <c r="AR112" i="2"/>
  <c r="AW112" i="2" s="1"/>
  <c r="BF112" i="2" s="1"/>
  <c r="AQ22" i="2"/>
  <c r="AV22" i="2" s="1"/>
  <c r="BE22" i="2" s="1"/>
  <c r="AH2" i="2"/>
  <c r="AM2" i="2"/>
  <c r="W2" i="2"/>
  <c r="AC2" i="2"/>
  <c r="AL58" i="2"/>
  <c r="V58" i="2"/>
  <c r="AG58" i="2"/>
  <c r="AB58" i="2"/>
  <c r="AL64" i="2"/>
  <c r="V64" i="2"/>
  <c r="AB64" i="2"/>
  <c r="AG64" i="2"/>
  <c r="AQ87" i="2"/>
  <c r="AV87" i="2" s="1"/>
  <c r="BE87" i="2" s="1"/>
  <c r="AQ97" i="2"/>
  <c r="AV97" i="2" s="1"/>
  <c r="BE97" i="2" s="1"/>
  <c r="AB125" i="2"/>
  <c r="AL125" i="2"/>
  <c r="AG125" i="2"/>
  <c r="V125" i="2"/>
  <c r="AB143" i="2"/>
  <c r="AL143" i="2"/>
  <c r="AG143" i="2"/>
  <c r="V143" i="2"/>
  <c r="AL280" i="2"/>
  <c r="V280" i="2"/>
  <c r="AG280" i="2"/>
  <c r="AB280" i="2"/>
  <c r="AQ425" i="2"/>
  <c r="AV425" i="2" s="1"/>
  <c r="BE425" i="2" s="1"/>
  <c r="AB315" i="2"/>
  <c r="AL315" i="2"/>
  <c r="AG315" i="2"/>
  <c r="V315" i="2"/>
  <c r="AB321" i="2"/>
  <c r="AL321" i="2"/>
  <c r="AG321" i="2"/>
  <c r="V321" i="2"/>
  <c r="AL434" i="2"/>
  <c r="V434" i="2"/>
  <c r="AG434" i="2"/>
  <c r="AB434" i="2"/>
  <c r="AL464" i="2"/>
  <c r="V464" i="2"/>
  <c r="AG464" i="2"/>
  <c r="AB464" i="2"/>
  <c r="AQ487" i="2"/>
  <c r="AV487" i="2" s="1"/>
  <c r="BE487" i="2" s="1"/>
  <c r="BD15" i="2"/>
  <c r="AQ17" i="2"/>
  <c r="AV17" i="2" s="1"/>
  <c r="BE17" i="2" s="1"/>
  <c r="AB49" i="2"/>
  <c r="V49" i="2"/>
  <c r="AG49" i="2"/>
  <c r="AL49" i="2"/>
  <c r="AB81" i="2"/>
  <c r="V81" i="2"/>
  <c r="AG81" i="2"/>
  <c r="AL81" i="2"/>
  <c r="AL130" i="2"/>
  <c r="V130" i="2"/>
  <c r="AG130" i="2"/>
  <c r="AB130" i="2"/>
  <c r="AQ162" i="2"/>
  <c r="AV162" i="2" s="1"/>
  <c r="BE162" i="2" s="1"/>
  <c r="AL194" i="2"/>
  <c r="V194" i="2"/>
  <c r="AG194" i="2"/>
  <c r="AB194" i="2"/>
  <c r="AQ352" i="2"/>
  <c r="AV352" i="2" s="1"/>
  <c r="BE352" i="2" s="1"/>
  <c r="AQ384" i="2"/>
  <c r="AV384" i="2" s="1"/>
  <c r="BE384" i="2" s="1"/>
  <c r="AQ426" i="2"/>
  <c r="AV426" i="2" s="1"/>
  <c r="BE426" i="2" s="1"/>
  <c r="AQ456" i="2"/>
  <c r="AV456" i="2" s="1"/>
  <c r="BE456" i="2" s="1"/>
  <c r="AB203" i="2"/>
  <c r="AL203" i="2"/>
  <c r="AG203" i="2"/>
  <c r="V203" i="2"/>
  <c r="AQ220" i="2"/>
  <c r="AV220" i="2" s="1"/>
  <c r="BE220" i="2" s="1"/>
  <c r="AQ234" i="2"/>
  <c r="AV234" i="2" s="1"/>
  <c r="BE234" i="2" s="1"/>
  <c r="AB259" i="2"/>
  <c r="AL259" i="2"/>
  <c r="AG259" i="2"/>
  <c r="V259" i="2"/>
  <c r="AB265" i="2"/>
  <c r="AL265" i="2"/>
  <c r="AG265" i="2"/>
  <c r="V265" i="2"/>
  <c r="AQ284" i="2"/>
  <c r="AV284" i="2" s="1"/>
  <c r="BE284" i="2" s="1"/>
  <c r="AQ298" i="2"/>
  <c r="AV298" i="2" s="1"/>
  <c r="BE298" i="2" s="1"/>
  <c r="AQ433" i="2"/>
  <c r="AV433" i="2" s="1"/>
  <c r="BE433" i="2" s="1"/>
  <c r="AQ329" i="2"/>
  <c r="AV329" i="2" s="1"/>
  <c r="BE329" i="2" s="1"/>
  <c r="AQ337" i="2"/>
  <c r="AV337" i="2" s="1"/>
  <c r="BE337" i="2" s="1"/>
  <c r="AQ345" i="2"/>
  <c r="AV345" i="2" s="1"/>
  <c r="BE345" i="2" s="1"/>
  <c r="AQ353" i="2"/>
  <c r="AV353" i="2" s="1"/>
  <c r="BE353" i="2" s="1"/>
  <c r="AQ361" i="2"/>
  <c r="AV361" i="2" s="1"/>
  <c r="BE361" i="2" s="1"/>
  <c r="AQ369" i="2"/>
  <c r="AV369" i="2" s="1"/>
  <c r="BE369" i="2" s="1"/>
  <c r="AQ377" i="2"/>
  <c r="AV377" i="2" s="1"/>
  <c r="BE377" i="2" s="1"/>
  <c r="AQ385" i="2"/>
  <c r="AV385" i="2" s="1"/>
  <c r="BE385" i="2" s="1"/>
  <c r="AQ393" i="2"/>
  <c r="AV393" i="2" s="1"/>
  <c r="BE393" i="2" s="1"/>
  <c r="AQ401" i="2"/>
  <c r="AV401" i="2" s="1"/>
  <c r="BE401" i="2" s="1"/>
  <c r="AQ619" i="2"/>
  <c r="AV619" i="2" s="1"/>
  <c r="BE619" i="2" s="1"/>
  <c r="AQ936" i="2"/>
  <c r="AV936" i="2" s="1"/>
  <c r="BE936" i="2" s="1"/>
  <c r="BD448" i="2"/>
  <c r="AQ301" i="2"/>
  <c r="AV301" i="2" s="1"/>
  <c r="BE301" i="2" s="1"/>
  <c r="AB520" i="2"/>
  <c r="AL520" i="2"/>
  <c r="V520" i="2"/>
  <c r="AG520" i="2"/>
  <c r="AQ254" i="2"/>
  <c r="AV254" i="2" s="1"/>
  <c r="BE254" i="2" s="1"/>
  <c r="AL286" i="2"/>
  <c r="V286" i="2"/>
  <c r="AG286" i="2"/>
  <c r="AB286" i="2"/>
  <c r="AQ318" i="2"/>
  <c r="AV318" i="2" s="1"/>
  <c r="BE318" i="2" s="1"/>
  <c r="AH340" i="2"/>
  <c r="AC340" i="2"/>
  <c r="AM340" i="2"/>
  <c r="W340" i="2"/>
  <c r="AL406" i="2"/>
  <c r="V406" i="2"/>
  <c r="AG406" i="2"/>
  <c r="AB406" i="2"/>
  <c r="AQ538" i="2"/>
  <c r="AV538" i="2" s="1"/>
  <c r="BE538" i="2" s="1"/>
  <c r="AQ553" i="2"/>
  <c r="AV553" i="2" s="1"/>
  <c r="BE553" i="2" s="1"/>
  <c r="AL623" i="2"/>
  <c r="V623" i="2"/>
  <c r="AG623" i="2"/>
  <c r="AB623" i="2"/>
  <c r="AQ631" i="2"/>
  <c r="AV631" i="2" s="1"/>
  <c r="BE631" i="2" s="1"/>
  <c r="AL639" i="2"/>
  <c r="V639" i="2"/>
  <c r="AG639" i="2"/>
  <c r="AB639" i="2"/>
  <c r="AQ647" i="2"/>
  <c r="AV647" i="2" s="1"/>
  <c r="BE647" i="2" s="1"/>
  <c r="AL655" i="2"/>
  <c r="V655" i="2"/>
  <c r="AG655" i="2"/>
  <c r="AB655" i="2"/>
  <c r="AQ663" i="2"/>
  <c r="AV663" i="2" s="1"/>
  <c r="BE663" i="2" s="1"/>
  <c r="AL671" i="2"/>
  <c r="V671" i="2"/>
  <c r="AG671" i="2"/>
  <c r="AB671" i="2"/>
  <c r="AQ679" i="2"/>
  <c r="AV679" i="2" s="1"/>
  <c r="BE679" i="2" s="1"/>
  <c r="AL687" i="2"/>
  <c r="V687" i="2"/>
  <c r="AG687" i="2"/>
  <c r="AB687" i="2"/>
  <c r="AQ695" i="2"/>
  <c r="AV695" i="2" s="1"/>
  <c r="BE695" i="2" s="1"/>
  <c r="AL703" i="2"/>
  <c r="V703" i="2"/>
  <c r="AG703" i="2"/>
  <c r="AB703" i="2"/>
  <c r="AQ711" i="2"/>
  <c r="AV711" i="2" s="1"/>
  <c r="BE711" i="2" s="1"/>
  <c r="AG730" i="2"/>
  <c r="AL730" i="2"/>
  <c r="V730" i="2"/>
  <c r="AB730" i="2"/>
  <c r="AG746" i="2"/>
  <c r="AL746" i="2"/>
  <c r="V746" i="2"/>
  <c r="AB746" i="2"/>
  <c r="AG762" i="2"/>
  <c r="AL762" i="2"/>
  <c r="V762" i="2"/>
  <c r="AB762" i="2"/>
  <c r="AG778" i="2"/>
  <c r="AL778" i="2"/>
  <c r="V778" i="2"/>
  <c r="AB778" i="2"/>
  <c r="AG794" i="2"/>
  <c r="AL794" i="2"/>
  <c r="V794" i="2"/>
  <c r="AB794" i="2"/>
  <c r="AG810" i="2"/>
  <c r="AL810" i="2"/>
  <c r="V810" i="2"/>
  <c r="AB810" i="2"/>
  <c r="AG826" i="2"/>
  <c r="AL826" i="2"/>
  <c r="V826" i="2"/>
  <c r="AB826" i="2"/>
  <c r="AG842" i="2"/>
  <c r="AL842" i="2"/>
  <c r="V842" i="2"/>
  <c r="AB842" i="2"/>
  <c r="AG858" i="2"/>
  <c r="AL858" i="2"/>
  <c r="V858" i="2"/>
  <c r="AB858" i="2"/>
  <c r="AG874" i="2"/>
  <c r="AL874" i="2"/>
  <c r="V874" i="2"/>
  <c r="AB874" i="2"/>
  <c r="AQ729" i="2"/>
  <c r="AV729" i="2" s="1"/>
  <c r="BE729" i="2" s="1"/>
  <c r="AG777" i="2"/>
  <c r="AL777" i="2"/>
  <c r="V777" i="2"/>
  <c r="AB777" i="2"/>
  <c r="AQ793" i="2"/>
  <c r="AV793" i="2" s="1"/>
  <c r="BE793" i="2" s="1"/>
  <c r="AG841" i="2"/>
  <c r="AL841" i="2"/>
  <c r="V841" i="2"/>
  <c r="AB841" i="2"/>
  <c r="AQ857" i="2"/>
  <c r="AV857" i="2" s="1"/>
  <c r="BE857" i="2" s="1"/>
  <c r="AQ1048" i="2"/>
  <c r="AV1048" i="2" s="1"/>
  <c r="BE1048" i="2" s="1"/>
  <c r="AQ748" i="2"/>
  <c r="AV748" i="2" s="1"/>
  <c r="BE748" i="2" s="1"/>
  <c r="AG780" i="2"/>
  <c r="AB780" i="2"/>
  <c r="AL780" i="2"/>
  <c r="V780" i="2"/>
  <c r="AQ812" i="2"/>
  <c r="AV812" i="2" s="1"/>
  <c r="BE812" i="2" s="1"/>
  <c r="AG844" i="2"/>
  <c r="AB844" i="2"/>
  <c r="AL844" i="2"/>
  <c r="V844" i="2"/>
  <c r="AQ876" i="2"/>
  <c r="AV876" i="2" s="1"/>
  <c r="BE876" i="2" s="1"/>
  <c r="BD888" i="2"/>
  <c r="BD904" i="2"/>
  <c r="BD920" i="2"/>
  <c r="BD1049" i="2"/>
  <c r="AG1073" i="2"/>
  <c r="AL1073" i="2"/>
  <c r="V1073" i="2"/>
  <c r="AB1073" i="2"/>
  <c r="AQ1137" i="2"/>
  <c r="AV1137" i="2" s="1"/>
  <c r="BE1137" i="2" s="1"/>
  <c r="AQ1153" i="2"/>
  <c r="AV1153" i="2" s="1"/>
  <c r="BE1153" i="2" s="1"/>
  <c r="AQ1155" i="2"/>
  <c r="AV1155" i="2" s="1"/>
  <c r="BE1155" i="2" s="1"/>
  <c r="AQ1157" i="2"/>
  <c r="AV1157" i="2" s="1"/>
  <c r="BE1157" i="2" s="1"/>
  <c r="AQ1159" i="2"/>
  <c r="AV1159" i="2" s="1"/>
  <c r="BE1159" i="2" s="1"/>
  <c r="AQ1161" i="2"/>
  <c r="AV1161" i="2" s="1"/>
  <c r="BE1161" i="2" s="1"/>
  <c r="AQ1163" i="2"/>
  <c r="AV1163" i="2" s="1"/>
  <c r="BE1163" i="2" s="1"/>
  <c r="AQ1165" i="2"/>
  <c r="AV1165" i="2" s="1"/>
  <c r="BE1165" i="2" s="1"/>
  <c r="AQ1167" i="2"/>
  <c r="AV1167" i="2" s="1"/>
  <c r="BE1167" i="2" s="1"/>
  <c r="AQ1169" i="2"/>
  <c r="AV1169" i="2" s="1"/>
  <c r="BE1169" i="2" s="1"/>
  <c r="AQ1171" i="2"/>
  <c r="AV1171" i="2" s="1"/>
  <c r="BE1171" i="2" s="1"/>
  <c r="AQ1173" i="2"/>
  <c r="AV1173" i="2" s="1"/>
  <c r="BE1173" i="2" s="1"/>
  <c r="AQ1175" i="2"/>
  <c r="AV1175" i="2" s="1"/>
  <c r="BE1175" i="2" s="1"/>
  <c r="AB1185" i="2"/>
  <c r="AL1185" i="2"/>
  <c r="V1185" i="2"/>
  <c r="AG1185" i="2"/>
  <c r="BD1196" i="2"/>
  <c r="AQ1217" i="2"/>
  <c r="AV1217" i="2" s="1"/>
  <c r="BE1217" i="2" s="1"/>
  <c r="AB1249" i="2"/>
  <c r="AL1249" i="2"/>
  <c r="V1249" i="2"/>
  <c r="AG1249" i="2"/>
  <c r="BD1260" i="2"/>
  <c r="AQ1281" i="2"/>
  <c r="AV1281" i="2" s="1"/>
  <c r="BE1281" i="2" s="1"/>
  <c r="AB1313" i="2"/>
  <c r="AL1313" i="2"/>
  <c r="V1313" i="2"/>
  <c r="AG1313" i="2"/>
  <c r="BD1324" i="2"/>
  <c r="AQ1345" i="2"/>
  <c r="AV1345" i="2" s="1"/>
  <c r="BE1345" i="2" s="1"/>
  <c r="AQ1372" i="2"/>
  <c r="AV1372" i="2" s="1"/>
  <c r="BE1372" i="2" s="1"/>
  <c r="BD1096" i="2"/>
  <c r="AL1204" i="2"/>
  <c r="V1204" i="2"/>
  <c r="AG1204" i="2"/>
  <c r="AB1204" i="2"/>
  <c r="BD1215" i="2"/>
  <c r="AQ1236" i="2"/>
  <c r="AV1236" i="2" s="1"/>
  <c r="BE1236" i="2" s="1"/>
  <c r="AL1268" i="2"/>
  <c r="V1268" i="2"/>
  <c r="AG1268" i="2"/>
  <c r="AB1268" i="2"/>
  <c r="BD1279" i="2"/>
  <c r="AQ1300" i="2"/>
  <c r="AV1300" i="2" s="1"/>
  <c r="BE1300" i="2" s="1"/>
  <c r="AL1332" i="2"/>
  <c r="V1332" i="2"/>
  <c r="AG1332" i="2"/>
  <c r="AB1332" i="2"/>
  <c r="BD1343" i="2"/>
  <c r="AQ1364" i="2"/>
  <c r="AV1364" i="2" s="1"/>
  <c r="BE1364" i="2" s="1"/>
  <c r="AQ1059" i="2"/>
  <c r="AV1059" i="2" s="1"/>
  <c r="BE1059" i="2" s="1"/>
  <c r="AG1075" i="2"/>
  <c r="AL1075" i="2"/>
  <c r="V1075" i="2"/>
  <c r="AB1075" i="2"/>
  <c r="AB1207" i="2"/>
  <c r="AL1207" i="2"/>
  <c r="V1207" i="2"/>
  <c r="AG1207" i="2"/>
  <c r="BD1218" i="2"/>
  <c r="AQ1239" i="2"/>
  <c r="AV1239" i="2" s="1"/>
  <c r="BE1239" i="2" s="1"/>
  <c r="AB1271" i="2"/>
  <c r="AL1271" i="2"/>
  <c r="V1271" i="2"/>
  <c r="AG1271" i="2"/>
  <c r="BD1282" i="2"/>
  <c r="AQ1303" i="2"/>
  <c r="AV1303" i="2" s="1"/>
  <c r="BE1303" i="2" s="1"/>
  <c r="AB1335" i="2"/>
  <c r="AL1335" i="2"/>
  <c r="V1335" i="2"/>
  <c r="AG1335" i="2"/>
  <c r="BD1346" i="2"/>
  <c r="AQ1367" i="2"/>
  <c r="AV1367" i="2" s="1"/>
  <c r="BE1367" i="2" s="1"/>
  <c r="BD1110" i="2"/>
  <c r="BD1153" i="2"/>
  <c r="BD1166" i="2"/>
  <c r="BD1169" i="2"/>
  <c r="AL1202" i="2"/>
  <c r="V1202" i="2"/>
  <c r="AG1202" i="2"/>
  <c r="AB1202" i="2"/>
  <c r="BD1213" i="2"/>
  <c r="AQ1234" i="2"/>
  <c r="AV1234" i="2" s="1"/>
  <c r="BE1234" i="2" s="1"/>
  <c r="AL1266" i="2"/>
  <c r="V1266" i="2"/>
  <c r="AG1266" i="2"/>
  <c r="AB1266" i="2"/>
  <c r="BD1277" i="2"/>
  <c r="AQ1298" i="2"/>
  <c r="AV1298" i="2" s="1"/>
  <c r="BE1298" i="2" s="1"/>
  <c r="AL1330" i="2"/>
  <c r="V1330" i="2"/>
  <c r="AG1330" i="2"/>
  <c r="AB1330" i="2"/>
  <c r="BD1341" i="2"/>
  <c r="AQ1362" i="2"/>
  <c r="AV1362" i="2" s="1"/>
  <c r="BE1362" i="2" s="1"/>
  <c r="AQ1391" i="2"/>
  <c r="AV1391" i="2" s="1"/>
  <c r="BE1391" i="2" s="1"/>
  <c r="AB1441" i="2"/>
  <c r="AL1441" i="2"/>
  <c r="V1441" i="2"/>
  <c r="AG1441" i="2"/>
  <c r="BD1590" i="2"/>
  <c r="BD1373" i="2"/>
  <c r="AL1385" i="2"/>
  <c r="V1385" i="2"/>
  <c r="AG1385" i="2"/>
  <c r="AB1385" i="2"/>
  <c r="AQ1447" i="2"/>
  <c r="AV1447" i="2" s="1"/>
  <c r="BE1447" i="2" s="1"/>
  <c r="AB1451" i="2"/>
  <c r="AL1451" i="2"/>
  <c r="V1451" i="2"/>
  <c r="AG1451" i="2"/>
  <c r="AQ1463" i="2"/>
  <c r="AV1463" i="2" s="1"/>
  <c r="BE1463" i="2" s="1"/>
  <c r="AB1467" i="2"/>
  <c r="AL1467" i="2"/>
  <c r="V1467" i="2"/>
  <c r="AG1467" i="2"/>
  <c r="AQ1476" i="2"/>
  <c r="AV1476" i="2" s="1"/>
  <c r="BE1476" i="2" s="1"/>
  <c r="AQ1503" i="2"/>
  <c r="AV1503" i="2" s="1"/>
  <c r="BE1503" i="2" s="1"/>
  <c r="BD1519" i="2"/>
  <c r="BD1527" i="2"/>
  <c r="BD1543" i="2"/>
  <c r="AB1545" i="2"/>
  <c r="AL1545" i="2"/>
  <c r="V1545" i="2"/>
  <c r="AG1545" i="2"/>
  <c r="AQ1557" i="2"/>
  <c r="AV1557" i="2" s="1"/>
  <c r="BE1557" i="2" s="1"/>
  <c r="AB1561" i="2"/>
  <c r="AL1561" i="2"/>
  <c r="V1561" i="2"/>
  <c r="AG1561" i="2"/>
  <c r="AQ1573" i="2"/>
  <c r="AV1573" i="2" s="1"/>
  <c r="BE1573" i="2" s="1"/>
  <c r="AB1577" i="2"/>
  <c r="AL1577" i="2"/>
  <c r="V1577" i="2"/>
  <c r="AG1577" i="2"/>
  <c r="AL1604" i="2"/>
  <c r="V1604" i="2"/>
  <c r="AG1604" i="2"/>
  <c r="AB1604" i="2"/>
  <c r="AQ1611" i="2"/>
  <c r="AV1611" i="2" s="1"/>
  <c r="BE1611" i="2" s="1"/>
  <c r="AQ1636" i="2"/>
  <c r="AV1636" i="2" s="1"/>
  <c r="BE1636" i="2" s="1"/>
  <c r="AB1643" i="2"/>
  <c r="AL1643" i="2"/>
  <c r="V1643" i="2"/>
  <c r="AG1643" i="2"/>
  <c r="BD1646" i="2"/>
  <c r="BD1376" i="2"/>
  <c r="BD1447" i="2"/>
  <c r="BD1463" i="2"/>
  <c r="AB1485" i="2"/>
  <c r="AL1485" i="2"/>
  <c r="V1485" i="2"/>
  <c r="AG1485" i="2"/>
  <c r="AL1506" i="2"/>
  <c r="V1506" i="2"/>
  <c r="AB1506" i="2"/>
  <c r="AG1506" i="2"/>
  <c r="AB1517" i="2"/>
  <c r="AL1517" i="2"/>
  <c r="V1517" i="2"/>
  <c r="AG1517" i="2"/>
  <c r="AB1521" i="2"/>
  <c r="AL1521" i="2"/>
  <c r="V1521" i="2"/>
  <c r="AG1521" i="2"/>
  <c r="AB1525" i="2"/>
  <c r="AL1525" i="2"/>
  <c r="V1525" i="2"/>
  <c r="AG1525" i="2"/>
  <c r="BD1553" i="2"/>
  <c r="BD1569" i="2"/>
  <c r="AL1381" i="2"/>
  <c r="V1381" i="2"/>
  <c r="AG1381" i="2"/>
  <c r="AB1381" i="2"/>
  <c r="AQ1453" i="2"/>
  <c r="AV1453" i="2" s="1"/>
  <c r="BE1453" i="2" s="1"/>
  <c r="AB1457" i="2"/>
  <c r="AL1457" i="2"/>
  <c r="V1457" i="2"/>
  <c r="AG1457" i="2"/>
  <c r="BD1460" i="2"/>
  <c r="AQ1469" i="2"/>
  <c r="AV1469" i="2" s="1"/>
  <c r="BE1469" i="2" s="1"/>
  <c r="AB1473" i="2"/>
  <c r="AL1473" i="2"/>
  <c r="V1473" i="2"/>
  <c r="AG1473" i="2"/>
  <c r="AQ1487" i="2"/>
  <c r="AV1487" i="2" s="1"/>
  <c r="BE1487" i="2" s="1"/>
  <c r="AQ1502" i="2"/>
  <c r="AV1502" i="2" s="1"/>
  <c r="BE1502" i="2" s="1"/>
  <c r="AQ1581" i="2"/>
  <c r="AV1581" i="2" s="1"/>
  <c r="BE1581" i="2" s="1"/>
  <c r="AQ1598" i="2"/>
  <c r="AV1598" i="2" s="1"/>
  <c r="BE1598" i="2" s="1"/>
  <c r="AB1605" i="2"/>
  <c r="AL1605" i="2"/>
  <c r="V1605" i="2"/>
  <c r="AG1605" i="2"/>
  <c r="BD1608" i="2"/>
  <c r="AL1630" i="2"/>
  <c r="V1630" i="2"/>
  <c r="AG1630" i="2"/>
  <c r="AB1630" i="2"/>
  <c r="AQ1637" i="2"/>
  <c r="AV1637" i="2" s="1"/>
  <c r="BE1637" i="2" s="1"/>
  <c r="AQ1662" i="2"/>
  <c r="AV1662" i="2" s="1"/>
  <c r="BE1662" i="2" s="1"/>
  <c r="AR1771" i="2"/>
  <c r="AW1771" i="2" s="1"/>
  <c r="BF1771" i="2" s="1"/>
  <c r="BD1777" i="2"/>
  <c r="AR1819" i="2"/>
  <c r="AW1819" i="2" s="1"/>
  <c r="BF1819" i="2" s="1"/>
  <c r="BD1825" i="2"/>
  <c r="AC1835" i="2"/>
  <c r="AM1835" i="2"/>
  <c r="AH1835" i="2"/>
  <c r="W1835" i="2"/>
  <c r="AB1852" i="2"/>
  <c r="AL1852" i="2"/>
  <c r="V1852" i="2"/>
  <c r="AG1852" i="2"/>
  <c r="AQ1860" i="2"/>
  <c r="AV1860" i="2" s="1"/>
  <c r="BE1860" i="2" s="1"/>
  <c r="AQ1868" i="2"/>
  <c r="AV1868" i="2" s="1"/>
  <c r="BE1868" i="2" s="1"/>
  <c r="AQ1876" i="2"/>
  <c r="AV1876" i="2" s="1"/>
  <c r="BE1876" i="2" s="1"/>
  <c r="AQ1884" i="2"/>
  <c r="AV1884" i="2" s="1"/>
  <c r="BE1884" i="2" s="1"/>
  <c r="AQ1892" i="2"/>
  <c r="AV1892" i="2" s="1"/>
  <c r="BE1892" i="2" s="1"/>
  <c r="AQ1900" i="2"/>
  <c r="AV1900" i="2" s="1"/>
  <c r="BE1900" i="2" s="1"/>
  <c r="AQ1908" i="2"/>
  <c r="AV1908" i="2" s="1"/>
  <c r="BE1908" i="2" s="1"/>
  <c r="AQ1916" i="2"/>
  <c r="AV1916" i="2" s="1"/>
  <c r="BE1916" i="2" s="1"/>
  <c r="AQ1924" i="2"/>
  <c r="AV1924" i="2" s="1"/>
  <c r="BE1924" i="2" s="1"/>
  <c r="AQ1932" i="2"/>
  <c r="AV1932" i="2" s="1"/>
  <c r="BE1932" i="2" s="1"/>
  <c r="AQ1940" i="2"/>
  <c r="AV1940" i="2" s="1"/>
  <c r="BE1940" i="2" s="1"/>
  <c r="AQ1948" i="2"/>
  <c r="AV1948" i="2" s="1"/>
  <c r="BE1948" i="2" s="1"/>
  <c r="AQ1698" i="2"/>
  <c r="AV1698" i="2" s="1"/>
  <c r="BE1698" i="2" s="1"/>
  <c r="AB1714" i="2"/>
  <c r="AL1714" i="2"/>
  <c r="V1714" i="2"/>
  <c r="AG1714" i="2"/>
  <c r="AG1758" i="2"/>
  <c r="V1758" i="2"/>
  <c r="AL1758" i="2"/>
  <c r="AB1758" i="2"/>
  <c r="AG1766" i="2"/>
  <c r="V1766" i="2"/>
  <c r="AL1766" i="2"/>
  <c r="AB1766" i="2"/>
  <c r="AG1774" i="2"/>
  <c r="V1774" i="2"/>
  <c r="AL1774" i="2"/>
  <c r="AB1774" i="2"/>
  <c r="AG1782" i="2"/>
  <c r="V1782" i="2"/>
  <c r="AL1782" i="2"/>
  <c r="AB1782" i="2"/>
  <c r="AG1790" i="2"/>
  <c r="V1790" i="2"/>
  <c r="AL1790" i="2"/>
  <c r="AB1790" i="2"/>
  <c r="AG1798" i="2"/>
  <c r="V1798" i="2"/>
  <c r="AL1798" i="2"/>
  <c r="AB1798" i="2"/>
  <c r="AG1806" i="2"/>
  <c r="V1806" i="2"/>
  <c r="AL1806" i="2"/>
  <c r="AB1806" i="2"/>
  <c r="AG1814" i="2"/>
  <c r="V1814" i="2"/>
  <c r="AL1814" i="2"/>
  <c r="AB1814" i="2"/>
  <c r="AG1822" i="2"/>
  <c r="V1822" i="2"/>
  <c r="AL1822" i="2"/>
  <c r="AB1822" i="2"/>
  <c r="AG1830" i="2"/>
  <c r="V1830" i="2"/>
  <c r="AL1830" i="2"/>
  <c r="AB1830" i="2"/>
  <c r="AQ1842" i="2"/>
  <c r="AV1842" i="2" s="1"/>
  <c r="BE1842" i="2" s="1"/>
  <c r="AQ1812" i="2"/>
  <c r="AV1812" i="2" s="1"/>
  <c r="BE1812" i="2" s="1"/>
  <c r="AL1828" i="2"/>
  <c r="AG1828" i="2"/>
  <c r="AB1828" i="2"/>
  <c r="V1828" i="2"/>
  <c r="BD1886" i="2"/>
  <c r="BD1950" i="2"/>
  <c r="AQ1865" i="2"/>
  <c r="AV1865" i="2" s="1"/>
  <c r="BE1865" i="2" s="1"/>
  <c r="AL1873" i="2"/>
  <c r="V1873" i="2"/>
  <c r="AG1873" i="2"/>
  <c r="AB1873" i="2"/>
  <c r="BD1876" i="2"/>
  <c r="AQ1881" i="2"/>
  <c r="AV1881" i="2" s="1"/>
  <c r="BE1881" i="2" s="1"/>
  <c r="AL1889" i="2"/>
  <c r="V1889" i="2"/>
  <c r="AG1889" i="2"/>
  <c r="AB1889" i="2"/>
  <c r="BD1892" i="2"/>
  <c r="AQ1897" i="2"/>
  <c r="AV1897" i="2" s="1"/>
  <c r="BE1897" i="2" s="1"/>
  <c r="AL1905" i="2"/>
  <c r="V1905" i="2"/>
  <c r="AG1905" i="2"/>
  <c r="AB1905" i="2"/>
  <c r="BD1908" i="2"/>
  <c r="AQ1913" i="2"/>
  <c r="AV1913" i="2" s="1"/>
  <c r="BE1913" i="2" s="1"/>
  <c r="AL1921" i="2"/>
  <c r="V1921" i="2"/>
  <c r="AG1921" i="2"/>
  <c r="AB1921" i="2"/>
  <c r="BD1924" i="2"/>
  <c r="AQ1929" i="2"/>
  <c r="AV1929" i="2" s="1"/>
  <c r="BE1929" i="2" s="1"/>
  <c r="AL1937" i="2"/>
  <c r="V1937" i="2"/>
  <c r="AG1937" i="2"/>
  <c r="AB1937" i="2"/>
  <c r="BD1940" i="2"/>
  <c r="AQ1945" i="2"/>
  <c r="AV1945" i="2" s="1"/>
  <c r="BE1945" i="2" s="1"/>
  <c r="AL1953" i="2"/>
  <c r="V1953" i="2"/>
  <c r="AG1953" i="2"/>
  <c r="AB1953" i="2"/>
  <c r="BD1956" i="2"/>
  <c r="AQ1961" i="2"/>
  <c r="AV1961" i="2" s="1"/>
  <c r="BE1961" i="2" s="1"/>
  <c r="AL1969" i="2"/>
  <c r="V1969" i="2"/>
  <c r="AG1969" i="2"/>
  <c r="AB1969" i="2"/>
  <c r="BD1972" i="2"/>
  <c r="AQ1977" i="2"/>
  <c r="AV1977" i="2" s="1"/>
  <c r="BE1977" i="2" s="1"/>
  <c r="AL1985" i="2"/>
  <c r="V1985" i="2"/>
  <c r="AG1985" i="2"/>
  <c r="AB1985" i="2"/>
  <c r="BD1988" i="2"/>
  <c r="AQ1993" i="2"/>
  <c r="AV1993" i="2" s="1"/>
  <c r="BE1993" i="2" s="1"/>
  <c r="AL2001" i="2"/>
  <c r="V2001" i="2"/>
  <c r="AG2001" i="2"/>
  <c r="AB2001" i="2"/>
  <c r="BD2004" i="2"/>
  <c r="AQ2009" i="2"/>
  <c r="AV2009" i="2" s="1"/>
  <c r="BE2009" i="2" s="1"/>
  <c r="AL2017" i="2"/>
  <c r="V2017" i="2"/>
  <c r="AG2017" i="2"/>
  <c r="AB2017" i="2"/>
  <c r="AH2020" i="2"/>
  <c r="AC2020" i="2"/>
  <c r="AM2020" i="2"/>
  <c r="W2020" i="2"/>
  <c r="BD2024" i="2"/>
  <c r="BD2032" i="2"/>
  <c r="BD2040" i="2"/>
  <c r="BD1857" i="2"/>
  <c r="BD1873" i="2"/>
  <c r="BD1889" i="2"/>
  <c r="BD1905" i="2"/>
  <c r="BD1921" i="2"/>
  <c r="BD1937" i="2"/>
  <c r="BD1953" i="2"/>
  <c r="BD1969" i="2"/>
  <c r="BD1985" i="2"/>
  <c r="BD2001" i="2"/>
  <c r="BD2017" i="2"/>
  <c r="AL1955" i="2"/>
  <c r="V1955" i="2"/>
  <c r="AG1955" i="2"/>
  <c r="AB1955" i="2"/>
  <c r="BD1958" i="2"/>
  <c r="AQ1963" i="2"/>
  <c r="AV1963" i="2" s="1"/>
  <c r="BE1963" i="2" s="1"/>
  <c r="AL1971" i="2"/>
  <c r="V1971" i="2"/>
  <c r="AG1971" i="2"/>
  <c r="AB1971" i="2"/>
  <c r="BD1974" i="2"/>
  <c r="AQ1979" i="2"/>
  <c r="AV1979" i="2" s="1"/>
  <c r="BE1979" i="2" s="1"/>
  <c r="AL1987" i="2"/>
  <c r="V1987" i="2"/>
  <c r="AG1987" i="2"/>
  <c r="AB1987" i="2"/>
  <c r="BD1990" i="2"/>
  <c r="AQ1995" i="2"/>
  <c r="AV1995" i="2" s="1"/>
  <c r="BE1995" i="2" s="1"/>
  <c r="AL2003" i="2"/>
  <c r="V2003" i="2"/>
  <c r="AG2003" i="2"/>
  <c r="AB2003" i="2"/>
  <c r="BD2006" i="2"/>
  <c r="AQ2011" i="2"/>
  <c r="AV2011" i="2" s="1"/>
  <c r="BE2011" i="2" s="1"/>
  <c r="AQ2019" i="2"/>
  <c r="AV2019" i="2" s="1"/>
  <c r="BE2019" i="2" s="1"/>
  <c r="AB2050" i="2"/>
  <c r="AL2050" i="2"/>
  <c r="V2050" i="2"/>
  <c r="AG2050" i="2"/>
  <c r="AB2054" i="2"/>
  <c r="AL2054" i="2"/>
  <c r="V2054" i="2"/>
  <c r="AG2054" i="2"/>
  <c r="AB2058" i="2"/>
  <c r="AL2058" i="2"/>
  <c r="V2058" i="2"/>
  <c r="AG2058" i="2"/>
  <c r="AB2062" i="2"/>
  <c r="AL2062" i="2"/>
  <c r="V2062" i="2"/>
  <c r="AG2062" i="2"/>
  <c r="AB2066" i="2"/>
  <c r="AL2066" i="2"/>
  <c r="V2066" i="2"/>
  <c r="AG2066" i="2"/>
  <c r="AB2070" i="2"/>
  <c r="AL2070" i="2"/>
  <c r="V2070" i="2"/>
  <c r="AG2070" i="2"/>
  <c r="AB2074" i="2"/>
  <c r="AL2074" i="2"/>
  <c r="V2074" i="2"/>
  <c r="AG2074" i="2"/>
  <c r="AB2078" i="2"/>
  <c r="AL2078" i="2"/>
  <c r="V2078" i="2"/>
  <c r="AG2078" i="2"/>
  <c r="AB2082" i="2"/>
  <c r="AL2082" i="2"/>
  <c r="V2082" i="2"/>
  <c r="AG2082" i="2"/>
  <c r="AB2086" i="2"/>
  <c r="AL2086" i="2"/>
  <c r="V2086" i="2"/>
  <c r="AG2086" i="2"/>
  <c r="AB2090" i="2"/>
  <c r="AL2090" i="2"/>
  <c r="V2090" i="2"/>
  <c r="AG2090" i="2"/>
  <c r="AB2094" i="2"/>
  <c r="AL2094" i="2"/>
  <c r="V2094" i="2"/>
  <c r="AG2094" i="2"/>
  <c r="AB2098" i="2"/>
  <c r="AL2098" i="2"/>
  <c r="V2098" i="2"/>
  <c r="AG2098" i="2"/>
  <c r="AB2102" i="2"/>
  <c r="AL2102" i="2"/>
  <c r="V2102" i="2"/>
  <c r="AG2102" i="2"/>
  <c r="AB2106" i="2"/>
  <c r="AL2106" i="2"/>
  <c r="V2106" i="2"/>
  <c r="AG2106" i="2"/>
  <c r="AQ2145" i="2"/>
  <c r="AV2145" i="2" s="1"/>
  <c r="BE2145" i="2" s="1"/>
  <c r="BD2027" i="2"/>
  <c r="AQ2052" i="2"/>
  <c r="AV2052" i="2" s="1"/>
  <c r="BE2052" i="2" s="1"/>
  <c r="BD2058" i="2"/>
  <c r="AQ2075" i="2"/>
  <c r="AV2075" i="2" s="1"/>
  <c r="BE2075" i="2" s="1"/>
  <c r="AB2084" i="2"/>
  <c r="AL2084" i="2"/>
  <c r="V2084" i="2"/>
  <c r="AG2084" i="2"/>
  <c r="AL2107" i="2"/>
  <c r="V2107" i="2"/>
  <c r="AG2107" i="2"/>
  <c r="AB2107" i="2"/>
  <c r="AG2151" i="2"/>
  <c r="AL2151" i="2"/>
  <c r="V2151" i="2"/>
  <c r="AB2151" i="2"/>
  <c r="AG2153" i="2"/>
  <c r="AL2153" i="2"/>
  <c r="V2153" i="2"/>
  <c r="AB2153" i="2"/>
  <c r="BD2158" i="2"/>
  <c r="AQ2179" i="2"/>
  <c r="AV2179" i="2" s="1"/>
  <c r="BE2179" i="2" s="1"/>
  <c r="BD2157" i="2"/>
  <c r="AQ2178" i="2"/>
  <c r="AV2178" i="2" s="1"/>
  <c r="BE2178" i="2" s="1"/>
  <c r="AQ2144" i="2"/>
  <c r="AV2144" i="2" s="1"/>
  <c r="BE2144" i="2" s="1"/>
  <c r="AG2169" i="2"/>
  <c r="AB2169" i="2"/>
  <c r="AL2169" i="2"/>
  <c r="V2169" i="2"/>
  <c r="BD2180" i="2"/>
  <c r="AL2164" i="2"/>
  <c r="V2164" i="2"/>
  <c r="AG2164" i="2"/>
  <c r="AB2164" i="2"/>
  <c r="BD2175" i="2"/>
  <c r="AQ2196" i="2"/>
  <c r="AV2196" i="2" s="1"/>
  <c r="BE2196" i="2" s="1"/>
  <c r="AG2393" i="2"/>
  <c r="AL2393" i="2"/>
  <c r="V2393" i="2"/>
  <c r="AB2393" i="2"/>
  <c r="AG2401" i="2"/>
  <c r="AL2401" i="2"/>
  <c r="V2401" i="2"/>
  <c r="AB2401" i="2"/>
  <c r="AL2322" i="2"/>
  <c r="V2322" i="2"/>
  <c r="AG2322" i="2"/>
  <c r="AB2322" i="2"/>
  <c r="AL2330" i="2"/>
  <c r="V2330" i="2"/>
  <c r="AG2330" i="2"/>
  <c r="AB2330" i="2"/>
  <c r="AL2338" i="2"/>
  <c r="V2338" i="2"/>
  <c r="AG2338" i="2"/>
  <c r="AB2338" i="2"/>
  <c r="AL2346" i="2"/>
  <c r="V2346" i="2"/>
  <c r="AG2346" i="2"/>
  <c r="AB2346" i="2"/>
  <c r="AL2354" i="2"/>
  <c r="V2354" i="2"/>
  <c r="AG2354" i="2"/>
  <c r="AB2354" i="2"/>
  <c r="AL2362" i="2"/>
  <c r="V2362" i="2"/>
  <c r="AG2362" i="2"/>
  <c r="AB2362" i="2"/>
  <c r="AL2370" i="2"/>
  <c r="V2370" i="2"/>
  <c r="AG2370" i="2"/>
  <c r="AB2370" i="2"/>
  <c r="AL2378" i="2"/>
  <c r="V2378" i="2"/>
  <c r="AG2378" i="2"/>
  <c r="AB2378" i="2"/>
  <c r="AL2386" i="2"/>
  <c r="V2386" i="2"/>
  <c r="AG2386" i="2"/>
  <c r="AB2386" i="2"/>
  <c r="AQ2200" i="2"/>
  <c r="AV2200" i="2" s="1"/>
  <c r="BE2200" i="2" s="1"/>
  <c r="AQ2204" i="2"/>
  <c r="AV2204" i="2" s="1"/>
  <c r="BE2204" i="2" s="1"/>
  <c r="AQ2208" i="2"/>
  <c r="AV2208" i="2" s="1"/>
  <c r="BE2208" i="2" s="1"/>
  <c r="AQ2212" i="2"/>
  <c r="AV2212" i="2" s="1"/>
  <c r="BE2212" i="2" s="1"/>
  <c r="AQ2216" i="2"/>
  <c r="AV2216" i="2" s="1"/>
  <c r="BE2216" i="2" s="1"/>
  <c r="AQ2220" i="2"/>
  <c r="AV2220" i="2" s="1"/>
  <c r="BE2220" i="2" s="1"/>
  <c r="AQ2224" i="2"/>
  <c r="AV2224" i="2" s="1"/>
  <c r="BE2224" i="2" s="1"/>
  <c r="AQ2228" i="2"/>
  <c r="AV2228" i="2" s="1"/>
  <c r="BE2228" i="2" s="1"/>
  <c r="AQ2232" i="2"/>
  <c r="AV2232" i="2" s="1"/>
  <c r="BE2232" i="2" s="1"/>
  <c r="AQ2236" i="2"/>
  <c r="AV2236" i="2" s="1"/>
  <c r="BE2236" i="2" s="1"/>
  <c r="AQ2240" i="2"/>
  <c r="AV2240" i="2" s="1"/>
  <c r="BE2240" i="2" s="1"/>
  <c r="AQ2244" i="2"/>
  <c r="AV2244" i="2" s="1"/>
  <c r="BE2244" i="2" s="1"/>
  <c r="AQ2248" i="2"/>
  <c r="AV2248" i="2" s="1"/>
  <c r="BE2248" i="2" s="1"/>
  <c r="AQ2252" i="2"/>
  <c r="AV2252" i="2" s="1"/>
  <c r="BE2252" i="2" s="1"/>
  <c r="AQ2256" i="2"/>
  <c r="AV2256" i="2" s="1"/>
  <c r="BE2256" i="2" s="1"/>
  <c r="AQ2260" i="2"/>
  <c r="AV2260" i="2" s="1"/>
  <c r="BE2260" i="2" s="1"/>
  <c r="AQ2264" i="2"/>
  <c r="AV2264" i="2" s="1"/>
  <c r="BE2264" i="2" s="1"/>
  <c r="AQ2268" i="2"/>
  <c r="AV2268" i="2" s="1"/>
  <c r="BE2268" i="2" s="1"/>
  <c r="AQ2272" i="2"/>
  <c r="AV2272" i="2" s="1"/>
  <c r="BE2272" i="2" s="1"/>
  <c r="AQ2276" i="2"/>
  <c r="AV2276" i="2" s="1"/>
  <c r="BE2276" i="2" s="1"/>
  <c r="AQ2280" i="2"/>
  <c r="AV2280" i="2" s="1"/>
  <c r="BE2280" i="2" s="1"/>
  <c r="AQ2284" i="2"/>
  <c r="AV2284" i="2" s="1"/>
  <c r="BE2284" i="2" s="1"/>
  <c r="AQ2288" i="2"/>
  <c r="AV2288" i="2" s="1"/>
  <c r="BE2288" i="2" s="1"/>
  <c r="AQ2292" i="2"/>
  <c r="AV2292" i="2" s="1"/>
  <c r="BE2292" i="2" s="1"/>
  <c r="AQ2296" i="2"/>
  <c r="AV2296" i="2" s="1"/>
  <c r="BE2296" i="2" s="1"/>
  <c r="AQ2300" i="2"/>
  <c r="AV2300" i="2" s="1"/>
  <c r="BE2300" i="2" s="1"/>
  <c r="AQ2304" i="2"/>
  <c r="AV2304" i="2" s="1"/>
  <c r="BE2304" i="2" s="1"/>
  <c r="AQ2308" i="2"/>
  <c r="AV2308" i="2" s="1"/>
  <c r="BE2308" i="2" s="1"/>
  <c r="AQ2312" i="2"/>
  <c r="AV2312" i="2" s="1"/>
  <c r="BE2312" i="2" s="1"/>
  <c r="AB2315" i="2"/>
  <c r="AL2315" i="2"/>
  <c r="V2315" i="2"/>
  <c r="AG2315" i="2"/>
  <c r="AB2323" i="2"/>
  <c r="AL2323" i="2"/>
  <c r="V2323" i="2"/>
  <c r="AG2323" i="2"/>
  <c r="AB2331" i="2"/>
  <c r="AL2331" i="2"/>
  <c r="V2331" i="2"/>
  <c r="AG2331" i="2"/>
  <c r="AB2339" i="2"/>
  <c r="AL2339" i="2"/>
  <c r="V2339" i="2"/>
  <c r="AG2339" i="2"/>
  <c r="AB2347" i="2"/>
  <c r="AL2347" i="2"/>
  <c r="V2347" i="2"/>
  <c r="AG2347" i="2"/>
  <c r="AB2355" i="2"/>
  <c r="AL2355" i="2"/>
  <c r="V2355" i="2"/>
  <c r="AG2355" i="2"/>
  <c r="AB2363" i="2"/>
  <c r="AL2363" i="2"/>
  <c r="V2363" i="2"/>
  <c r="AG2363" i="2"/>
  <c r="AB2371" i="2"/>
  <c r="AL2371" i="2"/>
  <c r="V2371" i="2"/>
  <c r="AG2371" i="2"/>
  <c r="AB2379" i="2"/>
  <c r="AL2379" i="2"/>
  <c r="V2379" i="2"/>
  <c r="AG2379" i="2"/>
  <c r="AB2387" i="2"/>
  <c r="AL2387" i="2"/>
  <c r="V2387" i="2"/>
  <c r="AG2387" i="2"/>
  <c r="AG2413" i="2"/>
  <c r="AB2413" i="2"/>
  <c r="AL2413" i="2"/>
  <c r="V2413" i="2"/>
  <c r="BD2424" i="2"/>
  <c r="AQ2445" i="2"/>
  <c r="AV2445" i="2" s="1"/>
  <c r="BE2445" i="2" s="1"/>
  <c r="AQ2412" i="2"/>
  <c r="AV2412" i="2" s="1"/>
  <c r="BE2412" i="2" s="1"/>
  <c r="AL2444" i="2"/>
  <c r="V2444" i="2"/>
  <c r="AG2444" i="2"/>
  <c r="AB2444" i="2"/>
  <c r="BD2455" i="2"/>
  <c r="AQ2398" i="2"/>
  <c r="AV2398" i="2" s="1"/>
  <c r="BE2398" i="2" s="1"/>
  <c r="BD2414" i="2"/>
  <c r="AQ2435" i="2"/>
  <c r="AV2435" i="2" s="1"/>
  <c r="BE2435" i="2" s="1"/>
  <c r="AG2467" i="2"/>
  <c r="AB2467" i="2"/>
  <c r="AL2467" i="2"/>
  <c r="V2467" i="2"/>
  <c r="AL2438" i="2"/>
  <c r="V2438" i="2"/>
  <c r="AG2438" i="2"/>
  <c r="AB2438" i="2"/>
  <c r="BD2449" i="2"/>
  <c r="AQ2470" i="2"/>
  <c r="AV2470" i="2" s="1"/>
  <c r="BE2470" i="2" s="1"/>
  <c r="AB2478" i="2"/>
  <c r="AL2478" i="2"/>
  <c r="V2478" i="2"/>
  <c r="AG2478" i="2"/>
  <c r="AB2482" i="2"/>
  <c r="AL2482" i="2"/>
  <c r="V2482" i="2"/>
  <c r="AG2482" i="2"/>
  <c r="AB2486" i="2"/>
  <c r="AL2486" i="2"/>
  <c r="V2486" i="2"/>
  <c r="AG2486" i="2"/>
  <c r="AG2396" i="2"/>
  <c r="AL2396" i="2"/>
  <c r="V2396" i="2"/>
  <c r="AB2396" i="2"/>
  <c r="AQ2421" i="2"/>
  <c r="AV2421" i="2" s="1"/>
  <c r="BE2421" i="2" s="1"/>
  <c r="AQ2436" i="2"/>
  <c r="AV2436" i="2" s="1"/>
  <c r="BE2436" i="2" s="1"/>
  <c r="BD2422" i="2"/>
  <c r="AL2446" i="2"/>
  <c r="V2446" i="2"/>
  <c r="AG2446" i="2"/>
  <c r="AB2446" i="2"/>
  <c r="BD2457" i="2"/>
  <c r="AQ2475" i="2"/>
  <c r="AV2475" i="2" s="1"/>
  <c r="BE2475" i="2" s="1"/>
  <c r="AL2489" i="2"/>
  <c r="V2489" i="2"/>
  <c r="AB2489" i="2"/>
  <c r="AG2489" i="2"/>
  <c r="AL2497" i="2"/>
  <c r="V2497" i="2"/>
  <c r="AB2497" i="2"/>
  <c r="AG2497" i="2"/>
  <c r="BD2477" i="2"/>
  <c r="AL2328" i="2"/>
  <c r="V2328" i="2"/>
  <c r="AG2328" i="2"/>
  <c r="AB2328" i="2"/>
  <c r="AL2352" i="2"/>
  <c r="V2352" i="2"/>
  <c r="AG2352" i="2"/>
  <c r="AB2352" i="2"/>
  <c r="AL2360" i="2"/>
  <c r="V2360" i="2"/>
  <c r="AG2360" i="2"/>
  <c r="AB2360" i="2"/>
  <c r="AQ2229" i="2"/>
  <c r="AV2229" i="2" s="1"/>
  <c r="BE2229" i="2" s="1"/>
  <c r="AQ2329" i="2"/>
  <c r="AV2329" i="2" s="1"/>
  <c r="BE2329" i="2" s="1"/>
  <c r="AQ2337" i="2"/>
  <c r="AV2337" i="2" s="1"/>
  <c r="BE2337" i="2" s="1"/>
  <c r="AQ2353" i="2"/>
  <c r="AV2353" i="2" s="1"/>
  <c r="BE2353" i="2" s="1"/>
  <c r="AQ2369" i="2"/>
  <c r="AV2369" i="2" s="1"/>
  <c r="BE2369" i="2" s="1"/>
  <c r="AQ2377" i="2"/>
  <c r="AV2377" i="2" s="1"/>
  <c r="BE2377" i="2" s="1"/>
  <c r="BD2412" i="2"/>
  <c r="AQ2433" i="2"/>
  <c r="AV2433" i="2" s="1"/>
  <c r="BE2433" i="2" s="1"/>
  <c r="AQ2449" i="2"/>
  <c r="AV2449" i="2" s="1"/>
  <c r="BE2449" i="2" s="1"/>
  <c r="AQ2465" i="2"/>
  <c r="AV2465" i="2" s="1"/>
  <c r="BE2465" i="2" s="1"/>
  <c r="BD2427" i="2"/>
  <c r="AQ2455" i="2"/>
  <c r="AV2455" i="2" s="1"/>
  <c r="BE2455" i="2" s="1"/>
  <c r="AL2442" i="2"/>
  <c r="V2442" i="2"/>
  <c r="AG2442" i="2"/>
  <c r="AB2442" i="2"/>
  <c r="BD2453" i="2"/>
  <c r="AQ2491" i="2"/>
  <c r="AV2491" i="2" s="1"/>
  <c r="BE2491" i="2" s="1"/>
  <c r="AQ2499" i="2"/>
  <c r="AV2499" i="2" s="1"/>
  <c r="BE2499" i="2" s="1"/>
  <c r="BD2490" i="2"/>
  <c r="BD2501" i="2"/>
  <c r="AQ60" i="2"/>
  <c r="AV60" i="2" s="1"/>
  <c r="BE60" i="2" s="1"/>
  <c r="AB27" i="2"/>
  <c r="AL27" i="2"/>
  <c r="AG27" i="2"/>
  <c r="V27" i="2"/>
  <c r="AB69" i="2"/>
  <c r="V69" i="2"/>
  <c r="AG69" i="2"/>
  <c r="AL69" i="2"/>
  <c r="AL86" i="2"/>
  <c r="V86" i="2"/>
  <c r="AB86" i="2"/>
  <c r="AG86" i="2"/>
  <c r="AH104" i="2"/>
  <c r="AC104" i="2"/>
  <c r="AM104" i="2"/>
  <c r="W104" i="2"/>
  <c r="AQ26" i="2"/>
  <c r="AV26" i="2" s="1"/>
  <c r="BE26" i="2" s="1"/>
  <c r="AQ32" i="2"/>
  <c r="AV32" i="2" s="1"/>
  <c r="BE32" i="2" s="1"/>
  <c r="AB55" i="2"/>
  <c r="AG55" i="2"/>
  <c r="AL55" i="2"/>
  <c r="V55" i="2"/>
  <c r="AB65" i="2"/>
  <c r="AG65" i="2"/>
  <c r="AL65" i="2"/>
  <c r="V65" i="2"/>
  <c r="AQ109" i="2"/>
  <c r="AV109" i="2" s="1"/>
  <c r="BE109" i="2" s="1"/>
  <c r="AQ138" i="2"/>
  <c r="AV138" i="2" s="1"/>
  <c r="BE138" i="2" s="1"/>
  <c r="AQ191" i="2"/>
  <c r="AV191" i="2" s="1"/>
  <c r="BE191" i="2" s="1"/>
  <c r="AQ205" i="2"/>
  <c r="AV205" i="2" s="1"/>
  <c r="BE205" i="2" s="1"/>
  <c r="AR264" i="2"/>
  <c r="AW264" i="2" s="1"/>
  <c r="BF264" i="2" s="1"/>
  <c r="AQ408" i="2"/>
  <c r="AV408" i="2" s="1"/>
  <c r="BE408" i="2" s="1"/>
  <c r="AB431" i="2"/>
  <c r="AL431" i="2"/>
  <c r="AG431" i="2"/>
  <c r="V431" i="2"/>
  <c r="AQ498" i="2"/>
  <c r="AV498" i="2" s="1"/>
  <c r="BE498" i="2" s="1"/>
  <c r="AQ502" i="2"/>
  <c r="AV502" i="2" s="1"/>
  <c r="BE502" i="2" s="1"/>
  <c r="AQ506" i="2"/>
  <c r="AV506" i="2" s="1"/>
  <c r="BE506" i="2" s="1"/>
  <c r="AL82" i="2"/>
  <c r="V82" i="2"/>
  <c r="AG82" i="2"/>
  <c r="AB82" i="2"/>
  <c r="AL88" i="2"/>
  <c r="V88" i="2"/>
  <c r="AB88" i="2"/>
  <c r="AG88" i="2"/>
  <c r="AL94" i="2"/>
  <c r="V94" i="2"/>
  <c r="AB94" i="2"/>
  <c r="AG94" i="2"/>
  <c r="AB129" i="2"/>
  <c r="AL129" i="2"/>
  <c r="AG129" i="2"/>
  <c r="V129" i="2"/>
  <c r="AQ145" i="2"/>
  <c r="AV145" i="2" s="1"/>
  <c r="BE145" i="2" s="1"/>
  <c r="AB193" i="2"/>
  <c r="AL193" i="2"/>
  <c r="AG193" i="2"/>
  <c r="V193" i="2"/>
  <c r="AL206" i="2"/>
  <c r="V206" i="2"/>
  <c r="AG206" i="2"/>
  <c r="AB206" i="2"/>
  <c r="AB209" i="2"/>
  <c r="AL209" i="2"/>
  <c r="AG209" i="2"/>
  <c r="V209" i="2"/>
  <c r="AQ228" i="2"/>
  <c r="AV228" i="2" s="1"/>
  <c r="BE228" i="2" s="1"/>
  <c r="AQ242" i="2"/>
  <c r="AV242" i="2" s="1"/>
  <c r="BE242" i="2" s="1"/>
  <c r="AB267" i="2"/>
  <c r="AL267" i="2"/>
  <c r="AG267" i="2"/>
  <c r="V267" i="2"/>
  <c r="AB273" i="2"/>
  <c r="AL273" i="2"/>
  <c r="AG273" i="2"/>
  <c r="V273" i="2"/>
  <c r="AQ292" i="2"/>
  <c r="AV292" i="2" s="1"/>
  <c r="BE292" i="2" s="1"/>
  <c r="AQ306" i="2"/>
  <c r="AV306" i="2" s="1"/>
  <c r="BE306" i="2" s="1"/>
  <c r="AB417" i="2"/>
  <c r="AL417" i="2"/>
  <c r="AG417" i="2"/>
  <c r="V417" i="2"/>
  <c r="AL466" i="2"/>
  <c r="V466" i="2"/>
  <c r="AG466" i="2"/>
  <c r="AB466" i="2"/>
  <c r="AB25" i="2"/>
  <c r="AL25" i="2"/>
  <c r="V25" i="2"/>
  <c r="AG25" i="2"/>
  <c r="AB7" i="2"/>
  <c r="V7" i="2"/>
  <c r="AG7" i="2"/>
  <c r="AL7" i="2"/>
  <c r="AB39" i="2"/>
  <c r="V39" i="2"/>
  <c r="AG39" i="2"/>
  <c r="AL39" i="2"/>
  <c r="AB71" i="2"/>
  <c r="V71" i="2"/>
  <c r="AG71" i="2"/>
  <c r="AL71" i="2"/>
  <c r="AB103" i="2"/>
  <c r="AL103" i="2"/>
  <c r="AG103" i="2"/>
  <c r="V103" i="2"/>
  <c r="AQ117" i="2"/>
  <c r="AV117" i="2" s="1"/>
  <c r="BE117" i="2" s="1"/>
  <c r="AB135" i="2"/>
  <c r="AL135" i="2"/>
  <c r="AG135" i="2"/>
  <c r="V135" i="2"/>
  <c r="AQ149" i="2"/>
  <c r="AV149" i="2" s="1"/>
  <c r="BE149" i="2" s="1"/>
  <c r="AB167" i="2"/>
  <c r="AL167" i="2"/>
  <c r="AG167" i="2"/>
  <c r="V167" i="2"/>
  <c r="AQ181" i="2"/>
  <c r="AV181" i="2" s="1"/>
  <c r="BE181" i="2" s="1"/>
  <c r="AB199" i="2"/>
  <c r="AL199" i="2"/>
  <c r="AG199" i="2"/>
  <c r="V199" i="2"/>
  <c r="AL236" i="2"/>
  <c r="V236" i="2"/>
  <c r="AB236" i="2"/>
  <c r="AG236" i="2"/>
  <c r="AL250" i="2"/>
  <c r="V250" i="2"/>
  <c r="AG250" i="2"/>
  <c r="AB250" i="2"/>
  <c r="AL300" i="2"/>
  <c r="V300" i="2"/>
  <c r="AB300" i="2"/>
  <c r="AG300" i="2"/>
  <c r="AQ416" i="2"/>
  <c r="AV416" i="2" s="1"/>
  <c r="BE416" i="2" s="1"/>
  <c r="AB439" i="2"/>
  <c r="AL439" i="2"/>
  <c r="AG439" i="2"/>
  <c r="V439" i="2"/>
  <c r="BD153" i="2"/>
  <c r="BD185" i="2"/>
  <c r="BD313" i="2"/>
  <c r="BD328" i="2"/>
  <c r="AQ331" i="2"/>
  <c r="AV331" i="2" s="1"/>
  <c r="BE331" i="2" s="1"/>
  <c r="AB347" i="2"/>
  <c r="AL347" i="2"/>
  <c r="AG347" i="2"/>
  <c r="V347" i="2"/>
  <c r="BD360" i="2"/>
  <c r="AQ363" i="2"/>
  <c r="AV363" i="2" s="1"/>
  <c r="BE363" i="2" s="1"/>
  <c r="AB379" i="2"/>
  <c r="AL379" i="2"/>
  <c r="AG379" i="2"/>
  <c r="V379" i="2"/>
  <c r="BD392" i="2"/>
  <c r="AQ395" i="2"/>
  <c r="AV395" i="2" s="1"/>
  <c r="BE395" i="2" s="1"/>
  <c r="BD417" i="2"/>
  <c r="BD440" i="2"/>
  <c r="BD481" i="2"/>
  <c r="AQ510" i="2"/>
  <c r="AV510" i="2" s="1"/>
  <c r="BE510" i="2" s="1"/>
  <c r="AL525" i="2"/>
  <c r="V525" i="2"/>
  <c r="AG525" i="2"/>
  <c r="AB525" i="2"/>
  <c r="AB542" i="2"/>
  <c r="AL542" i="2"/>
  <c r="V542" i="2"/>
  <c r="AG542" i="2"/>
  <c r="AQ213" i="2"/>
  <c r="AV213" i="2" s="1"/>
  <c r="BE213" i="2" s="1"/>
  <c r="AB245" i="2"/>
  <c r="AG245" i="2"/>
  <c r="V245" i="2"/>
  <c r="AL245" i="2"/>
  <c r="BD259" i="2"/>
  <c r="AQ413" i="2"/>
  <c r="AV413" i="2" s="1"/>
  <c r="BE413" i="2" s="1"/>
  <c r="AQ429" i="2"/>
  <c r="AV429" i="2" s="1"/>
  <c r="BE429" i="2" s="1"/>
  <c r="AQ445" i="2"/>
  <c r="AV445" i="2" s="1"/>
  <c r="BE445" i="2" s="1"/>
  <c r="AQ461" i="2"/>
  <c r="AV461" i="2" s="1"/>
  <c r="BE461" i="2" s="1"/>
  <c r="AQ477" i="2"/>
  <c r="AV477" i="2" s="1"/>
  <c r="BE477" i="2" s="1"/>
  <c r="AQ493" i="2"/>
  <c r="AV493" i="2" s="1"/>
  <c r="BE493" i="2" s="1"/>
  <c r="AQ497" i="2"/>
  <c r="AV497" i="2" s="1"/>
  <c r="BE497" i="2" s="1"/>
  <c r="AQ501" i="2"/>
  <c r="AV501" i="2" s="1"/>
  <c r="BE501" i="2" s="1"/>
  <c r="AQ505" i="2"/>
  <c r="AV505" i="2" s="1"/>
  <c r="BE505" i="2" s="1"/>
  <c r="AQ511" i="2"/>
  <c r="AV511" i="2" s="1"/>
  <c r="BE511" i="2" s="1"/>
  <c r="AB528" i="2"/>
  <c r="AL528" i="2"/>
  <c r="V528" i="2"/>
  <c r="AG528" i="2"/>
  <c r="BD21" i="2"/>
  <c r="BD53" i="2"/>
  <c r="BD85" i="2"/>
  <c r="BD237" i="2"/>
  <c r="AQ278" i="2"/>
  <c r="AV278" i="2" s="1"/>
  <c r="BE278" i="2" s="1"/>
  <c r="AL310" i="2"/>
  <c r="V310" i="2"/>
  <c r="AG310" i="2"/>
  <c r="AB310" i="2"/>
  <c r="AR348" i="2"/>
  <c r="AW348" i="2" s="1"/>
  <c r="BF348" i="2" s="1"/>
  <c r="AL350" i="2"/>
  <c r="V350" i="2"/>
  <c r="AG350" i="2"/>
  <c r="AB350" i="2"/>
  <c r="AQ382" i="2"/>
  <c r="AV382" i="2" s="1"/>
  <c r="BE382" i="2" s="1"/>
  <c r="AH436" i="2"/>
  <c r="AC436" i="2"/>
  <c r="AM436" i="2"/>
  <c r="W436" i="2"/>
  <c r="AH452" i="2"/>
  <c r="AC452" i="2"/>
  <c r="AM452" i="2"/>
  <c r="W452" i="2"/>
  <c r="AH468" i="2"/>
  <c r="AC484" i="2"/>
  <c r="AB514" i="2"/>
  <c r="AL514" i="2"/>
  <c r="V514" i="2"/>
  <c r="AG514" i="2"/>
  <c r="AL529" i="2"/>
  <c r="V529" i="2"/>
  <c r="AG529" i="2"/>
  <c r="AB529" i="2"/>
  <c r="AB546" i="2"/>
  <c r="AL546" i="2"/>
  <c r="V546" i="2"/>
  <c r="AG546" i="2"/>
  <c r="AG556" i="2"/>
  <c r="AB556" i="2"/>
  <c r="AL556" i="2"/>
  <c r="V556" i="2"/>
  <c r="AG558" i="2"/>
  <c r="AB558" i="2"/>
  <c r="AL558" i="2"/>
  <c r="V558" i="2"/>
  <c r="AG560" i="2"/>
  <c r="AB560" i="2"/>
  <c r="AL560" i="2"/>
  <c r="V560" i="2"/>
  <c r="AG562" i="2"/>
  <c r="AB562" i="2"/>
  <c r="AL562" i="2"/>
  <c r="V562" i="2"/>
  <c r="AG564" i="2"/>
  <c r="AB564" i="2"/>
  <c r="AL564" i="2"/>
  <c r="V564" i="2"/>
  <c r="AG566" i="2"/>
  <c r="AB566" i="2"/>
  <c r="AL566" i="2"/>
  <c r="V566" i="2"/>
  <c r="AG568" i="2"/>
  <c r="AB568" i="2"/>
  <c r="AL568" i="2"/>
  <c r="V568" i="2"/>
  <c r="AG570" i="2"/>
  <c r="AB570" i="2"/>
  <c r="AL570" i="2"/>
  <c r="V570" i="2"/>
  <c r="AG572" i="2"/>
  <c r="AB572" i="2"/>
  <c r="AL572" i="2"/>
  <c r="V572" i="2"/>
  <c r="AG574" i="2"/>
  <c r="AB574" i="2"/>
  <c r="AL574" i="2"/>
  <c r="V574" i="2"/>
  <c r="AG576" i="2"/>
  <c r="AB576" i="2"/>
  <c r="AL576" i="2"/>
  <c r="V576" i="2"/>
  <c r="AG578" i="2"/>
  <c r="AB578" i="2"/>
  <c r="AL578" i="2"/>
  <c r="V578" i="2"/>
  <c r="AG580" i="2"/>
  <c r="AB580" i="2"/>
  <c r="AL580" i="2"/>
  <c r="V580" i="2"/>
  <c r="AG582" i="2"/>
  <c r="AB582" i="2"/>
  <c r="AL582" i="2"/>
  <c r="V582" i="2"/>
  <c r="AG584" i="2"/>
  <c r="AB584" i="2"/>
  <c r="AL584" i="2"/>
  <c r="V584" i="2"/>
  <c r="AG586" i="2"/>
  <c r="AB586" i="2"/>
  <c r="AL586" i="2"/>
  <c r="V586" i="2"/>
  <c r="AG588" i="2"/>
  <c r="AB588" i="2"/>
  <c r="AL588" i="2"/>
  <c r="V588" i="2"/>
  <c r="AG590" i="2"/>
  <c r="AB590" i="2"/>
  <c r="AL590" i="2"/>
  <c r="V590" i="2"/>
  <c r="AG592" i="2"/>
  <c r="AB592" i="2"/>
  <c r="AL592" i="2"/>
  <c r="V592" i="2"/>
  <c r="AG594" i="2"/>
  <c r="AB594" i="2"/>
  <c r="AL594" i="2"/>
  <c r="V594" i="2"/>
  <c r="AG596" i="2"/>
  <c r="AB596" i="2"/>
  <c r="AL596" i="2"/>
  <c r="V596" i="2"/>
  <c r="AG598" i="2"/>
  <c r="AB598" i="2"/>
  <c r="AL598" i="2"/>
  <c r="V598" i="2"/>
  <c r="AG600" i="2"/>
  <c r="AB600" i="2"/>
  <c r="AL600" i="2"/>
  <c r="V600" i="2"/>
  <c r="AG602" i="2"/>
  <c r="AB602" i="2"/>
  <c r="AL602" i="2"/>
  <c r="V602" i="2"/>
  <c r="AG604" i="2"/>
  <c r="AB604" i="2"/>
  <c r="AL604" i="2"/>
  <c r="V604" i="2"/>
  <c r="AG606" i="2"/>
  <c r="AB606" i="2"/>
  <c r="AL606" i="2"/>
  <c r="V606" i="2"/>
  <c r="AG608" i="2"/>
  <c r="AB608" i="2"/>
  <c r="AL608" i="2"/>
  <c r="V608" i="2"/>
  <c r="AG610" i="2"/>
  <c r="AB610" i="2"/>
  <c r="AL610" i="2"/>
  <c r="V610" i="2"/>
  <c r="AG612" i="2"/>
  <c r="AB612" i="2"/>
  <c r="AL612" i="2"/>
  <c r="V612" i="2"/>
  <c r="AG614" i="2"/>
  <c r="AB614" i="2"/>
  <c r="AL614" i="2"/>
  <c r="V614" i="2"/>
  <c r="AG616" i="2"/>
  <c r="AB616" i="2"/>
  <c r="AL616" i="2"/>
  <c r="V616" i="2"/>
  <c r="AG618" i="2"/>
  <c r="AB618" i="2"/>
  <c r="AL618" i="2"/>
  <c r="V618" i="2"/>
  <c r="AG733" i="2"/>
  <c r="AL733" i="2"/>
  <c r="V733" i="2"/>
  <c r="AB733" i="2"/>
  <c r="AG765" i="2"/>
  <c r="AL765" i="2"/>
  <c r="V765" i="2"/>
  <c r="AB765" i="2"/>
  <c r="AG797" i="2"/>
  <c r="AL797" i="2"/>
  <c r="V797" i="2"/>
  <c r="AB797" i="2"/>
  <c r="AG829" i="2"/>
  <c r="AL829" i="2"/>
  <c r="V829" i="2"/>
  <c r="AB829" i="2"/>
  <c r="AG861" i="2"/>
  <c r="AL861" i="2"/>
  <c r="V861" i="2"/>
  <c r="AB861" i="2"/>
  <c r="AG933" i="2"/>
  <c r="AL933" i="2"/>
  <c r="V933" i="2"/>
  <c r="AB933" i="2"/>
  <c r="AG935" i="2"/>
  <c r="AL935" i="2"/>
  <c r="V935" i="2"/>
  <c r="AB935" i="2"/>
  <c r="AG937" i="2"/>
  <c r="AL937" i="2"/>
  <c r="V937" i="2"/>
  <c r="AB937" i="2"/>
  <c r="AG939" i="2"/>
  <c r="AL939" i="2"/>
  <c r="V939" i="2"/>
  <c r="AB939" i="2"/>
  <c r="AG941" i="2"/>
  <c r="AL941" i="2"/>
  <c r="V941" i="2"/>
  <c r="AB941" i="2"/>
  <c r="AG943" i="2"/>
  <c r="AL943" i="2"/>
  <c r="V943" i="2"/>
  <c r="AB943" i="2"/>
  <c r="AG945" i="2"/>
  <c r="AL945" i="2"/>
  <c r="V945" i="2"/>
  <c r="AB945" i="2"/>
  <c r="AG947" i="2"/>
  <c r="AL947" i="2"/>
  <c r="V947" i="2"/>
  <c r="AB947" i="2"/>
  <c r="AG949" i="2"/>
  <c r="AL949" i="2"/>
  <c r="V949" i="2"/>
  <c r="AB949" i="2"/>
  <c r="AG951" i="2"/>
  <c r="AL951" i="2"/>
  <c r="V951" i="2"/>
  <c r="AB951" i="2"/>
  <c r="AG953" i="2"/>
  <c r="AL953" i="2"/>
  <c r="V953" i="2"/>
  <c r="AB953" i="2"/>
  <c r="AG955" i="2"/>
  <c r="AL955" i="2"/>
  <c r="V955" i="2"/>
  <c r="AB955" i="2"/>
  <c r="AG957" i="2"/>
  <c r="AL957" i="2"/>
  <c r="V957" i="2"/>
  <c r="AB957" i="2"/>
  <c r="AG959" i="2"/>
  <c r="AL959" i="2"/>
  <c r="V959" i="2"/>
  <c r="AB959" i="2"/>
  <c r="AG961" i="2"/>
  <c r="AL961" i="2"/>
  <c r="V961" i="2"/>
  <c r="AB961" i="2"/>
  <c r="AG963" i="2"/>
  <c r="AL963" i="2"/>
  <c r="V963" i="2"/>
  <c r="AB963" i="2"/>
  <c r="AG965" i="2"/>
  <c r="AL965" i="2"/>
  <c r="V965" i="2"/>
  <c r="AB965" i="2"/>
  <c r="AG967" i="2"/>
  <c r="AL967" i="2"/>
  <c r="V967" i="2"/>
  <c r="AB967" i="2"/>
  <c r="AG969" i="2"/>
  <c r="AL969" i="2"/>
  <c r="V969" i="2"/>
  <c r="AB969" i="2"/>
  <c r="AG971" i="2"/>
  <c r="AL971" i="2"/>
  <c r="V971" i="2"/>
  <c r="AB971" i="2"/>
  <c r="AG973" i="2"/>
  <c r="AL973" i="2"/>
  <c r="V973" i="2"/>
  <c r="AB973" i="2"/>
  <c r="AG975" i="2"/>
  <c r="AL975" i="2"/>
  <c r="V975" i="2"/>
  <c r="AB975" i="2"/>
  <c r="AG977" i="2"/>
  <c r="AL977" i="2"/>
  <c r="V977" i="2"/>
  <c r="AB977" i="2"/>
  <c r="AG979" i="2"/>
  <c r="AL979" i="2"/>
  <c r="V979" i="2"/>
  <c r="AB979" i="2"/>
  <c r="AG981" i="2"/>
  <c r="AL981" i="2"/>
  <c r="V981" i="2"/>
  <c r="AB981" i="2"/>
  <c r="AG983" i="2"/>
  <c r="AL983" i="2"/>
  <c r="V983" i="2"/>
  <c r="AB983" i="2"/>
  <c r="AG985" i="2"/>
  <c r="AL985" i="2"/>
  <c r="V985" i="2"/>
  <c r="AB985" i="2"/>
  <c r="AG987" i="2"/>
  <c r="AL987" i="2"/>
  <c r="V987" i="2"/>
  <c r="AB987" i="2"/>
  <c r="AG989" i="2"/>
  <c r="AL989" i="2"/>
  <c r="V989" i="2"/>
  <c r="AB989" i="2"/>
  <c r="AG991" i="2"/>
  <c r="AL991" i="2"/>
  <c r="V991" i="2"/>
  <c r="AB991" i="2"/>
  <c r="AG993" i="2"/>
  <c r="AL993" i="2"/>
  <c r="V993" i="2"/>
  <c r="AB993" i="2"/>
  <c r="AG995" i="2"/>
  <c r="AL995" i="2"/>
  <c r="V995" i="2"/>
  <c r="AB995" i="2"/>
  <c r="AG997" i="2"/>
  <c r="AL997" i="2"/>
  <c r="V997" i="2"/>
  <c r="AB997" i="2"/>
  <c r="AG999" i="2"/>
  <c r="AL999" i="2"/>
  <c r="V999" i="2"/>
  <c r="AB999" i="2"/>
  <c r="AG1001" i="2"/>
  <c r="AL1001" i="2"/>
  <c r="V1001" i="2"/>
  <c r="AB1001" i="2"/>
  <c r="AG1003" i="2"/>
  <c r="AL1003" i="2"/>
  <c r="V1003" i="2"/>
  <c r="AB1003" i="2"/>
  <c r="AG1005" i="2"/>
  <c r="AL1005" i="2"/>
  <c r="V1005" i="2"/>
  <c r="AB1005" i="2"/>
  <c r="AG1007" i="2"/>
  <c r="AL1007" i="2"/>
  <c r="V1007" i="2"/>
  <c r="AB1007" i="2"/>
  <c r="AG1009" i="2"/>
  <c r="AL1009" i="2"/>
  <c r="V1009" i="2"/>
  <c r="AB1009" i="2"/>
  <c r="AG1011" i="2"/>
  <c r="AL1011" i="2"/>
  <c r="V1011" i="2"/>
  <c r="AB1011" i="2"/>
  <c r="AG1013" i="2"/>
  <c r="AL1013" i="2"/>
  <c r="V1013" i="2"/>
  <c r="AB1013" i="2"/>
  <c r="AG1015" i="2"/>
  <c r="AL1015" i="2"/>
  <c r="V1015" i="2"/>
  <c r="AB1015" i="2"/>
  <c r="AG1017" i="2"/>
  <c r="AL1017" i="2"/>
  <c r="V1017" i="2"/>
  <c r="AB1017" i="2"/>
  <c r="AG1019" i="2"/>
  <c r="AL1019" i="2"/>
  <c r="V1019" i="2"/>
  <c r="AB1019" i="2"/>
  <c r="AG1021" i="2"/>
  <c r="AL1021" i="2"/>
  <c r="V1021" i="2"/>
  <c r="AB1021" i="2"/>
  <c r="AG1023" i="2"/>
  <c r="AL1023" i="2"/>
  <c r="V1023" i="2"/>
  <c r="AB1023" i="2"/>
  <c r="AG1025" i="2"/>
  <c r="AL1025" i="2"/>
  <c r="V1025" i="2"/>
  <c r="AB1025" i="2"/>
  <c r="AG1027" i="2"/>
  <c r="AL1027" i="2"/>
  <c r="V1027" i="2"/>
  <c r="AB1027" i="2"/>
  <c r="AG1029" i="2"/>
  <c r="AL1029" i="2"/>
  <c r="V1029" i="2"/>
  <c r="AB1029" i="2"/>
  <c r="AG1031" i="2"/>
  <c r="AL1031" i="2"/>
  <c r="V1031" i="2"/>
  <c r="AB1031" i="2"/>
  <c r="AG1033" i="2"/>
  <c r="AL1033" i="2"/>
  <c r="V1033" i="2"/>
  <c r="AB1033" i="2"/>
  <c r="AG1035" i="2"/>
  <c r="AL1035" i="2"/>
  <c r="V1035" i="2"/>
  <c r="AB1035" i="2"/>
  <c r="AG1037" i="2"/>
  <c r="AL1037" i="2"/>
  <c r="V1037" i="2"/>
  <c r="AB1037" i="2"/>
  <c r="AG1039" i="2"/>
  <c r="AL1039" i="2"/>
  <c r="V1039" i="2"/>
  <c r="AB1039" i="2"/>
  <c r="BD1044" i="2"/>
  <c r="AL1044" i="2"/>
  <c r="V1044" i="2"/>
  <c r="AG1044" i="2"/>
  <c r="AB1044" i="2"/>
  <c r="AG752" i="2"/>
  <c r="AB752" i="2"/>
  <c r="AL752" i="2"/>
  <c r="V752" i="2"/>
  <c r="AQ784" i="2"/>
  <c r="AV784" i="2" s="1"/>
  <c r="BE784" i="2" s="1"/>
  <c r="AG816" i="2"/>
  <c r="AB816" i="2"/>
  <c r="AL816" i="2"/>
  <c r="V816" i="2"/>
  <c r="AQ848" i="2"/>
  <c r="AV848" i="2" s="1"/>
  <c r="BE848" i="2" s="1"/>
  <c r="AG880" i="2"/>
  <c r="AB880" i="2"/>
  <c r="AL880" i="2"/>
  <c r="V880" i="2"/>
  <c r="BD887" i="2"/>
  <c r="BD903" i="2"/>
  <c r="BD919" i="2"/>
  <c r="AQ1077" i="2"/>
  <c r="AV1077" i="2" s="1"/>
  <c r="BE1077" i="2" s="1"/>
  <c r="AG1109" i="2"/>
  <c r="AL1109" i="2"/>
  <c r="V1109" i="2"/>
  <c r="AB1109" i="2"/>
  <c r="AB1197" i="2"/>
  <c r="AL1197" i="2"/>
  <c r="V1197" i="2"/>
  <c r="AG1197" i="2"/>
  <c r="BD1208" i="2"/>
  <c r="AQ1229" i="2"/>
  <c r="AV1229" i="2" s="1"/>
  <c r="BE1229" i="2" s="1"/>
  <c r="AB1261" i="2"/>
  <c r="AL1261" i="2"/>
  <c r="V1261" i="2"/>
  <c r="AG1261" i="2"/>
  <c r="BD1272" i="2"/>
  <c r="AQ1293" i="2"/>
  <c r="AV1293" i="2" s="1"/>
  <c r="BE1293" i="2" s="1"/>
  <c r="AB1325" i="2"/>
  <c r="AL1325" i="2"/>
  <c r="V1325" i="2"/>
  <c r="AG1325" i="2"/>
  <c r="BD1336" i="2"/>
  <c r="AQ1357" i="2"/>
  <c r="AV1357" i="2" s="1"/>
  <c r="BE1357" i="2" s="1"/>
  <c r="BD1084" i="2"/>
  <c r="AL1184" i="2"/>
  <c r="V1184" i="2"/>
  <c r="AG1184" i="2"/>
  <c r="AB1184" i="2"/>
  <c r="BD1195" i="2"/>
  <c r="AQ1216" i="2"/>
  <c r="AV1216" i="2" s="1"/>
  <c r="BE1216" i="2" s="1"/>
  <c r="AL1248" i="2"/>
  <c r="V1248" i="2"/>
  <c r="AG1248" i="2"/>
  <c r="AB1248" i="2"/>
  <c r="BD1259" i="2"/>
  <c r="AQ1280" i="2"/>
  <c r="AV1280" i="2" s="1"/>
  <c r="BE1280" i="2" s="1"/>
  <c r="AL1312" i="2"/>
  <c r="V1312" i="2"/>
  <c r="AG1312" i="2"/>
  <c r="AB1312" i="2"/>
  <c r="BD1323" i="2"/>
  <c r="AQ1344" i="2"/>
  <c r="AV1344" i="2" s="1"/>
  <c r="BE1344" i="2" s="1"/>
  <c r="AQ1376" i="2"/>
  <c r="AV1376" i="2" s="1"/>
  <c r="BE1376" i="2" s="1"/>
  <c r="AB1392" i="2"/>
  <c r="AL1392" i="2"/>
  <c r="V1392" i="2"/>
  <c r="AG1392" i="2"/>
  <c r="AQ1063" i="2"/>
  <c r="AV1063" i="2" s="1"/>
  <c r="BE1063" i="2" s="1"/>
  <c r="AG1095" i="2"/>
  <c r="AL1095" i="2"/>
  <c r="V1095" i="2"/>
  <c r="AB1095" i="2"/>
  <c r="AQ1127" i="2"/>
  <c r="AV1127" i="2" s="1"/>
  <c r="BE1127" i="2" s="1"/>
  <c r="AB1203" i="2"/>
  <c r="AL1203" i="2"/>
  <c r="V1203" i="2"/>
  <c r="AG1203" i="2"/>
  <c r="BD1214" i="2"/>
  <c r="AQ1235" i="2"/>
  <c r="AV1235" i="2" s="1"/>
  <c r="BE1235" i="2" s="1"/>
  <c r="AB1267" i="2"/>
  <c r="AL1267" i="2"/>
  <c r="V1267" i="2"/>
  <c r="AG1267" i="2"/>
  <c r="BD1278" i="2"/>
  <c r="AQ1299" i="2"/>
  <c r="AV1299" i="2" s="1"/>
  <c r="BE1299" i="2" s="1"/>
  <c r="AB1331" i="2"/>
  <c r="AL1331" i="2"/>
  <c r="V1331" i="2"/>
  <c r="AG1331" i="2"/>
  <c r="BD1342" i="2"/>
  <c r="AQ1363" i="2"/>
  <c r="AV1363" i="2" s="1"/>
  <c r="BE1363" i="2" s="1"/>
  <c r="BD1098" i="2"/>
  <c r="BD1148" i="2"/>
  <c r="AL1182" i="2"/>
  <c r="V1182" i="2"/>
  <c r="AG1182" i="2"/>
  <c r="AB1182" i="2"/>
  <c r="BD1193" i="2"/>
  <c r="AQ1214" i="2"/>
  <c r="AV1214" i="2" s="1"/>
  <c r="BE1214" i="2" s="1"/>
  <c r="AL1246" i="2"/>
  <c r="V1246" i="2"/>
  <c r="AG1246" i="2"/>
  <c r="AB1246" i="2"/>
  <c r="AQ1278" i="2"/>
  <c r="AV1278" i="2" s="1"/>
  <c r="BE1278" i="2" s="1"/>
  <c r="AL1310" i="2"/>
  <c r="V1310" i="2"/>
  <c r="AG1310" i="2"/>
  <c r="AB1310" i="2"/>
  <c r="AQ1342" i="2"/>
  <c r="AV1342" i="2" s="1"/>
  <c r="BE1342" i="2" s="1"/>
  <c r="AL1383" i="2"/>
  <c r="V1383" i="2"/>
  <c r="AG1383" i="2"/>
  <c r="AB1383" i="2"/>
  <c r="BD1403" i="2"/>
  <c r="BD1419" i="2"/>
  <c r="BD1435" i="2"/>
  <c r="AL1490" i="2"/>
  <c r="V1490" i="2"/>
  <c r="AB1490" i="2"/>
  <c r="AG1490" i="2"/>
  <c r="AL1494" i="2"/>
  <c r="V1494" i="2"/>
  <c r="AB1494" i="2"/>
  <c r="AG1494" i="2"/>
  <c r="AL1498" i="2"/>
  <c r="V1498" i="2"/>
  <c r="AB1498" i="2"/>
  <c r="AG1498" i="2"/>
  <c r="AL1508" i="2"/>
  <c r="V1508" i="2"/>
  <c r="AB1508" i="2"/>
  <c r="AG1508" i="2"/>
  <c r="AL1512" i="2"/>
  <c r="V1512" i="2"/>
  <c r="AB1512" i="2"/>
  <c r="AG1512" i="2"/>
  <c r="AL1516" i="2"/>
  <c r="V1516" i="2"/>
  <c r="AB1516" i="2"/>
  <c r="AG1516" i="2"/>
  <c r="AL1520" i="2"/>
  <c r="V1520" i="2"/>
  <c r="AB1520" i="2"/>
  <c r="AG1520" i="2"/>
  <c r="AL1524" i="2"/>
  <c r="V1524" i="2"/>
  <c r="AB1524" i="2"/>
  <c r="AG1524" i="2"/>
  <c r="AL1528" i="2"/>
  <c r="V1528" i="2"/>
  <c r="AB1528" i="2"/>
  <c r="AG1528" i="2"/>
  <c r="AL1532" i="2"/>
  <c r="V1532" i="2"/>
  <c r="AB1532" i="2"/>
  <c r="AG1532" i="2"/>
  <c r="AL1536" i="2"/>
  <c r="V1536" i="2"/>
  <c r="AB1536" i="2"/>
  <c r="AG1536" i="2"/>
  <c r="AL1540" i="2"/>
  <c r="V1540" i="2"/>
  <c r="AB1540" i="2"/>
  <c r="AG1540" i="2"/>
  <c r="AL1544" i="2"/>
  <c r="V1544" i="2"/>
  <c r="AB1544" i="2"/>
  <c r="AG1544" i="2"/>
  <c r="AQ1584" i="2"/>
  <c r="AV1584" i="2" s="1"/>
  <c r="BE1584" i="2" s="1"/>
  <c r="AQ1592" i="2"/>
  <c r="AV1592" i="2" s="1"/>
  <c r="BE1592" i="2" s="1"/>
  <c r="AB1599" i="2"/>
  <c r="AL1599" i="2"/>
  <c r="V1599" i="2"/>
  <c r="AG1599" i="2"/>
  <c r="AL1624" i="2"/>
  <c r="V1624" i="2"/>
  <c r="AG1624" i="2"/>
  <c r="AB1624" i="2"/>
  <c r="AQ1631" i="2"/>
  <c r="AV1631" i="2" s="1"/>
  <c r="BE1631" i="2" s="1"/>
  <c r="AQ1656" i="2"/>
  <c r="AV1656" i="2" s="1"/>
  <c r="BE1656" i="2" s="1"/>
  <c r="AB1663" i="2"/>
  <c r="AL1663" i="2"/>
  <c r="V1663" i="2"/>
  <c r="AG1663" i="2"/>
  <c r="BD1528" i="2"/>
  <c r="AQ1538" i="2"/>
  <c r="AV1538" i="2" s="1"/>
  <c r="BE1538" i="2" s="1"/>
  <c r="AQ1386" i="2"/>
  <c r="AV1386" i="2" s="1"/>
  <c r="BE1386" i="2" s="1"/>
  <c r="AQ1399" i="2"/>
  <c r="AV1399" i="2" s="1"/>
  <c r="BE1399" i="2" s="1"/>
  <c r="AB1403" i="2"/>
  <c r="AL1403" i="2"/>
  <c r="V1403" i="2"/>
  <c r="AG1403" i="2"/>
  <c r="BD1406" i="2"/>
  <c r="AQ1415" i="2"/>
  <c r="AV1415" i="2" s="1"/>
  <c r="BE1415" i="2" s="1"/>
  <c r="AB1419" i="2"/>
  <c r="AL1419" i="2"/>
  <c r="V1419" i="2"/>
  <c r="AG1419" i="2"/>
  <c r="BD1422" i="2"/>
  <c r="AQ1431" i="2"/>
  <c r="AV1431" i="2" s="1"/>
  <c r="BE1431" i="2" s="1"/>
  <c r="AB1435" i="2"/>
  <c r="AL1435" i="2"/>
  <c r="V1435" i="2"/>
  <c r="AG1435" i="2"/>
  <c r="AB1547" i="2"/>
  <c r="AL1547" i="2"/>
  <c r="V1547" i="2"/>
  <c r="AG1547" i="2"/>
  <c r="BD1550" i="2"/>
  <c r="AQ1559" i="2"/>
  <c r="AV1559" i="2" s="1"/>
  <c r="BE1559" i="2" s="1"/>
  <c r="AB1563" i="2"/>
  <c r="AL1563" i="2"/>
  <c r="V1563" i="2"/>
  <c r="AG1563" i="2"/>
  <c r="BD1566" i="2"/>
  <c r="AQ1575" i="2"/>
  <c r="AV1575" i="2" s="1"/>
  <c r="BE1575" i="2" s="1"/>
  <c r="AB1579" i="2"/>
  <c r="AL1579" i="2"/>
  <c r="V1579" i="2"/>
  <c r="AG1579" i="2"/>
  <c r="AL1602" i="2"/>
  <c r="V1602" i="2"/>
  <c r="AG1602" i="2"/>
  <c r="AB1602" i="2"/>
  <c r="AQ1609" i="2"/>
  <c r="AV1609" i="2" s="1"/>
  <c r="BE1609" i="2" s="1"/>
  <c r="AQ1634" i="2"/>
  <c r="AV1634" i="2" s="1"/>
  <c r="BE1634" i="2" s="1"/>
  <c r="AB1641" i="2"/>
  <c r="AL1641" i="2"/>
  <c r="V1641" i="2"/>
  <c r="AG1641" i="2"/>
  <c r="BD1644" i="2"/>
  <c r="AL1666" i="2"/>
  <c r="V1666" i="2"/>
  <c r="AG1666" i="2"/>
  <c r="AB1666" i="2"/>
  <c r="AL1668" i="2"/>
  <c r="V1668" i="2"/>
  <c r="AG1668" i="2"/>
  <c r="AB1668" i="2"/>
  <c r="BD1781" i="2"/>
  <c r="BD1813" i="2"/>
  <c r="AQ1694" i="2"/>
  <c r="AV1694" i="2" s="1"/>
  <c r="BE1694" i="2" s="1"/>
  <c r="AB1710" i="2"/>
  <c r="AL1710" i="2"/>
  <c r="V1710" i="2"/>
  <c r="AG1710" i="2"/>
  <c r="BD1715" i="2"/>
  <c r="AG1838" i="2"/>
  <c r="V1838" i="2"/>
  <c r="AL1838" i="2"/>
  <c r="AB1838" i="2"/>
  <c r="AQ1847" i="2"/>
  <c r="AV1847" i="2" s="1"/>
  <c r="BE1847" i="2" s="1"/>
  <c r="AQ1867" i="2"/>
  <c r="AV1867" i="2" s="1"/>
  <c r="BE1867" i="2" s="1"/>
  <c r="AQ1875" i="2"/>
  <c r="AV1875" i="2" s="1"/>
  <c r="BE1875" i="2" s="1"/>
  <c r="AQ1883" i="2"/>
  <c r="AV1883" i="2" s="1"/>
  <c r="BE1883" i="2" s="1"/>
  <c r="AQ1891" i="2"/>
  <c r="AV1891" i="2" s="1"/>
  <c r="BE1891" i="2" s="1"/>
  <c r="AQ1899" i="2"/>
  <c r="AV1899" i="2" s="1"/>
  <c r="BE1899" i="2" s="1"/>
  <c r="AQ1907" i="2"/>
  <c r="AV1907" i="2" s="1"/>
  <c r="BE1907" i="2" s="1"/>
  <c r="AQ1915" i="2"/>
  <c r="AV1915" i="2" s="1"/>
  <c r="BE1915" i="2" s="1"/>
  <c r="AQ1923" i="2"/>
  <c r="AV1923" i="2" s="1"/>
  <c r="BE1923" i="2" s="1"/>
  <c r="AQ1931" i="2"/>
  <c r="AV1931" i="2" s="1"/>
  <c r="BE1931" i="2" s="1"/>
  <c r="AQ1939" i="2"/>
  <c r="AV1939" i="2" s="1"/>
  <c r="BE1939" i="2" s="1"/>
  <c r="AQ1947" i="2"/>
  <c r="AV1947" i="2" s="1"/>
  <c r="BE1947" i="2" s="1"/>
  <c r="AQ1669" i="2"/>
  <c r="AV1669" i="2" s="1"/>
  <c r="BE1669" i="2" s="1"/>
  <c r="AQ1685" i="2"/>
  <c r="AV1685" i="2" s="1"/>
  <c r="BE1685" i="2" s="1"/>
  <c r="AQ1701" i="2"/>
  <c r="AV1701" i="2" s="1"/>
  <c r="BE1701" i="2" s="1"/>
  <c r="AQ1717" i="2"/>
  <c r="AV1717" i="2" s="1"/>
  <c r="BE1717" i="2" s="1"/>
  <c r="AQ1733" i="2"/>
  <c r="AV1733" i="2" s="1"/>
  <c r="BE1733" i="2" s="1"/>
  <c r="AQ1749" i="2"/>
  <c r="AV1749" i="2" s="1"/>
  <c r="BE1749" i="2" s="1"/>
  <c r="AL1760" i="2"/>
  <c r="AG1760" i="2"/>
  <c r="AB1760" i="2"/>
  <c r="V1760" i="2"/>
  <c r="BD1766" i="2"/>
  <c r="AQ1768" i="2"/>
  <c r="AV1768" i="2" s="1"/>
  <c r="BE1768" i="2" s="1"/>
  <c r="AL1776" i="2"/>
  <c r="AG1776" i="2"/>
  <c r="AB1776" i="2"/>
  <c r="V1776" i="2"/>
  <c r="BD1782" i="2"/>
  <c r="AQ1784" i="2"/>
  <c r="AV1784" i="2" s="1"/>
  <c r="BE1784" i="2" s="1"/>
  <c r="AL1792" i="2"/>
  <c r="AG1792" i="2"/>
  <c r="AB1792" i="2"/>
  <c r="V1792" i="2"/>
  <c r="AQ1800" i="2"/>
  <c r="AV1800" i="2" s="1"/>
  <c r="BE1800" i="2" s="1"/>
  <c r="AL1808" i="2"/>
  <c r="AG1808" i="2"/>
  <c r="AB1808" i="2"/>
  <c r="V1808" i="2"/>
  <c r="AQ1824" i="2"/>
  <c r="AV1824" i="2" s="1"/>
  <c r="BE1824" i="2" s="1"/>
  <c r="AQ1854" i="2"/>
  <c r="AV1854" i="2" s="1"/>
  <c r="BE1854" i="2" s="1"/>
  <c r="BD1856" i="2"/>
  <c r="BD1906" i="2"/>
  <c r="BD1927" i="2"/>
  <c r="BD1943" i="2"/>
  <c r="BD1959" i="2"/>
  <c r="BD1975" i="2"/>
  <c r="BD1991" i="2"/>
  <c r="BD2007" i="2"/>
  <c r="AQ2043" i="2"/>
  <c r="AV2043" i="2" s="1"/>
  <c r="BE2043" i="2" s="1"/>
  <c r="AL2111" i="2"/>
  <c r="V2111" i="2"/>
  <c r="AG2111" i="2"/>
  <c r="AB2111" i="2"/>
  <c r="BD2114" i="2"/>
  <c r="AL2047" i="2"/>
  <c r="V2047" i="2"/>
  <c r="AG2047" i="2"/>
  <c r="AB2047" i="2"/>
  <c r="AQ2056" i="2"/>
  <c r="AV2056" i="2" s="1"/>
  <c r="BE2056" i="2" s="1"/>
  <c r="BD2062" i="2"/>
  <c r="AQ2079" i="2"/>
  <c r="AV2079" i="2" s="1"/>
  <c r="BE2079" i="2" s="1"/>
  <c r="AB2088" i="2"/>
  <c r="AL2088" i="2"/>
  <c r="V2088" i="2"/>
  <c r="AG2088" i="2"/>
  <c r="AG2148" i="2"/>
  <c r="AL2148" i="2"/>
  <c r="V2148" i="2"/>
  <c r="AB2148" i="2"/>
  <c r="AG2175" i="2"/>
  <c r="AB2175" i="2"/>
  <c r="AL2175" i="2"/>
  <c r="V2175" i="2"/>
  <c r="BD2186" i="2"/>
  <c r="AL2174" i="2"/>
  <c r="V2174" i="2"/>
  <c r="AG2174" i="2"/>
  <c r="AB2174" i="2"/>
  <c r="BD2185" i="2"/>
  <c r="BD2160" i="2"/>
  <c r="AQ2181" i="2"/>
  <c r="AV2181" i="2" s="1"/>
  <c r="BE2181" i="2" s="1"/>
  <c r="BD2151" i="2"/>
  <c r="AQ2160" i="2"/>
  <c r="AV2160" i="2" s="1"/>
  <c r="BE2160" i="2" s="1"/>
  <c r="AL2192" i="2"/>
  <c r="V2192" i="2"/>
  <c r="AG2192" i="2"/>
  <c r="AB2192" i="2"/>
  <c r="AB2211" i="2"/>
  <c r="AL2211" i="2"/>
  <c r="V2211" i="2"/>
  <c r="AG2211" i="2"/>
  <c r="AQ2227" i="2"/>
  <c r="AV2227" i="2" s="1"/>
  <c r="BE2227" i="2" s="1"/>
  <c r="AB2243" i="2"/>
  <c r="AL2243" i="2"/>
  <c r="V2243" i="2"/>
  <c r="AG2243" i="2"/>
  <c r="AQ2259" i="2"/>
  <c r="AV2259" i="2" s="1"/>
  <c r="BE2259" i="2" s="1"/>
  <c r="AB2275" i="2"/>
  <c r="AL2275" i="2"/>
  <c r="V2275" i="2"/>
  <c r="AG2275" i="2"/>
  <c r="AQ2291" i="2"/>
  <c r="AV2291" i="2" s="1"/>
  <c r="BE2291" i="2" s="1"/>
  <c r="AQ2299" i="2"/>
  <c r="AV2299" i="2" s="1"/>
  <c r="BE2299" i="2" s="1"/>
  <c r="AQ2307" i="2"/>
  <c r="AV2307" i="2" s="1"/>
  <c r="BE2307" i="2" s="1"/>
  <c r="BD2207" i="2"/>
  <c r="BD2223" i="2"/>
  <c r="BD2239" i="2"/>
  <c r="BD2255" i="2"/>
  <c r="BD2271" i="2"/>
  <c r="BD2287" i="2"/>
  <c r="BD2303" i="2"/>
  <c r="AQ2316" i="2"/>
  <c r="AV2316" i="2" s="1"/>
  <c r="BE2316" i="2" s="1"/>
  <c r="AQ2324" i="2"/>
  <c r="AV2324" i="2" s="1"/>
  <c r="BE2324" i="2" s="1"/>
  <c r="AQ2332" i="2"/>
  <c r="AV2332" i="2" s="1"/>
  <c r="BE2332" i="2" s="1"/>
  <c r="AQ2340" i="2"/>
  <c r="AV2340" i="2" s="1"/>
  <c r="BE2340" i="2" s="1"/>
  <c r="AQ2348" i="2"/>
  <c r="AV2348" i="2" s="1"/>
  <c r="BE2348" i="2" s="1"/>
  <c r="AQ2356" i="2"/>
  <c r="AV2356" i="2" s="1"/>
  <c r="BE2356" i="2" s="1"/>
  <c r="AQ2364" i="2"/>
  <c r="AV2364" i="2" s="1"/>
  <c r="BE2364" i="2" s="1"/>
  <c r="AQ2372" i="2"/>
  <c r="AV2372" i="2" s="1"/>
  <c r="BE2372" i="2" s="1"/>
  <c r="AQ2380" i="2"/>
  <c r="AV2380" i="2" s="1"/>
  <c r="BE2380" i="2" s="1"/>
  <c r="AQ2388" i="2"/>
  <c r="AV2388" i="2" s="1"/>
  <c r="BE2388" i="2" s="1"/>
  <c r="AQ2201" i="2"/>
  <c r="AV2201" i="2" s="1"/>
  <c r="BE2201" i="2" s="1"/>
  <c r="AQ2209" i="2"/>
  <c r="AV2209" i="2" s="1"/>
  <c r="BE2209" i="2" s="1"/>
  <c r="AQ2217" i="2"/>
  <c r="AV2217" i="2" s="1"/>
  <c r="BE2217" i="2" s="1"/>
  <c r="AQ2225" i="2"/>
  <c r="AV2225" i="2" s="1"/>
  <c r="BE2225" i="2" s="1"/>
  <c r="AQ2233" i="2"/>
  <c r="AV2233" i="2" s="1"/>
  <c r="BE2233" i="2" s="1"/>
  <c r="AQ2241" i="2"/>
  <c r="AV2241" i="2" s="1"/>
  <c r="BE2241" i="2" s="1"/>
  <c r="AQ2249" i="2"/>
  <c r="AV2249" i="2" s="1"/>
  <c r="BE2249" i="2" s="1"/>
  <c r="AQ2257" i="2"/>
  <c r="AV2257" i="2" s="1"/>
  <c r="BE2257" i="2" s="1"/>
  <c r="AQ2265" i="2"/>
  <c r="AV2265" i="2" s="1"/>
  <c r="BE2265" i="2" s="1"/>
  <c r="AQ2273" i="2"/>
  <c r="AV2273" i="2" s="1"/>
  <c r="BE2273" i="2" s="1"/>
  <c r="AQ2281" i="2"/>
  <c r="AV2281" i="2" s="1"/>
  <c r="BE2281" i="2" s="1"/>
  <c r="AQ2289" i="2"/>
  <c r="AV2289" i="2" s="1"/>
  <c r="BE2289" i="2" s="1"/>
  <c r="AQ2297" i="2"/>
  <c r="AV2297" i="2" s="1"/>
  <c r="BE2297" i="2" s="1"/>
  <c r="AQ2305" i="2"/>
  <c r="AV2305" i="2" s="1"/>
  <c r="BE2305" i="2" s="1"/>
  <c r="AQ2313" i="2"/>
  <c r="AV2313" i="2" s="1"/>
  <c r="BE2313" i="2" s="1"/>
  <c r="BD2209" i="2"/>
  <c r="AB2317" i="2"/>
  <c r="AL2317" i="2"/>
  <c r="V2317" i="2"/>
  <c r="AG2317" i="2"/>
  <c r="AB2325" i="2"/>
  <c r="AL2325" i="2"/>
  <c r="V2325" i="2"/>
  <c r="AG2325" i="2"/>
  <c r="AB2333" i="2"/>
  <c r="AL2333" i="2"/>
  <c r="V2333" i="2"/>
  <c r="AG2333" i="2"/>
  <c r="AB2341" i="2"/>
  <c r="AL2341" i="2"/>
  <c r="V2341" i="2"/>
  <c r="AG2341" i="2"/>
  <c r="AB2349" i="2"/>
  <c r="AL2349" i="2"/>
  <c r="V2349" i="2"/>
  <c r="AG2349" i="2"/>
  <c r="AB2357" i="2"/>
  <c r="AL2357" i="2"/>
  <c r="V2357" i="2"/>
  <c r="AG2357" i="2"/>
  <c r="AB2365" i="2"/>
  <c r="AL2365" i="2"/>
  <c r="V2365" i="2"/>
  <c r="AG2365" i="2"/>
  <c r="AB2373" i="2"/>
  <c r="AL2373" i="2"/>
  <c r="V2373" i="2"/>
  <c r="AG2373" i="2"/>
  <c r="AB2381" i="2"/>
  <c r="AL2381" i="2"/>
  <c r="V2381" i="2"/>
  <c r="AG2381" i="2"/>
  <c r="AB2389" i="2"/>
  <c r="AL2389" i="2"/>
  <c r="V2389" i="2"/>
  <c r="AG2389" i="2"/>
  <c r="AQ2408" i="2"/>
  <c r="AV2408" i="2" s="1"/>
  <c r="BE2408" i="2" s="1"/>
  <c r="AQ2425" i="2"/>
  <c r="AV2425" i="2" s="1"/>
  <c r="BE2425" i="2" s="1"/>
  <c r="AG2457" i="2"/>
  <c r="AB2457" i="2"/>
  <c r="AL2457" i="2"/>
  <c r="V2457" i="2"/>
  <c r="AL2424" i="2"/>
  <c r="V2424" i="2"/>
  <c r="AG2424" i="2"/>
  <c r="AB2424" i="2"/>
  <c r="AQ2456" i="2"/>
  <c r="AV2456" i="2" s="1"/>
  <c r="BE2456" i="2" s="1"/>
  <c r="AQ2415" i="2"/>
  <c r="AV2415" i="2" s="1"/>
  <c r="BE2415" i="2" s="1"/>
  <c r="AG2447" i="2"/>
  <c r="AB2447" i="2"/>
  <c r="AL2447" i="2"/>
  <c r="V2447" i="2"/>
  <c r="AQ2409" i="2"/>
  <c r="AV2409" i="2" s="1"/>
  <c r="BE2409" i="2" s="1"/>
  <c r="AQ2434" i="2"/>
  <c r="AV2434" i="2" s="1"/>
  <c r="BE2434" i="2" s="1"/>
  <c r="AL2466" i="2"/>
  <c r="V2466" i="2"/>
  <c r="AG2466" i="2"/>
  <c r="AB2466" i="2"/>
  <c r="AB2498" i="2"/>
  <c r="AL2498" i="2"/>
  <c r="V2498" i="2"/>
  <c r="AG2498" i="2"/>
  <c r="AL2481" i="2"/>
  <c r="V2481" i="2"/>
  <c r="AB2481" i="2"/>
  <c r="AG2481" i="2"/>
  <c r="AQ2492" i="2"/>
  <c r="AV2492" i="2" s="1"/>
  <c r="BE2492" i="2" s="1"/>
  <c r="AQ2399" i="2"/>
  <c r="AV2399" i="2" s="1"/>
  <c r="BE2399" i="2" s="1"/>
  <c r="AQ2407" i="2"/>
  <c r="AV2407" i="2" s="1"/>
  <c r="BE2407" i="2" s="1"/>
  <c r="AG2437" i="2"/>
  <c r="AB2437" i="2"/>
  <c r="AL2437" i="2"/>
  <c r="V2437" i="2"/>
  <c r="AG2453" i="2"/>
  <c r="AB2453" i="2"/>
  <c r="AL2453" i="2"/>
  <c r="V2453" i="2"/>
  <c r="BD2464" i="2"/>
  <c r="AQ2468" i="2"/>
  <c r="AV2468" i="2" s="1"/>
  <c r="BE2468" i="2" s="1"/>
  <c r="AL2414" i="2"/>
  <c r="V2414" i="2"/>
  <c r="AG2414" i="2"/>
  <c r="AB2414" i="2"/>
  <c r="BD2425" i="2"/>
  <c r="AB2494" i="2"/>
  <c r="AL2494" i="2"/>
  <c r="V2494" i="2"/>
  <c r="AG2494" i="2"/>
  <c r="BD2499" i="2"/>
  <c r="AQ2344" i="2"/>
  <c r="AV2344" i="2" s="1"/>
  <c r="BE2344" i="2" s="1"/>
  <c r="AQ2376" i="2"/>
  <c r="AV2376" i="2" s="1"/>
  <c r="BE2376" i="2" s="1"/>
  <c r="AQ2384" i="2"/>
  <c r="AV2384" i="2" s="1"/>
  <c r="BE2384" i="2" s="1"/>
  <c r="AG2392" i="2"/>
  <c r="V2392" i="2"/>
  <c r="AL2392" i="2"/>
  <c r="AB2392" i="2"/>
  <c r="AQ2205" i="2"/>
  <c r="AV2205" i="2" s="1"/>
  <c r="BE2205" i="2" s="1"/>
  <c r="BD2460" i="2"/>
  <c r="AG2439" i="2"/>
  <c r="AB2439" i="2"/>
  <c r="AL2439" i="2"/>
  <c r="V2439" i="2"/>
  <c r="AQ2471" i="2"/>
  <c r="AV2471" i="2" s="1"/>
  <c r="BE2471" i="2" s="1"/>
  <c r="AL2410" i="2"/>
  <c r="V2410" i="2"/>
  <c r="AG2410" i="2"/>
  <c r="AB2410" i="2"/>
  <c r="AL2426" i="2"/>
  <c r="V2426" i="2"/>
  <c r="AG2426" i="2"/>
  <c r="AB2426" i="2"/>
  <c r="AB85" i="2"/>
  <c r="AG85" i="2"/>
  <c r="AL85" i="2"/>
  <c r="V85" i="2"/>
  <c r="AQ38" i="2"/>
  <c r="AV38" i="2" s="1"/>
  <c r="BE38" i="2" s="1"/>
  <c r="AH192" i="2"/>
  <c r="AC192" i="2"/>
  <c r="W192" i="2"/>
  <c r="AM192" i="2"/>
  <c r="AB75" i="2"/>
  <c r="AL75" i="2"/>
  <c r="AG75" i="2"/>
  <c r="V75" i="2"/>
  <c r="AQ70" i="2"/>
  <c r="AV70" i="2" s="1"/>
  <c r="BE70" i="2" s="1"/>
  <c r="AR200" i="2"/>
  <c r="AW200" i="2" s="1"/>
  <c r="BF200" i="2" s="1"/>
  <c r="AL70" i="2"/>
  <c r="V70" i="2"/>
  <c r="AB70" i="2"/>
  <c r="AG70" i="2"/>
  <c r="BD128" i="2"/>
  <c r="AB157" i="2"/>
  <c r="AL157" i="2"/>
  <c r="AG157" i="2"/>
  <c r="V157" i="2"/>
  <c r="AB175" i="2"/>
  <c r="AL175" i="2"/>
  <c r="AG175" i="2"/>
  <c r="V175" i="2"/>
  <c r="AB295" i="2"/>
  <c r="AL295" i="2"/>
  <c r="AG295" i="2"/>
  <c r="V295" i="2"/>
  <c r="BD300" i="2"/>
  <c r="AL312" i="2"/>
  <c r="V312" i="2"/>
  <c r="AG312" i="2"/>
  <c r="AB312" i="2"/>
  <c r="AL410" i="2"/>
  <c r="V410" i="2"/>
  <c r="AG410" i="2"/>
  <c r="AB410" i="2"/>
  <c r="AL440" i="2"/>
  <c r="V440" i="2"/>
  <c r="AG440" i="2"/>
  <c r="AB440" i="2"/>
  <c r="AQ463" i="2"/>
  <c r="AV463" i="2" s="1"/>
  <c r="BE463" i="2" s="1"/>
  <c r="AB489" i="2"/>
  <c r="AL489" i="2"/>
  <c r="AG489" i="2"/>
  <c r="V489" i="2"/>
  <c r="AB35" i="2"/>
  <c r="AL35" i="2"/>
  <c r="AG35" i="2"/>
  <c r="V35" i="2"/>
  <c r="AQ45" i="2"/>
  <c r="AV45" i="2" s="1"/>
  <c r="BE45" i="2" s="1"/>
  <c r="AB79" i="2"/>
  <c r="AL79" i="2"/>
  <c r="V79" i="2"/>
  <c r="AG79" i="2"/>
  <c r="AB89" i="2"/>
  <c r="AL89" i="2"/>
  <c r="V89" i="2"/>
  <c r="AG89" i="2"/>
  <c r="AB115" i="2"/>
  <c r="AL115" i="2"/>
  <c r="AG115" i="2"/>
  <c r="V115" i="2"/>
  <c r="AB131" i="2"/>
  <c r="AL131" i="2"/>
  <c r="AG131" i="2"/>
  <c r="V131" i="2"/>
  <c r="AB147" i="2"/>
  <c r="AL147" i="2"/>
  <c r="AG147" i="2"/>
  <c r="V147" i="2"/>
  <c r="AB163" i="2"/>
  <c r="AL163" i="2"/>
  <c r="AG163" i="2"/>
  <c r="V163" i="2"/>
  <c r="AB179" i="2"/>
  <c r="AL179" i="2"/>
  <c r="AG179" i="2"/>
  <c r="V179" i="2"/>
  <c r="AB195" i="2"/>
  <c r="AL195" i="2"/>
  <c r="AG195" i="2"/>
  <c r="V195" i="2"/>
  <c r="AB283" i="2"/>
  <c r="AL283" i="2"/>
  <c r="AG283" i="2"/>
  <c r="V283" i="2"/>
  <c r="AB289" i="2"/>
  <c r="AL289" i="2"/>
  <c r="AG289" i="2"/>
  <c r="V289" i="2"/>
  <c r="AQ308" i="2"/>
  <c r="AV308" i="2" s="1"/>
  <c r="BE308" i="2" s="1"/>
  <c r="AQ322" i="2"/>
  <c r="AV322" i="2" s="1"/>
  <c r="BE322" i="2" s="1"/>
  <c r="AB13" i="2"/>
  <c r="V13" i="2"/>
  <c r="AG13" i="2"/>
  <c r="AL13" i="2"/>
  <c r="AQ24" i="2"/>
  <c r="AV24" i="2" s="1"/>
  <c r="BE24" i="2" s="1"/>
  <c r="BD136" i="2"/>
  <c r="BD200" i="2"/>
  <c r="BD212" i="2"/>
  <c r="AQ223" i="2"/>
  <c r="AV223" i="2" s="1"/>
  <c r="BE223" i="2" s="1"/>
  <c r="AQ336" i="2"/>
  <c r="AV336" i="2" s="1"/>
  <c r="BE336" i="2" s="1"/>
  <c r="AQ368" i="2"/>
  <c r="AV368" i="2" s="1"/>
  <c r="BE368" i="2" s="1"/>
  <c r="AQ400" i="2"/>
  <c r="AV400" i="2" s="1"/>
  <c r="BE400" i="2" s="1"/>
  <c r="AB441" i="2"/>
  <c r="AL441" i="2"/>
  <c r="AG441" i="2"/>
  <c r="V441" i="2"/>
  <c r="AL490" i="2"/>
  <c r="V490" i="2"/>
  <c r="AG490" i="2"/>
  <c r="AB490" i="2"/>
  <c r="AQ29" i="2"/>
  <c r="AV29" i="2" s="1"/>
  <c r="BE29" i="2" s="1"/>
  <c r="AL40" i="2"/>
  <c r="V40" i="2"/>
  <c r="AG40" i="2"/>
  <c r="AB40" i="2"/>
  <c r="AL46" i="2"/>
  <c r="V46" i="2"/>
  <c r="AG46" i="2"/>
  <c r="AB46" i="2"/>
  <c r="AQ61" i="2"/>
  <c r="AV61" i="2" s="1"/>
  <c r="BE61" i="2" s="1"/>
  <c r="AL66" i="2"/>
  <c r="V66" i="2"/>
  <c r="AG66" i="2"/>
  <c r="AB66" i="2"/>
  <c r="AL72" i="2"/>
  <c r="V72" i="2"/>
  <c r="AG72" i="2"/>
  <c r="AB72" i="2"/>
  <c r="AL78" i="2"/>
  <c r="V78" i="2"/>
  <c r="AG78" i="2"/>
  <c r="AB78" i="2"/>
  <c r="AQ93" i="2"/>
  <c r="AV93" i="2" s="1"/>
  <c r="BE93" i="2" s="1"/>
  <c r="AL98" i="2"/>
  <c r="V98" i="2"/>
  <c r="AG98" i="2"/>
  <c r="AB98" i="2"/>
  <c r="AQ105" i="2"/>
  <c r="AV105" i="2" s="1"/>
  <c r="BE105" i="2" s="1"/>
  <c r="AQ137" i="2"/>
  <c r="AV137" i="2" s="1"/>
  <c r="BE137" i="2" s="1"/>
  <c r="AQ169" i="2"/>
  <c r="AV169" i="2" s="1"/>
  <c r="BE169" i="2" s="1"/>
  <c r="AQ201" i="2"/>
  <c r="AV201" i="2" s="1"/>
  <c r="BE201" i="2" s="1"/>
  <c r="AQ418" i="2"/>
  <c r="AV418" i="2" s="1"/>
  <c r="BE418" i="2" s="1"/>
  <c r="AQ448" i="2"/>
  <c r="AV448" i="2" s="1"/>
  <c r="BE448" i="2" s="1"/>
  <c r="AB471" i="2"/>
  <c r="AL471" i="2"/>
  <c r="AG471" i="2"/>
  <c r="V471" i="2"/>
  <c r="AQ726" i="2"/>
  <c r="AV726" i="2" s="1"/>
  <c r="BE726" i="2" s="1"/>
  <c r="AQ734" i="2"/>
  <c r="AV734" i="2" s="1"/>
  <c r="BE734" i="2" s="1"/>
  <c r="AQ750" i="2"/>
  <c r="AV750" i="2" s="1"/>
  <c r="BE750" i="2" s="1"/>
  <c r="AQ766" i="2"/>
  <c r="AV766" i="2" s="1"/>
  <c r="BE766" i="2" s="1"/>
  <c r="AQ782" i="2"/>
  <c r="AV782" i="2" s="1"/>
  <c r="BE782" i="2" s="1"/>
  <c r="AQ798" i="2"/>
  <c r="AV798" i="2" s="1"/>
  <c r="BE798" i="2" s="1"/>
  <c r="AQ814" i="2"/>
  <c r="AV814" i="2" s="1"/>
  <c r="BE814" i="2" s="1"/>
  <c r="AQ830" i="2"/>
  <c r="AV830" i="2" s="1"/>
  <c r="BE830" i="2" s="1"/>
  <c r="AQ846" i="2"/>
  <c r="AV846" i="2" s="1"/>
  <c r="BE846" i="2" s="1"/>
  <c r="AQ862" i="2"/>
  <c r="AV862" i="2" s="1"/>
  <c r="BE862" i="2" s="1"/>
  <c r="AQ878" i="2"/>
  <c r="AV878" i="2" s="1"/>
  <c r="BE878" i="2" s="1"/>
  <c r="BD257" i="2"/>
  <c r="BD337" i="2"/>
  <c r="BD369" i="2"/>
  <c r="BD401" i="2"/>
  <c r="AQ427" i="2"/>
  <c r="AV427" i="2" s="1"/>
  <c r="BE427" i="2" s="1"/>
  <c r="AB459" i="2"/>
  <c r="AL459" i="2"/>
  <c r="AG459" i="2"/>
  <c r="V459" i="2"/>
  <c r="AQ491" i="2"/>
  <c r="AV491" i="2" s="1"/>
  <c r="BE491" i="2" s="1"/>
  <c r="AL517" i="2"/>
  <c r="V517" i="2"/>
  <c r="AG517" i="2"/>
  <c r="AB517" i="2"/>
  <c r="AB534" i="2"/>
  <c r="AL534" i="2"/>
  <c r="V534" i="2"/>
  <c r="AG534" i="2"/>
  <c r="AQ549" i="2"/>
  <c r="AV549" i="2" s="1"/>
  <c r="BE549" i="2" s="1"/>
  <c r="AB221" i="2"/>
  <c r="V221" i="2"/>
  <c r="AL221" i="2"/>
  <c r="AG221" i="2"/>
  <c r="AQ317" i="2"/>
  <c r="AV317" i="2" s="1"/>
  <c r="BE317" i="2" s="1"/>
  <c r="AQ551" i="2"/>
  <c r="AV551" i="2" s="1"/>
  <c r="BE551" i="2" s="1"/>
  <c r="BD29" i="2"/>
  <c r="AQ238" i="2"/>
  <c r="AV238" i="2" s="1"/>
  <c r="BE238" i="2" s="1"/>
  <c r="AL270" i="2"/>
  <c r="V270" i="2"/>
  <c r="AG270" i="2"/>
  <c r="AB270" i="2"/>
  <c r="AH324" i="2"/>
  <c r="AC324" i="2"/>
  <c r="AM324" i="2"/>
  <c r="W324" i="2"/>
  <c r="AR388" i="2"/>
  <c r="AW388" i="2" s="1"/>
  <c r="BF388" i="2" s="1"/>
  <c r="AL390" i="2"/>
  <c r="V390" i="2"/>
  <c r="AG390" i="2"/>
  <c r="AB390" i="2"/>
  <c r="AQ522" i="2"/>
  <c r="AV522" i="2" s="1"/>
  <c r="BE522" i="2" s="1"/>
  <c r="AQ537" i="2"/>
  <c r="AV537" i="2" s="1"/>
  <c r="BE537" i="2" s="1"/>
  <c r="AQ554" i="2"/>
  <c r="AV554" i="2" s="1"/>
  <c r="BE554" i="2" s="1"/>
  <c r="AQ625" i="2"/>
  <c r="AV625" i="2" s="1"/>
  <c r="BE625" i="2" s="1"/>
  <c r="AL633" i="2"/>
  <c r="V633" i="2"/>
  <c r="AG633" i="2"/>
  <c r="AB633" i="2"/>
  <c r="BD634" i="2"/>
  <c r="AQ641" i="2"/>
  <c r="AV641" i="2" s="1"/>
  <c r="BE641" i="2" s="1"/>
  <c r="AL649" i="2"/>
  <c r="V649" i="2"/>
  <c r="AG649" i="2"/>
  <c r="AB649" i="2"/>
  <c r="BD650" i="2"/>
  <c r="AQ657" i="2"/>
  <c r="AV657" i="2" s="1"/>
  <c r="BE657" i="2" s="1"/>
  <c r="AL665" i="2"/>
  <c r="V665" i="2"/>
  <c r="AG665" i="2"/>
  <c r="AB665" i="2"/>
  <c r="BD666" i="2"/>
  <c r="AQ673" i="2"/>
  <c r="AV673" i="2" s="1"/>
  <c r="BE673" i="2" s="1"/>
  <c r="AL681" i="2"/>
  <c r="V681" i="2"/>
  <c r="AG681" i="2"/>
  <c r="AB681" i="2"/>
  <c r="BD682" i="2"/>
  <c r="AQ689" i="2"/>
  <c r="AV689" i="2" s="1"/>
  <c r="BE689" i="2" s="1"/>
  <c r="AL697" i="2"/>
  <c r="V697" i="2"/>
  <c r="AG697" i="2"/>
  <c r="AB697" i="2"/>
  <c r="BD698" i="2"/>
  <c r="AQ705" i="2"/>
  <c r="AV705" i="2" s="1"/>
  <c r="BE705" i="2" s="1"/>
  <c r="AL713" i="2"/>
  <c r="V713" i="2"/>
  <c r="AG713" i="2"/>
  <c r="AB713" i="2"/>
  <c r="BD714" i="2"/>
  <c r="AG739" i="2"/>
  <c r="AL739" i="2"/>
  <c r="V739" i="2"/>
  <c r="AB739" i="2"/>
  <c r="AG755" i="2"/>
  <c r="AL755" i="2"/>
  <c r="V755" i="2"/>
  <c r="AB755" i="2"/>
  <c r="AG771" i="2"/>
  <c r="AL771" i="2"/>
  <c r="V771" i="2"/>
  <c r="AB771" i="2"/>
  <c r="AG787" i="2"/>
  <c r="AL787" i="2"/>
  <c r="V787" i="2"/>
  <c r="AB787" i="2"/>
  <c r="AG803" i="2"/>
  <c r="AL803" i="2"/>
  <c r="V803" i="2"/>
  <c r="AB803" i="2"/>
  <c r="AG819" i="2"/>
  <c r="AL819" i="2"/>
  <c r="V819" i="2"/>
  <c r="AB819" i="2"/>
  <c r="AG835" i="2"/>
  <c r="AL835" i="2"/>
  <c r="V835" i="2"/>
  <c r="AB835" i="2"/>
  <c r="AG851" i="2"/>
  <c r="AL851" i="2"/>
  <c r="V851" i="2"/>
  <c r="AB851" i="2"/>
  <c r="AG867" i="2"/>
  <c r="AL867" i="2"/>
  <c r="V867" i="2"/>
  <c r="AB867" i="2"/>
  <c r="AG883" i="2"/>
  <c r="AL883" i="2"/>
  <c r="V883" i="2"/>
  <c r="AB883" i="2"/>
  <c r="AG737" i="2"/>
  <c r="AL737" i="2"/>
  <c r="V737" i="2"/>
  <c r="AB737" i="2"/>
  <c r="AG769" i="2"/>
  <c r="AL769" i="2"/>
  <c r="V769" i="2"/>
  <c r="AB769" i="2"/>
  <c r="AG801" i="2"/>
  <c r="AL801" i="2"/>
  <c r="V801" i="2"/>
  <c r="AB801" i="2"/>
  <c r="AG833" i="2"/>
  <c r="AL833" i="2"/>
  <c r="V833" i="2"/>
  <c r="AB833" i="2"/>
  <c r="AG865" i="2"/>
  <c r="AL865" i="2"/>
  <c r="V865" i="2"/>
  <c r="AB865" i="2"/>
  <c r="AG1045" i="2"/>
  <c r="AB1045" i="2"/>
  <c r="AL1045" i="2"/>
  <c r="V1045" i="2"/>
  <c r="AQ1142" i="2"/>
  <c r="AV1142" i="2" s="1"/>
  <c r="BE1142" i="2" s="1"/>
  <c r="AQ1146" i="2"/>
  <c r="AV1146" i="2" s="1"/>
  <c r="BE1146" i="2" s="1"/>
  <c r="AQ1150" i="2"/>
  <c r="AV1150" i="2" s="1"/>
  <c r="BE1150" i="2" s="1"/>
  <c r="AQ1054" i="2"/>
  <c r="AV1054" i="2" s="1"/>
  <c r="BE1054" i="2" s="1"/>
  <c r="AQ1062" i="2"/>
  <c r="AV1062" i="2" s="1"/>
  <c r="BE1062" i="2" s="1"/>
  <c r="AQ1070" i="2"/>
  <c r="AV1070" i="2" s="1"/>
  <c r="BE1070" i="2" s="1"/>
  <c r="AQ1078" i="2"/>
  <c r="AV1078" i="2" s="1"/>
  <c r="BE1078" i="2" s="1"/>
  <c r="AQ1086" i="2"/>
  <c r="AV1086" i="2" s="1"/>
  <c r="BE1086" i="2" s="1"/>
  <c r="AQ1094" i="2"/>
  <c r="AV1094" i="2" s="1"/>
  <c r="BE1094" i="2" s="1"/>
  <c r="AQ1102" i="2"/>
  <c r="AV1102" i="2" s="1"/>
  <c r="BE1102" i="2" s="1"/>
  <c r="AQ1110" i="2"/>
  <c r="AV1110" i="2" s="1"/>
  <c r="BE1110" i="2" s="1"/>
  <c r="AQ1118" i="2"/>
  <c r="AV1118" i="2" s="1"/>
  <c r="BE1118" i="2" s="1"/>
  <c r="AQ1126" i="2"/>
  <c r="AV1126" i="2" s="1"/>
  <c r="BE1126" i="2" s="1"/>
  <c r="AQ1134" i="2"/>
  <c r="AV1134" i="2" s="1"/>
  <c r="BE1134" i="2" s="1"/>
  <c r="AQ756" i="2"/>
  <c r="AV756" i="2" s="1"/>
  <c r="BE756" i="2" s="1"/>
  <c r="AG788" i="2"/>
  <c r="AB788" i="2"/>
  <c r="AL788" i="2"/>
  <c r="V788" i="2"/>
  <c r="AQ820" i="2"/>
  <c r="AV820" i="2" s="1"/>
  <c r="BE820" i="2" s="1"/>
  <c r="AG852" i="2"/>
  <c r="AB852" i="2"/>
  <c r="AL852" i="2"/>
  <c r="V852" i="2"/>
  <c r="AQ884" i="2"/>
  <c r="AV884" i="2" s="1"/>
  <c r="BE884" i="2" s="1"/>
  <c r="BD1041" i="2"/>
  <c r="AG1065" i="2"/>
  <c r="AL1065" i="2"/>
  <c r="V1065" i="2"/>
  <c r="AB1065" i="2"/>
  <c r="AQ1097" i="2"/>
  <c r="AV1097" i="2" s="1"/>
  <c r="BE1097" i="2" s="1"/>
  <c r="AG1129" i="2"/>
  <c r="AL1129" i="2"/>
  <c r="V1129" i="2"/>
  <c r="AB1129" i="2"/>
  <c r="AR1149" i="2"/>
  <c r="AW1149" i="2" s="1"/>
  <c r="BF1149" i="2" s="1"/>
  <c r="AQ1177" i="2"/>
  <c r="AV1177" i="2" s="1"/>
  <c r="BE1177" i="2" s="1"/>
  <c r="AB1209" i="2"/>
  <c r="AL1209" i="2"/>
  <c r="V1209" i="2"/>
  <c r="AG1209" i="2"/>
  <c r="AQ1241" i="2"/>
  <c r="AV1241" i="2" s="1"/>
  <c r="BE1241" i="2" s="1"/>
  <c r="AB1273" i="2"/>
  <c r="AL1273" i="2"/>
  <c r="V1273" i="2"/>
  <c r="AG1273" i="2"/>
  <c r="AQ1305" i="2"/>
  <c r="AV1305" i="2" s="1"/>
  <c r="BE1305" i="2" s="1"/>
  <c r="AB1337" i="2"/>
  <c r="AL1337" i="2"/>
  <c r="V1337" i="2"/>
  <c r="AG1337" i="2"/>
  <c r="AQ1369" i="2"/>
  <c r="AV1369" i="2" s="1"/>
  <c r="BE1369" i="2" s="1"/>
  <c r="BD1104" i="2"/>
  <c r="AQ1180" i="2"/>
  <c r="AV1180" i="2" s="1"/>
  <c r="BE1180" i="2" s="1"/>
  <c r="AL1212" i="2"/>
  <c r="V1212" i="2"/>
  <c r="AG1212" i="2"/>
  <c r="AB1212" i="2"/>
  <c r="AQ1244" i="2"/>
  <c r="AV1244" i="2" s="1"/>
  <c r="BE1244" i="2" s="1"/>
  <c r="AL1276" i="2"/>
  <c r="V1276" i="2"/>
  <c r="AG1276" i="2"/>
  <c r="AB1276" i="2"/>
  <c r="AQ1308" i="2"/>
  <c r="AV1308" i="2" s="1"/>
  <c r="BE1308" i="2" s="1"/>
  <c r="AL1340" i="2"/>
  <c r="V1340" i="2"/>
  <c r="AG1340" i="2"/>
  <c r="AB1340" i="2"/>
  <c r="AB1380" i="2"/>
  <c r="AG1380" i="2"/>
  <c r="AL1380" i="2"/>
  <c r="V1380" i="2"/>
  <c r="AG1067" i="2"/>
  <c r="AL1067" i="2"/>
  <c r="V1067" i="2"/>
  <c r="AB1067" i="2"/>
  <c r="AQ1099" i="2"/>
  <c r="AV1099" i="2" s="1"/>
  <c r="BE1099" i="2" s="1"/>
  <c r="AG1131" i="2"/>
  <c r="AL1131" i="2"/>
  <c r="V1131" i="2"/>
  <c r="AB1131" i="2"/>
  <c r="BD1178" i="2"/>
  <c r="AQ1199" i="2"/>
  <c r="AV1199" i="2" s="1"/>
  <c r="BE1199" i="2" s="1"/>
  <c r="AB1231" i="2"/>
  <c r="AL1231" i="2"/>
  <c r="V1231" i="2"/>
  <c r="AG1231" i="2"/>
  <c r="BD1242" i="2"/>
  <c r="AQ1263" i="2"/>
  <c r="AV1263" i="2" s="1"/>
  <c r="BE1263" i="2" s="1"/>
  <c r="AB1295" i="2"/>
  <c r="AL1295" i="2"/>
  <c r="V1295" i="2"/>
  <c r="AG1295" i="2"/>
  <c r="BD1306" i="2"/>
  <c r="AQ1327" i="2"/>
  <c r="AV1327" i="2" s="1"/>
  <c r="BE1327" i="2" s="1"/>
  <c r="AB1359" i="2"/>
  <c r="AL1359" i="2"/>
  <c r="V1359" i="2"/>
  <c r="AG1359" i="2"/>
  <c r="BD1370" i="2"/>
  <c r="BD1054" i="2"/>
  <c r="BD1118" i="2"/>
  <c r="AQ1178" i="2"/>
  <c r="AV1178" i="2" s="1"/>
  <c r="BE1178" i="2" s="1"/>
  <c r="AL1210" i="2"/>
  <c r="V1210" i="2"/>
  <c r="AG1210" i="2"/>
  <c r="AB1210" i="2"/>
  <c r="AQ1242" i="2"/>
  <c r="AV1242" i="2" s="1"/>
  <c r="BE1242" i="2" s="1"/>
  <c r="AL1274" i="2"/>
  <c r="V1274" i="2"/>
  <c r="AG1274" i="2"/>
  <c r="AB1274" i="2"/>
  <c r="AQ1306" i="2"/>
  <c r="AV1306" i="2" s="1"/>
  <c r="BE1306" i="2" s="1"/>
  <c r="AL1338" i="2"/>
  <c r="V1338" i="2"/>
  <c r="AG1338" i="2"/>
  <c r="AB1338" i="2"/>
  <c r="AQ1370" i="2"/>
  <c r="AV1370" i="2" s="1"/>
  <c r="BE1370" i="2" s="1"/>
  <c r="BD1559" i="2"/>
  <c r="BD1575" i="2"/>
  <c r="BD1666" i="2"/>
  <c r="AB1382" i="2"/>
  <c r="AG1382" i="2"/>
  <c r="AL1382" i="2"/>
  <c r="V1382" i="2"/>
  <c r="AQ1405" i="2"/>
  <c r="AV1405" i="2" s="1"/>
  <c r="BE1405" i="2" s="1"/>
  <c r="AB1409" i="2"/>
  <c r="AL1409" i="2"/>
  <c r="V1409" i="2"/>
  <c r="AG1409" i="2"/>
  <c r="AQ1421" i="2"/>
  <c r="AV1421" i="2" s="1"/>
  <c r="BE1421" i="2" s="1"/>
  <c r="AB1425" i="2"/>
  <c r="AL1425" i="2"/>
  <c r="V1425" i="2"/>
  <c r="AG1425" i="2"/>
  <c r="AQ1437" i="2"/>
  <c r="AV1437" i="2" s="1"/>
  <c r="BE1437" i="2" s="1"/>
  <c r="AQ1504" i="2"/>
  <c r="AV1504" i="2" s="1"/>
  <c r="BE1504" i="2" s="1"/>
  <c r="AQ1588" i="2"/>
  <c r="AV1588" i="2" s="1"/>
  <c r="BE1588" i="2" s="1"/>
  <c r="AQ1596" i="2"/>
  <c r="AV1596" i="2" s="1"/>
  <c r="BE1596" i="2" s="1"/>
  <c r="AB1603" i="2"/>
  <c r="AL1603" i="2"/>
  <c r="V1603" i="2"/>
  <c r="AG1603" i="2"/>
  <c r="BD1606" i="2"/>
  <c r="AL1628" i="2"/>
  <c r="V1628" i="2"/>
  <c r="AG1628" i="2"/>
  <c r="AB1628" i="2"/>
  <c r="AQ1635" i="2"/>
  <c r="AV1635" i="2" s="1"/>
  <c r="BE1635" i="2" s="1"/>
  <c r="AQ1660" i="2"/>
  <c r="AV1660" i="2" s="1"/>
  <c r="BE1660" i="2" s="1"/>
  <c r="BD1405" i="2"/>
  <c r="BD1421" i="2"/>
  <c r="BD1437" i="2"/>
  <c r="AQ1518" i="2"/>
  <c r="AV1518" i="2" s="1"/>
  <c r="BE1518" i="2" s="1"/>
  <c r="AQ1522" i="2"/>
  <c r="AV1522" i="2" s="1"/>
  <c r="BE1522" i="2" s="1"/>
  <c r="AQ1526" i="2"/>
  <c r="AV1526" i="2" s="1"/>
  <c r="BE1526" i="2" s="1"/>
  <c r="AL1373" i="2"/>
  <c r="V1373" i="2"/>
  <c r="AG1373" i="2"/>
  <c r="AB1373" i="2"/>
  <c r="AL1389" i="2"/>
  <c r="V1389" i="2"/>
  <c r="AG1389" i="2"/>
  <c r="AB1389" i="2"/>
  <c r="AQ1446" i="2"/>
  <c r="AV1446" i="2" s="1"/>
  <c r="BE1446" i="2" s="1"/>
  <c r="AQ1450" i="2"/>
  <c r="AV1450" i="2" s="1"/>
  <c r="BE1450" i="2" s="1"/>
  <c r="AQ1454" i="2"/>
  <c r="AV1454" i="2" s="1"/>
  <c r="BE1454" i="2" s="1"/>
  <c r="AQ1458" i="2"/>
  <c r="AV1458" i="2" s="1"/>
  <c r="BE1458" i="2" s="1"/>
  <c r="AQ1462" i="2"/>
  <c r="AV1462" i="2" s="1"/>
  <c r="BE1462" i="2" s="1"/>
  <c r="AQ1466" i="2"/>
  <c r="AV1466" i="2" s="1"/>
  <c r="BE1466" i="2" s="1"/>
  <c r="AQ1470" i="2"/>
  <c r="AV1470" i="2" s="1"/>
  <c r="BE1470" i="2" s="1"/>
  <c r="AQ1474" i="2"/>
  <c r="AV1474" i="2" s="1"/>
  <c r="BE1474" i="2" s="1"/>
  <c r="AQ1501" i="2"/>
  <c r="AV1501" i="2" s="1"/>
  <c r="BE1501" i="2" s="1"/>
  <c r="BD1517" i="2"/>
  <c r="BD1533" i="2"/>
  <c r="AQ1606" i="2"/>
  <c r="AV1606" i="2" s="1"/>
  <c r="BE1606" i="2" s="1"/>
  <c r="AB1613" i="2"/>
  <c r="AL1613" i="2"/>
  <c r="V1613" i="2"/>
  <c r="AG1613" i="2"/>
  <c r="BD1616" i="2"/>
  <c r="AL1638" i="2"/>
  <c r="V1638" i="2"/>
  <c r="AG1638" i="2"/>
  <c r="AB1638" i="2"/>
  <c r="AQ1645" i="2"/>
  <c r="AV1645" i="2" s="1"/>
  <c r="BE1645" i="2" s="1"/>
  <c r="AL1671" i="2"/>
  <c r="V1671" i="2"/>
  <c r="AB1671" i="2"/>
  <c r="AG1671" i="2"/>
  <c r="AL1675" i="2"/>
  <c r="V1675" i="2"/>
  <c r="AB1675" i="2"/>
  <c r="AG1675" i="2"/>
  <c r="AL1679" i="2"/>
  <c r="V1679" i="2"/>
  <c r="AB1679" i="2"/>
  <c r="AG1679" i="2"/>
  <c r="AL1683" i="2"/>
  <c r="V1683" i="2"/>
  <c r="AB1683" i="2"/>
  <c r="AG1683" i="2"/>
  <c r="AL1687" i="2"/>
  <c r="V1687" i="2"/>
  <c r="AB1687" i="2"/>
  <c r="AG1687" i="2"/>
  <c r="AL1691" i="2"/>
  <c r="V1691" i="2"/>
  <c r="AB1691" i="2"/>
  <c r="AG1691" i="2"/>
  <c r="AL1695" i="2"/>
  <c r="V1695" i="2"/>
  <c r="AB1695" i="2"/>
  <c r="AG1695" i="2"/>
  <c r="AL1699" i="2"/>
  <c r="V1699" i="2"/>
  <c r="AB1699" i="2"/>
  <c r="AG1699" i="2"/>
  <c r="AL1703" i="2"/>
  <c r="V1703" i="2"/>
  <c r="AB1703" i="2"/>
  <c r="AG1703" i="2"/>
  <c r="AL1707" i="2"/>
  <c r="V1707" i="2"/>
  <c r="AB1707" i="2"/>
  <c r="AG1707" i="2"/>
  <c r="AL1711" i="2"/>
  <c r="V1711" i="2"/>
  <c r="AB1711" i="2"/>
  <c r="AG1711" i="2"/>
  <c r="AL1715" i="2"/>
  <c r="V1715" i="2"/>
  <c r="AB1715" i="2"/>
  <c r="AG1715" i="2"/>
  <c r="AL1719" i="2"/>
  <c r="V1719" i="2"/>
  <c r="AB1719" i="2"/>
  <c r="AG1719" i="2"/>
  <c r="AL1723" i="2"/>
  <c r="V1723" i="2"/>
  <c r="AB1723" i="2"/>
  <c r="AG1723" i="2"/>
  <c r="AL1727" i="2"/>
  <c r="V1727" i="2"/>
  <c r="AB1727" i="2"/>
  <c r="AG1727" i="2"/>
  <c r="AL1731" i="2"/>
  <c r="V1731" i="2"/>
  <c r="AB1731" i="2"/>
  <c r="AG1731" i="2"/>
  <c r="AL1735" i="2"/>
  <c r="V1735" i="2"/>
  <c r="AB1735" i="2"/>
  <c r="AG1735" i="2"/>
  <c r="AL1739" i="2"/>
  <c r="V1739" i="2"/>
  <c r="AB1739" i="2"/>
  <c r="AG1739" i="2"/>
  <c r="AL1743" i="2"/>
  <c r="V1743" i="2"/>
  <c r="AB1743" i="2"/>
  <c r="AG1743" i="2"/>
  <c r="AL1747" i="2"/>
  <c r="V1747" i="2"/>
  <c r="AB1747" i="2"/>
  <c r="AG1747" i="2"/>
  <c r="AL1751" i="2"/>
  <c r="V1751" i="2"/>
  <c r="AB1751" i="2"/>
  <c r="AG1751" i="2"/>
  <c r="AL1755" i="2"/>
  <c r="V1755" i="2"/>
  <c r="AB1755" i="2"/>
  <c r="AG1755" i="2"/>
  <c r="AC1811" i="2"/>
  <c r="AM1811" i="2"/>
  <c r="AH1811" i="2"/>
  <c r="W1811" i="2"/>
  <c r="AQ1853" i="2"/>
  <c r="AV1853" i="2" s="1"/>
  <c r="BE1853" i="2" s="1"/>
  <c r="AQ1857" i="2"/>
  <c r="AV1857" i="2" s="1"/>
  <c r="BE1857" i="2" s="1"/>
  <c r="AB1864" i="2"/>
  <c r="AL1864" i="2"/>
  <c r="V1864" i="2"/>
  <c r="AG1864" i="2"/>
  <c r="AB1872" i="2"/>
  <c r="AL1872" i="2"/>
  <c r="V1872" i="2"/>
  <c r="AG1872" i="2"/>
  <c r="AB1880" i="2"/>
  <c r="AL1880" i="2"/>
  <c r="V1880" i="2"/>
  <c r="AG1880" i="2"/>
  <c r="AB1888" i="2"/>
  <c r="AL1888" i="2"/>
  <c r="V1888" i="2"/>
  <c r="AG1888" i="2"/>
  <c r="AB1896" i="2"/>
  <c r="AL1896" i="2"/>
  <c r="V1896" i="2"/>
  <c r="AG1896" i="2"/>
  <c r="AB1904" i="2"/>
  <c r="AL1904" i="2"/>
  <c r="V1904" i="2"/>
  <c r="AG1904" i="2"/>
  <c r="AB1912" i="2"/>
  <c r="AL1912" i="2"/>
  <c r="V1912" i="2"/>
  <c r="AG1912" i="2"/>
  <c r="AB1920" i="2"/>
  <c r="AL1920" i="2"/>
  <c r="V1920" i="2"/>
  <c r="AG1920" i="2"/>
  <c r="AB1928" i="2"/>
  <c r="AL1928" i="2"/>
  <c r="V1928" i="2"/>
  <c r="AG1928" i="2"/>
  <c r="AB1936" i="2"/>
  <c r="AL1936" i="2"/>
  <c r="V1936" i="2"/>
  <c r="AG1936" i="2"/>
  <c r="AB1944" i="2"/>
  <c r="AL1944" i="2"/>
  <c r="V1944" i="2"/>
  <c r="AG1944" i="2"/>
  <c r="AB1952" i="2"/>
  <c r="AL1952" i="2"/>
  <c r="V1952" i="2"/>
  <c r="AG1952" i="2"/>
  <c r="AQ1674" i="2"/>
  <c r="AV1674" i="2" s="1"/>
  <c r="BE1674" i="2" s="1"/>
  <c r="AB1690" i="2"/>
  <c r="AL1690" i="2"/>
  <c r="V1690" i="2"/>
  <c r="AG1690" i="2"/>
  <c r="AQ1738" i="2"/>
  <c r="AV1738" i="2" s="1"/>
  <c r="BE1738" i="2" s="1"/>
  <c r="AB1754" i="2"/>
  <c r="AL1754" i="2"/>
  <c r="V1754" i="2"/>
  <c r="AG1754" i="2"/>
  <c r="AQ1673" i="2"/>
  <c r="AV1673" i="2" s="1"/>
  <c r="BE1673" i="2" s="1"/>
  <c r="AQ1689" i="2"/>
  <c r="AV1689" i="2" s="1"/>
  <c r="BE1689" i="2" s="1"/>
  <c r="AQ1705" i="2"/>
  <c r="AV1705" i="2" s="1"/>
  <c r="BE1705" i="2" s="1"/>
  <c r="AQ1721" i="2"/>
  <c r="AV1721" i="2" s="1"/>
  <c r="BE1721" i="2" s="1"/>
  <c r="AQ1737" i="2"/>
  <c r="AV1737" i="2" s="1"/>
  <c r="BE1737" i="2" s="1"/>
  <c r="AQ1753" i="2"/>
  <c r="AV1753" i="2" s="1"/>
  <c r="BE1753" i="2" s="1"/>
  <c r="AL1820" i="2"/>
  <c r="AG1820" i="2"/>
  <c r="AB1820" i="2"/>
  <c r="V1820" i="2"/>
  <c r="AL2049" i="2"/>
  <c r="V2049" i="2"/>
  <c r="AG2049" i="2"/>
  <c r="AB2049" i="2"/>
  <c r="AQ2057" i="2"/>
  <c r="AV2057" i="2" s="1"/>
  <c r="BE2057" i="2" s="1"/>
  <c r="AL2065" i="2"/>
  <c r="V2065" i="2"/>
  <c r="AG2065" i="2"/>
  <c r="AB2065" i="2"/>
  <c r="AQ2073" i="2"/>
  <c r="AV2073" i="2" s="1"/>
  <c r="BE2073" i="2" s="1"/>
  <c r="AL2081" i="2"/>
  <c r="V2081" i="2"/>
  <c r="AG2081" i="2"/>
  <c r="AB2081" i="2"/>
  <c r="AQ2089" i="2"/>
  <c r="AV2089" i="2" s="1"/>
  <c r="BE2089" i="2" s="1"/>
  <c r="AL2097" i="2"/>
  <c r="V2097" i="2"/>
  <c r="AG2097" i="2"/>
  <c r="AB2097" i="2"/>
  <c r="AQ2105" i="2"/>
  <c r="AV2105" i="2" s="1"/>
  <c r="BE2105" i="2" s="1"/>
  <c r="AL2115" i="2"/>
  <c r="V2115" i="2"/>
  <c r="AG2115" i="2"/>
  <c r="AB2115" i="2"/>
  <c r="AL2117" i="2"/>
  <c r="V2117" i="2"/>
  <c r="AG2117" i="2"/>
  <c r="AB2117" i="2"/>
  <c r="AL2119" i="2"/>
  <c r="V2119" i="2"/>
  <c r="AG2119" i="2"/>
  <c r="AB2119" i="2"/>
  <c r="AL2121" i="2"/>
  <c r="V2121" i="2"/>
  <c r="AG2121" i="2"/>
  <c r="AB2121" i="2"/>
  <c r="AL2123" i="2"/>
  <c r="V2123" i="2"/>
  <c r="AG2123" i="2"/>
  <c r="AB2123" i="2"/>
  <c r="AL2125" i="2"/>
  <c r="V2125" i="2"/>
  <c r="AG2125" i="2"/>
  <c r="AB2125" i="2"/>
  <c r="AL2127" i="2"/>
  <c r="V2127" i="2"/>
  <c r="AG2127" i="2"/>
  <c r="AB2127" i="2"/>
  <c r="AL2129" i="2"/>
  <c r="V2129" i="2"/>
  <c r="AG2129" i="2"/>
  <c r="AB2129" i="2"/>
  <c r="AL2131" i="2"/>
  <c r="V2131" i="2"/>
  <c r="AG2131" i="2"/>
  <c r="AB2131" i="2"/>
  <c r="AL2133" i="2"/>
  <c r="V2133" i="2"/>
  <c r="AG2133" i="2"/>
  <c r="AB2133" i="2"/>
  <c r="AL2135" i="2"/>
  <c r="V2135" i="2"/>
  <c r="AG2135" i="2"/>
  <c r="AB2135" i="2"/>
  <c r="AL2137" i="2"/>
  <c r="V2137" i="2"/>
  <c r="AG2137" i="2"/>
  <c r="AB2137" i="2"/>
  <c r="AL2139" i="2"/>
  <c r="V2139" i="2"/>
  <c r="AG2139" i="2"/>
  <c r="AB2139" i="2"/>
  <c r="AL2141" i="2"/>
  <c r="V2141" i="2"/>
  <c r="AG2141" i="2"/>
  <c r="AB2141" i="2"/>
  <c r="AG2146" i="2"/>
  <c r="AL2146" i="2"/>
  <c r="V2146" i="2"/>
  <c r="AB2146" i="2"/>
  <c r="AL2067" i="2"/>
  <c r="V2067" i="2"/>
  <c r="AG2067" i="2"/>
  <c r="AB2067" i="2"/>
  <c r="AQ2076" i="2"/>
  <c r="AV2076" i="2" s="1"/>
  <c r="BE2076" i="2" s="1"/>
  <c r="AQ2099" i="2"/>
  <c r="AV2099" i="2" s="1"/>
  <c r="BE2099" i="2" s="1"/>
  <c r="AB2108" i="2"/>
  <c r="AL2108" i="2"/>
  <c r="V2108" i="2"/>
  <c r="AG2108" i="2"/>
  <c r="AQ2114" i="2"/>
  <c r="AV2114" i="2" s="1"/>
  <c r="BE2114" i="2" s="1"/>
  <c r="AQ2155" i="2"/>
  <c r="AV2155" i="2" s="1"/>
  <c r="BE2155" i="2" s="1"/>
  <c r="AG2187" i="2"/>
  <c r="AB2187" i="2"/>
  <c r="AL2187" i="2"/>
  <c r="V2187" i="2"/>
  <c r="AL2186" i="2"/>
  <c r="V2186" i="2"/>
  <c r="AG2186" i="2"/>
  <c r="AB2186" i="2"/>
  <c r="AQ2177" i="2"/>
  <c r="AV2177" i="2" s="1"/>
  <c r="BE2177" i="2" s="1"/>
  <c r="AQ2172" i="2"/>
  <c r="AV2172" i="2" s="1"/>
  <c r="BE2172" i="2" s="1"/>
  <c r="AG2400" i="2"/>
  <c r="AL2400" i="2"/>
  <c r="V2400" i="2"/>
  <c r="AB2400" i="2"/>
  <c r="AB2484" i="2"/>
  <c r="AL2484" i="2"/>
  <c r="V2484" i="2"/>
  <c r="AG2484" i="2"/>
  <c r="AL6" i="2"/>
  <c r="V6" i="2"/>
  <c r="AB6" i="2"/>
  <c r="AG6" i="2"/>
  <c r="AL54" i="2"/>
  <c r="V54" i="2"/>
  <c r="AB54" i="2"/>
  <c r="AG54" i="2"/>
  <c r="AB37" i="2"/>
  <c r="V37" i="2"/>
  <c r="AG37" i="2"/>
  <c r="AL37" i="2"/>
  <c r="BD203" i="2"/>
  <c r="AQ207" i="2"/>
  <c r="AV207" i="2" s="1"/>
  <c r="BE207" i="2" s="1"/>
  <c r="AQ215" i="2"/>
  <c r="AV215" i="2" s="1"/>
  <c r="BE215" i="2" s="1"/>
  <c r="AM216" i="2"/>
  <c r="AQ247" i="2"/>
  <c r="AV247" i="2" s="1"/>
  <c r="BE247" i="2" s="1"/>
  <c r="AM248" i="2"/>
  <c r="AQ279" i="2"/>
  <c r="AV279" i="2" s="1"/>
  <c r="BE279" i="2" s="1"/>
  <c r="AQ296" i="2"/>
  <c r="AV296" i="2" s="1"/>
  <c r="BE296" i="2" s="1"/>
  <c r="AQ442" i="2"/>
  <c r="AV442" i="2" s="1"/>
  <c r="BE442" i="2" s="1"/>
  <c r="AQ472" i="2"/>
  <c r="AV472" i="2" s="1"/>
  <c r="BE472" i="2" s="1"/>
  <c r="AL496" i="2"/>
  <c r="V496" i="2"/>
  <c r="AB496" i="2"/>
  <c r="AG496" i="2"/>
  <c r="AL500" i="2"/>
  <c r="V500" i="2"/>
  <c r="AB500" i="2"/>
  <c r="AG500" i="2"/>
  <c r="AL504" i="2"/>
  <c r="V504" i="2"/>
  <c r="AB504" i="2"/>
  <c r="AG504" i="2"/>
  <c r="AB3" i="2"/>
  <c r="AL3" i="2"/>
  <c r="AG3" i="2"/>
  <c r="V3" i="2"/>
  <c r="AL52" i="2"/>
  <c r="V52" i="2"/>
  <c r="AB52" i="2"/>
  <c r="AG52" i="2"/>
  <c r="AB67" i="2"/>
  <c r="AL67" i="2"/>
  <c r="AG67" i="2"/>
  <c r="V67" i="2"/>
  <c r="AQ77" i="2"/>
  <c r="AV77" i="2" s="1"/>
  <c r="BE77" i="2" s="1"/>
  <c r="AQ110" i="2"/>
  <c r="AV110" i="2" s="1"/>
  <c r="BE110" i="2" s="1"/>
  <c r="AL126" i="2"/>
  <c r="V126" i="2"/>
  <c r="AG126" i="2"/>
  <c r="AB126" i="2"/>
  <c r="AQ142" i="2"/>
  <c r="AV142" i="2" s="1"/>
  <c r="BE142" i="2" s="1"/>
  <c r="AL158" i="2"/>
  <c r="V158" i="2"/>
  <c r="AG158" i="2"/>
  <c r="AB158" i="2"/>
  <c r="AQ174" i="2"/>
  <c r="AV174" i="2" s="1"/>
  <c r="BE174" i="2" s="1"/>
  <c r="AL190" i="2"/>
  <c r="V190" i="2"/>
  <c r="AG190" i="2"/>
  <c r="AB190" i="2"/>
  <c r="AQ210" i="2"/>
  <c r="AV210" i="2" s="1"/>
  <c r="BE210" i="2" s="1"/>
  <c r="AB235" i="2"/>
  <c r="AL235" i="2"/>
  <c r="AG235" i="2"/>
  <c r="V235" i="2"/>
  <c r="AB241" i="2"/>
  <c r="AL241" i="2"/>
  <c r="AG241" i="2"/>
  <c r="V241" i="2"/>
  <c r="AQ260" i="2"/>
  <c r="AV260" i="2" s="1"/>
  <c r="BE260" i="2" s="1"/>
  <c r="AQ274" i="2"/>
  <c r="AV274" i="2" s="1"/>
  <c r="BE274" i="2" s="1"/>
  <c r="AL432" i="2"/>
  <c r="V432" i="2"/>
  <c r="AG432" i="2"/>
  <c r="AB432" i="2"/>
  <c r="AQ455" i="2"/>
  <c r="AV455" i="2" s="1"/>
  <c r="BE455" i="2" s="1"/>
  <c r="AB481" i="2"/>
  <c r="AL481" i="2"/>
  <c r="AG481" i="2"/>
  <c r="V481" i="2"/>
  <c r="AL16" i="2"/>
  <c r="V16" i="2"/>
  <c r="AG16" i="2"/>
  <c r="AB16" i="2"/>
  <c r="AL48" i="2"/>
  <c r="V48" i="2"/>
  <c r="AB48" i="2"/>
  <c r="AG48" i="2"/>
  <c r="AQ407" i="2"/>
  <c r="AV407" i="2" s="1"/>
  <c r="BE407" i="2" s="1"/>
  <c r="AB447" i="2"/>
  <c r="AL447" i="2"/>
  <c r="AG447" i="2"/>
  <c r="V447" i="2"/>
  <c r="AQ473" i="2"/>
  <c r="AV473" i="2" s="1"/>
  <c r="BE473" i="2" s="1"/>
  <c r="AQ63" i="2"/>
  <c r="AV63" i="2" s="1"/>
  <c r="BE63" i="2" s="1"/>
  <c r="AQ73" i="2"/>
  <c r="AV73" i="2" s="1"/>
  <c r="BE73" i="2" s="1"/>
  <c r="AL218" i="2"/>
  <c r="V218" i="2"/>
  <c r="AG218" i="2"/>
  <c r="AB218" i="2"/>
  <c r="AQ243" i="2"/>
  <c r="AV243" i="2" s="1"/>
  <c r="BE243" i="2" s="1"/>
  <c r="AQ249" i="2"/>
  <c r="AV249" i="2" s="1"/>
  <c r="BE249" i="2" s="1"/>
  <c r="AQ316" i="2"/>
  <c r="AV316" i="2" s="1"/>
  <c r="BE316" i="2" s="1"/>
  <c r="AB516" i="2"/>
  <c r="AL516" i="2"/>
  <c r="V516" i="2"/>
  <c r="AG516" i="2"/>
  <c r="AQ532" i="2"/>
  <c r="AV532" i="2" s="1"/>
  <c r="BE532" i="2" s="1"/>
  <c r="AB548" i="2"/>
  <c r="AL548" i="2"/>
  <c r="V548" i="2"/>
  <c r="AG548" i="2"/>
  <c r="BD265" i="2"/>
  <c r="AQ419" i="2"/>
  <c r="AV419" i="2" s="1"/>
  <c r="BE419" i="2" s="1"/>
  <c r="AB451" i="2"/>
  <c r="AL451" i="2"/>
  <c r="AG451" i="2"/>
  <c r="V451" i="2"/>
  <c r="AQ483" i="2"/>
  <c r="AV483" i="2" s="1"/>
  <c r="BE483" i="2" s="1"/>
  <c r="AQ293" i="2"/>
  <c r="AV293" i="2" s="1"/>
  <c r="BE293" i="2" s="1"/>
  <c r="AB325" i="2"/>
  <c r="AL325" i="2"/>
  <c r="AG325" i="2"/>
  <c r="V325" i="2"/>
  <c r="AB333" i="2"/>
  <c r="AL333" i="2"/>
  <c r="AG333" i="2"/>
  <c r="V333" i="2"/>
  <c r="AB341" i="2"/>
  <c r="AL341" i="2"/>
  <c r="AG341" i="2"/>
  <c r="V341" i="2"/>
  <c r="AB349" i="2"/>
  <c r="AL349" i="2"/>
  <c r="AG349" i="2"/>
  <c r="V349" i="2"/>
  <c r="AB357" i="2"/>
  <c r="AL357" i="2"/>
  <c r="AG357" i="2"/>
  <c r="V357" i="2"/>
  <c r="AB365" i="2"/>
  <c r="AL365" i="2"/>
  <c r="AG365" i="2"/>
  <c r="V365" i="2"/>
  <c r="AB373" i="2"/>
  <c r="AL373" i="2"/>
  <c r="AG373" i="2"/>
  <c r="V373" i="2"/>
  <c r="AB381" i="2"/>
  <c r="AL381" i="2"/>
  <c r="AG381" i="2"/>
  <c r="V381" i="2"/>
  <c r="AB389" i="2"/>
  <c r="AL389" i="2"/>
  <c r="AG389" i="2"/>
  <c r="V389" i="2"/>
  <c r="AB397" i="2"/>
  <c r="AL397" i="2"/>
  <c r="AG397" i="2"/>
  <c r="V397" i="2"/>
  <c r="AB405" i="2"/>
  <c r="AL405" i="2"/>
  <c r="AG405" i="2"/>
  <c r="V405" i="2"/>
  <c r="AB421" i="2"/>
  <c r="AL421" i="2"/>
  <c r="AG421" i="2"/>
  <c r="V421" i="2"/>
  <c r="AB437" i="2"/>
  <c r="AL437" i="2"/>
  <c r="AG437" i="2"/>
  <c r="V437" i="2"/>
  <c r="AB453" i="2"/>
  <c r="AL453" i="2"/>
  <c r="AG453" i="2"/>
  <c r="V453" i="2"/>
  <c r="AB469" i="2"/>
  <c r="AL469" i="2"/>
  <c r="AG469" i="2"/>
  <c r="V469" i="2"/>
  <c r="AB485" i="2"/>
  <c r="AL485" i="2"/>
  <c r="AG485" i="2"/>
  <c r="V485" i="2"/>
  <c r="AQ735" i="2"/>
  <c r="AV735" i="2" s="1"/>
  <c r="BE735" i="2" s="1"/>
  <c r="AQ751" i="2"/>
  <c r="AV751" i="2" s="1"/>
  <c r="BE751" i="2" s="1"/>
  <c r="AQ767" i="2"/>
  <c r="AV767" i="2" s="1"/>
  <c r="BE767" i="2" s="1"/>
  <c r="AQ783" i="2"/>
  <c r="AV783" i="2" s="1"/>
  <c r="BE783" i="2" s="1"/>
  <c r="AQ799" i="2"/>
  <c r="AV799" i="2" s="1"/>
  <c r="BE799" i="2" s="1"/>
  <c r="AQ815" i="2"/>
  <c r="AV815" i="2" s="1"/>
  <c r="BE815" i="2" s="1"/>
  <c r="AQ831" i="2"/>
  <c r="AV831" i="2" s="1"/>
  <c r="BE831" i="2" s="1"/>
  <c r="AQ847" i="2"/>
  <c r="AV847" i="2" s="1"/>
  <c r="BE847" i="2" s="1"/>
  <c r="AQ863" i="2"/>
  <c r="AV863" i="2" s="1"/>
  <c r="BE863" i="2" s="1"/>
  <c r="AQ879" i="2"/>
  <c r="AV879" i="2" s="1"/>
  <c r="BE879" i="2" s="1"/>
  <c r="AG888" i="2"/>
  <c r="AB888" i="2"/>
  <c r="AL888" i="2"/>
  <c r="V888" i="2"/>
  <c r="AG892" i="2"/>
  <c r="AB892" i="2"/>
  <c r="AL892" i="2"/>
  <c r="V892" i="2"/>
  <c r="AG896" i="2"/>
  <c r="AB896" i="2"/>
  <c r="AL896" i="2"/>
  <c r="V896" i="2"/>
  <c r="AG900" i="2"/>
  <c r="AB900" i="2"/>
  <c r="AL900" i="2"/>
  <c r="V900" i="2"/>
  <c r="AG904" i="2"/>
  <c r="AB904" i="2"/>
  <c r="AL904" i="2"/>
  <c r="V904" i="2"/>
  <c r="AG908" i="2"/>
  <c r="AB908" i="2"/>
  <c r="AL908" i="2"/>
  <c r="V908" i="2"/>
  <c r="AG912" i="2"/>
  <c r="AB912" i="2"/>
  <c r="AL912" i="2"/>
  <c r="V912" i="2"/>
  <c r="AG916" i="2"/>
  <c r="AB916" i="2"/>
  <c r="AL916" i="2"/>
  <c r="V916" i="2"/>
  <c r="AG920" i="2"/>
  <c r="AB920" i="2"/>
  <c r="AL920" i="2"/>
  <c r="V920" i="2"/>
  <c r="AG924" i="2"/>
  <c r="AB924" i="2"/>
  <c r="AL924" i="2"/>
  <c r="V924" i="2"/>
  <c r="AG928" i="2"/>
  <c r="AB928" i="2"/>
  <c r="AL928" i="2"/>
  <c r="V928" i="2"/>
  <c r="AG932" i="2"/>
  <c r="AB932" i="2"/>
  <c r="AL932" i="2"/>
  <c r="V932" i="2"/>
  <c r="AQ294" i="2"/>
  <c r="AV294" i="2" s="1"/>
  <c r="BE294" i="2" s="1"/>
  <c r="AL366" i="2"/>
  <c r="V366" i="2"/>
  <c r="AG366" i="2"/>
  <c r="AB366" i="2"/>
  <c r="AQ398" i="2"/>
  <c r="AV398" i="2" s="1"/>
  <c r="BE398" i="2" s="1"/>
  <c r="AH412" i="2"/>
  <c r="AH428" i="2"/>
  <c r="AH444" i="2"/>
  <c r="AC444" i="2"/>
  <c r="AM444" i="2"/>
  <c r="W444" i="2"/>
  <c r="W460" i="2"/>
  <c r="AH476" i="2"/>
  <c r="AC476" i="2"/>
  <c r="AM476" i="2"/>
  <c r="W476" i="2"/>
  <c r="AH492" i="2"/>
  <c r="AC492" i="2"/>
  <c r="AM492" i="2"/>
  <c r="W492" i="2"/>
  <c r="AL557" i="2"/>
  <c r="V557" i="2"/>
  <c r="AG557" i="2"/>
  <c r="AB557" i="2"/>
  <c r="AL559" i="2"/>
  <c r="V559" i="2"/>
  <c r="AG559" i="2"/>
  <c r="AB559" i="2"/>
  <c r="AL561" i="2"/>
  <c r="V561" i="2"/>
  <c r="AG561" i="2"/>
  <c r="AB561" i="2"/>
  <c r="AL563" i="2"/>
  <c r="V563" i="2"/>
  <c r="AG563" i="2"/>
  <c r="AB563" i="2"/>
  <c r="AL565" i="2"/>
  <c r="V565" i="2"/>
  <c r="AG565" i="2"/>
  <c r="AB565" i="2"/>
  <c r="AL567" i="2"/>
  <c r="V567" i="2"/>
  <c r="AG567" i="2"/>
  <c r="AB567" i="2"/>
  <c r="AL569" i="2"/>
  <c r="V569" i="2"/>
  <c r="AG569" i="2"/>
  <c r="AB569" i="2"/>
  <c r="AL571" i="2"/>
  <c r="V571" i="2"/>
  <c r="AG571" i="2"/>
  <c r="AB571" i="2"/>
  <c r="AL573" i="2"/>
  <c r="V573" i="2"/>
  <c r="AG573" i="2"/>
  <c r="AB573" i="2"/>
  <c r="AL575" i="2"/>
  <c r="V575" i="2"/>
  <c r="AG575" i="2"/>
  <c r="AB575" i="2"/>
  <c r="AL577" i="2"/>
  <c r="V577" i="2"/>
  <c r="AG577" i="2"/>
  <c r="AB577" i="2"/>
  <c r="AL579" i="2"/>
  <c r="V579" i="2"/>
  <c r="AG579" i="2"/>
  <c r="AB579" i="2"/>
  <c r="AL581" i="2"/>
  <c r="V581" i="2"/>
  <c r="AG581" i="2"/>
  <c r="AB581" i="2"/>
  <c r="AL583" i="2"/>
  <c r="V583" i="2"/>
  <c r="AG583" i="2"/>
  <c r="AB583" i="2"/>
  <c r="AL585" i="2"/>
  <c r="V585" i="2"/>
  <c r="AG585" i="2"/>
  <c r="AB585" i="2"/>
  <c r="AL587" i="2"/>
  <c r="V587" i="2"/>
  <c r="AG587" i="2"/>
  <c r="AB587" i="2"/>
  <c r="AL589" i="2"/>
  <c r="V589" i="2"/>
  <c r="AG589" i="2"/>
  <c r="AB589" i="2"/>
  <c r="AL591" i="2"/>
  <c r="V591" i="2"/>
  <c r="AG591" i="2"/>
  <c r="AB591" i="2"/>
  <c r="AL593" i="2"/>
  <c r="V593" i="2"/>
  <c r="AG593" i="2"/>
  <c r="AB593" i="2"/>
  <c r="AL595" i="2"/>
  <c r="V595" i="2"/>
  <c r="AG595" i="2"/>
  <c r="AB595" i="2"/>
  <c r="AL597" i="2"/>
  <c r="V597" i="2"/>
  <c r="AG597" i="2"/>
  <c r="AB597" i="2"/>
  <c r="AL599" i="2"/>
  <c r="V599" i="2"/>
  <c r="AG599" i="2"/>
  <c r="AB599" i="2"/>
  <c r="AL601" i="2"/>
  <c r="V601" i="2"/>
  <c r="AG601" i="2"/>
  <c r="AB601" i="2"/>
  <c r="AL603" i="2"/>
  <c r="V603" i="2"/>
  <c r="AG603" i="2"/>
  <c r="AB603" i="2"/>
  <c r="AL605" i="2"/>
  <c r="V605" i="2"/>
  <c r="AG605" i="2"/>
  <c r="AB605" i="2"/>
  <c r="AL607" i="2"/>
  <c r="V607" i="2"/>
  <c r="AG607" i="2"/>
  <c r="AB607" i="2"/>
  <c r="AL609" i="2"/>
  <c r="V609" i="2"/>
  <c r="AG609" i="2"/>
  <c r="AB609" i="2"/>
  <c r="AL611" i="2"/>
  <c r="V611" i="2"/>
  <c r="AG611" i="2"/>
  <c r="AB611" i="2"/>
  <c r="AL613" i="2"/>
  <c r="V613" i="2"/>
  <c r="AG613" i="2"/>
  <c r="AB613" i="2"/>
  <c r="AL615" i="2"/>
  <c r="V615" i="2"/>
  <c r="AG615" i="2"/>
  <c r="AB615" i="2"/>
  <c r="AL617" i="2"/>
  <c r="V617" i="2"/>
  <c r="AG617" i="2"/>
  <c r="AB617" i="2"/>
  <c r="AG757" i="2"/>
  <c r="AL757" i="2"/>
  <c r="V757" i="2"/>
  <c r="AB757" i="2"/>
  <c r="AG789" i="2"/>
  <c r="AL789" i="2"/>
  <c r="V789" i="2"/>
  <c r="AB789" i="2"/>
  <c r="AG821" i="2"/>
  <c r="AL821" i="2"/>
  <c r="V821" i="2"/>
  <c r="AB821" i="2"/>
  <c r="AG853" i="2"/>
  <c r="AL853" i="2"/>
  <c r="V853" i="2"/>
  <c r="AB853" i="2"/>
  <c r="AG885" i="2"/>
  <c r="AL885" i="2"/>
  <c r="V885" i="2"/>
  <c r="AB885" i="2"/>
  <c r="AQ1041" i="2"/>
  <c r="AV1041" i="2" s="1"/>
  <c r="BE1041" i="2" s="1"/>
  <c r="AQ728" i="2"/>
  <c r="AV728" i="2" s="1"/>
  <c r="BE728" i="2" s="1"/>
  <c r="AG744" i="2"/>
  <c r="AB744" i="2"/>
  <c r="AL744" i="2"/>
  <c r="V744" i="2"/>
  <c r="AQ760" i="2"/>
  <c r="AV760" i="2" s="1"/>
  <c r="BE760" i="2" s="1"/>
  <c r="AG776" i="2"/>
  <c r="AB776" i="2"/>
  <c r="AL776" i="2"/>
  <c r="V776" i="2"/>
  <c r="AQ792" i="2"/>
  <c r="AV792" i="2" s="1"/>
  <c r="BE792" i="2" s="1"/>
  <c r="AG808" i="2"/>
  <c r="AB808" i="2"/>
  <c r="AL808" i="2"/>
  <c r="V808" i="2"/>
  <c r="AQ824" i="2"/>
  <c r="AV824" i="2" s="1"/>
  <c r="BE824" i="2" s="1"/>
  <c r="AG840" i="2"/>
  <c r="AB840" i="2"/>
  <c r="AL840" i="2"/>
  <c r="V840" i="2"/>
  <c r="AQ856" i="2"/>
  <c r="AV856" i="2" s="1"/>
  <c r="BE856" i="2" s="1"/>
  <c r="AG872" i="2"/>
  <c r="AB872" i="2"/>
  <c r="AL872" i="2"/>
  <c r="V872" i="2"/>
  <c r="BD897" i="2"/>
  <c r="BD913" i="2"/>
  <c r="BD929" i="2"/>
  <c r="AL1042" i="2"/>
  <c r="V1042" i="2"/>
  <c r="AG1042" i="2"/>
  <c r="AB1042" i="2"/>
  <c r="AG1053" i="2"/>
  <c r="AL1053" i="2"/>
  <c r="V1053" i="2"/>
  <c r="AB1053" i="2"/>
  <c r="AQ1069" i="2"/>
  <c r="AV1069" i="2" s="1"/>
  <c r="BE1069" i="2" s="1"/>
  <c r="AG1085" i="2"/>
  <c r="AL1085" i="2"/>
  <c r="V1085" i="2"/>
  <c r="AB1085" i="2"/>
  <c r="AQ1101" i="2"/>
  <c r="AV1101" i="2" s="1"/>
  <c r="BE1101" i="2" s="1"/>
  <c r="AG1117" i="2"/>
  <c r="AL1117" i="2"/>
  <c r="V1117" i="2"/>
  <c r="AB1117" i="2"/>
  <c r="AQ1133" i="2"/>
  <c r="AV1133" i="2" s="1"/>
  <c r="BE1133" i="2" s="1"/>
  <c r="AQ1189" i="2"/>
  <c r="AV1189" i="2" s="1"/>
  <c r="BE1189" i="2" s="1"/>
  <c r="AB1221" i="2"/>
  <c r="AL1221" i="2"/>
  <c r="V1221" i="2"/>
  <c r="AG1221" i="2"/>
  <c r="AQ1253" i="2"/>
  <c r="AV1253" i="2" s="1"/>
  <c r="BE1253" i="2" s="1"/>
  <c r="AB1285" i="2"/>
  <c r="AL1285" i="2"/>
  <c r="V1285" i="2"/>
  <c r="AG1285" i="2"/>
  <c r="AQ1317" i="2"/>
  <c r="AV1317" i="2" s="1"/>
  <c r="BE1317" i="2" s="1"/>
  <c r="AB1349" i="2"/>
  <c r="AL1349" i="2"/>
  <c r="V1349" i="2"/>
  <c r="AG1349" i="2"/>
  <c r="AQ1192" i="2"/>
  <c r="AV1192" i="2" s="1"/>
  <c r="BE1192" i="2" s="1"/>
  <c r="AL1224" i="2"/>
  <c r="V1224" i="2"/>
  <c r="AG1224" i="2"/>
  <c r="AB1224" i="2"/>
  <c r="AQ1256" i="2"/>
  <c r="AV1256" i="2" s="1"/>
  <c r="BE1256" i="2" s="1"/>
  <c r="AL1288" i="2"/>
  <c r="V1288" i="2"/>
  <c r="AG1288" i="2"/>
  <c r="AB1288" i="2"/>
  <c r="AQ1320" i="2"/>
  <c r="AV1320" i="2" s="1"/>
  <c r="BE1320" i="2" s="1"/>
  <c r="AL1352" i="2"/>
  <c r="V1352" i="2"/>
  <c r="AG1352" i="2"/>
  <c r="AB1352" i="2"/>
  <c r="AQ1055" i="2"/>
  <c r="AV1055" i="2" s="1"/>
  <c r="BE1055" i="2" s="1"/>
  <c r="AG1071" i="2"/>
  <c r="AL1071" i="2"/>
  <c r="V1071" i="2"/>
  <c r="AB1071" i="2"/>
  <c r="AQ1087" i="2"/>
  <c r="AV1087" i="2" s="1"/>
  <c r="BE1087" i="2" s="1"/>
  <c r="AG1103" i="2"/>
  <c r="AL1103" i="2"/>
  <c r="V1103" i="2"/>
  <c r="AB1103" i="2"/>
  <c r="AQ1119" i="2"/>
  <c r="AV1119" i="2" s="1"/>
  <c r="BE1119" i="2" s="1"/>
  <c r="AG1135" i="2"/>
  <c r="AL1135" i="2"/>
  <c r="V1135" i="2"/>
  <c r="AB1135" i="2"/>
  <c r="AQ1195" i="2"/>
  <c r="AV1195" i="2" s="1"/>
  <c r="BE1195" i="2" s="1"/>
  <c r="AB1227" i="2"/>
  <c r="AL1227" i="2"/>
  <c r="V1227" i="2"/>
  <c r="AG1227" i="2"/>
  <c r="AQ1259" i="2"/>
  <c r="AV1259" i="2" s="1"/>
  <c r="BE1259" i="2" s="1"/>
  <c r="AB1291" i="2"/>
  <c r="AL1291" i="2"/>
  <c r="V1291" i="2"/>
  <c r="AG1291" i="2"/>
  <c r="AQ1323" i="2"/>
  <c r="AV1323" i="2" s="1"/>
  <c r="BE1323" i="2" s="1"/>
  <c r="AB1355" i="2"/>
  <c r="AL1355" i="2"/>
  <c r="V1355" i="2"/>
  <c r="AG1355" i="2"/>
  <c r="AL1206" i="2"/>
  <c r="V1206" i="2"/>
  <c r="AG1206" i="2"/>
  <c r="AB1206" i="2"/>
  <c r="AQ1238" i="2"/>
  <c r="AV1238" i="2" s="1"/>
  <c r="BE1238" i="2" s="1"/>
  <c r="AL1270" i="2"/>
  <c r="V1270" i="2"/>
  <c r="AG1270" i="2"/>
  <c r="AB1270" i="2"/>
  <c r="AQ1302" i="2"/>
  <c r="AV1302" i="2" s="1"/>
  <c r="BE1302" i="2" s="1"/>
  <c r="AL1334" i="2"/>
  <c r="V1334" i="2"/>
  <c r="AG1334" i="2"/>
  <c r="AB1334" i="2"/>
  <c r="AQ1366" i="2"/>
  <c r="AV1366" i="2" s="1"/>
  <c r="BE1366" i="2" s="1"/>
  <c r="AB1483" i="2"/>
  <c r="AL1483" i="2"/>
  <c r="V1483" i="2"/>
  <c r="AG1483" i="2"/>
  <c r="AB1489" i="2"/>
  <c r="AL1489" i="2"/>
  <c r="V1489" i="2"/>
  <c r="AG1489" i="2"/>
  <c r="AQ1511" i="2"/>
  <c r="AV1511" i="2" s="1"/>
  <c r="BE1511" i="2" s="1"/>
  <c r="AB1515" i="2"/>
  <c r="AL1515" i="2"/>
  <c r="V1515" i="2"/>
  <c r="AG1515" i="2"/>
  <c r="AQ1527" i="2"/>
  <c r="AV1527" i="2" s="1"/>
  <c r="BE1527" i="2" s="1"/>
  <c r="AB1531" i="2"/>
  <c r="AL1531" i="2"/>
  <c r="V1531" i="2"/>
  <c r="AG1531" i="2"/>
  <c r="AQ1543" i="2"/>
  <c r="AV1543" i="2" s="1"/>
  <c r="BE1543" i="2" s="1"/>
  <c r="AB1583" i="2"/>
  <c r="AL1583" i="2"/>
  <c r="V1583" i="2"/>
  <c r="AG1583" i="2"/>
  <c r="AL1600" i="2"/>
  <c r="V1600" i="2"/>
  <c r="AG1600" i="2"/>
  <c r="AB1600" i="2"/>
  <c r="AQ1607" i="2"/>
  <c r="AV1607" i="2" s="1"/>
  <c r="BE1607" i="2" s="1"/>
  <c r="AQ1632" i="2"/>
  <c r="AV1632" i="2" s="1"/>
  <c r="BE1632" i="2" s="1"/>
  <c r="AB1639" i="2"/>
  <c r="AL1639" i="2"/>
  <c r="V1639" i="2"/>
  <c r="AG1639" i="2"/>
  <c r="AL1664" i="2"/>
  <c r="V1664" i="2"/>
  <c r="AG1664" i="2"/>
  <c r="AB1664" i="2"/>
  <c r="AQ1495" i="2"/>
  <c r="AV1495" i="2" s="1"/>
  <c r="BE1495" i="2" s="1"/>
  <c r="AQ1499" i="2"/>
  <c r="AV1499" i="2" s="1"/>
  <c r="BE1499" i="2" s="1"/>
  <c r="AQ1530" i="2"/>
  <c r="AV1530" i="2" s="1"/>
  <c r="BE1530" i="2" s="1"/>
  <c r="AB1378" i="2"/>
  <c r="AG1378" i="2"/>
  <c r="AL1378" i="2"/>
  <c r="V1378" i="2"/>
  <c r="AB1439" i="2"/>
  <c r="AL1439" i="2"/>
  <c r="V1439" i="2"/>
  <c r="AG1439" i="2"/>
  <c r="AL1586" i="2"/>
  <c r="V1586" i="2"/>
  <c r="AG1586" i="2"/>
  <c r="AB1586" i="2"/>
  <c r="AL1594" i="2"/>
  <c r="V1594" i="2"/>
  <c r="AG1594" i="2"/>
  <c r="AB1594" i="2"/>
  <c r="AQ1601" i="2"/>
  <c r="AV1601" i="2" s="1"/>
  <c r="BE1601" i="2" s="1"/>
  <c r="AQ1626" i="2"/>
  <c r="AV1626" i="2" s="1"/>
  <c r="BE1626" i="2" s="1"/>
  <c r="AB1633" i="2"/>
  <c r="AL1633" i="2"/>
  <c r="V1633" i="2"/>
  <c r="AG1633" i="2"/>
  <c r="AL1658" i="2"/>
  <c r="V1658" i="2"/>
  <c r="AG1658" i="2"/>
  <c r="AB1658" i="2"/>
  <c r="AQ1665" i="2"/>
  <c r="AV1665" i="2" s="1"/>
  <c r="BE1665" i="2" s="1"/>
  <c r="AQ1667" i="2"/>
  <c r="AV1667" i="2" s="1"/>
  <c r="BE1667" i="2" s="1"/>
  <c r="AC1767" i="2"/>
  <c r="AM1767" i="2"/>
  <c r="AH1767" i="2"/>
  <c r="W1767" i="2"/>
  <c r="AR1815" i="2"/>
  <c r="AW1815" i="2" s="1"/>
  <c r="BF1815" i="2" s="1"/>
  <c r="AC1831" i="2"/>
  <c r="AM1831" i="2"/>
  <c r="AH1831" i="2"/>
  <c r="W1831" i="2"/>
  <c r="AQ1686" i="2"/>
  <c r="AV1686" i="2" s="1"/>
  <c r="BE1686" i="2" s="1"/>
  <c r="AB1702" i="2"/>
  <c r="AL1702" i="2"/>
  <c r="V1702" i="2"/>
  <c r="AG1702" i="2"/>
  <c r="AQ1750" i="2"/>
  <c r="AV1750" i="2" s="1"/>
  <c r="BE1750" i="2" s="1"/>
  <c r="AQ1846" i="2"/>
  <c r="AV1846" i="2" s="1"/>
  <c r="BE1846" i="2" s="1"/>
  <c r="AQ1848" i="2"/>
  <c r="AV1848" i="2" s="1"/>
  <c r="BE1848" i="2" s="1"/>
  <c r="AL1816" i="2"/>
  <c r="AG1816" i="2"/>
  <c r="AB1816" i="2"/>
  <c r="V1816" i="2"/>
  <c r="AQ1832" i="2"/>
  <c r="AV1832" i="2" s="1"/>
  <c r="BE1832" i="2" s="1"/>
  <c r="AL1840" i="2"/>
  <c r="AG1840" i="2"/>
  <c r="AB1840" i="2"/>
  <c r="V1840" i="2"/>
  <c r="BD1914" i="2"/>
  <c r="AB1672" i="2"/>
  <c r="AL1672" i="2"/>
  <c r="V1672" i="2"/>
  <c r="AG1672" i="2"/>
  <c r="AB1676" i="2"/>
  <c r="AL1676" i="2"/>
  <c r="V1676" i="2"/>
  <c r="AG1676" i="2"/>
  <c r="AB1680" i="2"/>
  <c r="AL1680" i="2"/>
  <c r="V1680" i="2"/>
  <c r="AG1680" i="2"/>
  <c r="AB1684" i="2"/>
  <c r="AL1684" i="2"/>
  <c r="V1684" i="2"/>
  <c r="AG1684" i="2"/>
  <c r="AB1688" i="2"/>
  <c r="AL1688" i="2"/>
  <c r="V1688" i="2"/>
  <c r="AG1688" i="2"/>
  <c r="AB1692" i="2"/>
  <c r="AL1692" i="2"/>
  <c r="V1692" i="2"/>
  <c r="AG1692" i="2"/>
  <c r="AB1696" i="2"/>
  <c r="AL1696" i="2"/>
  <c r="V1696" i="2"/>
  <c r="AG1696" i="2"/>
  <c r="AB1700" i="2"/>
  <c r="AL1700" i="2"/>
  <c r="V1700" i="2"/>
  <c r="AG1700" i="2"/>
  <c r="AB1704" i="2"/>
  <c r="AL1704" i="2"/>
  <c r="V1704" i="2"/>
  <c r="AG1704" i="2"/>
  <c r="AB1708" i="2"/>
  <c r="AL1708" i="2"/>
  <c r="V1708" i="2"/>
  <c r="AG1708" i="2"/>
  <c r="AB1712" i="2"/>
  <c r="AL1712" i="2"/>
  <c r="V1712" i="2"/>
  <c r="AG1712" i="2"/>
  <c r="AB1716" i="2"/>
  <c r="AL1716" i="2"/>
  <c r="V1716" i="2"/>
  <c r="AG1716" i="2"/>
  <c r="AB1720" i="2"/>
  <c r="AL1720" i="2"/>
  <c r="V1720" i="2"/>
  <c r="AG1720" i="2"/>
  <c r="AB1724" i="2"/>
  <c r="AL1724" i="2"/>
  <c r="V1724" i="2"/>
  <c r="AG1724" i="2"/>
  <c r="AB1728" i="2"/>
  <c r="AL1728" i="2"/>
  <c r="V1728" i="2"/>
  <c r="AG1728" i="2"/>
  <c r="AB1732" i="2"/>
  <c r="AL1732" i="2"/>
  <c r="V1732" i="2"/>
  <c r="AG1732" i="2"/>
  <c r="AB1736" i="2"/>
  <c r="AL1736" i="2"/>
  <c r="V1736" i="2"/>
  <c r="AG1736" i="2"/>
  <c r="AB1740" i="2"/>
  <c r="AL1740" i="2"/>
  <c r="V1740" i="2"/>
  <c r="AG1740" i="2"/>
  <c r="AB1744" i="2"/>
  <c r="AL1744" i="2"/>
  <c r="V1744" i="2"/>
  <c r="AG1744" i="2"/>
  <c r="AB1748" i="2"/>
  <c r="AL1748" i="2"/>
  <c r="V1748" i="2"/>
  <c r="AG1748" i="2"/>
  <c r="AB1752" i="2"/>
  <c r="AL1752" i="2"/>
  <c r="V1752" i="2"/>
  <c r="AG1752" i="2"/>
  <c r="AB1756" i="2"/>
  <c r="AL1756" i="2"/>
  <c r="V1756" i="2"/>
  <c r="AG1756" i="2"/>
  <c r="AG2045" i="2"/>
  <c r="AB2045" i="2"/>
  <c r="AL2045" i="2"/>
  <c r="V2045" i="2"/>
  <c r="AG2112" i="2"/>
  <c r="AB2112" i="2"/>
  <c r="AL2112" i="2"/>
  <c r="V2112" i="2"/>
  <c r="BD2073" i="2"/>
  <c r="BD2089" i="2"/>
  <c r="BD2105" i="2"/>
  <c r="AL2022" i="2"/>
  <c r="V2022" i="2"/>
  <c r="AB2022" i="2"/>
  <c r="AG2022" i="2"/>
  <c r="AL2026" i="2"/>
  <c r="V2026" i="2"/>
  <c r="AB2026" i="2"/>
  <c r="AG2026" i="2"/>
  <c r="AL2030" i="2"/>
  <c r="V2030" i="2"/>
  <c r="AB2030" i="2"/>
  <c r="AG2030" i="2"/>
  <c r="AL2034" i="2"/>
  <c r="V2034" i="2"/>
  <c r="AB2034" i="2"/>
  <c r="AG2034" i="2"/>
  <c r="AL2038" i="2"/>
  <c r="V2038" i="2"/>
  <c r="AB2038" i="2"/>
  <c r="AG2038" i="2"/>
  <c r="AB2046" i="2"/>
  <c r="AL2046" i="2"/>
  <c r="V2046" i="2"/>
  <c r="AG2046" i="2"/>
  <c r="AB2048" i="2"/>
  <c r="AL2048" i="2"/>
  <c r="V2048" i="2"/>
  <c r="AG2048" i="2"/>
  <c r="AL2071" i="2"/>
  <c r="V2071" i="2"/>
  <c r="AG2071" i="2"/>
  <c r="AB2071" i="2"/>
  <c r="AQ2080" i="2"/>
  <c r="AV2080" i="2" s="1"/>
  <c r="BE2080" i="2" s="1"/>
  <c r="BD2086" i="2"/>
  <c r="AQ2103" i="2"/>
  <c r="AV2103" i="2" s="1"/>
  <c r="BE2103" i="2" s="1"/>
  <c r="BD2162" i="2"/>
  <c r="AQ2183" i="2"/>
  <c r="AV2183" i="2" s="1"/>
  <c r="BE2183" i="2" s="1"/>
  <c r="AQ2182" i="2"/>
  <c r="AV2182" i="2" s="1"/>
  <c r="BE2182" i="2" s="1"/>
  <c r="AQ2142" i="2"/>
  <c r="AV2142" i="2" s="1"/>
  <c r="BE2142" i="2" s="1"/>
  <c r="AQ2157" i="2"/>
  <c r="AV2157" i="2" s="1"/>
  <c r="BE2157" i="2" s="1"/>
  <c r="AG2189" i="2"/>
  <c r="AB2189" i="2"/>
  <c r="AL2189" i="2"/>
  <c r="V2189" i="2"/>
  <c r="AL2168" i="2"/>
  <c r="V2168" i="2"/>
  <c r="AG2168" i="2"/>
  <c r="AB2168" i="2"/>
  <c r="AQ2207" i="2"/>
  <c r="AV2207" i="2" s="1"/>
  <c r="BE2207" i="2" s="1"/>
  <c r="AB2215" i="2"/>
  <c r="AL2215" i="2"/>
  <c r="V2215" i="2"/>
  <c r="AG2215" i="2"/>
  <c r="AQ2223" i="2"/>
  <c r="AV2223" i="2" s="1"/>
  <c r="BE2223" i="2" s="1"/>
  <c r="AB2231" i="2"/>
  <c r="AL2231" i="2"/>
  <c r="V2231" i="2"/>
  <c r="AG2231" i="2"/>
  <c r="AQ2239" i="2"/>
  <c r="AV2239" i="2" s="1"/>
  <c r="BE2239" i="2" s="1"/>
  <c r="AB2247" i="2"/>
  <c r="AL2247" i="2"/>
  <c r="V2247" i="2"/>
  <c r="AG2247" i="2"/>
  <c r="AQ2255" i="2"/>
  <c r="AV2255" i="2" s="1"/>
  <c r="BE2255" i="2" s="1"/>
  <c r="AB2263" i="2"/>
  <c r="AL2263" i="2"/>
  <c r="V2263" i="2"/>
  <c r="AG2263" i="2"/>
  <c r="AQ2271" i="2"/>
  <c r="AV2271" i="2" s="1"/>
  <c r="BE2271" i="2" s="1"/>
  <c r="AB2279" i="2"/>
  <c r="AL2279" i="2"/>
  <c r="V2279" i="2"/>
  <c r="AG2279" i="2"/>
  <c r="AQ2287" i="2"/>
  <c r="AV2287" i="2" s="1"/>
  <c r="BE2287" i="2" s="1"/>
  <c r="AB2295" i="2"/>
  <c r="AL2295" i="2"/>
  <c r="V2295" i="2"/>
  <c r="AG2295" i="2"/>
  <c r="AQ2303" i="2"/>
  <c r="AV2303" i="2" s="1"/>
  <c r="BE2303" i="2" s="1"/>
  <c r="AB2311" i="2"/>
  <c r="AL2311" i="2"/>
  <c r="V2311" i="2"/>
  <c r="AG2311" i="2"/>
  <c r="AQ2320" i="2"/>
  <c r="AV2320" i="2" s="1"/>
  <c r="BE2320" i="2" s="1"/>
  <c r="AQ2336" i="2"/>
  <c r="AV2336" i="2" s="1"/>
  <c r="BE2336" i="2" s="1"/>
  <c r="AQ2368" i="2"/>
  <c r="AV2368" i="2" s="1"/>
  <c r="BE2368" i="2" s="1"/>
  <c r="AQ2213" i="2"/>
  <c r="AV2213" i="2" s="1"/>
  <c r="BE2213" i="2" s="1"/>
  <c r="AQ2237" i="2"/>
  <c r="AV2237" i="2" s="1"/>
  <c r="BE2237" i="2" s="1"/>
  <c r="AQ2245" i="2"/>
  <c r="AV2245" i="2" s="1"/>
  <c r="BE2245" i="2" s="1"/>
  <c r="AQ2253" i="2"/>
  <c r="AV2253" i="2" s="1"/>
  <c r="BE2253" i="2" s="1"/>
  <c r="AH4" i="2"/>
  <c r="AM4" i="2"/>
  <c r="AC4" i="2"/>
  <c r="W4" i="2"/>
  <c r="AQ92" i="2"/>
  <c r="AV92" i="2" s="1"/>
  <c r="BE92" i="2" s="1"/>
  <c r="AR152" i="2"/>
  <c r="AW152" i="2" s="1"/>
  <c r="BF152" i="2" s="1"/>
  <c r="AR20" i="2"/>
  <c r="AW20" i="2" s="1"/>
  <c r="BF20" i="2" s="1"/>
  <c r="AR136" i="2"/>
  <c r="AW136" i="2" s="1"/>
  <c r="BF136" i="2" s="1"/>
  <c r="AL22" i="2"/>
  <c r="V22" i="2"/>
  <c r="AB22" i="2"/>
  <c r="AG22" i="2"/>
  <c r="BD95" i="2"/>
  <c r="AQ143" i="2"/>
  <c r="AV143" i="2" s="1"/>
  <c r="BE143" i="2" s="1"/>
  <c r="AL154" i="2"/>
  <c r="V154" i="2"/>
  <c r="AG154" i="2"/>
  <c r="AB154" i="2"/>
  <c r="AQ189" i="2"/>
  <c r="AV189" i="2" s="1"/>
  <c r="BE189" i="2" s="1"/>
  <c r="AQ280" i="2"/>
  <c r="AV280" i="2" s="1"/>
  <c r="BE280" i="2" s="1"/>
  <c r="AL84" i="2"/>
  <c r="V84" i="2"/>
  <c r="AB84" i="2"/>
  <c r="AG84" i="2"/>
  <c r="AB99" i="2"/>
  <c r="AL99" i="2"/>
  <c r="AG99" i="2"/>
  <c r="V99" i="2"/>
  <c r="AR108" i="2"/>
  <c r="AW108" i="2" s="1"/>
  <c r="BF108" i="2" s="1"/>
  <c r="AR124" i="2"/>
  <c r="AW124" i="2" s="1"/>
  <c r="BF124" i="2" s="1"/>
  <c r="AR140" i="2"/>
  <c r="AW140" i="2" s="1"/>
  <c r="BF140" i="2" s="1"/>
  <c r="AR156" i="2"/>
  <c r="AW156" i="2" s="1"/>
  <c r="BF156" i="2" s="1"/>
  <c r="AR172" i="2"/>
  <c r="AW172" i="2" s="1"/>
  <c r="BF172" i="2" s="1"/>
  <c r="AR188" i="2"/>
  <c r="AW188" i="2" s="1"/>
  <c r="BF188" i="2" s="1"/>
  <c r="AL212" i="2"/>
  <c r="V212" i="2"/>
  <c r="AG212" i="2"/>
  <c r="AB212" i="2"/>
  <c r="AL226" i="2"/>
  <c r="V226" i="2"/>
  <c r="AG226" i="2"/>
  <c r="AB226" i="2"/>
  <c r="AQ251" i="2"/>
  <c r="AV251" i="2" s="1"/>
  <c r="BE251" i="2" s="1"/>
  <c r="AQ257" i="2"/>
  <c r="AV257" i="2" s="1"/>
  <c r="BE257" i="2" s="1"/>
  <c r="BD263" i="2"/>
  <c r="AQ434" i="2"/>
  <c r="AV434" i="2" s="1"/>
  <c r="BE434" i="2" s="1"/>
  <c r="AQ464" i="2"/>
  <c r="AV464" i="2" s="1"/>
  <c r="BE464" i="2" s="1"/>
  <c r="AQ49" i="2"/>
  <c r="AV49" i="2" s="1"/>
  <c r="BE49" i="2" s="1"/>
  <c r="AQ81" i="2"/>
  <c r="AV81" i="2" s="1"/>
  <c r="BE81" i="2" s="1"/>
  <c r="BD152" i="2"/>
  <c r="BD244" i="2"/>
  <c r="AQ255" i="2"/>
  <c r="AV255" i="2" s="1"/>
  <c r="BE255" i="2" s="1"/>
  <c r="AH256" i="2"/>
  <c r="AC256" i="2"/>
  <c r="AM256" i="2"/>
  <c r="W256" i="2"/>
  <c r="AB479" i="2"/>
  <c r="AL479" i="2"/>
  <c r="AG479" i="2"/>
  <c r="V479" i="2"/>
  <c r="BD7" i="2"/>
  <c r="AQ19" i="2"/>
  <c r="AV19" i="2" s="1"/>
  <c r="BE19" i="2" s="1"/>
  <c r="AL102" i="2"/>
  <c r="V102" i="2"/>
  <c r="AG102" i="2"/>
  <c r="AB102" i="2"/>
  <c r="AQ118" i="2"/>
  <c r="AV118" i="2" s="1"/>
  <c r="BE118" i="2" s="1"/>
  <c r="AL134" i="2"/>
  <c r="V134" i="2"/>
  <c r="AG134" i="2"/>
  <c r="AB134" i="2"/>
  <c r="AQ150" i="2"/>
  <c r="AV150" i="2" s="1"/>
  <c r="BE150" i="2" s="1"/>
  <c r="AL166" i="2"/>
  <c r="V166" i="2"/>
  <c r="AG166" i="2"/>
  <c r="AB166" i="2"/>
  <c r="AQ182" i="2"/>
  <c r="AV182" i="2" s="1"/>
  <c r="BE182" i="2" s="1"/>
  <c r="AL198" i="2"/>
  <c r="V198" i="2"/>
  <c r="AG198" i="2"/>
  <c r="AB198" i="2"/>
  <c r="AQ203" i="2"/>
  <c r="AV203" i="2" s="1"/>
  <c r="BE203" i="2" s="1"/>
  <c r="AQ313" i="2"/>
  <c r="AV313" i="2" s="1"/>
  <c r="BE313" i="2" s="1"/>
  <c r="BD319" i="2"/>
  <c r="BD463" i="2"/>
  <c r="BD145" i="2"/>
  <c r="BD177" i="2"/>
  <c r="BD209" i="2"/>
  <c r="AB411" i="2"/>
  <c r="AL411" i="2"/>
  <c r="AG411" i="2"/>
  <c r="V411" i="2"/>
  <c r="AQ443" i="2"/>
  <c r="AV443" i="2" s="1"/>
  <c r="BE443" i="2" s="1"/>
  <c r="AB475" i="2"/>
  <c r="AL475" i="2"/>
  <c r="AG475" i="2"/>
  <c r="V475" i="2"/>
  <c r="AB518" i="2"/>
  <c r="AL518" i="2"/>
  <c r="V518" i="2"/>
  <c r="AG518" i="2"/>
  <c r="AQ533" i="2"/>
  <c r="AV533" i="2" s="1"/>
  <c r="BE533" i="2" s="1"/>
  <c r="AQ550" i="2"/>
  <c r="AV550" i="2" s="1"/>
  <c r="BE550" i="2" s="1"/>
  <c r="AQ269" i="2"/>
  <c r="AV269" i="2" s="1"/>
  <c r="BE269" i="2" s="1"/>
  <c r="AB301" i="2"/>
  <c r="V301" i="2"/>
  <c r="AL301" i="2"/>
  <c r="AG301" i="2"/>
  <c r="AQ535" i="2"/>
  <c r="AV535" i="2" s="1"/>
  <c r="BE535" i="2" s="1"/>
  <c r="AB552" i="2"/>
  <c r="AL552" i="2"/>
  <c r="V552" i="2"/>
  <c r="AG552" i="2"/>
  <c r="BD109" i="2"/>
  <c r="BD141" i="2"/>
  <c r="BD173" i="2"/>
  <c r="AQ286" i="2"/>
  <c r="AV286" i="2" s="1"/>
  <c r="BE286" i="2" s="1"/>
  <c r="AL374" i="2"/>
  <c r="V374" i="2"/>
  <c r="AG374" i="2"/>
  <c r="AB374" i="2"/>
  <c r="AQ406" i="2"/>
  <c r="AV406" i="2" s="1"/>
  <c r="BE406" i="2" s="1"/>
  <c r="BD469" i="2"/>
  <c r="AQ521" i="2"/>
  <c r="AV521" i="2" s="1"/>
  <c r="BE521" i="2" s="1"/>
  <c r="AQ627" i="2"/>
  <c r="AV627" i="2" s="1"/>
  <c r="BE627" i="2" s="1"/>
  <c r="AL635" i="2"/>
  <c r="V635" i="2"/>
  <c r="AG635" i="2"/>
  <c r="AB635" i="2"/>
  <c r="AQ643" i="2"/>
  <c r="AV643" i="2" s="1"/>
  <c r="BE643" i="2" s="1"/>
  <c r="AL651" i="2"/>
  <c r="V651" i="2"/>
  <c r="AG651" i="2"/>
  <c r="AB651" i="2"/>
  <c r="AQ659" i="2"/>
  <c r="AV659" i="2" s="1"/>
  <c r="BE659" i="2" s="1"/>
  <c r="AL667" i="2"/>
  <c r="V667" i="2"/>
  <c r="AG667" i="2"/>
  <c r="AB667" i="2"/>
  <c r="AQ675" i="2"/>
  <c r="AV675" i="2" s="1"/>
  <c r="BE675" i="2" s="1"/>
  <c r="AL683" i="2"/>
  <c r="V683" i="2"/>
  <c r="AG683" i="2"/>
  <c r="AB683" i="2"/>
  <c r="AQ691" i="2"/>
  <c r="AV691" i="2" s="1"/>
  <c r="BE691" i="2" s="1"/>
  <c r="AL699" i="2"/>
  <c r="V699" i="2"/>
  <c r="AG699" i="2"/>
  <c r="AB699" i="2"/>
  <c r="AQ707" i="2"/>
  <c r="AV707" i="2" s="1"/>
  <c r="BE707" i="2" s="1"/>
  <c r="AL715" i="2"/>
  <c r="V715" i="2"/>
  <c r="AG715" i="2"/>
  <c r="AB715" i="2"/>
  <c r="AG729" i="2"/>
  <c r="AL729" i="2"/>
  <c r="V729" i="2"/>
  <c r="AB729" i="2"/>
  <c r="AQ745" i="2"/>
  <c r="AV745" i="2" s="1"/>
  <c r="BE745" i="2" s="1"/>
  <c r="AG793" i="2"/>
  <c r="AL793" i="2"/>
  <c r="V793" i="2"/>
  <c r="AB793" i="2"/>
  <c r="AQ809" i="2"/>
  <c r="AV809" i="2" s="1"/>
  <c r="BE809" i="2" s="1"/>
  <c r="AG857" i="2"/>
  <c r="AL857" i="2"/>
  <c r="V857" i="2"/>
  <c r="AB857" i="2"/>
  <c r="AQ873" i="2"/>
  <c r="AV873" i="2" s="1"/>
  <c r="BE873" i="2" s="1"/>
  <c r="AR895" i="2"/>
  <c r="AR899" i="2"/>
  <c r="AW899" i="2" s="1"/>
  <c r="BF899" i="2" s="1"/>
  <c r="AR903" i="2"/>
  <c r="AR919" i="2"/>
  <c r="AR923" i="2"/>
  <c r="AW923" i="2" s="1"/>
  <c r="BF923" i="2" s="1"/>
  <c r="AR931" i="2"/>
  <c r="AW931" i="2" s="1"/>
  <c r="BF931" i="2" s="1"/>
  <c r="BD748" i="2"/>
  <c r="BD812" i="2"/>
  <c r="BD876" i="2"/>
  <c r="AQ938" i="2"/>
  <c r="AV938" i="2" s="1"/>
  <c r="BE938" i="2" s="1"/>
  <c r="AQ942" i="2"/>
  <c r="AV942" i="2" s="1"/>
  <c r="BE942" i="2" s="1"/>
  <c r="AQ946" i="2"/>
  <c r="AV946" i="2" s="1"/>
  <c r="BE946" i="2" s="1"/>
  <c r="AQ950" i="2"/>
  <c r="AV950" i="2" s="1"/>
  <c r="BE950" i="2" s="1"/>
  <c r="AQ954" i="2"/>
  <c r="AV954" i="2" s="1"/>
  <c r="BE954" i="2" s="1"/>
  <c r="AQ958" i="2"/>
  <c r="AV958" i="2" s="1"/>
  <c r="BE958" i="2" s="1"/>
  <c r="AQ962" i="2"/>
  <c r="AV962" i="2" s="1"/>
  <c r="BE962" i="2" s="1"/>
  <c r="AQ966" i="2"/>
  <c r="AV966" i="2" s="1"/>
  <c r="BE966" i="2" s="1"/>
  <c r="AQ970" i="2"/>
  <c r="AV970" i="2" s="1"/>
  <c r="BE970" i="2" s="1"/>
  <c r="AQ974" i="2"/>
  <c r="AV974" i="2" s="1"/>
  <c r="BE974" i="2" s="1"/>
  <c r="AQ978" i="2"/>
  <c r="AV978" i="2" s="1"/>
  <c r="BE978" i="2" s="1"/>
  <c r="AQ982" i="2"/>
  <c r="AV982" i="2" s="1"/>
  <c r="BE982" i="2" s="1"/>
  <c r="AQ986" i="2"/>
  <c r="AV986" i="2" s="1"/>
  <c r="BE986" i="2" s="1"/>
  <c r="AQ990" i="2"/>
  <c r="AV990" i="2" s="1"/>
  <c r="BE990" i="2" s="1"/>
  <c r="AQ994" i="2"/>
  <c r="AV994" i="2" s="1"/>
  <c r="BE994" i="2" s="1"/>
  <c r="AQ998" i="2"/>
  <c r="AV998" i="2" s="1"/>
  <c r="BE998" i="2" s="1"/>
  <c r="AQ1002" i="2"/>
  <c r="AV1002" i="2" s="1"/>
  <c r="BE1002" i="2" s="1"/>
  <c r="AQ1006" i="2"/>
  <c r="AV1006" i="2" s="1"/>
  <c r="BE1006" i="2" s="1"/>
  <c r="AQ1010" i="2"/>
  <c r="AV1010" i="2" s="1"/>
  <c r="BE1010" i="2" s="1"/>
  <c r="AQ1014" i="2"/>
  <c r="AV1014" i="2" s="1"/>
  <c r="BE1014" i="2" s="1"/>
  <c r="AQ1018" i="2"/>
  <c r="AV1018" i="2" s="1"/>
  <c r="BE1018" i="2" s="1"/>
  <c r="AQ1022" i="2"/>
  <c r="AV1022" i="2" s="1"/>
  <c r="BE1022" i="2" s="1"/>
  <c r="AQ1026" i="2"/>
  <c r="AV1026" i="2" s="1"/>
  <c r="BE1026" i="2" s="1"/>
  <c r="AQ1030" i="2"/>
  <c r="AV1030" i="2" s="1"/>
  <c r="BE1030" i="2" s="1"/>
  <c r="AQ1034" i="2"/>
  <c r="AV1034" i="2" s="1"/>
  <c r="BE1034" i="2" s="1"/>
  <c r="AQ1038" i="2"/>
  <c r="AV1038" i="2" s="1"/>
  <c r="BE1038" i="2" s="1"/>
  <c r="AQ1144" i="2"/>
  <c r="AV1144" i="2" s="1"/>
  <c r="BE1144" i="2" s="1"/>
  <c r="AQ1148" i="2"/>
  <c r="AV1148" i="2" s="1"/>
  <c r="BE1148" i="2" s="1"/>
  <c r="AQ1152" i="2"/>
  <c r="AV1152" i="2" s="1"/>
  <c r="BE1152" i="2" s="1"/>
  <c r="AQ1050" i="2"/>
  <c r="AV1050" i="2" s="1"/>
  <c r="BE1050" i="2" s="1"/>
  <c r="AQ1058" i="2"/>
  <c r="AV1058" i="2" s="1"/>
  <c r="BE1058" i="2" s="1"/>
  <c r="AQ1066" i="2"/>
  <c r="AV1066" i="2" s="1"/>
  <c r="BE1066" i="2" s="1"/>
  <c r="AQ1074" i="2"/>
  <c r="AV1074" i="2" s="1"/>
  <c r="BE1074" i="2" s="1"/>
  <c r="AQ1082" i="2"/>
  <c r="AV1082" i="2" s="1"/>
  <c r="BE1082" i="2" s="1"/>
  <c r="AQ1090" i="2"/>
  <c r="AV1090" i="2" s="1"/>
  <c r="BE1090" i="2" s="1"/>
  <c r="AQ1098" i="2"/>
  <c r="AV1098" i="2" s="1"/>
  <c r="BE1098" i="2" s="1"/>
  <c r="AQ1106" i="2"/>
  <c r="AV1106" i="2" s="1"/>
  <c r="BE1106" i="2" s="1"/>
  <c r="AQ1114" i="2"/>
  <c r="AV1114" i="2" s="1"/>
  <c r="BE1114" i="2" s="1"/>
  <c r="AQ1122" i="2"/>
  <c r="AV1122" i="2" s="1"/>
  <c r="BE1122" i="2" s="1"/>
  <c r="AQ1130" i="2"/>
  <c r="AV1130" i="2" s="1"/>
  <c r="BE1130" i="2" s="1"/>
  <c r="AQ1138" i="2"/>
  <c r="AV1138" i="2" s="1"/>
  <c r="BE1138" i="2" s="1"/>
  <c r="AG732" i="2"/>
  <c r="AB732" i="2"/>
  <c r="AL732" i="2"/>
  <c r="V732" i="2"/>
  <c r="AQ764" i="2"/>
  <c r="AV764" i="2" s="1"/>
  <c r="BE764" i="2" s="1"/>
  <c r="AG796" i="2"/>
  <c r="AB796" i="2"/>
  <c r="AL796" i="2"/>
  <c r="V796" i="2"/>
  <c r="AQ828" i="2"/>
  <c r="AV828" i="2" s="1"/>
  <c r="BE828" i="2" s="1"/>
  <c r="AG860" i="2"/>
  <c r="AB860" i="2"/>
  <c r="AL860" i="2"/>
  <c r="V860" i="2"/>
  <c r="BD1007" i="2"/>
  <c r="BD1023" i="2"/>
  <c r="BD1039" i="2"/>
  <c r="AQ1057" i="2"/>
  <c r="AV1057" i="2" s="1"/>
  <c r="BE1057" i="2" s="1"/>
  <c r="AG1089" i="2"/>
  <c r="AL1089" i="2"/>
  <c r="V1089" i="2"/>
  <c r="AB1089" i="2"/>
  <c r="AQ1105" i="2"/>
  <c r="AV1105" i="2" s="1"/>
  <c r="BE1105" i="2" s="1"/>
  <c r="AG1121" i="2"/>
  <c r="AL1121" i="2"/>
  <c r="V1121" i="2"/>
  <c r="AB1121" i="2"/>
  <c r="AR1143" i="2"/>
  <c r="AW1143" i="2" s="1"/>
  <c r="BF1143" i="2" s="1"/>
  <c r="BD1180" i="2"/>
  <c r="AQ1201" i="2"/>
  <c r="AV1201" i="2" s="1"/>
  <c r="BE1201" i="2" s="1"/>
  <c r="AB1233" i="2"/>
  <c r="AL1233" i="2"/>
  <c r="V1233" i="2"/>
  <c r="AG1233" i="2"/>
  <c r="BD1244" i="2"/>
  <c r="AQ1265" i="2"/>
  <c r="AV1265" i="2" s="1"/>
  <c r="BE1265" i="2" s="1"/>
  <c r="AB1297" i="2"/>
  <c r="AL1297" i="2"/>
  <c r="V1297" i="2"/>
  <c r="AG1297" i="2"/>
  <c r="BD1308" i="2"/>
  <c r="AQ1329" i="2"/>
  <c r="AV1329" i="2" s="1"/>
  <c r="BE1329" i="2" s="1"/>
  <c r="AB1361" i="2"/>
  <c r="AL1361" i="2"/>
  <c r="V1361" i="2"/>
  <c r="AG1361" i="2"/>
  <c r="AL1372" i="2"/>
  <c r="AG1372" i="2"/>
  <c r="AB1372" i="2"/>
  <c r="V1372" i="2"/>
  <c r="BD1080" i="2"/>
  <c r="AL1188" i="2"/>
  <c r="V1188" i="2"/>
  <c r="AG1188" i="2"/>
  <c r="AB1188" i="2"/>
  <c r="AQ1220" i="2"/>
  <c r="AV1220" i="2" s="1"/>
  <c r="BE1220" i="2" s="1"/>
  <c r="AL1252" i="2"/>
  <c r="V1252" i="2"/>
  <c r="AG1252" i="2"/>
  <c r="AB1252" i="2"/>
  <c r="AQ1284" i="2"/>
  <c r="AV1284" i="2" s="1"/>
  <c r="BE1284" i="2" s="1"/>
  <c r="AL1316" i="2"/>
  <c r="V1316" i="2"/>
  <c r="AG1316" i="2"/>
  <c r="AB1316" i="2"/>
  <c r="AQ1348" i="2"/>
  <c r="AV1348" i="2" s="1"/>
  <c r="BE1348" i="2" s="1"/>
  <c r="AB1388" i="2"/>
  <c r="AG1388" i="2"/>
  <c r="AL1388" i="2"/>
  <c r="V1388" i="2"/>
  <c r="AG1091" i="2"/>
  <c r="AL1091" i="2"/>
  <c r="V1091" i="2"/>
  <c r="AB1091" i="2"/>
  <c r="AQ1107" i="2"/>
  <c r="AV1107" i="2" s="1"/>
  <c r="BE1107" i="2" s="1"/>
  <c r="AG1123" i="2"/>
  <c r="AL1123" i="2"/>
  <c r="V1123" i="2"/>
  <c r="AB1123" i="2"/>
  <c r="AQ1139" i="2"/>
  <c r="AV1139" i="2" s="1"/>
  <c r="BE1139" i="2" s="1"/>
  <c r="AB1191" i="2"/>
  <c r="AL1191" i="2"/>
  <c r="V1191" i="2"/>
  <c r="AG1191" i="2"/>
  <c r="BD1202" i="2"/>
  <c r="AQ1223" i="2"/>
  <c r="AV1223" i="2" s="1"/>
  <c r="BE1223" i="2" s="1"/>
  <c r="AB1255" i="2"/>
  <c r="AL1255" i="2"/>
  <c r="V1255" i="2"/>
  <c r="AG1255" i="2"/>
  <c r="BD1266" i="2"/>
  <c r="AQ1287" i="2"/>
  <c r="AV1287" i="2" s="1"/>
  <c r="BE1287" i="2" s="1"/>
  <c r="AB1319" i="2"/>
  <c r="AL1319" i="2"/>
  <c r="V1319" i="2"/>
  <c r="AG1319" i="2"/>
  <c r="BD1330" i="2"/>
  <c r="AQ1351" i="2"/>
  <c r="AV1351" i="2" s="1"/>
  <c r="BE1351" i="2" s="1"/>
  <c r="BD1094" i="2"/>
  <c r="AL1186" i="2"/>
  <c r="V1186" i="2"/>
  <c r="AG1186" i="2"/>
  <c r="AB1186" i="2"/>
  <c r="AQ1218" i="2"/>
  <c r="AV1218" i="2" s="1"/>
  <c r="BE1218" i="2" s="1"/>
  <c r="AL1250" i="2"/>
  <c r="V1250" i="2"/>
  <c r="AG1250" i="2"/>
  <c r="AB1250" i="2"/>
  <c r="AQ1282" i="2"/>
  <c r="AV1282" i="2" s="1"/>
  <c r="BE1282" i="2" s="1"/>
  <c r="AL1314" i="2"/>
  <c r="V1314" i="2"/>
  <c r="AG1314" i="2"/>
  <c r="AB1314" i="2"/>
  <c r="AQ1346" i="2"/>
  <c r="AV1346" i="2" s="1"/>
  <c r="BE1346" i="2" s="1"/>
  <c r="AL1391" i="2"/>
  <c r="V1391" i="2"/>
  <c r="AG1391" i="2"/>
  <c r="AB1391" i="2"/>
  <c r="BD1501" i="2"/>
  <c r="AQ1374" i="2"/>
  <c r="AV1374" i="2" s="1"/>
  <c r="BE1374" i="2" s="1"/>
  <c r="AB1390" i="2"/>
  <c r="AG1390" i="2"/>
  <c r="AL1390" i="2"/>
  <c r="V1390" i="2"/>
  <c r="AL1394" i="2"/>
  <c r="V1394" i="2"/>
  <c r="AB1394" i="2"/>
  <c r="AG1394" i="2"/>
  <c r="AL1398" i="2"/>
  <c r="V1398" i="2"/>
  <c r="AB1398" i="2"/>
  <c r="AG1398" i="2"/>
  <c r="AL1402" i="2"/>
  <c r="V1402" i="2"/>
  <c r="AB1402" i="2"/>
  <c r="AG1402" i="2"/>
  <c r="AL1406" i="2"/>
  <c r="V1406" i="2"/>
  <c r="AB1406" i="2"/>
  <c r="AG1406" i="2"/>
  <c r="AL1410" i="2"/>
  <c r="V1410" i="2"/>
  <c r="AB1410" i="2"/>
  <c r="AG1410" i="2"/>
  <c r="AL1414" i="2"/>
  <c r="V1414" i="2"/>
  <c r="AB1414" i="2"/>
  <c r="AG1414" i="2"/>
  <c r="AL1418" i="2"/>
  <c r="V1418" i="2"/>
  <c r="AB1418" i="2"/>
  <c r="AG1418" i="2"/>
  <c r="AL1422" i="2"/>
  <c r="V1422" i="2"/>
  <c r="AB1422" i="2"/>
  <c r="AG1422" i="2"/>
  <c r="AL1426" i="2"/>
  <c r="V1426" i="2"/>
  <c r="AB1426" i="2"/>
  <c r="AG1426" i="2"/>
  <c r="AL1430" i="2"/>
  <c r="V1430" i="2"/>
  <c r="AB1430" i="2"/>
  <c r="AG1430" i="2"/>
  <c r="AL1434" i="2"/>
  <c r="V1434" i="2"/>
  <c r="AB1434" i="2"/>
  <c r="AG1434" i="2"/>
  <c r="AL1438" i="2"/>
  <c r="V1438" i="2"/>
  <c r="AB1438" i="2"/>
  <c r="AG1438" i="2"/>
  <c r="AQ1443" i="2"/>
  <c r="AV1443" i="2" s="1"/>
  <c r="BE1443" i="2" s="1"/>
  <c r="AB1447" i="2"/>
  <c r="AL1447" i="2"/>
  <c r="V1447" i="2"/>
  <c r="AG1447" i="2"/>
  <c r="AQ1459" i="2"/>
  <c r="AV1459" i="2" s="1"/>
  <c r="BE1459" i="2" s="1"/>
  <c r="AB1463" i="2"/>
  <c r="AL1463" i="2"/>
  <c r="V1463" i="2"/>
  <c r="AG1463" i="2"/>
  <c r="AB1503" i="2"/>
  <c r="AL1503" i="2"/>
  <c r="V1503" i="2"/>
  <c r="AG1503" i="2"/>
  <c r="AQ1553" i="2"/>
  <c r="AV1553" i="2" s="1"/>
  <c r="BE1553" i="2" s="1"/>
  <c r="AB1557" i="2"/>
  <c r="AL1557" i="2"/>
  <c r="V1557" i="2"/>
  <c r="AG1557" i="2"/>
  <c r="AQ1569" i="2"/>
  <c r="AV1569" i="2" s="1"/>
  <c r="BE1569" i="2" s="1"/>
  <c r="AB1573" i="2"/>
  <c r="AL1573" i="2"/>
  <c r="V1573" i="2"/>
  <c r="AG1573" i="2"/>
  <c r="AL1580" i="2"/>
  <c r="V1580" i="2"/>
  <c r="AG1580" i="2"/>
  <c r="AB1580" i="2"/>
  <c r="AQ1587" i="2"/>
  <c r="AV1587" i="2" s="1"/>
  <c r="BE1587" i="2" s="1"/>
  <c r="AQ1595" i="2"/>
  <c r="AV1595" i="2" s="1"/>
  <c r="BE1595" i="2" s="1"/>
  <c r="AQ1620" i="2"/>
  <c r="AV1620" i="2" s="1"/>
  <c r="BE1620" i="2" s="1"/>
  <c r="AB1627" i="2"/>
  <c r="AL1627" i="2"/>
  <c r="V1627" i="2"/>
  <c r="AG1627" i="2"/>
  <c r="AL1652" i="2"/>
  <c r="V1652" i="2"/>
  <c r="AG1652" i="2"/>
  <c r="AB1652" i="2"/>
  <c r="AQ1659" i="2"/>
  <c r="AV1659" i="2" s="1"/>
  <c r="BE1659" i="2" s="1"/>
  <c r="AL1492" i="2"/>
  <c r="V1492" i="2"/>
  <c r="AB1492" i="2"/>
  <c r="AG1492" i="2"/>
  <c r="AQ1534" i="2"/>
  <c r="AV1534" i="2" s="1"/>
  <c r="BE1534" i="2" s="1"/>
  <c r="BD1549" i="2"/>
  <c r="BD1565" i="2"/>
  <c r="AQ1449" i="2"/>
  <c r="AV1449" i="2" s="1"/>
  <c r="BE1449" i="2" s="1"/>
  <c r="AB1453" i="2"/>
  <c r="AL1453" i="2"/>
  <c r="V1453" i="2"/>
  <c r="AG1453" i="2"/>
  <c r="AQ1465" i="2"/>
  <c r="AV1465" i="2" s="1"/>
  <c r="BE1465" i="2" s="1"/>
  <c r="AB1469" i="2"/>
  <c r="AL1469" i="2"/>
  <c r="V1469" i="2"/>
  <c r="AG1469" i="2"/>
  <c r="BD1485" i="2"/>
  <c r="AB1487" i="2"/>
  <c r="AL1487" i="2"/>
  <c r="V1487" i="2"/>
  <c r="AG1487" i="2"/>
  <c r="AB1589" i="2"/>
  <c r="AL1589" i="2"/>
  <c r="V1589" i="2"/>
  <c r="AG1589" i="2"/>
  <c r="BD1592" i="2"/>
  <c r="AL1614" i="2"/>
  <c r="V1614" i="2"/>
  <c r="AG1614" i="2"/>
  <c r="AB1614" i="2"/>
  <c r="AQ1621" i="2"/>
  <c r="AV1621" i="2" s="1"/>
  <c r="BE1621" i="2" s="1"/>
  <c r="AQ1646" i="2"/>
  <c r="AV1646" i="2" s="1"/>
  <c r="BE1646" i="2" s="1"/>
  <c r="AB1653" i="2"/>
  <c r="AL1653" i="2"/>
  <c r="V1653" i="2"/>
  <c r="AG1653" i="2"/>
  <c r="BD1656" i="2"/>
  <c r="AC1771" i="2"/>
  <c r="AM1771" i="2"/>
  <c r="AH1771" i="2"/>
  <c r="W1771" i="2"/>
  <c r="AC1819" i="2"/>
  <c r="AM1819" i="2"/>
  <c r="AH1819" i="2"/>
  <c r="W1819" i="2"/>
  <c r="AQ1856" i="2"/>
  <c r="AV1856" i="2" s="1"/>
  <c r="BE1856" i="2" s="1"/>
  <c r="AQ1682" i="2"/>
  <c r="AV1682" i="2" s="1"/>
  <c r="BE1682" i="2" s="1"/>
  <c r="AB1698" i="2"/>
  <c r="AL1698" i="2"/>
  <c r="V1698" i="2"/>
  <c r="AG1698" i="2"/>
  <c r="AQ1746" i="2"/>
  <c r="AV1746" i="2" s="1"/>
  <c r="BE1746" i="2" s="1"/>
  <c r="AG1842" i="2"/>
  <c r="V1842" i="2"/>
  <c r="AL1842" i="2"/>
  <c r="AB1842" i="2"/>
  <c r="AQ1681" i="2"/>
  <c r="AV1681" i="2" s="1"/>
  <c r="BE1681" i="2" s="1"/>
  <c r="AQ1697" i="2"/>
  <c r="AV1697" i="2" s="1"/>
  <c r="BE1697" i="2" s="1"/>
  <c r="AQ1713" i="2"/>
  <c r="AV1713" i="2" s="1"/>
  <c r="BE1713" i="2" s="1"/>
  <c r="AQ1729" i="2"/>
  <c r="AV1729" i="2" s="1"/>
  <c r="BE1729" i="2" s="1"/>
  <c r="AQ1745" i="2"/>
  <c r="AV1745" i="2" s="1"/>
  <c r="BE1745" i="2" s="1"/>
  <c r="AG1821" i="2"/>
  <c r="AB1821" i="2"/>
  <c r="V1821" i="2"/>
  <c r="AL1821" i="2"/>
  <c r="AQ1861" i="2"/>
  <c r="AV1861" i="2" s="1"/>
  <c r="BE1861" i="2" s="1"/>
  <c r="AL1869" i="2"/>
  <c r="V1869" i="2"/>
  <c r="AG1869" i="2"/>
  <c r="AB1869" i="2"/>
  <c r="AQ1877" i="2"/>
  <c r="AV1877" i="2" s="1"/>
  <c r="BE1877" i="2" s="1"/>
  <c r="AL1885" i="2"/>
  <c r="V1885" i="2"/>
  <c r="AG1885" i="2"/>
  <c r="AB1885" i="2"/>
  <c r="AQ1893" i="2"/>
  <c r="AV1893" i="2" s="1"/>
  <c r="BE1893" i="2" s="1"/>
  <c r="AL1901" i="2"/>
  <c r="V1901" i="2"/>
  <c r="AG1901" i="2"/>
  <c r="AB1901" i="2"/>
  <c r="AQ1909" i="2"/>
  <c r="AV1909" i="2" s="1"/>
  <c r="BE1909" i="2" s="1"/>
  <c r="AL1917" i="2"/>
  <c r="V1917" i="2"/>
  <c r="AG1917" i="2"/>
  <c r="AB1917" i="2"/>
  <c r="AQ1925" i="2"/>
  <c r="AV1925" i="2" s="1"/>
  <c r="BE1925" i="2" s="1"/>
  <c r="AL1933" i="2"/>
  <c r="V1933" i="2"/>
  <c r="AG1933" i="2"/>
  <c r="AB1933" i="2"/>
  <c r="AQ1941" i="2"/>
  <c r="AV1941" i="2" s="1"/>
  <c r="BE1941" i="2" s="1"/>
  <c r="AL1949" i="2"/>
  <c r="V1949" i="2"/>
  <c r="AG1949" i="2"/>
  <c r="AB1949" i="2"/>
  <c r="AQ1957" i="2"/>
  <c r="AV1957" i="2" s="1"/>
  <c r="BE1957" i="2" s="1"/>
  <c r="AL1965" i="2"/>
  <c r="V1965" i="2"/>
  <c r="AG1965" i="2"/>
  <c r="AB1965" i="2"/>
  <c r="AQ1973" i="2"/>
  <c r="AV1973" i="2" s="1"/>
  <c r="BE1973" i="2" s="1"/>
  <c r="AL1981" i="2"/>
  <c r="V1981" i="2"/>
  <c r="AG1981" i="2"/>
  <c r="AB1981" i="2"/>
  <c r="AQ1989" i="2"/>
  <c r="AV1989" i="2" s="1"/>
  <c r="BE1989" i="2" s="1"/>
  <c r="AL1997" i="2"/>
  <c r="V1997" i="2"/>
  <c r="AG1997" i="2"/>
  <c r="AB1997" i="2"/>
  <c r="AQ2005" i="2"/>
  <c r="AV2005" i="2" s="1"/>
  <c r="BE2005" i="2" s="1"/>
  <c r="AL2013" i="2"/>
  <c r="V2013" i="2"/>
  <c r="AG2013" i="2"/>
  <c r="AB2013" i="2"/>
  <c r="AQ1959" i="2"/>
  <c r="AV1959" i="2" s="1"/>
  <c r="BE1959" i="2" s="1"/>
  <c r="AL1967" i="2"/>
  <c r="V1967" i="2"/>
  <c r="AG1967" i="2"/>
  <c r="AB1967" i="2"/>
  <c r="AQ1975" i="2"/>
  <c r="AV1975" i="2" s="1"/>
  <c r="BE1975" i="2" s="1"/>
  <c r="AL1983" i="2"/>
  <c r="V1983" i="2"/>
  <c r="AG1983" i="2"/>
  <c r="AB1983" i="2"/>
  <c r="AQ1991" i="2"/>
  <c r="AV1991" i="2" s="1"/>
  <c r="BE1991" i="2" s="1"/>
  <c r="AL1999" i="2"/>
  <c r="V1999" i="2"/>
  <c r="AG1999" i="2"/>
  <c r="AB1999" i="2"/>
  <c r="AQ2007" i="2"/>
  <c r="AV2007" i="2" s="1"/>
  <c r="BE2007" i="2" s="1"/>
  <c r="AL2015" i="2"/>
  <c r="V2015" i="2"/>
  <c r="AG2015" i="2"/>
  <c r="AB2015" i="2"/>
  <c r="BD2110" i="2"/>
  <c r="AG2116" i="2"/>
  <c r="AB2116" i="2"/>
  <c r="AL2116" i="2"/>
  <c r="V2116" i="2"/>
  <c r="AG2118" i="2"/>
  <c r="AB2118" i="2"/>
  <c r="AL2118" i="2"/>
  <c r="V2118" i="2"/>
  <c r="AG2120" i="2"/>
  <c r="AB2120" i="2"/>
  <c r="AL2120" i="2"/>
  <c r="V2120" i="2"/>
  <c r="AG2122" i="2"/>
  <c r="AB2122" i="2"/>
  <c r="AL2122" i="2"/>
  <c r="V2122" i="2"/>
  <c r="AG2124" i="2"/>
  <c r="AB2124" i="2"/>
  <c r="AL2124" i="2"/>
  <c r="V2124" i="2"/>
  <c r="AG2126" i="2"/>
  <c r="AB2126" i="2"/>
  <c r="AL2126" i="2"/>
  <c r="V2126" i="2"/>
  <c r="AG2128" i="2"/>
  <c r="AB2128" i="2"/>
  <c r="AL2128" i="2"/>
  <c r="V2128" i="2"/>
  <c r="AG2130" i="2"/>
  <c r="AB2130" i="2"/>
  <c r="AL2130" i="2"/>
  <c r="V2130" i="2"/>
  <c r="AG2132" i="2"/>
  <c r="AB2132" i="2"/>
  <c r="AL2132" i="2"/>
  <c r="V2132" i="2"/>
  <c r="AG2134" i="2"/>
  <c r="AB2134" i="2"/>
  <c r="AL2134" i="2"/>
  <c r="V2134" i="2"/>
  <c r="AG2136" i="2"/>
  <c r="AB2136" i="2"/>
  <c r="AL2136" i="2"/>
  <c r="V2136" i="2"/>
  <c r="AG2138" i="2"/>
  <c r="AB2138" i="2"/>
  <c r="AL2138" i="2"/>
  <c r="V2138" i="2"/>
  <c r="AG2140" i="2"/>
  <c r="AB2140" i="2"/>
  <c r="AL2140" i="2"/>
  <c r="V2140" i="2"/>
  <c r="AG2145" i="2"/>
  <c r="AL2145" i="2"/>
  <c r="V2145" i="2"/>
  <c r="AB2145" i="2"/>
  <c r="AG2150" i="2"/>
  <c r="AL2150" i="2"/>
  <c r="V2150" i="2"/>
  <c r="AB2150" i="2"/>
  <c r="BD2023" i="2"/>
  <c r="BD2039" i="2"/>
  <c r="AQ2059" i="2"/>
  <c r="AV2059" i="2" s="1"/>
  <c r="BE2059" i="2" s="1"/>
  <c r="AB2068" i="2"/>
  <c r="AL2068" i="2"/>
  <c r="V2068" i="2"/>
  <c r="AG2068" i="2"/>
  <c r="AL2091" i="2"/>
  <c r="V2091" i="2"/>
  <c r="AG2091" i="2"/>
  <c r="AB2091" i="2"/>
  <c r="AQ2100" i="2"/>
  <c r="AV2100" i="2" s="1"/>
  <c r="BE2100" i="2" s="1"/>
  <c r="AQ2113" i="2"/>
  <c r="AV2113" i="2" s="1"/>
  <c r="BE2113" i="2" s="1"/>
  <c r="AQ2149" i="2"/>
  <c r="AV2149" i="2" s="1"/>
  <c r="BE2149" i="2" s="1"/>
  <c r="AQ2163" i="2"/>
  <c r="AV2163" i="2" s="1"/>
  <c r="BE2163" i="2" s="1"/>
  <c r="AG2195" i="2"/>
  <c r="AB2195" i="2"/>
  <c r="AL2195" i="2"/>
  <c r="V2195" i="2"/>
  <c r="AQ2162" i="2"/>
  <c r="AV2162" i="2" s="1"/>
  <c r="BE2162" i="2" s="1"/>
  <c r="AL2194" i="2"/>
  <c r="V2194" i="2"/>
  <c r="AG2194" i="2"/>
  <c r="AB2194" i="2"/>
  <c r="AQ2185" i="2"/>
  <c r="AV2185" i="2" s="1"/>
  <c r="BE2185" i="2" s="1"/>
  <c r="AQ2147" i="2"/>
  <c r="AV2147" i="2" s="1"/>
  <c r="BE2147" i="2" s="1"/>
  <c r="AQ2180" i="2"/>
  <c r="AV2180" i="2" s="1"/>
  <c r="BE2180" i="2" s="1"/>
  <c r="AQ2395" i="2"/>
  <c r="AV2395" i="2" s="1"/>
  <c r="BE2395" i="2" s="1"/>
  <c r="AQ2403" i="2"/>
  <c r="AV2403" i="2" s="1"/>
  <c r="BE2403" i="2" s="1"/>
  <c r="AL2200" i="2"/>
  <c r="V2200" i="2"/>
  <c r="AB2200" i="2"/>
  <c r="AG2200" i="2"/>
  <c r="AL2204" i="2"/>
  <c r="V2204" i="2"/>
  <c r="AB2204" i="2"/>
  <c r="AG2204" i="2"/>
  <c r="AL2208" i="2"/>
  <c r="V2208" i="2"/>
  <c r="AB2208" i="2"/>
  <c r="AG2208" i="2"/>
  <c r="AL2212" i="2"/>
  <c r="V2212" i="2"/>
  <c r="AB2212" i="2"/>
  <c r="AG2212" i="2"/>
  <c r="AL2216" i="2"/>
  <c r="V2216" i="2"/>
  <c r="AB2216" i="2"/>
  <c r="AG2216" i="2"/>
  <c r="AL2220" i="2"/>
  <c r="V2220" i="2"/>
  <c r="AB2220" i="2"/>
  <c r="AG2220" i="2"/>
  <c r="AL2224" i="2"/>
  <c r="V2224" i="2"/>
  <c r="AB2224" i="2"/>
  <c r="AG2224" i="2"/>
  <c r="AL2228" i="2"/>
  <c r="V2228" i="2"/>
  <c r="AB2228" i="2"/>
  <c r="AG2228" i="2"/>
  <c r="AL2232" i="2"/>
  <c r="V2232" i="2"/>
  <c r="AB2232" i="2"/>
  <c r="AG2232" i="2"/>
  <c r="AL2236" i="2"/>
  <c r="V2236" i="2"/>
  <c r="AB2236" i="2"/>
  <c r="AG2236" i="2"/>
  <c r="AL2240" i="2"/>
  <c r="V2240" i="2"/>
  <c r="AB2240" i="2"/>
  <c r="AG2240" i="2"/>
  <c r="AL2244" i="2"/>
  <c r="V2244" i="2"/>
  <c r="AB2244" i="2"/>
  <c r="AG2244" i="2"/>
  <c r="AL2248" i="2"/>
  <c r="V2248" i="2"/>
  <c r="AB2248" i="2"/>
  <c r="AG2248" i="2"/>
  <c r="AL2252" i="2"/>
  <c r="V2252" i="2"/>
  <c r="AB2252" i="2"/>
  <c r="AG2252" i="2"/>
  <c r="AL2256" i="2"/>
  <c r="V2256" i="2"/>
  <c r="AB2256" i="2"/>
  <c r="AG2256" i="2"/>
  <c r="AL2260" i="2"/>
  <c r="V2260" i="2"/>
  <c r="AB2260" i="2"/>
  <c r="AG2260" i="2"/>
  <c r="AL2264" i="2"/>
  <c r="V2264" i="2"/>
  <c r="AB2264" i="2"/>
  <c r="AG2264" i="2"/>
  <c r="AL2268" i="2"/>
  <c r="V2268" i="2"/>
  <c r="AB2268" i="2"/>
  <c r="AG2268" i="2"/>
  <c r="AL2272" i="2"/>
  <c r="V2272" i="2"/>
  <c r="AB2272" i="2"/>
  <c r="AG2272" i="2"/>
  <c r="AL2276" i="2"/>
  <c r="V2276" i="2"/>
  <c r="AB2276" i="2"/>
  <c r="AG2276" i="2"/>
  <c r="AL2280" i="2"/>
  <c r="V2280" i="2"/>
  <c r="AB2280" i="2"/>
  <c r="AG2280" i="2"/>
  <c r="AL2284" i="2"/>
  <c r="V2284" i="2"/>
  <c r="AB2284" i="2"/>
  <c r="AG2284" i="2"/>
  <c r="AL2288" i="2"/>
  <c r="V2288" i="2"/>
  <c r="AB2288" i="2"/>
  <c r="AG2288" i="2"/>
  <c r="AL2292" i="2"/>
  <c r="V2292" i="2"/>
  <c r="AB2292" i="2"/>
  <c r="AG2292" i="2"/>
  <c r="AL2296" i="2"/>
  <c r="V2296" i="2"/>
  <c r="AB2296" i="2"/>
  <c r="AG2296" i="2"/>
  <c r="AL2300" i="2"/>
  <c r="V2300" i="2"/>
  <c r="AB2300" i="2"/>
  <c r="AG2300" i="2"/>
  <c r="AL2304" i="2"/>
  <c r="V2304" i="2"/>
  <c r="AB2304" i="2"/>
  <c r="AG2304" i="2"/>
  <c r="AL2308" i="2"/>
  <c r="V2308" i="2"/>
  <c r="AB2308" i="2"/>
  <c r="AG2308" i="2"/>
  <c r="AL2312" i="2"/>
  <c r="V2312" i="2"/>
  <c r="AB2312" i="2"/>
  <c r="AG2312" i="2"/>
  <c r="AQ2404" i="2"/>
  <c r="AV2404" i="2" s="1"/>
  <c r="BE2404" i="2" s="1"/>
  <c r="AQ2429" i="2"/>
  <c r="AV2429" i="2" s="1"/>
  <c r="BE2429" i="2" s="1"/>
  <c r="AG2461" i="2"/>
  <c r="AB2461" i="2"/>
  <c r="AL2461" i="2"/>
  <c r="V2461" i="2"/>
  <c r="AL2428" i="2"/>
  <c r="V2428" i="2"/>
  <c r="AG2428" i="2"/>
  <c r="AB2428" i="2"/>
  <c r="AQ2460" i="2"/>
  <c r="AV2460" i="2" s="1"/>
  <c r="BE2460" i="2" s="1"/>
  <c r="AQ2419" i="2"/>
  <c r="AV2419" i="2" s="1"/>
  <c r="BE2419" i="2" s="1"/>
  <c r="AG2451" i="2"/>
  <c r="AB2451" i="2"/>
  <c r="AL2451" i="2"/>
  <c r="V2451" i="2"/>
  <c r="AL2422" i="2"/>
  <c r="V2422" i="2"/>
  <c r="AG2422" i="2"/>
  <c r="AB2422" i="2"/>
  <c r="AQ2454" i="2"/>
  <c r="AV2454" i="2" s="1"/>
  <c r="BE2454" i="2" s="1"/>
  <c r="AL2483" i="2"/>
  <c r="V2483" i="2"/>
  <c r="AB2483" i="2"/>
  <c r="AG2483" i="2"/>
  <c r="AQ2501" i="2"/>
  <c r="AV2501" i="2" s="1"/>
  <c r="BE2501" i="2" s="1"/>
  <c r="AQ2496" i="2"/>
  <c r="AV2496" i="2" s="1"/>
  <c r="BE2496" i="2" s="1"/>
  <c r="AQ2335" i="2"/>
  <c r="AV2335" i="2" s="1"/>
  <c r="BE2335" i="2" s="1"/>
  <c r="AQ2359" i="2"/>
  <c r="AV2359" i="2" s="1"/>
  <c r="BE2359" i="2" s="1"/>
  <c r="AQ2367" i="2"/>
  <c r="AV2367" i="2" s="1"/>
  <c r="BE2367" i="2" s="1"/>
  <c r="AQ2375" i="2"/>
  <c r="AV2375" i="2" s="1"/>
  <c r="BE2375" i="2" s="1"/>
  <c r="AQ2383" i="2"/>
  <c r="AV2383" i="2" s="1"/>
  <c r="BE2383" i="2" s="1"/>
  <c r="AQ2406" i="2"/>
  <c r="AV2406" i="2" s="1"/>
  <c r="BE2406" i="2" s="1"/>
  <c r="AQ2443" i="2"/>
  <c r="AV2443" i="2" s="1"/>
  <c r="BE2443" i="2" s="1"/>
  <c r="AQ2459" i="2"/>
  <c r="AV2459" i="2" s="1"/>
  <c r="BE2459" i="2" s="1"/>
  <c r="AQ2462" i="2"/>
  <c r="AV2462" i="2" s="1"/>
  <c r="BE2462" i="2" s="1"/>
  <c r="AQ2477" i="2"/>
  <c r="AV2477" i="2" s="1"/>
  <c r="BE2477" i="2" s="1"/>
  <c r="AB2229" i="2"/>
  <c r="AL2229" i="2"/>
  <c r="V2229" i="2"/>
  <c r="AG2229" i="2"/>
  <c r="AG2394" i="2"/>
  <c r="AL2394" i="2"/>
  <c r="V2394" i="2"/>
  <c r="AB2394" i="2"/>
  <c r="AQ2500" i="2"/>
  <c r="AV2500" i="2" s="1"/>
  <c r="BE2500" i="2" s="1"/>
  <c r="AQ27" i="2"/>
  <c r="AV27" i="2" s="1"/>
  <c r="BE27" i="2" s="1"/>
  <c r="AL44" i="2"/>
  <c r="V44" i="2"/>
  <c r="AB44" i="2"/>
  <c r="AG44" i="2"/>
  <c r="AB59" i="2"/>
  <c r="AL59" i="2"/>
  <c r="AG59" i="2"/>
  <c r="V59" i="2"/>
  <c r="AL26" i="2"/>
  <c r="V26" i="2"/>
  <c r="AG26" i="2"/>
  <c r="AB26" i="2"/>
  <c r="AL32" i="2"/>
  <c r="V32" i="2"/>
  <c r="AB32" i="2"/>
  <c r="AG32" i="2"/>
  <c r="AQ55" i="2"/>
  <c r="AV55" i="2" s="1"/>
  <c r="BE55" i="2" s="1"/>
  <c r="AQ65" i="2"/>
  <c r="AV65" i="2" s="1"/>
  <c r="BE65" i="2" s="1"/>
  <c r="AB109" i="2"/>
  <c r="AL109" i="2"/>
  <c r="AG109" i="2"/>
  <c r="V109" i="2"/>
  <c r="AB127" i="2"/>
  <c r="AL127" i="2"/>
  <c r="AG127" i="2"/>
  <c r="V127" i="2"/>
  <c r="AB205" i="2"/>
  <c r="AL205" i="2"/>
  <c r="AG205" i="2"/>
  <c r="V205" i="2"/>
  <c r="AB231" i="2"/>
  <c r="AL231" i="2"/>
  <c r="AG231" i="2"/>
  <c r="V231" i="2"/>
  <c r="AB263" i="2"/>
  <c r="AL263" i="2"/>
  <c r="AG263" i="2"/>
  <c r="V263" i="2"/>
  <c r="AB311" i="2"/>
  <c r="AL311" i="2"/>
  <c r="AG311" i="2"/>
  <c r="V311" i="2"/>
  <c r="AQ327" i="2"/>
  <c r="AV327" i="2" s="1"/>
  <c r="BE327" i="2" s="1"/>
  <c r="AQ335" i="2"/>
  <c r="AV335" i="2" s="1"/>
  <c r="BE335" i="2" s="1"/>
  <c r="AQ343" i="2"/>
  <c r="AV343" i="2" s="1"/>
  <c r="BE343" i="2" s="1"/>
  <c r="AQ351" i="2"/>
  <c r="AV351" i="2" s="1"/>
  <c r="BE351" i="2" s="1"/>
  <c r="AQ359" i="2"/>
  <c r="AV359" i="2" s="1"/>
  <c r="BE359" i="2" s="1"/>
  <c r="AQ367" i="2"/>
  <c r="AV367" i="2" s="1"/>
  <c r="BE367" i="2" s="1"/>
  <c r="AQ375" i="2"/>
  <c r="AV375" i="2" s="1"/>
  <c r="BE375" i="2" s="1"/>
  <c r="AQ383" i="2"/>
  <c r="AV383" i="2" s="1"/>
  <c r="BE383" i="2" s="1"/>
  <c r="AQ391" i="2"/>
  <c r="AV391" i="2" s="1"/>
  <c r="BE391" i="2" s="1"/>
  <c r="AQ399" i="2"/>
  <c r="AV399" i="2" s="1"/>
  <c r="BE399" i="2" s="1"/>
  <c r="AB457" i="2"/>
  <c r="AL457" i="2"/>
  <c r="AG457" i="2"/>
  <c r="V457" i="2"/>
  <c r="AL498" i="2"/>
  <c r="V498" i="2"/>
  <c r="AB498" i="2"/>
  <c r="AG498" i="2"/>
  <c r="AL502" i="2"/>
  <c r="V502" i="2"/>
  <c r="AB502" i="2"/>
  <c r="AG502" i="2"/>
  <c r="AL506" i="2"/>
  <c r="V506" i="2"/>
  <c r="AB506" i="2"/>
  <c r="AG506" i="2"/>
  <c r="AB47" i="2"/>
  <c r="AL47" i="2"/>
  <c r="V47" i="2"/>
  <c r="AG47" i="2"/>
  <c r="AB57" i="2"/>
  <c r="AL57" i="2"/>
  <c r="V57" i="2"/>
  <c r="AG57" i="2"/>
  <c r="AB145" i="2"/>
  <c r="AL145" i="2"/>
  <c r="AG145" i="2"/>
  <c r="V145" i="2"/>
  <c r="AQ161" i="2"/>
  <c r="AV161" i="2" s="1"/>
  <c r="BE161" i="2" s="1"/>
  <c r="AQ466" i="2"/>
  <c r="AV466" i="2" s="1"/>
  <c r="BE466" i="2" s="1"/>
  <c r="AQ25" i="2"/>
  <c r="AV25" i="2" s="1"/>
  <c r="BE25" i="2" s="1"/>
  <c r="AQ7" i="2"/>
  <c r="AV7" i="2" s="1"/>
  <c r="BE7" i="2" s="1"/>
  <c r="AQ39" i="2"/>
  <c r="AV39" i="2" s="1"/>
  <c r="BE39" i="2" s="1"/>
  <c r="AQ71" i="2"/>
  <c r="AV71" i="2" s="1"/>
  <c r="BE71" i="2" s="1"/>
  <c r="AB117" i="2"/>
  <c r="AG117" i="2"/>
  <c r="V117" i="2"/>
  <c r="AL117" i="2"/>
  <c r="AB149" i="2"/>
  <c r="AG149" i="2"/>
  <c r="V149" i="2"/>
  <c r="AL149" i="2"/>
  <c r="AB181" i="2"/>
  <c r="AG181" i="2"/>
  <c r="V181" i="2"/>
  <c r="AL181" i="2"/>
  <c r="AQ239" i="2"/>
  <c r="AV239" i="2" s="1"/>
  <c r="BE239" i="2" s="1"/>
  <c r="W240" i="2"/>
  <c r="AL328" i="2"/>
  <c r="V328" i="2"/>
  <c r="AG328" i="2"/>
  <c r="AB328" i="2"/>
  <c r="AL360" i="2"/>
  <c r="V360" i="2"/>
  <c r="AG360" i="2"/>
  <c r="AB360" i="2"/>
  <c r="AL392" i="2"/>
  <c r="V392" i="2"/>
  <c r="AG392" i="2"/>
  <c r="AB392" i="2"/>
  <c r="AB409" i="2"/>
  <c r="AL409" i="2"/>
  <c r="AG409" i="2"/>
  <c r="V409" i="2"/>
  <c r="AL458" i="2"/>
  <c r="V458" i="2"/>
  <c r="AG458" i="2"/>
  <c r="AB458" i="2"/>
  <c r="AL488" i="2"/>
  <c r="V488" i="2"/>
  <c r="AG488" i="2"/>
  <c r="AB488" i="2"/>
  <c r="AL36" i="2"/>
  <c r="V36" i="2"/>
  <c r="AB36" i="2"/>
  <c r="AG36" i="2"/>
  <c r="AL68" i="2"/>
  <c r="V68" i="2"/>
  <c r="AB68" i="2"/>
  <c r="AG68" i="2"/>
  <c r="AL100" i="2"/>
  <c r="V100" i="2"/>
  <c r="AB100" i="2"/>
  <c r="AG100" i="2"/>
  <c r="AB211" i="2"/>
  <c r="AL211" i="2"/>
  <c r="AG211" i="2"/>
  <c r="V211" i="2"/>
  <c r="AB217" i="2"/>
  <c r="AL217" i="2"/>
  <c r="AG217" i="2"/>
  <c r="V217" i="2"/>
  <c r="AQ236" i="2"/>
  <c r="AV236" i="2" s="1"/>
  <c r="BE236" i="2" s="1"/>
  <c r="AQ250" i="2"/>
  <c r="AV250" i="2" s="1"/>
  <c r="BE250" i="2" s="1"/>
  <c r="AB275" i="2"/>
  <c r="AL275" i="2"/>
  <c r="AG275" i="2"/>
  <c r="V275" i="2"/>
  <c r="AB281" i="2"/>
  <c r="AL281" i="2"/>
  <c r="AG281" i="2"/>
  <c r="V281" i="2"/>
  <c r="AQ300" i="2"/>
  <c r="AV300" i="2" s="1"/>
  <c r="BE300" i="2" s="1"/>
  <c r="AB323" i="2"/>
  <c r="AL323" i="2"/>
  <c r="AG323" i="2"/>
  <c r="V323" i="2"/>
  <c r="AB465" i="2"/>
  <c r="AL465" i="2"/>
  <c r="AG465" i="2"/>
  <c r="V465" i="2"/>
  <c r="AL507" i="2"/>
  <c r="V507" i="2"/>
  <c r="AG507" i="2"/>
  <c r="AB507" i="2"/>
  <c r="AL515" i="2"/>
  <c r="V515" i="2"/>
  <c r="AG515" i="2"/>
  <c r="AB515" i="2"/>
  <c r="AL523" i="2"/>
  <c r="V523" i="2"/>
  <c r="AG523" i="2"/>
  <c r="AB523" i="2"/>
  <c r="AL531" i="2"/>
  <c r="V531" i="2"/>
  <c r="AG531" i="2"/>
  <c r="AB531" i="2"/>
  <c r="AL539" i="2"/>
  <c r="V539" i="2"/>
  <c r="AG539" i="2"/>
  <c r="AB539" i="2"/>
  <c r="AL547" i="2"/>
  <c r="V547" i="2"/>
  <c r="AG547" i="2"/>
  <c r="AB547" i="2"/>
  <c r="AL555" i="2"/>
  <c r="V555" i="2"/>
  <c r="AG555" i="2"/>
  <c r="AB555" i="2"/>
  <c r="AB339" i="2"/>
  <c r="AL339" i="2"/>
  <c r="AG339" i="2"/>
  <c r="V339" i="2"/>
  <c r="AQ355" i="2"/>
  <c r="AV355" i="2" s="1"/>
  <c r="BE355" i="2" s="1"/>
  <c r="AB371" i="2"/>
  <c r="AL371" i="2"/>
  <c r="AG371" i="2"/>
  <c r="V371" i="2"/>
  <c r="AQ387" i="2"/>
  <c r="AV387" i="2" s="1"/>
  <c r="BE387" i="2" s="1"/>
  <c r="AB403" i="2"/>
  <c r="AL403" i="2"/>
  <c r="AG403" i="2"/>
  <c r="V403" i="2"/>
  <c r="AQ435" i="2"/>
  <c r="AV435" i="2" s="1"/>
  <c r="BE435" i="2" s="1"/>
  <c r="AB467" i="2"/>
  <c r="AL467" i="2"/>
  <c r="AG467" i="2"/>
  <c r="V467" i="2"/>
  <c r="AQ731" i="2"/>
  <c r="AV731" i="2" s="1"/>
  <c r="BE731" i="2" s="1"/>
  <c r="AQ747" i="2"/>
  <c r="AV747" i="2" s="1"/>
  <c r="BE747" i="2" s="1"/>
  <c r="AQ763" i="2"/>
  <c r="AV763" i="2" s="1"/>
  <c r="BE763" i="2" s="1"/>
  <c r="AQ779" i="2"/>
  <c r="AV779" i="2" s="1"/>
  <c r="BE779" i="2" s="1"/>
  <c r="AQ795" i="2"/>
  <c r="AV795" i="2" s="1"/>
  <c r="BE795" i="2" s="1"/>
  <c r="AQ811" i="2"/>
  <c r="AV811" i="2" s="1"/>
  <c r="BE811" i="2" s="1"/>
  <c r="AQ827" i="2"/>
  <c r="AV827" i="2" s="1"/>
  <c r="BE827" i="2" s="1"/>
  <c r="AQ843" i="2"/>
  <c r="AV843" i="2" s="1"/>
  <c r="BE843" i="2" s="1"/>
  <c r="AQ859" i="2"/>
  <c r="AV859" i="2" s="1"/>
  <c r="BE859" i="2" s="1"/>
  <c r="AQ875" i="2"/>
  <c r="AV875" i="2" s="1"/>
  <c r="BE875" i="2" s="1"/>
  <c r="AG934" i="2"/>
  <c r="AB934" i="2"/>
  <c r="AL934" i="2"/>
  <c r="V934" i="2"/>
  <c r="AB213" i="2"/>
  <c r="AG213" i="2"/>
  <c r="V213" i="2"/>
  <c r="AL213" i="2"/>
  <c r="AQ309" i="2"/>
  <c r="AV309" i="2" s="1"/>
  <c r="BE309" i="2" s="1"/>
  <c r="AB413" i="2"/>
  <c r="AL413" i="2"/>
  <c r="AG413" i="2"/>
  <c r="V413" i="2"/>
  <c r="AB429" i="2"/>
  <c r="AL429" i="2"/>
  <c r="AG429" i="2"/>
  <c r="V429" i="2"/>
  <c r="AB445" i="2"/>
  <c r="AL445" i="2"/>
  <c r="AG445" i="2"/>
  <c r="V445" i="2"/>
  <c r="AB461" i="2"/>
  <c r="AL461" i="2"/>
  <c r="AG461" i="2"/>
  <c r="V461" i="2"/>
  <c r="AB477" i="2"/>
  <c r="AL477" i="2"/>
  <c r="AG477" i="2"/>
  <c r="V477" i="2"/>
  <c r="AB493" i="2"/>
  <c r="AL493" i="2"/>
  <c r="AG493" i="2"/>
  <c r="V493" i="2"/>
  <c r="AQ543" i="2"/>
  <c r="AV543" i="2" s="1"/>
  <c r="BE543" i="2" s="1"/>
  <c r="AG742" i="2"/>
  <c r="AL742" i="2"/>
  <c r="V742" i="2"/>
  <c r="AB742" i="2"/>
  <c r="AG758" i="2"/>
  <c r="AL758" i="2"/>
  <c r="V758" i="2"/>
  <c r="AB758" i="2"/>
  <c r="AG774" i="2"/>
  <c r="AL774" i="2"/>
  <c r="V774" i="2"/>
  <c r="AB774" i="2"/>
  <c r="AG790" i="2"/>
  <c r="AL790" i="2"/>
  <c r="V790" i="2"/>
  <c r="AB790" i="2"/>
  <c r="AG806" i="2"/>
  <c r="AL806" i="2"/>
  <c r="V806" i="2"/>
  <c r="AB806" i="2"/>
  <c r="AG822" i="2"/>
  <c r="AL822" i="2"/>
  <c r="V822" i="2"/>
  <c r="AB822" i="2"/>
  <c r="AG838" i="2"/>
  <c r="AL838" i="2"/>
  <c r="V838" i="2"/>
  <c r="AB838" i="2"/>
  <c r="AG854" i="2"/>
  <c r="AL854" i="2"/>
  <c r="V854" i="2"/>
  <c r="AB854" i="2"/>
  <c r="AG870" i="2"/>
  <c r="AL870" i="2"/>
  <c r="V870" i="2"/>
  <c r="AB870" i="2"/>
  <c r="AG886" i="2"/>
  <c r="AB886" i="2"/>
  <c r="AL886" i="2"/>
  <c r="V886" i="2"/>
  <c r="AG890" i="2"/>
  <c r="AB890" i="2"/>
  <c r="AL890" i="2"/>
  <c r="V890" i="2"/>
  <c r="AG894" i="2"/>
  <c r="AB894" i="2"/>
  <c r="AL894" i="2"/>
  <c r="V894" i="2"/>
  <c r="AG898" i="2"/>
  <c r="AB898" i="2"/>
  <c r="AL898" i="2"/>
  <c r="V898" i="2"/>
  <c r="AG902" i="2"/>
  <c r="AB902" i="2"/>
  <c r="AL902" i="2"/>
  <c r="V902" i="2"/>
  <c r="AG906" i="2"/>
  <c r="AB906" i="2"/>
  <c r="AL906" i="2"/>
  <c r="V906" i="2"/>
  <c r="AG910" i="2"/>
  <c r="AB910" i="2"/>
  <c r="AL910" i="2"/>
  <c r="V910" i="2"/>
  <c r="AG914" i="2"/>
  <c r="AB914" i="2"/>
  <c r="AL914" i="2"/>
  <c r="V914" i="2"/>
  <c r="AG918" i="2"/>
  <c r="AB918" i="2"/>
  <c r="AL918" i="2"/>
  <c r="V918" i="2"/>
  <c r="AG922" i="2"/>
  <c r="AB922" i="2"/>
  <c r="AL922" i="2"/>
  <c r="V922" i="2"/>
  <c r="AG926" i="2"/>
  <c r="AB926" i="2"/>
  <c r="AL926" i="2"/>
  <c r="V926" i="2"/>
  <c r="AG930" i="2"/>
  <c r="AB930" i="2"/>
  <c r="AL930" i="2"/>
  <c r="V930" i="2"/>
  <c r="AL214" i="2"/>
  <c r="V214" i="2"/>
  <c r="AG214" i="2"/>
  <c r="AB214" i="2"/>
  <c r="AQ310" i="2"/>
  <c r="AV310" i="2" s="1"/>
  <c r="BE310" i="2" s="1"/>
  <c r="AQ350" i="2"/>
  <c r="AV350" i="2" s="1"/>
  <c r="BE350" i="2" s="1"/>
  <c r="AH380" i="2"/>
  <c r="AC380" i="2"/>
  <c r="AM380" i="2"/>
  <c r="W380" i="2"/>
  <c r="AQ749" i="2"/>
  <c r="AV749" i="2" s="1"/>
  <c r="BE749" i="2" s="1"/>
  <c r="AQ781" i="2"/>
  <c r="AV781" i="2" s="1"/>
  <c r="BE781" i="2" s="1"/>
  <c r="AQ813" i="2"/>
  <c r="AV813" i="2" s="1"/>
  <c r="BE813" i="2" s="1"/>
  <c r="AQ845" i="2"/>
  <c r="AV845" i="2" s="1"/>
  <c r="BE845" i="2" s="1"/>
  <c r="AQ877" i="2"/>
  <c r="AV877" i="2" s="1"/>
  <c r="BE877" i="2" s="1"/>
  <c r="AG620" i="2"/>
  <c r="AB620" i="2"/>
  <c r="AL620" i="2"/>
  <c r="V620" i="2"/>
  <c r="AG624" i="2"/>
  <c r="AB624" i="2"/>
  <c r="AL624" i="2"/>
  <c r="V624" i="2"/>
  <c r="AG628" i="2"/>
  <c r="AB628" i="2"/>
  <c r="AL628" i="2"/>
  <c r="V628" i="2"/>
  <c r="AG632" i="2"/>
  <c r="AB632" i="2"/>
  <c r="AL632" i="2"/>
  <c r="V632" i="2"/>
  <c r="AG636" i="2"/>
  <c r="AB636" i="2"/>
  <c r="AL636" i="2"/>
  <c r="V636" i="2"/>
  <c r="AG640" i="2"/>
  <c r="AB640" i="2"/>
  <c r="AL640" i="2"/>
  <c r="V640" i="2"/>
  <c r="AG644" i="2"/>
  <c r="AB644" i="2"/>
  <c r="AL644" i="2"/>
  <c r="V644" i="2"/>
  <c r="AG648" i="2"/>
  <c r="AB648" i="2"/>
  <c r="AL648" i="2"/>
  <c r="V648" i="2"/>
  <c r="AG652" i="2"/>
  <c r="AB652" i="2"/>
  <c r="AL652" i="2"/>
  <c r="V652" i="2"/>
  <c r="AG656" i="2"/>
  <c r="AB656" i="2"/>
  <c r="AL656" i="2"/>
  <c r="V656" i="2"/>
  <c r="AG660" i="2"/>
  <c r="AB660" i="2"/>
  <c r="AL660" i="2"/>
  <c r="V660" i="2"/>
  <c r="AG664" i="2"/>
  <c r="AB664" i="2"/>
  <c r="AL664" i="2"/>
  <c r="V664" i="2"/>
  <c r="AG668" i="2"/>
  <c r="AB668" i="2"/>
  <c r="AL668" i="2"/>
  <c r="V668" i="2"/>
  <c r="AG672" i="2"/>
  <c r="AB672" i="2"/>
  <c r="AL672" i="2"/>
  <c r="V672" i="2"/>
  <c r="AG676" i="2"/>
  <c r="AB676" i="2"/>
  <c r="AL676" i="2"/>
  <c r="V676" i="2"/>
  <c r="AG680" i="2"/>
  <c r="AB680" i="2"/>
  <c r="AL680" i="2"/>
  <c r="V680" i="2"/>
  <c r="AG684" i="2"/>
  <c r="AB684" i="2"/>
  <c r="AL684" i="2"/>
  <c r="V684" i="2"/>
  <c r="AG688" i="2"/>
  <c r="AB688" i="2"/>
  <c r="AL688" i="2"/>
  <c r="V688" i="2"/>
  <c r="AG692" i="2"/>
  <c r="AB692" i="2"/>
  <c r="AL692" i="2"/>
  <c r="V692" i="2"/>
  <c r="AG696" i="2"/>
  <c r="AB696" i="2"/>
  <c r="AL696" i="2"/>
  <c r="V696" i="2"/>
  <c r="AG700" i="2"/>
  <c r="AB700" i="2"/>
  <c r="AL700" i="2"/>
  <c r="V700" i="2"/>
  <c r="AG704" i="2"/>
  <c r="AB704" i="2"/>
  <c r="AL704" i="2"/>
  <c r="V704" i="2"/>
  <c r="AG708" i="2"/>
  <c r="AB708" i="2"/>
  <c r="AL708" i="2"/>
  <c r="V708" i="2"/>
  <c r="AG712" i="2"/>
  <c r="AB712" i="2"/>
  <c r="AL712" i="2"/>
  <c r="V712" i="2"/>
  <c r="AG716" i="2"/>
  <c r="AB716" i="2"/>
  <c r="AL716" i="2"/>
  <c r="V716" i="2"/>
  <c r="AG720" i="2"/>
  <c r="AB720" i="2"/>
  <c r="AL720" i="2"/>
  <c r="V720" i="2"/>
  <c r="AG724" i="2"/>
  <c r="AB724" i="2"/>
  <c r="AL724" i="2"/>
  <c r="V724" i="2"/>
  <c r="AQ736" i="2"/>
  <c r="AV736" i="2" s="1"/>
  <c r="BE736" i="2" s="1"/>
  <c r="AG768" i="2"/>
  <c r="AB768" i="2"/>
  <c r="AL768" i="2"/>
  <c r="V768" i="2"/>
  <c r="AQ800" i="2"/>
  <c r="AV800" i="2" s="1"/>
  <c r="BE800" i="2" s="1"/>
  <c r="AG832" i="2"/>
  <c r="AB832" i="2"/>
  <c r="AL832" i="2"/>
  <c r="V832" i="2"/>
  <c r="AQ864" i="2"/>
  <c r="AV864" i="2" s="1"/>
  <c r="BE864" i="2" s="1"/>
  <c r="BD1009" i="2"/>
  <c r="BD1025" i="2"/>
  <c r="BD1045" i="2"/>
  <c r="AG1061" i="2"/>
  <c r="AL1061" i="2"/>
  <c r="V1061" i="2"/>
  <c r="AB1061" i="2"/>
  <c r="AQ1093" i="2"/>
  <c r="AV1093" i="2" s="1"/>
  <c r="BE1093" i="2" s="1"/>
  <c r="AG1125" i="2"/>
  <c r="AL1125" i="2"/>
  <c r="V1125" i="2"/>
  <c r="AB1125" i="2"/>
  <c r="AB1181" i="2"/>
  <c r="AL1181" i="2"/>
  <c r="V1181" i="2"/>
  <c r="AG1181" i="2"/>
  <c r="BD1192" i="2"/>
  <c r="AQ1213" i="2"/>
  <c r="AV1213" i="2" s="1"/>
  <c r="BE1213" i="2" s="1"/>
  <c r="AB1245" i="2"/>
  <c r="AL1245" i="2"/>
  <c r="V1245" i="2"/>
  <c r="AG1245" i="2"/>
  <c r="BD1256" i="2"/>
  <c r="AQ1277" i="2"/>
  <c r="AV1277" i="2" s="1"/>
  <c r="BE1277" i="2" s="1"/>
  <c r="AB1309" i="2"/>
  <c r="AL1309" i="2"/>
  <c r="V1309" i="2"/>
  <c r="AG1309" i="2"/>
  <c r="BD1320" i="2"/>
  <c r="AQ1341" i="2"/>
  <c r="AV1341" i="2" s="1"/>
  <c r="BE1341" i="2" s="1"/>
  <c r="BD1068" i="2"/>
  <c r="BD1132" i="2"/>
  <c r="AG1154" i="2"/>
  <c r="AB1154" i="2"/>
  <c r="AL1154" i="2"/>
  <c r="V1154" i="2"/>
  <c r="AG1158" i="2"/>
  <c r="AB1158" i="2"/>
  <c r="AL1158" i="2"/>
  <c r="V1158" i="2"/>
  <c r="AG1162" i="2"/>
  <c r="AB1162" i="2"/>
  <c r="AL1162" i="2"/>
  <c r="V1162" i="2"/>
  <c r="AG1166" i="2"/>
  <c r="AB1166" i="2"/>
  <c r="AL1166" i="2"/>
  <c r="V1166" i="2"/>
  <c r="AG1170" i="2"/>
  <c r="AB1170" i="2"/>
  <c r="AL1170" i="2"/>
  <c r="V1170" i="2"/>
  <c r="AG1174" i="2"/>
  <c r="AB1174" i="2"/>
  <c r="AL1174" i="2"/>
  <c r="V1174" i="2"/>
  <c r="AQ1200" i="2"/>
  <c r="AV1200" i="2" s="1"/>
  <c r="BE1200" i="2" s="1"/>
  <c r="AL1232" i="2"/>
  <c r="V1232" i="2"/>
  <c r="AG1232" i="2"/>
  <c r="AB1232" i="2"/>
  <c r="AQ1264" i="2"/>
  <c r="AV1264" i="2" s="1"/>
  <c r="BE1264" i="2" s="1"/>
  <c r="AL1296" i="2"/>
  <c r="V1296" i="2"/>
  <c r="AG1296" i="2"/>
  <c r="AB1296" i="2"/>
  <c r="AQ1328" i="2"/>
  <c r="AV1328" i="2" s="1"/>
  <c r="BE1328" i="2" s="1"/>
  <c r="AL1360" i="2"/>
  <c r="V1360" i="2"/>
  <c r="AG1360" i="2"/>
  <c r="AB1360" i="2"/>
  <c r="AQ1079" i="2"/>
  <c r="AV1079" i="2" s="1"/>
  <c r="BE1079" i="2" s="1"/>
  <c r="AG1111" i="2"/>
  <c r="AL1111" i="2"/>
  <c r="V1111" i="2"/>
  <c r="AB1111" i="2"/>
  <c r="AB1187" i="2"/>
  <c r="AL1187" i="2"/>
  <c r="V1187" i="2"/>
  <c r="AG1187" i="2"/>
  <c r="AQ1219" i="2"/>
  <c r="AV1219" i="2" s="1"/>
  <c r="BE1219" i="2" s="1"/>
  <c r="AB1251" i="2"/>
  <c r="AL1251" i="2"/>
  <c r="V1251" i="2"/>
  <c r="AG1251" i="2"/>
  <c r="AQ1283" i="2"/>
  <c r="AV1283" i="2" s="1"/>
  <c r="BE1283" i="2" s="1"/>
  <c r="AB1315" i="2"/>
  <c r="AL1315" i="2"/>
  <c r="V1315" i="2"/>
  <c r="AG1315" i="2"/>
  <c r="AQ1347" i="2"/>
  <c r="AV1347" i="2" s="1"/>
  <c r="BE1347" i="2" s="1"/>
  <c r="AQ1049" i="2"/>
  <c r="AV1049" i="2" s="1"/>
  <c r="BE1049" i="2" s="1"/>
  <c r="AQ1198" i="2"/>
  <c r="AV1198" i="2" s="1"/>
  <c r="BE1198" i="2" s="1"/>
  <c r="AL1230" i="2"/>
  <c r="V1230" i="2"/>
  <c r="AG1230" i="2"/>
  <c r="AB1230" i="2"/>
  <c r="AQ1262" i="2"/>
  <c r="AV1262" i="2" s="1"/>
  <c r="BE1262" i="2" s="1"/>
  <c r="AL1294" i="2"/>
  <c r="V1294" i="2"/>
  <c r="AG1294" i="2"/>
  <c r="AB1294" i="2"/>
  <c r="AQ1326" i="2"/>
  <c r="AV1326" i="2" s="1"/>
  <c r="BE1326" i="2" s="1"/>
  <c r="AL1358" i="2"/>
  <c r="V1358" i="2"/>
  <c r="AG1358" i="2"/>
  <c r="AB1358" i="2"/>
  <c r="AQ1479" i="2"/>
  <c r="AV1479" i="2" s="1"/>
  <c r="BE1479" i="2" s="1"/>
  <c r="AL1484" i="2"/>
  <c r="V1484" i="2"/>
  <c r="AB1484" i="2"/>
  <c r="AG1484" i="2"/>
  <c r="AL1608" i="2"/>
  <c r="V1608" i="2"/>
  <c r="AG1608" i="2"/>
  <c r="AB1608" i="2"/>
  <c r="AQ1615" i="2"/>
  <c r="AV1615" i="2" s="1"/>
  <c r="BE1615" i="2" s="1"/>
  <c r="AQ1640" i="2"/>
  <c r="AV1640" i="2" s="1"/>
  <c r="BE1640" i="2" s="1"/>
  <c r="AB1647" i="2"/>
  <c r="AL1647" i="2"/>
  <c r="V1647" i="2"/>
  <c r="AG1647" i="2"/>
  <c r="AQ1379" i="2"/>
  <c r="AV1379" i="2" s="1"/>
  <c r="BE1379" i="2" s="1"/>
  <c r="BD1476" i="2"/>
  <c r="AQ1478" i="2"/>
  <c r="AV1478" i="2" s="1"/>
  <c r="BE1478" i="2" s="1"/>
  <c r="AQ1482" i="2"/>
  <c r="AV1482" i="2" s="1"/>
  <c r="BE1482" i="2" s="1"/>
  <c r="AQ1496" i="2"/>
  <c r="AV1496" i="2" s="1"/>
  <c r="BE1496" i="2" s="1"/>
  <c r="AQ1500" i="2"/>
  <c r="AV1500" i="2" s="1"/>
  <c r="BE1500" i="2" s="1"/>
  <c r="AQ1510" i="2"/>
  <c r="AV1510" i="2" s="1"/>
  <c r="BE1510" i="2" s="1"/>
  <c r="AQ1514" i="2"/>
  <c r="AV1514" i="2" s="1"/>
  <c r="BE1514" i="2" s="1"/>
  <c r="BD1378" i="2"/>
  <c r="AQ1395" i="2"/>
  <c r="AV1395" i="2" s="1"/>
  <c r="BE1395" i="2" s="1"/>
  <c r="AB1399" i="2"/>
  <c r="AL1399" i="2"/>
  <c r="V1399" i="2"/>
  <c r="AG1399" i="2"/>
  <c r="BD1402" i="2"/>
  <c r="AQ1411" i="2"/>
  <c r="AV1411" i="2" s="1"/>
  <c r="BE1411" i="2" s="1"/>
  <c r="AB1415" i="2"/>
  <c r="AL1415" i="2"/>
  <c r="V1415" i="2"/>
  <c r="AG1415" i="2"/>
  <c r="AQ1427" i="2"/>
  <c r="AV1427" i="2" s="1"/>
  <c r="BE1427" i="2" s="1"/>
  <c r="AB1431" i="2"/>
  <c r="AL1431" i="2"/>
  <c r="V1431" i="2"/>
  <c r="AG1431" i="2"/>
  <c r="AQ1440" i="2"/>
  <c r="AV1440" i="2" s="1"/>
  <c r="BE1440" i="2" s="1"/>
  <c r="AQ1555" i="2"/>
  <c r="AV1555" i="2" s="1"/>
  <c r="BE1555" i="2" s="1"/>
  <c r="AB1559" i="2"/>
  <c r="AL1559" i="2"/>
  <c r="V1559" i="2"/>
  <c r="AG1559" i="2"/>
  <c r="AQ1571" i="2"/>
  <c r="AV1571" i="2" s="1"/>
  <c r="BE1571" i="2" s="1"/>
  <c r="AB1575" i="2"/>
  <c r="AL1575" i="2"/>
  <c r="V1575" i="2"/>
  <c r="AG1575" i="2"/>
  <c r="AQ1585" i="2"/>
  <c r="AV1585" i="2" s="1"/>
  <c r="BE1585" i="2" s="1"/>
  <c r="AQ1593" i="2"/>
  <c r="AV1593" i="2" s="1"/>
  <c r="BE1593" i="2" s="1"/>
  <c r="AQ1618" i="2"/>
  <c r="AV1618" i="2" s="1"/>
  <c r="BE1618" i="2" s="1"/>
  <c r="AB1625" i="2"/>
  <c r="AL1625" i="2"/>
  <c r="V1625" i="2"/>
  <c r="AG1625" i="2"/>
  <c r="AL1650" i="2"/>
  <c r="V1650" i="2"/>
  <c r="AG1650" i="2"/>
  <c r="AB1650" i="2"/>
  <c r="AQ1657" i="2"/>
  <c r="AV1657" i="2" s="1"/>
  <c r="BE1657" i="2" s="1"/>
  <c r="AC1807" i="2"/>
  <c r="AM1807" i="2"/>
  <c r="AH1807" i="2"/>
  <c r="W1807" i="2"/>
  <c r="AQ1678" i="2"/>
  <c r="AV1678" i="2" s="1"/>
  <c r="BE1678" i="2" s="1"/>
  <c r="AB1694" i="2"/>
  <c r="AL1694" i="2"/>
  <c r="V1694" i="2"/>
  <c r="AG1694" i="2"/>
  <c r="AQ1742" i="2"/>
  <c r="AV1742" i="2" s="1"/>
  <c r="BE1742" i="2" s="1"/>
  <c r="AL1669" i="2"/>
  <c r="V1669" i="2"/>
  <c r="AB1669" i="2"/>
  <c r="AG1669" i="2"/>
  <c r="AL1685" i="2"/>
  <c r="V1685" i="2"/>
  <c r="AB1685" i="2"/>
  <c r="AG1685" i="2"/>
  <c r="AL1701" i="2"/>
  <c r="V1701" i="2"/>
  <c r="AB1701" i="2"/>
  <c r="AG1701" i="2"/>
  <c r="AL1717" i="2"/>
  <c r="V1717" i="2"/>
  <c r="AB1717" i="2"/>
  <c r="AG1717" i="2"/>
  <c r="AL1733" i="2"/>
  <c r="V1733" i="2"/>
  <c r="AB1733" i="2"/>
  <c r="AG1733" i="2"/>
  <c r="AL1749" i="2"/>
  <c r="V1749" i="2"/>
  <c r="AB1749" i="2"/>
  <c r="AG1749" i="2"/>
  <c r="AQ1764" i="2"/>
  <c r="AV1764" i="2" s="1"/>
  <c r="BE1764" i="2" s="1"/>
  <c r="AL1772" i="2"/>
  <c r="AG1772" i="2"/>
  <c r="AB1772" i="2"/>
  <c r="V1772" i="2"/>
  <c r="BD1778" i="2"/>
  <c r="AQ1780" i="2"/>
  <c r="AV1780" i="2" s="1"/>
  <c r="BE1780" i="2" s="1"/>
  <c r="AL1788" i="2"/>
  <c r="AG1788" i="2"/>
  <c r="AB1788" i="2"/>
  <c r="V1788" i="2"/>
  <c r="BD1794" i="2"/>
  <c r="AQ1796" i="2"/>
  <c r="AV1796" i="2" s="1"/>
  <c r="BE1796" i="2" s="1"/>
  <c r="AL1804" i="2"/>
  <c r="AG1804" i="2"/>
  <c r="AB1804" i="2"/>
  <c r="V1804" i="2"/>
  <c r="BD1810" i="2"/>
  <c r="AQ1817" i="2"/>
  <c r="AV1817" i="2" s="1"/>
  <c r="BE1817" i="2" s="1"/>
  <c r="BD1831" i="2"/>
  <c r="AG1833" i="2"/>
  <c r="AB1833" i="2"/>
  <c r="V1833" i="2"/>
  <c r="AL1833" i="2"/>
  <c r="AG1837" i="2"/>
  <c r="AB1837" i="2"/>
  <c r="V1837" i="2"/>
  <c r="AL1837" i="2"/>
  <c r="AG1841" i="2"/>
  <c r="AB1841" i="2"/>
  <c r="V1841" i="2"/>
  <c r="AL1841" i="2"/>
  <c r="AG1845" i="2"/>
  <c r="AB1845" i="2"/>
  <c r="V1845" i="2"/>
  <c r="AL1845" i="2"/>
  <c r="AQ1850" i="2"/>
  <c r="AV1850" i="2" s="1"/>
  <c r="BE1850" i="2" s="1"/>
  <c r="BD1852" i="2"/>
  <c r="AB1858" i="2"/>
  <c r="AL1858" i="2"/>
  <c r="V1858" i="2"/>
  <c r="AG1858" i="2"/>
  <c r="BD1890" i="2"/>
  <c r="BD1859" i="2"/>
  <c r="BD1875" i="2"/>
  <c r="BD1891" i="2"/>
  <c r="BD1907" i="2"/>
  <c r="BD1923" i="2"/>
  <c r="BD1939" i="2"/>
  <c r="BD1955" i="2"/>
  <c r="BD1971" i="2"/>
  <c r="BD1987" i="2"/>
  <c r="BD2003" i="2"/>
  <c r="AQ2024" i="2"/>
  <c r="AV2024" i="2" s="1"/>
  <c r="BE2024" i="2" s="1"/>
  <c r="AQ2028" i="2"/>
  <c r="AV2028" i="2" s="1"/>
  <c r="BE2028" i="2" s="1"/>
  <c r="AQ2032" i="2"/>
  <c r="AV2032" i="2" s="1"/>
  <c r="BE2032" i="2" s="1"/>
  <c r="AQ2036" i="2"/>
  <c r="AV2036" i="2" s="1"/>
  <c r="BE2036" i="2" s="1"/>
  <c r="AQ2040" i="2"/>
  <c r="AV2040" i="2" s="1"/>
  <c r="BE2040" i="2" s="1"/>
  <c r="AQ2044" i="2"/>
  <c r="AV2044" i="2" s="1"/>
  <c r="BE2044" i="2" s="1"/>
  <c r="AQ2063" i="2"/>
  <c r="AV2063" i="2" s="1"/>
  <c r="BE2063" i="2" s="1"/>
  <c r="AB2072" i="2"/>
  <c r="AL2072" i="2"/>
  <c r="V2072" i="2"/>
  <c r="AG2072" i="2"/>
  <c r="AL2095" i="2"/>
  <c r="V2095" i="2"/>
  <c r="AG2095" i="2"/>
  <c r="AB2095" i="2"/>
  <c r="AQ2104" i="2"/>
  <c r="AV2104" i="2" s="1"/>
  <c r="BE2104" i="2" s="1"/>
  <c r="AG2110" i="2"/>
  <c r="AB2110" i="2"/>
  <c r="AL2110" i="2"/>
  <c r="V2110" i="2"/>
  <c r="AG2159" i="2"/>
  <c r="AB2159" i="2"/>
  <c r="AL2159" i="2"/>
  <c r="V2159" i="2"/>
  <c r="AQ2191" i="2"/>
  <c r="AV2191" i="2" s="1"/>
  <c r="BE2191" i="2" s="1"/>
  <c r="AL2158" i="2"/>
  <c r="V2158" i="2"/>
  <c r="AG2158" i="2"/>
  <c r="AB2158" i="2"/>
  <c r="BD2169" i="2"/>
  <c r="AQ2190" i="2"/>
  <c r="AV2190" i="2" s="1"/>
  <c r="BE2190" i="2" s="1"/>
  <c r="AQ2165" i="2"/>
  <c r="AV2165" i="2" s="1"/>
  <c r="BE2165" i="2" s="1"/>
  <c r="AG2197" i="2"/>
  <c r="AB2197" i="2"/>
  <c r="AL2197" i="2"/>
  <c r="V2197" i="2"/>
  <c r="AL2176" i="2"/>
  <c r="V2176" i="2"/>
  <c r="AG2176" i="2"/>
  <c r="AB2176" i="2"/>
  <c r="BD2187" i="2"/>
  <c r="AQ2203" i="2"/>
  <c r="AV2203" i="2" s="1"/>
  <c r="BE2203" i="2" s="1"/>
  <c r="AB2219" i="2"/>
  <c r="AL2219" i="2"/>
  <c r="V2219" i="2"/>
  <c r="AG2219" i="2"/>
  <c r="AQ2235" i="2"/>
  <c r="AV2235" i="2" s="1"/>
  <c r="BE2235" i="2" s="1"/>
  <c r="AB2251" i="2"/>
  <c r="AL2251" i="2"/>
  <c r="V2251" i="2"/>
  <c r="AG2251" i="2"/>
  <c r="AQ2267" i="2"/>
  <c r="AV2267" i="2" s="1"/>
  <c r="BE2267" i="2" s="1"/>
  <c r="AB2283" i="2"/>
  <c r="AL2283" i="2"/>
  <c r="V2283" i="2"/>
  <c r="AG2283" i="2"/>
  <c r="AB2201" i="2"/>
  <c r="AL2201" i="2"/>
  <c r="V2201" i="2"/>
  <c r="AG2201" i="2"/>
  <c r="AB2209" i="2"/>
  <c r="AL2209" i="2"/>
  <c r="V2209" i="2"/>
  <c r="AG2209" i="2"/>
  <c r="AB2217" i="2"/>
  <c r="AL2217" i="2"/>
  <c r="V2217" i="2"/>
  <c r="AG2217" i="2"/>
  <c r="AB2225" i="2"/>
  <c r="AL2225" i="2"/>
  <c r="V2225" i="2"/>
  <c r="AG2225" i="2"/>
  <c r="AB2233" i="2"/>
  <c r="AL2233" i="2"/>
  <c r="V2233" i="2"/>
  <c r="AG2233" i="2"/>
  <c r="AB2241" i="2"/>
  <c r="AL2241" i="2"/>
  <c r="V2241" i="2"/>
  <c r="AG2241" i="2"/>
  <c r="AB2249" i="2"/>
  <c r="AL2249" i="2"/>
  <c r="V2249" i="2"/>
  <c r="AG2249" i="2"/>
  <c r="AB2257" i="2"/>
  <c r="AL2257" i="2"/>
  <c r="V2257" i="2"/>
  <c r="AG2257" i="2"/>
  <c r="AB2265" i="2"/>
  <c r="AL2265" i="2"/>
  <c r="V2265" i="2"/>
  <c r="AG2265" i="2"/>
  <c r="AB2273" i="2"/>
  <c r="AL2273" i="2"/>
  <c r="V2273" i="2"/>
  <c r="AG2273" i="2"/>
  <c r="AB2281" i="2"/>
  <c r="AL2281" i="2"/>
  <c r="V2281" i="2"/>
  <c r="AG2281" i="2"/>
  <c r="AB2289" i="2"/>
  <c r="AL2289" i="2"/>
  <c r="V2289" i="2"/>
  <c r="AG2289" i="2"/>
  <c r="AB2297" i="2"/>
  <c r="AL2297" i="2"/>
  <c r="V2297" i="2"/>
  <c r="AG2297" i="2"/>
  <c r="AB2305" i="2"/>
  <c r="AL2305" i="2"/>
  <c r="V2305" i="2"/>
  <c r="AG2305" i="2"/>
  <c r="AB2313" i="2"/>
  <c r="AL2313" i="2"/>
  <c r="V2313" i="2"/>
  <c r="AG2313" i="2"/>
  <c r="AG2441" i="2"/>
  <c r="AB2441" i="2"/>
  <c r="AL2441" i="2"/>
  <c r="V2441" i="2"/>
  <c r="AQ2473" i="2"/>
  <c r="AV2473" i="2" s="1"/>
  <c r="BE2473" i="2" s="1"/>
  <c r="BD2419" i="2"/>
  <c r="AQ2440" i="2"/>
  <c r="AV2440" i="2" s="1"/>
  <c r="BE2440" i="2" s="1"/>
  <c r="AL2472" i="2"/>
  <c r="V2472" i="2"/>
  <c r="AG2472" i="2"/>
  <c r="AB2472" i="2"/>
  <c r="AG2402" i="2"/>
  <c r="AL2402" i="2"/>
  <c r="V2402" i="2"/>
  <c r="AB2402" i="2"/>
  <c r="AG2431" i="2"/>
  <c r="AB2431" i="2"/>
  <c r="AL2431" i="2"/>
  <c r="V2431" i="2"/>
  <c r="BD2442" i="2"/>
  <c r="AQ2463" i="2"/>
  <c r="AV2463" i="2" s="1"/>
  <c r="BE2463" i="2" s="1"/>
  <c r="BD2397" i="2"/>
  <c r="AG2409" i="2"/>
  <c r="AL2409" i="2"/>
  <c r="V2409" i="2"/>
  <c r="AB2409" i="2"/>
  <c r="AQ2418" i="2"/>
  <c r="AV2418" i="2" s="1"/>
  <c r="BE2418" i="2" s="1"/>
  <c r="AL2450" i="2"/>
  <c r="V2450" i="2"/>
  <c r="AG2450" i="2"/>
  <c r="AB2450" i="2"/>
  <c r="BD2461" i="2"/>
  <c r="AQ2487" i="2"/>
  <c r="AV2487" i="2" s="1"/>
  <c r="BE2487" i="2" s="1"/>
  <c r="AQ2495" i="2"/>
  <c r="AV2495" i="2" s="1"/>
  <c r="BE2495" i="2" s="1"/>
  <c r="BD2487" i="2"/>
  <c r="AQ2476" i="2"/>
  <c r="AV2476" i="2" s="1"/>
  <c r="BE2476" i="2" s="1"/>
  <c r="AB2492" i="2"/>
  <c r="AL2492" i="2"/>
  <c r="V2492" i="2"/>
  <c r="AG2492" i="2"/>
  <c r="BD2497" i="2"/>
  <c r="AG2399" i="2"/>
  <c r="AB2399" i="2"/>
  <c r="AL2399" i="2"/>
  <c r="V2399" i="2"/>
  <c r="AG2407" i="2"/>
  <c r="AB2407" i="2"/>
  <c r="AL2407" i="2"/>
  <c r="V2407" i="2"/>
  <c r="AQ2319" i="2"/>
  <c r="AV2319" i="2" s="1"/>
  <c r="BE2319" i="2" s="1"/>
  <c r="AQ2327" i="2"/>
  <c r="AV2327" i="2" s="1"/>
  <c r="BE2327" i="2" s="1"/>
  <c r="AQ2343" i="2"/>
  <c r="AV2343" i="2" s="1"/>
  <c r="BE2343" i="2" s="1"/>
  <c r="AQ2351" i="2"/>
  <c r="AV2351" i="2" s="1"/>
  <c r="BE2351" i="2" s="1"/>
  <c r="AQ2391" i="2"/>
  <c r="AV2391" i="2" s="1"/>
  <c r="BE2391" i="2" s="1"/>
  <c r="BD2416" i="2"/>
  <c r="AQ2469" i="2"/>
  <c r="AV2469" i="2" s="1"/>
  <c r="BE2469" i="2" s="1"/>
  <c r="AL2420" i="2"/>
  <c r="V2420" i="2"/>
  <c r="AG2420" i="2"/>
  <c r="AB2420" i="2"/>
  <c r="BD2431" i="2"/>
  <c r="AQ2452" i="2"/>
  <c r="AV2452" i="2" s="1"/>
  <c r="BE2452" i="2" s="1"/>
  <c r="AQ2411" i="2"/>
  <c r="AV2411" i="2" s="1"/>
  <c r="BE2411" i="2" s="1"/>
  <c r="AQ2427" i="2"/>
  <c r="AV2427" i="2" s="1"/>
  <c r="BE2427" i="2" s="1"/>
  <c r="AQ2430" i="2"/>
  <c r="AV2430" i="2" s="1"/>
  <c r="BE2430" i="2" s="1"/>
  <c r="AQ2488" i="2"/>
  <c r="AV2488" i="2" s="1"/>
  <c r="BE2488" i="2" s="1"/>
  <c r="AB2205" i="2"/>
  <c r="AL2205" i="2"/>
  <c r="V2205" i="2"/>
  <c r="AG2205" i="2"/>
  <c r="AL2416" i="2"/>
  <c r="V2416" i="2"/>
  <c r="AG2416" i="2"/>
  <c r="AB2416" i="2"/>
  <c r="AL2432" i="2"/>
  <c r="V2432" i="2"/>
  <c r="AG2432" i="2"/>
  <c r="AB2432" i="2"/>
  <c r="AL2448" i="2"/>
  <c r="V2448" i="2"/>
  <c r="AG2448" i="2"/>
  <c r="AB2448" i="2"/>
  <c r="AL2464" i="2"/>
  <c r="V2464" i="2"/>
  <c r="AG2464" i="2"/>
  <c r="AB2464" i="2"/>
  <c r="AG2423" i="2"/>
  <c r="AB2423" i="2"/>
  <c r="AL2423" i="2"/>
  <c r="V2423" i="2"/>
  <c r="BD2434" i="2"/>
  <c r="AQ2458" i="2"/>
  <c r="AV2458" i="2" s="1"/>
  <c r="BE2458" i="2" s="1"/>
  <c r="W1145" i="2" l="1"/>
  <c r="AC909" i="2"/>
  <c r="AC901" i="2"/>
  <c r="AM320" i="2"/>
  <c r="AW232" i="2"/>
  <c r="BF232" i="2" s="1"/>
  <c r="AR204" i="2"/>
  <c r="AW204" i="2" s="1"/>
  <c r="BF204" i="2" s="1"/>
  <c r="AW1779" i="2"/>
  <c r="BF1779" i="2" s="1"/>
  <c r="AW903" i="2"/>
  <c r="BF903" i="2" s="1"/>
  <c r="AM1145" i="2"/>
  <c r="AM332" i="2"/>
  <c r="AM372" i="2"/>
  <c r="AH1803" i="2"/>
  <c r="AS1803" i="2" s="1"/>
  <c r="AX1803" i="2" s="1"/>
  <c r="BG1803" i="2" s="1"/>
  <c r="AC887" i="2"/>
  <c r="AR1775" i="2"/>
  <c r="AW1775" i="2" s="1"/>
  <c r="BF1775" i="2" s="1"/>
  <c r="AC1145" i="2"/>
  <c r="AC332" i="2"/>
  <c r="AS332" i="2" s="1"/>
  <c r="AX332" i="2" s="1"/>
  <c r="BG332" i="2" s="1"/>
  <c r="AC372" i="2"/>
  <c r="AS372" i="2" s="1"/>
  <c r="AH364" i="2"/>
  <c r="AW917" i="2"/>
  <c r="BF917" i="2" s="1"/>
  <c r="AM1803" i="2"/>
  <c r="W1779" i="2"/>
  <c r="AD1779" i="2" s="1"/>
  <c r="AH232" i="2"/>
  <c r="AR927" i="2"/>
  <c r="AW927" i="2" s="1"/>
  <c r="BF927" i="2" s="1"/>
  <c r="AR915" i="2"/>
  <c r="AW915" i="2" s="1"/>
  <c r="BF915" i="2" s="1"/>
  <c r="AR304" i="2"/>
  <c r="AW304" i="2" s="1"/>
  <c r="BF304" i="2" s="1"/>
  <c r="AW911" i="2"/>
  <c r="BF911" i="2" s="1"/>
  <c r="W224" i="2"/>
  <c r="AH484" i="2"/>
  <c r="AS484" i="2" s="1"/>
  <c r="AX484" i="2" s="1"/>
  <c r="BG484" i="2" s="1"/>
  <c r="AC1141" i="2"/>
  <c r="AH404" i="2"/>
  <c r="AS404" i="2" s="1"/>
  <c r="AX404" i="2" s="1"/>
  <c r="BG404" i="2" s="1"/>
  <c r="AW921" i="2"/>
  <c r="BF921" i="2" s="1"/>
  <c r="AR324" i="2"/>
  <c r="AW324" i="2" s="1"/>
  <c r="BF324" i="2" s="1"/>
  <c r="AR444" i="2"/>
  <c r="AW444" i="2" s="1"/>
  <c r="BF444" i="2" s="1"/>
  <c r="AC1775" i="2"/>
  <c r="W484" i="2"/>
  <c r="W1763" i="2"/>
  <c r="X1763" i="2" s="1"/>
  <c r="AC891" i="2"/>
  <c r="W404" i="2"/>
  <c r="AN404" i="2" s="1"/>
  <c r="AR1807" i="2"/>
  <c r="AW1807" i="2" s="1"/>
  <c r="BF1807" i="2" s="1"/>
  <c r="AR897" i="2"/>
  <c r="AW897" i="2" s="1"/>
  <c r="BF897" i="2" s="1"/>
  <c r="AW216" i="2"/>
  <c r="BF216" i="2" s="1"/>
  <c r="AR1835" i="2"/>
  <c r="AW1835" i="2" s="1"/>
  <c r="BF1835" i="2" s="1"/>
  <c r="AW372" i="2"/>
  <c r="BF372" i="2" s="1"/>
  <c r="AW891" i="2"/>
  <c r="BF891" i="2" s="1"/>
  <c r="AR320" i="2"/>
  <c r="AW320" i="2" s="1"/>
  <c r="BF320" i="2" s="1"/>
  <c r="W1775" i="2"/>
  <c r="AD1775" i="2" s="1"/>
  <c r="AW895" i="2"/>
  <c r="BF895" i="2" s="1"/>
  <c r="AM224" i="2"/>
  <c r="W468" i="2"/>
  <c r="X468" i="2" s="1"/>
  <c r="AW404" i="2"/>
  <c r="BF404" i="2" s="1"/>
  <c r="AC893" i="2"/>
  <c r="AC1791" i="2"/>
  <c r="AS1791" i="2" s="1"/>
  <c r="AX1791" i="2" s="1"/>
  <c r="BG1791" i="2" s="1"/>
  <c r="W1151" i="2"/>
  <c r="AN1151" i="2" s="1"/>
  <c r="AH1141" i="2"/>
  <c r="AW468" i="2"/>
  <c r="BF468" i="2" s="1"/>
  <c r="AH1775" i="2"/>
  <c r="AW1803" i="2"/>
  <c r="BF1803" i="2" s="1"/>
  <c r="AC224" i="2"/>
  <c r="AM468" i="2"/>
  <c r="AH893" i="2"/>
  <c r="AS893" i="2" s="1"/>
  <c r="AX893" i="2" s="1"/>
  <c r="BG893" i="2" s="1"/>
  <c r="W1791" i="2"/>
  <c r="AN1791" i="2" s="1"/>
  <c r="AM1151" i="2"/>
  <c r="AW248" i="2"/>
  <c r="BF248" i="2" s="1"/>
  <c r="W1141" i="2"/>
  <c r="X1141" i="2" s="1"/>
  <c r="AR1843" i="2"/>
  <c r="AW1843" i="2" s="1"/>
  <c r="BF1843" i="2" s="1"/>
  <c r="AR340" i="2"/>
  <c r="AW340" i="2" s="1"/>
  <c r="BF340" i="2" s="1"/>
  <c r="AR288" i="2"/>
  <c r="AW288" i="2" s="1"/>
  <c r="BF288" i="2" s="1"/>
  <c r="AR929" i="2"/>
  <c r="AW929" i="2" s="1"/>
  <c r="BF929" i="2" s="1"/>
  <c r="AR224" i="2"/>
  <c r="AW224" i="2" s="1"/>
  <c r="BF224" i="2" s="1"/>
  <c r="AW1145" i="2"/>
  <c r="BF1145" i="2" s="1"/>
  <c r="AM420" i="2"/>
  <c r="AH909" i="2"/>
  <c r="AS909" i="2" s="1"/>
  <c r="AX909" i="2" s="1"/>
  <c r="BG909" i="2" s="1"/>
  <c r="AH901" i="2"/>
  <c r="W1823" i="2"/>
  <c r="AD1823" i="2" s="1"/>
  <c r="W1787" i="2"/>
  <c r="AH1763" i="2"/>
  <c r="AS1763" i="2" s="1"/>
  <c r="AX1763" i="2" s="1"/>
  <c r="BG1763" i="2" s="1"/>
  <c r="AM899" i="2"/>
  <c r="W304" i="2"/>
  <c r="AN304" i="2" s="1"/>
  <c r="W909" i="2"/>
  <c r="W901" i="2"/>
  <c r="AD901" i="2" s="1"/>
  <c r="AH1823" i="2"/>
  <c r="AS1823" i="2" s="1"/>
  <c r="AX1823" i="2" s="1"/>
  <c r="BG1823" i="2" s="1"/>
  <c r="AH1787" i="2"/>
  <c r="AS1787" i="2" s="1"/>
  <c r="AX1787" i="2" s="1"/>
  <c r="BG1787" i="2" s="1"/>
  <c r="AM1763" i="2"/>
  <c r="AH895" i="2"/>
  <c r="AS895" i="2" s="1"/>
  <c r="AM304" i="2"/>
  <c r="AW909" i="2"/>
  <c r="BF909" i="2" s="1"/>
  <c r="AW364" i="2"/>
  <c r="BF364" i="2" s="1"/>
  <c r="AW436" i="2"/>
  <c r="BF436" i="2" s="1"/>
  <c r="AM240" i="2"/>
  <c r="AM460" i="2"/>
  <c r="AC248" i="2"/>
  <c r="AH1779" i="2"/>
  <c r="AS1779" i="2" s="1"/>
  <c r="AC420" i="2"/>
  <c r="AH917" i="2"/>
  <c r="AS917" i="2" s="1"/>
  <c r="AX917" i="2" s="1"/>
  <c r="BG917" i="2" s="1"/>
  <c r="AC356" i="2"/>
  <c r="AH1147" i="2"/>
  <c r="AS1147" i="2" s="1"/>
  <c r="AX1147" i="2" s="1"/>
  <c r="BG1147" i="2" s="1"/>
  <c r="AW460" i="2"/>
  <c r="BF460" i="2" s="1"/>
  <c r="W364" i="2"/>
  <c r="AN364" i="2" s="1"/>
  <c r="AW452" i="2"/>
  <c r="BF452" i="2" s="1"/>
  <c r="W232" i="2"/>
  <c r="AI232" i="2" s="1"/>
  <c r="AH1843" i="2"/>
  <c r="W907" i="2"/>
  <c r="AI907" i="2" s="1"/>
  <c r="AM903" i="2"/>
  <c r="W895" i="2"/>
  <c r="AI895" i="2" s="1"/>
  <c r="AC320" i="2"/>
  <c r="AR1827" i="2"/>
  <c r="AW1827" i="2" s="1"/>
  <c r="BF1827" i="2" s="1"/>
  <c r="AC240" i="2"/>
  <c r="AC460" i="2"/>
  <c r="AS460" i="2" s="1"/>
  <c r="AH248" i="2"/>
  <c r="AM1779" i="2"/>
  <c r="AH420" i="2"/>
  <c r="W917" i="2"/>
  <c r="AD917" i="2" s="1"/>
  <c r="AH356" i="2"/>
  <c r="W1147" i="2"/>
  <c r="AM364" i="2"/>
  <c r="AM232" i="2"/>
  <c r="AM1843" i="2"/>
  <c r="AM907" i="2"/>
  <c r="AC903" i="2"/>
  <c r="AH320" i="2"/>
  <c r="AW919" i="2"/>
  <c r="BF919" i="2" s="1"/>
  <c r="AW484" i="2"/>
  <c r="BF484" i="2" s="1"/>
  <c r="AC907" i="2"/>
  <c r="AM895" i="2"/>
  <c r="AW887" i="2"/>
  <c r="BF887" i="2" s="1"/>
  <c r="AH891" i="2"/>
  <c r="AH887" i="2"/>
  <c r="W891" i="2"/>
  <c r="AI891" i="2" s="1"/>
  <c r="W887" i="2"/>
  <c r="AI887" i="2" s="1"/>
  <c r="AR428" i="2"/>
  <c r="AW428" i="2" s="1"/>
  <c r="BF428" i="2" s="1"/>
  <c r="AW1147" i="2"/>
  <c r="BF1147" i="2" s="1"/>
  <c r="AM428" i="2"/>
  <c r="AM412" i="2"/>
  <c r="AH216" i="2"/>
  <c r="AH899" i="2"/>
  <c r="AS899" i="2" s="1"/>
  <c r="W1815" i="2"/>
  <c r="AN1815" i="2" s="1"/>
  <c r="AC428" i="2"/>
  <c r="AC412" i="2"/>
  <c r="W216" i="2"/>
  <c r="AN216" i="2" s="1"/>
  <c r="AW420" i="2"/>
  <c r="BF420" i="2" s="1"/>
  <c r="W899" i="2"/>
  <c r="AI899" i="2" s="1"/>
  <c r="AH1815" i="2"/>
  <c r="AM911" i="2"/>
  <c r="AR1795" i="2"/>
  <c r="AW1795" i="2" s="1"/>
  <c r="BF1795" i="2" s="1"/>
  <c r="AC911" i="2"/>
  <c r="AW240" i="2"/>
  <c r="BF240" i="2" s="1"/>
  <c r="AH911" i="2"/>
  <c r="AW1763" i="2"/>
  <c r="BF1763" i="2" s="1"/>
  <c r="AR370" i="2"/>
  <c r="AW370" i="2" s="1"/>
  <c r="BF370" i="2" s="1"/>
  <c r="AR338" i="2"/>
  <c r="AW338" i="2" s="1"/>
  <c r="BF338" i="2" s="1"/>
  <c r="AR386" i="2"/>
  <c r="AW386" i="2" s="1"/>
  <c r="BF386" i="2" s="1"/>
  <c r="AR346" i="2"/>
  <c r="AW346" i="2" s="1"/>
  <c r="BF346" i="2" s="1"/>
  <c r="W386" i="2"/>
  <c r="AC386" i="2"/>
  <c r="AM386" i="2"/>
  <c r="AH386" i="2"/>
  <c r="W402" i="2"/>
  <c r="AC402" i="2"/>
  <c r="AH402" i="2"/>
  <c r="AM402" i="2"/>
  <c r="W338" i="2"/>
  <c r="AC338" i="2"/>
  <c r="AM338" i="2"/>
  <c r="AH338" i="2"/>
  <c r="AR378" i="2"/>
  <c r="AW378" i="2" s="1"/>
  <c r="BF378" i="2" s="1"/>
  <c r="AR354" i="2"/>
  <c r="AW354" i="2" s="1"/>
  <c r="BF354" i="2" s="1"/>
  <c r="AR330" i="2"/>
  <c r="AW330" i="2" s="1"/>
  <c r="BF330" i="2" s="1"/>
  <c r="W346" i="2"/>
  <c r="AC346" i="2"/>
  <c r="AM346" i="2"/>
  <c r="AH346" i="2"/>
  <c r="AR402" i="2"/>
  <c r="AW402" i="2" s="1"/>
  <c r="BF402" i="2" s="1"/>
  <c r="W394" i="2"/>
  <c r="AC394" i="2"/>
  <c r="AH394" i="2"/>
  <c r="AM394" i="2"/>
  <c r="W378" i="2"/>
  <c r="AC378" i="2"/>
  <c r="AH378" i="2"/>
  <c r="AM378" i="2"/>
  <c r="W354" i="2"/>
  <c r="AC354" i="2"/>
  <c r="AM354" i="2"/>
  <c r="AH354" i="2"/>
  <c r="W330" i="2"/>
  <c r="AC330" i="2"/>
  <c r="AH330" i="2"/>
  <c r="AM330" i="2"/>
  <c r="AR362" i="2"/>
  <c r="AW362" i="2" s="1"/>
  <c r="BF362" i="2" s="1"/>
  <c r="W370" i="2"/>
  <c r="AC370" i="2"/>
  <c r="AM370" i="2"/>
  <c r="AH370" i="2"/>
  <c r="W362" i="2"/>
  <c r="AC362" i="2"/>
  <c r="AM362" i="2"/>
  <c r="AH362" i="2"/>
  <c r="AR394" i="2"/>
  <c r="AW394" i="2" s="1"/>
  <c r="BF394" i="2" s="1"/>
  <c r="AM2416" i="2"/>
  <c r="W2416" i="2"/>
  <c r="AH2416" i="2"/>
  <c r="AC2416" i="2"/>
  <c r="AR2492" i="2"/>
  <c r="AW2492" i="2" s="1"/>
  <c r="BF2492" i="2" s="1"/>
  <c r="AR2158" i="2"/>
  <c r="AW2158" i="2" s="1"/>
  <c r="BF2158" i="2" s="1"/>
  <c r="AC2159" i="2"/>
  <c r="AM2159" i="2"/>
  <c r="W2159" i="2"/>
  <c r="AH2159" i="2"/>
  <c r="AC2110" i="2"/>
  <c r="AM2110" i="2"/>
  <c r="W2110" i="2"/>
  <c r="AH2110" i="2"/>
  <c r="AH2095" i="2"/>
  <c r="AC2095" i="2"/>
  <c r="AM2095" i="2"/>
  <c r="W2095" i="2"/>
  <c r="AM1858" i="2"/>
  <c r="W1858" i="2"/>
  <c r="AH1858" i="2"/>
  <c r="AC1858" i="2"/>
  <c r="AR1845" i="2"/>
  <c r="AW1845" i="2" s="1"/>
  <c r="BF1845" i="2" s="1"/>
  <c r="AR1841" i="2"/>
  <c r="AW1841" i="2" s="1"/>
  <c r="BF1841" i="2" s="1"/>
  <c r="AR1837" i="2"/>
  <c r="AW1837" i="2" s="1"/>
  <c r="BF1837" i="2" s="1"/>
  <c r="AR1833" i="2"/>
  <c r="AW1833" i="2" s="1"/>
  <c r="BF1833" i="2" s="1"/>
  <c r="AM1772" i="2"/>
  <c r="W1772" i="2"/>
  <c r="AH1772" i="2"/>
  <c r="AC1772" i="2"/>
  <c r="AN1807" i="2"/>
  <c r="AI1807" i="2"/>
  <c r="AD1807" i="2"/>
  <c r="X1807" i="2"/>
  <c r="AR1650" i="2"/>
  <c r="AW1650" i="2" s="1"/>
  <c r="BF1650" i="2" s="1"/>
  <c r="AH1399" i="2"/>
  <c r="AC1399" i="2"/>
  <c r="AM1399" i="2"/>
  <c r="W1399" i="2"/>
  <c r="AR1647" i="2"/>
  <c r="AW1647" i="2" s="1"/>
  <c r="BF1647" i="2" s="1"/>
  <c r="AR1484" i="2"/>
  <c r="AW1484" i="2" s="1"/>
  <c r="BF1484" i="2" s="1"/>
  <c r="AR1315" i="2"/>
  <c r="AW1315" i="2" s="1"/>
  <c r="BF1315" i="2" s="1"/>
  <c r="AR1251" i="2"/>
  <c r="AW1251" i="2" s="1"/>
  <c r="BF1251" i="2" s="1"/>
  <c r="AR1187" i="2"/>
  <c r="AW1187" i="2" s="1"/>
  <c r="BF1187" i="2" s="1"/>
  <c r="AM1111" i="2"/>
  <c r="W1111" i="2"/>
  <c r="AC1111" i="2"/>
  <c r="AH1111" i="2"/>
  <c r="AR1245" i="2"/>
  <c r="AW1245" i="2" s="1"/>
  <c r="BF1245" i="2" s="1"/>
  <c r="AR1125" i="2"/>
  <c r="AW1125" i="2" s="1"/>
  <c r="BF1125" i="2" s="1"/>
  <c r="AR1061" i="2"/>
  <c r="AW1061" i="2" s="1"/>
  <c r="BF1061" i="2" s="1"/>
  <c r="AM870" i="2"/>
  <c r="W870" i="2"/>
  <c r="AC870" i="2"/>
  <c r="AH870" i="2"/>
  <c r="AM854" i="2"/>
  <c r="W854" i="2"/>
  <c r="AC854" i="2"/>
  <c r="AH854" i="2"/>
  <c r="AM838" i="2"/>
  <c r="W838" i="2"/>
  <c r="AC838" i="2"/>
  <c r="AH838" i="2"/>
  <c r="AM822" i="2"/>
  <c r="W822" i="2"/>
  <c r="AC822" i="2"/>
  <c r="AH822" i="2"/>
  <c r="AM806" i="2"/>
  <c r="W806" i="2"/>
  <c r="AC806" i="2"/>
  <c r="AH806" i="2"/>
  <c r="AM790" i="2"/>
  <c r="W790" i="2"/>
  <c r="AC790" i="2"/>
  <c r="AH790" i="2"/>
  <c r="AM774" i="2"/>
  <c r="W774" i="2"/>
  <c r="AC774" i="2"/>
  <c r="AH774" i="2"/>
  <c r="AM758" i="2"/>
  <c r="W758" i="2"/>
  <c r="AC758" i="2"/>
  <c r="AH758" i="2"/>
  <c r="AM742" i="2"/>
  <c r="W742" i="2"/>
  <c r="AC742" i="2"/>
  <c r="AH742" i="2"/>
  <c r="AR493" i="2"/>
  <c r="AW493" i="2" s="1"/>
  <c r="BF493" i="2" s="1"/>
  <c r="AR477" i="2"/>
  <c r="AW477" i="2" s="1"/>
  <c r="BF477" i="2" s="1"/>
  <c r="AR461" i="2"/>
  <c r="AW461" i="2" s="1"/>
  <c r="BF461" i="2" s="1"/>
  <c r="AR445" i="2"/>
  <c r="AW445" i="2" s="1"/>
  <c r="BF445" i="2" s="1"/>
  <c r="AR429" i="2"/>
  <c r="AW429" i="2" s="1"/>
  <c r="BF429" i="2" s="1"/>
  <c r="AR413" i="2"/>
  <c r="AW413" i="2" s="1"/>
  <c r="BF413" i="2" s="1"/>
  <c r="AR213" i="2"/>
  <c r="AW213" i="2" s="1"/>
  <c r="BF213" i="2" s="1"/>
  <c r="AR403" i="2"/>
  <c r="AW403" i="2" s="1"/>
  <c r="BF403" i="2" s="1"/>
  <c r="AR371" i="2"/>
  <c r="AW371" i="2" s="1"/>
  <c r="BF371" i="2" s="1"/>
  <c r="AR339" i="2"/>
  <c r="AW339" i="2" s="1"/>
  <c r="BF339" i="2" s="1"/>
  <c r="AR323" i="2"/>
  <c r="AW323" i="2" s="1"/>
  <c r="BF323" i="2" s="1"/>
  <c r="AR100" i="2"/>
  <c r="AW100" i="2" s="1"/>
  <c r="BF100" i="2" s="1"/>
  <c r="AR68" i="2"/>
  <c r="AW68" i="2" s="1"/>
  <c r="BF68" i="2" s="1"/>
  <c r="AR36" i="2"/>
  <c r="AW36" i="2" s="1"/>
  <c r="BF36" i="2" s="1"/>
  <c r="AR181" i="2"/>
  <c r="AW181" i="2" s="1"/>
  <c r="BF181" i="2" s="1"/>
  <c r="AM149" i="2"/>
  <c r="AH149" i="2"/>
  <c r="AC149" i="2"/>
  <c r="W149" i="2"/>
  <c r="AR117" i="2"/>
  <c r="AW117" i="2" s="1"/>
  <c r="BF117" i="2" s="1"/>
  <c r="AR145" i="2"/>
  <c r="AW145" i="2" s="1"/>
  <c r="BF145" i="2" s="1"/>
  <c r="AM57" i="2"/>
  <c r="AH57" i="2"/>
  <c r="AC57" i="2"/>
  <c r="W57" i="2"/>
  <c r="W47" i="2"/>
  <c r="AC47" i="2"/>
  <c r="AH47" i="2"/>
  <c r="AM47" i="2"/>
  <c r="AR506" i="2"/>
  <c r="AW506" i="2" s="1"/>
  <c r="BF506" i="2" s="1"/>
  <c r="AR502" i="2"/>
  <c r="AW502" i="2" s="1"/>
  <c r="BF502" i="2" s="1"/>
  <c r="AR498" i="2"/>
  <c r="AW498" i="2" s="1"/>
  <c r="BF498" i="2" s="1"/>
  <c r="AR311" i="2"/>
  <c r="AW311" i="2" s="1"/>
  <c r="BF311" i="2" s="1"/>
  <c r="AR263" i="2"/>
  <c r="AW263" i="2" s="1"/>
  <c r="BF263" i="2" s="1"/>
  <c r="AR231" i="2"/>
  <c r="AW231" i="2" s="1"/>
  <c r="BF231" i="2" s="1"/>
  <c r="AR205" i="2"/>
  <c r="AW205" i="2" s="1"/>
  <c r="BF205" i="2" s="1"/>
  <c r="AR127" i="2"/>
  <c r="AW127" i="2" s="1"/>
  <c r="BF127" i="2" s="1"/>
  <c r="AR32" i="2"/>
  <c r="AW32" i="2" s="1"/>
  <c r="BF32" i="2" s="1"/>
  <c r="AR59" i="2"/>
  <c r="AW59" i="2" s="1"/>
  <c r="BF59" i="2" s="1"/>
  <c r="AM2394" i="2"/>
  <c r="W2394" i="2"/>
  <c r="AC2394" i="2"/>
  <c r="AH2394" i="2"/>
  <c r="AR2229" i="2"/>
  <c r="AW2229" i="2" s="1"/>
  <c r="BF2229" i="2" s="1"/>
  <c r="AM2068" i="2"/>
  <c r="W2068" i="2"/>
  <c r="AH2068" i="2"/>
  <c r="AC2068" i="2"/>
  <c r="AM2150" i="2"/>
  <c r="W2150" i="2"/>
  <c r="AC2150" i="2"/>
  <c r="AH2150" i="2"/>
  <c r="AC2145" i="2"/>
  <c r="AM2145" i="2"/>
  <c r="W2145" i="2"/>
  <c r="AH2145" i="2"/>
  <c r="AH2015" i="2"/>
  <c r="AC2015" i="2"/>
  <c r="AM2015" i="2"/>
  <c r="W2015" i="2"/>
  <c r="AH1999" i="2"/>
  <c r="AC1999" i="2"/>
  <c r="AM1999" i="2"/>
  <c r="W1999" i="2"/>
  <c r="AH1983" i="2"/>
  <c r="AC1983" i="2"/>
  <c r="AM1983" i="2"/>
  <c r="W1983" i="2"/>
  <c r="AH1967" i="2"/>
  <c r="AC1967" i="2"/>
  <c r="AM1967" i="2"/>
  <c r="W1967" i="2"/>
  <c r="AH2013" i="2"/>
  <c r="AC2013" i="2"/>
  <c r="AM2013" i="2"/>
  <c r="W2013" i="2"/>
  <c r="AH1997" i="2"/>
  <c r="AC1997" i="2"/>
  <c r="AM1997" i="2"/>
  <c r="W1997" i="2"/>
  <c r="AH1981" i="2"/>
  <c r="AC1981" i="2"/>
  <c r="AM1981" i="2"/>
  <c r="W1981" i="2"/>
  <c r="AH1965" i="2"/>
  <c r="AC1965" i="2"/>
  <c r="AM1965" i="2"/>
  <c r="W1965" i="2"/>
  <c r="AH1949" i="2"/>
  <c r="AC1949" i="2"/>
  <c r="AM1949" i="2"/>
  <c r="W1949" i="2"/>
  <c r="AH1933" i="2"/>
  <c r="AC1933" i="2"/>
  <c r="AM1933" i="2"/>
  <c r="W1933" i="2"/>
  <c r="AH1917" i="2"/>
  <c r="AC1917" i="2"/>
  <c r="AM1917" i="2"/>
  <c r="W1917" i="2"/>
  <c r="AH1901" i="2"/>
  <c r="AC1901" i="2"/>
  <c r="AM1901" i="2"/>
  <c r="W1901" i="2"/>
  <c r="AH1885" i="2"/>
  <c r="AC1885" i="2"/>
  <c r="AM1885" i="2"/>
  <c r="W1885" i="2"/>
  <c r="AH1869" i="2"/>
  <c r="AC1869" i="2"/>
  <c r="AM1869" i="2"/>
  <c r="W1869" i="2"/>
  <c r="AR1821" i="2"/>
  <c r="AW1821" i="2" s="1"/>
  <c r="BF1821" i="2" s="1"/>
  <c r="AM1842" i="2"/>
  <c r="W1842" i="2"/>
  <c r="AH1842" i="2"/>
  <c r="AC1842" i="2"/>
  <c r="AN1771" i="2"/>
  <c r="AI1771" i="2"/>
  <c r="AD1771" i="2"/>
  <c r="X1771" i="2"/>
  <c r="AR1653" i="2"/>
  <c r="AW1653" i="2" s="1"/>
  <c r="BF1653" i="2" s="1"/>
  <c r="AR1469" i="2"/>
  <c r="AW1469" i="2" s="1"/>
  <c r="BF1469" i="2" s="1"/>
  <c r="AR1453" i="2"/>
  <c r="AW1453" i="2" s="1"/>
  <c r="BF1453" i="2" s="1"/>
  <c r="AM1627" i="2"/>
  <c r="W1627" i="2"/>
  <c r="AH1627" i="2"/>
  <c r="AC1627" i="2"/>
  <c r="AH1573" i="2"/>
  <c r="AC1573" i="2"/>
  <c r="AM1573" i="2"/>
  <c r="W1573" i="2"/>
  <c r="AH1557" i="2"/>
  <c r="AC1557" i="2"/>
  <c r="AM1557" i="2"/>
  <c r="W1557" i="2"/>
  <c r="AR1503" i="2"/>
  <c r="AW1503" i="2" s="1"/>
  <c r="BF1503" i="2" s="1"/>
  <c r="AH1463" i="2"/>
  <c r="AC1463" i="2"/>
  <c r="AM1463" i="2"/>
  <c r="W1463" i="2"/>
  <c r="AH1447" i="2"/>
  <c r="AC1447" i="2"/>
  <c r="AM1447" i="2"/>
  <c r="W1447" i="2"/>
  <c r="AR1390" i="2"/>
  <c r="AW1390" i="2" s="1"/>
  <c r="BF1390" i="2" s="1"/>
  <c r="AR1391" i="2"/>
  <c r="AW1391" i="2" s="1"/>
  <c r="BF1391" i="2" s="1"/>
  <c r="AR1314" i="2"/>
  <c r="AW1314" i="2" s="1"/>
  <c r="BF1314" i="2" s="1"/>
  <c r="AR1250" i="2"/>
  <c r="AW1250" i="2" s="1"/>
  <c r="BF1250" i="2" s="1"/>
  <c r="AR1186" i="2"/>
  <c r="AW1186" i="2" s="1"/>
  <c r="BF1186" i="2" s="1"/>
  <c r="AR1255" i="2"/>
  <c r="AW1255" i="2" s="1"/>
  <c r="BF1255" i="2" s="1"/>
  <c r="AR1091" i="2"/>
  <c r="AW1091" i="2" s="1"/>
  <c r="BF1091" i="2" s="1"/>
  <c r="AM1388" i="2"/>
  <c r="W1388" i="2"/>
  <c r="AH1388" i="2"/>
  <c r="AC1388" i="2"/>
  <c r="AR1316" i="2"/>
  <c r="AW1316" i="2" s="1"/>
  <c r="BF1316" i="2" s="1"/>
  <c r="AR1252" i="2"/>
  <c r="AW1252" i="2" s="1"/>
  <c r="BF1252" i="2" s="1"/>
  <c r="AR1188" i="2"/>
  <c r="AW1188" i="2" s="1"/>
  <c r="BF1188" i="2" s="1"/>
  <c r="AR1361" i="2"/>
  <c r="AW1361" i="2" s="1"/>
  <c r="BF1361" i="2" s="1"/>
  <c r="AM1233" i="2"/>
  <c r="W1233" i="2"/>
  <c r="AH1233" i="2"/>
  <c r="AC1233" i="2"/>
  <c r="AR1121" i="2"/>
  <c r="AW1121" i="2" s="1"/>
  <c r="BF1121" i="2" s="1"/>
  <c r="AR715" i="2"/>
  <c r="AW715" i="2" s="1"/>
  <c r="BF715" i="2" s="1"/>
  <c r="AR699" i="2"/>
  <c r="AW699" i="2" s="1"/>
  <c r="BF699" i="2" s="1"/>
  <c r="AR683" i="2"/>
  <c r="AW683" i="2" s="1"/>
  <c r="BF683" i="2" s="1"/>
  <c r="AR667" i="2"/>
  <c r="AW667" i="2" s="1"/>
  <c r="BF667" i="2" s="1"/>
  <c r="AR651" i="2"/>
  <c r="AW651" i="2" s="1"/>
  <c r="BF651" i="2" s="1"/>
  <c r="AR635" i="2"/>
  <c r="AW635" i="2" s="1"/>
  <c r="BF635" i="2" s="1"/>
  <c r="AM301" i="2"/>
  <c r="AH301" i="2"/>
  <c r="AC301" i="2"/>
  <c r="W301" i="2"/>
  <c r="AM411" i="2"/>
  <c r="AH411" i="2"/>
  <c r="AC411" i="2"/>
  <c r="W411" i="2"/>
  <c r="AS256" i="2"/>
  <c r="AX256" i="2" s="1"/>
  <c r="BG256" i="2" s="1"/>
  <c r="AR99" i="2"/>
  <c r="AW99" i="2" s="1"/>
  <c r="BF99" i="2" s="1"/>
  <c r="AH22" i="2"/>
  <c r="AM22" i="2"/>
  <c r="AC22" i="2"/>
  <c r="W22" i="2"/>
  <c r="AR2168" i="2"/>
  <c r="AW2168" i="2" s="1"/>
  <c r="BF2168" i="2" s="1"/>
  <c r="AC2189" i="2"/>
  <c r="AM2189" i="2"/>
  <c r="W2189" i="2"/>
  <c r="AH2189" i="2"/>
  <c r="AR2071" i="2"/>
  <c r="AW2071" i="2" s="1"/>
  <c r="BF2071" i="2" s="1"/>
  <c r="AH1756" i="2"/>
  <c r="AC1756" i="2"/>
  <c r="AM1756" i="2"/>
  <c r="W1756" i="2"/>
  <c r="AH1752" i="2"/>
  <c r="AC1752" i="2"/>
  <c r="AM1752" i="2"/>
  <c r="W1752" i="2"/>
  <c r="AH1748" i="2"/>
  <c r="AC1748" i="2"/>
  <c r="AM1748" i="2"/>
  <c r="W1748" i="2"/>
  <c r="AH1744" i="2"/>
  <c r="AC1744" i="2"/>
  <c r="AM1744" i="2"/>
  <c r="W1744" i="2"/>
  <c r="AH1740" i="2"/>
  <c r="AC1740" i="2"/>
  <c r="AM1740" i="2"/>
  <c r="W1740" i="2"/>
  <c r="AH1736" i="2"/>
  <c r="AC1736" i="2"/>
  <c r="AM1736" i="2"/>
  <c r="W1736" i="2"/>
  <c r="AH1732" i="2"/>
  <c r="AC1732" i="2"/>
  <c r="AM1732" i="2"/>
  <c r="W1732" i="2"/>
  <c r="AH1728" i="2"/>
  <c r="AC1728" i="2"/>
  <c r="AM1728" i="2"/>
  <c r="W1728" i="2"/>
  <c r="AH1724" i="2"/>
  <c r="AC1724" i="2"/>
  <c r="AM1724" i="2"/>
  <c r="W1724" i="2"/>
  <c r="AH1720" i="2"/>
  <c r="AC1720" i="2"/>
  <c r="AM1720" i="2"/>
  <c r="W1720" i="2"/>
  <c r="AH1716" i="2"/>
  <c r="AC1716" i="2"/>
  <c r="AM1716" i="2"/>
  <c r="W1716" i="2"/>
  <c r="AH1712" i="2"/>
  <c r="AC1712" i="2"/>
  <c r="AM1712" i="2"/>
  <c r="W1712" i="2"/>
  <c r="AH1708" i="2"/>
  <c r="AC1708" i="2"/>
  <c r="AM1708" i="2"/>
  <c r="W1708" i="2"/>
  <c r="AH1704" i="2"/>
  <c r="AC1704" i="2"/>
  <c r="AM1704" i="2"/>
  <c r="W1704" i="2"/>
  <c r="AH1700" i="2"/>
  <c r="AC1700" i="2"/>
  <c r="AM1700" i="2"/>
  <c r="W1700" i="2"/>
  <c r="AH1696" i="2"/>
  <c r="AC1696" i="2"/>
  <c r="AM1696" i="2"/>
  <c r="W1696" i="2"/>
  <c r="AH1692" i="2"/>
  <c r="AC1692" i="2"/>
  <c r="AM1692" i="2"/>
  <c r="W1692" i="2"/>
  <c r="AH1688" i="2"/>
  <c r="AC1688" i="2"/>
  <c r="AM1688" i="2"/>
  <c r="W1688" i="2"/>
  <c r="AH1684" i="2"/>
  <c r="AC1684" i="2"/>
  <c r="AM1684" i="2"/>
  <c r="W1684" i="2"/>
  <c r="AH1680" i="2"/>
  <c r="AC1680" i="2"/>
  <c r="AM1680" i="2"/>
  <c r="W1680" i="2"/>
  <c r="AH1676" i="2"/>
  <c r="AC1676" i="2"/>
  <c r="AM1676" i="2"/>
  <c r="W1676" i="2"/>
  <c r="AH1672" i="2"/>
  <c r="AC1672" i="2"/>
  <c r="AM1672" i="2"/>
  <c r="W1672" i="2"/>
  <c r="AM1816" i="2"/>
  <c r="W1816" i="2"/>
  <c r="AH1816" i="2"/>
  <c r="AC1816" i="2"/>
  <c r="AH1658" i="2"/>
  <c r="AC1658" i="2"/>
  <c r="AM1658" i="2"/>
  <c r="W1658" i="2"/>
  <c r="AR1594" i="2"/>
  <c r="AW1594" i="2" s="1"/>
  <c r="BF1594" i="2" s="1"/>
  <c r="AR1586" i="2"/>
  <c r="AW1586" i="2" s="1"/>
  <c r="BF1586" i="2" s="1"/>
  <c r="AM1378" i="2"/>
  <c r="W1378" i="2"/>
  <c r="AC1378" i="2"/>
  <c r="AH1378" i="2"/>
  <c r="AR1664" i="2"/>
  <c r="AW1664" i="2" s="1"/>
  <c r="BF1664" i="2" s="1"/>
  <c r="AH1600" i="2"/>
  <c r="AC1600" i="2"/>
  <c r="AM1600" i="2"/>
  <c r="W1600" i="2"/>
  <c r="AR1334" i="2"/>
  <c r="AW1334" i="2" s="1"/>
  <c r="BF1334" i="2" s="1"/>
  <c r="AR1270" i="2"/>
  <c r="AW1270" i="2" s="1"/>
  <c r="BF1270" i="2" s="1"/>
  <c r="AR1206" i="2"/>
  <c r="AW1206" i="2" s="1"/>
  <c r="BF1206" i="2" s="1"/>
  <c r="AR1103" i="2"/>
  <c r="AW1103" i="2" s="1"/>
  <c r="BF1103" i="2" s="1"/>
  <c r="AH1352" i="2"/>
  <c r="AC1352" i="2"/>
  <c r="AM1352" i="2"/>
  <c r="W1352" i="2"/>
  <c r="AH1288" i="2"/>
  <c r="AC1288" i="2"/>
  <c r="AM1288" i="2"/>
  <c r="W1288" i="2"/>
  <c r="AH1224" i="2"/>
  <c r="AC1224" i="2"/>
  <c r="AM1224" i="2"/>
  <c r="W1224" i="2"/>
  <c r="AR1085" i="2"/>
  <c r="AW1085" i="2" s="1"/>
  <c r="BF1085" i="2" s="1"/>
  <c r="AM1042" i="2"/>
  <c r="W1042" i="2"/>
  <c r="AH1042" i="2"/>
  <c r="AC1042" i="2"/>
  <c r="AR485" i="2"/>
  <c r="AW485" i="2" s="1"/>
  <c r="BF485" i="2" s="1"/>
  <c r="AR469" i="2"/>
  <c r="AW469" i="2" s="1"/>
  <c r="BF469" i="2" s="1"/>
  <c r="AR453" i="2"/>
  <c r="AW453" i="2" s="1"/>
  <c r="BF453" i="2" s="1"/>
  <c r="AR437" i="2"/>
  <c r="AW437" i="2" s="1"/>
  <c r="BF437" i="2" s="1"/>
  <c r="AR421" i="2"/>
  <c r="AW421" i="2" s="1"/>
  <c r="BF421" i="2" s="1"/>
  <c r="AR405" i="2"/>
  <c r="AW405" i="2" s="1"/>
  <c r="BF405" i="2" s="1"/>
  <c r="AR397" i="2"/>
  <c r="AW397" i="2" s="1"/>
  <c r="BF397" i="2" s="1"/>
  <c r="AR389" i="2"/>
  <c r="AW389" i="2" s="1"/>
  <c r="BF389" i="2" s="1"/>
  <c r="AR381" i="2"/>
  <c r="AW381" i="2" s="1"/>
  <c r="BF381" i="2" s="1"/>
  <c r="AR373" i="2"/>
  <c r="AW373" i="2" s="1"/>
  <c r="BF373" i="2" s="1"/>
  <c r="AR365" i="2"/>
  <c r="AW365" i="2" s="1"/>
  <c r="BF365" i="2" s="1"/>
  <c r="AR357" i="2"/>
  <c r="AW357" i="2" s="1"/>
  <c r="BF357" i="2" s="1"/>
  <c r="AR349" i="2"/>
  <c r="AW349" i="2" s="1"/>
  <c r="BF349" i="2" s="1"/>
  <c r="AR341" i="2"/>
  <c r="AW341" i="2" s="1"/>
  <c r="BF341" i="2" s="1"/>
  <c r="AR333" i="2"/>
  <c r="AW333" i="2" s="1"/>
  <c r="BF333" i="2" s="1"/>
  <c r="AR325" i="2"/>
  <c r="AW325" i="2" s="1"/>
  <c r="BF325" i="2" s="1"/>
  <c r="AR451" i="2"/>
  <c r="AW451" i="2" s="1"/>
  <c r="BF451" i="2" s="1"/>
  <c r="AR218" i="2"/>
  <c r="AW218" i="2" s="1"/>
  <c r="BF218" i="2" s="1"/>
  <c r="AM447" i="2"/>
  <c r="AH447" i="2"/>
  <c r="AC447" i="2"/>
  <c r="W447" i="2"/>
  <c r="AR16" i="2"/>
  <c r="AW16" i="2" s="1"/>
  <c r="BF16" i="2" s="1"/>
  <c r="AR432" i="2"/>
  <c r="AW432" i="2" s="1"/>
  <c r="BF432" i="2" s="1"/>
  <c r="AM241" i="2"/>
  <c r="AH241" i="2"/>
  <c r="AC241" i="2"/>
  <c r="W241" i="2"/>
  <c r="AM235" i="2"/>
  <c r="AH235" i="2"/>
  <c r="AC235" i="2"/>
  <c r="W235" i="2"/>
  <c r="AH190" i="2"/>
  <c r="AM190" i="2"/>
  <c r="W190" i="2"/>
  <c r="AC190" i="2"/>
  <c r="AR158" i="2"/>
  <c r="AW158" i="2" s="1"/>
  <c r="BF158" i="2" s="1"/>
  <c r="AH126" i="2"/>
  <c r="AM126" i="2"/>
  <c r="W126" i="2"/>
  <c r="AC126" i="2"/>
  <c r="AH52" i="2"/>
  <c r="AM52" i="2"/>
  <c r="AC52" i="2"/>
  <c r="W52" i="2"/>
  <c r="AM3" i="2"/>
  <c r="W3" i="2"/>
  <c r="AC3" i="2"/>
  <c r="AH3" i="2"/>
  <c r="AD248" i="2"/>
  <c r="AN248" i="2"/>
  <c r="AI248" i="2"/>
  <c r="X248" i="2"/>
  <c r="AS216" i="2"/>
  <c r="AX216" i="2" s="1"/>
  <c r="BG216" i="2" s="1"/>
  <c r="AR37" i="2"/>
  <c r="AW37" i="2" s="1"/>
  <c r="BF37" i="2" s="1"/>
  <c r="AR2484" i="2"/>
  <c r="AW2484" i="2" s="1"/>
  <c r="BF2484" i="2" s="1"/>
  <c r="AR2108" i="2"/>
  <c r="AW2108" i="2" s="1"/>
  <c r="BF2108" i="2" s="1"/>
  <c r="AR1820" i="2"/>
  <c r="AW1820" i="2" s="1"/>
  <c r="BF1820" i="2" s="1"/>
  <c r="AH1754" i="2"/>
  <c r="AM1754" i="2"/>
  <c r="W1754" i="2"/>
  <c r="AC1754" i="2"/>
  <c r="AH1690" i="2"/>
  <c r="AM1690" i="2"/>
  <c r="W1690" i="2"/>
  <c r="AC1690" i="2"/>
  <c r="AR1952" i="2"/>
  <c r="AW1952" i="2" s="1"/>
  <c r="BF1952" i="2" s="1"/>
  <c r="AR1944" i="2"/>
  <c r="AW1944" i="2" s="1"/>
  <c r="BF1944" i="2" s="1"/>
  <c r="AR1936" i="2"/>
  <c r="AW1936" i="2" s="1"/>
  <c r="BF1936" i="2" s="1"/>
  <c r="AR1928" i="2"/>
  <c r="AW1928" i="2" s="1"/>
  <c r="BF1928" i="2" s="1"/>
  <c r="AR1920" i="2"/>
  <c r="AW1920" i="2" s="1"/>
  <c r="BF1920" i="2" s="1"/>
  <c r="AR1912" i="2"/>
  <c r="AW1912" i="2" s="1"/>
  <c r="BF1912" i="2" s="1"/>
  <c r="AR1904" i="2"/>
  <c r="AW1904" i="2" s="1"/>
  <c r="BF1904" i="2" s="1"/>
  <c r="AR1896" i="2"/>
  <c r="AW1896" i="2" s="1"/>
  <c r="BF1896" i="2" s="1"/>
  <c r="AR1888" i="2"/>
  <c r="AW1888" i="2" s="1"/>
  <c r="BF1888" i="2" s="1"/>
  <c r="AR1880" i="2"/>
  <c r="AW1880" i="2" s="1"/>
  <c r="BF1880" i="2" s="1"/>
  <c r="AR1872" i="2"/>
  <c r="AW1872" i="2" s="1"/>
  <c r="BF1872" i="2" s="1"/>
  <c r="AR1864" i="2"/>
  <c r="AW1864" i="2" s="1"/>
  <c r="BF1864" i="2" s="1"/>
  <c r="AR1755" i="2"/>
  <c r="AW1755" i="2" s="1"/>
  <c r="BF1755" i="2" s="1"/>
  <c r="AR1751" i="2"/>
  <c r="AW1751" i="2" s="1"/>
  <c r="BF1751" i="2" s="1"/>
  <c r="AR1747" i="2"/>
  <c r="AW1747" i="2" s="1"/>
  <c r="BF1747" i="2" s="1"/>
  <c r="AR1743" i="2"/>
  <c r="AW1743" i="2" s="1"/>
  <c r="BF1743" i="2" s="1"/>
  <c r="AR1739" i="2"/>
  <c r="AW1739" i="2" s="1"/>
  <c r="BF1739" i="2" s="1"/>
  <c r="AR1735" i="2"/>
  <c r="AW1735" i="2" s="1"/>
  <c r="BF1735" i="2" s="1"/>
  <c r="AR1731" i="2"/>
  <c r="AW1731" i="2" s="1"/>
  <c r="BF1731" i="2" s="1"/>
  <c r="AR1727" i="2"/>
  <c r="AW1727" i="2" s="1"/>
  <c r="BF1727" i="2" s="1"/>
  <c r="AR1723" i="2"/>
  <c r="AW1723" i="2" s="1"/>
  <c r="BF1723" i="2" s="1"/>
  <c r="AR1719" i="2"/>
  <c r="AW1719" i="2" s="1"/>
  <c r="BF1719" i="2" s="1"/>
  <c r="AR1715" i="2"/>
  <c r="AW1715" i="2" s="1"/>
  <c r="BF1715" i="2" s="1"/>
  <c r="AR1711" i="2"/>
  <c r="AW1711" i="2" s="1"/>
  <c r="BF1711" i="2" s="1"/>
  <c r="AR1707" i="2"/>
  <c r="AW1707" i="2" s="1"/>
  <c r="BF1707" i="2" s="1"/>
  <c r="AR1703" i="2"/>
  <c r="AW1703" i="2" s="1"/>
  <c r="BF1703" i="2" s="1"/>
  <c r="AR1699" i="2"/>
  <c r="AW1699" i="2" s="1"/>
  <c r="BF1699" i="2" s="1"/>
  <c r="AR1695" i="2"/>
  <c r="AW1695" i="2" s="1"/>
  <c r="BF1695" i="2" s="1"/>
  <c r="AR1691" i="2"/>
  <c r="AW1691" i="2" s="1"/>
  <c r="BF1691" i="2" s="1"/>
  <c r="AR1687" i="2"/>
  <c r="AW1687" i="2" s="1"/>
  <c r="BF1687" i="2" s="1"/>
  <c r="AR1683" i="2"/>
  <c r="AW1683" i="2" s="1"/>
  <c r="BF1683" i="2" s="1"/>
  <c r="AR1679" i="2"/>
  <c r="AW1679" i="2" s="1"/>
  <c r="BF1679" i="2" s="1"/>
  <c r="AR1675" i="2"/>
  <c r="AW1675" i="2" s="1"/>
  <c r="BF1675" i="2" s="1"/>
  <c r="AR1671" i="2"/>
  <c r="AW1671" i="2" s="1"/>
  <c r="BF1671" i="2" s="1"/>
  <c r="AR1389" i="2"/>
  <c r="AW1389" i="2" s="1"/>
  <c r="BF1389" i="2" s="1"/>
  <c r="AR1373" i="2"/>
  <c r="AW1373" i="2" s="1"/>
  <c r="BF1373" i="2" s="1"/>
  <c r="AM1382" i="2"/>
  <c r="W1382" i="2"/>
  <c r="AC1382" i="2"/>
  <c r="AH1382" i="2"/>
  <c r="AR1295" i="2"/>
  <c r="AW1295" i="2" s="1"/>
  <c r="BF1295" i="2" s="1"/>
  <c r="AM1131" i="2"/>
  <c r="W1131" i="2"/>
  <c r="AC1131" i="2"/>
  <c r="AH1131" i="2"/>
  <c r="AM1067" i="2"/>
  <c r="W1067" i="2"/>
  <c r="AC1067" i="2"/>
  <c r="AH1067" i="2"/>
  <c r="AS1145" i="2"/>
  <c r="AX1145" i="2" s="1"/>
  <c r="BG1145" i="2" s="1"/>
  <c r="AC865" i="2"/>
  <c r="AM865" i="2"/>
  <c r="W865" i="2"/>
  <c r="AH865" i="2"/>
  <c r="AC833" i="2"/>
  <c r="AM833" i="2"/>
  <c r="W833" i="2"/>
  <c r="AH833" i="2"/>
  <c r="AC801" i="2"/>
  <c r="AM801" i="2"/>
  <c r="W801" i="2"/>
  <c r="AH801" i="2"/>
  <c r="AC769" i="2"/>
  <c r="AM769" i="2"/>
  <c r="W769" i="2"/>
  <c r="AH769" i="2"/>
  <c r="AC737" i="2"/>
  <c r="AM737" i="2"/>
  <c r="W737" i="2"/>
  <c r="AH737" i="2"/>
  <c r="AC883" i="2"/>
  <c r="AM883" i="2"/>
  <c r="W883" i="2"/>
  <c r="AH883" i="2"/>
  <c r="AC867" i="2"/>
  <c r="AM867" i="2"/>
  <c r="W867" i="2"/>
  <c r="AH867" i="2"/>
  <c r="AC851" i="2"/>
  <c r="AM851" i="2"/>
  <c r="W851" i="2"/>
  <c r="AH851" i="2"/>
  <c r="AC835" i="2"/>
  <c r="AM835" i="2"/>
  <c r="W835" i="2"/>
  <c r="AH835" i="2"/>
  <c r="AC819" i="2"/>
  <c r="AM819" i="2"/>
  <c r="W819" i="2"/>
  <c r="AH819" i="2"/>
  <c r="AC803" i="2"/>
  <c r="AM803" i="2"/>
  <c r="W803" i="2"/>
  <c r="AH803" i="2"/>
  <c r="AC787" i="2"/>
  <c r="AM787" i="2"/>
  <c r="W787" i="2"/>
  <c r="AH787" i="2"/>
  <c r="AC771" i="2"/>
  <c r="AM771" i="2"/>
  <c r="W771" i="2"/>
  <c r="AH771" i="2"/>
  <c r="AC755" i="2"/>
  <c r="AM755" i="2"/>
  <c r="W755" i="2"/>
  <c r="AH755" i="2"/>
  <c r="AC739" i="2"/>
  <c r="AM739" i="2"/>
  <c r="W739" i="2"/>
  <c r="AH739" i="2"/>
  <c r="AR713" i="2"/>
  <c r="AW713" i="2" s="1"/>
  <c r="BF713" i="2" s="1"/>
  <c r="AM681" i="2"/>
  <c r="W681" i="2"/>
  <c r="AH681" i="2"/>
  <c r="AC681" i="2"/>
  <c r="AR649" i="2"/>
  <c r="AW649" i="2" s="1"/>
  <c r="BF649" i="2" s="1"/>
  <c r="AM221" i="2"/>
  <c r="AH221" i="2"/>
  <c r="AC221" i="2"/>
  <c r="W221" i="2"/>
  <c r="AH517" i="2"/>
  <c r="AC517" i="2"/>
  <c r="AM517" i="2"/>
  <c r="W517" i="2"/>
  <c r="AM459" i="2"/>
  <c r="AH459" i="2"/>
  <c r="AC459" i="2"/>
  <c r="W459" i="2"/>
  <c r="AH98" i="2"/>
  <c r="AM98" i="2"/>
  <c r="W98" i="2"/>
  <c r="AC98" i="2"/>
  <c r="AR78" i="2"/>
  <c r="AW78" i="2" s="1"/>
  <c r="BF78" i="2" s="1"/>
  <c r="AR72" i="2"/>
  <c r="AW72" i="2" s="1"/>
  <c r="BF72" i="2" s="1"/>
  <c r="AR66" i="2"/>
  <c r="AW66" i="2" s="1"/>
  <c r="BF66" i="2" s="1"/>
  <c r="AH46" i="2"/>
  <c r="AM46" i="2"/>
  <c r="AC46" i="2"/>
  <c r="W46" i="2"/>
  <c r="AH40" i="2"/>
  <c r="AC40" i="2"/>
  <c r="AM40" i="2"/>
  <c r="W40" i="2"/>
  <c r="AR490" i="2"/>
  <c r="AW490" i="2" s="1"/>
  <c r="BF490" i="2" s="1"/>
  <c r="AM441" i="2"/>
  <c r="AH441" i="2"/>
  <c r="AC441" i="2"/>
  <c r="W441" i="2"/>
  <c r="AS224" i="2"/>
  <c r="AR13" i="2"/>
  <c r="AW13" i="2" s="1"/>
  <c r="BF13" i="2" s="1"/>
  <c r="AR289" i="2"/>
  <c r="AW289" i="2" s="1"/>
  <c r="BF289" i="2" s="1"/>
  <c r="AR283" i="2"/>
  <c r="AW283" i="2" s="1"/>
  <c r="BF283" i="2" s="1"/>
  <c r="AR195" i="2"/>
  <c r="AW195" i="2" s="1"/>
  <c r="BF195" i="2" s="1"/>
  <c r="AR179" i="2"/>
  <c r="AW179" i="2" s="1"/>
  <c r="BF179" i="2" s="1"/>
  <c r="AR163" i="2"/>
  <c r="AW163" i="2" s="1"/>
  <c r="BF163" i="2" s="1"/>
  <c r="AR147" i="2"/>
  <c r="AW147" i="2" s="1"/>
  <c r="BF147" i="2" s="1"/>
  <c r="AR131" i="2"/>
  <c r="AW131" i="2" s="1"/>
  <c r="BF131" i="2" s="1"/>
  <c r="AR115" i="2"/>
  <c r="AW115" i="2" s="1"/>
  <c r="BF115" i="2" s="1"/>
  <c r="AR89" i="2"/>
  <c r="AW89" i="2" s="1"/>
  <c r="BF89" i="2" s="1"/>
  <c r="AR79" i="2"/>
  <c r="AW79" i="2" s="1"/>
  <c r="BF79" i="2" s="1"/>
  <c r="AM157" i="2"/>
  <c r="AH157" i="2"/>
  <c r="AC157" i="2"/>
  <c r="W157" i="2"/>
  <c r="AR75" i="2"/>
  <c r="AW75" i="2" s="1"/>
  <c r="BF75" i="2" s="1"/>
  <c r="AR2392" i="2"/>
  <c r="AW2392" i="2" s="1"/>
  <c r="BF2392" i="2" s="1"/>
  <c r="AH2494" i="2"/>
  <c r="AM2494" i="2"/>
  <c r="W2494" i="2"/>
  <c r="AC2494" i="2"/>
  <c r="AR2414" i="2"/>
  <c r="AW2414" i="2" s="1"/>
  <c r="BF2414" i="2" s="1"/>
  <c r="AR2481" i="2"/>
  <c r="AW2481" i="2" s="1"/>
  <c r="BF2481" i="2" s="1"/>
  <c r="AH2498" i="2"/>
  <c r="AM2498" i="2"/>
  <c r="W2498" i="2"/>
  <c r="AC2498" i="2"/>
  <c r="AR2389" i="2"/>
  <c r="AW2389" i="2" s="1"/>
  <c r="BF2389" i="2" s="1"/>
  <c r="AR2381" i="2"/>
  <c r="AW2381" i="2" s="1"/>
  <c r="BF2381" i="2" s="1"/>
  <c r="AR2373" i="2"/>
  <c r="AW2373" i="2" s="1"/>
  <c r="BF2373" i="2" s="1"/>
  <c r="AR2365" i="2"/>
  <c r="AW2365" i="2" s="1"/>
  <c r="BF2365" i="2" s="1"/>
  <c r="AR2357" i="2"/>
  <c r="AW2357" i="2" s="1"/>
  <c r="BF2357" i="2" s="1"/>
  <c r="AR2349" i="2"/>
  <c r="AW2349" i="2" s="1"/>
  <c r="BF2349" i="2" s="1"/>
  <c r="AR2341" i="2"/>
  <c r="AW2341" i="2" s="1"/>
  <c r="BF2341" i="2" s="1"/>
  <c r="AR2333" i="2"/>
  <c r="AW2333" i="2" s="1"/>
  <c r="BF2333" i="2" s="1"/>
  <c r="AR2325" i="2"/>
  <c r="AW2325" i="2" s="1"/>
  <c r="BF2325" i="2" s="1"/>
  <c r="AR2317" i="2"/>
  <c r="AW2317" i="2" s="1"/>
  <c r="BF2317" i="2" s="1"/>
  <c r="AR2275" i="2"/>
  <c r="AW2275" i="2" s="1"/>
  <c r="BF2275" i="2" s="1"/>
  <c r="AR2243" i="2"/>
  <c r="AW2243" i="2" s="1"/>
  <c r="BF2243" i="2" s="1"/>
  <c r="AR2211" i="2"/>
  <c r="AW2211" i="2" s="1"/>
  <c r="BF2211" i="2" s="1"/>
  <c r="AR2174" i="2"/>
  <c r="AW2174" i="2" s="1"/>
  <c r="BF2174" i="2" s="1"/>
  <c r="AR2088" i="2"/>
  <c r="AW2088" i="2" s="1"/>
  <c r="BF2088" i="2" s="1"/>
  <c r="AH2047" i="2"/>
  <c r="AC2047" i="2"/>
  <c r="AM2047" i="2"/>
  <c r="W2047" i="2"/>
  <c r="AM1776" i="2"/>
  <c r="W1776" i="2"/>
  <c r="AH1776" i="2"/>
  <c r="AC1776" i="2"/>
  <c r="AR1760" i="2"/>
  <c r="AW1760" i="2" s="1"/>
  <c r="BF1760" i="2" s="1"/>
  <c r="AH1668" i="2"/>
  <c r="AC1668" i="2"/>
  <c r="AM1668" i="2"/>
  <c r="W1668" i="2"/>
  <c r="AH1666" i="2"/>
  <c r="AC1666" i="2"/>
  <c r="AM1666" i="2"/>
  <c r="W1666" i="2"/>
  <c r="AM1641" i="2"/>
  <c r="W1641" i="2"/>
  <c r="AH1641" i="2"/>
  <c r="AC1641" i="2"/>
  <c r="AH1579" i="2"/>
  <c r="AC1579" i="2"/>
  <c r="AM1579" i="2"/>
  <c r="W1579" i="2"/>
  <c r="AR1547" i="2"/>
  <c r="AW1547" i="2" s="1"/>
  <c r="BF1547" i="2" s="1"/>
  <c r="AR1435" i="2"/>
  <c r="AW1435" i="2" s="1"/>
  <c r="BF1435" i="2" s="1"/>
  <c r="AH1403" i="2"/>
  <c r="AC1403" i="2"/>
  <c r="AM1403" i="2"/>
  <c r="W1403" i="2"/>
  <c r="AR1624" i="2"/>
  <c r="AW1624" i="2" s="1"/>
  <c r="BF1624" i="2" s="1"/>
  <c r="AH1544" i="2"/>
  <c r="AM1544" i="2"/>
  <c r="W1544" i="2"/>
  <c r="AC1544" i="2"/>
  <c r="AH1540" i="2"/>
  <c r="AM1540" i="2"/>
  <c r="W1540" i="2"/>
  <c r="AC1540" i="2"/>
  <c r="AH1536" i="2"/>
  <c r="AM1536" i="2"/>
  <c r="W1536" i="2"/>
  <c r="AC1536" i="2"/>
  <c r="AH1532" i="2"/>
  <c r="AM1532" i="2"/>
  <c r="W1532" i="2"/>
  <c r="AC1532" i="2"/>
  <c r="AH1528" i="2"/>
  <c r="AM1528" i="2"/>
  <c r="W1528" i="2"/>
  <c r="AC1528" i="2"/>
  <c r="AH1524" i="2"/>
  <c r="AM1524" i="2"/>
  <c r="W1524" i="2"/>
  <c r="AC1524" i="2"/>
  <c r="AH1520" i="2"/>
  <c r="AM1520" i="2"/>
  <c r="W1520" i="2"/>
  <c r="AC1520" i="2"/>
  <c r="AH1516" i="2"/>
  <c r="AM1516" i="2"/>
  <c r="W1516" i="2"/>
  <c r="AC1516" i="2"/>
  <c r="AH1512" i="2"/>
  <c r="AM1512" i="2"/>
  <c r="W1512" i="2"/>
  <c r="AC1512" i="2"/>
  <c r="AH1508" i="2"/>
  <c r="AM1508" i="2"/>
  <c r="W1508" i="2"/>
  <c r="AC1508" i="2"/>
  <c r="AH1498" i="2"/>
  <c r="AM1498" i="2"/>
  <c r="W1498" i="2"/>
  <c r="AC1498" i="2"/>
  <c r="AH1494" i="2"/>
  <c r="AM1494" i="2"/>
  <c r="W1494" i="2"/>
  <c r="AC1494" i="2"/>
  <c r="AH1490" i="2"/>
  <c r="AM1490" i="2"/>
  <c r="W1490" i="2"/>
  <c r="AC1490" i="2"/>
  <c r="AR1182" i="2"/>
  <c r="AW1182" i="2" s="1"/>
  <c r="BF1182" i="2" s="1"/>
  <c r="AR1331" i="2"/>
  <c r="AW1331" i="2" s="1"/>
  <c r="BF1331" i="2" s="1"/>
  <c r="AM1203" i="2"/>
  <c r="W1203" i="2"/>
  <c r="AH1203" i="2"/>
  <c r="AC1203" i="2"/>
  <c r="AM1095" i="2"/>
  <c r="W1095" i="2"/>
  <c r="AC1095" i="2"/>
  <c r="AH1095" i="2"/>
  <c r="AM1392" i="2"/>
  <c r="W1392" i="2"/>
  <c r="AC1392" i="2"/>
  <c r="AH1392" i="2"/>
  <c r="AR1312" i="2"/>
  <c r="AW1312" i="2" s="1"/>
  <c r="BF1312" i="2" s="1"/>
  <c r="AH1184" i="2"/>
  <c r="AC1184" i="2"/>
  <c r="AM1184" i="2"/>
  <c r="W1184" i="2"/>
  <c r="AR1261" i="2"/>
  <c r="AW1261" i="2" s="1"/>
  <c r="BF1261" i="2" s="1"/>
  <c r="AR618" i="2"/>
  <c r="AW618" i="2" s="1"/>
  <c r="BF618" i="2" s="1"/>
  <c r="AR616" i="2"/>
  <c r="AW616" i="2" s="1"/>
  <c r="BF616" i="2" s="1"/>
  <c r="AR614" i="2"/>
  <c r="AW614" i="2" s="1"/>
  <c r="BF614" i="2" s="1"/>
  <c r="AR612" i="2"/>
  <c r="AW612" i="2" s="1"/>
  <c r="BF612" i="2" s="1"/>
  <c r="AR610" i="2"/>
  <c r="AW610" i="2" s="1"/>
  <c r="BF610" i="2" s="1"/>
  <c r="AR608" i="2"/>
  <c r="AW608" i="2" s="1"/>
  <c r="BF608" i="2" s="1"/>
  <c r="AR606" i="2"/>
  <c r="AW606" i="2" s="1"/>
  <c r="BF606" i="2" s="1"/>
  <c r="AR604" i="2"/>
  <c r="AW604" i="2" s="1"/>
  <c r="BF604" i="2" s="1"/>
  <c r="AR602" i="2"/>
  <c r="AW602" i="2" s="1"/>
  <c r="BF602" i="2" s="1"/>
  <c r="AR600" i="2"/>
  <c r="AW600" i="2" s="1"/>
  <c r="BF600" i="2" s="1"/>
  <c r="AR598" i="2"/>
  <c r="AW598" i="2" s="1"/>
  <c r="BF598" i="2" s="1"/>
  <c r="AR596" i="2"/>
  <c r="AW596" i="2" s="1"/>
  <c r="BF596" i="2" s="1"/>
  <c r="AR594" i="2"/>
  <c r="AW594" i="2" s="1"/>
  <c r="BF594" i="2" s="1"/>
  <c r="AR592" i="2"/>
  <c r="AW592" i="2" s="1"/>
  <c r="BF592" i="2" s="1"/>
  <c r="AR590" i="2"/>
  <c r="AW590" i="2" s="1"/>
  <c r="BF590" i="2" s="1"/>
  <c r="AR588" i="2"/>
  <c r="AW588" i="2" s="1"/>
  <c r="BF588" i="2" s="1"/>
  <c r="AR586" i="2"/>
  <c r="AW586" i="2" s="1"/>
  <c r="BF586" i="2" s="1"/>
  <c r="AR584" i="2"/>
  <c r="AW584" i="2" s="1"/>
  <c r="BF584" i="2" s="1"/>
  <c r="AR582" i="2"/>
  <c r="AW582" i="2" s="1"/>
  <c r="BF582" i="2" s="1"/>
  <c r="AR580" i="2"/>
  <c r="AW580" i="2" s="1"/>
  <c r="BF580" i="2" s="1"/>
  <c r="AR578" i="2"/>
  <c r="AW578" i="2" s="1"/>
  <c r="BF578" i="2" s="1"/>
  <c r="AR576" i="2"/>
  <c r="AW576" i="2" s="1"/>
  <c r="BF576" i="2" s="1"/>
  <c r="AR574" i="2"/>
  <c r="AW574" i="2" s="1"/>
  <c r="BF574" i="2" s="1"/>
  <c r="AR572" i="2"/>
  <c r="AW572" i="2" s="1"/>
  <c r="BF572" i="2" s="1"/>
  <c r="AR570" i="2"/>
  <c r="AW570" i="2" s="1"/>
  <c r="BF570" i="2" s="1"/>
  <c r="AR568" i="2"/>
  <c r="AW568" i="2" s="1"/>
  <c r="BF568" i="2" s="1"/>
  <c r="AR566" i="2"/>
  <c r="AW566" i="2" s="1"/>
  <c r="BF566" i="2" s="1"/>
  <c r="AR564" i="2"/>
  <c r="AW564" i="2" s="1"/>
  <c r="BF564" i="2" s="1"/>
  <c r="AR562" i="2"/>
  <c r="AW562" i="2" s="1"/>
  <c r="BF562" i="2" s="1"/>
  <c r="AR560" i="2"/>
  <c r="AW560" i="2" s="1"/>
  <c r="BF560" i="2" s="1"/>
  <c r="AR558" i="2"/>
  <c r="AW558" i="2" s="1"/>
  <c r="BF558" i="2" s="1"/>
  <c r="AR556" i="2"/>
  <c r="AW556" i="2" s="1"/>
  <c r="BF556" i="2" s="1"/>
  <c r="AH529" i="2"/>
  <c r="AC529" i="2"/>
  <c r="AM529" i="2"/>
  <c r="W529" i="2"/>
  <c r="AS468" i="2"/>
  <c r="AX468" i="2" s="1"/>
  <c r="BG468" i="2" s="1"/>
  <c r="AS452" i="2"/>
  <c r="AX452" i="2" s="1"/>
  <c r="BG452" i="2" s="1"/>
  <c r="AS436" i="2"/>
  <c r="AX436" i="2" s="1"/>
  <c r="BG436" i="2" s="1"/>
  <c r="AR350" i="2"/>
  <c r="AW350" i="2" s="1"/>
  <c r="BF350" i="2" s="1"/>
  <c r="AH310" i="2"/>
  <c r="AC310" i="2"/>
  <c r="AM310" i="2"/>
  <c r="W310" i="2"/>
  <c r="AM245" i="2"/>
  <c r="AH245" i="2"/>
  <c r="AC245" i="2"/>
  <c r="W245" i="2"/>
  <c r="AR542" i="2"/>
  <c r="AW542" i="2" s="1"/>
  <c r="BF542" i="2" s="1"/>
  <c r="AR379" i="2"/>
  <c r="AW379" i="2" s="1"/>
  <c r="BF379" i="2" s="1"/>
  <c r="AM347" i="2"/>
  <c r="AH347" i="2"/>
  <c r="AC347" i="2"/>
  <c r="W347" i="2"/>
  <c r="AH300" i="2"/>
  <c r="AC300" i="2"/>
  <c r="W300" i="2"/>
  <c r="AM300" i="2"/>
  <c r="AR250" i="2"/>
  <c r="AW250" i="2" s="1"/>
  <c r="BF250" i="2" s="1"/>
  <c r="AH167" i="2"/>
  <c r="W167" i="2"/>
  <c r="AM167" i="2"/>
  <c r="AC167" i="2"/>
  <c r="AH103" i="2"/>
  <c r="W103" i="2"/>
  <c r="AM103" i="2"/>
  <c r="AC103" i="2"/>
  <c r="AR466" i="2"/>
  <c r="AW466" i="2" s="1"/>
  <c r="BF466" i="2" s="1"/>
  <c r="AM417" i="2"/>
  <c r="AH417" i="2"/>
  <c r="AC417" i="2"/>
  <c r="W417" i="2"/>
  <c r="AM273" i="2"/>
  <c r="AH273" i="2"/>
  <c r="AC273" i="2"/>
  <c r="W273" i="2"/>
  <c r="AM267" i="2"/>
  <c r="AH267" i="2"/>
  <c r="AC267" i="2"/>
  <c r="W267" i="2"/>
  <c r="AM209" i="2"/>
  <c r="AH209" i="2"/>
  <c r="AC209" i="2"/>
  <c r="W209" i="2"/>
  <c r="AR206" i="2"/>
  <c r="AW206" i="2" s="1"/>
  <c r="BF206" i="2" s="1"/>
  <c r="AM193" i="2"/>
  <c r="AH193" i="2"/>
  <c r="AC193" i="2"/>
  <c r="W193" i="2"/>
  <c r="AM129" i="2"/>
  <c r="AH129" i="2"/>
  <c r="AC129" i="2"/>
  <c r="W129" i="2"/>
  <c r="AR82" i="2"/>
  <c r="AW82" i="2" s="1"/>
  <c r="BF82" i="2" s="1"/>
  <c r="AM431" i="2"/>
  <c r="AH431" i="2"/>
  <c r="AC431" i="2"/>
  <c r="W431" i="2"/>
  <c r="AS104" i="2"/>
  <c r="AX104" i="2" s="1"/>
  <c r="BG104" i="2" s="1"/>
  <c r="AH86" i="2"/>
  <c r="AM86" i="2"/>
  <c r="AC86" i="2"/>
  <c r="W86" i="2"/>
  <c r="AC69" i="2"/>
  <c r="AH69" i="2"/>
  <c r="AM69" i="2"/>
  <c r="W69" i="2"/>
  <c r="AH2497" i="2"/>
  <c r="AM2497" i="2"/>
  <c r="W2497" i="2"/>
  <c r="AC2497" i="2"/>
  <c r="AH2489" i="2"/>
  <c r="AM2489" i="2"/>
  <c r="W2489" i="2"/>
  <c r="AC2489" i="2"/>
  <c r="AR2413" i="2"/>
  <c r="AW2413" i="2" s="1"/>
  <c r="BF2413" i="2" s="1"/>
  <c r="AR2386" i="2"/>
  <c r="AW2386" i="2" s="1"/>
  <c r="BF2386" i="2" s="1"/>
  <c r="AR2378" i="2"/>
  <c r="AW2378" i="2" s="1"/>
  <c r="BF2378" i="2" s="1"/>
  <c r="AR2370" i="2"/>
  <c r="AW2370" i="2" s="1"/>
  <c r="BF2370" i="2" s="1"/>
  <c r="AR2362" i="2"/>
  <c r="AW2362" i="2" s="1"/>
  <c r="BF2362" i="2" s="1"/>
  <c r="AR2354" i="2"/>
  <c r="AW2354" i="2" s="1"/>
  <c r="BF2354" i="2" s="1"/>
  <c r="AR2346" i="2"/>
  <c r="AW2346" i="2" s="1"/>
  <c r="BF2346" i="2" s="1"/>
  <c r="AR2338" i="2"/>
  <c r="AW2338" i="2" s="1"/>
  <c r="BF2338" i="2" s="1"/>
  <c r="AR2330" i="2"/>
  <c r="AW2330" i="2" s="1"/>
  <c r="BF2330" i="2" s="1"/>
  <c r="AR2322" i="2"/>
  <c r="AW2322" i="2" s="1"/>
  <c r="BF2322" i="2" s="1"/>
  <c r="AR2401" i="2"/>
  <c r="AW2401" i="2" s="1"/>
  <c r="BF2401" i="2" s="1"/>
  <c r="AR2393" i="2"/>
  <c r="AW2393" i="2" s="1"/>
  <c r="BF2393" i="2" s="1"/>
  <c r="AC2169" i="2"/>
  <c r="AM2169" i="2"/>
  <c r="W2169" i="2"/>
  <c r="AH2169" i="2"/>
  <c r="AR2153" i="2"/>
  <c r="AW2153" i="2" s="1"/>
  <c r="BF2153" i="2" s="1"/>
  <c r="AR2151" i="2"/>
  <c r="AW2151" i="2" s="1"/>
  <c r="BF2151" i="2" s="1"/>
  <c r="AR2107" i="2"/>
  <c r="AW2107" i="2" s="1"/>
  <c r="BF2107" i="2" s="1"/>
  <c r="AR1987" i="2"/>
  <c r="AW1987" i="2" s="1"/>
  <c r="BF1987" i="2" s="1"/>
  <c r="AH1955" i="2"/>
  <c r="AC1955" i="2"/>
  <c r="AM1955" i="2"/>
  <c r="W1955" i="2"/>
  <c r="AD2020" i="2"/>
  <c r="AN2020" i="2"/>
  <c r="AI2020" i="2"/>
  <c r="X2020" i="2"/>
  <c r="AR2017" i="2"/>
  <c r="AW2017" i="2" s="1"/>
  <c r="BF2017" i="2" s="1"/>
  <c r="AH1985" i="2"/>
  <c r="AC1985" i="2"/>
  <c r="AM1985" i="2"/>
  <c r="W1985" i="2"/>
  <c r="AR1953" i="2"/>
  <c r="AW1953" i="2" s="1"/>
  <c r="BF1953" i="2" s="1"/>
  <c r="AH1921" i="2"/>
  <c r="AC1921" i="2"/>
  <c r="AM1921" i="2"/>
  <c r="W1921" i="2"/>
  <c r="AR1889" i="2"/>
  <c r="AW1889" i="2" s="1"/>
  <c r="BF1889" i="2" s="1"/>
  <c r="AR1714" i="2"/>
  <c r="AW1714" i="2" s="1"/>
  <c r="BF1714" i="2" s="1"/>
  <c r="AM1852" i="2"/>
  <c r="W1852" i="2"/>
  <c r="AH1852" i="2"/>
  <c r="AC1852" i="2"/>
  <c r="AR1457" i="2"/>
  <c r="AW1457" i="2" s="1"/>
  <c r="BF1457" i="2" s="1"/>
  <c r="AR1525" i="2"/>
  <c r="AW1525" i="2" s="1"/>
  <c r="BF1525" i="2" s="1"/>
  <c r="AR1521" i="2"/>
  <c r="AW1521" i="2" s="1"/>
  <c r="BF1521" i="2" s="1"/>
  <c r="AR1517" i="2"/>
  <c r="AW1517" i="2" s="1"/>
  <c r="BF1517" i="2" s="1"/>
  <c r="AR1485" i="2"/>
  <c r="AW1485" i="2" s="1"/>
  <c r="BF1485" i="2" s="1"/>
  <c r="AR1643" i="2"/>
  <c r="AW1643" i="2" s="1"/>
  <c r="BF1643" i="2" s="1"/>
  <c r="AR1577" i="2"/>
  <c r="AW1577" i="2" s="1"/>
  <c r="BF1577" i="2" s="1"/>
  <c r="AR1561" i="2"/>
  <c r="AW1561" i="2" s="1"/>
  <c r="BF1561" i="2" s="1"/>
  <c r="AR1545" i="2"/>
  <c r="AW1545" i="2" s="1"/>
  <c r="BF1545" i="2" s="1"/>
  <c r="AH1385" i="2"/>
  <c r="AC1385" i="2"/>
  <c r="AM1385" i="2"/>
  <c r="W1385" i="2"/>
  <c r="AR1266" i="2"/>
  <c r="AW1266" i="2" s="1"/>
  <c r="BF1266" i="2" s="1"/>
  <c r="AR1271" i="2"/>
  <c r="AW1271" i="2" s="1"/>
  <c r="BF1271" i="2" s="1"/>
  <c r="AR1075" i="2"/>
  <c r="AW1075" i="2" s="1"/>
  <c r="BF1075" i="2" s="1"/>
  <c r="AH1268" i="2"/>
  <c r="AC1268" i="2"/>
  <c r="AM1268" i="2"/>
  <c r="W1268" i="2"/>
  <c r="AM1313" i="2"/>
  <c r="W1313" i="2"/>
  <c r="AH1313" i="2"/>
  <c r="AC1313" i="2"/>
  <c r="AR1185" i="2"/>
  <c r="AW1185" i="2" s="1"/>
  <c r="BF1185" i="2" s="1"/>
  <c r="AC841" i="2"/>
  <c r="AM841" i="2"/>
  <c r="W841" i="2"/>
  <c r="AH841" i="2"/>
  <c r="AC777" i="2"/>
  <c r="AM777" i="2"/>
  <c r="W777" i="2"/>
  <c r="AH777" i="2"/>
  <c r="AM874" i="2"/>
  <c r="W874" i="2"/>
  <c r="AC874" i="2"/>
  <c r="AH874" i="2"/>
  <c r="AM858" i="2"/>
  <c r="W858" i="2"/>
  <c r="AC858" i="2"/>
  <c r="AH858" i="2"/>
  <c r="AM842" i="2"/>
  <c r="W842" i="2"/>
  <c r="AC842" i="2"/>
  <c r="AH842" i="2"/>
  <c r="AM826" i="2"/>
  <c r="W826" i="2"/>
  <c r="AC826" i="2"/>
  <c r="AH826" i="2"/>
  <c r="AM810" i="2"/>
  <c r="W810" i="2"/>
  <c r="AC810" i="2"/>
  <c r="AH810" i="2"/>
  <c r="AM794" i="2"/>
  <c r="W794" i="2"/>
  <c r="AC794" i="2"/>
  <c r="AH794" i="2"/>
  <c r="AM778" i="2"/>
  <c r="W778" i="2"/>
  <c r="AC778" i="2"/>
  <c r="AH778" i="2"/>
  <c r="AM762" i="2"/>
  <c r="W762" i="2"/>
  <c r="AC762" i="2"/>
  <c r="AH762" i="2"/>
  <c r="AM746" i="2"/>
  <c r="W746" i="2"/>
  <c r="AC746" i="2"/>
  <c r="AH746" i="2"/>
  <c r="AM730" i="2"/>
  <c r="W730" i="2"/>
  <c r="AC730" i="2"/>
  <c r="AH730" i="2"/>
  <c r="AM520" i="2"/>
  <c r="W520" i="2"/>
  <c r="AH520" i="2"/>
  <c r="AC520" i="2"/>
  <c r="AM265" i="2"/>
  <c r="AH265" i="2"/>
  <c r="AC265" i="2"/>
  <c r="W265" i="2"/>
  <c r="AC259" i="2"/>
  <c r="W259" i="2"/>
  <c r="AM259" i="2"/>
  <c r="AH259" i="2"/>
  <c r="AH203" i="2"/>
  <c r="W203" i="2"/>
  <c r="AM203" i="2"/>
  <c r="AC203" i="2"/>
  <c r="AR194" i="2"/>
  <c r="AW194" i="2" s="1"/>
  <c r="BF194" i="2" s="1"/>
  <c r="AH130" i="2"/>
  <c r="AM130" i="2"/>
  <c r="W130" i="2"/>
  <c r="AC130" i="2"/>
  <c r="AM81" i="2"/>
  <c r="AH81" i="2"/>
  <c r="AC81" i="2"/>
  <c r="W81" i="2"/>
  <c r="AM49" i="2"/>
  <c r="AH49" i="2"/>
  <c r="AC49" i="2"/>
  <c r="W49" i="2"/>
  <c r="AR321" i="2"/>
  <c r="AW321" i="2" s="1"/>
  <c r="BF321" i="2" s="1"/>
  <c r="AR315" i="2"/>
  <c r="AW315" i="2" s="1"/>
  <c r="BF315" i="2" s="1"/>
  <c r="AR125" i="2"/>
  <c r="AW125" i="2" s="1"/>
  <c r="BF125" i="2" s="1"/>
  <c r="AR64" i="2"/>
  <c r="AW64" i="2" s="1"/>
  <c r="BF64" i="2" s="1"/>
  <c r="AD2" i="2"/>
  <c r="AN2" i="2"/>
  <c r="X2" i="2"/>
  <c r="AI2" i="2"/>
  <c r="AR11" i="2"/>
  <c r="AW11" i="2" s="1"/>
  <c r="BF11" i="2" s="1"/>
  <c r="AM2064" i="2"/>
  <c r="W2064" i="2"/>
  <c r="AH2064" i="2"/>
  <c r="AC2064" i="2"/>
  <c r="AR1844" i="2"/>
  <c r="AW1844" i="2" s="1"/>
  <c r="BF1844" i="2" s="1"/>
  <c r="AR1825" i="2"/>
  <c r="AW1825" i="2" s="1"/>
  <c r="BF1825" i="2" s="1"/>
  <c r="AC1797" i="2"/>
  <c r="AM1797" i="2"/>
  <c r="AH1797" i="2"/>
  <c r="W1797" i="2"/>
  <c r="AC1781" i="2"/>
  <c r="AM1781" i="2"/>
  <c r="AH1781" i="2"/>
  <c r="W1781" i="2"/>
  <c r="AC1765" i="2"/>
  <c r="AM1765" i="2"/>
  <c r="AH1765" i="2"/>
  <c r="W1765" i="2"/>
  <c r="AM1649" i="2"/>
  <c r="W1649" i="2"/>
  <c r="AH1649" i="2"/>
  <c r="AC1649" i="2"/>
  <c r="AH1436" i="2"/>
  <c r="AM1436" i="2"/>
  <c r="W1436" i="2"/>
  <c r="AC1436" i="2"/>
  <c r="AH1432" i="2"/>
  <c r="AM1432" i="2"/>
  <c r="W1432" i="2"/>
  <c r="AC1432" i="2"/>
  <c r="AH1428" i="2"/>
  <c r="AM1428" i="2"/>
  <c r="W1428" i="2"/>
  <c r="AC1428" i="2"/>
  <c r="AH1424" i="2"/>
  <c r="AM1424" i="2"/>
  <c r="W1424" i="2"/>
  <c r="AC1424" i="2"/>
  <c r="AH1420" i="2"/>
  <c r="AM1420" i="2"/>
  <c r="W1420" i="2"/>
  <c r="AC1420" i="2"/>
  <c r="AH1416" i="2"/>
  <c r="AM1416" i="2"/>
  <c r="W1416" i="2"/>
  <c r="AC1416" i="2"/>
  <c r="AH1412" i="2"/>
  <c r="AM1412" i="2"/>
  <c r="W1412" i="2"/>
  <c r="AC1412" i="2"/>
  <c r="AH1408" i="2"/>
  <c r="AM1408" i="2"/>
  <c r="W1408" i="2"/>
  <c r="AC1408" i="2"/>
  <c r="AH1404" i="2"/>
  <c r="AM1404" i="2"/>
  <c r="W1404" i="2"/>
  <c r="AC1404" i="2"/>
  <c r="AH1400" i="2"/>
  <c r="AM1400" i="2"/>
  <c r="W1400" i="2"/>
  <c r="AC1400" i="2"/>
  <c r="AH1396" i="2"/>
  <c r="AM1396" i="2"/>
  <c r="W1396" i="2"/>
  <c r="AC1396" i="2"/>
  <c r="AR1655" i="2"/>
  <c r="AW1655" i="2" s="1"/>
  <c r="BF1655" i="2" s="1"/>
  <c r="AH1286" i="2"/>
  <c r="AC1286" i="2"/>
  <c r="AM1286" i="2"/>
  <c r="W1286" i="2"/>
  <c r="AR1371" i="2"/>
  <c r="AW1371" i="2" s="1"/>
  <c r="BF1371" i="2" s="1"/>
  <c r="AM1243" i="2"/>
  <c r="W1243" i="2"/>
  <c r="AH1243" i="2"/>
  <c r="AC1243" i="2"/>
  <c r="AH1368" i="2"/>
  <c r="AC1368" i="2"/>
  <c r="AM1368" i="2"/>
  <c r="W1368" i="2"/>
  <c r="AR1240" i="2"/>
  <c r="AW1240" i="2" s="1"/>
  <c r="BF1240" i="2" s="1"/>
  <c r="AR1365" i="2"/>
  <c r="AW1365" i="2" s="1"/>
  <c r="BF1365" i="2" s="1"/>
  <c r="AM1237" i="2"/>
  <c r="W1237" i="2"/>
  <c r="AH1237" i="2"/>
  <c r="AC1237" i="2"/>
  <c r="AR545" i="2"/>
  <c r="AW545" i="2" s="1"/>
  <c r="BF545" i="2" s="1"/>
  <c r="AR513" i="2"/>
  <c r="AW513" i="2" s="1"/>
  <c r="BF513" i="2" s="1"/>
  <c r="AD332" i="2"/>
  <c r="AN332" i="2"/>
  <c r="AI332" i="2"/>
  <c r="X332" i="2"/>
  <c r="AR294" i="2"/>
  <c r="AW294" i="2" s="1"/>
  <c r="BF294" i="2" s="1"/>
  <c r="AR512" i="2"/>
  <c r="AW512" i="2" s="1"/>
  <c r="BF512" i="2" s="1"/>
  <c r="AR882" i="2"/>
  <c r="AW882" i="2" s="1"/>
  <c r="BF882" i="2" s="1"/>
  <c r="AR866" i="2"/>
  <c r="AW866" i="2" s="1"/>
  <c r="BF866" i="2" s="1"/>
  <c r="AR850" i="2"/>
  <c r="AW850" i="2" s="1"/>
  <c r="BF850" i="2" s="1"/>
  <c r="AR834" i="2"/>
  <c r="AW834" i="2" s="1"/>
  <c r="BF834" i="2" s="1"/>
  <c r="AR818" i="2"/>
  <c r="AW818" i="2" s="1"/>
  <c r="BF818" i="2" s="1"/>
  <c r="AR802" i="2"/>
  <c r="AW802" i="2" s="1"/>
  <c r="BF802" i="2" s="1"/>
  <c r="AR786" i="2"/>
  <c r="AW786" i="2" s="1"/>
  <c r="BF786" i="2" s="1"/>
  <c r="AR770" i="2"/>
  <c r="AW770" i="2" s="1"/>
  <c r="BF770" i="2" s="1"/>
  <c r="AR754" i="2"/>
  <c r="AW754" i="2" s="1"/>
  <c r="BF754" i="2" s="1"/>
  <c r="AR738" i="2"/>
  <c r="AW738" i="2" s="1"/>
  <c r="BF738" i="2" s="1"/>
  <c r="AM526" i="2"/>
  <c r="W526" i="2"/>
  <c r="AH526" i="2"/>
  <c r="AC526" i="2"/>
  <c r="AM524" i="2"/>
  <c r="W524" i="2"/>
  <c r="AH524" i="2"/>
  <c r="AC524" i="2"/>
  <c r="AH316" i="2"/>
  <c r="AC316" i="2"/>
  <c r="W316" i="2"/>
  <c r="AM316" i="2"/>
  <c r="AR279" i="2"/>
  <c r="AW279" i="2" s="1"/>
  <c r="BF279" i="2" s="1"/>
  <c r="AR247" i="2"/>
  <c r="AW247" i="2" s="1"/>
  <c r="BF247" i="2" s="1"/>
  <c r="AR215" i="2"/>
  <c r="AW215" i="2" s="1"/>
  <c r="BF215" i="2" s="1"/>
  <c r="AR207" i="2"/>
  <c r="AW207" i="2" s="1"/>
  <c r="BF207" i="2" s="1"/>
  <c r="AR2417" i="2"/>
  <c r="AW2417" i="2" s="1"/>
  <c r="BF2417" i="2" s="1"/>
  <c r="AH2390" i="2"/>
  <c r="AC2390" i="2"/>
  <c r="AM2390" i="2"/>
  <c r="W2390" i="2"/>
  <c r="AH2382" i="2"/>
  <c r="AC2382" i="2"/>
  <c r="AM2382" i="2"/>
  <c r="W2382" i="2"/>
  <c r="AH2374" i="2"/>
  <c r="AC2374" i="2"/>
  <c r="AM2374" i="2"/>
  <c r="W2374" i="2"/>
  <c r="AH2366" i="2"/>
  <c r="AC2366" i="2"/>
  <c r="AM2366" i="2"/>
  <c r="W2366" i="2"/>
  <c r="AH2358" i="2"/>
  <c r="AC2358" i="2"/>
  <c r="AM2358" i="2"/>
  <c r="W2358" i="2"/>
  <c r="AH2350" i="2"/>
  <c r="AC2350" i="2"/>
  <c r="AM2350" i="2"/>
  <c r="W2350" i="2"/>
  <c r="AH2342" i="2"/>
  <c r="AC2342" i="2"/>
  <c r="AM2342" i="2"/>
  <c r="W2342" i="2"/>
  <c r="AH2334" i="2"/>
  <c r="AC2334" i="2"/>
  <c r="AM2334" i="2"/>
  <c r="W2334" i="2"/>
  <c r="AH2326" i="2"/>
  <c r="AC2326" i="2"/>
  <c r="AM2326" i="2"/>
  <c r="W2326" i="2"/>
  <c r="AH2318" i="2"/>
  <c r="AC2318" i="2"/>
  <c r="AM2318" i="2"/>
  <c r="W2318" i="2"/>
  <c r="AC2161" i="2"/>
  <c r="AM2161" i="2"/>
  <c r="W2161" i="2"/>
  <c r="AH2161" i="2"/>
  <c r="AM2060" i="2"/>
  <c r="W2060" i="2"/>
  <c r="AH2060" i="2"/>
  <c r="AC2060" i="2"/>
  <c r="AR2085" i="2"/>
  <c r="AW2085" i="2" s="1"/>
  <c r="BF2085" i="2" s="1"/>
  <c r="AH2053" i="2"/>
  <c r="AC2053" i="2"/>
  <c r="AM2053" i="2"/>
  <c r="W2053" i="2"/>
  <c r="AH1654" i="2"/>
  <c r="AC1654" i="2"/>
  <c r="AM1654" i="2"/>
  <c r="W1654" i="2"/>
  <c r="AM1629" i="2"/>
  <c r="W1629" i="2"/>
  <c r="AH1629" i="2"/>
  <c r="AC1629" i="2"/>
  <c r="AH1488" i="2"/>
  <c r="AM1488" i="2"/>
  <c r="W1488" i="2"/>
  <c r="AC1488" i="2"/>
  <c r="AH1486" i="2"/>
  <c r="AM1486" i="2"/>
  <c r="W1486" i="2"/>
  <c r="AC1486" i="2"/>
  <c r="AH1644" i="2"/>
  <c r="AC1644" i="2"/>
  <c r="AM1644" i="2"/>
  <c r="W1644" i="2"/>
  <c r="AM1619" i="2"/>
  <c r="W1619" i="2"/>
  <c r="AH1619" i="2"/>
  <c r="AC1619" i="2"/>
  <c r="AR1429" i="2"/>
  <c r="AW1429" i="2" s="1"/>
  <c r="BF1429" i="2" s="1"/>
  <c r="AH1397" i="2"/>
  <c r="AC1397" i="2"/>
  <c r="AM1397" i="2"/>
  <c r="W1397" i="2"/>
  <c r="AH1354" i="2"/>
  <c r="AC1354" i="2"/>
  <c r="AM1354" i="2"/>
  <c r="W1354" i="2"/>
  <c r="AR1226" i="2"/>
  <c r="AW1226" i="2" s="1"/>
  <c r="BF1226" i="2" s="1"/>
  <c r="AM1247" i="2"/>
  <c r="W1247" i="2"/>
  <c r="AH1247" i="2"/>
  <c r="AC1247" i="2"/>
  <c r="AR1115" i="2"/>
  <c r="AW1115" i="2" s="1"/>
  <c r="BF1115" i="2" s="1"/>
  <c r="AR1051" i="2"/>
  <c r="AW1051" i="2" s="1"/>
  <c r="BF1051" i="2" s="1"/>
  <c r="AR1292" i="2"/>
  <c r="AW1292" i="2" s="1"/>
  <c r="BF1292" i="2" s="1"/>
  <c r="AM1289" i="2"/>
  <c r="W1289" i="2"/>
  <c r="AH1289" i="2"/>
  <c r="AC1289" i="2"/>
  <c r="AM1046" i="2"/>
  <c r="W1046" i="2"/>
  <c r="AH1046" i="2"/>
  <c r="AC1046" i="2"/>
  <c r="AM725" i="2"/>
  <c r="W725" i="2"/>
  <c r="AH725" i="2"/>
  <c r="AC725" i="2"/>
  <c r="AM723" i="2"/>
  <c r="W723" i="2"/>
  <c r="AH723" i="2"/>
  <c r="AC723" i="2"/>
  <c r="AM721" i="2"/>
  <c r="W721" i="2"/>
  <c r="AH721" i="2"/>
  <c r="AC721" i="2"/>
  <c r="AM719" i="2"/>
  <c r="W719" i="2"/>
  <c r="AH719" i="2"/>
  <c r="AC719" i="2"/>
  <c r="AM717" i="2"/>
  <c r="W717" i="2"/>
  <c r="AH717" i="2"/>
  <c r="AC717" i="2"/>
  <c r="AR685" i="2"/>
  <c r="AW685" i="2" s="1"/>
  <c r="BF685" i="2" s="1"/>
  <c r="AM653" i="2"/>
  <c r="W653" i="2"/>
  <c r="AH653" i="2"/>
  <c r="AC653" i="2"/>
  <c r="AR621" i="2"/>
  <c r="AW621" i="2" s="1"/>
  <c r="BF621" i="2" s="1"/>
  <c r="AM253" i="2"/>
  <c r="AH253" i="2"/>
  <c r="AC253" i="2"/>
  <c r="W253" i="2"/>
  <c r="AR448" i="2"/>
  <c r="AW448" i="2" s="1"/>
  <c r="BF448" i="2" s="1"/>
  <c r="AR418" i="2"/>
  <c r="AW418" i="2" s="1"/>
  <c r="BF418" i="2" s="1"/>
  <c r="AM297" i="2"/>
  <c r="AH297" i="2"/>
  <c r="AC297" i="2"/>
  <c r="W297" i="2"/>
  <c r="AC291" i="2"/>
  <c r="W291" i="2"/>
  <c r="AM291" i="2"/>
  <c r="AH291" i="2"/>
  <c r="AM233" i="2"/>
  <c r="AH233" i="2"/>
  <c r="AC233" i="2"/>
  <c r="W233" i="2"/>
  <c r="AC227" i="2"/>
  <c r="W227" i="2"/>
  <c r="AM227" i="2"/>
  <c r="AH227" i="2"/>
  <c r="AH400" i="2"/>
  <c r="AC400" i="2"/>
  <c r="AM400" i="2"/>
  <c r="W400" i="2"/>
  <c r="AH368" i="2"/>
  <c r="AC368" i="2"/>
  <c r="AM368" i="2"/>
  <c r="W368" i="2"/>
  <c r="AH336" i="2"/>
  <c r="AC336" i="2"/>
  <c r="AM336" i="2"/>
  <c r="W336" i="2"/>
  <c r="AM319" i="2"/>
  <c r="AH319" i="2"/>
  <c r="AC319" i="2"/>
  <c r="W319" i="2"/>
  <c r="AM287" i="2"/>
  <c r="AH287" i="2"/>
  <c r="AC287" i="2"/>
  <c r="W287" i="2"/>
  <c r="AH178" i="2"/>
  <c r="AM178" i="2"/>
  <c r="W178" i="2"/>
  <c r="AC178" i="2"/>
  <c r="AR114" i="2"/>
  <c r="AW114" i="2" s="1"/>
  <c r="BF114" i="2" s="1"/>
  <c r="AM449" i="2"/>
  <c r="AH449" i="2"/>
  <c r="AC449" i="2"/>
  <c r="W449" i="2"/>
  <c r="AH322" i="2"/>
  <c r="AM322" i="2"/>
  <c r="W322" i="2"/>
  <c r="AC322" i="2"/>
  <c r="AH308" i="2"/>
  <c r="AC308" i="2"/>
  <c r="AM308" i="2"/>
  <c r="W308" i="2"/>
  <c r="AH30" i="2"/>
  <c r="AC30" i="2"/>
  <c r="AM30" i="2"/>
  <c r="W30" i="2"/>
  <c r="AH122" i="2"/>
  <c r="AM122" i="2"/>
  <c r="W122" i="2"/>
  <c r="AC122" i="2"/>
  <c r="AR2458" i="2"/>
  <c r="AW2458" i="2" s="1"/>
  <c r="BF2458" i="2" s="1"/>
  <c r="AM2430" i="2"/>
  <c r="W2430" i="2"/>
  <c r="AH2430" i="2"/>
  <c r="AC2430" i="2"/>
  <c r="AM2391" i="2"/>
  <c r="W2391" i="2"/>
  <c r="AH2391" i="2"/>
  <c r="AC2391" i="2"/>
  <c r="AM2351" i="2"/>
  <c r="W2351" i="2"/>
  <c r="AH2351" i="2"/>
  <c r="AC2351" i="2"/>
  <c r="AM2343" i="2"/>
  <c r="W2343" i="2"/>
  <c r="AH2343" i="2"/>
  <c r="AC2343" i="2"/>
  <c r="AM2327" i="2"/>
  <c r="W2327" i="2"/>
  <c r="AH2327" i="2"/>
  <c r="AC2327" i="2"/>
  <c r="AM2319" i="2"/>
  <c r="W2319" i="2"/>
  <c r="AH2319" i="2"/>
  <c r="AC2319" i="2"/>
  <c r="AR2418" i="2"/>
  <c r="AW2418" i="2" s="1"/>
  <c r="BF2418" i="2" s="1"/>
  <c r="AH2267" i="2"/>
  <c r="AM2267" i="2"/>
  <c r="W2267" i="2"/>
  <c r="AC2267" i="2"/>
  <c r="AH2235" i="2"/>
  <c r="AM2235" i="2"/>
  <c r="W2235" i="2"/>
  <c r="AC2235" i="2"/>
  <c r="AH2203" i="2"/>
  <c r="AM2203" i="2"/>
  <c r="W2203" i="2"/>
  <c r="AC2203" i="2"/>
  <c r="AR2165" i="2"/>
  <c r="AW2165" i="2" s="1"/>
  <c r="BF2165" i="2" s="1"/>
  <c r="AM2190" i="2"/>
  <c r="W2190" i="2"/>
  <c r="AH2190" i="2"/>
  <c r="AC2190" i="2"/>
  <c r="AC2191" i="2"/>
  <c r="AM2191" i="2"/>
  <c r="W2191" i="2"/>
  <c r="AH2191" i="2"/>
  <c r="AR1850" i="2"/>
  <c r="AW1850" i="2" s="1"/>
  <c r="BF1850" i="2" s="1"/>
  <c r="AC1817" i="2"/>
  <c r="AM1817" i="2"/>
  <c r="AH1817" i="2"/>
  <c r="W1817" i="2"/>
  <c r="AM1780" i="2"/>
  <c r="W1780" i="2"/>
  <c r="AH1780" i="2"/>
  <c r="AC1780" i="2"/>
  <c r="AM1764" i="2"/>
  <c r="W1764" i="2"/>
  <c r="AH1764" i="2"/>
  <c r="AC1764" i="2"/>
  <c r="AN1759" i="2"/>
  <c r="AI1759" i="2"/>
  <c r="AD1759" i="2"/>
  <c r="X1759" i="2"/>
  <c r="AH1618" i="2"/>
  <c r="AC1618" i="2"/>
  <c r="AM1618" i="2"/>
  <c r="W1618" i="2"/>
  <c r="AH1440" i="2"/>
  <c r="AM1440" i="2"/>
  <c r="W1440" i="2"/>
  <c r="AC1440" i="2"/>
  <c r="AH1640" i="2"/>
  <c r="AC1640" i="2"/>
  <c r="AM1640" i="2"/>
  <c r="W1640" i="2"/>
  <c r="AH1262" i="2"/>
  <c r="AC1262" i="2"/>
  <c r="AM1262" i="2"/>
  <c r="W1262" i="2"/>
  <c r="AR1049" i="2"/>
  <c r="AW1049" i="2" s="1"/>
  <c r="BF1049" i="2" s="1"/>
  <c r="AR1347" i="2"/>
  <c r="AW1347" i="2" s="1"/>
  <c r="BF1347" i="2" s="1"/>
  <c r="AR1283" i="2"/>
  <c r="AW1283" i="2" s="1"/>
  <c r="BF1283" i="2" s="1"/>
  <c r="AR1219" i="2"/>
  <c r="AW1219" i="2" s="1"/>
  <c r="BF1219" i="2" s="1"/>
  <c r="AM1079" i="2"/>
  <c r="W1079" i="2"/>
  <c r="AC1079" i="2"/>
  <c r="AH1079" i="2"/>
  <c r="AH1328" i="2"/>
  <c r="AC1328" i="2"/>
  <c r="AM1328" i="2"/>
  <c r="W1328" i="2"/>
  <c r="AR1200" i="2"/>
  <c r="AW1200" i="2" s="1"/>
  <c r="BF1200" i="2" s="1"/>
  <c r="AM1341" i="2"/>
  <c r="W1341" i="2"/>
  <c r="AH1341" i="2"/>
  <c r="AC1341" i="2"/>
  <c r="AM1277" i="2"/>
  <c r="W1277" i="2"/>
  <c r="AH1277" i="2"/>
  <c r="AC1277" i="2"/>
  <c r="AM1213" i="2"/>
  <c r="W1213" i="2"/>
  <c r="AH1213" i="2"/>
  <c r="AC1213" i="2"/>
  <c r="AC1140" i="2"/>
  <c r="AM1140" i="2"/>
  <c r="W1140" i="2"/>
  <c r="AH1140" i="2"/>
  <c r="AC1132" i="2"/>
  <c r="AM1132" i="2"/>
  <c r="W1132" i="2"/>
  <c r="AH1132" i="2"/>
  <c r="AC1124" i="2"/>
  <c r="AM1124" i="2"/>
  <c r="W1124" i="2"/>
  <c r="AH1124" i="2"/>
  <c r="AC1116" i="2"/>
  <c r="AM1116" i="2"/>
  <c r="W1116" i="2"/>
  <c r="AH1116" i="2"/>
  <c r="AC1108" i="2"/>
  <c r="AM1108" i="2"/>
  <c r="W1108" i="2"/>
  <c r="AH1108" i="2"/>
  <c r="AC1100" i="2"/>
  <c r="AM1100" i="2"/>
  <c r="W1100" i="2"/>
  <c r="AH1100" i="2"/>
  <c r="AC1092" i="2"/>
  <c r="AM1092" i="2"/>
  <c r="W1092" i="2"/>
  <c r="AH1092" i="2"/>
  <c r="AC1084" i="2"/>
  <c r="AM1084" i="2"/>
  <c r="W1084" i="2"/>
  <c r="AH1084" i="2"/>
  <c r="AC1076" i="2"/>
  <c r="AM1076" i="2"/>
  <c r="W1076" i="2"/>
  <c r="AH1076" i="2"/>
  <c r="AC1068" i="2"/>
  <c r="AM1068" i="2"/>
  <c r="W1068" i="2"/>
  <c r="AH1068" i="2"/>
  <c r="AC1060" i="2"/>
  <c r="AM1060" i="2"/>
  <c r="W1060" i="2"/>
  <c r="AH1060" i="2"/>
  <c r="AC1052" i="2"/>
  <c r="AM1052" i="2"/>
  <c r="W1052" i="2"/>
  <c r="AH1052" i="2"/>
  <c r="AH382" i="2"/>
  <c r="AC382" i="2"/>
  <c r="AM382" i="2"/>
  <c r="W382" i="2"/>
  <c r="AH543" i="2"/>
  <c r="AC543" i="2"/>
  <c r="AM543" i="2"/>
  <c r="W543" i="2"/>
  <c r="AR355" i="2"/>
  <c r="AW355" i="2" s="1"/>
  <c r="BF355" i="2" s="1"/>
  <c r="AR416" i="2"/>
  <c r="AW416" i="2" s="1"/>
  <c r="BF416" i="2" s="1"/>
  <c r="AD196" i="2"/>
  <c r="AN196" i="2"/>
  <c r="AI196" i="2"/>
  <c r="X196" i="2"/>
  <c r="AD180" i="2"/>
  <c r="AN180" i="2"/>
  <c r="AI180" i="2"/>
  <c r="X180" i="2"/>
  <c r="AD164" i="2"/>
  <c r="AN164" i="2"/>
  <c r="AI164" i="2"/>
  <c r="X164" i="2"/>
  <c r="AD148" i="2"/>
  <c r="AN148" i="2"/>
  <c r="AI148" i="2"/>
  <c r="X148" i="2"/>
  <c r="AD132" i="2"/>
  <c r="AN132" i="2"/>
  <c r="AI132" i="2"/>
  <c r="X132" i="2"/>
  <c r="AD116" i="2"/>
  <c r="AN116" i="2"/>
  <c r="AI116" i="2"/>
  <c r="X116" i="2"/>
  <c r="AR239" i="2"/>
  <c r="AW239" i="2" s="1"/>
  <c r="BF239" i="2" s="1"/>
  <c r="AR177" i="2"/>
  <c r="AW177" i="2" s="1"/>
  <c r="BF177" i="2" s="1"/>
  <c r="AR113" i="2"/>
  <c r="AW113" i="2" s="1"/>
  <c r="BF113" i="2" s="1"/>
  <c r="AR408" i="2"/>
  <c r="AW408" i="2" s="1"/>
  <c r="BF408" i="2" s="1"/>
  <c r="AM399" i="2"/>
  <c r="AH399" i="2"/>
  <c r="AC399" i="2"/>
  <c r="W399" i="2"/>
  <c r="AM391" i="2"/>
  <c r="AH391" i="2"/>
  <c r="AC391" i="2"/>
  <c r="W391" i="2"/>
  <c r="AM383" i="2"/>
  <c r="AH383" i="2"/>
  <c r="AC383" i="2"/>
  <c r="W383" i="2"/>
  <c r="AM375" i="2"/>
  <c r="AH375" i="2"/>
  <c r="AC375" i="2"/>
  <c r="W375" i="2"/>
  <c r="AM367" i="2"/>
  <c r="AH367" i="2"/>
  <c r="AC367" i="2"/>
  <c r="W367" i="2"/>
  <c r="AM359" i="2"/>
  <c r="AH359" i="2"/>
  <c r="AC359" i="2"/>
  <c r="W359" i="2"/>
  <c r="AM351" i="2"/>
  <c r="AH351" i="2"/>
  <c r="AC351" i="2"/>
  <c r="W351" i="2"/>
  <c r="AM343" i="2"/>
  <c r="AH343" i="2"/>
  <c r="AC343" i="2"/>
  <c r="W343" i="2"/>
  <c r="AM335" i="2"/>
  <c r="AH335" i="2"/>
  <c r="AC335" i="2"/>
  <c r="W335" i="2"/>
  <c r="AM327" i="2"/>
  <c r="AH327" i="2"/>
  <c r="AC327" i="2"/>
  <c r="W327" i="2"/>
  <c r="AM191" i="2"/>
  <c r="AC191" i="2"/>
  <c r="AH191" i="2"/>
  <c r="W191" i="2"/>
  <c r="AR173" i="2"/>
  <c r="AW173" i="2" s="1"/>
  <c r="BF173" i="2" s="1"/>
  <c r="AD120" i="2"/>
  <c r="AN120" i="2"/>
  <c r="AI120" i="2"/>
  <c r="X120" i="2"/>
  <c r="AH60" i="2"/>
  <c r="AM60" i="2"/>
  <c r="AC60" i="2"/>
  <c r="W60" i="2"/>
  <c r="AR2293" i="2"/>
  <c r="AW2293" i="2" s="1"/>
  <c r="BF2293" i="2" s="1"/>
  <c r="AR2285" i="2"/>
  <c r="AW2285" i="2" s="1"/>
  <c r="BF2285" i="2" s="1"/>
  <c r="AR2277" i="2"/>
  <c r="AW2277" i="2" s="1"/>
  <c r="BF2277" i="2" s="1"/>
  <c r="AR2269" i="2"/>
  <c r="AW2269" i="2" s="1"/>
  <c r="BF2269" i="2" s="1"/>
  <c r="AR2261" i="2"/>
  <c r="AW2261" i="2" s="1"/>
  <c r="BF2261" i="2" s="1"/>
  <c r="AM2462" i="2"/>
  <c r="W2462" i="2"/>
  <c r="AH2462" i="2"/>
  <c r="AC2462" i="2"/>
  <c r="AM2406" i="2"/>
  <c r="W2406" i="2"/>
  <c r="AC2406" i="2"/>
  <c r="AH2406" i="2"/>
  <c r="AM2383" i="2"/>
  <c r="W2383" i="2"/>
  <c r="AH2383" i="2"/>
  <c r="AC2383" i="2"/>
  <c r="AM2375" i="2"/>
  <c r="W2375" i="2"/>
  <c r="AH2375" i="2"/>
  <c r="AC2375" i="2"/>
  <c r="AM2367" i="2"/>
  <c r="W2367" i="2"/>
  <c r="AH2367" i="2"/>
  <c r="AC2367" i="2"/>
  <c r="AM2359" i="2"/>
  <c r="W2359" i="2"/>
  <c r="AH2359" i="2"/>
  <c r="AC2359" i="2"/>
  <c r="AM2335" i="2"/>
  <c r="W2335" i="2"/>
  <c r="AH2335" i="2"/>
  <c r="AC2335" i="2"/>
  <c r="AR2501" i="2"/>
  <c r="AW2501" i="2" s="1"/>
  <c r="BF2501" i="2" s="1"/>
  <c r="AC2429" i="2"/>
  <c r="AM2429" i="2"/>
  <c r="W2429" i="2"/>
  <c r="AH2429" i="2"/>
  <c r="AR2404" i="2"/>
  <c r="AW2404" i="2" s="1"/>
  <c r="BF2404" i="2" s="1"/>
  <c r="AH2314" i="2"/>
  <c r="AM2314" i="2"/>
  <c r="W2314" i="2"/>
  <c r="AC2314" i="2"/>
  <c r="AH2310" i="2"/>
  <c r="AM2310" i="2"/>
  <c r="W2310" i="2"/>
  <c r="AC2310" i="2"/>
  <c r="AH2306" i="2"/>
  <c r="AM2306" i="2"/>
  <c r="W2306" i="2"/>
  <c r="AC2306" i="2"/>
  <c r="AH2302" i="2"/>
  <c r="AM2302" i="2"/>
  <c r="W2302" i="2"/>
  <c r="AC2302" i="2"/>
  <c r="AH2298" i="2"/>
  <c r="AM2298" i="2"/>
  <c r="W2298" i="2"/>
  <c r="AC2298" i="2"/>
  <c r="AH2294" i="2"/>
  <c r="AM2294" i="2"/>
  <c r="W2294" i="2"/>
  <c r="AC2294" i="2"/>
  <c r="AH2290" i="2"/>
  <c r="AM2290" i="2"/>
  <c r="W2290" i="2"/>
  <c r="AC2290" i="2"/>
  <c r="AH2286" i="2"/>
  <c r="AM2286" i="2"/>
  <c r="W2286" i="2"/>
  <c r="AC2286" i="2"/>
  <c r="AH2282" i="2"/>
  <c r="AM2282" i="2"/>
  <c r="W2282" i="2"/>
  <c r="AC2282" i="2"/>
  <c r="AH2278" i="2"/>
  <c r="AM2278" i="2"/>
  <c r="W2278" i="2"/>
  <c r="AC2278" i="2"/>
  <c r="AH2274" i="2"/>
  <c r="AM2274" i="2"/>
  <c r="W2274" i="2"/>
  <c r="AC2274" i="2"/>
  <c r="AH2270" i="2"/>
  <c r="AM2270" i="2"/>
  <c r="W2270" i="2"/>
  <c r="AC2270" i="2"/>
  <c r="AH2266" i="2"/>
  <c r="AM2266" i="2"/>
  <c r="W2266" i="2"/>
  <c r="AC2266" i="2"/>
  <c r="AH2262" i="2"/>
  <c r="AM2262" i="2"/>
  <c r="W2262" i="2"/>
  <c r="AC2262" i="2"/>
  <c r="AH2258" i="2"/>
  <c r="AM2258" i="2"/>
  <c r="W2258" i="2"/>
  <c r="AC2258" i="2"/>
  <c r="AH2254" i="2"/>
  <c r="AM2254" i="2"/>
  <c r="W2254" i="2"/>
  <c r="AC2254" i="2"/>
  <c r="AH2250" i="2"/>
  <c r="AM2250" i="2"/>
  <c r="W2250" i="2"/>
  <c r="AC2250" i="2"/>
  <c r="AH2246" i="2"/>
  <c r="AM2246" i="2"/>
  <c r="W2246" i="2"/>
  <c r="AC2246" i="2"/>
  <c r="AH2242" i="2"/>
  <c r="AM2242" i="2"/>
  <c r="W2242" i="2"/>
  <c r="AC2242" i="2"/>
  <c r="AH2238" i="2"/>
  <c r="AM2238" i="2"/>
  <c r="W2238" i="2"/>
  <c r="AC2238" i="2"/>
  <c r="AH2234" i="2"/>
  <c r="AM2234" i="2"/>
  <c r="W2234" i="2"/>
  <c r="AC2234" i="2"/>
  <c r="AH2230" i="2"/>
  <c r="AM2230" i="2"/>
  <c r="W2230" i="2"/>
  <c r="AC2230" i="2"/>
  <c r="AH2226" i="2"/>
  <c r="AM2226" i="2"/>
  <c r="W2226" i="2"/>
  <c r="AC2226" i="2"/>
  <c r="AH2222" i="2"/>
  <c r="AM2222" i="2"/>
  <c r="W2222" i="2"/>
  <c r="AC2222" i="2"/>
  <c r="AH2218" i="2"/>
  <c r="AM2218" i="2"/>
  <c r="W2218" i="2"/>
  <c r="AC2218" i="2"/>
  <c r="AH2214" i="2"/>
  <c r="AM2214" i="2"/>
  <c r="W2214" i="2"/>
  <c r="AC2214" i="2"/>
  <c r="AH2210" i="2"/>
  <c r="AM2210" i="2"/>
  <c r="W2210" i="2"/>
  <c r="AC2210" i="2"/>
  <c r="AH2206" i="2"/>
  <c r="AM2206" i="2"/>
  <c r="W2206" i="2"/>
  <c r="AC2206" i="2"/>
  <c r="AH2202" i="2"/>
  <c r="AM2202" i="2"/>
  <c r="W2202" i="2"/>
  <c r="AC2202" i="2"/>
  <c r="AR2180" i="2"/>
  <c r="AW2180" i="2" s="1"/>
  <c r="BF2180" i="2" s="1"/>
  <c r="AR2185" i="2"/>
  <c r="AW2185" i="2" s="1"/>
  <c r="BF2185" i="2" s="1"/>
  <c r="AC2163" i="2"/>
  <c r="AM2163" i="2"/>
  <c r="W2163" i="2"/>
  <c r="AH2163" i="2"/>
  <c r="AR2100" i="2"/>
  <c r="AW2100" i="2" s="1"/>
  <c r="BF2100" i="2" s="1"/>
  <c r="AH2059" i="2"/>
  <c r="AC2059" i="2"/>
  <c r="AM2059" i="2"/>
  <c r="W2059" i="2"/>
  <c r="AR1991" i="2"/>
  <c r="AW1991" i="2" s="1"/>
  <c r="BF1991" i="2" s="1"/>
  <c r="AH1959" i="2"/>
  <c r="AC1959" i="2"/>
  <c r="AM1959" i="2"/>
  <c r="W1959" i="2"/>
  <c r="AH1989" i="2"/>
  <c r="AC1989" i="2"/>
  <c r="AM1989" i="2"/>
  <c r="W1989" i="2"/>
  <c r="AR1957" i="2"/>
  <c r="AW1957" i="2" s="1"/>
  <c r="BF1957" i="2" s="1"/>
  <c r="AH1925" i="2"/>
  <c r="AC1925" i="2"/>
  <c r="AM1925" i="2"/>
  <c r="W1925" i="2"/>
  <c r="AR1893" i="2"/>
  <c r="AW1893" i="2" s="1"/>
  <c r="BF1893" i="2" s="1"/>
  <c r="AH1861" i="2"/>
  <c r="AC1861" i="2"/>
  <c r="AM1861" i="2"/>
  <c r="W1861" i="2"/>
  <c r="AH1730" i="2"/>
  <c r="AM1730" i="2"/>
  <c r="W1730" i="2"/>
  <c r="AC1730" i="2"/>
  <c r="AR1621" i="2"/>
  <c r="AW1621" i="2" s="1"/>
  <c r="BF1621" i="2" s="1"/>
  <c r="AH1445" i="2"/>
  <c r="AC1445" i="2"/>
  <c r="AM1445" i="2"/>
  <c r="W1445" i="2"/>
  <c r="AH1534" i="2"/>
  <c r="AM1534" i="2"/>
  <c r="W1534" i="2"/>
  <c r="AC1534" i="2"/>
  <c r="AR1387" i="2"/>
  <c r="AW1387" i="2" s="1"/>
  <c r="BF1387" i="2" s="1"/>
  <c r="AH1620" i="2"/>
  <c r="AC1620" i="2"/>
  <c r="AM1620" i="2"/>
  <c r="W1620" i="2"/>
  <c r="AR1565" i="2"/>
  <c r="AW1565" i="2" s="1"/>
  <c r="BF1565" i="2" s="1"/>
  <c r="AR1471" i="2"/>
  <c r="AW1471" i="2" s="1"/>
  <c r="BF1471" i="2" s="1"/>
  <c r="AM1374" i="2"/>
  <c r="W1374" i="2"/>
  <c r="AC1374" i="2"/>
  <c r="AH1374" i="2"/>
  <c r="AH1282" i="2"/>
  <c r="AC1282" i="2"/>
  <c r="AM1282" i="2"/>
  <c r="W1282" i="2"/>
  <c r="AR1139" i="2"/>
  <c r="AW1139" i="2" s="1"/>
  <c r="BF1139" i="2" s="1"/>
  <c r="AR1284" i="2"/>
  <c r="AW1284" i="2" s="1"/>
  <c r="BF1284" i="2" s="1"/>
  <c r="AM1329" i="2"/>
  <c r="W1329" i="2"/>
  <c r="AH1329" i="2"/>
  <c r="AC1329" i="2"/>
  <c r="AM1265" i="2"/>
  <c r="W1265" i="2"/>
  <c r="AH1265" i="2"/>
  <c r="AC1265" i="2"/>
  <c r="AM1201" i="2"/>
  <c r="W1201" i="2"/>
  <c r="AH1201" i="2"/>
  <c r="AC1201" i="2"/>
  <c r="AM550" i="2"/>
  <c r="W550" i="2"/>
  <c r="AH550" i="2"/>
  <c r="AC550" i="2"/>
  <c r="AR443" i="2"/>
  <c r="AW443" i="2" s="1"/>
  <c r="BF443" i="2" s="1"/>
  <c r="AR284" i="2"/>
  <c r="AW284" i="2" s="1"/>
  <c r="BF284" i="2" s="1"/>
  <c r="AR19" i="2"/>
  <c r="AW19" i="2" s="1"/>
  <c r="BF19" i="2" s="1"/>
  <c r="AR255" i="2"/>
  <c r="AW255" i="2" s="1"/>
  <c r="BF255" i="2" s="1"/>
  <c r="AR17" i="2"/>
  <c r="AW17" i="2" s="1"/>
  <c r="BF17" i="2" s="1"/>
  <c r="AR257" i="2"/>
  <c r="AW257" i="2" s="1"/>
  <c r="BF257" i="2" s="1"/>
  <c r="AR251" i="2"/>
  <c r="AW251" i="2" s="1"/>
  <c r="BF251" i="2" s="1"/>
  <c r="AR62" i="2"/>
  <c r="AW62" i="2" s="1"/>
  <c r="BF62" i="2" s="1"/>
  <c r="AR56" i="2"/>
  <c r="AW56" i="2" s="1"/>
  <c r="BF56" i="2" s="1"/>
  <c r="AR2303" i="2"/>
  <c r="AW2303" i="2" s="1"/>
  <c r="BF2303" i="2" s="1"/>
  <c r="AH2287" i="2"/>
  <c r="AM2287" i="2"/>
  <c r="W2287" i="2"/>
  <c r="AC2287" i="2"/>
  <c r="AR2271" i="2"/>
  <c r="AW2271" i="2" s="1"/>
  <c r="BF2271" i="2" s="1"/>
  <c r="AH2255" i="2"/>
  <c r="AM2255" i="2"/>
  <c r="W2255" i="2"/>
  <c r="AC2255" i="2"/>
  <c r="AR2239" i="2"/>
  <c r="AW2239" i="2" s="1"/>
  <c r="BF2239" i="2" s="1"/>
  <c r="AH2223" i="2"/>
  <c r="AM2223" i="2"/>
  <c r="W2223" i="2"/>
  <c r="AC2223" i="2"/>
  <c r="AR2207" i="2"/>
  <c r="AW2207" i="2" s="1"/>
  <c r="BF2207" i="2" s="1"/>
  <c r="AR2080" i="2"/>
  <c r="AW2080" i="2" s="1"/>
  <c r="BF2080" i="2" s="1"/>
  <c r="AM1667" i="2"/>
  <c r="W1667" i="2"/>
  <c r="AH1667" i="2"/>
  <c r="AC1667" i="2"/>
  <c r="AM1665" i="2"/>
  <c r="W1665" i="2"/>
  <c r="AH1665" i="2"/>
  <c r="AC1665" i="2"/>
  <c r="AH1537" i="2"/>
  <c r="AC1537" i="2"/>
  <c r="AM1537" i="2"/>
  <c r="W1537" i="2"/>
  <c r="AR1530" i="2"/>
  <c r="AW1530" i="2" s="1"/>
  <c r="BF1530" i="2" s="1"/>
  <c r="AR1607" i="2"/>
  <c r="AW1607" i="2" s="1"/>
  <c r="BF1607" i="2" s="1"/>
  <c r="AR1523" i="2"/>
  <c r="AW1523" i="2" s="1"/>
  <c r="BF1523" i="2" s="1"/>
  <c r="AH1302" i="2"/>
  <c r="AC1302" i="2"/>
  <c r="AM1302" i="2"/>
  <c r="W1302" i="2"/>
  <c r="AR1087" i="2"/>
  <c r="AW1087" i="2" s="1"/>
  <c r="BF1087" i="2" s="1"/>
  <c r="AR1256" i="2"/>
  <c r="AW1256" i="2" s="1"/>
  <c r="BF1256" i="2" s="1"/>
  <c r="AR1317" i="2"/>
  <c r="AW1317" i="2" s="1"/>
  <c r="BF1317" i="2" s="1"/>
  <c r="AR1253" i="2"/>
  <c r="AW1253" i="2" s="1"/>
  <c r="BF1253" i="2" s="1"/>
  <c r="AR1189" i="2"/>
  <c r="AW1189" i="2" s="1"/>
  <c r="BF1189" i="2" s="1"/>
  <c r="AM1101" i="2"/>
  <c r="W1101" i="2"/>
  <c r="AC1101" i="2"/>
  <c r="AH1101" i="2"/>
  <c r="AR856" i="2"/>
  <c r="AW856" i="2" s="1"/>
  <c r="BF856" i="2" s="1"/>
  <c r="AM824" i="2"/>
  <c r="W824" i="2"/>
  <c r="AC824" i="2"/>
  <c r="AH824" i="2"/>
  <c r="AR792" i="2"/>
  <c r="AW792" i="2" s="1"/>
  <c r="BF792" i="2" s="1"/>
  <c r="AM760" i="2"/>
  <c r="W760" i="2"/>
  <c r="AC760" i="2"/>
  <c r="AH760" i="2"/>
  <c r="AR728" i="2"/>
  <c r="AW728" i="2" s="1"/>
  <c r="BF728" i="2" s="1"/>
  <c r="AM261" i="2"/>
  <c r="AH261" i="2"/>
  <c r="AC261" i="2"/>
  <c r="W261" i="2"/>
  <c r="AM419" i="2"/>
  <c r="AH419" i="2"/>
  <c r="AC419" i="2"/>
  <c r="W419" i="2"/>
  <c r="AM532" i="2"/>
  <c r="W532" i="2"/>
  <c r="AH532" i="2"/>
  <c r="AC532" i="2"/>
  <c r="AM249" i="2"/>
  <c r="AH249" i="2"/>
  <c r="AC249" i="2"/>
  <c r="W249" i="2"/>
  <c r="AC243" i="2"/>
  <c r="W243" i="2"/>
  <c r="AM243" i="2"/>
  <c r="AH243" i="2"/>
  <c r="AR424" i="2"/>
  <c r="AW424" i="2" s="1"/>
  <c r="BF424" i="2" s="1"/>
  <c r="AM407" i="2"/>
  <c r="AH407" i="2"/>
  <c r="AC407" i="2"/>
  <c r="W407" i="2"/>
  <c r="AR376" i="2"/>
  <c r="AW376" i="2" s="1"/>
  <c r="BF376" i="2" s="1"/>
  <c r="AR344" i="2"/>
  <c r="AW344" i="2" s="1"/>
  <c r="BF344" i="2" s="1"/>
  <c r="AR165" i="2"/>
  <c r="AW165" i="2" s="1"/>
  <c r="BF165" i="2" s="1"/>
  <c r="AM101" i="2"/>
  <c r="AH101" i="2"/>
  <c r="AC101" i="2"/>
  <c r="W101" i="2"/>
  <c r="AR80" i="2"/>
  <c r="AW80" i="2" s="1"/>
  <c r="BF80" i="2" s="1"/>
  <c r="AM455" i="2"/>
  <c r="AH455" i="2"/>
  <c r="AC455" i="2"/>
  <c r="W455" i="2"/>
  <c r="AM159" i="2"/>
  <c r="AC159" i="2"/>
  <c r="AH159" i="2"/>
  <c r="W159" i="2"/>
  <c r="AR90" i="2"/>
  <c r="AW90" i="2" s="1"/>
  <c r="BF90" i="2" s="1"/>
  <c r="AR53" i="2"/>
  <c r="AW53" i="2" s="1"/>
  <c r="BF53" i="2" s="1"/>
  <c r="AM2172" i="2"/>
  <c r="W2172" i="2"/>
  <c r="AH2172" i="2"/>
  <c r="AC2172" i="2"/>
  <c r="AR2155" i="2"/>
  <c r="AW2155" i="2" s="1"/>
  <c r="BF2155" i="2" s="1"/>
  <c r="AR2114" i="2"/>
  <c r="AW2114" i="2" s="1"/>
  <c r="BF2114" i="2" s="1"/>
  <c r="AR2099" i="2"/>
  <c r="AW2099" i="2" s="1"/>
  <c r="BF2099" i="2" s="1"/>
  <c r="AH2105" i="2"/>
  <c r="AC2105" i="2"/>
  <c r="AM2105" i="2"/>
  <c r="W2105" i="2"/>
  <c r="AR2073" i="2"/>
  <c r="AW2073" i="2" s="1"/>
  <c r="BF2073" i="2" s="1"/>
  <c r="AR1857" i="2"/>
  <c r="AW1857" i="2" s="1"/>
  <c r="BF1857" i="2" s="1"/>
  <c r="AR1853" i="2"/>
  <c r="AW1853" i="2" s="1"/>
  <c r="BF1853" i="2" s="1"/>
  <c r="AN1795" i="2"/>
  <c r="AI1795" i="2"/>
  <c r="AD1795" i="2"/>
  <c r="X1795" i="2"/>
  <c r="AR1606" i="2"/>
  <c r="AW1606" i="2" s="1"/>
  <c r="BF1606" i="2" s="1"/>
  <c r="AH1474" i="2"/>
  <c r="AM1474" i="2"/>
  <c r="W1474" i="2"/>
  <c r="AC1474" i="2"/>
  <c r="AH1470" i="2"/>
  <c r="AM1470" i="2"/>
  <c r="W1470" i="2"/>
  <c r="AC1470" i="2"/>
  <c r="AH1466" i="2"/>
  <c r="AM1466" i="2"/>
  <c r="W1466" i="2"/>
  <c r="AC1466" i="2"/>
  <c r="AH1462" i="2"/>
  <c r="AM1462" i="2"/>
  <c r="W1462" i="2"/>
  <c r="AC1462" i="2"/>
  <c r="AH1458" i="2"/>
  <c r="AM1458" i="2"/>
  <c r="W1458" i="2"/>
  <c r="AC1458" i="2"/>
  <c r="AH1454" i="2"/>
  <c r="AM1454" i="2"/>
  <c r="W1454" i="2"/>
  <c r="AC1454" i="2"/>
  <c r="AH1450" i="2"/>
  <c r="AM1450" i="2"/>
  <c r="W1450" i="2"/>
  <c r="AC1450" i="2"/>
  <c r="AH1446" i="2"/>
  <c r="AM1446" i="2"/>
  <c r="W1446" i="2"/>
  <c r="AC1446" i="2"/>
  <c r="AH1526" i="2"/>
  <c r="AM1526" i="2"/>
  <c r="W1526" i="2"/>
  <c r="AC1526" i="2"/>
  <c r="AH1522" i="2"/>
  <c r="AM1522" i="2"/>
  <c r="W1522" i="2"/>
  <c r="AC1522" i="2"/>
  <c r="AH1518" i="2"/>
  <c r="AM1518" i="2"/>
  <c r="W1518" i="2"/>
  <c r="AC1518" i="2"/>
  <c r="AH1660" i="2"/>
  <c r="AC1660" i="2"/>
  <c r="AM1660" i="2"/>
  <c r="W1660" i="2"/>
  <c r="AR1596" i="2"/>
  <c r="AW1596" i="2" s="1"/>
  <c r="BF1596" i="2" s="1"/>
  <c r="AR1588" i="2"/>
  <c r="AW1588" i="2" s="1"/>
  <c r="BF1588" i="2" s="1"/>
  <c r="AH1504" i="2"/>
  <c r="AM1504" i="2"/>
  <c r="W1504" i="2"/>
  <c r="AC1504" i="2"/>
  <c r="AH1433" i="2"/>
  <c r="AC1433" i="2"/>
  <c r="AM1433" i="2"/>
  <c r="W1433" i="2"/>
  <c r="AR1401" i="2"/>
  <c r="AW1401" i="2" s="1"/>
  <c r="BF1401" i="2" s="1"/>
  <c r="AH1375" i="2"/>
  <c r="AC1375" i="2"/>
  <c r="AM1375" i="2"/>
  <c r="W1375" i="2"/>
  <c r="AH1370" i="2"/>
  <c r="AC1370" i="2"/>
  <c r="AM1370" i="2"/>
  <c r="W1370" i="2"/>
  <c r="AR1242" i="2"/>
  <c r="AW1242" i="2" s="1"/>
  <c r="BF1242" i="2" s="1"/>
  <c r="AH1244" i="2"/>
  <c r="AC1244" i="2"/>
  <c r="AM1244" i="2"/>
  <c r="W1244" i="2"/>
  <c r="AR1369" i="2"/>
  <c r="AW1369" i="2" s="1"/>
  <c r="BF1369" i="2" s="1"/>
  <c r="AR1305" i="2"/>
  <c r="AW1305" i="2" s="1"/>
  <c r="BF1305" i="2" s="1"/>
  <c r="AR1241" i="2"/>
  <c r="AW1241" i="2" s="1"/>
  <c r="BF1241" i="2" s="1"/>
  <c r="AR1177" i="2"/>
  <c r="AW1177" i="2" s="1"/>
  <c r="BF1177" i="2" s="1"/>
  <c r="AM1097" i="2"/>
  <c r="W1097" i="2"/>
  <c r="AC1097" i="2"/>
  <c r="AH1097" i="2"/>
  <c r="AC1150" i="2"/>
  <c r="AM1150" i="2"/>
  <c r="W1150" i="2"/>
  <c r="AH1150" i="2"/>
  <c r="AC1146" i="2"/>
  <c r="AM1146" i="2"/>
  <c r="W1146" i="2"/>
  <c r="AH1146" i="2"/>
  <c r="AC1142" i="2"/>
  <c r="AM1142" i="2"/>
  <c r="W1142" i="2"/>
  <c r="AH1142" i="2"/>
  <c r="AR881" i="2"/>
  <c r="AW881" i="2" s="1"/>
  <c r="BF881" i="2" s="1"/>
  <c r="AR849" i="2"/>
  <c r="AW849" i="2" s="1"/>
  <c r="BF849" i="2" s="1"/>
  <c r="AR817" i="2"/>
  <c r="AW817" i="2" s="1"/>
  <c r="BF817" i="2" s="1"/>
  <c r="AR785" i="2"/>
  <c r="AW785" i="2" s="1"/>
  <c r="BF785" i="2" s="1"/>
  <c r="AR753" i="2"/>
  <c r="AW753" i="2" s="1"/>
  <c r="BF753" i="2" s="1"/>
  <c r="AR705" i="2"/>
  <c r="AW705" i="2" s="1"/>
  <c r="BF705" i="2" s="1"/>
  <c r="AR689" i="2"/>
  <c r="AW689" i="2" s="1"/>
  <c r="BF689" i="2" s="1"/>
  <c r="AR673" i="2"/>
  <c r="AW673" i="2" s="1"/>
  <c r="BF673" i="2" s="1"/>
  <c r="AR657" i="2"/>
  <c r="AW657" i="2" s="1"/>
  <c r="BF657" i="2" s="1"/>
  <c r="AR641" i="2"/>
  <c r="AW641" i="2" s="1"/>
  <c r="BF641" i="2" s="1"/>
  <c r="AR625" i="2"/>
  <c r="AW625" i="2" s="1"/>
  <c r="BF625" i="2" s="1"/>
  <c r="AR537" i="2"/>
  <c r="AW537" i="2" s="1"/>
  <c r="BF537" i="2" s="1"/>
  <c r="AR285" i="2"/>
  <c r="AW285" i="2" s="1"/>
  <c r="BF285" i="2" s="1"/>
  <c r="AM491" i="2"/>
  <c r="AH491" i="2"/>
  <c r="AC491" i="2"/>
  <c r="W491" i="2"/>
  <c r="AR252" i="2"/>
  <c r="AW252" i="2" s="1"/>
  <c r="BF252" i="2" s="1"/>
  <c r="AR223" i="2"/>
  <c r="AW223" i="2" s="1"/>
  <c r="BF223" i="2" s="1"/>
  <c r="AR463" i="2"/>
  <c r="AW463" i="2" s="1"/>
  <c r="BF463" i="2" s="1"/>
  <c r="AR111" i="2"/>
  <c r="AW111" i="2" s="1"/>
  <c r="BF111" i="2" s="1"/>
  <c r="AR14" i="2"/>
  <c r="AW14" i="2" s="1"/>
  <c r="BF14" i="2" s="1"/>
  <c r="AH2488" i="2"/>
  <c r="AC2488" i="2"/>
  <c r="AM2488" i="2"/>
  <c r="W2488" i="2"/>
  <c r="AM2468" i="2"/>
  <c r="W2468" i="2"/>
  <c r="AH2468" i="2"/>
  <c r="AC2468" i="2"/>
  <c r="AM2434" i="2"/>
  <c r="W2434" i="2"/>
  <c r="AH2434" i="2"/>
  <c r="AC2434" i="2"/>
  <c r="AR2425" i="2"/>
  <c r="AW2425" i="2" s="1"/>
  <c r="BF2425" i="2" s="1"/>
  <c r="AH2388" i="2"/>
  <c r="AC2388" i="2"/>
  <c r="AM2388" i="2"/>
  <c r="W2388" i="2"/>
  <c r="AH2380" i="2"/>
  <c r="AC2380" i="2"/>
  <c r="AM2380" i="2"/>
  <c r="W2380" i="2"/>
  <c r="AH2372" i="2"/>
  <c r="AC2372" i="2"/>
  <c r="AM2372" i="2"/>
  <c r="W2372" i="2"/>
  <c r="AH2364" i="2"/>
  <c r="AC2364" i="2"/>
  <c r="AM2364" i="2"/>
  <c r="W2364" i="2"/>
  <c r="AH2356" i="2"/>
  <c r="AC2356" i="2"/>
  <c r="AM2356" i="2"/>
  <c r="W2356" i="2"/>
  <c r="AH2348" i="2"/>
  <c r="AC2348" i="2"/>
  <c r="AM2348" i="2"/>
  <c r="W2348" i="2"/>
  <c r="AH2340" i="2"/>
  <c r="AC2340" i="2"/>
  <c r="AM2340" i="2"/>
  <c r="W2340" i="2"/>
  <c r="AH2332" i="2"/>
  <c r="AC2332" i="2"/>
  <c r="AM2332" i="2"/>
  <c r="W2332" i="2"/>
  <c r="AH2324" i="2"/>
  <c r="AC2324" i="2"/>
  <c r="AM2324" i="2"/>
  <c r="W2324" i="2"/>
  <c r="AH2316" i="2"/>
  <c r="AC2316" i="2"/>
  <c r="AM2316" i="2"/>
  <c r="W2316" i="2"/>
  <c r="AR2160" i="2"/>
  <c r="AW2160" i="2" s="1"/>
  <c r="BF2160" i="2" s="1"/>
  <c r="AR2181" i="2"/>
  <c r="AW2181" i="2" s="1"/>
  <c r="BF2181" i="2" s="1"/>
  <c r="AH2079" i="2"/>
  <c r="AC2079" i="2"/>
  <c r="AM2079" i="2"/>
  <c r="W2079" i="2"/>
  <c r="AC2043" i="2"/>
  <c r="AH2043" i="2"/>
  <c r="AM2043" i="2"/>
  <c r="W2043" i="2"/>
  <c r="AH1947" i="2"/>
  <c r="AC1947" i="2"/>
  <c r="AM1947" i="2"/>
  <c r="W1947" i="2"/>
  <c r="AH1939" i="2"/>
  <c r="AC1939" i="2"/>
  <c r="AM1939" i="2"/>
  <c r="W1939" i="2"/>
  <c r="AH1931" i="2"/>
  <c r="AC1931" i="2"/>
  <c r="AM1931" i="2"/>
  <c r="W1931" i="2"/>
  <c r="AH1923" i="2"/>
  <c r="AC1923" i="2"/>
  <c r="AM1923" i="2"/>
  <c r="W1923" i="2"/>
  <c r="AH1915" i="2"/>
  <c r="AC1915" i="2"/>
  <c r="AM1915" i="2"/>
  <c r="W1915" i="2"/>
  <c r="AH1907" i="2"/>
  <c r="AC1907" i="2"/>
  <c r="AM1907" i="2"/>
  <c r="W1907" i="2"/>
  <c r="AH1899" i="2"/>
  <c r="AC1899" i="2"/>
  <c r="AM1899" i="2"/>
  <c r="W1899" i="2"/>
  <c r="AH1891" i="2"/>
  <c r="AC1891" i="2"/>
  <c r="AM1891" i="2"/>
  <c r="W1891" i="2"/>
  <c r="AH1883" i="2"/>
  <c r="AC1883" i="2"/>
  <c r="AM1883" i="2"/>
  <c r="W1883" i="2"/>
  <c r="AH1875" i="2"/>
  <c r="AC1875" i="2"/>
  <c r="AM1875" i="2"/>
  <c r="W1875" i="2"/>
  <c r="AH1867" i="2"/>
  <c r="AC1867" i="2"/>
  <c r="AM1867" i="2"/>
  <c r="W1867" i="2"/>
  <c r="AR1847" i="2"/>
  <c r="AW1847" i="2" s="1"/>
  <c r="BF1847" i="2" s="1"/>
  <c r="AH1634" i="2"/>
  <c r="AC1634" i="2"/>
  <c r="AM1634" i="2"/>
  <c r="W1634" i="2"/>
  <c r="AM1609" i="2"/>
  <c r="W1609" i="2"/>
  <c r="AH1609" i="2"/>
  <c r="AC1609" i="2"/>
  <c r="AR1555" i="2"/>
  <c r="AW1555" i="2" s="1"/>
  <c r="BF1555" i="2" s="1"/>
  <c r="AH1411" i="2"/>
  <c r="AC1411" i="2"/>
  <c r="AM1411" i="2"/>
  <c r="W1411" i="2"/>
  <c r="AH1395" i="2"/>
  <c r="AC1395" i="2"/>
  <c r="AM1395" i="2"/>
  <c r="W1395" i="2"/>
  <c r="AR1538" i="2"/>
  <c r="AW1538" i="2" s="1"/>
  <c r="BF1538" i="2" s="1"/>
  <c r="AR1592" i="2"/>
  <c r="AW1592" i="2" s="1"/>
  <c r="BF1592" i="2" s="1"/>
  <c r="AR1584" i="2"/>
  <c r="AW1584" i="2" s="1"/>
  <c r="BF1584" i="2" s="1"/>
  <c r="AH1342" i="2"/>
  <c r="AC1342" i="2"/>
  <c r="AM1342" i="2"/>
  <c r="W1342" i="2"/>
  <c r="AM1363" i="2"/>
  <c r="W1363" i="2"/>
  <c r="AH1363" i="2"/>
  <c r="AC1363" i="2"/>
  <c r="AM1299" i="2"/>
  <c r="W1299" i="2"/>
  <c r="AH1299" i="2"/>
  <c r="AC1299" i="2"/>
  <c r="AM1235" i="2"/>
  <c r="W1235" i="2"/>
  <c r="AH1235" i="2"/>
  <c r="AC1235" i="2"/>
  <c r="AM1127" i="2"/>
  <c r="W1127" i="2"/>
  <c r="AC1127" i="2"/>
  <c r="AH1127" i="2"/>
  <c r="AM1063" i="2"/>
  <c r="W1063" i="2"/>
  <c r="AC1063" i="2"/>
  <c r="AH1063" i="2"/>
  <c r="AR1376" i="2"/>
  <c r="AW1376" i="2" s="1"/>
  <c r="BF1376" i="2" s="1"/>
  <c r="AM1357" i="2"/>
  <c r="W1357" i="2"/>
  <c r="AH1357" i="2"/>
  <c r="AC1357" i="2"/>
  <c r="AM1293" i="2"/>
  <c r="W1293" i="2"/>
  <c r="AH1293" i="2"/>
  <c r="AC1293" i="2"/>
  <c r="AM1229" i="2"/>
  <c r="W1229" i="2"/>
  <c r="AH1229" i="2"/>
  <c r="AC1229" i="2"/>
  <c r="AM848" i="2"/>
  <c r="W848" i="2"/>
  <c r="AC848" i="2"/>
  <c r="AH848" i="2"/>
  <c r="AM784" i="2"/>
  <c r="W784" i="2"/>
  <c r="AC784" i="2"/>
  <c r="AH784" i="2"/>
  <c r="AR877" i="2"/>
  <c r="AW877" i="2" s="1"/>
  <c r="BF877" i="2" s="1"/>
  <c r="AR845" i="2"/>
  <c r="AW845" i="2" s="1"/>
  <c r="BF845" i="2" s="1"/>
  <c r="AR813" i="2"/>
  <c r="AW813" i="2" s="1"/>
  <c r="BF813" i="2" s="1"/>
  <c r="AR781" i="2"/>
  <c r="AW781" i="2" s="1"/>
  <c r="BF781" i="2" s="1"/>
  <c r="AR749" i="2"/>
  <c r="AW749" i="2" s="1"/>
  <c r="BF749" i="2" s="1"/>
  <c r="AR486" i="2"/>
  <c r="AW486" i="2" s="1"/>
  <c r="BF486" i="2" s="1"/>
  <c r="AH470" i="2"/>
  <c r="AC470" i="2"/>
  <c r="AM470" i="2"/>
  <c r="W470" i="2"/>
  <c r="AR454" i="2"/>
  <c r="AW454" i="2" s="1"/>
  <c r="BF454" i="2" s="1"/>
  <c r="AH438" i="2"/>
  <c r="AC438" i="2"/>
  <c r="AM438" i="2"/>
  <c r="W438" i="2"/>
  <c r="AR422" i="2"/>
  <c r="AW422" i="2" s="1"/>
  <c r="BF422" i="2" s="1"/>
  <c r="AD348" i="2"/>
  <c r="AN348" i="2"/>
  <c r="AI348" i="2"/>
  <c r="X348" i="2"/>
  <c r="AH246" i="2"/>
  <c r="AC246" i="2"/>
  <c r="AM246" i="2"/>
  <c r="W246" i="2"/>
  <c r="AH511" i="2"/>
  <c r="AC511" i="2"/>
  <c r="AM511" i="2"/>
  <c r="W511" i="2"/>
  <c r="AR505" i="2"/>
  <c r="AW505" i="2" s="1"/>
  <c r="BF505" i="2" s="1"/>
  <c r="AR501" i="2"/>
  <c r="AW501" i="2" s="1"/>
  <c r="BF501" i="2" s="1"/>
  <c r="AR497" i="2"/>
  <c r="AW497" i="2" s="1"/>
  <c r="BF497" i="2" s="1"/>
  <c r="AM395" i="2"/>
  <c r="AH395" i="2"/>
  <c r="AC395" i="2"/>
  <c r="W395" i="2"/>
  <c r="AR83" i="2"/>
  <c r="AW83" i="2" s="1"/>
  <c r="BF83" i="2" s="1"/>
  <c r="AR9" i="2"/>
  <c r="AW9" i="2" s="1"/>
  <c r="BF9" i="2" s="1"/>
  <c r="AD264" i="2"/>
  <c r="AN264" i="2"/>
  <c r="AI264" i="2"/>
  <c r="X264" i="2"/>
  <c r="AS232" i="2"/>
  <c r="AH138" i="2"/>
  <c r="AM138" i="2"/>
  <c r="W138" i="2"/>
  <c r="AC138" i="2"/>
  <c r="AC2455" i="2"/>
  <c r="AM2455" i="2"/>
  <c r="W2455" i="2"/>
  <c r="AH2455" i="2"/>
  <c r="AR2465" i="2"/>
  <c r="AW2465" i="2" s="1"/>
  <c r="BF2465" i="2" s="1"/>
  <c r="AR2449" i="2"/>
  <c r="AW2449" i="2" s="1"/>
  <c r="BF2449" i="2" s="1"/>
  <c r="AR2433" i="2"/>
  <c r="AW2433" i="2" s="1"/>
  <c r="BF2433" i="2" s="1"/>
  <c r="AH2477" i="2"/>
  <c r="AM2477" i="2"/>
  <c r="W2477" i="2"/>
  <c r="AC2477" i="2"/>
  <c r="AH2475" i="2"/>
  <c r="AM2475" i="2"/>
  <c r="W2475" i="2"/>
  <c r="AC2475" i="2"/>
  <c r="AR2436" i="2"/>
  <c r="AW2436" i="2" s="1"/>
  <c r="BF2436" i="2" s="1"/>
  <c r="AR2421" i="2"/>
  <c r="AW2421" i="2" s="1"/>
  <c r="BF2421" i="2" s="1"/>
  <c r="AM2398" i="2"/>
  <c r="W2398" i="2"/>
  <c r="AC2398" i="2"/>
  <c r="AH2398" i="2"/>
  <c r="AR2144" i="2"/>
  <c r="AW2144" i="2" s="1"/>
  <c r="BF2144" i="2" s="1"/>
  <c r="AR2178" i="2"/>
  <c r="AW2178" i="2" s="1"/>
  <c r="BF2178" i="2" s="1"/>
  <c r="AR2179" i="2"/>
  <c r="AW2179" i="2" s="1"/>
  <c r="BF2179" i="2" s="1"/>
  <c r="AR2149" i="2"/>
  <c r="AW2149" i="2" s="1"/>
  <c r="BF2149" i="2" s="1"/>
  <c r="AR2075" i="2"/>
  <c r="AW2075" i="2" s="1"/>
  <c r="BF2075" i="2" s="1"/>
  <c r="AH2011" i="2"/>
  <c r="AC2011" i="2"/>
  <c r="AM2011" i="2"/>
  <c r="W2011" i="2"/>
  <c r="AH1995" i="2"/>
  <c r="AC1995" i="2"/>
  <c r="AM1995" i="2"/>
  <c r="W1995" i="2"/>
  <c r="AH1979" i="2"/>
  <c r="AC1979" i="2"/>
  <c r="AM1979" i="2"/>
  <c r="W1979" i="2"/>
  <c r="AH1963" i="2"/>
  <c r="AC1963" i="2"/>
  <c r="AM1963" i="2"/>
  <c r="W1963" i="2"/>
  <c r="AH2009" i="2"/>
  <c r="AC2009" i="2"/>
  <c r="AM2009" i="2"/>
  <c r="W2009" i="2"/>
  <c r="AH1993" i="2"/>
  <c r="AC1993" i="2"/>
  <c r="AM1993" i="2"/>
  <c r="W1993" i="2"/>
  <c r="AH1977" i="2"/>
  <c r="AC1977" i="2"/>
  <c r="AM1977" i="2"/>
  <c r="W1977" i="2"/>
  <c r="AH1961" i="2"/>
  <c r="AC1961" i="2"/>
  <c r="AM1961" i="2"/>
  <c r="W1961" i="2"/>
  <c r="AH1945" i="2"/>
  <c r="AC1945" i="2"/>
  <c r="AM1945" i="2"/>
  <c r="W1945" i="2"/>
  <c r="AH1929" i="2"/>
  <c r="AC1929" i="2"/>
  <c r="AM1929" i="2"/>
  <c r="W1929" i="2"/>
  <c r="AH1913" i="2"/>
  <c r="AC1913" i="2"/>
  <c r="AM1913" i="2"/>
  <c r="W1913" i="2"/>
  <c r="AH1897" i="2"/>
  <c r="AC1897" i="2"/>
  <c r="AM1897" i="2"/>
  <c r="W1897" i="2"/>
  <c r="AH1881" i="2"/>
  <c r="AC1881" i="2"/>
  <c r="AM1881" i="2"/>
  <c r="W1881" i="2"/>
  <c r="AH1865" i="2"/>
  <c r="AC1865" i="2"/>
  <c r="AM1865" i="2"/>
  <c r="W1865" i="2"/>
  <c r="AH1745" i="2"/>
  <c r="AM1745" i="2"/>
  <c r="W1745" i="2"/>
  <c r="AC1745" i="2"/>
  <c r="AH1729" i="2"/>
  <c r="AM1729" i="2"/>
  <c r="W1729" i="2"/>
  <c r="AC1729" i="2"/>
  <c r="AH1713" i="2"/>
  <c r="AM1713" i="2"/>
  <c r="W1713" i="2"/>
  <c r="AC1713" i="2"/>
  <c r="AH1697" i="2"/>
  <c r="AM1697" i="2"/>
  <c r="W1697" i="2"/>
  <c r="AC1697" i="2"/>
  <c r="AH1681" i="2"/>
  <c r="AM1681" i="2"/>
  <c r="W1681" i="2"/>
  <c r="AC1681" i="2"/>
  <c r="AN1843" i="2"/>
  <c r="AI1843" i="2"/>
  <c r="AD1843" i="2"/>
  <c r="X1843" i="2"/>
  <c r="AN1803" i="2"/>
  <c r="AI1803" i="2"/>
  <c r="AD1803" i="2"/>
  <c r="X1803" i="2"/>
  <c r="AR1662" i="2"/>
  <c r="AW1662" i="2" s="1"/>
  <c r="BF1662" i="2" s="1"/>
  <c r="AH1598" i="2"/>
  <c r="AC1598" i="2"/>
  <c r="AM1598" i="2"/>
  <c r="W1598" i="2"/>
  <c r="AR1636" i="2"/>
  <c r="AW1636" i="2" s="1"/>
  <c r="BF1636" i="2" s="1"/>
  <c r="AR1553" i="2"/>
  <c r="AW1553" i="2" s="1"/>
  <c r="BF1553" i="2" s="1"/>
  <c r="AR1459" i="2"/>
  <c r="AW1459" i="2" s="1"/>
  <c r="BF1459" i="2" s="1"/>
  <c r="AH1362" i="2"/>
  <c r="AC1362" i="2"/>
  <c r="AM1362" i="2"/>
  <c r="W1362" i="2"/>
  <c r="AH1298" i="2"/>
  <c r="AC1298" i="2"/>
  <c r="AM1298" i="2"/>
  <c r="W1298" i="2"/>
  <c r="AH1234" i="2"/>
  <c r="AC1234" i="2"/>
  <c r="AM1234" i="2"/>
  <c r="W1234" i="2"/>
  <c r="AH1364" i="2"/>
  <c r="AC1364" i="2"/>
  <c r="AM1364" i="2"/>
  <c r="W1364" i="2"/>
  <c r="AH1300" i="2"/>
  <c r="AC1300" i="2"/>
  <c r="AM1300" i="2"/>
  <c r="W1300" i="2"/>
  <c r="AH1236" i="2"/>
  <c r="AC1236" i="2"/>
  <c r="AM1236" i="2"/>
  <c r="W1236" i="2"/>
  <c r="AM1175" i="2"/>
  <c r="W1175" i="2"/>
  <c r="AH1175" i="2"/>
  <c r="AC1175" i="2"/>
  <c r="AM1173" i="2"/>
  <c r="W1173" i="2"/>
  <c r="AH1173" i="2"/>
  <c r="AC1173" i="2"/>
  <c r="AM1171" i="2"/>
  <c r="W1171" i="2"/>
  <c r="AH1171" i="2"/>
  <c r="AC1171" i="2"/>
  <c r="AM1169" i="2"/>
  <c r="W1169" i="2"/>
  <c r="AH1169" i="2"/>
  <c r="AC1169" i="2"/>
  <c r="AM1167" i="2"/>
  <c r="W1167" i="2"/>
  <c r="AH1167" i="2"/>
  <c r="AC1167" i="2"/>
  <c r="AM1165" i="2"/>
  <c r="W1165" i="2"/>
  <c r="AH1165" i="2"/>
  <c r="AC1165" i="2"/>
  <c r="AM1163" i="2"/>
  <c r="W1163" i="2"/>
  <c r="AH1163" i="2"/>
  <c r="AC1163" i="2"/>
  <c r="AM1161" i="2"/>
  <c r="W1161" i="2"/>
  <c r="AH1161" i="2"/>
  <c r="AC1161" i="2"/>
  <c r="AM1159" i="2"/>
  <c r="W1159" i="2"/>
  <c r="AH1159" i="2"/>
  <c r="AC1159" i="2"/>
  <c r="AM1157" i="2"/>
  <c r="W1157" i="2"/>
  <c r="AH1157" i="2"/>
  <c r="AC1157" i="2"/>
  <c r="AM1155" i="2"/>
  <c r="W1155" i="2"/>
  <c r="AH1155" i="2"/>
  <c r="AC1155" i="2"/>
  <c r="AM1153" i="2"/>
  <c r="W1153" i="2"/>
  <c r="AH1153" i="2"/>
  <c r="AC1153" i="2"/>
  <c r="AR873" i="2"/>
  <c r="AW873" i="2" s="1"/>
  <c r="BF873" i="2" s="1"/>
  <c r="AR809" i="2"/>
  <c r="AW809" i="2" s="1"/>
  <c r="BF809" i="2" s="1"/>
  <c r="AR745" i="2"/>
  <c r="AW745" i="2" s="1"/>
  <c r="BF745" i="2" s="1"/>
  <c r="AR695" i="2"/>
  <c r="AW695" i="2" s="1"/>
  <c r="BF695" i="2" s="1"/>
  <c r="AM663" i="2"/>
  <c r="W663" i="2"/>
  <c r="AH663" i="2"/>
  <c r="AC663" i="2"/>
  <c r="AR631" i="2"/>
  <c r="AW631" i="2" s="1"/>
  <c r="BF631" i="2" s="1"/>
  <c r="AH553" i="2"/>
  <c r="AC553" i="2"/>
  <c r="AM553" i="2"/>
  <c r="W553" i="2"/>
  <c r="AD404" i="2"/>
  <c r="AH342" i="2"/>
  <c r="AC342" i="2"/>
  <c r="AM342" i="2"/>
  <c r="W342" i="2"/>
  <c r="AR222" i="2"/>
  <c r="AW222" i="2" s="1"/>
  <c r="BF222" i="2" s="1"/>
  <c r="AM269" i="2"/>
  <c r="AH269" i="2"/>
  <c r="AC269" i="2"/>
  <c r="W269" i="2"/>
  <c r="AM401" i="2"/>
  <c r="AH401" i="2"/>
  <c r="AC401" i="2"/>
  <c r="W401" i="2"/>
  <c r="AM393" i="2"/>
  <c r="AH393" i="2"/>
  <c r="AC393" i="2"/>
  <c r="W393" i="2"/>
  <c r="AM385" i="2"/>
  <c r="AH385" i="2"/>
  <c r="AC385" i="2"/>
  <c r="W385" i="2"/>
  <c r="AM377" i="2"/>
  <c r="AH377" i="2"/>
  <c r="AC377" i="2"/>
  <c r="W377" i="2"/>
  <c r="AM369" i="2"/>
  <c r="AH369" i="2"/>
  <c r="AC369" i="2"/>
  <c r="W369" i="2"/>
  <c r="AM361" i="2"/>
  <c r="AH361" i="2"/>
  <c r="AC361" i="2"/>
  <c r="W361" i="2"/>
  <c r="AM353" i="2"/>
  <c r="AH353" i="2"/>
  <c r="AC353" i="2"/>
  <c r="W353" i="2"/>
  <c r="AM345" i="2"/>
  <c r="AH345" i="2"/>
  <c r="AC345" i="2"/>
  <c r="W345" i="2"/>
  <c r="AM337" i="2"/>
  <c r="AH337" i="2"/>
  <c r="AC337" i="2"/>
  <c r="W337" i="2"/>
  <c r="AM329" i="2"/>
  <c r="AH329" i="2"/>
  <c r="AC329" i="2"/>
  <c r="W329" i="2"/>
  <c r="AR482" i="2"/>
  <c r="AW482" i="2" s="1"/>
  <c r="BF482" i="2" s="1"/>
  <c r="AM433" i="2"/>
  <c r="AH433" i="2"/>
  <c r="AC433" i="2"/>
  <c r="W433" i="2"/>
  <c r="AR487" i="2"/>
  <c r="AW487" i="2" s="1"/>
  <c r="BF487" i="2" s="1"/>
  <c r="AH474" i="2"/>
  <c r="AM474" i="2"/>
  <c r="W474" i="2"/>
  <c r="AC474" i="2"/>
  <c r="AD112" i="2"/>
  <c r="AN112" i="2"/>
  <c r="AI112" i="2"/>
  <c r="X112" i="2"/>
  <c r="AS20" i="2"/>
  <c r="AX20" i="2" s="1"/>
  <c r="BG20" i="2" s="1"/>
  <c r="AR2253" i="2"/>
  <c r="AW2253" i="2" s="1"/>
  <c r="BF2253" i="2" s="1"/>
  <c r="AR2245" i="2"/>
  <c r="AW2245" i="2" s="1"/>
  <c r="BF2245" i="2" s="1"/>
  <c r="AR2237" i="2"/>
  <c r="AW2237" i="2" s="1"/>
  <c r="BF2237" i="2" s="1"/>
  <c r="AR2213" i="2"/>
  <c r="AW2213" i="2" s="1"/>
  <c r="BF2213" i="2" s="1"/>
  <c r="AR2042" i="2"/>
  <c r="AW2042" i="2" s="1"/>
  <c r="BF2042" i="2" s="1"/>
  <c r="AM1836" i="2"/>
  <c r="W1836" i="2"/>
  <c r="AH1836" i="2"/>
  <c r="AC1836" i="2"/>
  <c r="AR1801" i="2"/>
  <c r="AW1801" i="2" s="1"/>
  <c r="BF1801" i="2" s="1"/>
  <c r="AR1785" i="2"/>
  <c r="AW1785" i="2" s="1"/>
  <c r="BF1785" i="2" s="1"/>
  <c r="AR1769" i="2"/>
  <c r="AW1769" i="2" s="1"/>
  <c r="BF1769" i="2" s="1"/>
  <c r="AR1686" i="2"/>
  <c r="AW1686" i="2" s="1"/>
  <c r="BF1686" i="2" s="1"/>
  <c r="AH1642" i="2"/>
  <c r="AC1642" i="2"/>
  <c r="AM1642" i="2"/>
  <c r="W1642" i="2"/>
  <c r="AH1648" i="2"/>
  <c r="AC1648" i="2"/>
  <c r="AM1648" i="2"/>
  <c r="W1648" i="2"/>
  <c r="AH1527" i="2"/>
  <c r="AC1527" i="2"/>
  <c r="AM1527" i="2"/>
  <c r="W1527" i="2"/>
  <c r="AR1318" i="2"/>
  <c r="AW1318" i="2" s="1"/>
  <c r="BF1318" i="2" s="1"/>
  <c r="AR1254" i="2"/>
  <c r="AW1254" i="2" s="1"/>
  <c r="BF1254" i="2" s="1"/>
  <c r="AR1190" i="2"/>
  <c r="AW1190" i="2" s="1"/>
  <c r="BF1190" i="2" s="1"/>
  <c r="AR1336" i="2"/>
  <c r="AW1336" i="2" s="1"/>
  <c r="BF1336" i="2" s="1"/>
  <c r="AR1272" i="2"/>
  <c r="AW1272" i="2" s="1"/>
  <c r="BF1272" i="2" s="1"/>
  <c r="AR1208" i="2"/>
  <c r="AW1208" i="2" s="1"/>
  <c r="BF1208" i="2" s="1"/>
  <c r="AD396" i="2"/>
  <c r="AN396" i="2"/>
  <c r="AI396" i="2"/>
  <c r="X396" i="2"/>
  <c r="AH334" i="2"/>
  <c r="AC334" i="2"/>
  <c r="AM334" i="2"/>
  <c r="W334" i="2"/>
  <c r="AH230" i="2"/>
  <c r="AC230" i="2"/>
  <c r="AM230" i="2"/>
  <c r="W230" i="2"/>
  <c r="AR879" i="2"/>
  <c r="AW879" i="2" s="1"/>
  <c r="BF879" i="2" s="1"/>
  <c r="AR863" i="2"/>
  <c r="AW863" i="2" s="1"/>
  <c r="BF863" i="2" s="1"/>
  <c r="AR847" i="2"/>
  <c r="AW847" i="2" s="1"/>
  <c r="BF847" i="2" s="1"/>
  <c r="AR831" i="2"/>
  <c r="AW831" i="2" s="1"/>
  <c r="BF831" i="2" s="1"/>
  <c r="AR815" i="2"/>
  <c r="AW815" i="2" s="1"/>
  <c r="BF815" i="2" s="1"/>
  <c r="AR799" i="2"/>
  <c r="AW799" i="2" s="1"/>
  <c r="BF799" i="2" s="1"/>
  <c r="AR783" i="2"/>
  <c r="AW783" i="2" s="1"/>
  <c r="BF783" i="2" s="1"/>
  <c r="AR767" i="2"/>
  <c r="AW767" i="2" s="1"/>
  <c r="BF767" i="2" s="1"/>
  <c r="AR751" i="2"/>
  <c r="AW751" i="2" s="1"/>
  <c r="BF751" i="2" s="1"/>
  <c r="AR735" i="2"/>
  <c r="AW735" i="2" s="1"/>
  <c r="BF735" i="2" s="1"/>
  <c r="AC503" i="2"/>
  <c r="AM503" i="2"/>
  <c r="W503" i="2"/>
  <c r="AH503" i="2"/>
  <c r="AC499" i="2"/>
  <c r="AM499" i="2"/>
  <c r="W499" i="2"/>
  <c r="AH499" i="2"/>
  <c r="AC495" i="2"/>
  <c r="AM495" i="2"/>
  <c r="W495" i="2"/>
  <c r="AH495" i="2"/>
  <c r="AR541" i="2"/>
  <c r="AW541" i="2" s="1"/>
  <c r="BF541" i="2" s="1"/>
  <c r="AH480" i="2"/>
  <c r="AC480" i="2"/>
  <c r="AM480" i="2"/>
  <c r="W480" i="2"/>
  <c r="AH450" i="2"/>
  <c r="AM450" i="2"/>
  <c r="W450" i="2"/>
  <c r="AC450" i="2"/>
  <c r="AR282" i="2"/>
  <c r="AW282" i="2" s="1"/>
  <c r="BF282" i="2" s="1"/>
  <c r="AH183" i="2"/>
  <c r="W183" i="2"/>
  <c r="AM183" i="2"/>
  <c r="AC183" i="2"/>
  <c r="AH119" i="2"/>
  <c r="W119" i="2"/>
  <c r="AM119" i="2"/>
  <c r="AC119" i="2"/>
  <c r="AR106" i="2"/>
  <c r="AW106" i="2" s="1"/>
  <c r="BF106" i="2" s="1"/>
  <c r="AH2479" i="2"/>
  <c r="AM2479" i="2"/>
  <c r="W2479" i="2"/>
  <c r="AC2479" i="2"/>
  <c r="AM2188" i="2"/>
  <c r="W2188" i="2"/>
  <c r="AH2188" i="2"/>
  <c r="AC2188" i="2"/>
  <c r="AC2193" i="2"/>
  <c r="AM2193" i="2"/>
  <c r="W2193" i="2"/>
  <c r="AH2193" i="2"/>
  <c r="AR2170" i="2"/>
  <c r="AW2170" i="2" s="1"/>
  <c r="BF2170" i="2" s="1"/>
  <c r="AR2171" i="2"/>
  <c r="AW2171" i="2" s="1"/>
  <c r="BF2171" i="2" s="1"/>
  <c r="AR2152" i="2"/>
  <c r="AW2152" i="2" s="1"/>
  <c r="BF2152" i="2" s="1"/>
  <c r="AM2143" i="2"/>
  <c r="W2143" i="2"/>
  <c r="AH2143" i="2"/>
  <c r="AC2143" i="2"/>
  <c r="AR2051" i="2"/>
  <c r="AW2051" i="2" s="1"/>
  <c r="BF2051" i="2" s="1"/>
  <c r="AR2109" i="2"/>
  <c r="AW2109" i="2" s="1"/>
  <c r="BF2109" i="2" s="1"/>
  <c r="AR2093" i="2"/>
  <c r="AW2093" i="2" s="1"/>
  <c r="BF2093" i="2" s="1"/>
  <c r="AR2077" i="2"/>
  <c r="AW2077" i="2" s="1"/>
  <c r="BF2077" i="2" s="1"/>
  <c r="AR2061" i="2"/>
  <c r="AW2061" i="2" s="1"/>
  <c r="BF2061" i="2" s="1"/>
  <c r="AC2021" i="2"/>
  <c r="AH2021" i="2"/>
  <c r="AM2021" i="2"/>
  <c r="W2021" i="2"/>
  <c r="AC2041" i="2"/>
  <c r="AH2041" i="2"/>
  <c r="AM2041" i="2"/>
  <c r="W2041" i="2"/>
  <c r="AC2039" i="2"/>
  <c r="AM2039" i="2"/>
  <c r="W2039" i="2"/>
  <c r="AH2039" i="2"/>
  <c r="AC2037" i="2"/>
  <c r="AM2037" i="2"/>
  <c r="W2037" i="2"/>
  <c r="AH2037" i="2"/>
  <c r="AC2035" i="2"/>
  <c r="AM2035" i="2"/>
  <c r="W2035" i="2"/>
  <c r="AH2035" i="2"/>
  <c r="AC2033" i="2"/>
  <c r="AM2033" i="2"/>
  <c r="W2033" i="2"/>
  <c r="AH2033" i="2"/>
  <c r="AC2031" i="2"/>
  <c r="AM2031" i="2"/>
  <c r="W2031" i="2"/>
  <c r="AH2031" i="2"/>
  <c r="AC2029" i="2"/>
  <c r="AM2029" i="2"/>
  <c r="W2029" i="2"/>
  <c r="AH2029" i="2"/>
  <c r="AC2027" i="2"/>
  <c r="AM2027" i="2"/>
  <c r="W2027" i="2"/>
  <c r="AH2027" i="2"/>
  <c r="AC2025" i="2"/>
  <c r="AM2025" i="2"/>
  <c r="W2025" i="2"/>
  <c r="AH2025" i="2"/>
  <c r="AC2023" i="2"/>
  <c r="AM2023" i="2"/>
  <c r="W2023" i="2"/>
  <c r="AH2023" i="2"/>
  <c r="AH1849" i="2"/>
  <c r="AC1849" i="2"/>
  <c r="AM1849" i="2"/>
  <c r="W1849" i="2"/>
  <c r="AR1813" i="2"/>
  <c r="AW1813" i="2" s="1"/>
  <c r="BF1813" i="2" s="1"/>
  <c r="AR1738" i="2"/>
  <c r="AW1738" i="2" s="1"/>
  <c r="BF1738" i="2" s="1"/>
  <c r="AH1622" i="2"/>
  <c r="AC1622" i="2"/>
  <c r="AM1622" i="2"/>
  <c r="W1622" i="2"/>
  <c r="AH1542" i="2"/>
  <c r="AM1542" i="2"/>
  <c r="W1542" i="2"/>
  <c r="AC1542" i="2"/>
  <c r="AR1612" i="2"/>
  <c r="AW1612" i="2" s="1"/>
  <c r="BF1612" i="2" s="1"/>
  <c r="AH1578" i="2"/>
  <c r="AM1578" i="2"/>
  <c r="W1578" i="2"/>
  <c r="AC1578" i="2"/>
  <c r="AH1574" i="2"/>
  <c r="AM1574" i="2"/>
  <c r="W1574" i="2"/>
  <c r="AC1574" i="2"/>
  <c r="AH1570" i="2"/>
  <c r="AM1570" i="2"/>
  <c r="W1570" i="2"/>
  <c r="AC1570" i="2"/>
  <c r="AH1566" i="2"/>
  <c r="AM1566" i="2"/>
  <c r="W1566" i="2"/>
  <c r="AC1566" i="2"/>
  <c r="AH1562" i="2"/>
  <c r="AM1562" i="2"/>
  <c r="W1562" i="2"/>
  <c r="AC1562" i="2"/>
  <c r="AH1558" i="2"/>
  <c r="AM1558" i="2"/>
  <c r="W1558" i="2"/>
  <c r="AC1558" i="2"/>
  <c r="AH1554" i="2"/>
  <c r="AM1554" i="2"/>
  <c r="W1554" i="2"/>
  <c r="AC1554" i="2"/>
  <c r="AH1550" i="2"/>
  <c r="AM1550" i="2"/>
  <c r="W1550" i="2"/>
  <c r="AC1550" i="2"/>
  <c r="AH1546" i="2"/>
  <c r="AM1546" i="2"/>
  <c r="W1546" i="2"/>
  <c r="AC1546" i="2"/>
  <c r="AH1393" i="2"/>
  <c r="AC1393" i="2"/>
  <c r="AM1393" i="2"/>
  <c r="W1393" i="2"/>
  <c r="AR1322" i="2"/>
  <c r="AW1322" i="2" s="1"/>
  <c r="BF1322" i="2" s="1"/>
  <c r="AR1258" i="2"/>
  <c r="AW1258" i="2" s="1"/>
  <c r="BF1258" i="2" s="1"/>
  <c r="AR1194" i="2"/>
  <c r="AW1194" i="2" s="1"/>
  <c r="BF1194" i="2" s="1"/>
  <c r="AR1083" i="2"/>
  <c r="AW1083" i="2" s="1"/>
  <c r="BF1083" i="2" s="1"/>
  <c r="AH1324" i="2"/>
  <c r="AC1324" i="2"/>
  <c r="AM1324" i="2"/>
  <c r="W1324" i="2"/>
  <c r="AH1260" i="2"/>
  <c r="AC1260" i="2"/>
  <c r="AM1260" i="2"/>
  <c r="W1260" i="2"/>
  <c r="AH1196" i="2"/>
  <c r="AC1196" i="2"/>
  <c r="AM1196" i="2"/>
  <c r="W1196" i="2"/>
  <c r="AR1081" i="2"/>
  <c r="AW1081" i="2" s="1"/>
  <c r="BF1081" i="2" s="1"/>
  <c r="AH519" i="2"/>
  <c r="AC519" i="2"/>
  <c r="AM519" i="2"/>
  <c r="W519" i="2"/>
  <c r="AM201" i="2"/>
  <c r="AH201" i="2"/>
  <c r="AC201" i="2"/>
  <c r="W201" i="2"/>
  <c r="AM169" i="2"/>
  <c r="AH169" i="2"/>
  <c r="AC169" i="2"/>
  <c r="W169" i="2"/>
  <c r="AM137" i="2"/>
  <c r="AH137" i="2"/>
  <c r="AC137" i="2"/>
  <c r="W137" i="2"/>
  <c r="AM105" i="2"/>
  <c r="AH105" i="2"/>
  <c r="AC105" i="2"/>
  <c r="W105" i="2"/>
  <c r="AH24" i="2"/>
  <c r="AC24" i="2"/>
  <c r="W24" i="2"/>
  <c r="AM24" i="2"/>
  <c r="AM423" i="2"/>
  <c r="AH423" i="2"/>
  <c r="AC423" i="2"/>
  <c r="W423" i="2"/>
  <c r="AR202" i="2"/>
  <c r="AW202" i="2" s="1"/>
  <c r="BF202" i="2" s="1"/>
  <c r="AR186" i="2"/>
  <c r="AW186" i="2" s="1"/>
  <c r="BF186" i="2" s="1"/>
  <c r="AM33" i="2"/>
  <c r="AH33" i="2"/>
  <c r="AC33" i="2"/>
  <c r="W33" i="2"/>
  <c r="AH28" i="2"/>
  <c r="AM28" i="2"/>
  <c r="AC28" i="2"/>
  <c r="W28" i="2"/>
  <c r="AS200" i="2"/>
  <c r="AX200" i="2" s="1"/>
  <c r="BG200" i="2" s="1"/>
  <c r="AS176" i="2"/>
  <c r="AX176" i="2" s="1"/>
  <c r="BG176" i="2" s="1"/>
  <c r="AH38" i="2"/>
  <c r="AM38" i="2"/>
  <c r="AC38" i="2"/>
  <c r="W38" i="2"/>
  <c r="AH43" i="2"/>
  <c r="AM43" i="2"/>
  <c r="W43" i="2"/>
  <c r="AC43" i="2"/>
  <c r="AM2448" i="2"/>
  <c r="W2448" i="2"/>
  <c r="AH2448" i="2"/>
  <c r="AC2448" i="2"/>
  <c r="AM2420" i="2"/>
  <c r="W2420" i="2"/>
  <c r="AH2420" i="2"/>
  <c r="AC2420" i="2"/>
  <c r="AR2450" i="2"/>
  <c r="AW2450" i="2" s="1"/>
  <c r="BF2450" i="2" s="1"/>
  <c r="AH2297" i="2"/>
  <c r="AM2297" i="2"/>
  <c r="W2297" i="2"/>
  <c r="AC2297" i="2"/>
  <c r="AH2273" i="2"/>
  <c r="AM2273" i="2"/>
  <c r="W2273" i="2"/>
  <c r="AC2273" i="2"/>
  <c r="AH2249" i="2"/>
  <c r="AM2249" i="2"/>
  <c r="W2249" i="2"/>
  <c r="AC2249" i="2"/>
  <c r="AH2225" i="2"/>
  <c r="AM2225" i="2"/>
  <c r="W2225" i="2"/>
  <c r="AC2225" i="2"/>
  <c r="AH2201" i="2"/>
  <c r="AM2201" i="2"/>
  <c r="W2201" i="2"/>
  <c r="AC2201" i="2"/>
  <c r="AH2251" i="2"/>
  <c r="AM2251" i="2"/>
  <c r="W2251" i="2"/>
  <c r="AC2251" i="2"/>
  <c r="AR2197" i="2"/>
  <c r="AW2197" i="2" s="1"/>
  <c r="BF2197" i="2" s="1"/>
  <c r="AR2072" i="2"/>
  <c r="AW2072" i="2" s="1"/>
  <c r="BF2072" i="2" s="1"/>
  <c r="AR1717" i="2"/>
  <c r="AW1717" i="2" s="1"/>
  <c r="BF1717" i="2" s="1"/>
  <c r="AR1669" i="2"/>
  <c r="AW1669" i="2" s="1"/>
  <c r="BF1669" i="2" s="1"/>
  <c r="AR1625" i="2"/>
  <c r="AW1625" i="2" s="1"/>
  <c r="BF1625" i="2" s="1"/>
  <c r="AH1431" i="2"/>
  <c r="AC1431" i="2"/>
  <c r="AM1431" i="2"/>
  <c r="W1431" i="2"/>
  <c r="AC1174" i="2"/>
  <c r="AM1174" i="2"/>
  <c r="W1174" i="2"/>
  <c r="AH1174" i="2"/>
  <c r="AC1158" i="2"/>
  <c r="AM1158" i="2"/>
  <c r="W1158" i="2"/>
  <c r="AH1158" i="2"/>
  <c r="AM1181" i="2"/>
  <c r="W1181" i="2"/>
  <c r="AH1181" i="2"/>
  <c r="AC1181" i="2"/>
  <c r="AR716" i="2"/>
  <c r="AW716" i="2" s="1"/>
  <c r="BF716" i="2" s="1"/>
  <c r="AR700" i="2"/>
  <c r="AW700" i="2" s="1"/>
  <c r="BF700" i="2" s="1"/>
  <c r="AR688" i="2"/>
  <c r="AW688" i="2" s="1"/>
  <c r="BF688" i="2" s="1"/>
  <c r="AR676" i="2"/>
  <c r="AW676" i="2" s="1"/>
  <c r="BF676" i="2" s="1"/>
  <c r="AR656" i="2"/>
  <c r="AW656" i="2" s="1"/>
  <c r="BF656" i="2" s="1"/>
  <c r="AR640" i="2"/>
  <c r="AW640" i="2" s="1"/>
  <c r="BF640" i="2" s="1"/>
  <c r="AR918" i="2"/>
  <c r="AW918" i="2" s="1"/>
  <c r="BF918" i="2" s="1"/>
  <c r="AR902" i="2"/>
  <c r="AW902" i="2" s="1"/>
  <c r="BF902" i="2" s="1"/>
  <c r="AM493" i="2"/>
  <c r="AH493" i="2"/>
  <c r="AC493" i="2"/>
  <c r="W493" i="2"/>
  <c r="AH531" i="2"/>
  <c r="AC531" i="2"/>
  <c r="AM531" i="2"/>
  <c r="W531" i="2"/>
  <c r="AH507" i="2"/>
  <c r="AC507" i="2"/>
  <c r="AM507" i="2"/>
  <c r="W507" i="2"/>
  <c r="AH100" i="2"/>
  <c r="AM100" i="2"/>
  <c r="AC100" i="2"/>
  <c r="W100" i="2"/>
  <c r="AH488" i="2"/>
  <c r="AC488" i="2"/>
  <c r="AM488" i="2"/>
  <c r="W488" i="2"/>
  <c r="AH392" i="2"/>
  <c r="AC392" i="2"/>
  <c r="AM392" i="2"/>
  <c r="W392" i="2"/>
  <c r="AD240" i="2"/>
  <c r="AN240" i="2"/>
  <c r="AI240" i="2"/>
  <c r="X240" i="2"/>
  <c r="AM498" i="2"/>
  <c r="W498" i="2"/>
  <c r="AH498" i="2"/>
  <c r="AC498" i="2"/>
  <c r="AM231" i="2"/>
  <c r="AH231" i="2"/>
  <c r="AC231" i="2"/>
  <c r="W231" i="2"/>
  <c r="W59" i="2"/>
  <c r="AC59" i="2"/>
  <c r="AH59" i="2"/>
  <c r="AM59" i="2"/>
  <c r="AR2422" i="2"/>
  <c r="AW2422" i="2" s="1"/>
  <c r="BF2422" i="2" s="1"/>
  <c r="AC2461" i="2"/>
  <c r="AM2461" i="2"/>
  <c r="W2461" i="2"/>
  <c r="AH2461" i="2"/>
  <c r="AH2091" i="2"/>
  <c r="AC2091" i="2"/>
  <c r="AM2091" i="2"/>
  <c r="W2091" i="2"/>
  <c r="AR2138" i="2"/>
  <c r="AW2138" i="2" s="1"/>
  <c r="BF2138" i="2" s="1"/>
  <c r="AR2130" i="2"/>
  <c r="AW2130" i="2" s="1"/>
  <c r="BF2130" i="2" s="1"/>
  <c r="AR2122" i="2"/>
  <c r="AW2122" i="2" s="1"/>
  <c r="BF2122" i="2" s="1"/>
  <c r="AS1819" i="2"/>
  <c r="AX1819" i="2" s="1"/>
  <c r="BG1819" i="2" s="1"/>
  <c r="AR1614" i="2"/>
  <c r="AW1614" i="2" s="1"/>
  <c r="BF1614" i="2" s="1"/>
  <c r="AR1487" i="2"/>
  <c r="AW1487" i="2" s="1"/>
  <c r="BF1487" i="2" s="1"/>
  <c r="AR1580" i="2"/>
  <c r="AW1580" i="2" s="1"/>
  <c r="BF1580" i="2" s="1"/>
  <c r="AR1319" i="2"/>
  <c r="AW1319" i="2" s="1"/>
  <c r="BF1319" i="2" s="1"/>
  <c r="AM1191" i="2"/>
  <c r="W1191" i="2"/>
  <c r="AH1191" i="2"/>
  <c r="AC1191" i="2"/>
  <c r="AM1091" i="2"/>
  <c r="W1091" i="2"/>
  <c r="AC1091" i="2"/>
  <c r="AH1091" i="2"/>
  <c r="AM1121" i="2"/>
  <c r="W1121" i="2"/>
  <c r="AC1121" i="2"/>
  <c r="AH1121" i="2"/>
  <c r="AR860" i="2"/>
  <c r="AW860" i="2" s="1"/>
  <c r="BF860" i="2" s="1"/>
  <c r="AR134" i="2"/>
  <c r="AW134" i="2" s="1"/>
  <c r="BF134" i="2" s="1"/>
  <c r="AH102" i="2"/>
  <c r="AM102" i="2"/>
  <c r="W102" i="2"/>
  <c r="AC102" i="2"/>
  <c r="AR479" i="2"/>
  <c r="AW479" i="2" s="1"/>
  <c r="BF479" i="2" s="1"/>
  <c r="AH226" i="2"/>
  <c r="AM226" i="2"/>
  <c r="W226" i="2"/>
  <c r="AC226" i="2"/>
  <c r="AR2295" i="2"/>
  <c r="AW2295" i="2" s="1"/>
  <c r="BF2295" i="2" s="1"/>
  <c r="AR1816" i="2"/>
  <c r="AW1816" i="2" s="1"/>
  <c r="BF1816" i="2" s="1"/>
  <c r="AH1439" i="2"/>
  <c r="AC1439" i="2"/>
  <c r="AM1439" i="2"/>
  <c r="W1439" i="2"/>
  <c r="AH1483" i="2"/>
  <c r="AC1483" i="2"/>
  <c r="AM1483" i="2"/>
  <c r="W1483" i="2"/>
  <c r="AM1355" i="2"/>
  <c r="W1355" i="2"/>
  <c r="AH1355" i="2"/>
  <c r="AC1355" i="2"/>
  <c r="AM1291" i="2"/>
  <c r="W1291" i="2"/>
  <c r="AH1291" i="2"/>
  <c r="AC1291" i="2"/>
  <c r="AM1227" i="2"/>
  <c r="W1227" i="2"/>
  <c r="AH1227" i="2"/>
  <c r="AC1227" i="2"/>
  <c r="AM1103" i="2"/>
  <c r="W1103" i="2"/>
  <c r="AC1103" i="2"/>
  <c r="AH1103" i="2"/>
  <c r="AR757" i="2"/>
  <c r="AW757" i="2" s="1"/>
  <c r="BF757" i="2" s="1"/>
  <c r="AR613" i="2"/>
  <c r="AW613" i="2" s="1"/>
  <c r="BF613" i="2" s="1"/>
  <c r="AR607" i="2"/>
  <c r="AW607" i="2" s="1"/>
  <c r="BF607" i="2" s="1"/>
  <c r="AR597" i="2"/>
  <c r="AW597" i="2" s="1"/>
  <c r="BF597" i="2" s="1"/>
  <c r="AR587" i="2"/>
  <c r="AW587" i="2" s="1"/>
  <c r="BF587" i="2" s="1"/>
  <c r="AR577" i="2"/>
  <c r="AW577" i="2" s="1"/>
  <c r="BF577" i="2" s="1"/>
  <c r="AR567" i="2"/>
  <c r="AW567" i="2" s="1"/>
  <c r="BF567" i="2" s="1"/>
  <c r="AR561" i="2"/>
  <c r="AW561" i="2" s="1"/>
  <c r="BF561" i="2" s="1"/>
  <c r="AD492" i="2"/>
  <c r="AN492" i="2"/>
  <c r="AI492" i="2"/>
  <c r="X492" i="2"/>
  <c r="AD428" i="2"/>
  <c r="AN428" i="2"/>
  <c r="AI428" i="2"/>
  <c r="X428" i="2"/>
  <c r="AM928" i="2"/>
  <c r="W928" i="2"/>
  <c r="AC928" i="2"/>
  <c r="AH928" i="2"/>
  <c r="AM916" i="2"/>
  <c r="W916" i="2"/>
  <c r="AC916" i="2"/>
  <c r="AH916" i="2"/>
  <c r="AM904" i="2"/>
  <c r="W904" i="2"/>
  <c r="AC904" i="2"/>
  <c r="AH904" i="2"/>
  <c r="AM896" i="2"/>
  <c r="W896" i="2"/>
  <c r="AC896" i="2"/>
  <c r="AH896" i="2"/>
  <c r="AM888" i="2"/>
  <c r="W888" i="2"/>
  <c r="AC888" i="2"/>
  <c r="AH888" i="2"/>
  <c r="AM469" i="2"/>
  <c r="AH469" i="2"/>
  <c r="AC469" i="2"/>
  <c r="W469" i="2"/>
  <c r="AM421" i="2"/>
  <c r="AH421" i="2"/>
  <c r="AC421" i="2"/>
  <c r="W421" i="2"/>
  <c r="AM397" i="2"/>
  <c r="AH397" i="2"/>
  <c r="AC397" i="2"/>
  <c r="W397" i="2"/>
  <c r="AM349" i="2"/>
  <c r="AH349" i="2"/>
  <c r="AC349" i="2"/>
  <c r="W349" i="2"/>
  <c r="AM333" i="2"/>
  <c r="AH333" i="2"/>
  <c r="AC333" i="2"/>
  <c r="W333" i="2"/>
  <c r="AM516" i="2"/>
  <c r="W516" i="2"/>
  <c r="AH516" i="2"/>
  <c r="AC516" i="2"/>
  <c r="AH2067" i="2"/>
  <c r="AC2067" i="2"/>
  <c r="AM2067" i="2"/>
  <c r="W2067" i="2"/>
  <c r="AR2139" i="2"/>
  <c r="AW2139" i="2" s="1"/>
  <c r="BF2139" i="2" s="1"/>
  <c r="AR2127" i="2"/>
  <c r="AW2127" i="2" s="1"/>
  <c r="BF2127" i="2" s="1"/>
  <c r="AR2049" i="2"/>
  <c r="AW2049" i="2" s="1"/>
  <c r="BF2049" i="2" s="1"/>
  <c r="AH1743" i="2"/>
  <c r="AM1743" i="2"/>
  <c r="W1743" i="2"/>
  <c r="AC1743" i="2"/>
  <c r="AH1727" i="2"/>
  <c r="AM1727" i="2"/>
  <c r="W1727" i="2"/>
  <c r="AC1727" i="2"/>
  <c r="AH1715" i="2"/>
  <c r="AM1715" i="2"/>
  <c r="W1715" i="2"/>
  <c r="AC1715" i="2"/>
  <c r="AH1699" i="2"/>
  <c r="AM1699" i="2"/>
  <c r="W1699" i="2"/>
  <c r="AC1699" i="2"/>
  <c r="AH1687" i="2"/>
  <c r="AM1687" i="2"/>
  <c r="W1687" i="2"/>
  <c r="AC1687" i="2"/>
  <c r="AH1675" i="2"/>
  <c r="AM1675" i="2"/>
  <c r="W1675" i="2"/>
  <c r="AC1675" i="2"/>
  <c r="AH1628" i="2"/>
  <c r="AC1628" i="2"/>
  <c r="AM1628" i="2"/>
  <c r="W1628" i="2"/>
  <c r="AH1425" i="2"/>
  <c r="AC1425" i="2"/>
  <c r="AM1425" i="2"/>
  <c r="W1425" i="2"/>
  <c r="AH1409" i="2"/>
  <c r="AC1409" i="2"/>
  <c r="AM1409" i="2"/>
  <c r="W1409" i="2"/>
  <c r="AR1338" i="2"/>
  <c r="AW1338" i="2" s="1"/>
  <c r="BF1338" i="2" s="1"/>
  <c r="AR1276" i="2"/>
  <c r="AW1276" i="2" s="1"/>
  <c r="BF1276" i="2" s="1"/>
  <c r="AR1045" i="2"/>
  <c r="AW1045" i="2" s="1"/>
  <c r="BF1045" i="2" s="1"/>
  <c r="AM697" i="2"/>
  <c r="W697" i="2"/>
  <c r="AH697" i="2"/>
  <c r="AC697" i="2"/>
  <c r="AR221" i="2"/>
  <c r="AW221" i="2" s="1"/>
  <c r="BF221" i="2" s="1"/>
  <c r="AM179" i="2"/>
  <c r="AC179" i="2"/>
  <c r="AH179" i="2"/>
  <c r="W179" i="2"/>
  <c r="AM115" i="2"/>
  <c r="AC115" i="2"/>
  <c r="AH115" i="2"/>
  <c r="W115" i="2"/>
  <c r="AR440" i="2"/>
  <c r="AW440" i="2" s="1"/>
  <c r="BF440" i="2" s="1"/>
  <c r="AR312" i="2"/>
  <c r="AW312" i="2" s="1"/>
  <c r="BF312" i="2" s="1"/>
  <c r="AR2466" i="2"/>
  <c r="AW2466" i="2" s="1"/>
  <c r="BF2466" i="2" s="1"/>
  <c r="AR2148" i="2"/>
  <c r="AW2148" i="2" s="1"/>
  <c r="BF2148" i="2" s="1"/>
  <c r="AM2111" i="2"/>
  <c r="W2111" i="2"/>
  <c r="AH2111" i="2"/>
  <c r="AC2111" i="2"/>
  <c r="AM1838" i="2"/>
  <c r="W1838" i="2"/>
  <c r="AH1838" i="2"/>
  <c r="AC1838" i="2"/>
  <c r="AM1663" i="2"/>
  <c r="W1663" i="2"/>
  <c r="AH1663" i="2"/>
  <c r="AC1663" i="2"/>
  <c r="AR1325" i="2"/>
  <c r="AW1325" i="2" s="1"/>
  <c r="BF1325" i="2" s="1"/>
  <c r="AM1197" i="2"/>
  <c r="W1197" i="2"/>
  <c r="AH1197" i="2"/>
  <c r="AC1197" i="2"/>
  <c r="AR528" i="2"/>
  <c r="AW528" i="2" s="1"/>
  <c r="BF528" i="2" s="1"/>
  <c r="AR439" i="2"/>
  <c r="AW439" i="2" s="1"/>
  <c r="BF439" i="2" s="1"/>
  <c r="AR199" i="2"/>
  <c r="AW199" i="2" s="1"/>
  <c r="BF199" i="2" s="1"/>
  <c r="AR135" i="2"/>
  <c r="AW135" i="2" s="1"/>
  <c r="BF135" i="2" s="1"/>
  <c r="AR69" i="2"/>
  <c r="AW69" i="2" s="1"/>
  <c r="BF69" i="2" s="1"/>
  <c r="AR27" i="2"/>
  <c r="AW27" i="2" s="1"/>
  <c r="BF27" i="2" s="1"/>
  <c r="AM2442" i="2"/>
  <c r="W2442" i="2"/>
  <c r="AH2442" i="2"/>
  <c r="AC2442" i="2"/>
  <c r="AR2467" i="2"/>
  <c r="AW2467" i="2" s="1"/>
  <c r="BF2467" i="2" s="1"/>
  <c r="AR2444" i="2"/>
  <c r="AW2444" i="2" s="1"/>
  <c r="BF2444" i="2" s="1"/>
  <c r="AR2355" i="2"/>
  <c r="AW2355" i="2" s="1"/>
  <c r="BF2355" i="2" s="1"/>
  <c r="AR2331" i="2"/>
  <c r="AW2331" i="2" s="1"/>
  <c r="BF2331" i="2" s="1"/>
  <c r="AR2315" i="2"/>
  <c r="AW2315" i="2" s="1"/>
  <c r="BF2315" i="2" s="1"/>
  <c r="AC2393" i="2"/>
  <c r="AM2393" i="2"/>
  <c r="W2393" i="2"/>
  <c r="AH2393" i="2"/>
  <c r="AR2164" i="2"/>
  <c r="AW2164" i="2" s="1"/>
  <c r="BF2164" i="2" s="1"/>
  <c r="AM2084" i="2"/>
  <c r="W2084" i="2"/>
  <c r="AH2084" i="2"/>
  <c r="AC2084" i="2"/>
  <c r="AM2106" i="2"/>
  <c r="W2106" i="2"/>
  <c r="AH2106" i="2"/>
  <c r="AC2106" i="2"/>
  <c r="AM2094" i="2"/>
  <c r="W2094" i="2"/>
  <c r="AH2094" i="2"/>
  <c r="AC2094" i="2"/>
  <c r="AM2082" i="2"/>
  <c r="W2082" i="2"/>
  <c r="AH2082" i="2"/>
  <c r="AC2082" i="2"/>
  <c r="AM2070" i="2"/>
  <c r="W2070" i="2"/>
  <c r="AH2070" i="2"/>
  <c r="AC2070" i="2"/>
  <c r="AM2058" i="2"/>
  <c r="W2058" i="2"/>
  <c r="AH2058" i="2"/>
  <c r="AC2058" i="2"/>
  <c r="AR1969" i="2"/>
  <c r="AW1969" i="2" s="1"/>
  <c r="BF1969" i="2" s="1"/>
  <c r="AH1937" i="2"/>
  <c r="AC1937" i="2"/>
  <c r="AM1937" i="2"/>
  <c r="W1937" i="2"/>
  <c r="AR1905" i="2"/>
  <c r="AW1905" i="2" s="1"/>
  <c r="BF1905" i="2" s="1"/>
  <c r="AM1814" i="2"/>
  <c r="W1814" i="2"/>
  <c r="AH1814" i="2"/>
  <c r="AC1814" i="2"/>
  <c r="AM1790" i="2"/>
  <c r="W1790" i="2"/>
  <c r="AH1790" i="2"/>
  <c r="AC1790" i="2"/>
  <c r="AM1766" i="2"/>
  <c r="W1766" i="2"/>
  <c r="AH1766" i="2"/>
  <c r="AC1766" i="2"/>
  <c r="AH1467" i="2"/>
  <c r="AC1467" i="2"/>
  <c r="AM1467" i="2"/>
  <c r="W1467" i="2"/>
  <c r="AH1451" i="2"/>
  <c r="AC1451" i="2"/>
  <c r="AM1451" i="2"/>
  <c r="W1451" i="2"/>
  <c r="AH1441" i="2"/>
  <c r="AC1441" i="2"/>
  <c r="AM1441" i="2"/>
  <c r="W1441" i="2"/>
  <c r="AR1330" i="2"/>
  <c r="AW1330" i="2" s="1"/>
  <c r="BF1330" i="2" s="1"/>
  <c r="AH1202" i="2"/>
  <c r="AC1202" i="2"/>
  <c r="AM1202" i="2"/>
  <c r="W1202" i="2"/>
  <c r="AR1335" i="2"/>
  <c r="AW1335" i="2" s="1"/>
  <c r="BF1335" i="2" s="1"/>
  <c r="AM1207" i="2"/>
  <c r="W1207" i="2"/>
  <c r="AH1207" i="2"/>
  <c r="AC1207" i="2"/>
  <c r="AM1075" i="2"/>
  <c r="W1075" i="2"/>
  <c r="AC1075" i="2"/>
  <c r="AH1075" i="2"/>
  <c r="AR1204" i="2"/>
  <c r="AW1204" i="2" s="1"/>
  <c r="BF1204" i="2" s="1"/>
  <c r="AR1249" i="2"/>
  <c r="AW1249" i="2" s="1"/>
  <c r="BF1249" i="2" s="1"/>
  <c r="AR1073" i="2"/>
  <c r="AW1073" i="2" s="1"/>
  <c r="BF1073" i="2" s="1"/>
  <c r="AM844" i="2"/>
  <c r="W844" i="2"/>
  <c r="AC844" i="2"/>
  <c r="AH844" i="2"/>
  <c r="AM780" i="2"/>
  <c r="W780" i="2"/>
  <c r="AC780" i="2"/>
  <c r="AH780" i="2"/>
  <c r="AM703" i="2"/>
  <c r="W703" i="2"/>
  <c r="AH703" i="2"/>
  <c r="AC703" i="2"/>
  <c r="AM687" i="2"/>
  <c r="W687" i="2"/>
  <c r="AH687" i="2"/>
  <c r="AC687" i="2"/>
  <c r="AM671" i="2"/>
  <c r="W671" i="2"/>
  <c r="AH671" i="2"/>
  <c r="AC671" i="2"/>
  <c r="AM655" i="2"/>
  <c r="W655" i="2"/>
  <c r="AH655" i="2"/>
  <c r="AC655" i="2"/>
  <c r="AM639" i="2"/>
  <c r="W639" i="2"/>
  <c r="AH639" i="2"/>
  <c r="AC639" i="2"/>
  <c r="AM623" i="2"/>
  <c r="W623" i="2"/>
  <c r="AH623" i="2"/>
  <c r="AC623" i="2"/>
  <c r="AH406" i="2"/>
  <c r="AC406" i="2"/>
  <c r="AM406" i="2"/>
  <c r="W406" i="2"/>
  <c r="AS340" i="2"/>
  <c r="AX340" i="2" s="1"/>
  <c r="BG340" i="2" s="1"/>
  <c r="AR286" i="2"/>
  <c r="AW286" i="2" s="1"/>
  <c r="BF286" i="2" s="1"/>
  <c r="AR81" i="2"/>
  <c r="AW81" i="2" s="1"/>
  <c r="BF81" i="2" s="1"/>
  <c r="AR49" i="2"/>
  <c r="AW49" i="2" s="1"/>
  <c r="BF49" i="2" s="1"/>
  <c r="AR464" i="2"/>
  <c r="AW464" i="2" s="1"/>
  <c r="BF464" i="2" s="1"/>
  <c r="AR434" i="2"/>
  <c r="AW434" i="2" s="1"/>
  <c r="BF434" i="2" s="1"/>
  <c r="AM321" i="2"/>
  <c r="AH321" i="2"/>
  <c r="AC321" i="2"/>
  <c r="W321" i="2"/>
  <c r="AM315" i="2"/>
  <c r="AH315" i="2"/>
  <c r="AC315" i="2"/>
  <c r="W315" i="2"/>
  <c r="AR280" i="2"/>
  <c r="AW280" i="2" s="1"/>
  <c r="BF280" i="2" s="1"/>
  <c r="AM125" i="2"/>
  <c r="AH125" i="2"/>
  <c r="AC125" i="2"/>
  <c r="W125" i="2"/>
  <c r="AH64" i="2"/>
  <c r="AC64" i="2"/>
  <c r="AM64" i="2"/>
  <c r="W64" i="2"/>
  <c r="AH58" i="2"/>
  <c r="AM58" i="2"/>
  <c r="W58" i="2"/>
  <c r="AC58" i="2"/>
  <c r="AM11" i="2"/>
  <c r="W11" i="2"/>
  <c r="AC11" i="2"/>
  <c r="AH11" i="2"/>
  <c r="AH92" i="2"/>
  <c r="AM92" i="2"/>
  <c r="AC92" i="2"/>
  <c r="W92" i="2"/>
  <c r="AM2184" i="2"/>
  <c r="W2184" i="2"/>
  <c r="AH2184" i="2"/>
  <c r="AC2184" i="2"/>
  <c r="AR2166" i="2"/>
  <c r="AW2166" i="2" s="1"/>
  <c r="BF2166" i="2" s="1"/>
  <c r="AC2167" i="2"/>
  <c r="AM2167" i="2"/>
  <c r="W2167" i="2"/>
  <c r="AH2167" i="2"/>
  <c r="AH2087" i="2"/>
  <c r="AC2087" i="2"/>
  <c r="AM2087" i="2"/>
  <c r="W2087" i="2"/>
  <c r="AH1859" i="2"/>
  <c r="AC1859" i="2"/>
  <c r="AM1859" i="2"/>
  <c r="W1859" i="2"/>
  <c r="AH1855" i="2"/>
  <c r="AC1855" i="2"/>
  <c r="AM1855" i="2"/>
  <c r="W1855" i="2"/>
  <c r="AH1851" i="2"/>
  <c r="AC1851" i="2"/>
  <c r="AM1851" i="2"/>
  <c r="W1851" i="2"/>
  <c r="AR1797" i="2"/>
  <c r="AW1797" i="2" s="1"/>
  <c r="BF1797" i="2" s="1"/>
  <c r="AR1781" i="2"/>
  <c r="AW1781" i="2" s="1"/>
  <c r="BF1781" i="2" s="1"/>
  <c r="AR1765" i="2"/>
  <c r="AW1765" i="2" s="1"/>
  <c r="BF1765" i="2" s="1"/>
  <c r="AR1951" i="2"/>
  <c r="AW1951" i="2" s="1"/>
  <c r="BF1951" i="2" s="1"/>
  <c r="AR1943" i="2"/>
  <c r="AW1943" i="2" s="1"/>
  <c r="BF1943" i="2" s="1"/>
  <c r="AR1935" i="2"/>
  <c r="AW1935" i="2" s="1"/>
  <c r="BF1935" i="2" s="1"/>
  <c r="AR1927" i="2"/>
  <c r="AW1927" i="2" s="1"/>
  <c r="BF1927" i="2" s="1"/>
  <c r="AR1919" i="2"/>
  <c r="AW1919" i="2" s="1"/>
  <c r="BF1919" i="2" s="1"/>
  <c r="AR1911" i="2"/>
  <c r="AW1911" i="2" s="1"/>
  <c r="BF1911" i="2" s="1"/>
  <c r="AR1903" i="2"/>
  <c r="AW1903" i="2" s="1"/>
  <c r="BF1903" i="2" s="1"/>
  <c r="AR1895" i="2"/>
  <c r="AW1895" i="2" s="1"/>
  <c r="BF1895" i="2" s="1"/>
  <c r="AR1887" i="2"/>
  <c r="AW1887" i="2" s="1"/>
  <c r="BF1887" i="2" s="1"/>
  <c r="AR1879" i="2"/>
  <c r="AW1879" i="2" s="1"/>
  <c r="BF1879" i="2" s="1"/>
  <c r="AR1871" i="2"/>
  <c r="AW1871" i="2" s="1"/>
  <c r="BF1871" i="2" s="1"/>
  <c r="AR1863" i="2"/>
  <c r="AW1863" i="2" s="1"/>
  <c r="BF1863" i="2" s="1"/>
  <c r="AR1718" i="2"/>
  <c r="AW1718" i="2" s="1"/>
  <c r="BF1718" i="2" s="1"/>
  <c r="AS1783" i="2"/>
  <c r="AX1783" i="2" s="1"/>
  <c r="BG1783" i="2" s="1"/>
  <c r="AH1610" i="2"/>
  <c r="AC1610" i="2"/>
  <c r="AM1610" i="2"/>
  <c r="W1610" i="2"/>
  <c r="AR1576" i="2"/>
  <c r="AW1576" i="2" s="1"/>
  <c r="BF1576" i="2" s="1"/>
  <c r="AR1572" i="2"/>
  <c r="AW1572" i="2" s="1"/>
  <c r="BF1572" i="2" s="1"/>
  <c r="AR1568" i="2"/>
  <c r="AW1568" i="2" s="1"/>
  <c r="BF1568" i="2" s="1"/>
  <c r="AR1564" i="2"/>
  <c r="AW1564" i="2" s="1"/>
  <c r="BF1564" i="2" s="1"/>
  <c r="AR1560" i="2"/>
  <c r="AW1560" i="2" s="1"/>
  <c r="BF1560" i="2" s="1"/>
  <c r="AR1556" i="2"/>
  <c r="AW1556" i="2" s="1"/>
  <c r="BF1556" i="2" s="1"/>
  <c r="AR1552" i="2"/>
  <c r="AW1552" i="2" s="1"/>
  <c r="BF1552" i="2" s="1"/>
  <c r="AR1548" i="2"/>
  <c r="AW1548" i="2" s="1"/>
  <c r="BF1548" i="2" s="1"/>
  <c r="AH1513" i="2"/>
  <c r="AC1513" i="2"/>
  <c r="AM1513" i="2"/>
  <c r="W1513" i="2"/>
  <c r="AH1509" i="2"/>
  <c r="AC1509" i="2"/>
  <c r="AM1509" i="2"/>
  <c r="W1509" i="2"/>
  <c r="AR1616" i="2"/>
  <c r="AW1616" i="2" s="1"/>
  <c r="BF1616" i="2" s="1"/>
  <c r="AR1591" i="2"/>
  <c r="AW1591" i="2" s="1"/>
  <c r="BF1591" i="2" s="1"/>
  <c r="AH1535" i="2"/>
  <c r="AC1535" i="2"/>
  <c r="AM1535" i="2"/>
  <c r="W1535" i="2"/>
  <c r="AH1519" i="2"/>
  <c r="AC1519" i="2"/>
  <c r="AM1519" i="2"/>
  <c r="W1519" i="2"/>
  <c r="AH1493" i="2"/>
  <c r="AC1493" i="2"/>
  <c r="AM1493" i="2"/>
  <c r="W1493" i="2"/>
  <c r="AR1480" i="2"/>
  <c r="AW1480" i="2" s="1"/>
  <c r="BF1480" i="2" s="1"/>
  <c r="AH1350" i="2"/>
  <c r="AC1350" i="2"/>
  <c r="AM1350" i="2"/>
  <c r="W1350" i="2"/>
  <c r="AR1222" i="2"/>
  <c r="AW1222" i="2" s="1"/>
  <c r="BF1222" i="2" s="1"/>
  <c r="AM1307" i="2"/>
  <c r="W1307" i="2"/>
  <c r="AH1307" i="2"/>
  <c r="AC1307" i="2"/>
  <c r="AR1179" i="2"/>
  <c r="AW1179" i="2" s="1"/>
  <c r="BF1179" i="2" s="1"/>
  <c r="AR1384" i="2"/>
  <c r="AW1384" i="2" s="1"/>
  <c r="BF1384" i="2" s="1"/>
  <c r="AR1304" i="2"/>
  <c r="AW1304" i="2" s="1"/>
  <c r="BF1304" i="2" s="1"/>
  <c r="AR1176" i="2"/>
  <c r="AW1176" i="2" s="1"/>
  <c r="BF1176" i="2" s="1"/>
  <c r="AR1172" i="2"/>
  <c r="AW1172" i="2" s="1"/>
  <c r="BF1172" i="2" s="1"/>
  <c r="AR1168" i="2"/>
  <c r="AW1168" i="2" s="1"/>
  <c r="BF1168" i="2" s="1"/>
  <c r="AR1164" i="2"/>
  <c r="AW1164" i="2" s="1"/>
  <c r="BF1164" i="2" s="1"/>
  <c r="AR1160" i="2"/>
  <c r="AW1160" i="2" s="1"/>
  <c r="BF1160" i="2" s="1"/>
  <c r="AR1156" i="2"/>
  <c r="AW1156" i="2" s="1"/>
  <c r="BF1156" i="2" s="1"/>
  <c r="AM1301" i="2"/>
  <c r="W1301" i="2"/>
  <c r="AH1301" i="2"/>
  <c r="AC1301" i="2"/>
  <c r="AC1043" i="2"/>
  <c r="AM1043" i="2"/>
  <c r="W1043" i="2"/>
  <c r="AH1043" i="2"/>
  <c r="AC722" i="2"/>
  <c r="AM722" i="2"/>
  <c r="W722" i="2"/>
  <c r="AH722" i="2"/>
  <c r="AC718" i="2"/>
  <c r="AM718" i="2"/>
  <c r="W718" i="2"/>
  <c r="AH718" i="2"/>
  <c r="AC714" i="2"/>
  <c r="AM714" i="2"/>
  <c r="W714" i="2"/>
  <c r="AH714" i="2"/>
  <c r="AC710" i="2"/>
  <c r="AM710" i="2"/>
  <c r="W710" i="2"/>
  <c r="AH710" i="2"/>
  <c r="AC706" i="2"/>
  <c r="AM706" i="2"/>
  <c r="W706" i="2"/>
  <c r="AH706" i="2"/>
  <c r="AC702" i="2"/>
  <c r="AM702" i="2"/>
  <c r="W702" i="2"/>
  <c r="AH702" i="2"/>
  <c r="AC698" i="2"/>
  <c r="AM698" i="2"/>
  <c r="W698" i="2"/>
  <c r="AH698" i="2"/>
  <c r="AC694" i="2"/>
  <c r="AM694" i="2"/>
  <c r="W694" i="2"/>
  <c r="AH694" i="2"/>
  <c r="AC690" i="2"/>
  <c r="AM690" i="2"/>
  <c r="W690" i="2"/>
  <c r="AH690" i="2"/>
  <c r="AC686" i="2"/>
  <c r="AM686" i="2"/>
  <c r="W686" i="2"/>
  <c r="AH686" i="2"/>
  <c r="AC682" i="2"/>
  <c r="AM682" i="2"/>
  <c r="W682" i="2"/>
  <c r="AH682" i="2"/>
  <c r="AC678" i="2"/>
  <c r="AM678" i="2"/>
  <c r="W678" i="2"/>
  <c r="AH678" i="2"/>
  <c r="AC674" i="2"/>
  <c r="AM674" i="2"/>
  <c r="W674" i="2"/>
  <c r="AH674" i="2"/>
  <c r="AC670" i="2"/>
  <c r="AM670" i="2"/>
  <c r="W670" i="2"/>
  <c r="AH670" i="2"/>
  <c r="AC666" i="2"/>
  <c r="AM666" i="2"/>
  <c r="W666" i="2"/>
  <c r="AH666" i="2"/>
  <c r="AC662" i="2"/>
  <c r="AM662" i="2"/>
  <c r="W662" i="2"/>
  <c r="AH662" i="2"/>
  <c r="AC658" i="2"/>
  <c r="AM658" i="2"/>
  <c r="W658" i="2"/>
  <c r="AH658" i="2"/>
  <c r="AC654" i="2"/>
  <c r="AM654" i="2"/>
  <c r="W654" i="2"/>
  <c r="AH654" i="2"/>
  <c r="AC650" i="2"/>
  <c r="AM650" i="2"/>
  <c r="W650" i="2"/>
  <c r="AH650" i="2"/>
  <c r="AC646" i="2"/>
  <c r="AM646" i="2"/>
  <c r="W646" i="2"/>
  <c r="AH646" i="2"/>
  <c r="AC642" i="2"/>
  <c r="AM642" i="2"/>
  <c r="W642" i="2"/>
  <c r="AH642" i="2"/>
  <c r="AC638" i="2"/>
  <c r="AM638" i="2"/>
  <c r="W638" i="2"/>
  <c r="AH638" i="2"/>
  <c r="AC634" i="2"/>
  <c r="AM634" i="2"/>
  <c r="W634" i="2"/>
  <c r="AH634" i="2"/>
  <c r="AC630" i="2"/>
  <c r="AM630" i="2"/>
  <c r="W630" i="2"/>
  <c r="AH630" i="2"/>
  <c r="AC626" i="2"/>
  <c r="AM626" i="2"/>
  <c r="W626" i="2"/>
  <c r="AH626" i="2"/>
  <c r="AC622" i="2"/>
  <c r="AM622" i="2"/>
  <c r="W622" i="2"/>
  <c r="AH622" i="2"/>
  <c r="AM530" i="2"/>
  <c r="W530" i="2"/>
  <c r="AH530" i="2"/>
  <c r="AC530" i="2"/>
  <c r="AR398" i="2"/>
  <c r="AW398" i="2" s="1"/>
  <c r="BF398" i="2" s="1"/>
  <c r="AR527" i="2"/>
  <c r="AW527" i="2" s="1"/>
  <c r="BF527" i="2" s="1"/>
  <c r="AM229" i="2"/>
  <c r="AH229" i="2"/>
  <c r="AC229" i="2"/>
  <c r="W229" i="2"/>
  <c r="AM882" i="2"/>
  <c r="W882" i="2"/>
  <c r="AC882" i="2"/>
  <c r="AH882" i="2"/>
  <c r="AM866" i="2"/>
  <c r="W866" i="2"/>
  <c r="AC866" i="2"/>
  <c r="AH866" i="2"/>
  <c r="AM850" i="2"/>
  <c r="W850" i="2"/>
  <c r="AC850" i="2"/>
  <c r="AH850" i="2"/>
  <c r="AM834" i="2"/>
  <c r="W834" i="2"/>
  <c r="AC834" i="2"/>
  <c r="AH834" i="2"/>
  <c r="AM818" i="2"/>
  <c r="W818" i="2"/>
  <c r="AC818" i="2"/>
  <c r="AH818" i="2"/>
  <c r="AM802" i="2"/>
  <c r="W802" i="2"/>
  <c r="AC802" i="2"/>
  <c r="AH802" i="2"/>
  <c r="AM786" i="2"/>
  <c r="W786" i="2"/>
  <c r="AC786" i="2"/>
  <c r="AH786" i="2"/>
  <c r="AM770" i="2"/>
  <c r="W770" i="2"/>
  <c r="AC770" i="2"/>
  <c r="AH770" i="2"/>
  <c r="AM754" i="2"/>
  <c r="W754" i="2"/>
  <c r="AC754" i="2"/>
  <c r="AH754" i="2"/>
  <c r="AM738" i="2"/>
  <c r="W738" i="2"/>
  <c r="AC738" i="2"/>
  <c r="AH738" i="2"/>
  <c r="AH509" i="2"/>
  <c r="AC509" i="2"/>
  <c r="AM509" i="2"/>
  <c r="W509" i="2"/>
  <c r="AR307" i="2"/>
  <c r="AW307" i="2" s="1"/>
  <c r="BF307" i="2" s="1"/>
  <c r="AR73" i="2"/>
  <c r="AW73" i="2" s="1"/>
  <c r="BF73" i="2" s="1"/>
  <c r="AR63" i="2"/>
  <c r="AW63" i="2" s="1"/>
  <c r="BF63" i="2" s="1"/>
  <c r="AR274" i="2"/>
  <c r="AW274" i="2" s="1"/>
  <c r="BF274" i="2" s="1"/>
  <c r="AR260" i="2"/>
  <c r="AW260" i="2" s="1"/>
  <c r="BF260" i="2" s="1"/>
  <c r="AH472" i="2"/>
  <c r="AC472" i="2"/>
  <c r="AM472" i="2"/>
  <c r="W472" i="2"/>
  <c r="AH442" i="2"/>
  <c r="AM442" i="2"/>
  <c r="W442" i="2"/>
  <c r="AC442" i="2"/>
  <c r="AH296" i="2"/>
  <c r="AC296" i="2"/>
  <c r="AM296" i="2"/>
  <c r="W296" i="2"/>
  <c r="AM279" i="2"/>
  <c r="AH279" i="2"/>
  <c r="AC279" i="2"/>
  <c r="W279" i="2"/>
  <c r="AM247" i="2"/>
  <c r="AH247" i="2"/>
  <c r="AC247" i="2"/>
  <c r="W247" i="2"/>
  <c r="AM215" i="2"/>
  <c r="AH215" i="2"/>
  <c r="AC215" i="2"/>
  <c r="W215" i="2"/>
  <c r="AM207" i="2"/>
  <c r="AC207" i="2"/>
  <c r="AH207" i="2"/>
  <c r="W207" i="2"/>
  <c r="AR170" i="2"/>
  <c r="AW170" i="2" s="1"/>
  <c r="BF170" i="2" s="1"/>
  <c r="AD168" i="2"/>
  <c r="AN168" i="2"/>
  <c r="AI168" i="2"/>
  <c r="X168" i="2"/>
  <c r="AD184" i="2"/>
  <c r="AN184" i="2"/>
  <c r="AI184" i="2"/>
  <c r="X184" i="2"/>
  <c r="AR2385" i="2"/>
  <c r="AW2385" i="2" s="1"/>
  <c r="BF2385" i="2" s="1"/>
  <c r="AR2361" i="2"/>
  <c r="AW2361" i="2" s="1"/>
  <c r="BF2361" i="2" s="1"/>
  <c r="AR2345" i="2"/>
  <c r="AW2345" i="2" s="1"/>
  <c r="BF2345" i="2" s="1"/>
  <c r="AR2321" i="2"/>
  <c r="AW2321" i="2" s="1"/>
  <c r="BF2321" i="2" s="1"/>
  <c r="AR2156" i="2"/>
  <c r="AW2156" i="2" s="1"/>
  <c r="BF2156" i="2" s="1"/>
  <c r="AH2083" i="2"/>
  <c r="AC2083" i="2"/>
  <c r="AM2083" i="2"/>
  <c r="W2083" i="2"/>
  <c r="AM2154" i="2"/>
  <c r="W2154" i="2"/>
  <c r="AH2154" i="2"/>
  <c r="AC2154" i="2"/>
  <c r="AR2101" i="2"/>
  <c r="AW2101" i="2" s="1"/>
  <c r="BF2101" i="2" s="1"/>
  <c r="AH2069" i="2"/>
  <c r="AC2069" i="2"/>
  <c r="AM2069" i="2"/>
  <c r="W2069" i="2"/>
  <c r="AR2016" i="2"/>
  <c r="AW2016" i="2" s="1"/>
  <c r="BF2016" i="2" s="1"/>
  <c r="AR2012" i="2"/>
  <c r="AW2012" i="2" s="1"/>
  <c r="BF2012" i="2" s="1"/>
  <c r="AR2008" i="2"/>
  <c r="AW2008" i="2" s="1"/>
  <c r="BF2008" i="2" s="1"/>
  <c r="AR2004" i="2"/>
  <c r="AW2004" i="2" s="1"/>
  <c r="BF2004" i="2" s="1"/>
  <c r="AR2000" i="2"/>
  <c r="AW2000" i="2" s="1"/>
  <c r="BF2000" i="2" s="1"/>
  <c r="AR1996" i="2"/>
  <c r="AW1996" i="2" s="1"/>
  <c r="BF1996" i="2" s="1"/>
  <c r="AR1992" i="2"/>
  <c r="AW1992" i="2" s="1"/>
  <c r="BF1992" i="2" s="1"/>
  <c r="AR1988" i="2"/>
  <c r="AW1988" i="2" s="1"/>
  <c r="BF1988" i="2" s="1"/>
  <c r="AR1984" i="2"/>
  <c r="AW1984" i="2" s="1"/>
  <c r="BF1984" i="2" s="1"/>
  <c r="AR1980" i="2"/>
  <c r="AW1980" i="2" s="1"/>
  <c r="BF1980" i="2" s="1"/>
  <c r="AR1976" i="2"/>
  <c r="AW1976" i="2" s="1"/>
  <c r="BF1976" i="2" s="1"/>
  <c r="AR1972" i="2"/>
  <c r="AW1972" i="2" s="1"/>
  <c r="BF1972" i="2" s="1"/>
  <c r="AR1968" i="2"/>
  <c r="AW1968" i="2" s="1"/>
  <c r="BF1968" i="2" s="1"/>
  <c r="AR1964" i="2"/>
  <c r="AW1964" i="2" s="1"/>
  <c r="BF1964" i="2" s="1"/>
  <c r="AR1960" i="2"/>
  <c r="AW1960" i="2" s="1"/>
  <c r="BF1960" i="2" s="1"/>
  <c r="AR1956" i="2"/>
  <c r="AW1956" i="2" s="1"/>
  <c r="BF1956" i="2" s="1"/>
  <c r="AM2018" i="2"/>
  <c r="W2018" i="2"/>
  <c r="AH2018" i="2"/>
  <c r="AC2018" i="2"/>
  <c r="AM2014" i="2"/>
  <c r="W2014" i="2"/>
  <c r="AH2014" i="2"/>
  <c r="AC2014" i="2"/>
  <c r="AM2010" i="2"/>
  <c r="W2010" i="2"/>
  <c r="AH2010" i="2"/>
  <c r="AC2010" i="2"/>
  <c r="AM2006" i="2"/>
  <c r="W2006" i="2"/>
  <c r="AH2006" i="2"/>
  <c r="AC2006" i="2"/>
  <c r="AM2002" i="2"/>
  <c r="W2002" i="2"/>
  <c r="AH2002" i="2"/>
  <c r="AC2002" i="2"/>
  <c r="AM1998" i="2"/>
  <c r="W1998" i="2"/>
  <c r="AH1998" i="2"/>
  <c r="AC1998" i="2"/>
  <c r="AM1994" i="2"/>
  <c r="W1994" i="2"/>
  <c r="AH1994" i="2"/>
  <c r="AC1994" i="2"/>
  <c r="AM1990" i="2"/>
  <c r="W1990" i="2"/>
  <c r="AH1990" i="2"/>
  <c r="AC1990" i="2"/>
  <c r="AM1986" i="2"/>
  <c r="W1986" i="2"/>
  <c r="AH1986" i="2"/>
  <c r="AC1986" i="2"/>
  <c r="AM1982" i="2"/>
  <c r="W1982" i="2"/>
  <c r="AH1982" i="2"/>
  <c r="AC1982" i="2"/>
  <c r="AM1974" i="2"/>
  <c r="W1974" i="2"/>
  <c r="AH1974" i="2"/>
  <c r="AC1974" i="2"/>
  <c r="AM1966" i="2"/>
  <c r="W1966" i="2"/>
  <c r="AH1966" i="2"/>
  <c r="AC1966" i="2"/>
  <c r="AM1962" i="2"/>
  <c r="W1962" i="2"/>
  <c r="AH1962" i="2"/>
  <c r="AC1962" i="2"/>
  <c r="AM1958" i="2"/>
  <c r="W1958" i="2"/>
  <c r="AH1958" i="2"/>
  <c r="AC1958" i="2"/>
  <c r="AM1954" i="2"/>
  <c r="W1954" i="2"/>
  <c r="AH1954" i="2"/>
  <c r="AC1954" i="2"/>
  <c r="AM1950" i="2"/>
  <c r="W1950" i="2"/>
  <c r="AH1950" i="2"/>
  <c r="AC1950" i="2"/>
  <c r="AM1946" i="2"/>
  <c r="W1946" i="2"/>
  <c r="AH1946" i="2"/>
  <c r="AC1946" i="2"/>
  <c r="AM1942" i="2"/>
  <c r="W1942" i="2"/>
  <c r="AH1942" i="2"/>
  <c r="AC1942" i="2"/>
  <c r="AM1938" i="2"/>
  <c r="W1938" i="2"/>
  <c r="AH1938" i="2"/>
  <c r="AC1938" i="2"/>
  <c r="AM1934" i="2"/>
  <c r="W1934" i="2"/>
  <c r="AH1934" i="2"/>
  <c r="AC1934" i="2"/>
  <c r="AM1930" i="2"/>
  <c r="W1930" i="2"/>
  <c r="AH1930" i="2"/>
  <c r="AC1930" i="2"/>
  <c r="AM1926" i="2"/>
  <c r="W1926" i="2"/>
  <c r="AH1926" i="2"/>
  <c r="AC1926" i="2"/>
  <c r="AM1922" i="2"/>
  <c r="W1922" i="2"/>
  <c r="AH1922" i="2"/>
  <c r="AC1922" i="2"/>
  <c r="AM1918" i="2"/>
  <c r="W1918" i="2"/>
  <c r="AH1918" i="2"/>
  <c r="AC1918" i="2"/>
  <c r="AM1914" i="2"/>
  <c r="W1914" i="2"/>
  <c r="AH1914" i="2"/>
  <c r="AC1914" i="2"/>
  <c r="AM1910" i="2"/>
  <c r="W1910" i="2"/>
  <c r="AH1910" i="2"/>
  <c r="AC1910" i="2"/>
  <c r="AM1906" i="2"/>
  <c r="W1906" i="2"/>
  <c r="AH1906" i="2"/>
  <c r="AC1906" i="2"/>
  <c r="AM1902" i="2"/>
  <c r="W1902" i="2"/>
  <c r="AH1902" i="2"/>
  <c r="AC1902" i="2"/>
  <c r="AM1898" i="2"/>
  <c r="W1898" i="2"/>
  <c r="AH1898" i="2"/>
  <c r="AC1898" i="2"/>
  <c r="AM1894" i="2"/>
  <c r="W1894" i="2"/>
  <c r="AH1894" i="2"/>
  <c r="AC1894" i="2"/>
  <c r="AM1890" i="2"/>
  <c r="W1890" i="2"/>
  <c r="AH1890" i="2"/>
  <c r="AC1890" i="2"/>
  <c r="AM1886" i="2"/>
  <c r="W1886" i="2"/>
  <c r="AH1886" i="2"/>
  <c r="AC1886" i="2"/>
  <c r="AM1882" i="2"/>
  <c r="W1882" i="2"/>
  <c r="AH1882" i="2"/>
  <c r="AC1882" i="2"/>
  <c r="AM1878" i="2"/>
  <c r="W1878" i="2"/>
  <c r="AH1878" i="2"/>
  <c r="AC1878" i="2"/>
  <c r="AM1874" i="2"/>
  <c r="W1874" i="2"/>
  <c r="AH1874" i="2"/>
  <c r="AC1874" i="2"/>
  <c r="AM1870" i="2"/>
  <c r="W1870" i="2"/>
  <c r="AH1870" i="2"/>
  <c r="AC1870" i="2"/>
  <c r="AM1866" i="2"/>
  <c r="W1866" i="2"/>
  <c r="AH1866" i="2"/>
  <c r="AC1866" i="2"/>
  <c r="AM1862" i="2"/>
  <c r="W1862" i="2"/>
  <c r="AH1862" i="2"/>
  <c r="AC1862" i="2"/>
  <c r="AC1829" i="2"/>
  <c r="AM1829" i="2"/>
  <c r="AH1829" i="2"/>
  <c r="W1829" i="2"/>
  <c r="AR1834" i="2"/>
  <c r="AW1834" i="2" s="1"/>
  <c r="BF1834" i="2" s="1"/>
  <c r="AR1826" i="2"/>
  <c r="AW1826" i="2" s="1"/>
  <c r="BF1826" i="2" s="1"/>
  <c r="AR1818" i="2"/>
  <c r="AW1818" i="2" s="1"/>
  <c r="BF1818" i="2" s="1"/>
  <c r="AR1810" i="2"/>
  <c r="AW1810" i="2" s="1"/>
  <c r="BF1810" i="2" s="1"/>
  <c r="AR1802" i="2"/>
  <c r="AW1802" i="2" s="1"/>
  <c r="BF1802" i="2" s="1"/>
  <c r="AR1794" i="2"/>
  <c r="AW1794" i="2" s="1"/>
  <c r="BF1794" i="2" s="1"/>
  <c r="AR1786" i="2"/>
  <c r="AW1786" i="2" s="1"/>
  <c r="BF1786" i="2" s="1"/>
  <c r="AR1778" i="2"/>
  <c r="AW1778" i="2" s="1"/>
  <c r="BF1778" i="2" s="1"/>
  <c r="AR1770" i="2"/>
  <c r="AW1770" i="2" s="1"/>
  <c r="BF1770" i="2" s="1"/>
  <c r="AR1762" i="2"/>
  <c r="AW1762" i="2" s="1"/>
  <c r="BF1762" i="2" s="1"/>
  <c r="AH1706" i="2"/>
  <c r="AM1706" i="2"/>
  <c r="W1706" i="2"/>
  <c r="AC1706" i="2"/>
  <c r="AS1839" i="2"/>
  <c r="AX1839" i="2" s="1"/>
  <c r="BG1839" i="2" s="1"/>
  <c r="AH1590" i="2"/>
  <c r="AC1590" i="2"/>
  <c r="AM1590" i="2"/>
  <c r="W1590" i="2"/>
  <c r="AH1582" i="2"/>
  <c r="AC1582" i="2"/>
  <c r="AM1582" i="2"/>
  <c r="W1582" i="2"/>
  <c r="AR1505" i="2"/>
  <c r="AW1505" i="2" s="1"/>
  <c r="BF1505" i="2" s="1"/>
  <c r="AR1491" i="2"/>
  <c r="AW1491" i="2" s="1"/>
  <c r="BF1491" i="2" s="1"/>
  <c r="AH1413" i="2"/>
  <c r="AC1413" i="2"/>
  <c r="AM1413" i="2"/>
  <c r="W1413" i="2"/>
  <c r="AR1377" i="2"/>
  <c r="AW1377" i="2" s="1"/>
  <c r="BF1377" i="2" s="1"/>
  <c r="AR1290" i="2"/>
  <c r="AW1290" i="2" s="1"/>
  <c r="BF1290" i="2" s="1"/>
  <c r="AM1311" i="2"/>
  <c r="W1311" i="2"/>
  <c r="AH1311" i="2"/>
  <c r="AC1311" i="2"/>
  <c r="AR1183" i="2"/>
  <c r="AW1183" i="2" s="1"/>
  <c r="BF1183" i="2" s="1"/>
  <c r="AM1115" i="2"/>
  <c r="W1115" i="2"/>
  <c r="AC1115" i="2"/>
  <c r="AH1115" i="2"/>
  <c r="AM1051" i="2"/>
  <c r="W1051" i="2"/>
  <c r="AC1051" i="2"/>
  <c r="AH1051" i="2"/>
  <c r="AR1356" i="2"/>
  <c r="AW1356" i="2" s="1"/>
  <c r="BF1356" i="2" s="1"/>
  <c r="AH1228" i="2"/>
  <c r="AC1228" i="2"/>
  <c r="AM1228" i="2"/>
  <c r="W1228" i="2"/>
  <c r="AM1353" i="2"/>
  <c r="W1353" i="2"/>
  <c r="AH1353" i="2"/>
  <c r="AC1353" i="2"/>
  <c r="AR1225" i="2"/>
  <c r="AW1225" i="2" s="1"/>
  <c r="BF1225" i="2" s="1"/>
  <c r="AM836" i="2"/>
  <c r="W836" i="2"/>
  <c r="AC836" i="2"/>
  <c r="AH836" i="2"/>
  <c r="AM772" i="2"/>
  <c r="W772" i="2"/>
  <c r="AC772" i="2"/>
  <c r="AH772" i="2"/>
  <c r="AI929" i="2"/>
  <c r="AD929" i="2"/>
  <c r="AN929" i="2"/>
  <c r="X929" i="2"/>
  <c r="AI925" i="2"/>
  <c r="AD925" i="2"/>
  <c r="AN925" i="2"/>
  <c r="X925" i="2"/>
  <c r="AI921" i="2"/>
  <c r="AD921" i="2"/>
  <c r="AN921" i="2"/>
  <c r="X921" i="2"/>
  <c r="AI913" i="2"/>
  <c r="AD913" i="2"/>
  <c r="AN913" i="2"/>
  <c r="X913" i="2"/>
  <c r="AI909" i="2"/>
  <c r="AD909" i="2"/>
  <c r="AN909" i="2"/>
  <c r="X909" i="2"/>
  <c r="AI905" i="2"/>
  <c r="AD905" i="2"/>
  <c r="AN905" i="2"/>
  <c r="X905" i="2"/>
  <c r="AI897" i="2"/>
  <c r="AD897" i="2"/>
  <c r="AN897" i="2"/>
  <c r="X897" i="2"/>
  <c r="AI893" i="2"/>
  <c r="AD893" i="2"/>
  <c r="AN893" i="2"/>
  <c r="X893" i="2"/>
  <c r="AI889" i="2"/>
  <c r="AD889" i="2"/>
  <c r="AN889" i="2"/>
  <c r="X889" i="2"/>
  <c r="AR701" i="2"/>
  <c r="AW701" i="2" s="1"/>
  <c r="BF701" i="2" s="1"/>
  <c r="AM669" i="2"/>
  <c r="W669" i="2"/>
  <c r="AH669" i="2"/>
  <c r="AC669" i="2"/>
  <c r="AR637" i="2"/>
  <c r="AW637" i="2" s="1"/>
  <c r="BF637" i="2" s="1"/>
  <c r="AR238" i="2"/>
  <c r="AW238" i="2" s="1"/>
  <c r="BF238" i="2" s="1"/>
  <c r="AM536" i="2"/>
  <c r="W536" i="2"/>
  <c r="AH536" i="2"/>
  <c r="AC536" i="2"/>
  <c r="AR253" i="2"/>
  <c r="AW253" i="2" s="1"/>
  <c r="BF253" i="2" s="1"/>
  <c r="AM185" i="2"/>
  <c r="AH185" i="2"/>
  <c r="AC185" i="2"/>
  <c r="W185" i="2"/>
  <c r="AM153" i="2"/>
  <c r="AH153" i="2"/>
  <c r="AC153" i="2"/>
  <c r="W153" i="2"/>
  <c r="AM121" i="2"/>
  <c r="AH121" i="2"/>
  <c r="AC121" i="2"/>
  <c r="W121" i="2"/>
  <c r="AR415" i="2"/>
  <c r="AW415" i="2" s="1"/>
  <c r="BF415" i="2" s="1"/>
  <c r="AR303" i="2"/>
  <c r="AW303" i="2" s="1"/>
  <c r="BF303" i="2" s="1"/>
  <c r="AR271" i="2"/>
  <c r="AW271" i="2" s="1"/>
  <c r="BF271" i="2" s="1"/>
  <c r="AR225" i="2"/>
  <c r="AW225" i="2" s="1"/>
  <c r="BF225" i="2" s="1"/>
  <c r="AR219" i="2"/>
  <c r="AW219" i="2" s="1"/>
  <c r="BF219" i="2" s="1"/>
  <c r="AH2221" i="2"/>
  <c r="AM2221" i="2"/>
  <c r="W2221" i="2"/>
  <c r="AC2221" i="2"/>
  <c r="AR2427" i="2"/>
  <c r="AW2427" i="2" s="1"/>
  <c r="BF2427" i="2" s="1"/>
  <c r="AR2411" i="2"/>
  <c r="AW2411" i="2" s="1"/>
  <c r="BF2411" i="2" s="1"/>
  <c r="AR2452" i="2"/>
  <c r="AW2452" i="2" s="1"/>
  <c r="BF2452" i="2" s="1"/>
  <c r="AR2469" i="2"/>
  <c r="AW2469" i="2" s="1"/>
  <c r="BF2469" i="2" s="1"/>
  <c r="AC2463" i="2"/>
  <c r="AM2463" i="2"/>
  <c r="W2463" i="2"/>
  <c r="AH2463" i="2"/>
  <c r="AR2440" i="2"/>
  <c r="AW2440" i="2" s="1"/>
  <c r="BF2440" i="2" s="1"/>
  <c r="AC2473" i="2"/>
  <c r="AM2473" i="2"/>
  <c r="W2473" i="2"/>
  <c r="AH2473" i="2"/>
  <c r="AM2104" i="2"/>
  <c r="W2104" i="2"/>
  <c r="AH2104" i="2"/>
  <c r="AC2104" i="2"/>
  <c r="AR2063" i="2"/>
  <c r="AW2063" i="2" s="1"/>
  <c r="BF2063" i="2" s="1"/>
  <c r="AR1817" i="2"/>
  <c r="AW1817" i="2" s="1"/>
  <c r="BF1817" i="2" s="1"/>
  <c r="AM1796" i="2"/>
  <c r="W1796" i="2"/>
  <c r="AH1796" i="2"/>
  <c r="AC1796" i="2"/>
  <c r="AR1780" i="2"/>
  <c r="AW1780" i="2" s="1"/>
  <c r="BF1780" i="2" s="1"/>
  <c r="AR1764" i="2"/>
  <c r="AW1764" i="2" s="1"/>
  <c r="BF1764" i="2" s="1"/>
  <c r="AH1726" i="2"/>
  <c r="AM1726" i="2"/>
  <c r="W1726" i="2"/>
  <c r="AC1726" i="2"/>
  <c r="AR1657" i="2"/>
  <c r="AW1657" i="2" s="1"/>
  <c r="BF1657" i="2" s="1"/>
  <c r="AM1593" i="2"/>
  <c r="W1593" i="2"/>
  <c r="AH1593" i="2"/>
  <c r="AC1593" i="2"/>
  <c r="AM1585" i="2"/>
  <c r="W1585" i="2"/>
  <c r="AH1585" i="2"/>
  <c r="AC1585" i="2"/>
  <c r="AH1567" i="2"/>
  <c r="AC1567" i="2"/>
  <c r="AM1567" i="2"/>
  <c r="W1567" i="2"/>
  <c r="AH1551" i="2"/>
  <c r="AC1551" i="2"/>
  <c r="AM1551" i="2"/>
  <c r="W1551" i="2"/>
  <c r="AR1423" i="2"/>
  <c r="AW1423" i="2" s="1"/>
  <c r="BF1423" i="2" s="1"/>
  <c r="AR1407" i="2"/>
  <c r="AW1407" i="2" s="1"/>
  <c r="BF1407" i="2" s="1"/>
  <c r="AH1529" i="2"/>
  <c r="AC1529" i="2"/>
  <c r="AM1529" i="2"/>
  <c r="W1529" i="2"/>
  <c r="AR1514" i="2"/>
  <c r="AW1514" i="2" s="1"/>
  <c r="BF1514" i="2" s="1"/>
  <c r="AR1510" i="2"/>
  <c r="AW1510" i="2" s="1"/>
  <c r="BF1510" i="2" s="1"/>
  <c r="AR1500" i="2"/>
  <c r="AW1500" i="2" s="1"/>
  <c r="BF1500" i="2" s="1"/>
  <c r="AR1496" i="2"/>
  <c r="AW1496" i="2" s="1"/>
  <c r="BF1496" i="2" s="1"/>
  <c r="AR1482" i="2"/>
  <c r="AW1482" i="2" s="1"/>
  <c r="BF1482" i="2" s="1"/>
  <c r="AR1478" i="2"/>
  <c r="AW1478" i="2" s="1"/>
  <c r="BF1478" i="2" s="1"/>
  <c r="AM1615" i="2"/>
  <c r="W1615" i="2"/>
  <c r="AH1615" i="2"/>
  <c r="AC1615" i="2"/>
  <c r="AH1326" i="2"/>
  <c r="AC1326" i="2"/>
  <c r="AM1326" i="2"/>
  <c r="W1326" i="2"/>
  <c r="AR1198" i="2"/>
  <c r="AW1198" i="2" s="1"/>
  <c r="BF1198" i="2" s="1"/>
  <c r="AR1264" i="2"/>
  <c r="AW1264" i="2" s="1"/>
  <c r="BF1264" i="2" s="1"/>
  <c r="AR1093" i="2"/>
  <c r="AW1093" i="2" s="1"/>
  <c r="BF1093" i="2" s="1"/>
  <c r="AR864" i="2"/>
  <c r="AW864" i="2" s="1"/>
  <c r="BF864" i="2" s="1"/>
  <c r="AR800" i="2"/>
  <c r="AW800" i="2" s="1"/>
  <c r="BF800" i="2" s="1"/>
  <c r="AR736" i="2"/>
  <c r="AW736" i="2" s="1"/>
  <c r="BF736" i="2" s="1"/>
  <c r="AR278" i="2"/>
  <c r="AW278" i="2" s="1"/>
  <c r="BF278" i="2" s="1"/>
  <c r="AM277" i="2"/>
  <c r="AH277" i="2"/>
  <c r="AC277" i="2"/>
  <c r="W277" i="2"/>
  <c r="AR387" i="2"/>
  <c r="AW387" i="2" s="1"/>
  <c r="BF387" i="2" s="1"/>
  <c r="AM355" i="2"/>
  <c r="AH355" i="2"/>
  <c r="AC355" i="2"/>
  <c r="W355" i="2"/>
  <c r="AM239" i="2"/>
  <c r="AH239" i="2"/>
  <c r="AC239" i="2"/>
  <c r="W239" i="2"/>
  <c r="AR74" i="2"/>
  <c r="AW74" i="2" s="1"/>
  <c r="BF74" i="2" s="1"/>
  <c r="AR42" i="2"/>
  <c r="AW42" i="2" s="1"/>
  <c r="BF42" i="2" s="1"/>
  <c r="AR10" i="2"/>
  <c r="AW10" i="2" s="1"/>
  <c r="BF10" i="2" s="1"/>
  <c r="AH306" i="2"/>
  <c r="AM306" i="2"/>
  <c r="W306" i="2"/>
  <c r="AC306" i="2"/>
  <c r="AH292" i="2"/>
  <c r="AC292" i="2"/>
  <c r="AM292" i="2"/>
  <c r="W292" i="2"/>
  <c r="AR242" i="2"/>
  <c r="AW242" i="2" s="1"/>
  <c r="BF242" i="2" s="1"/>
  <c r="AR228" i="2"/>
  <c r="AW228" i="2" s="1"/>
  <c r="BF228" i="2" s="1"/>
  <c r="AM177" i="2"/>
  <c r="AH177" i="2"/>
  <c r="AC177" i="2"/>
  <c r="W177" i="2"/>
  <c r="AM113" i="2"/>
  <c r="AH113" i="2"/>
  <c r="AC113" i="2"/>
  <c r="W113" i="2"/>
  <c r="AM173" i="2"/>
  <c r="AH173" i="2"/>
  <c r="AC173" i="2"/>
  <c r="W173" i="2"/>
  <c r="AR8" i="2"/>
  <c r="AW8" i="2" s="1"/>
  <c r="BF8" i="2" s="1"/>
  <c r="AH2490" i="2"/>
  <c r="AM2490" i="2"/>
  <c r="W2490" i="2"/>
  <c r="AC2490" i="2"/>
  <c r="AH2474" i="2"/>
  <c r="AM2474" i="2"/>
  <c r="W2474" i="2"/>
  <c r="AC2474" i="2"/>
  <c r="AR2459" i="2"/>
  <c r="AW2459" i="2" s="1"/>
  <c r="BF2459" i="2" s="1"/>
  <c r="AR2443" i="2"/>
  <c r="AW2443" i="2" s="1"/>
  <c r="BF2443" i="2" s="1"/>
  <c r="AH2480" i="2"/>
  <c r="AC2480" i="2"/>
  <c r="AM2480" i="2"/>
  <c r="W2480" i="2"/>
  <c r="AR2493" i="2"/>
  <c r="AW2493" i="2" s="1"/>
  <c r="BF2493" i="2" s="1"/>
  <c r="AR2485" i="2"/>
  <c r="AW2485" i="2" s="1"/>
  <c r="BF2485" i="2" s="1"/>
  <c r="AR2454" i="2"/>
  <c r="AW2454" i="2" s="1"/>
  <c r="BF2454" i="2" s="1"/>
  <c r="AR2419" i="2"/>
  <c r="AW2419" i="2" s="1"/>
  <c r="BF2419" i="2" s="1"/>
  <c r="AR2460" i="2"/>
  <c r="AW2460" i="2" s="1"/>
  <c r="BF2460" i="2" s="1"/>
  <c r="AM2404" i="2"/>
  <c r="W2404" i="2"/>
  <c r="AC2404" i="2"/>
  <c r="AH2404" i="2"/>
  <c r="AR2162" i="2"/>
  <c r="AW2162" i="2" s="1"/>
  <c r="BF2162" i="2" s="1"/>
  <c r="AR2113" i="2"/>
  <c r="AW2113" i="2" s="1"/>
  <c r="BF2113" i="2" s="1"/>
  <c r="AR2019" i="2"/>
  <c r="AW2019" i="2" s="1"/>
  <c r="BF2019" i="2" s="1"/>
  <c r="AR2007" i="2"/>
  <c r="AW2007" i="2" s="1"/>
  <c r="BF2007" i="2" s="1"/>
  <c r="AH1975" i="2"/>
  <c r="AC1975" i="2"/>
  <c r="AM1975" i="2"/>
  <c r="W1975" i="2"/>
  <c r="AH2005" i="2"/>
  <c r="AC2005" i="2"/>
  <c r="AM2005" i="2"/>
  <c r="W2005" i="2"/>
  <c r="AR1973" i="2"/>
  <c r="AW1973" i="2" s="1"/>
  <c r="BF1973" i="2" s="1"/>
  <c r="AH1941" i="2"/>
  <c r="AC1941" i="2"/>
  <c r="AM1941" i="2"/>
  <c r="W1941" i="2"/>
  <c r="AR1909" i="2"/>
  <c r="AW1909" i="2" s="1"/>
  <c r="BF1909" i="2" s="1"/>
  <c r="AH1877" i="2"/>
  <c r="AC1877" i="2"/>
  <c r="AM1877" i="2"/>
  <c r="W1877" i="2"/>
  <c r="AR1856" i="2"/>
  <c r="AW1856" i="2" s="1"/>
  <c r="BF1856" i="2" s="1"/>
  <c r="AN1787" i="2"/>
  <c r="AI1787" i="2"/>
  <c r="AD1787" i="2"/>
  <c r="X1787" i="2"/>
  <c r="AH1646" i="2"/>
  <c r="AC1646" i="2"/>
  <c r="AM1646" i="2"/>
  <c r="W1646" i="2"/>
  <c r="AH1461" i="2"/>
  <c r="AC1461" i="2"/>
  <c r="AM1461" i="2"/>
  <c r="W1461" i="2"/>
  <c r="AR1541" i="2"/>
  <c r="AW1541" i="2" s="1"/>
  <c r="BF1541" i="2" s="1"/>
  <c r="AR1659" i="2"/>
  <c r="AW1659" i="2" s="1"/>
  <c r="BF1659" i="2" s="1"/>
  <c r="AM1595" i="2"/>
  <c r="W1595" i="2"/>
  <c r="AH1595" i="2"/>
  <c r="AC1595" i="2"/>
  <c r="AM1587" i="2"/>
  <c r="W1587" i="2"/>
  <c r="AH1587" i="2"/>
  <c r="AC1587" i="2"/>
  <c r="AH1549" i="2"/>
  <c r="AC1549" i="2"/>
  <c r="AM1549" i="2"/>
  <c r="W1549" i="2"/>
  <c r="AH1455" i="2"/>
  <c r="AC1455" i="2"/>
  <c r="AM1455" i="2"/>
  <c r="W1455" i="2"/>
  <c r="AH1346" i="2"/>
  <c r="AC1346" i="2"/>
  <c r="AM1346" i="2"/>
  <c r="W1346" i="2"/>
  <c r="AR1218" i="2"/>
  <c r="AW1218" i="2" s="1"/>
  <c r="BF1218" i="2" s="1"/>
  <c r="AR1351" i="2"/>
  <c r="AW1351" i="2" s="1"/>
  <c r="BF1351" i="2" s="1"/>
  <c r="AR1287" i="2"/>
  <c r="AW1287" i="2" s="1"/>
  <c r="BF1287" i="2" s="1"/>
  <c r="AR1223" i="2"/>
  <c r="AW1223" i="2" s="1"/>
  <c r="BF1223" i="2" s="1"/>
  <c r="AM1139" i="2"/>
  <c r="W1139" i="2"/>
  <c r="AC1139" i="2"/>
  <c r="AH1139" i="2"/>
  <c r="AR1348" i="2"/>
  <c r="AW1348" i="2" s="1"/>
  <c r="BF1348" i="2" s="1"/>
  <c r="AH1220" i="2"/>
  <c r="AC1220" i="2"/>
  <c r="AM1220" i="2"/>
  <c r="W1220" i="2"/>
  <c r="AD1151" i="2"/>
  <c r="AI1147" i="2"/>
  <c r="AD1147" i="2"/>
  <c r="AN1147" i="2"/>
  <c r="X1147" i="2"/>
  <c r="AI1143" i="2"/>
  <c r="AD1143" i="2"/>
  <c r="AN1143" i="2"/>
  <c r="X1143" i="2"/>
  <c r="AR1105" i="2"/>
  <c r="AW1105" i="2" s="1"/>
  <c r="BF1105" i="2" s="1"/>
  <c r="AR1057" i="2"/>
  <c r="AW1057" i="2" s="1"/>
  <c r="BF1057" i="2" s="1"/>
  <c r="AM828" i="2"/>
  <c r="W828" i="2"/>
  <c r="AC828" i="2"/>
  <c r="AH828" i="2"/>
  <c r="AM764" i="2"/>
  <c r="W764" i="2"/>
  <c r="AC764" i="2"/>
  <c r="AH764" i="2"/>
  <c r="AC1152" i="2"/>
  <c r="AM1152" i="2"/>
  <c r="W1152" i="2"/>
  <c r="AH1152" i="2"/>
  <c r="AC1148" i="2"/>
  <c r="AM1148" i="2"/>
  <c r="W1148" i="2"/>
  <c r="AH1148" i="2"/>
  <c r="AC1144" i="2"/>
  <c r="AM1144" i="2"/>
  <c r="W1144" i="2"/>
  <c r="AH1144" i="2"/>
  <c r="AR1038" i="2"/>
  <c r="AW1038" i="2" s="1"/>
  <c r="BF1038" i="2" s="1"/>
  <c r="AR1034" i="2"/>
  <c r="AW1034" i="2" s="1"/>
  <c r="BF1034" i="2" s="1"/>
  <c r="AR1030" i="2"/>
  <c r="AW1030" i="2" s="1"/>
  <c r="BF1030" i="2" s="1"/>
  <c r="AR1026" i="2"/>
  <c r="AW1026" i="2" s="1"/>
  <c r="BF1026" i="2" s="1"/>
  <c r="AR1022" i="2"/>
  <c r="AW1022" i="2" s="1"/>
  <c r="BF1022" i="2" s="1"/>
  <c r="AR1018" i="2"/>
  <c r="AW1018" i="2" s="1"/>
  <c r="BF1018" i="2" s="1"/>
  <c r="AR1014" i="2"/>
  <c r="AW1014" i="2" s="1"/>
  <c r="BF1014" i="2" s="1"/>
  <c r="AR1010" i="2"/>
  <c r="AW1010" i="2" s="1"/>
  <c r="BF1010" i="2" s="1"/>
  <c r="AR1006" i="2"/>
  <c r="AW1006" i="2" s="1"/>
  <c r="BF1006" i="2" s="1"/>
  <c r="AR1002" i="2"/>
  <c r="AW1002" i="2" s="1"/>
  <c r="BF1002" i="2" s="1"/>
  <c r="AR998" i="2"/>
  <c r="AW998" i="2" s="1"/>
  <c r="BF998" i="2" s="1"/>
  <c r="AR994" i="2"/>
  <c r="AW994" i="2" s="1"/>
  <c r="BF994" i="2" s="1"/>
  <c r="AR990" i="2"/>
  <c r="AW990" i="2" s="1"/>
  <c r="BF990" i="2" s="1"/>
  <c r="AR986" i="2"/>
  <c r="AW986" i="2" s="1"/>
  <c r="BF986" i="2" s="1"/>
  <c r="AR982" i="2"/>
  <c r="AW982" i="2" s="1"/>
  <c r="BF982" i="2" s="1"/>
  <c r="AR978" i="2"/>
  <c r="AW978" i="2" s="1"/>
  <c r="BF978" i="2" s="1"/>
  <c r="AR974" i="2"/>
  <c r="AW974" i="2" s="1"/>
  <c r="BF974" i="2" s="1"/>
  <c r="AR970" i="2"/>
  <c r="AW970" i="2" s="1"/>
  <c r="BF970" i="2" s="1"/>
  <c r="AR966" i="2"/>
  <c r="AW966" i="2" s="1"/>
  <c r="BF966" i="2" s="1"/>
  <c r="AR962" i="2"/>
  <c r="AW962" i="2" s="1"/>
  <c r="BF962" i="2" s="1"/>
  <c r="AR958" i="2"/>
  <c r="AW958" i="2" s="1"/>
  <c r="BF958" i="2" s="1"/>
  <c r="AR954" i="2"/>
  <c r="AW954" i="2" s="1"/>
  <c r="BF954" i="2" s="1"/>
  <c r="AR950" i="2"/>
  <c r="AW950" i="2" s="1"/>
  <c r="BF950" i="2" s="1"/>
  <c r="AR946" i="2"/>
  <c r="AW946" i="2" s="1"/>
  <c r="BF946" i="2" s="1"/>
  <c r="AR942" i="2"/>
  <c r="AW942" i="2" s="1"/>
  <c r="BF942" i="2" s="1"/>
  <c r="AR938" i="2"/>
  <c r="AW938" i="2" s="1"/>
  <c r="BF938" i="2" s="1"/>
  <c r="AR825" i="2"/>
  <c r="AW825" i="2" s="1"/>
  <c r="BF825" i="2" s="1"/>
  <c r="AR761" i="2"/>
  <c r="AW761" i="2" s="1"/>
  <c r="BF761" i="2" s="1"/>
  <c r="AM707" i="2"/>
  <c r="W707" i="2"/>
  <c r="AH707" i="2"/>
  <c r="AC707" i="2"/>
  <c r="AM691" i="2"/>
  <c r="W691" i="2"/>
  <c r="AH691" i="2"/>
  <c r="AC691" i="2"/>
  <c r="AM675" i="2"/>
  <c r="W675" i="2"/>
  <c r="AH675" i="2"/>
  <c r="AC675" i="2"/>
  <c r="AM659" i="2"/>
  <c r="W659" i="2"/>
  <c r="AH659" i="2"/>
  <c r="AC659" i="2"/>
  <c r="AM643" i="2"/>
  <c r="W643" i="2"/>
  <c r="AH643" i="2"/>
  <c r="AC643" i="2"/>
  <c r="AM627" i="2"/>
  <c r="W627" i="2"/>
  <c r="AH627" i="2"/>
  <c r="AC627" i="2"/>
  <c r="AH521" i="2"/>
  <c r="AC521" i="2"/>
  <c r="AM521" i="2"/>
  <c r="W521" i="2"/>
  <c r="AR318" i="2"/>
  <c r="AW318" i="2" s="1"/>
  <c r="BF318" i="2" s="1"/>
  <c r="AH254" i="2"/>
  <c r="AC254" i="2"/>
  <c r="AM254" i="2"/>
  <c r="W254" i="2"/>
  <c r="AR535" i="2"/>
  <c r="AW535" i="2" s="1"/>
  <c r="BF535" i="2" s="1"/>
  <c r="AM237" i="2"/>
  <c r="AH237" i="2"/>
  <c r="AC237" i="2"/>
  <c r="W237" i="2"/>
  <c r="AH533" i="2"/>
  <c r="AC533" i="2"/>
  <c r="AM533" i="2"/>
  <c r="W533" i="2"/>
  <c r="AM443" i="2"/>
  <c r="AH443" i="2"/>
  <c r="AC443" i="2"/>
  <c r="W443" i="2"/>
  <c r="AR871" i="2"/>
  <c r="AW871" i="2" s="1"/>
  <c r="BF871" i="2" s="1"/>
  <c r="AR855" i="2"/>
  <c r="AW855" i="2" s="1"/>
  <c r="BF855" i="2" s="1"/>
  <c r="AR839" i="2"/>
  <c r="AW839" i="2" s="1"/>
  <c r="BF839" i="2" s="1"/>
  <c r="AR823" i="2"/>
  <c r="AW823" i="2" s="1"/>
  <c r="BF823" i="2" s="1"/>
  <c r="AR807" i="2"/>
  <c r="AW807" i="2" s="1"/>
  <c r="BF807" i="2" s="1"/>
  <c r="AR791" i="2"/>
  <c r="AW791" i="2" s="1"/>
  <c r="BF791" i="2" s="1"/>
  <c r="AR775" i="2"/>
  <c r="AW775" i="2" s="1"/>
  <c r="BF775" i="2" s="1"/>
  <c r="AR759" i="2"/>
  <c r="AW759" i="2" s="1"/>
  <c r="BF759" i="2" s="1"/>
  <c r="AR743" i="2"/>
  <c r="AW743" i="2" s="1"/>
  <c r="BF743" i="2" s="1"/>
  <c r="AR727" i="2"/>
  <c r="AW727" i="2" s="1"/>
  <c r="BF727" i="2" s="1"/>
  <c r="AH298" i="2"/>
  <c r="AM298" i="2"/>
  <c r="W298" i="2"/>
  <c r="AC298" i="2"/>
  <c r="AH284" i="2"/>
  <c r="AC284" i="2"/>
  <c r="W284" i="2"/>
  <c r="AM284" i="2"/>
  <c r="AR234" i="2"/>
  <c r="AW234" i="2" s="1"/>
  <c r="BF234" i="2" s="1"/>
  <c r="AH182" i="2"/>
  <c r="AM182" i="2"/>
  <c r="W182" i="2"/>
  <c r="AC182" i="2"/>
  <c r="AR150" i="2"/>
  <c r="AW150" i="2" s="1"/>
  <c r="BF150" i="2" s="1"/>
  <c r="AH118" i="2"/>
  <c r="AM118" i="2"/>
  <c r="W118" i="2"/>
  <c r="AC118" i="2"/>
  <c r="AR34" i="2"/>
  <c r="AW34" i="2" s="1"/>
  <c r="BF34" i="2" s="1"/>
  <c r="AH19" i="2"/>
  <c r="AM19" i="2"/>
  <c r="W19" i="2"/>
  <c r="AC19" i="2"/>
  <c r="AH456" i="2"/>
  <c r="AC456" i="2"/>
  <c r="AM456" i="2"/>
  <c r="W456" i="2"/>
  <c r="AH426" i="2"/>
  <c r="AM426" i="2"/>
  <c r="W426" i="2"/>
  <c r="AC426" i="2"/>
  <c r="AH384" i="2"/>
  <c r="AC384" i="2"/>
  <c r="AM384" i="2"/>
  <c r="W384" i="2"/>
  <c r="AH352" i="2"/>
  <c r="AC352" i="2"/>
  <c r="AM352" i="2"/>
  <c r="W352" i="2"/>
  <c r="AM255" i="2"/>
  <c r="AH255" i="2"/>
  <c r="AC255" i="2"/>
  <c r="W255" i="2"/>
  <c r="AM17" i="2"/>
  <c r="AH17" i="2"/>
  <c r="AC17" i="2"/>
  <c r="W17" i="2"/>
  <c r="AM257" i="2"/>
  <c r="AH257" i="2"/>
  <c r="AC257" i="2"/>
  <c r="W257" i="2"/>
  <c r="AM251" i="2"/>
  <c r="AH251" i="2"/>
  <c r="AC251" i="2"/>
  <c r="W251" i="2"/>
  <c r="AH62" i="2"/>
  <c r="AC62" i="2"/>
  <c r="W62" i="2"/>
  <c r="AM62" i="2"/>
  <c r="AH56" i="2"/>
  <c r="AC56" i="2"/>
  <c r="W56" i="2"/>
  <c r="AM56" i="2"/>
  <c r="AH50" i="2"/>
  <c r="AM50" i="2"/>
  <c r="W50" i="2"/>
  <c r="AC50" i="2"/>
  <c r="AH5" i="2"/>
  <c r="AM5" i="2"/>
  <c r="W5" i="2"/>
  <c r="AC5" i="2"/>
  <c r="AH2368" i="2"/>
  <c r="AC2368" i="2"/>
  <c r="AM2368" i="2"/>
  <c r="W2368" i="2"/>
  <c r="AH2336" i="2"/>
  <c r="AC2336" i="2"/>
  <c r="AM2336" i="2"/>
  <c r="W2336" i="2"/>
  <c r="AH2320" i="2"/>
  <c r="AC2320" i="2"/>
  <c r="AM2320" i="2"/>
  <c r="W2320" i="2"/>
  <c r="AC2157" i="2"/>
  <c r="AM2157" i="2"/>
  <c r="W2157" i="2"/>
  <c r="AH2157" i="2"/>
  <c r="AC2142" i="2"/>
  <c r="AM2142" i="2"/>
  <c r="W2142" i="2"/>
  <c r="AH2142" i="2"/>
  <c r="AM2182" i="2"/>
  <c r="W2182" i="2"/>
  <c r="AH2182" i="2"/>
  <c r="AC2182" i="2"/>
  <c r="AC2183" i="2"/>
  <c r="AM2183" i="2"/>
  <c r="W2183" i="2"/>
  <c r="AH2183" i="2"/>
  <c r="AR2103" i="2"/>
  <c r="AW2103" i="2" s="1"/>
  <c r="BF2103" i="2" s="1"/>
  <c r="AR1741" i="2"/>
  <c r="AW1741" i="2" s="1"/>
  <c r="BF1741" i="2" s="1"/>
  <c r="AR1725" i="2"/>
  <c r="AW1725" i="2" s="1"/>
  <c r="BF1725" i="2" s="1"/>
  <c r="AR1709" i="2"/>
  <c r="AW1709" i="2" s="1"/>
  <c r="BF1709" i="2" s="1"/>
  <c r="AR1693" i="2"/>
  <c r="AW1693" i="2" s="1"/>
  <c r="BF1693" i="2" s="1"/>
  <c r="AR1677" i="2"/>
  <c r="AW1677" i="2" s="1"/>
  <c r="BF1677" i="2" s="1"/>
  <c r="AM1846" i="2"/>
  <c r="W1846" i="2"/>
  <c r="AH1846" i="2"/>
  <c r="AC1846" i="2"/>
  <c r="AR1734" i="2"/>
  <c r="AW1734" i="2" s="1"/>
  <c r="BF1734" i="2" s="1"/>
  <c r="AR1670" i="2"/>
  <c r="AW1670" i="2" s="1"/>
  <c r="BF1670" i="2" s="1"/>
  <c r="AS1799" i="2"/>
  <c r="AX1799" i="2" s="1"/>
  <c r="BG1799" i="2" s="1"/>
  <c r="AH1626" i="2"/>
  <c r="AC1626" i="2"/>
  <c r="AM1626" i="2"/>
  <c r="W1626" i="2"/>
  <c r="AM1601" i="2"/>
  <c r="W1601" i="2"/>
  <c r="AH1601" i="2"/>
  <c r="AC1601" i="2"/>
  <c r="AH1530" i="2"/>
  <c r="AM1530" i="2"/>
  <c r="W1530" i="2"/>
  <c r="AC1530" i="2"/>
  <c r="AH1481" i="2"/>
  <c r="AC1481" i="2"/>
  <c r="AM1481" i="2"/>
  <c r="W1481" i="2"/>
  <c r="AH1477" i="2"/>
  <c r="AC1477" i="2"/>
  <c r="AM1477" i="2"/>
  <c r="W1477" i="2"/>
  <c r="AH1632" i="2"/>
  <c r="AC1632" i="2"/>
  <c r="AM1632" i="2"/>
  <c r="W1632" i="2"/>
  <c r="AR1539" i="2"/>
  <c r="AW1539" i="2" s="1"/>
  <c r="BF1539" i="2" s="1"/>
  <c r="AH1507" i="2"/>
  <c r="AC1507" i="2"/>
  <c r="AM1507" i="2"/>
  <c r="W1507" i="2"/>
  <c r="AH1497" i="2"/>
  <c r="AC1497" i="2"/>
  <c r="AM1497" i="2"/>
  <c r="W1497" i="2"/>
  <c r="AH1366" i="2"/>
  <c r="AC1366" i="2"/>
  <c r="AM1366" i="2"/>
  <c r="W1366" i="2"/>
  <c r="AR1238" i="2"/>
  <c r="AW1238" i="2" s="1"/>
  <c r="BF1238" i="2" s="1"/>
  <c r="AM1323" i="2"/>
  <c r="W1323" i="2"/>
  <c r="AH1323" i="2"/>
  <c r="AC1323" i="2"/>
  <c r="AM1259" i="2"/>
  <c r="W1259" i="2"/>
  <c r="AH1259" i="2"/>
  <c r="AC1259" i="2"/>
  <c r="AM1195" i="2"/>
  <c r="W1195" i="2"/>
  <c r="AH1195" i="2"/>
  <c r="AC1195" i="2"/>
  <c r="AM1087" i="2"/>
  <c r="W1087" i="2"/>
  <c r="AC1087" i="2"/>
  <c r="AH1087" i="2"/>
  <c r="AR1320" i="2"/>
  <c r="AW1320" i="2" s="1"/>
  <c r="BF1320" i="2" s="1"/>
  <c r="AH1192" i="2"/>
  <c r="AC1192" i="2"/>
  <c r="AM1192" i="2"/>
  <c r="W1192" i="2"/>
  <c r="AR1133" i="2"/>
  <c r="AW1133" i="2" s="1"/>
  <c r="BF1133" i="2" s="1"/>
  <c r="AR1069" i="2"/>
  <c r="AW1069" i="2" s="1"/>
  <c r="BF1069" i="2" s="1"/>
  <c r="AC1136" i="2"/>
  <c r="AM1136" i="2"/>
  <c r="W1136" i="2"/>
  <c r="AH1136" i="2"/>
  <c r="AC1128" i="2"/>
  <c r="AM1128" i="2"/>
  <c r="W1128" i="2"/>
  <c r="AH1128" i="2"/>
  <c r="AC1120" i="2"/>
  <c r="AM1120" i="2"/>
  <c r="W1120" i="2"/>
  <c r="AH1120" i="2"/>
  <c r="AC1112" i="2"/>
  <c r="AM1112" i="2"/>
  <c r="W1112" i="2"/>
  <c r="AH1112" i="2"/>
  <c r="AC1104" i="2"/>
  <c r="AM1104" i="2"/>
  <c r="W1104" i="2"/>
  <c r="AH1104" i="2"/>
  <c r="AC1096" i="2"/>
  <c r="AM1096" i="2"/>
  <c r="W1096" i="2"/>
  <c r="AH1096" i="2"/>
  <c r="AC1088" i="2"/>
  <c r="AM1088" i="2"/>
  <c r="W1088" i="2"/>
  <c r="AH1088" i="2"/>
  <c r="AC1080" i="2"/>
  <c r="AM1080" i="2"/>
  <c r="W1080" i="2"/>
  <c r="AH1080" i="2"/>
  <c r="AC1072" i="2"/>
  <c r="AM1072" i="2"/>
  <c r="W1072" i="2"/>
  <c r="AH1072" i="2"/>
  <c r="AC1064" i="2"/>
  <c r="AM1064" i="2"/>
  <c r="W1064" i="2"/>
  <c r="AH1064" i="2"/>
  <c r="AC1056" i="2"/>
  <c r="AM1056" i="2"/>
  <c r="W1056" i="2"/>
  <c r="AH1056" i="2"/>
  <c r="AC1041" i="2"/>
  <c r="AM1041" i="2"/>
  <c r="W1041" i="2"/>
  <c r="AH1041" i="2"/>
  <c r="AR869" i="2"/>
  <c r="AW869" i="2" s="1"/>
  <c r="BF869" i="2" s="1"/>
  <c r="AR837" i="2"/>
  <c r="AW837" i="2" s="1"/>
  <c r="BF837" i="2" s="1"/>
  <c r="AR805" i="2"/>
  <c r="AW805" i="2" s="1"/>
  <c r="BF805" i="2" s="1"/>
  <c r="AR773" i="2"/>
  <c r="AW773" i="2" s="1"/>
  <c r="BF773" i="2" s="1"/>
  <c r="AR741" i="2"/>
  <c r="AW741" i="2" s="1"/>
  <c r="BF741" i="2" s="1"/>
  <c r="AH494" i="2"/>
  <c r="AC494" i="2"/>
  <c r="AM494" i="2"/>
  <c r="W494" i="2"/>
  <c r="AR478" i="2"/>
  <c r="AW478" i="2" s="1"/>
  <c r="BF478" i="2" s="1"/>
  <c r="AH462" i="2"/>
  <c r="AC462" i="2"/>
  <c r="AM462" i="2"/>
  <c r="W462" i="2"/>
  <c r="AR446" i="2"/>
  <c r="AW446" i="2" s="1"/>
  <c r="BF446" i="2" s="1"/>
  <c r="AH430" i="2"/>
  <c r="AC430" i="2"/>
  <c r="AM430" i="2"/>
  <c r="W430" i="2"/>
  <c r="AR414" i="2"/>
  <c r="AW414" i="2" s="1"/>
  <c r="BF414" i="2" s="1"/>
  <c r="AH262" i="2"/>
  <c r="AC262" i="2"/>
  <c r="AM262" i="2"/>
  <c r="W262" i="2"/>
  <c r="AR483" i="2"/>
  <c r="AW483" i="2" s="1"/>
  <c r="BF483" i="2" s="1"/>
  <c r="AR473" i="2"/>
  <c r="AW473" i="2" s="1"/>
  <c r="BF473" i="2" s="1"/>
  <c r="AM197" i="2"/>
  <c r="AH197" i="2"/>
  <c r="AC197" i="2"/>
  <c r="W197" i="2"/>
  <c r="AR133" i="2"/>
  <c r="AW133" i="2" s="1"/>
  <c r="BF133" i="2" s="1"/>
  <c r="AH80" i="2"/>
  <c r="AC80" i="2"/>
  <c r="AM80" i="2"/>
  <c r="W80" i="2"/>
  <c r="AR210" i="2"/>
  <c r="AW210" i="2" s="1"/>
  <c r="BF210" i="2" s="1"/>
  <c r="AR208" i="2"/>
  <c r="AW208" i="2" s="1"/>
  <c r="BF208" i="2" s="1"/>
  <c r="AH174" i="2"/>
  <c r="AM174" i="2"/>
  <c r="W174" i="2"/>
  <c r="AC174" i="2"/>
  <c r="AR142" i="2"/>
  <c r="AW142" i="2" s="1"/>
  <c r="BF142" i="2" s="1"/>
  <c r="AH110" i="2"/>
  <c r="AM110" i="2"/>
  <c r="W110" i="2"/>
  <c r="AC110" i="2"/>
  <c r="AR141" i="2"/>
  <c r="AW141" i="2" s="1"/>
  <c r="BF141" i="2" s="1"/>
  <c r="AR96" i="2"/>
  <c r="AW96" i="2" s="1"/>
  <c r="BF96" i="2" s="1"/>
  <c r="AM53" i="2"/>
  <c r="W53" i="2"/>
  <c r="AC53" i="2"/>
  <c r="AH53" i="2"/>
  <c r="AH2309" i="2"/>
  <c r="AM2309" i="2"/>
  <c r="W2309" i="2"/>
  <c r="AC2309" i="2"/>
  <c r="AH2301" i="2"/>
  <c r="AM2301" i="2"/>
  <c r="W2301" i="2"/>
  <c r="AC2301" i="2"/>
  <c r="AR2177" i="2"/>
  <c r="AW2177" i="2" s="1"/>
  <c r="BF2177" i="2" s="1"/>
  <c r="AM2076" i="2"/>
  <c r="W2076" i="2"/>
  <c r="AH2076" i="2"/>
  <c r="AC2076" i="2"/>
  <c r="AR2089" i="2"/>
  <c r="AW2089" i="2" s="1"/>
  <c r="BF2089" i="2" s="1"/>
  <c r="AH2057" i="2"/>
  <c r="AC2057" i="2"/>
  <c r="AM2057" i="2"/>
  <c r="W2057" i="2"/>
  <c r="AR1722" i="2"/>
  <c r="AW1722" i="2" s="1"/>
  <c r="BF1722" i="2" s="1"/>
  <c r="AS1827" i="2"/>
  <c r="AX1827" i="2" s="1"/>
  <c r="BG1827" i="2" s="1"/>
  <c r="AM1645" i="2"/>
  <c r="W1645" i="2"/>
  <c r="AH1645" i="2"/>
  <c r="AC1645" i="2"/>
  <c r="AR1533" i="2"/>
  <c r="AW1533" i="2" s="1"/>
  <c r="BF1533" i="2" s="1"/>
  <c r="AM1635" i="2"/>
  <c r="W1635" i="2"/>
  <c r="AH1635" i="2"/>
  <c r="AC1635" i="2"/>
  <c r="AR1475" i="2"/>
  <c r="AW1475" i="2" s="1"/>
  <c r="BF1475" i="2" s="1"/>
  <c r="AR1417" i="2"/>
  <c r="AW1417" i="2" s="1"/>
  <c r="BF1417" i="2" s="1"/>
  <c r="AR1306" i="2"/>
  <c r="AW1306" i="2" s="1"/>
  <c r="BF1306" i="2" s="1"/>
  <c r="AH1178" i="2"/>
  <c r="AC1178" i="2"/>
  <c r="AM1178" i="2"/>
  <c r="W1178" i="2"/>
  <c r="AR1327" i="2"/>
  <c r="AW1327" i="2" s="1"/>
  <c r="BF1327" i="2" s="1"/>
  <c r="AR1263" i="2"/>
  <c r="AW1263" i="2" s="1"/>
  <c r="BF1263" i="2" s="1"/>
  <c r="AR1199" i="2"/>
  <c r="AW1199" i="2" s="1"/>
  <c r="BF1199" i="2" s="1"/>
  <c r="AH1308" i="2"/>
  <c r="AC1308" i="2"/>
  <c r="AM1308" i="2"/>
  <c r="W1308" i="2"/>
  <c r="AR1180" i="2"/>
  <c r="AW1180" i="2" s="1"/>
  <c r="BF1180" i="2" s="1"/>
  <c r="AS1149" i="2"/>
  <c r="AX1149" i="2" s="1"/>
  <c r="BG1149" i="2" s="1"/>
  <c r="AN1141" i="2"/>
  <c r="AR884" i="2"/>
  <c r="AW884" i="2" s="1"/>
  <c r="BF884" i="2" s="1"/>
  <c r="AR820" i="2"/>
  <c r="AW820" i="2" s="1"/>
  <c r="BF820" i="2" s="1"/>
  <c r="AR756" i="2"/>
  <c r="AW756" i="2" s="1"/>
  <c r="BF756" i="2" s="1"/>
  <c r="AC881" i="2"/>
  <c r="AM881" i="2"/>
  <c r="W881" i="2"/>
  <c r="AH881" i="2"/>
  <c r="AC849" i="2"/>
  <c r="AM849" i="2"/>
  <c r="W849" i="2"/>
  <c r="AH849" i="2"/>
  <c r="AC817" i="2"/>
  <c r="AM817" i="2"/>
  <c r="W817" i="2"/>
  <c r="AH817" i="2"/>
  <c r="AC785" i="2"/>
  <c r="AM785" i="2"/>
  <c r="W785" i="2"/>
  <c r="AH785" i="2"/>
  <c r="AC753" i="2"/>
  <c r="AM753" i="2"/>
  <c r="W753" i="2"/>
  <c r="AH753" i="2"/>
  <c r="AM554" i="2"/>
  <c r="W554" i="2"/>
  <c r="AH554" i="2"/>
  <c r="AC554" i="2"/>
  <c r="AM522" i="2"/>
  <c r="W522" i="2"/>
  <c r="AH522" i="2"/>
  <c r="AC522" i="2"/>
  <c r="AS388" i="2"/>
  <c r="AX388" i="2" s="1"/>
  <c r="BG388" i="2" s="1"/>
  <c r="AR326" i="2"/>
  <c r="AW326" i="2" s="1"/>
  <c r="BF326" i="2" s="1"/>
  <c r="AR551" i="2"/>
  <c r="AW551" i="2" s="1"/>
  <c r="BF551" i="2" s="1"/>
  <c r="AH549" i="2"/>
  <c r="AC549" i="2"/>
  <c r="AM549" i="2"/>
  <c r="W549" i="2"/>
  <c r="AR427" i="2"/>
  <c r="AW427" i="2" s="1"/>
  <c r="BF427" i="2" s="1"/>
  <c r="AR878" i="2"/>
  <c r="AW878" i="2" s="1"/>
  <c r="BF878" i="2" s="1"/>
  <c r="AR862" i="2"/>
  <c r="AW862" i="2" s="1"/>
  <c r="BF862" i="2" s="1"/>
  <c r="AR846" i="2"/>
  <c r="AW846" i="2" s="1"/>
  <c r="BF846" i="2" s="1"/>
  <c r="AR830" i="2"/>
  <c r="AW830" i="2" s="1"/>
  <c r="BF830" i="2" s="1"/>
  <c r="AR814" i="2"/>
  <c r="AW814" i="2" s="1"/>
  <c r="BF814" i="2" s="1"/>
  <c r="AR798" i="2"/>
  <c r="AW798" i="2" s="1"/>
  <c r="BF798" i="2" s="1"/>
  <c r="AR782" i="2"/>
  <c r="AW782" i="2" s="1"/>
  <c r="BF782" i="2" s="1"/>
  <c r="AR766" i="2"/>
  <c r="AW766" i="2" s="1"/>
  <c r="BF766" i="2" s="1"/>
  <c r="AR750" i="2"/>
  <c r="AW750" i="2" s="1"/>
  <c r="BF750" i="2" s="1"/>
  <c r="AR734" i="2"/>
  <c r="AW734" i="2" s="1"/>
  <c r="BF734" i="2" s="1"/>
  <c r="AR726" i="2"/>
  <c r="AW726" i="2" s="1"/>
  <c r="BF726" i="2" s="1"/>
  <c r="AR314" i="2"/>
  <c r="AW314" i="2" s="1"/>
  <c r="BF314" i="2" s="1"/>
  <c r="AH266" i="2"/>
  <c r="AM266" i="2"/>
  <c r="W266" i="2"/>
  <c r="AC266" i="2"/>
  <c r="AH252" i="2"/>
  <c r="AC252" i="2"/>
  <c r="W252" i="2"/>
  <c r="AM252" i="2"/>
  <c r="AM223" i="2"/>
  <c r="AH223" i="2"/>
  <c r="AC223" i="2"/>
  <c r="W223" i="2"/>
  <c r="AH258" i="2"/>
  <c r="AM258" i="2"/>
  <c r="W258" i="2"/>
  <c r="AC258" i="2"/>
  <c r="AH244" i="2"/>
  <c r="AC244" i="2"/>
  <c r="AM244" i="2"/>
  <c r="W244" i="2"/>
  <c r="AM463" i="2"/>
  <c r="AH463" i="2"/>
  <c r="AC463" i="2"/>
  <c r="W463" i="2"/>
  <c r="AM111" i="2"/>
  <c r="AC111" i="2"/>
  <c r="AH111" i="2"/>
  <c r="W111" i="2"/>
  <c r="AH14" i="2"/>
  <c r="AM14" i="2"/>
  <c r="AC14" i="2"/>
  <c r="W14" i="2"/>
  <c r="AR2471" i="2"/>
  <c r="AW2471" i="2" s="1"/>
  <c r="BF2471" i="2" s="1"/>
  <c r="AR2384" i="2"/>
  <c r="AW2384" i="2" s="1"/>
  <c r="BF2384" i="2" s="1"/>
  <c r="AR2376" i="2"/>
  <c r="AW2376" i="2" s="1"/>
  <c r="BF2376" i="2" s="1"/>
  <c r="AR2344" i="2"/>
  <c r="AW2344" i="2" s="1"/>
  <c r="BF2344" i="2" s="1"/>
  <c r="AR2476" i="2"/>
  <c r="AW2476" i="2" s="1"/>
  <c r="BF2476" i="2" s="1"/>
  <c r="AC2415" i="2"/>
  <c r="AM2415" i="2"/>
  <c r="W2415" i="2"/>
  <c r="AH2415" i="2"/>
  <c r="AM2456" i="2"/>
  <c r="W2456" i="2"/>
  <c r="AH2456" i="2"/>
  <c r="AC2456" i="2"/>
  <c r="AR2307" i="2"/>
  <c r="AW2307" i="2" s="1"/>
  <c r="BF2307" i="2" s="1"/>
  <c r="AR2299" i="2"/>
  <c r="AW2299" i="2" s="1"/>
  <c r="BF2299" i="2" s="1"/>
  <c r="AR2291" i="2"/>
  <c r="AW2291" i="2" s="1"/>
  <c r="BF2291" i="2" s="1"/>
  <c r="AR2259" i="2"/>
  <c r="AW2259" i="2" s="1"/>
  <c r="BF2259" i="2" s="1"/>
  <c r="AR2227" i="2"/>
  <c r="AW2227" i="2" s="1"/>
  <c r="BF2227" i="2" s="1"/>
  <c r="AR2056" i="2"/>
  <c r="AW2056" i="2" s="1"/>
  <c r="BF2056" i="2" s="1"/>
  <c r="AR2040" i="2"/>
  <c r="AW2040" i="2" s="1"/>
  <c r="BF2040" i="2" s="1"/>
  <c r="AR2036" i="2"/>
  <c r="AW2036" i="2" s="1"/>
  <c r="BF2036" i="2" s="1"/>
  <c r="AR2032" i="2"/>
  <c r="AW2032" i="2" s="1"/>
  <c r="BF2032" i="2" s="1"/>
  <c r="AR2028" i="2"/>
  <c r="AW2028" i="2" s="1"/>
  <c r="BF2028" i="2" s="1"/>
  <c r="AR2024" i="2"/>
  <c r="AW2024" i="2" s="1"/>
  <c r="BF2024" i="2" s="1"/>
  <c r="AR1854" i="2"/>
  <c r="AW1854" i="2" s="1"/>
  <c r="BF1854" i="2" s="1"/>
  <c r="AH1742" i="2"/>
  <c r="AM1742" i="2"/>
  <c r="W1742" i="2"/>
  <c r="AC1742" i="2"/>
  <c r="AH1678" i="2"/>
  <c r="AM1678" i="2"/>
  <c r="W1678" i="2"/>
  <c r="AC1678" i="2"/>
  <c r="AR1571" i="2"/>
  <c r="AW1571" i="2" s="1"/>
  <c r="BF1571" i="2" s="1"/>
  <c r="AH1427" i="2"/>
  <c r="AC1427" i="2"/>
  <c r="AM1427" i="2"/>
  <c r="W1427" i="2"/>
  <c r="AH1538" i="2"/>
  <c r="AM1538" i="2"/>
  <c r="W1538" i="2"/>
  <c r="AC1538" i="2"/>
  <c r="AR1379" i="2"/>
  <c r="AW1379" i="2" s="1"/>
  <c r="BF1379" i="2" s="1"/>
  <c r="AH1656" i="2"/>
  <c r="AC1656" i="2"/>
  <c r="AM1656" i="2"/>
  <c r="W1656" i="2"/>
  <c r="AM1631" i="2"/>
  <c r="W1631" i="2"/>
  <c r="AH1631" i="2"/>
  <c r="AC1631" i="2"/>
  <c r="AR1479" i="2"/>
  <c r="AW1479" i="2" s="1"/>
  <c r="BF1479" i="2" s="1"/>
  <c r="AR1278" i="2"/>
  <c r="AW1278" i="2" s="1"/>
  <c r="BF1278" i="2" s="1"/>
  <c r="AR1214" i="2"/>
  <c r="AW1214" i="2" s="1"/>
  <c r="BF1214" i="2" s="1"/>
  <c r="AH1344" i="2"/>
  <c r="AC1344" i="2"/>
  <c r="AM1344" i="2"/>
  <c r="W1344" i="2"/>
  <c r="AH1280" i="2"/>
  <c r="AC1280" i="2"/>
  <c r="AM1280" i="2"/>
  <c r="W1280" i="2"/>
  <c r="AH1216" i="2"/>
  <c r="AC1216" i="2"/>
  <c r="AM1216" i="2"/>
  <c r="W1216" i="2"/>
  <c r="AR1077" i="2"/>
  <c r="AW1077" i="2" s="1"/>
  <c r="BF1077" i="2" s="1"/>
  <c r="AC877" i="2"/>
  <c r="AM877" i="2"/>
  <c r="W877" i="2"/>
  <c r="AH877" i="2"/>
  <c r="AC845" i="2"/>
  <c r="AM845" i="2"/>
  <c r="W845" i="2"/>
  <c r="AH845" i="2"/>
  <c r="AC813" i="2"/>
  <c r="AM813" i="2"/>
  <c r="W813" i="2"/>
  <c r="AH813" i="2"/>
  <c r="AC781" i="2"/>
  <c r="AM781" i="2"/>
  <c r="W781" i="2"/>
  <c r="AH781" i="2"/>
  <c r="AC749" i="2"/>
  <c r="AM749" i="2"/>
  <c r="W749" i="2"/>
  <c r="AH749" i="2"/>
  <c r="AM309" i="2"/>
  <c r="AH309" i="2"/>
  <c r="AC309" i="2"/>
  <c r="W309" i="2"/>
  <c r="AM510" i="2"/>
  <c r="W510" i="2"/>
  <c r="AH510" i="2"/>
  <c r="AC510" i="2"/>
  <c r="AR331" i="2"/>
  <c r="AW331" i="2" s="1"/>
  <c r="BF331" i="2" s="1"/>
  <c r="AC83" i="2"/>
  <c r="AH83" i="2"/>
  <c r="AM83" i="2"/>
  <c r="W83" i="2"/>
  <c r="AM9" i="2"/>
  <c r="AH9" i="2"/>
  <c r="AC9" i="2"/>
  <c r="W9" i="2"/>
  <c r="AR2500" i="2"/>
  <c r="AW2500" i="2" s="1"/>
  <c r="BF2500" i="2" s="1"/>
  <c r="AR2499" i="2"/>
  <c r="AW2499" i="2" s="1"/>
  <c r="BF2499" i="2" s="1"/>
  <c r="AR2491" i="2"/>
  <c r="AW2491" i="2" s="1"/>
  <c r="BF2491" i="2" s="1"/>
  <c r="AR2377" i="2"/>
  <c r="AW2377" i="2" s="1"/>
  <c r="BF2377" i="2" s="1"/>
  <c r="AR2369" i="2"/>
  <c r="AW2369" i="2" s="1"/>
  <c r="BF2369" i="2" s="1"/>
  <c r="AR2353" i="2"/>
  <c r="AW2353" i="2" s="1"/>
  <c r="BF2353" i="2" s="1"/>
  <c r="AR2337" i="2"/>
  <c r="AW2337" i="2" s="1"/>
  <c r="BF2337" i="2" s="1"/>
  <c r="AR2329" i="2"/>
  <c r="AW2329" i="2" s="1"/>
  <c r="BF2329" i="2" s="1"/>
  <c r="AH2496" i="2"/>
  <c r="AC2496" i="2"/>
  <c r="AM2496" i="2"/>
  <c r="W2496" i="2"/>
  <c r="AM2470" i="2"/>
  <c r="W2470" i="2"/>
  <c r="AH2470" i="2"/>
  <c r="AC2470" i="2"/>
  <c r="AR2435" i="2"/>
  <c r="AW2435" i="2" s="1"/>
  <c r="BF2435" i="2" s="1"/>
  <c r="AM2412" i="2"/>
  <c r="W2412" i="2"/>
  <c r="AH2412" i="2"/>
  <c r="AC2412" i="2"/>
  <c r="AC2445" i="2"/>
  <c r="AM2445" i="2"/>
  <c r="W2445" i="2"/>
  <c r="AH2445" i="2"/>
  <c r="AR2403" i="2"/>
  <c r="AW2403" i="2" s="1"/>
  <c r="BF2403" i="2" s="1"/>
  <c r="AR2395" i="2"/>
  <c r="AW2395" i="2" s="1"/>
  <c r="BF2395" i="2" s="1"/>
  <c r="AR2196" i="2"/>
  <c r="AW2196" i="2" s="1"/>
  <c r="BF2196" i="2" s="1"/>
  <c r="AR2147" i="2"/>
  <c r="AW2147" i="2" s="1"/>
  <c r="BF2147" i="2" s="1"/>
  <c r="AC2149" i="2"/>
  <c r="AM2149" i="2"/>
  <c r="W2149" i="2"/>
  <c r="AH2149" i="2"/>
  <c r="AM2052" i="2"/>
  <c r="W2052" i="2"/>
  <c r="AH2052" i="2"/>
  <c r="AC2052" i="2"/>
  <c r="AH1746" i="2"/>
  <c r="AM1746" i="2"/>
  <c r="W1746" i="2"/>
  <c r="AC1746" i="2"/>
  <c r="AH1682" i="2"/>
  <c r="AM1682" i="2"/>
  <c r="W1682" i="2"/>
  <c r="AC1682" i="2"/>
  <c r="AM1948" i="2"/>
  <c r="W1948" i="2"/>
  <c r="AH1948" i="2"/>
  <c r="AC1948" i="2"/>
  <c r="AM1940" i="2"/>
  <c r="W1940" i="2"/>
  <c r="AH1940" i="2"/>
  <c r="AC1940" i="2"/>
  <c r="AM1932" i="2"/>
  <c r="W1932" i="2"/>
  <c r="AH1932" i="2"/>
  <c r="AC1932" i="2"/>
  <c r="AM1924" i="2"/>
  <c r="W1924" i="2"/>
  <c r="AH1924" i="2"/>
  <c r="AC1924" i="2"/>
  <c r="AM1916" i="2"/>
  <c r="W1916" i="2"/>
  <c r="AH1916" i="2"/>
  <c r="AC1916" i="2"/>
  <c r="AM1908" i="2"/>
  <c r="W1908" i="2"/>
  <c r="AH1908" i="2"/>
  <c r="AC1908" i="2"/>
  <c r="AM1900" i="2"/>
  <c r="W1900" i="2"/>
  <c r="AH1900" i="2"/>
  <c r="AC1900" i="2"/>
  <c r="AM1892" i="2"/>
  <c r="W1892" i="2"/>
  <c r="AH1892" i="2"/>
  <c r="AC1892" i="2"/>
  <c r="AM1884" i="2"/>
  <c r="W1884" i="2"/>
  <c r="AH1884" i="2"/>
  <c r="AC1884" i="2"/>
  <c r="AM1876" i="2"/>
  <c r="W1876" i="2"/>
  <c r="AH1876" i="2"/>
  <c r="AC1876" i="2"/>
  <c r="AM1868" i="2"/>
  <c r="W1868" i="2"/>
  <c r="AH1868" i="2"/>
  <c r="AC1868" i="2"/>
  <c r="AM1860" i="2"/>
  <c r="W1860" i="2"/>
  <c r="AH1860" i="2"/>
  <c r="AC1860" i="2"/>
  <c r="AR1637" i="2"/>
  <c r="AW1637" i="2" s="1"/>
  <c r="BF1637" i="2" s="1"/>
  <c r="AM1581" i="2"/>
  <c r="W1581" i="2"/>
  <c r="AH1581" i="2"/>
  <c r="AC1581" i="2"/>
  <c r="AR1502" i="2"/>
  <c r="AW1502" i="2" s="1"/>
  <c r="BF1502" i="2" s="1"/>
  <c r="AR1465" i="2"/>
  <c r="AW1465" i="2" s="1"/>
  <c r="BF1465" i="2" s="1"/>
  <c r="AR1449" i="2"/>
  <c r="AW1449" i="2" s="1"/>
  <c r="BF1449" i="2" s="1"/>
  <c r="AR1611" i="2"/>
  <c r="AW1611" i="2" s="1"/>
  <c r="BF1611" i="2" s="1"/>
  <c r="AR1569" i="2"/>
  <c r="AW1569" i="2" s="1"/>
  <c r="BF1569" i="2" s="1"/>
  <c r="AH1443" i="2"/>
  <c r="AC1443" i="2"/>
  <c r="AM1443" i="2"/>
  <c r="W1443" i="2"/>
  <c r="AM1367" i="2"/>
  <c r="W1367" i="2"/>
  <c r="AH1367" i="2"/>
  <c r="AC1367" i="2"/>
  <c r="AM1303" i="2"/>
  <c r="W1303" i="2"/>
  <c r="AH1303" i="2"/>
  <c r="AC1303" i="2"/>
  <c r="AM1239" i="2"/>
  <c r="W1239" i="2"/>
  <c r="AH1239" i="2"/>
  <c r="AC1239" i="2"/>
  <c r="AM1345" i="2"/>
  <c r="W1345" i="2"/>
  <c r="AH1345" i="2"/>
  <c r="AC1345" i="2"/>
  <c r="AM1281" i="2"/>
  <c r="W1281" i="2"/>
  <c r="AH1281" i="2"/>
  <c r="AC1281" i="2"/>
  <c r="AM1217" i="2"/>
  <c r="W1217" i="2"/>
  <c r="AH1217" i="2"/>
  <c r="AC1217" i="2"/>
  <c r="AM876" i="2"/>
  <c r="W876" i="2"/>
  <c r="AC876" i="2"/>
  <c r="AH876" i="2"/>
  <c r="AM812" i="2"/>
  <c r="W812" i="2"/>
  <c r="AC812" i="2"/>
  <c r="AH812" i="2"/>
  <c r="AM748" i="2"/>
  <c r="W748" i="2"/>
  <c r="AC748" i="2"/>
  <c r="AH748" i="2"/>
  <c r="AR1138" i="2"/>
  <c r="AW1138" i="2" s="1"/>
  <c r="BF1138" i="2" s="1"/>
  <c r="AR1130" i="2"/>
  <c r="AW1130" i="2" s="1"/>
  <c r="BF1130" i="2" s="1"/>
  <c r="AR1122" i="2"/>
  <c r="AW1122" i="2" s="1"/>
  <c r="BF1122" i="2" s="1"/>
  <c r="AR1114" i="2"/>
  <c r="AW1114" i="2" s="1"/>
  <c r="BF1114" i="2" s="1"/>
  <c r="AR1106" i="2"/>
  <c r="AW1106" i="2" s="1"/>
  <c r="BF1106" i="2" s="1"/>
  <c r="AR1098" i="2"/>
  <c r="AW1098" i="2" s="1"/>
  <c r="BF1098" i="2" s="1"/>
  <c r="AR1090" i="2"/>
  <c r="AW1090" i="2" s="1"/>
  <c r="BF1090" i="2" s="1"/>
  <c r="AR1082" i="2"/>
  <c r="AW1082" i="2" s="1"/>
  <c r="BF1082" i="2" s="1"/>
  <c r="AR1074" i="2"/>
  <c r="AW1074" i="2" s="1"/>
  <c r="BF1074" i="2" s="1"/>
  <c r="AR1066" i="2"/>
  <c r="AW1066" i="2" s="1"/>
  <c r="BF1066" i="2" s="1"/>
  <c r="AR1058" i="2"/>
  <c r="AW1058" i="2" s="1"/>
  <c r="BF1058" i="2" s="1"/>
  <c r="AR1050" i="2"/>
  <c r="AW1050" i="2" s="1"/>
  <c r="BF1050" i="2" s="1"/>
  <c r="AR1048" i="2"/>
  <c r="AW1048" i="2" s="1"/>
  <c r="BF1048" i="2" s="1"/>
  <c r="AI931" i="2"/>
  <c r="AD931" i="2"/>
  <c r="AN931" i="2"/>
  <c r="X931" i="2"/>
  <c r="AI927" i="2"/>
  <c r="AD927" i="2"/>
  <c r="AN927" i="2"/>
  <c r="X927" i="2"/>
  <c r="AI923" i="2"/>
  <c r="AD923" i="2"/>
  <c r="AN923" i="2"/>
  <c r="X923" i="2"/>
  <c r="AI919" i="2"/>
  <c r="AD919" i="2"/>
  <c r="AN919" i="2"/>
  <c r="X919" i="2"/>
  <c r="AI915" i="2"/>
  <c r="AD915" i="2"/>
  <c r="AN915" i="2"/>
  <c r="X915" i="2"/>
  <c r="AI911" i="2"/>
  <c r="AD911" i="2"/>
  <c r="AN911" i="2"/>
  <c r="X911" i="2"/>
  <c r="AI903" i="2"/>
  <c r="AD903" i="2"/>
  <c r="AN903" i="2"/>
  <c r="X903" i="2"/>
  <c r="X899" i="2"/>
  <c r="AC873" i="2"/>
  <c r="AM873" i="2"/>
  <c r="W873" i="2"/>
  <c r="AH873" i="2"/>
  <c r="AC809" i="2"/>
  <c r="AM809" i="2"/>
  <c r="W809" i="2"/>
  <c r="AH809" i="2"/>
  <c r="AC745" i="2"/>
  <c r="AM745" i="2"/>
  <c r="W745" i="2"/>
  <c r="AH745" i="2"/>
  <c r="AR711" i="2"/>
  <c r="AW711" i="2" s="1"/>
  <c r="BF711" i="2" s="1"/>
  <c r="AM679" i="2"/>
  <c r="W679" i="2"/>
  <c r="AH679" i="2"/>
  <c r="AC679" i="2"/>
  <c r="AR647" i="2"/>
  <c r="AW647" i="2" s="1"/>
  <c r="BF647" i="2" s="1"/>
  <c r="AR538" i="2"/>
  <c r="AW538" i="2" s="1"/>
  <c r="BF538" i="2" s="1"/>
  <c r="AR269" i="2"/>
  <c r="AW269" i="2" s="1"/>
  <c r="BF269" i="2" s="1"/>
  <c r="AR936" i="2"/>
  <c r="AW936" i="2" s="1"/>
  <c r="BF936" i="2" s="1"/>
  <c r="AM619" i="2"/>
  <c r="W619" i="2"/>
  <c r="AH619" i="2"/>
  <c r="AC619" i="2"/>
  <c r="AH162" i="2"/>
  <c r="AM162" i="2"/>
  <c r="W162" i="2"/>
  <c r="AC162" i="2"/>
  <c r="AM487" i="2"/>
  <c r="AH487" i="2"/>
  <c r="AC487" i="2"/>
  <c r="W487" i="2"/>
  <c r="AR290" i="2"/>
  <c r="AW290" i="2" s="1"/>
  <c r="BF290" i="2" s="1"/>
  <c r="AR276" i="2"/>
  <c r="AW276" i="2" s="1"/>
  <c r="BF276" i="2" s="1"/>
  <c r="AR425" i="2"/>
  <c r="AW425" i="2" s="1"/>
  <c r="BF425" i="2" s="1"/>
  <c r="AS136" i="2"/>
  <c r="AX136" i="2" s="1"/>
  <c r="BG136" i="2" s="1"/>
  <c r="AS112" i="2"/>
  <c r="AX112" i="2" s="1"/>
  <c r="BG112" i="2" s="1"/>
  <c r="AD152" i="2"/>
  <c r="AN152" i="2"/>
  <c r="AI152" i="2"/>
  <c r="X152" i="2"/>
  <c r="AC2173" i="2"/>
  <c r="AM2173" i="2"/>
  <c r="W2173" i="2"/>
  <c r="AH2173" i="2"/>
  <c r="AR2198" i="2"/>
  <c r="AW2198" i="2" s="1"/>
  <c r="BF2198" i="2" s="1"/>
  <c r="AR2199" i="2"/>
  <c r="AW2199" i="2" s="1"/>
  <c r="BF2199" i="2" s="1"/>
  <c r="AR2096" i="2"/>
  <c r="AW2096" i="2" s="1"/>
  <c r="BF2096" i="2" s="1"/>
  <c r="AH2055" i="2"/>
  <c r="AC2055" i="2"/>
  <c r="AM2055" i="2"/>
  <c r="W2055" i="2"/>
  <c r="AM2042" i="2"/>
  <c r="W2042" i="2"/>
  <c r="AH2042" i="2"/>
  <c r="AC2042" i="2"/>
  <c r="AR1836" i="2"/>
  <c r="AW1836" i="2" s="1"/>
  <c r="BF1836" i="2" s="1"/>
  <c r="AC1809" i="2"/>
  <c r="AM1809" i="2"/>
  <c r="AH1809" i="2"/>
  <c r="W1809" i="2"/>
  <c r="AC1793" i="2"/>
  <c r="AM1793" i="2"/>
  <c r="AH1793" i="2"/>
  <c r="W1793" i="2"/>
  <c r="AC1777" i="2"/>
  <c r="AM1777" i="2"/>
  <c r="AH1777" i="2"/>
  <c r="W1777" i="2"/>
  <c r="AC1761" i="2"/>
  <c r="AM1761" i="2"/>
  <c r="AH1761" i="2"/>
  <c r="W1761" i="2"/>
  <c r="AR1750" i="2"/>
  <c r="AW1750" i="2" s="1"/>
  <c r="BF1750" i="2" s="1"/>
  <c r="AM1617" i="2"/>
  <c r="W1617" i="2"/>
  <c r="AH1617" i="2"/>
  <c r="AC1617" i="2"/>
  <c r="AH1499" i="2"/>
  <c r="AC1499" i="2"/>
  <c r="AM1499" i="2"/>
  <c r="W1499" i="2"/>
  <c r="AH1495" i="2"/>
  <c r="AC1495" i="2"/>
  <c r="AM1495" i="2"/>
  <c r="W1495" i="2"/>
  <c r="AM1623" i="2"/>
  <c r="W1623" i="2"/>
  <c r="AH1623" i="2"/>
  <c r="AC1623" i="2"/>
  <c r="AH1543" i="2"/>
  <c r="AC1543" i="2"/>
  <c r="AM1543" i="2"/>
  <c r="W1543" i="2"/>
  <c r="AR1511" i="2"/>
  <c r="AW1511" i="2" s="1"/>
  <c r="BF1511" i="2" s="1"/>
  <c r="AM1339" i="2"/>
  <c r="W1339" i="2"/>
  <c r="AH1339" i="2"/>
  <c r="AC1339" i="2"/>
  <c r="AM1275" i="2"/>
  <c r="W1275" i="2"/>
  <c r="AH1275" i="2"/>
  <c r="AC1275" i="2"/>
  <c r="AM1211" i="2"/>
  <c r="W1211" i="2"/>
  <c r="AH1211" i="2"/>
  <c r="AC1211" i="2"/>
  <c r="AR1333" i="2"/>
  <c r="AW1333" i="2" s="1"/>
  <c r="BF1333" i="2" s="1"/>
  <c r="AR1269" i="2"/>
  <c r="AW1269" i="2" s="1"/>
  <c r="BF1269" i="2" s="1"/>
  <c r="AR1205" i="2"/>
  <c r="AW1205" i="2" s="1"/>
  <c r="BF1205" i="2" s="1"/>
  <c r="AC879" i="2"/>
  <c r="AM879" i="2"/>
  <c r="W879" i="2"/>
  <c r="AH879" i="2"/>
  <c r="AC863" i="2"/>
  <c r="AM863" i="2"/>
  <c r="W863" i="2"/>
  <c r="AH863" i="2"/>
  <c r="AC847" i="2"/>
  <c r="AM847" i="2"/>
  <c r="W847" i="2"/>
  <c r="AH847" i="2"/>
  <c r="AC831" i="2"/>
  <c r="AM831" i="2"/>
  <c r="W831" i="2"/>
  <c r="AH831" i="2"/>
  <c r="AC815" i="2"/>
  <c r="AM815" i="2"/>
  <c r="W815" i="2"/>
  <c r="AH815" i="2"/>
  <c r="AC799" i="2"/>
  <c r="AM799" i="2"/>
  <c r="W799" i="2"/>
  <c r="AH799" i="2"/>
  <c r="AC783" i="2"/>
  <c r="AM783" i="2"/>
  <c r="W783" i="2"/>
  <c r="AH783" i="2"/>
  <c r="AC767" i="2"/>
  <c r="AM767" i="2"/>
  <c r="W767" i="2"/>
  <c r="AH767" i="2"/>
  <c r="AC751" i="2"/>
  <c r="AM751" i="2"/>
  <c r="W751" i="2"/>
  <c r="AH751" i="2"/>
  <c r="AC735" i="2"/>
  <c r="AM735" i="2"/>
  <c r="W735" i="2"/>
  <c r="AH735" i="2"/>
  <c r="AM544" i="2"/>
  <c r="W544" i="2"/>
  <c r="AH544" i="2"/>
  <c r="AC544" i="2"/>
  <c r="AR293" i="2"/>
  <c r="AW293" i="2" s="1"/>
  <c r="BF293" i="2" s="1"/>
  <c r="AM540" i="2"/>
  <c r="W540" i="2"/>
  <c r="AH540" i="2"/>
  <c r="AC540" i="2"/>
  <c r="AM508" i="2"/>
  <c r="W508" i="2"/>
  <c r="AH508" i="2"/>
  <c r="AC508" i="2"/>
  <c r="AR268" i="2"/>
  <c r="AW268" i="2" s="1"/>
  <c r="BF268" i="2" s="1"/>
  <c r="AR187" i="2"/>
  <c r="AW187" i="2" s="1"/>
  <c r="BF187" i="2" s="1"/>
  <c r="AR171" i="2"/>
  <c r="AW171" i="2" s="1"/>
  <c r="BF171" i="2" s="1"/>
  <c r="AR155" i="2"/>
  <c r="AW155" i="2" s="1"/>
  <c r="BF155" i="2" s="1"/>
  <c r="AR139" i="2"/>
  <c r="AW139" i="2" s="1"/>
  <c r="BF139" i="2" s="1"/>
  <c r="AR123" i="2"/>
  <c r="AW123" i="2" s="1"/>
  <c r="BF123" i="2" s="1"/>
  <c r="AR107" i="2"/>
  <c r="AW107" i="2" s="1"/>
  <c r="BF107" i="2" s="1"/>
  <c r="AR95" i="2"/>
  <c r="AW95" i="2" s="1"/>
  <c r="BF95" i="2" s="1"/>
  <c r="AR41" i="2"/>
  <c r="AW41" i="2" s="1"/>
  <c r="BF41" i="2" s="1"/>
  <c r="AR31" i="2"/>
  <c r="AW31" i="2" s="1"/>
  <c r="BF31" i="2" s="1"/>
  <c r="AR151" i="2"/>
  <c r="AW151" i="2" s="1"/>
  <c r="BF151" i="2" s="1"/>
  <c r="W15" i="2"/>
  <c r="AC15" i="2"/>
  <c r="AH15" i="2"/>
  <c r="AM15" i="2"/>
  <c r="AR305" i="2"/>
  <c r="AW305" i="2" s="1"/>
  <c r="BF305" i="2" s="1"/>
  <c r="AR299" i="2"/>
  <c r="AW299" i="2" s="1"/>
  <c r="BF299" i="2" s="1"/>
  <c r="W77" i="2"/>
  <c r="AC77" i="2"/>
  <c r="AH77" i="2"/>
  <c r="AM77" i="2"/>
  <c r="AR91" i="2"/>
  <c r="AW91" i="2" s="1"/>
  <c r="BF91" i="2" s="1"/>
  <c r="AR76" i="2"/>
  <c r="AW76" i="2" s="1"/>
  <c r="BF76" i="2" s="1"/>
  <c r="AR12" i="2"/>
  <c r="AW12" i="2" s="1"/>
  <c r="BF12" i="2" s="1"/>
  <c r="AR2092" i="2"/>
  <c r="AW2092" i="2" s="1"/>
  <c r="BF2092" i="2" s="1"/>
  <c r="AR1849" i="2"/>
  <c r="AW1849" i="2" s="1"/>
  <c r="BF1849" i="2" s="1"/>
  <c r="AR1753" i="2"/>
  <c r="AW1753" i="2" s="1"/>
  <c r="BF1753" i="2" s="1"/>
  <c r="AR1737" i="2"/>
  <c r="AW1737" i="2" s="1"/>
  <c r="BF1737" i="2" s="1"/>
  <c r="AR1721" i="2"/>
  <c r="AW1721" i="2" s="1"/>
  <c r="BF1721" i="2" s="1"/>
  <c r="AR1705" i="2"/>
  <c r="AW1705" i="2" s="1"/>
  <c r="BF1705" i="2" s="1"/>
  <c r="AR1689" i="2"/>
  <c r="AW1689" i="2" s="1"/>
  <c r="BF1689" i="2" s="1"/>
  <c r="AR1673" i="2"/>
  <c r="AW1673" i="2" s="1"/>
  <c r="BF1673" i="2" s="1"/>
  <c r="AH1674" i="2"/>
  <c r="AM1674" i="2"/>
  <c r="W1674" i="2"/>
  <c r="AC1674" i="2"/>
  <c r="AR1661" i="2"/>
  <c r="AW1661" i="2" s="1"/>
  <c r="BF1661" i="2" s="1"/>
  <c r="AM1597" i="2"/>
  <c r="W1597" i="2"/>
  <c r="AH1597" i="2"/>
  <c r="AC1597" i="2"/>
  <c r="AH1501" i="2"/>
  <c r="AC1501" i="2"/>
  <c r="AM1501" i="2"/>
  <c r="W1501" i="2"/>
  <c r="AM1651" i="2"/>
  <c r="W1651" i="2"/>
  <c r="AH1651" i="2"/>
  <c r="AC1651" i="2"/>
  <c r="AR1472" i="2"/>
  <c r="AW1472" i="2" s="1"/>
  <c r="BF1472" i="2" s="1"/>
  <c r="AR1468" i="2"/>
  <c r="AW1468" i="2" s="1"/>
  <c r="BF1468" i="2" s="1"/>
  <c r="AR1464" i="2"/>
  <c r="AW1464" i="2" s="1"/>
  <c r="BF1464" i="2" s="1"/>
  <c r="AR1460" i="2"/>
  <c r="AW1460" i="2" s="1"/>
  <c r="BF1460" i="2" s="1"/>
  <c r="AR1456" i="2"/>
  <c r="AW1456" i="2" s="1"/>
  <c r="BF1456" i="2" s="1"/>
  <c r="AR1452" i="2"/>
  <c r="AW1452" i="2" s="1"/>
  <c r="BF1452" i="2" s="1"/>
  <c r="AR1448" i="2"/>
  <c r="AW1448" i="2" s="1"/>
  <c r="BF1448" i="2" s="1"/>
  <c r="AR1444" i="2"/>
  <c r="AW1444" i="2" s="1"/>
  <c r="BF1444" i="2" s="1"/>
  <c r="AH1437" i="2"/>
  <c r="AC1437" i="2"/>
  <c r="AM1437" i="2"/>
  <c r="W1437" i="2"/>
  <c r="AH1421" i="2"/>
  <c r="AC1421" i="2"/>
  <c r="AM1421" i="2"/>
  <c r="W1421" i="2"/>
  <c r="AH1405" i="2"/>
  <c r="AC1405" i="2"/>
  <c r="AM1405" i="2"/>
  <c r="W1405" i="2"/>
  <c r="AR1343" i="2"/>
  <c r="AW1343" i="2" s="1"/>
  <c r="BF1343" i="2" s="1"/>
  <c r="AR1279" i="2"/>
  <c r="AW1279" i="2" s="1"/>
  <c r="BF1279" i="2" s="1"/>
  <c r="AR1215" i="2"/>
  <c r="AW1215" i="2" s="1"/>
  <c r="BF1215" i="2" s="1"/>
  <c r="AM1083" i="2"/>
  <c r="W1083" i="2"/>
  <c r="AC1083" i="2"/>
  <c r="AH1083" i="2"/>
  <c r="AM1321" i="2"/>
  <c r="W1321" i="2"/>
  <c r="AH1321" i="2"/>
  <c r="AC1321" i="2"/>
  <c r="AM1257" i="2"/>
  <c r="W1257" i="2"/>
  <c r="AH1257" i="2"/>
  <c r="AC1257" i="2"/>
  <c r="AM1193" i="2"/>
  <c r="W1193" i="2"/>
  <c r="AH1193" i="2"/>
  <c r="AC1193" i="2"/>
  <c r="AM1081" i="2"/>
  <c r="W1081" i="2"/>
  <c r="AC1081" i="2"/>
  <c r="AH1081" i="2"/>
  <c r="AM868" i="2"/>
  <c r="W868" i="2"/>
  <c r="AC868" i="2"/>
  <c r="AH868" i="2"/>
  <c r="AM804" i="2"/>
  <c r="W804" i="2"/>
  <c r="AC804" i="2"/>
  <c r="AH804" i="2"/>
  <c r="AM740" i="2"/>
  <c r="W740" i="2"/>
  <c r="AC740" i="2"/>
  <c r="AH740" i="2"/>
  <c r="AR1134" i="2"/>
  <c r="AW1134" i="2" s="1"/>
  <c r="BF1134" i="2" s="1"/>
  <c r="AR1126" i="2"/>
  <c r="AW1126" i="2" s="1"/>
  <c r="BF1126" i="2" s="1"/>
  <c r="AR1118" i="2"/>
  <c r="AW1118" i="2" s="1"/>
  <c r="BF1118" i="2" s="1"/>
  <c r="AR1110" i="2"/>
  <c r="AW1110" i="2" s="1"/>
  <c r="BF1110" i="2" s="1"/>
  <c r="AR1102" i="2"/>
  <c r="AW1102" i="2" s="1"/>
  <c r="BF1102" i="2" s="1"/>
  <c r="AR1094" i="2"/>
  <c r="AW1094" i="2" s="1"/>
  <c r="BF1094" i="2" s="1"/>
  <c r="AR1086" i="2"/>
  <c r="AW1086" i="2" s="1"/>
  <c r="BF1086" i="2" s="1"/>
  <c r="AR1078" i="2"/>
  <c r="AW1078" i="2" s="1"/>
  <c r="BF1078" i="2" s="1"/>
  <c r="AR1070" i="2"/>
  <c r="AW1070" i="2" s="1"/>
  <c r="BF1070" i="2" s="1"/>
  <c r="AR1062" i="2"/>
  <c r="AW1062" i="2" s="1"/>
  <c r="BF1062" i="2" s="1"/>
  <c r="AR1054" i="2"/>
  <c r="AW1054" i="2" s="1"/>
  <c r="BF1054" i="2" s="1"/>
  <c r="AC1047" i="2"/>
  <c r="AM1047" i="2"/>
  <c r="W1047" i="2"/>
  <c r="AH1047" i="2"/>
  <c r="AM1040" i="2"/>
  <c r="W1040" i="2"/>
  <c r="AC1040" i="2"/>
  <c r="AH1040" i="2"/>
  <c r="AM1036" i="2"/>
  <c r="W1036" i="2"/>
  <c r="AC1036" i="2"/>
  <c r="AH1036" i="2"/>
  <c r="AM1032" i="2"/>
  <c r="W1032" i="2"/>
  <c r="AC1032" i="2"/>
  <c r="AH1032" i="2"/>
  <c r="AM1028" i="2"/>
  <c r="W1028" i="2"/>
  <c r="AC1028" i="2"/>
  <c r="AH1028" i="2"/>
  <c r="AM1024" i="2"/>
  <c r="W1024" i="2"/>
  <c r="AC1024" i="2"/>
  <c r="AH1024" i="2"/>
  <c r="AM1020" i="2"/>
  <c r="W1020" i="2"/>
  <c r="AC1020" i="2"/>
  <c r="AH1020" i="2"/>
  <c r="AM1016" i="2"/>
  <c r="W1016" i="2"/>
  <c r="AC1016" i="2"/>
  <c r="AH1016" i="2"/>
  <c r="AM1012" i="2"/>
  <c r="W1012" i="2"/>
  <c r="AC1012" i="2"/>
  <c r="AH1012" i="2"/>
  <c r="AM1008" i="2"/>
  <c r="W1008" i="2"/>
  <c r="AC1008" i="2"/>
  <c r="AH1008" i="2"/>
  <c r="AM1004" i="2"/>
  <c r="W1004" i="2"/>
  <c r="AC1004" i="2"/>
  <c r="AH1004" i="2"/>
  <c r="AM1000" i="2"/>
  <c r="W1000" i="2"/>
  <c r="AC1000" i="2"/>
  <c r="AH1000" i="2"/>
  <c r="AM996" i="2"/>
  <c r="W996" i="2"/>
  <c r="AC996" i="2"/>
  <c r="AH996" i="2"/>
  <c r="AM992" i="2"/>
  <c r="W992" i="2"/>
  <c r="AC992" i="2"/>
  <c r="AH992" i="2"/>
  <c r="AM988" i="2"/>
  <c r="W988" i="2"/>
  <c r="AC988" i="2"/>
  <c r="AH988" i="2"/>
  <c r="AM984" i="2"/>
  <c r="W984" i="2"/>
  <c r="AC984" i="2"/>
  <c r="AH984" i="2"/>
  <c r="AM980" i="2"/>
  <c r="W980" i="2"/>
  <c r="AC980" i="2"/>
  <c r="AH980" i="2"/>
  <c r="AM976" i="2"/>
  <c r="W976" i="2"/>
  <c r="AC976" i="2"/>
  <c r="AH976" i="2"/>
  <c r="AM972" i="2"/>
  <c r="W972" i="2"/>
  <c r="AC972" i="2"/>
  <c r="AH972" i="2"/>
  <c r="AM968" i="2"/>
  <c r="W968" i="2"/>
  <c r="AC968" i="2"/>
  <c r="AH968" i="2"/>
  <c r="AM964" i="2"/>
  <c r="W964" i="2"/>
  <c r="AC964" i="2"/>
  <c r="AH964" i="2"/>
  <c r="AM960" i="2"/>
  <c r="W960" i="2"/>
  <c r="AC960" i="2"/>
  <c r="AH960" i="2"/>
  <c r="AM956" i="2"/>
  <c r="W956" i="2"/>
  <c r="AC956" i="2"/>
  <c r="AH956" i="2"/>
  <c r="AM952" i="2"/>
  <c r="W952" i="2"/>
  <c r="AC952" i="2"/>
  <c r="AH952" i="2"/>
  <c r="AM948" i="2"/>
  <c r="W948" i="2"/>
  <c r="AC948" i="2"/>
  <c r="AH948" i="2"/>
  <c r="AM944" i="2"/>
  <c r="W944" i="2"/>
  <c r="AC944" i="2"/>
  <c r="AH944" i="2"/>
  <c r="AM940" i="2"/>
  <c r="W940" i="2"/>
  <c r="AC940" i="2"/>
  <c r="AH940" i="2"/>
  <c r="AR709" i="2"/>
  <c r="AW709" i="2" s="1"/>
  <c r="BF709" i="2" s="1"/>
  <c r="AR693" i="2"/>
  <c r="AW693" i="2" s="1"/>
  <c r="BF693" i="2" s="1"/>
  <c r="AR677" i="2"/>
  <c r="AW677" i="2" s="1"/>
  <c r="BF677" i="2" s="1"/>
  <c r="AR661" i="2"/>
  <c r="AW661" i="2" s="1"/>
  <c r="BF661" i="2" s="1"/>
  <c r="AR645" i="2"/>
  <c r="AW645" i="2" s="1"/>
  <c r="BF645" i="2" s="1"/>
  <c r="AR629" i="2"/>
  <c r="AW629" i="2" s="1"/>
  <c r="BF629" i="2" s="1"/>
  <c r="AH358" i="2"/>
  <c r="AC358" i="2"/>
  <c r="AM358" i="2"/>
  <c r="W358" i="2"/>
  <c r="AR302" i="2"/>
  <c r="AW302" i="2" s="1"/>
  <c r="BF302" i="2" s="1"/>
  <c r="AD304" i="2"/>
  <c r="AS288" i="2"/>
  <c r="AX288" i="2" s="1"/>
  <c r="BG288" i="2" s="1"/>
  <c r="AD272" i="2"/>
  <c r="AN272" i="2"/>
  <c r="AI272" i="2"/>
  <c r="X272" i="2"/>
  <c r="AR146" i="2"/>
  <c r="AW146" i="2" s="1"/>
  <c r="BF146" i="2" s="1"/>
  <c r="W45" i="2"/>
  <c r="AC45" i="2"/>
  <c r="AH45" i="2"/>
  <c r="AM45" i="2"/>
  <c r="W23" i="2"/>
  <c r="AC23" i="2"/>
  <c r="AH23" i="2"/>
  <c r="AM23" i="2"/>
  <c r="AM2464" i="2"/>
  <c r="W2464" i="2"/>
  <c r="AH2464" i="2"/>
  <c r="AC2464" i="2"/>
  <c r="AC2399" i="2"/>
  <c r="AM2399" i="2"/>
  <c r="W2399" i="2"/>
  <c r="AH2399" i="2"/>
  <c r="AC2409" i="2"/>
  <c r="AM2409" i="2"/>
  <c r="W2409" i="2"/>
  <c r="AH2409" i="2"/>
  <c r="AM2402" i="2"/>
  <c r="W2402" i="2"/>
  <c r="AC2402" i="2"/>
  <c r="AH2402" i="2"/>
  <c r="AR2441" i="2"/>
  <c r="AW2441" i="2" s="1"/>
  <c r="BF2441" i="2" s="1"/>
  <c r="AR2205" i="2"/>
  <c r="AW2205" i="2" s="1"/>
  <c r="BF2205" i="2" s="1"/>
  <c r="AR2431" i="2"/>
  <c r="AW2431" i="2" s="1"/>
  <c r="BF2431" i="2" s="1"/>
  <c r="AM2472" i="2"/>
  <c r="W2472" i="2"/>
  <c r="AH2472" i="2"/>
  <c r="AC2472" i="2"/>
  <c r="AH2313" i="2"/>
  <c r="AM2313" i="2"/>
  <c r="W2313" i="2"/>
  <c r="AC2313" i="2"/>
  <c r="AH2289" i="2"/>
  <c r="AM2289" i="2"/>
  <c r="W2289" i="2"/>
  <c r="AC2289" i="2"/>
  <c r="AH2265" i="2"/>
  <c r="AM2265" i="2"/>
  <c r="W2265" i="2"/>
  <c r="AC2265" i="2"/>
  <c r="AH2241" i="2"/>
  <c r="AM2241" i="2"/>
  <c r="W2241" i="2"/>
  <c r="AC2241" i="2"/>
  <c r="AH2217" i="2"/>
  <c r="AM2217" i="2"/>
  <c r="W2217" i="2"/>
  <c r="AC2217" i="2"/>
  <c r="AH2283" i="2"/>
  <c r="AM2283" i="2"/>
  <c r="W2283" i="2"/>
  <c r="AC2283" i="2"/>
  <c r="AM2176" i="2"/>
  <c r="W2176" i="2"/>
  <c r="AH2176" i="2"/>
  <c r="AC2176" i="2"/>
  <c r="AM1788" i="2"/>
  <c r="W1788" i="2"/>
  <c r="AH1788" i="2"/>
  <c r="AC1788" i="2"/>
  <c r="AR1772" i="2"/>
  <c r="AW1772" i="2" s="1"/>
  <c r="BF1772" i="2" s="1"/>
  <c r="AR1733" i="2"/>
  <c r="AW1733" i="2" s="1"/>
  <c r="BF1733" i="2" s="1"/>
  <c r="AR1685" i="2"/>
  <c r="AW1685" i="2" s="1"/>
  <c r="BF1685" i="2" s="1"/>
  <c r="AH1694" i="2"/>
  <c r="AM1694" i="2"/>
  <c r="W1694" i="2"/>
  <c r="AC1694" i="2"/>
  <c r="AR1575" i="2"/>
  <c r="AW1575" i="2" s="1"/>
  <c r="BF1575" i="2" s="1"/>
  <c r="AH1415" i="2"/>
  <c r="AC1415" i="2"/>
  <c r="AM1415" i="2"/>
  <c r="W1415" i="2"/>
  <c r="AR1358" i="2"/>
  <c r="AW1358" i="2" s="1"/>
  <c r="BF1358" i="2" s="1"/>
  <c r="AR1294" i="2"/>
  <c r="AW1294" i="2" s="1"/>
  <c r="BF1294" i="2" s="1"/>
  <c r="AR1230" i="2"/>
  <c r="AW1230" i="2" s="1"/>
  <c r="BF1230" i="2" s="1"/>
  <c r="AR1360" i="2"/>
  <c r="AW1360" i="2" s="1"/>
  <c r="BF1360" i="2" s="1"/>
  <c r="AC1166" i="2"/>
  <c r="AM1166" i="2"/>
  <c r="W1166" i="2"/>
  <c r="AH1166" i="2"/>
  <c r="AR1309" i="2"/>
  <c r="AW1309" i="2" s="1"/>
  <c r="BF1309" i="2" s="1"/>
  <c r="AR832" i="2"/>
  <c r="AW832" i="2" s="1"/>
  <c r="BF832" i="2" s="1"/>
  <c r="AR768" i="2"/>
  <c r="AW768" i="2" s="1"/>
  <c r="BF768" i="2" s="1"/>
  <c r="AR720" i="2"/>
  <c r="AW720" i="2" s="1"/>
  <c r="BF720" i="2" s="1"/>
  <c r="AR708" i="2"/>
  <c r="AW708" i="2" s="1"/>
  <c r="BF708" i="2" s="1"/>
  <c r="AR696" i="2"/>
  <c r="AW696" i="2" s="1"/>
  <c r="BF696" i="2" s="1"/>
  <c r="AR684" i="2"/>
  <c r="AW684" i="2" s="1"/>
  <c r="BF684" i="2" s="1"/>
  <c r="AR668" i="2"/>
  <c r="AW668" i="2" s="1"/>
  <c r="BF668" i="2" s="1"/>
  <c r="AR660" i="2"/>
  <c r="AW660" i="2" s="1"/>
  <c r="BF660" i="2" s="1"/>
  <c r="AR648" i="2"/>
  <c r="AW648" i="2" s="1"/>
  <c r="BF648" i="2" s="1"/>
  <c r="AR636" i="2"/>
  <c r="AW636" i="2" s="1"/>
  <c r="BF636" i="2" s="1"/>
  <c r="AR628" i="2"/>
  <c r="AW628" i="2" s="1"/>
  <c r="BF628" i="2" s="1"/>
  <c r="AR620" i="2"/>
  <c r="AW620" i="2" s="1"/>
  <c r="BF620" i="2" s="1"/>
  <c r="AS380" i="2"/>
  <c r="AX380" i="2" s="1"/>
  <c r="BG380" i="2" s="1"/>
  <c r="AR214" i="2"/>
  <c r="AW214" i="2" s="1"/>
  <c r="BF214" i="2" s="1"/>
  <c r="AR930" i="2"/>
  <c r="AW930" i="2" s="1"/>
  <c r="BF930" i="2" s="1"/>
  <c r="AR922" i="2"/>
  <c r="AW922" i="2" s="1"/>
  <c r="BF922" i="2" s="1"/>
  <c r="AR910" i="2"/>
  <c r="AW910" i="2" s="1"/>
  <c r="BF910" i="2" s="1"/>
  <c r="AR898" i="2"/>
  <c r="AW898" i="2" s="1"/>
  <c r="BF898" i="2" s="1"/>
  <c r="AR890" i="2"/>
  <c r="AW890" i="2" s="1"/>
  <c r="BF890" i="2" s="1"/>
  <c r="AM477" i="2"/>
  <c r="AH477" i="2"/>
  <c r="AC477" i="2"/>
  <c r="W477" i="2"/>
  <c r="AM445" i="2"/>
  <c r="AH445" i="2"/>
  <c r="AC445" i="2"/>
  <c r="W445" i="2"/>
  <c r="AM413" i="2"/>
  <c r="AH413" i="2"/>
  <c r="AC413" i="2"/>
  <c r="W413" i="2"/>
  <c r="AH555" i="2"/>
  <c r="AC555" i="2"/>
  <c r="AM555" i="2"/>
  <c r="W555" i="2"/>
  <c r="AH539" i="2"/>
  <c r="AC539" i="2"/>
  <c r="AM539" i="2"/>
  <c r="W539" i="2"/>
  <c r="AH515" i="2"/>
  <c r="AC515" i="2"/>
  <c r="AM515" i="2"/>
  <c r="W515" i="2"/>
  <c r="AC323" i="2"/>
  <c r="W323" i="2"/>
  <c r="AM323" i="2"/>
  <c r="AH323" i="2"/>
  <c r="AH36" i="2"/>
  <c r="AM36" i="2"/>
  <c r="AC36" i="2"/>
  <c r="W36" i="2"/>
  <c r="AH458" i="2"/>
  <c r="AM458" i="2"/>
  <c r="W458" i="2"/>
  <c r="AC458" i="2"/>
  <c r="AH360" i="2"/>
  <c r="AC360" i="2"/>
  <c r="AM360" i="2"/>
  <c r="W360" i="2"/>
  <c r="AM502" i="2"/>
  <c r="W502" i="2"/>
  <c r="AH502" i="2"/>
  <c r="AC502" i="2"/>
  <c r="AM263" i="2"/>
  <c r="AH263" i="2"/>
  <c r="AC263" i="2"/>
  <c r="W263" i="2"/>
  <c r="AM127" i="2"/>
  <c r="AC127" i="2"/>
  <c r="AH127" i="2"/>
  <c r="W127" i="2"/>
  <c r="AH26" i="2"/>
  <c r="AM26" i="2"/>
  <c r="W26" i="2"/>
  <c r="AC26" i="2"/>
  <c r="AR2451" i="2"/>
  <c r="AW2451" i="2" s="1"/>
  <c r="BF2451" i="2" s="1"/>
  <c r="AM2428" i="2"/>
  <c r="W2428" i="2"/>
  <c r="AH2428" i="2"/>
  <c r="AC2428" i="2"/>
  <c r="AR2194" i="2"/>
  <c r="AW2194" i="2" s="1"/>
  <c r="BF2194" i="2" s="1"/>
  <c r="AR2195" i="2"/>
  <c r="AW2195" i="2" s="1"/>
  <c r="BF2195" i="2" s="1"/>
  <c r="AR2140" i="2"/>
  <c r="AW2140" i="2" s="1"/>
  <c r="BF2140" i="2" s="1"/>
  <c r="AR2134" i="2"/>
  <c r="AW2134" i="2" s="1"/>
  <c r="BF2134" i="2" s="1"/>
  <c r="AR2128" i="2"/>
  <c r="AW2128" i="2" s="1"/>
  <c r="BF2128" i="2" s="1"/>
  <c r="AR2124" i="2"/>
  <c r="AW2124" i="2" s="1"/>
  <c r="BF2124" i="2" s="1"/>
  <c r="AR2118" i="2"/>
  <c r="AW2118" i="2" s="1"/>
  <c r="BF2118" i="2" s="1"/>
  <c r="AR1698" i="2"/>
  <c r="AW1698" i="2" s="1"/>
  <c r="BF1698" i="2" s="1"/>
  <c r="AR1589" i="2"/>
  <c r="AW1589" i="2" s="1"/>
  <c r="BF1589" i="2" s="1"/>
  <c r="AR1652" i="2"/>
  <c r="AW1652" i="2" s="1"/>
  <c r="BF1652" i="2" s="1"/>
  <c r="AM1390" i="2"/>
  <c r="W1390" i="2"/>
  <c r="AC1390" i="2"/>
  <c r="AH1390" i="2"/>
  <c r="AM1372" i="2"/>
  <c r="W1372" i="2"/>
  <c r="AH1372" i="2"/>
  <c r="AC1372" i="2"/>
  <c r="AM1297" i="2"/>
  <c r="W1297" i="2"/>
  <c r="AH1297" i="2"/>
  <c r="AC1297" i="2"/>
  <c r="AR374" i="2"/>
  <c r="AW374" i="2" s="1"/>
  <c r="BF374" i="2" s="1"/>
  <c r="AR475" i="2"/>
  <c r="AW475" i="2" s="1"/>
  <c r="BF475" i="2" s="1"/>
  <c r="AR198" i="2"/>
  <c r="AW198" i="2" s="1"/>
  <c r="BF198" i="2" s="1"/>
  <c r="AR154" i="2"/>
  <c r="AW154" i="2" s="1"/>
  <c r="BF154" i="2" s="1"/>
  <c r="AH2311" i="2"/>
  <c r="AM2311" i="2"/>
  <c r="W2311" i="2"/>
  <c r="AC2311" i="2"/>
  <c r="AH2247" i="2"/>
  <c r="AM2247" i="2"/>
  <c r="W2247" i="2"/>
  <c r="AC2247" i="2"/>
  <c r="AR2231" i="2"/>
  <c r="AW2231" i="2" s="1"/>
  <c r="BF2231" i="2" s="1"/>
  <c r="AM2046" i="2"/>
  <c r="W2046" i="2"/>
  <c r="AH2046" i="2"/>
  <c r="AC2046" i="2"/>
  <c r="AR2034" i="2"/>
  <c r="AW2034" i="2" s="1"/>
  <c r="BF2034" i="2" s="1"/>
  <c r="AR2026" i="2"/>
  <c r="AW2026" i="2" s="1"/>
  <c r="BF2026" i="2" s="1"/>
  <c r="AC2112" i="2"/>
  <c r="AM2112" i="2"/>
  <c r="W2112" i="2"/>
  <c r="AH2112" i="2"/>
  <c r="AM1633" i="2"/>
  <c r="W1633" i="2"/>
  <c r="AH1633" i="2"/>
  <c r="AC1633" i="2"/>
  <c r="AR1285" i="2"/>
  <c r="AW1285" i="2" s="1"/>
  <c r="BF1285" i="2" s="1"/>
  <c r="AM1085" i="2"/>
  <c r="W1085" i="2"/>
  <c r="AC1085" i="2"/>
  <c r="AH1085" i="2"/>
  <c r="AM872" i="2"/>
  <c r="W872" i="2"/>
  <c r="AC872" i="2"/>
  <c r="AH872" i="2"/>
  <c r="AR840" i="2"/>
  <c r="AW840" i="2" s="1"/>
  <c r="BF840" i="2" s="1"/>
  <c r="AR776" i="2"/>
  <c r="AW776" i="2" s="1"/>
  <c r="BF776" i="2" s="1"/>
  <c r="AM744" i="2"/>
  <c r="W744" i="2"/>
  <c r="AC744" i="2"/>
  <c r="AH744" i="2"/>
  <c r="AR885" i="2"/>
  <c r="AW885" i="2" s="1"/>
  <c r="BF885" i="2" s="1"/>
  <c r="AR821" i="2"/>
  <c r="AW821" i="2" s="1"/>
  <c r="BF821" i="2" s="1"/>
  <c r="AR615" i="2"/>
  <c r="AW615" i="2" s="1"/>
  <c r="BF615" i="2" s="1"/>
  <c r="AR609" i="2"/>
  <c r="AW609" i="2" s="1"/>
  <c r="BF609" i="2" s="1"/>
  <c r="AR605" i="2"/>
  <c r="AW605" i="2" s="1"/>
  <c r="BF605" i="2" s="1"/>
  <c r="AR599" i="2"/>
  <c r="AW599" i="2" s="1"/>
  <c r="BF599" i="2" s="1"/>
  <c r="AR593" i="2"/>
  <c r="AW593" i="2" s="1"/>
  <c r="BF593" i="2" s="1"/>
  <c r="AR591" i="2"/>
  <c r="AW591" i="2" s="1"/>
  <c r="BF591" i="2" s="1"/>
  <c r="AR585" i="2"/>
  <c r="AW585" i="2" s="1"/>
  <c r="BF585" i="2" s="1"/>
  <c r="AR581" i="2"/>
  <c r="AW581" i="2" s="1"/>
  <c r="BF581" i="2" s="1"/>
  <c r="AR575" i="2"/>
  <c r="AW575" i="2" s="1"/>
  <c r="BF575" i="2" s="1"/>
  <c r="AR569" i="2"/>
  <c r="AW569" i="2" s="1"/>
  <c r="BF569" i="2" s="1"/>
  <c r="AR563" i="2"/>
  <c r="AW563" i="2" s="1"/>
  <c r="BF563" i="2" s="1"/>
  <c r="AR557" i="2"/>
  <c r="AW557" i="2" s="1"/>
  <c r="BF557" i="2" s="1"/>
  <c r="AD460" i="2"/>
  <c r="AN460" i="2"/>
  <c r="AI460" i="2"/>
  <c r="X460" i="2"/>
  <c r="AM924" i="2"/>
  <c r="W924" i="2"/>
  <c r="AC924" i="2"/>
  <c r="AH924" i="2"/>
  <c r="AM912" i="2"/>
  <c r="W912" i="2"/>
  <c r="AC912" i="2"/>
  <c r="AH912" i="2"/>
  <c r="AM900" i="2"/>
  <c r="W900" i="2"/>
  <c r="AC900" i="2"/>
  <c r="AH900" i="2"/>
  <c r="AM485" i="2"/>
  <c r="AH485" i="2"/>
  <c r="AC485" i="2"/>
  <c r="W485" i="2"/>
  <c r="AM453" i="2"/>
  <c r="AH453" i="2"/>
  <c r="AC453" i="2"/>
  <c r="W453" i="2"/>
  <c r="AM405" i="2"/>
  <c r="AH405" i="2"/>
  <c r="AC405" i="2"/>
  <c r="W405" i="2"/>
  <c r="AM389" i="2"/>
  <c r="AH389" i="2"/>
  <c r="AC389" i="2"/>
  <c r="W389" i="2"/>
  <c r="AM381" i="2"/>
  <c r="AH381" i="2"/>
  <c r="AC381" i="2"/>
  <c r="W381" i="2"/>
  <c r="AM357" i="2"/>
  <c r="AH357" i="2"/>
  <c r="AC357" i="2"/>
  <c r="W357" i="2"/>
  <c r="AM548" i="2"/>
  <c r="W548" i="2"/>
  <c r="AH548" i="2"/>
  <c r="AC548" i="2"/>
  <c r="AR500" i="2"/>
  <c r="AW500" i="2" s="1"/>
  <c r="BF500" i="2" s="1"/>
  <c r="AM2186" i="2"/>
  <c r="W2186" i="2"/>
  <c r="AH2186" i="2"/>
  <c r="AC2186" i="2"/>
  <c r="AR2146" i="2"/>
  <c r="AW2146" i="2" s="1"/>
  <c r="BF2146" i="2" s="1"/>
  <c r="AR2137" i="2"/>
  <c r="AW2137" i="2" s="1"/>
  <c r="BF2137" i="2" s="1"/>
  <c r="AR2133" i="2"/>
  <c r="AW2133" i="2" s="1"/>
  <c r="BF2133" i="2" s="1"/>
  <c r="AR2129" i="2"/>
  <c r="AW2129" i="2" s="1"/>
  <c r="BF2129" i="2" s="1"/>
  <c r="AR2123" i="2"/>
  <c r="AW2123" i="2" s="1"/>
  <c r="BF2123" i="2" s="1"/>
  <c r="AR2119" i="2"/>
  <c r="AW2119" i="2" s="1"/>
  <c r="BF2119" i="2" s="1"/>
  <c r="AR2115" i="2"/>
  <c r="AW2115" i="2" s="1"/>
  <c r="BF2115" i="2" s="1"/>
  <c r="AR2097" i="2"/>
  <c r="AW2097" i="2" s="1"/>
  <c r="BF2097" i="2" s="1"/>
  <c r="AR2081" i="2"/>
  <c r="AW2081" i="2" s="1"/>
  <c r="BF2081" i="2" s="1"/>
  <c r="AR2065" i="2"/>
  <c r="AW2065" i="2" s="1"/>
  <c r="BF2065" i="2" s="1"/>
  <c r="AI1779" i="2"/>
  <c r="AH1751" i="2"/>
  <c r="AM1751" i="2"/>
  <c r="W1751" i="2"/>
  <c r="AC1751" i="2"/>
  <c r="AH1739" i="2"/>
  <c r="AM1739" i="2"/>
  <c r="W1739" i="2"/>
  <c r="AC1739" i="2"/>
  <c r="AH1731" i="2"/>
  <c r="AM1731" i="2"/>
  <c r="W1731" i="2"/>
  <c r="AC1731" i="2"/>
  <c r="AH1723" i="2"/>
  <c r="AM1723" i="2"/>
  <c r="W1723" i="2"/>
  <c r="AC1723" i="2"/>
  <c r="AH1711" i="2"/>
  <c r="AM1711" i="2"/>
  <c r="W1711" i="2"/>
  <c r="AC1711" i="2"/>
  <c r="AH1703" i="2"/>
  <c r="AM1703" i="2"/>
  <c r="W1703" i="2"/>
  <c r="AC1703" i="2"/>
  <c r="AH1691" i="2"/>
  <c r="AM1691" i="2"/>
  <c r="W1691" i="2"/>
  <c r="AC1691" i="2"/>
  <c r="AH1679" i="2"/>
  <c r="AM1679" i="2"/>
  <c r="W1679" i="2"/>
  <c r="AC1679" i="2"/>
  <c r="AH1671" i="2"/>
  <c r="AM1671" i="2"/>
  <c r="W1671" i="2"/>
  <c r="AC1671" i="2"/>
  <c r="AR1638" i="2"/>
  <c r="AW1638" i="2" s="1"/>
  <c r="BF1638" i="2" s="1"/>
  <c r="AR1613" i="2"/>
  <c r="AW1613" i="2" s="1"/>
  <c r="BF1613" i="2" s="1"/>
  <c r="AM1231" i="2"/>
  <c r="W1231" i="2"/>
  <c r="AH1231" i="2"/>
  <c r="AC1231" i="2"/>
  <c r="AR1340" i="2"/>
  <c r="AW1340" i="2" s="1"/>
  <c r="BF1340" i="2" s="1"/>
  <c r="AR1212" i="2"/>
  <c r="AW1212" i="2" s="1"/>
  <c r="BF1212" i="2" s="1"/>
  <c r="AM1337" i="2"/>
  <c r="W1337" i="2"/>
  <c r="AH1337" i="2"/>
  <c r="AC1337" i="2"/>
  <c r="AM1273" i="2"/>
  <c r="W1273" i="2"/>
  <c r="AH1273" i="2"/>
  <c r="AC1273" i="2"/>
  <c r="AM788" i="2"/>
  <c r="W788" i="2"/>
  <c r="AC788" i="2"/>
  <c r="AH788" i="2"/>
  <c r="AM633" i="2"/>
  <c r="W633" i="2"/>
  <c r="AH633" i="2"/>
  <c r="AC633" i="2"/>
  <c r="AS324" i="2"/>
  <c r="AX324" i="2" s="1"/>
  <c r="BG324" i="2" s="1"/>
  <c r="AM289" i="2"/>
  <c r="AH289" i="2"/>
  <c r="AC289" i="2"/>
  <c r="W289" i="2"/>
  <c r="AM195" i="2"/>
  <c r="AC195" i="2"/>
  <c r="AH195" i="2"/>
  <c r="W195" i="2"/>
  <c r="AM147" i="2"/>
  <c r="AC147" i="2"/>
  <c r="AH147" i="2"/>
  <c r="W147" i="2"/>
  <c r="AR410" i="2"/>
  <c r="AW410" i="2" s="1"/>
  <c r="BF410" i="2" s="1"/>
  <c r="AR295" i="2"/>
  <c r="AW295" i="2" s="1"/>
  <c r="BF295" i="2" s="1"/>
  <c r="AR2426" i="2"/>
  <c r="AW2426" i="2" s="1"/>
  <c r="BF2426" i="2" s="1"/>
  <c r="AR2410" i="2"/>
  <c r="AW2410" i="2" s="1"/>
  <c r="BF2410" i="2" s="1"/>
  <c r="AC2439" i="2"/>
  <c r="AM2439" i="2"/>
  <c r="W2439" i="2"/>
  <c r="AH2439" i="2"/>
  <c r="AH2481" i="2"/>
  <c r="AM2481" i="2"/>
  <c r="W2481" i="2"/>
  <c r="AC2481" i="2"/>
  <c r="AR2457" i="2"/>
  <c r="AW2457" i="2" s="1"/>
  <c r="BF2457" i="2" s="1"/>
  <c r="AC2175" i="2"/>
  <c r="AM2175" i="2"/>
  <c r="W2175" i="2"/>
  <c r="AH2175" i="2"/>
  <c r="AM1808" i="2"/>
  <c r="W1808" i="2"/>
  <c r="AH1808" i="2"/>
  <c r="AC1808" i="2"/>
  <c r="AM1792" i="2"/>
  <c r="W1792" i="2"/>
  <c r="AH1792" i="2"/>
  <c r="AC1792" i="2"/>
  <c r="AR1776" i="2"/>
  <c r="AW1776" i="2" s="1"/>
  <c r="BF1776" i="2" s="1"/>
  <c r="AH1602" i="2"/>
  <c r="AC1602" i="2"/>
  <c r="AM1602" i="2"/>
  <c r="W1602" i="2"/>
  <c r="AR1563" i="2"/>
  <c r="AW1563" i="2" s="1"/>
  <c r="BF1563" i="2" s="1"/>
  <c r="AH1419" i="2"/>
  <c r="AC1419" i="2"/>
  <c r="AM1419" i="2"/>
  <c r="W1419" i="2"/>
  <c r="AM880" i="2"/>
  <c r="W880" i="2"/>
  <c r="AC880" i="2"/>
  <c r="AH880" i="2"/>
  <c r="AM816" i="2"/>
  <c r="W816" i="2"/>
  <c r="AC816" i="2"/>
  <c r="AH816" i="2"/>
  <c r="AR514" i="2"/>
  <c r="AW514" i="2" s="1"/>
  <c r="BF514" i="2" s="1"/>
  <c r="AM379" i="2"/>
  <c r="AH379" i="2"/>
  <c r="AC379" i="2"/>
  <c r="W379" i="2"/>
  <c r="AR94" i="2"/>
  <c r="AW94" i="2" s="1"/>
  <c r="BF94" i="2" s="1"/>
  <c r="AR88" i="2"/>
  <c r="AW88" i="2" s="1"/>
  <c r="BF88" i="2" s="1"/>
  <c r="AR65" i="2"/>
  <c r="AW65" i="2" s="1"/>
  <c r="BF65" i="2" s="1"/>
  <c r="AR2352" i="2"/>
  <c r="AW2352" i="2" s="1"/>
  <c r="BF2352" i="2" s="1"/>
  <c r="AR2446" i="2"/>
  <c r="AW2446" i="2" s="1"/>
  <c r="BF2446" i="2" s="1"/>
  <c r="AH2482" i="2"/>
  <c r="AM2482" i="2"/>
  <c r="W2482" i="2"/>
  <c r="AC2482" i="2"/>
  <c r="AR2387" i="2"/>
  <c r="AW2387" i="2" s="1"/>
  <c r="BF2387" i="2" s="1"/>
  <c r="AR2371" i="2"/>
  <c r="AW2371" i="2" s="1"/>
  <c r="BF2371" i="2" s="1"/>
  <c r="AR2347" i="2"/>
  <c r="AW2347" i="2" s="1"/>
  <c r="BF2347" i="2" s="1"/>
  <c r="AR2323" i="2"/>
  <c r="AW2323" i="2" s="1"/>
  <c r="BF2323" i="2" s="1"/>
  <c r="AC2401" i="2"/>
  <c r="AM2401" i="2"/>
  <c r="W2401" i="2"/>
  <c r="AH2401" i="2"/>
  <c r="AC2151" i="2"/>
  <c r="AM2151" i="2"/>
  <c r="W2151" i="2"/>
  <c r="AH2151" i="2"/>
  <c r="AM2102" i="2"/>
  <c r="W2102" i="2"/>
  <c r="AH2102" i="2"/>
  <c r="AC2102" i="2"/>
  <c r="AM2090" i="2"/>
  <c r="W2090" i="2"/>
  <c r="AH2090" i="2"/>
  <c r="AC2090" i="2"/>
  <c r="AM2074" i="2"/>
  <c r="W2074" i="2"/>
  <c r="AH2074" i="2"/>
  <c r="AC2074" i="2"/>
  <c r="AM2062" i="2"/>
  <c r="W2062" i="2"/>
  <c r="AH2062" i="2"/>
  <c r="AC2062" i="2"/>
  <c r="AM2054" i="2"/>
  <c r="W2054" i="2"/>
  <c r="AH2054" i="2"/>
  <c r="AC2054" i="2"/>
  <c r="AH1971" i="2"/>
  <c r="AC1971" i="2"/>
  <c r="AM1971" i="2"/>
  <c r="W1971" i="2"/>
  <c r="AH2001" i="2"/>
  <c r="AC2001" i="2"/>
  <c r="AM2001" i="2"/>
  <c r="W2001" i="2"/>
  <c r="AH1873" i="2"/>
  <c r="AC1873" i="2"/>
  <c r="AM1873" i="2"/>
  <c r="W1873" i="2"/>
  <c r="AM1828" i="2"/>
  <c r="W1828" i="2"/>
  <c r="AH1828" i="2"/>
  <c r="AC1828" i="2"/>
  <c r="AM1830" i="2"/>
  <c r="W1830" i="2"/>
  <c r="AH1830" i="2"/>
  <c r="AC1830" i="2"/>
  <c r="AM1806" i="2"/>
  <c r="W1806" i="2"/>
  <c r="AH1806" i="2"/>
  <c r="AC1806" i="2"/>
  <c r="AM1782" i="2"/>
  <c r="W1782" i="2"/>
  <c r="AH1782" i="2"/>
  <c r="AC1782" i="2"/>
  <c r="AM1758" i="2"/>
  <c r="W1758" i="2"/>
  <c r="AH1758" i="2"/>
  <c r="AC1758" i="2"/>
  <c r="AR1630" i="2"/>
  <c r="AW1630" i="2" s="1"/>
  <c r="BF1630" i="2" s="1"/>
  <c r="AH1381" i="2"/>
  <c r="AC1381" i="2"/>
  <c r="AM1381" i="2"/>
  <c r="W1381" i="2"/>
  <c r="AR1604" i="2"/>
  <c r="AW1604" i="2" s="1"/>
  <c r="BF1604" i="2" s="1"/>
  <c r="AM1970" i="2"/>
  <c r="W1970" i="2"/>
  <c r="AH1970" i="2"/>
  <c r="AC1970" i="2"/>
  <c r="AR2423" i="2"/>
  <c r="AW2423" i="2" s="1"/>
  <c r="BF2423" i="2" s="1"/>
  <c r="AR2464" i="2"/>
  <c r="AW2464" i="2" s="1"/>
  <c r="BF2464" i="2" s="1"/>
  <c r="AR2448" i="2"/>
  <c r="AW2448" i="2" s="1"/>
  <c r="BF2448" i="2" s="1"/>
  <c r="AR2432" i="2"/>
  <c r="AW2432" i="2" s="1"/>
  <c r="BF2432" i="2" s="1"/>
  <c r="AR2416" i="2"/>
  <c r="AW2416" i="2" s="1"/>
  <c r="BF2416" i="2" s="1"/>
  <c r="AR2407" i="2"/>
  <c r="AW2407" i="2" s="1"/>
  <c r="BF2407" i="2" s="1"/>
  <c r="AR2399" i="2"/>
  <c r="AW2399" i="2" s="1"/>
  <c r="BF2399" i="2" s="1"/>
  <c r="AH2492" i="2"/>
  <c r="AC2492" i="2"/>
  <c r="AM2492" i="2"/>
  <c r="W2492" i="2"/>
  <c r="AC2441" i="2"/>
  <c r="AM2441" i="2"/>
  <c r="W2441" i="2"/>
  <c r="AH2441" i="2"/>
  <c r="AM2158" i="2"/>
  <c r="W2158" i="2"/>
  <c r="AH2158" i="2"/>
  <c r="AC2158" i="2"/>
  <c r="AR2159" i="2"/>
  <c r="AW2159" i="2" s="1"/>
  <c r="BF2159" i="2" s="1"/>
  <c r="AR2110" i="2"/>
  <c r="AW2110" i="2" s="1"/>
  <c r="BF2110" i="2" s="1"/>
  <c r="AR2095" i="2"/>
  <c r="AW2095" i="2" s="1"/>
  <c r="BF2095" i="2" s="1"/>
  <c r="AR1858" i="2"/>
  <c r="AW1858" i="2" s="1"/>
  <c r="BF1858" i="2" s="1"/>
  <c r="AM1804" i="2"/>
  <c r="W1804" i="2"/>
  <c r="AH1804" i="2"/>
  <c r="AC1804" i="2"/>
  <c r="AR1788" i="2"/>
  <c r="AW1788" i="2" s="1"/>
  <c r="BF1788" i="2" s="1"/>
  <c r="AH1749" i="2"/>
  <c r="AM1749" i="2"/>
  <c r="W1749" i="2"/>
  <c r="AC1749" i="2"/>
  <c r="AH1733" i="2"/>
  <c r="AM1733" i="2"/>
  <c r="W1733" i="2"/>
  <c r="AC1733" i="2"/>
  <c r="AH1717" i="2"/>
  <c r="AM1717" i="2"/>
  <c r="W1717" i="2"/>
  <c r="AC1717" i="2"/>
  <c r="AH1701" i="2"/>
  <c r="AM1701" i="2"/>
  <c r="W1701" i="2"/>
  <c r="AC1701" i="2"/>
  <c r="AH1685" i="2"/>
  <c r="AM1685" i="2"/>
  <c r="W1685" i="2"/>
  <c r="AC1685" i="2"/>
  <c r="AH1669" i="2"/>
  <c r="AM1669" i="2"/>
  <c r="W1669" i="2"/>
  <c r="AC1669" i="2"/>
  <c r="AI1775" i="2"/>
  <c r="AH1650" i="2"/>
  <c r="AC1650" i="2"/>
  <c r="AM1650" i="2"/>
  <c r="W1650" i="2"/>
  <c r="AR1399" i="2"/>
  <c r="AW1399" i="2" s="1"/>
  <c r="BF1399" i="2" s="1"/>
  <c r="AM1647" i="2"/>
  <c r="W1647" i="2"/>
  <c r="AH1647" i="2"/>
  <c r="AC1647" i="2"/>
  <c r="AM1315" i="2"/>
  <c r="W1315" i="2"/>
  <c r="AH1315" i="2"/>
  <c r="AC1315" i="2"/>
  <c r="AM1251" i="2"/>
  <c r="W1251" i="2"/>
  <c r="AH1251" i="2"/>
  <c r="AC1251" i="2"/>
  <c r="AM1187" i="2"/>
  <c r="W1187" i="2"/>
  <c r="AH1187" i="2"/>
  <c r="AC1187" i="2"/>
  <c r="AM1245" i="2"/>
  <c r="W1245" i="2"/>
  <c r="AH1245" i="2"/>
  <c r="AC1245" i="2"/>
  <c r="AM213" i="2"/>
  <c r="AH213" i="2"/>
  <c r="AC213" i="2"/>
  <c r="W213" i="2"/>
  <c r="AR467" i="2"/>
  <c r="AW467" i="2" s="1"/>
  <c r="BF467" i="2" s="1"/>
  <c r="AR465" i="2"/>
  <c r="AW465" i="2" s="1"/>
  <c r="BF465" i="2" s="1"/>
  <c r="AR281" i="2"/>
  <c r="AW281" i="2" s="1"/>
  <c r="BF281" i="2" s="1"/>
  <c r="AR275" i="2"/>
  <c r="AW275" i="2" s="1"/>
  <c r="BF275" i="2" s="1"/>
  <c r="AR217" i="2"/>
  <c r="AW217" i="2" s="1"/>
  <c r="BF217" i="2" s="1"/>
  <c r="AR211" i="2"/>
  <c r="AW211" i="2" s="1"/>
  <c r="BF211" i="2" s="1"/>
  <c r="AR409" i="2"/>
  <c r="AW409" i="2" s="1"/>
  <c r="BF409" i="2" s="1"/>
  <c r="AM181" i="2"/>
  <c r="AH181" i="2"/>
  <c r="AC181" i="2"/>
  <c r="W181" i="2"/>
  <c r="AR149" i="2"/>
  <c r="AW149" i="2" s="1"/>
  <c r="BF149" i="2" s="1"/>
  <c r="AM117" i="2"/>
  <c r="AH117" i="2"/>
  <c r="AC117" i="2"/>
  <c r="W117" i="2"/>
  <c r="AR57" i="2"/>
  <c r="AW57" i="2" s="1"/>
  <c r="BF57" i="2" s="1"/>
  <c r="AR47" i="2"/>
  <c r="AW47" i="2" s="1"/>
  <c r="BF47" i="2" s="1"/>
  <c r="AR457" i="2"/>
  <c r="AW457" i="2" s="1"/>
  <c r="BF457" i="2" s="1"/>
  <c r="AR109" i="2"/>
  <c r="AW109" i="2" s="1"/>
  <c r="BF109" i="2" s="1"/>
  <c r="AR44" i="2"/>
  <c r="AW44" i="2" s="1"/>
  <c r="BF44" i="2" s="1"/>
  <c r="AH2229" i="2"/>
  <c r="AM2229" i="2"/>
  <c r="W2229" i="2"/>
  <c r="AC2229" i="2"/>
  <c r="AR2483" i="2"/>
  <c r="AW2483" i="2" s="1"/>
  <c r="BF2483" i="2" s="1"/>
  <c r="AR2312" i="2"/>
  <c r="AW2312" i="2" s="1"/>
  <c r="BF2312" i="2" s="1"/>
  <c r="AR2308" i="2"/>
  <c r="AW2308" i="2" s="1"/>
  <c r="BF2308" i="2" s="1"/>
  <c r="AR2304" i="2"/>
  <c r="AW2304" i="2" s="1"/>
  <c r="BF2304" i="2" s="1"/>
  <c r="AR2300" i="2"/>
  <c r="AW2300" i="2" s="1"/>
  <c r="BF2300" i="2" s="1"/>
  <c r="AR2296" i="2"/>
  <c r="AW2296" i="2" s="1"/>
  <c r="BF2296" i="2" s="1"/>
  <c r="AR2292" i="2"/>
  <c r="AW2292" i="2" s="1"/>
  <c r="BF2292" i="2" s="1"/>
  <c r="AR2288" i="2"/>
  <c r="AW2288" i="2" s="1"/>
  <c r="BF2288" i="2" s="1"/>
  <c r="AR2284" i="2"/>
  <c r="AW2284" i="2" s="1"/>
  <c r="BF2284" i="2" s="1"/>
  <c r="AR2280" i="2"/>
  <c r="AW2280" i="2" s="1"/>
  <c r="BF2280" i="2" s="1"/>
  <c r="AR2276" i="2"/>
  <c r="AW2276" i="2" s="1"/>
  <c r="BF2276" i="2" s="1"/>
  <c r="AR2272" i="2"/>
  <c r="AW2272" i="2" s="1"/>
  <c r="BF2272" i="2" s="1"/>
  <c r="AR2268" i="2"/>
  <c r="AW2268" i="2" s="1"/>
  <c r="BF2268" i="2" s="1"/>
  <c r="AR2264" i="2"/>
  <c r="AW2264" i="2" s="1"/>
  <c r="BF2264" i="2" s="1"/>
  <c r="AR2260" i="2"/>
  <c r="AW2260" i="2" s="1"/>
  <c r="BF2260" i="2" s="1"/>
  <c r="AR2256" i="2"/>
  <c r="AW2256" i="2" s="1"/>
  <c r="BF2256" i="2" s="1"/>
  <c r="AR2252" i="2"/>
  <c r="AW2252" i="2" s="1"/>
  <c r="BF2252" i="2" s="1"/>
  <c r="AR2248" i="2"/>
  <c r="AW2248" i="2" s="1"/>
  <c r="BF2248" i="2" s="1"/>
  <c r="AR2244" i="2"/>
  <c r="AW2244" i="2" s="1"/>
  <c r="BF2244" i="2" s="1"/>
  <c r="AR2240" i="2"/>
  <c r="AW2240" i="2" s="1"/>
  <c r="BF2240" i="2" s="1"/>
  <c r="AR2236" i="2"/>
  <c r="AW2236" i="2" s="1"/>
  <c r="BF2236" i="2" s="1"/>
  <c r="AR2232" i="2"/>
  <c r="AW2232" i="2" s="1"/>
  <c r="BF2232" i="2" s="1"/>
  <c r="AR2228" i="2"/>
  <c r="AW2228" i="2" s="1"/>
  <c r="BF2228" i="2" s="1"/>
  <c r="AR2224" i="2"/>
  <c r="AW2224" i="2" s="1"/>
  <c r="BF2224" i="2" s="1"/>
  <c r="AR2220" i="2"/>
  <c r="AW2220" i="2" s="1"/>
  <c r="BF2220" i="2" s="1"/>
  <c r="AR2216" i="2"/>
  <c r="AW2216" i="2" s="1"/>
  <c r="BF2216" i="2" s="1"/>
  <c r="AR2212" i="2"/>
  <c r="AW2212" i="2" s="1"/>
  <c r="BF2212" i="2" s="1"/>
  <c r="AR2208" i="2"/>
  <c r="AW2208" i="2" s="1"/>
  <c r="BF2208" i="2" s="1"/>
  <c r="AR2204" i="2"/>
  <c r="AW2204" i="2" s="1"/>
  <c r="BF2204" i="2" s="1"/>
  <c r="AR2200" i="2"/>
  <c r="AW2200" i="2" s="1"/>
  <c r="BF2200" i="2" s="1"/>
  <c r="AR2068" i="2"/>
  <c r="AW2068" i="2" s="1"/>
  <c r="BF2068" i="2" s="1"/>
  <c r="AR2015" i="2"/>
  <c r="AW2015" i="2" s="1"/>
  <c r="BF2015" i="2" s="1"/>
  <c r="AR1999" i="2"/>
  <c r="AW1999" i="2" s="1"/>
  <c r="BF1999" i="2" s="1"/>
  <c r="AR1983" i="2"/>
  <c r="AW1983" i="2" s="1"/>
  <c r="BF1983" i="2" s="1"/>
  <c r="AR1967" i="2"/>
  <c r="AW1967" i="2" s="1"/>
  <c r="BF1967" i="2" s="1"/>
  <c r="AR2013" i="2"/>
  <c r="AW2013" i="2" s="1"/>
  <c r="BF2013" i="2" s="1"/>
  <c r="AR1997" i="2"/>
  <c r="AW1997" i="2" s="1"/>
  <c r="BF1997" i="2" s="1"/>
  <c r="AR1981" i="2"/>
  <c r="AW1981" i="2" s="1"/>
  <c r="BF1981" i="2" s="1"/>
  <c r="AR1965" i="2"/>
  <c r="AW1965" i="2" s="1"/>
  <c r="BF1965" i="2" s="1"/>
  <c r="AR1949" i="2"/>
  <c r="AW1949" i="2" s="1"/>
  <c r="BF1949" i="2" s="1"/>
  <c r="AR1933" i="2"/>
  <c r="AW1933" i="2" s="1"/>
  <c r="BF1933" i="2" s="1"/>
  <c r="AR1917" i="2"/>
  <c r="AW1917" i="2" s="1"/>
  <c r="BF1917" i="2" s="1"/>
  <c r="AR1901" i="2"/>
  <c r="AW1901" i="2" s="1"/>
  <c r="BF1901" i="2" s="1"/>
  <c r="AR1885" i="2"/>
  <c r="AW1885" i="2" s="1"/>
  <c r="BF1885" i="2" s="1"/>
  <c r="AR1869" i="2"/>
  <c r="AW1869" i="2" s="1"/>
  <c r="BF1869" i="2" s="1"/>
  <c r="AR1842" i="2"/>
  <c r="AW1842" i="2" s="1"/>
  <c r="BF1842" i="2" s="1"/>
  <c r="AN1819" i="2"/>
  <c r="AI1819" i="2"/>
  <c r="AD1819" i="2"/>
  <c r="X1819" i="2"/>
  <c r="AM1653" i="2"/>
  <c r="W1653" i="2"/>
  <c r="AH1653" i="2"/>
  <c r="AC1653" i="2"/>
  <c r="AH1469" i="2"/>
  <c r="AC1469" i="2"/>
  <c r="AM1469" i="2"/>
  <c r="W1469" i="2"/>
  <c r="AH1453" i="2"/>
  <c r="AC1453" i="2"/>
  <c r="AM1453" i="2"/>
  <c r="W1453" i="2"/>
  <c r="AR1492" i="2"/>
  <c r="AW1492" i="2" s="1"/>
  <c r="BF1492" i="2" s="1"/>
  <c r="AR1627" i="2"/>
  <c r="AW1627" i="2" s="1"/>
  <c r="BF1627" i="2" s="1"/>
  <c r="AR1573" i="2"/>
  <c r="AW1573" i="2" s="1"/>
  <c r="BF1573" i="2" s="1"/>
  <c r="AR1557" i="2"/>
  <c r="AW1557" i="2" s="1"/>
  <c r="BF1557" i="2" s="1"/>
  <c r="AH1503" i="2"/>
  <c r="AC1503" i="2"/>
  <c r="AM1503" i="2"/>
  <c r="W1503" i="2"/>
  <c r="AR1463" i="2"/>
  <c r="AW1463" i="2" s="1"/>
  <c r="BF1463" i="2" s="1"/>
  <c r="AR1447" i="2"/>
  <c r="AW1447" i="2" s="1"/>
  <c r="BF1447" i="2" s="1"/>
  <c r="AR1438" i="2"/>
  <c r="AW1438" i="2" s="1"/>
  <c r="BF1438" i="2" s="1"/>
  <c r="AR1434" i="2"/>
  <c r="AW1434" i="2" s="1"/>
  <c r="BF1434" i="2" s="1"/>
  <c r="AR1430" i="2"/>
  <c r="AW1430" i="2" s="1"/>
  <c r="BF1430" i="2" s="1"/>
  <c r="AR1426" i="2"/>
  <c r="AW1426" i="2" s="1"/>
  <c r="BF1426" i="2" s="1"/>
  <c r="AR1422" i="2"/>
  <c r="AW1422" i="2" s="1"/>
  <c r="BF1422" i="2" s="1"/>
  <c r="AR1418" i="2"/>
  <c r="AW1418" i="2" s="1"/>
  <c r="BF1418" i="2" s="1"/>
  <c r="AR1414" i="2"/>
  <c r="AW1414" i="2" s="1"/>
  <c r="BF1414" i="2" s="1"/>
  <c r="AR1410" i="2"/>
  <c r="AW1410" i="2" s="1"/>
  <c r="BF1410" i="2" s="1"/>
  <c r="AR1406" i="2"/>
  <c r="AW1406" i="2" s="1"/>
  <c r="BF1406" i="2" s="1"/>
  <c r="AR1402" i="2"/>
  <c r="AW1402" i="2" s="1"/>
  <c r="BF1402" i="2" s="1"/>
  <c r="AR1398" i="2"/>
  <c r="AW1398" i="2" s="1"/>
  <c r="BF1398" i="2" s="1"/>
  <c r="AR1394" i="2"/>
  <c r="AW1394" i="2" s="1"/>
  <c r="BF1394" i="2" s="1"/>
  <c r="AH1391" i="2"/>
  <c r="AC1391" i="2"/>
  <c r="AM1391" i="2"/>
  <c r="W1391" i="2"/>
  <c r="AH1314" i="2"/>
  <c r="AC1314" i="2"/>
  <c r="AM1314" i="2"/>
  <c r="W1314" i="2"/>
  <c r="AH1250" i="2"/>
  <c r="AC1250" i="2"/>
  <c r="AM1250" i="2"/>
  <c r="W1250" i="2"/>
  <c r="AH1186" i="2"/>
  <c r="AC1186" i="2"/>
  <c r="AM1186" i="2"/>
  <c r="W1186" i="2"/>
  <c r="AM1255" i="2"/>
  <c r="W1255" i="2"/>
  <c r="AH1255" i="2"/>
  <c r="AC1255" i="2"/>
  <c r="AR1123" i="2"/>
  <c r="AW1123" i="2" s="1"/>
  <c r="BF1123" i="2" s="1"/>
  <c r="AH1316" i="2"/>
  <c r="AC1316" i="2"/>
  <c r="AM1316" i="2"/>
  <c r="W1316" i="2"/>
  <c r="AH1252" i="2"/>
  <c r="AC1252" i="2"/>
  <c r="AM1252" i="2"/>
  <c r="W1252" i="2"/>
  <c r="AH1188" i="2"/>
  <c r="AC1188" i="2"/>
  <c r="AM1188" i="2"/>
  <c r="W1188" i="2"/>
  <c r="AR1372" i="2"/>
  <c r="AW1372" i="2" s="1"/>
  <c r="BF1372" i="2" s="1"/>
  <c r="AM1361" i="2"/>
  <c r="W1361" i="2"/>
  <c r="AH1361" i="2"/>
  <c r="AC1361" i="2"/>
  <c r="AR1233" i="2"/>
  <c r="AW1233" i="2" s="1"/>
  <c r="BF1233" i="2" s="1"/>
  <c r="AR1089" i="2"/>
  <c r="AW1089" i="2" s="1"/>
  <c r="BF1089" i="2" s="1"/>
  <c r="AR857" i="2"/>
  <c r="AW857" i="2" s="1"/>
  <c r="BF857" i="2" s="1"/>
  <c r="AR793" i="2"/>
  <c r="AW793" i="2" s="1"/>
  <c r="BF793" i="2" s="1"/>
  <c r="AR729" i="2"/>
  <c r="AW729" i="2" s="1"/>
  <c r="BF729" i="2" s="1"/>
  <c r="AM715" i="2"/>
  <c r="W715" i="2"/>
  <c r="AH715" i="2"/>
  <c r="AC715" i="2"/>
  <c r="AM699" i="2"/>
  <c r="W699" i="2"/>
  <c r="AH699" i="2"/>
  <c r="AC699" i="2"/>
  <c r="AM683" i="2"/>
  <c r="W683" i="2"/>
  <c r="AH683" i="2"/>
  <c r="AC683" i="2"/>
  <c r="AM667" i="2"/>
  <c r="W667" i="2"/>
  <c r="AH667" i="2"/>
  <c r="AC667" i="2"/>
  <c r="AM651" i="2"/>
  <c r="W651" i="2"/>
  <c r="AH651" i="2"/>
  <c r="AC651" i="2"/>
  <c r="AM635" i="2"/>
  <c r="W635" i="2"/>
  <c r="AH635" i="2"/>
  <c r="AC635" i="2"/>
  <c r="AM475" i="2"/>
  <c r="AH475" i="2"/>
  <c r="AC475" i="2"/>
  <c r="W475" i="2"/>
  <c r="AM479" i="2"/>
  <c r="AH479" i="2"/>
  <c r="AC479" i="2"/>
  <c r="W479" i="2"/>
  <c r="AD256" i="2"/>
  <c r="AN256" i="2"/>
  <c r="AI256" i="2"/>
  <c r="X256" i="2"/>
  <c r="AR84" i="2"/>
  <c r="AW84" i="2" s="1"/>
  <c r="BF84" i="2" s="1"/>
  <c r="AD4" i="2"/>
  <c r="AI4" i="2"/>
  <c r="AN4" i="2"/>
  <c r="X4" i="2"/>
  <c r="AM2168" i="2"/>
  <c r="W2168" i="2"/>
  <c r="AH2168" i="2"/>
  <c r="AC2168" i="2"/>
  <c r="AR2189" i="2"/>
  <c r="AW2189" i="2" s="1"/>
  <c r="BF2189" i="2" s="1"/>
  <c r="AH2071" i="2"/>
  <c r="AC2071" i="2"/>
  <c r="AM2071" i="2"/>
  <c r="W2071" i="2"/>
  <c r="AM2038" i="2"/>
  <c r="W2038" i="2"/>
  <c r="AH2038" i="2"/>
  <c r="AC2038" i="2"/>
  <c r="AM2034" i="2"/>
  <c r="W2034" i="2"/>
  <c r="AH2034" i="2"/>
  <c r="AC2034" i="2"/>
  <c r="AM2030" i="2"/>
  <c r="W2030" i="2"/>
  <c r="AH2030" i="2"/>
  <c r="AC2030" i="2"/>
  <c r="AM2026" i="2"/>
  <c r="W2026" i="2"/>
  <c r="AH2026" i="2"/>
  <c r="AC2026" i="2"/>
  <c r="AM2022" i="2"/>
  <c r="W2022" i="2"/>
  <c r="AH2022" i="2"/>
  <c r="AC2022" i="2"/>
  <c r="AR1756" i="2"/>
  <c r="AW1756" i="2" s="1"/>
  <c r="BF1756" i="2" s="1"/>
  <c r="AR1752" i="2"/>
  <c r="AW1752" i="2" s="1"/>
  <c r="BF1752" i="2" s="1"/>
  <c r="AR1748" i="2"/>
  <c r="AW1748" i="2" s="1"/>
  <c r="BF1748" i="2" s="1"/>
  <c r="AR1744" i="2"/>
  <c r="AW1744" i="2" s="1"/>
  <c r="BF1744" i="2" s="1"/>
  <c r="AR1740" i="2"/>
  <c r="AW1740" i="2" s="1"/>
  <c r="BF1740" i="2" s="1"/>
  <c r="AR1736" i="2"/>
  <c r="AW1736" i="2" s="1"/>
  <c r="BF1736" i="2" s="1"/>
  <c r="AR1732" i="2"/>
  <c r="AW1732" i="2" s="1"/>
  <c r="BF1732" i="2" s="1"/>
  <c r="AR1728" i="2"/>
  <c r="AW1728" i="2" s="1"/>
  <c r="BF1728" i="2" s="1"/>
  <c r="AR1724" i="2"/>
  <c r="AW1724" i="2" s="1"/>
  <c r="BF1724" i="2" s="1"/>
  <c r="AR1720" i="2"/>
  <c r="AW1720" i="2" s="1"/>
  <c r="BF1720" i="2" s="1"/>
  <c r="AR1716" i="2"/>
  <c r="AW1716" i="2" s="1"/>
  <c r="BF1716" i="2" s="1"/>
  <c r="AR1712" i="2"/>
  <c r="AW1712" i="2" s="1"/>
  <c r="BF1712" i="2" s="1"/>
  <c r="AR1708" i="2"/>
  <c r="AW1708" i="2" s="1"/>
  <c r="BF1708" i="2" s="1"/>
  <c r="AR1704" i="2"/>
  <c r="AW1704" i="2" s="1"/>
  <c r="BF1704" i="2" s="1"/>
  <c r="AR1700" i="2"/>
  <c r="AW1700" i="2" s="1"/>
  <c r="BF1700" i="2" s="1"/>
  <c r="AR1696" i="2"/>
  <c r="AW1696" i="2" s="1"/>
  <c r="BF1696" i="2" s="1"/>
  <c r="AR1692" i="2"/>
  <c r="AW1692" i="2" s="1"/>
  <c r="BF1692" i="2" s="1"/>
  <c r="AR1688" i="2"/>
  <c r="AW1688" i="2" s="1"/>
  <c r="BF1688" i="2" s="1"/>
  <c r="AR1684" i="2"/>
  <c r="AW1684" i="2" s="1"/>
  <c r="BF1684" i="2" s="1"/>
  <c r="AR1680" i="2"/>
  <c r="AW1680" i="2" s="1"/>
  <c r="BF1680" i="2" s="1"/>
  <c r="AR1676" i="2"/>
  <c r="AW1676" i="2" s="1"/>
  <c r="BF1676" i="2" s="1"/>
  <c r="AR1672" i="2"/>
  <c r="AW1672" i="2" s="1"/>
  <c r="BF1672" i="2" s="1"/>
  <c r="AM1840" i="2"/>
  <c r="W1840" i="2"/>
  <c r="AH1840" i="2"/>
  <c r="AC1840" i="2"/>
  <c r="AN1831" i="2"/>
  <c r="AI1831" i="2"/>
  <c r="AD1831" i="2"/>
  <c r="X1831" i="2"/>
  <c r="AN1767" i="2"/>
  <c r="AI1767" i="2"/>
  <c r="AD1767" i="2"/>
  <c r="X1767" i="2"/>
  <c r="AR1658" i="2"/>
  <c r="AW1658" i="2" s="1"/>
  <c r="BF1658" i="2" s="1"/>
  <c r="AH1594" i="2"/>
  <c r="AC1594" i="2"/>
  <c r="AM1594" i="2"/>
  <c r="W1594" i="2"/>
  <c r="AH1586" i="2"/>
  <c r="AC1586" i="2"/>
  <c r="AM1586" i="2"/>
  <c r="W1586" i="2"/>
  <c r="AH1664" i="2"/>
  <c r="AC1664" i="2"/>
  <c r="AM1664" i="2"/>
  <c r="W1664" i="2"/>
  <c r="AR1600" i="2"/>
  <c r="AW1600" i="2" s="1"/>
  <c r="BF1600" i="2" s="1"/>
  <c r="AH1334" i="2"/>
  <c r="AC1334" i="2"/>
  <c r="AM1334" i="2"/>
  <c r="W1334" i="2"/>
  <c r="AH1270" i="2"/>
  <c r="AC1270" i="2"/>
  <c r="AM1270" i="2"/>
  <c r="W1270" i="2"/>
  <c r="AH1206" i="2"/>
  <c r="AC1206" i="2"/>
  <c r="AM1206" i="2"/>
  <c r="W1206" i="2"/>
  <c r="AR1135" i="2"/>
  <c r="AW1135" i="2" s="1"/>
  <c r="BF1135" i="2" s="1"/>
  <c r="AR1071" i="2"/>
  <c r="AW1071" i="2" s="1"/>
  <c r="BF1071" i="2" s="1"/>
  <c r="AR1352" i="2"/>
  <c r="AW1352" i="2" s="1"/>
  <c r="BF1352" i="2" s="1"/>
  <c r="AR1288" i="2"/>
  <c r="AW1288" i="2" s="1"/>
  <c r="BF1288" i="2" s="1"/>
  <c r="AR1224" i="2"/>
  <c r="AW1224" i="2" s="1"/>
  <c r="BF1224" i="2" s="1"/>
  <c r="AR1117" i="2"/>
  <c r="AW1117" i="2" s="1"/>
  <c r="BF1117" i="2" s="1"/>
  <c r="AR1053" i="2"/>
  <c r="AW1053" i="2" s="1"/>
  <c r="BF1053" i="2" s="1"/>
  <c r="AR1042" i="2"/>
  <c r="AW1042" i="2" s="1"/>
  <c r="BF1042" i="2" s="1"/>
  <c r="AC885" i="2"/>
  <c r="AM885" i="2"/>
  <c r="W885" i="2"/>
  <c r="AH885" i="2"/>
  <c r="AC853" i="2"/>
  <c r="AM853" i="2"/>
  <c r="W853" i="2"/>
  <c r="AH853" i="2"/>
  <c r="AC821" i="2"/>
  <c r="AM821" i="2"/>
  <c r="W821" i="2"/>
  <c r="AH821" i="2"/>
  <c r="AC789" i="2"/>
  <c r="AM789" i="2"/>
  <c r="W789" i="2"/>
  <c r="AH789" i="2"/>
  <c r="AC757" i="2"/>
  <c r="AM757" i="2"/>
  <c r="W757" i="2"/>
  <c r="AH757" i="2"/>
  <c r="AH218" i="2"/>
  <c r="AM218" i="2"/>
  <c r="W218" i="2"/>
  <c r="AC218" i="2"/>
  <c r="AH48" i="2"/>
  <c r="AC48" i="2"/>
  <c r="AM48" i="2"/>
  <c r="W48" i="2"/>
  <c r="AH16" i="2"/>
  <c r="AC16" i="2"/>
  <c r="AM16" i="2"/>
  <c r="W16" i="2"/>
  <c r="AM481" i="2"/>
  <c r="AH481" i="2"/>
  <c r="AC481" i="2"/>
  <c r="W481" i="2"/>
  <c r="AH432" i="2"/>
  <c r="AC432" i="2"/>
  <c r="AM432" i="2"/>
  <c r="W432" i="2"/>
  <c r="AR190" i="2"/>
  <c r="AW190" i="2" s="1"/>
  <c r="BF190" i="2" s="1"/>
  <c r="AH158" i="2"/>
  <c r="AM158" i="2"/>
  <c r="W158" i="2"/>
  <c r="AC158" i="2"/>
  <c r="AR126" i="2"/>
  <c r="AW126" i="2" s="1"/>
  <c r="BF126" i="2" s="1"/>
  <c r="AM67" i="2"/>
  <c r="W67" i="2"/>
  <c r="AC67" i="2"/>
  <c r="AH67" i="2"/>
  <c r="AM504" i="2"/>
  <c r="W504" i="2"/>
  <c r="AH504" i="2"/>
  <c r="AC504" i="2"/>
  <c r="AM500" i="2"/>
  <c r="W500" i="2"/>
  <c r="AH500" i="2"/>
  <c r="AC500" i="2"/>
  <c r="AM496" i="2"/>
  <c r="W496" i="2"/>
  <c r="AH496" i="2"/>
  <c r="AC496" i="2"/>
  <c r="AD216" i="2"/>
  <c r="AR54" i="2"/>
  <c r="AW54" i="2" s="1"/>
  <c r="BF54" i="2" s="1"/>
  <c r="AR6" i="2"/>
  <c r="AW6" i="2" s="1"/>
  <c r="BF6" i="2" s="1"/>
  <c r="AH2484" i="2"/>
  <c r="AC2484" i="2"/>
  <c r="AM2484" i="2"/>
  <c r="W2484" i="2"/>
  <c r="AM2400" i="2"/>
  <c r="W2400" i="2"/>
  <c r="AC2400" i="2"/>
  <c r="AH2400" i="2"/>
  <c r="AM2108" i="2"/>
  <c r="W2108" i="2"/>
  <c r="AH2108" i="2"/>
  <c r="AC2108" i="2"/>
  <c r="AM2146" i="2"/>
  <c r="W2146" i="2"/>
  <c r="AC2146" i="2"/>
  <c r="AH2146" i="2"/>
  <c r="AR1754" i="2"/>
  <c r="AW1754" i="2" s="1"/>
  <c r="BF1754" i="2" s="1"/>
  <c r="AR1690" i="2"/>
  <c r="AW1690" i="2" s="1"/>
  <c r="BF1690" i="2" s="1"/>
  <c r="AM1952" i="2"/>
  <c r="W1952" i="2"/>
  <c r="AH1952" i="2"/>
  <c r="AC1952" i="2"/>
  <c r="AM1944" i="2"/>
  <c r="W1944" i="2"/>
  <c r="AH1944" i="2"/>
  <c r="AC1944" i="2"/>
  <c r="AM1936" i="2"/>
  <c r="W1936" i="2"/>
  <c r="AH1936" i="2"/>
  <c r="AC1936" i="2"/>
  <c r="AM1928" i="2"/>
  <c r="W1928" i="2"/>
  <c r="AH1928" i="2"/>
  <c r="AC1928" i="2"/>
  <c r="AM1920" i="2"/>
  <c r="W1920" i="2"/>
  <c r="AH1920" i="2"/>
  <c r="AC1920" i="2"/>
  <c r="AM1912" i="2"/>
  <c r="W1912" i="2"/>
  <c r="AH1912" i="2"/>
  <c r="AC1912" i="2"/>
  <c r="AM1904" i="2"/>
  <c r="W1904" i="2"/>
  <c r="AH1904" i="2"/>
  <c r="AC1904" i="2"/>
  <c r="AM1896" i="2"/>
  <c r="W1896" i="2"/>
  <c r="AH1896" i="2"/>
  <c r="AC1896" i="2"/>
  <c r="AM1888" i="2"/>
  <c r="W1888" i="2"/>
  <c r="AH1888" i="2"/>
  <c r="AC1888" i="2"/>
  <c r="AM1880" i="2"/>
  <c r="W1880" i="2"/>
  <c r="AH1880" i="2"/>
  <c r="AC1880" i="2"/>
  <c r="AM1872" i="2"/>
  <c r="W1872" i="2"/>
  <c r="AH1872" i="2"/>
  <c r="AC1872" i="2"/>
  <c r="AM1864" i="2"/>
  <c r="W1864" i="2"/>
  <c r="AH1864" i="2"/>
  <c r="AC1864" i="2"/>
  <c r="AS1811" i="2"/>
  <c r="AX1811" i="2" s="1"/>
  <c r="BG1811" i="2" s="1"/>
  <c r="AH1389" i="2"/>
  <c r="AC1389" i="2"/>
  <c r="AM1389" i="2"/>
  <c r="W1389" i="2"/>
  <c r="AH1373" i="2"/>
  <c r="AC1373" i="2"/>
  <c r="AM1373" i="2"/>
  <c r="W1373" i="2"/>
  <c r="AM1295" i="2"/>
  <c r="W1295" i="2"/>
  <c r="AH1295" i="2"/>
  <c r="AC1295" i="2"/>
  <c r="AR1380" i="2"/>
  <c r="AW1380" i="2" s="1"/>
  <c r="BF1380" i="2" s="1"/>
  <c r="AI1145" i="2"/>
  <c r="AD1145" i="2"/>
  <c r="AN1145" i="2"/>
  <c r="X1145" i="2"/>
  <c r="AR1129" i="2"/>
  <c r="AW1129" i="2" s="1"/>
  <c r="BF1129" i="2" s="1"/>
  <c r="AR1065" i="2"/>
  <c r="AW1065" i="2" s="1"/>
  <c r="BF1065" i="2" s="1"/>
  <c r="AM713" i="2"/>
  <c r="W713" i="2"/>
  <c r="AH713" i="2"/>
  <c r="AC713" i="2"/>
  <c r="AR681" i="2"/>
  <c r="AW681" i="2" s="1"/>
  <c r="BF681" i="2" s="1"/>
  <c r="AM649" i="2"/>
  <c r="W649" i="2"/>
  <c r="AH649" i="2"/>
  <c r="AC649" i="2"/>
  <c r="AR517" i="2"/>
  <c r="AW517" i="2" s="1"/>
  <c r="BF517" i="2" s="1"/>
  <c r="AM471" i="2"/>
  <c r="AH471" i="2"/>
  <c r="AC471" i="2"/>
  <c r="W471" i="2"/>
  <c r="AR98" i="2"/>
  <c r="AW98" i="2" s="1"/>
  <c r="BF98" i="2" s="1"/>
  <c r="AH78" i="2"/>
  <c r="AM78" i="2"/>
  <c r="AC78" i="2"/>
  <c r="W78" i="2"/>
  <c r="AH72" i="2"/>
  <c r="AC72" i="2"/>
  <c r="AM72" i="2"/>
  <c r="W72" i="2"/>
  <c r="AH66" i="2"/>
  <c r="AM66" i="2"/>
  <c r="W66" i="2"/>
  <c r="AC66" i="2"/>
  <c r="AR46" i="2"/>
  <c r="AW46" i="2" s="1"/>
  <c r="BF46" i="2" s="1"/>
  <c r="AR40" i="2"/>
  <c r="AW40" i="2" s="1"/>
  <c r="BF40" i="2" s="1"/>
  <c r="AH490" i="2"/>
  <c r="AM490" i="2"/>
  <c r="W490" i="2"/>
  <c r="AC490" i="2"/>
  <c r="AD224" i="2"/>
  <c r="AN224" i="2"/>
  <c r="AI224" i="2"/>
  <c r="X224" i="2"/>
  <c r="AM89" i="2"/>
  <c r="AH89" i="2"/>
  <c r="AC89" i="2"/>
  <c r="W89" i="2"/>
  <c r="W79" i="2"/>
  <c r="AC79" i="2"/>
  <c r="AH79" i="2"/>
  <c r="AM79" i="2"/>
  <c r="AR35" i="2"/>
  <c r="AW35" i="2" s="1"/>
  <c r="BF35" i="2" s="1"/>
  <c r="AR489" i="2"/>
  <c r="AW489" i="2" s="1"/>
  <c r="BF489" i="2" s="1"/>
  <c r="AM295" i="2"/>
  <c r="AH295" i="2"/>
  <c r="AC295" i="2"/>
  <c r="W295" i="2"/>
  <c r="AM175" i="2"/>
  <c r="AC175" i="2"/>
  <c r="AH175" i="2"/>
  <c r="W175" i="2"/>
  <c r="AR70" i="2"/>
  <c r="AW70" i="2" s="1"/>
  <c r="BF70" i="2" s="1"/>
  <c r="AD192" i="2"/>
  <c r="AN192" i="2"/>
  <c r="AI192" i="2"/>
  <c r="X192" i="2"/>
  <c r="AR85" i="2"/>
  <c r="AW85" i="2" s="1"/>
  <c r="BF85" i="2" s="1"/>
  <c r="AM2392" i="2"/>
  <c r="AC2392" i="2"/>
  <c r="AH2392" i="2"/>
  <c r="W2392" i="2"/>
  <c r="AR2494" i="2"/>
  <c r="AW2494" i="2" s="1"/>
  <c r="BF2494" i="2" s="1"/>
  <c r="AM2414" i="2"/>
  <c r="W2414" i="2"/>
  <c r="AH2414" i="2"/>
  <c r="AC2414" i="2"/>
  <c r="AR2498" i="2"/>
  <c r="AW2498" i="2" s="1"/>
  <c r="BF2498" i="2" s="1"/>
  <c r="AM2389" i="2"/>
  <c r="W2389" i="2"/>
  <c r="AH2389" i="2"/>
  <c r="AC2389" i="2"/>
  <c r="AM2381" i="2"/>
  <c r="W2381" i="2"/>
  <c r="AH2381" i="2"/>
  <c r="AC2381" i="2"/>
  <c r="AM2373" i="2"/>
  <c r="W2373" i="2"/>
  <c r="AH2373" i="2"/>
  <c r="AC2373" i="2"/>
  <c r="AM2365" i="2"/>
  <c r="W2365" i="2"/>
  <c r="AH2365" i="2"/>
  <c r="AC2365" i="2"/>
  <c r="AM2357" i="2"/>
  <c r="W2357" i="2"/>
  <c r="AH2357" i="2"/>
  <c r="AC2357" i="2"/>
  <c r="AM2349" i="2"/>
  <c r="W2349" i="2"/>
  <c r="AH2349" i="2"/>
  <c r="AC2349" i="2"/>
  <c r="AM2341" i="2"/>
  <c r="W2341" i="2"/>
  <c r="AH2341" i="2"/>
  <c r="AC2341" i="2"/>
  <c r="AM2333" i="2"/>
  <c r="W2333" i="2"/>
  <c r="AH2333" i="2"/>
  <c r="AC2333" i="2"/>
  <c r="AM2325" i="2"/>
  <c r="W2325" i="2"/>
  <c r="AH2325" i="2"/>
  <c r="AC2325" i="2"/>
  <c r="AM2317" i="2"/>
  <c r="W2317" i="2"/>
  <c r="AH2317" i="2"/>
  <c r="AC2317" i="2"/>
  <c r="AH2275" i="2"/>
  <c r="AM2275" i="2"/>
  <c r="W2275" i="2"/>
  <c r="AC2275" i="2"/>
  <c r="AH2243" i="2"/>
  <c r="AM2243" i="2"/>
  <c r="W2243" i="2"/>
  <c r="AC2243" i="2"/>
  <c r="AH2211" i="2"/>
  <c r="AM2211" i="2"/>
  <c r="W2211" i="2"/>
  <c r="AC2211" i="2"/>
  <c r="AM2174" i="2"/>
  <c r="W2174" i="2"/>
  <c r="AH2174" i="2"/>
  <c r="AC2174" i="2"/>
  <c r="AM2148" i="2"/>
  <c r="W2148" i="2"/>
  <c r="AC2148" i="2"/>
  <c r="AH2148" i="2"/>
  <c r="AM2088" i="2"/>
  <c r="W2088" i="2"/>
  <c r="AH2088" i="2"/>
  <c r="AC2088" i="2"/>
  <c r="AR2047" i="2"/>
  <c r="AW2047" i="2" s="1"/>
  <c r="BF2047" i="2" s="1"/>
  <c r="AR1808" i="2"/>
  <c r="AW1808" i="2" s="1"/>
  <c r="BF1808" i="2" s="1"/>
  <c r="AR1792" i="2"/>
  <c r="AW1792" i="2" s="1"/>
  <c r="BF1792" i="2" s="1"/>
  <c r="AR1668" i="2"/>
  <c r="AW1668" i="2" s="1"/>
  <c r="BF1668" i="2" s="1"/>
  <c r="AR1666" i="2"/>
  <c r="AW1666" i="2" s="1"/>
  <c r="BF1666" i="2" s="1"/>
  <c r="AR1641" i="2"/>
  <c r="AW1641" i="2" s="1"/>
  <c r="BF1641" i="2" s="1"/>
  <c r="AR1579" i="2"/>
  <c r="AW1579" i="2" s="1"/>
  <c r="BF1579" i="2" s="1"/>
  <c r="AH1547" i="2"/>
  <c r="AC1547" i="2"/>
  <c r="AM1547" i="2"/>
  <c r="W1547" i="2"/>
  <c r="AH1435" i="2"/>
  <c r="AC1435" i="2"/>
  <c r="AM1435" i="2"/>
  <c r="W1435" i="2"/>
  <c r="AR1403" i="2"/>
  <c r="AW1403" i="2" s="1"/>
  <c r="BF1403" i="2" s="1"/>
  <c r="AH1624" i="2"/>
  <c r="AC1624" i="2"/>
  <c r="AM1624" i="2"/>
  <c r="W1624" i="2"/>
  <c r="AH1182" i="2"/>
  <c r="AC1182" i="2"/>
  <c r="AM1182" i="2"/>
  <c r="W1182" i="2"/>
  <c r="AM1331" i="2"/>
  <c r="W1331" i="2"/>
  <c r="AH1331" i="2"/>
  <c r="AC1331" i="2"/>
  <c r="AR1203" i="2"/>
  <c r="AW1203" i="2" s="1"/>
  <c r="BF1203" i="2" s="1"/>
  <c r="AR1392" i="2"/>
  <c r="AW1392" i="2" s="1"/>
  <c r="BF1392" i="2" s="1"/>
  <c r="AH1312" i="2"/>
  <c r="AC1312" i="2"/>
  <c r="AM1312" i="2"/>
  <c r="W1312" i="2"/>
  <c r="AR1184" i="2"/>
  <c r="AW1184" i="2" s="1"/>
  <c r="BF1184" i="2" s="1"/>
  <c r="AM1261" i="2"/>
  <c r="W1261" i="2"/>
  <c r="AH1261" i="2"/>
  <c r="AC1261" i="2"/>
  <c r="AR1109" i="2"/>
  <c r="AW1109" i="2" s="1"/>
  <c r="BF1109" i="2" s="1"/>
  <c r="AR1039" i="2"/>
  <c r="AW1039" i="2" s="1"/>
  <c r="BF1039" i="2" s="1"/>
  <c r="AR1037" i="2"/>
  <c r="AW1037" i="2" s="1"/>
  <c r="BF1037" i="2" s="1"/>
  <c r="AR1035" i="2"/>
  <c r="AW1035" i="2" s="1"/>
  <c r="BF1035" i="2" s="1"/>
  <c r="AR1033" i="2"/>
  <c r="AW1033" i="2" s="1"/>
  <c r="BF1033" i="2" s="1"/>
  <c r="AR1031" i="2"/>
  <c r="AW1031" i="2" s="1"/>
  <c r="BF1031" i="2" s="1"/>
  <c r="AR1029" i="2"/>
  <c r="AW1029" i="2" s="1"/>
  <c r="BF1029" i="2" s="1"/>
  <c r="AR1027" i="2"/>
  <c r="AW1027" i="2" s="1"/>
  <c r="BF1027" i="2" s="1"/>
  <c r="AR1025" i="2"/>
  <c r="AW1025" i="2" s="1"/>
  <c r="BF1025" i="2" s="1"/>
  <c r="AR1023" i="2"/>
  <c r="AW1023" i="2" s="1"/>
  <c r="BF1023" i="2" s="1"/>
  <c r="AR1021" i="2"/>
  <c r="AW1021" i="2" s="1"/>
  <c r="BF1021" i="2" s="1"/>
  <c r="AR1019" i="2"/>
  <c r="AW1019" i="2" s="1"/>
  <c r="BF1019" i="2" s="1"/>
  <c r="AR1017" i="2"/>
  <c r="AW1017" i="2" s="1"/>
  <c r="BF1017" i="2" s="1"/>
  <c r="AR1015" i="2"/>
  <c r="AW1015" i="2" s="1"/>
  <c r="BF1015" i="2" s="1"/>
  <c r="AR1013" i="2"/>
  <c r="AW1013" i="2" s="1"/>
  <c r="BF1013" i="2" s="1"/>
  <c r="AR1011" i="2"/>
  <c r="AW1011" i="2" s="1"/>
  <c r="BF1011" i="2" s="1"/>
  <c r="AR1009" i="2"/>
  <c r="AW1009" i="2" s="1"/>
  <c r="BF1009" i="2" s="1"/>
  <c r="AR1007" i="2"/>
  <c r="AW1007" i="2" s="1"/>
  <c r="BF1007" i="2" s="1"/>
  <c r="AR1005" i="2"/>
  <c r="AW1005" i="2" s="1"/>
  <c r="BF1005" i="2" s="1"/>
  <c r="AR1003" i="2"/>
  <c r="AW1003" i="2" s="1"/>
  <c r="BF1003" i="2" s="1"/>
  <c r="AR1001" i="2"/>
  <c r="AW1001" i="2" s="1"/>
  <c r="BF1001" i="2" s="1"/>
  <c r="AR999" i="2"/>
  <c r="AW999" i="2" s="1"/>
  <c r="BF999" i="2" s="1"/>
  <c r="AR997" i="2"/>
  <c r="AW997" i="2" s="1"/>
  <c r="BF997" i="2" s="1"/>
  <c r="AR995" i="2"/>
  <c r="AW995" i="2" s="1"/>
  <c r="BF995" i="2" s="1"/>
  <c r="AR993" i="2"/>
  <c r="AW993" i="2" s="1"/>
  <c r="BF993" i="2" s="1"/>
  <c r="AR991" i="2"/>
  <c r="AW991" i="2" s="1"/>
  <c r="BF991" i="2" s="1"/>
  <c r="AR989" i="2"/>
  <c r="AW989" i="2" s="1"/>
  <c r="BF989" i="2" s="1"/>
  <c r="AR987" i="2"/>
  <c r="AW987" i="2" s="1"/>
  <c r="BF987" i="2" s="1"/>
  <c r="AR985" i="2"/>
  <c r="AW985" i="2" s="1"/>
  <c r="BF985" i="2" s="1"/>
  <c r="AR983" i="2"/>
  <c r="AW983" i="2" s="1"/>
  <c r="BF983" i="2" s="1"/>
  <c r="AR981" i="2"/>
  <c r="AW981" i="2" s="1"/>
  <c r="BF981" i="2" s="1"/>
  <c r="AR979" i="2"/>
  <c r="AW979" i="2" s="1"/>
  <c r="BF979" i="2" s="1"/>
  <c r="AR977" i="2"/>
  <c r="AW977" i="2" s="1"/>
  <c r="BF977" i="2" s="1"/>
  <c r="AR975" i="2"/>
  <c r="AW975" i="2" s="1"/>
  <c r="BF975" i="2" s="1"/>
  <c r="AR973" i="2"/>
  <c r="AW973" i="2" s="1"/>
  <c r="BF973" i="2" s="1"/>
  <c r="AR971" i="2"/>
  <c r="AW971" i="2" s="1"/>
  <c r="BF971" i="2" s="1"/>
  <c r="AR969" i="2"/>
  <c r="AW969" i="2" s="1"/>
  <c r="BF969" i="2" s="1"/>
  <c r="AR967" i="2"/>
  <c r="AW967" i="2" s="1"/>
  <c r="BF967" i="2" s="1"/>
  <c r="AR965" i="2"/>
  <c r="AW965" i="2" s="1"/>
  <c r="BF965" i="2" s="1"/>
  <c r="AR963" i="2"/>
  <c r="AW963" i="2" s="1"/>
  <c r="BF963" i="2" s="1"/>
  <c r="AR961" i="2"/>
  <c r="AW961" i="2" s="1"/>
  <c r="BF961" i="2" s="1"/>
  <c r="AR959" i="2"/>
  <c r="AW959" i="2" s="1"/>
  <c r="BF959" i="2" s="1"/>
  <c r="AR957" i="2"/>
  <c r="AW957" i="2" s="1"/>
  <c r="BF957" i="2" s="1"/>
  <c r="AR955" i="2"/>
  <c r="AW955" i="2" s="1"/>
  <c r="BF955" i="2" s="1"/>
  <c r="AR953" i="2"/>
  <c r="AW953" i="2" s="1"/>
  <c r="BF953" i="2" s="1"/>
  <c r="AR951" i="2"/>
  <c r="AW951" i="2" s="1"/>
  <c r="BF951" i="2" s="1"/>
  <c r="AR949" i="2"/>
  <c r="AW949" i="2" s="1"/>
  <c r="BF949" i="2" s="1"/>
  <c r="AR947" i="2"/>
  <c r="AW947" i="2" s="1"/>
  <c r="BF947" i="2" s="1"/>
  <c r="AR945" i="2"/>
  <c r="AW945" i="2" s="1"/>
  <c r="BF945" i="2" s="1"/>
  <c r="AR943" i="2"/>
  <c r="AW943" i="2" s="1"/>
  <c r="BF943" i="2" s="1"/>
  <c r="AR941" i="2"/>
  <c r="AW941" i="2" s="1"/>
  <c r="BF941" i="2" s="1"/>
  <c r="AR939" i="2"/>
  <c r="AW939" i="2" s="1"/>
  <c r="BF939" i="2" s="1"/>
  <c r="AR937" i="2"/>
  <c r="AW937" i="2" s="1"/>
  <c r="BF937" i="2" s="1"/>
  <c r="AR935" i="2"/>
  <c r="AW935" i="2" s="1"/>
  <c r="BF935" i="2" s="1"/>
  <c r="AR933" i="2"/>
  <c r="AW933" i="2" s="1"/>
  <c r="BF933" i="2" s="1"/>
  <c r="AR861" i="2"/>
  <c r="AW861" i="2" s="1"/>
  <c r="BF861" i="2" s="1"/>
  <c r="AR829" i="2"/>
  <c r="AW829" i="2" s="1"/>
  <c r="BF829" i="2" s="1"/>
  <c r="AR797" i="2"/>
  <c r="AW797" i="2" s="1"/>
  <c r="BF797" i="2" s="1"/>
  <c r="AR765" i="2"/>
  <c r="AW765" i="2" s="1"/>
  <c r="BF765" i="2" s="1"/>
  <c r="AR733" i="2"/>
  <c r="AW733" i="2" s="1"/>
  <c r="BF733" i="2" s="1"/>
  <c r="AC618" i="2"/>
  <c r="AM618" i="2"/>
  <c r="W618" i="2"/>
  <c r="AH618" i="2"/>
  <c r="AC616" i="2"/>
  <c r="AM616" i="2"/>
  <c r="W616" i="2"/>
  <c r="AH616" i="2"/>
  <c r="AC614" i="2"/>
  <c r="AM614" i="2"/>
  <c r="W614" i="2"/>
  <c r="AH614" i="2"/>
  <c r="AC612" i="2"/>
  <c r="AM612" i="2"/>
  <c r="W612" i="2"/>
  <c r="AH612" i="2"/>
  <c r="AC610" i="2"/>
  <c r="AM610" i="2"/>
  <c r="W610" i="2"/>
  <c r="AH610" i="2"/>
  <c r="AC608" i="2"/>
  <c r="AM608" i="2"/>
  <c r="W608" i="2"/>
  <c r="AH608" i="2"/>
  <c r="AC606" i="2"/>
  <c r="AM606" i="2"/>
  <c r="W606" i="2"/>
  <c r="AH606" i="2"/>
  <c r="AC604" i="2"/>
  <c r="AM604" i="2"/>
  <c r="W604" i="2"/>
  <c r="AH604" i="2"/>
  <c r="AC602" i="2"/>
  <c r="AM602" i="2"/>
  <c r="W602" i="2"/>
  <c r="AH602" i="2"/>
  <c r="AC600" i="2"/>
  <c r="AM600" i="2"/>
  <c r="W600" i="2"/>
  <c r="AH600" i="2"/>
  <c r="AC598" i="2"/>
  <c r="AM598" i="2"/>
  <c r="W598" i="2"/>
  <c r="AH598" i="2"/>
  <c r="AC596" i="2"/>
  <c r="AM596" i="2"/>
  <c r="W596" i="2"/>
  <c r="AH596" i="2"/>
  <c r="AC594" i="2"/>
  <c r="AM594" i="2"/>
  <c r="W594" i="2"/>
  <c r="AH594" i="2"/>
  <c r="AC592" i="2"/>
  <c r="AM592" i="2"/>
  <c r="W592" i="2"/>
  <c r="AH592" i="2"/>
  <c r="AC590" i="2"/>
  <c r="AM590" i="2"/>
  <c r="W590" i="2"/>
  <c r="AH590" i="2"/>
  <c r="AC588" i="2"/>
  <c r="AM588" i="2"/>
  <c r="W588" i="2"/>
  <c r="AH588" i="2"/>
  <c r="AC586" i="2"/>
  <c r="AM586" i="2"/>
  <c r="W586" i="2"/>
  <c r="AH586" i="2"/>
  <c r="AC584" i="2"/>
  <c r="AM584" i="2"/>
  <c r="W584" i="2"/>
  <c r="AH584" i="2"/>
  <c r="AC582" i="2"/>
  <c r="AM582" i="2"/>
  <c r="W582" i="2"/>
  <c r="AH582" i="2"/>
  <c r="AC580" i="2"/>
  <c r="AM580" i="2"/>
  <c r="W580" i="2"/>
  <c r="AH580" i="2"/>
  <c r="AC578" i="2"/>
  <c r="AM578" i="2"/>
  <c r="W578" i="2"/>
  <c r="AH578" i="2"/>
  <c r="AC576" i="2"/>
  <c r="AM576" i="2"/>
  <c r="W576" i="2"/>
  <c r="AH576" i="2"/>
  <c r="AC574" i="2"/>
  <c r="AM574" i="2"/>
  <c r="W574" i="2"/>
  <c r="AH574" i="2"/>
  <c r="AC572" i="2"/>
  <c r="AM572" i="2"/>
  <c r="W572" i="2"/>
  <c r="AH572" i="2"/>
  <c r="AC570" i="2"/>
  <c r="AM570" i="2"/>
  <c r="W570" i="2"/>
  <c r="AH570" i="2"/>
  <c r="AC568" i="2"/>
  <c r="AM568" i="2"/>
  <c r="W568" i="2"/>
  <c r="AH568" i="2"/>
  <c r="AC566" i="2"/>
  <c r="AM566" i="2"/>
  <c r="W566" i="2"/>
  <c r="AH566" i="2"/>
  <c r="AC564" i="2"/>
  <c r="AM564" i="2"/>
  <c r="W564" i="2"/>
  <c r="AH564" i="2"/>
  <c r="AC562" i="2"/>
  <c r="AM562" i="2"/>
  <c r="W562" i="2"/>
  <c r="AH562" i="2"/>
  <c r="AC560" i="2"/>
  <c r="AM560" i="2"/>
  <c r="W560" i="2"/>
  <c r="AH560" i="2"/>
  <c r="AC558" i="2"/>
  <c r="AM558" i="2"/>
  <c r="W558" i="2"/>
  <c r="AH558" i="2"/>
  <c r="AC556" i="2"/>
  <c r="AM556" i="2"/>
  <c r="W556" i="2"/>
  <c r="AH556" i="2"/>
  <c r="AR529" i="2"/>
  <c r="AW529" i="2" s="1"/>
  <c r="BF529" i="2" s="1"/>
  <c r="AD484" i="2"/>
  <c r="AN484" i="2"/>
  <c r="AI484" i="2"/>
  <c r="X484" i="2"/>
  <c r="AI468" i="2"/>
  <c r="AD452" i="2"/>
  <c r="AN452" i="2"/>
  <c r="AI452" i="2"/>
  <c r="X452" i="2"/>
  <c r="AD436" i="2"/>
  <c r="AN436" i="2"/>
  <c r="AI436" i="2"/>
  <c r="X436" i="2"/>
  <c r="AD420" i="2"/>
  <c r="AN420" i="2"/>
  <c r="AI420" i="2"/>
  <c r="X420" i="2"/>
  <c r="AH350" i="2"/>
  <c r="AC350" i="2"/>
  <c r="AM350" i="2"/>
  <c r="W350" i="2"/>
  <c r="AR310" i="2"/>
  <c r="AW310" i="2" s="1"/>
  <c r="BF310" i="2" s="1"/>
  <c r="AR245" i="2"/>
  <c r="AW245" i="2" s="1"/>
  <c r="BF245" i="2" s="1"/>
  <c r="AM542" i="2"/>
  <c r="W542" i="2"/>
  <c r="AH542" i="2"/>
  <c r="AC542" i="2"/>
  <c r="AM439" i="2"/>
  <c r="AH439" i="2"/>
  <c r="AC439" i="2"/>
  <c r="W439" i="2"/>
  <c r="AH250" i="2"/>
  <c r="AM250" i="2"/>
  <c r="W250" i="2"/>
  <c r="AC250" i="2"/>
  <c r="AH236" i="2"/>
  <c r="AC236" i="2"/>
  <c r="W236" i="2"/>
  <c r="AM236" i="2"/>
  <c r="AH199" i="2"/>
  <c r="W199" i="2"/>
  <c r="AM199" i="2"/>
  <c r="AC199" i="2"/>
  <c r="AH135" i="2"/>
  <c r="W135" i="2"/>
  <c r="AM135" i="2"/>
  <c r="AC135" i="2"/>
  <c r="AC71" i="2"/>
  <c r="AH71" i="2"/>
  <c r="AM71" i="2"/>
  <c r="W71" i="2"/>
  <c r="AC39" i="2"/>
  <c r="AH39" i="2"/>
  <c r="AM39" i="2"/>
  <c r="W39" i="2"/>
  <c r="AC7" i="2"/>
  <c r="AH7" i="2"/>
  <c r="AM7" i="2"/>
  <c r="W7" i="2"/>
  <c r="AH466" i="2"/>
  <c r="AM466" i="2"/>
  <c r="W466" i="2"/>
  <c r="AC466" i="2"/>
  <c r="AH206" i="2"/>
  <c r="AM206" i="2"/>
  <c r="W206" i="2"/>
  <c r="AC206" i="2"/>
  <c r="AH94" i="2"/>
  <c r="AC94" i="2"/>
  <c r="W94" i="2"/>
  <c r="AM94" i="2"/>
  <c r="AH88" i="2"/>
  <c r="AC88" i="2"/>
  <c r="W88" i="2"/>
  <c r="AM88" i="2"/>
  <c r="AH82" i="2"/>
  <c r="AM82" i="2"/>
  <c r="W82" i="2"/>
  <c r="AC82" i="2"/>
  <c r="AM65" i="2"/>
  <c r="AH65" i="2"/>
  <c r="AC65" i="2"/>
  <c r="W65" i="2"/>
  <c r="AM55" i="2"/>
  <c r="W55" i="2"/>
  <c r="AC55" i="2"/>
  <c r="AH55" i="2"/>
  <c r="AD104" i="2"/>
  <c r="AN104" i="2"/>
  <c r="AI104" i="2"/>
  <c r="X104" i="2"/>
  <c r="AC27" i="2"/>
  <c r="AH27" i="2"/>
  <c r="AM27" i="2"/>
  <c r="W27" i="2"/>
  <c r="AR2396" i="2"/>
  <c r="AW2396" i="2" s="1"/>
  <c r="BF2396" i="2" s="1"/>
  <c r="AC2413" i="2"/>
  <c r="AM2413" i="2"/>
  <c r="W2413" i="2"/>
  <c r="AH2413" i="2"/>
  <c r="AH2386" i="2"/>
  <c r="AC2386" i="2"/>
  <c r="AM2386" i="2"/>
  <c r="W2386" i="2"/>
  <c r="AH2378" i="2"/>
  <c r="AC2378" i="2"/>
  <c r="AM2378" i="2"/>
  <c r="W2378" i="2"/>
  <c r="AH2370" i="2"/>
  <c r="AC2370" i="2"/>
  <c r="AM2370" i="2"/>
  <c r="W2370" i="2"/>
  <c r="AH2362" i="2"/>
  <c r="AC2362" i="2"/>
  <c r="AM2362" i="2"/>
  <c r="W2362" i="2"/>
  <c r="AH2354" i="2"/>
  <c r="AC2354" i="2"/>
  <c r="AM2354" i="2"/>
  <c r="W2354" i="2"/>
  <c r="AH2346" i="2"/>
  <c r="AC2346" i="2"/>
  <c r="AM2346" i="2"/>
  <c r="W2346" i="2"/>
  <c r="AH2338" i="2"/>
  <c r="AC2338" i="2"/>
  <c r="AM2338" i="2"/>
  <c r="W2338" i="2"/>
  <c r="AH2330" i="2"/>
  <c r="AC2330" i="2"/>
  <c r="AM2330" i="2"/>
  <c r="W2330" i="2"/>
  <c r="AH2322" i="2"/>
  <c r="AC2322" i="2"/>
  <c r="AM2322" i="2"/>
  <c r="W2322" i="2"/>
  <c r="AR2169" i="2"/>
  <c r="AW2169" i="2" s="1"/>
  <c r="BF2169" i="2" s="1"/>
  <c r="AH2107" i="2"/>
  <c r="AC2107" i="2"/>
  <c r="AM2107" i="2"/>
  <c r="W2107" i="2"/>
  <c r="AH1987" i="2"/>
  <c r="AC1987" i="2"/>
  <c r="AM1987" i="2"/>
  <c r="W1987" i="2"/>
  <c r="AR1955" i="2"/>
  <c r="AW1955" i="2" s="1"/>
  <c r="BF1955" i="2" s="1"/>
  <c r="AS2020" i="2"/>
  <c r="AX2020" i="2" s="1"/>
  <c r="BG2020" i="2" s="1"/>
  <c r="AH2017" i="2"/>
  <c r="AC2017" i="2"/>
  <c r="AM2017" i="2"/>
  <c r="W2017" i="2"/>
  <c r="AR1985" i="2"/>
  <c r="AW1985" i="2" s="1"/>
  <c r="BF1985" i="2" s="1"/>
  <c r="AH1953" i="2"/>
  <c r="AC1953" i="2"/>
  <c r="AM1953" i="2"/>
  <c r="W1953" i="2"/>
  <c r="AR1921" i="2"/>
  <c r="AW1921" i="2" s="1"/>
  <c r="BF1921" i="2" s="1"/>
  <c r="AH1889" i="2"/>
  <c r="AC1889" i="2"/>
  <c r="AM1889" i="2"/>
  <c r="W1889" i="2"/>
  <c r="AR1828" i="2"/>
  <c r="AW1828" i="2" s="1"/>
  <c r="BF1828" i="2" s="1"/>
  <c r="AH1714" i="2"/>
  <c r="AM1714" i="2"/>
  <c r="W1714" i="2"/>
  <c r="AC1714" i="2"/>
  <c r="AR1852" i="2"/>
  <c r="AW1852" i="2" s="1"/>
  <c r="BF1852" i="2" s="1"/>
  <c r="AS1835" i="2"/>
  <c r="AX1835" i="2" s="1"/>
  <c r="BG1835" i="2" s="1"/>
  <c r="AH1457" i="2"/>
  <c r="AC1457" i="2"/>
  <c r="AM1457" i="2"/>
  <c r="W1457" i="2"/>
  <c r="AH1525" i="2"/>
  <c r="AC1525" i="2"/>
  <c r="AM1525" i="2"/>
  <c r="W1525" i="2"/>
  <c r="AH1521" i="2"/>
  <c r="AC1521" i="2"/>
  <c r="AM1521" i="2"/>
  <c r="W1521" i="2"/>
  <c r="AH1517" i="2"/>
  <c r="AC1517" i="2"/>
  <c r="AM1517" i="2"/>
  <c r="W1517" i="2"/>
  <c r="AR1506" i="2"/>
  <c r="AW1506" i="2" s="1"/>
  <c r="BF1506" i="2" s="1"/>
  <c r="AH1485" i="2"/>
  <c r="AC1485" i="2"/>
  <c r="AM1485" i="2"/>
  <c r="W1485" i="2"/>
  <c r="AM1643" i="2"/>
  <c r="W1643" i="2"/>
  <c r="AH1643" i="2"/>
  <c r="AC1643" i="2"/>
  <c r="AH1577" i="2"/>
  <c r="AC1577" i="2"/>
  <c r="AM1577" i="2"/>
  <c r="W1577" i="2"/>
  <c r="AH1561" i="2"/>
  <c r="AC1561" i="2"/>
  <c r="AM1561" i="2"/>
  <c r="W1561" i="2"/>
  <c r="AH1545" i="2"/>
  <c r="AC1545" i="2"/>
  <c r="AM1545" i="2"/>
  <c r="W1545" i="2"/>
  <c r="AR1385" i="2"/>
  <c r="AW1385" i="2" s="1"/>
  <c r="BF1385" i="2" s="1"/>
  <c r="AH1266" i="2"/>
  <c r="AC1266" i="2"/>
  <c r="AM1266" i="2"/>
  <c r="W1266" i="2"/>
  <c r="AM1271" i="2"/>
  <c r="W1271" i="2"/>
  <c r="AH1271" i="2"/>
  <c r="AC1271" i="2"/>
  <c r="AR1268" i="2"/>
  <c r="AW1268" i="2" s="1"/>
  <c r="BF1268" i="2" s="1"/>
  <c r="AR1313" i="2"/>
  <c r="AW1313" i="2" s="1"/>
  <c r="BF1313" i="2" s="1"/>
  <c r="AM1185" i="2"/>
  <c r="W1185" i="2"/>
  <c r="AH1185" i="2"/>
  <c r="AC1185" i="2"/>
  <c r="AM1073" i="2"/>
  <c r="W1073" i="2"/>
  <c r="AC1073" i="2"/>
  <c r="AH1073" i="2"/>
  <c r="AR520" i="2"/>
  <c r="AW520" i="2" s="1"/>
  <c r="BF520" i="2" s="1"/>
  <c r="AH194" i="2"/>
  <c r="AM194" i="2"/>
  <c r="W194" i="2"/>
  <c r="AC194" i="2"/>
  <c r="AR130" i="2"/>
  <c r="AW130" i="2" s="1"/>
  <c r="BF130" i="2" s="1"/>
  <c r="AR143" i="2"/>
  <c r="AW143" i="2" s="1"/>
  <c r="BF143" i="2" s="1"/>
  <c r="AR21" i="2"/>
  <c r="AW21" i="2" s="1"/>
  <c r="BF21" i="2" s="1"/>
  <c r="AR2064" i="2"/>
  <c r="AW2064" i="2" s="1"/>
  <c r="BF2064" i="2" s="1"/>
  <c r="AC1805" i="2"/>
  <c r="AM1805" i="2"/>
  <c r="AH1805" i="2"/>
  <c r="W1805" i="2"/>
  <c r="AC1789" i="2"/>
  <c r="AM1789" i="2"/>
  <c r="AH1789" i="2"/>
  <c r="W1789" i="2"/>
  <c r="AC1773" i="2"/>
  <c r="AM1773" i="2"/>
  <c r="AH1773" i="2"/>
  <c r="W1773" i="2"/>
  <c r="AC1757" i="2"/>
  <c r="AM1757" i="2"/>
  <c r="AH1757" i="2"/>
  <c r="W1757" i="2"/>
  <c r="AN1783" i="2"/>
  <c r="AI1783" i="2"/>
  <c r="AD1783" i="2"/>
  <c r="X1783" i="2"/>
  <c r="AR1649" i="2"/>
  <c r="AW1649" i="2" s="1"/>
  <c r="BF1649" i="2" s="1"/>
  <c r="AH1576" i="2"/>
  <c r="AM1576" i="2"/>
  <c r="W1576" i="2"/>
  <c r="AC1576" i="2"/>
  <c r="AH1572" i="2"/>
  <c r="AM1572" i="2"/>
  <c r="W1572" i="2"/>
  <c r="AC1572" i="2"/>
  <c r="AH1568" i="2"/>
  <c r="AM1568" i="2"/>
  <c r="W1568" i="2"/>
  <c r="AC1568" i="2"/>
  <c r="AH1564" i="2"/>
  <c r="AM1564" i="2"/>
  <c r="W1564" i="2"/>
  <c r="AC1564" i="2"/>
  <c r="AH1560" i="2"/>
  <c r="AM1560" i="2"/>
  <c r="W1560" i="2"/>
  <c r="AC1560" i="2"/>
  <c r="AH1556" i="2"/>
  <c r="AM1556" i="2"/>
  <c r="W1556" i="2"/>
  <c r="AC1556" i="2"/>
  <c r="AH1552" i="2"/>
  <c r="AM1552" i="2"/>
  <c r="W1552" i="2"/>
  <c r="AC1552" i="2"/>
  <c r="AH1548" i="2"/>
  <c r="AM1548" i="2"/>
  <c r="W1548" i="2"/>
  <c r="AC1548" i="2"/>
  <c r="AM1655" i="2"/>
  <c r="W1655" i="2"/>
  <c r="AH1655" i="2"/>
  <c r="AC1655" i="2"/>
  <c r="AH1480" i="2"/>
  <c r="AM1480" i="2"/>
  <c r="W1480" i="2"/>
  <c r="AC1480" i="2"/>
  <c r="AR1286" i="2"/>
  <c r="AW1286" i="2" s="1"/>
  <c r="BF1286" i="2" s="1"/>
  <c r="AM1371" i="2"/>
  <c r="W1371" i="2"/>
  <c r="AH1371" i="2"/>
  <c r="AC1371" i="2"/>
  <c r="AR1243" i="2"/>
  <c r="AW1243" i="2" s="1"/>
  <c r="BF1243" i="2" s="1"/>
  <c r="AR1368" i="2"/>
  <c r="AW1368" i="2" s="1"/>
  <c r="BF1368" i="2" s="1"/>
  <c r="AH1240" i="2"/>
  <c r="AC1240" i="2"/>
  <c r="AM1240" i="2"/>
  <c r="W1240" i="2"/>
  <c r="AM1365" i="2"/>
  <c r="W1365" i="2"/>
  <c r="AH1365" i="2"/>
  <c r="AC1365" i="2"/>
  <c r="AR1237" i="2"/>
  <c r="AW1237" i="2" s="1"/>
  <c r="BF1237" i="2" s="1"/>
  <c r="AH545" i="2"/>
  <c r="AC545" i="2"/>
  <c r="AM545" i="2"/>
  <c r="W545" i="2"/>
  <c r="AH513" i="2"/>
  <c r="AC513" i="2"/>
  <c r="AM513" i="2"/>
  <c r="W513" i="2"/>
  <c r="AH294" i="2"/>
  <c r="AC294" i="2"/>
  <c r="AM294" i="2"/>
  <c r="W294" i="2"/>
  <c r="AM512" i="2"/>
  <c r="W512" i="2"/>
  <c r="AH512" i="2"/>
  <c r="AC512" i="2"/>
  <c r="AR526" i="2"/>
  <c r="AW526" i="2" s="1"/>
  <c r="BF526" i="2" s="1"/>
  <c r="AR524" i="2"/>
  <c r="AW524" i="2" s="1"/>
  <c r="BF524" i="2" s="1"/>
  <c r="AC307" i="2"/>
  <c r="W307" i="2"/>
  <c r="AM307" i="2"/>
  <c r="AH307" i="2"/>
  <c r="AM73" i="2"/>
  <c r="AH73" i="2"/>
  <c r="AC73" i="2"/>
  <c r="W73" i="2"/>
  <c r="AH63" i="2"/>
  <c r="AM63" i="2"/>
  <c r="W63" i="2"/>
  <c r="AC63" i="2"/>
  <c r="AD144" i="2"/>
  <c r="AN144" i="2"/>
  <c r="AI144" i="2"/>
  <c r="X144" i="2"/>
  <c r="AD160" i="2"/>
  <c r="AN160" i="2"/>
  <c r="AI160" i="2"/>
  <c r="X160" i="2"/>
  <c r="AC2417" i="2"/>
  <c r="AM2417" i="2"/>
  <c r="W2417" i="2"/>
  <c r="AH2417" i="2"/>
  <c r="AR2390" i="2"/>
  <c r="AW2390" i="2" s="1"/>
  <c r="BF2390" i="2" s="1"/>
  <c r="AR2382" i="2"/>
  <c r="AW2382" i="2" s="1"/>
  <c r="BF2382" i="2" s="1"/>
  <c r="AR2374" i="2"/>
  <c r="AW2374" i="2" s="1"/>
  <c r="BF2374" i="2" s="1"/>
  <c r="AR2366" i="2"/>
  <c r="AW2366" i="2" s="1"/>
  <c r="BF2366" i="2" s="1"/>
  <c r="AR2358" i="2"/>
  <c r="AW2358" i="2" s="1"/>
  <c r="BF2358" i="2" s="1"/>
  <c r="AR2350" i="2"/>
  <c r="AW2350" i="2" s="1"/>
  <c r="BF2350" i="2" s="1"/>
  <c r="AR2342" i="2"/>
  <c r="AW2342" i="2" s="1"/>
  <c r="BF2342" i="2" s="1"/>
  <c r="AR2334" i="2"/>
  <c r="AW2334" i="2" s="1"/>
  <c r="BF2334" i="2" s="1"/>
  <c r="AR2326" i="2"/>
  <c r="AW2326" i="2" s="1"/>
  <c r="BF2326" i="2" s="1"/>
  <c r="AR2318" i="2"/>
  <c r="AW2318" i="2" s="1"/>
  <c r="BF2318" i="2" s="1"/>
  <c r="AR2405" i="2"/>
  <c r="AW2405" i="2" s="1"/>
  <c r="BF2405" i="2" s="1"/>
  <c r="AR2397" i="2"/>
  <c r="AW2397" i="2" s="1"/>
  <c r="BF2397" i="2" s="1"/>
  <c r="AR2161" i="2"/>
  <c r="AW2161" i="2" s="1"/>
  <c r="BF2161" i="2" s="1"/>
  <c r="AR2060" i="2"/>
  <c r="AW2060" i="2" s="1"/>
  <c r="BF2060" i="2" s="1"/>
  <c r="AH2085" i="2"/>
  <c r="AC2085" i="2"/>
  <c r="AM2085" i="2"/>
  <c r="W2085" i="2"/>
  <c r="AR2053" i="2"/>
  <c r="AW2053" i="2" s="1"/>
  <c r="BF2053" i="2" s="1"/>
  <c r="AR1829" i="2"/>
  <c r="AW1829" i="2" s="1"/>
  <c r="BF1829" i="2" s="1"/>
  <c r="AN1839" i="2"/>
  <c r="AI1839" i="2"/>
  <c r="AD1839" i="2"/>
  <c r="X1839" i="2"/>
  <c r="AR1654" i="2"/>
  <c r="AW1654" i="2" s="1"/>
  <c r="BF1654" i="2" s="1"/>
  <c r="AR1629" i="2"/>
  <c r="AW1629" i="2" s="1"/>
  <c r="BF1629" i="2" s="1"/>
  <c r="AR1644" i="2"/>
  <c r="AW1644" i="2" s="1"/>
  <c r="BF1644" i="2" s="1"/>
  <c r="AR1619" i="2"/>
  <c r="AW1619" i="2" s="1"/>
  <c r="BF1619" i="2" s="1"/>
  <c r="AH1429" i="2"/>
  <c r="AC1429" i="2"/>
  <c r="AM1429" i="2"/>
  <c r="W1429" i="2"/>
  <c r="AR1397" i="2"/>
  <c r="AW1397" i="2" s="1"/>
  <c r="BF1397" i="2" s="1"/>
  <c r="AR1442" i="2"/>
  <c r="AW1442" i="2" s="1"/>
  <c r="BF1442" i="2" s="1"/>
  <c r="AR1354" i="2"/>
  <c r="AW1354" i="2" s="1"/>
  <c r="BF1354" i="2" s="1"/>
  <c r="AH1226" i="2"/>
  <c r="AC1226" i="2"/>
  <c r="AM1226" i="2"/>
  <c r="W1226" i="2"/>
  <c r="AR1247" i="2"/>
  <c r="AW1247" i="2" s="1"/>
  <c r="BF1247" i="2" s="1"/>
  <c r="AH1292" i="2"/>
  <c r="AC1292" i="2"/>
  <c r="AM1292" i="2"/>
  <c r="W1292" i="2"/>
  <c r="AR1289" i="2"/>
  <c r="AW1289" i="2" s="1"/>
  <c r="BF1289" i="2" s="1"/>
  <c r="AR1113" i="2"/>
  <c r="AW1113" i="2" s="1"/>
  <c r="BF1113" i="2" s="1"/>
  <c r="AR1046" i="2"/>
  <c r="AW1046" i="2" s="1"/>
  <c r="BF1046" i="2" s="1"/>
  <c r="AR725" i="2"/>
  <c r="AW725" i="2" s="1"/>
  <c r="BF725" i="2" s="1"/>
  <c r="AR723" i="2"/>
  <c r="AW723" i="2" s="1"/>
  <c r="BF723" i="2" s="1"/>
  <c r="AR721" i="2"/>
  <c r="AW721" i="2" s="1"/>
  <c r="BF721" i="2" s="1"/>
  <c r="AR719" i="2"/>
  <c r="AW719" i="2" s="1"/>
  <c r="BF719" i="2" s="1"/>
  <c r="AR717" i="2"/>
  <c r="AW717" i="2" s="1"/>
  <c r="BF717" i="2" s="1"/>
  <c r="AM685" i="2"/>
  <c r="W685" i="2"/>
  <c r="AH685" i="2"/>
  <c r="AC685" i="2"/>
  <c r="AR653" i="2"/>
  <c r="AW653" i="2" s="1"/>
  <c r="BF653" i="2" s="1"/>
  <c r="AM621" i="2"/>
  <c r="W621" i="2"/>
  <c r="AH621" i="2"/>
  <c r="AC621" i="2"/>
  <c r="AH448" i="2"/>
  <c r="AC448" i="2"/>
  <c r="AM448" i="2"/>
  <c r="W448" i="2"/>
  <c r="AH418" i="2"/>
  <c r="AM418" i="2"/>
  <c r="W418" i="2"/>
  <c r="AC418" i="2"/>
  <c r="AM415" i="2"/>
  <c r="AH415" i="2"/>
  <c r="AC415" i="2"/>
  <c r="W415" i="2"/>
  <c r="AR400" i="2"/>
  <c r="AW400" i="2" s="1"/>
  <c r="BF400" i="2" s="1"/>
  <c r="AR368" i="2"/>
  <c r="AW368" i="2" s="1"/>
  <c r="BF368" i="2" s="1"/>
  <c r="AR336" i="2"/>
  <c r="AW336" i="2" s="1"/>
  <c r="BF336" i="2" s="1"/>
  <c r="AM303" i="2"/>
  <c r="AH303" i="2"/>
  <c r="AC303" i="2"/>
  <c r="W303" i="2"/>
  <c r="AM271" i="2"/>
  <c r="AH271" i="2"/>
  <c r="AC271" i="2"/>
  <c r="W271" i="2"/>
  <c r="AR178" i="2"/>
  <c r="AW178" i="2" s="1"/>
  <c r="BF178" i="2" s="1"/>
  <c r="AH114" i="2"/>
  <c r="AM114" i="2"/>
  <c r="W114" i="2"/>
  <c r="AC114" i="2"/>
  <c r="AR322" i="2"/>
  <c r="AW322" i="2" s="1"/>
  <c r="BF322" i="2" s="1"/>
  <c r="AR308" i="2"/>
  <c r="AW308" i="2" s="1"/>
  <c r="BF308" i="2" s="1"/>
  <c r="AM225" i="2"/>
  <c r="AH225" i="2"/>
  <c r="AC225" i="2"/>
  <c r="W225" i="2"/>
  <c r="AM219" i="2"/>
  <c r="AH219" i="2"/>
  <c r="AC219" i="2"/>
  <c r="W219" i="2"/>
  <c r="AR122" i="2"/>
  <c r="AW122" i="2" s="1"/>
  <c r="BF122" i="2" s="1"/>
  <c r="AM2458" i="2"/>
  <c r="W2458" i="2"/>
  <c r="AH2458" i="2"/>
  <c r="AC2458" i="2"/>
  <c r="AR2430" i="2"/>
  <c r="AW2430" i="2" s="1"/>
  <c r="BF2430" i="2" s="1"/>
  <c r="AR2391" i="2"/>
  <c r="AW2391" i="2" s="1"/>
  <c r="BF2391" i="2" s="1"/>
  <c r="AR2351" i="2"/>
  <c r="AW2351" i="2" s="1"/>
  <c r="BF2351" i="2" s="1"/>
  <c r="AR2343" i="2"/>
  <c r="AW2343" i="2" s="1"/>
  <c r="BF2343" i="2" s="1"/>
  <c r="AR2327" i="2"/>
  <c r="AW2327" i="2" s="1"/>
  <c r="BF2327" i="2" s="1"/>
  <c r="AR2319" i="2"/>
  <c r="AW2319" i="2" s="1"/>
  <c r="BF2319" i="2" s="1"/>
  <c r="AR2495" i="2"/>
  <c r="AW2495" i="2" s="1"/>
  <c r="BF2495" i="2" s="1"/>
  <c r="AR2487" i="2"/>
  <c r="AW2487" i="2" s="1"/>
  <c r="BF2487" i="2" s="1"/>
  <c r="AM2418" i="2"/>
  <c r="W2418" i="2"/>
  <c r="AH2418" i="2"/>
  <c r="AC2418" i="2"/>
  <c r="AR2267" i="2"/>
  <c r="AW2267" i="2" s="1"/>
  <c r="BF2267" i="2" s="1"/>
  <c r="AR2235" i="2"/>
  <c r="AW2235" i="2" s="1"/>
  <c r="BF2235" i="2" s="1"/>
  <c r="AR2203" i="2"/>
  <c r="AW2203" i="2" s="1"/>
  <c r="BF2203" i="2" s="1"/>
  <c r="AC2165" i="2"/>
  <c r="AM2165" i="2"/>
  <c r="W2165" i="2"/>
  <c r="AH2165" i="2"/>
  <c r="AR2190" i="2"/>
  <c r="AW2190" i="2" s="1"/>
  <c r="BF2190" i="2" s="1"/>
  <c r="AR2191" i="2"/>
  <c r="AW2191" i="2" s="1"/>
  <c r="BF2191" i="2" s="1"/>
  <c r="AR2044" i="2"/>
  <c r="AW2044" i="2" s="1"/>
  <c r="BF2044" i="2" s="1"/>
  <c r="AM1850" i="2"/>
  <c r="W1850" i="2"/>
  <c r="AH1850" i="2"/>
  <c r="AC1850" i="2"/>
  <c r="AR1796" i="2"/>
  <c r="AW1796" i="2" s="1"/>
  <c r="BF1796" i="2" s="1"/>
  <c r="X1791" i="2"/>
  <c r="AR1618" i="2"/>
  <c r="AW1618" i="2" s="1"/>
  <c r="BF1618" i="2" s="1"/>
  <c r="AH1514" i="2"/>
  <c r="AM1514" i="2"/>
  <c r="W1514" i="2"/>
  <c r="AC1514" i="2"/>
  <c r="AH1510" i="2"/>
  <c r="AM1510" i="2"/>
  <c r="W1510" i="2"/>
  <c r="AC1510" i="2"/>
  <c r="AH1500" i="2"/>
  <c r="AM1500" i="2"/>
  <c r="W1500" i="2"/>
  <c r="AC1500" i="2"/>
  <c r="AH1496" i="2"/>
  <c r="AM1496" i="2"/>
  <c r="W1496" i="2"/>
  <c r="AC1496" i="2"/>
  <c r="AH1482" i="2"/>
  <c r="AM1482" i="2"/>
  <c r="W1482" i="2"/>
  <c r="AC1482" i="2"/>
  <c r="AH1478" i="2"/>
  <c r="AM1478" i="2"/>
  <c r="W1478" i="2"/>
  <c r="AC1478" i="2"/>
  <c r="AR1640" i="2"/>
  <c r="AW1640" i="2" s="1"/>
  <c r="BF1640" i="2" s="1"/>
  <c r="AR1262" i="2"/>
  <c r="AW1262" i="2" s="1"/>
  <c r="BF1262" i="2" s="1"/>
  <c r="AM1347" i="2"/>
  <c r="W1347" i="2"/>
  <c r="AH1347" i="2"/>
  <c r="AC1347" i="2"/>
  <c r="AM1283" i="2"/>
  <c r="W1283" i="2"/>
  <c r="AH1283" i="2"/>
  <c r="AC1283" i="2"/>
  <c r="AM1219" i="2"/>
  <c r="W1219" i="2"/>
  <c r="AH1219" i="2"/>
  <c r="AC1219" i="2"/>
  <c r="AR1328" i="2"/>
  <c r="AW1328" i="2" s="1"/>
  <c r="BF1328" i="2" s="1"/>
  <c r="AH1200" i="2"/>
  <c r="AC1200" i="2"/>
  <c r="AM1200" i="2"/>
  <c r="W1200" i="2"/>
  <c r="AR1341" i="2"/>
  <c r="AW1341" i="2" s="1"/>
  <c r="BF1341" i="2" s="1"/>
  <c r="AR1277" i="2"/>
  <c r="AW1277" i="2" s="1"/>
  <c r="BF1277" i="2" s="1"/>
  <c r="AR1213" i="2"/>
  <c r="AW1213" i="2" s="1"/>
  <c r="BF1213" i="2" s="1"/>
  <c r="AM1093" i="2"/>
  <c r="W1093" i="2"/>
  <c r="AC1093" i="2"/>
  <c r="AH1093" i="2"/>
  <c r="AR1140" i="2"/>
  <c r="AW1140" i="2" s="1"/>
  <c r="BF1140" i="2" s="1"/>
  <c r="AR1132" i="2"/>
  <c r="AW1132" i="2" s="1"/>
  <c r="BF1132" i="2" s="1"/>
  <c r="AR1124" i="2"/>
  <c r="AW1124" i="2" s="1"/>
  <c r="BF1124" i="2" s="1"/>
  <c r="AR1116" i="2"/>
  <c r="AW1116" i="2" s="1"/>
  <c r="BF1116" i="2" s="1"/>
  <c r="AR1108" i="2"/>
  <c r="AW1108" i="2" s="1"/>
  <c r="BF1108" i="2" s="1"/>
  <c r="AR1100" i="2"/>
  <c r="AW1100" i="2" s="1"/>
  <c r="BF1100" i="2" s="1"/>
  <c r="AR1092" i="2"/>
  <c r="AW1092" i="2" s="1"/>
  <c r="BF1092" i="2" s="1"/>
  <c r="AR1084" i="2"/>
  <c r="AW1084" i="2" s="1"/>
  <c r="BF1084" i="2" s="1"/>
  <c r="AR1076" i="2"/>
  <c r="AW1076" i="2" s="1"/>
  <c r="BF1076" i="2" s="1"/>
  <c r="AR1068" i="2"/>
  <c r="AW1068" i="2" s="1"/>
  <c r="BF1068" i="2" s="1"/>
  <c r="AR1060" i="2"/>
  <c r="AW1060" i="2" s="1"/>
  <c r="BF1060" i="2" s="1"/>
  <c r="AR1052" i="2"/>
  <c r="AW1052" i="2" s="1"/>
  <c r="BF1052" i="2" s="1"/>
  <c r="AR382" i="2"/>
  <c r="AW382" i="2" s="1"/>
  <c r="BF382" i="2" s="1"/>
  <c r="AR543" i="2"/>
  <c r="AW543" i="2" s="1"/>
  <c r="BF543" i="2" s="1"/>
  <c r="AR435" i="2"/>
  <c r="AW435" i="2" s="1"/>
  <c r="BF435" i="2" s="1"/>
  <c r="AM387" i="2"/>
  <c r="AH387" i="2"/>
  <c r="AC387" i="2"/>
  <c r="W387" i="2"/>
  <c r="AH416" i="2"/>
  <c r="AC416" i="2"/>
  <c r="AM416" i="2"/>
  <c r="W416" i="2"/>
  <c r="AS196" i="2"/>
  <c r="AX196" i="2" s="1"/>
  <c r="BG196" i="2" s="1"/>
  <c r="AS180" i="2"/>
  <c r="AX180" i="2" s="1"/>
  <c r="BG180" i="2" s="1"/>
  <c r="AS164" i="2"/>
  <c r="AX164" i="2" s="1"/>
  <c r="BG164" i="2" s="1"/>
  <c r="AS148" i="2"/>
  <c r="AX148" i="2" s="1"/>
  <c r="BG148" i="2" s="1"/>
  <c r="AS132" i="2"/>
  <c r="AX132" i="2" s="1"/>
  <c r="BG132" i="2" s="1"/>
  <c r="AS116" i="2"/>
  <c r="AX116" i="2" s="1"/>
  <c r="BG116" i="2" s="1"/>
  <c r="AH408" i="2"/>
  <c r="AC408" i="2"/>
  <c r="AM408" i="2"/>
  <c r="W408" i="2"/>
  <c r="AH8" i="2"/>
  <c r="AC8" i="2"/>
  <c r="AM8" i="2"/>
  <c r="W8" i="2"/>
  <c r="AS120" i="2"/>
  <c r="AX120" i="2" s="1"/>
  <c r="BG120" i="2" s="1"/>
  <c r="AR60" i="2"/>
  <c r="AW60" i="2" s="1"/>
  <c r="BF60" i="2" s="1"/>
  <c r="AH2293" i="2"/>
  <c r="AM2293" i="2"/>
  <c r="W2293" i="2"/>
  <c r="AC2293" i="2"/>
  <c r="AH2285" i="2"/>
  <c r="AM2285" i="2"/>
  <c r="W2285" i="2"/>
  <c r="AC2285" i="2"/>
  <c r="AH2277" i="2"/>
  <c r="AM2277" i="2"/>
  <c r="W2277" i="2"/>
  <c r="AC2277" i="2"/>
  <c r="AH2269" i="2"/>
  <c r="AM2269" i="2"/>
  <c r="W2269" i="2"/>
  <c r="AC2269" i="2"/>
  <c r="AH2261" i="2"/>
  <c r="AM2261" i="2"/>
  <c r="W2261" i="2"/>
  <c r="AC2261" i="2"/>
  <c r="AR2462" i="2"/>
  <c r="AW2462" i="2" s="1"/>
  <c r="BF2462" i="2" s="1"/>
  <c r="AR2383" i="2"/>
  <c r="AW2383" i="2" s="1"/>
  <c r="BF2383" i="2" s="1"/>
  <c r="AR2375" i="2"/>
  <c r="AW2375" i="2" s="1"/>
  <c r="BF2375" i="2" s="1"/>
  <c r="AR2367" i="2"/>
  <c r="AW2367" i="2" s="1"/>
  <c r="BF2367" i="2" s="1"/>
  <c r="AR2359" i="2"/>
  <c r="AW2359" i="2" s="1"/>
  <c r="BF2359" i="2" s="1"/>
  <c r="AR2335" i="2"/>
  <c r="AW2335" i="2" s="1"/>
  <c r="BF2335" i="2" s="1"/>
  <c r="AH2493" i="2"/>
  <c r="AM2493" i="2"/>
  <c r="W2493" i="2"/>
  <c r="AC2493" i="2"/>
  <c r="AH2485" i="2"/>
  <c r="AM2485" i="2"/>
  <c r="W2485" i="2"/>
  <c r="AC2485" i="2"/>
  <c r="AM2501" i="2"/>
  <c r="W2501" i="2"/>
  <c r="AH2501" i="2"/>
  <c r="AC2501" i="2"/>
  <c r="AR2429" i="2"/>
  <c r="AW2429" i="2" s="1"/>
  <c r="BF2429" i="2" s="1"/>
  <c r="AM2180" i="2"/>
  <c r="W2180" i="2"/>
  <c r="AH2180" i="2"/>
  <c r="AC2180" i="2"/>
  <c r="AC2185" i="2"/>
  <c r="AM2185" i="2"/>
  <c r="W2185" i="2"/>
  <c r="AH2185" i="2"/>
  <c r="AR2163" i="2"/>
  <c r="AW2163" i="2" s="1"/>
  <c r="BF2163" i="2" s="1"/>
  <c r="AM2100" i="2"/>
  <c r="W2100" i="2"/>
  <c r="AH2100" i="2"/>
  <c r="AC2100" i="2"/>
  <c r="AR2059" i="2"/>
  <c r="AW2059" i="2" s="1"/>
  <c r="BF2059" i="2" s="1"/>
  <c r="AM2019" i="2"/>
  <c r="AH2019" i="2"/>
  <c r="AC2019" i="2"/>
  <c r="W2019" i="2"/>
  <c r="AH1991" i="2"/>
  <c r="AC1991" i="2"/>
  <c r="AM1991" i="2"/>
  <c r="W1991" i="2"/>
  <c r="AR1959" i="2"/>
  <c r="AW1959" i="2" s="1"/>
  <c r="BF1959" i="2" s="1"/>
  <c r="AR1989" i="2"/>
  <c r="AW1989" i="2" s="1"/>
  <c r="BF1989" i="2" s="1"/>
  <c r="AH1957" i="2"/>
  <c r="AC1957" i="2"/>
  <c r="AM1957" i="2"/>
  <c r="W1957" i="2"/>
  <c r="AR1925" i="2"/>
  <c r="AW1925" i="2" s="1"/>
  <c r="BF1925" i="2" s="1"/>
  <c r="AH1893" i="2"/>
  <c r="AC1893" i="2"/>
  <c r="AM1893" i="2"/>
  <c r="W1893" i="2"/>
  <c r="AR1861" i="2"/>
  <c r="AW1861" i="2" s="1"/>
  <c r="BF1861" i="2" s="1"/>
  <c r="AR1730" i="2"/>
  <c r="AW1730" i="2" s="1"/>
  <c r="BF1730" i="2" s="1"/>
  <c r="AM1621" i="2"/>
  <c r="W1621" i="2"/>
  <c r="AH1621" i="2"/>
  <c r="AC1621" i="2"/>
  <c r="AR1445" i="2"/>
  <c r="AW1445" i="2" s="1"/>
  <c r="BF1445" i="2" s="1"/>
  <c r="AH1387" i="2"/>
  <c r="AC1387" i="2"/>
  <c r="AM1387" i="2"/>
  <c r="W1387" i="2"/>
  <c r="AR1620" i="2"/>
  <c r="AW1620" i="2" s="1"/>
  <c r="BF1620" i="2" s="1"/>
  <c r="AH1565" i="2"/>
  <c r="AC1565" i="2"/>
  <c r="AM1565" i="2"/>
  <c r="W1565" i="2"/>
  <c r="AH1471" i="2"/>
  <c r="AC1471" i="2"/>
  <c r="AM1471" i="2"/>
  <c r="W1471" i="2"/>
  <c r="AR1282" i="2"/>
  <c r="AW1282" i="2" s="1"/>
  <c r="BF1282" i="2" s="1"/>
  <c r="AR1107" i="2"/>
  <c r="AW1107" i="2" s="1"/>
  <c r="BF1107" i="2" s="1"/>
  <c r="AH1284" i="2"/>
  <c r="AC1284" i="2"/>
  <c r="AM1284" i="2"/>
  <c r="W1284" i="2"/>
  <c r="AR1329" i="2"/>
  <c r="AW1329" i="2" s="1"/>
  <c r="BF1329" i="2" s="1"/>
  <c r="AR1265" i="2"/>
  <c r="AW1265" i="2" s="1"/>
  <c r="BF1265" i="2" s="1"/>
  <c r="AR1201" i="2"/>
  <c r="AW1201" i="2" s="1"/>
  <c r="BF1201" i="2" s="1"/>
  <c r="AM1105" i="2"/>
  <c r="W1105" i="2"/>
  <c r="AC1105" i="2"/>
  <c r="AH1105" i="2"/>
  <c r="AM1057" i="2"/>
  <c r="W1057" i="2"/>
  <c r="AC1057" i="2"/>
  <c r="AH1057" i="2"/>
  <c r="AC825" i="2"/>
  <c r="AM825" i="2"/>
  <c r="W825" i="2"/>
  <c r="AH825" i="2"/>
  <c r="AC761" i="2"/>
  <c r="AM761" i="2"/>
  <c r="W761" i="2"/>
  <c r="AH761" i="2"/>
  <c r="AR237" i="2"/>
  <c r="AW237" i="2" s="1"/>
  <c r="BF237" i="2" s="1"/>
  <c r="AR550" i="2"/>
  <c r="AW550" i="2" s="1"/>
  <c r="BF550" i="2" s="1"/>
  <c r="AC871" i="2"/>
  <c r="AM871" i="2"/>
  <c r="W871" i="2"/>
  <c r="AH871" i="2"/>
  <c r="AC855" i="2"/>
  <c r="AM855" i="2"/>
  <c r="W855" i="2"/>
  <c r="AH855" i="2"/>
  <c r="AC839" i="2"/>
  <c r="AM839" i="2"/>
  <c r="W839" i="2"/>
  <c r="AH839" i="2"/>
  <c r="AC823" i="2"/>
  <c r="AM823" i="2"/>
  <c r="W823" i="2"/>
  <c r="AH823" i="2"/>
  <c r="AC807" i="2"/>
  <c r="AM807" i="2"/>
  <c r="W807" i="2"/>
  <c r="AH807" i="2"/>
  <c r="AC791" i="2"/>
  <c r="AM791" i="2"/>
  <c r="W791" i="2"/>
  <c r="AH791" i="2"/>
  <c r="AC775" i="2"/>
  <c r="AM775" i="2"/>
  <c r="W775" i="2"/>
  <c r="AH775" i="2"/>
  <c r="AC759" i="2"/>
  <c r="AM759" i="2"/>
  <c r="W759" i="2"/>
  <c r="AH759" i="2"/>
  <c r="AC743" i="2"/>
  <c r="AM743" i="2"/>
  <c r="W743" i="2"/>
  <c r="AH743" i="2"/>
  <c r="AC727" i="2"/>
  <c r="AM727" i="2"/>
  <c r="W727" i="2"/>
  <c r="AH727" i="2"/>
  <c r="AR313" i="2"/>
  <c r="AW313" i="2" s="1"/>
  <c r="BF313" i="2" s="1"/>
  <c r="AR220" i="2"/>
  <c r="AW220" i="2" s="1"/>
  <c r="BF220" i="2" s="1"/>
  <c r="AD204" i="2"/>
  <c r="AN204" i="2"/>
  <c r="AI204" i="2"/>
  <c r="X204" i="2"/>
  <c r="AD188" i="2"/>
  <c r="AN188" i="2"/>
  <c r="AI188" i="2"/>
  <c r="X188" i="2"/>
  <c r="AD172" i="2"/>
  <c r="AN172" i="2"/>
  <c r="AI172" i="2"/>
  <c r="X172" i="2"/>
  <c r="AD156" i="2"/>
  <c r="AN156" i="2"/>
  <c r="AI156" i="2"/>
  <c r="X156" i="2"/>
  <c r="AD140" i="2"/>
  <c r="AN140" i="2"/>
  <c r="AI140" i="2"/>
  <c r="X140" i="2"/>
  <c r="AD124" i="2"/>
  <c r="AN124" i="2"/>
  <c r="AI124" i="2"/>
  <c r="X124" i="2"/>
  <c r="AD108" i="2"/>
  <c r="AN108" i="2"/>
  <c r="AI108" i="2"/>
  <c r="X108" i="2"/>
  <c r="AR97" i="2"/>
  <c r="AW97" i="2" s="1"/>
  <c r="BF97" i="2" s="1"/>
  <c r="AR87" i="2"/>
  <c r="AW87" i="2" s="1"/>
  <c r="BF87" i="2" s="1"/>
  <c r="AR5" i="2"/>
  <c r="AW5" i="2" s="1"/>
  <c r="BF5" i="2" s="1"/>
  <c r="AH2303" i="2"/>
  <c r="AM2303" i="2"/>
  <c r="W2303" i="2"/>
  <c r="AC2303" i="2"/>
  <c r="AR2287" i="2"/>
  <c r="AW2287" i="2" s="1"/>
  <c r="BF2287" i="2" s="1"/>
  <c r="AH2271" i="2"/>
  <c r="AM2271" i="2"/>
  <c r="W2271" i="2"/>
  <c r="AC2271" i="2"/>
  <c r="AR2255" i="2"/>
  <c r="AW2255" i="2" s="1"/>
  <c r="BF2255" i="2" s="1"/>
  <c r="AH2239" i="2"/>
  <c r="AM2239" i="2"/>
  <c r="W2239" i="2"/>
  <c r="AC2239" i="2"/>
  <c r="AR2223" i="2"/>
  <c r="AW2223" i="2" s="1"/>
  <c r="BF2223" i="2" s="1"/>
  <c r="AH2207" i="2"/>
  <c r="AM2207" i="2"/>
  <c r="W2207" i="2"/>
  <c r="AC2207" i="2"/>
  <c r="AM2080" i="2"/>
  <c r="W2080" i="2"/>
  <c r="AH2080" i="2"/>
  <c r="AC2080" i="2"/>
  <c r="AM1832" i="2"/>
  <c r="W1832" i="2"/>
  <c r="AH1832" i="2"/>
  <c r="AC1832" i="2"/>
  <c r="AH1741" i="2"/>
  <c r="AM1741" i="2"/>
  <c r="W1741" i="2"/>
  <c r="AC1741" i="2"/>
  <c r="AH1725" i="2"/>
  <c r="AM1725" i="2"/>
  <c r="W1725" i="2"/>
  <c r="AC1725" i="2"/>
  <c r="AH1709" i="2"/>
  <c r="AM1709" i="2"/>
  <c r="W1709" i="2"/>
  <c r="AC1709" i="2"/>
  <c r="AH1693" i="2"/>
  <c r="AM1693" i="2"/>
  <c r="W1693" i="2"/>
  <c r="AC1693" i="2"/>
  <c r="AH1677" i="2"/>
  <c r="AM1677" i="2"/>
  <c r="W1677" i="2"/>
  <c r="AC1677" i="2"/>
  <c r="AR1846" i="2"/>
  <c r="AW1846" i="2" s="1"/>
  <c r="BF1846" i="2" s="1"/>
  <c r="AN1799" i="2"/>
  <c r="AI1799" i="2"/>
  <c r="AD1799" i="2"/>
  <c r="X1799" i="2"/>
  <c r="AR1667" i="2"/>
  <c r="AW1667" i="2" s="1"/>
  <c r="BF1667" i="2" s="1"/>
  <c r="AR1665" i="2"/>
  <c r="AW1665" i="2" s="1"/>
  <c r="BF1665" i="2" s="1"/>
  <c r="AR1537" i="2"/>
  <c r="AW1537" i="2" s="1"/>
  <c r="BF1537" i="2" s="1"/>
  <c r="AM1607" i="2"/>
  <c r="W1607" i="2"/>
  <c r="AH1607" i="2"/>
  <c r="AC1607" i="2"/>
  <c r="AH1523" i="2"/>
  <c r="AC1523" i="2"/>
  <c r="AM1523" i="2"/>
  <c r="W1523" i="2"/>
  <c r="AR1302" i="2"/>
  <c r="AW1302" i="2" s="1"/>
  <c r="BF1302" i="2" s="1"/>
  <c r="AR1119" i="2"/>
  <c r="AW1119" i="2" s="1"/>
  <c r="BF1119" i="2" s="1"/>
  <c r="AR1055" i="2"/>
  <c r="AW1055" i="2" s="1"/>
  <c r="BF1055" i="2" s="1"/>
  <c r="AH1256" i="2"/>
  <c r="AC1256" i="2"/>
  <c r="AM1256" i="2"/>
  <c r="W1256" i="2"/>
  <c r="AM1317" i="2"/>
  <c r="W1317" i="2"/>
  <c r="AH1317" i="2"/>
  <c r="AC1317" i="2"/>
  <c r="AM1253" i="2"/>
  <c r="W1253" i="2"/>
  <c r="AH1253" i="2"/>
  <c r="AC1253" i="2"/>
  <c r="AM1189" i="2"/>
  <c r="W1189" i="2"/>
  <c r="AH1189" i="2"/>
  <c r="AC1189" i="2"/>
  <c r="AM1133" i="2"/>
  <c r="W1133" i="2"/>
  <c r="AC1133" i="2"/>
  <c r="AH1133" i="2"/>
  <c r="AM1069" i="2"/>
  <c r="W1069" i="2"/>
  <c r="AC1069" i="2"/>
  <c r="AH1069" i="2"/>
  <c r="AM856" i="2"/>
  <c r="W856" i="2"/>
  <c r="AC856" i="2"/>
  <c r="AH856" i="2"/>
  <c r="AR824" i="2"/>
  <c r="AW824" i="2" s="1"/>
  <c r="BF824" i="2" s="1"/>
  <c r="AM792" i="2"/>
  <c r="W792" i="2"/>
  <c r="AC792" i="2"/>
  <c r="AH792" i="2"/>
  <c r="AR760" i="2"/>
  <c r="AW760" i="2" s="1"/>
  <c r="BF760" i="2" s="1"/>
  <c r="AM728" i="2"/>
  <c r="W728" i="2"/>
  <c r="AC728" i="2"/>
  <c r="AH728" i="2"/>
  <c r="AC869" i="2"/>
  <c r="AM869" i="2"/>
  <c r="W869" i="2"/>
  <c r="AH869" i="2"/>
  <c r="AC837" i="2"/>
  <c r="AM837" i="2"/>
  <c r="W837" i="2"/>
  <c r="AH837" i="2"/>
  <c r="AC805" i="2"/>
  <c r="AM805" i="2"/>
  <c r="W805" i="2"/>
  <c r="AH805" i="2"/>
  <c r="AC773" i="2"/>
  <c r="AM773" i="2"/>
  <c r="W773" i="2"/>
  <c r="AH773" i="2"/>
  <c r="AC741" i="2"/>
  <c r="AM741" i="2"/>
  <c r="W741" i="2"/>
  <c r="AH741" i="2"/>
  <c r="AS364" i="2"/>
  <c r="AX364" i="2" s="1"/>
  <c r="BG364" i="2" s="1"/>
  <c r="AR261" i="2"/>
  <c r="AW261" i="2" s="1"/>
  <c r="BF261" i="2" s="1"/>
  <c r="AM483" i="2"/>
  <c r="AH483" i="2"/>
  <c r="AC483" i="2"/>
  <c r="W483" i="2"/>
  <c r="AR532" i="2"/>
  <c r="AW532" i="2" s="1"/>
  <c r="BF532" i="2" s="1"/>
  <c r="AM473" i="2"/>
  <c r="AH473" i="2"/>
  <c r="AC473" i="2"/>
  <c r="W473" i="2"/>
  <c r="AH424" i="2"/>
  <c r="AC424" i="2"/>
  <c r="AM424" i="2"/>
  <c r="W424" i="2"/>
  <c r="AH376" i="2"/>
  <c r="AC376" i="2"/>
  <c r="AM376" i="2"/>
  <c r="W376" i="2"/>
  <c r="AH344" i="2"/>
  <c r="AC344" i="2"/>
  <c r="AM344" i="2"/>
  <c r="W344" i="2"/>
  <c r="AM165" i="2"/>
  <c r="AH165" i="2"/>
  <c r="AC165" i="2"/>
  <c r="W165" i="2"/>
  <c r="AR101" i="2"/>
  <c r="AW101" i="2" s="1"/>
  <c r="BF101" i="2" s="1"/>
  <c r="AM141" i="2"/>
  <c r="AH141" i="2"/>
  <c r="AC141" i="2"/>
  <c r="W141" i="2"/>
  <c r="AH96" i="2"/>
  <c r="AC96" i="2"/>
  <c r="AM96" i="2"/>
  <c r="W96" i="2"/>
  <c r="AH90" i="2"/>
  <c r="AM90" i="2"/>
  <c r="W90" i="2"/>
  <c r="AC90" i="2"/>
  <c r="AR2172" i="2"/>
  <c r="AW2172" i="2" s="1"/>
  <c r="BF2172" i="2" s="1"/>
  <c r="AC2155" i="2"/>
  <c r="AM2155" i="2"/>
  <c r="W2155" i="2"/>
  <c r="AH2155" i="2"/>
  <c r="AC2114" i="2"/>
  <c r="AM2114" i="2"/>
  <c r="W2114" i="2"/>
  <c r="AH2114" i="2"/>
  <c r="AH2099" i="2"/>
  <c r="AC2099" i="2"/>
  <c r="AM2099" i="2"/>
  <c r="W2099" i="2"/>
  <c r="AR2105" i="2"/>
  <c r="AW2105" i="2" s="1"/>
  <c r="BF2105" i="2" s="1"/>
  <c r="AH2073" i="2"/>
  <c r="AC2073" i="2"/>
  <c r="AM2073" i="2"/>
  <c r="W2073" i="2"/>
  <c r="AH1857" i="2"/>
  <c r="AC1857" i="2"/>
  <c r="AM1857" i="2"/>
  <c r="W1857" i="2"/>
  <c r="AH1853" i="2"/>
  <c r="AC1853" i="2"/>
  <c r="AM1853" i="2"/>
  <c r="W1853" i="2"/>
  <c r="AN1827" i="2"/>
  <c r="AI1827" i="2"/>
  <c r="AD1827" i="2"/>
  <c r="X1827" i="2"/>
  <c r="AH1606" i="2"/>
  <c r="AC1606" i="2"/>
  <c r="AM1606" i="2"/>
  <c r="W1606" i="2"/>
  <c r="AR1660" i="2"/>
  <c r="AW1660" i="2" s="1"/>
  <c r="BF1660" i="2" s="1"/>
  <c r="AH1596" i="2"/>
  <c r="AC1596" i="2"/>
  <c r="AM1596" i="2"/>
  <c r="W1596" i="2"/>
  <c r="AH1588" i="2"/>
  <c r="AC1588" i="2"/>
  <c r="AM1588" i="2"/>
  <c r="W1588" i="2"/>
  <c r="AR1433" i="2"/>
  <c r="AW1433" i="2" s="1"/>
  <c r="BF1433" i="2" s="1"/>
  <c r="AH1401" i="2"/>
  <c r="AC1401" i="2"/>
  <c r="AM1401" i="2"/>
  <c r="W1401" i="2"/>
  <c r="AR1375" i="2"/>
  <c r="AW1375" i="2" s="1"/>
  <c r="BF1375" i="2" s="1"/>
  <c r="AR1370" i="2"/>
  <c r="AW1370" i="2" s="1"/>
  <c r="BF1370" i="2" s="1"/>
  <c r="AH1242" i="2"/>
  <c r="AC1242" i="2"/>
  <c r="AM1242" i="2"/>
  <c r="W1242" i="2"/>
  <c r="AR1099" i="2"/>
  <c r="AW1099" i="2" s="1"/>
  <c r="BF1099" i="2" s="1"/>
  <c r="AR1244" i="2"/>
  <c r="AW1244" i="2" s="1"/>
  <c r="BF1244" i="2" s="1"/>
  <c r="AM1369" i="2"/>
  <c r="W1369" i="2"/>
  <c r="AH1369" i="2"/>
  <c r="AC1369" i="2"/>
  <c r="AM1305" i="2"/>
  <c r="W1305" i="2"/>
  <c r="AH1305" i="2"/>
  <c r="AC1305" i="2"/>
  <c r="AM1241" i="2"/>
  <c r="W1241" i="2"/>
  <c r="AH1241" i="2"/>
  <c r="AC1241" i="2"/>
  <c r="AM1177" i="2"/>
  <c r="W1177" i="2"/>
  <c r="AH1177" i="2"/>
  <c r="AC1177" i="2"/>
  <c r="AR1150" i="2"/>
  <c r="AW1150" i="2" s="1"/>
  <c r="BF1150" i="2" s="1"/>
  <c r="AR1146" i="2"/>
  <c r="AW1146" i="2" s="1"/>
  <c r="BF1146" i="2" s="1"/>
  <c r="AR1142" i="2"/>
  <c r="AW1142" i="2" s="1"/>
  <c r="BF1142" i="2" s="1"/>
  <c r="AM705" i="2"/>
  <c r="W705" i="2"/>
  <c r="AH705" i="2"/>
  <c r="AC705" i="2"/>
  <c r="AM689" i="2"/>
  <c r="W689" i="2"/>
  <c r="AH689" i="2"/>
  <c r="AC689" i="2"/>
  <c r="AM673" i="2"/>
  <c r="W673" i="2"/>
  <c r="AH673" i="2"/>
  <c r="AC673" i="2"/>
  <c r="AM657" i="2"/>
  <c r="W657" i="2"/>
  <c r="AH657" i="2"/>
  <c r="AC657" i="2"/>
  <c r="AM641" i="2"/>
  <c r="W641" i="2"/>
  <c r="AH641" i="2"/>
  <c r="AC641" i="2"/>
  <c r="AM625" i="2"/>
  <c r="W625" i="2"/>
  <c r="AH625" i="2"/>
  <c r="AC625" i="2"/>
  <c r="AH537" i="2"/>
  <c r="AC537" i="2"/>
  <c r="AM537" i="2"/>
  <c r="W537" i="2"/>
  <c r="AM427" i="2"/>
  <c r="AH427" i="2"/>
  <c r="AC427" i="2"/>
  <c r="W427" i="2"/>
  <c r="AM878" i="2"/>
  <c r="W878" i="2"/>
  <c r="AC878" i="2"/>
  <c r="AH878" i="2"/>
  <c r="AM862" i="2"/>
  <c r="W862" i="2"/>
  <c r="AC862" i="2"/>
  <c r="AH862" i="2"/>
  <c r="AM846" i="2"/>
  <c r="W846" i="2"/>
  <c r="AC846" i="2"/>
  <c r="AH846" i="2"/>
  <c r="AM830" i="2"/>
  <c r="W830" i="2"/>
  <c r="AC830" i="2"/>
  <c r="AH830" i="2"/>
  <c r="AM814" i="2"/>
  <c r="W814" i="2"/>
  <c r="AC814" i="2"/>
  <c r="AH814" i="2"/>
  <c r="AM798" i="2"/>
  <c r="W798" i="2"/>
  <c r="AC798" i="2"/>
  <c r="AH798" i="2"/>
  <c r="AM782" i="2"/>
  <c r="W782" i="2"/>
  <c r="AC782" i="2"/>
  <c r="AH782" i="2"/>
  <c r="AM766" i="2"/>
  <c r="W766" i="2"/>
  <c r="AC766" i="2"/>
  <c r="AH766" i="2"/>
  <c r="AM750" i="2"/>
  <c r="W750" i="2"/>
  <c r="AC750" i="2"/>
  <c r="AH750" i="2"/>
  <c r="AM734" i="2"/>
  <c r="W734" i="2"/>
  <c r="AC734" i="2"/>
  <c r="AH734" i="2"/>
  <c r="AM726" i="2"/>
  <c r="W726" i="2"/>
  <c r="AC726" i="2"/>
  <c r="AH726" i="2"/>
  <c r="AR2488" i="2"/>
  <c r="AW2488" i="2" s="1"/>
  <c r="BF2488" i="2" s="1"/>
  <c r="AR2468" i="2"/>
  <c r="AW2468" i="2" s="1"/>
  <c r="BF2468" i="2" s="1"/>
  <c r="AR2434" i="2"/>
  <c r="AW2434" i="2" s="1"/>
  <c r="BF2434" i="2" s="1"/>
  <c r="AC2425" i="2"/>
  <c r="AM2425" i="2"/>
  <c r="W2425" i="2"/>
  <c r="AH2425" i="2"/>
  <c r="AR2408" i="2"/>
  <c r="AW2408" i="2" s="1"/>
  <c r="BF2408" i="2" s="1"/>
  <c r="AR2388" i="2"/>
  <c r="AW2388" i="2" s="1"/>
  <c r="BF2388" i="2" s="1"/>
  <c r="AR2380" i="2"/>
  <c r="AW2380" i="2" s="1"/>
  <c r="BF2380" i="2" s="1"/>
  <c r="AR2372" i="2"/>
  <c r="AW2372" i="2" s="1"/>
  <c r="BF2372" i="2" s="1"/>
  <c r="AR2364" i="2"/>
  <c r="AW2364" i="2" s="1"/>
  <c r="BF2364" i="2" s="1"/>
  <c r="AR2356" i="2"/>
  <c r="AW2356" i="2" s="1"/>
  <c r="BF2356" i="2" s="1"/>
  <c r="AR2348" i="2"/>
  <c r="AW2348" i="2" s="1"/>
  <c r="BF2348" i="2" s="1"/>
  <c r="AR2340" i="2"/>
  <c r="AW2340" i="2" s="1"/>
  <c r="BF2340" i="2" s="1"/>
  <c r="AR2332" i="2"/>
  <c r="AW2332" i="2" s="1"/>
  <c r="BF2332" i="2" s="1"/>
  <c r="AR2324" i="2"/>
  <c r="AW2324" i="2" s="1"/>
  <c r="BF2324" i="2" s="1"/>
  <c r="AR2316" i="2"/>
  <c r="AW2316" i="2" s="1"/>
  <c r="BF2316" i="2" s="1"/>
  <c r="AM2160" i="2"/>
  <c r="W2160" i="2"/>
  <c r="AH2160" i="2"/>
  <c r="AC2160" i="2"/>
  <c r="AC2181" i="2"/>
  <c r="AM2181" i="2"/>
  <c r="W2181" i="2"/>
  <c r="AH2181" i="2"/>
  <c r="AR2079" i="2"/>
  <c r="AW2079" i="2" s="1"/>
  <c r="BF2079" i="2" s="1"/>
  <c r="AM2040" i="2"/>
  <c r="W2040" i="2"/>
  <c r="AH2040" i="2"/>
  <c r="AC2040" i="2"/>
  <c r="AM2036" i="2"/>
  <c r="W2036" i="2"/>
  <c r="AH2036" i="2"/>
  <c r="AC2036" i="2"/>
  <c r="AM2032" i="2"/>
  <c r="W2032" i="2"/>
  <c r="AH2032" i="2"/>
  <c r="AC2032" i="2"/>
  <c r="AM2028" i="2"/>
  <c r="W2028" i="2"/>
  <c r="AH2028" i="2"/>
  <c r="AC2028" i="2"/>
  <c r="AM2024" i="2"/>
  <c r="W2024" i="2"/>
  <c r="AH2024" i="2"/>
  <c r="AC2024" i="2"/>
  <c r="AR2043" i="2"/>
  <c r="AW2043" i="2" s="1"/>
  <c r="BF2043" i="2" s="1"/>
  <c r="AM1824" i="2"/>
  <c r="W1824" i="2"/>
  <c r="AH1824" i="2"/>
  <c r="AC1824" i="2"/>
  <c r="AM1800" i="2"/>
  <c r="W1800" i="2"/>
  <c r="AH1800" i="2"/>
  <c r="AC1800" i="2"/>
  <c r="AM1784" i="2"/>
  <c r="W1784" i="2"/>
  <c r="AH1784" i="2"/>
  <c r="AC1784" i="2"/>
  <c r="AM1768" i="2"/>
  <c r="W1768" i="2"/>
  <c r="AH1768" i="2"/>
  <c r="AC1768" i="2"/>
  <c r="AR1947" i="2"/>
  <c r="AW1947" i="2" s="1"/>
  <c r="BF1947" i="2" s="1"/>
  <c r="AR1939" i="2"/>
  <c r="AW1939" i="2" s="1"/>
  <c r="BF1939" i="2" s="1"/>
  <c r="AR1931" i="2"/>
  <c r="AW1931" i="2" s="1"/>
  <c r="BF1931" i="2" s="1"/>
  <c r="AR1923" i="2"/>
  <c r="AW1923" i="2" s="1"/>
  <c r="BF1923" i="2" s="1"/>
  <c r="AR1915" i="2"/>
  <c r="AW1915" i="2" s="1"/>
  <c r="BF1915" i="2" s="1"/>
  <c r="AR1907" i="2"/>
  <c r="AW1907" i="2" s="1"/>
  <c r="BF1907" i="2" s="1"/>
  <c r="AR1899" i="2"/>
  <c r="AW1899" i="2" s="1"/>
  <c r="BF1899" i="2" s="1"/>
  <c r="AR1891" i="2"/>
  <c r="AW1891" i="2" s="1"/>
  <c r="BF1891" i="2" s="1"/>
  <c r="AR1883" i="2"/>
  <c r="AW1883" i="2" s="1"/>
  <c r="BF1883" i="2" s="1"/>
  <c r="AR1875" i="2"/>
  <c r="AW1875" i="2" s="1"/>
  <c r="BF1875" i="2" s="1"/>
  <c r="AR1867" i="2"/>
  <c r="AW1867" i="2" s="1"/>
  <c r="BF1867" i="2" s="1"/>
  <c r="AC1847" i="2"/>
  <c r="AM1847" i="2"/>
  <c r="W1847" i="2"/>
  <c r="AH1847" i="2"/>
  <c r="AR1634" i="2"/>
  <c r="AW1634" i="2" s="1"/>
  <c r="BF1634" i="2" s="1"/>
  <c r="AR1609" i="2"/>
  <c r="AW1609" i="2" s="1"/>
  <c r="BF1609" i="2" s="1"/>
  <c r="AH1555" i="2"/>
  <c r="AC1555" i="2"/>
  <c r="AM1555" i="2"/>
  <c r="W1555" i="2"/>
  <c r="AR1411" i="2"/>
  <c r="AW1411" i="2" s="1"/>
  <c r="BF1411" i="2" s="1"/>
  <c r="AR1395" i="2"/>
  <c r="AW1395" i="2" s="1"/>
  <c r="BF1395" i="2" s="1"/>
  <c r="AR1386" i="2"/>
  <c r="AW1386" i="2" s="1"/>
  <c r="BF1386" i="2" s="1"/>
  <c r="AH1592" i="2"/>
  <c r="AC1592" i="2"/>
  <c r="AM1592" i="2"/>
  <c r="W1592" i="2"/>
  <c r="AH1584" i="2"/>
  <c r="AC1584" i="2"/>
  <c r="AM1584" i="2"/>
  <c r="W1584" i="2"/>
  <c r="AR1342" i="2"/>
  <c r="AW1342" i="2" s="1"/>
  <c r="BF1342" i="2" s="1"/>
  <c r="AR1363" i="2"/>
  <c r="AW1363" i="2" s="1"/>
  <c r="BF1363" i="2" s="1"/>
  <c r="AR1299" i="2"/>
  <c r="AW1299" i="2" s="1"/>
  <c r="BF1299" i="2" s="1"/>
  <c r="AR1235" i="2"/>
  <c r="AW1235" i="2" s="1"/>
  <c r="BF1235" i="2" s="1"/>
  <c r="AM1376" i="2"/>
  <c r="W1376" i="2"/>
  <c r="AC1376" i="2"/>
  <c r="AH1376" i="2"/>
  <c r="AR1357" i="2"/>
  <c r="AW1357" i="2" s="1"/>
  <c r="BF1357" i="2" s="1"/>
  <c r="AR1293" i="2"/>
  <c r="AW1293" i="2" s="1"/>
  <c r="BF1293" i="2" s="1"/>
  <c r="AR1229" i="2"/>
  <c r="AW1229" i="2" s="1"/>
  <c r="BF1229" i="2" s="1"/>
  <c r="AM1077" i="2"/>
  <c r="W1077" i="2"/>
  <c r="AC1077" i="2"/>
  <c r="AH1077" i="2"/>
  <c r="AR848" i="2"/>
  <c r="AW848" i="2" s="1"/>
  <c r="BF848" i="2" s="1"/>
  <c r="AR784" i="2"/>
  <c r="AW784" i="2" s="1"/>
  <c r="BF784" i="2" s="1"/>
  <c r="AH486" i="2"/>
  <c r="AC486" i="2"/>
  <c r="AM486" i="2"/>
  <c r="W486" i="2"/>
  <c r="AR470" i="2"/>
  <c r="AW470" i="2" s="1"/>
  <c r="BF470" i="2" s="1"/>
  <c r="AH454" i="2"/>
  <c r="AC454" i="2"/>
  <c r="AM454" i="2"/>
  <c r="W454" i="2"/>
  <c r="AR438" i="2"/>
  <c r="AW438" i="2" s="1"/>
  <c r="BF438" i="2" s="1"/>
  <c r="AH422" i="2"/>
  <c r="AC422" i="2"/>
  <c r="AM422" i="2"/>
  <c r="W422" i="2"/>
  <c r="AS348" i="2"/>
  <c r="AX348" i="2" s="1"/>
  <c r="BG348" i="2" s="1"/>
  <c r="AR246" i="2"/>
  <c r="AW246" i="2" s="1"/>
  <c r="BF246" i="2" s="1"/>
  <c r="AR511" i="2"/>
  <c r="AW511" i="2" s="1"/>
  <c r="BF511" i="2" s="1"/>
  <c r="AC505" i="2"/>
  <c r="AM505" i="2"/>
  <c r="W505" i="2"/>
  <c r="AH505" i="2"/>
  <c r="AC501" i="2"/>
  <c r="AM501" i="2"/>
  <c r="W501" i="2"/>
  <c r="AH501" i="2"/>
  <c r="AC497" i="2"/>
  <c r="AM497" i="2"/>
  <c r="W497" i="2"/>
  <c r="AH497" i="2"/>
  <c r="AR875" i="2"/>
  <c r="AW875" i="2" s="1"/>
  <c r="BF875" i="2" s="1"/>
  <c r="AR859" i="2"/>
  <c r="AW859" i="2" s="1"/>
  <c r="BF859" i="2" s="1"/>
  <c r="AR843" i="2"/>
  <c r="AW843" i="2" s="1"/>
  <c r="BF843" i="2" s="1"/>
  <c r="AR827" i="2"/>
  <c r="AW827" i="2" s="1"/>
  <c r="BF827" i="2" s="1"/>
  <c r="AR811" i="2"/>
  <c r="AW811" i="2" s="1"/>
  <c r="BF811" i="2" s="1"/>
  <c r="AR795" i="2"/>
  <c r="AW795" i="2" s="1"/>
  <c r="BF795" i="2" s="1"/>
  <c r="AR779" i="2"/>
  <c r="AW779" i="2" s="1"/>
  <c r="BF779" i="2" s="1"/>
  <c r="AR763" i="2"/>
  <c r="AW763" i="2" s="1"/>
  <c r="BF763" i="2" s="1"/>
  <c r="AR747" i="2"/>
  <c r="AW747" i="2" s="1"/>
  <c r="BF747" i="2" s="1"/>
  <c r="AR731" i="2"/>
  <c r="AW731" i="2" s="1"/>
  <c r="BF731" i="2" s="1"/>
  <c r="AR363" i="2"/>
  <c r="AW363" i="2" s="1"/>
  <c r="BF363" i="2" s="1"/>
  <c r="AM331" i="2"/>
  <c r="AH331" i="2"/>
  <c r="AC331" i="2"/>
  <c r="W331" i="2"/>
  <c r="AR51" i="2"/>
  <c r="AW51" i="2" s="1"/>
  <c r="BF51" i="2" s="1"/>
  <c r="AR161" i="2"/>
  <c r="AW161" i="2" s="1"/>
  <c r="BF161" i="2" s="1"/>
  <c r="AS264" i="2"/>
  <c r="AX264" i="2" s="1"/>
  <c r="BG264" i="2" s="1"/>
  <c r="AR138" i="2"/>
  <c r="AW138" i="2" s="1"/>
  <c r="BF138" i="2" s="1"/>
  <c r="AH2499" i="2"/>
  <c r="AM2499" i="2"/>
  <c r="W2499" i="2"/>
  <c r="AC2499" i="2"/>
  <c r="AH2491" i="2"/>
  <c r="AM2491" i="2"/>
  <c r="W2491" i="2"/>
  <c r="AC2491" i="2"/>
  <c r="AR2455" i="2"/>
  <c r="AW2455" i="2" s="1"/>
  <c r="BF2455" i="2" s="1"/>
  <c r="AC2465" i="2"/>
  <c r="AM2465" i="2"/>
  <c r="W2465" i="2"/>
  <c r="AH2465" i="2"/>
  <c r="AC2449" i="2"/>
  <c r="AM2449" i="2"/>
  <c r="W2449" i="2"/>
  <c r="AH2449" i="2"/>
  <c r="AC2433" i="2"/>
  <c r="AM2433" i="2"/>
  <c r="W2433" i="2"/>
  <c r="AH2433" i="2"/>
  <c r="AM2436" i="2"/>
  <c r="W2436" i="2"/>
  <c r="AH2436" i="2"/>
  <c r="AC2436" i="2"/>
  <c r="AC2421" i="2"/>
  <c r="AM2421" i="2"/>
  <c r="W2421" i="2"/>
  <c r="AH2421" i="2"/>
  <c r="AC2144" i="2"/>
  <c r="AM2144" i="2"/>
  <c r="W2144" i="2"/>
  <c r="AH2144" i="2"/>
  <c r="AM2178" i="2"/>
  <c r="W2178" i="2"/>
  <c r="AH2178" i="2"/>
  <c r="AC2178" i="2"/>
  <c r="AC2179" i="2"/>
  <c r="AM2179" i="2"/>
  <c r="W2179" i="2"/>
  <c r="AH2179" i="2"/>
  <c r="AH2075" i="2"/>
  <c r="AC2075" i="2"/>
  <c r="AM2075" i="2"/>
  <c r="W2075" i="2"/>
  <c r="AR2011" i="2"/>
  <c r="AW2011" i="2" s="1"/>
  <c r="BF2011" i="2" s="1"/>
  <c r="AR1995" i="2"/>
  <c r="AW1995" i="2" s="1"/>
  <c r="BF1995" i="2" s="1"/>
  <c r="AR1979" i="2"/>
  <c r="AW1979" i="2" s="1"/>
  <c r="BF1979" i="2" s="1"/>
  <c r="AR1963" i="2"/>
  <c r="AW1963" i="2" s="1"/>
  <c r="BF1963" i="2" s="1"/>
  <c r="AR2009" i="2"/>
  <c r="AW2009" i="2" s="1"/>
  <c r="BF2009" i="2" s="1"/>
  <c r="AR1993" i="2"/>
  <c r="AW1993" i="2" s="1"/>
  <c r="BF1993" i="2" s="1"/>
  <c r="AR1977" i="2"/>
  <c r="AW1977" i="2" s="1"/>
  <c r="BF1977" i="2" s="1"/>
  <c r="AR1961" i="2"/>
  <c r="AW1961" i="2" s="1"/>
  <c r="BF1961" i="2" s="1"/>
  <c r="AR1945" i="2"/>
  <c r="AW1945" i="2" s="1"/>
  <c r="BF1945" i="2" s="1"/>
  <c r="AR1929" i="2"/>
  <c r="AW1929" i="2" s="1"/>
  <c r="BF1929" i="2" s="1"/>
  <c r="AR1913" i="2"/>
  <c r="AW1913" i="2" s="1"/>
  <c r="BF1913" i="2" s="1"/>
  <c r="AR1897" i="2"/>
  <c r="AW1897" i="2" s="1"/>
  <c r="BF1897" i="2" s="1"/>
  <c r="AR1881" i="2"/>
  <c r="AW1881" i="2" s="1"/>
  <c r="BF1881" i="2" s="1"/>
  <c r="AR1865" i="2"/>
  <c r="AW1865" i="2" s="1"/>
  <c r="BF1865" i="2" s="1"/>
  <c r="AM1812" i="2"/>
  <c r="W1812" i="2"/>
  <c r="AH1812" i="2"/>
  <c r="AC1812" i="2"/>
  <c r="AH1662" i="2"/>
  <c r="AC1662" i="2"/>
  <c r="AM1662" i="2"/>
  <c r="W1662" i="2"/>
  <c r="AR1598" i="2"/>
  <c r="AW1598" i="2" s="1"/>
  <c r="BF1598" i="2" s="1"/>
  <c r="AH1502" i="2"/>
  <c r="AM1502" i="2"/>
  <c r="W1502" i="2"/>
  <c r="AC1502" i="2"/>
  <c r="AH1636" i="2"/>
  <c r="AC1636" i="2"/>
  <c r="AM1636" i="2"/>
  <c r="W1636" i="2"/>
  <c r="AH1553" i="2"/>
  <c r="AC1553" i="2"/>
  <c r="AM1553" i="2"/>
  <c r="W1553" i="2"/>
  <c r="AR1476" i="2"/>
  <c r="AW1476" i="2" s="1"/>
  <c r="BF1476" i="2" s="1"/>
  <c r="AH1459" i="2"/>
  <c r="AC1459" i="2"/>
  <c r="AM1459" i="2"/>
  <c r="W1459" i="2"/>
  <c r="AR1362" i="2"/>
  <c r="AW1362" i="2" s="1"/>
  <c r="BF1362" i="2" s="1"/>
  <c r="AR1298" i="2"/>
  <c r="AW1298" i="2" s="1"/>
  <c r="BF1298" i="2" s="1"/>
  <c r="AR1234" i="2"/>
  <c r="AW1234" i="2" s="1"/>
  <c r="BF1234" i="2" s="1"/>
  <c r="AR1059" i="2"/>
  <c r="AW1059" i="2" s="1"/>
  <c r="BF1059" i="2" s="1"/>
  <c r="AR1364" i="2"/>
  <c r="AW1364" i="2" s="1"/>
  <c r="BF1364" i="2" s="1"/>
  <c r="AR1300" i="2"/>
  <c r="AW1300" i="2" s="1"/>
  <c r="BF1300" i="2" s="1"/>
  <c r="AR1236" i="2"/>
  <c r="AW1236" i="2" s="1"/>
  <c r="BF1236" i="2" s="1"/>
  <c r="AR1175" i="2"/>
  <c r="AW1175" i="2" s="1"/>
  <c r="BF1175" i="2" s="1"/>
  <c r="AR1173" i="2"/>
  <c r="AW1173" i="2" s="1"/>
  <c r="BF1173" i="2" s="1"/>
  <c r="AR1171" i="2"/>
  <c r="AW1171" i="2" s="1"/>
  <c r="BF1171" i="2" s="1"/>
  <c r="AR1169" i="2"/>
  <c r="AW1169" i="2" s="1"/>
  <c r="BF1169" i="2" s="1"/>
  <c r="AR1167" i="2"/>
  <c r="AW1167" i="2" s="1"/>
  <c r="BF1167" i="2" s="1"/>
  <c r="AR1165" i="2"/>
  <c r="AW1165" i="2" s="1"/>
  <c r="BF1165" i="2" s="1"/>
  <c r="AR1163" i="2"/>
  <c r="AW1163" i="2" s="1"/>
  <c r="BF1163" i="2" s="1"/>
  <c r="AR1161" i="2"/>
  <c r="AW1161" i="2" s="1"/>
  <c r="BF1161" i="2" s="1"/>
  <c r="AR1159" i="2"/>
  <c r="AW1159" i="2" s="1"/>
  <c r="BF1159" i="2" s="1"/>
  <c r="AR1157" i="2"/>
  <c r="AW1157" i="2" s="1"/>
  <c r="BF1157" i="2" s="1"/>
  <c r="AR1155" i="2"/>
  <c r="AW1155" i="2" s="1"/>
  <c r="BF1155" i="2" s="1"/>
  <c r="AR1153" i="2"/>
  <c r="AW1153" i="2" s="1"/>
  <c r="BF1153" i="2" s="1"/>
  <c r="AR1137" i="2"/>
  <c r="AW1137" i="2" s="1"/>
  <c r="BF1137" i="2" s="1"/>
  <c r="AC1138" i="2"/>
  <c r="AM1138" i="2"/>
  <c r="W1138" i="2"/>
  <c r="AH1138" i="2"/>
  <c r="AC1130" i="2"/>
  <c r="AM1130" i="2"/>
  <c r="W1130" i="2"/>
  <c r="AH1130" i="2"/>
  <c r="AC1122" i="2"/>
  <c r="AM1122" i="2"/>
  <c r="W1122" i="2"/>
  <c r="AH1122" i="2"/>
  <c r="AC1114" i="2"/>
  <c r="AM1114" i="2"/>
  <c r="W1114" i="2"/>
  <c r="AH1114" i="2"/>
  <c r="AC1106" i="2"/>
  <c r="AM1106" i="2"/>
  <c r="W1106" i="2"/>
  <c r="AH1106" i="2"/>
  <c r="AC1098" i="2"/>
  <c r="AM1098" i="2"/>
  <c r="W1098" i="2"/>
  <c r="AH1098" i="2"/>
  <c r="AC1090" i="2"/>
  <c r="AM1090" i="2"/>
  <c r="W1090" i="2"/>
  <c r="AH1090" i="2"/>
  <c r="AC1082" i="2"/>
  <c r="AM1082" i="2"/>
  <c r="W1082" i="2"/>
  <c r="AH1082" i="2"/>
  <c r="AC1074" i="2"/>
  <c r="AM1074" i="2"/>
  <c r="W1074" i="2"/>
  <c r="AH1074" i="2"/>
  <c r="AC1066" i="2"/>
  <c r="AM1066" i="2"/>
  <c r="W1066" i="2"/>
  <c r="AH1066" i="2"/>
  <c r="AC1058" i="2"/>
  <c r="AM1058" i="2"/>
  <c r="W1058" i="2"/>
  <c r="AH1058" i="2"/>
  <c r="AC1050" i="2"/>
  <c r="AM1050" i="2"/>
  <c r="W1050" i="2"/>
  <c r="AH1050" i="2"/>
  <c r="AM695" i="2"/>
  <c r="W695" i="2"/>
  <c r="AH695" i="2"/>
  <c r="AC695" i="2"/>
  <c r="AR663" i="2"/>
  <c r="AW663" i="2" s="1"/>
  <c r="BF663" i="2" s="1"/>
  <c r="AM631" i="2"/>
  <c r="W631" i="2"/>
  <c r="AH631" i="2"/>
  <c r="AC631" i="2"/>
  <c r="AR553" i="2"/>
  <c r="AW553" i="2" s="1"/>
  <c r="BF553" i="2" s="1"/>
  <c r="AR342" i="2"/>
  <c r="AW342" i="2" s="1"/>
  <c r="BF342" i="2" s="1"/>
  <c r="AH222" i="2"/>
  <c r="AC222" i="2"/>
  <c r="AM222" i="2"/>
  <c r="W222" i="2"/>
  <c r="AH482" i="2"/>
  <c r="AM482" i="2"/>
  <c r="W482" i="2"/>
  <c r="AC482" i="2"/>
  <c r="AR474" i="2"/>
  <c r="AW474" i="2" s="1"/>
  <c r="BF474" i="2" s="1"/>
  <c r="AM425" i="2"/>
  <c r="AH425" i="2"/>
  <c r="AC425" i="2"/>
  <c r="W425" i="2"/>
  <c r="AR189" i="2"/>
  <c r="AW189" i="2" s="1"/>
  <c r="BF189" i="2" s="1"/>
  <c r="AD128" i="2"/>
  <c r="AN128" i="2"/>
  <c r="AI128" i="2"/>
  <c r="X128" i="2"/>
  <c r="AH2253" i="2"/>
  <c r="AM2253" i="2"/>
  <c r="W2253" i="2"/>
  <c r="AC2253" i="2"/>
  <c r="AH2245" i="2"/>
  <c r="AM2245" i="2"/>
  <c r="W2245" i="2"/>
  <c r="AC2245" i="2"/>
  <c r="AH2237" i="2"/>
  <c r="AM2237" i="2"/>
  <c r="W2237" i="2"/>
  <c r="AC2237" i="2"/>
  <c r="AH2213" i="2"/>
  <c r="AM2213" i="2"/>
  <c r="W2213" i="2"/>
  <c r="AC2213" i="2"/>
  <c r="AR1809" i="2"/>
  <c r="AW1809" i="2" s="1"/>
  <c r="BF1809" i="2" s="1"/>
  <c r="AR1793" i="2"/>
  <c r="AW1793" i="2" s="1"/>
  <c r="BF1793" i="2" s="1"/>
  <c r="AR1777" i="2"/>
  <c r="AW1777" i="2" s="1"/>
  <c r="BF1777" i="2" s="1"/>
  <c r="AR1761" i="2"/>
  <c r="AW1761" i="2" s="1"/>
  <c r="BF1761" i="2" s="1"/>
  <c r="AR1848" i="2"/>
  <c r="AW1848" i="2" s="1"/>
  <c r="BF1848" i="2" s="1"/>
  <c r="AH1686" i="2"/>
  <c r="AM1686" i="2"/>
  <c r="W1686" i="2"/>
  <c r="AC1686" i="2"/>
  <c r="AS1815" i="2"/>
  <c r="AX1815" i="2" s="1"/>
  <c r="BG1815" i="2" s="1"/>
  <c r="AR1642" i="2"/>
  <c r="AW1642" i="2" s="1"/>
  <c r="BF1642" i="2" s="1"/>
  <c r="AR1648" i="2"/>
  <c r="AW1648" i="2" s="1"/>
  <c r="BF1648" i="2" s="1"/>
  <c r="AR1527" i="2"/>
  <c r="AW1527" i="2" s="1"/>
  <c r="BF1527" i="2" s="1"/>
  <c r="AH1318" i="2"/>
  <c r="AC1318" i="2"/>
  <c r="AM1318" i="2"/>
  <c r="W1318" i="2"/>
  <c r="AH1254" i="2"/>
  <c r="AC1254" i="2"/>
  <c r="AM1254" i="2"/>
  <c r="W1254" i="2"/>
  <c r="AH1190" i="2"/>
  <c r="AC1190" i="2"/>
  <c r="AM1190" i="2"/>
  <c r="W1190" i="2"/>
  <c r="AH1336" i="2"/>
  <c r="AC1336" i="2"/>
  <c r="AM1336" i="2"/>
  <c r="W1336" i="2"/>
  <c r="AH1272" i="2"/>
  <c r="AC1272" i="2"/>
  <c r="AM1272" i="2"/>
  <c r="W1272" i="2"/>
  <c r="AH1208" i="2"/>
  <c r="AC1208" i="2"/>
  <c r="AM1208" i="2"/>
  <c r="W1208" i="2"/>
  <c r="AS396" i="2"/>
  <c r="AX396" i="2" s="1"/>
  <c r="BG396" i="2" s="1"/>
  <c r="AR334" i="2"/>
  <c r="AW334" i="2" s="1"/>
  <c r="BF334" i="2" s="1"/>
  <c r="AR230" i="2"/>
  <c r="AW230" i="2" s="1"/>
  <c r="BF230" i="2" s="1"/>
  <c r="AR503" i="2"/>
  <c r="AW503" i="2" s="1"/>
  <c r="BF503" i="2" s="1"/>
  <c r="AR499" i="2"/>
  <c r="AW499" i="2" s="1"/>
  <c r="BF499" i="2" s="1"/>
  <c r="AR495" i="2"/>
  <c r="AW495" i="2" s="1"/>
  <c r="BF495" i="2" s="1"/>
  <c r="AH541" i="2"/>
  <c r="AC541" i="2"/>
  <c r="AM541" i="2"/>
  <c r="W541" i="2"/>
  <c r="AR480" i="2"/>
  <c r="AW480" i="2" s="1"/>
  <c r="BF480" i="2" s="1"/>
  <c r="AR450" i="2"/>
  <c r="AW450" i="2" s="1"/>
  <c r="BF450" i="2" s="1"/>
  <c r="AH282" i="2"/>
  <c r="AM282" i="2"/>
  <c r="W282" i="2"/>
  <c r="AC282" i="2"/>
  <c r="AH268" i="2"/>
  <c r="AC268" i="2"/>
  <c r="W268" i="2"/>
  <c r="AM268" i="2"/>
  <c r="AH187" i="2"/>
  <c r="W187" i="2"/>
  <c r="AM187" i="2"/>
  <c r="AC187" i="2"/>
  <c r="AH171" i="2"/>
  <c r="W171" i="2"/>
  <c r="AM171" i="2"/>
  <c r="AC171" i="2"/>
  <c r="AH155" i="2"/>
  <c r="W155" i="2"/>
  <c r="AM155" i="2"/>
  <c r="AC155" i="2"/>
  <c r="AH139" i="2"/>
  <c r="W139" i="2"/>
  <c r="AM139" i="2"/>
  <c r="AC139" i="2"/>
  <c r="AH123" i="2"/>
  <c r="W123" i="2"/>
  <c r="AM123" i="2"/>
  <c r="AC123" i="2"/>
  <c r="AH107" i="2"/>
  <c r="W107" i="2"/>
  <c r="AM107" i="2"/>
  <c r="AC107" i="2"/>
  <c r="AH95" i="2"/>
  <c r="AM95" i="2"/>
  <c r="W95" i="2"/>
  <c r="AC95" i="2"/>
  <c r="AM41" i="2"/>
  <c r="AH41" i="2"/>
  <c r="AC41" i="2"/>
  <c r="W41" i="2"/>
  <c r="AH31" i="2"/>
  <c r="AM31" i="2"/>
  <c r="W31" i="2"/>
  <c r="AC31" i="2"/>
  <c r="AH151" i="2"/>
  <c r="W151" i="2"/>
  <c r="AM151" i="2"/>
  <c r="AC151" i="2"/>
  <c r="AM305" i="2"/>
  <c r="AH305" i="2"/>
  <c r="AC305" i="2"/>
  <c r="W305" i="2"/>
  <c r="AM299" i="2"/>
  <c r="AH299" i="2"/>
  <c r="AC299" i="2"/>
  <c r="W299" i="2"/>
  <c r="AH106" i="2"/>
  <c r="AM106" i="2"/>
  <c r="W106" i="2"/>
  <c r="AC106" i="2"/>
  <c r="W91" i="2"/>
  <c r="AC91" i="2"/>
  <c r="AH91" i="2"/>
  <c r="AM91" i="2"/>
  <c r="AH76" i="2"/>
  <c r="AC76" i="2"/>
  <c r="W76" i="2"/>
  <c r="AM76" i="2"/>
  <c r="AH12" i="2"/>
  <c r="AM12" i="2"/>
  <c r="AC12" i="2"/>
  <c r="W12" i="2"/>
  <c r="AR2188" i="2"/>
  <c r="AW2188" i="2" s="1"/>
  <c r="BF2188" i="2" s="1"/>
  <c r="AR2193" i="2"/>
  <c r="AW2193" i="2" s="1"/>
  <c r="BF2193" i="2" s="1"/>
  <c r="AM2170" i="2"/>
  <c r="W2170" i="2"/>
  <c r="AH2170" i="2"/>
  <c r="AC2170" i="2"/>
  <c r="AC2171" i="2"/>
  <c r="AM2171" i="2"/>
  <c r="W2171" i="2"/>
  <c r="AH2171" i="2"/>
  <c r="AM2152" i="2"/>
  <c r="W2152" i="2"/>
  <c r="AC2152" i="2"/>
  <c r="AH2152" i="2"/>
  <c r="AR2143" i="2"/>
  <c r="AW2143" i="2" s="1"/>
  <c r="BF2143" i="2" s="1"/>
  <c r="AH2051" i="2"/>
  <c r="AC2051" i="2"/>
  <c r="AM2051" i="2"/>
  <c r="W2051" i="2"/>
  <c r="AH2109" i="2"/>
  <c r="AC2109" i="2"/>
  <c r="AM2109" i="2"/>
  <c r="W2109" i="2"/>
  <c r="AH2093" i="2"/>
  <c r="AC2093" i="2"/>
  <c r="AM2093" i="2"/>
  <c r="W2093" i="2"/>
  <c r="AH2077" i="2"/>
  <c r="AC2077" i="2"/>
  <c r="AM2077" i="2"/>
  <c r="W2077" i="2"/>
  <c r="AH2061" i="2"/>
  <c r="AC2061" i="2"/>
  <c r="AM2061" i="2"/>
  <c r="W2061" i="2"/>
  <c r="AR2021" i="2"/>
  <c r="AW2021" i="2" s="1"/>
  <c r="BF2021" i="2" s="1"/>
  <c r="AR2041" i="2"/>
  <c r="AW2041" i="2" s="1"/>
  <c r="BF2041" i="2" s="1"/>
  <c r="AR2039" i="2"/>
  <c r="AW2039" i="2" s="1"/>
  <c r="BF2039" i="2" s="1"/>
  <c r="AR2037" i="2"/>
  <c r="AW2037" i="2" s="1"/>
  <c r="BF2037" i="2" s="1"/>
  <c r="AR2035" i="2"/>
  <c r="AW2035" i="2" s="1"/>
  <c r="BF2035" i="2" s="1"/>
  <c r="AR2033" i="2"/>
  <c r="AW2033" i="2" s="1"/>
  <c r="BF2033" i="2" s="1"/>
  <c r="AR2031" i="2"/>
  <c r="AW2031" i="2" s="1"/>
  <c r="BF2031" i="2" s="1"/>
  <c r="AR2029" i="2"/>
  <c r="AW2029" i="2" s="1"/>
  <c r="BF2029" i="2" s="1"/>
  <c r="AR2027" i="2"/>
  <c r="AW2027" i="2" s="1"/>
  <c r="BF2027" i="2" s="1"/>
  <c r="AR2025" i="2"/>
  <c r="AW2025" i="2" s="1"/>
  <c r="BF2025" i="2" s="1"/>
  <c r="AR2023" i="2"/>
  <c r="AW2023" i="2" s="1"/>
  <c r="BF2023" i="2" s="1"/>
  <c r="AH1753" i="2"/>
  <c r="AM1753" i="2"/>
  <c r="W1753" i="2"/>
  <c r="AC1753" i="2"/>
  <c r="AH1737" i="2"/>
  <c r="AM1737" i="2"/>
  <c r="W1737" i="2"/>
  <c r="AC1737" i="2"/>
  <c r="AH1721" i="2"/>
  <c r="AM1721" i="2"/>
  <c r="W1721" i="2"/>
  <c r="AC1721" i="2"/>
  <c r="AH1705" i="2"/>
  <c r="AM1705" i="2"/>
  <c r="W1705" i="2"/>
  <c r="AC1705" i="2"/>
  <c r="AH1689" i="2"/>
  <c r="AM1689" i="2"/>
  <c r="W1689" i="2"/>
  <c r="AC1689" i="2"/>
  <c r="AH1673" i="2"/>
  <c r="AM1673" i="2"/>
  <c r="W1673" i="2"/>
  <c r="AC1673" i="2"/>
  <c r="AH1738" i="2"/>
  <c r="AM1738" i="2"/>
  <c r="W1738" i="2"/>
  <c r="AC1738" i="2"/>
  <c r="AR1622" i="2"/>
  <c r="AW1622" i="2" s="1"/>
  <c r="BF1622" i="2" s="1"/>
  <c r="AH1612" i="2"/>
  <c r="AC1612" i="2"/>
  <c r="AM1612" i="2"/>
  <c r="W1612" i="2"/>
  <c r="AH1472" i="2"/>
  <c r="AM1472" i="2"/>
  <c r="W1472" i="2"/>
  <c r="AC1472" i="2"/>
  <c r="AH1468" i="2"/>
  <c r="AM1468" i="2"/>
  <c r="W1468" i="2"/>
  <c r="AC1468" i="2"/>
  <c r="AH1464" i="2"/>
  <c r="AM1464" i="2"/>
  <c r="W1464" i="2"/>
  <c r="AC1464" i="2"/>
  <c r="AH1460" i="2"/>
  <c r="AM1460" i="2"/>
  <c r="W1460" i="2"/>
  <c r="AC1460" i="2"/>
  <c r="AH1456" i="2"/>
  <c r="AM1456" i="2"/>
  <c r="W1456" i="2"/>
  <c r="AC1456" i="2"/>
  <c r="AH1452" i="2"/>
  <c r="AM1452" i="2"/>
  <c r="W1452" i="2"/>
  <c r="AC1452" i="2"/>
  <c r="AH1448" i="2"/>
  <c r="AM1448" i="2"/>
  <c r="W1448" i="2"/>
  <c r="AC1448" i="2"/>
  <c r="AH1444" i="2"/>
  <c r="AM1444" i="2"/>
  <c r="W1444" i="2"/>
  <c r="AC1444" i="2"/>
  <c r="AR1393" i="2"/>
  <c r="AW1393" i="2" s="1"/>
  <c r="BF1393" i="2" s="1"/>
  <c r="AH1322" i="2"/>
  <c r="AC1322" i="2"/>
  <c r="AM1322" i="2"/>
  <c r="W1322" i="2"/>
  <c r="AH1258" i="2"/>
  <c r="AC1258" i="2"/>
  <c r="AM1258" i="2"/>
  <c r="W1258" i="2"/>
  <c r="AH1194" i="2"/>
  <c r="AC1194" i="2"/>
  <c r="AM1194" i="2"/>
  <c r="W1194" i="2"/>
  <c r="AR1324" i="2"/>
  <c r="AW1324" i="2" s="1"/>
  <c r="BF1324" i="2" s="1"/>
  <c r="AR1260" i="2"/>
  <c r="AW1260" i="2" s="1"/>
  <c r="BF1260" i="2" s="1"/>
  <c r="AR1196" i="2"/>
  <c r="AW1196" i="2" s="1"/>
  <c r="BF1196" i="2" s="1"/>
  <c r="AC1134" i="2"/>
  <c r="AM1134" i="2"/>
  <c r="W1134" i="2"/>
  <c r="AH1134" i="2"/>
  <c r="AC1126" i="2"/>
  <c r="AM1126" i="2"/>
  <c r="W1126" i="2"/>
  <c r="AH1126" i="2"/>
  <c r="AC1118" i="2"/>
  <c r="AM1118" i="2"/>
  <c r="W1118" i="2"/>
  <c r="AH1118" i="2"/>
  <c r="AC1110" i="2"/>
  <c r="AM1110" i="2"/>
  <c r="W1110" i="2"/>
  <c r="AH1110" i="2"/>
  <c r="AC1102" i="2"/>
  <c r="AM1102" i="2"/>
  <c r="W1102" i="2"/>
  <c r="AH1102" i="2"/>
  <c r="AC1094" i="2"/>
  <c r="AM1094" i="2"/>
  <c r="W1094" i="2"/>
  <c r="AH1094" i="2"/>
  <c r="AC1086" i="2"/>
  <c r="AM1086" i="2"/>
  <c r="W1086" i="2"/>
  <c r="AH1086" i="2"/>
  <c r="AC1078" i="2"/>
  <c r="AM1078" i="2"/>
  <c r="W1078" i="2"/>
  <c r="AH1078" i="2"/>
  <c r="AC1070" i="2"/>
  <c r="AM1070" i="2"/>
  <c r="W1070" i="2"/>
  <c r="AH1070" i="2"/>
  <c r="AC1062" i="2"/>
  <c r="AM1062" i="2"/>
  <c r="W1062" i="2"/>
  <c r="AH1062" i="2"/>
  <c r="AC1054" i="2"/>
  <c r="AM1054" i="2"/>
  <c r="W1054" i="2"/>
  <c r="AH1054" i="2"/>
  <c r="AR519" i="2"/>
  <c r="AW519" i="2" s="1"/>
  <c r="BF519" i="2" s="1"/>
  <c r="AM317" i="2"/>
  <c r="AH317" i="2"/>
  <c r="AC317" i="2"/>
  <c r="W317" i="2"/>
  <c r="AR201" i="2"/>
  <c r="AW201" i="2" s="1"/>
  <c r="BF201" i="2" s="1"/>
  <c r="AR169" i="2"/>
  <c r="AW169" i="2" s="1"/>
  <c r="BF169" i="2" s="1"/>
  <c r="AR137" i="2"/>
  <c r="AW137" i="2" s="1"/>
  <c r="BF137" i="2" s="1"/>
  <c r="AR105" i="2"/>
  <c r="AW105" i="2" s="1"/>
  <c r="BF105" i="2" s="1"/>
  <c r="AR93" i="2"/>
  <c r="AW93" i="2" s="1"/>
  <c r="BF93" i="2" s="1"/>
  <c r="AR61" i="2"/>
  <c r="AW61" i="2" s="1"/>
  <c r="BF61" i="2" s="1"/>
  <c r="AR29" i="2"/>
  <c r="AW29" i="2" s="1"/>
  <c r="BF29" i="2" s="1"/>
  <c r="AH202" i="2"/>
  <c r="AM202" i="2"/>
  <c r="W202" i="2"/>
  <c r="AC202" i="2"/>
  <c r="AH186" i="2"/>
  <c r="AM186" i="2"/>
  <c r="W186" i="2"/>
  <c r="AC186" i="2"/>
  <c r="AD200" i="2"/>
  <c r="AN200" i="2"/>
  <c r="AI200" i="2"/>
  <c r="X200" i="2"/>
  <c r="AS18" i="2"/>
  <c r="AX18" i="2" s="1"/>
  <c r="BG18" i="2" s="1"/>
  <c r="AC2423" i="2"/>
  <c r="AM2423" i="2"/>
  <c r="W2423" i="2"/>
  <c r="AH2423" i="2"/>
  <c r="AM2432" i="2"/>
  <c r="W2432" i="2"/>
  <c r="AH2432" i="2"/>
  <c r="AC2432" i="2"/>
  <c r="AC2407" i="2"/>
  <c r="AM2407" i="2"/>
  <c r="W2407" i="2"/>
  <c r="AH2407" i="2"/>
  <c r="AH2305" i="2"/>
  <c r="AM2305" i="2"/>
  <c r="W2305" i="2"/>
  <c r="AC2305" i="2"/>
  <c r="AH2281" i="2"/>
  <c r="AM2281" i="2"/>
  <c r="W2281" i="2"/>
  <c r="AC2281" i="2"/>
  <c r="AH2257" i="2"/>
  <c r="AM2257" i="2"/>
  <c r="W2257" i="2"/>
  <c r="AC2257" i="2"/>
  <c r="AH2233" i="2"/>
  <c r="AM2233" i="2"/>
  <c r="W2233" i="2"/>
  <c r="AC2233" i="2"/>
  <c r="AH2209" i="2"/>
  <c r="AM2209" i="2"/>
  <c r="W2209" i="2"/>
  <c r="AC2209" i="2"/>
  <c r="AH2219" i="2"/>
  <c r="AM2219" i="2"/>
  <c r="W2219" i="2"/>
  <c r="AC2219" i="2"/>
  <c r="AR1749" i="2"/>
  <c r="AW1749" i="2" s="1"/>
  <c r="BF1749" i="2" s="1"/>
  <c r="AR1701" i="2"/>
  <c r="AW1701" i="2" s="1"/>
  <c r="BF1701" i="2" s="1"/>
  <c r="AR1559" i="2"/>
  <c r="AW1559" i="2" s="1"/>
  <c r="BF1559" i="2" s="1"/>
  <c r="AR1608" i="2"/>
  <c r="AW1608" i="2" s="1"/>
  <c r="BF1608" i="2" s="1"/>
  <c r="AH1484" i="2"/>
  <c r="AM1484" i="2"/>
  <c r="W1484" i="2"/>
  <c r="AC1484" i="2"/>
  <c r="AR1296" i="2"/>
  <c r="AW1296" i="2" s="1"/>
  <c r="BF1296" i="2" s="1"/>
  <c r="AR1232" i="2"/>
  <c r="AW1232" i="2" s="1"/>
  <c r="BF1232" i="2" s="1"/>
  <c r="AC1170" i="2"/>
  <c r="AM1170" i="2"/>
  <c r="W1170" i="2"/>
  <c r="AH1170" i="2"/>
  <c r="AC1162" i="2"/>
  <c r="AM1162" i="2"/>
  <c r="W1162" i="2"/>
  <c r="AH1162" i="2"/>
  <c r="AC1154" i="2"/>
  <c r="AM1154" i="2"/>
  <c r="W1154" i="2"/>
  <c r="AH1154" i="2"/>
  <c r="AM1125" i="2"/>
  <c r="W1125" i="2"/>
  <c r="AC1125" i="2"/>
  <c r="AH1125" i="2"/>
  <c r="AM1061" i="2"/>
  <c r="W1061" i="2"/>
  <c r="AC1061" i="2"/>
  <c r="AH1061" i="2"/>
  <c r="AR724" i="2"/>
  <c r="AW724" i="2" s="1"/>
  <c r="BF724" i="2" s="1"/>
  <c r="AR712" i="2"/>
  <c r="AW712" i="2" s="1"/>
  <c r="BF712" i="2" s="1"/>
  <c r="AR704" i="2"/>
  <c r="AW704" i="2" s="1"/>
  <c r="BF704" i="2" s="1"/>
  <c r="AR692" i="2"/>
  <c r="AW692" i="2" s="1"/>
  <c r="BF692" i="2" s="1"/>
  <c r="AR680" i="2"/>
  <c r="AW680" i="2" s="1"/>
  <c r="BF680" i="2" s="1"/>
  <c r="AR672" i="2"/>
  <c r="AW672" i="2" s="1"/>
  <c r="BF672" i="2" s="1"/>
  <c r="AR664" i="2"/>
  <c r="AW664" i="2" s="1"/>
  <c r="BF664" i="2" s="1"/>
  <c r="AR652" i="2"/>
  <c r="AW652" i="2" s="1"/>
  <c r="BF652" i="2" s="1"/>
  <c r="AR644" i="2"/>
  <c r="AW644" i="2" s="1"/>
  <c r="BF644" i="2" s="1"/>
  <c r="AR632" i="2"/>
  <c r="AW632" i="2" s="1"/>
  <c r="BF632" i="2" s="1"/>
  <c r="AR624" i="2"/>
  <c r="AW624" i="2" s="1"/>
  <c r="BF624" i="2" s="1"/>
  <c r="AR926" i="2"/>
  <c r="AW926" i="2" s="1"/>
  <c r="BF926" i="2" s="1"/>
  <c r="AR914" i="2"/>
  <c r="AW914" i="2" s="1"/>
  <c r="BF914" i="2" s="1"/>
  <c r="AR906" i="2"/>
  <c r="AW906" i="2" s="1"/>
  <c r="BF906" i="2" s="1"/>
  <c r="AR894" i="2"/>
  <c r="AW894" i="2" s="1"/>
  <c r="BF894" i="2" s="1"/>
  <c r="AR886" i="2"/>
  <c r="AW886" i="2" s="1"/>
  <c r="BF886" i="2" s="1"/>
  <c r="AM461" i="2"/>
  <c r="AH461" i="2"/>
  <c r="AC461" i="2"/>
  <c r="W461" i="2"/>
  <c r="AM429" i="2"/>
  <c r="AH429" i="2"/>
  <c r="AC429" i="2"/>
  <c r="W429" i="2"/>
  <c r="AM934" i="2"/>
  <c r="W934" i="2"/>
  <c r="AC934" i="2"/>
  <c r="AH934" i="2"/>
  <c r="AM403" i="2"/>
  <c r="AH403" i="2"/>
  <c r="AC403" i="2"/>
  <c r="W403" i="2"/>
  <c r="AM371" i="2"/>
  <c r="AH371" i="2"/>
  <c r="AC371" i="2"/>
  <c r="W371" i="2"/>
  <c r="AM339" i="2"/>
  <c r="AH339" i="2"/>
  <c r="AC339" i="2"/>
  <c r="W339" i="2"/>
  <c r="AH547" i="2"/>
  <c r="AC547" i="2"/>
  <c r="AM547" i="2"/>
  <c r="W547" i="2"/>
  <c r="AH523" i="2"/>
  <c r="AC523" i="2"/>
  <c r="AM523" i="2"/>
  <c r="W523" i="2"/>
  <c r="AH68" i="2"/>
  <c r="AM68" i="2"/>
  <c r="AC68" i="2"/>
  <c r="W68" i="2"/>
  <c r="AH328" i="2"/>
  <c r="AC328" i="2"/>
  <c r="AM328" i="2"/>
  <c r="W328" i="2"/>
  <c r="AM145" i="2"/>
  <c r="AH145" i="2"/>
  <c r="AC145" i="2"/>
  <c r="W145" i="2"/>
  <c r="AM506" i="2"/>
  <c r="W506" i="2"/>
  <c r="AH506" i="2"/>
  <c r="AC506" i="2"/>
  <c r="AM311" i="2"/>
  <c r="AH311" i="2"/>
  <c r="AC311" i="2"/>
  <c r="W311" i="2"/>
  <c r="AM205" i="2"/>
  <c r="AH205" i="2"/>
  <c r="AC205" i="2"/>
  <c r="W205" i="2"/>
  <c r="AH32" i="2"/>
  <c r="AC32" i="2"/>
  <c r="AM32" i="2"/>
  <c r="W32" i="2"/>
  <c r="AR2136" i="2"/>
  <c r="AW2136" i="2" s="1"/>
  <c r="BF2136" i="2" s="1"/>
  <c r="AR2132" i="2"/>
  <c r="AW2132" i="2" s="1"/>
  <c r="BF2132" i="2" s="1"/>
  <c r="AR2126" i="2"/>
  <c r="AW2126" i="2" s="1"/>
  <c r="BF2126" i="2" s="1"/>
  <c r="AR2120" i="2"/>
  <c r="AW2120" i="2" s="1"/>
  <c r="BF2120" i="2" s="1"/>
  <c r="AR2116" i="2"/>
  <c r="AW2116" i="2" s="1"/>
  <c r="BF2116" i="2" s="1"/>
  <c r="AR796" i="2"/>
  <c r="AW796" i="2" s="1"/>
  <c r="BF796" i="2" s="1"/>
  <c r="AR732" i="2"/>
  <c r="AW732" i="2" s="1"/>
  <c r="BF732" i="2" s="1"/>
  <c r="AM552" i="2"/>
  <c r="W552" i="2"/>
  <c r="AH552" i="2"/>
  <c r="AC552" i="2"/>
  <c r="AR301" i="2"/>
  <c r="AW301" i="2" s="1"/>
  <c r="BF301" i="2" s="1"/>
  <c r="AR518" i="2"/>
  <c r="AW518" i="2" s="1"/>
  <c r="BF518" i="2" s="1"/>
  <c r="AH166" i="2"/>
  <c r="AM166" i="2"/>
  <c r="W166" i="2"/>
  <c r="AC166" i="2"/>
  <c r="AH212" i="2"/>
  <c r="AC212" i="2"/>
  <c r="AM212" i="2"/>
  <c r="W212" i="2"/>
  <c r="AM99" i="2"/>
  <c r="W99" i="2"/>
  <c r="AC99" i="2"/>
  <c r="AH99" i="2"/>
  <c r="AH2279" i="2"/>
  <c r="AM2279" i="2"/>
  <c r="W2279" i="2"/>
  <c r="AC2279" i="2"/>
  <c r="AR2263" i="2"/>
  <c r="AW2263" i="2" s="1"/>
  <c r="BF2263" i="2" s="1"/>
  <c r="AH2215" i="2"/>
  <c r="AM2215" i="2"/>
  <c r="W2215" i="2"/>
  <c r="AC2215" i="2"/>
  <c r="AM2048" i="2"/>
  <c r="W2048" i="2"/>
  <c r="AH2048" i="2"/>
  <c r="AC2048" i="2"/>
  <c r="AR2038" i="2"/>
  <c r="AW2038" i="2" s="1"/>
  <c r="BF2038" i="2" s="1"/>
  <c r="AR2030" i="2"/>
  <c r="AW2030" i="2" s="1"/>
  <c r="BF2030" i="2" s="1"/>
  <c r="AR2022" i="2"/>
  <c r="AW2022" i="2" s="1"/>
  <c r="BF2022" i="2" s="1"/>
  <c r="AC2045" i="2"/>
  <c r="AH2045" i="2"/>
  <c r="AM2045" i="2"/>
  <c r="W2045" i="2"/>
  <c r="AH1702" i="2"/>
  <c r="AM1702" i="2"/>
  <c r="W1702" i="2"/>
  <c r="AC1702" i="2"/>
  <c r="AS1831" i="2"/>
  <c r="AX1831" i="2" s="1"/>
  <c r="BG1831" i="2" s="1"/>
  <c r="AS1767" i="2"/>
  <c r="AX1767" i="2" s="1"/>
  <c r="BG1767" i="2" s="1"/>
  <c r="AR1639" i="2"/>
  <c r="AW1639" i="2" s="1"/>
  <c r="BF1639" i="2" s="1"/>
  <c r="AM1583" i="2"/>
  <c r="W1583" i="2"/>
  <c r="AH1583" i="2"/>
  <c r="AC1583" i="2"/>
  <c r="AH1531" i="2"/>
  <c r="AC1531" i="2"/>
  <c r="AM1531" i="2"/>
  <c r="W1531" i="2"/>
  <c r="AH1515" i="2"/>
  <c r="AC1515" i="2"/>
  <c r="AM1515" i="2"/>
  <c r="W1515" i="2"/>
  <c r="AH1489" i="2"/>
  <c r="AC1489" i="2"/>
  <c r="AM1489" i="2"/>
  <c r="W1489" i="2"/>
  <c r="AR1349" i="2"/>
  <c r="AW1349" i="2" s="1"/>
  <c r="BF1349" i="2" s="1"/>
  <c r="AR1221" i="2"/>
  <c r="AW1221" i="2" s="1"/>
  <c r="BF1221" i="2" s="1"/>
  <c r="AM808" i="2"/>
  <c r="W808" i="2"/>
  <c r="AC808" i="2"/>
  <c r="AH808" i="2"/>
  <c r="AR853" i="2"/>
  <c r="AW853" i="2" s="1"/>
  <c r="BF853" i="2" s="1"/>
  <c r="AR789" i="2"/>
  <c r="AW789" i="2" s="1"/>
  <c r="BF789" i="2" s="1"/>
  <c r="AR617" i="2"/>
  <c r="AW617" i="2" s="1"/>
  <c r="BF617" i="2" s="1"/>
  <c r="AR611" i="2"/>
  <c r="AW611" i="2" s="1"/>
  <c r="BF611" i="2" s="1"/>
  <c r="AR603" i="2"/>
  <c r="AW603" i="2" s="1"/>
  <c r="BF603" i="2" s="1"/>
  <c r="AR601" i="2"/>
  <c r="AW601" i="2" s="1"/>
  <c r="BF601" i="2" s="1"/>
  <c r="AR595" i="2"/>
  <c r="AW595" i="2" s="1"/>
  <c r="BF595" i="2" s="1"/>
  <c r="AR589" i="2"/>
  <c r="AW589" i="2" s="1"/>
  <c r="BF589" i="2" s="1"/>
  <c r="AR583" i="2"/>
  <c r="AW583" i="2" s="1"/>
  <c r="BF583" i="2" s="1"/>
  <c r="AR579" i="2"/>
  <c r="AW579" i="2" s="1"/>
  <c r="BF579" i="2" s="1"/>
  <c r="AR573" i="2"/>
  <c r="AW573" i="2" s="1"/>
  <c r="BF573" i="2" s="1"/>
  <c r="AR571" i="2"/>
  <c r="AW571" i="2" s="1"/>
  <c r="BF571" i="2" s="1"/>
  <c r="AR565" i="2"/>
  <c r="AW565" i="2" s="1"/>
  <c r="BF565" i="2" s="1"/>
  <c r="AR559" i="2"/>
  <c r="AW559" i="2" s="1"/>
  <c r="BF559" i="2" s="1"/>
  <c r="AD476" i="2"/>
  <c r="AN476" i="2"/>
  <c r="AI476" i="2"/>
  <c r="X476" i="2"/>
  <c r="AD444" i="2"/>
  <c r="AN444" i="2"/>
  <c r="AI444" i="2"/>
  <c r="X444" i="2"/>
  <c r="AD412" i="2"/>
  <c r="AN412" i="2"/>
  <c r="AI412" i="2"/>
  <c r="X412" i="2"/>
  <c r="AH366" i="2"/>
  <c r="AC366" i="2"/>
  <c r="AM366" i="2"/>
  <c r="W366" i="2"/>
  <c r="AM932" i="2"/>
  <c r="W932" i="2"/>
  <c r="AC932" i="2"/>
  <c r="AH932" i="2"/>
  <c r="AM920" i="2"/>
  <c r="W920" i="2"/>
  <c r="AC920" i="2"/>
  <c r="AH920" i="2"/>
  <c r="AM908" i="2"/>
  <c r="W908" i="2"/>
  <c r="AC908" i="2"/>
  <c r="AH908" i="2"/>
  <c r="AM892" i="2"/>
  <c r="W892" i="2"/>
  <c r="AC892" i="2"/>
  <c r="AH892" i="2"/>
  <c r="AM437" i="2"/>
  <c r="AH437" i="2"/>
  <c r="AC437" i="2"/>
  <c r="W437" i="2"/>
  <c r="AM373" i="2"/>
  <c r="AH373" i="2"/>
  <c r="AC373" i="2"/>
  <c r="W373" i="2"/>
  <c r="AM365" i="2"/>
  <c r="AH365" i="2"/>
  <c r="AC365" i="2"/>
  <c r="W365" i="2"/>
  <c r="AM341" i="2"/>
  <c r="AH341" i="2"/>
  <c r="AC341" i="2"/>
  <c r="W341" i="2"/>
  <c r="AM325" i="2"/>
  <c r="AH325" i="2"/>
  <c r="AC325" i="2"/>
  <c r="W325" i="2"/>
  <c r="AM451" i="2"/>
  <c r="AH451" i="2"/>
  <c r="AC451" i="2"/>
  <c r="W451" i="2"/>
  <c r="AR48" i="2"/>
  <c r="AW48" i="2" s="1"/>
  <c r="BF48" i="2" s="1"/>
  <c r="AR481" i="2"/>
  <c r="AW481" i="2" s="1"/>
  <c r="BF481" i="2" s="1"/>
  <c r="AR67" i="2"/>
  <c r="AW67" i="2" s="1"/>
  <c r="BF67" i="2" s="1"/>
  <c r="AR504" i="2"/>
  <c r="AW504" i="2" s="1"/>
  <c r="BF504" i="2" s="1"/>
  <c r="AR496" i="2"/>
  <c r="AW496" i="2" s="1"/>
  <c r="BF496" i="2" s="1"/>
  <c r="AR2400" i="2"/>
  <c r="AW2400" i="2" s="1"/>
  <c r="BF2400" i="2" s="1"/>
  <c r="AC2187" i="2"/>
  <c r="AM2187" i="2"/>
  <c r="W2187" i="2"/>
  <c r="AH2187" i="2"/>
  <c r="AR2141" i="2"/>
  <c r="AW2141" i="2" s="1"/>
  <c r="BF2141" i="2" s="1"/>
  <c r="AR2135" i="2"/>
  <c r="AW2135" i="2" s="1"/>
  <c r="BF2135" i="2" s="1"/>
  <c r="AR2131" i="2"/>
  <c r="AW2131" i="2" s="1"/>
  <c r="BF2131" i="2" s="1"/>
  <c r="AR2125" i="2"/>
  <c r="AW2125" i="2" s="1"/>
  <c r="BF2125" i="2" s="1"/>
  <c r="AR2121" i="2"/>
  <c r="AW2121" i="2" s="1"/>
  <c r="BF2121" i="2" s="1"/>
  <c r="AR2117" i="2"/>
  <c r="AW2117" i="2" s="1"/>
  <c r="BF2117" i="2" s="1"/>
  <c r="AH1755" i="2"/>
  <c r="AM1755" i="2"/>
  <c r="W1755" i="2"/>
  <c r="AC1755" i="2"/>
  <c r="AH1747" i="2"/>
  <c r="AM1747" i="2"/>
  <c r="W1747" i="2"/>
  <c r="AC1747" i="2"/>
  <c r="AH1735" i="2"/>
  <c r="AM1735" i="2"/>
  <c r="W1735" i="2"/>
  <c r="AC1735" i="2"/>
  <c r="AH1719" i="2"/>
  <c r="AM1719" i="2"/>
  <c r="W1719" i="2"/>
  <c r="AC1719" i="2"/>
  <c r="AH1707" i="2"/>
  <c r="AM1707" i="2"/>
  <c r="W1707" i="2"/>
  <c r="AC1707" i="2"/>
  <c r="AH1695" i="2"/>
  <c r="AM1695" i="2"/>
  <c r="W1695" i="2"/>
  <c r="AC1695" i="2"/>
  <c r="AH1683" i="2"/>
  <c r="AM1683" i="2"/>
  <c r="W1683" i="2"/>
  <c r="AC1683" i="2"/>
  <c r="AM1603" i="2"/>
  <c r="W1603" i="2"/>
  <c r="AH1603" i="2"/>
  <c r="AC1603" i="2"/>
  <c r="AR1274" i="2"/>
  <c r="AW1274" i="2" s="1"/>
  <c r="BF1274" i="2" s="1"/>
  <c r="AR1210" i="2"/>
  <c r="AW1210" i="2" s="1"/>
  <c r="BF1210" i="2" s="1"/>
  <c r="AR1359" i="2"/>
  <c r="AW1359" i="2" s="1"/>
  <c r="BF1359" i="2" s="1"/>
  <c r="AM1209" i="2"/>
  <c r="W1209" i="2"/>
  <c r="AH1209" i="2"/>
  <c r="AC1209" i="2"/>
  <c r="AM852" i="2"/>
  <c r="W852" i="2"/>
  <c r="AC852" i="2"/>
  <c r="AH852" i="2"/>
  <c r="AR665" i="2"/>
  <c r="AW665" i="2" s="1"/>
  <c r="BF665" i="2" s="1"/>
  <c r="AH390" i="2"/>
  <c r="AC390" i="2"/>
  <c r="AM390" i="2"/>
  <c r="W390" i="2"/>
  <c r="AH270" i="2"/>
  <c r="AC270" i="2"/>
  <c r="AM270" i="2"/>
  <c r="W270" i="2"/>
  <c r="AR534" i="2"/>
  <c r="AW534" i="2" s="1"/>
  <c r="BF534" i="2" s="1"/>
  <c r="AR471" i="2"/>
  <c r="AW471" i="2" s="1"/>
  <c r="BF471" i="2" s="1"/>
  <c r="AM283" i="2"/>
  <c r="AH283" i="2"/>
  <c r="AC283" i="2"/>
  <c r="W283" i="2"/>
  <c r="AM163" i="2"/>
  <c r="AC163" i="2"/>
  <c r="AH163" i="2"/>
  <c r="W163" i="2"/>
  <c r="AM131" i="2"/>
  <c r="AC131" i="2"/>
  <c r="AH131" i="2"/>
  <c r="W131" i="2"/>
  <c r="AR175" i="2"/>
  <c r="AW175" i="2" s="1"/>
  <c r="BF175" i="2" s="1"/>
  <c r="AH75" i="2"/>
  <c r="AM75" i="2"/>
  <c r="W75" i="2"/>
  <c r="AC75" i="2"/>
  <c r="AC2453" i="2"/>
  <c r="AM2453" i="2"/>
  <c r="W2453" i="2"/>
  <c r="AH2453" i="2"/>
  <c r="AC2437" i="2"/>
  <c r="AM2437" i="2"/>
  <c r="W2437" i="2"/>
  <c r="AH2437" i="2"/>
  <c r="AC2447" i="2"/>
  <c r="AM2447" i="2"/>
  <c r="W2447" i="2"/>
  <c r="AH2447" i="2"/>
  <c r="AR2424" i="2"/>
  <c r="AW2424" i="2" s="1"/>
  <c r="BF2424" i="2" s="1"/>
  <c r="AR2192" i="2"/>
  <c r="AW2192" i="2" s="1"/>
  <c r="BF2192" i="2" s="1"/>
  <c r="AH1710" i="2"/>
  <c r="AM1710" i="2"/>
  <c r="W1710" i="2"/>
  <c r="AC1710" i="2"/>
  <c r="AR1599" i="2"/>
  <c r="AW1599" i="2" s="1"/>
  <c r="BF1599" i="2" s="1"/>
  <c r="AR1383" i="2"/>
  <c r="AW1383" i="2" s="1"/>
  <c r="BF1383" i="2" s="1"/>
  <c r="AR1310" i="2"/>
  <c r="AW1310" i="2" s="1"/>
  <c r="BF1310" i="2" s="1"/>
  <c r="AR1246" i="2"/>
  <c r="AW1246" i="2" s="1"/>
  <c r="BF1246" i="2" s="1"/>
  <c r="AM1267" i="2"/>
  <c r="W1267" i="2"/>
  <c r="AH1267" i="2"/>
  <c r="AC1267" i="2"/>
  <c r="AH1248" i="2"/>
  <c r="AC1248" i="2"/>
  <c r="AM1248" i="2"/>
  <c r="W1248" i="2"/>
  <c r="AM752" i="2"/>
  <c r="W752" i="2"/>
  <c r="AC752" i="2"/>
  <c r="AH752" i="2"/>
  <c r="AR1044" i="2"/>
  <c r="AW1044" i="2" s="1"/>
  <c r="BF1044" i="2" s="1"/>
  <c r="AR546" i="2"/>
  <c r="AW546" i="2" s="1"/>
  <c r="BF546" i="2" s="1"/>
  <c r="AR525" i="2"/>
  <c r="AW525" i="2" s="1"/>
  <c r="BF525" i="2" s="1"/>
  <c r="AR236" i="2"/>
  <c r="AW236" i="2" s="1"/>
  <c r="BF236" i="2" s="1"/>
  <c r="AM25" i="2"/>
  <c r="AH25" i="2"/>
  <c r="AC25" i="2"/>
  <c r="W25" i="2"/>
  <c r="AR55" i="2"/>
  <c r="AW55" i="2" s="1"/>
  <c r="BF55" i="2" s="1"/>
  <c r="AR2360" i="2"/>
  <c r="AW2360" i="2" s="1"/>
  <c r="BF2360" i="2" s="1"/>
  <c r="AR2328" i="2"/>
  <c r="AW2328" i="2" s="1"/>
  <c r="BF2328" i="2" s="1"/>
  <c r="AH2486" i="2"/>
  <c r="AM2486" i="2"/>
  <c r="W2486" i="2"/>
  <c r="AC2486" i="2"/>
  <c r="AH2478" i="2"/>
  <c r="AM2478" i="2"/>
  <c r="W2478" i="2"/>
  <c r="AC2478" i="2"/>
  <c r="AM2438" i="2"/>
  <c r="W2438" i="2"/>
  <c r="AH2438" i="2"/>
  <c r="AC2438" i="2"/>
  <c r="AR2379" i="2"/>
  <c r="AW2379" i="2" s="1"/>
  <c r="BF2379" i="2" s="1"/>
  <c r="AR2363" i="2"/>
  <c r="AW2363" i="2" s="1"/>
  <c r="BF2363" i="2" s="1"/>
  <c r="AR2339" i="2"/>
  <c r="AW2339" i="2" s="1"/>
  <c r="BF2339" i="2" s="1"/>
  <c r="AC2153" i="2"/>
  <c r="AM2153" i="2"/>
  <c r="W2153" i="2"/>
  <c r="AH2153" i="2"/>
  <c r="AM2098" i="2"/>
  <c r="W2098" i="2"/>
  <c r="AH2098" i="2"/>
  <c r="AC2098" i="2"/>
  <c r="AM2086" i="2"/>
  <c r="W2086" i="2"/>
  <c r="AH2086" i="2"/>
  <c r="AC2086" i="2"/>
  <c r="AM2078" i="2"/>
  <c r="W2078" i="2"/>
  <c r="AH2078" i="2"/>
  <c r="AC2078" i="2"/>
  <c r="AM2066" i="2"/>
  <c r="W2066" i="2"/>
  <c r="AH2066" i="2"/>
  <c r="AC2066" i="2"/>
  <c r="AM2050" i="2"/>
  <c r="W2050" i="2"/>
  <c r="AH2050" i="2"/>
  <c r="AC2050" i="2"/>
  <c r="AR2003" i="2"/>
  <c r="AW2003" i="2" s="1"/>
  <c r="BF2003" i="2" s="1"/>
  <c r="AM1822" i="2"/>
  <c r="W1822" i="2"/>
  <c r="AH1822" i="2"/>
  <c r="AC1822" i="2"/>
  <c r="AM1798" i="2"/>
  <c r="W1798" i="2"/>
  <c r="AH1798" i="2"/>
  <c r="AC1798" i="2"/>
  <c r="AM1774" i="2"/>
  <c r="W1774" i="2"/>
  <c r="AH1774" i="2"/>
  <c r="AC1774" i="2"/>
  <c r="AR1605" i="2"/>
  <c r="AW1605" i="2" s="1"/>
  <c r="BF1605" i="2" s="1"/>
  <c r="AR1473" i="2"/>
  <c r="AW1473" i="2" s="1"/>
  <c r="BF1473" i="2" s="1"/>
  <c r="AH1332" i="2"/>
  <c r="AC1332" i="2"/>
  <c r="AM1332" i="2"/>
  <c r="W1332" i="2"/>
  <c r="AM1978" i="2"/>
  <c r="W1978" i="2"/>
  <c r="AH1978" i="2"/>
  <c r="AC1978" i="2"/>
  <c r="AH2205" i="2"/>
  <c r="AM2205" i="2"/>
  <c r="W2205" i="2"/>
  <c r="AC2205" i="2"/>
  <c r="AR2420" i="2"/>
  <c r="AW2420" i="2" s="1"/>
  <c r="BF2420" i="2" s="1"/>
  <c r="AM2450" i="2"/>
  <c r="W2450" i="2"/>
  <c r="AH2450" i="2"/>
  <c r="AC2450" i="2"/>
  <c r="AR2409" i="2"/>
  <c r="AW2409" i="2" s="1"/>
  <c r="BF2409" i="2" s="1"/>
  <c r="AC2431" i="2"/>
  <c r="AM2431" i="2"/>
  <c r="W2431" i="2"/>
  <c r="AH2431" i="2"/>
  <c r="AR2402" i="2"/>
  <c r="AW2402" i="2" s="1"/>
  <c r="BF2402" i="2" s="1"/>
  <c r="AR2472" i="2"/>
  <c r="AW2472" i="2" s="1"/>
  <c r="BF2472" i="2" s="1"/>
  <c r="AR2313" i="2"/>
  <c r="AW2313" i="2" s="1"/>
  <c r="BF2313" i="2" s="1"/>
  <c r="AR2305" i="2"/>
  <c r="AW2305" i="2" s="1"/>
  <c r="BF2305" i="2" s="1"/>
  <c r="AR2297" i="2"/>
  <c r="AW2297" i="2" s="1"/>
  <c r="BF2297" i="2" s="1"/>
  <c r="AR2289" i="2"/>
  <c r="AW2289" i="2" s="1"/>
  <c r="BF2289" i="2" s="1"/>
  <c r="AR2281" i="2"/>
  <c r="AW2281" i="2" s="1"/>
  <c r="BF2281" i="2" s="1"/>
  <c r="AR2273" i="2"/>
  <c r="AW2273" i="2" s="1"/>
  <c r="BF2273" i="2" s="1"/>
  <c r="AR2265" i="2"/>
  <c r="AW2265" i="2" s="1"/>
  <c r="BF2265" i="2" s="1"/>
  <c r="AR2257" i="2"/>
  <c r="AW2257" i="2" s="1"/>
  <c r="BF2257" i="2" s="1"/>
  <c r="AR2249" i="2"/>
  <c r="AW2249" i="2" s="1"/>
  <c r="BF2249" i="2" s="1"/>
  <c r="AR2241" i="2"/>
  <c r="AW2241" i="2" s="1"/>
  <c r="BF2241" i="2" s="1"/>
  <c r="AR2233" i="2"/>
  <c r="AW2233" i="2" s="1"/>
  <c r="BF2233" i="2" s="1"/>
  <c r="AR2225" i="2"/>
  <c r="AW2225" i="2" s="1"/>
  <c r="BF2225" i="2" s="1"/>
  <c r="AR2217" i="2"/>
  <c r="AW2217" i="2" s="1"/>
  <c r="BF2217" i="2" s="1"/>
  <c r="AR2209" i="2"/>
  <c r="AW2209" i="2" s="1"/>
  <c r="BF2209" i="2" s="1"/>
  <c r="AR2201" i="2"/>
  <c r="AW2201" i="2" s="1"/>
  <c r="BF2201" i="2" s="1"/>
  <c r="AR2283" i="2"/>
  <c r="AW2283" i="2" s="1"/>
  <c r="BF2283" i="2" s="1"/>
  <c r="AR2251" i="2"/>
  <c r="AW2251" i="2" s="1"/>
  <c r="BF2251" i="2" s="1"/>
  <c r="AR2219" i="2"/>
  <c r="AW2219" i="2" s="1"/>
  <c r="BF2219" i="2" s="1"/>
  <c r="AR2176" i="2"/>
  <c r="AW2176" i="2" s="1"/>
  <c r="BF2176" i="2" s="1"/>
  <c r="AC2197" i="2"/>
  <c r="AM2197" i="2"/>
  <c r="W2197" i="2"/>
  <c r="AH2197" i="2"/>
  <c r="AM2072" i="2"/>
  <c r="W2072" i="2"/>
  <c r="AH2072" i="2"/>
  <c r="AC2072" i="2"/>
  <c r="AC1845" i="2"/>
  <c r="AM1845" i="2"/>
  <c r="AH1845" i="2"/>
  <c r="W1845" i="2"/>
  <c r="AC1841" i="2"/>
  <c r="AM1841" i="2"/>
  <c r="AH1841" i="2"/>
  <c r="W1841" i="2"/>
  <c r="AC1837" i="2"/>
  <c r="AM1837" i="2"/>
  <c r="AH1837" i="2"/>
  <c r="W1837" i="2"/>
  <c r="AC1833" i="2"/>
  <c r="AM1833" i="2"/>
  <c r="AH1833" i="2"/>
  <c r="W1833" i="2"/>
  <c r="AR1804" i="2"/>
  <c r="AW1804" i="2" s="1"/>
  <c r="BF1804" i="2" s="1"/>
  <c r="AR1694" i="2"/>
  <c r="AW1694" i="2" s="1"/>
  <c r="BF1694" i="2" s="1"/>
  <c r="AS1807" i="2"/>
  <c r="AX1807" i="2" s="1"/>
  <c r="BG1807" i="2" s="1"/>
  <c r="AM1625" i="2"/>
  <c r="W1625" i="2"/>
  <c r="AH1625" i="2"/>
  <c r="AC1625" i="2"/>
  <c r="AH1575" i="2"/>
  <c r="AC1575" i="2"/>
  <c r="AM1575" i="2"/>
  <c r="W1575" i="2"/>
  <c r="AH1559" i="2"/>
  <c r="AC1559" i="2"/>
  <c r="AM1559" i="2"/>
  <c r="W1559" i="2"/>
  <c r="AR1431" i="2"/>
  <c r="AW1431" i="2" s="1"/>
  <c r="BF1431" i="2" s="1"/>
  <c r="AR1415" i="2"/>
  <c r="AW1415" i="2" s="1"/>
  <c r="BF1415" i="2" s="1"/>
  <c r="AH1608" i="2"/>
  <c r="AC1608" i="2"/>
  <c r="AM1608" i="2"/>
  <c r="W1608" i="2"/>
  <c r="AH1358" i="2"/>
  <c r="AC1358" i="2"/>
  <c r="AM1358" i="2"/>
  <c r="W1358" i="2"/>
  <c r="AH1294" i="2"/>
  <c r="AC1294" i="2"/>
  <c r="AM1294" i="2"/>
  <c r="W1294" i="2"/>
  <c r="AH1230" i="2"/>
  <c r="AC1230" i="2"/>
  <c r="AM1230" i="2"/>
  <c r="W1230" i="2"/>
  <c r="AR1111" i="2"/>
  <c r="AW1111" i="2" s="1"/>
  <c r="BF1111" i="2" s="1"/>
  <c r="AH1360" i="2"/>
  <c r="AC1360" i="2"/>
  <c r="AM1360" i="2"/>
  <c r="W1360" i="2"/>
  <c r="AH1296" i="2"/>
  <c r="AC1296" i="2"/>
  <c r="AM1296" i="2"/>
  <c r="W1296" i="2"/>
  <c r="AH1232" i="2"/>
  <c r="AC1232" i="2"/>
  <c r="AM1232" i="2"/>
  <c r="W1232" i="2"/>
  <c r="AR1174" i="2"/>
  <c r="AW1174" i="2" s="1"/>
  <c r="BF1174" i="2" s="1"/>
  <c r="AR1170" i="2"/>
  <c r="AW1170" i="2" s="1"/>
  <c r="BF1170" i="2" s="1"/>
  <c r="AR1166" i="2"/>
  <c r="AW1166" i="2" s="1"/>
  <c r="BF1166" i="2" s="1"/>
  <c r="AR1162" i="2"/>
  <c r="AW1162" i="2" s="1"/>
  <c r="BF1162" i="2" s="1"/>
  <c r="AR1158" i="2"/>
  <c r="AW1158" i="2" s="1"/>
  <c r="BF1158" i="2" s="1"/>
  <c r="AR1154" i="2"/>
  <c r="AW1154" i="2" s="1"/>
  <c r="BF1154" i="2" s="1"/>
  <c r="AM1309" i="2"/>
  <c r="W1309" i="2"/>
  <c r="AH1309" i="2"/>
  <c r="AC1309" i="2"/>
  <c r="AR1181" i="2"/>
  <c r="AW1181" i="2" s="1"/>
  <c r="BF1181" i="2" s="1"/>
  <c r="AM832" i="2"/>
  <c r="W832" i="2"/>
  <c r="AC832" i="2"/>
  <c r="AH832" i="2"/>
  <c r="AM768" i="2"/>
  <c r="W768" i="2"/>
  <c r="AC768" i="2"/>
  <c r="AH768" i="2"/>
  <c r="AC724" i="2"/>
  <c r="AM724" i="2"/>
  <c r="W724" i="2"/>
  <c r="AH724" i="2"/>
  <c r="AC720" i="2"/>
  <c r="AM720" i="2"/>
  <c r="W720" i="2"/>
  <c r="AH720" i="2"/>
  <c r="AC716" i="2"/>
  <c r="AM716" i="2"/>
  <c r="W716" i="2"/>
  <c r="AH716" i="2"/>
  <c r="AC712" i="2"/>
  <c r="AM712" i="2"/>
  <c r="W712" i="2"/>
  <c r="AH712" i="2"/>
  <c r="AC708" i="2"/>
  <c r="AM708" i="2"/>
  <c r="W708" i="2"/>
  <c r="AH708" i="2"/>
  <c r="AC704" i="2"/>
  <c r="AM704" i="2"/>
  <c r="W704" i="2"/>
  <c r="AH704" i="2"/>
  <c r="AC700" i="2"/>
  <c r="AM700" i="2"/>
  <c r="W700" i="2"/>
  <c r="AH700" i="2"/>
  <c r="AC696" i="2"/>
  <c r="AM696" i="2"/>
  <c r="W696" i="2"/>
  <c r="AH696" i="2"/>
  <c r="AC692" i="2"/>
  <c r="AM692" i="2"/>
  <c r="W692" i="2"/>
  <c r="AH692" i="2"/>
  <c r="AC688" i="2"/>
  <c r="AM688" i="2"/>
  <c r="W688" i="2"/>
  <c r="AH688" i="2"/>
  <c r="AC684" i="2"/>
  <c r="AM684" i="2"/>
  <c r="W684" i="2"/>
  <c r="AH684" i="2"/>
  <c r="AC680" i="2"/>
  <c r="AM680" i="2"/>
  <c r="W680" i="2"/>
  <c r="AH680" i="2"/>
  <c r="AC676" i="2"/>
  <c r="AM676" i="2"/>
  <c r="W676" i="2"/>
  <c r="AH676" i="2"/>
  <c r="AC672" i="2"/>
  <c r="AM672" i="2"/>
  <c r="W672" i="2"/>
  <c r="AH672" i="2"/>
  <c r="AC668" i="2"/>
  <c r="AM668" i="2"/>
  <c r="W668" i="2"/>
  <c r="AH668" i="2"/>
  <c r="AC664" i="2"/>
  <c r="AM664" i="2"/>
  <c r="W664" i="2"/>
  <c r="AH664" i="2"/>
  <c r="AC660" i="2"/>
  <c r="AM660" i="2"/>
  <c r="W660" i="2"/>
  <c r="AH660" i="2"/>
  <c r="AC656" i="2"/>
  <c r="AM656" i="2"/>
  <c r="W656" i="2"/>
  <c r="AH656" i="2"/>
  <c r="AC652" i="2"/>
  <c r="AM652" i="2"/>
  <c r="W652" i="2"/>
  <c r="AH652" i="2"/>
  <c r="AC648" i="2"/>
  <c r="AM648" i="2"/>
  <c r="W648" i="2"/>
  <c r="AH648" i="2"/>
  <c r="AC644" i="2"/>
  <c r="AM644" i="2"/>
  <c r="W644" i="2"/>
  <c r="AH644" i="2"/>
  <c r="AC640" i="2"/>
  <c r="AM640" i="2"/>
  <c r="W640" i="2"/>
  <c r="AH640" i="2"/>
  <c r="AC636" i="2"/>
  <c r="AM636" i="2"/>
  <c r="W636" i="2"/>
  <c r="AH636" i="2"/>
  <c r="AC632" i="2"/>
  <c r="AM632" i="2"/>
  <c r="W632" i="2"/>
  <c r="AH632" i="2"/>
  <c r="AC628" i="2"/>
  <c r="AM628" i="2"/>
  <c r="W628" i="2"/>
  <c r="AH628" i="2"/>
  <c r="AC624" i="2"/>
  <c r="AM624" i="2"/>
  <c r="W624" i="2"/>
  <c r="AH624" i="2"/>
  <c r="AC620" i="2"/>
  <c r="AM620" i="2"/>
  <c r="W620" i="2"/>
  <c r="AH620" i="2"/>
  <c r="AD380" i="2"/>
  <c r="AN380" i="2"/>
  <c r="AI380" i="2"/>
  <c r="X380" i="2"/>
  <c r="AH214" i="2"/>
  <c r="AC214" i="2"/>
  <c r="AM214" i="2"/>
  <c r="W214" i="2"/>
  <c r="AM930" i="2"/>
  <c r="W930" i="2"/>
  <c r="AC930" i="2"/>
  <c r="AH930" i="2"/>
  <c r="AM926" i="2"/>
  <c r="W926" i="2"/>
  <c r="AC926" i="2"/>
  <c r="AH926" i="2"/>
  <c r="AM922" i="2"/>
  <c r="W922" i="2"/>
  <c r="AC922" i="2"/>
  <c r="AH922" i="2"/>
  <c r="AM918" i="2"/>
  <c r="W918" i="2"/>
  <c r="AC918" i="2"/>
  <c r="AH918" i="2"/>
  <c r="AM914" i="2"/>
  <c r="W914" i="2"/>
  <c r="AC914" i="2"/>
  <c r="AH914" i="2"/>
  <c r="AM910" i="2"/>
  <c r="W910" i="2"/>
  <c r="AC910" i="2"/>
  <c r="AH910" i="2"/>
  <c r="AM906" i="2"/>
  <c r="W906" i="2"/>
  <c r="AC906" i="2"/>
  <c r="AH906" i="2"/>
  <c r="AM902" i="2"/>
  <c r="W902" i="2"/>
  <c r="AC902" i="2"/>
  <c r="AH902" i="2"/>
  <c r="AM898" i="2"/>
  <c r="W898" i="2"/>
  <c r="AC898" i="2"/>
  <c r="AH898" i="2"/>
  <c r="AM894" i="2"/>
  <c r="W894" i="2"/>
  <c r="AC894" i="2"/>
  <c r="AH894" i="2"/>
  <c r="AM890" i="2"/>
  <c r="W890" i="2"/>
  <c r="AC890" i="2"/>
  <c r="AH890" i="2"/>
  <c r="AM886" i="2"/>
  <c r="W886" i="2"/>
  <c r="AC886" i="2"/>
  <c r="AH886" i="2"/>
  <c r="AR870" i="2"/>
  <c r="AW870" i="2" s="1"/>
  <c r="BF870" i="2" s="1"/>
  <c r="AR854" i="2"/>
  <c r="AW854" i="2" s="1"/>
  <c r="BF854" i="2" s="1"/>
  <c r="AR838" i="2"/>
  <c r="AW838" i="2" s="1"/>
  <c r="BF838" i="2" s="1"/>
  <c r="AR822" i="2"/>
  <c r="AW822" i="2" s="1"/>
  <c r="BF822" i="2" s="1"/>
  <c r="AR806" i="2"/>
  <c r="AW806" i="2" s="1"/>
  <c r="BF806" i="2" s="1"/>
  <c r="AR790" i="2"/>
  <c r="AW790" i="2" s="1"/>
  <c r="BF790" i="2" s="1"/>
  <c r="AR774" i="2"/>
  <c r="AW774" i="2" s="1"/>
  <c r="BF774" i="2" s="1"/>
  <c r="AR758" i="2"/>
  <c r="AW758" i="2" s="1"/>
  <c r="BF758" i="2" s="1"/>
  <c r="AR742" i="2"/>
  <c r="AW742" i="2" s="1"/>
  <c r="BF742" i="2" s="1"/>
  <c r="AR934" i="2"/>
  <c r="AW934" i="2" s="1"/>
  <c r="BF934" i="2" s="1"/>
  <c r="AM467" i="2"/>
  <c r="AH467" i="2"/>
  <c r="AC467" i="2"/>
  <c r="W467" i="2"/>
  <c r="AR555" i="2"/>
  <c r="AW555" i="2" s="1"/>
  <c r="BF555" i="2" s="1"/>
  <c r="AR547" i="2"/>
  <c r="AW547" i="2" s="1"/>
  <c r="BF547" i="2" s="1"/>
  <c r="AR539" i="2"/>
  <c r="AW539" i="2" s="1"/>
  <c r="BF539" i="2" s="1"/>
  <c r="AR531" i="2"/>
  <c r="AW531" i="2" s="1"/>
  <c r="BF531" i="2" s="1"/>
  <c r="AR523" i="2"/>
  <c r="AW523" i="2" s="1"/>
  <c r="BF523" i="2" s="1"/>
  <c r="AR515" i="2"/>
  <c r="AW515" i="2" s="1"/>
  <c r="BF515" i="2" s="1"/>
  <c r="AR507" i="2"/>
  <c r="AW507" i="2" s="1"/>
  <c r="BF507" i="2" s="1"/>
  <c r="AM465" i="2"/>
  <c r="AH465" i="2"/>
  <c r="AC465" i="2"/>
  <c r="W465" i="2"/>
  <c r="AM281" i="2"/>
  <c r="AH281" i="2"/>
  <c r="AC281" i="2"/>
  <c r="W281" i="2"/>
  <c r="AC275" i="2"/>
  <c r="W275" i="2"/>
  <c r="AM275" i="2"/>
  <c r="AH275" i="2"/>
  <c r="AM217" i="2"/>
  <c r="AH217" i="2"/>
  <c r="AC217" i="2"/>
  <c r="W217" i="2"/>
  <c r="AC211" i="2"/>
  <c r="W211" i="2"/>
  <c r="AM211" i="2"/>
  <c r="AH211" i="2"/>
  <c r="AR488" i="2"/>
  <c r="AW488" i="2" s="1"/>
  <c r="BF488" i="2" s="1"/>
  <c r="AR458" i="2"/>
  <c r="AW458" i="2" s="1"/>
  <c r="BF458" i="2" s="1"/>
  <c r="AM409" i="2"/>
  <c r="AH409" i="2"/>
  <c r="AC409" i="2"/>
  <c r="W409" i="2"/>
  <c r="AR392" i="2"/>
  <c r="AW392" i="2" s="1"/>
  <c r="BF392" i="2" s="1"/>
  <c r="AR360" i="2"/>
  <c r="AW360" i="2" s="1"/>
  <c r="BF360" i="2" s="1"/>
  <c r="AR328" i="2"/>
  <c r="AW328" i="2" s="1"/>
  <c r="BF328" i="2" s="1"/>
  <c r="AS240" i="2"/>
  <c r="AM457" i="2"/>
  <c r="AH457" i="2"/>
  <c r="AC457" i="2"/>
  <c r="W457" i="2"/>
  <c r="AM109" i="2"/>
  <c r="AH109" i="2"/>
  <c r="AC109" i="2"/>
  <c r="W109" i="2"/>
  <c r="AR26" i="2"/>
  <c r="AW26" i="2" s="1"/>
  <c r="BF26" i="2" s="1"/>
  <c r="AH44" i="2"/>
  <c r="AC44" i="2"/>
  <c r="W44" i="2"/>
  <c r="AM44" i="2"/>
  <c r="AR2394" i="2"/>
  <c r="AW2394" i="2" s="1"/>
  <c r="BF2394" i="2" s="1"/>
  <c r="AH2483" i="2"/>
  <c r="AM2483" i="2"/>
  <c r="W2483" i="2"/>
  <c r="AC2483" i="2"/>
  <c r="AM2422" i="2"/>
  <c r="W2422" i="2"/>
  <c r="AH2422" i="2"/>
  <c r="AC2422" i="2"/>
  <c r="AC2451" i="2"/>
  <c r="AM2451" i="2"/>
  <c r="W2451" i="2"/>
  <c r="AH2451" i="2"/>
  <c r="AR2428" i="2"/>
  <c r="AW2428" i="2" s="1"/>
  <c r="BF2428" i="2" s="1"/>
  <c r="AR2461" i="2"/>
  <c r="AW2461" i="2" s="1"/>
  <c r="BF2461" i="2" s="1"/>
  <c r="AH2312" i="2"/>
  <c r="AC2312" i="2"/>
  <c r="AM2312" i="2"/>
  <c r="W2312" i="2"/>
  <c r="AH2308" i="2"/>
  <c r="AC2308" i="2"/>
  <c r="AM2308" i="2"/>
  <c r="W2308" i="2"/>
  <c r="AH2304" i="2"/>
  <c r="AC2304" i="2"/>
  <c r="AM2304" i="2"/>
  <c r="W2304" i="2"/>
  <c r="AH2300" i="2"/>
  <c r="AC2300" i="2"/>
  <c r="AM2300" i="2"/>
  <c r="W2300" i="2"/>
  <c r="AH2296" i="2"/>
  <c r="AC2296" i="2"/>
  <c r="AM2296" i="2"/>
  <c r="W2296" i="2"/>
  <c r="AH2292" i="2"/>
  <c r="AC2292" i="2"/>
  <c r="AM2292" i="2"/>
  <c r="W2292" i="2"/>
  <c r="AH2288" i="2"/>
  <c r="AC2288" i="2"/>
  <c r="AM2288" i="2"/>
  <c r="W2288" i="2"/>
  <c r="AH2284" i="2"/>
  <c r="AC2284" i="2"/>
  <c r="AM2284" i="2"/>
  <c r="W2284" i="2"/>
  <c r="AH2280" i="2"/>
  <c r="AC2280" i="2"/>
  <c r="AM2280" i="2"/>
  <c r="W2280" i="2"/>
  <c r="AH2276" i="2"/>
  <c r="AC2276" i="2"/>
  <c r="AM2276" i="2"/>
  <c r="W2276" i="2"/>
  <c r="AH2272" i="2"/>
  <c r="AC2272" i="2"/>
  <c r="AM2272" i="2"/>
  <c r="W2272" i="2"/>
  <c r="AH2268" i="2"/>
  <c r="AC2268" i="2"/>
  <c r="AM2268" i="2"/>
  <c r="W2268" i="2"/>
  <c r="AH2264" i="2"/>
  <c r="AC2264" i="2"/>
  <c r="AM2264" i="2"/>
  <c r="W2264" i="2"/>
  <c r="AH2260" i="2"/>
  <c r="AC2260" i="2"/>
  <c r="AM2260" i="2"/>
  <c r="W2260" i="2"/>
  <c r="AH2256" i="2"/>
  <c r="AC2256" i="2"/>
  <c r="AM2256" i="2"/>
  <c r="W2256" i="2"/>
  <c r="AH2252" i="2"/>
  <c r="AC2252" i="2"/>
  <c r="AM2252" i="2"/>
  <c r="W2252" i="2"/>
  <c r="AH2248" i="2"/>
  <c r="AC2248" i="2"/>
  <c r="AM2248" i="2"/>
  <c r="W2248" i="2"/>
  <c r="AH2244" i="2"/>
  <c r="AC2244" i="2"/>
  <c r="AM2244" i="2"/>
  <c r="W2244" i="2"/>
  <c r="AH2240" i="2"/>
  <c r="AC2240" i="2"/>
  <c r="AM2240" i="2"/>
  <c r="W2240" i="2"/>
  <c r="AH2236" i="2"/>
  <c r="AC2236" i="2"/>
  <c r="AM2236" i="2"/>
  <c r="W2236" i="2"/>
  <c r="AH2232" i="2"/>
  <c r="AC2232" i="2"/>
  <c r="AM2232" i="2"/>
  <c r="W2232" i="2"/>
  <c r="AH2228" i="2"/>
  <c r="AC2228" i="2"/>
  <c r="AM2228" i="2"/>
  <c r="W2228" i="2"/>
  <c r="AH2224" i="2"/>
  <c r="AC2224" i="2"/>
  <c r="AM2224" i="2"/>
  <c r="W2224" i="2"/>
  <c r="AH2220" i="2"/>
  <c r="AC2220" i="2"/>
  <c r="AM2220" i="2"/>
  <c r="W2220" i="2"/>
  <c r="AH2216" i="2"/>
  <c r="AC2216" i="2"/>
  <c r="AM2216" i="2"/>
  <c r="W2216" i="2"/>
  <c r="AH2212" i="2"/>
  <c r="AC2212" i="2"/>
  <c r="AM2212" i="2"/>
  <c r="W2212" i="2"/>
  <c r="AH2208" i="2"/>
  <c r="AC2208" i="2"/>
  <c r="AM2208" i="2"/>
  <c r="W2208" i="2"/>
  <c r="AH2204" i="2"/>
  <c r="AC2204" i="2"/>
  <c r="AM2204" i="2"/>
  <c r="W2204" i="2"/>
  <c r="AH2200" i="2"/>
  <c r="AC2200" i="2"/>
  <c r="AM2200" i="2"/>
  <c r="W2200" i="2"/>
  <c r="AM2194" i="2"/>
  <c r="W2194" i="2"/>
  <c r="AH2194" i="2"/>
  <c r="AC2194" i="2"/>
  <c r="AC2195" i="2"/>
  <c r="AM2195" i="2"/>
  <c r="W2195" i="2"/>
  <c r="AH2195" i="2"/>
  <c r="AR2091" i="2"/>
  <c r="AW2091" i="2" s="1"/>
  <c r="BF2091" i="2" s="1"/>
  <c r="AR2150" i="2"/>
  <c r="AW2150" i="2" s="1"/>
  <c r="BF2150" i="2" s="1"/>
  <c r="AR2145" i="2"/>
  <c r="AW2145" i="2" s="1"/>
  <c r="BF2145" i="2" s="1"/>
  <c r="AC2140" i="2"/>
  <c r="AM2140" i="2"/>
  <c r="W2140" i="2"/>
  <c r="AH2140" i="2"/>
  <c r="AC2138" i="2"/>
  <c r="AM2138" i="2"/>
  <c r="W2138" i="2"/>
  <c r="AH2138" i="2"/>
  <c r="AC2136" i="2"/>
  <c r="AM2136" i="2"/>
  <c r="W2136" i="2"/>
  <c r="AH2136" i="2"/>
  <c r="AC2134" i="2"/>
  <c r="AM2134" i="2"/>
  <c r="W2134" i="2"/>
  <c r="AH2134" i="2"/>
  <c r="AC2132" i="2"/>
  <c r="AM2132" i="2"/>
  <c r="W2132" i="2"/>
  <c r="AH2132" i="2"/>
  <c r="AC2130" i="2"/>
  <c r="AM2130" i="2"/>
  <c r="W2130" i="2"/>
  <c r="AH2130" i="2"/>
  <c r="AC2128" i="2"/>
  <c r="AM2128" i="2"/>
  <c r="W2128" i="2"/>
  <c r="AH2128" i="2"/>
  <c r="AC2126" i="2"/>
  <c r="AM2126" i="2"/>
  <c r="W2126" i="2"/>
  <c r="AH2126" i="2"/>
  <c r="AC2124" i="2"/>
  <c r="AM2124" i="2"/>
  <c r="W2124" i="2"/>
  <c r="AH2124" i="2"/>
  <c r="AC2122" i="2"/>
  <c r="AM2122" i="2"/>
  <c r="W2122" i="2"/>
  <c r="AH2122" i="2"/>
  <c r="AC2120" i="2"/>
  <c r="AM2120" i="2"/>
  <c r="W2120" i="2"/>
  <c r="AH2120" i="2"/>
  <c r="AC2118" i="2"/>
  <c r="AM2118" i="2"/>
  <c r="W2118" i="2"/>
  <c r="AH2118" i="2"/>
  <c r="AC2116" i="2"/>
  <c r="AM2116" i="2"/>
  <c r="W2116" i="2"/>
  <c r="AH2116" i="2"/>
  <c r="AC1821" i="2"/>
  <c r="AM1821" i="2"/>
  <c r="AH1821" i="2"/>
  <c r="W1821" i="2"/>
  <c r="AH1698" i="2"/>
  <c r="AM1698" i="2"/>
  <c r="W1698" i="2"/>
  <c r="AC1698" i="2"/>
  <c r="AS1771" i="2"/>
  <c r="AX1771" i="2" s="1"/>
  <c r="BG1771" i="2" s="1"/>
  <c r="AH1614" i="2"/>
  <c r="AC1614" i="2"/>
  <c r="AM1614" i="2"/>
  <c r="W1614" i="2"/>
  <c r="AM1589" i="2"/>
  <c r="W1589" i="2"/>
  <c r="AH1589" i="2"/>
  <c r="AC1589" i="2"/>
  <c r="AH1487" i="2"/>
  <c r="AC1487" i="2"/>
  <c r="AM1487" i="2"/>
  <c r="W1487" i="2"/>
  <c r="AH1492" i="2"/>
  <c r="AM1492" i="2"/>
  <c r="W1492" i="2"/>
  <c r="AC1492" i="2"/>
  <c r="AH1652" i="2"/>
  <c r="AC1652" i="2"/>
  <c r="AM1652" i="2"/>
  <c r="W1652" i="2"/>
  <c r="AH1580" i="2"/>
  <c r="AC1580" i="2"/>
  <c r="AM1580" i="2"/>
  <c r="W1580" i="2"/>
  <c r="AH1438" i="2"/>
  <c r="AM1438" i="2"/>
  <c r="W1438" i="2"/>
  <c r="AC1438" i="2"/>
  <c r="AH1434" i="2"/>
  <c r="AM1434" i="2"/>
  <c r="W1434" i="2"/>
  <c r="AC1434" i="2"/>
  <c r="AH1430" i="2"/>
  <c r="AM1430" i="2"/>
  <c r="W1430" i="2"/>
  <c r="AC1430" i="2"/>
  <c r="AH1426" i="2"/>
  <c r="AM1426" i="2"/>
  <c r="W1426" i="2"/>
  <c r="AC1426" i="2"/>
  <c r="AH1422" i="2"/>
  <c r="AM1422" i="2"/>
  <c r="W1422" i="2"/>
  <c r="AC1422" i="2"/>
  <c r="AH1418" i="2"/>
  <c r="AM1418" i="2"/>
  <c r="W1418" i="2"/>
  <c r="AC1418" i="2"/>
  <c r="AH1414" i="2"/>
  <c r="AM1414" i="2"/>
  <c r="W1414" i="2"/>
  <c r="AC1414" i="2"/>
  <c r="AH1410" i="2"/>
  <c r="AM1410" i="2"/>
  <c r="W1410" i="2"/>
  <c r="AC1410" i="2"/>
  <c r="AH1406" i="2"/>
  <c r="AM1406" i="2"/>
  <c r="W1406" i="2"/>
  <c r="AC1406" i="2"/>
  <c r="AH1402" i="2"/>
  <c r="AM1402" i="2"/>
  <c r="W1402" i="2"/>
  <c r="AC1402" i="2"/>
  <c r="AH1398" i="2"/>
  <c r="AM1398" i="2"/>
  <c r="W1398" i="2"/>
  <c r="AC1398" i="2"/>
  <c r="AH1394" i="2"/>
  <c r="AM1394" i="2"/>
  <c r="W1394" i="2"/>
  <c r="AC1394" i="2"/>
  <c r="AM1319" i="2"/>
  <c r="W1319" i="2"/>
  <c r="AH1319" i="2"/>
  <c r="AC1319" i="2"/>
  <c r="AR1191" i="2"/>
  <c r="AW1191" i="2" s="1"/>
  <c r="BF1191" i="2" s="1"/>
  <c r="AM1123" i="2"/>
  <c r="W1123" i="2"/>
  <c r="AC1123" i="2"/>
  <c r="AH1123" i="2"/>
  <c r="AR1388" i="2"/>
  <c r="AW1388" i="2" s="1"/>
  <c r="BF1388" i="2" s="1"/>
  <c r="AR1297" i="2"/>
  <c r="AW1297" i="2" s="1"/>
  <c r="BF1297" i="2" s="1"/>
  <c r="AM1089" i="2"/>
  <c r="W1089" i="2"/>
  <c r="AC1089" i="2"/>
  <c r="AH1089" i="2"/>
  <c r="AM860" i="2"/>
  <c r="W860" i="2"/>
  <c r="AC860" i="2"/>
  <c r="AH860" i="2"/>
  <c r="AM796" i="2"/>
  <c r="W796" i="2"/>
  <c r="AC796" i="2"/>
  <c r="AH796" i="2"/>
  <c r="AM732" i="2"/>
  <c r="W732" i="2"/>
  <c r="AC732" i="2"/>
  <c r="AH732" i="2"/>
  <c r="AC857" i="2"/>
  <c r="AM857" i="2"/>
  <c r="W857" i="2"/>
  <c r="AH857" i="2"/>
  <c r="AC793" i="2"/>
  <c r="AM793" i="2"/>
  <c r="W793" i="2"/>
  <c r="AH793" i="2"/>
  <c r="AC729" i="2"/>
  <c r="AM729" i="2"/>
  <c r="W729" i="2"/>
  <c r="AH729" i="2"/>
  <c r="AH374" i="2"/>
  <c r="AC374" i="2"/>
  <c r="AM374" i="2"/>
  <c r="W374" i="2"/>
  <c r="AR552" i="2"/>
  <c r="AW552" i="2" s="1"/>
  <c r="BF552" i="2" s="1"/>
  <c r="AM518" i="2"/>
  <c r="W518" i="2"/>
  <c r="AH518" i="2"/>
  <c r="AC518" i="2"/>
  <c r="AR411" i="2"/>
  <c r="AW411" i="2" s="1"/>
  <c r="BF411" i="2" s="1"/>
  <c r="AH198" i="2"/>
  <c r="AM198" i="2"/>
  <c r="W198" i="2"/>
  <c r="AC198" i="2"/>
  <c r="AR166" i="2"/>
  <c r="AW166" i="2" s="1"/>
  <c r="BF166" i="2" s="1"/>
  <c r="AH134" i="2"/>
  <c r="AM134" i="2"/>
  <c r="W134" i="2"/>
  <c r="AC134" i="2"/>
  <c r="AR102" i="2"/>
  <c r="AW102" i="2" s="1"/>
  <c r="BF102" i="2" s="1"/>
  <c r="AR226" i="2"/>
  <c r="AW226" i="2" s="1"/>
  <c r="BF226" i="2" s="1"/>
  <c r="AR212" i="2"/>
  <c r="AW212" i="2" s="1"/>
  <c r="BF212" i="2" s="1"/>
  <c r="AH84" i="2"/>
  <c r="AM84" i="2"/>
  <c r="AC84" i="2"/>
  <c r="W84" i="2"/>
  <c r="AH154" i="2"/>
  <c r="AM154" i="2"/>
  <c r="W154" i="2"/>
  <c r="AC154" i="2"/>
  <c r="AR22" i="2"/>
  <c r="AW22" i="2" s="1"/>
  <c r="BF22" i="2" s="1"/>
  <c r="AS4" i="2"/>
  <c r="AX4" i="2" s="1"/>
  <c r="BG4" i="2" s="1"/>
  <c r="AR2311" i="2"/>
  <c r="AW2311" i="2" s="1"/>
  <c r="BF2311" i="2" s="1"/>
  <c r="AH2295" i="2"/>
  <c r="AM2295" i="2"/>
  <c r="W2295" i="2"/>
  <c r="AC2295" i="2"/>
  <c r="AR2279" i="2"/>
  <c r="AW2279" i="2" s="1"/>
  <c r="BF2279" i="2" s="1"/>
  <c r="AH2263" i="2"/>
  <c r="AM2263" i="2"/>
  <c r="W2263" i="2"/>
  <c r="AC2263" i="2"/>
  <c r="AR2247" i="2"/>
  <c r="AW2247" i="2" s="1"/>
  <c r="BF2247" i="2" s="1"/>
  <c r="AH2231" i="2"/>
  <c r="AM2231" i="2"/>
  <c r="W2231" i="2"/>
  <c r="AC2231" i="2"/>
  <c r="AR2215" i="2"/>
  <c r="AW2215" i="2" s="1"/>
  <c r="BF2215" i="2" s="1"/>
  <c r="AR2048" i="2"/>
  <c r="AW2048" i="2" s="1"/>
  <c r="BF2048" i="2" s="1"/>
  <c r="AR2046" i="2"/>
  <c r="AW2046" i="2" s="1"/>
  <c r="BF2046" i="2" s="1"/>
  <c r="AR2112" i="2"/>
  <c r="AW2112" i="2" s="1"/>
  <c r="BF2112" i="2" s="1"/>
  <c r="AR2045" i="2"/>
  <c r="AW2045" i="2" s="1"/>
  <c r="BF2045" i="2" s="1"/>
  <c r="AR1840" i="2"/>
  <c r="AW1840" i="2" s="1"/>
  <c r="BF1840" i="2" s="1"/>
  <c r="AR1702" i="2"/>
  <c r="AW1702" i="2" s="1"/>
  <c r="BF1702" i="2" s="1"/>
  <c r="AR1633" i="2"/>
  <c r="AW1633" i="2" s="1"/>
  <c r="BF1633" i="2" s="1"/>
  <c r="AR1439" i="2"/>
  <c r="AW1439" i="2" s="1"/>
  <c r="BF1439" i="2" s="1"/>
  <c r="AR1378" i="2"/>
  <c r="AW1378" i="2" s="1"/>
  <c r="BF1378" i="2" s="1"/>
  <c r="AM1639" i="2"/>
  <c r="W1639" i="2"/>
  <c r="AH1639" i="2"/>
  <c r="AC1639" i="2"/>
  <c r="AR1583" i="2"/>
  <c r="AW1583" i="2" s="1"/>
  <c r="BF1583" i="2" s="1"/>
  <c r="AR1531" i="2"/>
  <c r="AW1531" i="2" s="1"/>
  <c r="BF1531" i="2" s="1"/>
  <c r="AR1515" i="2"/>
  <c r="AW1515" i="2" s="1"/>
  <c r="BF1515" i="2" s="1"/>
  <c r="AR1489" i="2"/>
  <c r="AW1489" i="2" s="1"/>
  <c r="BF1489" i="2" s="1"/>
  <c r="AR1483" i="2"/>
  <c r="AW1483" i="2" s="1"/>
  <c r="BF1483" i="2" s="1"/>
  <c r="AR1355" i="2"/>
  <c r="AW1355" i="2" s="1"/>
  <c r="BF1355" i="2" s="1"/>
  <c r="AR1291" i="2"/>
  <c r="AW1291" i="2" s="1"/>
  <c r="BF1291" i="2" s="1"/>
  <c r="AR1227" i="2"/>
  <c r="AW1227" i="2" s="1"/>
  <c r="BF1227" i="2" s="1"/>
  <c r="AM1135" i="2"/>
  <c r="W1135" i="2"/>
  <c r="AC1135" i="2"/>
  <c r="AH1135" i="2"/>
  <c r="AM1071" i="2"/>
  <c r="W1071" i="2"/>
  <c r="AC1071" i="2"/>
  <c r="AH1071" i="2"/>
  <c r="AM1349" i="2"/>
  <c r="W1349" i="2"/>
  <c r="AH1349" i="2"/>
  <c r="AC1349" i="2"/>
  <c r="AM1285" i="2"/>
  <c r="W1285" i="2"/>
  <c r="AH1285" i="2"/>
  <c r="AC1285" i="2"/>
  <c r="AM1221" i="2"/>
  <c r="W1221" i="2"/>
  <c r="AH1221" i="2"/>
  <c r="AC1221" i="2"/>
  <c r="AM1117" i="2"/>
  <c r="W1117" i="2"/>
  <c r="AC1117" i="2"/>
  <c r="AH1117" i="2"/>
  <c r="AM1053" i="2"/>
  <c r="W1053" i="2"/>
  <c r="AC1053" i="2"/>
  <c r="AH1053" i="2"/>
  <c r="AR872" i="2"/>
  <c r="AW872" i="2" s="1"/>
  <c r="BF872" i="2" s="1"/>
  <c r="AM840" i="2"/>
  <c r="W840" i="2"/>
  <c r="AC840" i="2"/>
  <c r="AH840" i="2"/>
  <c r="AR808" i="2"/>
  <c r="AW808" i="2" s="1"/>
  <c r="BF808" i="2" s="1"/>
  <c r="AM776" i="2"/>
  <c r="W776" i="2"/>
  <c r="AC776" i="2"/>
  <c r="AH776" i="2"/>
  <c r="AR744" i="2"/>
  <c r="AW744" i="2" s="1"/>
  <c r="BF744" i="2" s="1"/>
  <c r="AM617" i="2"/>
  <c r="W617" i="2"/>
  <c r="AH617" i="2"/>
  <c r="AC617" i="2"/>
  <c r="AM615" i="2"/>
  <c r="W615" i="2"/>
  <c r="AH615" i="2"/>
  <c r="AC615" i="2"/>
  <c r="AM613" i="2"/>
  <c r="W613" i="2"/>
  <c r="AH613" i="2"/>
  <c r="AC613" i="2"/>
  <c r="AM611" i="2"/>
  <c r="W611" i="2"/>
  <c r="AH611" i="2"/>
  <c r="AC611" i="2"/>
  <c r="AM609" i="2"/>
  <c r="W609" i="2"/>
  <c r="AH609" i="2"/>
  <c r="AC609" i="2"/>
  <c r="AM607" i="2"/>
  <c r="W607" i="2"/>
  <c r="AH607" i="2"/>
  <c r="AC607" i="2"/>
  <c r="AM605" i="2"/>
  <c r="W605" i="2"/>
  <c r="AH605" i="2"/>
  <c r="AC605" i="2"/>
  <c r="AM603" i="2"/>
  <c r="W603" i="2"/>
  <c r="AH603" i="2"/>
  <c r="AC603" i="2"/>
  <c r="AM601" i="2"/>
  <c r="W601" i="2"/>
  <c r="AH601" i="2"/>
  <c r="AC601" i="2"/>
  <c r="AM599" i="2"/>
  <c r="W599" i="2"/>
  <c r="AH599" i="2"/>
  <c r="AC599" i="2"/>
  <c r="AM597" i="2"/>
  <c r="W597" i="2"/>
  <c r="AH597" i="2"/>
  <c r="AC597" i="2"/>
  <c r="AM595" i="2"/>
  <c r="W595" i="2"/>
  <c r="AH595" i="2"/>
  <c r="AC595" i="2"/>
  <c r="AM593" i="2"/>
  <c r="W593" i="2"/>
  <c r="AH593" i="2"/>
  <c r="AC593" i="2"/>
  <c r="AM591" i="2"/>
  <c r="W591" i="2"/>
  <c r="AH591" i="2"/>
  <c r="AC591" i="2"/>
  <c r="AM589" i="2"/>
  <c r="W589" i="2"/>
  <c r="AH589" i="2"/>
  <c r="AC589" i="2"/>
  <c r="AM587" i="2"/>
  <c r="W587" i="2"/>
  <c r="AH587" i="2"/>
  <c r="AC587" i="2"/>
  <c r="AM585" i="2"/>
  <c r="W585" i="2"/>
  <c r="AH585" i="2"/>
  <c r="AC585" i="2"/>
  <c r="AM583" i="2"/>
  <c r="W583" i="2"/>
  <c r="AH583" i="2"/>
  <c r="AC583" i="2"/>
  <c r="AM581" i="2"/>
  <c r="W581" i="2"/>
  <c r="AH581" i="2"/>
  <c r="AC581" i="2"/>
  <c r="AM579" i="2"/>
  <c r="W579" i="2"/>
  <c r="AH579" i="2"/>
  <c r="AC579" i="2"/>
  <c r="AM577" i="2"/>
  <c r="W577" i="2"/>
  <c r="AH577" i="2"/>
  <c r="AC577" i="2"/>
  <c r="AM575" i="2"/>
  <c r="W575" i="2"/>
  <c r="AH575" i="2"/>
  <c r="AC575" i="2"/>
  <c r="AM573" i="2"/>
  <c r="W573" i="2"/>
  <c r="AH573" i="2"/>
  <c r="AC573" i="2"/>
  <c r="AM571" i="2"/>
  <c r="W571" i="2"/>
  <c r="AH571" i="2"/>
  <c r="AC571" i="2"/>
  <c r="AM569" i="2"/>
  <c r="W569" i="2"/>
  <c r="AH569" i="2"/>
  <c r="AC569" i="2"/>
  <c r="AM567" i="2"/>
  <c r="W567" i="2"/>
  <c r="AH567" i="2"/>
  <c r="AC567" i="2"/>
  <c r="AM565" i="2"/>
  <c r="W565" i="2"/>
  <c r="AH565" i="2"/>
  <c r="AC565" i="2"/>
  <c r="AM563" i="2"/>
  <c r="W563" i="2"/>
  <c r="AH563" i="2"/>
  <c r="AC563" i="2"/>
  <c r="AM561" i="2"/>
  <c r="W561" i="2"/>
  <c r="AH561" i="2"/>
  <c r="AC561" i="2"/>
  <c r="AM559" i="2"/>
  <c r="W559" i="2"/>
  <c r="AH559" i="2"/>
  <c r="AC559" i="2"/>
  <c r="AM557" i="2"/>
  <c r="W557" i="2"/>
  <c r="AH557" i="2"/>
  <c r="AC557" i="2"/>
  <c r="AS492" i="2"/>
  <c r="AX492" i="2" s="1"/>
  <c r="BG492" i="2" s="1"/>
  <c r="AS476" i="2"/>
  <c r="AX476" i="2" s="1"/>
  <c r="BG476" i="2" s="1"/>
  <c r="AS444" i="2"/>
  <c r="AX444" i="2" s="1"/>
  <c r="BG444" i="2" s="1"/>
  <c r="AS428" i="2"/>
  <c r="AS412" i="2"/>
  <c r="AR366" i="2"/>
  <c r="AW366" i="2" s="1"/>
  <c r="BF366" i="2" s="1"/>
  <c r="AR932" i="2"/>
  <c r="AW932" i="2" s="1"/>
  <c r="BF932" i="2" s="1"/>
  <c r="AR928" i="2"/>
  <c r="AW928" i="2" s="1"/>
  <c r="BF928" i="2" s="1"/>
  <c r="AR924" i="2"/>
  <c r="AW924" i="2" s="1"/>
  <c r="BF924" i="2" s="1"/>
  <c r="AR920" i="2"/>
  <c r="AW920" i="2" s="1"/>
  <c r="BF920" i="2" s="1"/>
  <c r="AR916" i="2"/>
  <c r="AW916" i="2" s="1"/>
  <c r="BF916" i="2" s="1"/>
  <c r="AR912" i="2"/>
  <c r="AW912" i="2" s="1"/>
  <c r="BF912" i="2" s="1"/>
  <c r="AR908" i="2"/>
  <c r="AW908" i="2" s="1"/>
  <c r="BF908" i="2" s="1"/>
  <c r="AR904" i="2"/>
  <c r="AW904" i="2" s="1"/>
  <c r="BF904" i="2" s="1"/>
  <c r="AR900" i="2"/>
  <c r="AW900" i="2" s="1"/>
  <c r="BF900" i="2" s="1"/>
  <c r="AR896" i="2"/>
  <c r="AW896" i="2" s="1"/>
  <c r="BF896" i="2" s="1"/>
  <c r="AR892" i="2"/>
  <c r="AW892" i="2" s="1"/>
  <c r="BF892" i="2" s="1"/>
  <c r="AR888" i="2"/>
  <c r="AW888" i="2" s="1"/>
  <c r="BF888" i="2" s="1"/>
  <c r="AR548" i="2"/>
  <c r="AW548" i="2" s="1"/>
  <c r="BF548" i="2" s="1"/>
  <c r="AR516" i="2"/>
  <c r="AW516" i="2" s="1"/>
  <c r="BF516" i="2" s="1"/>
  <c r="AR447" i="2"/>
  <c r="AW447" i="2" s="1"/>
  <c r="BF447" i="2" s="1"/>
  <c r="AR241" i="2"/>
  <c r="AW241" i="2" s="1"/>
  <c r="BF241" i="2" s="1"/>
  <c r="AR235" i="2"/>
  <c r="AW235" i="2" s="1"/>
  <c r="BF235" i="2" s="1"/>
  <c r="AR52" i="2"/>
  <c r="AW52" i="2" s="1"/>
  <c r="BF52" i="2" s="1"/>
  <c r="AR3" i="2"/>
  <c r="AW3" i="2" s="1"/>
  <c r="BF3" i="2" s="1"/>
  <c r="AC37" i="2"/>
  <c r="AH37" i="2"/>
  <c r="AM37" i="2"/>
  <c r="W37" i="2"/>
  <c r="AH54" i="2"/>
  <c r="AM54" i="2"/>
  <c r="AC54" i="2"/>
  <c r="W54" i="2"/>
  <c r="AH6" i="2"/>
  <c r="AM6" i="2"/>
  <c r="AC6" i="2"/>
  <c r="W6" i="2"/>
  <c r="AR2186" i="2"/>
  <c r="AW2186" i="2" s="1"/>
  <c r="BF2186" i="2" s="1"/>
  <c r="AR2187" i="2"/>
  <c r="AW2187" i="2" s="1"/>
  <c r="BF2187" i="2" s="1"/>
  <c r="AR2067" i="2"/>
  <c r="AW2067" i="2" s="1"/>
  <c r="BF2067" i="2" s="1"/>
  <c r="AM2141" i="2"/>
  <c r="W2141" i="2"/>
  <c r="AH2141" i="2"/>
  <c r="AC2141" i="2"/>
  <c r="AM2139" i="2"/>
  <c r="W2139" i="2"/>
  <c r="AH2139" i="2"/>
  <c r="AC2139" i="2"/>
  <c r="AM2137" i="2"/>
  <c r="W2137" i="2"/>
  <c r="AH2137" i="2"/>
  <c r="AC2137" i="2"/>
  <c r="AM2135" i="2"/>
  <c r="W2135" i="2"/>
  <c r="AH2135" i="2"/>
  <c r="AC2135" i="2"/>
  <c r="AM2133" i="2"/>
  <c r="W2133" i="2"/>
  <c r="AH2133" i="2"/>
  <c r="AC2133" i="2"/>
  <c r="AM2131" i="2"/>
  <c r="W2131" i="2"/>
  <c r="AH2131" i="2"/>
  <c r="AC2131" i="2"/>
  <c r="AM2129" i="2"/>
  <c r="W2129" i="2"/>
  <c r="AH2129" i="2"/>
  <c r="AC2129" i="2"/>
  <c r="AM2127" i="2"/>
  <c r="W2127" i="2"/>
  <c r="AH2127" i="2"/>
  <c r="AC2127" i="2"/>
  <c r="AM2125" i="2"/>
  <c r="W2125" i="2"/>
  <c r="AH2125" i="2"/>
  <c r="AC2125" i="2"/>
  <c r="AM2123" i="2"/>
  <c r="W2123" i="2"/>
  <c r="AH2123" i="2"/>
  <c r="AC2123" i="2"/>
  <c r="AM2121" i="2"/>
  <c r="W2121" i="2"/>
  <c r="AH2121" i="2"/>
  <c r="AC2121" i="2"/>
  <c r="AM2119" i="2"/>
  <c r="W2119" i="2"/>
  <c r="AH2119" i="2"/>
  <c r="AC2119" i="2"/>
  <c r="AM2117" i="2"/>
  <c r="W2117" i="2"/>
  <c r="AH2117" i="2"/>
  <c r="AC2117" i="2"/>
  <c r="AM2115" i="2"/>
  <c r="W2115" i="2"/>
  <c r="AH2115" i="2"/>
  <c r="AC2115" i="2"/>
  <c r="AH2097" i="2"/>
  <c r="AC2097" i="2"/>
  <c r="AM2097" i="2"/>
  <c r="W2097" i="2"/>
  <c r="AH2081" i="2"/>
  <c r="AC2081" i="2"/>
  <c r="AM2081" i="2"/>
  <c r="W2081" i="2"/>
  <c r="AH2065" i="2"/>
  <c r="AC2065" i="2"/>
  <c r="AM2065" i="2"/>
  <c r="W2065" i="2"/>
  <c r="AH2049" i="2"/>
  <c r="AC2049" i="2"/>
  <c r="AM2049" i="2"/>
  <c r="W2049" i="2"/>
  <c r="AM1820" i="2"/>
  <c r="W1820" i="2"/>
  <c r="AH1820" i="2"/>
  <c r="AC1820" i="2"/>
  <c r="AN1811" i="2"/>
  <c r="AI1811" i="2"/>
  <c r="AD1811" i="2"/>
  <c r="X1811" i="2"/>
  <c r="AH1638" i="2"/>
  <c r="AC1638" i="2"/>
  <c r="AM1638" i="2"/>
  <c r="W1638" i="2"/>
  <c r="AM1613" i="2"/>
  <c r="W1613" i="2"/>
  <c r="AH1613" i="2"/>
  <c r="AC1613" i="2"/>
  <c r="AR1628" i="2"/>
  <c r="AW1628" i="2" s="1"/>
  <c r="BF1628" i="2" s="1"/>
  <c r="AR1603" i="2"/>
  <c r="AW1603" i="2" s="1"/>
  <c r="BF1603" i="2" s="1"/>
  <c r="AR1425" i="2"/>
  <c r="AW1425" i="2" s="1"/>
  <c r="BF1425" i="2" s="1"/>
  <c r="AR1409" i="2"/>
  <c r="AW1409" i="2" s="1"/>
  <c r="BF1409" i="2" s="1"/>
  <c r="AR1382" i="2"/>
  <c r="AW1382" i="2" s="1"/>
  <c r="BF1382" i="2" s="1"/>
  <c r="AH1338" i="2"/>
  <c r="AC1338" i="2"/>
  <c r="AM1338" i="2"/>
  <c r="W1338" i="2"/>
  <c r="AH1274" i="2"/>
  <c r="AC1274" i="2"/>
  <c r="AM1274" i="2"/>
  <c r="W1274" i="2"/>
  <c r="AH1210" i="2"/>
  <c r="AC1210" i="2"/>
  <c r="AM1210" i="2"/>
  <c r="W1210" i="2"/>
  <c r="AM1359" i="2"/>
  <c r="W1359" i="2"/>
  <c r="AH1359" i="2"/>
  <c r="AC1359" i="2"/>
  <c r="AR1231" i="2"/>
  <c r="AW1231" i="2" s="1"/>
  <c r="BF1231" i="2" s="1"/>
  <c r="AR1131" i="2"/>
  <c r="AW1131" i="2" s="1"/>
  <c r="BF1131" i="2" s="1"/>
  <c r="AR1067" i="2"/>
  <c r="AW1067" i="2" s="1"/>
  <c r="BF1067" i="2" s="1"/>
  <c r="AM1380" i="2"/>
  <c r="W1380" i="2"/>
  <c r="AH1380" i="2"/>
  <c r="AC1380" i="2"/>
  <c r="AH1340" i="2"/>
  <c r="AC1340" i="2"/>
  <c r="AM1340" i="2"/>
  <c r="W1340" i="2"/>
  <c r="AH1276" i="2"/>
  <c r="AC1276" i="2"/>
  <c r="AM1276" i="2"/>
  <c r="W1276" i="2"/>
  <c r="AH1212" i="2"/>
  <c r="AC1212" i="2"/>
  <c r="AM1212" i="2"/>
  <c r="W1212" i="2"/>
  <c r="AR1337" i="2"/>
  <c r="AW1337" i="2" s="1"/>
  <c r="BF1337" i="2" s="1"/>
  <c r="AR1273" i="2"/>
  <c r="AW1273" i="2" s="1"/>
  <c r="BF1273" i="2" s="1"/>
  <c r="AR1209" i="2"/>
  <c r="AW1209" i="2" s="1"/>
  <c r="BF1209" i="2" s="1"/>
  <c r="AM1129" i="2"/>
  <c r="W1129" i="2"/>
  <c r="AC1129" i="2"/>
  <c r="AH1129" i="2"/>
  <c r="AM1065" i="2"/>
  <c r="W1065" i="2"/>
  <c r="AC1065" i="2"/>
  <c r="AH1065" i="2"/>
  <c r="AR852" i="2"/>
  <c r="AW852" i="2" s="1"/>
  <c r="BF852" i="2" s="1"/>
  <c r="AR788" i="2"/>
  <c r="AW788" i="2" s="1"/>
  <c r="BF788" i="2" s="1"/>
  <c r="AC1045" i="2"/>
  <c r="AM1045" i="2"/>
  <c r="W1045" i="2"/>
  <c r="AH1045" i="2"/>
  <c r="AR865" i="2"/>
  <c r="AW865" i="2" s="1"/>
  <c r="BF865" i="2" s="1"/>
  <c r="AR833" i="2"/>
  <c r="AW833" i="2" s="1"/>
  <c r="BF833" i="2" s="1"/>
  <c r="AR801" i="2"/>
  <c r="AW801" i="2" s="1"/>
  <c r="BF801" i="2" s="1"/>
  <c r="AR769" i="2"/>
  <c r="AW769" i="2" s="1"/>
  <c r="BF769" i="2" s="1"/>
  <c r="AR737" i="2"/>
  <c r="AW737" i="2" s="1"/>
  <c r="BF737" i="2" s="1"/>
  <c r="AR883" i="2"/>
  <c r="AW883" i="2" s="1"/>
  <c r="BF883" i="2" s="1"/>
  <c r="AR867" i="2"/>
  <c r="AW867" i="2" s="1"/>
  <c r="BF867" i="2" s="1"/>
  <c r="AR851" i="2"/>
  <c r="AW851" i="2" s="1"/>
  <c r="BF851" i="2" s="1"/>
  <c r="AR835" i="2"/>
  <c r="AW835" i="2" s="1"/>
  <c r="BF835" i="2" s="1"/>
  <c r="AR819" i="2"/>
  <c r="AW819" i="2" s="1"/>
  <c r="BF819" i="2" s="1"/>
  <c r="AR803" i="2"/>
  <c r="AW803" i="2" s="1"/>
  <c r="BF803" i="2" s="1"/>
  <c r="AR787" i="2"/>
  <c r="AW787" i="2" s="1"/>
  <c r="BF787" i="2" s="1"/>
  <c r="AR771" i="2"/>
  <c r="AW771" i="2" s="1"/>
  <c r="BF771" i="2" s="1"/>
  <c r="AR755" i="2"/>
  <c r="AW755" i="2" s="1"/>
  <c r="BF755" i="2" s="1"/>
  <c r="AR739" i="2"/>
  <c r="AW739" i="2" s="1"/>
  <c r="BF739" i="2" s="1"/>
  <c r="AR697" i="2"/>
  <c r="AW697" i="2" s="1"/>
  <c r="BF697" i="2" s="1"/>
  <c r="AM665" i="2"/>
  <c r="W665" i="2"/>
  <c r="AH665" i="2"/>
  <c r="AC665" i="2"/>
  <c r="AR633" i="2"/>
  <c r="AW633" i="2" s="1"/>
  <c r="BF633" i="2" s="1"/>
  <c r="AR390" i="2"/>
  <c r="AW390" i="2" s="1"/>
  <c r="BF390" i="2" s="1"/>
  <c r="AD324" i="2"/>
  <c r="AN324" i="2"/>
  <c r="AI324" i="2"/>
  <c r="X324" i="2"/>
  <c r="AR270" i="2"/>
  <c r="AW270" i="2" s="1"/>
  <c r="BF270" i="2" s="1"/>
  <c r="AM534" i="2"/>
  <c r="W534" i="2"/>
  <c r="AH534" i="2"/>
  <c r="AC534" i="2"/>
  <c r="AR459" i="2"/>
  <c r="AW459" i="2" s="1"/>
  <c r="BF459" i="2" s="1"/>
  <c r="AR441" i="2"/>
  <c r="AW441" i="2" s="1"/>
  <c r="BF441" i="2" s="1"/>
  <c r="AC13" i="2"/>
  <c r="AH13" i="2"/>
  <c r="AM13" i="2"/>
  <c r="W13" i="2"/>
  <c r="AM35" i="2"/>
  <c r="W35" i="2"/>
  <c r="AC35" i="2"/>
  <c r="AH35" i="2"/>
  <c r="AM489" i="2"/>
  <c r="AH489" i="2"/>
  <c r="AC489" i="2"/>
  <c r="W489" i="2"/>
  <c r="AH440" i="2"/>
  <c r="AC440" i="2"/>
  <c r="AM440" i="2"/>
  <c r="W440" i="2"/>
  <c r="AH410" i="2"/>
  <c r="AM410" i="2"/>
  <c r="W410" i="2"/>
  <c r="AC410" i="2"/>
  <c r="AH312" i="2"/>
  <c r="AC312" i="2"/>
  <c r="AM312" i="2"/>
  <c r="W312" i="2"/>
  <c r="AR157" i="2"/>
  <c r="AW157" i="2" s="1"/>
  <c r="BF157" i="2" s="1"/>
  <c r="AH70" i="2"/>
  <c r="AM70" i="2"/>
  <c r="AC70" i="2"/>
  <c r="W70" i="2"/>
  <c r="AS192" i="2"/>
  <c r="AX192" i="2" s="1"/>
  <c r="BG192" i="2" s="1"/>
  <c r="AM85" i="2"/>
  <c r="W85" i="2"/>
  <c r="AC85" i="2"/>
  <c r="AH85" i="2"/>
  <c r="AM2426" i="2"/>
  <c r="W2426" i="2"/>
  <c r="AH2426" i="2"/>
  <c r="AC2426" i="2"/>
  <c r="AM2410" i="2"/>
  <c r="W2410" i="2"/>
  <c r="AH2410" i="2"/>
  <c r="AC2410" i="2"/>
  <c r="AR2439" i="2"/>
  <c r="AW2439" i="2" s="1"/>
  <c r="BF2439" i="2" s="1"/>
  <c r="AR2453" i="2"/>
  <c r="AW2453" i="2" s="1"/>
  <c r="BF2453" i="2" s="1"/>
  <c r="AR2437" i="2"/>
  <c r="AW2437" i="2" s="1"/>
  <c r="BF2437" i="2" s="1"/>
  <c r="AM2466" i="2"/>
  <c r="W2466" i="2"/>
  <c r="AH2466" i="2"/>
  <c r="AC2466" i="2"/>
  <c r="AR2447" i="2"/>
  <c r="AW2447" i="2" s="1"/>
  <c r="BF2447" i="2" s="1"/>
  <c r="AM2424" i="2"/>
  <c r="W2424" i="2"/>
  <c r="AH2424" i="2"/>
  <c r="AC2424" i="2"/>
  <c r="AC2457" i="2"/>
  <c r="AM2457" i="2"/>
  <c r="W2457" i="2"/>
  <c r="AH2457" i="2"/>
  <c r="AM2192" i="2"/>
  <c r="W2192" i="2"/>
  <c r="AH2192" i="2"/>
  <c r="AC2192" i="2"/>
  <c r="AR2175" i="2"/>
  <c r="AW2175" i="2" s="1"/>
  <c r="BF2175" i="2" s="1"/>
  <c r="AR2111" i="2"/>
  <c r="AW2111" i="2" s="1"/>
  <c r="BF2111" i="2" s="1"/>
  <c r="AM1760" i="2"/>
  <c r="W1760" i="2"/>
  <c r="AH1760" i="2"/>
  <c r="AC1760" i="2"/>
  <c r="AR1838" i="2"/>
  <c r="AW1838" i="2" s="1"/>
  <c r="BF1838" i="2" s="1"/>
  <c r="AR1710" i="2"/>
  <c r="AW1710" i="2" s="1"/>
  <c r="BF1710" i="2" s="1"/>
  <c r="AR1602" i="2"/>
  <c r="AW1602" i="2" s="1"/>
  <c r="BF1602" i="2" s="1"/>
  <c r="AH1563" i="2"/>
  <c r="AC1563" i="2"/>
  <c r="AM1563" i="2"/>
  <c r="W1563" i="2"/>
  <c r="AR1419" i="2"/>
  <c r="AW1419" i="2" s="1"/>
  <c r="BF1419" i="2" s="1"/>
  <c r="AR1663" i="2"/>
  <c r="AW1663" i="2" s="1"/>
  <c r="BF1663" i="2" s="1"/>
  <c r="AM1599" i="2"/>
  <c r="W1599" i="2"/>
  <c r="AH1599" i="2"/>
  <c r="AC1599" i="2"/>
  <c r="AR1544" i="2"/>
  <c r="AW1544" i="2" s="1"/>
  <c r="BF1544" i="2" s="1"/>
  <c r="AR1540" i="2"/>
  <c r="AW1540" i="2" s="1"/>
  <c r="BF1540" i="2" s="1"/>
  <c r="AR1536" i="2"/>
  <c r="AW1536" i="2" s="1"/>
  <c r="BF1536" i="2" s="1"/>
  <c r="AR1532" i="2"/>
  <c r="AW1532" i="2" s="1"/>
  <c r="BF1532" i="2" s="1"/>
  <c r="AR1528" i="2"/>
  <c r="AW1528" i="2" s="1"/>
  <c r="BF1528" i="2" s="1"/>
  <c r="AR1524" i="2"/>
  <c r="AW1524" i="2" s="1"/>
  <c r="BF1524" i="2" s="1"/>
  <c r="AR1520" i="2"/>
  <c r="AW1520" i="2" s="1"/>
  <c r="BF1520" i="2" s="1"/>
  <c r="AR1516" i="2"/>
  <c r="AW1516" i="2" s="1"/>
  <c r="BF1516" i="2" s="1"/>
  <c r="AR1512" i="2"/>
  <c r="AW1512" i="2" s="1"/>
  <c r="BF1512" i="2" s="1"/>
  <c r="AR1508" i="2"/>
  <c r="AW1508" i="2" s="1"/>
  <c r="BF1508" i="2" s="1"/>
  <c r="AR1498" i="2"/>
  <c r="AW1498" i="2" s="1"/>
  <c r="BF1498" i="2" s="1"/>
  <c r="AR1494" i="2"/>
  <c r="AW1494" i="2" s="1"/>
  <c r="BF1494" i="2" s="1"/>
  <c r="AR1490" i="2"/>
  <c r="AW1490" i="2" s="1"/>
  <c r="BF1490" i="2" s="1"/>
  <c r="AH1383" i="2"/>
  <c r="AC1383" i="2"/>
  <c r="AM1383" i="2"/>
  <c r="W1383" i="2"/>
  <c r="AH1310" i="2"/>
  <c r="AC1310" i="2"/>
  <c r="AM1310" i="2"/>
  <c r="W1310" i="2"/>
  <c r="AH1246" i="2"/>
  <c r="AC1246" i="2"/>
  <c r="AM1246" i="2"/>
  <c r="W1246" i="2"/>
  <c r="AR1267" i="2"/>
  <c r="AW1267" i="2" s="1"/>
  <c r="BF1267" i="2" s="1"/>
  <c r="AR1095" i="2"/>
  <c r="AW1095" i="2" s="1"/>
  <c r="BF1095" i="2" s="1"/>
  <c r="AR1248" i="2"/>
  <c r="AW1248" i="2" s="1"/>
  <c r="BF1248" i="2" s="1"/>
  <c r="AM1325" i="2"/>
  <c r="W1325" i="2"/>
  <c r="AH1325" i="2"/>
  <c r="AC1325" i="2"/>
  <c r="AR1197" i="2"/>
  <c r="AW1197" i="2" s="1"/>
  <c r="BF1197" i="2" s="1"/>
  <c r="AM1109" i="2"/>
  <c r="W1109" i="2"/>
  <c r="AC1109" i="2"/>
  <c r="AH1109" i="2"/>
  <c r="AR880" i="2"/>
  <c r="AW880" i="2" s="1"/>
  <c r="BF880" i="2" s="1"/>
  <c r="AR816" i="2"/>
  <c r="AW816" i="2" s="1"/>
  <c r="BF816" i="2" s="1"/>
  <c r="AR752" i="2"/>
  <c r="AW752" i="2" s="1"/>
  <c r="BF752" i="2" s="1"/>
  <c r="AM1044" i="2"/>
  <c r="W1044" i="2"/>
  <c r="AH1044" i="2"/>
  <c r="AC1044" i="2"/>
  <c r="AC1039" i="2"/>
  <c r="AM1039" i="2"/>
  <c r="W1039" i="2"/>
  <c r="AH1039" i="2"/>
  <c r="AC1037" i="2"/>
  <c r="AM1037" i="2"/>
  <c r="W1037" i="2"/>
  <c r="AH1037" i="2"/>
  <c r="AC1035" i="2"/>
  <c r="AM1035" i="2"/>
  <c r="W1035" i="2"/>
  <c r="AH1035" i="2"/>
  <c r="AC1033" i="2"/>
  <c r="AM1033" i="2"/>
  <c r="W1033" i="2"/>
  <c r="AH1033" i="2"/>
  <c r="AC1031" i="2"/>
  <c r="AM1031" i="2"/>
  <c r="W1031" i="2"/>
  <c r="AH1031" i="2"/>
  <c r="AC1029" i="2"/>
  <c r="AM1029" i="2"/>
  <c r="W1029" i="2"/>
  <c r="AH1029" i="2"/>
  <c r="AC1027" i="2"/>
  <c r="AM1027" i="2"/>
  <c r="W1027" i="2"/>
  <c r="AH1027" i="2"/>
  <c r="AC1025" i="2"/>
  <c r="AM1025" i="2"/>
  <c r="W1025" i="2"/>
  <c r="AH1025" i="2"/>
  <c r="AC1023" i="2"/>
  <c r="AM1023" i="2"/>
  <c r="W1023" i="2"/>
  <c r="AH1023" i="2"/>
  <c r="AC1021" i="2"/>
  <c r="AM1021" i="2"/>
  <c r="W1021" i="2"/>
  <c r="AH1021" i="2"/>
  <c r="AC1019" i="2"/>
  <c r="AM1019" i="2"/>
  <c r="W1019" i="2"/>
  <c r="AH1019" i="2"/>
  <c r="AC1017" i="2"/>
  <c r="AM1017" i="2"/>
  <c r="W1017" i="2"/>
  <c r="AH1017" i="2"/>
  <c r="AC1015" i="2"/>
  <c r="AM1015" i="2"/>
  <c r="W1015" i="2"/>
  <c r="AH1015" i="2"/>
  <c r="AC1013" i="2"/>
  <c r="AM1013" i="2"/>
  <c r="W1013" i="2"/>
  <c r="AH1013" i="2"/>
  <c r="AC1011" i="2"/>
  <c r="AM1011" i="2"/>
  <c r="W1011" i="2"/>
  <c r="AH1011" i="2"/>
  <c r="AC1009" i="2"/>
  <c r="AM1009" i="2"/>
  <c r="W1009" i="2"/>
  <c r="AH1009" i="2"/>
  <c r="AC1007" i="2"/>
  <c r="AM1007" i="2"/>
  <c r="W1007" i="2"/>
  <c r="AH1007" i="2"/>
  <c r="AC1005" i="2"/>
  <c r="AM1005" i="2"/>
  <c r="W1005" i="2"/>
  <c r="AH1005" i="2"/>
  <c r="AC1003" i="2"/>
  <c r="AM1003" i="2"/>
  <c r="W1003" i="2"/>
  <c r="AH1003" i="2"/>
  <c r="AC1001" i="2"/>
  <c r="AM1001" i="2"/>
  <c r="W1001" i="2"/>
  <c r="AH1001" i="2"/>
  <c r="AC999" i="2"/>
  <c r="AM999" i="2"/>
  <c r="W999" i="2"/>
  <c r="AH999" i="2"/>
  <c r="AC997" i="2"/>
  <c r="AM997" i="2"/>
  <c r="W997" i="2"/>
  <c r="AH997" i="2"/>
  <c r="AC995" i="2"/>
  <c r="AM995" i="2"/>
  <c r="W995" i="2"/>
  <c r="AH995" i="2"/>
  <c r="AC993" i="2"/>
  <c r="AM993" i="2"/>
  <c r="W993" i="2"/>
  <c r="AH993" i="2"/>
  <c r="AC991" i="2"/>
  <c r="AM991" i="2"/>
  <c r="W991" i="2"/>
  <c r="AH991" i="2"/>
  <c r="AC989" i="2"/>
  <c r="AM989" i="2"/>
  <c r="W989" i="2"/>
  <c r="AH989" i="2"/>
  <c r="AC987" i="2"/>
  <c r="AM987" i="2"/>
  <c r="W987" i="2"/>
  <c r="AH987" i="2"/>
  <c r="AC985" i="2"/>
  <c r="AM985" i="2"/>
  <c r="W985" i="2"/>
  <c r="AH985" i="2"/>
  <c r="AC983" i="2"/>
  <c r="AM983" i="2"/>
  <c r="W983" i="2"/>
  <c r="AH983" i="2"/>
  <c r="AC981" i="2"/>
  <c r="AM981" i="2"/>
  <c r="W981" i="2"/>
  <c r="AH981" i="2"/>
  <c r="AC979" i="2"/>
  <c r="AM979" i="2"/>
  <c r="W979" i="2"/>
  <c r="AH979" i="2"/>
  <c r="AC977" i="2"/>
  <c r="AM977" i="2"/>
  <c r="W977" i="2"/>
  <c r="AH977" i="2"/>
  <c r="AC975" i="2"/>
  <c r="AM975" i="2"/>
  <c r="W975" i="2"/>
  <c r="AH975" i="2"/>
  <c r="AC973" i="2"/>
  <c r="AM973" i="2"/>
  <c r="W973" i="2"/>
  <c r="AH973" i="2"/>
  <c r="AC971" i="2"/>
  <c r="AM971" i="2"/>
  <c r="W971" i="2"/>
  <c r="AH971" i="2"/>
  <c r="AC969" i="2"/>
  <c r="AM969" i="2"/>
  <c r="W969" i="2"/>
  <c r="AH969" i="2"/>
  <c r="AC967" i="2"/>
  <c r="AM967" i="2"/>
  <c r="W967" i="2"/>
  <c r="AH967" i="2"/>
  <c r="AC965" i="2"/>
  <c r="AM965" i="2"/>
  <c r="W965" i="2"/>
  <c r="AH965" i="2"/>
  <c r="AC963" i="2"/>
  <c r="AM963" i="2"/>
  <c r="W963" i="2"/>
  <c r="AH963" i="2"/>
  <c r="AC961" i="2"/>
  <c r="AM961" i="2"/>
  <c r="W961" i="2"/>
  <c r="AH961" i="2"/>
  <c r="AC959" i="2"/>
  <c r="AM959" i="2"/>
  <c r="W959" i="2"/>
  <c r="AH959" i="2"/>
  <c r="AC957" i="2"/>
  <c r="AM957" i="2"/>
  <c r="W957" i="2"/>
  <c r="AH957" i="2"/>
  <c r="AC955" i="2"/>
  <c r="AM955" i="2"/>
  <c r="W955" i="2"/>
  <c r="AH955" i="2"/>
  <c r="AC953" i="2"/>
  <c r="AM953" i="2"/>
  <c r="W953" i="2"/>
  <c r="AH953" i="2"/>
  <c r="AC951" i="2"/>
  <c r="AM951" i="2"/>
  <c r="W951" i="2"/>
  <c r="AH951" i="2"/>
  <c r="AC949" i="2"/>
  <c r="AM949" i="2"/>
  <c r="W949" i="2"/>
  <c r="AH949" i="2"/>
  <c r="AC947" i="2"/>
  <c r="AM947" i="2"/>
  <c r="W947" i="2"/>
  <c r="AH947" i="2"/>
  <c r="AC945" i="2"/>
  <c r="AM945" i="2"/>
  <c r="W945" i="2"/>
  <c r="AH945" i="2"/>
  <c r="AC943" i="2"/>
  <c r="AM943" i="2"/>
  <c r="W943" i="2"/>
  <c r="AH943" i="2"/>
  <c r="AC941" i="2"/>
  <c r="AM941" i="2"/>
  <c r="W941" i="2"/>
  <c r="AH941" i="2"/>
  <c r="AC939" i="2"/>
  <c r="AM939" i="2"/>
  <c r="W939" i="2"/>
  <c r="AH939" i="2"/>
  <c r="AC937" i="2"/>
  <c r="AM937" i="2"/>
  <c r="W937" i="2"/>
  <c r="AH937" i="2"/>
  <c r="AC935" i="2"/>
  <c r="AM935" i="2"/>
  <c r="W935" i="2"/>
  <c r="AH935" i="2"/>
  <c r="AC933" i="2"/>
  <c r="AM933" i="2"/>
  <c r="W933" i="2"/>
  <c r="AH933" i="2"/>
  <c r="AC861" i="2"/>
  <c r="AM861" i="2"/>
  <c r="W861" i="2"/>
  <c r="AH861" i="2"/>
  <c r="AC829" i="2"/>
  <c r="AM829" i="2"/>
  <c r="W829" i="2"/>
  <c r="AH829" i="2"/>
  <c r="AC797" i="2"/>
  <c r="AM797" i="2"/>
  <c r="W797" i="2"/>
  <c r="AH797" i="2"/>
  <c r="AC765" i="2"/>
  <c r="AM765" i="2"/>
  <c r="W765" i="2"/>
  <c r="AH765" i="2"/>
  <c r="AC733" i="2"/>
  <c r="AM733" i="2"/>
  <c r="W733" i="2"/>
  <c r="AH733" i="2"/>
  <c r="AM546" i="2"/>
  <c r="W546" i="2"/>
  <c r="AH546" i="2"/>
  <c r="AC546" i="2"/>
  <c r="AM514" i="2"/>
  <c r="W514" i="2"/>
  <c r="AH514" i="2"/>
  <c r="AC514" i="2"/>
  <c r="AM528" i="2"/>
  <c r="W528" i="2"/>
  <c r="AH528" i="2"/>
  <c r="AC528" i="2"/>
  <c r="AH525" i="2"/>
  <c r="AC525" i="2"/>
  <c r="AM525" i="2"/>
  <c r="W525" i="2"/>
  <c r="AR347" i="2"/>
  <c r="AW347" i="2" s="1"/>
  <c r="BF347" i="2" s="1"/>
  <c r="AR300" i="2"/>
  <c r="AW300" i="2" s="1"/>
  <c r="BF300" i="2" s="1"/>
  <c r="AR167" i="2"/>
  <c r="AW167" i="2" s="1"/>
  <c r="BF167" i="2" s="1"/>
  <c r="AR103" i="2"/>
  <c r="AW103" i="2" s="1"/>
  <c r="BF103" i="2" s="1"/>
  <c r="AR71" i="2"/>
  <c r="AW71" i="2" s="1"/>
  <c r="BF71" i="2" s="1"/>
  <c r="AR39" i="2"/>
  <c r="AW39" i="2" s="1"/>
  <c r="BF39" i="2" s="1"/>
  <c r="AR7" i="2"/>
  <c r="AW7" i="2" s="1"/>
  <c r="BF7" i="2" s="1"/>
  <c r="AR25" i="2"/>
  <c r="AW25" i="2" s="1"/>
  <c r="BF25" i="2" s="1"/>
  <c r="AR417" i="2"/>
  <c r="AW417" i="2" s="1"/>
  <c r="BF417" i="2" s="1"/>
  <c r="AR273" i="2"/>
  <c r="AW273" i="2" s="1"/>
  <c r="BF273" i="2" s="1"/>
  <c r="AR267" i="2"/>
  <c r="AW267" i="2" s="1"/>
  <c r="BF267" i="2" s="1"/>
  <c r="AR209" i="2"/>
  <c r="AW209" i="2" s="1"/>
  <c r="BF209" i="2" s="1"/>
  <c r="AR193" i="2"/>
  <c r="AW193" i="2" s="1"/>
  <c r="BF193" i="2" s="1"/>
  <c r="AR129" i="2"/>
  <c r="AW129" i="2" s="1"/>
  <c r="BF129" i="2" s="1"/>
  <c r="AR431" i="2"/>
  <c r="AW431" i="2" s="1"/>
  <c r="BF431" i="2" s="1"/>
  <c r="AR86" i="2"/>
  <c r="AW86" i="2" s="1"/>
  <c r="BF86" i="2" s="1"/>
  <c r="AR2442" i="2"/>
  <c r="AW2442" i="2" s="1"/>
  <c r="BF2442" i="2" s="1"/>
  <c r="AH2360" i="2"/>
  <c r="AC2360" i="2"/>
  <c r="AM2360" i="2"/>
  <c r="W2360" i="2"/>
  <c r="AH2352" i="2"/>
  <c r="AC2352" i="2"/>
  <c r="AM2352" i="2"/>
  <c r="W2352" i="2"/>
  <c r="AH2328" i="2"/>
  <c r="AC2328" i="2"/>
  <c r="AM2328" i="2"/>
  <c r="W2328" i="2"/>
  <c r="AR2497" i="2"/>
  <c r="AW2497" i="2" s="1"/>
  <c r="BF2497" i="2" s="1"/>
  <c r="AR2489" i="2"/>
  <c r="AW2489" i="2" s="1"/>
  <c r="BF2489" i="2" s="1"/>
  <c r="AM2446" i="2"/>
  <c r="W2446" i="2"/>
  <c r="AH2446" i="2"/>
  <c r="AC2446" i="2"/>
  <c r="AM2396" i="2"/>
  <c r="W2396" i="2"/>
  <c r="AC2396" i="2"/>
  <c r="AH2396" i="2"/>
  <c r="AR2486" i="2"/>
  <c r="AW2486" i="2" s="1"/>
  <c r="BF2486" i="2" s="1"/>
  <c r="AR2482" i="2"/>
  <c r="AW2482" i="2" s="1"/>
  <c r="BF2482" i="2" s="1"/>
  <c r="AR2478" i="2"/>
  <c r="AW2478" i="2" s="1"/>
  <c r="BF2478" i="2" s="1"/>
  <c r="AR2438" i="2"/>
  <c r="AW2438" i="2" s="1"/>
  <c r="BF2438" i="2" s="1"/>
  <c r="AC2467" i="2"/>
  <c r="AM2467" i="2"/>
  <c r="W2467" i="2"/>
  <c r="AH2467" i="2"/>
  <c r="AM2444" i="2"/>
  <c r="W2444" i="2"/>
  <c r="AH2444" i="2"/>
  <c r="AC2444" i="2"/>
  <c r="AM2387" i="2"/>
  <c r="W2387" i="2"/>
  <c r="AH2387" i="2"/>
  <c r="AC2387" i="2"/>
  <c r="AM2379" i="2"/>
  <c r="W2379" i="2"/>
  <c r="AH2379" i="2"/>
  <c r="AC2379" i="2"/>
  <c r="AM2371" i="2"/>
  <c r="W2371" i="2"/>
  <c r="AH2371" i="2"/>
  <c r="AC2371" i="2"/>
  <c r="AM2363" i="2"/>
  <c r="W2363" i="2"/>
  <c r="AH2363" i="2"/>
  <c r="AC2363" i="2"/>
  <c r="AM2355" i="2"/>
  <c r="W2355" i="2"/>
  <c r="AH2355" i="2"/>
  <c r="AC2355" i="2"/>
  <c r="AM2347" i="2"/>
  <c r="W2347" i="2"/>
  <c r="AH2347" i="2"/>
  <c r="AC2347" i="2"/>
  <c r="AM2339" i="2"/>
  <c r="W2339" i="2"/>
  <c r="AH2339" i="2"/>
  <c r="AC2339" i="2"/>
  <c r="AM2331" i="2"/>
  <c r="W2331" i="2"/>
  <c r="AH2331" i="2"/>
  <c r="AC2331" i="2"/>
  <c r="AM2323" i="2"/>
  <c r="W2323" i="2"/>
  <c r="AH2323" i="2"/>
  <c r="AC2323" i="2"/>
  <c r="AM2315" i="2"/>
  <c r="W2315" i="2"/>
  <c r="AH2315" i="2"/>
  <c r="AC2315" i="2"/>
  <c r="AM2164" i="2"/>
  <c r="W2164" i="2"/>
  <c r="AH2164" i="2"/>
  <c r="AC2164" i="2"/>
  <c r="AR2084" i="2"/>
  <c r="AW2084" i="2" s="1"/>
  <c r="BF2084" i="2" s="1"/>
  <c r="AR2106" i="2"/>
  <c r="AW2106" i="2" s="1"/>
  <c r="BF2106" i="2" s="1"/>
  <c r="AR2102" i="2"/>
  <c r="AW2102" i="2" s="1"/>
  <c r="BF2102" i="2" s="1"/>
  <c r="AR2098" i="2"/>
  <c r="AW2098" i="2" s="1"/>
  <c r="BF2098" i="2" s="1"/>
  <c r="AR2094" i="2"/>
  <c r="AW2094" i="2" s="1"/>
  <c r="BF2094" i="2" s="1"/>
  <c r="AR2090" i="2"/>
  <c r="AW2090" i="2" s="1"/>
  <c r="BF2090" i="2" s="1"/>
  <c r="AR2086" i="2"/>
  <c r="AW2086" i="2" s="1"/>
  <c r="BF2086" i="2" s="1"/>
  <c r="AR2082" i="2"/>
  <c r="AW2082" i="2" s="1"/>
  <c r="BF2082" i="2" s="1"/>
  <c r="AR2078" i="2"/>
  <c r="AW2078" i="2" s="1"/>
  <c r="BF2078" i="2" s="1"/>
  <c r="AR2074" i="2"/>
  <c r="AW2074" i="2" s="1"/>
  <c r="BF2074" i="2" s="1"/>
  <c r="AR2070" i="2"/>
  <c r="AW2070" i="2" s="1"/>
  <c r="BF2070" i="2" s="1"/>
  <c r="AR2066" i="2"/>
  <c r="AW2066" i="2" s="1"/>
  <c r="BF2066" i="2" s="1"/>
  <c r="AR2062" i="2"/>
  <c r="AW2062" i="2" s="1"/>
  <c r="BF2062" i="2" s="1"/>
  <c r="AR2058" i="2"/>
  <c r="AW2058" i="2" s="1"/>
  <c r="BF2058" i="2" s="1"/>
  <c r="AR2054" i="2"/>
  <c r="AW2054" i="2" s="1"/>
  <c r="BF2054" i="2" s="1"/>
  <c r="AR2050" i="2"/>
  <c r="AW2050" i="2" s="1"/>
  <c r="BF2050" i="2" s="1"/>
  <c r="AH2003" i="2"/>
  <c r="AC2003" i="2"/>
  <c r="AM2003" i="2"/>
  <c r="W2003" i="2"/>
  <c r="AR1971" i="2"/>
  <c r="AW1971" i="2" s="1"/>
  <c r="BF1971" i="2" s="1"/>
  <c r="AR2001" i="2"/>
  <c r="AW2001" i="2" s="1"/>
  <c r="BF2001" i="2" s="1"/>
  <c r="AH1969" i="2"/>
  <c r="AC1969" i="2"/>
  <c r="AM1969" i="2"/>
  <c r="W1969" i="2"/>
  <c r="AR1937" i="2"/>
  <c r="AW1937" i="2" s="1"/>
  <c r="BF1937" i="2" s="1"/>
  <c r="AH1905" i="2"/>
  <c r="AC1905" i="2"/>
  <c r="AM1905" i="2"/>
  <c r="W1905" i="2"/>
  <c r="AR1873" i="2"/>
  <c r="AW1873" i="2" s="1"/>
  <c r="BF1873" i="2" s="1"/>
  <c r="AR1830" i="2"/>
  <c r="AW1830" i="2" s="1"/>
  <c r="BF1830" i="2" s="1"/>
  <c r="AR1822" i="2"/>
  <c r="AW1822" i="2" s="1"/>
  <c r="BF1822" i="2" s="1"/>
  <c r="AR1814" i="2"/>
  <c r="AW1814" i="2" s="1"/>
  <c r="BF1814" i="2" s="1"/>
  <c r="AR1806" i="2"/>
  <c r="AW1806" i="2" s="1"/>
  <c r="BF1806" i="2" s="1"/>
  <c r="AR1798" i="2"/>
  <c r="AW1798" i="2" s="1"/>
  <c r="BF1798" i="2" s="1"/>
  <c r="AR1790" i="2"/>
  <c r="AW1790" i="2" s="1"/>
  <c r="BF1790" i="2" s="1"/>
  <c r="AR1782" i="2"/>
  <c r="AW1782" i="2" s="1"/>
  <c r="BF1782" i="2" s="1"/>
  <c r="AR1774" i="2"/>
  <c r="AW1774" i="2" s="1"/>
  <c r="BF1774" i="2" s="1"/>
  <c r="AR1766" i="2"/>
  <c r="AW1766" i="2" s="1"/>
  <c r="BF1766" i="2" s="1"/>
  <c r="AR1758" i="2"/>
  <c r="AW1758" i="2" s="1"/>
  <c r="BF1758" i="2" s="1"/>
  <c r="AN1835" i="2"/>
  <c r="AI1835" i="2"/>
  <c r="AD1835" i="2"/>
  <c r="X1835" i="2"/>
  <c r="AH1630" i="2"/>
  <c r="AC1630" i="2"/>
  <c r="AM1630" i="2"/>
  <c r="W1630" i="2"/>
  <c r="AM1605" i="2"/>
  <c r="W1605" i="2"/>
  <c r="AH1605" i="2"/>
  <c r="AC1605" i="2"/>
  <c r="AH1473" i="2"/>
  <c r="AC1473" i="2"/>
  <c r="AM1473" i="2"/>
  <c r="W1473" i="2"/>
  <c r="AR1381" i="2"/>
  <c r="AW1381" i="2" s="1"/>
  <c r="BF1381" i="2" s="1"/>
  <c r="AH1506" i="2"/>
  <c r="AM1506" i="2"/>
  <c r="W1506" i="2"/>
  <c r="AC1506" i="2"/>
  <c r="AH1604" i="2"/>
  <c r="AC1604" i="2"/>
  <c r="AM1604" i="2"/>
  <c r="W1604" i="2"/>
  <c r="AR1467" i="2"/>
  <c r="AW1467" i="2" s="1"/>
  <c r="BF1467" i="2" s="1"/>
  <c r="AR1451" i="2"/>
  <c r="AW1451" i="2" s="1"/>
  <c r="BF1451" i="2" s="1"/>
  <c r="AR1441" i="2"/>
  <c r="AW1441" i="2" s="1"/>
  <c r="BF1441" i="2" s="1"/>
  <c r="AH1330" i="2"/>
  <c r="AC1330" i="2"/>
  <c r="AM1330" i="2"/>
  <c r="W1330" i="2"/>
  <c r="AR1202" i="2"/>
  <c r="AW1202" i="2" s="1"/>
  <c r="BF1202" i="2" s="1"/>
  <c r="AM1335" i="2"/>
  <c r="W1335" i="2"/>
  <c r="AH1335" i="2"/>
  <c r="AC1335" i="2"/>
  <c r="AR1207" i="2"/>
  <c r="AW1207" i="2" s="1"/>
  <c r="BF1207" i="2" s="1"/>
  <c r="AR1332" i="2"/>
  <c r="AW1332" i="2" s="1"/>
  <c r="BF1332" i="2" s="1"/>
  <c r="AH1204" i="2"/>
  <c r="AC1204" i="2"/>
  <c r="AM1204" i="2"/>
  <c r="W1204" i="2"/>
  <c r="AM1249" i="2"/>
  <c r="W1249" i="2"/>
  <c r="AH1249" i="2"/>
  <c r="AC1249" i="2"/>
  <c r="AR844" i="2"/>
  <c r="AW844" i="2" s="1"/>
  <c r="BF844" i="2" s="1"/>
  <c r="AR780" i="2"/>
  <c r="AW780" i="2" s="1"/>
  <c r="BF780" i="2" s="1"/>
  <c r="AR841" i="2"/>
  <c r="AW841" i="2" s="1"/>
  <c r="BF841" i="2" s="1"/>
  <c r="AR777" i="2"/>
  <c r="AW777" i="2" s="1"/>
  <c r="BF777" i="2" s="1"/>
  <c r="AR874" i="2"/>
  <c r="AW874" i="2" s="1"/>
  <c r="BF874" i="2" s="1"/>
  <c r="AR858" i="2"/>
  <c r="AW858" i="2" s="1"/>
  <c r="BF858" i="2" s="1"/>
  <c r="AR842" i="2"/>
  <c r="AW842" i="2" s="1"/>
  <c r="BF842" i="2" s="1"/>
  <c r="AR826" i="2"/>
  <c r="AW826" i="2" s="1"/>
  <c r="BF826" i="2" s="1"/>
  <c r="AR810" i="2"/>
  <c r="AW810" i="2" s="1"/>
  <c r="BF810" i="2" s="1"/>
  <c r="AR794" i="2"/>
  <c r="AW794" i="2" s="1"/>
  <c r="BF794" i="2" s="1"/>
  <c r="AR778" i="2"/>
  <c r="AW778" i="2" s="1"/>
  <c r="BF778" i="2" s="1"/>
  <c r="AR762" i="2"/>
  <c r="AW762" i="2" s="1"/>
  <c r="BF762" i="2" s="1"/>
  <c r="AR746" i="2"/>
  <c r="AW746" i="2" s="1"/>
  <c r="BF746" i="2" s="1"/>
  <c r="AR730" i="2"/>
  <c r="AW730" i="2" s="1"/>
  <c r="BF730" i="2" s="1"/>
  <c r="AR703" i="2"/>
  <c r="AW703" i="2" s="1"/>
  <c r="BF703" i="2" s="1"/>
  <c r="AR687" i="2"/>
  <c r="AW687" i="2" s="1"/>
  <c r="BF687" i="2" s="1"/>
  <c r="AR671" i="2"/>
  <c r="AW671" i="2" s="1"/>
  <c r="BF671" i="2" s="1"/>
  <c r="AR655" i="2"/>
  <c r="AW655" i="2" s="1"/>
  <c r="BF655" i="2" s="1"/>
  <c r="AR639" i="2"/>
  <c r="AW639" i="2" s="1"/>
  <c r="BF639" i="2" s="1"/>
  <c r="AR623" i="2"/>
  <c r="AW623" i="2" s="1"/>
  <c r="BF623" i="2" s="1"/>
  <c r="AR406" i="2"/>
  <c r="AW406" i="2" s="1"/>
  <c r="BF406" i="2" s="1"/>
  <c r="AD340" i="2"/>
  <c r="AN340" i="2"/>
  <c r="AI340" i="2"/>
  <c r="X340" i="2"/>
  <c r="AH286" i="2"/>
  <c r="AC286" i="2"/>
  <c r="AM286" i="2"/>
  <c r="W286" i="2"/>
  <c r="AR265" i="2"/>
  <c r="AW265" i="2" s="1"/>
  <c r="BF265" i="2" s="1"/>
  <c r="AR259" i="2"/>
  <c r="AW259" i="2" s="1"/>
  <c r="BF259" i="2" s="1"/>
  <c r="AR203" i="2"/>
  <c r="AW203" i="2" s="1"/>
  <c r="BF203" i="2" s="1"/>
  <c r="AH464" i="2"/>
  <c r="AC464" i="2"/>
  <c r="AM464" i="2"/>
  <c r="W464" i="2"/>
  <c r="AH434" i="2"/>
  <c r="AM434" i="2"/>
  <c r="W434" i="2"/>
  <c r="AC434" i="2"/>
  <c r="AH280" i="2"/>
  <c r="AC280" i="2"/>
  <c r="AM280" i="2"/>
  <c r="W280" i="2"/>
  <c r="AM143" i="2"/>
  <c r="AC143" i="2"/>
  <c r="AH143" i="2"/>
  <c r="W143" i="2"/>
  <c r="AR58" i="2"/>
  <c r="AW58" i="2" s="1"/>
  <c r="BF58" i="2" s="1"/>
  <c r="AS2" i="2"/>
  <c r="AX2" i="2" s="1"/>
  <c r="BG2" i="2" s="1"/>
  <c r="AR92" i="2"/>
  <c r="AW92" i="2" s="1"/>
  <c r="BF92" i="2" s="1"/>
  <c r="AM21" i="2"/>
  <c r="W21" i="2"/>
  <c r="AC21" i="2"/>
  <c r="AH21" i="2"/>
  <c r="AR2184" i="2"/>
  <c r="AW2184" i="2" s="1"/>
  <c r="BF2184" i="2" s="1"/>
  <c r="AM2166" i="2"/>
  <c r="W2166" i="2"/>
  <c r="AH2166" i="2"/>
  <c r="AC2166" i="2"/>
  <c r="AR2167" i="2"/>
  <c r="AW2167" i="2" s="1"/>
  <c r="BF2167" i="2" s="1"/>
  <c r="AR2087" i="2"/>
  <c r="AW2087" i="2" s="1"/>
  <c r="BF2087" i="2" s="1"/>
  <c r="AR1859" i="2"/>
  <c r="AW1859" i="2" s="1"/>
  <c r="BF1859" i="2" s="1"/>
  <c r="AR1855" i="2"/>
  <c r="AW1855" i="2" s="1"/>
  <c r="BF1855" i="2" s="1"/>
  <c r="AR1851" i="2"/>
  <c r="AW1851" i="2" s="1"/>
  <c r="BF1851" i="2" s="1"/>
  <c r="AM1844" i="2"/>
  <c r="W1844" i="2"/>
  <c r="AH1844" i="2"/>
  <c r="AC1844" i="2"/>
  <c r="AC1825" i="2"/>
  <c r="AM1825" i="2"/>
  <c r="AH1825" i="2"/>
  <c r="W1825" i="2"/>
  <c r="AR1805" i="2"/>
  <c r="AW1805" i="2" s="1"/>
  <c r="BF1805" i="2" s="1"/>
  <c r="AR1789" i="2"/>
  <c r="AW1789" i="2" s="1"/>
  <c r="BF1789" i="2" s="1"/>
  <c r="AR1773" i="2"/>
  <c r="AW1773" i="2" s="1"/>
  <c r="BF1773" i="2" s="1"/>
  <c r="AR1757" i="2"/>
  <c r="AW1757" i="2" s="1"/>
  <c r="BF1757" i="2" s="1"/>
  <c r="AH1951" i="2"/>
  <c r="AC1951" i="2"/>
  <c r="AM1951" i="2"/>
  <c r="W1951" i="2"/>
  <c r="AH1943" i="2"/>
  <c r="AC1943" i="2"/>
  <c r="AM1943" i="2"/>
  <c r="W1943" i="2"/>
  <c r="AH1935" i="2"/>
  <c r="AC1935" i="2"/>
  <c r="AM1935" i="2"/>
  <c r="W1935" i="2"/>
  <c r="AH1927" i="2"/>
  <c r="AC1927" i="2"/>
  <c r="AM1927" i="2"/>
  <c r="W1927" i="2"/>
  <c r="AH1919" i="2"/>
  <c r="AC1919" i="2"/>
  <c r="AM1919" i="2"/>
  <c r="W1919" i="2"/>
  <c r="AH1911" i="2"/>
  <c r="AC1911" i="2"/>
  <c r="AM1911" i="2"/>
  <c r="W1911" i="2"/>
  <c r="AH1903" i="2"/>
  <c r="AC1903" i="2"/>
  <c r="AM1903" i="2"/>
  <c r="W1903" i="2"/>
  <c r="AH1895" i="2"/>
  <c r="AC1895" i="2"/>
  <c r="AM1895" i="2"/>
  <c r="W1895" i="2"/>
  <c r="AH1887" i="2"/>
  <c r="AC1887" i="2"/>
  <c r="AM1887" i="2"/>
  <c r="W1887" i="2"/>
  <c r="AH1879" i="2"/>
  <c r="AC1879" i="2"/>
  <c r="AM1879" i="2"/>
  <c r="W1879" i="2"/>
  <c r="AH1871" i="2"/>
  <c r="AC1871" i="2"/>
  <c r="AM1871" i="2"/>
  <c r="W1871" i="2"/>
  <c r="AH1863" i="2"/>
  <c r="AC1863" i="2"/>
  <c r="AM1863" i="2"/>
  <c r="W1863" i="2"/>
  <c r="AH1718" i="2"/>
  <c r="AM1718" i="2"/>
  <c r="W1718" i="2"/>
  <c r="AC1718" i="2"/>
  <c r="AR1610" i="2"/>
  <c r="AW1610" i="2" s="1"/>
  <c r="BF1610" i="2" s="1"/>
  <c r="AR1436" i="2"/>
  <c r="AW1436" i="2" s="1"/>
  <c r="BF1436" i="2" s="1"/>
  <c r="AR1432" i="2"/>
  <c r="AW1432" i="2" s="1"/>
  <c r="BF1432" i="2" s="1"/>
  <c r="AR1428" i="2"/>
  <c r="AW1428" i="2" s="1"/>
  <c r="BF1428" i="2" s="1"/>
  <c r="AR1424" i="2"/>
  <c r="AW1424" i="2" s="1"/>
  <c r="BF1424" i="2" s="1"/>
  <c r="AR1420" i="2"/>
  <c r="AW1420" i="2" s="1"/>
  <c r="BF1420" i="2" s="1"/>
  <c r="AR1416" i="2"/>
  <c r="AW1416" i="2" s="1"/>
  <c r="BF1416" i="2" s="1"/>
  <c r="AR1412" i="2"/>
  <c r="AW1412" i="2" s="1"/>
  <c r="BF1412" i="2" s="1"/>
  <c r="AR1408" i="2"/>
  <c r="AW1408" i="2" s="1"/>
  <c r="BF1408" i="2" s="1"/>
  <c r="AR1404" i="2"/>
  <c r="AW1404" i="2" s="1"/>
  <c r="BF1404" i="2" s="1"/>
  <c r="AR1400" i="2"/>
  <c r="AW1400" i="2" s="1"/>
  <c r="BF1400" i="2" s="1"/>
  <c r="AR1396" i="2"/>
  <c r="AW1396" i="2" s="1"/>
  <c r="BF1396" i="2" s="1"/>
  <c r="AR1513" i="2"/>
  <c r="AW1513" i="2" s="1"/>
  <c r="BF1513" i="2" s="1"/>
  <c r="AR1509" i="2"/>
  <c r="AW1509" i="2" s="1"/>
  <c r="BF1509" i="2" s="1"/>
  <c r="AH1616" i="2"/>
  <c r="AC1616" i="2"/>
  <c r="AM1616" i="2"/>
  <c r="W1616" i="2"/>
  <c r="AM1591" i="2"/>
  <c r="W1591" i="2"/>
  <c r="AH1591" i="2"/>
  <c r="AC1591" i="2"/>
  <c r="AR1535" i="2"/>
  <c r="AW1535" i="2" s="1"/>
  <c r="BF1535" i="2" s="1"/>
  <c r="AR1519" i="2"/>
  <c r="AW1519" i="2" s="1"/>
  <c r="BF1519" i="2" s="1"/>
  <c r="AR1493" i="2"/>
  <c r="AW1493" i="2" s="1"/>
  <c r="BF1493" i="2" s="1"/>
  <c r="AR1350" i="2"/>
  <c r="AW1350" i="2" s="1"/>
  <c r="BF1350" i="2" s="1"/>
  <c r="AH1222" i="2"/>
  <c r="AC1222" i="2"/>
  <c r="AM1222" i="2"/>
  <c r="W1222" i="2"/>
  <c r="AR1307" i="2"/>
  <c r="AW1307" i="2" s="1"/>
  <c r="BF1307" i="2" s="1"/>
  <c r="AM1179" i="2"/>
  <c r="W1179" i="2"/>
  <c r="AH1179" i="2"/>
  <c r="AC1179" i="2"/>
  <c r="AM1384" i="2"/>
  <c r="W1384" i="2"/>
  <c r="AC1384" i="2"/>
  <c r="AH1384" i="2"/>
  <c r="AH1304" i="2"/>
  <c r="AC1304" i="2"/>
  <c r="AM1304" i="2"/>
  <c r="W1304" i="2"/>
  <c r="AC1176" i="2"/>
  <c r="AM1176" i="2"/>
  <c r="W1176" i="2"/>
  <c r="AH1176" i="2"/>
  <c r="AC1172" i="2"/>
  <c r="AM1172" i="2"/>
  <c r="W1172" i="2"/>
  <c r="AH1172" i="2"/>
  <c r="AC1168" i="2"/>
  <c r="AM1168" i="2"/>
  <c r="W1168" i="2"/>
  <c r="AH1168" i="2"/>
  <c r="AC1164" i="2"/>
  <c r="AM1164" i="2"/>
  <c r="W1164" i="2"/>
  <c r="AH1164" i="2"/>
  <c r="AC1160" i="2"/>
  <c r="AM1160" i="2"/>
  <c r="W1160" i="2"/>
  <c r="AH1160" i="2"/>
  <c r="AC1156" i="2"/>
  <c r="AM1156" i="2"/>
  <c r="W1156" i="2"/>
  <c r="AH1156" i="2"/>
  <c r="AR1301" i="2"/>
  <c r="AW1301" i="2" s="1"/>
  <c r="BF1301" i="2" s="1"/>
  <c r="AR1043" i="2"/>
  <c r="AW1043" i="2" s="1"/>
  <c r="BF1043" i="2" s="1"/>
  <c r="AR722" i="2"/>
  <c r="AW722" i="2" s="1"/>
  <c r="BF722" i="2" s="1"/>
  <c r="AR718" i="2"/>
  <c r="AW718" i="2" s="1"/>
  <c r="BF718" i="2" s="1"/>
  <c r="AR714" i="2"/>
  <c r="AW714" i="2" s="1"/>
  <c r="BF714" i="2" s="1"/>
  <c r="AR710" i="2"/>
  <c r="AW710" i="2" s="1"/>
  <c r="BF710" i="2" s="1"/>
  <c r="AR706" i="2"/>
  <c r="AW706" i="2" s="1"/>
  <c r="BF706" i="2" s="1"/>
  <c r="AR702" i="2"/>
  <c r="AW702" i="2" s="1"/>
  <c r="BF702" i="2" s="1"/>
  <c r="AR698" i="2"/>
  <c r="AW698" i="2" s="1"/>
  <c r="BF698" i="2" s="1"/>
  <c r="AR694" i="2"/>
  <c r="AW694" i="2" s="1"/>
  <c r="BF694" i="2" s="1"/>
  <c r="AR690" i="2"/>
  <c r="AW690" i="2" s="1"/>
  <c r="BF690" i="2" s="1"/>
  <c r="AR686" i="2"/>
  <c r="AW686" i="2" s="1"/>
  <c r="BF686" i="2" s="1"/>
  <c r="AR682" i="2"/>
  <c r="AW682" i="2" s="1"/>
  <c r="BF682" i="2" s="1"/>
  <c r="AR678" i="2"/>
  <c r="AW678" i="2" s="1"/>
  <c r="BF678" i="2" s="1"/>
  <c r="AR674" i="2"/>
  <c r="AW674" i="2" s="1"/>
  <c r="BF674" i="2" s="1"/>
  <c r="AR670" i="2"/>
  <c r="AW670" i="2" s="1"/>
  <c r="BF670" i="2" s="1"/>
  <c r="AR666" i="2"/>
  <c r="AW666" i="2" s="1"/>
  <c r="BF666" i="2" s="1"/>
  <c r="AR662" i="2"/>
  <c r="AW662" i="2" s="1"/>
  <c r="BF662" i="2" s="1"/>
  <c r="AR658" i="2"/>
  <c r="AW658" i="2" s="1"/>
  <c r="BF658" i="2" s="1"/>
  <c r="AR654" i="2"/>
  <c r="AW654" i="2" s="1"/>
  <c r="BF654" i="2" s="1"/>
  <c r="AR650" i="2"/>
  <c r="AW650" i="2" s="1"/>
  <c r="BF650" i="2" s="1"/>
  <c r="AR646" i="2"/>
  <c r="AW646" i="2" s="1"/>
  <c r="BF646" i="2" s="1"/>
  <c r="AR642" i="2"/>
  <c r="AW642" i="2" s="1"/>
  <c r="BF642" i="2" s="1"/>
  <c r="AR638" i="2"/>
  <c r="AW638" i="2" s="1"/>
  <c r="BF638" i="2" s="1"/>
  <c r="AR634" i="2"/>
  <c r="AW634" i="2" s="1"/>
  <c r="BF634" i="2" s="1"/>
  <c r="AR630" i="2"/>
  <c r="AW630" i="2" s="1"/>
  <c r="BF630" i="2" s="1"/>
  <c r="AR626" i="2"/>
  <c r="AW626" i="2" s="1"/>
  <c r="BF626" i="2" s="1"/>
  <c r="AR622" i="2"/>
  <c r="AW622" i="2" s="1"/>
  <c r="BF622" i="2" s="1"/>
  <c r="AR530" i="2"/>
  <c r="AW530" i="2" s="1"/>
  <c r="BF530" i="2" s="1"/>
  <c r="AH398" i="2"/>
  <c r="AC398" i="2"/>
  <c r="AM398" i="2"/>
  <c r="W398" i="2"/>
  <c r="AH527" i="2"/>
  <c r="AC527" i="2"/>
  <c r="AM527" i="2"/>
  <c r="W527" i="2"/>
  <c r="AR229" i="2"/>
  <c r="AW229" i="2" s="1"/>
  <c r="BF229" i="2" s="1"/>
  <c r="AR509" i="2"/>
  <c r="AW509" i="2" s="1"/>
  <c r="BF509" i="2" s="1"/>
  <c r="AR316" i="2"/>
  <c r="AW316" i="2" s="1"/>
  <c r="BF316" i="2" s="1"/>
  <c r="AH274" i="2"/>
  <c r="AM274" i="2"/>
  <c r="W274" i="2"/>
  <c r="AC274" i="2"/>
  <c r="AH260" i="2"/>
  <c r="AC260" i="2"/>
  <c r="AM260" i="2"/>
  <c r="W260" i="2"/>
  <c r="AR472" i="2"/>
  <c r="AW472" i="2" s="1"/>
  <c r="BF472" i="2" s="1"/>
  <c r="AR442" i="2"/>
  <c r="AW442" i="2" s="1"/>
  <c r="BF442" i="2" s="1"/>
  <c r="AR296" i="2"/>
  <c r="AW296" i="2" s="1"/>
  <c r="BF296" i="2" s="1"/>
  <c r="AH170" i="2"/>
  <c r="AM170" i="2"/>
  <c r="W170" i="2"/>
  <c r="AC170" i="2"/>
  <c r="AS168" i="2"/>
  <c r="AX168" i="2" s="1"/>
  <c r="BG168" i="2" s="1"/>
  <c r="AS144" i="2"/>
  <c r="AX144" i="2" s="1"/>
  <c r="BG144" i="2" s="1"/>
  <c r="AS184" i="2"/>
  <c r="AX184" i="2" s="1"/>
  <c r="BG184" i="2" s="1"/>
  <c r="AS160" i="2"/>
  <c r="AX160" i="2" s="1"/>
  <c r="BG160" i="2" s="1"/>
  <c r="AM2385" i="2"/>
  <c r="W2385" i="2"/>
  <c r="AH2385" i="2"/>
  <c r="AC2385" i="2"/>
  <c r="AM2361" i="2"/>
  <c r="W2361" i="2"/>
  <c r="AH2361" i="2"/>
  <c r="AC2361" i="2"/>
  <c r="AM2345" i="2"/>
  <c r="W2345" i="2"/>
  <c r="AH2345" i="2"/>
  <c r="AC2345" i="2"/>
  <c r="AM2321" i="2"/>
  <c r="W2321" i="2"/>
  <c r="AH2321" i="2"/>
  <c r="AC2321" i="2"/>
  <c r="AC2405" i="2"/>
  <c r="AM2405" i="2"/>
  <c r="W2405" i="2"/>
  <c r="AH2405" i="2"/>
  <c r="AC2397" i="2"/>
  <c r="AM2397" i="2"/>
  <c r="W2397" i="2"/>
  <c r="AH2397" i="2"/>
  <c r="AM2156" i="2"/>
  <c r="W2156" i="2"/>
  <c r="AH2156" i="2"/>
  <c r="AC2156" i="2"/>
  <c r="AR2083" i="2"/>
  <c r="AW2083" i="2" s="1"/>
  <c r="BF2083" i="2" s="1"/>
  <c r="AR2154" i="2"/>
  <c r="AW2154" i="2" s="1"/>
  <c r="BF2154" i="2" s="1"/>
  <c r="AH2101" i="2"/>
  <c r="AC2101" i="2"/>
  <c r="AM2101" i="2"/>
  <c r="W2101" i="2"/>
  <c r="AR2069" i="2"/>
  <c r="AW2069" i="2" s="1"/>
  <c r="BF2069" i="2" s="1"/>
  <c r="AM2016" i="2"/>
  <c r="W2016" i="2"/>
  <c r="AH2016" i="2"/>
  <c r="AC2016" i="2"/>
  <c r="AM2012" i="2"/>
  <c r="W2012" i="2"/>
  <c r="AH2012" i="2"/>
  <c r="AC2012" i="2"/>
  <c r="AM2008" i="2"/>
  <c r="W2008" i="2"/>
  <c r="AH2008" i="2"/>
  <c r="AC2008" i="2"/>
  <c r="AM2004" i="2"/>
  <c r="W2004" i="2"/>
  <c r="AH2004" i="2"/>
  <c r="AC2004" i="2"/>
  <c r="AM2000" i="2"/>
  <c r="W2000" i="2"/>
  <c r="AH2000" i="2"/>
  <c r="AC2000" i="2"/>
  <c r="AM1996" i="2"/>
  <c r="W1996" i="2"/>
  <c r="AH1996" i="2"/>
  <c r="AC1996" i="2"/>
  <c r="AM1992" i="2"/>
  <c r="W1992" i="2"/>
  <c r="AH1992" i="2"/>
  <c r="AC1992" i="2"/>
  <c r="AM1988" i="2"/>
  <c r="W1988" i="2"/>
  <c r="AH1988" i="2"/>
  <c r="AC1988" i="2"/>
  <c r="AM1984" i="2"/>
  <c r="W1984" i="2"/>
  <c r="AH1984" i="2"/>
  <c r="AC1984" i="2"/>
  <c r="AM1980" i="2"/>
  <c r="W1980" i="2"/>
  <c r="AH1980" i="2"/>
  <c r="AC1980" i="2"/>
  <c r="AM1976" i="2"/>
  <c r="W1976" i="2"/>
  <c r="AH1976" i="2"/>
  <c r="AC1976" i="2"/>
  <c r="AM1972" i="2"/>
  <c r="W1972" i="2"/>
  <c r="AH1972" i="2"/>
  <c r="AC1972" i="2"/>
  <c r="AM1968" i="2"/>
  <c r="W1968" i="2"/>
  <c r="AH1968" i="2"/>
  <c r="AC1968" i="2"/>
  <c r="AM1964" i="2"/>
  <c r="W1964" i="2"/>
  <c r="AH1964" i="2"/>
  <c r="AC1964" i="2"/>
  <c r="AM1960" i="2"/>
  <c r="W1960" i="2"/>
  <c r="AH1960" i="2"/>
  <c r="AC1960" i="2"/>
  <c r="AM1956" i="2"/>
  <c r="W1956" i="2"/>
  <c r="AH1956" i="2"/>
  <c r="AC1956" i="2"/>
  <c r="AR2018" i="2"/>
  <c r="AW2018" i="2" s="1"/>
  <c r="BF2018" i="2" s="1"/>
  <c r="AR2014" i="2"/>
  <c r="AW2014" i="2" s="1"/>
  <c r="BF2014" i="2" s="1"/>
  <c r="AR2010" i="2"/>
  <c r="AW2010" i="2" s="1"/>
  <c r="BF2010" i="2" s="1"/>
  <c r="AR2006" i="2"/>
  <c r="AW2006" i="2" s="1"/>
  <c r="BF2006" i="2" s="1"/>
  <c r="AR2002" i="2"/>
  <c r="AW2002" i="2" s="1"/>
  <c r="BF2002" i="2" s="1"/>
  <c r="AR1998" i="2"/>
  <c r="AW1998" i="2" s="1"/>
  <c r="BF1998" i="2" s="1"/>
  <c r="AR1994" i="2"/>
  <c r="AW1994" i="2" s="1"/>
  <c r="BF1994" i="2" s="1"/>
  <c r="AR1990" i="2"/>
  <c r="AW1990" i="2" s="1"/>
  <c r="BF1990" i="2" s="1"/>
  <c r="AR1986" i="2"/>
  <c r="AW1986" i="2" s="1"/>
  <c r="BF1986" i="2" s="1"/>
  <c r="AR1982" i="2"/>
  <c r="AW1982" i="2" s="1"/>
  <c r="BF1982" i="2" s="1"/>
  <c r="AR1978" i="2"/>
  <c r="AW1978" i="2" s="1"/>
  <c r="BF1978" i="2" s="1"/>
  <c r="AR1974" i="2"/>
  <c r="AW1974" i="2" s="1"/>
  <c r="BF1974" i="2" s="1"/>
  <c r="AR1970" i="2"/>
  <c r="AW1970" i="2" s="1"/>
  <c r="BF1970" i="2" s="1"/>
  <c r="AR1966" i="2"/>
  <c r="AW1966" i="2" s="1"/>
  <c r="BF1966" i="2" s="1"/>
  <c r="AR1962" i="2"/>
  <c r="AW1962" i="2" s="1"/>
  <c r="BF1962" i="2" s="1"/>
  <c r="AR1958" i="2"/>
  <c r="AW1958" i="2" s="1"/>
  <c r="BF1958" i="2" s="1"/>
  <c r="AR1954" i="2"/>
  <c r="AW1954" i="2" s="1"/>
  <c r="BF1954" i="2" s="1"/>
  <c r="AR1950" i="2"/>
  <c r="AW1950" i="2" s="1"/>
  <c r="BF1950" i="2" s="1"/>
  <c r="AR1946" i="2"/>
  <c r="AW1946" i="2" s="1"/>
  <c r="BF1946" i="2" s="1"/>
  <c r="AR1942" i="2"/>
  <c r="AW1942" i="2" s="1"/>
  <c r="BF1942" i="2" s="1"/>
  <c r="AR1938" i="2"/>
  <c r="AW1938" i="2" s="1"/>
  <c r="BF1938" i="2" s="1"/>
  <c r="AR1934" i="2"/>
  <c r="AW1934" i="2" s="1"/>
  <c r="BF1934" i="2" s="1"/>
  <c r="AR1930" i="2"/>
  <c r="AW1930" i="2" s="1"/>
  <c r="BF1930" i="2" s="1"/>
  <c r="AR1926" i="2"/>
  <c r="AW1926" i="2" s="1"/>
  <c r="BF1926" i="2" s="1"/>
  <c r="AR1922" i="2"/>
  <c r="AW1922" i="2" s="1"/>
  <c r="BF1922" i="2" s="1"/>
  <c r="AR1918" i="2"/>
  <c r="AW1918" i="2" s="1"/>
  <c r="BF1918" i="2" s="1"/>
  <c r="AR1914" i="2"/>
  <c r="AW1914" i="2" s="1"/>
  <c r="BF1914" i="2" s="1"/>
  <c r="AR1910" i="2"/>
  <c r="AW1910" i="2" s="1"/>
  <c r="BF1910" i="2" s="1"/>
  <c r="AR1906" i="2"/>
  <c r="AW1906" i="2" s="1"/>
  <c r="BF1906" i="2" s="1"/>
  <c r="AR1902" i="2"/>
  <c r="AW1902" i="2" s="1"/>
  <c r="BF1902" i="2" s="1"/>
  <c r="AR1898" i="2"/>
  <c r="AW1898" i="2" s="1"/>
  <c r="BF1898" i="2" s="1"/>
  <c r="AR1894" i="2"/>
  <c r="AW1894" i="2" s="1"/>
  <c r="BF1894" i="2" s="1"/>
  <c r="AR1890" i="2"/>
  <c r="AW1890" i="2" s="1"/>
  <c r="BF1890" i="2" s="1"/>
  <c r="AR1886" i="2"/>
  <c r="AW1886" i="2" s="1"/>
  <c r="BF1886" i="2" s="1"/>
  <c r="AR1882" i="2"/>
  <c r="AW1882" i="2" s="1"/>
  <c r="BF1882" i="2" s="1"/>
  <c r="AR1878" i="2"/>
  <c r="AW1878" i="2" s="1"/>
  <c r="BF1878" i="2" s="1"/>
  <c r="AR1874" i="2"/>
  <c r="AW1874" i="2" s="1"/>
  <c r="BF1874" i="2" s="1"/>
  <c r="AR1870" i="2"/>
  <c r="AW1870" i="2" s="1"/>
  <c r="BF1870" i="2" s="1"/>
  <c r="AR1866" i="2"/>
  <c r="AW1866" i="2" s="1"/>
  <c r="BF1866" i="2" s="1"/>
  <c r="AR1862" i="2"/>
  <c r="AW1862" i="2" s="1"/>
  <c r="BF1862" i="2" s="1"/>
  <c r="AM1834" i="2"/>
  <c r="W1834" i="2"/>
  <c r="AH1834" i="2"/>
  <c r="AC1834" i="2"/>
  <c r="AM1826" i="2"/>
  <c r="W1826" i="2"/>
  <c r="AH1826" i="2"/>
  <c r="AC1826" i="2"/>
  <c r="AM1818" i="2"/>
  <c r="W1818" i="2"/>
  <c r="AH1818" i="2"/>
  <c r="AC1818" i="2"/>
  <c r="AM1810" i="2"/>
  <c r="W1810" i="2"/>
  <c r="AH1810" i="2"/>
  <c r="AC1810" i="2"/>
  <c r="AM1802" i="2"/>
  <c r="W1802" i="2"/>
  <c r="AH1802" i="2"/>
  <c r="AC1802" i="2"/>
  <c r="AM1794" i="2"/>
  <c r="W1794" i="2"/>
  <c r="AH1794" i="2"/>
  <c r="AC1794" i="2"/>
  <c r="AM1786" i="2"/>
  <c r="W1786" i="2"/>
  <c r="AH1786" i="2"/>
  <c r="AC1786" i="2"/>
  <c r="AM1778" i="2"/>
  <c r="W1778" i="2"/>
  <c r="AH1778" i="2"/>
  <c r="AC1778" i="2"/>
  <c r="AM1770" i="2"/>
  <c r="W1770" i="2"/>
  <c r="AH1770" i="2"/>
  <c r="AC1770" i="2"/>
  <c r="AM1762" i="2"/>
  <c r="W1762" i="2"/>
  <c r="AH1762" i="2"/>
  <c r="AC1762" i="2"/>
  <c r="AR1706" i="2"/>
  <c r="AW1706" i="2" s="1"/>
  <c r="BF1706" i="2" s="1"/>
  <c r="AR1590" i="2"/>
  <c r="AW1590" i="2" s="1"/>
  <c r="BF1590" i="2" s="1"/>
  <c r="AR1582" i="2"/>
  <c r="AW1582" i="2" s="1"/>
  <c r="BF1582" i="2" s="1"/>
  <c r="AR1488" i="2"/>
  <c r="AW1488" i="2" s="1"/>
  <c r="BF1488" i="2" s="1"/>
  <c r="AH1505" i="2"/>
  <c r="AC1505" i="2"/>
  <c r="AM1505" i="2"/>
  <c r="W1505" i="2"/>
  <c r="AH1491" i="2"/>
  <c r="AC1491" i="2"/>
  <c r="AM1491" i="2"/>
  <c r="W1491" i="2"/>
  <c r="AR1486" i="2"/>
  <c r="AW1486" i="2" s="1"/>
  <c r="BF1486" i="2" s="1"/>
  <c r="AR1413" i="2"/>
  <c r="AW1413" i="2" s="1"/>
  <c r="BF1413" i="2" s="1"/>
  <c r="AH1377" i="2"/>
  <c r="AC1377" i="2"/>
  <c r="AM1377" i="2"/>
  <c r="W1377" i="2"/>
  <c r="AH1442" i="2"/>
  <c r="AM1442" i="2"/>
  <c r="W1442" i="2"/>
  <c r="AC1442" i="2"/>
  <c r="AH1290" i="2"/>
  <c r="AC1290" i="2"/>
  <c r="AM1290" i="2"/>
  <c r="W1290" i="2"/>
  <c r="AR1311" i="2"/>
  <c r="AW1311" i="2" s="1"/>
  <c r="BF1311" i="2" s="1"/>
  <c r="AM1183" i="2"/>
  <c r="W1183" i="2"/>
  <c r="AH1183" i="2"/>
  <c r="AC1183" i="2"/>
  <c r="AH1356" i="2"/>
  <c r="AC1356" i="2"/>
  <c r="AM1356" i="2"/>
  <c r="W1356" i="2"/>
  <c r="AR1228" i="2"/>
  <c r="AW1228" i="2" s="1"/>
  <c r="BF1228" i="2" s="1"/>
  <c r="AR1353" i="2"/>
  <c r="AW1353" i="2" s="1"/>
  <c r="BF1353" i="2" s="1"/>
  <c r="AM1225" i="2"/>
  <c r="W1225" i="2"/>
  <c r="AH1225" i="2"/>
  <c r="AC1225" i="2"/>
  <c r="AM1113" i="2"/>
  <c r="W1113" i="2"/>
  <c r="AC1113" i="2"/>
  <c r="AH1113" i="2"/>
  <c r="AR836" i="2"/>
  <c r="AW836" i="2" s="1"/>
  <c r="BF836" i="2" s="1"/>
  <c r="AR772" i="2"/>
  <c r="AW772" i="2" s="1"/>
  <c r="BF772" i="2" s="1"/>
  <c r="AS929" i="2"/>
  <c r="AX929" i="2" s="1"/>
  <c r="BG929" i="2" s="1"/>
  <c r="AS925" i="2"/>
  <c r="AX925" i="2" s="1"/>
  <c r="BG925" i="2" s="1"/>
  <c r="AS921" i="2"/>
  <c r="AX921" i="2" s="1"/>
  <c r="BG921" i="2" s="1"/>
  <c r="AS913" i="2"/>
  <c r="AX913" i="2" s="1"/>
  <c r="BG913" i="2" s="1"/>
  <c r="AS905" i="2"/>
  <c r="AX905" i="2" s="1"/>
  <c r="BG905" i="2" s="1"/>
  <c r="AS897" i="2"/>
  <c r="AX897" i="2" s="1"/>
  <c r="BG897" i="2" s="1"/>
  <c r="AS889" i="2"/>
  <c r="AX889" i="2" s="1"/>
  <c r="BG889" i="2" s="1"/>
  <c r="AM701" i="2"/>
  <c r="W701" i="2"/>
  <c r="AH701" i="2"/>
  <c r="AC701" i="2"/>
  <c r="AR669" i="2"/>
  <c r="AW669" i="2" s="1"/>
  <c r="BF669" i="2" s="1"/>
  <c r="AM637" i="2"/>
  <c r="W637" i="2"/>
  <c r="AH637" i="2"/>
  <c r="AC637" i="2"/>
  <c r="AD356" i="2"/>
  <c r="AN356" i="2"/>
  <c r="AI356" i="2"/>
  <c r="X356" i="2"/>
  <c r="AH238" i="2"/>
  <c r="AC238" i="2"/>
  <c r="AM238" i="2"/>
  <c r="W238" i="2"/>
  <c r="AR536" i="2"/>
  <c r="AW536" i="2" s="1"/>
  <c r="BF536" i="2" s="1"/>
  <c r="AR297" i="2"/>
  <c r="AW297" i="2" s="1"/>
  <c r="BF297" i="2" s="1"/>
  <c r="AR291" i="2"/>
  <c r="AW291" i="2" s="1"/>
  <c r="BF291" i="2" s="1"/>
  <c r="AR233" i="2"/>
  <c r="AW233" i="2" s="1"/>
  <c r="BF233" i="2" s="1"/>
  <c r="AR227" i="2"/>
  <c r="AW227" i="2" s="1"/>
  <c r="BF227" i="2" s="1"/>
  <c r="AR185" i="2"/>
  <c r="AW185" i="2" s="1"/>
  <c r="BF185" i="2" s="1"/>
  <c r="AR153" i="2"/>
  <c r="AW153" i="2" s="1"/>
  <c r="BF153" i="2" s="1"/>
  <c r="AR121" i="2"/>
  <c r="AW121" i="2" s="1"/>
  <c r="BF121" i="2" s="1"/>
  <c r="AR319" i="2"/>
  <c r="AW319" i="2" s="1"/>
  <c r="BF319" i="2" s="1"/>
  <c r="AR287" i="2"/>
  <c r="AW287" i="2" s="1"/>
  <c r="BF287" i="2" s="1"/>
  <c r="AR449" i="2"/>
  <c r="AW449" i="2" s="1"/>
  <c r="BF449" i="2" s="1"/>
  <c r="AR30" i="2"/>
  <c r="AW30" i="2" s="1"/>
  <c r="BF30" i="2" s="1"/>
  <c r="AR2221" i="2"/>
  <c r="AW2221" i="2" s="1"/>
  <c r="BF2221" i="2" s="1"/>
  <c r="AC2427" i="2"/>
  <c r="AM2427" i="2"/>
  <c r="W2427" i="2"/>
  <c r="AH2427" i="2"/>
  <c r="AC2411" i="2"/>
  <c r="AM2411" i="2"/>
  <c r="W2411" i="2"/>
  <c r="AH2411" i="2"/>
  <c r="AM2452" i="2"/>
  <c r="W2452" i="2"/>
  <c r="AH2452" i="2"/>
  <c r="AC2452" i="2"/>
  <c r="AC2469" i="2"/>
  <c r="AM2469" i="2"/>
  <c r="W2469" i="2"/>
  <c r="AH2469" i="2"/>
  <c r="AH2495" i="2"/>
  <c r="AM2495" i="2"/>
  <c r="W2495" i="2"/>
  <c r="AC2495" i="2"/>
  <c r="AH2487" i="2"/>
  <c r="AM2487" i="2"/>
  <c r="W2487" i="2"/>
  <c r="AC2487" i="2"/>
  <c r="AR2463" i="2"/>
  <c r="AW2463" i="2" s="1"/>
  <c r="BF2463" i="2" s="1"/>
  <c r="AM2440" i="2"/>
  <c r="W2440" i="2"/>
  <c r="AH2440" i="2"/>
  <c r="AC2440" i="2"/>
  <c r="AR2473" i="2"/>
  <c r="AW2473" i="2" s="1"/>
  <c r="BF2473" i="2" s="1"/>
  <c r="AR2104" i="2"/>
  <c r="AW2104" i="2" s="1"/>
  <c r="BF2104" i="2" s="1"/>
  <c r="AH2063" i="2"/>
  <c r="AC2063" i="2"/>
  <c r="AM2063" i="2"/>
  <c r="W2063" i="2"/>
  <c r="AM2044" i="2"/>
  <c r="W2044" i="2"/>
  <c r="AH2044" i="2"/>
  <c r="AC2044" i="2"/>
  <c r="AR1726" i="2"/>
  <c r="AW1726" i="2" s="1"/>
  <c r="BF1726" i="2" s="1"/>
  <c r="AS1759" i="2"/>
  <c r="AX1759" i="2" s="1"/>
  <c r="BG1759" i="2" s="1"/>
  <c r="AM1657" i="2"/>
  <c r="W1657" i="2"/>
  <c r="AH1657" i="2"/>
  <c r="AC1657" i="2"/>
  <c r="AR1593" i="2"/>
  <c r="AW1593" i="2" s="1"/>
  <c r="BF1593" i="2" s="1"/>
  <c r="AR1585" i="2"/>
  <c r="AW1585" i="2" s="1"/>
  <c r="BF1585" i="2" s="1"/>
  <c r="AR1567" i="2"/>
  <c r="AW1567" i="2" s="1"/>
  <c r="BF1567" i="2" s="1"/>
  <c r="AR1551" i="2"/>
  <c r="AW1551" i="2" s="1"/>
  <c r="BF1551" i="2" s="1"/>
  <c r="AR1440" i="2"/>
  <c r="AW1440" i="2" s="1"/>
  <c r="BF1440" i="2" s="1"/>
  <c r="AH1423" i="2"/>
  <c r="AC1423" i="2"/>
  <c r="AM1423" i="2"/>
  <c r="W1423" i="2"/>
  <c r="AH1407" i="2"/>
  <c r="AC1407" i="2"/>
  <c r="AM1407" i="2"/>
  <c r="W1407" i="2"/>
  <c r="AR1529" i="2"/>
  <c r="AW1529" i="2" s="1"/>
  <c r="BF1529" i="2" s="1"/>
  <c r="AR1615" i="2"/>
  <c r="AW1615" i="2" s="1"/>
  <c r="BF1615" i="2" s="1"/>
  <c r="AR1326" i="2"/>
  <c r="AW1326" i="2" s="1"/>
  <c r="BF1326" i="2" s="1"/>
  <c r="AH1198" i="2"/>
  <c r="AC1198" i="2"/>
  <c r="AM1198" i="2"/>
  <c r="W1198" i="2"/>
  <c r="AM1049" i="2"/>
  <c r="AC1049" i="2"/>
  <c r="AH1049" i="2"/>
  <c r="W1049" i="2"/>
  <c r="AR1079" i="2"/>
  <c r="AW1079" i="2" s="1"/>
  <c r="BF1079" i="2" s="1"/>
  <c r="AH1264" i="2"/>
  <c r="AC1264" i="2"/>
  <c r="AM1264" i="2"/>
  <c r="W1264" i="2"/>
  <c r="AM864" i="2"/>
  <c r="W864" i="2"/>
  <c r="AC864" i="2"/>
  <c r="AH864" i="2"/>
  <c r="AM800" i="2"/>
  <c r="W800" i="2"/>
  <c r="AC800" i="2"/>
  <c r="AH800" i="2"/>
  <c r="AM736" i="2"/>
  <c r="W736" i="2"/>
  <c r="AC736" i="2"/>
  <c r="AH736" i="2"/>
  <c r="AH278" i="2"/>
  <c r="AC278" i="2"/>
  <c r="AM278" i="2"/>
  <c r="W278" i="2"/>
  <c r="AR277" i="2"/>
  <c r="AW277" i="2" s="1"/>
  <c r="BF277" i="2" s="1"/>
  <c r="AM435" i="2"/>
  <c r="AH435" i="2"/>
  <c r="AC435" i="2"/>
  <c r="W435" i="2"/>
  <c r="AH74" i="2"/>
  <c r="AM74" i="2"/>
  <c r="W74" i="2"/>
  <c r="AC74" i="2"/>
  <c r="AH42" i="2"/>
  <c r="AM42" i="2"/>
  <c r="W42" i="2"/>
  <c r="AC42" i="2"/>
  <c r="AH10" i="2"/>
  <c r="AM10" i="2"/>
  <c r="W10" i="2"/>
  <c r="AC10" i="2"/>
  <c r="AR306" i="2"/>
  <c r="AW306" i="2" s="1"/>
  <c r="BF306" i="2" s="1"/>
  <c r="AR292" i="2"/>
  <c r="AW292" i="2" s="1"/>
  <c r="BF292" i="2" s="1"/>
  <c r="AH242" i="2"/>
  <c r="AM242" i="2"/>
  <c r="W242" i="2"/>
  <c r="AC242" i="2"/>
  <c r="AH228" i="2"/>
  <c r="AC228" i="2"/>
  <c r="AM228" i="2"/>
  <c r="W228" i="2"/>
  <c r="AR399" i="2"/>
  <c r="AW399" i="2" s="1"/>
  <c r="BF399" i="2" s="1"/>
  <c r="AR391" i="2"/>
  <c r="AW391" i="2" s="1"/>
  <c r="BF391" i="2" s="1"/>
  <c r="AR383" i="2"/>
  <c r="AW383" i="2" s="1"/>
  <c r="BF383" i="2" s="1"/>
  <c r="AR375" i="2"/>
  <c r="AW375" i="2" s="1"/>
  <c r="BF375" i="2" s="1"/>
  <c r="AR367" i="2"/>
  <c r="AW367" i="2" s="1"/>
  <c r="BF367" i="2" s="1"/>
  <c r="AR359" i="2"/>
  <c r="AW359" i="2" s="1"/>
  <c r="BF359" i="2" s="1"/>
  <c r="AR351" i="2"/>
  <c r="AW351" i="2" s="1"/>
  <c r="BF351" i="2" s="1"/>
  <c r="AR343" i="2"/>
  <c r="AW343" i="2" s="1"/>
  <c r="BF343" i="2" s="1"/>
  <c r="AR335" i="2"/>
  <c r="AW335" i="2" s="1"/>
  <c r="BF335" i="2" s="1"/>
  <c r="AR327" i="2"/>
  <c r="AW327" i="2" s="1"/>
  <c r="BF327" i="2" s="1"/>
  <c r="AR191" i="2"/>
  <c r="AW191" i="2" s="1"/>
  <c r="BF191" i="2" s="1"/>
  <c r="AR2490" i="2"/>
  <c r="AW2490" i="2" s="1"/>
  <c r="BF2490" i="2" s="1"/>
  <c r="AR2474" i="2"/>
  <c r="AW2474" i="2" s="1"/>
  <c r="BF2474" i="2" s="1"/>
  <c r="AC2459" i="2"/>
  <c r="AM2459" i="2"/>
  <c r="W2459" i="2"/>
  <c r="AH2459" i="2"/>
  <c r="AC2443" i="2"/>
  <c r="AM2443" i="2"/>
  <c r="W2443" i="2"/>
  <c r="AH2443" i="2"/>
  <c r="AR2406" i="2"/>
  <c r="AW2406" i="2" s="1"/>
  <c r="BF2406" i="2" s="1"/>
  <c r="AR2480" i="2"/>
  <c r="AW2480" i="2" s="1"/>
  <c r="BF2480" i="2" s="1"/>
  <c r="AM2454" i="2"/>
  <c r="W2454" i="2"/>
  <c r="AH2454" i="2"/>
  <c r="AC2454" i="2"/>
  <c r="AC2419" i="2"/>
  <c r="AM2419" i="2"/>
  <c r="W2419" i="2"/>
  <c r="AH2419" i="2"/>
  <c r="AM2460" i="2"/>
  <c r="W2460" i="2"/>
  <c r="AH2460" i="2"/>
  <c r="AC2460" i="2"/>
  <c r="AR2314" i="2"/>
  <c r="AW2314" i="2" s="1"/>
  <c r="BF2314" i="2" s="1"/>
  <c r="AR2310" i="2"/>
  <c r="AW2310" i="2" s="1"/>
  <c r="BF2310" i="2" s="1"/>
  <c r="AR2306" i="2"/>
  <c r="AW2306" i="2" s="1"/>
  <c r="BF2306" i="2" s="1"/>
  <c r="AR2302" i="2"/>
  <c r="AW2302" i="2" s="1"/>
  <c r="BF2302" i="2" s="1"/>
  <c r="AR2298" i="2"/>
  <c r="AW2298" i="2" s="1"/>
  <c r="BF2298" i="2" s="1"/>
  <c r="AR2294" i="2"/>
  <c r="AW2294" i="2" s="1"/>
  <c r="BF2294" i="2" s="1"/>
  <c r="AR2290" i="2"/>
  <c r="AW2290" i="2" s="1"/>
  <c r="BF2290" i="2" s="1"/>
  <c r="AR2286" i="2"/>
  <c r="AW2286" i="2" s="1"/>
  <c r="BF2286" i="2" s="1"/>
  <c r="AR2282" i="2"/>
  <c r="AW2282" i="2" s="1"/>
  <c r="BF2282" i="2" s="1"/>
  <c r="AR2278" i="2"/>
  <c r="AW2278" i="2" s="1"/>
  <c r="BF2278" i="2" s="1"/>
  <c r="AR2274" i="2"/>
  <c r="AW2274" i="2" s="1"/>
  <c r="BF2274" i="2" s="1"/>
  <c r="AR2270" i="2"/>
  <c r="AW2270" i="2" s="1"/>
  <c r="BF2270" i="2" s="1"/>
  <c r="AR2266" i="2"/>
  <c r="AW2266" i="2" s="1"/>
  <c r="BF2266" i="2" s="1"/>
  <c r="AR2262" i="2"/>
  <c r="AW2262" i="2" s="1"/>
  <c r="BF2262" i="2" s="1"/>
  <c r="AR2258" i="2"/>
  <c r="AW2258" i="2" s="1"/>
  <c r="BF2258" i="2" s="1"/>
  <c r="AR2254" i="2"/>
  <c r="AW2254" i="2" s="1"/>
  <c r="BF2254" i="2" s="1"/>
  <c r="AR2250" i="2"/>
  <c r="AW2250" i="2" s="1"/>
  <c r="BF2250" i="2" s="1"/>
  <c r="AR2246" i="2"/>
  <c r="AW2246" i="2" s="1"/>
  <c r="BF2246" i="2" s="1"/>
  <c r="AR2242" i="2"/>
  <c r="AW2242" i="2" s="1"/>
  <c r="BF2242" i="2" s="1"/>
  <c r="AR2238" i="2"/>
  <c r="AW2238" i="2" s="1"/>
  <c r="BF2238" i="2" s="1"/>
  <c r="AR2234" i="2"/>
  <c r="AW2234" i="2" s="1"/>
  <c r="BF2234" i="2" s="1"/>
  <c r="AR2230" i="2"/>
  <c r="AW2230" i="2" s="1"/>
  <c r="BF2230" i="2" s="1"/>
  <c r="AR2226" i="2"/>
  <c r="AW2226" i="2" s="1"/>
  <c r="BF2226" i="2" s="1"/>
  <c r="AR2222" i="2"/>
  <c r="AW2222" i="2" s="1"/>
  <c r="BF2222" i="2" s="1"/>
  <c r="AR2218" i="2"/>
  <c r="AW2218" i="2" s="1"/>
  <c r="BF2218" i="2" s="1"/>
  <c r="AR2214" i="2"/>
  <c r="AW2214" i="2" s="1"/>
  <c r="BF2214" i="2" s="1"/>
  <c r="AR2210" i="2"/>
  <c r="AW2210" i="2" s="1"/>
  <c r="BF2210" i="2" s="1"/>
  <c r="AR2206" i="2"/>
  <c r="AW2206" i="2" s="1"/>
  <c r="BF2206" i="2" s="1"/>
  <c r="AR2202" i="2"/>
  <c r="AW2202" i="2" s="1"/>
  <c r="BF2202" i="2" s="1"/>
  <c r="AM2162" i="2"/>
  <c r="W2162" i="2"/>
  <c r="AH2162" i="2"/>
  <c r="AC2162" i="2"/>
  <c r="AM2113" i="2"/>
  <c r="W2113" i="2"/>
  <c r="AH2113" i="2"/>
  <c r="AC2113" i="2"/>
  <c r="AH2007" i="2"/>
  <c r="AC2007" i="2"/>
  <c r="AM2007" i="2"/>
  <c r="W2007" i="2"/>
  <c r="AR1975" i="2"/>
  <c r="AW1975" i="2" s="1"/>
  <c r="BF1975" i="2" s="1"/>
  <c r="AR2005" i="2"/>
  <c r="AW2005" i="2" s="1"/>
  <c r="BF2005" i="2" s="1"/>
  <c r="AH1973" i="2"/>
  <c r="AC1973" i="2"/>
  <c r="AM1973" i="2"/>
  <c r="W1973" i="2"/>
  <c r="AR1941" i="2"/>
  <c r="AW1941" i="2" s="1"/>
  <c r="BF1941" i="2" s="1"/>
  <c r="AH1909" i="2"/>
  <c r="AC1909" i="2"/>
  <c r="AM1909" i="2"/>
  <c r="W1909" i="2"/>
  <c r="AR1877" i="2"/>
  <c r="AW1877" i="2" s="1"/>
  <c r="BF1877" i="2" s="1"/>
  <c r="AM1856" i="2"/>
  <c r="W1856" i="2"/>
  <c r="AH1856" i="2"/>
  <c r="AC1856" i="2"/>
  <c r="AR1646" i="2"/>
  <c r="AW1646" i="2" s="1"/>
  <c r="BF1646" i="2" s="1"/>
  <c r="AR1461" i="2"/>
  <c r="AW1461" i="2" s="1"/>
  <c r="BF1461" i="2" s="1"/>
  <c r="AH1541" i="2"/>
  <c r="AC1541" i="2"/>
  <c r="AM1541" i="2"/>
  <c r="W1541" i="2"/>
  <c r="AR1534" i="2"/>
  <c r="AW1534" i="2" s="1"/>
  <c r="BF1534" i="2" s="1"/>
  <c r="AM1659" i="2"/>
  <c r="W1659" i="2"/>
  <c r="AH1659" i="2"/>
  <c r="AC1659" i="2"/>
  <c r="AR1595" i="2"/>
  <c r="AW1595" i="2" s="1"/>
  <c r="BF1595" i="2" s="1"/>
  <c r="AR1587" i="2"/>
  <c r="AW1587" i="2" s="1"/>
  <c r="BF1587" i="2" s="1"/>
  <c r="AR1549" i="2"/>
  <c r="AW1549" i="2" s="1"/>
  <c r="BF1549" i="2" s="1"/>
  <c r="AR1455" i="2"/>
  <c r="AW1455" i="2" s="1"/>
  <c r="BF1455" i="2" s="1"/>
  <c r="AR1374" i="2"/>
  <c r="AW1374" i="2" s="1"/>
  <c r="BF1374" i="2" s="1"/>
  <c r="AR1346" i="2"/>
  <c r="AW1346" i="2" s="1"/>
  <c r="BF1346" i="2" s="1"/>
  <c r="AH1218" i="2"/>
  <c r="AC1218" i="2"/>
  <c r="AM1218" i="2"/>
  <c r="W1218" i="2"/>
  <c r="AM1351" i="2"/>
  <c r="W1351" i="2"/>
  <c r="AH1351" i="2"/>
  <c r="AC1351" i="2"/>
  <c r="AM1287" i="2"/>
  <c r="W1287" i="2"/>
  <c r="AH1287" i="2"/>
  <c r="AC1287" i="2"/>
  <c r="AM1223" i="2"/>
  <c r="W1223" i="2"/>
  <c r="AH1223" i="2"/>
  <c r="AC1223" i="2"/>
  <c r="AM1107" i="2"/>
  <c r="W1107" i="2"/>
  <c r="AC1107" i="2"/>
  <c r="AH1107" i="2"/>
  <c r="AH1348" i="2"/>
  <c r="AC1348" i="2"/>
  <c r="AM1348" i="2"/>
  <c r="W1348" i="2"/>
  <c r="AR1220" i="2"/>
  <c r="AW1220" i="2" s="1"/>
  <c r="BF1220" i="2" s="1"/>
  <c r="AS1151" i="2"/>
  <c r="AS1143" i="2"/>
  <c r="AX1143" i="2" s="1"/>
  <c r="BG1143" i="2" s="1"/>
  <c r="AR828" i="2"/>
  <c r="AW828" i="2" s="1"/>
  <c r="BF828" i="2" s="1"/>
  <c r="AR764" i="2"/>
  <c r="AW764" i="2" s="1"/>
  <c r="BF764" i="2" s="1"/>
  <c r="AR1152" i="2"/>
  <c r="AW1152" i="2" s="1"/>
  <c r="BF1152" i="2" s="1"/>
  <c r="AR1148" i="2"/>
  <c r="AW1148" i="2" s="1"/>
  <c r="BF1148" i="2" s="1"/>
  <c r="AR1144" i="2"/>
  <c r="AW1144" i="2" s="1"/>
  <c r="BF1144" i="2" s="1"/>
  <c r="AM1038" i="2"/>
  <c r="W1038" i="2"/>
  <c r="AC1038" i="2"/>
  <c r="AH1038" i="2"/>
  <c r="AM1034" i="2"/>
  <c r="W1034" i="2"/>
  <c r="AC1034" i="2"/>
  <c r="AH1034" i="2"/>
  <c r="AM1030" i="2"/>
  <c r="W1030" i="2"/>
  <c r="AC1030" i="2"/>
  <c r="AH1030" i="2"/>
  <c r="AM1026" i="2"/>
  <c r="W1026" i="2"/>
  <c r="AC1026" i="2"/>
  <c r="AH1026" i="2"/>
  <c r="AM1022" i="2"/>
  <c r="W1022" i="2"/>
  <c r="AC1022" i="2"/>
  <c r="AH1022" i="2"/>
  <c r="AM1018" i="2"/>
  <c r="W1018" i="2"/>
  <c r="AC1018" i="2"/>
  <c r="AH1018" i="2"/>
  <c r="AM1014" i="2"/>
  <c r="W1014" i="2"/>
  <c r="AC1014" i="2"/>
  <c r="AH1014" i="2"/>
  <c r="AM1010" i="2"/>
  <c r="W1010" i="2"/>
  <c r="AC1010" i="2"/>
  <c r="AH1010" i="2"/>
  <c r="AM1006" i="2"/>
  <c r="W1006" i="2"/>
  <c r="AC1006" i="2"/>
  <c r="AH1006" i="2"/>
  <c r="AM1002" i="2"/>
  <c r="W1002" i="2"/>
  <c r="AC1002" i="2"/>
  <c r="AH1002" i="2"/>
  <c r="AM998" i="2"/>
  <c r="W998" i="2"/>
  <c r="AC998" i="2"/>
  <c r="AH998" i="2"/>
  <c r="AM994" i="2"/>
  <c r="W994" i="2"/>
  <c r="AC994" i="2"/>
  <c r="AH994" i="2"/>
  <c r="AM990" i="2"/>
  <c r="W990" i="2"/>
  <c r="AC990" i="2"/>
  <c r="AH990" i="2"/>
  <c r="AM986" i="2"/>
  <c r="W986" i="2"/>
  <c r="AC986" i="2"/>
  <c r="AH986" i="2"/>
  <c r="AM982" i="2"/>
  <c r="W982" i="2"/>
  <c r="AC982" i="2"/>
  <c r="AH982" i="2"/>
  <c r="AM978" i="2"/>
  <c r="W978" i="2"/>
  <c r="AC978" i="2"/>
  <c r="AH978" i="2"/>
  <c r="AM974" i="2"/>
  <c r="W974" i="2"/>
  <c r="AC974" i="2"/>
  <c r="AH974" i="2"/>
  <c r="AM970" i="2"/>
  <c r="W970" i="2"/>
  <c r="AC970" i="2"/>
  <c r="AH970" i="2"/>
  <c r="AM966" i="2"/>
  <c r="W966" i="2"/>
  <c r="AC966" i="2"/>
  <c r="AH966" i="2"/>
  <c r="AM962" i="2"/>
  <c r="W962" i="2"/>
  <c r="AC962" i="2"/>
  <c r="AH962" i="2"/>
  <c r="AM958" i="2"/>
  <c r="W958" i="2"/>
  <c r="AC958" i="2"/>
  <c r="AH958" i="2"/>
  <c r="AM954" i="2"/>
  <c r="W954" i="2"/>
  <c r="AC954" i="2"/>
  <c r="AH954" i="2"/>
  <c r="AM950" i="2"/>
  <c r="W950" i="2"/>
  <c r="AC950" i="2"/>
  <c r="AH950" i="2"/>
  <c r="AM946" i="2"/>
  <c r="W946" i="2"/>
  <c r="AC946" i="2"/>
  <c r="AH946" i="2"/>
  <c r="AM942" i="2"/>
  <c r="W942" i="2"/>
  <c r="AC942" i="2"/>
  <c r="AH942" i="2"/>
  <c r="AM938" i="2"/>
  <c r="W938" i="2"/>
  <c r="AC938" i="2"/>
  <c r="AH938" i="2"/>
  <c r="AR707" i="2"/>
  <c r="AW707" i="2" s="1"/>
  <c r="BF707" i="2" s="1"/>
  <c r="AR691" i="2"/>
  <c r="AW691" i="2" s="1"/>
  <c r="BF691" i="2" s="1"/>
  <c r="AR675" i="2"/>
  <c r="AW675" i="2" s="1"/>
  <c r="BF675" i="2" s="1"/>
  <c r="AR659" i="2"/>
  <c r="AW659" i="2" s="1"/>
  <c r="BF659" i="2" s="1"/>
  <c r="AR643" i="2"/>
  <c r="AW643" i="2" s="1"/>
  <c r="BF643" i="2" s="1"/>
  <c r="AR627" i="2"/>
  <c r="AW627" i="2" s="1"/>
  <c r="BF627" i="2" s="1"/>
  <c r="AR521" i="2"/>
  <c r="AW521" i="2" s="1"/>
  <c r="BF521" i="2" s="1"/>
  <c r="AD372" i="2"/>
  <c r="AN372" i="2"/>
  <c r="AI372" i="2"/>
  <c r="X372" i="2"/>
  <c r="AH318" i="2"/>
  <c r="AC318" i="2"/>
  <c r="AM318" i="2"/>
  <c r="W318" i="2"/>
  <c r="AR254" i="2"/>
  <c r="AW254" i="2" s="1"/>
  <c r="BF254" i="2" s="1"/>
  <c r="AH535" i="2"/>
  <c r="AC535" i="2"/>
  <c r="AM535" i="2"/>
  <c r="W535" i="2"/>
  <c r="AR533" i="2"/>
  <c r="AW533" i="2" s="1"/>
  <c r="BF533" i="2" s="1"/>
  <c r="AM313" i="2"/>
  <c r="AH313" i="2"/>
  <c r="AC313" i="2"/>
  <c r="W313" i="2"/>
  <c r="AR298" i="2"/>
  <c r="AW298" i="2" s="1"/>
  <c r="BF298" i="2" s="1"/>
  <c r="AH234" i="2"/>
  <c r="AM234" i="2"/>
  <c r="W234" i="2"/>
  <c r="AC234" i="2"/>
  <c r="AH220" i="2"/>
  <c r="AC220" i="2"/>
  <c r="W220" i="2"/>
  <c r="AM220" i="2"/>
  <c r="AR182" i="2"/>
  <c r="AW182" i="2" s="1"/>
  <c r="BF182" i="2" s="1"/>
  <c r="AH150" i="2"/>
  <c r="AM150" i="2"/>
  <c r="W150" i="2"/>
  <c r="AC150" i="2"/>
  <c r="AR118" i="2"/>
  <c r="AW118" i="2" s="1"/>
  <c r="BF118" i="2" s="1"/>
  <c r="AH34" i="2"/>
  <c r="AM34" i="2"/>
  <c r="W34" i="2"/>
  <c r="AC34" i="2"/>
  <c r="AR456" i="2"/>
  <c r="AW456" i="2" s="1"/>
  <c r="BF456" i="2" s="1"/>
  <c r="AR426" i="2"/>
  <c r="AW426" i="2" s="1"/>
  <c r="BF426" i="2" s="1"/>
  <c r="AR384" i="2"/>
  <c r="AW384" i="2" s="1"/>
  <c r="BF384" i="2" s="1"/>
  <c r="AR352" i="2"/>
  <c r="AW352" i="2" s="1"/>
  <c r="BF352" i="2" s="1"/>
  <c r="AS204" i="2"/>
  <c r="AX204" i="2" s="1"/>
  <c r="BG204" i="2" s="1"/>
  <c r="AS188" i="2"/>
  <c r="AX188" i="2" s="1"/>
  <c r="BG188" i="2" s="1"/>
  <c r="AS172" i="2"/>
  <c r="AX172" i="2" s="1"/>
  <c r="BG172" i="2" s="1"/>
  <c r="AS156" i="2"/>
  <c r="AX156" i="2" s="1"/>
  <c r="BG156" i="2" s="1"/>
  <c r="AS140" i="2"/>
  <c r="AX140" i="2" s="1"/>
  <c r="BG140" i="2" s="1"/>
  <c r="AS124" i="2"/>
  <c r="AX124" i="2" s="1"/>
  <c r="BG124" i="2" s="1"/>
  <c r="AS108" i="2"/>
  <c r="AX108" i="2" s="1"/>
  <c r="BG108" i="2" s="1"/>
  <c r="AR50" i="2"/>
  <c r="AW50" i="2" s="1"/>
  <c r="BF50" i="2" s="1"/>
  <c r="AM97" i="2"/>
  <c r="AH97" i="2"/>
  <c r="AC97" i="2"/>
  <c r="W97" i="2"/>
  <c r="AM87" i="2"/>
  <c r="W87" i="2"/>
  <c r="AC87" i="2"/>
  <c r="AH87" i="2"/>
  <c r="AR2368" i="2"/>
  <c r="AW2368" i="2" s="1"/>
  <c r="BF2368" i="2" s="1"/>
  <c r="AR2336" i="2"/>
  <c r="AW2336" i="2" s="1"/>
  <c r="BF2336" i="2" s="1"/>
  <c r="AR2320" i="2"/>
  <c r="AW2320" i="2" s="1"/>
  <c r="BF2320" i="2" s="1"/>
  <c r="AR2157" i="2"/>
  <c r="AW2157" i="2" s="1"/>
  <c r="BF2157" i="2" s="1"/>
  <c r="AR2142" i="2"/>
  <c r="AW2142" i="2" s="1"/>
  <c r="BF2142" i="2" s="1"/>
  <c r="AR2182" i="2"/>
  <c r="AW2182" i="2" s="1"/>
  <c r="BF2182" i="2" s="1"/>
  <c r="AR2183" i="2"/>
  <c r="AW2183" i="2" s="1"/>
  <c r="BF2183" i="2" s="1"/>
  <c r="AH2103" i="2"/>
  <c r="AC2103" i="2"/>
  <c r="AM2103" i="2"/>
  <c r="W2103" i="2"/>
  <c r="AR1832" i="2"/>
  <c r="AW1832" i="2" s="1"/>
  <c r="BF1832" i="2" s="1"/>
  <c r="AH1734" i="2"/>
  <c r="AM1734" i="2"/>
  <c r="W1734" i="2"/>
  <c r="AC1734" i="2"/>
  <c r="AH1670" i="2"/>
  <c r="AM1670" i="2"/>
  <c r="W1670" i="2"/>
  <c r="AC1670" i="2"/>
  <c r="AR1626" i="2"/>
  <c r="AW1626" i="2" s="1"/>
  <c r="BF1626" i="2" s="1"/>
  <c r="AR1601" i="2"/>
  <c r="AW1601" i="2" s="1"/>
  <c r="BF1601" i="2" s="1"/>
  <c r="AR1481" i="2"/>
  <c r="AW1481" i="2" s="1"/>
  <c r="BF1481" i="2" s="1"/>
  <c r="AR1477" i="2"/>
  <c r="AW1477" i="2" s="1"/>
  <c r="BF1477" i="2" s="1"/>
  <c r="AR1632" i="2"/>
  <c r="AW1632" i="2" s="1"/>
  <c r="BF1632" i="2" s="1"/>
  <c r="AH1539" i="2"/>
  <c r="AC1539" i="2"/>
  <c r="AM1539" i="2"/>
  <c r="W1539" i="2"/>
  <c r="AR1507" i="2"/>
  <c r="AW1507" i="2" s="1"/>
  <c r="BF1507" i="2" s="1"/>
  <c r="AR1497" i="2"/>
  <c r="AW1497" i="2" s="1"/>
  <c r="BF1497" i="2" s="1"/>
  <c r="AR1366" i="2"/>
  <c r="AW1366" i="2" s="1"/>
  <c r="BF1366" i="2" s="1"/>
  <c r="AH1238" i="2"/>
  <c r="AC1238" i="2"/>
  <c r="AM1238" i="2"/>
  <c r="W1238" i="2"/>
  <c r="AR1323" i="2"/>
  <c r="AW1323" i="2" s="1"/>
  <c r="BF1323" i="2" s="1"/>
  <c r="AR1259" i="2"/>
  <c r="AW1259" i="2" s="1"/>
  <c r="BF1259" i="2" s="1"/>
  <c r="AR1195" i="2"/>
  <c r="AW1195" i="2" s="1"/>
  <c r="BF1195" i="2" s="1"/>
  <c r="AM1119" i="2"/>
  <c r="W1119" i="2"/>
  <c r="AC1119" i="2"/>
  <c r="AH1119" i="2"/>
  <c r="AM1055" i="2"/>
  <c r="W1055" i="2"/>
  <c r="AC1055" i="2"/>
  <c r="AH1055" i="2"/>
  <c r="AH1320" i="2"/>
  <c r="AC1320" i="2"/>
  <c r="AM1320" i="2"/>
  <c r="W1320" i="2"/>
  <c r="AR1192" i="2"/>
  <c r="AW1192" i="2" s="1"/>
  <c r="BF1192" i="2" s="1"/>
  <c r="AR1101" i="2"/>
  <c r="AW1101" i="2" s="1"/>
  <c r="BF1101" i="2" s="1"/>
  <c r="AR1136" i="2"/>
  <c r="AW1136" i="2" s="1"/>
  <c r="BF1136" i="2" s="1"/>
  <c r="AR1128" i="2"/>
  <c r="AW1128" i="2" s="1"/>
  <c r="BF1128" i="2" s="1"/>
  <c r="AR1120" i="2"/>
  <c r="AW1120" i="2" s="1"/>
  <c r="BF1120" i="2" s="1"/>
  <c r="AR1112" i="2"/>
  <c r="AW1112" i="2" s="1"/>
  <c r="BF1112" i="2" s="1"/>
  <c r="AR1104" i="2"/>
  <c r="AW1104" i="2" s="1"/>
  <c r="BF1104" i="2" s="1"/>
  <c r="AR1096" i="2"/>
  <c r="AW1096" i="2" s="1"/>
  <c r="BF1096" i="2" s="1"/>
  <c r="AR1088" i="2"/>
  <c r="AW1088" i="2" s="1"/>
  <c r="BF1088" i="2" s="1"/>
  <c r="AR1080" i="2"/>
  <c r="AW1080" i="2" s="1"/>
  <c r="BF1080" i="2" s="1"/>
  <c r="AR1072" i="2"/>
  <c r="AW1072" i="2" s="1"/>
  <c r="BF1072" i="2" s="1"/>
  <c r="AR1064" i="2"/>
  <c r="AW1064" i="2" s="1"/>
  <c r="BF1064" i="2" s="1"/>
  <c r="AR1056" i="2"/>
  <c r="AW1056" i="2" s="1"/>
  <c r="BF1056" i="2" s="1"/>
  <c r="AR1041" i="2"/>
  <c r="AW1041" i="2" s="1"/>
  <c r="BF1041" i="2" s="1"/>
  <c r="AR494" i="2"/>
  <c r="AW494" i="2" s="1"/>
  <c r="BF494" i="2" s="1"/>
  <c r="AH478" i="2"/>
  <c r="AC478" i="2"/>
  <c r="AM478" i="2"/>
  <c r="W478" i="2"/>
  <c r="AR462" i="2"/>
  <c r="AW462" i="2" s="1"/>
  <c r="BF462" i="2" s="1"/>
  <c r="AH446" i="2"/>
  <c r="AC446" i="2"/>
  <c r="AM446" i="2"/>
  <c r="W446" i="2"/>
  <c r="AR430" i="2"/>
  <c r="AW430" i="2" s="1"/>
  <c r="BF430" i="2" s="1"/>
  <c r="AH414" i="2"/>
  <c r="AC414" i="2"/>
  <c r="AM414" i="2"/>
  <c r="W414" i="2"/>
  <c r="AR262" i="2"/>
  <c r="AW262" i="2" s="1"/>
  <c r="BF262" i="2" s="1"/>
  <c r="AR419" i="2"/>
  <c r="AW419" i="2" s="1"/>
  <c r="BF419" i="2" s="1"/>
  <c r="AR249" i="2"/>
  <c r="AW249" i="2" s="1"/>
  <c r="BF249" i="2" s="1"/>
  <c r="AR243" i="2"/>
  <c r="AW243" i="2" s="1"/>
  <c r="BF243" i="2" s="1"/>
  <c r="AR407" i="2"/>
  <c r="AW407" i="2" s="1"/>
  <c r="BF407" i="2" s="1"/>
  <c r="AR197" i="2"/>
  <c r="AW197" i="2" s="1"/>
  <c r="BF197" i="2" s="1"/>
  <c r="AM133" i="2"/>
  <c r="AH133" i="2"/>
  <c r="AC133" i="2"/>
  <c r="W133" i="2"/>
  <c r="AR455" i="2"/>
  <c r="AW455" i="2" s="1"/>
  <c r="BF455" i="2" s="1"/>
  <c r="AH210" i="2"/>
  <c r="AM210" i="2"/>
  <c r="W210" i="2"/>
  <c r="AC210" i="2"/>
  <c r="AH208" i="2"/>
  <c r="AC208" i="2"/>
  <c r="AM208" i="2"/>
  <c r="W208" i="2"/>
  <c r="AR174" i="2"/>
  <c r="AW174" i="2" s="1"/>
  <c r="BF174" i="2" s="1"/>
  <c r="AH142" i="2"/>
  <c r="AM142" i="2"/>
  <c r="W142" i="2"/>
  <c r="AC142" i="2"/>
  <c r="AR110" i="2"/>
  <c r="AW110" i="2" s="1"/>
  <c r="BF110" i="2" s="1"/>
  <c r="AR159" i="2"/>
  <c r="AW159" i="2" s="1"/>
  <c r="BF159" i="2" s="1"/>
  <c r="AR2309" i="2"/>
  <c r="AW2309" i="2" s="1"/>
  <c r="BF2309" i="2" s="1"/>
  <c r="AR2301" i="2"/>
  <c r="AW2301" i="2" s="1"/>
  <c r="BF2301" i="2" s="1"/>
  <c r="AC2177" i="2"/>
  <c r="AM2177" i="2"/>
  <c r="W2177" i="2"/>
  <c r="AH2177" i="2"/>
  <c r="AR2076" i="2"/>
  <c r="AW2076" i="2" s="1"/>
  <c r="BF2076" i="2" s="1"/>
  <c r="AH2089" i="2"/>
  <c r="AC2089" i="2"/>
  <c r="AM2089" i="2"/>
  <c r="W2089" i="2"/>
  <c r="AR2057" i="2"/>
  <c r="AW2057" i="2" s="1"/>
  <c r="BF2057" i="2" s="1"/>
  <c r="AH1722" i="2"/>
  <c r="AM1722" i="2"/>
  <c r="W1722" i="2"/>
  <c r="AC1722" i="2"/>
  <c r="AS1795" i="2"/>
  <c r="AX1795" i="2" s="1"/>
  <c r="BG1795" i="2" s="1"/>
  <c r="AR1645" i="2"/>
  <c r="AW1645" i="2" s="1"/>
  <c r="BF1645" i="2" s="1"/>
  <c r="AR1474" i="2"/>
  <c r="AW1474" i="2" s="1"/>
  <c r="BF1474" i="2" s="1"/>
  <c r="AR1470" i="2"/>
  <c r="AW1470" i="2" s="1"/>
  <c r="BF1470" i="2" s="1"/>
  <c r="AR1466" i="2"/>
  <c r="AW1466" i="2" s="1"/>
  <c r="BF1466" i="2" s="1"/>
  <c r="AR1462" i="2"/>
  <c r="AW1462" i="2" s="1"/>
  <c r="BF1462" i="2" s="1"/>
  <c r="AR1458" i="2"/>
  <c r="AW1458" i="2" s="1"/>
  <c r="BF1458" i="2" s="1"/>
  <c r="AR1454" i="2"/>
  <c r="AW1454" i="2" s="1"/>
  <c r="BF1454" i="2" s="1"/>
  <c r="AR1450" i="2"/>
  <c r="AW1450" i="2" s="1"/>
  <c r="BF1450" i="2" s="1"/>
  <c r="AR1446" i="2"/>
  <c r="AW1446" i="2" s="1"/>
  <c r="BF1446" i="2" s="1"/>
  <c r="AH1533" i="2"/>
  <c r="AC1533" i="2"/>
  <c r="AM1533" i="2"/>
  <c r="W1533" i="2"/>
  <c r="AR1526" i="2"/>
  <c r="AW1526" i="2" s="1"/>
  <c r="BF1526" i="2" s="1"/>
  <c r="AR1522" i="2"/>
  <c r="AW1522" i="2" s="1"/>
  <c r="BF1522" i="2" s="1"/>
  <c r="AR1518" i="2"/>
  <c r="AW1518" i="2" s="1"/>
  <c r="BF1518" i="2" s="1"/>
  <c r="AR1635" i="2"/>
  <c r="AW1635" i="2" s="1"/>
  <c r="BF1635" i="2" s="1"/>
  <c r="AR1504" i="2"/>
  <c r="AW1504" i="2" s="1"/>
  <c r="BF1504" i="2" s="1"/>
  <c r="AH1475" i="2"/>
  <c r="AC1475" i="2"/>
  <c r="AM1475" i="2"/>
  <c r="W1475" i="2"/>
  <c r="AH1417" i="2"/>
  <c r="AC1417" i="2"/>
  <c r="AM1417" i="2"/>
  <c r="W1417" i="2"/>
  <c r="AH1306" i="2"/>
  <c r="AC1306" i="2"/>
  <c r="AM1306" i="2"/>
  <c r="W1306" i="2"/>
  <c r="AR1178" i="2"/>
  <c r="AW1178" i="2" s="1"/>
  <c r="BF1178" i="2" s="1"/>
  <c r="AM1327" i="2"/>
  <c r="W1327" i="2"/>
  <c r="AH1327" i="2"/>
  <c r="AC1327" i="2"/>
  <c r="AM1263" i="2"/>
  <c r="W1263" i="2"/>
  <c r="AH1263" i="2"/>
  <c r="AC1263" i="2"/>
  <c r="AM1199" i="2"/>
  <c r="W1199" i="2"/>
  <c r="AH1199" i="2"/>
  <c r="AC1199" i="2"/>
  <c r="AM1099" i="2"/>
  <c r="W1099" i="2"/>
  <c r="AC1099" i="2"/>
  <c r="AH1099" i="2"/>
  <c r="AR1308" i="2"/>
  <c r="AW1308" i="2" s="1"/>
  <c r="BF1308" i="2" s="1"/>
  <c r="AH1180" i="2"/>
  <c r="AC1180" i="2"/>
  <c r="AM1180" i="2"/>
  <c r="W1180" i="2"/>
  <c r="AI1149" i="2"/>
  <c r="AD1149" i="2"/>
  <c r="AN1149" i="2"/>
  <c r="X1149" i="2"/>
  <c r="AR1097" i="2"/>
  <c r="AW1097" i="2" s="1"/>
  <c r="BF1097" i="2" s="1"/>
  <c r="AM884" i="2"/>
  <c r="W884" i="2"/>
  <c r="AC884" i="2"/>
  <c r="AH884" i="2"/>
  <c r="AM820" i="2"/>
  <c r="W820" i="2"/>
  <c r="AC820" i="2"/>
  <c r="AH820" i="2"/>
  <c r="AM756" i="2"/>
  <c r="W756" i="2"/>
  <c r="AC756" i="2"/>
  <c r="AH756" i="2"/>
  <c r="AR554" i="2"/>
  <c r="AW554" i="2" s="1"/>
  <c r="BF554" i="2" s="1"/>
  <c r="AR522" i="2"/>
  <c r="AW522" i="2" s="1"/>
  <c r="BF522" i="2" s="1"/>
  <c r="AD388" i="2"/>
  <c r="AN388" i="2"/>
  <c r="AI388" i="2"/>
  <c r="X388" i="2"/>
  <c r="AH326" i="2"/>
  <c r="AC326" i="2"/>
  <c r="AM326" i="2"/>
  <c r="W326" i="2"/>
  <c r="AH551" i="2"/>
  <c r="AC551" i="2"/>
  <c r="AM551" i="2"/>
  <c r="W551" i="2"/>
  <c r="AM285" i="2"/>
  <c r="AH285" i="2"/>
  <c r="AC285" i="2"/>
  <c r="W285" i="2"/>
  <c r="AR549" i="2"/>
  <c r="AW549" i="2" s="1"/>
  <c r="BF549" i="2" s="1"/>
  <c r="AR491" i="2"/>
  <c r="AW491" i="2" s="1"/>
  <c r="BF491" i="2" s="1"/>
  <c r="AH314" i="2"/>
  <c r="AM314" i="2"/>
  <c r="W314" i="2"/>
  <c r="AC314" i="2"/>
  <c r="AR266" i="2"/>
  <c r="AW266" i="2" s="1"/>
  <c r="BF266" i="2" s="1"/>
  <c r="AR258" i="2"/>
  <c r="AW258" i="2" s="1"/>
  <c r="BF258" i="2" s="1"/>
  <c r="AR244" i="2"/>
  <c r="AW244" i="2" s="1"/>
  <c r="BF244" i="2" s="1"/>
  <c r="AC2471" i="2"/>
  <c r="AM2471" i="2"/>
  <c r="W2471" i="2"/>
  <c r="AH2471" i="2"/>
  <c r="AH2384" i="2"/>
  <c r="AC2384" i="2"/>
  <c r="AM2384" i="2"/>
  <c r="W2384" i="2"/>
  <c r="AH2376" i="2"/>
  <c r="AC2376" i="2"/>
  <c r="AM2376" i="2"/>
  <c r="W2376" i="2"/>
  <c r="AH2344" i="2"/>
  <c r="AC2344" i="2"/>
  <c r="AM2344" i="2"/>
  <c r="W2344" i="2"/>
  <c r="AH2476" i="2"/>
  <c r="AC2476" i="2"/>
  <c r="AM2476" i="2"/>
  <c r="W2476" i="2"/>
  <c r="AR2415" i="2"/>
  <c r="AW2415" i="2" s="1"/>
  <c r="BF2415" i="2" s="1"/>
  <c r="AR2456" i="2"/>
  <c r="AW2456" i="2" s="1"/>
  <c r="BF2456" i="2" s="1"/>
  <c r="AM2408" i="2"/>
  <c r="W2408" i="2"/>
  <c r="AC2408" i="2"/>
  <c r="AH2408" i="2"/>
  <c r="AH2307" i="2"/>
  <c r="AM2307" i="2"/>
  <c r="W2307" i="2"/>
  <c r="AC2307" i="2"/>
  <c r="AH2299" i="2"/>
  <c r="AM2299" i="2"/>
  <c r="W2299" i="2"/>
  <c r="AC2299" i="2"/>
  <c r="AH2291" i="2"/>
  <c r="AM2291" i="2"/>
  <c r="W2291" i="2"/>
  <c r="AC2291" i="2"/>
  <c r="AH2259" i="2"/>
  <c r="AM2259" i="2"/>
  <c r="W2259" i="2"/>
  <c r="AC2259" i="2"/>
  <c r="AH2227" i="2"/>
  <c r="AM2227" i="2"/>
  <c r="W2227" i="2"/>
  <c r="AC2227" i="2"/>
  <c r="AM2056" i="2"/>
  <c r="W2056" i="2"/>
  <c r="AH2056" i="2"/>
  <c r="AC2056" i="2"/>
  <c r="AM1854" i="2"/>
  <c r="W1854" i="2"/>
  <c r="AH1854" i="2"/>
  <c r="AC1854" i="2"/>
  <c r="AR1824" i="2"/>
  <c r="AW1824" i="2" s="1"/>
  <c r="BF1824" i="2" s="1"/>
  <c r="AR1800" i="2"/>
  <c r="AW1800" i="2" s="1"/>
  <c r="BF1800" i="2" s="1"/>
  <c r="AR1784" i="2"/>
  <c r="AW1784" i="2" s="1"/>
  <c r="BF1784" i="2" s="1"/>
  <c r="AR1768" i="2"/>
  <c r="AW1768" i="2" s="1"/>
  <c r="BF1768" i="2" s="1"/>
  <c r="AR1742" i="2"/>
  <c r="AW1742" i="2" s="1"/>
  <c r="BF1742" i="2" s="1"/>
  <c r="AR1678" i="2"/>
  <c r="AW1678" i="2" s="1"/>
  <c r="BF1678" i="2" s="1"/>
  <c r="AH1571" i="2"/>
  <c r="AC1571" i="2"/>
  <c r="AM1571" i="2"/>
  <c r="W1571" i="2"/>
  <c r="AR1427" i="2"/>
  <c r="AW1427" i="2" s="1"/>
  <c r="BF1427" i="2" s="1"/>
  <c r="AM1386" i="2"/>
  <c r="W1386" i="2"/>
  <c r="AC1386" i="2"/>
  <c r="AH1386" i="2"/>
  <c r="AH1379" i="2"/>
  <c r="AC1379" i="2"/>
  <c r="AM1379" i="2"/>
  <c r="W1379" i="2"/>
  <c r="AR1656" i="2"/>
  <c r="AW1656" i="2" s="1"/>
  <c r="BF1656" i="2" s="1"/>
  <c r="AR1631" i="2"/>
  <c r="AW1631" i="2" s="1"/>
  <c r="BF1631" i="2" s="1"/>
  <c r="AH1479" i="2"/>
  <c r="AC1479" i="2"/>
  <c r="AM1479" i="2"/>
  <c r="W1479" i="2"/>
  <c r="AH1278" i="2"/>
  <c r="AC1278" i="2"/>
  <c r="AM1278" i="2"/>
  <c r="W1278" i="2"/>
  <c r="AH1214" i="2"/>
  <c r="AC1214" i="2"/>
  <c r="AM1214" i="2"/>
  <c r="W1214" i="2"/>
  <c r="AR1127" i="2"/>
  <c r="AW1127" i="2" s="1"/>
  <c r="BF1127" i="2" s="1"/>
  <c r="AR1063" i="2"/>
  <c r="AW1063" i="2" s="1"/>
  <c r="BF1063" i="2" s="1"/>
  <c r="AR1344" i="2"/>
  <c r="AW1344" i="2" s="1"/>
  <c r="BF1344" i="2" s="1"/>
  <c r="AR1280" i="2"/>
  <c r="AW1280" i="2" s="1"/>
  <c r="BF1280" i="2" s="1"/>
  <c r="AR1216" i="2"/>
  <c r="AW1216" i="2" s="1"/>
  <c r="BF1216" i="2" s="1"/>
  <c r="AR309" i="2"/>
  <c r="AW309" i="2" s="1"/>
  <c r="BF309" i="2" s="1"/>
  <c r="AC875" i="2"/>
  <c r="AM875" i="2"/>
  <c r="W875" i="2"/>
  <c r="AH875" i="2"/>
  <c r="AC859" i="2"/>
  <c r="AM859" i="2"/>
  <c r="W859" i="2"/>
  <c r="AH859" i="2"/>
  <c r="AC843" i="2"/>
  <c r="AM843" i="2"/>
  <c r="W843" i="2"/>
  <c r="AH843" i="2"/>
  <c r="AC827" i="2"/>
  <c r="AM827" i="2"/>
  <c r="W827" i="2"/>
  <c r="AH827" i="2"/>
  <c r="AC811" i="2"/>
  <c r="AM811" i="2"/>
  <c r="W811" i="2"/>
  <c r="AH811" i="2"/>
  <c r="AC795" i="2"/>
  <c r="AM795" i="2"/>
  <c r="W795" i="2"/>
  <c r="AH795" i="2"/>
  <c r="AC779" i="2"/>
  <c r="AM779" i="2"/>
  <c r="W779" i="2"/>
  <c r="AH779" i="2"/>
  <c r="AC763" i="2"/>
  <c r="AM763" i="2"/>
  <c r="W763" i="2"/>
  <c r="AH763" i="2"/>
  <c r="AC747" i="2"/>
  <c r="AM747" i="2"/>
  <c r="W747" i="2"/>
  <c r="AH747" i="2"/>
  <c r="AC731" i="2"/>
  <c r="AM731" i="2"/>
  <c r="W731" i="2"/>
  <c r="AH731" i="2"/>
  <c r="AR510" i="2"/>
  <c r="AW510" i="2" s="1"/>
  <c r="BF510" i="2" s="1"/>
  <c r="AR395" i="2"/>
  <c r="AW395" i="2" s="1"/>
  <c r="BF395" i="2" s="1"/>
  <c r="AM363" i="2"/>
  <c r="AH363" i="2"/>
  <c r="AC363" i="2"/>
  <c r="W363" i="2"/>
  <c r="AC51" i="2"/>
  <c r="AH51" i="2"/>
  <c r="AM51" i="2"/>
  <c r="W51" i="2"/>
  <c r="AM161" i="2"/>
  <c r="AH161" i="2"/>
  <c r="AC161" i="2"/>
  <c r="W161" i="2"/>
  <c r="AH2500" i="2"/>
  <c r="AC2500" i="2"/>
  <c r="AM2500" i="2"/>
  <c r="W2500" i="2"/>
  <c r="AM2377" i="2"/>
  <c r="W2377" i="2"/>
  <c r="AH2377" i="2"/>
  <c r="AC2377" i="2"/>
  <c r="AM2369" i="2"/>
  <c r="W2369" i="2"/>
  <c r="AH2369" i="2"/>
  <c r="AC2369" i="2"/>
  <c r="AM2353" i="2"/>
  <c r="W2353" i="2"/>
  <c r="AH2353" i="2"/>
  <c r="AC2353" i="2"/>
  <c r="AM2337" i="2"/>
  <c r="W2337" i="2"/>
  <c r="AH2337" i="2"/>
  <c r="AC2337" i="2"/>
  <c r="AM2329" i="2"/>
  <c r="W2329" i="2"/>
  <c r="AH2329" i="2"/>
  <c r="AC2329" i="2"/>
  <c r="AR2477" i="2"/>
  <c r="AW2477" i="2" s="1"/>
  <c r="BF2477" i="2" s="1"/>
  <c r="AR2475" i="2"/>
  <c r="AW2475" i="2" s="1"/>
  <c r="BF2475" i="2" s="1"/>
  <c r="AR2496" i="2"/>
  <c r="AW2496" i="2" s="1"/>
  <c r="BF2496" i="2" s="1"/>
  <c r="AR2470" i="2"/>
  <c r="AW2470" i="2" s="1"/>
  <c r="BF2470" i="2" s="1"/>
  <c r="AC2435" i="2"/>
  <c r="AM2435" i="2"/>
  <c r="W2435" i="2"/>
  <c r="AH2435" i="2"/>
  <c r="AR2398" i="2"/>
  <c r="AW2398" i="2" s="1"/>
  <c r="BF2398" i="2" s="1"/>
  <c r="AR2412" i="2"/>
  <c r="AW2412" i="2" s="1"/>
  <c r="BF2412" i="2" s="1"/>
  <c r="AR2445" i="2"/>
  <c r="AW2445" i="2" s="1"/>
  <c r="BF2445" i="2" s="1"/>
  <c r="AC2403" i="2"/>
  <c r="AM2403" i="2"/>
  <c r="W2403" i="2"/>
  <c r="AH2403" i="2"/>
  <c r="AC2395" i="2"/>
  <c r="AM2395" i="2"/>
  <c r="W2395" i="2"/>
  <c r="AH2395" i="2"/>
  <c r="AM2196" i="2"/>
  <c r="W2196" i="2"/>
  <c r="AH2196" i="2"/>
  <c r="AC2196" i="2"/>
  <c r="AC2147" i="2"/>
  <c r="AM2147" i="2"/>
  <c r="W2147" i="2"/>
  <c r="AH2147" i="2"/>
  <c r="AR2052" i="2"/>
  <c r="AW2052" i="2" s="1"/>
  <c r="BF2052" i="2" s="1"/>
  <c r="AR1812" i="2"/>
  <c r="AW1812" i="2" s="1"/>
  <c r="BF1812" i="2" s="1"/>
  <c r="AR1745" i="2"/>
  <c r="AW1745" i="2" s="1"/>
  <c r="BF1745" i="2" s="1"/>
  <c r="AR1729" i="2"/>
  <c r="AW1729" i="2" s="1"/>
  <c r="BF1729" i="2" s="1"/>
  <c r="AR1713" i="2"/>
  <c r="AW1713" i="2" s="1"/>
  <c r="BF1713" i="2" s="1"/>
  <c r="AR1697" i="2"/>
  <c r="AW1697" i="2" s="1"/>
  <c r="BF1697" i="2" s="1"/>
  <c r="AR1681" i="2"/>
  <c r="AW1681" i="2" s="1"/>
  <c r="BF1681" i="2" s="1"/>
  <c r="AR1746" i="2"/>
  <c r="AW1746" i="2" s="1"/>
  <c r="BF1746" i="2" s="1"/>
  <c r="AR1682" i="2"/>
  <c r="AW1682" i="2" s="1"/>
  <c r="BF1682" i="2" s="1"/>
  <c r="AR1948" i="2"/>
  <c r="AW1948" i="2" s="1"/>
  <c r="BF1948" i="2" s="1"/>
  <c r="AR1940" i="2"/>
  <c r="AW1940" i="2" s="1"/>
  <c r="BF1940" i="2" s="1"/>
  <c r="AR1932" i="2"/>
  <c r="AW1932" i="2" s="1"/>
  <c r="BF1932" i="2" s="1"/>
  <c r="AR1924" i="2"/>
  <c r="AW1924" i="2" s="1"/>
  <c r="BF1924" i="2" s="1"/>
  <c r="AR1916" i="2"/>
  <c r="AW1916" i="2" s="1"/>
  <c r="BF1916" i="2" s="1"/>
  <c r="AR1908" i="2"/>
  <c r="AW1908" i="2" s="1"/>
  <c r="BF1908" i="2" s="1"/>
  <c r="AR1900" i="2"/>
  <c r="AW1900" i="2" s="1"/>
  <c r="BF1900" i="2" s="1"/>
  <c r="AR1892" i="2"/>
  <c r="AW1892" i="2" s="1"/>
  <c r="BF1892" i="2" s="1"/>
  <c r="AR1884" i="2"/>
  <c r="AW1884" i="2" s="1"/>
  <c r="BF1884" i="2" s="1"/>
  <c r="AR1876" i="2"/>
  <c r="AW1876" i="2" s="1"/>
  <c r="BF1876" i="2" s="1"/>
  <c r="AR1868" i="2"/>
  <c r="AW1868" i="2" s="1"/>
  <c r="BF1868" i="2" s="1"/>
  <c r="AR1860" i="2"/>
  <c r="AW1860" i="2" s="1"/>
  <c r="BF1860" i="2" s="1"/>
  <c r="AS1843" i="2"/>
  <c r="AM1637" i="2"/>
  <c r="W1637" i="2"/>
  <c r="AH1637" i="2"/>
  <c r="AC1637" i="2"/>
  <c r="AR1581" i="2"/>
  <c r="AW1581" i="2" s="1"/>
  <c r="BF1581" i="2" s="1"/>
  <c r="AH1465" i="2"/>
  <c r="AC1465" i="2"/>
  <c r="AM1465" i="2"/>
  <c r="W1465" i="2"/>
  <c r="AH1449" i="2"/>
  <c r="AC1449" i="2"/>
  <c r="AM1449" i="2"/>
  <c r="W1449" i="2"/>
  <c r="AM1611" i="2"/>
  <c r="W1611" i="2"/>
  <c r="AH1611" i="2"/>
  <c r="AC1611" i="2"/>
  <c r="AH1569" i="2"/>
  <c r="AC1569" i="2"/>
  <c r="AM1569" i="2"/>
  <c r="W1569" i="2"/>
  <c r="AH1476" i="2"/>
  <c r="AM1476" i="2"/>
  <c r="W1476" i="2"/>
  <c r="AC1476" i="2"/>
  <c r="AR1443" i="2"/>
  <c r="AW1443" i="2" s="1"/>
  <c r="BF1443" i="2" s="1"/>
  <c r="AR1367" i="2"/>
  <c r="AW1367" i="2" s="1"/>
  <c r="BF1367" i="2" s="1"/>
  <c r="AR1303" i="2"/>
  <c r="AW1303" i="2" s="1"/>
  <c r="BF1303" i="2" s="1"/>
  <c r="AR1239" i="2"/>
  <c r="AW1239" i="2" s="1"/>
  <c r="BF1239" i="2" s="1"/>
  <c r="AM1059" i="2"/>
  <c r="W1059" i="2"/>
  <c r="AC1059" i="2"/>
  <c r="AH1059" i="2"/>
  <c r="AR1345" i="2"/>
  <c r="AW1345" i="2" s="1"/>
  <c r="BF1345" i="2" s="1"/>
  <c r="AR1281" i="2"/>
  <c r="AW1281" i="2" s="1"/>
  <c r="BF1281" i="2" s="1"/>
  <c r="AR1217" i="2"/>
  <c r="AW1217" i="2" s="1"/>
  <c r="BF1217" i="2" s="1"/>
  <c r="AM1137" i="2"/>
  <c r="W1137" i="2"/>
  <c r="AC1137" i="2"/>
  <c r="AH1137" i="2"/>
  <c r="AR876" i="2"/>
  <c r="AW876" i="2" s="1"/>
  <c r="BF876" i="2" s="1"/>
  <c r="AR812" i="2"/>
  <c r="AW812" i="2" s="1"/>
  <c r="BF812" i="2" s="1"/>
  <c r="AR748" i="2"/>
  <c r="AW748" i="2" s="1"/>
  <c r="BF748" i="2" s="1"/>
  <c r="AM1048" i="2"/>
  <c r="W1048" i="2"/>
  <c r="AH1048" i="2"/>
  <c r="AC1048" i="2"/>
  <c r="AS931" i="2"/>
  <c r="AX931" i="2" s="1"/>
  <c r="BG931" i="2" s="1"/>
  <c r="AS927" i="2"/>
  <c r="AX927" i="2" s="1"/>
  <c r="BG927" i="2" s="1"/>
  <c r="AS923" i="2"/>
  <c r="AX923" i="2" s="1"/>
  <c r="BG923" i="2" s="1"/>
  <c r="AS919" i="2"/>
  <c r="AX919" i="2" s="1"/>
  <c r="BG919" i="2" s="1"/>
  <c r="AS915" i="2"/>
  <c r="AX915" i="2" s="1"/>
  <c r="BG915" i="2" s="1"/>
  <c r="AS907" i="2"/>
  <c r="AX907" i="2" s="1"/>
  <c r="BG907" i="2" s="1"/>
  <c r="AS903" i="2"/>
  <c r="AX903" i="2" s="1"/>
  <c r="BG903" i="2" s="1"/>
  <c r="AS891" i="2"/>
  <c r="AX891" i="2" s="1"/>
  <c r="BG891" i="2" s="1"/>
  <c r="AS887" i="2"/>
  <c r="AX887" i="2" s="1"/>
  <c r="BG887" i="2" s="1"/>
  <c r="AM711" i="2"/>
  <c r="W711" i="2"/>
  <c r="AH711" i="2"/>
  <c r="AC711" i="2"/>
  <c r="AR679" i="2"/>
  <c r="AW679" i="2" s="1"/>
  <c r="BF679" i="2" s="1"/>
  <c r="AM647" i="2"/>
  <c r="W647" i="2"/>
  <c r="AH647" i="2"/>
  <c r="AC647" i="2"/>
  <c r="AM538" i="2"/>
  <c r="W538" i="2"/>
  <c r="AH538" i="2"/>
  <c r="AC538" i="2"/>
  <c r="AM936" i="2"/>
  <c r="W936" i="2"/>
  <c r="AC936" i="2"/>
  <c r="AH936" i="2"/>
  <c r="AR619" i="2"/>
  <c r="AW619" i="2" s="1"/>
  <c r="BF619" i="2" s="1"/>
  <c r="AR401" i="2"/>
  <c r="AW401" i="2" s="1"/>
  <c r="BF401" i="2" s="1"/>
  <c r="AR393" i="2"/>
  <c r="AW393" i="2" s="1"/>
  <c r="BF393" i="2" s="1"/>
  <c r="AR385" i="2"/>
  <c r="AW385" i="2" s="1"/>
  <c r="BF385" i="2" s="1"/>
  <c r="AR377" i="2"/>
  <c r="AW377" i="2" s="1"/>
  <c r="BF377" i="2" s="1"/>
  <c r="AR369" i="2"/>
  <c r="AW369" i="2" s="1"/>
  <c r="BF369" i="2" s="1"/>
  <c r="AR361" i="2"/>
  <c r="AW361" i="2" s="1"/>
  <c r="BF361" i="2" s="1"/>
  <c r="AR353" i="2"/>
  <c r="AW353" i="2" s="1"/>
  <c r="BF353" i="2" s="1"/>
  <c r="AR345" i="2"/>
  <c r="AW345" i="2" s="1"/>
  <c r="BF345" i="2" s="1"/>
  <c r="AR337" i="2"/>
  <c r="AW337" i="2" s="1"/>
  <c r="BF337" i="2" s="1"/>
  <c r="AR329" i="2"/>
  <c r="AW329" i="2" s="1"/>
  <c r="BF329" i="2" s="1"/>
  <c r="AR433" i="2"/>
  <c r="AW433" i="2" s="1"/>
  <c r="BF433" i="2" s="1"/>
  <c r="AR162" i="2"/>
  <c r="AW162" i="2" s="1"/>
  <c r="BF162" i="2" s="1"/>
  <c r="AH290" i="2"/>
  <c r="AM290" i="2"/>
  <c r="W290" i="2"/>
  <c r="AC290" i="2"/>
  <c r="AH276" i="2"/>
  <c r="AC276" i="2"/>
  <c r="AM276" i="2"/>
  <c r="W276" i="2"/>
  <c r="AM189" i="2"/>
  <c r="AH189" i="2"/>
  <c r="AC189" i="2"/>
  <c r="W189" i="2"/>
  <c r="AD136" i="2"/>
  <c r="AN136" i="2"/>
  <c r="AI136" i="2"/>
  <c r="X136" i="2"/>
  <c r="AD20" i="2"/>
  <c r="X20" i="2"/>
  <c r="AI20" i="2"/>
  <c r="AN20" i="2"/>
  <c r="AS152" i="2"/>
  <c r="AX152" i="2" s="1"/>
  <c r="BG152" i="2" s="1"/>
  <c r="AS128" i="2"/>
  <c r="AX128" i="2" s="1"/>
  <c r="BG128" i="2" s="1"/>
  <c r="AR2173" i="2"/>
  <c r="AW2173" i="2" s="1"/>
  <c r="BF2173" i="2" s="1"/>
  <c r="AM2198" i="2"/>
  <c r="W2198" i="2"/>
  <c r="AH2198" i="2"/>
  <c r="AC2198" i="2"/>
  <c r="AC2199" i="2"/>
  <c r="AM2199" i="2"/>
  <c r="W2199" i="2"/>
  <c r="AH2199" i="2"/>
  <c r="AM2096" i="2"/>
  <c r="W2096" i="2"/>
  <c r="AH2096" i="2"/>
  <c r="AC2096" i="2"/>
  <c r="AR2055" i="2"/>
  <c r="AW2055" i="2" s="1"/>
  <c r="BF2055" i="2" s="1"/>
  <c r="AC1801" i="2"/>
  <c r="AM1801" i="2"/>
  <c r="AH1801" i="2"/>
  <c r="W1801" i="2"/>
  <c r="AC1785" i="2"/>
  <c r="AM1785" i="2"/>
  <c r="AH1785" i="2"/>
  <c r="W1785" i="2"/>
  <c r="AC1769" i="2"/>
  <c r="AM1769" i="2"/>
  <c r="AH1769" i="2"/>
  <c r="W1769" i="2"/>
  <c r="AM1848" i="2"/>
  <c r="W1848" i="2"/>
  <c r="AH1848" i="2"/>
  <c r="AC1848" i="2"/>
  <c r="AH1750" i="2"/>
  <c r="AM1750" i="2"/>
  <c r="W1750" i="2"/>
  <c r="AC1750" i="2"/>
  <c r="AR1617" i="2"/>
  <c r="AW1617" i="2" s="1"/>
  <c r="BF1617" i="2" s="1"/>
  <c r="AR1499" i="2"/>
  <c r="AW1499" i="2" s="1"/>
  <c r="BF1499" i="2" s="1"/>
  <c r="AR1495" i="2"/>
  <c r="AW1495" i="2" s="1"/>
  <c r="BF1495" i="2" s="1"/>
  <c r="AR1623" i="2"/>
  <c r="AW1623" i="2" s="1"/>
  <c r="BF1623" i="2" s="1"/>
  <c r="AR1543" i="2"/>
  <c r="AW1543" i="2" s="1"/>
  <c r="BF1543" i="2" s="1"/>
  <c r="AH1511" i="2"/>
  <c r="AC1511" i="2"/>
  <c r="AM1511" i="2"/>
  <c r="W1511" i="2"/>
  <c r="AR1339" i="2"/>
  <c r="AW1339" i="2" s="1"/>
  <c r="BF1339" i="2" s="1"/>
  <c r="AR1275" i="2"/>
  <c r="AW1275" i="2" s="1"/>
  <c r="BF1275" i="2" s="1"/>
  <c r="AR1211" i="2"/>
  <c r="AW1211" i="2" s="1"/>
  <c r="BF1211" i="2" s="1"/>
  <c r="AM1333" i="2"/>
  <c r="W1333" i="2"/>
  <c r="AH1333" i="2"/>
  <c r="AC1333" i="2"/>
  <c r="AM1269" i="2"/>
  <c r="W1269" i="2"/>
  <c r="AH1269" i="2"/>
  <c r="AC1269" i="2"/>
  <c r="AM1205" i="2"/>
  <c r="W1205" i="2"/>
  <c r="AH1205" i="2"/>
  <c r="AC1205" i="2"/>
  <c r="AR544" i="2"/>
  <c r="AW544" i="2" s="1"/>
  <c r="BF544" i="2" s="1"/>
  <c r="AM293" i="2"/>
  <c r="AH293" i="2"/>
  <c r="AC293" i="2"/>
  <c r="W293" i="2"/>
  <c r="AR540" i="2"/>
  <c r="AW540" i="2" s="1"/>
  <c r="BF540" i="2" s="1"/>
  <c r="AR508" i="2"/>
  <c r="AW508" i="2" s="1"/>
  <c r="BF508" i="2" s="1"/>
  <c r="AR183" i="2"/>
  <c r="AW183" i="2" s="1"/>
  <c r="BF183" i="2" s="1"/>
  <c r="AR119" i="2"/>
  <c r="AW119" i="2" s="1"/>
  <c r="BF119" i="2" s="1"/>
  <c r="AR15" i="2"/>
  <c r="AW15" i="2" s="1"/>
  <c r="BF15" i="2" s="1"/>
  <c r="AR77" i="2"/>
  <c r="AW77" i="2" s="1"/>
  <c r="BF77" i="2" s="1"/>
  <c r="AR2479" i="2"/>
  <c r="AW2479" i="2" s="1"/>
  <c r="BF2479" i="2" s="1"/>
  <c r="AM2092" i="2"/>
  <c r="W2092" i="2"/>
  <c r="AH2092" i="2"/>
  <c r="AC2092" i="2"/>
  <c r="AC1813" i="2"/>
  <c r="AM1813" i="2"/>
  <c r="AH1813" i="2"/>
  <c r="W1813" i="2"/>
  <c r="AR1674" i="2"/>
  <c r="AW1674" i="2" s="1"/>
  <c r="BF1674" i="2" s="1"/>
  <c r="AM1661" i="2"/>
  <c r="W1661" i="2"/>
  <c r="AH1661" i="2"/>
  <c r="AC1661" i="2"/>
  <c r="AR1597" i="2"/>
  <c r="AW1597" i="2" s="1"/>
  <c r="BF1597" i="2" s="1"/>
  <c r="AR1501" i="2"/>
  <c r="AW1501" i="2" s="1"/>
  <c r="BF1501" i="2" s="1"/>
  <c r="AR1542" i="2"/>
  <c r="AW1542" i="2" s="1"/>
  <c r="BF1542" i="2" s="1"/>
  <c r="AR1651" i="2"/>
  <c r="AW1651" i="2" s="1"/>
  <c r="BF1651" i="2" s="1"/>
  <c r="AR1578" i="2"/>
  <c r="AW1578" i="2" s="1"/>
  <c r="BF1578" i="2" s="1"/>
  <c r="AR1574" i="2"/>
  <c r="AW1574" i="2" s="1"/>
  <c r="BF1574" i="2" s="1"/>
  <c r="AR1570" i="2"/>
  <c r="AW1570" i="2" s="1"/>
  <c r="BF1570" i="2" s="1"/>
  <c r="AR1566" i="2"/>
  <c r="AW1566" i="2" s="1"/>
  <c r="BF1566" i="2" s="1"/>
  <c r="AR1562" i="2"/>
  <c r="AW1562" i="2" s="1"/>
  <c r="BF1562" i="2" s="1"/>
  <c r="AR1558" i="2"/>
  <c r="AW1558" i="2" s="1"/>
  <c r="BF1558" i="2" s="1"/>
  <c r="AR1554" i="2"/>
  <c r="AW1554" i="2" s="1"/>
  <c r="BF1554" i="2" s="1"/>
  <c r="AR1550" i="2"/>
  <c r="AW1550" i="2" s="1"/>
  <c r="BF1550" i="2" s="1"/>
  <c r="AR1546" i="2"/>
  <c r="AW1546" i="2" s="1"/>
  <c r="BF1546" i="2" s="1"/>
  <c r="AR1437" i="2"/>
  <c r="AW1437" i="2" s="1"/>
  <c r="BF1437" i="2" s="1"/>
  <c r="AR1421" i="2"/>
  <c r="AW1421" i="2" s="1"/>
  <c r="BF1421" i="2" s="1"/>
  <c r="AR1405" i="2"/>
  <c r="AW1405" i="2" s="1"/>
  <c r="BF1405" i="2" s="1"/>
  <c r="AM1343" i="2"/>
  <c r="W1343" i="2"/>
  <c r="AH1343" i="2"/>
  <c r="AC1343" i="2"/>
  <c r="AM1279" i="2"/>
  <c r="W1279" i="2"/>
  <c r="AH1279" i="2"/>
  <c r="AC1279" i="2"/>
  <c r="AM1215" i="2"/>
  <c r="W1215" i="2"/>
  <c r="AH1215" i="2"/>
  <c r="AC1215" i="2"/>
  <c r="AR1321" i="2"/>
  <c r="AW1321" i="2" s="1"/>
  <c r="BF1321" i="2" s="1"/>
  <c r="AR1257" i="2"/>
  <c r="AW1257" i="2" s="1"/>
  <c r="BF1257" i="2" s="1"/>
  <c r="AR1193" i="2"/>
  <c r="AW1193" i="2" s="1"/>
  <c r="BF1193" i="2" s="1"/>
  <c r="AR868" i="2"/>
  <c r="AW868" i="2" s="1"/>
  <c r="BF868" i="2" s="1"/>
  <c r="AR804" i="2"/>
  <c r="AW804" i="2" s="1"/>
  <c r="BF804" i="2" s="1"/>
  <c r="AR740" i="2"/>
  <c r="AW740" i="2" s="1"/>
  <c r="BF740" i="2" s="1"/>
  <c r="AR1047" i="2"/>
  <c r="AW1047" i="2" s="1"/>
  <c r="BF1047" i="2" s="1"/>
  <c r="AR1040" i="2"/>
  <c r="AW1040" i="2" s="1"/>
  <c r="BF1040" i="2" s="1"/>
  <c r="AR1036" i="2"/>
  <c r="AW1036" i="2" s="1"/>
  <c r="BF1036" i="2" s="1"/>
  <c r="AR1032" i="2"/>
  <c r="AW1032" i="2" s="1"/>
  <c r="BF1032" i="2" s="1"/>
  <c r="AR1028" i="2"/>
  <c r="AW1028" i="2" s="1"/>
  <c r="BF1028" i="2" s="1"/>
  <c r="AR1024" i="2"/>
  <c r="AW1024" i="2" s="1"/>
  <c r="BF1024" i="2" s="1"/>
  <c r="AR1020" i="2"/>
  <c r="AW1020" i="2" s="1"/>
  <c r="BF1020" i="2" s="1"/>
  <c r="AR1016" i="2"/>
  <c r="AW1016" i="2" s="1"/>
  <c r="BF1016" i="2" s="1"/>
  <c r="AR1012" i="2"/>
  <c r="AW1012" i="2" s="1"/>
  <c r="BF1012" i="2" s="1"/>
  <c r="AR1008" i="2"/>
  <c r="AW1008" i="2" s="1"/>
  <c r="BF1008" i="2" s="1"/>
  <c r="AR1004" i="2"/>
  <c r="AW1004" i="2" s="1"/>
  <c r="BF1004" i="2" s="1"/>
  <c r="AR1000" i="2"/>
  <c r="AW1000" i="2" s="1"/>
  <c r="BF1000" i="2" s="1"/>
  <c r="AR996" i="2"/>
  <c r="AW996" i="2" s="1"/>
  <c r="BF996" i="2" s="1"/>
  <c r="AR992" i="2"/>
  <c r="AW992" i="2" s="1"/>
  <c r="BF992" i="2" s="1"/>
  <c r="AR988" i="2"/>
  <c r="AW988" i="2" s="1"/>
  <c r="BF988" i="2" s="1"/>
  <c r="AR984" i="2"/>
  <c r="AW984" i="2" s="1"/>
  <c r="BF984" i="2" s="1"/>
  <c r="AR980" i="2"/>
  <c r="AW980" i="2" s="1"/>
  <c r="BF980" i="2" s="1"/>
  <c r="AR976" i="2"/>
  <c r="AW976" i="2" s="1"/>
  <c r="BF976" i="2" s="1"/>
  <c r="AR972" i="2"/>
  <c r="AW972" i="2" s="1"/>
  <c r="BF972" i="2" s="1"/>
  <c r="AR968" i="2"/>
  <c r="AW968" i="2" s="1"/>
  <c r="BF968" i="2" s="1"/>
  <c r="AR964" i="2"/>
  <c r="AW964" i="2" s="1"/>
  <c r="BF964" i="2" s="1"/>
  <c r="AR960" i="2"/>
  <c r="AW960" i="2" s="1"/>
  <c r="BF960" i="2" s="1"/>
  <c r="AR956" i="2"/>
  <c r="AW956" i="2" s="1"/>
  <c r="BF956" i="2" s="1"/>
  <c r="AR952" i="2"/>
  <c r="AW952" i="2" s="1"/>
  <c r="BF952" i="2" s="1"/>
  <c r="AR948" i="2"/>
  <c r="AW948" i="2" s="1"/>
  <c r="BF948" i="2" s="1"/>
  <c r="AR944" i="2"/>
  <c r="AW944" i="2" s="1"/>
  <c r="BF944" i="2" s="1"/>
  <c r="AR940" i="2"/>
  <c r="AW940" i="2" s="1"/>
  <c r="BF940" i="2" s="1"/>
  <c r="AM709" i="2"/>
  <c r="W709" i="2"/>
  <c r="AH709" i="2"/>
  <c r="AC709" i="2"/>
  <c r="AM693" i="2"/>
  <c r="W693" i="2"/>
  <c r="AH693" i="2"/>
  <c r="AC693" i="2"/>
  <c r="AM677" i="2"/>
  <c r="W677" i="2"/>
  <c r="AH677" i="2"/>
  <c r="AC677" i="2"/>
  <c r="AM661" i="2"/>
  <c r="W661" i="2"/>
  <c r="AH661" i="2"/>
  <c r="AC661" i="2"/>
  <c r="AM645" i="2"/>
  <c r="W645" i="2"/>
  <c r="AH645" i="2"/>
  <c r="AC645" i="2"/>
  <c r="AM629" i="2"/>
  <c r="W629" i="2"/>
  <c r="AH629" i="2"/>
  <c r="AC629" i="2"/>
  <c r="AR358" i="2"/>
  <c r="AW358" i="2" s="1"/>
  <c r="BF358" i="2" s="1"/>
  <c r="AH302" i="2"/>
  <c r="AC302" i="2"/>
  <c r="AM302" i="2"/>
  <c r="W302" i="2"/>
  <c r="AR317" i="2"/>
  <c r="AW317" i="2" s="1"/>
  <c r="BF317" i="2" s="1"/>
  <c r="AH93" i="2"/>
  <c r="AM93" i="2"/>
  <c r="W93" i="2"/>
  <c r="AC93" i="2"/>
  <c r="AH61" i="2"/>
  <c r="AM61" i="2"/>
  <c r="W61" i="2"/>
  <c r="AC61" i="2"/>
  <c r="AH29" i="2"/>
  <c r="AM29" i="2"/>
  <c r="W29" i="2"/>
  <c r="AC29" i="2"/>
  <c r="AD320" i="2"/>
  <c r="AN320" i="2"/>
  <c r="AI320" i="2"/>
  <c r="X320" i="2"/>
  <c r="AS304" i="2"/>
  <c r="AX304" i="2" s="1"/>
  <c r="BG304" i="2" s="1"/>
  <c r="AD288" i="2"/>
  <c r="AN288" i="2"/>
  <c r="AI288" i="2"/>
  <c r="X288" i="2"/>
  <c r="AS272" i="2"/>
  <c r="AX272" i="2" s="1"/>
  <c r="BG272" i="2" s="1"/>
  <c r="AH146" i="2"/>
  <c r="AM146" i="2"/>
  <c r="W146" i="2"/>
  <c r="AC146" i="2"/>
  <c r="AR24" i="2"/>
  <c r="AW24" i="2" s="1"/>
  <c r="BF24" i="2" s="1"/>
  <c r="AR423" i="2"/>
  <c r="AW423" i="2" s="1"/>
  <c r="BF423" i="2" s="1"/>
  <c r="AR45" i="2"/>
  <c r="AW45" i="2" s="1"/>
  <c r="BF45" i="2" s="1"/>
  <c r="AR33" i="2"/>
  <c r="AW33" i="2" s="1"/>
  <c r="BF33" i="2" s="1"/>
  <c r="AR23" i="2"/>
  <c r="AW23" i="2" s="1"/>
  <c r="BF23" i="2" s="1"/>
  <c r="AR28" i="2"/>
  <c r="AW28" i="2" s="1"/>
  <c r="BF28" i="2" s="1"/>
  <c r="AD176" i="2"/>
  <c r="AN176" i="2"/>
  <c r="AI176" i="2"/>
  <c r="X176" i="2"/>
  <c r="AD18" i="2"/>
  <c r="AI18" i="2"/>
  <c r="AN18" i="2"/>
  <c r="X18" i="2"/>
  <c r="AR38" i="2"/>
  <c r="AW38" i="2" s="1"/>
  <c r="BF38" i="2" s="1"/>
  <c r="AR43" i="2"/>
  <c r="AW43" i="2" s="1"/>
  <c r="BF43" i="2" s="1"/>
  <c r="AI901" i="2" l="1"/>
  <c r="AN232" i="2"/>
  <c r="X891" i="2"/>
  <c r="AI917" i="2"/>
  <c r="X1815" i="2"/>
  <c r="X895" i="2"/>
  <c r="AS356" i="2"/>
  <c r="AX356" i="2" s="1"/>
  <c r="BG356" i="2" s="1"/>
  <c r="AS248" i="2"/>
  <c r="AX248" i="2" s="1"/>
  <c r="BG248" i="2" s="1"/>
  <c r="AS320" i="2"/>
  <c r="AX320" i="2" s="1"/>
  <c r="BG320" i="2" s="1"/>
  <c r="AS420" i="2"/>
  <c r="AX420" i="2" s="1"/>
  <c r="BG420" i="2" s="1"/>
  <c r="AS901" i="2"/>
  <c r="AX901" i="2" s="1"/>
  <c r="BG901" i="2" s="1"/>
  <c r="AX372" i="2"/>
  <c r="BG372" i="2" s="1"/>
  <c r="AD1791" i="2"/>
  <c r="AN468" i="2"/>
  <c r="AN1779" i="2"/>
  <c r="X887" i="2"/>
  <c r="AJ887" i="2" s="1"/>
  <c r="AN899" i="2"/>
  <c r="AI1151" i="2"/>
  <c r="AI1791" i="2"/>
  <c r="AD468" i="2"/>
  <c r="AT468" i="2" s="1"/>
  <c r="AY468" i="2" s="1"/>
  <c r="BH468" i="2" s="1"/>
  <c r="X1779" i="2"/>
  <c r="AD899" i="2"/>
  <c r="X1151" i="2"/>
  <c r="AX899" i="2"/>
  <c r="BG899" i="2" s="1"/>
  <c r="AX240" i="2"/>
  <c r="BG240" i="2" s="1"/>
  <c r="AS911" i="2"/>
  <c r="AX911" i="2" s="1"/>
  <c r="BG911" i="2" s="1"/>
  <c r="AS1141" i="2"/>
  <c r="AX1141" i="2" s="1"/>
  <c r="BG1141" i="2" s="1"/>
  <c r="AX895" i="2"/>
  <c r="BG895" i="2" s="1"/>
  <c r="AD232" i="2"/>
  <c r="AI1763" i="2"/>
  <c r="X216" i="2"/>
  <c r="AN891" i="2"/>
  <c r="AN895" i="2"/>
  <c r="AD1141" i="2"/>
  <c r="X901" i="2"/>
  <c r="X917" i="2"/>
  <c r="AO917" i="2" s="1"/>
  <c r="AD1763" i="2"/>
  <c r="X232" i="2"/>
  <c r="AN1763" i="2"/>
  <c r="AI216" i="2"/>
  <c r="AT216" i="2" s="1"/>
  <c r="AY216" i="2" s="1"/>
  <c r="BH216" i="2" s="1"/>
  <c r="AD891" i="2"/>
  <c r="AD895" i="2"/>
  <c r="AI1141" i="2"/>
  <c r="AN901" i="2"/>
  <c r="AN917" i="2"/>
  <c r="AX232" i="2"/>
  <c r="BG232" i="2" s="1"/>
  <c r="AX428" i="2"/>
  <c r="BG428" i="2" s="1"/>
  <c r="AX224" i="2"/>
  <c r="BG224" i="2" s="1"/>
  <c r="AS1775" i="2"/>
  <c r="AX1775" i="2" s="1"/>
  <c r="BG1775" i="2" s="1"/>
  <c r="X404" i="2"/>
  <c r="AI1823" i="2"/>
  <c r="AD1815" i="2"/>
  <c r="AX460" i="2"/>
  <c r="BG460" i="2" s="1"/>
  <c r="X907" i="2"/>
  <c r="AI1815" i="2"/>
  <c r="AX1843" i="2"/>
  <c r="BG1843" i="2" s="1"/>
  <c r="AX412" i="2"/>
  <c r="BG412" i="2" s="1"/>
  <c r="AI404" i="2"/>
  <c r="AX1151" i="2"/>
  <c r="BG1151" i="2" s="1"/>
  <c r="AD364" i="2"/>
  <c r="AN1775" i="2"/>
  <c r="X304" i="2"/>
  <c r="AN887" i="2"/>
  <c r="AN907" i="2"/>
  <c r="X364" i="2"/>
  <c r="AE364" i="2" s="1"/>
  <c r="AN1823" i="2"/>
  <c r="AX1779" i="2"/>
  <c r="BG1779" i="2" s="1"/>
  <c r="X1775" i="2"/>
  <c r="AO1775" i="2" s="1"/>
  <c r="AI304" i="2"/>
  <c r="AD887" i="2"/>
  <c r="AD907" i="2"/>
  <c r="AI364" i="2"/>
  <c r="AT364" i="2" s="1"/>
  <c r="AY364" i="2" s="1"/>
  <c r="BH364" i="2" s="1"/>
  <c r="X1823" i="2"/>
  <c r="AJ1823" i="2" s="1"/>
  <c r="AS370" i="2"/>
  <c r="AX370" i="2" s="1"/>
  <c r="BG370" i="2" s="1"/>
  <c r="AD346" i="2"/>
  <c r="X346" i="2"/>
  <c r="AN346" i="2"/>
  <c r="AI346" i="2"/>
  <c r="AS402" i="2"/>
  <c r="AX402" i="2" s="1"/>
  <c r="BG402" i="2" s="1"/>
  <c r="AD362" i="2"/>
  <c r="AN362" i="2"/>
  <c r="X362" i="2"/>
  <c r="AI362" i="2"/>
  <c r="AD370" i="2"/>
  <c r="X370" i="2"/>
  <c r="AN370" i="2"/>
  <c r="AI370" i="2"/>
  <c r="AS330" i="2"/>
  <c r="AX330" i="2" s="1"/>
  <c r="BG330" i="2" s="1"/>
  <c r="AS354" i="2"/>
  <c r="AX354" i="2" s="1"/>
  <c r="BG354" i="2" s="1"/>
  <c r="AS378" i="2"/>
  <c r="AX378" i="2" s="1"/>
  <c r="BG378" i="2" s="1"/>
  <c r="AS394" i="2"/>
  <c r="AX394" i="2" s="1"/>
  <c r="BG394" i="2" s="1"/>
  <c r="AD338" i="2"/>
  <c r="AN338" i="2"/>
  <c r="AI338" i="2"/>
  <c r="X338" i="2"/>
  <c r="AD402" i="2"/>
  <c r="AN402" i="2"/>
  <c r="X402" i="2"/>
  <c r="AI402" i="2"/>
  <c r="AD386" i="2"/>
  <c r="AN386" i="2"/>
  <c r="AI386" i="2"/>
  <c r="X386" i="2"/>
  <c r="AS362" i="2"/>
  <c r="AX362" i="2" s="1"/>
  <c r="BG362" i="2" s="1"/>
  <c r="AS338" i="2"/>
  <c r="AX338" i="2" s="1"/>
  <c r="BG338" i="2" s="1"/>
  <c r="AD330" i="2"/>
  <c r="X330" i="2"/>
  <c r="AN330" i="2"/>
  <c r="AI330" i="2"/>
  <c r="AD354" i="2"/>
  <c r="AN354" i="2"/>
  <c r="AI354" i="2"/>
  <c r="X354" i="2"/>
  <c r="AD378" i="2"/>
  <c r="AN378" i="2"/>
  <c r="X378" i="2"/>
  <c r="AI378" i="2"/>
  <c r="AD394" i="2"/>
  <c r="X394" i="2"/>
  <c r="AN394" i="2"/>
  <c r="AI394" i="2"/>
  <c r="AS386" i="2"/>
  <c r="AX386" i="2" s="1"/>
  <c r="BG386" i="2" s="1"/>
  <c r="AS346" i="2"/>
  <c r="AX346" i="2" s="1"/>
  <c r="BG346" i="2" s="1"/>
  <c r="AT320" i="2"/>
  <c r="AY320" i="2" s="1"/>
  <c r="BH320" i="2" s="1"/>
  <c r="AS146" i="2"/>
  <c r="AX146" i="2" s="1"/>
  <c r="BG146" i="2" s="1"/>
  <c r="AO320" i="2"/>
  <c r="AJ320" i="2"/>
  <c r="AE320" i="2"/>
  <c r="AS29" i="2"/>
  <c r="AX29" i="2" s="1"/>
  <c r="BG29" i="2" s="1"/>
  <c r="AS61" i="2"/>
  <c r="AX61" i="2" s="1"/>
  <c r="BG61" i="2" s="1"/>
  <c r="AS93" i="2"/>
  <c r="AX93" i="2" s="1"/>
  <c r="BG93" i="2" s="1"/>
  <c r="AD302" i="2"/>
  <c r="AN302" i="2"/>
  <c r="AI302" i="2"/>
  <c r="X302" i="2"/>
  <c r="AI629" i="2"/>
  <c r="AD629" i="2"/>
  <c r="AN629" i="2"/>
  <c r="X629" i="2"/>
  <c r="AI645" i="2"/>
  <c r="AD645" i="2"/>
  <c r="AN645" i="2"/>
  <c r="X645" i="2"/>
  <c r="AI661" i="2"/>
  <c r="AD661" i="2"/>
  <c r="AN661" i="2"/>
  <c r="X661" i="2"/>
  <c r="AI677" i="2"/>
  <c r="AD677" i="2"/>
  <c r="AN677" i="2"/>
  <c r="X677" i="2"/>
  <c r="AI693" i="2"/>
  <c r="AD693" i="2"/>
  <c r="AN693" i="2"/>
  <c r="X693" i="2"/>
  <c r="AI709" i="2"/>
  <c r="AD709" i="2"/>
  <c r="AN709" i="2"/>
  <c r="X709" i="2"/>
  <c r="AN1215" i="2"/>
  <c r="X1215" i="2"/>
  <c r="AI1215" i="2"/>
  <c r="AD1215" i="2"/>
  <c r="AN1279" i="2"/>
  <c r="X1279" i="2"/>
  <c r="AI1279" i="2"/>
  <c r="AD1279" i="2"/>
  <c r="AN1343" i="2"/>
  <c r="X1343" i="2"/>
  <c r="AI1343" i="2"/>
  <c r="AD1343" i="2"/>
  <c r="AN1661" i="2"/>
  <c r="X1661" i="2"/>
  <c r="AI1661" i="2"/>
  <c r="AD1661" i="2"/>
  <c r="AN2092" i="2"/>
  <c r="X2092" i="2"/>
  <c r="AI2092" i="2"/>
  <c r="AD2092" i="2"/>
  <c r="AN293" i="2"/>
  <c r="X293" i="2"/>
  <c r="AI293" i="2"/>
  <c r="AD293" i="2"/>
  <c r="AS1205" i="2"/>
  <c r="AX1205" i="2" s="1"/>
  <c r="BG1205" i="2" s="1"/>
  <c r="AS1269" i="2"/>
  <c r="AX1269" i="2" s="1"/>
  <c r="BG1269" i="2" s="1"/>
  <c r="AS1333" i="2"/>
  <c r="AX1333" i="2" s="1"/>
  <c r="BG1333" i="2" s="1"/>
  <c r="AS1511" i="2"/>
  <c r="AX1511" i="2" s="1"/>
  <c r="BG1511" i="2" s="1"/>
  <c r="AO1815" i="2"/>
  <c r="AJ1815" i="2"/>
  <c r="AE1815" i="2"/>
  <c r="AS1750" i="2"/>
  <c r="AX1750" i="2" s="1"/>
  <c r="BG1750" i="2" s="1"/>
  <c r="AS1848" i="2"/>
  <c r="AX1848" i="2" s="1"/>
  <c r="BG1848" i="2" s="1"/>
  <c r="AI1769" i="2"/>
  <c r="X1769" i="2"/>
  <c r="AN1769" i="2"/>
  <c r="AD1769" i="2"/>
  <c r="AI1785" i="2"/>
  <c r="X1785" i="2"/>
  <c r="AN1785" i="2"/>
  <c r="AD1785" i="2"/>
  <c r="AI1801" i="2"/>
  <c r="X1801" i="2"/>
  <c r="AN1801" i="2"/>
  <c r="AD1801" i="2"/>
  <c r="AN2096" i="2"/>
  <c r="X2096" i="2"/>
  <c r="AI2096" i="2"/>
  <c r="AD2096" i="2"/>
  <c r="AS2198" i="2"/>
  <c r="AX2198" i="2" s="1"/>
  <c r="BG2198" i="2" s="1"/>
  <c r="AJ136" i="2"/>
  <c r="AO136" i="2"/>
  <c r="AE136" i="2"/>
  <c r="AN189" i="2"/>
  <c r="X189" i="2"/>
  <c r="AD189" i="2"/>
  <c r="AI189" i="2"/>
  <c r="AS276" i="2"/>
  <c r="AX276" i="2" s="1"/>
  <c r="BG276" i="2" s="1"/>
  <c r="AI936" i="2"/>
  <c r="AN936" i="2"/>
  <c r="X936" i="2"/>
  <c r="AD936" i="2"/>
  <c r="AS538" i="2"/>
  <c r="AX538" i="2" s="1"/>
  <c r="BG538" i="2" s="1"/>
  <c r="AI647" i="2"/>
  <c r="AD647" i="2"/>
  <c r="AN647" i="2"/>
  <c r="X647" i="2"/>
  <c r="AI711" i="2"/>
  <c r="AD711" i="2"/>
  <c r="AN711" i="2"/>
  <c r="X711" i="2"/>
  <c r="AS1048" i="2"/>
  <c r="AX1048" i="2" s="1"/>
  <c r="BG1048" i="2" s="1"/>
  <c r="AI1059" i="2"/>
  <c r="AD1059" i="2"/>
  <c r="AN1059" i="2"/>
  <c r="X1059" i="2"/>
  <c r="AS1476" i="2"/>
  <c r="AX1476" i="2" s="1"/>
  <c r="BG1476" i="2" s="1"/>
  <c r="AN1569" i="2"/>
  <c r="X1569" i="2"/>
  <c r="AD1569" i="2"/>
  <c r="AI1569" i="2"/>
  <c r="AS1611" i="2"/>
  <c r="AX1611" i="2" s="1"/>
  <c r="BG1611" i="2" s="1"/>
  <c r="AS1449" i="2"/>
  <c r="AX1449" i="2" s="1"/>
  <c r="BG1449" i="2" s="1"/>
  <c r="AS1465" i="2"/>
  <c r="AX1465" i="2" s="1"/>
  <c r="BG1465" i="2" s="1"/>
  <c r="AS1637" i="2"/>
  <c r="AX1637" i="2" s="1"/>
  <c r="BG1637" i="2" s="1"/>
  <c r="AI2196" i="2"/>
  <c r="AD2196" i="2"/>
  <c r="AN2196" i="2"/>
  <c r="X2196" i="2"/>
  <c r="AS2329" i="2"/>
  <c r="AX2329" i="2" s="1"/>
  <c r="BG2329" i="2" s="1"/>
  <c r="AS2337" i="2"/>
  <c r="AX2337" i="2" s="1"/>
  <c r="BG2337" i="2" s="1"/>
  <c r="AS2353" i="2"/>
  <c r="AX2353" i="2" s="1"/>
  <c r="BG2353" i="2" s="1"/>
  <c r="AS2369" i="2"/>
  <c r="AX2369" i="2" s="1"/>
  <c r="BG2369" i="2" s="1"/>
  <c r="AS2377" i="2"/>
  <c r="AX2377" i="2" s="1"/>
  <c r="BG2377" i="2" s="1"/>
  <c r="AN2500" i="2"/>
  <c r="X2500" i="2"/>
  <c r="AD2500" i="2"/>
  <c r="AI2500" i="2"/>
  <c r="AS1214" i="2"/>
  <c r="AX1214" i="2" s="1"/>
  <c r="BG1214" i="2" s="1"/>
  <c r="AS1278" i="2"/>
  <c r="AX1278" i="2" s="1"/>
  <c r="BG1278" i="2" s="1"/>
  <c r="AN1479" i="2"/>
  <c r="X1479" i="2"/>
  <c r="AD1479" i="2"/>
  <c r="AI1479" i="2"/>
  <c r="AS1379" i="2"/>
  <c r="AX1379" i="2" s="1"/>
  <c r="BG1379" i="2" s="1"/>
  <c r="AN1386" i="2"/>
  <c r="X1386" i="2"/>
  <c r="AI1386" i="2"/>
  <c r="AD1386" i="2"/>
  <c r="AS1571" i="2"/>
  <c r="AX1571" i="2" s="1"/>
  <c r="BG1571" i="2" s="1"/>
  <c r="AN1854" i="2"/>
  <c r="X1854" i="2"/>
  <c r="AI1854" i="2"/>
  <c r="AD1854" i="2"/>
  <c r="AN2056" i="2"/>
  <c r="X2056" i="2"/>
  <c r="AI2056" i="2"/>
  <c r="AD2056" i="2"/>
  <c r="AI2408" i="2"/>
  <c r="AN2408" i="2"/>
  <c r="X2408" i="2"/>
  <c r="AD2408" i="2"/>
  <c r="AS2476" i="2"/>
  <c r="AX2476" i="2" s="1"/>
  <c r="BG2476" i="2" s="1"/>
  <c r="AD2344" i="2"/>
  <c r="AN2344" i="2"/>
  <c r="X2344" i="2"/>
  <c r="AI2344" i="2"/>
  <c r="AD2376" i="2"/>
  <c r="AN2376" i="2"/>
  <c r="X2376" i="2"/>
  <c r="AI2376" i="2"/>
  <c r="AD2384" i="2"/>
  <c r="AN2384" i="2"/>
  <c r="X2384" i="2"/>
  <c r="AI2384" i="2"/>
  <c r="AN285" i="2"/>
  <c r="X285" i="2"/>
  <c r="AI285" i="2"/>
  <c r="AD285" i="2"/>
  <c r="AS551" i="2"/>
  <c r="AX551" i="2" s="1"/>
  <c r="BG551" i="2" s="1"/>
  <c r="AD326" i="2"/>
  <c r="AN326" i="2"/>
  <c r="AI326" i="2"/>
  <c r="X326" i="2"/>
  <c r="AO388" i="2"/>
  <c r="AJ388" i="2"/>
  <c r="AE388" i="2"/>
  <c r="AI756" i="2"/>
  <c r="AN756" i="2"/>
  <c r="X756" i="2"/>
  <c r="AD756" i="2"/>
  <c r="AI820" i="2"/>
  <c r="AN820" i="2"/>
  <c r="X820" i="2"/>
  <c r="AD820" i="2"/>
  <c r="AI884" i="2"/>
  <c r="AN884" i="2"/>
  <c r="X884" i="2"/>
  <c r="AD884" i="2"/>
  <c r="AT1149" i="2"/>
  <c r="AY1149" i="2" s="1"/>
  <c r="BH1149" i="2" s="1"/>
  <c r="AS1180" i="2"/>
  <c r="AX1180" i="2" s="1"/>
  <c r="BG1180" i="2" s="1"/>
  <c r="AS1199" i="2"/>
  <c r="AX1199" i="2" s="1"/>
  <c r="BG1199" i="2" s="1"/>
  <c r="AS1263" i="2"/>
  <c r="AX1263" i="2" s="1"/>
  <c r="BG1263" i="2" s="1"/>
  <c r="AS1327" i="2"/>
  <c r="AX1327" i="2" s="1"/>
  <c r="BG1327" i="2" s="1"/>
  <c r="AS1306" i="2"/>
  <c r="AX1306" i="2" s="1"/>
  <c r="BG1306" i="2" s="1"/>
  <c r="AN1417" i="2"/>
  <c r="X1417" i="2"/>
  <c r="AD1417" i="2"/>
  <c r="AI1417" i="2"/>
  <c r="AN1475" i="2"/>
  <c r="X1475" i="2"/>
  <c r="AD1475" i="2"/>
  <c r="AI1475" i="2"/>
  <c r="AN1533" i="2"/>
  <c r="X1533" i="2"/>
  <c r="AD1533" i="2"/>
  <c r="AI1533" i="2"/>
  <c r="AS1722" i="2"/>
  <c r="AX1722" i="2" s="1"/>
  <c r="BG1722" i="2" s="1"/>
  <c r="AD2089" i="2"/>
  <c r="AN2089" i="2"/>
  <c r="X2089" i="2"/>
  <c r="AI2089" i="2"/>
  <c r="AS142" i="2"/>
  <c r="AX142" i="2" s="1"/>
  <c r="BG142" i="2" s="1"/>
  <c r="AS208" i="2"/>
  <c r="AX208" i="2" s="1"/>
  <c r="BG208" i="2" s="1"/>
  <c r="AN133" i="2"/>
  <c r="X133" i="2"/>
  <c r="AI133" i="2"/>
  <c r="AD133" i="2"/>
  <c r="AD414" i="2"/>
  <c r="AN414" i="2"/>
  <c r="AI414" i="2"/>
  <c r="X414" i="2"/>
  <c r="AS446" i="2"/>
  <c r="AX446" i="2" s="1"/>
  <c r="BG446" i="2" s="1"/>
  <c r="AD478" i="2"/>
  <c r="AN478" i="2"/>
  <c r="AI478" i="2"/>
  <c r="X478" i="2"/>
  <c r="AD1320" i="2"/>
  <c r="AN1320" i="2"/>
  <c r="X1320" i="2"/>
  <c r="AI1320" i="2"/>
  <c r="AD1238" i="2"/>
  <c r="AN1238" i="2"/>
  <c r="X1238" i="2"/>
  <c r="AI1238" i="2"/>
  <c r="AN1539" i="2"/>
  <c r="X1539" i="2"/>
  <c r="AD1539" i="2"/>
  <c r="AI1539" i="2"/>
  <c r="AS1670" i="2"/>
  <c r="AX1670" i="2" s="1"/>
  <c r="BG1670" i="2" s="1"/>
  <c r="AS1734" i="2"/>
  <c r="AX1734" i="2" s="1"/>
  <c r="BG1734" i="2" s="1"/>
  <c r="AD2103" i="2"/>
  <c r="AN2103" i="2"/>
  <c r="X2103" i="2"/>
  <c r="AI2103" i="2"/>
  <c r="AN97" i="2"/>
  <c r="X97" i="2"/>
  <c r="AD97" i="2"/>
  <c r="AI97" i="2"/>
  <c r="AS34" i="2"/>
  <c r="AX34" i="2" s="1"/>
  <c r="BG34" i="2" s="1"/>
  <c r="AS234" i="2"/>
  <c r="AX234" i="2" s="1"/>
  <c r="BG234" i="2" s="1"/>
  <c r="AD535" i="2"/>
  <c r="AN535" i="2"/>
  <c r="X535" i="2"/>
  <c r="AI535" i="2"/>
  <c r="AS318" i="2"/>
  <c r="AX318" i="2" s="1"/>
  <c r="BG318" i="2" s="1"/>
  <c r="AS1348" i="2"/>
  <c r="AX1348" i="2" s="1"/>
  <c r="BG1348" i="2" s="1"/>
  <c r="AI1107" i="2"/>
  <c r="AD1107" i="2"/>
  <c r="AN1107" i="2"/>
  <c r="X1107" i="2"/>
  <c r="AN1223" i="2"/>
  <c r="X1223" i="2"/>
  <c r="AI1223" i="2"/>
  <c r="AD1223" i="2"/>
  <c r="AN1287" i="2"/>
  <c r="X1287" i="2"/>
  <c r="AI1287" i="2"/>
  <c r="AD1287" i="2"/>
  <c r="AN1351" i="2"/>
  <c r="X1351" i="2"/>
  <c r="AI1351" i="2"/>
  <c r="AD1351" i="2"/>
  <c r="AD1218" i="2"/>
  <c r="AN1218" i="2"/>
  <c r="X1218" i="2"/>
  <c r="AI1218" i="2"/>
  <c r="AS1659" i="2"/>
  <c r="AX1659" i="2" s="1"/>
  <c r="BG1659" i="2" s="1"/>
  <c r="AS1541" i="2"/>
  <c r="AX1541" i="2" s="1"/>
  <c r="BG1541" i="2" s="1"/>
  <c r="AN1856" i="2"/>
  <c r="X1856" i="2"/>
  <c r="AI1856" i="2"/>
  <c r="AD1856" i="2"/>
  <c r="AD1909" i="2"/>
  <c r="AN1909" i="2"/>
  <c r="X1909" i="2"/>
  <c r="AI1909" i="2"/>
  <c r="AD1973" i="2"/>
  <c r="AN1973" i="2"/>
  <c r="X1973" i="2"/>
  <c r="AI1973" i="2"/>
  <c r="AD2007" i="2"/>
  <c r="AN2007" i="2"/>
  <c r="X2007" i="2"/>
  <c r="AI2007" i="2"/>
  <c r="AS2113" i="2"/>
  <c r="AX2113" i="2" s="1"/>
  <c r="BG2113" i="2" s="1"/>
  <c r="AI2162" i="2"/>
  <c r="AD2162" i="2"/>
  <c r="AN2162" i="2"/>
  <c r="X2162" i="2"/>
  <c r="AS2460" i="2"/>
  <c r="AX2460" i="2" s="1"/>
  <c r="BG2460" i="2" s="1"/>
  <c r="AI2454" i="2"/>
  <c r="AD2454" i="2"/>
  <c r="AN2454" i="2"/>
  <c r="X2454" i="2"/>
  <c r="AS228" i="2"/>
  <c r="AX228" i="2" s="1"/>
  <c r="BG228" i="2" s="1"/>
  <c r="AN435" i="2"/>
  <c r="X435" i="2"/>
  <c r="AI435" i="2"/>
  <c r="AD435" i="2"/>
  <c r="AS278" i="2"/>
  <c r="AX278" i="2" s="1"/>
  <c r="BG278" i="2" s="1"/>
  <c r="AD1264" i="2"/>
  <c r="AN1264" i="2"/>
  <c r="X1264" i="2"/>
  <c r="AI1264" i="2"/>
  <c r="AS1049" i="2"/>
  <c r="AX1049" i="2" s="1"/>
  <c r="BG1049" i="2" s="1"/>
  <c r="AS1198" i="2"/>
  <c r="AX1198" i="2" s="1"/>
  <c r="BG1198" i="2" s="1"/>
  <c r="AN1407" i="2"/>
  <c r="X1407" i="2"/>
  <c r="AD1407" i="2"/>
  <c r="AI1407" i="2"/>
  <c r="AN1423" i="2"/>
  <c r="X1423" i="2"/>
  <c r="AD1423" i="2"/>
  <c r="AI1423" i="2"/>
  <c r="AN1657" i="2"/>
  <c r="X1657" i="2"/>
  <c r="AI1657" i="2"/>
  <c r="AD1657" i="2"/>
  <c r="AS2044" i="2"/>
  <c r="AX2044" i="2" s="1"/>
  <c r="BG2044" i="2" s="1"/>
  <c r="AD2063" i="2"/>
  <c r="AN2063" i="2"/>
  <c r="X2063" i="2"/>
  <c r="AI2063" i="2"/>
  <c r="AI2440" i="2"/>
  <c r="AD2440" i="2"/>
  <c r="AN2440" i="2"/>
  <c r="X2440" i="2"/>
  <c r="AS2487" i="2"/>
  <c r="AX2487" i="2" s="1"/>
  <c r="BG2487" i="2" s="1"/>
  <c r="AS2495" i="2"/>
  <c r="AX2495" i="2" s="1"/>
  <c r="BG2495" i="2" s="1"/>
  <c r="AI2452" i="2"/>
  <c r="AD2452" i="2"/>
  <c r="AN2452" i="2"/>
  <c r="X2452" i="2"/>
  <c r="AD238" i="2"/>
  <c r="AN238" i="2"/>
  <c r="AI238" i="2"/>
  <c r="X238" i="2"/>
  <c r="AO356" i="2"/>
  <c r="AJ356" i="2"/>
  <c r="AE356" i="2"/>
  <c r="AI637" i="2"/>
  <c r="AD637" i="2"/>
  <c r="AN637" i="2"/>
  <c r="X637" i="2"/>
  <c r="AI701" i="2"/>
  <c r="AD701" i="2"/>
  <c r="AN701" i="2"/>
  <c r="X701" i="2"/>
  <c r="AI1113" i="2"/>
  <c r="AN1113" i="2"/>
  <c r="X1113" i="2"/>
  <c r="AD1113" i="2"/>
  <c r="AN1225" i="2"/>
  <c r="X1225" i="2"/>
  <c r="AI1225" i="2"/>
  <c r="AD1225" i="2"/>
  <c r="AS1356" i="2"/>
  <c r="AX1356" i="2" s="1"/>
  <c r="BG1356" i="2" s="1"/>
  <c r="AN1183" i="2"/>
  <c r="X1183" i="2"/>
  <c r="AI1183" i="2"/>
  <c r="AD1183" i="2"/>
  <c r="AD1290" i="2"/>
  <c r="AN1290" i="2"/>
  <c r="X1290" i="2"/>
  <c r="AI1290" i="2"/>
  <c r="AS1442" i="2"/>
  <c r="AX1442" i="2" s="1"/>
  <c r="BG1442" i="2" s="1"/>
  <c r="AS1377" i="2"/>
  <c r="AX1377" i="2" s="1"/>
  <c r="BG1377" i="2" s="1"/>
  <c r="AN1491" i="2"/>
  <c r="X1491" i="2"/>
  <c r="AD1491" i="2"/>
  <c r="AI1491" i="2"/>
  <c r="AN1505" i="2"/>
  <c r="X1505" i="2"/>
  <c r="AD1505" i="2"/>
  <c r="AI1505" i="2"/>
  <c r="AS1762" i="2"/>
  <c r="AX1762" i="2" s="1"/>
  <c r="BG1762" i="2" s="1"/>
  <c r="AS1770" i="2"/>
  <c r="AX1770" i="2" s="1"/>
  <c r="BG1770" i="2" s="1"/>
  <c r="AS1778" i="2"/>
  <c r="AX1778" i="2" s="1"/>
  <c r="BG1778" i="2" s="1"/>
  <c r="AS1786" i="2"/>
  <c r="AX1786" i="2" s="1"/>
  <c r="BG1786" i="2" s="1"/>
  <c r="AS1794" i="2"/>
  <c r="AX1794" i="2" s="1"/>
  <c r="BG1794" i="2" s="1"/>
  <c r="AS1802" i="2"/>
  <c r="AX1802" i="2" s="1"/>
  <c r="BG1802" i="2" s="1"/>
  <c r="AS1810" i="2"/>
  <c r="AX1810" i="2" s="1"/>
  <c r="BG1810" i="2" s="1"/>
  <c r="AS1818" i="2"/>
  <c r="AX1818" i="2" s="1"/>
  <c r="BG1818" i="2" s="1"/>
  <c r="AS1826" i="2"/>
  <c r="AX1826" i="2" s="1"/>
  <c r="BG1826" i="2" s="1"/>
  <c r="AS1834" i="2"/>
  <c r="AX1834" i="2" s="1"/>
  <c r="BG1834" i="2" s="1"/>
  <c r="AN1956" i="2"/>
  <c r="X1956" i="2"/>
  <c r="AI1956" i="2"/>
  <c r="AD1956" i="2"/>
  <c r="AN1960" i="2"/>
  <c r="X1960" i="2"/>
  <c r="AI1960" i="2"/>
  <c r="AD1960" i="2"/>
  <c r="AN1964" i="2"/>
  <c r="X1964" i="2"/>
  <c r="AI1964" i="2"/>
  <c r="AD1964" i="2"/>
  <c r="AN1968" i="2"/>
  <c r="X1968" i="2"/>
  <c r="AI1968" i="2"/>
  <c r="AD1968" i="2"/>
  <c r="AN1972" i="2"/>
  <c r="X1972" i="2"/>
  <c r="AI1972" i="2"/>
  <c r="AD1972" i="2"/>
  <c r="AN1976" i="2"/>
  <c r="X1976" i="2"/>
  <c r="AI1976" i="2"/>
  <c r="AD1976" i="2"/>
  <c r="AN1980" i="2"/>
  <c r="X1980" i="2"/>
  <c r="AI1980" i="2"/>
  <c r="AD1980" i="2"/>
  <c r="AN1984" i="2"/>
  <c r="X1984" i="2"/>
  <c r="AI1984" i="2"/>
  <c r="AD1984" i="2"/>
  <c r="AN1988" i="2"/>
  <c r="X1988" i="2"/>
  <c r="AI1988" i="2"/>
  <c r="AD1988" i="2"/>
  <c r="AN1992" i="2"/>
  <c r="X1992" i="2"/>
  <c r="AI1992" i="2"/>
  <c r="AD1992" i="2"/>
  <c r="AN1996" i="2"/>
  <c r="X1996" i="2"/>
  <c r="AI1996" i="2"/>
  <c r="AD1996" i="2"/>
  <c r="AN2000" i="2"/>
  <c r="X2000" i="2"/>
  <c r="AI2000" i="2"/>
  <c r="AD2000" i="2"/>
  <c r="AN2004" i="2"/>
  <c r="X2004" i="2"/>
  <c r="AI2004" i="2"/>
  <c r="AD2004" i="2"/>
  <c r="AN2008" i="2"/>
  <c r="X2008" i="2"/>
  <c r="AI2008" i="2"/>
  <c r="AD2008" i="2"/>
  <c r="AN2012" i="2"/>
  <c r="X2012" i="2"/>
  <c r="AI2012" i="2"/>
  <c r="AD2012" i="2"/>
  <c r="AN2016" i="2"/>
  <c r="X2016" i="2"/>
  <c r="AI2016" i="2"/>
  <c r="AD2016" i="2"/>
  <c r="AS2101" i="2"/>
  <c r="AX2101" i="2" s="1"/>
  <c r="BG2101" i="2" s="1"/>
  <c r="AI2156" i="2"/>
  <c r="AD2156" i="2"/>
  <c r="AN2156" i="2"/>
  <c r="X2156" i="2"/>
  <c r="AN2321" i="2"/>
  <c r="X2321" i="2"/>
  <c r="AI2321" i="2"/>
  <c r="AD2321" i="2"/>
  <c r="AN2345" i="2"/>
  <c r="X2345" i="2"/>
  <c r="AI2345" i="2"/>
  <c r="AD2345" i="2"/>
  <c r="AN2361" i="2"/>
  <c r="X2361" i="2"/>
  <c r="AI2361" i="2"/>
  <c r="AD2361" i="2"/>
  <c r="AN2385" i="2"/>
  <c r="X2385" i="2"/>
  <c r="AI2385" i="2"/>
  <c r="AD2385" i="2"/>
  <c r="AD260" i="2"/>
  <c r="AN260" i="2"/>
  <c r="AI260" i="2"/>
  <c r="X260" i="2"/>
  <c r="AS274" i="2"/>
  <c r="AX274" i="2" s="1"/>
  <c r="BG274" i="2" s="1"/>
  <c r="AD527" i="2"/>
  <c r="AN527" i="2"/>
  <c r="X527" i="2"/>
  <c r="AI527" i="2"/>
  <c r="AS398" i="2"/>
  <c r="AX398" i="2" s="1"/>
  <c r="BG398" i="2" s="1"/>
  <c r="AD1304" i="2"/>
  <c r="AN1304" i="2"/>
  <c r="X1304" i="2"/>
  <c r="AI1304" i="2"/>
  <c r="AS1179" i="2"/>
  <c r="AX1179" i="2" s="1"/>
  <c r="BG1179" i="2" s="1"/>
  <c r="AD1222" i="2"/>
  <c r="AN1222" i="2"/>
  <c r="X1222" i="2"/>
  <c r="AI1222" i="2"/>
  <c r="AS1591" i="2"/>
  <c r="AX1591" i="2" s="1"/>
  <c r="BG1591" i="2" s="1"/>
  <c r="AD1616" i="2"/>
  <c r="AN1616" i="2"/>
  <c r="X1616" i="2"/>
  <c r="AI1616" i="2"/>
  <c r="AS1863" i="2"/>
  <c r="AX1863" i="2" s="1"/>
  <c r="BG1863" i="2" s="1"/>
  <c r="AS1871" i="2"/>
  <c r="AX1871" i="2" s="1"/>
  <c r="BG1871" i="2" s="1"/>
  <c r="AS1879" i="2"/>
  <c r="AX1879" i="2" s="1"/>
  <c r="BG1879" i="2" s="1"/>
  <c r="AS1887" i="2"/>
  <c r="AX1887" i="2" s="1"/>
  <c r="BG1887" i="2" s="1"/>
  <c r="AS1895" i="2"/>
  <c r="AX1895" i="2" s="1"/>
  <c r="BG1895" i="2" s="1"/>
  <c r="AS1903" i="2"/>
  <c r="AX1903" i="2" s="1"/>
  <c r="BG1903" i="2" s="1"/>
  <c r="AS1911" i="2"/>
  <c r="AX1911" i="2" s="1"/>
  <c r="BG1911" i="2" s="1"/>
  <c r="AS1919" i="2"/>
  <c r="AX1919" i="2" s="1"/>
  <c r="BG1919" i="2" s="1"/>
  <c r="AS1927" i="2"/>
  <c r="AX1927" i="2" s="1"/>
  <c r="BG1927" i="2" s="1"/>
  <c r="AS1935" i="2"/>
  <c r="AX1935" i="2" s="1"/>
  <c r="BG1935" i="2" s="1"/>
  <c r="AS1943" i="2"/>
  <c r="AX1943" i="2" s="1"/>
  <c r="BG1943" i="2" s="1"/>
  <c r="AS1951" i="2"/>
  <c r="AX1951" i="2" s="1"/>
  <c r="BG1951" i="2" s="1"/>
  <c r="AI1844" i="2"/>
  <c r="AD1844" i="2"/>
  <c r="X1844" i="2"/>
  <c r="AN1844" i="2"/>
  <c r="AS2166" i="2"/>
  <c r="AX2166" i="2" s="1"/>
  <c r="BG2166" i="2" s="1"/>
  <c r="AN21" i="2"/>
  <c r="X21" i="2"/>
  <c r="AD21" i="2"/>
  <c r="AI21" i="2"/>
  <c r="AN143" i="2"/>
  <c r="X143" i="2"/>
  <c r="AI143" i="2"/>
  <c r="AD143" i="2"/>
  <c r="AD280" i="2"/>
  <c r="AN280" i="2"/>
  <c r="AI280" i="2"/>
  <c r="X280" i="2"/>
  <c r="AS434" i="2"/>
  <c r="AX434" i="2" s="1"/>
  <c r="BG434" i="2" s="1"/>
  <c r="AD464" i="2"/>
  <c r="AN464" i="2"/>
  <c r="AI464" i="2"/>
  <c r="X464" i="2"/>
  <c r="AD286" i="2"/>
  <c r="AN286" i="2"/>
  <c r="AI286" i="2"/>
  <c r="X286" i="2"/>
  <c r="AO340" i="2"/>
  <c r="AJ340" i="2"/>
  <c r="AE340" i="2"/>
  <c r="AS1249" i="2"/>
  <c r="AX1249" i="2" s="1"/>
  <c r="BG1249" i="2" s="1"/>
  <c r="AD1204" i="2"/>
  <c r="AN1204" i="2"/>
  <c r="X1204" i="2"/>
  <c r="AI1204" i="2"/>
  <c r="AN1335" i="2"/>
  <c r="X1335" i="2"/>
  <c r="AI1335" i="2"/>
  <c r="AD1335" i="2"/>
  <c r="AD1330" i="2"/>
  <c r="AN1330" i="2"/>
  <c r="X1330" i="2"/>
  <c r="AI1330" i="2"/>
  <c r="AD1604" i="2"/>
  <c r="AN1604" i="2"/>
  <c r="X1604" i="2"/>
  <c r="AI1604" i="2"/>
  <c r="AN1473" i="2"/>
  <c r="X1473" i="2"/>
  <c r="AD1473" i="2"/>
  <c r="AI1473" i="2"/>
  <c r="AS1605" i="2"/>
  <c r="AX1605" i="2" s="1"/>
  <c r="BG1605" i="2" s="1"/>
  <c r="AD1630" i="2"/>
  <c r="AN1630" i="2"/>
  <c r="X1630" i="2"/>
  <c r="AI1630" i="2"/>
  <c r="AD1905" i="2"/>
  <c r="AN1905" i="2"/>
  <c r="X1905" i="2"/>
  <c r="AI1905" i="2"/>
  <c r="AD1969" i="2"/>
  <c r="AN1969" i="2"/>
  <c r="X1969" i="2"/>
  <c r="AI1969" i="2"/>
  <c r="AS2003" i="2"/>
  <c r="AX2003" i="2" s="1"/>
  <c r="BG2003" i="2" s="1"/>
  <c r="AI2164" i="2"/>
  <c r="AD2164" i="2"/>
  <c r="AN2164" i="2"/>
  <c r="X2164" i="2"/>
  <c r="AN2315" i="2"/>
  <c r="X2315" i="2"/>
  <c r="AI2315" i="2"/>
  <c r="AD2315" i="2"/>
  <c r="AN2323" i="2"/>
  <c r="X2323" i="2"/>
  <c r="AI2323" i="2"/>
  <c r="AD2323" i="2"/>
  <c r="AN2331" i="2"/>
  <c r="X2331" i="2"/>
  <c r="AI2331" i="2"/>
  <c r="AD2331" i="2"/>
  <c r="AN2339" i="2"/>
  <c r="X2339" i="2"/>
  <c r="AI2339" i="2"/>
  <c r="AD2339" i="2"/>
  <c r="AN2347" i="2"/>
  <c r="X2347" i="2"/>
  <c r="AI2347" i="2"/>
  <c r="AD2347" i="2"/>
  <c r="AN2355" i="2"/>
  <c r="X2355" i="2"/>
  <c r="AI2355" i="2"/>
  <c r="AD2355" i="2"/>
  <c r="AN2363" i="2"/>
  <c r="X2363" i="2"/>
  <c r="AI2363" i="2"/>
  <c r="AD2363" i="2"/>
  <c r="AN2371" i="2"/>
  <c r="X2371" i="2"/>
  <c r="AI2371" i="2"/>
  <c r="AD2371" i="2"/>
  <c r="AN2379" i="2"/>
  <c r="X2379" i="2"/>
  <c r="AI2379" i="2"/>
  <c r="AD2379" i="2"/>
  <c r="AN2387" i="2"/>
  <c r="X2387" i="2"/>
  <c r="AI2387" i="2"/>
  <c r="AD2387" i="2"/>
  <c r="AI2444" i="2"/>
  <c r="AD2444" i="2"/>
  <c r="AN2444" i="2"/>
  <c r="X2444" i="2"/>
  <c r="AI2396" i="2"/>
  <c r="AN2396" i="2"/>
  <c r="X2396" i="2"/>
  <c r="AD2396" i="2"/>
  <c r="AI2446" i="2"/>
  <c r="AD2446" i="2"/>
  <c r="AN2446" i="2"/>
  <c r="X2446" i="2"/>
  <c r="AS2328" i="2"/>
  <c r="AX2328" i="2" s="1"/>
  <c r="BG2328" i="2" s="1"/>
  <c r="AS2352" i="2"/>
  <c r="AX2352" i="2" s="1"/>
  <c r="BG2352" i="2" s="1"/>
  <c r="AS2360" i="2"/>
  <c r="AX2360" i="2" s="1"/>
  <c r="BG2360" i="2" s="1"/>
  <c r="AS525" i="2"/>
  <c r="AX525" i="2" s="1"/>
  <c r="BG525" i="2" s="1"/>
  <c r="AN528" i="2"/>
  <c r="X528" i="2"/>
  <c r="AI528" i="2"/>
  <c r="AD528" i="2"/>
  <c r="AS514" i="2"/>
  <c r="AX514" i="2" s="1"/>
  <c r="BG514" i="2" s="1"/>
  <c r="AS546" i="2"/>
  <c r="AX546" i="2" s="1"/>
  <c r="BG546" i="2" s="1"/>
  <c r="AS1044" i="2"/>
  <c r="AX1044" i="2" s="1"/>
  <c r="BG1044" i="2" s="1"/>
  <c r="AS1325" i="2"/>
  <c r="AX1325" i="2" s="1"/>
  <c r="BG1325" i="2" s="1"/>
  <c r="AD1246" i="2"/>
  <c r="AN1246" i="2"/>
  <c r="X1246" i="2"/>
  <c r="AI1246" i="2"/>
  <c r="AD1310" i="2"/>
  <c r="AN1310" i="2"/>
  <c r="X1310" i="2"/>
  <c r="AI1310" i="2"/>
  <c r="AD1383" i="2"/>
  <c r="AI1383" i="2"/>
  <c r="AN1383" i="2"/>
  <c r="X1383" i="2"/>
  <c r="AS1599" i="2"/>
  <c r="AX1599" i="2" s="1"/>
  <c r="BG1599" i="2" s="1"/>
  <c r="AN1563" i="2"/>
  <c r="X1563" i="2"/>
  <c r="AD1563" i="2"/>
  <c r="AI1563" i="2"/>
  <c r="AI1760" i="2"/>
  <c r="AD1760" i="2"/>
  <c r="X1760" i="2"/>
  <c r="AN1760" i="2"/>
  <c r="AI2192" i="2"/>
  <c r="AD2192" i="2"/>
  <c r="AN2192" i="2"/>
  <c r="X2192" i="2"/>
  <c r="AI2424" i="2"/>
  <c r="AD2424" i="2"/>
  <c r="AN2424" i="2"/>
  <c r="X2424" i="2"/>
  <c r="AS2466" i="2"/>
  <c r="AX2466" i="2" s="1"/>
  <c r="BG2466" i="2" s="1"/>
  <c r="AS2410" i="2"/>
  <c r="AX2410" i="2" s="1"/>
  <c r="BG2410" i="2" s="1"/>
  <c r="AS2426" i="2"/>
  <c r="AX2426" i="2" s="1"/>
  <c r="BG2426" i="2" s="1"/>
  <c r="AD312" i="2"/>
  <c r="AN312" i="2"/>
  <c r="AI312" i="2"/>
  <c r="X312" i="2"/>
  <c r="AS410" i="2"/>
  <c r="AX410" i="2" s="1"/>
  <c r="BG410" i="2" s="1"/>
  <c r="AD440" i="2"/>
  <c r="AN440" i="2"/>
  <c r="AI440" i="2"/>
  <c r="X440" i="2"/>
  <c r="AN489" i="2"/>
  <c r="X489" i="2"/>
  <c r="AI489" i="2"/>
  <c r="AD489" i="2"/>
  <c r="AN13" i="2"/>
  <c r="X13" i="2"/>
  <c r="AI13" i="2"/>
  <c r="AD13" i="2"/>
  <c r="AN534" i="2"/>
  <c r="X534" i="2"/>
  <c r="AI534" i="2"/>
  <c r="AD534" i="2"/>
  <c r="AS665" i="2"/>
  <c r="AX665" i="2" s="1"/>
  <c r="BG665" i="2" s="1"/>
  <c r="AI1065" i="2"/>
  <c r="AN1065" i="2"/>
  <c r="X1065" i="2"/>
  <c r="AD1065" i="2"/>
  <c r="AI1129" i="2"/>
  <c r="AN1129" i="2"/>
  <c r="X1129" i="2"/>
  <c r="AD1129" i="2"/>
  <c r="AS1212" i="2"/>
  <c r="AX1212" i="2" s="1"/>
  <c r="BG1212" i="2" s="1"/>
  <c r="AS1276" i="2"/>
  <c r="AX1276" i="2" s="1"/>
  <c r="BG1276" i="2" s="1"/>
  <c r="AS1340" i="2"/>
  <c r="AX1340" i="2" s="1"/>
  <c r="BG1340" i="2" s="1"/>
  <c r="AN1380" i="2"/>
  <c r="X1380" i="2"/>
  <c r="AI1380" i="2"/>
  <c r="AD1380" i="2"/>
  <c r="AN1359" i="2"/>
  <c r="X1359" i="2"/>
  <c r="AI1359" i="2"/>
  <c r="AD1359" i="2"/>
  <c r="AD1210" i="2"/>
  <c r="AN1210" i="2"/>
  <c r="X1210" i="2"/>
  <c r="AI1210" i="2"/>
  <c r="AD1274" i="2"/>
  <c r="AN1274" i="2"/>
  <c r="X1274" i="2"/>
  <c r="AI1274" i="2"/>
  <c r="AD1338" i="2"/>
  <c r="AN1338" i="2"/>
  <c r="X1338" i="2"/>
  <c r="AI1338" i="2"/>
  <c r="AN1613" i="2"/>
  <c r="X1613" i="2"/>
  <c r="AI1613" i="2"/>
  <c r="AD1613" i="2"/>
  <c r="AS1638" i="2"/>
  <c r="AX1638" i="2" s="1"/>
  <c r="BG1638" i="2" s="1"/>
  <c r="AI1820" i="2"/>
  <c r="AD1820" i="2"/>
  <c r="X1820" i="2"/>
  <c r="AN1820" i="2"/>
  <c r="AS2049" i="2"/>
  <c r="AX2049" i="2" s="1"/>
  <c r="BG2049" i="2" s="1"/>
  <c r="AS2065" i="2"/>
  <c r="AX2065" i="2" s="1"/>
  <c r="BG2065" i="2" s="1"/>
  <c r="AS2081" i="2"/>
  <c r="AX2081" i="2" s="1"/>
  <c r="BG2081" i="2" s="1"/>
  <c r="AS2097" i="2"/>
  <c r="AX2097" i="2" s="1"/>
  <c r="BG2097" i="2" s="1"/>
  <c r="AI2115" i="2"/>
  <c r="AD2115" i="2"/>
  <c r="AN2115" i="2"/>
  <c r="X2115" i="2"/>
  <c r="AI2117" i="2"/>
  <c r="AD2117" i="2"/>
  <c r="AN2117" i="2"/>
  <c r="X2117" i="2"/>
  <c r="AI2119" i="2"/>
  <c r="AD2119" i="2"/>
  <c r="AN2119" i="2"/>
  <c r="X2119" i="2"/>
  <c r="AI2121" i="2"/>
  <c r="AD2121" i="2"/>
  <c r="AN2121" i="2"/>
  <c r="X2121" i="2"/>
  <c r="AI2123" i="2"/>
  <c r="AD2123" i="2"/>
  <c r="AN2123" i="2"/>
  <c r="X2123" i="2"/>
  <c r="AI2125" i="2"/>
  <c r="AD2125" i="2"/>
  <c r="AN2125" i="2"/>
  <c r="X2125" i="2"/>
  <c r="AI2127" i="2"/>
  <c r="AD2127" i="2"/>
  <c r="AN2127" i="2"/>
  <c r="X2127" i="2"/>
  <c r="AI2129" i="2"/>
  <c r="AD2129" i="2"/>
  <c r="AN2129" i="2"/>
  <c r="X2129" i="2"/>
  <c r="AI2131" i="2"/>
  <c r="AD2131" i="2"/>
  <c r="AN2131" i="2"/>
  <c r="X2131" i="2"/>
  <c r="AI2133" i="2"/>
  <c r="AD2133" i="2"/>
  <c r="AN2133" i="2"/>
  <c r="X2133" i="2"/>
  <c r="AI2135" i="2"/>
  <c r="AD2135" i="2"/>
  <c r="AN2135" i="2"/>
  <c r="X2135" i="2"/>
  <c r="AI2137" i="2"/>
  <c r="AD2137" i="2"/>
  <c r="AN2137" i="2"/>
  <c r="X2137" i="2"/>
  <c r="AI2139" i="2"/>
  <c r="AD2139" i="2"/>
  <c r="AN2139" i="2"/>
  <c r="X2139" i="2"/>
  <c r="AI2141" i="2"/>
  <c r="AD2141" i="2"/>
  <c r="AN2141" i="2"/>
  <c r="X2141" i="2"/>
  <c r="AD6" i="2"/>
  <c r="AI6" i="2"/>
  <c r="AN6" i="2"/>
  <c r="X6" i="2"/>
  <c r="AD54" i="2"/>
  <c r="AI54" i="2"/>
  <c r="AN54" i="2"/>
  <c r="X54" i="2"/>
  <c r="AN37" i="2"/>
  <c r="X37" i="2"/>
  <c r="AI37" i="2"/>
  <c r="AD37" i="2"/>
  <c r="AI557" i="2"/>
  <c r="AD557" i="2"/>
  <c r="AN557" i="2"/>
  <c r="X557" i="2"/>
  <c r="AI559" i="2"/>
  <c r="AD559" i="2"/>
  <c r="AN559" i="2"/>
  <c r="X559" i="2"/>
  <c r="AI561" i="2"/>
  <c r="AD561" i="2"/>
  <c r="AN561" i="2"/>
  <c r="X561" i="2"/>
  <c r="AI563" i="2"/>
  <c r="AD563" i="2"/>
  <c r="AN563" i="2"/>
  <c r="X563" i="2"/>
  <c r="AI565" i="2"/>
  <c r="AD565" i="2"/>
  <c r="AN565" i="2"/>
  <c r="X565" i="2"/>
  <c r="AI567" i="2"/>
  <c r="AD567" i="2"/>
  <c r="AN567" i="2"/>
  <c r="X567" i="2"/>
  <c r="AI569" i="2"/>
  <c r="AD569" i="2"/>
  <c r="AN569" i="2"/>
  <c r="X569" i="2"/>
  <c r="AI571" i="2"/>
  <c r="AD571" i="2"/>
  <c r="AN571" i="2"/>
  <c r="X571" i="2"/>
  <c r="AI573" i="2"/>
  <c r="AD573" i="2"/>
  <c r="AN573" i="2"/>
  <c r="X573" i="2"/>
  <c r="AI575" i="2"/>
  <c r="AD575" i="2"/>
  <c r="AN575" i="2"/>
  <c r="X575" i="2"/>
  <c r="AI577" i="2"/>
  <c r="AD577" i="2"/>
  <c r="AN577" i="2"/>
  <c r="X577" i="2"/>
  <c r="AI579" i="2"/>
  <c r="AD579" i="2"/>
  <c r="AN579" i="2"/>
  <c r="X579" i="2"/>
  <c r="AI581" i="2"/>
  <c r="AD581" i="2"/>
  <c r="AN581" i="2"/>
  <c r="X581" i="2"/>
  <c r="AI583" i="2"/>
  <c r="AD583" i="2"/>
  <c r="AN583" i="2"/>
  <c r="X583" i="2"/>
  <c r="AI585" i="2"/>
  <c r="AD585" i="2"/>
  <c r="AN585" i="2"/>
  <c r="X585" i="2"/>
  <c r="AI587" i="2"/>
  <c r="AD587" i="2"/>
  <c r="AN587" i="2"/>
  <c r="X587" i="2"/>
  <c r="AI589" i="2"/>
  <c r="AD589" i="2"/>
  <c r="AN589" i="2"/>
  <c r="X589" i="2"/>
  <c r="AI591" i="2"/>
  <c r="AD591" i="2"/>
  <c r="AN591" i="2"/>
  <c r="X591" i="2"/>
  <c r="AI593" i="2"/>
  <c r="AD593" i="2"/>
  <c r="AN593" i="2"/>
  <c r="X593" i="2"/>
  <c r="AI595" i="2"/>
  <c r="AD595" i="2"/>
  <c r="AN595" i="2"/>
  <c r="X595" i="2"/>
  <c r="AI597" i="2"/>
  <c r="AD597" i="2"/>
  <c r="AN597" i="2"/>
  <c r="X597" i="2"/>
  <c r="AI599" i="2"/>
  <c r="AD599" i="2"/>
  <c r="AN599" i="2"/>
  <c r="X599" i="2"/>
  <c r="AI601" i="2"/>
  <c r="AD601" i="2"/>
  <c r="AN601" i="2"/>
  <c r="X601" i="2"/>
  <c r="AI603" i="2"/>
  <c r="AD603" i="2"/>
  <c r="AN603" i="2"/>
  <c r="X603" i="2"/>
  <c r="AI605" i="2"/>
  <c r="AD605" i="2"/>
  <c r="AN605" i="2"/>
  <c r="X605" i="2"/>
  <c r="AI607" i="2"/>
  <c r="AD607" i="2"/>
  <c r="AN607" i="2"/>
  <c r="X607" i="2"/>
  <c r="AI609" i="2"/>
  <c r="AD609" i="2"/>
  <c r="AN609" i="2"/>
  <c r="X609" i="2"/>
  <c r="AI611" i="2"/>
  <c r="AD611" i="2"/>
  <c r="AN611" i="2"/>
  <c r="X611" i="2"/>
  <c r="AI613" i="2"/>
  <c r="AD613" i="2"/>
  <c r="AN613" i="2"/>
  <c r="X613" i="2"/>
  <c r="AI615" i="2"/>
  <c r="AD615" i="2"/>
  <c r="AN615" i="2"/>
  <c r="X615" i="2"/>
  <c r="AI617" i="2"/>
  <c r="AD617" i="2"/>
  <c r="AN617" i="2"/>
  <c r="X617" i="2"/>
  <c r="AI840" i="2"/>
  <c r="AN840" i="2"/>
  <c r="X840" i="2"/>
  <c r="AD840" i="2"/>
  <c r="AI1053" i="2"/>
  <c r="AN1053" i="2"/>
  <c r="X1053" i="2"/>
  <c r="AD1053" i="2"/>
  <c r="AI1117" i="2"/>
  <c r="AN1117" i="2"/>
  <c r="X1117" i="2"/>
  <c r="AD1117" i="2"/>
  <c r="AN1221" i="2"/>
  <c r="X1221" i="2"/>
  <c r="AI1221" i="2"/>
  <c r="AD1221" i="2"/>
  <c r="AN1285" i="2"/>
  <c r="X1285" i="2"/>
  <c r="AI1285" i="2"/>
  <c r="AD1285" i="2"/>
  <c r="AN1349" i="2"/>
  <c r="X1349" i="2"/>
  <c r="AI1349" i="2"/>
  <c r="AD1349" i="2"/>
  <c r="AI1071" i="2"/>
  <c r="AD1071" i="2"/>
  <c r="AN1071" i="2"/>
  <c r="X1071" i="2"/>
  <c r="AI1135" i="2"/>
  <c r="AD1135" i="2"/>
  <c r="AN1135" i="2"/>
  <c r="X1135" i="2"/>
  <c r="AN1639" i="2"/>
  <c r="X1639" i="2"/>
  <c r="AI1639" i="2"/>
  <c r="AD1639" i="2"/>
  <c r="AS2231" i="2"/>
  <c r="AX2231" i="2" s="1"/>
  <c r="BG2231" i="2" s="1"/>
  <c r="AS2295" i="2"/>
  <c r="AX2295" i="2" s="1"/>
  <c r="BG2295" i="2" s="1"/>
  <c r="AS154" i="2"/>
  <c r="AX154" i="2" s="1"/>
  <c r="BG154" i="2" s="1"/>
  <c r="AD84" i="2"/>
  <c r="X84" i="2"/>
  <c r="AI84" i="2"/>
  <c r="AN84" i="2"/>
  <c r="AS198" i="2"/>
  <c r="AX198" i="2" s="1"/>
  <c r="BG198" i="2" s="1"/>
  <c r="AN518" i="2"/>
  <c r="X518" i="2"/>
  <c r="AI518" i="2"/>
  <c r="AD518" i="2"/>
  <c r="AS374" i="2"/>
  <c r="AX374" i="2" s="1"/>
  <c r="BG374" i="2" s="1"/>
  <c r="AI1089" i="2"/>
  <c r="AN1089" i="2"/>
  <c r="X1089" i="2"/>
  <c r="AD1089" i="2"/>
  <c r="AS1319" i="2"/>
  <c r="AX1319" i="2" s="1"/>
  <c r="BG1319" i="2" s="1"/>
  <c r="AS1580" i="2"/>
  <c r="AX1580" i="2" s="1"/>
  <c r="BG1580" i="2" s="1"/>
  <c r="AS1652" i="2"/>
  <c r="AX1652" i="2" s="1"/>
  <c r="BG1652" i="2" s="1"/>
  <c r="AN1487" i="2"/>
  <c r="X1487" i="2"/>
  <c r="AD1487" i="2"/>
  <c r="AI1487" i="2"/>
  <c r="AS1589" i="2"/>
  <c r="AX1589" i="2" s="1"/>
  <c r="BG1589" i="2" s="1"/>
  <c r="AD1614" i="2"/>
  <c r="AN1614" i="2"/>
  <c r="X1614" i="2"/>
  <c r="AI1614" i="2"/>
  <c r="AI2194" i="2"/>
  <c r="AD2194" i="2"/>
  <c r="AN2194" i="2"/>
  <c r="X2194" i="2"/>
  <c r="AS2200" i="2"/>
  <c r="AX2200" i="2" s="1"/>
  <c r="BG2200" i="2" s="1"/>
  <c r="AS2204" i="2"/>
  <c r="AX2204" i="2" s="1"/>
  <c r="BG2204" i="2" s="1"/>
  <c r="AS2208" i="2"/>
  <c r="AX2208" i="2" s="1"/>
  <c r="BG2208" i="2" s="1"/>
  <c r="AS2212" i="2"/>
  <c r="AX2212" i="2" s="1"/>
  <c r="BG2212" i="2" s="1"/>
  <c r="AS2216" i="2"/>
  <c r="AX2216" i="2" s="1"/>
  <c r="BG2216" i="2" s="1"/>
  <c r="AS2220" i="2"/>
  <c r="AX2220" i="2" s="1"/>
  <c r="BG2220" i="2" s="1"/>
  <c r="AS2224" i="2"/>
  <c r="AX2224" i="2" s="1"/>
  <c r="BG2224" i="2" s="1"/>
  <c r="AS2228" i="2"/>
  <c r="AX2228" i="2" s="1"/>
  <c r="BG2228" i="2" s="1"/>
  <c r="AS2232" i="2"/>
  <c r="AX2232" i="2" s="1"/>
  <c r="BG2232" i="2" s="1"/>
  <c r="AS2236" i="2"/>
  <c r="AX2236" i="2" s="1"/>
  <c r="BG2236" i="2" s="1"/>
  <c r="AS2240" i="2"/>
  <c r="AX2240" i="2" s="1"/>
  <c r="BG2240" i="2" s="1"/>
  <c r="AS2244" i="2"/>
  <c r="AX2244" i="2" s="1"/>
  <c r="BG2244" i="2" s="1"/>
  <c r="AS2248" i="2"/>
  <c r="AX2248" i="2" s="1"/>
  <c r="BG2248" i="2" s="1"/>
  <c r="AS2252" i="2"/>
  <c r="AX2252" i="2" s="1"/>
  <c r="BG2252" i="2" s="1"/>
  <c r="AS2256" i="2"/>
  <c r="AX2256" i="2" s="1"/>
  <c r="BG2256" i="2" s="1"/>
  <c r="AS2260" i="2"/>
  <c r="AX2260" i="2" s="1"/>
  <c r="BG2260" i="2" s="1"/>
  <c r="AS2264" i="2"/>
  <c r="AX2264" i="2" s="1"/>
  <c r="BG2264" i="2" s="1"/>
  <c r="AS2268" i="2"/>
  <c r="AX2268" i="2" s="1"/>
  <c r="BG2268" i="2" s="1"/>
  <c r="AS2272" i="2"/>
  <c r="AX2272" i="2" s="1"/>
  <c r="BG2272" i="2" s="1"/>
  <c r="AS2276" i="2"/>
  <c r="AX2276" i="2" s="1"/>
  <c r="BG2276" i="2" s="1"/>
  <c r="AS2280" i="2"/>
  <c r="AX2280" i="2" s="1"/>
  <c r="BG2280" i="2" s="1"/>
  <c r="AS2284" i="2"/>
  <c r="AX2284" i="2" s="1"/>
  <c r="BG2284" i="2" s="1"/>
  <c r="AS2288" i="2"/>
  <c r="AX2288" i="2" s="1"/>
  <c r="BG2288" i="2" s="1"/>
  <c r="AS2292" i="2"/>
  <c r="AX2292" i="2" s="1"/>
  <c r="BG2292" i="2" s="1"/>
  <c r="AS2296" i="2"/>
  <c r="AX2296" i="2" s="1"/>
  <c r="BG2296" i="2" s="1"/>
  <c r="AS2300" i="2"/>
  <c r="AX2300" i="2" s="1"/>
  <c r="BG2300" i="2" s="1"/>
  <c r="AS2304" i="2"/>
  <c r="AX2304" i="2" s="1"/>
  <c r="BG2304" i="2" s="1"/>
  <c r="AS2308" i="2"/>
  <c r="AX2308" i="2" s="1"/>
  <c r="BG2308" i="2" s="1"/>
  <c r="AS2312" i="2"/>
  <c r="AX2312" i="2" s="1"/>
  <c r="BG2312" i="2" s="1"/>
  <c r="AI2422" i="2"/>
  <c r="AD2422" i="2"/>
  <c r="AN2422" i="2"/>
  <c r="X2422" i="2"/>
  <c r="AN211" i="2"/>
  <c r="X211" i="2"/>
  <c r="AI211" i="2"/>
  <c r="AD211" i="2"/>
  <c r="AN275" i="2"/>
  <c r="X275" i="2"/>
  <c r="AI275" i="2"/>
  <c r="AD275" i="2"/>
  <c r="AN467" i="2"/>
  <c r="X467" i="2"/>
  <c r="AI467" i="2"/>
  <c r="AD467" i="2"/>
  <c r="AD214" i="2"/>
  <c r="AN214" i="2"/>
  <c r="AI214" i="2"/>
  <c r="X214" i="2"/>
  <c r="AO380" i="2"/>
  <c r="AJ380" i="2"/>
  <c r="AE380" i="2"/>
  <c r="AN1309" i="2"/>
  <c r="X1309" i="2"/>
  <c r="AI1309" i="2"/>
  <c r="AD1309" i="2"/>
  <c r="AS1232" i="2"/>
  <c r="AX1232" i="2" s="1"/>
  <c r="BG1232" i="2" s="1"/>
  <c r="AS1296" i="2"/>
  <c r="AX1296" i="2" s="1"/>
  <c r="BG1296" i="2" s="1"/>
  <c r="AS1360" i="2"/>
  <c r="AX1360" i="2" s="1"/>
  <c r="BG1360" i="2" s="1"/>
  <c r="AD1230" i="2"/>
  <c r="AN1230" i="2"/>
  <c r="X1230" i="2"/>
  <c r="AI1230" i="2"/>
  <c r="AD1294" i="2"/>
  <c r="AN1294" i="2"/>
  <c r="X1294" i="2"/>
  <c r="AI1294" i="2"/>
  <c r="AD1358" i="2"/>
  <c r="AN1358" i="2"/>
  <c r="X1358" i="2"/>
  <c r="AI1358" i="2"/>
  <c r="AD1608" i="2"/>
  <c r="AN1608" i="2"/>
  <c r="X1608" i="2"/>
  <c r="AI1608" i="2"/>
  <c r="AN1559" i="2"/>
  <c r="X1559" i="2"/>
  <c r="AD1559" i="2"/>
  <c r="AI1559" i="2"/>
  <c r="AN1575" i="2"/>
  <c r="X1575" i="2"/>
  <c r="AD1575" i="2"/>
  <c r="AI1575" i="2"/>
  <c r="AS1625" i="2"/>
  <c r="AX1625" i="2" s="1"/>
  <c r="BG1625" i="2" s="1"/>
  <c r="AI1833" i="2"/>
  <c r="X1833" i="2"/>
  <c r="AN1833" i="2"/>
  <c r="AD1833" i="2"/>
  <c r="AI1837" i="2"/>
  <c r="X1837" i="2"/>
  <c r="AN1837" i="2"/>
  <c r="AD1837" i="2"/>
  <c r="AI1841" i="2"/>
  <c r="X1841" i="2"/>
  <c r="AN1841" i="2"/>
  <c r="AD1841" i="2"/>
  <c r="AI1845" i="2"/>
  <c r="X1845" i="2"/>
  <c r="AN1845" i="2"/>
  <c r="AD1845" i="2"/>
  <c r="AN2072" i="2"/>
  <c r="X2072" i="2"/>
  <c r="AI2072" i="2"/>
  <c r="AD2072" i="2"/>
  <c r="AI2450" i="2"/>
  <c r="AD2450" i="2"/>
  <c r="AN2450" i="2"/>
  <c r="X2450" i="2"/>
  <c r="AS1978" i="2"/>
  <c r="AX1978" i="2" s="1"/>
  <c r="BG1978" i="2" s="1"/>
  <c r="AD1332" i="2"/>
  <c r="AN1332" i="2"/>
  <c r="X1332" i="2"/>
  <c r="AI1332" i="2"/>
  <c r="AI1774" i="2"/>
  <c r="AN1774" i="2"/>
  <c r="X1774" i="2"/>
  <c r="AD1774" i="2"/>
  <c r="AI1798" i="2"/>
  <c r="AN1798" i="2"/>
  <c r="X1798" i="2"/>
  <c r="AD1798" i="2"/>
  <c r="AI1822" i="2"/>
  <c r="AN1822" i="2"/>
  <c r="X1822" i="2"/>
  <c r="AD1822" i="2"/>
  <c r="AN2050" i="2"/>
  <c r="X2050" i="2"/>
  <c r="AI2050" i="2"/>
  <c r="AD2050" i="2"/>
  <c r="AN2066" i="2"/>
  <c r="X2066" i="2"/>
  <c r="AI2066" i="2"/>
  <c r="AD2066" i="2"/>
  <c r="AN2078" i="2"/>
  <c r="X2078" i="2"/>
  <c r="AI2078" i="2"/>
  <c r="AD2078" i="2"/>
  <c r="AN2086" i="2"/>
  <c r="X2086" i="2"/>
  <c r="AI2086" i="2"/>
  <c r="AD2086" i="2"/>
  <c r="AN2098" i="2"/>
  <c r="X2098" i="2"/>
  <c r="AI2098" i="2"/>
  <c r="AD2098" i="2"/>
  <c r="AI2438" i="2"/>
  <c r="AD2438" i="2"/>
  <c r="AN2438" i="2"/>
  <c r="X2438" i="2"/>
  <c r="AN25" i="2"/>
  <c r="X25" i="2"/>
  <c r="AD25" i="2"/>
  <c r="AI25" i="2"/>
  <c r="AI752" i="2"/>
  <c r="AN752" i="2"/>
  <c r="X752" i="2"/>
  <c r="AD752" i="2"/>
  <c r="AD1248" i="2"/>
  <c r="AN1248" i="2"/>
  <c r="X1248" i="2"/>
  <c r="AI1248" i="2"/>
  <c r="AS1267" i="2"/>
  <c r="AX1267" i="2" s="1"/>
  <c r="BG1267" i="2" s="1"/>
  <c r="AS1710" i="2"/>
  <c r="AX1710" i="2" s="1"/>
  <c r="BG1710" i="2" s="1"/>
  <c r="AS131" i="2"/>
  <c r="AX131" i="2" s="1"/>
  <c r="BG131" i="2" s="1"/>
  <c r="AS163" i="2"/>
  <c r="AX163" i="2" s="1"/>
  <c r="BG163" i="2" s="1"/>
  <c r="AD270" i="2"/>
  <c r="AN270" i="2"/>
  <c r="AI270" i="2"/>
  <c r="X270" i="2"/>
  <c r="AD390" i="2"/>
  <c r="AN390" i="2"/>
  <c r="AI390" i="2"/>
  <c r="X390" i="2"/>
  <c r="AS1209" i="2"/>
  <c r="AX1209" i="2" s="1"/>
  <c r="BG1209" i="2" s="1"/>
  <c r="AN1603" i="2"/>
  <c r="X1603" i="2"/>
  <c r="AI1603" i="2"/>
  <c r="AD1603" i="2"/>
  <c r="AS1683" i="2"/>
  <c r="AX1683" i="2" s="1"/>
  <c r="BG1683" i="2" s="1"/>
  <c r="AS1695" i="2"/>
  <c r="AX1695" i="2" s="1"/>
  <c r="BG1695" i="2" s="1"/>
  <c r="AS1707" i="2"/>
  <c r="AX1707" i="2" s="1"/>
  <c r="BG1707" i="2" s="1"/>
  <c r="AS1719" i="2"/>
  <c r="AX1719" i="2" s="1"/>
  <c r="BG1719" i="2" s="1"/>
  <c r="AS1735" i="2"/>
  <c r="AX1735" i="2" s="1"/>
  <c r="BG1735" i="2" s="1"/>
  <c r="AS1747" i="2"/>
  <c r="AX1747" i="2" s="1"/>
  <c r="BG1747" i="2" s="1"/>
  <c r="AS1755" i="2"/>
  <c r="AX1755" i="2" s="1"/>
  <c r="BG1755" i="2" s="1"/>
  <c r="AN451" i="2"/>
  <c r="X451" i="2"/>
  <c r="AI451" i="2"/>
  <c r="AD451" i="2"/>
  <c r="AN325" i="2"/>
  <c r="X325" i="2"/>
  <c r="AI325" i="2"/>
  <c r="AD325" i="2"/>
  <c r="AS341" i="2"/>
  <c r="AX341" i="2" s="1"/>
  <c r="BG341" i="2" s="1"/>
  <c r="AS437" i="2"/>
  <c r="AX437" i="2" s="1"/>
  <c r="BG437" i="2" s="1"/>
  <c r="AS892" i="2"/>
  <c r="AX892" i="2" s="1"/>
  <c r="BG892" i="2" s="1"/>
  <c r="AS908" i="2"/>
  <c r="AX908" i="2" s="1"/>
  <c r="BG908" i="2" s="1"/>
  <c r="AS920" i="2"/>
  <c r="AX920" i="2" s="1"/>
  <c r="BG920" i="2" s="1"/>
  <c r="AS932" i="2"/>
  <c r="AX932" i="2" s="1"/>
  <c r="BG932" i="2" s="1"/>
  <c r="AS808" i="2"/>
  <c r="AX808" i="2" s="1"/>
  <c r="BG808" i="2" s="1"/>
  <c r="AS2045" i="2"/>
  <c r="AX2045" i="2" s="1"/>
  <c r="BG2045" i="2" s="1"/>
  <c r="AN2215" i="2"/>
  <c r="X2215" i="2"/>
  <c r="AD2215" i="2"/>
  <c r="AI2215" i="2"/>
  <c r="AD166" i="2"/>
  <c r="AN166" i="2"/>
  <c r="AI166" i="2"/>
  <c r="X166" i="2"/>
  <c r="AS205" i="2"/>
  <c r="AX205" i="2" s="1"/>
  <c r="BG205" i="2" s="1"/>
  <c r="AS311" i="2"/>
  <c r="AX311" i="2" s="1"/>
  <c r="BG311" i="2" s="1"/>
  <c r="AS145" i="2"/>
  <c r="AX145" i="2" s="1"/>
  <c r="BG145" i="2" s="1"/>
  <c r="AS68" i="2"/>
  <c r="AX68" i="2" s="1"/>
  <c r="BG68" i="2" s="1"/>
  <c r="AS339" i="2"/>
  <c r="AX339" i="2" s="1"/>
  <c r="BG339" i="2" s="1"/>
  <c r="AS371" i="2"/>
  <c r="AX371" i="2" s="1"/>
  <c r="BG371" i="2" s="1"/>
  <c r="AS403" i="2"/>
  <c r="AX403" i="2" s="1"/>
  <c r="BG403" i="2" s="1"/>
  <c r="AS934" i="2"/>
  <c r="AX934" i="2" s="1"/>
  <c r="BG934" i="2" s="1"/>
  <c r="AS429" i="2"/>
  <c r="AX429" i="2" s="1"/>
  <c r="BG429" i="2" s="1"/>
  <c r="AS461" i="2"/>
  <c r="AX461" i="2" s="1"/>
  <c r="BG461" i="2" s="1"/>
  <c r="AS1061" i="2"/>
  <c r="AX1061" i="2" s="1"/>
  <c r="BG1061" i="2" s="1"/>
  <c r="AS1125" i="2"/>
  <c r="AX1125" i="2" s="1"/>
  <c r="BG1125" i="2" s="1"/>
  <c r="AN1154" i="2"/>
  <c r="X1154" i="2"/>
  <c r="AI1154" i="2"/>
  <c r="AD1154" i="2"/>
  <c r="AN1162" i="2"/>
  <c r="X1162" i="2"/>
  <c r="AI1162" i="2"/>
  <c r="AD1162" i="2"/>
  <c r="AN1170" i="2"/>
  <c r="X1170" i="2"/>
  <c r="AI1170" i="2"/>
  <c r="AD1170" i="2"/>
  <c r="AD1484" i="2"/>
  <c r="AN1484" i="2"/>
  <c r="X1484" i="2"/>
  <c r="AI1484" i="2"/>
  <c r="AN2219" i="2"/>
  <c r="X2219" i="2"/>
  <c r="AD2219" i="2"/>
  <c r="AI2219" i="2"/>
  <c r="AN2209" i="2"/>
  <c r="X2209" i="2"/>
  <c r="AD2209" i="2"/>
  <c r="AI2209" i="2"/>
  <c r="AN2233" i="2"/>
  <c r="X2233" i="2"/>
  <c r="AD2233" i="2"/>
  <c r="AI2233" i="2"/>
  <c r="AN2257" i="2"/>
  <c r="X2257" i="2"/>
  <c r="AD2257" i="2"/>
  <c r="AI2257" i="2"/>
  <c r="AN2281" i="2"/>
  <c r="X2281" i="2"/>
  <c r="AD2281" i="2"/>
  <c r="AI2281" i="2"/>
  <c r="AN2305" i="2"/>
  <c r="X2305" i="2"/>
  <c r="AD2305" i="2"/>
  <c r="AI2305" i="2"/>
  <c r="AS2407" i="2"/>
  <c r="AX2407" i="2" s="1"/>
  <c r="BG2407" i="2" s="1"/>
  <c r="AS2423" i="2"/>
  <c r="AX2423" i="2" s="1"/>
  <c r="BG2423" i="2" s="1"/>
  <c r="AT200" i="2"/>
  <c r="AY200" i="2" s="1"/>
  <c r="BH200" i="2" s="1"/>
  <c r="AS1258" i="2"/>
  <c r="AX1258" i="2" s="1"/>
  <c r="BG1258" i="2" s="1"/>
  <c r="AS1738" i="2"/>
  <c r="AX1738" i="2" s="1"/>
  <c r="BG1738" i="2" s="1"/>
  <c r="AS1673" i="2"/>
  <c r="AX1673" i="2" s="1"/>
  <c r="BG1673" i="2" s="1"/>
  <c r="AS1689" i="2"/>
  <c r="AX1689" i="2" s="1"/>
  <c r="BG1689" i="2" s="1"/>
  <c r="AS1705" i="2"/>
  <c r="AX1705" i="2" s="1"/>
  <c r="BG1705" i="2" s="1"/>
  <c r="AS1721" i="2"/>
  <c r="AX1721" i="2" s="1"/>
  <c r="BG1721" i="2" s="1"/>
  <c r="AS1737" i="2"/>
  <c r="AX1737" i="2" s="1"/>
  <c r="BG1737" i="2" s="1"/>
  <c r="AS1753" i="2"/>
  <c r="AX1753" i="2" s="1"/>
  <c r="BG1753" i="2" s="1"/>
  <c r="AS2051" i="2"/>
  <c r="AX2051" i="2" s="1"/>
  <c r="BG2051" i="2" s="1"/>
  <c r="AS2170" i="2"/>
  <c r="AX2170" i="2" s="1"/>
  <c r="BG2170" i="2" s="1"/>
  <c r="AN91" i="2"/>
  <c r="X91" i="2"/>
  <c r="AD91" i="2"/>
  <c r="AI91" i="2"/>
  <c r="AD1254" i="2"/>
  <c r="AN1254" i="2"/>
  <c r="X1254" i="2"/>
  <c r="AI1254" i="2"/>
  <c r="AS2213" i="2"/>
  <c r="AX2213" i="2" s="1"/>
  <c r="BG2213" i="2" s="1"/>
  <c r="AS2237" i="2"/>
  <c r="AX2237" i="2" s="1"/>
  <c r="BG2237" i="2" s="1"/>
  <c r="AS2245" i="2"/>
  <c r="AX2245" i="2" s="1"/>
  <c r="BG2245" i="2" s="1"/>
  <c r="AS2253" i="2"/>
  <c r="AX2253" i="2" s="1"/>
  <c r="BG2253" i="2" s="1"/>
  <c r="AO128" i="2"/>
  <c r="AE128" i="2"/>
  <c r="AJ128" i="2"/>
  <c r="AN425" i="2"/>
  <c r="X425" i="2"/>
  <c r="AI425" i="2"/>
  <c r="AD425" i="2"/>
  <c r="AS482" i="2"/>
  <c r="AX482" i="2" s="1"/>
  <c r="BG482" i="2" s="1"/>
  <c r="AS222" i="2"/>
  <c r="AX222" i="2" s="1"/>
  <c r="BG222" i="2" s="1"/>
  <c r="AI631" i="2"/>
  <c r="AD631" i="2"/>
  <c r="AN631" i="2"/>
  <c r="X631" i="2"/>
  <c r="AS695" i="2"/>
  <c r="AX695" i="2" s="1"/>
  <c r="BG695" i="2" s="1"/>
  <c r="AN1459" i="2"/>
  <c r="X1459" i="2"/>
  <c r="AD1459" i="2"/>
  <c r="AI1459" i="2"/>
  <c r="AS1553" i="2"/>
  <c r="AX1553" i="2" s="1"/>
  <c r="BG1553" i="2" s="1"/>
  <c r="AS1636" i="2"/>
  <c r="AX1636" i="2" s="1"/>
  <c r="BG1636" i="2" s="1"/>
  <c r="AS1502" i="2"/>
  <c r="AX1502" i="2" s="1"/>
  <c r="BG1502" i="2" s="1"/>
  <c r="AS1812" i="2"/>
  <c r="AX1812" i="2" s="1"/>
  <c r="BG1812" i="2" s="1"/>
  <c r="AD2075" i="2"/>
  <c r="AN2075" i="2"/>
  <c r="X2075" i="2"/>
  <c r="AI2075" i="2"/>
  <c r="AS2178" i="2"/>
  <c r="AX2178" i="2" s="1"/>
  <c r="BG2178" i="2" s="1"/>
  <c r="AI2436" i="2"/>
  <c r="AD2436" i="2"/>
  <c r="AN2436" i="2"/>
  <c r="X2436" i="2"/>
  <c r="AS2491" i="2"/>
  <c r="AX2491" i="2" s="1"/>
  <c r="BG2491" i="2" s="1"/>
  <c r="AS2499" i="2"/>
  <c r="AX2499" i="2" s="1"/>
  <c r="BG2499" i="2" s="1"/>
  <c r="AN331" i="2"/>
  <c r="X331" i="2"/>
  <c r="AI331" i="2"/>
  <c r="AD331" i="2"/>
  <c r="AS497" i="2"/>
  <c r="AX497" i="2" s="1"/>
  <c r="BG497" i="2" s="1"/>
  <c r="AS501" i="2"/>
  <c r="AX501" i="2" s="1"/>
  <c r="BG501" i="2" s="1"/>
  <c r="AS505" i="2"/>
  <c r="AX505" i="2" s="1"/>
  <c r="BG505" i="2" s="1"/>
  <c r="AI1077" i="2"/>
  <c r="AN1077" i="2"/>
  <c r="X1077" i="2"/>
  <c r="AD1077" i="2"/>
  <c r="AS1584" i="2"/>
  <c r="AX1584" i="2" s="1"/>
  <c r="BG1584" i="2" s="1"/>
  <c r="AS1592" i="2"/>
  <c r="AX1592" i="2" s="1"/>
  <c r="BG1592" i="2" s="1"/>
  <c r="AS1555" i="2"/>
  <c r="AX1555" i="2" s="1"/>
  <c r="BG1555" i="2" s="1"/>
  <c r="AI1768" i="2"/>
  <c r="AD1768" i="2"/>
  <c r="X1768" i="2"/>
  <c r="AN1768" i="2"/>
  <c r="AI1784" i="2"/>
  <c r="AD1784" i="2"/>
  <c r="X1784" i="2"/>
  <c r="AN1784" i="2"/>
  <c r="AI1800" i="2"/>
  <c r="AD1800" i="2"/>
  <c r="X1800" i="2"/>
  <c r="AN1800" i="2"/>
  <c r="AI1824" i="2"/>
  <c r="AD1824" i="2"/>
  <c r="X1824" i="2"/>
  <c r="AN1824" i="2"/>
  <c r="AI2024" i="2"/>
  <c r="AD2024" i="2"/>
  <c r="AN2024" i="2"/>
  <c r="X2024" i="2"/>
  <c r="AI2028" i="2"/>
  <c r="AD2028" i="2"/>
  <c r="AN2028" i="2"/>
  <c r="X2028" i="2"/>
  <c r="AI2032" i="2"/>
  <c r="AD2032" i="2"/>
  <c r="AN2032" i="2"/>
  <c r="X2032" i="2"/>
  <c r="AI2036" i="2"/>
  <c r="AD2036" i="2"/>
  <c r="AN2036" i="2"/>
  <c r="X2036" i="2"/>
  <c r="AI2040" i="2"/>
  <c r="AD2040" i="2"/>
  <c r="AN2040" i="2"/>
  <c r="X2040" i="2"/>
  <c r="AS2160" i="2"/>
  <c r="AX2160" i="2" s="1"/>
  <c r="BG2160" i="2" s="1"/>
  <c r="AI726" i="2"/>
  <c r="AN726" i="2"/>
  <c r="X726" i="2"/>
  <c r="AD726" i="2"/>
  <c r="AI734" i="2"/>
  <c r="AN734" i="2"/>
  <c r="X734" i="2"/>
  <c r="AD734" i="2"/>
  <c r="AI750" i="2"/>
  <c r="AN750" i="2"/>
  <c r="X750" i="2"/>
  <c r="AD750" i="2"/>
  <c r="AI766" i="2"/>
  <c r="AN766" i="2"/>
  <c r="X766" i="2"/>
  <c r="AD766" i="2"/>
  <c r="AI782" i="2"/>
  <c r="AN782" i="2"/>
  <c r="X782" i="2"/>
  <c r="AD782" i="2"/>
  <c r="AI798" i="2"/>
  <c r="AN798" i="2"/>
  <c r="X798" i="2"/>
  <c r="AD798" i="2"/>
  <c r="AI814" i="2"/>
  <c r="AN814" i="2"/>
  <c r="X814" i="2"/>
  <c r="AD814" i="2"/>
  <c r="AI830" i="2"/>
  <c r="AN830" i="2"/>
  <c r="X830" i="2"/>
  <c r="AD830" i="2"/>
  <c r="AI846" i="2"/>
  <c r="AN846" i="2"/>
  <c r="X846" i="2"/>
  <c r="AD846" i="2"/>
  <c r="AI862" i="2"/>
  <c r="AN862" i="2"/>
  <c r="X862" i="2"/>
  <c r="AD862" i="2"/>
  <c r="AI878" i="2"/>
  <c r="AN878" i="2"/>
  <c r="X878" i="2"/>
  <c r="AD878" i="2"/>
  <c r="AN427" i="2"/>
  <c r="X427" i="2"/>
  <c r="AI427" i="2"/>
  <c r="AD427" i="2"/>
  <c r="AS537" i="2"/>
  <c r="AX537" i="2" s="1"/>
  <c r="BG537" i="2" s="1"/>
  <c r="AI625" i="2"/>
  <c r="AD625" i="2"/>
  <c r="AN625" i="2"/>
  <c r="X625" i="2"/>
  <c r="AI641" i="2"/>
  <c r="AD641" i="2"/>
  <c r="AN641" i="2"/>
  <c r="X641" i="2"/>
  <c r="AI657" i="2"/>
  <c r="AD657" i="2"/>
  <c r="AN657" i="2"/>
  <c r="X657" i="2"/>
  <c r="AI673" i="2"/>
  <c r="AD673" i="2"/>
  <c r="AN673" i="2"/>
  <c r="X673" i="2"/>
  <c r="AI689" i="2"/>
  <c r="AD689" i="2"/>
  <c r="AN689" i="2"/>
  <c r="X689" i="2"/>
  <c r="AI705" i="2"/>
  <c r="AD705" i="2"/>
  <c r="AN705" i="2"/>
  <c r="X705" i="2"/>
  <c r="AN1177" i="2"/>
  <c r="X1177" i="2"/>
  <c r="AI1177" i="2"/>
  <c r="AD1177" i="2"/>
  <c r="AN1241" i="2"/>
  <c r="X1241" i="2"/>
  <c r="AI1241" i="2"/>
  <c r="AD1241" i="2"/>
  <c r="AN1305" i="2"/>
  <c r="X1305" i="2"/>
  <c r="AI1305" i="2"/>
  <c r="AD1305" i="2"/>
  <c r="AN1369" i="2"/>
  <c r="X1369" i="2"/>
  <c r="AI1369" i="2"/>
  <c r="AD1369" i="2"/>
  <c r="AS1242" i="2"/>
  <c r="AX1242" i="2" s="1"/>
  <c r="BG1242" i="2" s="1"/>
  <c r="AS1401" i="2"/>
  <c r="AX1401" i="2" s="1"/>
  <c r="BG1401" i="2" s="1"/>
  <c r="AS1588" i="2"/>
  <c r="AX1588" i="2" s="1"/>
  <c r="BG1588" i="2" s="1"/>
  <c r="AS1596" i="2"/>
  <c r="AX1596" i="2" s="1"/>
  <c r="BG1596" i="2" s="1"/>
  <c r="AT1763" i="2"/>
  <c r="AY1763" i="2" s="1"/>
  <c r="BH1763" i="2" s="1"/>
  <c r="AT1827" i="2"/>
  <c r="AY1827" i="2" s="1"/>
  <c r="BH1827" i="2" s="1"/>
  <c r="AN2114" i="2"/>
  <c r="X2114" i="2"/>
  <c r="AI2114" i="2"/>
  <c r="AD2114" i="2"/>
  <c r="AN2155" i="2"/>
  <c r="X2155" i="2"/>
  <c r="AI2155" i="2"/>
  <c r="AD2155" i="2"/>
  <c r="AD90" i="2"/>
  <c r="AN90" i="2"/>
  <c r="X90" i="2"/>
  <c r="AI90" i="2"/>
  <c r="AI741" i="2"/>
  <c r="AN741" i="2"/>
  <c r="X741" i="2"/>
  <c r="AD741" i="2"/>
  <c r="AI773" i="2"/>
  <c r="AN773" i="2"/>
  <c r="X773" i="2"/>
  <c r="AD773" i="2"/>
  <c r="AI805" i="2"/>
  <c r="AN805" i="2"/>
  <c r="X805" i="2"/>
  <c r="AD805" i="2"/>
  <c r="AI837" i="2"/>
  <c r="AN837" i="2"/>
  <c r="X837" i="2"/>
  <c r="AD837" i="2"/>
  <c r="AI869" i="2"/>
  <c r="AN869" i="2"/>
  <c r="X869" i="2"/>
  <c r="AD869" i="2"/>
  <c r="AS792" i="2"/>
  <c r="AX792" i="2" s="1"/>
  <c r="BG792" i="2" s="1"/>
  <c r="AS1069" i="2"/>
  <c r="AX1069" i="2" s="1"/>
  <c r="BG1069" i="2" s="1"/>
  <c r="AS1133" i="2"/>
  <c r="AX1133" i="2" s="1"/>
  <c r="BG1133" i="2" s="1"/>
  <c r="AS1523" i="2"/>
  <c r="AX1523" i="2" s="1"/>
  <c r="BG1523" i="2" s="1"/>
  <c r="AN1607" i="2"/>
  <c r="X1607" i="2"/>
  <c r="AI1607" i="2"/>
  <c r="AD1607" i="2"/>
  <c r="AS1677" i="2"/>
  <c r="AX1677" i="2" s="1"/>
  <c r="BG1677" i="2" s="1"/>
  <c r="AS1693" i="2"/>
  <c r="AX1693" i="2" s="1"/>
  <c r="BG1693" i="2" s="1"/>
  <c r="AS1709" i="2"/>
  <c r="AX1709" i="2" s="1"/>
  <c r="BG1709" i="2" s="1"/>
  <c r="AS1725" i="2"/>
  <c r="AX1725" i="2" s="1"/>
  <c r="BG1725" i="2" s="1"/>
  <c r="AS1741" i="2"/>
  <c r="AX1741" i="2" s="1"/>
  <c r="BG1741" i="2" s="1"/>
  <c r="AS1832" i="2"/>
  <c r="AX1832" i="2" s="1"/>
  <c r="BG1832" i="2" s="1"/>
  <c r="AN2080" i="2"/>
  <c r="X2080" i="2"/>
  <c r="AI2080" i="2"/>
  <c r="AD2080" i="2"/>
  <c r="AS2207" i="2"/>
  <c r="AX2207" i="2" s="1"/>
  <c r="BG2207" i="2" s="1"/>
  <c r="AS2271" i="2"/>
  <c r="AX2271" i="2" s="1"/>
  <c r="BG2271" i="2" s="1"/>
  <c r="AJ108" i="2"/>
  <c r="AO108" i="2"/>
  <c r="AE108" i="2"/>
  <c r="AJ124" i="2"/>
  <c r="AO124" i="2"/>
  <c r="AE124" i="2"/>
  <c r="AJ140" i="2"/>
  <c r="AO140" i="2"/>
  <c r="AE140" i="2"/>
  <c r="AJ156" i="2"/>
  <c r="AO156" i="2"/>
  <c r="AE156" i="2"/>
  <c r="AJ172" i="2"/>
  <c r="AO172" i="2"/>
  <c r="AE172" i="2"/>
  <c r="AJ188" i="2"/>
  <c r="AO188" i="2"/>
  <c r="AE188" i="2"/>
  <c r="AJ204" i="2"/>
  <c r="AO204" i="2"/>
  <c r="AE204" i="2"/>
  <c r="AD1284" i="2"/>
  <c r="AN1284" i="2"/>
  <c r="X1284" i="2"/>
  <c r="AI1284" i="2"/>
  <c r="AS1471" i="2"/>
  <c r="AX1471" i="2" s="1"/>
  <c r="BG1471" i="2" s="1"/>
  <c r="AN1565" i="2"/>
  <c r="X1565" i="2"/>
  <c r="AD1565" i="2"/>
  <c r="AI1565" i="2"/>
  <c r="AS1387" i="2"/>
  <c r="AX1387" i="2" s="1"/>
  <c r="BG1387" i="2" s="1"/>
  <c r="AS1893" i="2"/>
  <c r="AX1893" i="2" s="1"/>
  <c r="BG1893" i="2" s="1"/>
  <c r="AS1957" i="2"/>
  <c r="AX1957" i="2" s="1"/>
  <c r="BG1957" i="2" s="1"/>
  <c r="AD1991" i="2"/>
  <c r="AN1991" i="2"/>
  <c r="X1991" i="2"/>
  <c r="AI1991" i="2"/>
  <c r="AN2019" i="2"/>
  <c r="X2019" i="2"/>
  <c r="AI2019" i="2"/>
  <c r="AD2019" i="2"/>
  <c r="AS2100" i="2"/>
  <c r="AX2100" i="2" s="1"/>
  <c r="BG2100" i="2" s="1"/>
  <c r="AI2180" i="2"/>
  <c r="AD2180" i="2"/>
  <c r="AN2180" i="2"/>
  <c r="X2180" i="2"/>
  <c r="AN2261" i="2"/>
  <c r="X2261" i="2"/>
  <c r="AD2261" i="2"/>
  <c r="AI2261" i="2"/>
  <c r="AN2269" i="2"/>
  <c r="X2269" i="2"/>
  <c r="AD2269" i="2"/>
  <c r="AI2269" i="2"/>
  <c r="AN2277" i="2"/>
  <c r="X2277" i="2"/>
  <c r="AD2277" i="2"/>
  <c r="AI2277" i="2"/>
  <c r="AN2285" i="2"/>
  <c r="X2285" i="2"/>
  <c r="AD2285" i="2"/>
  <c r="AI2285" i="2"/>
  <c r="AN2293" i="2"/>
  <c r="X2293" i="2"/>
  <c r="AD2293" i="2"/>
  <c r="AI2293" i="2"/>
  <c r="AD416" i="2"/>
  <c r="AN416" i="2"/>
  <c r="AI416" i="2"/>
  <c r="X416" i="2"/>
  <c r="AS1478" i="2"/>
  <c r="AX1478" i="2" s="1"/>
  <c r="BG1478" i="2" s="1"/>
  <c r="AS1482" i="2"/>
  <c r="AX1482" i="2" s="1"/>
  <c r="BG1482" i="2" s="1"/>
  <c r="AS1496" i="2"/>
  <c r="AX1496" i="2" s="1"/>
  <c r="BG1496" i="2" s="1"/>
  <c r="AS1500" i="2"/>
  <c r="AX1500" i="2" s="1"/>
  <c r="BG1500" i="2" s="1"/>
  <c r="AS1510" i="2"/>
  <c r="AX1510" i="2" s="1"/>
  <c r="BG1510" i="2" s="1"/>
  <c r="AS1514" i="2"/>
  <c r="AX1514" i="2" s="1"/>
  <c r="BG1514" i="2" s="1"/>
  <c r="AO1791" i="2"/>
  <c r="AJ1791" i="2"/>
  <c r="AE1791" i="2"/>
  <c r="AN271" i="2"/>
  <c r="X271" i="2"/>
  <c r="AI271" i="2"/>
  <c r="AD271" i="2"/>
  <c r="AN303" i="2"/>
  <c r="X303" i="2"/>
  <c r="AI303" i="2"/>
  <c r="AD303" i="2"/>
  <c r="AS448" i="2"/>
  <c r="AX448" i="2" s="1"/>
  <c r="BG448" i="2" s="1"/>
  <c r="AD1226" i="2"/>
  <c r="AN1226" i="2"/>
  <c r="X1226" i="2"/>
  <c r="AI1226" i="2"/>
  <c r="AS1429" i="2"/>
  <c r="AX1429" i="2" s="1"/>
  <c r="BG1429" i="2" s="1"/>
  <c r="AS2085" i="2"/>
  <c r="AX2085" i="2" s="1"/>
  <c r="BG2085" i="2" s="1"/>
  <c r="AO160" i="2"/>
  <c r="AE160" i="2"/>
  <c r="AJ160" i="2"/>
  <c r="AO144" i="2"/>
  <c r="AE144" i="2"/>
  <c r="AJ144" i="2"/>
  <c r="AN307" i="2"/>
  <c r="X307" i="2"/>
  <c r="AI307" i="2"/>
  <c r="AD307" i="2"/>
  <c r="AN512" i="2"/>
  <c r="X512" i="2"/>
  <c r="AI512" i="2"/>
  <c r="AD512" i="2"/>
  <c r="AD294" i="2"/>
  <c r="AN294" i="2"/>
  <c r="AI294" i="2"/>
  <c r="X294" i="2"/>
  <c r="AS513" i="2"/>
  <c r="AX513" i="2" s="1"/>
  <c r="BG513" i="2" s="1"/>
  <c r="AS545" i="2"/>
  <c r="AX545" i="2" s="1"/>
  <c r="BG545" i="2" s="1"/>
  <c r="AN1365" i="2"/>
  <c r="X1365" i="2"/>
  <c r="AI1365" i="2"/>
  <c r="AD1365" i="2"/>
  <c r="AD1240" i="2"/>
  <c r="AN1240" i="2"/>
  <c r="X1240" i="2"/>
  <c r="AI1240" i="2"/>
  <c r="AN1371" i="2"/>
  <c r="X1371" i="2"/>
  <c r="AI1371" i="2"/>
  <c r="AD1371" i="2"/>
  <c r="AS1480" i="2"/>
  <c r="AX1480" i="2" s="1"/>
  <c r="BG1480" i="2" s="1"/>
  <c r="AS1655" i="2"/>
  <c r="AX1655" i="2" s="1"/>
  <c r="BG1655" i="2" s="1"/>
  <c r="AS1548" i="2"/>
  <c r="AX1548" i="2" s="1"/>
  <c r="BG1548" i="2" s="1"/>
  <c r="AS1552" i="2"/>
  <c r="AX1552" i="2" s="1"/>
  <c r="BG1552" i="2" s="1"/>
  <c r="AS1556" i="2"/>
  <c r="AX1556" i="2" s="1"/>
  <c r="BG1556" i="2" s="1"/>
  <c r="AS1560" i="2"/>
  <c r="AX1560" i="2" s="1"/>
  <c r="BG1560" i="2" s="1"/>
  <c r="AS1564" i="2"/>
  <c r="AX1564" i="2" s="1"/>
  <c r="BG1564" i="2" s="1"/>
  <c r="AS1568" i="2"/>
  <c r="AX1568" i="2" s="1"/>
  <c r="BG1568" i="2" s="1"/>
  <c r="AS1572" i="2"/>
  <c r="AX1572" i="2" s="1"/>
  <c r="BG1572" i="2" s="1"/>
  <c r="AS1576" i="2"/>
  <c r="AX1576" i="2" s="1"/>
  <c r="BG1576" i="2" s="1"/>
  <c r="AT1783" i="2"/>
  <c r="AY1783" i="2" s="1"/>
  <c r="BH1783" i="2" s="1"/>
  <c r="AI1073" i="2"/>
  <c r="AN1073" i="2"/>
  <c r="X1073" i="2"/>
  <c r="AD1073" i="2"/>
  <c r="AN1185" i="2"/>
  <c r="X1185" i="2"/>
  <c r="AI1185" i="2"/>
  <c r="AD1185" i="2"/>
  <c r="AS1545" i="2"/>
  <c r="AX1545" i="2" s="1"/>
  <c r="BG1545" i="2" s="1"/>
  <c r="AS1561" i="2"/>
  <c r="AX1561" i="2" s="1"/>
  <c r="BG1561" i="2" s="1"/>
  <c r="AS1577" i="2"/>
  <c r="AX1577" i="2" s="1"/>
  <c r="BG1577" i="2" s="1"/>
  <c r="AN1643" i="2"/>
  <c r="X1643" i="2"/>
  <c r="AI1643" i="2"/>
  <c r="AD1643" i="2"/>
  <c r="AN1485" i="2"/>
  <c r="X1485" i="2"/>
  <c r="AD1485" i="2"/>
  <c r="AI1485" i="2"/>
  <c r="AS1517" i="2"/>
  <c r="AX1517" i="2" s="1"/>
  <c r="BG1517" i="2" s="1"/>
  <c r="AS1521" i="2"/>
  <c r="AX1521" i="2" s="1"/>
  <c r="BG1521" i="2" s="1"/>
  <c r="AS1525" i="2"/>
  <c r="AX1525" i="2" s="1"/>
  <c r="BG1525" i="2" s="1"/>
  <c r="AN1457" i="2"/>
  <c r="X1457" i="2"/>
  <c r="AD1457" i="2"/>
  <c r="AI1457" i="2"/>
  <c r="AS1889" i="2"/>
  <c r="AX1889" i="2" s="1"/>
  <c r="BG1889" i="2" s="1"/>
  <c r="AS1953" i="2"/>
  <c r="AX1953" i="2" s="1"/>
  <c r="BG1953" i="2" s="1"/>
  <c r="AS2017" i="2"/>
  <c r="AX2017" i="2" s="1"/>
  <c r="BG2017" i="2" s="1"/>
  <c r="AD1987" i="2"/>
  <c r="AN1987" i="2"/>
  <c r="X1987" i="2"/>
  <c r="AI1987" i="2"/>
  <c r="AS2107" i="2"/>
  <c r="AX2107" i="2" s="1"/>
  <c r="BG2107" i="2" s="1"/>
  <c r="AD2322" i="2"/>
  <c r="AN2322" i="2"/>
  <c r="X2322" i="2"/>
  <c r="AI2322" i="2"/>
  <c r="AD2330" i="2"/>
  <c r="AN2330" i="2"/>
  <c r="X2330" i="2"/>
  <c r="AI2330" i="2"/>
  <c r="AD2338" i="2"/>
  <c r="AN2338" i="2"/>
  <c r="X2338" i="2"/>
  <c r="AI2338" i="2"/>
  <c r="AD2346" i="2"/>
  <c r="AN2346" i="2"/>
  <c r="X2346" i="2"/>
  <c r="AI2346" i="2"/>
  <c r="AD2354" i="2"/>
  <c r="AN2354" i="2"/>
  <c r="X2354" i="2"/>
  <c r="AI2354" i="2"/>
  <c r="AD2362" i="2"/>
  <c r="AN2362" i="2"/>
  <c r="X2362" i="2"/>
  <c r="AI2362" i="2"/>
  <c r="AD2370" i="2"/>
  <c r="AN2370" i="2"/>
  <c r="X2370" i="2"/>
  <c r="AI2370" i="2"/>
  <c r="AD2378" i="2"/>
  <c r="AN2378" i="2"/>
  <c r="X2378" i="2"/>
  <c r="AI2378" i="2"/>
  <c r="AD2386" i="2"/>
  <c r="AN2386" i="2"/>
  <c r="X2386" i="2"/>
  <c r="AI2386" i="2"/>
  <c r="AS2413" i="2"/>
  <c r="AX2413" i="2" s="1"/>
  <c r="BG2413" i="2" s="1"/>
  <c r="AN27" i="2"/>
  <c r="X27" i="2"/>
  <c r="AD27" i="2"/>
  <c r="AI27" i="2"/>
  <c r="AJ104" i="2"/>
  <c r="AO104" i="2"/>
  <c r="AE104" i="2"/>
  <c r="AN65" i="2"/>
  <c r="X65" i="2"/>
  <c r="AD65" i="2"/>
  <c r="AI65" i="2"/>
  <c r="AS82" i="2"/>
  <c r="AX82" i="2" s="1"/>
  <c r="BG82" i="2" s="1"/>
  <c r="AS206" i="2"/>
  <c r="AX206" i="2" s="1"/>
  <c r="BG206" i="2" s="1"/>
  <c r="AS466" i="2"/>
  <c r="AX466" i="2" s="1"/>
  <c r="BG466" i="2" s="1"/>
  <c r="AN7" i="2"/>
  <c r="X7" i="2"/>
  <c r="AI7" i="2"/>
  <c r="AD7" i="2"/>
  <c r="AN39" i="2"/>
  <c r="X39" i="2"/>
  <c r="AI39" i="2"/>
  <c r="AD39" i="2"/>
  <c r="AN71" i="2"/>
  <c r="X71" i="2"/>
  <c r="AI71" i="2"/>
  <c r="AD71" i="2"/>
  <c r="AS135" i="2"/>
  <c r="AX135" i="2" s="1"/>
  <c r="BG135" i="2" s="1"/>
  <c r="AS199" i="2"/>
  <c r="AX199" i="2" s="1"/>
  <c r="BG199" i="2" s="1"/>
  <c r="AS250" i="2"/>
  <c r="AX250" i="2" s="1"/>
  <c r="BG250" i="2" s="1"/>
  <c r="AN439" i="2"/>
  <c r="X439" i="2"/>
  <c r="AI439" i="2"/>
  <c r="AD439" i="2"/>
  <c r="AS556" i="2"/>
  <c r="AX556" i="2" s="1"/>
  <c r="BG556" i="2" s="1"/>
  <c r="AS558" i="2"/>
  <c r="AX558" i="2" s="1"/>
  <c r="BG558" i="2" s="1"/>
  <c r="AS560" i="2"/>
  <c r="AX560" i="2" s="1"/>
  <c r="BG560" i="2" s="1"/>
  <c r="AS562" i="2"/>
  <c r="AX562" i="2" s="1"/>
  <c r="BG562" i="2" s="1"/>
  <c r="AS564" i="2"/>
  <c r="AX564" i="2" s="1"/>
  <c r="BG564" i="2" s="1"/>
  <c r="AS566" i="2"/>
  <c r="AX566" i="2" s="1"/>
  <c r="BG566" i="2" s="1"/>
  <c r="AS568" i="2"/>
  <c r="AX568" i="2" s="1"/>
  <c r="BG568" i="2" s="1"/>
  <c r="AS570" i="2"/>
  <c r="AX570" i="2" s="1"/>
  <c r="BG570" i="2" s="1"/>
  <c r="AS572" i="2"/>
  <c r="AX572" i="2" s="1"/>
  <c r="BG572" i="2" s="1"/>
  <c r="AS574" i="2"/>
  <c r="AX574" i="2" s="1"/>
  <c r="BG574" i="2" s="1"/>
  <c r="AS576" i="2"/>
  <c r="AX576" i="2" s="1"/>
  <c r="BG576" i="2" s="1"/>
  <c r="AS578" i="2"/>
  <c r="AX578" i="2" s="1"/>
  <c r="BG578" i="2" s="1"/>
  <c r="AS580" i="2"/>
  <c r="AX580" i="2" s="1"/>
  <c r="BG580" i="2" s="1"/>
  <c r="AS582" i="2"/>
  <c r="AX582" i="2" s="1"/>
  <c r="BG582" i="2" s="1"/>
  <c r="AS584" i="2"/>
  <c r="AX584" i="2" s="1"/>
  <c r="BG584" i="2" s="1"/>
  <c r="AS586" i="2"/>
  <c r="AX586" i="2" s="1"/>
  <c r="BG586" i="2" s="1"/>
  <c r="AS588" i="2"/>
  <c r="AX588" i="2" s="1"/>
  <c r="BG588" i="2" s="1"/>
  <c r="AS590" i="2"/>
  <c r="AX590" i="2" s="1"/>
  <c r="BG590" i="2" s="1"/>
  <c r="AS592" i="2"/>
  <c r="AX592" i="2" s="1"/>
  <c r="BG592" i="2" s="1"/>
  <c r="AS594" i="2"/>
  <c r="AX594" i="2" s="1"/>
  <c r="BG594" i="2" s="1"/>
  <c r="AS596" i="2"/>
  <c r="AX596" i="2" s="1"/>
  <c r="BG596" i="2" s="1"/>
  <c r="AS598" i="2"/>
  <c r="AX598" i="2" s="1"/>
  <c r="BG598" i="2" s="1"/>
  <c r="AS600" i="2"/>
  <c r="AX600" i="2" s="1"/>
  <c r="BG600" i="2" s="1"/>
  <c r="AS602" i="2"/>
  <c r="AX602" i="2" s="1"/>
  <c r="BG602" i="2" s="1"/>
  <c r="AS604" i="2"/>
  <c r="AX604" i="2" s="1"/>
  <c r="BG604" i="2" s="1"/>
  <c r="AS606" i="2"/>
  <c r="AX606" i="2" s="1"/>
  <c r="BG606" i="2" s="1"/>
  <c r="AS608" i="2"/>
  <c r="AX608" i="2" s="1"/>
  <c r="BG608" i="2" s="1"/>
  <c r="AS610" i="2"/>
  <c r="AX610" i="2" s="1"/>
  <c r="BG610" i="2" s="1"/>
  <c r="AS612" i="2"/>
  <c r="AX612" i="2" s="1"/>
  <c r="BG612" i="2" s="1"/>
  <c r="AS614" i="2"/>
  <c r="AX614" i="2" s="1"/>
  <c r="BG614" i="2" s="1"/>
  <c r="AS616" i="2"/>
  <c r="AX616" i="2" s="1"/>
  <c r="BG616" i="2" s="1"/>
  <c r="AS618" i="2"/>
  <c r="AX618" i="2" s="1"/>
  <c r="BG618" i="2" s="1"/>
  <c r="AS2148" i="2"/>
  <c r="AX2148" i="2" s="1"/>
  <c r="BG2148" i="2" s="1"/>
  <c r="AT192" i="2"/>
  <c r="AY192" i="2" s="1"/>
  <c r="BH192" i="2" s="1"/>
  <c r="AS295" i="2"/>
  <c r="AX295" i="2" s="1"/>
  <c r="BG295" i="2" s="1"/>
  <c r="AS89" i="2"/>
  <c r="AX89" i="2" s="1"/>
  <c r="BG89" i="2" s="1"/>
  <c r="AT224" i="2"/>
  <c r="AY224" i="2" s="1"/>
  <c r="BH224" i="2" s="1"/>
  <c r="AS471" i="2"/>
  <c r="AX471" i="2" s="1"/>
  <c r="BG471" i="2" s="1"/>
  <c r="AS1295" i="2"/>
  <c r="AX1295" i="2" s="1"/>
  <c r="BG1295" i="2" s="1"/>
  <c r="AD1373" i="2"/>
  <c r="AI1373" i="2"/>
  <c r="AN1373" i="2"/>
  <c r="X1373" i="2"/>
  <c r="AD1389" i="2"/>
  <c r="AI1389" i="2"/>
  <c r="AN1389" i="2"/>
  <c r="X1389" i="2"/>
  <c r="AN1864" i="2"/>
  <c r="X1864" i="2"/>
  <c r="AI1864" i="2"/>
  <c r="AD1864" i="2"/>
  <c r="AN1872" i="2"/>
  <c r="X1872" i="2"/>
  <c r="AI1872" i="2"/>
  <c r="AD1872" i="2"/>
  <c r="AN1880" i="2"/>
  <c r="X1880" i="2"/>
  <c r="AI1880" i="2"/>
  <c r="AD1880" i="2"/>
  <c r="AN1888" i="2"/>
  <c r="X1888" i="2"/>
  <c r="AI1888" i="2"/>
  <c r="AD1888" i="2"/>
  <c r="AN1896" i="2"/>
  <c r="X1896" i="2"/>
  <c r="AI1896" i="2"/>
  <c r="AD1896" i="2"/>
  <c r="AN1904" i="2"/>
  <c r="X1904" i="2"/>
  <c r="AI1904" i="2"/>
  <c r="AD1904" i="2"/>
  <c r="AN1912" i="2"/>
  <c r="X1912" i="2"/>
  <c r="AI1912" i="2"/>
  <c r="AD1912" i="2"/>
  <c r="AN1920" i="2"/>
  <c r="X1920" i="2"/>
  <c r="AI1920" i="2"/>
  <c r="AD1920" i="2"/>
  <c r="AN1928" i="2"/>
  <c r="X1928" i="2"/>
  <c r="AI1928" i="2"/>
  <c r="AD1928" i="2"/>
  <c r="AN1936" i="2"/>
  <c r="X1936" i="2"/>
  <c r="AI1936" i="2"/>
  <c r="AD1936" i="2"/>
  <c r="AN1944" i="2"/>
  <c r="X1944" i="2"/>
  <c r="AI1944" i="2"/>
  <c r="AD1944" i="2"/>
  <c r="AN1952" i="2"/>
  <c r="X1952" i="2"/>
  <c r="AI1952" i="2"/>
  <c r="AD1952" i="2"/>
  <c r="AI2146" i="2"/>
  <c r="AD2146" i="2"/>
  <c r="AN2146" i="2"/>
  <c r="X2146" i="2"/>
  <c r="AN2108" i="2"/>
  <c r="X2108" i="2"/>
  <c r="AI2108" i="2"/>
  <c r="AD2108" i="2"/>
  <c r="AI2400" i="2"/>
  <c r="AN2400" i="2"/>
  <c r="X2400" i="2"/>
  <c r="AD2400" i="2"/>
  <c r="AS2484" i="2"/>
  <c r="AX2484" i="2" s="1"/>
  <c r="BG2484" i="2" s="1"/>
  <c r="AJ216" i="2"/>
  <c r="AE216" i="2"/>
  <c r="AO216" i="2"/>
  <c r="AI496" i="2"/>
  <c r="AD496" i="2"/>
  <c r="AN496" i="2"/>
  <c r="X496" i="2"/>
  <c r="AI500" i="2"/>
  <c r="AD500" i="2"/>
  <c r="AN500" i="2"/>
  <c r="X500" i="2"/>
  <c r="AI504" i="2"/>
  <c r="AD504" i="2"/>
  <c r="AN504" i="2"/>
  <c r="X504" i="2"/>
  <c r="AN67" i="2"/>
  <c r="X67" i="2"/>
  <c r="AD67" i="2"/>
  <c r="AI67" i="2"/>
  <c r="AS158" i="2"/>
  <c r="AX158" i="2" s="1"/>
  <c r="BG158" i="2" s="1"/>
  <c r="AS432" i="2"/>
  <c r="AX432" i="2" s="1"/>
  <c r="BG432" i="2" s="1"/>
  <c r="AS16" i="2"/>
  <c r="AX16" i="2" s="1"/>
  <c r="BG16" i="2" s="1"/>
  <c r="AS48" i="2"/>
  <c r="AX48" i="2" s="1"/>
  <c r="BG48" i="2" s="1"/>
  <c r="AD218" i="2"/>
  <c r="X218" i="2"/>
  <c r="AN218" i="2"/>
  <c r="AI218" i="2"/>
  <c r="AI757" i="2"/>
  <c r="AN757" i="2"/>
  <c r="X757" i="2"/>
  <c r="AD757" i="2"/>
  <c r="AI789" i="2"/>
  <c r="AN789" i="2"/>
  <c r="X789" i="2"/>
  <c r="AD789" i="2"/>
  <c r="AI821" i="2"/>
  <c r="AN821" i="2"/>
  <c r="X821" i="2"/>
  <c r="AD821" i="2"/>
  <c r="AI853" i="2"/>
  <c r="AN853" i="2"/>
  <c r="X853" i="2"/>
  <c r="AD853" i="2"/>
  <c r="AI885" i="2"/>
  <c r="AN885" i="2"/>
  <c r="X885" i="2"/>
  <c r="AD885" i="2"/>
  <c r="AD1206" i="2"/>
  <c r="AN1206" i="2"/>
  <c r="X1206" i="2"/>
  <c r="AI1206" i="2"/>
  <c r="AD1270" i="2"/>
  <c r="AN1270" i="2"/>
  <c r="X1270" i="2"/>
  <c r="AI1270" i="2"/>
  <c r="AD1334" i="2"/>
  <c r="AN1334" i="2"/>
  <c r="X1334" i="2"/>
  <c r="AI1334" i="2"/>
  <c r="AD1664" i="2"/>
  <c r="AN1664" i="2"/>
  <c r="X1664" i="2"/>
  <c r="AI1664" i="2"/>
  <c r="AD1586" i="2"/>
  <c r="AN1586" i="2"/>
  <c r="X1586" i="2"/>
  <c r="AI1586" i="2"/>
  <c r="AD1594" i="2"/>
  <c r="AN1594" i="2"/>
  <c r="X1594" i="2"/>
  <c r="AI1594" i="2"/>
  <c r="AI1840" i="2"/>
  <c r="AD1840" i="2"/>
  <c r="X1840" i="2"/>
  <c r="AN1840" i="2"/>
  <c r="AS2022" i="2"/>
  <c r="AX2022" i="2" s="1"/>
  <c r="BG2022" i="2" s="1"/>
  <c r="AS2026" i="2"/>
  <c r="AX2026" i="2" s="1"/>
  <c r="BG2026" i="2" s="1"/>
  <c r="AS2030" i="2"/>
  <c r="AX2030" i="2" s="1"/>
  <c r="BG2030" i="2" s="1"/>
  <c r="AS2034" i="2"/>
  <c r="AX2034" i="2" s="1"/>
  <c r="BG2034" i="2" s="1"/>
  <c r="AS2038" i="2"/>
  <c r="AX2038" i="2" s="1"/>
  <c r="BG2038" i="2" s="1"/>
  <c r="AD2071" i="2"/>
  <c r="AN2071" i="2"/>
  <c r="X2071" i="2"/>
  <c r="AI2071" i="2"/>
  <c r="AS2168" i="2"/>
  <c r="AX2168" i="2" s="1"/>
  <c r="BG2168" i="2" s="1"/>
  <c r="AO4" i="2"/>
  <c r="AE4" i="2"/>
  <c r="AJ4" i="2"/>
  <c r="AO256" i="2"/>
  <c r="AJ256" i="2"/>
  <c r="AE256" i="2"/>
  <c r="AN479" i="2"/>
  <c r="X479" i="2"/>
  <c r="AI479" i="2"/>
  <c r="AD479" i="2"/>
  <c r="AS1252" i="2"/>
  <c r="AX1252" i="2" s="1"/>
  <c r="BG1252" i="2" s="1"/>
  <c r="AS1316" i="2"/>
  <c r="AX1316" i="2" s="1"/>
  <c r="BG1316" i="2" s="1"/>
  <c r="AS1255" i="2"/>
  <c r="AX1255" i="2" s="1"/>
  <c r="BG1255" i="2" s="1"/>
  <c r="AS1186" i="2"/>
  <c r="AX1186" i="2" s="1"/>
  <c r="BG1186" i="2" s="1"/>
  <c r="AS1250" i="2"/>
  <c r="AX1250" i="2" s="1"/>
  <c r="BG1250" i="2" s="1"/>
  <c r="AS1314" i="2"/>
  <c r="AX1314" i="2" s="1"/>
  <c r="BG1314" i="2" s="1"/>
  <c r="AS1391" i="2"/>
  <c r="AX1391" i="2" s="1"/>
  <c r="BG1391" i="2" s="1"/>
  <c r="AS1503" i="2"/>
  <c r="AX1503" i="2" s="1"/>
  <c r="BG1503" i="2" s="1"/>
  <c r="AS1453" i="2"/>
  <c r="AX1453" i="2" s="1"/>
  <c r="BG1453" i="2" s="1"/>
  <c r="AS1469" i="2"/>
  <c r="AX1469" i="2" s="1"/>
  <c r="BG1469" i="2" s="1"/>
  <c r="AS1653" i="2"/>
  <c r="AX1653" i="2" s="1"/>
  <c r="BG1653" i="2" s="1"/>
  <c r="AT1819" i="2"/>
  <c r="AY1819" i="2" s="1"/>
  <c r="BH1819" i="2" s="1"/>
  <c r="AN2229" i="2"/>
  <c r="X2229" i="2"/>
  <c r="AD2229" i="2"/>
  <c r="AI2229" i="2"/>
  <c r="AS181" i="2"/>
  <c r="AX181" i="2" s="1"/>
  <c r="BG181" i="2" s="1"/>
  <c r="AS2441" i="2"/>
  <c r="AX2441" i="2" s="1"/>
  <c r="BG2441" i="2" s="1"/>
  <c r="AS2151" i="2"/>
  <c r="AX2151" i="2" s="1"/>
  <c r="BG2151" i="2" s="1"/>
  <c r="AS2401" i="2"/>
  <c r="AX2401" i="2" s="1"/>
  <c r="BG2401" i="2" s="1"/>
  <c r="AS2175" i="2"/>
  <c r="AX2175" i="2" s="1"/>
  <c r="BG2175" i="2" s="1"/>
  <c r="AN2439" i="2"/>
  <c r="X2439" i="2"/>
  <c r="AI2439" i="2"/>
  <c r="AD2439" i="2"/>
  <c r="AS289" i="2"/>
  <c r="AX289" i="2" s="1"/>
  <c r="BG289" i="2" s="1"/>
  <c r="AN381" i="2"/>
  <c r="X381" i="2"/>
  <c r="AI381" i="2"/>
  <c r="AD381" i="2"/>
  <c r="AN389" i="2"/>
  <c r="X389" i="2"/>
  <c r="AI389" i="2"/>
  <c r="AD389" i="2"/>
  <c r="AN405" i="2"/>
  <c r="X405" i="2"/>
  <c r="AI405" i="2"/>
  <c r="AD405" i="2"/>
  <c r="AN453" i="2"/>
  <c r="X453" i="2"/>
  <c r="AI453" i="2"/>
  <c r="AD453" i="2"/>
  <c r="AN485" i="2"/>
  <c r="X485" i="2"/>
  <c r="AI485" i="2"/>
  <c r="AD485" i="2"/>
  <c r="AO460" i="2"/>
  <c r="AJ460" i="2"/>
  <c r="AE460" i="2"/>
  <c r="AS1633" i="2"/>
  <c r="AX1633" i="2" s="1"/>
  <c r="BG1633" i="2" s="1"/>
  <c r="AN2046" i="2"/>
  <c r="X2046" i="2"/>
  <c r="AI2046" i="2"/>
  <c r="AD2046" i="2"/>
  <c r="AS1297" i="2"/>
  <c r="AX1297" i="2" s="1"/>
  <c r="BG1297" i="2" s="1"/>
  <c r="AS1372" i="2"/>
  <c r="AX1372" i="2" s="1"/>
  <c r="BG1372" i="2" s="1"/>
  <c r="AN1390" i="2"/>
  <c r="X1390" i="2"/>
  <c r="AI1390" i="2"/>
  <c r="AD1390" i="2"/>
  <c r="AS2428" i="2"/>
  <c r="AX2428" i="2" s="1"/>
  <c r="BG2428" i="2" s="1"/>
  <c r="AS127" i="2"/>
  <c r="AX127" i="2" s="1"/>
  <c r="BG127" i="2" s="1"/>
  <c r="AI502" i="2"/>
  <c r="AD502" i="2"/>
  <c r="AN502" i="2"/>
  <c r="X502" i="2"/>
  <c r="AS360" i="2"/>
  <c r="AX360" i="2" s="1"/>
  <c r="BG360" i="2" s="1"/>
  <c r="AN323" i="2"/>
  <c r="X323" i="2"/>
  <c r="AI323" i="2"/>
  <c r="AD323" i="2"/>
  <c r="AS515" i="2"/>
  <c r="AX515" i="2" s="1"/>
  <c r="BG515" i="2" s="1"/>
  <c r="AS539" i="2"/>
  <c r="AX539" i="2" s="1"/>
  <c r="BG539" i="2" s="1"/>
  <c r="AS555" i="2"/>
  <c r="AX555" i="2" s="1"/>
  <c r="BG555" i="2" s="1"/>
  <c r="AS1415" i="2"/>
  <c r="AX1415" i="2" s="1"/>
  <c r="BG1415" i="2" s="1"/>
  <c r="AS1694" i="2"/>
  <c r="AX1694" i="2" s="1"/>
  <c r="BG1694" i="2" s="1"/>
  <c r="AI1788" i="2"/>
  <c r="AD1788" i="2"/>
  <c r="X1788" i="2"/>
  <c r="AN1788" i="2"/>
  <c r="AS2176" i="2"/>
  <c r="AX2176" i="2" s="1"/>
  <c r="BG2176" i="2" s="1"/>
  <c r="AS2283" i="2"/>
  <c r="AX2283" i="2" s="1"/>
  <c r="BG2283" i="2" s="1"/>
  <c r="AS2217" i="2"/>
  <c r="AX2217" i="2" s="1"/>
  <c r="BG2217" i="2" s="1"/>
  <c r="AS2241" i="2"/>
  <c r="AX2241" i="2" s="1"/>
  <c r="BG2241" i="2" s="1"/>
  <c r="AS2265" i="2"/>
  <c r="AX2265" i="2" s="1"/>
  <c r="BG2265" i="2" s="1"/>
  <c r="AS2289" i="2"/>
  <c r="AX2289" i="2" s="1"/>
  <c r="BG2289" i="2" s="1"/>
  <c r="AS2313" i="2"/>
  <c r="AX2313" i="2" s="1"/>
  <c r="BG2313" i="2" s="1"/>
  <c r="AS2472" i="2"/>
  <c r="AX2472" i="2" s="1"/>
  <c r="BG2472" i="2" s="1"/>
  <c r="AI2402" i="2"/>
  <c r="AD2402" i="2"/>
  <c r="AN2402" i="2"/>
  <c r="X2402" i="2"/>
  <c r="AI2464" i="2"/>
  <c r="AD2464" i="2"/>
  <c r="AN2464" i="2"/>
  <c r="X2464" i="2"/>
  <c r="AT272" i="2"/>
  <c r="AY272" i="2" s="1"/>
  <c r="BH272" i="2" s="1"/>
  <c r="AS940" i="2"/>
  <c r="AX940" i="2" s="1"/>
  <c r="BG940" i="2" s="1"/>
  <c r="AS944" i="2"/>
  <c r="AX944" i="2" s="1"/>
  <c r="BG944" i="2" s="1"/>
  <c r="AS948" i="2"/>
  <c r="AX948" i="2" s="1"/>
  <c r="BG948" i="2" s="1"/>
  <c r="AS952" i="2"/>
  <c r="AX952" i="2" s="1"/>
  <c r="BG952" i="2" s="1"/>
  <c r="AS956" i="2"/>
  <c r="AX956" i="2" s="1"/>
  <c r="BG956" i="2" s="1"/>
  <c r="AS960" i="2"/>
  <c r="AX960" i="2" s="1"/>
  <c r="BG960" i="2" s="1"/>
  <c r="AS964" i="2"/>
  <c r="AX964" i="2" s="1"/>
  <c r="BG964" i="2" s="1"/>
  <c r="AS968" i="2"/>
  <c r="AX968" i="2" s="1"/>
  <c r="BG968" i="2" s="1"/>
  <c r="AS972" i="2"/>
  <c r="AX972" i="2" s="1"/>
  <c r="BG972" i="2" s="1"/>
  <c r="AS976" i="2"/>
  <c r="AX976" i="2" s="1"/>
  <c r="BG976" i="2" s="1"/>
  <c r="AS980" i="2"/>
  <c r="AX980" i="2" s="1"/>
  <c r="BG980" i="2" s="1"/>
  <c r="AS984" i="2"/>
  <c r="AX984" i="2" s="1"/>
  <c r="BG984" i="2" s="1"/>
  <c r="AS988" i="2"/>
  <c r="AX988" i="2" s="1"/>
  <c r="BG988" i="2" s="1"/>
  <c r="AS992" i="2"/>
  <c r="AX992" i="2" s="1"/>
  <c r="BG992" i="2" s="1"/>
  <c r="AS996" i="2"/>
  <c r="AX996" i="2" s="1"/>
  <c r="BG996" i="2" s="1"/>
  <c r="AS1000" i="2"/>
  <c r="AX1000" i="2" s="1"/>
  <c r="BG1000" i="2" s="1"/>
  <c r="AS1004" i="2"/>
  <c r="AX1004" i="2" s="1"/>
  <c r="BG1004" i="2" s="1"/>
  <c r="AS1008" i="2"/>
  <c r="AX1008" i="2" s="1"/>
  <c r="BG1008" i="2" s="1"/>
  <c r="AS1012" i="2"/>
  <c r="AX1012" i="2" s="1"/>
  <c r="BG1012" i="2" s="1"/>
  <c r="AS1016" i="2"/>
  <c r="AX1016" i="2" s="1"/>
  <c r="BG1016" i="2" s="1"/>
  <c r="AS1020" i="2"/>
  <c r="AX1020" i="2" s="1"/>
  <c r="BG1020" i="2" s="1"/>
  <c r="AS1024" i="2"/>
  <c r="AX1024" i="2" s="1"/>
  <c r="BG1024" i="2" s="1"/>
  <c r="AS1028" i="2"/>
  <c r="AX1028" i="2" s="1"/>
  <c r="BG1028" i="2" s="1"/>
  <c r="AS1032" i="2"/>
  <c r="AX1032" i="2" s="1"/>
  <c r="BG1032" i="2" s="1"/>
  <c r="AS1036" i="2"/>
  <c r="AX1036" i="2" s="1"/>
  <c r="BG1036" i="2" s="1"/>
  <c r="AS1040" i="2"/>
  <c r="AX1040" i="2" s="1"/>
  <c r="BG1040" i="2" s="1"/>
  <c r="AN1047" i="2"/>
  <c r="X1047" i="2"/>
  <c r="AI1047" i="2"/>
  <c r="AD1047" i="2"/>
  <c r="AS735" i="2"/>
  <c r="AX735" i="2" s="1"/>
  <c r="BG735" i="2" s="1"/>
  <c r="AS751" i="2"/>
  <c r="AX751" i="2" s="1"/>
  <c r="BG751" i="2" s="1"/>
  <c r="AS767" i="2"/>
  <c r="AX767" i="2" s="1"/>
  <c r="BG767" i="2" s="1"/>
  <c r="AS783" i="2"/>
  <c r="AX783" i="2" s="1"/>
  <c r="BG783" i="2" s="1"/>
  <c r="AS799" i="2"/>
  <c r="AX799" i="2" s="1"/>
  <c r="BG799" i="2" s="1"/>
  <c r="AS815" i="2"/>
  <c r="AX815" i="2" s="1"/>
  <c r="BG815" i="2" s="1"/>
  <c r="AS831" i="2"/>
  <c r="AX831" i="2" s="1"/>
  <c r="BG831" i="2" s="1"/>
  <c r="AS847" i="2"/>
  <c r="AX847" i="2" s="1"/>
  <c r="BG847" i="2" s="1"/>
  <c r="AS863" i="2"/>
  <c r="AX863" i="2" s="1"/>
  <c r="BG863" i="2" s="1"/>
  <c r="AS879" i="2"/>
  <c r="AX879" i="2" s="1"/>
  <c r="BG879" i="2" s="1"/>
  <c r="AS2173" i="2"/>
  <c r="AX2173" i="2" s="1"/>
  <c r="BG2173" i="2" s="1"/>
  <c r="AT152" i="2"/>
  <c r="AY152" i="2" s="1"/>
  <c r="BH152" i="2" s="1"/>
  <c r="AS487" i="2"/>
  <c r="AX487" i="2" s="1"/>
  <c r="BG487" i="2" s="1"/>
  <c r="AI679" i="2"/>
  <c r="AD679" i="2"/>
  <c r="AN679" i="2"/>
  <c r="X679" i="2"/>
  <c r="AO891" i="2"/>
  <c r="AE891" i="2"/>
  <c r="AJ891" i="2"/>
  <c r="AO895" i="2"/>
  <c r="AE895" i="2"/>
  <c r="AJ895" i="2"/>
  <c r="AO899" i="2"/>
  <c r="AE899" i="2"/>
  <c r="AJ899" i="2"/>
  <c r="AO903" i="2"/>
  <c r="AE903" i="2"/>
  <c r="AJ903" i="2"/>
  <c r="AO907" i="2"/>
  <c r="AE907" i="2"/>
  <c r="AJ907" i="2"/>
  <c r="AO911" i="2"/>
  <c r="AE911" i="2"/>
  <c r="AJ911" i="2"/>
  <c r="AO915" i="2"/>
  <c r="AE915" i="2"/>
  <c r="AJ915" i="2"/>
  <c r="AO919" i="2"/>
  <c r="AE919" i="2"/>
  <c r="AJ919" i="2"/>
  <c r="AO923" i="2"/>
  <c r="AE923" i="2"/>
  <c r="AJ923" i="2"/>
  <c r="AO927" i="2"/>
  <c r="AE927" i="2"/>
  <c r="AJ927" i="2"/>
  <c r="AO931" i="2"/>
  <c r="AE931" i="2"/>
  <c r="AJ931" i="2"/>
  <c r="AS1217" i="2"/>
  <c r="AX1217" i="2" s="1"/>
  <c r="BG1217" i="2" s="1"/>
  <c r="AS1281" i="2"/>
  <c r="AX1281" i="2" s="1"/>
  <c r="BG1281" i="2" s="1"/>
  <c r="AS1345" i="2"/>
  <c r="AX1345" i="2" s="1"/>
  <c r="BG1345" i="2" s="1"/>
  <c r="AS1239" i="2"/>
  <c r="AX1239" i="2" s="1"/>
  <c r="BG1239" i="2" s="1"/>
  <c r="AS1303" i="2"/>
  <c r="AX1303" i="2" s="1"/>
  <c r="BG1303" i="2" s="1"/>
  <c r="AS1367" i="2"/>
  <c r="AX1367" i="2" s="1"/>
  <c r="BG1367" i="2" s="1"/>
  <c r="AN1443" i="2"/>
  <c r="X1443" i="2"/>
  <c r="AD1443" i="2"/>
  <c r="AI1443" i="2"/>
  <c r="AN1581" i="2"/>
  <c r="X1581" i="2"/>
  <c r="AI1581" i="2"/>
  <c r="AD1581" i="2"/>
  <c r="AS1860" i="2"/>
  <c r="AX1860" i="2" s="1"/>
  <c r="BG1860" i="2" s="1"/>
  <c r="AS1868" i="2"/>
  <c r="AX1868" i="2" s="1"/>
  <c r="BG1868" i="2" s="1"/>
  <c r="AS1876" i="2"/>
  <c r="AX1876" i="2" s="1"/>
  <c r="BG1876" i="2" s="1"/>
  <c r="AS1884" i="2"/>
  <c r="AX1884" i="2" s="1"/>
  <c r="BG1884" i="2" s="1"/>
  <c r="AS1892" i="2"/>
  <c r="AX1892" i="2" s="1"/>
  <c r="BG1892" i="2" s="1"/>
  <c r="AS1900" i="2"/>
  <c r="AX1900" i="2" s="1"/>
  <c r="BG1900" i="2" s="1"/>
  <c r="AS1908" i="2"/>
  <c r="AX1908" i="2" s="1"/>
  <c r="BG1908" i="2" s="1"/>
  <c r="AS1916" i="2"/>
  <c r="AX1916" i="2" s="1"/>
  <c r="BG1916" i="2" s="1"/>
  <c r="AS1924" i="2"/>
  <c r="AX1924" i="2" s="1"/>
  <c r="BG1924" i="2" s="1"/>
  <c r="AS1932" i="2"/>
  <c r="AX1932" i="2" s="1"/>
  <c r="BG1932" i="2" s="1"/>
  <c r="AS1940" i="2"/>
  <c r="AX1940" i="2" s="1"/>
  <c r="BG1940" i="2" s="1"/>
  <c r="AS1948" i="2"/>
  <c r="AX1948" i="2" s="1"/>
  <c r="BG1948" i="2" s="1"/>
  <c r="AS1682" i="2"/>
  <c r="AX1682" i="2" s="1"/>
  <c r="BG1682" i="2" s="1"/>
  <c r="AS1746" i="2"/>
  <c r="AX1746" i="2" s="1"/>
  <c r="BG1746" i="2" s="1"/>
  <c r="AN2052" i="2"/>
  <c r="X2052" i="2"/>
  <c r="AI2052" i="2"/>
  <c r="AD2052" i="2"/>
  <c r="AS2445" i="2"/>
  <c r="AX2445" i="2" s="1"/>
  <c r="BG2445" i="2" s="1"/>
  <c r="AS83" i="2"/>
  <c r="AX83" i="2" s="1"/>
  <c r="BG83" i="2" s="1"/>
  <c r="AS510" i="2"/>
  <c r="AX510" i="2" s="1"/>
  <c r="BG510" i="2" s="1"/>
  <c r="AN309" i="2"/>
  <c r="X309" i="2"/>
  <c r="AI309" i="2"/>
  <c r="AD309" i="2"/>
  <c r="AD1216" i="2"/>
  <c r="AN1216" i="2"/>
  <c r="X1216" i="2"/>
  <c r="AI1216" i="2"/>
  <c r="AS1344" i="2"/>
  <c r="AX1344" i="2" s="1"/>
  <c r="BG1344" i="2" s="1"/>
  <c r="AN1631" i="2"/>
  <c r="X1631" i="2"/>
  <c r="AI1631" i="2"/>
  <c r="AD1631" i="2"/>
  <c r="AS1656" i="2"/>
  <c r="AX1656" i="2" s="1"/>
  <c r="BG1656" i="2" s="1"/>
  <c r="AS1538" i="2"/>
  <c r="AX1538" i="2" s="1"/>
  <c r="BG1538" i="2" s="1"/>
  <c r="AN1427" i="2"/>
  <c r="X1427" i="2"/>
  <c r="AD1427" i="2"/>
  <c r="AI1427" i="2"/>
  <c r="AS1678" i="2"/>
  <c r="AX1678" i="2" s="1"/>
  <c r="BG1678" i="2" s="1"/>
  <c r="AS1742" i="2"/>
  <c r="AX1742" i="2" s="1"/>
  <c r="BG1742" i="2" s="1"/>
  <c r="AN2415" i="2"/>
  <c r="X2415" i="2"/>
  <c r="AI2415" i="2"/>
  <c r="AD2415" i="2"/>
  <c r="AN111" i="2"/>
  <c r="X111" i="2"/>
  <c r="AI111" i="2"/>
  <c r="AD111" i="2"/>
  <c r="AN463" i="2"/>
  <c r="X463" i="2"/>
  <c r="AI463" i="2"/>
  <c r="AD463" i="2"/>
  <c r="AS252" i="2"/>
  <c r="AX252" i="2" s="1"/>
  <c r="BG252" i="2" s="1"/>
  <c r="AD549" i="2"/>
  <c r="AN549" i="2"/>
  <c r="X549" i="2"/>
  <c r="AI549" i="2"/>
  <c r="AS522" i="2"/>
  <c r="AX522" i="2" s="1"/>
  <c r="BG522" i="2" s="1"/>
  <c r="AS554" i="2"/>
  <c r="AX554" i="2" s="1"/>
  <c r="BG554" i="2" s="1"/>
  <c r="AE1141" i="2"/>
  <c r="AO1141" i="2"/>
  <c r="AJ1141" i="2"/>
  <c r="AS1308" i="2"/>
  <c r="AX1308" i="2" s="1"/>
  <c r="BG1308" i="2" s="1"/>
  <c r="AD1178" i="2"/>
  <c r="AN1178" i="2"/>
  <c r="X1178" i="2"/>
  <c r="AI1178" i="2"/>
  <c r="AS1635" i="2"/>
  <c r="AX1635" i="2" s="1"/>
  <c r="BG1635" i="2" s="1"/>
  <c r="AS1645" i="2"/>
  <c r="AX1645" i="2" s="1"/>
  <c r="BG1645" i="2" s="1"/>
  <c r="AS2057" i="2"/>
  <c r="AX2057" i="2" s="1"/>
  <c r="BG2057" i="2" s="1"/>
  <c r="AN2076" i="2"/>
  <c r="X2076" i="2"/>
  <c r="AI2076" i="2"/>
  <c r="AD2076" i="2"/>
  <c r="AN2301" i="2"/>
  <c r="X2301" i="2"/>
  <c r="AD2301" i="2"/>
  <c r="AI2301" i="2"/>
  <c r="AN2309" i="2"/>
  <c r="X2309" i="2"/>
  <c r="AD2309" i="2"/>
  <c r="AI2309" i="2"/>
  <c r="AD110" i="2"/>
  <c r="AI110" i="2"/>
  <c r="X110" i="2"/>
  <c r="AN110" i="2"/>
  <c r="AS1041" i="2"/>
  <c r="AX1041" i="2" s="1"/>
  <c r="BG1041" i="2" s="1"/>
  <c r="AS1056" i="2"/>
  <c r="AX1056" i="2" s="1"/>
  <c r="BG1056" i="2" s="1"/>
  <c r="AS1064" i="2"/>
  <c r="AX1064" i="2" s="1"/>
  <c r="BG1064" i="2" s="1"/>
  <c r="AS1072" i="2"/>
  <c r="AX1072" i="2" s="1"/>
  <c r="BG1072" i="2" s="1"/>
  <c r="AS1080" i="2"/>
  <c r="AX1080" i="2" s="1"/>
  <c r="BG1080" i="2" s="1"/>
  <c r="AS1088" i="2"/>
  <c r="AX1088" i="2" s="1"/>
  <c r="BG1088" i="2" s="1"/>
  <c r="AS1096" i="2"/>
  <c r="AX1096" i="2" s="1"/>
  <c r="BG1096" i="2" s="1"/>
  <c r="AS1104" i="2"/>
  <c r="AX1104" i="2" s="1"/>
  <c r="BG1104" i="2" s="1"/>
  <c r="AS1112" i="2"/>
  <c r="AX1112" i="2" s="1"/>
  <c r="BG1112" i="2" s="1"/>
  <c r="AS1120" i="2"/>
  <c r="AX1120" i="2" s="1"/>
  <c r="BG1120" i="2" s="1"/>
  <c r="AS1128" i="2"/>
  <c r="AX1128" i="2" s="1"/>
  <c r="BG1128" i="2" s="1"/>
  <c r="AS1136" i="2"/>
  <c r="AX1136" i="2" s="1"/>
  <c r="BG1136" i="2" s="1"/>
  <c r="AS2183" i="2"/>
  <c r="AX2183" i="2" s="1"/>
  <c r="BG2183" i="2" s="1"/>
  <c r="AS2142" i="2"/>
  <c r="AX2142" i="2" s="1"/>
  <c r="BG2142" i="2" s="1"/>
  <c r="AS2157" i="2"/>
  <c r="AX2157" i="2" s="1"/>
  <c r="BG2157" i="2" s="1"/>
  <c r="AD50" i="2"/>
  <c r="X50" i="2"/>
  <c r="AI50" i="2"/>
  <c r="AN50" i="2"/>
  <c r="AD56" i="2"/>
  <c r="AN56" i="2"/>
  <c r="AI56" i="2"/>
  <c r="X56" i="2"/>
  <c r="AD62" i="2"/>
  <c r="AI62" i="2"/>
  <c r="AN62" i="2"/>
  <c r="X62" i="2"/>
  <c r="AS251" i="2"/>
  <c r="AX251" i="2" s="1"/>
  <c r="BG251" i="2" s="1"/>
  <c r="AS257" i="2"/>
  <c r="AX257" i="2" s="1"/>
  <c r="BG257" i="2" s="1"/>
  <c r="AS17" i="2"/>
  <c r="AX17" i="2" s="1"/>
  <c r="BG17" i="2" s="1"/>
  <c r="AS255" i="2"/>
  <c r="AX255" i="2" s="1"/>
  <c r="BG255" i="2" s="1"/>
  <c r="AD426" i="2"/>
  <c r="AN426" i="2"/>
  <c r="AI426" i="2"/>
  <c r="X426" i="2"/>
  <c r="AN19" i="2"/>
  <c r="X19" i="2"/>
  <c r="AI19" i="2"/>
  <c r="AD19" i="2"/>
  <c r="AS533" i="2"/>
  <c r="AX533" i="2" s="1"/>
  <c r="BG533" i="2" s="1"/>
  <c r="AS254" i="2"/>
  <c r="AX254" i="2" s="1"/>
  <c r="BG254" i="2" s="1"/>
  <c r="AS521" i="2"/>
  <c r="AX521" i="2" s="1"/>
  <c r="BG521" i="2" s="1"/>
  <c r="AI627" i="2"/>
  <c r="AD627" i="2"/>
  <c r="AN627" i="2"/>
  <c r="X627" i="2"/>
  <c r="AI643" i="2"/>
  <c r="AD643" i="2"/>
  <c r="AN643" i="2"/>
  <c r="X643" i="2"/>
  <c r="AI659" i="2"/>
  <c r="AD659" i="2"/>
  <c r="AN659" i="2"/>
  <c r="X659" i="2"/>
  <c r="AI675" i="2"/>
  <c r="AD675" i="2"/>
  <c r="AN675" i="2"/>
  <c r="X675" i="2"/>
  <c r="AI691" i="2"/>
  <c r="AD691" i="2"/>
  <c r="AN691" i="2"/>
  <c r="X691" i="2"/>
  <c r="AI707" i="2"/>
  <c r="AD707" i="2"/>
  <c r="AN707" i="2"/>
  <c r="X707" i="2"/>
  <c r="AI764" i="2"/>
  <c r="AN764" i="2"/>
  <c r="X764" i="2"/>
  <c r="AD764" i="2"/>
  <c r="AI828" i="2"/>
  <c r="AN828" i="2"/>
  <c r="X828" i="2"/>
  <c r="AD828" i="2"/>
  <c r="AT1143" i="2"/>
  <c r="AY1143" i="2" s="1"/>
  <c r="BH1143" i="2" s="1"/>
  <c r="AT1147" i="2"/>
  <c r="AY1147" i="2" s="1"/>
  <c r="BH1147" i="2" s="1"/>
  <c r="AT1151" i="2"/>
  <c r="AY1151" i="2" s="1"/>
  <c r="BH1151" i="2" s="1"/>
  <c r="AS1220" i="2"/>
  <c r="AX1220" i="2" s="1"/>
  <c r="BG1220" i="2" s="1"/>
  <c r="AS1346" i="2"/>
  <c r="AX1346" i="2" s="1"/>
  <c r="BG1346" i="2" s="1"/>
  <c r="AN1455" i="2"/>
  <c r="X1455" i="2"/>
  <c r="AD1455" i="2"/>
  <c r="AI1455" i="2"/>
  <c r="AN1549" i="2"/>
  <c r="X1549" i="2"/>
  <c r="AD1549" i="2"/>
  <c r="AI1549" i="2"/>
  <c r="AS1587" i="2"/>
  <c r="AX1587" i="2" s="1"/>
  <c r="BG1587" i="2" s="1"/>
  <c r="AS1595" i="2"/>
  <c r="AX1595" i="2" s="1"/>
  <c r="BG1595" i="2" s="1"/>
  <c r="AN1461" i="2"/>
  <c r="X1461" i="2"/>
  <c r="AD1461" i="2"/>
  <c r="AI1461" i="2"/>
  <c r="AD1646" i="2"/>
  <c r="AN1646" i="2"/>
  <c r="X1646" i="2"/>
  <c r="AI1646" i="2"/>
  <c r="AO1787" i="2"/>
  <c r="AJ1787" i="2"/>
  <c r="AE1787" i="2"/>
  <c r="AD1877" i="2"/>
  <c r="AN1877" i="2"/>
  <c r="X1877" i="2"/>
  <c r="AI1877" i="2"/>
  <c r="AD1941" i="2"/>
  <c r="AN1941" i="2"/>
  <c r="X1941" i="2"/>
  <c r="AI1941" i="2"/>
  <c r="AD2005" i="2"/>
  <c r="AN2005" i="2"/>
  <c r="X2005" i="2"/>
  <c r="AI2005" i="2"/>
  <c r="AS1975" i="2"/>
  <c r="AX1975" i="2" s="1"/>
  <c r="BG1975" i="2" s="1"/>
  <c r="AS2480" i="2"/>
  <c r="AX2480" i="2" s="1"/>
  <c r="BG2480" i="2" s="1"/>
  <c r="AS2474" i="2"/>
  <c r="AX2474" i="2" s="1"/>
  <c r="BG2474" i="2" s="1"/>
  <c r="AS2490" i="2"/>
  <c r="AX2490" i="2" s="1"/>
  <c r="BG2490" i="2" s="1"/>
  <c r="AN173" i="2"/>
  <c r="X173" i="2"/>
  <c r="AD173" i="2"/>
  <c r="AI173" i="2"/>
  <c r="AN113" i="2"/>
  <c r="X113" i="2"/>
  <c r="AI113" i="2"/>
  <c r="AD113" i="2"/>
  <c r="AN177" i="2"/>
  <c r="X177" i="2"/>
  <c r="AI177" i="2"/>
  <c r="AD177" i="2"/>
  <c r="AD292" i="2"/>
  <c r="AN292" i="2"/>
  <c r="AI292" i="2"/>
  <c r="X292" i="2"/>
  <c r="AS306" i="2"/>
  <c r="AX306" i="2" s="1"/>
  <c r="BG306" i="2" s="1"/>
  <c r="AS2473" i="2"/>
  <c r="AX2473" i="2" s="1"/>
  <c r="BG2473" i="2" s="1"/>
  <c r="AN2463" i="2"/>
  <c r="X2463" i="2"/>
  <c r="AI2463" i="2"/>
  <c r="AD2463" i="2"/>
  <c r="AN2221" i="2"/>
  <c r="X2221" i="2"/>
  <c r="AD2221" i="2"/>
  <c r="AI2221" i="2"/>
  <c r="AS121" i="2"/>
  <c r="AX121" i="2" s="1"/>
  <c r="BG121" i="2" s="1"/>
  <c r="AS153" i="2"/>
  <c r="AX153" i="2" s="1"/>
  <c r="BG153" i="2" s="1"/>
  <c r="AS185" i="2"/>
  <c r="AX185" i="2" s="1"/>
  <c r="BG185" i="2" s="1"/>
  <c r="AS1829" i="2"/>
  <c r="AX1829" i="2" s="1"/>
  <c r="BG1829" i="2" s="1"/>
  <c r="AS622" i="2"/>
  <c r="AX622" i="2" s="1"/>
  <c r="BG622" i="2" s="1"/>
  <c r="AS626" i="2"/>
  <c r="AX626" i="2" s="1"/>
  <c r="BG626" i="2" s="1"/>
  <c r="AS630" i="2"/>
  <c r="AX630" i="2" s="1"/>
  <c r="BG630" i="2" s="1"/>
  <c r="AS634" i="2"/>
  <c r="AX634" i="2" s="1"/>
  <c r="BG634" i="2" s="1"/>
  <c r="AS638" i="2"/>
  <c r="AX638" i="2" s="1"/>
  <c r="BG638" i="2" s="1"/>
  <c r="AS642" i="2"/>
  <c r="AX642" i="2" s="1"/>
  <c r="BG642" i="2" s="1"/>
  <c r="AS646" i="2"/>
  <c r="AX646" i="2" s="1"/>
  <c r="BG646" i="2" s="1"/>
  <c r="AS650" i="2"/>
  <c r="AX650" i="2" s="1"/>
  <c r="BG650" i="2" s="1"/>
  <c r="AS654" i="2"/>
  <c r="AX654" i="2" s="1"/>
  <c r="BG654" i="2" s="1"/>
  <c r="AS658" i="2"/>
  <c r="AX658" i="2" s="1"/>
  <c r="BG658" i="2" s="1"/>
  <c r="AS662" i="2"/>
  <c r="AX662" i="2" s="1"/>
  <c r="BG662" i="2" s="1"/>
  <c r="AS666" i="2"/>
  <c r="AX666" i="2" s="1"/>
  <c r="BG666" i="2" s="1"/>
  <c r="AS670" i="2"/>
  <c r="AX670" i="2" s="1"/>
  <c r="BG670" i="2" s="1"/>
  <c r="AS674" i="2"/>
  <c r="AX674" i="2" s="1"/>
  <c r="BG674" i="2" s="1"/>
  <c r="AS678" i="2"/>
  <c r="AX678" i="2" s="1"/>
  <c r="BG678" i="2" s="1"/>
  <c r="AS682" i="2"/>
  <c r="AX682" i="2" s="1"/>
  <c r="BG682" i="2" s="1"/>
  <c r="AS686" i="2"/>
  <c r="AX686" i="2" s="1"/>
  <c r="BG686" i="2" s="1"/>
  <c r="AS690" i="2"/>
  <c r="AX690" i="2" s="1"/>
  <c r="BG690" i="2" s="1"/>
  <c r="AS694" i="2"/>
  <c r="AX694" i="2" s="1"/>
  <c r="BG694" i="2" s="1"/>
  <c r="AS698" i="2"/>
  <c r="AX698" i="2" s="1"/>
  <c r="BG698" i="2" s="1"/>
  <c r="AS702" i="2"/>
  <c r="AX702" i="2" s="1"/>
  <c r="BG702" i="2" s="1"/>
  <c r="AS706" i="2"/>
  <c r="AX706" i="2" s="1"/>
  <c r="BG706" i="2" s="1"/>
  <c r="AS710" i="2"/>
  <c r="AX710" i="2" s="1"/>
  <c r="BG710" i="2" s="1"/>
  <c r="AS714" i="2"/>
  <c r="AX714" i="2" s="1"/>
  <c r="BG714" i="2" s="1"/>
  <c r="AS718" i="2"/>
  <c r="AX718" i="2" s="1"/>
  <c r="BG718" i="2" s="1"/>
  <c r="AS722" i="2"/>
  <c r="AX722" i="2" s="1"/>
  <c r="BG722" i="2" s="1"/>
  <c r="AS1043" i="2"/>
  <c r="AX1043" i="2" s="1"/>
  <c r="BG1043" i="2" s="1"/>
  <c r="AN2167" i="2"/>
  <c r="X2167" i="2"/>
  <c r="AI2167" i="2"/>
  <c r="AD2167" i="2"/>
  <c r="AS64" i="2"/>
  <c r="AX64" i="2" s="1"/>
  <c r="BG64" i="2" s="1"/>
  <c r="AN315" i="2"/>
  <c r="X315" i="2"/>
  <c r="AI315" i="2"/>
  <c r="AD315" i="2"/>
  <c r="AN321" i="2"/>
  <c r="X321" i="2"/>
  <c r="AI321" i="2"/>
  <c r="AD321" i="2"/>
  <c r="AS1075" i="2"/>
  <c r="AX1075" i="2" s="1"/>
  <c r="BG1075" i="2" s="1"/>
  <c r="AI2393" i="2"/>
  <c r="AN2393" i="2"/>
  <c r="X2393" i="2"/>
  <c r="AD2393" i="2"/>
  <c r="AS1197" i="2"/>
  <c r="AX1197" i="2" s="1"/>
  <c r="BG1197" i="2" s="1"/>
  <c r="AS1663" i="2"/>
  <c r="AX1663" i="2" s="1"/>
  <c r="BG1663" i="2" s="1"/>
  <c r="AI1838" i="2"/>
  <c r="AN1838" i="2"/>
  <c r="X1838" i="2"/>
  <c r="AD1838" i="2"/>
  <c r="AI2111" i="2"/>
  <c r="AD2111" i="2"/>
  <c r="AN2111" i="2"/>
  <c r="X2111" i="2"/>
  <c r="AS115" i="2"/>
  <c r="AX115" i="2" s="1"/>
  <c r="BG115" i="2" s="1"/>
  <c r="AS179" i="2"/>
  <c r="AX179" i="2" s="1"/>
  <c r="BG179" i="2" s="1"/>
  <c r="AS697" i="2"/>
  <c r="AX697" i="2" s="1"/>
  <c r="BG697" i="2" s="1"/>
  <c r="AS1409" i="2"/>
  <c r="AX1409" i="2" s="1"/>
  <c r="BG1409" i="2" s="1"/>
  <c r="AS1425" i="2"/>
  <c r="AX1425" i="2" s="1"/>
  <c r="BG1425" i="2" s="1"/>
  <c r="AS1628" i="2"/>
  <c r="AX1628" i="2" s="1"/>
  <c r="BG1628" i="2" s="1"/>
  <c r="AS1675" i="2"/>
  <c r="AX1675" i="2" s="1"/>
  <c r="BG1675" i="2" s="1"/>
  <c r="AS1687" i="2"/>
  <c r="AX1687" i="2" s="1"/>
  <c r="BG1687" i="2" s="1"/>
  <c r="AS1699" i="2"/>
  <c r="AX1699" i="2" s="1"/>
  <c r="BG1699" i="2" s="1"/>
  <c r="AS1715" i="2"/>
  <c r="AX1715" i="2" s="1"/>
  <c r="BG1715" i="2" s="1"/>
  <c r="AS1727" i="2"/>
  <c r="AX1727" i="2" s="1"/>
  <c r="BG1727" i="2" s="1"/>
  <c r="AS1743" i="2"/>
  <c r="AX1743" i="2" s="1"/>
  <c r="BG1743" i="2" s="1"/>
  <c r="AS2067" i="2"/>
  <c r="AX2067" i="2" s="1"/>
  <c r="BG2067" i="2" s="1"/>
  <c r="AN516" i="2"/>
  <c r="X516" i="2"/>
  <c r="AI516" i="2"/>
  <c r="AD516" i="2"/>
  <c r="AN397" i="2"/>
  <c r="X397" i="2"/>
  <c r="AI397" i="2"/>
  <c r="AD397" i="2"/>
  <c r="AN421" i="2"/>
  <c r="X421" i="2"/>
  <c r="AI421" i="2"/>
  <c r="AD421" i="2"/>
  <c r="AN469" i="2"/>
  <c r="X469" i="2"/>
  <c r="AI469" i="2"/>
  <c r="AD469" i="2"/>
  <c r="AI888" i="2"/>
  <c r="AN888" i="2"/>
  <c r="X888" i="2"/>
  <c r="AD888" i="2"/>
  <c r="AI896" i="2"/>
  <c r="AN896" i="2"/>
  <c r="X896" i="2"/>
  <c r="AD896" i="2"/>
  <c r="AI904" i="2"/>
  <c r="AN904" i="2"/>
  <c r="X904" i="2"/>
  <c r="AD904" i="2"/>
  <c r="AI916" i="2"/>
  <c r="AN916" i="2"/>
  <c r="X916" i="2"/>
  <c r="AD916" i="2"/>
  <c r="AI928" i="2"/>
  <c r="AN928" i="2"/>
  <c r="X928" i="2"/>
  <c r="AD928" i="2"/>
  <c r="AI1103" i="2"/>
  <c r="AD1103" i="2"/>
  <c r="AN1103" i="2"/>
  <c r="X1103" i="2"/>
  <c r="AN1227" i="2"/>
  <c r="X1227" i="2"/>
  <c r="AI1227" i="2"/>
  <c r="AD1227" i="2"/>
  <c r="AN1291" i="2"/>
  <c r="X1291" i="2"/>
  <c r="AI1291" i="2"/>
  <c r="AD1291" i="2"/>
  <c r="AN1355" i="2"/>
  <c r="X1355" i="2"/>
  <c r="AI1355" i="2"/>
  <c r="AD1355" i="2"/>
  <c r="AS1483" i="2"/>
  <c r="AX1483" i="2" s="1"/>
  <c r="BG1483" i="2" s="1"/>
  <c r="AS1439" i="2"/>
  <c r="AX1439" i="2" s="1"/>
  <c r="BG1439" i="2" s="1"/>
  <c r="AS102" i="2"/>
  <c r="AX102" i="2" s="1"/>
  <c r="BG102" i="2" s="1"/>
  <c r="AI1121" i="2"/>
  <c r="AN1121" i="2"/>
  <c r="X1121" i="2"/>
  <c r="AD1121" i="2"/>
  <c r="AS1191" i="2"/>
  <c r="AX1191" i="2" s="1"/>
  <c r="BG1191" i="2" s="1"/>
  <c r="AD2091" i="2"/>
  <c r="AN2091" i="2"/>
  <c r="X2091" i="2"/>
  <c r="AI2091" i="2"/>
  <c r="AS59" i="2"/>
  <c r="AX59" i="2" s="1"/>
  <c r="BG59" i="2" s="1"/>
  <c r="AI498" i="2"/>
  <c r="AD498" i="2"/>
  <c r="AN498" i="2"/>
  <c r="X498" i="2"/>
  <c r="AS392" i="2"/>
  <c r="AX392" i="2" s="1"/>
  <c r="BG392" i="2" s="1"/>
  <c r="AS488" i="2"/>
  <c r="AX488" i="2" s="1"/>
  <c r="BG488" i="2" s="1"/>
  <c r="AS507" i="2"/>
  <c r="AX507" i="2" s="1"/>
  <c r="BG507" i="2" s="1"/>
  <c r="AS531" i="2"/>
  <c r="AX531" i="2" s="1"/>
  <c r="BG531" i="2" s="1"/>
  <c r="AN1181" i="2"/>
  <c r="X1181" i="2"/>
  <c r="AI1181" i="2"/>
  <c r="AD1181" i="2"/>
  <c r="AN1431" i="2"/>
  <c r="X1431" i="2"/>
  <c r="AD1431" i="2"/>
  <c r="AI1431" i="2"/>
  <c r="AS2251" i="2"/>
  <c r="AX2251" i="2" s="1"/>
  <c r="BG2251" i="2" s="1"/>
  <c r="AS2201" i="2"/>
  <c r="AX2201" i="2" s="1"/>
  <c r="BG2201" i="2" s="1"/>
  <c r="AS2225" i="2"/>
  <c r="AX2225" i="2" s="1"/>
  <c r="BG2225" i="2" s="1"/>
  <c r="AS2249" i="2"/>
  <c r="AX2249" i="2" s="1"/>
  <c r="BG2249" i="2" s="1"/>
  <c r="AS2273" i="2"/>
  <c r="AX2273" i="2" s="1"/>
  <c r="BG2273" i="2" s="1"/>
  <c r="AS2297" i="2"/>
  <c r="AX2297" i="2" s="1"/>
  <c r="BG2297" i="2" s="1"/>
  <c r="AS43" i="2"/>
  <c r="AX43" i="2" s="1"/>
  <c r="BG43" i="2" s="1"/>
  <c r="AD38" i="2"/>
  <c r="X38" i="2"/>
  <c r="AI38" i="2"/>
  <c r="AN38" i="2"/>
  <c r="AD28" i="2"/>
  <c r="AN28" i="2"/>
  <c r="X28" i="2"/>
  <c r="AI28" i="2"/>
  <c r="AN33" i="2"/>
  <c r="X33" i="2"/>
  <c r="AD33" i="2"/>
  <c r="AI33" i="2"/>
  <c r="AN423" i="2"/>
  <c r="X423" i="2"/>
  <c r="AI423" i="2"/>
  <c r="AD423" i="2"/>
  <c r="AD519" i="2"/>
  <c r="AN519" i="2"/>
  <c r="X519" i="2"/>
  <c r="AI519" i="2"/>
  <c r="AS1196" i="2"/>
  <c r="AX1196" i="2" s="1"/>
  <c r="BG1196" i="2" s="1"/>
  <c r="AS1260" i="2"/>
  <c r="AX1260" i="2" s="1"/>
  <c r="BG1260" i="2" s="1"/>
  <c r="AS1324" i="2"/>
  <c r="AX1324" i="2" s="1"/>
  <c r="BG1324" i="2" s="1"/>
  <c r="AS1393" i="2"/>
  <c r="AX1393" i="2" s="1"/>
  <c r="BG1393" i="2" s="1"/>
  <c r="AD1546" i="2"/>
  <c r="AN1546" i="2"/>
  <c r="X1546" i="2"/>
  <c r="AI1546" i="2"/>
  <c r="AD1550" i="2"/>
  <c r="AN1550" i="2"/>
  <c r="X1550" i="2"/>
  <c r="AI1550" i="2"/>
  <c r="AD1554" i="2"/>
  <c r="AN1554" i="2"/>
  <c r="X1554" i="2"/>
  <c r="AI1554" i="2"/>
  <c r="AD1558" i="2"/>
  <c r="AN1558" i="2"/>
  <c r="X1558" i="2"/>
  <c r="AI1558" i="2"/>
  <c r="AD1562" i="2"/>
  <c r="AN1562" i="2"/>
  <c r="X1562" i="2"/>
  <c r="AI1562" i="2"/>
  <c r="AD1566" i="2"/>
  <c r="AN1566" i="2"/>
  <c r="X1566" i="2"/>
  <c r="AI1566" i="2"/>
  <c r="AD1570" i="2"/>
  <c r="AN1570" i="2"/>
  <c r="X1570" i="2"/>
  <c r="AI1570" i="2"/>
  <c r="AD1574" i="2"/>
  <c r="AN1574" i="2"/>
  <c r="X1574" i="2"/>
  <c r="AI1574" i="2"/>
  <c r="AD1578" i="2"/>
  <c r="AN1578" i="2"/>
  <c r="X1578" i="2"/>
  <c r="AI1578" i="2"/>
  <c r="AS1622" i="2"/>
  <c r="AX1622" i="2" s="1"/>
  <c r="BG1622" i="2" s="1"/>
  <c r="AN2023" i="2"/>
  <c r="X2023" i="2"/>
  <c r="AD2023" i="2"/>
  <c r="AI2023" i="2"/>
  <c r="AN2025" i="2"/>
  <c r="X2025" i="2"/>
  <c r="AD2025" i="2"/>
  <c r="AI2025" i="2"/>
  <c r="AN2027" i="2"/>
  <c r="X2027" i="2"/>
  <c r="AD2027" i="2"/>
  <c r="AI2027" i="2"/>
  <c r="AN2029" i="2"/>
  <c r="X2029" i="2"/>
  <c r="AD2029" i="2"/>
  <c r="AI2029" i="2"/>
  <c r="AN2031" i="2"/>
  <c r="X2031" i="2"/>
  <c r="AD2031" i="2"/>
  <c r="AI2031" i="2"/>
  <c r="AN2033" i="2"/>
  <c r="X2033" i="2"/>
  <c r="AD2033" i="2"/>
  <c r="AI2033" i="2"/>
  <c r="AN2035" i="2"/>
  <c r="X2035" i="2"/>
  <c r="AD2035" i="2"/>
  <c r="AI2035" i="2"/>
  <c r="AN2037" i="2"/>
  <c r="X2037" i="2"/>
  <c r="AD2037" i="2"/>
  <c r="AI2037" i="2"/>
  <c r="AN2039" i="2"/>
  <c r="X2039" i="2"/>
  <c r="AD2039" i="2"/>
  <c r="AI2039" i="2"/>
  <c r="AI2143" i="2"/>
  <c r="AD2143" i="2"/>
  <c r="AN2143" i="2"/>
  <c r="X2143" i="2"/>
  <c r="AS2188" i="2"/>
  <c r="AX2188" i="2" s="1"/>
  <c r="BG2188" i="2" s="1"/>
  <c r="AS2479" i="2"/>
  <c r="AX2479" i="2" s="1"/>
  <c r="BG2479" i="2" s="1"/>
  <c r="AN119" i="2"/>
  <c r="X119" i="2"/>
  <c r="AI119" i="2"/>
  <c r="AD119" i="2"/>
  <c r="AN183" i="2"/>
  <c r="X183" i="2"/>
  <c r="AI183" i="2"/>
  <c r="AD183" i="2"/>
  <c r="AS450" i="2"/>
  <c r="AX450" i="2" s="1"/>
  <c r="BG450" i="2" s="1"/>
  <c r="AD480" i="2"/>
  <c r="AN480" i="2"/>
  <c r="AI480" i="2"/>
  <c r="X480" i="2"/>
  <c r="AN495" i="2"/>
  <c r="X495" i="2"/>
  <c r="AD495" i="2"/>
  <c r="AI495" i="2"/>
  <c r="AN499" i="2"/>
  <c r="X499" i="2"/>
  <c r="AD499" i="2"/>
  <c r="AI499" i="2"/>
  <c r="AN503" i="2"/>
  <c r="X503" i="2"/>
  <c r="AD503" i="2"/>
  <c r="AI503" i="2"/>
  <c r="AD230" i="2"/>
  <c r="AN230" i="2"/>
  <c r="AI230" i="2"/>
  <c r="X230" i="2"/>
  <c r="AD334" i="2"/>
  <c r="AN334" i="2"/>
  <c r="AI334" i="2"/>
  <c r="X334" i="2"/>
  <c r="AO396" i="2"/>
  <c r="AJ396" i="2"/>
  <c r="AE396" i="2"/>
  <c r="AD1642" i="2"/>
  <c r="AN1642" i="2"/>
  <c r="X1642" i="2"/>
  <c r="AI1642" i="2"/>
  <c r="AS1836" i="2"/>
  <c r="AX1836" i="2" s="1"/>
  <c r="BG1836" i="2" s="1"/>
  <c r="AO112" i="2"/>
  <c r="AE112" i="2"/>
  <c r="AJ112" i="2"/>
  <c r="AS474" i="2"/>
  <c r="AX474" i="2" s="1"/>
  <c r="BG474" i="2" s="1"/>
  <c r="AN433" i="2"/>
  <c r="X433" i="2"/>
  <c r="AI433" i="2"/>
  <c r="AD433" i="2"/>
  <c r="AN269" i="2"/>
  <c r="X269" i="2"/>
  <c r="AI269" i="2"/>
  <c r="AD269" i="2"/>
  <c r="AD342" i="2"/>
  <c r="AN342" i="2"/>
  <c r="AI342" i="2"/>
  <c r="X342" i="2"/>
  <c r="AO404" i="2"/>
  <c r="AJ404" i="2"/>
  <c r="AE404" i="2"/>
  <c r="AD553" i="2"/>
  <c r="AN553" i="2"/>
  <c r="X553" i="2"/>
  <c r="AI553" i="2"/>
  <c r="AS663" i="2"/>
  <c r="AX663" i="2" s="1"/>
  <c r="BG663" i="2" s="1"/>
  <c r="AI1153" i="2"/>
  <c r="AD1153" i="2"/>
  <c r="AN1153" i="2"/>
  <c r="X1153" i="2"/>
  <c r="AI1155" i="2"/>
  <c r="AD1155" i="2"/>
  <c r="AN1155" i="2"/>
  <c r="X1155" i="2"/>
  <c r="AI1157" i="2"/>
  <c r="AD1157" i="2"/>
  <c r="AN1157" i="2"/>
  <c r="X1157" i="2"/>
  <c r="AI1159" i="2"/>
  <c r="AD1159" i="2"/>
  <c r="AN1159" i="2"/>
  <c r="X1159" i="2"/>
  <c r="AI1161" i="2"/>
  <c r="AD1161" i="2"/>
  <c r="AN1161" i="2"/>
  <c r="X1161" i="2"/>
  <c r="AI1163" i="2"/>
  <c r="AD1163" i="2"/>
  <c r="AN1163" i="2"/>
  <c r="X1163" i="2"/>
  <c r="AI1165" i="2"/>
  <c r="AD1165" i="2"/>
  <c r="AN1165" i="2"/>
  <c r="X1165" i="2"/>
  <c r="AI1167" i="2"/>
  <c r="AD1167" i="2"/>
  <c r="AN1167" i="2"/>
  <c r="X1167" i="2"/>
  <c r="AI1169" i="2"/>
  <c r="AD1169" i="2"/>
  <c r="AN1169" i="2"/>
  <c r="X1169" i="2"/>
  <c r="AI1171" i="2"/>
  <c r="AD1171" i="2"/>
  <c r="AN1171" i="2"/>
  <c r="X1171" i="2"/>
  <c r="AI1173" i="2"/>
  <c r="AD1173" i="2"/>
  <c r="AN1173" i="2"/>
  <c r="X1173" i="2"/>
  <c r="AI1175" i="2"/>
  <c r="AD1175" i="2"/>
  <c r="AN1175" i="2"/>
  <c r="X1175" i="2"/>
  <c r="AS1236" i="2"/>
  <c r="AX1236" i="2" s="1"/>
  <c r="BG1236" i="2" s="1"/>
  <c r="AS1300" i="2"/>
  <c r="AX1300" i="2" s="1"/>
  <c r="BG1300" i="2" s="1"/>
  <c r="AS1364" i="2"/>
  <c r="AX1364" i="2" s="1"/>
  <c r="BG1364" i="2" s="1"/>
  <c r="AD1298" i="2"/>
  <c r="AN1298" i="2"/>
  <c r="X1298" i="2"/>
  <c r="AI1298" i="2"/>
  <c r="AD1865" i="2"/>
  <c r="AN1865" i="2"/>
  <c r="X1865" i="2"/>
  <c r="AI1865" i="2"/>
  <c r="AS1897" i="2"/>
  <c r="AX1897" i="2" s="1"/>
  <c r="BG1897" i="2" s="1"/>
  <c r="AD1929" i="2"/>
  <c r="AN1929" i="2"/>
  <c r="X1929" i="2"/>
  <c r="AI1929" i="2"/>
  <c r="AS1961" i="2"/>
  <c r="AX1961" i="2" s="1"/>
  <c r="BG1961" i="2" s="1"/>
  <c r="AS1977" i="2"/>
  <c r="AX1977" i="2" s="1"/>
  <c r="BG1977" i="2" s="1"/>
  <c r="AS1993" i="2"/>
  <c r="AX1993" i="2" s="1"/>
  <c r="BG1993" i="2" s="1"/>
  <c r="AS2009" i="2"/>
  <c r="AX2009" i="2" s="1"/>
  <c r="BG2009" i="2" s="1"/>
  <c r="AS1963" i="2"/>
  <c r="AX1963" i="2" s="1"/>
  <c r="BG1963" i="2" s="1"/>
  <c r="AS1979" i="2"/>
  <c r="AX1979" i="2" s="1"/>
  <c r="BG1979" i="2" s="1"/>
  <c r="AS1995" i="2"/>
  <c r="AX1995" i="2" s="1"/>
  <c r="BG1995" i="2" s="1"/>
  <c r="AS2011" i="2"/>
  <c r="AX2011" i="2" s="1"/>
  <c r="BG2011" i="2" s="1"/>
  <c r="AS2475" i="2"/>
  <c r="AX2475" i="2" s="1"/>
  <c r="BG2475" i="2" s="1"/>
  <c r="AS2477" i="2"/>
  <c r="AX2477" i="2" s="1"/>
  <c r="BG2477" i="2" s="1"/>
  <c r="AN2455" i="2"/>
  <c r="X2455" i="2"/>
  <c r="AI2455" i="2"/>
  <c r="AD2455" i="2"/>
  <c r="AS138" i="2"/>
  <c r="AX138" i="2" s="1"/>
  <c r="BG138" i="2" s="1"/>
  <c r="AS511" i="2"/>
  <c r="AX511" i="2" s="1"/>
  <c r="BG511" i="2" s="1"/>
  <c r="AS246" i="2"/>
  <c r="AX246" i="2" s="1"/>
  <c r="BG246" i="2" s="1"/>
  <c r="AS784" i="2"/>
  <c r="AX784" i="2" s="1"/>
  <c r="BG784" i="2" s="1"/>
  <c r="AS848" i="2"/>
  <c r="AX848" i="2" s="1"/>
  <c r="BG848" i="2" s="1"/>
  <c r="AD1342" i="2"/>
  <c r="AN1342" i="2"/>
  <c r="X1342" i="2"/>
  <c r="AI1342" i="2"/>
  <c r="AN1395" i="2"/>
  <c r="X1395" i="2"/>
  <c r="AD1395" i="2"/>
  <c r="AI1395" i="2"/>
  <c r="AN1411" i="2"/>
  <c r="X1411" i="2"/>
  <c r="AD1411" i="2"/>
  <c r="AI1411" i="2"/>
  <c r="AS1609" i="2"/>
  <c r="AX1609" i="2" s="1"/>
  <c r="BG1609" i="2" s="1"/>
  <c r="AD1634" i="2"/>
  <c r="AN1634" i="2"/>
  <c r="X1634" i="2"/>
  <c r="AI1634" i="2"/>
  <c r="AS1867" i="2"/>
  <c r="AX1867" i="2" s="1"/>
  <c r="BG1867" i="2" s="1"/>
  <c r="AS1875" i="2"/>
  <c r="AX1875" i="2" s="1"/>
  <c r="BG1875" i="2" s="1"/>
  <c r="AS1883" i="2"/>
  <c r="AX1883" i="2" s="1"/>
  <c r="BG1883" i="2" s="1"/>
  <c r="AS1891" i="2"/>
  <c r="AX1891" i="2" s="1"/>
  <c r="BG1891" i="2" s="1"/>
  <c r="AS1899" i="2"/>
  <c r="AX1899" i="2" s="1"/>
  <c r="BG1899" i="2" s="1"/>
  <c r="AS1907" i="2"/>
  <c r="AX1907" i="2" s="1"/>
  <c r="BG1907" i="2" s="1"/>
  <c r="AS1915" i="2"/>
  <c r="AX1915" i="2" s="1"/>
  <c r="BG1915" i="2" s="1"/>
  <c r="AS1923" i="2"/>
  <c r="AX1923" i="2" s="1"/>
  <c r="BG1923" i="2" s="1"/>
  <c r="AS1931" i="2"/>
  <c r="AX1931" i="2" s="1"/>
  <c r="BG1931" i="2" s="1"/>
  <c r="AS1939" i="2"/>
  <c r="AX1939" i="2" s="1"/>
  <c r="BG1939" i="2" s="1"/>
  <c r="AS1947" i="2"/>
  <c r="AX1947" i="2" s="1"/>
  <c r="BG1947" i="2" s="1"/>
  <c r="AD2316" i="2"/>
  <c r="AN2316" i="2"/>
  <c r="X2316" i="2"/>
  <c r="AI2316" i="2"/>
  <c r="AD2324" i="2"/>
  <c r="AN2324" i="2"/>
  <c r="X2324" i="2"/>
  <c r="AI2324" i="2"/>
  <c r="AD2332" i="2"/>
  <c r="AN2332" i="2"/>
  <c r="X2332" i="2"/>
  <c r="AI2332" i="2"/>
  <c r="AD2340" i="2"/>
  <c r="AN2340" i="2"/>
  <c r="X2340" i="2"/>
  <c r="AI2340" i="2"/>
  <c r="AD2348" i="2"/>
  <c r="AN2348" i="2"/>
  <c r="X2348" i="2"/>
  <c r="AI2348" i="2"/>
  <c r="AD2356" i="2"/>
  <c r="AN2356" i="2"/>
  <c r="X2356" i="2"/>
  <c r="AI2356" i="2"/>
  <c r="AD2364" i="2"/>
  <c r="AN2364" i="2"/>
  <c r="X2364" i="2"/>
  <c r="AI2364" i="2"/>
  <c r="AD2372" i="2"/>
  <c r="AN2372" i="2"/>
  <c r="X2372" i="2"/>
  <c r="AI2372" i="2"/>
  <c r="AD2380" i="2"/>
  <c r="AN2380" i="2"/>
  <c r="X2380" i="2"/>
  <c r="AI2380" i="2"/>
  <c r="AD2388" i="2"/>
  <c r="AN2388" i="2"/>
  <c r="X2388" i="2"/>
  <c r="AI2388" i="2"/>
  <c r="AS2434" i="2"/>
  <c r="AX2434" i="2" s="1"/>
  <c r="BG2434" i="2" s="1"/>
  <c r="AI2468" i="2"/>
  <c r="AD2468" i="2"/>
  <c r="AN2468" i="2"/>
  <c r="X2468" i="2"/>
  <c r="AN491" i="2"/>
  <c r="X491" i="2"/>
  <c r="AI491" i="2"/>
  <c r="AD491" i="2"/>
  <c r="AN1142" i="2"/>
  <c r="X1142" i="2"/>
  <c r="AI1142" i="2"/>
  <c r="AD1142" i="2"/>
  <c r="AN1146" i="2"/>
  <c r="X1146" i="2"/>
  <c r="AI1146" i="2"/>
  <c r="AD1146" i="2"/>
  <c r="AN1150" i="2"/>
  <c r="X1150" i="2"/>
  <c r="AI1150" i="2"/>
  <c r="AD1150" i="2"/>
  <c r="AS1097" i="2"/>
  <c r="AX1097" i="2" s="1"/>
  <c r="BG1097" i="2" s="1"/>
  <c r="AD1370" i="2"/>
  <c r="AN1370" i="2"/>
  <c r="X1370" i="2"/>
  <c r="AI1370" i="2"/>
  <c r="AD1375" i="2"/>
  <c r="AI1375" i="2"/>
  <c r="AN1375" i="2"/>
  <c r="X1375" i="2"/>
  <c r="AN1433" i="2"/>
  <c r="X1433" i="2"/>
  <c r="AD1433" i="2"/>
  <c r="AI1433" i="2"/>
  <c r="AS1504" i="2"/>
  <c r="AX1504" i="2" s="1"/>
  <c r="BG1504" i="2" s="1"/>
  <c r="AD1660" i="2"/>
  <c r="AN1660" i="2"/>
  <c r="X1660" i="2"/>
  <c r="AI1660" i="2"/>
  <c r="AO1795" i="2"/>
  <c r="AJ1795" i="2"/>
  <c r="AE1795" i="2"/>
  <c r="AD2105" i="2"/>
  <c r="AN2105" i="2"/>
  <c r="X2105" i="2"/>
  <c r="AI2105" i="2"/>
  <c r="AN159" i="2"/>
  <c r="X159" i="2"/>
  <c r="AI159" i="2"/>
  <c r="AD159" i="2"/>
  <c r="AN455" i="2"/>
  <c r="X455" i="2"/>
  <c r="AI455" i="2"/>
  <c r="AD455" i="2"/>
  <c r="AN249" i="2"/>
  <c r="X249" i="2"/>
  <c r="AD249" i="2"/>
  <c r="AI249" i="2"/>
  <c r="AS532" i="2"/>
  <c r="AX532" i="2" s="1"/>
  <c r="BG532" i="2" s="1"/>
  <c r="AN419" i="2"/>
  <c r="X419" i="2"/>
  <c r="AI419" i="2"/>
  <c r="AD419" i="2"/>
  <c r="AN261" i="2"/>
  <c r="X261" i="2"/>
  <c r="AI261" i="2"/>
  <c r="AD261" i="2"/>
  <c r="AI760" i="2"/>
  <c r="AN760" i="2"/>
  <c r="X760" i="2"/>
  <c r="AD760" i="2"/>
  <c r="AI1101" i="2"/>
  <c r="AN1101" i="2"/>
  <c r="X1101" i="2"/>
  <c r="AD1101" i="2"/>
  <c r="AN2223" i="2"/>
  <c r="X2223" i="2"/>
  <c r="AD2223" i="2"/>
  <c r="AI2223" i="2"/>
  <c r="AN2287" i="2"/>
  <c r="X2287" i="2"/>
  <c r="AD2287" i="2"/>
  <c r="AI2287" i="2"/>
  <c r="AS550" i="2"/>
  <c r="AX550" i="2" s="1"/>
  <c r="BG550" i="2" s="1"/>
  <c r="AS1201" i="2"/>
  <c r="AX1201" i="2" s="1"/>
  <c r="BG1201" i="2" s="1"/>
  <c r="AS1265" i="2"/>
  <c r="AX1265" i="2" s="1"/>
  <c r="BG1265" i="2" s="1"/>
  <c r="AS1329" i="2"/>
  <c r="AX1329" i="2" s="1"/>
  <c r="BG1329" i="2" s="1"/>
  <c r="AN1374" i="2"/>
  <c r="X1374" i="2"/>
  <c r="AI1374" i="2"/>
  <c r="AD1374" i="2"/>
  <c r="AD1620" i="2"/>
  <c r="AN1620" i="2"/>
  <c r="X1620" i="2"/>
  <c r="AI1620" i="2"/>
  <c r="AN1445" i="2"/>
  <c r="X1445" i="2"/>
  <c r="AD1445" i="2"/>
  <c r="AI1445" i="2"/>
  <c r="AS2163" i="2"/>
  <c r="AX2163" i="2" s="1"/>
  <c r="BG2163" i="2" s="1"/>
  <c r="AN2429" i="2"/>
  <c r="X2429" i="2"/>
  <c r="AI2429" i="2"/>
  <c r="AD2429" i="2"/>
  <c r="AS2335" i="2"/>
  <c r="AX2335" i="2" s="1"/>
  <c r="BG2335" i="2" s="1"/>
  <c r="AS2359" i="2"/>
  <c r="AX2359" i="2" s="1"/>
  <c r="BG2359" i="2" s="1"/>
  <c r="AS2367" i="2"/>
  <c r="AX2367" i="2" s="1"/>
  <c r="BG2367" i="2" s="1"/>
  <c r="AS2375" i="2"/>
  <c r="AX2375" i="2" s="1"/>
  <c r="BG2375" i="2" s="1"/>
  <c r="AS2383" i="2"/>
  <c r="AX2383" i="2" s="1"/>
  <c r="BG2383" i="2" s="1"/>
  <c r="AS2462" i="2"/>
  <c r="AX2462" i="2" s="1"/>
  <c r="BG2462" i="2" s="1"/>
  <c r="AD60" i="2"/>
  <c r="AN60" i="2"/>
  <c r="X60" i="2"/>
  <c r="AI60" i="2"/>
  <c r="AJ120" i="2"/>
  <c r="AO120" i="2"/>
  <c r="AE120" i="2"/>
  <c r="AN191" i="2"/>
  <c r="X191" i="2"/>
  <c r="AI191" i="2"/>
  <c r="AD191" i="2"/>
  <c r="AN327" i="2"/>
  <c r="X327" i="2"/>
  <c r="AI327" i="2"/>
  <c r="AD327" i="2"/>
  <c r="AN335" i="2"/>
  <c r="X335" i="2"/>
  <c r="AI335" i="2"/>
  <c r="AD335" i="2"/>
  <c r="AN343" i="2"/>
  <c r="X343" i="2"/>
  <c r="AI343" i="2"/>
  <c r="AD343" i="2"/>
  <c r="AN351" i="2"/>
  <c r="X351" i="2"/>
  <c r="AI351" i="2"/>
  <c r="AD351" i="2"/>
  <c r="AN359" i="2"/>
  <c r="X359" i="2"/>
  <c r="AI359" i="2"/>
  <c r="AD359" i="2"/>
  <c r="AN367" i="2"/>
  <c r="X367" i="2"/>
  <c r="AI367" i="2"/>
  <c r="AD367" i="2"/>
  <c r="AN375" i="2"/>
  <c r="X375" i="2"/>
  <c r="AI375" i="2"/>
  <c r="AD375" i="2"/>
  <c r="AN383" i="2"/>
  <c r="X383" i="2"/>
  <c r="AI383" i="2"/>
  <c r="AD383" i="2"/>
  <c r="AN391" i="2"/>
  <c r="X391" i="2"/>
  <c r="AI391" i="2"/>
  <c r="AD391" i="2"/>
  <c r="AN399" i="2"/>
  <c r="X399" i="2"/>
  <c r="AI399" i="2"/>
  <c r="AD399" i="2"/>
  <c r="AS1052" i="2"/>
  <c r="AX1052" i="2" s="1"/>
  <c r="BG1052" i="2" s="1"/>
  <c r="AS1060" i="2"/>
  <c r="AX1060" i="2" s="1"/>
  <c r="BG1060" i="2" s="1"/>
  <c r="AS1068" i="2"/>
  <c r="AX1068" i="2" s="1"/>
  <c r="BG1068" i="2" s="1"/>
  <c r="AS1076" i="2"/>
  <c r="AX1076" i="2" s="1"/>
  <c r="BG1076" i="2" s="1"/>
  <c r="AS1084" i="2"/>
  <c r="AX1084" i="2" s="1"/>
  <c r="BG1084" i="2" s="1"/>
  <c r="AS1092" i="2"/>
  <c r="AX1092" i="2" s="1"/>
  <c r="BG1092" i="2" s="1"/>
  <c r="AS1100" i="2"/>
  <c r="AX1100" i="2" s="1"/>
  <c r="BG1100" i="2" s="1"/>
  <c r="AS1108" i="2"/>
  <c r="AX1108" i="2" s="1"/>
  <c r="BG1108" i="2" s="1"/>
  <c r="AS1116" i="2"/>
  <c r="AX1116" i="2" s="1"/>
  <c r="BG1116" i="2" s="1"/>
  <c r="AS1124" i="2"/>
  <c r="AX1124" i="2" s="1"/>
  <c r="BG1124" i="2" s="1"/>
  <c r="AS1132" i="2"/>
  <c r="AX1132" i="2" s="1"/>
  <c r="BG1132" i="2" s="1"/>
  <c r="AS1140" i="2"/>
  <c r="AX1140" i="2" s="1"/>
  <c r="BG1140" i="2" s="1"/>
  <c r="AN1213" i="2"/>
  <c r="X1213" i="2"/>
  <c r="AI1213" i="2"/>
  <c r="AD1213" i="2"/>
  <c r="AN1277" i="2"/>
  <c r="X1277" i="2"/>
  <c r="AI1277" i="2"/>
  <c r="AD1277" i="2"/>
  <c r="AN1341" i="2"/>
  <c r="X1341" i="2"/>
  <c r="AI1341" i="2"/>
  <c r="AD1341" i="2"/>
  <c r="AD1328" i="2"/>
  <c r="AN1328" i="2"/>
  <c r="X1328" i="2"/>
  <c r="AI1328" i="2"/>
  <c r="AD1640" i="2"/>
  <c r="AN1640" i="2"/>
  <c r="X1640" i="2"/>
  <c r="AI1640" i="2"/>
  <c r="AS1440" i="2"/>
  <c r="AX1440" i="2" s="1"/>
  <c r="BG1440" i="2" s="1"/>
  <c r="AD1618" i="2"/>
  <c r="AN1618" i="2"/>
  <c r="X1618" i="2"/>
  <c r="AI1618" i="2"/>
  <c r="AI1764" i="2"/>
  <c r="AD1764" i="2"/>
  <c r="X1764" i="2"/>
  <c r="AN1764" i="2"/>
  <c r="AI1780" i="2"/>
  <c r="AD1780" i="2"/>
  <c r="X1780" i="2"/>
  <c r="AN1780" i="2"/>
  <c r="AI1817" i="2"/>
  <c r="X1817" i="2"/>
  <c r="AN1817" i="2"/>
  <c r="AD1817" i="2"/>
  <c r="AI2190" i="2"/>
  <c r="AD2190" i="2"/>
  <c r="AN2190" i="2"/>
  <c r="X2190" i="2"/>
  <c r="AS2203" i="2"/>
  <c r="AX2203" i="2" s="1"/>
  <c r="BG2203" i="2" s="1"/>
  <c r="AS2235" i="2"/>
  <c r="AX2235" i="2" s="1"/>
  <c r="BG2235" i="2" s="1"/>
  <c r="AS2267" i="2"/>
  <c r="AX2267" i="2" s="1"/>
  <c r="BG2267" i="2" s="1"/>
  <c r="AN2319" i="2"/>
  <c r="X2319" i="2"/>
  <c r="AI2319" i="2"/>
  <c r="AD2319" i="2"/>
  <c r="AN2327" i="2"/>
  <c r="X2327" i="2"/>
  <c r="AI2327" i="2"/>
  <c r="AD2327" i="2"/>
  <c r="AN2343" i="2"/>
  <c r="X2343" i="2"/>
  <c r="AI2343" i="2"/>
  <c r="AD2343" i="2"/>
  <c r="AN2351" i="2"/>
  <c r="X2351" i="2"/>
  <c r="AI2351" i="2"/>
  <c r="AD2351" i="2"/>
  <c r="AN2391" i="2"/>
  <c r="X2391" i="2"/>
  <c r="AI2391" i="2"/>
  <c r="AD2391" i="2"/>
  <c r="AI2430" i="2"/>
  <c r="AD2430" i="2"/>
  <c r="AN2430" i="2"/>
  <c r="X2430" i="2"/>
  <c r="AS122" i="2"/>
  <c r="AX122" i="2" s="1"/>
  <c r="BG122" i="2" s="1"/>
  <c r="AD30" i="2"/>
  <c r="AI30" i="2"/>
  <c r="AN30" i="2"/>
  <c r="X30" i="2"/>
  <c r="AD308" i="2"/>
  <c r="AN308" i="2"/>
  <c r="AI308" i="2"/>
  <c r="X308" i="2"/>
  <c r="AS322" i="2"/>
  <c r="AX322" i="2" s="1"/>
  <c r="BG322" i="2" s="1"/>
  <c r="AN449" i="2"/>
  <c r="X449" i="2"/>
  <c r="AI449" i="2"/>
  <c r="AD449" i="2"/>
  <c r="AS336" i="2"/>
  <c r="AX336" i="2" s="1"/>
  <c r="BG336" i="2" s="1"/>
  <c r="AS368" i="2"/>
  <c r="AX368" i="2" s="1"/>
  <c r="BG368" i="2" s="1"/>
  <c r="AS400" i="2"/>
  <c r="AX400" i="2" s="1"/>
  <c r="BG400" i="2" s="1"/>
  <c r="AN227" i="2"/>
  <c r="X227" i="2"/>
  <c r="AI227" i="2"/>
  <c r="AD227" i="2"/>
  <c r="AN291" i="2"/>
  <c r="X291" i="2"/>
  <c r="AI291" i="2"/>
  <c r="AD291" i="2"/>
  <c r="AS253" i="2"/>
  <c r="AX253" i="2" s="1"/>
  <c r="BG253" i="2" s="1"/>
  <c r="AS2053" i="2"/>
  <c r="AX2053" i="2" s="1"/>
  <c r="BG2053" i="2" s="1"/>
  <c r="AS2060" i="2"/>
  <c r="AX2060" i="2" s="1"/>
  <c r="BG2060" i="2" s="1"/>
  <c r="AD2318" i="2"/>
  <c r="AN2318" i="2"/>
  <c r="X2318" i="2"/>
  <c r="AI2318" i="2"/>
  <c r="AD2326" i="2"/>
  <c r="AN2326" i="2"/>
  <c r="X2326" i="2"/>
  <c r="AI2326" i="2"/>
  <c r="AD2334" i="2"/>
  <c r="AN2334" i="2"/>
  <c r="X2334" i="2"/>
  <c r="AI2334" i="2"/>
  <c r="AD2342" i="2"/>
  <c r="AN2342" i="2"/>
  <c r="X2342" i="2"/>
  <c r="AI2342" i="2"/>
  <c r="AD2350" i="2"/>
  <c r="AN2350" i="2"/>
  <c r="X2350" i="2"/>
  <c r="AI2350" i="2"/>
  <c r="AD2358" i="2"/>
  <c r="AN2358" i="2"/>
  <c r="X2358" i="2"/>
  <c r="AI2358" i="2"/>
  <c r="AD2366" i="2"/>
  <c r="AN2366" i="2"/>
  <c r="X2366" i="2"/>
  <c r="AI2366" i="2"/>
  <c r="AD2374" i="2"/>
  <c r="AN2374" i="2"/>
  <c r="X2374" i="2"/>
  <c r="AI2374" i="2"/>
  <c r="AD2382" i="2"/>
  <c r="AN2382" i="2"/>
  <c r="X2382" i="2"/>
  <c r="AI2382" i="2"/>
  <c r="AD2390" i="2"/>
  <c r="AN2390" i="2"/>
  <c r="X2390" i="2"/>
  <c r="AI2390" i="2"/>
  <c r="AS316" i="2"/>
  <c r="AX316" i="2" s="1"/>
  <c r="BG316" i="2" s="1"/>
  <c r="AN524" i="2"/>
  <c r="X524" i="2"/>
  <c r="AI524" i="2"/>
  <c r="AD524" i="2"/>
  <c r="AN526" i="2"/>
  <c r="X526" i="2"/>
  <c r="AI526" i="2"/>
  <c r="AD526" i="2"/>
  <c r="AS1237" i="2"/>
  <c r="AX1237" i="2" s="1"/>
  <c r="BG1237" i="2" s="1"/>
  <c r="AD1368" i="2"/>
  <c r="AN1368" i="2"/>
  <c r="X1368" i="2"/>
  <c r="AI1368" i="2"/>
  <c r="AS1243" i="2"/>
  <c r="AX1243" i="2" s="1"/>
  <c r="BG1243" i="2" s="1"/>
  <c r="AD1286" i="2"/>
  <c r="AN1286" i="2"/>
  <c r="X1286" i="2"/>
  <c r="AI1286" i="2"/>
  <c r="AS1396" i="2"/>
  <c r="AX1396" i="2" s="1"/>
  <c r="BG1396" i="2" s="1"/>
  <c r="AS1400" i="2"/>
  <c r="AX1400" i="2" s="1"/>
  <c r="BG1400" i="2" s="1"/>
  <c r="AS1404" i="2"/>
  <c r="AX1404" i="2" s="1"/>
  <c r="BG1404" i="2" s="1"/>
  <c r="AS1408" i="2"/>
  <c r="AX1408" i="2" s="1"/>
  <c r="BG1408" i="2" s="1"/>
  <c r="AS1412" i="2"/>
  <c r="AX1412" i="2" s="1"/>
  <c r="BG1412" i="2" s="1"/>
  <c r="AS1416" i="2"/>
  <c r="AX1416" i="2" s="1"/>
  <c r="BG1416" i="2" s="1"/>
  <c r="AS1420" i="2"/>
  <c r="AX1420" i="2" s="1"/>
  <c r="BG1420" i="2" s="1"/>
  <c r="AS1424" i="2"/>
  <c r="AX1424" i="2" s="1"/>
  <c r="BG1424" i="2" s="1"/>
  <c r="AS1428" i="2"/>
  <c r="AX1428" i="2" s="1"/>
  <c r="BG1428" i="2" s="1"/>
  <c r="AS1432" i="2"/>
  <c r="AX1432" i="2" s="1"/>
  <c r="BG1432" i="2" s="1"/>
  <c r="AS1436" i="2"/>
  <c r="AX1436" i="2" s="1"/>
  <c r="BG1436" i="2" s="1"/>
  <c r="AS1649" i="2"/>
  <c r="AX1649" i="2" s="1"/>
  <c r="BG1649" i="2" s="1"/>
  <c r="AI1765" i="2"/>
  <c r="X1765" i="2"/>
  <c r="AN1765" i="2"/>
  <c r="AD1765" i="2"/>
  <c r="AI1781" i="2"/>
  <c r="X1781" i="2"/>
  <c r="AN1781" i="2"/>
  <c r="AD1781" i="2"/>
  <c r="AI1797" i="2"/>
  <c r="X1797" i="2"/>
  <c r="AN1797" i="2"/>
  <c r="AD1797" i="2"/>
  <c r="AS2064" i="2"/>
  <c r="AX2064" i="2" s="1"/>
  <c r="BG2064" i="2" s="1"/>
  <c r="AE2" i="2"/>
  <c r="AJ2" i="2"/>
  <c r="AO2" i="2"/>
  <c r="AS49" i="2"/>
  <c r="AX49" i="2" s="1"/>
  <c r="BG49" i="2" s="1"/>
  <c r="AS81" i="2"/>
  <c r="AX81" i="2" s="1"/>
  <c r="BG81" i="2" s="1"/>
  <c r="AD130" i="2"/>
  <c r="AI130" i="2"/>
  <c r="X130" i="2"/>
  <c r="AN130" i="2"/>
  <c r="AS259" i="2"/>
  <c r="AX259" i="2" s="1"/>
  <c r="BG259" i="2" s="1"/>
  <c r="AS730" i="2"/>
  <c r="AX730" i="2" s="1"/>
  <c r="BG730" i="2" s="1"/>
  <c r="AS746" i="2"/>
  <c r="AX746" i="2" s="1"/>
  <c r="BG746" i="2" s="1"/>
  <c r="AS762" i="2"/>
  <c r="AX762" i="2" s="1"/>
  <c r="BG762" i="2" s="1"/>
  <c r="AS778" i="2"/>
  <c r="AX778" i="2" s="1"/>
  <c r="BG778" i="2" s="1"/>
  <c r="AS794" i="2"/>
  <c r="AX794" i="2" s="1"/>
  <c r="BG794" i="2" s="1"/>
  <c r="AS810" i="2"/>
  <c r="AX810" i="2" s="1"/>
  <c r="BG810" i="2" s="1"/>
  <c r="AS826" i="2"/>
  <c r="AX826" i="2" s="1"/>
  <c r="BG826" i="2" s="1"/>
  <c r="AS842" i="2"/>
  <c r="AX842" i="2" s="1"/>
  <c r="BG842" i="2" s="1"/>
  <c r="AS858" i="2"/>
  <c r="AX858" i="2" s="1"/>
  <c r="BG858" i="2" s="1"/>
  <c r="AS874" i="2"/>
  <c r="AX874" i="2" s="1"/>
  <c r="BG874" i="2" s="1"/>
  <c r="AS841" i="2"/>
  <c r="AX841" i="2" s="1"/>
  <c r="BG841" i="2" s="1"/>
  <c r="AS1313" i="2"/>
  <c r="AX1313" i="2" s="1"/>
  <c r="BG1313" i="2" s="1"/>
  <c r="AS1268" i="2"/>
  <c r="AX1268" i="2" s="1"/>
  <c r="BG1268" i="2" s="1"/>
  <c r="AS1385" i="2"/>
  <c r="AX1385" i="2" s="1"/>
  <c r="BG1385" i="2" s="1"/>
  <c r="AS1852" i="2"/>
  <c r="AX1852" i="2" s="1"/>
  <c r="BG1852" i="2" s="1"/>
  <c r="AD1921" i="2"/>
  <c r="AN1921" i="2"/>
  <c r="X1921" i="2"/>
  <c r="AI1921" i="2"/>
  <c r="AD1985" i="2"/>
  <c r="AN1985" i="2"/>
  <c r="X1985" i="2"/>
  <c r="AI1985" i="2"/>
  <c r="AD1955" i="2"/>
  <c r="AN1955" i="2"/>
  <c r="X1955" i="2"/>
  <c r="AI1955" i="2"/>
  <c r="AD2489" i="2"/>
  <c r="AN2489" i="2"/>
  <c r="X2489" i="2"/>
  <c r="AI2489" i="2"/>
  <c r="AD2497" i="2"/>
  <c r="AN2497" i="2"/>
  <c r="X2497" i="2"/>
  <c r="AI2497" i="2"/>
  <c r="AS86" i="2"/>
  <c r="AX86" i="2" s="1"/>
  <c r="BG86" i="2" s="1"/>
  <c r="AS129" i="2"/>
  <c r="AX129" i="2" s="1"/>
  <c r="BG129" i="2" s="1"/>
  <c r="AS193" i="2"/>
  <c r="AX193" i="2" s="1"/>
  <c r="BG193" i="2" s="1"/>
  <c r="AS347" i="2"/>
  <c r="AX347" i="2" s="1"/>
  <c r="BG347" i="2" s="1"/>
  <c r="AS245" i="2"/>
  <c r="AX245" i="2" s="1"/>
  <c r="BG245" i="2" s="1"/>
  <c r="AD1184" i="2"/>
  <c r="AN1184" i="2"/>
  <c r="X1184" i="2"/>
  <c r="AI1184" i="2"/>
  <c r="AN1392" i="2"/>
  <c r="X1392" i="2"/>
  <c r="AI1392" i="2"/>
  <c r="AD1392" i="2"/>
  <c r="AI1095" i="2"/>
  <c r="AD1095" i="2"/>
  <c r="AN1095" i="2"/>
  <c r="X1095" i="2"/>
  <c r="AN1203" i="2"/>
  <c r="X1203" i="2"/>
  <c r="AI1203" i="2"/>
  <c r="AD1203" i="2"/>
  <c r="AS2494" i="2"/>
  <c r="AX2494" i="2" s="1"/>
  <c r="BG2494" i="2" s="1"/>
  <c r="AN441" i="2"/>
  <c r="X441" i="2"/>
  <c r="AI441" i="2"/>
  <c r="AD441" i="2"/>
  <c r="AS40" i="2"/>
  <c r="AX40" i="2" s="1"/>
  <c r="BG40" i="2" s="1"/>
  <c r="AS98" i="2"/>
  <c r="AX98" i="2" s="1"/>
  <c r="BG98" i="2" s="1"/>
  <c r="AS517" i="2"/>
  <c r="AX517" i="2" s="1"/>
  <c r="BG517" i="2" s="1"/>
  <c r="AI681" i="2"/>
  <c r="AD681" i="2"/>
  <c r="AN681" i="2"/>
  <c r="X681" i="2"/>
  <c r="AN1690" i="2"/>
  <c r="X1690" i="2"/>
  <c r="AD1690" i="2"/>
  <c r="AI1690" i="2"/>
  <c r="AN1754" i="2"/>
  <c r="X1754" i="2"/>
  <c r="AD1754" i="2"/>
  <c r="AI1754" i="2"/>
  <c r="AS3" i="2"/>
  <c r="AX3" i="2" s="1"/>
  <c r="BG3" i="2" s="1"/>
  <c r="AS52" i="2"/>
  <c r="AX52" i="2" s="1"/>
  <c r="BG52" i="2" s="1"/>
  <c r="AD126" i="2"/>
  <c r="AI126" i="2"/>
  <c r="X126" i="2"/>
  <c r="AN126" i="2"/>
  <c r="AS1378" i="2"/>
  <c r="AX1378" i="2" s="1"/>
  <c r="BG1378" i="2" s="1"/>
  <c r="AN411" i="2"/>
  <c r="X411" i="2"/>
  <c r="AI411" i="2"/>
  <c r="AD411" i="2"/>
  <c r="AN301" i="2"/>
  <c r="X301" i="2"/>
  <c r="AI301" i="2"/>
  <c r="AD301" i="2"/>
  <c r="AS1233" i="2"/>
  <c r="AX1233" i="2" s="1"/>
  <c r="BG1233" i="2" s="1"/>
  <c r="AN1388" i="2"/>
  <c r="X1388" i="2"/>
  <c r="AI1388" i="2"/>
  <c r="AD1388" i="2"/>
  <c r="AS1447" i="2"/>
  <c r="AX1447" i="2" s="1"/>
  <c r="BG1447" i="2" s="1"/>
  <c r="AS1463" i="2"/>
  <c r="AX1463" i="2" s="1"/>
  <c r="BG1463" i="2" s="1"/>
  <c r="AN1557" i="2"/>
  <c r="X1557" i="2"/>
  <c r="AD1557" i="2"/>
  <c r="AI1557" i="2"/>
  <c r="AN1573" i="2"/>
  <c r="X1573" i="2"/>
  <c r="AD1573" i="2"/>
  <c r="AI1573" i="2"/>
  <c r="AN1627" i="2"/>
  <c r="X1627" i="2"/>
  <c r="AI1627" i="2"/>
  <c r="AD1627" i="2"/>
  <c r="AO1771" i="2"/>
  <c r="AJ1771" i="2"/>
  <c r="AE1771" i="2"/>
  <c r="AS1842" i="2"/>
  <c r="AX1842" i="2" s="1"/>
  <c r="BG1842" i="2" s="1"/>
  <c r="AS1869" i="2"/>
  <c r="AX1869" i="2" s="1"/>
  <c r="BG1869" i="2" s="1"/>
  <c r="AS1885" i="2"/>
  <c r="AX1885" i="2" s="1"/>
  <c r="BG1885" i="2" s="1"/>
  <c r="AS1901" i="2"/>
  <c r="AX1901" i="2" s="1"/>
  <c r="BG1901" i="2" s="1"/>
  <c r="AS1917" i="2"/>
  <c r="AX1917" i="2" s="1"/>
  <c r="BG1917" i="2" s="1"/>
  <c r="AS1933" i="2"/>
  <c r="AX1933" i="2" s="1"/>
  <c r="BG1933" i="2" s="1"/>
  <c r="AS1949" i="2"/>
  <c r="AX1949" i="2" s="1"/>
  <c r="BG1949" i="2" s="1"/>
  <c r="AS1965" i="2"/>
  <c r="AX1965" i="2" s="1"/>
  <c r="BG1965" i="2" s="1"/>
  <c r="AS1981" i="2"/>
  <c r="AX1981" i="2" s="1"/>
  <c r="BG1981" i="2" s="1"/>
  <c r="AS1997" i="2"/>
  <c r="AX1997" i="2" s="1"/>
  <c r="BG1997" i="2" s="1"/>
  <c r="AS2013" i="2"/>
  <c r="AX2013" i="2" s="1"/>
  <c r="BG2013" i="2" s="1"/>
  <c r="AS1967" i="2"/>
  <c r="AX1967" i="2" s="1"/>
  <c r="BG1967" i="2" s="1"/>
  <c r="AS1983" i="2"/>
  <c r="AX1983" i="2" s="1"/>
  <c r="BG1983" i="2" s="1"/>
  <c r="AS1999" i="2"/>
  <c r="AX1999" i="2" s="1"/>
  <c r="BG1999" i="2" s="1"/>
  <c r="AS2015" i="2"/>
  <c r="AX2015" i="2" s="1"/>
  <c r="BG2015" i="2" s="1"/>
  <c r="AI2150" i="2"/>
  <c r="AD2150" i="2"/>
  <c r="AN2150" i="2"/>
  <c r="X2150" i="2"/>
  <c r="AN2068" i="2"/>
  <c r="X2068" i="2"/>
  <c r="AI2068" i="2"/>
  <c r="AD2068" i="2"/>
  <c r="AI2394" i="2"/>
  <c r="AD2394" i="2"/>
  <c r="AN2394" i="2"/>
  <c r="X2394" i="2"/>
  <c r="AS47" i="2"/>
  <c r="AX47" i="2" s="1"/>
  <c r="BG47" i="2" s="1"/>
  <c r="AI1111" i="2"/>
  <c r="AD1111" i="2"/>
  <c r="AN1111" i="2"/>
  <c r="X1111" i="2"/>
  <c r="AS1399" i="2"/>
  <c r="AX1399" i="2" s="1"/>
  <c r="BG1399" i="2" s="1"/>
  <c r="AO1807" i="2"/>
  <c r="AJ1807" i="2"/>
  <c r="AE1807" i="2"/>
  <c r="AI1772" i="2"/>
  <c r="AD1772" i="2"/>
  <c r="X1772" i="2"/>
  <c r="AN1772" i="2"/>
  <c r="AS1858" i="2"/>
  <c r="AX1858" i="2" s="1"/>
  <c r="BG1858" i="2" s="1"/>
  <c r="AS2095" i="2"/>
  <c r="AX2095" i="2" s="1"/>
  <c r="BG2095" i="2" s="1"/>
  <c r="AI2416" i="2"/>
  <c r="AD2416" i="2"/>
  <c r="AN2416" i="2"/>
  <c r="X2416" i="2"/>
  <c r="AT18" i="2"/>
  <c r="AY18" i="2" s="1"/>
  <c r="BH18" i="2" s="1"/>
  <c r="AN61" i="2"/>
  <c r="X61" i="2"/>
  <c r="AD61" i="2"/>
  <c r="AI61" i="2"/>
  <c r="AN93" i="2"/>
  <c r="X93" i="2"/>
  <c r="AD93" i="2"/>
  <c r="AI93" i="2"/>
  <c r="AS1813" i="2"/>
  <c r="AX1813" i="2" s="1"/>
  <c r="BG1813" i="2" s="1"/>
  <c r="AS293" i="2"/>
  <c r="AX293" i="2" s="1"/>
  <c r="BG293" i="2" s="1"/>
  <c r="AN1750" i="2"/>
  <c r="X1750" i="2"/>
  <c r="AD1750" i="2"/>
  <c r="AI1750" i="2"/>
  <c r="AN2199" i="2"/>
  <c r="X2199" i="2"/>
  <c r="AI2199" i="2"/>
  <c r="AD2199" i="2"/>
  <c r="AS189" i="2"/>
  <c r="AX189" i="2" s="1"/>
  <c r="BG189" i="2" s="1"/>
  <c r="AS1137" i="2"/>
  <c r="AX1137" i="2" s="1"/>
  <c r="BG1137" i="2" s="1"/>
  <c r="AD1476" i="2"/>
  <c r="AN1476" i="2"/>
  <c r="X1476" i="2"/>
  <c r="AI1476" i="2"/>
  <c r="AS2147" i="2"/>
  <c r="AX2147" i="2" s="1"/>
  <c r="BG2147" i="2" s="1"/>
  <c r="AS2395" i="2"/>
  <c r="AX2395" i="2" s="1"/>
  <c r="BG2395" i="2" s="1"/>
  <c r="AS2403" i="2"/>
  <c r="AX2403" i="2" s="1"/>
  <c r="BG2403" i="2" s="1"/>
  <c r="AN2435" i="2"/>
  <c r="X2435" i="2"/>
  <c r="AI2435" i="2"/>
  <c r="AD2435" i="2"/>
  <c r="AS51" i="2"/>
  <c r="AX51" i="2" s="1"/>
  <c r="BG51" i="2" s="1"/>
  <c r="AI731" i="2"/>
  <c r="AD731" i="2"/>
  <c r="AN731" i="2"/>
  <c r="X731" i="2"/>
  <c r="AI747" i="2"/>
  <c r="AD747" i="2"/>
  <c r="AN747" i="2"/>
  <c r="X747" i="2"/>
  <c r="AI763" i="2"/>
  <c r="AD763" i="2"/>
  <c r="AN763" i="2"/>
  <c r="X763" i="2"/>
  <c r="AI779" i="2"/>
  <c r="AD779" i="2"/>
  <c r="AN779" i="2"/>
  <c r="X779" i="2"/>
  <c r="AI795" i="2"/>
  <c r="AD795" i="2"/>
  <c r="AN795" i="2"/>
  <c r="X795" i="2"/>
  <c r="AI811" i="2"/>
  <c r="AD811" i="2"/>
  <c r="AN811" i="2"/>
  <c r="X811" i="2"/>
  <c r="AI827" i="2"/>
  <c r="AD827" i="2"/>
  <c r="AN827" i="2"/>
  <c r="X827" i="2"/>
  <c r="AI843" i="2"/>
  <c r="AD843" i="2"/>
  <c r="AN843" i="2"/>
  <c r="X843" i="2"/>
  <c r="AI859" i="2"/>
  <c r="AD859" i="2"/>
  <c r="AN859" i="2"/>
  <c r="X859" i="2"/>
  <c r="AI875" i="2"/>
  <c r="AD875" i="2"/>
  <c r="AN875" i="2"/>
  <c r="X875" i="2"/>
  <c r="AN2471" i="2"/>
  <c r="X2471" i="2"/>
  <c r="AI2471" i="2"/>
  <c r="AD2471" i="2"/>
  <c r="AS285" i="2"/>
  <c r="AX285" i="2" s="1"/>
  <c r="BG285" i="2" s="1"/>
  <c r="AS1099" i="2"/>
  <c r="AX1099" i="2" s="1"/>
  <c r="BG1099" i="2" s="1"/>
  <c r="AN1722" i="2"/>
  <c r="X1722" i="2"/>
  <c r="AD1722" i="2"/>
  <c r="AI1722" i="2"/>
  <c r="AS2177" i="2"/>
  <c r="AX2177" i="2" s="1"/>
  <c r="BG2177" i="2" s="1"/>
  <c r="AD142" i="2"/>
  <c r="AI142" i="2"/>
  <c r="X142" i="2"/>
  <c r="AN142" i="2"/>
  <c r="AS133" i="2"/>
  <c r="AX133" i="2" s="1"/>
  <c r="BG133" i="2" s="1"/>
  <c r="AS1055" i="2"/>
  <c r="AX1055" i="2" s="1"/>
  <c r="BG1055" i="2" s="1"/>
  <c r="AS1119" i="2"/>
  <c r="AX1119" i="2" s="1"/>
  <c r="BG1119" i="2" s="1"/>
  <c r="AN1670" i="2"/>
  <c r="X1670" i="2"/>
  <c r="AD1670" i="2"/>
  <c r="AI1670" i="2"/>
  <c r="AN1734" i="2"/>
  <c r="X1734" i="2"/>
  <c r="AD1734" i="2"/>
  <c r="AI1734" i="2"/>
  <c r="AS87" i="2"/>
  <c r="AX87" i="2" s="1"/>
  <c r="BG87" i="2" s="1"/>
  <c r="AS97" i="2"/>
  <c r="AX97" i="2" s="1"/>
  <c r="BG97" i="2" s="1"/>
  <c r="AD34" i="2"/>
  <c r="AI34" i="2"/>
  <c r="AN34" i="2"/>
  <c r="X34" i="2"/>
  <c r="AD220" i="2"/>
  <c r="AN220" i="2"/>
  <c r="AI220" i="2"/>
  <c r="X220" i="2"/>
  <c r="AD234" i="2"/>
  <c r="X234" i="2"/>
  <c r="AN234" i="2"/>
  <c r="AI234" i="2"/>
  <c r="AT372" i="2"/>
  <c r="AY372" i="2" s="1"/>
  <c r="BH372" i="2" s="1"/>
  <c r="AS938" i="2"/>
  <c r="AX938" i="2" s="1"/>
  <c r="BG938" i="2" s="1"/>
  <c r="AS942" i="2"/>
  <c r="AX942" i="2" s="1"/>
  <c r="BG942" i="2" s="1"/>
  <c r="AS946" i="2"/>
  <c r="AX946" i="2" s="1"/>
  <c r="BG946" i="2" s="1"/>
  <c r="AS950" i="2"/>
  <c r="AX950" i="2" s="1"/>
  <c r="BG950" i="2" s="1"/>
  <c r="AS954" i="2"/>
  <c r="AX954" i="2" s="1"/>
  <c r="BG954" i="2" s="1"/>
  <c r="AS958" i="2"/>
  <c r="AX958" i="2" s="1"/>
  <c r="BG958" i="2" s="1"/>
  <c r="AS962" i="2"/>
  <c r="AX962" i="2" s="1"/>
  <c r="BG962" i="2" s="1"/>
  <c r="AS966" i="2"/>
  <c r="AX966" i="2" s="1"/>
  <c r="BG966" i="2" s="1"/>
  <c r="AS970" i="2"/>
  <c r="AX970" i="2" s="1"/>
  <c r="BG970" i="2" s="1"/>
  <c r="AS974" i="2"/>
  <c r="AX974" i="2" s="1"/>
  <c r="BG974" i="2" s="1"/>
  <c r="AS978" i="2"/>
  <c r="AX978" i="2" s="1"/>
  <c r="BG978" i="2" s="1"/>
  <c r="AS982" i="2"/>
  <c r="AX982" i="2" s="1"/>
  <c r="BG982" i="2" s="1"/>
  <c r="AS986" i="2"/>
  <c r="AX986" i="2" s="1"/>
  <c r="BG986" i="2" s="1"/>
  <c r="AS990" i="2"/>
  <c r="AX990" i="2" s="1"/>
  <c r="BG990" i="2" s="1"/>
  <c r="AS994" i="2"/>
  <c r="AX994" i="2" s="1"/>
  <c r="BG994" i="2" s="1"/>
  <c r="AS998" i="2"/>
  <c r="AX998" i="2" s="1"/>
  <c r="BG998" i="2" s="1"/>
  <c r="AS1002" i="2"/>
  <c r="AX1002" i="2" s="1"/>
  <c r="BG1002" i="2" s="1"/>
  <c r="AS1006" i="2"/>
  <c r="AX1006" i="2" s="1"/>
  <c r="BG1006" i="2" s="1"/>
  <c r="AS1010" i="2"/>
  <c r="AX1010" i="2" s="1"/>
  <c r="BG1010" i="2" s="1"/>
  <c r="AS1014" i="2"/>
  <c r="AX1014" i="2" s="1"/>
  <c r="BG1014" i="2" s="1"/>
  <c r="AS1018" i="2"/>
  <c r="AX1018" i="2" s="1"/>
  <c r="BG1018" i="2" s="1"/>
  <c r="AS1022" i="2"/>
  <c r="AX1022" i="2" s="1"/>
  <c r="BG1022" i="2" s="1"/>
  <c r="AS1026" i="2"/>
  <c r="AX1026" i="2" s="1"/>
  <c r="BG1026" i="2" s="1"/>
  <c r="AS1030" i="2"/>
  <c r="AX1030" i="2" s="1"/>
  <c r="BG1030" i="2" s="1"/>
  <c r="AS1034" i="2"/>
  <c r="AX1034" i="2" s="1"/>
  <c r="BG1034" i="2" s="1"/>
  <c r="AS1038" i="2"/>
  <c r="AX1038" i="2" s="1"/>
  <c r="BG1038" i="2" s="1"/>
  <c r="AN2419" i="2"/>
  <c r="X2419" i="2"/>
  <c r="AI2419" i="2"/>
  <c r="AD2419" i="2"/>
  <c r="AN2443" i="2"/>
  <c r="X2443" i="2"/>
  <c r="AI2443" i="2"/>
  <c r="AD2443" i="2"/>
  <c r="AN2459" i="2"/>
  <c r="X2459" i="2"/>
  <c r="AI2459" i="2"/>
  <c r="AD2459" i="2"/>
  <c r="AS435" i="2"/>
  <c r="AX435" i="2" s="1"/>
  <c r="BG435" i="2" s="1"/>
  <c r="AS736" i="2"/>
  <c r="AX736" i="2" s="1"/>
  <c r="BG736" i="2" s="1"/>
  <c r="AS800" i="2"/>
  <c r="AX800" i="2" s="1"/>
  <c r="BG800" i="2" s="1"/>
  <c r="AS864" i="2"/>
  <c r="AX864" i="2" s="1"/>
  <c r="BG864" i="2" s="1"/>
  <c r="AD2487" i="2"/>
  <c r="AN2487" i="2"/>
  <c r="X2487" i="2"/>
  <c r="AI2487" i="2"/>
  <c r="AD2495" i="2"/>
  <c r="AN2495" i="2"/>
  <c r="X2495" i="2"/>
  <c r="AI2495" i="2"/>
  <c r="AS2469" i="2"/>
  <c r="AX2469" i="2" s="1"/>
  <c r="BG2469" i="2" s="1"/>
  <c r="AS2411" i="2"/>
  <c r="AX2411" i="2" s="1"/>
  <c r="BG2411" i="2" s="1"/>
  <c r="AS2427" i="2"/>
  <c r="AX2427" i="2" s="1"/>
  <c r="BG2427" i="2" s="1"/>
  <c r="AD1442" i="2"/>
  <c r="AN1442" i="2"/>
  <c r="X1442" i="2"/>
  <c r="AI1442" i="2"/>
  <c r="AS2397" i="2"/>
  <c r="AX2397" i="2" s="1"/>
  <c r="BG2397" i="2" s="1"/>
  <c r="AS2405" i="2"/>
  <c r="AX2405" i="2" s="1"/>
  <c r="BG2405" i="2" s="1"/>
  <c r="AD274" i="2"/>
  <c r="AI274" i="2"/>
  <c r="X274" i="2"/>
  <c r="AN274" i="2"/>
  <c r="AS1156" i="2"/>
  <c r="AX1156" i="2" s="1"/>
  <c r="BG1156" i="2" s="1"/>
  <c r="AS1160" i="2"/>
  <c r="AX1160" i="2" s="1"/>
  <c r="BG1160" i="2" s="1"/>
  <c r="AS1164" i="2"/>
  <c r="AX1164" i="2" s="1"/>
  <c r="BG1164" i="2" s="1"/>
  <c r="AS1168" i="2"/>
  <c r="AX1168" i="2" s="1"/>
  <c r="BG1168" i="2" s="1"/>
  <c r="AS1172" i="2"/>
  <c r="AX1172" i="2" s="1"/>
  <c r="BG1172" i="2" s="1"/>
  <c r="AS1176" i="2"/>
  <c r="AX1176" i="2" s="1"/>
  <c r="BG1176" i="2" s="1"/>
  <c r="AS1384" i="2"/>
  <c r="AX1384" i="2" s="1"/>
  <c r="BG1384" i="2" s="1"/>
  <c r="AS1825" i="2"/>
  <c r="AX1825" i="2" s="1"/>
  <c r="BG1825" i="2" s="1"/>
  <c r="AD434" i="2"/>
  <c r="AN434" i="2"/>
  <c r="AI434" i="2"/>
  <c r="X434" i="2"/>
  <c r="AS2467" i="2"/>
  <c r="AX2467" i="2" s="1"/>
  <c r="BG2467" i="2" s="1"/>
  <c r="AI733" i="2"/>
  <c r="AN733" i="2"/>
  <c r="X733" i="2"/>
  <c r="AD733" i="2"/>
  <c r="AI765" i="2"/>
  <c r="AN765" i="2"/>
  <c r="X765" i="2"/>
  <c r="AD765" i="2"/>
  <c r="AI797" i="2"/>
  <c r="AN797" i="2"/>
  <c r="X797" i="2"/>
  <c r="AD797" i="2"/>
  <c r="AI829" i="2"/>
  <c r="AN829" i="2"/>
  <c r="X829" i="2"/>
  <c r="AD829" i="2"/>
  <c r="AI861" i="2"/>
  <c r="AN861" i="2"/>
  <c r="X861" i="2"/>
  <c r="AD861" i="2"/>
  <c r="AI933" i="2"/>
  <c r="AD933" i="2"/>
  <c r="AN933" i="2"/>
  <c r="X933" i="2"/>
  <c r="AI935" i="2"/>
  <c r="AD935" i="2"/>
  <c r="AN935" i="2"/>
  <c r="X935" i="2"/>
  <c r="AI937" i="2"/>
  <c r="AD937" i="2"/>
  <c r="AN937" i="2"/>
  <c r="X937" i="2"/>
  <c r="AI939" i="2"/>
  <c r="AD939" i="2"/>
  <c r="AN939" i="2"/>
  <c r="X939" i="2"/>
  <c r="AI941" i="2"/>
  <c r="AD941" i="2"/>
  <c r="AN941" i="2"/>
  <c r="X941" i="2"/>
  <c r="AI943" i="2"/>
  <c r="AD943" i="2"/>
  <c r="AN943" i="2"/>
  <c r="X943" i="2"/>
  <c r="AI945" i="2"/>
  <c r="AD945" i="2"/>
  <c r="AN945" i="2"/>
  <c r="X945" i="2"/>
  <c r="AI947" i="2"/>
  <c r="AD947" i="2"/>
  <c r="AN947" i="2"/>
  <c r="X947" i="2"/>
  <c r="AI949" i="2"/>
  <c r="AD949" i="2"/>
  <c r="AN949" i="2"/>
  <c r="X949" i="2"/>
  <c r="AI951" i="2"/>
  <c r="AD951" i="2"/>
  <c r="AN951" i="2"/>
  <c r="X951" i="2"/>
  <c r="AI953" i="2"/>
  <c r="AD953" i="2"/>
  <c r="AN953" i="2"/>
  <c r="X953" i="2"/>
  <c r="AI955" i="2"/>
  <c r="AD955" i="2"/>
  <c r="AN955" i="2"/>
  <c r="X955" i="2"/>
  <c r="AI957" i="2"/>
  <c r="AD957" i="2"/>
  <c r="AN957" i="2"/>
  <c r="X957" i="2"/>
  <c r="AI959" i="2"/>
  <c r="AD959" i="2"/>
  <c r="AN959" i="2"/>
  <c r="X959" i="2"/>
  <c r="AI961" i="2"/>
  <c r="AD961" i="2"/>
  <c r="AN961" i="2"/>
  <c r="X961" i="2"/>
  <c r="AI963" i="2"/>
  <c r="AD963" i="2"/>
  <c r="AN963" i="2"/>
  <c r="X963" i="2"/>
  <c r="AI965" i="2"/>
  <c r="AD965" i="2"/>
  <c r="AN965" i="2"/>
  <c r="X965" i="2"/>
  <c r="AI967" i="2"/>
  <c r="AD967" i="2"/>
  <c r="AN967" i="2"/>
  <c r="X967" i="2"/>
  <c r="AI969" i="2"/>
  <c r="AD969" i="2"/>
  <c r="AN969" i="2"/>
  <c r="X969" i="2"/>
  <c r="AI971" i="2"/>
  <c r="AD971" i="2"/>
  <c r="AN971" i="2"/>
  <c r="X971" i="2"/>
  <c r="AI973" i="2"/>
  <c r="AD973" i="2"/>
  <c r="AN973" i="2"/>
  <c r="X973" i="2"/>
  <c r="AI975" i="2"/>
  <c r="AD975" i="2"/>
  <c r="AN975" i="2"/>
  <c r="X975" i="2"/>
  <c r="AI977" i="2"/>
  <c r="AD977" i="2"/>
  <c r="AN977" i="2"/>
  <c r="X977" i="2"/>
  <c r="AI979" i="2"/>
  <c r="AD979" i="2"/>
  <c r="AN979" i="2"/>
  <c r="X979" i="2"/>
  <c r="AI981" i="2"/>
  <c r="AD981" i="2"/>
  <c r="AN981" i="2"/>
  <c r="X981" i="2"/>
  <c r="AI983" i="2"/>
  <c r="AD983" i="2"/>
  <c r="AN983" i="2"/>
  <c r="X983" i="2"/>
  <c r="AI985" i="2"/>
  <c r="AD985" i="2"/>
  <c r="AN985" i="2"/>
  <c r="X985" i="2"/>
  <c r="AI987" i="2"/>
  <c r="AD987" i="2"/>
  <c r="AN987" i="2"/>
  <c r="X987" i="2"/>
  <c r="AI989" i="2"/>
  <c r="AD989" i="2"/>
  <c r="AN989" i="2"/>
  <c r="X989" i="2"/>
  <c r="AI991" i="2"/>
  <c r="AD991" i="2"/>
  <c r="AN991" i="2"/>
  <c r="X991" i="2"/>
  <c r="AI993" i="2"/>
  <c r="AD993" i="2"/>
  <c r="AN993" i="2"/>
  <c r="X993" i="2"/>
  <c r="AI995" i="2"/>
  <c r="AD995" i="2"/>
  <c r="AN995" i="2"/>
  <c r="X995" i="2"/>
  <c r="AI997" i="2"/>
  <c r="AD997" i="2"/>
  <c r="AN997" i="2"/>
  <c r="X997" i="2"/>
  <c r="AI999" i="2"/>
  <c r="AD999" i="2"/>
  <c r="AN999" i="2"/>
  <c r="X999" i="2"/>
  <c r="AI1001" i="2"/>
  <c r="AD1001" i="2"/>
  <c r="AN1001" i="2"/>
  <c r="X1001" i="2"/>
  <c r="AI1003" i="2"/>
  <c r="AD1003" i="2"/>
  <c r="AN1003" i="2"/>
  <c r="X1003" i="2"/>
  <c r="AI1005" i="2"/>
  <c r="AD1005" i="2"/>
  <c r="AN1005" i="2"/>
  <c r="X1005" i="2"/>
  <c r="AI1007" i="2"/>
  <c r="AD1007" i="2"/>
  <c r="AN1007" i="2"/>
  <c r="X1007" i="2"/>
  <c r="AI1009" i="2"/>
  <c r="AD1009" i="2"/>
  <c r="AN1009" i="2"/>
  <c r="X1009" i="2"/>
  <c r="AI1011" i="2"/>
  <c r="AD1011" i="2"/>
  <c r="AN1011" i="2"/>
  <c r="X1011" i="2"/>
  <c r="AI1013" i="2"/>
  <c r="AD1013" i="2"/>
  <c r="AN1013" i="2"/>
  <c r="X1013" i="2"/>
  <c r="AI1015" i="2"/>
  <c r="AD1015" i="2"/>
  <c r="AN1015" i="2"/>
  <c r="X1015" i="2"/>
  <c r="AI1017" i="2"/>
  <c r="AD1017" i="2"/>
  <c r="AN1017" i="2"/>
  <c r="X1017" i="2"/>
  <c r="AI1019" i="2"/>
  <c r="AD1019" i="2"/>
  <c r="AN1019" i="2"/>
  <c r="X1019" i="2"/>
  <c r="AI1021" i="2"/>
  <c r="AD1021" i="2"/>
  <c r="AN1021" i="2"/>
  <c r="X1021" i="2"/>
  <c r="AI1023" i="2"/>
  <c r="AD1023" i="2"/>
  <c r="AN1023" i="2"/>
  <c r="X1023" i="2"/>
  <c r="AI1025" i="2"/>
  <c r="AD1025" i="2"/>
  <c r="AN1025" i="2"/>
  <c r="X1025" i="2"/>
  <c r="AI1027" i="2"/>
  <c r="AD1027" i="2"/>
  <c r="AN1027" i="2"/>
  <c r="X1027" i="2"/>
  <c r="AI1029" i="2"/>
  <c r="AD1029" i="2"/>
  <c r="AN1029" i="2"/>
  <c r="X1029" i="2"/>
  <c r="AI1031" i="2"/>
  <c r="AD1031" i="2"/>
  <c r="AN1031" i="2"/>
  <c r="X1031" i="2"/>
  <c r="AI1033" i="2"/>
  <c r="AD1033" i="2"/>
  <c r="AN1033" i="2"/>
  <c r="X1033" i="2"/>
  <c r="AI1035" i="2"/>
  <c r="AD1035" i="2"/>
  <c r="AN1035" i="2"/>
  <c r="X1035" i="2"/>
  <c r="AI1037" i="2"/>
  <c r="AD1037" i="2"/>
  <c r="AN1037" i="2"/>
  <c r="X1037" i="2"/>
  <c r="AI1039" i="2"/>
  <c r="AD1039" i="2"/>
  <c r="AN1039" i="2"/>
  <c r="X1039" i="2"/>
  <c r="AS1109" i="2"/>
  <c r="AX1109" i="2" s="1"/>
  <c r="BG1109" i="2" s="1"/>
  <c r="AS2457" i="2"/>
  <c r="AX2457" i="2" s="1"/>
  <c r="BG2457" i="2" s="1"/>
  <c r="AS85" i="2"/>
  <c r="AX85" i="2" s="1"/>
  <c r="BG85" i="2" s="1"/>
  <c r="AD410" i="2"/>
  <c r="AN410" i="2"/>
  <c r="AI410" i="2"/>
  <c r="X410" i="2"/>
  <c r="AS489" i="2"/>
  <c r="AX489" i="2" s="1"/>
  <c r="BG489" i="2" s="1"/>
  <c r="AS35" i="2"/>
  <c r="AX35" i="2" s="1"/>
  <c r="BG35" i="2" s="1"/>
  <c r="AT324" i="2"/>
  <c r="AY324" i="2" s="1"/>
  <c r="BH324" i="2" s="1"/>
  <c r="AS1045" i="2"/>
  <c r="AX1045" i="2" s="1"/>
  <c r="BG1045" i="2" s="1"/>
  <c r="AS6" i="2"/>
  <c r="AX6" i="2" s="1"/>
  <c r="BG6" i="2" s="1"/>
  <c r="AS54" i="2"/>
  <c r="AX54" i="2" s="1"/>
  <c r="BG54" i="2" s="1"/>
  <c r="AS776" i="2"/>
  <c r="AX776" i="2" s="1"/>
  <c r="BG776" i="2" s="1"/>
  <c r="AN2231" i="2"/>
  <c r="X2231" i="2"/>
  <c r="AD2231" i="2"/>
  <c r="AI2231" i="2"/>
  <c r="AN2295" i="2"/>
  <c r="X2295" i="2"/>
  <c r="AD2295" i="2"/>
  <c r="AI2295" i="2"/>
  <c r="AD154" i="2"/>
  <c r="AN154" i="2"/>
  <c r="AI154" i="2"/>
  <c r="X154" i="2"/>
  <c r="AS84" i="2"/>
  <c r="AX84" i="2" s="1"/>
  <c r="BG84" i="2" s="1"/>
  <c r="AD198" i="2"/>
  <c r="AN198" i="2"/>
  <c r="AI198" i="2"/>
  <c r="X198" i="2"/>
  <c r="AS729" i="2"/>
  <c r="AX729" i="2" s="1"/>
  <c r="BG729" i="2" s="1"/>
  <c r="AS793" i="2"/>
  <c r="AX793" i="2" s="1"/>
  <c r="BG793" i="2" s="1"/>
  <c r="AS857" i="2"/>
  <c r="AX857" i="2" s="1"/>
  <c r="BG857" i="2" s="1"/>
  <c r="AS732" i="2"/>
  <c r="AX732" i="2" s="1"/>
  <c r="BG732" i="2" s="1"/>
  <c r="AS796" i="2"/>
  <c r="AX796" i="2" s="1"/>
  <c r="BG796" i="2" s="1"/>
  <c r="AS860" i="2"/>
  <c r="AX860" i="2" s="1"/>
  <c r="BG860" i="2" s="1"/>
  <c r="AS1123" i="2"/>
  <c r="AX1123" i="2" s="1"/>
  <c r="BG1123" i="2" s="1"/>
  <c r="AS1821" i="2"/>
  <c r="AX1821" i="2" s="1"/>
  <c r="BG1821" i="2" s="1"/>
  <c r="AN2116" i="2"/>
  <c r="X2116" i="2"/>
  <c r="AI2116" i="2"/>
  <c r="AD2116" i="2"/>
  <c r="AN2118" i="2"/>
  <c r="X2118" i="2"/>
  <c r="AI2118" i="2"/>
  <c r="AD2118" i="2"/>
  <c r="AN2120" i="2"/>
  <c r="X2120" i="2"/>
  <c r="AI2120" i="2"/>
  <c r="AD2120" i="2"/>
  <c r="AN2122" i="2"/>
  <c r="X2122" i="2"/>
  <c r="AI2122" i="2"/>
  <c r="AD2122" i="2"/>
  <c r="AN2124" i="2"/>
  <c r="X2124" i="2"/>
  <c r="AI2124" i="2"/>
  <c r="AD2124" i="2"/>
  <c r="AN2126" i="2"/>
  <c r="X2126" i="2"/>
  <c r="AI2126" i="2"/>
  <c r="AD2126" i="2"/>
  <c r="AN2128" i="2"/>
  <c r="X2128" i="2"/>
  <c r="AI2128" i="2"/>
  <c r="AD2128" i="2"/>
  <c r="AN2130" i="2"/>
  <c r="X2130" i="2"/>
  <c r="AI2130" i="2"/>
  <c r="AD2130" i="2"/>
  <c r="AN2132" i="2"/>
  <c r="X2132" i="2"/>
  <c r="AI2132" i="2"/>
  <c r="AD2132" i="2"/>
  <c r="AN2134" i="2"/>
  <c r="X2134" i="2"/>
  <c r="AI2134" i="2"/>
  <c r="AD2134" i="2"/>
  <c r="AN2136" i="2"/>
  <c r="X2136" i="2"/>
  <c r="AI2136" i="2"/>
  <c r="AD2136" i="2"/>
  <c r="AN2138" i="2"/>
  <c r="X2138" i="2"/>
  <c r="AI2138" i="2"/>
  <c r="AD2138" i="2"/>
  <c r="AN2140" i="2"/>
  <c r="X2140" i="2"/>
  <c r="AI2140" i="2"/>
  <c r="AD2140" i="2"/>
  <c r="AS2195" i="2"/>
  <c r="AX2195" i="2" s="1"/>
  <c r="BG2195" i="2" s="1"/>
  <c r="AS2451" i="2"/>
  <c r="AX2451" i="2" s="1"/>
  <c r="BG2451" i="2" s="1"/>
  <c r="AD44" i="2"/>
  <c r="AI44" i="2"/>
  <c r="AN44" i="2"/>
  <c r="X44" i="2"/>
  <c r="AS211" i="2"/>
  <c r="AX211" i="2" s="1"/>
  <c r="BG211" i="2" s="1"/>
  <c r="AS275" i="2"/>
  <c r="AX275" i="2" s="1"/>
  <c r="BG275" i="2" s="1"/>
  <c r="AS467" i="2"/>
  <c r="AX467" i="2" s="1"/>
  <c r="BG467" i="2" s="1"/>
  <c r="AS886" i="2"/>
  <c r="AX886" i="2" s="1"/>
  <c r="BG886" i="2" s="1"/>
  <c r="AS890" i="2"/>
  <c r="AX890" i="2" s="1"/>
  <c r="BG890" i="2" s="1"/>
  <c r="AS894" i="2"/>
  <c r="AX894" i="2" s="1"/>
  <c r="BG894" i="2" s="1"/>
  <c r="AS898" i="2"/>
  <c r="AX898" i="2" s="1"/>
  <c r="BG898" i="2" s="1"/>
  <c r="AS902" i="2"/>
  <c r="AX902" i="2" s="1"/>
  <c r="BG902" i="2" s="1"/>
  <c r="AS906" i="2"/>
  <c r="AX906" i="2" s="1"/>
  <c r="BG906" i="2" s="1"/>
  <c r="AS910" i="2"/>
  <c r="AX910" i="2" s="1"/>
  <c r="BG910" i="2" s="1"/>
  <c r="AS914" i="2"/>
  <c r="AX914" i="2" s="1"/>
  <c r="BG914" i="2" s="1"/>
  <c r="AS918" i="2"/>
  <c r="AX918" i="2" s="1"/>
  <c r="BG918" i="2" s="1"/>
  <c r="AS922" i="2"/>
  <c r="AX922" i="2" s="1"/>
  <c r="BG922" i="2" s="1"/>
  <c r="AS926" i="2"/>
  <c r="AX926" i="2" s="1"/>
  <c r="BG926" i="2" s="1"/>
  <c r="AS930" i="2"/>
  <c r="AX930" i="2" s="1"/>
  <c r="BG930" i="2" s="1"/>
  <c r="AN620" i="2"/>
  <c r="X620" i="2"/>
  <c r="AI620" i="2"/>
  <c r="AD620" i="2"/>
  <c r="AN624" i="2"/>
  <c r="X624" i="2"/>
  <c r="AI624" i="2"/>
  <c r="AD624" i="2"/>
  <c r="AN628" i="2"/>
  <c r="X628" i="2"/>
  <c r="AI628" i="2"/>
  <c r="AD628" i="2"/>
  <c r="AN632" i="2"/>
  <c r="X632" i="2"/>
  <c r="AI632" i="2"/>
  <c r="AD632" i="2"/>
  <c r="AN636" i="2"/>
  <c r="X636" i="2"/>
  <c r="AI636" i="2"/>
  <c r="AD636" i="2"/>
  <c r="AN640" i="2"/>
  <c r="X640" i="2"/>
  <c r="AI640" i="2"/>
  <c r="AD640" i="2"/>
  <c r="AN644" i="2"/>
  <c r="X644" i="2"/>
  <c r="AI644" i="2"/>
  <c r="AD644" i="2"/>
  <c r="AN648" i="2"/>
  <c r="X648" i="2"/>
  <c r="AI648" i="2"/>
  <c r="AD648" i="2"/>
  <c r="AN652" i="2"/>
  <c r="X652" i="2"/>
  <c r="AI652" i="2"/>
  <c r="AD652" i="2"/>
  <c r="AN656" i="2"/>
  <c r="X656" i="2"/>
  <c r="AI656" i="2"/>
  <c r="AD656" i="2"/>
  <c r="AN660" i="2"/>
  <c r="X660" i="2"/>
  <c r="AI660" i="2"/>
  <c r="AD660" i="2"/>
  <c r="AN664" i="2"/>
  <c r="X664" i="2"/>
  <c r="AI664" i="2"/>
  <c r="AD664" i="2"/>
  <c r="AN668" i="2"/>
  <c r="X668" i="2"/>
  <c r="AI668" i="2"/>
  <c r="AD668" i="2"/>
  <c r="AN672" i="2"/>
  <c r="X672" i="2"/>
  <c r="AI672" i="2"/>
  <c r="AD672" i="2"/>
  <c r="AN676" i="2"/>
  <c r="X676" i="2"/>
  <c r="AI676" i="2"/>
  <c r="AD676" i="2"/>
  <c r="AN680" i="2"/>
  <c r="X680" i="2"/>
  <c r="AI680" i="2"/>
  <c r="AD680" i="2"/>
  <c r="AN684" i="2"/>
  <c r="X684" i="2"/>
  <c r="AI684" i="2"/>
  <c r="AD684" i="2"/>
  <c r="AN688" i="2"/>
  <c r="X688" i="2"/>
  <c r="AI688" i="2"/>
  <c r="AD688" i="2"/>
  <c r="AN692" i="2"/>
  <c r="X692" i="2"/>
  <c r="AI692" i="2"/>
  <c r="AD692" i="2"/>
  <c r="AN696" i="2"/>
  <c r="X696" i="2"/>
  <c r="AI696" i="2"/>
  <c r="AD696" i="2"/>
  <c r="AN700" i="2"/>
  <c r="X700" i="2"/>
  <c r="AI700" i="2"/>
  <c r="AD700" i="2"/>
  <c r="AN704" i="2"/>
  <c r="X704" i="2"/>
  <c r="AI704" i="2"/>
  <c r="AD704" i="2"/>
  <c r="AN708" i="2"/>
  <c r="X708" i="2"/>
  <c r="AI708" i="2"/>
  <c r="AD708" i="2"/>
  <c r="AN712" i="2"/>
  <c r="X712" i="2"/>
  <c r="AI712" i="2"/>
  <c r="AD712" i="2"/>
  <c r="AN716" i="2"/>
  <c r="X716" i="2"/>
  <c r="AI716" i="2"/>
  <c r="AD716" i="2"/>
  <c r="AN720" i="2"/>
  <c r="X720" i="2"/>
  <c r="AI720" i="2"/>
  <c r="AD720" i="2"/>
  <c r="AN724" i="2"/>
  <c r="X724" i="2"/>
  <c r="AI724" i="2"/>
  <c r="AD724" i="2"/>
  <c r="AS768" i="2"/>
  <c r="AX768" i="2" s="1"/>
  <c r="BG768" i="2" s="1"/>
  <c r="AS832" i="2"/>
  <c r="AX832" i="2" s="1"/>
  <c r="BG832" i="2" s="1"/>
  <c r="AN2197" i="2"/>
  <c r="X2197" i="2"/>
  <c r="AI2197" i="2"/>
  <c r="AD2197" i="2"/>
  <c r="AS2431" i="2"/>
  <c r="AX2431" i="2" s="1"/>
  <c r="BG2431" i="2" s="1"/>
  <c r="AI2153" i="2"/>
  <c r="AD2153" i="2"/>
  <c r="AN2153" i="2"/>
  <c r="X2153" i="2"/>
  <c r="AS25" i="2"/>
  <c r="AX25" i="2" s="1"/>
  <c r="BG25" i="2" s="1"/>
  <c r="AN1710" i="2"/>
  <c r="X1710" i="2"/>
  <c r="AD1710" i="2"/>
  <c r="AI1710" i="2"/>
  <c r="AS2447" i="2"/>
  <c r="AX2447" i="2" s="1"/>
  <c r="BG2447" i="2" s="1"/>
  <c r="AS2437" i="2"/>
  <c r="AX2437" i="2" s="1"/>
  <c r="BG2437" i="2" s="1"/>
  <c r="AS2453" i="2"/>
  <c r="AX2453" i="2" s="1"/>
  <c r="BG2453" i="2" s="1"/>
  <c r="AS852" i="2"/>
  <c r="AX852" i="2" s="1"/>
  <c r="BG852" i="2" s="1"/>
  <c r="AD1683" i="2"/>
  <c r="AN1683" i="2"/>
  <c r="X1683" i="2"/>
  <c r="AI1683" i="2"/>
  <c r="AD1695" i="2"/>
  <c r="AN1695" i="2"/>
  <c r="X1695" i="2"/>
  <c r="AI1695" i="2"/>
  <c r="AD1707" i="2"/>
  <c r="AN1707" i="2"/>
  <c r="X1707" i="2"/>
  <c r="AI1707" i="2"/>
  <c r="AD1719" i="2"/>
  <c r="AN1719" i="2"/>
  <c r="X1719" i="2"/>
  <c r="AI1719" i="2"/>
  <c r="AD1735" i="2"/>
  <c r="AN1735" i="2"/>
  <c r="X1735" i="2"/>
  <c r="AI1735" i="2"/>
  <c r="AD1747" i="2"/>
  <c r="AN1747" i="2"/>
  <c r="X1747" i="2"/>
  <c r="AI1747" i="2"/>
  <c r="AD1755" i="2"/>
  <c r="AN1755" i="2"/>
  <c r="X1755" i="2"/>
  <c r="AI1755" i="2"/>
  <c r="AN2187" i="2"/>
  <c r="X2187" i="2"/>
  <c r="AI2187" i="2"/>
  <c r="AD2187" i="2"/>
  <c r="AS451" i="2"/>
  <c r="AX451" i="2" s="1"/>
  <c r="BG451" i="2" s="1"/>
  <c r="AS325" i="2"/>
  <c r="AX325" i="2" s="1"/>
  <c r="BG325" i="2" s="1"/>
  <c r="AI892" i="2"/>
  <c r="AN892" i="2"/>
  <c r="X892" i="2"/>
  <c r="AD892" i="2"/>
  <c r="AI908" i="2"/>
  <c r="AN908" i="2"/>
  <c r="X908" i="2"/>
  <c r="AD908" i="2"/>
  <c r="AI920" i="2"/>
  <c r="AN920" i="2"/>
  <c r="X920" i="2"/>
  <c r="AD920" i="2"/>
  <c r="AI932" i="2"/>
  <c r="AN932" i="2"/>
  <c r="X932" i="2"/>
  <c r="AD932" i="2"/>
  <c r="AS366" i="2"/>
  <c r="AX366" i="2" s="1"/>
  <c r="BG366" i="2" s="1"/>
  <c r="AI808" i="2"/>
  <c r="AN808" i="2"/>
  <c r="X808" i="2"/>
  <c r="AD808" i="2"/>
  <c r="AS1489" i="2"/>
  <c r="AX1489" i="2" s="1"/>
  <c r="BG1489" i="2" s="1"/>
  <c r="AS1515" i="2"/>
  <c r="AX1515" i="2" s="1"/>
  <c r="BG1515" i="2" s="1"/>
  <c r="AS1531" i="2"/>
  <c r="AX1531" i="2" s="1"/>
  <c r="BG1531" i="2" s="1"/>
  <c r="AN1583" i="2"/>
  <c r="X1583" i="2"/>
  <c r="AI1583" i="2"/>
  <c r="AD1583" i="2"/>
  <c r="AS1702" i="2"/>
  <c r="AX1702" i="2" s="1"/>
  <c r="BG1702" i="2" s="1"/>
  <c r="AN2045" i="2"/>
  <c r="X2045" i="2"/>
  <c r="AD2045" i="2"/>
  <c r="AI2045" i="2"/>
  <c r="AN2048" i="2"/>
  <c r="X2048" i="2"/>
  <c r="AI2048" i="2"/>
  <c r="AD2048" i="2"/>
  <c r="AS2279" i="2"/>
  <c r="AX2279" i="2" s="1"/>
  <c r="BG2279" i="2" s="1"/>
  <c r="AD212" i="2"/>
  <c r="AN212" i="2"/>
  <c r="AI212" i="2"/>
  <c r="X212" i="2"/>
  <c r="AN552" i="2"/>
  <c r="X552" i="2"/>
  <c r="AI552" i="2"/>
  <c r="AD552" i="2"/>
  <c r="AS32" i="2"/>
  <c r="AX32" i="2" s="1"/>
  <c r="BG32" i="2" s="1"/>
  <c r="AI506" i="2"/>
  <c r="AD506" i="2"/>
  <c r="AN506" i="2"/>
  <c r="X506" i="2"/>
  <c r="AS328" i="2"/>
  <c r="AX328" i="2" s="1"/>
  <c r="BG328" i="2" s="1"/>
  <c r="AS523" i="2"/>
  <c r="AX523" i="2" s="1"/>
  <c r="BG523" i="2" s="1"/>
  <c r="AS547" i="2"/>
  <c r="AX547" i="2" s="1"/>
  <c r="BG547" i="2" s="1"/>
  <c r="AI934" i="2"/>
  <c r="AN934" i="2"/>
  <c r="X934" i="2"/>
  <c r="AD934" i="2"/>
  <c r="AI1061" i="2"/>
  <c r="AN1061" i="2"/>
  <c r="X1061" i="2"/>
  <c r="AD1061" i="2"/>
  <c r="AI1125" i="2"/>
  <c r="AN1125" i="2"/>
  <c r="X1125" i="2"/>
  <c r="AD1125" i="2"/>
  <c r="AS2432" i="2"/>
  <c r="AX2432" i="2" s="1"/>
  <c r="BG2432" i="2" s="1"/>
  <c r="AJ200" i="2"/>
  <c r="AO200" i="2"/>
  <c r="AE200" i="2"/>
  <c r="AS186" i="2"/>
  <c r="AX186" i="2" s="1"/>
  <c r="BG186" i="2" s="1"/>
  <c r="AS202" i="2"/>
  <c r="AX202" i="2" s="1"/>
  <c r="BG202" i="2" s="1"/>
  <c r="AN317" i="2"/>
  <c r="X317" i="2"/>
  <c r="AI317" i="2"/>
  <c r="AD317" i="2"/>
  <c r="AI1054" i="2"/>
  <c r="AN1054" i="2"/>
  <c r="X1054" i="2"/>
  <c r="AD1054" i="2"/>
  <c r="AI1062" i="2"/>
  <c r="AN1062" i="2"/>
  <c r="X1062" i="2"/>
  <c r="AD1062" i="2"/>
  <c r="AI1070" i="2"/>
  <c r="AN1070" i="2"/>
  <c r="X1070" i="2"/>
  <c r="AD1070" i="2"/>
  <c r="AI1078" i="2"/>
  <c r="AN1078" i="2"/>
  <c r="X1078" i="2"/>
  <c r="AD1078" i="2"/>
  <c r="AI1086" i="2"/>
  <c r="AN1086" i="2"/>
  <c r="X1086" i="2"/>
  <c r="AD1086" i="2"/>
  <c r="AI1094" i="2"/>
  <c r="AN1094" i="2"/>
  <c r="X1094" i="2"/>
  <c r="AD1094" i="2"/>
  <c r="AI1102" i="2"/>
  <c r="AN1102" i="2"/>
  <c r="X1102" i="2"/>
  <c r="AD1102" i="2"/>
  <c r="AI1110" i="2"/>
  <c r="AN1110" i="2"/>
  <c r="X1110" i="2"/>
  <c r="AD1110" i="2"/>
  <c r="AI1118" i="2"/>
  <c r="AN1118" i="2"/>
  <c r="X1118" i="2"/>
  <c r="AD1118" i="2"/>
  <c r="AI1126" i="2"/>
  <c r="AN1126" i="2"/>
  <c r="X1126" i="2"/>
  <c r="AD1126" i="2"/>
  <c r="AI1134" i="2"/>
  <c r="AN1134" i="2"/>
  <c r="X1134" i="2"/>
  <c r="AD1134" i="2"/>
  <c r="AD1194" i="2"/>
  <c r="AN1194" i="2"/>
  <c r="X1194" i="2"/>
  <c r="AI1194" i="2"/>
  <c r="AS1322" i="2"/>
  <c r="AX1322" i="2" s="1"/>
  <c r="BG1322" i="2" s="1"/>
  <c r="AS1444" i="2"/>
  <c r="AX1444" i="2" s="1"/>
  <c r="BG1444" i="2" s="1"/>
  <c r="AS1448" i="2"/>
  <c r="AX1448" i="2" s="1"/>
  <c r="BG1448" i="2" s="1"/>
  <c r="AS1452" i="2"/>
  <c r="AX1452" i="2" s="1"/>
  <c r="BG1452" i="2" s="1"/>
  <c r="AS1456" i="2"/>
  <c r="AX1456" i="2" s="1"/>
  <c r="BG1456" i="2" s="1"/>
  <c r="AS1460" i="2"/>
  <c r="AX1460" i="2" s="1"/>
  <c r="BG1460" i="2" s="1"/>
  <c r="AS1464" i="2"/>
  <c r="AX1464" i="2" s="1"/>
  <c r="BG1464" i="2" s="1"/>
  <c r="AS1468" i="2"/>
  <c r="AX1468" i="2" s="1"/>
  <c r="BG1468" i="2" s="1"/>
  <c r="AS1472" i="2"/>
  <c r="AX1472" i="2" s="1"/>
  <c r="BG1472" i="2" s="1"/>
  <c r="AD1612" i="2"/>
  <c r="AN1612" i="2"/>
  <c r="X1612" i="2"/>
  <c r="AI1612" i="2"/>
  <c r="AN1738" i="2"/>
  <c r="X1738" i="2"/>
  <c r="AD1738" i="2"/>
  <c r="AI1738" i="2"/>
  <c r="AD1673" i="2"/>
  <c r="AN1673" i="2"/>
  <c r="X1673" i="2"/>
  <c r="AI1673" i="2"/>
  <c r="AD1689" i="2"/>
  <c r="AN1689" i="2"/>
  <c r="X1689" i="2"/>
  <c r="AI1689" i="2"/>
  <c r="AD1705" i="2"/>
  <c r="AN1705" i="2"/>
  <c r="X1705" i="2"/>
  <c r="AI1705" i="2"/>
  <c r="AD1721" i="2"/>
  <c r="AN1721" i="2"/>
  <c r="X1721" i="2"/>
  <c r="AI1721" i="2"/>
  <c r="AD1737" i="2"/>
  <c r="AN1737" i="2"/>
  <c r="X1737" i="2"/>
  <c r="AI1737" i="2"/>
  <c r="AD1753" i="2"/>
  <c r="AN1753" i="2"/>
  <c r="X1753" i="2"/>
  <c r="AI1753" i="2"/>
  <c r="AS2061" i="2"/>
  <c r="AX2061" i="2" s="1"/>
  <c r="BG2061" i="2" s="1"/>
  <c r="AS2077" i="2"/>
  <c r="AX2077" i="2" s="1"/>
  <c r="BG2077" i="2" s="1"/>
  <c r="AS2093" i="2"/>
  <c r="AX2093" i="2" s="1"/>
  <c r="BG2093" i="2" s="1"/>
  <c r="AS2109" i="2"/>
  <c r="AX2109" i="2" s="1"/>
  <c r="BG2109" i="2" s="1"/>
  <c r="AS2152" i="2"/>
  <c r="AX2152" i="2" s="1"/>
  <c r="BG2152" i="2" s="1"/>
  <c r="AN2171" i="2"/>
  <c r="X2171" i="2"/>
  <c r="AI2171" i="2"/>
  <c r="AD2171" i="2"/>
  <c r="AD12" i="2"/>
  <c r="AI12" i="2"/>
  <c r="AN12" i="2"/>
  <c r="X12" i="2"/>
  <c r="AS106" i="2"/>
  <c r="AX106" i="2" s="1"/>
  <c r="BG106" i="2" s="1"/>
  <c r="AN299" i="2"/>
  <c r="X299" i="2"/>
  <c r="AI299" i="2"/>
  <c r="AD299" i="2"/>
  <c r="AN305" i="2"/>
  <c r="X305" i="2"/>
  <c r="AI305" i="2"/>
  <c r="AD305" i="2"/>
  <c r="AS151" i="2"/>
  <c r="AX151" i="2" s="1"/>
  <c r="BG151" i="2" s="1"/>
  <c r="AS31" i="2"/>
  <c r="AX31" i="2" s="1"/>
  <c r="BG31" i="2" s="1"/>
  <c r="AN41" i="2"/>
  <c r="X41" i="2"/>
  <c r="AI41" i="2"/>
  <c r="AD41" i="2"/>
  <c r="AS95" i="2"/>
  <c r="AX95" i="2" s="1"/>
  <c r="BG95" i="2" s="1"/>
  <c r="AS107" i="2"/>
  <c r="AX107" i="2" s="1"/>
  <c r="BG107" i="2" s="1"/>
  <c r="AS123" i="2"/>
  <c r="AX123" i="2" s="1"/>
  <c r="BG123" i="2" s="1"/>
  <c r="AS139" i="2"/>
  <c r="AX139" i="2" s="1"/>
  <c r="BG139" i="2" s="1"/>
  <c r="AS155" i="2"/>
  <c r="AX155" i="2" s="1"/>
  <c r="BG155" i="2" s="1"/>
  <c r="AS171" i="2"/>
  <c r="AX171" i="2" s="1"/>
  <c r="BG171" i="2" s="1"/>
  <c r="AS187" i="2"/>
  <c r="AX187" i="2" s="1"/>
  <c r="BG187" i="2" s="1"/>
  <c r="AS282" i="2"/>
  <c r="AX282" i="2" s="1"/>
  <c r="BG282" i="2" s="1"/>
  <c r="AS541" i="2"/>
  <c r="AX541" i="2" s="1"/>
  <c r="BG541" i="2" s="1"/>
  <c r="AS1208" i="2"/>
  <c r="AX1208" i="2" s="1"/>
  <c r="BG1208" i="2" s="1"/>
  <c r="AS1272" i="2"/>
  <c r="AX1272" i="2" s="1"/>
  <c r="BG1272" i="2" s="1"/>
  <c r="AS1336" i="2"/>
  <c r="AX1336" i="2" s="1"/>
  <c r="BG1336" i="2" s="1"/>
  <c r="AS1190" i="2"/>
  <c r="AX1190" i="2" s="1"/>
  <c r="BG1190" i="2" s="1"/>
  <c r="AD1318" i="2"/>
  <c r="AN1318" i="2"/>
  <c r="X1318" i="2"/>
  <c r="AI1318" i="2"/>
  <c r="AS1686" i="2"/>
  <c r="AX1686" i="2" s="1"/>
  <c r="BG1686" i="2" s="1"/>
  <c r="AN2213" i="2"/>
  <c r="X2213" i="2"/>
  <c r="AD2213" i="2"/>
  <c r="AI2213" i="2"/>
  <c r="AN2237" i="2"/>
  <c r="X2237" i="2"/>
  <c r="AD2237" i="2"/>
  <c r="AI2237" i="2"/>
  <c r="AN2245" i="2"/>
  <c r="X2245" i="2"/>
  <c r="AD2245" i="2"/>
  <c r="AI2245" i="2"/>
  <c r="AN2253" i="2"/>
  <c r="X2253" i="2"/>
  <c r="AD2253" i="2"/>
  <c r="AI2253" i="2"/>
  <c r="AS425" i="2"/>
  <c r="AX425" i="2" s="1"/>
  <c r="BG425" i="2" s="1"/>
  <c r="AD482" i="2"/>
  <c r="AN482" i="2"/>
  <c r="AI482" i="2"/>
  <c r="X482" i="2"/>
  <c r="AS1050" i="2"/>
  <c r="AX1050" i="2" s="1"/>
  <c r="BG1050" i="2" s="1"/>
  <c r="AS1058" i="2"/>
  <c r="AX1058" i="2" s="1"/>
  <c r="BG1058" i="2" s="1"/>
  <c r="AS1066" i="2"/>
  <c r="AX1066" i="2" s="1"/>
  <c r="BG1066" i="2" s="1"/>
  <c r="AS1074" i="2"/>
  <c r="AX1074" i="2" s="1"/>
  <c r="BG1074" i="2" s="1"/>
  <c r="AS1082" i="2"/>
  <c r="AX1082" i="2" s="1"/>
  <c r="BG1082" i="2" s="1"/>
  <c r="AS1090" i="2"/>
  <c r="AX1090" i="2" s="1"/>
  <c r="BG1090" i="2" s="1"/>
  <c r="AS1098" i="2"/>
  <c r="AX1098" i="2" s="1"/>
  <c r="BG1098" i="2" s="1"/>
  <c r="AS1106" i="2"/>
  <c r="AX1106" i="2" s="1"/>
  <c r="BG1106" i="2" s="1"/>
  <c r="AS1114" i="2"/>
  <c r="AX1114" i="2" s="1"/>
  <c r="BG1114" i="2" s="1"/>
  <c r="AS1122" i="2"/>
  <c r="AX1122" i="2" s="1"/>
  <c r="BG1122" i="2" s="1"/>
  <c r="AS1130" i="2"/>
  <c r="AX1130" i="2" s="1"/>
  <c r="BG1130" i="2" s="1"/>
  <c r="AS1138" i="2"/>
  <c r="AX1138" i="2" s="1"/>
  <c r="BG1138" i="2" s="1"/>
  <c r="AD1502" i="2"/>
  <c r="AN1502" i="2"/>
  <c r="X1502" i="2"/>
  <c r="AI1502" i="2"/>
  <c r="AS1662" i="2"/>
  <c r="AX1662" i="2" s="1"/>
  <c r="BG1662" i="2" s="1"/>
  <c r="AN2179" i="2"/>
  <c r="X2179" i="2"/>
  <c r="AI2179" i="2"/>
  <c r="AD2179" i="2"/>
  <c r="AN2144" i="2"/>
  <c r="X2144" i="2"/>
  <c r="AI2144" i="2"/>
  <c r="AD2144" i="2"/>
  <c r="AS2421" i="2"/>
  <c r="AX2421" i="2" s="1"/>
  <c r="BG2421" i="2" s="1"/>
  <c r="AS2433" i="2"/>
  <c r="AX2433" i="2" s="1"/>
  <c r="BG2433" i="2" s="1"/>
  <c r="AS2449" i="2"/>
  <c r="AX2449" i="2" s="1"/>
  <c r="BG2449" i="2" s="1"/>
  <c r="AS2465" i="2"/>
  <c r="AX2465" i="2" s="1"/>
  <c r="BG2465" i="2" s="1"/>
  <c r="AD2491" i="2"/>
  <c r="AN2491" i="2"/>
  <c r="X2491" i="2"/>
  <c r="AI2491" i="2"/>
  <c r="AD2499" i="2"/>
  <c r="AN2499" i="2"/>
  <c r="X2499" i="2"/>
  <c r="AI2499" i="2"/>
  <c r="AT232" i="2"/>
  <c r="AY232" i="2" s="1"/>
  <c r="BH232" i="2" s="1"/>
  <c r="AS331" i="2"/>
  <c r="AX331" i="2" s="1"/>
  <c r="BG331" i="2" s="1"/>
  <c r="AS422" i="2"/>
  <c r="AX422" i="2" s="1"/>
  <c r="BG422" i="2" s="1"/>
  <c r="AD454" i="2"/>
  <c r="AN454" i="2"/>
  <c r="AI454" i="2"/>
  <c r="X454" i="2"/>
  <c r="AS486" i="2"/>
  <c r="AX486" i="2" s="1"/>
  <c r="BG486" i="2" s="1"/>
  <c r="AS1376" i="2"/>
  <c r="AX1376" i="2" s="1"/>
  <c r="BG1376" i="2" s="1"/>
  <c r="AN1847" i="2"/>
  <c r="X1847" i="2"/>
  <c r="AI1847" i="2"/>
  <c r="AD1847" i="2"/>
  <c r="AN2181" i="2"/>
  <c r="X2181" i="2"/>
  <c r="AI2181" i="2"/>
  <c r="AD2181" i="2"/>
  <c r="AS2425" i="2"/>
  <c r="AX2425" i="2" s="1"/>
  <c r="BG2425" i="2" s="1"/>
  <c r="AS427" i="2"/>
  <c r="AX427" i="2" s="1"/>
  <c r="BG427" i="2" s="1"/>
  <c r="AS1606" i="2"/>
  <c r="AX1606" i="2" s="1"/>
  <c r="BG1606" i="2" s="1"/>
  <c r="AS1853" i="2"/>
  <c r="AX1853" i="2" s="1"/>
  <c r="BG1853" i="2" s="1"/>
  <c r="AS1857" i="2"/>
  <c r="AX1857" i="2" s="1"/>
  <c r="BG1857" i="2" s="1"/>
  <c r="AS2073" i="2"/>
  <c r="AX2073" i="2" s="1"/>
  <c r="BG2073" i="2" s="1"/>
  <c r="AS2099" i="2"/>
  <c r="AX2099" i="2" s="1"/>
  <c r="BG2099" i="2" s="1"/>
  <c r="AS96" i="2"/>
  <c r="AX96" i="2" s="1"/>
  <c r="BG96" i="2" s="1"/>
  <c r="AN141" i="2"/>
  <c r="X141" i="2"/>
  <c r="AD141" i="2"/>
  <c r="AI141" i="2"/>
  <c r="AN165" i="2"/>
  <c r="X165" i="2"/>
  <c r="AI165" i="2"/>
  <c r="AD165" i="2"/>
  <c r="AD344" i="2"/>
  <c r="AN344" i="2"/>
  <c r="AI344" i="2"/>
  <c r="X344" i="2"/>
  <c r="AD376" i="2"/>
  <c r="AN376" i="2"/>
  <c r="AI376" i="2"/>
  <c r="X376" i="2"/>
  <c r="AD424" i="2"/>
  <c r="AN424" i="2"/>
  <c r="AI424" i="2"/>
  <c r="X424" i="2"/>
  <c r="AN473" i="2"/>
  <c r="X473" i="2"/>
  <c r="AI473" i="2"/>
  <c r="AD473" i="2"/>
  <c r="AN483" i="2"/>
  <c r="X483" i="2"/>
  <c r="AI483" i="2"/>
  <c r="AD483" i="2"/>
  <c r="AI792" i="2"/>
  <c r="AN792" i="2"/>
  <c r="X792" i="2"/>
  <c r="AD792" i="2"/>
  <c r="AI1069" i="2"/>
  <c r="AN1069" i="2"/>
  <c r="X1069" i="2"/>
  <c r="AD1069" i="2"/>
  <c r="AI1133" i="2"/>
  <c r="AN1133" i="2"/>
  <c r="X1133" i="2"/>
  <c r="AD1133" i="2"/>
  <c r="AN1189" i="2"/>
  <c r="X1189" i="2"/>
  <c r="AI1189" i="2"/>
  <c r="AD1189" i="2"/>
  <c r="AN1253" i="2"/>
  <c r="X1253" i="2"/>
  <c r="AI1253" i="2"/>
  <c r="AD1253" i="2"/>
  <c r="AN1317" i="2"/>
  <c r="X1317" i="2"/>
  <c r="AI1317" i="2"/>
  <c r="AD1317" i="2"/>
  <c r="AD1256" i="2"/>
  <c r="AN1256" i="2"/>
  <c r="X1256" i="2"/>
  <c r="AI1256" i="2"/>
  <c r="AD1677" i="2"/>
  <c r="AN1677" i="2"/>
  <c r="X1677" i="2"/>
  <c r="AI1677" i="2"/>
  <c r="AD1693" i="2"/>
  <c r="AN1693" i="2"/>
  <c r="X1693" i="2"/>
  <c r="AI1693" i="2"/>
  <c r="AD1709" i="2"/>
  <c r="AN1709" i="2"/>
  <c r="X1709" i="2"/>
  <c r="AI1709" i="2"/>
  <c r="AD1725" i="2"/>
  <c r="AN1725" i="2"/>
  <c r="X1725" i="2"/>
  <c r="AI1725" i="2"/>
  <c r="AD1741" i="2"/>
  <c r="AN1741" i="2"/>
  <c r="X1741" i="2"/>
  <c r="AI1741" i="2"/>
  <c r="AN2207" i="2"/>
  <c r="X2207" i="2"/>
  <c r="AD2207" i="2"/>
  <c r="AI2207" i="2"/>
  <c r="AN2271" i="2"/>
  <c r="X2271" i="2"/>
  <c r="AD2271" i="2"/>
  <c r="AI2271" i="2"/>
  <c r="AI727" i="2"/>
  <c r="AD727" i="2"/>
  <c r="AN727" i="2"/>
  <c r="X727" i="2"/>
  <c r="AI743" i="2"/>
  <c r="AD743" i="2"/>
  <c r="AN743" i="2"/>
  <c r="X743" i="2"/>
  <c r="AI759" i="2"/>
  <c r="AD759" i="2"/>
  <c r="AN759" i="2"/>
  <c r="X759" i="2"/>
  <c r="AI775" i="2"/>
  <c r="AD775" i="2"/>
  <c r="AN775" i="2"/>
  <c r="X775" i="2"/>
  <c r="AI791" i="2"/>
  <c r="AD791" i="2"/>
  <c r="AN791" i="2"/>
  <c r="X791" i="2"/>
  <c r="AI807" i="2"/>
  <c r="AD807" i="2"/>
  <c r="AN807" i="2"/>
  <c r="X807" i="2"/>
  <c r="AI823" i="2"/>
  <c r="AD823" i="2"/>
  <c r="AN823" i="2"/>
  <c r="X823" i="2"/>
  <c r="AI839" i="2"/>
  <c r="AD839" i="2"/>
  <c r="AN839" i="2"/>
  <c r="X839" i="2"/>
  <c r="AI855" i="2"/>
  <c r="AD855" i="2"/>
  <c r="AN855" i="2"/>
  <c r="X855" i="2"/>
  <c r="AI871" i="2"/>
  <c r="AD871" i="2"/>
  <c r="AN871" i="2"/>
  <c r="X871" i="2"/>
  <c r="AI761" i="2"/>
  <c r="AN761" i="2"/>
  <c r="X761" i="2"/>
  <c r="AD761" i="2"/>
  <c r="AI825" i="2"/>
  <c r="AN825" i="2"/>
  <c r="X825" i="2"/>
  <c r="AD825" i="2"/>
  <c r="AS1057" i="2"/>
  <c r="AX1057" i="2" s="1"/>
  <c r="BG1057" i="2" s="1"/>
  <c r="AS1105" i="2"/>
  <c r="AX1105" i="2" s="1"/>
  <c r="BG1105" i="2" s="1"/>
  <c r="AN1621" i="2"/>
  <c r="X1621" i="2"/>
  <c r="AI1621" i="2"/>
  <c r="AD1621" i="2"/>
  <c r="AS2019" i="2"/>
  <c r="AX2019" i="2" s="1"/>
  <c r="BG2019" i="2" s="1"/>
  <c r="AS2185" i="2"/>
  <c r="AX2185" i="2" s="1"/>
  <c r="BG2185" i="2" s="1"/>
  <c r="AS2501" i="2"/>
  <c r="AX2501" i="2" s="1"/>
  <c r="BG2501" i="2" s="1"/>
  <c r="AS2485" i="2"/>
  <c r="AX2485" i="2" s="1"/>
  <c r="BG2485" i="2" s="1"/>
  <c r="AS2493" i="2"/>
  <c r="AX2493" i="2" s="1"/>
  <c r="BG2493" i="2" s="1"/>
  <c r="AS8" i="2"/>
  <c r="AX8" i="2" s="1"/>
  <c r="BG8" i="2" s="1"/>
  <c r="AD408" i="2"/>
  <c r="AN408" i="2"/>
  <c r="AI408" i="2"/>
  <c r="X408" i="2"/>
  <c r="AS1200" i="2"/>
  <c r="AX1200" i="2" s="1"/>
  <c r="BG1200" i="2" s="1"/>
  <c r="AS1219" i="2"/>
  <c r="AX1219" i="2" s="1"/>
  <c r="BG1219" i="2" s="1"/>
  <c r="AS1283" i="2"/>
  <c r="AX1283" i="2" s="1"/>
  <c r="BG1283" i="2" s="1"/>
  <c r="AS1347" i="2"/>
  <c r="AX1347" i="2" s="1"/>
  <c r="BG1347" i="2" s="1"/>
  <c r="AD1478" i="2"/>
  <c r="AN1478" i="2"/>
  <c r="X1478" i="2"/>
  <c r="AI1478" i="2"/>
  <c r="AD1482" i="2"/>
  <c r="AN1482" i="2"/>
  <c r="X1482" i="2"/>
  <c r="AI1482" i="2"/>
  <c r="AD1496" i="2"/>
  <c r="AN1496" i="2"/>
  <c r="X1496" i="2"/>
  <c r="AI1496" i="2"/>
  <c r="AD1500" i="2"/>
  <c r="AN1500" i="2"/>
  <c r="X1500" i="2"/>
  <c r="AI1500" i="2"/>
  <c r="AD1510" i="2"/>
  <c r="AN1510" i="2"/>
  <c r="X1510" i="2"/>
  <c r="AI1510" i="2"/>
  <c r="AD1514" i="2"/>
  <c r="AN1514" i="2"/>
  <c r="X1514" i="2"/>
  <c r="AI1514" i="2"/>
  <c r="AT1791" i="2"/>
  <c r="AY1791" i="2" s="1"/>
  <c r="BH1791" i="2" s="1"/>
  <c r="AN1850" i="2"/>
  <c r="X1850" i="2"/>
  <c r="AI1850" i="2"/>
  <c r="AD1850" i="2"/>
  <c r="AS2165" i="2"/>
  <c r="AX2165" i="2" s="1"/>
  <c r="BG2165" i="2" s="1"/>
  <c r="AS2418" i="2"/>
  <c r="AX2418" i="2" s="1"/>
  <c r="BG2418" i="2" s="1"/>
  <c r="AI2458" i="2"/>
  <c r="AD2458" i="2"/>
  <c r="AN2458" i="2"/>
  <c r="X2458" i="2"/>
  <c r="AS271" i="2"/>
  <c r="AX271" i="2" s="1"/>
  <c r="BG271" i="2" s="1"/>
  <c r="AS303" i="2"/>
  <c r="AX303" i="2" s="1"/>
  <c r="BG303" i="2" s="1"/>
  <c r="AS621" i="2"/>
  <c r="AX621" i="2" s="1"/>
  <c r="BG621" i="2" s="1"/>
  <c r="AS685" i="2"/>
  <c r="AX685" i="2" s="1"/>
  <c r="BG685" i="2" s="1"/>
  <c r="AS1292" i="2"/>
  <c r="AX1292" i="2" s="1"/>
  <c r="BG1292" i="2" s="1"/>
  <c r="AN2417" i="2"/>
  <c r="X2417" i="2"/>
  <c r="AI2417" i="2"/>
  <c r="AD2417" i="2"/>
  <c r="AS307" i="2"/>
  <c r="AX307" i="2" s="1"/>
  <c r="BG307" i="2" s="1"/>
  <c r="AD1480" i="2"/>
  <c r="AN1480" i="2"/>
  <c r="X1480" i="2"/>
  <c r="AI1480" i="2"/>
  <c r="AD1548" i="2"/>
  <c r="AN1548" i="2"/>
  <c r="X1548" i="2"/>
  <c r="AI1548" i="2"/>
  <c r="AD1552" i="2"/>
  <c r="AN1552" i="2"/>
  <c r="X1552" i="2"/>
  <c r="AI1552" i="2"/>
  <c r="AD1556" i="2"/>
  <c r="AN1556" i="2"/>
  <c r="X1556" i="2"/>
  <c r="AI1556" i="2"/>
  <c r="AD1560" i="2"/>
  <c r="AN1560" i="2"/>
  <c r="X1560" i="2"/>
  <c r="AI1560" i="2"/>
  <c r="AD1564" i="2"/>
  <c r="AN1564" i="2"/>
  <c r="X1564" i="2"/>
  <c r="AI1564" i="2"/>
  <c r="AD1568" i="2"/>
  <c r="AN1568" i="2"/>
  <c r="X1568" i="2"/>
  <c r="AI1568" i="2"/>
  <c r="AD1572" i="2"/>
  <c r="AN1572" i="2"/>
  <c r="X1572" i="2"/>
  <c r="AI1572" i="2"/>
  <c r="AD1576" i="2"/>
  <c r="AN1576" i="2"/>
  <c r="X1576" i="2"/>
  <c r="AI1576" i="2"/>
  <c r="AS194" i="2"/>
  <c r="AX194" i="2" s="1"/>
  <c r="BG194" i="2" s="1"/>
  <c r="AN1271" i="2"/>
  <c r="X1271" i="2"/>
  <c r="AI1271" i="2"/>
  <c r="AD1271" i="2"/>
  <c r="AS1266" i="2"/>
  <c r="AX1266" i="2" s="1"/>
  <c r="BG1266" i="2" s="1"/>
  <c r="AS55" i="2"/>
  <c r="AX55" i="2" s="1"/>
  <c r="BG55" i="2" s="1"/>
  <c r="AS65" i="2"/>
  <c r="AX65" i="2" s="1"/>
  <c r="BG65" i="2" s="1"/>
  <c r="AD82" i="2"/>
  <c r="X82" i="2"/>
  <c r="AI82" i="2"/>
  <c r="AN82" i="2"/>
  <c r="AD88" i="2"/>
  <c r="AN88" i="2"/>
  <c r="AI88" i="2"/>
  <c r="X88" i="2"/>
  <c r="AD94" i="2"/>
  <c r="AI94" i="2"/>
  <c r="AN94" i="2"/>
  <c r="X94" i="2"/>
  <c r="AD206" i="2"/>
  <c r="AI206" i="2"/>
  <c r="X206" i="2"/>
  <c r="AN206" i="2"/>
  <c r="AD466" i="2"/>
  <c r="AN466" i="2"/>
  <c r="AI466" i="2"/>
  <c r="X466" i="2"/>
  <c r="AD236" i="2"/>
  <c r="AN236" i="2"/>
  <c r="AI236" i="2"/>
  <c r="X236" i="2"/>
  <c r="AD250" i="2"/>
  <c r="X250" i="2"/>
  <c r="AN250" i="2"/>
  <c r="AI250" i="2"/>
  <c r="AS439" i="2"/>
  <c r="AX439" i="2" s="1"/>
  <c r="BG439" i="2" s="1"/>
  <c r="AN542" i="2"/>
  <c r="X542" i="2"/>
  <c r="AI542" i="2"/>
  <c r="AD542" i="2"/>
  <c r="AS350" i="2"/>
  <c r="AX350" i="2" s="1"/>
  <c r="BG350" i="2" s="1"/>
  <c r="AS1261" i="2"/>
  <c r="AX1261" i="2" s="1"/>
  <c r="BG1261" i="2" s="1"/>
  <c r="AS1312" i="2"/>
  <c r="AX1312" i="2" s="1"/>
  <c r="BG1312" i="2" s="1"/>
  <c r="AS1331" i="2"/>
  <c r="AX1331" i="2" s="1"/>
  <c r="BG1331" i="2" s="1"/>
  <c r="AD1182" i="2"/>
  <c r="AN1182" i="2"/>
  <c r="X1182" i="2"/>
  <c r="AI1182" i="2"/>
  <c r="AS1624" i="2"/>
  <c r="AX1624" i="2" s="1"/>
  <c r="BG1624" i="2" s="1"/>
  <c r="AS1435" i="2"/>
  <c r="AX1435" i="2" s="1"/>
  <c r="BG1435" i="2" s="1"/>
  <c r="AS1547" i="2"/>
  <c r="AX1547" i="2" s="1"/>
  <c r="BG1547" i="2" s="1"/>
  <c r="AN2088" i="2"/>
  <c r="X2088" i="2"/>
  <c r="AI2088" i="2"/>
  <c r="AD2088" i="2"/>
  <c r="AI2148" i="2"/>
  <c r="AN2148" i="2"/>
  <c r="X2148" i="2"/>
  <c r="AD2148" i="2"/>
  <c r="AI2174" i="2"/>
  <c r="AD2174" i="2"/>
  <c r="AN2174" i="2"/>
  <c r="X2174" i="2"/>
  <c r="AS2211" i="2"/>
  <c r="AX2211" i="2" s="1"/>
  <c r="BG2211" i="2" s="1"/>
  <c r="AS2243" i="2"/>
  <c r="AX2243" i="2" s="1"/>
  <c r="BG2243" i="2" s="1"/>
  <c r="AS2275" i="2"/>
  <c r="AX2275" i="2" s="1"/>
  <c r="BG2275" i="2" s="1"/>
  <c r="AS2317" i="2"/>
  <c r="AX2317" i="2" s="1"/>
  <c r="BG2317" i="2" s="1"/>
  <c r="AS2325" i="2"/>
  <c r="AX2325" i="2" s="1"/>
  <c r="BG2325" i="2" s="1"/>
  <c r="AS2333" i="2"/>
  <c r="AX2333" i="2" s="1"/>
  <c r="BG2333" i="2" s="1"/>
  <c r="AS2341" i="2"/>
  <c r="AX2341" i="2" s="1"/>
  <c r="BG2341" i="2" s="1"/>
  <c r="AS2349" i="2"/>
  <c r="AX2349" i="2" s="1"/>
  <c r="BG2349" i="2" s="1"/>
  <c r="AS2357" i="2"/>
  <c r="AX2357" i="2" s="1"/>
  <c r="BG2357" i="2" s="1"/>
  <c r="AS2365" i="2"/>
  <c r="AX2365" i="2" s="1"/>
  <c r="BG2365" i="2" s="1"/>
  <c r="AS2373" i="2"/>
  <c r="AX2373" i="2" s="1"/>
  <c r="BG2373" i="2" s="1"/>
  <c r="AS2381" i="2"/>
  <c r="AX2381" i="2" s="1"/>
  <c r="BG2381" i="2" s="1"/>
  <c r="AS2389" i="2"/>
  <c r="AX2389" i="2" s="1"/>
  <c r="BG2389" i="2" s="1"/>
  <c r="AI2414" i="2"/>
  <c r="AD2414" i="2"/>
  <c r="AN2414" i="2"/>
  <c r="X2414" i="2"/>
  <c r="AS2392" i="2"/>
  <c r="AX2392" i="2" s="1"/>
  <c r="BG2392" i="2" s="1"/>
  <c r="AO192" i="2"/>
  <c r="AE192" i="2"/>
  <c r="AJ192" i="2"/>
  <c r="AS175" i="2"/>
  <c r="AX175" i="2" s="1"/>
  <c r="BG175" i="2" s="1"/>
  <c r="AS79" i="2"/>
  <c r="AX79" i="2" s="1"/>
  <c r="BG79" i="2" s="1"/>
  <c r="AO224" i="2"/>
  <c r="AJ224" i="2"/>
  <c r="AE224" i="2"/>
  <c r="AS490" i="2"/>
  <c r="AX490" i="2" s="1"/>
  <c r="BG490" i="2" s="1"/>
  <c r="AS66" i="2"/>
  <c r="AX66" i="2" s="1"/>
  <c r="BG66" i="2" s="1"/>
  <c r="AD72" i="2"/>
  <c r="AN72" i="2"/>
  <c r="AI72" i="2"/>
  <c r="X72" i="2"/>
  <c r="AD78" i="2"/>
  <c r="AN78" i="2"/>
  <c r="X78" i="2"/>
  <c r="AI78" i="2"/>
  <c r="AS649" i="2"/>
  <c r="AX649" i="2" s="1"/>
  <c r="BG649" i="2" s="1"/>
  <c r="AS713" i="2"/>
  <c r="AX713" i="2" s="1"/>
  <c r="BG713" i="2" s="1"/>
  <c r="AE1145" i="2"/>
  <c r="AO1145" i="2"/>
  <c r="AJ1145" i="2"/>
  <c r="AD158" i="2"/>
  <c r="AI158" i="2"/>
  <c r="X158" i="2"/>
  <c r="AN158" i="2"/>
  <c r="AS479" i="2"/>
  <c r="AX479" i="2" s="1"/>
  <c r="BG479" i="2" s="1"/>
  <c r="AI635" i="2"/>
  <c r="AD635" i="2"/>
  <c r="AN635" i="2"/>
  <c r="X635" i="2"/>
  <c r="AI651" i="2"/>
  <c r="AD651" i="2"/>
  <c r="AN651" i="2"/>
  <c r="X651" i="2"/>
  <c r="AI667" i="2"/>
  <c r="AD667" i="2"/>
  <c r="AN667" i="2"/>
  <c r="X667" i="2"/>
  <c r="AI683" i="2"/>
  <c r="AD683" i="2"/>
  <c r="AN683" i="2"/>
  <c r="X683" i="2"/>
  <c r="AI699" i="2"/>
  <c r="AD699" i="2"/>
  <c r="AN699" i="2"/>
  <c r="X699" i="2"/>
  <c r="AI715" i="2"/>
  <c r="AD715" i="2"/>
  <c r="AN715" i="2"/>
  <c r="X715" i="2"/>
  <c r="AN1361" i="2"/>
  <c r="X1361" i="2"/>
  <c r="AI1361" i="2"/>
  <c r="AD1361" i="2"/>
  <c r="AD1188" i="2"/>
  <c r="AN1188" i="2"/>
  <c r="X1188" i="2"/>
  <c r="AI1188" i="2"/>
  <c r="AN117" i="2"/>
  <c r="X117" i="2"/>
  <c r="AI117" i="2"/>
  <c r="AD117" i="2"/>
  <c r="AN213" i="2"/>
  <c r="X213" i="2"/>
  <c r="AI213" i="2"/>
  <c r="AD213" i="2"/>
  <c r="AN1245" i="2"/>
  <c r="X1245" i="2"/>
  <c r="AI1245" i="2"/>
  <c r="AD1245" i="2"/>
  <c r="AS1187" i="2"/>
  <c r="AX1187" i="2" s="1"/>
  <c r="BG1187" i="2" s="1"/>
  <c r="AS1251" i="2"/>
  <c r="AX1251" i="2" s="1"/>
  <c r="BG1251" i="2" s="1"/>
  <c r="AS1315" i="2"/>
  <c r="AX1315" i="2" s="1"/>
  <c r="BG1315" i="2" s="1"/>
  <c r="AS1647" i="2"/>
  <c r="AX1647" i="2" s="1"/>
  <c r="BG1647" i="2" s="1"/>
  <c r="AD1650" i="2"/>
  <c r="AN1650" i="2"/>
  <c r="X1650" i="2"/>
  <c r="AI1650" i="2"/>
  <c r="AS1669" i="2"/>
  <c r="AX1669" i="2" s="1"/>
  <c r="BG1669" i="2" s="1"/>
  <c r="AS1685" i="2"/>
  <c r="AX1685" i="2" s="1"/>
  <c r="BG1685" i="2" s="1"/>
  <c r="AS1701" i="2"/>
  <c r="AX1701" i="2" s="1"/>
  <c r="BG1701" i="2" s="1"/>
  <c r="AS1717" i="2"/>
  <c r="AX1717" i="2" s="1"/>
  <c r="BG1717" i="2" s="1"/>
  <c r="AS1733" i="2"/>
  <c r="AX1733" i="2" s="1"/>
  <c r="BG1733" i="2" s="1"/>
  <c r="AS1749" i="2"/>
  <c r="AX1749" i="2" s="1"/>
  <c r="BG1749" i="2" s="1"/>
  <c r="AI1804" i="2"/>
  <c r="AD1804" i="2"/>
  <c r="X1804" i="2"/>
  <c r="AN1804" i="2"/>
  <c r="AI2158" i="2"/>
  <c r="AD2158" i="2"/>
  <c r="AN2158" i="2"/>
  <c r="X2158" i="2"/>
  <c r="AS2492" i="2"/>
  <c r="AX2492" i="2" s="1"/>
  <c r="BG2492" i="2" s="1"/>
  <c r="AN1970" i="2"/>
  <c r="X1970" i="2"/>
  <c r="AI1970" i="2"/>
  <c r="AD1970" i="2"/>
  <c r="AS1381" i="2"/>
  <c r="AX1381" i="2" s="1"/>
  <c r="BG1381" i="2" s="1"/>
  <c r="AS1758" i="2"/>
  <c r="AX1758" i="2" s="1"/>
  <c r="BG1758" i="2" s="1"/>
  <c r="AS1782" i="2"/>
  <c r="AX1782" i="2" s="1"/>
  <c r="BG1782" i="2" s="1"/>
  <c r="AS1806" i="2"/>
  <c r="AX1806" i="2" s="1"/>
  <c r="BG1806" i="2" s="1"/>
  <c r="AS1830" i="2"/>
  <c r="AX1830" i="2" s="1"/>
  <c r="BG1830" i="2" s="1"/>
  <c r="AS1828" i="2"/>
  <c r="AX1828" i="2" s="1"/>
  <c r="BG1828" i="2" s="1"/>
  <c r="AD1873" i="2"/>
  <c r="AN1873" i="2"/>
  <c r="X1873" i="2"/>
  <c r="AI1873" i="2"/>
  <c r="AS2001" i="2"/>
  <c r="AX2001" i="2" s="1"/>
  <c r="BG2001" i="2" s="1"/>
  <c r="AD1971" i="2"/>
  <c r="AN1971" i="2"/>
  <c r="X1971" i="2"/>
  <c r="AI1971" i="2"/>
  <c r="AS2054" i="2"/>
  <c r="AX2054" i="2" s="1"/>
  <c r="BG2054" i="2" s="1"/>
  <c r="AS2062" i="2"/>
  <c r="AX2062" i="2" s="1"/>
  <c r="BG2062" i="2" s="1"/>
  <c r="AS2074" i="2"/>
  <c r="AX2074" i="2" s="1"/>
  <c r="BG2074" i="2" s="1"/>
  <c r="AS2090" i="2"/>
  <c r="AX2090" i="2" s="1"/>
  <c r="BG2090" i="2" s="1"/>
  <c r="AS2102" i="2"/>
  <c r="AX2102" i="2" s="1"/>
  <c r="BG2102" i="2" s="1"/>
  <c r="AS2482" i="2"/>
  <c r="AX2482" i="2" s="1"/>
  <c r="BG2482" i="2" s="1"/>
  <c r="AN379" i="2"/>
  <c r="X379" i="2"/>
  <c r="AI379" i="2"/>
  <c r="AD379" i="2"/>
  <c r="AS1419" i="2"/>
  <c r="AX1419" i="2" s="1"/>
  <c r="BG1419" i="2" s="1"/>
  <c r="AD1602" i="2"/>
  <c r="AN1602" i="2"/>
  <c r="X1602" i="2"/>
  <c r="AI1602" i="2"/>
  <c r="AI1792" i="2"/>
  <c r="AD1792" i="2"/>
  <c r="X1792" i="2"/>
  <c r="AN1792" i="2"/>
  <c r="AI1808" i="2"/>
  <c r="AD1808" i="2"/>
  <c r="X1808" i="2"/>
  <c r="AN1808" i="2"/>
  <c r="AS2481" i="2"/>
  <c r="AX2481" i="2" s="1"/>
  <c r="BG2481" i="2" s="1"/>
  <c r="AS147" i="2"/>
  <c r="AX147" i="2" s="1"/>
  <c r="BG147" i="2" s="1"/>
  <c r="AS195" i="2"/>
  <c r="AX195" i="2" s="1"/>
  <c r="BG195" i="2" s="1"/>
  <c r="AS633" i="2"/>
  <c r="AX633" i="2" s="1"/>
  <c r="BG633" i="2" s="1"/>
  <c r="AS1273" i="2"/>
  <c r="AX1273" i="2" s="1"/>
  <c r="BG1273" i="2" s="1"/>
  <c r="AS1337" i="2"/>
  <c r="AX1337" i="2" s="1"/>
  <c r="BG1337" i="2" s="1"/>
  <c r="AS1231" i="2"/>
  <c r="AX1231" i="2" s="1"/>
  <c r="BG1231" i="2" s="1"/>
  <c r="AS1671" i="2"/>
  <c r="AX1671" i="2" s="1"/>
  <c r="BG1671" i="2" s="1"/>
  <c r="AS1679" i="2"/>
  <c r="AX1679" i="2" s="1"/>
  <c r="BG1679" i="2" s="1"/>
  <c r="AS1691" i="2"/>
  <c r="AX1691" i="2" s="1"/>
  <c r="BG1691" i="2" s="1"/>
  <c r="AS1703" i="2"/>
  <c r="AX1703" i="2" s="1"/>
  <c r="BG1703" i="2" s="1"/>
  <c r="AS1711" i="2"/>
  <c r="AX1711" i="2" s="1"/>
  <c r="BG1711" i="2" s="1"/>
  <c r="AS1723" i="2"/>
  <c r="AX1723" i="2" s="1"/>
  <c r="BG1723" i="2" s="1"/>
  <c r="AS1731" i="2"/>
  <c r="AX1731" i="2" s="1"/>
  <c r="BG1731" i="2" s="1"/>
  <c r="AS1739" i="2"/>
  <c r="AX1739" i="2" s="1"/>
  <c r="BG1739" i="2" s="1"/>
  <c r="AS1751" i="2"/>
  <c r="AX1751" i="2" s="1"/>
  <c r="BG1751" i="2" s="1"/>
  <c r="AO1779" i="2"/>
  <c r="AJ1779" i="2"/>
  <c r="AE1779" i="2"/>
  <c r="AS2186" i="2"/>
  <c r="AX2186" i="2" s="1"/>
  <c r="BG2186" i="2" s="1"/>
  <c r="AN548" i="2"/>
  <c r="X548" i="2"/>
  <c r="AI548" i="2"/>
  <c r="AD548" i="2"/>
  <c r="AN357" i="2"/>
  <c r="X357" i="2"/>
  <c r="AI357" i="2"/>
  <c r="AD357" i="2"/>
  <c r="AS381" i="2"/>
  <c r="AX381" i="2" s="1"/>
  <c r="BG381" i="2" s="1"/>
  <c r="AS389" i="2"/>
  <c r="AX389" i="2" s="1"/>
  <c r="BG389" i="2" s="1"/>
  <c r="AS405" i="2"/>
  <c r="AX405" i="2" s="1"/>
  <c r="BG405" i="2" s="1"/>
  <c r="AS453" i="2"/>
  <c r="AX453" i="2" s="1"/>
  <c r="BG453" i="2" s="1"/>
  <c r="AS485" i="2"/>
  <c r="AX485" i="2" s="1"/>
  <c r="BG485" i="2" s="1"/>
  <c r="AS900" i="2"/>
  <c r="AX900" i="2" s="1"/>
  <c r="BG900" i="2" s="1"/>
  <c r="AS912" i="2"/>
  <c r="AX912" i="2" s="1"/>
  <c r="BG912" i="2" s="1"/>
  <c r="AS924" i="2"/>
  <c r="AX924" i="2" s="1"/>
  <c r="BG924" i="2" s="1"/>
  <c r="AS744" i="2"/>
  <c r="AX744" i="2" s="1"/>
  <c r="BG744" i="2" s="1"/>
  <c r="AS872" i="2"/>
  <c r="AX872" i="2" s="1"/>
  <c r="BG872" i="2" s="1"/>
  <c r="AS1085" i="2"/>
  <c r="AX1085" i="2" s="1"/>
  <c r="BG1085" i="2" s="1"/>
  <c r="AS2112" i="2"/>
  <c r="AX2112" i="2" s="1"/>
  <c r="BG2112" i="2" s="1"/>
  <c r="AS323" i="2"/>
  <c r="AX323" i="2" s="1"/>
  <c r="BG323" i="2" s="1"/>
  <c r="AN1166" i="2"/>
  <c r="X1166" i="2"/>
  <c r="AI1166" i="2"/>
  <c r="AD1166" i="2"/>
  <c r="AN1694" i="2"/>
  <c r="X1694" i="2"/>
  <c r="AD1694" i="2"/>
  <c r="AI1694" i="2"/>
  <c r="AN2283" i="2"/>
  <c r="X2283" i="2"/>
  <c r="AD2283" i="2"/>
  <c r="AI2283" i="2"/>
  <c r="AN2217" i="2"/>
  <c r="X2217" i="2"/>
  <c r="AD2217" i="2"/>
  <c r="AI2217" i="2"/>
  <c r="AN2241" i="2"/>
  <c r="X2241" i="2"/>
  <c r="AD2241" i="2"/>
  <c r="AI2241" i="2"/>
  <c r="AN2265" i="2"/>
  <c r="X2265" i="2"/>
  <c r="AD2265" i="2"/>
  <c r="AI2265" i="2"/>
  <c r="AN2289" i="2"/>
  <c r="X2289" i="2"/>
  <c r="AD2289" i="2"/>
  <c r="AI2289" i="2"/>
  <c r="AN2313" i="2"/>
  <c r="X2313" i="2"/>
  <c r="AD2313" i="2"/>
  <c r="AI2313" i="2"/>
  <c r="AS2409" i="2"/>
  <c r="AX2409" i="2" s="1"/>
  <c r="BG2409" i="2" s="1"/>
  <c r="AS2399" i="2"/>
  <c r="AX2399" i="2" s="1"/>
  <c r="BG2399" i="2" s="1"/>
  <c r="AS23" i="2"/>
  <c r="AX23" i="2" s="1"/>
  <c r="BG23" i="2" s="1"/>
  <c r="AS45" i="2"/>
  <c r="AX45" i="2" s="1"/>
  <c r="BG45" i="2" s="1"/>
  <c r="AO272" i="2"/>
  <c r="AJ272" i="2"/>
  <c r="AE272" i="2"/>
  <c r="AS358" i="2"/>
  <c r="AX358" i="2" s="1"/>
  <c r="BG358" i="2" s="1"/>
  <c r="AI940" i="2"/>
  <c r="AN940" i="2"/>
  <c r="X940" i="2"/>
  <c r="AD940" i="2"/>
  <c r="AI944" i="2"/>
  <c r="AN944" i="2"/>
  <c r="X944" i="2"/>
  <c r="AD944" i="2"/>
  <c r="AI948" i="2"/>
  <c r="AN948" i="2"/>
  <c r="X948" i="2"/>
  <c r="AD948" i="2"/>
  <c r="AI952" i="2"/>
  <c r="AN952" i="2"/>
  <c r="X952" i="2"/>
  <c r="AD952" i="2"/>
  <c r="AI956" i="2"/>
  <c r="AN956" i="2"/>
  <c r="X956" i="2"/>
  <c r="AD956" i="2"/>
  <c r="AI960" i="2"/>
  <c r="AN960" i="2"/>
  <c r="X960" i="2"/>
  <c r="AD960" i="2"/>
  <c r="AI964" i="2"/>
  <c r="AN964" i="2"/>
  <c r="X964" i="2"/>
  <c r="AD964" i="2"/>
  <c r="AI968" i="2"/>
  <c r="AN968" i="2"/>
  <c r="X968" i="2"/>
  <c r="AD968" i="2"/>
  <c r="AI972" i="2"/>
  <c r="AN972" i="2"/>
  <c r="X972" i="2"/>
  <c r="AD972" i="2"/>
  <c r="AI976" i="2"/>
  <c r="AN976" i="2"/>
  <c r="X976" i="2"/>
  <c r="AD976" i="2"/>
  <c r="AI980" i="2"/>
  <c r="AN980" i="2"/>
  <c r="X980" i="2"/>
  <c r="AD980" i="2"/>
  <c r="AI984" i="2"/>
  <c r="AN984" i="2"/>
  <c r="X984" i="2"/>
  <c r="AD984" i="2"/>
  <c r="AI988" i="2"/>
  <c r="AN988" i="2"/>
  <c r="X988" i="2"/>
  <c r="AD988" i="2"/>
  <c r="AI992" i="2"/>
  <c r="AN992" i="2"/>
  <c r="X992" i="2"/>
  <c r="AD992" i="2"/>
  <c r="AI996" i="2"/>
  <c r="AN996" i="2"/>
  <c r="X996" i="2"/>
  <c r="AD996" i="2"/>
  <c r="AI1000" i="2"/>
  <c r="AN1000" i="2"/>
  <c r="X1000" i="2"/>
  <c r="AD1000" i="2"/>
  <c r="AI1004" i="2"/>
  <c r="AN1004" i="2"/>
  <c r="X1004" i="2"/>
  <c r="AD1004" i="2"/>
  <c r="AI1008" i="2"/>
  <c r="AN1008" i="2"/>
  <c r="X1008" i="2"/>
  <c r="AD1008" i="2"/>
  <c r="AI1012" i="2"/>
  <c r="AN1012" i="2"/>
  <c r="X1012" i="2"/>
  <c r="AD1012" i="2"/>
  <c r="AI1016" i="2"/>
  <c r="AN1016" i="2"/>
  <c r="X1016" i="2"/>
  <c r="AD1016" i="2"/>
  <c r="AI1020" i="2"/>
  <c r="AN1020" i="2"/>
  <c r="X1020" i="2"/>
  <c r="AD1020" i="2"/>
  <c r="AI1024" i="2"/>
  <c r="AN1024" i="2"/>
  <c r="X1024" i="2"/>
  <c r="AD1024" i="2"/>
  <c r="AI1028" i="2"/>
  <c r="AN1028" i="2"/>
  <c r="X1028" i="2"/>
  <c r="AD1028" i="2"/>
  <c r="AI1032" i="2"/>
  <c r="AN1032" i="2"/>
  <c r="X1032" i="2"/>
  <c r="AD1032" i="2"/>
  <c r="AI1036" i="2"/>
  <c r="AN1036" i="2"/>
  <c r="X1036" i="2"/>
  <c r="AD1036" i="2"/>
  <c r="AI1040" i="2"/>
  <c r="AN1040" i="2"/>
  <c r="X1040" i="2"/>
  <c r="AD1040" i="2"/>
  <c r="AS1193" i="2"/>
  <c r="AX1193" i="2" s="1"/>
  <c r="BG1193" i="2" s="1"/>
  <c r="AS1257" i="2"/>
  <c r="AX1257" i="2" s="1"/>
  <c r="BG1257" i="2" s="1"/>
  <c r="AS1321" i="2"/>
  <c r="AX1321" i="2" s="1"/>
  <c r="BG1321" i="2" s="1"/>
  <c r="AS1405" i="2"/>
  <c r="AX1405" i="2" s="1"/>
  <c r="BG1405" i="2" s="1"/>
  <c r="AS1421" i="2"/>
  <c r="AX1421" i="2" s="1"/>
  <c r="BG1421" i="2" s="1"/>
  <c r="AS1437" i="2"/>
  <c r="AX1437" i="2" s="1"/>
  <c r="BG1437" i="2" s="1"/>
  <c r="AN1651" i="2"/>
  <c r="X1651" i="2"/>
  <c r="AI1651" i="2"/>
  <c r="AD1651" i="2"/>
  <c r="AS1501" i="2"/>
  <c r="AX1501" i="2" s="1"/>
  <c r="BG1501" i="2" s="1"/>
  <c r="AN1597" i="2"/>
  <c r="X1597" i="2"/>
  <c r="AI1597" i="2"/>
  <c r="AD1597" i="2"/>
  <c r="AS1674" i="2"/>
  <c r="AX1674" i="2" s="1"/>
  <c r="BG1674" i="2" s="1"/>
  <c r="AS77" i="2"/>
  <c r="AX77" i="2" s="1"/>
  <c r="BG77" i="2" s="1"/>
  <c r="AS15" i="2"/>
  <c r="AX15" i="2" s="1"/>
  <c r="BG15" i="2" s="1"/>
  <c r="AS508" i="2"/>
  <c r="AX508" i="2" s="1"/>
  <c r="BG508" i="2" s="1"/>
  <c r="AS540" i="2"/>
  <c r="AX540" i="2" s="1"/>
  <c r="BG540" i="2" s="1"/>
  <c r="AS544" i="2"/>
  <c r="AX544" i="2" s="1"/>
  <c r="BG544" i="2" s="1"/>
  <c r="AS1211" i="2"/>
  <c r="AX1211" i="2" s="1"/>
  <c r="BG1211" i="2" s="1"/>
  <c r="AS1275" i="2"/>
  <c r="AX1275" i="2" s="1"/>
  <c r="BG1275" i="2" s="1"/>
  <c r="AS1339" i="2"/>
  <c r="AX1339" i="2" s="1"/>
  <c r="BG1339" i="2" s="1"/>
  <c r="AN1543" i="2"/>
  <c r="X1543" i="2"/>
  <c r="AD1543" i="2"/>
  <c r="AI1543" i="2"/>
  <c r="AS1623" i="2"/>
  <c r="AX1623" i="2" s="1"/>
  <c r="BG1623" i="2" s="1"/>
  <c r="AN1495" i="2"/>
  <c r="X1495" i="2"/>
  <c r="AD1495" i="2"/>
  <c r="AI1495" i="2"/>
  <c r="AN1499" i="2"/>
  <c r="X1499" i="2"/>
  <c r="AD1499" i="2"/>
  <c r="AI1499" i="2"/>
  <c r="AS1617" i="2"/>
  <c r="AX1617" i="2" s="1"/>
  <c r="BG1617" i="2" s="1"/>
  <c r="AI2042" i="2"/>
  <c r="AD2042" i="2"/>
  <c r="AN2042" i="2"/>
  <c r="X2042" i="2"/>
  <c r="AS2055" i="2"/>
  <c r="AX2055" i="2" s="1"/>
  <c r="BG2055" i="2" s="1"/>
  <c r="AJ152" i="2"/>
  <c r="AO152" i="2"/>
  <c r="AE152" i="2"/>
  <c r="AS162" i="2"/>
  <c r="AX162" i="2" s="1"/>
  <c r="BG162" i="2" s="1"/>
  <c r="AS619" i="2"/>
  <c r="AX619" i="2" s="1"/>
  <c r="BG619" i="2" s="1"/>
  <c r="AI745" i="2"/>
  <c r="AN745" i="2"/>
  <c r="X745" i="2"/>
  <c r="AD745" i="2"/>
  <c r="AI809" i="2"/>
  <c r="AN809" i="2"/>
  <c r="X809" i="2"/>
  <c r="AD809" i="2"/>
  <c r="AI873" i="2"/>
  <c r="AN873" i="2"/>
  <c r="X873" i="2"/>
  <c r="AD873" i="2"/>
  <c r="AS748" i="2"/>
  <c r="AX748" i="2" s="1"/>
  <c r="BG748" i="2" s="1"/>
  <c r="AS812" i="2"/>
  <c r="AX812" i="2" s="1"/>
  <c r="BG812" i="2" s="1"/>
  <c r="AS876" i="2"/>
  <c r="AX876" i="2" s="1"/>
  <c r="BG876" i="2" s="1"/>
  <c r="AN1682" i="2"/>
  <c r="X1682" i="2"/>
  <c r="AD1682" i="2"/>
  <c r="AI1682" i="2"/>
  <c r="AN1746" i="2"/>
  <c r="X1746" i="2"/>
  <c r="AD1746" i="2"/>
  <c r="AI1746" i="2"/>
  <c r="AS2149" i="2"/>
  <c r="AX2149" i="2" s="1"/>
  <c r="BG2149" i="2" s="1"/>
  <c r="AS2412" i="2"/>
  <c r="AX2412" i="2" s="1"/>
  <c r="BG2412" i="2" s="1"/>
  <c r="AI2470" i="2"/>
  <c r="AD2470" i="2"/>
  <c r="AN2470" i="2"/>
  <c r="X2470" i="2"/>
  <c r="AS2496" i="2"/>
  <c r="AX2496" i="2" s="1"/>
  <c r="BG2496" i="2" s="1"/>
  <c r="AN9" i="2"/>
  <c r="X9" i="2"/>
  <c r="AI9" i="2"/>
  <c r="AD9" i="2"/>
  <c r="AN83" i="2"/>
  <c r="X83" i="2"/>
  <c r="AI83" i="2"/>
  <c r="AD83" i="2"/>
  <c r="AS309" i="2"/>
  <c r="AX309" i="2" s="1"/>
  <c r="BG309" i="2" s="1"/>
  <c r="AI749" i="2"/>
  <c r="AN749" i="2"/>
  <c r="X749" i="2"/>
  <c r="AD749" i="2"/>
  <c r="AI781" i="2"/>
  <c r="AN781" i="2"/>
  <c r="X781" i="2"/>
  <c r="AD781" i="2"/>
  <c r="AI813" i="2"/>
  <c r="AN813" i="2"/>
  <c r="X813" i="2"/>
  <c r="AD813" i="2"/>
  <c r="AI845" i="2"/>
  <c r="AN845" i="2"/>
  <c r="X845" i="2"/>
  <c r="AD845" i="2"/>
  <c r="AI877" i="2"/>
  <c r="AN877" i="2"/>
  <c r="X877" i="2"/>
  <c r="AD877" i="2"/>
  <c r="AD1280" i="2"/>
  <c r="AN1280" i="2"/>
  <c r="X1280" i="2"/>
  <c r="AI1280" i="2"/>
  <c r="AD1538" i="2"/>
  <c r="AN1538" i="2"/>
  <c r="X1538" i="2"/>
  <c r="AI1538" i="2"/>
  <c r="AN1678" i="2"/>
  <c r="X1678" i="2"/>
  <c r="AD1678" i="2"/>
  <c r="AI1678" i="2"/>
  <c r="AN1742" i="2"/>
  <c r="X1742" i="2"/>
  <c r="AD1742" i="2"/>
  <c r="AI1742" i="2"/>
  <c r="AI2456" i="2"/>
  <c r="AD2456" i="2"/>
  <c r="AN2456" i="2"/>
  <c r="X2456" i="2"/>
  <c r="AS463" i="2"/>
  <c r="AX463" i="2" s="1"/>
  <c r="BG463" i="2" s="1"/>
  <c r="AD244" i="2"/>
  <c r="AN244" i="2"/>
  <c r="AI244" i="2"/>
  <c r="X244" i="2"/>
  <c r="AS258" i="2"/>
  <c r="AX258" i="2" s="1"/>
  <c r="BG258" i="2" s="1"/>
  <c r="AN223" i="2"/>
  <c r="X223" i="2"/>
  <c r="AI223" i="2"/>
  <c r="AD223" i="2"/>
  <c r="AI753" i="2"/>
  <c r="AN753" i="2"/>
  <c r="X753" i="2"/>
  <c r="AD753" i="2"/>
  <c r="AI785" i="2"/>
  <c r="AN785" i="2"/>
  <c r="X785" i="2"/>
  <c r="AD785" i="2"/>
  <c r="AI817" i="2"/>
  <c r="AN817" i="2"/>
  <c r="X817" i="2"/>
  <c r="AD817" i="2"/>
  <c r="AI849" i="2"/>
  <c r="AN849" i="2"/>
  <c r="X849" i="2"/>
  <c r="AD849" i="2"/>
  <c r="AI881" i="2"/>
  <c r="AN881" i="2"/>
  <c r="X881" i="2"/>
  <c r="AD881" i="2"/>
  <c r="AS174" i="2"/>
  <c r="AX174" i="2" s="1"/>
  <c r="BG174" i="2" s="1"/>
  <c r="AD80" i="2"/>
  <c r="AN80" i="2"/>
  <c r="AI80" i="2"/>
  <c r="X80" i="2"/>
  <c r="AN197" i="2"/>
  <c r="X197" i="2"/>
  <c r="AI197" i="2"/>
  <c r="AD197" i="2"/>
  <c r="AD262" i="2"/>
  <c r="AN262" i="2"/>
  <c r="AI262" i="2"/>
  <c r="X262" i="2"/>
  <c r="AS430" i="2"/>
  <c r="AX430" i="2" s="1"/>
  <c r="BG430" i="2" s="1"/>
  <c r="AD462" i="2"/>
  <c r="AN462" i="2"/>
  <c r="AI462" i="2"/>
  <c r="X462" i="2"/>
  <c r="AS494" i="2"/>
  <c r="AX494" i="2" s="1"/>
  <c r="BG494" i="2" s="1"/>
  <c r="AS1192" i="2"/>
  <c r="AX1192" i="2" s="1"/>
  <c r="BG1192" i="2" s="1"/>
  <c r="AS1195" i="2"/>
  <c r="AX1195" i="2" s="1"/>
  <c r="BG1195" i="2" s="1"/>
  <c r="AS1259" i="2"/>
  <c r="AX1259" i="2" s="1"/>
  <c r="BG1259" i="2" s="1"/>
  <c r="AS1323" i="2"/>
  <c r="AX1323" i="2" s="1"/>
  <c r="BG1323" i="2" s="1"/>
  <c r="AD1366" i="2"/>
  <c r="AN1366" i="2"/>
  <c r="X1366" i="2"/>
  <c r="AI1366" i="2"/>
  <c r="AN1497" i="2"/>
  <c r="X1497" i="2"/>
  <c r="AD1497" i="2"/>
  <c r="AI1497" i="2"/>
  <c r="AN1507" i="2"/>
  <c r="X1507" i="2"/>
  <c r="AD1507" i="2"/>
  <c r="AI1507" i="2"/>
  <c r="AD1632" i="2"/>
  <c r="AN1632" i="2"/>
  <c r="X1632" i="2"/>
  <c r="AI1632" i="2"/>
  <c r="AN1477" i="2"/>
  <c r="X1477" i="2"/>
  <c r="AD1477" i="2"/>
  <c r="AI1477" i="2"/>
  <c r="AN1481" i="2"/>
  <c r="X1481" i="2"/>
  <c r="AD1481" i="2"/>
  <c r="AI1481" i="2"/>
  <c r="AS1530" i="2"/>
  <c r="AX1530" i="2" s="1"/>
  <c r="BG1530" i="2" s="1"/>
  <c r="AS1601" i="2"/>
  <c r="AX1601" i="2" s="1"/>
  <c r="BG1601" i="2" s="1"/>
  <c r="AD1626" i="2"/>
  <c r="AN1626" i="2"/>
  <c r="X1626" i="2"/>
  <c r="AI1626" i="2"/>
  <c r="AI1846" i="2"/>
  <c r="AD1846" i="2"/>
  <c r="AN1846" i="2"/>
  <c r="X1846" i="2"/>
  <c r="AS2182" i="2"/>
  <c r="AX2182" i="2" s="1"/>
  <c r="BG2182" i="2" s="1"/>
  <c r="AD2320" i="2"/>
  <c r="AN2320" i="2"/>
  <c r="X2320" i="2"/>
  <c r="AI2320" i="2"/>
  <c r="AD2336" i="2"/>
  <c r="AN2336" i="2"/>
  <c r="X2336" i="2"/>
  <c r="AI2336" i="2"/>
  <c r="AD2368" i="2"/>
  <c r="AN2368" i="2"/>
  <c r="X2368" i="2"/>
  <c r="AI2368" i="2"/>
  <c r="AS5" i="2"/>
  <c r="AX5" i="2" s="1"/>
  <c r="BG5" i="2" s="1"/>
  <c r="AS56" i="2"/>
  <c r="AX56" i="2" s="1"/>
  <c r="BG56" i="2" s="1"/>
  <c r="AS62" i="2"/>
  <c r="AX62" i="2" s="1"/>
  <c r="BG62" i="2" s="1"/>
  <c r="AS352" i="2"/>
  <c r="AX352" i="2" s="1"/>
  <c r="BG352" i="2" s="1"/>
  <c r="AS384" i="2"/>
  <c r="AX384" i="2" s="1"/>
  <c r="BG384" i="2" s="1"/>
  <c r="AS456" i="2"/>
  <c r="AX456" i="2" s="1"/>
  <c r="BG456" i="2" s="1"/>
  <c r="AS118" i="2"/>
  <c r="AX118" i="2" s="1"/>
  <c r="BG118" i="2" s="1"/>
  <c r="AS182" i="2"/>
  <c r="AX182" i="2" s="1"/>
  <c r="BG182" i="2" s="1"/>
  <c r="AS298" i="2"/>
  <c r="AX298" i="2" s="1"/>
  <c r="BG298" i="2" s="1"/>
  <c r="AS1144" i="2"/>
  <c r="AX1144" i="2" s="1"/>
  <c r="BG1144" i="2" s="1"/>
  <c r="AS1148" i="2"/>
  <c r="AX1148" i="2" s="1"/>
  <c r="BG1148" i="2" s="1"/>
  <c r="AS1152" i="2"/>
  <c r="AX1152" i="2" s="1"/>
  <c r="BG1152" i="2" s="1"/>
  <c r="AS1139" i="2"/>
  <c r="AX1139" i="2" s="1"/>
  <c r="BG1139" i="2" s="1"/>
  <c r="AT1787" i="2"/>
  <c r="AY1787" i="2" s="1"/>
  <c r="BH1787" i="2" s="1"/>
  <c r="AS2404" i="2"/>
  <c r="AX2404" i="2" s="1"/>
  <c r="BG2404" i="2" s="1"/>
  <c r="AN2474" i="2"/>
  <c r="X2474" i="2"/>
  <c r="AD2474" i="2"/>
  <c r="AI2474" i="2"/>
  <c r="AN2490" i="2"/>
  <c r="X2490" i="2"/>
  <c r="AD2490" i="2"/>
  <c r="AI2490" i="2"/>
  <c r="AS173" i="2"/>
  <c r="AX173" i="2" s="1"/>
  <c r="BG173" i="2" s="1"/>
  <c r="AS113" i="2"/>
  <c r="AX113" i="2" s="1"/>
  <c r="BG113" i="2" s="1"/>
  <c r="AS177" i="2"/>
  <c r="AX177" i="2" s="1"/>
  <c r="BG177" i="2" s="1"/>
  <c r="AD306" i="2"/>
  <c r="AI306" i="2"/>
  <c r="X306" i="2"/>
  <c r="AN306" i="2"/>
  <c r="AD1326" i="2"/>
  <c r="AN1326" i="2"/>
  <c r="X1326" i="2"/>
  <c r="AI1326" i="2"/>
  <c r="AS1615" i="2"/>
  <c r="AX1615" i="2" s="1"/>
  <c r="BG1615" i="2" s="1"/>
  <c r="AN1529" i="2"/>
  <c r="X1529" i="2"/>
  <c r="AD1529" i="2"/>
  <c r="AI1529" i="2"/>
  <c r="AN1551" i="2"/>
  <c r="X1551" i="2"/>
  <c r="AD1551" i="2"/>
  <c r="AI1551" i="2"/>
  <c r="AN1567" i="2"/>
  <c r="X1567" i="2"/>
  <c r="AD1567" i="2"/>
  <c r="AI1567" i="2"/>
  <c r="AS1585" i="2"/>
  <c r="AX1585" i="2" s="1"/>
  <c r="BG1585" i="2" s="1"/>
  <c r="AS1593" i="2"/>
  <c r="AX1593" i="2" s="1"/>
  <c r="BG1593" i="2" s="1"/>
  <c r="AS1726" i="2"/>
  <c r="AX1726" i="2" s="1"/>
  <c r="BG1726" i="2" s="1"/>
  <c r="AS1796" i="2"/>
  <c r="AX1796" i="2" s="1"/>
  <c r="BG1796" i="2" s="1"/>
  <c r="AS2104" i="2"/>
  <c r="AX2104" i="2" s="1"/>
  <c r="BG2104" i="2" s="1"/>
  <c r="AS536" i="2"/>
  <c r="AX536" i="2" s="1"/>
  <c r="BG536" i="2" s="1"/>
  <c r="AI669" i="2"/>
  <c r="AD669" i="2"/>
  <c r="AN669" i="2"/>
  <c r="X669" i="2"/>
  <c r="AT889" i="2"/>
  <c r="AY889" i="2" s="1"/>
  <c r="BH889" i="2" s="1"/>
  <c r="AT893" i="2"/>
  <c r="AY893" i="2" s="1"/>
  <c r="BH893" i="2" s="1"/>
  <c r="AT897" i="2"/>
  <c r="AY897" i="2" s="1"/>
  <c r="BH897" i="2" s="1"/>
  <c r="AT901" i="2"/>
  <c r="AT905" i="2"/>
  <c r="AY905" i="2" s="1"/>
  <c r="BH905" i="2" s="1"/>
  <c r="AT909" i="2"/>
  <c r="AY909" i="2" s="1"/>
  <c r="BH909" i="2" s="1"/>
  <c r="AT913" i="2"/>
  <c r="AY913" i="2" s="1"/>
  <c r="BH913" i="2" s="1"/>
  <c r="AT917" i="2"/>
  <c r="AY917" i="2" s="1"/>
  <c r="BH917" i="2" s="1"/>
  <c r="AT921" i="2"/>
  <c r="AY921" i="2" s="1"/>
  <c r="BH921" i="2" s="1"/>
  <c r="AT925" i="2"/>
  <c r="AY925" i="2" s="1"/>
  <c r="BH925" i="2" s="1"/>
  <c r="AT929" i="2"/>
  <c r="AY929" i="2" s="1"/>
  <c r="BH929" i="2" s="1"/>
  <c r="AS1353" i="2"/>
  <c r="AX1353" i="2" s="1"/>
  <c r="BG1353" i="2" s="1"/>
  <c r="AS1228" i="2"/>
  <c r="AX1228" i="2" s="1"/>
  <c r="BG1228" i="2" s="1"/>
  <c r="AS1311" i="2"/>
  <c r="AX1311" i="2" s="1"/>
  <c r="BG1311" i="2" s="1"/>
  <c r="AS1413" i="2"/>
  <c r="AX1413" i="2" s="1"/>
  <c r="BG1413" i="2" s="1"/>
  <c r="AD1582" i="2"/>
  <c r="AN1582" i="2"/>
  <c r="X1582" i="2"/>
  <c r="AI1582" i="2"/>
  <c r="AD1590" i="2"/>
  <c r="AN1590" i="2"/>
  <c r="X1590" i="2"/>
  <c r="AI1590" i="2"/>
  <c r="AS1706" i="2"/>
  <c r="AX1706" i="2" s="1"/>
  <c r="BG1706" i="2" s="1"/>
  <c r="AI1829" i="2"/>
  <c r="X1829" i="2"/>
  <c r="AN1829" i="2"/>
  <c r="AD1829" i="2"/>
  <c r="AS1862" i="2"/>
  <c r="AX1862" i="2" s="1"/>
  <c r="BG1862" i="2" s="1"/>
  <c r="AS1866" i="2"/>
  <c r="AX1866" i="2" s="1"/>
  <c r="BG1866" i="2" s="1"/>
  <c r="AS1870" i="2"/>
  <c r="AX1870" i="2" s="1"/>
  <c r="BG1870" i="2" s="1"/>
  <c r="AS1874" i="2"/>
  <c r="AX1874" i="2" s="1"/>
  <c r="BG1874" i="2" s="1"/>
  <c r="AS1878" i="2"/>
  <c r="AX1878" i="2" s="1"/>
  <c r="BG1878" i="2" s="1"/>
  <c r="AS1882" i="2"/>
  <c r="AX1882" i="2" s="1"/>
  <c r="BG1882" i="2" s="1"/>
  <c r="AS1886" i="2"/>
  <c r="AX1886" i="2" s="1"/>
  <c r="BG1886" i="2" s="1"/>
  <c r="AS1890" i="2"/>
  <c r="AX1890" i="2" s="1"/>
  <c r="BG1890" i="2" s="1"/>
  <c r="AS1894" i="2"/>
  <c r="AX1894" i="2" s="1"/>
  <c r="BG1894" i="2" s="1"/>
  <c r="AS1898" i="2"/>
  <c r="AX1898" i="2" s="1"/>
  <c r="BG1898" i="2" s="1"/>
  <c r="AS1902" i="2"/>
  <c r="AX1902" i="2" s="1"/>
  <c r="BG1902" i="2" s="1"/>
  <c r="AS1906" i="2"/>
  <c r="AX1906" i="2" s="1"/>
  <c r="BG1906" i="2" s="1"/>
  <c r="AS1910" i="2"/>
  <c r="AX1910" i="2" s="1"/>
  <c r="BG1910" i="2" s="1"/>
  <c r="AS1914" i="2"/>
  <c r="AX1914" i="2" s="1"/>
  <c r="BG1914" i="2" s="1"/>
  <c r="AS1918" i="2"/>
  <c r="AX1918" i="2" s="1"/>
  <c r="BG1918" i="2" s="1"/>
  <c r="AS1922" i="2"/>
  <c r="AX1922" i="2" s="1"/>
  <c r="BG1922" i="2" s="1"/>
  <c r="AS1926" i="2"/>
  <c r="AX1926" i="2" s="1"/>
  <c r="BG1926" i="2" s="1"/>
  <c r="AS1930" i="2"/>
  <c r="AX1930" i="2" s="1"/>
  <c r="BG1930" i="2" s="1"/>
  <c r="AS1934" i="2"/>
  <c r="AX1934" i="2" s="1"/>
  <c r="BG1934" i="2" s="1"/>
  <c r="AS1938" i="2"/>
  <c r="AX1938" i="2" s="1"/>
  <c r="BG1938" i="2" s="1"/>
  <c r="AS1942" i="2"/>
  <c r="AX1942" i="2" s="1"/>
  <c r="BG1942" i="2" s="1"/>
  <c r="AS1946" i="2"/>
  <c r="AX1946" i="2" s="1"/>
  <c r="BG1946" i="2" s="1"/>
  <c r="AS1950" i="2"/>
  <c r="AX1950" i="2" s="1"/>
  <c r="BG1950" i="2" s="1"/>
  <c r="AS1954" i="2"/>
  <c r="AX1954" i="2" s="1"/>
  <c r="BG1954" i="2" s="1"/>
  <c r="AS1958" i="2"/>
  <c r="AX1958" i="2" s="1"/>
  <c r="BG1958" i="2" s="1"/>
  <c r="AS1962" i="2"/>
  <c r="AX1962" i="2" s="1"/>
  <c r="BG1962" i="2" s="1"/>
  <c r="AS1966" i="2"/>
  <c r="AX1966" i="2" s="1"/>
  <c r="BG1966" i="2" s="1"/>
  <c r="AS1974" i="2"/>
  <c r="AX1974" i="2" s="1"/>
  <c r="BG1974" i="2" s="1"/>
  <c r="AS1982" i="2"/>
  <c r="AX1982" i="2" s="1"/>
  <c r="BG1982" i="2" s="1"/>
  <c r="AS1986" i="2"/>
  <c r="AX1986" i="2" s="1"/>
  <c r="BG1986" i="2" s="1"/>
  <c r="AS1990" i="2"/>
  <c r="AX1990" i="2" s="1"/>
  <c r="BG1990" i="2" s="1"/>
  <c r="AS1994" i="2"/>
  <c r="AX1994" i="2" s="1"/>
  <c r="BG1994" i="2" s="1"/>
  <c r="AS1998" i="2"/>
  <c r="AX1998" i="2" s="1"/>
  <c r="BG1998" i="2" s="1"/>
  <c r="AS2002" i="2"/>
  <c r="AX2002" i="2" s="1"/>
  <c r="BG2002" i="2" s="1"/>
  <c r="AS2006" i="2"/>
  <c r="AX2006" i="2" s="1"/>
  <c r="BG2006" i="2" s="1"/>
  <c r="AS2010" i="2"/>
  <c r="AX2010" i="2" s="1"/>
  <c r="BG2010" i="2" s="1"/>
  <c r="AS2014" i="2"/>
  <c r="AX2014" i="2" s="1"/>
  <c r="BG2014" i="2" s="1"/>
  <c r="AS2018" i="2"/>
  <c r="AX2018" i="2" s="1"/>
  <c r="BG2018" i="2" s="1"/>
  <c r="AS2069" i="2"/>
  <c r="AX2069" i="2" s="1"/>
  <c r="BG2069" i="2" s="1"/>
  <c r="AI2154" i="2"/>
  <c r="AD2154" i="2"/>
  <c r="AN2154" i="2"/>
  <c r="X2154" i="2"/>
  <c r="AD2083" i="2"/>
  <c r="AN2083" i="2"/>
  <c r="X2083" i="2"/>
  <c r="AI2083" i="2"/>
  <c r="AN207" i="2"/>
  <c r="X207" i="2"/>
  <c r="AI207" i="2"/>
  <c r="AD207" i="2"/>
  <c r="AN215" i="2"/>
  <c r="X215" i="2"/>
  <c r="AI215" i="2"/>
  <c r="AD215" i="2"/>
  <c r="AN247" i="2"/>
  <c r="X247" i="2"/>
  <c r="AI247" i="2"/>
  <c r="AD247" i="2"/>
  <c r="AN279" i="2"/>
  <c r="X279" i="2"/>
  <c r="AI279" i="2"/>
  <c r="AD279" i="2"/>
  <c r="AD296" i="2"/>
  <c r="AN296" i="2"/>
  <c r="AI296" i="2"/>
  <c r="X296" i="2"/>
  <c r="AS442" i="2"/>
  <c r="AX442" i="2" s="1"/>
  <c r="BG442" i="2" s="1"/>
  <c r="AD472" i="2"/>
  <c r="AN472" i="2"/>
  <c r="AI472" i="2"/>
  <c r="X472" i="2"/>
  <c r="AD509" i="2"/>
  <c r="AN509" i="2"/>
  <c r="X509" i="2"/>
  <c r="AI509" i="2"/>
  <c r="AN229" i="2"/>
  <c r="X229" i="2"/>
  <c r="AI229" i="2"/>
  <c r="AD229" i="2"/>
  <c r="AN530" i="2"/>
  <c r="X530" i="2"/>
  <c r="AI530" i="2"/>
  <c r="AD530" i="2"/>
  <c r="AS1301" i="2"/>
  <c r="AX1301" i="2" s="1"/>
  <c r="BG1301" i="2" s="1"/>
  <c r="AS1307" i="2"/>
  <c r="AX1307" i="2" s="1"/>
  <c r="BG1307" i="2" s="1"/>
  <c r="AS1350" i="2"/>
  <c r="AX1350" i="2" s="1"/>
  <c r="BG1350" i="2" s="1"/>
  <c r="AN1493" i="2"/>
  <c r="X1493" i="2"/>
  <c r="AD1493" i="2"/>
  <c r="AI1493" i="2"/>
  <c r="AN1519" i="2"/>
  <c r="X1519" i="2"/>
  <c r="AD1519" i="2"/>
  <c r="AI1519" i="2"/>
  <c r="AN1535" i="2"/>
  <c r="X1535" i="2"/>
  <c r="AD1535" i="2"/>
  <c r="AI1535" i="2"/>
  <c r="AS1509" i="2"/>
  <c r="AX1509" i="2" s="1"/>
  <c r="BG1509" i="2" s="1"/>
  <c r="AS1513" i="2"/>
  <c r="AX1513" i="2" s="1"/>
  <c r="BG1513" i="2" s="1"/>
  <c r="AS1610" i="2"/>
  <c r="AX1610" i="2" s="1"/>
  <c r="BG1610" i="2" s="1"/>
  <c r="AD1851" i="2"/>
  <c r="AN1851" i="2"/>
  <c r="X1851" i="2"/>
  <c r="AI1851" i="2"/>
  <c r="AD1855" i="2"/>
  <c r="AN1855" i="2"/>
  <c r="X1855" i="2"/>
  <c r="AI1855" i="2"/>
  <c r="AD1859" i="2"/>
  <c r="AN1859" i="2"/>
  <c r="X1859" i="2"/>
  <c r="AI1859" i="2"/>
  <c r="AS2087" i="2"/>
  <c r="AX2087" i="2" s="1"/>
  <c r="BG2087" i="2" s="1"/>
  <c r="AS2184" i="2"/>
  <c r="AX2184" i="2" s="1"/>
  <c r="BG2184" i="2" s="1"/>
  <c r="AD92" i="2"/>
  <c r="AN92" i="2"/>
  <c r="X92" i="2"/>
  <c r="AI92" i="2"/>
  <c r="AS315" i="2"/>
  <c r="AX315" i="2" s="1"/>
  <c r="BG315" i="2" s="1"/>
  <c r="AS321" i="2"/>
  <c r="AX321" i="2" s="1"/>
  <c r="BG321" i="2" s="1"/>
  <c r="AD406" i="2"/>
  <c r="AN406" i="2"/>
  <c r="AI406" i="2"/>
  <c r="X406" i="2"/>
  <c r="AS623" i="2"/>
  <c r="AX623" i="2" s="1"/>
  <c r="BG623" i="2" s="1"/>
  <c r="AS639" i="2"/>
  <c r="AX639" i="2" s="1"/>
  <c r="BG639" i="2" s="1"/>
  <c r="AS655" i="2"/>
  <c r="AX655" i="2" s="1"/>
  <c r="BG655" i="2" s="1"/>
  <c r="AS671" i="2"/>
  <c r="AX671" i="2" s="1"/>
  <c r="BG671" i="2" s="1"/>
  <c r="AS687" i="2"/>
  <c r="AX687" i="2" s="1"/>
  <c r="BG687" i="2" s="1"/>
  <c r="AS703" i="2"/>
  <c r="AX703" i="2" s="1"/>
  <c r="BG703" i="2" s="1"/>
  <c r="AI1075" i="2"/>
  <c r="AD1075" i="2"/>
  <c r="AN1075" i="2"/>
  <c r="X1075" i="2"/>
  <c r="AN1207" i="2"/>
  <c r="X1207" i="2"/>
  <c r="AI1207" i="2"/>
  <c r="AD1207" i="2"/>
  <c r="AD1202" i="2"/>
  <c r="AN1202" i="2"/>
  <c r="X1202" i="2"/>
  <c r="AI1202" i="2"/>
  <c r="AS1441" i="2"/>
  <c r="AX1441" i="2" s="1"/>
  <c r="BG1441" i="2" s="1"/>
  <c r="AN1451" i="2"/>
  <c r="X1451" i="2"/>
  <c r="AD1451" i="2"/>
  <c r="AI1451" i="2"/>
  <c r="AN1467" i="2"/>
  <c r="X1467" i="2"/>
  <c r="AD1467" i="2"/>
  <c r="AI1467" i="2"/>
  <c r="AS1766" i="2"/>
  <c r="AX1766" i="2" s="1"/>
  <c r="BG1766" i="2" s="1"/>
  <c r="AS1790" i="2"/>
  <c r="AX1790" i="2" s="1"/>
  <c r="BG1790" i="2" s="1"/>
  <c r="AS1814" i="2"/>
  <c r="AX1814" i="2" s="1"/>
  <c r="BG1814" i="2" s="1"/>
  <c r="AS1937" i="2"/>
  <c r="AX1937" i="2" s="1"/>
  <c r="BG1937" i="2" s="1"/>
  <c r="AS2058" i="2"/>
  <c r="AX2058" i="2" s="1"/>
  <c r="BG2058" i="2" s="1"/>
  <c r="AS2070" i="2"/>
  <c r="AX2070" i="2" s="1"/>
  <c r="BG2070" i="2" s="1"/>
  <c r="AS2082" i="2"/>
  <c r="AX2082" i="2" s="1"/>
  <c r="BG2082" i="2" s="1"/>
  <c r="AS2094" i="2"/>
  <c r="AX2094" i="2" s="1"/>
  <c r="BG2094" i="2" s="1"/>
  <c r="AS2106" i="2"/>
  <c r="AX2106" i="2" s="1"/>
  <c r="BG2106" i="2" s="1"/>
  <c r="AS2084" i="2"/>
  <c r="AX2084" i="2" s="1"/>
  <c r="BG2084" i="2" s="1"/>
  <c r="AS2442" i="2"/>
  <c r="AX2442" i="2" s="1"/>
  <c r="BG2442" i="2" s="1"/>
  <c r="AD1675" i="2"/>
  <c r="AN1675" i="2"/>
  <c r="X1675" i="2"/>
  <c r="AI1675" i="2"/>
  <c r="AD1687" i="2"/>
  <c r="AN1687" i="2"/>
  <c r="X1687" i="2"/>
  <c r="AI1687" i="2"/>
  <c r="AD1699" i="2"/>
  <c r="AN1699" i="2"/>
  <c r="X1699" i="2"/>
  <c r="AI1699" i="2"/>
  <c r="AD1715" i="2"/>
  <c r="AN1715" i="2"/>
  <c r="X1715" i="2"/>
  <c r="AI1715" i="2"/>
  <c r="AD1727" i="2"/>
  <c r="AN1727" i="2"/>
  <c r="X1727" i="2"/>
  <c r="AI1727" i="2"/>
  <c r="AD1743" i="2"/>
  <c r="AN1743" i="2"/>
  <c r="X1743" i="2"/>
  <c r="AI1743" i="2"/>
  <c r="AS397" i="2"/>
  <c r="AX397" i="2" s="1"/>
  <c r="BG397" i="2" s="1"/>
  <c r="AS421" i="2"/>
  <c r="AX421" i="2" s="1"/>
  <c r="BG421" i="2" s="1"/>
  <c r="AS469" i="2"/>
  <c r="AX469" i="2" s="1"/>
  <c r="BG469" i="2" s="1"/>
  <c r="AT428" i="2"/>
  <c r="AY428" i="2" s="1"/>
  <c r="BH428" i="2" s="1"/>
  <c r="AT492" i="2"/>
  <c r="AY492" i="2" s="1"/>
  <c r="BH492" i="2" s="1"/>
  <c r="AD102" i="2"/>
  <c r="AN102" i="2"/>
  <c r="AI102" i="2"/>
  <c r="X102" i="2"/>
  <c r="AS1091" i="2"/>
  <c r="AX1091" i="2" s="1"/>
  <c r="BG1091" i="2" s="1"/>
  <c r="AN2461" i="2"/>
  <c r="X2461" i="2"/>
  <c r="AI2461" i="2"/>
  <c r="AD2461" i="2"/>
  <c r="AN59" i="2"/>
  <c r="X59" i="2"/>
  <c r="AD59" i="2"/>
  <c r="AI59" i="2"/>
  <c r="AT240" i="2"/>
  <c r="AY240" i="2" s="1"/>
  <c r="BH240" i="2" s="1"/>
  <c r="AN1158" i="2"/>
  <c r="X1158" i="2"/>
  <c r="AI1158" i="2"/>
  <c r="AD1158" i="2"/>
  <c r="AN1174" i="2"/>
  <c r="X1174" i="2"/>
  <c r="AI1174" i="2"/>
  <c r="AD1174" i="2"/>
  <c r="AN2251" i="2"/>
  <c r="X2251" i="2"/>
  <c r="AD2251" i="2"/>
  <c r="AI2251" i="2"/>
  <c r="AN2201" i="2"/>
  <c r="X2201" i="2"/>
  <c r="AD2201" i="2"/>
  <c r="AI2201" i="2"/>
  <c r="AN2225" i="2"/>
  <c r="X2225" i="2"/>
  <c r="AD2225" i="2"/>
  <c r="AI2225" i="2"/>
  <c r="AN2249" i="2"/>
  <c r="X2249" i="2"/>
  <c r="AD2249" i="2"/>
  <c r="AI2249" i="2"/>
  <c r="AN2273" i="2"/>
  <c r="X2273" i="2"/>
  <c r="AD2273" i="2"/>
  <c r="AI2273" i="2"/>
  <c r="AN2297" i="2"/>
  <c r="X2297" i="2"/>
  <c r="AD2297" i="2"/>
  <c r="AI2297" i="2"/>
  <c r="AI2420" i="2"/>
  <c r="AD2420" i="2"/>
  <c r="AN2420" i="2"/>
  <c r="X2420" i="2"/>
  <c r="AS2448" i="2"/>
  <c r="AX2448" i="2" s="1"/>
  <c r="BG2448" i="2" s="1"/>
  <c r="AN43" i="2"/>
  <c r="X43" i="2"/>
  <c r="AD43" i="2"/>
  <c r="AI43" i="2"/>
  <c r="AS38" i="2"/>
  <c r="AX38" i="2" s="1"/>
  <c r="BG38" i="2" s="1"/>
  <c r="AS28" i="2"/>
  <c r="AX28" i="2" s="1"/>
  <c r="BG28" i="2" s="1"/>
  <c r="AS33" i="2"/>
  <c r="AX33" i="2" s="1"/>
  <c r="BG33" i="2" s="1"/>
  <c r="AS423" i="2"/>
  <c r="AX423" i="2" s="1"/>
  <c r="BG423" i="2" s="1"/>
  <c r="AD24" i="2"/>
  <c r="AN24" i="2"/>
  <c r="AI24" i="2"/>
  <c r="X24" i="2"/>
  <c r="AS1849" i="2"/>
  <c r="AX1849" i="2" s="1"/>
  <c r="BG1849" i="2" s="1"/>
  <c r="AN2193" i="2"/>
  <c r="X2193" i="2"/>
  <c r="AI2193" i="2"/>
  <c r="AD2193" i="2"/>
  <c r="AD2479" i="2"/>
  <c r="AN2479" i="2"/>
  <c r="X2479" i="2"/>
  <c r="AI2479" i="2"/>
  <c r="AD450" i="2"/>
  <c r="AN450" i="2"/>
  <c r="AI450" i="2"/>
  <c r="X450" i="2"/>
  <c r="AS1527" i="2"/>
  <c r="AX1527" i="2" s="1"/>
  <c r="BG1527" i="2" s="1"/>
  <c r="AS1648" i="2"/>
  <c r="AX1648" i="2" s="1"/>
  <c r="BG1648" i="2" s="1"/>
  <c r="AD474" i="2"/>
  <c r="AN474" i="2"/>
  <c r="AI474" i="2"/>
  <c r="X474" i="2"/>
  <c r="AS433" i="2"/>
  <c r="AX433" i="2" s="1"/>
  <c r="BG433" i="2" s="1"/>
  <c r="AS269" i="2"/>
  <c r="AX269" i="2" s="1"/>
  <c r="BG269" i="2" s="1"/>
  <c r="AS1234" i="2"/>
  <c r="AX1234" i="2" s="1"/>
  <c r="BG1234" i="2" s="1"/>
  <c r="AD1362" i="2"/>
  <c r="AN1362" i="2"/>
  <c r="X1362" i="2"/>
  <c r="AI1362" i="2"/>
  <c r="AS1598" i="2"/>
  <c r="AX1598" i="2" s="1"/>
  <c r="BG1598" i="2" s="1"/>
  <c r="AD1881" i="2"/>
  <c r="AN1881" i="2"/>
  <c r="X1881" i="2"/>
  <c r="AI1881" i="2"/>
  <c r="AS1913" i="2"/>
  <c r="AX1913" i="2" s="1"/>
  <c r="BG1913" i="2" s="1"/>
  <c r="AD1945" i="2"/>
  <c r="AN1945" i="2"/>
  <c r="X1945" i="2"/>
  <c r="AI1945" i="2"/>
  <c r="AS2398" i="2"/>
  <c r="AX2398" i="2" s="1"/>
  <c r="BG2398" i="2" s="1"/>
  <c r="AD2475" i="2"/>
  <c r="AN2475" i="2"/>
  <c r="X2475" i="2"/>
  <c r="AI2475" i="2"/>
  <c r="AD2477" i="2"/>
  <c r="AN2477" i="2"/>
  <c r="X2477" i="2"/>
  <c r="AI2477" i="2"/>
  <c r="AD138" i="2"/>
  <c r="AN138" i="2"/>
  <c r="AI138" i="2"/>
  <c r="X138" i="2"/>
  <c r="AT264" i="2"/>
  <c r="AY264" i="2" s="1"/>
  <c r="BH264" i="2" s="1"/>
  <c r="AN395" i="2"/>
  <c r="X395" i="2"/>
  <c r="AI395" i="2"/>
  <c r="AD395" i="2"/>
  <c r="AD438" i="2"/>
  <c r="AN438" i="2"/>
  <c r="AI438" i="2"/>
  <c r="X438" i="2"/>
  <c r="AS470" i="2"/>
  <c r="AX470" i="2" s="1"/>
  <c r="BG470" i="2" s="1"/>
  <c r="AI784" i="2"/>
  <c r="AN784" i="2"/>
  <c r="X784" i="2"/>
  <c r="AD784" i="2"/>
  <c r="AI848" i="2"/>
  <c r="AN848" i="2"/>
  <c r="X848" i="2"/>
  <c r="AD848" i="2"/>
  <c r="AN1229" i="2"/>
  <c r="X1229" i="2"/>
  <c r="AI1229" i="2"/>
  <c r="AD1229" i="2"/>
  <c r="AN1293" i="2"/>
  <c r="X1293" i="2"/>
  <c r="AI1293" i="2"/>
  <c r="AD1293" i="2"/>
  <c r="AN1357" i="2"/>
  <c r="X1357" i="2"/>
  <c r="AI1357" i="2"/>
  <c r="AD1357" i="2"/>
  <c r="AS1235" i="2"/>
  <c r="AX1235" i="2" s="1"/>
  <c r="BG1235" i="2" s="1"/>
  <c r="AS1299" i="2"/>
  <c r="AX1299" i="2" s="1"/>
  <c r="BG1299" i="2" s="1"/>
  <c r="AS1363" i="2"/>
  <c r="AX1363" i="2" s="1"/>
  <c r="BG1363" i="2" s="1"/>
  <c r="AS2079" i="2"/>
  <c r="AX2079" i="2" s="1"/>
  <c r="BG2079" i="2" s="1"/>
  <c r="AS2488" i="2"/>
  <c r="AX2488" i="2" s="1"/>
  <c r="BG2488" i="2" s="1"/>
  <c r="AS491" i="2"/>
  <c r="AX491" i="2" s="1"/>
  <c r="BG491" i="2" s="1"/>
  <c r="AI1097" i="2"/>
  <c r="AN1097" i="2"/>
  <c r="X1097" i="2"/>
  <c r="AD1097" i="2"/>
  <c r="AS1244" i="2"/>
  <c r="AX1244" i="2" s="1"/>
  <c r="BG1244" i="2" s="1"/>
  <c r="AD1504" i="2"/>
  <c r="AN1504" i="2"/>
  <c r="X1504" i="2"/>
  <c r="AI1504" i="2"/>
  <c r="AT1795" i="2"/>
  <c r="AY1795" i="2" s="1"/>
  <c r="BH1795" i="2" s="1"/>
  <c r="AI2172" i="2"/>
  <c r="AD2172" i="2"/>
  <c r="AN2172" i="2"/>
  <c r="X2172" i="2"/>
  <c r="AS455" i="2"/>
  <c r="AX455" i="2" s="1"/>
  <c r="BG455" i="2" s="1"/>
  <c r="AS249" i="2"/>
  <c r="AX249" i="2" s="1"/>
  <c r="BG249" i="2" s="1"/>
  <c r="AS419" i="2"/>
  <c r="AX419" i="2" s="1"/>
  <c r="BG419" i="2" s="1"/>
  <c r="AS261" i="2"/>
  <c r="AX261" i="2" s="1"/>
  <c r="BG261" i="2" s="1"/>
  <c r="AS824" i="2"/>
  <c r="AX824" i="2" s="1"/>
  <c r="BG824" i="2" s="1"/>
  <c r="AD1302" i="2"/>
  <c r="AN1302" i="2"/>
  <c r="X1302" i="2"/>
  <c r="AI1302" i="2"/>
  <c r="AS1537" i="2"/>
  <c r="AX1537" i="2" s="1"/>
  <c r="BG1537" i="2" s="1"/>
  <c r="AS1665" i="2"/>
  <c r="AX1665" i="2" s="1"/>
  <c r="BG1665" i="2" s="1"/>
  <c r="AS1667" i="2"/>
  <c r="AX1667" i="2" s="1"/>
  <c r="BG1667" i="2" s="1"/>
  <c r="AS2255" i="2"/>
  <c r="AX2255" i="2" s="1"/>
  <c r="BG2255" i="2" s="1"/>
  <c r="AD1282" i="2"/>
  <c r="AN1282" i="2"/>
  <c r="X1282" i="2"/>
  <c r="AI1282" i="2"/>
  <c r="AS1730" i="2"/>
  <c r="AX1730" i="2" s="1"/>
  <c r="BG1730" i="2" s="1"/>
  <c r="AD1861" i="2"/>
  <c r="AN1861" i="2"/>
  <c r="X1861" i="2"/>
  <c r="AI1861" i="2"/>
  <c r="AD1925" i="2"/>
  <c r="AN1925" i="2"/>
  <c r="X1925" i="2"/>
  <c r="AI1925" i="2"/>
  <c r="AD1989" i="2"/>
  <c r="AN1989" i="2"/>
  <c r="X1989" i="2"/>
  <c r="AI1989" i="2"/>
  <c r="AD1959" i="2"/>
  <c r="AN1959" i="2"/>
  <c r="X1959" i="2"/>
  <c r="AI1959" i="2"/>
  <c r="AD2059" i="2"/>
  <c r="AN2059" i="2"/>
  <c r="X2059" i="2"/>
  <c r="AI2059" i="2"/>
  <c r="AS2202" i="2"/>
  <c r="AX2202" i="2" s="1"/>
  <c r="BG2202" i="2" s="1"/>
  <c r="AS2206" i="2"/>
  <c r="AX2206" i="2" s="1"/>
  <c r="BG2206" i="2" s="1"/>
  <c r="AS2210" i="2"/>
  <c r="AX2210" i="2" s="1"/>
  <c r="BG2210" i="2" s="1"/>
  <c r="AS2214" i="2"/>
  <c r="AX2214" i="2" s="1"/>
  <c r="BG2214" i="2" s="1"/>
  <c r="AS2218" i="2"/>
  <c r="AX2218" i="2" s="1"/>
  <c r="BG2218" i="2" s="1"/>
  <c r="AS2222" i="2"/>
  <c r="AX2222" i="2" s="1"/>
  <c r="BG2222" i="2" s="1"/>
  <c r="AS2226" i="2"/>
  <c r="AX2226" i="2" s="1"/>
  <c r="BG2226" i="2" s="1"/>
  <c r="AS2230" i="2"/>
  <c r="AX2230" i="2" s="1"/>
  <c r="BG2230" i="2" s="1"/>
  <c r="AS2234" i="2"/>
  <c r="AX2234" i="2" s="1"/>
  <c r="BG2234" i="2" s="1"/>
  <c r="AS2238" i="2"/>
  <c r="AX2238" i="2" s="1"/>
  <c r="BG2238" i="2" s="1"/>
  <c r="AS2242" i="2"/>
  <c r="AX2242" i="2" s="1"/>
  <c r="BG2242" i="2" s="1"/>
  <c r="AS2246" i="2"/>
  <c r="AX2246" i="2" s="1"/>
  <c r="BG2246" i="2" s="1"/>
  <c r="AS2250" i="2"/>
  <c r="AX2250" i="2" s="1"/>
  <c r="BG2250" i="2" s="1"/>
  <c r="AS2254" i="2"/>
  <c r="AX2254" i="2" s="1"/>
  <c r="BG2254" i="2" s="1"/>
  <c r="AS2258" i="2"/>
  <c r="AX2258" i="2" s="1"/>
  <c r="BG2258" i="2" s="1"/>
  <c r="AS2262" i="2"/>
  <c r="AX2262" i="2" s="1"/>
  <c r="BG2262" i="2" s="1"/>
  <c r="AS2266" i="2"/>
  <c r="AX2266" i="2" s="1"/>
  <c r="BG2266" i="2" s="1"/>
  <c r="AS2270" i="2"/>
  <c r="AX2270" i="2" s="1"/>
  <c r="BG2270" i="2" s="1"/>
  <c r="AS2274" i="2"/>
  <c r="AX2274" i="2" s="1"/>
  <c r="BG2274" i="2" s="1"/>
  <c r="AS2278" i="2"/>
  <c r="AX2278" i="2" s="1"/>
  <c r="BG2278" i="2" s="1"/>
  <c r="AS2282" i="2"/>
  <c r="AX2282" i="2" s="1"/>
  <c r="BG2282" i="2" s="1"/>
  <c r="AS2286" i="2"/>
  <c r="AX2286" i="2" s="1"/>
  <c r="BG2286" i="2" s="1"/>
  <c r="AS2290" i="2"/>
  <c r="AX2290" i="2" s="1"/>
  <c r="BG2290" i="2" s="1"/>
  <c r="AS2294" i="2"/>
  <c r="AX2294" i="2" s="1"/>
  <c r="BG2294" i="2" s="1"/>
  <c r="AS2298" i="2"/>
  <c r="AX2298" i="2" s="1"/>
  <c r="BG2298" i="2" s="1"/>
  <c r="AS2302" i="2"/>
  <c r="AX2302" i="2" s="1"/>
  <c r="BG2302" i="2" s="1"/>
  <c r="AS2306" i="2"/>
  <c r="AX2306" i="2" s="1"/>
  <c r="BG2306" i="2" s="1"/>
  <c r="AS2310" i="2"/>
  <c r="AX2310" i="2" s="1"/>
  <c r="BG2310" i="2" s="1"/>
  <c r="AS2314" i="2"/>
  <c r="AX2314" i="2" s="1"/>
  <c r="BG2314" i="2" s="1"/>
  <c r="AS2406" i="2"/>
  <c r="AX2406" i="2" s="1"/>
  <c r="BG2406" i="2" s="1"/>
  <c r="AS60" i="2"/>
  <c r="AX60" i="2" s="1"/>
  <c r="BG60" i="2" s="1"/>
  <c r="AS327" i="2"/>
  <c r="AX327" i="2" s="1"/>
  <c r="BG327" i="2" s="1"/>
  <c r="AS335" i="2"/>
  <c r="AX335" i="2" s="1"/>
  <c r="BG335" i="2" s="1"/>
  <c r="AS343" i="2"/>
  <c r="AX343" i="2" s="1"/>
  <c r="BG343" i="2" s="1"/>
  <c r="AS351" i="2"/>
  <c r="AX351" i="2" s="1"/>
  <c r="BG351" i="2" s="1"/>
  <c r="AS359" i="2"/>
  <c r="AX359" i="2" s="1"/>
  <c r="BG359" i="2" s="1"/>
  <c r="AS367" i="2"/>
  <c r="AX367" i="2" s="1"/>
  <c r="BG367" i="2" s="1"/>
  <c r="AS375" i="2"/>
  <c r="AX375" i="2" s="1"/>
  <c r="BG375" i="2" s="1"/>
  <c r="AS383" i="2"/>
  <c r="AX383" i="2" s="1"/>
  <c r="BG383" i="2" s="1"/>
  <c r="AS391" i="2"/>
  <c r="AX391" i="2" s="1"/>
  <c r="BG391" i="2" s="1"/>
  <c r="AS399" i="2"/>
  <c r="AX399" i="2" s="1"/>
  <c r="BG399" i="2" s="1"/>
  <c r="AT116" i="2"/>
  <c r="AY116" i="2" s="1"/>
  <c r="BH116" i="2" s="1"/>
  <c r="AT132" i="2"/>
  <c r="AY132" i="2" s="1"/>
  <c r="BH132" i="2" s="1"/>
  <c r="AT148" i="2"/>
  <c r="AY148" i="2" s="1"/>
  <c r="BH148" i="2" s="1"/>
  <c r="AT164" i="2"/>
  <c r="AY164" i="2" s="1"/>
  <c r="BH164" i="2" s="1"/>
  <c r="AT180" i="2"/>
  <c r="AY180" i="2" s="1"/>
  <c r="BH180" i="2" s="1"/>
  <c r="AT196" i="2"/>
  <c r="AY196" i="2" s="1"/>
  <c r="BH196" i="2" s="1"/>
  <c r="AS543" i="2"/>
  <c r="AX543" i="2" s="1"/>
  <c r="BG543" i="2" s="1"/>
  <c r="AD382" i="2"/>
  <c r="AN382" i="2"/>
  <c r="AI382" i="2"/>
  <c r="X382" i="2"/>
  <c r="AS1079" i="2"/>
  <c r="AX1079" i="2" s="1"/>
  <c r="BG1079" i="2" s="1"/>
  <c r="AS1262" i="2"/>
  <c r="AX1262" i="2" s="1"/>
  <c r="BG1262" i="2" s="1"/>
  <c r="AD1440" i="2"/>
  <c r="AN1440" i="2"/>
  <c r="X1440" i="2"/>
  <c r="AI1440" i="2"/>
  <c r="AO1759" i="2"/>
  <c r="AJ1759" i="2"/>
  <c r="AE1759" i="2"/>
  <c r="AS2191" i="2"/>
  <c r="AX2191" i="2" s="1"/>
  <c r="BG2191" i="2" s="1"/>
  <c r="AN2203" i="2"/>
  <c r="X2203" i="2"/>
  <c r="AD2203" i="2"/>
  <c r="AI2203" i="2"/>
  <c r="AN2235" i="2"/>
  <c r="X2235" i="2"/>
  <c r="AD2235" i="2"/>
  <c r="AI2235" i="2"/>
  <c r="AN2267" i="2"/>
  <c r="X2267" i="2"/>
  <c r="AD2267" i="2"/>
  <c r="AI2267" i="2"/>
  <c r="AD122" i="2"/>
  <c r="AN122" i="2"/>
  <c r="AI122" i="2"/>
  <c r="X122" i="2"/>
  <c r="AD322" i="2"/>
  <c r="AI322" i="2"/>
  <c r="X322" i="2"/>
  <c r="AN322" i="2"/>
  <c r="AS449" i="2"/>
  <c r="AX449" i="2" s="1"/>
  <c r="BG449" i="2" s="1"/>
  <c r="AS227" i="2"/>
  <c r="AX227" i="2" s="1"/>
  <c r="BG227" i="2" s="1"/>
  <c r="AS291" i="2"/>
  <c r="AX291" i="2" s="1"/>
  <c r="BG291" i="2" s="1"/>
  <c r="AS653" i="2"/>
  <c r="AX653" i="2" s="1"/>
  <c r="BG653" i="2" s="1"/>
  <c r="AS717" i="2"/>
  <c r="AX717" i="2" s="1"/>
  <c r="BG717" i="2" s="1"/>
  <c r="AS719" i="2"/>
  <c r="AX719" i="2" s="1"/>
  <c r="BG719" i="2" s="1"/>
  <c r="AS721" i="2"/>
  <c r="AX721" i="2" s="1"/>
  <c r="BG721" i="2" s="1"/>
  <c r="AS723" i="2"/>
  <c r="AX723" i="2" s="1"/>
  <c r="BG723" i="2" s="1"/>
  <c r="AS725" i="2"/>
  <c r="AX725" i="2" s="1"/>
  <c r="BG725" i="2" s="1"/>
  <c r="AS1046" i="2"/>
  <c r="AX1046" i="2" s="1"/>
  <c r="BG1046" i="2" s="1"/>
  <c r="AS1289" i="2"/>
  <c r="AX1289" i="2" s="1"/>
  <c r="BG1289" i="2" s="1"/>
  <c r="AS1247" i="2"/>
  <c r="AX1247" i="2" s="1"/>
  <c r="BG1247" i="2" s="1"/>
  <c r="AD1354" i="2"/>
  <c r="AN1354" i="2"/>
  <c r="X1354" i="2"/>
  <c r="AI1354" i="2"/>
  <c r="AN1397" i="2"/>
  <c r="X1397" i="2"/>
  <c r="AD1397" i="2"/>
  <c r="AI1397" i="2"/>
  <c r="AS1619" i="2"/>
  <c r="AX1619" i="2" s="1"/>
  <c r="BG1619" i="2" s="1"/>
  <c r="AD1644" i="2"/>
  <c r="AN1644" i="2"/>
  <c r="X1644" i="2"/>
  <c r="AI1644" i="2"/>
  <c r="AS1486" i="2"/>
  <c r="AX1486" i="2" s="1"/>
  <c r="BG1486" i="2" s="1"/>
  <c r="AS1488" i="2"/>
  <c r="AX1488" i="2" s="1"/>
  <c r="BG1488" i="2" s="1"/>
  <c r="AN1629" i="2"/>
  <c r="X1629" i="2"/>
  <c r="AI1629" i="2"/>
  <c r="AD1629" i="2"/>
  <c r="AS1654" i="2"/>
  <c r="AX1654" i="2" s="1"/>
  <c r="BG1654" i="2" s="1"/>
  <c r="AS2161" i="2"/>
  <c r="AX2161" i="2" s="1"/>
  <c r="BG2161" i="2" s="1"/>
  <c r="AT332" i="2"/>
  <c r="AY332" i="2" s="1"/>
  <c r="BH332" i="2" s="1"/>
  <c r="AD1396" i="2"/>
  <c r="AN1396" i="2"/>
  <c r="X1396" i="2"/>
  <c r="AI1396" i="2"/>
  <c r="AD1400" i="2"/>
  <c r="AN1400" i="2"/>
  <c r="X1400" i="2"/>
  <c r="AI1400" i="2"/>
  <c r="AD1404" i="2"/>
  <c r="AN1404" i="2"/>
  <c r="X1404" i="2"/>
  <c r="AI1404" i="2"/>
  <c r="AD1408" i="2"/>
  <c r="AN1408" i="2"/>
  <c r="X1408" i="2"/>
  <c r="AI1408" i="2"/>
  <c r="AD1412" i="2"/>
  <c r="AN1412" i="2"/>
  <c r="X1412" i="2"/>
  <c r="AI1412" i="2"/>
  <c r="AD1416" i="2"/>
  <c r="AN1416" i="2"/>
  <c r="X1416" i="2"/>
  <c r="AI1416" i="2"/>
  <c r="AD1420" i="2"/>
  <c r="AN1420" i="2"/>
  <c r="X1420" i="2"/>
  <c r="AI1420" i="2"/>
  <c r="AD1424" i="2"/>
  <c r="AN1424" i="2"/>
  <c r="X1424" i="2"/>
  <c r="AI1424" i="2"/>
  <c r="AD1428" i="2"/>
  <c r="AN1428" i="2"/>
  <c r="X1428" i="2"/>
  <c r="AI1428" i="2"/>
  <c r="AD1432" i="2"/>
  <c r="AN1432" i="2"/>
  <c r="X1432" i="2"/>
  <c r="AI1432" i="2"/>
  <c r="AD1436" i="2"/>
  <c r="AN1436" i="2"/>
  <c r="X1436" i="2"/>
  <c r="AI1436" i="2"/>
  <c r="AS203" i="2"/>
  <c r="AX203" i="2" s="1"/>
  <c r="BG203" i="2" s="1"/>
  <c r="AN265" i="2"/>
  <c r="X265" i="2"/>
  <c r="AD265" i="2"/>
  <c r="AI265" i="2"/>
  <c r="AS520" i="2"/>
  <c r="AX520" i="2" s="1"/>
  <c r="BG520" i="2" s="1"/>
  <c r="AI730" i="2"/>
  <c r="AN730" i="2"/>
  <c r="X730" i="2"/>
  <c r="AD730" i="2"/>
  <c r="AI746" i="2"/>
  <c r="AN746" i="2"/>
  <c r="X746" i="2"/>
  <c r="AD746" i="2"/>
  <c r="AI762" i="2"/>
  <c r="AN762" i="2"/>
  <c r="X762" i="2"/>
  <c r="AD762" i="2"/>
  <c r="AI778" i="2"/>
  <c r="AN778" i="2"/>
  <c r="X778" i="2"/>
  <c r="AD778" i="2"/>
  <c r="AI794" i="2"/>
  <c r="AN794" i="2"/>
  <c r="X794" i="2"/>
  <c r="AD794" i="2"/>
  <c r="AI810" i="2"/>
  <c r="AN810" i="2"/>
  <c r="X810" i="2"/>
  <c r="AD810" i="2"/>
  <c r="AI826" i="2"/>
  <c r="AN826" i="2"/>
  <c r="X826" i="2"/>
  <c r="AD826" i="2"/>
  <c r="AI842" i="2"/>
  <c r="AN842" i="2"/>
  <c r="X842" i="2"/>
  <c r="AD842" i="2"/>
  <c r="AI858" i="2"/>
  <c r="AN858" i="2"/>
  <c r="X858" i="2"/>
  <c r="AD858" i="2"/>
  <c r="AI874" i="2"/>
  <c r="AN874" i="2"/>
  <c r="X874" i="2"/>
  <c r="AD874" i="2"/>
  <c r="AI777" i="2"/>
  <c r="AN777" i="2"/>
  <c r="X777" i="2"/>
  <c r="AD777" i="2"/>
  <c r="AT2020" i="2"/>
  <c r="AY2020" i="2" s="1"/>
  <c r="BH2020" i="2" s="1"/>
  <c r="AN2169" i="2"/>
  <c r="X2169" i="2"/>
  <c r="AI2169" i="2"/>
  <c r="AD2169" i="2"/>
  <c r="AN431" i="2"/>
  <c r="X431" i="2"/>
  <c r="AI431" i="2"/>
  <c r="AD431" i="2"/>
  <c r="AN209" i="2"/>
  <c r="X209" i="2"/>
  <c r="AI209" i="2"/>
  <c r="AD209" i="2"/>
  <c r="AN267" i="2"/>
  <c r="X267" i="2"/>
  <c r="AI267" i="2"/>
  <c r="AD267" i="2"/>
  <c r="AN273" i="2"/>
  <c r="X273" i="2"/>
  <c r="AI273" i="2"/>
  <c r="AD273" i="2"/>
  <c r="AN417" i="2"/>
  <c r="X417" i="2"/>
  <c r="AI417" i="2"/>
  <c r="AD417" i="2"/>
  <c r="AN103" i="2"/>
  <c r="X103" i="2"/>
  <c r="AI103" i="2"/>
  <c r="AD103" i="2"/>
  <c r="AN167" i="2"/>
  <c r="X167" i="2"/>
  <c r="AI167" i="2"/>
  <c r="AD167" i="2"/>
  <c r="AD310" i="2"/>
  <c r="AN310" i="2"/>
  <c r="AI310" i="2"/>
  <c r="X310" i="2"/>
  <c r="AD529" i="2"/>
  <c r="AN529" i="2"/>
  <c r="X529" i="2"/>
  <c r="AI529" i="2"/>
  <c r="AS1490" i="2"/>
  <c r="AX1490" i="2" s="1"/>
  <c r="BG1490" i="2" s="1"/>
  <c r="AS1494" i="2"/>
  <c r="AX1494" i="2" s="1"/>
  <c r="BG1494" i="2" s="1"/>
  <c r="AS1498" i="2"/>
  <c r="AX1498" i="2" s="1"/>
  <c r="BG1498" i="2" s="1"/>
  <c r="AS1508" i="2"/>
  <c r="AX1508" i="2" s="1"/>
  <c r="BG1508" i="2" s="1"/>
  <c r="AS1512" i="2"/>
  <c r="AX1512" i="2" s="1"/>
  <c r="BG1512" i="2" s="1"/>
  <c r="AS1516" i="2"/>
  <c r="AX1516" i="2" s="1"/>
  <c r="BG1516" i="2" s="1"/>
  <c r="AS1520" i="2"/>
  <c r="AX1520" i="2" s="1"/>
  <c r="BG1520" i="2" s="1"/>
  <c r="AS1524" i="2"/>
  <c r="AX1524" i="2" s="1"/>
  <c r="BG1524" i="2" s="1"/>
  <c r="AS1528" i="2"/>
  <c r="AX1528" i="2" s="1"/>
  <c r="BG1528" i="2" s="1"/>
  <c r="AS1532" i="2"/>
  <c r="AX1532" i="2" s="1"/>
  <c r="BG1532" i="2" s="1"/>
  <c r="AS1536" i="2"/>
  <c r="AX1536" i="2" s="1"/>
  <c r="BG1536" i="2" s="1"/>
  <c r="AS1540" i="2"/>
  <c r="AX1540" i="2" s="1"/>
  <c r="BG1540" i="2" s="1"/>
  <c r="AS1544" i="2"/>
  <c r="AX1544" i="2" s="1"/>
  <c r="BG1544" i="2" s="1"/>
  <c r="AS1403" i="2"/>
  <c r="AX1403" i="2" s="1"/>
  <c r="BG1403" i="2" s="1"/>
  <c r="AN1579" i="2"/>
  <c r="X1579" i="2"/>
  <c r="AD1579" i="2"/>
  <c r="AI1579" i="2"/>
  <c r="AS1641" i="2"/>
  <c r="AX1641" i="2" s="1"/>
  <c r="BG1641" i="2" s="1"/>
  <c r="AD1666" i="2"/>
  <c r="AN1666" i="2"/>
  <c r="X1666" i="2"/>
  <c r="AI1666" i="2"/>
  <c r="AN1668" i="2"/>
  <c r="AD1668" i="2"/>
  <c r="AI1668" i="2"/>
  <c r="X1668" i="2"/>
  <c r="AS1776" i="2"/>
  <c r="AX1776" i="2" s="1"/>
  <c r="BG1776" i="2" s="1"/>
  <c r="AD2047" i="2"/>
  <c r="AN2047" i="2"/>
  <c r="X2047" i="2"/>
  <c r="AI2047" i="2"/>
  <c r="AN2494" i="2"/>
  <c r="X2494" i="2"/>
  <c r="AD2494" i="2"/>
  <c r="AI2494" i="2"/>
  <c r="AS441" i="2"/>
  <c r="AX441" i="2" s="1"/>
  <c r="BG441" i="2" s="1"/>
  <c r="AD98" i="2"/>
  <c r="AI98" i="2"/>
  <c r="AN98" i="2"/>
  <c r="X98" i="2"/>
  <c r="AI739" i="2"/>
  <c r="AD739" i="2"/>
  <c r="AN739" i="2"/>
  <c r="X739" i="2"/>
  <c r="AI755" i="2"/>
  <c r="AD755" i="2"/>
  <c r="AN755" i="2"/>
  <c r="X755" i="2"/>
  <c r="AI771" i="2"/>
  <c r="AD771" i="2"/>
  <c r="AN771" i="2"/>
  <c r="X771" i="2"/>
  <c r="AI787" i="2"/>
  <c r="AD787" i="2"/>
  <c r="AN787" i="2"/>
  <c r="X787" i="2"/>
  <c r="AI803" i="2"/>
  <c r="AD803" i="2"/>
  <c r="AN803" i="2"/>
  <c r="X803" i="2"/>
  <c r="AI819" i="2"/>
  <c r="AD819" i="2"/>
  <c r="AN819" i="2"/>
  <c r="X819" i="2"/>
  <c r="AI835" i="2"/>
  <c r="AD835" i="2"/>
  <c r="AN835" i="2"/>
  <c r="X835" i="2"/>
  <c r="AI851" i="2"/>
  <c r="AD851" i="2"/>
  <c r="AN851" i="2"/>
  <c r="X851" i="2"/>
  <c r="AI867" i="2"/>
  <c r="AD867" i="2"/>
  <c r="AN867" i="2"/>
  <c r="X867" i="2"/>
  <c r="AI883" i="2"/>
  <c r="AD883" i="2"/>
  <c r="AN883" i="2"/>
  <c r="X883" i="2"/>
  <c r="AI737" i="2"/>
  <c r="AN737" i="2"/>
  <c r="X737" i="2"/>
  <c r="AD737" i="2"/>
  <c r="AI769" i="2"/>
  <c r="AN769" i="2"/>
  <c r="X769" i="2"/>
  <c r="AD769" i="2"/>
  <c r="AI801" i="2"/>
  <c r="AN801" i="2"/>
  <c r="X801" i="2"/>
  <c r="AD801" i="2"/>
  <c r="AI833" i="2"/>
  <c r="AN833" i="2"/>
  <c r="X833" i="2"/>
  <c r="AD833" i="2"/>
  <c r="AI865" i="2"/>
  <c r="AN865" i="2"/>
  <c r="X865" i="2"/>
  <c r="AD865" i="2"/>
  <c r="AN3" i="2"/>
  <c r="X3" i="2"/>
  <c r="AD3" i="2"/>
  <c r="AI3" i="2"/>
  <c r="AS190" i="2"/>
  <c r="AX190" i="2" s="1"/>
  <c r="BG190" i="2" s="1"/>
  <c r="AN235" i="2"/>
  <c r="X235" i="2"/>
  <c r="AI235" i="2"/>
  <c r="AD235" i="2"/>
  <c r="AN241" i="2"/>
  <c r="X241" i="2"/>
  <c r="AI241" i="2"/>
  <c r="AD241" i="2"/>
  <c r="AN447" i="2"/>
  <c r="X447" i="2"/>
  <c r="AI447" i="2"/>
  <c r="AD447" i="2"/>
  <c r="AI1042" i="2"/>
  <c r="AD1042" i="2"/>
  <c r="AN1042" i="2"/>
  <c r="X1042" i="2"/>
  <c r="AD1224" i="2"/>
  <c r="AN1224" i="2"/>
  <c r="X1224" i="2"/>
  <c r="AI1224" i="2"/>
  <c r="AD1288" i="2"/>
  <c r="AN1288" i="2"/>
  <c r="X1288" i="2"/>
  <c r="AI1288" i="2"/>
  <c r="AD1352" i="2"/>
  <c r="AN1352" i="2"/>
  <c r="X1352" i="2"/>
  <c r="AI1352" i="2"/>
  <c r="AD1600" i="2"/>
  <c r="AN1600" i="2"/>
  <c r="X1600" i="2"/>
  <c r="AI1600" i="2"/>
  <c r="AN1378" i="2"/>
  <c r="X1378" i="2"/>
  <c r="AI1378" i="2"/>
  <c r="AD1378" i="2"/>
  <c r="AS1658" i="2"/>
  <c r="AX1658" i="2" s="1"/>
  <c r="BG1658" i="2" s="1"/>
  <c r="AI1816" i="2"/>
  <c r="AD1816" i="2"/>
  <c r="X1816" i="2"/>
  <c r="AN1816" i="2"/>
  <c r="AS1672" i="2"/>
  <c r="AX1672" i="2" s="1"/>
  <c r="BG1672" i="2" s="1"/>
  <c r="AS1676" i="2"/>
  <c r="AX1676" i="2" s="1"/>
  <c r="BG1676" i="2" s="1"/>
  <c r="AS1680" i="2"/>
  <c r="AX1680" i="2" s="1"/>
  <c r="BG1680" i="2" s="1"/>
  <c r="AS1684" i="2"/>
  <c r="AX1684" i="2" s="1"/>
  <c r="BG1684" i="2" s="1"/>
  <c r="AS1688" i="2"/>
  <c r="AX1688" i="2" s="1"/>
  <c r="BG1688" i="2" s="1"/>
  <c r="AS1692" i="2"/>
  <c r="AX1692" i="2" s="1"/>
  <c r="BG1692" i="2" s="1"/>
  <c r="AS1696" i="2"/>
  <c r="AX1696" i="2" s="1"/>
  <c r="BG1696" i="2" s="1"/>
  <c r="AS1700" i="2"/>
  <c r="AX1700" i="2" s="1"/>
  <c r="BG1700" i="2" s="1"/>
  <c r="AS1704" i="2"/>
  <c r="AX1704" i="2" s="1"/>
  <c r="BG1704" i="2" s="1"/>
  <c r="AS1708" i="2"/>
  <c r="AX1708" i="2" s="1"/>
  <c r="BG1708" i="2" s="1"/>
  <c r="AS1712" i="2"/>
  <c r="AX1712" i="2" s="1"/>
  <c r="BG1712" i="2" s="1"/>
  <c r="AS1716" i="2"/>
  <c r="AX1716" i="2" s="1"/>
  <c r="BG1716" i="2" s="1"/>
  <c r="AS1720" i="2"/>
  <c r="AX1720" i="2" s="1"/>
  <c r="BG1720" i="2" s="1"/>
  <c r="AS1724" i="2"/>
  <c r="AX1724" i="2" s="1"/>
  <c r="BG1724" i="2" s="1"/>
  <c r="AS1728" i="2"/>
  <c r="AX1728" i="2" s="1"/>
  <c r="BG1728" i="2" s="1"/>
  <c r="AS1732" i="2"/>
  <c r="AX1732" i="2" s="1"/>
  <c r="BG1732" i="2" s="1"/>
  <c r="AS1736" i="2"/>
  <c r="AX1736" i="2" s="1"/>
  <c r="BG1736" i="2" s="1"/>
  <c r="AS1740" i="2"/>
  <c r="AX1740" i="2" s="1"/>
  <c r="BG1740" i="2" s="1"/>
  <c r="AS1744" i="2"/>
  <c r="AX1744" i="2" s="1"/>
  <c r="BG1744" i="2" s="1"/>
  <c r="AS1748" i="2"/>
  <c r="AX1748" i="2" s="1"/>
  <c r="BG1748" i="2" s="1"/>
  <c r="AS1752" i="2"/>
  <c r="AX1752" i="2" s="1"/>
  <c r="BG1752" i="2" s="1"/>
  <c r="AS1756" i="2"/>
  <c r="AX1756" i="2" s="1"/>
  <c r="BG1756" i="2" s="1"/>
  <c r="AN2189" i="2"/>
  <c r="X2189" i="2"/>
  <c r="AI2189" i="2"/>
  <c r="AD2189" i="2"/>
  <c r="AS411" i="2"/>
  <c r="AX411" i="2" s="1"/>
  <c r="BG411" i="2" s="1"/>
  <c r="AS301" i="2"/>
  <c r="AX301" i="2" s="1"/>
  <c r="BG301" i="2" s="1"/>
  <c r="AT1771" i="2"/>
  <c r="AY1771" i="2" s="1"/>
  <c r="BH1771" i="2" s="1"/>
  <c r="AS2145" i="2"/>
  <c r="AX2145" i="2" s="1"/>
  <c r="BG2145" i="2" s="1"/>
  <c r="AN47" i="2"/>
  <c r="X47" i="2"/>
  <c r="AI47" i="2"/>
  <c r="AD47" i="2"/>
  <c r="AS742" i="2"/>
  <c r="AX742" i="2" s="1"/>
  <c r="BG742" i="2" s="1"/>
  <c r="AS758" i="2"/>
  <c r="AX758" i="2" s="1"/>
  <c r="BG758" i="2" s="1"/>
  <c r="AS774" i="2"/>
  <c r="AX774" i="2" s="1"/>
  <c r="BG774" i="2" s="1"/>
  <c r="AS790" i="2"/>
  <c r="AX790" i="2" s="1"/>
  <c r="BG790" i="2" s="1"/>
  <c r="AS806" i="2"/>
  <c r="AX806" i="2" s="1"/>
  <c r="BG806" i="2" s="1"/>
  <c r="AS822" i="2"/>
  <c r="AX822" i="2" s="1"/>
  <c r="BG822" i="2" s="1"/>
  <c r="AS838" i="2"/>
  <c r="AX838" i="2" s="1"/>
  <c r="BG838" i="2" s="1"/>
  <c r="AS854" i="2"/>
  <c r="AX854" i="2" s="1"/>
  <c r="BG854" i="2" s="1"/>
  <c r="AS870" i="2"/>
  <c r="AX870" i="2" s="1"/>
  <c r="BG870" i="2" s="1"/>
  <c r="AT1807" i="2"/>
  <c r="AY1807" i="2" s="1"/>
  <c r="BH1807" i="2" s="1"/>
  <c r="AS2110" i="2"/>
  <c r="AX2110" i="2" s="1"/>
  <c r="BG2110" i="2" s="1"/>
  <c r="AS2159" i="2"/>
  <c r="AX2159" i="2" s="1"/>
  <c r="BG2159" i="2" s="1"/>
  <c r="AT176" i="2"/>
  <c r="AY176" i="2" s="1"/>
  <c r="BH176" i="2" s="1"/>
  <c r="AD146" i="2"/>
  <c r="AI146" i="2"/>
  <c r="X146" i="2"/>
  <c r="AN146" i="2"/>
  <c r="AT288" i="2"/>
  <c r="AY288" i="2" s="1"/>
  <c r="BH288" i="2" s="1"/>
  <c r="AN29" i="2"/>
  <c r="X29" i="2"/>
  <c r="AD29" i="2"/>
  <c r="AI29" i="2"/>
  <c r="AE18" i="2"/>
  <c r="AJ18" i="2"/>
  <c r="AO18" i="2"/>
  <c r="AO176" i="2"/>
  <c r="AE176" i="2"/>
  <c r="AJ176" i="2"/>
  <c r="AO288" i="2"/>
  <c r="AJ288" i="2"/>
  <c r="AE288" i="2"/>
  <c r="AS302" i="2"/>
  <c r="AX302" i="2" s="1"/>
  <c r="BG302" i="2" s="1"/>
  <c r="AS629" i="2"/>
  <c r="AX629" i="2" s="1"/>
  <c r="BG629" i="2" s="1"/>
  <c r="AS645" i="2"/>
  <c r="AX645" i="2" s="1"/>
  <c r="BG645" i="2" s="1"/>
  <c r="AS661" i="2"/>
  <c r="AX661" i="2" s="1"/>
  <c r="BG661" i="2" s="1"/>
  <c r="AS677" i="2"/>
  <c r="AX677" i="2" s="1"/>
  <c r="BG677" i="2" s="1"/>
  <c r="AS693" i="2"/>
  <c r="AX693" i="2" s="1"/>
  <c r="BG693" i="2" s="1"/>
  <c r="AS709" i="2"/>
  <c r="AX709" i="2" s="1"/>
  <c r="BG709" i="2" s="1"/>
  <c r="AS1215" i="2"/>
  <c r="AX1215" i="2" s="1"/>
  <c r="BG1215" i="2" s="1"/>
  <c r="AS1279" i="2"/>
  <c r="AX1279" i="2" s="1"/>
  <c r="BG1279" i="2" s="1"/>
  <c r="AS1343" i="2"/>
  <c r="AX1343" i="2" s="1"/>
  <c r="BG1343" i="2" s="1"/>
  <c r="AS1661" i="2"/>
  <c r="AX1661" i="2" s="1"/>
  <c r="BG1661" i="2" s="1"/>
  <c r="AI1813" i="2"/>
  <c r="X1813" i="2"/>
  <c r="AN1813" i="2"/>
  <c r="AD1813" i="2"/>
  <c r="AS2092" i="2"/>
  <c r="AX2092" i="2" s="1"/>
  <c r="BG2092" i="2" s="1"/>
  <c r="AN1205" i="2"/>
  <c r="X1205" i="2"/>
  <c r="AI1205" i="2"/>
  <c r="AD1205" i="2"/>
  <c r="AN1269" i="2"/>
  <c r="X1269" i="2"/>
  <c r="AI1269" i="2"/>
  <c r="AD1269" i="2"/>
  <c r="AN1333" i="2"/>
  <c r="X1333" i="2"/>
  <c r="AI1333" i="2"/>
  <c r="AD1333" i="2"/>
  <c r="AN1511" i="2"/>
  <c r="X1511" i="2"/>
  <c r="AD1511" i="2"/>
  <c r="AI1511" i="2"/>
  <c r="AI1848" i="2"/>
  <c r="AD1848" i="2"/>
  <c r="AN1848" i="2"/>
  <c r="X1848" i="2"/>
  <c r="AS2096" i="2"/>
  <c r="AX2096" i="2" s="1"/>
  <c r="BG2096" i="2" s="1"/>
  <c r="AI2198" i="2"/>
  <c r="AD2198" i="2"/>
  <c r="AN2198" i="2"/>
  <c r="X2198" i="2"/>
  <c r="AE20" i="2"/>
  <c r="AJ20" i="2"/>
  <c r="AO20" i="2"/>
  <c r="AD276" i="2"/>
  <c r="AN276" i="2"/>
  <c r="AI276" i="2"/>
  <c r="X276" i="2"/>
  <c r="AS290" i="2"/>
  <c r="AX290" i="2" s="1"/>
  <c r="BG290" i="2" s="1"/>
  <c r="AN538" i="2"/>
  <c r="X538" i="2"/>
  <c r="AI538" i="2"/>
  <c r="AD538" i="2"/>
  <c r="AS647" i="2"/>
  <c r="AX647" i="2" s="1"/>
  <c r="BG647" i="2" s="1"/>
  <c r="AS711" i="2"/>
  <c r="AX711" i="2" s="1"/>
  <c r="BG711" i="2" s="1"/>
  <c r="AI1048" i="2"/>
  <c r="AD1048" i="2"/>
  <c r="AN1048" i="2"/>
  <c r="X1048" i="2"/>
  <c r="AI1137" i="2"/>
  <c r="AN1137" i="2"/>
  <c r="X1137" i="2"/>
  <c r="AD1137" i="2"/>
  <c r="AS1569" i="2"/>
  <c r="AX1569" i="2" s="1"/>
  <c r="BG1569" i="2" s="1"/>
  <c r="AN1611" i="2"/>
  <c r="X1611" i="2"/>
  <c r="AI1611" i="2"/>
  <c r="AD1611" i="2"/>
  <c r="AN1449" i="2"/>
  <c r="X1449" i="2"/>
  <c r="AD1449" i="2"/>
  <c r="AI1449" i="2"/>
  <c r="AN1465" i="2"/>
  <c r="X1465" i="2"/>
  <c r="AD1465" i="2"/>
  <c r="AI1465" i="2"/>
  <c r="AN1637" i="2"/>
  <c r="X1637" i="2"/>
  <c r="AI1637" i="2"/>
  <c r="AD1637" i="2"/>
  <c r="AS2196" i="2"/>
  <c r="AX2196" i="2" s="1"/>
  <c r="BG2196" i="2" s="1"/>
  <c r="AN2329" i="2"/>
  <c r="X2329" i="2"/>
  <c r="AI2329" i="2"/>
  <c r="AD2329" i="2"/>
  <c r="AN2337" i="2"/>
  <c r="X2337" i="2"/>
  <c r="AI2337" i="2"/>
  <c r="AD2337" i="2"/>
  <c r="AN2353" i="2"/>
  <c r="X2353" i="2"/>
  <c r="AI2353" i="2"/>
  <c r="AD2353" i="2"/>
  <c r="AN2369" i="2"/>
  <c r="X2369" i="2"/>
  <c r="AI2369" i="2"/>
  <c r="AD2369" i="2"/>
  <c r="AN2377" i="2"/>
  <c r="X2377" i="2"/>
  <c r="AI2377" i="2"/>
  <c r="AD2377" i="2"/>
  <c r="AS2500" i="2"/>
  <c r="AX2500" i="2" s="1"/>
  <c r="BG2500" i="2" s="1"/>
  <c r="AN161" i="2"/>
  <c r="X161" i="2"/>
  <c r="AI161" i="2"/>
  <c r="AD161" i="2"/>
  <c r="AN51" i="2"/>
  <c r="X51" i="2"/>
  <c r="AI51" i="2"/>
  <c r="AD51" i="2"/>
  <c r="AN363" i="2"/>
  <c r="X363" i="2"/>
  <c r="AI363" i="2"/>
  <c r="AD363" i="2"/>
  <c r="AD1214" i="2"/>
  <c r="AN1214" i="2"/>
  <c r="X1214" i="2"/>
  <c r="AI1214" i="2"/>
  <c r="AD1278" i="2"/>
  <c r="AN1278" i="2"/>
  <c r="X1278" i="2"/>
  <c r="AI1278" i="2"/>
  <c r="AS1479" i="2"/>
  <c r="AX1479" i="2" s="1"/>
  <c r="BG1479" i="2" s="1"/>
  <c r="AD1379" i="2"/>
  <c r="AI1379" i="2"/>
  <c r="AN1379" i="2"/>
  <c r="X1379" i="2"/>
  <c r="AN1571" i="2"/>
  <c r="X1571" i="2"/>
  <c r="AD1571" i="2"/>
  <c r="AI1571" i="2"/>
  <c r="AS1854" i="2"/>
  <c r="AX1854" i="2" s="1"/>
  <c r="BG1854" i="2" s="1"/>
  <c r="AS2056" i="2"/>
  <c r="AX2056" i="2" s="1"/>
  <c r="BG2056" i="2" s="1"/>
  <c r="AS2227" i="2"/>
  <c r="AX2227" i="2" s="1"/>
  <c r="BG2227" i="2" s="1"/>
  <c r="AS2259" i="2"/>
  <c r="AX2259" i="2" s="1"/>
  <c r="BG2259" i="2" s="1"/>
  <c r="AS2291" i="2"/>
  <c r="AX2291" i="2" s="1"/>
  <c r="BG2291" i="2" s="1"/>
  <c r="AS2299" i="2"/>
  <c r="AX2299" i="2" s="1"/>
  <c r="BG2299" i="2" s="1"/>
  <c r="AS2307" i="2"/>
  <c r="AX2307" i="2" s="1"/>
  <c r="BG2307" i="2" s="1"/>
  <c r="AN2476" i="2"/>
  <c r="X2476" i="2"/>
  <c r="AD2476" i="2"/>
  <c r="AI2476" i="2"/>
  <c r="AS2344" i="2"/>
  <c r="AX2344" i="2" s="1"/>
  <c r="BG2344" i="2" s="1"/>
  <c r="AS2376" i="2"/>
  <c r="AX2376" i="2" s="1"/>
  <c r="BG2376" i="2" s="1"/>
  <c r="AS2384" i="2"/>
  <c r="AX2384" i="2" s="1"/>
  <c r="BG2384" i="2" s="1"/>
  <c r="AS314" i="2"/>
  <c r="AX314" i="2" s="1"/>
  <c r="BG314" i="2" s="1"/>
  <c r="AD551" i="2"/>
  <c r="AN551" i="2"/>
  <c r="X551" i="2"/>
  <c r="AI551" i="2"/>
  <c r="AS326" i="2"/>
  <c r="AX326" i="2" s="1"/>
  <c r="BG326" i="2" s="1"/>
  <c r="AE1149" i="2"/>
  <c r="AO1149" i="2"/>
  <c r="AJ1149" i="2"/>
  <c r="AD1180" i="2"/>
  <c r="AN1180" i="2"/>
  <c r="X1180" i="2"/>
  <c r="AI1180" i="2"/>
  <c r="AI1099" i="2"/>
  <c r="AD1099" i="2"/>
  <c r="AN1099" i="2"/>
  <c r="X1099" i="2"/>
  <c r="AN1199" i="2"/>
  <c r="X1199" i="2"/>
  <c r="AI1199" i="2"/>
  <c r="AD1199" i="2"/>
  <c r="AN1263" i="2"/>
  <c r="X1263" i="2"/>
  <c r="AI1263" i="2"/>
  <c r="AD1263" i="2"/>
  <c r="AN1327" i="2"/>
  <c r="X1327" i="2"/>
  <c r="AI1327" i="2"/>
  <c r="AD1327" i="2"/>
  <c r="AD1306" i="2"/>
  <c r="AN1306" i="2"/>
  <c r="X1306" i="2"/>
  <c r="AI1306" i="2"/>
  <c r="AS1417" i="2"/>
  <c r="AX1417" i="2" s="1"/>
  <c r="BG1417" i="2" s="1"/>
  <c r="AS1475" i="2"/>
  <c r="AX1475" i="2" s="1"/>
  <c r="BG1475" i="2" s="1"/>
  <c r="AS1533" i="2"/>
  <c r="AX1533" i="2" s="1"/>
  <c r="BG1533" i="2" s="1"/>
  <c r="AS2089" i="2"/>
  <c r="AX2089" i="2" s="1"/>
  <c r="BG2089" i="2" s="1"/>
  <c r="AD208" i="2"/>
  <c r="AN208" i="2"/>
  <c r="AI208" i="2"/>
  <c r="X208" i="2"/>
  <c r="AS210" i="2"/>
  <c r="AX210" i="2" s="1"/>
  <c r="BG210" i="2" s="1"/>
  <c r="AS414" i="2"/>
  <c r="AX414" i="2" s="1"/>
  <c r="BG414" i="2" s="1"/>
  <c r="AD446" i="2"/>
  <c r="AN446" i="2"/>
  <c r="AI446" i="2"/>
  <c r="X446" i="2"/>
  <c r="AS478" i="2"/>
  <c r="AX478" i="2" s="1"/>
  <c r="BG478" i="2" s="1"/>
  <c r="AS1320" i="2"/>
  <c r="AX1320" i="2" s="1"/>
  <c r="BG1320" i="2" s="1"/>
  <c r="AI1055" i="2"/>
  <c r="AD1055" i="2"/>
  <c r="AN1055" i="2"/>
  <c r="X1055" i="2"/>
  <c r="AI1119" i="2"/>
  <c r="AD1119" i="2"/>
  <c r="AN1119" i="2"/>
  <c r="X1119" i="2"/>
  <c r="AS1238" i="2"/>
  <c r="AX1238" i="2" s="1"/>
  <c r="BG1238" i="2" s="1"/>
  <c r="AS1539" i="2"/>
  <c r="AX1539" i="2" s="1"/>
  <c r="BG1539" i="2" s="1"/>
  <c r="AS2103" i="2"/>
  <c r="AX2103" i="2" s="1"/>
  <c r="BG2103" i="2" s="1"/>
  <c r="AN87" i="2"/>
  <c r="X87" i="2"/>
  <c r="AI87" i="2"/>
  <c r="AD87" i="2"/>
  <c r="AS150" i="2"/>
  <c r="AX150" i="2" s="1"/>
  <c r="BG150" i="2" s="1"/>
  <c r="AS220" i="2"/>
  <c r="AX220" i="2" s="1"/>
  <c r="BG220" i="2" s="1"/>
  <c r="AN313" i="2"/>
  <c r="X313" i="2"/>
  <c r="AD313" i="2"/>
  <c r="AI313" i="2"/>
  <c r="AS535" i="2"/>
  <c r="AX535" i="2" s="1"/>
  <c r="BG535" i="2" s="1"/>
  <c r="AD318" i="2"/>
  <c r="AN318" i="2"/>
  <c r="AI318" i="2"/>
  <c r="X318" i="2"/>
  <c r="AO372" i="2"/>
  <c r="AJ372" i="2"/>
  <c r="AE372" i="2"/>
  <c r="AI938" i="2"/>
  <c r="AN938" i="2"/>
  <c r="X938" i="2"/>
  <c r="AD938" i="2"/>
  <c r="AI942" i="2"/>
  <c r="AN942" i="2"/>
  <c r="X942" i="2"/>
  <c r="AD942" i="2"/>
  <c r="AI946" i="2"/>
  <c r="AN946" i="2"/>
  <c r="X946" i="2"/>
  <c r="AD946" i="2"/>
  <c r="AI950" i="2"/>
  <c r="AN950" i="2"/>
  <c r="X950" i="2"/>
  <c r="AD950" i="2"/>
  <c r="AI954" i="2"/>
  <c r="AN954" i="2"/>
  <c r="X954" i="2"/>
  <c r="AD954" i="2"/>
  <c r="AI958" i="2"/>
  <c r="AN958" i="2"/>
  <c r="X958" i="2"/>
  <c r="AD958" i="2"/>
  <c r="AI962" i="2"/>
  <c r="AN962" i="2"/>
  <c r="X962" i="2"/>
  <c r="AD962" i="2"/>
  <c r="AI966" i="2"/>
  <c r="AN966" i="2"/>
  <c r="X966" i="2"/>
  <c r="AD966" i="2"/>
  <c r="AI970" i="2"/>
  <c r="AN970" i="2"/>
  <c r="X970" i="2"/>
  <c r="AD970" i="2"/>
  <c r="AI974" i="2"/>
  <c r="AN974" i="2"/>
  <c r="X974" i="2"/>
  <c r="AD974" i="2"/>
  <c r="AI978" i="2"/>
  <c r="AN978" i="2"/>
  <c r="X978" i="2"/>
  <c r="AD978" i="2"/>
  <c r="AI982" i="2"/>
  <c r="AN982" i="2"/>
  <c r="X982" i="2"/>
  <c r="AD982" i="2"/>
  <c r="AI986" i="2"/>
  <c r="AN986" i="2"/>
  <c r="X986" i="2"/>
  <c r="AD986" i="2"/>
  <c r="AI990" i="2"/>
  <c r="AN990" i="2"/>
  <c r="X990" i="2"/>
  <c r="AD990" i="2"/>
  <c r="AI994" i="2"/>
  <c r="AN994" i="2"/>
  <c r="X994" i="2"/>
  <c r="AD994" i="2"/>
  <c r="AI998" i="2"/>
  <c r="AN998" i="2"/>
  <c r="X998" i="2"/>
  <c r="AD998" i="2"/>
  <c r="AI1002" i="2"/>
  <c r="AN1002" i="2"/>
  <c r="X1002" i="2"/>
  <c r="AD1002" i="2"/>
  <c r="AI1006" i="2"/>
  <c r="AN1006" i="2"/>
  <c r="X1006" i="2"/>
  <c r="AD1006" i="2"/>
  <c r="AI1010" i="2"/>
  <c r="AN1010" i="2"/>
  <c r="X1010" i="2"/>
  <c r="AD1010" i="2"/>
  <c r="AI1014" i="2"/>
  <c r="AN1014" i="2"/>
  <c r="X1014" i="2"/>
  <c r="AD1014" i="2"/>
  <c r="AI1018" i="2"/>
  <c r="AN1018" i="2"/>
  <c r="X1018" i="2"/>
  <c r="AD1018" i="2"/>
  <c r="AI1022" i="2"/>
  <c r="AN1022" i="2"/>
  <c r="X1022" i="2"/>
  <c r="AD1022" i="2"/>
  <c r="AI1026" i="2"/>
  <c r="AN1026" i="2"/>
  <c r="X1026" i="2"/>
  <c r="AD1026" i="2"/>
  <c r="AI1030" i="2"/>
  <c r="AN1030" i="2"/>
  <c r="X1030" i="2"/>
  <c r="AD1030" i="2"/>
  <c r="AI1034" i="2"/>
  <c r="AN1034" i="2"/>
  <c r="X1034" i="2"/>
  <c r="AD1034" i="2"/>
  <c r="AI1038" i="2"/>
  <c r="AN1038" i="2"/>
  <c r="X1038" i="2"/>
  <c r="AD1038" i="2"/>
  <c r="AD1348" i="2"/>
  <c r="AN1348" i="2"/>
  <c r="X1348" i="2"/>
  <c r="AI1348" i="2"/>
  <c r="AS1223" i="2"/>
  <c r="AX1223" i="2" s="1"/>
  <c r="BG1223" i="2" s="1"/>
  <c r="AS1287" i="2"/>
  <c r="AX1287" i="2" s="1"/>
  <c r="BG1287" i="2" s="1"/>
  <c r="AS1351" i="2"/>
  <c r="AX1351" i="2" s="1"/>
  <c r="BG1351" i="2" s="1"/>
  <c r="AS1218" i="2"/>
  <c r="AX1218" i="2" s="1"/>
  <c r="BG1218" i="2" s="1"/>
  <c r="AN1659" i="2"/>
  <c r="X1659" i="2"/>
  <c r="AI1659" i="2"/>
  <c r="AD1659" i="2"/>
  <c r="AN1541" i="2"/>
  <c r="X1541" i="2"/>
  <c r="AD1541" i="2"/>
  <c r="AI1541" i="2"/>
  <c r="AS1856" i="2"/>
  <c r="AX1856" i="2" s="1"/>
  <c r="BG1856" i="2" s="1"/>
  <c r="AS1909" i="2"/>
  <c r="AX1909" i="2" s="1"/>
  <c r="BG1909" i="2" s="1"/>
  <c r="AS1973" i="2"/>
  <c r="AX1973" i="2" s="1"/>
  <c r="BG1973" i="2" s="1"/>
  <c r="AS2007" i="2"/>
  <c r="AX2007" i="2" s="1"/>
  <c r="BG2007" i="2" s="1"/>
  <c r="AI2113" i="2"/>
  <c r="AD2113" i="2"/>
  <c r="AN2113" i="2"/>
  <c r="X2113" i="2"/>
  <c r="AS2162" i="2"/>
  <c r="AX2162" i="2" s="1"/>
  <c r="BG2162" i="2" s="1"/>
  <c r="AI2460" i="2"/>
  <c r="AD2460" i="2"/>
  <c r="AN2460" i="2"/>
  <c r="X2460" i="2"/>
  <c r="AS2454" i="2"/>
  <c r="AX2454" i="2" s="1"/>
  <c r="BG2454" i="2" s="1"/>
  <c r="AD228" i="2"/>
  <c r="AN228" i="2"/>
  <c r="AI228" i="2"/>
  <c r="X228" i="2"/>
  <c r="AS242" i="2"/>
  <c r="AX242" i="2" s="1"/>
  <c r="BG242" i="2" s="1"/>
  <c r="AS10" i="2"/>
  <c r="AX10" i="2" s="1"/>
  <c r="BG10" i="2" s="1"/>
  <c r="AS42" i="2"/>
  <c r="AX42" i="2" s="1"/>
  <c r="BG42" i="2" s="1"/>
  <c r="AS74" i="2"/>
  <c r="AX74" i="2" s="1"/>
  <c r="BG74" i="2" s="1"/>
  <c r="AD278" i="2"/>
  <c r="AN278" i="2"/>
  <c r="AI278" i="2"/>
  <c r="X278" i="2"/>
  <c r="AI736" i="2"/>
  <c r="AN736" i="2"/>
  <c r="X736" i="2"/>
  <c r="AD736" i="2"/>
  <c r="AI800" i="2"/>
  <c r="AN800" i="2"/>
  <c r="X800" i="2"/>
  <c r="AD800" i="2"/>
  <c r="AI864" i="2"/>
  <c r="AN864" i="2"/>
  <c r="X864" i="2"/>
  <c r="AD864" i="2"/>
  <c r="AS1264" i="2"/>
  <c r="AX1264" i="2" s="1"/>
  <c r="BG1264" i="2" s="1"/>
  <c r="AI1049" i="2"/>
  <c r="AN1049" i="2"/>
  <c r="X1049" i="2"/>
  <c r="AD1049" i="2"/>
  <c r="AD1198" i="2"/>
  <c r="AN1198" i="2"/>
  <c r="X1198" i="2"/>
  <c r="AI1198" i="2"/>
  <c r="AS1407" i="2"/>
  <c r="AX1407" i="2" s="1"/>
  <c r="BG1407" i="2" s="1"/>
  <c r="AS1423" i="2"/>
  <c r="AX1423" i="2" s="1"/>
  <c r="BG1423" i="2" s="1"/>
  <c r="AS1657" i="2"/>
  <c r="AX1657" i="2" s="1"/>
  <c r="BG1657" i="2" s="1"/>
  <c r="AI2044" i="2"/>
  <c r="AD2044" i="2"/>
  <c r="AN2044" i="2"/>
  <c r="X2044" i="2"/>
  <c r="AS2063" i="2"/>
  <c r="AX2063" i="2" s="1"/>
  <c r="BG2063" i="2" s="1"/>
  <c r="AS2440" i="2"/>
  <c r="AX2440" i="2" s="1"/>
  <c r="BG2440" i="2" s="1"/>
  <c r="AS2452" i="2"/>
  <c r="AX2452" i="2" s="1"/>
  <c r="BG2452" i="2" s="1"/>
  <c r="AS238" i="2"/>
  <c r="AX238" i="2" s="1"/>
  <c r="BG238" i="2" s="1"/>
  <c r="AS637" i="2"/>
  <c r="AX637" i="2" s="1"/>
  <c r="BG637" i="2" s="1"/>
  <c r="AS701" i="2"/>
  <c r="AX701" i="2" s="1"/>
  <c r="BG701" i="2" s="1"/>
  <c r="AS1225" i="2"/>
  <c r="AX1225" i="2" s="1"/>
  <c r="BG1225" i="2" s="1"/>
  <c r="AD1356" i="2"/>
  <c r="AN1356" i="2"/>
  <c r="X1356" i="2"/>
  <c r="AI1356" i="2"/>
  <c r="AS1183" i="2"/>
  <c r="AX1183" i="2" s="1"/>
  <c r="BG1183" i="2" s="1"/>
  <c r="AS1290" i="2"/>
  <c r="AX1290" i="2" s="1"/>
  <c r="BG1290" i="2" s="1"/>
  <c r="AD1377" i="2"/>
  <c r="AN1377" i="2"/>
  <c r="X1377" i="2"/>
  <c r="AI1377" i="2"/>
  <c r="AS1491" i="2"/>
  <c r="AX1491" i="2" s="1"/>
  <c r="BG1491" i="2" s="1"/>
  <c r="AS1505" i="2"/>
  <c r="AX1505" i="2" s="1"/>
  <c r="BG1505" i="2" s="1"/>
  <c r="AI1762" i="2"/>
  <c r="AN1762" i="2"/>
  <c r="X1762" i="2"/>
  <c r="AD1762" i="2"/>
  <c r="AI1770" i="2"/>
  <c r="AN1770" i="2"/>
  <c r="X1770" i="2"/>
  <c r="AD1770" i="2"/>
  <c r="AI1778" i="2"/>
  <c r="AN1778" i="2"/>
  <c r="X1778" i="2"/>
  <c r="AD1778" i="2"/>
  <c r="AI1786" i="2"/>
  <c r="AN1786" i="2"/>
  <c r="X1786" i="2"/>
  <c r="AD1786" i="2"/>
  <c r="AI1794" i="2"/>
  <c r="AN1794" i="2"/>
  <c r="X1794" i="2"/>
  <c r="AD1794" i="2"/>
  <c r="AI1802" i="2"/>
  <c r="AN1802" i="2"/>
  <c r="X1802" i="2"/>
  <c r="AD1802" i="2"/>
  <c r="AI1810" i="2"/>
  <c r="AN1810" i="2"/>
  <c r="X1810" i="2"/>
  <c r="AD1810" i="2"/>
  <c r="AI1818" i="2"/>
  <c r="AN1818" i="2"/>
  <c r="X1818" i="2"/>
  <c r="AD1818" i="2"/>
  <c r="AI1826" i="2"/>
  <c r="AN1826" i="2"/>
  <c r="X1826" i="2"/>
  <c r="AD1826" i="2"/>
  <c r="AI1834" i="2"/>
  <c r="AN1834" i="2"/>
  <c r="X1834" i="2"/>
  <c r="AD1834" i="2"/>
  <c r="AS1956" i="2"/>
  <c r="AX1956" i="2" s="1"/>
  <c r="BG1956" i="2" s="1"/>
  <c r="AS1960" i="2"/>
  <c r="AX1960" i="2" s="1"/>
  <c r="BG1960" i="2" s="1"/>
  <c r="AS1964" i="2"/>
  <c r="AX1964" i="2" s="1"/>
  <c r="BG1964" i="2" s="1"/>
  <c r="AS1968" i="2"/>
  <c r="AX1968" i="2" s="1"/>
  <c r="BG1968" i="2" s="1"/>
  <c r="AS1972" i="2"/>
  <c r="AX1972" i="2" s="1"/>
  <c r="BG1972" i="2" s="1"/>
  <c r="AS1976" i="2"/>
  <c r="AX1976" i="2" s="1"/>
  <c r="BG1976" i="2" s="1"/>
  <c r="AS1980" i="2"/>
  <c r="AX1980" i="2" s="1"/>
  <c r="BG1980" i="2" s="1"/>
  <c r="AS1984" i="2"/>
  <c r="AX1984" i="2" s="1"/>
  <c r="BG1984" i="2" s="1"/>
  <c r="AS1988" i="2"/>
  <c r="AX1988" i="2" s="1"/>
  <c r="BG1988" i="2" s="1"/>
  <c r="AS1992" i="2"/>
  <c r="AX1992" i="2" s="1"/>
  <c r="BG1992" i="2" s="1"/>
  <c r="AS1996" i="2"/>
  <c r="AX1996" i="2" s="1"/>
  <c r="BG1996" i="2" s="1"/>
  <c r="AS2000" i="2"/>
  <c r="AX2000" i="2" s="1"/>
  <c r="BG2000" i="2" s="1"/>
  <c r="AS2004" i="2"/>
  <c r="AX2004" i="2" s="1"/>
  <c r="BG2004" i="2" s="1"/>
  <c r="AS2008" i="2"/>
  <c r="AX2008" i="2" s="1"/>
  <c r="BG2008" i="2" s="1"/>
  <c r="AS2012" i="2"/>
  <c r="AX2012" i="2" s="1"/>
  <c r="BG2012" i="2" s="1"/>
  <c r="AS2016" i="2"/>
  <c r="AX2016" i="2" s="1"/>
  <c r="BG2016" i="2" s="1"/>
  <c r="AD2101" i="2"/>
  <c r="AN2101" i="2"/>
  <c r="X2101" i="2"/>
  <c r="AI2101" i="2"/>
  <c r="AS2156" i="2"/>
  <c r="AX2156" i="2" s="1"/>
  <c r="BG2156" i="2" s="1"/>
  <c r="AS2321" i="2"/>
  <c r="AX2321" i="2" s="1"/>
  <c r="BG2321" i="2" s="1"/>
  <c r="AS2345" i="2"/>
  <c r="AX2345" i="2" s="1"/>
  <c r="BG2345" i="2" s="1"/>
  <c r="AS2361" i="2"/>
  <c r="AX2361" i="2" s="1"/>
  <c r="BG2361" i="2" s="1"/>
  <c r="AS2385" i="2"/>
  <c r="AX2385" i="2" s="1"/>
  <c r="BG2385" i="2" s="1"/>
  <c r="AS170" i="2"/>
  <c r="AX170" i="2" s="1"/>
  <c r="BG170" i="2" s="1"/>
  <c r="AS260" i="2"/>
  <c r="AX260" i="2" s="1"/>
  <c r="BG260" i="2" s="1"/>
  <c r="AS527" i="2"/>
  <c r="AX527" i="2" s="1"/>
  <c r="BG527" i="2" s="1"/>
  <c r="AD398" i="2"/>
  <c r="AN398" i="2"/>
  <c r="AI398" i="2"/>
  <c r="X398" i="2"/>
  <c r="AS1304" i="2"/>
  <c r="AX1304" i="2" s="1"/>
  <c r="BG1304" i="2" s="1"/>
  <c r="AN1384" i="2"/>
  <c r="X1384" i="2"/>
  <c r="AI1384" i="2"/>
  <c r="AD1384" i="2"/>
  <c r="AN1179" i="2"/>
  <c r="X1179" i="2"/>
  <c r="AI1179" i="2"/>
  <c r="AD1179" i="2"/>
  <c r="AS1222" i="2"/>
  <c r="AX1222" i="2" s="1"/>
  <c r="BG1222" i="2" s="1"/>
  <c r="AN1591" i="2"/>
  <c r="X1591" i="2"/>
  <c r="AI1591" i="2"/>
  <c r="AD1591" i="2"/>
  <c r="AS1616" i="2"/>
  <c r="AX1616" i="2" s="1"/>
  <c r="BG1616" i="2" s="1"/>
  <c r="AS1718" i="2"/>
  <c r="AX1718" i="2" s="1"/>
  <c r="BG1718" i="2" s="1"/>
  <c r="AD1863" i="2"/>
  <c r="AN1863" i="2"/>
  <c r="X1863" i="2"/>
  <c r="AI1863" i="2"/>
  <c r="AD1871" i="2"/>
  <c r="AN1871" i="2"/>
  <c r="X1871" i="2"/>
  <c r="AI1871" i="2"/>
  <c r="AD1879" i="2"/>
  <c r="AN1879" i="2"/>
  <c r="X1879" i="2"/>
  <c r="AI1879" i="2"/>
  <c r="AD1887" i="2"/>
  <c r="AN1887" i="2"/>
  <c r="X1887" i="2"/>
  <c r="AI1887" i="2"/>
  <c r="AD1895" i="2"/>
  <c r="AN1895" i="2"/>
  <c r="X1895" i="2"/>
  <c r="AI1895" i="2"/>
  <c r="AD1903" i="2"/>
  <c r="AN1903" i="2"/>
  <c r="X1903" i="2"/>
  <c r="AI1903" i="2"/>
  <c r="AD1911" i="2"/>
  <c r="AN1911" i="2"/>
  <c r="X1911" i="2"/>
  <c r="AI1911" i="2"/>
  <c r="AD1919" i="2"/>
  <c r="AN1919" i="2"/>
  <c r="X1919" i="2"/>
  <c r="AI1919" i="2"/>
  <c r="AD1927" i="2"/>
  <c r="AN1927" i="2"/>
  <c r="X1927" i="2"/>
  <c r="AI1927" i="2"/>
  <c r="AD1935" i="2"/>
  <c r="AN1935" i="2"/>
  <c r="X1935" i="2"/>
  <c r="AI1935" i="2"/>
  <c r="AD1943" i="2"/>
  <c r="AN1943" i="2"/>
  <c r="X1943" i="2"/>
  <c r="AI1943" i="2"/>
  <c r="AD1951" i="2"/>
  <c r="AN1951" i="2"/>
  <c r="X1951" i="2"/>
  <c r="AI1951" i="2"/>
  <c r="AI1825" i="2"/>
  <c r="X1825" i="2"/>
  <c r="AN1825" i="2"/>
  <c r="AD1825" i="2"/>
  <c r="AS1844" i="2"/>
  <c r="AX1844" i="2" s="1"/>
  <c r="BG1844" i="2" s="1"/>
  <c r="AI2166" i="2"/>
  <c r="AD2166" i="2"/>
  <c r="AN2166" i="2"/>
  <c r="X2166" i="2"/>
  <c r="AS143" i="2"/>
  <c r="AX143" i="2" s="1"/>
  <c r="BG143" i="2" s="1"/>
  <c r="AS280" i="2"/>
  <c r="AX280" i="2" s="1"/>
  <c r="BG280" i="2" s="1"/>
  <c r="AS464" i="2"/>
  <c r="AX464" i="2" s="1"/>
  <c r="BG464" i="2" s="1"/>
  <c r="AS286" i="2"/>
  <c r="AX286" i="2" s="1"/>
  <c r="BG286" i="2" s="1"/>
  <c r="AN1249" i="2"/>
  <c r="X1249" i="2"/>
  <c r="AI1249" i="2"/>
  <c r="AD1249" i="2"/>
  <c r="AS1204" i="2"/>
  <c r="AX1204" i="2" s="1"/>
  <c r="BG1204" i="2" s="1"/>
  <c r="AS1335" i="2"/>
  <c r="AX1335" i="2" s="1"/>
  <c r="BG1335" i="2" s="1"/>
  <c r="AS1330" i="2"/>
  <c r="AX1330" i="2" s="1"/>
  <c r="BG1330" i="2" s="1"/>
  <c r="AS1604" i="2"/>
  <c r="AX1604" i="2" s="1"/>
  <c r="BG1604" i="2" s="1"/>
  <c r="AS1506" i="2"/>
  <c r="AX1506" i="2" s="1"/>
  <c r="BG1506" i="2" s="1"/>
  <c r="AS1473" i="2"/>
  <c r="AX1473" i="2" s="1"/>
  <c r="BG1473" i="2" s="1"/>
  <c r="AN1605" i="2"/>
  <c r="X1605" i="2"/>
  <c r="AI1605" i="2"/>
  <c r="AD1605" i="2"/>
  <c r="AS1630" i="2"/>
  <c r="AX1630" i="2" s="1"/>
  <c r="BG1630" i="2" s="1"/>
  <c r="AO1835" i="2"/>
  <c r="AJ1835" i="2"/>
  <c r="AE1835" i="2"/>
  <c r="AS1905" i="2"/>
  <c r="AX1905" i="2" s="1"/>
  <c r="BG1905" i="2" s="1"/>
  <c r="AS1969" i="2"/>
  <c r="AX1969" i="2" s="1"/>
  <c r="BG1969" i="2" s="1"/>
  <c r="AD2003" i="2"/>
  <c r="AN2003" i="2"/>
  <c r="X2003" i="2"/>
  <c r="AI2003" i="2"/>
  <c r="AS2164" i="2"/>
  <c r="AX2164" i="2" s="1"/>
  <c r="BG2164" i="2" s="1"/>
  <c r="AS2315" i="2"/>
  <c r="AX2315" i="2" s="1"/>
  <c r="BG2315" i="2" s="1"/>
  <c r="AS2323" i="2"/>
  <c r="AX2323" i="2" s="1"/>
  <c r="BG2323" i="2" s="1"/>
  <c r="AS2331" i="2"/>
  <c r="AX2331" i="2" s="1"/>
  <c r="BG2331" i="2" s="1"/>
  <c r="AS2339" i="2"/>
  <c r="AX2339" i="2" s="1"/>
  <c r="BG2339" i="2" s="1"/>
  <c r="AS2347" i="2"/>
  <c r="AX2347" i="2" s="1"/>
  <c r="BG2347" i="2" s="1"/>
  <c r="AS2355" i="2"/>
  <c r="AX2355" i="2" s="1"/>
  <c r="BG2355" i="2" s="1"/>
  <c r="AS2363" i="2"/>
  <c r="AX2363" i="2" s="1"/>
  <c r="BG2363" i="2" s="1"/>
  <c r="AS2371" i="2"/>
  <c r="AX2371" i="2" s="1"/>
  <c r="BG2371" i="2" s="1"/>
  <c r="AS2379" i="2"/>
  <c r="AX2379" i="2" s="1"/>
  <c r="BG2379" i="2" s="1"/>
  <c r="AS2387" i="2"/>
  <c r="AX2387" i="2" s="1"/>
  <c r="BG2387" i="2" s="1"/>
  <c r="AS2444" i="2"/>
  <c r="AX2444" i="2" s="1"/>
  <c r="BG2444" i="2" s="1"/>
  <c r="AS2446" i="2"/>
  <c r="AX2446" i="2" s="1"/>
  <c r="BG2446" i="2" s="1"/>
  <c r="AD2328" i="2"/>
  <c r="AN2328" i="2"/>
  <c r="X2328" i="2"/>
  <c r="AI2328" i="2"/>
  <c r="AD2352" i="2"/>
  <c r="AN2352" i="2"/>
  <c r="X2352" i="2"/>
  <c r="AI2352" i="2"/>
  <c r="AD2360" i="2"/>
  <c r="AN2360" i="2"/>
  <c r="X2360" i="2"/>
  <c r="AI2360" i="2"/>
  <c r="AD525" i="2"/>
  <c r="AN525" i="2"/>
  <c r="X525" i="2"/>
  <c r="AI525" i="2"/>
  <c r="AS528" i="2"/>
  <c r="AX528" i="2" s="1"/>
  <c r="BG528" i="2" s="1"/>
  <c r="AN514" i="2"/>
  <c r="X514" i="2"/>
  <c r="AI514" i="2"/>
  <c r="AD514" i="2"/>
  <c r="AN546" i="2"/>
  <c r="X546" i="2"/>
  <c r="AI546" i="2"/>
  <c r="AD546" i="2"/>
  <c r="AI1044" i="2"/>
  <c r="AD1044" i="2"/>
  <c r="AN1044" i="2"/>
  <c r="X1044" i="2"/>
  <c r="AI1109" i="2"/>
  <c r="AN1109" i="2"/>
  <c r="X1109" i="2"/>
  <c r="AD1109" i="2"/>
  <c r="AN1325" i="2"/>
  <c r="X1325" i="2"/>
  <c r="AI1325" i="2"/>
  <c r="AD1325" i="2"/>
  <c r="AS1246" i="2"/>
  <c r="AX1246" i="2" s="1"/>
  <c r="BG1246" i="2" s="1"/>
  <c r="AS1310" i="2"/>
  <c r="AX1310" i="2" s="1"/>
  <c r="BG1310" i="2" s="1"/>
  <c r="AS1383" i="2"/>
  <c r="AX1383" i="2" s="1"/>
  <c r="BG1383" i="2" s="1"/>
  <c r="AN1599" i="2"/>
  <c r="X1599" i="2"/>
  <c r="AI1599" i="2"/>
  <c r="AD1599" i="2"/>
  <c r="AS1563" i="2"/>
  <c r="AX1563" i="2" s="1"/>
  <c r="BG1563" i="2" s="1"/>
  <c r="AS1760" i="2"/>
  <c r="AX1760" i="2" s="1"/>
  <c r="BG1760" i="2" s="1"/>
  <c r="AS2192" i="2"/>
  <c r="AX2192" i="2" s="1"/>
  <c r="BG2192" i="2" s="1"/>
  <c r="AS2424" i="2"/>
  <c r="AX2424" i="2" s="1"/>
  <c r="BG2424" i="2" s="1"/>
  <c r="AI2466" i="2"/>
  <c r="AD2466" i="2"/>
  <c r="AN2466" i="2"/>
  <c r="X2466" i="2"/>
  <c r="AI2410" i="2"/>
  <c r="AD2410" i="2"/>
  <c r="AN2410" i="2"/>
  <c r="X2410" i="2"/>
  <c r="AI2426" i="2"/>
  <c r="AD2426" i="2"/>
  <c r="AN2426" i="2"/>
  <c r="X2426" i="2"/>
  <c r="AN85" i="2"/>
  <c r="X85" i="2"/>
  <c r="AD85" i="2"/>
  <c r="AI85" i="2"/>
  <c r="AD70" i="2"/>
  <c r="X70" i="2"/>
  <c r="AI70" i="2"/>
  <c r="AN70" i="2"/>
  <c r="AS312" i="2"/>
  <c r="AX312" i="2" s="1"/>
  <c r="BG312" i="2" s="1"/>
  <c r="AS440" i="2"/>
  <c r="AX440" i="2" s="1"/>
  <c r="BG440" i="2" s="1"/>
  <c r="AN35" i="2"/>
  <c r="X35" i="2"/>
  <c r="AD35" i="2"/>
  <c r="AI35" i="2"/>
  <c r="AS534" i="2"/>
  <c r="AX534" i="2" s="1"/>
  <c r="BG534" i="2" s="1"/>
  <c r="AO324" i="2"/>
  <c r="AJ324" i="2"/>
  <c r="AE324" i="2"/>
  <c r="AI665" i="2"/>
  <c r="AD665" i="2"/>
  <c r="AN665" i="2"/>
  <c r="X665" i="2"/>
  <c r="AD1212" i="2"/>
  <c r="AN1212" i="2"/>
  <c r="X1212" i="2"/>
  <c r="AI1212" i="2"/>
  <c r="AD1276" i="2"/>
  <c r="AN1276" i="2"/>
  <c r="X1276" i="2"/>
  <c r="AI1276" i="2"/>
  <c r="AD1340" i="2"/>
  <c r="AN1340" i="2"/>
  <c r="X1340" i="2"/>
  <c r="AI1340" i="2"/>
  <c r="AS1380" i="2"/>
  <c r="AX1380" i="2" s="1"/>
  <c r="BG1380" i="2" s="1"/>
  <c r="AS1359" i="2"/>
  <c r="AX1359" i="2" s="1"/>
  <c r="BG1359" i="2" s="1"/>
  <c r="AS1210" i="2"/>
  <c r="AX1210" i="2" s="1"/>
  <c r="BG1210" i="2" s="1"/>
  <c r="AS1274" i="2"/>
  <c r="AX1274" i="2" s="1"/>
  <c r="BG1274" i="2" s="1"/>
  <c r="AS1338" i="2"/>
  <c r="AX1338" i="2" s="1"/>
  <c r="BG1338" i="2" s="1"/>
  <c r="AS1613" i="2"/>
  <c r="AX1613" i="2" s="1"/>
  <c r="BG1613" i="2" s="1"/>
  <c r="AD1638" i="2"/>
  <c r="AN1638" i="2"/>
  <c r="X1638" i="2"/>
  <c r="AI1638" i="2"/>
  <c r="AO1811" i="2"/>
  <c r="AJ1811" i="2"/>
  <c r="AE1811" i="2"/>
  <c r="AS1820" i="2"/>
  <c r="AX1820" i="2" s="1"/>
  <c r="BG1820" i="2" s="1"/>
  <c r="AD2049" i="2"/>
  <c r="AN2049" i="2"/>
  <c r="X2049" i="2"/>
  <c r="AI2049" i="2"/>
  <c r="AD2065" i="2"/>
  <c r="AN2065" i="2"/>
  <c r="X2065" i="2"/>
  <c r="AI2065" i="2"/>
  <c r="AD2081" i="2"/>
  <c r="AN2081" i="2"/>
  <c r="X2081" i="2"/>
  <c r="AI2081" i="2"/>
  <c r="AD2097" i="2"/>
  <c r="AN2097" i="2"/>
  <c r="X2097" i="2"/>
  <c r="AI2097" i="2"/>
  <c r="AS2115" i="2"/>
  <c r="AX2115" i="2" s="1"/>
  <c r="BG2115" i="2" s="1"/>
  <c r="AS2117" i="2"/>
  <c r="AX2117" i="2" s="1"/>
  <c r="BG2117" i="2" s="1"/>
  <c r="AS2119" i="2"/>
  <c r="AX2119" i="2" s="1"/>
  <c r="BG2119" i="2" s="1"/>
  <c r="AS2121" i="2"/>
  <c r="AX2121" i="2" s="1"/>
  <c r="BG2121" i="2" s="1"/>
  <c r="AS2123" i="2"/>
  <c r="AX2123" i="2" s="1"/>
  <c r="BG2123" i="2" s="1"/>
  <c r="AS2125" i="2"/>
  <c r="AX2125" i="2" s="1"/>
  <c r="BG2125" i="2" s="1"/>
  <c r="AS2127" i="2"/>
  <c r="AX2127" i="2" s="1"/>
  <c r="BG2127" i="2" s="1"/>
  <c r="AS2129" i="2"/>
  <c r="AX2129" i="2" s="1"/>
  <c r="BG2129" i="2" s="1"/>
  <c r="AS2131" i="2"/>
  <c r="AX2131" i="2" s="1"/>
  <c r="BG2131" i="2" s="1"/>
  <c r="AS2133" i="2"/>
  <c r="AX2133" i="2" s="1"/>
  <c r="BG2133" i="2" s="1"/>
  <c r="AS2135" i="2"/>
  <c r="AX2135" i="2" s="1"/>
  <c r="BG2135" i="2" s="1"/>
  <c r="AS2137" i="2"/>
  <c r="AX2137" i="2" s="1"/>
  <c r="BG2137" i="2" s="1"/>
  <c r="AS2139" i="2"/>
  <c r="AX2139" i="2" s="1"/>
  <c r="BG2139" i="2" s="1"/>
  <c r="AS2141" i="2"/>
  <c r="AX2141" i="2" s="1"/>
  <c r="BG2141" i="2" s="1"/>
  <c r="AS557" i="2"/>
  <c r="AX557" i="2" s="1"/>
  <c r="BG557" i="2" s="1"/>
  <c r="AS559" i="2"/>
  <c r="AX559" i="2" s="1"/>
  <c r="BG559" i="2" s="1"/>
  <c r="AS561" i="2"/>
  <c r="AX561" i="2" s="1"/>
  <c r="BG561" i="2" s="1"/>
  <c r="AS563" i="2"/>
  <c r="AX563" i="2" s="1"/>
  <c r="BG563" i="2" s="1"/>
  <c r="AS565" i="2"/>
  <c r="AX565" i="2" s="1"/>
  <c r="BG565" i="2" s="1"/>
  <c r="AS567" i="2"/>
  <c r="AX567" i="2" s="1"/>
  <c r="BG567" i="2" s="1"/>
  <c r="AS569" i="2"/>
  <c r="AX569" i="2" s="1"/>
  <c r="BG569" i="2" s="1"/>
  <c r="AS571" i="2"/>
  <c r="AX571" i="2" s="1"/>
  <c r="BG571" i="2" s="1"/>
  <c r="AS573" i="2"/>
  <c r="AX573" i="2" s="1"/>
  <c r="BG573" i="2" s="1"/>
  <c r="AS575" i="2"/>
  <c r="AX575" i="2" s="1"/>
  <c r="BG575" i="2" s="1"/>
  <c r="AS577" i="2"/>
  <c r="AX577" i="2" s="1"/>
  <c r="BG577" i="2" s="1"/>
  <c r="AS579" i="2"/>
  <c r="AX579" i="2" s="1"/>
  <c r="BG579" i="2" s="1"/>
  <c r="AS581" i="2"/>
  <c r="AX581" i="2" s="1"/>
  <c r="BG581" i="2" s="1"/>
  <c r="AS583" i="2"/>
  <c r="AX583" i="2" s="1"/>
  <c r="BG583" i="2" s="1"/>
  <c r="AS585" i="2"/>
  <c r="AX585" i="2" s="1"/>
  <c r="BG585" i="2" s="1"/>
  <c r="AS587" i="2"/>
  <c r="AX587" i="2" s="1"/>
  <c r="BG587" i="2" s="1"/>
  <c r="AS589" i="2"/>
  <c r="AX589" i="2" s="1"/>
  <c r="BG589" i="2" s="1"/>
  <c r="AS591" i="2"/>
  <c r="AX591" i="2" s="1"/>
  <c r="BG591" i="2" s="1"/>
  <c r="AS593" i="2"/>
  <c r="AX593" i="2" s="1"/>
  <c r="BG593" i="2" s="1"/>
  <c r="AS595" i="2"/>
  <c r="AX595" i="2" s="1"/>
  <c r="BG595" i="2" s="1"/>
  <c r="AS597" i="2"/>
  <c r="AX597" i="2" s="1"/>
  <c r="BG597" i="2" s="1"/>
  <c r="AS599" i="2"/>
  <c r="AX599" i="2" s="1"/>
  <c r="BG599" i="2" s="1"/>
  <c r="AS601" i="2"/>
  <c r="AX601" i="2" s="1"/>
  <c r="BG601" i="2" s="1"/>
  <c r="AS603" i="2"/>
  <c r="AX603" i="2" s="1"/>
  <c r="BG603" i="2" s="1"/>
  <c r="AS605" i="2"/>
  <c r="AX605" i="2" s="1"/>
  <c r="BG605" i="2" s="1"/>
  <c r="AS607" i="2"/>
  <c r="AX607" i="2" s="1"/>
  <c r="BG607" i="2" s="1"/>
  <c r="AS609" i="2"/>
  <c r="AX609" i="2" s="1"/>
  <c r="BG609" i="2" s="1"/>
  <c r="AS611" i="2"/>
  <c r="AX611" i="2" s="1"/>
  <c r="BG611" i="2" s="1"/>
  <c r="AS613" i="2"/>
  <c r="AX613" i="2" s="1"/>
  <c r="BG613" i="2" s="1"/>
  <c r="AS615" i="2"/>
  <c r="AX615" i="2" s="1"/>
  <c r="BG615" i="2" s="1"/>
  <c r="AS617" i="2"/>
  <c r="AX617" i="2" s="1"/>
  <c r="BG617" i="2" s="1"/>
  <c r="AI776" i="2"/>
  <c r="AN776" i="2"/>
  <c r="X776" i="2"/>
  <c r="AD776" i="2"/>
  <c r="AS1221" i="2"/>
  <c r="AX1221" i="2" s="1"/>
  <c r="BG1221" i="2" s="1"/>
  <c r="AS1285" i="2"/>
  <c r="AX1285" i="2" s="1"/>
  <c r="BG1285" i="2" s="1"/>
  <c r="AS1349" i="2"/>
  <c r="AX1349" i="2" s="1"/>
  <c r="BG1349" i="2" s="1"/>
  <c r="AS1639" i="2"/>
  <c r="AX1639" i="2" s="1"/>
  <c r="BG1639" i="2" s="1"/>
  <c r="AS2263" i="2"/>
  <c r="AX2263" i="2" s="1"/>
  <c r="BG2263" i="2" s="1"/>
  <c r="AS134" i="2"/>
  <c r="AX134" i="2" s="1"/>
  <c r="BG134" i="2" s="1"/>
  <c r="AS518" i="2"/>
  <c r="AX518" i="2" s="1"/>
  <c r="BG518" i="2" s="1"/>
  <c r="AD374" i="2"/>
  <c r="AN374" i="2"/>
  <c r="AI374" i="2"/>
  <c r="X374" i="2"/>
  <c r="AI732" i="2"/>
  <c r="AN732" i="2"/>
  <c r="X732" i="2"/>
  <c r="AD732" i="2"/>
  <c r="AI796" i="2"/>
  <c r="AN796" i="2"/>
  <c r="X796" i="2"/>
  <c r="AD796" i="2"/>
  <c r="AI860" i="2"/>
  <c r="AN860" i="2"/>
  <c r="X860" i="2"/>
  <c r="AD860" i="2"/>
  <c r="AI1123" i="2"/>
  <c r="AD1123" i="2"/>
  <c r="AN1123" i="2"/>
  <c r="X1123" i="2"/>
  <c r="AN1319" i="2"/>
  <c r="X1319" i="2"/>
  <c r="AI1319" i="2"/>
  <c r="AD1319" i="2"/>
  <c r="AS1394" i="2"/>
  <c r="AX1394" i="2" s="1"/>
  <c r="BG1394" i="2" s="1"/>
  <c r="AS1398" i="2"/>
  <c r="AX1398" i="2" s="1"/>
  <c r="BG1398" i="2" s="1"/>
  <c r="AS1402" i="2"/>
  <c r="AX1402" i="2" s="1"/>
  <c r="BG1402" i="2" s="1"/>
  <c r="AS1406" i="2"/>
  <c r="AX1406" i="2" s="1"/>
  <c r="BG1406" i="2" s="1"/>
  <c r="AS1410" i="2"/>
  <c r="AX1410" i="2" s="1"/>
  <c r="BG1410" i="2" s="1"/>
  <c r="AS1414" i="2"/>
  <c r="AX1414" i="2" s="1"/>
  <c r="BG1414" i="2" s="1"/>
  <c r="AS1418" i="2"/>
  <c r="AX1418" i="2" s="1"/>
  <c r="BG1418" i="2" s="1"/>
  <c r="AS1422" i="2"/>
  <c r="AX1422" i="2" s="1"/>
  <c r="BG1422" i="2" s="1"/>
  <c r="AS1426" i="2"/>
  <c r="AX1426" i="2" s="1"/>
  <c r="BG1426" i="2" s="1"/>
  <c r="AS1430" i="2"/>
  <c r="AX1430" i="2" s="1"/>
  <c r="BG1430" i="2" s="1"/>
  <c r="AS1434" i="2"/>
  <c r="AX1434" i="2" s="1"/>
  <c r="BG1434" i="2" s="1"/>
  <c r="AS1438" i="2"/>
  <c r="AX1438" i="2" s="1"/>
  <c r="BG1438" i="2" s="1"/>
  <c r="AD1580" i="2"/>
  <c r="AN1580" i="2"/>
  <c r="X1580" i="2"/>
  <c r="AI1580" i="2"/>
  <c r="AD1652" i="2"/>
  <c r="AN1652" i="2"/>
  <c r="X1652" i="2"/>
  <c r="AI1652" i="2"/>
  <c r="AS1492" i="2"/>
  <c r="AX1492" i="2" s="1"/>
  <c r="BG1492" i="2" s="1"/>
  <c r="AS1487" i="2"/>
  <c r="AX1487" i="2" s="1"/>
  <c r="BG1487" i="2" s="1"/>
  <c r="AN1589" i="2"/>
  <c r="X1589" i="2"/>
  <c r="AI1589" i="2"/>
  <c r="AD1589" i="2"/>
  <c r="AS1614" i="2"/>
  <c r="AX1614" i="2" s="1"/>
  <c r="BG1614" i="2" s="1"/>
  <c r="AS1698" i="2"/>
  <c r="AX1698" i="2" s="1"/>
  <c r="BG1698" i="2" s="1"/>
  <c r="AI1821" i="2"/>
  <c r="X1821" i="2"/>
  <c r="AN1821" i="2"/>
  <c r="AD1821" i="2"/>
  <c r="AS2194" i="2"/>
  <c r="AX2194" i="2" s="1"/>
  <c r="BG2194" i="2" s="1"/>
  <c r="AD2200" i="2"/>
  <c r="AN2200" i="2"/>
  <c r="X2200" i="2"/>
  <c r="AI2200" i="2"/>
  <c r="AD2204" i="2"/>
  <c r="AN2204" i="2"/>
  <c r="X2204" i="2"/>
  <c r="AI2204" i="2"/>
  <c r="AD2208" i="2"/>
  <c r="AN2208" i="2"/>
  <c r="X2208" i="2"/>
  <c r="AI2208" i="2"/>
  <c r="AD2212" i="2"/>
  <c r="AN2212" i="2"/>
  <c r="X2212" i="2"/>
  <c r="AI2212" i="2"/>
  <c r="AD2216" i="2"/>
  <c r="AN2216" i="2"/>
  <c r="X2216" i="2"/>
  <c r="AI2216" i="2"/>
  <c r="AD2220" i="2"/>
  <c r="AN2220" i="2"/>
  <c r="X2220" i="2"/>
  <c r="AI2220" i="2"/>
  <c r="AD2224" i="2"/>
  <c r="AN2224" i="2"/>
  <c r="X2224" i="2"/>
  <c r="AI2224" i="2"/>
  <c r="AD2228" i="2"/>
  <c r="AN2228" i="2"/>
  <c r="X2228" i="2"/>
  <c r="AI2228" i="2"/>
  <c r="AD2232" i="2"/>
  <c r="AN2232" i="2"/>
  <c r="X2232" i="2"/>
  <c r="AI2232" i="2"/>
  <c r="AD2236" i="2"/>
  <c r="AN2236" i="2"/>
  <c r="X2236" i="2"/>
  <c r="AI2236" i="2"/>
  <c r="AD2240" i="2"/>
  <c r="AN2240" i="2"/>
  <c r="X2240" i="2"/>
  <c r="AI2240" i="2"/>
  <c r="AD2244" i="2"/>
  <c r="AN2244" i="2"/>
  <c r="X2244" i="2"/>
  <c r="AI2244" i="2"/>
  <c r="AD2248" i="2"/>
  <c r="AN2248" i="2"/>
  <c r="X2248" i="2"/>
  <c r="AI2248" i="2"/>
  <c r="AD2252" i="2"/>
  <c r="AN2252" i="2"/>
  <c r="X2252" i="2"/>
  <c r="AI2252" i="2"/>
  <c r="AD2256" i="2"/>
  <c r="AN2256" i="2"/>
  <c r="X2256" i="2"/>
  <c r="AI2256" i="2"/>
  <c r="AD2260" i="2"/>
  <c r="AN2260" i="2"/>
  <c r="X2260" i="2"/>
  <c r="AI2260" i="2"/>
  <c r="AD2264" i="2"/>
  <c r="AN2264" i="2"/>
  <c r="X2264" i="2"/>
  <c r="AI2264" i="2"/>
  <c r="AD2268" i="2"/>
  <c r="AN2268" i="2"/>
  <c r="X2268" i="2"/>
  <c r="AI2268" i="2"/>
  <c r="AD2272" i="2"/>
  <c r="AN2272" i="2"/>
  <c r="X2272" i="2"/>
  <c r="AI2272" i="2"/>
  <c r="AD2276" i="2"/>
  <c r="AN2276" i="2"/>
  <c r="X2276" i="2"/>
  <c r="AI2276" i="2"/>
  <c r="AD2280" i="2"/>
  <c r="AN2280" i="2"/>
  <c r="X2280" i="2"/>
  <c r="AI2280" i="2"/>
  <c r="AD2284" i="2"/>
  <c r="AN2284" i="2"/>
  <c r="X2284" i="2"/>
  <c r="AI2284" i="2"/>
  <c r="AD2288" i="2"/>
  <c r="AN2288" i="2"/>
  <c r="X2288" i="2"/>
  <c r="AI2288" i="2"/>
  <c r="AD2292" i="2"/>
  <c r="AN2292" i="2"/>
  <c r="X2292" i="2"/>
  <c r="AI2292" i="2"/>
  <c r="AD2296" i="2"/>
  <c r="AN2296" i="2"/>
  <c r="X2296" i="2"/>
  <c r="AI2296" i="2"/>
  <c r="AD2300" i="2"/>
  <c r="AN2300" i="2"/>
  <c r="X2300" i="2"/>
  <c r="AI2300" i="2"/>
  <c r="AD2304" i="2"/>
  <c r="AN2304" i="2"/>
  <c r="X2304" i="2"/>
  <c r="AI2304" i="2"/>
  <c r="AD2308" i="2"/>
  <c r="AN2308" i="2"/>
  <c r="X2308" i="2"/>
  <c r="AI2308" i="2"/>
  <c r="AD2312" i="2"/>
  <c r="AN2312" i="2"/>
  <c r="X2312" i="2"/>
  <c r="AI2312" i="2"/>
  <c r="AS2422" i="2"/>
  <c r="AX2422" i="2" s="1"/>
  <c r="BG2422" i="2" s="1"/>
  <c r="AS2483" i="2"/>
  <c r="AX2483" i="2" s="1"/>
  <c r="BG2483" i="2" s="1"/>
  <c r="AS44" i="2"/>
  <c r="AX44" i="2" s="1"/>
  <c r="BG44" i="2" s="1"/>
  <c r="AN109" i="2"/>
  <c r="X109" i="2"/>
  <c r="AD109" i="2"/>
  <c r="AI109" i="2"/>
  <c r="AN457" i="2"/>
  <c r="X457" i="2"/>
  <c r="AI457" i="2"/>
  <c r="AD457" i="2"/>
  <c r="AN409" i="2"/>
  <c r="X409" i="2"/>
  <c r="AI409" i="2"/>
  <c r="AD409" i="2"/>
  <c r="AN217" i="2"/>
  <c r="X217" i="2"/>
  <c r="AD217" i="2"/>
  <c r="AI217" i="2"/>
  <c r="AN281" i="2"/>
  <c r="X281" i="2"/>
  <c r="AD281" i="2"/>
  <c r="AI281" i="2"/>
  <c r="AN465" i="2"/>
  <c r="X465" i="2"/>
  <c r="AI465" i="2"/>
  <c r="AD465" i="2"/>
  <c r="AI886" i="2"/>
  <c r="AN886" i="2"/>
  <c r="X886" i="2"/>
  <c r="AD886" i="2"/>
  <c r="AI890" i="2"/>
  <c r="AN890" i="2"/>
  <c r="X890" i="2"/>
  <c r="AD890" i="2"/>
  <c r="AI894" i="2"/>
  <c r="AN894" i="2"/>
  <c r="X894" i="2"/>
  <c r="AD894" i="2"/>
  <c r="AI898" i="2"/>
  <c r="AN898" i="2"/>
  <c r="X898" i="2"/>
  <c r="AD898" i="2"/>
  <c r="AI902" i="2"/>
  <c r="AN902" i="2"/>
  <c r="X902" i="2"/>
  <c r="AD902" i="2"/>
  <c r="AI906" i="2"/>
  <c r="AN906" i="2"/>
  <c r="X906" i="2"/>
  <c r="AD906" i="2"/>
  <c r="AI910" i="2"/>
  <c r="AN910" i="2"/>
  <c r="X910" i="2"/>
  <c r="AD910" i="2"/>
  <c r="AI914" i="2"/>
  <c r="AN914" i="2"/>
  <c r="X914" i="2"/>
  <c r="AD914" i="2"/>
  <c r="AI918" i="2"/>
  <c r="AN918" i="2"/>
  <c r="X918" i="2"/>
  <c r="AD918" i="2"/>
  <c r="AI922" i="2"/>
  <c r="AN922" i="2"/>
  <c r="X922" i="2"/>
  <c r="AD922" i="2"/>
  <c r="AI926" i="2"/>
  <c r="AN926" i="2"/>
  <c r="X926" i="2"/>
  <c r="AD926" i="2"/>
  <c r="AI930" i="2"/>
  <c r="AN930" i="2"/>
  <c r="X930" i="2"/>
  <c r="AD930" i="2"/>
  <c r="AS214" i="2"/>
  <c r="AX214" i="2" s="1"/>
  <c r="BG214" i="2" s="1"/>
  <c r="AI768" i="2"/>
  <c r="AN768" i="2"/>
  <c r="X768" i="2"/>
  <c r="AD768" i="2"/>
  <c r="AI832" i="2"/>
  <c r="AN832" i="2"/>
  <c r="X832" i="2"/>
  <c r="AD832" i="2"/>
  <c r="AS1309" i="2"/>
  <c r="AX1309" i="2" s="1"/>
  <c r="BG1309" i="2" s="1"/>
  <c r="AD1232" i="2"/>
  <c r="AN1232" i="2"/>
  <c r="X1232" i="2"/>
  <c r="AI1232" i="2"/>
  <c r="AD1296" i="2"/>
  <c r="AN1296" i="2"/>
  <c r="X1296" i="2"/>
  <c r="AI1296" i="2"/>
  <c r="AD1360" i="2"/>
  <c r="AN1360" i="2"/>
  <c r="X1360" i="2"/>
  <c r="AI1360" i="2"/>
  <c r="AS1230" i="2"/>
  <c r="AX1230" i="2" s="1"/>
  <c r="BG1230" i="2" s="1"/>
  <c r="AS1294" i="2"/>
  <c r="AX1294" i="2" s="1"/>
  <c r="BG1294" i="2" s="1"/>
  <c r="AS1358" i="2"/>
  <c r="AX1358" i="2" s="1"/>
  <c r="BG1358" i="2" s="1"/>
  <c r="AS1608" i="2"/>
  <c r="AX1608" i="2" s="1"/>
  <c r="BG1608" i="2" s="1"/>
  <c r="AS1559" i="2"/>
  <c r="AX1559" i="2" s="1"/>
  <c r="BG1559" i="2" s="1"/>
  <c r="AS1575" i="2"/>
  <c r="AX1575" i="2" s="1"/>
  <c r="BG1575" i="2" s="1"/>
  <c r="AN1625" i="2"/>
  <c r="X1625" i="2"/>
  <c r="AI1625" i="2"/>
  <c r="AD1625" i="2"/>
  <c r="AS2072" i="2"/>
  <c r="AX2072" i="2" s="1"/>
  <c r="BG2072" i="2" s="1"/>
  <c r="AS2450" i="2"/>
  <c r="AX2450" i="2" s="1"/>
  <c r="BG2450" i="2" s="1"/>
  <c r="AS2205" i="2"/>
  <c r="AX2205" i="2" s="1"/>
  <c r="BG2205" i="2" s="1"/>
  <c r="AN1978" i="2"/>
  <c r="X1978" i="2"/>
  <c r="AI1978" i="2"/>
  <c r="AD1978" i="2"/>
  <c r="AS1332" i="2"/>
  <c r="AX1332" i="2" s="1"/>
  <c r="BG1332" i="2" s="1"/>
  <c r="AS1774" i="2"/>
  <c r="AX1774" i="2" s="1"/>
  <c r="BG1774" i="2" s="1"/>
  <c r="AS1798" i="2"/>
  <c r="AX1798" i="2" s="1"/>
  <c r="BG1798" i="2" s="1"/>
  <c r="AS1822" i="2"/>
  <c r="AX1822" i="2" s="1"/>
  <c r="BG1822" i="2" s="1"/>
  <c r="AS2050" i="2"/>
  <c r="AX2050" i="2" s="1"/>
  <c r="BG2050" i="2" s="1"/>
  <c r="AS2066" i="2"/>
  <c r="AX2066" i="2" s="1"/>
  <c r="BG2066" i="2" s="1"/>
  <c r="AS2078" i="2"/>
  <c r="AX2078" i="2" s="1"/>
  <c r="BG2078" i="2" s="1"/>
  <c r="AS2086" i="2"/>
  <c r="AX2086" i="2" s="1"/>
  <c r="BG2086" i="2" s="1"/>
  <c r="AS2098" i="2"/>
  <c r="AX2098" i="2" s="1"/>
  <c r="BG2098" i="2" s="1"/>
  <c r="AS2438" i="2"/>
  <c r="AX2438" i="2" s="1"/>
  <c r="BG2438" i="2" s="1"/>
  <c r="AS2478" i="2"/>
  <c r="AX2478" i="2" s="1"/>
  <c r="BG2478" i="2" s="1"/>
  <c r="AS2486" i="2"/>
  <c r="AX2486" i="2" s="1"/>
  <c r="BG2486" i="2" s="1"/>
  <c r="AS1248" i="2"/>
  <c r="AX1248" i="2" s="1"/>
  <c r="BG1248" i="2" s="1"/>
  <c r="AN1267" i="2"/>
  <c r="X1267" i="2"/>
  <c r="AI1267" i="2"/>
  <c r="AD1267" i="2"/>
  <c r="AS75" i="2"/>
  <c r="AX75" i="2" s="1"/>
  <c r="BG75" i="2" s="1"/>
  <c r="AN131" i="2"/>
  <c r="X131" i="2"/>
  <c r="AI131" i="2"/>
  <c r="AD131" i="2"/>
  <c r="AN163" i="2"/>
  <c r="X163" i="2"/>
  <c r="AI163" i="2"/>
  <c r="AD163" i="2"/>
  <c r="AN283" i="2"/>
  <c r="X283" i="2"/>
  <c r="AI283" i="2"/>
  <c r="AD283" i="2"/>
  <c r="AS270" i="2"/>
  <c r="AX270" i="2" s="1"/>
  <c r="BG270" i="2" s="1"/>
  <c r="AS390" i="2"/>
  <c r="AX390" i="2" s="1"/>
  <c r="BG390" i="2" s="1"/>
  <c r="AI852" i="2"/>
  <c r="AN852" i="2"/>
  <c r="X852" i="2"/>
  <c r="AD852" i="2"/>
  <c r="AN1209" i="2"/>
  <c r="X1209" i="2"/>
  <c r="AI1209" i="2"/>
  <c r="AD1209" i="2"/>
  <c r="AS1603" i="2"/>
  <c r="AX1603" i="2" s="1"/>
  <c r="BG1603" i="2" s="1"/>
  <c r="AN365" i="2"/>
  <c r="X365" i="2"/>
  <c r="AI365" i="2"/>
  <c r="AD365" i="2"/>
  <c r="AN373" i="2"/>
  <c r="X373" i="2"/>
  <c r="AI373" i="2"/>
  <c r="AD373" i="2"/>
  <c r="AT412" i="2"/>
  <c r="AY412" i="2" s="1"/>
  <c r="BH412" i="2" s="1"/>
  <c r="AT444" i="2"/>
  <c r="AY444" i="2" s="1"/>
  <c r="BH444" i="2" s="1"/>
  <c r="AT476" i="2"/>
  <c r="AY476" i="2" s="1"/>
  <c r="BH476" i="2" s="1"/>
  <c r="AN1702" i="2"/>
  <c r="X1702" i="2"/>
  <c r="AD1702" i="2"/>
  <c r="AI1702" i="2"/>
  <c r="AN2279" i="2"/>
  <c r="X2279" i="2"/>
  <c r="AD2279" i="2"/>
  <c r="AI2279" i="2"/>
  <c r="AS99" i="2"/>
  <c r="AX99" i="2" s="1"/>
  <c r="BG99" i="2" s="1"/>
  <c r="AS1154" i="2"/>
  <c r="AX1154" i="2" s="1"/>
  <c r="BG1154" i="2" s="1"/>
  <c r="AS1162" i="2"/>
  <c r="AX1162" i="2" s="1"/>
  <c r="BG1162" i="2" s="1"/>
  <c r="AS1170" i="2"/>
  <c r="AX1170" i="2" s="1"/>
  <c r="BG1170" i="2" s="1"/>
  <c r="AI2407" i="2"/>
  <c r="AN2407" i="2"/>
  <c r="X2407" i="2"/>
  <c r="AD2407" i="2"/>
  <c r="AN2423" i="2"/>
  <c r="X2423" i="2"/>
  <c r="AI2423" i="2"/>
  <c r="AD2423" i="2"/>
  <c r="AD186" i="2"/>
  <c r="AN186" i="2"/>
  <c r="AI186" i="2"/>
  <c r="X186" i="2"/>
  <c r="AD202" i="2"/>
  <c r="AN202" i="2"/>
  <c r="AI202" i="2"/>
  <c r="X202" i="2"/>
  <c r="AS317" i="2"/>
  <c r="AX317" i="2" s="1"/>
  <c r="BG317" i="2" s="1"/>
  <c r="AD1258" i="2"/>
  <c r="AN1258" i="2"/>
  <c r="X1258" i="2"/>
  <c r="AI1258" i="2"/>
  <c r="AD1444" i="2"/>
  <c r="AN1444" i="2"/>
  <c r="X1444" i="2"/>
  <c r="AI1444" i="2"/>
  <c r="AD1448" i="2"/>
  <c r="AN1448" i="2"/>
  <c r="X1448" i="2"/>
  <c r="AI1448" i="2"/>
  <c r="AD1452" i="2"/>
  <c r="AN1452" i="2"/>
  <c r="X1452" i="2"/>
  <c r="AI1452" i="2"/>
  <c r="AD1456" i="2"/>
  <c r="AN1456" i="2"/>
  <c r="X1456" i="2"/>
  <c r="AI1456" i="2"/>
  <c r="AD1460" i="2"/>
  <c r="AN1460" i="2"/>
  <c r="X1460" i="2"/>
  <c r="AI1460" i="2"/>
  <c r="AD1464" i="2"/>
  <c r="AN1464" i="2"/>
  <c r="X1464" i="2"/>
  <c r="AI1464" i="2"/>
  <c r="AD1468" i="2"/>
  <c r="AN1468" i="2"/>
  <c r="X1468" i="2"/>
  <c r="AI1468" i="2"/>
  <c r="AD1472" i="2"/>
  <c r="AN1472" i="2"/>
  <c r="X1472" i="2"/>
  <c r="AI1472" i="2"/>
  <c r="AD2051" i="2"/>
  <c r="AN2051" i="2"/>
  <c r="X2051" i="2"/>
  <c r="AI2051" i="2"/>
  <c r="AI2152" i="2"/>
  <c r="AN2152" i="2"/>
  <c r="X2152" i="2"/>
  <c r="AD2152" i="2"/>
  <c r="AI2170" i="2"/>
  <c r="AD2170" i="2"/>
  <c r="AN2170" i="2"/>
  <c r="X2170" i="2"/>
  <c r="AS12" i="2"/>
  <c r="AX12" i="2" s="1"/>
  <c r="BG12" i="2" s="1"/>
  <c r="AD76" i="2"/>
  <c r="AI76" i="2"/>
  <c r="AN76" i="2"/>
  <c r="X76" i="2"/>
  <c r="AD106" i="2"/>
  <c r="AN106" i="2"/>
  <c r="AI106" i="2"/>
  <c r="X106" i="2"/>
  <c r="AS299" i="2"/>
  <c r="AX299" i="2" s="1"/>
  <c r="BG299" i="2" s="1"/>
  <c r="AS305" i="2"/>
  <c r="AX305" i="2" s="1"/>
  <c r="BG305" i="2" s="1"/>
  <c r="AN31" i="2"/>
  <c r="X31" i="2"/>
  <c r="AI31" i="2"/>
  <c r="AD31" i="2"/>
  <c r="AS41" i="2"/>
  <c r="AX41" i="2" s="1"/>
  <c r="BG41" i="2" s="1"/>
  <c r="AN95" i="2"/>
  <c r="X95" i="2"/>
  <c r="AI95" i="2"/>
  <c r="AD95" i="2"/>
  <c r="AD268" i="2"/>
  <c r="AN268" i="2"/>
  <c r="AI268" i="2"/>
  <c r="X268" i="2"/>
  <c r="AD282" i="2"/>
  <c r="X282" i="2"/>
  <c r="AN282" i="2"/>
  <c r="AI282" i="2"/>
  <c r="AS1254" i="2"/>
  <c r="AX1254" i="2" s="1"/>
  <c r="BG1254" i="2" s="1"/>
  <c r="AN1686" i="2"/>
  <c r="X1686" i="2"/>
  <c r="AD1686" i="2"/>
  <c r="AI1686" i="2"/>
  <c r="AD222" i="2"/>
  <c r="AN222" i="2"/>
  <c r="AI222" i="2"/>
  <c r="X222" i="2"/>
  <c r="AS631" i="2"/>
  <c r="AX631" i="2" s="1"/>
  <c r="BG631" i="2" s="1"/>
  <c r="AI695" i="2"/>
  <c r="AD695" i="2"/>
  <c r="AN695" i="2"/>
  <c r="X695" i="2"/>
  <c r="AS1459" i="2"/>
  <c r="AX1459" i="2" s="1"/>
  <c r="BG1459" i="2" s="1"/>
  <c r="AN1553" i="2"/>
  <c r="X1553" i="2"/>
  <c r="AD1553" i="2"/>
  <c r="AI1553" i="2"/>
  <c r="AD1636" i="2"/>
  <c r="AN1636" i="2"/>
  <c r="X1636" i="2"/>
  <c r="AI1636" i="2"/>
  <c r="AI1812" i="2"/>
  <c r="AD1812" i="2"/>
  <c r="X1812" i="2"/>
  <c r="AN1812" i="2"/>
  <c r="AS2075" i="2"/>
  <c r="AX2075" i="2" s="1"/>
  <c r="BG2075" i="2" s="1"/>
  <c r="AI2178" i="2"/>
  <c r="AD2178" i="2"/>
  <c r="AN2178" i="2"/>
  <c r="X2178" i="2"/>
  <c r="AS2436" i="2"/>
  <c r="AX2436" i="2" s="1"/>
  <c r="BG2436" i="2" s="1"/>
  <c r="AJ232" i="2"/>
  <c r="AE232" i="2"/>
  <c r="AO232" i="2"/>
  <c r="AN497" i="2"/>
  <c r="X497" i="2"/>
  <c r="AD497" i="2"/>
  <c r="AI497" i="2"/>
  <c r="AN501" i="2"/>
  <c r="X501" i="2"/>
  <c r="AD501" i="2"/>
  <c r="AI501" i="2"/>
  <c r="AN505" i="2"/>
  <c r="X505" i="2"/>
  <c r="AD505" i="2"/>
  <c r="AI505" i="2"/>
  <c r="AN1376" i="2"/>
  <c r="X1376" i="2"/>
  <c r="AI1376" i="2"/>
  <c r="AD1376" i="2"/>
  <c r="AD1584" i="2"/>
  <c r="AN1584" i="2"/>
  <c r="X1584" i="2"/>
  <c r="AI1584" i="2"/>
  <c r="AD1592" i="2"/>
  <c r="AN1592" i="2"/>
  <c r="X1592" i="2"/>
  <c r="AI1592" i="2"/>
  <c r="AN1555" i="2"/>
  <c r="X1555" i="2"/>
  <c r="AD1555" i="2"/>
  <c r="AI1555" i="2"/>
  <c r="AS1768" i="2"/>
  <c r="AX1768" i="2" s="1"/>
  <c r="BG1768" i="2" s="1"/>
  <c r="AS1784" i="2"/>
  <c r="AX1784" i="2" s="1"/>
  <c r="BG1784" i="2" s="1"/>
  <c r="AS1800" i="2"/>
  <c r="AX1800" i="2" s="1"/>
  <c r="BG1800" i="2" s="1"/>
  <c r="AS1824" i="2"/>
  <c r="AX1824" i="2" s="1"/>
  <c r="BG1824" i="2" s="1"/>
  <c r="AS2024" i="2"/>
  <c r="AX2024" i="2" s="1"/>
  <c r="BG2024" i="2" s="1"/>
  <c r="AS2028" i="2"/>
  <c r="AX2028" i="2" s="1"/>
  <c r="BG2028" i="2" s="1"/>
  <c r="AS2032" i="2"/>
  <c r="AX2032" i="2" s="1"/>
  <c r="BG2032" i="2" s="1"/>
  <c r="AS2036" i="2"/>
  <c r="AX2036" i="2" s="1"/>
  <c r="BG2036" i="2" s="1"/>
  <c r="AS2040" i="2"/>
  <c r="AX2040" i="2" s="1"/>
  <c r="BG2040" i="2" s="1"/>
  <c r="AI2160" i="2"/>
  <c r="AD2160" i="2"/>
  <c r="AN2160" i="2"/>
  <c r="X2160" i="2"/>
  <c r="AD537" i="2"/>
  <c r="AN537" i="2"/>
  <c r="X537" i="2"/>
  <c r="AI537" i="2"/>
  <c r="AS625" i="2"/>
  <c r="AX625" i="2" s="1"/>
  <c r="BG625" i="2" s="1"/>
  <c r="AS641" i="2"/>
  <c r="AX641" i="2" s="1"/>
  <c r="BG641" i="2" s="1"/>
  <c r="AS657" i="2"/>
  <c r="AX657" i="2" s="1"/>
  <c r="BG657" i="2" s="1"/>
  <c r="AS673" i="2"/>
  <c r="AX673" i="2" s="1"/>
  <c r="BG673" i="2" s="1"/>
  <c r="AS689" i="2"/>
  <c r="AX689" i="2" s="1"/>
  <c r="BG689" i="2" s="1"/>
  <c r="AS705" i="2"/>
  <c r="AX705" i="2" s="1"/>
  <c r="BG705" i="2" s="1"/>
  <c r="AS1177" i="2"/>
  <c r="AX1177" i="2" s="1"/>
  <c r="BG1177" i="2" s="1"/>
  <c r="AS1241" i="2"/>
  <c r="AX1241" i="2" s="1"/>
  <c r="BG1241" i="2" s="1"/>
  <c r="AS1305" i="2"/>
  <c r="AX1305" i="2" s="1"/>
  <c r="BG1305" i="2" s="1"/>
  <c r="AS1369" i="2"/>
  <c r="AX1369" i="2" s="1"/>
  <c r="BG1369" i="2" s="1"/>
  <c r="AD1242" i="2"/>
  <c r="AN1242" i="2"/>
  <c r="X1242" i="2"/>
  <c r="AI1242" i="2"/>
  <c r="AN1401" i="2"/>
  <c r="X1401" i="2"/>
  <c r="AD1401" i="2"/>
  <c r="AI1401" i="2"/>
  <c r="AD1588" i="2"/>
  <c r="AN1588" i="2"/>
  <c r="X1588" i="2"/>
  <c r="AI1588" i="2"/>
  <c r="AD1596" i="2"/>
  <c r="AN1596" i="2"/>
  <c r="X1596" i="2"/>
  <c r="AI1596" i="2"/>
  <c r="AS2114" i="2"/>
  <c r="AX2114" i="2" s="1"/>
  <c r="BG2114" i="2" s="1"/>
  <c r="AS2155" i="2"/>
  <c r="AX2155" i="2" s="1"/>
  <c r="BG2155" i="2" s="1"/>
  <c r="AS141" i="2"/>
  <c r="AX141" i="2" s="1"/>
  <c r="BG141" i="2" s="1"/>
  <c r="AS165" i="2"/>
  <c r="AX165" i="2" s="1"/>
  <c r="BG165" i="2" s="1"/>
  <c r="AS473" i="2"/>
  <c r="AX473" i="2" s="1"/>
  <c r="BG473" i="2" s="1"/>
  <c r="AS483" i="2"/>
  <c r="AX483" i="2" s="1"/>
  <c r="BG483" i="2" s="1"/>
  <c r="AS741" i="2"/>
  <c r="AX741" i="2" s="1"/>
  <c r="BG741" i="2" s="1"/>
  <c r="AS773" i="2"/>
  <c r="AX773" i="2" s="1"/>
  <c r="BG773" i="2" s="1"/>
  <c r="AS805" i="2"/>
  <c r="AX805" i="2" s="1"/>
  <c r="BG805" i="2" s="1"/>
  <c r="AS837" i="2"/>
  <c r="AX837" i="2" s="1"/>
  <c r="BG837" i="2" s="1"/>
  <c r="AS869" i="2"/>
  <c r="AX869" i="2" s="1"/>
  <c r="BG869" i="2" s="1"/>
  <c r="AS728" i="2"/>
  <c r="AX728" i="2" s="1"/>
  <c r="BG728" i="2" s="1"/>
  <c r="AS856" i="2"/>
  <c r="AX856" i="2" s="1"/>
  <c r="BG856" i="2" s="1"/>
  <c r="AN1523" i="2"/>
  <c r="X1523" i="2"/>
  <c r="AD1523" i="2"/>
  <c r="AI1523" i="2"/>
  <c r="AS1607" i="2"/>
  <c r="AX1607" i="2" s="1"/>
  <c r="BG1607" i="2" s="1"/>
  <c r="AO1799" i="2"/>
  <c r="AJ1799" i="2"/>
  <c r="AE1799" i="2"/>
  <c r="AI1832" i="2"/>
  <c r="AD1832" i="2"/>
  <c r="X1832" i="2"/>
  <c r="AN1832" i="2"/>
  <c r="AS2080" i="2"/>
  <c r="AX2080" i="2" s="1"/>
  <c r="BG2080" i="2" s="1"/>
  <c r="AS2239" i="2"/>
  <c r="AX2239" i="2" s="1"/>
  <c r="BG2239" i="2" s="1"/>
  <c r="AS2303" i="2"/>
  <c r="AX2303" i="2" s="1"/>
  <c r="BG2303" i="2" s="1"/>
  <c r="AI1057" i="2"/>
  <c r="AN1057" i="2"/>
  <c r="X1057" i="2"/>
  <c r="AD1057" i="2"/>
  <c r="AI1105" i="2"/>
  <c r="AN1105" i="2"/>
  <c r="X1105" i="2"/>
  <c r="AD1105" i="2"/>
  <c r="AS1284" i="2"/>
  <c r="AX1284" i="2" s="1"/>
  <c r="BG1284" i="2" s="1"/>
  <c r="AN1471" i="2"/>
  <c r="X1471" i="2"/>
  <c r="AD1471" i="2"/>
  <c r="AI1471" i="2"/>
  <c r="AS1565" i="2"/>
  <c r="AX1565" i="2" s="1"/>
  <c r="BG1565" i="2" s="1"/>
  <c r="AD1387" i="2"/>
  <c r="AI1387" i="2"/>
  <c r="AN1387" i="2"/>
  <c r="X1387" i="2"/>
  <c r="AD1893" i="2"/>
  <c r="AN1893" i="2"/>
  <c r="X1893" i="2"/>
  <c r="AI1893" i="2"/>
  <c r="AD1957" i="2"/>
  <c r="AN1957" i="2"/>
  <c r="X1957" i="2"/>
  <c r="AI1957" i="2"/>
  <c r="AS1991" i="2"/>
  <c r="AX1991" i="2" s="1"/>
  <c r="BG1991" i="2" s="1"/>
  <c r="AN2100" i="2"/>
  <c r="X2100" i="2"/>
  <c r="AI2100" i="2"/>
  <c r="AD2100" i="2"/>
  <c r="AS2180" i="2"/>
  <c r="AX2180" i="2" s="1"/>
  <c r="BG2180" i="2" s="1"/>
  <c r="AD2485" i="2"/>
  <c r="AN2485" i="2"/>
  <c r="X2485" i="2"/>
  <c r="AI2485" i="2"/>
  <c r="AD2493" i="2"/>
  <c r="AN2493" i="2"/>
  <c r="X2493" i="2"/>
  <c r="AI2493" i="2"/>
  <c r="AS416" i="2"/>
  <c r="AX416" i="2" s="1"/>
  <c r="BG416" i="2" s="1"/>
  <c r="AN387" i="2"/>
  <c r="X387" i="2"/>
  <c r="AI387" i="2"/>
  <c r="AD387" i="2"/>
  <c r="AS1093" i="2"/>
  <c r="AX1093" i="2" s="1"/>
  <c r="BG1093" i="2" s="1"/>
  <c r="AN219" i="2"/>
  <c r="X219" i="2"/>
  <c r="AI219" i="2"/>
  <c r="AD219" i="2"/>
  <c r="AN225" i="2"/>
  <c r="X225" i="2"/>
  <c r="AI225" i="2"/>
  <c r="AD225" i="2"/>
  <c r="AS114" i="2"/>
  <c r="AX114" i="2" s="1"/>
  <c r="BG114" i="2" s="1"/>
  <c r="AN415" i="2"/>
  <c r="X415" i="2"/>
  <c r="AI415" i="2"/>
  <c r="AD415" i="2"/>
  <c r="AS418" i="2"/>
  <c r="AX418" i="2" s="1"/>
  <c r="BG418" i="2" s="1"/>
  <c r="AD448" i="2"/>
  <c r="AN448" i="2"/>
  <c r="AI448" i="2"/>
  <c r="X448" i="2"/>
  <c r="AS1226" i="2"/>
  <c r="AX1226" i="2" s="1"/>
  <c r="BG1226" i="2" s="1"/>
  <c r="AN1429" i="2"/>
  <c r="X1429" i="2"/>
  <c r="AD1429" i="2"/>
  <c r="AI1429" i="2"/>
  <c r="AO1839" i="2"/>
  <c r="AJ1839" i="2"/>
  <c r="AE1839" i="2"/>
  <c r="AD2085" i="2"/>
  <c r="AN2085" i="2"/>
  <c r="X2085" i="2"/>
  <c r="AI2085" i="2"/>
  <c r="AS63" i="2"/>
  <c r="AX63" i="2" s="1"/>
  <c r="BG63" i="2" s="1"/>
  <c r="AN73" i="2"/>
  <c r="X73" i="2"/>
  <c r="AI73" i="2"/>
  <c r="AD73" i="2"/>
  <c r="AS512" i="2"/>
  <c r="AX512" i="2" s="1"/>
  <c r="BG512" i="2" s="1"/>
  <c r="AS294" i="2"/>
  <c r="AX294" i="2" s="1"/>
  <c r="BG294" i="2" s="1"/>
  <c r="AD513" i="2"/>
  <c r="AN513" i="2"/>
  <c r="X513" i="2"/>
  <c r="AI513" i="2"/>
  <c r="AD545" i="2"/>
  <c r="AN545" i="2"/>
  <c r="X545" i="2"/>
  <c r="AI545" i="2"/>
  <c r="AS1365" i="2"/>
  <c r="AX1365" i="2" s="1"/>
  <c r="BG1365" i="2" s="1"/>
  <c r="AS1240" i="2"/>
  <c r="AX1240" i="2" s="1"/>
  <c r="BG1240" i="2" s="1"/>
  <c r="AS1371" i="2"/>
  <c r="AX1371" i="2" s="1"/>
  <c r="BG1371" i="2" s="1"/>
  <c r="AN1655" i="2"/>
  <c r="X1655" i="2"/>
  <c r="AI1655" i="2"/>
  <c r="AD1655" i="2"/>
  <c r="AS1757" i="2"/>
  <c r="AX1757" i="2" s="1"/>
  <c r="BG1757" i="2" s="1"/>
  <c r="AS1773" i="2"/>
  <c r="AX1773" i="2" s="1"/>
  <c r="BG1773" i="2" s="1"/>
  <c r="AS1789" i="2"/>
  <c r="AX1789" i="2" s="1"/>
  <c r="BG1789" i="2" s="1"/>
  <c r="AS1805" i="2"/>
  <c r="AX1805" i="2" s="1"/>
  <c r="BG1805" i="2" s="1"/>
  <c r="AD194" i="2"/>
  <c r="AI194" i="2"/>
  <c r="X194" i="2"/>
  <c r="AN194" i="2"/>
  <c r="AS1185" i="2"/>
  <c r="AX1185" i="2" s="1"/>
  <c r="BG1185" i="2" s="1"/>
  <c r="AN1545" i="2"/>
  <c r="X1545" i="2"/>
  <c r="AD1545" i="2"/>
  <c r="AI1545" i="2"/>
  <c r="AN1561" i="2"/>
  <c r="X1561" i="2"/>
  <c r="AD1561" i="2"/>
  <c r="AI1561" i="2"/>
  <c r="AN1577" i="2"/>
  <c r="X1577" i="2"/>
  <c r="AD1577" i="2"/>
  <c r="AI1577" i="2"/>
  <c r="AS1643" i="2"/>
  <c r="AX1643" i="2" s="1"/>
  <c r="BG1643" i="2" s="1"/>
  <c r="AS1485" i="2"/>
  <c r="AX1485" i="2" s="1"/>
  <c r="BG1485" i="2" s="1"/>
  <c r="AN1517" i="2"/>
  <c r="X1517" i="2"/>
  <c r="AD1517" i="2"/>
  <c r="AI1517" i="2"/>
  <c r="AN1521" i="2"/>
  <c r="X1521" i="2"/>
  <c r="AD1521" i="2"/>
  <c r="AI1521" i="2"/>
  <c r="AN1525" i="2"/>
  <c r="X1525" i="2"/>
  <c r="AD1525" i="2"/>
  <c r="AI1525" i="2"/>
  <c r="AS1457" i="2"/>
  <c r="AX1457" i="2" s="1"/>
  <c r="BG1457" i="2" s="1"/>
  <c r="AS1714" i="2"/>
  <c r="AX1714" i="2" s="1"/>
  <c r="BG1714" i="2" s="1"/>
  <c r="AD1889" i="2"/>
  <c r="AN1889" i="2"/>
  <c r="X1889" i="2"/>
  <c r="AI1889" i="2"/>
  <c r="AD1953" i="2"/>
  <c r="AN1953" i="2"/>
  <c r="X1953" i="2"/>
  <c r="AI1953" i="2"/>
  <c r="AD2017" i="2"/>
  <c r="AN2017" i="2"/>
  <c r="X2017" i="2"/>
  <c r="AI2017" i="2"/>
  <c r="AS1987" i="2"/>
  <c r="AX1987" i="2" s="1"/>
  <c r="BG1987" i="2" s="1"/>
  <c r="AD2107" i="2"/>
  <c r="AN2107" i="2"/>
  <c r="X2107" i="2"/>
  <c r="AI2107" i="2"/>
  <c r="AS2322" i="2"/>
  <c r="AX2322" i="2" s="1"/>
  <c r="BG2322" i="2" s="1"/>
  <c r="AS2330" i="2"/>
  <c r="AX2330" i="2" s="1"/>
  <c r="BG2330" i="2" s="1"/>
  <c r="AS2338" i="2"/>
  <c r="AX2338" i="2" s="1"/>
  <c r="BG2338" i="2" s="1"/>
  <c r="AS2346" i="2"/>
  <c r="AX2346" i="2" s="1"/>
  <c r="BG2346" i="2" s="1"/>
  <c r="AS2354" i="2"/>
  <c r="AX2354" i="2" s="1"/>
  <c r="BG2354" i="2" s="1"/>
  <c r="AS2362" i="2"/>
  <c r="AX2362" i="2" s="1"/>
  <c r="BG2362" i="2" s="1"/>
  <c r="AS2370" i="2"/>
  <c r="AX2370" i="2" s="1"/>
  <c r="BG2370" i="2" s="1"/>
  <c r="AS2378" i="2"/>
  <c r="AX2378" i="2" s="1"/>
  <c r="BG2378" i="2" s="1"/>
  <c r="AS2386" i="2"/>
  <c r="AX2386" i="2" s="1"/>
  <c r="BG2386" i="2" s="1"/>
  <c r="AN2413" i="2"/>
  <c r="X2413" i="2"/>
  <c r="AI2413" i="2"/>
  <c r="AD2413" i="2"/>
  <c r="AN55" i="2"/>
  <c r="X55" i="2"/>
  <c r="AI55" i="2"/>
  <c r="AD55" i="2"/>
  <c r="AS88" i="2"/>
  <c r="AX88" i="2" s="1"/>
  <c r="BG88" i="2" s="1"/>
  <c r="AS94" i="2"/>
  <c r="AX94" i="2" s="1"/>
  <c r="BG94" i="2" s="1"/>
  <c r="AN135" i="2"/>
  <c r="X135" i="2"/>
  <c r="AI135" i="2"/>
  <c r="AD135" i="2"/>
  <c r="AN199" i="2"/>
  <c r="X199" i="2"/>
  <c r="AI199" i="2"/>
  <c r="AD199" i="2"/>
  <c r="AS236" i="2"/>
  <c r="AX236" i="2" s="1"/>
  <c r="BG236" i="2" s="1"/>
  <c r="AT420" i="2"/>
  <c r="AY420" i="2" s="1"/>
  <c r="BH420" i="2" s="1"/>
  <c r="AT436" i="2"/>
  <c r="AY436" i="2" s="1"/>
  <c r="BH436" i="2" s="1"/>
  <c r="AT452" i="2"/>
  <c r="AY452" i="2" s="1"/>
  <c r="BH452" i="2" s="1"/>
  <c r="AT484" i="2"/>
  <c r="AY484" i="2" s="1"/>
  <c r="BH484" i="2" s="1"/>
  <c r="AN556" i="2"/>
  <c r="X556" i="2"/>
  <c r="AI556" i="2"/>
  <c r="AD556" i="2"/>
  <c r="AN558" i="2"/>
  <c r="X558" i="2"/>
  <c r="AI558" i="2"/>
  <c r="AD558" i="2"/>
  <c r="AN560" i="2"/>
  <c r="X560" i="2"/>
  <c r="AI560" i="2"/>
  <c r="AD560" i="2"/>
  <c r="AN562" i="2"/>
  <c r="X562" i="2"/>
  <c r="AI562" i="2"/>
  <c r="AD562" i="2"/>
  <c r="AN564" i="2"/>
  <c r="X564" i="2"/>
  <c r="AI564" i="2"/>
  <c r="AD564" i="2"/>
  <c r="AN566" i="2"/>
  <c r="X566" i="2"/>
  <c r="AI566" i="2"/>
  <c r="AD566" i="2"/>
  <c r="AN568" i="2"/>
  <c r="X568" i="2"/>
  <c r="AI568" i="2"/>
  <c r="AD568" i="2"/>
  <c r="AN570" i="2"/>
  <c r="X570" i="2"/>
  <c r="AI570" i="2"/>
  <c r="AD570" i="2"/>
  <c r="AN572" i="2"/>
  <c r="X572" i="2"/>
  <c r="AI572" i="2"/>
  <c r="AD572" i="2"/>
  <c r="AN574" i="2"/>
  <c r="X574" i="2"/>
  <c r="AI574" i="2"/>
  <c r="AD574" i="2"/>
  <c r="AN576" i="2"/>
  <c r="X576" i="2"/>
  <c r="AI576" i="2"/>
  <c r="AD576" i="2"/>
  <c r="AN578" i="2"/>
  <c r="X578" i="2"/>
  <c r="AI578" i="2"/>
  <c r="AD578" i="2"/>
  <c r="AN580" i="2"/>
  <c r="X580" i="2"/>
  <c r="AI580" i="2"/>
  <c r="AD580" i="2"/>
  <c r="AN582" i="2"/>
  <c r="X582" i="2"/>
  <c r="AI582" i="2"/>
  <c r="AD582" i="2"/>
  <c r="AN584" i="2"/>
  <c r="X584" i="2"/>
  <c r="AI584" i="2"/>
  <c r="AD584" i="2"/>
  <c r="AN586" i="2"/>
  <c r="X586" i="2"/>
  <c r="AI586" i="2"/>
  <c r="AD586" i="2"/>
  <c r="AN588" i="2"/>
  <c r="X588" i="2"/>
  <c r="AI588" i="2"/>
  <c r="AD588" i="2"/>
  <c r="AN590" i="2"/>
  <c r="X590" i="2"/>
  <c r="AI590" i="2"/>
  <c r="AD590" i="2"/>
  <c r="AN592" i="2"/>
  <c r="X592" i="2"/>
  <c r="AI592" i="2"/>
  <c r="AD592" i="2"/>
  <c r="AN594" i="2"/>
  <c r="X594" i="2"/>
  <c r="AI594" i="2"/>
  <c r="AD594" i="2"/>
  <c r="AN596" i="2"/>
  <c r="X596" i="2"/>
  <c r="AI596" i="2"/>
  <c r="AD596" i="2"/>
  <c r="AN598" i="2"/>
  <c r="X598" i="2"/>
  <c r="AI598" i="2"/>
  <c r="AD598" i="2"/>
  <c r="AN600" i="2"/>
  <c r="X600" i="2"/>
  <c r="AI600" i="2"/>
  <c r="AD600" i="2"/>
  <c r="AN602" i="2"/>
  <c r="X602" i="2"/>
  <c r="AI602" i="2"/>
  <c r="AD602" i="2"/>
  <c r="AN604" i="2"/>
  <c r="X604" i="2"/>
  <c r="AI604" i="2"/>
  <c r="AD604" i="2"/>
  <c r="AN606" i="2"/>
  <c r="X606" i="2"/>
  <c r="AI606" i="2"/>
  <c r="AD606" i="2"/>
  <c r="AN608" i="2"/>
  <c r="X608" i="2"/>
  <c r="AI608" i="2"/>
  <c r="AD608" i="2"/>
  <c r="AN610" i="2"/>
  <c r="X610" i="2"/>
  <c r="AI610" i="2"/>
  <c r="AD610" i="2"/>
  <c r="AN612" i="2"/>
  <c r="X612" i="2"/>
  <c r="AI612" i="2"/>
  <c r="AD612" i="2"/>
  <c r="AN614" i="2"/>
  <c r="X614" i="2"/>
  <c r="AI614" i="2"/>
  <c r="AD614" i="2"/>
  <c r="AN616" i="2"/>
  <c r="X616" i="2"/>
  <c r="AI616" i="2"/>
  <c r="AD616" i="2"/>
  <c r="AN618" i="2"/>
  <c r="X618" i="2"/>
  <c r="AI618" i="2"/>
  <c r="AD618" i="2"/>
  <c r="AN2211" i="2"/>
  <c r="X2211" i="2"/>
  <c r="AD2211" i="2"/>
  <c r="AI2211" i="2"/>
  <c r="AN2243" i="2"/>
  <c r="X2243" i="2"/>
  <c r="AD2243" i="2"/>
  <c r="AI2243" i="2"/>
  <c r="AN2275" i="2"/>
  <c r="X2275" i="2"/>
  <c r="AD2275" i="2"/>
  <c r="AI2275" i="2"/>
  <c r="AN79" i="2"/>
  <c r="X79" i="2"/>
  <c r="AI79" i="2"/>
  <c r="AD79" i="2"/>
  <c r="AD490" i="2"/>
  <c r="AN490" i="2"/>
  <c r="AI490" i="2"/>
  <c r="X490" i="2"/>
  <c r="AD66" i="2"/>
  <c r="AI66" i="2"/>
  <c r="AN66" i="2"/>
  <c r="X66" i="2"/>
  <c r="AS78" i="2"/>
  <c r="AX78" i="2" s="1"/>
  <c r="BG78" i="2" s="1"/>
  <c r="AN1295" i="2"/>
  <c r="X1295" i="2"/>
  <c r="AI1295" i="2"/>
  <c r="AD1295" i="2"/>
  <c r="AS1373" i="2"/>
  <c r="AX1373" i="2" s="1"/>
  <c r="BG1373" i="2" s="1"/>
  <c r="AS1389" i="2"/>
  <c r="AX1389" i="2" s="1"/>
  <c r="BG1389" i="2" s="1"/>
  <c r="AS1864" i="2"/>
  <c r="AX1864" i="2" s="1"/>
  <c r="BG1864" i="2" s="1"/>
  <c r="AS1872" i="2"/>
  <c r="AX1872" i="2" s="1"/>
  <c r="BG1872" i="2" s="1"/>
  <c r="AS1880" i="2"/>
  <c r="AX1880" i="2" s="1"/>
  <c r="BG1880" i="2" s="1"/>
  <c r="AS1888" i="2"/>
  <c r="AX1888" i="2" s="1"/>
  <c r="BG1888" i="2" s="1"/>
  <c r="AS1896" i="2"/>
  <c r="AX1896" i="2" s="1"/>
  <c r="BG1896" i="2" s="1"/>
  <c r="AS1904" i="2"/>
  <c r="AX1904" i="2" s="1"/>
  <c r="BG1904" i="2" s="1"/>
  <c r="AS1912" i="2"/>
  <c r="AX1912" i="2" s="1"/>
  <c r="BG1912" i="2" s="1"/>
  <c r="AS1920" i="2"/>
  <c r="AX1920" i="2" s="1"/>
  <c r="BG1920" i="2" s="1"/>
  <c r="AS1928" i="2"/>
  <c r="AX1928" i="2" s="1"/>
  <c r="BG1928" i="2" s="1"/>
  <c r="AS1936" i="2"/>
  <c r="AX1936" i="2" s="1"/>
  <c r="BG1936" i="2" s="1"/>
  <c r="AS1944" i="2"/>
  <c r="AX1944" i="2" s="1"/>
  <c r="BG1944" i="2" s="1"/>
  <c r="AS1952" i="2"/>
  <c r="AX1952" i="2" s="1"/>
  <c r="BG1952" i="2" s="1"/>
  <c r="AS2108" i="2"/>
  <c r="AX2108" i="2" s="1"/>
  <c r="BG2108" i="2" s="1"/>
  <c r="AN2484" i="2"/>
  <c r="X2484" i="2"/>
  <c r="AD2484" i="2"/>
  <c r="AI2484" i="2"/>
  <c r="AS496" i="2"/>
  <c r="AX496" i="2" s="1"/>
  <c r="BG496" i="2" s="1"/>
  <c r="AS500" i="2"/>
  <c r="AX500" i="2" s="1"/>
  <c r="BG500" i="2" s="1"/>
  <c r="AS504" i="2"/>
  <c r="AX504" i="2" s="1"/>
  <c r="BG504" i="2" s="1"/>
  <c r="AD432" i="2"/>
  <c r="AN432" i="2"/>
  <c r="AI432" i="2"/>
  <c r="X432" i="2"/>
  <c r="AN481" i="2"/>
  <c r="X481" i="2"/>
  <c r="AI481" i="2"/>
  <c r="AD481" i="2"/>
  <c r="AD16" i="2"/>
  <c r="AN16" i="2"/>
  <c r="AI16" i="2"/>
  <c r="X16" i="2"/>
  <c r="AD48" i="2"/>
  <c r="AN48" i="2"/>
  <c r="AI48" i="2"/>
  <c r="X48" i="2"/>
  <c r="AS757" i="2"/>
  <c r="AX757" i="2" s="1"/>
  <c r="BG757" i="2" s="1"/>
  <c r="AS789" i="2"/>
  <c r="AX789" i="2" s="1"/>
  <c r="BG789" i="2" s="1"/>
  <c r="AS821" i="2"/>
  <c r="AX821" i="2" s="1"/>
  <c r="BG821" i="2" s="1"/>
  <c r="AS853" i="2"/>
  <c r="AX853" i="2" s="1"/>
  <c r="BG853" i="2" s="1"/>
  <c r="AS885" i="2"/>
  <c r="AX885" i="2" s="1"/>
  <c r="BG885" i="2" s="1"/>
  <c r="AS1206" i="2"/>
  <c r="AX1206" i="2" s="1"/>
  <c r="BG1206" i="2" s="1"/>
  <c r="AS1270" i="2"/>
  <c r="AX1270" i="2" s="1"/>
  <c r="BG1270" i="2" s="1"/>
  <c r="AS1334" i="2"/>
  <c r="AX1334" i="2" s="1"/>
  <c r="BG1334" i="2" s="1"/>
  <c r="AS1664" i="2"/>
  <c r="AX1664" i="2" s="1"/>
  <c r="BG1664" i="2" s="1"/>
  <c r="AS1586" i="2"/>
  <c r="AX1586" i="2" s="1"/>
  <c r="BG1586" i="2" s="1"/>
  <c r="AS1594" i="2"/>
  <c r="AX1594" i="2" s="1"/>
  <c r="BG1594" i="2" s="1"/>
  <c r="AO1767" i="2"/>
  <c r="AJ1767" i="2"/>
  <c r="AE1767" i="2"/>
  <c r="AO1831" i="2"/>
  <c r="AJ1831" i="2"/>
  <c r="AE1831" i="2"/>
  <c r="AS1840" i="2"/>
  <c r="AX1840" i="2" s="1"/>
  <c r="BG1840" i="2" s="1"/>
  <c r="AI2022" i="2"/>
  <c r="AD2022" i="2"/>
  <c r="AN2022" i="2"/>
  <c r="X2022" i="2"/>
  <c r="AI2026" i="2"/>
  <c r="AD2026" i="2"/>
  <c r="AN2026" i="2"/>
  <c r="X2026" i="2"/>
  <c r="AI2030" i="2"/>
  <c r="AD2030" i="2"/>
  <c r="AN2030" i="2"/>
  <c r="X2030" i="2"/>
  <c r="AI2034" i="2"/>
  <c r="AD2034" i="2"/>
  <c r="AN2034" i="2"/>
  <c r="X2034" i="2"/>
  <c r="AI2038" i="2"/>
  <c r="AD2038" i="2"/>
  <c r="AN2038" i="2"/>
  <c r="X2038" i="2"/>
  <c r="AS2071" i="2"/>
  <c r="AX2071" i="2" s="1"/>
  <c r="BG2071" i="2" s="1"/>
  <c r="AI2168" i="2"/>
  <c r="AD2168" i="2"/>
  <c r="AN2168" i="2"/>
  <c r="X2168" i="2"/>
  <c r="AN475" i="2"/>
  <c r="X475" i="2"/>
  <c r="AI475" i="2"/>
  <c r="AD475" i="2"/>
  <c r="AD1252" i="2"/>
  <c r="AN1252" i="2"/>
  <c r="X1252" i="2"/>
  <c r="AI1252" i="2"/>
  <c r="AD1316" i="2"/>
  <c r="AN1316" i="2"/>
  <c r="X1316" i="2"/>
  <c r="AI1316" i="2"/>
  <c r="AN1255" i="2"/>
  <c r="X1255" i="2"/>
  <c r="AI1255" i="2"/>
  <c r="AD1255" i="2"/>
  <c r="AD1186" i="2"/>
  <c r="AN1186" i="2"/>
  <c r="X1186" i="2"/>
  <c r="AI1186" i="2"/>
  <c r="AD1250" i="2"/>
  <c r="AN1250" i="2"/>
  <c r="X1250" i="2"/>
  <c r="AI1250" i="2"/>
  <c r="AD1314" i="2"/>
  <c r="AN1314" i="2"/>
  <c r="X1314" i="2"/>
  <c r="AI1314" i="2"/>
  <c r="AD1391" i="2"/>
  <c r="AI1391" i="2"/>
  <c r="AN1391" i="2"/>
  <c r="X1391" i="2"/>
  <c r="AN1503" i="2"/>
  <c r="X1503" i="2"/>
  <c r="AD1503" i="2"/>
  <c r="AI1503" i="2"/>
  <c r="AN1453" i="2"/>
  <c r="X1453" i="2"/>
  <c r="AD1453" i="2"/>
  <c r="AI1453" i="2"/>
  <c r="AN1469" i="2"/>
  <c r="X1469" i="2"/>
  <c r="AD1469" i="2"/>
  <c r="AI1469" i="2"/>
  <c r="AN1653" i="2"/>
  <c r="X1653" i="2"/>
  <c r="AI1653" i="2"/>
  <c r="AD1653" i="2"/>
  <c r="AS117" i="2"/>
  <c r="AX117" i="2" s="1"/>
  <c r="BG117" i="2" s="1"/>
  <c r="AS213" i="2"/>
  <c r="AX213" i="2" s="1"/>
  <c r="BG213" i="2" s="1"/>
  <c r="AT1775" i="2"/>
  <c r="AY1775" i="2" s="1"/>
  <c r="BH1775" i="2" s="1"/>
  <c r="AD1669" i="2"/>
  <c r="AN1669" i="2"/>
  <c r="X1669" i="2"/>
  <c r="AI1669" i="2"/>
  <c r="AD1685" i="2"/>
  <c r="AN1685" i="2"/>
  <c r="X1685" i="2"/>
  <c r="AI1685" i="2"/>
  <c r="AD1701" i="2"/>
  <c r="AN1701" i="2"/>
  <c r="X1701" i="2"/>
  <c r="AI1701" i="2"/>
  <c r="AD1717" i="2"/>
  <c r="AN1717" i="2"/>
  <c r="X1717" i="2"/>
  <c r="AI1717" i="2"/>
  <c r="AD1733" i="2"/>
  <c r="AN1733" i="2"/>
  <c r="X1733" i="2"/>
  <c r="AI1733" i="2"/>
  <c r="AD1749" i="2"/>
  <c r="AN1749" i="2"/>
  <c r="X1749" i="2"/>
  <c r="AI1749" i="2"/>
  <c r="AN2441" i="2"/>
  <c r="X2441" i="2"/>
  <c r="AI2441" i="2"/>
  <c r="AD2441" i="2"/>
  <c r="AI2151" i="2"/>
  <c r="AD2151" i="2"/>
  <c r="AN2151" i="2"/>
  <c r="X2151" i="2"/>
  <c r="AI2401" i="2"/>
  <c r="AN2401" i="2"/>
  <c r="X2401" i="2"/>
  <c r="AD2401" i="2"/>
  <c r="AN2482" i="2"/>
  <c r="X2482" i="2"/>
  <c r="AD2482" i="2"/>
  <c r="AI2482" i="2"/>
  <c r="AS379" i="2"/>
  <c r="AX379" i="2" s="1"/>
  <c r="BG379" i="2" s="1"/>
  <c r="AS816" i="2"/>
  <c r="AX816" i="2" s="1"/>
  <c r="BG816" i="2" s="1"/>
  <c r="AS880" i="2"/>
  <c r="AX880" i="2" s="1"/>
  <c r="BG880" i="2" s="1"/>
  <c r="AN2175" i="2"/>
  <c r="X2175" i="2"/>
  <c r="AI2175" i="2"/>
  <c r="AD2175" i="2"/>
  <c r="AD2481" i="2"/>
  <c r="AN2481" i="2"/>
  <c r="X2481" i="2"/>
  <c r="AI2481" i="2"/>
  <c r="AS2439" i="2"/>
  <c r="AX2439" i="2" s="1"/>
  <c r="BG2439" i="2" s="1"/>
  <c r="AS788" i="2"/>
  <c r="AX788" i="2" s="1"/>
  <c r="BG788" i="2" s="1"/>
  <c r="AD1671" i="2"/>
  <c r="AN1671" i="2"/>
  <c r="X1671" i="2"/>
  <c r="AI1671" i="2"/>
  <c r="AD1679" i="2"/>
  <c r="AN1679" i="2"/>
  <c r="X1679" i="2"/>
  <c r="AI1679" i="2"/>
  <c r="AD1691" i="2"/>
  <c r="AN1691" i="2"/>
  <c r="X1691" i="2"/>
  <c r="AI1691" i="2"/>
  <c r="AD1703" i="2"/>
  <c r="AN1703" i="2"/>
  <c r="X1703" i="2"/>
  <c r="AI1703" i="2"/>
  <c r="AD1711" i="2"/>
  <c r="AN1711" i="2"/>
  <c r="X1711" i="2"/>
  <c r="AI1711" i="2"/>
  <c r="AD1723" i="2"/>
  <c r="AN1723" i="2"/>
  <c r="X1723" i="2"/>
  <c r="AI1723" i="2"/>
  <c r="AD1731" i="2"/>
  <c r="AN1731" i="2"/>
  <c r="X1731" i="2"/>
  <c r="AI1731" i="2"/>
  <c r="AD1739" i="2"/>
  <c r="AN1739" i="2"/>
  <c r="X1739" i="2"/>
  <c r="AI1739" i="2"/>
  <c r="AD1751" i="2"/>
  <c r="AN1751" i="2"/>
  <c r="X1751" i="2"/>
  <c r="AI1751" i="2"/>
  <c r="AT1779" i="2"/>
  <c r="AY1779" i="2" s="1"/>
  <c r="BH1779" i="2" s="1"/>
  <c r="AS357" i="2"/>
  <c r="AX357" i="2" s="1"/>
  <c r="BG357" i="2" s="1"/>
  <c r="AI900" i="2"/>
  <c r="AN900" i="2"/>
  <c r="X900" i="2"/>
  <c r="AD900" i="2"/>
  <c r="AI912" i="2"/>
  <c r="AN912" i="2"/>
  <c r="X912" i="2"/>
  <c r="AD912" i="2"/>
  <c r="AI924" i="2"/>
  <c r="AN924" i="2"/>
  <c r="X924" i="2"/>
  <c r="AD924" i="2"/>
  <c r="AI744" i="2"/>
  <c r="AN744" i="2"/>
  <c r="X744" i="2"/>
  <c r="AD744" i="2"/>
  <c r="AI872" i="2"/>
  <c r="AN872" i="2"/>
  <c r="X872" i="2"/>
  <c r="AD872" i="2"/>
  <c r="AI1085" i="2"/>
  <c r="AN1085" i="2"/>
  <c r="X1085" i="2"/>
  <c r="AD1085" i="2"/>
  <c r="AN1633" i="2"/>
  <c r="X1633" i="2"/>
  <c r="AI1633" i="2"/>
  <c r="AD1633" i="2"/>
  <c r="AS2046" i="2"/>
  <c r="AX2046" i="2" s="1"/>
  <c r="BG2046" i="2" s="1"/>
  <c r="AS2247" i="2"/>
  <c r="AX2247" i="2" s="1"/>
  <c r="BG2247" i="2" s="1"/>
  <c r="AS2311" i="2"/>
  <c r="AX2311" i="2" s="1"/>
  <c r="BG2311" i="2" s="1"/>
  <c r="AN1297" i="2"/>
  <c r="X1297" i="2"/>
  <c r="AI1297" i="2"/>
  <c r="AD1297" i="2"/>
  <c r="AI1372" i="2"/>
  <c r="AD1372" i="2"/>
  <c r="AN1372" i="2"/>
  <c r="X1372" i="2"/>
  <c r="AI2428" i="2"/>
  <c r="AD2428" i="2"/>
  <c r="AN2428" i="2"/>
  <c r="X2428" i="2"/>
  <c r="AS26" i="2"/>
  <c r="AX26" i="2" s="1"/>
  <c r="BG26" i="2" s="1"/>
  <c r="AN127" i="2"/>
  <c r="X127" i="2"/>
  <c r="AI127" i="2"/>
  <c r="AD127" i="2"/>
  <c r="AN263" i="2"/>
  <c r="X263" i="2"/>
  <c r="AI263" i="2"/>
  <c r="AD263" i="2"/>
  <c r="AS502" i="2"/>
  <c r="AX502" i="2" s="1"/>
  <c r="BG502" i="2" s="1"/>
  <c r="AD360" i="2"/>
  <c r="AN360" i="2"/>
  <c r="AI360" i="2"/>
  <c r="X360" i="2"/>
  <c r="AS458" i="2"/>
  <c r="AX458" i="2" s="1"/>
  <c r="BG458" i="2" s="1"/>
  <c r="AD36" i="2"/>
  <c r="AI36" i="2"/>
  <c r="AN36" i="2"/>
  <c r="X36" i="2"/>
  <c r="AD515" i="2"/>
  <c r="AN515" i="2"/>
  <c r="X515" i="2"/>
  <c r="AI515" i="2"/>
  <c r="AD539" i="2"/>
  <c r="AN539" i="2"/>
  <c r="X539" i="2"/>
  <c r="AI539" i="2"/>
  <c r="AD555" i="2"/>
  <c r="AN555" i="2"/>
  <c r="X555" i="2"/>
  <c r="AI555" i="2"/>
  <c r="AN413" i="2"/>
  <c r="X413" i="2"/>
  <c r="AI413" i="2"/>
  <c r="AD413" i="2"/>
  <c r="AN445" i="2"/>
  <c r="X445" i="2"/>
  <c r="AI445" i="2"/>
  <c r="AD445" i="2"/>
  <c r="AN477" i="2"/>
  <c r="X477" i="2"/>
  <c r="AI477" i="2"/>
  <c r="AD477" i="2"/>
  <c r="AN1415" i="2"/>
  <c r="X1415" i="2"/>
  <c r="AD1415" i="2"/>
  <c r="AI1415" i="2"/>
  <c r="AS1788" i="2"/>
  <c r="AX1788" i="2" s="1"/>
  <c r="BG1788" i="2" s="1"/>
  <c r="AI2176" i="2"/>
  <c r="AD2176" i="2"/>
  <c r="AN2176" i="2"/>
  <c r="X2176" i="2"/>
  <c r="AI2472" i="2"/>
  <c r="AD2472" i="2"/>
  <c r="AN2472" i="2"/>
  <c r="X2472" i="2"/>
  <c r="AS2464" i="2"/>
  <c r="AX2464" i="2" s="1"/>
  <c r="BG2464" i="2" s="1"/>
  <c r="AN23" i="2"/>
  <c r="X23" i="2"/>
  <c r="AI23" i="2"/>
  <c r="AD23" i="2"/>
  <c r="AN45" i="2"/>
  <c r="X45" i="2"/>
  <c r="AD45" i="2"/>
  <c r="AI45" i="2"/>
  <c r="AT304" i="2"/>
  <c r="AY304" i="2" s="1"/>
  <c r="BH304" i="2" s="1"/>
  <c r="AS1047" i="2"/>
  <c r="AX1047" i="2" s="1"/>
  <c r="BG1047" i="2" s="1"/>
  <c r="AS740" i="2"/>
  <c r="AX740" i="2" s="1"/>
  <c r="BG740" i="2" s="1"/>
  <c r="AS804" i="2"/>
  <c r="AX804" i="2" s="1"/>
  <c r="BG804" i="2" s="1"/>
  <c r="AS868" i="2"/>
  <c r="AX868" i="2" s="1"/>
  <c r="BG868" i="2" s="1"/>
  <c r="AS1081" i="2"/>
  <c r="AX1081" i="2" s="1"/>
  <c r="BG1081" i="2" s="1"/>
  <c r="AS1083" i="2"/>
  <c r="AX1083" i="2" s="1"/>
  <c r="BG1083" i="2" s="1"/>
  <c r="AN1674" i="2"/>
  <c r="X1674" i="2"/>
  <c r="AD1674" i="2"/>
  <c r="AI1674" i="2"/>
  <c r="AN77" i="2"/>
  <c r="X77" i="2"/>
  <c r="AD77" i="2"/>
  <c r="AI77" i="2"/>
  <c r="AN15" i="2"/>
  <c r="X15" i="2"/>
  <c r="AI15" i="2"/>
  <c r="AD15" i="2"/>
  <c r="AI735" i="2"/>
  <c r="AD735" i="2"/>
  <c r="AN735" i="2"/>
  <c r="X735" i="2"/>
  <c r="AI751" i="2"/>
  <c r="AD751" i="2"/>
  <c r="AN751" i="2"/>
  <c r="X751" i="2"/>
  <c r="AI767" i="2"/>
  <c r="AD767" i="2"/>
  <c r="AN767" i="2"/>
  <c r="X767" i="2"/>
  <c r="AI783" i="2"/>
  <c r="AD783" i="2"/>
  <c r="AN783" i="2"/>
  <c r="X783" i="2"/>
  <c r="AI799" i="2"/>
  <c r="AD799" i="2"/>
  <c r="AN799" i="2"/>
  <c r="X799" i="2"/>
  <c r="AI815" i="2"/>
  <c r="AD815" i="2"/>
  <c r="AN815" i="2"/>
  <c r="X815" i="2"/>
  <c r="AI831" i="2"/>
  <c r="AD831" i="2"/>
  <c r="AN831" i="2"/>
  <c r="X831" i="2"/>
  <c r="AI847" i="2"/>
  <c r="AD847" i="2"/>
  <c r="AN847" i="2"/>
  <c r="X847" i="2"/>
  <c r="AI863" i="2"/>
  <c r="AD863" i="2"/>
  <c r="AN863" i="2"/>
  <c r="X863" i="2"/>
  <c r="AI879" i="2"/>
  <c r="AD879" i="2"/>
  <c r="AN879" i="2"/>
  <c r="X879" i="2"/>
  <c r="AS1761" i="2"/>
  <c r="AX1761" i="2" s="1"/>
  <c r="BG1761" i="2" s="1"/>
  <c r="AS1777" i="2"/>
  <c r="AX1777" i="2" s="1"/>
  <c r="BG1777" i="2" s="1"/>
  <c r="AS1793" i="2"/>
  <c r="AX1793" i="2" s="1"/>
  <c r="BG1793" i="2" s="1"/>
  <c r="AS1809" i="2"/>
  <c r="AX1809" i="2" s="1"/>
  <c r="BG1809" i="2" s="1"/>
  <c r="AN2173" i="2"/>
  <c r="X2173" i="2"/>
  <c r="AI2173" i="2"/>
  <c r="AD2173" i="2"/>
  <c r="AD162" i="2"/>
  <c r="AI162" i="2"/>
  <c r="X162" i="2"/>
  <c r="AN162" i="2"/>
  <c r="AS679" i="2"/>
  <c r="AX679" i="2" s="1"/>
  <c r="BG679" i="2" s="1"/>
  <c r="AT887" i="2"/>
  <c r="AY887" i="2" s="1"/>
  <c r="BH887" i="2" s="1"/>
  <c r="AT891" i="2"/>
  <c r="AT895" i="2"/>
  <c r="AY895" i="2" s="1"/>
  <c r="BH895" i="2" s="1"/>
  <c r="AT899" i="2"/>
  <c r="AY899" i="2" s="1"/>
  <c r="BH899" i="2" s="1"/>
  <c r="AT903" i="2"/>
  <c r="AY903" i="2" s="1"/>
  <c r="BH903" i="2" s="1"/>
  <c r="AT907" i="2"/>
  <c r="AT911" i="2"/>
  <c r="AY911" i="2" s="1"/>
  <c r="BH911" i="2" s="1"/>
  <c r="AT915" i="2"/>
  <c r="AY915" i="2" s="1"/>
  <c r="BH915" i="2" s="1"/>
  <c r="AT919" i="2"/>
  <c r="AY919" i="2" s="1"/>
  <c r="BH919" i="2" s="1"/>
  <c r="AT923" i="2"/>
  <c r="AY923" i="2" s="1"/>
  <c r="BH923" i="2" s="1"/>
  <c r="AT927" i="2"/>
  <c r="AY927" i="2" s="1"/>
  <c r="BH927" i="2" s="1"/>
  <c r="AT931" i="2"/>
  <c r="AY931" i="2" s="1"/>
  <c r="BH931" i="2" s="1"/>
  <c r="AI748" i="2"/>
  <c r="AN748" i="2"/>
  <c r="X748" i="2"/>
  <c r="AD748" i="2"/>
  <c r="AI812" i="2"/>
  <c r="AN812" i="2"/>
  <c r="X812" i="2"/>
  <c r="AD812" i="2"/>
  <c r="AI876" i="2"/>
  <c r="AN876" i="2"/>
  <c r="X876" i="2"/>
  <c r="AD876" i="2"/>
  <c r="AN1217" i="2"/>
  <c r="X1217" i="2"/>
  <c r="AI1217" i="2"/>
  <c r="AD1217" i="2"/>
  <c r="AN1281" i="2"/>
  <c r="X1281" i="2"/>
  <c r="AI1281" i="2"/>
  <c r="AD1281" i="2"/>
  <c r="AN1345" i="2"/>
  <c r="X1345" i="2"/>
  <c r="AI1345" i="2"/>
  <c r="AD1345" i="2"/>
  <c r="AN1239" i="2"/>
  <c r="X1239" i="2"/>
  <c r="AI1239" i="2"/>
  <c r="AD1239" i="2"/>
  <c r="AN1303" i="2"/>
  <c r="X1303" i="2"/>
  <c r="AI1303" i="2"/>
  <c r="AD1303" i="2"/>
  <c r="AN1367" i="2"/>
  <c r="X1367" i="2"/>
  <c r="AI1367" i="2"/>
  <c r="AD1367" i="2"/>
  <c r="AS1443" i="2"/>
  <c r="AX1443" i="2" s="1"/>
  <c r="BG1443" i="2" s="1"/>
  <c r="AS1581" i="2"/>
  <c r="AX1581" i="2" s="1"/>
  <c r="BG1581" i="2" s="1"/>
  <c r="AN1860" i="2"/>
  <c r="X1860" i="2"/>
  <c r="AI1860" i="2"/>
  <c r="AD1860" i="2"/>
  <c r="AN1868" i="2"/>
  <c r="X1868" i="2"/>
  <c r="AI1868" i="2"/>
  <c r="AD1868" i="2"/>
  <c r="AN1876" i="2"/>
  <c r="X1876" i="2"/>
  <c r="AI1876" i="2"/>
  <c r="AD1876" i="2"/>
  <c r="AN1884" i="2"/>
  <c r="X1884" i="2"/>
  <c r="AI1884" i="2"/>
  <c r="AD1884" i="2"/>
  <c r="AN1892" i="2"/>
  <c r="X1892" i="2"/>
  <c r="AI1892" i="2"/>
  <c r="AD1892" i="2"/>
  <c r="AN1900" i="2"/>
  <c r="X1900" i="2"/>
  <c r="AI1900" i="2"/>
  <c r="AD1900" i="2"/>
  <c r="AN1908" i="2"/>
  <c r="X1908" i="2"/>
  <c r="AI1908" i="2"/>
  <c r="AD1908" i="2"/>
  <c r="AN1916" i="2"/>
  <c r="X1916" i="2"/>
  <c r="AI1916" i="2"/>
  <c r="AD1916" i="2"/>
  <c r="AN1924" i="2"/>
  <c r="X1924" i="2"/>
  <c r="AI1924" i="2"/>
  <c r="AD1924" i="2"/>
  <c r="AN1932" i="2"/>
  <c r="X1932" i="2"/>
  <c r="AI1932" i="2"/>
  <c r="AD1932" i="2"/>
  <c r="AN1940" i="2"/>
  <c r="X1940" i="2"/>
  <c r="AI1940" i="2"/>
  <c r="AD1940" i="2"/>
  <c r="AN1948" i="2"/>
  <c r="X1948" i="2"/>
  <c r="AI1948" i="2"/>
  <c r="AD1948" i="2"/>
  <c r="AS2052" i="2"/>
  <c r="AX2052" i="2" s="1"/>
  <c r="BG2052" i="2" s="1"/>
  <c r="AN2445" i="2"/>
  <c r="X2445" i="2"/>
  <c r="AI2445" i="2"/>
  <c r="AD2445" i="2"/>
  <c r="AS9" i="2"/>
  <c r="AX9" i="2" s="1"/>
  <c r="BG9" i="2" s="1"/>
  <c r="AN510" i="2"/>
  <c r="X510" i="2"/>
  <c r="AI510" i="2"/>
  <c r="AD510" i="2"/>
  <c r="AS1216" i="2"/>
  <c r="AX1216" i="2" s="1"/>
  <c r="BG1216" i="2" s="1"/>
  <c r="AD1344" i="2"/>
  <c r="AN1344" i="2"/>
  <c r="X1344" i="2"/>
  <c r="AI1344" i="2"/>
  <c r="AS1631" i="2"/>
  <c r="AX1631" i="2" s="1"/>
  <c r="BG1631" i="2" s="1"/>
  <c r="AD1656" i="2"/>
  <c r="AN1656" i="2"/>
  <c r="X1656" i="2"/>
  <c r="AI1656" i="2"/>
  <c r="AS1427" i="2"/>
  <c r="AX1427" i="2" s="1"/>
  <c r="BG1427" i="2" s="1"/>
  <c r="AS2415" i="2"/>
  <c r="AX2415" i="2" s="1"/>
  <c r="BG2415" i="2" s="1"/>
  <c r="AD14" i="2"/>
  <c r="AN14" i="2"/>
  <c r="X14" i="2"/>
  <c r="AI14" i="2"/>
  <c r="AS111" i="2"/>
  <c r="AX111" i="2" s="1"/>
  <c r="BG111" i="2" s="1"/>
  <c r="AD258" i="2"/>
  <c r="AI258" i="2"/>
  <c r="X258" i="2"/>
  <c r="AN258" i="2"/>
  <c r="AS223" i="2"/>
  <c r="AX223" i="2" s="1"/>
  <c r="BG223" i="2" s="1"/>
  <c r="AS266" i="2"/>
  <c r="AX266" i="2" s="1"/>
  <c r="BG266" i="2" s="1"/>
  <c r="AS549" i="2"/>
  <c r="AX549" i="2" s="1"/>
  <c r="BG549" i="2" s="1"/>
  <c r="AN522" i="2"/>
  <c r="X522" i="2"/>
  <c r="AI522" i="2"/>
  <c r="AD522" i="2"/>
  <c r="AN554" i="2"/>
  <c r="X554" i="2"/>
  <c r="AI554" i="2"/>
  <c r="AD554" i="2"/>
  <c r="AT1141" i="2"/>
  <c r="AY1141" i="2" s="1"/>
  <c r="BH1141" i="2" s="1"/>
  <c r="AD1308" i="2"/>
  <c r="AN1308" i="2"/>
  <c r="X1308" i="2"/>
  <c r="AI1308" i="2"/>
  <c r="AS1178" i="2"/>
  <c r="AX1178" i="2" s="1"/>
  <c r="BG1178" i="2" s="1"/>
  <c r="AN1635" i="2"/>
  <c r="X1635" i="2"/>
  <c r="AI1635" i="2"/>
  <c r="AD1635" i="2"/>
  <c r="AN1645" i="2"/>
  <c r="X1645" i="2"/>
  <c r="AI1645" i="2"/>
  <c r="AD1645" i="2"/>
  <c r="AD2057" i="2"/>
  <c r="AN2057" i="2"/>
  <c r="X2057" i="2"/>
  <c r="AI2057" i="2"/>
  <c r="AS2076" i="2"/>
  <c r="AX2076" i="2" s="1"/>
  <c r="BG2076" i="2" s="1"/>
  <c r="AS53" i="2"/>
  <c r="AX53" i="2" s="1"/>
  <c r="BG53" i="2" s="1"/>
  <c r="AD174" i="2"/>
  <c r="AI174" i="2"/>
  <c r="X174" i="2"/>
  <c r="AN174" i="2"/>
  <c r="AS197" i="2"/>
  <c r="AX197" i="2" s="1"/>
  <c r="BG197" i="2" s="1"/>
  <c r="AN1041" i="2"/>
  <c r="X1041" i="2"/>
  <c r="AI1041" i="2"/>
  <c r="AD1041" i="2"/>
  <c r="AI1056" i="2"/>
  <c r="AN1056" i="2"/>
  <c r="X1056" i="2"/>
  <c r="AD1056" i="2"/>
  <c r="AI1064" i="2"/>
  <c r="AN1064" i="2"/>
  <c r="X1064" i="2"/>
  <c r="AD1064" i="2"/>
  <c r="AI1072" i="2"/>
  <c r="AN1072" i="2"/>
  <c r="X1072" i="2"/>
  <c r="AD1072" i="2"/>
  <c r="AI1080" i="2"/>
  <c r="AN1080" i="2"/>
  <c r="X1080" i="2"/>
  <c r="AD1080" i="2"/>
  <c r="AI1088" i="2"/>
  <c r="AN1088" i="2"/>
  <c r="X1088" i="2"/>
  <c r="AD1088" i="2"/>
  <c r="AI1096" i="2"/>
  <c r="AN1096" i="2"/>
  <c r="X1096" i="2"/>
  <c r="AD1096" i="2"/>
  <c r="AI1104" i="2"/>
  <c r="AN1104" i="2"/>
  <c r="X1104" i="2"/>
  <c r="AD1104" i="2"/>
  <c r="AI1112" i="2"/>
  <c r="AN1112" i="2"/>
  <c r="X1112" i="2"/>
  <c r="AD1112" i="2"/>
  <c r="AI1120" i="2"/>
  <c r="AN1120" i="2"/>
  <c r="X1120" i="2"/>
  <c r="AD1120" i="2"/>
  <c r="AI1128" i="2"/>
  <c r="AN1128" i="2"/>
  <c r="X1128" i="2"/>
  <c r="AD1128" i="2"/>
  <c r="AI1136" i="2"/>
  <c r="AN1136" i="2"/>
  <c r="X1136" i="2"/>
  <c r="AD1136" i="2"/>
  <c r="AS1087" i="2"/>
  <c r="AX1087" i="2" s="1"/>
  <c r="BG1087" i="2" s="1"/>
  <c r="AD1530" i="2"/>
  <c r="AN1530" i="2"/>
  <c r="X1530" i="2"/>
  <c r="AI1530" i="2"/>
  <c r="AN2183" i="2"/>
  <c r="X2183" i="2"/>
  <c r="AI2183" i="2"/>
  <c r="AD2183" i="2"/>
  <c r="AN2142" i="2"/>
  <c r="X2142" i="2"/>
  <c r="AI2142" i="2"/>
  <c r="AD2142" i="2"/>
  <c r="AN2157" i="2"/>
  <c r="X2157" i="2"/>
  <c r="AI2157" i="2"/>
  <c r="AD2157" i="2"/>
  <c r="AN5" i="2"/>
  <c r="X5" i="2"/>
  <c r="AI5" i="2"/>
  <c r="AD5" i="2"/>
  <c r="AD118" i="2"/>
  <c r="AN118" i="2"/>
  <c r="AI118" i="2"/>
  <c r="X118" i="2"/>
  <c r="AD182" i="2"/>
  <c r="AN182" i="2"/>
  <c r="AI182" i="2"/>
  <c r="X182" i="2"/>
  <c r="AD284" i="2"/>
  <c r="AN284" i="2"/>
  <c r="AI284" i="2"/>
  <c r="X284" i="2"/>
  <c r="AD298" i="2"/>
  <c r="X298" i="2"/>
  <c r="AN298" i="2"/>
  <c r="AI298" i="2"/>
  <c r="AN443" i="2"/>
  <c r="X443" i="2"/>
  <c r="AI443" i="2"/>
  <c r="AD443" i="2"/>
  <c r="AD533" i="2"/>
  <c r="AN533" i="2"/>
  <c r="X533" i="2"/>
  <c r="AI533" i="2"/>
  <c r="AN237" i="2"/>
  <c r="X237" i="2"/>
  <c r="AI237" i="2"/>
  <c r="AD237" i="2"/>
  <c r="AD254" i="2"/>
  <c r="AN254" i="2"/>
  <c r="AI254" i="2"/>
  <c r="X254" i="2"/>
  <c r="AD521" i="2"/>
  <c r="AN521" i="2"/>
  <c r="X521" i="2"/>
  <c r="AI521" i="2"/>
  <c r="AS627" i="2"/>
  <c r="AX627" i="2" s="1"/>
  <c r="BG627" i="2" s="1"/>
  <c r="AS643" i="2"/>
  <c r="AX643" i="2" s="1"/>
  <c r="BG643" i="2" s="1"/>
  <c r="AS659" i="2"/>
  <c r="AX659" i="2" s="1"/>
  <c r="BG659" i="2" s="1"/>
  <c r="AS675" i="2"/>
  <c r="AX675" i="2" s="1"/>
  <c r="BG675" i="2" s="1"/>
  <c r="AS691" i="2"/>
  <c r="AX691" i="2" s="1"/>
  <c r="BG691" i="2" s="1"/>
  <c r="AS707" i="2"/>
  <c r="AX707" i="2" s="1"/>
  <c r="BG707" i="2" s="1"/>
  <c r="AE1143" i="2"/>
  <c r="AO1143" i="2"/>
  <c r="AJ1143" i="2"/>
  <c r="AE1147" i="2"/>
  <c r="AO1147" i="2"/>
  <c r="AJ1147" i="2"/>
  <c r="AE1151" i="2"/>
  <c r="AO1151" i="2"/>
  <c r="AJ1151" i="2"/>
  <c r="AD1220" i="2"/>
  <c r="AN1220" i="2"/>
  <c r="X1220" i="2"/>
  <c r="AI1220" i="2"/>
  <c r="AI1139" i="2"/>
  <c r="AD1139" i="2"/>
  <c r="AN1139" i="2"/>
  <c r="X1139" i="2"/>
  <c r="AD1346" i="2"/>
  <c r="AN1346" i="2"/>
  <c r="X1346" i="2"/>
  <c r="AI1346" i="2"/>
  <c r="AS1455" i="2"/>
  <c r="AX1455" i="2" s="1"/>
  <c r="BG1455" i="2" s="1"/>
  <c r="AS1549" i="2"/>
  <c r="AX1549" i="2" s="1"/>
  <c r="BG1549" i="2" s="1"/>
  <c r="AN1587" i="2"/>
  <c r="X1587" i="2"/>
  <c r="AI1587" i="2"/>
  <c r="AD1587" i="2"/>
  <c r="AN1595" i="2"/>
  <c r="X1595" i="2"/>
  <c r="AI1595" i="2"/>
  <c r="AD1595" i="2"/>
  <c r="AS1461" i="2"/>
  <c r="AX1461" i="2" s="1"/>
  <c r="BG1461" i="2" s="1"/>
  <c r="AS1646" i="2"/>
  <c r="AX1646" i="2" s="1"/>
  <c r="BG1646" i="2" s="1"/>
  <c r="AS1877" i="2"/>
  <c r="AX1877" i="2" s="1"/>
  <c r="BG1877" i="2" s="1"/>
  <c r="AS1941" i="2"/>
  <c r="AX1941" i="2" s="1"/>
  <c r="BG1941" i="2" s="1"/>
  <c r="AS2005" i="2"/>
  <c r="AX2005" i="2" s="1"/>
  <c r="BG2005" i="2" s="1"/>
  <c r="AD1975" i="2"/>
  <c r="AN1975" i="2"/>
  <c r="X1975" i="2"/>
  <c r="AI1975" i="2"/>
  <c r="AI2404" i="2"/>
  <c r="AN2404" i="2"/>
  <c r="X2404" i="2"/>
  <c r="AD2404" i="2"/>
  <c r="AN2480" i="2"/>
  <c r="X2480" i="2"/>
  <c r="AD2480" i="2"/>
  <c r="AI2480" i="2"/>
  <c r="AS292" i="2"/>
  <c r="AX292" i="2" s="1"/>
  <c r="BG292" i="2" s="1"/>
  <c r="AN239" i="2"/>
  <c r="X239" i="2"/>
  <c r="AI239" i="2"/>
  <c r="AD239" i="2"/>
  <c r="AN355" i="2"/>
  <c r="X355" i="2"/>
  <c r="AI355" i="2"/>
  <c r="AD355" i="2"/>
  <c r="AN277" i="2"/>
  <c r="X277" i="2"/>
  <c r="AI277" i="2"/>
  <c r="AD277" i="2"/>
  <c r="AN1726" i="2"/>
  <c r="X1726" i="2"/>
  <c r="AD1726" i="2"/>
  <c r="AI1726" i="2"/>
  <c r="AN2473" i="2"/>
  <c r="X2473" i="2"/>
  <c r="AI2473" i="2"/>
  <c r="AD2473" i="2"/>
  <c r="AS2463" i="2"/>
  <c r="AX2463" i="2" s="1"/>
  <c r="BG2463" i="2" s="1"/>
  <c r="AS772" i="2"/>
  <c r="AX772" i="2" s="1"/>
  <c r="BG772" i="2" s="1"/>
  <c r="AS836" i="2"/>
  <c r="AX836" i="2" s="1"/>
  <c r="BG836" i="2" s="1"/>
  <c r="AS1051" i="2"/>
  <c r="AX1051" i="2" s="1"/>
  <c r="BG1051" i="2" s="1"/>
  <c r="AS1115" i="2"/>
  <c r="AX1115" i="2" s="1"/>
  <c r="BG1115" i="2" s="1"/>
  <c r="AN1706" i="2"/>
  <c r="X1706" i="2"/>
  <c r="AD1706" i="2"/>
  <c r="AI1706" i="2"/>
  <c r="AT184" i="2"/>
  <c r="AY184" i="2" s="1"/>
  <c r="BH184" i="2" s="1"/>
  <c r="AT168" i="2"/>
  <c r="AY168" i="2" s="1"/>
  <c r="BH168" i="2" s="1"/>
  <c r="AS215" i="2"/>
  <c r="AX215" i="2" s="1"/>
  <c r="BG215" i="2" s="1"/>
  <c r="AS247" i="2"/>
  <c r="AX247" i="2" s="1"/>
  <c r="BG247" i="2" s="1"/>
  <c r="AS279" i="2"/>
  <c r="AX279" i="2" s="1"/>
  <c r="BG279" i="2" s="1"/>
  <c r="AD442" i="2"/>
  <c r="AN442" i="2"/>
  <c r="AI442" i="2"/>
  <c r="X442" i="2"/>
  <c r="AS738" i="2"/>
  <c r="AX738" i="2" s="1"/>
  <c r="BG738" i="2" s="1"/>
  <c r="AS754" i="2"/>
  <c r="AX754" i="2" s="1"/>
  <c r="BG754" i="2" s="1"/>
  <c r="AS770" i="2"/>
  <c r="AX770" i="2" s="1"/>
  <c r="BG770" i="2" s="1"/>
  <c r="AS786" i="2"/>
  <c r="AX786" i="2" s="1"/>
  <c r="BG786" i="2" s="1"/>
  <c r="AS802" i="2"/>
  <c r="AX802" i="2" s="1"/>
  <c r="BG802" i="2" s="1"/>
  <c r="AS818" i="2"/>
  <c r="AX818" i="2" s="1"/>
  <c r="BG818" i="2" s="1"/>
  <c r="AS834" i="2"/>
  <c r="AX834" i="2" s="1"/>
  <c r="BG834" i="2" s="1"/>
  <c r="AS850" i="2"/>
  <c r="AX850" i="2" s="1"/>
  <c r="BG850" i="2" s="1"/>
  <c r="AS866" i="2"/>
  <c r="AX866" i="2" s="1"/>
  <c r="BG866" i="2" s="1"/>
  <c r="AS882" i="2"/>
  <c r="AX882" i="2" s="1"/>
  <c r="BG882" i="2" s="1"/>
  <c r="AS229" i="2"/>
  <c r="AX229" i="2" s="1"/>
  <c r="BG229" i="2" s="1"/>
  <c r="AN622" i="2"/>
  <c r="X622" i="2"/>
  <c r="AI622" i="2"/>
  <c r="AD622" i="2"/>
  <c r="AN626" i="2"/>
  <c r="X626" i="2"/>
  <c r="AI626" i="2"/>
  <c r="AD626" i="2"/>
  <c r="AN630" i="2"/>
  <c r="X630" i="2"/>
  <c r="AI630" i="2"/>
  <c r="AD630" i="2"/>
  <c r="AN634" i="2"/>
  <c r="X634" i="2"/>
  <c r="AI634" i="2"/>
  <c r="AD634" i="2"/>
  <c r="AN638" i="2"/>
  <c r="X638" i="2"/>
  <c r="AI638" i="2"/>
  <c r="AD638" i="2"/>
  <c r="AN642" i="2"/>
  <c r="X642" i="2"/>
  <c r="AI642" i="2"/>
  <c r="AD642" i="2"/>
  <c r="AN646" i="2"/>
  <c r="X646" i="2"/>
  <c r="AI646" i="2"/>
  <c r="AD646" i="2"/>
  <c r="AN650" i="2"/>
  <c r="X650" i="2"/>
  <c r="AI650" i="2"/>
  <c r="AD650" i="2"/>
  <c r="AN654" i="2"/>
  <c r="X654" i="2"/>
  <c r="AI654" i="2"/>
  <c r="AD654" i="2"/>
  <c r="AN658" i="2"/>
  <c r="X658" i="2"/>
  <c r="AI658" i="2"/>
  <c r="AD658" i="2"/>
  <c r="AN662" i="2"/>
  <c r="X662" i="2"/>
  <c r="AI662" i="2"/>
  <c r="AD662" i="2"/>
  <c r="AN666" i="2"/>
  <c r="X666" i="2"/>
  <c r="AI666" i="2"/>
  <c r="AD666" i="2"/>
  <c r="AN670" i="2"/>
  <c r="X670" i="2"/>
  <c r="AI670" i="2"/>
  <c r="AD670" i="2"/>
  <c r="AN674" i="2"/>
  <c r="X674" i="2"/>
  <c r="AI674" i="2"/>
  <c r="AD674" i="2"/>
  <c r="AN678" i="2"/>
  <c r="X678" i="2"/>
  <c r="AI678" i="2"/>
  <c r="AD678" i="2"/>
  <c r="AN682" i="2"/>
  <c r="X682" i="2"/>
  <c r="AI682" i="2"/>
  <c r="AD682" i="2"/>
  <c r="AN686" i="2"/>
  <c r="X686" i="2"/>
  <c r="AI686" i="2"/>
  <c r="AD686" i="2"/>
  <c r="AN690" i="2"/>
  <c r="X690" i="2"/>
  <c r="AI690" i="2"/>
  <c r="AD690" i="2"/>
  <c r="AN694" i="2"/>
  <c r="X694" i="2"/>
  <c r="AI694" i="2"/>
  <c r="AD694" i="2"/>
  <c r="AN698" i="2"/>
  <c r="X698" i="2"/>
  <c r="AI698" i="2"/>
  <c r="AD698" i="2"/>
  <c r="AN702" i="2"/>
  <c r="X702" i="2"/>
  <c r="AI702" i="2"/>
  <c r="AD702" i="2"/>
  <c r="AN706" i="2"/>
  <c r="X706" i="2"/>
  <c r="AI706" i="2"/>
  <c r="AD706" i="2"/>
  <c r="AN710" i="2"/>
  <c r="X710" i="2"/>
  <c r="AI710" i="2"/>
  <c r="AD710" i="2"/>
  <c r="AN714" i="2"/>
  <c r="X714" i="2"/>
  <c r="AI714" i="2"/>
  <c r="AD714" i="2"/>
  <c r="AN718" i="2"/>
  <c r="X718" i="2"/>
  <c r="AI718" i="2"/>
  <c r="AD718" i="2"/>
  <c r="AN722" i="2"/>
  <c r="X722" i="2"/>
  <c r="AI722" i="2"/>
  <c r="AD722" i="2"/>
  <c r="AN1043" i="2"/>
  <c r="X1043" i="2"/>
  <c r="AI1043" i="2"/>
  <c r="AD1043" i="2"/>
  <c r="AS2167" i="2"/>
  <c r="AX2167" i="2" s="1"/>
  <c r="BG2167" i="2" s="1"/>
  <c r="AS92" i="2"/>
  <c r="AX92" i="2" s="1"/>
  <c r="BG92" i="2" s="1"/>
  <c r="AS11" i="2"/>
  <c r="AX11" i="2" s="1"/>
  <c r="BG11" i="2" s="1"/>
  <c r="AS58" i="2"/>
  <c r="AX58" i="2" s="1"/>
  <c r="BG58" i="2" s="1"/>
  <c r="AD64" i="2"/>
  <c r="AN64" i="2"/>
  <c r="AI64" i="2"/>
  <c r="X64" i="2"/>
  <c r="AN125" i="2"/>
  <c r="X125" i="2"/>
  <c r="AD125" i="2"/>
  <c r="AI125" i="2"/>
  <c r="AS780" i="2"/>
  <c r="AX780" i="2" s="1"/>
  <c r="BG780" i="2" s="1"/>
  <c r="AS844" i="2"/>
  <c r="AX844" i="2" s="1"/>
  <c r="BG844" i="2" s="1"/>
  <c r="AS2393" i="2"/>
  <c r="AX2393" i="2" s="1"/>
  <c r="BG2393" i="2" s="1"/>
  <c r="AN1197" i="2"/>
  <c r="X1197" i="2"/>
  <c r="AI1197" i="2"/>
  <c r="AD1197" i="2"/>
  <c r="AN1663" i="2"/>
  <c r="X1663" i="2"/>
  <c r="AI1663" i="2"/>
  <c r="AD1663" i="2"/>
  <c r="AS1838" i="2"/>
  <c r="AX1838" i="2" s="1"/>
  <c r="BG1838" i="2" s="1"/>
  <c r="AS2111" i="2"/>
  <c r="AX2111" i="2" s="1"/>
  <c r="BG2111" i="2" s="1"/>
  <c r="AN115" i="2"/>
  <c r="X115" i="2"/>
  <c r="AI115" i="2"/>
  <c r="AD115" i="2"/>
  <c r="AN179" i="2"/>
  <c r="X179" i="2"/>
  <c r="AI179" i="2"/>
  <c r="AD179" i="2"/>
  <c r="AI697" i="2"/>
  <c r="AD697" i="2"/>
  <c r="AN697" i="2"/>
  <c r="X697" i="2"/>
  <c r="AN1409" i="2"/>
  <c r="X1409" i="2"/>
  <c r="AD1409" i="2"/>
  <c r="AI1409" i="2"/>
  <c r="AN1425" i="2"/>
  <c r="X1425" i="2"/>
  <c r="AD1425" i="2"/>
  <c r="AI1425" i="2"/>
  <c r="AD1628" i="2"/>
  <c r="AN1628" i="2"/>
  <c r="X1628" i="2"/>
  <c r="AI1628" i="2"/>
  <c r="AD2067" i="2"/>
  <c r="AN2067" i="2"/>
  <c r="X2067" i="2"/>
  <c r="AI2067" i="2"/>
  <c r="AS516" i="2"/>
  <c r="AX516" i="2" s="1"/>
  <c r="BG516" i="2" s="1"/>
  <c r="AN333" i="2"/>
  <c r="X333" i="2"/>
  <c r="AI333" i="2"/>
  <c r="AD333" i="2"/>
  <c r="AN349" i="2"/>
  <c r="X349" i="2"/>
  <c r="AI349" i="2"/>
  <c r="AD349" i="2"/>
  <c r="AO428" i="2"/>
  <c r="AJ428" i="2"/>
  <c r="AE428" i="2"/>
  <c r="AO492" i="2"/>
  <c r="AJ492" i="2"/>
  <c r="AE492" i="2"/>
  <c r="AS1227" i="2"/>
  <c r="AX1227" i="2" s="1"/>
  <c r="BG1227" i="2" s="1"/>
  <c r="AS1291" i="2"/>
  <c r="AX1291" i="2" s="1"/>
  <c r="BG1291" i="2" s="1"/>
  <c r="AS1355" i="2"/>
  <c r="AX1355" i="2" s="1"/>
  <c r="BG1355" i="2" s="1"/>
  <c r="AN1483" i="2"/>
  <c r="X1483" i="2"/>
  <c r="AD1483" i="2"/>
  <c r="AI1483" i="2"/>
  <c r="AN1439" i="2"/>
  <c r="X1439" i="2"/>
  <c r="AD1439" i="2"/>
  <c r="AI1439" i="2"/>
  <c r="AS226" i="2"/>
  <c r="AX226" i="2" s="1"/>
  <c r="BG226" i="2" s="1"/>
  <c r="AI1091" i="2"/>
  <c r="AD1091" i="2"/>
  <c r="AN1091" i="2"/>
  <c r="X1091" i="2"/>
  <c r="AN1191" i="2"/>
  <c r="X1191" i="2"/>
  <c r="AI1191" i="2"/>
  <c r="AD1191" i="2"/>
  <c r="AS2091" i="2"/>
  <c r="AX2091" i="2" s="1"/>
  <c r="BG2091" i="2" s="1"/>
  <c r="AN231" i="2"/>
  <c r="X231" i="2"/>
  <c r="AI231" i="2"/>
  <c r="AD231" i="2"/>
  <c r="AS498" i="2"/>
  <c r="AX498" i="2" s="1"/>
  <c r="BG498" i="2" s="1"/>
  <c r="AO240" i="2"/>
  <c r="AJ240" i="2"/>
  <c r="AE240" i="2"/>
  <c r="AD392" i="2"/>
  <c r="AN392" i="2"/>
  <c r="AI392" i="2"/>
  <c r="X392" i="2"/>
  <c r="AD488" i="2"/>
  <c r="AN488" i="2"/>
  <c r="AI488" i="2"/>
  <c r="X488" i="2"/>
  <c r="AD100" i="2"/>
  <c r="AI100" i="2"/>
  <c r="AN100" i="2"/>
  <c r="X100" i="2"/>
  <c r="AD507" i="2"/>
  <c r="AN507" i="2"/>
  <c r="X507" i="2"/>
  <c r="AI507" i="2"/>
  <c r="AD531" i="2"/>
  <c r="AN531" i="2"/>
  <c r="X531" i="2"/>
  <c r="AI531" i="2"/>
  <c r="AN493" i="2"/>
  <c r="X493" i="2"/>
  <c r="AI493" i="2"/>
  <c r="AD493" i="2"/>
  <c r="AS1181" i="2"/>
  <c r="AX1181" i="2" s="1"/>
  <c r="BG1181" i="2" s="1"/>
  <c r="AS1431" i="2"/>
  <c r="AX1431" i="2" s="1"/>
  <c r="BG1431" i="2" s="1"/>
  <c r="AS24" i="2"/>
  <c r="AX24" i="2" s="1"/>
  <c r="BG24" i="2" s="1"/>
  <c r="AN105" i="2"/>
  <c r="X105" i="2"/>
  <c r="AD105" i="2"/>
  <c r="AI105" i="2"/>
  <c r="AN137" i="2"/>
  <c r="X137" i="2"/>
  <c r="AD137" i="2"/>
  <c r="AI137" i="2"/>
  <c r="AN169" i="2"/>
  <c r="X169" i="2"/>
  <c r="AD169" i="2"/>
  <c r="AI169" i="2"/>
  <c r="AN201" i="2"/>
  <c r="X201" i="2"/>
  <c r="AD201" i="2"/>
  <c r="AI201" i="2"/>
  <c r="AS519" i="2"/>
  <c r="AX519" i="2" s="1"/>
  <c r="BG519" i="2" s="1"/>
  <c r="AD1196" i="2"/>
  <c r="AN1196" i="2"/>
  <c r="X1196" i="2"/>
  <c r="AI1196" i="2"/>
  <c r="AD1260" i="2"/>
  <c r="AN1260" i="2"/>
  <c r="X1260" i="2"/>
  <c r="AI1260" i="2"/>
  <c r="AD1324" i="2"/>
  <c r="AN1324" i="2"/>
  <c r="X1324" i="2"/>
  <c r="AI1324" i="2"/>
  <c r="AD1393" i="2"/>
  <c r="AN1393" i="2"/>
  <c r="X1393" i="2"/>
  <c r="AI1393" i="2"/>
  <c r="AS1542" i="2"/>
  <c r="AX1542" i="2" s="1"/>
  <c r="BG1542" i="2" s="1"/>
  <c r="AD1622" i="2"/>
  <c r="AN1622" i="2"/>
  <c r="X1622" i="2"/>
  <c r="AI1622" i="2"/>
  <c r="AS2023" i="2"/>
  <c r="AX2023" i="2" s="1"/>
  <c r="BG2023" i="2" s="1"/>
  <c r="AS2025" i="2"/>
  <c r="AX2025" i="2" s="1"/>
  <c r="BG2025" i="2" s="1"/>
  <c r="AS2027" i="2"/>
  <c r="AX2027" i="2" s="1"/>
  <c r="BG2027" i="2" s="1"/>
  <c r="AS2029" i="2"/>
  <c r="AX2029" i="2" s="1"/>
  <c r="BG2029" i="2" s="1"/>
  <c r="AS2031" i="2"/>
  <c r="AX2031" i="2" s="1"/>
  <c r="BG2031" i="2" s="1"/>
  <c r="AS2033" i="2"/>
  <c r="AX2033" i="2" s="1"/>
  <c r="BG2033" i="2" s="1"/>
  <c r="AS2035" i="2"/>
  <c r="AX2035" i="2" s="1"/>
  <c r="BG2035" i="2" s="1"/>
  <c r="AS2037" i="2"/>
  <c r="AX2037" i="2" s="1"/>
  <c r="BG2037" i="2" s="1"/>
  <c r="AS2039" i="2"/>
  <c r="AX2039" i="2" s="1"/>
  <c r="BG2039" i="2" s="1"/>
  <c r="AS2041" i="2"/>
  <c r="AX2041" i="2" s="1"/>
  <c r="BG2041" i="2" s="1"/>
  <c r="AS2021" i="2"/>
  <c r="AX2021" i="2" s="1"/>
  <c r="BG2021" i="2" s="1"/>
  <c r="AS2143" i="2"/>
  <c r="AX2143" i="2" s="1"/>
  <c r="BG2143" i="2" s="1"/>
  <c r="AI2188" i="2"/>
  <c r="AD2188" i="2"/>
  <c r="AN2188" i="2"/>
  <c r="X2188" i="2"/>
  <c r="AS119" i="2"/>
  <c r="AX119" i="2" s="1"/>
  <c r="BG119" i="2" s="1"/>
  <c r="AS183" i="2"/>
  <c r="AX183" i="2" s="1"/>
  <c r="BG183" i="2" s="1"/>
  <c r="AS480" i="2"/>
  <c r="AX480" i="2" s="1"/>
  <c r="BG480" i="2" s="1"/>
  <c r="AS495" i="2"/>
  <c r="AX495" i="2" s="1"/>
  <c r="BG495" i="2" s="1"/>
  <c r="AS499" i="2"/>
  <c r="AX499" i="2" s="1"/>
  <c r="BG499" i="2" s="1"/>
  <c r="AS503" i="2"/>
  <c r="AX503" i="2" s="1"/>
  <c r="BG503" i="2" s="1"/>
  <c r="AS230" i="2"/>
  <c r="AX230" i="2" s="1"/>
  <c r="BG230" i="2" s="1"/>
  <c r="AS334" i="2"/>
  <c r="AX334" i="2" s="1"/>
  <c r="BG334" i="2" s="1"/>
  <c r="AS1642" i="2"/>
  <c r="AX1642" i="2" s="1"/>
  <c r="BG1642" i="2" s="1"/>
  <c r="AI1836" i="2"/>
  <c r="AD1836" i="2"/>
  <c r="X1836" i="2"/>
  <c r="AN1836" i="2"/>
  <c r="AN329" i="2"/>
  <c r="X329" i="2"/>
  <c r="AI329" i="2"/>
  <c r="AD329" i="2"/>
  <c r="AN337" i="2"/>
  <c r="X337" i="2"/>
  <c r="AI337" i="2"/>
  <c r="AD337" i="2"/>
  <c r="AN345" i="2"/>
  <c r="X345" i="2"/>
  <c r="AI345" i="2"/>
  <c r="AD345" i="2"/>
  <c r="AN353" i="2"/>
  <c r="X353" i="2"/>
  <c r="AI353" i="2"/>
  <c r="AD353" i="2"/>
  <c r="AN361" i="2"/>
  <c r="X361" i="2"/>
  <c r="AI361" i="2"/>
  <c r="AD361" i="2"/>
  <c r="AN369" i="2"/>
  <c r="X369" i="2"/>
  <c r="AI369" i="2"/>
  <c r="AD369" i="2"/>
  <c r="AN377" i="2"/>
  <c r="X377" i="2"/>
  <c r="AI377" i="2"/>
  <c r="AD377" i="2"/>
  <c r="AN385" i="2"/>
  <c r="X385" i="2"/>
  <c r="AI385" i="2"/>
  <c r="AD385" i="2"/>
  <c r="AN393" i="2"/>
  <c r="X393" i="2"/>
  <c r="AI393" i="2"/>
  <c r="AD393" i="2"/>
  <c r="AN401" i="2"/>
  <c r="X401" i="2"/>
  <c r="AI401" i="2"/>
  <c r="AD401" i="2"/>
  <c r="AS342" i="2"/>
  <c r="AX342" i="2" s="1"/>
  <c r="BG342" i="2" s="1"/>
  <c r="AS553" i="2"/>
  <c r="AX553" i="2" s="1"/>
  <c r="BG553" i="2" s="1"/>
  <c r="AI663" i="2"/>
  <c r="AD663" i="2"/>
  <c r="AN663" i="2"/>
  <c r="X663" i="2"/>
  <c r="AS1153" i="2"/>
  <c r="AX1153" i="2" s="1"/>
  <c r="BG1153" i="2" s="1"/>
  <c r="AS1155" i="2"/>
  <c r="AX1155" i="2" s="1"/>
  <c r="BG1155" i="2" s="1"/>
  <c r="AS1157" i="2"/>
  <c r="AX1157" i="2" s="1"/>
  <c r="BG1157" i="2" s="1"/>
  <c r="AS1159" i="2"/>
  <c r="AX1159" i="2" s="1"/>
  <c r="BG1159" i="2" s="1"/>
  <c r="AS1161" i="2"/>
  <c r="AX1161" i="2" s="1"/>
  <c r="BG1161" i="2" s="1"/>
  <c r="AS1163" i="2"/>
  <c r="AX1163" i="2" s="1"/>
  <c r="BG1163" i="2" s="1"/>
  <c r="AS1165" i="2"/>
  <c r="AX1165" i="2" s="1"/>
  <c r="BG1165" i="2" s="1"/>
  <c r="AS1167" i="2"/>
  <c r="AX1167" i="2" s="1"/>
  <c r="BG1167" i="2" s="1"/>
  <c r="AS1169" i="2"/>
  <c r="AX1169" i="2" s="1"/>
  <c r="BG1169" i="2" s="1"/>
  <c r="AS1171" i="2"/>
  <c r="AX1171" i="2" s="1"/>
  <c r="BG1171" i="2" s="1"/>
  <c r="AS1173" i="2"/>
  <c r="AX1173" i="2" s="1"/>
  <c r="BG1173" i="2" s="1"/>
  <c r="AS1175" i="2"/>
  <c r="AX1175" i="2" s="1"/>
  <c r="BG1175" i="2" s="1"/>
  <c r="AD1236" i="2"/>
  <c r="AN1236" i="2"/>
  <c r="X1236" i="2"/>
  <c r="AI1236" i="2"/>
  <c r="AD1300" i="2"/>
  <c r="AN1300" i="2"/>
  <c r="X1300" i="2"/>
  <c r="AI1300" i="2"/>
  <c r="AD1364" i="2"/>
  <c r="AN1364" i="2"/>
  <c r="X1364" i="2"/>
  <c r="AI1364" i="2"/>
  <c r="AS1298" i="2"/>
  <c r="AX1298" i="2" s="1"/>
  <c r="BG1298" i="2" s="1"/>
  <c r="AO1803" i="2"/>
  <c r="AJ1803" i="2"/>
  <c r="AE1803" i="2"/>
  <c r="AO1843" i="2"/>
  <c r="AJ1843" i="2"/>
  <c r="AE1843" i="2"/>
  <c r="AS1681" i="2"/>
  <c r="AX1681" i="2" s="1"/>
  <c r="BG1681" i="2" s="1"/>
  <c r="AS1697" i="2"/>
  <c r="AX1697" i="2" s="1"/>
  <c r="BG1697" i="2" s="1"/>
  <c r="AS1713" i="2"/>
  <c r="AX1713" i="2" s="1"/>
  <c r="BG1713" i="2" s="1"/>
  <c r="AS1729" i="2"/>
  <c r="AX1729" i="2" s="1"/>
  <c r="BG1729" i="2" s="1"/>
  <c r="AS1745" i="2"/>
  <c r="AX1745" i="2" s="1"/>
  <c r="BG1745" i="2" s="1"/>
  <c r="AS1865" i="2"/>
  <c r="AX1865" i="2" s="1"/>
  <c r="BG1865" i="2" s="1"/>
  <c r="AD1897" i="2"/>
  <c r="AN1897" i="2"/>
  <c r="X1897" i="2"/>
  <c r="AI1897" i="2"/>
  <c r="AS1929" i="2"/>
  <c r="AX1929" i="2" s="1"/>
  <c r="BG1929" i="2" s="1"/>
  <c r="AD1961" i="2"/>
  <c r="AN1961" i="2"/>
  <c r="X1961" i="2"/>
  <c r="AI1961" i="2"/>
  <c r="AD1977" i="2"/>
  <c r="AN1977" i="2"/>
  <c r="X1977" i="2"/>
  <c r="AI1977" i="2"/>
  <c r="AD1993" i="2"/>
  <c r="AN1993" i="2"/>
  <c r="X1993" i="2"/>
  <c r="AI1993" i="2"/>
  <c r="AD2009" i="2"/>
  <c r="AN2009" i="2"/>
  <c r="X2009" i="2"/>
  <c r="AI2009" i="2"/>
  <c r="AD1963" i="2"/>
  <c r="AN1963" i="2"/>
  <c r="X1963" i="2"/>
  <c r="AI1963" i="2"/>
  <c r="AD1979" i="2"/>
  <c r="AN1979" i="2"/>
  <c r="X1979" i="2"/>
  <c r="AI1979" i="2"/>
  <c r="AD1995" i="2"/>
  <c r="AN1995" i="2"/>
  <c r="X1995" i="2"/>
  <c r="AI1995" i="2"/>
  <c r="AD2011" i="2"/>
  <c r="AN2011" i="2"/>
  <c r="X2011" i="2"/>
  <c r="AI2011" i="2"/>
  <c r="AI2398" i="2"/>
  <c r="AD2398" i="2"/>
  <c r="AN2398" i="2"/>
  <c r="X2398" i="2"/>
  <c r="AS2455" i="2"/>
  <c r="AX2455" i="2" s="1"/>
  <c r="BG2455" i="2" s="1"/>
  <c r="AJ264" i="2"/>
  <c r="AE264" i="2"/>
  <c r="AO264" i="2"/>
  <c r="AS395" i="2"/>
  <c r="AX395" i="2" s="1"/>
  <c r="BG395" i="2" s="1"/>
  <c r="AD511" i="2"/>
  <c r="AN511" i="2"/>
  <c r="X511" i="2"/>
  <c r="AI511" i="2"/>
  <c r="AD246" i="2"/>
  <c r="AN246" i="2"/>
  <c r="AI246" i="2"/>
  <c r="X246" i="2"/>
  <c r="AT348" i="2"/>
  <c r="AY348" i="2" s="1"/>
  <c r="BH348" i="2" s="1"/>
  <c r="AS1063" i="2"/>
  <c r="AX1063" i="2" s="1"/>
  <c r="BG1063" i="2" s="1"/>
  <c r="AS1127" i="2"/>
  <c r="AX1127" i="2" s="1"/>
  <c r="BG1127" i="2" s="1"/>
  <c r="AS1342" i="2"/>
  <c r="AX1342" i="2" s="1"/>
  <c r="BG1342" i="2" s="1"/>
  <c r="AS1395" i="2"/>
  <c r="AX1395" i="2" s="1"/>
  <c r="BG1395" i="2" s="1"/>
  <c r="AS1411" i="2"/>
  <c r="AX1411" i="2" s="1"/>
  <c r="BG1411" i="2" s="1"/>
  <c r="AN1609" i="2"/>
  <c r="X1609" i="2"/>
  <c r="AI1609" i="2"/>
  <c r="AD1609" i="2"/>
  <c r="AS1634" i="2"/>
  <c r="AX1634" i="2" s="1"/>
  <c r="BG1634" i="2" s="1"/>
  <c r="AD1867" i="2"/>
  <c r="AN1867" i="2"/>
  <c r="X1867" i="2"/>
  <c r="AI1867" i="2"/>
  <c r="AD1875" i="2"/>
  <c r="AN1875" i="2"/>
  <c r="X1875" i="2"/>
  <c r="AI1875" i="2"/>
  <c r="AD1883" i="2"/>
  <c r="AN1883" i="2"/>
  <c r="X1883" i="2"/>
  <c r="AI1883" i="2"/>
  <c r="AD1891" i="2"/>
  <c r="AN1891" i="2"/>
  <c r="X1891" i="2"/>
  <c r="AI1891" i="2"/>
  <c r="AD1899" i="2"/>
  <c r="AN1899" i="2"/>
  <c r="X1899" i="2"/>
  <c r="AI1899" i="2"/>
  <c r="AD1907" i="2"/>
  <c r="AN1907" i="2"/>
  <c r="X1907" i="2"/>
  <c r="AI1907" i="2"/>
  <c r="AD1915" i="2"/>
  <c r="AN1915" i="2"/>
  <c r="X1915" i="2"/>
  <c r="AI1915" i="2"/>
  <c r="AD1923" i="2"/>
  <c r="AN1923" i="2"/>
  <c r="X1923" i="2"/>
  <c r="AI1923" i="2"/>
  <c r="AD1931" i="2"/>
  <c r="AN1931" i="2"/>
  <c r="X1931" i="2"/>
  <c r="AI1931" i="2"/>
  <c r="AD1939" i="2"/>
  <c r="AN1939" i="2"/>
  <c r="X1939" i="2"/>
  <c r="AI1939" i="2"/>
  <c r="AD1947" i="2"/>
  <c r="AN1947" i="2"/>
  <c r="X1947" i="2"/>
  <c r="AI1947" i="2"/>
  <c r="AS2043" i="2"/>
  <c r="AX2043" i="2" s="1"/>
  <c r="BG2043" i="2" s="1"/>
  <c r="AS2316" i="2"/>
  <c r="AX2316" i="2" s="1"/>
  <c r="BG2316" i="2" s="1"/>
  <c r="AS2324" i="2"/>
  <c r="AX2324" i="2" s="1"/>
  <c r="BG2324" i="2" s="1"/>
  <c r="AS2332" i="2"/>
  <c r="AX2332" i="2" s="1"/>
  <c r="BG2332" i="2" s="1"/>
  <c r="AS2340" i="2"/>
  <c r="AX2340" i="2" s="1"/>
  <c r="BG2340" i="2" s="1"/>
  <c r="AS2348" i="2"/>
  <c r="AX2348" i="2" s="1"/>
  <c r="BG2348" i="2" s="1"/>
  <c r="AS2356" i="2"/>
  <c r="AX2356" i="2" s="1"/>
  <c r="BG2356" i="2" s="1"/>
  <c r="AS2364" i="2"/>
  <c r="AX2364" i="2" s="1"/>
  <c r="BG2364" i="2" s="1"/>
  <c r="AS2372" i="2"/>
  <c r="AX2372" i="2" s="1"/>
  <c r="BG2372" i="2" s="1"/>
  <c r="AS2380" i="2"/>
  <c r="AX2380" i="2" s="1"/>
  <c r="BG2380" i="2" s="1"/>
  <c r="AS2388" i="2"/>
  <c r="AX2388" i="2" s="1"/>
  <c r="BG2388" i="2" s="1"/>
  <c r="AI2434" i="2"/>
  <c r="AD2434" i="2"/>
  <c r="AN2434" i="2"/>
  <c r="X2434" i="2"/>
  <c r="AS2468" i="2"/>
  <c r="AX2468" i="2" s="1"/>
  <c r="BG2468" i="2" s="1"/>
  <c r="AS1142" i="2"/>
  <c r="AX1142" i="2" s="1"/>
  <c r="BG1142" i="2" s="1"/>
  <c r="AS1146" i="2"/>
  <c r="AX1146" i="2" s="1"/>
  <c r="BG1146" i="2" s="1"/>
  <c r="AS1150" i="2"/>
  <c r="AX1150" i="2" s="1"/>
  <c r="BG1150" i="2" s="1"/>
  <c r="AS1370" i="2"/>
  <c r="AX1370" i="2" s="1"/>
  <c r="BG1370" i="2" s="1"/>
  <c r="AS1375" i="2"/>
  <c r="AX1375" i="2" s="1"/>
  <c r="BG1375" i="2" s="1"/>
  <c r="AS1433" i="2"/>
  <c r="AX1433" i="2" s="1"/>
  <c r="BG1433" i="2" s="1"/>
  <c r="AS1660" i="2"/>
  <c r="AX1660" i="2" s="1"/>
  <c r="BG1660" i="2" s="1"/>
  <c r="AS1518" i="2"/>
  <c r="AX1518" i="2" s="1"/>
  <c r="BG1518" i="2" s="1"/>
  <c r="AS1522" i="2"/>
  <c r="AX1522" i="2" s="1"/>
  <c r="BG1522" i="2" s="1"/>
  <c r="AS1526" i="2"/>
  <c r="AX1526" i="2" s="1"/>
  <c r="BG1526" i="2" s="1"/>
  <c r="AS1446" i="2"/>
  <c r="AX1446" i="2" s="1"/>
  <c r="BG1446" i="2" s="1"/>
  <c r="AS1450" i="2"/>
  <c r="AX1450" i="2" s="1"/>
  <c r="BG1450" i="2" s="1"/>
  <c r="AS1454" i="2"/>
  <c r="AX1454" i="2" s="1"/>
  <c r="BG1454" i="2" s="1"/>
  <c r="AS1458" i="2"/>
  <c r="AX1458" i="2" s="1"/>
  <c r="BG1458" i="2" s="1"/>
  <c r="AS1462" i="2"/>
  <c r="AX1462" i="2" s="1"/>
  <c r="BG1462" i="2" s="1"/>
  <c r="AS1466" i="2"/>
  <c r="AX1466" i="2" s="1"/>
  <c r="BG1466" i="2" s="1"/>
  <c r="AS1470" i="2"/>
  <c r="AX1470" i="2" s="1"/>
  <c r="BG1470" i="2" s="1"/>
  <c r="AS1474" i="2"/>
  <c r="AX1474" i="2" s="1"/>
  <c r="BG1474" i="2" s="1"/>
  <c r="AS2105" i="2"/>
  <c r="AX2105" i="2" s="1"/>
  <c r="BG2105" i="2" s="1"/>
  <c r="AS159" i="2"/>
  <c r="AX159" i="2" s="1"/>
  <c r="BG159" i="2" s="1"/>
  <c r="AN101" i="2"/>
  <c r="X101" i="2"/>
  <c r="AI101" i="2"/>
  <c r="AD101" i="2"/>
  <c r="AN407" i="2"/>
  <c r="X407" i="2"/>
  <c r="AI407" i="2"/>
  <c r="AD407" i="2"/>
  <c r="AN243" i="2"/>
  <c r="X243" i="2"/>
  <c r="AI243" i="2"/>
  <c r="AD243" i="2"/>
  <c r="AN532" i="2"/>
  <c r="X532" i="2"/>
  <c r="AI532" i="2"/>
  <c r="AD532" i="2"/>
  <c r="AJ364" i="2"/>
  <c r="AI824" i="2"/>
  <c r="AN824" i="2"/>
  <c r="X824" i="2"/>
  <c r="AD824" i="2"/>
  <c r="AN2255" i="2"/>
  <c r="X2255" i="2"/>
  <c r="AD2255" i="2"/>
  <c r="AI2255" i="2"/>
  <c r="AN550" i="2"/>
  <c r="X550" i="2"/>
  <c r="AI550" i="2"/>
  <c r="AD550" i="2"/>
  <c r="AN1201" i="2"/>
  <c r="X1201" i="2"/>
  <c r="AI1201" i="2"/>
  <c r="AD1201" i="2"/>
  <c r="AN1265" i="2"/>
  <c r="X1265" i="2"/>
  <c r="AI1265" i="2"/>
  <c r="AD1265" i="2"/>
  <c r="AN1329" i="2"/>
  <c r="X1329" i="2"/>
  <c r="AI1329" i="2"/>
  <c r="AD1329" i="2"/>
  <c r="AS1620" i="2"/>
  <c r="AX1620" i="2" s="1"/>
  <c r="BG1620" i="2" s="1"/>
  <c r="AS1534" i="2"/>
  <c r="AX1534" i="2" s="1"/>
  <c r="BG1534" i="2" s="1"/>
  <c r="AS1445" i="2"/>
  <c r="AX1445" i="2" s="1"/>
  <c r="BG1445" i="2" s="1"/>
  <c r="AN1730" i="2"/>
  <c r="X1730" i="2"/>
  <c r="AD1730" i="2"/>
  <c r="AI1730" i="2"/>
  <c r="AN2163" i="2"/>
  <c r="X2163" i="2"/>
  <c r="AI2163" i="2"/>
  <c r="AD2163" i="2"/>
  <c r="AD2202" i="2"/>
  <c r="AN2202" i="2"/>
  <c r="X2202" i="2"/>
  <c r="AI2202" i="2"/>
  <c r="AD2206" i="2"/>
  <c r="AN2206" i="2"/>
  <c r="X2206" i="2"/>
  <c r="AI2206" i="2"/>
  <c r="AD2210" i="2"/>
  <c r="AN2210" i="2"/>
  <c r="X2210" i="2"/>
  <c r="AI2210" i="2"/>
  <c r="AD2214" i="2"/>
  <c r="AN2214" i="2"/>
  <c r="X2214" i="2"/>
  <c r="AI2214" i="2"/>
  <c r="AD2218" i="2"/>
  <c r="AN2218" i="2"/>
  <c r="X2218" i="2"/>
  <c r="AI2218" i="2"/>
  <c r="AD2222" i="2"/>
  <c r="AN2222" i="2"/>
  <c r="X2222" i="2"/>
  <c r="AI2222" i="2"/>
  <c r="AD2226" i="2"/>
  <c r="AN2226" i="2"/>
  <c r="X2226" i="2"/>
  <c r="AI2226" i="2"/>
  <c r="AD2230" i="2"/>
  <c r="AN2230" i="2"/>
  <c r="X2230" i="2"/>
  <c r="AI2230" i="2"/>
  <c r="AD2234" i="2"/>
  <c r="AN2234" i="2"/>
  <c r="X2234" i="2"/>
  <c r="AI2234" i="2"/>
  <c r="AD2238" i="2"/>
  <c r="AN2238" i="2"/>
  <c r="X2238" i="2"/>
  <c r="AI2238" i="2"/>
  <c r="AD2242" i="2"/>
  <c r="AN2242" i="2"/>
  <c r="X2242" i="2"/>
  <c r="AI2242" i="2"/>
  <c r="AD2246" i="2"/>
  <c r="AN2246" i="2"/>
  <c r="X2246" i="2"/>
  <c r="AI2246" i="2"/>
  <c r="AD2250" i="2"/>
  <c r="AN2250" i="2"/>
  <c r="X2250" i="2"/>
  <c r="AI2250" i="2"/>
  <c r="AD2254" i="2"/>
  <c r="AN2254" i="2"/>
  <c r="X2254" i="2"/>
  <c r="AI2254" i="2"/>
  <c r="AD2258" i="2"/>
  <c r="AN2258" i="2"/>
  <c r="X2258" i="2"/>
  <c r="AI2258" i="2"/>
  <c r="AD2262" i="2"/>
  <c r="AN2262" i="2"/>
  <c r="X2262" i="2"/>
  <c r="AI2262" i="2"/>
  <c r="AD2266" i="2"/>
  <c r="AN2266" i="2"/>
  <c r="X2266" i="2"/>
  <c r="AI2266" i="2"/>
  <c r="AD2270" i="2"/>
  <c r="AN2270" i="2"/>
  <c r="X2270" i="2"/>
  <c r="AI2270" i="2"/>
  <c r="AD2274" i="2"/>
  <c r="AN2274" i="2"/>
  <c r="X2274" i="2"/>
  <c r="AI2274" i="2"/>
  <c r="AD2278" i="2"/>
  <c r="AN2278" i="2"/>
  <c r="X2278" i="2"/>
  <c r="AI2278" i="2"/>
  <c r="AD2282" i="2"/>
  <c r="AN2282" i="2"/>
  <c r="X2282" i="2"/>
  <c r="AI2282" i="2"/>
  <c r="AD2286" i="2"/>
  <c r="AN2286" i="2"/>
  <c r="X2286" i="2"/>
  <c r="AI2286" i="2"/>
  <c r="AD2290" i="2"/>
  <c r="AN2290" i="2"/>
  <c r="X2290" i="2"/>
  <c r="AI2290" i="2"/>
  <c r="AD2294" i="2"/>
  <c r="AN2294" i="2"/>
  <c r="X2294" i="2"/>
  <c r="AI2294" i="2"/>
  <c r="AD2298" i="2"/>
  <c r="AN2298" i="2"/>
  <c r="X2298" i="2"/>
  <c r="AI2298" i="2"/>
  <c r="AD2302" i="2"/>
  <c r="AN2302" i="2"/>
  <c r="X2302" i="2"/>
  <c r="AI2302" i="2"/>
  <c r="AD2306" i="2"/>
  <c r="AN2306" i="2"/>
  <c r="X2306" i="2"/>
  <c r="AI2306" i="2"/>
  <c r="AD2310" i="2"/>
  <c r="AN2310" i="2"/>
  <c r="X2310" i="2"/>
  <c r="AI2310" i="2"/>
  <c r="AD2314" i="2"/>
  <c r="AN2314" i="2"/>
  <c r="X2314" i="2"/>
  <c r="AI2314" i="2"/>
  <c r="AS2429" i="2"/>
  <c r="AX2429" i="2" s="1"/>
  <c r="BG2429" i="2" s="1"/>
  <c r="AN2335" i="2"/>
  <c r="X2335" i="2"/>
  <c r="AI2335" i="2"/>
  <c r="AD2335" i="2"/>
  <c r="AN2359" i="2"/>
  <c r="X2359" i="2"/>
  <c r="AI2359" i="2"/>
  <c r="AD2359" i="2"/>
  <c r="AN2367" i="2"/>
  <c r="X2367" i="2"/>
  <c r="AI2367" i="2"/>
  <c r="AD2367" i="2"/>
  <c r="AN2375" i="2"/>
  <c r="X2375" i="2"/>
  <c r="AI2375" i="2"/>
  <c r="AD2375" i="2"/>
  <c r="AN2383" i="2"/>
  <c r="X2383" i="2"/>
  <c r="AI2383" i="2"/>
  <c r="AD2383" i="2"/>
  <c r="AI2406" i="2"/>
  <c r="AD2406" i="2"/>
  <c r="AN2406" i="2"/>
  <c r="X2406" i="2"/>
  <c r="AI2462" i="2"/>
  <c r="AD2462" i="2"/>
  <c r="AN2462" i="2"/>
  <c r="X2462" i="2"/>
  <c r="AS191" i="2"/>
  <c r="AX191" i="2" s="1"/>
  <c r="BG191" i="2" s="1"/>
  <c r="AO116" i="2"/>
  <c r="AE116" i="2"/>
  <c r="AJ116" i="2"/>
  <c r="AO132" i="2"/>
  <c r="AE132" i="2"/>
  <c r="AJ132" i="2"/>
  <c r="AO148" i="2"/>
  <c r="AE148" i="2"/>
  <c r="AJ148" i="2"/>
  <c r="AO164" i="2"/>
  <c r="AE164" i="2"/>
  <c r="AJ164" i="2"/>
  <c r="AO180" i="2"/>
  <c r="AE180" i="2"/>
  <c r="AJ180" i="2"/>
  <c r="AO196" i="2"/>
  <c r="AE196" i="2"/>
  <c r="AJ196" i="2"/>
  <c r="AI1052" i="2"/>
  <c r="AN1052" i="2"/>
  <c r="X1052" i="2"/>
  <c r="AD1052" i="2"/>
  <c r="AI1060" i="2"/>
  <c r="AN1060" i="2"/>
  <c r="X1060" i="2"/>
  <c r="AD1060" i="2"/>
  <c r="AI1068" i="2"/>
  <c r="AN1068" i="2"/>
  <c r="X1068" i="2"/>
  <c r="AD1068" i="2"/>
  <c r="AI1076" i="2"/>
  <c r="AN1076" i="2"/>
  <c r="X1076" i="2"/>
  <c r="AD1076" i="2"/>
  <c r="AI1084" i="2"/>
  <c r="AN1084" i="2"/>
  <c r="X1084" i="2"/>
  <c r="AD1084" i="2"/>
  <c r="AI1092" i="2"/>
  <c r="AN1092" i="2"/>
  <c r="X1092" i="2"/>
  <c r="AD1092" i="2"/>
  <c r="AI1100" i="2"/>
  <c r="AN1100" i="2"/>
  <c r="X1100" i="2"/>
  <c r="AD1100" i="2"/>
  <c r="AI1108" i="2"/>
  <c r="AN1108" i="2"/>
  <c r="X1108" i="2"/>
  <c r="AD1108" i="2"/>
  <c r="AI1116" i="2"/>
  <c r="AN1116" i="2"/>
  <c r="X1116" i="2"/>
  <c r="AD1116" i="2"/>
  <c r="AI1124" i="2"/>
  <c r="AN1124" i="2"/>
  <c r="X1124" i="2"/>
  <c r="AD1124" i="2"/>
  <c r="AI1132" i="2"/>
  <c r="AN1132" i="2"/>
  <c r="X1132" i="2"/>
  <c r="AD1132" i="2"/>
  <c r="AN1140" i="2"/>
  <c r="AI1140" i="2"/>
  <c r="X1140" i="2"/>
  <c r="AD1140" i="2"/>
  <c r="AS1213" i="2"/>
  <c r="AX1213" i="2" s="1"/>
  <c r="BG1213" i="2" s="1"/>
  <c r="AS1277" i="2"/>
  <c r="AX1277" i="2" s="1"/>
  <c r="BG1277" i="2" s="1"/>
  <c r="AS1341" i="2"/>
  <c r="AX1341" i="2" s="1"/>
  <c r="BG1341" i="2" s="1"/>
  <c r="AS1328" i="2"/>
  <c r="AX1328" i="2" s="1"/>
  <c r="BG1328" i="2" s="1"/>
  <c r="AI1079" i="2"/>
  <c r="AD1079" i="2"/>
  <c r="AN1079" i="2"/>
  <c r="X1079" i="2"/>
  <c r="AS1640" i="2"/>
  <c r="AX1640" i="2" s="1"/>
  <c r="BG1640" i="2" s="1"/>
  <c r="AS1618" i="2"/>
  <c r="AX1618" i="2" s="1"/>
  <c r="BG1618" i="2" s="1"/>
  <c r="AT1759" i="2"/>
  <c r="AY1759" i="2" s="1"/>
  <c r="BH1759" i="2" s="1"/>
  <c r="AO1823" i="2"/>
  <c r="AE1823" i="2"/>
  <c r="AS1764" i="2"/>
  <c r="AX1764" i="2" s="1"/>
  <c r="BG1764" i="2" s="1"/>
  <c r="AS1780" i="2"/>
  <c r="AX1780" i="2" s="1"/>
  <c r="BG1780" i="2" s="1"/>
  <c r="AS2190" i="2"/>
  <c r="AX2190" i="2" s="1"/>
  <c r="BG2190" i="2" s="1"/>
  <c r="AS2319" i="2"/>
  <c r="AX2319" i="2" s="1"/>
  <c r="BG2319" i="2" s="1"/>
  <c r="AS2327" i="2"/>
  <c r="AX2327" i="2" s="1"/>
  <c r="BG2327" i="2" s="1"/>
  <c r="AS2343" i="2"/>
  <c r="AX2343" i="2" s="1"/>
  <c r="BG2343" i="2" s="1"/>
  <c r="AS2351" i="2"/>
  <c r="AX2351" i="2" s="1"/>
  <c r="BG2351" i="2" s="1"/>
  <c r="AS2391" i="2"/>
  <c r="AX2391" i="2" s="1"/>
  <c r="BG2391" i="2" s="1"/>
  <c r="AS2430" i="2"/>
  <c r="AX2430" i="2" s="1"/>
  <c r="BG2430" i="2" s="1"/>
  <c r="AS30" i="2"/>
  <c r="AX30" i="2" s="1"/>
  <c r="BG30" i="2" s="1"/>
  <c r="AS308" i="2"/>
  <c r="AX308" i="2" s="1"/>
  <c r="BG308" i="2" s="1"/>
  <c r="AS178" i="2"/>
  <c r="AX178" i="2" s="1"/>
  <c r="BG178" i="2" s="1"/>
  <c r="AN287" i="2"/>
  <c r="X287" i="2"/>
  <c r="AI287" i="2"/>
  <c r="AD287" i="2"/>
  <c r="AN319" i="2"/>
  <c r="X319" i="2"/>
  <c r="AI319" i="2"/>
  <c r="AD319" i="2"/>
  <c r="AD336" i="2"/>
  <c r="AN336" i="2"/>
  <c r="AI336" i="2"/>
  <c r="X336" i="2"/>
  <c r="AD368" i="2"/>
  <c r="AN368" i="2"/>
  <c r="AI368" i="2"/>
  <c r="X368" i="2"/>
  <c r="AD400" i="2"/>
  <c r="AN400" i="2"/>
  <c r="AI400" i="2"/>
  <c r="X400" i="2"/>
  <c r="AN233" i="2"/>
  <c r="X233" i="2"/>
  <c r="AD233" i="2"/>
  <c r="AI233" i="2"/>
  <c r="AN297" i="2"/>
  <c r="X297" i="2"/>
  <c r="AD297" i="2"/>
  <c r="AI297" i="2"/>
  <c r="AD1486" i="2"/>
  <c r="AN1486" i="2"/>
  <c r="X1486" i="2"/>
  <c r="AI1486" i="2"/>
  <c r="AD1488" i="2"/>
  <c r="AN1488" i="2"/>
  <c r="X1488" i="2"/>
  <c r="AI1488" i="2"/>
  <c r="AD2053" i="2"/>
  <c r="AN2053" i="2"/>
  <c r="X2053" i="2"/>
  <c r="AI2053" i="2"/>
  <c r="AN2060" i="2"/>
  <c r="X2060" i="2"/>
  <c r="AI2060" i="2"/>
  <c r="AD2060" i="2"/>
  <c r="AS2318" i="2"/>
  <c r="AX2318" i="2" s="1"/>
  <c r="BG2318" i="2" s="1"/>
  <c r="AS2326" i="2"/>
  <c r="AX2326" i="2" s="1"/>
  <c r="BG2326" i="2" s="1"/>
  <c r="AS2334" i="2"/>
  <c r="AX2334" i="2" s="1"/>
  <c r="BG2334" i="2" s="1"/>
  <c r="AS2342" i="2"/>
  <c r="AX2342" i="2" s="1"/>
  <c r="BG2342" i="2" s="1"/>
  <c r="AS2350" i="2"/>
  <c r="AX2350" i="2" s="1"/>
  <c r="BG2350" i="2" s="1"/>
  <c r="AS2358" i="2"/>
  <c r="AX2358" i="2" s="1"/>
  <c r="BG2358" i="2" s="1"/>
  <c r="AS2366" i="2"/>
  <c r="AX2366" i="2" s="1"/>
  <c r="BG2366" i="2" s="1"/>
  <c r="AS2374" i="2"/>
  <c r="AX2374" i="2" s="1"/>
  <c r="BG2374" i="2" s="1"/>
  <c r="AS2382" i="2"/>
  <c r="AX2382" i="2" s="1"/>
  <c r="BG2382" i="2" s="1"/>
  <c r="AS2390" i="2"/>
  <c r="AX2390" i="2" s="1"/>
  <c r="BG2390" i="2" s="1"/>
  <c r="AS524" i="2"/>
  <c r="AX524" i="2" s="1"/>
  <c r="BG524" i="2" s="1"/>
  <c r="AS526" i="2"/>
  <c r="AX526" i="2" s="1"/>
  <c r="BG526" i="2" s="1"/>
  <c r="AO332" i="2"/>
  <c r="AJ332" i="2"/>
  <c r="AE332" i="2"/>
  <c r="AN1237" i="2"/>
  <c r="X1237" i="2"/>
  <c r="AI1237" i="2"/>
  <c r="AD1237" i="2"/>
  <c r="AS1368" i="2"/>
  <c r="AX1368" i="2" s="1"/>
  <c r="BG1368" i="2" s="1"/>
  <c r="AN1243" i="2"/>
  <c r="X1243" i="2"/>
  <c r="AI1243" i="2"/>
  <c r="AD1243" i="2"/>
  <c r="AS1286" i="2"/>
  <c r="AX1286" i="2" s="1"/>
  <c r="BG1286" i="2" s="1"/>
  <c r="AN1649" i="2"/>
  <c r="X1649" i="2"/>
  <c r="AI1649" i="2"/>
  <c r="AD1649" i="2"/>
  <c r="AN2064" i="2"/>
  <c r="X2064" i="2"/>
  <c r="AI2064" i="2"/>
  <c r="AD2064" i="2"/>
  <c r="AT2" i="2"/>
  <c r="AY2" i="2" s="1"/>
  <c r="BH2" i="2" s="1"/>
  <c r="AS265" i="2"/>
  <c r="AX265" i="2" s="1"/>
  <c r="BG265" i="2" s="1"/>
  <c r="AI841" i="2"/>
  <c r="AN841" i="2"/>
  <c r="X841" i="2"/>
  <c r="AD841" i="2"/>
  <c r="AN1313" i="2"/>
  <c r="X1313" i="2"/>
  <c r="AI1313" i="2"/>
  <c r="AD1313" i="2"/>
  <c r="AD1268" i="2"/>
  <c r="AN1268" i="2"/>
  <c r="X1268" i="2"/>
  <c r="AI1268" i="2"/>
  <c r="AD1385" i="2"/>
  <c r="AN1385" i="2"/>
  <c r="X1385" i="2"/>
  <c r="AI1385" i="2"/>
  <c r="AN1852" i="2"/>
  <c r="X1852" i="2"/>
  <c r="AI1852" i="2"/>
  <c r="AD1852" i="2"/>
  <c r="AS1921" i="2"/>
  <c r="AX1921" i="2" s="1"/>
  <c r="BG1921" i="2" s="1"/>
  <c r="AS1985" i="2"/>
  <c r="AX1985" i="2" s="1"/>
  <c r="BG1985" i="2" s="1"/>
  <c r="AE2020" i="2"/>
  <c r="AO2020" i="2"/>
  <c r="AJ2020" i="2"/>
  <c r="AS1955" i="2"/>
  <c r="AX1955" i="2" s="1"/>
  <c r="BG1955" i="2" s="1"/>
  <c r="AS69" i="2"/>
  <c r="AX69" i="2" s="1"/>
  <c r="BG69" i="2" s="1"/>
  <c r="AS431" i="2"/>
  <c r="AX431" i="2" s="1"/>
  <c r="BG431" i="2" s="1"/>
  <c r="AS209" i="2"/>
  <c r="AX209" i="2" s="1"/>
  <c r="BG209" i="2" s="1"/>
  <c r="AS267" i="2"/>
  <c r="AX267" i="2" s="1"/>
  <c r="BG267" i="2" s="1"/>
  <c r="AS273" i="2"/>
  <c r="AX273" i="2" s="1"/>
  <c r="BG273" i="2" s="1"/>
  <c r="AS417" i="2"/>
  <c r="AX417" i="2" s="1"/>
  <c r="BG417" i="2" s="1"/>
  <c r="AD300" i="2"/>
  <c r="AN300" i="2"/>
  <c r="AI300" i="2"/>
  <c r="X300" i="2"/>
  <c r="AS1184" i="2"/>
  <c r="AX1184" i="2" s="1"/>
  <c r="BG1184" i="2" s="1"/>
  <c r="AS1203" i="2"/>
  <c r="AX1203" i="2" s="1"/>
  <c r="BG1203" i="2" s="1"/>
  <c r="AD1490" i="2"/>
  <c r="AN1490" i="2"/>
  <c r="X1490" i="2"/>
  <c r="AI1490" i="2"/>
  <c r="AD1494" i="2"/>
  <c r="AN1494" i="2"/>
  <c r="X1494" i="2"/>
  <c r="AI1494" i="2"/>
  <c r="AD1498" i="2"/>
  <c r="AN1498" i="2"/>
  <c r="X1498" i="2"/>
  <c r="AI1498" i="2"/>
  <c r="AD1508" i="2"/>
  <c r="AN1508" i="2"/>
  <c r="X1508" i="2"/>
  <c r="AI1508" i="2"/>
  <c r="AD1512" i="2"/>
  <c r="AN1512" i="2"/>
  <c r="X1512" i="2"/>
  <c r="AI1512" i="2"/>
  <c r="AD1516" i="2"/>
  <c r="AN1516" i="2"/>
  <c r="X1516" i="2"/>
  <c r="AI1516" i="2"/>
  <c r="AD1520" i="2"/>
  <c r="AN1520" i="2"/>
  <c r="X1520" i="2"/>
  <c r="AI1520" i="2"/>
  <c r="AD1524" i="2"/>
  <c r="AN1524" i="2"/>
  <c r="X1524" i="2"/>
  <c r="AI1524" i="2"/>
  <c r="AD1528" i="2"/>
  <c r="AN1528" i="2"/>
  <c r="X1528" i="2"/>
  <c r="AI1528" i="2"/>
  <c r="AD1532" i="2"/>
  <c r="AN1532" i="2"/>
  <c r="X1532" i="2"/>
  <c r="AI1532" i="2"/>
  <c r="AD1536" i="2"/>
  <c r="AN1536" i="2"/>
  <c r="X1536" i="2"/>
  <c r="AI1536" i="2"/>
  <c r="AD1540" i="2"/>
  <c r="AN1540" i="2"/>
  <c r="X1540" i="2"/>
  <c r="AI1540" i="2"/>
  <c r="AD1544" i="2"/>
  <c r="AN1544" i="2"/>
  <c r="X1544" i="2"/>
  <c r="AI1544" i="2"/>
  <c r="AS2498" i="2"/>
  <c r="AX2498" i="2" s="1"/>
  <c r="BG2498" i="2" s="1"/>
  <c r="AN157" i="2"/>
  <c r="X157" i="2"/>
  <c r="AD157" i="2"/>
  <c r="AI157" i="2"/>
  <c r="AD40" i="2"/>
  <c r="AN40" i="2"/>
  <c r="AI40" i="2"/>
  <c r="X40" i="2"/>
  <c r="AD46" i="2"/>
  <c r="AN46" i="2"/>
  <c r="X46" i="2"/>
  <c r="AI46" i="2"/>
  <c r="AN459" i="2"/>
  <c r="X459" i="2"/>
  <c r="AI459" i="2"/>
  <c r="AD459" i="2"/>
  <c r="AD517" i="2"/>
  <c r="AN517" i="2"/>
  <c r="X517" i="2"/>
  <c r="AI517" i="2"/>
  <c r="AN221" i="2"/>
  <c r="X221" i="2"/>
  <c r="AI221" i="2"/>
  <c r="AD221" i="2"/>
  <c r="AS681" i="2"/>
  <c r="AX681" i="2" s="1"/>
  <c r="BG681" i="2" s="1"/>
  <c r="AS1067" i="2"/>
  <c r="AX1067" i="2" s="1"/>
  <c r="BG1067" i="2" s="1"/>
  <c r="AS1131" i="2"/>
  <c r="AX1131" i="2" s="1"/>
  <c r="BG1131" i="2" s="1"/>
  <c r="AS1382" i="2"/>
  <c r="AX1382" i="2" s="1"/>
  <c r="BG1382" i="2" s="1"/>
  <c r="AT248" i="2"/>
  <c r="AY248" i="2" s="1"/>
  <c r="BH248" i="2" s="1"/>
  <c r="AD190" i="2"/>
  <c r="AI190" i="2"/>
  <c r="X190" i="2"/>
  <c r="AN190" i="2"/>
  <c r="AS235" i="2"/>
  <c r="AX235" i="2" s="1"/>
  <c r="BG235" i="2" s="1"/>
  <c r="AS241" i="2"/>
  <c r="AX241" i="2" s="1"/>
  <c r="BG241" i="2" s="1"/>
  <c r="AS447" i="2"/>
  <c r="AX447" i="2" s="1"/>
  <c r="BG447" i="2" s="1"/>
  <c r="AD22" i="2"/>
  <c r="AN22" i="2"/>
  <c r="X22" i="2"/>
  <c r="AI22" i="2"/>
  <c r="AN1233" i="2"/>
  <c r="X1233" i="2"/>
  <c r="AI1233" i="2"/>
  <c r="AD1233" i="2"/>
  <c r="AS1388" i="2"/>
  <c r="AX1388" i="2" s="1"/>
  <c r="BG1388" i="2" s="1"/>
  <c r="AN1447" i="2"/>
  <c r="X1447" i="2"/>
  <c r="AD1447" i="2"/>
  <c r="AI1447" i="2"/>
  <c r="AN1463" i="2"/>
  <c r="X1463" i="2"/>
  <c r="AD1463" i="2"/>
  <c r="AI1463" i="2"/>
  <c r="AS1557" i="2"/>
  <c r="AX1557" i="2" s="1"/>
  <c r="BG1557" i="2" s="1"/>
  <c r="AS1573" i="2"/>
  <c r="AX1573" i="2" s="1"/>
  <c r="BG1573" i="2" s="1"/>
  <c r="AS1627" i="2"/>
  <c r="AX1627" i="2" s="1"/>
  <c r="BG1627" i="2" s="1"/>
  <c r="AI1842" i="2"/>
  <c r="AN1842" i="2"/>
  <c r="X1842" i="2"/>
  <c r="AD1842" i="2"/>
  <c r="AD1869" i="2"/>
  <c r="AN1869" i="2"/>
  <c r="X1869" i="2"/>
  <c r="AI1869" i="2"/>
  <c r="AD1885" i="2"/>
  <c r="AN1885" i="2"/>
  <c r="X1885" i="2"/>
  <c r="AI1885" i="2"/>
  <c r="AD1901" i="2"/>
  <c r="AN1901" i="2"/>
  <c r="X1901" i="2"/>
  <c r="AI1901" i="2"/>
  <c r="AD1917" i="2"/>
  <c r="AN1917" i="2"/>
  <c r="X1917" i="2"/>
  <c r="AI1917" i="2"/>
  <c r="AD1933" i="2"/>
  <c r="AN1933" i="2"/>
  <c r="X1933" i="2"/>
  <c r="AI1933" i="2"/>
  <c r="AD1949" i="2"/>
  <c r="AN1949" i="2"/>
  <c r="X1949" i="2"/>
  <c r="AI1949" i="2"/>
  <c r="AD1965" i="2"/>
  <c r="AN1965" i="2"/>
  <c r="X1965" i="2"/>
  <c r="AI1965" i="2"/>
  <c r="AD1981" i="2"/>
  <c r="AN1981" i="2"/>
  <c r="X1981" i="2"/>
  <c r="AI1981" i="2"/>
  <c r="AD1997" i="2"/>
  <c r="AN1997" i="2"/>
  <c r="X1997" i="2"/>
  <c r="AI1997" i="2"/>
  <c r="AD2013" i="2"/>
  <c r="AN2013" i="2"/>
  <c r="X2013" i="2"/>
  <c r="AI2013" i="2"/>
  <c r="AD1967" i="2"/>
  <c r="AN1967" i="2"/>
  <c r="X1967" i="2"/>
  <c r="AI1967" i="2"/>
  <c r="AD1983" i="2"/>
  <c r="AN1983" i="2"/>
  <c r="X1983" i="2"/>
  <c r="AI1983" i="2"/>
  <c r="AD1999" i="2"/>
  <c r="AN1999" i="2"/>
  <c r="X1999" i="2"/>
  <c r="AI1999" i="2"/>
  <c r="AD2015" i="2"/>
  <c r="AN2015" i="2"/>
  <c r="X2015" i="2"/>
  <c r="AI2015" i="2"/>
  <c r="AS2068" i="2"/>
  <c r="AX2068" i="2" s="1"/>
  <c r="BG2068" i="2" s="1"/>
  <c r="AN57" i="2"/>
  <c r="X57" i="2"/>
  <c r="AD57" i="2"/>
  <c r="AI57" i="2"/>
  <c r="AN149" i="2"/>
  <c r="X149" i="2"/>
  <c r="AI149" i="2"/>
  <c r="AD149" i="2"/>
  <c r="AI742" i="2"/>
  <c r="AN742" i="2"/>
  <c r="X742" i="2"/>
  <c r="AD742" i="2"/>
  <c r="AI758" i="2"/>
  <c r="AN758" i="2"/>
  <c r="X758" i="2"/>
  <c r="AD758" i="2"/>
  <c r="AI774" i="2"/>
  <c r="AN774" i="2"/>
  <c r="X774" i="2"/>
  <c r="AD774" i="2"/>
  <c r="AI790" i="2"/>
  <c r="AN790" i="2"/>
  <c r="X790" i="2"/>
  <c r="AD790" i="2"/>
  <c r="AI806" i="2"/>
  <c r="AN806" i="2"/>
  <c r="X806" i="2"/>
  <c r="AD806" i="2"/>
  <c r="AI822" i="2"/>
  <c r="AN822" i="2"/>
  <c r="X822" i="2"/>
  <c r="AD822" i="2"/>
  <c r="AI838" i="2"/>
  <c r="AN838" i="2"/>
  <c r="X838" i="2"/>
  <c r="AD838" i="2"/>
  <c r="AI854" i="2"/>
  <c r="AN854" i="2"/>
  <c r="X854" i="2"/>
  <c r="AD854" i="2"/>
  <c r="AI870" i="2"/>
  <c r="AN870" i="2"/>
  <c r="X870" i="2"/>
  <c r="AD870" i="2"/>
  <c r="AN1399" i="2"/>
  <c r="X1399" i="2"/>
  <c r="AD1399" i="2"/>
  <c r="AI1399" i="2"/>
  <c r="AS1772" i="2"/>
  <c r="AX1772" i="2" s="1"/>
  <c r="BG1772" i="2" s="1"/>
  <c r="AN1858" i="2"/>
  <c r="X1858" i="2"/>
  <c r="AI1858" i="2"/>
  <c r="AD1858" i="2"/>
  <c r="AD2095" i="2"/>
  <c r="AN2095" i="2"/>
  <c r="X2095" i="2"/>
  <c r="AI2095" i="2"/>
  <c r="AS2416" i="2"/>
  <c r="AX2416" i="2" s="1"/>
  <c r="BG2416" i="2" s="1"/>
  <c r="AS1769" i="2"/>
  <c r="AX1769" i="2" s="1"/>
  <c r="BG1769" i="2" s="1"/>
  <c r="AS1785" i="2"/>
  <c r="AX1785" i="2" s="1"/>
  <c r="BG1785" i="2" s="1"/>
  <c r="AS1801" i="2"/>
  <c r="AX1801" i="2" s="1"/>
  <c r="BG1801" i="2" s="1"/>
  <c r="AS2199" i="2"/>
  <c r="AX2199" i="2" s="1"/>
  <c r="BG2199" i="2" s="1"/>
  <c r="AT20" i="2"/>
  <c r="AY20" i="2" s="1"/>
  <c r="BH20" i="2" s="1"/>
  <c r="AT136" i="2"/>
  <c r="AY136" i="2" s="1"/>
  <c r="BH136" i="2" s="1"/>
  <c r="AD290" i="2"/>
  <c r="AI290" i="2"/>
  <c r="X290" i="2"/>
  <c r="AN290" i="2"/>
  <c r="AS936" i="2"/>
  <c r="AX936" i="2" s="1"/>
  <c r="BG936" i="2" s="1"/>
  <c r="AS1059" i="2"/>
  <c r="AX1059" i="2" s="1"/>
  <c r="BG1059" i="2" s="1"/>
  <c r="AI2147" i="2"/>
  <c r="AN2147" i="2"/>
  <c r="X2147" i="2"/>
  <c r="AD2147" i="2"/>
  <c r="AI2395" i="2"/>
  <c r="AN2395" i="2"/>
  <c r="X2395" i="2"/>
  <c r="AD2395" i="2"/>
  <c r="AI2403" i="2"/>
  <c r="AN2403" i="2"/>
  <c r="X2403" i="2"/>
  <c r="AD2403" i="2"/>
  <c r="AS2435" i="2"/>
  <c r="AX2435" i="2" s="1"/>
  <c r="BG2435" i="2" s="1"/>
  <c r="AS161" i="2"/>
  <c r="AX161" i="2" s="1"/>
  <c r="BG161" i="2" s="1"/>
  <c r="AS363" i="2"/>
  <c r="AX363" i="2" s="1"/>
  <c r="BG363" i="2" s="1"/>
  <c r="AS731" i="2"/>
  <c r="AX731" i="2" s="1"/>
  <c r="BG731" i="2" s="1"/>
  <c r="AS747" i="2"/>
  <c r="AX747" i="2" s="1"/>
  <c r="BG747" i="2" s="1"/>
  <c r="AS763" i="2"/>
  <c r="AX763" i="2" s="1"/>
  <c r="BG763" i="2" s="1"/>
  <c r="AS779" i="2"/>
  <c r="AX779" i="2" s="1"/>
  <c r="BG779" i="2" s="1"/>
  <c r="AS795" i="2"/>
  <c r="AX795" i="2" s="1"/>
  <c r="BG795" i="2" s="1"/>
  <c r="AS811" i="2"/>
  <c r="AX811" i="2" s="1"/>
  <c r="BG811" i="2" s="1"/>
  <c r="AS827" i="2"/>
  <c r="AX827" i="2" s="1"/>
  <c r="BG827" i="2" s="1"/>
  <c r="AS843" i="2"/>
  <c r="AX843" i="2" s="1"/>
  <c r="BG843" i="2" s="1"/>
  <c r="AS859" i="2"/>
  <c r="AX859" i="2" s="1"/>
  <c r="BG859" i="2" s="1"/>
  <c r="AS875" i="2"/>
  <c r="AX875" i="2" s="1"/>
  <c r="BG875" i="2" s="1"/>
  <c r="AS1386" i="2"/>
  <c r="AX1386" i="2" s="1"/>
  <c r="BG1386" i="2" s="1"/>
  <c r="AN2227" i="2"/>
  <c r="X2227" i="2"/>
  <c r="AD2227" i="2"/>
  <c r="AI2227" i="2"/>
  <c r="AN2259" i="2"/>
  <c r="X2259" i="2"/>
  <c r="AD2259" i="2"/>
  <c r="AI2259" i="2"/>
  <c r="AN2291" i="2"/>
  <c r="X2291" i="2"/>
  <c r="AD2291" i="2"/>
  <c r="AI2291" i="2"/>
  <c r="AN2299" i="2"/>
  <c r="X2299" i="2"/>
  <c r="AD2299" i="2"/>
  <c r="AI2299" i="2"/>
  <c r="AN2307" i="2"/>
  <c r="X2307" i="2"/>
  <c r="AD2307" i="2"/>
  <c r="AI2307" i="2"/>
  <c r="AS2408" i="2"/>
  <c r="AX2408" i="2" s="1"/>
  <c r="BG2408" i="2" s="1"/>
  <c r="AS2471" i="2"/>
  <c r="AX2471" i="2" s="1"/>
  <c r="BG2471" i="2" s="1"/>
  <c r="AD314" i="2"/>
  <c r="X314" i="2"/>
  <c r="AN314" i="2"/>
  <c r="AI314" i="2"/>
  <c r="AT388" i="2"/>
  <c r="AY388" i="2" s="1"/>
  <c r="BH388" i="2" s="1"/>
  <c r="AS756" i="2"/>
  <c r="AX756" i="2" s="1"/>
  <c r="BG756" i="2" s="1"/>
  <c r="AS820" i="2"/>
  <c r="AX820" i="2" s="1"/>
  <c r="BG820" i="2" s="1"/>
  <c r="AS884" i="2"/>
  <c r="AX884" i="2" s="1"/>
  <c r="BG884" i="2" s="1"/>
  <c r="AN2177" i="2"/>
  <c r="X2177" i="2"/>
  <c r="AI2177" i="2"/>
  <c r="AD2177" i="2"/>
  <c r="AD210" i="2"/>
  <c r="AI210" i="2"/>
  <c r="X210" i="2"/>
  <c r="AN210" i="2"/>
  <c r="AD150" i="2"/>
  <c r="AN150" i="2"/>
  <c r="AI150" i="2"/>
  <c r="X150" i="2"/>
  <c r="AS313" i="2"/>
  <c r="AX313" i="2" s="1"/>
  <c r="BG313" i="2" s="1"/>
  <c r="AS1107" i="2"/>
  <c r="AX1107" i="2" s="1"/>
  <c r="BG1107" i="2" s="1"/>
  <c r="AS2419" i="2"/>
  <c r="AX2419" i="2" s="1"/>
  <c r="BG2419" i="2" s="1"/>
  <c r="AS2443" i="2"/>
  <c r="AX2443" i="2" s="1"/>
  <c r="BG2443" i="2" s="1"/>
  <c r="AS2459" i="2"/>
  <c r="AX2459" i="2" s="1"/>
  <c r="BG2459" i="2" s="1"/>
  <c r="AD242" i="2"/>
  <c r="AI242" i="2"/>
  <c r="X242" i="2"/>
  <c r="AN242" i="2"/>
  <c r="AD10" i="2"/>
  <c r="AI10" i="2"/>
  <c r="AN10" i="2"/>
  <c r="X10" i="2"/>
  <c r="AD42" i="2"/>
  <c r="AI42" i="2"/>
  <c r="AN42" i="2"/>
  <c r="X42" i="2"/>
  <c r="AD74" i="2"/>
  <c r="AI74" i="2"/>
  <c r="AN74" i="2"/>
  <c r="X74" i="2"/>
  <c r="AN2469" i="2"/>
  <c r="X2469" i="2"/>
  <c r="AI2469" i="2"/>
  <c r="AD2469" i="2"/>
  <c r="AN2411" i="2"/>
  <c r="X2411" i="2"/>
  <c r="AI2411" i="2"/>
  <c r="AD2411" i="2"/>
  <c r="AN2427" i="2"/>
  <c r="X2427" i="2"/>
  <c r="AI2427" i="2"/>
  <c r="AD2427" i="2"/>
  <c r="AT356" i="2"/>
  <c r="AY356" i="2" s="1"/>
  <c r="BH356" i="2" s="1"/>
  <c r="AS1113" i="2"/>
  <c r="AX1113" i="2" s="1"/>
  <c r="BG1113" i="2" s="1"/>
  <c r="AI2397" i="2"/>
  <c r="AN2397" i="2"/>
  <c r="X2397" i="2"/>
  <c r="AD2397" i="2"/>
  <c r="AI2405" i="2"/>
  <c r="AN2405" i="2"/>
  <c r="X2405" i="2"/>
  <c r="AD2405" i="2"/>
  <c r="AD170" i="2"/>
  <c r="AN170" i="2"/>
  <c r="AI170" i="2"/>
  <c r="X170" i="2"/>
  <c r="AN1156" i="2"/>
  <c r="X1156" i="2"/>
  <c r="AI1156" i="2"/>
  <c r="AD1156" i="2"/>
  <c r="AN1160" i="2"/>
  <c r="X1160" i="2"/>
  <c r="AI1160" i="2"/>
  <c r="AD1160" i="2"/>
  <c r="AN1164" i="2"/>
  <c r="X1164" i="2"/>
  <c r="AI1164" i="2"/>
  <c r="AD1164" i="2"/>
  <c r="AN1168" i="2"/>
  <c r="X1168" i="2"/>
  <c r="AI1168" i="2"/>
  <c r="AD1168" i="2"/>
  <c r="AN1172" i="2"/>
  <c r="X1172" i="2"/>
  <c r="AI1172" i="2"/>
  <c r="AD1172" i="2"/>
  <c r="AN1176" i="2"/>
  <c r="X1176" i="2"/>
  <c r="AI1176" i="2"/>
  <c r="AD1176" i="2"/>
  <c r="AN1718" i="2"/>
  <c r="X1718" i="2"/>
  <c r="AD1718" i="2"/>
  <c r="AI1718" i="2"/>
  <c r="AS21" i="2"/>
  <c r="AX21" i="2" s="1"/>
  <c r="BG21" i="2" s="1"/>
  <c r="AT340" i="2"/>
  <c r="AY340" i="2" s="1"/>
  <c r="BH340" i="2" s="1"/>
  <c r="AD1506" i="2"/>
  <c r="AN1506" i="2"/>
  <c r="X1506" i="2"/>
  <c r="AI1506" i="2"/>
  <c r="AT1835" i="2"/>
  <c r="AY1835" i="2" s="1"/>
  <c r="BH1835" i="2" s="1"/>
  <c r="AN2467" i="2"/>
  <c r="X2467" i="2"/>
  <c r="AI2467" i="2"/>
  <c r="AD2467" i="2"/>
  <c r="AS2396" i="2"/>
  <c r="AX2396" i="2" s="1"/>
  <c r="BG2396" i="2" s="1"/>
  <c r="AS733" i="2"/>
  <c r="AX733" i="2" s="1"/>
  <c r="BG733" i="2" s="1"/>
  <c r="AS765" i="2"/>
  <c r="AX765" i="2" s="1"/>
  <c r="BG765" i="2" s="1"/>
  <c r="AS797" i="2"/>
  <c r="AX797" i="2" s="1"/>
  <c r="BG797" i="2" s="1"/>
  <c r="AS829" i="2"/>
  <c r="AX829" i="2" s="1"/>
  <c r="BG829" i="2" s="1"/>
  <c r="AS861" i="2"/>
  <c r="AX861" i="2" s="1"/>
  <c r="BG861" i="2" s="1"/>
  <c r="AS933" i="2"/>
  <c r="AX933" i="2" s="1"/>
  <c r="BG933" i="2" s="1"/>
  <c r="AS935" i="2"/>
  <c r="AX935" i="2" s="1"/>
  <c r="BG935" i="2" s="1"/>
  <c r="AS937" i="2"/>
  <c r="AX937" i="2" s="1"/>
  <c r="BG937" i="2" s="1"/>
  <c r="AS939" i="2"/>
  <c r="AX939" i="2" s="1"/>
  <c r="BG939" i="2" s="1"/>
  <c r="AS941" i="2"/>
  <c r="AX941" i="2" s="1"/>
  <c r="BG941" i="2" s="1"/>
  <c r="AS943" i="2"/>
  <c r="AX943" i="2" s="1"/>
  <c r="BG943" i="2" s="1"/>
  <c r="AS945" i="2"/>
  <c r="AX945" i="2" s="1"/>
  <c r="BG945" i="2" s="1"/>
  <c r="AS947" i="2"/>
  <c r="AX947" i="2" s="1"/>
  <c r="BG947" i="2" s="1"/>
  <c r="AS949" i="2"/>
  <c r="AX949" i="2" s="1"/>
  <c r="BG949" i="2" s="1"/>
  <c r="AS951" i="2"/>
  <c r="AX951" i="2" s="1"/>
  <c r="BG951" i="2" s="1"/>
  <c r="AS953" i="2"/>
  <c r="AX953" i="2" s="1"/>
  <c r="BG953" i="2" s="1"/>
  <c r="AS955" i="2"/>
  <c r="AX955" i="2" s="1"/>
  <c r="BG955" i="2" s="1"/>
  <c r="AS957" i="2"/>
  <c r="AX957" i="2" s="1"/>
  <c r="BG957" i="2" s="1"/>
  <c r="AS959" i="2"/>
  <c r="AX959" i="2" s="1"/>
  <c r="BG959" i="2" s="1"/>
  <c r="AS961" i="2"/>
  <c r="AX961" i="2" s="1"/>
  <c r="BG961" i="2" s="1"/>
  <c r="AS963" i="2"/>
  <c r="AX963" i="2" s="1"/>
  <c r="BG963" i="2" s="1"/>
  <c r="AS965" i="2"/>
  <c r="AX965" i="2" s="1"/>
  <c r="BG965" i="2" s="1"/>
  <c r="AS967" i="2"/>
  <c r="AX967" i="2" s="1"/>
  <c r="BG967" i="2" s="1"/>
  <c r="AS969" i="2"/>
  <c r="AX969" i="2" s="1"/>
  <c r="BG969" i="2" s="1"/>
  <c r="AS971" i="2"/>
  <c r="AX971" i="2" s="1"/>
  <c r="BG971" i="2" s="1"/>
  <c r="AS973" i="2"/>
  <c r="AX973" i="2" s="1"/>
  <c r="BG973" i="2" s="1"/>
  <c r="AS975" i="2"/>
  <c r="AX975" i="2" s="1"/>
  <c r="BG975" i="2" s="1"/>
  <c r="AS977" i="2"/>
  <c r="AX977" i="2" s="1"/>
  <c r="BG977" i="2" s="1"/>
  <c r="AS979" i="2"/>
  <c r="AX979" i="2" s="1"/>
  <c r="BG979" i="2" s="1"/>
  <c r="AS981" i="2"/>
  <c r="AX981" i="2" s="1"/>
  <c r="BG981" i="2" s="1"/>
  <c r="AS983" i="2"/>
  <c r="AX983" i="2" s="1"/>
  <c r="BG983" i="2" s="1"/>
  <c r="AS985" i="2"/>
  <c r="AX985" i="2" s="1"/>
  <c r="BG985" i="2" s="1"/>
  <c r="AS987" i="2"/>
  <c r="AX987" i="2" s="1"/>
  <c r="BG987" i="2" s="1"/>
  <c r="AS989" i="2"/>
  <c r="AX989" i="2" s="1"/>
  <c r="BG989" i="2" s="1"/>
  <c r="AS991" i="2"/>
  <c r="AX991" i="2" s="1"/>
  <c r="BG991" i="2" s="1"/>
  <c r="AS993" i="2"/>
  <c r="AX993" i="2" s="1"/>
  <c r="BG993" i="2" s="1"/>
  <c r="AS995" i="2"/>
  <c r="AX995" i="2" s="1"/>
  <c r="BG995" i="2" s="1"/>
  <c r="AS997" i="2"/>
  <c r="AX997" i="2" s="1"/>
  <c r="BG997" i="2" s="1"/>
  <c r="AS999" i="2"/>
  <c r="AX999" i="2" s="1"/>
  <c r="BG999" i="2" s="1"/>
  <c r="AS1001" i="2"/>
  <c r="AX1001" i="2" s="1"/>
  <c r="BG1001" i="2" s="1"/>
  <c r="AS1003" i="2"/>
  <c r="AX1003" i="2" s="1"/>
  <c r="BG1003" i="2" s="1"/>
  <c r="AS1005" i="2"/>
  <c r="AX1005" i="2" s="1"/>
  <c r="BG1005" i="2" s="1"/>
  <c r="AS1007" i="2"/>
  <c r="AX1007" i="2" s="1"/>
  <c r="BG1007" i="2" s="1"/>
  <c r="AS1009" i="2"/>
  <c r="AX1009" i="2" s="1"/>
  <c r="BG1009" i="2" s="1"/>
  <c r="AS1011" i="2"/>
  <c r="AX1011" i="2" s="1"/>
  <c r="BG1011" i="2" s="1"/>
  <c r="AS1013" i="2"/>
  <c r="AX1013" i="2" s="1"/>
  <c r="BG1013" i="2" s="1"/>
  <c r="AS1015" i="2"/>
  <c r="AX1015" i="2" s="1"/>
  <c r="BG1015" i="2" s="1"/>
  <c r="AS1017" i="2"/>
  <c r="AX1017" i="2" s="1"/>
  <c r="BG1017" i="2" s="1"/>
  <c r="AS1019" i="2"/>
  <c r="AX1019" i="2" s="1"/>
  <c r="BG1019" i="2" s="1"/>
  <c r="AS1021" i="2"/>
  <c r="AX1021" i="2" s="1"/>
  <c r="BG1021" i="2" s="1"/>
  <c r="AS1023" i="2"/>
  <c r="AX1023" i="2" s="1"/>
  <c r="BG1023" i="2" s="1"/>
  <c r="AS1025" i="2"/>
  <c r="AX1025" i="2" s="1"/>
  <c r="BG1025" i="2" s="1"/>
  <c r="AS1027" i="2"/>
  <c r="AX1027" i="2" s="1"/>
  <c r="BG1027" i="2" s="1"/>
  <c r="AS1029" i="2"/>
  <c r="AX1029" i="2" s="1"/>
  <c r="BG1029" i="2" s="1"/>
  <c r="AS1031" i="2"/>
  <c r="AX1031" i="2" s="1"/>
  <c r="BG1031" i="2" s="1"/>
  <c r="AS1033" i="2"/>
  <c r="AX1033" i="2" s="1"/>
  <c r="BG1033" i="2" s="1"/>
  <c r="AS1035" i="2"/>
  <c r="AX1035" i="2" s="1"/>
  <c r="BG1035" i="2" s="1"/>
  <c r="AS1037" i="2"/>
  <c r="AX1037" i="2" s="1"/>
  <c r="BG1037" i="2" s="1"/>
  <c r="AS1039" i="2"/>
  <c r="AX1039" i="2" s="1"/>
  <c r="BG1039" i="2" s="1"/>
  <c r="AN2457" i="2"/>
  <c r="X2457" i="2"/>
  <c r="AI2457" i="2"/>
  <c r="AD2457" i="2"/>
  <c r="AS70" i="2"/>
  <c r="AX70" i="2" s="1"/>
  <c r="BG70" i="2" s="1"/>
  <c r="AS13" i="2"/>
  <c r="AX13" i="2" s="1"/>
  <c r="BG13" i="2" s="1"/>
  <c r="AN1045" i="2"/>
  <c r="X1045" i="2"/>
  <c r="AI1045" i="2"/>
  <c r="AD1045" i="2"/>
  <c r="AS1065" i="2"/>
  <c r="AX1065" i="2" s="1"/>
  <c r="BG1065" i="2" s="1"/>
  <c r="AS1129" i="2"/>
  <c r="AX1129" i="2" s="1"/>
  <c r="BG1129" i="2" s="1"/>
  <c r="AT1811" i="2"/>
  <c r="AY1811" i="2" s="1"/>
  <c r="BH1811" i="2" s="1"/>
  <c r="AS37" i="2"/>
  <c r="AX37" i="2" s="1"/>
  <c r="BG37" i="2" s="1"/>
  <c r="AS840" i="2"/>
  <c r="AX840" i="2" s="1"/>
  <c r="BG840" i="2" s="1"/>
  <c r="AS1053" i="2"/>
  <c r="AX1053" i="2" s="1"/>
  <c r="BG1053" i="2" s="1"/>
  <c r="AS1117" i="2"/>
  <c r="AX1117" i="2" s="1"/>
  <c r="BG1117" i="2" s="1"/>
  <c r="AS1071" i="2"/>
  <c r="AX1071" i="2" s="1"/>
  <c r="BG1071" i="2" s="1"/>
  <c r="AS1135" i="2"/>
  <c r="AX1135" i="2" s="1"/>
  <c r="BG1135" i="2" s="1"/>
  <c r="AN2263" i="2"/>
  <c r="X2263" i="2"/>
  <c r="AD2263" i="2"/>
  <c r="AI2263" i="2"/>
  <c r="AD134" i="2"/>
  <c r="AN134" i="2"/>
  <c r="AI134" i="2"/>
  <c r="X134" i="2"/>
  <c r="AI729" i="2"/>
  <c r="AN729" i="2"/>
  <c r="X729" i="2"/>
  <c r="AD729" i="2"/>
  <c r="AI793" i="2"/>
  <c r="AN793" i="2"/>
  <c r="X793" i="2"/>
  <c r="AD793" i="2"/>
  <c r="AI857" i="2"/>
  <c r="AN857" i="2"/>
  <c r="X857" i="2"/>
  <c r="AD857" i="2"/>
  <c r="AS1089" i="2"/>
  <c r="AX1089" i="2" s="1"/>
  <c r="BG1089" i="2" s="1"/>
  <c r="AD1394" i="2"/>
  <c r="AN1394" i="2"/>
  <c r="X1394" i="2"/>
  <c r="AI1394" i="2"/>
  <c r="AD1398" i="2"/>
  <c r="AN1398" i="2"/>
  <c r="X1398" i="2"/>
  <c r="AI1398" i="2"/>
  <c r="AD1402" i="2"/>
  <c r="AN1402" i="2"/>
  <c r="X1402" i="2"/>
  <c r="AI1402" i="2"/>
  <c r="AD1406" i="2"/>
  <c r="AN1406" i="2"/>
  <c r="X1406" i="2"/>
  <c r="AI1406" i="2"/>
  <c r="AD1410" i="2"/>
  <c r="AN1410" i="2"/>
  <c r="X1410" i="2"/>
  <c r="AI1410" i="2"/>
  <c r="AD1414" i="2"/>
  <c r="AN1414" i="2"/>
  <c r="X1414" i="2"/>
  <c r="AI1414" i="2"/>
  <c r="AD1418" i="2"/>
  <c r="AN1418" i="2"/>
  <c r="X1418" i="2"/>
  <c r="AI1418" i="2"/>
  <c r="AD1422" i="2"/>
  <c r="AN1422" i="2"/>
  <c r="X1422" i="2"/>
  <c r="AI1422" i="2"/>
  <c r="AD1426" i="2"/>
  <c r="AN1426" i="2"/>
  <c r="X1426" i="2"/>
  <c r="AI1426" i="2"/>
  <c r="AD1430" i="2"/>
  <c r="AN1430" i="2"/>
  <c r="X1430" i="2"/>
  <c r="AI1430" i="2"/>
  <c r="AD1434" i="2"/>
  <c r="AN1434" i="2"/>
  <c r="X1434" i="2"/>
  <c r="AI1434" i="2"/>
  <c r="AD1438" i="2"/>
  <c r="AN1438" i="2"/>
  <c r="X1438" i="2"/>
  <c r="AI1438" i="2"/>
  <c r="AD1492" i="2"/>
  <c r="AN1492" i="2"/>
  <c r="X1492" i="2"/>
  <c r="AI1492" i="2"/>
  <c r="AN1698" i="2"/>
  <c r="X1698" i="2"/>
  <c r="AD1698" i="2"/>
  <c r="AI1698" i="2"/>
  <c r="AS2116" i="2"/>
  <c r="AX2116" i="2" s="1"/>
  <c r="BG2116" i="2" s="1"/>
  <c r="AS2118" i="2"/>
  <c r="AX2118" i="2" s="1"/>
  <c r="BG2118" i="2" s="1"/>
  <c r="AS2120" i="2"/>
  <c r="AX2120" i="2" s="1"/>
  <c r="BG2120" i="2" s="1"/>
  <c r="AS2122" i="2"/>
  <c r="AX2122" i="2" s="1"/>
  <c r="BG2122" i="2" s="1"/>
  <c r="AS2124" i="2"/>
  <c r="AX2124" i="2" s="1"/>
  <c r="BG2124" i="2" s="1"/>
  <c r="AS2126" i="2"/>
  <c r="AX2126" i="2" s="1"/>
  <c r="BG2126" i="2" s="1"/>
  <c r="AS2128" i="2"/>
  <c r="AX2128" i="2" s="1"/>
  <c r="BG2128" i="2" s="1"/>
  <c r="AS2130" i="2"/>
  <c r="AX2130" i="2" s="1"/>
  <c r="BG2130" i="2" s="1"/>
  <c r="AS2132" i="2"/>
  <c r="AX2132" i="2" s="1"/>
  <c r="BG2132" i="2" s="1"/>
  <c r="AS2134" i="2"/>
  <c r="AX2134" i="2" s="1"/>
  <c r="BG2134" i="2" s="1"/>
  <c r="AS2136" i="2"/>
  <c r="AX2136" i="2" s="1"/>
  <c r="BG2136" i="2" s="1"/>
  <c r="AS2138" i="2"/>
  <c r="AX2138" i="2" s="1"/>
  <c r="BG2138" i="2" s="1"/>
  <c r="AS2140" i="2"/>
  <c r="AX2140" i="2" s="1"/>
  <c r="BG2140" i="2" s="1"/>
  <c r="AN2195" i="2"/>
  <c r="X2195" i="2"/>
  <c r="AI2195" i="2"/>
  <c r="AD2195" i="2"/>
  <c r="AN2451" i="2"/>
  <c r="X2451" i="2"/>
  <c r="AI2451" i="2"/>
  <c r="AD2451" i="2"/>
  <c r="AD2483" i="2"/>
  <c r="AN2483" i="2"/>
  <c r="X2483" i="2"/>
  <c r="AI2483" i="2"/>
  <c r="AS109" i="2"/>
  <c r="AX109" i="2" s="1"/>
  <c r="BG109" i="2" s="1"/>
  <c r="AS457" i="2"/>
  <c r="AX457" i="2" s="1"/>
  <c r="BG457" i="2" s="1"/>
  <c r="AS409" i="2"/>
  <c r="AX409" i="2" s="1"/>
  <c r="BG409" i="2" s="1"/>
  <c r="AS217" i="2"/>
  <c r="AX217" i="2" s="1"/>
  <c r="BG217" i="2" s="1"/>
  <c r="AS281" i="2"/>
  <c r="AX281" i="2" s="1"/>
  <c r="BG281" i="2" s="1"/>
  <c r="AS465" i="2"/>
  <c r="AX465" i="2" s="1"/>
  <c r="BG465" i="2" s="1"/>
  <c r="AT380" i="2"/>
  <c r="AY380" i="2" s="1"/>
  <c r="BH380" i="2" s="1"/>
  <c r="AS620" i="2"/>
  <c r="AX620" i="2" s="1"/>
  <c r="BG620" i="2" s="1"/>
  <c r="AS624" i="2"/>
  <c r="AX624" i="2" s="1"/>
  <c r="BG624" i="2" s="1"/>
  <c r="AS628" i="2"/>
  <c r="AX628" i="2" s="1"/>
  <c r="BG628" i="2" s="1"/>
  <c r="AS632" i="2"/>
  <c r="AX632" i="2" s="1"/>
  <c r="BG632" i="2" s="1"/>
  <c r="AS636" i="2"/>
  <c r="AX636" i="2" s="1"/>
  <c r="BG636" i="2" s="1"/>
  <c r="AS640" i="2"/>
  <c r="AX640" i="2" s="1"/>
  <c r="BG640" i="2" s="1"/>
  <c r="AS644" i="2"/>
  <c r="AX644" i="2" s="1"/>
  <c r="BG644" i="2" s="1"/>
  <c r="AS648" i="2"/>
  <c r="AX648" i="2" s="1"/>
  <c r="BG648" i="2" s="1"/>
  <c r="AS652" i="2"/>
  <c r="AX652" i="2" s="1"/>
  <c r="BG652" i="2" s="1"/>
  <c r="AS656" i="2"/>
  <c r="AX656" i="2" s="1"/>
  <c r="BG656" i="2" s="1"/>
  <c r="AS660" i="2"/>
  <c r="AX660" i="2" s="1"/>
  <c r="BG660" i="2" s="1"/>
  <c r="AS664" i="2"/>
  <c r="AX664" i="2" s="1"/>
  <c r="BG664" i="2" s="1"/>
  <c r="AS668" i="2"/>
  <c r="AX668" i="2" s="1"/>
  <c r="BG668" i="2" s="1"/>
  <c r="AS672" i="2"/>
  <c r="AX672" i="2" s="1"/>
  <c r="BG672" i="2" s="1"/>
  <c r="AS676" i="2"/>
  <c r="AX676" i="2" s="1"/>
  <c r="BG676" i="2" s="1"/>
  <c r="AS680" i="2"/>
  <c r="AX680" i="2" s="1"/>
  <c r="BG680" i="2" s="1"/>
  <c r="AS684" i="2"/>
  <c r="AX684" i="2" s="1"/>
  <c r="BG684" i="2" s="1"/>
  <c r="AS688" i="2"/>
  <c r="AX688" i="2" s="1"/>
  <c r="BG688" i="2" s="1"/>
  <c r="AS692" i="2"/>
  <c r="AX692" i="2" s="1"/>
  <c r="BG692" i="2" s="1"/>
  <c r="AS696" i="2"/>
  <c r="AX696" i="2" s="1"/>
  <c r="BG696" i="2" s="1"/>
  <c r="AS700" i="2"/>
  <c r="AX700" i="2" s="1"/>
  <c r="BG700" i="2" s="1"/>
  <c r="AS704" i="2"/>
  <c r="AX704" i="2" s="1"/>
  <c r="BG704" i="2" s="1"/>
  <c r="AS708" i="2"/>
  <c r="AX708" i="2" s="1"/>
  <c r="BG708" i="2" s="1"/>
  <c r="AS712" i="2"/>
  <c r="AX712" i="2" s="1"/>
  <c r="BG712" i="2" s="1"/>
  <c r="AS716" i="2"/>
  <c r="AX716" i="2" s="1"/>
  <c r="BG716" i="2" s="1"/>
  <c r="AS720" i="2"/>
  <c r="AX720" i="2" s="1"/>
  <c r="BG720" i="2" s="1"/>
  <c r="AS724" i="2"/>
  <c r="AX724" i="2" s="1"/>
  <c r="BG724" i="2" s="1"/>
  <c r="AS1833" i="2"/>
  <c r="AX1833" i="2" s="1"/>
  <c r="BG1833" i="2" s="1"/>
  <c r="AS1837" i="2"/>
  <c r="AX1837" i="2" s="1"/>
  <c r="BG1837" i="2" s="1"/>
  <c r="AS1841" i="2"/>
  <c r="AX1841" i="2" s="1"/>
  <c r="BG1841" i="2" s="1"/>
  <c r="AS1845" i="2"/>
  <c r="AX1845" i="2" s="1"/>
  <c r="BG1845" i="2" s="1"/>
  <c r="AS2197" i="2"/>
  <c r="AX2197" i="2" s="1"/>
  <c r="BG2197" i="2" s="1"/>
  <c r="AN2431" i="2"/>
  <c r="X2431" i="2"/>
  <c r="AI2431" i="2"/>
  <c r="AD2431" i="2"/>
  <c r="AN2205" i="2"/>
  <c r="X2205" i="2"/>
  <c r="AD2205" i="2"/>
  <c r="AI2205" i="2"/>
  <c r="AS2153" i="2"/>
  <c r="AX2153" i="2" s="1"/>
  <c r="BG2153" i="2" s="1"/>
  <c r="AN2478" i="2"/>
  <c r="X2478" i="2"/>
  <c r="AD2478" i="2"/>
  <c r="AI2478" i="2"/>
  <c r="AN2486" i="2"/>
  <c r="X2486" i="2"/>
  <c r="AD2486" i="2"/>
  <c r="AI2486" i="2"/>
  <c r="AS752" i="2"/>
  <c r="AX752" i="2" s="1"/>
  <c r="BG752" i="2" s="1"/>
  <c r="AN2447" i="2"/>
  <c r="X2447" i="2"/>
  <c r="AI2447" i="2"/>
  <c r="AD2447" i="2"/>
  <c r="AN2437" i="2"/>
  <c r="X2437" i="2"/>
  <c r="AI2437" i="2"/>
  <c r="AD2437" i="2"/>
  <c r="AN2453" i="2"/>
  <c r="X2453" i="2"/>
  <c r="AI2453" i="2"/>
  <c r="AD2453" i="2"/>
  <c r="AN75" i="2"/>
  <c r="X75" i="2"/>
  <c r="AD75" i="2"/>
  <c r="AI75" i="2"/>
  <c r="AS283" i="2"/>
  <c r="AX283" i="2" s="1"/>
  <c r="BG283" i="2" s="1"/>
  <c r="AS2187" i="2"/>
  <c r="AX2187" i="2" s="1"/>
  <c r="BG2187" i="2" s="1"/>
  <c r="AN341" i="2"/>
  <c r="X341" i="2"/>
  <c r="AI341" i="2"/>
  <c r="AD341" i="2"/>
  <c r="AS365" i="2"/>
  <c r="AX365" i="2" s="1"/>
  <c r="BG365" i="2" s="1"/>
  <c r="AS373" i="2"/>
  <c r="AX373" i="2" s="1"/>
  <c r="BG373" i="2" s="1"/>
  <c r="AN437" i="2"/>
  <c r="X437" i="2"/>
  <c r="AI437" i="2"/>
  <c r="AD437" i="2"/>
  <c r="AD366" i="2"/>
  <c r="AN366" i="2"/>
  <c r="AI366" i="2"/>
  <c r="X366" i="2"/>
  <c r="AO412" i="2"/>
  <c r="AJ412" i="2"/>
  <c r="AE412" i="2"/>
  <c r="AO444" i="2"/>
  <c r="AJ444" i="2"/>
  <c r="AE444" i="2"/>
  <c r="AO476" i="2"/>
  <c r="AJ476" i="2"/>
  <c r="AE476" i="2"/>
  <c r="AN1489" i="2"/>
  <c r="X1489" i="2"/>
  <c r="AD1489" i="2"/>
  <c r="AI1489" i="2"/>
  <c r="AN1515" i="2"/>
  <c r="X1515" i="2"/>
  <c r="AD1515" i="2"/>
  <c r="AI1515" i="2"/>
  <c r="AN1531" i="2"/>
  <c r="X1531" i="2"/>
  <c r="AD1531" i="2"/>
  <c r="AI1531" i="2"/>
  <c r="AS1583" i="2"/>
  <c r="AX1583" i="2" s="1"/>
  <c r="BG1583" i="2" s="1"/>
  <c r="AS2048" i="2"/>
  <c r="AX2048" i="2" s="1"/>
  <c r="BG2048" i="2" s="1"/>
  <c r="AS2215" i="2"/>
  <c r="AX2215" i="2" s="1"/>
  <c r="BG2215" i="2" s="1"/>
  <c r="AN99" i="2"/>
  <c r="X99" i="2"/>
  <c r="AD99" i="2"/>
  <c r="AI99" i="2"/>
  <c r="AS212" i="2"/>
  <c r="AX212" i="2" s="1"/>
  <c r="BG212" i="2" s="1"/>
  <c r="AS166" i="2"/>
  <c r="AX166" i="2" s="1"/>
  <c r="BG166" i="2" s="1"/>
  <c r="AS552" i="2"/>
  <c r="AX552" i="2" s="1"/>
  <c r="BG552" i="2" s="1"/>
  <c r="AD32" i="2"/>
  <c r="AN32" i="2"/>
  <c r="AI32" i="2"/>
  <c r="X32" i="2"/>
  <c r="AN205" i="2"/>
  <c r="X205" i="2"/>
  <c r="AD205" i="2"/>
  <c r="AI205" i="2"/>
  <c r="AN311" i="2"/>
  <c r="X311" i="2"/>
  <c r="AI311" i="2"/>
  <c r="AD311" i="2"/>
  <c r="AS506" i="2"/>
  <c r="AX506" i="2" s="1"/>
  <c r="BG506" i="2" s="1"/>
  <c r="AN145" i="2"/>
  <c r="X145" i="2"/>
  <c r="AI145" i="2"/>
  <c r="AD145" i="2"/>
  <c r="AD328" i="2"/>
  <c r="AN328" i="2"/>
  <c r="AI328" i="2"/>
  <c r="X328" i="2"/>
  <c r="AD68" i="2"/>
  <c r="AI68" i="2"/>
  <c r="AN68" i="2"/>
  <c r="X68" i="2"/>
  <c r="AD523" i="2"/>
  <c r="AN523" i="2"/>
  <c r="X523" i="2"/>
  <c r="AI523" i="2"/>
  <c r="AD547" i="2"/>
  <c r="AN547" i="2"/>
  <c r="X547" i="2"/>
  <c r="AI547" i="2"/>
  <c r="AN339" i="2"/>
  <c r="X339" i="2"/>
  <c r="AI339" i="2"/>
  <c r="AD339" i="2"/>
  <c r="AN371" i="2"/>
  <c r="X371" i="2"/>
  <c r="AI371" i="2"/>
  <c r="AD371" i="2"/>
  <c r="AN403" i="2"/>
  <c r="X403" i="2"/>
  <c r="AI403" i="2"/>
  <c r="AD403" i="2"/>
  <c r="AN429" i="2"/>
  <c r="X429" i="2"/>
  <c r="AI429" i="2"/>
  <c r="AD429" i="2"/>
  <c r="AN461" i="2"/>
  <c r="X461" i="2"/>
  <c r="AI461" i="2"/>
  <c r="AD461" i="2"/>
  <c r="AS1484" i="2"/>
  <c r="AX1484" i="2" s="1"/>
  <c r="BG1484" i="2" s="1"/>
  <c r="AS2219" i="2"/>
  <c r="AX2219" i="2" s="1"/>
  <c r="BG2219" i="2" s="1"/>
  <c r="AS2209" i="2"/>
  <c r="AX2209" i="2" s="1"/>
  <c r="BG2209" i="2" s="1"/>
  <c r="AS2233" i="2"/>
  <c r="AX2233" i="2" s="1"/>
  <c r="BG2233" i="2" s="1"/>
  <c r="AS2257" i="2"/>
  <c r="AX2257" i="2" s="1"/>
  <c r="BG2257" i="2" s="1"/>
  <c r="AS2281" i="2"/>
  <c r="AX2281" i="2" s="1"/>
  <c r="BG2281" i="2" s="1"/>
  <c r="AS2305" i="2"/>
  <c r="AX2305" i="2" s="1"/>
  <c r="BG2305" i="2" s="1"/>
  <c r="AI2432" i="2"/>
  <c r="AD2432" i="2"/>
  <c r="AN2432" i="2"/>
  <c r="X2432" i="2"/>
  <c r="AS1054" i="2"/>
  <c r="AX1054" i="2" s="1"/>
  <c r="BG1054" i="2" s="1"/>
  <c r="AS1062" i="2"/>
  <c r="AX1062" i="2" s="1"/>
  <c r="BG1062" i="2" s="1"/>
  <c r="AS1070" i="2"/>
  <c r="AX1070" i="2" s="1"/>
  <c r="BG1070" i="2" s="1"/>
  <c r="AS1078" i="2"/>
  <c r="AX1078" i="2" s="1"/>
  <c r="BG1078" i="2" s="1"/>
  <c r="AS1086" i="2"/>
  <c r="AX1086" i="2" s="1"/>
  <c r="BG1086" i="2" s="1"/>
  <c r="AS1094" i="2"/>
  <c r="AX1094" i="2" s="1"/>
  <c r="BG1094" i="2" s="1"/>
  <c r="AS1102" i="2"/>
  <c r="AX1102" i="2" s="1"/>
  <c r="BG1102" i="2" s="1"/>
  <c r="AS1110" i="2"/>
  <c r="AX1110" i="2" s="1"/>
  <c r="BG1110" i="2" s="1"/>
  <c r="AS1118" i="2"/>
  <c r="AX1118" i="2" s="1"/>
  <c r="BG1118" i="2" s="1"/>
  <c r="AS1126" i="2"/>
  <c r="AX1126" i="2" s="1"/>
  <c r="BG1126" i="2" s="1"/>
  <c r="AS1134" i="2"/>
  <c r="AX1134" i="2" s="1"/>
  <c r="BG1134" i="2" s="1"/>
  <c r="AS1194" i="2"/>
  <c r="AX1194" i="2" s="1"/>
  <c r="BG1194" i="2" s="1"/>
  <c r="AD1322" i="2"/>
  <c r="AN1322" i="2"/>
  <c r="X1322" i="2"/>
  <c r="AI1322" i="2"/>
  <c r="AS1612" i="2"/>
  <c r="AX1612" i="2" s="1"/>
  <c r="BG1612" i="2" s="1"/>
  <c r="AD2061" i="2"/>
  <c r="AN2061" i="2"/>
  <c r="X2061" i="2"/>
  <c r="AI2061" i="2"/>
  <c r="AD2077" i="2"/>
  <c r="AN2077" i="2"/>
  <c r="X2077" i="2"/>
  <c r="AI2077" i="2"/>
  <c r="AD2093" i="2"/>
  <c r="AN2093" i="2"/>
  <c r="X2093" i="2"/>
  <c r="AI2093" i="2"/>
  <c r="AD2109" i="2"/>
  <c r="AN2109" i="2"/>
  <c r="X2109" i="2"/>
  <c r="AI2109" i="2"/>
  <c r="AS2171" i="2"/>
  <c r="AX2171" i="2" s="1"/>
  <c r="BG2171" i="2" s="1"/>
  <c r="AS76" i="2"/>
  <c r="AX76" i="2" s="1"/>
  <c r="BG76" i="2" s="1"/>
  <c r="AS91" i="2"/>
  <c r="AX91" i="2" s="1"/>
  <c r="BG91" i="2" s="1"/>
  <c r="AN151" i="2"/>
  <c r="X151" i="2"/>
  <c r="AI151" i="2"/>
  <c r="AD151" i="2"/>
  <c r="AN107" i="2"/>
  <c r="X107" i="2"/>
  <c r="AI107" i="2"/>
  <c r="AD107" i="2"/>
  <c r="AN123" i="2"/>
  <c r="X123" i="2"/>
  <c r="AI123" i="2"/>
  <c r="AD123" i="2"/>
  <c r="AN139" i="2"/>
  <c r="X139" i="2"/>
  <c r="AI139" i="2"/>
  <c r="AD139" i="2"/>
  <c r="AN155" i="2"/>
  <c r="X155" i="2"/>
  <c r="AI155" i="2"/>
  <c r="AD155" i="2"/>
  <c r="AN171" i="2"/>
  <c r="X171" i="2"/>
  <c r="AI171" i="2"/>
  <c r="AD171" i="2"/>
  <c r="AN187" i="2"/>
  <c r="X187" i="2"/>
  <c r="AI187" i="2"/>
  <c r="AD187" i="2"/>
  <c r="AS268" i="2"/>
  <c r="AX268" i="2" s="1"/>
  <c r="BG268" i="2" s="1"/>
  <c r="AD541" i="2"/>
  <c r="AN541" i="2"/>
  <c r="X541" i="2"/>
  <c r="AI541" i="2"/>
  <c r="AD1208" i="2"/>
  <c r="AN1208" i="2"/>
  <c r="X1208" i="2"/>
  <c r="AI1208" i="2"/>
  <c r="AD1272" i="2"/>
  <c r="AN1272" i="2"/>
  <c r="X1272" i="2"/>
  <c r="AI1272" i="2"/>
  <c r="AD1336" i="2"/>
  <c r="AN1336" i="2"/>
  <c r="X1336" i="2"/>
  <c r="AI1336" i="2"/>
  <c r="AD1190" i="2"/>
  <c r="AN1190" i="2"/>
  <c r="X1190" i="2"/>
  <c r="AI1190" i="2"/>
  <c r="AS1318" i="2"/>
  <c r="AX1318" i="2" s="1"/>
  <c r="BG1318" i="2" s="1"/>
  <c r="AT128" i="2"/>
  <c r="AY128" i="2" s="1"/>
  <c r="BH128" i="2" s="1"/>
  <c r="AI1050" i="2"/>
  <c r="AN1050" i="2"/>
  <c r="X1050" i="2"/>
  <c r="AD1050" i="2"/>
  <c r="AI1058" i="2"/>
  <c r="AN1058" i="2"/>
  <c r="X1058" i="2"/>
  <c r="AD1058" i="2"/>
  <c r="AI1066" i="2"/>
  <c r="AN1066" i="2"/>
  <c r="X1066" i="2"/>
  <c r="AD1066" i="2"/>
  <c r="AI1074" i="2"/>
  <c r="AN1074" i="2"/>
  <c r="X1074" i="2"/>
  <c r="AD1074" i="2"/>
  <c r="AI1082" i="2"/>
  <c r="AN1082" i="2"/>
  <c r="X1082" i="2"/>
  <c r="AD1082" i="2"/>
  <c r="AI1090" i="2"/>
  <c r="AN1090" i="2"/>
  <c r="X1090" i="2"/>
  <c r="AD1090" i="2"/>
  <c r="AI1098" i="2"/>
  <c r="AN1098" i="2"/>
  <c r="X1098" i="2"/>
  <c r="AD1098" i="2"/>
  <c r="AI1106" i="2"/>
  <c r="AN1106" i="2"/>
  <c r="X1106" i="2"/>
  <c r="AD1106" i="2"/>
  <c r="AI1114" i="2"/>
  <c r="AN1114" i="2"/>
  <c r="X1114" i="2"/>
  <c r="AD1114" i="2"/>
  <c r="AI1122" i="2"/>
  <c r="AN1122" i="2"/>
  <c r="X1122" i="2"/>
  <c r="AD1122" i="2"/>
  <c r="AI1130" i="2"/>
  <c r="AN1130" i="2"/>
  <c r="X1130" i="2"/>
  <c r="AD1130" i="2"/>
  <c r="AI1138" i="2"/>
  <c r="AN1138" i="2"/>
  <c r="X1138" i="2"/>
  <c r="AD1138" i="2"/>
  <c r="AD1662" i="2"/>
  <c r="AN1662" i="2"/>
  <c r="X1662" i="2"/>
  <c r="AI1662" i="2"/>
  <c r="AS2179" i="2"/>
  <c r="AX2179" i="2" s="1"/>
  <c r="BG2179" i="2" s="1"/>
  <c r="AS2144" i="2"/>
  <c r="AX2144" i="2" s="1"/>
  <c r="BG2144" i="2" s="1"/>
  <c r="AN2421" i="2"/>
  <c r="X2421" i="2"/>
  <c r="AI2421" i="2"/>
  <c r="AD2421" i="2"/>
  <c r="AN2433" i="2"/>
  <c r="X2433" i="2"/>
  <c r="AI2433" i="2"/>
  <c r="AD2433" i="2"/>
  <c r="AN2449" i="2"/>
  <c r="X2449" i="2"/>
  <c r="AI2449" i="2"/>
  <c r="AD2449" i="2"/>
  <c r="AN2465" i="2"/>
  <c r="X2465" i="2"/>
  <c r="AI2465" i="2"/>
  <c r="AD2465" i="2"/>
  <c r="AD422" i="2"/>
  <c r="AN422" i="2"/>
  <c r="AI422" i="2"/>
  <c r="X422" i="2"/>
  <c r="AS454" i="2"/>
  <c r="AX454" i="2" s="1"/>
  <c r="BG454" i="2" s="1"/>
  <c r="AD486" i="2"/>
  <c r="AN486" i="2"/>
  <c r="AI486" i="2"/>
  <c r="X486" i="2"/>
  <c r="AS1077" i="2"/>
  <c r="AX1077" i="2" s="1"/>
  <c r="BG1077" i="2" s="1"/>
  <c r="AS1847" i="2"/>
  <c r="AX1847" i="2" s="1"/>
  <c r="BG1847" i="2" s="1"/>
  <c r="AS2181" i="2"/>
  <c r="AX2181" i="2" s="1"/>
  <c r="BG2181" i="2" s="1"/>
  <c r="AN2425" i="2"/>
  <c r="X2425" i="2"/>
  <c r="AI2425" i="2"/>
  <c r="AD2425" i="2"/>
  <c r="AS726" i="2"/>
  <c r="AX726" i="2" s="1"/>
  <c r="BG726" i="2" s="1"/>
  <c r="AS734" i="2"/>
  <c r="AX734" i="2" s="1"/>
  <c r="BG734" i="2" s="1"/>
  <c r="AS750" i="2"/>
  <c r="AX750" i="2" s="1"/>
  <c r="BG750" i="2" s="1"/>
  <c r="AS766" i="2"/>
  <c r="AX766" i="2" s="1"/>
  <c r="BG766" i="2" s="1"/>
  <c r="AS782" i="2"/>
  <c r="AX782" i="2" s="1"/>
  <c r="BG782" i="2" s="1"/>
  <c r="AS798" i="2"/>
  <c r="AX798" i="2" s="1"/>
  <c r="BG798" i="2" s="1"/>
  <c r="AS814" i="2"/>
  <c r="AX814" i="2" s="1"/>
  <c r="BG814" i="2" s="1"/>
  <c r="AS830" i="2"/>
  <c r="AX830" i="2" s="1"/>
  <c r="BG830" i="2" s="1"/>
  <c r="AS846" i="2"/>
  <c r="AX846" i="2" s="1"/>
  <c r="BG846" i="2" s="1"/>
  <c r="AS862" i="2"/>
  <c r="AX862" i="2" s="1"/>
  <c r="BG862" i="2" s="1"/>
  <c r="AS878" i="2"/>
  <c r="AX878" i="2" s="1"/>
  <c r="BG878" i="2" s="1"/>
  <c r="AD1606" i="2"/>
  <c r="AN1606" i="2"/>
  <c r="X1606" i="2"/>
  <c r="AI1606" i="2"/>
  <c r="AO1763" i="2"/>
  <c r="AJ1763" i="2"/>
  <c r="AE1763" i="2"/>
  <c r="AO1827" i="2"/>
  <c r="AJ1827" i="2"/>
  <c r="AE1827" i="2"/>
  <c r="AD1853" i="2"/>
  <c r="AN1853" i="2"/>
  <c r="X1853" i="2"/>
  <c r="AI1853" i="2"/>
  <c r="AD1857" i="2"/>
  <c r="AN1857" i="2"/>
  <c r="X1857" i="2"/>
  <c r="AI1857" i="2"/>
  <c r="AD2073" i="2"/>
  <c r="AN2073" i="2"/>
  <c r="X2073" i="2"/>
  <c r="AI2073" i="2"/>
  <c r="AD2099" i="2"/>
  <c r="AN2099" i="2"/>
  <c r="X2099" i="2"/>
  <c r="AI2099" i="2"/>
  <c r="AS90" i="2"/>
  <c r="AX90" i="2" s="1"/>
  <c r="BG90" i="2" s="1"/>
  <c r="AD96" i="2"/>
  <c r="AN96" i="2"/>
  <c r="AI96" i="2"/>
  <c r="X96" i="2"/>
  <c r="AS344" i="2"/>
  <c r="AX344" i="2" s="1"/>
  <c r="BG344" i="2" s="1"/>
  <c r="AS376" i="2"/>
  <c r="AX376" i="2" s="1"/>
  <c r="BG376" i="2" s="1"/>
  <c r="AS424" i="2"/>
  <c r="AX424" i="2" s="1"/>
  <c r="BG424" i="2" s="1"/>
  <c r="AI728" i="2"/>
  <c r="AN728" i="2"/>
  <c r="X728" i="2"/>
  <c r="AD728" i="2"/>
  <c r="AI856" i="2"/>
  <c r="AN856" i="2"/>
  <c r="X856" i="2"/>
  <c r="AD856" i="2"/>
  <c r="AS1189" i="2"/>
  <c r="AX1189" i="2" s="1"/>
  <c r="BG1189" i="2" s="1"/>
  <c r="AS1253" i="2"/>
  <c r="AX1253" i="2" s="1"/>
  <c r="BG1253" i="2" s="1"/>
  <c r="AS1317" i="2"/>
  <c r="AX1317" i="2" s="1"/>
  <c r="BG1317" i="2" s="1"/>
  <c r="AS1256" i="2"/>
  <c r="AX1256" i="2" s="1"/>
  <c r="BG1256" i="2" s="1"/>
  <c r="AT1799" i="2"/>
  <c r="AY1799" i="2" s="1"/>
  <c r="BH1799" i="2" s="1"/>
  <c r="AN2239" i="2"/>
  <c r="X2239" i="2"/>
  <c r="AD2239" i="2"/>
  <c r="AI2239" i="2"/>
  <c r="AN2303" i="2"/>
  <c r="X2303" i="2"/>
  <c r="AD2303" i="2"/>
  <c r="AI2303" i="2"/>
  <c r="AT108" i="2"/>
  <c r="AY108" i="2" s="1"/>
  <c r="BH108" i="2" s="1"/>
  <c r="AT124" i="2"/>
  <c r="AY124" i="2" s="1"/>
  <c r="BH124" i="2" s="1"/>
  <c r="AT140" i="2"/>
  <c r="AY140" i="2" s="1"/>
  <c r="BH140" i="2" s="1"/>
  <c r="AT156" i="2"/>
  <c r="AY156" i="2" s="1"/>
  <c r="BH156" i="2" s="1"/>
  <c r="AT172" i="2"/>
  <c r="AY172" i="2" s="1"/>
  <c r="BH172" i="2" s="1"/>
  <c r="AT188" i="2"/>
  <c r="AY188" i="2" s="1"/>
  <c r="BH188" i="2" s="1"/>
  <c r="AT204" i="2"/>
  <c r="AY204" i="2" s="1"/>
  <c r="BH204" i="2" s="1"/>
  <c r="AS727" i="2"/>
  <c r="AX727" i="2" s="1"/>
  <c r="BG727" i="2" s="1"/>
  <c r="AS743" i="2"/>
  <c r="AX743" i="2" s="1"/>
  <c r="BG743" i="2" s="1"/>
  <c r="AS759" i="2"/>
  <c r="AX759" i="2" s="1"/>
  <c r="BG759" i="2" s="1"/>
  <c r="AS775" i="2"/>
  <c r="AX775" i="2" s="1"/>
  <c r="BG775" i="2" s="1"/>
  <c r="AS791" i="2"/>
  <c r="AX791" i="2" s="1"/>
  <c r="BG791" i="2" s="1"/>
  <c r="AS807" i="2"/>
  <c r="AX807" i="2" s="1"/>
  <c r="BG807" i="2" s="1"/>
  <c r="AS823" i="2"/>
  <c r="AX823" i="2" s="1"/>
  <c r="BG823" i="2" s="1"/>
  <c r="AS839" i="2"/>
  <c r="AX839" i="2" s="1"/>
  <c r="BG839" i="2" s="1"/>
  <c r="AS855" i="2"/>
  <c r="AX855" i="2" s="1"/>
  <c r="BG855" i="2" s="1"/>
  <c r="AS871" i="2"/>
  <c r="AX871" i="2" s="1"/>
  <c r="BG871" i="2" s="1"/>
  <c r="AS761" i="2"/>
  <c r="AX761" i="2" s="1"/>
  <c r="BG761" i="2" s="1"/>
  <c r="AS825" i="2"/>
  <c r="AX825" i="2" s="1"/>
  <c r="BG825" i="2" s="1"/>
  <c r="AS1621" i="2"/>
  <c r="AX1621" i="2" s="1"/>
  <c r="BG1621" i="2" s="1"/>
  <c r="AN2185" i="2"/>
  <c r="X2185" i="2"/>
  <c r="AI2185" i="2"/>
  <c r="AD2185" i="2"/>
  <c r="AI2501" i="2"/>
  <c r="AD2501" i="2"/>
  <c r="AN2501" i="2"/>
  <c r="X2501" i="2"/>
  <c r="AS2261" i="2"/>
  <c r="AX2261" i="2" s="1"/>
  <c r="BG2261" i="2" s="1"/>
  <c r="AS2269" i="2"/>
  <c r="AX2269" i="2" s="1"/>
  <c r="BG2269" i="2" s="1"/>
  <c r="AS2277" i="2"/>
  <c r="AX2277" i="2" s="1"/>
  <c r="BG2277" i="2" s="1"/>
  <c r="AS2285" i="2"/>
  <c r="AX2285" i="2" s="1"/>
  <c r="BG2285" i="2" s="1"/>
  <c r="AS2293" i="2"/>
  <c r="AX2293" i="2" s="1"/>
  <c r="BG2293" i="2" s="1"/>
  <c r="AD8" i="2"/>
  <c r="AN8" i="2"/>
  <c r="AI8" i="2"/>
  <c r="X8" i="2"/>
  <c r="AS408" i="2"/>
  <c r="AX408" i="2" s="1"/>
  <c r="BG408" i="2" s="1"/>
  <c r="AS387" i="2"/>
  <c r="AX387" i="2" s="1"/>
  <c r="BG387" i="2" s="1"/>
  <c r="AI1093" i="2"/>
  <c r="AN1093" i="2"/>
  <c r="X1093" i="2"/>
  <c r="AD1093" i="2"/>
  <c r="AD1200" i="2"/>
  <c r="AN1200" i="2"/>
  <c r="X1200" i="2"/>
  <c r="AI1200" i="2"/>
  <c r="AN1219" i="2"/>
  <c r="X1219" i="2"/>
  <c r="AI1219" i="2"/>
  <c r="AD1219" i="2"/>
  <c r="AN1283" i="2"/>
  <c r="X1283" i="2"/>
  <c r="AI1283" i="2"/>
  <c r="AD1283" i="2"/>
  <c r="AN1347" i="2"/>
  <c r="X1347" i="2"/>
  <c r="AI1347" i="2"/>
  <c r="AD1347" i="2"/>
  <c r="AS1850" i="2"/>
  <c r="AX1850" i="2" s="1"/>
  <c r="BG1850" i="2" s="1"/>
  <c r="AN2165" i="2"/>
  <c r="X2165" i="2"/>
  <c r="AI2165" i="2"/>
  <c r="AD2165" i="2"/>
  <c r="AI2418" i="2"/>
  <c r="AD2418" i="2"/>
  <c r="AN2418" i="2"/>
  <c r="X2418" i="2"/>
  <c r="AS2458" i="2"/>
  <c r="AX2458" i="2" s="1"/>
  <c r="BG2458" i="2" s="1"/>
  <c r="AS219" i="2"/>
  <c r="AX219" i="2" s="1"/>
  <c r="BG219" i="2" s="1"/>
  <c r="AS225" i="2"/>
  <c r="AX225" i="2" s="1"/>
  <c r="BG225" i="2" s="1"/>
  <c r="AD114" i="2"/>
  <c r="AI114" i="2"/>
  <c r="X114" i="2"/>
  <c r="AN114" i="2"/>
  <c r="AS415" i="2"/>
  <c r="AX415" i="2" s="1"/>
  <c r="BG415" i="2" s="1"/>
  <c r="AD418" i="2"/>
  <c r="AN418" i="2"/>
  <c r="AI418" i="2"/>
  <c r="X418" i="2"/>
  <c r="AI621" i="2"/>
  <c r="AD621" i="2"/>
  <c r="AN621" i="2"/>
  <c r="X621" i="2"/>
  <c r="AI685" i="2"/>
  <c r="AD685" i="2"/>
  <c r="AN685" i="2"/>
  <c r="X685" i="2"/>
  <c r="AD1292" i="2"/>
  <c r="AN1292" i="2"/>
  <c r="X1292" i="2"/>
  <c r="AI1292" i="2"/>
  <c r="AT1839" i="2"/>
  <c r="AY1839" i="2" s="1"/>
  <c r="BH1839" i="2" s="1"/>
  <c r="AS2417" i="2"/>
  <c r="AX2417" i="2" s="1"/>
  <c r="BG2417" i="2" s="1"/>
  <c r="AT160" i="2"/>
  <c r="AY160" i="2" s="1"/>
  <c r="BH160" i="2" s="1"/>
  <c r="AT144" i="2"/>
  <c r="AY144" i="2" s="1"/>
  <c r="BH144" i="2" s="1"/>
  <c r="AN63" i="2"/>
  <c r="X63" i="2"/>
  <c r="AI63" i="2"/>
  <c r="AD63" i="2"/>
  <c r="AS73" i="2"/>
  <c r="AX73" i="2" s="1"/>
  <c r="BG73" i="2" s="1"/>
  <c r="AO1783" i="2"/>
  <c r="AJ1783" i="2"/>
  <c r="AE1783" i="2"/>
  <c r="AI1757" i="2"/>
  <c r="X1757" i="2"/>
  <c r="AN1757" i="2"/>
  <c r="AD1757" i="2"/>
  <c r="AI1773" i="2"/>
  <c r="X1773" i="2"/>
  <c r="AN1773" i="2"/>
  <c r="AD1773" i="2"/>
  <c r="AI1789" i="2"/>
  <c r="X1789" i="2"/>
  <c r="AN1789" i="2"/>
  <c r="AD1789" i="2"/>
  <c r="AI1805" i="2"/>
  <c r="X1805" i="2"/>
  <c r="AN1805" i="2"/>
  <c r="AD1805" i="2"/>
  <c r="AS1073" i="2"/>
  <c r="AX1073" i="2" s="1"/>
  <c r="BG1073" i="2" s="1"/>
  <c r="AS1271" i="2"/>
  <c r="AX1271" i="2" s="1"/>
  <c r="BG1271" i="2" s="1"/>
  <c r="AD1266" i="2"/>
  <c r="AN1266" i="2"/>
  <c r="X1266" i="2"/>
  <c r="AI1266" i="2"/>
  <c r="AN1714" i="2"/>
  <c r="X1714" i="2"/>
  <c r="AD1714" i="2"/>
  <c r="AI1714" i="2"/>
  <c r="AS27" i="2"/>
  <c r="AX27" i="2" s="1"/>
  <c r="BG27" i="2" s="1"/>
  <c r="AT104" i="2"/>
  <c r="AY104" i="2" s="1"/>
  <c r="BH104" i="2" s="1"/>
  <c r="AS7" i="2"/>
  <c r="AX7" i="2" s="1"/>
  <c r="BG7" i="2" s="1"/>
  <c r="AS39" i="2"/>
  <c r="AX39" i="2" s="1"/>
  <c r="BG39" i="2" s="1"/>
  <c r="AS71" i="2"/>
  <c r="AX71" i="2" s="1"/>
  <c r="BG71" i="2" s="1"/>
  <c r="AS542" i="2"/>
  <c r="AX542" i="2" s="1"/>
  <c r="BG542" i="2" s="1"/>
  <c r="AD350" i="2"/>
  <c r="AN350" i="2"/>
  <c r="AI350" i="2"/>
  <c r="X350" i="2"/>
  <c r="AO420" i="2"/>
  <c r="AJ420" i="2"/>
  <c r="AE420" i="2"/>
  <c r="AO436" i="2"/>
  <c r="AJ436" i="2"/>
  <c r="AE436" i="2"/>
  <c r="AO452" i="2"/>
  <c r="AJ452" i="2"/>
  <c r="AE452" i="2"/>
  <c r="AO468" i="2"/>
  <c r="AJ468" i="2"/>
  <c r="AE468" i="2"/>
  <c r="AO484" i="2"/>
  <c r="AJ484" i="2"/>
  <c r="AE484" i="2"/>
  <c r="AN1261" i="2"/>
  <c r="X1261" i="2"/>
  <c r="AI1261" i="2"/>
  <c r="AD1261" i="2"/>
  <c r="AD1312" i="2"/>
  <c r="AN1312" i="2"/>
  <c r="X1312" i="2"/>
  <c r="AI1312" i="2"/>
  <c r="AN1331" i="2"/>
  <c r="X1331" i="2"/>
  <c r="AI1331" i="2"/>
  <c r="AD1331" i="2"/>
  <c r="AS1182" i="2"/>
  <c r="AX1182" i="2" s="1"/>
  <c r="BG1182" i="2" s="1"/>
  <c r="AD1624" i="2"/>
  <c r="AN1624" i="2"/>
  <c r="X1624" i="2"/>
  <c r="AI1624" i="2"/>
  <c r="AN1435" i="2"/>
  <c r="X1435" i="2"/>
  <c r="AD1435" i="2"/>
  <c r="AI1435" i="2"/>
  <c r="AN1547" i="2"/>
  <c r="X1547" i="2"/>
  <c r="AD1547" i="2"/>
  <c r="AI1547" i="2"/>
  <c r="AS2088" i="2"/>
  <c r="AX2088" i="2" s="1"/>
  <c r="BG2088" i="2" s="1"/>
  <c r="AS2174" i="2"/>
  <c r="AX2174" i="2" s="1"/>
  <c r="BG2174" i="2" s="1"/>
  <c r="AN2317" i="2"/>
  <c r="X2317" i="2"/>
  <c r="AI2317" i="2"/>
  <c r="AD2317" i="2"/>
  <c r="AN2325" i="2"/>
  <c r="X2325" i="2"/>
  <c r="AI2325" i="2"/>
  <c r="AD2325" i="2"/>
  <c r="AN2333" i="2"/>
  <c r="X2333" i="2"/>
  <c r="AI2333" i="2"/>
  <c r="AD2333" i="2"/>
  <c r="AN2341" i="2"/>
  <c r="X2341" i="2"/>
  <c r="AI2341" i="2"/>
  <c r="AD2341" i="2"/>
  <c r="AN2349" i="2"/>
  <c r="X2349" i="2"/>
  <c r="AI2349" i="2"/>
  <c r="AD2349" i="2"/>
  <c r="AN2357" i="2"/>
  <c r="X2357" i="2"/>
  <c r="AI2357" i="2"/>
  <c r="AD2357" i="2"/>
  <c r="AN2365" i="2"/>
  <c r="X2365" i="2"/>
  <c r="AI2365" i="2"/>
  <c r="AD2365" i="2"/>
  <c r="AN2373" i="2"/>
  <c r="X2373" i="2"/>
  <c r="AI2373" i="2"/>
  <c r="AD2373" i="2"/>
  <c r="AN2381" i="2"/>
  <c r="X2381" i="2"/>
  <c r="AI2381" i="2"/>
  <c r="AD2381" i="2"/>
  <c r="AN2389" i="2"/>
  <c r="X2389" i="2"/>
  <c r="AI2389" i="2"/>
  <c r="AD2389" i="2"/>
  <c r="AS2414" i="2"/>
  <c r="AX2414" i="2" s="1"/>
  <c r="BG2414" i="2" s="1"/>
  <c r="AI2392" i="2"/>
  <c r="AN2392" i="2"/>
  <c r="AD2392" i="2"/>
  <c r="X2392" i="2"/>
  <c r="AN175" i="2"/>
  <c r="X175" i="2"/>
  <c r="AI175" i="2"/>
  <c r="AD175" i="2"/>
  <c r="AN295" i="2"/>
  <c r="X295" i="2"/>
  <c r="AI295" i="2"/>
  <c r="AD295" i="2"/>
  <c r="AN89" i="2"/>
  <c r="X89" i="2"/>
  <c r="AD89" i="2"/>
  <c r="AI89" i="2"/>
  <c r="AS72" i="2"/>
  <c r="AX72" i="2" s="1"/>
  <c r="BG72" i="2" s="1"/>
  <c r="AN471" i="2"/>
  <c r="X471" i="2"/>
  <c r="AI471" i="2"/>
  <c r="AD471" i="2"/>
  <c r="AI649" i="2"/>
  <c r="AD649" i="2"/>
  <c r="AN649" i="2"/>
  <c r="X649" i="2"/>
  <c r="AI713" i="2"/>
  <c r="AD713" i="2"/>
  <c r="AN713" i="2"/>
  <c r="X713" i="2"/>
  <c r="AT1145" i="2"/>
  <c r="AY1145" i="2" s="1"/>
  <c r="BH1145" i="2" s="1"/>
  <c r="AS2146" i="2"/>
  <c r="AX2146" i="2" s="1"/>
  <c r="BG2146" i="2" s="1"/>
  <c r="AS2400" i="2"/>
  <c r="AX2400" i="2" s="1"/>
  <c r="BG2400" i="2" s="1"/>
  <c r="AS67" i="2"/>
  <c r="AX67" i="2" s="1"/>
  <c r="BG67" i="2" s="1"/>
  <c r="AS481" i="2"/>
  <c r="AX481" i="2" s="1"/>
  <c r="BG481" i="2" s="1"/>
  <c r="AS218" i="2"/>
  <c r="AX218" i="2" s="1"/>
  <c r="BG218" i="2" s="1"/>
  <c r="AT1767" i="2"/>
  <c r="AY1767" i="2" s="1"/>
  <c r="BH1767" i="2" s="1"/>
  <c r="AT1831" i="2"/>
  <c r="AY1831" i="2" s="1"/>
  <c r="BH1831" i="2" s="1"/>
  <c r="AT4" i="2"/>
  <c r="AY4" i="2" s="1"/>
  <c r="BH4" i="2" s="1"/>
  <c r="AT256" i="2"/>
  <c r="AY256" i="2" s="1"/>
  <c r="BH256" i="2" s="1"/>
  <c r="AS475" i="2"/>
  <c r="AX475" i="2" s="1"/>
  <c r="BG475" i="2" s="1"/>
  <c r="AS635" i="2"/>
  <c r="AX635" i="2" s="1"/>
  <c r="BG635" i="2" s="1"/>
  <c r="AS651" i="2"/>
  <c r="AX651" i="2" s="1"/>
  <c r="BG651" i="2" s="1"/>
  <c r="AS667" i="2"/>
  <c r="AX667" i="2" s="1"/>
  <c r="BG667" i="2" s="1"/>
  <c r="AS683" i="2"/>
  <c r="AX683" i="2" s="1"/>
  <c r="BG683" i="2" s="1"/>
  <c r="AS699" i="2"/>
  <c r="AX699" i="2" s="1"/>
  <c r="BG699" i="2" s="1"/>
  <c r="AS715" i="2"/>
  <c r="AX715" i="2" s="1"/>
  <c r="BG715" i="2" s="1"/>
  <c r="AS1361" i="2"/>
  <c r="AX1361" i="2" s="1"/>
  <c r="BG1361" i="2" s="1"/>
  <c r="AS1188" i="2"/>
  <c r="AX1188" i="2" s="1"/>
  <c r="BG1188" i="2" s="1"/>
  <c r="AO1819" i="2"/>
  <c r="AJ1819" i="2"/>
  <c r="AE1819" i="2"/>
  <c r="AS2229" i="2"/>
  <c r="AX2229" i="2" s="1"/>
  <c r="BG2229" i="2" s="1"/>
  <c r="AN181" i="2"/>
  <c r="X181" i="2"/>
  <c r="AI181" i="2"/>
  <c r="AD181" i="2"/>
  <c r="AS1245" i="2"/>
  <c r="AX1245" i="2" s="1"/>
  <c r="BG1245" i="2" s="1"/>
  <c r="AN1187" i="2"/>
  <c r="X1187" i="2"/>
  <c r="AI1187" i="2"/>
  <c r="AD1187" i="2"/>
  <c r="AN1251" i="2"/>
  <c r="X1251" i="2"/>
  <c r="AI1251" i="2"/>
  <c r="AD1251" i="2"/>
  <c r="AN1315" i="2"/>
  <c r="X1315" i="2"/>
  <c r="AI1315" i="2"/>
  <c r="AD1315" i="2"/>
  <c r="AN1647" i="2"/>
  <c r="X1647" i="2"/>
  <c r="AI1647" i="2"/>
  <c r="AD1647" i="2"/>
  <c r="AS1650" i="2"/>
  <c r="AX1650" i="2" s="1"/>
  <c r="BG1650" i="2" s="1"/>
  <c r="AS1804" i="2"/>
  <c r="AX1804" i="2" s="1"/>
  <c r="BG1804" i="2" s="1"/>
  <c r="AS2158" i="2"/>
  <c r="AX2158" i="2" s="1"/>
  <c r="BG2158" i="2" s="1"/>
  <c r="AN2492" i="2"/>
  <c r="X2492" i="2"/>
  <c r="AD2492" i="2"/>
  <c r="AI2492" i="2"/>
  <c r="AS1970" i="2"/>
  <c r="AX1970" i="2" s="1"/>
  <c r="BG1970" i="2" s="1"/>
  <c r="AD1381" i="2"/>
  <c r="AI1381" i="2"/>
  <c r="AN1381" i="2"/>
  <c r="X1381" i="2"/>
  <c r="AI1758" i="2"/>
  <c r="AN1758" i="2"/>
  <c r="X1758" i="2"/>
  <c r="AD1758" i="2"/>
  <c r="AI1782" i="2"/>
  <c r="AN1782" i="2"/>
  <c r="X1782" i="2"/>
  <c r="AD1782" i="2"/>
  <c r="AI1806" i="2"/>
  <c r="AN1806" i="2"/>
  <c r="X1806" i="2"/>
  <c r="AD1806" i="2"/>
  <c r="AI1830" i="2"/>
  <c r="AN1830" i="2"/>
  <c r="X1830" i="2"/>
  <c r="AD1830" i="2"/>
  <c r="AI1828" i="2"/>
  <c r="AD1828" i="2"/>
  <c r="X1828" i="2"/>
  <c r="AN1828" i="2"/>
  <c r="AS1873" i="2"/>
  <c r="AX1873" i="2" s="1"/>
  <c r="BG1873" i="2" s="1"/>
  <c r="AD2001" i="2"/>
  <c r="AN2001" i="2"/>
  <c r="X2001" i="2"/>
  <c r="AI2001" i="2"/>
  <c r="AS1971" i="2"/>
  <c r="AX1971" i="2" s="1"/>
  <c r="BG1971" i="2" s="1"/>
  <c r="AN2054" i="2"/>
  <c r="X2054" i="2"/>
  <c r="AI2054" i="2"/>
  <c r="AD2054" i="2"/>
  <c r="AN2062" i="2"/>
  <c r="X2062" i="2"/>
  <c r="AI2062" i="2"/>
  <c r="AD2062" i="2"/>
  <c r="AN2074" i="2"/>
  <c r="X2074" i="2"/>
  <c r="AI2074" i="2"/>
  <c r="AD2074" i="2"/>
  <c r="AN2090" i="2"/>
  <c r="X2090" i="2"/>
  <c r="AI2090" i="2"/>
  <c r="AD2090" i="2"/>
  <c r="AN2102" i="2"/>
  <c r="X2102" i="2"/>
  <c r="AI2102" i="2"/>
  <c r="AD2102" i="2"/>
  <c r="AI816" i="2"/>
  <c r="AN816" i="2"/>
  <c r="X816" i="2"/>
  <c r="AD816" i="2"/>
  <c r="AI880" i="2"/>
  <c r="AN880" i="2"/>
  <c r="X880" i="2"/>
  <c r="AD880" i="2"/>
  <c r="AN1419" i="2"/>
  <c r="X1419" i="2"/>
  <c r="AD1419" i="2"/>
  <c r="AI1419" i="2"/>
  <c r="AS1602" i="2"/>
  <c r="AX1602" i="2" s="1"/>
  <c r="BG1602" i="2" s="1"/>
  <c r="AS1792" i="2"/>
  <c r="AX1792" i="2" s="1"/>
  <c r="BG1792" i="2" s="1"/>
  <c r="AS1808" i="2"/>
  <c r="AX1808" i="2" s="1"/>
  <c r="BG1808" i="2" s="1"/>
  <c r="AN147" i="2"/>
  <c r="X147" i="2"/>
  <c r="AI147" i="2"/>
  <c r="AD147" i="2"/>
  <c r="AN195" i="2"/>
  <c r="X195" i="2"/>
  <c r="AI195" i="2"/>
  <c r="AD195" i="2"/>
  <c r="AN289" i="2"/>
  <c r="X289" i="2"/>
  <c r="AI289" i="2"/>
  <c r="AD289" i="2"/>
  <c r="AI633" i="2"/>
  <c r="AD633" i="2"/>
  <c r="AN633" i="2"/>
  <c r="X633" i="2"/>
  <c r="AI788" i="2"/>
  <c r="AN788" i="2"/>
  <c r="X788" i="2"/>
  <c r="AD788" i="2"/>
  <c r="AN1273" i="2"/>
  <c r="X1273" i="2"/>
  <c r="AI1273" i="2"/>
  <c r="AD1273" i="2"/>
  <c r="AN1337" i="2"/>
  <c r="X1337" i="2"/>
  <c r="AI1337" i="2"/>
  <c r="AD1337" i="2"/>
  <c r="AN1231" i="2"/>
  <c r="X1231" i="2"/>
  <c r="AI1231" i="2"/>
  <c r="AD1231" i="2"/>
  <c r="AI2186" i="2"/>
  <c r="AD2186" i="2"/>
  <c r="AN2186" i="2"/>
  <c r="X2186" i="2"/>
  <c r="AS548" i="2"/>
  <c r="AX548" i="2" s="1"/>
  <c r="BG548" i="2" s="1"/>
  <c r="AT460" i="2"/>
  <c r="AY460" i="2" s="1"/>
  <c r="BH460" i="2" s="1"/>
  <c r="AN2112" i="2"/>
  <c r="X2112" i="2"/>
  <c r="AI2112" i="2"/>
  <c r="AD2112" i="2"/>
  <c r="AN2247" i="2"/>
  <c r="X2247" i="2"/>
  <c r="AD2247" i="2"/>
  <c r="AI2247" i="2"/>
  <c r="AN2311" i="2"/>
  <c r="X2311" i="2"/>
  <c r="AD2311" i="2"/>
  <c r="AI2311" i="2"/>
  <c r="AS1390" i="2"/>
  <c r="AX1390" i="2" s="1"/>
  <c r="BG1390" i="2" s="1"/>
  <c r="AD26" i="2"/>
  <c r="AN26" i="2"/>
  <c r="X26" i="2"/>
  <c r="AI26" i="2"/>
  <c r="AS263" i="2"/>
  <c r="AX263" i="2" s="1"/>
  <c r="BG263" i="2" s="1"/>
  <c r="AD458" i="2"/>
  <c r="AN458" i="2"/>
  <c r="AI458" i="2"/>
  <c r="X458" i="2"/>
  <c r="AS36" i="2"/>
  <c r="AX36" i="2" s="1"/>
  <c r="BG36" i="2" s="1"/>
  <c r="AS413" i="2"/>
  <c r="AX413" i="2" s="1"/>
  <c r="BG413" i="2" s="1"/>
  <c r="AS445" i="2"/>
  <c r="AX445" i="2" s="1"/>
  <c r="BG445" i="2" s="1"/>
  <c r="AS477" i="2"/>
  <c r="AX477" i="2" s="1"/>
  <c r="BG477" i="2" s="1"/>
  <c r="AS1166" i="2"/>
  <c r="AX1166" i="2" s="1"/>
  <c r="BG1166" i="2" s="1"/>
  <c r="AS2402" i="2"/>
  <c r="AX2402" i="2" s="1"/>
  <c r="BG2402" i="2" s="1"/>
  <c r="AI2409" i="2"/>
  <c r="AD2409" i="2"/>
  <c r="AN2409" i="2"/>
  <c r="X2409" i="2"/>
  <c r="AI2399" i="2"/>
  <c r="AN2399" i="2"/>
  <c r="X2399" i="2"/>
  <c r="AD2399" i="2"/>
  <c r="AO304" i="2"/>
  <c r="AJ304" i="2"/>
  <c r="AE304" i="2"/>
  <c r="AD358" i="2"/>
  <c r="AN358" i="2"/>
  <c r="AI358" i="2"/>
  <c r="X358" i="2"/>
  <c r="AI740" i="2"/>
  <c r="AN740" i="2"/>
  <c r="X740" i="2"/>
  <c r="AD740" i="2"/>
  <c r="AI804" i="2"/>
  <c r="AN804" i="2"/>
  <c r="X804" i="2"/>
  <c r="AD804" i="2"/>
  <c r="AI868" i="2"/>
  <c r="AN868" i="2"/>
  <c r="X868" i="2"/>
  <c r="AD868" i="2"/>
  <c r="AI1081" i="2"/>
  <c r="AN1081" i="2"/>
  <c r="X1081" i="2"/>
  <c r="AD1081" i="2"/>
  <c r="AN1193" i="2"/>
  <c r="X1193" i="2"/>
  <c r="AI1193" i="2"/>
  <c r="AD1193" i="2"/>
  <c r="AN1257" i="2"/>
  <c r="X1257" i="2"/>
  <c r="AI1257" i="2"/>
  <c r="AD1257" i="2"/>
  <c r="AN1321" i="2"/>
  <c r="X1321" i="2"/>
  <c r="AI1321" i="2"/>
  <c r="AD1321" i="2"/>
  <c r="AI1083" i="2"/>
  <c r="AD1083" i="2"/>
  <c r="AN1083" i="2"/>
  <c r="X1083" i="2"/>
  <c r="AN1405" i="2"/>
  <c r="X1405" i="2"/>
  <c r="AD1405" i="2"/>
  <c r="AI1405" i="2"/>
  <c r="AN1421" i="2"/>
  <c r="X1421" i="2"/>
  <c r="AD1421" i="2"/>
  <c r="AI1421" i="2"/>
  <c r="AN1437" i="2"/>
  <c r="X1437" i="2"/>
  <c r="AD1437" i="2"/>
  <c r="AI1437" i="2"/>
  <c r="AS1651" i="2"/>
  <c r="AX1651" i="2" s="1"/>
  <c r="BG1651" i="2" s="1"/>
  <c r="AN1501" i="2"/>
  <c r="X1501" i="2"/>
  <c r="AD1501" i="2"/>
  <c r="AI1501" i="2"/>
  <c r="AS1597" i="2"/>
  <c r="AX1597" i="2" s="1"/>
  <c r="BG1597" i="2" s="1"/>
  <c r="AN508" i="2"/>
  <c r="X508" i="2"/>
  <c r="AI508" i="2"/>
  <c r="AD508" i="2"/>
  <c r="AN540" i="2"/>
  <c r="X540" i="2"/>
  <c r="AI540" i="2"/>
  <c r="AD540" i="2"/>
  <c r="AN544" i="2"/>
  <c r="X544" i="2"/>
  <c r="AI544" i="2"/>
  <c r="AD544" i="2"/>
  <c r="AN1211" i="2"/>
  <c r="X1211" i="2"/>
  <c r="AI1211" i="2"/>
  <c r="AD1211" i="2"/>
  <c r="AN1275" i="2"/>
  <c r="X1275" i="2"/>
  <c r="AI1275" i="2"/>
  <c r="AD1275" i="2"/>
  <c r="AN1339" i="2"/>
  <c r="X1339" i="2"/>
  <c r="AI1339" i="2"/>
  <c r="AD1339" i="2"/>
  <c r="AS1543" i="2"/>
  <c r="AX1543" i="2" s="1"/>
  <c r="BG1543" i="2" s="1"/>
  <c r="AN1623" i="2"/>
  <c r="X1623" i="2"/>
  <c r="AI1623" i="2"/>
  <c r="AD1623" i="2"/>
  <c r="AS1495" i="2"/>
  <c r="AX1495" i="2" s="1"/>
  <c r="BG1495" i="2" s="1"/>
  <c r="AS1499" i="2"/>
  <c r="AX1499" i="2" s="1"/>
  <c r="BG1499" i="2" s="1"/>
  <c r="AN1617" i="2"/>
  <c r="X1617" i="2"/>
  <c r="AI1617" i="2"/>
  <c r="AD1617" i="2"/>
  <c r="AI1761" i="2"/>
  <c r="X1761" i="2"/>
  <c r="AN1761" i="2"/>
  <c r="AD1761" i="2"/>
  <c r="AI1777" i="2"/>
  <c r="X1777" i="2"/>
  <c r="AN1777" i="2"/>
  <c r="AD1777" i="2"/>
  <c r="AI1793" i="2"/>
  <c r="X1793" i="2"/>
  <c r="AN1793" i="2"/>
  <c r="AD1793" i="2"/>
  <c r="AI1809" i="2"/>
  <c r="X1809" i="2"/>
  <c r="AN1809" i="2"/>
  <c r="AD1809" i="2"/>
  <c r="AS2042" i="2"/>
  <c r="AX2042" i="2" s="1"/>
  <c r="BG2042" i="2" s="1"/>
  <c r="AD2055" i="2"/>
  <c r="AN2055" i="2"/>
  <c r="X2055" i="2"/>
  <c r="AI2055" i="2"/>
  <c r="AN487" i="2"/>
  <c r="X487" i="2"/>
  <c r="AI487" i="2"/>
  <c r="AD487" i="2"/>
  <c r="AI619" i="2"/>
  <c r="AD619" i="2"/>
  <c r="AN619" i="2"/>
  <c r="X619" i="2"/>
  <c r="AS745" i="2"/>
  <c r="AX745" i="2" s="1"/>
  <c r="BG745" i="2" s="1"/>
  <c r="AS809" i="2"/>
  <c r="AX809" i="2" s="1"/>
  <c r="BG809" i="2" s="1"/>
  <c r="AS873" i="2"/>
  <c r="AX873" i="2" s="1"/>
  <c r="BG873" i="2" s="1"/>
  <c r="AI2149" i="2"/>
  <c r="AN2149" i="2"/>
  <c r="X2149" i="2"/>
  <c r="AD2149" i="2"/>
  <c r="AI2412" i="2"/>
  <c r="AD2412" i="2"/>
  <c r="AN2412" i="2"/>
  <c r="X2412" i="2"/>
  <c r="AS2470" i="2"/>
  <c r="AX2470" i="2" s="1"/>
  <c r="BG2470" i="2" s="1"/>
  <c r="AN2496" i="2"/>
  <c r="X2496" i="2"/>
  <c r="AD2496" i="2"/>
  <c r="AI2496" i="2"/>
  <c r="AS749" i="2"/>
  <c r="AX749" i="2" s="1"/>
  <c r="BG749" i="2" s="1"/>
  <c r="AS781" i="2"/>
  <c r="AX781" i="2" s="1"/>
  <c r="BG781" i="2" s="1"/>
  <c r="AS813" i="2"/>
  <c r="AX813" i="2" s="1"/>
  <c r="BG813" i="2" s="1"/>
  <c r="AS845" i="2"/>
  <c r="AX845" i="2" s="1"/>
  <c r="BG845" i="2" s="1"/>
  <c r="AS877" i="2"/>
  <c r="AX877" i="2" s="1"/>
  <c r="BG877" i="2" s="1"/>
  <c r="AS1280" i="2"/>
  <c r="AX1280" i="2" s="1"/>
  <c r="BG1280" i="2" s="1"/>
  <c r="AS2456" i="2"/>
  <c r="AX2456" i="2" s="1"/>
  <c r="BG2456" i="2" s="1"/>
  <c r="AS14" i="2"/>
  <c r="AX14" i="2" s="1"/>
  <c r="BG14" i="2" s="1"/>
  <c r="AS244" i="2"/>
  <c r="AX244" i="2" s="1"/>
  <c r="BG244" i="2" s="1"/>
  <c r="AD252" i="2"/>
  <c r="AN252" i="2"/>
  <c r="AI252" i="2"/>
  <c r="X252" i="2"/>
  <c r="AD266" i="2"/>
  <c r="X266" i="2"/>
  <c r="AN266" i="2"/>
  <c r="AI266" i="2"/>
  <c r="AS753" i="2"/>
  <c r="AX753" i="2" s="1"/>
  <c r="BG753" i="2" s="1"/>
  <c r="AS785" i="2"/>
  <c r="AX785" i="2" s="1"/>
  <c r="BG785" i="2" s="1"/>
  <c r="AS817" i="2"/>
  <c r="AX817" i="2" s="1"/>
  <c r="BG817" i="2" s="1"/>
  <c r="AS849" i="2"/>
  <c r="AX849" i="2" s="1"/>
  <c r="BG849" i="2" s="1"/>
  <c r="AS881" i="2"/>
  <c r="AX881" i="2" s="1"/>
  <c r="BG881" i="2" s="1"/>
  <c r="AS2301" i="2"/>
  <c r="AX2301" i="2" s="1"/>
  <c r="BG2301" i="2" s="1"/>
  <c r="AS2309" i="2"/>
  <c r="AX2309" i="2" s="1"/>
  <c r="BG2309" i="2" s="1"/>
  <c r="AN53" i="2"/>
  <c r="X53" i="2"/>
  <c r="AD53" i="2"/>
  <c r="AI53" i="2"/>
  <c r="AS110" i="2"/>
  <c r="AX110" i="2" s="1"/>
  <c r="BG110" i="2" s="1"/>
  <c r="AS80" i="2"/>
  <c r="AX80" i="2" s="1"/>
  <c r="BG80" i="2" s="1"/>
  <c r="AS262" i="2"/>
  <c r="AX262" i="2" s="1"/>
  <c r="BG262" i="2" s="1"/>
  <c r="AD430" i="2"/>
  <c r="AN430" i="2"/>
  <c r="AI430" i="2"/>
  <c r="X430" i="2"/>
  <c r="AS462" i="2"/>
  <c r="AX462" i="2" s="1"/>
  <c r="BG462" i="2" s="1"/>
  <c r="AD494" i="2"/>
  <c r="AN494" i="2"/>
  <c r="AI494" i="2"/>
  <c r="X494" i="2"/>
  <c r="AD1192" i="2"/>
  <c r="AN1192" i="2"/>
  <c r="X1192" i="2"/>
  <c r="AI1192" i="2"/>
  <c r="AI1087" i="2"/>
  <c r="AD1087" i="2"/>
  <c r="AN1087" i="2"/>
  <c r="X1087" i="2"/>
  <c r="AN1195" i="2"/>
  <c r="X1195" i="2"/>
  <c r="AI1195" i="2"/>
  <c r="AD1195" i="2"/>
  <c r="AN1259" i="2"/>
  <c r="X1259" i="2"/>
  <c r="AI1259" i="2"/>
  <c r="AD1259" i="2"/>
  <c r="AN1323" i="2"/>
  <c r="X1323" i="2"/>
  <c r="AI1323" i="2"/>
  <c r="AD1323" i="2"/>
  <c r="AS1366" i="2"/>
  <c r="AX1366" i="2" s="1"/>
  <c r="BG1366" i="2" s="1"/>
  <c r="AS1497" i="2"/>
  <c r="AX1497" i="2" s="1"/>
  <c r="BG1497" i="2" s="1"/>
  <c r="AS1507" i="2"/>
  <c r="AX1507" i="2" s="1"/>
  <c r="BG1507" i="2" s="1"/>
  <c r="AS1632" i="2"/>
  <c r="AX1632" i="2" s="1"/>
  <c r="BG1632" i="2" s="1"/>
  <c r="AS1477" i="2"/>
  <c r="AX1477" i="2" s="1"/>
  <c r="BG1477" i="2" s="1"/>
  <c r="AS1481" i="2"/>
  <c r="AX1481" i="2" s="1"/>
  <c r="BG1481" i="2" s="1"/>
  <c r="AN1601" i="2"/>
  <c r="X1601" i="2"/>
  <c r="AI1601" i="2"/>
  <c r="AD1601" i="2"/>
  <c r="AS1626" i="2"/>
  <c r="AX1626" i="2" s="1"/>
  <c r="BG1626" i="2" s="1"/>
  <c r="AS1846" i="2"/>
  <c r="AX1846" i="2" s="1"/>
  <c r="BG1846" i="2" s="1"/>
  <c r="AI2182" i="2"/>
  <c r="AD2182" i="2"/>
  <c r="AN2182" i="2"/>
  <c r="X2182" i="2"/>
  <c r="AS2320" i="2"/>
  <c r="AX2320" i="2" s="1"/>
  <c r="BG2320" i="2" s="1"/>
  <c r="AS2336" i="2"/>
  <c r="AX2336" i="2" s="1"/>
  <c r="BG2336" i="2" s="1"/>
  <c r="AS2368" i="2"/>
  <c r="AX2368" i="2" s="1"/>
  <c r="BG2368" i="2" s="1"/>
  <c r="AS50" i="2"/>
  <c r="AX50" i="2" s="1"/>
  <c r="BG50" i="2" s="1"/>
  <c r="AN251" i="2"/>
  <c r="X251" i="2"/>
  <c r="AI251" i="2"/>
  <c r="AD251" i="2"/>
  <c r="AN257" i="2"/>
  <c r="X257" i="2"/>
  <c r="AI257" i="2"/>
  <c r="AD257" i="2"/>
  <c r="AN17" i="2"/>
  <c r="X17" i="2"/>
  <c r="AD17" i="2"/>
  <c r="AI17" i="2"/>
  <c r="AN255" i="2"/>
  <c r="X255" i="2"/>
  <c r="AI255" i="2"/>
  <c r="AD255" i="2"/>
  <c r="AD352" i="2"/>
  <c r="AN352" i="2"/>
  <c r="AI352" i="2"/>
  <c r="X352" i="2"/>
  <c r="AD384" i="2"/>
  <c r="AN384" i="2"/>
  <c r="AI384" i="2"/>
  <c r="X384" i="2"/>
  <c r="AS426" i="2"/>
  <c r="AX426" i="2" s="1"/>
  <c r="BG426" i="2" s="1"/>
  <c r="AD456" i="2"/>
  <c r="AN456" i="2"/>
  <c r="AI456" i="2"/>
  <c r="X456" i="2"/>
  <c r="AS19" i="2"/>
  <c r="AX19" i="2" s="1"/>
  <c r="BG19" i="2" s="1"/>
  <c r="AS284" i="2"/>
  <c r="AX284" i="2" s="1"/>
  <c r="BG284" i="2" s="1"/>
  <c r="AS443" i="2"/>
  <c r="AX443" i="2" s="1"/>
  <c r="BG443" i="2" s="1"/>
  <c r="AS237" i="2"/>
  <c r="AX237" i="2" s="1"/>
  <c r="BG237" i="2" s="1"/>
  <c r="AN1144" i="2"/>
  <c r="X1144" i="2"/>
  <c r="AI1144" i="2"/>
  <c r="AD1144" i="2"/>
  <c r="AN1148" i="2"/>
  <c r="X1148" i="2"/>
  <c r="AI1148" i="2"/>
  <c r="AD1148" i="2"/>
  <c r="AN1152" i="2"/>
  <c r="X1152" i="2"/>
  <c r="AI1152" i="2"/>
  <c r="AD1152" i="2"/>
  <c r="AS764" i="2"/>
  <c r="AX764" i="2" s="1"/>
  <c r="BG764" i="2" s="1"/>
  <c r="AS828" i="2"/>
  <c r="AX828" i="2" s="1"/>
  <c r="BG828" i="2" s="1"/>
  <c r="AS239" i="2"/>
  <c r="AX239" i="2" s="1"/>
  <c r="BG239" i="2" s="1"/>
  <c r="AS355" i="2"/>
  <c r="AX355" i="2" s="1"/>
  <c r="BG355" i="2" s="1"/>
  <c r="AS277" i="2"/>
  <c r="AX277" i="2" s="1"/>
  <c r="BG277" i="2" s="1"/>
  <c r="AS1326" i="2"/>
  <c r="AX1326" i="2" s="1"/>
  <c r="BG1326" i="2" s="1"/>
  <c r="AN1615" i="2"/>
  <c r="X1615" i="2"/>
  <c r="AI1615" i="2"/>
  <c r="AD1615" i="2"/>
  <c r="AS1529" i="2"/>
  <c r="AX1529" i="2" s="1"/>
  <c r="BG1529" i="2" s="1"/>
  <c r="AS1551" i="2"/>
  <c r="AX1551" i="2" s="1"/>
  <c r="BG1551" i="2" s="1"/>
  <c r="AS1567" i="2"/>
  <c r="AX1567" i="2" s="1"/>
  <c r="BG1567" i="2" s="1"/>
  <c r="AN1585" i="2"/>
  <c r="X1585" i="2"/>
  <c r="AI1585" i="2"/>
  <c r="AD1585" i="2"/>
  <c r="AN1593" i="2"/>
  <c r="X1593" i="2"/>
  <c r="AI1593" i="2"/>
  <c r="AD1593" i="2"/>
  <c r="AI1796" i="2"/>
  <c r="AD1796" i="2"/>
  <c r="X1796" i="2"/>
  <c r="AN1796" i="2"/>
  <c r="AN2104" i="2"/>
  <c r="X2104" i="2"/>
  <c r="AI2104" i="2"/>
  <c r="AD2104" i="2"/>
  <c r="AS2221" i="2"/>
  <c r="AX2221" i="2" s="1"/>
  <c r="BG2221" i="2" s="1"/>
  <c r="AN121" i="2"/>
  <c r="X121" i="2"/>
  <c r="AD121" i="2"/>
  <c r="AI121" i="2"/>
  <c r="AN153" i="2"/>
  <c r="X153" i="2"/>
  <c r="AD153" i="2"/>
  <c r="AI153" i="2"/>
  <c r="AN185" i="2"/>
  <c r="X185" i="2"/>
  <c r="AD185" i="2"/>
  <c r="AI185" i="2"/>
  <c r="AN536" i="2"/>
  <c r="X536" i="2"/>
  <c r="AI536" i="2"/>
  <c r="AD536" i="2"/>
  <c r="AS669" i="2"/>
  <c r="AX669" i="2" s="1"/>
  <c r="BG669" i="2" s="1"/>
  <c r="AO889" i="2"/>
  <c r="AE889" i="2"/>
  <c r="AJ889" i="2"/>
  <c r="AO893" i="2"/>
  <c r="AE893" i="2"/>
  <c r="AJ893" i="2"/>
  <c r="AO897" i="2"/>
  <c r="AE897" i="2"/>
  <c r="AJ897" i="2"/>
  <c r="AO901" i="2"/>
  <c r="AE901" i="2"/>
  <c r="AJ901" i="2"/>
  <c r="AO905" i="2"/>
  <c r="AE905" i="2"/>
  <c r="AJ905" i="2"/>
  <c r="AO909" i="2"/>
  <c r="AE909" i="2"/>
  <c r="AJ909" i="2"/>
  <c r="AO913" i="2"/>
  <c r="AE913" i="2"/>
  <c r="AJ913" i="2"/>
  <c r="AO921" i="2"/>
  <c r="AE921" i="2"/>
  <c r="AJ921" i="2"/>
  <c r="AO925" i="2"/>
  <c r="AE925" i="2"/>
  <c r="AJ925" i="2"/>
  <c r="AO929" i="2"/>
  <c r="AE929" i="2"/>
  <c r="AJ929" i="2"/>
  <c r="AI772" i="2"/>
  <c r="AN772" i="2"/>
  <c r="X772" i="2"/>
  <c r="AD772" i="2"/>
  <c r="AI836" i="2"/>
  <c r="AN836" i="2"/>
  <c r="X836" i="2"/>
  <c r="AD836" i="2"/>
  <c r="AN1353" i="2"/>
  <c r="X1353" i="2"/>
  <c r="AI1353" i="2"/>
  <c r="AD1353" i="2"/>
  <c r="AD1228" i="2"/>
  <c r="AN1228" i="2"/>
  <c r="X1228" i="2"/>
  <c r="AI1228" i="2"/>
  <c r="AI1051" i="2"/>
  <c r="AD1051" i="2"/>
  <c r="AN1051" i="2"/>
  <c r="X1051" i="2"/>
  <c r="AI1115" i="2"/>
  <c r="AD1115" i="2"/>
  <c r="AN1115" i="2"/>
  <c r="X1115" i="2"/>
  <c r="AN1311" i="2"/>
  <c r="X1311" i="2"/>
  <c r="AI1311" i="2"/>
  <c r="AD1311" i="2"/>
  <c r="AN1413" i="2"/>
  <c r="X1413" i="2"/>
  <c r="AD1413" i="2"/>
  <c r="AI1413" i="2"/>
  <c r="AS1582" i="2"/>
  <c r="AX1582" i="2" s="1"/>
  <c r="BG1582" i="2" s="1"/>
  <c r="AS1590" i="2"/>
  <c r="AX1590" i="2" s="1"/>
  <c r="BG1590" i="2" s="1"/>
  <c r="AN1862" i="2"/>
  <c r="X1862" i="2"/>
  <c r="AI1862" i="2"/>
  <c r="AD1862" i="2"/>
  <c r="AN1866" i="2"/>
  <c r="X1866" i="2"/>
  <c r="AI1866" i="2"/>
  <c r="AD1866" i="2"/>
  <c r="AN1870" i="2"/>
  <c r="X1870" i="2"/>
  <c r="AI1870" i="2"/>
  <c r="AD1870" i="2"/>
  <c r="AN1874" i="2"/>
  <c r="X1874" i="2"/>
  <c r="AI1874" i="2"/>
  <c r="AD1874" i="2"/>
  <c r="AN1878" i="2"/>
  <c r="X1878" i="2"/>
  <c r="AI1878" i="2"/>
  <c r="AD1878" i="2"/>
  <c r="AN1882" i="2"/>
  <c r="X1882" i="2"/>
  <c r="AI1882" i="2"/>
  <c r="AD1882" i="2"/>
  <c r="AN1886" i="2"/>
  <c r="X1886" i="2"/>
  <c r="AI1886" i="2"/>
  <c r="AD1886" i="2"/>
  <c r="AN1890" i="2"/>
  <c r="X1890" i="2"/>
  <c r="AI1890" i="2"/>
  <c r="AD1890" i="2"/>
  <c r="AN1894" i="2"/>
  <c r="X1894" i="2"/>
  <c r="AI1894" i="2"/>
  <c r="AD1894" i="2"/>
  <c r="AN1898" i="2"/>
  <c r="X1898" i="2"/>
  <c r="AI1898" i="2"/>
  <c r="AD1898" i="2"/>
  <c r="AN1902" i="2"/>
  <c r="X1902" i="2"/>
  <c r="AI1902" i="2"/>
  <c r="AD1902" i="2"/>
  <c r="AN1906" i="2"/>
  <c r="X1906" i="2"/>
  <c r="AI1906" i="2"/>
  <c r="AD1906" i="2"/>
  <c r="AN1910" i="2"/>
  <c r="X1910" i="2"/>
  <c r="AI1910" i="2"/>
  <c r="AD1910" i="2"/>
  <c r="AN1914" i="2"/>
  <c r="X1914" i="2"/>
  <c r="AI1914" i="2"/>
  <c r="AD1914" i="2"/>
  <c r="AN1918" i="2"/>
  <c r="X1918" i="2"/>
  <c r="AI1918" i="2"/>
  <c r="AD1918" i="2"/>
  <c r="AN1922" i="2"/>
  <c r="X1922" i="2"/>
  <c r="AI1922" i="2"/>
  <c r="AD1922" i="2"/>
  <c r="AN1926" i="2"/>
  <c r="X1926" i="2"/>
  <c r="AI1926" i="2"/>
  <c r="AD1926" i="2"/>
  <c r="AN1930" i="2"/>
  <c r="X1930" i="2"/>
  <c r="AI1930" i="2"/>
  <c r="AD1930" i="2"/>
  <c r="AN1934" i="2"/>
  <c r="X1934" i="2"/>
  <c r="AI1934" i="2"/>
  <c r="AD1934" i="2"/>
  <c r="AN1938" i="2"/>
  <c r="X1938" i="2"/>
  <c r="AI1938" i="2"/>
  <c r="AD1938" i="2"/>
  <c r="AN1942" i="2"/>
  <c r="X1942" i="2"/>
  <c r="AI1942" i="2"/>
  <c r="AD1942" i="2"/>
  <c r="AN1946" i="2"/>
  <c r="X1946" i="2"/>
  <c r="AI1946" i="2"/>
  <c r="AD1946" i="2"/>
  <c r="AN1950" i="2"/>
  <c r="X1950" i="2"/>
  <c r="AI1950" i="2"/>
  <c r="AD1950" i="2"/>
  <c r="AN1954" i="2"/>
  <c r="X1954" i="2"/>
  <c r="AI1954" i="2"/>
  <c r="AD1954" i="2"/>
  <c r="AN1958" i="2"/>
  <c r="X1958" i="2"/>
  <c r="AI1958" i="2"/>
  <c r="AD1958" i="2"/>
  <c r="AN1962" i="2"/>
  <c r="X1962" i="2"/>
  <c r="AI1962" i="2"/>
  <c r="AD1962" i="2"/>
  <c r="AN1966" i="2"/>
  <c r="X1966" i="2"/>
  <c r="AI1966" i="2"/>
  <c r="AD1966" i="2"/>
  <c r="AN1974" i="2"/>
  <c r="X1974" i="2"/>
  <c r="AI1974" i="2"/>
  <c r="AD1974" i="2"/>
  <c r="AN1982" i="2"/>
  <c r="X1982" i="2"/>
  <c r="AI1982" i="2"/>
  <c r="AD1982" i="2"/>
  <c r="AN1986" i="2"/>
  <c r="X1986" i="2"/>
  <c r="AI1986" i="2"/>
  <c r="AD1986" i="2"/>
  <c r="AN1990" i="2"/>
  <c r="X1990" i="2"/>
  <c r="AI1990" i="2"/>
  <c r="AD1990" i="2"/>
  <c r="AN1994" i="2"/>
  <c r="X1994" i="2"/>
  <c r="AI1994" i="2"/>
  <c r="AD1994" i="2"/>
  <c r="AN1998" i="2"/>
  <c r="X1998" i="2"/>
  <c r="AI1998" i="2"/>
  <c r="AD1998" i="2"/>
  <c r="AN2002" i="2"/>
  <c r="X2002" i="2"/>
  <c r="AI2002" i="2"/>
  <c r="AD2002" i="2"/>
  <c r="AN2006" i="2"/>
  <c r="X2006" i="2"/>
  <c r="AI2006" i="2"/>
  <c r="AD2006" i="2"/>
  <c r="AN2010" i="2"/>
  <c r="X2010" i="2"/>
  <c r="AI2010" i="2"/>
  <c r="AD2010" i="2"/>
  <c r="AN2014" i="2"/>
  <c r="X2014" i="2"/>
  <c r="AI2014" i="2"/>
  <c r="AD2014" i="2"/>
  <c r="AN2018" i="2"/>
  <c r="X2018" i="2"/>
  <c r="AI2018" i="2"/>
  <c r="AD2018" i="2"/>
  <c r="AD2069" i="2"/>
  <c r="AN2069" i="2"/>
  <c r="X2069" i="2"/>
  <c r="AI2069" i="2"/>
  <c r="AS2154" i="2"/>
  <c r="AX2154" i="2" s="1"/>
  <c r="BG2154" i="2" s="1"/>
  <c r="AS2083" i="2"/>
  <c r="AX2083" i="2" s="1"/>
  <c r="BG2083" i="2" s="1"/>
  <c r="AJ184" i="2"/>
  <c r="AO184" i="2"/>
  <c r="AE184" i="2"/>
  <c r="AJ168" i="2"/>
  <c r="AO168" i="2"/>
  <c r="AE168" i="2"/>
  <c r="AS207" i="2"/>
  <c r="AX207" i="2" s="1"/>
  <c r="BG207" i="2" s="1"/>
  <c r="AS296" i="2"/>
  <c r="AX296" i="2" s="1"/>
  <c r="BG296" i="2" s="1"/>
  <c r="AS472" i="2"/>
  <c r="AX472" i="2" s="1"/>
  <c r="BG472" i="2" s="1"/>
  <c r="AS509" i="2"/>
  <c r="AX509" i="2" s="1"/>
  <c r="BG509" i="2" s="1"/>
  <c r="AI738" i="2"/>
  <c r="AN738" i="2"/>
  <c r="X738" i="2"/>
  <c r="AD738" i="2"/>
  <c r="AI754" i="2"/>
  <c r="AN754" i="2"/>
  <c r="X754" i="2"/>
  <c r="AD754" i="2"/>
  <c r="AI770" i="2"/>
  <c r="AN770" i="2"/>
  <c r="X770" i="2"/>
  <c r="AD770" i="2"/>
  <c r="AI786" i="2"/>
  <c r="AN786" i="2"/>
  <c r="X786" i="2"/>
  <c r="AD786" i="2"/>
  <c r="AI802" i="2"/>
  <c r="AN802" i="2"/>
  <c r="X802" i="2"/>
  <c r="AD802" i="2"/>
  <c r="AI818" i="2"/>
  <c r="AN818" i="2"/>
  <c r="X818" i="2"/>
  <c r="AD818" i="2"/>
  <c r="AI834" i="2"/>
  <c r="AN834" i="2"/>
  <c r="X834" i="2"/>
  <c r="AD834" i="2"/>
  <c r="AI850" i="2"/>
  <c r="AN850" i="2"/>
  <c r="X850" i="2"/>
  <c r="AD850" i="2"/>
  <c r="AI866" i="2"/>
  <c r="AN866" i="2"/>
  <c r="X866" i="2"/>
  <c r="AD866" i="2"/>
  <c r="AI882" i="2"/>
  <c r="AN882" i="2"/>
  <c r="X882" i="2"/>
  <c r="AD882" i="2"/>
  <c r="AS530" i="2"/>
  <c r="AX530" i="2" s="1"/>
  <c r="BG530" i="2" s="1"/>
  <c r="AN1301" i="2"/>
  <c r="X1301" i="2"/>
  <c r="AI1301" i="2"/>
  <c r="AD1301" i="2"/>
  <c r="AN1307" i="2"/>
  <c r="X1307" i="2"/>
  <c r="AI1307" i="2"/>
  <c r="AD1307" i="2"/>
  <c r="AD1350" i="2"/>
  <c r="AN1350" i="2"/>
  <c r="X1350" i="2"/>
  <c r="AI1350" i="2"/>
  <c r="AS1493" i="2"/>
  <c r="AX1493" i="2" s="1"/>
  <c r="BG1493" i="2" s="1"/>
  <c r="AS1519" i="2"/>
  <c r="AX1519" i="2" s="1"/>
  <c r="BG1519" i="2" s="1"/>
  <c r="AS1535" i="2"/>
  <c r="AX1535" i="2" s="1"/>
  <c r="BG1535" i="2" s="1"/>
  <c r="AN1509" i="2"/>
  <c r="X1509" i="2"/>
  <c r="AD1509" i="2"/>
  <c r="AI1509" i="2"/>
  <c r="AN1513" i="2"/>
  <c r="X1513" i="2"/>
  <c r="AD1513" i="2"/>
  <c r="AI1513" i="2"/>
  <c r="AD1610" i="2"/>
  <c r="AN1610" i="2"/>
  <c r="X1610" i="2"/>
  <c r="AI1610" i="2"/>
  <c r="AS1851" i="2"/>
  <c r="AX1851" i="2" s="1"/>
  <c r="BG1851" i="2" s="1"/>
  <c r="AS1855" i="2"/>
  <c r="AX1855" i="2" s="1"/>
  <c r="BG1855" i="2" s="1"/>
  <c r="AS1859" i="2"/>
  <c r="AX1859" i="2" s="1"/>
  <c r="BG1859" i="2" s="1"/>
  <c r="AD2087" i="2"/>
  <c r="AN2087" i="2"/>
  <c r="X2087" i="2"/>
  <c r="AI2087" i="2"/>
  <c r="AI2184" i="2"/>
  <c r="AD2184" i="2"/>
  <c r="AN2184" i="2"/>
  <c r="X2184" i="2"/>
  <c r="AN11" i="2"/>
  <c r="X11" i="2"/>
  <c r="AD11" i="2"/>
  <c r="AI11" i="2"/>
  <c r="AD58" i="2"/>
  <c r="AN58" i="2"/>
  <c r="X58" i="2"/>
  <c r="AI58" i="2"/>
  <c r="AS125" i="2"/>
  <c r="AX125" i="2" s="1"/>
  <c r="BG125" i="2" s="1"/>
  <c r="AS406" i="2"/>
  <c r="AX406" i="2" s="1"/>
  <c r="BG406" i="2" s="1"/>
  <c r="AI623" i="2"/>
  <c r="AD623" i="2"/>
  <c r="AN623" i="2"/>
  <c r="X623" i="2"/>
  <c r="AI639" i="2"/>
  <c r="AD639" i="2"/>
  <c r="AN639" i="2"/>
  <c r="X639" i="2"/>
  <c r="AI655" i="2"/>
  <c r="AD655" i="2"/>
  <c r="AN655" i="2"/>
  <c r="X655" i="2"/>
  <c r="AI671" i="2"/>
  <c r="AD671" i="2"/>
  <c r="AN671" i="2"/>
  <c r="X671" i="2"/>
  <c r="AI687" i="2"/>
  <c r="AD687" i="2"/>
  <c r="AN687" i="2"/>
  <c r="X687" i="2"/>
  <c r="AI703" i="2"/>
  <c r="AD703" i="2"/>
  <c r="AN703" i="2"/>
  <c r="X703" i="2"/>
  <c r="AI780" i="2"/>
  <c r="AN780" i="2"/>
  <c r="X780" i="2"/>
  <c r="AD780" i="2"/>
  <c r="AI844" i="2"/>
  <c r="AN844" i="2"/>
  <c r="X844" i="2"/>
  <c r="AD844" i="2"/>
  <c r="AS1207" i="2"/>
  <c r="AX1207" i="2" s="1"/>
  <c r="BG1207" i="2" s="1"/>
  <c r="AS1202" i="2"/>
  <c r="AX1202" i="2" s="1"/>
  <c r="BG1202" i="2" s="1"/>
  <c r="AN1441" i="2"/>
  <c r="X1441" i="2"/>
  <c r="AD1441" i="2"/>
  <c r="AI1441" i="2"/>
  <c r="AS1451" i="2"/>
  <c r="AX1451" i="2" s="1"/>
  <c r="BG1451" i="2" s="1"/>
  <c r="AS1467" i="2"/>
  <c r="AX1467" i="2" s="1"/>
  <c r="BG1467" i="2" s="1"/>
  <c r="AI1766" i="2"/>
  <c r="AN1766" i="2"/>
  <c r="X1766" i="2"/>
  <c r="AD1766" i="2"/>
  <c r="AI1790" i="2"/>
  <c r="AN1790" i="2"/>
  <c r="X1790" i="2"/>
  <c r="AD1790" i="2"/>
  <c r="AI1814" i="2"/>
  <c r="AN1814" i="2"/>
  <c r="X1814" i="2"/>
  <c r="AD1814" i="2"/>
  <c r="AD1937" i="2"/>
  <c r="AN1937" i="2"/>
  <c r="X1937" i="2"/>
  <c r="AI1937" i="2"/>
  <c r="AN2058" i="2"/>
  <c r="X2058" i="2"/>
  <c r="AI2058" i="2"/>
  <c r="AD2058" i="2"/>
  <c r="AN2070" i="2"/>
  <c r="X2070" i="2"/>
  <c r="AI2070" i="2"/>
  <c r="AD2070" i="2"/>
  <c r="AN2082" i="2"/>
  <c r="X2082" i="2"/>
  <c r="AI2082" i="2"/>
  <c r="AD2082" i="2"/>
  <c r="AN2094" i="2"/>
  <c r="X2094" i="2"/>
  <c r="AI2094" i="2"/>
  <c r="AD2094" i="2"/>
  <c r="AN2106" i="2"/>
  <c r="X2106" i="2"/>
  <c r="AI2106" i="2"/>
  <c r="AD2106" i="2"/>
  <c r="AN2084" i="2"/>
  <c r="X2084" i="2"/>
  <c r="AI2084" i="2"/>
  <c r="AD2084" i="2"/>
  <c r="AI2442" i="2"/>
  <c r="AD2442" i="2"/>
  <c r="AN2442" i="2"/>
  <c r="X2442" i="2"/>
  <c r="AS333" i="2"/>
  <c r="AX333" i="2" s="1"/>
  <c r="BG333" i="2" s="1"/>
  <c r="AS349" i="2"/>
  <c r="AX349" i="2" s="1"/>
  <c r="BG349" i="2" s="1"/>
  <c r="AS888" i="2"/>
  <c r="AX888" i="2" s="1"/>
  <c r="BG888" i="2" s="1"/>
  <c r="AS896" i="2"/>
  <c r="AX896" i="2" s="1"/>
  <c r="BG896" i="2" s="1"/>
  <c r="AS904" i="2"/>
  <c r="AX904" i="2" s="1"/>
  <c r="BG904" i="2" s="1"/>
  <c r="AS916" i="2"/>
  <c r="AX916" i="2" s="1"/>
  <c r="BG916" i="2" s="1"/>
  <c r="AS928" i="2"/>
  <c r="AX928" i="2" s="1"/>
  <c r="BG928" i="2" s="1"/>
  <c r="AS1103" i="2"/>
  <c r="AX1103" i="2" s="1"/>
  <c r="BG1103" i="2" s="1"/>
  <c r="AD226" i="2"/>
  <c r="AI226" i="2"/>
  <c r="X226" i="2"/>
  <c r="AN226" i="2"/>
  <c r="AS1121" i="2"/>
  <c r="AX1121" i="2" s="1"/>
  <c r="BG1121" i="2" s="1"/>
  <c r="AS2461" i="2"/>
  <c r="AX2461" i="2" s="1"/>
  <c r="BG2461" i="2" s="1"/>
  <c r="AS231" i="2"/>
  <c r="AX231" i="2" s="1"/>
  <c r="BG231" i="2" s="1"/>
  <c r="AS100" i="2"/>
  <c r="AX100" i="2" s="1"/>
  <c r="BG100" i="2" s="1"/>
  <c r="AS493" i="2"/>
  <c r="AX493" i="2" s="1"/>
  <c r="BG493" i="2" s="1"/>
  <c r="AS1158" i="2"/>
  <c r="AX1158" i="2" s="1"/>
  <c r="BG1158" i="2" s="1"/>
  <c r="AS1174" i="2"/>
  <c r="AX1174" i="2" s="1"/>
  <c r="BG1174" i="2" s="1"/>
  <c r="AS2420" i="2"/>
  <c r="AX2420" i="2" s="1"/>
  <c r="BG2420" i="2" s="1"/>
  <c r="AI2448" i="2"/>
  <c r="AD2448" i="2"/>
  <c r="AN2448" i="2"/>
  <c r="X2448" i="2"/>
  <c r="AS105" i="2"/>
  <c r="AX105" i="2" s="1"/>
  <c r="BG105" i="2" s="1"/>
  <c r="AS137" i="2"/>
  <c r="AX137" i="2" s="1"/>
  <c r="BG137" i="2" s="1"/>
  <c r="AS169" i="2"/>
  <c r="AX169" i="2" s="1"/>
  <c r="BG169" i="2" s="1"/>
  <c r="AS201" i="2"/>
  <c r="AX201" i="2" s="1"/>
  <c r="BG201" i="2" s="1"/>
  <c r="AS1546" i="2"/>
  <c r="AX1546" i="2" s="1"/>
  <c r="BG1546" i="2" s="1"/>
  <c r="AS1550" i="2"/>
  <c r="AX1550" i="2" s="1"/>
  <c r="BG1550" i="2" s="1"/>
  <c r="AS1554" i="2"/>
  <c r="AX1554" i="2" s="1"/>
  <c r="BG1554" i="2" s="1"/>
  <c r="AS1558" i="2"/>
  <c r="AX1558" i="2" s="1"/>
  <c r="BG1558" i="2" s="1"/>
  <c r="AS1562" i="2"/>
  <c r="AX1562" i="2" s="1"/>
  <c r="BG1562" i="2" s="1"/>
  <c r="AS1566" i="2"/>
  <c r="AX1566" i="2" s="1"/>
  <c r="BG1566" i="2" s="1"/>
  <c r="AS1570" i="2"/>
  <c r="AX1570" i="2" s="1"/>
  <c r="BG1570" i="2" s="1"/>
  <c r="AS1574" i="2"/>
  <c r="AX1574" i="2" s="1"/>
  <c r="BG1574" i="2" s="1"/>
  <c r="AS1578" i="2"/>
  <c r="AX1578" i="2" s="1"/>
  <c r="BG1578" i="2" s="1"/>
  <c r="AD1542" i="2"/>
  <c r="AN1542" i="2"/>
  <c r="X1542" i="2"/>
  <c r="AI1542" i="2"/>
  <c r="AD1849" i="2"/>
  <c r="AN1849" i="2"/>
  <c r="X1849" i="2"/>
  <c r="AI1849" i="2"/>
  <c r="AN2041" i="2"/>
  <c r="X2041" i="2"/>
  <c r="AD2041" i="2"/>
  <c r="AI2041" i="2"/>
  <c r="AN2021" i="2"/>
  <c r="X2021" i="2"/>
  <c r="AI2021" i="2"/>
  <c r="AD2021" i="2"/>
  <c r="AS2193" i="2"/>
  <c r="AX2193" i="2" s="1"/>
  <c r="BG2193" i="2" s="1"/>
  <c r="AT396" i="2"/>
  <c r="AY396" i="2" s="1"/>
  <c r="BH396" i="2" s="1"/>
  <c r="AN1527" i="2"/>
  <c r="X1527" i="2"/>
  <c r="AD1527" i="2"/>
  <c r="AI1527" i="2"/>
  <c r="AD1648" i="2"/>
  <c r="AN1648" i="2"/>
  <c r="X1648" i="2"/>
  <c r="AI1648" i="2"/>
  <c r="AT112" i="2"/>
  <c r="AY112" i="2" s="1"/>
  <c r="BH112" i="2" s="1"/>
  <c r="AS329" i="2"/>
  <c r="AX329" i="2" s="1"/>
  <c r="BG329" i="2" s="1"/>
  <c r="AS337" i="2"/>
  <c r="AX337" i="2" s="1"/>
  <c r="BG337" i="2" s="1"/>
  <c r="AS345" i="2"/>
  <c r="AX345" i="2" s="1"/>
  <c r="BG345" i="2" s="1"/>
  <c r="AS353" i="2"/>
  <c r="AX353" i="2" s="1"/>
  <c r="BG353" i="2" s="1"/>
  <c r="AS361" i="2"/>
  <c r="AX361" i="2" s="1"/>
  <c r="BG361" i="2" s="1"/>
  <c r="AS369" i="2"/>
  <c r="AX369" i="2" s="1"/>
  <c r="BG369" i="2" s="1"/>
  <c r="AS377" i="2"/>
  <c r="AX377" i="2" s="1"/>
  <c r="BG377" i="2" s="1"/>
  <c r="AS385" i="2"/>
  <c r="AX385" i="2" s="1"/>
  <c r="BG385" i="2" s="1"/>
  <c r="AS393" i="2"/>
  <c r="AX393" i="2" s="1"/>
  <c r="BG393" i="2" s="1"/>
  <c r="AS401" i="2"/>
  <c r="AX401" i="2" s="1"/>
  <c r="BG401" i="2" s="1"/>
  <c r="AT404" i="2"/>
  <c r="AY404" i="2" s="1"/>
  <c r="BH404" i="2" s="1"/>
  <c r="AD1234" i="2"/>
  <c r="AN1234" i="2"/>
  <c r="X1234" i="2"/>
  <c r="AI1234" i="2"/>
  <c r="AS1362" i="2"/>
  <c r="AX1362" i="2" s="1"/>
  <c r="BG1362" i="2" s="1"/>
  <c r="AD1598" i="2"/>
  <c r="AN1598" i="2"/>
  <c r="X1598" i="2"/>
  <c r="AI1598" i="2"/>
  <c r="AT1803" i="2"/>
  <c r="AY1803" i="2" s="1"/>
  <c r="BH1803" i="2" s="1"/>
  <c r="AT1843" i="2"/>
  <c r="AY1843" i="2" s="1"/>
  <c r="BH1843" i="2" s="1"/>
  <c r="AD1681" i="2"/>
  <c r="AN1681" i="2"/>
  <c r="X1681" i="2"/>
  <c r="AI1681" i="2"/>
  <c r="AD1697" i="2"/>
  <c r="AN1697" i="2"/>
  <c r="X1697" i="2"/>
  <c r="AI1697" i="2"/>
  <c r="AD1713" i="2"/>
  <c r="AN1713" i="2"/>
  <c r="X1713" i="2"/>
  <c r="AI1713" i="2"/>
  <c r="AD1729" i="2"/>
  <c r="AN1729" i="2"/>
  <c r="X1729" i="2"/>
  <c r="AI1729" i="2"/>
  <c r="AD1745" i="2"/>
  <c r="AN1745" i="2"/>
  <c r="X1745" i="2"/>
  <c r="AI1745" i="2"/>
  <c r="AS1881" i="2"/>
  <c r="AX1881" i="2" s="1"/>
  <c r="BG1881" i="2" s="1"/>
  <c r="AD1913" i="2"/>
  <c r="AN1913" i="2"/>
  <c r="X1913" i="2"/>
  <c r="AI1913" i="2"/>
  <c r="AS1945" i="2"/>
  <c r="AX1945" i="2" s="1"/>
  <c r="BG1945" i="2" s="1"/>
  <c r="AO348" i="2"/>
  <c r="AJ348" i="2"/>
  <c r="AE348" i="2"/>
  <c r="AS438" i="2"/>
  <c r="AX438" i="2" s="1"/>
  <c r="BG438" i="2" s="1"/>
  <c r="AD470" i="2"/>
  <c r="AN470" i="2"/>
  <c r="AI470" i="2"/>
  <c r="X470" i="2"/>
  <c r="AS1229" i="2"/>
  <c r="AX1229" i="2" s="1"/>
  <c r="BG1229" i="2" s="1"/>
  <c r="AS1293" i="2"/>
  <c r="AX1293" i="2" s="1"/>
  <c r="BG1293" i="2" s="1"/>
  <c r="AS1357" i="2"/>
  <c r="AX1357" i="2" s="1"/>
  <c r="BG1357" i="2" s="1"/>
  <c r="AI1063" i="2"/>
  <c r="AD1063" i="2"/>
  <c r="AN1063" i="2"/>
  <c r="X1063" i="2"/>
  <c r="AI1127" i="2"/>
  <c r="AD1127" i="2"/>
  <c r="AN1127" i="2"/>
  <c r="X1127" i="2"/>
  <c r="AN1235" i="2"/>
  <c r="X1235" i="2"/>
  <c r="AI1235" i="2"/>
  <c r="AD1235" i="2"/>
  <c r="AN1299" i="2"/>
  <c r="X1299" i="2"/>
  <c r="AI1299" i="2"/>
  <c r="AD1299" i="2"/>
  <c r="AN1363" i="2"/>
  <c r="X1363" i="2"/>
  <c r="AI1363" i="2"/>
  <c r="AD1363" i="2"/>
  <c r="AN2043" i="2"/>
  <c r="X2043" i="2"/>
  <c r="AD2043" i="2"/>
  <c r="AI2043" i="2"/>
  <c r="AD2079" i="2"/>
  <c r="AN2079" i="2"/>
  <c r="X2079" i="2"/>
  <c r="AI2079" i="2"/>
  <c r="AN2488" i="2"/>
  <c r="X2488" i="2"/>
  <c r="AD2488" i="2"/>
  <c r="AI2488" i="2"/>
  <c r="AD1244" i="2"/>
  <c r="AN1244" i="2"/>
  <c r="X1244" i="2"/>
  <c r="AI1244" i="2"/>
  <c r="AD1518" i="2"/>
  <c r="AN1518" i="2"/>
  <c r="X1518" i="2"/>
  <c r="AI1518" i="2"/>
  <c r="AD1522" i="2"/>
  <c r="AN1522" i="2"/>
  <c r="X1522" i="2"/>
  <c r="AI1522" i="2"/>
  <c r="AD1526" i="2"/>
  <c r="AN1526" i="2"/>
  <c r="X1526" i="2"/>
  <c r="AI1526" i="2"/>
  <c r="AD1446" i="2"/>
  <c r="AN1446" i="2"/>
  <c r="X1446" i="2"/>
  <c r="AI1446" i="2"/>
  <c r="AD1450" i="2"/>
  <c r="AN1450" i="2"/>
  <c r="X1450" i="2"/>
  <c r="AI1450" i="2"/>
  <c r="AD1454" i="2"/>
  <c r="AN1454" i="2"/>
  <c r="X1454" i="2"/>
  <c r="AI1454" i="2"/>
  <c r="AD1458" i="2"/>
  <c r="AN1458" i="2"/>
  <c r="X1458" i="2"/>
  <c r="AI1458" i="2"/>
  <c r="AD1462" i="2"/>
  <c r="AN1462" i="2"/>
  <c r="X1462" i="2"/>
  <c r="AI1462" i="2"/>
  <c r="AD1466" i="2"/>
  <c r="AN1466" i="2"/>
  <c r="X1466" i="2"/>
  <c r="AI1466" i="2"/>
  <c r="AD1470" i="2"/>
  <c r="AN1470" i="2"/>
  <c r="X1470" i="2"/>
  <c r="AI1470" i="2"/>
  <c r="AD1474" i="2"/>
  <c r="AN1474" i="2"/>
  <c r="X1474" i="2"/>
  <c r="AI1474" i="2"/>
  <c r="AS2172" i="2"/>
  <c r="AX2172" i="2" s="1"/>
  <c r="BG2172" i="2" s="1"/>
  <c r="AS101" i="2"/>
  <c r="AX101" i="2" s="1"/>
  <c r="BG101" i="2" s="1"/>
  <c r="AS407" i="2"/>
  <c r="AX407" i="2" s="1"/>
  <c r="BG407" i="2" s="1"/>
  <c r="AS243" i="2"/>
  <c r="AX243" i="2" s="1"/>
  <c r="BG243" i="2" s="1"/>
  <c r="AS760" i="2"/>
  <c r="AX760" i="2" s="1"/>
  <c r="BG760" i="2" s="1"/>
  <c r="AS1101" i="2"/>
  <c r="AX1101" i="2" s="1"/>
  <c r="BG1101" i="2" s="1"/>
  <c r="AS1302" i="2"/>
  <c r="AX1302" i="2" s="1"/>
  <c r="BG1302" i="2" s="1"/>
  <c r="AN1537" i="2"/>
  <c r="X1537" i="2"/>
  <c r="AD1537" i="2"/>
  <c r="AI1537" i="2"/>
  <c r="AN1665" i="2"/>
  <c r="X1665" i="2"/>
  <c r="AI1665" i="2"/>
  <c r="AD1665" i="2"/>
  <c r="AN1667" i="2"/>
  <c r="X1667" i="2"/>
  <c r="AI1667" i="2"/>
  <c r="AD1667" i="2"/>
  <c r="AS2223" i="2"/>
  <c r="AX2223" i="2" s="1"/>
  <c r="BG2223" i="2" s="1"/>
  <c r="AS2287" i="2"/>
  <c r="AX2287" i="2" s="1"/>
  <c r="BG2287" i="2" s="1"/>
  <c r="AS1282" i="2"/>
  <c r="AX1282" i="2" s="1"/>
  <c r="BG1282" i="2" s="1"/>
  <c r="AS1374" i="2"/>
  <c r="AX1374" i="2" s="1"/>
  <c r="BG1374" i="2" s="1"/>
  <c r="AD1534" i="2"/>
  <c r="AN1534" i="2"/>
  <c r="X1534" i="2"/>
  <c r="AI1534" i="2"/>
  <c r="AS1861" i="2"/>
  <c r="AX1861" i="2" s="1"/>
  <c r="BG1861" i="2" s="1"/>
  <c r="AS1925" i="2"/>
  <c r="AX1925" i="2" s="1"/>
  <c r="BG1925" i="2" s="1"/>
  <c r="AS1989" i="2"/>
  <c r="AX1989" i="2" s="1"/>
  <c r="BG1989" i="2" s="1"/>
  <c r="AS1959" i="2"/>
  <c r="AX1959" i="2" s="1"/>
  <c r="BG1959" i="2" s="1"/>
  <c r="AS2059" i="2"/>
  <c r="AX2059" i="2" s="1"/>
  <c r="BG2059" i="2" s="1"/>
  <c r="AT120" i="2"/>
  <c r="AY120" i="2" s="1"/>
  <c r="BH120" i="2" s="1"/>
  <c r="AD543" i="2"/>
  <c r="AN543" i="2"/>
  <c r="X543" i="2"/>
  <c r="AI543" i="2"/>
  <c r="AS382" i="2"/>
  <c r="AX382" i="2" s="1"/>
  <c r="BG382" i="2" s="1"/>
  <c r="AD1262" i="2"/>
  <c r="AN1262" i="2"/>
  <c r="X1262" i="2"/>
  <c r="AI1262" i="2"/>
  <c r="AT1823" i="2"/>
  <c r="AY1823" i="2" s="1"/>
  <c r="BH1823" i="2" s="1"/>
  <c r="AS1817" i="2"/>
  <c r="AX1817" i="2" s="1"/>
  <c r="BG1817" i="2" s="1"/>
  <c r="AN2191" i="2"/>
  <c r="X2191" i="2"/>
  <c r="AI2191" i="2"/>
  <c r="AD2191" i="2"/>
  <c r="AD178" i="2"/>
  <c r="AI178" i="2"/>
  <c r="X178" i="2"/>
  <c r="AN178" i="2"/>
  <c r="AS287" i="2"/>
  <c r="AX287" i="2" s="1"/>
  <c r="BG287" i="2" s="1"/>
  <c r="AS319" i="2"/>
  <c r="AX319" i="2" s="1"/>
  <c r="BG319" i="2" s="1"/>
  <c r="AS233" i="2"/>
  <c r="AX233" i="2" s="1"/>
  <c r="BG233" i="2" s="1"/>
  <c r="AS297" i="2"/>
  <c r="AX297" i="2" s="1"/>
  <c r="BG297" i="2" s="1"/>
  <c r="AN253" i="2"/>
  <c r="X253" i="2"/>
  <c r="AI253" i="2"/>
  <c r="AD253" i="2"/>
  <c r="AI653" i="2"/>
  <c r="AD653" i="2"/>
  <c r="AN653" i="2"/>
  <c r="X653" i="2"/>
  <c r="AI717" i="2"/>
  <c r="AD717" i="2"/>
  <c r="AN717" i="2"/>
  <c r="X717" i="2"/>
  <c r="AI719" i="2"/>
  <c r="AD719" i="2"/>
  <c r="AN719" i="2"/>
  <c r="X719" i="2"/>
  <c r="AI721" i="2"/>
  <c r="AD721" i="2"/>
  <c r="AN721" i="2"/>
  <c r="X721" i="2"/>
  <c r="AI723" i="2"/>
  <c r="AD723" i="2"/>
  <c r="AN723" i="2"/>
  <c r="X723" i="2"/>
  <c r="AI725" i="2"/>
  <c r="AD725" i="2"/>
  <c r="AN725" i="2"/>
  <c r="X725" i="2"/>
  <c r="AI1046" i="2"/>
  <c r="AD1046" i="2"/>
  <c r="AN1046" i="2"/>
  <c r="X1046" i="2"/>
  <c r="AN1289" i="2"/>
  <c r="X1289" i="2"/>
  <c r="AI1289" i="2"/>
  <c r="AD1289" i="2"/>
  <c r="AN1247" i="2"/>
  <c r="X1247" i="2"/>
  <c r="AI1247" i="2"/>
  <c r="AD1247" i="2"/>
  <c r="AS1354" i="2"/>
  <c r="AX1354" i="2" s="1"/>
  <c r="BG1354" i="2" s="1"/>
  <c r="AS1397" i="2"/>
  <c r="AX1397" i="2" s="1"/>
  <c r="BG1397" i="2" s="1"/>
  <c r="AN1619" i="2"/>
  <c r="X1619" i="2"/>
  <c r="AI1619" i="2"/>
  <c r="AD1619" i="2"/>
  <c r="AS1644" i="2"/>
  <c r="AX1644" i="2" s="1"/>
  <c r="BG1644" i="2" s="1"/>
  <c r="AS1629" i="2"/>
  <c r="AX1629" i="2" s="1"/>
  <c r="BG1629" i="2" s="1"/>
  <c r="AD1654" i="2"/>
  <c r="AN1654" i="2"/>
  <c r="X1654" i="2"/>
  <c r="AI1654" i="2"/>
  <c r="AN2161" i="2"/>
  <c r="X2161" i="2"/>
  <c r="AI2161" i="2"/>
  <c r="AD2161" i="2"/>
  <c r="AD316" i="2"/>
  <c r="AN316" i="2"/>
  <c r="AI316" i="2"/>
  <c r="X316" i="2"/>
  <c r="AS1765" i="2"/>
  <c r="AX1765" i="2" s="1"/>
  <c r="BG1765" i="2" s="1"/>
  <c r="AS1781" i="2"/>
  <c r="AX1781" i="2" s="1"/>
  <c r="BG1781" i="2" s="1"/>
  <c r="AS1797" i="2"/>
  <c r="AX1797" i="2" s="1"/>
  <c r="BG1797" i="2" s="1"/>
  <c r="AN49" i="2"/>
  <c r="X49" i="2"/>
  <c r="AD49" i="2"/>
  <c r="AI49" i="2"/>
  <c r="AN81" i="2"/>
  <c r="X81" i="2"/>
  <c r="AD81" i="2"/>
  <c r="AI81" i="2"/>
  <c r="AS130" i="2"/>
  <c r="AX130" i="2" s="1"/>
  <c r="BG130" i="2" s="1"/>
  <c r="AN203" i="2"/>
  <c r="X203" i="2"/>
  <c r="AI203" i="2"/>
  <c r="AD203" i="2"/>
  <c r="AN259" i="2"/>
  <c r="X259" i="2"/>
  <c r="AI259" i="2"/>
  <c r="AD259" i="2"/>
  <c r="AN520" i="2"/>
  <c r="X520" i="2"/>
  <c r="AI520" i="2"/>
  <c r="AD520" i="2"/>
  <c r="AS777" i="2"/>
  <c r="AX777" i="2" s="1"/>
  <c r="BG777" i="2" s="1"/>
  <c r="AS2169" i="2"/>
  <c r="AX2169" i="2" s="1"/>
  <c r="BG2169" i="2" s="1"/>
  <c r="AS2489" i="2"/>
  <c r="AX2489" i="2" s="1"/>
  <c r="BG2489" i="2" s="1"/>
  <c r="AS2497" i="2"/>
  <c r="AX2497" i="2" s="1"/>
  <c r="BG2497" i="2" s="1"/>
  <c r="AN69" i="2"/>
  <c r="X69" i="2"/>
  <c r="AI69" i="2"/>
  <c r="AD69" i="2"/>
  <c r="AD86" i="2"/>
  <c r="AI86" i="2"/>
  <c r="AN86" i="2"/>
  <c r="X86" i="2"/>
  <c r="AN129" i="2"/>
  <c r="X129" i="2"/>
  <c r="AI129" i="2"/>
  <c r="AD129" i="2"/>
  <c r="AN193" i="2"/>
  <c r="X193" i="2"/>
  <c r="AI193" i="2"/>
  <c r="AD193" i="2"/>
  <c r="AS103" i="2"/>
  <c r="AX103" i="2" s="1"/>
  <c r="BG103" i="2" s="1"/>
  <c r="AS167" i="2"/>
  <c r="AX167" i="2" s="1"/>
  <c r="BG167" i="2" s="1"/>
  <c r="AS300" i="2"/>
  <c r="AX300" i="2" s="1"/>
  <c r="BG300" i="2" s="1"/>
  <c r="AN347" i="2"/>
  <c r="X347" i="2"/>
  <c r="AI347" i="2"/>
  <c r="AD347" i="2"/>
  <c r="AN245" i="2"/>
  <c r="X245" i="2"/>
  <c r="AI245" i="2"/>
  <c r="AD245" i="2"/>
  <c r="AS310" i="2"/>
  <c r="AX310" i="2" s="1"/>
  <c r="BG310" i="2" s="1"/>
  <c r="AS529" i="2"/>
  <c r="AX529" i="2" s="1"/>
  <c r="BG529" i="2" s="1"/>
  <c r="AS1392" i="2"/>
  <c r="AX1392" i="2" s="1"/>
  <c r="BG1392" i="2" s="1"/>
  <c r="AS1095" i="2"/>
  <c r="AX1095" i="2" s="1"/>
  <c r="BG1095" i="2" s="1"/>
  <c r="AN1403" i="2"/>
  <c r="X1403" i="2"/>
  <c r="AD1403" i="2"/>
  <c r="AI1403" i="2"/>
  <c r="AS1579" i="2"/>
  <c r="AX1579" i="2" s="1"/>
  <c r="BG1579" i="2" s="1"/>
  <c r="AN1641" i="2"/>
  <c r="X1641" i="2"/>
  <c r="AI1641" i="2"/>
  <c r="AD1641" i="2"/>
  <c r="AS1666" i="2"/>
  <c r="AX1666" i="2" s="1"/>
  <c r="BG1666" i="2" s="1"/>
  <c r="AS1668" i="2"/>
  <c r="AX1668" i="2" s="1"/>
  <c r="BG1668" i="2" s="1"/>
  <c r="AI1776" i="2"/>
  <c r="AD1776" i="2"/>
  <c r="X1776" i="2"/>
  <c r="AN1776" i="2"/>
  <c r="AS2047" i="2"/>
  <c r="AX2047" i="2" s="1"/>
  <c r="BG2047" i="2" s="1"/>
  <c r="AN2498" i="2"/>
  <c r="X2498" i="2"/>
  <c r="AD2498" i="2"/>
  <c r="AI2498" i="2"/>
  <c r="AS157" i="2"/>
  <c r="AX157" i="2" s="1"/>
  <c r="BG157" i="2" s="1"/>
  <c r="AS46" i="2"/>
  <c r="AX46" i="2" s="1"/>
  <c r="BG46" i="2" s="1"/>
  <c r="AS459" i="2"/>
  <c r="AX459" i="2" s="1"/>
  <c r="BG459" i="2" s="1"/>
  <c r="AS221" i="2"/>
  <c r="AX221" i="2" s="1"/>
  <c r="BG221" i="2" s="1"/>
  <c r="AS739" i="2"/>
  <c r="AX739" i="2" s="1"/>
  <c r="BG739" i="2" s="1"/>
  <c r="AS755" i="2"/>
  <c r="AX755" i="2" s="1"/>
  <c r="BG755" i="2" s="1"/>
  <c r="AS771" i="2"/>
  <c r="AX771" i="2" s="1"/>
  <c r="BG771" i="2" s="1"/>
  <c r="AS787" i="2"/>
  <c r="AX787" i="2" s="1"/>
  <c r="BG787" i="2" s="1"/>
  <c r="AS803" i="2"/>
  <c r="AX803" i="2" s="1"/>
  <c r="BG803" i="2" s="1"/>
  <c r="AS819" i="2"/>
  <c r="AX819" i="2" s="1"/>
  <c r="BG819" i="2" s="1"/>
  <c r="AS835" i="2"/>
  <c r="AX835" i="2" s="1"/>
  <c r="BG835" i="2" s="1"/>
  <c r="AS851" i="2"/>
  <c r="AX851" i="2" s="1"/>
  <c r="BG851" i="2" s="1"/>
  <c r="AS867" i="2"/>
  <c r="AX867" i="2" s="1"/>
  <c r="BG867" i="2" s="1"/>
  <c r="AS883" i="2"/>
  <c r="AX883" i="2" s="1"/>
  <c r="BG883" i="2" s="1"/>
  <c r="AS737" i="2"/>
  <c r="AX737" i="2" s="1"/>
  <c r="BG737" i="2" s="1"/>
  <c r="AS769" i="2"/>
  <c r="AX769" i="2" s="1"/>
  <c r="BG769" i="2" s="1"/>
  <c r="AS801" i="2"/>
  <c r="AX801" i="2" s="1"/>
  <c r="BG801" i="2" s="1"/>
  <c r="AS833" i="2"/>
  <c r="AX833" i="2" s="1"/>
  <c r="BG833" i="2" s="1"/>
  <c r="AS865" i="2"/>
  <c r="AX865" i="2" s="1"/>
  <c r="BG865" i="2" s="1"/>
  <c r="AI1067" i="2"/>
  <c r="AD1067" i="2"/>
  <c r="AN1067" i="2"/>
  <c r="X1067" i="2"/>
  <c r="AI1131" i="2"/>
  <c r="AD1131" i="2"/>
  <c r="AN1131" i="2"/>
  <c r="X1131" i="2"/>
  <c r="AN1382" i="2"/>
  <c r="X1382" i="2"/>
  <c r="AI1382" i="2"/>
  <c r="AD1382" i="2"/>
  <c r="AS1690" i="2"/>
  <c r="AX1690" i="2" s="1"/>
  <c r="BG1690" i="2" s="1"/>
  <c r="AS1754" i="2"/>
  <c r="AX1754" i="2" s="1"/>
  <c r="BG1754" i="2" s="1"/>
  <c r="AJ248" i="2"/>
  <c r="AE248" i="2"/>
  <c r="AO248" i="2"/>
  <c r="AD52" i="2"/>
  <c r="X52" i="2"/>
  <c r="AI52" i="2"/>
  <c r="AN52" i="2"/>
  <c r="AS126" i="2"/>
  <c r="AX126" i="2" s="1"/>
  <c r="BG126" i="2" s="1"/>
  <c r="AS1042" i="2"/>
  <c r="AX1042" i="2" s="1"/>
  <c r="BG1042" i="2" s="1"/>
  <c r="AS1224" i="2"/>
  <c r="AX1224" i="2" s="1"/>
  <c r="BG1224" i="2" s="1"/>
  <c r="AS1288" i="2"/>
  <c r="AX1288" i="2" s="1"/>
  <c r="BG1288" i="2" s="1"/>
  <c r="AS1352" i="2"/>
  <c r="AX1352" i="2" s="1"/>
  <c r="BG1352" i="2" s="1"/>
  <c r="AS1600" i="2"/>
  <c r="AX1600" i="2" s="1"/>
  <c r="BG1600" i="2" s="1"/>
  <c r="AD1658" i="2"/>
  <c r="AN1658" i="2"/>
  <c r="X1658" i="2"/>
  <c r="AI1658" i="2"/>
  <c r="AS1816" i="2"/>
  <c r="AX1816" i="2" s="1"/>
  <c r="BG1816" i="2" s="1"/>
  <c r="AN1672" i="2"/>
  <c r="X1672" i="2"/>
  <c r="AD1672" i="2"/>
  <c r="AI1672" i="2"/>
  <c r="AN1676" i="2"/>
  <c r="X1676" i="2"/>
  <c r="AD1676" i="2"/>
  <c r="AI1676" i="2"/>
  <c r="AN1680" i="2"/>
  <c r="X1680" i="2"/>
  <c r="AD1680" i="2"/>
  <c r="AI1680" i="2"/>
  <c r="AN1684" i="2"/>
  <c r="X1684" i="2"/>
  <c r="AD1684" i="2"/>
  <c r="AI1684" i="2"/>
  <c r="AN1688" i="2"/>
  <c r="X1688" i="2"/>
  <c r="AD1688" i="2"/>
  <c r="AI1688" i="2"/>
  <c r="AN1692" i="2"/>
  <c r="X1692" i="2"/>
  <c r="AD1692" i="2"/>
  <c r="AI1692" i="2"/>
  <c r="AN1696" i="2"/>
  <c r="X1696" i="2"/>
  <c r="AD1696" i="2"/>
  <c r="AI1696" i="2"/>
  <c r="AN1700" i="2"/>
  <c r="X1700" i="2"/>
  <c r="AD1700" i="2"/>
  <c r="AI1700" i="2"/>
  <c r="AN1704" i="2"/>
  <c r="X1704" i="2"/>
  <c r="AD1704" i="2"/>
  <c r="AI1704" i="2"/>
  <c r="AN1708" i="2"/>
  <c r="X1708" i="2"/>
  <c r="AD1708" i="2"/>
  <c r="AI1708" i="2"/>
  <c r="AN1712" i="2"/>
  <c r="X1712" i="2"/>
  <c r="AD1712" i="2"/>
  <c r="AI1712" i="2"/>
  <c r="AN1716" i="2"/>
  <c r="X1716" i="2"/>
  <c r="AD1716" i="2"/>
  <c r="AI1716" i="2"/>
  <c r="AN1720" i="2"/>
  <c r="X1720" i="2"/>
  <c r="AD1720" i="2"/>
  <c r="AI1720" i="2"/>
  <c r="AN1724" i="2"/>
  <c r="X1724" i="2"/>
  <c r="AD1724" i="2"/>
  <c r="AI1724" i="2"/>
  <c r="AN1728" i="2"/>
  <c r="X1728" i="2"/>
  <c r="AD1728" i="2"/>
  <c r="AI1728" i="2"/>
  <c r="AN1732" i="2"/>
  <c r="X1732" i="2"/>
  <c r="AD1732" i="2"/>
  <c r="AI1732" i="2"/>
  <c r="AN1736" i="2"/>
  <c r="X1736" i="2"/>
  <c r="AD1736" i="2"/>
  <c r="AI1736" i="2"/>
  <c r="AN1740" i="2"/>
  <c r="X1740" i="2"/>
  <c r="AD1740" i="2"/>
  <c r="AI1740" i="2"/>
  <c r="AN1744" i="2"/>
  <c r="X1744" i="2"/>
  <c r="AD1744" i="2"/>
  <c r="AI1744" i="2"/>
  <c r="AN1748" i="2"/>
  <c r="X1748" i="2"/>
  <c r="AD1748" i="2"/>
  <c r="AI1748" i="2"/>
  <c r="AN1752" i="2"/>
  <c r="X1752" i="2"/>
  <c r="AD1752" i="2"/>
  <c r="AI1752" i="2"/>
  <c r="AN1756" i="2"/>
  <c r="X1756" i="2"/>
  <c r="AD1756" i="2"/>
  <c r="AI1756" i="2"/>
  <c r="AS2189" i="2"/>
  <c r="AX2189" i="2" s="1"/>
  <c r="BG2189" i="2" s="1"/>
  <c r="AS22" i="2"/>
  <c r="AX22" i="2" s="1"/>
  <c r="BG22" i="2" s="1"/>
  <c r="AI2145" i="2"/>
  <c r="AN2145" i="2"/>
  <c r="X2145" i="2"/>
  <c r="AD2145" i="2"/>
  <c r="AS2150" i="2"/>
  <c r="AX2150" i="2" s="1"/>
  <c r="BG2150" i="2" s="1"/>
  <c r="AS2394" i="2"/>
  <c r="AX2394" i="2" s="1"/>
  <c r="BG2394" i="2" s="1"/>
  <c r="AS57" i="2"/>
  <c r="AX57" i="2" s="1"/>
  <c r="BG57" i="2" s="1"/>
  <c r="AS149" i="2"/>
  <c r="AX149" i="2" s="1"/>
  <c r="BG149" i="2" s="1"/>
  <c r="AS1111" i="2"/>
  <c r="AX1111" i="2" s="1"/>
  <c r="BG1111" i="2" s="1"/>
  <c r="AN2110" i="2"/>
  <c r="X2110" i="2"/>
  <c r="AI2110" i="2"/>
  <c r="AD2110" i="2"/>
  <c r="AN2159" i="2"/>
  <c r="X2159" i="2"/>
  <c r="AI2159" i="2"/>
  <c r="AD2159" i="2"/>
  <c r="AE887" i="2" l="1"/>
  <c r="AJ917" i="2"/>
  <c r="AO887" i="2"/>
  <c r="AY891" i="2"/>
  <c r="BH891" i="2" s="1"/>
  <c r="AY901" i="2"/>
  <c r="BH901" i="2" s="1"/>
  <c r="AT1815" i="2"/>
  <c r="AY1815" i="2" s="1"/>
  <c r="BH1815" i="2" s="1"/>
  <c r="AE917" i="2"/>
  <c r="AE1775" i="2"/>
  <c r="BA1775" i="2" s="1"/>
  <c r="AO364" i="2"/>
  <c r="AY907" i="2"/>
  <c r="BH907" i="2" s="1"/>
  <c r="AJ1775" i="2"/>
  <c r="AT346" i="2"/>
  <c r="AY346" i="2" s="1"/>
  <c r="BH346" i="2" s="1"/>
  <c r="AE378" i="2"/>
  <c r="AO378" i="2"/>
  <c r="AJ378" i="2"/>
  <c r="AO402" i="2"/>
  <c r="AJ402" i="2"/>
  <c r="AE402" i="2"/>
  <c r="AO362" i="2"/>
  <c r="AJ362" i="2"/>
  <c r="AE362" i="2"/>
  <c r="AO354" i="2"/>
  <c r="AJ354" i="2"/>
  <c r="AE354" i="2"/>
  <c r="AE386" i="2"/>
  <c r="AJ386" i="2"/>
  <c r="AO386" i="2"/>
  <c r="AE338" i="2"/>
  <c r="AJ338" i="2"/>
  <c r="AO338" i="2"/>
  <c r="AJ346" i="2"/>
  <c r="AO346" i="2"/>
  <c r="AE346" i="2"/>
  <c r="AJ394" i="2"/>
  <c r="AE394" i="2"/>
  <c r="AO394" i="2"/>
  <c r="AO330" i="2"/>
  <c r="AJ330" i="2"/>
  <c r="AE330" i="2"/>
  <c r="AO370" i="2"/>
  <c r="AJ370" i="2"/>
  <c r="AE370" i="2"/>
  <c r="AT394" i="2"/>
  <c r="AY394" i="2" s="1"/>
  <c r="BH394" i="2" s="1"/>
  <c r="AT378" i="2"/>
  <c r="AY378" i="2" s="1"/>
  <c r="BH378" i="2" s="1"/>
  <c r="AT354" i="2"/>
  <c r="AY354" i="2" s="1"/>
  <c r="BH354" i="2" s="1"/>
  <c r="AT330" i="2"/>
  <c r="AY330" i="2" s="1"/>
  <c r="BH330" i="2" s="1"/>
  <c r="AT386" i="2"/>
  <c r="AY386" i="2" s="1"/>
  <c r="BH386" i="2" s="1"/>
  <c r="AT402" i="2"/>
  <c r="AY402" i="2" s="1"/>
  <c r="BH402" i="2" s="1"/>
  <c r="AT338" i="2"/>
  <c r="AY338" i="2" s="1"/>
  <c r="BH338" i="2" s="1"/>
  <c r="AT370" i="2"/>
  <c r="AY370" i="2" s="1"/>
  <c r="BH370" i="2" s="1"/>
  <c r="AT362" i="2"/>
  <c r="AY362" i="2" s="1"/>
  <c r="BH362" i="2" s="1"/>
  <c r="AO2145" i="2"/>
  <c r="AE2145" i="2"/>
  <c r="AJ2145" i="2"/>
  <c r="AT2159" i="2"/>
  <c r="AY2159" i="2" s="1"/>
  <c r="BH2159" i="2" s="1"/>
  <c r="AT2110" i="2"/>
  <c r="AY2110" i="2" s="1"/>
  <c r="BH2110" i="2" s="1"/>
  <c r="AE52" i="2"/>
  <c r="AJ52" i="2"/>
  <c r="AO52" i="2"/>
  <c r="AT2498" i="2"/>
  <c r="AY2498" i="2" s="1"/>
  <c r="BH2498" i="2" s="1"/>
  <c r="AT1403" i="2"/>
  <c r="AY1403" i="2" s="1"/>
  <c r="BH1403" i="2" s="1"/>
  <c r="AT86" i="2"/>
  <c r="AY86" i="2" s="1"/>
  <c r="BH86" i="2" s="1"/>
  <c r="AT81" i="2"/>
  <c r="AY81" i="2" s="1"/>
  <c r="BH81" i="2" s="1"/>
  <c r="AT49" i="2"/>
  <c r="AY49" i="2" s="1"/>
  <c r="BH49" i="2" s="1"/>
  <c r="AT316" i="2"/>
  <c r="AY316" i="2" s="1"/>
  <c r="BH316" i="2" s="1"/>
  <c r="AT1654" i="2"/>
  <c r="AY1654" i="2" s="1"/>
  <c r="BH1654" i="2" s="1"/>
  <c r="AT178" i="2"/>
  <c r="AY178" i="2" s="1"/>
  <c r="BH178" i="2" s="1"/>
  <c r="AT1262" i="2"/>
  <c r="AY1262" i="2" s="1"/>
  <c r="BH1262" i="2" s="1"/>
  <c r="AO543" i="2"/>
  <c r="AJ543" i="2"/>
  <c r="AE543" i="2"/>
  <c r="AT1667" i="2"/>
  <c r="AY1667" i="2" s="1"/>
  <c r="BH1667" i="2" s="1"/>
  <c r="AT1665" i="2"/>
  <c r="AY1665" i="2" s="1"/>
  <c r="BH1665" i="2" s="1"/>
  <c r="AJ1474" i="2"/>
  <c r="AE1474" i="2"/>
  <c r="AO1474" i="2"/>
  <c r="AJ1470" i="2"/>
  <c r="AE1470" i="2"/>
  <c r="AO1470" i="2"/>
  <c r="AJ1466" i="2"/>
  <c r="AE1466" i="2"/>
  <c r="AO1466" i="2"/>
  <c r="AJ1462" i="2"/>
  <c r="AE1462" i="2"/>
  <c r="AO1462" i="2"/>
  <c r="AJ1458" i="2"/>
  <c r="AE1458" i="2"/>
  <c r="AO1458" i="2"/>
  <c r="AJ1454" i="2"/>
  <c r="AE1454" i="2"/>
  <c r="AO1454" i="2"/>
  <c r="AJ1450" i="2"/>
  <c r="AE1450" i="2"/>
  <c r="AO1450" i="2"/>
  <c r="AJ1446" i="2"/>
  <c r="AE1446" i="2"/>
  <c r="AO1446" i="2"/>
  <c r="AJ1526" i="2"/>
  <c r="AE1526" i="2"/>
  <c r="AO1526" i="2"/>
  <c r="AJ1522" i="2"/>
  <c r="AE1522" i="2"/>
  <c r="AO1522" i="2"/>
  <c r="AJ1518" i="2"/>
  <c r="AE1518" i="2"/>
  <c r="AO1518" i="2"/>
  <c r="AO1244" i="2"/>
  <c r="AJ1244" i="2"/>
  <c r="AE1244" i="2"/>
  <c r="AT2488" i="2"/>
  <c r="AY2488" i="2" s="1"/>
  <c r="BH2488" i="2" s="1"/>
  <c r="AO2079" i="2"/>
  <c r="AJ2079" i="2"/>
  <c r="AE2079" i="2"/>
  <c r="AT2043" i="2"/>
  <c r="AY2043" i="2" s="1"/>
  <c r="BH2043" i="2" s="1"/>
  <c r="AT470" i="2"/>
  <c r="AY470" i="2" s="1"/>
  <c r="BH470" i="2" s="1"/>
  <c r="AJ1527" i="2"/>
  <c r="AO1527" i="2"/>
  <c r="AE1527" i="2"/>
  <c r="AO2021" i="2"/>
  <c r="AJ2021" i="2"/>
  <c r="AE2021" i="2"/>
  <c r="AO2041" i="2"/>
  <c r="AJ2041" i="2"/>
  <c r="AE2041" i="2"/>
  <c r="AE2448" i="2"/>
  <c r="AO2448" i="2"/>
  <c r="AJ2448" i="2"/>
  <c r="AE2442" i="2"/>
  <c r="AO2442" i="2"/>
  <c r="AJ2442" i="2"/>
  <c r="AT2084" i="2"/>
  <c r="AY2084" i="2" s="1"/>
  <c r="BH2084" i="2" s="1"/>
  <c r="AT2106" i="2"/>
  <c r="AY2106" i="2" s="1"/>
  <c r="BH2106" i="2" s="1"/>
  <c r="AT2094" i="2"/>
  <c r="AY2094" i="2" s="1"/>
  <c r="BH2094" i="2" s="1"/>
  <c r="AT2082" i="2"/>
  <c r="AY2082" i="2" s="1"/>
  <c r="BH2082" i="2" s="1"/>
  <c r="AT2070" i="2"/>
  <c r="AY2070" i="2" s="1"/>
  <c r="BH2070" i="2" s="1"/>
  <c r="AT2058" i="2"/>
  <c r="AY2058" i="2" s="1"/>
  <c r="BH2058" i="2" s="1"/>
  <c r="AT1814" i="2"/>
  <c r="AY1814" i="2" s="1"/>
  <c r="BH1814" i="2" s="1"/>
  <c r="AT1790" i="2"/>
  <c r="AY1790" i="2" s="1"/>
  <c r="BH1790" i="2" s="1"/>
  <c r="AT1766" i="2"/>
  <c r="AY1766" i="2" s="1"/>
  <c r="BH1766" i="2" s="1"/>
  <c r="AT844" i="2"/>
  <c r="AY844" i="2" s="1"/>
  <c r="BH844" i="2" s="1"/>
  <c r="AT780" i="2"/>
  <c r="AY780" i="2" s="1"/>
  <c r="BH780" i="2" s="1"/>
  <c r="AE703" i="2"/>
  <c r="AO703" i="2"/>
  <c r="AJ703" i="2"/>
  <c r="AE687" i="2"/>
  <c r="AO687" i="2"/>
  <c r="AJ687" i="2"/>
  <c r="AE671" i="2"/>
  <c r="AO671" i="2"/>
  <c r="AJ671" i="2"/>
  <c r="AE655" i="2"/>
  <c r="AO655" i="2"/>
  <c r="AJ655" i="2"/>
  <c r="AE639" i="2"/>
  <c r="AO639" i="2"/>
  <c r="AJ639" i="2"/>
  <c r="AE623" i="2"/>
  <c r="AO623" i="2"/>
  <c r="AJ623" i="2"/>
  <c r="AE2184" i="2"/>
  <c r="AO2184" i="2"/>
  <c r="AJ2184" i="2"/>
  <c r="AJ1513" i="2"/>
  <c r="AO1513" i="2"/>
  <c r="AE1513" i="2"/>
  <c r="AJ1509" i="2"/>
  <c r="AO1509" i="2"/>
  <c r="AE1509" i="2"/>
  <c r="AT1307" i="2"/>
  <c r="AY1307" i="2" s="1"/>
  <c r="BH1307" i="2" s="1"/>
  <c r="AT1301" i="2"/>
  <c r="AY1301" i="2" s="1"/>
  <c r="BH1301" i="2" s="1"/>
  <c r="AT2018" i="2"/>
  <c r="AY2018" i="2" s="1"/>
  <c r="BH2018" i="2" s="1"/>
  <c r="AT2014" i="2"/>
  <c r="AY2014" i="2" s="1"/>
  <c r="BH2014" i="2" s="1"/>
  <c r="AT2010" i="2"/>
  <c r="AY2010" i="2" s="1"/>
  <c r="BH2010" i="2" s="1"/>
  <c r="AT2006" i="2"/>
  <c r="AY2006" i="2" s="1"/>
  <c r="BH2006" i="2" s="1"/>
  <c r="AT2002" i="2"/>
  <c r="AY2002" i="2" s="1"/>
  <c r="BH2002" i="2" s="1"/>
  <c r="AT1998" i="2"/>
  <c r="AY1998" i="2" s="1"/>
  <c r="BH1998" i="2" s="1"/>
  <c r="AT1994" i="2"/>
  <c r="AY1994" i="2" s="1"/>
  <c r="BH1994" i="2" s="1"/>
  <c r="AT1990" i="2"/>
  <c r="AY1990" i="2" s="1"/>
  <c r="BH1990" i="2" s="1"/>
  <c r="AT1986" i="2"/>
  <c r="AY1986" i="2" s="1"/>
  <c r="BH1986" i="2" s="1"/>
  <c r="AT1982" i="2"/>
  <c r="AY1982" i="2" s="1"/>
  <c r="BH1982" i="2" s="1"/>
  <c r="AT1974" i="2"/>
  <c r="AY1974" i="2" s="1"/>
  <c r="BH1974" i="2" s="1"/>
  <c r="AT1966" i="2"/>
  <c r="AY1966" i="2" s="1"/>
  <c r="BH1966" i="2" s="1"/>
  <c r="AT1962" i="2"/>
  <c r="AY1962" i="2" s="1"/>
  <c r="BH1962" i="2" s="1"/>
  <c r="AT1958" i="2"/>
  <c r="AY1958" i="2" s="1"/>
  <c r="BH1958" i="2" s="1"/>
  <c r="AT1954" i="2"/>
  <c r="AY1954" i="2" s="1"/>
  <c r="BH1954" i="2" s="1"/>
  <c r="AT1950" i="2"/>
  <c r="AY1950" i="2" s="1"/>
  <c r="BH1950" i="2" s="1"/>
  <c r="AT1946" i="2"/>
  <c r="AY1946" i="2" s="1"/>
  <c r="BH1946" i="2" s="1"/>
  <c r="AT1942" i="2"/>
  <c r="AY1942" i="2" s="1"/>
  <c r="BH1942" i="2" s="1"/>
  <c r="AT1938" i="2"/>
  <c r="AY1938" i="2" s="1"/>
  <c r="BH1938" i="2" s="1"/>
  <c r="AT1934" i="2"/>
  <c r="AY1934" i="2" s="1"/>
  <c r="BH1934" i="2" s="1"/>
  <c r="AT1930" i="2"/>
  <c r="AY1930" i="2" s="1"/>
  <c r="BH1930" i="2" s="1"/>
  <c r="AT1926" i="2"/>
  <c r="AY1926" i="2" s="1"/>
  <c r="BH1926" i="2" s="1"/>
  <c r="AT1922" i="2"/>
  <c r="AY1922" i="2" s="1"/>
  <c r="BH1922" i="2" s="1"/>
  <c r="AT1918" i="2"/>
  <c r="AY1918" i="2" s="1"/>
  <c r="BH1918" i="2" s="1"/>
  <c r="AT1914" i="2"/>
  <c r="AY1914" i="2" s="1"/>
  <c r="BH1914" i="2" s="1"/>
  <c r="AT1910" i="2"/>
  <c r="AY1910" i="2" s="1"/>
  <c r="BH1910" i="2" s="1"/>
  <c r="AT1906" i="2"/>
  <c r="AY1906" i="2" s="1"/>
  <c r="BH1906" i="2" s="1"/>
  <c r="AT1902" i="2"/>
  <c r="AY1902" i="2" s="1"/>
  <c r="BH1902" i="2" s="1"/>
  <c r="AT1898" i="2"/>
  <c r="AY1898" i="2" s="1"/>
  <c r="BH1898" i="2" s="1"/>
  <c r="AT1894" i="2"/>
  <c r="AY1894" i="2" s="1"/>
  <c r="BH1894" i="2" s="1"/>
  <c r="AT1890" i="2"/>
  <c r="AY1890" i="2" s="1"/>
  <c r="BH1890" i="2" s="1"/>
  <c r="AT1886" i="2"/>
  <c r="AY1886" i="2" s="1"/>
  <c r="BH1886" i="2" s="1"/>
  <c r="AT1882" i="2"/>
  <c r="AY1882" i="2" s="1"/>
  <c r="BH1882" i="2" s="1"/>
  <c r="AT1878" i="2"/>
  <c r="AY1878" i="2" s="1"/>
  <c r="BH1878" i="2" s="1"/>
  <c r="AT1874" i="2"/>
  <c r="AY1874" i="2" s="1"/>
  <c r="BH1874" i="2" s="1"/>
  <c r="AT1870" i="2"/>
  <c r="AY1870" i="2" s="1"/>
  <c r="BH1870" i="2" s="1"/>
  <c r="AT1866" i="2"/>
  <c r="AY1866" i="2" s="1"/>
  <c r="BH1866" i="2" s="1"/>
  <c r="AT1862" i="2"/>
  <c r="AY1862" i="2" s="1"/>
  <c r="BH1862" i="2" s="1"/>
  <c r="AT1311" i="2"/>
  <c r="AY1311" i="2" s="1"/>
  <c r="BH1311" i="2" s="1"/>
  <c r="AE1115" i="2"/>
  <c r="AO1115" i="2"/>
  <c r="AJ1115" i="2"/>
  <c r="AE1051" i="2"/>
  <c r="AO1051" i="2"/>
  <c r="AJ1051" i="2"/>
  <c r="AT1353" i="2"/>
  <c r="AY1353" i="2" s="1"/>
  <c r="BH1353" i="2" s="1"/>
  <c r="AT836" i="2"/>
  <c r="AY836" i="2" s="1"/>
  <c r="BH836" i="2" s="1"/>
  <c r="AT772" i="2"/>
  <c r="AY772" i="2" s="1"/>
  <c r="BH772" i="2" s="1"/>
  <c r="BA925" i="2"/>
  <c r="AU925" i="2"/>
  <c r="AZ925" i="2" s="1"/>
  <c r="BA909" i="2"/>
  <c r="AU909" i="2"/>
  <c r="AZ909" i="2" s="1"/>
  <c r="BA893" i="2"/>
  <c r="AU893" i="2"/>
  <c r="AZ893" i="2" s="1"/>
  <c r="AT185" i="2"/>
  <c r="AY185" i="2" s="1"/>
  <c r="BH185" i="2" s="1"/>
  <c r="AT153" i="2"/>
  <c r="AY153" i="2" s="1"/>
  <c r="BH153" i="2" s="1"/>
  <c r="AT121" i="2"/>
  <c r="AY121" i="2" s="1"/>
  <c r="BH121" i="2" s="1"/>
  <c r="AT384" i="2"/>
  <c r="AY384" i="2" s="1"/>
  <c r="BH384" i="2" s="1"/>
  <c r="AT352" i="2"/>
  <c r="AY352" i="2" s="1"/>
  <c r="BH352" i="2" s="1"/>
  <c r="AT1192" i="2"/>
  <c r="AY1192" i="2" s="1"/>
  <c r="BH1192" i="2" s="1"/>
  <c r="AT494" i="2"/>
  <c r="AY494" i="2" s="1"/>
  <c r="BH494" i="2" s="1"/>
  <c r="AO2149" i="2"/>
  <c r="AE2149" i="2"/>
  <c r="AJ2149" i="2"/>
  <c r="AT2055" i="2"/>
  <c r="AY2055" i="2" s="1"/>
  <c r="BH2055" i="2" s="1"/>
  <c r="AT1437" i="2"/>
  <c r="AY1437" i="2" s="1"/>
  <c r="BH1437" i="2" s="1"/>
  <c r="AT1421" i="2"/>
  <c r="AY1421" i="2" s="1"/>
  <c r="BH1421" i="2" s="1"/>
  <c r="AT1405" i="2"/>
  <c r="AY1405" i="2" s="1"/>
  <c r="BH1405" i="2" s="1"/>
  <c r="AE1081" i="2"/>
  <c r="AO1081" i="2"/>
  <c r="AJ1081" i="2"/>
  <c r="AE868" i="2"/>
  <c r="AO868" i="2"/>
  <c r="AJ868" i="2"/>
  <c r="AE804" i="2"/>
  <c r="AO804" i="2"/>
  <c r="AJ804" i="2"/>
  <c r="AE740" i="2"/>
  <c r="AO740" i="2"/>
  <c r="AJ740" i="2"/>
  <c r="AT2409" i="2"/>
  <c r="AY2409" i="2" s="1"/>
  <c r="BH2409" i="2" s="1"/>
  <c r="AJ2311" i="2"/>
  <c r="AO2311" i="2"/>
  <c r="AE2311" i="2"/>
  <c r="AJ2247" i="2"/>
  <c r="AO2247" i="2"/>
  <c r="AE2247" i="2"/>
  <c r="AO2112" i="2"/>
  <c r="AJ2112" i="2"/>
  <c r="AE2112" i="2"/>
  <c r="AT1419" i="2"/>
  <c r="AY1419" i="2" s="1"/>
  <c r="BH1419" i="2" s="1"/>
  <c r="AE880" i="2"/>
  <c r="AO880" i="2"/>
  <c r="AJ880" i="2"/>
  <c r="AE816" i="2"/>
  <c r="AO816" i="2"/>
  <c r="AJ816" i="2"/>
  <c r="AT2001" i="2"/>
  <c r="AY2001" i="2" s="1"/>
  <c r="BH2001" i="2" s="1"/>
  <c r="AE1828" i="2"/>
  <c r="AO1828" i="2"/>
  <c r="AJ1828" i="2"/>
  <c r="AE1830" i="2"/>
  <c r="AJ1830" i="2"/>
  <c r="AO1830" i="2"/>
  <c r="AE1806" i="2"/>
  <c r="AJ1806" i="2"/>
  <c r="AO1806" i="2"/>
  <c r="AE1782" i="2"/>
  <c r="AJ1782" i="2"/>
  <c r="AO1782" i="2"/>
  <c r="AE1758" i="2"/>
  <c r="AJ1758" i="2"/>
  <c r="AO1758" i="2"/>
  <c r="AT713" i="2"/>
  <c r="AY713" i="2" s="1"/>
  <c r="BH713" i="2" s="1"/>
  <c r="AT649" i="2"/>
  <c r="AY649" i="2" s="1"/>
  <c r="BH649" i="2" s="1"/>
  <c r="AJ471" i="2"/>
  <c r="AO471" i="2"/>
  <c r="AE471" i="2"/>
  <c r="AT295" i="2"/>
  <c r="AY295" i="2" s="1"/>
  <c r="BH295" i="2" s="1"/>
  <c r="AT175" i="2"/>
  <c r="AY175" i="2" s="1"/>
  <c r="BH175" i="2" s="1"/>
  <c r="AE2392" i="2"/>
  <c r="AO2392" i="2"/>
  <c r="AJ2392" i="2"/>
  <c r="AJ2389" i="2"/>
  <c r="AE2389" i="2"/>
  <c r="AO2389" i="2"/>
  <c r="AJ2381" i="2"/>
  <c r="AE2381" i="2"/>
  <c r="AO2381" i="2"/>
  <c r="AJ2373" i="2"/>
  <c r="AE2373" i="2"/>
  <c r="AO2373" i="2"/>
  <c r="AJ2365" i="2"/>
  <c r="AE2365" i="2"/>
  <c r="AO2365" i="2"/>
  <c r="AJ2357" i="2"/>
  <c r="AE2357" i="2"/>
  <c r="AO2357" i="2"/>
  <c r="AJ2349" i="2"/>
  <c r="AE2349" i="2"/>
  <c r="AO2349" i="2"/>
  <c r="AJ2341" i="2"/>
  <c r="AE2341" i="2"/>
  <c r="AO2341" i="2"/>
  <c r="AJ2333" i="2"/>
  <c r="AE2333" i="2"/>
  <c r="AO2333" i="2"/>
  <c r="AJ2325" i="2"/>
  <c r="AE2325" i="2"/>
  <c r="AO2325" i="2"/>
  <c r="AJ2317" i="2"/>
  <c r="AE2317" i="2"/>
  <c r="AO2317" i="2"/>
  <c r="AJ1547" i="2"/>
  <c r="AO1547" i="2"/>
  <c r="AE1547" i="2"/>
  <c r="AJ1435" i="2"/>
  <c r="AO1435" i="2"/>
  <c r="AE1435" i="2"/>
  <c r="AT1331" i="2"/>
  <c r="AY1331" i="2" s="1"/>
  <c r="BH1331" i="2" s="1"/>
  <c r="AT1261" i="2"/>
  <c r="AY1261" i="2" s="1"/>
  <c r="BH1261" i="2" s="1"/>
  <c r="BA484" i="2"/>
  <c r="AU484" i="2"/>
  <c r="AZ484" i="2" s="1"/>
  <c r="BA420" i="2"/>
  <c r="AU420" i="2"/>
  <c r="AZ420" i="2" s="1"/>
  <c r="AT1714" i="2"/>
  <c r="AY1714" i="2" s="1"/>
  <c r="BH1714" i="2" s="1"/>
  <c r="AO1266" i="2"/>
  <c r="AJ1266" i="2"/>
  <c r="AE1266" i="2"/>
  <c r="AT63" i="2"/>
  <c r="AY63" i="2" s="1"/>
  <c r="BH63" i="2" s="1"/>
  <c r="AE685" i="2"/>
  <c r="AO685" i="2"/>
  <c r="AJ685" i="2"/>
  <c r="AE621" i="2"/>
  <c r="AO621" i="2"/>
  <c r="AJ621" i="2"/>
  <c r="AO418" i="2"/>
  <c r="AJ418" i="2"/>
  <c r="AE418" i="2"/>
  <c r="AE2418" i="2"/>
  <c r="AO2418" i="2"/>
  <c r="AJ2418" i="2"/>
  <c r="AT2165" i="2"/>
  <c r="AY2165" i="2" s="1"/>
  <c r="BH2165" i="2" s="1"/>
  <c r="AJ1347" i="2"/>
  <c r="AE1347" i="2"/>
  <c r="AO1347" i="2"/>
  <c r="AJ1283" i="2"/>
  <c r="AE1283" i="2"/>
  <c r="AO1283" i="2"/>
  <c r="AJ1219" i="2"/>
  <c r="AE1219" i="2"/>
  <c r="AO1219" i="2"/>
  <c r="AE2501" i="2"/>
  <c r="AO2501" i="2"/>
  <c r="AJ2501" i="2"/>
  <c r="AT2185" i="2"/>
  <c r="AY2185" i="2" s="1"/>
  <c r="BH2185" i="2" s="1"/>
  <c r="AE856" i="2"/>
  <c r="AO856" i="2"/>
  <c r="AJ856" i="2"/>
  <c r="AE728" i="2"/>
  <c r="AO728" i="2"/>
  <c r="AJ728" i="2"/>
  <c r="AT96" i="2"/>
  <c r="AY96" i="2" s="1"/>
  <c r="BH96" i="2" s="1"/>
  <c r="AO2099" i="2"/>
  <c r="AJ2099" i="2"/>
  <c r="AE2099" i="2"/>
  <c r="AO2073" i="2"/>
  <c r="AJ2073" i="2"/>
  <c r="AE2073" i="2"/>
  <c r="AO1857" i="2"/>
  <c r="AJ1857" i="2"/>
  <c r="AE1857" i="2"/>
  <c r="AO1853" i="2"/>
  <c r="AJ1853" i="2"/>
  <c r="AE1853" i="2"/>
  <c r="AT1606" i="2"/>
  <c r="AY1606" i="2" s="1"/>
  <c r="BH1606" i="2" s="1"/>
  <c r="AT486" i="2"/>
  <c r="AY486" i="2" s="1"/>
  <c r="BH486" i="2" s="1"/>
  <c r="AO1662" i="2"/>
  <c r="AJ1662" i="2"/>
  <c r="AE1662" i="2"/>
  <c r="AO1138" i="2"/>
  <c r="AE1138" i="2"/>
  <c r="AJ1138" i="2"/>
  <c r="AO1130" i="2"/>
  <c r="AE1130" i="2"/>
  <c r="AJ1130" i="2"/>
  <c r="AO1122" i="2"/>
  <c r="AE1122" i="2"/>
  <c r="AJ1122" i="2"/>
  <c r="AO1114" i="2"/>
  <c r="AE1114" i="2"/>
  <c r="AJ1114" i="2"/>
  <c r="AO1106" i="2"/>
  <c r="AE1106" i="2"/>
  <c r="AJ1106" i="2"/>
  <c r="AO1098" i="2"/>
  <c r="AE1098" i="2"/>
  <c r="AJ1098" i="2"/>
  <c r="AO1090" i="2"/>
  <c r="AE1090" i="2"/>
  <c r="AJ1090" i="2"/>
  <c r="AO1082" i="2"/>
  <c r="AE1082" i="2"/>
  <c r="AJ1082" i="2"/>
  <c r="AO1074" i="2"/>
  <c r="AE1074" i="2"/>
  <c r="AJ1074" i="2"/>
  <c r="AO1066" i="2"/>
  <c r="AE1066" i="2"/>
  <c r="AJ1066" i="2"/>
  <c r="AO1058" i="2"/>
  <c r="AE1058" i="2"/>
  <c r="AJ1058" i="2"/>
  <c r="AO1050" i="2"/>
  <c r="AE1050" i="2"/>
  <c r="AJ1050" i="2"/>
  <c r="AO1190" i="2"/>
  <c r="AJ1190" i="2"/>
  <c r="AE1190" i="2"/>
  <c r="AO1336" i="2"/>
  <c r="AJ1336" i="2"/>
  <c r="AE1336" i="2"/>
  <c r="AO1272" i="2"/>
  <c r="AJ1272" i="2"/>
  <c r="AE1272" i="2"/>
  <c r="AO1208" i="2"/>
  <c r="AJ1208" i="2"/>
  <c r="AE1208" i="2"/>
  <c r="AO541" i="2"/>
  <c r="AJ541" i="2"/>
  <c r="AE541" i="2"/>
  <c r="AO2109" i="2"/>
  <c r="AJ2109" i="2"/>
  <c r="AE2109" i="2"/>
  <c r="AO2093" i="2"/>
  <c r="AJ2093" i="2"/>
  <c r="AE2093" i="2"/>
  <c r="AO2077" i="2"/>
  <c r="AJ2077" i="2"/>
  <c r="AE2077" i="2"/>
  <c r="AO2061" i="2"/>
  <c r="AJ2061" i="2"/>
  <c r="AE2061" i="2"/>
  <c r="AT1322" i="2"/>
  <c r="AY1322" i="2" s="1"/>
  <c r="BH1322" i="2" s="1"/>
  <c r="AO547" i="2"/>
  <c r="AJ547" i="2"/>
  <c r="AE547" i="2"/>
  <c r="AO523" i="2"/>
  <c r="AJ523" i="2"/>
  <c r="AE523" i="2"/>
  <c r="AT32" i="2"/>
  <c r="AY32" i="2" s="1"/>
  <c r="BH32" i="2" s="1"/>
  <c r="AT99" i="2"/>
  <c r="AY99" i="2" s="1"/>
  <c r="BH99" i="2" s="1"/>
  <c r="BA444" i="2"/>
  <c r="AU444" i="2"/>
  <c r="AZ444" i="2" s="1"/>
  <c r="AJ437" i="2"/>
  <c r="AE437" i="2"/>
  <c r="AO437" i="2"/>
  <c r="AT2486" i="2"/>
  <c r="AY2486" i="2" s="1"/>
  <c r="BH2486" i="2" s="1"/>
  <c r="AT2478" i="2"/>
  <c r="AY2478" i="2" s="1"/>
  <c r="BH2478" i="2" s="1"/>
  <c r="AJ2483" i="2"/>
  <c r="AO2483" i="2"/>
  <c r="AE2483" i="2"/>
  <c r="AT1698" i="2"/>
  <c r="AY1698" i="2" s="1"/>
  <c r="BH1698" i="2" s="1"/>
  <c r="AJ1492" i="2"/>
  <c r="AE1492" i="2"/>
  <c r="AO1492" i="2"/>
  <c r="AJ1438" i="2"/>
  <c r="AE1438" i="2"/>
  <c r="AO1438" i="2"/>
  <c r="AJ1434" i="2"/>
  <c r="AE1434" i="2"/>
  <c r="AO1434" i="2"/>
  <c r="AJ1430" i="2"/>
  <c r="AE1430" i="2"/>
  <c r="AO1430" i="2"/>
  <c r="AJ1426" i="2"/>
  <c r="AE1426" i="2"/>
  <c r="AO1426" i="2"/>
  <c r="AJ1422" i="2"/>
  <c r="AE1422" i="2"/>
  <c r="AO1422" i="2"/>
  <c r="AJ1418" i="2"/>
  <c r="AE1418" i="2"/>
  <c r="AO1418" i="2"/>
  <c r="AJ1414" i="2"/>
  <c r="AE1414" i="2"/>
  <c r="AO1414" i="2"/>
  <c r="AJ1410" i="2"/>
  <c r="AE1410" i="2"/>
  <c r="AO1410" i="2"/>
  <c r="AJ1406" i="2"/>
  <c r="AE1406" i="2"/>
  <c r="AO1406" i="2"/>
  <c r="AJ1402" i="2"/>
  <c r="AE1402" i="2"/>
  <c r="AO1402" i="2"/>
  <c r="AJ1398" i="2"/>
  <c r="AE1398" i="2"/>
  <c r="AO1398" i="2"/>
  <c r="AJ1394" i="2"/>
  <c r="AE1394" i="2"/>
  <c r="AO1394" i="2"/>
  <c r="AT134" i="2"/>
  <c r="AY134" i="2" s="1"/>
  <c r="BH134" i="2" s="1"/>
  <c r="AT1506" i="2"/>
  <c r="AY1506" i="2" s="1"/>
  <c r="BH1506" i="2" s="1"/>
  <c r="AT170" i="2"/>
  <c r="AY170" i="2" s="1"/>
  <c r="BH170" i="2" s="1"/>
  <c r="AT74" i="2"/>
  <c r="AY74" i="2" s="1"/>
  <c r="BH74" i="2" s="1"/>
  <c r="AT42" i="2"/>
  <c r="AY42" i="2" s="1"/>
  <c r="BH42" i="2" s="1"/>
  <c r="AT10" i="2"/>
  <c r="AY10" i="2" s="1"/>
  <c r="BH10" i="2" s="1"/>
  <c r="AT242" i="2"/>
  <c r="AY242" i="2" s="1"/>
  <c r="BH242" i="2" s="1"/>
  <c r="AT2177" i="2"/>
  <c r="AY2177" i="2" s="1"/>
  <c r="BH2177" i="2" s="1"/>
  <c r="AT2403" i="2"/>
  <c r="AY2403" i="2" s="1"/>
  <c r="BH2403" i="2" s="1"/>
  <c r="AT2395" i="2"/>
  <c r="AY2395" i="2" s="1"/>
  <c r="BH2395" i="2" s="1"/>
  <c r="AT2147" i="2"/>
  <c r="AY2147" i="2" s="1"/>
  <c r="BH2147" i="2" s="1"/>
  <c r="AT57" i="2"/>
  <c r="AY57" i="2" s="1"/>
  <c r="BH57" i="2" s="1"/>
  <c r="AT2015" i="2"/>
  <c r="AY2015" i="2" s="1"/>
  <c r="BH2015" i="2" s="1"/>
  <c r="AT1999" i="2"/>
  <c r="AY1999" i="2" s="1"/>
  <c r="BH1999" i="2" s="1"/>
  <c r="AT1983" i="2"/>
  <c r="AY1983" i="2" s="1"/>
  <c r="BH1983" i="2" s="1"/>
  <c r="AT1967" i="2"/>
  <c r="AY1967" i="2" s="1"/>
  <c r="BH1967" i="2" s="1"/>
  <c r="AT2013" i="2"/>
  <c r="AY2013" i="2" s="1"/>
  <c r="BH2013" i="2" s="1"/>
  <c r="AT1997" i="2"/>
  <c r="AY1997" i="2" s="1"/>
  <c r="BH1997" i="2" s="1"/>
  <c r="AT1981" i="2"/>
  <c r="AY1981" i="2" s="1"/>
  <c r="BH1981" i="2" s="1"/>
  <c r="AT1965" i="2"/>
  <c r="AY1965" i="2" s="1"/>
  <c r="BH1965" i="2" s="1"/>
  <c r="AT1949" i="2"/>
  <c r="AY1949" i="2" s="1"/>
  <c r="BH1949" i="2" s="1"/>
  <c r="AT1933" i="2"/>
  <c r="AY1933" i="2" s="1"/>
  <c r="BH1933" i="2" s="1"/>
  <c r="AT1917" i="2"/>
  <c r="AY1917" i="2" s="1"/>
  <c r="BH1917" i="2" s="1"/>
  <c r="AT1901" i="2"/>
  <c r="AY1901" i="2" s="1"/>
  <c r="BH1901" i="2" s="1"/>
  <c r="AT1885" i="2"/>
  <c r="AY1885" i="2" s="1"/>
  <c r="BH1885" i="2" s="1"/>
  <c r="AT1869" i="2"/>
  <c r="AY1869" i="2" s="1"/>
  <c r="BH1869" i="2" s="1"/>
  <c r="AJ1463" i="2"/>
  <c r="AO1463" i="2"/>
  <c r="AE1463" i="2"/>
  <c r="AJ1447" i="2"/>
  <c r="AO1447" i="2"/>
  <c r="AE1447" i="2"/>
  <c r="AT22" i="2"/>
  <c r="AY22" i="2" s="1"/>
  <c r="BH22" i="2" s="1"/>
  <c r="AO190" i="2"/>
  <c r="AJ190" i="2"/>
  <c r="AE190" i="2"/>
  <c r="AT517" i="2"/>
  <c r="AY517" i="2" s="1"/>
  <c r="BH517" i="2" s="1"/>
  <c r="AT46" i="2"/>
  <c r="AY46" i="2" s="1"/>
  <c r="BH46" i="2" s="1"/>
  <c r="AT40" i="2"/>
  <c r="AY40" i="2" s="1"/>
  <c r="BH40" i="2" s="1"/>
  <c r="AJ1544" i="2"/>
  <c r="AE1544" i="2"/>
  <c r="AO1544" i="2"/>
  <c r="AJ1540" i="2"/>
  <c r="AE1540" i="2"/>
  <c r="AO1540" i="2"/>
  <c r="AJ1536" i="2"/>
  <c r="AE1536" i="2"/>
  <c r="AO1536" i="2"/>
  <c r="AJ1532" i="2"/>
  <c r="AE1532" i="2"/>
  <c r="AO1532" i="2"/>
  <c r="AJ1528" i="2"/>
  <c r="AE1528" i="2"/>
  <c r="AO1528" i="2"/>
  <c r="AJ1524" i="2"/>
  <c r="AE1524" i="2"/>
  <c r="AO1524" i="2"/>
  <c r="AJ1520" i="2"/>
  <c r="AE1520" i="2"/>
  <c r="AO1520" i="2"/>
  <c r="AJ1516" i="2"/>
  <c r="AE1516" i="2"/>
  <c r="AO1516" i="2"/>
  <c r="AJ1512" i="2"/>
  <c r="AE1512" i="2"/>
  <c r="AO1512" i="2"/>
  <c r="AJ1508" i="2"/>
  <c r="AE1508" i="2"/>
  <c r="AO1508" i="2"/>
  <c r="AJ1498" i="2"/>
  <c r="AE1498" i="2"/>
  <c r="AO1498" i="2"/>
  <c r="AJ1494" i="2"/>
  <c r="AE1494" i="2"/>
  <c r="AO1494" i="2"/>
  <c r="AJ1490" i="2"/>
  <c r="AE1490" i="2"/>
  <c r="AO1490" i="2"/>
  <c r="AO300" i="2"/>
  <c r="AJ300" i="2"/>
  <c r="AE300" i="2"/>
  <c r="AT1852" i="2"/>
  <c r="AY1852" i="2" s="1"/>
  <c r="BH1852" i="2" s="1"/>
  <c r="AJ1313" i="2"/>
  <c r="AE1313" i="2"/>
  <c r="AO1313" i="2"/>
  <c r="AO841" i="2"/>
  <c r="AE841" i="2"/>
  <c r="AJ841" i="2"/>
  <c r="AJ2060" i="2"/>
  <c r="AE2060" i="2"/>
  <c r="AO2060" i="2"/>
  <c r="AJ297" i="2"/>
  <c r="AE297" i="2"/>
  <c r="AO297" i="2"/>
  <c r="AJ233" i="2"/>
  <c r="AE233" i="2"/>
  <c r="AO233" i="2"/>
  <c r="AJ319" i="2"/>
  <c r="AO319" i="2"/>
  <c r="AE319" i="2"/>
  <c r="AJ287" i="2"/>
  <c r="AO287" i="2"/>
  <c r="AE287" i="2"/>
  <c r="AE1079" i="2"/>
  <c r="AO1079" i="2"/>
  <c r="AJ1079" i="2"/>
  <c r="AT1140" i="2"/>
  <c r="AY1140" i="2" s="1"/>
  <c r="BH1140" i="2" s="1"/>
  <c r="AT1132" i="2"/>
  <c r="AY1132" i="2" s="1"/>
  <c r="BH1132" i="2" s="1"/>
  <c r="AT1124" i="2"/>
  <c r="AY1124" i="2" s="1"/>
  <c r="BH1124" i="2" s="1"/>
  <c r="AT1116" i="2"/>
  <c r="AY1116" i="2" s="1"/>
  <c r="BH1116" i="2" s="1"/>
  <c r="AT1108" i="2"/>
  <c r="AY1108" i="2" s="1"/>
  <c r="BH1108" i="2" s="1"/>
  <c r="AT1100" i="2"/>
  <c r="AY1100" i="2" s="1"/>
  <c r="BH1100" i="2" s="1"/>
  <c r="AT1092" i="2"/>
  <c r="AY1092" i="2" s="1"/>
  <c r="BH1092" i="2" s="1"/>
  <c r="AT1084" i="2"/>
  <c r="AY1084" i="2" s="1"/>
  <c r="BH1084" i="2" s="1"/>
  <c r="AT1076" i="2"/>
  <c r="AY1076" i="2" s="1"/>
  <c r="BH1076" i="2" s="1"/>
  <c r="AT1068" i="2"/>
  <c r="AY1068" i="2" s="1"/>
  <c r="BH1068" i="2" s="1"/>
  <c r="AT1060" i="2"/>
  <c r="AY1060" i="2" s="1"/>
  <c r="BH1060" i="2" s="1"/>
  <c r="AT1052" i="2"/>
  <c r="AY1052" i="2" s="1"/>
  <c r="BH1052" i="2" s="1"/>
  <c r="BA180" i="2"/>
  <c r="AU180" i="2"/>
  <c r="AZ180" i="2" s="1"/>
  <c r="BA116" i="2"/>
  <c r="AU116" i="2"/>
  <c r="AZ116" i="2" s="1"/>
  <c r="AE2462" i="2"/>
  <c r="AO2462" i="2"/>
  <c r="AJ2462" i="2"/>
  <c r="AE2406" i="2"/>
  <c r="AO2406" i="2"/>
  <c r="AJ2406" i="2"/>
  <c r="AT2383" i="2"/>
  <c r="AY2383" i="2" s="1"/>
  <c r="BH2383" i="2" s="1"/>
  <c r="AT2375" i="2"/>
  <c r="AY2375" i="2" s="1"/>
  <c r="BH2375" i="2" s="1"/>
  <c r="AT2367" i="2"/>
  <c r="AY2367" i="2" s="1"/>
  <c r="BH2367" i="2" s="1"/>
  <c r="AT2359" i="2"/>
  <c r="AY2359" i="2" s="1"/>
  <c r="BH2359" i="2" s="1"/>
  <c r="AT2335" i="2"/>
  <c r="AY2335" i="2" s="1"/>
  <c r="BH2335" i="2" s="1"/>
  <c r="AO2163" i="2"/>
  <c r="AJ2163" i="2"/>
  <c r="AE2163" i="2"/>
  <c r="AJ1730" i="2"/>
  <c r="AO1730" i="2"/>
  <c r="AE1730" i="2"/>
  <c r="AJ1329" i="2"/>
  <c r="AE1329" i="2"/>
  <c r="AO1329" i="2"/>
  <c r="AJ1265" i="2"/>
  <c r="AE1265" i="2"/>
  <c r="AO1265" i="2"/>
  <c r="AJ1201" i="2"/>
  <c r="AE1201" i="2"/>
  <c r="AO1201" i="2"/>
  <c r="AT550" i="2"/>
  <c r="AY550" i="2" s="1"/>
  <c r="BH550" i="2" s="1"/>
  <c r="AT824" i="2"/>
  <c r="AY824" i="2" s="1"/>
  <c r="BH824" i="2" s="1"/>
  <c r="BA364" i="2"/>
  <c r="AU364" i="2"/>
  <c r="AT407" i="2"/>
  <c r="AY407" i="2" s="1"/>
  <c r="BH407" i="2" s="1"/>
  <c r="AT101" i="2"/>
  <c r="AY101" i="2" s="1"/>
  <c r="BH101" i="2" s="1"/>
  <c r="AT1609" i="2"/>
  <c r="AY1609" i="2" s="1"/>
  <c r="BH1609" i="2" s="1"/>
  <c r="AT246" i="2"/>
  <c r="AY246" i="2" s="1"/>
  <c r="BH246" i="2" s="1"/>
  <c r="AT511" i="2"/>
  <c r="AY511" i="2" s="1"/>
  <c r="BH511" i="2" s="1"/>
  <c r="AT2011" i="2"/>
  <c r="AY2011" i="2" s="1"/>
  <c r="BH2011" i="2" s="1"/>
  <c r="AT1995" i="2"/>
  <c r="AY1995" i="2" s="1"/>
  <c r="BH1995" i="2" s="1"/>
  <c r="AT1979" i="2"/>
  <c r="AY1979" i="2" s="1"/>
  <c r="BH1979" i="2" s="1"/>
  <c r="AT1963" i="2"/>
  <c r="AY1963" i="2" s="1"/>
  <c r="BH1963" i="2" s="1"/>
  <c r="AT2009" i="2"/>
  <c r="AY2009" i="2" s="1"/>
  <c r="BH2009" i="2" s="1"/>
  <c r="AT1993" i="2"/>
  <c r="AY1993" i="2" s="1"/>
  <c r="BH1993" i="2" s="1"/>
  <c r="AT1977" i="2"/>
  <c r="AY1977" i="2" s="1"/>
  <c r="BH1977" i="2" s="1"/>
  <c r="AT1961" i="2"/>
  <c r="AY1961" i="2" s="1"/>
  <c r="BH1961" i="2" s="1"/>
  <c r="AO1897" i="2"/>
  <c r="AJ1897" i="2"/>
  <c r="AE1897" i="2"/>
  <c r="BA1843" i="2"/>
  <c r="AU1843" i="2"/>
  <c r="AZ1843" i="2" s="1"/>
  <c r="AT1836" i="2"/>
  <c r="AY1836" i="2" s="1"/>
  <c r="BH1836" i="2" s="1"/>
  <c r="AE2188" i="2"/>
  <c r="AO2188" i="2"/>
  <c r="AJ2188" i="2"/>
  <c r="AT531" i="2"/>
  <c r="AY531" i="2" s="1"/>
  <c r="BH531" i="2" s="1"/>
  <c r="AT507" i="2"/>
  <c r="AY507" i="2" s="1"/>
  <c r="BH507" i="2" s="1"/>
  <c r="AT100" i="2"/>
  <c r="AY100" i="2" s="1"/>
  <c r="BH100" i="2" s="1"/>
  <c r="AT488" i="2"/>
  <c r="AY488" i="2" s="1"/>
  <c r="BH488" i="2" s="1"/>
  <c r="AT392" i="2"/>
  <c r="AY392" i="2" s="1"/>
  <c r="BH392" i="2" s="1"/>
  <c r="AJ231" i="2"/>
  <c r="AO231" i="2"/>
  <c r="AE231" i="2"/>
  <c r="AT1191" i="2"/>
  <c r="AY1191" i="2" s="1"/>
  <c r="BH1191" i="2" s="1"/>
  <c r="AE1091" i="2"/>
  <c r="AO1091" i="2"/>
  <c r="AJ1091" i="2"/>
  <c r="AJ1439" i="2"/>
  <c r="AO1439" i="2"/>
  <c r="AE1439" i="2"/>
  <c r="AJ1483" i="2"/>
  <c r="AO1483" i="2"/>
  <c r="AE1483" i="2"/>
  <c r="BA492" i="2"/>
  <c r="AU492" i="2"/>
  <c r="AZ492" i="2" s="1"/>
  <c r="AO2067" i="2"/>
  <c r="AJ2067" i="2"/>
  <c r="AE2067" i="2"/>
  <c r="AO1628" i="2"/>
  <c r="AJ1628" i="2"/>
  <c r="AE1628" i="2"/>
  <c r="AT1425" i="2"/>
  <c r="AY1425" i="2" s="1"/>
  <c r="BH1425" i="2" s="1"/>
  <c r="AT1409" i="2"/>
  <c r="AY1409" i="2" s="1"/>
  <c r="BH1409" i="2" s="1"/>
  <c r="AJ125" i="2"/>
  <c r="AE125" i="2"/>
  <c r="AO125" i="2"/>
  <c r="AO1043" i="2"/>
  <c r="AJ1043" i="2"/>
  <c r="AE1043" i="2"/>
  <c r="AO722" i="2"/>
  <c r="AJ722" i="2"/>
  <c r="AE722" i="2"/>
  <c r="AO718" i="2"/>
  <c r="AJ718" i="2"/>
  <c r="AE718" i="2"/>
  <c r="AO714" i="2"/>
  <c r="AJ714" i="2"/>
  <c r="AE714" i="2"/>
  <c r="AO710" i="2"/>
  <c r="AJ710" i="2"/>
  <c r="AE710" i="2"/>
  <c r="AO706" i="2"/>
  <c r="AJ706" i="2"/>
  <c r="AE706" i="2"/>
  <c r="AO702" i="2"/>
  <c r="AJ702" i="2"/>
  <c r="AE702" i="2"/>
  <c r="AO698" i="2"/>
  <c r="AJ698" i="2"/>
  <c r="AE698" i="2"/>
  <c r="AO694" i="2"/>
  <c r="AJ694" i="2"/>
  <c r="AE694" i="2"/>
  <c r="AO690" i="2"/>
  <c r="AJ690" i="2"/>
  <c r="AE690" i="2"/>
  <c r="AO686" i="2"/>
  <c r="AJ686" i="2"/>
  <c r="AE686" i="2"/>
  <c r="AO682" i="2"/>
  <c r="AJ682" i="2"/>
  <c r="AE682" i="2"/>
  <c r="AO678" i="2"/>
  <c r="AJ678" i="2"/>
  <c r="AE678" i="2"/>
  <c r="AO674" i="2"/>
  <c r="AJ674" i="2"/>
  <c r="AE674" i="2"/>
  <c r="AO670" i="2"/>
  <c r="AJ670" i="2"/>
  <c r="AE670" i="2"/>
  <c r="AO666" i="2"/>
  <c r="AJ666" i="2"/>
  <c r="AE666" i="2"/>
  <c r="AO662" i="2"/>
  <c r="AJ662" i="2"/>
  <c r="AE662" i="2"/>
  <c r="AO658" i="2"/>
  <c r="AJ658" i="2"/>
  <c r="AE658" i="2"/>
  <c r="AO654" i="2"/>
  <c r="AJ654" i="2"/>
  <c r="AE654" i="2"/>
  <c r="AO650" i="2"/>
  <c r="AJ650" i="2"/>
  <c r="AE650" i="2"/>
  <c r="AO646" i="2"/>
  <c r="AJ646" i="2"/>
  <c r="AE646" i="2"/>
  <c r="AO642" i="2"/>
  <c r="AJ642" i="2"/>
  <c r="AE642" i="2"/>
  <c r="AO638" i="2"/>
  <c r="AJ638" i="2"/>
  <c r="AE638" i="2"/>
  <c r="AO634" i="2"/>
  <c r="AJ634" i="2"/>
  <c r="AE634" i="2"/>
  <c r="AO630" i="2"/>
  <c r="AJ630" i="2"/>
  <c r="AE630" i="2"/>
  <c r="AO626" i="2"/>
  <c r="AJ626" i="2"/>
  <c r="AE626" i="2"/>
  <c r="AO622" i="2"/>
  <c r="AJ622" i="2"/>
  <c r="AE622" i="2"/>
  <c r="AO442" i="2"/>
  <c r="AJ442" i="2"/>
  <c r="AE442" i="2"/>
  <c r="AJ1706" i="2"/>
  <c r="AO1706" i="2"/>
  <c r="AE1706" i="2"/>
  <c r="AO2473" i="2"/>
  <c r="AJ2473" i="2"/>
  <c r="AE2473" i="2"/>
  <c r="AJ1726" i="2"/>
  <c r="AO1726" i="2"/>
  <c r="AE1726" i="2"/>
  <c r="AJ277" i="2"/>
  <c r="AE277" i="2"/>
  <c r="AO277" i="2"/>
  <c r="AJ355" i="2"/>
  <c r="AE355" i="2"/>
  <c r="AO355" i="2"/>
  <c r="AJ239" i="2"/>
  <c r="AO239" i="2"/>
  <c r="AE239" i="2"/>
  <c r="AT2404" i="2"/>
  <c r="AY2404" i="2" s="1"/>
  <c r="BH2404" i="2" s="1"/>
  <c r="AJ1595" i="2"/>
  <c r="AE1595" i="2"/>
  <c r="AO1595" i="2"/>
  <c r="AJ1587" i="2"/>
  <c r="AE1587" i="2"/>
  <c r="AO1587" i="2"/>
  <c r="AT1139" i="2"/>
  <c r="AY1139" i="2" s="1"/>
  <c r="BH1139" i="2" s="1"/>
  <c r="AU1151" i="2"/>
  <c r="AZ1151" i="2" s="1"/>
  <c r="BA1151" i="2"/>
  <c r="AO254" i="2"/>
  <c r="AJ254" i="2"/>
  <c r="AE254" i="2"/>
  <c r="AT237" i="2"/>
  <c r="AY237" i="2" s="1"/>
  <c r="BH237" i="2" s="1"/>
  <c r="AT443" i="2"/>
  <c r="AY443" i="2" s="1"/>
  <c r="BH443" i="2" s="1"/>
  <c r="AO284" i="2"/>
  <c r="AJ284" i="2"/>
  <c r="AE284" i="2"/>
  <c r="AO182" i="2"/>
  <c r="AJ182" i="2"/>
  <c r="AE182" i="2"/>
  <c r="AO118" i="2"/>
  <c r="AJ118" i="2"/>
  <c r="AE118" i="2"/>
  <c r="AT5" i="2"/>
  <c r="AY5" i="2" s="1"/>
  <c r="BH5" i="2" s="1"/>
  <c r="AT2157" i="2"/>
  <c r="AY2157" i="2" s="1"/>
  <c r="BH2157" i="2" s="1"/>
  <c r="AT2142" i="2"/>
  <c r="AY2142" i="2" s="1"/>
  <c r="BH2142" i="2" s="1"/>
  <c r="AT2183" i="2"/>
  <c r="AY2183" i="2" s="1"/>
  <c r="BH2183" i="2" s="1"/>
  <c r="AO1041" i="2"/>
  <c r="AJ1041" i="2"/>
  <c r="AE1041" i="2"/>
  <c r="AT1645" i="2"/>
  <c r="AY1645" i="2" s="1"/>
  <c r="BH1645" i="2" s="1"/>
  <c r="AT1635" i="2"/>
  <c r="AY1635" i="2" s="1"/>
  <c r="BH1635" i="2" s="1"/>
  <c r="AO258" i="2"/>
  <c r="AJ258" i="2"/>
  <c r="AE258" i="2"/>
  <c r="AT14" i="2"/>
  <c r="AY14" i="2" s="1"/>
  <c r="BH14" i="2" s="1"/>
  <c r="AT1656" i="2"/>
  <c r="AY1656" i="2" s="1"/>
  <c r="BH1656" i="2" s="1"/>
  <c r="AO1344" i="2"/>
  <c r="AJ1344" i="2"/>
  <c r="AE1344" i="2"/>
  <c r="AE876" i="2"/>
  <c r="AO876" i="2"/>
  <c r="AJ876" i="2"/>
  <c r="AE812" i="2"/>
  <c r="AO812" i="2"/>
  <c r="AJ812" i="2"/>
  <c r="AE748" i="2"/>
  <c r="AO748" i="2"/>
  <c r="AJ748" i="2"/>
  <c r="AT162" i="2"/>
  <c r="AY162" i="2" s="1"/>
  <c r="BH162" i="2" s="1"/>
  <c r="AT45" i="2"/>
  <c r="AY45" i="2" s="1"/>
  <c r="BH45" i="2" s="1"/>
  <c r="AT1415" i="2"/>
  <c r="AY1415" i="2" s="1"/>
  <c r="BH1415" i="2" s="1"/>
  <c r="AO555" i="2"/>
  <c r="AJ555" i="2"/>
  <c r="AE555" i="2"/>
  <c r="AO539" i="2"/>
  <c r="AJ539" i="2"/>
  <c r="AE539" i="2"/>
  <c r="AO515" i="2"/>
  <c r="AJ515" i="2"/>
  <c r="AE515" i="2"/>
  <c r="AT360" i="2"/>
  <c r="AY360" i="2" s="1"/>
  <c r="BH360" i="2" s="1"/>
  <c r="AT1372" i="2"/>
  <c r="AY1372" i="2" s="1"/>
  <c r="BH1372" i="2" s="1"/>
  <c r="AJ1297" i="2"/>
  <c r="AE1297" i="2"/>
  <c r="AO1297" i="2"/>
  <c r="AT2175" i="2"/>
  <c r="AY2175" i="2" s="1"/>
  <c r="BH2175" i="2" s="1"/>
  <c r="AJ2482" i="2"/>
  <c r="AO2482" i="2"/>
  <c r="AE2482" i="2"/>
  <c r="AT2151" i="2"/>
  <c r="AY2151" i="2" s="1"/>
  <c r="BH2151" i="2" s="1"/>
  <c r="AO2441" i="2"/>
  <c r="AJ2441" i="2"/>
  <c r="AE2441" i="2"/>
  <c r="AT1469" i="2"/>
  <c r="AY1469" i="2" s="1"/>
  <c r="BH1469" i="2" s="1"/>
  <c r="AT1453" i="2"/>
  <c r="AY1453" i="2" s="1"/>
  <c r="BH1453" i="2" s="1"/>
  <c r="AT1503" i="2"/>
  <c r="AY1503" i="2" s="1"/>
  <c r="BH1503" i="2" s="1"/>
  <c r="AJ1255" i="2"/>
  <c r="AE1255" i="2"/>
  <c r="AO1255" i="2"/>
  <c r="AT475" i="2"/>
  <c r="AY475" i="2" s="1"/>
  <c r="BH475" i="2" s="1"/>
  <c r="AE2168" i="2"/>
  <c r="AO2168" i="2"/>
  <c r="AJ2168" i="2"/>
  <c r="AT2038" i="2"/>
  <c r="AY2038" i="2" s="1"/>
  <c r="BH2038" i="2" s="1"/>
  <c r="AT2034" i="2"/>
  <c r="AY2034" i="2" s="1"/>
  <c r="BH2034" i="2" s="1"/>
  <c r="AT2030" i="2"/>
  <c r="AY2030" i="2" s="1"/>
  <c r="BH2030" i="2" s="1"/>
  <c r="AT2026" i="2"/>
  <c r="AY2026" i="2" s="1"/>
  <c r="BH2026" i="2" s="1"/>
  <c r="AT2022" i="2"/>
  <c r="AY2022" i="2" s="1"/>
  <c r="BH2022" i="2" s="1"/>
  <c r="BA1831" i="2"/>
  <c r="AU1831" i="2"/>
  <c r="AZ1831" i="2" s="1"/>
  <c r="AJ48" i="2"/>
  <c r="AO48" i="2"/>
  <c r="AE48" i="2"/>
  <c r="AJ16" i="2"/>
  <c r="AO16" i="2"/>
  <c r="AE16" i="2"/>
  <c r="AT481" i="2"/>
  <c r="AY481" i="2" s="1"/>
  <c r="BH481" i="2" s="1"/>
  <c r="AO432" i="2"/>
  <c r="AJ432" i="2"/>
  <c r="AE432" i="2"/>
  <c r="AJ2484" i="2"/>
  <c r="AO2484" i="2"/>
  <c r="AE2484" i="2"/>
  <c r="AT1295" i="2"/>
  <c r="AY1295" i="2" s="1"/>
  <c r="BH1295" i="2" s="1"/>
  <c r="AT2275" i="2"/>
  <c r="AY2275" i="2" s="1"/>
  <c r="BH2275" i="2" s="1"/>
  <c r="AT2243" i="2"/>
  <c r="AY2243" i="2" s="1"/>
  <c r="BH2243" i="2" s="1"/>
  <c r="AT2211" i="2"/>
  <c r="AY2211" i="2" s="1"/>
  <c r="BH2211" i="2" s="1"/>
  <c r="AT2413" i="2"/>
  <c r="AY2413" i="2" s="1"/>
  <c r="BH2413" i="2" s="1"/>
  <c r="AJ1655" i="2"/>
  <c r="AE1655" i="2"/>
  <c r="AO1655" i="2"/>
  <c r="AT73" i="2"/>
  <c r="AY73" i="2" s="1"/>
  <c r="BH73" i="2" s="1"/>
  <c r="AO2085" i="2"/>
  <c r="AJ2085" i="2"/>
  <c r="AE2085" i="2"/>
  <c r="AJ1429" i="2"/>
  <c r="AO1429" i="2"/>
  <c r="AE1429" i="2"/>
  <c r="AO448" i="2"/>
  <c r="AJ448" i="2"/>
  <c r="AE448" i="2"/>
  <c r="AJ415" i="2"/>
  <c r="AO415" i="2"/>
  <c r="AE415" i="2"/>
  <c r="AT225" i="2"/>
  <c r="AY225" i="2" s="1"/>
  <c r="BH225" i="2" s="1"/>
  <c r="AT219" i="2"/>
  <c r="AY219" i="2" s="1"/>
  <c r="BH219" i="2" s="1"/>
  <c r="AJ387" i="2"/>
  <c r="AE387" i="2"/>
  <c r="AO387" i="2"/>
  <c r="AJ2100" i="2"/>
  <c r="AE2100" i="2"/>
  <c r="AO2100" i="2"/>
  <c r="AO1387" i="2"/>
  <c r="AE1387" i="2"/>
  <c r="AJ1387" i="2"/>
  <c r="AJ1471" i="2"/>
  <c r="AO1471" i="2"/>
  <c r="AE1471" i="2"/>
  <c r="AT1105" i="2"/>
  <c r="AY1105" i="2" s="1"/>
  <c r="BH1105" i="2" s="1"/>
  <c r="AT1057" i="2"/>
  <c r="AY1057" i="2" s="1"/>
  <c r="BH1057" i="2" s="1"/>
  <c r="AE1832" i="2"/>
  <c r="AO1832" i="2"/>
  <c r="AJ1832" i="2"/>
  <c r="AJ1401" i="2"/>
  <c r="AO1401" i="2"/>
  <c r="AE1401" i="2"/>
  <c r="AO537" i="2"/>
  <c r="AJ537" i="2"/>
  <c r="AE537" i="2"/>
  <c r="AE2160" i="2"/>
  <c r="AO2160" i="2"/>
  <c r="AJ2160" i="2"/>
  <c r="AJ1555" i="2"/>
  <c r="AO1555" i="2"/>
  <c r="AE1555" i="2"/>
  <c r="AJ1376" i="2"/>
  <c r="AE1376" i="2"/>
  <c r="AO1376" i="2"/>
  <c r="AO505" i="2"/>
  <c r="AJ505" i="2"/>
  <c r="AE505" i="2"/>
  <c r="AO501" i="2"/>
  <c r="AJ501" i="2"/>
  <c r="AE501" i="2"/>
  <c r="AO497" i="2"/>
  <c r="AJ497" i="2"/>
  <c r="AE497" i="2"/>
  <c r="AT1636" i="2"/>
  <c r="AY1636" i="2" s="1"/>
  <c r="BH1636" i="2" s="1"/>
  <c r="AE695" i="2"/>
  <c r="AO695" i="2"/>
  <c r="AJ695" i="2"/>
  <c r="AO222" i="2"/>
  <c r="AJ222" i="2"/>
  <c r="AE222" i="2"/>
  <c r="AT282" i="2"/>
  <c r="AY282" i="2" s="1"/>
  <c r="BH282" i="2" s="1"/>
  <c r="AT268" i="2"/>
  <c r="AY268" i="2" s="1"/>
  <c r="BH268" i="2" s="1"/>
  <c r="AT2051" i="2"/>
  <c r="AY2051" i="2" s="1"/>
  <c r="BH2051" i="2" s="1"/>
  <c r="AT1472" i="2"/>
  <c r="AY1472" i="2" s="1"/>
  <c r="BH1472" i="2" s="1"/>
  <c r="AT1468" i="2"/>
  <c r="AY1468" i="2" s="1"/>
  <c r="BH1468" i="2" s="1"/>
  <c r="AT1464" i="2"/>
  <c r="AY1464" i="2" s="1"/>
  <c r="BH1464" i="2" s="1"/>
  <c r="AT1460" i="2"/>
  <c r="AY1460" i="2" s="1"/>
  <c r="BH1460" i="2" s="1"/>
  <c r="AT1456" i="2"/>
  <c r="AY1456" i="2" s="1"/>
  <c r="BH1456" i="2" s="1"/>
  <c r="AT1452" i="2"/>
  <c r="AY1452" i="2" s="1"/>
  <c r="BH1452" i="2" s="1"/>
  <c r="AT1448" i="2"/>
  <c r="AY1448" i="2" s="1"/>
  <c r="BH1448" i="2" s="1"/>
  <c r="AT1444" i="2"/>
  <c r="AY1444" i="2" s="1"/>
  <c r="BH1444" i="2" s="1"/>
  <c r="AT1258" i="2"/>
  <c r="AY1258" i="2" s="1"/>
  <c r="BH1258" i="2" s="1"/>
  <c r="AO202" i="2"/>
  <c r="AJ202" i="2"/>
  <c r="AE202" i="2"/>
  <c r="AO186" i="2"/>
  <c r="AJ186" i="2"/>
  <c r="AE186" i="2"/>
  <c r="AT2423" i="2"/>
  <c r="AY2423" i="2" s="1"/>
  <c r="BH2423" i="2" s="1"/>
  <c r="AT2407" i="2"/>
  <c r="AY2407" i="2" s="1"/>
  <c r="BH2407" i="2" s="1"/>
  <c r="AE852" i="2"/>
  <c r="AO852" i="2"/>
  <c r="AJ852" i="2"/>
  <c r="AJ1978" i="2"/>
  <c r="AE1978" i="2"/>
  <c r="AO1978" i="2"/>
  <c r="AT1625" i="2"/>
  <c r="AY1625" i="2" s="1"/>
  <c r="BH1625" i="2" s="1"/>
  <c r="AT930" i="2"/>
  <c r="AY930" i="2" s="1"/>
  <c r="BH930" i="2" s="1"/>
  <c r="AT926" i="2"/>
  <c r="AY926" i="2" s="1"/>
  <c r="BH926" i="2" s="1"/>
  <c r="AT922" i="2"/>
  <c r="AY922" i="2" s="1"/>
  <c r="BH922" i="2" s="1"/>
  <c r="AT918" i="2"/>
  <c r="AY918" i="2" s="1"/>
  <c r="BH918" i="2" s="1"/>
  <c r="AT914" i="2"/>
  <c r="AY914" i="2" s="1"/>
  <c r="BH914" i="2" s="1"/>
  <c r="AT910" i="2"/>
  <c r="AY910" i="2" s="1"/>
  <c r="BH910" i="2" s="1"/>
  <c r="AT906" i="2"/>
  <c r="AY906" i="2" s="1"/>
  <c r="BH906" i="2" s="1"/>
  <c r="AT902" i="2"/>
  <c r="AY902" i="2" s="1"/>
  <c r="BH902" i="2" s="1"/>
  <c r="AT898" i="2"/>
  <c r="AY898" i="2" s="1"/>
  <c r="BH898" i="2" s="1"/>
  <c r="AT894" i="2"/>
  <c r="AY894" i="2" s="1"/>
  <c r="BH894" i="2" s="1"/>
  <c r="AT890" i="2"/>
  <c r="AY890" i="2" s="1"/>
  <c r="BH890" i="2" s="1"/>
  <c r="AT886" i="2"/>
  <c r="AY886" i="2" s="1"/>
  <c r="BH886" i="2" s="1"/>
  <c r="AT465" i="2"/>
  <c r="AY465" i="2" s="1"/>
  <c r="BH465" i="2" s="1"/>
  <c r="AT409" i="2"/>
  <c r="AY409" i="2" s="1"/>
  <c r="BH409" i="2" s="1"/>
  <c r="AT457" i="2"/>
  <c r="AY457" i="2" s="1"/>
  <c r="BH457" i="2" s="1"/>
  <c r="AT1821" i="2"/>
  <c r="AY1821" i="2" s="1"/>
  <c r="BH1821" i="2" s="1"/>
  <c r="AT1589" i="2"/>
  <c r="AY1589" i="2" s="1"/>
  <c r="BH1589" i="2" s="1"/>
  <c r="AT1319" i="2"/>
  <c r="AY1319" i="2" s="1"/>
  <c r="BH1319" i="2" s="1"/>
  <c r="AT776" i="2"/>
  <c r="AY776" i="2" s="1"/>
  <c r="BH776" i="2" s="1"/>
  <c r="BA1811" i="2"/>
  <c r="AU1811" i="2"/>
  <c r="AZ1811" i="2" s="1"/>
  <c r="AO1638" i="2"/>
  <c r="AJ1638" i="2"/>
  <c r="AE1638" i="2"/>
  <c r="AO1340" i="2"/>
  <c r="AJ1340" i="2"/>
  <c r="AE1340" i="2"/>
  <c r="AO1276" i="2"/>
  <c r="AJ1276" i="2"/>
  <c r="AE1276" i="2"/>
  <c r="AO1212" i="2"/>
  <c r="AJ1212" i="2"/>
  <c r="AE1212" i="2"/>
  <c r="AE665" i="2"/>
  <c r="AO665" i="2"/>
  <c r="AJ665" i="2"/>
  <c r="BA324" i="2"/>
  <c r="AU324" i="2"/>
  <c r="AZ324" i="2" s="1"/>
  <c r="AT70" i="2"/>
  <c r="AY70" i="2" s="1"/>
  <c r="BH70" i="2" s="1"/>
  <c r="AJ1599" i="2"/>
  <c r="AE1599" i="2"/>
  <c r="AO1599" i="2"/>
  <c r="AT1325" i="2"/>
  <c r="AY1325" i="2" s="1"/>
  <c r="BH1325" i="2" s="1"/>
  <c r="AT1109" i="2"/>
  <c r="AY1109" i="2" s="1"/>
  <c r="BH1109" i="2" s="1"/>
  <c r="AE1044" i="2"/>
  <c r="AO1044" i="2"/>
  <c r="AJ1044" i="2"/>
  <c r="AT546" i="2"/>
  <c r="AY546" i="2" s="1"/>
  <c r="BH546" i="2" s="1"/>
  <c r="AT514" i="2"/>
  <c r="AY514" i="2" s="1"/>
  <c r="BH514" i="2" s="1"/>
  <c r="AJ1605" i="2"/>
  <c r="AE1605" i="2"/>
  <c r="AO1605" i="2"/>
  <c r="AJ1249" i="2"/>
  <c r="AE1249" i="2"/>
  <c r="AO1249" i="2"/>
  <c r="AT2166" i="2"/>
  <c r="AY2166" i="2" s="1"/>
  <c r="BH2166" i="2" s="1"/>
  <c r="AT1825" i="2"/>
  <c r="AY1825" i="2" s="1"/>
  <c r="BH1825" i="2" s="1"/>
  <c r="AT1591" i="2"/>
  <c r="AY1591" i="2" s="1"/>
  <c r="BH1591" i="2" s="1"/>
  <c r="AJ1179" i="2"/>
  <c r="AE1179" i="2"/>
  <c r="AO1179" i="2"/>
  <c r="AJ1384" i="2"/>
  <c r="AE1384" i="2"/>
  <c r="AO1384" i="2"/>
  <c r="AO398" i="2"/>
  <c r="AJ398" i="2"/>
  <c r="AE398" i="2"/>
  <c r="AT1834" i="2"/>
  <c r="AY1834" i="2" s="1"/>
  <c r="BH1834" i="2" s="1"/>
  <c r="AT1826" i="2"/>
  <c r="AY1826" i="2" s="1"/>
  <c r="BH1826" i="2" s="1"/>
  <c r="AT1818" i="2"/>
  <c r="AY1818" i="2" s="1"/>
  <c r="BH1818" i="2" s="1"/>
  <c r="AT1810" i="2"/>
  <c r="AY1810" i="2" s="1"/>
  <c r="BH1810" i="2" s="1"/>
  <c r="AT1802" i="2"/>
  <c r="AY1802" i="2" s="1"/>
  <c r="BH1802" i="2" s="1"/>
  <c r="AT1794" i="2"/>
  <c r="AY1794" i="2" s="1"/>
  <c r="BH1794" i="2" s="1"/>
  <c r="AT1786" i="2"/>
  <c r="AY1786" i="2" s="1"/>
  <c r="BH1786" i="2" s="1"/>
  <c r="AT1778" i="2"/>
  <c r="AY1778" i="2" s="1"/>
  <c r="BH1778" i="2" s="1"/>
  <c r="AT1770" i="2"/>
  <c r="AY1770" i="2" s="1"/>
  <c r="BH1770" i="2" s="1"/>
  <c r="AT1762" i="2"/>
  <c r="AY1762" i="2" s="1"/>
  <c r="BH1762" i="2" s="1"/>
  <c r="AT2044" i="2"/>
  <c r="AY2044" i="2" s="1"/>
  <c r="BH2044" i="2" s="1"/>
  <c r="AT1049" i="2"/>
  <c r="AY1049" i="2" s="1"/>
  <c r="BH1049" i="2" s="1"/>
  <c r="AE2460" i="2"/>
  <c r="AO2460" i="2"/>
  <c r="AJ2460" i="2"/>
  <c r="AT2113" i="2"/>
  <c r="AY2113" i="2" s="1"/>
  <c r="BH2113" i="2" s="1"/>
  <c r="AJ1541" i="2"/>
  <c r="AO1541" i="2"/>
  <c r="AE1541" i="2"/>
  <c r="AJ1659" i="2"/>
  <c r="AE1659" i="2"/>
  <c r="AO1659" i="2"/>
  <c r="AO1348" i="2"/>
  <c r="AJ1348" i="2"/>
  <c r="AE1348" i="2"/>
  <c r="AT1038" i="2"/>
  <c r="AY1038" i="2" s="1"/>
  <c r="BH1038" i="2" s="1"/>
  <c r="AT1034" i="2"/>
  <c r="AY1034" i="2" s="1"/>
  <c r="BH1034" i="2" s="1"/>
  <c r="AT1030" i="2"/>
  <c r="AY1030" i="2" s="1"/>
  <c r="BH1030" i="2" s="1"/>
  <c r="AT1026" i="2"/>
  <c r="AY1026" i="2" s="1"/>
  <c r="BH1026" i="2" s="1"/>
  <c r="AT1022" i="2"/>
  <c r="AY1022" i="2" s="1"/>
  <c r="BH1022" i="2" s="1"/>
  <c r="AT1018" i="2"/>
  <c r="AY1018" i="2" s="1"/>
  <c r="BH1018" i="2" s="1"/>
  <c r="AT1014" i="2"/>
  <c r="AY1014" i="2" s="1"/>
  <c r="BH1014" i="2" s="1"/>
  <c r="AT1010" i="2"/>
  <c r="AY1010" i="2" s="1"/>
  <c r="BH1010" i="2" s="1"/>
  <c r="AT1006" i="2"/>
  <c r="AY1006" i="2" s="1"/>
  <c r="BH1006" i="2" s="1"/>
  <c r="AT1002" i="2"/>
  <c r="AY1002" i="2" s="1"/>
  <c r="BH1002" i="2" s="1"/>
  <c r="AT998" i="2"/>
  <c r="AY998" i="2" s="1"/>
  <c r="BH998" i="2" s="1"/>
  <c r="AT994" i="2"/>
  <c r="AY994" i="2" s="1"/>
  <c r="BH994" i="2" s="1"/>
  <c r="AT990" i="2"/>
  <c r="AY990" i="2" s="1"/>
  <c r="BH990" i="2" s="1"/>
  <c r="AT986" i="2"/>
  <c r="AY986" i="2" s="1"/>
  <c r="BH986" i="2" s="1"/>
  <c r="AT982" i="2"/>
  <c r="AY982" i="2" s="1"/>
  <c r="BH982" i="2" s="1"/>
  <c r="AT978" i="2"/>
  <c r="AY978" i="2" s="1"/>
  <c r="BH978" i="2" s="1"/>
  <c r="AT974" i="2"/>
  <c r="AY974" i="2" s="1"/>
  <c r="BH974" i="2" s="1"/>
  <c r="AT970" i="2"/>
  <c r="AY970" i="2" s="1"/>
  <c r="BH970" i="2" s="1"/>
  <c r="AT966" i="2"/>
  <c r="AY966" i="2" s="1"/>
  <c r="BH966" i="2" s="1"/>
  <c r="AT962" i="2"/>
  <c r="AY962" i="2" s="1"/>
  <c r="BH962" i="2" s="1"/>
  <c r="AT958" i="2"/>
  <c r="AY958" i="2" s="1"/>
  <c r="BH958" i="2" s="1"/>
  <c r="AT954" i="2"/>
  <c r="AY954" i="2" s="1"/>
  <c r="BH954" i="2" s="1"/>
  <c r="AT950" i="2"/>
  <c r="AY950" i="2" s="1"/>
  <c r="BH950" i="2" s="1"/>
  <c r="AT946" i="2"/>
  <c r="AY946" i="2" s="1"/>
  <c r="BH946" i="2" s="1"/>
  <c r="AT942" i="2"/>
  <c r="AY942" i="2" s="1"/>
  <c r="BH942" i="2" s="1"/>
  <c r="AT938" i="2"/>
  <c r="AY938" i="2" s="1"/>
  <c r="BH938" i="2" s="1"/>
  <c r="BA372" i="2"/>
  <c r="AU372" i="2"/>
  <c r="AZ372" i="2" s="1"/>
  <c r="AO1306" i="2"/>
  <c r="AJ1306" i="2"/>
  <c r="AE1306" i="2"/>
  <c r="AO1180" i="2"/>
  <c r="AJ1180" i="2"/>
  <c r="AE1180" i="2"/>
  <c r="AT551" i="2"/>
  <c r="AY551" i="2" s="1"/>
  <c r="BH551" i="2" s="1"/>
  <c r="AT1571" i="2"/>
  <c r="AY1571" i="2" s="1"/>
  <c r="BH1571" i="2" s="1"/>
  <c r="AT1278" i="2"/>
  <c r="AY1278" i="2" s="1"/>
  <c r="BH1278" i="2" s="1"/>
  <c r="AT1214" i="2"/>
  <c r="AY1214" i="2" s="1"/>
  <c r="BH1214" i="2" s="1"/>
  <c r="AE1137" i="2"/>
  <c r="AO1137" i="2"/>
  <c r="AJ1137" i="2"/>
  <c r="AT276" i="2"/>
  <c r="AY276" i="2" s="1"/>
  <c r="BH276" i="2" s="1"/>
  <c r="AE2198" i="2"/>
  <c r="AO2198" i="2"/>
  <c r="AJ2198" i="2"/>
  <c r="AT1848" i="2"/>
  <c r="AY1848" i="2" s="1"/>
  <c r="BH1848" i="2" s="1"/>
  <c r="AJ1511" i="2"/>
  <c r="AO1511" i="2"/>
  <c r="AE1511" i="2"/>
  <c r="AJ1333" i="2"/>
  <c r="AE1333" i="2"/>
  <c r="AO1333" i="2"/>
  <c r="AJ1269" i="2"/>
  <c r="AE1269" i="2"/>
  <c r="AO1269" i="2"/>
  <c r="AJ1205" i="2"/>
  <c r="AE1205" i="2"/>
  <c r="AO1205" i="2"/>
  <c r="AT1813" i="2"/>
  <c r="AY1813" i="2" s="1"/>
  <c r="BH1813" i="2" s="1"/>
  <c r="AT29" i="2"/>
  <c r="AY29" i="2" s="1"/>
  <c r="BH29" i="2" s="1"/>
  <c r="AT146" i="2"/>
  <c r="AY146" i="2" s="1"/>
  <c r="BH146" i="2" s="1"/>
  <c r="AO1600" i="2"/>
  <c r="AJ1600" i="2"/>
  <c r="AE1600" i="2"/>
  <c r="AO1352" i="2"/>
  <c r="AJ1352" i="2"/>
  <c r="AE1352" i="2"/>
  <c r="AO1288" i="2"/>
  <c r="AJ1288" i="2"/>
  <c r="AE1288" i="2"/>
  <c r="AO1224" i="2"/>
  <c r="AJ1224" i="2"/>
  <c r="AE1224" i="2"/>
  <c r="AT883" i="2"/>
  <c r="AY883" i="2" s="1"/>
  <c r="BH883" i="2" s="1"/>
  <c r="AT867" i="2"/>
  <c r="AY867" i="2" s="1"/>
  <c r="BH867" i="2" s="1"/>
  <c r="AT851" i="2"/>
  <c r="AY851" i="2" s="1"/>
  <c r="BH851" i="2" s="1"/>
  <c r="AT835" i="2"/>
  <c r="AY835" i="2" s="1"/>
  <c r="BH835" i="2" s="1"/>
  <c r="AT819" i="2"/>
  <c r="AY819" i="2" s="1"/>
  <c r="BH819" i="2" s="1"/>
  <c r="AT803" i="2"/>
  <c r="AY803" i="2" s="1"/>
  <c r="BH803" i="2" s="1"/>
  <c r="AT787" i="2"/>
  <c r="AY787" i="2" s="1"/>
  <c r="BH787" i="2" s="1"/>
  <c r="AT771" i="2"/>
  <c r="AY771" i="2" s="1"/>
  <c r="BH771" i="2" s="1"/>
  <c r="AT755" i="2"/>
  <c r="AY755" i="2" s="1"/>
  <c r="BH755" i="2" s="1"/>
  <c r="AT739" i="2"/>
  <c r="AY739" i="2" s="1"/>
  <c r="BH739" i="2" s="1"/>
  <c r="AT2047" i="2"/>
  <c r="AY2047" i="2" s="1"/>
  <c r="BH2047" i="2" s="1"/>
  <c r="AJ1668" i="2"/>
  <c r="AE1668" i="2"/>
  <c r="AO1668" i="2"/>
  <c r="AJ1579" i="2"/>
  <c r="AO1579" i="2"/>
  <c r="AE1579" i="2"/>
  <c r="AO529" i="2"/>
  <c r="AJ529" i="2"/>
  <c r="AE529" i="2"/>
  <c r="AT2169" i="2"/>
  <c r="AY2169" i="2" s="1"/>
  <c r="BH2169" i="2" s="1"/>
  <c r="AO777" i="2"/>
  <c r="AE777" i="2"/>
  <c r="AJ777" i="2"/>
  <c r="AE874" i="2"/>
  <c r="AO874" i="2"/>
  <c r="AJ874" i="2"/>
  <c r="AE858" i="2"/>
  <c r="AO858" i="2"/>
  <c r="AJ858" i="2"/>
  <c r="AE842" i="2"/>
  <c r="AO842" i="2"/>
  <c r="AJ842" i="2"/>
  <c r="AE826" i="2"/>
  <c r="AO826" i="2"/>
  <c r="AJ826" i="2"/>
  <c r="AE810" i="2"/>
  <c r="AO810" i="2"/>
  <c r="AJ810" i="2"/>
  <c r="AE794" i="2"/>
  <c r="AO794" i="2"/>
  <c r="AJ794" i="2"/>
  <c r="AE778" i="2"/>
  <c r="AO778" i="2"/>
  <c r="AJ778" i="2"/>
  <c r="AE762" i="2"/>
  <c r="AO762" i="2"/>
  <c r="AJ762" i="2"/>
  <c r="AE746" i="2"/>
  <c r="AO746" i="2"/>
  <c r="AJ746" i="2"/>
  <c r="AE730" i="2"/>
  <c r="AO730" i="2"/>
  <c r="AJ730" i="2"/>
  <c r="AJ1436" i="2"/>
  <c r="AE1436" i="2"/>
  <c r="AO1436" i="2"/>
  <c r="AJ1432" i="2"/>
  <c r="AE1432" i="2"/>
  <c r="AO1432" i="2"/>
  <c r="AJ1428" i="2"/>
  <c r="AE1428" i="2"/>
  <c r="AO1428" i="2"/>
  <c r="AJ1424" i="2"/>
  <c r="AE1424" i="2"/>
  <c r="AO1424" i="2"/>
  <c r="AJ1420" i="2"/>
  <c r="AE1420" i="2"/>
  <c r="AO1420" i="2"/>
  <c r="AJ1416" i="2"/>
  <c r="AE1416" i="2"/>
  <c r="AO1416" i="2"/>
  <c r="AJ1412" i="2"/>
  <c r="AE1412" i="2"/>
  <c r="AO1412" i="2"/>
  <c r="AJ1408" i="2"/>
  <c r="AE1408" i="2"/>
  <c r="AO1408" i="2"/>
  <c r="AJ1404" i="2"/>
  <c r="AE1404" i="2"/>
  <c r="AO1404" i="2"/>
  <c r="AJ1400" i="2"/>
  <c r="AE1400" i="2"/>
  <c r="AO1400" i="2"/>
  <c r="AJ1396" i="2"/>
  <c r="AE1396" i="2"/>
  <c r="AO1396" i="2"/>
  <c r="AT1644" i="2"/>
  <c r="AY1644" i="2" s="1"/>
  <c r="BH1644" i="2" s="1"/>
  <c r="AT1397" i="2"/>
  <c r="AY1397" i="2" s="1"/>
  <c r="BH1397" i="2" s="1"/>
  <c r="AO1354" i="2"/>
  <c r="AJ1354" i="2"/>
  <c r="AE1354" i="2"/>
  <c r="AJ2267" i="2"/>
  <c r="AO2267" i="2"/>
  <c r="AE2267" i="2"/>
  <c r="AJ2235" i="2"/>
  <c r="AO2235" i="2"/>
  <c r="AE2235" i="2"/>
  <c r="AJ2203" i="2"/>
  <c r="AO2203" i="2"/>
  <c r="AE2203" i="2"/>
  <c r="AO382" i="2"/>
  <c r="AJ382" i="2"/>
  <c r="AE382" i="2"/>
  <c r="AT2059" i="2"/>
  <c r="AY2059" i="2" s="1"/>
  <c r="BH2059" i="2" s="1"/>
  <c r="AT1959" i="2"/>
  <c r="AY1959" i="2" s="1"/>
  <c r="BH1959" i="2" s="1"/>
  <c r="AT1989" i="2"/>
  <c r="AY1989" i="2" s="1"/>
  <c r="BH1989" i="2" s="1"/>
  <c r="AT1925" i="2"/>
  <c r="AY1925" i="2" s="1"/>
  <c r="BH1925" i="2" s="1"/>
  <c r="AT1861" i="2"/>
  <c r="AY1861" i="2" s="1"/>
  <c r="BH1861" i="2" s="1"/>
  <c r="AO1282" i="2"/>
  <c r="AJ1282" i="2"/>
  <c r="AE1282" i="2"/>
  <c r="AE2172" i="2"/>
  <c r="AO2172" i="2"/>
  <c r="AJ2172" i="2"/>
  <c r="AT1357" i="2"/>
  <c r="AY1357" i="2" s="1"/>
  <c r="BH1357" i="2" s="1"/>
  <c r="AT1293" i="2"/>
  <c r="AY1293" i="2" s="1"/>
  <c r="BH1293" i="2" s="1"/>
  <c r="AT1229" i="2"/>
  <c r="AY1229" i="2" s="1"/>
  <c r="BH1229" i="2" s="1"/>
  <c r="AT848" i="2"/>
  <c r="AY848" i="2" s="1"/>
  <c r="BH848" i="2" s="1"/>
  <c r="AT784" i="2"/>
  <c r="AY784" i="2" s="1"/>
  <c r="BH784" i="2" s="1"/>
  <c r="AJ395" i="2"/>
  <c r="AE395" i="2"/>
  <c r="AO395" i="2"/>
  <c r="AO138" i="2"/>
  <c r="AJ138" i="2"/>
  <c r="AE138" i="2"/>
  <c r="AO1945" i="2"/>
  <c r="AJ1945" i="2"/>
  <c r="AE1945" i="2"/>
  <c r="AT1881" i="2"/>
  <c r="AY1881" i="2" s="1"/>
  <c r="BH1881" i="2" s="1"/>
  <c r="AO1362" i="2"/>
  <c r="AJ1362" i="2"/>
  <c r="AE1362" i="2"/>
  <c r="AT474" i="2"/>
  <c r="AY474" i="2" s="1"/>
  <c r="BH474" i="2" s="1"/>
  <c r="AO2193" i="2"/>
  <c r="AJ2193" i="2"/>
  <c r="AE2193" i="2"/>
  <c r="AT2297" i="2"/>
  <c r="AY2297" i="2" s="1"/>
  <c r="BH2297" i="2" s="1"/>
  <c r="AT2273" i="2"/>
  <c r="AY2273" i="2" s="1"/>
  <c r="BH2273" i="2" s="1"/>
  <c r="AT2249" i="2"/>
  <c r="AY2249" i="2" s="1"/>
  <c r="BH2249" i="2" s="1"/>
  <c r="AT2225" i="2"/>
  <c r="AY2225" i="2" s="1"/>
  <c r="BH2225" i="2" s="1"/>
  <c r="AT2201" i="2"/>
  <c r="AY2201" i="2" s="1"/>
  <c r="BH2201" i="2" s="1"/>
  <c r="AT2251" i="2"/>
  <c r="AY2251" i="2" s="1"/>
  <c r="BH2251" i="2" s="1"/>
  <c r="AJ1467" i="2"/>
  <c r="AO1467" i="2"/>
  <c r="AE1467" i="2"/>
  <c r="AJ1451" i="2"/>
  <c r="AO1451" i="2"/>
  <c r="AE1451" i="2"/>
  <c r="AJ530" i="2"/>
  <c r="AE530" i="2"/>
  <c r="AO530" i="2"/>
  <c r="AJ229" i="2"/>
  <c r="AE229" i="2"/>
  <c r="AO229" i="2"/>
  <c r="AJ296" i="2"/>
  <c r="AE296" i="2"/>
  <c r="AO296" i="2"/>
  <c r="AT279" i="2"/>
  <c r="AY279" i="2" s="1"/>
  <c r="BH279" i="2" s="1"/>
  <c r="AT247" i="2"/>
  <c r="AY247" i="2" s="1"/>
  <c r="BH247" i="2" s="1"/>
  <c r="AT215" i="2"/>
  <c r="AY215" i="2" s="1"/>
  <c r="BH215" i="2" s="1"/>
  <c r="AT207" i="2"/>
  <c r="AY207" i="2" s="1"/>
  <c r="BH207" i="2" s="1"/>
  <c r="AT2083" i="2"/>
  <c r="AY2083" i="2" s="1"/>
  <c r="BH2083" i="2" s="1"/>
  <c r="AT1590" i="2"/>
  <c r="AY1590" i="2" s="1"/>
  <c r="BH1590" i="2" s="1"/>
  <c r="AT1582" i="2"/>
  <c r="AY1582" i="2" s="1"/>
  <c r="BH1582" i="2" s="1"/>
  <c r="AO1326" i="2"/>
  <c r="AJ1326" i="2"/>
  <c r="AE1326" i="2"/>
  <c r="AO306" i="2"/>
  <c r="AJ306" i="2"/>
  <c r="AE306" i="2"/>
  <c r="AT1846" i="2"/>
  <c r="AY1846" i="2" s="1"/>
  <c r="BH1846" i="2" s="1"/>
  <c r="AJ1481" i="2"/>
  <c r="AO1481" i="2"/>
  <c r="AE1481" i="2"/>
  <c r="AJ1477" i="2"/>
  <c r="AO1477" i="2"/>
  <c r="AE1477" i="2"/>
  <c r="AJ1507" i="2"/>
  <c r="AO1507" i="2"/>
  <c r="AE1507" i="2"/>
  <c r="AJ1497" i="2"/>
  <c r="AO1497" i="2"/>
  <c r="AE1497" i="2"/>
  <c r="AO262" i="2"/>
  <c r="AJ262" i="2"/>
  <c r="AE262" i="2"/>
  <c r="AT197" i="2"/>
  <c r="AY197" i="2" s="1"/>
  <c r="BH197" i="2" s="1"/>
  <c r="AJ80" i="2"/>
  <c r="AO80" i="2"/>
  <c r="AE80" i="2"/>
  <c r="AJ223" i="2"/>
  <c r="AO223" i="2"/>
  <c r="AE223" i="2"/>
  <c r="AO244" i="2"/>
  <c r="AJ244" i="2"/>
  <c r="AE244" i="2"/>
  <c r="AT1742" i="2"/>
  <c r="AY1742" i="2" s="1"/>
  <c r="BH1742" i="2" s="1"/>
  <c r="AT1678" i="2"/>
  <c r="AY1678" i="2" s="1"/>
  <c r="BH1678" i="2" s="1"/>
  <c r="AJ1538" i="2"/>
  <c r="AE1538" i="2"/>
  <c r="AO1538" i="2"/>
  <c r="AO1280" i="2"/>
  <c r="AJ1280" i="2"/>
  <c r="AE1280" i="2"/>
  <c r="AO877" i="2"/>
  <c r="AE877" i="2"/>
  <c r="AJ877" i="2"/>
  <c r="AO845" i="2"/>
  <c r="AE845" i="2"/>
  <c r="AJ845" i="2"/>
  <c r="AO813" i="2"/>
  <c r="AE813" i="2"/>
  <c r="AJ813" i="2"/>
  <c r="AO781" i="2"/>
  <c r="AE781" i="2"/>
  <c r="AJ781" i="2"/>
  <c r="AO749" i="2"/>
  <c r="AE749" i="2"/>
  <c r="AJ749" i="2"/>
  <c r="AT1746" i="2"/>
  <c r="AY1746" i="2" s="1"/>
  <c r="BH1746" i="2" s="1"/>
  <c r="AT1682" i="2"/>
  <c r="AY1682" i="2" s="1"/>
  <c r="BH1682" i="2" s="1"/>
  <c r="BA152" i="2"/>
  <c r="AU152" i="2"/>
  <c r="AZ152" i="2" s="1"/>
  <c r="AT1499" i="2"/>
  <c r="AY1499" i="2" s="1"/>
  <c r="BH1499" i="2" s="1"/>
  <c r="AT1495" i="2"/>
  <c r="AY1495" i="2" s="1"/>
  <c r="BH1495" i="2" s="1"/>
  <c r="AT1597" i="2"/>
  <c r="AY1597" i="2" s="1"/>
  <c r="BH1597" i="2" s="1"/>
  <c r="AJ1651" i="2"/>
  <c r="AE1651" i="2"/>
  <c r="AO1651" i="2"/>
  <c r="AT1166" i="2"/>
  <c r="AY1166" i="2" s="1"/>
  <c r="BH1166" i="2" s="1"/>
  <c r="AT1808" i="2"/>
  <c r="AY1808" i="2" s="1"/>
  <c r="BH1808" i="2" s="1"/>
  <c r="AT1792" i="2"/>
  <c r="AY1792" i="2" s="1"/>
  <c r="BH1792" i="2" s="1"/>
  <c r="AT379" i="2"/>
  <c r="AY379" i="2" s="1"/>
  <c r="BH379" i="2" s="1"/>
  <c r="AT1971" i="2"/>
  <c r="AY1971" i="2" s="1"/>
  <c r="BH1971" i="2" s="1"/>
  <c r="AE1804" i="2"/>
  <c r="AO1804" i="2"/>
  <c r="AJ1804" i="2"/>
  <c r="AJ1245" i="2"/>
  <c r="AE1245" i="2"/>
  <c r="AO1245" i="2"/>
  <c r="AJ213" i="2"/>
  <c r="AE213" i="2"/>
  <c r="AO213" i="2"/>
  <c r="AJ117" i="2"/>
  <c r="AE117" i="2"/>
  <c r="AO117" i="2"/>
  <c r="AJ1361" i="2"/>
  <c r="AE1361" i="2"/>
  <c r="AO1361" i="2"/>
  <c r="AT158" i="2"/>
  <c r="AY158" i="2" s="1"/>
  <c r="BH158" i="2" s="1"/>
  <c r="AU1145" i="2"/>
  <c r="AZ1145" i="2" s="1"/>
  <c r="BA1145" i="2"/>
  <c r="AO78" i="2"/>
  <c r="AJ78" i="2"/>
  <c r="AE78" i="2"/>
  <c r="AO1182" i="2"/>
  <c r="AJ1182" i="2"/>
  <c r="AE1182" i="2"/>
  <c r="AT250" i="2"/>
  <c r="AY250" i="2" s="1"/>
  <c r="BH250" i="2" s="1"/>
  <c r="AT236" i="2"/>
  <c r="AY236" i="2" s="1"/>
  <c r="BH236" i="2" s="1"/>
  <c r="AT466" i="2"/>
  <c r="AY466" i="2" s="1"/>
  <c r="BH466" i="2" s="1"/>
  <c r="AT206" i="2"/>
  <c r="AY206" i="2" s="1"/>
  <c r="BH206" i="2" s="1"/>
  <c r="AT94" i="2"/>
  <c r="AY94" i="2" s="1"/>
  <c r="BH94" i="2" s="1"/>
  <c r="AT88" i="2"/>
  <c r="AY88" i="2" s="1"/>
  <c r="BH88" i="2" s="1"/>
  <c r="AT82" i="2"/>
  <c r="AY82" i="2" s="1"/>
  <c r="BH82" i="2" s="1"/>
  <c r="AT1271" i="2"/>
  <c r="AY1271" i="2" s="1"/>
  <c r="BH1271" i="2" s="1"/>
  <c r="AT2417" i="2"/>
  <c r="AY2417" i="2" s="1"/>
  <c r="BH2417" i="2" s="1"/>
  <c r="AT1850" i="2"/>
  <c r="AY1850" i="2" s="1"/>
  <c r="BH1850" i="2" s="1"/>
  <c r="AJ1621" i="2"/>
  <c r="AE1621" i="2"/>
  <c r="AO1621" i="2"/>
  <c r="AT871" i="2"/>
  <c r="AY871" i="2" s="1"/>
  <c r="BH871" i="2" s="1"/>
  <c r="AT855" i="2"/>
  <c r="AY855" i="2" s="1"/>
  <c r="BH855" i="2" s="1"/>
  <c r="AT839" i="2"/>
  <c r="AY839" i="2" s="1"/>
  <c r="BH839" i="2" s="1"/>
  <c r="AT823" i="2"/>
  <c r="AY823" i="2" s="1"/>
  <c r="BH823" i="2" s="1"/>
  <c r="AT807" i="2"/>
  <c r="AY807" i="2" s="1"/>
  <c r="BH807" i="2" s="1"/>
  <c r="AT791" i="2"/>
  <c r="AY791" i="2" s="1"/>
  <c r="BH791" i="2" s="1"/>
  <c r="AT775" i="2"/>
  <c r="AY775" i="2" s="1"/>
  <c r="BH775" i="2" s="1"/>
  <c r="AT759" i="2"/>
  <c r="AY759" i="2" s="1"/>
  <c r="BH759" i="2" s="1"/>
  <c r="AT743" i="2"/>
  <c r="AY743" i="2" s="1"/>
  <c r="BH743" i="2" s="1"/>
  <c r="AT727" i="2"/>
  <c r="AY727" i="2" s="1"/>
  <c r="BH727" i="2" s="1"/>
  <c r="AJ2271" i="2"/>
  <c r="AO2271" i="2"/>
  <c r="AE2271" i="2"/>
  <c r="AJ2207" i="2"/>
  <c r="AO2207" i="2"/>
  <c r="AE2207" i="2"/>
  <c r="AJ1317" i="2"/>
  <c r="AE1317" i="2"/>
  <c r="AO1317" i="2"/>
  <c r="AJ1253" i="2"/>
  <c r="AE1253" i="2"/>
  <c r="AO1253" i="2"/>
  <c r="AJ1189" i="2"/>
  <c r="AE1189" i="2"/>
  <c r="AO1189" i="2"/>
  <c r="AJ483" i="2"/>
  <c r="AE483" i="2"/>
  <c r="AO483" i="2"/>
  <c r="AJ473" i="2"/>
  <c r="AE473" i="2"/>
  <c r="AO473" i="2"/>
  <c r="AJ165" i="2"/>
  <c r="AE165" i="2"/>
  <c r="AO165" i="2"/>
  <c r="AJ141" i="2"/>
  <c r="AE141" i="2"/>
  <c r="AO141" i="2"/>
  <c r="AO2181" i="2"/>
  <c r="AJ2181" i="2"/>
  <c r="AE2181" i="2"/>
  <c r="AO1847" i="2"/>
  <c r="AJ1847" i="2"/>
  <c r="AE1847" i="2"/>
  <c r="AT2144" i="2"/>
  <c r="AY2144" i="2" s="1"/>
  <c r="BH2144" i="2" s="1"/>
  <c r="AT2179" i="2"/>
  <c r="AY2179" i="2" s="1"/>
  <c r="BH2179" i="2" s="1"/>
  <c r="AO1318" i="2"/>
  <c r="AJ1318" i="2"/>
  <c r="AE1318" i="2"/>
  <c r="AT1753" i="2"/>
  <c r="AY1753" i="2" s="1"/>
  <c r="BH1753" i="2" s="1"/>
  <c r="AT1737" i="2"/>
  <c r="AY1737" i="2" s="1"/>
  <c r="BH1737" i="2" s="1"/>
  <c r="AT1721" i="2"/>
  <c r="AY1721" i="2" s="1"/>
  <c r="BH1721" i="2" s="1"/>
  <c r="AT1705" i="2"/>
  <c r="AY1705" i="2" s="1"/>
  <c r="BH1705" i="2" s="1"/>
  <c r="AT1689" i="2"/>
  <c r="AY1689" i="2" s="1"/>
  <c r="BH1689" i="2" s="1"/>
  <c r="AT1673" i="2"/>
  <c r="AY1673" i="2" s="1"/>
  <c r="BH1673" i="2" s="1"/>
  <c r="AT1612" i="2"/>
  <c r="AY1612" i="2" s="1"/>
  <c r="BH1612" i="2" s="1"/>
  <c r="AO1194" i="2"/>
  <c r="AJ1194" i="2"/>
  <c r="AE1194" i="2"/>
  <c r="AO1134" i="2"/>
  <c r="AE1134" i="2"/>
  <c r="AJ1134" i="2"/>
  <c r="AO1126" i="2"/>
  <c r="AE1126" i="2"/>
  <c r="AJ1126" i="2"/>
  <c r="AO1118" i="2"/>
  <c r="AE1118" i="2"/>
  <c r="AJ1118" i="2"/>
  <c r="AO1110" i="2"/>
  <c r="AE1110" i="2"/>
  <c r="AJ1110" i="2"/>
  <c r="AO1102" i="2"/>
  <c r="AE1102" i="2"/>
  <c r="AJ1102" i="2"/>
  <c r="AO1094" i="2"/>
  <c r="AE1094" i="2"/>
  <c r="AJ1094" i="2"/>
  <c r="AO1086" i="2"/>
  <c r="AE1086" i="2"/>
  <c r="AJ1086" i="2"/>
  <c r="AO1078" i="2"/>
  <c r="AE1078" i="2"/>
  <c r="AJ1078" i="2"/>
  <c r="AO1070" i="2"/>
  <c r="AE1070" i="2"/>
  <c r="AJ1070" i="2"/>
  <c r="AO1062" i="2"/>
  <c r="AE1062" i="2"/>
  <c r="AJ1062" i="2"/>
  <c r="AO1054" i="2"/>
  <c r="AE1054" i="2"/>
  <c r="AJ1054" i="2"/>
  <c r="AT2048" i="2"/>
  <c r="AY2048" i="2" s="1"/>
  <c r="BH2048" i="2" s="1"/>
  <c r="AJ1583" i="2"/>
  <c r="AE1583" i="2"/>
  <c r="AO1583" i="2"/>
  <c r="AT808" i="2"/>
  <c r="AY808" i="2" s="1"/>
  <c r="BH808" i="2" s="1"/>
  <c r="AT1755" i="2"/>
  <c r="AY1755" i="2" s="1"/>
  <c r="BH1755" i="2" s="1"/>
  <c r="AT1747" i="2"/>
  <c r="AY1747" i="2" s="1"/>
  <c r="BH1747" i="2" s="1"/>
  <c r="AT1735" i="2"/>
  <c r="AY1735" i="2" s="1"/>
  <c r="BH1735" i="2" s="1"/>
  <c r="AT1719" i="2"/>
  <c r="AY1719" i="2" s="1"/>
  <c r="BH1719" i="2" s="1"/>
  <c r="AT1707" i="2"/>
  <c r="AY1707" i="2" s="1"/>
  <c r="BH1707" i="2" s="1"/>
  <c r="AT1695" i="2"/>
  <c r="AY1695" i="2" s="1"/>
  <c r="BH1695" i="2" s="1"/>
  <c r="AT1683" i="2"/>
  <c r="AY1683" i="2" s="1"/>
  <c r="BH1683" i="2" s="1"/>
  <c r="AT154" i="2"/>
  <c r="AY154" i="2" s="1"/>
  <c r="BH154" i="2" s="1"/>
  <c r="AT410" i="2"/>
  <c r="AY410" i="2" s="1"/>
  <c r="BH410" i="2" s="1"/>
  <c r="AO274" i="2"/>
  <c r="AJ274" i="2"/>
  <c r="AE274" i="2"/>
  <c r="AJ1442" i="2"/>
  <c r="AE1442" i="2"/>
  <c r="AO1442" i="2"/>
  <c r="AT2495" i="2"/>
  <c r="AY2495" i="2" s="1"/>
  <c r="BH2495" i="2" s="1"/>
  <c r="AT2487" i="2"/>
  <c r="AY2487" i="2" s="1"/>
  <c r="BH2487" i="2" s="1"/>
  <c r="AO220" i="2"/>
  <c r="AJ220" i="2"/>
  <c r="AE220" i="2"/>
  <c r="AO34" i="2"/>
  <c r="AE34" i="2"/>
  <c r="AJ34" i="2"/>
  <c r="AT2471" i="2"/>
  <c r="AY2471" i="2" s="1"/>
  <c r="BH2471" i="2" s="1"/>
  <c r="AO875" i="2"/>
  <c r="AE875" i="2"/>
  <c r="AJ875" i="2"/>
  <c r="AO859" i="2"/>
  <c r="AE859" i="2"/>
  <c r="AJ859" i="2"/>
  <c r="AO843" i="2"/>
  <c r="AE843" i="2"/>
  <c r="AJ843" i="2"/>
  <c r="AO827" i="2"/>
  <c r="AE827" i="2"/>
  <c r="AJ827" i="2"/>
  <c r="AO811" i="2"/>
  <c r="AE811" i="2"/>
  <c r="AJ811" i="2"/>
  <c r="AO795" i="2"/>
  <c r="AE795" i="2"/>
  <c r="AJ795" i="2"/>
  <c r="AO779" i="2"/>
  <c r="AE779" i="2"/>
  <c r="AJ779" i="2"/>
  <c r="AO763" i="2"/>
  <c r="AE763" i="2"/>
  <c r="AJ763" i="2"/>
  <c r="AO747" i="2"/>
  <c r="AE747" i="2"/>
  <c r="AJ747" i="2"/>
  <c r="AO731" i="2"/>
  <c r="AE731" i="2"/>
  <c r="AJ731" i="2"/>
  <c r="AO2435" i="2"/>
  <c r="AJ2435" i="2"/>
  <c r="AE2435" i="2"/>
  <c r="AT2199" i="2"/>
  <c r="AY2199" i="2" s="1"/>
  <c r="BH2199" i="2" s="1"/>
  <c r="AJ93" i="2"/>
  <c r="AE93" i="2"/>
  <c r="AO93" i="2"/>
  <c r="AJ61" i="2"/>
  <c r="AE61" i="2"/>
  <c r="AO61" i="2"/>
  <c r="AJ1627" i="2"/>
  <c r="AE1627" i="2"/>
  <c r="AO1627" i="2"/>
  <c r="AJ1573" i="2"/>
  <c r="AO1573" i="2"/>
  <c r="AE1573" i="2"/>
  <c r="AJ1557" i="2"/>
  <c r="AO1557" i="2"/>
  <c r="AE1557" i="2"/>
  <c r="AJ1388" i="2"/>
  <c r="AE1388" i="2"/>
  <c r="AO1388" i="2"/>
  <c r="AT301" i="2"/>
  <c r="AY301" i="2" s="1"/>
  <c r="BH301" i="2" s="1"/>
  <c r="AT411" i="2"/>
  <c r="AY411" i="2" s="1"/>
  <c r="BH411" i="2" s="1"/>
  <c r="AO126" i="2"/>
  <c r="AJ126" i="2"/>
  <c r="AE126" i="2"/>
  <c r="AT1754" i="2"/>
  <c r="AY1754" i="2" s="1"/>
  <c r="BH1754" i="2" s="1"/>
  <c r="AT1690" i="2"/>
  <c r="AY1690" i="2" s="1"/>
  <c r="BH1690" i="2" s="1"/>
  <c r="AT441" i="2"/>
  <c r="AY441" i="2" s="1"/>
  <c r="BH441" i="2" s="1"/>
  <c r="AO1184" i="2"/>
  <c r="AJ1184" i="2"/>
  <c r="AE1184" i="2"/>
  <c r="AT1985" i="2"/>
  <c r="AY1985" i="2" s="1"/>
  <c r="BH1985" i="2" s="1"/>
  <c r="AT1921" i="2"/>
  <c r="AY1921" i="2" s="1"/>
  <c r="BH1921" i="2" s="1"/>
  <c r="AT130" i="2"/>
  <c r="AY130" i="2" s="1"/>
  <c r="BH130" i="2" s="1"/>
  <c r="AO1797" i="2"/>
  <c r="AJ1797" i="2"/>
  <c r="AE1797" i="2"/>
  <c r="AO1781" i="2"/>
  <c r="AJ1781" i="2"/>
  <c r="AE1781" i="2"/>
  <c r="AO1765" i="2"/>
  <c r="AJ1765" i="2"/>
  <c r="AE1765" i="2"/>
  <c r="AT1368" i="2"/>
  <c r="AY1368" i="2" s="1"/>
  <c r="BH1368" i="2" s="1"/>
  <c r="AT526" i="2"/>
  <c r="AY526" i="2" s="1"/>
  <c r="BH526" i="2" s="1"/>
  <c r="AT524" i="2"/>
  <c r="AY524" i="2" s="1"/>
  <c r="BH524" i="2" s="1"/>
  <c r="AJ291" i="2"/>
  <c r="AE291" i="2"/>
  <c r="AO291" i="2"/>
  <c r="AJ227" i="2"/>
  <c r="AE227" i="2"/>
  <c r="AO227" i="2"/>
  <c r="AT449" i="2"/>
  <c r="AY449" i="2" s="1"/>
  <c r="BH449" i="2" s="1"/>
  <c r="AE2430" i="2"/>
  <c r="AO2430" i="2"/>
  <c r="AJ2430" i="2"/>
  <c r="AT2391" i="2"/>
  <c r="AY2391" i="2" s="1"/>
  <c r="BH2391" i="2" s="1"/>
  <c r="AT2351" i="2"/>
  <c r="AY2351" i="2" s="1"/>
  <c r="BH2351" i="2" s="1"/>
  <c r="AT2343" i="2"/>
  <c r="AY2343" i="2" s="1"/>
  <c r="BH2343" i="2" s="1"/>
  <c r="AT2327" i="2"/>
  <c r="AY2327" i="2" s="1"/>
  <c r="BH2327" i="2" s="1"/>
  <c r="AT2319" i="2"/>
  <c r="AY2319" i="2" s="1"/>
  <c r="BH2319" i="2" s="1"/>
  <c r="AT2190" i="2"/>
  <c r="AY2190" i="2" s="1"/>
  <c r="BH2190" i="2" s="1"/>
  <c r="AE1780" i="2"/>
  <c r="AO1780" i="2"/>
  <c r="AJ1780" i="2"/>
  <c r="AE1764" i="2"/>
  <c r="AO1764" i="2"/>
  <c r="AJ1764" i="2"/>
  <c r="AO1618" i="2"/>
  <c r="AJ1618" i="2"/>
  <c r="AE1618" i="2"/>
  <c r="AT1640" i="2"/>
  <c r="AY1640" i="2" s="1"/>
  <c r="BH1640" i="2" s="1"/>
  <c r="AT1328" i="2"/>
  <c r="AY1328" i="2" s="1"/>
  <c r="BH1328" i="2" s="1"/>
  <c r="AO2429" i="2"/>
  <c r="AJ2429" i="2"/>
  <c r="AE2429" i="2"/>
  <c r="AT1374" i="2"/>
  <c r="AY1374" i="2" s="1"/>
  <c r="BH1374" i="2" s="1"/>
  <c r="AJ2287" i="2"/>
  <c r="AO2287" i="2"/>
  <c r="AE2287" i="2"/>
  <c r="AJ2223" i="2"/>
  <c r="AO2223" i="2"/>
  <c r="AE2223" i="2"/>
  <c r="AE1101" i="2"/>
  <c r="AO1101" i="2"/>
  <c r="AJ1101" i="2"/>
  <c r="AE760" i="2"/>
  <c r="AO760" i="2"/>
  <c r="AJ760" i="2"/>
  <c r="AT261" i="2"/>
  <c r="AY261" i="2" s="1"/>
  <c r="BH261" i="2" s="1"/>
  <c r="AT419" i="2"/>
  <c r="AY419" i="2" s="1"/>
  <c r="BH419" i="2" s="1"/>
  <c r="AJ249" i="2"/>
  <c r="AE249" i="2"/>
  <c r="AO249" i="2"/>
  <c r="AT2105" i="2"/>
  <c r="AY2105" i="2" s="1"/>
  <c r="BH2105" i="2" s="1"/>
  <c r="AJ1433" i="2"/>
  <c r="AO1433" i="2"/>
  <c r="AE1433" i="2"/>
  <c r="AT1150" i="2"/>
  <c r="AY1150" i="2" s="1"/>
  <c r="BH1150" i="2" s="1"/>
  <c r="AT1146" i="2"/>
  <c r="AY1146" i="2" s="1"/>
  <c r="BH1146" i="2" s="1"/>
  <c r="AT1142" i="2"/>
  <c r="AY1142" i="2" s="1"/>
  <c r="BH1142" i="2" s="1"/>
  <c r="AT491" i="2"/>
  <c r="AY491" i="2" s="1"/>
  <c r="BH491" i="2" s="1"/>
  <c r="AE2468" i="2"/>
  <c r="AO2468" i="2"/>
  <c r="AJ2468" i="2"/>
  <c r="AO2388" i="2"/>
  <c r="AJ2388" i="2"/>
  <c r="AE2388" i="2"/>
  <c r="AO2380" i="2"/>
  <c r="AJ2380" i="2"/>
  <c r="AE2380" i="2"/>
  <c r="AO2372" i="2"/>
  <c r="AJ2372" i="2"/>
  <c r="AE2372" i="2"/>
  <c r="AO2364" i="2"/>
  <c r="AJ2364" i="2"/>
  <c r="AE2364" i="2"/>
  <c r="AO2356" i="2"/>
  <c r="AJ2356" i="2"/>
  <c r="AE2356" i="2"/>
  <c r="AO2348" i="2"/>
  <c r="AJ2348" i="2"/>
  <c r="AE2348" i="2"/>
  <c r="AO2340" i="2"/>
  <c r="AJ2340" i="2"/>
  <c r="AE2340" i="2"/>
  <c r="AO2332" i="2"/>
  <c r="AJ2332" i="2"/>
  <c r="AE2332" i="2"/>
  <c r="AO2324" i="2"/>
  <c r="AJ2324" i="2"/>
  <c r="AE2324" i="2"/>
  <c r="AO2316" i="2"/>
  <c r="AJ2316" i="2"/>
  <c r="AE2316" i="2"/>
  <c r="AT1634" i="2"/>
  <c r="AY1634" i="2" s="1"/>
  <c r="BH1634" i="2" s="1"/>
  <c r="AT1411" i="2"/>
  <c r="AY1411" i="2" s="1"/>
  <c r="BH1411" i="2" s="1"/>
  <c r="AT1395" i="2"/>
  <c r="AY1395" i="2" s="1"/>
  <c r="BH1395" i="2" s="1"/>
  <c r="AO1342" i="2"/>
  <c r="AJ1342" i="2"/>
  <c r="AE1342" i="2"/>
  <c r="AO2455" i="2"/>
  <c r="AJ2455" i="2"/>
  <c r="AE2455" i="2"/>
  <c r="AO1929" i="2"/>
  <c r="AJ1929" i="2"/>
  <c r="AE1929" i="2"/>
  <c r="AT1865" i="2"/>
  <c r="AY1865" i="2" s="1"/>
  <c r="BH1865" i="2" s="1"/>
  <c r="AE1175" i="2"/>
  <c r="AO1175" i="2"/>
  <c r="AJ1175" i="2"/>
  <c r="AE1173" i="2"/>
  <c r="AO1173" i="2"/>
  <c r="AJ1173" i="2"/>
  <c r="AE1171" i="2"/>
  <c r="AO1171" i="2"/>
  <c r="AJ1171" i="2"/>
  <c r="AE1169" i="2"/>
  <c r="AO1169" i="2"/>
  <c r="AJ1169" i="2"/>
  <c r="AE1167" i="2"/>
  <c r="AO1167" i="2"/>
  <c r="AJ1167" i="2"/>
  <c r="AE1165" i="2"/>
  <c r="AO1165" i="2"/>
  <c r="AJ1165" i="2"/>
  <c r="AE1163" i="2"/>
  <c r="AO1163" i="2"/>
  <c r="AJ1163" i="2"/>
  <c r="AE1161" i="2"/>
  <c r="AO1161" i="2"/>
  <c r="AJ1161" i="2"/>
  <c r="AE1159" i="2"/>
  <c r="AO1159" i="2"/>
  <c r="AJ1159" i="2"/>
  <c r="AE1157" i="2"/>
  <c r="AO1157" i="2"/>
  <c r="AJ1157" i="2"/>
  <c r="AE1155" i="2"/>
  <c r="AO1155" i="2"/>
  <c r="AJ1155" i="2"/>
  <c r="AE1153" i="2"/>
  <c r="AO1153" i="2"/>
  <c r="AJ1153" i="2"/>
  <c r="AO553" i="2"/>
  <c r="AJ553" i="2"/>
  <c r="AE553" i="2"/>
  <c r="AJ269" i="2"/>
  <c r="AE269" i="2"/>
  <c r="AO269" i="2"/>
  <c r="AJ433" i="2"/>
  <c r="AE433" i="2"/>
  <c r="AO433" i="2"/>
  <c r="BA396" i="2"/>
  <c r="AU396" i="2"/>
  <c r="AZ396" i="2" s="1"/>
  <c r="AT503" i="2"/>
  <c r="AY503" i="2" s="1"/>
  <c r="BH503" i="2" s="1"/>
  <c r="AT499" i="2"/>
  <c r="AY499" i="2" s="1"/>
  <c r="BH499" i="2" s="1"/>
  <c r="AT495" i="2"/>
  <c r="AY495" i="2" s="1"/>
  <c r="BH495" i="2" s="1"/>
  <c r="AJ1578" i="2"/>
  <c r="AE1578" i="2"/>
  <c r="AO1578" i="2"/>
  <c r="AJ1574" i="2"/>
  <c r="AE1574" i="2"/>
  <c r="AO1574" i="2"/>
  <c r="AJ1570" i="2"/>
  <c r="AE1570" i="2"/>
  <c r="AO1570" i="2"/>
  <c r="AJ1566" i="2"/>
  <c r="AE1566" i="2"/>
  <c r="AO1566" i="2"/>
  <c r="AJ1562" i="2"/>
  <c r="AE1562" i="2"/>
  <c r="AO1562" i="2"/>
  <c r="AJ1558" i="2"/>
  <c r="AE1558" i="2"/>
  <c r="AO1558" i="2"/>
  <c r="AJ1554" i="2"/>
  <c r="AE1554" i="2"/>
  <c r="AO1554" i="2"/>
  <c r="AJ1550" i="2"/>
  <c r="AE1550" i="2"/>
  <c r="AO1550" i="2"/>
  <c r="AJ1546" i="2"/>
  <c r="AE1546" i="2"/>
  <c r="AO1546" i="2"/>
  <c r="AT423" i="2"/>
  <c r="AY423" i="2" s="1"/>
  <c r="BH423" i="2" s="1"/>
  <c r="AT1431" i="2"/>
  <c r="AY1431" i="2" s="1"/>
  <c r="BH1431" i="2" s="1"/>
  <c r="AT2091" i="2"/>
  <c r="AY2091" i="2" s="1"/>
  <c r="BH2091" i="2" s="1"/>
  <c r="AE1121" i="2"/>
  <c r="AO1121" i="2"/>
  <c r="AJ1121" i="2"/>
  <c r="AJ1355" i="2"/>
  <c r="AE1355" i="2"/>
  <c r="AO1355" i="2"/>
  <c r="AJ1291" i="2"/>
  <c r="AE1291" i="2"/>
  <c r="AO1291" i="2"/>
  <c r="AJ1227" i="2"/>
  <c r="AE1227" i="2"/>
  <c r="AO1227" i="2"/>
  <c r="AT1103" i="2"/>
  <c r="AY1103" i="2" s="1"/>
  <c r="BH1103" i="2" s="1"/>
  <c r="AJ469" i="2"/>
  <c r="AE469" i="2"/>
  <c r="AO469" i="2"/>
  <c r="AJ421" i="2"/>
  <c r="AE421" i="2"/>
  <c r="AO421" i="2"/>
  <c r="AJ397" i="2"/>
  <c r="AE397" i="2"/>
  <c r="AO397" i="2"/>
  <c r="AJ516" i="2"/>
  <c r="AE516" i="2"/>
  <c r="AO516" i="2"/>
  <c r="AE2111" i="2"/>
  <c r="AO2111" i="2"/>
  <c r="AJ2111" i="2"/>
  <c r="AT1838" i="2"/>
  <c r="AY1838" i="2" s="1"/>
  <c r="BH1838" i="2" s="1"/>
  <c r="AJ321" i="2"/>
  <c r="AE321" i="2"/>
  <c r="AO321" i="2"/>
  <c r="AJ315" i="2"/>
  <c r="AE315" i="2"/>
  <c r="AO315" i="2"/>
  <c r="AT2167" i="2"/>
  <c r="AY2167" i="2" s="1"/>
  <c r="BH2167" i="2" s="1"/>
  <c r="AJ2221" i="2"/>
  <c r="AE2221" i="2"/>
  <c r="AO2221" i="2"/>
  <c r="AO2463" i="2"/>
  <c r="AJ2463" i="2"/>
  <c r="AE2463" i="2"/>
  <c r="AT173" i="2"/>
  <c r="AY173" i="2" s="1"/>
  <c r="BH173" i="2" s="1"/>
  <c r="AT2005" i="2"/>
  <c r="AY2005" i="2" s="1"/>
  <c r="BH2005" i="2" s="1"/>
  <c r="AT1941" i="2"/>
  <c r="AY1941" i="2" s="1"/>
  <c r="BH1941" i="2" s="1"/>
  <c r="AT1877" i="2"/>
  <c r="AY1877" i="2" s="1"/>
  <c r="BH1877" i="2" s="1"/>
  <c r="AT828" i="2"/>
  <c r="AY828" i="2" s="1"/>
  <c r="BH828" i="2" s="1"/>
  <c r="AT764" i="2"/>
  <c r="AY764" i="2" s="1"/>
  <c r="BH764" i="2" s="1"/>
  <c r="AE707" i="2"/>
  <c r="AO707" i="2"/>
  <c r="AJ707" i="2"/>
  <c r="AE691" i="2"/>
  <c r="AO691" i="2"/>
  <c r="AJ691" i="2"/>
  <c r="AE675" i="2"/>
  <c r="AO675" i="2"/>
  <c r="AJ675" i="2"/>
  <c r="AE659" i="2"/>
  <c r="AO659" i="2"/>
  <c r="AJ659" i="2"/>
  <c r="AE643" i="2"/>
  <c r="AO643" i="2"/>
  <c r="AJ643" i="2"/>
  <c r="AE627" i="2"/>
  <c r="AO627" i="2"/>
  <c r="AJ627" i="2"/>
  <c r="AJ19" i="2"/>
  <c r="AO19" i="2"/>
  <c r="AE19" i="2"/>
  <c r="AE50" i="2"/>
  <c r="AJ50" i="2"/>
  <c r="AO50" i="2"/>
  <c r="AT110" i="2"/>
  <c r="AY110" i="2" s="1"/>
  <c r="BH110" i="2" s="1"/>
  <c r="AJ2309" i="2"/>
  <c r="AE2309" i="2"/>
  <c r="AO2309" i="2"/>
  <c r="AJ2301" i="2"/>
  <c r="AE2301" i="2"/>
  <c r="AO2301" i="2"/>
  <c r="AJ2076" i="2"/>
  <c r="AE2076" i="2"/>
  <c r="AO2076" i="2"/>
  <c r="AO1178" i="2"/>
  <c r="AJ1178" i="2"/>
  <c r="AE1178" i="2"/>
  <c r="AT549" i="2"/>
  <c r="AY549" i="2" s="1"/>
  <c r="BH549" i="2" s="1"/>
  <c r="AT1427" i="2"/>
  <c r="AY1427" i="2" s="1"/>
  <c r="BH1427" i="2" s="1"/>
  <c r="AT1216" i="2"/>
  <c r="AY1216" i="2" s="1"/>
  <c r="BH1216" i="2" s="1"/>
  <c r="AT2052" i="2"/>
  <c r="AY2052" i="2" s="1"/>
  <c r="BH2052" i="2" s="1"/>
  <c r="AT1581" i="2"/>
  <c r="AY1581" i="2" s="1"/>
  <c r="BH1581" i="2" s="1"/>
  <c r="BA927" i="2"/>
  <c r="AU927" i="2"/>
  <c r="AZ927" i="2" s="1"/>
  <c r="BA911" i="2"/>
  <c r="AU911" i="2"/>
  <c r="AZ911" i="2" s="1"/>
  <c r="BA895" i="2"/>
  <c r="AU895" i="2"/>
  <c r="AZ895" i="2" s="1"/>
  <c r="AE679" i="2"/>
  <c r="AO679" i="2"/>
  <c r="AJ679" i="2"/>
  <c r="AO1047" i="2"/>
  <c r="AJ1047" i="2"/>
  <c r="AE1047" i="2"/>
  <c r="AT323" i="2"/>
  <c r="AY323" i="2" s="1"/>
  <c r="BH323" i="2" s="1"/>
  <c r="AT502" i="2"/>
  <c r="AY502" i="2" s="1"/>
  <c r="BH502" i="2" s="1"/>
  <c r="AT1390" i="2"/>
  <c r="AY1390" i="2" s="1"/>
  <c r="BH1390" i="2" s="1"/>
  <c r="AJ485" i="2"/>
  <c r="AE485" i="2"/>
  <c r="AO485" i="2"/>
  <c r="AJ453" i="2"/>
  <c r="AE453" i="2"/>
  <c r="AO453" i="2"/>
  <c r="AJ405" i="2"/>
  <c r="AE405" i="2"/>
  <c r="AO405" i="2"/>
  <c r="AJ389" i="2"/>
  <c r="AE389" i="2"/>
  <c r="AO389" i="2"/>
  <c r="AJ381" i="2"/>
  <c r="AE381" i="2"/>
  <c r="AO381" i="2"/>
  <c r="AT2439" i="2"/>
  <c r="AY2439" i="2" s="1"/>
  <c r="BH2439" i="2" s="1"/>
  <c r="AT479" i="2"/>
  <c r="AY479" i="2" s="1"/>
  <c r="BH479" i="2" s="1"/>
  <c r="BA256" i="2"/>
  <c r="AU256" i="2"/>
  <c r="AZ256" i="2" s="1"/>
  <c r="BA4" i="2"/>
  <c r="AU4" i="2"/>
  <c r="AZ4" i="2" s="1"/>
  <c r="AT1840" i="2"/>
  <c r="AY1840" i="2" s="1"/>
  <c r="BH1840" i="2" s="1"/>
  <c r="AO218" i="2"/>
  <c r="AJ218" i="2"/>
  <c r="AE218" i="2"/>
  <c r="AJ67" i="2"/>
  <c r="AE67" i="2"/>
  <c r="AO67" i="2"/>
  <c r="AT504" i="2"/>
  <c r="AY504" i="2" s="1"/>
  <c r="BH504" i="2" s="1"/>
  <c r="AT500" i="2"/>
  <c r="AY500" i="2" s="1"/>
  <c r="BH500" i="2" s="1"/>
  <c r="AT496" i="2"/>
  <c r="AY496" i="2" s="1"/>
  <c r="BH496" i="2" s="1"/>
  <c r="AE2400" i="2"/>
  <c r="AO2400" i="2"/>
  <c r="AJ2400" i="2"/>
  <c r="AT439" i="2"/>
  <c r="AY439" i="2" s="1"/>
  <c r="BH439" i="2" s="1"/>
  <c r="AJ71" i="2"/>
  <c r="AO71" i="2"/>
  <c r="AE71" i="2"/>
  <c r="AJ39" i="2"/>
  <c r="AO39" i="2"/>
  <c r="AE39" i="2"/>
  <c r="AJ7" i="2"/>
  <c r="AO7" i="2"/>
  <c r="AE7" i="2"/>
  <c r="BA104" i="2"/>
  <c r="AU104" i="2"/>
  <c r="AZ104" i="2" s="1"/>
  <c r="AT27" i="2"/>
  <c r="AY27" i="2" s="1"/>
  <c r="BH27" i="2" s="1"/>
  <c r="AJ1485" i="2"/>
  <c r="AO1485" i="2"/>
  <c r="AE1485" i="2"/>
  <c r="AJ1643" i="2"/>
  <c r="AE1643" i="2"/>
  <c r="AO1643" i="2"/>
  <c r="AT1185" i="2"/>
  <c r="AY1185" i="2" s="1"/>
  <c r="BH1185" i="2" s="1"/>
  <c r="AT1073" i="2"/>
  <c r="AY1073" i="2" s="1"/>
  <c r="BH1073" i="2" s="1"/>
  <c r="AO1240" i="2"/>
  <c r="AJ1240" i="2"/>
  <c r="AE1240" i="2"/>
  <c r="AO294" i="2"/>
  <c r="AJ294" i="2"/>
  <c r="AE294" i="2"/>
  <c r="AT512" i="2"/>
  <c r="AY512" i="2" s="1"/>
  <c r="BH512" i="2" s="1"/>
  <c r="AT307" i="2"/>
  <c r="AY307" i="2" s="1"/>
  <c r="BH307" i="2" s="1"/>
  <c r="BA160" i="2"/>
  <c r="AU160" i="2"/>
  <c r="AZ160" i="2" s="1"/>
  <c r="AO1226" i="2"/>
  <c r="AJ1226" i="2"/>
  <c r="AE1226" i="2"/>
  <c r="AT303" i="2"/>
  <c r="AY303" i="2" s="1"/>
  <c r="BH303" i="2" s="1"/>
  <c r="AT271" i="2"/>
  <c r="AY271" i="2" s="1"/>
  <c r="BH271" i="2" s="1"/>
  <c r="AO416" i="2"/>
  <c r="AJ416" i="2"/>
  <c r="AE416" i="2"/>
  <c r="AO1991" i="2"/>
  <c r="AJ1991" i="2"/>
  <c r="AE1991" i="2"/>
  <c r="AO1284" i="2"/>
  <c r="AJ1284" i="2"/>
  <c r="AE1284" i="2"/>
  <c r="BA204" i="2"/>
  <c r="AU204" i="2"/>
  <c r="AZ204" i="2" s="1"/>
  <c r="BA140" i="2"/>
  <c r="AU140" i="2"/>
  <c r="AZ140" i="2" s="1"/>
  <c r="AJ1607" i="2"/>
  <c r="AE1607" i="2"/>
  <c r="AO1607" i="2"/>
  <c r="AE90" i="2"/>
  <c r="AJ90" i="2"/>
  <c r="AO90" i="2"/>
  <c r="AT2155" i="2"/>
  <c r="AY2155" i="2" s="1"/>
  <c r="BH2155" i="2" s="1"/>
  <c r="AT2114" i="2"/>
  <c r="AY2114" i="2" s="1"/>
  <c r="BH2114" i="2" s="1"/>
  <c r="AT1369" i="2"/>
  <c r="AY1369" i="2" s="1"/>
  <c r="BH1369" i="2" s="1"/>
  <c r="AT1305" i="2"/>
  <c r="AY1305" i="2" s="1"/>
  <c r="BH1305" i="2" s="1"/>
  <c r="AT1241" i="2"/>
  <c r="AY1241" i="2" s="1"/>
  <c r="BH1241" i="2" s="1"/>
  <c r="AT1177" i="2"/>
  <c r="AY1177" i="2" s="1"/>
  <c r="BH1177" i="2" s="1"/>
  <c r="AE878" i="2"/>
  <c r="AO878" i="2"/>
  <c r="AJ878" i="2"/>
  <c r="AE862" i="2"/>
  <c r="AO862" i="2"/>
  <c r="AJ862" i="2"/>
  <c r="AE846" i="2"/>
  <c r="AO846" i="2"/>
  <c r="AJ846" i="2"/>
  <c r="AE830" i="2"/>
  <c r="AO830" i="2"/>
  <c r="AJ830" i="2"/>
  <c r="AE814" i="2"/>
  <c r="AO814" i="2"/>
  <c r="AJ814" i="2"/>
  <c r="AE798" i="2"/>
  <c r="AO798" i="2"/>
  <c r="AJ798" i="2"/>
  <c r="AE782" i="2"/>
  <c r="AO782" i="2"/>
  <c r="AJ782" i="2"/>
  <c r="AE766" i="2"/>
  <c r="AO766" i="2"/>
  <c r="AJ766" i="2"/>
  <c r="AE750" i="2"/>
  <c r="AO750" i="2"/>
  <c r="AJ750" i="2"/>
  <c r="AE734" i="2"/>
  <c r="AO734" i="2"/>
  <c r="AJ734" i="2"/>
  <c r="AE726" i="2"/>
  <c r="AO726" i="2"/>
  <c r="AJ726" i="2"/>
  <c r="AE1824" i="2"/>
  <c r="AO1824" i="2"/>
  <c r="AJ1824" i="2"/>
  <c r="AE1800" i="2"/>
  <c r="AO1800" i="2"/>
  <c r="AJ1800" i="2"/>
  <c r="AE1784" i="2"/>
  <c r="AO1784" i="2"/>
  <c r="AJ1784" i="2"/>
  <c r="AE1768" i="2"/>
  <c r="AO1768" i="2"/>
  <c r="AJ1768" i="2"/>
  <c r="AT2075" i="2"/>
  <c r="AY2075" i="2" s="1"/>
  <c r="BH2075" i="2" s="1"/>
  <c r="AE631" i="2"/>
  <c r="AO631" i="2"/>
  <c r="AJ631" i="2"/>
  <c r="AT425" i="2"/>
  <c r="AY425" i="2" s="1"/>
  <c r="BH425" i="2" s="1"/>
  <c r="AO1254" i="2"/>
  <c r="AJ1254" i="2"/>
  <c r="AE1254" i="2"/>
  <c r="AJ2305" i="2"/>
  <c r="AE2305" i="2"/>
  <c r="AO2305" i="2"/>
  <c r="AJ2281" i="2"/>
  <c r="AE2281" i="2"/>
  <c r="AO2281" i="2"/>
  <c r="AJ2257" i="2"/>
  <c r="AE2257" i="2"/>
  <c r="AO2257" i="2"/>
  <c r="AJ2233" i="2"/>
  <c r="AE2233" i="2"/>
  <c r="AO2233" i="2"/>
  <c r="AJ2209" i="2"/>
  <c r="AE2209" i="2"/>
  <c r="AO2209" i="2"/>
  <c r="AJ2219" i="2"/>
  <c r="AO2219" i="2"/>
  <c r="AE2219" i="2"/>
  <c r="AO1170" i="2"/>
  <c r="AJ1170" i="2"/>
  <c r="AE1170" i="2"/>
  <c r="AO1162" i="2"/>
  <c r="AJ1162" i="2"/>
  <c r="AE1162" i="2"/>
  <c r="AO1154" i="2"/>
  <c r="AJ1154" i="2"/>
  <c r="AE1154" i="2"/>
  <c r="AJ2215" i="2"/>
  <c r="AO2215" i="2"/>
  <c r="AE2215" i="2"/>
  <c r="AT325" i="2"/>
  <c r="AY325" i="2" s="1"/>
  <c r="BH325" i="2" s="1"/>
  <c r="AT451" i="2"/>
  <c r="AY451" i="2" s="1"/>
  <c r="BH451" i="2" s="1"/>
  <c r="AJ1603" i="2"/>
  <c r="AE1603" i="2"/>
  <c r="AO1603" i="2"/>
  <c r="AO390" i="2"/>
  <c r="AJ390" i="2"/>
  <c r="AE390" i="2"/>
  <c r="AO270" i="2"/>
  <c r="AJ270" i="2"/>
  <c r="AE270" i="2"/>
  <c r="AT1248" i="2"/>
  <c r="AY1248" i="2" s="1"/>
  <c r="BH1248" i="2" s="1"/>
  <c r="AT1332" i="2"/>
  <c r="AY1332" i="2" s="1"/>
  <c r="BH1332" i="2" s="1"/>
  <c r="AT1608" i="2"/>
  <c r="AY1608" i="2" s="1"/>
  <c r="BH1608" i="2" s="1"/>
  <c r="AT1358" i="2"/>
  <c r="AY1358" i="2" s="1"/>
  <c r="BH1358" i="2" s="1"/>
  <c r="AT1294" i="2"/>
  <c r="AY1294" i="2" s="1"/>
  <c r="BH1294" i="2" s="1"/>
  <c r="AT1230" i="2"/>
  <c r="AY1230" i="2" s="1"/>
  <c r="BH1230" i="2" s="1"/>
  <c r="BA380" i="2"/>
  <c r="AU380" i="2"/>
  <c r="AZ380" i="2" s="1"/>
  <c r="AT1614" i="2"/>
  <c r="AY1614" i="2" s="1"/>
  <c r="BH1614" i="2" s="1"/>
  <c r="AT1487" i="2"/>
  <c r="AY1487" i="2" s="1"/>
  <c r="BH1487" i="2" s="1"/>
  <c r="AT518" i="2"/>
  <c r="AY518" i="2" s="1"/>
  <c r="BH518" i="2" s="1"/>
  <c r="AE84" i="2"/>
  <c r="AJ84" i="2"/>
  <c r="AO84" i="2"/>
  <c r="AT1639" i="2"/>
  <c r="AY1639" i="2" s="1"/>
  <c r="BH1639" i="2" s="1"/>
  <c r="AE1135" i="2"/>
  <c r="AO1135" i="2"/>
  <c r="AJ1135" i="2"/>
  <c r="AE1071" i="2"/>
  <c r="AO1071" i="2"/>
  <c r="AJ1071" i="2"/>
  <c r="AT1349" i="2"/>
  <c r="AY1349" i="2" s="1"/>
  <c r="BH1349" i="2" s="1"/>
  <c r="AT1285" i="2"/>
  <c r="AY1285" i="2" s="1"/>
  <c r="BH1285" i="2" s="1"/>
  <c r="AT1221" i="2"/>
  <c r="AY1221" i="2" s="1"/>
  <c r="BH1221" i="2" s="1"/>
  <c r="AT1117" i="2"/>
  <c r="AY1117" i="2" s="1"/>
  <c r="BH1117" i="2" s="1"/>
  <c r="AT1053" i="2"/>
  <c r="AY1053" i="2" s="1"/>
  <c r="BH1053" i="2" s="1"/>
  <c r="AT840" i="2"/>
  <c r="AY840" i="2" s="1"/>
  <c r="BH840" i="2" s="1"/>
  <c r="AE617" i="2"/>
  <c r="AO617" i="2"/>
  <c r="AJ617" i="2"/>
  <c r="AE615" i="2"/>
  <c r="AO615" i="2"/>
  <c r="AJ615" i="2"/>
  <c r="AE613" i="2"/>
  <c r="AO613" i="2"/>
  <c r="AJ613" i="2"/>
  <c r="AE611" i="2"/>
  <c r="AO611" i="2"/>
  <c r="AJ611" i="2"/>
  <c r="AE609" i="2"/>
  <c r="AO609" i="2"/>
  <c r="AJ609" i="2"/>
  <c r="AE607" i="2"/>
  <c r="AO607" i="2"/>
  <c r="AJ607" i="2"/>
  <c r="AE605" i="2"/>
  <c r="AO605" i="2"/>
  <c r="AJ605" i="2"/>
  <c r="AE603" i="2"/>
  <c r="AO603" i="2"/>
  <c r="AJ603" i="2"/>
  <c r="AE601" i="2"/>
  <c r="AO601" i="2"/>
  <c r="AJ601" i="2"/>
  <c r="AE599" i="2"/>
  <c r="AO599" i="2"/>
  <c r="AJ599" i="2"/>
  <c r="AE597" i="2"/>
  <c r="AO597" i="2"/>
  <c r="AJ597" i="2"/>
  <c r="AE595" i="2"/>
  <c r="AO595" i="2"/>
  <c r="AJ595" i="2"/>
  <c r="AE593" i="2"/>
  <c r="AO593" i="2"/>
  <c r="AJ593" i="2"/>
  <c r="AE591" i="2"/>
  <c r="AO591" i="2"/>
  <c r="AJ591" i="2"/>
  <c r="AE589" i="2"/>
  <c r="AO589" i="2"/>
  <c r="AJ589" i="2"/>
  <c r="AE587" i="2"/>
  <c r="AO587" i="2"/>
  <c r="AJ587" i="2"/>
  <c r="AE585" i="2"/>
  <c r="AO585" i="2"/>
  <c r="AJ585" i="2"/>
  <c r="AE583" i="2"/>
  <c r="AO583" i="2"/>
  <c r="AJ583" i="2"/>
  <c r="AE581" i="2"/>
  <c r="AO581" i="2"/>
  <c r="AJ581" i="2"/>
  <c r="AE579" i="2"/>
  <c r="AO579" i="2"/>
  <c r="AJ579" i="2"/>
  <c r="AE577" i="2"/>
  <c r="AO577" i="2"/>
  <c r="AJ577" i="2"/>
  <c r="AE575" i="2"/>
  <c r="AO575" i="2"/>
  <c r="AJ575" i="2"/>
  <c r="AE573" i="2"/>
  <c r="AO573" i="2"/>
  <c r="AJ573" i="2"/>
  <c r="AE571" i="2"/>
  <c r="AO571" i="2"/>
  <c r="AJ571" i="2"/>
  <c r="AE569" i="2"/>
  <c r="AO569" i="2"/>
  <c r="AJ569" i="2"/>
  <c r="AE567" i="2"/>
  <c r="AO567" i="2"/>
  <c r="AJ567" i="2"/>
  <c r="AE565" i="2"/>
  <c r="AO565" i="2"/>
  <c r="AJ565" i="2"/>
  <c r="AE563" i="2"/>
  <c r="AO563" i="2"/>
  <c r="AJ563" i="2"/>
  <c r="AE561" i="2"/>
  <c r="AO561" i="2"/>
  <c r="AJ561" i="2"/>
  <c r="AE559" i="2"/>
  <c r="AO559" i="2"/>
  <c r="AJ559" i="2"/>
  <c r="AE557" i="2"/>
  <c r="AO557" i="2"/>
  <c r="AJ557" i="2"/>
  <c r="AT37" i="2"/>
  <c r="AY37" i="2" s="1"/>
  <c r="BH37" i="2" s="1"/>
  <c r="AO54" i="2"/>
  <c r="AJ54" i="2"/>
  <c r="AE54" i="2"/>
  <c r="AO6" i="2"/>
  <c r="AJ6" i="2"/>
  <c r="AE6" i="2"/>
  <c r="AE2141" i="2"/>
  <c r="AO2141" i="2"/>
  <c r="AJ2141" i="2"/>
  <c r="AE2139" i="2"/>
  <c r="AO2139" i="2"/>
  <c r="AJ2139" i="2"/>
  <c r="AE2137" i="2"/>
  <c r="AO2137" i="2"/>
  <c r="AJ2137" i="2"/>
  <c r="AE2135" i="2"/>
  <c r="AO2135" i="2"/>
  <c r="AJ2135" i="2"/>
  <c r="AE2133" i="2"/>
  <c r="AO2133" i="2"/>
  <c r="AJ2133" i="2"/>
  <c r="AE2131" i="2"/>
  <c r="AO2131" i="2"/>
  <c r="AJ2131" i="2"/>
  <c r="AE2129" i="2"/>
  <c r="AO2129" i="2"/>
  <c r="AJ2129" i="2"/>
  <c r="AE2127" i="2"/>
  <c r="AO2127" i="2"/>
  <c r="AJ2127" i="2"/>
  <c r="AE2125" i="2"/>
  <c r="AO2125" i="2"/>
  <c r="AJ2125" i="2"/>
  <c r="AE2123" i="2"/>
  <c r="AO2123" i="2"/>
  <c r="AJ2123" i="2"/>
  <c r="AE2121" i="2"/>
  <c r="AO2121" i="2"/>
  <c r="AJ2121" i="2"/>
  <c r="AE2119" i="2"/>
  <c r="AO2119" i="2"/>
  <c r="AJ2119" i="2"/>
  <c r="AE2117" i="2"/>
  <c r="AO2117" i="2"/>
  <c r="AJ2117" i="2"/>
  <c r="AE2115" i="2"/>
  <c r="AO2115" i="2"/>
  <c r="AJ2115" i="2"/>
  <c r="AJ1613" i="2"/>
  <c r="AE1613" i="2"/>
  <c r="AO1613" i="2"/>
  <c r="AJ1359" i="2"/>
  <c r="AE1359" i="2"/>
  <c r="AO1359" i="2"/>
  <c r="AJ1380" i="2"/>
  <c r="AE1380" i="2"/>
  <c r="AO1380" i="2"/>
  <c r="AT312" i="2"/>
  <c r="AY312" i="2" s="1"/>
  <c r="BH312" i="2" s="1"/>
  <c r="AE1760" i="2"/>
  <c r="AO1760" i="2"/>
  <c r="AJ1760" i="2"/>
  <c r="AT1563" i="2"/>
  <c r="AY1563" i="2" s="1"/>
  <c r="BH1563" i="2" s="1"/>
  <c r="AT1383" i="2"/>
  <c r="AY1383" i="2" s="1"/>
  <c r="BH1383" i="2" s="1"/>
  <c r="AT1310" i="2"/>
  <c r="AY1310" i="2" s="1"/>
  <c r="BH1310" i="2" s="1"/>
  <c r="AT1246" i="2"/>
  <c r="AY1246" i="2" s="1"/>
  <c r="BH1246" i="2" s="1"/>
  <c r="AT1969" i="2"/>
  <c r="AY1969" i="2" s="1"/>
  <c r="BH1969" i="2" s="1"/>
  <c r="AT1905" i="2"/>
  <c r="AY1905" i="2" s="1"/>
  <c r="BH1905" i="2" s="1"/>
  <c r="AT1630" i="2"/>
  <c r="AY1630" i="2" s="1"/>
  <c r="BH1630" i="2" s="1"/>
  <c r="AT1473" i="2"/>
  <c r="AY1473" i="2" s="1"/>
  <c r="BH1473" i="2" s="1"/>
  <c r="AO1604" i="2"/>
  <c r="AJ1604" i="2"/>
  <c r="AE1604" i="2"/>
  <c r="AO1330" i="2"/>
  <c r="AJ1330" i="2"/>
  <c r="AE1330" i="2"/>
  <c r="AO1204" i="2"/>
  <c r="AJ1204" i="2"/>
  <c r="AE1204" i="2"/>
  <c r="AO286" i="2"/>
  <c r="AJ286" i="2"/>
  <c r="AE286" i="2"/>
  <c r="AO464" i="2"/>
  <c r="AJ464" i="2"/>
  <c r="AE464" i="2"/>
  <c r="AJ143" i="2"/>
  <c r="AO143" i="2"/>
  <c r="AE143" i="2"/>
  <c r="AJ21" i="2"/>
  <c r="AE21" i="2"/>
  <c r="AO21" i="2"/>
  <c r="AO260" i="2"/>
  <c r="AJ260" i="2"/>
  <c r="AE260" i="2"/>
  <c r="AT2385" i="2"/>
  <c r="AY2385" i="2" s="1"/>
  <c r="BH2385" i="2" s="1"/>
  <c r="AT2361" i="2"/>
  <c r="AY2361" i="2" s="1"/>
  <c r="BH2361" i="2" s="1"/>
  <c r="AT2345" i="2"/>
  <c r="AY2345" i="2" s="1"/>
  <c r="BH2345" i="2" s="1"/>
  <c r="AT2321" i="2"/>
  <c r="AY2321" i="2" s="1"/>
  <c r="BH2321" i="2" s="1"/>
  <c r="AE2156" i="2"/>
  <c r="AO2156" i="2"/>
  <c r="AJ2156" i="2"/>
  <c r="AJ2016" i="2"/>
  <c r="AE2016" i="2"/>
  <c r="AO2016" i="2"/>
  <c r="AJ2012" i="2"/>
  <c r="AE2012" i="2"/>
  <c r="AO2012" i="2"/>
  <c r="AJ2008" i="2"/>
  <c r="AE2008" i="2"/>
  <c r="AO2008" i="2"/>
  <c r="AJ2004" i="2"/>
  <c r="AE2004" i="2"/>
  <c r="AO2004" i="2"/>
  <c r="AJ2000" i="2"/>
  <c r="AE2000" i="2"/>
  <c r="AO2000" i="2"/>
  <c r="AJ1996" i="2"/>
  <c r="AE1996" i="2"/>
  <c r="AO1996" i="2"/>
  <c r="AJ1992" i="2"/>
  <c r="AE1992" i="2"/>
  <c r="AO1992" i="2"/>
  <c r="AJ1988" i="2"/>
  <c r="AE1988" i="2"/>
  <c r="AO1988" i="2"/>
  <c r="AJ1984" i="2"/>
  <c r="AE1984" i="2"/>
  <c r="AO1984" i="2"/>
  <c r="AJ1980" i="2"/>
  <c r="AE1980" i="2"/>
  <c r="AO1980" i="2"/>
  <c r="AJ1976" i="2"/>
  <c r="AE1976" i="2"/>
  <c r="AO1976" i="2"/>
  <c r="AJ1972" i="2"/>
  <c r="AE1972" i="2"/>
  <c r="AO1972" i="2"/>
  <c r="AJ1968" i="2"/>
  <c r="AE1968" i="2"/>
  <c r="AO1968" i="2"/>
  <c r="AJ1964" i="2"/>
  <c r="AE1964" i="2"/>
  <c r="AO1964" i="2"/>
  <c r="AJ1960" i="2"/>
  <c r="AE1960" i="2"/>
  <c r="AO1960" i="2"/>
  <c r="AJ1956" i="2"/>
  <c r="AE1956" i="2"/>
  <c r="AO1956" i="2"/>
  <c r="AJ1505" i="2"/>
  <c r="AO1505" i="2"/>
  <c r="AE1505" i="2"/>
  <c r="AJ1491" i="2"/>
  <c r="AO1491" i="2"/>
  <c r="AE1491" i="2"/>
  <c r="AJ1183" i="2"/>
  <c r="AE1183" i="2"/>
  <c r="AO1183" i="2"/>
  <c r="AT1225" i="2"/>
  <c r="AY1225" i="2" s="1"/>
  <c r="BH1225" i="2" s="1"/>
  <c r="AT1113" i="2"/>
  <c r="AY1113" i="2" s="1"/>
  <c r="BH1113" i="2" s="1"/>
  <c r="AE701" i="2"/>
  <c r="AO701" i="2"/>
  <c r="AJ701" i="2"/>
  <c r="AE637" i="2"/>
  <c r="AO637" i="2"/>
  <c r="AJ637" i="2"/>
  <c r="BA356" i="2"/>
  <c r="AU356" i="2"/>
  <c r="AZ356" i="2" s="1"/>
  <c r="AO2063" i="2"/>
  <c r="AJ2063" i="2"/>
  <c r="AE2063" i="2"/>
  <c r="AT1264" i="2"/>
  <c r="AY1264" i="2" s="1"/>
  <c r="BH1264" i="2" s="1"/>
  <c r="AT2007" i="2"/>
  <c r="AY2007" i="2" s="1"/>
  <c r="BH2007" i="2" s="1"/>
  <c r="AT1973" i="2"/>
  <c r="AY1973" i="2" s="1"/>
  <c r="BH1973" i="2" s="1"/>
  <c r="AT1909" i="2"/>
  <c r="AY1909" i="2" s="1"/>
  <c r="BH1909" i="2" s="1"/>
  <c r="AT1218" i="2"/>
  <c r="AY1218" i="2" s="1"/>
  <c r="BH1218" i="2" s="1"/>
  <c r="AJ97" i="2"/>
  <c r="AO97" i="2"/>
  <c r="AE97" i="2"/>
  <c r="AJ1539" i="2"/>
  <c r="AO1539" i="2"/>
  <c r="AE1539" i="2"/>
  <c r="AO414" i="2"/>
  <c r="AJ414" i="2"/>
  <c r="AE414" i="2"/>
  <c r="AT133" i="2"/>
  <c r="AY133" i="2" s="1"/>
  <c r="BH133" i="2" s="1"/>
  <c r="AJ1533" i="2"/>
  <c r="AO1533" i="2"/>
  <c r="AE1533" i="2"/>
  <c r="AJ1475" i="2"/>
  <c r="AO1475" i="2"/>
  <c r="AE1475" i="2"/>
  <c r="AJ1417" i="2"/>
  <c r="AO1417" i="2"/>
  <c r="AE1417" i="2"/>
  <c r="AE884" i="2"/>
  <c r="AO884" i="2"/>
  <c r="AJ884" i="2"/>
  <c r="AE820" i="2"/>
  <c r="AO820" i="2"/>
  <c r="AJ820" i="2"/>
  <c r="AE756" i="2"/>
  <c r="AO756" i="2"/>
  <c r="AJ756" i="2"/>
  <c r="AT285" i="2"/>
  <c r="AY285" i="2" s="1"/>
  <c r="BH285" i="2" s="1"/>
  <c r="AJ2056" i="2"/>
  <c r="AE2056" i="2"/>
  <c r="AO2056" i="2"/>
  <c r="AJ1854" i="2"/>
  <c r="AE1854" i="2"/>
  <c r="AO1854" i="2"/>
  <c r="AT1386" i="2"/>
  <c r="AY1386" i="2" s="1"/>
  <c r="BH1386" i="2" s="1"/>
  <c r="AJ1479" i="2"/>
  <c r="AO1479" i="2"/>
  <c r="AE1479" i="2"/>
  <c r="AJ2500" i="2"/>
  <c r="AO2500" i="2"/>
  <c r="AE2500" i="2"/>
  <c r="AE2196" i="2"/>
  <c r="AO2196" i="2"/>
  <c r="AJ2196" i="2"/>
  <c r="AT1059" i="2"/>
  <c r="AY1059" i="2" s="1"/>
  <c r="BH1059" i="2" s="1"/>
  <c r="AE711" i="2"/>
  <c r="AO711" i="2"/>
  <c r="AJ711" i="2"/>
  <c r="AE647" i="2"/>
  <c r="AO647" i="2"/>
  <c r="AJ647" i="2"/>
  <c r="BA136" i="2"/>
  <c r="AU136" i="2"/>
  <c r="AZ136" i="2" s="1"/>
  <c r="AT293" i="2"/>
  <c r="AY293" i="2" s="1"/>
  <c r="BH293" i="2" s="1"/>
  <c r="AT2092" i="2"/>
  <c r="AY2092" i="2" s="1"/>
  <c r="BH2092" i="2" s="1"/>
  <c r="AT1661" i="2"/>
  <c r="AY1661" i="2" s="1"/>
  <c r="BH1661" i="2" s="1"/>
  <c r="AT1343" i="2"/>
  <c r="AY1343" i="2" s="1"/>
  <c r="BH1343" i="2" s="1"/>
  <c r="AT1279" i="2"/>
  <c r="AY1279" i="2" s="1"/>
  <c r="BH1279" i="2" s="1"/>
  <c r="AT1215" i="2"/>
  <c r="AY1215" i="2" s="1"/>
  <c r="BH1215" i="2" s="1"/>
  <c r="AE709" i="2"/>
  <c r="AO709" i="2"/>
  <c r="AJ709" i="2"/>
  <c r="AE693" i="2"/>
  <c r="AO693" i="2"/>
  <c r="AJ693" i="2"/>
  <c r="AE677" i="2"/>
  <c r="AO677" i="2"/>
  <c r="AJ677" i="2"/>
  <c r="AE661" i="2"/>
  <c r="AO661" i="2"/>
  <c r="AJ661" i="2"/>
  <c r="AE645" i="2"/>
  <c r="AO645" i="2"/>
  <c r="AJ645" i="2"/>
  <c r="AE629" i="2"/>
  <c r="AO629" i="2"/>
  <c r="AJ629" i="2"/>
  <c r="AO302" i="2"/>
  <c r="AJ302" i="2"/>
  <c r="AE302" i="2"/>
  <c r="AT1756" i="2"/>
  <c r="AY1756" i="2" s="1"/>
  <c r="BH1756" i="2" s="1"/>
  <c r="AT1752" i="2"/>
  <c r="AY1752" i="2" s="1"/>
  <c r="BH1752" i="2" s="1"/>
  <c r="AT1748" i="2"/>
  <c r="AY1748" i="2" s="1"/>
  <c r="BH1748" i="2" s="1"/>
  <c r="AT1744" i="2"/>
  <c r="AY1744" i="2" s="1"/>
  <c r="BH1744" i="2" s="1"/>
  <c r="AT1740" i="2"/>
  <c r="AY1740" i="2" s="1"/>
  <c r="BH1740" i="2" s="1"/>
  <c r="AT1736" i="2"/>
  <c r="AY1736" i="2" s="1"/>
  <c r="BH1736" i="2" s="1"/>
  <c r="AT1732" i="2"/>
  <c r="AY1732" i="2" s="1"/>
  <c r="BH1732" i="2" s="1"/>
  <c r="AT1728" i="2"/>
  <c r="AY1728" i="2" s="1"/>
  <c r="BH1728" i="2" s="1"/>
  <c r="AT1724" i="2"/>
  <c r="AY1724" i="2" s="1"/>
  <c r="BH1724" i="2" s="1"/>
  <c r="AT1720" i="2"/>
  <c r="AY1720" i="2" s="1"/>
  <c r="BH1720" i="2" s="1"/>
  <c r="AT1716" i="2"/>
  <c r="AY1716" i="2" s="1"/>
  <c r="BH1716" i="2" s="1"/>
  <c r="AT1712" i="2"/>
  <c r="AY1712" i="2" s="1"/>
  <c r="BH1712" i="2" s="1"/>
  <c r="AT1708" i="2"/>
  <c r="AY1708" i="2" s="1"/>
  <c r="BH1708" i="2" s="1"/>
  <c r="AT1704" i="2"/>
  <c r="AY1704" i="2" s="1"/>
  <c r="BH1704" i="2" s="1"/>
  <c r="AT1700" i="2"/>
  <c r="AY1700" i="2" s="1"/>
  <c r="BH1700" i="2" s="1"/>
  <c r="AT1696" i="2"/>
  <c r="AY1696" i="2" s="1"/>
  <c r="BH1696" i="2" s="1"/>
  <c r="AT1692" i="2"/>
  <c r="AY1692" i="2" s="1"/>
  <c r="BH1692" i="2" s="1"/>
  <c r="AT1688" i="2"/>
  <c r="AY1688" i="2" s="1"/>
  <c r="BH1688" i="2" s="1"/>
  <c r="AT1684" i="2"/>
  <c r="AY1684" i="2" s="1"/>
  <c r="BH1684" i="2" s="1"/>
  <c r="AT1680" i="2"/>
  <c r="AY1680" i="2" s="1"/>
  <c r="BH1680" i="2" s="1"/>
  <c r="AT1676" i="2"/>
  <c r="AY1676" i="2" s="1"/>
  <c r="BH1676" i="2" s="1"/>
  <c r="AT1672" i="2"/>
  <c r="AY1672" i="2" s="1"/>
  <c r="BH1672" i="2" s="1"/>
  <c r="AT1658" i="2"/>
  <c r="AY1658" i="2" s="1"/>
  <c r="BH1658" i="2" s="1"/>
  <c r="AT52" i="2"/>
  <c r="AY52" i="2" s="1"/>
  <c r="BH52" i="2" s="1"/>
  <c r="AT1382" i="2"/>
  <c r="AY1382" i="2" s="1"/>
  <c r="BH1382" i="2" s="1"/>
  <c r="AE1131" i="2"/>
  <c r="AO1131" i="2"/>
  <c r="AJ1131" i="2"/>
  <c r="AE1067" i="2"/>
  <c r="AO1067" i="2"/>
  <c r="AJ1067" i="2"/>
  <c r="AJ2498" i="2"/>
  <c r="AO2498" i="2"/>
  <c r="AE2498" i="2"/>
  <c r="AT1641" i="2"/>
  <c r="AY1641" i="2" s="1"/>
  <c r="BH1641" i="2" s="1"/>
  <c r="AJ1403" i="2"/>
  <c r="AO1403" i="2"/>
  <c r="AE1403" i="2"/>
  <c r="AJ245" i="2"/>
  <c r="AE245" i="2"/>
  <c r="AO245" i="2"/>
  <c r="AJ347" i="2"/>
  <c r="AE347" i="2"/>
  <c r="AO347" i="2"/>
  <c r="AT193" i="2"/>
  <c r="AY193" i="2" s="1"/>
  <c r="BH193" i="2" s="1"/>
  <c r="AT129" i="2"/>
  <c r="AY129" i="2" s="1"/>
  <c r="BH129" i="2" s="1"/>
  <c r="AO86" i="2"/>
  <c r="AJ86" i="2"/>
  <c r="AE86" i="2"/>
  <c r="AT69" i="2"/>
  <c r="AY69" i="2" s="1"/>
  <c r="BH69" i="2" s="1"/>
  <c r="AT520" i="2"/>
  <c r="AY520" i="2" s="1"/>
  <c r="BH520" i="2" s="1"/>
  <c r="AT259" i="2"/>
  <c r="AY259" i="2" s="1"/>
  <c r="BH259" i="2" s="1"/>
  <c r="AT203" i="2"/>
  <c r="AY203" i="2" s="1"/>
  <c r="BH203" i="2" s="1"/>
  <c r="AJ81" i="2"/>
  <c r="AO81" i="2"/>
  <c r="AE81" i="2"/>
  <c r="AJ49" i="2"/>
  <c r="AO49" i="2"/>
  <c r="AE49" i="2"/>
  <c r="AO316" i="2"/>
  <c r="AJ316" i="2"/>
  <c r="AE316" i="2"/>
  <c r="AT2161" i="2"/>
  <c r="AY2161" i="2" s="1"/>
  <c r="BH2161" i="2" s="1"/>
  <c r="AT1619" i="2"/>
  <c r="AY1619" i="2" s="1"/>
  <c r="BH1619" i="2" s="1"/>
  <c r="AT1247" i="2"/>
  <c r="AY1247" i="2" s="1"/>
  <c r="BH1247" i="2" s="1"/>
  <c r="AT1289" i="2"/>
  <c r="AY1289" i="2" s="1"/>
  <c r="BH1289" i="2" s="1"/>
  <c r="AE1046" i="2"/>
  <c r="AO1046" i="2"/>
  <c r="AJ1046" i="2"/>
  <c r="AE725" i="2"/>
  <c r="AO725" i="2"/>
  <c r="AJ725" i="2"/>
  <c r="AE723" i="2"/>
  <c r="AO723" i="2"/>
  <c r="AJ723" i="2"/>
  <c r="AE721" i="2"/>
  <c r="AO721" i="2"/>
  <c r="AJ721" i="2"/>
  <c r="AE719" i="2"/>
  <c r="AO719" i="2"/>
  <c r="AJ719" i="2"/>
  <c r="AE717" i="2"/>
  <c r="AO717" i="2"/>
  <c r="AJ717" i="2"/>
  <c r="AE653" i="2"/>
  <c r="AO653" i="2"/>
  <c r="AJ653" i="2"/>
  <c r="AT253" i="2"/>
  <c r="AY253" i="2" s="1"/>
  <c r="BH253" i="2" s="1"/>
  <c r="AT2191" i="2"/>
  <c r="AY2191" i="2" s="1"/>
  <c r="BH2191" i="2" s="1"/>
  <c r="AJ1534" i="2"/>
  <c r="AE1534" i="2"/>
  <c r="AO1534" i="2"/>
  <c r="AT1537" i="2"/>
  <c r="AY1537" i="2" s="1"/>
  <c r="BH1537" i="2" s="1"/>
  <c r="AJ2488" i="2"/>
  <c r="AO2488" i="2"/>
  <c r="AE2488" i="2"/>
  <c r="AO2043" i="2"/>
  <c r="AJ2043" i="2"/>
  <c r="AE2043" i="2"/>
  <c r="AJ1363" i="2"/>
  <c r="AE1363" i="2"/>
  <c r="AO1363" i="2"/>
  <c r="AJ1299" i="2"/>
  <c r="AE1299" i="2"/>
  <c r="AO1299" i="2"/>
  <c r="AJ1235" i="2"/>
  <c r="AE1235" i="2"/>
  <c r="AO1235" i="2"/>
  <c r="AT1127" i="2"/>
  <c r="AY1127" i="2" s="1"/>
  <c r="BH1127" i="2" s="1"/>
  <c r="AT1063" i="2"/>
  <c r="AY1063" i="2" s="1"/>
  <c r="BH1063" i="2" s="1"/>
  <c r="AO470" i="2"/>
  <c r="AJ470" i="2"/>
  <c r="AE470" i="2"/>
  <c r="AT1913" i="2"/>
  <c r="AY1913" i="2" s="1"/>
  <c r="BH1913" i="2" s="1"/>
  <c r="AJ1745" i="2"/>
  <c r="AE1745" i="2"/>
  <c r="AO1745" i="2"/>
  <c r="AJ1729" i="2"/>
  <c r="AE1729" i="2"/>
  <c r="AO1729" i="2"/>
  <c r="AJ1713" i="2"/>
  <c r="AE1713" i="2"/>
  <c r="AO1713" i="2"/>
  <c r="AJ1697" i="2"/>
  <c r="AE1697" i="2"/>
  <c r="AO1697" i="2"/>
  <c r="AJ1681" i="2"/>
  <c r="AE1681" i="2"/>
  <c r="AO1681" i="2"/>
  <c r="AO1598" i="2"/>
  <c r="AJ1598" i="2"/>
  <c r="AE1598" i="2"/>
  <c r="AT1234" i="2"/>
  <c r="AY1234" i="2" s="1"/>
  <c r="BH1234" i="2" s="1"/>
  <c r="AT1648" i="2"/>
  <c r="AY1648" i="2" s="1"/>
  <c r="BH1648" i="2" s="1"/>
  <c r="AT1849" i="2"/>
  <c r="AY1849" i="2" s="1"/>
  <c r="BH1849" i="2" s="1"/>
  <c r="AT1542" i="2"/>
  <c r="AY1542" i="2" s="1"/>
  <c r="BH1542" i="2" s="1"/>
  <c r="AO226" i="2"/>
  <c r="AJ226" i="2"/>
  <c r="AE226" i="2"/>
  <c r="AO1937" i="2"/>
  <c r="AJ1937" i="2"/>
  <c r="AE1937" i="2"/>
  <c r="AE1814" i="2"/>
  <c r="AJ1814" i="2"/>
  <c r="AO1814" i="2"/>
  <c r="AE1790" i="2"/>
  <c r="AJ1790" i="2"/>
  <c r="AO1790" i="2"/>
  <c r="AE1766" i="2"/>
  <c r="AJ1766" i="2"/>
  <c r="AO1766" i="2"/>
  <c r="AT1441" i="2"/>
  <c r="AY1441" i="2" s="1"/>
  <c r="BH1441" i="2" s="1"/>
  <c r="AE844" i="2"/>
  <c r="AO844" i="2"/>
  <c r="AJ844" i="2"/>
  <c r="AE780" i="2"/>
  <c r="AO780" i="2"/>
  <c r="AJ780" i="2"/>
  <c r="AE58" i="2"/>
  <c r="AJ58" i="2"/>
  <c r="AO58" i="2"/>
  <c r="AT11" i="2"/>
  <c r="AY11" i="2" s="1"/>
  <c r="BH11" i="2" s="1"/>
  <c r="AO2087" i="2"/>
  <c r="AJ2087" i="2"/>
  <c r="AE2087" i="2"/>
  <c r="AT1610" i="2"/>
  <c r="AY1610" i="2" s="1"/>
  <c r="BH1610" i="2" s="1"/>
  <c r="AO1350" i="2"/>
  <c r="AJ1350" i="2"/>
  <c r="AE1350" i="2"/>
  <c r="BA184" i="2"/>
  <c r="AU184" i="2"/>
  <c r="AZ184" i="2" s="1"/>
  <c r="AO2069" i="2"/>
  <c r="AJ2069" i="2"/>
  <c r="AE2069" i="2"/>
  <c r="AT1413" i="2"/>
  <c r="AY1413" i="2" s="1"/>
  <c r="BH1413" i="2" s="1"/>
  <c r="AO1228" i="2"/>
  <c r="AJ1228" i="2"/>
  <c r="AE1228" i="2"/>
  <c r="AE836" i="2"/>
  <c r="AO836" i="2"/>
  <c r="AJ836" i="2"/>
  <c r="AE772" i="2"/>
  <c r="AO772" i="2"/>
  <c r="AJ772" i="2"/>
  <c r="BA929" i="2"/>
  <c r="AU929" i="2"/>
  <c r="AZ929" i="2" s="1"/>
  <c r="BA913" i="2"/>
  <c r="AU913" i="2"/>
  <c r="AZ913" i="2" s="1"/>
  <c r="BA897" i="2"/>
  <c r="AU897" i="2"/>
  <c r="AZ897" i="2" s="1"/>
  <c r="AJ536" i="2"/>
  <c r="AE536" i="2"/>
  <c r="AO536" i="2"/>
  <c r="AJ185" i="2"/>
  <c r="AE185" i="2"/>
  <c r="AO185" i="2"/>
  <c r="AJ153" i="2"/>
  <c r="AE153" i="2"/>
  <c r="AO153" i="2"/>
  <c r="AJ121" i="2"/>
  <c r="AE121" i="2"/>
  <c r="AO121" i="2"/>
  <c r="AT2104" i="2"/>
  <c r="AY2104" i="2" s="1"/>
  <c r="BH2104" i="2" s="1"/>
  <c r="AT1593" i="2"/>
  <c r="AY1593" i="2" s="1"/>
  <c r="BH1593" i="2" s="1"/>
  <c r="AT1585" i="2"/>
  <c r="AY1585" i="2" s="1"/>
  <c r="BH1585" i="2" s="1"/>
  <c r="AJ1615" i="2"/>
  <c r="AE1615" i="2"/>
  <c r="AO1615" i="2"/>
  <c r="AO1152" i="2"/>
  <c r="AJ1152" i="2"/>
  <c r="AE1152" i="2"/>
  <c r="AO1148" i="2"/>
  <c r="AJ1148" i="2"/>
  <c r="AE1148" i="2"/>
  <c r="AO1144" i="2"/>
  <c r="AJ1144" i="2"/>
  <c r="AE1144" i="2"/>
  <c r="AO384" i="2"/>
  <c r="AJ384" i="2"/>
  <c r="AE384" i="2"/>
  <c r="AO352" i="2"/>
  <c r="AJ352" i="2"/>
  <c r="AE352" i="2"/>
  <c r="AT255" i="2"/>
  <c r="AY255" i="2" s="1"/>
  <c r="BH255" i="2" s="1"/>
  <c r="AT257" i="2"/>
  <c r="AY257" i="2" s="1"/>
  <c r="BH257" i="2" s="1"/>
  <c r="AT251" i="2"/>
  <c r="AY251" i="2" s="1"/>
  <c r="BH251" i="2" s="1"/>
  <c r="AE2182" i="2"/>
  <c r="AO2182" i="2"/>
  <c r="AJ2182" i="2"/>
  <c r="AT1601" i="2"/>
  <c r="AY1601" i="2" s="1"/>
  <c r="BH1601" i="2" s="1"/>
  <c r="AT1323" i="2"/>
  <c r="AY1323" i="2" s="1"/>
  <c r="BH1323" i="2" s="1"/>
  <c r="AT1259" i="2"/>
  <c r="AY1259" i="2" s="1"/>
  <c r="BH1259" i="2" s="1"/>
  <c r="AT1195" i="2"/>
  <c r="AY1195" i="2" s="1"/>
  <c r="BH1195" i="2" s="1"/>
  <c r="AE1087" i="2"/>
  <c r="AO1087" i="2"/>
  <c r="AJ1087" i="2"/>
  <c r="AO494" i="2"/>
  <c r="AJ494" i="2"/>
  <c r="AE494" i="2"/>
  <c r="AO266" i="2"/>
  <c r="AJ266" i="2"/>
  <c r="AE266" i="2"/>
  <c r="AT2412" i="2"/>
  <c r="AY2412" i="2" s="1"/>
  <c r="BH2412" i="2" s="1"/>
  <c r="AE619" i="2"/>
  <c r="AO619" i="2"/>
  <c r="AJ619" i="2"/>
  <c r="AT487" i="2"/>
  <c r="AY487" i="2" s="1"/>
  <c r="BH487" i="2" s="1"/>
  <c r="AO1809" i="2"/>
  <c r="AJ1809" i="2"/>
  <c r="AE1809" i="2"/>
  <c r="AO1793" i="2"/>
  <c r="AJ1793" i="2"/>
  <c r="AE1793" i="2"/>
  <c r="AO1777" i="2"/>
  <c r="AJ1777" i="2"/>
  <c r="AE1777" i="2"/>
  <c r="AO1761" i="2"/>
  <c r="AJ1761" i="2"/>
  <c r="AE1761" i="2"/>
  <c r="AJ1617" i="2"/>
  <c r="AE1617" i="2"/>
  <c r="AO1617" i="2"/>
  <c r="AJ1623" i="2"/>
  <c r="AE1623" i="2"/>
  <c r="AO1623" i="2"/>
  <c r="AT1339" i="2"/>
  <c r="AY1339" i="2" s="1"/>
  <c r="BH1339" i="2" s="1"/>
  <c r="AT1275" i="2"/>
  <c r="AY1275" i="2" s="1"/>
  <c r="BH1275" i="2" s="1"/>
  <c r="AT1211" i="2"/>
  <c r="AY1211" i="2" s="1"/>
  <c r="BH1211" i="2" s="1"/>
  <c r="AT544" i="2"/>
  <c r="AY544" i="2" s="1"/>
  <c r="BH544" i="2" s="1"/>
  <c r="AT540" i="2"/>
  <c r="AY540" i="2" s="1"/>
  <c r="BH540" i="2" s="1"/>
  <c r="AT508" i="2"/>
  <c r="AY508" i="2" s="1"/>
  <c r="BH508" i="2" s="1"/>
  <c r="AJ1437" i="2"/>
  <c r="AO1437" i="2"/>
  <c r="AE1437" i="2"/>
  <c r="AJ1421" i="2"/>
  <c r="AO1421" i="2"/>
  <c r="AE1421" i="2"/>
  <c r="AJ1405" i="2"/>
  <c r="AO1405" i="2"/>
  <c r="AE1405" i="2"/>
  <c r="AT1083" i="2"/>
  <c r="AY1083" i="2" s="1"/>
  <c r="BH1083" i="2" s="1"/>
  <c r="AJ1321" i="2"/>
  <c r="AE1321" i="2"/>
  <c r="AO1321" i="2"/>
  <c r="AJ1257" i="2"/>
  <c r="AE1257" i="2"/>
  <c r="AO1257" i="2"/>
  <c r="AJ1193" i="2"/>
  <c r="AE1193" i="2"/>
  <c r="AO1193" i="2"/>
  <c r="AT458" i="2"/>
  <c r="AY458" i="2" s="1"/>
  <c r="BH458" i="2" s="1"/>
  <c r="AE26" i="2"/>
  <c r="AJ26" i="2"/>
  <c r="AO26" i="2"/>
  <c r="AE2186" i="2"/>
  <c r="AO2186" i="2"/>
  <c r="AJ2186" i="2"/>
  <c r="AT1231" i="2"/>
  <c r="AY1231" i="2" s="1"/>
  <c r="BH1231" i="2" s="1"/>
  <c r="AT1337" i="2"/>
  <c r="AY1337" i="2" s="1"/>
  <c r="BH1337" i="2" s="1"/>
  <c r="AT1273" i="2"/>
  <c r="AY1273" i="2" s="1"/>
  <c r="BH1273" i="2" s="1"/>
  <c r="AT788" i="2"/>
  <c r="AY788" i="2" s="1"/>
  <c r="BH788" i="2" s="1"/>
  <c r="AE633" i="2"/>
  <c r="AO633" i="2"/>
  <c r="AJ633" i="2"/>
  <c r="AT289" i="2"/>
  <c r="AY289" i="2" s="1"/>
  <c r="BH289" i="2" s="1"/>
  <c r="AT195" i="2"/>
  <c r="AY195" i="2" s="1"/>
  <c r="BH195" i="2" s="1"/>
  <c r="AT147" i="2"/>
  <c r="AY147" i="2" s="1"/>
  <c r="BH147" i="2" s="1"/>
  <c r="AJ1419" i="2"/>
  <c r="AO1419" i="2"/>
  <c r="AE1419" i="2"/>
  <c r="AJ2102" i="2"/>
  <c r="AE2102" i="2"/>
  <c r="AO2102" i="2"/>
  <c r="AJ2090" i="2"/>
  <c r="AE2090" i="2"/>
  <c r="AO2090" i="2"/>
  <c r="AJ2074" i="2"/>
  <c r="AE2074" i="2"/>
  <c r="AO2074" i="2"/>
  <c r="AJ2062" i="2"/>
  <c r="AE2062" i="2"/>
  <c r="AO2062" i="2"/>
  <c r="AJ2054" i="2"/>
  <c r="AE2054" i="2"/>
  <c r="AO2054" i="2"/>
  <c r="AT1828" i="2"/>
  <c r="AY1828" i="2" s="1"/>
  <c r="BH1828" i="2" s="1"/>
  <c r="AJ1647" i="2"/>
  <c r="AE1647" i="2"/>
  <c r="AO1647" i="2"/>
  <c r="AJ1315" i="2"/>
  <c r="AE1315" i="2"/>
  <c r="AO1315" i="2"/>
  <c r="AJ1251" i="2"/>
  <c r="AE1251" i="2"/>
  <c r="AO1251" i="2"/>
  <c r="AJ1187" i="2"/>
  <c r="AE1187" i="2"/>
  <c r="AO1187" i="2"/>
  <c r="AT181" i="2"/>
  <c r="AY181" i="2" s="1"/>
  <c r="BH181" i="2" s="1"/>
  <c r="AT89" i="2"/>
  <c r="AY89" i="2" s="1"/>
  <c r="BH89" i="2" s="1"/>
  <c r="AT2392" i="2"/>
  <c r="AY2392" i="2" s="1"/>
  <c r="BH2392" i="2" s="1"/>
  <c r="AT1624" i="2"/>
  <c r="AY1624" i="2" s="1"/>
  <c r="BH1624" i="2" s="1"/>
  <c r="AO1312" i="2"/>
  <c r="AJ1312" i="2"/>
  <c r="AE1312" i="2"/>
  <c r="BA436" i="2"/>
  <c r="AU436" i="2"/>
  <c r="AZ436" i="2" s="1"/>
  <c r="AJ1714" i="2"/>
  <c r="AO1714" i="2"/>
  <c r="AE1714" i="2"/>
  <c r="AO1805" i="2"/>
  <c r="AJ1805" i="2"/>
  <c r="AE1805" i="2"/>
  <c r="AO1789" i="2"/>
  <c r="AJ1789" i="2"/>
  <c r="AE1789" i="2"/>
  <c r="AO1773" i="2"/>
  <c r="AJ1773" i="2"/>
  <c r="AE1773" i="2"/>
  <c r="AO1757" i="2"/>
  <c r="AJ1757" i="2"/>
  <c r="AE1757" i="2"/>
  <c r="AO1292" i="2"/>
  <c r="AJ1292" i="2"/>
  <c r="AE1292" i="2"/>
  <c r="AT114" i="2"/>
  <c r="AY114" i="2" s="1"/>
  <c r="BH114" i="2" s="1"/>
  <c r="AT1200" i="2"/>
  <c r="AY1200" i="2" s="1"/>
  <c r="BH1200" i="2" s="1"/>
  <c r="AT8" i="2"/>
  <c r="AY8" i="2" s="1"/>
  <c r="BH8" i="2" s="1"/>
  <c r="AE96" i="2"/>
  <c r="AJ96" i="2"/>
  <c r="AO96" i="2"/>
  <c r="AO2425" i="2"/>
  <c r="AJ2425" i="2"/>
  <c r="AE2425" i="2"/>
  <c r="AO486" i="2"/>
  <c r="AJ486" i="2"/>
  <c r="AE486" i="2"/>
  <c r="AO2465" i="2"/>
  <c r="AJ2465" i="2"/>
  <c r="AE2465" i="2"/>
  <c r="AO2449" i="2"/>
  <c r="AJ2449" i="2"/>
  <c r="AE2449" i="2"/>
  <c r="AO2433" i="2"/>
  <c r="AJ2433" i="2"/>
  <c r="AE2433" i="2"/>
  <c r="AO2421" i="2"/>
  <c r="AJ2421" i="2"/>
  <c r="AE2421" i="2"/>
  <c r="AT187" i="2"/>
  <c r="AY187" i="2" s="1"/>
  <c r="BH187" i="2" s="1"/>
  <c r="AT171" i="2"/>
  <c r="AY171" i="2" s="1"/>
  <c r="BH171" i="2" s="1"/>
  <c r="AT155" i="2"/>
  <c r="AY155" i="2" s="1"/>
  <c r="BH155" i="2" s="1"/>
  <c r="AT139" i="2"/>
  <c r="AY139" i="2" s="1"/>
  <c r="BH139" i="2" s="1"/>
  <c r="AT123" i="2"/>
  <c r="AY123" i="2" s="1"/>
  <c r="BH123" i="2" s="1"/>
  <c r="AT107" i="2"/>
  <c r="AY107" i="2" s="1"/>
  <c r="BH107" i="2" s="1"/>
  <c r="AT151" i="2"/>
  <c r="AY151" i="2" s="1"/>
  <c r="BH151" i="2" s="1"/>
  <c r="AE2432" i="2"/>
  <c r="AO2432" i="2"/>
  <c r="AJ2432" i="2"/>
  <c r="AJ461" i="2"/>
  <c r="AE461" i="2"/>
  <c r="AO461" i="2"/>
  <c r="AJ429" i="2"/>
  <c r="AE429" i="2"/>
  <c r="AO429" i="2"/>
  <c r="AJ403" i="2"/>
  <c r="AE403" i="2"/>
  <c r="AO403" i="2"/>
  <c r="AJ371" i="2"/>
  <c r="AE371" i="2"/>
  <c r="AO371" i="2"/>
  <c r="AJ339" i="2"/>
  <c r="AE339" i="2"/>
  <c r="AO339" i="2"/>
  <c r="AJ145" i="2"/>
  <c r="AE145" i="2"/>
  <c r="AO145" i="2"/>
  <c r="AT311" i="2"/>
  <c r="AY311" i="2" s="1"/>
  <c r="BH311" i="2" s="1"/>
  <c r="AE32" i="2"/>
  <c r="AJ32" i="2"/>
  <c r="AO32" i="2"/>
  <c r="AJ99" i="2"/>
  <c r="AE99" i="2"/>
  <c r="AO99" i="2"/>
  <c r="BA476" i="2"/>
  <c r="AU476" i="2"/>
  <c r="AZ476" i="2" s="1"/>
  <c r="AT366" i="2"/>
  <c r="AY366" i="2" s="1"/>
  <c r="BH366" i="2" s="1"/>
  <c r="AT341" i="2"/>
  <c r="AY341" i="2" s="1"/>
  <c r="BH341" i="2" s="1"/>
  <c r="AT2453" i="2"/>
  <c r="AY2453" i="2" s="1"/>
  <c r="BH2453" i="2" s="1"/>
  <c r="AT2437" i="2"/>
  <c r="AY2437" i="2" s="1"/>
  <c r="BH2437" i="2" s="1"/>
  <c r="AT2447" i="2"/>
  <c r="AY2447" i="2" s="1"/>
  <c r="BH2447" i="2" s="1"/>
  <c r="AJ2486" i="2"/>
  <c r="AO2486" i="2"/>
  <c r="AE2486" i="2"/>
  <c r="AJ2478" i="2"/>
  <c r="AO2478" i="2"/>
  <c r="AE2478" i="2"/>
  <c r="AT2431" i="2"/>
  <c r="AY2431" i="2" s="1"/>
  <c r="BH2431" i="2" s="1"/>
  <c r="AO2451" i="2"/>
  <c r="AJ2451" i="2"/>
  <c r="AE2451" i="2"/>
  <c r="AO2195" i="2"/>
  <c r="AJ2195" i="2"/>
  <c r="AE2195" i="2"/>
  <c r="AJ1698" i="2"/>
  <c r="AO1698" i="2"/>
  <c r="AE1698" i="2"/>
  <c r="AT857" i="2"/>
  <c r="AY857" i="2" s="1"/>
  <c r="BH857" i="2" s="1"/>
  <c r="AT793" i="2"/>
  <c r="AY793" i="2" s="1"/>
  <c r="BH793" i="2" s="1"/>
  <c r="AT729" i="2"/>
  <c r="AY729" i="2" s="1"/>
  <c r="BH729" i="2" s="1"/>
  <c r="AO134" i="2"/>
  <c r="AJ134" i="2"/>
  <c r="AE134" i="2"/>
  <c r="AO1045" i="2"/>
  <c r="AJ1045" i="2"/>
  <c r="AE1045" i="2"/>
  <c r="AO2457" i="2"/>
  <c r="AJ2457" i="2"/>
  <c r="AE2457" i="2"/>
  <c r="AO2467" i="2"/>
  <c r="AJ2467" i="2"/>
  <c r="AE2467" i="2"/>
  <c r="AT1176" i="2"/>
  <c r="AY1176" i="2" s="1"/>
  <c r="BH1176" i="2" s="1"/>
  <c r="AT1172" i="2"/>
  <c r="AY1172" i="2" s="1"/>
  <c r="BH1172" i="2" s="1"/>
  <c r="AT1168" i="2"/>
  <c r="AY1168" i="2" s="1"/>
  <c r="BH1168" i="2" s="1"/>
  <c r="AT1164" i="2"/>
  <c r="AY1164" i="2" s="1"/>
  <c r="BH1164" i="2" s="1"/>
  <c r="AT1160" i="2"/>
  <c r="AY1160" i="2" s="1"/>
  <c r="BH1160" i="2" s="1"/>
  <c r="AT1156" i="2"/>
  <c r="AY1156" i="2" s="1"/>
  <c r="BH1156" i="2" s="1"/>
  <c r="AO170" i="2"/>
  <c r="AJ170" i="2"/>
  <c r="AE170" i="2"/>
  <c r="AT2405" i="2"/>
  <c r="AY2405" i="2" s="1"/>
  <c r="BH2405" i="2" s="1"/>
  <c r="AT2397" i="2"/>
  <c r="AY2397" i="2" s="1"/>
  <c r="BH2397" i="2" s="1"/>
  <c r="AT2427" i="2"/>
  <c r="AY2427" i="2" s="1"/>
  <c r="BH2427" i="2" s="1"/>
  <c r="AT2411" i="2"/>
  <c r="AY2411" i="2" s="1"/>
  <c r="BH2411" i="2" s="1"/>
  <c r="AT2469" i="2"/>
  <c r="AY2469" i="2" s="1"/>
  <c r="BH2469" i="2" s="1"/>
  <c r="AJ74" i="2"/>
  <c r="AO74" i="2"/>
  <c r="AE74" i="2"/>
  <c r="AJ42" i="2"/>
  <c r="AO42" i="2"/>
  <c r="AE42" i="2"/>
  <c r="AJ10" i="2"/>
  <c r="AO10" i="2"/>
  <c r="AE10" i="2"/>
  <c r="AO210" i="2"/>
  <c r="AJ210" i="2"/>
  <c r="AE210" i="2"/>
  <c r="AT2307" i="2"/>
  <c r="AY2307" i="2" s="1"/>
  <c r="BH2307" i="2" s="1"/>
  <c r="AT2299" i="2"/>
  <c r="AY2299" i="2" s="1"/>
  <c r="BH2299" i="2" s="1"/>
  <c r="AT2291" i="2"/>
  <c r="AY2291" i="2" s="1"/>
  <c r="BH2291" i="2" s="1"/>
  <c r="AT2259" i="2"/>
  <c r="AY2259" i="2" s="1"/>
  <c r="BH2259" i="2" s="1"/>
  <c r="AT2227" i="2"/>
  <c r="AY2227" i="2" s="1"/>
  <c r="BH2227" i="2" s="1"/>
  <c r="AO2403" i="2"/>
  <c r="AE2403" i="2"/>
  <c r="AJ2403" i="2"/>
  <c r="AO2395" i="2"/>
  <c r="AE2395" i="2"/>
  <c r="AJ2395" i="2"/>
  <c r="AO2147" i="2"/>
  <c r="AE2147" i="2"/>
  <c r="AJ2147" i="2"/>
  <c r="AO290" i="2"/>
  <c r="AJ290" i="2"/>
  <c r="AE290" i="2"/>
  <c r="AT2095" i="2"/>
  <c r="AY2095" i="2" s="1"/>
  <c r="BH2095" i="2" s="1"/>
  <c r="AJ1858" i="2"/>
  <c r="AE1858" i="2"/>
  <c r="AO1858" i="2"/>
  <c r="AT870" i="2"/>
  <c r="AY870" i="2" s="1"/>
  <c r="BH870" i="2" s="1"/>
  <c r="AT854" i="2"/>
  <c r="AY854" i="2" s="1"/>
  <c r="BH854" i="2" s="1"/>
  <c r="AT838" i="2"/>
  <c r="AY838" i="2" s="1"/>
  <c r="BH838" i="2" s="1"/>
  <c r="AT822" i="2"/>
  <c r="AY822" i="2" s="1"/>
  <c r="BH822" i="2" s="1"/>
  <c r="AT806" i="2"/>
  <c r="AY806" i="2" s="1"/>
  <c r="BH806" i="2" s="1"/>
  <c r="AT790" i="2"/>
  <c r="AY790" i="2" s="1"/>
  <c r="BH790" i="2" s="1"/>
  <c r="AT774" i="2"/>
  <c r="AY774" i="2" s="1"/>
  <c r="BH774" i="2" s="1"/>
  <c r="AT758" i="2"/>
  <c r="AY758" i="2" s="1"/>
  <c r="BH758" i="2" s="1"/>
  <c r="AT742" i="2"/>
  <c r="AY742" i="2" s="1"/>
  <c r="BH742" i="2" s="1"/>
  <c r="AJ149" i="2"/>
  <c r="AE149" i="2"/>
  <c r="AO149" i="2"/>
  <c r="AJ57" i="2"/>
  <c r="AE57" i="2"/>
  <c r="AO57" i="2"/>
  <c r="AT1842" i="2"/>
  <c r="AY1842" i="2" s="1"/>
  <c r="BH1842" i="2" s="1"/>
  <c r="AT1233" i="2"/>
  <c r="AY1233" i="2" s="1"/>
  <c r="BH1233" i="2" s="1"/>
  <c r="AT221" i="2"/>
  <c r="AY221" i="2" s="1"/>
  <c r="BH221" i="2" s="1"/>
  <c r="AT459" i="2"/>
  <c r="AY459" i="2" s="1"/>
  <c r="BH459" i="2" s="1"/>
  <c r="AO40" i="2"/>
  <c r="AE40" i="2"/>
  <c r="AJ40" i="2"/>
  <c r="AT1385" i="2"/>
  <c r="AY1385" i="2" s="1"/>
  <c r="BH1385" i="2" s="1"/>
  <c r="AT1268" i="2"/>
  <c r="AY1268" i="2" s="1"/>
  <c r="BH1268" i="2" s="1"/>
  <c r="AJ2064" i="2"/>
  <c r="AE2064" i="2"/>
  <c r="AO2064" i="2"/>
  <c r="AJ1649" i="2"/>
  <c r="AE1649" i="2"/>
  <c r="AO1649" i="2"/>
  <c r="AJ1243" i="2"/>
  <c r="AE1243" i="2"/>
  <c r="AO1243" i="2"/>
  <c r="AT1237" i="2"/>
  <c r="AY1237" i="2" s="1"/>
  <c r="BH1237" i="2" s="1"/>
  <c r="BA332" i="2"/>
  <c r="AU332" i="2"/>
  <c r="AZ332" i="2" s="1"/>
  <c r="AT2053" i="2"/>
  <c r="AY2053" i="2" s="1"/>
  <c r="BH2053" i="2" s="1"/>
  <c r="AT1488" i="2"/>
  <c r="AY1488" i="2" s="1"/>
  <c r="BH1488" i="2" s="1"/>
  <c r="AT1486" i="2"/>
  <c r="AY1486" i="2" s="1"/>
  <c r="BH1486" i="2" s="1"/>
  <c r="AT400" i="2"/>
  <c r="AY400" i="2" s="1"/>
  <c r="BH400" i="2" s="1"/>
  <c r="AT368" i="2"/>
  <c r="AY368" i="2" s="1"/>
  <c r="BH368" i="2" s="1"/>
  <c r="AT336" i="2"/>
  <c r="AY336" i="2" s="1"/>
  <c r="BH336" i="2" s="1"/>
  <c r="AO1140" i="2"/>
  <c r="AE1140" i="2"/>
  <c r="AJ1140" i="2"/>
  <c r="AO1132" i="2"/>
  <c r="AE1132" i="2"/>
  <c r="AJ1132" i="2"/>
  <c r="AO1124" i="2"/>
  <c r="AE1124" i="2"/>
  <c r="AJ1124" i="2"/>
  <c r="AO1116" i="2"/>
  <c r="AE1116" i="2"/>
  <c r="AJ1116" i="2"/>
  <c r="AO1108" i="2"/>
  <c r="AE1108" i="2"/>
  <c r="AJ1108" i="2"/>
  <c r="AO1100" i="2"/>
  <c r="AE1100" i="2"/>
  <c r="AJ1100" i="2"/>
  <c r="AO1092" i="2"/>
  <c r="AE1092" i="2"/>
  <c r="AJ1092" i="2"/>
  <c r="AO1084" i="2"/>
  <c r="AE1084" i="2"/>
  <c r="AJ1084" i="2"/>
  <c r="AO1076" i="2"/>
  <c r="AE1076" i="2"/>
  <c r="AJ1076" i="2"/>
  <c r="AO1068" i="2"/>
  <c r="AE1068" i="2"/>
  <c r="AJ1068" i="2"/>
  <c r="AO1060" i="2"/>
  <c r="AE1060" i="2"/>
  <c r="AJ1060" i="2"/>
  <c r="AO1052" i="2"/>
  <c r="AE1052" i="2"/>
  <c r="AJ1052" i="2"/>
  <c r="BA196" i="2"/>
  <c r="AU196" i="2"/>
  <c r="AZ196" i="2" s="1"/>
  <c r="BA132" i="2"/>
  <c r="AU132" i="2"/>
  <c r="AZ132" i="2" s="1"/>
  <c r="AT2314" i="2"/>
  <c r="AY2314" i="2" s="1"/>
  <c r="BH2314" i="2" s="1"/>
  <c r="AT2310" i="2"/>
  <c r="AY2310" i="2" s="1"/>
  <c r="BH2310" i="2" s="1"/>
  <c r="AT2306" i="2"/>
  <c r="AY2306" i="2" s="1"/>
  <c r="BH2306" i="2" s="1"/>
  <c r="AT2302" i="2"/>
  <c r="AY2302" i="2" s="1"/>
  <c r="BH2302" i="2" s="1"/>
  <c r="AT2298" i="2"/>
  <c r="AY2298" i="2" s="1"/>
  <c r="BH2298" i="2" s="1"/>
  <c r="AT2294" i="2"/>
  <c r="AY2294" i="2" s="1"/>
  <c r="BH2294" i="2" s="1"/>
  <c r="AT2290" i="2"/>
  <c r="AY2290" i="2" s="1"/>
  <c r="BH2290" i="2" s="1"/>
  <c r="AT2286" i="2"/>
  <c r="AY2286" i="2" s="1"/>
  <c r="BH2286" i="2" s="1"/>
  <c r="AT2282" i="2"/>
  <c r="AY2282" i="2" s="1"/>
  <c r="BH2282" i="2" s="1"/>
  <c r="AT2278" i="2"/>
  <c r="AY2278" i="2" s="1"/>
  <c r="BH2278" i="2" s="1"/>
  <c r="AT2274" i="2"/>
  <c r="AY2274" i="2" s="1"/>
  <c r="BH2274" i="2" s="1"/>
  <c r="AT2270" i="2"/>
  <c r="AY2270" i="2" s="1"/>
  <c r="BH2270" i="2" s="1"/>
  <c r="AT2266" i="2"/>
  <c r="AY2266" i="2" s="1"/>
  <c r="BH2266" i="2" s="1"/>
  <c r="AT2262" i="2"/>
  <c r="AY2262" i="2" s="1"/>
  <c r="BH2262" i="2" s="1"/>
  <c r="AT2258" i="2"/>
  <c r="AY2258" i="2" s="1"/>
  <c r="BH2258" i="2" s="1"/>
  <c r="AT2254" i="2"/>
  <c r="AY2254" i="2" s="1"/>
  <c r="BH2254" i="2" s="1"/>
  <c r="AT2250" i="2"/>
  <c r="AY2250" i="2" s="1"/>
  <c r="BH2250" i="2" s="1"/>
  <c r="AT2246" i="2"/>
  <c r="AY2246" i="2" s="1"/>
  <c r="BH2246" i="2" s="1"/>
  <c r="AT2242" i="2"/>
  <c r="AY2242" i="2" s="1"/>
  <c r="BH2242" i="2" s="1"/>
  <c r="AT2238" i="2"/>
  <c r="AY2238" i="2" s="1"/>
  <c r="BH2238" i="2" s="1"/>
  <c r="AT2234" i="2"/>
  <c r="AY2234" i="2" s="1"/>
  <c r="BH2234" i="2" s="1"/>
  <c r="AT2230" i="2"/>
  <c r="AY2230" i="2" s="1"/>
  <c r="BH2230" i="2" s="1"/>
  <c r="AT2226" i="2"/>
  <c r="AY2226" i="2" s="1"/>
  <c r="BH2226" i="2" s="1"/>
  <c r="AT2222" i="2"/>
  <c r="AY2222" i="2" s="1"/>
  <c r="BH2222" i="2" s="1"/>
  <c r="AT2218" i="2"/>
  <c r="AY2218" i="2" s="1"/>
  <c r="BH2218" i="2" s="1"/>
  <c r="AT2214" i="2"/>
  <c r="AY2214" i="2" s="1"/>
  <c r="BH2214" i="2" s="1"/>
  <c r="AT2210" i="2"/>
  <c r="AY2210" i="2" s="1"/>
  <c r="BH2210" i="2" s="1"/>
  <c r="AT2206" i="2"/>
  <c r="AY2206" i="2" s="1"/>
  <c r="BH2206" i="2" s="1"/>
  <c r="AT2202" i="2"/>
  <c r="AY2202" i="2" s="1"/>
  <c r="BH2202" i="2" s="1"/>
  <c r="AT2255" i="2"/>
  <c r="AY2255" i="2" s="1"/>
  <c r="BH2255" i="2" s="1"/>
  <c r="AE824" i="2"/>
  <c r="AO824" i="2"/>
  <c r="AJ824" i="2"/>
  <c r="AJ532" i="2"/>
  <c r="AE532" i="2"/>
  <c r="AO532" i="2"/>
  <c r="AJ243" i="2"/>
  <c r="AE243" i="2"/>
  <c r="AO243" i="2"/>
  <c r="AT2434" i="2"/>
  <c r="AY2434" i="2" s="1"/>
  <c r="BH2434" i="2" s="1"/>
  <c r="AT1947" i="2"/>
  <c r="AY1947" i="2" s="1"/>
  <c r="BH1947" i="2" s="1"/>
  <c r="AT1939" i="2"/>
  <c r="AY1939" i="2" s="1"/>
  <c r="BH1939" i="2" s="1"/>
  <c r="AT1931" i="2"/>
  <c r="AY1931" i="2" s="1"/>
  <c r="BH1931" i="2" s="1"/>
  <c r="AT1923" i="2"/>
  <c r="AY1923" i="2" s="1"/>
  <c r="BH1923" i="2" s="1"/>
  <c r="AT1915" i="2"/>
  <c r="AY1915" i="2" s="1"/>
  <c r="BH1915" i="2" s="1"/>
  <c r="AT1907" i="2"/>
  <c r="AY1907" i="2" s="1"/>
  <c r="BH1907" i="2" s="1"/>
  <c r="AT1899" i="2"/>
  <c r="AY1899" i="2" s="1"/>
  <c r="BH1899" i="2" s="1"/>
  <c r="AT1891" i="2"/>
  <c r="AY1891" i="2" s="1"/>
  <c r="BH1891" i="2" s="1"/>
  <c r="AT1883" i="2"/>
  <c r="AY1883" i="2" s="1"/>
  <c r="BH1883" i="2" s="1"/>
  <c r="AT1875" i="2"/>
  <c r="AY1875" i="2" s="1"/>
  <c r="BH1875" i="2" s="1"/>
  <c r="AT1867" i="2"/>
  <c r="AY1867" i="2" s="1"/>
  <c r="BH1867" i="2" s="1"/>
  <c r="AO246" i="2"/>
  <c r="AJ246" i="2"/>
  <c r="AE246" i="2"/>
  <c r="BA264" i="2"/>
  <c r="AU264" i="2"/>
  <c r="AZ264" i="2" s="1"/>
  <c r="AE2398" i="2"/>
  <c r="AO2398" i="2"/>
  <c r="AJ2398" i="2"/>
  <c r="AO1364" i="2"/>
  <c r="AJ1364" i="2"/>
  <c r="AE1364" i="2"/>
  <c r="AO1300" i="2"/>
  <c r="AJ1300" i="2"/>
  <c r="AE1300" i="2"/>
  <c r="AO1236" i="2"/>
  <c r="AJ1236" i="2"/>
  <c r="AE1236" i="2"/>
  <c r="AE663" i="2"/>
  <c r="AO663" i="2"/>
  <c r="AJ663" i="2"/>
  <c r="AT401" i="2"/>
  <c r="AY401" i="2" s="1"/>
  <c r="BH401" i="2" s="1"/>
  <c r="AT393" i="2"/>
  <c r="AY393" i="2" s="1"/>
  <c r="BH393" i="2" s="1"/>
  <c r="AT385" i="2"/>
  <c r="AY385" i="2" s="1"/>
  <c r="BH385" i="2" s="1"/>
  <c r="AT377" i="2"/>
  <c r="AY377" i="2" s="1"/>
  <c r="BH377" i="2" s="1"/>
  <c r="AT369" i="2"/>
  <c r="AY369" i="2" s="1"/>
  <c r="BH369" i="2" s="1"/>
  <c r="AT361" i="2"/>
  <c r="AY361" i="2" s="1"/>
  <c r="BH361" i="2" s="1"/>
  <c r="AT353" i="2"/>
  <c r="AY353" i="2" s="1"/>
  <c r="BH353" i="2" s="1"/>
  <c r="AT345" i="2"/>
  <c r="AY345" i="2" s="1"/>
  <c r="BH345" i="2" s="1"/>
  <c r="AT337" i="2"/>
  <c r="AY337" i="2" s="1"/>
  <c r="BH337" i="2" s="1"/>
  <c r="AT329" i="2"/>
  <c r="AY329" i="2" s="1"/>
  <c r="BH329" i="2" s="1"/>
  <c r="AO1622" i="2"/>
  <c r="AJ1622" i="2"/>
  <c r="AE1622" i="2"/>
  <c r="AT1393" i="2"/>
  <c r="AY1393" i="2" s="1"/>
  <c r="BH1393" i="2" s="1"/>
  <c r="AT1324" i="2"/>
  <c r="AY1324" i="2" s="1"/>
  <c r="BH1324" i="2" s="1"/>
  <c r="AT1260" i="2"/>
  <c r="AY1260" i="2" s="1"/>
  <c r="BH1260" i="2" s="1"/>
  <c r="AT1196" i="2"/>
  <c r="AY1196" i="2" s="1"/>
  <c r="BH1196" i="2" s="1"/>
  <c r="AT493" i="2"/>
  <c r="AY493" i="2" s="1"/>
  <c r="BH493" i="2" s="1"/>
  <c r="AO100" i="2"/>
  <c r="AE100" i="2"/>
  <c r="AJ100" i="2"/>
  <c r="AO488" i="2"/>
  <c r="AJ488" i="2"/>
  <c r="AE488" i="2"/>
  <c r="AO392" i="2"/>
  <c r="AJ392" i="2"/>
  <c r="AE392" i="2"/>
  <c r="BA240" i="2"/>
  <c r="AU240" i="2"/>
  <c r="AZ240" i="2" s="1"/>
  <c r="AT349" i="2"/>
  <c r="AY349" i="2" s="1"/>
  <c r="BH349" i="2" s="1"/>
  <c r="AT333" i="2"/>
  <c r="AY333" i="2" s="1"/>
  <c r="BH333" i="2" s="1"/>
  <c r="AJ1425" i="2"/>
  <c r="AO1425" i="2"/>
  <c r="AE1425" i="2"/>
  <c r="AJ1409" i="2"/>
  <c r="AO1409" i="2"/>
  <c r="AE1409" i="2"/>
  <c r="AT697" i="2"/>
  <c r="AY697" i="2" s="1"/>
  <c r="BH697" i="2" s="1"/>
  <c r="AJ179" i="2"/>
  <c r="AO179" i="2"/>
  <c r="AE179" i="2"/>
  <c r="AJ115" i="2"/>
  <c r="AO115" i="2"/>
  <c r="AE115" i="2"/>
  <c r="AJ1663" i="2"/>
  <c r="AE1663" i="2"/>
  <c r="AO1663" i="2"/>
  <c r="AJ1197" i="2"/>
  <c r="AE1197" i="2"/>
  <c r="AO1197" i="2"/>
  <c r="AT64" i="2"/>
  <c r="AY64" i="2" s="1"/>
  <c r="BH64" i="2" s="1"/>
  <c r="AT2480" i="2"/>
  <c r="AY2480" i="2" s="1"/>
  <c r="BH2480" i="2" s="1"/>
  <c r="AE2404" i="2"/>
  <c r="AO2404" i="2"/>
  <c r="AJ2404" i="2"/>
  <c r="AO1975" i="2"/>
  <c r="AJ1975" i="2"/>
  <c r="AE1975" i="2"/>
  <c r="AT1346" i="2"/>
  <c r="AY1346" i="2" s="1"/>
  <c r="BH1346" i="2" s="1"/>
  <c r="AT1220" i="2"/>
  <c r="AY1220" i="2" s="1"/>
  <c r="BH1220" i="2" s="1"/>
  <c r="AO521" i="2"/>
  <c r="AJ521" i="2"/>
  <c r="AE521" i="2"/>
  <c r="AO533" i="2"/>
  <c r="AJ533" i="2"/>
  <c r="AE533" i="2"/>
  <c r="AJ1530" i="2"/>
  <c r="AE1530" i="2"/>
  <c r="AO1530" i="2"/>
  <c r="AO174" i="2"/>
  <c r="AJ174" i="2"/>
  <c r="AE174" i="2"/>
  <c r="AO2057" i="2"/>
  <c r="AJ2057" i="2"/>
  <c r="AE2057" i="2"/>
  <c r="AT1308" i="2"/>
  <c r="AY1308" i="2" s="1"/>
  <c r="BH1308" i="2" s="1"/>
  <c r="AT554" i="2"/>
  <c r="AY554" i="2" s="1"/>
  <c r="BH554" i="2" s="1"/>
  <c r="AT522" i="2"/>
  <c r="AY522" i="2" s="1"/>
  <c r="BH522" i="2" s="1"/>
  <c r="AT510" i="2"/>
  <c r="AY510" i="2" s="1"/>
  <c r="BH510" i="2" s="1"/>
  <c r="AT2445" i="2"/>
  <c r="AY2445" i="2" s="1"/>
  <c r="BH2445" i="2" s="1"/>
  <c r="AJ1948" i="2"/>
  <c r="AE1948" i="2"/>
  <c r="AO1948" i="2"/>
  <c r="AJ1940" i="2"/>
  <c r="AE1940" i="2"/>
  <c r="AO1940" i="2"/>
  <c r="AJ1932" i="2"/>
  <c r="AE1932" i="2"/>
  <c r="AO1932" i="2"/>
  <c r="AJ1924" i="2"/>
  <c r="AE1924" i="2"/>
  <c r="AO1924" i="2"/>
  <c r="AJ1916" i="2"/>
  <c r="AE1916" i="2"/>
  <c r="AO1916" i="2"/>
  <c r="AJ1908" i="2"/>
  <c r="AE1908" i="2"/>
  <c r="AO1908" i="2"/>
  <c r="AJ1900" i="2"/>
  <c r="AE1900" i="2"/>
  <c r="AO1900" i="2"/>
  <c r="AJ1892" i="2"/>
  <c r="AE1892" i="2"/>
  <c r="AO1892" i="2"/>
  <c r="AJ1884" i="2"/>
  <c r="AE1884" i="2"/>
  <c r="AO1884" i="2"/>
  <c r="AJ1876" i="2"/>
  <c r="AE1876" i="2"/>
  <c r="AO1876" i="2"/>
  <c r="AJ1868" i="2"/>
  <c r="AE1868" i="2"/>
  <c r="AO1868" i="2"/>
  <c r="AJ1860" i="2"/>
  <c r="AE1860" i="2"/>
  <c r="AO1860" i="2"/>
  <c r="AJ1367" i="2"/>
  <c r="AE1367" i="2"/>
  <c r="AO1367" i="2"/>
  <c r="AJ1303" i="2"/>
  <c r="AE1303" i="2"/>
  <c r="AO1303" i="2"/>
  <c r="AJ1239" i="2"/>
  <c r="AE1239" i="2"/>
  <c r="AO1239" i="2"/>
  <c r="AJ1345" i="2"/>
  <c r="AE1345" i="2"/>
  <c r="AO1345" i="2"/>
  <c r="AJ1281" i="2"/>
  <c r="AE1281" i="2"/>
  <c r="AO1281" i="2"/>
  <c r="AJ1217" i="2"/>
  <c r="AE1217" i="2"/>
  <c r="AO1217" i="2"/>
  <c r="AT2173" i="2"/>
  <c r="AY2173" i="2" s="1"/>
  <c r="BH2173" i="2" s="1"/>
  <c r="AO879" i="2"/>
  <c r="AE879" i="2"/>
  <c r="AJ879" i="2"/>
  <c r="AO863" i="2"/>
  <c r="AE863" i="2"/>
  <c r="AJ863" i="2"/>
  <c r="AO847" i="2"/>
  <c r="AE847" i="2"/>
  <c r="AJ847" i="2"/>
  <c r="AO831" i="2"/>
  <c r="AE831" i="2"/>
  <c r="AJ831" i="2"/>
  <c r="AO815" i="2"/>
  <c r="AE815" i="2"/>
  <c r="AJ815" i="2"/>
  <c r="AO799" i="2"/>
  <c r="AE799" i="2"/>
  <c r="AJ799" i="2"/>
  <c r="AO783" i="2"/>
  <c r="AE783" i="2"/>
  <c r="AJ783" i="2"/>
  <c r="AO767" i="2"/>
  <c r="AE767" i="2"/>
  <c r="AJ767" i="2"/>
  <c r="AO751" i="2"/>
  <c r="AE751" i="2"/>
  <c r="AJ751" i="2"/>
  <c r="AO735" i="2"/>
  <c r="AE735" i="2"/>
  <c r="AJ735" i="2"/>
  <c r="AT15" i="2"/>
  <c r="AY15" i="2" s="1"/>
  <c r="BH15" i="2" s="1"/>
  <c r="AJ45" i="2"/>
  <c r="AE45" i="2"/>
  <c r="AO45" i="2"/>
  <c r="AJ23" i="2"/>
  <c r="AO23" i="2"/>
  <c r="AE23" i="2"/>
  <c r="AE2472" i="2"/>
  <c r="AO2472" i="2"/>
  <c r="AJ2472" i="2"/>
  <c r="AE2176" i="2"/>
  <c r="AO2176" i="2"/>
  <c r="AJ2176" i="2"/>
  <c r="AJ1415" i="2"/>
  <c r="AO1415" i="2"/>
  <c r="AE1415" i="2"/>
  <c r="AJ477" i="2"/>
  <c r="AE477" i="2"/>
  <c r="AO477" i="2"/>
  <c r="AJ445" i="2"/>
  <c r="AE445" i="2"/>
  <c r="AO445" i="2"/>
  <c r="AJ413" i="2"/>
  <c r="AE413" i="2"/>
  <c r="AO413" i="2"/>
  <c r="AO360" i="2"/>
  <c r="AJ360" i="2"/>
  <c r="AE360" i="2"/>
  <c r="AJ263" i="2"/>
  <c r="AO263" i="2"/>
  <c r="AE263" i="2"/>
  <c r="AJ127" i="2"/>
  <c r="AO127" i="2"/>
  <c r="AE127" i="2"/>
  <c r="AE2428" i="2"/>
  <c r="AO2428" i="2"/>
  <c r="AJ2428" i="2"/>
  <c r="AT1633" i="2"/>
  <c r="AY1633" i="2" s="1"/>
  <c r="BH1633" i="2" s="1"/>
  <c r="AT1085" i="2"/>
  <c r="AY1085" i="2" s="1"/>
  <c r="BH1085" i="2" s="1"/>
  <c r="AT872" i="2"/>
  <c r="AY872" i="2" s="1"/>
  <c r="BH872" i="2" s="1"/>
  <c r="AT744" i="2"/>
  <c r="AY744" i="2" s="1"/>
  <c r="BH744" i="2" s="1"/>
  <c r="AT924" i="2"/>
  <c r="AY924" i="2" s="1"/>
  <c r="BH924" i="2" s="1"/>
  <c r="AT912" i="2"/>
  <c r="AY912" i="2" s="1"/>
  <c r="BH912" i="2" s="1"/>
  <c r="AT900" i="2"/>
  <c r="AY900" i="2" s="1"/>
  <c r="BH900" i="2" s="1"/>
  <c r="AJ1751" i="2"/>
  <c r="AO1751" i="2"/>
  <c r="AE1751" i="2"/>
  <c r="AJ1739" i="2"/>
  <c r="AO1739" i="2"/>
  <c r="AE1739" i="2"/>
  <c r="AJ1731" i="2"/>
  <c r="AO1731" i="2"/>
  <c r="AE1731" i="2"/>
  <c r="AJ1723" i="2"/>
  <c r="AO1723" i="2"/>
  <c r="AE1723" i="2"/>
  <c r="AJ1711" i="2"/>
  <c r="AO1711" i="2"/>
  <c r="AE1711" i="2"/>
  <c r="AJ1703" i="2"/>
  <c r="AO1703" i="2"/>
  <c r="AE1703" i="2"/>
  <c r="AJ1691" i="2"/>
  <c r="AO1691" i="2"/>
  <c r="AE1691" i="2"/>
  <c r="AJ1679" i="2"/>
  <c r="AO1679" i="2"/>
  <c r="AE1679" i="2"/>
  <c r="AJ1671" i="2"/>
  <c r="AO1671" i="2"/>
  <c r="AE1671" i="2"/>
  <c r="AJ2481" i="2"/>
  <c r="AE2481" i="2"/>
  <c r="AO2481" i="2"/>
  <c r="AJ1749" i="2"/>
  <c r="AE1749" i="2"/>
  <c r="AO1749" i="2"/>
  <c r="AJ1733" i="2"/>
  <c r="AE1733" i="2"/>
  <c r="AO1733" i="2"/>
  <c r="AJ1717" i="2"/>
  <c r="AE1717" i="2"/>
  <c r="AO1717" i="2"/>
  <c r="AJ1701" i="2"/>
  <c r="AE1701" i="2"/>
  <c r="AO1701" i="2"/>
  <c r="AJ1685" i="2"/>
  <c r="AE1685" i="2"/>
  <c r="AO1685" i="2"/>
  <c r="AJ1669" i="2"/>
  <c r="AE1669" i="2"/>
  <c r="AO1669" i="2"/>
  <c r="AJ1653" i="2"/>
  <c r="AE1653" i="2"/>
  <c r="AO1653" i="2"/>
  <c r="AJ1469" i="2"/>
  <c r="AO1469" i="2"/>
  <c r="AE1469" i="2"/>
  <c r="AJ1453" i="2"/>
  <c r="AO1453" i="2"/>
  <c r="AE1453" i="2"/>
  <c r="AJ1503" i="2"/>
  <c r="AO1503" i="2"/>
  <c r="AE1503" i="2"/>
  <c r="AT1391" i="2"/>
  <c r="AY1391" i="2" s="1"/>
  <c r="BH1391" i="2" s="1"/>
  <c r="AT1314" i="2"/>
  <c r="AY1314" i="2" s="1"/>
  <c r="BH1314" i="2" s="1"/>
  <c r="AT1250" i="2"/>
  <c r="AY1250" i="2" s="1"/>
  <c r="BH1250" i="2" s="1"/>
  <c r="AT1186" i="2"/>
  <c r="AY1186" i="2" s="1"/>
  <c r="BH1186" i="2" s="1"/>
  <c r="AT1316" i="2"/>
  <c r="AY1316" i="2" s="1"/>
  <c r="BH1316" i="2" s="1"/>
  <c r="AT1252" i="2"/>
  <c r="AY1252" i="2" s="1"/>
  <c r="BH1252" i="2" s="1"/>
  <c r="AJ79" i="2"/>
  <c r="AO79" i="2"/>
  <c r="AE79" i="2"/>
  <c r="AJ2275" i="2"/>
  <c r="AO2275" i="2"/>
  <c r="AE2275" i="2"/>
  <c r="AJ2243" i="2"/>
  <c r="AO2243" i="2"/>
  <c r="AE2243" i="2"/>
  <c r="AJ2211" i="2"/>
  <c r="AO2211" i="2"/>
  <c r="AE2211" i="2"/>
  <c r="AO618" i="2"/>
  <c r="AJ618" i="2"/>
  <c r="AE618" i="2"/>
  <c r="AO616" i="2"/>
  <c r="AJ616" i="2"/>
  <c r="AE616" i="2"/>
  <c r="AO614" i="2"/>
  <c r="AJ614" i="2"/>
  <c r="AE614" i="2"/>
  <c r="AO612" i="2"/>
  <c r="AJ612" i="2"/>
  <c r="AE612" i="2"/>
  <c r="AO610" i="2"/>
  <c r="AJ610" i="2"/>
  <c r="AE610" i="2"/>
  <c r="AO608" i="2"/>
  <c r="AJ608" i="2"/>
  <c r="AE608" i="2"/>
  <c r="AO606" i="2"/>
  <c r="AJ606" i="2"/>
  <c r="AE606" i="2"/>
  <c r="AO604" i="2"/>
  <c r="AJ604" i="2"/>
  <c r="AE604" i="2"/>
  <c r="AO602" i="2"/>
  <c r="AJ602" i="2"/>
  <c r="AE602" i="2"/>
  <c r="AO600" i="2"/>
  <c r="AJ600" i="2"/>
  <c r="AE600" i="2"/>
  <c r="AO598" i="2"/>
  <c r="AJ598" i="2"/>
  <c r="AE598" i="2"/>
  <c r="AO596" i="2"/>
  <c r="AJ596" i="2"/>
  <c r="AE596" i="2"/>
  <c r="AO594" i="2"/>
  <c r="AJ594" i="2"/>
  <c r="AE594" i="2"/>
  <c r="AO592" i="2"/>
  <c r="AJ592" i="2"/>
  <c r="AE592" i="2"/>
  <c r="AO590" i="2"/>
  <c r="AJ590" i="2"/>
  <c r="AE590" i="2"/>
  <c r="AO588" i="2"/>
  <c r="AJ588" i="2"/>
  <c r="AE588" i="2"/>
  <c r="AO586" i="2"/>
  <c r="AJ586" i="2"/>
  <c r="AE586" i="2"/>
  <c r="AO584" i="2"/>
  <c r="AJ584" i="2"/>
  <c r="AE584" i="2"/>
  <c r="AO582" i="2"/>
  <c r="AJ582" i="2"/>
  <c r="AE582" i="2"/>
  <c r="AO580" i="2"/>
  <c r="AJ580" i="2"/>
  <c r="AE580" i="2"/>
  <c r="AO578" i="2"/>
  <c r="AJ578" i="2"/>
  <c r="AE578" i="2"/>
  <c r="AO576" i="2"/>
  <c r="AJ576" i="2"/>
  <c r="AE576" i="2"/>
  <c r="AO574" i="2"/>
  <c r="AJ574" i="2"/>
  <c r="AE574" i="2"/>
  <c r="AO572" i="2"/>
  <c r="AJ572" i="2"/>
  <c r="AE572" i="2"/>
  <c r="AO570" i="2"/>
  <c r="AJ570" i="2"/>
  <c r="AE570" i="2"/>
  <c r="AO568" i="2"/>
  <c r="AJ568" i="2"/>
  <c r="AE568" i="2"/>
  <c r="AO566" i="2"/>
  <c r="AJ566" i="2"/>
  <c r="AE566" i="2"/>
  <c r="AO564" i="2"/>
  <c r="AJ564" i="2"/>
  <c r="AE564" i="2"/>
  <c r="AO562" i="2"/>
  <c r="AJ562" i="2"/>
  <c r="AE562" i="2"/>
  <c r="AO560" i="2"/>
  <c r="AJ560" i="2"/>
  <c r="AE560" i="2"/>
  <c r="AO558" i="2"/>
  <c r="AJ558" i="2"/>
  <c r="AE558" i="2"/>
  <c r="AO556" i="2"/>
  <c r="AJ556" i="2"/>
  <c r="AE556" i="2"/>
  <c r="AJ199" i="2"/>
  <c r="AO199" i="2"/>
  <c r="AE199" i="2"/>
  <c r="AJ135" i="2"/>
  <c r="AO135" i="2"/>
  <c r="AE135" i="2"/>
  <c r="AJ55" i="2"/>
  <c r="AO55" i="2"/>
  <c r="AE55" i="2"/>
  <c r="AT2107" i="2"/>
  <c r="AY2107" i="2" s="1"/>
  <c r="BH2107" i="2" s="1"/>
  <c r="AO2017" i="2"/>
  <c r="AJ2017" i="2"/>
  <c r="AE2017" i="2"/>
  <c r="AO1953" i="2"/>
  <c r="AJ1953" i="2"/>
  <c r="AE1953" i="2"/>
  <c r="AO1889" i="2"/>
  <c r="AJ1889" i="2"/>
  <c r="AE1889" i="2"/>
  <c r="AT1525" i="2"/>
  <c r="AY1525" i="2" s="1"/>
  <c r="BH1525" i="2" s="1"/>
  <c r="AT1521" i="2"/>
  <c r="AY1521" i="2" s="1"/>
  <c r="BH1521" i="2" s="1"/>
  <c r="AT1517" i="2"/>
  <c r="AY1517" i="2" s="1"/>
  <c r="BH1517" i="2" s="1"/>
  <c r="AT1577" i="2"/>
  <c r="AY1577" i="2" s="1"/>
  <c r="BH1577" i="2" s="1"/>
  <c r="AT1561" i="2"/>
  <c r="AY1561" i="2" s="1"/>
  <c r="BH1561" i="2" s="1"/>
  <c r="AT1545" i="2"/>
  <c r="AY1545" i="2" s="1"/>
  <c r="BH1545" i="2" s="1"/>
  <c r="AT194" i="2"/>
  <c r="AY194" i="2" s="1"/>
  <c r="BH194" i="2" s="1"/>
  <c r="AO545" i="2"/>
  <c r="AJ545" i="2"/>
  <c r="AE545" i="2"/>
  <c r="AO513" i="2"/>
  <c r="AJ513" i="2"/>
  <c r="AE513" i="2"/>
  <c r="AJ2493" i="2"/>
  <c r="AE2493" i="2"/>
  <c r="AO2493" i="2"/>
  <c r="AJ2485" i="2"/>
  <c r="AE2485" i="2"/>
  <c r="AO2485" i="2"/>
  <c r="AO1957" i="2"/>
  <c r="AJ1957" i="2"/>
  <c r="AE1957" i="2"/>
  <c r="AO1893" i="2"/>
  <c r="AJ1893" i="2"/>
  <c r="AE1893" i="2"/>
  <c r="AE1105" i="2"/>
  <c r="AO1105" i="2"/>
  <c r="AJ1105" i="2"/>
  <c r="AE1057" i="2"/>
  <c r="AO1057" i="2"/>
  <c r="AJ1057" i="2"/>
  <c r="AT1832" i="2"/>
  <c r="AY1832" i="2" s="1"/>
  <c r="BH1832" i="2" s="1"/>
  <c r="AT1523" i="2"/>
  <c r="AY1523" i="2" s="1"/>
  <c r="BH1523" i="2" s="1"/>
  <c r="AT1596" i="2"/>
  <c r="AY1596" i="2" s="1"/>
  <c r="BH1596" i="2" s="1"/>
  <c r="AT1588" i="2"/>
  <c r="AY1588" i="2" s="1"/>
  <c r="BH1588" i="2" s="1"/>
  <c r="AT1242" i="2"/>
  <c r="AY1242" i="2" s="1"/>
  <c r="BH1242" i="2" s="1"/>
  <c r="AT1592" i="2"/>
  <c r="AY1592" i="2" s="1"/>
  <c r="BH1592" i="2" s="1"/>
  <c r="AT1584" i="2"/>
  <c r="AY1584" i="2" s="1"/>
  <c r="BH1584" i="2" s="1"/>
  <c r="AT2178" i="2"/>
  <c r="AY2178" i="2" s="1"/>
  <c r="BH2178" i="2" s="1"/>
  <c r="AO268" i="2"/>
  <c r="AJ268" i="2"/>
  <c r="AE268" i="2"/>
  <c r="AT95" i="2"/>
  <c r="AY95" i="2" s="1"/>
  <c r="BH95" i="2" s="1"/>
  <c r="AJ31" i="2"/>
  <c r="AO31" i="2"/>
  <c r="AE31" i="2"/>
  <c r="AE2170" i="2"/>
  <c r="AO2170" i="2"/>
  <c r="AJ2170" i="2"/>
  <c r="AT2152" i="2"/>
  <c r="AY2152" i="2" s="1"/>
  <c r="BH2152" i="2" s="1"/>
  <c r="AO2407" i="2"/>
  <c r="AE2407" i="2"/>
  <c r="AJ2407" i="2"/>
  <c r="AT2279" i="2"/>
  <c r="AY2279" i="2" s="1"/>
  <c r="BH2279" i="2" s="1"/>
  <c r="AT1702" i="2"/>
  <c r="AY1702" i="2" s="1"/>
  <c r="BH1702" i="2" s="1"/>
  <c r="AT373" i="2"/>
  <c r="AY373" i="2" s="1"/>
  <c r="BH373" i="2" s="1"/>
  <c r="AT365" i="2"/>
  <c r="AY365" i="2" s="1"/>
  <c r="BH365" i="2" s="1"/>
  <c r="AJ1209" i="2"/>
  <c r="AE1209" i="2"/>
  <c r="AO1209" i="2"/>
  <c r="AT283" i="2"/>
  <c r="AY283" i="2" s="1"/>
  <c r="BH283" i="2" s="1"/>
  <c r="AT163" i="2"/>
  <c r="AY163" i="2" s="1"/>
  <c r="BH163" i="2" s="1"/>
  <c r="AT131" i="2"/>
  <c r="AY131" i="2" s="1"/>
  <c r="BH131" i="2" s="1"/>
  <c r="AJ1267" i="2"/>
  <c r="AE1267" i="2"/>
  <c r="AO1267" i="2"/>
  <c r="AO1360" i="2"/>
  <c r="AJ1360" i="2"/>
  <c r="AE1360" i="2"/>
  <c r="AO1296" i="2"/>
  <c r="AJ1296" i="2"/>
  <c r="AE1296" i="2"/>
  <c r="AO1232" i="2"/>
  <c r="AJ1232" i="2"/>
  <c r="AE1232" i="2"/>
  <c r="AE930" i="2"/>
  <c r="AO930" i="2"/>
  <c r="AJ930" i="2"/>
  <c r="AE926" i="2"/>
  <c r="AO926" i="2"/>
  <c r="AJ926" i="2"/>
  <c r="AE922" i="2"/>
  <c r="AO922" i="2"/>
  <c r="AJ922" i="2"/>
  <c r="AE918" i="2"/>
  <c r="AO918" i="2"/>
  <c r="AJ918" i="2"/>
  <c r="AE914" i="2"/>
  <c r="AO914" i="2"/>
  <c r="AJ914" i="2"/>
  <c r="AE910" i="2"/>
  <c r="AO910" i="2"/>
  <c r="AJ910" i="2"/>
  <c r="AE906" i="2"/>
  <c r="AO906" i="2"/>
  <c r="AJ906" i="2"/>
  <c r="AE902" i="2"/>
  <c r="AO902" i="2"/>
  <c r="AJ902" i="2"/>
  <c r="AE898" i="2"/>
  <c r="AO898" i="2"/>
  <c r="AJ898" i="2"/>
  <c r="AE894" i="2"/>
  <c r="AO894" i="2"/>
  <c r="AJ894" i="2"/>
  <c r="AE890" i="2"/>
  <c r="AO890" i="2"/>
  <c r="AJ890" i="2"/>
  <c r="AE886" i="2"/>
  <c r="AO886" i="2"/>
  <c r="AJ886" i="2"/>
  <c r="AT281" i="2"/>
  <c r="AY281" i="2" s="1"/>
  <c r="BH281" i="2" s="1"/>
  <c r="AT217" i="2"/>
  <c r="AY217" i="2" s="1"/>
  <c r="BH217" i="2" s="1"/>
  <c r="AT109" i="2"/>
  <c r="AY109" i="2" s="1"/>
  <c r="BH109" i="2" s="1"/>
  <c r="AT2312" i="2"/>
  <c r="AY2312" i="2" s="1"/>
  <c r="BH2312" i="2" s="1"/>
  <c r="AT2308" i="2"/>
  <c r="AY2308" i="2" s="1"/>
  <c r="BH2308" i="2" s="1"/>
  <c r="AT2304" i="2"/>
  <c r="AY2304" i="2" s="1"/>
  <c r="BH2304" i="2" s="1"/>
  <c r="AT2300" i="2"/>
  <c r="AY2300" i="2" s="1"/>
  <c r="BH2300" i="2" s="1"/>
  <c r="AT2296" i="2"/>
  <c r="AY2296" i="2" s="1"/>
  <c r="BH2296" i="2" s="1"/>
  <c r="AT2292" i="2"/>
  <c r="AY2292" i="2" s="1"/>
  <c r="BH2292" i="2" s="1"/>
  <c r="AT2288" i="2"/>
  <c r="AY2288" i="2" s="1"/>
  <c r="BH2288" i="2" s="1"/>
  <c r="AT2284" i="2"/>
  <c r="AY2284" i="2" s="1"/>
  <c r="BH2284" i="2" s="1"/>
  <c r="AT2280" i="2"/>
  <c r="AY2280" i="2" s="1"/>
  <c r="BH2280" i="2" s="1"/>
  <c r="AT2276" i="2"/>
  <c r="AY2276" i="2" s="1"/>
  <c r="BH2276" i="2" s="1"/>
  <c r="AT2272" i="2"/>
  <c r="AY2272" i="2" s="1"/>
  <c r="BH2272" i="2" s="1"/>
  <c r="AT2268" i="2"/>
  <c r="AY2268" i="2" s="1"/>
  <c r="BH2268" i="2" s="1"/>
  <c r="AT2264" i="2"/>
  <c r="AY2264" i="2" s="1"/>
  <c r="BH2264" i="2" s="1"/>
  <c r="AT2260" i="2"/>
  <c r="AY2260" i="2" s="1"/>
  <c r="BH2260" i="2" s="1"/>
  <c r="AT2256" i="2"/>
  <c r="AY2256" i="2" s="1"/>
  <c r="BH2256" i="2" s="1"/>
  <c r="AT2252" i="2"/>
  <c r="AY2252" i="2" s="1"/>
  <c r="BH2252" i="2" s="1"/>
  <c r="AT2248" i="2"/>
  <c r="AY2248" i="2" s="1"/>
  <c r="BH2248" i="2" s="1"/>
  <c r="AT2244" i="2"/>
  <c r="AY2244" i="2" s="1"/>
  <c r="BH2244" i="2" s="1"/>
  <c r="AT2240" i="2"/>
  <c r="AY2240" i="2" s="1"/>
  <c r="BH2240" i="2" s="1"/>
  <c r="AT2236" i="2"/>
  <c r="AY2236" i="2" s="1"/>
  <c r="BH2236" i="2" s="1"/>
  <c r="AT2232" i="2"/>
  <c r="AY2232" i="2" s="1"/>
  <c r="BH2232" i="2" s="1"/>
  <c r="AT2228" i="2"/>
  <c r="AY2228" i="2" s="1"/>
  <c r="BH2228" i="2" s="1"/>
  <c r="AT2224" i="2"/>
  <c r="AY2224" i="2" s="1"/>
  <c r="BH2224" i="2" s="1"/>
  <c r="AT2220" i="2"/>
  <c r="AY2220" i="2" s="1"/>
  <c r="BH2220" i="2" s="1"/>
  <c r="AT2216" i="2"/>
  <c r="AY2216" i="2" s="1"/>
  <c r="BH2216" i="2" s="1"/>
  <c r="AT2212" i="2"/>
  <c r="AY2212" i="2" s="1"/>
  <c r="BH2212" i="2" s="1"/>
  <c r="AT2208" i="2"/>
  <c r="AY2208" i="2" s="1"/>
  <c r="BH2208" i="2" s="1"/>
  <c r="AT2204" i="2"/>
  <c r="AY2204" i="2" s="1"/>
  <c r="BH2204" i="2" s="1"/>
  <c r="AT2200" i="2"/>
  <c r="AY2200" i="2" s="1"/>
  <c r="BH2200" i="2" s="1"/>
  <c r="AO1652" i="2"/>
  <c r="AJ1652" i="2"/>
  <c r="AE1652" i="2"/>
  <c r="AO1580" i="2"/>
  <c r="AJ1580" i="2"/>
  <c r="AE1580" i="2"/>
  <c r="AE1123" i="2"/>
  <c r="AO1123" i="2"/>
  <c r="AJ1123" i="2"/>
  <c r="AT860" i="2"/>
  <c r="AY860" i="2" s="1"/>
  <c r="BH860" i="2" s="1"/>
  <c r="AT796" i="2"/>
  <c r="AY796" i="2" s="1"/>
  <c r="BH796" i="2" s="1"/>
  <c r="AT732" i="2"/>
  <c r="AY732" i="2" s="1"/>
  <c r="BH732" i="2" s="1"/>
  <c r="AT374" i="2"/>
  <c r="AY374" i="2" s="1"/>
  <c r="BH374" i="2" s="1"/>
  <c r="AE776" i="2"/>
  <c r="AO776" i="2"/>
  <c r="AJ776" i="2"/>
  <c r="AT2097" i="2"/>
  <c r="AY2097" i="2" s="1"/>
  <c r="BH2097" i="2" s="1"/>
  <c r="AT2081" i="2"/>
  <c r="AY2081" i="2" s="1"/>
  <c r="BH2081" i="2" s="1"/>
  <c r="AT2065" i="2"/>
  <c r="AY2065" i="2" s="1"/>
  <c r="BH2065" i="2" s="1"/>
  <c r="AT2049" i="2"/>
  <c r="AY2049" i="2" s="1"/>
  <c r="BH2049" i="2" s="1"/>
  <c r="AE2426" i="2"/>
  <c r="AO2426" i="2"/>
  <c r="AJ2426" i="2"/>
  <c r="AE2410" i="2"/>
  <c r="AO2410" i="2"/>
  <c r="AJ2410" i="2"/>
  <c r="AE2466" i="2"/>
  <c r="AO2466" i="2"/>
  <c r="AJ2466" i="2"/>
  <c r="AE1109" i="2"/>
  <c r="AO1109" i="2"/>
  <c r="AJ1109" i="2"/>
  <c r="AT525" i="2"/>
  <c r="AY525" i="2" s="1"/>
  <c r="BH525" i="2" s="1"/>
  <c r="AT2360" i="2"/>
  <c r="AY2360" i="2" s="1"/>
  <c r="BH2360" i="2" s="1"/>
  <c r="AT2352" i="2"/>
  <c r="AY2352" i="2" s="1"/>
  <c r="BH2352" i="2" s="1"/>
  <c r="AT2328" i="2"/>
  <c r="AY2328" i="2" s="1"/>
  <c r="BH2328" i="2" s="1"/>
  <c r="AO2003" i="2"/>
  <c r="AJ2003" i="2"/>
  <c r="AE2003" i="2"/>
  <c r="BA1835" i="2"/>
  <c r="AU1835" i="2"/>
  <c r="AZ1835" i="2" s="1"/>
  <c r="AO1951" i="2"/>
  <c r="AJ1951" i="2"/>
  <c r="AE1951" i="2"/>
  <c r="AO1943" i="2"/>
  <c r="AJ1943" i="2"/>
  <c r="AE1943" i="2"/>
  <c r="AO1935" i="2"/>
  <c r="AJ1935" i="2"/>
  <c r="AE1935" i="2"/>
  <c r="AO1927" i="2"/>
  <c r="AJ1927" i="2"/>
  <c r="AE1927" i="2"/>
  <c r="AO1919" i="2"/>
  <c r="AJ1919" i="2"/>
  <c r="AE1919" i="2"/>
  <c r="AO1911" i="2"/>
  <c r="AJ1911" i="2"/>
  <c r="AE1911" i="2"/>
  <c r="AO1903" i="2"/>
  <c r="AJ1903" i="2"/>
  <c r="AE1903" i="2"/>
  <c r="AO1895" i="2"/>
  <c r="AJ1895" i="2"/>
  <c r="AE1895" i="2"/>
  <c r="AO1887" i="2"/>
  <c r="AJ1887" i="2"/>
  <c r="AE1887" i="2"/>
  <c r="AO1879" i="2"/>
  <c r="AJ1879" i="2"/>
  <c r="AE1879" i="2"/>
  <c r="AO1871" i="2"/>
  <c r="AJ1871" i="2"/>
  <c r="AE1871" i="2"/>
  <c r="AO1863" i="2"/>
  <c r="AJ1863" i="2"/>
  <c r="AE1863" i="2"/>
  <c r="AO2101" i="2"/>
  <c r="AJ2101" i="2"/>
  <c r="AE2101" i="2"/>
  <c r="AE1834" i="2"/>
  <c r="AJ1834" i="2"/>
  <c r="AO1834" i="2"/>
  <c r="AE1826" i="2"/>
  <c r="AJ1826" i="2"/>
  <c r="AO1826" i="2"/>
  <c r="AE1818" i="2"/>
  <c r="AJ1818" i="2"/>
  <c r="AO1818" i="2"/>
  <c r="AE1810" i="2"/>
  <c r="AJ1810" i="2"/>
  <c r="AO1810" i="2"/>
  <c r="AE1802" i="2"/>
  <c r="AJ1802" i="2"/>
  <c r="AO1802" i="2"/>
  <c r="AE1794" i="2"/>
  <c r="AJ1794" i="2"/>
  <c r="AO1794" i="2"/>
  <c r="AE1786" i="2"/>
  <c r="AJ1786" i="2"/>
  <c r="AO1786" i="2"/>
  <c r="AE1778" i="2"/>
  <c r="AJ1778" i="2"/>
  <c r="AO1778" i="2"/>
  <c r="AE1770" i="2"/>
  <c r="AJ1770" i="2"/>
  <c r="AO1770" i="2"/>
  <c r="AE1762" i="2"/>
  <c r="AJ1762" i="2"/>
  <c r="AO1762" i="2"/>
  <c r="AO1377" i="2"/>
  <c r="AE1377" i="2"/>
  <c r="AJ1377" i="2"/>
  <c r="AO1356" i="2"/>
  <c r="AJ1356" i="2"/>
  <c r="AE1356" i="2"/>
  <c r="AO1198" i="2"/>
  <c r="AJ1198" i="2"/>
  <c r="AE1198" i="2"/>
  <c r="AE1049" i="2"/>
  <c r="AO1049" i="2"/>
  <c r="AJ1049" i="2"/>
  <c r="AT278" i="2"/>
  <c r="AY278" i="2" s="1"/>
  <c r="BH278" i="2" s="1"/>
  <c r="AT228" i="2"/>
  <c r="AY228" i="2" s="1"/>
  <c r="BH228" i="2" s="1"/>
  <c r="AE1038" i="2"/>
  <c r="AO1038" i="2"/>
  <c r="AJ1038" i="2"/>
  <c r="AE1034" i="2"/>
  <c r="AO1034" i="2"/>
  <c r="AJ1034" i="2"/>
  <c r="AE1030" i="2"/>
  <c r="AO1030" i="2"/>
  <c r="AJ1030" i="2"/>
  <c r="AE1026" i="2"/>
  <c r="AO1026" i="2"/>
  <c r="AJ1026" i="2"/>
  <c r="AE1022" i="2"/>
  <c r="AO1022" i="2"/>
  <c r="AJ1022" i="2"/>
  <c r="AE1018" i="2"/>
  <c r="AO1018" i="2"/>
  <c r="AJ1018" i="2"/>
  <c r="AE1014" i="2"/>
  <c r="AO1014" i="2"/>
  <c r="AJ1014" i="2"/>
  <c r="AE1010" i="2"/>
  <c r="AO1010" i="2"/>
  <c r="AJ1010" i="2"/>
  <c r="AE1006" i="2"/>
  <c r="AO1006" i="2"/>
  <c r="AJ1006" i="2"/>
  <c r="AE1002" i="2"/>
  <c r="AO1002" i="2"/>
  <c r="AJ1002" i="2"/>
  <c r="AE998" i="2"/>
  <c r="AO998" i="2"/>
  <c r="AJ998" i="2"/>
  <c r="AE994" i="2"/>
  <c r="AO994" i="2"/>
  <c r="AJ994" i="2"/>
  <c r="AE990" i="2"/>
  <c r="AO990" i="2"/>
  <c r="AJ990" i="2"/>
  <c r="AE986" i="2"/>
  <c r="AO986" i="2"/>
  <c r="AJ986" i="2"/>
  <c r="AE982" i="2"/>
  <c r="AO982" i="2"/>
  <c r="AJ982" i="2"/>
  <c r="AE978" i="2"/>
  <c r="AO978" i="2"/>
  <c r="AJ978" i="2"/>
  <c r="AE974" i="2"/>
  <c r="AO974" i="2"/>
  <c r="AJ974" i="2"/>
  <c r="AE970" i="2"/>
  <c r="AO970" i="2"/>
  <c r="AJ970" i="2"/>
  <c r="AE966" i="2"/>
  <c r="AO966" i="2"/>
  <c r="AJ966" i="2"/>
  <c r="AE962" i="2"/>
  <c r="AO962" i="2"/>
  <c r="AJ962" i="2"/>
  <c r="AE958" i="2"/>
  <c r="AO958" i="2"/>
  <c r="AJ958" i="2"/>
  <c r="AE954" i="2"/>
  <c r="AO954" i="2"/>
  <c r="AJ954" i="2"/>
  <c r="AE950" i="2"/>
  <c r="AO950" i="2"/>
  <c r="AJ950" i="2"/>
  <c r="AE946" i="2"/>
  <c r="AO946" i="2"/>
  <c r="AJ946" i="2"/>
  <c r="AE942" i="2"/>
  <c r="AO942" i="2"/>
  <c r="AJ942" i="2"/>
  <c r="AE938" i="2"/>
  <c r="AO938" i="2"/>
  <c r="AJ938" i="2"/>
  <c r="AT87" i="2"/>
  <c r="AY87" i="2" s="1"/>
  <c r="BH87" i="2" s="1"/>
  <c r="AT1119" i="2"/>
  <c r="AY1119" i="2" s="1"/>
  <c r="BH1119" i="2" s="1"/>
  <c r="AT1055" i="2"/>
  <c r="AY1055" i="2" s="1"/>
  <c r="BH1055" i="2" s="1"/>
  <c r="AJ1327" i="2"/>
  <c r="AE1327" i="2"/>
  <c r="AO1327" i="2"/>
  <c r="AJ1263" i="2"/>
  <c r="AE1263" i="2"/>
  <c r="AO1263" i="2"/>
  <c r="AJ1199" i="2"/>
  <c r="AE1199" i="2"/>
  <c r="AO1199" i="2"/>
  <c r="AT1099" i="2"/>
  <c r="AY1099" i="2" s="1"/>
  <c r="BH1099" i="2" s="1"/>
  <c r="AU1149" i="2"/>
  <c r="AZ1149" i="2" s="1"/>
  <c r="BA1149" i="2"/>
  <c r="AJ1571" i="2"/>
  <c r="AO1571" i="2"/>
  <c r="AE1571" i="2"/>
  <c r="AT363" i="2"/>
  <c r="AY363" i="2" s="1"/>
  <c r="BH363" i="2" s="1"/>
  <c r="AT51" i="2"/>
  <c r="AY51" i="2" s="1"/>
  <c r="BH51" i="2" s="1"/>
  <c r="AT161" i="2"/>
  <c r="AY161" i="2" s="1"/>
  <c r="BH161" i="2" s="1"/>
  <c r="AJ2377" i="2"/>
  <c r="AE2377" i="2"/>
  <c r="AO2377" i="2"/>
  <c r="AJ2369" i="2"/>
  <c r="AE2369" i="2"/>
  <c r="AO2369" i="2"/>
  <c r="AJ2353" i="2"/>
  <c r="AE2353" i="2"/>
  <c r="AO2353" i="2"/>
  <c r="AJ2337" i="2"/>
  <c r="AE2337" i="2"/>
  <c r="AO2337" i="2"/>
  <c r="AJ2329" i="2"/>
  <c r="AE2329" i="2"/>
  <c r="AO2329" i="2"/>
  <c r="AT1637" i="2"/>
  <c r="AY1637" i="2" s="1"/>
  <c r="BH1637" i="2" s="1"/>
  <c r="AT1611" i="2"/>
  <c r="AY1611" i="2" s="1"/>
  <c r="BH1611" i="2" s="1"/>
  <c r="AT1048" i="2"/>
  <c r="AY1048" i="2" s="1"/>
  <c r="BH1048" i="2" s="1"/>
  <c r="AJ538" i="2"/>
  <c r="AE538" i="2"/>
  <c r="AO538" i="2"/>
  <c r="AO276" i="2"/>
  <c r="AJ276" i="2"/>
  <c r="AE276" i="2"/>
  <c r="AJ29" i="2"/>
  <c r="AE29" i="2"/>
  <c r="AO29" i="2"/>
  <c r="AT47" i="2"/>
  <c r="AY47" i="2" s="1"/>
  <c r="BH47" i="2" s="1"/>
  <c r="AT2189" i="2"/>
  <c r="AY2189" i="2" s="1"/>
  <c r="BH2189" i="2" s="1"/>
  <c r="AJ1378" i="2"/>
  <c r="AE1378" i="2"/>
  <c r="AO1378" i="2"/>
  <c r="AT1042" i="2"/>
  <c r="AY1042" i="2" s="1"/>
  <c r="BH1042" i="2" s="1"/>
  <c r="AJ447" i="2"/>
  <c r="AO447" i="2"/>
  <c r="AE447" i="2"/>
  <c r="AJ241" i="2"/>
  <c r="AE241" i="2"/>
  <c r="AO241" i="2"/>
  <c r="AJ235" i="2"/>
  <c r="AE235" i="2"/>
  <c r="AO235" i="2"/>
  <c r="AT98" i="2"/>
  <c r="AY98" i="2" s="1"/>
  <c r="BH98" i="2" s="1"/>
  <c r="AT2494" i="2"/>
  <c r="AY2494" i="2" s="1"/>
  <c r="BH2494" i="2" s="1"/>
  <c r="AO1666" i="2"/>
  <c r="AJ1666" i="2"/>
  <c r="AE1666" i="2"/>
  <c r="AJ167" i="2"/>
  <c r="AO167" i="2"/>
  <c r="AE167" i="2"/>
  <c r="AJ103" i="2"/>
  <c r="AO103" i="2"/>
  <c r="AE103" i="2"/>
  <c r="AJ417" i="2"/>
  <c r="AE417" i="2"/>
  <c r="AO417" i="2"/>
  <c r="AJ273" i="2"/>
  <c r="AE273" i="2"/>
  <c r="AO273" i="2"/>
  <c r="AJ267" i="2"/>
  <c r="AE267" i="2"/>
  <c r="AO267" i="2"/>
  <c r="AJ209" i="2"/>
  <c r="AE209" i="2"/>
  <c r="AO209" i="2"/>
  <c r="AJ431" i="2"/>
  <c r="AO431" i="2"/>
  <c r="AE431" i="2"/>
  <c r="AT1629" i="2"/>
  <c r="AY1629" i="2" s="1"/>
  <c r="BH1629" i="2" s="1"/>
  <c r="AJ1397" i="2"/>
  <c r="AO1397" i="2"/>
  <c r="AE1397" i="2"/>
  <c r="AT322" i="2"/>
  <c r="AY322" i="2" s="1"/>
  <c r="BH322" i="2" s="1"/>
  <c r="AT122" i="2"/>
  <c r="AY122" i="2" s="1"/>
  <c r="BH122" i="2" s="1"/>
  <c r="BA1759" i="2"/>
  <c r="AU1759" i="2"/>
  <c r="AZ1759" i="2" s="1"/>
  <c r="AJ1440" i="2"/>
  <c r="AE1440" i="2"/>
  <c r="AO1440" i="2"/>
  <c r="AO1302" i="2"/>
  <c r="AJ1302" i="2"/>
  <c r="AE1302" i="2"/>
  <c r="AT1504" i="2"/>
  <c r="AY1504" i="2" s="1"/>
  <c r="BH1504" i="2" s="1"/>
  <c r="AT1097" i="2"/>
  <c r="AY1097" i="2" s="1"/>
  <c r="BH1097" i="2" s="1"/>
  <c r="AE848" i="2"/>
  <c r="AO848" i="2"/>
  <c r="AJ848" i="2"/>
  <c r="AE784" i="2"/>
  <c r="AO784" i="2"/>
  <c r="AJ784" i="2"/>
  <c r="AT438" i="2"/>
  <c r="AY438" i="2" s="1"/>
  <c r="BH438" i="2" s="1"/>
  <c r="AJ2477" i="2"/>
  <c r="AE2477" i="2"/>
  <c r="AO2477" i="2"/>
  <c r="AJ2475" i="2"/>
  <c r="AO2475" i="2"/>
  <c r="AE2475" i="2"/>
  <c r="AO474" i="2"/>
  <c r="AJ474" i="2"/>
  <c r="AE474" i="2"/>
  <c r="AT450" i="2"/>
  <c r="AY450" i="2" s="1"/>
  <c r="BH450" i="2" s="1"/>
  <c r="AT2479" i="2"/>
  <c r="AY2479" i="2" s="1"/>
  <c r="BH2479" i="2" s="1"/>
  <c r="AT24" i="2"/>
  <c r="AY24" i="2" s="1"/>
  <c r="BH24" i="2" s="1"/>
  <c r="AT43" i="2"/>
  <c r="AY43" i="2" s="1"/>
  <c r="BH43" i="2" s="1"/>
  <c r="AT2420" i="2"/>
  <c r="AY2420" i="2" s="1"/>
  <c r="BH2420" i="2" s="1"/>
  <c r="AJ2297" i="2"/>
  <c r="AE2297" i="2"/>
  <c r="AO2297" i="2"/>
  <c r="AJ2273" i="2"/>
  <c r="AE2273" i="2"/>
  <c r="AO2273" i="2"/>
  <c r="AJ2249" i="2"/>
  <c r="AE2249" i="2"/>
  <c r="AO2249" i="2"/>
  <c r="AJ2225" i="2"/>
  <c r="AE2225" i="2"/>
  <c r="AO2225" i="2"/>
  <c r="AJ2201" i="2"/>
  <c r="AE2201" i="2"/>
  <c r="AO2201" i="2"/>
  <c r="AJ2251" i="2"/>
  <c r="AO2251" i="2"/>
  <c r="AE2251" i="2"/>
  <c r="AO1174" i="2"/>
  <c r="AJ1174" i="2"/>
  <c r="AE1174" i="2"/>
  <c r="AO1158" i="2"/>
  <c r="AJ1158" i="2"/>
  <c r="AE1158" i="2"/>
  <c r="AT2461" i="2"/>
  <c r="AY2461" i="2" s="1"/>
  <c r="BH2461" i="2" s="1"/>
  <c r="AJ1743" i="2"/>
  <c r="AO1743" i="2"/>
  <c r="AE1743" i="2"/>
  <c r="AJ1727" i="2"/>
  <c r="AO1727" i="2"/>
  <c r="AE1727" i="2"/>
  <c r="AJ1715" i="2"/>
  <c r="AO1715" i="2"/>
  <c r="AE1715" i="2"/>
  <c r="AJ1699" i="2"/>
  <c r="AO1699" i="2"/>
  <c r="AE1699" i="2"/>
  <c r="AJ1687" i="2"/>
  <c r="AO1687" i="2"/>
  <c r="AE1687" i="2"/>
  <c r="AJ1675" i="2"/>
  <c r="AO1675" i="2"/>
  <c r="AE1675" i="2"/>
  <c r="AO1202" i="2"/>
  <c r="AJ1202" i="2"/>
  <c r="AE1202" i="2"/>
  <c r="AT1207" i="2"/>
  <c r="AY1207" i="2" s="1"/>
  <c r="BH1207" i="2" s="1"/>
  <c r="AE1075" i="2"/>
  <c r="AO1075" i="2"/>
  <c r="AJ1075" i="2"/>
  <c r="AT406" i="2"/>
  <c r="AY406" i="2" s="1"/>
  <c r="BH406" i="2" s="1"/>
  <c r="AT92" i="2"/>
  <c r="AY92" i="2" s="1"/>
  <c r="BH92" i="2" s="1"/>
  <c r="AT1859" i="2"/>
  <c r="AY1859" i="2" s="1"/>
  <c r="BH1859" i="2" s="1"/>
  <c r="AT1855" i="2"/>
  <c r="AY1855" i="2" s="1"/>
  <c r="BH1855" i="2" s="1"/>
  <c r="AT1851" i="2"/>
  <c r="AY1851" i="2" s="1"/>
  <c r="BH1851" i="2" s="1"/>
  <c r="AT1535" i="2"/>
  <c r="AY1535" i="2" s="1"/>
  <c r="BH1535" i="2" s="1"/>
  <c r="AT1519" i="2"/>
  <c r="AY1519" i="2" s="1"/>
  <c r="BH1519" i="2" s="1"/>
  <c r="AT1493" i="2"/>
  <c r="AY1493" i="2" s="1"/>
  <c r="BH1493" i="2" s="1"/>
  <c r="AT509" i="2"/>
  <c r="AY509" i="2" s="1"/>
  <c r="BH509" i="2" s="1"/>
  <c r="AT472" i="2"/>
  <c r="AY472" i="2" s="1"/>
  <c r="BH472" i="2" s="1"/>
  <c r="AE2154" i="2"/>
  <c r="AO2154" i="2"/>
  <c r="AJ2154" i="2"/>
  <c r="AO1829" i="2"/>
  <c r="AJ1829" i="2"/>
  <c r="AE1829" i="2"/>
  <c r="AE669" i="2"/>
  <c r="AO669" i="2"/>
  <c r="AJ669" i="2"/>
  <c r="AO2368" i="2"/>
  <c r="AJ2368" i="2"/>
  <c r="AE2368" i="2"/>
  <c r="AO2336" i="2"/>
  <c r="AJ2336" i="2"/>
  <c r="AE2336" i="2"/>
  <c r="AO2320" i="2"/>
  <c r="AJ2320" i="2"/>
  <c r="AE2320" i="2"/>
  <c r="AT1626" i="2"/>
  <c r="AY1626" i="2" s="1"/>
  <c r="BH1626" i="2" s="1"/>
  <c r="AT1632" i="2"/>
  <c r="AY1632" i="2" s="1"/>
  <c r="BH1632" i="2" s="1"/>
  <c r="AT1366" i="2"/>
  <c r="AY1366" i="2" s="1"/>
  <c r="BH1366" i="2" s="1"/>
  <c r="AT462" i="2"/>
  <c r="AY462" i="2" s="1"/>
  <c r="BH462" i="2" s="1"/>
  <c r="AT2456" i="2"/>
  <c r="AY2456" i="2" s="1"/>
  <c r="BH2456" i="2" s="1"/>
  <c r="AJ1742" i="2"/>
  <c r="AO1742" i="2"/>
  <c r="AE1742" i="2"/>
  <c r="AJ1678" i="2"/>
  <c r="AO1678" i="2"/>
  <c r="AE1678" i="2"/>
  <c r="AT83" i="2"/>
  <c r="AY83" i="2" s="1"/>
  <c r="BH83" i="2" s="1"/>
  <c r="AT9" i="2"/>
  <c r="AY9" i="2" s="1"/>
  <c r="BH9" i="2" s="1"/>
  <c r="AT2470" i="2"/>
  <c r="AY2470" i="2" s="1"/>
  <c r="BH2470" i="2" s="1"/>
  <c r="AJ1746" i="2"/>
  <c r="AO1746" i="2"/>
  <c r="AE1746" i="2"/>
  <c r="AJ1682" i="2"/>
  <c r="AO1682" i="2"/>
  <c r="AE1682" i="2"/>
  <c r="AE2042" i="2"/>
  <c r="AJ2042" i="2"/>
  <c r="AO2042" i="2"/>
  <c r="AJ1499" i="2"/>
  <c r="AO1499" i="2"/>
  <c r="AE1499" i="2"/>
  <c r="AJ1495" i="2"/>
  <c r="AO1495" i="2"/>
  <c r="AE1495" i="2"/>
  <c r="BA272" i="2"/>
  <c r="AU272" i="2"/>
  <c r="AZ272" i="2" s="1"/>
  <c r="AT2313" i="2"/>
  <c r="AY2313" i="2" s="1"/>
  <c r="BH2313" i="2" s="1"/>
  <c r="AT2289" i="2"/>
  <c r="AY2289" i="2" s="1"/>
  <c r="BH2289" i="2" s="1"/>
  <c r="AT2265" i="2"/>
  <c r="AY2265" i="2" s="1"/>
  <c r="BH2265" i="2" s="1"/>
  <c r="AT2241" i="2"/>
  <c r="AY2241" i="2" s="1"/>
  <c r="BH2241" i="2" s="1"/>
  <c r="AT2217" i="2"/>
  <c r="AY2217" i="2" s="1"/>
  <c r="BH2217" i="2" s="1"/>
  <c r="AT2283" i="2"/>
  <c r="AY2283" i="2" s="1"/>
  <c r="BH2283" i="2" s="1"/>
  <c r="AT1694" i="2"/>
  <c r="AY1694" i="2" s="1"/>
  <c r="BH1694" i="2" s="1"/>
  <c r="AT357" i="2"/>
  <c r="AY357" i="2" s="1"/>
  <c r="BH357" i="2" s="1"/>
  <c r="AT548" i="2"/>
  <c r="AY548" i="2" s="1"/>
  <c r="BH548" i="2" s="1"/>
  <c r="AT1602" i="2"/>
  <c r="AY1602" i="2" s="1"/>
  <c r="BH1602" i="2" s="1"/>
  <c r="AO1873" i="2"/>
  <c r="AJ1873" i="2"/>
  <c r="AE1873" i="2"/>
  <c r="AT1970" i="2"/>
  <c r="AY1970" i="2" s="1"/>
  <c r="BH1970" i="2" s="1"/>
  <c r="AT2158" i="2"/>
  <c r="AY2158" i="2" s="1"/>
  <c r="BH2158" i="2" s="1"/>
  <c r="AT1804" i="2"/>
  <c r="AY1804" i="2" s="1"/>
  <c r="BH1804" i="2" s="1"/>
  <c r="AT1650" i="2"/>
  <c r="AY1650" i="2" s="1"/>
  <c r="BH1650" i="2" s="1"/>
  <c r="AT1188" i="2"/>
  <c r="AY1188" i="2" s="1"/>
  <c r="BH1188" i="2" s="1"/>
  <c r="AT715" i="2"/>
  <c r="AY715" i="2" s="1"/>
  <c r="BH715" i="2" s="1"/>
  <c r="AT699" i="2"/>
  <c r="AY699" i="2" s="1"/>
  <c r="BH699" i="2" s="1"/>
  <c r="AT683" i="2"/>
  <c r="AY683" i="2" s="1"/>
  <c r="BH683" i="2" s="1"/>
  <c r="AT667" i="2"/>
  <c r="AY667" i="2" s="1"/>
  <c r="BH667" i="2" s="1"/>
  <c r="AT651" i="2"/>
  <c r="AY651" i="2" s="1"/>
  <c r="BH651" i="2" s="1"/>
  <c r="AT635" i="2"/>
  <c r="AY635" i="2" s="1"/>
  <c r="BH635" i="2" s="1"/>
  <c r="AT2414" i="2"/>
  <c r="AY2414" i="2" s="1"/>
  <c r="BH2414" i="2" s="1"/>
  <c r="AE2174" i="2"/>
  <c r="AO2174" i="2"/>
  <c r="AJ2174" i="2"/>
  <c r="AT2148" i="2"/>
  <c r="AY2148" i="2" s="1"/>
  <c r="BH2148" i="2" s="1"/>
  <c r="AT2088" i="2"/>
  <c r="AY2088" i="2" s="1"/>
  <c r="BH2088" i="2" s="1"/>
  <c r="AJ542" i="2"/>
  <c r="AE542" i="2"/>
  <c r="AO542" i="2"/>
  <c r="AO236" i="2"/>
  <c r="AJ236" i="2"/>
  <c r="AE236" i="2"/>
  <c r="AO466" i="2"/>
  <c r="AJ466" i="2"/>
  <c r="AE466" i="2"/>
  <c r="AO94" i="2"/>
  <c r="AJ94" i="2"/>
  <c r="AE94" i="2"/>
  <c r="AE88" i="2"/>
  <c r="AJ88" i="2"/>
  <c r="AO88" i="2"/>
  <c r="AT1576" i="2"/>
  <c r="AY1576" i="2" s="1"/>
  <c r="BH1576" i="2" s="1"/>
  <c r="AT1572" i="2"/>
  <c r="AY1572" i="2" s="1"/>
  <c r="BH1572" i="2" s="1"/>
  <c r="AT1568" i="2"/>
  <c r="AY1568" i="2" s="1"/>
  <c r="BH1568" i="2" s="1"/>
  <c r="AT1564" i="2"/>
  <c r="AY1564" i="2" s="1"/>
  <c r="BH1564" i="2" s="1"/>
  <c r="AT1560" i="2"/>
  <c r="AY1560" i="2" s="1"/>
  <c r="BH1560" i="2" s="1"/>
  <c r="AT1556" i="2"/>
  <c r="AY1556" i="2" s="1"/>
  <c r="BH1556" i="2" s="1"/>
  <c r="AT1552" i="2"/>
  <c r="AY1552" i="2" s="1"/>
  <c r="BH1552" i="2" s="1"/>
  <c r="AT1548" i="2"/>
  <c r="AY1548" i="2" s="1"/>
  <c r="BH1548" i="2" s="1"/>
  <c r="AT1480" i="2"/>
  <c r="AY1480" i="2" s="1"/>
  <c r="BH1480" i="2" s="1"/>
  <c r="AT2458" i="2"/>
  <c r="AY2458" i="2" s="1"/>
  <c r="BH2458" i="2" s="1"/>
  <c r="AT1514" i="2"/>
  <c r="AY1514" i="2" s="1"/>
  <c r="BH1514" i="2" s="1"/>
  <c r="AT1510" i="2"/>
  <c r="AY1510" i="2" s="1"/>
  <c r="BH1510" i="2" s="1"/>
  <c r="AT1500" i="2"/>
  <c r="AY1500" i="2" s="1"/>
  <c r="BH1500" i="2" s="1"/>
  <c r="AT1496" i="2"/>
  <c r="AY1496" i="2" s="1"/>
  <c r="BH1496" i="2" s="1"/>
  <c r="AT1482" i="2"/>
  <c r="AY1482" i="2" s="1"/>
  <c r="BH1482" i="2" s="1"/>
  <c r="AT1478" i="2"/>
  <c r="AY1478" i="2" s="1"/>
  <c r="BH1478" i="2" s="1"/>
  <c r="AT408" i="2"/>
  <c r="AY408" i="2" s="1"/>
  <c r="BH408" i="2" s="1"/>
  <c r="AT1741" i="2"/>
  <c r="AY1741" i="2" s="1"/>
  <c r="BH1741" i="2" s="1"/>
  <c r="AT1725" i="2"/>
  <c r="AY1725" i="2" s="1"/>
  <c r="BH1725" i="2" s="1"/>
  <c r="AT1709" i="2"/>
  <c r="AY1709" i="2" s="1"/>
  <c r="BH1709" i="2" s="1"/>
  <c r="AT1693" i="2"/>
  <c r="AY1693" i="2" s="1"/>
  <c r="BH1693" i="2" s="1"/>
  <c r="AT1677" i="2"/>
  <c r="AY1677" i="2" s="1"/>
  <c r="BH1677" i="2" s="1"/>
  <c r="AT1256" i="2"/>
  <c r="AY1256" i="2" s="1"/>
  <c r="BH1256" i="2" s="1"/>
  <c r="AT424" i="2"/>
  <c r="AY424" i="2" s="1"/>
  <c r="BH424" i="2" s="1"/>
  <c r="AT376" i="2"/>
  <c r="AY376" i="2" s="1"/>
  <c r="BH376" i="2" s="1"/>
  <c r="AT344" i="2"/>
  <c r="AY344" i="2" s="1"/>
  <c r="BH344" i="2" s="1"/>
  <c r="AT454" i="2"/>
  <c r="AY454" i="2" s="1"/>
  <c r="BH454" i="2" s="1"/>
  <c r="AJ2499" i="2"/>
  <c r="AO2499" i="2"/>
  <c r="AE2499" i="2"/>
  <c r="AJ2491" i="2"/>
  <c r="AO2491" i="2"/>
  <c r="AE2491" i="2"/>
  <c r="AT1502" i="2"/>
  <c r="AY1502" i="2" s="1"/>
  <c r="BH1502" i="2" s="1"/>
  <c r="AT482" i="2"/>
  <c r="AY482" i="2" s="1"/>
  <c r="BH482" i="2" s="1"/>
  <c r="AT2253" i="2"/>
  <c r="AY2253" i="2" s="1"/>
  <c r="BH2253" i="2" s="1"/>
  <c r="AT2245" i="2"/>
  <c r="AY2245" i="2" s="1"/>
  <c r="BH2245" i="2" s="1"/>
  <c r="AT2237" i="2"/>
  <c r="AY2237" i="2" s="1"/>
  <c r="BH2237" i="2" s="1"/>
  <c r="AT2213" i="2"/>
  <c r="AY2213" i="2" s="1"/>
  <c r="BH2213" i="2" s="1"/>
  <c r="AT41" i="2"/>
  <c r="AY41" i="2" s="1"/>
  <c r="BH41" i="2" s="1"/>
  <c r="AT305" i="2"/>
  <c r="AY305" i="2" s="1"/>
  <c r="BH305" i="2" s="1"/>
  <c r="AT299" i="2"/>
  <c r="AY299" i="2" s="1"/>
  <c r="BH299" i="2" s="1"/>
  <c r="AO2171" i="2"/>
  <c r="AJ2171" i="2"/>
  <c r="AE2171" i="2"/>
  <c r="AJ317" i="2"/>
  <c r="AE317" i="2"/>
  <c r="AO317" i="2"/>
  <c r="AT1125" i="2"/>
  <c r="AY1125" i="2" s="1"/>
  <c r="BH1125" i="2" s="1"/>
  <c r="AT1061" i="2"/>
  <c r="AY1061" i="2" s="1"/>
  <c r="BH1061" i="2" s="1"/>
  <c r="AT934" i="2"/>
  <c r="AY934" i="2" s="1"/>
  <c r="BH934" i="2" s="1"/>
  <c r="AT506" i="2"/>
  <c r="AY506" i="2" s="1"/>
  <c r="BH506" i="2" s="1"/>
  <c r="AT552" i="2"/>
  <c r="AY552" i="2" s="1"/>
  <c r="BH552" i="2" s="1"/>
  <c r="AT212" i="2"/>
  <c r="AY212" i="2" s="1"/>
  <c r="BH212" i="2" s="1"/>
  <c r="AT2045" i="2"/>
  <c r="AY2045" i="2" s="1"/>
  <c r="BH2045" i="2" s="1"/>
  <c r="AE808" i="2"/>
  <c r="AO808" i="2"/>
  <c r="AJ808" i="2"/>
  <c r="AT2187" i="2"/>
  <c r="AY2187" i="2" s="1"/>
  <c r="BH2187" i="2" s="1"/>
  <c r="AT2153" i="2"/>
  <c r="AY2153" i="2" s="1"/>
  <c r="BH2153" i="2" s="1"/>
  <c r="AT2197" i="2"/>
  <c r="AY2197" i="2" s="1"/>
  <c r="BH2197" i="2" s="1"/>
  <c r="AT724" i="2"/>
  <c r="AY724" i="2" s="1"/>
  <c r="BH724" i="2" s="1"/>
  <c r="AT720" i="2"/>
  <c r="AY720" i="2" s="1"/>
  <c r="BH720" i="2" s="1"/>
  <c r="AT716" i="2"/>
  <c r="AY716" i="2" s="1"/>
  <c r="BH716" i="2" s="1"/>
  <c r="AT712" i="2"/>
  <c r="AY712" i="2" s="1"/>
  <c r="BH712" i="2" s="1"/>
  <c r="AT708" i="2"/>
  <c r="AY708" i="2" s="1"/>
  <c r="BH708" i="2" s="1"/>
  <c r="AT704" i="2"/>
  <c r="AY704" i="2" s="1"/>
  <c r="BH704" i="2" s="1"/>
  <c r="AT700" i="2"/>
  <c r="AY700" i="2" s="1"/>
  <c r="BH700" i="2" s="1"/>
  <c r="AT696" i="2"/>
  <c r="AY696" i="2" s="1"/>
  <c r="BH696" i="2" s="1"/>
  <c r="AT692" i="2"/>
  <c r="AY692" i="2" s="1"/>
  <c r="BH692" i="2" s="1"/>
  <c r="AT688" i="2"/>
  <c r="AY688" i="2" s="1"/>
  <c r="BH688" i="2" s="1"/>
  <c r="AT684" i="2"/>
  <c r="AY684" i="2" s="1"/>
  <c r="BH684" i="2" s="1"/>
  <c r="AT680" i="2"/>
  <c r="AY680" i="2" s="1"/>
  <c r="BH680" i="2" s="1"/>
  <c r="AT676" i="2"/>
  <c r="AY676" i="2" s="1"/>
  <c r="BH676" i="2" s="1"/>
  <c r="AT672" i="2"/>
  <c r="AY672" i="2" s="1"/>
  <c r="BH672" i="2" s="1"/>
  <c r="AT668" i="2"/>
  <c r="AY668" i="2" s="1"/>
  <c r="BH668" i="2" s="1"/>
  <c r="AT664" i="2"/>
  <c r="AY664" i="2" s="1"/>
  <c r="BH664" i="2" s="1"/>
  <c r="AT660" i="2"/>
  <c r="AY660" i="2" s="1"/>
  <c r="BH660" i="2" s="1"/>
  <c r="AT656" i="2"/>
  <c r="AY656" i="2" s="1"/>
  <c r="BH656" i="2" s="1"/>
  <c r="AT652" i="2"/>
  <c r="AY652" i="2" s="1"/>
  <c r="BH652" i="2" s="1"/>
  <c r="AT648" i="2"/>
  <c r="AY648" i="2" s="1"/>
  <c r="BH648" i="2" s="1"/>
  <c r="AT644" i="2"/>
  <c r="AY644" i="2" s="1"/>
  <c r="BH644" i="2" s="1"/>
  <c r="AT640" i="2"/>
  <c r="AY640" i="2" s="1"/>
  <c r="BH640" i="2" s="1"/>
  <c r="AT636" i="2"/>
  <c r="AY636" i="2" s="1"/>
  <c r="BH636" i="2" s="1"/>
  <c r="AT632" i="2"/>
  <c r="AY632" i="2" s="1"/>
  <c r="BH632" i="2" s="1"/>
  <c r="AT628" i="2"/>
  <c r="AY628" i="2" s="1"/>
  <c r="BH628" i="2" s="1"/>
  <c r="AT624" i="2"/>
  <c r="AY624" i="2" s="1"/>
  <c r="BH624" i="2" s="1"/>
  <c r="AT620" i="2"/>
  <c r="AY620" i="2" s="1"/>
  <c r="BH620" i="2" s="1"/>
  <c r="AO2140" i="2"/>
  <c r="AJ2140" i="2"/>
  <c r="AE2140" i="2"/>
  <c r="AO2138" i="2"/>
  <c r="AJ2138" i="2"/>
  <c r="AE2138" i="2"/>
  <c r="AO2136" i="2"/>
  <c r="AJ2136" i="2"/>
  <c r="AE2136" i="2"/>
  <c r="AO2134" i="2"/>
  <c r="AJ2134" i="2"/>
  <c r="AE2134" i="2"/>
  <c r="AO2132" i="2"/>
  <c r="AJ2132" i="2"/>
  <c r="AE2132" i="2"/>
  <c r="AO2130" i="2"/>
  <c r="AJ2130" i="2"/>
  <c r="AE2130" i="2"/>
  <c r="AO2128" i="2"/>
  <c r="AJ2128" i="2"/>
  <c r="AE2128" i="2"/>
  <c r="AO2126" i="2"/>
  <c r="AJ2126" i="2"/>
  <c r="AE2126" i="2"/>
  <c r="AO2124" i="2"/>
  <c r="AJ2124" i="2"/>
  <c r="AE2124" i="2"/>
  <c r="AO2122" i="2"/>
  <c r="AJ2122" i="2"/>
  <c r="AE2122" i="2"/>
  <c r="AO2120" i="2"/>
  <c r="AJ2120" i="2"/>
  <c r="AE2120" i="2"/>
  <c r="AO2118" i="2"/>
  <c r="AJ2118" i="2"/>
  <c r="AE2118" i="2"/>
  <c r="AO2116" i="2"/>
  <c r="AJ2116" i="2"/>
  <c r="AE2116" i="2"/>
  <c r="AO154" i="2"/>
  <c r="AJ154" i="2"/>
  <c r="AE154" i="2"/>
  <c r="AO410" i="2"/>
  <c r="AJ410" i="2"/>
  <c r="AE410" i="2"/>
  <c r="AO1039" i="2"/>
  <c r="AE1039" i="2"/>
  <c r="AJ1039" i="2"/>
  <c r="AO1037" i="2"/>
  <c r="AE1037" i="2"/>
  <c r="AJ1037" i="2"/>
  <c r="AO1035" i="2"/>
  <c r="AE1035" i="2"/>
  <c r="AJ1035" i="2"/>
  <c r="AO1033" i="2"/>
  <c r="AE1033" i="2"/>
  <c r="AJ1033" i="2"/>
  <c r="AO1031" i="2"/>
  <c r="AE1031" i="2"/>
  <c r="AJ1031" i="2"/>
  <c r="AO1029" i="2"/>
  <c r="AE1029" i="2"/>
  <c r="AJ1029" i="2"/>
  <c r="AO1027" i="2"/>
  <c r="AE1027" i="2"/>
  <c r="AJ1027" i="2"/>
  <c r="AO1025" i="2"/>
  <c r="AE1025" i="2"/>
  <c r="AJ1025" i="2"/>
  <c r="AO1023" i="2"/>
  <c r="AE1023" i="2"/>
  <c r="AJ1023" i="2"/>
  <c r="AO1021" i="2"/>
  <c r="AE1021" i="2"/>
  <c r="AJ1021" i="2"/>
  <c r="AO1019" i="2"/>
  <c r="AE1019" i="2"/>
  <c r="AJ1019" i="2"/>
  <c r="AO1017" i="2"/>
  <c r="AE1017" i="2"/>
  <c r="AJ1017" i="2"/>
  <c r="AO1015" i="2"/>
  <c r="AE1015" i="2"/>
  <c r="AJ1015" i="2"/>
  <c r="AO1013" i="2"/>
  <c r="AE1013" i="2"/>
  <c r="AJ1013" i="2"/>
  <c r="AO1011" i="2"/>
  <c r="AE1011" i="2"/>
  <c r="AJ1011" i="2"/>
  <c r="AO1009" i="2"/>
  <c r="AE1009" i="2"/>
  <c r="AJ1009" i="2"/>
  <c r="AO1007" i="2"/>
  <c r="AE1007" i="2"/>
  <c r="AJ1007" i="2"/>
  <c r="AO1005" i="2"/>
  <c r="AE1005" i="2"/>
  <c r="AJ1005" i="2"/>
  <c r="AO1003" i="2"/>
  <c r="AE1003" i="2"/>
  <c r="AJ1003" i="2"/>
  <c r="AO1001" i="2"/>
  <c r="AE1001" i="2"/>
  <c r="AJ1001" i="2"/>
  <c r="AO999" i="2"/>
  <c r="AE999" i="2"/>
  <c r="AJ999" i="2"/>
  <c r="AO997" i="2"/>
  <c r="AE997" i="2"/>
  <c r="AJ997" i="2"/>
  <c r="AO995" i="2"/>
  <c r="AE995" i="2"/>
  <c r="AJ995" i="2"/>
  <c r="AO993" i="2"/>
  <c r="AE993" i="2"/>
  <c r="AJ993" i="2"/>
  <c r="AO991" i="2"/>
  <c r="AE991" i="2"/>
  <c r="AJ991" i="2"/>
  <c r="AO989" i="2"/>
  <c r="AE989" i="2"/>
  <c r="AJ989" i="2"/>
  <c r="AO987" i="2"/>
  <c r="AE987" i="2"/>
  <c r="AJ987" i="2"/>
  <c r="AO985" i="2"/>
  <c r="AE985" i="2"/>
  <c r="AJ985" i="2"/>
  <c r="AO983" i="2"/>
  <c r="AE983" i="2"/>
  <c r="AJ983" i="2"/>
  <c r="AO981" i="2"/>
  <c r="AE981" i="2"/>
  <c r="AJ981" i="2"/>
  <c r="AO979" i="2"/>
  <c r="AE979" i="2"/>
  <c r="AJ979" i="2"/>
  <c r="AO977" i="2"/>
  <c r="AE977" i="2"/>
  <c r="AJ977" i="2"/>
  <c r="AO975" i="2"/>
  <c r="AE975" i="2"/>
  <c r="AJ975" i="2"/>
  <c r="AO973" i="2"/>
  <c r="AE973" i="2"/>
  <c r="AJ973" i="2"/>
  <c r="AO971" i="2"/>
  <c r="AE971" i="2"/>
  <c r="AJ971" i="2"/>
  <c r="AO969" i="2"/>
  <c r="AE969" i="2"/>
  <c r="AJ969" i="2"/>
  <c r="AO967" i="2"/>
  <c r="AE967" i="2"/>
  <c r="AJ967" i="2"/>
  <c r="AO965" i="2"/>
  <c r="AE965" i="2"/>
  <c r="AJ965" i="2"/>
  <c r="AO963" i="2"/>
  <c r="AE963" i="2"/>
  <c r="AJ963" i="2"/>
  <c r="AO961" i="2"/>
  <c r="AE961" i="2"/>
  <c r="AJ961" i="2"/>
  <c r="AO959" i="2"/>
  <c r="AE959" i="2"/>
  <c r="AJ959" i="2"/>
  <c r="AO957" i="2"/>
  <c r="AE957" i="2"/>
  <c r="AJ957" i="2"/>
  <c r="AO955" i="2"/>
  <c r="AE955" i="2"/>
  <c r="AJ955" i="2"/>
  <c r="AO953" i="2"/>
  <c r="AE953" i="2"/>
  <c r="AJ953" i="2"/>
  <c r="AO951" i="2"/>
  <c r="AE951" i="2"/>
  <c r="AJ951" i="2"/>
  <c r="AO949" i="2"/>
  <c r="AE949" i="2"/>
  <c r="AJ949" i="2"/>
  <c r="AO947" i="2"/>
  <c r="AE947" i="2"/>
  <c r="AJ947" i="2"/>
  <c r="AO945" i="2"/>
  <c r="AE945" i="2"/>
  <c r="AJ945" i="2"/>
  <c r="AO943" i="2"/>
  <c r="AE943" i="2"/>
  <c r="AJ943" i="2"/>
  <c r="AO941" i="2"/>
  <c r="AE941" i="2"/>
  <c r="AJ941" i="2"/>
  <c r="AO939" i="2"/>
  <c r="AE939" i="2"/>
  <c r="AJ939" i="2"/>
  <c r="AO937" i="2"/>
  <c r="AE937" i="2"/>
  <c r="AJ937" i="2"/>
  <c r="AO935" i="2"/>
  <c r="AE935" i="2"/>
  <c r="AJ935" i="2"/>
  <c r="AO933" i="2"/>
  <c r="AE933" i="2"/>
  <c r="AJ933" i="2"/>
  <c r="AT861" i="2"/>
  <c r="AY861" i="2" s="1"/>
  <c r="BH861" i="2" s="1"/>
  <c r="AT829" i="2"/>
  <c r="AY829" i="2" s="1"/>
  <c r="BH829" i="2" s="1"/>
  <c r="AT797" i="2"/>
  <c r="AY797" i="2" s="1"/>
  <c r="BH797" i="2" s="1"/>
  <c r="AT765" i="2"/>
  <c r="AY765" i="2" s="1"/>
  <c r="BH765" i="2" s="1"/>
  <c r="AT733" i="2"/>
  <c r="AY733" i="2" s="1"/>
  <c r="BH733" i="2" s="1"/>
  <c r="AT2459" i="2"/>
  <c r="AY2459" i="2" s="1"/>
  <c r="BH2459" i="2" s="1"/>
  <c r="AT2443" i="2"/>
  <c r="AY2443" i="2" s="1"/>
  <c r="BH2443" i="2" s="1"/>
  <c r="AT2419" i="2"/>
  <c r="AY2419" i="2" s="1"/>
  <c r="BH2419" i="2" s="1"/>
  <c r="AT1734" i="2"/>
  <c r="AY1734" i="2" s="1"/>
  <c r="BH1734" i="2" s="1"/>
  <c r="AT1670" i="2"/>
  <c r="AY1670" i="2" s="1"/>
  <c r="BH1670" i="2" s="1"/>
  <c r="AT142" i="2"/>
  <c r="AY142" i="2" s="1"/>
  <c r="BH142" i="2" s="1"/>
  <c r="AT1722" i="2"/>
  <c r="AY1722" i="2" s="1"/>
  <c r="BH1722" i="2" s="1"/>
  <c r="AJ1476" i="2"/>
  <c r="AE1476" i="2"/>
  <c r="AO1476" i="2"/>
  <c r="AT1750" i="2"/>
  <c r="AY1750" i="2" s="1"/>
  <c r="BH1750" i="2" s="1"/>
  <c r="AT2416" i="2"/>
  <c r="AY2416" i="2" s="1"/>
  <c r="BH2416" i="2" s="1"/>
  <c r="AE1772" i="2"/>
  <c r="AO1772" i="2"/>
  <c r="AJ1772" i="2"/>
  <c r="BA1807" i="2"/>
  <c r="AU1807" i="2"/>
  <c r="AZ1807" i="2" s="1"/>
  <c r="AT1111" i="2"/>
  <c r="AY1111" i="2" s="1"/>
  <c r="BH1111" i="2" s="1"/>
  <c r="AE2394" i="2"/>
  <c r="AO2394" i="2"/>
  <c r="AJ2394" i="2"/>
  <c r="AT2068" i="2"/>
  <c r="AY2068" i="2" s="1"/>
  <c r="BH2068" i="2" s="1"/>
  <c r="AE2150" i="2"/>
  <c r="AO2150" i="2"/>
  <c r="AJ2150" i="2"/>
  <c r="AJ1754" i="2"/>
  <c r="AO1754" i="2"/>
  <c r="AE1754" i="2"/>
  <c r="AJ1690" i="2"/>
  <c r="AO1690" i="2"/>
  <c r="AE1690" i="2"/>
  <c r="AE681" i="2"/>
  <c r="AO681" i="2"/>
  <c r="AJ681" i="2"/>
  <c r="AJ1203" i="2"/>
  <c r="AE1203" i="2"/>
  <c r="AO1203" i="2"/>
  <c r="AT1095" i="2"/>
  <c r="AY1095" i="2" s="1"/>
  <c r="BH1095" i="2" s="1"/>
  <c r="AJ1392" i="2"/>
  <c r="AE1392" i="2"/>
  <c r="AO1392" i="2"/>
  <c r="AT2497" i="2"/>
  <c r="AY2497" i="2" s="1"/>
  <c r="BH2497" i="2" s="1"/>
  <c r="AT2489" i="2"/>
  <c r="AY2489" i="2" s="1"/>
  <c r="BH2489" i="2" s="1"/>
  <c r="AO1955" i="2"/>
  <c r="AJ1955" i="2"/>
  <c r="AE1955" i="2"/>
  <c r="AT1286" i="2"/>
  <c r="AY1286" i="2" s="1"/>
  <c r="BH1286" i="2" s="1"/>
  <c r="AT2390" i="2"/>
  <c r="AY2390" i="2" s="1"/>
  <c r="BH2390" i="2" s="1"/>
  <c r="AT2382" i="2"/>
  <c r="AY2382" i="2" s="1"/>
  <c r="BH2382" i="2" s="1"/>
  <c r="AT2374" i="2"/>
  <c r="AY2374" i="2" s="1"/>
  <c r="BH2374" i="2" s="1"/>
  <c r="AT2366" i="2"/>
  <c r="AY2366" i="2" s="1"/>
  <c r="BH2366" i="2" s="1"/>
  <c r="AT2358" i="2"/>
  <c r="AY2358" i="2" s="1"/>
  <c r="BH2358" i="2" s="1"/>
  <c r="AT2350" i="2"/>
  <c r="AY2350" i="2" s="1"/>
  <c r="BH2350" i="2" s="1"/>
  <c r="AT2342" i="2"/>
  <c r="AY2342" i="2" s="1"/>
  <c r="BH2342" i="2" s="1"/>
  <c r="AT2334" i="2"/>
  <c r="AY2334" i="2" s="1"/>
  <c r="BH2334" i="2" s="1"/>
  <c r="AT2326" i="2"/>
  <c r="AY2326" i="2" s="1"/>
  <c r="BH2326" i="2" s="1"/>
  <c r="AT2318" i="2"/>
  <c r="AY2318" i="2" s="1"/>
  <c r="BH2318" i="2" s="1"/>
  <c r="AT308" i="2"/>
  <c r="AY308" i="2" s="1"/>
  <c r="BH308" i="2" s="1"/>
  <c r="AT30" i="2"/>
  <c r="AY30" i="2" s="1"/>
  <c r="BH30" i="2" s="1"/>
  <c r="AO1817" i="2"/>
  <c r="AJ1817" i="2"/>
  <c r="AE1817" i="2"/>
  <c r="AT1780" i="2"/>
  <c r="AY1780" i="2" s="1"/>
  <c r="BH1780" i="2" s="1"/>
  <c r="AT1764" i="2"/>
  <c r="AY1764" i="2" s="1"/>
  <c r="BH1764" i="2" s="1"/>
  <c r="AT1341" i="2"/>
  <c r="AY1341" i="2" s="1"/>
  <c r="BH1341" i="2" s="1"/>
  <c r="AT1277" i="2"/>
  <c r="AY1277" i="2" s="1"/>
  <c r="BH1277" i="2" s="1"/>
  <c r="AT1213" i="2"/>
  <c r="AY1213" i="2" s="1"/>
  <c r="BH1213" i="2" s="1"/>
  <c r="AJ399" i="2"/>
  <c r="AO399" i="2"/>
  <c r="AE399" i="2"/>
  <c r="AJ391" i="2"/>
  <c r="AO391" i="2"/>
  <c r="AE391" i="2"/>
  <c r="AJ383" i="2"/>
  <c r="AO383" i="2"/>
  <c r="AE383" i="2"/>
  <c r="AJ375" i="2"/>
  <c r="AO375" i="2"/>
  <c r="AE375" i="2"/>
  <c r="AJ367" i="2"/>
  <c r="AO367" i="2"/>
  <c r="AE367" i="2"/>
  <c r="AJ359" i="2"/>
  <c r="AO359" i="2"/>
  <c r="AE359" i="2"/>
  <c r="AJ351" i="2"/>
  <c r="AO351" i="2"/>
  <c r="AE351" i="2"/>
  <c r="AJ343" i="2"/>
  <c r="AO343" i="2"/>
  <c r="AE343" i="2"/>
  <c r="AJ335" i="2"/>
  <c r="AO335" i="2"/>
  <c r="AE335" i="2"/>
  <c r="AJ327" i="2"/>
  <c r="AO327" i="2"/>
  <c r="AE327" i="2"/>
  <c r="AJ191" i="2"/>
  <c r="AO191" i="2"/>
  <c r="AE191" i="2"/>
  <c r="AT60" i="2"/>
  <c r="AY60" i="2" s="1"/>
  <c r="BH60" i="2" s="1"/>
  <c r="AT1445" i="2"/>
  <c r="AY1445" i="2" s="1"/>
  <c r="BH1445" i="2" s="1"/>
  <c r="AO1620" i="2"/>
  <c r="AJ1620" i="2"/>
  <c r="AE1620" i="2"/>
  <c r="AJ455" i="2"/>
  <c r="AO455" i="2"/>
  <c r="AE455" i="2"/>
  <c r="AJ159" i="2"/>
  <c r="AO159" i="2"/>
  <c r="AE159" i="2"/>
  <c r="BA1795" i="2"/>
  <c r="AU1795" i="2"/>
  <c r="AZ1795" i="2" s="1"/>
  <c r="AO1660" i="2"/>
  <c r="AJ1660" i="2"/>
  <c r="AE1660" i="2"/>
  <c r="AT1375" i="2"/>
  <c r="AY1375" i="2" s="1"/>
  <c r="BH1375" i="2" s="1"/>
  <c r="AT1370" i="2"/>
  <c r="AY1370" i="2" s="1"/>
  <c r="BH1370" i="2" s="1"/>
  <c r="AJ1411" i="2"/>
  <c r="AO1411" i="2"/>
  <c r="AE1411" i="2"/>
  <c r="AJ1395" i="2"/>
  <c r="AO1395" i="2"/>
  <c r="AE1395" i="2"/>
  <c r="AT1298" i="2"/>
  <c r="AY1298" i="2" s="1"/>
  <c r="BH1298" i="2" s="1"/>
  <c r="AT342" i="2"/>
  <c r="AY342" i="2" s="1"/>
  <c r="BH342" i="2" s="1"/>
  <c r="BA112" i="2"/>
  <c r="AU112" i="2"/>
  <c r="AZ112" i="2" s="1"/>
  <c r="AT1642" i="2"/>
  <c r="AY1642" i="2" s="1"/>
  <c r="BH1642" i="2" s="1"/>
  <c r="AO503" i="2"/>
  <c r="AJ503" i="2"/>
  <c r="AE503" i="2"/>
  <c r="AO499" i="2"/>
  <c r="AJ499" i="2"/>
  <c r="AE499" i="2"/>
  <c r="AO495" i="2"/>
  <c r="AJ495" i="2"/>
  <c r="AE495" i="2"/>
  <c r="AT183" i="2"/>
  <c r="AY183" i="2" s="1"/>
  <c r="BH183" i="2" s="1"/>
  <c r="AT119" i="2"/>
  <c r="AY119" i="2" s="1"/>
  <c r="BH119" i="2" s="1"/>
  <c r="AE2143" i="2"/>
  <c r="AO2143" i="2"/>
  <c r="AJ2143" i="2"/>
  <c r="AO519" i="2"/>
  <c r="AJ519" i="2"/>
  <c r="AE519" i="2"/>
  <c r="AT33" i="2"/>
  <c r="AY33" i="2" s="1"/>
  <c r="BH33" i="2" s="1"/>
  <c r="AE28" i="2"/>
  <c r="AJ28" i="2"/>
  <c r="AO28" i="2"/>
  <c r="AJ1431" i="2"/>
  <c r="AO1431" i="2"/>
  <c r="AE1431" i="2"/>
  <c r="AJ1181" i="2"/>
  <c r="AE1181" i="2"/>
  <c r="AO1181" i="2"/>
  <c r="AT498" i="2"/>
  <c r="AY498" i="2" s="1"/>
  <c r="BH498" i="2" s="1"/>
  <c r="AE1838" i="2"/>
  <c r="AJ1838" i="2"/>
  <c r="AO1838" i="2"/>
  <c r="AT2393" i="2"/>
  <c r="AY2393" i="2" s="1"/>
  <c r="BH2393" i="2" s="1"/>
  <c r="AJ177" i="2"/>
  <c r="AE177" i="2"/>
  <c r="AO177" i="2"/>
  <c r="AJ113" i="2"/>
  <c r="AE113" i="2"/>
  <c r="AO113" i="2"/>
  <c r="AJ173" i="2"/>
  <c r="AE173" i="2"/>
  <c r="AO173" i="2"/>
  <c r="BA1787" i="2"/>
  <c r="AU1787" i="2"/>
  <c r="AZ1787" i="2" s="1"/>
  <c r="AO1646" i="2"/>
  <c r="AJ1646" i="2"/>
  <c r="AE1646" i="2"/>
  <c r="AT1461" i="2"/>
  <c r="AY1461" i="2" s="1"/>
  <c r="BH1461" i="2" s="1"/>
  <c r="AE828" i="2"/>
  <c r="AO828" i="2"/>
  <c r="AJ828" i="2"/>
  <c r="AE764" i="2"/>
  <c r="AO764" i="2"/>
  <c r="AJ764" i="2"/>
  <c r="AT426" i="2"/>
  <c r="AY426" i="2" s="1"/>
  <c r="BH426" i="2" s="1"/>
  <c r="AT62" i="2"/>
  <c r="AY62" i="2" s="1"/>
  <c r="BH62" i="2" s="1"/>
  <c r="AT56" i="2"/>
  <c r="AY56" i="2" s="1"/>
  <c r="BH56" i="2" s="1"/>
  <c r="AT50" i="2"/>
  <c r="AY50" i="2" s="1"/>
  <c r="BH50" i="2" s="1"/>
  <c r="AJ463" i="2"/>
  <c r="AO463" i="2"/>
  <c r="AE463" i="2"/>
  <c r="AJ111" i="2"/>
  <c r="AO111" i="2"/>
  <c r="AE111" i="2"/>
  <c r="AO2415" i="2"/>
  <c r="AJ2415" i="2"/>
  <c r="AE2415" i="2"/>
  <c r="AJ1427" i="2"/>
  <c r="AO1427" i="2"/>
  <c r="AE1427" i="2"/>
  <c r="AJ1631" i="2"/>
  <c r="AE1631" i="2"/>
  <c r="AO1631" i="2"/>
  <c r="AT309" i="2"/>
  <c r="AY309" i="2" s="1"/>
  <c r="BH309" i="2" s="1"/>
  <c r="AT1443" i="2"/>
  <c r="AY1443" i="2" s="1"/>
  <c r="BH1443" i="2" s="1"/>
  <c r="BA931" i="2"/>
  <c r="AU931" i="2"/>
  <c r="AZ931" i="2" s="1"/>
  <c r="BA915" i="2"/>
  <c r="AU915" i="2"/>
  <c r="AZ915" i="2" s="1"/>
  <c r="BA899" i="2"/>
  <c r="AU899" i="2"/>
  <c r="AZ899" i="2" s="1"/>
  <c r="AE2464" i="2"/>
  <c r="AO2464" i="2"/>
  <c r="AJ2464" i="2"/>
  <c r="AE2402" i="2"/>
  <c r="AO2402" i="2"/>
  <c r="AJ2402" i="2"/>
  <c r="AT2046" i="2"/>
  <c r="AY2046" i="2" s="1"/>
  <c r="BH2046" i="2" s="1"/>
  <c r="AO2071" i="2"/>
  <c r="AJ2071" i="2"/>
  <c r="AE2071" i="2"/>
  <c r="AT1594" i="2"/>
  <c r="AY1594" i="2" s="1"/>
  <c r="BH1594" i="2" s="1"/>
  <c r="AT1586" i="2"/>
  <c r="AY1586" i="2" s="1"/>
  <c r="BH1586" i="2" s="1"/>
  <c r="AT1664" i="2"/>
  <c r="AY1664" i="2" s="1"/>
  <c r="BH1664" i="2" s="1"/>
  <c r="AT1334" i="2"/>
  <c r="AY1334" i="2" s="1"/>
  <c r="BH1334" i="2" s="1"/>
  <c r="AT1270" i="2"/>
  <c r="AY1270" i="2" s="1"/>
  <c r="BH1270" i="2" s="1"/>
  <c r="AT1206" i="2"/>
  <c r="AY1206" i="2" s="1"/>
  <c r="BH1206" i="2" s="1"/>
  <c r="AT218" i="2"/>
  <c r="AY218" i="2" s="1"/>
  <c r="BH218" i="2" s="1"/>
  <c r="AJ2108" i="2"/>
  <c r="AE2108" i="2"/>
  <c r="AO2108" i="2"/>
  <c r="AT2146" i="2"/>
  <c r="AY2146" i="2" s="1"/>
  <c r="BH2146" i="2" s="1"/>
  <c r="AJ1952" i="2"/>
  <c r="AE1952" i="2"/>
  <c r="AO1952" i="2"/>
  <c r="AJ1944" i="2"/>
  <c r="AE1944" i="2"/>
  <c r="AO1944" i="2"/>
  <c r="AJ1936" i="2"/>
  <c r="AE1936" i="2"/>
  <c r="AO1936" i="2"/>
  <c r="AJ1928" i="2"/>
  <c r="AE1928" i="2"/>
  <c r="AO1928" i="2"/>
  <c r="AJ1920" i="2"/>
  <c r="AE1920" i="2"/>
  <c r="AO1920" i="2"/>
  <c r="AJ1912" i="2"/>
  <c r="AE1912" i="2"/>
  <c r="AO1912" i="2"/>
  <c r="AJ1904" i="2"/>
  <c r="AE1904" i="2"/>
  <c r="AO1904" i="2"/>
  <c r="AJ1896" i="2"/>
  <c r="AE1896" i="2"/>
  <c r="AO1896" i="2"/>
  <c r="AJ1888" i="2"/>
  <c r="AE1888" i="2"/>
  <c r="AO1888" i="2"/>
  <c r="AJ1880" i="2"/>
  <c r="AE1880" i="2"/>
  <c r="AO1880" i="2"/>
  <c r="AJ1872" i="2"/>
  <c r="AE1872" i="2"/>
  <c r="AO1872" i="2"/>
  <c r="AJ1864" i="2"/>
  <c r="AE1864" i="2"/>
  <c r="AO1864" i="2"/>
  <c r="AT65" i="2"/>
  <c r="AY65" i="2" s="1"/>
  <c r="BH65" i="2" s="1"/>
  <c r="AJ27" i="2"/>
  <c r="AO27" i="2"/>
  <c r="AE27" i="2"/>
  <c r="AT2386" i="2"/>
  <c r="AY2386" i="2" s="1"/>
  <c r="BH2386" i="2" s="1"/>
  <c r="AT2378" i="2"/>
  <c r="AY2378" i="2" s="1"/>
  <c r="BH2378" i="2" s="1"/>
  <c r="AT2370" i="2"/>
  <c r="AY2370" i="2" s="1"/>
  <c r="BH2370" i="2" s="1"/>
  <c r="AT2362" i="2"/>
  <c r="AY2362" i="2" s="1"/>
  <c r="BH2362" i="2" s="1"/>
  <c r="AT2354" i="2"/>
  <c r="AY2354" i="2" s="1"/>
  <c r="BH2354" i="2" s="1"/>
  <c r="AT2346" i="2"/>
  <c r="AY2346" i="2" s="1"/>
  <c r="BH2346" i="2" s="1"/>
  <c r="AT2338" i="2"/>
  <c r="AY2338" i="2" s="1"/>
  <c r="BH2338" i="2" s="1"/>
  <c r="AT2330" i="2"/>
  <c r="AY2330" i="2" s="1"/>
  <c r="BH2330" i="2" s="1"/>
  <c r="AT2322" i="2"/>
  <c r="AY2322" i="2" s="1"/>
  <c r="BH2322" i="2" s="1"/>
  <c r="AO1987" i="2"/>
  <c r="AJ1987" i="2"/>
  <c r="AE1987" i="2"/>
  <c r="AT1457" i="2"/>
  <c r="AY1457" i="2" s="1"/>
  <c r="BH1457" i="2" s="1"/>
  <c r="AE1073" i="2"/>
  <c r="AO1073" i="2"/>
  <c r="AJ1073" i="2"/>
  <c r="AJ1371" i="2"/>
  <c r="AE1371" i="2"/>
  <c r="AO1371" i="2"/>
  <c r="AJ1365" i="2"/>
  <c r="AE1365" i="2"/>
  <c r="AO1365" i="2"/>
  <c r="BA144" i="2"/>
  <c r="AU144" i="2"/>
  <c r="AZ144" i="2" s="1"/>
  <c r="BA1791" i="2"/>
  <c r="AU1791" i="2"/>
  <c r="AZ1791" i="2" s="1"/>
  <c r="AT2293" i="2"/>
  <c r="AY2293" i="2" s="1"/>
  <c r="BH2293" i="2" s="1"/>
  <c r="AT2285" i="2"/>
  <c r="AY2285" i="2" s="1"/>
  <c r="BH2285" i="2" s="1"/>
  <c r="AT2277" i="2"/>
  <c r="AY2277" i="2" s="1"/>
  <c r="BH2277" i="2" s="1"/>
  <c r="AT2269" i="2"/>
  <c r="AY2269" i="2" s="1"/>
  <c r="BH2269" i="2" s="1"/>
  <c r="AT2261" i="2"/>
  <c r="AY2261" i="2" s="1"/>
  <c r="BH2261" i="2" s="1"/>
  <c r="AE2180" i="2"/>
  <c r="AO2180" i="2"/>
  <c r="AJ2180" i="2"/>
  <c r="AJ2019" i="2"/>
  <c r="AO2019" i="2"/>
  <c r="AE2019" i="2"/>
  <c r="BA156" i="2"/>
  <c r="AU156" i="2"/>
  <c r="AZ156" i="2" s="1"/>
  <c r="AT2080" i="2"/>
  <c r="AY2080" i="2" s="1"/>
  <c r="BH2080" i="2" s="1"/>
  <c r="AE705" i="2"/>
  <c r="AO705" i="2"/>
  <c r="AJ705" i="2"/>
  <c r="AE689" i="2"/>
  <c r="AO689" i="2"/>
  <c r="AJ689" i="2"/>
  <c r="AE673" i="2"/>
  <c r="AO673" i="2"/>
  <c r="AJ673" i="2"/>
  <c r="AE657" i="2"/>
  <c r="AO657" i="2"/>
  <c r="AJ657" i="2"/>
  <c r="AE641" i="2"/>
  <c r="AO641" i="2"/>
  <c r="AJ641" i="2"/>
  <c r="AE625" i="2"/>
  <c r="AO625" i="2"/>
  <c r="AJ625" i="2"/>
  <c r="AJ427" i="2"/>
  <c r="AE427" i="2"/>
  <c r="AO427" i="2"/>
  <c r="AT2040" i="2"/>
  <c r="AY2040" i="2" s="1"/>
  <c r="BH2040" i="2" s="1"/>
  <c r="AT2036" i="2"/>
  <c r="AY2036" i="2" s="1"/>
  <c r="BH2036" i="2" s="1"/>
  <c r="AT2032" i="2"/>
  <c r="AY2032" i="2" s="1"/>
  <c r="BH2032" i="2" s="1"/>
  <c r="AT2028" i="2"/>
  <c r="AY2028" i="2" s="1"/>
  <c r="BH2028" i="2" s="1"/>
  <c r="AT2024" i="2"/>
  <c r="AY2024" i="2" s="1"/>
  <c r="BH2024" i="2" s="1"/>
  <c r="AT1824" i="2"/>
  <c r="AY1824" i="2" s="1"/>
  <c r="BH1824" i="2" s="1"/>
  <c r="AT1800" i="2"/>
  <c r="AY1800" i="2" s="1"/>
  <c r="BH1800" i="2" s="1"/>
  <c r="AT1784" i="2"/>
  <c r="AY1784" i="2" s="1"/>
  <c r="BH1784" i="2" s="1"/>
  <c r="AT1768" i="2"/>
  <c r="AY1768" i="2" s="1"/>
  <c r="BH1768" i="2" s="1"/>
  <c r="AT1077" i="2"/>
  <c r="AY1077" i="2" s="1"/>
  <c r="BH1077" i="2" s="1"/>
  <c r="AJ331" i="2"/>
  <c r="AE331" i="2"/>
  <c r="AO331" i="2"/>
  <c r="AT2436" i="2"/>
  <c r="AY2436" i="2" s="1"/>
  <c r="BH2436" i="2" s="1"/>
  <c r="BA128" i="2"/>
  <c r="AU128" i="2"/>
  <c r="AZ128" i="2" s="1"/>
  <c r="AT1484" i="2"/>
  <c r="AY1484" i="2" s="1"/>
  <c r="BH1484" i="2" s="1"/>
  <c r="AT166" i="2"/>
  <c r="AY166" i="2" s="1"/>
  <c r="BH166" i="2" s="1"/>
  <c r="AT752" i="2"/>
  <c r="AY752" i="2" s="1"/>
  <c r="BH752" i="2" s="1"/>
  <c r="AE2438" i="2"/>
  <c r="AO2438" i="2"/>
  <c r="AJ2438" i="2"/>
  <c r="AT2098" i="2"/>
  <c r="AY2098" i="2" s="1"/>
  <c r="BH2098" i="2" s="1"/>
  <c r="AT2086" i="2"/>
  <c r="AY2086" i="2" s="1"/>
  <c r="BH2086" i="2" s="1"/>
  <c r="AT2078" i="2"/>
  <c r="AY2078" i="2" s="1"/>
  <c r="BH2078" i="2" s="1"/>
  <c r="AT2066" i="2"/>
  <c r="AY2066" i="2" s="1"/>
  <c r="BH2066" i="2" s="1"/>
  <c r="AT2050" i="2"/>
  <c r="AY2050" i="2" s="1"/>
  <c r="BH2050" i="2" s="1"/>
  <c r="AT1822" i="2"/>
  <c r="AY1822" i="2" s="1"/>
  <c r="BH1822" i="2" s="1"/>
  <c r="AT1798" i="2"/>
  <c r="AY1798" i="2" s="1"/>
  <c r="BH1798" i="2" s="1"/>
  <c r="AT1774" i="2"/>
  <c r="AY1774" i="2" s="1"/>
  <c r="BH1774" i="2" s="1"/>
  <c r="AT2450" i="2"/>
  <c r="AY2450" i="2" s="1"/>
  <c r="BH2450" i="2" s="1"/>
  <c r="AJ2072" i="2"/>
  <c r="AE2072" i="2"/>
  <c r="AO2072" i="2"/>
  <c r="AO1845" i="2"/>
  <c r="AJ1845" i="2"/>
  <c r="AE1845" i="2"/>
  <c r="AO1841" i="2"/>
  <c r="AJ1841" i="2"/>
  <c r="AE1841" i="2"/>
  <c r="AO1837" i="2"/>
  <c r="AJ1837" i="2"/>
  <c r="AE1837" i="2"/>
  <c r="AO1833" i="2"/>
  <c r="AJ1833" i="2"/>
  <c r="AE1833" i="2"/>
  <c r="AJ1309" i="2"/>
  <c r="AE1309" i="2"/>
  <c r="AO1309" i="2"/>
  <c r="AJ467" i="2"/>
  <c r="AE467" i="2"/>
  <c r="AO467" i="2"/>
  <c r="AJ275" i="2"/>
  <c r="AE275" i="2"/>
  <c r="AO275" i="2"/>
  <c r="AJ211" i="2"/>
  <c r="AE211" i="2"/>
  <c r="AO211" i="2"/>
  <c r="AT2422" i="2"/>
  <c r="AY2422" i="2" s="1"/>
  <c r="BH2422" i="2" s="1"/>
  <c r="AE2194" i="2"/>
  <c r="AO2194" i="2"/>
  <c r="AJ2194" i="2"/>
  <c r="AJ1487" i="2"/>
  <c r="AO1487" i="2"/>
  <c r="AE1487" i="2"/>
  <c r="AT84" i="2"/>
  <c r="AY84" i="2" s="1"/>
  <c r="BH84" i="2" s="1"/>
  <c r="AE1117" i="2"/>
  <c r="AO1117" i="2"/>
  <c r="AJ1117" i="2"/>
  <c r="AE1053" i="2"/>
  <c r="AO1053" i="2"/>
  <c r="AJ1053" i="2"/>
  <c r="AE840" i="2"/>
  <c r="AO840" i="2"/>
  <c r="AJ840" i="2"/>
  <c r="AE1820" i="2"/>
  <c r="AO1820" i="2"/>
  <c r="AJ1820" i="2"/>
  <c r="AT1338" i="2"/>
  <c r="AY1338" i="2" s="1"/>
  <c r="BH1338" i="2" s="1"/>
  <c r="AT1274" i="2"/>
  <c r="AY1274" i="2" s="1"/>
  <c r="BH1274" i="2" s="1"/>
  <c r="AT1210" i="2"/>
  <c r="AY1210" i="2" s="1"/>
  <c r="BH1210" i="2" s="1"/>
  <c r="AT1129" i="2"/>
  <c r="AY1129" i="2" s="1"/>
  <c r="BH1129" i="2" s="1"/>
  <c r="AT1065" i="2"/>
  <c r="AY1065" i="2" s="1"/>
  <c r="BH1065" i="2" s="1"/>
  <c r="AJ534" i="2"/>
  <c r="AE534" i="2"/>
  <c r="AO534" i="2"/>
  <c r="AJ13" i="2"/>
  <c r="AE13" i="2"/>
  <c r="AO13" i="2"/>
  <c r="AJ489" i="2"/>
  <c r="AE489" i="2"/>
  <c r="AO489" i="2"/>
  <c r="AJ312" i="2"/>
  <c r="AE312" i="2"/>
  <c r="AO312" i="2"/>
  <c r="AT2424" i="2"/>
  <c r="AY2424" i="2" s="1"/>
  <c r="BH2424" i="2" s="1"/>
  <c r="AT2192" i="2"/>
  <c r="AY2192" i="2" s="1"/>
  <c r="BH2192" i="2" s="1"/>
  <c r="AT1760" i="2"/>
  <c r="AY1760" i="2" s="1"/>
  <c r="BH1760" i="2" s="1"/>
  <c r="AJ1563" i="2"/>
  <c r="AO1563" i="2"/>
  <c r="AE1563" i="2"/>
  <c r="AO1383" i="2"/>
  <c r="AE1383" i="2"/>
  <c r="AJ1383" i="2"/>
  <c r="AT528" i="2"/>
  <c r="AY528" i="2" s="1"/>
  <c r="BH528" i="2" s="1"/>
  <c r="AE2446" i="2"/>
  <c r="AO2446" i="2"/>
  <c r="AJ2446" i="2"/>
  <c r="AT2396" i="2"/>
  <c r="AY2396" i="2" s="1"/>
  <c r="BH2396" i="2" s="1"/>
  <c r="AE2444" i="2"/>
  <c r="AO2444" i="2"/>
  <c r="AJ2444" i="2"/>
  <c r="AT2387" i="2"/>
  <c r="AY2387" i="2" s="1"/>
  <c r="BH2387" i="2" s="1"/>
  <c r="AT2379" i="2"/>
  <c r="AY2379" i="2" s="1"/>
  <c r="BH2379" i="2" s="1"/>
  <c r="AT2371" i="2"/>
  <c r="AY2371" i="2" s="1"/>
  <c r="BH2371" i="2" s="1"/>
  <c r="AT2363" i="2"/>
  <c r="AY2363" i="2" s="1"/>
  <c r="BH2363" i="2" s="1"/>
  <c r="AT2355" i="2"/>
  <c r="AY2355" i="2" s="1"/>
  <c r="BH2355" i="2" s="1"/>
  <c r="AT2347" i="2"/>
  <c r="AY2347" i="2" s="1"/>
  <c r="BH2347" i="2" s="1"/>
  <c r="AT2339" i="2"/>
  <c r="AY2339" i="2" s="1"/>
  <c r="BH2339" i="2" s="1"/>
  <c r="AT2331" i="2"/>
  <c r="AY2331" i="2" s="1"/>
  <c r="BH2331" i="2" s="1"/>
  <c r="AT2323" i="2"/>
  <c r="AY2323" i="2" s="1"/>
  <c r="BH2323" i="2" s="1"/>
  <c r="AT2315" i="2"/>
  <c r="AY2315" i="2" s="1"/>
  <c r="BH2315" i="2" s="1"/>
  <c r="AE2164" i="2"/>
  <c r="AO2164" i="2"/>
  <c r="AJ2164" i="2"/>
  <c r="AJ1473" i="2"/>
  <c r="AO1473" i="2"/>
  <c r="AE1473" i="2"/>
  <c r="AJ1335" i="2"/>
  <c r="AE1335" i="2"/>
  <c r="AO1335" i="2"/>
  <c r="BA340" i="2"/>
  <c r="AU340" i="2"/>
  <c r="AZ340" i="2" s="1"/>
  <c r="AT280" i="2"/>
  <c r="AY280" i="2" s="1"/>
  <c r="BH280" i="2" s="1"/>
  <c r="AE1844" i="2"/>
  <c r="AO1844" i="2"/>
  <c r="AJ1844" i="2"/>
  <c r="AO1616" i="2"/>
  <c r="AJ1616" i="2"/>
  <c r="AE1616" i="2"/>
  <c r="AT1222" i="2"/>
  <c r="AY1222" i="2" s="1"/>
  <c r="BH1222" i="2" s="1"/>
  <c r="AO1304" i="2"/>
  <c r="AJ1304" i="2"/>
  <c r="AE1304" i="2"/>
  <c r="AT527" i="2"/>
  <c r="AY527" i="2" s="1"/>
  <c r="BH527" i="2" s="1"/>
  <c r="AT1290" i="2"/>
  <c r="AY1290" i="2" s="1"/>
  <c r="BH1290" i="2" s="1"/>
  <c r="AE1113" i="2"/>
  <c r="AO1113" i="2"/>
  <c r="AJ1113" i="2"/>
  <c r="AT2452" i="2"/>
  <c r="AY2452" i="2" s="1"/>
  <c r="BH2452" i="2" s="1"/>
  <c r="AT2440" i="2"/>
  <c r="AY2440" i="2" s="1"/>
  <c r="BH2440" i="2" s="1"/>
  <c r="AT1657" i="2"/>
  <c r="AY1657" i="2" s="1"/>
  <c r="BH1657" i="2" s="1"/>
  <c r="AJ435" i="2"/>
  <c r="AE435" i="2"/>
  <c r="AO435" i="2"/>
  <c r="AE2454" i="2"/>
  <c r="AO2454" i="2"/>
  <c r="AJ2454" i="2"/>
  <c r="AT2162" i="2"/>
  <c r="AY2162" i="2" s="1"/>
  <c r="BH2162" i="2" s="1"/>
  <c r="AT1856" i="2"/>
  <c r="AY1856" i="2" s="1"/>
  <c r="BH1856" i="2" s="1"/>
  <c r="AT1351" i="2"/>
  <c r="AY1351" i="2" s="1"/>
  <c r="BH1351" i="2" s="1"/>
  <c r="AT1287" i="2"/>
  <c r="AY1287" i="2" s="1"/>
  <c r="BH1287" i="2" s="1"/>
  <c r="AT1223" i="2"/>
  <c r="AY1223" i="2" s="1"/>
  <c r="BH1223" i="2" s="1"/>
  <c r="AE1107" i="2"/>
  <c r="AO1107" i="2"/>
  <c r="AJ1107" i="2"/>
  <c r="AT535" i="2"/>
  <c r="AY535" i="2" s="1"/>
  <c r="BH535" i="2" s="1"/>
  <c r="AT2103" i="2"/>
  <c r="AY2103" i="2" s="1"/>
  <c r="BH2103" i="2" s="1"/>
  <c r="AT1238" i="2"/>
  <c r="AY1238" i="2" s="1"/>
  <c r="BH1238" i="2" s="1"/>
  <c r="AT1320" i="2"/>
  <c r="AY1320" i="2" s="1"/>
  <c r="BH1320" i="2" s="1"/>
  <c r="AT478" i="2"/>
  <c r="AY478" i="2" s="1"/>
  <c r="BH478" i="2" s="1"/>
  <c r="AO2089" i="2"/>
  <c r="AJ2089" i="2"/>
  <c r="AE2089" i="2"/>
  <c r="AT326" i="2"/>
  <c r="AY326" i="2" s="1"/>
  <c r="BH326" i="2" s="1"/>
  <c r="AO2384" i="2"/>
  <c r="AJ2384" i="2"/>
  <c r="AE2384" i="2"/>
  <c r="AO2376" i="2"/>
  <c r="AJ2376" i="2"/>
  <c r="AE2376" i="2"/>
  <c r="AO2344" i="2"/>
  <c r="AJ2344" i="2"/>
  <c r="AE2344" i="2"/>
  <c r="AT1569" i="2"/>
  <c r="AY1569" i="2" s="1"/>
  <c r="BH1569" i="2" s="1"/>
  <c r="AT189" i="2"/>
  <c r="AY189" i="2" s="1"/>
  <c r="BH189" i="2" s="1"/>
  <c r="AT2096" i="2"/>
  <c r="AY2096" i="2" s="1"/>
  <c r="BH2096" i="2" s="1"/>
  <c r="AT1801" i="2"/>
  <c r="AY1801" i="2" s="1"/>
  <c r="BH1801" i="2" s="1"/>
  <c r="AT1785" i="2"/>
  <c r="AY1785" i="2" s="1"/>
  <c r="BH1785" i="2" s="1"/>
  <c r="AT1769" i="2"/>
  <c r="AY1769" i="2" s="1"/>
  <c r="BH1769" i="2" s="1"/>
  <c r="BA1815" i="2"/>
  <c r="AU1815" i="2"/>
  <c r="AZ1815" i="2" s="1"/>
  <c r="AO2159" i="2"/>
  <c r="AJ2159" i="2"/>
  <c r="AE2159" i="2"/>
  <c r="AO2110" i="2"/>
  <c r="AJ2110" i="2"/>
  <c r="AE2110" i="2"/>
  <c r="AT2145" i="2"/>
  <c r="AY2145" i="2" s="1"/>
  <c r="BH2145" i="2" s="1"/>
  <c r="AJ1756" i="2"/>
  <c r="AO1756" i="2"/>
  <c r="AE1756" i="2"/>
  <c r="AJ1752" i="2"/>
  <c r="AO1752" i="2"/>
  <c r="AE1752" i="2"/>
  <c r="AJ1748" i="2"/>
  <c r="AO1748" i="2"/>
  <c r="AE1748" i="2"/>
  <c r="AJ1744" i="2"/>
  <c r="AO1744" i="2"/>
  <c r="AE1744" i="2"/>
  <c r="AJ1740" i="2"/>
  <c r="AO1740" i="2"/>
  <c r="AE1740" i="2"/>
  <c r="AJ1736" i="2"/>
  <c r="AO1736" i="2"/>
  <c r="AE1736" i="2"/>
  <c r="AJ1732" i="2"/>
  <c r="AO1732" i="2"/>
  <c r="AE1732" i="2"/>
  <c r="AJ1728" i="2"/>
  <c r="AO1728" i="2"/>
  <c r="AE1728" i="2"/>
  <c r="AJ1724" i="2"/>
  <c r="AO1724" i="2"/>
  <c r="AE1724" i="2"/>
  <c r="AJ1720" i="2"/>
  <c r="AO1720" i="2"/>
  <c r="AE1720" i="2"/>
  <c r="AJ1716" i="2"/>
  <c r="AO1716" i="2"/>
  <c r="AE1716" i="2"/>
  <c r="AJ1712" i="2"/>
  <c r="AO1712" i="2"/>
  <c r="AE1712" i="2"/>
  <c r="AJ1708" i="2"/>
  <c r="AO1708" i="2"/>
  <c r="AE1708" i="2"/>
  <c r="AJ1704" i="2"/>
  <c r="AO1704" i="2"/>
  <c r="AE1704" i="2"/>
  <c r="AJ1700" i="2"/>
  <c r="AO1700" i="2"/>
  <c r="AE1700" i="2"/>
  <c r="AJ1696" i="2"/>
  <c r="AO1696" i="2"/>
  <c r="AE1696" i="2"/>
  <c r="AJ1692" i="2"/>
  <c r="AO1692" i="2"/>
  <c r="AE1692" i="2"/>
  <c r="AJ1688" i="2"/>
  <c r="AO1688" i="2"/>
  <c r="AE1688" i="2"/>
  <c r="AJ1684" i="2"/>
  <c r="AO1684" i="2"/>
  <c r="AE1684" i="2"/>
  <c r="AJ1680" i="2"/>
  <c r="AO1680" i="2"/>
  <c r="AE1680" i="2"/>
  <c r="AJ1676" i="2"/>
  <c r="AO1676" i="2"/>
  <c r="AE1676" i="2"/>
  <c r="AJ1672" i="2"/>
  <c r="AO1672" i="2"/>
  <c r="AE1672" i="2"/>
  <c r="AE1776" i="2"/>
  <c r="AO1776" i="2"/>
  <c r="AJ1776" i="2"/>
  <c r="AO1654" i="2"/>
  <c r="AJ1654" i="2"/>
  <c r="AE1654" i="2"/>
  <c r="AO178" i="2"/>
  <c r="AJ178" i="2"/>
  <c r="AE178" i="2"/>
  <c r="AO1262" i="2"/>
  <c r="AJ1262" i="2"/>
  <c r="AE1262" i="2"/>
  <c r="AT543" i="2"/>
  <c r="AY543" i="2" s="1"/>
  <c r="BH543" i="2" s="1"/>
  <c r="AJ1667" i="2"/>
  <c r="AE1667" i="2"/>
  <c r="AO1667" i="2"/>
  <c r="AJ1665" i="2"/>
  <c r="AE1665" i="2"/>
  <c r="AO1665" i="2"/>
  <c r="AJ1537" i="2"/>
  <c r="AO1537" i="2"/>
  <c r="AE1537" i="2"/>
  <c r="AT1474" i="2"/>
  <c r="AY1474" i="2" s="1"/>
  <c r="BH1474" i="2" s="1"/>
  <c r="AT1470" i="2"/>
  <c r="AY1470" i="2" s="1"/>
  <c r="BH1470" i="2" s="1"/>
  <c r="AT1466" i="2"/>
  <c r="AY1466" i="2" s="1"/>
  <c r="BH1466" i="2" s="1"/>
  <c r="AT1462" i="2"/>
  <c r="AY1462" i="2" s="1"/>
  <c r="BH1462" i="2" s="1"/>
  <c r="AT1458" i="2"/>
  <c r="AY1458" i="2" s="1"/>
  <c r="BH1458" i="2" s="1"/>
  <c r="AT1454" i="2"/>
  <c r="AY1454" i="2" s="1"/>
  <c r="BH1454" i="2" s="1"/>
  <c r="AT1450" i="2"/>
  <c r="AY1450" i="2" s="1"/>
  <c r="BH1450" i="2" s="1"/>
  <c r="AT1446" i="2"/>
  <c r="AY1446" i="2" s="1"/>
  <c r="BH1446" i="2" s="1"/>
  <c r="AT1526" i="2"/>
  <c r="AY1526" i="2" s="1"/>
  <c r="BH1526" i="2" s="1"/>
  <c r="AT1522" i="2"/>
  <c r="AY1522" i="2" s="1"/>
  <c r="BH1522" i="2" s="1"/>
  <c r="AT1518" i="2"/>
  <c r="AY1518" i="2" s="1"/>
  <c r="BH1518" i="2" s="1"/>
  <c r="AT1244" i="2"/>
  <c r="AY1244" i="2" s="1"/>
  <c r="BH1244" i="2" s="1"/>
  <c r="AT2079" i="2"/>
  <c r="AY2079" i="2" s="1"/>
  <c r="BH2079" i="2" s="1"/>
  <c r="AT2021" i="2"/>
  <c r="AY2021" i="2" s="1"/>
  <c r="BH2021" i="2" s="1"/>
  <c r="AT2448" i="2"/>
  <c r="AY2448" i="2" s="1"/>
  <c r="BH2448" i="2" s="1"/>
  <c r="AT2442" i="2"/>
  <c r="AY2442" i="2" s="1"/>
  <c r="BH2442" i="2" s="1"/>
  <c r="AJ2084" i="2"/>
  <c r="AE2084" i="2"/>
  <c r="AO2084" i="2"/>
  <c r="AJ2106" i="2"/>
  <c r="AE2106" i="2"/>
  <c r="AO2106" i="2"/>
  <c r="AJ2094" i="2"/>
  <c r="AE2094" i="2"/>
  <c r="AO2094" i="2"/>
  <c r="AJ2082" i="2"/>
  <c r="AE2082" i="2"/>
  <c r="AO2082" i="2"/>
  <c r="AJ2070" i="2"/>
  <c r="AE2070" i="2"/>
  <c r="AO2070" i="2"/>
  <c r="AJ2058" i="2"/>
  <c r="AE2058" i="2"/>
  <c r="AO2058" i="2"/>
  <c r="AJ1441" i="2"/>
  <c r="AO1441" i="2"/>
  <c r="AE1441" i="2"/>
  <c r="AT703" i="2"/>
  <c r="AY703" i="2" s="1"/>
  <c r="BH703" i="2" s="1"/>
  <c r="AT687" i="2"/>
  <c r="AY687" i="2" s="1"/>
  <c r="BH687" i="2" s="1"/>
  <c r="AT671" i="2"/>
  <c r="AY671" i="2" s="1"/>
  <c r="BH671" i="2" s="1"/>
  <c r="AT655" i="2"/>
  <c r="AY655" i="2" s="1"/>
  <c r="BH655" i="2" s="1"/>
  <c r="AT639" i="2"/>
  <c r="AY639" i="2" s="1"/>
  <c r="BH639" i="2" s="1"/>
  <c r="AT623" i="2"/>
  <c r="AY623" i="2" s="1"/>
  <c r="BH623" i="2" s="1"/>
  <c r="AJ11" i="2"/>
  <c r="AO11" i="2"/>
  <c r="AE11" i="2"/>
  <c r="AT2184" i="2"/>
  <c r="AY2184" i="2" s="1"/>
  <c r="BH2184" i="2" s="1"/>
  <c r="AJ1307" i="2"/>
  <c r="AE1307" i="2"/>
  <c r="AO1307" i="2"/>
  <c r="AJ1301" i="2"/>
  <c r="AE1301" i="2"/>
  <c r="AO1301" i="2"/>
  <c r="AT882" i="2"/>
  <c r="AY882" i="2" s="1"/>
  <c r="BH882" i="2" s="1"/>
  <c r="AT866" i="2"/>
  <c r="AY866" i="2" s="1"/>
  <c r="BH866" i="2" s="1"/>
  <c r="AT850" i="2"/>
  <c r="AY850" i="2" s="1"/>
  <c r="BH850" i="2" s="1"/>
  <c r="AT834" i="2"/>
  <c r="AY834" i="2" s="1"/>
  <c r="BH834" i="2" s="1"/>
  <c r="AT818" i="2"/>
  <c r="AY818" i="2" s="1"/>
  <c r="BH818" i="2" s="1"/>
  <c r="AT802" i="2"/>
  <c r="AY802" i="2" s="1"/>
  <c r="BH802" i="2" s="1"/>
  <c r="AT786" i="2"/>
  <c r="AY786" i="2" s="1"/>
  <c r="BH786" i="2" s="1"/>
  <c r="AT770" i="2"/>
  <c r="AY770" i="2" s="1"/>
  <c r="BH770" i="2" s="1"/>
  <c r="AT754" i="2"/>
  <c r="AY754" i="2" s="1"/>
  <c r="BH754" i="2" s="1"/>
  <c r="AT738" i="2"/>
  <c r="AY738" i="2" s="1"/>
  <c r="BH738" i="2" s="1"/>
  <c r="BA168" i="2"/>
  <c r="AU168" i="2"/>
  <c r="AZ168" i="2" s="1"/>
  <c r="AJ2018" i="2"/>
  <c r="AE2018" i="2"/>
  <c r="AO2018" i="2"/>
  <c r="AJ2014" i="2"/>
  <c r="AE2014" i="2"/>
  <c r="AO2014" i="2"/>
  <c r="AJ2010" i="2"/>
  <c r="AE2010" i="2"/>
  <c r="AO2010" i="2"/>
  <c r="AJ2006" i="2"/>
  <c r="AE2006" i="2"/>
  <c r="AO2006" i="2"/>
  <c r="AJ2002" i="2"/>
  <c r="AE2002" i="2"/>
  <c r="AO2002" i="2"/>
  <c r="AJ1998" i="2"/>
  <c r="AE1998" i="2"/>
  <c r="AO1998" i="2"/>
  <c r="AJ1994" i="2"/>
  <c r="AE1994" i="2"/>
  <c r="AO1994" i="2"/>
  <c r="AJ1990" i="2"/>
  <c r="AE1990" i="2"/>
  <c r="AO1990" i="2"/>
  <c r="AJ1986" i="2"/>
  <c r="AE1986" i="2"/>
  <c r="AO1986" i="2"/>
  <c r="AJ1982" i="2"/>
  <c r="AE1982" i="2"/>
  <c r="AO1982" i="2"/>
  <c r="AJ1974" i="2"/>
  <c r="AE1974" i="2"/>
  <c r="AO1974" i="2"/>
  <c r="AJ1966" i="2"/>
  <c r="AE1966" i="2"/>
  <c r="AO1966" i="2"/>
  <c r="AJ1962" i="2"/>
  <c r="AE1962" i="2"/>
  <c r="AO1962" i="2"/>
  <c r="AJ1958" i="2"/>
  <c r="AE1958" i="2"/>
  <c r="AO1958" i="2"/>
  <c r="AJ1954" i="2"/>
  <c r="AE1954" i="2"/>
  <c r="AO1954" i="2"/>
  <c r="AJ1950" i="2"/>
  <c r="AE1950" i="2"/>
  <c r="AO1950" i="2"/>
  <c r="AJ1946" i="2"/>
  <c r="AE1946" i="2"/>
  <c r="AO1946" i="2"/>
  <c r="AJ1942" i="2"/>
  <c r="AE1942" i="2"/>
  <c r="AO1942" i="2"/>
  <c r="AJ1938" i="2"/>
  <c r="AE1938" i="2"/>
  <c r="AO1938" i="2"/>
  <c r="AJ1934" i="2"/>
  <c r="AE1934" i="2"/>
  <c r="AO1934" i="2"/>
  <c r="AJ1930" i="2"/>
  <c r="AE1930" i="2"/>
  <c r="AO1930" i="2"/>
  <c r="AJ1926" i="2"/>
  <c r="AE1926" i="2"/>
  <c r="AO1926" i="2"/>
  <c r="AJ1922" i="2"/>
  <c r="AE1922" i="2"/>
  <c r="AO1922" i="2"/>
  <c r="AJ1918" i="2"/>
  <c r="AE1918" i="2"/>
  <c r="AO1918" i="2"/>
  <c r="AJ1914" i="2"/>
  <c r="AE1914" i="2"/>
  <c r="AO1914" i="2"/>
  <c r="AJ1910" i="2"/>
  <c r="AE1910" i="2"/>
  <c r="AO1910" i="2"/>
  <c r="AJ1906" i="2"/>
  <c r="AE1906" i="2"/>
  <c r="AO1906" i="2"/>
  <c r="AJ1902" i="2"/>
  <c r="AE1902" i="2"/>
  <c r="AO1902" i="2"/>
  <c r="AJ1898" i="2"/>
  <c r="AE1898" i="2"/>
  <c r="AO1898" i="2"/>
  <c r="AJ1894" i="2"/>
  <c r="AE1894" i="2"/>
  <c r="AO1894" i="2"/>
  <c r="AJ1890" i="2"/>
  <c r="AE1890" i="2"/>
  <c r="AO1890" i="2"/>
  <c r="AJ1886" i="2"/>
  <c r="AE1886" i="2"/>
  <c r="AO1886" i="2"/>
  <c r="AJ1882" i="2"/>
  <c r="AE1882" i="2"/>
  <c r="AO1882" i="2"/>
  <c r="AJ1878" i="2"/>
  <c r="AE1878" i="2"/>
  <c r="AO1878" i="2"/>
  <c r="AJ1874" i="2"/>
  <c r="AE1874" i="2"/>
  <c r="AO1874" i="2"/>
  <c r="AJ1870" i="2"/>
  <c r="AE1870" i="2"/>
  <c r="AO1870" i="2"/>
  <c r="AJ1866" i="2"/>
  <c r="AE1866" i="2"/>
  <c r="AO1866" i="2"/>
  <c r="AJ1862" i="2"/>
  <c r="AE1862" i="2"/>
  <c r="AO1862" i="2"/>
  <c r="AJ1413" i="2"/>
  <c r="AO1413" i="2"/>
  <c r="AE1413" i="2"/>
  <c r="AJ1311" i="2"/>
  <c r="AE1311" i="2"/>
  <c r="AO1311" i="2"/>
  <c r="AT1115" i="2"/>
  <c r="AY1115" i="2" s="1"/>
  <c r="BH1115" i="2" s="1"/>
  <c r="AT1051" i="2"/>
  <c r="AY1051" i="2" s="1"/>
  <c r="BH1051" i="2" s="1"/>
  <c r="AJ1353" i="2"/>
  <c r="AE1353" i="2"/>
  <c r="AO1353" i="2"/>
  <c r="BA917" i="2"/>
  <c r="AU917" i="2"/>
  <c r="AZ917" i="2" s="1"/>
  <c r="BA901" i="2"/>
  <c r="AU901" i="2"/>
  <c r="AZ901" i="2" s="1"/>
  <c r="AE1796" i="2"/>
  <c r="AO1796" i="2"/>
  <c r="AJ1796" i="2"/>
  <c r="AT456" i="2"/>
  <c r="AY456" i="2" s="1"/>
  <c r="BH456" i="2" s="1"/>
  <c r="AT17" i="2"/>
  <c r="AY17" i="2" s="1"/>
  <c r="BH17" i="2" s="1"/>
  <c r="AO1192" i="2"/>
  <c r="AJ1192" i="2"/>
  <c r="AE1192" i="2"/>
  <c r="AT430" i="2"/>
  <c r="AY430" i="2" s="1"/>
  <c r="BH430" i="2" s="1"/>
  <c r="AT53" i="2"/>
  <c r="AY53" i="2" s="1"/>
  <c r="BH53" i="2" s="1"/>
  <c r="AT266" i="2"/>
  <c r="AY266" i="2" s="1"/>
  <c r="BH266" i="2" s="1"/>
  <c r="AT252" i="2"/>
  <c r="AY252" i="2" s="1"/>
  <c r="BH252" i="2" s="1"/>
  <c r="AT2496" i="2"/>
  <c r="AY2496" i="2" s="1"/>
  <c r="BH2496" i="2" s="1"/>
  <c r="AO2055" i="2"/>
  <c r="AJ2055" i="2"/>
  <c r="AE2055" i="2"/>
  <c r="AT1501" i="2"/>
  <c r="AY1501" i="2" s="1"/>
  <c r="BH1501" i="2" s="1"/>
  <c r="AT358" i="2"/>
  <c r="AY358" i="2" s="1"/>
  <c r="BH358" i="2" s="1"/>
  <c r="AT2399" i="2"/>
  <c r="AY2399" i="2" s="1"/>
  <c r="BH2399" i="2" s="1"/>
  <c r="AO2409" i="2"/>
  <c r="AE2409" i="2"/>
  <c r="AJ2409" i="2"/>
  <c r="AO458" i="2"/>
  <c r="AJ458" i="2"/>
  <c r="AE458" i="2"/>
  <c r="AT2112" i="2"/>
  <c r="AY2112" i="2" s="1"/>
  <c r="BH2112" i="2" s="1"/>
  <c r="AE788" i="2"/>
  <c r="AO788" i="2"/>
  <c r="AJ788" i="2"/>
  <c r="AO2001" i="2"/>
  <c r="AJ2001" i="2"/>
  <c r="AE2001" i="2"/>
  <c r="AT1381" i="2"/>
  <c r="AY1381" i="2" s="1"/>
  <c r="BH1381" i="2" s="1"/>
  <c r="AT2492" i="2"/>
  <c r="AY2492" i="2" s="1"/>
  <c r="BH2492" i="2" s="1"/>
  <c r="AE713" i="2"/>
  <c r="AO713" i="2"/>
  <c r="AJ713" i="2"/>
  <c r="AE649" i="2"/>
  <c r="AO649" i="2"/>
  <c r="AJ649" i="2"/>
  <c r="AT471" i="2"/>
  <c r="AY471" i="2" s="1"/>
  <c r="BH471" i="2" s="1"/>
  <c r="AJ89" i="2"/>
  <c r="AE89" i="2"/>
  <c r="AO89" i="2"/>
  <c r="AJ295" i="2"/>
  <c r="AO295" i="2"/>
  <c r="AE295" i="2"/>
  <c r="AJ175" i="2"/>
  <c r="AO175" i="2"/>
  <c r="AE175" i="2"/>
  <c r="AT2389" i="2"/>
  <c r="AY2389" i="2" s="1"/>
  <c r="BH2389" i="2" s="1"/>
  <c r="AT2381" i="2"/>
  <c r="AY2381" i="2" s="1"/>
  <c r="BH2381" i="2" s="1"/>
  <c r="AT2373" i="2"/>
  <c r="AY2373" i="2" s="1"/>
  <c r="BH2373" i="2" s="1"/>
  <c r="AT2365" i="2"/>
  <c r="AY2365" i="2" s="1"/>
  <c r="BH2365" i="2" s="1"/>
  <c r="AT2357" i="2"/>
  <c r="AY2357" i="2" s="1"/>
  <c r="BH2357" i="2" s="1"/>
  <c r="AT2349" i="2"/>
  <c r="AY2349" i="2" s="1"/>
  <c r="BH2349" i="2" s="1"/>
  <c r="AT2341" i="2"/>
  <c r="AY2341" i="2" s="1"/>
  <c r="BH2341" i="2" s="1"/>
  <c r="AT2333" i="2"/>
  <c r="AY2333" i="2" s="1"/>
  <c r="BH2333" i="2" s="1"/>
  <c r="AT2325" i="2"/>
  <c r="AY2325" i="2" s="1"/>
  <c r="BH2325" i="2" s="1"/>
  <c r="AT2317" i="2"/>
  <c r="AY2317" i="2" s="1"/>
  <c r="BH2317" i="2" s="1"/>
  <c r="AJ1331" i="2"/>
  <c r="AE1331" i="2"/>
  <c r="AO1331" i="2"/>
  <c r="AJ1261" i="2"/>
  <c r="AE1261" i="2"/>
  <c r="AO1261" i="2"/>
  <c r="BA452" i="2"/>
  <c r="AU452" i="2"/>
  <c r="AZ452" i="2" s="1"/>
  <c r="AT350" i="2"/>
  <c r="AY350" i="2" s="1"/>
  <c r="BH350" i="2" s="1"/>
  <c r="AT1266" i="2"/>
  <c r="AY1266" i="2" s="1"/>
  <c r="BH1266" i="2" s="1"/>
  <c r="AJ63" i="2"/>
  <c r="AO63" i="2"/>
  <c r="AE63" i="2"/>
  <c r="AT685" i="2"/>
  <c r="AY685" i="2" s="1"/>
  <c r="BH685" i="2" s="1"/>
  <c r="AT621" i="2"/>
  <c r="AY621" i="2" s="1"/>
  <c r="BH621" i="2" s="1"/>
  <c r="AT2418" i="2"/>
  <c r="AY2418" i="2" s="1"/>
  <c r="BH2418" i="2" s="1"/>
  <c r="AO2165" i="2"/>
  <c r="AJ2165" i="2"/>
  <c r="AE2165" i="2"/>
  <c r="AT1347" i="2"/>
  <c r="AY1347" i="2" s="1"/>
  <c r="BH1347" i="2" s="1"/>
  <c r="AT1283" i="2"/>
  <c r="AY1283" i="2" s="1"/>
  <c r="BH1283" i="2" s="1"/>
  <c r="AT1219" i="2"/>
  <c r="AY1219" i="2" s="1"/>
  <c r="BH1219" i="2" s="1"/>
  <c r="AT1093" i="2"/>
  <c r="AY1093" i="2" s="1"/>
  <c r="BH1093" i="2" s="1"/>
  <c r="AE8" i="2"/>
  <c r="AJ8" i="2"/>
  <c r="AO8" i="2"/>
  <c r="AT2501" i="2"/>
  <c r="AY2501" i="2" s="1"/>
  <c r="BH2501" i="2" s="1"/>
  <c r="AO2185" i="2"/>
  <c r="AJ2185" i="2"/>
  <c r="AE2185" i="2"/>
  <c r="AT2303" i="2"/>
  <c r="AY2303" i="2" s="1"/>
  <c r="BH2303" i="2" s="1"/>
  <c r="AT2239" i="2"/>
  <c r="AY2239" i="2" s="1"/>
  <c r="BH2239" i="2" s="1"/>
  <c r="AT2099" i="2"/>
  <c r="AY2099" i="2" s="1"/>
  <c r="BH2099" i="2" s="1"/>
  <c r="AT2073" i="2"/>
  <c r="AY2073" i="2" s="1"/>
  <c r="BH2073" i="2" s="1"/>
  <c r="AT1857" i="2"/>
  <c r="AY1857" i="2" s="1"/>
  <c r="BH1857" i="2" s="1"/>
  <c r="AT1853" i="2"/>
  <c r="AY1853" i="2" s="1"/>
  <c r="BH1853" i="2" s="1"/>
  <c r="BA1763" i="2"/>
  <c r="AU1763" i="2"/>
  <c r="AZ1763" i="2" s="1"/>
  <c r="AO1606" i="2"/>
  <c r="AJ1606" i="2"/>
  <c r="AE1606" i="2"/>
  <c r="AT422" i="2"/>
  <c r="AY422" i="2" s="1"/>
  <c r="BH422" i="2" s="1"/>
  <c r="AT1662" i="2"/>
  <c r="AY1662" i="2" s="1"/>
  <c r="BH1662" i="2" s="1"/>
  <c r="AT1190" i="2"/>
  <c r="AY1190" i="2" s="1"/>
  <c r="BH1190" i="2" s="1"/>
  <c r="AT1336" i="2"/>
  <c r="AY1336" i="2" s="1"/>
  <c r="BH1336" i="2" s="1"/>
  <c r="AT1272" i="2"/>
  <c r="AY1272" i="2" s="1"/>
  <c r="BH1272" i="2" s="1"/>
  <c r="AT1208" i="2"/>
  <c r="AY1208" i="2" s="1"/>
  <c r="BH1208" i="2" s="1"/>
  <c r="AT541" i="2"/>
  <c r="AY541" i="2" s="1"/>
  <c r="BH541" i="2" s="1"/>
  <c r="AT2109" i="2"/>
  <c r="AY2109" i="2" s="1"/>
  <c r="BH2109" i="2" s="1"/>
  <c r="AT2093" i="2"/>
  <c r="AY2093" i="2" s="1"/>
  <c r="BH2093" i="2" s="1"/>
  <c r="AT2077" i="2"/>
  <c r="AY2077" i="2" s="1"/>
  <c r="BH2077" i="2" s="1"/>
  <c r="AT2061" i="2"/>
  <c r="AY2061" i="2" s="1"/>
  <c r="BH2061" i="2" s="1"/>
  <c r="AO1322" i="2"/>
  <c r="AJ1322" i="2"/>
  <c r="AE1322" i="2"/>
  <c r="AT547" i="2"/>
  <c r="AY547" i="2" s="1"/>
  <c r="BH547" i="2" s="1"/>
  <c r="AT523" i="2"/>
  <c r="AY523" i="2" s="1"/>
  <c r="BH523" i="2" s="1"/>
  <c r="AT68" i="2"/>
  <c r="AY68" i="2" s="1"/>
  <c r="BH68" i="2" s="1"/>
  <c r="AT328" i="2"/>
  <c r="AY328" i="2" s="1"/>
  <c r="BH328" i="2" s="1"/>
  <c r="AT205" i="2"/>
  <c r="AY205" i="2" s="1"/>
  <c r="BH205" i="2" s="1"/>
  <c r="AT1531" i="2"/>
  <c r="AY1531" i="2" s="1"/>
  <c r="BH1531" i="2" s="1"/>
  <c r="AT1515" i="2"/>
  <c r="AY1515" i="2" s="1"/>
  <c r="BH1515" i="2" s="1"/>
  <c r="AT1489" i="2"/>
  <c r="AY1489" i="2" s="1"/>
  <c r="BH1489" i="2" s="1"/>
  <c r="AO366" i="2"/>
  <c r="AJ366" i="2"/>
  <c r="AE366" i="2"/>
  <c r="AT437" i="2"/>
  <c r="AY437" i="2" s="1"/>
  <c r="BH437" i="2" s="1"/>
  <c r="AT75" i="2"/>
  <c r="AY75" i="2" s="1"/>
  <c r="BH75" i="2" s="1"/>
  <c r="AT2205" i="2"/>
  <c r="AY2205" i="2" s="1"/>
  <c r="BH2205" i="2" s="1"/>
  <c r="AT2483" i="2"/>
  <c r="AY2483" i="2" s="1"/>
  <c r="BH2483" i="2" s="1"/>
  <c r="AT1492" i="2"/>
  <c r="AY1492" i="2" s="1"/>
  <c r="BH1492" i="2" s="1"/>
  <c r="AT1438" i="2"/>
  <c r="AY1438" i="2" s="1"/>
  <c r="BH1438" i="2" s="1"/>
  <c r="AT1434" i="2"/>
  <c r="AY1434" i="2" s="1"/>
  <c r="BH1434" i="2" s="1"/>
  <c r="AT1430" i="2"/>
  <c r="AY1430" i="2" s="1"/>
  <c r="BH1430" i="2" s="1"/>
  <c r="AT1426" i="2"/>
  <c r="AY1426" i="2" s="1"/>
  <c r="BH1426" i="2" s="1"/>
  <c r="AT1422" i="2"/>
  <c r="AY1422" i="2" s="1"/>
  <c r="BH1422" i="2" s="1"/>
  <c r="AT1418" i="2"/>
  <c r="AY1418" i="2" s="1"/>
  <c r="BH1418" i="2" s="1"/>
  <c r="AT1414" i="2"/>
  <c r="AY1414" i="2" s="1"/>
  <c r="BH1414" i="2" s="1"/>
  <c r="AT1410" i="2"/>
  <c r="AY1410" i="2" s="1"/>
  <c r="BH1410" i="2" s="1"/>
  <c r="AT1406" i="2"/>
  <c r="AY1406" i="2" s="1"/>
  <c r="BH1406" i="2" s="1"/>
  <c r="AT1402" i="2"/>
  <c r="AY1402" i="2" s="1"/>
  <c r="BH1402" i="2" s="1"/>
  <c r="AT1398" i="2"/>
  <c r="AY1398" i="2" s="1"/>
  <c r="BH1398" i="2" s="1"/>
  <c r="AT1394" i="2"/>
  <c r="AY1394" i="2" s="1"/>
  <c r="BH1394" i="2" s="1"/>
  <c r="AO857" i="2"/>
  <c r="AE857" i="2"/>
  <c r="AJ857" i="2"/>
  <c r="AO793" i="2"/>
  <c r="AE793" i="2"/>
  <c r="AJ793" i="2"/>
  <c r="AO729" i="2"/>
  <c r="AE729" i="2"/>
  <c r="AJ729" i="2"/>
  <c r="AT2263" i="2"/>
  <c r="AY2263" i="2" s="1"/>
  <c r="BH2263" i="2" s="1"/>
  <c r="AJ1506" i="2"/>
  <c r="AE1506" i="2"/>
  <c r="AO1506" i="2"/>
  <c r="AT1718" i="2"/>
  <c r="AY1718" i="2" s="1"/>
  <c r="BH1718" i="2" s="1"/>
  <c r="AO2405" i="2"/>
  <c r="AE2405" i="2"/>
  <c r="AJ2405" i="2"/>
  <c r="AO2397" i="2"/>
  <c r="AE2397" i="2"/>
  <c r="AJ2397" i="2"/>
  <c r="AO242" i="2"/>
  <c r="AJ242" i="2"/>
  <c r="AE242" i="2"/>
  <c r="AT150" i="2"/>
  <c r="AY150" i="2" s="1"/>
  <c r="BH150" i="2" s="1"/>
  <c r="AO2177" i="2"/>
  <c r="AJ2177" i="2"/>
  <c r="AE2177" i="2"/>
  <c r="AO314" i="2"/>
  <c r="AJ314" i="2"/>
  <c r="AE314" i="2"/>
  <c r="AJ2307" i="2"/>
  <c r="AO2307" i="2"/>
  <c r="AE2307" i="2"/>
  <c r="AJ2299" i="2"/>
  <c r="AO2299" i="2"/>
  <c r="AE2299" i="2"/>
  <c r="AJ2291" i="2"/>
  <c r="AO2291" i="2"/>
  <c r="AE2291" i="2"/>
  <c r="AJ2259" i="2"/>
  <c r="AO2259" i="2"/>
  <c r="AE2259" i="2"/>
  <c r="AJ2227" i="2"/>
  <c r="AO2227" i="2"/>
  <c r="AE2227" i="2"/>
  <c r="AT1399" i="2"/>
  <c r="AY1399" i="2" s="1"/>
  <c r="BH1399" i="2" s="1"/>
  <c r="AE870" i="2"/>
  <c r="AO870" i="2"/>
  <c r="AJ870" i="2"/>
  <c r="AE854" i="2"/>
  <c r="AO854" i="2"/>
  <c r="AJ854" i="2"/>
  <c r="AE838" i="2"/>
  <c r="AO838" i="2"/>
  <c r="AJ838" i="2"/>
  <c r="AE822" i="2"/>
  <c r="AO822" i="2"/>
  <c r="AJ822" i="2"/>
  <c r="AE806" i="2"/>
  <c r="AO806" i="2"/>
  <c r="AJ806" i="2"/>
  <c r="AE790" i="2"/>
  <c r="AO790" i="2"/>
  <c r="AJ790" i="2"/>
  <c r="AE774" i="2"/>
  <c r="AO774" i="2"/>
  <c r="AJ774" i="2"/>
  <c r="AE758" i="2"/>
  <c r="AO758" i="2"/>
  <c r="AJ758" i="2"/>
  <c r="AE742" i="2"/>
  <c r="AO742" i="2"/>
  <c r="AJ742" i="2"/>
  <c r="AO2015" i="2"/>
  <c r="AJ2015" i="2"/>
  <c r="AE2015" i="2"/>
  <c r="AO1999" i="2"/>
  <c r="AJ1999" i="2"/>
  <c r="AE1999" i="2"/>
  <c r="AO1983" i="2"/>
  <c r="AJ1983" i="2"/>
  <c r="AE1983" i="2"/>
  <c r="AO1967" i="2"/>
  <c r="AJ1967" i="2"/>
  <c r="AE1967" i="2"/>
  <c r="AO2013" i="2"/>
  <c r="AJ2013" i="2"/>
  <c r="AE2013" i="2"/>
  <c r="AO1997" i="2"/>
  <c r="AJ1997" i="2"/>
  <c r="AE1997" i="2"/>
  <c r="AO1981" i="2"/>
  <c r="AJ1981" i="2"/>
  <c r="AE1981" i="2"/>
  <c r="AO1965" i="2"/>
  <c r="AJ1965" i="2"/>
  <c r="AE1965" i="2"/>
  <c r="AO1949" i="2"/>
  <c r="AJ1949" i="2"/>
  <c r="AE1949" i="2"/>
  <c r="AO1933" i="2"/>
  <c r="AJ1933" i="2"/>
  <c r="AE1933" i="2"/>
  <c r="AO1917" i="2"/>
  <c r="AJ1917" i="2"/>
  <c r="AE1917" i="2"/>
  <c r="AO1901" i="2"/>
  <c r="AJ1901" i="2"/>
  <c r="AE1901" i="2"/>
  <c r="AO1885" i="2"/>
  <c r="AJ1885" i="2"/>
  <c r="AE1885" i="2"/>
  <c r="AO1869" i="2"/>
  <c r="AJ1869" i="2"/>
  <c r="AE1869" i="2"/>
  <c r="AE1842" i="2"/>
  <c r="AJ1842" i="2"/>
  <c r="AO1842" i="2"/>
  <c r="AO22" i="2"/>
  <c r="AJ22" i="2"/>
  <c r="AE22" i="2"/>
  <c r="AT190" i="2"/>
  <c r="AY190" i="2" s="1"/>
  <c r="BH190" i="2" s="1"/>
  <c r="AO517" i="2"/>
  <c r="AJ517" i="2"/>
  <c r="AE517" i="2"/>
  <c r="AO46" i="2"/>
  <c r="AJ46" i="2"/>
  <c r="AE46" i="2"/>
  <c r="AT157" i="2"/>
  <c r="AY157" i="2" s="1"/>
  <c r="BH157" i="2" s="1"/>
  <c r="AT1544" i="2"/>
  <c r="AY1544" i="2" s="1"/>
  <c r="BH1544" i="2" s="1"/>
  <c r="AT1540" i="2"/>
  <c r="AY1540" i="2" s="1"/>
  <c r="BH1540" i="2" s="1"/>
  <c r="AT1536" i="2"/>
  <c r="AY1536" i="2" s="1"/>
  <c r="BH1536" i="2" s="1"/>
  <c r="AT1532" i="2"/>
  <c r="AY1532" i="2" s="1"/>
  <c r="BH1532" i="2" s="1"/>
  <c r="AT1528" i="2"/>
  <c r="AY1528" i="2" s="1"/>
  <c r="BH1528" i="2" s="1"/>
  <c r="AT1524" i="2"/>
  <c r="AY1524" i="2" s="1"/>
  <c r="BH1524" i="2" s="1"/>
  <c r="AT1520" i="2"/>
  <c r="AY1520" i="2" s="1"/>
  <c r="BH1520" i="2" s="1"/>
  <c r="AT1516" i="2"/>
  <c r="AY1516" i="2" s="1"/>
  <c r="BH1516" i="2" s="1"/>
  <c r="AT1512" i="2"/>
  <c r="AY1512" i="2" s="1"/>
  <c r="BH1512" i="2" s="1"/>
  <c r="AT1508" i="2"/>
  <c r="AY1508" i="2" s="1"/>
  <c r="BH1508" i="2" s="1"/>
  <c r="AT1498" i="2"/>
  <c r="AY1498" i="2" s="1"/>
  <c r="BH1498" i="2" s="1"/>
  <c r="AT1494" i="2"/>
  <c r="AY1494" i="2" s="1"/>
  <c r="BH1494" i="2" s="1"/>
  <c r="AT1490" i="2"/>
  <c r="AY1490" i="2" s="1"/>
  <c r="BH1490" i="2" s="1"/>
  <c r="AJ1852" i="2"/>
  <c r="AE1852" i="2"/>
  <c r="AO1852" i="2"/>
  <c r="AT1313" i="2"/>
  <c r="AY1313" i="2" s="1"/>
  <c r="BH1313" i="2" s="1"/>
  <c r="AT2060" i="2"/>
  <c r="AY2060" i="2" s="1"/>
  <c r="BH2060" i="2" s="1"/>
  <c r="AO400" i="2"/>
  <c r="AJ400" i="2"/>
  <c r="AE400" i="2"/>
  <c r="AO368" i="2"/>
  <c r="AJ368" i="2"/>
  <c r="AE368" i="2"/>
  <c r="AO336" i="2"/>
  <c r="AJ336" i="2"/>
  <c r="AE336" i="2"/>
  <c r="AT319" i="2"/>
  <c r="AY319" i="2" s="1"/>
  <c r="BH319" i="2" s="1"/>
  <c r="AT287" i="2"/>
  <c r="AY287" i="2" s="1"/>
  <c r="BH287" i="2" s="1"/>
  <c r="AT1079" i="2"/>
  <c r="AY1079" i="2" s="1"/>
  <c r="BH1079" i="2" s="1"/>
  <c r="BA148" i="2"/>
  <c r="AU148" i="2"/>
  <c r="AZ148" i="2" s="1"/>
  <c r="AT2462" i="2"/>
  <c r="AY2462" i="2" s="1"/>
  <c r="BH2462" i="2" s="1"/>
  <c r="AT2406" i="2"/>
  <c r="AY2406" i="2" s="1"/>
  <c r="BH2406" i="2" s="1"/>
  <c r="AJ2383" i="2"/>
  <c r="AE2383" i="2"/>
  <c r="AO2383" i="2"/>
  <c r="AJ2375" i="2"/>
  <c r="AE2375" i="2"/>
  <c r="AO2375" i="2"/>
  <c r="AJ2367" i="2"/>
  <c r="AE2367" i="2"/>
  <c r="AO2367" i="2"/>
  <c r="AJ2359" i="2"/>
  <c r="AE2359" i="2"/>
  <c r="AO2359" i="2"/>
  <c r="AJ2335" i="2"/>
  <c r="AE2335" i="2"/>
  <c r="AO2335" i="2"/>
  <c r="AT2163" i="2"/>
  <c r="AY2163" i="2" s="1"/>
  <c r="BH2163" i="2" s="1"/>
  <c r="AT1329" i="2"/>
  <c r="AY1329" i="2" s="1"/>
  <c r="BH1329" i="2" s="1"/>
  <c r="AT1265" i="2"/>
  <c r="AY1265" i="2" s="1"/>
  <c r="BH1265" i="2" s="1"/>
  <c r="AT1201" i="2"/>
  <c r="AY1201" i="2" s="1"/>
  <c r="BH1201" i="2" s="1"/>
  <c r="AJ550" i="2"/>
  <c r="AE550" i="2"/>
  <c r="AO550" i="2"/>
  <c r="AJ2255" i="2"/>
  <c r="AO2255" i="2"/>
  <c r="AE2255" i="2"/>
  <c r="AJ407" i="2"/>
  <c r="AO407" i="2"/>
  <c r="AE407" i="2"/>
  <c r="AJ101" i="2"/>
  <c r="AE101" i="2"/>
  <c r="AO101" i="2"/>
  <c r="AJ1609" i="2"/>
  <c r="AE1609" i="2"/>
  <c r="AO1609" i="2"/>
  <c r="AO511" i="2"/>
  <c r="AJ511" i="2"/>
  <c r="AE511" i="2"/>
  <c r="AO2011" i="2"/>
  <c r="AJ2011" i="2"/>
  <c r="AE2011" i="2"/>
  <c r="AO1995" i="2"/>
  <c r="AJ1995" i="2"/>
  <c r="AE1995" i="2"/>
  <c r="AO1979" i="2"/>
  <c r="AJ1979" i="2"/>
  <c r="AE1979" i="2"/>
  <c r="AO1963" i="2"/>
  <c r="AJ1963" i="2"/>
  <c r="AE1963" i="2"/>
  <c r="AO2009" i="2"/>
  <c r="AJ2009" i="2"/>
  <c r="AE2009" i="2"/>
  <c r="AO1993" i="2"/>
  <c r="AJ1993" i="2"/>
  <c r="AE1993" i="2"/>
  <c r="AO1977" i="2"/>
  <c r="AJ1977" i="2"/>
  <c r="AE1977" i="2"/>
  <c r="AO1961" i="2"/>
  <c r="AJ1961" i="2"/>
  <c r="AE1961" i="2"/>
  <c r="AT1897" i="2"/>
  <c r="AY1897" i="2" s="1"/>
  <c r="BH1897" i="2" s="1"/>
  <c r="AT2188" i="2"/>
  <c r="AY2188" i="2" s="1"/>
  <c r="BH2188" i="2" s="1"/>
  <c r="AT201" i="2"/>
  <c r="AY201" i="2" s="1"/>
  <c r="BH201" i="2" s="1"/>
  <c r="AT169" i="2"/>
  <c r="AY169" i="2" s="1"/>
  <c r="BH169" i="2" s="1"/>
  <c r="AT137" i="2"/>
  <c r="AY137" i="2" s="1"/>
  <c r="BH137" i="2" s="1"/>
  <c r="AT105" i="2"/>
  <c r="AY105" i="2" s="1"/>
  <c r="BH105" i="2" s="1"/>
  <c r="AO531" i="2"/>
  <c r="AJ531" i="2"/>
  <c r="AE531" i="2"/>
  <c r="AO507" i="2"/>
  <c r="AJ507" i="2"/>
  <c r="AE507" i="2"/>
  <c r="AT231" i="2"/>
  <c r="AY231" i="2" s="1"/>
  <c r="BH231" i="2" s="1"/>
  <c r="AJ1191" i="2"/>
  <c r="AE1191" i="2"/>
  <c r="AO1191" i="2"/>
  <c r="AT1091" i="2"/>
  <c r="AY1091" i="2" s="1"/>
  <c r="BH1091" i="2" s="1"/>
  <c r="AT2067" i="2"/>
  <c r="AY2067" i="2" s="1"/>
  <c r="BH2067" i="2" s="1"/>
  <c r="AT1628" i="2"/>
  <c r="AY1628" i="2" s="1"/>
  <c r="BH1628" i="2" s="1"/>
  <c r="AE64" i="2"/>
  <c r="AJ64" i="2"/>
  <c r="AO64" i="2"/>
  <c r="AT1043" i="2"/>
  <c r="AY1043" i="2" s="1"/>
  <c r="BH1043" i="2" s="1"/>
  <c r="AT722" i="2"/>
  <c r="AY722" i="2" s="1"/>
  <c r="BH722" i="2" s="1"/>
  <c r="AT718" i="2"/>
  <c r="AY718" i="2" s="1"/>
  <c r="BH718" i="2" s="1"/>
  <c r="AT714" i="2"/>
  <c r="AY714" i="2" s="1"/>
  <c r="BH714" i="2" s="1"/>
  <c r="AT710" i="2"/>
  <c r="AY710" i="2" s="1"/>
  <c r="BH710" i="2" s="1"/>
  <c r="AT706" i="2"/>
  <c r="AY706" i="2" s="1"/>
  <c r="BH706" i="2" s="1"/>
  <c r="AT702" i="2"/>
  <c r="AY702" i="2" s="1"/>
  <c r="BH702" i="2" s="1"/>
  <c r="AT698" i="2"/>
  <c r="AY698" i="2" s="1"/>
  <c r="BH698" i="2" s="1"/>
  <c r="AT694" i="2"/>
  <c r="AY694" i="2" s="1"/>
  <c r="BH694" i="2" s="1"/>
  <c r="AT690" i="2"/>
  <c r="AY690" i="2" s="1"/>
  <c r="BH690" i="2" s="1"/>
  <c r="AT686" i="2"/>
  <c r="AY686" i="2" s="1"/>
  <c r="BH686" i="2" s="1"/>
  <c r="AT682" i="2"/>
  <c r="AY682" i="2" s="1"/>
  <c r="BH682" i="2" s="1"/>
  <c r="AT678" i="2"/>
  <c r="AY678" i="2" s="1"/>
  <c r="BH678" i="2" s="1"/>
  <c r="AT674" i="2"/>
  <c r="AY674" i="2" s="1"/>
  <c r="BH674" i="2" s="1"/>
  <c r="AT670" i="2"/>
  <c r="AY670" i="2" s="1"/>
  <c r="BH670" i="2" s="1"/>
  <c r="AT666" i="2"/>
  <c r="AY666" i="2" s="1"/>
  <c r="BH666" i="2" s="1"/>
  <c r="AT662" i="2"/>
  <c r="AY662" i="2" s="1"/>
  <c r="BH662" i="2" s="1"/>
  <c r="AT658" i="2"/>
  <c r="AY658" i="2" s="1"/>
  <c r="BH658" i="2" s="1"/>
  <c r="AT654" i="2"/>
  <c r="AY654" i="2" s="1"/>
  <c r="BH654" i="2" s="1"/>
  <c r="AT650" i="2"/>
  <c r="AY650" i="2" s="1"/>
  <c r="BH650" i="2" s="1"/>
  <c r="AT646" i="2"/>
  <c r="AY646" i="2" s="1"/>
  <c r="BH646" i="2" s="1"/>
  <c r="AT642" i="2"/>
  <c r="AY642" i="2" s="1"/>
  <c r="BH642" i="2" s="1"/>
  <c r="AT638" i="2"/>
  <c r="AY638" i="2" s="1"/>
  <c r="BH638" i="2" s="1"/>
  <c r="AT634" i="2"/>
  <c r="AY634" i="2" s="1"/>
  <c r="BH634" i="2" s="1"/>
  <c r="AT630" i="2"/>
  <c r="AY630" i="2" s="1"/>
  <c r="BH630" i="2" s="1"/>
  <c r="AT626" i="2"/>
  <c r="AY626" i="2" s="1"/>
  <c r="BH626" i="2" s="1"/>
  <c r="AT622" i="2"/>
  <c r="AY622" i="2" s="1"/>
  <c r="BH622" i="2" s="1"/>
  <c r="AT2473" i="2"/>
  <c r="AY2473" i="2" s="1"/>
  <c r="BH2473" i="2" s="1"/>
  <c r="AT277" i="2"/>
  <c r="AY277" i="2" s="1"/>
  <c r="BH277" i="2" s="1"/>
  <c r="AT355" i="2"/>
  <c r="AY355" i="2" s="1"/>
  <c r="BH355" i="2" s="1"/>
  <c r="AT239" i="2"/>
  <c r="AY239" i="2" s="1"/>
  <c r="BH239" i="2" s="1"/>
  <c r="AJ2480" i="2"/>
  <c r="AO2480" i="2"/>
  <c r="AE2480" i="2"/>
  <c r="AT1595" i="2"/>
  <c r="AY1595" i="2" s="1"/>
  <c r="BH1595" i="2" s="1"/>
  <c r="AT1587" i="2"/>
  <c r="AY1587" i="2" s="1"/>
  <c r="BH1587" i="2" s="1"/>
  <c r="AE1139" i="2"/>
  <c r="AO1139" i="2"/>
  <c r="AJ1139" i="2"/>
  <c r="AU1143" i="2"/>
  <c r="AZ1143" i="2" s="1"/>
  <c r="BA1143" i="2"/>
  <c r="AJ237" i="2"/>
  <c r="AE237" i="2"/>
  <c r="AO237" i="2"/>
  <c r="AJ443" i="2"/>
  <c r="AE443" i="2"/>
  <c r="AO443" i="2"/>
  <c r="AO298" i="2"/>
  <c r="AJ298" i="2"/>
  <c r="AE298" i="2"/>
  <c r="AJ5" i="2"/>
  <c r="AE5" i="2"/>
  <c r="AO5" i="2"/>
  <c r="AO2157" i="2"/>
  <c r="AJ2157" i="2"/>
  <c r="AE2157" i="2"/>
  <c r="AO2142" i="2"/>
  <c r="AJ2142" i="2"/>
  <c r="AE2142" i="2"/>
  <c r="AO2183" i="2"/>
  <c r="AJ2183" i="2"/>
  <c r="AE2183" i="2"/>
  <c r="AT1136" i="2"/>
  <c r="AY1136" i="2" s="1"/>
  <c r="BH1136" i="2" s="1"/>
  <c r="AT1128" i="2"/>
  <c r="AY1128" i="2" s="1"/>
  <c r="BH1128" i="2" s="1"/>
  <c r="AT1120" i="2"/>
  <c r="AY1120" i="2" s="1"/>
  <c r="BH1120" i="2" s="1"/>
  <c r="AT1112" i="2"/>
  <c r="AY1112" i="2" s="1"/>
  <c r="BH1112" i="2" s="1"/>
  <c r="AT1104" i="2"/>
  <c r="AY1104" i="2" s="1"/>
  <c r="BH1104" i="2" s="1"/>
  <c r="AT1096" i="2"/>
  <c r="AY1096" i="2" s="1"/>
  <c r="BH1096" i="2" s="1"/>
  <c r="AT1088" i="2"/>
  <c r="AY1088" i="2" s="1"/>
  <c r="BH1088" i="2" s="1"/>
  <c r="AT1080" i="2"/>
  <c r="AY1080" i="2" s="1"/>
  <c r="BH1080" i="2" s="1"/>
  <c r="AT1072" i="2"/>
  <c r="AY1072" i="2" s="1"/>
  <c r="BH1072" i="2" s="1"/>
  <c r="AT1064" i="2"/>
  <c r="AY1064" i="2" s="1"/>
  <c r="BH1064" i="2" s="1"/>
  <c r="AT1056" i="2"/>
  <c r="AY1056" i="2" s="1"/>
  <c r="BH1056" i="2" s="1"/>
  <c r="AT1041" i="2"/>
  <c r="AY1041" i="2" s="1"/>
  <c r="BH1041" i="2" s="1"/>
  <c r="AJ1645" i="2"/>
  <c r="AE1645" i="2"/>
  <c r="AO1645" i="2"/>
  <c r="AJ1635" i="2"/>
  <c r="AE1635" i="2"/>
  <c r="AO1635" i="2"/>
  <c r="AT258" i="2"/>
  <c r="AY258" i="2" s="1"/>
  <c r="BH258" i="2" s="1"/>
  <c r="AO14" i="2"/>
  <c r="AJ14" i="2"/>
  <c r="AE14" i="2"/>
  <c r="AO1656" i="2"/>
  <c r="AJ1656" i="2"/>
  <c r="AE1656" i="2"/>
  <c r="AT1344" i="2"/>
  <c r="AY1344" i="2" s="1"/>
  <c r="BH1344" i="2" s="1"/>
  <c r="AO162" i="2"/>
  <c r="AJ162" i="2"/>
  <c r="AE162" i="2"/>
  <c r="AT77" i="2"/>
  <c r="AY77" i="2" s="1"/>
  <c r="BH77" i="2" s="1"/>
  <c r="AT1674" i="2"/>
  <c r="AY1674" i="2" s="1"/>
  <c r="BH1674" i="2" s="1"/>
  <c r="AT555" i="2"/>
  <c r="AY555" i="2" s="1"/>
  <c r="BH555" i="2" s="1"/>
  <c r="AT539" i="2"/>
  <c r="AY539" i="2" s="1"/>
  <c r="BH539" i="2" s="1"/>
  <c r="AT515" i="2"/>
  <c r="AY515" i="2" s="1"/>
  <c r="BH515" i="2" s="1"/>
  <c r="AT36" i="2"/>
  <c r="AY36" i="2" s="1"/>
  <c r="BH36" i="2" s="1"/>
  <c r="AE1372" i="2"/>
  <c r="AO1372" i="2"/>
  <c r="AJ1372" i="2"/>
  <c r="AT1297" i="2"/>
  <c r="AY1297" i="2" s="1"/>
  <c r="BH1297" i="2" s="1"/>
  <c r="AE1085" i="2"/>
  <c r="AO1085" i="2"/>
  <c r="AJ1085" i="2"/>
  <c r="AE872" i="2"/>
  <c r="AO872" i="2"/>
  <c r="AJ872" i="2"/>
  <c r="AE744" i="2"/>
  <c r="AO744" i="2"/>
  <c r="AJ744" i="2"/>
  <c r="AE924" i="2"/>
  <c r="AO924" i="2"/>
  <c r="AJ924" i="2"/>
  <c r="AE912" i="2"/>
  <c r="AO912" i="2"/>
  <c r="AJ912" i="2"/>
  <c r="AE900" i="2"/>
  <c r="AO900" i="2"/>
  <c r="AJ900" i="2"/>
  <c r="AO2175" i="2"/>
  <c r="AJ2175" i="2"/>
  <c r="AE2175" i="2"/>
  <c r="AT2401" i="2"/>
  <c r="AY2401" i="2" s="1"/>
  <c r="BH2401" i="2" s="1"/>
  <c r="AO2151" i="2"/>
  <c r="AE2151" i="2"/>
  <c r="AJ2151" i="2"/>
  <c r="AT2441" i="2"/>
  <c r="AY2441" i="2" s="1"/>
  <c r="BH2441" i="2" s="1"/>
  <c r="AO1391" i="2"/>
  <c r="AE1391" i="2"/>
  <c r="AJ1391" i="2"/>
  <c r="AT1255" i="2"/>
  <c r="AY1255" i="2" s="1"/>
  <c r="BH1255" i="2" s="1"/>
  <c r="AJ475" i="2"/>
  <c r="AE475" i="2"/>
  <c r="AO475" i="2"/>
  <c r="AT2168" i="2"/>
  <c r="AY2168" i="2" s="1"/>
  <c r="BH2168" i="2" s="1"/>
  <c r="AE2038" i="2"/>
  <c r="AJ2038" i="2"/>
  <c r="AO2038" i="2"/>
  <c r="AE2034" i="2"/>
  <c r="AJ2034" i="2"/>
  <c r="AO2034" i="2"/>
  <c r="AE2030" i="2"/>
  <c r="AJ2030" i="2"/>
  <c r="AO2030" i="2"/>
  <c r="AE2026" i="2"/>
  <c r="AJ2026" i="2"/>
  <c r="AO2026" i="2"/>
  <c r="AE2022" i="2"/>
  <c r="AJ2022" i="2"/>
  <c r="AO2022" i="2"/>
  <c r="AJ481" i="2"/>
  <c r="AE481" i="2"/>
  <c r="AO481" i="2"/>
  <c r="AJ1295" i="2"/>
  <c r="AE1295" i="2"/>
  <c r="AO1295" i="2"/>
  <c r="AT66" i="2"/>
  <c r="AY66" i="2" s="1"/>
  <c r="BH66" i="2" s="1"/>
  <c r="AT490" i="2"/>
  <c r="AY490" i="2" s="1"/>
  <c r="BH490" i="2" s="1"/>
  <c r="AO2413" i="2"/>
  <c r="AJ2413" i="2"/>
  <c r="AE2413" i="2"/>
  <c r="AJ1525" i="2"/>
  <c r="AO1525" i="2"/>
  <c r="AE1525" i="2"/>
  <c r="AJ1521" i="2"/>
  <c r="AO1521" i="2"/>
  <c r="AE1521" i="2"/>
  <c r="AJ1517" i="2"/>
  <c r="AO1517" i="2"/>
  <c r="AE1517" i="2"/>
  <c r="AJ1577" i="2"/>
  <c r="AO1577" i="2"/>
  <c r="AE1577" i="2"/>
  <c r="AJ1561" i="2"/>
  <c r="AO1561" i="2"/>
  <c r="AE1561" i="2"/>
  <c r="AJ1545" i="2"/>
  <c r="AO1545" i="2"/>
  <c r="AE1545" i="2"/>
  <c r="AT1655" i="2"/>
  <c r="AY1655" i="2" s="1"/>
  <c r="BH1655" i="2" s="1"/>
  <c r="AJ73" i="2"/>
  <c r="AO73" i="2"/>
  <c r="AE73" i="2"/>
  <c r="AT2085" i="2"/>
  <c r="AY2085" i="2" s="1"/>
  <c r="BH2085" i="2" s="1"/>
  <c r="AT415" i="2"/>
  <c r="AY415" i="2" s="1"/>
  <c r="BH415" i="2" s="1"/>
  <c r="AJ225" i="2"/>
  <c r="AE225" i="2"/>
  <c r="AO225" i="2"/>
  <c r="AJ219" i="2"/>
  <c r="AE219" i="2"/>
  <c r="AO219" i="2"/>
  <c r="AT387" i="2"/>
  <c r="AY387" i="2" s="1"/>
  <c r="BH387" i="2" s="1"/>
  <c r="AT2100" i="2"/>
  <c r="AY2100" i="2" s="1"/>
  <c r="BH2100" i="2" s="1"/>
  <c r="AJ1523" i="2"/>
  <c r="AO1523" i="2"/>
  <c r="AE1523" i="2"/>
  <c r="AT537" i="2"/>
  <c r="AY537" i="2" s="1"/>
  <c r="BH537" i="2" s="1"/>
  <c r="AT2160" i="2"/>
  <c r="AY2160" i="2" s="1"/>
  <c r="BH2160" i="2" s="1"/>
  <c r="AT1376" i="2"/>
  <c r="AY1376" i="2" s="1"/>
  <c r="BH1376" i="2" s="1"/>
  <c r="AE1812" i="2"/>
  <c r="AO1812" i="2"/>
  <c r="AJ1812" i="2"/>
  <c r="AO1636" i="2"/>
  <c r="AJ1636" i="2"/>
  <c r="AE1636" i="2"/>
  <c r="AT1553" i="2"/>
  <c r="AY1553" i="2" s="1"/>
  <c r="BH1553" i="2" s="1"/>
  <c r="AT695" i="2"/>
  <c r="AY695" i="2" s="1"/>
  <c r="BH695" i="2" s="1"/>
  <c r="AT1686" i="2"/>
  <c r="AY1686" i="2" s="1"/>
  <c r="BH1686" i="2" s="1"/>
  <c r="AT106" i="2"/>
  <c r="AY106" i="2" s="1"/>
  <c r="BH106" i="2" s="1"/>
  <c r="AT76" i="2"/>
  <c r="AY76" i="2" s="1"/>
  <c r="BH76" i="2" s="1"/>
  <c r="AE2152" i="2"/>
  <c r="AO2152" i="2"/>
  <c r="AJ2152" i="2"/>
  <c r="AO2051" i="2"/>
  <c r="AJ2051" i="2"/>
  <c r="AE2051" i="2"/>
  <c r="AJ1472" i="2"/>
  <c r="AE1472" i="2"/>
  <c r="AO1472" i="2"/>
  <c r="AJ1468" i="2"/>
  <c r="AE1468" i="2"/>
  <c r="AO1468" i="2"/>
  <c r="AJ1464" i="2"/>
  <c r="AE1464" i="2"/>
  <c r="AO1464" i="2"/>
  <c r="AJ1460" i="2"/>
  <c r="AE1460" i="2"/>
  <c r="AO1460" i="2"/>
  <c r="AJ1456" i="2"/>
  <c r="AE1456" i="2"/>
  <c r="AO1456" i="2"/>
  <c r="AJ1452" i="2"/>
  <c r="AE1452" i="2"/>
  <c r="AO1452" i="2"/>
  <c r="AJ1448" i="2"/>
  <c r="AE1448" i="2"/>
  <c r="AO1448" i="2"/>
  <c r="AJ1444" i="2"/>
  <c r="AE1444" i="2"/>
  <c r="AO1444" i="2"/>
  <c r="AO1258" i="2"/>
  <c r="AJ1258" i="2"/>
  <c r="AE1258" i="2"/>
  <c r="AO2423" i="2"/>
  <c r="AJ2423" i="2"/>
  <c r="AE2423" i="2"/>
  <c r="AJ2279" i="2"/>
  <c r="AO2279" i="2"/>
  <c r="AE2279" i="2"/>
  <c r="AJ1702" i="2"/>
  <c r="AO1702" i="2"/>
  <c r="AE1702" i="2"/>
  <c r="AT1978" i="2"/>
  <c r="AY1978" i="2" s="1"/>
  <c r="BH1978" i="2" s="1"/>
  <c r="AJ1625" i="2"/>
  <c r="AE1625" i="2"/>
  <c r="AO1625" i="2"/>
  <c r="AT832" i="2"/>
  <c r="AY832" i="2" s="1"/>
  <c r="BH832" i="2" s="1"/>
  <c r="AT768" i="2"/>
  <c r="AY768" i="2" s="1"/>
  <c r="BH768" i="2" s="1"/>
  <c r="AJ465" i="2"/>
  <c r="AE465" i="2"/>
  <c r="AO465" i="2"/>
  <c r="AJ281" i="2"/>
  <c r="AE281" i="2"/>
  <c r="AO281" i="2"/>
  <c r="AJ217" i="2"/>
  <c r="AE217" i="2"/>
  <c r="AO217" i="2"/>
  <c r="AJ409" i="2"/>
  <c r="AE409" i="2"/>
  <c r="AO409" i="2"/>
  <c r="AJ457" i="2"/>
  <c r="AE457" i="2"/>
  <c r="AO457" i="2"/>
  <c r="AJ109" i="2"/>
  <c r="AE109" i="2"/>
  <c r="AO109" i="2"/>
  <c r="AO1821" i="2"/>
  <c r="AJ1821" i="2"/>
  <c r="AE1821" i="2"/>
  <c r="AJ1589" i="2"/>
  <c r="AE1589" i="2"/>
  <c r="AO1589" i="2"/>
  <c r="AJ1319" i="2"/>
  <c r="AE1319" i="2"/>
  <c r="AO1319" i="2"/>
  <c r="AE860" i="2"/>
  <c r="AO860" i="2"/>
  <c r="AJ860" i="2"/>
  <c r="AE796" i="2"/>
  <c r="AO796" i="2"/>
  <c r="AJ796" i="2"/>
  <c r="AE732" i="2"/>
  <c r="AO732" i="2"/>
  <c r="AJ732" i="2"/>
  <c r="AO374" i="2"/>
  <c r="AJ374" i="2"/>
  <c r="AE374" i="2"/>
  <c r="AT1638" i="2"/>
  <c r="AY1638" i="2" s="1"/>
  <c r="BH1638" i="2" s="1"/>
  <c r="AT1340" i="2"/>
  <c r="AY1340" i="2" s="1"/>
  <c r="BH1340" i="2" s="1"/>
  <c r="AT1276" i="2"/>
  <c r="AY1276" i="2" s="1"/>
  <c r="BH1276" i="2" s="1"/>
  <c r="AT1212" i="2"/>
  <c r="AY1212" i="2" s="1"/>
  <c r="BH1212" i="2" s="1"/>
  <c r="AT665" i="2"/>
  <c r="AY665" i="2" s="1"/>
  <c r="BH665" i="2" s="1"/>
  <c r="AT35" i="2"/>
  <c r="AY35" i="2" s="1"/>
  <c r="BH35" i="2" s="1"/>
  <c r="AT85" i="2"/>
  <c r="AY85" i="2" s="1"/>
  <c r="BH85" i="2" s="1"/>
  <c r="AT1599" i="2"/>
  <c r="AY1599" i="2" s="1"/>
  <c r="BH1599" i="2" s="1"/>
  <c r="AJ1325" i="2"/>
  <c r="AE1325" i="2"/>
  <c r="AO1325" i="2"/>
  <c r="AT1044" i="2"/>
  <c r="AY1044" i="2" s="1"/>
  <c r="BH1044" i="2" s="1"/>
  <c r="AJ546" i="2"/>
  <c r="AE546" i="2"/>
  <c r="AO546" i="2"/>
  <c r="AJ514" i="2"/>
  <c r="AE514" i="2"/>
  <c r="AO514" i="2"/>
  <c r="AT1605" i="2"/>
  <c r="AY1605" i="2" s="1"/>
  <c r="BH1605" i="2" s="1"/>
  <c r="AT1249" i="2"/>
  <c r="AY1249" i="2" s="1"/>
  <c r="BH1249" i="2" s="1"/>
  <c r="AE2166" i="2"/>
  <c r="AO2166" i="2"/>
  <c r="AJ2166" i="2"/>
  <c r="AO1825" i="2"/>
  <c r="AJ1825" i="2"/>
  <c r="AE1825" i="2"/>
  <c r="AJ1591" i="2"/>
  <c r="AE1591" i="2"/>
  <c r="AO1591" i="2"/>
  <c r="AT1179" i="2"/>
  <c r="AY1179" i="2" s="1"/>
  <c r="BH1179" i="2" s="1"/>
  <c r="AT1384" i="2"/>
  <c r="AY1384" i="2" s="1"/>
  <c r="BH1384" i="2" s="1"/>
  <c r="AE2044" i="2"/>
  <c r="AJ2044" i="2"/>
  <c r="AO2044" i="2"/>
  <c r="AT864" i="2"/>
  <c r="AY864" i="2" s="1"/>
  <c r="BH864" i="2" s="1"/>
  <c r="AT800" i="2"/>
  <c r="AY800" i="2" s="1"/>
  <c r="BH800" i="2" s="1"/>
  <c r="AT736" i="2"/>
  <c r="AY736" i="2" s="1"/>
  <c r="BH736" i="2" s="1"/>
  <c r="AO278" i="2"/>
  <c r="AJ278" i="2"/>
  <c r="AE278" i="2"/>
  <c r="AO228" i="2"/>
  <c r="AJ228" i="2"/>
  <c r="AE228" i="2"/>
  <c r="AT2460" i="2"/>
  <c r="AY2460" i="2" s="1"/>
  <c r="BH2460" i="2" s="1"/>
  <c r="AE2113" i="2"/>
  <c r="AO2113" i="2"/>
  <c r="AJ2113" i="2"/>
  <c r="AT1659" i="2"/>
  <c r="AY1659" i="2" s="1"/>
  <c r="BH1659" i="2" s="1"/>
  <c r="AT1348" i="2"/>
  <c r="AY1348" i="2" s="1"/>
  <c r="BH1348" i="2" s="1"/>
  <c r="AT318" i="2"/>
  <c r="AY318" i="2" s="1"/>
  <c r="BH318" i="2" s="1"/>
  <c r="AT313" i="2"/>
  <c r="AY313" i="2" s="1"/>
  <c r="BH313" i="2" s="1"/>
  <c r="AT446" i="2"/>
  <c r="AY446" i="2" s="1"/>
  <c r="BH446" i="2" s="1"/>
  <c r="AT208" i="2"/>
  <c r="AY208" i="2" s="1"/>
  <c r="BH208" i="2" s="1"/>
  <c r="AT1306" i="2"/>
  <c r="AY1306" i="2" s="1"/>
  <c r="BH1306" i="2" s="1"/>
  <c r="AT1180" i="2"/>
  <c r="AY1180" i="2" s="1"/>
  <c r="BH1180" i="2" s="1"/>
  <c r="AO551" i="2"/>
  <c r="AJ551" i="2"/>
  <c r="AE551" i="2"/>
  <c r="AT2476" i="2"/>
  <c r="AY2476" i="2" s="1"/>
  <c r="BH2476" i="2" s="1"/>
  <c r="AT1379" i="2"/>
  <c r="AY1379" i="2" s="1"/>
  <c r="BH1379" i="2" s="1"/>
  <c r="AO1278" i="2"/>
  <c r="AJ1278" i="2"/>
  <c r="AE1278" i="2"/>
  <c r="AO1214" i="2"/>
  <c r="AJ1214" i="2"/>
  <c r="AE1214" i="2"/>
  <c r="AT1465" i="2"/>
  <c r="AY1465" i="2" s="1"/>
  <c r="BH1465" i="2" s="1"/>
  <c r="AT1449" i="2"/>
  <c r="AY1449" i="2" s="1"/>
  <c r="BH1449" i="2" s="1"/>
  <c r="AT2198" i="2"/>
  <c r="AY2198" i="2" s="1"/>
  <c r="BH2198" i="2" s="1"/>
  <c r="AE1848" i="2"/>
  <c r="AJ1848" i="2"/>
  <c r="AO1848" i="2"/>
  <c r="AT1333" i="2"/>
  <c r="AY1333" i="2" s="1"/>
  <c r="BH1333" i="2" s="1"/>
  <c r="AT1269" i="2"/>
  <c r="AY1269" i="2" s="1"/>
  <c r="BH1269" i="2" s="1"/>
  <c r="AT1205" i="2"/>
  <c r="AY1205" i="2" s="1"/>
  <c r="BH1205" i="2" s="1"/>
  <c r="AO1813" i="2"/>
  <c r="AJ1813" i="2"/>
  <c r="AE1813" i="2"/>
  <c r="BA288" i="2"/>
  <c r="AU288" i="2"/>
  <c r="AZ288" i="2" s="1"/>
  <c r="BA176" i="2"/>
  <c r="AU176" i="2"/>
  <c r="AZ176" i="2" s="1"/>
  <c r="BA18" i="2"/>
  <c r="AU18" i="2"/>
  <c r="AZ18" i="2" s="1"/>
  <c r="AO146" i="2"/>
  <c r="AJ146" i="2"/>
  <c r="AE146" i="2"/>
  <c r="AE1816" i="2"/>
  <c r="AO1816" i="2"/>
  <c r="AJ1816" i="2"/>
  <c r="AT1600" i="2"/>
  <c r="AY1600" i="2" s="1"/>
  <c r="BH1600" i="2" s="1"/>
  <c r="AT1352" i="2"/>
  <c r="AY1352" i="2" s="1"/>
  <c r="BH1352" i="2" s="1"/>
  <c r="AT1288" i="2"/>
  <c r="AY1288" i="2" s="1"/>
  <c r="BH1288" i="2" s="1"/>
  <c r="AT1224" i="2"/>
  <c r="AY1224" i="2" s="1"/>
  <c r="BH1224" i="2" s="1"/>
  <c r="AT3" i="2"/>
  <c r="AY3" i="2" s="1"/>
  <c r="BH3" i="2" s="1"/>
  <c r="AT865" i="2"/>
  <c r="AY865" i="2" s="1"/>
  <c r="BH865" i="2" s="1"/>
  <c r="AT833" i="2"/>
  <c r="AY833" i="2" s="1"/>
  <c r="BH833" i="2" s="1"/>
  <c r="AT801" i="2"/>
  <c r="AY801" i="2" s="1"/>
  <c r="BH801" i="2" s="1"/>
  <c r="AT769" i="2"/>
  <c r="AY769" i="2" s="1"/>
  <c r="BH769" i="2" s="1"/>
  <c r="AT737" i="2"/>
  <c r="AY737" i="2" s="1"/>
  <c r="BH737" i="2" s="1"/>
  <c r="AO883" i="2"/>
  <c r="AE883" i="2"/>
  <c r="AJ883" i="2"/>
  <c r="AO867" i="2"/>
  <c r="AE867" i="2"/>
  <c r="AJ867" i="2"/>
  <c r="AO851" i="2"/>
  <c r="AE851" i="2"/>
  <c r="AJ851" i="2"/>
  <c r="AO835" i="2"/>
  <c r="AE835" i="2"/>
  <c r="AJ835" i="2"/>
  <c r="AO819" i="2"/>
  <c r="AE819" i="2"/>
  <c r="AJ819" i="2"/>
  <c r="AO803" i="2"/>
  <c r="AE803" i="2"/>
  <c r="AJ803" i="2"/>
  <c r="AO787" i="2"/>
  <c r="AE787" i="2"/>
  <c r="AJ787" i="2"/>
  <c r="AO771" i="2"/>
  <c r="AE771" i="2"/>
  <c r="AJ771" i="2"/>
  <c r="AO755" i="2"/>
  <c r="AE755" i="2"/>
  <c r="AJ755" i="2"/>
  <c r="AO739" i="2"/>
  <c r="AE739" i="2"/>
  <c r="AJ739" i="2"/>
  <c r="AO98" i="2"/>
  <c r="AE98" i="2"/>
  <c r="AJ98" i="2"/>
  <c r="AJ2494" i="2"/>
  <c r="AO2494" i="2"/>
  <c r="AE2494" i="2"/>
  <c r="AO2047" i="2"/>
  <c r="AJ2047" i="2"/>
  <c r="AE2047" i="2"/>
  <c r="AT1668" i="2"/>
  <c r="AY1668" i="2" s="1"/>
  <c r="BH1668" i="2" s="1"/>
  <c r="AT529" i="2"/>
  <c r="AY529" i="2" s="1"/>
  <c r="BH529" i="2" s="1"/>
  <c r="AT310" i="2"/>
  <c r="AY310" i="2" s="1"/>
  <c r="BH310" i="2" s="1"/>
  <c r="AO2169" i="2"/>
  <c r="AJ2169" i="2"/>
  <c r="AE2169" i="2"/>
  <c r="AT265" i="2"/>
  <c r="AY265" i="2" s="1"/>
  <c r="BH265" i="2" s="1"/>
  <c r="AT1436" i="2"/>
  <c r="AY1436" i="2" s="1"/>
  <c r="BH1436" i="2" s="1"/>
  <c r="AT1432" i="2"/>
  <c r="AY1432" i="2" s="1"/>
  <c r="BH1432" i="2" s="1"/>
  <c r="AT1428" i="2"/>
  <c r="AY1428" i="2" s="1"/>
  <c r="BH1428" i="2" s="1"/>
  <c r="AT1424" i="2"/>
  <c r="AY1424" i="2" s="1"/>
  <c r="BH1424" i="2" s="1"/>
  <c r="AT1420" i="2"/>
  <c r="AY1420" i="2" s="1"/>
  <c r="BH1420" i="2" s="1"/>
  <c r="AT1416" i="2"/>
  <c r="AY1416" i="2" s="1"/>
  <c r="BH1416" i="2" s="1"/>
  <c r="AT1412" i="2"/>
  <c r="AY1412" i="2" s="1"/>
  <c r="BH1412" i="2" s="1"/>
  <c r="AT1408" i="2"/>
  <c r="AY1408" i="2" s="1"/>
  <c r="BH1408" i="2" s="1"/>
  <c r="AT1404" i="2"/>
  <c r="AY1404" i="2" s="1"/>
  <c r="BH1404" i="2" s="1"/>
  <c r="AT1400" i="2"/>
  <c r="AY1400" i="2" s="1"/>
  <c r="BH1400" i="2" s="1"/>
  <c r="AT1396" i="2"/>
  <c r="AY1396" i="2" s="1"/>
  <c r="BH1396" i="2" s="1"/>
  <c r="AO1644" i="2"/>
  <c r="AJ1644" i="2"/>
  <c r="AE1644" i="2"/>
  <c r="AT1354" i="2"/>
  <c r="AY1354" i="2" s="1"/>
  <c r="BH1354" i="2" s="1"/>
  <c r="AO122" i="2"/>
  <c r="AJ122" i="2"/>
  <c r="AE122" i="2"/>
  <c r="AO2059" i="2"/>
  <c r="AJ2059" i="2"/>
  <c r="AE2059" i="2"/>
  <c r="AO1959" i="2"/>
  <c r="AJ1959" i="2"/>
  <c r="AE1959" i="2"/>
  <c r="AO1989" i="2"/>
  <c r="AJ1989" i="2"/>
  <c r="AE1989" i="2"/>
  <c r="AO1925" i="2"/>
  <c r="AJ1925" i="2"/>
  <c r="AE1925" i="2"/>
  <c r="AO1861" i="2"/>
  <c r="AJ1861" i="2"/>
  <c r="AE1861" i="2"/>
  <c r="AT1282" i="2"/>
  <c r="AY1282" i="2" s="1"/>
  <c r="BH1282" i="2" s="1"/>
  <c r="AT2172" i="2"/>
  <c r="AY2172" i="2" s="1"/>
  <c r="BH2172" i="2" s="1"/>
  <c r="AE1097" i="2"/>
  <c r="AO1097" i="2"/>
  <c r="AJ1097" i="2"/>
  <c r="AJ1357" i="2"/>
  <c r="AE1357" i="2"/>
  <c r="AO1357" i="2"/>
  <c r="AJ1293" i="2"/>
  <c r="AE1293" i="2"/>
  <c r="AO1293" i="2"/>
  <c r="AJ1229" i="2"/>
  <c r="AE1229" i="2"/>
  <c r="AO1229" i="2"/>
  <c r="AO438" i="2"/>
  <c r="AJ438" i="2"/>
  <c r="AE438" i="2"/>
  <c r="AT395" i="2"/>
  <c r="AY395" i="2" s="1"/>
  <c r="BH395" i="2" s="1"/>
  <c r="AT1945" i="2"/>
  <c r="AY1945" i="2" s="1"/>
  <c r="BH1945" i="2" s="1"/>
  <c r="AO1881" i="2"/>
  <c r="AJ1881" i="2"/>
  <c r="AE1881" i="2"/>
  <c r="AT1362" i="2"/>
  <c r="AY1362" i="2" s="1"/>
  <c r="BH1362" i="2" s="1"/>
  <c r="AO450" i="2"/>
  <c r="AJ450" i="2"/>
  <c r="AE450" i="2"/>
  <c r="AT2193" i="2"/>
  <c r="AY2193" i="2" s="1"/>
  <c r="BH2193" i="2" s="1"/>
  <c r="AE24" i="2"/>
  <c r="AJ24" i="2"/>
  <c r="AO24" i="2"/>
  <c r="AJ43" i="2"/>
  <c r="AO43" i="2"/>
  <c r="AE43" i="2"/>
  <c r="AT59" i="2"/>
  <c r="AY59" i="2" s="1"/>
  <c r="BH59" i="2" s="1"/>
  <c r="AT102" i="2"/>
  <c r="AY102" i="2" s="1"/>
  <c r="BH102" i="2" s="1"/>
  <c r="AO406" i="2"/>
  <c r="AJ406" i="2"/>
  <c r="AE406" i="2"/>
  <c r="AJ1535" i="2"/>
  <c r="AO1535" i="2"/>
  <c r="AE1535" i="2"/>
  <c r="AJ1519" i="2"/>
  <c r="AO1519" i="2"/>
  <c r="AE1519" i="2"/>
  <c r="AJ1493" i="2"/>
  <c r="AO1493" i="2"/>
  <c r="AE1493" i="2"/>
  <c r="AT530" i="2"/>
  <c r="AY530" i="2" s="1"/>
  <c r="BH530" i="2" s="1"/>
  <c r="AT229" i="2"/>
  <c r="AY229" i="2" s="1"/>
  <c r="BH229" i="2" s="1"/>
  <c r="AO472" i="2"/>
  <c r="AJ472" i="2"/>
  <c r="AE472" i="2"/>
  <c r="AJ279" i="2"/>
  <c r="AO279" i="2"/>
  <c r="AE279" i="2"/>
  <c r="AJ247" i="2"/>
  <c r="AO247" i="2"/>
  <c r="AE247" i="2"/>
  <c r="AJ215" i="2"/>
  <c r="AO215" i="2"/>
  <c r="AE215" i="2"/>
  <c r="AJ207" i="2"/>
  <c r="AO207" i="2"/>
  <c r="AE207" i="2"/>
  <c r="AO2083" i="2"/>
  <c r="AJ2083" i="2"/>
  <c r="AE2083" i="2"/>
  <c r="AO1590" i="2"/>
  <c r="AJ1590" i="2"/>
  <c r="AE1590" i="2"/>
  <c r="AO1582" i="2"/>
  <c r="AJ1582" i="2"/>
  <c r="AE1582" i="2"/>
  <c r="AT1567" i="2"/>
  <c r="AY1567" i="2" s="1"/>
  <c r="BH1567" i="2" s="1"/>
  <c r="AT1551" i="2"/>
  <c r="AY1551" i="2" s="1"/>
  <c r="BH1551" i="2" s="1"/>
  <c r="AT1529" i="2"/>
  <c r="AY1529" i="2" s="1"/>
  <c r="BH1529" i="2" s="1"/>
  <c r="AT1326" i="2"/>
  <c r="AY1326" i="2" s="1"/>
  <c r="BH1326" i="2" s="1"/>
  <c r="AT306" i="2"/>
  <c r="AY306" i="2" s="1"/>
  <c r="BH306" i="2" s="1"/>
  <c r="AT2490" i="2"/>
  <c r="AY2490" i="2" s="1"/>
  <c r="BH2490" i="2" s="1"/>
  <c r="AT2474" i="2"/>
  <c r="AY2474" i="2" s="1"/>
  <c r="BH2474" i="2" s="1"/>
  <c r="AE1846" i="2"/>
  <c r="AJ1846" i="2"/>
  <c r="AO1846" i="2"/>
  <c r="AO462" i="2"/>
  <c r="AJ462" i="2"/>
  <c r="AE462" i="2"/>
  <c r="AJ197" i="2"/>
  <c r="AE197" i="2"/>
  <c r="AO197" i="2"/>
  <c r="AT881" i="2"/>
  <c r="AY881" i="2" s="1"/>
  <c r="BH881" i="2" s="1"/>
  <c r="AT849" i="2"/>
  <c r="AY849" i="2" s="1"/>
  <c r="BH849" i="2" s="1"/>
  <c r="AT817" i="2"/>
  <c r="AY817" i="2" s="1"/>
  <c r="BH817" i="2" s="1"/>
  <c r="AT785" i="2"/>
  <c r="AY785" i="2" s="1"/>
  <c r="BH785" i="2" s="1"/>
  <c r="AT753" i="2"/>
  <c r="AY753" i="2" s="1"/>
  <c r="BH753" i="2" s="1"/>
  <c r="AT223" i="2"/>
  <c r="AY223" i="2" s="1"/>
  <c r="BH223" i="2" s="1"/>
  <c r="AT1538" i="2"/>
  <c r="AY1538" i="2" s="1"/>
  <c r="BH1538" i="2" s="1"/>
  <c r="AT1280" i="2"/>
  <c r="AY1280" i="2" s="1"/>
  <c r="BH1280" i="2" s="1"/>
  <c r="AT873" i="2"/>
  <c r="AY873" i="2" s="1"/>
  <c r="BH873" i="2" s="1"/>
  <c r="AT809" i="2"/>
  <c r="AY809" i="2" s="1"/>
  <c r="BH809" i="2" s="1"/>
  <c r="AT745" i="2"/>
  <c r="AY745" i="2" s="1"/>
  <c r="BH745" i="2" s="1"/>
  <c r="AT1543" i="2"/>
  <c r="AY1543" i="2" s="1"/>
  <c r="BH1543" i="2" s="1"/>
  <c r="AJ1597" i="2"/>
  <c r="AE1597" i="2"/>
  <c r="AO1597" i="2"/>
  <c r="AT1651" i="2"/>
  <c r="AY1651" i="2" s="1"/>
  <c r="BH1651" i="2" s="1"/>
  <c r="AT1040" i="2"/>
  <c r="AY1040" i="2" s="1"/>
  <c r="BH1040" i="2" s="1"/>
  <c r="AT1036" i="2"/>
  <c r="AY1036" i="2" s="1"/>
  <c r="BH1036" i="2" s="1"/>
  <c r="AT1032" i="2"/>
  <c r="AY1032" i="2" s="1"/>
  <c r="BH1032" i="2" s="1"/>
  <c r="AT1028" i="2"/>
  <c r="AY1028" i="2" s="1"/>
  <c r="BH1028" i="2" s="1"/>
  <c r="AT1024" i="2"/>
  <c r="AY1024" i="2" s="1"/>
  <c r="BH1024" i="2" s="1"/>
  <c r="AT1020" i="2"/>
  <c r="AY1020" i="2" s="1"/>
  <c r="BH1020" i="2" s="1"/>
  <c r="AT1016" i="2"/>
  <c r="AY1016" i="2" s="1"/>
  <c r="BH1016" i="2" s="1"/>
  <c r="AT1012" i="2"/>
  <c r="AY1012" i="2" s="1"/>
  <c r="BH1012" i="2" s="1"/>
  <c r="AT1008" i="2"/>
  <c r="AY1008" i="2" s="1"/>
  <c r="BH1008" i="2" s="1"/>
  <c r="AT1004" i="2"/>
  <c r="AY1004" i="2" s="1"/>
  <c r="BH1004" i="2" s="1"/>
  <c r="AT1000" i="2"/>
  <c r="AY1000" i="2" s="1"/>
  <c r="BH1000" i="2" s="1"/>
  <c r="AT996" i="2"/>
  <c r="AY996" i="2" s="1"/>
  <c r="BH996" i="2" s="1"/>
  <c r="AT992" i="2"/>
  <c r="AY992" i="2" s="1"/>
  <c r="BH992" i="2" s="1"/>
  <c r="AT988" i="2"/>
  <c r="AY988" i="2" s="1"/>
  <c r="BH988" i="2" s="1"/>
  <c r="AT984" i="2"/>
  <c r="AY984" i="2" s="1"/>
  <c r="BH984" i="2" s="1"/>
  <c r="AT980" i="2"/>
  <c r="AY980" i="2" s="1"/>
  <c r="BH980" i="2" s="1"/>
  <c r="AT976" i="2"/>
  <c r="AY976" i="2" s="1"/>
  <c r="BH976" i="2" s="1"/>
  <c r="AT972" i="2"/>
  <c r="AY972" i="2" s="1"/>
  <c r="BH972" i="2" s="1"/>
  <c r="AT968" i="2"/>
  <c r="AY968" i="2" s="1"/>
  <c r="BH968" i="2" s="1"/>
  <c r="AT964" i="2"/>
  <c r="AY964" i="2" s="1"/>
  <c r="BH964" i="2" s="1"/>
  <c r="AT960" i="2"/>
  <c r="AY960" i="2" s="1"/>
  <c r="BH960" i="2" s="1"/>
  <c r="AT956" i="2"/>
  <c r="AY956" i="2" s="1"/>
  <c r="BH956" i="2" s="1"/>
  <c r="AT952" i="2"/>
  <c r="AY952" i="2" s="1"/>
  <c r="BH952" i="2" s="1"/>
  <c r="AT948" i="2"/>
  <c r="AY948" i="2" s="1"/>
  <c r="BH948" i="2" s="1"/>
  <c r="AT944" i="2"/>
  <c r="AY944" i="2" s="1"/>
  <c r="BH944" i="2" s="1"/>
  <c r="AT940" i="2"/>
  <c r="AY940" i="2" s="1"/>
  <c r="BH940" i="2" s="1"/>
  <c r="AJ2313" i="2"/>
  <c r="AE2313" i="2"/>
  <c r="AO2313" i="2"/>
  <c r="AJ2289" i="2"/>
  <c r="AE2289" i="2"/>
  <c r="AO2289" i="2"/>
  <c r="AJ2265" i="2"/>
  <c r="AE2265" i="2"/>
  <c r="AO2265" i="2"/>
  <c r="AJ2241" i="2"/>
  <c r="AE2241" i="2"/>
  <c r="AO2241" i="2"/>
  <c r="AJ2217" i="2"/>
  <c r="AE2217" i="2"/>
  <c r="AO2217" i="2"/>
  <c r="AJ2283" i="2"/>
  <c r="AO2283" i="2"/>
  <c r="AE2283" i="2"/>
  <c r="AJ1694" i="2"/>
  <c r="AO1694" i="2"/>
  <c r="AE1694" i="2"/>
  <c r="AO1166" i="2"/>
  <c r="AJ1166" i="2"/>
  <c r="AE1166" i="2"/>
  <c r="AJ379" i="2"/>
  <c r="AE379" i="2"/>
  <c r="AO379" i="2"/>
  <c r="AO1971" i="2"/>
  <c r="AJ1971" i="2"/>
  <c r="AE1971" i="2"/>
  <c r="AT1245" i="2"/>
  <c r="AY1245" i="2" s="1"/>
  <c r="BH1245" i="2" s="1"/>
  <c r="AT213" i="2"/>
  <c r="AY213" i="2" s="1"/>
  <c r="BH213" i="2" s="1"/>
  <c r="AT117" i="2"/>
  <c r="AY117" i="2" s="1"/>
  <c r="BH117" i="2" s="1"/>
  <c r="AT1361" i="2"/>
  <c r="AY1361" i="2" s="1"/>
  <c r="BH1361" i="2" s="1"/>
  <c r="AO158" i="2"/>
  <c r="AJ158" i="2"/>
  <c r="AE158" i="2"/>
  <c r="AT78" i="2"/>
  <c r="AY78" i="2" s="1"/>
  <c r="BH78" i="2" s="1"/>
  <c r="AT72" i="2"/>
  <c r="AY72" i="2" s="1"/>
  <c r="BH72" i="2" s="1"/>
  <c r="AE2148" i="2"/>
  <c r="AO2148" i="2"/>
  <c r="AJ2148" i="2"/>
  <c r="AT1182" i="2"/>
  <c r="AY1182" i="2" s="1"/>
  <c r="BH1182" i="2" s="1"/>
  <c r="AO206" i="2"/>
  <c r="AJ206" i="2"/>
  <c r="AE206" i="2"/>
  <c r="AJ1271" i="2"/>
  <c r="AE1271" i="2"/>
  <c r="AO1271" i="2"/>
  <c r="AO2417" i="2"/>
  <c r="AJ2417" i="2"/>
  <c r="AE2417" i="2"/>
  <c r="AJ1850" i="2"/>
  <c r="AE1850" i="2"/>
  <c r="AO1850" i="2"/>
  <c r="AO408" i="2"/>
  <c r="AJ408" i="2"/>
  <c r="AE408" i="2"/>
  <c r="AT1621" i="2"/>
  <c r="AY1621" i="2" s="1"/>
  <c r="BH1621" i="2" s="1"/>
  <c r="AT825" i="2"/>
  <c r="AY825" i="2" s="1"/>
  <c r="BH825" i="2" s="1"/>
  <c r="AT761" i="2"/>
  <c r="AY761" i="2" s="1"/>
  <c r="BH761" i="2" s="1"/>
  <c r="AO871" i="2"/>
  <c r="AE871" i="2"/>
  <c r="AJ871" i="2"/>
  <c r="AO855" i="2"/>
  <c r="AE855" i="2"/>
  <c r="AJ855" i="2"/>
  <c r="AO839" i="2"/>
  <c r="AE839" i="2"/>
  <c r="AJ839" i="2"/>
  <c r="AO823" i="2"/>
  <c r="AE823" i="2"/>
  <c r="AJ823" i="2"/>
  <c r="AO807" i="2"/>
  <c r="AE807" i="2"/>
  <c r="AJ807" i="2"/>
  <c r="AO791" i="2"/>
  <c r="AE791" i="2"/>
  <c r="AJ791" i="2"/>
  <c r="AO775" i="2"/>
  <c r="AE775" i="2"/>
  <c r="AJ775" i="2"/>
  <c r="AO759" i="2"/>
  <c r="AE759" i="2"/>
  <c r="AJ759" i="2"/>
  <c r="AO743" i="2"/>
  <c r="AE743" i="2"/>
  <c r="AJ743" i="2"/>
  <c r="AO727" i="2"/>
  <c r="AE727" i="2"/>
  <c r="AJ727" i="2"/>
  <c r="AT1317" i="2"/>
  <c r="AY1317" i="2" s="1"/>
  <c r="BH1317" i="2" s="1"/>
  <c r="AT1253" i="2"/>
  <c r="AY1253" i="2" s="1"/>
  <c r="BH1253" i="2" s="1"/>
  <c r="AT1189" i="2"/>
  <c r="AY1189" i="2" s="1"/>
  <c r="BH1189" i="2" s="1"/>
  <c r="AT1133" i="2"/>
  <c r="AY1133" i="2" s="1"/>
  <c r="BH1133" i="2" s="1"/>
  <c r="AT1069" i="2"/>
  <c r="AY1069" i="2" s="1"/>
  <c r="BH1069" i="2" s="1"/>
  <c r="AT792" i="2"/>
  <c r="AY792" i="2" s="1"/>
  <c r="BH792" i="2" s="1"/>
  <c r="AT483" i="2"/>
  <c r="AY483" i="2" s="1"/>
  <c r="BH483" i="2" s="1"/>
  <c r="AT473" i="2"/>
  <c r="AY473" i="2" s="1"/>
  <c r="BH473" i="2" s="1"/>
  <c r="AO424" i="2"/>
  <c r="AJ424" i="2"/>
  <c r="AE424" i="2"/>
  <c r="AO376" i="2"/>
  <c r="AJ376" i="2"/>
  <c r="AE376" i="2"/>
  <c r="AO344" i="2"/>
  <c r="AJ344" i="2"/>
  <c r="AE344" i="2"/>
  <c r="AT165" i="2"/>
  <c r="AY165" i="2" s="1"/>
  <c r="BH165" i="2" s="1"/>
  <c r="AT2181" i="2"/>
  <c r="AY2181" i="2" s="1"/>
  <c r="BH2181" i="2" s="1"/>
  <c r="AT1847" i="2"/>
  <c r="AY1847" i="2" s="1"/>
  <c r="BH1847" i="2" s="1"/>
  <c r="AO454" i="2"/>
  <c r="AJ454" i="2"/>
  <c r="AE454" i="2"/>
  <c r="AO2144" i="2"/>
  <c r="AJ2144" i="2"/>
  <c r="AE2144" i="2"/>
  <c r="AO2179" i="2"/>
  <c r="AJ2179" i="2"/>
  <c r="AE2179" i="2"/>
  <c r="AO482" i="2"/>
  <c r="AJ482" i="2"/>
  <c r="AE482" i="2"/>
  <c r="AJ2253" i="2"/>
  <c r="AE2253" i="2"/>
  <c r="AO2253" i="2"/>
  <c r="AJ2245" i="2"/>
  <c r="AE2245" i="2"/>
  <c r="AO2245" i="2"/>
  <c r="AJ2237" i="2"/>
  <c r="AE2237" i="2"/>
  <c r="AO2237" i="2"/>
  <c r="AJ2213" i="2"/>
  <c r="AE2213" i="2"/>
  <c r="AO2213" i="2"/>
  <c r="AT1318" i="2"/>
  <c r="AY1318" i="2" s="1"/>
  <c r="BH1318" i="2" s="1"/>
  <c r="AT12" i="2"/>
  <c r="AY12" i="2" s="1"/>
  <c r="BH12" i="2" s="1"/>
  <c r="AJ1753" i="2"/>
  <c r="AE1753" i="2"/>
  <c r="AO1753" i="2"/>
  <c r="AJ1737" i="2"/>
  <c r="AE1737" i="2"/>
  <c r="AO1737" i="2"/>
  <c r="AJ1721" i="2"/>
  <c r="AE1721" i="2"/>
  <c r="AO1721" i="2"/>
  <c r="AJ1705" i="2"/>
  <c r="AE1705" i="2"/>
  <c r="AO1705" i="2"/>
  <c r="AJ1689" i="2"/>
  <c r="AE1689" i="2"/>
  <c r="AO1689" i="2"/>
  <c r="AJ1673" i="2"/>
  <c r="AE1673" i="2"/>
  <c r="AO1673" i="2"/>
  <c r="AT1738" i="2"/>
  <c r="AY1738" i="2" s="1"/>
  <c r="BH1738" i="2" s="1"/>
  <c r="AO1612" i="2"/>
  <c r="AJ1612" i="2"/>
  <c r="AE1612" i="2"/>
  <c r="AT1194" i="2"/>
  <c r="AY1194" i="2" s="1"/>
  <c r="BH1194" i="2" s="1"/>
  <c r="AE1125" i="2"/>
  <c r="AO1125" i="2"/>
  <c r="AJ1125" i="2"/>
  <c r="AE1061" i="2"/>
  <c r="AO1061" i="2"/>
  <c r="AJ1061" i="2"/>
  <c r="AE934" i="2"/>
  <c r="AO934" i="2"/>
  <c r="AJ934" i="2"/>
  <c r="AO212" i="2"/>
  <c r="AJ212" i="2"/>
  <c r="AE212" i="2"/>
  <c r="AJ2048" i="2"/>
  <c r="AE2048" i="2"/>
  <c r="AO2048" i="2"/>
  <c r="AO2045" i="2"/>
  <c r="AJ2045" i="2"/>
  <c r="AE2045" i="2"/>
  <c r="AT1583" i="2"/>
  <c r="AY1583" i="2" s="1"/>
  <c r="BH1583" i="2" s="1"/>
  <c r="AT932" i="2"/>
  <c r="AY932" i="2" s="1"/>
  <c r="BH932" i="2" s="1"/>
  <c r="AT920" i="2"/>
  <c r="AY920" i="2" s="1"/>
  <c r="BH920" i="2" s="1"/>
  <c r="AT908" i="2"/>
  <c r="AY908" i="2" s="1"/>
  <c r="BH908" i="2" s="1"/>
  <c r="AT892" i="2"/>
  <c r="AY892" i="2" s="1"/>
  <c r="BH892" i="2" s="1"/>
  <c r="AJ1755" i="2"/>
  <c r="AO1755" i="2"/>
  <c r="AE1755" i="2"/>
  <c r="AJ1747" i="2"/>
  <c r="AO1747" i="2"/>
  <c r="AE1747" i="2"/>
  <c r="AJ1735" i="2"/>
  <c r="AO1735" i="2"/>
  <c r="AE1735" i="2"/>
  <c r="AJ1719" i="2"/>
  <c r="AO1719" i="2"/>
  <c r="AE1719" i="2"/>
  <c r="AJ1707" i="2"/>
  <c r="AO1707" i="2"/>
  <c r="AE1707" i="2"/>
  <c r="AJ1695" i="2"/>
  <c r="AO1695" i="2"/>
  <c r="AE1695" i="2"/>
  <c r="AJ1683" i="2"/>
  <c r="AO1683" i="2"/>
  <c r="AE1683" i="2"/>
  <c r="AT1710" i="2"/>
  <c r="AY1710" i="2" s="1"/>
  <c r="BH1710" i="2" s="1"/>
  <c r="AT44" i="2"/>
  <c r="AY44" i="2" s="1"/>
  <c r="BH44" i="2" s="1"/>
  <c r="AT198" i="2"/>
  <c r="AY198" i="2" s="1"/>
  <c r="BH198" i="2" s="1"/>
  <c r="AT2295" i="2"/>
  <c r="AY2295" i="2" s="1"/>
  <c r="BH2295" i="2" s="1"/>
  <c r="AT2231" i="2"/>
  <c r="AY2231" i="2" s="1"/>
  <c r="BH2231" i="2" s="1"/>
  <c r="AO861" i="2"/>
  <c r="AE861" i="2"/>
  <c r="AJ861" i="2"/>
  <c r="AO829" i="2"/>
  <c r="AE829" i="2"/>
  <c r="AJ829" i="2"/>
  <c r="AO797" i="2"/>
  <c r="AE797" i="2"/>
  <c r="AJ797" i="2"/>
  <c r="AO765" i="2"/>
  <c r="AE765" i="2"/>
  <c r="AJ765" i="2"/>
  <c r="AO733" i="2"/>
  <c r="AE733" i="2"/>
  <c r="AJ733" i="2"/>
  <c r="AT434" i="2"/>
  <c r="AY434" i="2" s="1"/>
  <c r="BH434" i="2" s="1"/>
  <c r="AT274" i="2"/>
  <c r="AY274" i="2" s="1"/>
  <c r="BH274" i="2" s="1"/>
  <c r="AT1442" i="2"/>
  <c r="AY1442" i="2" s="1"/>
  <c r="BH1442" i="2" s="1"/>
  <c r="AJ2495" i="2"/>
  <c r="AO2495" i="2"/>
  <c r="AE2495" i="2"/>
  <c r="AJ2487" i="2"/>
  <c r="AO2487" i="2"/>
  <c r="AE2487" i="2"/>
  <c r="AO234" i="2"/>
  <c r="AJ234" i="2"/>
  <c r="AE234" i="2"/>
  <c r="AJ1734" i="2"/>
  <c r="AO1734" i="2"/>
  <c r="AE1734" i="2"/>
  <c r="AJ1670" i="2"/>
  <c r="AO1670" i="2"/>
  <c r="AE1670" i="2"/>
  <c r="AJ1722" i="2"/>
  <c r="AO1722" i="2"/>
  <c r="AE1722" i="2"/>
  <c r="AO2471" i="2"/>
  <c r="AJ2471" i="2"/>
  <c r="AE2471" i="2"/>
  <c r="AT875" i="2"/>
  <c r="AY875" i="2" s="1"/>
  <c r="BH875" i="2" s="1"/>
  <c r="AT859" i="2"/>
  <c r="AY859" i="2" s="1"/>
  <c r="BH859" i="2" s="1"/>
  <c r="AT843" i="2"/>
  <c r="AY843" i="2" s="1"/>
  <c r="BH843" i="2" s="1"/>
  <c r="AT827" i="2"/>
  <c r="AY827" i="2" s="1"/>
  <c r="BH827" i="2" s="1"/>
  <c r="AT811" i="2"/>
  <c r="AY811" i="2" s="1"/>
  <c r="BH811" i="2" s="1"/>
  <c r="AT795" i="2"/>
  <c r="AY795" i="2" s="1"/>
  <c r="BH795" i="2" s="1"/>
  <c r="AT779" i="2"/>
  <c r="AY779" i="2" s="1"/>
  <c r="BH779" i="2" s="1"/>
  <c r="AT763" i="2"/>
  <c r="AY763" i="2" s="1"/>
  <c r="BH763" i="2" s="1"/>
  <c r="AT747" i="2"/>
  <c r="AY747" i="2" s="1"/>
  <c r="BH747" i="2" s="1"/>
  <c r="AT731" i="2"/>
  <c r="AY731" i="2" s="1"/>
  <c r="BH731" i="2" s="1"/>
  <c r="AT2435" i="2"/>
  <c r="AY2435" i="2" s="1"/>
  <c r="BH2435" i="2" s="1"/>
  <c r="AO2199" i="2"/>
  <c r="AJ2199" i="2"/>
  <c r="AE2199" i="2"/>
  <c r="AJ1750" i="2"/>
  <c r="AO1750" i="2"/>
  <c r="AE1750" i="2"/>
  <c r="AT1772" i="2"/>
  <c r="AY1772" i="2" s="1"/>
  <c r="BH1772" i="2" s="1"/>
  <c r="AT1627" i="2"/>
  <c r="AY1627" i="2" s="1"/>
  <c r="BH1627" i="2" s="1"/>
  <c r="AT1388" i="2"/>
  <c r="AY1388" i="2" s="1"/>
  <c r="BH1388" i="2" s="1"/>
  <c r="AJ301" i="2"/>
  <c r="AE301" i="2"/>
  <c r="AO301" i="2"/>
  <c r="AJ411" i="2"/>
  <c r="AE411" i="2"/>
  <c r="AO411" i="2"/>
  <c r="AT126" i="2"/>
  <c r="AY126" i="2" s="1"/>
  <c r="BH126" i="2" s="1"/>
  <c r="AJ441" i="2"/>
  <c r="AE441" i="2"/>
  <c r="AO441" i="2"/>
  <c r="AT1184" i="2"/>
  <c r="AY1184" i="2" s="1"/>
  <c r="BH1184" i="2" s="1"/>
  <c r="AO1985" i="2"/>
  <c r="AJ1985" i="2"/>
  <c r="AE1985" i="2"/>
  <c r="AO1921" i="2"/>
  <c r="AJ1921" i="2"/>
  <c r="AE1921" i="2"/>
  <c r="AO130" i="2"/>
  <c r="AJ130" i="2"/>
  <c r="AE130" i="2"/>
  <c r="AT1797" i="2"/>
  <c r="AY1797" i="2" s="1"/>
  <c r="BH1797" i="2" s="1"/>
  <c r="AT1781" i="2"/>
  <c r="AY1781" i="2" s="1"/>
  <c r="BH1781" i="2" s="1"/>
  <c r="AT1765" i="2"/>
  <c r="AY1765" i="2" s="1"/>
  <c r="BH1765" i="2" s="1"/>
  <c r="AO1368" i="2"/>
  <c r="AJ1368" i="2"/>
  <c r="AE1368" i="2"/>
  <c r="AJ526" i="2"/>
  <c r="AE526" i="2"/>
  <c r="AO526" i="2"/>
  <c r="AJ524" i="2"/>
  <c r="AE524" i="2"/>
  <c r="AO524" i="2"/>
  <c r="AT291" i="2"/>
  <c r="AY291" i="2" s="1"/>
  <c r="BH291" i="2" s="1"/>
  <c r="AT227" i="2"/>
  <c r="AY227" i="2" s="1"/>
  <c r="BH227" i="2" s="1"/>
  <c r="AJ449" i="2"/>
  <c r="AE449" i="2"/>
  <c r="AO449" i="2"/>
  <c r="AO308" i="2"/>
  <c r="AJ308" i="2"/>
  <c r="AE308" i="2"/>
  <c r="AO30" i="2"/>
  <c r="AJ30" i="2"/>
  <c r="AE30" i="2"/>
  <c r="AT2430" i="2"/>
  <c r="AY2430" i="2" s="1"/>
  <c r="BH2430" i="2" s="1"/>
  <c r="AJ2391" i="2"/>
  <c r="AE2391" i="2"/>
  <c r="AO2391" i="2"/>
  <c r="AJ2351" i="2"/>
  <c r="AE2351" i="2"/>
  <c r="AO2351" i="2"/>
  <c r="AJ2343" i="2"/>
  <c r="AE2343" i="2"/>
  <c r="AO2343" i="2"/>
  <c r="AJ2327" i="2"/>
  <c r="AE2327" i="2"/>
  <c r="AO2327" i="2"/>
  <c r="AJ2319" i="2"/>
  <c r="AE2319" i="2"/>
  <c r="AO2319" i="2"/>
  <c r="AE2190" i="2"/>
  <c r="AO2190" i="2"/>
  <c r="AJ2190" i="2"/>
  <c r="AT1618" i="2"/>
  <c r="AY1618" i="2" s="1"/>
  <c r="BH1618" i="2" s="1"/>
  <c r="AO1640" i="2"/>
  <c r="AJ1640" i="2"/>
  <c r="AE1640" i="2"/>
  <c r="AO1328" i="2"/>
  <c r="AJ1328" i="2"/>
  <c r="AE1328" i="2"/>
  <c r="AT2429" i="2"/>
  <c r="AY2429" i="2" s="1"/>
  <c r="BH2429" i="2" s="1"/>
  <c r="AJ1445" i="2"/>
  <c r="AO1445" i="2"/>
  <c r="AE1445" i="2"/>
  <c r="AJ1374" i="2"/>
  <c r="AE1374" i="2"/>
  <c r="AO1374" i="2"/>
  <c r="AJ261" i="2"/>
  <c r="AE261" i="2"/>
  <c r="AO261" i="2"/>
  <c r="AJ419" i="2"/>
  <c r="AE419" i="2"/>
  <c r="AO419" i="2"/>
  <c r="AO2105" i="2"/>
  <c r="AJ2105" i="2"/>
  <c r="AE2105" i="2"/>
  <c r="AO1375" i="2"/>
  <c r="AE1375" i="2"/>
  <c r="AJ1375" i="2"/>
  <c r="AO1150" i="2"/>
  <c r="AJ1150" i="2"/>
  <c r="AE1150" i="2"/>
  <c r="AO1146" i="2"/>
  <c r="AJ1146" i="2"/>
  <c r="AE1146" i="2"/>
  <c r="AO1142" i="2"/>
  <c r="AJ1142" i="2"/>
  <c r="AE1142" i="2"/>
  <c r="AJ491" i="2"/>
  <c r="AE491" i="2"/>
  <c r="AO491" i="2"/>
  <c r="AT2468" i="2"/>
  <c r="AY2468" i="2" s="1"/>
  <c r="BH2468" i="2" s="1"/>
  <c r="AT2388" i="2"/>
  <c r="AY2388" i="2" s="1"/>
  <c r="BH2388" i="2" s="1"/>
  <c r="AT2380" i="2"/>
  <c r="AY2380" i="2" s="1"/>
  <c r="BH2380" i="2" s="1"/>
  <c r="AT2372" i="2"/>
  <c r="AY2372" i="2" s="1"/>
  <c r="BH2372" i="2" s="1"/>
  <c r="AT2364" i="2"/>
  <c r="AY2364" i="2" s="1"/>
  <c r="BH2364" i="2" s="1"/>
  <c r="AT2356" i="2"/>
  <c r="AY2356" i="2" s="1"/>
  <c r="BH2356" i="2" s="1"/>
  <c r="AT2348" i="2"/>
  <c r="AY2348" i="2" s="1"/>
  <c r="BH2348" i="2" s="1"/>
  <c r="AT2340" i="2"/>
  <c r="AY2340" i="2" s="1"/>
  <c r="BH2340" i="2" s="1"/>
  <c r="AT2332" i="2"/>
  <c r="AY2332" i="2" s="1"/>
  <c r="BH2332" i="2" s="1"/>
  <c r="AT2324" i="2"/>
  <c r="AY2324" i="2" s="1"/>
  <c r="BH2324" i="2" s="1"/>
  <c r="AT2316" i="2"/>
  <c r="AY2316" i="2" s="1"/>
  <c r="BH2316" i="2" s="1"/>
  <c r="AO1634" i="2"/>
  <c r="AJ1634" i="2"/>
  <c r="AE1634" i="2"/>
  <c r="AT1342" i="2"/>
  <c r="AY1342" i="2" s="1"/>
  <c r="BH1342" i="2" s="1"/>
  <c r="AT2455" i="2"/>
  <c r="AY2455" i="2" s="1"/>
  <c r="BH2455" i="2" s="1"/>
  <c r="AT1929" i="2"/>
  <c r="AY1929" i="2" s="1"/>
  <c r="BH1929" i="2" s="1"/>
  <c r="AO1865" i="2"/>
  <c r="AJ1865" i="2"/>
  <c r="AE1865" i="2"/>
  <c r="AT1175" i="2"/>
  <c r="AY1175" i="2" s="1"/>
  <c r="BH1175" i="2" s="1"/>
  <c r="AT1173" i="2"/>
  <c r="AY1173" i="2" s="1"/>
  <c r="BH1173" i="2" s="1"/>
  <c r="AT1171" i="2"/>
  <c r="AY1171" i="2" s="1"/>
  <c r="BH1171" i="2" s="1"/>
  <c r="AT1169" i="2"/>
  <c r="AY1169" i="2" s="1"/>
  <c r="BH1169" i="2" s="1"/>
  <c r="AT1167" i="2"/>
  <c r="AY1167" i="2" s="1"/>
  <c r="BH1167" i="2" s="1"/>
  <c r="AT1165" i="2"/>
  <c r="AY1165" i="2" s="1"/>
  <c r="BH1165" i="2" s="1"/>
  <c r="AT1163" i="2"/>
  <c r="AY1163" i="2" s="1"/>
  <c r="BH1163" i="2" s="1"/>
  <c r="AT1161" i="2"/>
  <c r="AY1161" i="2" s="1"/>
  <c r="BH1161" i="2" s="1"/>
  <c r="AT1159" i="2"/>
  <c r="AY1159" i="2" s="1"/>
  <c r="BH1159" i="2" s="1"/>
  <c r="AT1157" i="2"/>
  <c r="AY1157" i="2" s="1"/>
  <c r="BH1157" i="2" s="1"/>
  <c r="AT1155" i="2"/>
  <c r="AY1155" i="2" s="1"/>
  <c r="BH1155" i="2" s="1"/>
  <c r="AT1153" i="2"/>
  <c r="AY1153" i="2" s="1"/>
  <c r="BH1153" i="2" s="1"/>
  <c r="AT553" i="2"/>
  <c r="AY553" i="2" s="1"/>
  <c r="BH553" i="2" s="1"/>
  <c r="AO342" i="2"/>
  <c r="AJ342" i="2"/>
  <c r="AE342" i="2"/>
  <c r="AT269" i="2"/>
  <c r="AY269" i="2" s="1"/>
  <c r="BH269" i="2" s="1"/>
  <c r="AT433" i="2"/>
  <c r="AY433" i="2" s="1"/>
  <c r="BH433" i="2" s="1"/>
  <c r="AT334" i="2"/>
  <c r="AY334" i="2" s="1"/>
  <c r="BH334" i="2" s="1"/>
  <c r="AT230" i="2"/>
  <c r="AY230" i="2" s="1"/>
  <c r="BH230" i="2" s="1"/>
  <c r="AT480" i="2"/>
  <c r="AY480" i="2" s="1"/>
  <c r="BH480" i="2" s="1"/>
  <c r="AT2039" i="2"/>
  <c r="AY2039" i="2" s="1"/>
  <c r="BH2039" i="2" s="1"/>
  <c r="AT2037" i="2"/>
  <c r="AY2037" i="2" s="1"/>
  <c r="BH2037" i="2" s="1"/>
  <c r="AT2035" i="2"/>
  <c r="AY2035" i="2" s="1"/>
  <c r="BH2035" i="2" s="1"/>
  <c r="AT2033" i="2"/>
  <c r="AY2033" i="2" s="1"/>
  <c r="BH2033" i="2" s="1"/>
  <c r="AT2031" i="2"/>
  <c r="AY2031" i="2" s="1"/>
  <c r="BH2031" i="2" s="1"/>
  <c r="AT2029" i="2"/>
  <c r="AY2029" i="2" s="1"/>
  <c r="BH2029" i="2" s="1"/>
  <c r="AT2027" i="2"/>
  <c r="AY2027" i="2" s="1"/>
  <c r="BH2027" i="2" s="1"/>
  <c r="AT2025" i="2"/>
  <c r="AY2025" i="2" s="1"/>
  <c r="BH2025" i="2" s="1"/>
  <c r="AT2023" i="2"/>
  <c r="AY2023" i="2" s="1"/>
  <c r="BH2023" i="2" s="1"/>
  <c r="AT1578" i="2"/>
  <c r="AY1578" i="2" s="1"/>
  <c r="BH1578" i="2" s="1"/>
  <c r="AT1574" i="2"/>
  <c r="AY1574" i="2" s="1"/>
  <c r="BH1574" i="2" s="1"/>
  <c r="AT1570" i="2"/>
  <c r="AY1570" i="2" s="1"/>
  <c r="BH1570" i="2" s="1"/>
  <c r="AT1566" i="2"/>
  <c r="AY1566" i="2" s="1"/>
  <c r="BH1566" i="2" s="1"/>
  <c r="AT1562" i="2"/>
  <c r="AY1562" i="2" s="1"/>
  <c r="BH1562" i="2" s="1"/>
  <c r="AT1558" i="2"/>
  <c r="AY1558" i="2" s="1"/>
  <c r="BH1558" i="2" s="1"/>
  <c r="AT1554" i="2"/>
  <c r="AY1554" i="2" s="1"/>
  <c r="BH1554" i="2" s="1"/>
  <c r="AT1550" i="2"/>
  <c r="AY1550" i="2" s="1"/>
  <c r="BH1550" i="2" s="1"/>
  <c r="AT1546" i="2"/>
  <c r="AY1546" i="2" s="1"/>
  <c r="BH1546" i="2" s="1"/>
  <c r="AJ423" i="2"/>
  <c r="AO423" i="2"/>
  <c r="AE423" i="2"/>
  <c r="AJ33" i="2"/>
  <c r="AO33" i="2"/>
  <c r="AE33" i="2"/>
  <c r="AO38" i="2"/>
  <c r="AJ38" i="2"/>
  <c r="AE38" i="2"/>
  <c r="AO2091" i="2"/>
  <c r="AJ2091" i="2"/>
  <c r="AE2091" i="2"/>
  <c r="AT1355" i="2"/>
  <c r="AY1355" i="2" s="1"/>
  <c r="BH1355" i="2" s="1"/>
  <c r="AT1291" i="2"/>
  <c r="AY1291" i="2" s="1"/>
  <c r="BH1291" i="2" s="1"/>
  <c r="AT1227" i="2"/>
  <c r="AY1227" i="2" s="1"/>
  <c r="BH1227" i="2" s="1"/>
  <c r="AE1103" i="2"/>
  <c r="AO1103" i="2"/>
  <c r="AJ1103" i="2"/>
  <c r="AT928" i="2"/>
  <c r="AY928" i="2" s="1"/>
  <c r="BH928" i="2" s="1"/>
  <c r="AT916" i="2"/>
  <c r="AY916" i="2" s="1"/>
  <c r="BH916" i="2" s="1"/>
  <c r="AT904" i="2"/>
  <c r="AY904" i="2" s="1"/>
  <c r="BH904" i="2" s="1"/>
  <c r="AT896" i="2"/>
  <c r="AY896" i="2" s="1"/>
  <c r="BH896" i="2" s="1"/>
  <c r="AT888" i="2"/>
  <c r="AY888" i="2" s="1"/>
  <c r="BH888" i="2" s="1"/>
  <c r="AT469" i="2"/>
  <c r="AY469" i="2" s="1"/>
  <c r="BH469" i="2" s="1"/>
  <c r="AT421" i="2"/>
  <c r="AY421" i="2" s="1"/>
  <c r="BH421" i="2" s="1"/>
  <c r="AT397" i="2"/>
  <c r="AY397" i="2" s="1"/>
  <c r="BH397" i="2" s="1"/>
  <c r="AT516" i="2"/>
  <c r="AY516" i="2" s="1"/>
  <c r="BH516" i="2" s="1"/>
  <c r="AT2111" i="2"/>
  <c r="AY2111" i="2" s="1"/>
  <c r="BH2111" i="2" s="1"/>
  <c r="AO2393" i="2"/>
  <c r="AE2393" i="2"/>
  <c r="AJ2393" i="2"/>
  <c r="AT321" i="2"/>
  <c r="AY321" i="2" s="1"/>
  <c r="BH321" i="2" s="1"/>
  <c r="AT315" i="2"/>
  <c r="AY315" i="2" s="1"/>
  <c r="BH315" i="2" s="1"/>
  <c r="AO2167" i="2"/>
  <c r="AJ2167" i="2"/>
  <c r="AE2167" i="2"/>
  <c r="AT2463" i="2"/>
  <c r="AY2463" i="2" s="1"/>
  <c r="BH2463" i="2" s="1"/>
  <c r="AT292" i="2"/>
  <c r="AY292" i="2" s="1"/>
  <c r="BH292" i="2" s="1"/>
  <c r="AO2005" i="2"/>
  <c r="AJ2005" i="2"/>
  <c r="AE2005" i="2"/>
  <c r="AO1941" i="2"/>
  <c r="AJ1941" i="2"/>
  <c r="AE1941" i="2"/>
  <c r="AO1877" i="2"/>
  <c r="AJ1877" i="2"/>
  <c r="AE1877" i="2"/>
  <c r="AJ1461" i="2"/>
  <c r="AO1461" i="2"/>
  <c r="AE1461" i="2"/>
  <c r="AT1549" i="2"/>
  <c r="AY1549" i="2" s="1"/>
  <c r="BH1549" i="2" s="1"/>
  <c r="AT1455" i="2"/>
  <c r="AY1455" i="2" s="1"/>
  <c r="BH1455" i="2" s="1"/>
  <c r="AT707" i="2"/>
  <c r="AY707" i="2" s="1"/>
  <c r="BH707" i="2" s="1"/>
  <c r="AT691" i="2"/>
  <c r="AY691" i="2" s="1"/>
  <c r="BH691" i="2" s="1"/>
  <c r="AT675" i="2"/>
  <c r="AY675" i="2" s="1"/>
  <c r="BH675" i="2" s="1"/>
  <c r="AT659" i="2"/>
  <c r="AY659" i="2" s="1"/>
  <c r="BH659" i="2" s="1"/>
  <c r="AT643" i="2"/>
  <c r="AY643" i="2" s="1"/>
  <c r="BH643" i="2" s="1"/>
  <c r="AT627" i="2"/>
  <c r="AY627" i="2" s="1"/>
  <c r="BH627" i="2" s="1"/>
  <c r="AT19" i="2"/>
  <c r="AY19" i="2" s="1"/>
  <c r="BH19" i="2" s="1"/>
  <c r="AO426" i="2"/>
  <c r="AJ426" i="2"/>
  <c r="AE426" i="2"/>
  <c r="AO62" i="2"/>
  <c r="AJ62" i="2"/>
  <c r="AE62" i="2"/>
  <c r="AE56" i="2"/>
  <c r="AJ56" i="2"/>
  <c r="AO56" i="2"/>
  <c r="AO110" i="2"/>
  <c r="AJ110" i="2"/>
  <c r="AE110" i="2"/>
  <c r="AT2076" i="2"/>
  <c r="AY2076" i="2" s="1"/>
  <c r="BH2076" i="2" s="1"/>
  <c r="AT1178" i="2"/>
  <c r="AY1178" i="2" s="1"/>
  <c r="BH1178" i="2" s="1"/>
  <c r="AO549" i="2"/>
  <c r="AJ549" i="2"/>
  <c r="AE549" i="2"/>
  <c r="AO1216" i="2"/>
  <c r="AJ1216" i="2"/>
  <c r="AE1216" i="2"/>
  <c r="AJ2052" i="2"/>
  <c r="AE2052" i="2"/>
  <c r="AO2052" i="2"/>
  <c r="AJ1581" i="2"/>
  <c r="AE1581" i="2"/>
  <c r="AO1581" i="2"/>
  <c r="AJ1443" i="2"/>
  <c r="AO1443" i="2"/>
  <c r="AE1443" i="2"/>
  <c r="BA919" i="2"/>
  <c r="AU919" i="2"/>
  <c r="AZ919" i="2" s="1"/>
  <c r="BA903" i="2"/>
  <c r="AU903" i="2"/>
  <c r="AZ903" i="2" s="1"/>
  <c r="BA887" i="2"/>
  <c r="AU887" i="2"/>
  <c r="AZ887" i="2" s="1"/>
  <c r="AT679" i="2"/>
  <c r="AY679" i="2" s="1"/>
  <c r="BH679" i="2" s="1"/>
  <c r="AT1047" i="2"/>
  <c r="AY1047" i="2" s="1"/>
  <c r="BH1047" i="2" s="1"/>
  <c r="AE1788" i="2"/>
  <c r="AO1788" i="2"/>
  <c r="AJ1788" i="2"/>
  <c r="AJ323" i="2"/>
  <c r="AE323" i="2"/>
  <c r="AO323" i="2"/>
  <c r="AE502" i="2"/>
  <c r="AJ502" i="2"/>
  <c r="AO502" i="2"/>
  <c r="AJ1390" i="2"/>
  <c r="AE1390" i="2"/>
  <c r="AO1390" i="2"/>
  <c r="AT485" i="2"/>
  <c r="AY485" i="2" s="1"/>
  <c r="BH485" i="2" s="1"/>
  <c r="AT453" i="2"/>
  <c r="AY453" i="2" s="1"/>
  <c r="BH453" i="2" s="1"/>
  <c r="AT405" i="2"/>
  <c r="AY405" i="2" s="1"/>
  <c r="BH405" i="2" s="1"/>
  <c r="AT389" i="2"/>
  <c r="AY389" i="2" s="1"/>
  <c r="BH389" i="2" s="1"/>
  <c r="AT381" i="2"/>
  <c r="AY381" i="2" s="1"/>
  <c r="BH381" i="2" s="1"/>
  <c r="AO2439" i="2"/>
  <c r="AJ2439" i="2"/>
  <c r="AE2439" i="2"/>
  <c r="AT2229" i="2"/>
  <c r="AY2229" i="2" s="1"/>
  <c r="BH2229" i="2" s="1"/>
  <c r="AJ479" i="2"/>
  <c r="AO479" i="2"/>
  <c r="AE479" i="2"/>
  <c r="AT885" i="2"/>
  <c r="AY885" i="2" s="1"/>
  <c r="BH885" i="2" s="1"/>
  <c r="AT853" i="2"/>
  <c r="AY853" i="2" s="1"/>
  <c r="BH853" i="2" s="1"/>
  <c r="AT821" i="2"/>
  <c r="AY821" i="2" s="1"/>
  <c r="BH821" i="2" s="1"/>
  <c r="AT789" i="2"/>
  <c r="AY789" i="2" s="1"/>
  <c r="BH789" i="2" s="1"/>
  <c r="AT757" i="2"/>
  <c r="AY757" i="2" s="1"/>
  <c r="BH757" i="2" s="1"/>
  <c r="AE504" i="2"/>
  <c r="AJ504" i="2"/>
  <c r="AO504" i="2"/>
  <c r="AE500" i="2"/>
  <c r="AJ500" i="2"/>
  <c r="AO500" i="2"/>
  <c r="AE496" i="2"/>
  <c r="AJ496" i="2"/>
  <c r="AO496" i="2"/>
  <c r="AT1389" i="2"/>
  <c r="AY1389" i="2" s="1"/>
  <c r="BH1389" i="2" s="1"/>
  <c r="AT1373" i="2"/>
  <c r="AY1373" i="2" s="1"/>
  <c r="BH1373" i="2" s="1"/>
  <c r="AJ439" i="2"/>
  <c r="AO439" i="2"/>
  <c r="AE439" i="2"/>
  <c r="AT71" i="2"/>
  <c r="AY71" i="2" s="1"/>
  <c r="BH71" i="2" s="1"/>
  <c r="AT39" i="2"/>
  <c r="AY39" i="2" s="1"/>
  <c r="BH39" i="2" s="1"/>
  <c r="AT7" i="2"/>
  <c r="AY7" i="2" s="1"/>
  <c r="BH7" i="2" s="1"/>
  <c r="AJ65" i="2"/>
  <c r="AO65" i="2"/>
  <c r="AE65" i="2"/>
  <c r="AJ1457" i="2"/>
  <c r="AO1457" i="2"/>
  <c r="AE1457" i="2"/>
  <c r="AT1643" i="2"/>
  <c r="AY1643" i="2" s="1"/>
  <c r="BH1643" i="2" s="1"/>
  <c r="AJ1185" i="2"/>
  <c r="AE1185" i="2"/>
  <c r="AO1185" i="2"/>
  <c r="AT1240" i="2"/>
  <c r="AY1240" i="2" s="1"/>
  <c r="BH1240" i="2" s="1"/>
  <c r="AJ512" i="2"/>
  <c r="AE512" i="2"/>
  <c r="AO512" i="2"/>
  <c r="AJ307" i="2"/>
  <c r="AE307" i="2"/>
  <c r="AO307" i="2"/>
  <c r="AT1226" i="2"/>
  <c r="AY1226" i="2" s="1"/>
  <c r="BH1226" i="2" s="1"/>
  <c r="AJ303" i="2"/>
  <c r="AO303" i="2"/>
  <c r="AE303" i="2"/>
  <c r="AJ271" i="2"/>
  <c r="AO271" i="2"/>
  <c r="AE271" i="2"/>
  <c r="AJ2293" i="2"/>
  <c r="AE2293" i="2"/>
  <c r="AO2293" i="2"/>
  <c r="AJ2285" i="2"/>
  <c r="AE2285" i="2"/>
  <c r="AO2285" i="2"/>
  <c r="AJ2277" i="2"/>
  <c r="AE2277" i="2"/>
  <c r="AO2277" i="2"/>
  <c r="AJ2269" i="2"/>
  <c r="AE2269" i="2"/>
  <c r="AO2269" i="2"/>
  <c r="AJ2261" i="2"/>
  <c r="AE2261" i="2"/>
  <c r="AO2261" i="2"/>
  <c r="AT1991" i="2"/>
  <c r="AY1991" i="2" s="1"/>
  <c r="BH1991" i="2" s="1"/>
  <c r="AT1565" i="2"/>
  <c r="AY1565" i="2" s="1"/>
  <c r="BH1565" i="2" s="1"/>
  <c r="AT1284" i="2"/>
  <c r="AY1284" i="2" s="1"/>
  <c r="BH1284" i="2" s="1"/>
  <c r="BA172" i="2"/>
  <c r="AU172" i="2"/>
  <c r="AZ172" i="2" s="1"/>
  <c r="BA108" i="2"/>
  <c r="AU108" i="2"/>
  <c r="AZ108" i="2" s="1"/>
  <c r="AT1607" i="2"/>
  <c r="AY1607" i="2" s="1"/>
  <c r="BH1607" i="2" s="1"/>
  <c r="AT869" i="2"/>
  <c r="AY869" i="2" s="1"/>
  <c r="BH869" i="2" s="1"/>
  <c r="AT837" i="2"/>
  <c r="AY837" i="2" s="1"/>
  <c r="BH837" i="2" s="1"/>
  <c r="AT805" i="2"/>
  <c r="AY805" i="2" s="1"/>
  <c r="BH805" i="2" s="1"/>
  <c r="AT773" i="2"/>
  <c r="AY773" i="2" s="1"/>
  <c r="BH773" i="2" s="1"/>
  <c r="AT741" i="2"/>
  <c r="AY741" i="2" s="1"/>
  <c r="BH741" i="2" s="1"/>
  <c r="AT90" i="2"/>
  <c r="AY90" i="2" s="1"/>
  <c r="BH90" i="2" s="1"/>
  <c r="AO2155" i="2"/>
  <c r="AJ2155" i="2"/>
  <c r="AE2155" i="2"/>
  <c r="AO2114" i="2"/>
  <c r="AJ2114" i="2"/>
  <c r="AE2114" i="2"/>
  <c r="AJ1369" i="2"/>
  <c r="AE1369" i="2"/>
  <c r="AO1369" i="2"/>
  <c r="AJ1305" i="2"/>
  <c r="AE1305" i="2"/>
  <c r="AO1305" i="2"/>
  <c r="AJ1241" i="2"/>
  <c r="AE1241" i="2"/>
  <c r="AO1241" i="2"/>
  <c r="AJ1177" i="2"/>
  <c r="AE1177" i="2"/>
  <c r="AO1177" i="2"/>
  <c r="AE1077" i="2"/>
  <c r="AO1077" i="2"/>
  <c r="AJ1077" i="2"/>
  <c r="AO2075" i="2"/>
  <c r="AJ2075" i="2"/>
  <c r="AE2075" i="2"/>
  <c r="AT1459" i="2"/>
  <c r="AY1459" i="2" s="1"/>
  <c r="BH1459" i="2" s="1"/>
  <c r="AT631" i="2"/>
  <c r="AY631" i="2" s="1"/>
  <c r="BH631" i="2" s="1"/>
  <c r="AJ425" i="2"/>
  <c r="AE425" i="2"/>
  <c r="AO425" i="2"/>
  <c r="AT1254" i="2"/>
  <c r="AY1254" i="2" s="1"/>
  <c r="BH1254" i="2" s="1"/>
  <c r="AT91" i="2"/>
  <c r="AY91" i="2" s="1"/>
  <c r="BH91" i="2" s="1"/>
  <c r="AT1170" i="2"/>
  <c r="AY1170" i="2" s="1"/>
  <c r="BH1170" i="2" s="1"/>
  <c r="AT1162" i="2"/>
  <c r="AY1162" i="2" s="1"/>
  <c r="BH1162" i="2" s="1"/>
  <c r="AT1154" i="2"/>
  <c r="AY1154" i="2" s="1"/>
  <c r="BH1154" i="2" s="1"/>
  <c r="AO166" i="2"/>
  <c r="AJ166" i="2"/>
  <c r="AE166" i="2"/>
  <c r="AJ325" i="2"/>
  <c r="AE325" i="2"/>
  <c r="AO325" i="2"/>
  <c r="AJ451" i="2"/>
  <c r="AE451" i="2"/>
  <c r="AO451" i="2"/>
  <c r="AT1603" i="2"/>
  <c r="AY1603" i="2" s="1"/>
  <c r="BH1603" i="2" s="1"/>
  <c r="AO1248" i="2"/>
  <c r="AJ1248" i="2"/>
  <c r="AE1248" i="2"/>
  <c r="AE752" i="2"/>
  <c r="AO752" i="2"/>
  <c r="AJ752" i="2"/>
  <c r="AT25" i="2"/>
  <c r="AY25" i="2" s="1"/>
  <c r="BH25" i="2" s="1"/>
  <c r="AE1822" i="2"/>
  <c r="AJ1822" i="2"/>
  <c r="AO1822" i="2"/>
  <c r="AE1798" i="2"/>
  <c r="AJ1798" i="2"/>
  <c r="AO1798" i="2"/>
  <c r="AE1774" i="2"/>
  <c r="AJ1774" i="2"/>
  <c r="AO1774" i="2"/>
  <c r="AO1332" i="2"/>
  <c r="AJ1332" i="2"/>
  <c r="AE1332" i="2"/>
  <c r="AT1575" i="2"/>
  <c r="AY1575" i="2" s="1"/>
  <c r="BH1575" i="2" s="1"/>
  <c r="AT1559" i="2"/>
  <c r="AY1559" i="2" s="1"/>
  <c r="BH1559" i="2" s="1"/>
  <c r="AO1608" i="2"/>
  <c r="AJ1608" i="2"/>
  <c r="AE1608" i="2"/>
  <c r="AO1358" i="2"/>
  <c r="AJ1358" i="2"/>
  <c r="AE1358" i="2"/>
  <c r="AO1294" i="2"/>
  <c r="AJ1294" i="2"/>
  <c r="AE1294" i="2"/>
  <c r="AO1230" i="2"/>
  <c r="AJ1230" i="2"/>
  <c r="AE1230" i="2"/>
  <c r="AT214" i="2"/>
  <c r="AY214" i="2" s="1"/>
  <c r="BH214" i="2" s="1"/>
  <c r="AO1614" i="2"/>
  <c r="AJ1614" i="2"/>
  <c r="AE1614" i="2"/>
  <c r="AT1089" i="2"/>
  <c r="AY1089" i="2" s="1"/>
  <c r="BH1089" i="2" s="1"/>
  <c r="AJ518" i="2"/>
  <c r="AE518" i="2"/>
  <c r="AO518" i="2"/>
  <c r="AJ1639" i="2"/>
  <c r="AE1639" i="2"/>
  <c r="AO1639" i="2"/>
  <c r="AT1135" i="2"/>
  <c r="AY1135" i="2" s="1"/>
  <c r="BH1135" i="2" s="1"/>
  <c r="AT1071" i="2"/>
  <c r="AY1071" i="2" s="1"/>
  <c r="BH1071" i="2" s="1"/>
  <c r="AJ1349" i="2"/>
  <c r="AE1349" i="2"/>
  <c r="AO1349" i="2"/>
  <c r="AJ1285" i="2"/>
  <c r="AE1285" i="2"/>
  <c r="AO1285" i="2"/>
  <c r="AJ1221" i="2"/>
  <c r="AE1221" i="2"/>
  <c r="AO1221" i="2"/>
  <c r="AT617" i="2"/>
  <c r="AY617" i="2" s="1"/>
  <c r="BH617" i="2" s="1"/>
  <c r="AT615" i="2"/>
  <c r="AY615" i="2" s="1"/>
  <c r="BH615" i="2" s="1"/>
  <c r="AT613" i="2"/>
  <c r="AY613" i="2" s="1"/>
  <c r="BH613" i="2" s="1"/>
  <c r="AT611" i="2"/>
  <c r="AY611" i="2" s="1"/>
  <c r="BH611" i="2" s="1"/>
  <c r="AT609" i="2"/>
  <c r="AY609" i="2" s="1"/>
  <c r="BH609" i="2" s="1"/>
  <c r="AT607" i="2"/>
  <c r="AY607" i="2" s="1"/>
  <c r="BH607" i="2" s="1"/>
  <c r="AT605" i="2"/>
  <c r="AY605" i="2" s="1"/>
  <c r="BH605" i="2" s="1"/>
  <c r="AT603" i="2"/>
  <c r="AY603" i="2" s="1"/>
  <c r="BH603" i="2" s="1"/>
  <c r="AT601" i="2"/>
  <c r="AY601" i="2" s="1"/>
  <c r="BH601" i="2" s="1"/>
  <c r="AT599" i="2"/>
  <c r="AY599" i="2" s="1"/>
  <c r="BH599" i="2" s="1"/>
  <c r="AT597" i="2"/>
  <c r="AY597" i="2" s="1"/>
  <c r="BH597" i="2" s="1"/>
  <c r="AT595" i="2"/>
  <c r="AY595" i="2" s="1"/>
  <c r="BH595" i="2" s="1"/>
  <c r="AT593" i="2"/>
  <c r="AY593" i="2" s="1"/>
  <c r="BH593" i="2" s="1"/>
  <c r="AT591" i="2"/>
  <c r="AY591" i="2" s="1"/>
  <c r="BH591" i="2" s="1"/>
  <c r="AT589" i="2"/>
  <c r="AY589" i="2" s="1"/>
  <c r="BH589" i="2" s="1"/>
  <c r="AT587" i="2"/>
  <c r="AY587" i="2" s="1"/>
  <c r="BH587" i="2" s="1"/>
  <c r="AT585" i="2"/>
  <c r="AY585" i="2" s="1"/>
  <c r="BH585" i="2" s="1"/>
  <c r="AT583" i="2"/>
  <c r="AY583" i="2" s="1"/>
  <c r="BH583" i="2" s="1"/>
  <c r="AT581" i="2"/>
  <c r="AY581" i="2" s="1"/>
  <c r="BH581" i="2" s="1"/>
  <c r="AT579" i="2"/>
  <c r="AY579" i="2" s="1"/>
  <c r="BH579" i="2" s="1"/>
  <c r="AT577" i="2"/>
  <c r="AY577" i="2" s="1"/>
  <c r="BH577" i="2" s="1"/>
  <c r="AT575" i="2"/>
  <c r="AY575" i="2" s="1"/>
  <c r="BH575" i="2" s="1"/>
  <c r="AT573" i="2"/>
  <c r="AY573" i="2" s="1"/>
  <c r="BH573" i="2" s="1"/>
  <c r="AT571" i="2"/>
  <c r="AY571" i="2" s="1"/>
  <c r="BH571" i="2" s="1"/>
  <c r="AT569" i="2"/>
  <c r="AY569" i="2" s="1"/>
  <c r="BH569" i="2" s="1"/>
  <c r="AT567" i="2"/>
  <c r="AY567" i="2" s="1"/>
  <c r="BH567" i="2" s="1"/>
  <c r="AT565" i="2"/>
  <c r="AY565" i="2" s="1"/>
  <c r="BH565" i="2" s="1"/>
  <c r="AT563" i="2"/>
  <c r="AY563" i="2" s="1"/>
  <c r="BH563" i="2" s="1"/>
  <c r="AT561" i="2"/>
  <c r="AY561" i="2" s="1"/>
  <c r="BH561" i="2" s="1"/>
  <c r="AT559" i="2"/>
  <c r="AY559" i="2" s="1"/>
  <c r="BH559" i="2" s="1"/>
  <c r="AT557" i="2"/>
  <c r="AY557" i="2" s="1"/>
  <c r="BH557" i="2" s="1"/>
  <c r="AJ37" i="2"/>
  <c r="AE37" i="2"/>
  <c r="AO37" i="2"/>
  <c r="AT2141" i="2"/>
  <c r="AY2141" i="2" s="1"/>
  <c r="BH2141" i="2" s="1"/>
  <c r="AT2139" i="2"/>
  <c r="AY2139" i="2" s="1"/>
  <c r="BH2139" i="2" s="1"/>
  <c r="AT2137" i="2"/>
  <c r="AY2137" i="2" s="1"/>
  <c r="BH2137" i="2" s="1"/>
  <c r="AT2135" i="2"/>
  <c r="AY2135" i="2" s="1"/>
  <c r="BH2135" i="2" s="1"/>
  <c r="AT2133" i="2"/>
  <c r="AY2133" i="2" s="1"/>
  <c r="BH2133" i="2" s="1"/>
  <c r="AT2131" i="2"/>
  <c r="AY2131" i="2" s="1"/>
  <c r="BH2131" i="2" s="1"/>
  <c r="AT2129" i="2"/>
  <c r="AY2129" i="2" s="1"/>
  <c r="BH2129" i="2" s="1"/>
  <c r="AT2127" i="2"/>
  <c r="AY2127" i="2" s="1"/>
  <c r="BH2127" i="2" s="1"/>
  <c r="AT2125" i="2"/>
  <c r="AY2125" i="2" s="1"/>
  <c r="BH2125" i="2" s="1"/>
  <c r="AT2123" i="2"/>
  <c r="AY2123" i="2" s="1"/>
  <c r="BH2123" i="2" s="1"/>
  <c r="AT2121" i="2"/>
  <c r="AY2121" i="2" s="1"/>
  <c r="BH2121" i="2" s="1"/>
  <c r="AT2119" i="2"/>
  <c r="AY2119" i="2" s="1"/>
  <c r="BH2119" i="2" s="1"/>
  <c r="AT2117" i="2"/>
  <c r="AY2117" i="2" s="1"/>
  <c r="BH2117" i="2" s="1"/>
  <c r="AT2115" i="2"/>
  <c r="AY2115" i="2" s="1"/>
  <c r="BH2115" i="2" s="1"/>
  <c r="AT1820" i="2"/>
  <c r="AY1820" i="2" s="1"/>
  <c r="BH1820" i="2" s="1"/>
  <c r="AT1613" i="2"/>
  <c r="AY1613" i="2" s="1"/>
  <c r="BH1613" i="2" s="1"/>
  <c r="AT1359" i="2"/>
  <c r="AY1359" i="2" s="1"/>
  <c r="BH1359" i="2" s="1"/>
  <c r="AT1380" i="2"/>
  <c r="AY1380" i="2" s="1"/>
  <c r="BH1380" i="2" s="1"/>
  <c r="AE1129" i="2"/>
  <c r="AO1129" i="2"/>
  <c r="AJ1129" i="2"/>
  <c r="AE1065" i="2"/>
  <c r="AO1065" i="2"/>
  <c r="AJ1065" i="2"/>
  <c r="AT440" i="2"/>
  <c r="AY440" i="2" s="1"/>
  <c r="BH440" i="2" s="1"/>
  <c r="AO1310" i="2"/>
  <c r="AJ1310" i="2"/>
  <c r="AE1310" i="2"/>
  <c r="AO1246" i="2"/>
  <c r="AJ1246" i="2"/>
  <c r="AE1246" i="2"/>
  <c r="AE2396" i="2"/>
  <c r="AO2396" i="2"/>
  <c r="AJ2396" i="2"/>
  <c r="AO1969" i="2"/>
  <c r="AJ1969" i="2"/>
  <c r="AE1969" i="2"/>
  <c r="AO1905" i="2"/>
  <c r="AJ1905" i="2"/>
  <c r="AE1905" i="2"/>
  <c r="AO1630" i="2"/>
  <c r="AJ1630" i="2"/>
  <c r="AE1630" i="2"/>
  <c r="AT1604" i="2"/>
  <c r="AY1604" i="2" s="1"/>
  <c r="BH1604" i="2" s="1"/>
  <c r="AT1330" i="2"/>
  <c r="AY1330" i="2" s="1"/>
  <c r="BH1330" i="2" s="1"/>
  <c r="AT1204" i="2"/>
  <c r="AY1204" i="2" s="1"/>
  <c r="BH1204" i="2" s="1"/>
  <c r="AJ280" i="2"/>
  <c r="AE280" i="2"/>
  <c r="AO280" i="2"/>
  <c r="AT143" i="2"/>
  <c r="AY143" i="2" s="1"/>
  <c r="BH143" i="2" s="1"/>
  <c r="AT1844" i="2"/>
  <c r="AY1844" i="2" s="1"/>
  <c r="BH1844" i="2" s="1"/>
  <c r="AJ2385" i="2"/>
  <c r="AE2385" i="2"/>
  <c r="AO2385" i="2"/>
  <c r="AJ2361" i="2"/>
  <c r="AE2361" i="2"/>
  <c r="AO2361" i="2"/>
  <c r="AJ2345" i="2"/>
  <c r="AE2345" i="2"/>
  <c r="AO2345" i="2"/>
  <c r="AJ2321" i="2"/>
  <c r="AE2321" i="2"/>
  <c r="AO2321" i="2"/>
  <c r="AT2156" i="2"/>
  <c r="AY2156" i="2" s="1"/>
  <c r="BH2156" i="2" s="1"/>
  <c r="AT2016" i="2"/>
  <c r="AY2016" i="2" s="1"/>
  <c r="BH2016" i="2" s="1"/>
  <c r="AT2012" i="2"/>
  <c r="AY2012" i="2" s="1"/>
  <c r="BH2012" i="2" s="1"/>
  <c r="AT2008" i="2"/>
  <c r="AY2008" i="2" s="1"/>
  <c r="BH2008" i="2" s="1"/>
  <c r="AT2004" i="2"/>
  <c r="AY2004" i="2" s="1"/>
  <c r="BH2004" i="2" s="1"/>
  <c r="AT2000" i="2"/>
  <c r="AY2000" i="2" s="1"/>
  <c r="BH2000" i="2" s="1"/>
  <c r="AT1996" i="2"/>
  <c r="AY1996" i="2" s="1"/>
  <c r="BH1996" i="2" s="1"/>
  <c r="AT1992" i="2"/>
  <c r="AY1992" i="2" s="1"/>
  <c r="BH1992" i="2" s="1"/>
  <c r="AT1988" i="2"/>
  <c r="AY1988" i="2" s="1"/>
  <c r="BH1988" i="2" s="1"/>
  <c r="AT1984" i="2"/>
  <c r="AY1984" i="2" s="1"/>
  <c r="BH1984" i="2" s="1"/>
  <c r="AT1980" i="2"/>
  <c r="AY1980" i="2" s="1"/>
  <c r="BH1980" i="2" s="1"/>
  <c r="AT1976" i="2"/>
  <c r="AY1976" i="2" s="1"/>
  <c r="BH1976" i="2" s="1"/>
  <c r="AT1972" i="2"/>
  <c r="AY1972" i="2" s="1"/>
  <c r="BH1972" i="2" s="1"/>
  <c r="AT1968" i="2"/>
  <c r="AY1968" i="2" s="1"/>
  <c r="BH1968" i="2" s="1"/>
  <c r="AT1964" i="2"/>
  <c r="AY1964" i="2" s="1"/>
  <c r="BH1964" i="2" s="1"/>
  <c r="AT1960" i="2"/>
  <c r="AY1960" i="2" s="1"/>
  <c r="BH1960" i="2" s="1"/>
  <c r="AT1956" i="2"/>
  <c r="AY1956" i="2" s="1"/>
  <c r="BH1956" i="2" s="1"/>
  <c r="AT1183" i="2"/>
  <c r="AY1183" i="2" s="1"/>
  <c r="BH1183" i="2" s="1"/>
  <c r="AJ1225" i="2"/>
  <c r="AE1225" i="2"/>
  <c r="AO1225" i="2"/>
  <c r="AT701" i="2"/>
  <c r="AY701" i="2" s="1"/>
  <c r="BH701" i="2" s="1"/>
  <c r="AT637" i="2"/>
  <c r="AY637" i="2" s="1"/>
  <c r="BH637" i="2" s="1"/>
  <c r="AT238" i="2"/>
  <c r="AY238" i="2" s="1"/>
  <c r="BH238" i="2" s="1"/>
  <c r="AT2063" i="2"/>
  <c r="AY2063" i="2" s="1"/>
  <c r="BH2063" i="2" s="1"/>
  <c r="AT1423" i="2"/>
  <c r="AY1423" i="2" s="1"/>
  <c r="BH1423" i="2" s="1"/>
  <c r="AT1407" i="2"/>
  <c r="AY1407" i="2" s="1"/>
  <c r="BH1407" i="2" s="1"/>
  <c r="AO1264" i="2"/>
  <c r="AJ1264" i="2"/>
  <c r="AE1264" i="2"/>
  <c r="AO2007" i="2"/>
  <c r="AJ2007" i="2"/>
  <c r="AE2007" i="2"/>
  <c r="AO1973" i="2"/>
  <c r="AJ1973" i="2"/>
  <c r="AE1973" i="2"/>
  <c r="AO1909" i="2"/>
  <c r="AJ1909" i="2"/>
  <c r="AE1909" i="2"/>
  <c r="AO1218" i="2"/>
  <c r="AJ1218" i="2"/>
  <c r="AE1218" i="2"/>
  <c r="AO478" i="2"/>
  <c r="AJ478" i="2"/>
  <c r="AE478" i="2"/>
  <c r="AJ133" i="2"/>
  <c r="AE133" i="2"/>
  <c r="AO133" i="2"/>
  <c r="AO326" i="2"/>
  <c r="AJ326" i="2"/>
  <c r="AE326" i="2"/>
  <c r="AJ285" i="2"/>
  <c r="AE285" i="2"/>
  <c r="AO285" i="2"/>
  <c r="AT2408" i="2"/>
  <c r="AY2408" i="2" s="1"/>
  <c r="BH2408" i="2" s="1"/>
  <c r="AT2056" i="2"/>
  <c r="AY2056" i="2" s="1"/>
  <c r="BH2056" i="2" s="1"/>
  <c r="AT1854" i="2"/>
  <c r="AY1854" i="2" s="1"/>
  <c r="BH1854" i="2" s="1"/>
  <c r="AJ1386" i="2"/>
  <c r="AE1386" i="2"/>
  <c r="AO1386" i="2"/>
  <c r="AT2196" i="2"/>
  <c r="AY2196" i="2" s="1"/>
  <c r="BH2196" i="2" s="1"/>
  <c r="AJ1569" i="2"/>
  <c r="AO1569" i="2"/>
  <c r="AE1569" i="2"/>
  <c r="AE1059" i="2"/>
  <c r="AO1059" i="2"/>
  <c r="AJ1059" i="2"/>
  <c r="AT711" i="2"/>
  <c r="AY711" i="2" s="1"/>
  <c r="BH711" i="2" s="1"/>
  <c r="AT647" i="2"/>
  <c r="AY647" i="2" s="1"/>
  <c r="BH647" i="2" s="1"/>
  <c r="AT936" i="2"/>
  <c r="AY936" i="2" s="1"/>
  <c r="BH936" i="2" s="1"/>
  <c r="AJ189" i="2"/>
  <c r="AE189" i="2"/>
  <c r="AO189" i="2"/>
  <c r="AJ293" i="2"/>
  <c r="AE293" i="2"/>
  <c r="AO293" i="2"/>
  <c r="AJ2092" i="2"/>
  <c r="AE2092" i="2"/>
  <c r="AO2092" i="2"/>
  <c r="AJ1661" i="2"/>
  <c r="AE1661" i="2"/>
  <c r="AO1661" i="2"/>
  <c r="AJ1343" i="2"/>
  <c r="AE1343" i="2"/>
  <c r="AO1343" i="2"/>
  <c r="AJ1279" i="2"/>
  <c r="AE1279" i="2"/>
  <c r="AO1279" i="2"/>
  <c r="AJ1215" i="2"/>
  <c r="AE1215" i="2"/>
  <c r="AO1215" i="2"/>
  <c r="AT709" i="2"/>
  <c r="AY709" i="2" s="1"/>
  <c r="BH709" i="2" s="1"/>
  <c r="AT693" i="2"/>
  <c r="AY693" i="2" s="1"/>
  <c r="BH693" i="2" s="1"/>
  <c r="AT677" i="2"/>
  <c r="AY677" i="2" s="1"/>
  <c r="BH677" i="2" s="1"/>
  <c r="AT661" i="2"/>
  <c r="AY661" i="2" s="1"/>
  <c r="BH661" i="2" s="1"/>
  <c r="AT645" i="2"/>
  <c r="AY645" i="2" s="1"/>
  <c r="BH645" i="2" s="1"/>
  <c r="AT629" i="2"/>
  <c r="AY629" i="2" s="1"/>
  <c r="BH629" i="2" s="1"/>
  <c r="BA320" i="2"/>
  <c r="AU320" i="2"/>
  <c r="AZ320" i="2" s="1"/>
  <c r="AO1658" i="2"/>
  <c r="AJ1658" i="2"/>
  <c r="AE1658" i="2"/>
  <c r="BA248" i="2"/>
  <c r="AU248" i="2"/>
  <c r="AZ248" i="2" s="1"/>
  <c r="AJ1382" i="2"/>
  <c r="AE1382" i="2"/>
  <c r="AO1382" i="2"/>
  <c r="AT1131" i="2"/>
  <c r="AY1131" i="2" s="1"/>
  <c r="BH1131" i="2" s="1"/>
  <c r="AT1067" i="2"/>
  <c r="AY1067" i="2" s="1"/>
  <c r="BH1067" i="2" s="1"/>
  <c r="AT1776" i="2"/>
  <c r="AY1776" i="2" s="1"/>
  <c r="BH1776" i="2" s="1"/>
  <c r="AJ1641" i="2"/>
  <c r="AE1641" i="2"/>
  <c r="AO1641" i="2"/>
  <c r="AT245" i="2"/>
  <c r="AY245" i="2" s="1"/>
  <c r="BH245" i="2" s="1"/>
  <c r="AT347" i="2"/>
  <c r="AY347" i="2" s="1"/>
  <c r="BH347" i="2" s="1"/>
  <c r="AJ193" i="2"/>
  <c r="AE193" i="2"/>
  <c r="AO193" i="2"/>
  <c r="AJ129" i="2"/>
  <c r="AE129" i="2"/>
  <c r="AO129" i="2"/>
  <c r="AJ69" i="2"/>
  <c r="AE69" i="2"/>
  <c r="AO69" i="2"/>
  <c r="AJ520" i="2"/>
  <c r="AE520" i="2"/>
  <c r="AO520" i="2"/>
  <c r="AJ259" i="2"/>
  <c r="AE259" i="2"/>
  <c r="AO259" i="2"/>
  <c r="AJ203" i="2"/>
  <c r="AO203" i="2"/>
  <c r="AE203" i="2"/>
  <c r="AO2161" i="2"/>
  <c r="AJ2161" i="2"/>
  <c r="AE2161" i="2"/>
  <c r="AJ1619" i="2"/>
  <c r="AE1619" i="2"/>
  <c r="AO1619" i="2"/>
  <c r="AJ1247" i="2"/>
  <c r="AE1247" i="2"/>
  <c r="AO1247" i="2"/>
  <c r="AJ1289" i="2"/>
  <c r="AE1289" i="2"/>
  <c r="AO1289" i="2"/>
  <c r="AT1046" i="2"/>
  <c r="AY1046" i="2" s="1"/>
  <c r="BH1046" i="2" s="1"/>
  <c r="AT725" i="2"/>
  <c r="AY725" i="2" s="1"/>
  <c r="BH725" i="2" s="1"/>
  <c r="AT723" i="2"/>
  <c r="AY723" i="2" s="1"/>
  <c r="BH723" i="2" s="1"/>
  <c r="AT721" i="2"/>
  <c r="AY721" i="2" s="1"/>
  <c r="BH721" i="2" s="1"/>
  <c r="AT719" i="2"/>
  <c r="AY719" i="2" s="1"/>
  <c r="BH719" i="2" s="1"/>
  <c r="AT717" i="2"/>
  <c r="AY717" i="2" s="1"/>
  <c r="BH717" i="2" s="1"/>
  <c r="AT653" i="2"/>
  <c r="AY653" i="2" s="1"/>
  <c r="BH653" i="2" s="1"/>
  <c r="AJ253" i="2"/>
  <c r="AE253" i="2"/>
  <c r="AO253" i="2"/>
  <c r="AO2191" i="2"/>
  <c r="AJ2191" i="2"/>
  <c r="AE2191" i="2"/>
  <c r="AT1534" i="2"/>
  <c r="AY1534" i="2" s="1"/>
  <c r="BH1534" i="2" s="1"/>
  <c r="AT1363" i="2"/>
  <c r="AY1363" i="2" s="1"/>
  <c r="BH1363" i="2" s="1"/>
  <c r="AT1299" i="2"/>
  <c r="AY1299" i="2" s="1"/>
  <c r="BH1299" i="2" s="1"/>
  <c r="AT1235" i="2"/>
  <c r="AY1235" i="2" s="1"/>
  <c r="BH1235" i="2" s="1"/>
  <c r="AE1127" i="2"/>
  <c r="AO1127" i="2"/>
  <c r="AJ1127" i="2"/>
  <c r="AE1063" i="2"/>
  <c r="AO1063" i="2"/>
  <c r="AJ1063" i="2"/>
  <c r="BA348" i="2"/>
  <c r="AU348" i="2"/>
  <c r="AZ348" i="2" s="1"/>
  <c r="AO1913" i="2"/>
  <c r="AJ1913" i="2"/>
  <c r="AE1913" i="2"/>
  <c r="AT1745" i="2"/>
  <c r="AY1745" i="2" s="1"/>
  <c r="BH1745" i="2" s="1"/>
  <c r="AT1729" i="2"/>
  <c r="AY1729" i="2" s="1"/>
  <c r="BH1729" i="2" s="1"/>
  <c r="AT1713" i="2"/>
  <c r="AY1713" i="2" s="1"/>
  <c r="BH1713" i="2" s="1"/>
  <c r="AT1697" i="2"/>
  <c r="AY1697" i="2" s="1"/>
  <c r="BH1697" i="2" s="1"/>
  <c r="AT1681" i="2"/>
  <c r="AY1681" i="2" s="1"/>
  <c r="BH1681" i="2" s="1"/>
  <c r="AT1598" i="2"/>
  <c r="AY1598" i="2" s="1"/>
  <c r="BH1598" i="2" s="1"/>
  <c r="AO1234" i="2"/>
  <c r="AJ1234" i="2"/>
  <c r="AE1234" i="2"/>
  <c r="AO1648" i="2"/>
  <c r="AJ1648" i="2"/>
  <c r="AE1648" i="2"/>
  <c r="AT1527" i="2"/>
  <c r="AY1527" i="2" s="1"/>
  <c r="BH1527" i="2" s="1"/>
  <c r="AT2041" i="2"/>
  <c r="AY2041" i="2" s="1"/>
  <c r="BH2041" i="2" s="1"/>
  <c r="AO1849" i="2"/>
  <c r="AJ1849" i="2"/>
  <c r="AE1849" i="2"/>
  <c r="AJ1542" i="2"/>
  <c r="AE1542" i="2"/>
  <c r="AO1542" i="2"/>
  <c r="AT226" i="2"/>
  <c r="AY226" i="2" s="1"/>
  <c r="BH226" i="2" s="1"/>
  <c r="AT1937" i="2"/>
  <c r="AY1937" i="2" s="1"/>
  <c r="BH1937" i="2" s="1"/>
  <c r="AT58" i="2"/>
  <c r="AY58" i="2" s="1"/>
  <c r="BH58" i="2" s="1"/>
  <c r="AT2087" i="2"/>
  <c r="AY2087" i="2" s="1"/>
  <c r="BH2087" i="2" s="1"/>
  <c r="AO1610" i="2"/>
  <c r="AJ1610" i="2"/>
  <c r="AE1610" i="2"/>
  <c r="AT1513" i="2"/>
  <c r="AY1513" i="2" s="1"/>
  <c r="BH1513" i="2" s="1"/>
  <c r="AT1509" i="2"/>
  <c r="AY1509" i="2" s="1"/>
  <c r="BH1509" i="2" s="1"/>
  <c r="AT1350" i="2"/>
  <c r="AY1350" i="2" s="1"/>
  <c r="BH1350" i="2" s="1"/>
  <c r="AE882" i="2"/>
  <c r="AO882" i="2"/>
  <c r="AJ882" i="2"/>
  <c r="AE866" i="2"/>
  <c r="AO866" i="2"/>
  <c r="AJ866" i="2"/>
  <c r="AE850" i="2"/>
  <c r="AO850" i="2"/>
  <c r="AJ850" i="2"/>
  <c r="AE834" i="2"/>
  <c r="AO834" i="2"/>
  <c r="AJ834" i="2"/>
  <c r="AE818" i="2"/>
  <c r="AO818" i="2"/>
  <c r="AJ818" i="2"/>
  <c r="AE802" i="2"/>
  <c r="AO802" i="2"/>
  <c r="AJ802" i="2"/>
  <c r="AE786" i="2"/>
  <c r="AO786" i="2"/>
  <c r="AJ786" i="2"/>
  <c r="AE770" i="2"/>
  <c r="AO770" i="2"/>
  <c r="AJ770" i="2"/>
  <c r="AE754" i="2"/>
  <c r="AO754" i="2"/>
  <c r="AJ754" i="2"/>
  <c r="AE738" i="2"/>
  <c r="AO738" i="2"/>
  <c r="AJ738" i="2"/>
  <c r="AT2069" i="2"/>
  <c r="AY2069" i="2" s="1"/>
  <c r="BH2069" i="2" s="1"/>
  <c r="AT1228" i="2"/>
  <c r="AY1228" i="2" s="1"/>
  <c r="BH1228" i="2" s="1"/>
  <c r="BA921" i="2"/>
  <c r="AU921" i="2"/>
  <c r="AZ921" i="2" s="1"/>
  <c r="BA905" i="2"/>
  <c r="AU905" i="2"/>
  <c r="AZ905" i="2" s="1"/>
  <c r="BA889" i="2"/>
  <c r="AU889" i="2"/>
  <c r="AZ889" i="2" s="1"/>
  <c r="AT536" i="2"/>
  <c r="AY536" i="2" s="1"/>
  <c r="BH536" i="2" s="1"/>
  <c r="AJ2104" i="2"/>
  <c r="AE2104" i="2"/>
  <c r="AO2104" i="2"/>
  <c r="AT1796" i="2"/>
  <c r="AY1796" i="2" s="1"/>
  <c r="BH1796" i="2" s="1"/>
  <c r="AJ1593" i="2"/>
  <c r="AE1593" i="2"/>
  <c r="AO1593" i="2"/>
  <c r="AJ1585" i="2"/>
  <c r="AE1585" i="2"/>
  <c r="AO1585" i="2"/>
  <c r="AT1615" i="2"/>
  <c r="AY1615" i="2" s="1"/>
  <c r="BH1615" i="2" s="1"/>
  <c r="AT1152" i="2"/>
  <c r="AY1152" i="2" s="1"/>
  <c r="BH1152" i="2" s="1"/>
  <c r="AT1148" i="2"/>
  <c r="AY1148" i="2" s="1"/>
  <c r="BH1148" i="2" s="1"/>
  <c r="AT1144" i="2"/>
  <c r="AY1144" i="2" s="1"/>
  <c r="BH1144" i="2" s="1"/>
  <c r="AO456" i="2"/>
  <c r="AJ456" i="2"/>
  <c r="AE456" i="2"/>
  <c r="AJ255" i="2"/>
  <c r="AO255" i="2"/>
  <c r="AE255" i="2"/>
  <c r="AJ17" i="2"/>
  <c r="AO17" i="2"/>
  <c r="AE17" i="2"/>
  <c r="AJ257" i="2"/>
  <c r="AE257" i="2"/>
  <c r="AO257" i="2"/>
  <c r="AJ251" i="2"/>
  <c r="AE251" i="2"/>
  <c r="AO251" i="2"/>
  <c r="AT2182" i="2"/>
  <c r="AY2182" i="2" s="1"/>
  <c r="BH2182" i="2" s="1"/>
  <c r="AJ1601" i="2"/>
  <c r="AE1601" i="2"/>
  <c r="AO1601" i="2"/>
  <c r="AJ1323" i="2"/>
  <c r="AE1323" i="2"/>
  <c r="AO1323" i="2"/>
  <c r="AJ1259" i="2"/>
  <c r="AE1259" i="2"/>
  <c r="AO1259" i="2"/>
  <c r="AJ1195" i="2"/>
  <c r="AE1195" i="2"/>
  <c r="AO1195" i="2"/>
  <c r="AT1087" i="2"/>
  <c r="AY1087" i="2" s="1"/>
  <c r="BH1087" i="2" s="1"/>
  <c r="AO430" i="2"/>
  <c r="AJ430" i="2"/>
  <c r="AE430" i="2"/>
  <c r="AJ53" i="2"/>
  <c r="AE53" i="2"/>
  <c r="AO53" i="2"/>
  <c r="AO252" i="2"/>
  <c r="AJ252" i="2"/>
  <c r="AE252" i="2"/>
  <c r="AJ2496" i="2"/>
  <c r="AO2496" i="2"/>
  <c r="AE2496" i="2"/>
  <c r="AE2412" i="2"/>
  <c r="AO2412" i="2"/>
  <c r="AJ2412" i="2"/>
  <c r="AT2149" i="2"/>
  <c r="AY2149" i="2" s="1"/>
  <c r="BH2149" i="2" s="1"/>
  <c r="AT619" i="2"/>
  <c r="AY619" i="2" s="1"/>
  <c r="BH619" i="2" s="1"/>
  <c r="AJ487" i="2"/>
  <c r="AO487" i="2"/>
  <c r="AE487" i="2"/>
  <c r="AT1809" i="2"/>
  <c r="AY1809" i="2" s="1"/>
  <c r="BH1809" i="2" s="1"/>
  <c r="AT1793" i="2"/>
  <c r="AY1793" i="2" s="1"/>
  <c r="BH1793" i="2" s="1"/>
  <c r="AT1777" i="2"/>
  <c r="AY1777" i="2" s="1"/>
  <c r="BH1777" i="2" s="1"/>
  <c r="AT1761" i="2"/>
  <c r="AY1761" i="2" s="1"/>
  <c r="BH1761" i="2" s="1"/>
  <c r="AT1617" i="2"/>
  <c r="AY1617" i="2" s="1"/>
  <c r="BH1617" i="2" s="1"/>
  <c r="AT1623" i="2"/>
  <c r="AY1623" i="2" s="1"/>
  <c r="BH1623" i="2" s="1"/>
  <c r="AJ1339" i="2"/>
  <c r="AE1339" i="2"/>
  <c r="AO1339" i="2"/>
  <c r="AJ1275" i="2"/>
  <c r="AE1275" i="2"/>
  <c r="AO1275" i="2"/>
  <c r="AJ1211" i="2"/>
  <c r="AE1211" i="2"/>
  <c r="AO1211" i="2"/>
  <c r="AJ544" i="2"/>
  <c r="AE544" i="2"/>
  <c r="AO544" i="2"/>
  <c r="AJ540" i="2"/>
  <c r="AE540" i="2"/>
  <c r="AO540" i="2"/>
  <c r="AJ508" i="2"/>
  <c r="AE508" i="2"/>
  <c r="AO508" i="2"/>
  <c r="AJ1501" i="2"/>
  <c r="AO1501" i="2"/>
  <c r="AE1501" i="2"/>
  <c r="AE1083" i="2"/>
  <c r="AO1083" i="2"/>
  <c r="AJ1083" i="2"/>
  <c r="AT1321" i="2"/>
  <c r="AY1321" i="2" s="1"/>
  <c r="BH1321" i="2" s="1"/>
  <c r="AT1257" i="2"/>
  <c r="AY1257" i="2" s="1"/>
  <c r="BH1257" i="2" s="1"/>
  <c r="AT1193" i="2"/>
  <c r="AY1193" i="2" s="1"/>
  <c r="BH1193" i="2" s="1"/>
  <c r="AT1081" i="2"/>
  <c r="AY1081" i="2" s="1"/>
  <c r="BH1081" i="2" s="1"/>
  <c r="AT868" i="2"/>
  <c r="AY868" i="2" s="1"/>
  <c r="BH868" i="2" s="1"/>
  <c r="AT804" i="2"/>
  <c r="AY804" i="2" s="1"/>
  <c r="BH804" i="2" s="1"/>
  <c r="AT740" i="2"/>
  <c r="AY740" i="2" s="1"/>
  <c r="BH740" i="2" s="1"/>
  <c r="AO358" i="2"/>
  <c r="AJ358" i="2"/>
  <c r="AE358" i="2"/>
  <c r="BA304" i="2"/>
  <c r="AU304" i="2"/>
  <c r="AZ304" i="2" s="1"/>
  <c r="AO2399" i="2"/>
  <c r="AE2399" i="2"/>
  <c r="AJ2399" i="2"/>
  <c r="AT26" i="2"/>
  <c r="AY26" i="2" s="1"/>
  <c r="BH26" i="2" s="1"/>
  <c r="AT2311" i="2"/>
  <c r="AY2311" i="2" s="1"/>
  <c r="BH2311" i="2" s="1"/>
  <c r="AT2247" i="2"/>
  <c r="AY2247" i="2" s="1"/>
  <c r="BH2247" i="2" s="1"/>
  <c r="AT2186" i="2"/>
  <c r="AY2186" i="2" s="1"/>
  <c r="BH2186" i="2" s="1"/>
  <c r="AJ1231" i="2"/>
  <c r="AE1231" i="2"/>
  <c r="AO1231" i="2"/>
  <c r="AJ1337" i="2"/>
  <c r="AE1337" i="2"/>
  <c r="AO1337" i="2"/>
  <c r="AJ1273" i="2"/>
  <c r="AE1273" i="2"/>
  <c r="AO1273" i="2"/>
  <c r="AT633" i="2"/>
  <c r="AY633" i="2" s="1"/>
  <c r="BH633" i="2" s="1"/>
  <c r="AJ289" i="2"/>
  <c r="AE289" i="2"/>
  <c r="AO289" i="2"/>
  <c r="AJ195" i="2"/>
  <c r="AO195" i="2"/>
  <c r="AE195" i="2"/>
  <c r="AJ147" i="2"/>
  <c r="AO147" i="2"/>
  <c r="AE147" i="2"/>
  <c r="AT880" i="2"/>
  <c r="AY880" i="2" s="1"/>
  <c r="BH880" i="2" s="1"/>
  <c r="AT816" i="2"/>
  <c r="AY816" i="2" s="1"/>
  <c r="BH816" i="2" s="1"/>
  <c r="AT2102" i="2"/>
  <c r="AY2102" i="2" s="1"/>
  <c r="BH2102" i="2" s="1"/>
  <c r="AT2090" i="2"/>
  <c r="AY2090" i="2" s="1"/>
  <c r="BH2090" i="2" s="1"/>
  <c r="AT2074" i="2"/>
  <c r="AY2074" i="2" s="1"/>
  <c r="BH2074" i="2" s="1"/>
  <c r="AT2062" i="2"/>
  <c r="AY2062" i="2" s="1"/>
  <c r="BH2062" i="2" s="1"/>
  <c r="AT2054" i="2"/>
  <c r="AY2054" i="2" s="1"/>
  <c r="BH2054" i="2" s="1"/>
  <c r="AT1830" i="2"/>
  <c r="AY1830" i="2" s="1"/>
  <c r="BH1830" i="2" s="1"/>
  <c r="AT1806" i="2"/>
  <c r="AY1806" i="2" s="1"/>
  <c r="BH1806" i="2" s="1"/>
  <c r="AT1782" i="2"/>
  <c r="AY1782" i="2" s="1"/>
  <c r="BH1782" i="2" s="1"/>
  <c r="AT1758" i="2"/>
  <c r="AY1758" i="2" s="1"/>
  <c r="BH1758" i="2" s="1"/>
  <c r="AO1381" i="2"/>
  <c r="AJ1381" i="2"/>
  <c r="AE1381" i="2"/>
  <c r="AJ2492" i="2"/>
  <c r="AO2492" i="2"/>
  <c r="AE2492" i="2"/>
  <c r="AT1647" i="2"/>
  <c r="AY1647" i="2" s="1"/>
  <c r="BH1647" i="2" s="1"/>
  <c r="AT1315" i="2"/>
  <c r="AY1315" i="2" s="1"/>
  <c r="BH1315" i="2" s="1"/>
  <c r="AT1251" i="2"/>
  <c r="AY1251" i="2" s="1"/>
  <c r="BH1251" i="2" s="1"/>
  <c r="AT1187" i="2"/>
  <c r="AY1187" i="2" s="1"/>
  <c r="BH1187" i="2" s="1"/>
  <c r="AJ181" i="2"/>
  <c r="AE181" i="2"/>
  <c r="AO181" i="2"/>
  <c r="BA1819" i="2"/>
  <c r="AU1819" i="2"/>
  <c r="AZ1819" i="2" s="1"/>
  <c r="AT1547" i="2"/>
  <c r="AY1547" i="2" s="1"/>
  <c r="BH1547" i="2" s="1"/>
  <c r="AT1435" i="2"/>
  <c r="AY1435" i="2" s="1"/>
  <c r="BH1435" i="2" s="1"/>
  <c r="AO1624" i="2"/>
  <c r="AJ1624" i="2"/>
  <c r="AE1624" i="2"/>
  <c r="AT1312" i="2"/>
  <c r="AY1312" i="2" s="1"/>
  <c r="BH1312" i="2" s="1"/>
  <c r="BA468" i="2"/>
  <c r="AU468" i="2"/>
  <c r="AZ468" i="2" s="1"/>
  <c r="AO350" i="2"/>
  <c r="AJ350" i="2"/>
  <c r="AE350" i="2"/>
  <c r="AT1805" i="2"/>
  <c r="AY1805" i="2" s="1"/>
  <c r="BH1805" i="2" s="1"/>
  <c r="AT1789" i="2"/>
  <c r="AY1789" i="2" s="1"/>
  <c r="BH1789" i="2" s="1"/>
  <c r="AT1773" i="2"/>
  <c r="AY1773" i="2" s="1"/>
  <c r="BH1773" i="2" s="1"/>
  <c r="AT1757" i="2"/>
  <c r="AY1757" i="2" s="1"/>
  <c r="BH1757" i="2" s="1"/>
  <c r="BA1783" i="2"/>
  <c r="AU1783" i="2"/>
  <c r="AZ1783" i="2" s="1"/>
  <c r="AT1292" i="2"/>
  <c r="AY1292" i="2" s="1"/>
  <c r="BH1292" i="2" s="1"/>
  <c r="AT418" i="2"/>
  <c r="AY418" i="2" s="1"/>
  <c r="BH418" i="2" s="1"/>
  <c r="AO114" i="2"/>
  <c r="AJ114" i="2"/>
  <c r="AE114" i="2"/>
  <c r="AO1200" i="2"/>
  <c r="AJ1200" i="2"/>
  <c r="AE1200" i="2"/>
  <c r="AE1093" i="2"/>
  <c r="AO1093" i="2"/>
  <c r="AJ1093" i="2"/>
  <c r="AJ2303" i="2"/>
  <c r="AO2303" i="2"/>
  <c r="AE2303" i="2"/>
  <c r="AJ2239" i="2"/>
  <c r="AO2239" i="2"/>
  <c r="AE2239" i="2"/>
  <c r="AT856" i="2"/>
  <c r="AY856" i="2" s="1"/>
  <c r="BH856" i="2" s="1"/>
  <c r="AT728" i="2"/>
  <c r="AY728" i="2" s="1"/>
  <c r="BH728" i="2" s="1"/>
  <c r="BA1827" i="2"/>
  <c r="AU1827" i="2"/>
  <c r="AZ1827" i="2" s="1"/>
  <c r="AT2425" i="2"/>
  <c r="AY2425" i="2" s="1"/>
  <c r="BH2425" i="2" s="1"/>
  <c r="AO422" i="2"/>
  <c r="AJ422" i="2"/>
  <c r="AE422" i="2"/>
  <c r="AT2465" i="2"/>
  <c r="AY2465" i="2" s="1"/>
  <c r="BH2465" i="2" s="1"/>
  <c r="AT2449" i="2"/>
  <c r="AY2449" i="2" s="1"/>
  <c r="BH2449" i="2" s="1"/>
  <c r="AT2433" i="2"/>
  <c r="AY2433" i="2" s="1"/>
  <c r="BH2433" i="2" s="1"/>
  <c r="AT2421" i="2"/>
  <c r="AY2421" i="2" s="1"/>
  <c r="BH2421" i="2" s="1"/>
  <c r="AT1138" i="2"/>
  <c r="AY1138" i="2" s="1"/>
  <c r="BH1138" i="2" s="1"/>
  <c r="AT1130" i="2"/>
  <c r="AY1130" i="2" s="1"/>
  <c r="BH1130" i="2" s="1"/>
  <c r="AT1122" i="2"/>
  <c r="AY1122" i="2" s="1"/>
  <c r="BH1122" i="2" s="1"/>
  <c r="AT1114" i="2"/>
  <c r="AY1114" i="2" s="1"/>
  <c r="BH1114" i="2" s="1"/>
  <c r="AT1106" i="2"/>
  <c r="AY1106" i="2" s="1"/>
  <c r="BH1106" i="2" s="1"/>
  <c r="AT1098" i="2"/>
  <c r="AY1098" i="2" s="1"/>
  <c r="BH1098" i="2" s="1"/>
  <c r="AT1090" i="2"/>
  <c r="AY1090" i="2" s="1"/>
  <c r="BH1090" i="2" s="1"/>
  <c r="AT1082" i="2"/>
  <c r="AY1082" i="2" s="1"/>
  <c r="BH1082" i="2" s="1"/>
  <c r="AT1074" i="2"/>
  <c r="AY1074" i="2" s="1"/>
  <c r="BH1074" i="2" s="1"/>
  <c r="AT1066" i="2"/>
  <c r="AY1066" i="2" s="1"/>
  <c r="BH1066" i="2" s="1"/>
  <c r="AT1058" i="2"/>
  <c r="AY1058" i="2" s="1"/>
  <c r="BH1058" i="2" s="1"/>
  <c r="AT1050" i="2"/>
  <c r="AY1050" i="2" s="1"/>
  <c r="BH1050" i="2" s="1"/>
  <c r="AJ187" i="2"/>
  <c r="AO187" i="2"/>
  <c r="AE187" i="2"/>
  <c r="AJ171" i="2"/>
  <c r="AO171" i="2"/>
  <c r="AE171" i="2"/>
  <c r="AJ155" i="2"/>
  <c r="AO155" i="2"/>
  <c r="AE155" i="2"/>
  <c r="AJ139" i="2"/>
  <c r="AO139" i="2"/>
  <c r="AE139" i="2"/>
  <c r="AJ123" i="2"/>
  <c r="AO123" i="2"/>
  <c r="AE123" i="2"/>
  <c r="AJ107" i="2"/>
  <c r="AO107" i="2"/>
  <c r="AE107" i="2"/>
  <c r="AJ151" i="2"/>
  <c r="AO151" i="2"/>
  <c r="AE151" i="2"/>
  <c r="AT2432" i="2"/>
  <c r="AY2432" i="2" s="1"/>
  <c r="BH2432" i="2" s="1"/>
  <c r="AT461" i="2"/>
  <c r="AY461" i="2" s="1"/>
  <c r="BH461" i="2" s="1"/>
  <c r="AT429" i="2"/>
  <c r="AY429" i="2" s="1"/>
  <c r="BH429" i="2" s="1"/>
  <c r="AT403" i="2"/>
  <c r="AY403" i="2" s="1"/>
  <c r="BH403" i="2" s="1"/>
  <c r="AT371" i="2"/>
  <c r="AY371" i="2" s="1"/>
  <c r="BH371" i="2" s="1"/>
  <c r="AT339" i="2"/>
  <c r="AY339" i="2" s="1"/>
  <c r="BH339" i="2" s="1"/>
  <c r="AO68" i="2"/>
  <c r="AE68" i="2"/>
  <c r="AJ68" i="2"/>
  <c r="AO328" i="2"/>
  <c r="AJ328" i="2"/>
  <c r="AE328" i="2"/>
  <c r="AT145" i="2"/>
  <c r="AY145" i="2" s="1"/>
  <c r="BH145" i="2" s="1"/>
  <c r="AJ311" i="2"/>
  <c r="AO311" i="2"/>
  <c r="AE311" i="2"/>
  <c r="AJ205" i="2"/>
  <c r="AE205" i="2"/>
  <c r="AO205" i="2"/>
  <c r="AJ1531" i="2"/>
  <c r="AO1531" i="2"/>
  <c r="AE1531" i="2"/>
  <c r="AJ1515" i="2"/>
  <c r="AO1515" i="2"/>
  <c r="AE1515" i="2"/>
  <c r="AJ1489" i="2"/>
  <c r="AO1489" i="2"/>
  <c r="AE1489" i="2"/>
  <c r="BA412" i="2"/>
  <c r="AU412" i="2"/>
  <c r="AZ412" i="2" s="1"/>
  <c r="AJ341" i="2"/>
  <c r="AE341" i="2"/>
  <c r="AO341" i="2"/>
  <c r="AJ75" i="2"/>
  <c r="AO75" i="2"/>
  <c r="AE75" i="2"/>
  <c r="AO2453" i="2"/>
  <c r="AJ2453" i="2"/>
  <c r="AE2453" i="2"/>
  <c r="AO2437" i="2"/>
  <c r="AJ2437" i="2"/>
  <c r="AE2437" i="2"/>
  <c r="AO2447" i="2"/>
  <c r="AJ2447" i="2"/>
  <c r="AE2447" i="2"/>
  <c r="AJ2205" i="2"/>
  <c r="AE2205" i="2"/>
  <c r="AO2205" i="2"/>
  <c r="AO2431" i="2"/>
  <c r="AJ2431" i="2"/>
  <c r="AE2431" i="2"/>
  <c r="AT2451" i="2"/>
  <c r="AY2451" i="2" s="1"/>
  <c r="BH2451" i="2" s="1"/>
  <c r="AT2195" i="2"/>
  <c r="AY2195" i="2" s="1"/>
  <c r="BH2195" i="2" s="1"/>
  <c r="AJ2263" i="2"/>
  <c r="AO2263" i="2"/>
  <c r="AE2263" i="2"/>
  <c r="AT1045" i="2"/>
  <c r="AY1045" i="2" s="1"/>
  <c r="BH1045" i="2" s="1"/>
  <c r="AT2457" i="2"/>
  <c r="AY2457" i="2" s="1"/>
  <c r="BH2457" i="2" s="1"/>
  <c r="AT2467" i="2"/>
  <c r="AY2467" i="2" s="1"/>
  <c r="BH2467" i="2" s="1"/>
  <c r="AJ1718" i="2"/>
  <c r="AO1718" i="2"/>
  <c r="AE1718" i="2"/>
  <c r="AO1176" i="2"/>
  <c r="AJ1176" i="2"/>
  <c r="AE1176" i="2"/>
  <c r="AO1172" i="2"/>
  <c r="AJ1172" i="2"/>
  <c r="AE1172" i="2"/>
  <c r="AO1168" i="2"/>
  <c r="AJ1168" i="2"/>
  <c r="AE1168" i="2"/>
  <c r="AO1164" i="2"/>
  <c r="AJ1164" i="2"/>
  <c r="AE1164" i="2"/>
  <c r="AO1160" i="2"/>
  <c r="AJ1160" i="2"/>
  <c r="AE1160" i="2"/>
  <c r="AO1156" i="2"/>
  <c r="AJ1156" i="2"/>
  <c r="AE1156" i="2"/>
  <c r="AO2427" i="2"/>
  <c r="AJ2427" i="2"/>
  <c r="AE2427" i="2"/>
  <c r="AO2411" i="2"/>
  <c r="AJ2411" i="2"/>
  <c r="AE2411" i="2"/>
  <c r="AO2469" i="2"/>
  <c r="AJ2469" i="2"/>
  <c r="AE2469" i="2"/>
  <c r="AO150" i="2"/>
  <c r="AJ150" i="2"/>
  <c r="AE150" i="2"/>
  <c r="AT210" i="2"/>
  <c r="AY210" i="2" s="1"/>
  <c r="BH210" i="2" s="1"/>
  <c r="AT314" i="2"/>
  <c r="AY314" i="2" s="1"/>
  <c r="BH314" i="2" s="1"/>
  <c r="AT290" i="2"/>
  <c r="AY290" i="2" s="1"/>
  <c r="BH290" i="2" s="1"/>
  <c r="AO2095" i="2"/>
  <c r="AJ2095" i="2"/>
  <c r="AE2095" i="2"/>
  <c r="AT1858" i="2"/>
  <c r="AY1858" i="2" s="1"/>
  <c r="BH1858" i="2" s="1"/>
  <c r="AJ1399" i="2"/>
  <c r="AO1399" i="2"/>
  <c r="AE1399" i="2"/>
  <c r="AT149" i="2"/>
  <c r="AY149" i="2" s="1"/>
  <c r="BH149" i="2" s="1"/>
  <c r="AT1463" i="2"/>
  <c r="AY1463" i="2" s="1"/>
  <c r="BH1463" i="2" s="1"/>
  <c r="AT1447" i="2"/>
  <c r="AY1447" i="2" s="1"/>
  <c r="BH1447" i="2" s="1"/>
  <c r="AJ1233" i="2"/>
  <c r="AE1233" i="2"/>
  <c r="AO1233" i="2"/>
  <c r="AJ221" i="2"/>
  <c r="AE221" i="2"/>
  <c r="AO221" i="2"/>
  <c r="AJ459" i="2"/>
  <c r="AE459" i="2"/>
  <c r="AO459" i="2"/>
  <c r="AJ157" i="2"/>
  <c r="AE157" i="2"/>
  <c r="AO157" i="2"/>
  <c r="AT300" i="2"/>
  <c r="AY300" i="2" s="1"/>
  <c r="BH300" i="2" s="1"/>
  <c r="BA2020" i="2"/>
  <c r="AU2020" i="2"/>
  <c r="AZ2020" i="2" s="1"/>
  <c r="AO1385" i="2"/>
  <c r="AE1385" i="2"/>
  <c r="AJ1385" i="2"/>
  <c r="AO1268" i="2"/>
  <c r="AJ1268" i="2"/>
  <c r="AE1268" i="2"/>
  <c r="AT841" i="2"/>
  <c r="AY841" i="2" s="1"/>
  <c r="BH841" i="2" s="1"/>
  <c r="AT2064" i="2"/>
  <c r="AY2064" i="2" s="1"/>
  <c r="BH2064" i="2" s="1"/>
  <c r="AT1649" i="2"/>
  <c r="AY1649" i="2" s="1"/>
  <c r="BH1649" i="2" s="1"/>
  <c r="AT1243" i="2"/>
  <c r="AY1243" i="2" s="1"/>
  <c r="BH1243" i="2" s="1"/>
  <c r="AJ1237" i="2"/>
  <c r="AE1237" i="2"/>
  <c r="AO1237" i="2"/>
  <c r="AO2053" i="2"/>
  <c r="AJ2053" i="2"/>
  <c r="AE2053" i="2"/>
  <c r="AJ1488" i="2"/>
  <c r="AE1488" i="2"/>
  <c r="AO1488" i="2"/>
  <c r="AJ1486" i="2"/>
  <c r="AE1486" i="2"/>
  <c r="AO1486" i="2"/>
  <c r="AT297" i="2"/>
  <c r="AY297" i="2" s="1"/>
  <c r="BH297" i="2" s="1"/>
  <c r="AT233" i="2"/>
  <c r="AY233" i="2" s="1"/>
  <c r="BH233" i="2" s="1"/>
  <c r="BA1823" i="2"/>
  <c r="AU1823" i="2"/>
  <c r="AZ1823" i="2" s="1"/>
  <c r="BA164" i="2"/>
  <c r="AU164" i="2"/>
  <c r="AZ164" i="2" s="1"/>
  <c r="AJ2314" i="2"/>
  <c r="AO2314" i="2"/>
  <c r="AE2314" i="2"/>
  <c r="AJ2310" i="2"/>
  <c r="AO2310" i="2"/>
  <c r="AE2310" i="2"/>
  <c r="AJ2306" i="2"/>
  <c r="AO2306" i="2"/>
  <c r="AE2306" i="2"/>
  <c r="AJ2302" i="2"/>
  <c r="AO2302" i="2"/>
  <c r="AE2302" i="2"/>
  <c r="AJ2298" i="2"/>
  <c r="AO2298" i="2"/>
  <c r="AE2298" i="2"/>
  <c r="AJ2294" i="2"/>
  <c r="AO2294" i="2"/>
  <c r="AE2294" i="2"/>
  <c r="AJ2290" i="2"/>
  <c r="AO2290" i="2"/>
  <c r="AE2290" i="2"/>
  <c r="AJ2286" i="2"/>
  <c r="AO2286" i="2"/>
  <c r="AE2286" i="2"/>
  <c r="AJ2282" i="2"/>
  <c r="AO2282" i="2"/>
  <c r="AE2282" i="2"/>
  <c r="AJ2278" i="2"/>
  <c r="AO2278" i="2"/>
  <c r="AE2278" i="2"/>
  <c r="AJ2274" i="2"/>
  <c r="AO2274" i="2"/>
  <c r="AE2274" i="2"/>
  <c r="AJ2270" i="2"/>
  <c r="AO2270" i="2"/>
  <c r="AE2270" i="2"/>
  <c r="AJ2266" i="2"/>
  <c r="AO2266" i="2"/>
  <c r="AE2266" i="2"/>
  <c r="AJ2262" i="2"/>
  <c r="AO2262" i="2"/>
  <c r="AE2262" i="2"/>
  <c r="AJ2258" i="2"/>
  <c r="AO2258" i="2"/>
  <c r="AE2258" i="2"/>
  <c r="AJ2254" i="2"/>
  <c r="AO2254" i="2"/>
  <c r="AE2254" i="2"/>
  <c r="AJ2250" i="2"/>
  <c r="AO2250" i="2"/>
  <c r="AE2250" i="2"/>
  <c r="AJ2246" i="2"/>
  <c r="AO2246" i="2"/>
  <c r="AE2246" i="2"/>
  <c r="AJ2242" i="2"/>
  <c r="AO2242" i="2"/>
  <c r="AE2242" i="2"/>
  <c r="AJ2238" i="2"/>
  <c r="AO2238" i="2"/>
  <c r="AE2238" i="2"/>
  <c r="AJ2234" i="2"/>
  <c r="AO2234" i="2"/>
  <c r="AE2234" i="2"/>
  <c r="AJ2230" i="2"/>
  <c r="AO2230" i="2"/>
  <c r="AE2230" i="2"/>
  <c r="AJ2226" i="2"/>
  <c r="AO2226" i="2"/>
  <c r="AE2226" i="2"/>
  <c r="AJ2222" i="2"/>
  <c r="AO2222" i="2"/>
  <c r="AE2222" i="2"/>
  <c r="AJ2218" i="2"/>
  <c r="AO2218" i="2"/>
  <c r="AE2218" i="2"/>
  <c r="AJ2214" i="2"/>
  <c r="AO2214" i="2"/>
  <c r="AE2214" i="2"/>
  <c r="AJ2210" i="2"/>
  <c r="AO2210" i="2"/>
  <c r="AE2210" i="2"/>
  <c r="AJ2206" i="2"/>
  <c r="AO2206" i="2"/>
  <c r="AE2206" i="2"/>
  <c r="AJ2202" i="2"/>
  <c r="AO2202" i="2"/>
  <c r="AE2202" i="2"/>
  <c r="AT1730" i="2"/>
  <c r="AY1730" i="2" s="1"/>
  <c r="BH1730" i="2" s="1"/>
  <c r="AT532" i="2"/>
  <c r="AY532" i="2" s="1"/>
  <c r="BH532" i="2" s="1"/>
  <c r="AT243" i="2"/>
  <c r="AY243" i="2" s="1"/>
  <c r="BH243" i="2" s="1"/>
  <c r="AE2434" i="2"/>
  <c r="AO2434" i="2"/>
  <c r="AJ2434" i="2"/>
  <c r="AO1947" i="2"/>
  <c r="AJ1947" i="2"/>
  <c r="AE1947" i="2"/>
  <c r="AO1939" i="2"/>
  <c r="AJ1939" i="2"/>
  <c r="AE1939" i="2"/>
  <c r="AO1931" i="2"/>
  <c r="AJ1931" i="2"/>
  <c r="AE1931" i="2"/>
  <c r="AO1923" i="2"/>
  <c r="AJ1923" i="2"/>
  <c r="AE1923" i="2"/>
  <c r="AO1915" i="2"/>
  <c r="AJ1915" i="2"/>
  <c r="AE1915" i="2"/>
  <c r="AO1907" i="2"/>
  <c r="AJ1907" i="2"/>
  <c r="AE1907" i="2"/>
  <c r="AO1899" i="2"/>
  <c r="AJ1899" i="2"/>
  <c r="AE1899" i="2"/>
  <c r="AO1891" i="2"/>
  <c r="AJ1891" i="2"/>
  <c r="AE1891" i="2"/>
  <c r="AO1883" i="2"/>
  <c r="AJ1883" i="2"/>
  <c r="AE1883" i="2"/>
  <c r="AO1875" i="2"/>
  <c r="AJ1875" i="2"/>
  <c r="AE1875" i="2"/>
  <c r="AO1867" i="2"/>
  <c r="AJ1867" i="2"/>
  <c r="AE1867" i="2"/>
  <c r="AT2398" i="2"/>
  <c r="AY2398" i="2" s="1"/>
  <c r="BH2398" i="2" s="1"/>
  <c r="BA1803" i="2"/>
  <c r="AU1803" i="2"/>
  <c r="AZ1803" i="2" s="1"/>
  <c r="AT1364" i="2"/>
  <c r="AY1364" i="2" s="1"/>
  <c r="BH1364" i="2" s="1"/>
  <c r="AT1300" i="2"/>
  <c r="AY1300" i="2" s="1"/>
  <c r="BH1300" i="2" s="1"/>
  <c r="AT1236" i="2"/>
  <c r="AY1236" i="2" s="1"/>
  <c r="BH1236" i="2" s="1"/>
  <c r="AT663" i="2"/>
  <c r="AY663" i="2" s="1"/>
  <c r="BH663" i="2" s="1"/>
  <c r="AJ401" i="2"/>
  <c r="AE401" i="2"/>
  <c r="AO401" i="2"/>
  <c r="AJ393" i="2"/>
  <c r="AE393" i="2"/>
  <c r="AO393" i="2"/>
  <c r="AJ385" i="2"/>
  <c r="AE385" i="2"/>
  <c r="AO385" i="2"/>
  <c r="AJ377" i="2"/>
  <c r="AE377" i="2"/>
  <c r="AO377" i="2"/>
  <c r="AJ369" i="2"/>
  <c r="AE369" i="2"/>
  <c r="AO369" i="2"/>
  <c r="AJ361" i="2"/>
  <c r="AE361" i="2"/>
  <c r="AO361" i="2"/>
  <c r="AJ353" i="2"/>
  <c r="AE353" i="2"/>
  <c r="AO353" i="2"/>
  <c r="AJ345" i="2"/>
  <c r="AE345" i="2"/>
  <c r="AO345" i="2"/>
  <c r="AJ337" i="2"/>
  <c r="AE337" i="2"/>
  <c r="AO337" i="2"/>
  <c r="AJ329" i="2"/>
  <c r="AE329" i="2"/>
  <c r="AO329" i="2"/>
  <c r="AE1836" i="2"/>
  <c r="AO1836" i="2"/>
  <c r="AJ1836" i="2"/>
  <c r="AT1622" i="2"/>
  <c r="AY1622" i="2" s="1"/>
  <c r="BH1622" i="2" s="1"/>
  <c r="AO1393" i="2"/>
  <c r="AE1393" i="2"/>
  <c r="AJ1393" i="2"/>
  <c r="AO1324" i="2"/>
  <c r="AJ1324" i="2"/>
  <c r="AE1324" i="2"/>
  <c r="AO1260" i="2"/>
  <c r="AJ1260" i="2"/>
  <c r="AE1260" i="2"/>
  <c r="AO1196" i="2"/>
  <c r="AJ1196" i="2"/>
  <c r="AE1196" i="2"/>
  <c r="AJ201" i="2"/>
  <c r="AE201" i="2"/>
  <c r="AO201" i="2"/>
  <c r="AJ169" i="2"/>
  <c r="AE169" i="2"/>
  <c r="AO169" i="2"/>
  <c r="AJ137" i="2"/>
  <c r="AE137" i="2"/>
  <c r="AO137" i="2"/>
  <c r="AJ105" i="2"/>
  <c r="AE105" i="2"/>
  <c r="AO105" i="2"/>
  <c r="AJ493" i="2"/>
  <c r="AE493" i="2"/>
  <c r="AO493" i="2"/>
  <c r="AT1439" i="2"/>
  <c r="AY1439" i="2" s="1"/>
  <c r="BH1439" i="2" s="1"/>
  <c r="AT1483" i="2"/>
  <c r="AY1483" i="2" s="1"/>
  <c r="BH1483" i="2" s="1"/>
  <c r="BA428" i="2"/>
  <c r="AU428" i="2"/>
  <c r="AZ428" i="2" s="1"/>
  <c r="AJ349" i="2"/>
  <c r="AE349" i="2"/>
  <c r="AO349" i="2"/>
  <c r="AJ333" i="2"/>
  <c r="AE333" i="2"/>
  <c r="AO333" i="2"/>
  <c r="AE697" i="2"/>
  <c r="AO697" i="2"/>
  <c r="AJ697" i="2"/>
  <c r="AT179" i="2"/>
  <c r="AY179" i="2" s="1"/>
  <c r="BH179" i="2" s="1"/>
  <c r="AT115" i="2"/>
  <c r="AY115" i="2" s="1"/>
  <c r="BH115" i="2" s="1"/>
  <c r="AT1663" i="2"/>
  <c r="AY1663" i="2" s="1"/>
  <c r="BH1663" i="2" s="1"/>
  <c r="AT1197" i="2"/>
  <c r="AY1197" i="2" s="1"/>
  <c r="BH1197" i="2" s="1"/>
  <c r="AT125" i="2"/>
  <c r="AY125" i="2" s="1"/>
  <c r="BH125" i="2" s="1"/>
  <c r="AT442" i="2"/>
  <c r="AY442" i="2" s="1"/>
  <c r="BH442" i="2" s="1"/>
  <c r="AT1706" i="2"/>
  <c r="AY1706" i="2" s="1"/>
  <c r="BH1706" i="2" s="1"/>
  <c r="AT1726" i="2"/>
  <c r="AY1726" i="2" s="1"/>
  <c r="BH1726" i="2" s="1"/>
  <c r="AT1975" i="2"/>
  <c r="AY1975" i="2" s="1"/>
  <c r="BH1975" i="2" s="1"/>
  <c r="AO1346" i="2"/>
  <c r="AJ1346" i="2"/>
  <c r="AE1346" i="2"/>
  <c r="AO1220" i="2"/>
  <c r="AJ1220" i="2"/>
  <c r="AE1220" i="2"/>
  <c r="AU1147" i="2"/>
  <c r="AZ1147" i="2" s="1"/>
  <c r="BA1147" i="2"/>
  <c r="AT521" i="2"/>
  <c r="AY521" i="2" s="1"/>
  <c r="BH521" i="2" s="1"/>
  <c r="AT254" i="2"/>
  <c r="AY254" i="2" s="1"/>
  <c r="BH254" i="2" s="1"/>
  <c r="AT533" i="2"/>
  <c r="AY533" i="2" s="1"/>
  <c r="BH533" i="2" s="1"/>
  <c r="AT298" i="2"/>
  <c r="AY298" i="2" s="1"/>
  <c r="BH298" i="2" s="1"/>
  <c r="AT284" i="2"/>
  <c r="AY284" i="2" s="1"/>
  <c r="BH284" i="2" s="1"/>
  <c r="AT182" i="2"/>
  <c r="AY182" i="2" s="1"/>
  <c r="BH182" i="2" s="1"/>
  <c r="AT118" i="2"/>
  <c r="AY118" i="2" s="1"/>
  <c r="BH118" i="2" s="1"/>
  <c r="AT1530" i="2"/>
  <c r="AY1530" i="2" s="1"/>
  <c r="BH1530" i="2" s="1"/>
  <c r="AO1136" i="2"/>
  <c r="AE1136" i="2"/>
  <c r="AJ1136" i="2"/>
  <c r="AO1128" i="2"/>
  <c r="AE1128" i="2"/>
  <c r="AJ1128" i="2"/>
  <c r="AO1120" i="2"/>
  <c r="AE1120" i="2"/>
  <c r="AJ1120" i="2"/>
  <c r="AO1112" i="2"/>
  <c r="AE1112" i="2"/>
  <c r="AJ1112" i="2"/>
  <c r="AO1104" i="2"/>
  <c r="AE1104" i="2"/>
  <c r="AJ1104" i="2"/>
  <c r="AO1096" i="2"/>
  <c r="AE1096" i="2"/>
  <c r="AJ1096" i="2"/>
  <c r="AO1088" i="2"/>
  <c r="AE1088" i="2"/>
  <c r="AJ1088" i="2"/>
  <c r="AO1080" i="2"/>
  <c r="AE1080" i="2"/>
  <c r="AJ1080" i="2"/>
  <c r="AO1072" i="2"/>
  <c r="AE1072" i="2"/>
  <c r="AJ1072" i="2"/>
  <c r="AO1064" i="2"/>
  <c r="AE1064" i="2"/>
  <c r="AJ1064" i="2"/>
  <c r="AO1056" i="2"/>
  <c r="AE1056" i="2"/>
  <c r="AJ1056" i="2"/>
  <c r="AT174" i="2"/>
  <c r="AY174" i="2" s="1"/>
  <c r="BH174" i="2" s="1"/>
  <c r="AT2057" i="2"/>
  <c r="AY2057" i="2" s="1"/>
  <c r="BH2057" i="2" s="1"/>
  <c r="AO1308" i="2"/>
  <c r="AJ1308" i="2"/>
  <c r="AE1308" i="2"/>
  <c r="AJ554" i="2"/>
  <c r="AE554" i="2"/>
  <c r="AO554" i="2"/>
  <c r="AJ522" i="2"/>
  <c r="AE522" i="2"/>
  <c r="AO522" i="2"/>
  <c r="AJ510" i="2"/>
  <c r="AE510" i="2"/>
  <c r="AO510" i="2"/>
  <c r="AO2445" i="2"/>
  <c r="AJ2445" i="2"/>
  <c r="AE2445" i="2"/>
  <c r="AT1948" i="2"/>
  <c r="AY1948" i="2" s="1"/>
  <c r="BH1948" i="2" s="1"/>
  <c r="AT1940" i="2"/>
  <c r="AY1940" i="2" s="1"/>
  <c r="BH1940" i="2" s="1"/>
  <c r="AT1932" i="2"/>
  <c r="AY1932" i="2" s="1"/>
  <c r="BH1932" i="2" s="1"/>
  <c r="AT1924" i="2"/>
  <c r="AY1924" i="2" s="1"/>
  <c r="BH1924" i="2" s="1"/>
  <c r="AT1916" i="2"/>
  <c r="AY1916" i="2" s="1"/>
  <c r="BH1916" i="2" s="1"/>
  <c r="AT1908" i="2"/>
  <c r="AY1908" i="2" s="1"/>
  <c r="BH1908" i="2" s="1"/>
  <c r="AT1900" i="2"/>
  <c r="AY1900" i="2" s="1"/>
  <c r="BH1900" i="2" s="1"/>
  <c r="AT1892" i="2"/>
  <c r="AY1892" i="2" s="1"/>
  <c r="BH1892" i="2" s="1"/>
  <c r="AT1884" i="2"/>
  <c r="AY1884" i="2" s="1"/>
  <c r="BH1884" i="2" s="1"/>
  <c r="AT1876" i="2"/>
  <c r="AY1876" i="2" s="1"/>
  <c r="BH1876" i="2" s="1"/>
  <c r="AT1868" i="2"/>
  <c r="AY1868" i="2" s="1"/>
  <c r="BH1868" i="2" s="1"/>
  <c r="AT1860" i="2"/>
  <c r="AY1860" i="2" s="1"/>
  <c r="BH1860" i="2" s="1"/>
  <c r="AT1367" i="2"/>
  <c r="AY1367" i="2" s="1"/>
  <c r="BH1367" i="2" s="1"/>
  <c r="AT1303" i="2"/>
  <c r="AY1303" i="2" s="1"/>
  <c r="BH1303" i="2" s="1"/>
  <c r="AT1239" i="2"/>
  <c r="AY1239" i="2" s="1"/>
  <c r="BH1239" i="2" s="1"/>
  <c r="AT1345" i="2"/>
  <c r="AY1345" i="2" s="1"/>
  <c r="BH1345" i="2" s="1"/>
  <c r="AT1281" i="2"/>
  <c r="AY1281" i="2" s="1"/>
  <c r="BH1281" i="2" s="1"/>
  <c r="AT1217" i="2"/>
  <c r="AY1217" i="2" s="1"/>
  <c r="BH1217" i="2" s="1"/>
  <c r="AT876" i="2"/>
  <c r="AY876" i="2" s="1"/>
  <c r="BH876" i="2" s="1"/>
  <c r="AT812" i="2"/>
  <c r="AY812" i="2" s="1"/>
  <c r="BH812" i="2" s="1"/>
  <c r="AT748" i="2"/>
  <c r="AY748" i="2" s="1"/>
  <c r="BH748" i="2" s="1"/>
  <c r="AO2173" i="2"/>
  <c r="AJ2173" i="2"/>
  <c r="AE2173" i="2"/>
  <c r="AT879" i="2"/>
  <c r="AY879" i="2" s="1"/>
  <c r="BH879" i="2" s="1"/>
  <c r="AT863" i="2"/>
  <c r="AY863" i="2" s="1"/>
  <c r="BH863" i="2" s="1"/>
  <c r="AT847" i="2"/>
  <c r="AY847" i="2" s="1"/>
  <c r="BH847" i="2" s="1"/>
  <c r="AT831" i="2"/>
  <c r="AY831" i="2" s="1"/>
  <c r="BH831" i="2" s="1"/>
  <c r="AT815" i="2"/>
  <c r="AY815" i="2" s="1"/>
  <c r="BH815" i="2" s="1"/>
  <c r="AT799" i="2"/>
  <c r="AY799" i="2" s="1"/>
  <c r="BH799" i="2" s="1"/>
  <c r="AT783" i="2"/>
  <c r="AY783" i="2" s="1"/>
  <c r="BH783" i="2" s="1"/>
  <c r="AT767" i="2"/>
  <c r="AY767" i="2" s="1"/>
  <c r="BH767" i="2" s="1"/>
  <c r="AT751" i="2"/>
  <c r="AY751" i="2" s="1"/>
  <c r="BH751" i="2" s="1"/>
  <c r="AT735" i="2"/>
  <c r="AY735" i="2" s="1"/>
  <c r="BH735" i="2" s="1"/>
  <c r="AJ15" i="2"/>
  <c r="AO15" i="2"/>
  <c r="AE15" i="2"/>
  <c r="AJ77" i="2"/>
  <c r="AE77" i="2"/>
  <c r="AO77" i="2"/>
  <c r="AJ1674" i="2"/>
  <c r="AO1674" i="2"/>
  <c r="AE1674" i="2"/>
  <c r="AT23" i="2"/>
  <c r="AY23" i="2" s="1"/>
  <c r="BH23" i="2" s="1"/>
  <c r="AT2472" i="2"/>
  <c r="AY2472" i="2" s="1"/>
  <c r="BH2472" i="2" s="1"/>
  <c r="AT2176" i="2"/>
  <c r="AY2176" i="2" s="1"/>
  <c r="BH2176" i="2" s="1"/>
  <c r="AT477" i="2"/>
  <c r="AY477" i="2" s="1"/>
  <c r="BH477" i="2" s="1"/>
  <c r="AT445" i="2"/>
  <c r="AY445" i="2" s="1"/>
  <c r="BH445" i="2" s="1"/>
  <c r="AT413" i="2"/>
  <c r="AY413" i="2" s="1"/>
  <c r="BH413" i="2" s="1"/>
  <c r="AO36" i="2"/>
  <c r="AE36" i="2"/>
  <c r="AJ36" i="2"/>
  <c r="AT263" i="2"/>
  <c r="AY263" i="2" s="1"/>
  <c r="BH263" i="2" s="1"/>
  <c r="AT127" i="2"/>
  <c r="AY127" i="2" s="1"/>
  <c r="BH127" i="2" s="1"/>
  <c r="AT2428" i="2"/>
  <c r="AY2428" i="2" s="1"/>
  <c r="BH2428" i="2" s="1"/>
  <c r="AJ1633" i="2"/>
  <c r="AE1633" i="2"/>
  <c r="AO1633" i="2"/>
  <c r="AT1751" i="2"/>
  <c r="AY1751" i="2" s="1"/>
  <c r="BH1751" i="2" s="1"/>
  <c r="AT1739" i="2"/>
  <c r="AY1739" i="2" s="1"/>
  <c r="BH1739" i="2" s="1"/>
  <c r="AT1731" i="2"/>
  <c r="AY1731" i="2" s="1"/>
  <c r="BH1731" i="2" s="1"/>
  <c r="AT1723" i="2"/>
  <c r="AY1723" i="2" s="1"/>
  <c r="BH1723" i="2" s="1"/>
  <c r="AT1711" i="2"/>
  <c r="AY1711" i="2" s="1"/>
  <c r="BH1711" i="2" s="1"/>
  <c r="AT1703" i="2"/>
  <c r="AY1703" i="2" s="1"/>
  <c r="BH1703" i="2" s="1"/>
  <c r="AT1691" i="2"/>
  <c r="AY1691" i="2" s="1"/>
  <c r="BH1691" i="2" s="1"/>
  <c r="AT1679" i="2"/>
  <c r="AY1679" i="2" s="1"/>
  <c r="BH1679" i="2" s="1"/>
  <c r="AT1671" i="2"/>
  <c r="AY1671" i="2" s="1"/>
  <c r="BH1671" i="2" s="1"/>
  <c r="AT2481" i="2"/>
  <c r="AY2481" i="2" s="1"/>
  <c r="BH2481" i="2" s="1"/>
  <c r="AT2482" i="2"/>
  <c r="AY2482" i="2" s="1"/>
  <c r="BH2482" i="2" s="1"/>
  <c r="AO2401" i="2"/>
  <c r="AE2401" i="2"/>
  <c r="AJ2401" i="2"/>
  <c r="AT1749" i="2"/>
  <c r="AY1749" i="2" s="1"/>
  <c r="BH1749" i="2" s="1"/>
  <c r="AT1733" i="2"/>
  <c r="AY1733" i="2" s="1"/>
  <c r="BH1733" i="2" s="1"/>
  <c r="AT1717" i="2"/>
  <c r="AY1717" i="2" s="1"/>
  <c r="BH1717" i="2" s="1"/>
  <c r="AT1701" i="2"/>
  <c r="AY1701" i="2" s="1"/>
  <c r="BH1701" i="2" s="1"/>
  <c r="AT1685" i="2"/>
  <c r="AY1685" i="2" s="1"/>
  <c r="BH1685" i="2" s="1"/>
  <c r="AT1669" i="2"/>
  <c r="AY1669" i="2" s="1"/>
  <c r="BH1669" i="2" s="1"/>
  <c r="AT1653" i="2"/>
  <c r="AY1653" i="2" s="1"/>
  <c r="BH1653" i="2" s="1"/>
  <c r="AO1314" i="2"/>
  <c r="AJ1314" i="2"/>
  <c r="AE1314" i="2"/>
  <c r="AO1250" i="2"/>
  <c r="AJ1250" i="2"/>
  <c r="AE1250" i="2"/>
  <c r="AO1186" i="2"/>
  <c r="AJ1186" i="2"/>
  <c r="AE1186" i="2"/>
  <c r="AO1316" i="2"/>
  <c r="AJ1316" i="2"/>
  <c r="AE1316" i="2"/>
  <c r="AO1252" i="2"/>
  <c r="AJ1252" i="2"/>
  <c r="AE1252" i="2"/>
  <c r="BA1767" i="2"/>
  <c r="AU1767" i="2"/>
  <c r="AZ1767" i="2" s="1"/>
  <c r="AT48" i="2"/>
  <c r="AY48" i="2" s="1"/>
  <c r="BH48" i="2" s="1"/>
  <c r="AT16" i="2"/>
  <c r="AY16" i="2" s="1"/>
  <c r="BH16" i="2" s="1"/>
  <c r="AT432" i="2"/>
  <c r="AY432" i="2" s="1"/>
  <c r="BH432" i="2" s="1"/>
  <c r="AT2484" i="2"/>
  <c r="AY2484" i="2" s="1"/>
  <c r="BH2484" i="2" s="1"/>
  <c r="AO66" i="2"/>
  <c r="AE66" i="2"/>
  <c r="AJ66" i="2"/>
  <c r="AO490" i="2"/>
  <c r="AJ490" i="2"/>
  <c r="AE490" i="2"/>
  <c r="AT79" i="2"/>
  <c r="AY79" i="2" s="1"/>
  <c r="BH79" i="2" s="1"/>
  <c r="AT618" i="2"/>
  <c r="AY618" i="2" s="1"/>
  <c r="BH618" i="2" s="1"/>
  <c r="AT616" i="2"/>
  <c r="AY616" i="2" s="1"/>
  <c r="BH616" i="2" s="1"/>
  <c r="AT614" i="2"/>
  <c r="AY614" i="2" s="1"/>
  <c r="BH614" i="2" s="1"/>
  <c r="AT612" i="2"/>
  <c r="AY612" i="2" s="1"/>
  <c r="BH612" i="2" s="1"/>
  <c r="AT610" i="2"/>
  <c r="AY610" i="2" s="1"/>
  <c r="BH610" i="2" s="1"/>
  <c r="AT608" i="2"/>
  <c r="AY608" i="2" s="1"/>
  <c r="BH608" i="2" s="1"/>
  <c r="AT606" i="2"/>
  <c r="AY606" i="2" s="1"/>
  <c r="BH606" i="2" s="1"/>
  <c r="AT604" i="2"/>
  <c r="AY604" i="2" s="1"/>
  <c r="BH604" i="2" s="1"/>
  <c r="AT602" i="2"/>
  <c r="AY602" i="2" s="1"/>
  <c r="BH602" i="2" s="1"/>
  <c r="AT600" i="2"/>
  <c r="AY600" i="2" s="1"/>
  <c r="BH600" i="2" s="1"/>
  <c r="AT598" i="2"/>
  <c r="AY598" i="2" s="1"/>
  <c r="BH598" i="2" s="1"/>
  <c r="AT596" i="2"/>
  <c r="AY596" i="2" s="1"/>
  <c r="BH596" i="2" s="1"/>
  <c r="AT594" i="2"/>
  <c r="AY594" i="2" s="1"/>
  <c r="BH594" i="2" s="1"/>
  <c r="AT592" i="2"/>
  <c r="AY592" i="2" s="1"/>
  <c r="BH592" i="2" s="1"/>
  <c r="AT590" i="2"/>
  <c r="AY590" i="2" s="1"/>
  <c r="BH590" i="2" s="1"/>
  <c r="AT588" i="2"/>
  <c r="AY588" i="2" s="1"/>
  <c r="BH588" i="2" s="1"/>
  <c r="AT586" i="2"/>
  <c r="AY586" i="2" s="1"/>
  <c r="BH586" i="2" s="1"/>
  <c r="AT584" i="2"/>
  <c r="AY584" i="2" s="1"/>
  <c r="BH584" i="2" s="1"/>
  <c r="AT582" i="2"/>
  <c r="AY582" i="2" s="1"/>
  <c r="BH582" i="2" s="1"/>
  <c r="AT580" i="2"/>
  <c r="AY580" i="2" s="1"/>
  <c r="BH580" i="2" s="1"/>
  <c r="AT578" i="2"/>
  <c r="AY578" i="2" s="1"/>
  <c r="BH578" i="2" s="1"/>
  <c r="AT576" i="2"/>
  <c r="AY576" i="2" s="1"/>
  <c r="BH576" i="2" s="1"/>
  <c r="AT574" i="2"/>
  <c r="AY574" i="2" s="1"/>
  <c r="BH574" i="2" s="1"/>
  <c r="AT572" i="2"/>
  <c r="AY572" i="2" s="1"/>
  <c r="BH572" i="2" s="1"/>
  <c r="AT570" i="2"/>
  <c r="AY570" i="2" s="1"/>
  <c r="BH570" i="2" s="1"/>
  <c r="AT568" i="2"/>
  <c r="AY568" i="2" s="1"/>
  <c r="BH568" i="2" s="1"/>
  <c r="AT566" i="2"/>
  <c r="AY566" i="2" s="1"/>
  <c r="BH566" i="2" s="1"/>
  <c r="AT564" i="2"/>
  <c r="AY564" i="2" s="1"/>
  <c r="BH564" i="2" s="1"/>
  <c r="AT562" i="2"/>
  <c r="AY562" i="2" s="1"/>
  <c r="BH562" i="2" s="1"/>
  <c r="AT560" i="2"/>
  <c r="AY560" i="2" s="1"/>
  <c r="BH560" i="2" s="1"/>
  <c r="AT558" i="2"/>
  <c r="AY558" i="2" s="1"/>
  <c r="BH558" i="2" s="1"/>
  <c r="AT556" i="2"/>
  <c r="AY556" i="2" s="1"/>
  <c r="BH556" i="2" s="1"/>
  <c r="AT199" i="2"/>
  <c r="AY199" i="2" s="1"/>
  <c r="BH199" i="2" s="1"/>
  <c r="AT135" i="2"/>
  <c r="AY135" i="2" s="1"/>
  <c r="BH135" i="2" s="1"/>
  <c r="AT55" i="2"/>
  <c r="AY55" i="2" s="1"/>
  <c r="BH55" i="2" s="1"/>
  <c r="AO2107" i="2"/>
  <c r="AJ2107" i="2"/>
  <c r="AE2107" i="2"/>
  <c r="AT2017" i="2"/>
  <c r="AY2017" i="2" s="1"/>
  <c r="BH2017" i="2" s="1"/>
  <c r="AT1953" i="2"/>
  <c r="AY1953" i="2" s="1"/>
  <c r="BH1953" i="2" s="1"/>
  <c r="AT1889" i="2"/>
  <c r="AY1889" i="2" s="1"/>
  <c r="BH1889" i="2" s="1"/>
  <c r="AO194" i="2"/>
  <c r="AJ194" i="2"/>
  <c r="AE194" i="2"/>
  <c r="AT545" i="2"/>
  <c r="AY545" i="2" s="1"/>
  <c r="BH545" i="2" s="1"/>
  <c r="AT513" i="2"/>
  <c r="AY513" i="2" s="1"/>
  <c r="BH513" i="2" s="1"/>
  <c r="BA1839" i="2"/>
  <c r="AU1839" i="2"/>
  <c r="AZ1839" i="2" s="1"/>
  <c r="AT1429" i="2"/>
  <c r="AY1429" i="2" s="1"/>
  <c r="BH1429" i="2" s="1"/>
  <c r="AT448" i="2"/>
  <c r="AY448" i="2" s="1"/>
  <c r="BH448" i="2" s="1"/>
  <c r="AT2493" i="2"/>
  <c r="AY2493" i="2" s="1"/>
  <c r="BH2493" i="2" s="1"/>
  <c r="AT2485" i="2"/>
  <c r="AY2485" i="2" s="1"/>
  <c r="BH2485" i="2" s="1"/>
  <c r="AT1957" i="2"/>
  <c r="AY1957" i="2" s="1"/>
  <c r="BH1957" i="2" s="1"/>
  <c r="AT1893" i="2"/>
  <c r="AY1893" i="2" s="1"/>
  <c r="BH1893" i="2" s="1"/>
  <c r="AT1387" i="2"/>
  <c r="AY1387" i="2" s="1"/>
  <c r="BH1387" i="2" s="1"/>
  <c r="AT1471" i="2"/>
  <c r="AY1471" i="2" s="1"/>
  <c r="BH1471" i="2" s="1"/>
  <c r="BA1799" i="2"/>
  <c r="AU1799" i="2"/>
  <c r="AZ1799" i="2" s="1"/>
  <c r="AO1596" i="2"/>
  <c r="AJ1596" i="2"/>
  <c r="AE1596" i="2"/>
  <c r="AO1588" i="2"/>
  <c r="AJ1588" i="2"/>
  <c r="AE1588" i="2"/>
  <c r="AT1401" i="2"/>
  <c r="AY1401" i="2" s="1"/>
  <c r="BH1401" i="2" s="1"/>
  <c r="AO1242" i="2"/>
  <c r="AJ1242" i="2"/>
  <c r="AE1242" i="2"/>
  <c r="AT1555" i="2"/>
  <c r="AY1555" i="2" s="1"/>
  <c r="BH1555" i="2" s="1"/>
  <c r="AO1592" i="2"/>
  <c r="AJ1592" i="2"/>
  <c r="AE1592" i="2"/>
  <c r="AO1584" i="2"/>
  <c r="AJ1584" i="2"/>
  <c r="AE1584" i="2"/>
  <c r="AT505" i="2"/>
  <c r="AY505" i="2" s="1"/>
  <c r="BH505" i="2" s="1"/>
  <c r="AT501" i="2"/>
  <c r="AY501" i="2" s="1"/>
  <c r="BH501" i="2" s="1"/>
  <c r="AT497" i="2"/>
  <c r="AY497" i="2" s="1"/>
  <c r="BH497" i="2" s="1"/>
  <c r="BA232" i="2"/>
  <c r="AU232" i="2"/>
  <c r="AZ232" i="2" s="1"/>
  <c r="AE2178" i="2"/>
  <c r="AO2178" i="2"/>
  <c r="AJ2178" i="2"/>
  <c r="AT1812" i="2"/>
  <c r="AY1812" i="2" s="1"/>
  <c r="BH1812" i="2" s="1"/>
  <c r="AJ1553" i="2"/>
  <c r="AO1553" i="2"/>
  <c r="AE1553" i="2"/>
  <c r="AT222" i="2"/>
  <c r="AY222" i="2" s="1"/>
  <c r="BH222" i="2" s="1"/>
  <c r="AJ1686" i="2"/>
  <c r="AO1686" i="2"/>
  <c r="AE1686" i="2"/>
  <c r="AO282" i="2"/>
  <c r="AJ282" i="2"/>
  <c r="AE282" i="2"/>
  <c r="AJ95" i="2"/>
  <c r="AO95" i="2"/>
  <c r="AE95" i="2"/>
  <c r="AT31" i="2"/>
  <c r="AY31" i="2" s="1"/>
  <c r="BH31" i="2" s="1"/>
  <c r="AO106" i="2"/>
  <c r="AJ106" i="2"/>
  <c r="AE106" i="2"/>
  <c r="AJ76" i="2"/>
  <c r="AO76" i="2"/>
  <c r="AE76" i="2"/>
  <c r="AT2170" i="2"/>
  <c r="AY2170" i="2" s="1"/>
  <c r="BH2170" i="2" s="1"/>
  <c r="AT202" i="2"/>
  <c r="AY202" i="2" s="1"/>
  <c r="BH202" i="2" s="1"/>
  <c r="AT186" i="2"/>
  <c r="AY186" i="2" s="1"/>
  <c r="BH186" i="2" s="1"/>
  <c r="AJ373" i="2"/>
  <c r="AE373" i="2"/>
  <c r="AO373" i="2"/>
  <c r="AJ365" i="2"/>
  <c r="AE365" i="2"/>
  <c r="AO365" i="2"/>
  <c r="AT1209" i="2"/>
  <c r="AY1209" i="2" s="1"/>
  <c r="BH1209" i="2" s="1"/>
  <c r="AT852" i="2"/>
  <c r="AY852" i="2" s="1"/>
  <c r="BH852" i="2" s="1"/>
  <c r="AJ283" i="2"/>
  <c r="AE283" i="2"/>
  <c r="AO283" i="2"/>
  <c r="AJ163" i="2"/>
  <c r="AO163" i="2"/>
  <c r="AE163" i="2"/>
  <c r="AJ131" i="2"/>
  <c r="AO131" i="2"/>
  <c r="AE131" i="2"/>
  <c r="AT1267" i="2"/>
  <c r="AY1267" i="2" s="1"/>
  <c r="BH1267" i="2" s="1"/>
  <c r="AT1360" i="2"/>
  <c r="AY1360" i="2" s="1"/>
  <c r="BH1360" i="2" s="1"/>
  <c r="AT1296" i="2"/>
  <c r="AY1296" i="2" s="1"/>
  <c r="BH1296" i="2" s="1"/>
  <c r="AT1232" i="2"/>
  <c r="AY1232" i="2" s="1"/>
  <c r="BH1232" i="2" s="1"/>
  <c r="AE832" i="2"/>
  <c r="AO832" i="2"/>
  <c r="AJ832" i="2"/>
  <c r="AE768" i="2"/>
  <c r="AO768" i="2"/>
  <c r="AJ768" i="2"/>
  <c r="AJ2312" i="2"/>
  <c r="AO2312" i="2"/>
  <c r="AE2312" i="2"/>
  <c r="AJ2308" i="2"/>
  <c r="AO2308" i="2"/>
  <c r="AE2308" i="2"/>
  <c r="AJ2304" i="2"/>
  <c r="AO2304" i="2"/>
  <c r="AE2304" i="2"/>
  <c r="AJ2300" i="2"/>
  <c r="AO2300" i="2"/>
  <c r="AE2300" i="2"/>
  <c r="AJ2296" i="2"/>
  <c r="AO2296" i="2"/>
  <c r="AE2296" i="2"/>
  <c r="AJ2292" i="2"/>
  <c r="AO2292" i="2"/>
  <c r="AE2292" i="2"/>
  <c r="AJ2288" i="2"/>
  <c r="AO2288" i="2"/>
  <c r="AE2288" i="2"/>
  <c r="AJ2284" i="2"/>
  <c r="AO2284" i="2"/>
  <c r="AE2284" i="2"/>
  <c r="AJ2280" i="2"/>
  <c r="AO2280" i="2"/>
  <c r="AE2280" i="2"/>
  <c r="AJ2276" i="2"/>
  <c r="AO2276" i="2"/>
  <c r="AE2276" i="2"/>
  <c r="AJ2272" i="2"/>
  <c r="AO2272" i="2"/>
  <c r="AE2272" i="2"/>
  <c r="AJ2268" i="2"/>
  <c r="AO2268" i="2"/>
  <c r="AE2268" i="2"/>
  <c r="AJ2264" i="2"/>
  <c r="AO2264" i="2"/>
  <c r="AE2264" i="2"/>
  <c r="AJ2260" i="2"/>
  <c r="AO2260" i="2"/>
  <c r="AE2260" i="2"/>
  <c r="AJ2256" i="2"/>
  <c r="AO2256" i="2"/>
  <c r="AE2256" i="2"/>
  <c r="AJ2252" i="2"/>
  <c r="AO2252" i="2"/>
  <c r="AE2252" i="2"/>
  <c r="AJ2248" i="2"/>
  <c r="AO2248" i="2"/>
  <c r="AE2248" i="2"/>
  <c r="AJ2244" i="2"/>
  <c r="AO2244" i="2"/>
  <c r="AE2244" i="2"/>
  <c r="AJ2240" i="2"/>
  <c r="AO2240" i="2"/>
  <c r="AE2240" i="2"/>
  <c r="AJ2236" i="2"/>
  <c r="AO2236" i="2"/>
  <c r="AE2236" i="2"/>
  <c r="AJ2232" i="2"/>
  <c r="AO2232" i="2"/>
  <c r="AE2232" i="2"/>
  <c r="AJ2228" i="2"/>
  <c r="AO2228" i="2"/>
  <c r="AE2228" i="2"/>
  <c r="AJ2224" i="2"/>
  <c r="AO2224" i="2"/>
  <c r="AE2224" i="2"/>
  <c r="AJ2220" i="2"/>
  <c r="AO2220" i="2"/>
  <c r="AE2220" i="2"/>
  <c r="AJ2216" i="2"/>
  <c r="AO2216" i="2"/>
  <c r="AE2216" i="2"/>
  <c r="AJ2212" i="2"/>
  <c r="AO2212" i="2"/>
  <c r="AE2212" i="2"/>
  <c r="AJ2208" i="2"/>
  <c r="AO2208" i="2"/>
  <c r="AE2208" i="2"/>
  <c r="AJ2204" i="2"/>
  <c r="AO2204" i="2"/>
  <c r="AE2204" i="2"/>
  <c r="AJ2200" i="2"/>
  <c r="AO2200" i="2"/>
  <c r="AE2200" i="2"/>
  <c r="AT1652" i="2"/>
  <c r="AY1652" i="2" s="1"/>
  <c r="BH1652" i="2" s="1"/>
  <c r="AT1580" i="2"/>
  <c r="AY1580" i="2" s="1"/>
  <c r="BH1580" i="2" s="1"/>
  <c r="AT1123" i="2"/>
  <c r="AY1123" i="2" s="1"/>
  <c r="BH1123" i="2" s="1"/>
  <c r="AO2097" i="2"/>
  <c r="AJ2097" i="2"/>
  <c r="AE2097" i="2"/>
  <c r="AO2081" i="2"/>
  <c r="AJ2081" i="2"/>
  <c r="AE2081" i="2"/>
  <c r="AO2065" i="2"/>
  <c r="AJ2065" i="2"/>
  <c r="AE2065" i="2"/>
  <c r="AO2049" i="2"/>
  <c r="AJ2049" i="2"/>
  <c r="AE2049" i="2"/>
  <c r="AJ35" i="2"/>
  <c r="AE35" i="2"/>
  <c r="AO35" i="2"/>
  <c r="AO70" i="2"/>
  <c r="AJ70" i="2"/>
  <c r="AE70" i="2"/>
  <c r="AJ85" i="2"/>
  <c r="AE85" i="2"/>
  <c r="AO85" i="2"/>
  <c r="AT2426" i="2"/>
  <c r="AY2426" i="2" s="1"/>
  <c r="BH2426" i="2" s="1"/>
  <c r="AT2410" i="2"/>
  <c r="AY2410" i="2" s="1"/>
  <c r="BH2410" i="2" s="1"/>
  <c r="AT2466" i="2"/>
  <c r="AY2466" i="2" s="1"/>
  <c r="BH2466" i="2" s="1"/>
  <c r="AO525" i="2"/>
  <c r="AJ525" i="2"/>
  <c r="AE525" i="2"/>
  <c r="AO2360" i="2"/>
  <c r="AJ2360" i="2"/>
  <c r="AE2360" i="2"/>
  <c r="AO2352" i="2"/>
  <c r="AJ2352" i="2"/>
  <c r="AE2352" i="2"/>
  <c r="AO2328" i="2"/>
  <c r="AJ2328" i="2"/>
  <c r="AE2328" i="2"/>
  <c r="AT2003" i="2"/>
  <c r="AY2003" i="2" s="1"/>
  <c r="BH2003" i="2" s="1"/>
  <c r="AT1951" i="2"/>
  <c r="AY1951" i="2" s="1"/>
  <c r="BH1951" i="2" s="1"/>
  <c r="AT1943" i="2"/>
  <c r="AY1943" i="2" s="1"/>
  <c r="BH1943" i="2" s="1"/>
  <c r="AT1935" i="2"/>
  <c r="AY1935" i="2" s="1"/>
  <c r="BH1935" i="2" s="1"/>
  <c r="AT1927" i="2"/>
  <c r="AY1927" i="2" s="1"/>
  <c r="BH1927" i="2" s="1"/>
  <c r="AT1919" i="2"/>
  <c r="AY1919" i="2" s="1"/>
  <c r="BH1919" i="2" s="1"/>
  <c r="AT1911" i="2"/>
  <c r="AY1911" i="2" s="1"/>
  <c r="BH1911" i="2" s="1"/>
  <c r="AT1903" i="2"/>
  <c r="AY1903" i="2" s="1"/>
  <c r="BH1903" i="2" s="1"/>
  <c r="AT1895" i="2"/>
  <c r="AY1895" i="2" s="1"/>
  <c r="BH1895" i="2" s="1"/>
  <c r="AT1887" i="2"/>
  <c r="AY1887" i="2" s="1"/>
  <c r="BH1887" i="2" s="1"/>
  <c r="AT1879" i="2"/>
  <c r="AY1879" i="2" s="1"/>
  <c r="BH1879" i="2" s="1"/>
  <c r="AT1871" i="2"/>
  <c r="AY1871" i="2" s="1"/>
  <c r="BH1871" i="2" s="1"/>
  <c r="AT1863" i="2"/>
  <c r="AY1863" i="2" s="1"/>
  <c r="BH1863" i="2" s="1"/>
  <c r="AT398" i="2"/>
  <c r="AY398" i="2" s="1"/>
  <c r="BH398" i="2" s="1"/>
  <c r="AT2101" i="2"/>
  <c r="AY2101" i="2" s="1"/>
  <c r="BH2101" i="2" s="1"/>
  <c r="AT1377" i="2"/>
  <c r="AY1377" i="2" s="1"/>
  <c r="BH1377" i="2" s="1"/>
  <c r="AT1356" i="2"/>
  <c r="AY1356" i="2" s="1"/>
  <c r="BH1356" i="2" s="1"/>
  <c r="AT1198" i="2"/>
  <c r="AY1198" i="2" s="1"/>
  <c r="BH1198" i="2" s="1"/>
  <c r="AE864" i="2"/>
  <c r="AO864" i="2"/>
  <c r="AJ864" i="2"/>
  <c r="AE800" i="2"/>
  <c r="AO800" i="2"/>
  <c r="AJ800" i="2"/>
  <c r="AE736" i="2"/>
  <c r="AO736" i="2"/>
  <c r="AJ736" i="2"/>
  <c r="AT1541" i="2"/>
  <c r="AY1541" i="2" s="1"/>
  <c r="BH1541" i="2" s="1"/>
  <c r="AO318" i="2"/>
  <c r="AJ318" i="2"/>
  <c r="AE318" i="2"/>
  <c r="AJ313" i="2"/>
  <c r="AE313" i="2"/>
  <c r="AO313" i="2"/>
  <c r="AJ87" i="2"/>
  <c r="AO87" i="2"/>
  <c r="AE87" i="2"/>
  <c r="AE1119" i="2"/>
  <c r="AO1119" i="2"/>
  <c r="AJ1119" i="2"/>
  <c r="AE1055" i="2"/>
  <c r="AO1055" i="2"/>
  <c r="AJ1055" i="2"/>
  <c r="AO446" i="2"/>
  <c r="AJ446" i="2"/>
  <c r="AE446" i="2"/>
  <c r="AO208" i="2"/>
  <c r="AJ208" i="2"/>
  <c r="AE208" i="2"/>
  <c r="AT1327" i="2"/>
  <c r="AY1327" i="2" s="1"/>
  <c r="BH1327" i="2" s="1"/>
  <c r="AT1263" i="2"/>
  <c r="AY1263" i="2" s="1"/>
  <c r="BH1263" i="2" s="1"/>
  <c r="AT1199" i="2"/>
  <c r="AY1199" i="2" s="1"/>
  <c r="BH1199" i="2" s="1"/>
  <c r="AE1099" i="2"/>
  <c r="AO1099" i="2"/>
  <c r="AJ1099" i="2"/>
  <c r="AJ2476" i="2"/>
  <c r="AO2476" i="2"/>
  <c r="AE2476" i="2"/>
  <c r="AO1379" i="2"/>
  <c r="AE1379" i="2"/>
  <c r="AJ1379" i="2"/>
  <c r="AJ363" i="2"/>
  <c r="AE363" i="2"/>
  <c r="AO363" i="2"/>
  <c r="AJ51" i="2"/>
  <c r="AO51" i="2"/>
  <c r="AE51" i="2"/>
  <c r="AJ161" i="2"/>
  <c r="AE161" i="2"/>
  <c r="AO161" i="2"/>
  <c r="AT2377" i="2"/>
  <c r="AY2377" i="2" s="1"/>
  <c r="BH2377" i="2" s="1"/>
  <c r="AT2369" i="2"/>
  <c r="AY2369" i="2" s="1"/>
  <c r="BH2369" i="2" s="1"/>
  <c r="AT2353" i="2"/>
  <c r="AY2353" i="2" s="1"/>
  <c r="BH2353" i="2" s="1"/>
  <c r="AT2337" i="2"/>
  <c r="AY2337" i="2" s="1"/>
  <c r="BH2337" i="2" s="1"/>
  <c r="AT2329" i="2"/>
  <c r="AY2329" i="2" s="1"/>
  <c r="BH2329" i="2" s="1"/>
  <c r="AJ1637" i="2"/>
  <c r="AE1637" i="2"/>
  <c r="AO1637" i="2"/>
  <c r="AJ1465" i="2"/>
  <c r="AO1465" i="2"/>
  <c r="AE1465" i="2"/>
  <c r="AJ1449" i="2"/>
  <c r="AO1449" i="2"/>
  <c r="AE1449" i="2"/>
  <c r="AJ1611" i="2"/>
  <c r="AE1611" i="2"/>
  <c r="AO1611" i="2"/>
  <c r="AT1137" i="2"/>
  <c r="AY1137" i="2" s="1"/>
  <c r="BH1137" i="2" s="1"/>
  <c r="AE1048" i="2"/>
  <c r="AO1048" i="2"/>
  <c r="AJ1048" i="2"/>
  <c r="AT538" i="2"/>
  <c r="AY538" i="2" s="1"/>
  <c r="BH538" i="2" s="1"/>
  <c r="BA20" i="2"/>
  <c r="AU20" i="2"/>
  <c r="AZ20" i="2" s="1"/>
  <c r="AT1511" i="2"/>
  <c r="AY1511" i="2" s="1"/>
  <c r="BH1511" i="2" s="1"/>
  <c r="AJ47" i="2"/>
  <c r="AO47" i="2"/>
  <c r="AE47" i="2"/>
  <c r="AO2189" i="2"/>
  <c r="AJ2189" i="2"/>
  <c r="AE2189" i="2"/>
  <c r="AT1816" i="2"/>
  <c r="AY1816" i="2" s="1"/>
  <c r="BH1816" i="2" s="1"/>
  <c r="AT1378" i="2"/>
  <c r="AY1378" i="2" s="1"/>
  <c r="BH1378" i="2" s="1"/>
  <c r="AE1042" i="2"/>
  <c r="AO1042" i="2"/>
  <c r="AJ1042" i="2"/>
  <c r="AT447" i="2"/>
  <c r="AY447" i="2" s="1"/>
  <c r="BH447" i="2" s="1"/>
  <c r="AT241" i="2"/>
  <c r="AY241" i="2" s="1"/>
  <c r="BH241" i="2" s="1"/>
  <c r="AT235" i="2"/>
  <c r="AY235" i="2" s="1"/>
  <c r="BH235" i="2" s="1"/>
  <c r="AJ3" i="2"/>
  <c r="AE3" i="2"/>
  <c r="AO3" i="2"/>
  <c r="AO865" i="2"/>
  <c r="AE865" i="2"/>
  <c r="AJ865" i="2"/>
  <c r="AO833" i="2"/>
  <c r="AE833" i="2"/>
  <c r="AJ833" i="2"/>
  <c r="AO801" i="2"/>
  <c r="AE801" i="2"/>
  <c r="AJ801" i="2"/>
  <c r="AO769" i="2"/>
  <c r="AE769" i="2"/>
  <c r="AJ769" i="2"/>
  <c r="AO737" i="2"/>
  <c r="AE737" i="2"/>
  <c r="AJ737" i="2"/>
  <c r="AT1666" i="2"/>
  <c r="AY1666" i="2" s="1"/>
  <c r="BH1666" i="2" s="1"/>
  <c r="AT1579" i="2"/>
  <c r="AY1579" i="2" s="1"/>
  <c r="BH1579" i="2" s="1"/>
  <c r="AO310" i="2"/>
  <c r="AJ310" i="2"/>
  <c r="AE310" i="2"/>
  <c r="AT167" i="2"/>
  <c r="AY167" i="2" s="1"/>
  <c r="BH167" i="2" s="1"/>
  <c r="AT103" i="2"/>
  <c r="AY103" i="2" s="1"/>
  <c r="BH103" i="2" s="1"/>
  <c r="AT417" i="2"/>
  <c r="AY417" i="2" s="1"/>
  <c r="BH417" i="2" s="1"/>
  <c r="AT273" i="2"/>
  <c r="AY273" i="2" s="1"/>
  <c r="BH273" i="2" s="1"/>
  <c r="AT267" i="2"/>
  <c r="AY267" i="2" s="1"/>
  <c r="BH267" i="2" s="1"/>
  <c r="AT209" i="2"/>
  <c r="AY209" i="2" s="1"/>
  <c r="BH209" i="2" s="1"/>
  <c r="AT431" i="2"/>
  <c r="AY431" i="2" s="1"/>
  <c r="BH431" i="2" s="1"/>
  <c r="AT777" i="2"/>
  <c r="AY777" i="2" s="1"/>
  <c r="BH777" i="2" s="1"/>
  <c r="AT874" i="2"/>
  <c r="AY874" i="2" s="1"/>
  <c r="BH874" i="2" s="1"/>
  <c r="AT858" i="2"/>
  <c r="AY858" i="2" s="1"/>
  <c r="BH858" i="2" s="1"/>
  <c r="AT842" i="2"/>
  <c r="AY842" i="2" s="1"/>
  <c r="BH842" i="2" s="1"/>
  <c r="AT826" i="2"/>
  <c r="AY826" i="2" s="1"/>
  <c r="BH826" i="2" s="1"/>
  <c r="AT810" i="2"/>
  <c r="AY810" i="2" s="1"/>
  <c r="BH810" i="2" s="1"/>
  <c r="AT794" i="2"/>
  <c r="AY794" i="2" s="1"/>
  <c r="BH794" i="2" s="1"/>
  <c r="AT778" i="2"/>
  <c r="AY778" i="2" s="1"/>
  <c r="BH778" i="2" s="1"/>
  <c r="AT762" i="2"/>
  <c r="AY762" i="2" s="1"/>
  <c r="BH762" i="2" s="1"/>
  <c r="AT746" i="2"/>
  <c r="AY746" i="2" s="1"/>
  <c r="BH746" i="2" s="1"/>
  <c r="AT730" i="2"/>
  <c r="AY730" i="2" s="1"/>
  <c r="BH730" i="2" s="1"/>
  <c r="AJ265" i="2"/>
  <c r="AE265" i="2"/>
  <c r="AO265" i="2"/>
  <c r="AJ1629" i="2"/>
  <c r="AE1629" i="2"/>
  <c r="AO1629" i="2"/>
  <c r="AO322" i="2"/>
  <c r="AJ322" i="2"/>
  <c r="AE322" i="2"/>
  <c r="AT2267" i="2"/>
  <c r="AY2267" i="2" s="1"/>
  <c r="BH2267" i="2" s="1"/>
  <c r="AT2235" i="2"/>
  <c r="AY2235" i="2" s="1"/>
  <c r="BH2235" i="2" s="1"/>
  <c r="AT2203" i="2"/>
  <c r="AY2203" i="2" s="1"/>
  <c r="BH2203" i="2" s="1"/>
  <c r="AT1440" i="2"/>
  <c r="AY1440" i="2" s="1"/>
  <c r="BH1440" i="2" s="1"/>
  <c r="AT382" i="2"/>
  <c r="AY382" i="2" s="1"/>
  <c r="BH382" i="2" s="1"/>
  <c r="AT1302" i="2"/>
  <c r="AY1302" i="2" s="1"/>
  <c r="BH1302" i="2" s="1"/>
  <c r="AJ1504" i="2"/>
  <c r="AE1504" i="2"/>
  <c r="AO1504" i="2"/>
  <c r="AT138" i="2"/>
  <c r="AY138" i="2" s="1"/>
  <c r="BH138" i="2" s="1"/>
  <c r="AT2477" i="2"/>
  <c r="AY2477" i="2" s="1"/>
  <c r="BH2477" i="2" s="1"/>
  <c r="AT2475" i="2"/>
  <c r="AY2475" i="2" s="1"/>
  <c r="BH2475" i="2" s="1"/>
  <c r="AJ2479" i="2"/>
  <c r="AO2479" i="2"/>
  <c r="AE2479" i="2"/>
  <c r="AE2420" i="2"/>
  <c r="AO2420" i="2"/>
  <c r="AJ2420" i="2"/>
  <c r="AT1174" i="2"/>
  <c r="AY1174" i="2" s="1"/>
  <c r="BH1174" i="2" s="1"/>
  <c r="AT1158" i="2"/>
  <c r="AY1158" i="2" s="1"/>
  <c r="BH1158" i="2" s="1"/>
  <c r="AJ59" i="2"/>
  <c r="AO59" i="2"/>
  <c r="AE59" i="2"/>
  <c r="AO2461" i="2"/>
  <c r="AJ2461" i="2"/>
  <c r="AE2461" i="2"/>
  <c r="AO102" i="2"/>
  <c r="AJ102" i="2"/>
  <c r="AE102" i="2"/>
  <c r="AT1743" i="2"/>
  <c r="AY1743" i="2" s="1"/>
  <c r="BH1743" i="2" s="1"/>
  <c r="AT1727" i="2"/>
  <c r="AY1727" i="2" s="1"/>
  <c r="BH1727" i="2" s="1"/>
  <c r="AT1715" i="2"/>
  <c r="AY1715" i="2" s="1"/>
  <c r="BH1715" i="2" s="1"/>
  <c r="AT1699" i="2"/>
  <c r="AY1699" i="2" s="1"/>
  <c r="BH1699" i="2" s="1"/>
  <c r="AT1687" i="2"/>
  <c r="AY1687" i="2" s="1"/>
  <c r="BH1687" i="2" s="1"/>
  <c r="AT1675" i="2"/>
  <c r="AY1675" i="2" s="1"/>
  <c r="BH1675" i="2" s="1"/>
  <c r="AT1467" i="2"/>
  <c r="AY1467" i="2" s="1"/>
  <c r="BH1467" i="2" s="1"/>
  <c r="AT1451" i="2"/>
  <c r="AY1451" i="2" s="1"/>
  <c r="BH1451" i="2" s="1"/>
  <c r="AT1202" i="2"/>
  <c r="AY1202" i="2" s="1"/>
  <c r="BH1202" i="2" s="1"/>
  <c r="AJ1207" i="2"/>
  <c r="AE1207" i="2"/>
  <c r="AO1207" i="2"/>
  <c r="AT1075" i="2"/>
  <c r="AY1075" i="2" s="1"/>
  <c r="BH1075" i="2" s="1"/>
  <c r="AE92" i="2"/>
  <c r="AJ92" i="2"/>
  <c r="AO92" i="2"/>
  <c r="AO1859" i="2"/>
  <c r="AJ1859" i="2"/>
  <c r="AE1859" i="2"/>
  <c r="AO1855" i="2"/>
  <c r="AJ1855" i="2"/>
  <c r="AE1855" i="2"/>
  <c r="AO1851" i="2"/>
  <c r="AJ1851" i="2"/>
  <c r="AE1851" i="2"/>
  <c r="AO509" i="2"/>
  <c r="AJ509" i="2"/>
  <c r="AE509" i="2"/>
  <c r="AT296" i="2"/>
  <c r="AY296" i="2" s="1"/>
  <c r="BH296" i="2" s="1"/>
  <c r="AT2154" i="2"/>
  <c r="AY2154" i="2" s="1"/>
  <c r="BH2154" i="2" s="1"/>
  <c r="AT1829" i="2"/>
  <c r="AY1829" i="2" s="1"/>
  <c r="BH1829" i="2" s="1"/>
  <c r="AT669" i="2"/>
  <c r="AY669" i="2" s="1"/>
  <c r="BH669" i="2" s="1"/>
  <c r="AJ1567" i="2"/>
  <c r="AO1567" i="2"/>
  <c r="AE1567" i="2"/>
  <c r="AJ1551" i="2"/>
  <c r="AO1551" i="2"/>
  <c r="AE1551" i="2"/>
  <c r="AJ1529" i="2"/>
  <c r="AO1529" i="2"/>
  <c r="AE1529" i="2"/>
  <c r="AJ2490" i="2"/>
  <c r="AO2490" i="2"/>
  <c r="AE2490" i="2"/>
  <c r="AJ2474" i="2"/>
  <c r="AO2474" i="2"/>
  <c r="AE2474" i="2"/>
  <c r="AT2368" i="2"/>
  <c r="AY2368" i="2" s="1"/>
  <c r="BH2368" i="2" s="1"/>
  <c r="AT2336" i="2"/>
  <c r="AY2336" i="2" s="1"/>
  <c r="BH2336" i="2" s="1"/>
  <c r="AT2320" i="2"/>
  <c r="AY2320" i="2" s="1"/>
  <c r="BH2320" i="2" s="1"/>
  <c r="AO1626" i="2"/>
  <c r="AJ1626" i="2"/>
  <c r="AE1626" i="2"/>
  <c r="AT1481" i="2"/>
  <c r="AY1481" i="2" s="1"/>
  <c r="BH1481" i="2" s="1"/>
  <c r="AT1477" i="2"/>
  <c r="AY1477" i="2" s="1"/>
  <c r="BH1477" i="2" s="1"/>
  <c r="AO1632" i="2"/>
  <c r="AJ1632" i="2"/>
  <c r="AE1632" i="2"/>
  <c r="AT1507" i="2"/>
  <c r="AY1507" i="2" s="1"/>
  <c r="BH1507" i="2" s="1"/>
  <c r="AT1497" i="2"/>
  <c r="AY1497" i="2" s="1"/>
  <c r="BH1497" i="2" s="1"/>
  <c r="AO1366" i="2"/>
  <c r="AJ1366" i="2"/>
  <c r="AE1366" i="2"/>
  <c r="AT262" i="2"/>
  <c r="AY262" i="2" s="1"/>
  <c r="BH262" i="2" s="1"/>
  <c r="AT80" i="2"/>
  <c r="AY80" i="2" s="1"/>
  <c r="BH80" i="2" s="1"/>
  <c r="AO881" i="2"/>
  <c r="AE881" i="2"/>
  <c r="AJ881" i="2"/>
  <c r="AO849" i="2"/>
  <c r="AE849" i="2"/>
  <c r="AJ849" i="2"/>
  <c r="AO817" i="2"/>
  <c r="AE817" i="2"/>
  <c r="AJ817" i="2"/>
  <c r="AO785" i="2"/>
  <c r="AE785" i="2"/>
  <c r="AJ785" i="2"/>
  <c r="AO753" i="2"/>
  <c r="AE753" i="2"/>
  <c r="AJ753" i="2"/>
  <c r="AT244" i="2"/>
  <c r="AY244" i="2" s="1"/>
  <c r="BH244" i="2" s="1"/>
  <c r="AE2456" i="2"/>
  <c r="AO2456" i="2"/>
  <c r="AJ2456" i="2"/>
  <c r="AT877" i="2"/>
  <c r="AY877" i="2" s="1"/>
  <c r="BH877" i="2" s="1"/>
  <c r="AT845" i="2"/>
  <c r="AY845" i="2" s="1"/>
  <c r="BH845" i="2" s="1"/>
  <c r="AT813" i="2"/>
  <c r="AY813" i="2" s="1"/>
  <c r="BH813" i="2" s="1"/>
  <c r="AT781" i="2"/>
  <c r="AY781" i="2" s="1"/>
  <c r="BH781" i="2" s="1"/>
  <c r="AT749" i="2"/>
  <c r="AY749" i="2" s="1"/>
  <c r="BH749" i="2" s="1"/>
  <c r="AJ83" i="2"/>
  <c r="AO83" i="2"/>
  <c r="AE83" i="2"/>
  <c r="AJ9" i="2"/>
  <c r="AO9" i="2"/>
  <c r="AE9" i="2"/>
  <c r="AE2470" i="2"/>
  <c r="AO2470" i="2"/>
  <c r="AJ2470" i="2"/>
  <c r="AO873" i="2"/>
  <c r="AE873" i="2"/>
  <c r="AJ873" i="2"/>
  <c r="AO809" i="2"/>
  <c r="AE809" i="2"/>
  <c r="AJ809" i="2"/>
  <c r="AO745" i="2"/>
  <c r="AE745" i="2"/>
  <c r="AJ745" i="2"/>
  <c r="AT2042" i="2"/>
  <c r="AY2042" i="2" s="1"/>
  <c r="BH2042" i="2" s="1"/>
  <c r="AJ1543" i="2"/>
  <c r="AO1543" i="2"/>
  <c r="AE1543" i="2"/>
  <c r="AE1040" i="2"/>
  <c r="AO1040" i="2"/>
  <c r="AJ1040" i="2"/>
  <c r="AE1036" i="2"/>
  <c r="AO1036" i="2"/>
  <c r="AJ1036" i="2"/>
  <c r="AE1032" i="2"/>
  <c r="AO1032" i="2"/>
  <c r="AJ1032" i="2"/>
  <c r="AE1028" i="2"/>
  <c r="AO1028" i="2"/>
  <c r="AJ1028" i="2"/>
  <c r="AE1024" i="2"/>
  <c r="AO1024" i="2"/>
  <c r="AJ1024" i="2"/>
  <c r="AE1020" i="2"/>
  <c r="AO1020" i="2"/>
  <c r="AJ1020" i="2"/>
  <c r="AE1016" i="2"/>
  <c r="AO1016" i="2"/>
  <c r="AJ1016" i="2"/>
  <c r="AE1012" i="2"/>
  <c r="AO1012" i="2"/>
  <c r="AJ1012" i="2"/>
  <c r="AE1008" i="2"/>
  <c r="AO1008" i="2"/>
  <c r="AJ1008" i="2"/>
  <c r="AE1004" i="2"/>
  <c r="AO1004" i="2"/>
  <c r="AJ1004" i="2"/>
  <c r="AE1000" i="2"/>
  <c r="AO1000" i="2"/>
  <c r="AJ1000" i="2"/>
  <c r="AE996" i="2"/>
  <c r="AO996" i="2"/>
  <c r="AJ996" i="2"/>
  <c r="AE992" i="2"/>
  <c r="AO992" i="2"/>
  <c r="AJ992" i="2"/>
  <c r="AE988" i="2"/>
  <c r="AO988" i="2"/>
  <c r="AJ988" i="2"/>
  <c r="AE984" i="2"/>
  <c r="AO984" i="2"/>
  <c r="AJ984" i="2"/>
  <c r="AE980" i="2"/>
  <c r="AO980" i="2"/>
  <c r="AJ980" i="2"/>
  <c r="AE976" i="2"/>
  <c r="AO976" i="2"/>
  <c r="AJ976" i="2"/>
  <c r="AE972" i="2"/>
  <c r="AO972" i="2"/>
  <c r="AJ972" i="2"/>
  <c r="AE968" i="2"/>
  <c r="AO968" i="2"/>
  <c r="AJ968" i="2"/>
  <c r="AE964" i="2"/>
  <c r="AO964" i="2"/>
  <c r="AJ964" i="2"/>
  <c r="AE960" i="2"/>
  <c r="AO960" i="2"/>
  <c r="AJ960" i="2"/>
  <c r="AE956" i="2"/>
  <c r="AO956" i="2"/>
  <c r="AJ956" i="2"/>
  <c r="AE952" i="2"/>
  <c r="AO952" i="2"/>
  <c r="AJ952" i="2"/>
  <c r="AE948" i="2"/>
  <c r="AO948" i="2"/>
  <c r="AJ948" i="2"/>
  <c r="AE944" i="2"/>
  <c r="AO944" i="2"/>
  <c r="AJ944" i="2"/>
  <c r="AE940" i="2"/>
  <c r="AO940" i="2"/>
  <c r="AJ940" i="2"/>
  <c r="AJ357" i="2"/>
  <c r="AE357" i="2"/>
  <c r="AO357" i="2"/>
  <c r="AJ548" i="2"/>
  <c r="AE548" i="2"/>
  <c r="AO548" i="2"/>
  <c r="BA1779" i="2"/>
  <c r="AU1779" i="2"/>
  <c r="AZ1779" i="2" s="1"/>
  <c r="AE1808" i="2"/>
  <c r="AO1808" i="2"/>
  <c r="AJ1808" i="2"/>
  <c r="AE1792" i="2"/>
  <c r="AO1792" i="2"/>
  <c r="AJ1792" i="2"/>
  <c r="AO1602" i="2"/>
  <c r="AJ1602" i="2"/>
  <c r="AE1602" i="2"/>
  <c r="AT1873" i="2"/>
  <c r="AY1873" i="2" s="1"/>
  <c r="BH1873" i="2" s="1"/>
  <c r="AJ1970" i="2"/>
  <c r="AE1970" i="2"/>
  <c r="AO1970" i="2"/>
  <c r="AE2158" i="2"/>
  <c r="AO2158" i="2"/>
  <c r="AJ2158" i="2"/>
  <c r="AO1650" i="2"/>
  <c r="AJ1650" i="2"/>
  <c r="AE1650" i="2"/>
  <c r="AO1188" i="2"/>
  <c r="AJ1188" i="2"/>
  <c r="AE1188" i="2"/>
  <c r="AE715" i="2"/>
  <c r="AO715" i="2"/>
  <c r="AJ715" i="2"/>
  <c r="AE699" i="2"/>
  <c r="AO699" i="2"/>
  <c r="AJ699" i="2"/>
  <c r="AE683" i="2"/>
  <c r="AO683" i="2"/>
  <c r="AJ683" i="2"/>
  <c r="AE667" i="2"/>
  <c r="AO667" i="2"/>
  <c r="AJ667" i="2"/>
  <c r="AE651" i="2"/>
  <c r="AO651" i="2"/>
  <c r="AJ651" i="2"/>
  <c r="AE635" i="2"/>
  <c r="AO635" i="2"/>
  <c r="AJ635" i="2"/>
  <c r="AO72" i="2"/>
  <c r="AE72" i="2"/>
  <c r="AJ72" i="2"/>
  <c r="BA224" i="2"/>
  <c r="AU224" i="2"/>
  <c r="AZ224" i="2" s="1"/>
  <c r="BA192" i="2"/>
  <c r="AU192" i="2"/>
  <c r="AZ192" i="2" s="1"/>
  <c r="AE2414" i="2"/>
  <c r="AO2414" i="2"/>
  <c r="AJ2414" i="2"/>
  <c r="AT2174" i="2"/>
  <c r="AY2174" i="2" s="1"/>
  <c r="BH2174" i="2" s="1"/>
  <c r="AJ2088" i="2"/>
  <c r="AE2088" i="2"/>
  <c r="AO2088" i="2"/>
  <c r="AT542" i="2"/>
  <c r="AY542" i="2" s="1"/>
  <c r="BH542" i="2" s="1"/>
  <c r="AO250" i="2"/>
  <c r="AJ250" i="2"/>
  <c r="AE250" i="2"/>
  <c r="AE82" i="2"/>
  <c r="AJ82" i="2"/>
  <c r="AO82" i="2"/>
  <c r="AJ1576" i="2"/>
  <c r="AE1576" i="2"/>
  <c r="AO1576" i="2"/>
  <c r="AJ1572" i="2"/>
  <c r="AE1572" i="2"/>
  <c r="AO1572" i="2"/>
  <c r="AJ1568" i="2"/>
  <c r="AE1568" i="2"/>
  <c r="AO1568" i="2"/>
  <c r="AJ1564" i="2"/>
  <c r="AE1564" i="2"/>
  <c r="AO1564" i="2"/>
  <c r="AJ1560" i="2"/>
  <c r="AE1560" i="2"/>
  <c r="AO1560" i="2"/>
  <c r="AJ1556" i="2"/>
  <c r="AE1556" i="2"/>
  <c r="AO1556" i="2"/>
  <c r="AJ1552" i="2"/>
  <c r="AE1552" i="2"/>
  <c r="AO1552" i="2"/>
  <c r="AJ1548" i="2"/>
  <c r="AE1548" i="2"/>
  <c r="AO1548" i="2"/>
  <c r="AJ1480" i="2"/>
  <c r="AE1480" i="2"/>
  <c r="AO1480" i="2"/>
  <c r="AE2458" i="2"/>
  <c r="AO2458" i="2"/>
  <c r="AJ2458" i="2"/>
  <c r="AJ1514" i="2"/>
  <c r="AE1514" i="2"/>
  <c r="AO1514" i="2"/>
  <c r="AJ1510" i="2"/>
  <c r="AE1510" i="2"/>
  <c r="AO1510" i="2"/>
  <c r="AJ1500" i="2"/>
  <c r="AE1500" i="2"/>
  <c r="AO1500" i="2"/>
  <c r="AJ1496" i="2"/>
  <c r="AE1496" i="2"/>
  <c r="AO1496" i="2"/>
  <c r="AJ1482" i="2"/>
  <c r="AE1482" i="2"/>
  <c r="AO1482" i="2"/>
  <c r="AJ1478" i="2"/>
  <c r="AE1478" i="2"/>
  <c r="AO1478" i="2"/>
  <c r="AO825" i="2"/>
  <c r="AE825" i="2"/>
  <c r="AJ825" i="2"/>
  <c r="AO761" i="2"/>
  <c r="AE761" i="2"/>
  <c r="AJ761" i="2"/>
  <c r="AT2271" i="2"/>
  <c r="AY2271" i="2" s="1"/>
  <c r="BH2271" i="2" s="1"/>
  <c r="AT2207" i="2"/>
  <c r="AY2207" i="2" s="1"/>
  <c r="BH2207" i="2" s="1"/>
  <c r="AJ1741" i="2"/>
  <c r="AE1741" i="2"/>
  <c r="AO1741" i="2"/>
  <c r="AJ1725" i="2"/>
  <c r="AE1725" i="2"/>
  <c r="AO1725" i="2"/>
  <c r="AJ1709" i="2"/>
  <c r="AE1709" i="2"/>
  <c r="AO1709" i="2"/>
  <c r="AJ1693" i="2"/>
  <c r="AE1693" i="2"/>
  <c r="AO1693" i="2"/>
  <c r="AJ1677" i="2"/>
  <c r="AE1677" i="2"/>
  <c r="AO1677" i="2"/>
  <c r="AO1256" i="2"/>
  <c r="AJ1256" i="2"/>
  <c r="AE1256" i="2"/>
  <c r="AE1133" i="2"/>
  <c r="AO1133" i="2"/>
  <c r="AJ1133" i="2"/>
  <c r="AE1069" i="2"/>
  <c r="AO1069" i="2"/>
  <c r="AJ1069" i="2"/>
  <c r="AE792" i="2"/>
  <c r="AO792" i="2"/>
  <c r="AJ792" i="2"/>
  <c r="AT141" i="2"/>
  <c r="AY141" i="2" s="1"/>
  <c r="BH141" i="2" s="1"/>
  <c r="AT2499" i="2"/>
  <c r="AY2499" i="2" s="1"/>
  <c r="BH2499" i="2" s="1"/>
  <c r="AT2491" i="2"/>
  <c r="AY2491" i="2" s="1"/>
  <c r="BH2491" i="2" s="1"/>
  <c r="AJ1502" i="2"/>
  <c r="AE1502" i="2"/>
  <c r="AO1502" i="2"/>
  <c r="AJ41" i="2"/>
  <c r="AO41" i="2"/>
  <c r="AE41" i="2"/>
  <c r="AJ305" i="2"/>
  <c r="AE305" i="2"/>
  <c r="AO305" i="2"/>
  <c r="AJ299" i="2"/>
  <c r="AE299" i="2"/>
  <c r="AO299" i="2"/>
  <c r="AO12" i="2"/>
  <c r="AE12" i="2"/>
  <c r="AJ12" i="2"/>
  <c r="AT2171" i="2"/>
  <c r="AY2171" i="2" s="1"/>
  <c r="BH2171" i="2" s="1"/>
  <c r="AJ1738" i="2"/>
  <c r="AO1738" i="2"/>
  <c r="AE1738" i="2"/>
  <c r="AT1134" i="2"/>
  <c r="AY1134" i="2" s="1"/>
  <c r="BH1134" i="2" s="1"/>
  <c r="AT1126" i="2"/>
  <c r="AY1126" i="2" s="1"/>
  <c r="BH1126" i="2" s="1"/>
  <c r="AT1118" i="2"/>
  <c r="AY1118" i="2" s="1"/>
  <c r="BH1118" i="2" s="1"/>
  <c r="AT1110" i="2"/>
  <c r="AY1110" i="2" s="1"/>
  <c r="BH1110" i="2" s="1"/>
  <c r="AT1102" i="2"/>
  <c r="AY1102" i="2" s="1"/>
  <c r="BH1102" i="2" s="1"/>
  <c r="AT1094" i="2"/>
  <c r="AY1094" i="2" s="1"/>
  <c r="BH1094" i="2" s="1"/>
  <c r="AT1086" i="2"/>
  <c r="AY1086" i="2" s="1"/>
  <c r="BH1086" i="2" s="1"/>
  <c r="AT1078" i="2"/>
  <c r="AY1078" i="2" s="1"/>
  <c r="BH1078" i="2" s="1"/>
  <c r="AT1070" i="2"/>
  <c r="AY1070" i="2" s="1"/>
  <c r="BH1070" i="2" s="1"/>
  <c r="AT1062" i="2"/>
  <c r="AY1062" i="2" s="1"/>
  <c r="BH1062" i="2" s="1"/>
  <c r="AT1054" i="2"/>
  <c r="AY1054" i="2" s="1"/>
  <c r="BH1054" i="2" s="1"/>
  <c r="AT317" i="2"/>
  <c r="AY317" i="2" s="1"/>
  <c r="BH317" i="2" s="1"/>
  <c r="BA200" i="2"/>
  <c r="AU200" i="2"/>
  <c r="AZ200" i="2" s="1"/>
  <c r="AE506" i="2"/>
  <c r="AJ506" i="2"/>
  <c r="AO506" i="2"/>
  <c r="AJ552" i="2"/>
  <c r="AE552" i="2"/>
  <c r="AO552" i="2"/>
  <c r="AE932" i="2"/>
  <c r="AO932" i="2"/>
  <c r="AJ932" i="2"/>
  <c r="AE920" i="2"/>
  <c r="AO920" i="2"/>
  <c r="AJ920" i="2"/>
  <c r="AE908" i="2"/>
  <c r="AO908" i="2"/>
  <c r="AJ908" i="2"/>
  <c r="AE892" i="2"/>
  <c r="AO892" i="2"/>
  <c r="AJ892" i="2"/>
  <c r="AO2187" i="2"/>
  <c r="AJ2187" i="2"/>
  <c r="AE2187" i="2"/>
  <c r="AJ1710" i="2"/>
  <c r="AO1710" i="2"/>
  <c r="AE1710" i="2"/>
  <c r="AO2153" i="2"/>
  <c r="AE2153" i="2"/>
  <c r="AJ2153" i="2"/>
  <c r="AO2197" i="2"/>
  <c r="AJ2197" i="2"/>
  <c r="AE2197" i="2"/>
  <c r="AO724" i="2"/>
  <c r="AJ724" i="2"/>
  <c r="AE724" i="2"/>
  <c r="AO720" i="2"/>
  <c r="AJ720" i="2"/>
  <c r="AE720" i="2"/>
  <c r="AO716" i="2"/>
  <c r="AJ716" i="2"/>
  <c r="AE716" i="2"/>
  <c r="AO712" i="2"/>
  <c r="AJ712" i="2"/>
  <c r="AE712" i="2"/>
  <c r="AO708" i="2"/>
  <c r="AJ708" i="2"/>
  <c r="AE708" i="2"/>
  <c r="AO704" i="2"/>
  <c r="AJ704" i="2"/>
  <c r="AE704" i="2"/>
  <c r="AO700" i="2"/>
  <c r="AJ700" i="2"/>
  <c r="AE700" i="2"/>
  <c r="AO696" i="2"/>
  <c r="AJ696" i="2"/>
  <c r="AE696" i="2"/>
  <c r="AO692" i="2"/>
  <c r="AJ692" i="2"/>
  <c r="AE692" i="2"/>
  <c r="AO688" i="2"/>
  <c r="AJ688" i="2"/>
  <c r="AE688" i="2"/>
  <c r="AO684" i="2"/>
  <c r="AJ684" i="2"/>
  <c r="AE684" i="2"/>
  <c r="AO680" i="2"/>
  <c r="AJ680" i="2"/>
  <c r="AE680" i="2"/>
  <c r="AO676" i="2"/>
  <c r="AJ676" i="2"/>
  <c r="AE676" i="2"/>
  <c r="AO672" i="2"/>
  <c r="AJ672" i="2"/>
  <c r="AE672" i="2"/>
  <c r="AO668" i="2"/>
  <c r="AJ668" i="2"/>
  <c r="AE668" i="2"/>
  <c r="AO664" i="2"/>
  <c r="AJ664" i="2"/>
  <c r="AE664" i="2"/>
  <c r="AO660" i="2"/>
  <c r="AJ660" i="2"/>
  <c r="AE660" i="2"/>
  <c r="AO656" i="2"/>
  <c r="AJ656" i="2"/>
  <c r="AE656" i="2"/>
  <c r="AO652" i="2"/>
  <c r="AJ652" i="2"/>
  <c r="AE652" i="2"/>
  <c r="AO648" i="2"/>
  <c r="AJ648" i="2"/>
  <c r="AE648" i="2"/>
  <c r="AO644" i="2"/>
  <c r="AJ644" i="2"/>
  <c r="AE644" i="2"/>
  <c r="AO640" i="2"/>
  <c r="AJ640" i="2"/>
  <c r="AE640" i="2"/>
  <c r="AO636" i="2"/>
  <c r="AJ636" i="2"/>
  <c r="AE636" i="2"/>
  <c r="AO632" i="2"/>
  <c r="AJ632" i="2"/>
  <c r="AE632" i="2"/>
  <c r="AO628" i="2"/>
  <c r="AJ628" i="2"/>
  <c r="AE628" i="2"/>
  <c r="AO624" i="2"/>
  <c r="AJ624" i="2"/>
  <c r="AE624" i="2"/>
  <c r="AO620" i="2"/>
  <c r="AJ620" i="2"/>
  <c r="AE620" i="2"/>
  <c r="AJ44" i="2"/>
  <c r="AO44" i="2"/>
  <c r="AE44" i="2"/>
  <c r="AT2140" i="2"/>
  <c r="AY2140" i="2" s="1"/>
  <c r="BH2140" i="2" s="1"/>
  <c r="AT2138" i="2"/>
  <c r="AY2138" i="2" s="1"/>
  <c r="BH2138" i="2" s="1"/>
  <c r="AT2136" i="2"/>
  <c r="AY2136" i="2" s="1"/>
  <c r="BH2136" i="2" s="1"/>
  <c r="AT2134" i="2"/>
  <c r="AY2134" i="2" s="1"/>
  <c r="BH2134" i="2" s="1"/>
  <c r="AT2132" i="2"/>
  <c r="AY2132" i="2" s="1"/>
  <c r="BH2132" i="2" s="1"/>
  <c r="AT2130" i="2"/>
  <c r="AY2130" i="2" s="1"/>
  <c r="BH2130" i="2" s="1"/>
  <c r="AT2128" i="2"/>
  <c r="AY2128" i="2" s="1"/>
  <c r="BH2128" i="2" s="1"/>
  <c r="AT2126" i="2"/>
  <c r="AY2126" i="2" s="1"/>
  <c r="BH2126" i="2" s="1"/>
  <c r="AT2124" i="2"/>
  <c r="AY2124" i="2" s="1"/>
  <c r="BH2124" i="2" s="1"/>
  <c r="AT2122" i="2"/>
  <c r="AY2122" i="2" s="1"/>
  <c r="BH2122" i="2" s="1"/>
  <c r="AT2120" i="2"/>
  <c r="AY2120" i="2" s="1"/>
  <c r="BH2120" i="2" s="1"/>
  <c r="AT2118" i="2"/>
  <c r="AY2118" i="2" s="1"/>
  <c r="BH2118" i="2" s="1"/>
  <c r="AT2116" i="2"/>
  <c r="AY2116" i="2" s="1"/>
  <c r="BH2116" i="2" s="1"/>
  <c r="AO198" i="2"/>
  <c r="AJ198" i="2"/>
  <c r="AE198" i="2"/>
  <c r="AJ2295" i="2"/>
  <c r="AO2295" i="2"/>
  <c r="AE2295" i="2"/>
  <c r="AJ2231" i="2"/>
  <c r="AO2231" i="2"/>
  <c r="AE2231" i="2"/>
  <c r="AT1039" i="2"/>
  <c r="AY1039" i="2" s="1"/>
  <c r="BH1039" i="2" s="1"/>
  <c r="AT1037" i="2"/>
  <c r="AY1037" i="2" s="1"/>
  <c r="BH1037" i="2" s="1"/>
  <c r="AT1035" i="2"/>
  <c r="AY1035" i="2" s="1"/>
  <c r="BH1035" i="2" s="1"/>
  <c r="AT1033" i="2"/>
  <c r="AY1033" i="2" s="1"/>
  <c r="BH1033" i="2" s="1"/>
  <c r="AT1031" i="2"/>
  <c r="AY1031" i="2" s="1"/>
  <c r="BH1031" i="2" s="1"/>
  <c r="AT1029" i="2"/>
  <c r="AY1029" i="2" s="1"/>
  <c r="BH1029" i="2" s="1"/>
  <c r="AT1027" i="2"/>
  <c r="AY1027" i="2" s="1"/>
  <c r="BH1027" i="2" s="1"/>
  <c r="AT1025" i="2"/>
  <c r="AY1025" i="2" s="1"/>
  <c r="BH1025" i="2" s="1"/>
  <c r="AT1023" i="2"/>
  <c r="AY1023" i="2" s="1"/>
  <c r="BH1023" i="2" s="1"/>
  <c r="AT1021" i="2"/>
  <c r="AY1021" i="2" s="1"/>
  <c r="BH1021" i="2" s="1"/>
  <c r="AT1019" i="2"/>
  <c r="AY1019" i="2" s="1"/>
  <c r="BH1019" i="2" s="1"/>
  <c r="AT1017" i="2"/>
  <c r="AY1017" i="2" s="1"/>
  <c r="BH1017" i="2" s="1"/>
  <c r="AT1015" i="2"/>
  <c r="AY1015" i="2" s="1"/>
  <c r="BH1015" i="2" s="1"/>
  <c r="AT1013" i="2"/>
  <c r="AY1013" i="2" s="1"/>
  <c r="BH1013" i="2" s="1"/>
  <c r="AT1011" i="2"/>
  <c r="AY1011" i="2" s="1"/>
  <c r="BH1011" i="2" s="1"/>
  <c r="AT1009" i="2"/>
  <c r="AY1009" i="2" s="1"/>
  <c r="BH1009" i="2" s="1"/>
  <c r="AT1007" i="2"/>
  <c r="AY1007" i="2" s="1"/>
  <c r="BH1007" i="2" s="1"/>
  <c r="AT1005" i="2"/>
  <c r="AY1005" i="2" s="1"/>
  <c r="BH1005" i="2" s="1"/>
  <c r="AT1003" i="2"/>
  <c r="AY1003" i="2" s="1"/>
  <c r="BH1003" i="2" s="1"/>
  <c r="AT1001" i="2"/>
  <c r="AY1001" i="2" s="1"/>
  <c r="BH1001" i="2" s="1"/>
  <c r="AT999" i="2"/>
  <c r="AY999" i="2" s="1"/>
  <c r="BH999" i="2" s="1"/>
  <c r="AT997" i="2"/>
  <c r="AY997" i="2" s="1"/>
  <c r="BH997" i="2" s="1"/>
  <c r="AT995" i="2"/>
  <c r="AY995" i="2" s="1"/>
  <c r="BH995" i="2" s="1"/>
  <c r="AT993" i="2"/>
  <c r="AY993" i="2" s="1"/>
  <c r="BH993" i="2" s="1"/>
  <c r="AT991" i="2"/>
  <c r="AY991" i="2" s="1"/>
  <c r="BH991" i="2" s="1"/>
  <c r="AT989" i="2"/>
  <c r="AY989" i="2" s="1"/>
  <c r="BH989" i="2" s="1"/>
  <c r="AT987" i="2"/>
  <c r="AY987" i="2" s="1"/>
  <c r="BH987" i="2" s="1"/>
  <c r="AT985" i="2"/>
  <c r="AY985" i="2" s="1"/>
  <c r="BH985" i="2" s="1"/>
  <c r="AT983" i="2"/>
  <c r="AY983" i="2" s="1"/>
  <c r="BH983" i="2" s="1"/>
  <c r="AT981" i="2"/>
  <c r="AY981" i="2" s="1"/>
  <c r="BH981" i="2" s="1"/>
  <c r="AT979" i="2"/>
  <c r="AY979" i="2" s="1"/>
  <c r="BH979" i="2" s="1"/>
  <c r="AT977" i="2"/>
  <c r="AY977" i="2" s="1"/>
  <c r="BH977" i="2" s="1"/>
  <c r="AT975" i="2"/>
  <c r="AY975" i="2" s="1"/>
  <c r="BH975" i="2" s="1"/>
  <c r="AT973" i="2"/>
  <c r="AY973" i="2" s="1"/>
  <c r="BH973" i="2" s="1"/>
  <c r="AT971" i="2"/>
  <c r="AY971" i="2" s="1"/>
  <c r="BH971" i="2" s="1"/>
  <c r="AT969" i="2"/>
  <c r="AY969" i="2" s="1"/>
  <c r="BH969" i="2" s="1"/>
  <c r="AT967" i="2"/>
  <c r="AY967" i="2" s="1"/>
  <c r="BH967" i="2" s="1"/>
  <c r="AT965" i="2"/>
  <c r="AY965" i="2" s="1"/>
  <c r="BH965" i="2" s="1"/>
  <c r="AT963" i="2"/>
  <c r="AY963" i="2" s="1"/>
  <c r="BH963" i="2" s="1"/>
  <c r="AT961" i="2"/>
  <c r="AY961" i="2" s="1"/>
  <c r="BH961" i="2" s="1"/>
  <c r="AT959" i="2"/>
  <c r="AY959" i="2" s="1"/>
  <c r="BH959" i="2" s="1"/>
  <c r="AT957" i="2"/>
  <c r="AY957" i="2" s="1"/>
  <c r="BH957" i="2" s="1"/>
  <c r="AT955" i="2"/>
  <c r="AY955" i="2" s="1"/>
  <c r="BH955" i="2" s="1"/>
  <c r="AT953" i="2"/>
  <c r="AY953" i="2" s="1"/>
  <c r="BH953" i="2" s="1"/>
  <c r="AT951" i="2"/>
  <c r="AY951" i="2" s="1"/>
  <c r="BH951" i="2" s="1"/>
  <c r="AT949" i="2"/>
  <c r="AY949" i="2" s="1"/>
  <c r="BH949" i="2" s="1"/>
  <c r="AT947" i="2"/>
  <c r="AY947" i="2" s="1"/>
  <c r="BH947" i="2" s="1"/>
  <c r="AT945" i="2"/>
  <c r="AY945" i="2" s="1"/>
  <c r="BH945" i="2" s="1"/>
  <c r="AT943" i="2"/>
  <c r="AY943" i="2" s="1"/>
  <c r="BH943" i="2" s="1"/>
  <c r="AT941" i="2"/>
  <c r="AY941" i="2" s="1"/>
  <c r="BH941" i="2" s="1"/>
  <c r="AT939" i="2"/>
  <c r="AY939" i="2" s="1"/>
  <c r="BH939" i="2" s="1"/>
  <c r="AT937" i="2"/>
  <c r="AY937" i="2" s="1"/>
  <c r="BH937" i="2" s="1"/>
  <c r="AT935" i="2"/>
  <c r="AY935" i="2" s="1"/>
  <c r="BH935" i="2" s="1"/>
  <c r="AT933" i="2"/>
  <c r="AY933" i="2" s="1"/>
  <c r="BH933" i="2" s="1"/>
  <c r="AO434" i="2"/>
  <c r="AJ434" i="2"/>
  <c r="AE434" i="2"/>
  <c r="AO2459" i="2"/>
  <c r="AJ2459" i="2"/>
  <c r="AE2459" i="2"/>
  <c r="AO2443" i="2"/>
  <c r="AJ2443" i="2"/>
  <c r="AE2443" i="2"/>
  <c r="AO2419" i="2"/>
  <c r="AJ2419" i="2"/>
  <c r="AE2419" i="2"/>
  <c r="AT234" i="2"/>
  <c r="AY234" i="2" s="1"/>
  <c r="BH234" i="2" s="1"/>
  <c r="AT220" i="2"/>
  <c r="AY220" i="2" s="1"/>
  <c r="BH220" i="2" s="1"/>
  <c r="AT34" i="2"/>
  <c r="AY34" i="2" s="1"/>
  <c r="BH34" i="2" s="1"/>
  <c r="AO142" i="2"/>
  <c r="AJ142" i="2"/>
  <c r="AE142" i="2"/>
  <c r="AT1476" i="2"/>
  <c r="AY1476" i="2" s="1"/>
  <c r="BH1476" i="2" s="1"/>
  <c r="AT93" i="2"/>
  <c r="AY93" i="2" s="1"/>
  <c r="BH93" i="2" s="1"/>
  <c r="AT61" i="2"/>
  <c r="AY61" i="2" s="1"/>
  <c r="BH61" i="2" s="1"/>
  <c r="AE2416" i="2"/>
  <c r="AO2416" i="2"/>
  <c r="AJ2416" i="2"/>
  <c r="AE1111" i="2"/>
  <c r="AO1111" i="2"/>
  <c r="AJ1111" i="2"/>
  <c r="AT2394" i="2"/>
  <c r="AY2394" i="2" s="1"/>
  <c r="BH2394" i="2" s="1"/>
  <c r="AJ2068" i="2"/>
  <c r="AE2068" i="2"/>
  <c r="AO2068" i="2"/>
  <c r="AT2150" i="2"/>
  <c r="AY2150" i="2" s="1"/>
  <c r="BH2150" i="2" s="1"/>
  <c r="BA1771" i="2"/>
  <c r="AU1771" i="2"/>
  <c r="AZ1771" i="2" s="1"/>
  <c r="AT1573" i="2"/>
  <c r="AY1573" i="2" s="1"/>
  <c r="BH1573" i="2" s="1"/>
  <c r="AT1557" i="2"/>
  <c r="AY1557" i="2" s="1"/>
  <c r="BH1557" i="2" s="1"/>
  <c r="AT681" i="2"/>
  <c r="AY681" i="2" s="1"/>
  <c r="BH681" i="2" s="1"/>
  <c r="AT1203" i="2"/>
  <c r="AY1203" i="2" s="1"/>
  <c r="BH1203" i="2" s="1"/>
  <c r="AE1095" i="2"/>
  <c r="AO1095" i="2"/>
  <c r="AJ1095" i="2"/>
  <c r="AT1392" i="2"/>
  <c r="AY1392" i="2" s="1"/>
  <c r="BH1392" i="2" s="1"/>
  <c r="AJ2497" i="2"/>
  <c r="AE2497" i="2"/>
  <c r="AO2497" i="2"/>
  <c r="AJ2489" i="2"/>
  <c r="AE2489" i="2"/>
  <c r="AO2489" i="2"/>
  <c r="AT1955" i="2"/>
  <c r="AY1955" i="2" s="1"/>
  <c r="BH1955" i="2" s="1"/>
  <c r="BA2" i="2"/>
  <c r="AU2" i="2"/>
  <c r="AZ2" i="2" s="1"/>
  <c r="AO1286" i="2"/>
  <c r="AJ1286" i="2"/>
  <c r="AE1286" i="2"/>
  <c r="AO2390" i="2"/>
  <c r="AJ2390" i="2"/>
  <c r="AE2390" i="2"/>
  <c r="AO2382" i="2"/>
  <c r="AJ2382" i="2"/>
  <c r="AE2382" i="2"/>
  <c r="AO2374" i="2"/>
  <c r="AJ2374" i="2"/>
  <c r="AE2374" i="2"/>
  <c r="AO2366" i="2"/>
  <c r="AJ2366" i="2"/>
  <c r="AE2366" i="2"/>
  <c r="AO2358" i="2"/>
  <c r="AJ2358" i="2"/>
  <c r="AE2358" i="2"/>
  <c r="AO2350" i="2"/>
  <c r="AJ2350" i="2"/>
  <c r="AE2350" i="2"/>
  <c r="AO2342" i="2"/>
  <c r="AJ2342" i="2"/>
  <c r="AE2342" i="2"/>
  <c r="AO2334" i="2"/>
  <c r="AJ2334" i="2"/>
  <c r="AE2334" i="2"/>
  <c r="AO2326" i="2"/>
  <c r="AJ2326" i="2"/>
  <c r="AE2326" i="2"/>
  <c r="AO2318" i="2"/>
  <c r="AJ2318" i="2"/>
  <c r="AE2318" i="2"/>
  <c r="AT1817" i="2"/>
  <c r="AY1817" i="2" s="1"/>
  <c r="BH1817" i="2" s="1"/>
  <c r="AJ1341" i="2"/>
  <c r="AE1341" i="2"/>
  <c r="AO1341" i="2"/>
  <c r="AJ1277" i="2"/>
  <c r="AE1277" i="2"/>
  <c r="AO1277" i="2"/>
  <c r="AJ1213" i="2"/>
  <c r="AE1213" i="2"/>
  <c r="AO1213" i="2"/>
  <c r="AT399" i="2"/>
  <c r="AY399" i="2" s="1"/>
  <c r="BH399" i="2" s="1"/>
  <c r="AT391" i="2"/>
  <c r="AY391" i="2" s="1"/>
  <c r="BH391" i="2" s="1"/>
  <c r="AT383" i="2"/>
  <c r="AY383" i="2" s="1"/>
  <c r="BH383" i="2" s="1"/>
  <c r="AT375" i="2"/>
  <c r="AY375" i="2" s="1"/>
  <c r="BH375" i="2" s="1"/>
  <c r="AT367" i="2"/>
  <c r="AY367" i="2" s="1"/>
  <c r="BH367" i="2" s="1"/>
  <c r="AT359" i="2"/>
  <c r="AY359" i="2" s="1"/>
  <c r="BH359" i="2" s="1"/>
  <c r="AT351" i="2"/>
  <c r="AY351" i="2" s="1"/>
  <c r="BH351" i="2" s="1"/>
  <c r="AT343" i="2"/>
  <c r="AY343" i="2" s="1"/>
  <c r="BH343" i="2" s="1"/>
  <c r="AT335" i="2"/>
  <c r="AY335" i="2" s="1"/>
  <c r="BH335" i="2" s="1"/>
  <c r="AT327" i="2"/>
  <c r="AY327" i="2" s="1"/>
  <c r="BH327" i="2" s="1"/>
  <c r="AT191" i="2"/>
  <c r="AY191" i="2" s="1"/>
  <c r="BH191" i="2" s="1"/>
  <c r="BA120" i="2"/>
  <c r="AU120" i="2"/>
  <c r="AZ120" i="2" s="1"/>
  <c r="AE60" i="2"/>
  <c r="AJ60" i="2"/>
  <c r="AO60" i="2"/>
  <c r="AT1620" i="2"/>
  <c r="AY1620" i="2" s="1"/>
  <c r="BH1620" i="2" s="1"/>
  <c r="AT2287" i="2"/>
  <c r="AY2287" i="2" s="1"/>
  <c r="BH2287" i="2" s="1"/>
  <c r="AT2223" i="2"/>
  <c r="AY2223" i="2" s="1"/>
  <c r="BH2223" i="2" s="1"/>
  <c r="AT1101" i="2"/>
  <c r="AY1101" i="2" s="1"/>
  <c r="BH1101" i="2" s="1"/>
  <c r="AT760" i="2"/>
  <c r="AY760" i="2" s="1"/>
  <c r="BH760" i="2" s="1"/>
  <c r="AT249" i="2"/>
  <c r="AY249" i="2" s="1"/>
  <c r="BH249" i="2" s="1"/>
  <c r="AT455" i="2"/>
  <c r="AY455" i="2" s="1"/>
  <c r="BH455" i="2" s="1"/>
  <c r="AT159" i="2"/>
  <c r="AY159" i="2" s="1"/>
  <c r="BH159" i="2" s="1"/>
  <c r="AT1660" i="2"/>
  <c r="AY1660" i="2" s="1"/>
  <c r="BH1660" i="2" s="1"/>
  <c r="AT1433" i="2"/>
  <c r="AY1433" i="2" s="1"/>
  <c r="BH1433" i="2" s="1"/>
  <c r="AO1370" i="2"/>
  <c r="AJ1370" i="2"/>
  <c r="AE1370" i="2"/>
  <c r="AO1298" i="2"/>
  <c r="AJ1298" i="2"/>
  <c r="AE1298" i="2"/>
  <c r="BA404" i="2"/>
  <c r="AU404" i="2"/>
  <c r="AZ404" i="2" s="1"/>
  <c r="AO1642" i="2"/>
  <c r="AJ1642" i="2"/>
  <c r="AE1642" i="2"/>
  <c r="AO334" i="2"/>
  <c r="AJ334" i="2"/>
  <c r="AE334" i="2"/>
  <c r="AO230" i="2"/>
  <c r="AJ230" i="2"/>
  <c r="AE230" i="2"/>
  <c r="AO480" i="2"/>
  <c r="AJ480" i="2"/>
  <c r="AE480" i="2"/>
  <c r="AJ183" i="2"/>
  <c r="AO183" i="2"/>
  <c r="AE183" i="2"/>
  <c r="AJ119" i="2"/>
  <c r="AO119" i="2"/>
  <c r="AE119" i="2"/>
  <c r="AT2143" i="2"/>
  <c r="AY2143" i="2" s="1"/>
  <c r="BH2143" i="2" s="1"/>
  <c r="AO2039" i="2"/>
  <c r="AJ2039" i="2"/>
  <c r="AE2039" i="2"/>
  <c r="AO2037" i="2"/>
  <c r="AJ2037" i="2"/>
  <c r="AE2037" i="2"/>
  <c r="AO2035" i="2"/>
  <c r="AJ2035" i="2"/>
  <c r="AE2035" i="2"/>
  <c r="AO2033" i="2"/>
  <c r="AJ2033" i="2"/>
  <c r="AE2033" i="2"/>
  <c r="AO2031" i="2"/>
  <c r="AJ2031" i="2"/>
  <c r="AE2031" i="2"/>
  <c r="AO2029" i="2"/>
  <c r="AJ2029" i="2"/>
  <c r="AE2029" i="2"/>
  <c r="AO2027" i="2"/>
  <c r="AJ2027" i="2"/>
  <c r="AE2027" i="2"/>
  <c r="AO2025" i="2"/>
  <c r="AJ2025" i="2"/>
  <c r="AE2025" i="2"/>
  <c r="AO2023" i="2"/>
  <c r="AJ2023" i="2"/>
  <c r="AE2023" i="2"/>
  <c r="AT519" i="2"/>
  <c r="AY519" i="2" s="1"/>
  <c r="BH519" i="2" s="1"/>
  <c r="AT28" i="2"/>
  <c r="AY28" i="2" s="1"/>
  <c r="BH28" i="2" s="1"/>
  <c r="AT38" i="2"/>
  <c r="AY38" i="2" s="1"/>
  <c r="BH38" i="2" s="1"/>
  <c r="AT1181" i="2"/>
  <c r="AY1181" i="2" s="1"/>
  <c r="BH1181" i="2" s="1"/>
  <c r="AE498" i="2"/>
  <c r="AJ498" i="2"/>
  <c r="AO498" i="2"/>
  <c r="AT1121" i="2"/>
  <c r="AY1121" i="2" s="1"/>
  <c r="BH1121" i="2" s="1"/>
  <c r="AE928" i="2"/>
  <c r="AO928" i="2"/>
  <c r="AJ928" i="2"/>
  <c r="AE916" i="2"/>
  <c r="AO916" i="2"/>
  <c r="AJ916" i="2"/>
  <c r="AE904" i="2"/>
  <c r="AO904" i="2"/>
  <c r="AJ904" i="2"/>
  <c r="AE896" i="2"/>
  <c r="AO896" i="2"/>
  <c r="AJ896" i="2"/>
  <c r="AE888" i="2"/>
  <c r="AO888" i="2"/>
  <c r="AJ888" i="2"/>
  <c r="AT2221" i="2"/>
  <c r="AY2221" i="2" s="1"/>
  <c r="BH2221" i="2" s="1"/>
  <c r="AO292" i="2"/>
  <c r="AJ292" i="2"/>
  <c r="AE292" i="2"/>
  <c r="AT177" i="2"/>
  <c r="AY177" i="2" s="1"/>
  <c r="BH177" i="2" s="1"/>
  <c r="AT113" i="2"/>
  <c r="AY113" i="2" s="1"/>
  <c r="BH113" i="2" s="1"/>
  <c r="AT1646" i="2"/>
  <c r="AY1646" i="2" s="1"/>
  <c r="BH1646" i="2" s="1"/>
  <c r="AJ1549" i="2"/>
  <c r="AO1549" i="2"/>
  <c r="AE1549" i="2"/>
  <c r="AJ1455" i="2"/>
  <c r="AO1455" i="2"/>
  <c r="AE1455" i="2"/>
  <c r="AT2309" i="2"/>
  <c r="AY2309" i="2" s="1"/>
  <c r="BH2309" i="2" s="1"/>
  <c r="AT2301" i="2"/>
  <c r="AY2301" i="2" s="1"/>
  <c r="BH2301" i="2" s="1"/>
  <c r="AU1141" i="2"/>
  <c r="AZ1141" i="2" s="1"/>
  <c r="BA1141" i="2"/>
  <c r="AT463" i="2"/>
  <c r="AY463" i="2" s="1"/>
  <c r="BH463" i="2" s="1"/>
  <c r="AT111" i="2"/>
  <c r="AY111" i="2" s="1"/>
  <c r="BH111" i="2" s="1"/>
  <c r="AT2415" i="2"/>
  <c r="AY2415" i="2" s="1"/>
  <c r="BH2415" i="2" s="1"/>
  <c r="AT1631" i="2"/>
  <c r="AY1631" i="2" s="1"/>
  <c r="BH1631" i="2" s="1"/>
  <c r="AJ309" i="2"/>
  <c r="AE309" i="2"/>
  <c r="AO309" i="2"/>
  <c r="BA923" i="2"/>
  <c r="AU923" i="2"/>
  <c r="AZ923" i="2" s="1"/>
  <c r="BA907" i="2"/>
  <c r="AU907" i="2"/>
  <c r="AZ907" i="2" s="1"/>
  <c r="BA891" i="2"/>
  <c r="AU891" i="2"/>
  <c r="AZ891" i="2" s="1"/>
  <c r="AT2464" i="2"/>
  <c r="AY2464" i="2" s="1"/>
  <c r="BH2464" i="2" s="1"/>
  <c r="AT2402" i="2"/>
  <c r="AY2402" i="2" s="1"/>
  <c r="BH2402" i="2" s="1"/>
  <c r="AT1788" i="2"/>
  <c r="AY1788" i="2" s="1"/>
  <c r="BH1788" i="2" s="1"/>
  <c r="AJ2046" i="2"/>
  <c r="AE2046" i="2"/>
  <c r="AO2046" i="2"/>
  <c r="BA460" i="2"/>
  <c r="AU460" i="2"/>
  <c r="AZ460" i="2" s="1"/>
  <c r="AJ2229" i="2"/>
  <c r="AE2229" i="2"/>
  <c r="AO2229" i="2"/>
  <c r="AT2071" i="2"/>
  <c r="AY2071" i="2" s="1"/>
  <c r="BH2071" i="2" s="1"/>
  <c r="AE1840" i="2"/>
  <c r="AO1840" i="2"/>
  <c r="AJ1840" i="2"/>
  <c r="AO1594" i="2"/>
  <c r="AJ1594" i="2"/>
  <c r="AE1594" i="2"/>
  <c r="AO1586" i="2"/>
  <c r="AJ1586" i="2"/>
  <c r="AE1586" i="2"/>
  <c r="AO1664" i="2"/>
  <c r="AJ1664" i="2"/>
  <c r="AE1664" i="2"/>
  <c r="AO1334" i="2"/>
  <c r="AJ1334" i="2"/>
  <c r="AE1334" i="2"/>
  <c r="AO1270" i="2"/>
  <c r="AJ1270" i="2"/>
  <c r="AE1270" i="2"/>
  <c r="AO1206" i="2"/>
  <c r="AJ1206" i="2"/>
  <c r="AE1206" i="2"/>
  <c r="AO885" i="2"/>
  <c r="AE885" i="2"/>
  <c r="AJ885" i="2"/>
  <c r="AO853" i="2"/>
  <c r="AE853" i="2"/>
  <c r="AJ853" i="2"/>
  <c r="AO821" i="2"/>
  <c r="AE821" i="2"/>
  <c r="AJ821" i="2"/>
  <c r="AO789" i="2"/>
  <c r="AE789" i="2"/>
  <c r="AJ789" i="2"/>
  <c r="AO757" i="2"/>
  <c r="AE757" i="2"/>
  <c r="AJ757" i="2"/>
  <c r="AT67" i="2"/>
  <c r="AY67" i="2" s="1"/>
  <c r="BH67" i="2" s="1"/>
  <c r="BA216" i="2"/>
  <c r="AU216" i="2"/>
  <c r="AZ216" i="2" s="1"/>
  <c r="AT2400" i="2"/>
  <c r="AY2400" i="2" s="1"/>
  <c r="BH2400" i="2" s="1"/>
  <c r="AT2108" i="2"/>
  <c r="AY2108" i="2" s="1"/>
  <c r="BH2108" i="2" s="1"/>
  <c r="AE2146" i="2"/>
  <c r="AO2146" i="2"/>
  <c r="AJ2146" i="2"/>
  <c r="AT1952" i="2"/>
  <c r="AY1952" i="2" s="1"/>
  <c r="BH1952" i="2" s="1"/>
  <c r="AT1944" i="2"/>
  <c r="AY1944" i="2" s="1"/>
  <c r="BH1944" i="2" s="1"/>
  <c r="AT1936" i="2"/>
  <c r="AY1936" i="2" s="1"/>
  <c r="BH1936" i="2" s="1"/>
  <c r="AT1928" i="2"/>
  <c r="AY1928" i="2" s="1"/>
  <c r="BH1928" i="2" s="1"/>
  <c r="AT1920" i="2"/>
  <c r="AY1920" i="2" s="1"/>
  <c r="BH1920" i="2" s="1"/>
  <c r="AT1912" i="2"/>
  <c r="AY1912" i="2" s="1"/>
  <c r="BH1912" i="2" s="1"/>
  <c r="AT1904" i="2"/>
  <c r="AY1904" i="2" s="1"/>
  <c r="BH1904" i="2" s="1"/>
  <c r="AT1896" i="2"/>
  <c r="AY1896" i="2" s="1"/>
  <c r="BH1896" i="2" s="1"/>
  <c r="AT1888" i="2"/>
  <c r="AY1888" i="2" s="1"/>
  <c r="BH1888" i="2" s="1"/>
  <c r="AT1880" i="2"/>
  <c r="AY1880" i="2" s="1"/>
  <c r="BH1880" i="2" s="1"/>
  <c r="AT1872" i="2"/>
  <c r="AY1872" i="2" s="1"/>
  <c r="BH1872" i="2" s="1"/>
  <c r="AT1864" i="2"/>
  <c r="AY1864" i="2" s="1"/>
  <c r="BH1864" i="2" s="1"/>
  <c r="AO1389" i="2"/>
  <c r="AJ1389" i="2"/>
  <c r="AE1389" i="2"/>
  <c r="AO1373" i="2"/>
  <c r="AJ1373" i="2"/>
  <c r="AE1373" i="2"/>
  <c r="AO2386" i="2"/>
  <c r="AJ2386" i="2"/>
  <c r="AE2386" i="2"/>
  <c r="AO2378" i="2"/>
  <c r="AJ2378" i="2"/>
  <c r="AE2378" i="2"/>
  <c r="AO2370" i="2"/>
  <c r="AJ2370" i="2"/>
  <c r="AE2370" i="2"/>
  <c r="AO2362" i="2"/>
  <c r="AJ2362" i="2"/>
  <c r="AE2362" i="2"/>
  <c r="AO2354" i="2"/>
  <c r="AJ2354" i="2"/>
  <c r="AE2354" i="2"/>
  <c r="AO2346" i="2"/>
  <c r="AJ2346" i="2"/>
  <c r="AE2346" i="2"/>
  <c r="AO2338" i="2"/>
  <c r="AJ2338" i="2"/>
  <c r="AE2338" i="2"/>
  <c r="AO2330" i="2"/>
  <c r="AJ2330" i="2"/>
  <c r="AE2330" i="2"/>
  <c r="AO2322" i="2"/>
  <c r="AJ2322" i="2"/>
  <c r="AE2322" i="2"/>
  <c r="AT1987" i="2"/>
  <c r="AY1987" i="2" s="1"/>
  <c r="BH1987" i="2" s="1"/>
  <c r="AT1485" i="2"/>
  <c r="AY1485" i="2" s="1"/>
  <c r="BH1485" i="2" s="1"/>
  <c r="AT1371" i="2"/>
  <c r="AY1371" i="2" s="1"/>
  <c r="BH1371" i="2" s="1"/>
  <c r="AT1365" i="2"/>
  <c r="AY1365" i="2" s="1"/>
  <c r="BH1365" i="2" s="1"/>
  <c r="AT294" i="2"/>
  <c r="AY294" i="2" s="1"/>
  <c r="BH294" i="2" s="1"/>
  <c r="AT416" i="2"/>
  <c r="AY416" i="2" s="1"/>
  <c r="BH416" i="2" s="1"/>
  <c r="AT2180" i="2"/>
  <c r="AY2180" i="2" s="1"/>
  <c r="BH2180" i="2" s="1"/>
  <c r="AT2019" i="2"/>
  <c r="AY2019" i="2" s="1"/>
  <c r="BH2019" i="2" s="1"/>
  <c r="AJ1565" i="2"/>
  <c r="AO1565" i="2"/>
  <c r="AE1565" i="2"/>
  <c r="BA188" i="2"/>
  <c r="AU188" i="2"/>
  <c r="AZ188" i="2" s="1"/>
  <c r="BA124" i="2"/>
  <c r="AU124" i="2"/>
  <c r="AZ124" i="2" s="1"/>
  <c r="AJ2080" i="2"/>
  <c r="AE2080" i="2"/>
  <c r="AO2080" i="2"/>
  <c r="AO869" i="2"/>
  <c r="AE869" i="2"/>
  <c r="AJ869" i="2"/>
  <c r="AO837" i="2"/>
  <c r="AE837" i="2"/>
  <c r="AJ837" i="2"/>
  <c r="AO805" i="2"/>
  <c r="AE805" i="2"/>
  <c r="AJ805" i="2"/>
  <c r="AO773" i="2"/>
  <c r="AE773" i="2"/>
  <c r="AJ773" i="2"/>
  <c r="AO741" i="2"/>
  <c r="AE741" i="2"/>
  <c r="AJ741" i="2"/>
  <c r="AT705" i="2"/>
  <c r="AY705" i="2" s="1"/>
  <c r="BH705" i="2" s="1"/>
  <c r="AT689" i="2"/>
  <c r="AY689" i="2" s="1"/>
  <c r="BH689" i="2" s="1"/>
  <c r="AT673" i="2"/>
  <c r="AY673" i="2" s="1"/>
  <c r="BH673" i="2" s="1"/>
  <c r="AT657" i="2"/>
  <c r="AY657" i="2" s="1"/>
  <c r="BH657" i="2" s="1"/>
  <c r="AT641" i="2"/>
  <c r="AY641" i="2" s="1"/>
  <c r="BH641" i="2" s="1"/>
  <c r="AT625" i="2"/>
  <c r="AY625" i="2" s="1"/>
  <c r="BH625" i="2" s="1"/>
  <c r="AT427" i="2"/>
  <c r="AY427" i="2" s="1"/>
  <c r="BH427" i="2" s="1"/>
  <c r="AT878" i="2"/>
  <c r="AY878" i="2" s="1"/>
  <c r="BH878" i="2" s="1"/>
  <c r="AT862" i="2"/>
  <c r="AY862" i="2" s="1"/>
  <c r="BH862" i="2" s="1"/>
  <c r="AT846" i="2"/>
  <c r="AY846" i="2" s="1"/>
  <c r="BH846" i="2" s="1"/>
  <c r="AT830" i="2"/>
  <c r="AY830" i="2" s="1"/>
  <c r="BH830" i="2" s="1"/>
  <c r="AT814" i="2"/>
  <c r="AY814" i="2" s="1"/>
  <c r="BH814" i="2" s="1"/>
  <c r="AT798" i="2"/>
  <c r="AY798" i="2" s="1"/>
  <c r="BH798" i="2" s="1"/>
  <c r="AT782" i="2"/>
  <c r="AY782" i="2" s="1"/>
  <c r="BH782" i="2" s="1"/>
  <c r="AT766" i="2"/>
  <c r="AY766" i="2" s="1"/>
  <c r="BH766" i="2" s="1"/>
  <c r="AT750" i="2"/>
  <c r="AY750" i="2" s="1"/>
  <c r="BH750" i="2" s="1"/>
  <c r="AT734" i="2"/>
  <c r="AY734" i="2" s="1"/>
  <c r="BH734" i="2" s="1"/>
  <c r="AT726" i="2"/>
  <c r="AY726" i="2" s="1"/>
  <c r="BH726" i="2" s="1"/>
  <c r="AE2040" i="2"/>
  <c r="AJ2040" i="2"/>
  <c r="AO2040" i="2"/>
  <c r="AE2036" i="2"/>
  <c r="AJ2036" i="2"/>
  <c r="AO2036" i="2"/>
  <c r="AE2032" i="2"/>
  <c r="AJ2032" i="2"/>
  <c r="AO2032" i="2"/>
  <c r="AE2028" i="2"/>
  <c r="AJ2028" i="2"/>
  <c r="AO2028" i="2"/>
  <c r="AE2024" i="2"/>
  <c r="AJ2024" i="2"/>
  <c r="AO2024" i="2"/>
  <c r="AT331" i="2"/>
  <c r="AY331" i="2" s="1"/>
  <c r="BH331" i="2" s="1"/>
  <c r="AE2436" i="2"/>
  <c r="AO2436" i="2"/>
  <c r="AJ2436" i="2"/>
  <c r="AJ1459" i="2"/>
  <c r="AO1459" i="2"/>
  <c r="AE1459" i="2"/>
  <c r="AJ91" i="2"/>
  <c r="AO91" i="2"/>
  <c r="AE91" i="2"/>
  <c r="AT2305" i="2"/>
  <c r="AY2305" i="2" s="1"/>
  <c r="BH2305" i="2" s="1"/>
  <c r="AT2281" i="2"/>
  <c r="AY2281" i="2" s="1"/>
  <c r="BH2281" i="2" s="1"/>
  <c r="AT2257" i="2"/>
  <c r="AY2257" i="2" s="1"/>
  <c r="BH2257" i="2" s="1"/>
  <c r="AT2233" i="2"/>
  <c r="AY2233" i="2" s="1"/>
  <c r="BH2233" i="2" s="1"/>
  <c r="AT2209" i="2"/>
  <c r="AY2209" i="2" s="1"/>
  <c r="BH2209" i="2" s="1"/>
  <c r="AT2219" i="2"/>
  <c r="AY2219" i="2" s="1"/>
  <c r="BH2219" i="2" s="1"/>
  <c r="AJ1484" i="2"/>
  <c r="AE1484" i="2"/>
  <c r="AO1484" i="2"/>
  <c r="AT2215" i="2"/>
  <c r="AY2215" i="2" s="1"/>
  <c r="BH2215" i="2" s="1"/>
  <c r="AT390" i="2"/>
  <c r="AY390" i="2" s="1"/>
  <c r="BH390" i="2" s="1"/>
  <c r="AT270" i="2"/>
  <c r="AY270" i="2" s="1"/>
  <c r="BH270" i="2" s="1"/>
  <c r="AJ25" i="2"/>
  <c r="AE25" i="2"/>
  <c r="AO25" i="2"/>
  <c r="AT2438" i="2"/>
  <c r="AY2438" i="2" s="1"/>
  <c r="BH2438" i="2" s="1"/>
  <c r="AJ2098" i="2"/>
  <c r="AE2098" i="2"/>
  <c r="AO2098" i="2"/>
  <c r="AJ2086" i="2"/>
  <c r="AE2086" i="2"/>
  <c r="AO2086" i="2"/>
  <c r="AJ2078" i="2"/>
  <c r="AE2078" i="2"/>
  <c r="AO2078" i="2"/>
  <c r="AJ2066" i="2"/>
  <c r="AE2066" i="2"/>
  <c r="AO2066" i="2"/>
  <c r="AJ2050" i="2"/>
  <c r="AE2050" i="2"/>
  <c r="AO2050" i="2"/>
  <c r="AE2450" i="2"/>
  <c r="AO2450" i="2"/>
  <c r="AJ2450" i="2"/>
  <c r="AT2072" i="2"/>
  <c r="AY2072" i="2" s="1"/>
  <c r="BH2072" i="2" s="1"/>
  <c r="AT1845" i="2"/>
  <c r="AY1845" i="2" s="1"/>
  <c r="BH1845" i="2" s="1"/>
  <c r="AT1841" i="2"/>
  <c r="AY1841" i="2" s="1"/>
  <c r="BH1841" i="2" s="1"/>
  <c r="AT1837" i="2"/>
  <c r="AY1837" i="2" s="1"/>
  <c r="BH1837" i="2" s="1"/>
  <c r="AT1833" i="2"/>
  <c r="AY1833" i="2" s="1"/>
  <c r="BH1833" i="2" s="1"/>
  <c r="AJ1575" i="2"/>
  <c r="AO1575" i="2"/>
  <c r="AE1575" i="2"/>
  <c r="AJ1559" i="2"/>
  <c r="AO1559" i="2"/>
  <c r="AE1559" i="2"/>
  <c r="AT1309" i="2"/>
  <c r="AY1309" i="2" s="1"/>
  <c r="BH1309" i="2" s="1"/>
  <c r="AO214" i="2"/>
  <c r="AJ214" i="2"/>
  <c r="AE214" i="2"/>
  <c r="AT467" i="2"/>
  <c r="AY467" i="2" s="1"/>
  <c r="BH467" i="2" s="1"/>
  <c r="AT275" i="2"/>
  <c r="AY275" i="2" s="1"/>
  <c r="BH275" i="2" s="1"/>
  <c r="AT211" i="2"/>
  <c r="AY211" i="2" s="1"/>
  <c r="BH211" i="2" s="1"/>
  <c r="AE2422" i="2"/>
  <c r="AO2422" i="2"/>
  <c r="AJ2422" i="2"/>
  <c r="AT2194" i="2"/>
  <c r="AY2194" i="2" s="1"/>
  <c r="BH2194" i="2" s="1"/>
  <c r="AE1089" i="2"/>
  <c r="AO1089" i="2"/>
  <c r="AJ1089" i="2"/>
  <c r="AT54" i="2"/>
  <c r="AY54" i="2" s="1"/>
  <c r="BH54" i="2" s="1"/>
  <c r="AT6" i="2"/>
  <c r="AY6" i="2" s="1"/>
  <c r="BH6" i="2" s="1"/>
  <c r="AO1338" i="2"/>
  <c r="AJ1338" i="2"/>
  <c r="AE1338" i="2"/>
  <c r="AO1274" i="2"/>
  <c r="AJ1274" i="2"/>
  <c r="AE1274" i="2"/>
  <c r="AO1210" i="2"/>
  <c r="AJ1210" i="2"/>
  <c r="AE1210" i="2"/>
  <c r="AT534" i="2"/>
  <c r="AY534" i="2" s="1"/>
  <c r="BH534" i="2" s="1"/>
  <c r="AT13" i="2"/>
  <c r="AY13" i="2" s="1"/>
  <c r="BH13" i="2" s="1"/>
  <c r="AT489" i="2"/>
  <c r="AY489" i="2" s="1"/>
  <c r="BH489" i="2" s="1"/>
  <c r="AO440" i="2"/>
  <c r="AJ440" i="2"/>
  <c r="AE440" i="2"/>
  <c r="AE2424" i="2"/>
  <c r="AO2424" i="2"/>
  <c r="AJ2424" i="2"/>
  <c r="AE2192" i="2"/>
  <c r="AO2192" i="2"/>
  <c r="AJ2192" i="2"/>
  <c r="AJ528" i="2"/>
  <c r="AE528" i="2"/>
  <c r="AO528" i="2"/>
  <c r="AT2446" i="2"/>
  <c r="AY2446" i="2" s="1"/>
  <c r="BH2446" i="2" s="1"/>
  <c r="AT2444" i="2"/>
  <c r="AY2444" i="2" s="1"/>
  <c r="BH2444" i="2" s="1"/>
  <c r="AJ2387" i="2"/>
  <c r="AE2387" i="2"/>
  <c r="AO2387" i="2"/>
  <c r="AJ2379" i="2"/>
  <c r="AE2379" i="2"/>
  <c r="AO2379" i="2"/>
  <c r="AJ2371" i="2"/>
  <c r="AE2371" i="2"/>
  <c r="AO2371" i="2"/>
  <c r="AJ2363" i="2"/>
  <c r="AE2363" i="2"/>
  <c r="AO2363" i="2"/>
  <c r="AJ2355" i="2"/>
  <c r="AE2355" i="2"/>
  <c r="AO2355" i="2"/>
  <c r="AJ2347" i="2"/>
  <c r="AE2347" i="2"/>
  <c r="AO2347" i="2"/>
  <c r="AJ2339" i="2"/>
  <c r="AE2339" i="2"/>
  <c r="AO2339" i="2"/>
  <c r="AJ2331" i="2"/>
  <c r="AE2331" i="2"/>
  <c r="AO2331" i="2"/>
  <c r="AJ2323" i="2"/>
  <c r="AE2323" i="2"/>
  <c r="AO2323" i="2"/>
  <c r="AJ2315" i="2"/>
  <c r="AE2315" i="2"/>
  <c r="AO2315" i="2"/>
  <c r="AT2164" i="2"/>
  <c r="AY2164" i="2" s="1"/>
  <c r="BH2164" i="2" s="1"/>
  <c r="AT1335" i="2"/>
  <c r="AY1335" i="2" s="1"/>
  <c r="BH1335" i="2" s="1"/>
  <c r="AT286" i="2"/>
  <c r="AY286" i="2" s="1"/>
  <c r="BH286" i="2" s="1"/>
  <c r="AT464" i="2"/>
  <c r="AY464" i="2" s="1"/>
  <c r="BH464" i="2" s="1"/>
  <c r="AT21" i="2"/>
  <c r="AY21" i="2" s="1"/>
  <c r="BH21" i="2" s="1"/>
  <c r="AT1616" i="2"/>
  <c r="AY1616" i="2" s="1"/>
  <c r="BH1616" i="2" s="1"/>
  <c r="AO1222" i="2"/>
  <c r="AJ1222" i="2"/>
  <c r="AE1222" i="2"/>
  <c r="AT1304" i="2"/>
  <c r="AY1304" i="2" s="1"/>
  <c r="BH1304" i="2" s="1"/>
  <c r="AO527" i="2"/>
  <c r="AJ527" i="2"/>
  <c r="AE527" i="2"/>
  <c r="AT260" i="2"/>
  <c r="AY260" i="2" s="1"/>
  <c r="BH260" i="2" s="1"/>
  <c r="AT1505" i="2"/>
  <c r="AY1505" i="2" s="1"/>
  <c r="BH1505" i="2" s="1"/>
  <c r="AT1491" i="2"/>
  <c r="AY1491" i="2" s="1"/>
  <c r="BH1491" i="2" s="1"/>
  <c r="AO1290" i="2"/>
  <c r="AJ1290" i="2"/>
  <c r="AE1290" i="2"/>
  <c r="AO238" i="2"/>
  <c r="AJ238" i="2"/>
  <c r="AE238" i="2"/>
  <c r="AE2452" i="2"/>
  <c r="AO2452" i="2"/>
  <c r="AJ2452" i="2"/>
  <c r="AE2440" i="2"/>
  <c r="AO2440" i="2"/>
  <c r="AJ2440" i="2"/>
  <c r="AJ1657" i="2"/>
  <c r="AE1657" i="2"/>
  <c r="AO1657" i="2"/>
  <c r="AJ1423" i="2"/>
  <c r="AO1423" i="2"/>
  <c r="AE1423" i="2"/>
  <c r="AJ1407" i="2"/>
  <c r="AO1407" i="2"/>
  <c r="AE1407" i="2"/>
  <c r="AT435" i="2"/>
  <c r="AY435" i="2" s="1"/>
  <c r="BH435" i="2" s="1"/>
  <c r="AT2454" i="2"/>
  <c r="AY2454" i="2" s="1"/>
  <c r="BH2454" i="2" s="1"/>
  <c r="AE2162" i="2"/>
  <c r="AO2162" i="2"/>
  <c r="AJ2162" i="2"/>
  <c r="AJ1856" i="2"/>
  <c r="AE1856" i="2"/>
  <c r="AO1856" i="2"/>
  <c r="AJ1351" i="2"/>
  <c r="AE1351" i="2"/>
  <c r="AO1351" i="2"/>
  <c r="AJ1287" i="2"/>
  <c r="AE1287" i="2"/>
  <c r="AO1287" i="2"/>
  <c r="AJ1223" i="2"/>
  <c r="AE1223" i="2"/>
  <c r="AO1223" i="2"/>
  <c r="AT1107" i="2"/>
  <c r="AY1107" i="2" s="1"/>
  <c r="BH1107" i="2" s="1"/>
  <c r="AO535" i="2"/>
  <c r="AJ535" i="2"/>
  <c r="AE535" i="2"/>
  <c r="AT97" i="2"/>
  <c r="AY97" i="2" s="1"/>
  <c r="BH97" i="2" s="1"/>
  <c r="AO2103" i="2"/>
  <c r="AJ2103" i="2"/>
  <c r="AE2103" i="2"/>
  <c r="AT1539" i="2"/>
  <c r="AY1539" i="2" s="1"/>
  <c r="BH1539" i="2" s="1"/>
  <c r="AO1238" i="2"/>
  <c r="AJ1238" i="2"/>
  <c r="AE1238" i="2"/>
  <c r="AO1320" i="2"/>
  <c r="AJ1320" i="2"/>
  <c r="AE1320" i="2"/>
  <c r="AT414" i="2"/>
  <c r="AY414" i="2" s="1"/>
  <c r="BH414" i="2" s="1"/>
  <c r="AT2089" i="2"/>
  <c r="AY2089" i="2" s="1"/>
  <c r="BH2089" i="2" s="1"/>
  <c r="AT1533" i="2"/>
  <c r="AY1533" i="2" s="1"/>
  <c r="BH1533" i="2" s="1"/>
  <c r="AT1475" i="2"/>
  <c r="AY1475" i="2" s="1"/>
  <c r="BH1475" i="2" s="1"/>
  <c r="AT1417" i="2"/>
  <c r="AY1417" i="2" s="1"/>
  <c r="BH1417" i="2" s="1"/>
  <c r="AT884" i="2"/>
  <c r="AY884" i="2" s="1"/>
  <c r="BH884" i="2" s="1"/>
  <c r="AT820" i="2"/>
  <c r="AY820" i="2" s="1"/>
  <c r="BH820" i="2" s="1"/>
  <c r="AT756" i="2"/>
  <c r="AY756" i="2" s="1"/>
  <c r="BH756" i="2" s="1"/>
  <c r="BA388" i="2"/>
  <c r="AU388" i="2"/>
  <c r="AZ388" i="2" s="1"/>
  <c r="AT2384" i="2"/>
  <c r="AY2384" i="2" s="1"/>
  <c r="BH2384" i="2" s="1"/>
  <c r="AT2376" i="2"/>
  <c r="AY2376" i="2" s="1"/>
  <c r="BH2376" i="2" s="1"/>
  <c r="AT2344" i="2"/>
  <c r="AY2344" i="2" s="1"/>
  <c r="BH2344" i="2" s="1"/>
  <c r="AE2408" i="2"/>
  <c r="AO2408" i="2"/>
  <c r="AJ2408" i="2"/>
  <c r="AT1479" i="2"/>
  <c r="AY1479" i="2" s="1"/>
  <c r="BH1479" i="2" s="1"/>
  <c r="AT2500" i="2"/>
  <c r="AY2500" i="2" s="1"/>
  <c r="BH2500" i="2" s="1"/>
  <c r="AE936" i="2"/>
  <c r="AO936" i="2"/>
  <c r="AJ936" i="2"/>
  <c r="AJ2096" i="2"/>
  <c r="AE2096" i="2"/>
  <c r="AO2096" i="2"/>
  <c r="AO1801" i="2"/>
  <c r="AJ1801" i="2"/>
  <c r="AE1801" i="2"/>
  <c r="AO1785" i="2"/>
  <c r="AJ1785" i="2"/>
  <c r="AE1785" i="2"/>
  <c r="AO1769" i="2"/>
  <c r="AJ1769" i="2"/>
  <c r="AE1769" i="2"/>
  <c r="AT302" i="2"/>
  <c r="AY302" i="2" s="1"/>
  <c r="BH302" i="2" s="1"/>
  <c r="AU1775" i="2" l="1"/>
  <c r="AZ1775" i="2" s="1"/>
  <c r="AZ364" i="2"/>
  <c r="BA330" i="2"/>
  <c r="AU330" i="2"/>
  <c r="AZ330" i="2" s="1"/>
  <c r="BA394" i="2"/>
  <c r="AU394" i="2"/>
  <c r="AZ394" i="2" s="1"/>
  <c r="AU370" i="2"/>
  <c r="AZ370" i="2" s="1"/>
  <c r="BA370" i="2"/>
  <c r="BA402" i="2"/>
  <c r="BB402" i="2" s="1"/>
  <c r="BC402" i="2" s="1"/>
  <c r="AU402" i="2"/>
  <c r="AZ402" i="2" s="1"/>
  <c r="BA338" i="2"/>
  <c r="BB338" i="2" s="1"/>
  <c r="BC338" i="2" s="1"/>
  <c r="AU338" i="2"/>
  <c r="AZ338" i="2" s="1"/>
  <c r="BA354" i="2"/>
  <c r="BB354" i="2" s="1"/>
  <c r="BC354" i="2" s="1"/>
  <c r="AU354" i="2"/>
  <c r="AZ354" i="2" s="1"/>
  <c r="AU346" i="2"/>
  <c r="AZ346" i="2" s="1"/>
  <c r="BA346" i="2"/>
  <c r="BB346" i="2" s="1"/>
  <c r="BC346" i="2" s="1"/>
  <c r="AU386" i="2"/>
  <c r="AZ386" i="2" s="1"/>
  <c r="BA386" i="2"/>
  <c r="AU362" i="2"/>
  <c r="AZ362" i="2" s="1"/>
  <c r="BA362" i="2"/>
  <c r="BB362" i="2" s="1"/>
  <c r="BC362" i="2" s="1"/>
  <c r="AU378" i="2"/>
  <c r="AZ378" i="2" s="1"/>
  <c r="BA378" i="2"/>
  <c r="BB378" i="2" s="1"/>
  <c r="BC378" i="2" s="1"/>
  <c r="AU2096" i="2"/>
  <c r="AZ2096" i="2" s="1"/>
  <c r="BA2096" i="2"/>
  <c r="BB388" i="2"/>
  <c r="BC388" i="2" s="1"/>
  <c r="BI388" i="2" s="1"/>
  <c r="AU1223" i="2"/>
  <c r="AZ1223" i="2" s="1"/>
  <c r="BA1223" i="2"/>
  <c r="AU1089" i="2"/>
  <c r="AZ1089" i="2" s="1"/>
  <c r="BA1089" i="2"/>
  <c r="AU2066" i="2"/>
  <c r="AZ2066" i="2" s="1"/>
  <c r="BA2066" i="2"/>
  <c r="BA805" i="2"/>
  <c r="AU805" i="2"/>
  <c r="AZ805" i="2" s="1"/>
  <c r="BA2354" i="2"/>
  <c r="AU2354" i="2"/>
  <c r="AZ2354" i="2" s="1"/>
  <c r="BB460" i="2"/>
  <c r="BC460" i="2" s="1"/>
  <c r="BI460" i="2" s="1"/>
  <c r="AU888" i="2"/>
  <c r="AZ888" i="2" s="1"/>
  <c r="BA888" i="2"/>
  <c r="AU928" i="2"/>
  <c r="AZ928" i="2" s="1"/>
  <c r="BA928" i="2"/>
  <c r="BA2027" i="2"/>
  <c r="AU2027" i="2"/>
  <c r="AZ2027" i="2" s="1"/>
  <c r="BA2035" i="2"/>
  <c r="AU2035" i="2"/>
  <c r="AZ2035" i="2" s="1"/>
  <c r="AU230" i="2"/>
  <c r="AZ230" i="2" s="1"/>
  <c r="BA230" i="2"/>
  <c r="BA1298" i="2"/>
  <c r="AU1298" i="2"/>
  <c r="AZ1298" i="2" s="1"/>
  <c r="BA2390" i="2"/>
  <c r="AU2390" i="2"/>
  <c r="AZ2390" i="2" s="1"/>
  <c r="AU2489" i="2"/>
  <c r="AZ2489" i="2" s="1"/>
  <c r="BA2489" i="2"/>
  <c r="AU2068" i="2"/>
  <c r="AZ2068" i="2" s="1"/>
  <c r="BA2068" i="2"/>
  <c r="AU142" i="2"/>
  <c r="AZ142" i="2" s="1"/>
  <c r="BA142" i="2"/>
  <c r="BA2443" i="2"/>
  <c r="AU2443" i="2"/>
  <c r="AZ2443" i="2" s="1"/>
  <c r="AU2295" i="2"/>
  <c r="AZ2295" i="2" s="1"/>
  <c r="BA2295" i="2"/>
  <c r="BA680" i="2"/>
  <c r="AU680" i="2"/>
  <c r="AZ680" i="2" s="1"/>
  <c r="BA2197" i="2"/>
  <c r="AU2197" i="2"/>
  <c r="AZ2197" i="2" s="1"/>
  <c r="AU920" i="2"/>
  <c r="AZ920" i="2" s="1"/>
  <c r="BA920" i="2"/>
  <c r="AU1677" i="2"/>
  <c r="AZ1677" i="2" s="1"/>
  <c r="BA1677" i="2"/>
  <c r="AU1741" i="2"/>
  <c r="AZ1741" i="2" s="1"/>
  <c r="BA1741" i="2"/>
  <c r="AU1482" i="2"/>
  <c r="AZ1482" i="2" s="1"/>
  <c r="BA1482" i="2"/>
  <c r="AU1514" i="2"/>
  <c r="AZ1514" i="2" s="1"/>
  <c r="BA1514" i="2"/>
  <c r="AU683" i="2"/>
  <c r="AZ683" i="2" s="1"/>
  <c r="BA683" i="2"/>
  <c r="AU1970" i="2"/>
  <c r="AZ1970" i="2" s="1"/>
  <c r="BA1970" i="2"/>
  <c r="AU988" i="2"/>
  <c r="AZ988" i="2" s="1"/>
  <c r="BA988" i="2"/>
  <c r="AU1004" i="2"/>
  <c r="AZ1004" i="2" s="1"/>
  <c r="BA1004" i="2"/>
  <c r="AU1036" i="2"/>
  <c r="AZ1036" i="2" s="1"/>
  <c r="BA1036" i="2"/>
  <c r="BA1543" i="2"/>
  <c r="AU1543" i="2"/>
  <c r="AZ1543" i="2" s="1"/>
  <c r="AU2470" i="2"/>
  <c r="AZ2470" i="2" s="1"/>
  <c r="BA2470" i="2"/>
  <c r="AU83" i="2"/>
  <c r="AZ83" i="2" s="1"/>
  <c r="BA83" i="2"/>
  <c r="BA849" i="2"/>
  <c r="AU849" i="2"/>
  <c r="AZ849" i="2" s="1"/>
  <c r="BA1567" i="2"/>
  <c r="AU1567" i="2"/>
  <c r="AZ1567" i="2" s="1"/>
  <c r="BA1859" i="2"/>
  <c r="AU1859" i="2"/>
  <c r="AZ1859" i="2" s="1"/>
  <c r="BA737" i="2"/>
  <c r="AU737" i="2"/>
  <c r="AZ737" i="2" s="1"/>
  <c r="BA865" i="2"/>
  <c r="AU865" i="2"/>
  <c r="AZ865" i="2" s="1"/>
  <c r="H20" i="4"/>
  <c r="BB20" i="2"/>
  <c r="BC20" i="2" s="1"/>
  <c r="BI20" i="2" s="1"/>
  <c r="BA2360" i="2"/>
  <c r="AU2360" i="2"/>
  <c r="AZ2360" i="2" s="1"/>
  <c r="BA2065" i="2"/>
  <c r="AU2065" i="2"/>
  <c r="AZ2065" i="2" s="1"/>
  <c r="BA1260" i="2"/>
  <c r="AU1260" i="2"/>
  <c r="AZ1260" i="2" s="1"/>
  <c r="BA353" i="2"/>
  <c r="AU353" i="2"/>
  <c r="AZ353" i="2" s="1"/>
  <c r="BA385" i="2"/>
  <c r="AU385" i="2"/>
  <c r="AZ385" i="2" s="1"/>
  <c r="BA1907" i="2"/>
  <c r="AU1907" i="2"/>
  <c r="AZ1907" i="2" s="1"/>
  <c r="BA1939" i="2"/>
  <c r="AU1939" i="2"/>
  <c r="AZ1939" i="2" s="1"/>
  <c r="AU2214" i="2"/>
  <c r="AZ2214" i="2" s="1"/>
  <c r="BA2214" i="2"/>
  <c r="BA1385" i="2"/>
  <c r="AU1385" i="2"/>
  <c r="AZ1385" i="2" s="1"/>
  <c r="AU151" i="2"/>
  <c r="AZ151" i="2" s="1"/>
  <c r="BA151" i="2"/>
  <c r="BA155" i="2"/>
  <c r="AU155" i="2"/>
  <c r="AZ155" i="2" s="1"/>
  <c r="AU147" i="2"/>
  <c r="AZ147" i="2" s="1"/>
  <c r="BA147" i="2"/>
  <c r="BA252" i="2"/>
  <c r="AU252" i="2"/>
  <c r="AZ252" i="2" s="1"/>
  <c r="AU1195" i="2"/>
  <c r="AZ1195" i="2" s="1"/>
  <c r="BA1195" i="2"/>
  <c r="AU1593" i="2"/>
  <c r="AZ1593" i="2" s="1"/>
  <c r="BA1593" i="2"/>
  <c r="BA1849" i="2"/>
  <c r="AU1849" i="2"/>
  <c r="AZ1849" i="2" s="1"/>
  <c r="AU1641" i="2"/>
  <c r="AZ1641" i="2" s="1"/>
  <c r="BA1641" i="2"/>
  <c r="AU1285" i="2"/>
  <c r="AZ1285" i="2" s="1"/>
  <c r="BA1285" i="2"/>
  <c r="BA1358" i="2"/>
  <c r="AU1358" i="2"/>
  <c r="AZ1358" i="2" s="1"/>
  <c r="BA307" i="2"/>
  <c r="AU307" i="2"/>
  <c r="AZ307" i="2" s="1"/>
  <c r="BA1457" i="2"/>
  <c r="AU1457" i="2"/>
  <c r="AZ1457" i="2" s="1"/>
  <c r="AU500" i="2"/>
  <c r="AZ500" i="2" s="1"/>
  <c r="BA500" i="2"/>
  <c r="BA1941" i="2"/>
  <c r="AU1941" i="2"/>
  <c r="AZ1941" i="2" s="1"/>
  <c r="AU2351" i="2"/>
  <c r="AZ2351" i="2" s="1"/>
  <c r="BA2351" i="2"/>
  <c r="AU526" i="2"/>
  <c r="AZ526" i="2" s="1"/>
  <c r="BA526" i="2"/>
  <c r="AU2495" i="2"/>
  <c r="AZ2495" i="2" s="1"/>
  <c r="BA2495" i="2"/>
  <c r="BA855" i="2"/>
  <c r="AU855" i="2"/>
  <c r="AZ855" i="2" s="1"/>
  <c r="AU2217" i="2"/>
  <c r="AZ2217" i="2" s="1"/>
  <c r="BA2217" i="2"/>
  <c r="BA197" i="2"/>
  <c r="AU197" i="2"/>
  <c r="AZ197" i="2" s="1"/>
  <c r="BA2083" i="2"/>
  <c r="AU2083" i="2"/>
  <c r="AZ2083" i="2" s="1"/>
  <c r="BA1535" i="2"/>
  <c r="AU1535" i="2"/>
  <c r="AZ1535" i="2" s="1"/>
  <c r="BA835" i="2"/>
  <c r="AU835" i="2"/>
  <c r="AZ835" i="2" s="1"/>
  <c r="BB288" i="2"/>
  <c r="BC288" i="2" s="1"/>
  <c r="BI288" i="2" s="1"/>
  <c r="AU1848" i="2"/>
  <c r="AZ1848" i="2" s="1"/>
  <c r="BA1848" i="2"/>
  <c r="AU278" i="2"/>
  <c r="AZ278" i="2" s="1"/>
  <c r="BA278" i="2"/>
  <c r="AU374" i="2"/>
  <c r="AZ374" i="2" s="1"/>
  <c r="BA374" i="2"/>
  <c r="BA409" i="2"/>
  <c r="AU409" i="2"/>
  <c r="AZ409" i="2" s="1"/>
  <c r="AU1625" i="2"/>
  <c r="AZ1625" i="2" s="1"/>
  <c r="BA1625" i="2"/>
  <c r="AU1464" i="2"/>
  <c r="AZ1464" i="2" s="1"/>
  <c r="BA1464" i="2"/>
  <c r="AU162" i="2"/>
  <c r="AZ162" i="2" s="1"/>
  <c r="BA162" i="2"/>
  <c r="BA1981" i="2"/>
  <c r="AU1981" i="2"/>
  <c r="AZ1981" i="2" s="1"/>
  <c r="BA175" i="2"/>
  <c r="AU175" i="2"/>
  <c r="AZ175" i="2" s="1"/>
  <c r="AU1311" i="2"/>
  <c r="AZ1311" i="2" s="1"/>
  <c r="BA1311" i="2"/>
  <c r="AU1870" i="2"/>
  <c r="AZ1870" i="2" s="1"/>
  <c r="BA1870" i="2"/>
  <c r="AU1918" i="2"/>
  <c r="AZ1918" i="2" s="1"/>
  <c r="BA1918" i="2"/>
  <c r="AU2084" i="2"/>
  <c r="AZ2084" i="2" s="1"/>
  <c r="BA2084" i="2"/>
  <c r="AU178" i="2"/>
  <c r="AZ178" i="2" s="1"/>
  <c r="BA178" i="2"/>
  <c r="BA1676" i="2"/>
  <c r="AU1676" i="2"/>
  <c r="AZ1676" i="2" s="1"/>
  <c r="BA1692" i="2"/>
  <c r="AU1692" i="2"/>
  <c r="AZ1692" i="2" s="1"/>
  <c r="BA2159" i="2"/>
  <c r="AU2159" i="2"/>
  <c r="AZ2159" i="2" s="1"/>
  <c r="AU2194" i="2"/>
  <c r="AZ2194" i="2" s="1"/>
  <c r="BA2194" i="2"/>
  <c r="BA331" i="2"/>
  <c r="AU331" i="2"/>
  <c r="AZ331" i="2" s="1"/>
  <c r="AU1365" i="2"/>
  <c r="AZ1365" i="2" s="1"/>
  <c r="BA1365" i="2"/>
  <c r="BA1646" i="2"/>
  <c r="AU1646" i="2"/>
  <c r="AZ1646" i="2" s="1"/>
  <c r="AU1181" i="2"/>
  <c r="AZ1181" i="2" s="1"/>
  <c r="BA1181" i="2"/>
  <c r="BA959" i="2"/>
  <c r="AU959" i="2"/>
  <c r="AZ959" i="2" s="1"/>
  <c r="BA967" i="2"/>
  <c r="AU967" i="2"/>
  <c r="AZ967" i="2" s="1"/>
  <c r="BA975" i="2"/>
  <c r="AU975" i="2"/>
  <c r="AZ975" i="2" s="1"/>
  <c r="BA983" i="2"/>
  <c r="AU983" i="2"/>
  <c r="AZ983" i="2" s="1"/>
  <c r="BA2116" i="2"/>
  <c r="AU2116" i="2"/>
  <c r="AZ2116" i="2" s="1"/>
  <c r="AU1746" i="2"/>
  <c r="AZ1746" i="2" s="1"/>
  <c r="BA1746" i="2"/>
  <c r="AU2475" i="2"/>
  <c r="AZ2475" i="2" s="1"/>
  <c r="BA2475" i="2"/>
  <c r="BA241" i="2"/>
  <c r="AU241" i="2"/>
  <c r="AZ241" i="2" s="1"/>
  <c r="BA29" i="2"/>
  <c r="AU29" i="2"/>
  <c r="AZ29" i="2" s="1"/>
  <c r="AU970" i="2"/>
  <c r="AZ970" i="2" s="1"/>
  <c r="BA970" i="2"/>
  <c r="BA1871" i="2"/>
  <c r="AU1871" i="2"/>
  <c r="AZ1871" i="2" s="1"/>
  <c r="BA1903" i="2"/>
  <c r="AU1903" i="2"/>
  <c r="AZ1903" i="2" s="1"/>
  <c r="AU2466" i="2"/>
  <c r="AZ2466" i="2" s="1"/>
  <c r="BA2466" i="2"/>
  <c r="AU890" i="2"/>
  <c r="AZ890" i="2" s="1"/>
  <c r="BA890" i="2"/>
  <c r="BA1469" i="2"/>
  <c r="AU1469" i="2"/>
  <c r="AZ1469" i="2" s="1"/>
  <c r="AU1717" i="2"/>
  <c r="AZ1717" i="2" s="1"/>
  <c r="BA1717" i="2"/>
  <c r="AU263" i="2"/>
  <c r="AZ263" i="2" s="1"/>
  <c r="BA263" i="2"/>
  <c r="AU2176" i="2"/>
  <c r="AZ2176" i="2" s="1"/>
  <c r="BA2176" i="2"/>
  <c r="BA879" i="2"/>
  <c r="AU879" i="2"/>
  <c r="AZ879" i="2" s="1"/>
  <c r="AU1281" i="2"/>
  <c r="AZ1281" i="2" s="1"/>
  <c r="BA1281" i="2"/>
  <c r="AU1367" i="2"/>
  <c r="AZ1367" i="2" s="1"/>
  <c r="BA1367" i="2"/>
  <c r="AU1884" i="2"/>
  <c r="AZ1884" i="2" s="1"/>
  <c r="BA1884" i="2"/>
  <c r="AU1916" i="2"/>
  <c r="AZ1916" i="2" s="1"/>
  <c r="BA1916" i="2"/>
  <c r="AU1948" i="2"/>
  <c r="AZ1948" i="2" s="1"/>
  <c r="BA1948" i="2"/>
  <c r="BA2057" i="2"/>
  <c r="AU2057" i="2"/>
  <c r="AZ2057" i="2" s="1"/>
  <c r="BA521" i="2"/>
  <c r="AU521" i="2"/>
  <c r="AZ521" i="2" s="1"/>
  <c r="AU2404" i="2"/>
  <c r="AZ2404" i="2" s="1"/>
  <c r="BA2404" i="2"/>
  <c r="BA392" i="2"/>
  <c r="AU392" i="2"/>
  <c r="AZ392" i="2" s="1"/>
  <c r="AU663" i="2"/>
  <c r="AZ663" i="2" s="1"/>
  <c r="BA663" i="2"/>
  <c r="BA1300" i="2"/>
  <c r="AU1300" i="2"/>
  <c r="AZ1300" i="2" s="1"/>
  <c r="AU2398" i="2"/>
  <c r="AZ2398" i="2" s="1"/>
  <c r="BA2398" i="2"/>
  <c r="AU246" i="2"/>
  <c r="AZ246" i="2" s="1"/>
  <c r="BA246" i="2"/>
  <c r="BA243" i="2"/>
  <c r="AU243" i="2"/>
  <c r="AZ243" i="2" s="1"/>
  <c r="BA1076" i="2"/>
  <c r="AU1076" i="2"/>
  <c r="AZ1076" i="2" s="1"/>
  <c r="BA1108" i="2"/>
  <c r="AU1108" i="2"/>
  <c r="AZ1108" i="2" s="1"/>
  <c r="BA1140" i="2"/>
  <c r="AU1140" i="2"/>
  <c r="AZ1140" i="2" s="1"/>
  <c r="BB332" i="2"/>
  <c r="BC332" i="2" s="1"/>
  <c r="BI332" i="2" s="1"/>
  <c r="AU1243" i="2"/>
  <c r="AZ1243" i="2" s="1"/>
  <c r="BA1243" i="2"/>
  <c r="BA57" i="2"/>
  <c r="AU57" i="2"/>
  <c r="AZ57" i="2" s="1"/>
  <c r="AU1858" i="2"/>
  <c r="AZ1858" i="2" s="1"/>
  <c r="BA1858" i="2"/>
  <c r="BA290" i="2"/>
  <c r="AU290" i="2"/>
  <c r="AZ290" i="2" s="1"/>
  <c r="BA2147" i="2"/>
  <c r="AU2147" i="2"/>
  <c r="AZ2147" i="2" s="1"/>
  <c r="BA42" i="2"/>
  <c r="AU42" i="2"/>
  <c r="AZ42" i="2" s="1"/>
  <c r="AU170" i="2"/>
  <c r="AZ170" i="2" s="1"/>
  <c r="BA170" i="2"/>
  <c r="AU134" i="2"/>
  <c r="AZ134" i="2" s="1"/>
  <c r="BA134" i="2"/>
  <c r="BA2195" i="2"/>
  <c r="AU2195" i="2"/>
  <c r="AZ2195" i="2" s="1"/>
  <c r="AU2478" i="2"/>
  <c r="AZ2478" i="2" s="1"/>
  <c r="BA2478" i="2"/>
  <c r="BA99" i="2"/>
  <c r="AU99" i="2"/>
  <c r="AZ99" i="2" s="1"/>
  <c r="BA32" i="2"/>
  <c r="AU32" i="2"/>
  <c r="AZ32" i="2" s="1"/>
  <c r="BA145" i="2"/>
  <c r="AU145" i="2"/>
  <c r="AZ145" i="2" s="1"/>
  <c r="BA429" i="2"/>
  <c r="AU429" i="2"/>
  <c r="AZ429" i="2" s="1"/>
  <c r="BA2421" i="2"/>
  <c r="AU2421" i="2"/>
  <c r="AZ2421" i="2" s="1"/>
  <c r="AU486" i="2"/>
  <c r="AZ486" i="2" s="1"/>
  <c r="BA486" i="2"/>
  <c r="BA96" i="2"/>
  <c r="AU96" i="2"/>
  <c r="AZ96" i="2" s="1"/>
  <c r="BA1789" i="2"/>
  <c r="AU1789" i="2"/>
  <c r="AZ1789" i="2" s="1"/>
  <c r="BA1312" i="2"/>
  <c r="AU1312" i="2"/>
  <c r="AZ1312" i="2" s="1"/>
  <c r="AU1187" i="2"/>
  <c r="AZ1187" i="2" s="1"/>
  <c r="BA1187" i="2"/>
  <c r="AU2074" i="2"/>
  <c r="AZ2074" i="2" s="1"/>
  <c r="BA2074" i="2"/>
  <c r="BA1419" i="2"/>
  <c r="AU1419" i="2"/>
  <c r="AZ1419" i="2" s="1"/>
  <c r="AU1257" i="2"/>
  <c r="AZ1257" i="2" s="1"/>
  <c r="BA1257" i="2"/>
  <c r="AU1617" i="2"/>
  <c r="AZ1617" i="2" s="1"/>
  <c r="BA1617" i="2"/>
  <c r="BA1793" i="2"/>
  <c r="AU1793" i="2"/>
  <c r="AZ1793" i="2" s="1"/>
  <c r="AU494" i="2"/>
  <c r="AZ494" i="2" s="1"/>
  <c r="BA494" i="2"/>
  <c r="AU2182" i="2"/>
  <c r="AZ2182" i="2" s="1"/>
  <c r="BA2182" i="2"/>
  <c r="BA1152" i="2"/>
  <c r="AU1152" i="2"/>
  <c r="AZ1152" i="2" s="1"/>
  <c r="AU1615" i="2"/>
  <c r="AZ1615" i="2" s="1"/>
  <c r="BA1615" i="2"/>
  <c r="BA153" i="2"/>
  <c r="AU153" i="2"/>
  <c r="AZ153" i="2" s="1"/>
  <c r="BB929" i="2"/>
  <c r="BC929" i="2" s="1"/>
  <c r="BI929" i="2" s="1"/>
  <c r="BA2069" i="2"/>
  <c r="AU2069" i="2"/>
  <c r="AZ2069" i="2" s="1"/>
  <c r="AU844" i="2"/>
  <c r="AZ844" i="2" s="1"/>
  <c r="BA844" i="2"/>
  <c r="AU1790" i="2"/>
  <c r="AZ1790" i="2" s="1"/>
  <c r="BA1790" i="2"/>
  <c r="BA1937" i="2"/>
  <c r="AU1937" i="2"/>
  <c r="AZ1937" i="2" s="1"/>
  <c r="AU1713" i="2"/>
  <c r="AZ1713" i="2" s="1"/>
  <c r="BA1713" i="2"/>
  <c r="AU1363" i="2"/>
  <c r="AZ1363" i="2" s="1"/>
  <c r="BA1363" i="2"/>
  <c r="AU717" i="2"/>
  <c r="AZ717" i="2" s="1"/>
  <c r="BA717" i="2"/>
  <c r="AU725" i="2"/>
  <c r="AZ725" i="2" s="1"/>
  <c r="BA725" i="2"/>
  <c r="BA316" i="2"/>
  <c r="AU316" i="2"/>
  <c r="AZ316" i="2" s="1"/>
  <c r="BA245" i="2"/>
  <c r="AU245" i="2"/>
  <c r="AZ245" i="2" s="1"/>
  <c r="AU1067" i="2"/>
  <c r="AZ1067" i="2" s="1"/>
  <c r="BA1067" i="2"/>
  <c r="AU629" i="2"/>
  <c r="AZ629" i="2" s="1"/>
  <c r="BA629" i="2"/>
  <c r="AU693" i="2"/>
  <c r="AZ693" i="2" s="1"/>
  <c r="BA693" i="2"/>
  <c r="AU711" i="2"/>
  <c r="AZ711" i="2" s="1"/>
  <c r="BA711" i="2"/>
  <c r="AU756" i="2"/>
  <c r="AZ756" i="2" s="1"/>
  <c r="BA756" i="2"/>
  <c r="AU97" i="2"/>
  <c r="AZ97" i="2" s="1"/>
  <c r="BA97" i="2"/>
  <c r="AU701" i="2"/>
  <c r="AZ701" i="2" s="1"/>
  <c r="BA701" i="2"/>
  <c r="BA1491" i="2"/>
  <c r="AU1491" i="2"/>
  <c r="AZ1491" i="2" s="1"/>
  <c r="AU1968" i="2"/>
  <c r="AZ1968" i="2" s="1"/>
  <c r="BA1968" i="2"/>
  <c r="AU1984" i="2"/>
  <c r="AZ1984" i="2" s="1"/>
  <c r="BA1984" i="2"/>
  <c r="AU2000" i="2"/>
  <c r="AZ2000" i="2" s="1"/>
  <c r="BA2000" i="2"/>
  <c r="AU2016" i="2"/>
  <c r="AZ2016" i="2" s="1"/>
  <c r="BA2016" i="2"/>
  <c r="AU2156" i="2"/>
  <c r="AZ2156" i="2" s="1"/>
  <c r="BA2156" i="2"/>
  <c r="BA1204" i="2"/>
  <c r="AU1204" i="2"/>
  <c r="AZ1204" i="2" s="1"/>
  <c r="AU2117" i="2"/>
  <c r="AZ2117" i="2" s="1"/>
  <c r="BA2117" i="2"/>
  <c r="AU2125" i="2"/>
  <c r="AZ2125" i="2" s="1"/>
  <c r="BA2125" i="2"/>
  <c r="AU2133" i="2"/>
  <c r="AZ2133" i="2" s="1"/>
  <c r="BA2133" i="2"/>
  <c r="AU2141" i="2"/>
  <c r="AZ2141" i="2" s="1"/>
  <c r="BA2141" i="2"/>
  <c r="AU54" i="2"/>
  <c r="AZ54" i="2" s="1"/>
  <c r="BA54" i="2"/>
  <c r="AU563" i="2"/>
  <c r="AZ563" i="2" s="1"/>
  <c r="BA563" i="2"/>
  <c r="AU571" i="2"/>
  <c r="AZ571" i="2" s="1"/>
  <c r="BA571" i="2"/>
  <c r="AU579" i="2"/>
  <c r="AZ579" i="2" s="1"/>
  <c r="BA579" i="2"/>
  <c r="AU587" i="2"/>
  <c r="AZ587" i="2" s="1"/>
  <c r="BA587" i="2"/>
  <c r="AU595" i="2"/>
  <c r="AZ595" i="2" s="1"/>
  <c r="BA595" i="2"/>
  <c r="AU603" i="2"/>
  <c r="AZ603" i="2" s="1"/>
  <c r="BA603" i="2"/>
  <c r="AU611" i="2"/>
  <c r="AZ611" i="2" s="1"/>
  <c r="BA611" i="2"/>
  <c r="AU1071" i="2"/>
  <c r="AZ1071" i="2" s="1"/>
  <c r="BA1071" i="2"/>
  <c r="BA84" i="2"/>
  <c r="AU84" i="2"/>
  <c r="AZ84" i="2" s="1"/>
  <c r="BA1170" i="2"/>
  <c r="AU1170" i="2"/>
  <c r="AZ1170" i="2" s="1"/>
  <c r="AU2281" i="2"/>
  <c r="AZ2281" i="2" s="1"/>
  <c r="BA2281" i="2"/>
  <c r="AU631" i="2"/>
  <c r="AZ631" i="2" s="1"/>
  <c r="BA631" i="2"/>
  <c r="AU1784" i="2"/>
  <c r="AZ1784" i="2" s="1"/>
  <c r="BA1784" i="2"/>
  <c r="AU734" i="2"/>
  <c r="AZ734" i="2" s="1"/>
  <c r="BA734" i="2"/>
  <c r="AU798" i="2"/>
  <c r="AZ798" i="2" s="1"/>
  <c r="BA798" i="2"/>
  <c r="AU862" i="2"/>
  <c r="AZ862" i="2" s="1"/>
  <c r="BA862" i="2"/>
  <c r="AU1607" i="2"/>
  <c r="AZ1607" i="2" s="1"/>
  <c r="BA1607" i="2"/>
  <c r="H140" i="4"/>
  <c r="BB140" i="2"/>
  <c r="BC140" i="2" s="1"/>
  <c r="BI140" i="2" s="1"/>
  <c r="BA1284" i="2"/>
  <c r="AU1284" i="2"/>
  <c r="AZ1284" i="2" s="1"/>
  <c r="BA1485" i="2"/>
  <c r="AU1485" i="2"/>
  <c r="AZ1485" i="2" s="1"/>
  <c r="AU7" i="2"/>
  <c r="AZ7" i="2" s="1"/>
  <c r="BA7" i="2"/>
  <c r="BA453" i="2"/>
  <c r="AU453" i="2"/>
  <c r="AZ453" i="2" s="1"/>
  <c r="AU679" i="2"/>
  <c r="AZ679" i="2" s="1"/>
  <c r="BA679" i="2"/>
  <c r="BA1178" i="2"/>
  <c r="AU1178" i="2"/>
  <c r="AZ1178" i="2" s="1"/>
  <c r="AU2076" i="2"/>
  <c r="AZ2076" i="2" s="1"/>
  <c r="BA2076" i="2"/>
  <c r="BA50" i="2"/>
  <c r="AU50" i="2"/>
  <c r="AZ50" i="2" s="1"/>
  <c r="AU659" i="2"/>
  <c r="AZ659" i="2" s="1"/>
  <c r="BA659" i="2"/>
  <c r="BA315" i="2"/>
  <c r="AU315" i="2"/>
  <c r="AZ315" i="2" s="1"/>
  <c r="BA469" i="2"/>
  <c r="AU469" i="2"/>
  <c r="AZ469" i="2" s="1"/>
  <c r="AU1291" i="2"/>
  <c r="AZ1291" i="2" s="1"/>
  <c r="BA1291" i="2"/>
  <c r="AU1558" i="2"/>
  <c r="AZ1558" i="2" s="1"/>
  <c r="BA1558" i="2"/>
  <c r="AU1574" i="2"/>
  <c r="AZ1574" i="2" s="1"/>
  <c r="BA1574" i="2"/>
  <c r="BA553" i="2"/>
  <c r="AU553" i="2"/>
  <c r="AZ553" i="2" s="1"/>
  <c r="AU1155" i="2"/>
  <c r="AZ1155" i="2" s="1"/>
  <c r="BA1155" i="2"/>
  <c r="AU1163" i="2"/>
  <c r="AZ1163" i="2" s="1"/>
  <c r="BA1163" i="2"/>
  <c r="AU1171" i="2"/>
  <c r="AZ1171" i="2" s="1"/>
  <c r="BA1171" i="2"/>
  <c r="BA2455" i="2"/>
  <c r="AU2455" i="2"/>
  <c r="AZ2455" i="2" s="1"/>
  <c r="BA2316" i="2"/>
  <c r="AU2316" i="2"/>
  <c r="AZ2316" i="2" s="1"/>
  <c r="BA2348" i="2"/>
  <c r="AU2348" i="2"/>
  <c r="AZ2348" i="2" s="1"/>
  <c r="BA2380" i="2"/>
  <c r="AU2380" i="2"/>
  <c r="AZ2380" i="2" s="1"/>
  <c r="AU2468" i="2"/>
  <c r="AZ2468" i="2" s="1"/>
  <c r="BA2468" i="2"/>
  <c r="BA291" i="2"/>
  <c r="AU291" i="2"/>
  <c r="AZ291" i="2" s="1"/>
  <c r="BA1765" i="2"/>
  <c r="AU1765" i="2"/>
  <c r="AZ1765" i="2" s="1"/>
  <c r="BA1557" i="2"/>
  <c r="AU1557" i="2"/>
  <c r="AZ1557" i="2" s="1"/>
  <c r="BA61" i="2"/>
  <c r="AU61" i="2"/>
  <c r="AZ61" i="2" s="1"/>
  <c r="BA779" i="2"/>
  <c r="AU779" i="2"/>
  <c r="AZ779" i="2" s="1"/>
  <c r="BA843" i="2"/>
  <c r="AU843" i="2"/>
  <c r="AZ843" i="2" s="1"/>
  <c r="BA1070" i="2"/>
  <c r="AU1070" i="2"/>
  <c r="AZ1070" i="2" s="1"/>
  <c r="BA1102" i="2"/>
  <c r="AU1102" i="2"/>
  <c r="AZ1102" i="2" s="1"/>
  <c r="BA1134" i="2"/>
  <c r="AU1134" i="2"/>
  <c r="AZ1134" i="2" s="1"/>
  <c r="BA165" i="2"/>
  <c r="AU165" i="2"/>
  <c r="AZ165" i="2" s="1"/>
  <c r="AU1253" i="2"/>
  <c r="AZ1253" i="2" s="1"/>
  <c r="BA1253" i="2"/>
  <c r="AU2271" i="2"/>
  <c r="AZ2271" i="2" s="1"/>
  <c r="BA2271" i="2"/>
  <c r="AU1621" i="2"/>
  <c r="AZ1621" i="2" s="1"/>
  <c r="BA1621" i="2"/>
  <c r="BA213" i="2"/>
  <c r="AU213" i="2"/>
  <c r="AZ213" i="2" s="1"/>
  <c r="BA845" i="2"/>
  <c r="AU845" i="2"/>
  <c r="AZ845" i="2" s="1"/>
  <c r="BA1507" i="2"/>
  <c r="AU1507" i="2"/>
  <c r="AZ1507" i="2" s="1"/>
  <c r="BA1326" i="2"/>
  <c r="AU1326" i="2"/>
  <c r="AZ1326" i="2" s="1"/>
  <c r="AU530" i="2"/>
  <c r="AZ530" i="2" s="1"/>
  <c r="BA530" i="2"/>
  <c r="BA2193" i="2"/>
  <c r="AU2193" i="2"/>
  <c r="AZ2193" i="2" s="1"/>
  <c r="BA1282" i="2"/>
  <c r="AU1282" i="2"/>
  <c r="AZ1282" i="2" s="1"/>
  <c r="AU2203" i="2"/>
  <c r="AZ2203" i="2" s="1"/>
  <c r="BA2203" i="2"/>
  <c r="AU1400" i="2"/>
  <c r="AZ1400" i="2" s="1"/>
  <c r="BA1400" i="2"/>
  <c r="AU1416" i="2"/>
  <c r="AZ1416" i="2" s="1"/>
  <c r="BA1416" i="2"/>
  <c r="AU1432" i="2"/>
  <c r="AZ1432" i="2" s="1"/>
  <c r="BA1432" i="2"/>
  <c r="AU778" i="2"/>
  <c r="AZ778" i="2" s="1"/>
  <c r="BA778" i="2"/>
  <c r="AU842" i="2"/>
  <c r="AZ842" i="2" s="1"/>
  <c r="BA842" i="2"/>
  <c r="BA777" i="2"/>
  <c r="AU777" i="2"/>
  <c r="AZ777" i="2" s="1"/>
  <c r="BA529" i="2"/>
  <c r="AU529" i="2"/>
  <c r="AZ529" i="2" s="1"/>
  <c r="BA1600" i="2"/>
  <c r="AU1600" i="2"/>
  <c r="AZ1600" i="2" s="1"/>
  <c r="AU1269" i="2"/>
  <c r="AZ1269" i="2" s="1"/>
  <c r="BA1269" i="2"/>
  <c r="AU2198" i="2"/>
  <c r="AZ2198" i="2" s="1"/>
  <c r="BA2198" i="2"/>
  <c r="AU2460" i="2"/>
  <c r="AZ2460" i="2" s="1"/>
  <c r="BA2460" i="2"/>
  <c r="AU1179" i="2"/>
  <c r="AZ1179" i="2" s="1"/>
  <c r="BA1179" i="2"/>
  <c r="AU1605" i="2"/>
  <c r="AZ1605" i="2" s="1"/>
  <c r="BA1605" i="2"/>
  <c r="AU1044" i="2"/>
  <c r="AZ1044" i="2" s="1"/>
  <c r="BA1044" i="2"/>
  <c r="BB324" i="2"/>
  <c r="BC324" i="2" s="1"/>
  <c r="BI324" i="2" s="1"/>
  <c r="BA1212" i="2"/>
  <c r="AU1212" i="2"/>
  <c r="AZ1212" i="2" s="1"/>
  <c r="AU1978" i="2"/>
  <c r="AZ1978" i="2" s="1"/>
  <c r="BA1978" i="2"/>
  <c r="AU186" i="2"/>
  <c r="AZ186" i="2" s="1"/>
  <c r="BA186" i="2"/>
  <c r="BA505" i="2"/>
  <c r="AU505" i="2"/>
  <c r="AZ505" i="2" s="1"/>
  <c r="AU1376" i="2"/>
  <c r="AZ1376" i="2" s="1"/>
  <c r="BA1376" i="2"/>
  <c r="BA537" i="2"/>
  <c r="AU537" i="2"/>
  <c r="AZ537" i="2" s="1"/>
  <c r="AU1832" i="2"/>
  <c r="AZ1832" i="2" s="1"/>
  <c r="BA1832" i="2"/>
  <c r="AU2100" i="2"/>
  <c r="AZ2100" i="2" s="1"/>
  <c r="BA2100" i="2"/>
  <c r="BA448" i="2"/>
  <c r="AU448" i="2"/>
  <c r="AZ448" i="2" s="1"/>
  <c r="AU1655" i="2"/>
  <c r="AZ1655" i="2" s="1"/>
  <c r="BA1655" i="2"/>
  <c r="BA2484" i="2"/>
  <c r="AU2484" i="2"/>
  <c r="AZ2484" i="2" s="1"/>
  <c r="BA16" i="2"/>
  <c r="AU16" i="2"/>
  <c r="AZ16" i="2" s="1"/>
  <c r="BB1831" i="2"/>
  <c r="BC1831" i="2" s="1"/>
  <c r="BI1831" i="2" s="1"/>
  <c r="AU1297" i="2"/>
  <c r="AZ1297" i="2" s="1"/>
  <c r="BA1297" i="2"/>
  <c r="BA555" i="2"/>
  <c r="AU555" i="2"/>
  <c r="AZ555" i="2" s="1"/>
  <c r="BA1041" i="2"/>
  <c r="AU1041" i="2"/>
  <c r="AZ1041" i="2" s="1"/>
  <c r="AU254" i="2"/>
  <c r="AZ254" i="2" s="1"/>
  <c r="BA254" i="2"/>
  <c r="BB1151" i="2"/>
  <c r="BC1151" i="2" s="1"/>
  <c r="BI1151" i="2" s="1"/>
  <c r="AU1595" i="2"/>
  <c r="AZ1595" i="2" s="1"/>
  <c r="BA1595" i="2"/>
  <c r="BA239" i="2"/>
  <c r="AU239" i="2"/>
  <c r="AZ239" i="2" s="1"/>
  <c r="BA355" i="2"/>
  <c r="AU355" i="2"/>
  <c r="AZ355" i="2" s="1"/>
  <c r="BA2473" i="2"/>
  <c r="AU2473" i="2"/>
  <c r="AZ2473" i="2" s="1"/>
  <c r="BA626" i="2"/>
  <c r="AU626" i="2"/>
  <c r="AZ626" i="2" s="1"/>
  <c r="BA642" i="2"/>
  <c r="AU642" i="2"/>
  <c r="AZ642" i="2" s="1"/>
  <c r="BA658" i="2"/>
  <c r="AU658" i="2"/>
  <c r="AZ658" i="2" s="1"/>
  <c r="BA674" i="2"/>
  <c r="AU674" i="2"/>
  <c r="AZ674" i="2" s="1"/>
  <c r="BA690" i="2"/>
  <c r="AU690" i="2"/>
  <c r="AZ690" i="2" s="1"/>
  <c r="BA706" i="2"/>
  <c r="AU706" i="2"/>
  <c r="AZ706" i="2" s="1"/>
  <c r="BA722" i="2"/>
  <c r="AU722" i="2"/>
  <c r="AZ722" i="2" s="1"/>
  <c r="BA2067" i="2"/>
  <c r="AU2067" i="2"/>
  <c r="AZ2067" i="2" s="1"/>
  <c r="BA1483" i="2"/>
  <c r="AU1483" i="2"/>
  <c r="AZ1483" i="2" s="1"/>
  <c r="AU1091" i="2"/>
  <c r="AZ1091" i="2" s="1"/>
  <c r="BA1091" i="2"/>
  <c r="BA1897" i="2"/>
  <c r="AU1897" i="2"/>
  <c r="AZ1897" i="2" s="1"/>
  <c r="AU1265" i="2"/>
  <c r="AZ1265" i="2" s="1"/>
  <c r="BA1265" i="2"/>
  <c r="AU2406" i="2"/>
  <c r="AZ2406" i="2" s="1"/>
  <c r="BA2406" i="2"/>
  <c r="AU1079" i="2"/>
  <c r="AZ1079" i="2" s="1"/>
  <c r="BA1079" i="2"/>
  <c r="BA319" i="2"/>
  <c r="AU319" i="2"/>
  <c r="AZ319" i="2" s="1"/>
  <c r="BA233" i="2"/>
  <c r="AU233" i="2"/>
  <c r="AZ233" i="2" s="1"/>
  <c r="AU1313" i="2"/>
  <c r="AZ1313" i="2" s="1"/>
  <c r="BA1313" i="2"/>
  <c r="BA300" i="2"/>
  <c r="AU300" i="2"/>
  <c r="AZ300" i="2" s="1"/>
  <c r="AU1490" i="2"/>
  <c r="AZ1490" i="2" s="1"/>
  <c r="BA1490" i="2"/>
  <c r="AU1512" i="2"/>
  <c r="AZ1512" i="2" s="1"/>
  <c r="BA1512" i="2"/>
  <c r="AU1528" i="2"/>
  <c r="AZ1528" i="2" s="1"/>
  <c r="BA1528" i="2"/>
  <c r="AU1544" i="2"/>
  <c r="AZ1544" i="2" s="1"/>
  <c r="BA1544" i="2"/>
  <c r="AU190" i="2"/>
  <c r="AZ190" i="2" s="1"/>
  <c r="BA190" i="2"/>
  <c r="BA1463" i="2"/>
  <c r="AU1463" i="2"/>
  <c r="AZ1463" i="2" s="1"/>
  <c r="AU1406" i="2"/>
  <c r="AZ1406" i="2" s="1"/>
  <c r="BA1406" i="2"/>
  <c r="AU1422" i="2"/>
  <c r="AZ1422" i="2" s="1"/>
  <c r="BA1422" i="2"/>
  <c r="AU1438" i="2"/>
  <c r="AZ1438" i="2" s="1"/>
  <c r="BA1438" i="2"/>
  <c r="BA523" i="2"/>
  <c r="AU523" i="2"/>
  <c r="AZ523" i="2" s="1"/>
  <c r="BA2061" i="2"/>
  <c r="AU2061" i="2"/>
  <c r="AZ2061" i="2" s="1"/>
  <c r="BA541" i="2"/>
  <c r="AU541" i="2"/>
  <c r="AZ541" i="2" s="1"/>
  <c r="BA1190" i="2"/>
  <c r="AU1190" i="2"/>
  <c r="AZ1190" i="2" s="1"/>
  <c r="BA1050" i="2"/>
  <c r="AU1050" i="2"/>
  <c r="AZ1050" i="2" s="1"/>
  <c r="BA1082" i="2"/>
  <c r="AU1082" i="2"/>
  <c r="AZ1082" i="2" s="1"/>
  <c r="BA1114" i="2"/>
  <c r="AU1114" i="2"/>
  <c r="AZ1114" i="2" s="1"/>
  <c r="BA2073" i="2"/>
  <c r="AU2073" i="2"/>
  <c r="AZ2073" i="2" s="1"/>
  <c r="AU2501" i="2"/>
  <c r="AZ2501" i="2" s="1"/>
  <c r="BA2501" i="2"/>
  <c r="AU1347" i="2"/>
  <c r="AZ1347" i="2" s="1"/>
  <c r="BA1347" i="2"/>
  <c r="AU621" i="2"/>
  <c r="AZ621" i="2" s="1"/>
  <c r="BA621" i="2"/>
  <c r="BB484" i="2"/>
  <c r="BC484" i="2" s="1"/>
  <c r="BI484" i="2" s="1"/>
  <c r="BA1547" i="2"/>
  <c r="AU1547" i="2"/>
  <c r="AZ1547" i="2" s="1"/>
  <c r="AU2317" i="2"/>
  <c r="AZ2317" i="2" s="1"/>
  <c r="BA2317" i="2"/>
  <c r="AU2349" i="2"/>
  <c r="AZ2349" i="2" s="1"/>
  <c r="BA2349" i="2"/>
  <c r="AU2381" i="2"/>
  <c r="AZ2381" i="2" s="1"/>
  <c r="BA2381" i="2"/>
  <c r="BA471" i="2"/>
  <c r="AU471" i="2"/>
  <c r="AZ471" i="2" s="1"/>
  <c r="AU1782" i="2"/>
  <c r="AZ1782" i="2" s="1"/>
  <c r="BA1782" i="2"/>
  <c r="BA2112" i="2"/>
  <c r="AU2112" i="2"/>
  <c r="AZ2112" i="2" s="1"/>
  <c r="AU804" i="2"/>
  <c r="AZ804" i="2" s="1"/>
  <c r="BA804" i="2"/>
  <c r="BA2149" i="2"/>
  <c r="AU2149" i="2"/>
  <c r="AZ2149" i="2" s="1"/>
  <c r="BB925" i="2"/>
  <c r="BC925" i="2" s="1"/>
  <c r="BI925" i="2" s="1"/>
  <c r="AU1115" i="2"/>
  <c r="AZ1115" i="2" s="1"/>
  <c r="BA1115" i="2"/>
  <c r="AU655" i="2"/>
  <c r="AZ655" i="2" s="1"/>
  <c r="BA655" i="2"/>
  <c r="BA1527" i="2"/>
  <c r="AU1527" i="2"/>
  <c r="AZ1527" i="2" s="1"/>
  <c r="BA1244" i="2"/>
  <c r="AU1244" i="2"/>
  <c r="AZ1244" i="2" s="1"/>
  <c r="AU1518" i="2"/>
  <c r="AZ1518" i="2" s="1"/>
  <c r="BA1518" i="2"/>
  <c r="AU1450" i="2"/>
  <c r="AZ1450" i="2" s="1"/>
  <c r="BA1450" i="2"/>
  <c r="AU1466" i="2"/>
  <c r="AZ1466" i="2" s="1"/>
  <c r="BA1466" i="2"/>
  <c r="BA543" i="2"/>
  <c r="AU543" i="2"/>
  <c r="AZ543" i="2" s="1"/>
  <c r="BA1801" i="2"/>
  <c r="AU1801" i="2"/>
  <c r="AZ1801" i="2" s="1"/>
  <c r="AU936" i="2"/>
  <c r="AZ936" i="2" s="1"/>
  <c r="BA936" i="2"/>
  <c r="BA1238" i="2"/>
  <c r="AU1238" i="2"/>
  <c r="AZ1238" i="2" s="1"/>
  <c r="AU528" i="2"/>
  <c r="AZ528" i="2" s="1"/>
  <c r="BA528" i="2"/>
  <c r="BA440" i="2"/>
  <c r="AU440" i="2"/>
  <c r="AZ440" i="2" s="1"/>
  <c r="AU214" i="2"/>
  <c r="AZ214" i="2" s="1"/>
  <c r="BA214" i="2"/>
  <c r="BA1575" i="2"/>
  <c r="AU1575" i="2"/>
  <c r="AZ1575" i="2" s="1"/>
  <c r="AU2040" i="2"/>
  <c r="AZ2040" i="2" s="1"/>
  <c r="BA2040" i="2"/>
  <c r="H188" i="4"/>
  <c r="BB188" i="2"/>
  <c r="BC188" i="2" s="1"/>
  <c r="BI188" i="2" s="1"/>
  <c r="BA2386" i="2"/>
  <c r="AU2386" i="2"/>
  <c r="AZ2386" i="2" s="1"/>
  <c r="BA821" i="2"/>
  <c r="AU821" i="2"/>
  <c r="AZ821" i="2" s="1"/>
  <c r="AU1840" i="2"/>
  <c r="AZ1840" i="2" s="1"/>
  <c r="BA1840" i="2"/>
  <c r="BB891" i="2"/>
  <c r="BC891" i="2" s="1"/>
  <c r="BI891" i="2" s="1"/>
  <c r="BA309" i="2"/>
  <c r="AU309" i="2"/>
  <c r="AZ309" i="2" s="1"/>
  <c r="BA1549" i="2"/>
  <c r="AU1549" i="2"/>
  <c r="AZ1549" i="2" s="1"/>
  <c r="BA60" i="2"/>
  <c r="AU60" i="2"/>
  <c r="AZ60" i="2" s="1"/>
  <c r="H2" i="4"/>
  <c r="BB2" i="2"/>
  <c r="BC2" i="2" s="1"/>
  <c r="BI2" i="2" s="1"/>
  <c r="BB1771" i="2"/>
  <c r="BC1771" i="2" s="1"/>
  <c r="BI1771" i="2" s="1"/>
  <c r="BA44" i="2"/>
  <c r="AU44" i="2"/>
  <c r="AZ44" i="2" s="1"/>
  <c r="BA648" i="2"/>
  <c r="AU648" i="2"/>
  <c r="AZ648" i="2" s="1"/>
  <c r="BA696" i="2"/>
  <c r="AU696" i="2"/>
  <c r="AZ696" i="2" s="1"/>
  <c r="BA2153" i="2"/>
  <c r="AU2153" i="2"/>
  <c r="AZ2153" i="2" s="1"/>
  <c r="BA1256" i="2"/>
  <c r="AU1256" i="2"/>
  <c r="AZ1256" i="2" s="1"/>
  <c r="AU2458" i="2"/>
  <c r="AZ2458" i="2" s="1"/>
  <c r="BA2458" i="2"/>
  <c r="BA1602" i="2"/>
  <c r="AU1602" i="2"/>
  <c r="AZ1602" i="2" s="1"/>
  <c r="AU1808" i="2"/>
  <c r="AZ1808" i="2" s="1"/>
  <c r="BA1808" i="2"/>
  <c r="AU940" i="2"/>
  <c r="AZ940" i="2" s="1"/>
  <c r="BA940" i="2"/>
  <c r="AU956" i="2"/>
  <c r="AZ956" i="2" s="1"/>
  <c r="BA956" i="2"/>
  <c r="AU972" i="2"/>
  <c r="AZ972" i="2" s="1"/>
  <c r="BA972" i="2"/>
  <c r="BA873" i="2"/>
  <c r="AU873" i="2"/>
  <c r="AZ873" i="2" s="1"/>
  <c r="BA1632" i="2"/>
  <c r="AU1632" i="2"/>
  <c r="AZ1632" i="2" s="1"/>
  <c r="AU2474" i="2"/>
  <c r="AZ2474" i="2" s="1"/>
  <c r="BA2474" i="2"/>
  <c r="AU310" i="2"/>
  <c r="AZ310" i="2" s="1"/>
  <c r="BA310" i="2"/>
  <c r="BA2228" i="2"/>
  <c r="AU2228" i="2"/>
  <c r="AZ2228" i="2" s="1"/>
  <c r="BA2244" i="2"/>
  <c r="AU2244" i="2"/>
  <c r="AZ2244" i="2" s="1"/>
  <c r="BA2276" i="2"/>
  <c r="AU2276" i="2"/>
  <c r="AZ2276" i="2" s="1"/>
  <c r="BA2292" i="2"/>
  <c r="AU2292" i="2"/>
  <c r="AZ2292" i="2" s="1"/>
  <c r="BA282" i="2"/>
  <c r="AU282" i="2"/>
  <c r="AZ282" i="2" s="1"/>
  <c r="BA1592" i="2"/>
  <c r="AU1592" i="2"/>
  <c r="AZ1592" i="2" s="1"/>
  <c r="BA1112" i="2"/>
  <c r="AU1112" i="2"/>
  <c r="AZ1112" i="2" s="1"/>
  <c r="BA1875" i="2"/>
  <c r="AU1875" i="2"/>
  <c r="AZ1875" i="2" s="1"/>
  <c r="AU2246" i="2"/>
  <c r="AZ2246" i="2" s="1"/>
  <c r="BA2246" i="2"/>
  <c r="AU2278" i="2"/>
  <c r="AZ2278" i="2" s="1"/>
  <c r="BA2278" i="2"/>
  <c r="BA1268" i="2"/>
  <c r="AU1268" i="2"/>
  <c r="AZ1268" i="2" s="1"/>
  <c r="BA157" i="2"/>
  <c r="AU157" i="2"/>
  <c r="AZ157" i="2" s="1"/>
  <c r="AU75" i="2"/>
  <c r="AZ75" i="2" s="1"/>
  <c r="BA75" i="2"/>
  <c r="BB412" i="2"/>
  <c r="BC412" i="2" s="1"/>
  <c r="BI412" i="2" s="1"/>
  <c r="BB1827" i="2"/>
  <c r="BC1827" i="2" s="1"/>
  <c r="BI1827" i="2" s="1"/>
  <c r="AU2303" i="2"/>
  <c r="AZ2303" i="2" s="1"/>
  <c r="BA2303" i="2"/>
  <c r="BB1819" i="2"/>
  <c r="BC1819" i="2" s="1"/>
  <c r="BI1819" i="2" s="1"/>
  <c r="AU1273" i="2"/>
  <c r="AZ1273" i="2" s="1"/>
  <c r="BA1273" i="2"/>
  <c r="AU544" i="2"/>
  <c r="AZ544" i="2" s="1"/>
  <c r="BA544" i="2"/>
  <c r="AU2412" i="2"/>
  <c r="AZ2412" i="2" s="1"/>
  <c r="BA2412" i="2"/>
  <c r="BA53" i="2"/>
  <c r="AU53" i="2"/>
  <c r="AZ53" i="2" s="1"/>
  <c r="AU738" i="2"/>
  <c r="AZ738" i="2" s="1"/>
  <c r="BA738" i="2"/>
  <c r="AU802" i="2"/>
  <c r="AZ802" i="2" s="1"/>
  <c r="BA802" i="2"/>
  <c r="BA1973" i="2"/>
  <c r="AU1973" i="2"/>
  <c r="AZ1973" i="2" s="1"/>
  <c r="BA1905" i="2"/>
  <c r="AU1905" i="2"/>
  <c r="AZ1905" i="2" s="1"/>
  <c r="AU2396" i="2"/>
  <c r="AZ2396" i="2" s="1"/>
  <c r="BA2396" i="2"/>
  <c r="BA37" i="2"/>
  <c r="AU37" i="2"/>
  <c r="AZ37" i="2" s="1"/>
  <c r="AU166" i="2"/>
  <c r="AZ166" i="2" s="1"/>
  <c r="BA166" i="2"/>
  <c r="BA2075" i="2"/>
  <c r="AU2075" i="2"/>
  <c r="AZ2075" i="2" s="1"/>
  <c r="BB919" i="2"/>
  <c r="BC919" i="2" s="1"/>
  <c r="BI919" i="2" s="1"/>
  <c r="AU2052" i="2"/>
  <c r="AZ2052" i="2" s="1"/>
  <c r="BA2052" i="2"/>
  <c r="AU110" i="2"/>
  <c r="AZ110" i="2" s="1"/>
  <c r="BA110" i="2"/>
  <c r="AU33" i="2"/>
  <c r="AZ33" i="2" s="1"/>
  <c r="BA33" i="2"/>
  <c r="AU1707" i="2"/>
  <c r="AZ1707" i="2" s="1"/>
  <c r="BA1707" i="2"/>
  <c r="AU934" i="2"/>
  <c r="AZ934" i="2" s="1"/>
  <c r="BA934" i="2"/>
  <c r="BA727" i="2"/>
  <c r="AU727" i="2"/>
  <c r="AZ727" i="2" s="1"/>
  <c r="BA791" i="2"/>
  <c r="AU791" i="2"/>
  <c r="AZ791" i="2" s="1"/>
  <c r="AU2283" i="2"/>
  <c r="AZ2283" i="2" s="1"/>
  <c r="BA2283" i="2"/>
  <c r="AU2313" i="2"/>
  <c r="AZ2313" i="2" s="1"/>
  <c r="BA2313" i="2"/>
  <c r="BA1881" i="2"/>
  <c r="AU1881" i="2"/>
  <c r="AZ1881" i="2" s="1"/>
  <c r="BA1989" i="2"/>
  <c r="AU1989" i="2"/>
  <c r="AZ1989" i="2" s="1"/>
  <c r="BA2047" i="2"/>
  <c r="AU2047" i="2"/>
  <c r="AZ2047" i="2" s="1"/>
  <c r="AU2166" i="2"/>
  <c r="AZ2166" i="2" s="1"/>
  <c r="BA2166" i="2"/>
  <c r="AU1589" i="2"/>
  <c r="AZ1589" i="2" s="1"/>
  <c r="BA1589" i="2"/>
  <c r="BA1517" i="2"/>
  <c r="AU1517" i="2"/>
  <c r="AZ1517" i="2" s="1"/>
  <c r="BA475" i="2"/>
  <c r="AU475" i="2"/>
  <c r="AZ475" i="2" s="1"/>
  <c r="BA2009" i="2"/>
  <c r="AU2009" i="2"/>
  <c r="AZ2009" i="2" s="1"/>
  <c r="BA1983" i="2"/>
  <c r="AU1983" i="2"/>
  <c r="AZ1983" i="2" s="1"/>
  <c r="AU854" i="2"/>
  <c r="AZ854" i="2" s="1"/>
  <c r="BA854" i="2"/>
  <c r="AU2299" i="2"/>
  <c r="AZ2299" i="2" s="1"/>
  <c r="BA2299" i="2"/>
  <c r="BA1322" i="2"/>
  <c r="AU1322" i="2"/>
  <c r="AZ1322" i="2" s="1"/>
  <c r="BA1192" i="2"/>
  <c r="AU1192" i="2"/>
  <c r="AZ1192" i="2" s="1"/>
  <c r="AU2070" i="2"/>
  <c r="AZ2070" i="2" s="1"/>
  <c r="BA2070" i="2"/>
  <c r="BA1724" i="2"/>
  <c r="AU1724" i="2"/>
  <c r="AZ1724" i="2" s="1"/>
  <c r="BA1304" i="2"/>
  <c r="AU1304" i="2"/>
  <c r="AZ1304" i="2" s="1"/>
  <c r="AU2164" i="2"/>
  <c r="AZ2164" i="2" s="1"/>
  <c r="BA2164" i="2"/>
  <c r="AU2072" i="2"/>
  <c r="AZ2072" i="2" s="1"/>
  <c r="BA2072" i="2"/>
  <c r="H128" i="4"/>
  <c r="BB128" i="2"/>
  <c r="BC128" i="2" s="1"/>
  <c r="BI128" i="2" s="1"/>
  <c r="AU1888" i="2"/>
  <c r="AZ1888" i="2" s="1"/>
  <c r="BA1888" i="2"/>
  <c r="AU1952" i="2"/>
  <c r="AZ1952" i="2" s="1"/>
  <c r="BA1952" i="2"/>
  <c r="AU1838" i="2"/>
  <c r="AZ1838" i="2" s="1"/>
  <c r="BA1838" i="2"/>
  <c r="BA343" i="2"/>
  <c r="AU343" i="2"/>
  <c r="AZ343" i="2" s="1"/>
  <c r="BA375" i="2"/>
  <c r="AU375" i="2"/>
  <c r="AZ375" i="2" s="1"/>
  <c r="AU681" i="2"/>
  <c r="AZ681" i="2" s="1"/>
  <c r="BA681" i="2"/>
  <c r="BA935" i="2"/>
  <c r="AU935" i="2"/>
  <c r="AZ935" i="2" s="1"/>
  <c r="BA943" i="2"/>
  <c r="AU943" i="2"/>
  <c r="AZ943" i="2" s="1"/>
  <c r="BA999" i="2"/>
  <c r="AU999" i="2"/>
  <c r="AZ999" i="2" s="1"/>
  <c r="BA1007" i="2"/>
  <c r="AU1007" i="2"/>
  <c r="AZ1007" i="2" s="1"/>
  <c r="BA1495" i="2"/>
  <c r="AU1495" i="2"/>
  <c r="AZ1495" i="2" s="1"/>
  <c r="AU1742" i="2"/>
  <c r="AZ1742" i="2" s="1"/>
  <c r="BA1742" i="2"/>
  <c r="BA431" i="2"/>
  <c r="AU431" i="2"/>
  <c r="AZ431" i="2" s="1"/>
  <c r="AU954" i="2"/>
  <c r="AZ954" i="2" s="1"/>
  <c r="BA954" i="2"/>
  <c r="AU1002" i="2"/>
  <c r="AZ1002" i="2" s="1"/>
  <c r="BA1002" i="2"/>
  <c r="AU1778" i="2"/>
  <c r="AZ1778" i="2" s="1"/>
  <c r="BA1778" i="2"/>
  <c r="AU1810" i="2"/>
  <c r="AZ1810" i="2" s="1"/>
  <c r="BA1810" i="2"/>
  <c r="AU1123" i="2"/>
  <c r="AZ1123" i="2" s="1"/>
  <c r="BA1123" i="2"/>
  <c r="AU922" i="2"/>
  <c r="AZ922" i="2" s="1"/>
  <c r="BA922" i="2"/>
  <c r="BA592" i="2"/>
  <c r="AU592" i="2"/>
  <c r="AZ592" i="2" s="1"/>
  <c r="BA600" i="2"/>
  <c r="AU600" i="2"/>
  <c r="AZ600" i="2" s="1"/>
  <c r="BA608" i="2"/>
  <c r="AU608" i="2"/>
  <c r="AZ608" i="2" s="1"/>
  <c r="AU1653" i="2"/>
  <c r="AZ1653" i="2" s="1"/>
  <c r="BA1653" i="2"/>
  <c r="BA751" i="2"/>
  <c r="AU751" i="2"/>
  <c r="AZ751" i="2" s="1"/>
  <c r="BA1785" i="2"/>
  <c r="AU1785" i="2"/>
  <c r="AZ1785" i="2" s="1"/>
  <c r="BA1320" i="2"/>
  <c r="AU1320" i="2"/>
  <c r="AZ1320" i="2" s="1"/>
  <c r="BA2103" i="2"/>
  <c r="AU2103" i="2"/>
  <c r="AZ2103" i="2" s="1"/>
  <c r="AU1856" i="2"/>
  <c r="AZ1856" i="2" s="1"/>
  <c r="BA1856" i="2"/>
  <c r="AU2162" i="2"/>
  <c r="AZ2162" i="2" s="1"/>
  <c r="BA2162" i="2"/>
  <c r="BA1423" i="2"/>
  <c r="AU1423" i="2"/>
  <c r="AZ1423" i="2" s="1"/>
  <c r="AU1657" i="2"/>
  <c r="AZ1657" i="2" s="1"/>
  <c r="BA1657" i="2"/>
  <c r="AU2440" i="2"/>
  <c r="AZ2440" i="2" s="1"/>
  <c r="BA2440" i="2"/>
  <c r="AU238" i="2"/>
  <c r="AZ238" i="2" s="1"/>
  <c r="BA238" i="2"/>
  <c r="BA527" i="2"/>
  <c r="AU527" i="2"/>
  <c r="AZ527" i="2" s="1"/>
  <c r="AU2323" i="2"/>
  <c r="AZ2323" i="2" s="1"/>
  <c r="BA2323" i="2"/>
  <c r="AU2355" i="2"/>
  <c r="AZ2355" i="2" s="1"/>
  <c r="BA2355" i="2"/>
  <c r="AU2387" i="2"/>
  <c r="AZ2387" i="2" s="1"/>
  <c r="BA2387" i="2"/>
  <c r="BA1210" i="2"/>
  <c r="AU1210" i="2"/>
  <c r="AZ1210" i="2" s="1"/>
  <c r="AU2422" i="2"/>
  <c r="AZ2422" i="2" s="1"/>
  <c r="BA2422" i="2"/>
  <c r="BA1559" i="2"/>
  <c r="AU1559" i="2"/>
  <c r="AZ1559" i="2" s="1"/>
  <c r="AU2050" i="2"/>
  <c r="AZ2050" i="2" s="1"/>
  <c r="BA2050" i="2"/>
  <c r="AU2098" i="2"/>
  <c r="AZ2098" i="2" s="1"/>
  <c r="BA2098" i="2"/>
  <c r="AU1484" i="2"/>
  <c r="AZ1484" i="2" s="1"/>
  <c r="BA1484" i="2"/>
  <c r="AU2036" i="2"/>
  <c r="AZ2036" i="2" s="1"/>
  <c r="BA2036" i="2"/>
  <c r="BA773" i="2"/>
  <c r="AU773" i="2"/>
  <c r="AZ773" i="2" s="1"/>
  <c r="AU2080" i="2"/>
  <c r="AZ2080" i="2" s="1"/>
  <c r="BA2080" i="2"/>
  <c r="H124" i="4"/>
  <c r="BB124" i="2"/>
  <c r="BC124" i="2" s="1"/>
  <c r="BI124" i="2" s="1"/>
  <c r="BA1565" i="2"/>
  <c r="AU1565" i="2"/>
  <c r="AZ1565" i="2" s="1"/>
  <c r="BA2346" i="2"/>
  <c r="AU2346" i="2"/>
  <c r="AZ2346" i="2" s="1"/>
  <c r="BA2378" i="2"/>
  <c r="AU2378" i="2"/>
  <c r="AZ2378" i="2" s="1"/>
  <c r="BA789" i="2"/>
  <c r="AU789" i="2"/>
  <c r="AZ789" i="2" s="1"/>
  <c r="BA1664" i="2"/>
  <c r="AU1664" i="2"/>
  <c r="AZ1664" i="2" s="1"/>
  <c r="BA1455" i="2"/>
  <c r="AU1455" i="2"/>
  <c r="AZ1455" i="2" s="1"/>
  <c r="BA292" i="2"/>
  <c r="AU292" i="2"/>
  <c r="AZ292" i="2" s="1"/>
  <c r="AU916" i="2"/>
  <c r="AZ916" i="2" s="1"/>
  <c r="BA916" i="2"/>
  <c r="AU498" i="2"/>
  <c r="AZ498" i="2" s="1"/>
  <c r="BA498" i="2"/>
  <c r="BA2025" i="2"/>
  <c r="AU2025" i="2"/>
  <c r="AZ2025" i="2" s="1"/>
  <c r="BA2033" i="2"/>
  <c r="AU2033" i="2"/>
  <c r="AZ2033" i="2" s="1"/>
  <c r="BA480" i="2"/>
  <c r="AU480" i="2"/>
  <c r="AZ480" i="2" s="1"/>
  <c r="AU1341" i="2"/>
  <c r="AZ1341" i="2" s="1"/>
  <c r="BA1341" i="2"/>
  <c r="BA2318" i="2"/>
  <c r="AU2318" i="2"/>
  <c r="AZ2318" i="2" s="1"/>
  <c r="BA2350" i="2"/>
  <c r="AU2350" i="2"/>
  <c r="AZ2350" i="2" s="1"/>
  <c r="BA2382" i="2"/>
  <c r="AU2382" i="2"/>
  <c r="AZ2382" i="2" s="1"/>
  <c r="AU1095" i="2"/>
  <c r="AZ1095" i="2" s="1"/>
  <c r="BA1095" i="2"/>
  <c r="AU2416" i="2"/>
  <c r="AZ2416" i="2" s="1"/>
  <c r="BA2416" i="2"/>
  <c r="BA2419" i="2"/>
  <c r="AU2419" i="2"/>
  <c r="AZ2419" i="2" s="1"/>
  <c r="AU2231" i="2"/>
  <c r="AZ2231" i="2" s="1"/>
  <c r="BA2231" i="2"/>
  <c r="BA628" i="2"/>
  <c r="AU628" i="2"/>
  <c r="AZ628" i="2" s="1"/>
  <c r="BA644" i="2"/>
  <c r="AU644" i="2"/>
  <c r="AZ644" i="2" s="1"/>
  <c r="BA660" i="2"/>
  <c r="AU660" i="2"/>
  <c r="AZ660" i="2" s="1"/>
  <c r="BA676" i="2"/>
  <c r="AU676" i="2"/>
  <c r="AZ676" i="2" s="1"/>
  <c r="BA692" i="2"/>
  <c r="AU692" i="2"/>
  <c r="AZ692" i="2" s="1"/>
  <c r="BA708" i="2"/>
  <c r="AU708" i="2"/>
  <c r="AZ708" i="2" s="1"/>
  <c r="BA724" i="2"/>
  <c r="AU724" i="2"/>
  <c r="AZ724" i="2" s="1"/>
  <c r="BA2187" i="2"/>
  <c r="AU2187" i="2"/>
  <c r="AZ2187" i="2" s="1"/>
  <c r="AU908" i="2"/>
  <c r="AZ908" i="2" s="1"/>
  <c r="BA908" i="2"/>
  <c r="AU552" i="2"/>
  <c r="AZ552" i="2" s="1"/>
  <c r="BA552" i="2"/>
  <c r="AU506" i="2"/>
  <c r="AZ506" i="2" s="1"/>
  <c r="BA506" i="2"/>
  <c r="AU1738" i="2"/>
  <c r="AZ1738" i="2" s="1"/>
  <c r="BA1738" i="2"/>
  <c r="BA305" i="2"/>
  <c r="AU305" i="2"/>
  <c r="AZ305" i="2" s="1"/>
  <c r="AU792" i="2"/>
  <c r="AZ792" i="2" s="1"/>
  <c r="BA792" i="2"/>
  <c r="AU1725" i="2"/>
  <c r="AZ1725" i="2" s="1"/>
  <c r="BA1725" i="2"/>
  <c r="AU1478" i="2"/>
  <c r="AZ1478" i="2" s="1"/>
  <c r="BA1478" i="2"/>
  <c r="AU1510" i="2"/>
  <c r="AZ1510" i="2" s="1"/>
  <c r="BA1510" i="2"/>
  <c r="AU1548" i="2"/>
  <c r="AZ1548" i="2" s="1"/>
  <c r="BA1548" i="2"/>
  <c r="AU1564" i="2"/>
  <c r="AZ1564" i="2" s="1"/>
  <c r="BA1564" i="2"/>
  <c r="AU2088" i="2"/>
  <c r="AZ2088" i="2" s="1"/>
  <c r="BA2088" i="2"/>
  <c r="BB224" i="2"/>
  <c r="BC224" i="2" s="1"/>
  <c r="BI224" i="2" s="1"/>
  <c r="AU667" i="2"/>
  <c r="AZ667" i="2" s="1"/>
  <c r="BA667" i="2"/>
  <c r="AU1792" i="2"/>
  <c r="AZ1792" i="2" s="1"/>
  <c r="BA1792" i="2"/>
  <c r="AU548" i="2"/>
  <c r="AZ548" i="2" s="1"/>
  <c r="BA548" i="2"/>
  <c r="AU952" i="2"/>
  <c r="AZ952" i="2" s="1"/>
  <c r="BA952" i="2"/>
  <c r="AU968" i="2"/>
  <c r="AZ968" i="2" s="1"/>
  <c r="BA968" i="2"/>
  <c r="AU984" i="2"/>
  <c r="AZ984" i="2" s="1"/>
  <c r="BA984" i="2"/>
  <c r="AU1000" i="2"/>
  <c r="AZ1000" i="2" s="1"/>
  <c r="BA1000" i="2"/>
  <c r="AU1016" i="2"/>
  <c r="AZ1016" i="2" s="1"/>
  <c r="BA1016" i="2"/>
  <c r="AU1032" i="2"/>
  <c r="AZ1032" i="2" s="1"/>
  <c r="BA1032" i="2"/>
  <c r="BA809" i="2"/>
  <c r="AU809" i="2"/>
  <c r="AZ809" i="2" s="1"/>
  <c r="AU9" i="2"/>
  <c r="AZ9" i="2" s="1"/>
  <c r="BA9" i="2"/>
  <c r="BA817" i="2"/>
  <c r="AU817" i="2"/>
  <c r="AZ817" i="2" s="1"/>
  <c r="BA1366" i="2"/>
  <c r="AU1366" i="2"/>
  <c r="AZ1366" i="2" s="1"/>
  <c r="BA1551" i="2"/>
  <c r="AU1551" i="2"/>
  <c r="AZ1551" i="2" s="1"/>
  <c r="BA1855" i="2"/>
  <c r="AU1855" i="2"/>
  <c r="AZ1855" i="2" s="1"/>
  <c r="BA92" i="2"/>
  <c r="AU92" i="2"/>
  <c r="AZ92" i="2" s="1"/>
  <c r="AU1207" i="2"/>
  <c r="AZ1207" i="2" s="1"/>
  <c r="BA1207" i="2"/>
  <c r="AU59" i="2"/>
  <c r="AZ59" i="2" s="1"/>
  <c r="BA59" i="2"/>
  <c r="AU1504" i="2"/>
  <c r="AZ1504" i="2" s="1"/>
  <c r="BA1504" i="2"/>
  <c r="BA833" i="2"/>
  <c r="AU833" i="2"/>
  <c r="AZ833" i="2" s="1"/>
  <c r="AU1042" i="2"/>
  <c r="AZ1042" i="2" s="1"/>
  <c r="BA1042" i="2"/>
  <c r="BA47" i="2"/>
  <c r="AU47" i="2"/>
  <c r="AZ47" i="2" s="1"/>
  <c r="AU1048" i="2"/>
  <c r="AZ1048" i="2" s="1"/>
  <c r="BA1048" i="2"/>
  <c r="AU1611" i="2"/>
  <c r="AZ1611" i="2" s="1"/>
  <c r="BA1611" i="2"/>
  <c r="AU51" i="2"/>
  <c r="AZ51" i="2" s="1"/>
  <c r="BA51" i="2"/>
  <c r="BA363" i="2"/>
  <c r="AU363" i="2"/>
  <c r="AZ363" i="2" s="1"/>
  <c r="AU446" i="2"/>
  <c r="AZ446" i="2" s="1"/>
  <c r="BA446" i="2"/>
  <c r="AU1119" i="2"/>
  <c r="AZ1119" i="2" s="1"/>
  <c r="BA1119" i="2"/>
  <c r="AU864" i="2"/>
  <c r="AZ864" i="2" s="1"/>
  <c r="BA864" i="2"/>
  <c r="BA2352" i="2"/>
  <c r="AU2352" i="2"/>
  <c r="AZ2352" i="2" s="1"/>
  <c r="BA85" i="2"/>
  <c r="AU85" i="2"/>
  <c r="AZ85" i="2" s="1"/>
  <c r="BA2049" i="2"/>
  <c r="AU2049" i="2"/>
  <c r="AZ2049" i="2" s="1"/>
  <c r="BA2208" i="2"/>
  <c r="AU2208" i="2"/>
  <c r="AZ2208" i="2" s="1"/>
  <c r="BA2224" i="2"/>
  <c r="AU2224" i="2"/>
  <c r="AZ2224" i="2" s="1"/>
  <c r="BA2240" i="2"/>
  <c r="AU2240" i="2"/>
  <c r="AZ2240" i="2" s="1"/>
  <c r="BA2256" i="2"/>
  <c r="AU2256" i="2"/>
  <c r="AZ2256" i="2" s="1"/>
  <c r="BA2272" i="2"/>
  <c r="AU2272" i="2"/>
  <c r="AZ2272" i="2" s="1"/>
  <c r="BA2288" i="2"/>
  <c r="AU2288" i="2"/>
  <c r="AZ2288" i="2" s="1"/>
  <c r="BA2304" i="2"/>
  <c r="AU2304" i="2"/>
  <c r="AZ2304" i="2" s="1"/>
  <c r="BA373" i="2"/>
  <c r="AU373" i="2"/>
  <c r="AZ373" i="2" s="1"/>
  <c r="BA76" i="2"/>
  <c r="AU76" i="2"/>
  <c r="AZ76" i="2" s="1"/>
  <c r="AU95" i="2"/>
  <c r="AZ95" i="2" s="1"/>
  <c r="BA95" i="2"/>
  <c r="BA1584" i="2"/>
  <c r="AU1584" i="2"/>
  <c r="AZ1584" i="2" s="1"/>
  <c r="BA1242" i="2"/>
  <c r="AU1242" i="2"/>
  <c r="AZ1242" i="2" s="1"/>
  <c r="BA1596" i="2"/>
  <c r="AU1596" i="2"/>
  <c r="AZ1596" i="2" s="1"/>
  <c r="BB1839" i="2"/>
  <c r="BC1839" i="2" s="1"/>
  <c r="BI1839" i="2" s="1"/>
  <c r="BA1186" i="2"/>
  <c r="AU1186" i="2"/>
  <c r="AZ1186" i="2" s="1"/>
  <c r="BA2401" i="2"/>
  <c r="AU2401" i="2"/>
  <c r="AZ2401" i="2" s="1"/>
  <c r="AU1674" i="2"/>
  <c r="AZ1674" i="2" s="1"/>
  <c r="BA1674" i="2"/>
  <c r="BA77" i="2"/>
  <c r="AU77" i="2"/>
  <c r="AZ77" i="2" s="1"/>
  <c r="AU554" i="2"/>
  <c r="AZ554" i="2" s="1"/>
  <c r="BA554" i="2"/>
  <c r="BA1072" i="2"/>
  <c r="AU1072" i="2"/>
  <c r="AZ1072" i="2" s="1"/>
  <c r="BA1104" i="2"/>
  <c r="AU1104" i="2"/>
  <c r="AZ1104" i="2" s="1"/>
  <c r="BA1136" i="2"/>
  <c r="AU1136" i="2"/>
  <c r="AZ1136" i="2" s="1"/>
  <c r="BA1346" i="2"/>
  <c r="AU1346" i="2"/>
  <c r="AZ1346" i="2" s="1"/>
  <c r="BA349" i="2"/>
  <c r="AU349" i="2"/>
  <c r="AZ349" i="2" s="1"/>
  <c r="BB428" i="2"/>
  <c r="BC428" i="2" s="1"/>
  <c r="BI428" i="2" s="1"/>
  <c r="BA137" i="2"/>
  <c r="AU137" i="2"/>
  <c r="AZ137" i="2" s="1"/>
  <c r="BA1196" i="2"/>
  <c r="AU1196" i="2"/>
  <c r="AZ1196" i="2" s="1"/>
  <c r="AU1836" i="2"/>
  <c r="AZ1836" i="2" s="1"/>
  <c r="BA1836" i="2"/>
  <c r="BA345" i="2"/>
  <c r="AU345" i="2"/>
  <c r="AZ345" i="2" s="1"/>
  <c r="BA377" i="2"/>
  <c r="AU377" i="2"/>
  <c r="AZ377" i="2" s="1"/>
  <c r="BA1867" i="2"/>
  <c r="AU1867" i="2"/>
  <c r="AZ1867" i="2" s="1"/>
  <c r="BA1899" i="2"/>
  <c r="AU1899" i="2"/>
  <c r="AZ1899" i="2" s="1"/>
  <c r="BA1931" i="2"/>
  <c r="AU1931" i="2"/>
  <c r="AZ1931" i="2" s="1"/>
  <c r="AU2210" i="2"/>
  <c r="AZ2210" i="2" s="1"/>
  <c r="BA2210" i="2"/>
  <c r="AU2226" i="2"/>
  <c r="AZ2226" i="2" s="1"/>
  <c r="BA2226" i="2"/>
  <c r="AU2242" i="2"/>
  <c r="AZ2242" i="2" s="1"/>
  <c r="BA2242" i="2"/>
  <c r="AU2258" i="2"/>
  <c r="AZ2258" i="2" s="1"/>
  <c r="BA2258" i="2"/>
  <c r="AU2274" i="2"/>
  <c r="AZ2274" i="2" s="1"/>
  <c r="BA2274" i="2"/>
  <c r="AU2290" i="2"/>
  <c r="AZ2290" i="2" s="1"/>
  <c r="BA2290" i="2"/>
  <c r="AU2306" i="2"/>
  <c r="AZ2306" i="2" s="1"/>
  <c r="BA2306" i="2"/>
  <c r="AU1486" i="2"/>
  <c r="AZ1486" i="2" s="1"/>
  <c r="BA1486" i="2"/>
  <c r="AU1233" i="2"/>
  <c r="AZ1233" i="2" s="1"/>
  <c r="BA1233" i="2"/>
  <c r="BA1399" i="2"/>
  <c r="AU1399" i="2"/>
  <c r="AZ1399" i="2" s="1"/>
  <c r="BA2411" i="2"/>
  <c r="AU2411" i="2"/>
  <c r="AZ2411" i="2" s="1"/>
  <c r="BA1164" i="2"/>
  <c r="AU1164" i="2"/>
  <c r="AZ1164" i="2" s="1"/>
  <c r="AU1718" i="2"/>
  <c r="AZ1718" i="2" s="1"/>
  <c r="BA1718" i="2"/>
  <c r="BA2431" i="2"/>
  <c r="AU2431" i="2"/>
  <c r="AZ2431" i="2" s="1"/>
  <c r="AU2205" i="2"/>
  <c r="AZ2205" i="2" s="1"/>
  <c r="BA2205" i="2"/>
  <c r="BA2453" i="2"/>
  <c r="AU2453" i="2"/>
  <c r="AZ2453" i="2" s="1"/>
  <c r="BA1489" i="2"/>
  <c r="AU1489" i="2"/>
  <c r="AZ1489" i="2" s="1"/>
  <c r="AU311" i="2"/>
  <c r="AZ311" i="2" s="1"/>
  <c r="BA311" i="2"/>
  <c r="BA139" i="2"/>
  <c r="AU139" i="2"/>
  <c r="AZ139" i="2" s="1"/>
  <c r="AU422" i="2"/>
  <c r="AZ422" i="2" s="1"/>
  <c r="BA422" i="2"/>
  <c r="AU2239" i="2"/>
  <c r="AZ2239" i="2" s="1"/>
  <c r="BA2239" i="2"/>
  <c r="AU1093" i="2"/>
  <c r="AZ1093" i="2" s="1"/>
  <c r="BA1093" i="2"/>
  <c r="AU114" i="2"/>
  <c r="AZ114" i="2" s="1"/>
  <c r="BA114" i="2"/>
  <c r="BA2399" i="2"/>
  <c r="AU2399" i="2"/>
  <c r="AZ2399" i="2" s="1"/>
  <c r="BB304" i="2"/>
  <c r="BC304" i="2" s="1"/>
  <c r="BI304" i="2" s="1"/>
  <c r="AU1083" i="2"/>
  <c r="AZ1083" i="2" s="1"/>
  <c r="BA1083" i="2"/>
  <c r="AU540" i="2"/>
  <c r="AZ540" i="2" s="1"/>
  <c r="BA540" i="2"/>
  <c r="AU1339" i="2"/>
  <c r="AZ1339" i="2" s="1"/>
  <c r="BA1339" i="2"/>
  <c r="BA2496" i="2"/>
  <c r="AU2496" i="2"/>
  <c r="AZ2496" i="2" s="1"/>
  <c r="AU1601" i="2"/>
  <c r="AZ1601" i="2" s="1"/>
  <c r="BA1601" i="2"/>
  <c r="BA257" i="2"/>
  <c r="AU257" i="2"/>
  <c r="AZ257" i="2" s="1"/>
  <c r="BA456" i="2"/>
  <c r="AU456" i="2"/>
  <c r="AZ456" i="2" s="1"/>
  <c r="AU1585" i="2"/>
  <c r="AZ1585" i="2" s="1"/>
  <c r="BA1585" i="2"/>
  <c r="AU2104" i="2"/>
  <c r="AZ2104" i="2" s="1"/>
  <c r="BA2104" i="2"/>
  <c r="BB921" i="2"/>
  <c r="BC921" i="2" s="1"/>
  <c r="BI921" i="2" s="1"/>
  <c r="AU786" i="2"/>
  <c r="AZ786" i="2" s="1"/>
  <c r="BA786" i="2"/>
  <c r="AU850" i="2"/>
  <c r="AZ850" i="2" s="1"/>
  <c r="BA850" i="2"/>
  <c r="BA1913" i="2"/>
  <c r="AU1913" i="2"/>
  <c r="AZ1913" i="2" s="1"/>
  <c r="AU1063" i="2"/>
  <c r="AZ1063" i="2" s="1"/>
  <c r="BA1063" i="2"/>
  <c r="BA2191" i="2"/>
  <c r="AU2191" i="2"/>
  <c r="AZ2191" i="2" s="1"/>
  <c r="BA253" i="2"/>
  <c r="AU253" i="2"/>
  <c r="AZ253" i="2" s="1"/>
  <c r="AU1247" i="2"/>
  <c r="AZ1247" i="2" s="1"/>
  <c r="BA1247" i="2"/>
  <c r="BA203" i="2"/>
  <c r="AU203" i="2"/>
  <c r="AZ203" i="2" s="1"/>
  <c r="BA259" i="2"/>
  <c r="AU259" i="2"/>
  <c r="AZ259" i="2" s="1"/>
  <c r="BA193" i="2"/>
  <c r="AU193" i="2"/>
  <c r="AZ193" i="2" s="1"/>
  <c r="AU1382" i="2"/>
  <c r="AZ1382" i="2" s="1"/>
  <c r="BA1382" i="2"/>
  <c r="BB248" i="2"/>
  <c r="BC248" i="2" s="1"/>
  <c r="BI248" i="2" s="1"/>
  <c r="BB320" i="2"/>
  <c r="BC320" i="2" s="1"/>
  <c r="BI320" i="2" s="1"/>
  <c r="AU1343" i="2"/>
  <c r="AZ1343" i="2" s="1"/>
  <c r="BA1343" i="2"/>
  <c r="BA189" i="2"/>
  <c r="AU189" i="2"/>
  <c r="AZ189" i="2" s="1"/>
  <c r="AU326" i="2"/>
  <c r="AZ326" i="2" s="1"/>
  <c r="BA326" i="2"/>
  <c r="BA133" i="2"/>
  <c r="AU133" i="2"/>
  <c r="AZ133" i="2" s="1"/>
  <c r="BA1909" i="2"/>
  <c r="AU1909" i="2"/>
  <c r="AZ1909" i="2" s="1"/>
  <c r="AU2321" i="2"/>
  <c r="AZ2321" i="2" s="1"/>
  <c r="BA2321" i="2"/>
  <c r="BA280" i="2"/>
  <c r="AU280" i="2"/>
  <c r="AZ280" i="2" s="1"/>
  <c r="BA1630" i="2"/>
  <c r="AU1630" i="2"/>
  <c r="AZ1630" i="2" s="1"/>
  <c r="BA1246" i="2"/>
  <c r="AU1246" i="2"/>
  <c r="AZ1246" i="2" s="1"/>
  <c r="AU1221" i="2"/>
  <c r="AZ1221" i="2" s="1"/>
  <c r="BA1221" i="2"/>
  <c r="AU518" i="2"/>
  <c r="AZ518" i="2" s="1"/>
  <c r="BA518" i="2"/>
  <c r="BA1614" i="2"/>
  <c r="AU1614" i="2"/>
  <c r="AZ1614" i="2" s="1"/>
  <c r="BA1294" i="2"/>
  <c r="AU1294" i="2"/>
  <c r="AZ1294" i="2" s="1"/>
  <c r="AU1822" i="2"/>
  <c r="AZ1822" i="2" s="1"/>
  <c r="BA1822" i="2"/>
  <c r="BA451" i="2"/>
  <c r="AU451" i="2"/>
  <c r="AZ451" i="2" s="1"/>
  <c r="AU1077" i="2"/>
  <c r="AZ1077" i="2" s="1"/>
  <c r="BA1077" i="2"/>
  <c r="AU1177" i="2"/>
  <c r="AZ1177" i="2" s="1"/>
  <c r="BA1177" i="2"/>
  <c r="H172" i="4"/>
  <c r="BB172" i="2"/>
  <c r="BC172" i="2" s="1"/>
  <c r="BI172" i="2" s="1"/>
  <c r="AU2261" i="2"/>
  <c r="AZ2261" i="2" s="1"/>
  <c r="BA2261" i="2"/>
  <c r="AU2293" i="2"/>
  <c r="AZ2293" i="2" s="1"/>
  <c r="BA2293" i="2"/>
  <c r="AU496" i="2"/>
  <c r="AZ496" i="2" s="1"/>
  <c r="BA496" i="2"/>
  <c r="AU1390" i="2"/>
  <c r="AZ1390" i="2" s="1"/>
  <c r="BA1390" i="2"/>
  <c r="AU502" i="2"/>
  <c r="AZ502" i="2" s="1"/>
  <c r="BA502" i="2"/>
  <c r="BB903" i="2"/>
  <c r="BC903" i="2" s="1"/>
  <c r="BI903" i="2" s="1"/>
  <c r="BA1443" i="2"/>
  <c r="AU1443" i="2"/>
  <c r="AZ1443" i="2" s="1"/>
  <c r="AU1581" i="2"/>
  <c r="AZ1581" i="2" s="1"/>
  <c r="BA1581" i="2"/>
  <c r="BA549" i="2"/>
  <c r="AU549" i="2"/>
  <c r="AZ549" i="2" s="1"/>
  <c r="BA56" i="2"/>
  <c r="AU56" i="2"/>
  <c r="AZ56" i="2" s="1"/>
  <c r="BA426" i="2"/>
  <c r="AU426" i="2"/>
  <c r="AZ426" i="2" s="1"/>
  <c r="BA1877" i="2"/>
  <c r="AU1877" i="2"/>
  <c r="AZ1877" i="2" s="1"/>
  <c r="AU38" i="2"/>
  <c r="AZ38" i="2" s="1"/>
  <c r="BA38" i="2"/>
  <c r="BA1865" i="2"/>
  <c r="AU1865" i="2"/>
  <c r="AZ1865" i="2" s="1"/>
  <c r="BA1146" i="2"/>
  <c r="AU1146" i="2"/>
  <c r="AZ1146" i="2" s="1"/>
  <c r="BA261" i="2"/>
  <c r="AU261" i="2"/>
  <c r="AZ261" i="2" s="1"/>
  <c r="AU2190" i="2"/>
  <c r="AZ2190" i="2" s="1"/>
  <c r="BA2190" i="2"/>
  <c r="AU2343" i="2"/>
  <c r="AZ2343" i="2" s="1"/>
  <c r="BA2343" i="2"/>
  <c r="AU524" i="2"/>
  <c r="AZ524" i="2" s="1"/>
  <c r="BA524" i="2"/>
  <c r="BA1985" i="2"/>
  <c r="AU1985" i="2"/>
  <c r="AZ1985" i="2" s="1"/>
  <c r="AU2199" i="2"/>
  <c r="AZ2199" i="2" s="1"/>
  <c r="BA2199" i="2"/>
  <c r="AU1722" i="2"/>
  <c r="AZ1722" i="2" s="1"/>
  <c r="BA1722" i="2"/>
  <c r="AU2487" i="2"/>
  <c r="AZ2487" i="2" s="1"/>
  <c r="BA2487" i="2"/>
  <c r="BA765" i="2"/>
  <c r="AU765" i="2"/>
  <c r="AZ765" i="2" s="1"/>
  <c r="AU1695" i="2"/>
  <c r="AZ1695" i="2" s="1"/>
  <c r="BA1695" i="2"/>
  <c r="AU1747" i="2"/>
  <c r="AZ1747" i="2" s="1"/>
  <c r="BA1747" i="2"/>
  <c r="BA2045" i="2"/>
  <c r="AU2045" i="2"/>
  <c r="AZ2045" i="2" s="1"/>
  <c r="AU2048" i="2"/>
  <c r="AZ2048" i="2" s="1"/>
  <c r="BA2048" i="2"/>
  <c r="BA1612" i="2"/>
  <c r="AU1612" i="2"/>
  <c r="AZ1612" i="2" s="1"/>
  <c r="AU1705" i="2"/>
  <c r="AZ1705" i="2" s="1"/>
  <c r="BA1705" i="2"/>
  <c r="AU2213" i="2"/>
  <c r="AZ2213" i="2" s="1"/>
  <c r="BA2213" i="2"/>
  <c r="AU454" i="2"/>
  <c r="AZ454" i="2" s="1"/>
  <c r="BA454" i="2"/>
  <c r="BA376" i="2"/>
  <c r="AU376" i="2"/>
  <c r="AZ376" i="2" s="1"/>
  <c r="BA775" i="2"/>
  <c r="AU775" i="2"/>
  <c r="AZ775" i="2" s="1"/>
  <c r="BA839" i="2"/>
  <c r="AU839" i="2"/>
  <c r="AZ839" i="2" s="1"/>
  <c r="BA2417" i="2"/>
  <c r="AU2417" i="2"/>
  <c r="AZ2417" i="2" s="1"/>
  <c r="AU1271" i="2"/>
  <c r="AZ1271" i="2" s="1"/>
  <c r="BA1271" i="2"/>
  <c r="AU1694" i="2"/>
  <c r="AZ1694" i="2" s="1"/>
  <c r="BA1694" i="2"/>
  <c r="AU2289" i="2"/>
  <c r="AZ2289" i="2" s="1"/>
  <c r="BA2289" i="2"/>
  <c r="AU1597" i="2"/>
  <c r="AZ1597" i="2" s="1"/>
  <c r="BA1597" i="2"/>
  <c r="BA1590" i="2"/>
  <c r="AU1590" i="2"/>
  <c r="AZ1590" i="2" s="1"/>
  <c r="AU247" i="2"/>
  <c r="AZ247" i="2" s="1"/>
  <c r="BA247" i="2"/>
  <c r="BA1519" i="2"/>
  <c r="AU1519" i="2"/>
  <c r="AZ1519" i="2" s="1"/>
  <c r="AU1357" i="2"/>
  <c r="AZ1357" i="2" s="1"/>
  <c r="BA1357" i="2"/>
  <c r="AU1097" i="2"/>
  <c r="AZ1097" i="2" s="1"/>
  <c r="BA1097" i="2"/>
  <c r="BA1925" i="2"/>
  <c r="AU1925" i="2"/>
  <c r="AZ1925" i="2" s="1"/>
  <c r="BA755" i="2"/>
  <c r="AU755" i="2"/>
  <c r="AZ755" i="2" s="1"/>
  <c r="BA819" i="2"/>
  <c r="AU819" i="2"/>
  <c r="AZ819" i="2" s="1"/>
  <c r="BA883" i="2"/>
  <c r="AU883" i="2"/>
  <c r="AZ883" i="2" s="1"/>
  <c r="AU1816" i="2"/>
  <c r="AZ1816" i="2" s="1"/>
  <c r="BA1816" i="2"/>
  <c r="AU146" i="2"/>
  <c r="AZ146" i="2" s="1"/>
  <c r="BA146" i="2"/>
  <c r="H176" i="4"/>
  <c r="BB176" i="2"/>
  <c r="BC176" i="2" s="1"/>
  <c r="BI176" i="2" s="1"/>
  <c r="BA1813" i="2"/>
  <c r="AU1813" i="2"/>
  <c r="AZ1813" i="2" s="1"/>
  <c r="BA551" i="2"/>
  <c r="AU551" i="2"/>
  <c r="AZ551" i="2" s="1"/>
  <c r="BA228" i="2"/>
  <c r="AU228" i="2"/>
  <c r="AZ228" i="2" s="1"/>
  <c r="AU1591" i="2"/>
  <c r="AZ1591" i="2" s="1"/>
  <c r="BA1591" i="2"/>
  <c r="AU546" i="2"/>
  <c r="AZ546" i="2" s="1"/>
  <c r="BA546" i="2"/>
  <c r="AU732" i="2"/>
  <c r="AZ732" i="2" s="1"/>
  <c r="BA732" i="2"/>
  <c r="AU1319" i="2"/>
  <c r="AZ1319" i="2" s="1"/>
  <c r="BA1319" i="2"/>
  <c r="BA457" i="2"/>
  <c r="AU457" i="2"/>
  <c r="AZ457" i="2" s="1"/>
  <c r="BA465" i="2"/>
  <c r="AU465" i="2"/>
  <c r="AZ465" i="2" s="1"/>
  <c r="BA1258" i="2"/>
  <c r="AU1258" i="2"/>
  <c r="AZ1258" i="2" s="1"/>
  <c r="AU1444" i="2"/>
  <c r="AZ1444" i="2" s="1"/>
  <c r="BA1444" i="2"/>
  <c r="AU1460" i="2"/>
  <c r="AZ1460" i="2" s="1"/>
  <c r="BA1460" i="2"/>
  <c r="AU2152" i="2"/>
  <c r="AZ2152" i="2" s="1"/>
  <c r="BA2152" i="2"/>
  <c r="AU1812" i="2"/>
  <c r="AZ1812" i="2" s="1"/>
  <c r="BA1812" i="2"/>
  <c r="BA1577" i="2"/>
  <c r="AU1577" i="2"/>
  <c r="AZ1577" i="2" s="1"/>
  <c r="BA2413" i="2"/>
  <c r="AU2413" i="2"/>
  <c r="AZ2413" i="2" s="1"/>
  <c r="AU1295" i="2"/>
  <c r="AZ1295" i="2" s="1"/>
  <c r="BA1295" i="2"/>
  <c r="AU2034" i="2"/>
  <c r="AZ2034" i="2" s="1"/>
  <c r="BA2034" i="2"/>
  <c r="BA1391" i="2"/>
  <c r="AU1391" i="2"/>
  <c r="AZ1391" i="2" s="1"/>
  <c r="AU924" i="2"/>
  <c r="AZ924" i="2" s="1"/>
  <c r="BA924" i="2"/>
  <c r="BA1656" i="2"/>
  <c r="AU1656" i="2"/>
  <c r="AZ1656" i="2" s="1"/>
  <c r="AU1645" i="2"/>
  <c r="AZ1645" i="2" s="1"/>
  <c r="BA1645" i="2"/>
  <c r="BA2157" i="2"/>
  <c r="AU2157" i="2"/>
  <c r="AZ2157" i="2" s="1"/>
  <c r="BA5" i="2"/>
  <c r="AU5" i="2"/>
  <c r="AZ5" i="2" s="1"/>
  <c r="BB1143" i="2"/>
  <c r="BC1143" i="2" s="1"/>
  <c r="BI1143" i="2" s="1"/>
  <c r="AU1139" i="2"/>
  <c r="AZ1139" i="2" s="1"/>
  <c r="BA1139" i="2"/>
  <c r="BA64" i="2"/>
  <c r="AU64" i="2"/>
  <c r="AZ64" i="2" s="1"/>
  <c r="AU1191" i="2"/>
  <c r="AZ1191" i="2" s="1"/>
  <c r="BA1191" i="2"/>
  <c r="BA507" i="2"/>
  <c r="AU507" i="2"/>
  <c r="AZ507" i="2" s="1"/>
  <c r="BA1993" i="2"/>
  <c r="AU1993" i="2"/>
  <c r="AZ1993" i="2" s="1"/>
  <c r="BA1995" i="2"/>
  <c r="AU1995" i="2"/>
  <c r="AZ1995" i="2" s="1"/>
  <c r="AU2359" i="2"/>
  <c r="AZ2359" i="2" s="1"/>
  <c r="BA2359" i="2"/>
  <c r="BA336" i="2"/>
  <c r="AU336" i="2"/>
  <c r="AZ336" i="2" s="1"/>
  <c r="AU46" i="2"/>
  <c r="AZ46" i="2" s="1"/>
  <c r="BA46" i="2"/>
  <c r="AU22" i="2"/>
  <c r="AZ22" i="2" s="1"/>
  <c r="BA22" i="2"/>
  <c r="BA1901" i="2"/>
  <c r="AU1901" i="2"/>
  <c r="AZ1901" i="2" s="1"/>
  <c r="BA1965" i="2"/>
  <c r="AU1965" i="2"/>
  <c r="AZ1965" i="2" s="1"/>
  <c r="BA1967" i="2"/>
  <c r="AU1967" i="2"/>
  <c r="AZ1967" i="2" s="1"/>
  <c r="AU774" i="2"/>
  <c r="AZ774" i="2" s="1"/>
  <c r="BA774" i="2"/>
  <c r="AU838" i="2"/>
  <c r="AZ838" i="2" s="1"/>
  <c r="BA838" i="2"/>
  <c r="AU2291" i="2"/>
  <c r="AZ2291" i="2" s="1"/>
  <c r="BA2291" i="2"/>
  <c r="BA2177" i="2"/>
  <c r="AU2177" i="2"/>
  <c r="AZ2177" i="2" s="1"/>
  <c r="BA2405" i="2"/>
  <c r="AU2405" i="2"/>
  <c r="AZ2405" i="2" s="1"/>
  <c r="BA857" i="2"/>
  <c r="AU857" i="2"/>
  <c r="AZ857" i="2" s="1"/>
  <c r="AU366" i="2"/>
  <c r="AZ366" i="2" s="1"/>
  <c r="BA366" i="2"/>
  <c r="BA1606" i="2"/>
  <c r="AU1606" i="2"/>
  <c r="AZ1606" i="2" s="1"/>
  <c r="BB452" i="2"/>
  <c r="BC452" i="2" s="1"/>
  <c r="BI452" i="2" s="1"/>
  <c r="AU649" i="2"/>
  <c r="AZ649" i="2" s="1"/>
  <c r="BA649" i="2"/>
  <c r="BA2001" i="2"/>
  <c r="AU2001" i="2"/>
  <c r="AZ2001" i="2" s="1"/>
  <c r="AU1796" i="2"/>
  <c r="AZ1796" i="2" s="1"/>
  <c r="BA1796" i="2"/>
  <c r="AU1353" i="2"/>
  <c r="AZ1353" i="2" s="1"/>
  <c r="BA1353" i="2"/>
  <c r="AU1866" i="2"/>
  <c r="AZ1866" i="2" s="1"/>
  <c r="BA1866" i="2"/>
  <c r="AU1882" i="2"/>
  <c r="AZ1882" i="2" s="1"/>
  <c r="BA1882" i="2"/>
  <c r="AU1898" i="2"/>
  <c r="AZ1898" i="2" s="1"/>
  <c r="BA1898" i="2"/>
  <c r="AU1914" i="2"/>
  <c r="AZ1914" i="2" s="1"/>
  <c r="BA1914" i="2"/>
  <c r="AU1930" i="2"/>
  <c r="AZ1930" i="2" s="1"/>
  <c r="BA1930" i="2"/>
  <c r="AU1946" i="2"/>
  <c r="AZ1946" i="2" s="1"/>
  <c r="BA1946" i="2"/>
  <c r="AU1962" i="2"/>
  <c r="AZ1962" i="2" s="1"/>
  <c r="BA1962" i="2"/>
  <c r="AU1986" i="2"/>
  <c r="AZ1986" i="2" s="1"/>
  <c r="BA1986" i="2"/>
  <c r="AU2002" i="2"/>
  <c r="AZ2002" i="2" s="1"/>
  <c r="BA2002" i="2"/>
  <c r="AU2018" i="2"/>
  <c r="AZ2018" i="2" s="1"/>
  <c r="BA2018" i="2"/>
  <c r="H168" i="4"/>
  <c r="BB168" i="2"/>
  <c r="BC168" i="2" s="1"/>
  <c r="BI168" i="2" s="1"/>
  <c r="BA1441" i="2"/>
  <c r="AU1441" i="2"/>
  <c r="AZ1441" i="2" s="1"/>
  <c r="AU2058" i="2"/>
  <c r="AZ2058" i="2" s="1"/>
  <c r="BA2058" i="2"/>
  <c r="AU2106" i="2"/>
  <c r="AZ2106" i="2" s="1"/>
  <c r="BA2106" i="2"/>
  <c r="AU1667" i="2"/>
  <c r="AZ1667" i="2" s="1"/>
  <c r="BA1667" i="2"/>
  <c r="BA1262" i="2"/>
  <c r="AU1262" i="2"/>
  <c r="AZ1262" i="2" s="1"/>
  <c r="BA1672" i="2"/>
  <c r="AU1672" i="2"/>
  <c r="AZ1672" i="2" s="1"/>
  <c r="BA1688" i="2"/>
  <c r="AU1688" i="2"/>
  <c r="AZ1688" i="2" s="1"/>
  <c r="BA1704" i="2"/>
  <c r="AU1704" i="2"/>
  <c r="AZ1704" i="2" s="1"/>
  <c r="BA1720" i="2"/>
  <c r="AU1720" i="2"/>
  <c r="AZ1720" i="2" s="1"/>
  <c r="BA1736" i="2"/>
  <c r="AU1736" i="2"/>
  <c r="AZ1736" i="2" s="1"/>
  <c r="BA1752" i="2"/>
  <c r="AU1752" i="2"/>
  <c r="AZ1752" i="2" s="1"/>
  <c r="BA2110" i="2"/>
  <c r="AU2110" i="2"/>
  <c r="AZ2110" i="2" s="1"/>
  <c r="BA435" i="2"/>
  <c r="AU435" i="2"/>
  <c r="AZ435" i="2" s="1"/>
  <c r="BA1616" i="2"/>
  <c r="AU1616" i="2"/>
  <c r="AZ1616" i="2" s="1"/>
  <c r="AU1335" i="2"/>
  <c r="AZ1335" i="2" s="1"/>
  <c r="BA1335" i="2"/>
  <c r="AU534" i="2"/>
  <c r="AZ534" i="2" s="1"/>
  <c r="BA534" i="2"/>
  <c r="AU1053" i="2"/>
  <c r="AZ1053" i="2" s="1"/>
  <c r="BA1053" i="2"/>
  <c r="AU1309" i="2"/>
  <c r="AZ1309" i="2" s="1"/>
  <c r="BA1309" i="2"/>
  <c r="BA1841" i="2"/>
  <c r="AU1841" i="2"/>
  <c r="AZ1841" i="2" s="1"/>
  <c r="AU657" i="2"/>
  <c r="AZ657" i="2" s="1"/>
  <c r="BA657" i="2"/>
  <c r="AU2180" i="2"/>
  <c r="AZ2180" i="2" s="1"/>
  <c r="BA2180" i="2"/>
  <c r="AU1880" i="2"/>
  <c r="AZ1880" i="2" s="1"/>
  <c r="BA1880" i="2"/>
  <c r="AU1912" i="2"/>
  <c r="AZ1912" i="2" s="1"/>
  <c r="BA1912" i="2"/>
  <c r="AU1944" i="2"/>
  <c r="AZ1944" i="2" s="1"/>
  <c r="BA1944" i="2"/>
  <c r="AU2108" i="2"/>
  <c r="AZ2108" i="2" s="1"/>
  <c r="BA2108" i="2"/>
  <c r="BA2071" i="2"/>
  <c r="AU2071" i="2"/>
  <c r="AZ2071" i="2" s="1"/>
  <c r="BB915" i="2"/>
  <c r="BC915" i="2" s="1"/>
  <c r="BI915" i="2" s="1"/>
  <c r="BA463" i="2"/>
  <c r="AU463" i="2"/>
  <c r="AZ463" i="2" s="1"/>
  <c r="AU828" i="2"/>
  <c r="AZ828" i="2" s="1"/>
  <c r="BA828" i="2"/>
  <c r="BB1787" i="2"/>
  <c r="BC1787" i="2" s="1"/>
  <c r="BI1787" i="2" s="1"/>
  <c r="BA177" i="2"/>
  <c r="AU177" i="2"/>
  <c r="AZ177" i="2" s="1"/>
  <c r="H112" i="4"/>
  <c r="BB112" i="2"/>
  <c r="BC112" i="2" s="1"/>
  <c r="BI112" i="2" s="1"/>
  <c r="BA1411" i="2"/>
  <c r="AU1411" i="2"/>
  <c r="AZ1411" i="2" s="1"/>
  <c r="BB1795" i="2"/>
  <c r="BC1795" i="2" s="1"/>
  <c r="BI1795" i="2" s="1"/>
  <c r="BA455" i="2"/>
  <c r="AU455" i="2"/>
  <c r="AZ455" i="2" s="1"/>
  <c r="BA335" i="2"/>
  <c r="AU335" i="2"/>
  <c r="AZ335" i="2" s="1"/>
  <c r="BA367" i="2"/>
  <c r="AU367" i="2"/>
  <c r="AZ367" i="2" s="1"/>
  <c r="BA399" i="2"/>
  <c r="AU399" i="2"/>
  <c r="AZ399" i="2" s="1"/>
  <c r="AU1690" i="2"/>
  <c r="AZ1690" i="2" s="1"/>
  <c r="BA1690" i="2"/>
  <c r="AU2150" i="2"/>
  <c r="AZ2150" i="2" s="1"/>
  <c r="BA2150" i="2"/>
  <c r="BA933" i="2"/>
  <c r="AU933" i="2"/>
  <c r="AZ933" i="2" s="1"/>
  <c r="BA941" i="2"/>
  <c r="AU941" i="2"/>
  <c r="AZ941" i="2" s="1"/>
  <c r="BA949" i="2"/>
  <c r="AU949" i="2"/>
  <c r="AZ949" i="2" s="1"/>
  <c r="BA957" i="2"/>
  <c r="AU957" i="2"/>
  <c r="AZ957" i="2" s="1"/>
  <c r="BA965" i="2"/>
  <c r="AU965" i="2"/>
  <c r="AZ965" i="2" s="1"/>
  <c r="BA973" i="2"/>
  <c r="AU973" i="2"/>
  <c r="AZ973" i="2" s="1"/>
  <c r="BA981" i="2"/>
  <c r="AU981" i="2"/>
  <c r="AZ981" i="2" s="1"/>
  <c r="BA989" i="2"/>
  <c r="AU989" i="2"/>
  <c r="AZ989" i="2" s="1"/>
  <c r="BA997" i="2"/>
  <c r="AU997" i="2"/>
  <c r="AZ997" i="2" s="1"/>
  <c r="BA1005" i="2"/>
  <c r="AU1005" i="2"/>
  <c r="AZ1005" i="2" s="1"/>
  <c r="BA1013" i="2"/>
  <c r="AU1013" i="2"/>
  <c r="AZ1013" i="2" s="1"/>
  <c r="BA1021" i="2"/>
  <c r="AU1021" i="2"/>
  <c r="AZ1021" i="2" s="1"/>
  <c r="BA1029" i="2"/>
  <c r="AU1029" i="2"/>
  <c r="AZ1029" i="2" s="1"/>
  <c r="BA1037" i="2"/>
  <c r="AU1037" i="2"/>
  <c r="AZ1037" i="2" s="1"/>
  <c r="AU154" i="2"/>
  <c r="AZ154" i="2" s="1"/>
  <c r="BA154" i="2"/>
  <c r="BA2122" i="2"/>
  <c r="AU2122" i="2"/>
  <c r="AZ2122" i="2" s="1"/>
  <c r="BA2130" i="2"/>
  <c r="AU2130" i="2"/>
  <c r="AZ2130" i="2" s="1"/>
  <c r="BA2138" i="2"/>
  <c r="AU2138" i="2"/>
  <c r="AZ2138" i="2" s="1"/>
  <c r="AU808" i="2"/>
  <c r="AZ808" i="2" s="1"/>
  <c r="BA808" i="2"/>
  <c r="BA317" i="2"/>
  <c r="AU317" i="2"/>
  <c r="AZ317" i="2" s="1"/>
  <c r="BA236" i="2"/>
  <c r="AU236" i="2"/>
  <c r="AZ236" i="2" s="1"/>
  <c r="AU542" i="2"/>
  <c r="AZ542" i="2" s="1"/>
  <c r="BA542" i="2"/>
  <c r="AU2174" i="2"/>
  <c r="AZ2174" i="2" s="1"/>
  <c r="BA2174" i="2"/>
  <c r="AU1682" i="2"/>
  <c r="AZ1682" i="2" s="1"/>
  <c r="BA1682" i="2"/>
  <c r="AU1678" i="2"/>
  <c r="AZ1678" i="2" s="1"/>
  <c r="BA1678" i="2"/>
  <c r="BA2320" i="2"/>
  <c r="AU2320" i="2"/>
  <c r="AZ2320" i="2" s="1"/>
  <c r="BA1829" i="2"/>
  <c r="AU1829" i="2"/>
  <c r="AZ1829" i="2" s="1"/>
  <c r="AU1075" i="2"/>
  <c r="AZ1075" i="2" s="1"/>
  <c r="BA1075" i="2"/>
  <c r="AU1699" i="2"/>
  <c r="AZ1699" i="2" s="1"/>
  <c r="BA1699" i="2"/>
  <c r="AU2251" i="2"/>
  <c r="AZ2251" i="2" s="1"/>
  <c r="BA2251" i="2"/>
  <c r="AU2201" i="2"/>
  <c r="AZ2201" i="2" s="1"/>
  <c r="BA2201" i="2"/>
  <c r="AU2297" i="2"/>
  <c r="AZ2297" i="2" s="1"/>
  <c r="BA2297" i="2"/>
  <c r="BA474" i="2"/>
  <c r="AU474" i="2"/>
  <c r="AZ474" i="2" s="1"/>
  <c r="AU848" i="2"/>
  <c r="AZ848" i="2" s="1"/>
  <c r="BA848" i="2"/>
  <c r="BA417" i="2"/>
  <c r="AU417" i="2"/>
  <c r="AZ417" i="2" s="1"/>
  <c r="BA1666" i="2"/>
  <c r="AU1666" i="2"/>
  <c r="AZ1666" i="2" s="1"/>
  <c r="BA235" i="2"/>
  <c r="AU235" i="2"/>
  <c r="AZ235" i="2" s="1"/>
  <c r="AU2353" i="2"/>
  <c r="AZ2353" i="2" s="1"/>
  <c r="BA2353" i="2"/>
  <c r="AU950" i="2"/>
  <c r="AZ950" i="2" s="1"/>
  <c r="BA950" i="2"/>
  <c r="AU966" i="2"/>
  <c r="AZ966" i="2" s="1"/>
  <c r="BA966" i="2"/>
  <c r="AU982" i="2"/>
  <c r="AZ982" i="2" s="1"/>
  <c r="BA982" i="2"/>
  <c r="AU998" i="2"/>
  <c r="AZ998" i="2" s="1"/>
  <c r="BA998" i="2"/>
  <c r="AU1014" i="2"/>
  <c r="AZ1014" i="2" s="1"/>
  <c r="BA1014" i="2"/>
  <c r="AU1030" i="2"/>
  <c r="AZ1030" i="2" s="1"/>
  <c r="BA1030" i="2"/>
  <c r="AU1770" i="2"/>
  <c r="AZ1770" i="2" s="1"/>
  <c r="BA1770" i="2"/>
  <c r="AU1802" i="2"/>
  <c r="AZ1802" i="2" s="1"/>
  <c r="BA1802" i="2"/>
  <c r="AU1834" i="2"/>
  <c r="AZ1834" i="2" s="1"/>
  <c r="BA1834" i="2"/>
  <c r="BA1863" i="2"/>
  <c r="AU1863" i="2"/>
  <c r="AZ1863" i="2" s="1"/>
  <c r="BA1895" i="2"/>
  <c r="AU1895" i="2"/>
  <c r="AZ1895" i="2" s="1"/>
  <c r="BA1927" i="2"/>
  <c r="AU1927" i="2"/>
  <c r="AZ1927" i="2" s="1"/>
  <c r="AU1109" i="2"/>
  <c r="AZ1109" i="2" s="1"/>
  <c r="BA1109" i="2"/>
  <c r="AU776" i="2"/>
  <c r="AZ776" i="2" s="1"/>
  <c r="BA776" i="2"/>
  <c r="BA1580" i="2"/>
  <c r="AU1580" i="2"/>
  <c r="AZ1580" i="2" s="1"/>
  <c r="AU886" i="2"/>
  <c r="AZ886" i="2" s="1"/>
  <c r="BA886" i="2"/>
  <c r="AU902" i="2"/>
  <c r="AZ902" i="2" s="1"/>
  <c r="BA902" i="2"/>
  <c r="AU918" i="2"/>
  <c r="AZ918" i="2" s="1"/>
  <c r="BA918" i="2"/>
  <c r="BA1360" i="2"/>
  <c r="AU1360" i="2"/>
  <c r="AZ1360" i="2" s="1"/>
  <c r="AU1267" i="2"/>
  <c r="AZ1267" i="2" s="1"/>
  <c r="BA1267" i="2"/>
  <c r="BA2407" i="2"/>
  <c r="AU2407" i="2"/>
  <c r="AZ2407" i="2" s="1"/>
  <c r="BA268" i="2"/>
  <c r="AU268" i="2"/>
  <c r="AZ268" i="2" s="1"/>
  <c r="AU1105" i="2"/>
  <c r="AZ1105" i="2" s="1"/>
  <c r="BA1105" i="2"/>
  <c r="BA1957" i="2"/>
  <c r="AU1957" i="2"/>
  <c r="AZ1957" i="2" s="1"/>
  <c r="AU2485" i="2"/>
  <c r="AZ2485" i="2" s="1"/>
  <c r="BA2485" i="2"/>
  <c r="BA545" i="2"/>
  <c r="AU545" i="2"/>
  <c r="AZ545" i="2" s="1"/>
  <c r="BA1953" i="2"/>
  <c r="AU1953" i="2"/>
  <c r="AZ1953" i="2" s="1"/>
  <c r="AU55" i="2"/>
  <c r="AZ55" i="2" s="1"/>
  <c r="BA55" i="2"/>
  <c r="BA558" i="2"/>
  <c r="AU558" i="2"/>
  <c r="AZ558" i="2" s="1"/>
  <c r="BA566" i="2"/>
  <c r="AU566" i="2"/>
  <c r="AZ566" i="2" s="1"/>
  <c r="BA574" i="2"/>
  <c r="AU574" i="2"/>
  <c r="AZ574" i="2" s="1"/>
  <c r="BA582" i="2"/>
  <c r="AU582" i="2"/>
  <c r="AZ582" i="2" s="1"/>
  <c r="BA590" i="2"/>
  <c r="AU590" i="2"/>
  <c r="AZ590" i="2" s="1"/>
  <c r="BA598" i="2"/>
  <c r="AU598" i="2"/>
  <c r="AZ598" i="2" s="1"/>
  <c r="BA606" i="2"/>
  <c r="AU606" i="2"/>
  <c r="AZ606" i="2" s="1"/>
  <c r="BA614" i="2"/>
  <c r="AU614" i="2"/>
  <c r="AZ614" i="2" s="1"/>
  <c r="AU2243" i="2"/>
  <c r="AZ2243" i="2" s="1"/>
  <c r="BA2243" i="2"/>
  <c r="BA1453" i="2"/>
  <c r="AU1453" i="2"/>
  <c r="AZ1453" i="2" s="1"/>
  <c r="AU1701" i="2"/>
  <c r="AZ1701" i="2" s="1"/>
  <c r="BA1701" i="2"/>
  <c r="AU2481" i="2"/>
  <c r="AZ2481" i="2" s="1"/>
  <c r="BA2481" i="2"/>
  <c r="AU1691" i="2"/>
  <c r="AZ1691" i="2" s="1"/>
  <c r="BA1691" i="2"/>
  <c r="AU1731" i="2"/>
  <c r="AZ1731" i="2" s="1"/>
  <c r="BA1731" i="2"/>
  <c r="BA127" i="2"/>
  <c r="AU127" i="2"/>
  <c r="AZ127" i="2" s="1"/>
  <c r="BA477" i="2"/>
  <c r="AU477" i="2"/>
  <c r="AZ477" i="2" s="1"/>
  <c r="BA735" i="2"/>
  <c r="AU735" i="2"/>
  <c r="AZ735" i="2" s="1"/>
  <c r="BA799" i="2"/>
  <c r="AU799" i="2"/>
  <c r="AZ799" i="2" s="1"/>
  <c r="BA863" i="2"/>
  <c r="AU863" i="2"/>
  <c r="AZ863" i="2" s="1"/>
  <c r="AU1217" i="2"/>
  <c r="AZ1217" i="2" s="1"/>
  <c r="BA1217" i="2"/>
  <c r="AU1303" i="2"/>
  <c r="AZ1303" i="2" s="1"/>
  <c r="BA1303" i="2"/>
  <c r="AU1876" i="2"/>
  <c r="AZ1876" i="2" s="1"/>
  <c r="BA1876" i="2"/>
  <c r="AU1908" i="2"/>
  <c r="AZ1908" i="2" s="1"/>
  <c r="BA1908" i="2"/>
  <c r="AU1940" i="2"/>
  <c r="AZ1940" i="2" s="1"/>
  <c r="BA1940" i="2"/>
  <c r="BA533" i="2"/>
  <c r="AU533" i="2"/>
  <c r="AZ533" i="2" s="1"/>
  <c r="AU1663" i="2"/>
  <c r="AZ1663" i="2" s="1"/>
  <c r="BA1663" i="2"/>
  <c r="BA1236" i="2"/>
  <c r="AU1236" i="2"/>
  <c r="AZ1236" i="2" s="1"/>
  <c r="H196" i="4"/>
  <c r="BB196" i="2"/>
  <c r="BC196" i="2" s="1"/>
  <c r="BI196" i="2" s="1"/>
  <c r="BA1068" i="2"/>
  <c r="AU1068" i="2"/>
  <c r="AZ1068" i="2" s="1"/>
  <c r="BA1100" i="2"/>
  <c r="AU1100" i="2"/>
  <c r="AZ1100" i="2" s="1"/>
  <c r="BA1132" i="2"/>
  <c r="AU1132" i="2"/>
  <c r="AZ1132" i="2" s="1"/>
  <c r="BA40" i="2"/>
  <c r="AU40" i="2"/>
  <c r="AZ40" i="2" s="1"/>
  <c r="BA10" i="2"/>
  <c r="AU10" i="2"/>
  <c r="AZ10" i="2" s="1"/>
  <c r="BA1045" i="2"/>
  <c r="AU1045" i="2"/>
  <c r="AZ1045" i="2" s="1"/>
  <c r="AU1698" i="2"/>
  <c r="AZ1698" i="2" s="1"/>
  <c r="BA1698" i="2"/>
  <c r="BA403" i="2"/>
  <c r="AU403" i="2"/>
  <c r="AZ403" i="2" s="1"/>
  <c r="BA2465" i="2"/>
  <c r="AU2465" i="2"/>
  <c r="AZ2465" i="2" s="1"/>
  <c r="BA1773" i="2"/>
  <c r="AU1773" i="2"/>
  <c r="AZ1773" i="2" s="1"/>
  <c r="AU1647" i="2"/>
  <c r="AZ1647" i="2" s="1"/>
  <c r="BA1647" i="2"/>
  <c r="AU2062" i="2"/>
  <c r="AZ2062" i="2" s="1"/>
  <c r="BA2062" i="2"/>
  <c r="BA26" i="2"/>
  <c r="AU26" i="2"/>
  <c r="AZ26" i="2" s="1"/>
  <c r="AU1193" i="2"/>
  <c r="AZ1193" i="2" s="1"/>
  <c r="BA1193" i="2"/>
  <c r="BA1437" i="2"/>
  <c r="AU1437" i="2"/>
  <c r="AZ1437" i="2" s="1"/>
  <c r="AU1623" i="2"/>
  <c r="AZ1623" i="2" s="1"/>
  <c r="BA1623" i="2"/>
  <c r="BA1777" i="2"/>
  <c r="AU1777" i="2"/>
  <c r="AZ1777" i="2" s="1"/>
  <c r="BA266" i="2"/>
  <c r="AU266" i="2"/>
  <c r="AZ266" i="2" s="1"/>
  <c r="AU1087" i="2"/>
  <c r="AZ1087" i="2" s="1"/>
  <c r="BA1087" i="2"/>
  <c r="BA1148" i="2"/>
  <c r="AU1148" i="2"/>
  <c r="AZ1148" i="2" s="1"/>
  <c r="BA121" i="2"/>
  <c r="AU121" i="2"/>
  <c r="AZ121" i="2" s="1"/>
  <c r="BB913" i="2"/>
  <c r="BC913" i="2" s="1"/>
  <c r="BI913" i="2" s="1"/>
  <c r="H184" i="4"/>
  <c r="BB184" i="2"/>
  <c r="BC184" i="2" s="1"/>
  <c r="BI184" i="2" s="1"/>
  <c r="AU780" i="2"/>
  <c r="AZ780" i="2" s="1"/>
  <c r="BA780" i="2"/>
  <c r="AU1766" i="2"/>
  <c r="AZ1766" i="2" s="1"/>
  <c r="BA1766" i="2"/>
  <c r="AU1697" i="2"/>
  <c r="AZ1697" i="2" s="1"/>
  <c r="BA1697" i="2"/>
  <c r="AU1299" i="2"/>
  <c r="AZ1299" i="2" s="1"/>
  <c r="BA1299" i="2"/>
  <c r="BA2488" i="2"/>
  <c r="AU2488" i="2"/>
  <c r="AZ2488" i="2" s="1"/>
  <c r="AU653" i="2"/>
  <c r="AZ653" i="2" s="1"/>
  <c r="BA653" i="2"/>
  <c r="AU723" i="2"/>
  <c r="AZ723" i="2" s="1"/>
  <c r="BA723" i="2"/>
  <c r="AU86" i="2"/>
  <c r="AZ86" i="2" s="1"/>
  <c r="BA86" i="2"/>
  <c r="BA347" i="2"/>
  <c r="AU347" i="2"/>
  <c r="AZ347" i="2" s="1"/>
  <c r="AU677" i="2"/>
  <c r="AZ677" i="2" s="1"/>
  <c r="BA677" i="2"/>
  <c r="AU647" i="2"/>
  <c r="AZ647" i="2" s="1"/>
  <c r="BA647" i="2"/>
  <c r="AU2196" i="2"/>
  <c r="AZ2196" i="2" s="1"/>
  <c r="BA2196" i="2"/>
  <c r="BA1479" i="2"/>
  <c r="AU1479" i="2"/>
  <c r="AZ1479" i="2" s="1"/>
  <c r="BA1533" i="2"/>
  <c r="AU1533" i="2"/>
  <c r="AZ1533" i="2" s="1"/>
  <c r="BA1539" i="2"/>
  <c r="AU1539" i="2"/>
  <c r="AZ1539" i="2" s="1"/>
  <c r="BA2063" i="2"/>
  <c r="AU2063" i="2"/>
  <c r="AZ2063" i="2" s="1"/>
  <c r="AU637" i="2"/>
  <c r="AZ637" i="2" s="1"/>
  <c r="BA637" i="2"/>
  <c r="AU1964" i="2"/>
  <c r="AZ1964" i="2" s="1"/>
  <c r="BA1964" i="2"/>
  <c r="AU1980" i="2"/>
  <c r="AZ1980" i="2" s="1"/>
  <c r="BA1980" i="2"/>
  <c r="AU1996" i="2"/>
  <c r="AZ1996" i="2" s="1"/>
  <c r="BA1996" i="2"/>
  <c r="AU2012" i="2"/>
  <c r="AZ2012" i="2" s="1"/>
  <c r="BA2012" i="2"/>
  <c r="BA260" i="2"/>
  <c r="AU260" i="2"/>
  <c r="AZ260" i="2" s="1"/>
  <c r="BA21" i="2"/>
  <c r="AU21" i="2"/>
  <c r="AZ21" i="2" s="1"/>
  <c r="AU286" i="2"/>
  <c r="AZ286" i="2" s="1"/>
  <c r="BA286" i="2"/>
  <c r="AU1613" i="2"/>
  <c r="AZ1613" i="2" s="1"/>
  <c r="BA1613" i="2"/>
  <c r="AU2115" i="2"/>
  <c r="AZ2115" i="2" s="1"/>
  <c r="BA2115" i="2"/>
  <c r="AU2123" i="2"/>
  <c r="AZ2123" i="2" s="1"/>
  <c r="BA2123" i="2"/>
  <c r="AU2131" i="2"/>
  <c r="AZ2131" i="2" s="1"/>
  <c r="BA2131" i="2"/>
  <c r="AU2139" i="2"/>
  <c r="AZ2139" i="2" s="1"/>
  <c r="BA2139" i="2"/>
  <c r="AU6" i="2"/>
  <c r="AZ6" i="2" s="1"/>
  <c r="BA6" i="2"/>
  <c r="AU561" i="2"/>
  <c r="AZ561" i="2" s="1"/>
  <c r="BA561" i="2"/>
  <c r="AU569" i="2"/>
  <c r="AZ569" i="2" s="1"/>
  <c r="BA569" i="2"/>
  <c r="AU577" i="2"/>
  <c r="AZ577" i="2" s="1"/>
  <c r="BA577" i="2"/>
  <c r="AU585" i="2"/>
  <c r="AZ585" i="2" s="1"/>
  <c r="BA585" i="2"/>
  <c r="AU593" i="2"/>
  <c r="AZ593" i="2" s="1"/>
  <c r="BA593" i="2"/>
  <c r="AU601" i="2"/>
  <c r="AZ601" i="2" s="1"/>
  <c r="BA601" i="2"/>
  <c r="AU609" i="2"/>
  <c r="AZ609" i="2" s="1"/>
  <c r="BA609" i="2"/>
  <c r="AU617" i="2"/>
  <c r="AZ617" i="2" s="1"/>
  <c r="BA617" i="2"/>
  <c r="BB380" i="2"/>
  <c r="BC380" i="2" s="1"/>
  <c r="BI380" i="2" s="1"/>
  <c r="AU390" i="2"/>
  <c r="AZ390" i="2" s="1"/>
  <c r="BA390" i="2"/>
  <c r="AU1603" i="2"/>
  <c r="AZ1603" i="2" s="1"/>
  <c r="BA1603" i="2"/>
  <c r="BA1162" i="2"/>
  <c r="AU1162" i="2"/>
  <c r="AZ1162" i="2" s="1"/>
  <c r="AU2257" i="2"/>
  <c r="AZ2257" i="2" s="1"/>
  <c r="BA2257" i="2"/>
  <c r="BA1254" i="2"/>
  <c r="AU1254" i="2"/>
  <c r="AZ1254" i="2" s="1"/>
  <c r="AU1768" i="2"/>
  <c r="AZ1768" i="2" s="1"/>
  <c r="BA1768" i="2"/>
  <c r="AU726" i="2"/>
  <c r="AZ726" i="2" s="1"/>
  <c r="BA726" i="2"/>
  <c r="AU782" i="2"/>
  <c r="AZ782" i="2" s="1"/>
  <c r="BA782" i="2"/>
  <c r="AU846" i="2"/>
  <c r="AZ846" i="2" s="1"/>
  <c r="BA846" i="2"/>
  <c r="BA1226" i="2"/>
  <c r="AU1226" i="2"/>
  <c r="AZ1226" i="2" s="1"/>
  <c r="AU2400" i="2"/>
  <c r="AZ2400" i="2" s="1"/>
  <c r="BA2400" i="2"/>
  <c r="BA67" i="2"/>
  <c r="AU67" i="2"/>
  <c r="AZ67" i="2" s="1"/>
  <c r="BB256" i="2"/>
  <c r="BC256" i="2" s="1"/>
  <c r="BI256" i="2" s="1"/>
  <c r="BA405" i="2"/>
  <c r="AU405" i="2"/>
  <c r="AZ405" i="2" s="1"/>
  <c r="BB927" i="2"/>
  <c r="BC927" i="2" s="1"/>
  <c r="BI927" i="2" s="1"/>
  <c r="AU19" i="2"/>
  <c r="AZ19" i="2" s="1"/>
  <c r="BA19" i="2"/>
  <c r="AU643" i="2"/>
  <c r="AZ643" i="2" s="1"/>
  <c r="BA643" i="2"/>
  <c r="AU707" i="2"/>
  <c r="AZ707" i="2" s="1"/>
  <c r="BA707" i="2"/>
  <c r="AU2111" i="2"/>
  <c r="AZ2111" i="2" s="1"/>
  <c r="BA2111" i="2"/>
  <c r="BA421" i="2"/>
  <c r="AU421" i="2"/>
  <c r="AZ421" i="2" s="1"/>
  <c r="AU1227" i="2"/>
  <c r="AZ1227" i="2" s="1"/>
  <c r="BA1227" i="2"/>
  <c r="AU1554" i="2"/>
  <c r="AZ1554" i="2" s="1"/>
  <c r="BA1554" i="2"/>
  <c r="AU1570" i="2"/>
  <c r="AZ1570" i="2" s="1"/>
  <c r="BA1570" i="2"/>
  <c r="BB396" i="2"/>
  <c r="BC396" i="2" s="1"/>
  <c r="BI396" i="2" s="1"/>
  <c r="AU1153" i="2"/>
  <c r="AZ1153" i="2" s="1"/>
  <c r="BA1153" i="2"/>
  <c r="AU1161" i="2"/>
  <c r="AZ1161" i="2" s="1"/>
  <c r="BA1161" i="2"/>
  <c r="AU1169" i="2"/>
  <c r="AZ1169" i="2" s="1"/>
  <c r="BA1169" i="2"/>
  <c r="BA1929" i="2"/>
  <c r="AU1929" i="2"/>
  <c r="AZ1929" i="2" s="1"/>
  <c r="BA2340" i="2"/>
  <c r="AU2340" i="2"/>
  <c r="AZ2340" i="2" s="1"/>
  <c r="BA2372" i="2"/>
  <c r="AU2372" i="2"/>
  <c r="AZ2372" i="2" s="1"/>
  <c r="BA1433" i="2"/>
  <c r="AU1433" i="2"/>
  <c r="AZ1433" i="2" s="1"/>
  <c r="AU2430" i="2"/>
  <c r="AZ2430" i="2" s="1"/>
  <c r="BA2430" i="2"/>
  <c r="BA227" i="2"/>
  <c r="AU227" i="2"/>
  <c r="AZ227" i="2" s="1"/>
  <c r="AU126" i="2"/>
  <c r="AZ126" i="2" s="1"/>
  <c r="BA126" i="2"/>
  <c r="BA763" i="2"/>
  <c r="AU763" i="2"/>
  <c r="AZ763" i="2" s="1"/>
  <c r="BA827" i="2"/>
  <c r="AU827" i="2"/>
  <c r="AZ827" i="2" s="1"/>
  <c r="BA220" i="2"/>
  <c r="AU220" i="2"/>
  <c r="AZ220" i="2" s="1"/>
  <c r="AU1442" i="2"/>
  <c r="AZ1442" i="2" s="1"/>
  <c r="BA1442" i="2"/>
  <c r="AU1583" i="2"/>
  <c r="AZ1583" i="2" s="1"/>
  <c r="BA1583" i="2"/>
  <c r="BA1062" i="2"/>
  <c r="AU1062" i="2"/>
  <c r="AZ1062" i="2" s="1"/>
  <c r="BA1094" i="2"/>
  <c r="AU1094" i="2"/>
  <c r="AZ1094" i="2" s="1"/>
  <c r="BA1126" i="2"/>
  <c r="AU1126" i="2"/>
  <c r="AZ1126" i="2" s="1"/>
  <c r="BA2181" i="2"/>
  <c r="AU2181" i="2"/>
  <c r="AZ2181" i="2" s="1"/>
  <c r="BA141" i="2"/>
  <c r="AU141" i="2"/>
  <c r="AZ141" i="2" s="1"/>
  <c r="AU1189" i="2"/>
  <c r="AZ1189" i="2" s="1"/>
  <c r="BA1189" i="2"/>
  <c r="AU2207" i="2"/>
  <c r="AZ2207" i="2" s="1"/>
  <c r="BA2207" i="2"/>
  <c r="AU78" i="2"/>
  <c r="AZ78" i="2" s="1"/>
  <c r="BA78" i="2"/>
  <c r="BB1145" i="2"/>
  <c r="BC1145" i="2" s="1"/>
  <c r="BI1145" i="2" s="1"/>
  <c r="BA117" i="2"/>
  <c r="AU117" i="2"/>
  <c r="AZ117" i="2" s="1"/>
  <c r="H152" i="4"/>
  <c r="BB152" i="2"/>
  <c r="BC152" i="2" s="1"/>
  <c r="BI152" i="2" s="1"/>
  <c r="BA813" i="2"/>
  <c r="AU813" i="2"/>
  <c r="AZ813" i="2" s="1"/>
  <c r="BA1280" i="2"/>
  <c r="AU1280" i="2"/>
  <c r="AZ1280" i="2" s="1"/>
  <c r="AU1538" i="2"/>
  <c r="AZ1538" i="2" s="1"/>
  <c r="BA1538" i="2"/>
  <c r="BA80" i="2"/>
  <c r="AU80" i="2"/>
  <c r="AZ80" i="2" s="1"/>
  <c r="BA1497" i="2"/>
  <c r="AU1497" i="2"/>
  <c r="AZ1497" i="2" s="1"/>
  <c r="BA306" i="2"/>
  <c r="AU306" i="2"/>
  <c r="AZ306" i="2" s="1"/>
  <c r="BA229" i="2"/>
  <c r="AU229" i="2"/>
  <c r="AZ229" i="2" s="1"/>
  <c r="BA1467" i="2"/>
  <c r="AU1467" i="2"/>
  <c r="AZ1467" i="2" s="1"/>
  <c r="BA1362" i="2"/>
  <c r="AU1362" i="2"/>
  <c r="AZ1362" i="2" s="1"/>
  <c r="AU138" i="2"/>
  <c r="AZ138" i="2" s="1"/>
  <c r="BA138" i="2"/>
  <c r="BA395" i="2"/>
  <c r="AU395" i="2"/>
  <c r="AZ395" i="2" s="1"/>
  <c r="AU382" i="2"/>
  <c r="AZ382" i="2" s="1"/>
  <c r="BA382" i="2"/>
  <c r="BA1354" i="2"/>
  <c r="AU1354" i="2"/>
  <c r="AZ1354" i="2" s="1"/>
  <c r="AU1396" i="2"/>
  <c r="AZ1396" i="2" s="1"/>
  <c r="BA1396" i="2"/>
  <c r="AU1412" i="2"/>
  <c r="AZ1412" i="2" s="1"/>
  <c r="BA1412" i="2"/>
  <c r="AU1428" i="2"/>
  <c r="AZ1428" i="2" s="1"/>
  <c r="BA1428" i="2"/>
  <c r="AU762" i="2"/>
  <c r="AZ762" i="2" s="1"/>
  <c r="BA762" i="2"/>
  <c r="AU826" i="2"/>
  <c r="AZ826" i="2" s="1"/>
  <c r="BA826" i="2"/>
  <c r="BA1352" i="2"/>
  <c r="AU1352" i="2"/>
  <c r="AZ1352" i="2" s="1"/>
  <c r="AU1205" i="2"/>
  <c r="AZ1205" i="2" s="1"/>
  <c r="BA1205" i="2"/>
  <c r="BA1511" i="2"/>
  <c r="AU1511" i="2"/>
  <c r="AZ1511" i="2" s="1"/>
  <c r="AU1137" i="2"/>
  <c r="AZ1137" i="2" s="1"/>
  <c r="BA1137" i="2"/>
  <c r="BA1306" i="2"/>
  <c r="AU1306" i="2"/>
  <c r="AZ1306" i="2" s="1"/>
  <c r="BA1541" i="2"/>
  <c r="AU1541" i="2"/>
  <c r="AZ1541" i="2" s="1"/>
  <c r="AU398" i="2"/>
  <c r="AZ398" i="2" s="1"/>
  <c r="BA398" i="2"/>
  <c r="AU1384" i="2"/>
  <c r="AZ1384" i="2" s="1"/>
  <c r="BA1384" i="2"/>
  <c r="AU1249" i="2"/>
  <c r="AZ1249" i="2" s="1"/>
  <c r="BA1249" i="2"/>
  <c r="BA1638" i="2"/>
  <c r="AU1638" i="2"/>
  <c r="AZ1638" i="2" s="1"/>
  <c r="AU852" i="2"/>
  <c r="AZ852" i="2" s="1"/>
  <c r="BA852" i="2"/>
  <c r="BA501" i="2"/>
  <c r="AU501" i="2"/>
  <c r="AZ501" i="2" s="1"/>
  <c r="BA1471" i="2"/>
  <c r="AU1471" i="2"/>
  <c r="AZ1471" i="2" s="1"/>
  <c r="BA1387" i="2"/>
  <c r="AU1387" i="2"/>
  <c r="AZ1387" i="2" s="1"/>
  <c r="BA415" i="2"/>
  <c r="AU415" i="2"/>
  <c r="AZ415" i="2" s="1"/>
  <c r="AU2168" i="2"/>
  <c r="AZ2168" i="2" s="1"/>
  <c r="BA2168" i="2"/>
  <c r="AU1255" i="2"/>
  <c r="AZ1255" i="2" s="1"/>
  <c r="BA1255" i="2"/>
  <c r="BA2441" i="2"/>
  <c r="AU2441" i="2"/>
  <c r="AZ2441" i="2" s="1"/>
  <c r="BA539" i="2"/>
  <c r="AU539" i="2"/>
  <c r="AZ539" i="2" s="1"/>
  <c r="AU876" i="2"/>
  <c r="AZ876" i="2" s="1"/>
  <c r="BA876" i="2"/>
  <c r="BA258" i="2"/>
  <c r="AU258" i="2"/>
  <c r="AZ258" i="2" s="1"/>
  <c r="BA284" i="2"/>
  <c r="AU284" i="2"/>
  <c r="AZ284" i="2" s="1"/>
  <c r="AU1587" i="2"/>
  <c r="AZ1587" i="2" s="1"/>
  <c r="BA1587" i="2"/>
  <c r="AU1726" i="2"/>
  <c r="AZ1726" i="2" s="1"/>
  <c r="BA1726" i="2"/>
  <c r="BA622" i="2"/>
  <c r="AU622" i="2"/>
  <c r="AZ622" i="2" s="1"/>
  <c r="BA638" i="2"/>
  <c r="AU638" i="2"/>
  <c r="AZ638" i="2" s="1"/>
  <c r="BA654" i="2"/>
  <c r="AU654" i="2"/>
  <c r="AZ654" i="2" s="1"/>
  <c r="BA670" i="2"/>
  <c r="AU670" i="2"/>
  <c r="AZ670" i="2" s="1"/>
  <c r="BA686" i="2"/>
  <c r="AU686" i="2"/>
  <c r="AZ686" i="2" s="1"/>
  <c r="BA702" i="2"/>
  <c r="AU702" i="2"/>
  <c r="AZ702" i="2" s="1"/>
  <c r="BA718" i="2"/>
  <c r="AU718" i="2"/>
  <c r="AZ718" i="2" s="1"/>
  <c r="BA1628" i="2"/>
  <c r="AU1628" i="2"/>
  <c r="AZ1628" i="2" s="1"/>
  <c r="AU1201" i="2"/>
  <c r="AZ1201" i="2" s="1"/>
  <c r="BA1201" i="2"/>
  <c r="BA2163" i="2"/>
  <c r="AU2163" i="2"/>
  <c r="AZ2163" i="2" s="1"/>
  <c r="H180" i="4"/>
  <c r="BB180" i="2"/>
  <c r="BC180" i="2" s="1"/>
  <c r="BI180" i="2" s="1"/>
  <c r="BA287" i="2"/>
  <c r="AU287" i="2"/>
  <c r="AZ287" i="2" s="1"/>
  <c r="BA841" i="2"/>
  <c r="AU841" i="2"/>
  <c r="AZ841" i="2" s="1"/>
  <c r="AU1508" i="2"/>
  <c r="AZ1508" i="2" s="1"/>
  <c r="BA1508" i="2"/>
  <c r="AU1524" i="2"/>
  <c r="AZ1524" i="2" s="1"/>
  <c r="BA1524" i="2"/>
  <c r="AU1540" i="2"/>
  <c r="AZ1540" i="2" s="1"/>
  <c r="BA1540" i="2"/>
  <c r="BA1447" i="2"/>
  <c r="AU1447" i="2"/>
  <c r="AZ1447" i="2" s="1"/>
  <c r="AU1402" i="2"/>
  <c r="AZ1402" i="2" s="1"/>
  <c r="BA1402" i="2"/>
  <c r="AU1418" i="2"/>
  <c r="AZ1418" i="2" s="1"/>
  <c r="BA1418" i="2"/>
  <c r="AU1434" i="2"/>
  <c r="AZ1434" i="2" s="1"/>
  <c r="BA1434" i="2"/>
  <c r="BA2109" i="2"/>
  <c r="AU2109" i="2"/>
  <c r="AZ2109" i="2" s="1"/>
  <c r="BA1336" i="2"/>
  <c r="AU1336" i="2"/>
  <c r="AZ1336" i="2" s="1"/>
  <c r="BA1074" i="2"/>
  <c r="AU1074" i="2"/>
  <c r="AZ1074" i="2" s="1"/>
  <c r="BA1106" i="2"/>
  <c r="AU1106" i="2"/>
  <c r="AZ1106" i="2" s="1"/>
  <c r="BA1138" i="2"/>
  <c r="AU1138" i="2"/>
  <c r="AZ1138" i="2" s="1"/>
  <c r="BA1857" i="2"/>
  <c r="AU1857" i="2"/>
  <c r="AZ1857" i="2" s="1"/>
  <c r="AU856" i="2"/>
  <c r="AZ856" i="2" s="1"/>
  <c r="BA856" i="2"/>
  <c r="AU1283" i="2"/>
  <c r="AZ1283" i="2" s="1"/>
  <c r="BA1283" i="2"/>
  <c r="BB420" i="2"/>
  <c r="BC420" i="2" s="1"/>
  <c r="BI420" i="2" s="1"/>
  <c r="BA1435" i="2"/>
  <c r="AU1435" i="2"/>
  <c r="AZ1435" i="2" s="1"/>
  <c r="AU2341" i="2"/>
  <c r="AZ2341" i="2" s="1"/>
  <c r="BA2341" i="2"/>
  <c r="AU2373" i="2"/>
  <c r="AZ2373" i="2" s="1"/>
  <c r="BA2373" i="2"/>
  <c r="AU1758" i="2"/>
  <c r="AZ1758" i="2" s="1"/>
  <c r="BA1758" i="2"/>
  <c r="AU1828" i="2"/>
  <c r="AZ1828" i="2" s="1"/>
  <c r="BA1828" i="2"/>
  <c r="AU880" i="2"/>
  <c r="AZ880" i="2" s="1"/>
  <c r="BA880" i="2"/>
  <c r="AU740" i="2"/>
  <c r="AZ740" i="2" s="1"/>
  <c r="BA740" i="2"/>
  <c r="BB909" i="2"/>
  <c r="BC909" i="2" s="1"/>
  <c r="BI909" i="2" s="1"/>
  <c r="AU1051" i="2"/>
  <c r="AZ1051" i="2" s="1"/>
  <c r="BA1051" i="2"/>
  <c r="AU639" i="2"/>
  <c r="AZ639" i="2" s="1"/>
  <c r="BA639" i="2"/>
  <c r="AU703" i="2"/>
  <c r="AZ703" i="2" s="1"/>
  <c r="BA703" i="2"/>
  <c r="AU2448" i="2"/>
  <c r="AZ2448" i="2" s="1"/>
  <c r="BA2448" i="2"/>
  <c r="BA2021" i="2"/>
  <c r="AU2021" i="2"/>
  <c r="AZ2021" i="2" s="1"/>
  <c r="AU1446" i="2"/>
  <c r="AZ1446" i="2" s="1"/>
  <c r="BA1446" i="2"/>
  <c r="AU1462" i="2"/>
  <c r="AZ1462" i="2" s="1"/>
  <c r="BA1462" i="2"/>
  <c r="BA2145" i="2"/>
  <c r="AU2145" i="2"/>
  <c r="AZ2145" i="2" s="1"/>
  <c r="BA1310" i="2"/>
  <c r="AU1310" i="2"/>
  <c r="AZ1310" i="2" s="1"/>
  <c r="BA325" i="2"/>
  <c r="AU325" i="2"/>
  <c r="AZ325" i="2" s="1"/>
  <c r="AU1241" i="2"/>
  <c r="AZ1241" i="2" s="1"/>
  <c r="BA1241" i="2"/>
  <c r="AU2269" i="2"/>
  <c r="AZ2269" i="2" s="1"/>
  <c r="BA2269" i="2"/>
  <c r="BA491" i="2"/>
  <c r="AU491" i="2"/>
  <c r="AZ491" i="2" s="1"/>
  <c r="BA1375" i="2"/>
  <c r="AU1375" i="2"/>
  <c r="AZ1375" i="2" s="1"/>
  <c r="AU1755" i="2"/>
  <c r="AZ1755" i="2" s="1"/>
  <c r="BA1755" i="2"/>
  <c r="BA482" i="2"/>
  <c r="AU482" i="2"/>
  <c r="AZ482" i="2" s="1"/>
  <c r="BA24" i="2"/>
  <c r="AU24" i="2"/>
  <c r="AZ24" i="2" s="1"/>
  <c r="BA771" i="2"/>
  <c r="AU771" i="2"/>
  <c r="AZ771" i="2" s="1"/>
  <c r="AU796" i="2"/>
  <c r="AZ796" i="2" s="1"/>
  <c r="BA796" i="2"/>
  <c r="AU1448" i="2"/>
  <c r="AZ1448" i="2" s="1"/>
  <c r="BA1448" i="2"/>
  <c r="BA2051" i="2"/>
  <c r="AU2051" i="2"/>
  <c r="AZ2051" i="2" s="1"/>
  <c r="BA219" i="2"/>
  <c r="AU219" i="2"/>
  <c r="AZ219" i="2" s="1"/>
  <c r="BA481" i="2"/>
  <c r="AU481" i="2"/>
  <c r="AZ481" i="2" s="1"/>
  <c r="AU2038" i="2"/>
  <c r="AZ2038" i="2" s="1"/>
  <c r="BA2038" i="2"/>
  <c r="AU744" i="2"/>
  <c r="AZ744" i="2" s="1"/>
  <c r="BA744" i="2"/>
  <c r="BA2011" i="2"/>
  <c r="AU2011" i="2"/>
  <c r="AZ2011" i="2" s="1"/>
  <c r="BA407" i="2"/>
  <c r="AU407" i="2"/>
  <c r="AZ407" i="2" s="1"/>
  <c r="BA368" i="2"/>
  <c r="AU368" i="2"/>
  <c r="AZ368" i="2" s="1"/>
  <c r="BA517" i="2"/>
  <c r="AU517" i="2"/>
  <c r="AZ517" i="2" s="1"/>
  <c r="BA1917" i="2"/>
  <c r="AU1917" i="2"/>
  <c r="AZ1917" i="2" s="1"/>
  <c r="AU713" i="2"/>
  <c r="AZ713" i="2" s="1"/>
  <c r="BA713" i="2"/>
  <c r="AU1886" i="2"/>
  <c r="AZ1886" i="2" s="1"/>
  <c r="BA1886" i="2"/>
  <c r="AU1902" i="2"/>
  <c r="AZ1902" i="2" s="1"/>
  <c r="BA1902" i="2"/>
  <c r="AU1950" i="2"/>
  <c r="AZ1950" i="2" s="1"/>
  <c r="BA1950" i="2"/>
  <c r="AU2006" i="2"/>
  <c r="AZ2006" i="2" s="1"/>
  <c r="BA2006" i="2"/>
  <c r="BA1740" i="2"/>
  <c r="AU1740" i="2"/>
  <c r="AZ1740" i="2" s="1"/>
  <c r="AU1756" i="2"/>
  <c r="AZ1756" i="2" s="1"/>
  <c r="BA1756" i="2"/>
  <c r="BA1383" i="2"/>
  <c r="AU1383" i="2"/>
  <c r="AZ1383" i="2" s="1"/>
  <c r="AU1117" i="2"/>
  <c r="AZ1117" i="2" s="1"/>
  <c r="BA1117" i="2"/>
  <c r="BA211" i="2"/>
  <c r="AU211" i="2"/>
  <c r="AZ211" i="2" s="1"/>
  <c r="AU1920" i="2"/>
  <c r="AZ1920" i="2" s="1"/>
  <c r="BA1920" i="2"/>
  <c r="AU2402" i="2"/>
  <c r="AZ2402" i="2" s="1"/>
  <c r="BA2402" i="2"/>
  <c r="BB931" i="2"/>
  <c r="BC931" i="2" s="1"/>
  <c r="BI931" i="2" s="1"/>
  <c r="BA1620" i="2"/>
  <c r="AU1620" i="2"/>
  <c r="AZ1620" i="2" s="1"/>
  <c r="AU1203" i="2"/>
  <c r="AZ1203" i="2" s="1"/>
  <c r="BA1203" i="2"/>
  <c r="BA2336" i="2"/>
  <c r="AU2336" i="2"/>
  <c r="AZ2336" i="2" s="1"/>
  <c r="BA1202" i="2"/>
  <c r="AU1202" i="2"/>
  <c r="AZ1202" i="2" s="1"/>
  <c r="AU1715" i="2"/>
  <c r="AZ1715" i="2" s="1"/>
  <c r="BA1715" i="2"/>
  <c r="AU2225" i="2"/>
  <c r="AZ2225" i="2" s="1"/>
  <c r="BA2225" i="2"/>
  <c r="AU1378" i="2"/>
  <c r="AZ1378" i="2" s="1"/>
  <c r="BA1378" i="2"/>
  <c r="AU2369" i="2"/>
  <c r="AZ2369" i="2" s="1"/>
  <c r="BA2369" i="2"/>
  <c r="AU1199" i="2"/>
  <c r="AZ1199" i="2" s="1"/>
  <c r="BA1199" i="2"/>
  <c r="AU938" i="2"/>
  <c r="AZ938" i="2" s="1"/>
  <c r="BA938" i="2"/>
  <c r="AU986" i="2"/>
  <c r="AZ986" i="2" s="1"/>
  <c r="BA986" i="2"/>
  <c r="BA1935" i="2"/>
  <c r="AU1935" i="2"/>
  <c r="AZ1935" i="2" s="1"/>
  <c r="AU906" i="2"/>
  <c r="AZ906" i="2" s="1"/>
  <c r="BA906" i="2"/>
  <c r="AU2493" i="2"/>
  <c r="AZ2493" i="2" s="1"/>
  <c r="BA2493" i="2"/>
  <c r="BA2017" i="2"/>
  <c r="AU2017" i="2"/>
  <c r="AZ2017" i="2" s="1"/>
  <c r="AU135" i="2"/>
  <c r="AZ135" i="2" s="1"/>
  <c r="BA135" i="2"/>
  <c r="BA576" i="2"/>
  <c r="AU576" i="2"/>
  <c r="AZ576" i="2" s="1"/>
  <c r="AU2275" i="2"/>
  <c r="AZ2275" i="2" s="1"/>
  <c r="BA2275" i="2"/>
  <c r="AU1703" i="2"/>
  <c r="AZ1703" i="2" s="1"/>
  <c r="BA1703" i="2"/>
  <c r="AU1739" i="2"/>
  <c r="AZ1739" i="2" s="1"/>
  <c r="BA1739" i="2"/>
  <c r="BA23" i="2"/>
  <c r="AU23" i="2"/>
  <c r="AZ23" i="2" s="1"/>
  <c r="BA45" i="2"/>
  <c r="AU45" i="2"/>
  <c r="AZ45" i="2" s="1"/>
  <c r="BA815" i="2"/>
  <c r="AU815" i="2"/>
  <c r="AZ815" i="2" s="1"/>
  <c r="BA1222" i="2"/>
  <c r="AU1222" i="2"/>
  <c r="AZ1222" i="2" s="1"/>
  <c r="AU2086" i="2"/>
  <c r="AZ2086" i="2" s="1"/>
  <c r="BA2086" i="2"/>
  <c r="BA25" i="2"/>
  <c r="AU25" i="2"/>
  <c r="AZ25" i="2" s="1"/>
  <c r="BA869" i="2"/>
  <c r="AU869" i="2"/>
  <c r="AZ869" i="2" s="1"/>
  <c r="BA885" i="2"/>
  <c r="AU885" i="2"/>
  <c r="AZ885" i="2" s="1"/>
  <c r="AU904" i="2"/>
  <c r="AZ904" i="2" s="1"/>
  <c r="BA904" i="2"/>
  <c r="BA2023" i="2"/>
  <c r="AU2023" i="2"/>
  <c r="AZ2023" i="2" s="1"/>
  <c r="BA2031" i="2"/>
  <c r="AU2031" i="2"/>
  <c r="AZ2031" i="2" s="1"/>
  <c r="BA2039" i="2"/>
  <c r="AU2039" i="2"/>
  <c r="AZ2039" i="2" s="1"/>
  <c r="AU183" i="2"/>
  <c r="AZ183" i="2" s="1"/>
  <c r="BA183" i="2"/>
  <c r="BA1642" i="2"/>
  <c r="AU1642" i="2"/>
  <c r="AZ1642" i="2" s="1"/>
  <c r="AU1277" i="2"/>
  <c r="AZ1277" i="2" s="1"/>
  <c r="BA1277" i="2"/>
  <c r="BA2342" i="2"/>
  <c r="AU2342" i="2"/>
  <c r="AZ2342" i="2" s="1"/>
  <c r="BA2374" i="2"/>
  <c r="AU2374" i="2"/>
  <c r="AZ2374" i="2" s="1"/>
  <c r="AU1111" i="2"/>
  <c r="AZ1111" i="2" s="1"/>
  <c r="BA1111" i="2"/>
  <c r="BA434" i="2"/>
  <c r="AU434" i="2"/>
  <c r="AZ434" i="2" s="1"/>
  <c r="BA624" i="2"/>
  <c r="AU624" i="2"/>
  <c r="AZ624" i="2" s="1"/>
  <c r="BA640" i="2"/>
  <c r="AU640" i="2"/>
  <c r="AZ640" i="2" s="1"/>
  <c r="BA656" i="2"/>
  <c r="AU656" i="2"/>
  <c r="AZ656" i="2" s="1"/>
  <c r="BA672" i="2"/>
  <c r="AU672" i="2"/>
  <c r="AZ672" i="2" s="1"/>
  <c r="BA688" i="2"/>
  <c r="AU688" i="2"/>
  <c r="AZ688" i="2" s="1"/>
  <c r="BA704" i="2"/>
  <c r="AU704" i="2"/>
  <c r="AZ704" i="2" s="1"/>
  <c r="BA720" i="2"/>
  <c r="AU720" i="2"/>
  <c r="AZ720" i="2" s="1"/>
  <c r="AU1710" i="2"/>
  <c r="AZ1710" i="2" s="1"/>
  <c r="BA1710" i="2"/>
  <c r="AU892" i="2"/>
  <c r="AZ892" i="2" s="1"/>
  <c r="BA892" i="2"/>
  <c r="BA299" i="2"/>
  <c r="AU299" i="2"/>
  <c r="AZ299" i="2" s="1"/>
  <c r="AU1709" i="2"/>
  <c r="AZ1709" i="2" s="1"/>
  <c r="BA1709" i="2"/>
  <c r="BA825" i="2"/>
  <c r="AU825" i="2"/>
  <c r="AZ825" i="2" s="1"/>
  <c r="AU1500" i="2"/>
  <c r="AZ1500" i="2" s="1"/>
  <c r="BA1500" i="2"/>
  <c r="AU1480" i="2"/>
  <c r="AZ1480" i="2" s="1"/>
  <c r="BA1480" i="2"/>
  <c r="AU1560" i="2"/>
  <c r="AZ1560" i="2" s="1"/>
  <c r="BA1560" i="2"/>
  <c r="AU1576" i="2"/>
  <c r="AZ1576" i="2" s="1"/>
  <c r="BA1576" i="2"/>
  <c r="BA82" i="2"/>
  <c r="AU82" i="2"/>
  <c r="AZ82" i="2" s="1"/>
  <c r="H192" i="4"/>
  <c r="BB192" i="2"/>
  <c r="BC192" i="2" s="1"/>
  <c r="BI192" i="2" s="1"/>
  <c r="AU651" i="2"/>
  <c r="AZ651" i="2" s="1"/>
  <c r="BA651" i="2"/>
  <c r="AU715" i="2"/>
  <c r="AZ715" i="2" s="1"/>
  <c r="BA715" i="2"/>
  <c r="BA1650" i="2"/>
  <c r="AU1650" i="2"/>
  <c r="AZ1650" i="2" s="1"/>
  <c r="AU2158" i="2"/>
  <c r="AZ2158" i="2" s="1"/>
  <c r="BA2158" i="2"/>
  <c r="AU948" i="2"/>
  <c r="AZ948" i="2" s="1"/>
  <c r="BA948" i="2"/>
  <c r="AU964" i="2"/>
  <c r="AZ964" i="2" s="1"/>
  <c r="BA964" i="2"/>
  <c r="AU980" i="2"/>
  <c r="AZ980" i="2" s="1"/>
  <c r="BA980" i="2"/>
  <c r="AU996" i="2"/>
  <c r="AZ996" i="2" s="1"/>
  <c r="BA996" i="2"/>
  <c r="AU1012" i="2"/>
  <c r="AZ1012" i="2" s="1"/>
  <c r="BA1012" i="2"/>
  <c r="AU1028" i="2"/>
  <c r="AZ1028" i="2" s="1"/>
  <c r="BA1028" i="2"/>
  <c r="BA745" i="2"/>
  <c r="AU745" i="2"/>
  <c r="AZ745" i="2" s="1"/>
  <c r="BA785" i="2"/>
  <c r="AU785" i="2"/>
  <c r="AZ785" i="2" s="1"/>
  <c r="BA1529" i="2"/>
  <c r="AU1529" i="2"/>
  <c r="AZ1529" i="2" s="1"/>
  <c r="BA1851" i="2"/>
  <c r="AU1851" i="2"/>
  <c r="AZ1851" i="2" s="1"/>
  <c r="BA2461" i="2"/>
  <c r="AU2461" i="2"/>
  <c r="AZ2461" i="2" s="1"/>
  <c r="AU2420" i="2"/>
  <c r="AZ2420" i="2" s="1"/>
  <c r="BA2420" i="2"/>
  <c r="BA265" i="2"/>
  <c r="AU265" i="2"/>
  <c r="AZ265" i="2" s="1"/>
  <c r="BA801" i="2"/>
  <c r="AU801" i="2"/>
  <c r="AZ801" i="2" s="1"/>
  <c r="BA2189" i="2"/>
  <c r="AU2189" i="2"/>
  <c r="AZ2189" i="2" s="1"/>
  <c r="BA1465" i="2"/>
  <c r="AU1465" i="2"/>
  <c r="AZ1465" i="2" s="1"/>
  <c r="AU1637" i="2"/>
  <c r="AZ1637" i="2" s="1"/>
  <c r="BA1637" i="2"/>
  <c r="BA2476" i="2"/>
  <c r="AU2476" i="2"/>
  <c r="AZ2476" i="2" s="1"/>
  <c r="BA208" i="2"/>
  <c r="AU208" i="2"/>
  <c r="AZ208" i="2" s="1"/>
  <c r="AU1055" i="2"/>
  <c r="AZ1055" i="2" s="1"/>
  <c r="BA1055" i="2"/>
  <c r="AU87" i="2"/>
  <c r="AZ87" i="2" s="1"/>
  <c r="BA87" i="2"/>
  <c r="BA313" i="2"/>
  <c r="AU313" i="2"/>
  <c r="AZ313" i="2" s="1"/>
  <c r="AU800" i="2"/>
  <c r="AZ800" i="2" s="1"/>
  <c r="BA800" i="2"/>
  <c r="BA2328" i="2"/>
  <c r="AU2328" i="2"/>
  <c r="AZ2328" i="2" s="1"/>
  <c r="BA2097" i="2"/>
  <c r="AU2097" i="2"/>
  <c r="AZ2097" i="2" s="1"/>
  <c r="BA2204" i="2"/>
  <c r="AU2204" i="2"/>
  <c r="AZ2204" i="2" s="1"/>
  <c r="BA2220" i="2"/>
  <c r="AU2220" i="2"/>
  <c r="AZ2220" i="2" s="1"/>
  <c r="BA2236" i="2"/>
  <c r="AU2236" i="2"/>
  <c r="AZ2236" i="2" s="1"/>
  <c r="BA2252" i="2"/>
  <c r="AU2252" i="2"/>
  <c r="AZ2252" i="2" s="1"/>
  <c r="BA2268" i="2"/>
  <c r="AU2268" i="2"/>
  <c r="AZ2268" i="2" s="1"/>
  <c r="BA2284" i="2"/>
  <c r="AU2284" i="2"/>
  <c r="AZ2284" i="2" s="1"/>
  <c r="BA2300" i="2"/>
  <c r="AU2300" i="2"/>
  <c r="AZ2300" i="2" s="1"/>
  <c r="BA365" i="2"/>
  <c r="AU365" i="2"/>
  <c r="AZ365" i="2" s="1"/>
  <c r="BB232" i="2"/>
  <c r="BC232" i="2" s="1"/>
  <c r="BI232" i="2" s="1"/>
  <c r="BA1588" i="2"/>
  <c r="AU1588" i="2"/>
  <c r="AZ1588" i="2" s="1"/>
  <c r="BB1799" i="2"/>
  <c r="BC1799" i="2" s="1"/>
  <c r="BI1799" i="2" s="1"/>
  <c r="AU194" i="2"/>
  <c r="AZ194" i="2" s="1"/>
  <c r="BA194" i="2"/>
  <c r="BA490" i="2"/>
  <c r="AU490" i="2"/>
  <c r="AZ490" i="2" s="1"/>
  <c r="BA66" i="2"/>
  <c r="AU66" i="2"/>
  <c r="AZ66" i="2" s="1"/>
  <c r="BB1767" i="2"/>
  <c r="BC1767" i="2" s="1"/>
  <c r="BI1767" i="2" s="1"/>
  <c r="BA1316" i="2"/>
  <c r="AU1316" i="2"/>
  <c r="AZ1316" i="2" s="1"/>
  <c r="AU1633" i="2"/>
  <c r="AZ1633" i="2" s="1"/>
  <c r="BA1633" i="2"/>
  <c r="BA2173" i="2"/>
  <c r="AU2173" i="2"/>
  <c r="AZ2173" i="2" s="1"/>
  <c r="AU522" i="2"/>
  <c r="AZ522" i="2" s="1"/>
  <c r="BA522" i="2"/>
  <c r="BA1064" i="2"/>
  <c r="AU1064" i="2"/>
  <c r="AZ1064" i="2" s="1"/>
  <c r="BA1096" i="2"/>
  <c r="AU1096" i="2"/>
  <c r="AZ1096" i="2" s="1"/>
  <c r="BA1128" i="2"/>
  <c r="AU1128" i="2"/>
  <c r="AZ1128" i="2" s="1"/>
  <c r="BA1220" i="2"/>
  <c r="AU1220" i="2"/>
  <c r="AZ1220" i="2" s="1"/>
  <c r="BA333" i="2"/>
  <c r="AU333" i="2"/>
  <c r="AZ333" i="2" s="1"/>
  <c r="BA105" i="2"/>
  <c r="AU105" i="2"/>
  <c r="AZ105" i="2" s="1"/>
  <c r="BA337" i="2"/>
  <c r="AU337" i="2"/>
  <c r="AZ337" i="2" s="1"/>
  <c r="BA369" i="2"/>
  <c r="AU369" i="2"/>
  <c r="AZ369" i="2" s="1"/>
  <c r="BA401" i="2"/>
  <c r="AU401" i="2"/>
  <c r="AZ401" i="2" s="1"/>
  <c r="BB1803" i="2"/>
  <c r="BC1803" i="2" s="1"/>
  <c r="BI1803" i="2" s="1"/>
  <c r="BA1891" i="2"/>
  <c r="AU1891" i="2"/>
  <c r="AZ1891" i="2" s="1"/>
  <c r="BA1923" i="2"/>
  <c r="AU1923" i="2"/>
  <c r="AZ1923" i="2" s="1"/>
  <c r="AU2206" i="2"/>
  <c r="AZ2206" i="2" s="1"/>
  <c r="BA2206" i="2"/>
  <c r="AU2222" i="2"/>
  <c r="AZ2222" i="2" s="1"/>
  <c r="BA2222" i="2"/>
  <c r="AU2238" i="2"/>
  <c r="AZ2238" i="2" s="1"/>
  <c r="BA2238" i="2"/>
  <c r="AU2254" i="2"/>
  <c r="AZ2254" i="2" s="1"/>
  <c r="BA2254" i="2"/>
  <c r="AU2270" i="2"/>
  <c r="AZ2270" i="2" s="1"/>
  <c r="BA2270" i="2"/>
  <c r="AU2286" i="2"/>
  <c r="AZ2286" i="2" s="1"/>
  <c r="BA2286" i="2"/>
  <c r="AU2302" i="2"/>
  <c r="AZ2302" i="2" s="1"/>
  <c r="BA2302" i="2"/>
  <c r="BA2053" i="2"/>
  <c r="AU2053" i="2"/>
  <c r="AZ2053" i="2" s="1"/>
  <c r="AU1237" i="2"/>
  <c r="AZ1237" i="2" s="1"/>
  <c r="BA1237" i="2"/>
  <c r="BA221" i="2"/>
  <c r="AU221" i="2"/>
  <c r="AZ221" i="2" s="1"/>
  <c r="BA2095" i="2"/>
  <c r="AU2095" i="2"/>
  <c r="AZ2095" i="2" s="1"/>
  <c r="BA2469" i="2"/>
  <c r="AU2469" i="2"/>
  <c r="AZ2469" i="2" s="1"/>
  <c r="BA1160" i="2"/>
  <c r="AU1160" i="2"/>
  <c r="AZ1160" i="2" s="1"/>
  <c r="BA1176" i="2"/>
  <c r="AU1176" i="2"/>
  <c r="AZ1176" i="2" s="1"/>
  <c r="AU2263" i="2"/>
  <c r="AZ2263" i="2" s="1"/>
  <c r="BA2263" i="2"/>
  <c r="BA2437" i="2"/>
  <c r="AU2437" i="2"/>
  <c r="AZ2437" i="2" s="1"/>
  <c r="BA328" i="2"/>
  <c r="AU328" i="2"/>
  <c r="AZ328" i="2" s="1"/>
  <c r="BA68" i="2"/>
  <c r="AU68" i="2"/>
  <c r="AZ68" i="2" s="1"/>
  <c r="BA123" i="2"/>
  <c r="AU123" i="2"/>
  <c r="AZ123" i="2" s="1"/>
  <c r="BA187" i="2"/>
  <c r="AU187" i="2"/>
  <c r="AZ187" i="2" s="1"/>
  <c r="BA1200" i="2"/>
  <c r="AU1200" i="2"/>
  <c r="AZ1200" i="2" s="1"/>
  <c r="BB1783" i="2"/>
  <c r="BC1783" i="2" s="1"/>
  <c r="BI1783" i="2" s="1"/>
  <c r="BA181" i="2"/>
  <c r="AU181" i="2"/>
  <c r="AZ181" i="2" s="1"/>
  <c r="AU1231" i="2"/>
  <c r="AZ1231" i="2" s="1"/>
  <c r="BA1231" i="2"/>
  <c r="AU358" i="2"/>
  <c r="AZ358" i="2" s="1"/>
  <c r="BA358" i="2"/>
  <c r="BA1501" i="2"/>
  <c r="AU1501" i="2"/>
  <c r="AZ1501" i="2" s="1"/>
  <c r="AU508" i="2"/>
  <c r="AZ508" i="2" s="1"/>
  <c r="BA508" i="2"/>
  <c r="AU1275" i="2"/>
  <c r="AZ1275" i="2" s="1"/>
  <c r="BA1275" i="2"/>
  <c r="AU430" i="2"/>
  <c r="AZ430" i="2" s="1"/>
  <c r="BA430" i="2"/>
  <c r="AU1323" i="2"/>
  <c r="AZ1323" i="2" s="1"/>
  <c r="BA1323" i="2"/>
  <c r="BA251" i="2"/>
  <c r="AU251" i="2"/>
  <c r="AZ251" i="2" s="1"/>
  <c r="BA255" i="2"/>
  <c r="AU255" i="2"/>
  <c r="AZ255" i="2" s="1"/>
  <c r="BB905" i="2"/>
  <c r="BC905" i="2" s="1"/>
  <c r="BI905" i="2" s="1"/>
  <c r="AU770" i="2"/>
  <c r="AZ770" i="2" s="1"/>
  <c r="BA770" i="2"/>
  <c r="AU834" i="2"/>
  <c r="AZ834" i="2" s="1"/>
  <c r="BA834" i="2"/>
  <c r="BA1610" i="2"/>
  <c r="AU1610" i="2"/>
  <c r="AZ1610" i="2" s="1"/>
  <c r="AU1542" i="2"/>
  <c r="AZ1542" i="2" s="1"/>
  <c r="BA1542" i="2"/>
  <c r="BA1234" i="2"/>
  <c r="AU1234" i="2"/>
  <c r="AZ1234" i="2" s="1"/>
  <c r="BB348" i="2"/>
  <c r="BC348" i="2" s="1"/>
  <c r="BI348" i="2" s="1"/>
  <c r="AU1289" i="2"/>
  <c r="AZ1289" i="2" s="1"/>
  <c r="BA1289" i="2"/>
  <c r="BA2161" i="2"/>
  <c r="AU2161" i="2"/>
  <c r="AZ2161" i="2" s="1"/>
  <c r="BA129" i="2"/>
  <c r="AU129" i="2"/>
  <c r="AZ129" i="2" s="1"/>
  <c r="BA1658" i="2"/>
  <c r="AU1658" i="2"/>
  <c r="AZ1658" i="2" s="1"/>
  <c r="AU1279" i="2"/>
  <c r="AZ1279" i="2" s="1"/>
  <c r="BA1279" i="2"/>
  <c r="BA293" i="2"/>
  <c r="AU293" i="2"/>
  <c r="AZ293" i="2" s="1"/>
  <c r="AU1386" i="2"/>
  <c r="AZ1386" i="2" s="1"/>
  <c r="BA1386" i="2"/>
  <c r="BA1218" i="2"/>
  <c r="AU1218" i="2"/>
  <c r="AZ1218" i="2" s="1"/>
  <c r="BA1264" i="2"/>
  <c r="AU1264" i="2"/>
  <c r="AZ1264" i="2" s="1"/>
  <c r="AU1225" i="2"/>
  <c r="AZ1225" i="2" s="1"/>
  <c r="BA1225" i="2"/>
  <c r="AU2385" i="2"/>
  <c r="AZ2385" i="2" s="1"/>
  <c r="BA2385" i="2"/>
  <c r="AU1129" i="2"/>
  <c r="AZ1129" i="2" s="1"/>
  <c r="BA1129" i="2"/>
  <c r="AU1639" i="2"/>
  <c r="AZ1639" i="2" s="1"/>
  <c r="BA1639" i="2"/>
  <c r="BA1230" i="2"/>
  <c r="AU1230" i="2"/>
  <c r="AZ1230" i="2" s="1"/>
  <c r="BA1332" i="2"/>
  <c r="AU1332" i="2"/>
  <c r="AZ1332" i="2" s="1"/>
  <c r="AU1798" i="2"/>
  <c r="AZ1798" i="2" s="1"/>
  <c r="BA1798" i="2"/>
  <c r="AU752" i="2"/>
  <c r="AZ752" i="2" s="1"/>
  <c r="BA752" i="2"/>
  <c r="BA425" i="2"/>
  <c r="AU425" i="2"/>
  <c r="AZ425" i="2" s="1"/>
  <c r="AU1369" i="2"/>
  <c r="AZ1369" i="2" s="1"/>
  <c r="BA1369" i="2"/>
  <c r="H108" i="4"/>
  <c r="BB108" i="2"/>
  <c r="BC108" i="2" s="1"/>
  <c r="BI108" i="2" s="1"/>
  <c r="AU2285" i="2"/>
  <c r="AZ2285" i="2" s="1"/>
  <c r="BA2285" i="2"/>
  <c r="BA303" i="2"/>
  <c r="AU303" i="2"/>
  <c r="AZ303" i="2" s="1"/>
  <c r="BA479" i="2"/>
  <c r="AU479" i="2"/>
  <c r="AZ479" i="2" s="1"/>
  <c r="BB887" i="2"/>
  <c r="BC887" i="2" s="1"/>
  <c r="BI887" i="2" s="1"/>
  <c r="BA1216" i="2"/>
  <c r="AU1216" i="2"/>
  <c r="AZ1216" i="2" s="1"/>
  <c r="AU62" i="2"/>
  <c r="AZ62" i="2" s="1"/>
  <c r="BA62" i="2"/>
  <c r="BA1461" i="2"/>
  <c r="AU1461" i="2"/>
  <c r="AZ1461" i="2" s="1"/>
  <c r="BA2091" i="2"/>
  <c r="AU2091" i="2"/>
  <c r="AZ2091" i="2" s="1"/>
  <c r="BA1634" i="2"/>
  <c r="AU1634" i="2"/>
  <c r="AZ1634" i="2" s="1"/>
  <c r="BA1142" i="2"/>
  <c r="AU1142" i="2"/>
  <c r="AZ1142" i="2" s="1"/>
  <c r="BA2105" i="2"/>
  <c r="AU2105" i="2"/>
  <c r="AZ2105" i="2" s="1"/>
  <c r="BA419" i="2"/>
  <c r="AU419" i="2"/>
  <c r="AZ419" i="2" s="1"/>
  <c r="BA1445" i="2"/>
  <c r="AU1445" i="2"/>
  <c r="AZ1445" i="2" s="1"/>
  <c r="BA1640" i="2"/>
  <c r="AU1640" i="2"/>
  <c r="AZ1640" i="2" s="1"/>
  <c r="AU2327" i="2"/>
  <c r="AZ2327" i="2" s="1"/>
  <c r="BA2327" i="2"/>
  <c r="BA308" i="2"/>
  <c r="AU308" i="2"/>
  <c r="AZ308" i="2" s="1"/>
  <c r="BA449" i="2"/>
  <c r="AU449" i="2"/>
  <c r="AZ449" i="2" s="1"/>
  <c r="BA1368" i="2"/>
  <c r="AU1368" i="2"/>
  <c r="AZ1368" i="2" s="1"/>
  <c r="BA1921" i="2"/>
  <c r="AU1921" i="2"/>
  <c r="AZ1921" i="2" s="1"/>
  <c r="AU1750" i="2"/>
  <c r="AZ1750" i="2" s="1"/>
  <c r="BA1750" i="2"/>
  <c r="BA2471" i="2"/>
  <c r="AU2471" i="2"/>
  <c r="AZ2471" i="2" s="1"/>
  <c r="BA234" i="2"/>
  <c r="AU234" i="2"/>
  <c r="AZ234" i="2" s="1"/>
  <c r="BA733" i="2"/>
  <c r="AU733" i="2"/>
  <c r="AZ733" i="2" s="1"/>
  <c r="BA861" i="2"/>
  <c r="AU861" i="2"/>
  <c r="AZ861" i="2" s="1"/>
  <c r="AU1683" i="2"/>
  <c r="AZ1683" i="2" s="1"/>
  <c r="BA1683" i="2"/>
  <c r="AU1735" i="2"/>
  <c r="AZ1735" i="2" s="1"/>
  <c r="BA1735" i="2"/>
  <c r="AU1125" i="2"/>
  <c r="AZ1125" i="2" s="1"/>
  <c r="BA1125" i="2"/>
  <c r="AU1689" i="2"/>
  <c r="AZ1689" i="2" s="1"/>
  <c r="BA1689" i="2"/>
  <c r="AU1753" i="2"/>
  <c r="AZ1753" i="2" s="1"/>
  <c r="BA1753" i="2"/>
  <c r="AU2253" i="2"/>
  <c r="AZ2253" i="2" s="1"/>
  <c r="BA2253" i="2"/>
  <c r="BA2144" i="2"/>
  <c r="AU2144" i="2"/>
  <c r="AZ2144" i="2" s="1"/>
  <c r="BA344" i="2"/>
  <c r="AU344" i="2"/>
  <c r="AZ344" i="2" s="1"/>
  <c r="BA759" i="2"/>
  <c r="AU759" i="2"/>
  <c r="AZ759" i="2" s="1"/>
  <c r="BA823" i="2"/>
  <c r="AU823" i="2"/>
  <c r="AZ823" i="2" s="1"/>
  <c r="AU2148" i="2"/>
  <c r="AZ2148" i="2" s="1"/>
  <c r="BA2148" i="2"/>
  <c r="BA1971" i="2"/>
  <c r="AU1971" i="2"/>
  <c r="AZ1971" i="2" s="1"/>
  <c r="BA379" i="2"/>
  <c r="AU379" i="2"/>
  <c r="AZ379" i="2" s="1"/>
  <c r="BA1166" i="2"/>
  <c r="AU1166" i="2"/>
  <c r="AZ1166" i="2" s="1"/>
  <c r="AU2265" i="2"/>
  <c r="AZ2265" i="2" s="1"/>
  <c r="BA2265" i="2"/>
  <c r="AU462" i="2"/>
  <c r="AZ462" i="2" s="1"/>
  <c r="BA462" i="2"/>
  <c r="BA1582" i="2"/>
  <c r="AU1582" i="2"/>
  <c r="AZ1582" i="2" s="1"/>
  <c r="AU215" i="2"/>
  <c r="AZ215" i="2" s="1"/>
  <c r="BA215" i="2"/>
  <c r="BA1493" i="2"/>
  <c r="AU1493" i="2"/>
  <c r="AZ1493" i="2" s="1"/>
  <c r="AU1293" i="2"/>
  <c r="AZ1293" i="2" s="1"/>
  <c r="BA1293" i="2"/>
  <c r="BA1861" i="2"/>
  <c r="AU1861" i="2"/>
  <c r="AZ1861" i="2" s="1"/>
  <c r="BA2059" i="2"/>
  <c r="AU2059" i="2"/>
  <c r="AZ2059" i="2" s="1"/>
  <c r="BA739" i="2"/>
  <c r="AU739" i="2"/>
  <c r="AZ739" i="2" s="1"/>
  <c r="BA803" i="2"/>
  <c r="AU803" i="2"/>
  <c r="AZ803" i="2" s="1"/>
  <c r="BA867" i="2"/>
  <c r="AU867" i="2"/>
  <c r="AZ867" i="2" s="1"/>
  <c r="H18" i="4"/>
  <c r="BB18" i="2"/>
  <c r="BC18" i="2" s="1"/>
  <c r="BI18" i="2" s="1"/>
  <c r="BA1278" i="2"/>
  <c r="AU1278" i="2"/>
  <c r="AZ1278" i="2" s="1"/>
  <c r="AU2113" i="2"/>
  <c r="AZ2113" i="2" s="1"/>
  <c r="BA2113" i="2"/>
  <c r="AU514" i="2"/>
  <c r="AZ514" i="2" s="1"/>
  <c r="BA514" i="2"/>
  <c r="AU1325" i="2"/>
  <c r="AZ1325" i="2" s="1"/>
  <c r="BA1325" i="2"/>
  <c r="BA1821" i="2"/>
  <c r="AU1821" i="2"/>
  <c r="AZ1821" i="2" s="1"/>
  <c r="BA109" i="2"/>
  <c r="AU109" i="2"/>
  <c r="AZ109" i="2" s="1"/>
  <c r="BA281" i="2"/>
  <c r="AU281" i="2"/>
  <c r="AZ281" i="2" s="1"/>
  <c r="BA2423" i="2"/>
  <c r="AU2423" i="2"/>
  <c r="AZ2423" i="2" s="1"/>
  <c r="AU1456" i="2"/>
  <c r="AZ1456" i="2" s="1"/>
  <c r="BA1456" i="2"/>
  <c r="AU1472" i="2"/>
  <c r="AZ1472" i="2" s="1"/>
  <c r="BA1472" i="2"/>
  <c r="AU73" i="2"/>
  <c r="AZ73" i="2" s="1"/>
  <c r="BA73" i="2"/>
  <c r="BA1561" i="2"/>
  <c r="AU1561" i="2"/>
  <c r="AZ1561" i="2" s="1"/>
  <c r="BA1525" i="2"/>
  <c r="AU1525" i="2"/>
  <c r="AZ1525" i="2" s="1"/>
  <c r="AU2030" i="2"/>
  <c r="AZ2030" i="2" s="1"/>
  <c r="BA2030" i="2"/>
  <c r="BA2151" i="2"/>
  <c r="AU2151" i="2"/>
  <c r="AZ2151" i="2" s="1"/>
  <c r="BA2175" i="2"/>
  <c r="AU2175" i="2"/>
  <c r="AZ2175" i="2" s="1"/>
  <c r="AU912" i="2"/>
  <c r="AZ912" i="2" s="1"/>
  <c r="BA912" i="2"/>
  <c r="AU1085" i="2"/>
  <c r="AZ1085" i="2" s="1"/>
  <c r="BA1085" i="2"/>
  <c r="AU1635" i="2"/>
  <c r="AZ1635" i="2" s="1"/>
  <c r="BA1635" i="2"/>
  <c r="BA2142" i="2"/>
  <c r="AU2142" i="2"/>
  <c r="AZ2142" i="2" s="1"/>
  <c r="BA237" i="2"/>
  <c r="AU237" i="2"/>
  <c r="AZ237" i="2" s="1"/>
  <c r="BA2480" i="2"/>
  <c r="AU2480" i="2"/>
  <c r="AZ2480" i="2" s="1"/>
  <c r="BA1977" i="2"/>
  <c r="AU1977" i="2"/>
  <c r="AZ1977" i="2" s="1"/>
  <c r="BA1979" i="2"/>
  <c r="AU1979" i="2"/>
  <c r="AZ1979" i="2" s="1"/>
  <c r="BA101" i="2"/>
  <c r="AU101" i="2"/>
  <c r="AZ101" i="2" s="1"/>
  <c r="AU2335" i="2"/>
  <c r="AZ2335" i="2" s="1"/>
  <c r="BA2335" i="2"/>
  <c r="AU2383" i="2"/>
  <c r="AZ2383" i="2" s="1"/>
  <c r="BA2383" i="2"/>
  <c r="H148" i="4"/>
  <c r="BB148" i="2"/>
  <c r="BC148" i="2" s="1"/>
  <c r="BI148" i="2" s="1"/>
  <c r="AU1842" i="2"/>
  <c r="AZ1842" i="2" s="1"/>
  <c r="BA1842" i="2"/>
  <c r="BA1885" i="2"/>
  <c r="AU1885" i="2"/>
  <c r="AZ1885" i="2" s="1"/>
  <c r="BA1949" i="2"/>
  <c r="AU1949" i="2"/>
  <c r="AZ1949" i="2" s="1"/>
  <c r="BA2013" i="2"/>
  <c r="AU2013" i="2"/>
  <c r="AZ2013" i="2" s="1"/>
  <c r="BA2015" i="2"/>
  <c r="AU2015" i="2"/>
  <c r="AZ2015" i="2" s="1"/>
  <c r="AU758" i="2"/>
  <c r="AZ758" i="2" s="1"/>
  <c r="BA758" i="2"/>
  <c r="AU822" i="2"/>
  <c r="AZ822" i="2" s="1"/>
  <c r="BA822" i="2"/>
  <c r="AU2259" i="2"/>
  <c r="AZ2259" i="2" s="1"/>
  <c r="BA2259" i="2"/>
  <c r="BA314" i="2"/>
  <c r="AU314" i="2"/>
  <c r="AZ314" i="2" s="1"/>
  <c r="BA242" i="2"/>
  <c r="AU242" i="2"/>
  <c r="AZ242" i="2" s="1"/>
  <c r="BA2397" i="2"/>
  <c r="AU2397" i="2"/>
  <c r="AZ2397" i="2" s="1"/>
  <c r="AU1506" i="2"/>
  <c r="AZ1506" i="2" s="1"/>
  <c r="BA1506" i="2"/>
  <c r="BA793" i="2"/>
  <c r="AU793" i="2"/>
  <c r="AZ793" i="2" s="1"/>
  <c r="BB1763" i="2"/>
  <c r="BC1763" i="2" s="1"/>
  <c r="BI1763" i="2" s="1"/>
  <c r="BA8" i="2"/>
  <c r="AU8" i="2"/>
  <c r="AZ8" i="2" s="1"/>
  <c r="AU1331" i="2"/>
  <c r="AZ1331" i="2" s="1"/>
  <c r="BA1331" i="2"/>
  <c r="AU788" i="2"/>
  <c r="AZ788" i="2" s="1"/>
  <c r="BA788" i="2"/>
  <c r="BA1413" i="2"/>
  <c r="AU1413" i="2"/>
  <c r="AZ1413" i="2" s="1"/>
  <c r="AU1862" i="2"/>
  <c r="AZ1862" i="2" s="1"/>
  <c r="BA1862" i="2"/>
  <c r="AU1878" i="2"/>
  <c r="AZ1878" i="2" s="1"/>
  <c r="BA1878" i="2"/>
  <c r="AU1894" i="2"/>
  <c r="AZ1894" i="2" s="1"/>
  <c r="BA1894" i="2"/>
  <c r="AU1910" i="2"/>
  <c r="AZ1910" i="2" s="1"/>
  <c r="BA1910" i="2"/>
  <c r="AU1926" i="2"/>
  <c r="AZ1926" i="2" s="1"/>
  <c r="BA1926" i="2"/>
  <c r="AU1942" i="2"/>
  <c r="AZ1942" i="2" s="1"/>
  <c r="BA1942" i="2"/>
  <c r="AU1958" i="2"/>
  <c r="AZ1958" i="2" s="1"/>
  <c r="BA1958" i="2"/>
  <c r="AU1982" i="2"/>
  <c r="AZ1982" i="2" s="1"/>
  <c r="BA1982" i="2"/>
  <c r="AU1998" i="2"/>
  <c r="AZ1998" i="2" s="1"/>
  <c r="BA1998" i="2"/>
  <c r="AU2014" i="2"/>
  <c r="AZ2014" i="2" s="1"/>
  <c r="BA2014" i="2"/>
  <c r="AU1307" i="2"/>
  <c r="AZ1307" i="2" s="1"/>
  <c r="BA1307" i="2"/>
  <c r="BA11" i="2"/>
  <c r="AU11" i="2"/>
  <c r="AZ11" i="2" s="1"/>
  <c r="AU2094" i="2"/>
  <c r="AZ2094" i="2" s="1"/>
  <c r="BA2094" i="2"/>
  <c r="BA1537" i="2"/>
  <c r="AU1537" i="2"/>
  <c r="AZ1537" i="2" s="1"/>
  <c r="AU1665" i="2"/>
  <c r="AZ1665" i="2" s="1"/>
  <c r="BA1665" i="2"/>
  <c r="BA1684" i="2"/>
  <c r="AU1684" i="2"/>
  <c r="AZ1684" i="2" s="1"/>
  <c r="BA1700" i="2"/>
  <c r="AU1700" i="2"/>
  <c r="AZ1700" i="2" s="1"/>
  <c r="BA1716" i="2"/>
  <c r="AU1716" i="2"/>
  <c r="AZ1716" i="2" s="1"/>
  <c r="BA1732" i="2"/>
  <c r="AU1732" i="2"/>
  <c r="AZ1732" i="2" s="1"/>
  <c r="BA1748" i="2"/>
  <c r="AU1748" i="2"/>
  <c r="AZ1748" i="2" s="1"/>
  <c r="BA2384" i="2"/>
  <c r="AU2384" i="2"/>
  <c r="AZ2384" i="2" s="1"/>
  <c r="AU1107" i="2"/>
  <c r="AZ1107" i="2" s="1"/>
  <c r="BA1107" i="2"/>
  <c r="AU1844" i="2"/>
  <c r="AZ1844" i="2" s="1"/>
  <c r="BA1844" i="2"/>
  <c r="BA1563" i="2"/>
  <c r="AU1563" i="2"/>
  <c r="AZ1563" i="2" s="1"/>
  <c r="BA13" i="2"/>
  <c r="AU13" i="2"/>
  <c r="AZ13" i="2" s="1"/>
  <c r="AU840" i="2"/>
  <c r="AZ840" i="2" s="1"/>
  <c r="BA840" i="2"/>
  <c r="BA467" i="2"/>
  <c r="AU467" i="2"/>
  <c r="AZ467" i="2" s="1"/>
  <c r="BA1837" i="2"/>
  <c r="AU1837" i="2"/>
  <c r="AZ1837" i="2" s="1"/>
  <c r="AU2438" i="2"/>
  <c r="AZ2438" i="2" s="1"/>
  <c r="BA2438" i="2"/>
  <c r="AU641" i="2"/>
  <c r="AZ641" i="2" s="1"/>
  <c r="BA641" i="2"/>
  <c r="AU705" i="2"/>
  <c r="AZ705" i="2" s="1"/>
  <c r="BA705" i="2"/>
  <c r="BB1791" i="2"/>
  <c r="BC1791" i="2" s="1"/>
  <c r="BI1791" i="2" s="1"/>
  <c r="H144" i="4"/>
  <c r="BB144" i="2"/>
  <c r="BC144" i="2" s="1"/>
  <c r="BI144" i="2" s="1"/>
  <c r="BA1987" i="2"/>
  <c r="AU1987" i="2"/>
  <c r="AZ1987" i="2" s="1"/>
  <c r="AU1872" i="2"/>
  <c r="AZ1872" i="2" s="1"/>
  <c r="BA1872" i="2"/>
  <c r="AU1904" i="2"/>
  <c r="AZ1904" i="2" s="1"/>
  <c r="BA1904" i="2"/>
  <c r="AU1936" i="2"/>
  <c r="AZ1936" i="2" s="1"/>
  <c r="BA1936" i="2"/>
  <c r="BB899" i="2"/>
  <c r="BC899" i="2" s="1"/>
  <c r="BI899" i="2" s="1"/>
  <c r="AU1631" i="2"/>
  <c r="AZ1631" i="2" s="1"/>
  <c r="BA1631" i="2"/>
  <c r="BA111" i="2"/>
  <c r="AU111" i="2"/>
  <c r="AZ111" i="2" s="1"/>
  <c r="AU764" i="2"/>
  <c r="AZ764" i="2" s="1"/>
  <c r="BA764" i="2"/>
  <c r="BA113" i="2"/>
  <c r="AU113" i="2"/>
  <c r="AZ113" i="2" s="1"/>
  <c r="BA1431" i="2"/>
  <c r="AU1431" i="2"/>
  <c r="AZ1431" i="2" s="1"/>
  <c r="BA519" i="2"/>
  <c r="AU519" i="2"/>
  <c r="AZ519" i="2" s="1"/>
  <c r="BA503" i="2"/>
  <c r="AU503" i="2"/>
  <c r="AZ503" i="2" s="1"/>
  <c r="BA1395" i="2"/>
  <c r="AU1395" i="2"/>
  <c r="AZ1395" i="2" s="1"/>
  <c r="BA159" i="2"/>
  <c r="AU159" i="2"/>
  <c r="AZ159" i="2" s="1"/>
  <c r="BA327" i="2"/>
  <c r="AU327" i="2"/>
  <c r="AZ327" i="2" s="1"/>
  <c r="BA359" i="2"/>
  <c r="AU359" i="2"/>
  <c r="AZ359" i="2" s="1"/>
  <c r="BA391" i="2"/>
  <c r="AU391" i="2"/>
  <c r="AZ391" i="2" s="1"/>
  <c r="BA1817" i="2"/>
  <c r="AU1817" i="2"/>
  <c r="AZ1817" i="2" s="1"/>
  <c r="AU2394" i="2"/>
  <c r="AZ2394" i="2" s="1"/>
  <c r="BA2394" i="2"/>
  <c r="AU1772" i="2"/>
  <c r="AZ1772" i="2" s="1"/>
  <c r="BA1772" i="2"/>
  <c r="AU1476" i="2"/>
  <c r="AZ1476" i="2" s="1"/>
  <c r="BA1476" i="2"/>
  <c r="BA939" i="2"/>
  <c r="AU939" i="2"/>
  <c r="AZ939" i="2" s="1"/>
  <c r="BA947" i="2"/>
  <c r="AU947" i="2"/>
  <c r="AZ947" i="2" s="1"/>
  <c r="BA955" i="2"/>
  <c r="AU955" i="2"/>
  <c r="AZ955" i="2" s="1"/>
  <c r="BA963" i="2"/>
  <c r="AU963" i="2"/>
  <c r="AZ963" i="2" s="1"/>
  <c r="BA971" i="2"/>
  <c r="AU971" i="2"/>
  <c r="AZ971" i="2" s="1"/>
  <c r="BA979" i="2"/>
  <c r="AU979" i="2"/>
  <c r="AZ979" i="2" s="1"/>
  <c r="BA987" i="2"/>
  <c r="AU987" i="2"/>
  <c r="AZ987" i="2" s="1"/>
  <c r="BA995" i="2"/>
  <c r="AU995" i="2"/>
  <c r="AZ995" i="2" s="1"/>
  <c r="BA1003" i="2"/>
  <c r="AU1003" i="2"/>
  <c r="AZ1003" i="2" s="1"/>
  <c r="BA1011" i="2"/>
  <c r="AU1011" i="2"/>
  <c r="AZ1011" i="2" s="1"/>
  <c r="BA1019" i="2"/>
  <c r="AU1019" i="2"/>
  <c r="AZ1019" i="2" s="1"/>
  <c r="BA1027" i="2"/>
  <c r="AU1027" i="2"/>
  <c r="AZ1027" i="2" s="1"/>
  <c r="BA1035" i="2"/>
  <c r="AU1035" i="2"/>
  <c r="AZ1035" i="2" s="1"/>
  <c r="BA410" i="2"/>
  <c r="AU410" i="2"/>
  <c r="AZ410" i="2" s="1"/>
  <c r="BA2120" i="2"/>
  <c r="AU2120" i="2"/>
  <c r="AZ2120" i="2" s="1"/>
  <c r="BA2128" i="2"/>
  <c r="AU2128" i="2"/>
  <c r="AZ2128" i="2" s="1"/>
  <c r="BA2136" i="2"/>
  <c r="AU2136" i="2"/>
  <c r="AZ2136" i="2" s="1"/>
  <c r="BA88" i="2"/>
  <c r="AU88" i="2"/>
  <c r="AZ88" i="2" s="1"/>
  <c r="BA466" i="2"/>
  <c r="AU466" i="2"/>
  <c r="AZ466" i="2" s="1"/>
  <c r="BA1873" i="2"/>
  <c r="AU1873" i="2"/>
  <c r="AZ1873" i="2" s="1"/>
  <c r="AU2154" i="2"/>
  <c r="AZ2154" i="2" s="1"/>
  <c r="BA2154" i="2"/>
  <c r="AU1687" i="2"/>
  <c r="AZ1687" i="2" s="1"/>
  <c r="BA1687" i="2"/>
  <c r="AU1743" i="2"/>
  <c r="AZ1743" i="2" s="1"/>
  <c r="BA1743" i="2"/>
  <c r="BA1174" i="2"/>
  <c r="AU1174" i="2"/>
  <c r="AZ1174" i="2" s="1"/>
  <c r="AU2273" i="2"/>
  <c r="AZ2273" i="2" s="1"/>
  <c r="BA2273" i="2"/>
  <c r="AU784" i="2"/>
  <c r="AZ784" i="2" s="1"/>
  <c r="BA784" i="2"/>
  <c r="BA1302" i="2"/>
  <c r="AU1302" i="2"/>
  <c r="AZ1302" i="2" s="1"/>
  <c r="AU1440" i="2"/>
  <c r="AZ1440" i="2" s="1"/>
  <c r="BA1440" i="2"/>
  <c r="BB1759" i="2"/>
  <c r="BC1759" i="2" s="1"/>
  <c r="BI1759" i="2" s="1"/>
  <c r="BA273" i="2"/>
  <c r="AU273" i="2"/>
  <c r="AZ273" i="2" s="1"/>
  <c r="AU167" i="2"/>
  <c r="AZ167" i="2" s="1"/>
  <c r="BA167" i="2"/>
  <c r="BA447" i="2"/>
  <c r="AU447" i="2"/>
  <c r="AZ447" i="2" s="1"/>
  <c r="BA276" i="2"/>
  <c r="AU276" i="2"/>
  <c r="AZ276" i="2" s="1"/>
  <c r="AU538" i="2"/>
  <c r="AZ538" i="2" s="1"/>
  <c r="BA538" i="2"/>
  <c r="AU2337" i="2"/>
  <c r="AZ2337" i="2" s="1"/>
  <c r="BA2337" i="2"/>
  <c r="AU1327" i="2"/>
  <c r="AZ1327" i="2" s="1"/>
  <c r="BA1327" i="2"/>
  <c r="AU946" i="2"/>
  <c r="AZ946" i="2" s="1"/>
  <c r="BA946" i="2"/>
  <c r="AU962" i="2"/>
  <c r="AZ962" i="2" s="1"/>
  <c r="BA962" i="2"/>
  <c r="AU978" i="2"/>
  <c r="AZ978" i="2" s="1"/>
  <c r="BA978" i="2"/>
  <c r="AU994" i="2"/>
  <c r="AZ994" i="2" s="1"/>
  <c r="BA994" i="2"/>
  <c r="AU1010" i="2"/>
  <c r="AZ1010" i="2" s="1"/>
  <c r="BA1010" i="2"/>
  <c r="AU1026" i="2"/>
  <c r="AZ1026" i="2" s="1"/>
  <c r="BA1026" i="2"/>
  <c r="AU1049" i="2"/>
  <c r="AZ1049" i="2" s="1"/>
  <c r="BA1049" i="2"/>
  <c r="BA1356" i="2"/>
  <c r="AU1356" i="2"/>
  <c r="AZ1356" i="2" s="1"/>
  <c r="BA1377" i="2"/>
  <c r="AU1377" i="2"/>
  <c r="AZ1377" i="2" s="1"/>
  <c r="AU1762" i="2"/>
  <c r="AZ1762" i="2" s="1"/>
  <c r="BA1762" i="2"/>
  <c r="AU1794" i="2"/>
  <c r="AZ1794" i="2" s="1"/>
  <c r="BA1794" i="2"/>
  <c r="AU1826" i="2"/>
  <c r="AZ1826" i="2" s="1"/>
  <c r="BA1826" i="2"/>
  <c r="BA2101" i="2"/>
  <c r="AU2101" i="2"/>
  <c r="AZ2101" i="2" s="1"/>
  <c r="BA1887" i="2"/>
  <c r="AU1887" i="2"/>
  <c r="AZ1887" i="2" s="1"/>
  <c r="BA1919" i="2"/>
  <c r="AU1919" i="2"/>
  <c r="AZ1919" i="2" s="1"/>
  <c r="BA1951" i="2"/>
  <c r="AU1951" i="2"/>
  <c r="AZ1951" i="2" s="1"/>
  <c r="AU2426" i="2"/>
  <c r="AZ2426" i="2" s="1"/>
  <c r="BA2426" i="2"/>
  <c r="AU898" i="2"/>
  <c r="AZ898" i="2" s="1"/>
  <c r="BA898" i="2"/>
  <c r="AU914" i="2"/>
  <c r="AZ914" i="2" s="1"/>
  <c r="BA914" i="2"/>
  <c r="AU930" i="2"/>
  <c r="AZ930" i="2" s="1"/>
  <c r="BA930" i="2"/>
  <c r="BA1296" i="2"/>
  <c r="AU1296" i="2"/>
  <c r="AZ1296" i="2" s="1"/>
  <c r="AU1209" i="2"/>
  <c r="AZ1209" i="2" s="1"/>
  <c r="BA1209" i="2"/>
  <c r="AU1057" i="2"/>
  <c r="AZ1057" i="2" s="1"/>
  <c r="BA1057" i="2"/>
  <c r="BA1893" i="2"/>
  <c r="AU1893" i="2"/>
  <c r="AZ1893" i="2" s="1"/>
  <c r="BA513" i="2"/>
  <c r="AU513" i="2"/>
  <c r="AZ513" i="2" s="1"/>
  <c r="BA1889" i="2"/>
  <c r="AU1889" i="2"/>
  <c r="AZ1889" i="2" s="1"/>
  <c r="BA556" i="2"/>
  <c r="AU556" i="2"/>
  <c r="AZ556" i="2" s="1"/>
  <c r="BA564" i="2"/>
  <c r="AU564" i="2"/>
  <c r="AZ564" i="2" s="1"/>
  <c r="BA572" i="2"/>
  <c r="AU572" i="2"/>
  <c r="AZ572" i="2" s="1"/>
  <c r="BA580" i="2"/>
  <c r="AU580" i="2"/>
  <c r="AZ580" i="2" s="1"/>
  <c r="BA588" i="2"/>
  <c r="AU588" i="2"/>
  <c r="AZ588" i="2" s="1"/>
  <c r="BA596" i="2"/>
  <c r="AU596" i="2"/>
  <c r="AZ596" i="2" s="1"/>
  <c r="BA604" i="2"/>
  <c r="AU604" i="2"/>
  <c r="AZ604" i="2" s="1"/>
  <c r="BA612" i="2"/>
  <c r="AU612" i="2"/>
  <c r="AZ612" i="2" s="1"/>
  <c r="AU2211" i="2"/>
  <c r="AZ2211" i="2" s="1"/>
  <c r="BA2211" i="2"/>
  <c r="BA1503" i="2"/>
  <c r="AU1503" i="2"/>
  <c r="AZ1503" i="2" s="1"/>
  <c r="AU1685" i="2"/>
  <c r="AZ1685" i="2" s="1"/>
  <c r="BA1685" i="2"/>
  <c r="AU1749" i="2"/>
  <c r="AZ1749" i="2" s="1"/>
  <c r="BA1749" i="2"/>
  <c r="AU1679" i="2"/>
  <c r="AZ1679" i="2" s="1"/>
  <c r="BA1679" i="2"/>
  <c r="AU1723" i="2"/>
  <c r="AZ1723" i="2" s="1"/>
  <c r="BA1723" i="2"/>
  <c r="BA445" i="2"/>
  <c r="AU445" i="2"/>
  <c r="AZ445" i="2" s="1"/>
  <c r="BA783" i="2"/>
  <c r="AU783" i="2"/>
  <c r="AZ783" i="2" s="1"/>
  <c r="BA847" i="2"/>
  <c r="AU847" i="2"/>
  <c r="AZ847" i="2" s="1"/>
  <c r="AU1239" i="2"/>
  <c r="AZ1239" i="2" s="1"/>
  <c r="BA1239" i="2"/>
  <c r="AU1868" i="2"/>
  <c r="AZ1868" i="2" s="1"/>
  <c r="BA1868" i="2"/>
  <c r="AU1900" i="2"/>
  <c r="AZ1900" i="2" s="1"/>
  <c r="BA1900" i="2"/>
  <c r="AU1932" i="2"/>
  <c r="AZ1932" i="2" s="1"/>
  <c r="BA1932" i="2"/>
  <c r="AU1197" i="2"/>
  <c r="AZ1197" i="2" s="1"/>
  <c r="BA1197" i="2"/>
  <c r="AU179" i="2"/>
  <c r="AZ179" i="2" s="1"/>
  <c r="BA179" i="2"/>
  <c r="BA1425" i="2"/>
  <c r="AU1425" i="2"/>
  <c r="AZ1425" i="2" s="1"/>
  <c r="H132" i="4"/>
  <c r="BB132" i="2"/>
  <c r="BC132" i="2" s="1"/>
  <c r="BI132" i="2" s="1"/>
  <c r="BA1060" i="2"/>
  <c r="AU1060" i="2"/>
  <c r="AZ1060" i="2" s="1"/>
  <c r="BA1092" i="2"/>
  <c r="AU1092" i="2"/>
  <c r="AZ1092" i="2" s="1"/>
  <c r="BA1124" i="2"/>
  <c r="AU1124" i="2"/>
  <c r="AZ1124" i="2" s="1"/>
  <c r="AU2064" i="2"/>
  <c r="AZ2064" i="2" s="1"/>
  <c r="BA2064" i="2"/>
  <c r="BA2403" i="2"/>
  <c r="AU2403" i="2"/>
  <c r="AZ2403" i="2" s="1"/>
  <c r="BA210" i="2"/>
  <c r="AU210" i="2"/>
  <c r="AZ210" i="2" s="1"/>
  <c r="BA2457" i="2"/>
  <c r="AU2457" i="2"/>
  <c r="AZ2457" i="2" s="1"/>
  <c r="BB476" i="2"/>
  <c r="BC476" i="2" s="1"/>
  <c r="BI476" i="2" s="1"/>
  <c r="BA371" i="2"/>
  <c r="AU371" i="2"/>
  <c r="AZ371" i="2" s="1"/>
  <c r="BA2449" i="2"/>
  <c r="AU2449" i="2"/>
  <c r="AZ2449" i="2" s="1"/>
  <c r="BA1757" i="2"/>
  <c r="AU1757" i="2"/>
  <c r="AZ1757" i="2" s="1"/>
  <c r="AU1714" i="2"/>
  <c r="AZ1714" i="2" s="1"/>
  <c r="BA1714" i="2"/>
  <c r="AU1315" i="2"/>
  <c r="AZ1315" i="2" s="1"/>
  <c r="BA1315" i="2"/>
  <c r="AU2054" i="2"/>
  <c r="AZ2054" i="2" s="1"/>
  <c r="BA2054" i="2"/>
  <c r="AU2102" i="2"/>
  <c r="AZ2102" i="2" s="1"/>
  <c r="BA2102" i="2"/>
  <c r="AU2186" i="2"/>
  <c r="AZ2186" i="2" s="1"/>
  <c r="BA2186" i="2"/>
  <c r="BA1421" i="2"/>
  <c r="AU1421" i="2"/>
  <c r="AZ1421" i="2" s="1"/>
  <c r="BA1761" i="2"/>
  <c r="AU1761" i="2"/>
  <c r="AZ1761" i="2" s="1"/>
  <c r="AU619" i="2"/>
  <c r="AZ619" i="2" s="1"/>
  <c r="BA619" i="2"/>
  <c r="BA384" i="2"/>
  <c r="AU384" i="2"/>
  <c r="AZ384" i="2" s="1"/>
  <c r="BA1144" i="2"/>
  <c r="AU1144" i="2"/>
  <c r="AZ1144" i="2" s="1"/>
  <c r="AU536" i="2"/>
  <c r="AZ536" i="2" s="1"/>
  <c r="BA536" i="2"/>
  <c r="BB897" i="2"/>
  <c r="BC897" i="2" s="1"/>
  <c r="BI897" i="2" s="1"/>
  <c r="AU836" i="2"/>
  <c r="AZ836" i="2" s="1"/>
  <c r="BA836" i="2"/>
  <c r="BA1350" i="2"/>
  <c r="AU1350" i="2"/>
  <c r="AZ1350" i="2" s="1"/>
  <c r="BA58" i="2"/>
  <c r="AU58" i="2"/>
  <c r="AZ58" i="2" s="1"/>
  <c r="BA1598" i="2"/>
  <c r="AU1598" i="2"/>
  <c r="AZ1598" i="2" s="1"/>
  <c r="AU1681" i="2"/>
  <c r="AZ1681" i="2" s="1"/>
  <c r="BA1681" i="2"/>
  <c r="AU1745" i="2"/>
  <c r="AZ1745" i="2" s="1"/>
  <c r="BA1745" i="2"/>
  <c r="AU470" i="2"/>
  <c r="AZ470" i="2" s="1"/>
  <c r="BA470" i="2"/>
  <c r="AU1235" i="2"/>
  <c r="AZ1235" i="2" s="1"/>
  <c r="BA1235" i="2"/>
  <c r="BA2043" i="2"/>
  <c r="AU2043" i="2"/>
  <c r="AZ2043" i="2" s="1"/>
  <c r="AU721" i="2"/>
  <c r="AZ721" i="2" s="1"/>
  <c r="BA721" i="2"/>
  <c r="AU81" i="2"/>
  <c r="AZ81" i="2" s="1"/>
  <c r="BA81" i="2"/>
  <c r="BA1403" i="2"/>
  <c r="AU1403" i="2"/>
  <c r="AZ1403" i="2" s="1"/>
  <c r="AU661" i="2"/>
  <c r="AZ661" i="2" s="1"/>
  <c r="BA661" i="2"/>
  <c r="H136" i="4"/>
  <c r="BB136" i="2"/>
  <c r="BC136" i="2" s="1"/>
  <c r="BI136" i="2" s="1"/>
  <c r="BA2500" i="2"/>
  <c r="AU2500" i="2"/>
  <c r="AZ2500" i="2" s="1"/>
  <c r="AU2056" i="2"/>
  <c r="AZ2056" i="2" s="1"/>
  <c r="BA2056" i="2"/>
  <c r="AU884" i="2"/>
  <c r="AZ884" i="2" s="1"/>
  <c r="BA884" i="2"/>
  <c r="BA1475" i="2"/>
  <c r="AU1475" i="2"/>
  <c r="AZ1475" i="2" s="1"/>
  <c r="AU414" i="2"/>
  <c r="AZ414" i="2" s="1"/>
  <c r="BA414" i="2"/>
  <c r="BB356" i="2"/>
  <c r="BC356" i="2" s="1"/>
  <c r="BI356" i="2" s="1"/>
  <c r="AU1183" i="2"/>
  <c r="AZ1183" i="2" s="1"/>
  <c r="BA1183" i="2"/>
  <c r="AU1960" i="2"/>
  <c r="AZ1960" i="2" s="1"/>
  <c r="BA1960" i="2"/>
  <c r="AU1976" i="2"/>
  <c r="AZ1976" i="2" s="1"/>
  <c r="BA1976" i="2"/>
  <c r="AU1992" i="2"/>
  <c r="AZ1992" i="2" s="1"/>
  <c r="BA1992" i="2"/>
  <c r="AU2008" i="2"/>
  <c r="AZ2008" i="2" s="1"/>
  <c r="BA2008" i="2"/>
  <c r="BA464" i="2"/>
  <c r="AU464" i="2"/>
  <c r="AZ464" i="2" s="1"/>
  <c r="BA1604" i="2"/>
  <c r="AU1604" i="2"/>
  <c r="AZ1604" i="2" s="1"/>
  <c r="AU1359" i="2"/>
  <c r="AZ1359" i="2" s="1"/>
  <c r="BA1359" i="2"/>
  <c r="AU2121" i="2"/>
  <c r="AZ2121" i="2" s="1"/>
  <c r="BA2121" i="2"/>
  <c r="AU2129" i="2"/>
  <c r="AZ2129" i="2" s="1"/>
  <c r="BA2129" i="2"/>
  <c r="AU2137" i="2"/>
  <c r="AZ2137" i="2" s="1"/>
  <c r="BA2137" i="2"/>
  <c r="AU559" i="2"/>
  <c r="AZ559" i="2" s="1"/>
  <c r="BA559" i="2"/>
  <c r="AU567" i="2"/>
  <c r="AZ567" i="2" s="1"/>
  <c r="BA567" i="2"/>
  <c r="AU575" i="2"/>
  <c r="AZ575" i="2" s="1"/>
  <c r="BA575" i="2"/>
  <c r="AU583" i="2"/>
  <c r="AZ583" i="2" s="1"/>
  <c r="BA583" i="2"/>
  <c r="AU591" i="2"/>
  <c r="AZ591" i="2" s="1"/>
  <c r="BA591" i="2"/>
  <c r="AU599" i="2"/>
  <c r="AZ599" i="2" s="1"/>
  <c r="BA599" i="2"/>
  <c r="AU607" i="2"/>
  <c r="AZ607" i="2" s="1"/>
  <c r="BA607" i="2"/>
  <c r="AU615" i="2"/>
  <c r="AZ615" i="2" s="1"/>
  <c r="BA615" i="2"/>
  <c r="AU270" i="2"/>
  <c r="AZ270" i="2" s="1"/>
  <c r="BA270" i="2"/>
  <c r="BA1154" i="2"/>
  <c r="AU1154" i="2"/>
  <c r="AZ1154" i="2" s="1"/>
  <c r="AU2233" i="2"/>
  <c r="AZ2233" i="2" s="1"/>
  <c r="BA2233" i="2"/>
  <c r="AU1824" i="2"/>
  <c r="AZ1824" i="2" s="1"/>
  <c r="BA1824" i="2"/>
  <c r="AU766" i="2"/>
  <c r="AZ766" i="2" s="1"/>
  <c r="BA766" i="2"/>
  <c r="AU830" i="2"/>
  <c r="AZ830" i="2" s="1"/>
  <c r="BA830" i="2"/>
  <c r="BA90" i="2"/>
  <c r="AU90" i="2"/>
  <c r="AZ90" i="2" s="1"/>
  <c r="BA416" i="2"/>
  <c r="AU416" i="2"/>
  <c r="AZ416" i="2" s="1"/>
  <c r="H160" i="4"/>
  <c r="BB160" i="2"/>
  <c r="BC160" i="2" s="1"/>
  <c r="BI160" i="2" s="1"/>
  <c r="BA1240" i="2"/>
  <c r="AU1240" i="2"/>
  <c r="AZ1240" i="2" s="1"/>
  <c r="AU1643" i="2"/>
  <c r="AZ1643" i="2" s="1"/>
  <c r="BA1643" i="2"/>
  <c r="AU71" i="2"/>
  <c r="AZ71" i="2" s="1"/>
  <c r="BA71" i="2"/>
  <c r="H4" i="4"/>
  <c r="BB4" i="2"/>
  <c r="BC4" i="2" s="1"/>
  <c r="BI4" i="2" s="1"/>
  <c r="BA389" i="2"/>
  <c r="AU389" i="2"/>
  <c r="AZ389" i="2" s="1"/>
  <c r="BB911" i="2"/>
  <c r="BC911" i="2" s="1"/>
  <c r="BI911" i="2" s="1"/>
  <c r="AU2309" i="2"/>
  <c r="AZ2309" i="2" s="1"/>
  <c r="BA2309" i="2"/>
  <c r="AU627" i="2"/>
  <c r="AZ627" i="2" s="1"/>
  <c r="BA627" i="2"/>
  <c r="AU691" i="2"/>
  <c r="AZ691" i="2" s="1"/>
  <c r="BA691" i="2"/>
  <c r="BA397" i="2"/>
  <c r="AU397" i="2"/>
  <c r="AZ397" i="2" s="1"/>
  <c r="AU1550" i="2"/>
  <c r="AZ1550" i="2" s="1"/>
  <c r="BA1550" i="2"/>
  <c r="AU1566" i="2"/>
  <c r="AZ1566" i="2" s="1"/>
  <c r="BA1566" i="2"/>
  <c r="BA269" i="2"/>
  <c r="AU269" i="2"/>
  <c r="AZ269" i="2" s="1"/>
  <c r="AU1159" i="2"/>
  <c r="AZ1159" i="2" s="1"/>
  <c r="BA1159" i="2"/>
  <c r="AU1167" i="2"/>
  <c r="AZ1167" i="2" s="1"/>
  <c r="BA1167" i="2"/>
  <c r="AU1175" i="2"/>
  <c r="AZ1175" i="2" s="1"/>
  <c r="BA1175" i="2"/>
  <c r="BA2332" i="2"/>
  <c r="AU2332" i="2"/>
  <c r="AZ2332" i="2" s="1"/>
  <c r="BA2364" i="2"/>
  <c r="AU2364" i="2"/>
  <c r="AZ2364" i="2" s="1"/>
  <c r="AU1101" i="2"/>
  <c r="AZ1101" i="2" s="1"/>
  <c r="BA1101" i="2"/>
  <c r="AU2287" i="2"/>
  <c r="AZ2287" i="2" s="1"/>
  <c r="BA2287" i="2"/>
  <c r="BA1618" i="2"/>
  <c r="AU1618" i="2"/>
  <c r="AZ1618" i="2" s="1"/>
  <c r="AU1780" i="2"/>
  <c r="AZ1780" i="2" s="1"/>
  <c r="BA1780" i="2"/>
  <c r="BA1797" i="2"/>
  <c r="AU1797" i="2"/>
  <c r="AZ1797" i="2" s="1"/>
  <c r="AU1388" i="2"/>
  <c r="AZ1388" i="2" s="1"/>
  <c r="BA1388" i="2"/>
  <c r="BA747" i="2"/>
  <c r="AU747" i="2"/>
  <c r="AZ747" i="2" s="1"/>
  <c r="BA811" i="2"/>
  <c r="AU811" i="2"/>
  <c r="AZ811" i="2" s="1"/>
  <c r="BA875" i="2"/>
  <c r="AU875" i="2"/>
  <c r="AZ875" i="2" s="1"/>
  <c r="BA1054" i="2"/>
  <c r="AU1054" i="2"/>
  <c r="AZ1054" i="2" s="1"/>
  <c r="BA1086" i="2"/>
  <c r="AU1086" i="2"/>
  <c r="AZ1086" i="2" s="1"/>
  <c r="BA1118" i="2"/>
  <c r="AU1118" i="2"/>
  <c r="AZ1118" i="2" s="1"/>
  <c r="BA1194" i="2"/>
  <c r="AU1194" i="2"/>
  <c r="AZ1194" i="2" s="1"/>
  <c r="BA1847" i="2"/>
  <c r="AU1847" i="2"/>
  <c r="AZ1847" i="2" s="1"/>
  <c r="BA483" i="2"/>
  <c r="AU483" i="2"/>
  <c r="AZ483" i="2" s="1"/>
  <c r="BA1182" i="2"/>
  <c r="AU1182" i="2"/>
  <c r="AZ1182" i="2" s="1"/>
  <c r="AU1361" i="2"/>
  <c r="AZ1361" i="2" s="1"/>
  <c r="BA1361" i="2"/>
  <c r="BA781" i="2"/>
  <c r="AU781" i="2"/>
  <c r="AZ781" i="2" s="1"/>
  <c r="BA223" i="2"/>
  <c r="AU223" i="2"/>
  <c r="AZ223" i="2" s="1"/>
  <c r="AU262" i="2"/>
  <c r="AZ262" i="2" s="1"/>
  <c r="BA262" i="2"/>
  <c r="BA1481" i="2"/>
  <c r="AU1481" i="2"/>
  <c r="AZ1481" i="2" s="1"/>
  <c r="BA296" i="2"/>
  <c r="AU296" i="2"/>
  <c r="AZ296" i="2" s="1"/>
  <c r="BA1451" i="2"/>
  <c r="AU1451" i="2"/>
  <c r="AZ1451" i="2" s="1"/>
  <c r="BA1945" i="2"/>
  <c r="AU1945" i="2"/>
  <c r="AZ1945" i="2" s="1"/>
  <c r="AU2267" i="2"/>
  <c r="AZ2267" i="2" s="1"/>
  <c r="BA2267" i="2"/>
  <c r="AU1408" i="2"/>
  <c r="AZ1408" i="2" s="1"/>
  <c r="BA1408" i="2"/>
  <c r="AU1424" i="2"/>
  <c r="AZ1424" i="2" s="1"/>
  <c r="BA1424" i="2"/>
  <c r="AU746" i="2"/>
  <c r="AZ746" i="2" s="1"/>
  <c r="BA746" i="2"/>
  <c r="AU810" i="2"/>
  <c r="AZ810" i="2" s="1"/>
  <c r="BA810" i="2"/>
  <c r="AU874" i="2"/>
  <c r="AZ874" i="2" s="1"/>
  <c r="BA874" i="2"/>
  <c r="BA1288" i="2"/>
  <c r="AU1288" i="2"/>
  <c r="AZ1288" i="2" s="1"/>
  <c r="BA1180" i="2"/>
  <c r="AU1180" i="2"/>
  <c r="AZ1180" i="2" s="1"/>
  <c r="BB372" i="2"/>
  <c r="BC372" i="2" s="1"/>
  <c r="BI372" i="2" s="1"/>
  <c r="AU1599" i="2"/>
  <c r="AZ1599" i="2" s="1"/>
  <c r="BA1599" i="2"/>
  <c r="BA1340" i="2"/>
  <c r="AU1340" i="2"/>
  <c r="AZ1340" i="2" s="1"/>
  <c r="BB1811" i="2"/>
  <c r="BC1811" i="2" s="1"/>
  <c r="BI1811" i="2" s="1"/>
  <c r="AU222" i="2"/>
  <c r="AZ222" i="2" s="1"/>
  <c r="BA222" i="2"/>
  <c r="BA497" i="2"/>
  <c r="AU497" i="2"/>
  <c r="AZ497" i="2" s="1"/>
  <c r="BA1555" i="2"/>
  <c r="AU1555" i="2"/>
  <c r="AZ1555" i="2" s="1"/>
  <c r="BA2085" i="2"/>
  <c r="AU2085" i="2"/>
  <c r="AZ2085" i="2" s="1"/>
  <c r="AU2482" i="2"/>
  <c r="AZ2482" i="2" s="1"/>
  <c r="BA2482" i="2"/>
  <c r="BA515" i="2"/>
  <c r="AU515" i="2"/>
  <c r="AZ515" i="2" s="1"/>
  <c r="AU812" i="2"/>
  <c r="AZ812" i="2" s="1"/>
  <c r="BA812" i="2"/>
  <c r="BA1344" i="2"/>
  <c r="AU1344" i="2"/>
  <c r="AZ1344" i="2" s="1"/>
  <c r="AU182" i="2"/>
  <c r="AZ182" i="2" s="1"/>
  <c r="BA182" i="2"/>
  <c r="BA442" i="2"/>
  <c r="AU442" i="2"/>
  <c r="AZ442" i="2" s="1"/>
  <c r="BA634" i="2"/>
  <c r="AU634" i="2"/>
  <c r="AZ634" i="2" s="1"/>
  <c r="BA650" i="2"/>
  <c r="AU650" i="2"/>
  <c r="AZ650" i="2" s="1"/>
  <c r="BA666" i="2"/>
  <c r="AU666" i="2"/>
  <c r="AZ666" i="2" s="1"/>
  <c r="BA682" i="2"/>
  <c r="AU682" i="2"/>
  <c r="AZ682" i="2" s="1"/>
  <c r="BA698" i="2"/>
  <c r="AU698" i="2"/>
  <c r="AZ698" i="2" s="1"/>
  <c r="BA714" i="2"/>
  <c r="AU714" i="2"/>
  <c r="AZ714" i="2" s="1"/>
  <c r="AU2188" i="2"/>
  <c r="AZ2188" i="2" s="1"/>
  <c r="BA2188" i="2"/>
  <c r="AU1730" i="2"/>
  <c r="AZ1730" i="2" s="1"/>
  <c r="BA1730" i="2"/>
  <c r="H116" i="4"/>
  <c r="BB116" i="2"/>
  <c r="BC116" i="2" s="1"/>
  <c r="BI116" i="2" s="1"/>
  <c r="AU2060" i="2"/>
  <c r="AZ2060" i="2" s="1"/>
  <c r="BA2060" i="2"/>
  <c r="AU1498" i="2"/>
  <c r="AZ1498" i="2" s="1"/>
  <c r="BA1498" i="2"/>
  <c r="AU1520" i="2"/>
  <c r="AZ1520" i="2" s="1"/>
  <c r="BA1520" i="2"/>
  <c r="AU1536" i="2"/>
  <c r="AZ1536" i="2" s="1"/>
  <c r="BA1536" i="2"/>
  <c r="AU1398" i="2"/>
  <c r="AZ1398" i="2" s="1"/>
  <c r="BA1398" i="2"/>
  <c r="AU1414" i="2"/>
  <c r="AZ1414" i="2" s="1"/>
  <c r="BA1414" i="2"/>
  <c r="AU1430" i="2"/>
  <c r="AZ1430" i="2" s="1"/>
  <c r="BA1430" i="2"/>
  <c r="BA2093" i="2"/>
  <c r="AU2093" i="2"/>
  <c r="AZ2093" i="2" s="1"/>
  <c r="BA1272" i="2"/>
  <c r="AU1272" i="2"/>
  <c r="AZ1272" i="2" s="1"/>
  <c r="BA1066" i="2"/>
  <c r="AU1066" i="2"/>
  <c r="AZ1066" i="2" s="1"/>
  <c r="BA1098" i="2"/>
  <c r="AU1098" i="2"/>
  <c r="AZ1098" i="2" s="1"/>
  <c r="BA1130" i="2"/>
  <c r="AU1130" i="2"/>
  <c r="AZ1130" i="2" s="1"/>
  <c r="BA1853" i="2"/>
  <c r="AU1853" i="2"/>
  <c r="AZ1853" i="2" s="1"/>
  <c r="AU728" i="2"/>
  <c r="AZ728" i="2" s="1"/>
  <c r="BA728" i="2"/>
  <c r="AU1219" i="2"/>
  <c r="AZ1219" i="2" s="1"/>
  <c r="BA1219" i="2"/>
  <c r="AU2418" i="2"/>
  <c r="AZ2418" i="2" s="1"/>
  <c r="BA2418" i="2"/>
  <c r="BA1266" i="2"/>
  <c r="AU1266" i="2"/>
  <c r="AZ1266" i="2" s="1"/>
  <c r="AU2333" i="2"/>
  <c r="AZ2333" i="2" s="1"/>
  <c r="BA2333" i="2"/>
  <c r="AU2365" i="2"/>
  <c r="AZ2365" i="2" s="1"/>
  <c r="BA2365" i="2"/>
  <c r="AU1830" i="2"/>
  <c r="AZ1830" i="2" s="1"/>
  <c r="BA1830" i="2"/>
  <c r="AU816" i="2"/>
  <c r="AZ816" i="2" s="1"/>
  <c r="BA816" i="2"/>
  <c r="AU2311" i="2"/>
  <c r="AZ2311" i="2" s="1"/>
  <c r="BA2311" i="2"/>
  <c r="AU1081" i="2"/>
  <c r="AZ1081" i="2" s="1"/>
  <c r="BA1081" i="2"/>
  <c r="BB893" i="2"/>
  <c r="BC893" i="2" s="1"/>
  <c r="BI893" i="2" s="1"/>
  <c r="BA1513" i="2"/>
  <c r="AU1513" i="2"/>
  <c r="AZ1513" i="2" s="1"/>
  <c r="AU623" i="2"/>
  <c r="AZ623" i="2" s="1"/>
  <c r="BA623" i="2"/>
  <c r="AU687" i="2"/>
  <c r="AZ687" i="2" s="1"/>
  <c r="BA687" i="2"/>
  <c r="AU2442" i="2"/>
  <c r="AZ2442" i="2" s="1"/>
  <c r="BA2442" i="2"/>
  <c r="BA2041" i="2"/>
  <c r="AU2041" i="2"/>
  <c r="AZ2041" i="2" s="1"/>
  <c r="AU1526" i="2"/>
  <c r="AZ1526" i="2" s="1"/>
  <c r="BA1526" i="2"/>
  <c r="AU1458" i="2"/>
  <c r="AZ1458" i="2" s="1"/>
  <c r="BA1458" i="2"/>
  <c r="AU1474" i="2"/>
  <c r="AZ1474" i="2" s="1"/>
  <c r="BA1474" i="2"/>
  <c r="AU2452" i="2"/>
  <c r="AZ2452" i="2" s="1"/>
  <c r="BA2452" i="2"/>
  <c r="BA1290" i="2"/>
  <c r="AU1290" i="2"/>
  <c r="AZ1290" i="2" s="1"/>
  <c r="AU2331" i="2"/>
  <c r="AZ2331" i="2" s="1"/>
  <c r="BA2331" i="2"/>
  <c r="AU2363" i="2"/>
  <c r="AZ2363" i="2" s="1"/>
  <c r="BA2363" i="2"/>
  <c r="AU2192" i="2"/>
  <c r="AZ2192" i="2" s="1"/>
  <c r="BA2192" i="2"/>
  <c r="BA1274" i="2"/>
  <c r="AU1274" i="2"/>
  <c r="AZ1274" i="2" s="1"/>
  <c r="AU2024" i="2"/>
  <c r="AZ2024" i="2" s="1"/>
  <c r="BA2024" i="2"/>
  <c r="BA2322" i="2"/>
  <c r="AU2322" i="2"/>
  <c r="AZ2322" i="2" s="1"/>
  <c r="BA1206" i="2"/>
  <c r="AU1206" i="2"/>
  <c r="AZ1206" i="2" s="1"/>
  <c r="BA1586" i="2"/>
  <c r="AU1586" i="2"/>
  <c r="AZ1586" i="2" s="1"/>
  <c r="AU2229" i="2"/>
  <c r="AZ2229" i="2" s="1"/>
  <c r="BA2229" i="2"/>
  <c r="BA2326" i="2"/>
  <c r="AU2326" i="2"/>
  <c r="AZ2326" i="2" s="1"/>
  <c r="BA2358" i="2"/>
  <c r="AU2358" i="2"/>
  <c r="AZ2358" i="2" s="1"/>
  <c r="BA632" i="2"/>
  <c r="AU632" i="2"/>
  <c r="AZ632" i="2" s="1"/>
  <c r="BA664" i="2"/>
  <c r="AU664" i="2"/>
  <c r="AZ664" i="2" s="1"/>
  <c r="BA712" i="2"/>
  <c r="AU712" i="2"/>
  <c r="AZ712" i="2" s="1"/>
  <c r="H200" i="4"/>
  <c r="BB200" i="2"/>
  <c r="BC200" i="2" s="1"/>
  <c r="BI200" i="2" s="1"/>
  <c r="AU1069" i="2"/>
  <c r="AZ1069" i="2" s="1"/>
  <c r="BA1069" i="2"/>
  <c r="AU1552" i="2"/>
  <c r="AZ1552" i="2" s="1"/>
  <c r="BA1552" i="2"/>
  <c r="AU1568" i="2"/>
  <c r="AZ1568" i="2" s="1"/>
  <c r="BA1568" i="2"/>
  <c r="BA357" i="2"/>
  <c r="AU357" i="2"/>
  <c r="AZ357" i="2" s="1"/>
  <c r="AU1020" i="2"/>
  <c r="AZ1020" i="2" s="1"/>
  <c r="BA1020" i="2"/>
  <c r="BA1379" i="2"/>
  <c r="AU1379" i="2"/>
  <c r="AZ1379" i="2" s="1"/>
  <c r="AU318" i="2"/>
  <c r="AZ318" i="2" s="1"/>
  <c r="BA318" i="2"/>
  <c r="BA2212" i="2"/>
  <c r="AU2212" i="2"/>
  <c r="AZ2212" i="2" s="1"/>
  <c r="BA2260" i="2"/>
  <c r="AU2260" i="2"/>
  <c r="AZ2260" i="2" s="1"/>
  <c r="BA2308" i="2"/>
  <c r="AU2308" i="2"/>
  <c r="AZ2308" i="2" s="1"/>
  <c r="AU768" i="2"/>
  <c r="AZ768" i="2" s="1"/>
  <c r="BA768" i="2"/>
  <c r="AU131" i="2"/>
  <c r="AZ131" i="2" s="1"/>
  <c r="BA131" i="2"/>
  <c r="AU106" i="2"/>
  <c r="AZ106" i="2" s="1"/>
  <c r="BA106" i="2"/>
  <c r="BA1553" i="2"/>
  <c r="AU1553" i="2"/>
  <c r="AZ1553" i="2" s="1"/>
  <c r="BA1250" i="2"/>
  <c r="AU1250" i="2"/>
  <c r="AZ1250" i="2" s="1"/>
  <c r="BA1080" i="2"/>
  <c r="AU1080" i="2"/>
  <c r="AZ1080" i="2" s="1"/>
  <c r="BB1147" i="2"/>
  <c r="BC1147" i="2" s="1"/>
  <c r="BI1147" i="2" s="1"/>
  <c r="AU697" i="2"/>
  <c r="AZ697" i="2" s="1"/>
  <c r="BA697" i="2"/>
  <c r="BA169" i="2"/>
  <c r="AU169" i="2"/>
  <c r="AZ169" i="2" s="1"/>
  <c r="AU2434" i="2"/>
  <c r="AZ2434" i="2" s="1"/>
  <c r="BA2434" i="2"/>
  <c r="AU2230" i="2"/>
  <c r="AZ2230" i="2" s="1"/>
  <c r="BA2230" i="2"/>
  <c r="AU2262" i="2"/>
  <c r="AZ2262" i="2" s="1"/>
  <c r="BA2262" i="2"/>
  <c r="AU2294" i="2"/>
  <c r="AZ2294" i="2" s="1"/>
  <c r="BA2294" i="2"/>
  <c r="AU2310" i="2"/>
  <c r="AZ2310" i="2" s="1"/>
  <c r="BA2310" i="2"/>
  <c r="H164" i="4"/>
  <c r="BB164" i="2"/>
  <c r="BC164" i="2" s="1"/>
  <c r="BI164" i="2" s="1"/>
  <c r="AU1488" i="2"/>
  <c r="AZ1488" i="2" s="1"/>
  <c r="BA1488" i="2"/>
  <c r="BB2020" i="2"/>
  <c r="BC2020" i="2" s="1"/>
  <c r="BI2020" i="2" s="1"/>
  <c r="BA2427" i="2"/>
  <c r="AU2427" i="2"/>
  <c r="AZ2427" i="2" s="1"/>
  <c r="BA1168" i="2"/>
  <c r="AU1168" i="2"/>
  <c r="AZ1168" i="2" s="1"/>
  <c r="BA341" i="2"/>
  <c r="AU341" i="2"/>
  <c r="AZ341" i="2" s="1"/>
  <c r="BA1515" i="2"/>
  <c r="AU1515" i="2"/>
  <c r="AZ1515" i="2" s="1"/>
  <c r="BB468" i="2"/>
  <c r="BC468" i="2" s="1"/>
  <c r="BI468" i="2" s="1"/>
  <c r="BA2492" i="2"/>
  <c r="AU2492" i="2"/>
  <c r="AZ2492" i="2" s="1"/>
  <c r="AU866" i="2"/>
  <c r="AZ866" i="2" s="1"/>
  <c r="BA866" i="2"/>
  <c r="AU1127" i="2"/>
  <c r="AZ1127" i="2" s="1"/>
  <c r="BA1127" i="2"/>
  <c r="AU1619" i="2"/>
  <c r="AZ1619" i="2" s="1"/>
  <c r="BA1619" i="2"/>
  <c r="AU520" i="2"/>
  <c r="AZ520" i="2" s="1"/>
  <c r="BA520" i="2"/>
  <c r="AU1661" i="2"/>
  <c r="AZ1661" i="2" s="1"/>
  <c r="BA1661" i="2"/>
  <c r="BA1569" i="2"/>
  <c r="AU1569" i="2"/>
  <c r="AZ1569" i="2" s="1"/>
  <c r="AU2345" i="2"/>
  <c r="AZ2345" i="2" s="1"/>
  <c r="BA2345" i="2"/>
  <c r="BA2114" i="2"/>
  <c r="AU2114" i="2"/>
  <c r="AZ2114" i="2" s="1"/>
  <c r="AU1185" i="2"/>
  <c r="AZ1185" i="2" s="1"/>
  <c r="BA1185" i="2"/>
  <c r="BA439" i="2"/>
  <c r="AU439" i="2"/>
  <c r="AZ439" i="2" s="1"/>
  <c r="AU342" i="2"/>
  <c r="AZ342" i="2" s="1"/>
  <c r="BA342" i="2"/>
  <c r="BA1150" i="2"/>
  <c r="AU1150" i="2"/>
  <c r="AZ1150" i="2" s="1"/>
  <c r="AU1374" i="2"/>
  <c r="AZ1374" i="2" s="1"/>
  <c r="BA1374" i="2"/>
  <c r="BA411" i="2"/>
  <c r="AU411" i="2"/>
  <c r="AZ411" i="2" s="1"/>
  <c r="AU1670" i="2"/>
  <c r="AZ1670" i="2" s="1"/>
  <c r="BA1670" i="2"/>
  <c r="BA797" i="2"/>
  <c r="AU797" i="2"/>
  <c r="AZ797" i="2" s="1"/>
  <c r="AU1721" i="2"/>
  <c r="AZ1721" i="2" s="1"/>
  <c r="BA1721" i="2"/>
  <c r="AU2237" i="2"/>
  <c r="AZ2237" i="2" s="1"/>
  <c r="BA2237" i="2"/>
  <c r="BA424" i="2"/>
  <c r="AU424" i="2"/>
  <c r="AZ424" i="2" s="1"/>
  <c r="AU279" i="2"/>
  <c r="AZ279" i="2" s="1"/>
  <c r="BA279" i="2"/>
  <c r="BA1644" i="2"/>
  <c r="AU1644" i="2"/>
  <c r="AZ1644" i="2" s="1"/>
  <c r="AU1702" i="2"/>
  <c r="AZ1702" i="2" s="1"/>
  <c r="BA1702" i="2"/>
  <c r="BA1636" i="2"/>
  <c r="AU1636" i="2"/>
  <c r="AZ1636" i="2" s="1"/>
  <c r="BA1523" i="2"/>
  <c r="AU1523" i="2"/>
  <c r="AZ1523" i="2" s="1"/>
  <c r="AU2022" i="2"/>
  <c r="AZ2022" i="2" s="1"/>
  <c r="BA2022" i="2"/>
  <c r="AU14" i="2"/>
  <c r="AZ14" i="2" s="1"/>
  <c r="BA14" i="2"/>
  <c r="BA531" i="2"/>
  <c r="AU531" i="2"/>
  <c r="AZ531" i="2" s="1"/>
  <c r="AU2367" i="2"/>
  <c r="AZ2367" i="2" s="1"/>
  <c r="BA2367" i="2"/>
  <c r="AU790" i="2"/>
  <c r="AZ790" i="2" s="1"/>
  <c r="BA790" i="2"/>
  <c r="AU63" i="2"/>
  <c r="AZ63" i="2" s="1"/>
  <c r="BA63" i="2"/>
  <c r="BB901" i="2"/>
  <c r="BC901" i="2" s="1"/>
  <c r="BI901" i="2" s="1"/>
  <c r="AU1934" i="2"/>
  <c r="AZ1934" i="2" s="1"/>
  <c r="BA1934" i="2"/>
  <c r="AU1966" i="2"/>
  <c r="AZ1966" i="2" s="1"/>
  <c r="BA1966" i="2"/>
  <c r="AU1990" i="2"/>
  <c r="AZ1990" i="2" s="1"/>
  <c r="BA1990" i="2"/>
  <c r="AU1776" i="2"/>
  <c r="AZ1776" i="2" s="1"/>
  <c r="BA1776" i="2"/>
  <c r="BA1708" i="2"/>
  <c r="AU1708" i="2"/>
  <c r="AZ1708" i="2" s="1"/>
  <c r="BA2344" i="2"/>
  <c r="AU2344" i="2"/>
  <c r="AZ2344" i="2" s="1"/>
  <c r="AU2446" i="2"/>
  <c r="AZ2446" i="2" s="1"/>
  <c r="BA2446" i="2"/>
  <c r="BA312" i="2"/>
  <c r="AU312" i="2"/>
  <c r="AZ312" i="2" s="1"/>
  <c r="BA1845" i="2"/>
  <c r="AU1845" i="2"/>
  <c r="AZ1845" i="2" s="1"/>
  <c r="AU673" i="2"/>
  <c r="AZ673" i="2" s="1"/>
  <c r="BA673" i="2"/>
  <c r="BA2019" i="2"/>
  <c r="AU2019" i="2"/>
  <c r="AZ2019" i="2" s="1"/>
  <c r="BA1427" i="2"/>
  <c r="AU1427" i="2"/>
  <c r="AZ1427" i="2" s="1"/>
  <c r="BA495" i="2"/>
  <c r="AU495" i="2"/>
  <c r="AZ495" i="2" s="1"/>
  <c r="BA1660" i="2"/>
  <c r="AU1660" i="2"/>
  <c r="AZ1660" i="2" s="1"/>
  <c r="AU1754" i="2"/>
  <c r="AZ1754" i="2" s="1"/>
  <c r="BA1754" i="2"/>
  <c r="BA951" i="2"/>
  <c r="AU951" i="2"/>
  <c r="AZ951" i="2" s="1"/>
  <c r="BA991" i="2"/>
  <c r="AU991" i="2"/>
  <c r="AZ991" i="2" s="1"/>
  <c r="BA1015" i="2"/>
  <c r="AU1015" i="2"/>
  <c r="AZ1015" i="2" s="1"/>
  <c r="BA1023" i="2"/>
  <c r="AU1023" i="2"/>
  <c r="AZ1023" i="2" s="1"/>
  <c r="BA1031" i="2"/>
  <c r="AU1031" i="2"/>
  <c r="AZ1031" i="2" s="1"/>
  <c r="BA1039" i="2"/>
  <c r="AU1039" i="2"/>
  <c r="AZ1039" i="2" s="1"/>
  <c r="BA2124" i="2"/>
  <c r="AU2124" i="2"/>
  <c r="AZ2124" i="2" s="1"/>
  <c r="BA2132" i="2"/>
  <c r="AU2132" i="2"/>
  <c r="AZ2132" i="2" s="1"/>
  <c r="BA2140" i="2"/>
  <c r="AU2140" i="2"/>
  <c r="AZ2140" i="2" s="1"/>
  <c r="AU2491" i="2"/>
  <c r="AZ2491" i="2" s="1"/>
  <c r="BA2491" i="2"/>
  <c r="AU2042" i="2"/>
  <c r="AZ2042" i="2" s="1"/>
  <c r="BA2042" i="2"/>
  <c r="AU669" i="2"/>
  <c r="AZ669" i="2" s="1"/>
  <c r="BA669" i="2"/>
  <c r="AU2477" i="2"/>
  <c r="AZ2477" i="2" s="1"/>
  <c r="BA2477" i="2"/>
  <c r="BA209" i="2"/>
  <c r="AU209" i="2"/>
  <c r="AZ209" i="2" s="1"/>
  <c r="AU1018" i="2"/>
  <c r="AZ1018" i="2" s="1"/>
  <c r="BA1018" i="2"/>
  <c r="AU1034" i="2"/>
  <c r="AZ1034" i="2" s="1"/>
  <c r="BA1034" i="2"/>
  <c r="BA2003" i="2"/>
  <c r="AU2003" i="2"/>
  <c r="AZ2003" i="2" s="1"/>
  <c r="BA1652" i="2"/>
  <c r="AU1652" i="2"/>
  <c r="AZ1652" i="2" s="1"/>
  <c r="AU31" i="2"/>
  <c r="AZ31" i="2" s="1"/>
  <c r="BA31" i="2"/>
  <c r="BA560" i="2"/>
  <c r="AU560" i="2"/>
  <c r="AZ560" i="2" s="1"/>
  <c r="BA568" i="2"/>
  <c r="AU568" i="2"/>
  <c r="AZ568" i="2" s="1"/>
  <c r="BA584" i="2"/>
  <c r="AU584" i="2"/>
  <c r="AZ584" i="2" s="1"/>
  <c r="BA616" i="2"/>
  <c r="AU616" i="2"/>
  <c r="AZ616" i="2" s="1"/>
  <c r="AU2428" i="2"/>
  <c r="AZ2428" i="2" s="1"/>
  <c r="BA2428" i="2"/>
  <c r="BA1769" i="2"/>
  <c r="AU1769" i="2"/>
  <c r="AZ1769" i="2" s="1"/>
  <c r="BA535" i="2"/>
  <c r="AU535" i="2"/>
  <c r="AZ535" i="2" s="1"/>
  <c r="AU1351" i="2"/>
  <c r="AZ1351" i="2" s="1"/>
  <c r="BA1351" i="2"/>
  <c r="BA1407" i="2"/>
  <c r="AU1407" i="2"/>
  <c r="AZ1407" i="2" s="1"/>
  <c r="AU2315" i="2"/>
  <c r="AZ2315" i="2" s="1"/>
  <c r="BA2315" i="2"/>
  <c r="AU2347" i="2"/>
  <c r="AZ2347" i="2" s="1"/>
  <c r="BA2347" i="2"/>
  <c r="AU2379" i="2"/>
  <c r="AZ2379" i="2" s="1"/>
  <c r="BA2379" i="2"/>
  <c r="BA1459" i="2"/>
  <c r="AU1459" i="2"/>
  <c r="AZ1459" i="2" s="1"/>
  <c r="AU2032" i="2"/>
  <c r="AZ2032" i="2" s="1"/>
  <c r="BA2032" i="2"/>
  <c r="BA741" i="2"/>
  <c r="AU741" i="2"/>
  <c r="AZ741" i="2" s="1"/>
  <c r="BA2338" i="2"/>
  <c r="AU2338" i="2"/>
  <c r="AZ2338" i="2" s="1"/>
  <c r="BA2370" i="2"/>
  <c r="AU2370" i="2"/>
  <c r="AZ2370" i="2" s="1"/>
  <c r="BA1389" i="2"/>
  <c r="AU1389" i="2"/>
  <c r="AZ1389" i="2" s="1"/>
  <c r="BB216" i="2"/>
  <c r="BC216" i="2" s="1"/>
  <c r="BI216" i="2" s="1"/>
  <c r="BA757" i="2"/>
  <c r="AU757" i="2"/>
  <c r="AZ757" i="2" s="1"/>
  <c r="BA1334" i="2"/>
  <c r="AU1334" i="2"/>
  <c r="AZ1334" i="2" s="1"/>
  <c r="AU2046" i="2"/>
  <c r="AZ2046" i="2" s="1"/>
  <c r="BA2046" i="2"/>
  <c r="BB923" i="2"/>
  <c r="BC923" i="2" s="1"/>
  <c r="BI923" i="2" s="1"/>
  <c r="AU2408" i="2"/>
  <c r="AZ2408" i="2" s="1"/>
  <c r="BA2408" i="2"/>
  <c r="AU1287" i="2"/>
  <c r="AZ1287" i="2" s="1"/>
  <c r="BA1287" i="2"/>
  <c r="AU2339" i="2"/>
  <c r="AZ2339" i="2" s="1"/>
  <c r="BA2339" i="2"/>
  <c r="AU2371" i="2"/>
  <c r="AZ2371" i="2" s="1"/>
  <c r="BA2371" i="2"/>
  <c r="AU2424" i="2"/>
  <c r="AZ2424" i="2" s="1"/>
  <c r="BA2424" i="2"/>
  <c r="BA1338" i="2"/>
  <c r="AU1338" i="2"/>
  <c r="AZ1338" i="2" s="1"/>
  <c r="AU2450" i="2"/>
  <c r="AZ2450" i="2" s="1"/>
  <c r="BA2450" i="2"/>
  <c r="AU2078" i="2"/>
  <c r="AZ2078" i="2" s="1"/>
  <c r="BA2078" i="2"/>
  <c r="AU91" i="2"/>
  <c r="AZ91" i="2" s="1"/>
  <c r="BA91" i="2"/>
  <c r="AU2436" i="2"/>
  <c r="AZ2436" i="2" s="1"/>
  <c r="BA2436" i="2"/>
  <c r="AU2028" i="2"/>
  <c r="AZ2028" i="2" s="1"/>
  <c r="BA2028" i="2"/>
  <c r="BA837" i="2"/>
  <c r="AU837" i="2"/>
  <c r="AZ837" i="2" s="1"/>
  <c r="BA2330" i="2"/>
  <c r="AU2330" i="2"/>
  <c r="AZ2330" i="2" s="1"/>
  <c r="BA2362" i="2"/>
  <c r="AU2362" i="2"/>
  <c r="AZ2362" i="2" s="1"/>
  <c r="BA1373" i="2"/>
  <c r="AU1373" i="2"/>
  <c r="AZ1373" i="2" s="1"/>
  <c r="AU2146" i="2"/>
  <c r="AZ2146" i="2" s="1"/>
  <c r="BA2146" i="2"/>
  <c r="BA853" i="2"/>
  <c r="AU853" i="2"/>
  <c r="AZ853" i="2" s="1"/>
  <c r="BA1270" i="2"/>
  <c r="AU1270" i="2"/>
  <c r="AZ1270" i="2" s="1"/>
  <c r="BA1594" i="2"/>
  <c r="AU1594" i="2"/>
  <c r="AZ1594" i="2" s="1"/>
  <c r="BB907" i="2"/>
  <c r="BC907" i="2" s="1"/>
  <c r="BI907" i="2" s="1"/>
  <c r="BB1141" i="2"/>
  <c r="BC1141" i="2" s="1"/>
  <c r="BI1141" i="2" s="1"/>
  <c r="AU896" i="2"/>
  <c r="AZ896" i="2" s="1"/>
  <c r="BA896" i="2"/>
  <c r="BA2029" i="2"/>
  <c r="AU2029" i="2"/>
  <c r="AZ2029" i="2" s="1"/>
  <c r="BA2037" i="2"/>
  <c r="AU2037" i="2"/>
  <c r="AZ2037" i="2" s="1"/>
  <c r="AU119" i="2"/>
  <c r="AZ119" i="2" s="1"/>
  <c r="BA119" i="2"/>
  <c r="AU334" i="2"/>
  <c r="AZ334" i="2" s="1"/>
  <c r="BA334" i="2"/>
  <c r="BB404" i="2"/>
  <c r="BC404" i="2" s="1"/>
  <c r="BI404" i="2" s="1"/>
  <c r="BA1370" i="2"/>
  <c r="AU1370" i="2"/>
  <c r="AZ1370" i="2" s="1"/>
  <c r="H120" i="4"/>
  <c r="BB120" i="2"/>
  <c r="BC120" i="2" s="1"/>
  <c r="BI120" i="2" s="1"/>
  <c r="AU1213" i="2"/>
  <c r="AZ1213" i="2" s="1"/>
  <c r="BA1213" i="2"/>
  <c r="BA2334" i="2"/>
  <c r="AU2334" i="2"/>
  <c r="AZ2334" i="2" s="1"/>
  <c r="BA2366" i="2"/>
  <c r="AU2366" i="2"/>
  <c r="AZ2366" i="2" s="1"/>
  <c r="BA1286" i="2"/>
  <c r="AU1286" i="2"/>
  <c r="AZ1286" i="2" s="1"/>
  <c r="AU2497" i="2"/>
  <c r="AZ2497" i="2" s="1"/>
  <c r="BA2497" i="2"/>
  <c r="BA2459" i="2"/>
  <c r="AU2459" i="2"/>
  <c r="AZ2459" i="2" s="1"/>
  <c r="AU198" i="2"/>
  <c r="AZ198" i="2" s="1"/>
  <c r="BA198" i="2"/>
  <c r="BA620" i="2"/>
  <c r="AU620" i="2"/>
  <c r="AZ620" i="2" s="1"/>
  <c r="BA636" i="2"/>
  <c r="AU636" i="2"/>
  <c r="AZ636" i="2" s="1"/>
  <c r="BA652" i="2"/>
  <c r="AU652" i="2"/>
  <c r="AZ652" i="2" s="1"/>
  <c r="BA668" i="2"/>
  <c r="AU668" i="2"/>
  <c r="AZ668" i="2" s="1"/>
  <c r="BA684" i="2"/>
  <c r="AU684" i="2"/>
  <c r="AZ684" i="2" s="1"/>
  <c r="BA700" i="2"/>
  <c r="AU700" i="2"/>
  <c r="AZ700" i="2" s="1"/>
  <c r="BA716" i="2"/>
  <c r="AU716" i="2"/>
  <c r="AZ716" i="2" s="1"/>
  <c r="AU932" i="2"/>
  <c r="AZ932" i="2" s="1"/>
  <c r="BA932" i="2"/>
  <c r="BA12" i="2"/>
  <c r="AU12" i="2"/>
  <c r="AZ12" i="2" s="1"/>
  <c r="AU41" i="2"/>
  <c r="AZ41" i="2" s="1"/>
  <c r="BA41" i="2"/>
  <c r="AU1502" i="2"/>
  <c r="AZ1502" i="2" s="1"/>
  <c r="BA1502" i="2"/>
  <c r="AU1133" i="2"/>
  <c r="AZ1133" i="2" s="1"/>
  <c r="BA1133" i="2"/>
  <c r="AU1693" i="2"/>
  <c r="AZ1693" i="2" s="1"/>
  <c r="BA1693" i="2"/>
  <c r="BA761" i="2"/>
  <c r="AU761" i="2"/>
  <c r="AZ761" i="2" s="1"/>
  <c r="AU1496" i="2"/>
  <c r="AZ1496" i="2" s="1"/>
  <c r="BA1496" i="2"/>
  <c r="AU1556" i="2"/>
  <c r="AZ1556" i="2" s="1"/>
  <c r="BA1556" i="2"/>
  <c r="AU1572" i="2"/>
  <c r="AZ1572" i="2" s="1"/>
  <c r="BA1572" i="2"/>
  <c r="BA250" i="2"/>
  <c r="AU250" i="2"/>
  <c r="AZ250" i="2" s="1"/>
  <c r="AU2414" i="2"/>
  <c r="AZ2414" i="2" s="1"/>
  <c r="BA2414" i="2"/>
  <c r="BA72" i="2"/>
  <c r="AU72" i="2"/>
  <c r="AZ72" i="2" s="1"/>
  <c r="AU635" i="2"/>
  <c r="AZ635" i="2" s="1"/>
  <c r="BA635" i="2"/>
  <c r="AU699" i="2"/>
  <c r="AZ699" i="2" s="1"/>
  <c r="BA699" i="2"/>
  <c r="BA1188" i="2"/>
  <c r="AU1188" i="2"/>
  <c r="AZ1188" i="2" s="1"/>
  <c r="BB1775" i="2"/>
  <c r="BC1775" i="2" s="1"/>
  <c r="BI1775" i="2" s="1"/>
  <c r="BB1779" i="2"/>
  <c r="BC1779" i="2" s="1"/>
  <c r="BI1779" i="2" s="1"/>
  <c r="AU944" i="2"/>
  <c r="AZ944" i="2" s="1"/>
  <c r="BA944" i="2"/>
  <c r="AU960" i="2"/>
  <c r="AZ960" i="2" s="1"/>
  <c r="BA960" i="2"/>
  <c r="AU976" i="2"/>
  <c r="AZ976" i="2" s="1"/>
  <c r="BA976" i="2"/>
  <c r="AU992" i="2"/>
  <c r="AZ992" i="2" s="1"/>
  <c r="BA992" i="2"/>
  <c r="AU1008" i="2"/>
  <c r="AZ1008" i="2" s="1"/>
  <c r="BA1008" i="2"/>
  <c r="AU1024" i="2"/>
  <c r="AZ1024" i="2" s="1"/>
  <c r="BA1024" i="2"/>
  <c r="AU1040" i="2"/>
  <c r="AZ1040" i="2" s="1"/>
  <c r="BA1040" i="2"/>
  <c r="AU2456" i="2"/>
  <c r="AZ2456" i="2" s="1"/>
  <c r="BA2456" i="2"/>
  <c r="BA753" i="2"/>
  <c r="AU753" i="2"/>
  <c r="AZ753" i="2" s="1"/>
  <c r="BA881" i="2"/>
  <c r="AU881" i="2"/>
  <c r="AZ881" i="2" s="1"/>
  <c r="BA1626" i="2"/>
  <c r="AU1626" i="2"/>
  <c r="AZ1626" i="2" s="1"/>
  <c r="AU2490" i="2"/>
  <c r="AZ2490" i="2" s="1"/>
  <c r="BA2490" i="2"/>
  <c r="BA509" i="2"/>
  <c r="AU509" i="2"/>
  <c r="AZ509" i="2" s="1"/>
  <c r="AU102" i="2"/>
  <c r="AZ102" i="2" s="1"/>
  <c r="BA102" i="2"/>
  <c r="AU2479" i="2"/>
  <c r="AZ2479" i="2" s="1"/>
  <c r="BA2479" i="2"/>
  <c r="BA322" i="2"/>
  <c r="AU322" i="2"/>
  <c r="AZ322" i="2" s="1"/>
  <c r="AU1629" i="2"/>
  <c r="AZ1629" i="2" s="1"/>
  <c r="BA1629" i="2"/>
  <c r="BA769" i="2"/>
  <c r="AU769" i="2"/>
  <c r="AZ769" i="2" s="1"/>
  <c r="BA3" i="2"/>
  <c r="AU3" i="2"/>
  <c r="AZ3" i="2" s="1"/>
  <c r="BA1449" i="2"/>
  <c r="AU1449" i="2"/>
  <c r="AZ1449" i="2" s="1"/>
  <c r="BA161" i="2"/>
  <c r="AU161" i="2"/>
  <c r="AZ161" i="2" s="1"/>
  <c r="AU1099" i="2"/>
  <c r="AZ1099" i="2" s="1"/>
  <c r="BA1099" i="2"/>
  <c r="AU736" i="2"/>
  <c r="AZ736" i="2" s="1"/>
  <c r="BA736" i="2"/>
  <c r="BA525" i="2"/>
  <c r="AU525" i="2"/>
  <c r="AZ525" i="2" s="1"/>
  <c r="AU70" i="2"/>
  <c r="AZ70" i="2" s="1"/>
  <c r="BA70" i="2"/>
  <c r="BA35" i="2"/>
  <c r="AU35" i="2"/>
  <c r="AZ35" i="2" s="1"/>
  <c r="BA2081" i="2"/>
  <c r="AU2081" i="2"/>
  <c r="AZ2081" i="2" s="1"/>
  <c r="BA2200" i="2"/>
  <c r="AU2200" i="2"/>
  <c r="AZ2200" i="2" s="1"/>
  <c r="BA2216" i="2"/>
  <c r="AU2216" i="2"/>
  <c r="AZ2216" i="2" s="1"/>
  <c r="BA2232" i="2"/>
  <c r="AU2232" i="2"/>
  <c r="AZ2232" i="2" s="1"/>
  <c r="BA2248" i="2"/>
  <c r="AU2248" i="2"/>
  <c r="AZ2248" i="2" s="1"/>
  <c r="BA2264" i="2"/>
  <c r="AU2264" i="2"/>
  <c r="AZ2264" i="2" s="1"/>
  <c r="BA2280" i="2"/>
  <c r="AU2280" i="2"/>
  <c r="AZ2280" i="2" s="1"/>
  <c r="BA2296" i="2"/>
  <c r="AU2296" i="2"/>
  <c r="AZ2296" i="2" s="1"/>
  <c r="BA2312" i="2"/>
  <c r="AU2312" i="2"/>
  <c r="AZ2312" i="2" s="1"/>
  <c r="AU832" i="2"/>
  <c r="AZ832" i="2" s="1"/>
  <c r="BA832" i="2"/>
  <c r="AU163" i="2"/>
  <c r="AZ163" i="2" s="1"/>
  <c r="BA163" i="2"/>
  <c r="BA283" i="2"/>
  <c r="AU283" i="2"/>
  <c r="AZ283" i="2" s="1"/>
  <c r="AU1686" i="2"/>
  <c r="AZ1686" i="2" s="1"/>
  <c r="BA1686" i="2"/>
  <c r="AU2178" i="2"/>
  <c r="AZ2178" i="2" s="1"/>
  <c r="BA2178" i="2"/>
  <c r="BA2107" i="2"/>
  <c r="AU2107" i="2"/>
  <c r="AZ2107" i="2" s="1"/>
  <c r="BA1252" i="2"/>
  <c r="AU1252" i="2"/>
  <c r="AZ1252" i="2" s="1"/>
  <c r="BA1314" i="2"/>
  <c r="AU1314" i="2"/>
  <c r="AZ1314" i="2" s="1"/>
  <c r="BA36" i="2"/>
  <c r="AU36" i="2"/>
  <c r="AZ36" i="2" s="1"/>
  <c r="BA15" i="2"/>
  <c r="AU15" i="2"/>
  <c r="AZ15" i="2" s="1"/>
  <c r="BA2445" i="2"/>
  <c r="AU2445" i="2"/>
  <c r="AZ2445" i="2" s="1"/>
  <c r="AU510" i="2"/>
  <c r="AZ510" i="2" s="1"/>
  <c r="BA510" i="2"/>
  <c r="BA1308" i="2"/>
  <c r="AU1308" i="2"/>
  <c r="AZ1308" i="2" s="1"/>
  <c r="BA1056" i="2"/>
  <c r="AU1056" i="2"/>
  <c r="AZ1056" i="2" s="1"/>
  <c r="BA1088" i="2"/>
  <c r="AU1088" i="2"/>
  <c r="AZ1088" i="2" s="1"/>
  <c r="BA1120" i="2"/>
  <c r="AU1120" i="2"/>
  <c r="AZ1120" i="2" s="1"/>
  <c r="BA493" i="2"/>
  <c r="AU493" i="2"/>
  <c r="AZ493" i="2" s="1"/>
  <c r="BA201" i="2"/>
  <c r="AU201" i="2"/>
  <c r="AZ201" i="2" s="1"/>
  <c r="BA1324" i="2"/>
  <c r="AU1324" i="2"/>
  <c r="AZ1324" i="2" s="1"/>
  <c r="BA1393" i="2"/>
  <c r="AU1393" i="2"/>
  <c r="AZ1393" i="2" s="1"/>
  <c r="BA329" i="2"/>
  <c r="AU329" i="2"/>
  <c r="AZ329" i="2" s="1"/>
  <c r="BA361" i="2"/>
  <c r="AU361" i="2"/>
  <c r="AZ361" i="2" s="1"/>
  <c r="BA393" i="2"/>
  <c r="AU393" i="2"/>
  <c r="AZ393" i="2" s="1"/>
  <c r="BA1883" i="2"/>
  <c r="AU1883" i="2"/>
  <c r="AZ1883" i="2" s="1"/>
  <c r="BA1915" i="2"/>
  <c r="AU1915" i="2"/>
  <c r="AZ1915" i="2" s="1"/>
  <c r="BA1947" i="2"/>
  <c r="AU1947" i="2"/>
  <c r="AZ1947" i="2" s="1"/>
  <c r="AU2202" i="2"/>
  <c r="AZ2202" i="2" s="1"/>
  <c r="BA2202" i="2"/>
  <c r="AU2218" i="2"/>
  <c r="AZ2218" i="2" s="1"/>
  <c r="BA2218" i="2"/>
  <c r="AU2234" i="2"/>
  <c r="AZ2234" i="2" s="1"/>
  <c r="BA2234" i="2"/>
  <c r="AU2250" i="2"/>
  <c r="AZ2250" i="2" s="1"/>
  <c r="BA2250" i="2"/>
  <c r="AU2266" i="2"/>
  <c r="AZ2266" i="2" s="1"/>
  <c r="BA2266" i="2"/>
  <c r="AU2282" i="2"/>
  <c r="AZ2282" i="2" s="1"/>
  <c r="BA2282" i="2"/>
  <c r="AU2298" i="2"/>
  <c r="AZ2298" i="2" s="1"/>
  <c r="BA2298" i="2"/>
  <c r="AU2314" i="2"/>
  <c r="AZ2314" i="2" s="1"/>
  <c r="BA2314" i="2"/>
  <c r="BB1823" i="2"/>
  <c r="BC1823" i="2" s="1"/>
  <c r="BI1823" i="2" s="1"/>
  <c r="BA459" i="2"/>
  <c r="AU459" i="2"/>
  <c r="AZ459" i="2" s="1"/>
  <c r="AU150" i="2"/>
  <c r="AZ150" i="2" s="1"/>
  <c r="BA150" i="2"/>
  <c r="BA1156" i="2"/>
  <c r="AU1156" i="2"/>
  <c r="AZ1156" i="2" s="1"/>
  <c r="BA1172" i="2"/>
  <c r="AU1172" i="2"/>
  <c r="AZ1172" i="2" s="1"/>
  <c r="BA2447" i="2"/>
  <c r="AU2447" i="2"/>
  <c r="AZ2447" i="2" s="1"/>
  <c r="BA1531" i="2"/>
  <c r="AU1531" i="2"/>
  <c r="AZ1531" i="2" s="1"/>
  <c r="BA205" i="2"/>
  <c r="AU205" i="2"/>
  <c r="AZ205" i="2" s="1"/>
  <c r="BA107" i="2"/>
  <c r="AU107" i="2"/>
  <c r="AZ107" i="2" s="1"/>
  <c r="BA171" i="2"/>
  <c r="AU171" i="2"/>
  <c r="AZ171" i="2" s="1"/>
  <c r="AU350" i="2"/>
  <c r="AZ350" i="2" s="1"/>
  <c r="BA350" i="2"/>
  <c r="BA1624" i="2"/>
  <c r="AU1624" i="2"/>
  <c r="AZ1624" i="2" s="1"/>
  <c r="BA1381" i="2"/>
  <c r="AU1381" i="2"/>
  <c r="AZ1381" i="2" s="1"/>
  <c r="AU195" i="2"/>
  <c r="AZ195" i="2" s="1"/>
  <c r="BA195" i="2"/>
  <c r="BA289" i="2"/>
  <c r="AU289" i="2"/>
  <c r="AZ289" i="2" s="1"/>
  <c r="AU1337" i="2"/>
  <c r="AZ1337" i="2" s="1"/>
  <c r="BA1337" i="2"/>
  <c r="AU1211" i="2"/>
  <c r="AZ1211" i="2" s="1"/>
  <c r="BA1211" i="2"/>
  <c r="BA487" i="2"/>
  <c r="AU487" i="2"/>
  <c r="AZ487" i="2" s="1"/>
  <c r="AU1259" i="2"/>
  <c r="AZ1259" i="2" s="1"/>
  <c r="BA1259" i="2"/>
  <c r="AU17" i="2"/>
  <c r="AZ17" i="2" s="1"/>
  <c r="BA17" i="2"/>
  <c r="BB889" i="2"/>
  <c r="BC889" i="2" s="1"/>
  <c r="BI889" i="2" s="1"/>
  <c r="AU754" i="2"/>
  <c r="AZ754" i="2" s="1"/>
  <c r="BA754" i="2"/>
  <c r="AU818" i="2"/>
  <c r="AZ818" i="2" s="1"/>
  <c r="BA818" i="2"/>
  <c r="AU882" i="2"/>
  <c r="AZ882" i="2" s="1"/>
  <c r="BA882" i="2"/>
  <c r="BA1648" i="2"/>
  <c r="AU1648" i="2"/>
  <c r="AZ1648" i="2" s="1"/>
  <c r="BA69" i="2"/>
  <c r="AU69" i="2"/>
  <c r="AZ69" i="2" s="1"/>
  <c r="AU1215" i="2"/>
  <c r="AZ1215" i="2" s="1"/>
  <c r="BA1215" i="2"/>
  <c r="AU2092" i="2"/>
  <c r="AZ2092" i="2" s="1"/>
  <c r="BA2092" i="2"/>
  <c r="AU1059" i="2"/>
  <c r="AZ1059" i="2" s="1"/>
  <c r="BA1059" i="2"/>
  <c r="BA285" i="2"/>
  <c r="AU285" i="2"/>
  <c r="AZ285" i="2" s="1"/>
  <c r="AU478" i="2"/>
  <c r="AZ478" i="2" s="1"/>
  <c r="BA478" i="2"/>
  <c r="BA2007" i="2"/>
  <c r="AU2007" i="2"/>
  <c r="AZ2007" i="2" s="1"/>
  <c r="AU2361" i="2"/>
  <c r="AZ2361" i="2" s="1"/>
  <c r="BA2361" i="2"/>
  <c r="BA1969" i="2"/>
  <c r="AU1969" i="2"/>
  <c r="AZ1969" i="2" s="1"/>
  <c r="AU1065" i="2"/>
  <c r="AZ1065" i="2" s="1"/>
  <c r="BA1065" i="2"/>
  <c r="AU1349" i="2"/>
  <c r="AZ1349" i="2" s="1"/>
  <c r="BA1349" i="2"/>
  <c r="BA1608" i="2"/>
  <c r="AU1608" i="2"/>
  <c r="AZ1608" i="2" s="1"/>
  <c r="AU1774" i="2"/>
  <c r="AZ1774" i="2" s="1"/>
  <c r="BA1774" i="2"/>
  <c r="BA1248" i="2"/>
  <c r="AU1248" i="2"/>
  <c r="AZ1248" i="2" s="1"/>
  <c r="AU1305" i="2"/>
  <c r="AZ1305" i="2" s="1"/>
  <c r="BA1305" i="2"/>
  <c r="BA2155" i="2"/>
  <c r="AU2155" i="2"/>
  <c r="AZ2155" i="2" s="1"/>
  <c r="AU2277" i="2"/>
  <c r="AZ2277" i="2" s="1"/>
  <c r="BA2277" i="2"/>
  <c r="BA271" i="2"/>
  <c r="AU271" i="2"/>
  <c r="AZ271" i="2" s="1"/>
  <c r="AU512" i="2"/>
  <c r="AZ512" i="2" s="1"/>
  <c r="BA512" i="2"/>
  <c r="AU65" i="2"/>
  <c r="AZ65" i="2" s="1"/>
  <c r="BA65" i="2"/>
  <c r="AU504" i="2"/>
  <c r="AZ504" i="2" s="1"/>
  <c r="BA504" i="2"/>
  <c r="BA2439" i="2"/>
  <c r="AU2439" i="2"/>
  <c r="AZ2439" i="2" s="1"/>
  <c r="BA323" i="2"/>
  <c r="AU323" i="2"/>
  <c r="AZ323" i="2" s="1"/>
  <c r="AU1788" i="2"/>
  <c r="AZ1788" i="2" s="1"/>
  <c r="BA1788" i="2"/>
  <c r="BA2005" i="2"/>
  <c r="AU2005" i="2"/>
  <c r="AZ2005" i="2" s="1"/>
  <c r="BA2167" i="2"/>
  <c r="AU2167" i="2"/>
  <c r="AZ2167" i="2" s="1"/>
  <c r="BA2393" i="2"/>
  <c r="AU2393" i="2"/>
  <c r="AZ2393" i="2" s="1"/>
  <c r="AU1103" i="2"/>
  <c r="AZ1103" i="2" s="1"/>
  <c r="BA1103" i="2"/>
  <c r="BA423" i="2"/>
  <c r="AU423" i="2"/>
  <c r="AZ423" i="2" s="1"/>
  <c r="BA1328" i="2"/>
  <c r="AU1328" i="2"/>
  <c r="AZ1328" i="2" s="1"/>
  <c r="AU2319" i="2"/>
  <c r="AZ2319" i="2" s="1"/>
  <c r="BA2319" i="2"/>
  <c r="AU2391" i="2"/>
  <c r="AZ2391" i="2" s="1"/>
  <c r="BA2391" i="2"/>
  <c r="AU30" i="2"/>
  <c r="AZ30" i="2" s="1"/>
  <c r="BA30" i="2"/>
  <c r="AU130" i="2"/>
  <c r="AZ130" i="2" s="1"/>
  <c r="BA130" i="2"/>
  <c r="BA441" i="2"/>
  <c r="AU441" i="2"/>
  <c r="AZ441" i="2" s="1"/>
  <c r="BA301" i="2"/>
  <c r="AU301" i="2"/>
  <c r="AZ301" i="2" s="1"/>
  <c r="AU1734" i="2"/>
  <c r="AZ1734" i="2" s="1"/>
  <c r="BA1734" i="2"/>
  <c r="BA829" i="2"/>
  <c r="AU829" i="2"/>
  <c r="AZ829" i="2" s="1"/>
  <c r="AU1719" i="2"/>
  <c r="AZ1719" i="2" s="1"/>
  <c r="BA1719" i="2"/>
  <c r="BA212" i="2"/>
  <c r="AU212" i="2"/>
  <c r="AZ212" i="2" s="1"/>
  <c r="AU1061" i="2"/>
  <c r="AZ1061" i="2" s="1"/>
  <c r="BA1061" i="2"/>
  <c r="AU1673" i="2"/>
  <c r="AZ1673" i="2" s="1"/>
  <c r="BA1673" i="2"/>
  <c r="AU1737" i="2"/>
  <c r="AZ1737" i="2" s="1"/>
  <c r="BA1737" i="2"/>
  <c r="AU2245" i="2"/>
  <c r="AZ2245" i="2" s="1"/>
  <c r="BA2245" i="2"/>
  <c r="BA2179" i="2"/>
  <c r="AU2179" i="2"/>
  <c r="AZ2179" i="2" s="1"/>
  <c r="BA743" i="2"/>
  <c r="AU743" i="2"/>
  <c r="AZ743" i="2" s="1"/>
  <c r="BA807" i="2"/>
  <c r="AU807" i="2"/>
  <c r="AZ807" i="2" s="1"/>
  <c r="BA871" i="2"/>
  <c r="AU871" i="2"/>
  <c r="AZ871" i="2" s="1"/>
  <c r="BA408" i="2"/>
  <c r="AU408" i="2"/>
  <c r="AZ408" i="2" s="1"/>
  <c r="AU1850" i="2"/>
  <c r="AZ1850" i="2" s="1"/>
  <c r="BA1850" i="2"/>
  <c r="AU206" i="2"/>
  <c r="AZ206" i="2" s="1"/>
  <c r="BA206" i="2"/>
  <c r="AU158" i="2"/>
  <c r="AZ158" i="2" s="1"/>
  <c r="BA158" i="2"/>
  <c r="AU2241" i="2"/>
  <c r="AZ2241" i="2" s="1"/>
  <c r="BA2241" i="2"/>
  <c r="AU1846" i="2"/>
  <c r="AZ1846" i="2" s="1"/>
  <c r="BA1846" i="2"/>
  <c r="BA207" i="2"/>
  <c r="AU207" i="2"/>
  <c r="AZ207" i="2" s="1"/>
  <c r="BA472" i="2"/>
  <c r="AU472" i="2"/>
  <c r="AZ472" i="2" s="1"/>
  <c r="AU406" i="2"/>
  <c r="AZ406" i="2" s="1"/>
  <c r="BA406" i="2"/>
  <c r="AU43" i="2"/>
  <c r="AZ43" i="2" s="1"/>
  <c r="BA43" i="2"/>
  <c r="BA450" i="2"/>
  <c r="AU450" i="2"/>
  <c r="AZ450" i="2" s="1"/>
  <c r="AU438" i="2"/>
  <c r="AZ438" i="2" s="1"/>
  <c r="BA438" i="2"/>
  <c r="AU1229" i="2"/>
  <c r="AZ1229" i="2" s="1"/>
  <c r="BA1229" i="2"/>
  <c r="BA1959" i="2"/>
  <c r="AU1959" i="2"/>
  <c r="AZ1959" i="2" s="1"/>
  <c r="AU122" i="2"/>
  <c r="AZ122" i="2" s="1"/>
  <c r="BA122" i="2"/>
  <c r="BA2169" i="2"/>
  <c r="AU2169" i="2"/>
  <c r="AZ2169" i="2" s="1"/>
  <c r="AU2494" i="2"/>
  <c r="AZ2494" i="2" s="1"/>
  <c r="BA2494" i="2"/>
  <c r="BA98" i="2"/>
  <c r="AU98" i="2"/>
  <c r="AZ98" i="2" s="1"/>
  <c r="BA787" i="2"/>
  <c r="AU787" i="2"/>
  <c r="AZ787" i="2" s="1"/>
  <c r="BA851" i="2"/>
  <c r="AU851" i="2"/>
  <c r="AZ851" i="2" s="1"/>
  <c r="BA1214" i="2"/>
  <c r="AU1214" i="2"/>
  <c r="AZ1214" i="2" s="1"/>
  <c r="AU2044" i="2"/>
  <c r="AZ2044" i="2" s="1"/>
  <c r="BA2044" i="2"/>
  <c r="BA1825" i="2"/>
  <c r="AU1825" i="2"/>
  <c r="AZ1825" i="2" s="1"/>
  <c r="AU860" i="2"/>
  <c r="AZ860" i="2" s="1"/>
  <c r="BA860" i="2"/>
  <c r="BA217" i="2"/>
  <c r="AU217" i="2"/>
  <c r="AZ217" i="2" s="1"/>
  <c r="AU2279" i="2"/>
  <c r="AZ2279" i="2" s="1"/>
  <c r="BA2279" i="2"/>
  <c r="AU1452" i="2"/>
  <c r="AZ1452" i="2" s="1"/>
  <c r="BA1452" i="2"/>
  <c r="AU1468" i="2"/>
  <c r="AZ1468" i="2" s="1"/>
  <c r="BA1468" i="2"/>
  <c r="BA225" i="2"/>
  <c r="AU225" i="2"/>
  <c r="AZ225" i="2" s="1"/>
  <c r="BA1545" i="2"/>
  <c r="AU1545" i="2"/>
  <c r="AZ1545" i="2" s="1"/>
  <c r="BA1521" i="2"/>
  <c r="AU1521" i="2"/>
  <c r="AZ1521" i="2" s="1"/>
  <c r="AU2026" i="2"/>
  <c r="AZ2026" i="2" s="1"/>
  <c r="BA2026" i="2"/>
  <c r="AU900" i="2"/>
  <c r="AZ900" i="2" s="1"/>
  <c r="BA900" i="2"/>
  <c r="AU872" i="2"/>
  <c r="AZ872" i="2" s="1"/>
  <c r="BA872" i="2"/>
  <c r="AU1372" i="2"/>
  <c r="AZ1372" i="2" s="1"/>
  <c r="BA1372" i="2"/>
  <c r="BA2183" i="2"/>
  <c r="AU2183" i="2"/>
  <c r="AZ2183" i="2" s="1"/>
  <c r="BA298" i="2"/>
  <c r="AU298" i="2"/>
  <c r="AZ298" i="2" s="1"/>
  <c r="BA443" i="2"/>
  <c r="AU443" i="2"/>
  <c r="AZ443" i="2" s="1"/>
  <c r="BA1961" i="2"/>
  <c r="AU1961" i="2"/>
  <c r="AZ1961" i="2" s="1"/>
  <c r="BA1963" i="2"/>
  <c r="AU1963" i="2"/>
  <c r="AZ1963" i="2" s="1"/>
  <c r="BA511" i="2"/>
  <c r="AU511" i="2"/>
  <c r="AZ511" i="2" s="1"/>
  <c r="AU1609" i="2"/>
  <c r="AZ1609" i="2" s="1"/>
  <c r="BA1609" i="2"/>
  <c r="AU2255" i="2"/>
  <c r="AZ2255" i="2" s="1"/>
  <c r="BA2255" i="2"/>
  <c r="AU550" i="2"/>
  <c r="AZ550" i="2" s="1"/>
  <c r="BA550" i="2"/>
  <c r="AU2375" i="2"/>
  <c r="AZ2375" i="2" s="1"/>
  <c r="BA2375" i="2"/>
  <c r="BA400" i="2"/>
  <c r="AU400" i="2"/>
  <c r="AZ400" i="2" s="1"/>
  <c r="AU1852" i="2"/>
  <c r="AZ1852" i="2" s="1"/>
  <c r="BA1852" i="2"/>
  <c r="BA1869" i="2"/>
  <c r="AU1869" i="2"/>
  <c r="AZ1869" i="2" s="1"/>
  <c r="BA1933" i="2"/>
  <c r="AU1933" i="2"/>
  <c r="AZ1933" i="2" s="1"/>
  <c r="BA1997" i="2"/>
  <c r="AU1997" i="2"/>
  <c r="AZ1997" i="2" s="1"/>
  <c r="BA1999" i="2"/>
  <c r="AU1999" i="2"/>
  <c r="AZ1999" i="2" s="1"/>
  <c r="AU742" i="2"/>
  <c r="AZ742" i="2" s="1"/>
  <c r="BA742" i="2"/>
  <c r="AU806" i="2"/>
  <c r="AZ806" i="2" s="1"/>
  <c r="BA806" i="2"/>
  <c r="AU870" i="2"/>
  <c r="AZ870" i="2" s="1"/>
  <c r="BA870" i="2"/>
  <c r="AU2227" i="2"/>
  <c r="AZ2227" i="2" s="1"/>
  <c r="BA2227" i="2"/>
  <c r="AU2307" i="2"/>
  <c r="AZ2307" i="2" s="1"/>
  <c r="BA2307" i="2"/>
  <c r="BA729" i="2"/>
  <c r="AU729" i="2"/>
  <c r="AZ729" i="2" s="1"/>
  <c r="BA2185" i="2"/>
  <c r="AU2185" i="2"/>
  <c r="AZ2185" i="2" s="1"/>
  <c r="BA2165" i="2"/>
  <c r="AU2165" i="2"/>
  <c r="AZ2165" i="2" s="1"/>
  <c r="AU1261" i="2"/>
  <c r="AZ1261" i="2" s="1"/>
  <c r="BA1261" i="2"/>
  <c r="AU295" i="2"/>
  <c r="AZ295" i="2" s="1"/>
  <c r="BA295" i="2"/>
  <c r="BA89" i="2"/>
  <c r="AU89" i="2"/>
  <c r="AZ89" i="2" s="1"/>
  <c r="BA458" i="2"/>
  <c r="AU458" i="2"/>
  <c r="AZ458" i="2" s="1"/>
  <c r="BA2409" i="2"/>
  <c r="AU2409" i="2"/>
  <c r="AZ2409" i="2" s="1"/>
  <c r="BA2055" i="2"/>
  <c r="AU2055" i="2"/>
  <c r="AZ2055" i="2" s="1"/>
  <c r="BB917" i="2"/>
  <c r="BC917" i="2" s="1"/>
  <c r="BI917" i="2" s="1"/>
  <c r="AU1874" i="2"/>
  <c r="AZ1874" i="2" s="1"/>
  <c r="BA1874" i="2"/>
  <c r="AU1890" i="2"/>
  <c r="AZ1890" i="2" s="1"/>
  <c r="BA1890" i="2"/>
  <c r="AU1906" i="2"/>
  <c r="AZ1906" i="2" s="1"/>
  <c r="BA1906" i="2"/>
  <c r="AU1922" i="2"/>
  <c r="AZ1922" i="2" s="1"/>
  <c r="BA1922" i="2"/>
  <c r="AU1938" i="2"/>
  <c r="AZ1938" i="2" s="1"/>
  <c r="BA1938" i="2"/>
  <c r="AU1954" i="2"/>
  <c r="AZ1954" i="2" s="1"/>
  <c r="BA1954" i="2"/>
  <c r="AU1974" i="2"/>
  <c r="AZ1974" i="2" s="1"/>
  <c r="BA1974" i="2"/>
  <c r="AU1994" i="2"/>
  <c r="AZ1994" i="2" s="1"/>
  <c r="BA1994" i="2"/>
  <c r="AU2010" i="2"/>
  <c r="AZ2010" i="2" s="1"/>
  <c r="BA2010" i="2"/>
  <c r="AU1301" i="2"/>
  <c r="AZ1301" i="2" s="1"/>
  <c r="BA1301" i="2"/>
  <c r="AU2082" i="2"/>
  <c r="AZ2082" i="2" s="1"/>
  <c r="BA2082" i="2"/>
  <c r="BA1654" i="2"/>
  <c r="AU1654" i="2"/>
  <c r="AZ1654" i="2" s="1"/>
  <c r="BA1680" i="2"/>
  <c r="AU1680" i="2"/>
  <c r="AZ1680" i="2" s="1"/>
  <c r="BA1696" i="2"/>
  <c r="AU1696" i="2"/>
  <c r="AZ1696" i="2" s="1"/>
  <c r="BA1712" i="2"/>
  <c r="AU1712" i="2"/>
  <c r="AZ1712" i="2" s="1"/>
  <c r="BA1728" i="2"/>
  <c r="AU1728" i="2"/>
  <c r="AZ1728" i="2" s="1"/>
  <c r="BA1744" i="2"/>
  <c r="AU1744" i="2"/>
  <c r="AZ1744" i="2" s="1"/>
  <c r="BB1815" i="2"/>
  <c r="BC1815" i="2" s="1"/>
  <c r="BI1815" i="2" s="1"/>
  <c r="BA2376" i="2"/>
  <c r="AU2376" i="2"/>
  <c r="AZ2376" i="2" s="1"/>
  <c r="BA2089" i="2"/>
  <c r="AU2089" i="2"/>
  <c r="AZ2089" i="2" s="1"/>
  <c r="AU2454" i="2"/>
  <c r="AZ2454" i="2" s="1"/>
  <c r="BA2454" i="2"/>
  <c r="AU1113" i="2"/>
  <c r="AZ1113" i="2" s="1"/>
  <c r="BA1113" i="2"/>
  <c r="BB340" i="2"/>
  <c r="BC340" i="2" s="1"/>
  <c r="BI340" i="2" s="1"/>
  <c r="BA1473" i="2"/>
  <c r="AU1473" i="2"/>
  <c r="AZ1473" i="2" s="1"/>
  <c r="AU2444" i="2"/>
  <c r="AZ2444" i="2" s="1"/>
  <c r="BA2444" i="2"/>
  <c r="BA489" i="2"/>
  <c r="AU489" i="2"/>
  <c r="AZ489" i="2" s="1"/>
  <c r="AU1820" i="2"/>
  <c r="AZ1820" i="2" s="1"/>
  <c r="BA1820" i="2"/>
  <c r="BA1487" i="2"/>
  <c r="AU1487" i="2"/>
  <c r="AZ1487" i="2" s="1"/>
  <c r="BA275" i="2"/>
  <c r="AU275" i="2"/>
  <c r="AZ275" i="2" s="1"/>
  <c r="BA1833" i="2"/>
  <c r="AU1833" i="2"/>
  <c r="AZ1833" i="2" s="1"/>
  <c r="BA427" i="2"/>
  <c r="AU427" i="2"/>
  <c r="AZ427" i="2" s="1"/>
  <c r="AU625" i="2"/>
  <c r="AZ625" i="2" s="1"/>
  <c r="BA625" i="2"/>
  <c r="AU689" i="2"/>
  <c r="AZ689" i="2" s="1"/>
  <c r="BA689" i="2"/>
  <c r="H156" i="4"/>
  <c r="BB156" i="2"/>
  <c r="BC156" i="2" s="1"/>
  <c r="BI156" i="2" s="1"/>
  <c r="BA1371" i="2"/>
  <c r="AU1371" i="2"/>
  <c r="AZ1371" i="2" s="1"/>
  <c r="AU1073" i="2"/>
  <c r="AZ1073" i="2" s="1"/>
  <c r="BA1073" i="2"/>
  <c r="AU27" i="2"/>
  <c r="AZ27" i="2" s="1"/>
  <c r="BA27" i="2"/>
  <c r="AU1864" i="2"/>
  <c r="AZ1864" i="2" s="1"/>
  <c r="BA1864" i="2"/>
  <c r="AU1896" i="2"/>
  <c r="AZ1896" i="2" s="1"/>
  <c r="BA1896" i="2"/>
  <c r="AU1928" i="2"/>
  <c r="AZ1928" i="2" s="1"/>
  <c r="BA1928" i="2"/>
  <c r="AU2464" i="2"/>
  <c r="AZ2464" i="2" s="1"/>
  <c r="BA2464" i="2"/>
  <c r="BA2415" i="2"/>
  <c r="AU2415" i="2"/>
  <c r="AZ2415" i="2" s="1"/>
  <c r="BA173" i="2"/>
  <c r="AU173" i="2"/>
  <c r="AZ173" i="2" s="1"/>
  <c r="BA28" i="2"/>
  <c r="AU28" i="2"/>
  <c r="AZ28" i="2" s="1"/>
  <c r="AU2143" i="2"/>
  <c r="AZ2143" i="2" s="1"/>
  <c r="BA2143" i="2"/>
  <c r="BA499" i="2"/>
  <c r="AU499" i="2"/>
  <c r="AZ499" i="2" s="1"/>
  <c r="BA191" i="2"/>
  <c r="AU191" i="2"/>
  <c r="AZ191" i="2" s="1"/>
  <c r="BA351" i="2"/>
  <c r="AU351" i="2"/>
  <c r="AZ351" i="2" s="1"/>
  <c r="BA383" i="2"/>
  <c r="AU383" i="2"/>
  <c r="AZ383" i="2" s="1"/>
  <c r="BA1955" i="2"/>
  <c r="AU1955" i="2"/>
  <c r="AZ1955" i="2" s="1"/>
  <c r="AU1392" i="2"/>
  <c r="AZ1392" i="2" s="1"/>
  <c r="BA1392" i="2"/>
  <c r="BB1807" i="2"/>
  <c r="BC1807" i="2" s="1"/>
  <c r="BI1807" i="2" s="1"/>
  <c r="BA937" i="2"/>
  <c r="AU937" i="2"/>
  <c r="AZ937" i="2" s="1"/>
  <c r="BA945" i="2"/>
  <c r="AU945" i="2"/>
  <c r="AZ945" i="2" s="1"/>
  <c r="BA953" i="2"/>
  <c r="AU953" i="2"/>
  <c r="AZ953" i="2" s="1"/>
  <c r="BA961" i="2"/>
  <c r="AU961" i="2"/>
  <c r="AZ961" i="2" s="1"/>
  <c r="BA969" i="2"/>
  <c r="AU969" i="2"/>
  <c r="AZ969" i="2" s="1"/>
  <c r="BA977" i="2"/>
  <c r="AU977" i="2"/>
  <c r="AZ977" i="2" s="1"/>
  <c r="BA985" i="2"/>
  <c r="AU985" i="2"/>
  <c r="AZ985" i="2" s="1"/>
  <c r="BA993" i="2"/>
  <c r="AU993" i="2"/>
  <c r="AZ993" i="2" s="1"/>
  <c r="BA1001" i="2"/>
  <c r="AU1001" i="2"/>
  <c r="AZ1001" i="2" s="1"/>
  <c r="BA1009" i="2"/>
  <c r="AU1009" i="2"/>
  <c r="AZ1009" i="2" s="1"/>
  <c r="BA1017" i="2"/>
  <c r="AU1017" i="2"/>
  <c r="AZ1017" i="2" s="1"/>
  <c r="BA1025" i="2"/>
  <c r="AU1025" i="2"/>
  <c r="AZ1025" i="2" s="1"/>
  <c r="BA1033" i="2"/>
  <c r="AU1033" i="2"/>
  <c r="AZ1033" i="2" s="1"/>
  <c r="BA2118" i="2"/>
  <c r="AU2118" i="2"/>
  <c r="AZ2118" i="2" s="1"/>
  <c r="BA2126" i="2"/>
  <c r="AU2126" i="2"/>
  <c r="AZ2126" i="2" s="1"/>
  <c r="BA2134" i="2"/>
  <c r="AU2134" i="2"/>
  <c r="AZ2134" i="2" s="1"/>
  <c r="BA2171" i="2"/>
  <c r="AU2171" i="2"/>
  <c r="AZ2171" i="2" s="1"/>
  <c r="AU2499" i="2"/>
  <c r="AZ2499" i="2" s="1"/>
  <c r="BA2499" i="2"/>
  <c r="AU94" i="2"/>
  <c r="AZ94" i="2" s="1"/>
  <c r="BA94" i="2"/>
  <c r="BB272" i="2"/>
  <c r="BC272" i="2" s="1"/>
  <c r="BI272" i="2" s="1"/>
  <c r="BA1499" i="2"/>
  <c r="AU1499" i="2"/>
  <c r="AZ1499" i="2" s="1"/>
  <c r="BA2368" i="2"/>
  <c r="AU2368" i="2"/>
  <c r="AZ2368" i="2" s="1"/>
  <c r="AU1675" i="2"/>
  <c r="AZ1675" i="2" s="1"/>
  <c r="BA1675" i="2"/>
  <c r="AU1727" i="2"/>
  <c r="AZ1727" i="2" s="1"/>
  <c r="BA1727" i="2"/>
  <c r="BA1158" i="2"/>
  <c r="AU1158" i="2"/>
  <c r="AZ1158" i="2" s="1"/>
  <c r="AU2249" i="2"/>
  <c r="AZ2249" i="2" s="1"/>
  <c r="BA2249" i="2"/>
  <c r="BA1397" i="2"/>
  <c r="AU1397" i="2"/>
  <c r="AZ1397" i="2" s="1"/>
  <c r="BA267" i="2"/>
  <c r="AU267" i="2"/>
  <c r="AZ267" i="2" s="1"/>
  <c r="AU103" i="2"/>
  <c r="AZ103" i="2" s="1"/>
  <c r="BA103" i="2"/>
  <c r="AU2329" i="2"/>
  <c r="AZ2329" i="2" s="1"/>
  <c r="BA2329" i="2"/>
  <c r="AU2377" i="2"/>
  <c r="AZ2377" i="2" s="1"/>
  <c r="BA2377" i="2"/>
  <c r="BA1571" i="2"/>
  <c r="AU1571" i="2"/>
  <c r="AZ1571" i="2" s="1"/>
  <c r="BB1149" i="2"/>
  <c r="BC1149" i="2" s="1"/>
  <c r="BI1149" i="2" s="1"/>
  <c r="AU1263" i="2"/>
  <c r="AZ1263" i="2" s="1"/>
  <c r="BA1263" i="2"/>
  <c r="AU942" i="2"/>
  <c r="AZ942" i="2" s="1"/>
  <c r="BA942" i="2"/>
  <c r="AU958" i="2"/>
  <c r="AZ958" i="2" s="1"/>
  <c r="BA958" i="2"/>
  <c r="AU974" i="2"/>
  <c r="AZ974" i="2" s="1"/>
  <c r="BA974" i="2"/>
  <c r="AU990" i="2"/>
  <c r="AZ990" i="2" s="1"/>
  <c r="BA990" i="2"/>
  <c r="AU1006" i="2"/>
  <c r="AZ1006" i="2" s="1"/>
  <c r="BA1006" i="2"/>
  <c r="AU1022" i="2"/>
  <c r="AZ1022" i="2" s="1"/>
  <c r="BA1022" i="2"/>
  <c r="AU1038" i="2"/>
  <c r="AZ1038" i="2" s="1"/>
  <c r="BA1038" i="2"/>
  <c r="BA1198" i="2"/>
  <c r="AU1198" i="2"/>
  <c r="AZ1198" i="2" s="1"/>
  <c r="AU1786" i="2"/>
  <c r="AZ1786" i="2" s="1"/>
  <c r="BA1786" i="2"/>
  <c r="AU1818" i="2"/>
  <c r="AZ1818" i="2" s="1"/>
  <c r="BA1818" i="2"/>
  <c r="BA1879" i="2"/>
  <c r="AU1879" i="2"/>
  <c r="AZ1879" i="2" s="1"/>
  <c r="BA1911" i="2"/>
  <c r="AU1911" i="2"/>
  <c r="AZ1911" i="2" s="1"/>
  <c r="BA1943" i="2"/>
  <c r="AU1943" i="2"/>
  <c r="AZ1943" i="2" s="1"/>
  <c r="BB1835" i="2"/>
  <c r="BC1835" i="2" s="1"/>
  <c r="BI1835" i="2" s="1"/>
  <c r="AU2410" i="2"/>
  <c r="AZ2410" i="2" s="1"/>
  <c r="BA2410" i="2"/>
  <c r="AU894" i="2"/>
  <c r="AZ894" i="2" s="1"/>
  <c r="BA894" i="2"/>
  <c r="AU910" i="2"/>
  <c r="AZ910" i="2" s="1"/>
  <c r="BA910" i="2"/>
  <c r="AU926" i="2"/>
  <c r="AZ926" i="2" s="1"/>
  <c r="BA926" i="2"/>
  <c r="BA1232" i="2"/>
  <c r="AU1232" i="2"/>
  <c r="AZ1232" i="2" s="1"/>
  <c r="AU2170" i="2"/>
  <c r="AZ2170" i="2" s="1"/>
  <c r="BA2170" i="2"/>
  <c r="AU199" i="2"/>
  <c r="AZ199" i="2" s="1"/>
  <c r="BA199" i="2"/>
  <c r="BA562" i="2"/>
  <c r="AU562" i="2"/>
  <c r="AZ562" i="2" s="1"/>
  <c r="BA570" i="2"/>
  <c r="AU570" i="2"/>
  <c r="AZ570" i="2" s="1"/>
  <c r="BA578" i="2"/>
  <c r="AU578" i="2"/>
  <c r="AZ578" i="2" s="1"/>
  <c r="BA586" i="2"/>
  <c r="AU586" i="2"/>
  <c r="AZ586" i="2" s="1"/>
  <c r="BA594" i="2"/>
  <c r="AU594" i="2"/>
  <c r="AZ594" i="2" s="1"/>
  <c r="BA602" i="2"/>
  <c r="AU602" i="2"/>
  <c r="AZ602" i="2" s="1"/>
  <c r="BA610" i="2"/>
  <c r="AU610" i="2"/>
  <c r="AZ610" i="2" s="1"/>
  <c r="BA618" i="2"/>
  <c r="AU618" i="2"/>
  <c r="AZ618" i="2" s="1"/>
  <c r="BA79" i="2"/>
  <c r="AU79" i="2"/>
  <c r="AZ79" i="2" s="1"/>
  <c r="AU1669" i="2"/>
  <c r="AZ1669" i="2" s="1"/>
  <c r="BA1669" i="2"/>
  <c r="AU1733" i="2"/>
  <c r="AZ1733" i="2" s="1"/>
  <c r="BA1733" i="2"/>
  <c r="AU1671" i="2"/>
  <c r="AZ1671" i="2" s="1"/>
  <c r="BA1671" i="2"/>
  <c r="AU1711" i="2"/>
  <c r="AZ1711" i="2" s="1"/>
  <c r="BA1711" i="2"/>
  <c r="AU1751" i="2"/>
  <c r="AZ1751" i="2" s="1"/>
  <c r="BA1751" i="2"/>
  <c r="BA360" i="2"/>
  <c r="AU360" i="2"/>
  <c r="AZ360" i="2" s="1"/>
  <c r="BA413" i="2"/>
  <c r="AU413" i="2"/>
  <c r="AZ413" i="2" s="1"/>
  <c r="BA1415" i="2"/>
  <c r="AU1415" i="2"/>
  <c r="AZ1415" i="2" s="1"/>
  <c r="AU2472" i="2"/>
  <c r="AZ2472" i="2" s="1"/>
  <c r="BA2472" i="2"/>
  <c r="BA767" i="2"/>
  <c r="AU767" i="2"/>
  <c r="AZ767" i="2" s="1"/>
  <c r="BA831" i="2"/>
  <c r="AU831" i="2"/>
  <c r="AZ831" i="2" s="1"/>
  <c r="AU1345" i="2"/>
  <c r="AZ1345" i="2" s="1"/>
  <c r="BA1345" i="2"/>
  <c r="AU1860" i="2"/>
  <c r="AZ1860" i="2" s="1"/>
  <c r="BA1860" i="2"/>
  <c r="AU1892" i="2"/>
  <c r="AZ1892" i="2" s="1"/>
  <c r="BA1892" i="2"/>
  <c r="AU1924" i="2"/>
  <c r="AZ1924" i="2" s="1"/>
  <c r="BA1924" i="2"/>
  <c r="AU174" i="2"/>
  <c r="AZ174" i="2" s="1"/>
  <c r="BA174" i="2"/>
  <c r="AU1530" i="2"/>
  <c r="AZ1530" i="2" s="1"/>
  <c r="BA1530" i="2"/>
  <c r="BA1975" i="2"/>
  <c r="AU1975" i="2"/>
  <c r="AZ1975" i="2" s="1"/>
  <c r="AU115" i="2"/>
  <c r="AZ115" i="2" s="1"/>
  <c r="BA115" i="2"/>
  <c r="BA1409" i="2"/>
  <c r="AU1409" i="2"/>
  <c r="AZ1409" i="2" s="1"/>
  <c r="BB240" i="2"/>
  <c r="BC240" i="2" s="1"/>
  <c r="BI240" i="2" s="1"/>
  <c r="BA488" i="2"/>
  <c r="AU488" i="2"/>
  <c r="AZ488" i="2" s="1"/>
  <c r="BA100" i="2"/>
  <c r="AU100" i="2"/>
  <c r="AZ100" i="2" s="1"/>
  <c r="BA1622" i="2"/>
  <c r="AU1622" i="2"/>
  <c r="AZ1622" i="2" s="1"/>
  <c r="BA1364" i="2"/>
  <c r="AU1364" i="2"/>
  <c r="AZ1364" i="2" s="1"/>
  <c r="BB264" i="2"/>
  <c r="BC264" i="2" s="1"/>
  <c r="BI264" i="2" s="1"/>
  <c r="AU532" i="2"/>
  <c r="AZ532" i="2" s="1"/>
  <c r="BA532" i="2"/>
  <c r="AU824" i="2"/>
  <c r="AZ824" i="2" s="1"/>
  <c r="BA824" i="2"/>
  <c r="BA1052" i="2"/>
  <c r="AU1052" i="2"/>
  <c r="AZ1052" i="2" s="1"/>
  <c r="BA1084" i="2"/>
  <c r="AU1084" i="2"/>
  <c r="AZ1084" i="2" s="1"/>
  <c r="BA1116" i="2"/>
  <c r="AU1116" i="2"/>
  <c r="AZ1116" i="2" s="1"/>
  <c r="AU1649" i="2"/>
  <c r="AZ1649" i="2" s="1"/>
  <c r="BA1649" i="2"/>
  <c r="BA149" i="2"/>
  <c r="AU149" i="2"/>
  <c r="AZ149" i="2" s="1"/>
  <c r="BA2395" i="2"/>
  <c r="AU2395" i="2"/>
  <c r="AZ2395" i="2" s="1"/>
  <c r="BA74" i="2"/>
  <c r="AU74" i="2"/>
  <c r="AZ74" i="2" s="1"/>
  <c r="BA2467" i="2"/>
  <c r="AU2467" i="2"/>
  <c r="AZ2467" i="2" s="1"/>
  <c r="BA2451" i="2"/>
  <c r="AU2451" i="2"/>
  <c r="AZ2451" i="2" s="1"/>
  <c r="AU2486" i="2"/>
  <c r="AZ2486" i="2" s="1"/>
  <c r="BA2486" i="2"/>
  <c r="BA339" i="2"/>
  <c r="AU339" i="2"/>
  <c r="AZ339" i="2" s="1"/>
  <c r="BA461" i="2"/>
  <c r="AU461" i="2"/>
  <c r="AZ461" i="2" s="1"/>
  <c r="AU2432" i="2"/>
  <c r="AZ2432" i="2" s="1"/>
  <c r="BA2432" i="2"/>
  <c r="BA2433" i="2"/>
  <c r="AU2433" i="2"/>
  <c r="AZ2433" i="2" s="1"/>
  <c r="BA2425" i="2"/>
  <c r="AU2425" i="2"/>
  <c r="AZ2425" i="2" s="1"/>
  <c r="BA1292" i="2"/>
  <c r="AU1292" i="2"/>
  <c r="AZ1292" i="2" s="1"/>
  <c r="BA1805" i="2"/>
  <c r="AU1805" i="2"/>
  <c r="AZ1805" i="2" s="1"/>
  <c r="BB436" i="2"/>
  <c r="BC436" i="2" s="1"/>
  <c r="BI436" i="2" s="1"/>
  <c r="AU1251" i="2"/>
  <c r="AZ1251" i="2" s="1"/>
  <c r="BA1251" i="2"/>
  <c r="AU2090" i="2"/>
  <c r="AZ2090" i="2" s="1"/>
  <c r="BA2090" i="2"/>
  <c r="AU633" i="2"/>
  <c r="AZ633" i="2" s="1"/>
  <c r="BA633" i="2"/>
  <c r="AU1321" i="2"/>
  <c r="AZ1321" i="2" s="1"/>
  <c r="BA1321" i="2"/>
  <c r="BA1405" i="2"/>
  <c r="AU1405" i="2"/>
  <c r="AZ1405" i="2" s="1"/>
  <c r="BA1809" i="2"/>
  <c r="AU1809" i="2"/>
  <c r="AZ1809" i="2" s="1"/>
  <c r="BA352" i="2"/>
  <c r="AU352" i="2"/>
  <c r="AZ352" i="2" s="1"/>
  <c r="BA185" i="2"/>
  <c r="AU185" i="2"/>
  <c r="AZ185" i="2" s="1"/>
  <c r="AU772" i="2"/>
  <c r="AZ772" i="2" s="1"/>
  <c r="BA772" i="2"/>
  <c r="BA1228" i="2"/>
  <c r="AU1228" i="2"/>
  <c r="AZ1228" i="2" s="1"/>
  <c r="BA2087" i="2"/>
  <c r="AU2087" i="2"/>
  <c r="AZ2087" i="2" s="1"/>
  <c r="AU1814" i="2"/>
  <c r="AZ1814" i="2" s="1"/>
  <c r="BA1814" i="2"/>
  <c r="BA226" i="2"/>
  <c r="AU226" i="2"/>
  <c r="AZ226" i="2" s="1"/>
  <c r="AU1729" i="2"/>
  <c r="AZ1729" i="2" s="1"/>
  <c r="BA1729" i="2"/>
  <c r="AU1534" i="2"/>
  <c r="AZ1534" i="2" s="1"/>
  <c r="BA1534" i="2"/>
  <c r="AU719" i="2"/>
  <c r="AZ719" i="2" s="1"/>
  <c r="BA719" i="2"/>
  <c r="AU1046" i="2"/>
  <c r="AZ1046" i="2" s="1"/>
  <c r="BA1046" i="2"/>
  <c r="AU49" i="2"/>
  <c r="AZ49" i="2" s="1"/>
  <c r="BA49" i="2"/>
  <c r="AU2498" i="2"/>
  <c r="AZ2498" i="2" s="1"/>
  <c r="BA2498" i="2"/>
  <c r="AU1131" i="2"/>
  <c r="AZ1131" i="2" s="1"/>
  <c r="BA1131" i="2"/>
  <c r="AU302" i="2"/>
  <c r="AZ302" i="2" s="1"/>
  <c r="BA302" i="2"/>
  <c r="AU645" i="2"/>
  <c r="AZ645" i="2" s="1"/>
  <c r="BA645" i="2"/>
  <c r="AU709" i="2"/>
  <c r="AZ709" i="2" s="1"/>
  <c r="BA709" i="2"/>
  <c r="AU1854" i="2"/>
  <c r="AZ1854" i="2" s="1"/>
  <c r="BA1854" i="2"/>
  <c r="AU820" i="2"/>
  <c r="AZ820" i="2" s="1"/>
  <c r="BA820" i="2"/>
  <c r="BA1417" i="2"/>
  <c r="AU1417" i="2"/>
  <c r="AZ1417" i="2" s="1"/>
  <c r="BA1505" i="2"/>
  <c r="AU1505" i="2"/>
  <c r="AZ1505" i="2" s="1"/>
  <c r="AU1956" i="2"/>
  <c r="AZ1956" i="2" s="1"/>
  <c r="BA1956" i="2"/>
  <c r="AU1972" i="2"/>
  <c r="AZ1972" i="2" s="1"/>
  <c r="BA1972" i="2"/>
  <c r="AU1988" i="2"/>
  <c r="AZ1988" i="2" s="1"/>
  <c r="BA1988" i="2"/>
  <c r="AU2004" i="2"/>
  <c r="AZ2004" i="2" s="1"/>
  <c r="BA2004" i="2"/>
  <c r="BA143" i="2"/>
  <c r="AU143" i="2"/>
  <c r="AZ143" i="2" s="1"/>
  <c r="BA1330" i="2"/>
  <c r="AU1330" i="2"/>
  <c r="AZ1330" i="2" s="1"/>
  <c r="AU1760" i="2"/>
  <c r="AZ1760" i="2" s="1"/>
  <c r="BA1760" i="2"/>
  <c r="AU1380" i="2"/>
  <c r="AZ1380" i="2" s="1"/>
  <c r="BA1380" i="2"/>
  <c r="AU2119" i="2"/>
  <c r="AZ2119" i="2" s="1"/>
  <c r="BA2119" i="2"/>
  <c r="AU2127" i="2"/>
  <c r="AZ2127" i="2" s="1"/>
  <c r="BA2127" i="2"/>
  <c r="AU2135" i="2"/>
  <c r="AZ2135" i="2" s="1"/>
  <c r="BA2135" i="2"/>
  <c r="AU557" i="2"/>
  <c r="AZ557" i="2" s="1"/>
  <c r="BA557" i="2"/>
  <c r="AU565" i="2"/>
  <c r="AZ565" i="2" s="1"/>
  <c r="BA565" i="2"/>
  <c r="AU573" i="2"/>
  <c r="AZ573" i="2" s="1"/>
  <c r="BA573" i="2"/>
  <c r="AU581" i="2"/>
  <c r="AZ581" i="2" s="1"/>
  <c r="BA581" i="2"/>
  <c r="AU589" i="2"/>
  <c r="AZ589" i="2" s="1"/>
  <c r="BA589" i="2"/>
  <c r="AU597" i="2"/>
  <c r="AZ597" i="2" s="1"/>
  <c r="BA597" i="2"/>
  <c r="AU605" i="2"/>
  <c r="AZ605" i="2" s="1"/>
  <c r="BA605" i="2"/>
  <c r="AU613" i="2"/>
  <c r="AZ613" i="2" s="1"/>
  <c r="BA613" i="2"/>
  <c r="AU1135" i="2"/>
  <c r="AZ1135" i="2" s="1"/>
  <c r="BA1135" i="2"/>
  <c r="AU2215" i="2"/>
  <c r="AZ2215" i="2" s="1"/>
  <c r="BA2215" i="2"/>
  <c r="AU2219" i="2"/>
  <c r="AZ2219" i="2" s="1"/>
  <c r="BA2219" i="2"/>
  <c r="AU2209" i="2"/>
  <c r="AZ2209" i="2" s="1"/>
  <c r="BA2209" i="2"/>
  <c r="AU2305" i="2"/>
  <c r="AZ2305" i="2" s="1"/>
  <c r="BA2305" i="2"/>
  <c r="AU1800" i="2"/>
  <c r="AZ1800" i="2" s="1"/>
  <c r="BA1800" i="2"/>
  <c r="AU750" i="2"/>
  <c r="AZ750" i="2" s="1"/>
  <c r="BA750" i="2"/>
  <c r="AU814" i="2"/>
  <c r="AZ814" i="2" s="1"/>
  <c r="BA814" i="2"/>
  <c r="AU878" i="2"/>
  <c r="AZ878" i="2" s="1"/>
  <c r="BA878" i="2"/>
  <c r="BB204" i="2"/>
  <c r="BC204" i="2" s="1"/>
  <c r="BI204" i="2" s="1"/>
  <c r="BA1991" i="2"/>
  <c r="AU1991" i="2"/>
  <c r="AZ1991" i="2" s="1"/>
  <c r="AU294" i="2"/>
  <c r="AZ294" i="2" s="1"/>
  <c r="BA294" i="2"/>
  <c r="H104" i="4"/>
  <c r="BB104" i="2"/>
  <c r="BC104" i="2" s="1"/>
  <c r="BI104" i="2" s="1"/>
  <c r="AU39" i="2"/>
  <c r="AZ39" i="2" s="1"/>
  <c r="BA39" i="2"/>
  <c r="BA218" i="2"/>
  <c r="AU218" i="2"/>
  <c r="AZ218" i="2" s="1"/>
  <c r="BA381" i="2"/>
  <c r="AU381" i="2"/>
  <c r="AZ381" i="2" s="1"/>
  <c r="BA485" i="2"/>
  <c r="AU485" i="2"/>
  <c r="AZ485" i="2" s="1"/>
  <c r="BA1047" i="2"/>
  <c r="AU1047" i="2"/>
  <c r="AZ1047" i="2" s="1"/>
  <c r="BB895" i="2"/>
  <c r="BC895" i="2" s="1"/>
  <c r="BI895" i="2" s="1"/>
  <c r="AU2301" i="2"/>
  <c r="AZ2301" i="2" s="1"/>
  <c r="BA2301" i="2"/>
  <c r="AU675" i="2"/>
  <c r="AZ675" i="2" s="1"/>
  <c r="BA675" i="2"/>
  <c r="BA2463" i="2"/>
  <c r="AU2463" i="2"/>
  <c r="AZ2463" i="2" s="1"/>
  <c r="AU2221" i="2"/>
  <c r="AZ2221" i="2" s="1"/>
  <c r="BA2221" i="2"/>
  <c r="BA321" i="2"/>
  <c r="AU321" i="2"/>
  <c r="AZ321" i="2" s="1"/>
  <c r="AU516" i="2"/>
  <c r="AZ516" i="2" s="1"/>
  <c r="BA516" i="2"/>
  <c r="AU1355" i="2"/>
  <c r="AZ1355" i="2" s="1"/>
  <c r="BA1355" i="2"/>
  <c r="AU1121" i="2"/>
  <c r="AZ1121" i="2" s="1"/>
  <c r="BA1121" i="2"/>
  <c r="AU1546" i="2"/>
  <c r="AZ1546" i="2" s="1"/>
  <c r="BA1546" i="2"/>
  <c r="AU1562" i="2"/>
  <c r="AZ1562" i="2" s="1"/>
  <c r="BA1562" i="2"/>
  <c r="AU1578" i="2"/>
  <c r="AZ1578" i="2" s="1"/>
  <c r="BA1578" i="2"/>
  <c r="BA433" i="2"/>
  <c r="AU433" i="2"/>
  <c r="AZ433" i="2" s="1"/>
  <c r="AU1157" i="2"/>
  <c r="AZ1157" i="2" s="1"/>
  <c r="BA1157" i="2"/>
  <c r="AU1165" i="2"/>
  <c r="AZ1165" i="2" s="1"/>
  <c r="BA1165" i="2"/>
  <c r="AU1173" i="2"/>
  <c r="AZ1173" i="2" s="1"/>
  <c r="BA1173" i="2"/>
  <c r="BA1342" i="2"/>
  <c r="AU1342" i="2"/>
  <c r="AZ1342" i="2" s="1"/>
  <c r="BA2324" i="2"/>
  <c r="AU2324" i="2"/>
  <c r="AZ2324" i="2" s="1"/>
  <c r="BA2356" i="2"/>
  <c r="AU2356" i="2"/>
  <c r="AZ2356" i="2" s="1"/>
  <c r="BA2388" i="2"/>
  <c r="AU2388" i="2"/>
  <c r="AZ2388" i="2" s="1"/>
  <c r="BA249" i="2"/>
  <c r="AU249" i="2"/>
  <c r="AZ249" i="2" s="1"/>
  <c r="AU760" i="2"/>
  <c r="AZ760" i="2" s="1"/>
  <c r="BA760" i="2"/>
  <c r="AU2223" i="2"/>
  <c r="AZ2223" i="2" s="1"/>
  <c r="BA2223" i="2"/>
  <c r="BA2429" i="2"/>
  <c r="AU2429" i="2"/>
  <c r="AZ2429" i="2" s="1"/>
  <c r="AU1764" i="2"/>
  <c r="AZ1764" i="2" s="1"/>
  <c r="BA1764" i="2"/>
  <c r="BA1781" i="2"/>
  <c r="AU1781" i="2"/>
  <c r="AZ1781" i="2" s="1"/>
  <c r="BA1184" i="2"/>
  <c r="AU1184" i="2"/>
  <c r="AZ1184" i="2" s="1"/>
  <c r="BA1573" i="2"/>
  <c r="AU1573" i="2"/>
  <c r="AZ1573" i="2" s="1"/>
  <c r="AU1627" i="2"/>
  <c r="AZ1627" i="2" s="1"/>
  <c r="BA1627" i="2"/>
  <c r="BA93" i="2"/>
  <c r="AU93" i="2"/>
  <c r="AZ93" i="2" s="1"/>
  <c r="BA2435" i="2"/>
  <c r="AU2435" i="2"/>
  <c r="AZ2435" i="2" s="1"/>
  <c r="BA731" i="2"/>
  <c r="AU731" i="2"/>
  <c r="AZ731" i="2" s="1"/>
  <c r="BA795" i="2"/>
  <c r="AU795" i="2"/>
  <c r="AZ795" i="2" s="1"/>
  <c r="BA859" i="2"/>
  <c r="AU859" i="2"/>
  <c r="AZ859" i="2" s="1"/>
  <c r="BA34" i="2"/>
  <c r="AU34" i="2"/>
  <c r="AZ34" i="2" s="1"/>
  <c r="BA274" i="2"/>
  <c r="AU274" i="2"/>
  <c r="AZ274" i="2" s="1"/>
  <c r="BA1078" i="2"/>
  <c r="AU1078" i="2"/>
  <c r="AZ1078" i="2" s="1"/>
  <c r="BA1110" i="2"/>
  <c r="AU1110" i="2"/>
  <c r="AZ1110" i="2" s="1"/>
  <c r="BA1318" i="2"/>
  <c r="AU1318" i="2"/>
  <c r="AZ1318" i="2" s="1"/>
  <c r="BA473" i="2"/>
  <c r="AU473" i="2"/>
  <c r="AZ473" i="2" s="1"/>
  <c r="AU1317" i="2"/>
  <c r="AZ1317" i="2" s="1"/>
  <c r="BA1317" i="2"/>
  <c r="AU1245" i="2"/>
  <c r="AZ1245" i="2" s="1"/>
  <c r="BA1245" i="2"/>
  <c r="AU1804" i="2"/>
  <c r="AZ1804" i="2" s="1"/>
  <c r="BA1804" i="2"/>
  <c r="AU1651" i="2"/>
  <c r="AZ1651" i="2" s="1"/>
  <c r="BA1651" i="2"/>
  <c r="BA749" i="2"/>
  <c r="AU749" i="2"/>
  <c r="AZ749" i="2" s="1"/>
  <c r="BA877" i="2"/>
  <c r="AU877" i="2"/>
  <c r="AZ877" i="2" s="1"/>
  <c r="BA244" i="2"/>
  <c r="AU244" i="2"/>
  <c r="AZ244" i="2" s="1"/>
  <c r="BA1477" i="2"/>
  <c r="AU1477" i="2"/>
  <c r="AZ1477" i="2" s="1"/>
  <c r="AU2172" i="2"/>
  <c r="AZ2172" i="2" s="1"/>
  <c r="BA2172" i="2"/>
  <c r="AU2235" i="2"/>
  <c r="AZ2235" i="2" s="1"/>
  <c r="BA2235" i="2"/>
  <c r="AU1404" i="2"/>
  <c r="AZ1404" i="2" s="1"/>
  <c r="BA1404" i="2"/>
  <c r="AU1420" i="2"/>
  <c r="AZ1420" i="2" s="1"/>
  <c r="BA1420" i="2"/>
  <c r="AU1436" i="2"/>
  <c r="AZ1436" i="2" s="1"/>
  <c r="BA1436" i="2"/>
  <c r="AU730" i="2"/>
  <c r="AZ730" i="2" s="1"/>
  <c r="BA730" i="2"/>
  <c r="AU794" i="2"/>
  <c r="AZ794" i="2" s="1"/>
  <c r="BA794" i="2"/>
  <c r="AU858" i="2"/>
  <c r="AZ858" i="2" s="1"/>
  <c r="BA858" i="2"/>
  <c r="AU1579" i="2"/>
  <c r="AZ1579" i="2" s="1"/>
  <c r="BA1579" i="2"/>
  <c r="BA1668" i="2"/>
  <c r="AU1668" i="2"/>
  <c r="AZ1668" i="2" s="1"/>
  <c r="BA1224" i="2"/>
  <c r="AU1224" i="2"/>
  <c r="AZ1224" i="2" s="1"/>
  <c r="AU1333" i="2"/>
  <c r="AZ1333" i="2" s="1"/>
  <c r="BA1333" i="2"/>
  <c r="BA1348" i="2"/>
  <c r="AU1348" i="2"/>
  <c r="AZ1348" i="2" s="1"/>
  <c r="AU1659" i="2"/>
  <c r="AZ1659" i="2" s="1"/>
  <c r="BA1659" i="2"/>
  <c r="AU665" i="2"/>
  <c r="AZ665" i="2" s="1"/>
  <c r="BA665" i="2"/>
  <c r="BA1276" i="2"/>
  <c r="AU1276" i="2"/>
  <c r="AZ1276" i="2" s="1"/>
  <c r="AU202" i="2"/>
  <c r="AZ202" i="2" s="1"/>
  <c r="BA202" i="2"/>
  <c r="AU695" i="2"/>
  <c r="AZ695" i="2" s="1"/>
  <c r="BA695" i="2"/>
  <c r="AU2160" i="2"/>
  <c r="AZ2160" i="2" s="1"/>
  <c r="BA2160" i="2"/>
  <c r="BA1401" i="2"/>
  <c r="AU1401" i="2"/>
  <c r="AZ1401" i="2" s="1"/>
  <c r="BA387" i="2"/>
  <c r="AU387" i="2"/>
  <c r="AZ387" i="2" s="1"/>
  <c r="BA1429" i="2"/>
  <c r="AU1429" i="2"/>
  <c r="AZ1429" i="2" s="1"/>
  <c r="BA432" i="2"/>
  <c r="AU432" i="2"/>
  <c r="AZ432" i="2" s="1"/>
  <c r="BA48" i="2"/>
  <c r="AU48" i="2"/>
  <c r="AZ48" i="2" s="1"/>
  <c r="AU748" i="2"/>
  <c r="AZ748" i="2" s="1"/>
  <c r="BA748" i="2"/>
  <c r="AU118" i="2"/>
  <c r="AZ118" i="2" s="1"/>
  <c r="BA118" i="2"/>
  <c r="BA277" i="2"/>
  <c r="AU277" i="2"/>
  <c r="AZ277" i="2" s="1"/>
  <c r="AU1706" i="2"/>
  <c r="AZ1706" i="2" s="1"/>
  <c r="BA1706" i="2"/>
  <c r="BA630" i="2"/>
  <c r="AU630" i="2"/>
  <c r="AZ630" i="2" s="1"/>
  <c r="BA646" i="2"/>
  <c r="AU646" i="2"/>
  <c r="AZ646" i="2" s="1"/>
  <c r="BA662" i="2"/>
  <c r="AU662" i="2"/>
  <c r="AZ662" i="2" s="1"/>
  <c r="BA678" i="2"/>
  <c r="AU678" i="2"/>
  <c r="AZ678" i="2" s="1"/>
  <c r="BA694" i="2"/>
  <c r="AU694" i="2"/>
  <c r="AZ694" i="2" s="1"/>
  <c r="BA710" i="2"/>
  <c r="AU710" i="2"/>
  <c r="AZ710" i="2" s="1"/>
  <c r="BA1043" i="2"/>
  <c r="AU1043" i="2"/>
  <c r="AZ1043" i="2" s="1"/>
  <c r="BA125" i="2"/>
  <c r="AU125" i="2"/>
  <c r="AZ125" i="2" s="1"/>
  <c r="BB492" i="2"/>
  <c r="BC492" i="2" s="1"/>
  <c r="BI492" i="2" s="1"/>
  <c r="BA1439" i="2"/>
  <c r="AU1439" i="2"/>
  <c r="AZ1439" i="2" s="1"/>
  <c r="AU231" i="2"/>
  <c r="AZ231" i="2" s="1"/>
  <c r="BA231" i="2"/>
  <c r="BB1843" i="2"/>
  <c r="BC1843" i="2" s="1"/>
  <c r="BI1843" i="2" s="1"/>
  <c r="BB364" i="2"/>
  <c r="BC364" i="2" s="1"/>
  <c r="BI364" i="2" s="1"/>
  <c r="AU1329" i="2"/>
  <c r="AZ1329" i="2" s="1"/>
  <c r="BA1329" i="2"/>
  <c r="AU2462" i="2"/>
  <c r="AZ2462" i="2" s="1"/>
  <c r="BA2462" i="2"/>
  <c r="BA297" i="2"/>
  <c r="AU297" i="2"/>
  <c r="AZ297" i="2" s="1"/>
  <c r="AU1494" i="2"/>
  <c r="AZ1494" i="2" s="1"/>
  <c r="BA1494" i="2"/>
  <c r="AU1516" i="2"/>
  <c r="AZ1516" i="2" s="1"/>
  <c r="BA1516" i="2"/>
  <c r="AU1532" i="2"/>
  <c r="AZ1532" i="2" s="1"/>
  <c r="BA1532" i="2"/>
  <c r="AU1394" i="2"/>
  <c r="AZ1394" i="2" s="1"/>
  <c r="BA1394" i="2"/>
  <c r="AU1410" i="2"/>
  <c r="AZ1410" i="2" s="1"/>
  <c r="BA1410" i="2"/>
  <c r="AU1426" i="2"/>
  <c r="AZ1426" i="2" s="1"/>
  <c r="BA1426" i="2"/>
  <c r="AU1492" i="2"/>
  <c r="AZ1492" i="2" s="1"/>
  <c r="BA1492" i="2"/>
  <c r="AU2483" i="2"/>
  <c r="AZ2483" i="2" s="1"/>
  <c r="BA2483" i="2"/>
  <c r="BA437" i="2"/>
  <c r="AU437" i="2"/>
  <c r="AZ437" i="2" s="1"/>
  <c r="BB444" i="2"/>
  <c r="BC444" i="2" s="1"/>
  <c r="BI444" i="2" s="1"/>
  <c r="BA547" i="2"/>
  <c r="AU547" i="2"/>
  <c r="AZ547" i="2" s="1"/>
  <c r="BA2077" i="2"/>
  <c r="AU2077" i="2"/>
  <c r="AZ2077" i="2" s="1"/>
  <c r="BA1208" i="2"/>
  <c r="AU1208" i="2"/>
  <c r="AZ1208" i="2" s="1"/>
  <c r="BA1058" i="2"/>
  <c r="AU1058" i="2"/>
  <c r="AZ1058" i="2" s="1"/>
  <c r="BA1090" i="2"/>
  <c r="AU1090" i="2"/>
  <c r="AZ1090" i="2" s="1"/>
  <c r="BA1122" i="2"/>
  <c r="AU1122" i="2"/>
  <c r="AZ1122" i="2" s="1"/>
  <c r="BA1662" i="2"/>
  <c r="AU1662" i="2"/>
  <c r="AZ1662" i="2" s="1"/>
  <c r="BA2099" i="2"/>
  <c r="AU2099" i="2"/>
  <c r="AZ2099" i="2" s="1"/>
  <c r="BA418" i="2"/>
  <c r="AU418" i="2"/>
  <c r="AZ418" i="2" s="1"/>
  <c r="AU685" i="2"/>
  <c r="AZ685" i="2" s="1"/>
  <c r="BA685" i="2"/>
  <c r="AU2325" i="2"/>
  <c r="AZ2325" i="2" s="1"/>
  <c r="BA2325" i="2"/>
  <c r="AU2357" i="2"/>
  <c r="AZ2357" i="2" s="1"/>
  <c r="BA2357" i="2"/>
  <c r="AU2389" i="2"/>
  <c r="AZ2389" i="2" s="1"/>
  <c r="BA2389" i="2"/>
  <c r="AU2392" i="2"/>
  <c r="AZ2392" i="2" s="1"/>
  <c r="BA2392" i="2"/>
  <c r="AU1806" i="2"/>
  <c r="AZ1806" i="2" s="1"/>
  <c r="BA1806" i="2"/>
  <c r="AU2247" i="2"/>
  <c r="AZ2247" i="2" s="1"/>
  <c r="BA2247" i="2"/>
  <c r="AU868" i="2"/>
  <c r="AZ868" i="2" s="1"/>
  <c r="BA868" i="2"/>
  <c r="BA1509" i="2"/>
  <c r="AU1509" i="2"/>
  <c r="AZ1509" i="2" s="1"/>
  <c r="AU2184" i="2"/>
  <c r="AZ2184" i="2" s="1"/>
  <c r="BA2184" i="2"/>
  <c r="AU671" i="2"/>
  <c r="AZ671" i="2" s="1"/>
  <c r="BA671" i="2"/>
  <c r="BA2079" i="2"/>
  <c r="AU2079" i="2"/>
  <c r="AZ2079" i="2" s="1"/>
  <c r="AU1522" i="2"/>
  <c r="AZ1522" i="2" s="1"/>
  <c r="BA1522" i="2"/>
  <c r="AU1454" i="2"/>
  <c r="AZ1454" i="2" s="1"/>
  <c r="BA1454" i="2"/>
  <c r="AU1470" i="2"/>
  <c r="AZ1470" i="2" s="1"/>
  <c r="BA1470" i="2"/>
  <c r="BA52" i="2"/>
  <c r="AU52" i="2"/>
  <c r="AZ52" i="2" s="1"/>
  <c r="B12" i="3" l="1"/>
  <c r="BI338" i="2"/>
  <c r="BB386" i="2"/>
  <c r="BC386" i="2" s="1"/>
  <c r="BI386" i="2" s="1"/>
  <c r="BI354" i="2"/>
  <c r="BI402" i="2"/>
  <c r="BB394" i="2"/>
  <c r="BC394" i="2" s="1"/>
  <c r="BI394" i="2" s="1"/>
  <c r="BI362" i="2"/>
  <c r="BI346" i="2"/>
  <c r="BB370" i="2"/>
  <c r="BC370" i="2" s="1"/>
  <c r="BI370" i="2" s="1"/>
  <c r="BI378" i="2"/>
  <c r="BB330" i="2"/>
  <c r="BC330" i="2" s="1"/>
  <c r="BI330" i="2" s="1"/>
  <c r="BK1147" i="2"/>
  <c r="BJ1147" i="2"/>
  <c r="BK893" i="2"/>
  <c r="BJ893" i="2"/>
  <c r="BK356" i="2"/>
  <c r="BJ356" i="2"/>
  <c r="BK444" i="2"/>
  <c r="BJ444" i="2"/>
  <c r="BK436" i="2"/>
  <c r="BJ436" i="2"/>
  <c r="BJ1149" i="2"/>
  <c r="BK1149" i="2"/>
  <c r="BK156" i="2"/>
  <c r="J156" i="4" s="1"/>
  <c r="BJ156" i="2"/>
  <c r="I156" i="4" s="1"/>
  <c r="BK1779" i="2"/>
  <c r="BJ1779" i="2"/>
  <c r="BK1141" i="2"/>
  <c r="BJ1141" i="2"/>
  <c r="BK2020" i="2"/>
  <c r="BJ2020" i="2"/>
  <c r="BK200" i="2"/>
  <c r="J200" i="4" s="1"/>
  <c r="BJ200" i="2"/>
  <c r="I200" i="4" s="1"/>
  <c r="BJ160" i="2"/>
  <c r="I160" i="4" s="1"/>
  <c r="BK160" i="2"/>
  <c r="J160" i="4" s="1"/>
  <c r="BJ1759" i="2"/>
  <c r="BK1759" i="2"/>
  <c r="BJ18" i="2"/>
  <c r="I18" i="4" s="1"/>
  <c r="BK18" i="2"/>
  <c r="J18" i="4" s="1"/>
  <c r="BJ1783" i="2"/>
  <c r="BK1783" i="2"/>
  <c r="BJ1803" i="2"/>
  <c r="BK1803" i="2"/>
  <c r="BJ1767" i="2"/>
  <c r="BK1767" i="2"/>
  <c r="BK1799" i="2"/>
  <c r="BJ1799" i="2"/>
  <c r="BK232" i="2"/>
  <c r="BJ232" i="2"/>
  <c r="BK192" i="2"/>
  <c r="J192" i="4" s="1"/>
  <c r="BJ192" i="2"/>
  <c r="I192" i="4" s="1"/>
  <c r="BK909" i="2"/>
  <c r="BJ909" i="2"/>
  <c r="BK380" i="2"/>
  <c r="BJ380" i="2"/>
  <c r="BJ124" i="2"/>
  <c r="I124" i="4" s="1"/>
  <c r="BK124" i="2"/>
  <c r="J124" i="4" s="1"/>
  <c r="BJ1827" i="2"/>
  <c r="BK1827" i="2"/>
  <c r="BJ925" i="2"/>
  <c r="BK925" i="2"/>
  <c r="BJ889" i="2"/>
  <c r="BK889" i="2"/>
  <c r="BJ372" i="2"/>
  <c r="BK372" i="2"/>
  <c r="BK1843" i="2"/>
  <c r="BJ1843" i="2"/>
  <c r="BK264" i="2"/>
  <c r="BJ264" i="2"/>
  <c r="BJ1815" i="2"/>
  <c r="BK1815" i="2"/>
  <c r="BK917" i="2"/>
  <c r="BJ917" i="2"/>
  <c r="BK1823" i="2"/>
  <c r="BJ1823" i="2"/>
  <c r="BK923" i="2"/>
  <c r="BJ923" i="2"/>
  <c r="BK216" i="2"/>
  <c r="BJ216" i="2"/>
  <c r="BJ152" i="2"/>
  <c r="I152" i="4" s="1"/>
  <c r="BK152" i="2"/>
  <c r="J152" i="4" s="1"/>
  <c r="BK256" i="2"/>
  <c r="BJ256" i="2"/>
  <c r="BK184" i="2"/>
  <c r="J184" i="4" s="1"/>
  <c r="BJ184" i="2"/>
  <c r="I184" i="4" s="1"/>
  <c r="BJ1795" i="2"/>
  <c r="BK1795" i="2"/>
  <c r="BK452" i="2"/>
  <c r="BJ452" i="2"/>
  <c r="BK1143" i="2"/>
  <c r="BJ1143" i="2"/>
  <c r="BJ903" i="2"/>
  <c r="BK903" i="2"/>
  <c r="BK320" i="2"/>
  <c r="BJ320" i="2"/>
  <c r="BK919" i="2"/>
  <c r="BJ919" i="2"/>
  <c r="BJ412" i="2"/>
  <c r="BK412" i="2"/>
  <c r="BJ188" i="2"/>
  <c r="I188" i="4" s="1"/>
  <c r="BK188" i="2"/>
  <c r="J188" i="4" s="1"/>
  <c r="BJ1831" i="2"/>
  <c r="BK1831" i="2"/>
  <c r="BJ140" i="2"/>
  <c r="I140" i="4" s="1"/>
  <c r="BK140" i="2"/>
  <c r="J140" i="4" s="1"/>
  <c r="BJ288" i="2"/>
  <c r="BK288" i="2"/>
  <c r="BK388" i="2"/>
  <c r="BJ388" i="2"/>
  <c r="BK364" i="2"/>
  <c r="BJ364" i="2"/>
  <c r="BJ340" i="2"/>
  <c r="BK340" i="2"/>
  <c r="BK164" i="2"/>
  <c r="J164" i="4" s="1"/>
  <c r="BJ164" i="2"/>
  <c r="I164" i="4" s="1"/>
  <c r="BJ492" i="2"/>
  <c r="BK492" i="2"/>
  <c r="BJ895" i="2"/>
  <c r="BK895" i="2"/>
  <c r="BK204" i="2"/>
  <c r="BJ204" i="2"/>
  <c r="BK240" i="2"/>
  <c r="BJ240" i="2"/>
  <c r="BJ272" i="2"/>
  <c r="BK272" i="2"/>
  <c r="BK1807" i="2"/>
  <c r="BJ1807" i="2"/>
  <c r="BK1775" i="2"/>
  <c r="BJ1775" i="2"/>
  <c r="BJ120" i="2"/>
  <c r="I120" i="4" s="1"/>
  <c r="BK120" i="2"/>
  <c r="J120" i="4" s="1"/>
  <c r="BJ404" i="2"/>
  <c r="BK404" i="2"/>
  <c r="BK907" i="2"/>
  <c r="BJ907" i="2"/>
  <c r="BK901" i="2"/>
  <c r="BJ901" i="2"/>
  <c r="BJ468" i="2"/>
  <c r="BK468" i="2"/>
  <c r="BJ116" i="2"/>
  <c r="I116" i="4" s="1"/>
  <c r="BK116" i="2"/>
  <c r="J116" i="4" s="1"/>
  <c r="BJ1811" i="2"/>
  <c r="BK1811" i="2"/>
  <c r="BK911" i="2"/>
  <c r="BJ911" i="2"/>
  <c r="BK4" i="2"/>
  <c r="J4" i="4" s="1"/>
  <c r="BJ4" i="2"/>
  <c r="I4" i="4" s="1"/>
  <c r="BK136" i="2"/>
  <c r="J136" i="4" s="1"/>
  <c r="BJ136" i="2"/>
  <c r="I136" i="4" s="1"/>
  <c r="BK897" i="2"/>
  <c r="BJ897" i="2"/>
  <c r="BK476" i="2"/>
  <c r="BJ476" i="2"/>
  <c r="BK132" i="2"/>
  <c r="J132" i="4" s="1"/>
  <c r="BJ132" i="2"/>
  <c r="I132" i="4" s="1"/>
  <c r="BK144" i="2"/>
  <c r="J144" i="4" s="1"/>
  <c r="BJ144" i="2"/>
  <c r="I144" i="4" s="1"/>
  <c r="BK148" i="2"/>
  <c r="J148" i="4" s="1"/>
  <c r="BJ148" i="2"/>
  <c r="I148" i="4" s="1"/>
  <c r="BJ348" i="2"/>
  <c r="BK348" i="2"/>
  <c r="BJ905" i="2"/>
  <c r="BK905" i="2"/>
  <c r="BJ420" i="2"/>
  <c r="BK420" i="2"/>
  <c r="BK1145" i="2"/>
  <c r="BJ1145" i="2"/>
  <c r="BK396" i="2"/>
  <c r="BJ396" i="2"/>
  <c r="BK927" i="2"/>
  <c r="BJ927" i="2"/>
  <c r="BJ196" i="2"/>
  <c r="I196" i="4" s="1"/>
  <c r="BK196" i="2"/>
  <c r="J196" i="4" s="1"/>
  <c r="BK915" i="2"/>
  <c r="BJ915" i="2"/>
  <c r="BK168" i="2"/>
  <c r="J168" i="4" s="1"/>
  <c r="BJ168" i="2"/>
  <c r="I168" i="4" s="1"/>
  <c r="BK176" i="2"/>
  <c r="J176" i="4" s="1"/>
  <c r="BJ176" i="2"/>
  <c r="I176" i="4" s="1"/>
  <c r="BK172" i="2"/>
  <c r="J172" i="4" s="1"/>
  <c r="BJ172" i="2"/>
  <c r="I172" i="4" s="1"/>
  <c r="BK248" i="2"/>
  <c r="BJ248" i="2"/>
  <c r="BK304" i="2"/>
  <c r="BJ304" i="2"/>
  <c r="BJ428" i="2"/>
  <c r="BK428" i="2"/>
  <c r="BK1839" i="2"/>
  <c r="BJ1839" i="2"/>
  <c r="BJ224" i="2"/>
  <c r="BK224" i="2"/>
  <c r="BK2" i="2"/>
  <c r="BJ2" i="2"/>
  <c r="BK929" i="2"/>
  <c r="BJ929" i="2"/>
  <c r="BK332" i="2"/>
  <c r="BJ332" i="2"/>
  <c r="BJ20" i="2"/>
  <c r="I20" i="4" s="1"/>
  <c r="BK20" i="2"/>
  <c r="J20" i="4" s="1"/>
  <c r="BK104" i="2"/>
  <c r="J104" i="4" s="1"/>
  <c r="BJ104" i="2"/>
  <c r="I104" i="4" s="1"/>
  <c r="BK1835" i="2"/>
  <c r="BJ1835" i="2"/>
  <c r="BK899" i="2"/>
  <c r="BJ899" i="2"/>
  <c r="BJ887" i="2"/>
  <c r="BK887" i="2"/>
  <c r="BJ108" i="2"/>
  <c r="I108" i="4" s="1"/>
  <c r="BK108" i="2"/>
  <c r="J108" i="4" s="1"/>
  <c r="BJ931" i="2"/>
  <c r="BK931" i="2"/>
  <c r="BJ180" i="2"/>
  <c r="I180" i="4" s="1"/>
  <c r="BK180" i="2"/>
  <c r="J180" i="4" s="1"/>
  <c r="BJ913" i="2"/>
  <c r="BK913" i="2"/>
  <c r="BJ1787" i="2"/>
  <c r="BK1787" i="2"/>
  <c r="BK921" i="2"/>
  <c r="BJ921" i="2"/>
  <c r="BJ484" i="2"/>
  <c r="BK484" i="2"/>
  <c r="BJ1151" i="2"/>
  <c r="BK1151" i="2"/>
  <c r="BK324" i="2"/>
  <c r="BJ324" i="2"/>
  <c r="BK460" i="2"/>
  <c r="BJ460" i="2"/>
  <c r="BB671" i="2"/>
  <c r="BC671" i="2" s="1"/>
  <c r="BI671" i="2" s="1"/>
  <c r="BB2247" i="2"/>
  <c r="BC2247" i="2" s="1"/>
  <c r="BI2247" i="2" s="1"/>
  <c r="BB1806" i="2"/>
  <c r="BC1806" i="2" s="1"/>
  <c r="BI1806" i="2" s="1"/>
  <c r="BB2357" i="2"/>
  <c r="BC2357" i="2" s="1"/>
  <c r="BI2357" i="2" s="1"/>
  <c r="BB1122" i="2"/>
  <c r="BC1122" i="2" s="1"/>
  <c r="BI1122" i="2" s="1"/>
  <c r="BB2077" i="2"/>
  <c r="BC2077" i="2" s="1"/>
  <c r="BI2077" i="2" s="1"/>
  <c r="BB1492" i="2"/>
  <c r="BC1492" i="2" s="1"/>
  <c r="BI1492" i="2" s="1"/>
  <c r="BB1532" i="2"/>
  <c r="BC1532" i="2" s="1"/>
  <c r="BI1532" i="2" s="1"/>
  <c r="BB678" i="2"/>
  <c r="BC678" i="2" s="1"/>
  <c r="BI678" i="2" s="1"/>
  <c r="H118" i="4"/>
  <c r="BB118" i="2"/>
  <c r="BC118" i="2" s="1"/>
  <c r="BI118" i="2" s="1"/>
  <c r="BB748" i="2"/>
  <c r="BC748" i="2" s="1"/>
  <c r="BI748" i="2" s="1"/>
  <c r="H48" i="4"/>
  <c r="BB48" i="2"/>
  <c r="BC48" i="2" s="1"/>
  <c r="BI48" i="2" s="1"/>
  <c r="BB387" i="2"/>
  <c r="BC387" i="2" s="1"/>
  <c r="BI387" i="2" s="1"/>
  <c r="BB1276" i="2"/>
  <c r="BC1276" i="2" s="1"/>
  <c r="BI1276" i="2" s="1"/>
  <c r="BB1659" i="2"/>
  <c r="BC1659" i="2" s="1"/>
  <c r="BI1659" i="2" s="1"/>
  <c r="BB2235" i="2"/>
  <c r="BC2235" i="2" s="1"/>
  <c r="BI2235" i="2" s="1"/>
  <c r="BB2172" i="2"/>
  <c r="BC2172" i="2" s="1"/>
  <c r="BI2172" i="2" s="1"/>
  <c r="BB1245" i="2"/>
  <c r="BC1245" i="2" s="1"/>
  <c r="BI1245" i="2" s="1"/>
  <c r="BB274" i="2"/>
  <c r="BC274" i="2" s="1"/>
  <c r="BI274" i="2" s="1"/>
  <c r="BB731" i="2"/>
  <c r="BC731" i="2" s="1"/>
  <c r="BI731" i="2" s="1"/>
  <c r="BB2429" i="2"/>
  <c r="BC2429" i="2" s="1"/>
  <c r="BI2429" i="2" s="1"/>
  <c r="BB249" i="2"/>
  <c r="BC249" i="2" s="1"/>
  <c r="BI249" i="2" s="1"/>
  <c r="BB2388" i="2"/>
  <c r="BC2388" i="2" s="1"/>
  <c r="BI2388" i="2" s="1"/>
  <c r="BB433" i="2"/>
  <c r="BC433" i="2" s="1"/>
  <c r="BI433" i="2" s="1"/>
  <c r="BB1546" i="2"/>
  <c r="BC1546" i="2" s="1"/>
  <c r="BI1546" i="2" s="1"/>
  <c r="BB1121" i="2"/>
  <c r="BC1121" i="2" s="1"/>
  <c r="BI1121" i="2" s="1"/>
  <c r="BB2463" i="2"/>
  <c r="BC2463" i="2" s="1"/>
  <c r="BI2463" i="2" s="1"/>
  <c r="BB2301" i="2"/>
  <c r="BC2301" i="2" s="1"/>
  <c r="BI2301" i="2" s="1"/>
  <c r="BB381" i="2"/>
  <c r="BC381" i="2" s="1"/>
  <c r="BI381" i="2" s="1"/>
  <c r="BB218" i="2"/>
  <c r="BC218" i="2" s="1"/>
  <c r="BI218" i="2" s="1"/>
  <c r="BB1991" i="2"/>
  <c r="BC1991" i="2" s="1"/>
  <c r="BI1991" i="2" s="1"/>
  <c r="BB878" i="2"/>
  <c r="BC878" i="2" s="1"/>
  <c r="BI878" i="2" s="1"/>
  <c r="BB1800" i="2"/>
  <c r="BC1800" i="2" s="1"/>
  <c r="BI1800" i="2" s="1"/>
  <c r="BB2215" i="2"/>
  <c r="BC2215" i="2" s="1"/>
  <c r="BI2215" i="2" s="1"/>
  <c r="BB1135" i="2"/>
  <c r="BC1135" i="2" s="1"/>
  <c r="BI1135" i="2" s="1"/>
  <c r="BB589" i="2"/>
  <c r="BC589" i="2" s="1"/>
  <c r="BI589" i="2" s="1"/>
  <c r="BB557" i="2"/>
  <c r="BC557" i="2" s="1"/>
  <c r="BI557" i="2" s="1"/>
  <c r="BB1956" i="2"/>
  <c r="BC1956" i="2" s="1"/>
  <c r="BI1956" i="2" s="1"/>
  <c r="BB1505" i="2"/>
  <c r="BC1505" i="2" s="1"/>
  <c r="BI1505" i="2" s="1"/>
  <c r="BB1854" i="2"/>
  <c r="BC1854" i="2" s="1"/>
  <c r="BI1854" i="2" s="1"/>
  <c r="BB709" i="2"/>
  <c r="BC709" i="2" s="1"/>
  <c r="BI709" i="2" s="1"/>
  <c r="BB1228" i="2"/>
  <c r="BC1228" i="2" s="1"/>
  <c r="BI1228" i="2" s="1"/>
  <c r="BB1809" i="2"/>
  <c r="BC1809" i="2" s="1"/>
  <c r="BI1809" i="2" s="1"/>
  <c r="BB1321" i="2"/>
  <c r="BC1321" i="2" s="1"/>
  <c r="BI1321" i="2" s="1"/>
  <c r="BB633" i="2"/>
  <c r="BC633" i="2" s="1"/>
  <c r="BI633" i="2" s="1"/>
  <c r="BB1805" i="2"/>
  <c r="BC1805" i="2" s="1"/>
  <c r="BI1805" i="2" s="1"/>
  <c r="BB2451" i="2"/>
  <c r="BC2451" i="2" s="1"/>
  <c r="BI2451" i="2" s="1"/>
  <c r="BB1364" i="2"/>
  <c r="BC1364" i="2" s="1"/>
  <c r="BI1364" i="2" s="1"/>
  <c r="BB1975" i="2"/>
  <c r="BC1975" i="2" s="1"/>
  <c r="BI1975" i="2" s="1"/>
  <c r="H174" i="4"/>
  <c r="BB174" i="2"/>
  <c r="BC174" i="2" s="1"/>
  <c r="BI174" i="2" s="1"/>
  <c r="BB1345" i="2"/>
  <c r="BC1345" i="2" s="1"/>
  <c r="BI1345" i="2" s="1"/>
  <c r="BB767" i="2"/>
  <c r="BC767" i="2" s="1"/>
  <c r="BI767" i="2" s="1"/>
  <c r="BB413" i="2"/>
  <c r="BC413" i="2" s="1"/>
  <c r="BI413" i="2" s="1"/>
  <c r="BB360" i="2"/>
  <c r="BC360" i="2" s="1"/>
  <c r="BI360" i="2" s="1"/>
  <c r="BB1711" i="2"/>
  <c r="BC1711" i="2" s="1"/>
  <c r="BI1711" i="2" s="1"/>
  <c r="BB610" i="2"/>
  <c r="BC610" i="2" s="1"/>
  <c r="BI610" i="2" s="1"/>
  <c r="BB578" i="2"/>
  <c r="BC578" i="2" s="1"/>
  <c r="BI578" i="2" s="1"/>
  <c r="BB2170" i="2"/>
  <c r="BC2170" i="2" s="1"/>
  <c r="BI2170" i="2" s="1"/>
  <c r="BB1232" i="2"/>
  <c r="BC1232" i="2" s="1"/>
  <c r="BI1232" i="2" s="1"/>
  <c r="BB894" i="2"/>
  <c r="BC894" i="2" s="1"/>
  <c r="BI894" i="2" s="1"/>
  <c r="BB1911" i="2"/>
  <c r="BC1911" i="2" s="1"/>
  <c r="BI1911" i="2" s="1"/>
  <c r="BB1786" i="2"/>
  <c r="BC1786" i="2" s="1"/>
  <c r="BI1786" i="2" s="1"/>
  <c r="BB1198" i="2"/>
  <c r="BC1198" i="2" s="1"/>
  <c r="BI1198" i="2" s="1"/>
  <c r="BB1006" i="2"/>
  <c r="BC1006" i="2" s="1"/>
  <c r="BI1006" i="2" s="1"/>
  <c r="BB942" i="2"/>
  <c r="BC942" i="2" s="1"/>
  <c r="BI942" i="2" s="1"/>
  <c r="BB1571" i="2"/>
  <c r="BC1571" i="2" s="1"/>
  <c r="BI1571" i="2" s="1"/>
  <c r="H103" i="4"/>
  <c r="BB103" i="2"/>
  <c r="BC103" i="2" s="1"/>
  <c r="BI103" i="2" s="1"/>
  <c r="BB267" i="2"/>
  <c r="BC267" i="2" s="1"/>
  <c r="BI267" i="2" s="1"/>
  <c r="BB2499" i="2"/>
  <c r="BC2499" i="2" s="1"/>
  <c r="BI2499" i="2" s="1"/>
  <c r="BB2134" i="2"/>
  <c r="BC2134" i="2" s="1"/>
  <c r="BI2134" i="2" s="1"/>
  <c r="BB1025" i="2"/>
  <c r="BC1025" i="2" s="1"/>
  <c r="BI1025" i="2" s="1"/>
  <c r="BB993" i="2"/>
  <c r="BC993" i="2" s="1"/>
  <c r="BI993" i="2" s="1"/>
  <c r="BB961" i="2"/>
  <c r="BC961" i="2" s="1"/>
  <c r="BI961" i="2" s="1"/>
  <c r="BB1392" i="2"/>
  <c r="BC1392" i="2" s="1"/>
  <c r="BI1392" i="2" s="1"/>
  <c r="BB1896" i="2"/>
  <c r="BC1896" i="2" s="1"/>
  <c r="BI1896" i="2" s="1"/>
  <c r="BB275" i="2"/>
  <c r="BC275" i="2" s="1"/>
  <c r="BI275" i="2" s="1"/>
  <c r="BB2444" i="2"/>
  <c r="BC2444" i="2" s="1"/>
  <c r="BI2444" i="2" s="1"/>
  <c r="BB1113" i="2"/>
  <c r="BC1113" i="2" s="1"/>
  <c r="BI1113" i="2" s="1"/>
  <c r="BB1712" i="2"/>
  <c r="BC1712" i="2" s="1"/>
  <c r="BI1712" i="2" s="1"/>
  <c r="BB1994" i="2"/>
  <c r="BC1994" i="2" s="1"/>
  <c r="BI1994" i="2" s="1"/>
  <c r="BB1922" i="2"/>
  <c r="BC1922" i="2" s="1"/>
  <c r="BI1922" i="2" s="1"/>
  <c r="BB2055" i="2"/>
  <c r="BC2055" i="2" s="1"/>
  <c r="BI2055" i="2" s="1"/>
  <c r="H89" i="4"/>
  <c r="BB89" i="2"/>
  <c r="BC89" i="2" s="1"/>
  <c r="BI89" i="2" s="1"/>
  <c r="BB729" i="2"/>
  <c r="BC729" i="2" s="1"/>
  <c r="BI729" i="2" s="1"/>
  <c r="BB2227" i="2"/>
  <c r="BC2227" i="2" s="1"/>
  <c r="BI2227" i="2" s="1"/>
  <c r="BB870" i="2"/>
  <c r="BC870" i="2" s="1"/>
  <c r="BI870" i="2" s="1"/>
  <c r="BB1933" i="2"/>
  <c r="BC1933" i="2" s="1"/>
  <c r="BI1933" i="2" s="1"/>
  <c r="BB1852" i="2"/>
  <c r="BC1852" i="2" s="1"/>
  <c r="BI1852" i="2" s="1"/>
  <c r="BB2255" i="2"/>
  <c r="BC2255" i="2" s="1"/>
  <c r="BI2255" i="2" s="1"/>
  <c r="BB511" i="2"/>
  <c r="BC511" i="2" s="1"/>
  <c r="BI511" i="2" s="1"/>
  <c r="BB443" i="2"/>
  <c r="BC443" i="2" s="1"/>
  <c r="BI443" i="2" s="1"/>
  <c r="BB298" i="2"/>
  <c r="BC298" i="2" s="1"/>
  <c r="BI298" i="2" s="1"/>
  <c r="BB872" i="2"/>
  <c r="BC872" i="2" s="1"/>
  <c r="BI872" i="2" s="1"/>
  <c r="BB1545" i="2"/>
  <c r="BC1545" i="2" s="1"/>
  <c r="BI1545" i="2" s="1"/>
  <c r="BB1452" i="2"/>
  <c r="BC1452" i="2" s="1"/>
  <c r="BI1452" i="2" s="1"/>
  <c r="BB2044" i="2"/>
  <c r="BC2044" i="2" s="1"/>
  <c r="BI2044" i="2" s="1"/>
  <c r="BB1214" i="2"/>
  <c r="BC1214" i="2" s="1"/>
  <c r="BI1214" i="2" s="1"/>
  <c r="H122" i="4"/>
  <c r="BB122" i="2"/>
  <c r="BC122" i="2" s="1"/>
  <c r="BI122" i="2" s="1"/>
  <c r="BB206" i="2"/>
  <c r="BC206" i="2" s="1"/>
  <c r="BI206" i="2" s="1"/>
  <c r="BB408" i="2"/>
  <c r="BC408" i="2" s="1"/>
  <c r="BI408" i="2" s="1"/>
  <c r="BB2179" i="2"/>
  <c r="BC2179" i="2" s="1"/>
  <c r="BI2179" i="2" s="1"/>
  <c r="BB1737" i="2"/>
  <c r="BC1737" i="2" s="1"/>
  <c r="BI1737" i="2" s="1"/>
  <c r="BB1719" i="2"/>
  <c r="BC1719" i="2" s="1"/>
  <c r="BI1719" i="2" s="1"/>
  <c r="BB2319" i="2"/>
  <c r="BC2319" i="2" s="1"/>
  <c r="BI2319" i="2" s="1"/>
  <c r="BB2005" i="2"/>
  <c r="BC2005" i="2" s="1"/>
  <c r="BI2005" i="2" s="1"/>
  <c r="BB512" i="2"/>
  <c r="BC512" i="2" s="1"/>
  <c r="BI512" i="2" s="1"/>
  <c r="BB271" i="2"/>
  <c r="BC271" i="2" s="1"/>
  <c r="BI271" i="2" s="1"/>
  <c r="BB1305" i="2"/>
  <c r="BC1305" i="2" s="1"/>
  <c r="BI1305" i="2" s="1"/>
  <c r="BB1349" i="2"/>
  <c r="BC1349" i="2" s="1"/>
  <c r="BI1349" i="2" s="1"/>
  <c r="BB1065" i="2"/>
  <c r="BC1065" i="2" s="1"/>
  <c r="BI1065" i="2" s="1"/>
  <c r="BB1969" i="2"/>
  <c r="BC1969" i="2" s="1"/>
  <c r="BI1969" i="2" s="1"/>
  <c r="BB2092" i="2"/>
  <c r="BC2092" i="2" s="1"/>
  <c r="BI2092" i="2" s="1"/>
  <c r="BB818" i="2"/>
  <c r="BC818" i="2" s="1"/>
  <c r="BI818" i="2" s="1"/>
  <c r="BB1211" i="2"/>
  <c r="BC1211" i="2" s="1"/>
  <c r="BI1211" i="2" s="1"/>
  <c r="BB205" i="2"/>
  <c r="BC205" i="2" s="1"/>
  <c r="BI205" i="2" s="1"/>
  <c r="BB2282" i="2"/>
  <c r="BC2282" i="2" s="1"/>
  <c r="BI2282" i="2" s="1"/>
  <c r="BB2218" i="2"/>
  <c r="BC2218" i="2" s="1"/>
  <c r="BI2218" i="2" s="1"/>
  <c r="BB1947" i="2"/>
  <c r="BC1947" i="2" s="1"/>
  <c r="BI1947" i="2" s="1"/>
  <c r="BB393" i="2"/>
  <c r="BC393" i="2" s="1"/>
  <c r="BI393" i="2" s="1"/>
  <c r="BB1308" i="2"/>
  <c r="BC1308" i="2" s="1"/>
  <c r="BI1308" i="2" s="1"/>
  <c r="H15" i="4"/>
  <c r="BB15" i="2"/>
  <c r="BC15" i="2" s="1"/>
  <c r="BI15" i="2" s="1"/>
  <c r="H36" i="4"/>
  <c r="BB36" i="2"/>
  <c r="BC36" i="2" s="1"/>
  <c r="BI36" i="2" s="1"/>
  <c r="BB2280" i="2"/>
  <c r="BC2280" i="2" s="1"/>
  <c r="BI2280" i="2" s="1"/>
  <c r="BB2216" i="2"/>
  <c r="BC2216" i="2" s="1"/>
  <c r="BI2216" i="2" s="1"/>
  <c r="BB525" i="2"/>
  <c r="BC525" i="2" s="1"/>
  <c r="BI525" i="2" s="1"/>
  <c r="H161" i="4"/>
  <c r="BB161" i="2"/>
  <c r="BC161" i="2" s="1"/>
  <c r="BI161" i="2" s="1"/>
  <c r="BB322" i="2"/>
  <c r="BC322" i="2" s="1"/>
  <c r="BI322" i="2" s="1"/>
  <c r="H102" i="4"/>
  <c r="BB102" i="2"/>
  <c r="BC102" i="2" s="1"/>
  <c r="BI102" i="2" s="1"/>
  <c r="BB1008" i="2"/>
  <c r="BC1008" i="2" s="1"/>
  <c r="BI1008" i="2" s="1"/>
  <c r="BB944" i="2"/>
  <c r="BC944" i="2" s="1"/>
  <c r="BI944" i="2" s="1"/>
  <c r="BB1188" i="2"/>
  <c r="BC1188" i="2" s="1"/>
  <c r="BI1188" i="2" s="1"/>
  <c r="BB1572" i="2"/>
  <c r="BC1572" i="2" s="1"/>
  <c r="BI1572" i="2" s="1"/>
  <c r="BB1693" i="2"/>
  <c r="BC1693" i="2" s="1"/>
  <c r="BI1693" i="2" s="1"/>
  <c r="BB1133" i="2"/>
  <c r="BC1133" i="2" s="1"/>
  <c r="BI1133" i="2" s="1"/>
  <c r="BB932" i="2"/>
  <c r="BC932" i="2" s="1"/>
  <c r="BI932" i="2" s="1"/>
  <c r="BB716" i="2"/>
  <c r="BC716" i="2" s="1"/>
  <c r="BI716" i="2" s="1"/>
  <c r="BB652" i="2"/>
  <c r="BC652" i="2" s="1"/>
  <c r="BI652" i="2" s="1"/>
  <c r="BB2459" i="2"/>
  <c r="BC2459" i="2" s="1"/>
  <c r="BI2459" i="2" s="1"/>
  <c r="BB2334" i="2"/>
  <c r="BC2334" i="2" s="1"/>
  <c r="BI2334" i="2" s="1"/>
  <c r="BB334" i="2"/>
  <c r="BC334" i="2" s="1"/>
  <c r="BI334" i="2" s="1"/>
  <c r="BB2037" i="2"/>
  <c r="BC2037" i="2" s="1"/>
  <c r="BI2037" i="2" s="1"/>
  <c r="BB1270" i="2"/>
  <c r="BC1270" i="2" s="1"/>
  <c r="BI1270" i="2" s="1"/>
  <c r="BB2362" i="2"/>
  <c r="BC2362" i="2" s="1"/>
  <c r="BI2362" i="2" s="1"/>
  <c r="BB2078" i="2"/>
  <c r="BC2078" i="2" s="1"/>
  <c r="BI2078" i="2" s="1"/>
  <c r="BB2450" i="2"/>
  <c r="BC2450" i="2" s="1"/>
  <c r="BI2450" i="2" s="1"/>
  <c r="BB1338" i="2"/>
  <c r="BC1338" i="2" s="1"/>
  <c r="BI1338" i="2" s="1"/>
  <c r="BB2371" i="2"/>
  <c r="BC2371" i="2" s="1"/>
  <c r="BI2371" i="2" s="1"/>
  <c r="BB1334" i="2"/>
  <c r="BC1334" i="2" s="1"/>
  <c r="BI1334" i="2" s="1"/>
  <c r="BB1389" i="2"/>
  <c r="BC1389" i="2" s="1"/>
  <c r="BI1389" i="2" s="1"/>
  <c r="BB2347" i="2"/>
  <c r="BC2347" i="2" s="1"/>
  <c r="BI2347" i="2" s="1"/>
  <c r="BB560" i="2"/>
  <c r="BC560" i="2" s="1"/>
  <c r="BI560" i="2" s="1"/>
  <c r="BB2477" i="2"/>
  <c r="BC2477" i="2" s="1"/>
  <c r="BI2477" i="2" s="1"/>
  <c r="BB669" i="2"/>
  <c r="BC669" i="2" s="1"/>
  <c r="BI669" i="2" s="1"/>
  <c r="BB2124" i="2"/>
  <c r="BC2124" i="2" s="1"/>
  <c r="BI2124" i="2" s="1"/>
  <c r="BB1015" i="2"/>
  <c r="BC1015" i="2" s="1"/>
  <c r="BI1015" i="2" s="1"/>
  <c r="BB1660" i="2"/>
  <c r="BC1660" i="2" s="1"/>
  <c r="BI1660" i="2" s="1"/>
  <c r="BJ1791" i="2"/>
  <c r="BK1791" i="2"/>
  <c r="BB312" i="2"/>
  <c r="BC312" i="2" s="1"/>
  <c r="BI312" i="2" s="1"/>
  <c r="BB1708" i="2"/>
  <c r="BC1708" i="2" s="1"/>
  <c r="BI1708" i="2" s="1"/>
  <c r="BB1966" i="2"/>
  <c r="BC1966" i="2" s="1"/>
  <c r="BI1966" i="2" s="1"/>
  <c r="H63" i="4"/>
  <c r="BB63" i="2"/>
  <c r="BC63" i="2" s="1"/>
  <c r="BI63" i="2" s="1"/>
  <c r="BB531" i="2"/>
  <c r="BC531" i="2" s="1"/>
  <c r="BI531" i="2" s="1"/>
  <c r="BB2022" i="2"/>
  <c r="BC2022" i="2" s="1"/>
  <c r="BI2022" i="2" s="1"/>
  <c r="BB1523" i="2"/>
  <c r="BC1523" i="2" s="1"/>
  <c r="BI1523" i="2" s="1"/>
  <c r="BB1636" i="2"/>
  <c r="BC1636" i="2" s="1"/>
  <c r="BI1636" i="2" s="1"/>
  <c r="BB424" i="2"/>
  <c r="BC424" i="2" s="1"/>
  <c r="BI424" i="2" s="1"/>
  <c r="BB1721" i="2"/>
  <c r="BC1721" i="2" s="1"/>
  <c r="BI1721" i="2" s="1"/>
  <c r="BB1374" i="2"/>
  <c r="BC1374" i="2" s="1"/>
  <c r="BI1374" i="2" s="1"/>
  <c r="BB1185" i="2"/>
  <c r="BC1185" i="2" s="1"/>
  <c r="BI1185" i="2" s="1"/>
  <c r="BB1661" i="2"/>
  <c r="BC1661" i="2" s="1"/>
  <c r="BI1661" i="2" s="1"/>
  <c r="BB2492" i="2"/>
  <c r="BC2492" i="2" s="1"/>
  <c r="BI2492" i="2" s="1"/>
  <c r="BB341" i="2"/>
  <c r="BC341" i="2" s="1"/>
  <c r="BI341" i="2" s="1"/>
  <c r="BB1168" i="2"/>
  <c r="BC1168" i="2" s="1"/>
  <c r="BI1168" i="2" s="1"/>
  <c r="BB2310" i="2"/>
  <c r="BC2310" i="2" s="1"/>
  <c r="BI2310" i="2" s="1"/>
  <c r="H169" i="4"/>
  <c r="BB169" i="2"/>
  <c r="BC169" i="2" s="1"/>
  <c r="BI169" i="2" s="1"/>
  <c r="BB1250" i="2"/>
  <c r="BC1250" i="2" s="1"/>
  <c r="BI1250" i="2" s="1"/>
  <c r="H106" i="4"/>
  <c r="BB106" i="2"/>
  <c r="BC106" i="2" s="1"/>
  <c r="BI106" i="2" s="1"/>
  <c r="BB2212" i="2"/>
  <c r="BC2212" i="2" s="1"/>
  <c r="BI2212" i="2" s="1"/>
  <c r="BB357" i="2"/>
  <c r="BC357" i="2" s="1"/>
  <c r="BI357" i="2" s="1"/>
  <c r="BB712" i="2"/>
  <c r="BC712" i="2" s="1"/>
  <c r="BI712" i="2" s="1"/>
  <c r="BB2326" i="2"/>
  <c r="BC2326" i="2" s="1"/>
  <c r="BI2326" i="2" s="1"/>
  <c r="BB1458" i="2"/>
  <c r="BC1458" i="2" s="1"/>
  <c r="BI1458" i="2" s="1"/>
  <c r="BB2041" i="2"/>
  <c r="BC2041" i="2" s="1"/>
  <c r="BI2041" i="2" s="1"/>
  <c r="BB623" i="2"/>
  <c r="BC623" i="2" s="1"/>
  <c r="BI623" i="2" s="1"/>
  <c r="BB1081" i="2"/>
  <c r="BC1081" i="2" s="1"/>
  <c r="BI1081" i="2" s="1"/>
  <c r="BB728" i="2"/>
  <c r="BC728" i="2" s="1"/>
  <c r="BI728" i="2" s="1"/>
  <c r="BB1853" i="2"/>
  <c r="BC1853" i="2" s="1"/>
  <c r="BI1853" i="2" s="1"/>
  <c r="BB1272" i="2"/>
  <c r="BC1272" i="2" s="1"/>
  <c r="BI1272" i="2" s="1"/>
  <c r="BB1414" i="2"/>
  <c r="BC1414" i="2" s="1"/>
  <c r="BI1414" i="2" s="1"/>
  <c r="BB1498" i="2"/>
  <c r="BC1498" i="2" s="1"/>
  <c r="BI1498" i="2" s="1"/>
  <c r="BB698" i="2"/>
  <c r="BC698" i="2" s="1"/>
  <c r="BI698" i="2" s="1"/>
  <c r="BB634" i="2"/>
  <c r="BC634" i="2" s="1"/>
  <c r="BI634" i="2" s="1"/>
  <c r="H182" i="4"/>
  <c r="BB182" i="2"/>
  <c r="BC182" i="2" s="1"/>
  <c r="BI182" i="2" s="1"/>
  <c r="BB2482" i="2"/>
  <c r="BC2482" i="2" s="1"/>
  <c r="BI2482" i="2" s="1"/>
  <c r="BB222" i="2"/>
  <c r="BC222" i="2" s="1"/>
  <c r="BI222" i="2" s="1"/>
  <c r="BB1599" i="2"/>
  <c r="BC1599" i="2" s="1"/>
  <c r="BI1599" i="2" s="1"/>
  <c r="BB874" i="2"/>
  <c r="BC874" i="2" s="1"/>
  <c r="BI874" i="2" s="1"/>
  <c r="BB1424" i="2"/>
  <c r="BC1424" i="2" s="1"/>
  <c r="BI1424" i="2" s="1"/>
  <c r="BB1182" i="2"/>
  <c r="BC1182" i="2" s="1"/>
  <c r="BI1182" i="2" s="1"/>
  <c r="BB1118" i="2"/>
  <c r="BC1118" i="2" s="1"/>
  <c r="BI1118" i="2" s="1"/>
  <c r="BB811" i="2"/>
  <c r="BC811" i="2" s="1"/>
  <c r="BI811" i="2" s="1"/>
  <c r="BB1388" i="2"/>
  <c r="BC1388" i="2" s="1"/>
  <c r="BI1388" i="2" s="1"/>
  <c r="BB2287" i="2"/>
  <c r="BC2287" i="2" s="1"/>
  <c r="BI2287" i="2" s="1"/>
  <c r="BB1101" i="2"/>
  <c r="BC1101" i="2" s="1"/>
  <c r="BI1101" i="2" s="1"/>
  <c r="BB2364" i="2"/>
  <c r="BC2364" i="2" s="1"/>
  <c r="BI2364" i="2" s="1"/>
  <c r="BB1167" i="2"/>
  <c r="BC1167" i="2" s="1"/>
  <c r="BI1167" i="2" s="1"/>
  <c r="BB1566" i="2"/>
  <c r="BC1566" i="2" s="1"/>
  <c r="BI1566" i="2" s="1"/>
  <c r="BB416" i="2"/>
  <c r="BC416" i="2" s="1"/>
  <c r="BI416" i="2" s="1"/>
  <c r="BB766" i="2"/>
  <c r="BC766" i="2" s="1"/>
  <c r="BI766" i="2" s="1"/>
  <c r="BB591" i="2"/>
  <c r="BC591" i="2" s="1"/>
  <c r="BI591" i="2" s="1"/>
  <c r="BB559" i="2"/>
  <c r="BC559" i="2" s="1"/>
  <c r="BI559" i="2" s="1"/>
  <c r="BB1604" i="2"/>
  <c r="BC1604" i="2" s="1"/>
  <c r="BI1604" i="2" s="1"/>
  <c r="BB2008" i="2"/>
  <c r="BC2008" i="2" s="1"/>
  <c r="BI2008" i="2" s="1"/>
  <c r="BB1183" i="2"/>
  <c r="BC1183" i="2" s="1"/>
  <c r="BI1183" i="2" s="1"/>
  <c r="BB884" i="2"/>
  <c r="BC884" i="2" s="1"/>
  <c r="BI884" i="2" s="1"/>
  <c r="BB661" i="2"/>
  <c r="BC661" i="2" s="1"/>
  <c r="BI661" i="2" s="1"/>
  <c r="BB1403" i="2"/>
  <c r="BC1403" i="2" s="1"/>
  <c r="BI1403" i="2" s="1"/>
  <c r="BB1681" i="2"/>
  <c r="BC1681" i="2" s="1"/>
  <c r="BI1681" i="2" s="1"/>
  <c r="H58" i="4"/>
  <c r="BB58" i="2"/>
  <c r="BC58" i="2" s="1"/>
  <c r="BI58" i="2" s="1"/>
  <c r="BB2186" i="2"/>
  <c r="BC2186" i="2" s="1"/>
  <c r="BI2186" i="2" s="1"/>
  <c r="BB1315" i="2"/>
  <c r="BC1315" i="2" s="1"/>
  <c r="BI1315" i="2" s="1"/>
  <c r="BB1757" i="2"/>
  <c r="BC1757" i="2" s="1"/>
  <c r="BI1757" i="2" s="1"/>
  <c r="H179" i="4"/>
  <c r="BB179" i="2"/>
  <c r="BC179" i="2" s="1"/>
  <c r="BI179" i="2" s="1"/>
  <c r="BB1868" i="2"/>
  <c r="BC1868" i="2" s="1"/>
  <c r="BI1868" i="2" s="1"/>
  <c r="BB847" i="2"/>
  <c r="BC847" i="2" s="1"/>
  <c r="BI847" i="2" s="1"/>
  <c r="BB1685" i="2"/>
  <c r="BC1685" i="2" s="1"/>
  <c r="BI1685" i="2" s="1"/>
  <c r="BB1503" i="2"/>
  <c r="BC1503" i="2" s="1"/>
  <c r="BI1503" i="2" s="1"/>
  <c r="BB588" i="2"/>
  <c r="BC588" i="2" s="1"/>
  <c r="BI588" i="2" s="1"/>
  <c r="BB556" i="2"/>
  <c r="BC556" i="2" s="1"/>
  <c r="BI556" i="2" s="1"/>
  <c r="BB930" i="2"/>
  <c r="BC930" i="2" s="1"/>
  <c r="BI930" i="2" s="1"/>
  <c r="BB1919" i="2"/>
  <c r="BC1919" i="2" s="1"/>
  <c r="BI1919" i="2" s="1"/>
  <c r="BB1826" i="2"/>
  <c r="BC1826" i="2" s="1"/>
  <c r="BI1826" i="2" s="1"/>
  <c r="BB994" i="2"/>
  <c r="BC994" i="2" s="1"/>
  <c r="BI994" i="2" s="1"/>
  <c r="BB447" i="2"/>
  <c r="BC447" i="2" s="1"/>
  <c r="BI447" i="2" s="1"/>
  <c r="BB1174" i="2"/>
  <c r="BC1174" i="2" s="1"/>
  <c r="BI1174" i="2" s="1"/>
  <c r="BB1687" i="2"/>
  <c r="BC1687" i="2" s="1"/>
  <c r="BI1687" i="2" s="1"/>
  <c r="BB2154" i="2"/>
  <c r="BC2154" i="2" s="1"/>
  <c r="BI2154" i="2" s="1"/>
  <c r="BB1873" i="2"/>
  <c r="BC1873" i="2" s="1"/>
  <c r="BI1873" i="2" s="1"/>
  <c r="BB2128" i="2"/>
  <c r="BC2128" i="2" s="1"/>
  <c r="BI2128" i="2" s="1"/>
  <c r="BB1027" i="2"/>
  <c r="BC1027" i="2" s="1"/>
  <c r="BI1027" i="2" s="1"/>
  <c r="BB995" i="2"/>
  <c r="BC995" i="2" s="1"/>
  <c r="BI995" i="2" s="1"/>
  <c r="BB963" i="2"/>
  <c r="BC963" i="2" s="1"/>
  <c r="BI963" i="2" s="1"/>
  <c r="H159" i="4"/>
  <c r="BB159" i="2"/>
  <c r="BC159" i="2" s="1"/>
  <c r="BI159" i="2" s="1"/>
  <c r="BB1431" i="2"/>
  <c r="BC1431" i="2" s="1"/>
  <c r="BI1431" i="2" s="1"/>
  <c r="BB1936" i="2"/>
  <c r="BC1936" i="2" s="1"/>
  <c r="BI1936" i="2" s="1"/>
  <c r="BB2438" i="2"/>
  <c r="BC2438" i="2" s="1"/>
  <c r="BI2438" i="2" s="1"/>
  <c r="BB1837" i="2"/>
  <c r="BC1837" i="2" s="1"/>
  <c r="BI1837" i="2" s="1"/>
  <c r="H13" i="4"/>
  <c r="BB13" i="2"/>
  <c r="BC13" i="2" s="1"/>
  <c r="BI13" i="2" s="1"/>
  <c r="BB1748" i="2"/>
  <c r="BC1748" i="2" s="1"/>
  <c r="BI1748" i="2" s="1"/>
  <c r="BB1684" i="2"/>
  <c r="BC1684" i="2" s="1"/>
  <c r="BI1684" i="2" s="1"/>
  <c r="BB2094" i="2"/>
  <c r="BC2094" i="2" s="1"/>
  <c r="BI2094" i="2" s="1"/>
  <c r="H11" i="4"/>
  <c r="BB11" i="2"/>
  <c r="BC11" i="2" s="1"/>
  <c r="BI11" i="2" s="1"/>
  <c r="BB1998" i="2"/>
  <c r="BC1998" i="2" s="1"/>
  <c r="BI1998" i="2" s="1"/>
  <c r="BB1926" i="2"/>
  <c r="BC1926" i="2" s="1"/>
  <c r="BI1926" i="2" s="1"/>
  <c r="BB1862" i="2"/>
  <c r="BC1862" i="2" s="1"/>
  <c r="BI1862" i="2" s="1"/>
  <c r="BB1413" i="2"/>
  <c r="BC1413" i="2" s="1"/>
  <c r="BI1413" i="2" s="1"/>
  <c r="BB1506" i="2"/>
  <c r="BC1506" i="2" s="1"/>
  <c r="BI1506" i="2" s="1"/>
  <c r="BB242" i="2"/>
  <c r="BC242" i="2" s="1"/>
  <c r="BI242" i="2" s="1"/>
  <c r="BB2259" i="2"/>
  <c r="BC2259" i="2" s="1"/>
  <c r="BI2259" i="2" s="1"/>
  <c r="BB822" i="2"/>
  <c r="BC822" i="2" s="1"/>
  <c r="BI822" i="2" s="1"/>
  <c r="BB1885" i="2"/>
  <c r="BC1885" i="2" s="1"/>
  <c r="BI1885" i="2" s="1"/>
  <c r="BB281" i="2"/>
  <c r="BC281" i="2" s="1"/>
  <c r="BI281" i="2" s="1"/>
  <c r="BB1325" i="2"/>
  <c r="BC1325" i="2" s="1"/>
  <c r="BI1325" i="2" s="1"/>
  <c r="BB803" i="2"/>
  <c r="BC803" i="2" s="1"/>
  <c r="BI803" i="2" s="1"/>
  <c r="BB215" i="2"/>
  <c r="BC215" i="2" s="1"/>
  <c r="BI215" i="2" s="1"/>
  <c r="BB379" i="2"/>
  <c r="BC379" i="2" s="1"/>
  <c r="BI379" i="2" s="1"/>
  <c r="BB1971" i="2"/>
  <c r="BC1971" i="2" s="1"/>
  <c r="BI1971" i="2" s="1"/>
  <c r="BB344" i="2"/>
  <c r="BC344" i="2" s="1"/>
  <c r="BI344" i="2" s="1"/>
  <c r="BB2253" i="2"/>
  <c r="BC2253" i="2" s="1"/>
  <c r="BI2253" i="2" s="1"/>
  <c r="BB1735" i="2"/>
  <c r="BC1735" i="2" s="1"/>
  <c r="BI1735" i="2" s="1"/>
  <c r="BB861" i="2"/>
  <c r="BC861" i="2" s="1"/>
  <c r="BI861" i="2" s="1"/>
  <c r="BB449" i="2"/>
  <c r="BC449" i="2" s="1"/>
  <c r="BI449" i="2" s="1"/>
  <c r="BB308" i="2"/>
  <c r="BC308" i="2" s="1"/>
  <c r="BI308" i="2" s="1"/>
  <c r="BB1445" i="2"/>
  <c r="BC1445" i="2" s="1"/>
  <c r="BI1445" i="2" s="1"/>
  <c r="BB2091" i="2"/>
  <c r="BC2091" i="2" s="1"/>
  <c r="BI2091" i="2" s="1"/>
  <c r="H62" i="4"/>
  <c r="BB62" i="2"/>
  <c r="BC62" i="2" s="1"/>
  <c r="BI62" i="2" s="1"/>
  <c r="BB303" i="2"/>
  <c r="BC303" i="2" s="1"/>
  <c r="BI303" i="2" s="1"/>
  <c r="BB1369" i="2"/>
  <c r="BC1369" i="2" s="1"/>
  <c r="BI1369" i="2" s="1"/>
  <c r="BB752" i="2"/>
  <c r="BC752" i="2" s="1"/>
  <c r="BI752" i="2" s="1"/>
  <c r="BB1225" i="2"/>
  <c r="BC1225" i="2" s="1"/>
  <c r="BI1225" i="2" s="1"/>
  <c r="BB1218" i="2"/>
  <c r="BC1218" i="2" s="1"/>
  <c r="BI1218" i="2" s="1"/>
  <c r="BB1289" i="2"/>
  <c r="BC1289" i="2" s="1"/>
  <c r="BI1289" i="2" s="1"/>
  <c r="BB1542" i="2"/>
  <c r="BC1542" i="2" s="1"/>
  <c r="BI1542" i="2" s="1"/>
  <c r="BB1323" i="2"/>
  <c r="BC1323" i="2" s="1"/>
  <c r="BI1323" i="2" s="1"/>
  <c r="BK1819" i="2"/>
  <c r="BJ1819" i="2"/>
  <c r="H187" i="4"/>
  <c r="BB187" i="2"/>
  <c r="BC187" i="2" s="1"/>
  <c r="BI187" i="2" s="1"/>
  <c r="BB2095" i="2"/>
  <c r="BC2095" i="2" s="1"/>
  <c r="BI2095" i="2" s="1"/>
  <c r="BB1237" i="2"/>
  <c r="BC1237" i="2" s="1"/>
  <c r="BI1237" i="2" s="1"/>
  <c r="BB2270" i="2"/>
  <c r="BC2270" i="2" s="1"/>
  <c r="BI2270" i="2" s="1"/>
  <c r="BB2206" i="2"/>
  <c r="BC2206" i="2" s="1"/>
  <c r="BI2206" i="2" s="1"/>
  <c r="BB1891" i="2"/>
  <c r="BC1891" i="2" s="1"/>
  <c r="BI1891" i="2" s="1"/>
  <c r="BB401" i="2"/>
  <c r="BC401" i="2" s="1"/>
  <c r="BI401" i="2" s="1"/>
  <c r="BB333" i="2"/>
  <c r="BC333" i="2" s="1"/>
  <c r="BI333" i="2" s="1"/>
  <c r="BB1220" i="2"/>
  <c r="BC1220" i="2" s="1"/>
  <c r="BI1220" i="2" s="1"/>
  <c r="BB1633" i="2"/>
  <c r="BC1633" i="2" s="1"/>
  <c r="BI1633" i="2" s="1"/>
  <c r="BB2284" i="2"/>
  <c r="BC2284" i="2" s="1"/>
  <c r="BI2284" i="2" s="1"/>
  <c r="BB2220" i="2"/>
  <c r="BC2220" i="2" s="1"/>
  <c r="BI2220" i="2" s="1"/>
  <c r="BB800" i="2"/>
  <c r="BC800" i="2" s="1"/>
  <c r="BI800" i="2" s="1"/>
  <c r="BB801" i="2"/>
  <c r="BC801" i="2" s="1"/>
  <c r="BI801" i="2" s="1"/>
  <c r="BB1851" i="2"/>
  <c r="BC1851" i="2" s="1"/>
  <c r="BI1851" i="2" s="1"/>
  <c r="BB980" i="2"/>
  <c r="BC980" i="2" s="1"/>
  <c r="BI980" i="2" s="1"/>
  <c r="H82" i="4"/>
  <c r="BB82" i="2"/>
  <c r="BC82" i="2" s="1"/>
  <c r="BI82" i="2" s="1"/>
  <c r="BB1480" i="2"/>
  <c r="BC1480" i="2" s="1"/>
  <c r="BI1480" i="2" s="1"/>
  <c r="BB825" i="2"/>
  <c r="BC825" i="2" s="1"/>
  <c r="BI825" i="2" s="1"/>
  <c r="BB720" i="2"/>
  <c r="BC720" i="2" s="1"/>
  <c r="BI720" i="2" s="1"/>
  <c r="BB656" i="2"/>
  <c r="BC656" i="2" s="1"/>
  <c r="BI656" i="2" s="1"/>
  <c r="BB2342" i="2"/>
  <c r="BC2342" i="2" s="1"/>
  <c r="BI2342" i="2" s="1"/>
  <c r="H183" i="4"/>
  <c r="BB183" i="2"/>
  <c r="BC183" i="2" s="1"/>
  <c r="BI183" i="2" s="1"/>
  <c r="BB2031" i="2"/>
  <c r="BC2031" i="2" s="1"/>
  <c r="BI2031" i="2" s="1"/>
  <c r="BB869" i="2"/>
  <c r="BC869" i="2" s="1"/>
  <c r="BI869" i="2" s="1"/>
  <c r="BB2086" i="2"/>
  <c r="BC2086" i="2" s="1"/>
  <c r="BI2086" i="2" s="1"/>
  <c r="BB815" i="2"/>
  <c r="BC815" i="2" s="1"/>
  <c r="BI815" i="2" s="1"/>
  <c r="BB2017" i="2"/>
  <c r="BC2017" i="2" s="1"/>
  <c r="BI2017" i="2" s="1"/>
  <c r="BB1199" i="2"/>
  <c r="BC1199" i="2" s="1"/>
  <c r="BI1199" i="2" s="1"/>
  <c r="BB1715" i="2"/>
  <c r="BC1715" i="2" s="1"/>
  <c r="BI1715" i="2" s="1"/>
  <c r="BB2336" i="2"/>
  <c r="BC2336" i="2" s="1"/>
  <c r="BI2336" i="2" s="1"/>
  <c r="BK112" i="2"/>
  <c r="J112" i="4" s="1"/>
  <c r="BJ112" i="2"/>
  <c r="I112" i="4" s="1"/>
  <c r="BB2402" i="2"/>
  <c r="BC2402" i="2" s="1"/>
  <c r="BI2402" i="2" s="1"/>
  <c r="BB211" i="2"/>
  <c r="BC211" i="2" s="1"/>
  <c r="BI211" i="2" s="1"/>
  <c r="BB1756" i="2"/>
  <c r="BC1756" i="2" s="1"/>
  <c r="BI1756" i="2" s="1"/>
  <c r="BB1740" i="2"/>
  <c r="BC1740" i="2" s="1"/>
  <c r="BI1740" i="2" s="1"/>
  <c r="BB1902" i="2"/>
  <c r="BC1902" i="2" s="1"/>
  <c r="BI1902" i="2" s="1"/>
  <c r="BB1917" i="2"/>
  <c r="BC1917" i="2" s="1"/>
  <c r="BI1917" i="2" s="1"/>
  <c r="BB407" i="2"/>
  <c r="BC407" i="2" s="1"/>
  <c r="BI407" i="2" s="1"/>
  <c r="BB2011" i="2"/>
  <c r="BC2011" i="2" s="1"/>
  <c r="BI2011" i="2" s="1"/>
  <c r="BB219" i="2"/>
  <c r="BC219" i="2" s="1"/>
  <c r="BI219" i="2" s="1"/>
  <c r="BB2051" i="2"/>
  <c r="BC2051" i="2" s="1"/>
  <c r="BI2051" i="2" s="1"/>
  <c r="H24" i="4"/>
  <c r="BB24" i="2"/>
  <c r="BC24" i="2" s="1"/>
  <c r="BI24" i="2" s="1"/>
  <c r="BB482" i="2"/>
  <c r="BC482" i="2" s="1"/>
  <c r="BI482" i="2" s="1"/>
  <c r="BB491" i="2"/>
  <c r="BC491" i="2" s="1"/>
  <c r="BI491" i="2" s="1"/>
  <c r="BB2448" i="2"/>
  <c r="BC2448" i="2" s="1"/>
  <c r="BI2448" i="2" s="1"/>
  <c r="BB1828" i="2"/>
  <c r="BC1828" i="2" s="1"/>
  <c r="BI1828" i="2" s="1"/>
  <c r="BB1758" i="2"/>
  <c r="BC1758" i="2" s="1"/>
  <c r="BI1758" i="2" s="1"/>
  <c r="BB1138" i="2"/>
  <c r="BC1138" i="2" s="1"/>
  <c r="BI1138" i="2" s="1"/>
  <c r="BB2109" i="2"/>
  <c r="BC2109" i="2" s="1"/>
  <c r="BI2109" i="2" s="1"/>
  <c r="BB1418" i="2"/>
  <c r="BC1418" i="2" s="1"/>
  <c r="BI1418" i="2" s="1"/>
  <c r="BB1524" i="2"/>
  <c r="BC1524" i="2" s="1"/>
  <c r="BI1524" i="2" s="1"/>
  <c r="BB841" i="2"/>
  <c r="BC841" i="2" s="1"/>
  <c r="BI841" i="2" s="1"/>
  <c r="BB686" i="2"/>
  <c r="BC686" i="2" s="1"/>
  <c r="BI686" i="2" s="1"/>
  <c r="BB622" i="2"/>
  <c r="BC622" i="2" s="1"/>
  <c r="BI622" i="2" s="1"/>
  <c r="BB1587" i="2"/>
  <c r="BC1587" i="2" s="1"/>
  <c r="BI1587" i="2" s="1"/>
  <c r="BB258" i="2"/>
  <c r="BC258" i="2" s="1"/>
  <c r="BI258" i="2" s="1"/>
  <c r="BB1137" i="2"/>
  <c r="BC1137" i="2" s="1"/>
  <c r="BI1137" i="2" s="1"/>
  <c r="BB826" i="2"/>
  <c r="BC826" i="2" s="1"/>
  <c r="BI826" i="2" s="1"/>
  <c r="BB1412" i="2"/>
  <c r="BC1412" i="2" s="1"/>
  <c r="BI1412" i="2" s="1"/>
  <c r="BB1354" i="2"/>
  <c r="BC1354" i="2" s="1"/>
  <c r="BI1354" i="2" s="1"/>
  <c r="BB1362" i="2"/>
  <c r="BC1362" i="2" s="1"/>
  <c r="BI1362" i="2" s="1"/>
  <c r="BB1538" i="2"/>
  <c r="BC1538" i="2" s="1"/>
  <c r="BI1538" i="2" s="1"/>
  <c r="BB813" i="2"/>
  <c r="BC813" i="2" s="1"/>
  <c r="BI813" i="2" s="1"/>
  <c r="BB2207" i="2"/>
  <c r="BC2207" i="2" s="1"/>
  <c r="BI2207" i="2" s="1"/>
  <c r="BB1062" i="2"/>
  <c r="BC1062" i="2" s="1"/>
  <c r="BI1062" i="2" s="1"/>
  <c r="BB1442" i="2"/>
  <c r="BC1442" i="2" s="1"/>
  <c r="BI1442" i="2" s="1"/>
  <c r="BB827" i="2"/>
  <c r="BC827" i="2" s="1"/>
  <c r="BI827" i="2" s="1"/>
  <c r="H126" i="4"/>
  <c r="BB126" i="2"/>
  <c r="BC126" i="2" s="1"/>
  <c r="BI126" i="2" s="1"/>
  <c r="BB227" i="2"/>
  <c r="BC227" i="2" s="1"/>
  <c r="BI227" i="2" s="1"/>
  <c r="BB1929" i="2"/>
  <c r="BC1929" i="2" s="1"/>
  <c r="BI1929" i="2" s="1"/>
  <c r="BB1153" i="2"/>
  <c r="BC1153" i="2" s="1"/>
  <c r="BI1153" i="2" s="1"/>
  <c r="BB1570" i="2"/>
  <c r="BC1570" i="2" s="1"/>
  <c r="BI1570" i="2" s="1"/>
  <c r="BB707" i="2"/>
  <c r="BC707" i="2" s="1"/>
  <c r="BI707" i="2" s="1"/>
  <c r="H67" i="4"/>
  <c r="BB67" i="2"/>
  <c r="BC67" i="2" s="1"/>
  <c r="BI67" i="2" s="1"/>
  <c r="BB782" i="2"/>
  <c r="BC782" i="2" s="1"/>
  <c r="BI782" i="2" s="1"/>
  <c r="BB1162" i="2"/>
  <c r="BC1162" i="2" s="1"/>
  <c r="BI1162" i="2" s="1"/>
  <c r="BB390" i="2"/>
  <c r="BC390" i="2" s="1"/>
  <c r="BI390" i="2" s="1"/>
  <c r="BB601" i="2"/>
  <c r="BC601" i="2" s="1"/>
  <c r="BI601" i="2" s="1"/>
  <c r="BB569" i="2"/>
  <c r="BC569" i="2" s="1"/>
  <c r="BI569" i="2" s="1"/>
  <c r="BB2131" i="2"/>
  <c r="BC2131" i="2" s="1"/>
  <c r="BI2131" i="2" s="1"/>
  <c r="BB1613" i="2"/>
  <c r="BC1613" i="2" s="1"/>
  <c r="BI1613" i="2" s="1"/>
  <c r="BB2012" i="2"/>
  <c r="BC2012" i="2" s="1"/>
  <c r="BI2012" i="2" s="1"/>
  <c r="BB2196" i="2"/>
  <c r="BC2196" i="2" s="1"/>
  <c r="BI2196" i="2" s="1"/>
  <c r="H86" i="4"/>
  <c r="BB86" i="2"/>
  <c r="BC86" i="2" s="1"/>
  <c r="BI86" i="2" s="1"/>
  <c r="BB723" i="2"/>
  <c r="BC723" i="2" s="1"/>
  <c r="BI723" i="2" s="1"/>
  <c r="BB1299" i="2"/>
  <c r="BC1299" i="2" s="1"/>
  <c r="BI1299" i="2" s="1"/>
  <c r="BB1087" i="2"/>
  <c r="BC1087" i="2" s="1"/>
  <c r="BI1087" i="2" s="1"/>
  <c r="BB266" i="2"/>
  <c r="BC266" i="2" s="1"/>
  <c r="BI266" i="2" s="1"/>
  <c r="BB1623" i="2"/>
  <c r="BC1623" i="2" s="1"/>
  <c r="BI1623" i="2" s="1"/>
  <c r="BB1437" i="2"/>
  <c r="BC1437" i="2" s="1"/>
  <c r="BI1437" i="2" s="1"/>
  <c r="BB2062" i="2"/>
  <c r="BC2062" i="2" s="1"/>
  <c r="BI2062" i="2" s="1"/>
  <c r="BB1773" i="2"/>
  <c r="BC1773" i="2" s="1"/>
  <c r="BI1773" i="2" s="1"/>
  <c r="BB1045" i="2"/>
  <c r="BC1045" i="2" s="1"/>
  <c r="BI1045" i="2" s="1"/>
  <c r="BB1100" i="2"/>
  <c r="BC1100" i="2" s="1"/>
  <c r="BI1100" i="2" s="1"/>
  <c r="BB1940" i="2"/>
  <c r="BC1940" i="2" s="1"/>
  <c r="BI1940" i="2" s="1"/>
  <c r="BB1217" i="2"/>
  <c r="BC1217" i="2" s="1"/>
  <c r="BI1217" i="2" s="1"/>
  <c r="BB799" i="2"/>
  <c r="BC799" i="2" s="1"/>
  <c r="BI799" i="2" s="1"/>
  <c r="H127" i="4"/>
  <c r="BB127" i="2"/>
  <c r="BC127" i="2" s="1"/>
  <c r="BI127" i="2" s="1"/>
  <c r="BB2481" i="2"/>
  <c r="BC2481" i="2" s="1"/>
  <c r="BI2481" i="2" s="1"/>
  <c r="BB598" i="2"/>
  <c r="BC598" i="2" s="1"/>
  <c r="BI598" i="2" s="1"/>
  <c r="BB566" i="2"/>
  <c r="BC566" i="2" s="1"/>
  <c r="BI566" i="2" s="1"/>
  <c r="H55" i="4"/>
  <c r="BB55" i="2"/>
  <c r="BC55" i="2" s="1"/>
  <c r="BI55" i="2" s="1"/>
  <c r="BB545" i="2"/>
  <c r="BC545" i="2" s="1"/>
  <c r="BI545" i="2" s="1"/>
  <c r="BB1105" i="2"/>
  <c r="BC1105" i="2" s="1"/>
  <c r="BI1105" i="2" s="1"/>
  <c r="BB268" i="2"/>
  <c r="BC268" i="2" s="1"/>
  <c r="BI268" i="2" s="1"/>
  <c r="BB1267" i="2"/>
  <c r="BC1267" i="2" s="1"/>
  <c r="BI1267" i="2" s="1"/>
  <c r="BB1863" i="2"/>
  <c r="BC1863" i="2" s="1"/>
  <c r="BI1863" i="2" s="1"/>
  <c r="BB1770" i="2"/>
  <c r="BC1770" i="2" s="1"/>
  <c r="BI1770" i="2" s="1"/>
  <c r="BB982" i="2"/>
  <c r="BC982" i="2" s="1"/>
  <c r="BI982" i="2" s="1"/>
  <c r="BB2353" i="2"/>
  <c r="BC2353" i="2" s="1"/>
  <c r="BI2353" i="2" s="1"/>
  <c r="BB235" i="2"/>
  <c r="BC235" i="2" s="1"/>
  <c r="BI235" i="2" s="1"/>
  <c r="BB1666" i="2"/>
  <c r="BC1666" i="2" s="1"/>
  <c r="BI1666" i="2" s="1"/>
  <c r="BB2251" i="2"/>
  <c r="BC2251" i="2" s="1"/>
  <c r="BI2251" i="2" s="1"/>
  <c r="BB542" i="2"/>
  <c r="BC542" i="2" s="1"/>
  <c r="BI542" i="2" s="1"/>
  <c r="BB2122" i="2"/>
  <c r="BC2122" i="2" s="1"/>
  <c r="BI2122" i="2" s="1"/>
  <c r="BB1021" i="2"/>
  <c r="BC1021" i="2" s="1"/>
  <c r="BI1021" i="2" s="1"/>
  <c r="BB989" i="2"/>
  <c r="BC989" i="2" s="1"/>
  <c r="BI989" i="2" s="1"/>
  <c r="BB957" i="2"/>
  <c r="BC957" i="2" s="1"/>
  <c r="BI957" i="2" s="1"/>
  <c r="BB367" i="2"/>
  <c r="BC367" i="2" s="1"/>
  <c r="BI367" i="2" s="1"/>
  <c r="BB2108" i="2"/>
  <c r="BC2108" i="2" s="1"/>
  <c r="BI2108" i="2" s="1"/>
  <c r="BB534" i="2"/>
  <c r="BC534" i="2" s="1"/>
  <c r="BI534" i="2" s="1"/>
  <c r="BB1616" i="2"/>
  <c r="BC1616" i="2" s="1"/>
  <c r="BI1616" i="2" s="1"/>
  <c r="BB2110" i="2"/>
  <c r="BC2110" i="2" s="1"/>
  <c r="BI2110" i="2" s="1"/>
  <c r="BB1720" i="2"/>
  <c r="BC1720" i="2" s="1"/>
  <c r="BI1720" i="2" s="1"/>
  <c r="BB2058" i="2"/>
  <c r="BC2058" i="2" s="1"/>
  <c r="BI2058" i="2" s="1"/>
  <c r="BB1441" i="2"/>
  <c r="BC1441" i="2" s="1"/>
  <c r="BI1441" i="2" s="1"/>
  <c r="BB2002" i="2"/>
  <c r="BC2002" i="2" s="1"/>
  <c r="BI2002" i="2" s="1"/>
  <c r="BB1930" i="2"/>
  <c r="BC1930" i="2" s="1"/>
  <c r="BI1930" i="2" s="1"/>
  <c r="BB1866" i="2"/>
  <c r="BC1866" i="2" s="1"/>
  <c r="BI1866" i="2" s="1"/>
  <c r="BB2001" i="2"/>
  <c r="BC2001" i="2" s="1"/>
  <c r="BI2001" i="2" s="1"/>
  <c r="BB1606" i="2"/>
  <c r="BC1606" i="2" s="1"/>
  <c r="BI1606" i="2" s="1"/>
  <c r="BB2177" i="2"/>
  <c r="BC2177" i="2" s="1"/>
  <c r="BI2177" i="2" s="1"/>
  <c r="BB774" i="2"/>
  <c r="BC774" i="2" s="1"/>
  <c r="BI774" i="2" s="1"/>
  <c r="BB1967" i="2"/>
  <c r="BC1967" i="2" s="1"/>
  <c r="BI1967" i="2" s="1"/>
  <c r="BB2359" i="2"/>
  <c r="BC2359" i="2" s="1"/>
  <c r="BI2359" i="2" s="1"/>
  <c r="BB1993" i="2"/>
  <c r="BC1993" i="2" s="1"/>
  <c r="BI1993" i="2" s="1"/>
  <c r="BB1191" i="2"/>
  <c r="BC1191" i="2" s="1"/>
  <c r="BI1191" i="2" s="1"/>
  <c r="H5" i="4"/>
  <c r="BB5" i="2"/>
  <c r="BC5" i="2" s="1"/>
  <c r="BI5" i="2" s="1"/>
  <c r="BB2157" i="2"/>
  <c r="BC2157" i="2" s="1"/>
  <c r="BI2157" i="2" s="1"/>
  <c r="BB924" i="2"/>
  <c r="BC924" i="2" s="1"/>
  <c r="BI924" i="2" s="1"/>
  <c r="BB1391" i="2"/>
  <c r="BC1391" i="2" s="1"/>
  <c r="BI1391" i="2" s="1"/>
  <c r="BB1295" i="2"/>
  <c r="BC1295" i="2" s="1"/>
  <c r="BI1295" i="2" s="1"/>
  <c r="BB457" i="2"/>
  <c r="BC457" i="2" s="1"/>
  <c r="BI457" i="2" s="1"/>
  <c r="BB546" i="2"/>
  <c r="BC546" i="2" s="1"/>
  <c r="BI546" i="2" s="1"/>
  <c r="BB228" i="2"/>
  <c r="BC228" i="2" s="1"/>
  <c r="BI228" i="2" s="1"/>
  <c r="BB755" i="2"/>
  <c r="BC755" i="2" s="1"/>
  <c r="BI755" i="2" s="1"/>
  <c r="BB775" i="2"/>
  <c r="BC775" i="2" s="1"/>
  <c r="BI775" i="2" s="1"/>
  <c r="BB454" i="2"/>
  <c r="BC454" i="2" s="1"/>
  <c r="BI454" i="2" s="1"/>
  <c r="BB2048" i="2"/>
  <c r="BC2048" i="2" s="1"/>
  <c r="BI2048" i="2" s="1"/>
  <c r="BB1865" i="2"/>
  <c r="BC1865" i="2" s="1"/>
  <c r="BI1865" i="2" s="1"/>
  <c r="BB1581" i="2"/>
  <c r="BC1581" i="2" s="1"/>
  <c r="BI1581" i="2" s="1"/>
  <c r="BB1443" i="2"/>
  <c r="BC1443" i="2" s="1"/>
  <c r="BI1443" i="2" s="1"/>
  <c r="BB502" i="2"/>
  <c r="BC502" i="2" s="1"/>
  <c r="BI502" i="2" s="1"/>
  <c r="BB2261" i="2"/>
  <c r="BC2261" i="2" s="1"/>
  <c r="BI2261" i="2" s="1"/>
  <c r="BB1822" i="2"/>
  <c r="BC1822" i="2" s="1"/>
  <c r="BI1822" i="2" s="1"/>
  <c r="BB1294" i="2"/>
  <c r="BC1294" i="2" s="1"/>
  <c r="BI1294" i="2" s="1"/>
  <c r="BB518" i="2"/>
  <c r="BC518" i="2" s="1"/>
  <c r="BI518" i="2" s="1"/>
  <c r="BB1246" i="2"/>
  <c r="BC1246" i="2" s="1"/>
  <c r="BI1246" i="2" s="1"/>
  <c r="BB1909" i="2"/>
  <c r="BC1909" i="2" s="1"/>
  <c r="BI1909" i="2" s="1"/>
  <c r="BB326" i="2"/>
  <c r="BC326" i="2" s="1"/>
  <c r="BI326" i="2" s="1"/>
  <c r="H189" i="4"/>
  <c r="BB189" i="2"/>
  <c r="BC189" i="2" s="1"/>
  <c r="BI189" i="2" s="1"/>
  <c r="BB1382" i="2"/>
  <c r="BC1382" i="2" s="1"/>
  <c r="BI1382" i="2" s="1"/>
  <c r="H193" i="4"/>
  <c r="BB193" i="2"/>
  <c r="BC193" i="2" s="1"/>
  <c r="BI193" i="2" s="1"/>
  <c r="BB1247" i="2"/>
  <c r="BC1247" i="2" s="1"/>
  <c r="BI1247" i="2" s="1"/>
  <c r="BB253" i="2"/>
  <c r="BC253" i="2" s="1"/>
  <c r="BI253" i="2" s="1"/>
  <c r="BB2191" i="2"/>
  <c r="BC2191" i="2" s="1"/>
  <c r="BI2191" i="2" s="1"/>
  <c r="BB850" i="2"/>
  <c r="BC850" i="2" s="1"/>
  <c r="BI850" i="2" s="1"/>
  <c r="BB540" i="2"/>
  <c r="BC540" i="2" s="1"/>
  <c r="BI540" i="2" s="1"/>
  <c r="BB1083" i="2"/>
  <c r="BC1083" i="2" s="1"/>
  <c r="BI1083" i="2" s="1"/>
  <c r="BB422" i="2"/>
  <c r="BC422" i="2" s="1"/>
  <c r="BI422" i="2" s="1"/>
  <c r="H139" i="4"/>
  <c r="BB139" i="2"/>
  <c r="BC139" i="2" s="1"/>
  <c r="BI139" i="2" s="1"/>
  <c r="BB2431" i="2"/>
  <c r="BC2431" i="2" s="1"/>
  <c r="BI2431" i="2" s="1"/>
  <c r="BB1486" i="2"/>
  <c r="BC1486" i="2" s="1"/>
  <c r="BI1486" i="2" s="1"/>
  <c r="BB2258" i="2"/>
  <c r="BC2258" i="2" s="1"/>
  <c r="BI2258" i="2" s="1"/>
  <c r="BB1867" i="2"/>
  <c r="BC1867" i="2" s="1"/>
  <c r="BI1867" i="2" s="1"/>
  <c r="BB1196" i="2"/>
  <c r="BC1196" i="2" s="1"/>
  <c r="BI1196" i="2" s="1"/>
  <c r="BB1072" i="2"/>
  <c r="BC1072" i="2" s="1"/>
  <c r="BI1072" i="2" s="1"/>
  <c r="BB2401" i="2"/>
  <c r="BC2401" i="2" s="1"/>
  <c r="BI2401" i="2" s="1"/>
  <c r="BB1596" i="2"/>
  <c r="BC1596" i="2" s="1"/>
  <c r="BI1596" i="2" s="1"/>
  <c r="H76" i="4"/>
  <c r="BB76" i="2"/>
  <c r="BC76" i="2" s="1"/>
  <c r="BI76" i="2" s="1"/>
  <c r="BB2288" i="2"/>
  <c r="BC2288" i="2" s="1"/>
  <c r="BI2288" i="2" s="1"/>
  <c r="BB2224" i="2"/>
  <c r="BC2224" i="2" s="1"/>
  <c r="BI2224" i="2" s="1"/>
  <c r="BB446" i="2"/>
  <c r="BC446" i="2" s="1"/>
  <c r="BI446" i="2" s="1"/>
  <c r="BB363" i="2"/>
  <c r="BC363" i="2" s="1"/>
  <c r="BI363" i="2" s="1"/>
  <c r="H47" i="4"/>
  <c r="BB47" i="2"/>
  <c r="BC47" i="2" s="1"/>
  <c r="BI47" i="2" s="1"/>
  <c r="BB1504" i="2"/>
  <c r="BC1504" i="2" s="1"/>
  <c r="BI1504" i="2" s="1"/>
  <c r="BB1551" i="2"/>
  <c r="BC1551" i="2" s="1"/>
  <c r="BI1551" i="2" s="1"/>
  <c r="BB1366" i="2"/>
  <c r="BC1366" i="2" s="1"/>
  <c r="BI1366" i="2" s="1"/>
  <c r="H9" i="4"/>
  <c r="BB9" i="2"/>
  <c r="BC9" i="2" s="1"/>
  <c r="BI9" i="2" s="1"/>
  <c r="BB984" i="2"/>
  <c r="BC984" i="2" s="1"/>
  <c r="BI984" i="2" s="1"/>
  <c r="BB548" i="2"/>
  <c r="BC548" i="2" s="1"/>
  <c r="BI548" i="2" s="1"/>
  <c r="BB1510" i="2"/>
  <c r="BC1510" i="2" s="1"/>
  <c r="BI1510" i="2" s="1"/>
  <c r="BB724" i="2"/>
  <c r="BC724" i="2" s="1"/>
  <c r="BI724" i="2" s="1"/>
  <c r="BB660" i="2"/>
  <c r="BC660" i="2" s="1"/>
  <c r="BI660" i="2" s="1"/>
  <c r="BB2419" i="2"/>
  <c r="BC2419" i="2" s="1"/>
  <c r="BI2419" i="2" s="1"/>
  <c r="BB2350" i="2"/>
  <c r="BC2350" i="2" s="1"/>
  <c r="BI2350" i="2" s="1"/>
  <c r="BB1341" i="2"/>
  <c r="BC1341" i="2" s="1"/>
  <c r="BI1341" i="2" s="1"/>
  <c r="BB2033" i="2"/>
  <c r="BC2033" i="2" s="1"/>
  <c r="BI2033" i="2" s="1"/>
  <c r="BB498" i="2"/>
  <c r="BC498" i="2" s="1"/>
  <c r="BI498" i="2" s="1"/>
  <c r="BB916" i="2"/>
  <c r="BC916" i="2" s="1"/>
  <c r="BI916" i="2" s="1"/>
  <c r="BB292" i="2"/>
  <c r="BC292" i="2" s="1"/>
  <c r="BI292" i="2" s="1"/>
  <c r="BB2378" i="2"/>
  <c r="BC2378" i="2" s="1"/>
  <c r="BI2378" i="2" s="1"/>
  <c r="BB2036" i="2"/>
  <c r="BC2036" i="2" s="1"/>
  <c r="BI2036" i="2" s="1"/>
  <c r="BB2422" i="2"/>
  <c r="BC2422" i="2" s="1"/>
  <c r="BI2422" i="2" s="1"/>
  <c r="BB1210" i="2"/>
  <c r="BC1210" i="2" s="1"/>
  <c r="BI1210" i="2" s="1"/>
  <c r="BB2355" i="2"/>
  <c r="BC2355" i="2" s="1"/>
  <c r="BI2355" i="2" s="1"/>
  <c r="BB527" i="2"/>
  <c r="BC527" i="2" s="1"/>
  <c r="BI527" i="2" s="1"/>
  <c r="BB1856" i="2"/>
  <c r="BC1856" i="2" s="1"/>
  <c r="BI1856" i="2" s="1"/>
  <c r="BB1320" i="2"/>
  <c r="BC1320" i="2" s="1"/>
  <c r="BI1320" i="2" s="1"/>
  <c r="BB608" i="2"/>
  <c r="BC608" i="2" s="1"/>
  <c r="BI608" i="2" s="1"/>
  <c r="BB922" i="2"/>
  <c r="BC922" i="2" s="1"/>
  <c r="BI922" i="2" s="1"/>
  <c r="BB1002" i="2"/>
  <c r="BC1002" i="2" s="1"/>
  <c r="BI1002" i="2" s="1"/>
  <c r="BB1742" i="2"/>
  <c r="BC1742" i="2" s="1"/>
  <c r="BI1742" i="2" s="1"/>
  <c r="BB1495" i="2"/>
  <c r="BC1495" i="2" s="1"/>
  <c r="BI1495" i="2" s="1"/>
  <c r="BB1007" i="2"/>
  <c r="BC1007" i="2" s="1"/>
  <c r="BI1007" i="2" s="1"/>
  <c r="BB1838" i="2"/>
  <c r="BC1838" i="2" s="1"/>
  <c r="BI1838" i="2" s="1"/>
  <c r="BB1192" i="2"/>
  <c r="BC1192" i="2" s="1"/>
  <c r="BI1192" i="2" s="1"/>
  <c r="BB2299" i="2"/>
  <c r="BC2299" i="2" s="1"/>
  <c r="BI2299" i="2" s="1"/>
  <c r="BB854" i="2"/>
  <c r="BC854" i="2" s="1"/>
  <c r="BI854" i="2" s="1"/>
  <c r="BB1983" i="2"/>
  <c r="BC1983" i="2" s="1"/>
  <c r="BI1983" i="2" s="1"/>
  <c r="BB2009" i="2"/>
  <c r="BC2009" i="2" s="1"/>
  <c r="BI2009" i="2" s="1"/>
  <c r="H33" i="4"/>
  <c r="BB33" i="2"/>
  <c r="BC33" i="2" s="1"/>
  <c r="BI33" i="2" s="1"/>
  <c r="BB1973" i="2"/>
  <c r="BC1973" i="2" s="1"/>
  <c r="BI1973" i="2" s="1"/>
  <c r="H53" i="4"/>
  <c r="BB53" i="2"/>
  <c r="BC53" i="2" s="1"/>
  <c r="BI53" i="2" s="1"/>
  <c r="BB2292" i="2"/>
  <c r="BC2292" i="2" s="1"/>
  <c r="BI2292" i="2" s="1"/>
  <c r="BB972" i="2"/>
  <c r="BC972" i="2" s="1"/>
  <c r="BI972" i="2" s="1"/>
  <c r="BB1808" i="2"/>
  <c r="BC1808" i="2" s="1"/>
  <c r="BI1808" i="2" s="1"/>
  <c r="BB648" i="2"/>
  <c r="BC648" i="2" s="1"/>
  <c r="BI648" i="2" s="1"/>
  <c r="BB309" i="2"/>
  <c r="BC309" i="2" s="1"/>
  <c r="BI309" i="2" s="1"/>
  <c r="BB1840" i="2"/>
  <c r="BC1840" i="2" s="1"/>
  <c r="BI1840" i="2" s="1"/>
  <c r="BB2386" i="2"/>
  <c r="BC2386" i="2" s="1"/>
  <c r="BI2386" i="2" s="1"/>
  <c r="BB2040" i="2"/>
  <c r="BC2040" i="2" s="1"/>
  <c r="BI2040" i="2" s="1"/>
  <c r="BB1575" i="2"/>
  <c r="BC1575" i="2" s="1"/>
  <c r="BI1575" i="2" s="1"/>
  <c r="BB528" i="2"/>
  <c r="BC528" i="2" s="1"/>
  <c r="BI528" i="2" s="1"/>
  <c r="BB1518" i="2"/>
  <c r="BC1518" i="2" s="1"/>
  <c r="BI1518" i="2" s="1"/>
  <c r="BB2381" i="2"/>
  <c r="BC2381" i="2" s="1"/>
  <c r="BI2381" i="2" s="1"/>
  <c r="BB1114" i="2"/>
  <c r="BC1114" i="2" s="1"/>
  <c r="BI1114" i="2" s="1"/>
  <c r="BB541" i="2"/>
  <c r="BC541" i="2" s="1"/>
  <c r="BI541" i="2" s="1"/>
  <c r="BB1512" i="2"/>
  <c r="BC1512" i="2" s="1"/>
  <c r="BI1512" i="2" s="1"/>
  <c r="BB300" i="2"/>
  <c r="BC300" i="2" s="1"/>
  <c r="BI300" i="2" s="1"/>
  <c r="BB319" i="2"/>
  <c r="BC319" i="2" s="1"/>
  <c r="BI319" i="2" s="1"/>
  <c r="BB1265" i="2"/>
  <c r="BC1265" i="2" s="1"/>
  <c r="BI1265" i="2" s="1"/>
  <c r="BB706" i="2"/>
  <c r="BC706" i="2" s="1"/>
  <c r="BI706" i="2" s="1"/>
  <c r="BB642" i="2"/>
  <c r="BC642" i="2" s="1"/>
  <c r="BI642" i="2" s="1"/>
  <c r="BB355" i="2"/>
  <c r="BC355" i="2" s="1"/>
  <c r="BI355" i="2" s="1"/>
  <c r="BB2484" i="2"/>
  <c r="BC2484" i="2" s="1"/>
  <c r="BI2484" i="2" s="1"/>
  <c r="BB2100" i="2"/>
  <c r="BC2100" i="2" s="1"/>
  <c r="BI2100" i="2" s="1"/>
  <c r="BB537" i="2"/>
  <c r="BC537" i="2" s="1"/>
  <c r="BI537" i="2" s="1"/>
  <c r="BB1179" i="2"/>
  <c r="BC1179" i="2" s="1"/>
  <c r="BI1179" i="2" s="1"/>
  <c r="BB2460" i="2"/>
  <c r="BC2460" i="2" s="1"/>
  <c r="BI2460" i="2" s="1"/>
  <c r="BB777" i="2"/>
  <c r="BC777" i="2" s="1"/>
  <c r="BI777" i="2" s="1"/>
  <c r="BB2203" i="2"/>
  <c r="BC2203" i="2" s="1"/>
  <c r="BI2203" i="2" s="1"/>
  <c r="BB2193" i="2"/>
  <c r="BC2193" i="2" s="1"/>
  <c r="BI2193" i="2" s="1"/>
  <c r="BB1507" i="2"/>
  <c r="BC1507" i="2" s="1"/>
  <c r="BI1507" i="2" s="1"/>
  <c r="BB845" i="2"/>
  <c r="BC845" i="2" s="1"/>
  <c r="BI845" i="2" s="1"/>
  <c r="BB1621" i="2"/>
  <c r="BC1621" i="2" s="1"/>
  <c r="BI1621" i="2" s="1"/>
  <c r="BB1070" i="2"/>
  <c r="BC1070" i="2" s="1"/>
  <c r="BI1070" i="2" s="1"/>
  <c r="H61" i="4"/>
  <c r="BB61" i="2"/>
  <c r="BC61" i="2" s="1"/>
  <c r="BI61" i="2" s="1"/>
  <c r="BB2468" i="2"/>
  <c r="BC2468" i="2" s="1"/>
  <c r="BI2468" i="2" s="1"/>
  <c r="BB2380" i="2"/>
  <c r="BC2380" i="2" s="1"/>
  <c r="BI2380" i="2" s="1"/>
  <c r="BB1291" i="2"/>
  <c r="BC1291" i="2" s="1"/>
  <c r="BI1291" i="2" s="1"/>
  <c r="BB469" i="2"/>
  <c r="BC469" i="2" s="1"/>
  <c r="BI469" i="2" s="1"/>
  <c r="BB1178" i="2"/>
  <c r="BC1178" i="2" s="1"/>
  <c r="BI1178" i="2" s="1"/>
  <c r="H7" i="4"/>
  <c r="BB7" i="2"/>
  <c r="BC7" i="2" s="1"/>
  <c r="BI7" i="2" s="1"/>
  <c r="BB1485" i="2"/>
  <c r="BC1485" i="2" s="1"/>
  <c r="BI1485" i="2" s="1"/>
  <c r="BB1284" i="2"/>
  <c r="BC1284" i="2" s="1"/>
  <c r="BI1284" i="2" s="1"/>
  <c r="BB1607" i="2"/>
  <c r="BC1607" i="2" s="1"/>
  <c r="BI1607" i="2" s="1"/>
  <c r="BB862" i="2"/>
  <c r="BC862" i="2" s="1"/>
  <c r="BI862" i="2" s="1"/>
  <c r="BB1784" i="2"/>
  <c r="BC1784" i="2" s="1"/>
  <c r="BI1784" i="2" s="1"/>
  <c r="BB631" i="2"/>
  <c r="BC631" i="2" s="1"/>
  <c r="BI631" i="2" s="1"/>
  <c r="BB1071" i="2"/>
  <c r="BC1071" i="2" s="1"/>
  <c r="BI1071" i="2" s="1"/>
  <c r="BB587" i="2"/>
  <c r="BC587" i="2" s="1"/>
  <c r="BI587" i="2" s="1"/>
  <c r="BB2117" i="2"/>
  <c r="BC2117" i="2" s="1"/>
  <c r="BI2117" i="2" s="1"/>
  <c r="BB1204" i="2"/>
  <c r="BC1204" i="2" s="1"/>
  <c r="BI1204" i="2" s="1"/>
  <c r="BB2016" i="2"/>
  <c r="BC2016" i="2" s="1"/>
  <c r="BI2016" i="2" s="1"/>
  <c r="BB701" i="2"/>
  <c r="BC701" i="2" s="1"/>
  <c r="BI701" i="2" s="1"/>
  <c r="BB693" i="2"/>
  <c r="BC693" i="2" s="1"/>
  <c r="BI693" i="2" s="1"/>
  <c r="BB1363" i="2"/>
  <c r="BC1363" i="2" s="1"/>
  <c r="BI1363" i="2" s="1"/>
  <c r="BB1937" i="2"/>
  <c r="BC1937" i="2" s="1"/>
  <c r="BI1937" i="2" s="1"/>
  <c r="BB1615" i="2"/>
  <c r="BC1615" i="2" s="1"/>
  <c r="BI1615" i="2" s="1"/>
  <c r="BB2074" i="2"/>
  <c r="BC2074" i="2" s="1"/>
  <c r="BI2074" i="2" s="1"/>
  <c r="BB1312" i="2"/>
  <c r="BC1312" i="2" s="1"/>
  <c r="BI1312" i="2" s="1"/>
  <c r="BB2421" i="2"/>
  <c r="BC2421" i="2" s="1"/>
  <c r="BI2421" i="2" s="1"/>
  <c r="H99" i="4"/>
  <c r="BB99" i="2"/>
  <c r="BC99" i="2" s="1"/>
  <c r="BI99" i="2" s="1"/>
  <c r="H134" i="4"/>
  <c r="BB134" i="2"/>
  <c r="BC134" i="2" s="1"/>
  <c r="BI134" i="2" s="1"/>
  <c r="H42" i="4"/>
  <c r="BB42" i="2"/>
  <c r="BC42" i="2" s="1"/>
  <c r="BI42" i="2" s="1"/>
  <c r="BB1140" i="2"/>
  <c r="BC1140" i="2" s="1"/>
  <c r="BI1140" i="2" s="1"/>
  <c r="BB1367" i="2"/>
  <c r="BC1367" i="2" s="1"/>
  <c r="BI1367" i="2" s="1"/>
  <c r="BB879" i="2"/>
  <c r="BC879" i="2" s="1"/>
  <c r="BI879" i="2" s="1"/>
  <c r="BB263" i="2"/>
  <c r="BC263" i="2" s="1"/>
  <c r="BI263" i="2" s="1"/>
  <c r="BB1871" i="2"/>
  <c r="BC1871" i="2" s="1"/>
  <c r="BI1871" i="2" s="1"/>
  <c r="BB241" i="2"/>
  <c r="BC241" i="2" s="1"/>
  <c r="BI241" i="2" s="1"/>
  <c r="BB975" i="2"/>
  <c r="BC975" i="2" s="1"/>
  <c r="BI975" i="2" s="1"/>
  <c r="BB1646" i="2"/>
  <c r="BC1646" i="2" s="1"/>
  <c r="BI1646" i="2" s="1"/>
  <c r="BB2194" i="2"/>
  <c r="BC2194" i="2" s="1"/>
  <c r="BI2194" i="2" s="1"/>
  <c r="BB2159" i="2"/>
  <c r="BC2159" i="2" s="1"/>
  <c r="BI2159" i="2" s="1"/>
  <c r="BB1870" i="2"/>
  <c r="BC1870" i="2" s="1"/>
  <c r="BI1870" i="2" s="1"/>
  <c r="H162" i="4"/>
  <c r="BB162" i="2"/>
  <c r="BC162" i="2" s="1"/>
  <c r="BI162" i="2" s="1"/>
  <c r="BB374" i="2"/>
  <c r="BC374" i="2" s="1"/>
  <c r="BI374" i="2" s="1"/>
  <c r="BB1535" i="2"/>
  <c r="BC1535" i="2" s="1"/>
  <c r="BI1535" i="2" s="1"/>
  <c r="BB2083" i="2"/>
  <c r="BC2083" i="2" s="1"/>
  <c r="BI2083" i="2" s="1"/>
  <c r="BB2217" i="2"/>
  <c r="BC2217" i="2" s="1"/>
  <c r="BI2217" i="2" s="1"/>
  <c r="BB2351" i="2"/>
  <c r="BC2351" i="2" s="1"/>
  <c r="BI2351" i="2" s="1"/>
  <c r="BB1849" i="2"/>
  <c r="BC1849" i="2" s="1"/>
  <c r="BI1849" i="2" s="1"/>
  <c r="BB1939" i="2"/>
  <c r="BC1939" i="2" s="1"/>
  <c r="BI1939" i="2" s="1"/>
  <c r="BB2360" i="2"/>
  <c r="BC2360" i="2" s="1"/>
  <c r="BI2360" i="2" s="1"/>
  <c r="BB1859" i="2"/>
  <c r="BC1859" i="2" s="1"/>
  <c r="BI1859" i="2" s="1"/>
  <c r="BB1004" i="2"/>
  <c r="BC1004" i="2" s="1"/>
  <c r="BI1004" i="2" s="1"/>
  <c r="BB1677" i="2"/>
  <c r="BC1677" i="2" s="1"/>
  <c r="BI1677" i="2" s="1"/>
  <c r="BB920" i="2"/>
  <c r="BC920" i="2" s="1"/>
  <c r="BI920" i="2" s="1"/>
  <c r="BB2197" i="2"/>
  <c r="BC2197" i="2" s="1"/>
  <c r="BI2197" i="2" s="1"/>
  <c r="BB2295" i="2"/>
  <c r="BC2295" i="2" s="1"/>
  <c r="BI2295" i="2" s="1"/>
  <c r="BB2489" i="2"/>
  <c r="BC2489" i="2" s="1"/>
  <c r="BI2489" i="2" s="1"/>
  <c r="BB1298" i="2"/>
  <c r="BC1298" i="2" s="1"/>
  <c r="BI1298" i="2" s="1"/>
  <c r="BB2354" i="2"/>
  <c r="BC2354" i="2" s="1"/>
  <c r="BI2354" i="2" s="1"/>
  <c r="BB2066" i="2"/>
  <c r="BC2066" i="2" s="1"/>
  <c r="BI2066" i="2" s="1"/>
  <c r="BB1089" i="2"/>
  <c r="BC1089" i="2" s="1"/>
  <c r="BI1089" i="2" s="1"/>
  <c r="BB2096" i="2"/>
  <c r="BC2096" i="2" s="1"/>
  <c r="BI2096" i="2" s="1"/>
  <c r="BB1522" i="2"/>
  <c r="BC1522" i="2" s="1"/>
  <c r="BI1522" i="2" s="1"/>
  <c r="BB2389" i="2"/>
  <c r="BC2389" i="2" s="1"/>
  <c r="BI2389" i="2" s="1"/>
  <c r="BB1662" i="2"/>
  <c r="BC1662" i="2" s="1"/>
  <c r="BI1662" i="2" s="1"/>
  <c r="BB1208" i="2"/>
  <c r="BC1208" i="2" s="1"/>
  <c r="BI1208" i="2" s="1"/>
  <c r="BB2483" i="2"/>
  <c r="BC2483" i="2" s="1"/>
  <c r="BI2483" i="2" s="1"/>
  <c r="BB1394" i="2"/>
  <c r="BC1394" i="2" s="1"/>
  <c r="BI1394" i="2" s="1"/>
  <c r="BB2462" i="2"/>
  <c r="BC2462" i="2" s="1"/>
  <c r="BI2462" i="2" s="1"/>
  <c r="BB694" i="2"/>
  <c r="BC694" i="2" s="1"/>
  <c r="BI694" i="2" s="1"/>
  <c r="BB630" i="2"/>
  <c r="BC630" i="2" s="1"/>
  <c r="BI630" i="2" s="1"/>
  <c r="BB1429" i="2"/>
  <c r="BC1429" i="2" s="1"/>
  <c r="BI1429" i="2" s="1"/>
  <c r="BB695" i="2"/>
  <c r="BC695" i="2" s="1"/>
  <c r="BI695" i="2" s="1"/>
  <c r="BB1348" i="2"/>
  <c r="BC1348" i="2" s="1"/>
  <c r="BI1348" i="2" s="1"/>
  <c r="BB1668" i="2"/>
  <c r="BC1668" i="2" s="1"/>
  <c r="BI1668" i="2" s="1"/>
  <c r="BB730" i="2"/>
  <c r="BC730" i="2" s="1"/>
  <c r="BI730" i="2" s="1"/>
  <c r="BB1404" i="2"/>
  <c r="BC1404" i="2" s="1"/>
  <c r="BI1404" i="2" s="1"/>
  <c r="BB749" i="2"/>
  <c r="BC749" i="2" s="1"/>
  <c r="BI749" i="2" s="1"/>
  <c r="BB1804" i="2"/>
  <c r="BC1804" i="2" s="1"/>
  <c r="BI1804" i="2" s="1"/>
  <c r="BB1078" i="2"/>
  <c r="BC1078" i="2" s="1"/>
  <c r="BI1078" i="2" s="1"/>
  <c r="BB795" i="2"/>
  <c r="BC795" i="2" s="1"/>
  <c r="BI795" i="2" s="1"/>
  <c r="H93" i="4"/>
  <c r="BB93" i="2"/>
  <c r="BC93" i="2" s="1"/>
  <c r="BI93" i="2" s="1"/>
  <c r="BB2223" i="2"/>
  <c r="BC2223" i="2" s="1"/>
  <c r="BI2223" i="2" s="1"/>
  <c r="BB760" i="2"/>
  <c r="BC760" i="2" s="1"/>
  <c r="BI760" i="2" s="1"/>
  <c r="BB1342" i="2"/>
  <c r="BC1342" i="2" s="1"/>
  <c r="BI1342" i="2" s="1"/>
  <c r="BB1157" i="2"/>
  <c r="BC1157" i="2" s="1"/>
  <c r="BI1157" i="2" s="1"/>
  <c r="BB1562" i="2"/>
  <c r="BC1562" i="2" s="1"/>
  <c r="BI1562" i="2" s="1"/>
  <c r="BB516" i="2"/>
  <c r="BC516" i="2" s="1"/>
  <c r="BI516" i="2" s="1"/>
  <c r="BB321" i="2"/>
  <c r="BC321" i="2" s="1"/>
  <c r="BI321" i="2" s="1"/>
  <c r="BB485" i="2"/>
  <c r="BC485" i="2" s="1"/>
  <c r="BI485" i="2" s="1"/>
  <c r="H39" i="4"/>
  <c r="BB39" i="2"/>
  <c r="BC39" i="2" s="1"/>
  <c r="BI39" i="2" s="1"/>
  <c r="BB2219" i="2"/>
  <c r="BC2219" i="2" s="1"/>
  <c r="BI2219" i="2" s="1"/>
  <c r="BB597" i="2"/>
  <c r="BC597" i="2" s="1"/>
  <c r="BI597" i="2" s="1"/>
  <c r="BB565" i="2"/>
  <c r="BC565" i="2" s="1"/>
  <c r="BI565" i="2" s="1"/>
  <c r="BB2119" i="2"/>
  <c r="BC2119" i="2" s="1"/>
  <c r="BI2119" i="2" s="1"/>
  <c r="H143" i="4"/>
  <c r="BB143" i="2"/>
  <c r="BC143" i="2" s="1"/>
  <c r="BI143" i="2" s="1"/>
  <c r="BB1972" i="2"/>
  <c r="BC1972" i="2" s="1"/>
  <c r="BI1972" i="2" s="1"/>
  <c r="BB302" i="2"/>
  <c r="BC302" i="2" s="1"/>
  <c r="BI302" i="2" s="1"/>
  <c r="BB1131" i="2"/>
  <c r="BC1131" i="2" s="1"/>
  <c r="BI1131" i="2" s="1"/>
  <c r="BB719" i="2"/>
  <c r="BC719" i="2" s="1"/>
  <c r="BI719" i="2" s="1"/>
  <c r="BB1814" i="2"/>
  <c r="BC1814" i="2" s="1"/>
  <c r="BI1814" i="2" s="1"/>
  <c r="BB2087" i="2"/>
  <c r="BC2087" i="2" s="1"/>
  <c r="BI2087" i="2" s="1"/>
  <c r="H185" i="4"/>
  <c r="BB185" i="2"/>
  <c r="BC185" i="2" s="1"/>
  <c r="BI185" i="2" s="1"/>
  <c r="BB352" i="2"/>
  <c r="BC352" i="2" s="1"/>
  <c r="BI352" i="2" s="1"/>
  <c r="BB1251" i="2"/>
  <c r="BC1251" i="2" s="1"/>
  <c r="BI1251" i="2" s="1"/>
  <c r="BB2433" i="2"/>
  <c r="BC2433" i="2" s="1"/>
  <c r="BI2433" i="2" s="1"/>
  <c r="BB339" i="2"/>
  <c r="BC339" i="2" s="1"/>
  <c r="BI339" i="2" s="1"/>
  <c r="BB2395" i="2"/>
  <c r="BC2395" i="2" s="1"/>
  <c r="BI2395" i="2" s="1"/>
  <c r="BB1649" i="2"/>
  <c r="BC1649" i="2" s="1"/>
  <c r="BI1649" i="2" s="1"/>
  <c r="BB1052" i="2"/>
  <c r="BC1052" i="2" s="1"/>
  <c r="BI1052" i="2" s="1"/>
  <c r="BB532" i="2"/>
  <c r="BC532" i="2" s="1"/>
  <c r="BI532" i="2" s="1"/>
  <c r="BB488" i="2"/>
  <c r="BC488" i="2" s="1"/>
  <c r="BI488" i="2" s="1"/>
  <c r="BB1409" i="2"/>
  <c r="BC1409" i="2" s="1"/>
  <c r="BI1409" i="2" s="1"/>
  <c r="BB1530" i="2"/>
  <c r="BC1530" i="2" s="1"/>
  <c r="BI1530" i="2" s="1"/>
  <c r="BB1860" i="2"/>
  <c r="BC1860" i="2" s="1"/>
  <c r="BI1860" i="2" s="1"/>
  <c r="BB831" i="2"/>
  <c r="BC831" i="2" s="1"/>
  <c r="BI831" i="2" s="1"/>
  <c r="BB1415" i="2"/>
  <c r="BC1415" i="2" s="1"/>
  <c r="BI1415" i="2" s="1"/>
  <c r="BB1751" i="2"/>
  <c r="BC1751" i="2" s="1"/>
  <c r="BI1751" i="2" s="1"/>
  <c r="BB1669" i="2"/>
  <c r="BC1669" i="2" s="1"/>
  <c r="BI1669" i="2" s="1"/>
  <c r="H79" i="4"/>
  <c r="BB79" i="2"/>
  <c r="BC79" i="2" s="1"/>
  <c r="BI79" i="2" s="1"/>
  <c r="BB618" i="2"/>
  <c r="BC618" i="2" s="1"/>
  <c r="BI618" i="2" s="1"/>
  <c r="BB586" i="2"/>
  <c r="BC586" i="2" s="1"/>
  <c r="BI586" i="2" s="1"/>
  <c r="BB910" i="2"/>
  <c r="BC910" i="2" s="1"/>
  <c r="BI910" i="2" s="1"/>
  <c r="BB1943" i="2"/>
  <c r="BC1943" i="2" s="1"/>
  <c r="BI1943" i="2" s="1"/>
  <c r="BB1818" i="2"/>
  <c r="BC1818" i="2" s="1"/>
  <c r="BI1818" i="2" s="1"/>
  <c r="BB1022" i="2"/>
  <c r="BC1022" i="2" s="1"/>
  <c r="BI1022" i="2" s="1"/>
  <c r="BB958" i="2"/>
  <c r="BC958" i="2" s="1"/>
  <c r="BI958" i="2" s="1"/>
  <c r="BB2329" i="2"/>
  <c r="BC2329" i="2" s="1"/>
  <c r="BI2329" i="2" s="1"/>
  <c r="BB2249" i="2"/>
  <c r="BC2249" i="2" s="1"/>
  <c r="BI2249" i="2" s="1"/>
  <c r="BB1499" i="2"/>
  <c r="BC1499" i="2" s="1"/>
  <c r="BI1499" i="2" s="1"/>
  <c r="H94" i="4"/>
  <c r="BB94" i="2"/>
  <c r="BC94" i="2" s="1"/>
  <c r="BI94" i="2" s="1"/>
  <c r="BB2171" i="2"/>
  <c r="BC2171" i="2" s="1"/>
  <c r="BI2171" i="2" s="1"/>
  <c r="BB1033" i="2"/>
  <c r="BC1033" i="2" s="1"/>
  <c r="BI1033" i="2" s="1"/>
  <c r="BB1001" i="2"/>
  <c r="BC1001" i="2" s="1"/>
  <c r="BI1001" i="2" s="1"/>
  <c r="BB969" i="2"/>
  <c r="BC969" i="2" s="1"/>
  <c r="BI969" i="2" s="1"/>
  <c r="BB937" i="2"/>
  <c r="BC937" i="2" s="1"/>
  <c r="BI937" i="2" s="1"/>
  <c r="BB1955" i="2"/>
  <c r="BC1955" i="2" s="1"/>
  <c r="BI1955" i="2" s="1"/>
  <c r="H191" i="4"/>
  <c r="BB191" i="2"/>
  <c r="BC191" i="2" s="1"/>
  <c r="BI191" i="2" s="1"/>
  <c r="BB499" i="2"/>
  <c r="BC499" i="2" s="1"/>
  <c r="BI499" i="2" s="1"/>
  <c r="H173" i="4"/>
  <c r="BB173" i="2"/>
  <c r="BC173" i="2" s="1"/>
  <c r="BI173" i="2" s="1"/>
  <c r="BB2415" i="2"/>
  <c r="BC2415" i="2" s="1"/>
  <c r="BI2415" i="2" s="1"/>
  <c r="BB1928" i="2"/>
  <c r="BC1928" i="2" s="1"/>
  <c r="BI1928" i="2" s="1"/>
  <c r="BB427" i="2"/>
  <c r="BC427" i="2" s="1"/>
  <c r="BI427" i="2" s="1"/>
  <c r="BB1820" i="2"/>
  <c r="BC1820" i="2" s="1"/>
  <c r="BI1820" i="2" s="1"/>
  <c r="BB489" i="2"/>
  <c r="BC489" i="2" s="1"/>
  <c r="BI489" i="2" s="1"/>
  <c r="BB1728" i="2"/>
  <c r="BC1728" i="2" s="1"/>
  <c r="BI1728" i="2" s="1"/>
  <c r="BB2010" i="2"/>
  <c r="BC2010" i="2" s="1"/>
  <c r="BI2010" i="2" s="1"/>
  <c r="BB1938" i="2"/>
  <c r="BC1938" i="2" s="1"/>
  <c r="BI1938" i="2" s="1"/>
  <c r="BB1874" i="2"/>
  <c r="BC1874" i="2" s="1"/>
  <c r="BI1874" i="2" s="1"/>
  <c r="BB1261" i="2"/>
  <c r="BC1261" i="2" s="1"/>
  <c r="BI1261" i="2" s="1"/>
  <c r="BB2185" i="2"/>
  <c r="BC2185" i="2" s="1"/>
  <c r="BI2185" i="2" s="1"/>
  <c r="BB2307" i="2"/>
  <c r="BC2307" i="2" s="1"/>
  <c r="BI2307" i="2" s="1"/>
  <c r="BB1997" i="2"/>
  <c r="BC1997" i="2" s="1"/>
  <c r="BI1997" i="2" s="1"/>
  <c r="BB400" i="2"/>
  <c r="BC400" i="2" s="1"/>
  <c r="BI400" i="2" s="1"/>
  <c r="BB550" i="2"/>
  <c r="BC550" i="2" s="1"/>
  <c r="BI550" i="2" s="1"/>
  <c r="BB1372" i="2"/>
  <c r="BC1372" i="2" s="1"/>
  <c r="BI1372" i="2" s="1"/>
  <c r="BB2026" i="2"/>
  <c r="BC2026" i="2" s="1"/>
  <c r="BI2026" i="2" s="1"/>
  <c r="BB1521" i="2"/>
  <c r="BC1521" i="2" s="1"/>
  <c r="BI1521" i="2" s="1"/>
  <c r="BB1468" i="2"/>
  <c r="BC1468" i="2" s="1"/>
  <c r="BI1468" i="2" s="1"/>
  <c r="H98" i="4"/>
  <c r="BB98" i="2"/>
  <c r="BC98" i="2" s="1"/>
  <c r="BI98" i="2" s="1"/>
  <c r="BB1959" i="2"/>
  <c r="BC1959" i="2" s="1"/>
  <c r="BI1959" i="2" s="1"/>
  <c r="BB438" i="2"/>
  <c r="BC438" i="2" s="1"/>
  <c r="BI438" i="2" s="1"/>
  <c r="BB207" i="2"/>
  <c r="BC207" i="2" s="1"/>
  <c r="BI207" i="2" s="1"/>
  <c r="H158" i="4"/>
  <c r="BB158" i="2"/>
  <c r="BC158" i="2" s="1"/>
  <c r="BI158" i="2" s="1"/>
  <c r="BB743" i="2"/>
  <c r="BC743" i="2" s="1"/>
  <c r="BI743" i="2" s="1"/>
  <c r="BB2245" i="2"/>
  <c r="BC2245" i="2" s="1"/>
  <c r="BI2245" i="2" s="1"/>
  <c r="BB829" i="2"/>
  <c r="BC829" i="2" s="1"/>
  <c r="BI829" i="2" s="1"/>
  <c r="BB441" i="2"/>
  <c r="BC441" i="2" s="1"/>
  <c r="BI441" i="2" s="1"/>
  <c r="BB2391" i="2"/>
  <c r="BC2391" i="2" s="1"/>
  <c r="BI2391" i="2" s="1"/>
  <c r="BB1328" i="2"/>
  <c r="BC1328" i="2" s="1"/>
  <c r="BI1328" i="2" s="1"/>
  <c r="BB2167" i="2"/>
  <c r="BC2167" i="2" s="1"/>
  <c r="BI2167" i="2" s="1"/>
  <c r="BB1788" i="2"/>
  <c r="BC1788" i="2" s="1"/>
  <c r="BI1788" i="2" s="1"/>
  <c r="BB323" i="2"/>
  <c r="BC323" i="2" s="1"/>
  <c r="BI323" i="2" s="1"/>
  <c r="BB2439" i="2"/>
  <c r="BC2439" i="2" s="1"/>
  <c r="BI2439" i="2" s="1"/>
  <c r="H65" i="4"/>
  <c r="BB65" i="2"/>
  <c r="BC65" i="2" s="1"/>
  <c r="BI65" i="2" s="1"/>
  <c r="BB1248" i="2"/>
  <c r="BC1248" i="2" s="1"/>
  <c r="BI1248" i="2" s="1"/>
  <c r="BB2361" i="2"/>
  <c r="BC2361" i="2" s="1"/>
  <c r="BI2361" i="2" s="1"/>
  <c r="BB882" i="2"/>
  <c r="BC882" i="2" s="1"/>
  <c r="BI882" i="2" s="1"/>
  <c r="H195" i="4"/>
  <c r="BB195" i="2"/>
  <c r="BC195" i="2" s="1"/>
  <c r="BI195" i="2" s="1"/>
  <c r="BB1624" i="2"/>
  <c r="BC1624" i="2" s="1"/>
  <c r="BI1624" i="2" s="1"/>
  <c r="H107" i="4"/>
  <c r="BB107" i="2"/>
  <c r="BC107" i="2" s="1"/>
  <c r="BI107" i="2" s="1"/>
  <c r="BB1156" i="2"/>
  <c r="BC1156" i="2" s="1"/>
  <c r="BI1156" i="2" s="1"/>
  <c r="BB2298" i="2"/>
  <c r="BC2298" i="2" s="1"/>
  <c r="BI2298" i="2" s="1"/>
  <c r="BB2234" i="2"/>
  <c r="BC2234" i="2" s="1"/>
  <c r="BI2234" i="2" s="1"/>
  <c r="BB1324" i="2"/>
  <c r="BC1324" i="2" s="1"/>
  <c r="BI1324" i="2" s="1"/>
  <c r="BB1056" i="2"/>
  <c r="BC1056" i="2" s="1"/>
  <c r="BI1056" i="2" s="1"/>
  <c r="BB510" i="2"/>
  <c r="BC510" i="2" s="1"/>
  <c r="BI510" i="2" s="1"/>
  <c r="BB2107" i="2"/>
  <c r="BC2107" i="2" s="1"/>
  <c r="BI2107" i="2" s="1"/>
  <c r="BB1686" i="2"/>
  <c r="BC1686" i="2" s="1"/>
  <c r="BI1686" i="2" s="1"/>
  <c r="BB283" i="2"/>
  <c r="BC283" i="2" s="1"/>
  <c r="BI283" i="2" s="1"/>
  <c r="BB2296" i="2"/>
  <c r="BC2296" i="2" s="1"/>
  <c r="BI2296" i="2" s="1"/>
  <c r="BB2232" i="2"/>
  <c r="BC2232" i="2" s="1"/>
  <c r="BI2232" i="2" s="1"/>
  <c r="H35" i="4"/>
  <c r="BB35" i="2"/>
  <c r="BC35" i="2" s="1"/>
  <c r="BI35" i="2" s="1"/>
  <c r="BB1099" i="2"/>
  <c r="BC1099" i="2" s="1"/>
  <c r="BI1099" i="2" s="1"/>
  <c r="BB2479" i="2"/>
  <c r="BC2479" i="2" s="1"/>
  <c r="BI2479" i="2" s="1"/>
  <c r="BB509" i="2"/>
  <c r="BC509" i="2" s="1"/>
  <c r="BI509" i="2" s="1"/>
  <c r="BB753" i="2"/>
  <c r="BC753" i="2" s="1"/>
  <c r="BI753" i="2" s="1"/>
  <c r="BB1024" i="2"/>
  <c r="BC1024" i="2" s="1"/>
  <c r="BI1024" i="2" s="1"/>
  <c r="BB960" i="2"/>
  <c r="BC960" i="2" s="1"/>
  <c r="BI960" i="2" s="1"/>
  <c r="BB635" i="2"/>
  <c r="BC635" i="2" s="1"/>
  <c r="BI635" i="2" s="1"/>
  <c r="H72" i="4"/>
  <c r="BB72" i="2"/>
  <c r="BC72" i="2" s="1"/>
  <c r="BI72" i="2" s="1"/>
  <c r="H41" i="4"/>
  <c r="BB41" i="2"/>
  <c r="BC41" i="2" s="1"/>
  <c r="BI41" i="2" s="1"/>
  <c r="BB668" i="2"/>
  <c r="BC668" i="2" s="1"/>
  <c r="BI668" i="2" s="1"/>
  <c r="BB2497" i="2"/>
  <c r="BC2497" i="2" s="1"/>
  <c r="BI2497" i="2" s="1"/>
  <c r="BB2366" i="2"/>
  <c r="BC2366" i="2" s="1"/>
  <c r="BI2366" i="2" s="1"/>
  <c r="BB1213" i="2"/>
  <c r="BC1213" i="2" s="1"/>
  <c r="BI1213" i="2" s="1"/>
  <c r="BB1370" i="2"/>
  <c r="BC1370" i="2" s="1"/>
  <c r="BI1370" i="2" s="1"/>
  <c r="BB896" i="2"/>
  <c r="BC896" i="2" s="1"/>
  <c r="BI896" i="2" s="1"/>
  <c r="BB1594" i="2"/>
  <c r="BC1594" i="2" s="1"/>
  <c r="BI1594" i="2" s="1"/>
  <c r="BB2146" i="2"/>
  <c r="BC2146" i="2" s="1"/>
  <c r="BI2146" i="2" s="1"/>
  <c r="BB1373" i="2"/>
  <c r="BC1373" i="2" s="1"/>
  <c r="BI1373" i="2" s="1"/>
  <c r="H91" i="4"/>
  <c r="BB91" i="2"/>
  <c r="BC91" i="2" s="1"/>
  <c r="BI91" i="2" s="1"/>
  <c r="BB2379" i="2"/>
  <c r="BC2379" i="2" s="1"/>
  <c r="BI2379" i="2" s="1"/>
  <c r="BB1351" i="2"/>
  <c r="BC1351" i="2" s="1"/>
  <c r="BI1351" i="2" s="1"/>
  <c r="BB1769" i="2"/>
  <c r="BC1769" i="2" s="1"/>
  <c r="BI1769" i="2" s="1"/>
  <c r="BB568" i="2"/>
  <c r="BC568" i="2" s="1"/>
  <c r="BI568" i="2" s="1"/>
  <c r="H31" i="4"/>
  <c r="BB31" i="2"/>
  <c r="BC31" i="2" s="1"/>
  <c r="BI31" i="2" s="1"/>
  <c r="BB2003" i="2"/>
  <c r="BC2003" i="2" s="1"/>
  <c r="BI2003" i="2" s="1"/>
  <c r="BB209" i="2"/>
  <c r="BC209" i="2" s="1"/>
  <c r="BI209" i="2" s="1"/>
  <c r="BB2491" i="2"/>
  <c r="BC2491" i="2" s="1"/>
  <c r="BI2491" i="2" s="1"/>
  <c r="BB2132" i="2"/>
  <c r="BC2132" i="2" s="1"/>
  <c r="BI2132" i="2" s="1"/>
  <c r="BB1023" i="2"/>
  <c r="BC1023" i="2" s="1"/>
  <c r="BI1023" i="2" s="1"/>
  <c r="BB1427" i="2"/>
  <c r="BC1427" i="2" s="1"/>
  <c r="BI1427" i="2" s="1"/>
  <c r="BB673" i="2"/>
  <c r="BC673" i="2" s="1"/>
  <c r="BI673" i="2" s="1"/>
  <c r="BB1845" i="2"/>
  <c r="BC1845" i="2" s="1"/>
  <c r="BI1845" i="2" s="1"/>
  <c r="BB1990" i="2"/>
  <c r="BC1990" i="2" s="1"/>
  <c r="BI1990" i="2" s="1"/>
  <c r="BB790" i="2"/>
  <c r="BC790" i="2" s="1"/>
  <c r="BI790" i="2" s="1"/>
  <c r="H14" i="4"/>
  <c r="BB14" i="2"/>
  <c r="BC14" i="2" s="1"/>
  <c r="BI14" i="2" s="1"/>
  <c r="BB1702" i="2"/>
  <c r="BC1702" i="2" s="1"/>
  <c r="BI1702" i="2" s="1"/>
  <c r="BB2237" i="2"/>
  <c r="BC2237" i="2" s="1"/>
  <c r="BI2237" i="2" s="1"/>
  <c r="BB797" i="2"/>
  <c r="BC797" i="2" s="1"/>
  <c r="BI797" i="2" s="1"/>
  <c r="BB1150" i="2"/>
  <c r="BC1150" i="2" s="1"/>
  <c r="BI1150" i="2" s="1"/>
  <c r="BB2114" i="2"/>
  <c r="BC2114" i="2" s="1"/>
  <c r="BI2114" i="2" s="1"/>
  <c r="BB866" i="2"/>
  <c r="BC866" i="2" s="1"/>
  <c r="BI866" i="2" s="1"/>
  <c r="BB1515" i="2"/>
  <c r="BC1515" i="2" s="1"/>
  <c r="BI1515" i="2" s="1"/>
  <c r="BB2230" i="2"/>
  <c r="BC2230" i="2" s="1"/>
  <c r="BI2230" i="2" s="1"/>
  <c r="BB2434" i="2"/>
  <c r="BC2434" i="2" s="1"/>
  <c r="BI2434" i="2" s="1"/>
  <c r="BB1080" i="2"/>
  <c r="BC1080" i="2" s="1"/>
  <c r="BI1080" i="2" s="1"/>
  <c r="BB2260" i="2"/>
  <c r="BC2260" i="2" s="1"/>
  <c r="BI2260" i="2" s="1"/>
  <c r="BB1020" i="2"/>
  <c r="BC1020" i="2" s="1"/>
  <c r="BI1020" i="2" s="1"/>
  <c r="BB1552" i="2"/>
  <c r="BC1552" i="2" s="1"/>
  <c r="BI1552" i="2" s="1"/>
  <c r="BB1069" i="2"/>
  <c r="BC1069" i="2" s="1"/>
  <c r="BI1069" i="2" s="1"/>
  <c r="BB2358" i="2"/>
  <c r="BC2358" i="2" s="1"/>
  <c r="BI2358" i="2" s="1"/>
  <c r="BB2322" i="2"/>
  <c r="BC2322" i="2" s="1"/>
  <c r="BI2322" i="2" s="1"/>
  <c r="BB2192" i="2"/>
  <c r="BC2192" i="2" s="1"/>
  <c r="BI2192" i="2" s="1"/>
  <c r="BB2452" i="2"/>
  <c r="BC2452" i="2" s="1"/>
  <c r="BI2452" i="2" s="1"/>
  <c r="BB1474" i="2"/>
  <c r="BC1474" i="2" s="1"/>
  <c r="BI1474" i="2" s="1"/>
  <c r="BB687" i="2"/>
  <c r="BC687" i="2" s="1"/>
  <c r="BI687" i="2" s="1"/>
  <c r="BB1830" i="2"/>
  <c r="BC1830" i="2" s="1"/>
  <c r="BI1830" i="2" s="1"/>
  <c r="BB2418" i="2"/>
  <c r="BC2418" i="2" s="1"/>
  <c r="BI2418" i="2" s="1"/>
  <c r="BB1066" i="2"/>
  <c r="BC1066" i="2" s="1"/>
  <c r="BI1066" i="2" s="1"/>
  <c r="BB1430" i="2"/>
  <c r="BC1430" i="2" s="1"/>
  <c r="BI1430" i="2" s="1"/>
  <c r="BB1520" i="2"/>
  <c r="BC1520" i="2" s="1"/>
  <c r="BI1520" i="2" s="1"/>
  <c r="BB1730" i="2"/>
  <c r="BC1730" i="2" s="1"/>
  <c r="BI1730" i="2" s="1"/>
  <c r="BB2188" i="2"/>
  <c r="BC2188" i="2" s="1"/>
  <c r="BI2188" i="2" s="1"/>
  <c r="BB714" i="2"/>
  <c r="BC714" i="2" s="1"/>
  <c r="BI714" i="2" s="1"/>
  <c r="BB650" i="2"/>
  <c r="BC650" i="2" s="1"/>
  <c r="BI650" i="2" s="1"/>
  <c r="BB1344" i="2"/>
  <c r="BC1344" i="2" s="1"/>
  <c r="BI1344" i="2" s="1"/>
  <c r="BB2085" i="2"/>
  <c r="BC2085" i="2" s="1"/>
  <c r="BI2085" i="2" s="1"/>
  <c r="BB1451" i="2"/>
  <c r="BC1451" i="2" s="1"/>
  <c r="BI1451" i="2" s="1"/>
  <c r="BB296" i="2"/>
  <c r="BC296" i="2" s="1"/>
  <c r="BI296" i="2" s="1"/>
  <c r="BB262" i="2"/>
  <c r="BC262" i="2" s="1"/>
  <c r="BI262" i="2" s="1"/>
  <c r="BB223" i="2"/>
  <c r="BC223" i="2" s="1"/>
  <c r="BI223" i="2" s="1"/>
  <c r="BB781" i="2"/>
  <c r="BC781" i="2" s="1"/>
  <c r="BI781" i="2" s="1"/>
  <c r="BB1194" i="2"/>
  <c r="BC1194" i="2" s="1"/>
  <c r="BI1194" i="2" s="1"/>
  <c r="BB875" i="2"/>
  <c r="BC875" i="2" s="1"/>
  <c r="BI875" i="2" s="1"/>
  <c r="BB1797" i="2"/>
  <c r="BC1797" i="2" s="1"/>
  <c r="BI1797" i="2" s="1"/>
  <c r="BB1175" i="2"/>
  <c r="BC1175" i="2" s="1"/>
  <c r="BI1175" i="2" s="1"/>
  <c r="BB627" i="2"/>
  <c r="BC627" i="2" s="1"/>
  <c r="BI627" i="2" s="1"/>
  <c r="BB389" i="2"/>
  <c r="BC389" i="2" s="1"/>
  <c r="BI389" i="2" s="1"/>
  <c r="BB1643" i="2"/>
  <c r="BC1643" i="2" s="1"/>
  <c r="BI1643" i="2" s="1"/>
  <c r="BB830" i="2"/>
  <c r="BC830" i="2" s="1"/>
  <c r="BI830" i="2" s="1"/>
  <c r="BB2233" i="2"/>
  <c r="BC2233" i="2" s="1"/>
  <c r="BI2233" i="2" s="1"/>
  <c r="BB599" i="2"/>
  <c r="BC599" i="2" s="1"/>
  <c r="BI599" i="2" s="1"/>
  <c r="BB567" i="2"/>
  <c r="BC567" i="2" s="1"/>
  <c r="BI567" i="2" s="1"/>
  <c r="BB2121" i="2"/>
  <c r="BC2121" i="2" s="1"/>
  <c r="BI2121" i="2" s="1"/>
  <c r="BB1960" i="2"/>
  <c r="BC1960" i="2" s="1"/>
  <c r="BI1960" i="2" s="1"/>
  <c r="BB414" i="2"/>
  <c r="BC414" i="2" s="1"/>
  <c r="BI414" i="2" s="1"/>
  <c r="BB1475" i="2"/>
  <c r="BC1475" i="2" s="1"/>
  <c r="BI1475" i="2" s="1"/>
  <c r="BB1745" i="2"/>
  <c r="BC1745" i="2" s="1"/>
  <c r="BI1745" i="2" s="1"/>
  <c r="BB1598" i="2"/>
  <c r="BC1598" i="2" s="1"/>
  <c r="BI1598" i="2" s="1"/>
  <c r="BB836" i="2"/>
  <c r="BC836" i="2" s="1"/>
  <c r="BI836" i="2" s="1"/>
  <c r="BB536" i="2"/>
  <c r="BC536" i="2" s="1"/>
  <c r="BI536" i="2" s="1"/>
  <c r="BB384" i="2"/>
  <c r="BC384" i="2" s="1"/>
  <c r="BI384" i="2" s="1"/>
  <c r="BB1421" i="2"/>
  <c r="BC1421" i="2" s="1"/>
  <c r="BI1421" i="2" s="1"/>
  <c r="BB2054" i="2"/>
  <c r="BC2054" i="2" s="1"/>
  <c r="BI2054" i="2" s="1"/>
  <c r="BB371" i="2"/>
  <c r="BC371" i="2" s="1"/>
  <c r="BI371" i="2" s="1"/>
  <c r="BB2403" i="2"/>
  <c r="BC2403" i="2" s="1"/>
  <c r="BI2403" i="2" s="1"/>
  <c r="BB1060" i="2"/>
  <c r="BC1060" i="2" s="1"/>
  <c r="BI1060" i="2" s="1"/>
  <c r="BB1900" i="2"/>
  <c r="BC1900" i="2" s="1"/>
  <c r="BI1900" i="2" s="1"/>
  <c r="BB445" i="2"/>
  <c r="BC445" i="2" s="1"/>
  <c r="BI445" i="2" s="1"/>
  <c r="BB1749" i="2"/>
  <c r="BC1749" i="2" s="1"/>
  <c r="BI1749" i="2" s="1"/>
  <c r="BB596" i="2"/>
  <c r="BC596" i="2" s="1"/>
  <c r="BI596" i="2" s="1"/>
  <c r="BB564" i="2"/>
  <c r="BC564" i="2" s="1"/>
  <c r="BI564" i="2" s="1"/>
  <c r="BB1893" i="2"/>
  <c r="BC1893" i="2" s="1"/>
  <c r="BI1893" i="2" s="1"/>
  <c r="BB1209" i="2"/>
  <c r="BC1209" i="2" s="1"/>
  <c r="BI1209" i="2" s="1"/>
  <c r="BB2426" i="2"/>
  <c r="BC2426" i="2" s="1"/>
  <c r="BI2426" i="2" s="1"/>
  <c r="BB1951" i="2"/>
  <c r="BC1951" i="2" s="1"/>
  <c r="BI1951" i="2" s="1"/>
  <c r="BB1356" i="2"/>
  <c r="BC1356" i="2" s="1"/>
  <c r="BI1356" i="2" s="1"/>
  <c r="BB1010" i="2"/>
  <c r="BC1010" i="2" s="1"/>
  <c r="BI1010" i="2" s="1"/>
  <c r="BB946" i="2"/>
  <c r="BC946" i="2" s="1"/>
  <c r="BI946" i="2" s="1"/>
  <c r="BB538" i="2"/>
  <c r="BC538" i="2" s="1"/>
  <c r="BI538" i="2" s="1"/>
  <c r="BB784" i="2"/>
  <c r="BC784" i="2" s="1"/>
  <c r="BI784" i="2" s="1"/>
  <c r="BB1743" i="2"/>
  <c r="BC1743" i="2" s="1"/>
  <c r="BI1743" i="2" s="1"/>
  <c r="H88" i="4"/>
  <c r="BB88" i="2"/>
  <c r="BC88" i="2" s="1"/>
  <c r="BI88" i="2" s="1"/>
  <c r="BB2136" i="2"/>
  <c r="BC2136" i="2" s="1"/>
  <c r="BI2136" i="2" s="1"/>
  <c r="BB1035" i="2"/>
  <c r="BC1035" i="2" s="1"/>
  <c r="BI1035" i="2" s="1"/>
  <c r="BB1003" i="2"/>
  <c r="BC1003" i="2" s="1"/>
  <c r="BI1003" i="2" s="1"/>
  <c r="BB971" i="2"/>
  <c r="BC971" i="2" s="1"/>
  <c r="BI971" i="2" s="1"/>
  <c r="BB939" i="2"/>
  <c r="BC939" i="2" s="1"/>
  <c r="BI939" i="2" s="1"/>
  <c r="BB1772" i="2"/>
  <c r="BC1772" i="2" s="1"/>
  <c r="BI1772" i="2" s="1"/>
  <c r="BB2394" i="2"/>
  <c r="BC2394" i="2" s="1"/>
  <c r="BI2394" i="2" s="1"/>
  <c r="BB1817" i="2"/>
  <c r="BC1817" i="2" s="1"/>
  <c r="BI1817" i="2" s="1"/>
  <c r="BB327" i="2"/>
  <c r="BC327" i="2" s="1"/>
  <c r="BI327" i="2" s="1"/>
  <c r="H111" i="4"/>
  <c r="BB111" i="2"/>
  <c r="BC111" i="2" s="1"/>
  <c r="BI111" i="2" s="1"/>
  <c r="BB641" i="2"/>
  <c r="BC641" i="2" s="1"/>
  <c r="BI641" i="2" s="1"/>
  <c r="BB840" i="2"/>
  <c r="BC840" i="2" s="1"/>
  <c r="BI840" i="2" s="1"/>
  <c r="BB1844" i="2"/>
  <c r="BC1844" i="2" s="1"/>
  <c r="BI1844" i="2" s="1"/>
  <c r="BB1107" i="2"/>
  <c r="BC1107" i="2" s="1"/>
  <c r="BI1107" i="2" s="1"/>
  <c r="BB2384" i="2"/>
  <c r="BC2384" i="2" s="1"/>
  <c r="BI2384" i="2" s="1"/>
  <c r="BB1700" i="2"/>
  <c r="BC1700" i="2" s="1"/>
  <c r="BI1700" i="2" s="1"/>
  <c r="BB2014" i="2"/>
  <c r="BC2014" i="2" s="1"/>
  <c r="BI2014" i="2" s="1"/>
  <c r="BB1942" i="2"/>
  <c r="BC1942" i="2" s="1"/>
  <c r="BI1942" i="2" s="1"/>
  <c r="BB1878" i="2"/>
  <c r="BC1878" i="2" s="1"/>
  <c r="BI1878" i="2" s="1"/>
  <c r="BB1331" i="2"/>
  <c r="BC1331" i="2" s="1"/>
  <c r="BI1331" i="2" s="1"/>
  <c r="BB2397" i="2"/>
  <c r="BC2397" i="2" s="1"/>
  <c r="BI2397" i="2" s="1"/>
  <c r="BB1949" i="2"/>
  <c r="BC1949" i="2" s="1"/>
  <c r="BI1949" i="2" s="1"/>
  <c r="BB1977" i="2"/>
  <c r="BC1977" i="2" s="1"/>
  <c r="BI1977" i="2" s="1"/>
  <c r="BB2151" i="2"/>
  <c r="BC2151" i="2" s="1"/>
  <c r="BI2151" i="2" s="1"/>
  <c r="BB1561" i="2"/>
  <c r="BC1561" i="2" s="1"/>
  <c r="BI1561" i="2" s="1"/>
  <c r="BB1456" i="2"/>
  <c r="BC1456" i="2" s="1"/>
  <c r="BI1456" i="2" s="1"/>
  <c r="BB867" i="2"/>
  <c r="BC867" i="2" s="1"/>
  <c r="BI867" i="2" s="1"/>
  <c r="BB1861" i="2"/>
  <c r="BC1861" i="2" s="1"/>
  <c r="BI1861" i="2" s="1"/>
  <c r="BB1582" i="2"/>
  <c r="BC1582" i="2" s="1"/>
  <c r="BI1582" i="2" s="1"/>
  <c r="BB2265" i="2"/>
  <c r="BC2265" i="2" s="1"/>
  <c r="BI2265" i="2" s="1"/>
  <c r="BB759" i="2"/>
  <c r="BC759" i="2" s="1"/>
  <c r="BI759" i="2" s="1"/>
  <c r="BB2471" i="2"/>
  <c r="BC2471" i="2" s="1"/>
  <c r="BI2471" i="2" s="1"/>
  <c r="BB2327" i="2"/>
  <c r="BC2327" i="2" s="1"/>
  <c r="BI2327" i="2" s="1"/>
  <c r="BB1634" i="2"/>
  <c r="BC1634" i="2" s="1"/>
  <c r="BI1634" i="2" s="1"/>
  <c r="BB1216" i="2"/>
  <c r="BC1216" i="2" s="1"/>
  <c r="BI1216" i="2" s="1"/>
  <c r="BB479" i="2"/>
  <c r="BC479" i="2" s="1"/>
  <c r="BI479" i="2" s="1"/>
  <c r="BB425" i="2"/>
  <c r="BC425" i="2" s="1"/>
  <c r="BI425" i="2" s="1"/>
  <c r="BB2385" i="2"/>
  <c r="BC2385" i="2" s="1"/>
  <c r="BI2385" i="2" s="1"/>
  <c r="BB1264" i="2"/>
  <c r="BC1264" i="2" s="1"/>
  <c r="BI1264" i="2" s="1"/>
  <c r="BB1386" i="2"/>
  <c r="BC1386" i="2" s="1"/>
  <c r="BI1386" i="2" s="1"/>
  <c r="BB293" i="2"/>
  <c r="BC293" i="2" s="1"/>
  <c r="BI293" i="2" s="1"/>
  <c r="BB1658" i="2"/>
  <c r="BC1658" i="2" s="1"/>
  <c r="BI1658" i="2" s="1"/>
  <c r="BB1610" i="2"/>
  <c r="BC1610" i="2" s="1"/>
  <c r="BI1610" i="2" s="1"/>
  <c r="BB508" i="2"/>
  <c r="BC508" i="2" s="1"/>
  <c r="BI508" i="2" s="1"/>
  <c r="BB1501" i="2"/>
  <c r="BC1501" i="2" s="1"/>
  <c r="BI1501" i="2" s="1"/>
  <c r="BB1200" i="2"/>
  <c r="BC1200" i="2" s="1"/>
  <c r="BI1200" i="2" s="1"/>
  <c r="BB2437" i="2"/>
  <c r="BC2437" i="2" s="1"/>
  <c r="BI2437" i="2" s="1"/>
  <c r="BB2469" i="2"/>
  <c r="BC2469" i="2" s="1"/>
  <c r="BI2469" i="2" s="1"/>
  <c r="BB2053" i="2"/>
  <c r="BC2053" i="2" s="1"/>
  <c r="BI2053" i="2" s="1"/>
  <c r="BB2286" i="2"/>
  <c r="BC2286" i="2" s="1"/>
  <c r="BI2286" i="2" s="1"/>
  <c r="BB2222" i="2"/>
  <c r="BC2222" i="2" s="1"/>
  <c r="BI2222" i="2" s="1"/>
  <c r="BB1923" i="2"/>
  <c r="BC1923" i="2" s="1"/>
  <c r="BI1923" i="2" s="1"/>
  <c r="H105" i="4"/>
  <c r="BB105" i="2"/>
  <c r="BC105" i="2" s="1"/>
  <c r="BI105" i="2" s="1"/>
  <c r="BB1064" i="2"/>
  <c r="BC1064" i="2" s="1"/>
  <c r="BI1064" i="2" s="1"/>
  <c r="BB2300" i="2"/>
  <c r="BC2300" i="2" s="1"/>
  <c r="BI2300" i="2" s="1"/>
  <c r="BB2236" i="2"/>
  <c r="BC2236" i="2" s="1"/>
  <c r="BI2236" i="2" s="1"/>
  <c r="H87" i="4"/>
  <c r="BB87" i="2"/>
  <c r="BC87" i="2" s="1"/>
  <c r="BI87" i="2" s="1"/>
  <c r="BB1055" i="2"/>
  <c r="BC1055" i="2" s="1"/>
  <c r="BI1055" i="2" s="1"/>
  <c r="BB208" i="2"/>
  <c r="BC208" i="2" s="1"/>
  <c r="BI208" i="2" s="1"/>
  <c r="BB1637" i="2"/>
  <c r="BC1637" i="2" s="1"/>
  <c r="BI1637" i="2" s="1"/>
  <c r="BB1465" i="2"/>
  <c r="BC1465" i="2" s="1"/>
  <c r="BI1465" i="2" s="1"/>
  <c r="BB2189" i="2"/>
  <c r="BC2189" i="2" s="1"/>
  <c r="BI2189" i="2" s="1"/>
  <c r="BB2420" i="2"/>
  <c r="BC2420" i="2" s="1"/>
  <c r="BI2420" i="2" s="1"/>
  <c r="BB2461" i="2"/>
  <c r="BC2461" i="2" s="1"/>
  <c r="BI2461" i="2" s="1"/>
  <c r="BB745" i="2"/>
  <c r="BC745" i="2" s="1"/>
  <c r="BI745" i="2" s="1"/>
  <c r="BB996" i="2"/>
  <c r="BC996" i="2" s="1"/>
  <c r="BI996" i="2" s="1"/>
  <c r="BB2158" i="2"/>
  <c r="BC2158" i="2" s="1"/>
  <c r="BI2158" i="2" s="1"/>
  <c r="BB1650" i="2"/>
  <c r="BC1650" i="2" s="1"/>
  <c r="BI1650" i="2" s="1"/>
  <c r="BB1560" i="2"/>
  <c r="BC1560" i="2" s="1"/>
  <c r="BI1560" i="2" s="1"/>
  <c r="BB1709" i="2"/>
  <c r="BC1709" i="2" s="1"/>
  <c r="BI1709" i="2" s="1"/>
  <c r="BB299" i="2"/>
  <c r="BC299" i="2" s="1"/>
  <c r="BI299" i="2" s="1"/>
  <c r="BB892" i="2"/>
  <c r="BC892" i="2" s="1"/>
  <c r="BI892" i="2" s="1"/>
  <c r="BB672" i="2"/>
  <c r="BC672" i="2" s="1"/>
  <c r="BI672" i="2" s="1"/>
  <c r="BB434" i="2"/>
  <c r="BC434" i="2" s="1"/>
  <c r="BI434" i="2" s="1"/>
  <c r="BK1771" i="2"/>
  <c r="BJ1771" i="2"/>
  <c r="BB2374" i="2"/>
  <c r="BC2374" i="2" s="1"/>
  <c r="BI2374" i="2" s="1"/>
  <c r="BB1277" i="2"/>
  <c r="BC1277" i="2" s="1"/>
  <c r="BI1277" i="2" s="1"/>
  <c r="BB2039" i="2"/>
  <c r="BC2039" i="2" s="1"/>
  <c r="BI2039" i="2" s="1"/>
  <c r="BB904" i="2"/>
  <c r="BC904" i="2" s="1"/>
  <c r="BI904" i="2" s="1"/>
  <c r="BB885" i="2"/>
  <c r="BC885" i="2" s="1"/>
  <c r="BI885" i="2" s="1"/>
  <c r="BB1222" i="2"/>
  <c r="BC1222" i="2" s="1"/>
  <c r="BI1222" i="2" s="1"/>
  <c r="H23" i="4"/>
  <c r="BB23" i="2"/>
  <c r="BC23" i="2" s="1"/>
  <c r="BI23" i="2" s="1"/>
  <c r="BB2275" i="2"/>
  <c r="BC2275" i="2" s="1"/>
  <c r="BI2275" i="2" s="1"/>
  <c r="BB2493" i="2"/>
  <c r="BC2493" i="2" s="1"/>
  <c r="BI2493" i="2" s="1"/>
  <c r="BB906" i="2"/>
  <c r="BC906" i="2" s="1"/>
  <c r="BI906" i="2" s="1"/>
  <c r="BB1935" i="2"/>
  <c r="BC1935" i="2" s="1"/>
  <c r="BI1935" i="2" s="1"/>
  <c r="BB2225" i="2"/>
  <c r="BC2225" i="2" s="1"/>
  <c r="BI2225" i="2" s="1"/>
  <c r="BB1202" i="2"/>
  <c r="BC1202" i="2" s="1"/>
  <c r="BI1202" i="2" s="1"/>
  <c r="BB1950" i="2"/>
  <c r="BC1950" i="2" s="1"/>
  <c r="BI1950" i="2" s="1"/>
  <c r="BB2038" i="2"/>
  <c r="BC2038" i="2" s="1"/>
  <c r="BI2038" i="2" s="1"/>
  <c r="BB481" i="2"/>
  <c r="BC481" i="2" s="1"/>
  <c r="BI481" i="2" s="1"/>
  <c r="BB1448" i="2"/>
  <c r="BC1448" i="2" s="1"/>
  <c r="BI1448" i="2" s="1"/>
  <c r="BB796" i="2"/>
  <c r="BC796" i="2" s="1"/>
  <c r="BI796" i="2" s="1"/>
  <c r="BB1755" i="2"/>
  <c r="BC1755" i="2" s="1"/>
  <c r="BI1755" i="2" s="1"/>
  <c r="BB2145" i="2"/>
  <c r="BC2145" i="2" s="1"/>
  <c r="BI2145" i="2" s="1"/>
  <c r="BB1446" i="2"/>
  <c r="BC1446" i="2" s="1"/>
  <c r="BI1446" i="2" s="1"/>
  <c r="BB1051" i="2"/>
  <c r="BC1051" i="2" s="1"/>
  <c r="BI1051" i="2" s="1"/>
  <c r="BB2341" i="2"/>
  <c r="BC2341" i="2" s="1"/>
  <c r="BI2341" i="2" s="1"/>
  <c r="BB1435" i="2"/>
  <c r="BC1435" i="2" s="1"/>
  <c r="BI1435" i="2" s="1"/>
  <c r="BB1283" i="2"/>
  <c r="BC1283" i="2" s="1"/>
  <c r="BI1283" i="2" s="1"/>
  <c r="BB856" i="2"/>
  <c r="BC856" i="2" s="1"/>
  <c r="BI856" i="2" s="1"/>
  <c r="BB1857" i="2"/>
  <c r="BC1857" i="2" s="1"/>
  <c r="BI1857" i="2" s="1"/>
  <c r="BB1336" i="2"/>
  <c r="BC1336" i="2" s="1"/>
  <c r="BI1336" i="2" s="1"/>
  <c r="BB1434" i="2"/>
  <c r="BC1434" i="2" s="1"/>
  <c r="BI1434" i="2" s="1"/>
  <c r="BB1540" i="2"/>
  <c r="BC1540" i="2" s="1"/>
  <c r="BI1540" i="2" s="1"/>
  <c r="BB2163" i="2"/>
  <c r="BC2163" i="2" s="1"/>
  <c r="BI2163" i="2" s="1"/>
  <c r="BB702" i="2"/>
  <c r="BC702" i="2" s="1"/>
  <c r="BI702" i="2" s="1"/>
  <c r="BB638" i="2"/>
  <c r="BC638" i="2" s="1"/>
  <c r="BI638" i="2" s="1"/>
  <c r="BB1726" i="2"/>
  <c r="BC1726" i="2" s="1"/>
  <c r="BI1726" i="2" s="1"/>
  <c r="BB284" i="2"/>
  <c r="BC284" i="2" s="1"/>
  <c r="BI284" i="2" s="1"/>
  <c r="BB2441" i="2"/>
  <c r="BC2441" i="2" s="1"/>
  <c r="BI2441" i="2" s="1"/>
  <c r="BB415" i="2"/>
  <c r="BC415" i="2" s="1"/>
  <c r="BI415" i="2" s="1"/>
  <c r="BB1387" i="2"/>
  <c r="BC1387" i="2" s="1"/>
  <c r="BI1387" i="2" s="1"/>
  <c r="BB852" i="2"/>
  <c r="BC852" i="2" s="1"/>
  <c r="BI852" i="2" s="1"/>
  <c r="BB398" i="2"/>
  <c r="BC398" i="2" s="1"/>
  <c r="BI398" i="2" s="1"/>
  <c r="BB1541" i="2"/>
  <c r="BC1541" i="2" s="1"/>
  <c r="BI1541" i="2" s="1"/>
  <c r="BB1205" i="2"/>
  <c r="BC1205" i="2" s="1"/>
  <c r="BI1205" i="2" s="1"/>
  <c r="BB1428" i="2"/>
  <c r="BC1428" i="2" s="1"/>
  <c r="BI1428" i="2" s="1"/>
  <c r="BB382" i="2"/>
  <c r="BC382" i="2" s="1"/>
  <c r="BI382" i="2" s="1"/>
  <c r="BB395" i="2"/>
  <c r="BC395" i="2" s="1"/>
  <c r="BI395" i="2" s="1"/>
  <c r="BB229" i="2"/>
  <c r="BC229" i="2" s="1"/>
  <c r="BI229" i="2" s="1"/>
  <c r="BB306" i="2"/>
  <c r="BC306" i="2" s="1"/>
  <c r="BI306" i="2" s="1"/>
  <c r="BB1280" i="2"/>
  <c r="BC1280" i="2" s="1"/>
  <c r="BI1280" i="2" s="1"/>
  <c r="H117" i="4"/>
  <c r="BB117" i="2"/>
  <c r="BC117" i="2" s="1"/>
  <c r="BI117" i="2" s="1"/>
  <c r="H78" i="4"/>
  <c r="BB78" i="2"/>
  <c r="BC78" i="2" s="1"/>
  <c r="BI78" i="2" s="1"/>
  <c r="BB1094" i="2"/>
  <c r="BC1094" i="2" s="1"/>
  <c r="BI1094" i="2" s="1"/>
  <c r="BB1583" i="2"/>
  <c r="BC1583" i="2" s="1"/>
  <c r="BI1583" i="2" s="1"/>
  <c r="BB220" i="2"/>
  <c r="BC220" i="2" s="1"/>
  <c r="BI220" i="2" s="1"/>
  <c r="BB2340" i="2"/>
  <c r="BC2340" i="2" s="1"/>
  <c r="BI2340" i="2" s="1"/>
  <c r="BB1161" i="2"/>
  <c r="BC1161" i="2" s="1"/>
  <c r="BI1161" i="2" s="1"/>
  <c r="BB2111" i="2"/>
  <c r="BC2111" i="2" s="1"/>
  <c r="BI2111" i="2" s="1"/>
  <c r="H19" i="4"/>
  <c r="BB19" i="2"/>
  <c r="BC19" i="2" s="1"/>
  <c r="BI19" i="2" s="1"/>
  <c r="BB846" i="2"/>
  <c r="BC846" i="2" s="1"/>
  <c r="BI846" i="2" s="1"/>
  <c r="BB1768" i="2"/>
  <c r="BC1768" i="2" s="1"/>
  <c r="BI1768" i="2" s="1"/>
  <c r="BB1603" i="2"/>
  <c r="BC1603" i="2" s="1"/>
  <c r="BI1603" i="2" s="1"/>
  <c r="BB609" i="2"/>
  <c r="BC609" i="2" s="1"/>
  <c r="BI609" i="2" s="1"/>
  <c r="BB577" i="2"/>
  <c r="BC577" i="2" s="1"/>
  <c r="BI577" i="2" s="1"/>
  <c r="H6" i="4"/>
  <c r="BB6" i="2"/>
  <c r="BC6" i="2" s="1"/>
  <c r="BI6" i="2" s="1"/>
  <c r="BB2139" i="2"/>
  <c r="BC2139" i="2" s="1"/>
  <c r="BI2139" i="2" s="1"/>
  <c r="BB1964" i="2"/>
  <c r="BC1964" i="2" s="1"/>
  <c r="BI1964" i="2" s="1"/>
  <c r="BB637" i="2"/>
  <c r="BC637" i="2" s="1"/>
  <c r="BI637" i="2" s="1"/>
  <c r="BB2063" i="2"/>
  <c r="BC2063" i="2" s="1"/>
  <c r="BI2063" i="2" s="1"/>
  <c r="BB1479" i="2"/>
  <c r="BC1479" i="2" s="1"/>
  <c r="BI1479" i="2" s="1"/>
  <c r="BB403" i="2"/>
  <c r="BC403" i="2" s="1"/>
  <c r="BI403" i="2" s="1"/>
  <c r="BB1132" i="2"/>
  <c r="BC1132" i="2" s="1"/>
  <c r="BI1132" i="2" s="1"/>
  <c r="BB1236" i="2"/>
  <c r="BC1236" i="2" s="1"/>
  <c r="BI1236" i="2" s="1"/>
  <c r="BB1303" i="2"/>
  <c r="BC1303" i="2" s="1"/>
  <c r="BI1303" i="2" s="1"/>
  <c r="BB863" i="2"/>
  <c r="BC863" i="2" s="1"/>
  <c r="BI863" i="2" s="1"/>
  <c r="BB477" i="2"/>
  <c r="BC477" i="2" s="1"/>
  <c r="BI477" i="2" s="1"/>
  <c r="BB1691" i="2"/>
  <c r="BC1691" i="2" s="1"/>
  <c r="BI1691" i="2" s="1"/>
  <c r="BB2243" i="2"/>
  <c r="BC2243" i="2" s="1"/>
  <c r="BI2243" i="2" s="1"/>
  <c r="BB606" i="2"/>
  <c r="BC606" i="2" s="1"/>
  <c r="BI606" i="2" s="1"/>
  <c r="BB574" i="2"/>
  <c r="BC574" i="2" s="1"/>
  <c r="BI574" i="2" s="1"/>
  <c r="BB1953" i="2"/>
  <c r="BC1953" i="2" s="1"/>
  <c r="BI1953" i="2" s="1"/>
  <c r="BB2485" i="2"/>
  <c r="BC2485" i="2" s="1"/>
  <c r="BI2485" i="2" s="1"/>
  <c r="BB1360" i="2"/>
  <c r="BC1360" i="2" s="1"/>
  <c r="BI1360" i="2" s="1"/>
  <c r="BB886" i="2"/>
  <c r="BC886" i="2" s="1"/>
  <c r="BI886" i="2" s="1"/>
  <c r="BB1580" i="2"/>
  <c r="BC1580" i="2" s="1"/>
  <c r="BI1580" i="2" s="1"/>
  <c r="BB1895" i="2"/>
  <c r="BC1895" i="2" s="1"/>
  <c r="BI1895" i="2" s="1"/>
  <c r="BB1802" i="2"/>
  <c r="BC1802" i="2" s="1"/>
  <c r="BI1802" i="2" s="1"/>
  <c r="BB998" i="2"/>
  <c r="BC998" i="2" s="1"/>
  <c r="BI998" i="2" s="1"/>
  <c r="BB848" i="2"/>
  <c r="BC848" i="2" s="1"/>
  <c r="BI848" i="2" s="1"/>
  <c r="BB474" i="2"/>
  <c r="BC474" i="2" s="1"/>
  <c r="BI474" i="2" s="1"/>
  <c r="BB2201" i="2"/>
  <c r="BC2201" i="2" s="1"/>
  <c r="BI2201" i="2" s="1"/>
  <c r="BB236" i="2"/>
  <c r="BC236" i="2" s="1"/>
  <c r="BI236" i="2" s="1"/>
  <c r="BB2130" i="2"/>
  <c r="BC2130" i="2" s="1"/>
  <c r="BI2130" i="2" s="1"/>
  <c r="H154" i="4"/>
  <c r="BB154" i="2"/>
  <c r="BC154" i="2" s="1"/>
  <c r="BI154" i="2" s="1"/>
  <c r="BB1029" i="2"/>
  <c r="BC1029" i="2" s="1"/>
  <c r="BI1029" i="2" s="1"/>
  <c r="BB997" i="2"/>
  <c r="BC997" i="2" s="1"/>
  <c r="BI997" i="2" s="1"/>
  <c r="BB965" i="2"/>
  <c r="BC965" i="2" s="1"/>
  <c r="BI965" i="2" s="1"/>
  <c r="BB933" i="2"/>
  <c r="BC933" i="2" s="1"/>
  <c r="BI933" i="2" s="1"/>
  <c r="BB1690" i="2"/>
  <c r="BC1690" i="2" s="1"/>
  <c r="BI1690" i="2" s="1"/>
  <c r="BB399" i="2"/>
  <c r="BC399" i="2" s="1"/>
  <c r="BI399" i="2" s="1"/>
  <c r="H177" i="4"/>
  <c r="BB177" i="2"/>
  <c r="BC177" i="2" s="1"/>
  <c r="BI177" i="2" s="1"/>
  <c r="BB463" i="2"/>
  <c r="BC463" i="2" s="1"/>
  <c r="BI463" i="2" s="1"/>
  <c r="BB1880" i="2"/>
  <c r="BC1880" i="2" s="1"/>
  <c r="BI1880" i="2" s="1"/>
  <c r="BB2180" i="2"/>
  <c r="BC2180" i="2" s="1"/>
  <c r="BI2180" i="2" s="1"/>
  <c r="BB657" i="2"/>
  <c r="BC657" i="2" s="1"/>
  <c r="BI657" i="2" s="1"/>
  <c r="BB1841" i="2"/>
  <c r="BC1841" i="2" s="1"/>
  <c r="BI1841" i="2" s="1"/>
  <c r="BB1736" i="2"/>
  <c r="BC1736" i="2" s="1"/>
  <c r="BI1736" i="2" s="1"/>
  <c r="BB1672" i="2"/>
  <c r="BC1672" i="2" s="1"/>
  <c r="BI1672" i="2" s="1"/>
  <c r="BB1262" i="2"/>
  <c r="BC1262" i="2" s="1"/>
  <c r="BI1262" i="2" s="1"/>
  <c r="BB2106" i="2"/>
  <c r="BC2106" i="2" s="1"/>
  <c r="BI2106" i="2" s="1"/>
  <c r="BB2018" i="2"/>
  <c r="BC2018" i="2" s="1"/>
  <c r="BI2018" i="2" s="1"/>
  <c r="BB1946" i="2"/>
  <c r="BC1946" i="2" s="1"/>
  <c r="BI1946" i="2" s="1"/>
  <c r="BB1882" i="2"/>
  <c r="BC1882" i="2" s="1"/>
  <c r="BI1882" i="2" s="1"/>
  <c r="BB366" i="2"/>
  <c r="BC366" i="2" s="1"/>
  <c r="BI366" i="2" s="1"/>
  <c r="BB2405" i="2"/>
  <c r="BC2405" i="2" s="1"/>
  <c r="BI2405" i="2" s="1"/>
  <c r="BB2291" i="2"/>
  <c r="BC2291" i="2" s="1"/>
  <c r="BI2291" i="2" s="1"/>
  <c r="BB838" i="2"/>
  <c r="BC838" i="2" s="1"/>
  <c r="BI838" i="2" s="1"/>
  <c r="BB1995" i="2"/>
  <c r="BC1995" i="2" s="1"/>
  <c r="BI1995" i="2" s="1"/>
  <c r="H64" i="4"/>
  <c r="BB64" i="2"/>
  <c r="BC64" i="2" s="1"/>
  <c r="BI64" i="2" s="1"/>
  <c r="BB1645" i="2"/>
  <c r="BC1645" i="2" s="1"/>
  <c r="BI1645" i="2" s="1"/>
  <c r="BB2034" i="2"/>
  <c r="BC2034" i="2" s="1"/>
  <c r="BI2034" i="2" s="1"/>
  <c r="BB2413" i="2"/>
  <c r="BC2413" i="2" s="1"/>
  <c r="BI2413" i="2" s="1"/>
  <c r="BB1812" i="2"/>
  <c r="BC1812" i="2" s="1"/>
  <c r="BI1812" i="2" s="1"/>
  <c r="BB2152" i="2"/>
  <c r="BC2152" i="2" s="1"/>
  <c r="BI2152" i="2" s="1"/>
  <c r="BB465" i="2"/>
  <c r="BC465" i="2" s="1"/>
  <c r="BI465" i="2" s="1"/>
  <c r="BB1816" i="2"/>
  <c r="BC1816" i="2" s="1"/>
  <c r="BI1816" i="2" s="1"/>
  <c r="BB819" i="2"/>
  <c r="BC819" i="2" s="1"/>
  <c r="BI819" i="2" s="1"/>
  <c r="BB1097" i="2"/>
  <c r="BC1097" i="2" s="1"/>
  <c r="BI1097" i="2" s="1"/>
  <c r="BB247" i="2"/>
  <c r="BC247" i="2" s="1"/>
  <c r="BI247" i="2" s="1"/>
  <c r="BB1694" i="2"/>
  <c r="BC1694" i="2" s="1"/>
  <c r="BI1694" i="2" s="1"/>
  <c r="BB1271" i="2"/>
  <c r="BC1271" i="2" s="1"/>
  <c r="BI1271" i="2" s="1"/>
  <c r="BB839" i="2"/>
  <c r="BC839" i="2" s="1"/>
  <c r="BI839" i="2" s="1"/>
  <c r="BB2045" i="2"/>
  <c r="BC2045" i="2" s="1"/>
  <c r="BI2045" i="2" s="1"/>
  <c r="BB1695" i="2"/>
  <c r="BC1695" i="2" s="1"/>
  <c r="BI1695" i="2" s="1"/>
  <c r="BB2199" i="2"/>
  <c r="BC2199" i="2" s="1"/>
  <c r="BI2199" i="2" s="1"/>
  <c r="BB261" i="2"/>
  <c r="BC261" i="2" s="1"/>
  <c r="BI261" i="2" s="1"/>
  <c r="BB1146" i="2"/>
  <c r="BC1146" i="2" s="1"/>
  <c r="BI1146" i="2" s="1"/>
  <c r="H38" i="4"/>
  <c r="BB38" i="2"/>
  <c r="BC38" i="2" s="1"/>
  <c r="BI38" i="2" s="1"/>
  <c r="BB426" i="2"/>
  <c r="BC426" i="2" s="1"/>
  <c r="BI426" i="2" s="1"/>
  <c r="BB2293" i="2"/>
  <c r="BC2293" i="2" s="1"/>
  <c r="BI2293" i="2" s="1"/>
  <c r="BB451" i="2"/>
  <c r="BC451" i="2" s="1"/>
  <c r="BI451" i="2" s="1"/>
  <c r="BB257" i="2"/>
  <c r="BC257" i="2" s="1"/>
  <c r="BI257" i="2" s="1"/>
  <c r="BB1339" i="2"/>
  <c r="BC1339" i="2" s="1"/>
  <c r="BI1339" i="2" s="1"/>
  <c r="BB2239" i="2"/>
  <c r="BC2239" i="2" s="1"/>
  <c r="BI2239" i="2" s="1"/>
  <c r="BB1718" i="2"/>
  <c r="BC1718" i="2" s="1"/>
  <c r="BI1718" i="2" s="1"/>
  <c r="BB2411" i="2"/>
  <c r="BC2411" i="2" s="1"/>
  <c r="BI2411" i="2" s="1"/>
  <c r="BB1233" i="2"/>
  <c r="BC1233" i="2" s="1"/>
  <c r="BI1233" i="2" s="1"/>
  <c r="BB2274" i="2"/>
  <c r="BC2274" i="2" s="1"/>
  <c r="BI2274" i="2" s="1"/>
  <c r="BB2210" i="2"/>
  <c r="BC2210" i="2" s="1"/>
  <c r="BI2210" i="2" s="1"/>
  <c r="BB1899" i="2"/>
  <c r="BC1899" i="2" s="1"/>
  <c r="BI1899" i="2" s="1"/>
  <c r="BB345" i="2"/>
  <c r="BC345" i="2" s="1"/>
  <c r="BI345" i="2" s="1"/>
  <c r="BB1104" i="2"/>
  <c r="BC1104" i="2" s="1"/>
  <c r="BI1104" i="2" s="1"/>
  <c r="BB554" i="2"/>
  <c r="BC554" i="2" s="1"/>
  <c r="BI554" i="2" s="1"/>
  <c r="H77" i="4"/>
  <c r="BB77" i="2"/>
  <c r="BC77" i="2" s="1"/>
  <c r="BI77" i="2" s="1"/>
  <c r="BB2304" i="2"/>
  <c r="BC2304" i="2" s="1"/>
  <c r="BI2304" i="2" s="1"/>
  <c r="BB2240" i="2"/>
  <c r="BC2240" i="2" s="1"/>
  <c r="BI2240" i="2" s="1"/>
  <c r="H85" i="4"/>
  <c r="BB85" i="2"/>
  <c r="BC85" i="2" s="1"/>
  <c r="BI85" i="2" s="1"/>
  <c r="BB2352" i="2"/>
  <c r="BC2352" i="2" s="1"/>
  <c r="BI2352" i="2" s="1"/>
  <c r="BB1611" i="2"/>
  <c r="BC1611" i="2" s="1"/>
  <c r="BI1611" i="2" s="1"/>
  <c r="BB1048" i="2"/>
  <c r="BC1048" i="2" s="1"/>
  <c r="BI1048" i="2" s="1"/>
  <c r="BB809" i="2"/>
  <c r="BC809" i="2" s="1"/>
  <c r="BI809" i="2" s="1"/>
  <c r="BB1000" i="2"/>
  <c r="BC1000" i="2" s="1"/>
  <c r="BI1000" i="2" s="1"/>
  <c r="BB1548" i="2"/>
  <c r="BC1548" i="2" s="1"/>
  <c r="BI1548" i="2" s="1"/>
  <c r="BB305" i="2"/>
  <c r="BC305" i="2" s="1"/>
  <c r="BI305" i="2" s="1"/>
  <c r="BB552" i="2"/>
  <c r="BC552" i="2" s="1"/>
  <c r="BI552" i="2" s="1"/>
  <c r="BB908" i="2"/>
  <c r="BC908" i="2" s="1"/>
  <c r="BI908" i="2" s="1"/>
  <c r="BB2187" i="2"/>
  <c r="BC2187" i="2" s="1"/>
  <c r="BI2187" i="2" s="1"/>
  <c r="BB676" i="2"/>
  <c r="BC676" i="2" s="1"/>
  <c r="BI676" i="2" s="1"/>
  <c r="BB1095" i="2"/>
  <c r="BC1095" i="2" s="1"/>
  <c r="BI1095" i="2" s="1"/>
  <c r="BB2382" i="2"/>
  <c r="BC2382" i="2" s="1"/>
  <c r="BI2382" i="2" s="1"/>
  <c r="BB480" i="2"/>
  <c r="BC480" i="2" s="1"/>
  <c r="BI480" i="2" s="1"/>
  <c r="BB789" i="2"/>
  <c r="BC789" i="2" s="1"/>
  <c r="BI789" i="2" s="1"/>
  <c r="BB1565" i="2"/>
  <c r="BC1565" i="2" s="1"/>
  <c r="BI1565" i="2" s="1"/>
  <c r="BB2050" i="2"/>
  <c r="BC2050" i="2" s="1"/>
  <c r="BI2050" i="2" s="1"/>
  <c r="BB1559" i="2"/>
  <c r="BC1559" i="2" s="1"/>
  <c r="BI1559" i="2" s="1"/>
  <c r="BB2387" i="2"/>
  <c r="BC2387" i="2" s="1"/>
  <c r="BI2387" i="2" s="1"/>
  <c r="BB238" i="2"/>
  <c r="BC238" i="2" s="1"/>
  <c r="BI238" i="2" s="1"/>
  <c r="BB2440" i="2"/>
  <c r="BC2440" i="2" s="1"/>
  <c r="BI2440" i="2" s="1"/>
  <c r="BB2103" i="2"/>
  <c r="BC2103" i="2" s="1"/>
  <c r="BI2103" i="2" s="1"/>
  <c r="BB1778" i="2"/>
  <c r="BC1778" i="2" s="1"/>
  <c r="BI1778" i="2" s="1"/>
  <c r="BB935" i="2"/>
  <c r="BC935" i="2" s="1"/>
  <c r="BI935" i="2" s="1"/>
  <c r="BB343" i="2"/>
  <c r="BC343" i="2" s="1"/>
  <c r="BI343" i="2" s="1"/>
  <c r="BB1888" i="2"/>
  <c r="BC1888" i="2" s="1"/>
  <c r="BI1888" i="2" s="1"/>
  <c r="BB1724" i="2"/>
  <c r="BC1724" i="2" s="1"/>
  <c r="BI1724" i="2" s="1"/>
  <c r="BB1517" i="2"/>
  <c r="BC1517" i="2" s="1"/>
  <c r="BI1517" i="2" s="1"/>
  <c r="BB1881" i="2"/>
  <c r="BC1881" i="2" s="1"/>
  <c r="BI1881" i="2" s="1"/>
  <c r="BB2283" i="2"/>
  <c r="BC2283" i="2" s="1"/>
  <c r="BI2283" i="2" s="1"/>
  <c r="BB727" i="2"/>
  <c r="BC727" i="2" s="1"/>
  <c r="BI727" i="2" s="1"/>
  <c r="BB1707" i="2"/>
  <c r="BC1707" i="2" s="1"/>
  <c r="BI1707" i="2" s="1"/>
  <c r="BB2075" i="2"/>
  <c r="BC2075" i="2" s="1"/>
  <c r="BI2075" i="2" s="1"/>
  <c r="BB2396" i="2"/>
  <c r="BC2396" i="2" s="1"/>
  <c r="BI2396" i="2" s="1"/>
  <c r="BB1905" i="2"/>
  <c r="BC1905" i="2" s="1"/>
  <c r="BI1905" i="2" s="1"/>
  <c r="BB738" i="2"/>
  <c r="BC738" i="2" s="1"/>
  <c r="BI738" i="2" s="1"/>
  <c r="BB544" i="2"/>
  <c r="BC544" i="2" s="1"/>
  <c r="BI544" i="2" s="1"/>
  <c r="BB1273" i="2"/>
  <c r="BC1273" i="2" s="1"/>
  <c r="BI1273" i="2" s="1"/>
  <c r="BB2228" i="2"/>
  <c r="BC2228" i="2" s="1"/>
  <c r="BI2228" i="2" s="1"/>
  <c r="BB1602" i="2"/>
  <c r="BC1602" i="2" s="1"/>
  <c r="BI1602" i="2" s="1"/>
  <c r="BB696" i="2"/>
  <c r="BC696" i="2" s="1"/>
  <c r="BI696" i="2" s="1"/>
  <c r="BB1549" i="2"/>
  <c r="BC1549" i="2" s="1"/>
  <c r="BI1549" i="2" s="1"/>
  <c r="BB821" i="2"/>
  <c r="BC821" i="2" s="1"/>
  <c r="BI821" i="2" s="1"/>
  <c r="BB1238" i="2"/>
  <c r="BC1238" i="2" s="1"/>
  <c r="BI1238" i="2" s="1"/>
  <c r="BB543" i="2"/>
  <c r="BC543" i="2" s="1"/>
  <c r="BI543" i="2" s="1"/>
  <c r="BB1450" i="2"/>
  <c r="BC1450" i="2" s="1"/>
  <c r="BI1450" i="2" s="1"/>
  <c r="BB1244" i="2"/>
  <c r="BC1244" i="2" s="1"/>
  <c r="BI1244" i="2" s="1"/>
  <c r="BB1115" i="2"/>
  <c r="BC1115" i="2" s="1"/>
  <c r="BI1115" i="2" s="1"/>
  <c r="BB804" i="2"/>
  <c r="BC804" i="2" s="1"/>
  <c r="BI804" i="2" s="1"/>
  <c r="BB2112" i="2"/>
  <c r="BC2112" i="2" s="1"/>
  <c r="BI2112" i="2" s="1"/>
  <c r="BB1347" i="2"/>
  <c r="BC1347" i="2" s="1"/>
  <c r="BI1347" i="2" s="1"/>
  <c r="BB2501" i="2"/>
  <c r="BC2501" i="2" s="1"/>
  <c r="BI2501" i="2" s="1"/>
  <c r="BB2073" i="2"/>
  <c r="BC2073" i="2" s="1"/>
  <c r="BI2073" i="2" s="1"/>
  <c r="BB1190" i="2"/>
  <c r="BC1190" i="2" s="1"/>
  <c r="BI1190" i="2" s="1"/>
  <c r="BB1406" i="2"/>
  <c r="BC1406" i="2" s="1"/>
  <c r="BI1406" i="2" s="1"/>
  <c r="BB1463" i="2"/>
  <c r="BC1463" i="2" s="1"/>
  <c r="BI1463" i="2" s="1"/>
  <c r="BB1528" i="2"/>
  <c r="BC1528" i="2" s="1"/>
  <c r="BI1528" i="2" s="1"/>
  <c r="BB1313" i="2"/>
  <c r="BC1313" i="2" s="1"/>
  <c r="BI1313" i="2" s="1"/>
  <c r="BB233" i="2"/>
  <c r="BC233" i="2" s="1"/>
  <c r="BI233" i="2" s="1"/>
  <c r="BB1897" i="2"/>
  <c r="BC1897" i="2" s="1"/>
  <c r="BI1897" i="2" s="1"/>
  <c r="BB722" i="2"/>
  <c r="BC722" i="2" s="1"/>
  <c r="BI722" i="2" s="1"/>
  <c r="BB658" i="2"/>
  <c r="BC658" i="2" s="1"/>
  <c r="BI658" i="2" s="1"/>
  <c r="BB1595" i="2"/>
  <c r="BC1595" i="2" s="1"/>
  <c r="BI1595" i="2" s="1"/>
  <c r="BB1376" i="2"/>
  <c r="BC1376" i="2" s="1"/>
  <c r="BI1376" i="2" s="1"/>
  <c r="BB1605" i="2"/>
  <c r="BC1605" i="2" s="1"/>
  <c r="BI1605" i="2" s="1"/>
  <c r="BB1269" i="2"/>
  <c r="BC1269" i="2" s="1"/>
  <c r="BI1269" i="2" s="1"/>
  <c r="BB529" i="2"/>
  <c r="BC529" i="2" s="1"/>
  <c r="BI529" i="2" s="1"/>
  <c r="BB778" i="2"/>
  <c r="BC778" i="2" s="1"/>
  <c r="BI778" i="2" s="1"/>
  <c r="BB1400" i="2"/>
  <c r="BC1400" i="2" s="1"/>
  <c r="BI1400" i="2" s="1"/>
  <c r="BB1282" i="2"/>
  <c r="BC1282" i="2" s="1"/>
  <c r="BI1282" i="2" s="1"/>
  <c r="BB530" i="2"/>
  <c r="BC530" i="2" s="1"/>
  <c r="BI530" i="2" s="1"/>
  <c r="BB1102" i="2"/>
  <c r="BC1102" i="2" s="1"/>
  <c r="BI1102" i="2" s="1"/>
  <c r="BB291" i="2"/>
  <c r="BC291" i="2" s="1"/>
  <c r="BI291" i="2" s="1"/>
  <c r="BB2455" i="2"/>
  <c r="BC2455" i="2" s="1"/>
  <c r="BI2455" i="2" s="1"/>
  <c r="BB1155" i="2"/>
  <c r="BC1155" i="2" s="1"/>
  <c r="BI1155" i="2" s="1"/>
  <c r="BB553" i="2"/>
  <c r="BC553" i="2" s="1"/>
  <c r="BI553" i="2" s="1"/>
  <c r="BB1558" i="2"/>
  <c r="BC1558" i="2" s="1"/>
  <c r="BI1558" i="2" s="1"/>
  <c r="H50" i="4"/>
  <c r="BB50" i="2"/>
  <c r="BC50" i="2" s="1"/>
  <c r="BI50" i="2" s="1"/>
  <c r="BB595" i="2"/>
  <c r="BC595" i="2" s="1"/>
  <c r="BI595" i="2" s="1"/>
  <c r="BB563" i="2"/>
  <c r="BC563" i="2" s="1"/>
  <c r="BI563" i="2" s="1"/>
  <c r="BB2125" i="2"/>
  <c r="BC2125" i="2" s="1"/>
  <c r="BI2125" i="2" s="1"/>
  <c r="BB1968" i="2"/>
  <c r="BC1968" i="2" s="1"/>
  <c r="BI1968" i="2" s="1"/>
  <c r="BB1491" i="2"/>
  <c r="BC1491" i="2" s="1"/>
  <c r="BI1491" i="2" s="1"/>
  <c r="BB711" i="2"/>
  <c r="BC711" i="2" s="1"/>
  <c r="BI711" i="2" s="1"/>
  <c r="BB245" i="2"/>
  <c r="BC245" i="2" s="1"/>
  <c r="BI245" i="2" s="1"/>
  <c r="BB316" i="2"/>
  <c r="BC316" i="2" s="1"/>
  <c r="BI316" i="2" s="1"/>
  <c r="BB844" i="2"/>
  <c r="BC844" i="2" s="1"/>
  <c r="BI844" i="2" s="1"/>
  <c r="BB2069" i="2"/>
  <c r="BC2069" i="2" s="1"/>
  <c r="BI2069" i="2" s="1"/>
  <c r="BB1152" i="2"/>
  <c r="BC1152" i="2" s="1"/>
  <c r="BI1152" i="2" s="1"/>
  <c r="BB494" i="2"/>
  <c r="BC494" i="2" s="1"/>
  <c r="BI494" i="2" s="1"/>
  <c r="BB1243" i="2"/>
  <c r="BC1243" i="2" s="1"/>
  <c r="BI1243" i="2" s="1"/>
  <c r="BB243" i="2"/>
  <c r="BC243" i="2" s="1"/>
  <c r="BI243" i="2" s="1"/>
  <c r="BB663" i="2"/>
  <c r="BC663" i="2" s="1"/>
  <c r="BI663" i="2" s="1"/>
  <c r="BB392" i="2"/>
  <c r="BC392" i="2" s="1"/>
  <c r="BI392" i="2" s="1"/>
  <c r="BB1884" i="2"/>
  <c r="BC1884" i="2" s="1"/>
  <c r="BI1884" i="2" s="1"/>
  <c r="BB2466" i="2"/>
  <c r="BC2466" i="2" s="1"/>
  <c r="BI2466" i="2" s="1"/>
  <c r="BB1903" i="2"/>
  <c r="BC1903" i="2" s="1"/>
  <c r="BI1903" i="2" s="1"/>
  <c r="H29" i="4"/>
  <c r="BB29" i="2"/>
  <c r="BC29" i="2" s="1"/>
  <c r="BI29" i="2" s="1"/>
  <c r="BB1746" i="2"/>
  <c r="BC1746" i="2" s="1"/>
  <c r="BI1746" i="2" s="1"/>
  <c r="BB983" i="2"/>
  <c r="BC983" i="2" s="1"/>
  <c r="BI983" i="2" s="1"/>
  <c r="BB1365" i="2"/>
  <c r="BC1365" i="2" s="1"/>
  <c r="BI1365" i="2" s="1"/>
  <c r="BB331" i="2"/>
  <c r="BC331" i="2" s="1"/>
  <c r="BI331" i="2" s="1"/>
  <c r="BB1676" i="2"/>
  <c r="BC1676" i="2" s="1"/>
  <c r="BI1676" i="2" s="1"/>
  <c r="BB1918" i="2"/>
  <c r="BC1918" i="2" s="1"/>
  <c r="BI1918" i="2" s="1"/>
  <c r="BB855" i="2"/>
  <c r="BC855" i="2" s="1"/>
  <c r="BI855" i="2" s="1"/>
  <c r="BB526" i="2"/>
  <c r="BC526" i="2" s="1"/>
  <c r="BI526" i="2" s="1"/>
  <c r="BB1941" i="2"/>
  <c r="BC1941" i="2" s="1"/>
  <c r="BI1941" i="2" s="1"/>
  <c r="BB1195" i="2"/>
  <c r="BC1195" i="2" s="1"/>
  <c r="BI1195" i="2" s="1"/>
  <c r="H151" i="4"/>
  <c r="BB151" i="2"/>
  <c r="BC151" i="2" s="1"/>
  <c r="BI151" i="2" s="1"/>
  <c r="BB353" i="2"/>
  <c r="BC353" i="2" s="1"/>
  <c r="BI353" i="2" s="1"/>
  <c r="BB1260" i="2"/>
  <c r="BC1260" i="2" s="1"/>
  <c r="BI1260" i="2" s="1"/>
  <c r="BB2065" i="2"/>
  <c r="BC2065" i="2" s="1"/>
  <c r="BI2065" i="2" s="1"/>
  <c r="BB737" i="2"/>
  <c r="BC737" i="2" s="1"/>
  <c r="BI737" i="2" s="1"/>
  <c r="BB1036" i="2"/>
  <c r="BC1036" i="2" s="1"/>
  <c r="BI1036" i="2" s="1"/>
  <c r="BB1970" i="2"/>
  <c r="BC1970" i="2" s="1"/>
  <c r="BI1970" i="2" s="1"/>
  <c r="BB683" i="2"/>
  <c r="BC683" i="2" s="1"/>
  <c r="BI683" i="2" s="1"/>
  <c r="BB1741" i="2"/>
  <c r="BC1741" i="2" s="1"/>
  <c r="BI1741" i="2" s="1"/>
  <c r="BB2443" i="2"/>
  <c r="BC2443" i="2" s="1"/>
  <c r="BI2443" i="2" s="1"/>
  <c r="BB2068" i="2"/>
  <c r="BC2068" i="2" s="1"/>
  <c r="BI2068" i="2" s="1"/>
  <c r="BB2390" i="2"/>
  <c r="BC2390" i="2" s="1"/>
  <c r="BI2390" i="2" s="1"/>
  <c r="BB230" i="2"/>
  <c r="BC230" i="2" s="1"/>
  <c r="BI230" i="2" s="1"/>
  <c r="BB2027" i="2"/>
  <c r="BC2027" i="2" s="1"/>
  <c r="BI2027" i="2" s="1"/>
  <c r="H52" i="4"/>
  <c r="BB52" i="2"/>
  <c r="BC52" i="2" s="1"/>
  <c r="BI52" i="2" s="1"/>
  <c r="BB1509" i="2"/>
  <c r="BC1509" i="2" s="1"/>
  <c r="BI1509" i="2" s="1"/>
  <c r="BB868" i="2"/>
  <c r="BC868" i="2" s="1"/>
  <c r="BI868" i="2" s="1"/>
  <c r="BB2099" i="2"/>
  <c r="BC2099" i="2" s="1"/>
  <c r="BI2099" i="2" s="1"/>
  <c r="BB1058" i="2"/>
  <c r="BC1058" i="2" s="1"/>
  <c r="BI1058" i="2" s="1"/>
  <c r="BB1410" i="2"/>
  <c r="BC1410" i="2" s="1"/>
  <c r="BI1410" i="2" s="1"/>
  <c r="BB1494" i="2"/>
  <c r="BC1494" i="2" s="1"/>
  <c r="BI1494" i="2" s="1"/>
  <c r="BB297" i="2"/>
  <c r="BC297" i="2" s="1"/>
  <c r="BI297" i="2" s="1"/>
  <c r="BB231" i="2"/>
  <c r="BC231" i="2" s="1"/>
  <c r="BI231" i="2" s="1"/>
  <c r="BB1439" i="2"/>
  <c r="BC1439" i="2" s="1"/>
  <c r="BI1439" i="2" s="1"/>
  <c r="BB710" i="2"/>
  <c r="BC710" i="2" s="1"/>
  <c r="BI710" i="2" s="1"/>
  <c r="BB646" i="2"/>
  <c r="BC646" i="2" s="1"/>
  <c r="BI646" i="2" s="1"/>
  <c r="BB1706" i="2"/>
  <c r="BC1706" i="2" s="1"/>
  <c r="BI1706" i="2" s="1"/>
  <c r="BB277" i="2"/>
  <c r="BC277" i="2" s="1"/>
  <c r="BI277" i="2" s="1"/>
  <c r="BB2160" i="2"/>
  <c r="BC2160" i="2" s="1"/>
  <c r="BI2160" i="2" s="1"/>
  <c r="BB665" i="2"/>
  <c r="BC665" i="2" s="1"/>
  <c r="BI665" i="2" s="1"/>
  <c r="BB1333" i="2"/>
  <c r="BC1333" i="2" s="1"/>
  <c r="BI1333" i="2" s="1"/>
  <c r="BB794" i="2"/>
  <c r="BC794" i="2" s="1"/>
  <c r="BI794" i="2" s="1"/>
  <c r="BB1420" i="2"/>
  <c r="BC1420" i="2" s="1"/>
  <c r="BI1420" i="2" s="1"/>
  <c r="BB877" i="2"/>
  <c r="BC877" i="2" s="1"/>
  <c r="BI877" i="2" s="1"/>
  <c r="BB1651" i="2"/>
  <c r="BC1651" i="2" s="1"/>
  <c r="BI1651" i="2" s="1"/>
  <c r="BB1110" i="2"/>
  <c r="BC1110" i="2" s="1"/>
  <c r="BI1110" i="2" s="1"/>
  <c r="BB859" i="2"/>
  <c r="BC859" i="2" s="1"/>
  <c r="BI859" i="2" s="1"/>
  <c r="BB1781" i="2"/>
  <c r="BC1781" i="2" s="1"/>
  <c r="BI1781" i="2" s="1"/>
  <c r="BB2324" i="2"/>
  <c r="BC2324" i="2" s="1"/>
  <c r="BI2324" i="2" s="1"/>
  <c r="BB1165" i="2"/>
  <c r="BC1165" i="2" s="1"/>
  <c r="BI1165" i="2" s="1"/>
  <c r="BB1578" i="2"/>
  <c r="BC1578" i="2" s="1"/>
  <c r="BI1578" i="2" s="1"/>
  <c r="BB1355" i="2"/>
  <c r="BC1355" i="2" s="1"/>
  <c r="BI1355" i="2" s="1"/>
  <c r="BB675" i="2"/>
  <c r="BC675" i="2" s="1"/>
  <c r="BI675" i="2" s="1"/>
  <c r="BB750" i="2"/>
  <c r="BC750" i="2" s="1"/>
  <c r="BI750" i="2" s="1"/>
  <c r="BB2209" i="2"/>
  <c r="BC2209" i="2" s="1"/>
  <c r="BI2209" i="2" s="1"/>
  <c r="BB605" i="2"/>
  <c r="BC605" i="2" s="1"/>
  <c r="BI605" i="2" s="1"/>
  <c r="BB573" i="2"/>
  <c r="BC573" i="2" s="1"/>
  <c r="BI573" i="2" s="1"/>
  <c r="BB2127" i="2"/>
  <c r="BC2127" i="2" s="1"/>
  <c r="BI2127" i="2" s="1"/>
  <c r="BB1760" i="2"/>
  <c r="BC1760" i="2" s="1"/>
  <c r="BI1760" i="2" s="1"/>
  <c r="BB1988" i="2"/>
  <c r="BC1988" i="2" s="1"/>
  <c r="BI1988" i="2" s="1"/>
  <c r="BB820" i="2"/>
  <c r="BC820" i="2" s="1"/>
  <c r="BI820" i="2" s="1"/>
  <c r="H49" i="4"/>
  <c r="BB49" i="2"/>
  <c r="BC49" i="2" s="1"/>
  <c r="BI49" i="2" s="1"/>
  <c r="BB1046" i="2"/>
  <c r="BC1046" i="2" s="1"/>
  <c r="BI1046" i="2" s="1"/>
  <c r="BB1729" i="2"/>
  <c r="BC1729" i="2" s="1"/>
  <c r="BI1729" i="2" s="1"/>
  <c r="BB772" i="2"/>
  <c r="BC772" i="2" s="1"/>
  <c r="BI772" i="2" s="1"/>
  <c r="BB1405" i="2"/>
  <c r="BC1405" i="2" s="1"/>
  <c r="BI1405" i="2" s="1"/>
  <c r="BB2090" i="2"/>
  <c r="BC2090" i="2" s="1"/>
  <c r="BI2090" i="2" s="1"/>
  <c r="BB2425" i="2"/>
  <c r="BC2425" i="2" s="1"/>
  <c r="BI2425" i="2" s="1"/>
  <c r="BB461" i="2"/>
  <c r="BC461" i="2" s="1"/>
  <c r="BI461" i="2" s="1"/>
  <c r="H74" i="4"/>
  <c r="BB74" i="2"/>
  <c r="BC74" i="2" s="1"/>
  <c r="BI74" i="2" s="1"/>
  <c r="BB1084" i="2"/>
  <c r="BC1084" i="2" s="1"/>
  <c r="BI1084" i="2" s="1"/>
  <c r="H100" i="4"/>
  <c r="BB100" i="2"/>
  <c r="BC100" i="2" s="1"/>
  <c r="BI100" i="2" s="1"/>
  <c r="BB1892" i="2"/>
  <c r="BC1892" i="2" s="1"/>
  <c r="BI1892" i="2" s="1"/>
  <c r="BB2472" i="2"/>
  <c r="BC2472" i="2" s="1"/>
  <c r="BI2472" i="2" s="1"/>
  <c r="BB1733" i="2"/>
  <c r="BC1733" i="2" s="1"/>
  <c r="BI1733" i="2" s="1"/>
  <c r="BB594" i="2"/>
  <c r="BC594" i="2" s="1"/>
  <c r="BI594" i="2" s="1"/>
  <c r="BB562" i="2"/>
  <c r="BC562" i="2" s="1"/>
  <c r="BI562" i="2" s="1"/>
  <c r="BB926" i="2"/>
  <c r="BC926" i="2" s="1"/>
  <c r="BI926" i="2" s="1"/>
  <c r="BB1038" i="2"/>
  <c r="BC1038" i="2" s="1"/>
  <c r="BI1038" i="2" s="1"/>
  <c r="BB974" i="2"/>
  <c r="BC974" i="2" s="1"/>
  <c r="BI974" i="2" s="1"/>
  <c r="BB1263" i="2"/>
  <c r="BC1263" i="2" s="1"/>
  <c r="BI1263" i="2" s="1"/>
  <c r="BB2377" i="2"/>
  <c r="BC2377" i="2" s="1"/>
  <c r="BI2377" i="2" s="1"/>
  <c r="BB1158" i="2"/>
  <c r="BC1158" i="2" s="1"/>
  <c r="BI1158" i="2" s="1"/>
  <c r="BB1675" i="2"/>
  <c r="BC1675" i="2" s="1"/>
  <c r="BI1675" i="2" s="1"/>
  <c r="BB2118" i="2"/>
  <c r="BC2118" i="2" s="1"/>
  <c r="BI2118" i="2" s="1"/>
  <c r="BB1009" i="2"/>
  <c r="BC1009" i="2" s="1"/>
  <c r="BI1009" i="2" s="1"/>
  <c r="BB977" i="2"/>
  <c r="BC977" i="2" s="1"/>
  <c r="BI977" i="2" s="1"/>
  <c r="BB945" i="2"/>
  <c r="BC945" i="2" s="1"/>
  <c r="BI945" i="2" s="1"/>
  <c r="BB351" i="2"/>
  <c r="BC351" i="2" s="1"/>
  <c r="BI351" i="2" s="1"/>
  <c r="H27" i="4"/>
  <c r="BB27" i="2"/>
  <c r="BC27" i="2" s="1"/>
  <c r="BI27" i="2" s="1"/>
  <c r="BB1073" i="2"/>
  <c r="BC1073" i="2" s="1"/>
  <c r="BI1073" i="2" s="1"/>
  <c r="BB1371" i="2"/>
  <c r="BC1371" i="2" s="1"/>
  <c r="BI1371" i="2" s="1"/>
  <c r="BB625" i="2"/>
  <c r="BC625" i="2" s="1"/>
  <c r="BI625" i="2" s="1"/>
  <c r="BB1833" i="2"/>
  <c r="BC1833" i="2" s="1"/>
  <c r="BI1833" i="2" s="1"/>
  <c r="BB2376" i="2"/>
  <c r="BC2376" i="2" s="1"/>
  <c r="BI2376" i="2" s="1"/>
  <c r="BB1744" i="2"/>
  <c r="BC1744" i="2" s="1"/>
  <c r="BI1744" i="2" s="1"/>
  <c r="BB1680" i="2"/>
  <c r="BC1680" i="2" s="1"/>
  <c r="BI1680" i="2" s="1"/>
  <c r="BB1654" i="2"/>
  <c r="BC1654" i="2" s="1"/>
  <c r="BI1654" i="2" s="1"/>
  <c r="BB1301" i="2"/>
  <c r="BC1301" i="2" s="1"/>
  <c r="BI1301" i="2" s="1"/>
  <c r="BB1954" i="2"/>
  <c r="BC1954" i="2" s="1"/>
  <c r="BI1954" i="2" s="1"/>
  <c r="BB1890" i="2"/>
  <c r="BC1890" i="2" s="1"/>
  <c r="BI1890" i="2" s="1"/>
  <c r="BB458" i="2"/>
  <c r="BC458" i="2" s="1"/>
  <c r="BI458" i="2" s="1"/>
  <c r="BB295" i="2"/>
  <c r="BC295" i="2" s="1"/>
  <c r="BI295" i="2" s="1"/>
  <c r="BB2165" i="2"/>
  <c r="BC2165" i="2" s="1"/>
  <c r="BI2165" i="2" s="1"/>
  <c r="BB742" i="2"/>
  <c r="BC742" i="2" s="1"/>
  <c r="BI742" i="2" s="1"/>
  <c r="BB1999" i="2"/>
  <c r="BC1999" i="2" s="1"/>
  <c r="BI1999" i="2" s="1"/>
  <c r="BB2375" i="2"/>
  <c r="BC2375" i="2" s="1"/>
  <c r="BI2375" i="2" s="1"/>
  <c r="BB1961" i="2"/>
  <c r="BC1961" i="2" s="1"/>
  <c r="BI1961" i="2" s="1"/>
  <c r="BB860" i="2"/>
  <c r="BC860" i="2" s="1"/>
  <c r="BI860" i="2" s="1"/>
  <c r="BB1825" i="2"/>
  <c r="BC1825" i="2" s="1"/>
  <c r="BI1825" i="2" s="1"/>
  <c r="BB787" i="2"/>
  <c r="BC787" i="2" s="1"/>
  <c r="BI787" i="2" s="1"/>
  <c r="BB2494" i="2"/>
  <c r="BC2494" i="2" s="1"/>
  <c r="BI2494" i="2" s="1"/>
  <c r="BB1229" i="2"/>
  <c r="BC1229" i="2" s="1"/>
  <c r="BI1229" i="2" s="1"/>
  <c r="BB450" i="2"/>
  <c r="BC450" i="2" s="1"/>
  <c r="BI450" i="2" s="1"/>
  <c r="BB406" i="2"/>
  <c r="BC406" i="2" s="1"/>
  <c r="BI406" i="2" s="1"/>
  <c r="BB2241" i="2"/>
  <c r="BC2241" i="2" s="1"/>
  <c r="BI2241" i="2" s="1"/>
  <c r="BB807" i="2"/>
  <c r="BC807" i="2" s="1"/>
  <c r="BI807" i="2" s="1"/>
  <c r="BB1734" i="2"/>
  <c r="BC1734" i="2" s="1"/>
  <c r="BI1734" i="2" s="1"/>
  <c r="BB301" i="2"/>
  <c r="BC301" i="2" s="1"/>
  <c r="BI301" i="2" s="1"/>
  <c r="H30" i="4"/>
  <c r="BB30" i="2"/>
  <c r="BC30" i="2" s="1"/>
  <c r="BI30" i="2" s="1"/>
  <c r="BB1103" i="2"/>
  <c r="BC1103" i="2" s="1"/>
  <c r="BI1103" i="2" s="1"/>
  <c r="BB2393" i="2"/>
  <c r="BC2393" i="2" s="1"/>
  <c r="BI2393" i="2" s="1"/>
  <c r="BB504" i="2"/>
  <c r="BC504" i="2" s="1"/>
  <c r="BI504" i="2" s="1"/>
  <c r="BB2277" i="2"/>
  <c r="BC2277" i="2" s="1"/>
  <c r="BI2277" i="2" s="1"/>
  <c r="BB2007" i="2"/>
  <c r="BC2007" i="2" s="1"/>
  <c r="BI2007" i="2" s="1"/>
  <c r="BB1059" i="2"/>
  <c r="BC1059" i="2" s="1"/>
  <c r="BI1059" i="2" s="1"/>
  <c r="BB1259" i="2"/>
  <c r="BC1259" i="2" s="1"/>
  <c r="BI1259" i="2" s="1"/>
  <c r="BB487" i="2"/>
  <c r="BC487" i="2" s="1"/>
  <c r="BI487" i="2" s="1"/>
  <c r="BB1381" i="2"/>
  <c r="BC1381" i="2" s="1"/>
  <c r="BI1381" i="2" s="1"/>
  <c r="BB350" i="2"/>
  <c r="BC350" i="2" s="1"/>
  <c r="BI350" i="2" s="1"/>
  <c r="H171" i="4"/>
  <c r="BB171" i="2"/>
  <c r="BC171" i="2" s="1"/>
  <c r="BI171" i="2" s="1"/>
  <c r="BB1172" i="2"/>
  <c r="BC1172" i="2" s="1"/>
  <c r="BI1172" i="2" s="1"/>
  <c r="H150" i="4"/>
  <c r="BB150" i="2"/>
  <c r="BC150" i="2" s="1"/>
  <c r="BI150" i="2" s="1"/>
  <c r="BB459" i="2"/>
  <c r="BC459" i="2" s="1"/>
  <c r="BI459" i="2" s="1"/>
  <c r="BB2314" i="2"/>
  <c r="BC2314" i="2" s="1"/>
  <c r="BI2314" i="2" s="1"/>
  <c r="BB2250" i="2"/>
  <c r="BC2250" i="2" s="1"/>
  <c r="BI2250" i="2" s="1"/>
  <c r="BB1883" i="2"/>
  <c r="BC1883" i="2" s="1"/>
  <c r="BI1883" i="2" s="1"/>
  <c r="BB329" i="2"/>
  <c r="BC329" i="2" s="1"/>
  <c r="BI329" i="2" s="1"/>
  <c r="BB1393" i="2"/>
  <c r="BC1393" i="2" s="1"/>
  <c r="BI1393" i="2" s="1"/>
  <c r="BB493" i="2"/>
  <c r="BC493" i="2" s="1"/>
  <c r="BI493" i="2" s="1"/>
  <c r="BB1088" i="2"/>
  <c r="BC1088" i="2" s="1"/>
  <c r="BI1088" i="2" s="1"/>
  <c r="BB2445" i="2"/>
  <c r="BC2445" i="2" s="1"/>
  <c r="BI2445" i="2" s="1"/>
  <c r="BB1252" i="2"/>
  <c r="BC1252" i="2" s="1"/>
  <c r="BI1252" i="2" s="1"/>
  <c r="BB2312" i="2"/>
  <c r="BC2312" i="2" s="1"/>
  <c r="BI2312" i="2" s="1"/>
  <c r="BB2248" i="2"/>
  <c r="BC2248" i="2" s="1"/>
  <c r="BI2248" i="2" s="1"/>
  <c r="BB736" i="2"/>
  <c r="BC736" i="2" s="1"/>
  <c r="BI736" i="2" s="1"/>
  <c r="H3" i="4"/>
  <c r="BB3" i="2"/>
  <c r="BC3" i="2" s="1"/>
  <c r="BI3" i="2" s="1"/>
  <c r="BB769" i="2"/>
  <c r="BC769" i="2" s="1"/>
  <c r="BI769" i="2" s="1"/>
  <c r="BB2490" i="2"/>
  <c r="BC2490" i="2" s="1"/>
  <c r="BI2490" i="2" s="1"/>
  <c r="BB881" i="2"/>
  <c r="BC881" i="2" s="1"/>
  <c r="BI881" i="2" s="1"/>
  <c r="BB1040" i="2"/>
  <c r="BC1040" i="2" s="1"/>
  <c r="BI1040" i="2" s="1"/>
  <c r="BB976" i="2"/>
  <c r="BC976" i="2" s="1"/>
  <c r="BI976" i="2" s="1"/>
  <c r="BB699" i="2"/>
  <c r="BC699" i="2" s="1"/>
  <c r="BI699" i="2" s="1"/>
  <c r="BB1496" i="2"/>
  <c r="BC1496" i="2" s="1"/>
  <c r="BI1496" i="2" s="1"/>
  <c r="BB1502" i="2"/>
  <c r="BC1502" i="2" s="1"/>
  <c r="BI1502" i="2" s="1"/>
  <c r="H12" i="4"/>
  <c r="BB12" i="2"/>
  <c r="BC12" i="2" s="1"/>
  <c r="BI12" i="2" s="1"/>
  <c r="BB684" i="2"/>
  <c r="BC684" i="2" s="1"/>
  <c r="BI684" i="2" s="1"/>
  <c r="BB620" i="2"/>
  <c r="BC620" i="2" s="1"/>
  <c r="BI620" i="2" s="1"/>
  <c r="BB1286" i="2"/>
  <c r="BC1286" i="2" s="1"/>
  <c r="BI1286" i="2" s="1"/>
  <c r="BB837" i="2"/>
  <c r="BC837" i="2" s="1"/>
  <c r="BI837" i="2" s="1"/>
  <c r="BB2424" i="2"/>
  <c r="BC2424" i="2" s="1"/>
  <c r="BI2424" i="2" s="1"/>
  <c r="BB1287" i="2"/>
  <c r="BC1287" i="2" s="1"/>
  <c r="BI1287" i="2" s="1"/>
  <c r="BB2408" i="2"/>
  <c r="BC2408" i="2" s="1"/>
  <c r="BI2408" i="2" s="1"/>
  <c r="BK891" i="2"/>
  <c r="BJ891" i="2"/>
  <c r="BB2338" i="2"/>
  <c r="BC2338" i="2" s="1"/>
  <c r="BI2338" i="2" s="1"/>
  <c r="BB741" i="2"/>
  <c r="BC741" i="2" s="1"/>
  <c r="BI741" i="2" s="1"/>
  <c r="BB535" i="2"/>
  <c r="BC535" i="2" s="1"/>
  <c r="BI535" i="2" s="1"/>
  <c r="BB584" i="2"/>
  <c r="BC584" i="2" s="1"/>
  <c r="BI584" i="2" s="1"/>
  <c r="BB1652" i="2"/>
  <c r="BC1652" i="2" s="1"/>
  <c r="BI1652" i="2" s="1"/>
  <c r="BB1018" i="2"/>
  <c r="BC1018" i="2" s="1"/>
  <c r="BI1018" i="2" s="1"/>
  <c r="BB2140" i="2"/>
  <c r="BC2140" i="2" s="1"/>
  <c r="BI2140" i="2" s="1"/>
  <c r="BB1031" i="2"/>
  <c r="BC1031" i="2" s="1"/>
  <c r="BI1031" i="2" s="1"/>
  <c r="BB951" i="2"/>
  <c r="BC951" i="2" s="1"/>
  <c r="BI951" i="2" s="1"/>
  <c r="BB2019" i="2"/>
  <c r="BC2019" i="2" s="1"/>
  <c r="BI2019" i="2" s="1"/>
  <c r="BB2446" i="2"/>
  <c r="BC2446" i="2" s="1"/>
  <c r="BI2446" i="2" s="1"/>
  <c r="BB2344" i="2"/>
  <c r="BC2344" i="2" s="1"/>
  <c r="BI2344" i="2" s="1"/>
  <c r="BB1776" i="2"/>
  <c r="BC1776" i="2" s="1"/>
  <c r="BI1776" i="2" s="1"/>
  <c r="BB1644" i="2"/>
  <c r="BC1644" i="2" s="1"/>
  <c r="BI1644" i="2" s="1"/>
  <c r="BB1670" i="2"/>
  <c r="BC1670" i="2" s="1"/>
  <c r="BI1670" i="2" s="1"/>
  <c r="BB411" i="2"/>
  <c r="BC411" i="2" s="1"/>
  <c r="BI411" i="2" s="1"/>
  <c r="BB342" i="2"/>
  <c r="BC342" i="2" s="1"/>
  <c r="BI342" i="2" s="1"/>
  <c r="BB439" i="2"/>
  <c r="BC439" i="2" s="1"/>
  <c r="BI439" i="2" s="1"/>
  <c r="BB2345" i="2"/>
  <c r="BC2345" i="2" s="1"/>
  <c r="BI2345" i="2" s="1"/>
  <c r="BB1569" i="2"/>
  <c r="BC1569" i="2" s="1"/>
  <c r="BI1569" i="2" s="1"/>
  <c r="BB1619" i="2"/>
  <c r="BC1619" i="2" s="1"/>
  <c r="BI1619" i="2" s="1"/>
  <c r="BB1127" i="2"/>
  <c r="BC1127" i="2" s="1"/>
  <c r="BI1127" i="2" s="1"/>
  <c r="BB1488" i="2"/>
  <c r="BC1488" i="2" s="1"/>
  <c r="BI1488" i="2" s="1"/>
  <c r="BB2262" i="2"/>
  <c r="BC2262" i="2" s="1"/>
  <c r="BI2262" i="2" s="1"/>
  <c r="BB1553" i="2"/>
  <c r="BC1553" i="2" s="1"/>
  <c r="BI1553" i="2" s="1"/>
  <c r="BB2308" i="2"/>
  <c r="BC2308" i="2" s="1"/>
  <c r="BI2308" i="2" s="1"/>
  <c r="BB318" i="2"/>
  <c r="BC318" i="2" s="1"/>
  <c r="BI318" i="2" s="1"/>
  <c r="BB1568" i="2"/>
  <c r="BC1568" i="2" s="1"/>
  <c r="BI1568" i="2" s="1"/>
  <c r="BB632" i="2"/>
  <c r="BC632" i="2" s="1"/>
  <c r="BI632" i="2" s="1"/>
  <c r="BB2229" i="2"/>
  <c r="BC2229" i="2" s="1"/>
  <c r="BI2229" i="2" s="1"/>
  <c r="BB1206" i="2"/>
  <c r="BC1206" i="2" s="1"/>
  <c r="BI1206" i="2" s="1"/>
  <c r="BB2024" i="2"/>
  <c r="BC2024" i="2" s="1"/>
  <c r="BI2024" i="2" s="1"/>
  <c r="BB2331" i="2"/>
  <c r="BC2331" i="2" s="1"/>
  <c r="BI2331" i="2" s="1"/>
  <c r="BB2442" i="2"/>
  <c r="BC2442" i="2" s="1"/>
  <c r="BI2442" i="2" s="1"/>
  <c r="BB2311" i="2"/>
  <c r="BC2311" i="2" s="1"/>
  <c r="BI2311" i="2" s="1"/>
  <c r="BB816" i="2"/>
  <c r="BC816" i="2" s="1"/>
  <c r="BI816" i="2" s="1"/>
  <c r="BB2333" i="2"/>
  <c r="BC2333" i="2" s="1"/>
  <c r="BI2333" i="2" s="1"/>
  <c r="BB1098" i="2"/>
  <c r="BC1098" i="2" s="1"/>
  <c r="BI1098" i="2" s="1"/>
  <c r="BB1536" i="2"/>
  <c r="BC1536" i="2" s="1"/>
  <c r="BI1536" i="2" s="1"/>
  <c r="BB666" i="2"/>
  <c r="BC666" i="2" s="1"/>
  <c r="BI666" i="2" s="1"/>
  <c r="BB1288" i="2"/>
  <c r="BC1288" i="2" s="1"/>
  <c r="BI1288" i="2" s="1"/>
  <c r="BB746" i="2"/>
  <c r="BC746" i="2" s="1"/>
  <c r="BI746" i="2" s="1"/>
  <c r="BB2267" i="2"/>
  <c r="BC2267" i="2" s="1"/>
  <c r="BI2267" i="2" s="1"/>
  <c r="BB483" i="2"/>
  <c r="BC483" i="2" s="1"/>
  <c r="BI483" i="2" s="1"/>
  <c r="BB1847" i="2"/>
  <c r="BC1847" i="2" s="1"/>
  <c r="BI1847" i="2" s="1"/>
  <c r="BB1054" i="2"/>
  <c r="BC1054" i="2" s="1"/>
  <c r="BI1054" i="2" s="1"/>
  <c r="BB1780" i="2"/>
  <c r="BC1780" i="2" s="1"/>
  <c r="BI1780" i="2" s="1"/>
  <c r="BB269" i="2"/>
  <c r="BC269" i="2" s="1"/>
  <c r="BI269" i="2" s="1"/>
  <c r="BB691" i="2"/>
  <c r="BC691" i="2" s="1"/>
  <c r="BI691" i="2" s="1"/>
  <c r="H71" i="4"/>
  <c r="BB71" i="2"/>
  <c r="BC71" i="2" s="1"/>
  <c r="BI71" i="2" s="1"/>
  <c r="BB1240" i="2"/>
  <c r="BC1240" i="2" s="1"/>
  <c r="BI1240" i="2" s="1"/>
  <c r="BB1824" i="2"/>
  <c r="BC1824" i="2" s="1"/>
  <c r="BI1824" i="2" s="1"/>
  <c r="BB1154" i="2"/>
  <c r="BC1154" i="2" s="1"/>
  <c r="BI1154" i="2" s="1"/>
  <c r="BB607" i="2"/>
  <c r="BC607" i="2" s="1"/>
  <c r="BI607" i="2" s="1"/>
  <c r="BB575" i="2"/>
  <c r="BC575" i="2" s="1"/>
  <c r="BI575" i="2" s="1"/>
  <c r="BB2129" i="2"/>
  <c r="BC2129" i="2" s="1"/>
  <c r="BI2129" i="2" s="1"/>
  <c r="BB1976" i="2"/>
  <c r="BC1976" i="2" s="1"/>
  <c r="BI1976" i="2" s="1"/>
  <c r="BB2056" i="2"/>
  <c r="BC2056" i="2" s="1"/>
  <c r="BI2056" i="2" s="1"/>
  <c r="BB2500" i="2"/>
  <c r="BC2500" i="2" s="1"/>
  <c r="BI2500" i="2" s="1"/>
  <c r="H81" i="4"/>
  <c r="BB81" i="2"/>
  <c r="BC81" i="2" s="1"/>
  <c r="BI81" i="2" s="1"/>
  <c r="BB721" i="2"/>
  <c r="BC721" i="2" s="1"/>
  <c r="BI721" i="2" s="1"/>
  <c r="BB2043" i="2"/>
  <c r="BC2043" i="2" s="1"/>
  <c r="BI2043" i="2" s="1"/>
  <c r="BB470" i="2"/>
  <c r="BC470" i="2" s="1"/>
  <c r="BI470" i="2" s="1"/>
  <c r="BB1144" i="2"/>
  <c r="BC1144" i="2" s="1"/>
  <c r="BI1144" i="2" s="1"/>
  <c r="BB2102" i="2"/>
  <c r="BC2102" i="2" s="1"/>
  <c r="BI2102" i="2" s="1"/>
  <c r="BB210" i="2"/>
  <c r="BC210" i="2" s="1"/>
  <c r="BI210" i="2" s="1"/>
  <c r="BB2064" i="2"/>
  <c r="BC2064" i="2" s="1"/>
  <c r="BI2064" i="2" s="1"/>
  <c r="BB1092" i="2"/>
  <c r="BC1092" i="2" s="1"/>
  <c r="BI1092" i="2" s="1"/>
  <c r="BB1425" i="2"/>
  <c r="BC1425" i="2" s="1"/>
  <c r="BI1425" i="2" s="1"/>
  <c r="BB1932" i="2"/>
  <c r="BC1932" i="2" s="1"/>
  <c r="BI1932" i="2" s="1"/>
  <c r="BB1679" i="2"/>
  <c r="BC1679" i="2" s="1"/>
  <c r="BI1679" i="2" s="1"/>
  <c r="BB2211" i="2"/>
  <c r="BC2211" i="2" s="1"/>
  <c r="BI2211" i="2" s="1"/>
  <c r="BB604" i="2"/>
  <c r="BC604" i="2" s="1"/>
  <c r="BI604" i="2" s="1"/>
  <c r="BB572" i="2"/>
  <c r="BC572" i="2" s="1"/>
  <c r="BI572" i="2" s="1"/>
  <c r="BB513" i="2"/>
  <c r="BC513" i="2" s="1"/>
  <c r="BI513" i="2" s="1"/>
  <c r="BB1296" i="2"/>
  <c r="BC1296" i="2" s="1"/>
  <c r="BI1296" i="2" s="1"/>
  <c r="BB898" i="2"/>
  <c r="BC898" i="2" s="1"/>
  <c r="BI898" i="2" s="1"/>
  <c r="BB2101" i="2"/>
  <c r="BC2101" i="2" s="1"/>
  <c r="BI2101" i="2" s="1"/>
  <c r="BB1762" i="2"/>
  <c r="BC1762" i="2" s="1"/>
  <c r="BI1762" i="2" s="1"/>
  <c r="BB1377" i="2"/>
  <c r="BC1377" i="2" s="1"/>
  <c r="BI1377" i="2" s="1"/>
  <c r="BB1026" i="2"/>
  <c r="BC1026" i="2" s="1"/>
  <c r="BI1026" i="2" s="1"/>
  <c r="BB962" i="2"/>
  <c r="BC962" i="2" s="1"/>
  <c r="BI962" i="2" s="1"/>
  <c r="BB2337" i="2"/>
  <c r="BC2337" i="2" s="1"/>
  <c r="BI2337" i="2" s="1"/>
  <c r="BB276" i="2"/>
  <c r="BC276" i="2" s="1"/>
  <c r="BI276" i="2" s="1"/>
  <c r="H167" i="4"/>
  <c r="BB167" i="2"/>
  <c r="BC167" i="2" s="1"/>
  <c r="BI167" i="2" s="1"/>
  <c r="BB273" i="2"/>
  <c r="BC273" i="2" s="1"/>
  <c r="BI273" i="2" s="1"/>
  <c r="BB1440" i="2"/>
  <c r="BC1440" i="2" s="1"/>
  <c r="BI1440" i="2" s="1"/>
  <c r="BB410" i="2"/>
  <c r="BC410" i="2" s="1"/>
  <c r="BI410" i="2" s="1"/>
  <c r="BB1011" i="2"/>
  <c r="BC1011" i="2" s="1"/>
  <c r="BI1011" i="2" s="1"/>
  <c r="BB979" i="2"/>
  <c r="BC979" i="2" s="1"/>
  <c r="BI979" i="2" s="1"/>
  <c r="BB947" i="2"/>
  <c r="BC947" i="2" s="1"/>
  <c r="BI947" i="2" s="1"/>
  <c r="BB1476" i="2"/>
  <c r="BC1476" i="2" s="1"/>
  <c r="BI1476" i="2" s="1"/>
  <c r="BB359" i="2"/>
  <c r="BC359" i="2" s="1"/>
  <c r="BI359" i="2" s="1"/>
  <c r="BB519" i="2"/>
  <c r="BC519" i="2" s="1"/>
  <c r="BI519" i="2" s="1"/>
  <c r="BB764" i="2"/>
  <c r="BC764" i="2" s="1"/>
  <c r="BI764" i="2" s="1"/>
  <c r="BB1872" i="2"/>
  <c r="BC1872" i="2" s="1"/>
  <c r="BI1872" i="2" s="1"/>
  <c r="BB705" i="2"/>
  <c r="BC705" i="2" s="1"/>
  <c r="BI705" i="2" s="1"/>
  <c r="BB467" i="2"/>
  <c r="BC467" i="2" s="1"/>
  <c r="BI467" i="2" s="1"/>
  <c r="BB1716" i="2"/>
  <c r="BC1716" i="2" s="1"/>
  <c r="BI1716" i="2" s="1"/>
  <c r="BB1665" i="2"/>
  <c r="BC1665" i="2" s="1"/>
  <c r="BI1665" i="2" s="1"/>
  <c r="BB1537" i="2"/>
  <c r="BC1537" i="2" s="1"/>
  <c r="BI1537" i="2" s="1"/>
  <c r="BB1307" i="2"/>
  <c r="BC1307" i="2" s="1"/>
  <c r="BI1307" i="2" s="1"/>
  <c r="BB1958" i="2"/>
  <c r="BC1958" i="2" s="1"/>
  <c r="BI1958" i="2" s="1"/>
  <c r="BB1894" i="2"/>
  <c r="BC1894" i="2" s="1"/>
  <c r="BI1894" i="2" s="1"/>
  <c r="H8" i="4"/>
  <c r="BB8" i="2"/>
  <c r="BC8" i="2" s="1"/>
  <c r="BI8" i="2" s="1"/>
  <c r="BB2013" i="2"/>
  <c r="BC2013" i="2" s="1"/>
  <c r="BI2013" i="2" s="1"/>
  <c r="BB1842" i="2"/>
  <c r="BC1842" i="2" s="1"/>
  <c r="BI1842" i="2" s="1"/>
  <c r="BB2335" i="2"/>
  <c r="BC2335" i="2" s="1"/>
  <c r="BI2335" i="2" s="1"/>
  <c r="H101" i="4"/>
  <c r="BB101" i="2"/>
  <c r="BC101" i="2" s="1"/>
  <c r="BI101" i="2" s="1"/>
  <c r="BB1979" i="2"/>
  <c r="BC1979" i="2" s="1"/>
  <c r="BI1979" i="2" s="1"/>
  <c r="BB237" i="2"/>
  <c r="BC237" i="2" s="1"/>
  <c r="BI237" i="2" s="1"/>
  <c r="BB2142" i="2"/>
  <c r="BC2142" i="2" s="1"/>
  <c r="BI2142" i="2" s="1"/>
  <c r="BB912" i="2"/>
  <c r="BC912" i="2" s="1"/>
  <c r="BI912" i="2" s="1"/>
  <c r="BB2175" i="2"/>
  <c r="BC2175" i="2" s="1"/>
  <c r="BI2175" i="2" s="1"/>
  <c r="BB2030" i="2"/>
  <c r="BC2030" i="2" s="1"/>
  <c r="BI2030" i="2" s="1"/>
  <c r="BB1525" i="2"/>
  <c r="BC1525" i="2" s="1"/>
  <c r="BI1525" i="2" s="1"/>
  <c r="BB1472" i="2"/>
  <c r="BC1472" i="2" s="1"/>
  <c r="BI1472" i="2" s="1"/>
  <c r="BB2423" i="2"/>
  <c r="BC2423" i="2" s="1"/>
  <c r="BI2423" i="2" s="1"/>
  <c r="BB2059" i="2"/>
  <c r="BC2059" i="2" s="1"/>
  <c r="BI2059" i="2" s="1"/>
  <c r="BB1293" i="2"/>
  <c r="BC1293" i="2" s="1"/>
  <c r="BI1293" i="2" s="1"/>
  <c r="BB1493" i="2"/>
  <c r="BC1493" i="2" s="1"/>
  <c r="BI1493" i="2" s="1"/>
  <c r="BB462" i="2"/>
  <c r="BC462" i="2" s="1"/>
  <c r="BI462" i="2" s="1"/>
  <c r="BB1166" i="2"/>
  <c r="BC1166" i="2" s="1"/>
  <c r="BI1166" i="2" s="1"/>
  <c r="BB2148" i="2"/>
  <c r="BC2148" i="2" s="1"/>
  <c r="BI2148" i="2" s="1"/>
  <c r="BB823" i="2"/>
  <c r="BC823" i="2" s="1"/>
  <c r="BI823" i="2" s="1"/>
  <c r="BB1689" i="2"/>
  <c r="BC1689" i="2" s="1"/>
  <c r="BI1689" i="2" s="1"/>
  <c r="BB1125" i="2"/>
  <c r="BC1125" i="2" s="1"/>
  <c r="BI1125" i="2" s="1"/>
  <c r="BB234" i="2"/>
  <c r="BC234" i="2" s="1"/>
  <c r="BI234" i="2" s="1"/>
  <c r="BB1750" i="2"/>
  <c r="BC1750" i="2" s="1"/>
  <c r="BI1750" i="2" s="1"/>
  <c r="BB1368" i="2"/>
  <c r="BC1368" i="2" s="1"/>
  <c r="BI1368" i="2" s="1"/>
  <c r="BB1640" i="2"/>
  <c r="BC1640" i="2" s="1"/>
  <c r="BI1640" i="2" s="1"/>
  <c r="BB1142" i="2"/>
  <c r="BC1142" i="2" s="1"/>
  <c r="BI1142" i="2" s="1"/>
  <c r="BB1461" i="2"/>
  <c r="BC1461" i="2" s="1"/>
  <c r="BI1461" i="2" s="1"/>
  <c r="BB2285" i="2"/>
  <c r="BC2285" i="2" s="1"/>
  <c r="BI2285" i="2" s="1"/>
  <c r="BB1230" i="2"/>
  <c r="BC1230" i="2" s="1"/>
  <c r="BI1230" i="2" s="1"/>
  <c r="BB770" i="2"/>
  <c r="BC770" i="2" s="1"/>
  <c r="BI770" i="2" s="1"/>
  <c r="BB251" i="2"/>
  <c r="BC251" i="2" s="1"/>
  <c r="BI251" i="2" s="1"/>
  <c r="BB1275" i="2"/>
  <c r="BC1275" i="2" s="1"/>
  <c r="BI1275" i="2" s="1"/>
  <c r="BB1231" i="2"/>
  <c r="BC1231" i="2" s="1"/>
  <c r="BI1231" i="2" s="1"/>
  <c r="H181" i="4"/>
  <c r="BB181" i="2"/>
  <c r="BC181" i="2" s="1"/>
  <c r="BI181" i="2" s="1"/>
  <c r="BB328" i="2"/>
  <c r="BC328" i="2" s="1"/>
  <c r="BI328" i="2" s="1"/>
  <c r="BB2263" i="2"/>
  <c r="BC2263" i="2" s="1"/>
  <c r="BI2263" i="2" s="1"/>
  <c r="BB1160" i="2"/>
  <c r="BC1160" i="2" s="1"/>
  <c r="BI1160" i="2" s="1"/>
  <c r="BB221" i="2"/>
  <c r="BC221" i="2" s="1"/>
  <c r="BI221" i="2" s="1"/>
  <c r="BB2302" i="2"/>
  <c r="BC2302" i="2" s="1"/>
  <c r="BI2302" i="2" s="1"/>
  <c r="BB2238" i="2"/>
  <c r="BC2238" i="2" s="1"/>
  <c r="BI2238" i="2" s="1"/>
  <c r="BB337" i="2"/>
  <c r="BC337" i="2" s="1"/>
  <c r="BI337" i="2" s="1"/>
  <c r="BB1096" i="2"/>
  <c r="BC1096" i="2" s="1"/>
  <c r="BI1096" i="2" s="1"/>
  <c r="BB522" i="2"/>
  <c r="BC522" i="2" s="1"/>
  <c r="BI522" i="2" s="1"/>
  <c r="BB1316" i="2"/>
  <c r="BC1316" i="2" s="1"/>
  <c r="BI1316" i="2" s="1"/>
  <c r="BB490" i="2"/>
  <c r="BC490" i="2" s="1"/>
  <c r="BI490" i="2" s="1"/>
  <c r="BB1588" i="2"/>
  <c r="BC1588" i="2" s="1"/>
  <c r="BI1588" i="2" s="1"/>
  <c r="BB365" i="2"/>
  <c r="BC365" i="2" s="1"/>
  <c r="BI365" i="2" s="1"/>
  <c r="BB2252" i="2"/>
  <c r="BC2252" i="2" s="1"/>
  <c r="BI2252" i="2" s="1"/>
  <c r="BB2328" i="2"/>
  <c r="BC2328" i="2" s="1"/>
  <c r="BI2328" i="2" s="1"/>
  <c r="BB265" i="2"/>
  <c r="BC265" i="2" s="1"/>
  <c r="BI265" i="2" s="1"/>
  <c r="BB1529" i="2"/>
  <c r="BC1529" i="2" s="1"/>
  <c r="BI1529" i="2" s="1"/>
  <c r="BB785" i="2"/>
  <c r="BC785" i="2" s="1"/>
  <c r="BI785" i="2" s="1"/>
  <c r="BB1012" i="2"/>
  <c r="BC1012" i="2" s="1"/>
  <c r="BI1012" i="2" s="1"/>
  <c r="BB948" i="2"/>
  <c r="BC948" i="2" s="1"/>
  <c r="BI948" i="2" s="1"/>
  <c r="BB651" i="2"/>
  <c r="BC651" i="2" s="1"/>
  <c r="BI651" i="2" s="1"/>
  <c r="BB1576" i="2"/>
  <c r="BC1576" i="2" s="1"/>
  <c r="BI1576" i="2" s="1"/>
  <c r="BB688" i="2"/>
  <c r="BC688" i="2" s="1"/>
  <c r="BI688" i="2" s="1"/>
  <c r="BB624" i="2"/>
  <c r="BC624" i="2" s="1"/>
  <c r="BI624" i="2" s="1"/>
  <c r="H25" i="4"/>
  <c r="BB25" i="2"/>
  <c r="BC25" i="2" s="1"/>
  <c r="BI25" i="2" s="1"/>
  <c r="H45" i="4"/>
  <c r="BB45" i="2"/>
  <c r="BC45" i="2" s="1"/>
  <c r="BI45" i="2" s="1"/>
  <c r="BB1703" i="2"/>
  <c r="BC1703" i="2" s="1"/>
  <c r="BI1703" i="2" s="1"/>
  <c r="BB576" i="2"/>
  <c r="BC576" i="2" s="1"/>
  <c r="BI576" i="2" s="1"/>
  <c r="BB938" i="2"/>
  <c r="BC938" i="2" s="1"/>
  <c r="BI938" i="2" s="1"/>
  <c r="BB1378" i="2"/>
  <c r="BC1378" i="2" s="1"/>
  <c r="BI1378" i="2" s="1"/>
  <c r="BB1203" i="2"/>
  <c r="BC1203" i="2" s="1"/>
  <c r="BI1203" i="2" s="1"/>
  <c r="BB1920" i="2"/>
  <c r="BC1920" i="2" s="1"/>
  <c r="BI1920" i="2" s="1"/>
  <c r="BB2006" i="2"/>
  <c r="BC2006" i="2" s="1"/>
  <c r="BI2006" i="2" s="1"/>
  <c r="BB368" i="2"/>
  <c r="BC368" i="2" s="1"/>
  <c r="BI368" i="2" s="1"/>
  <c r="BB771" i="2"/>
  <c r="BC771" i="2" s="1"/>
  <c r="BI771" i="2" s="1"/>
  <c r="BB1375" i="2"/>
  <c r="BC1375" i="2" s="1"/>
  <c r="BI1375" i="2" s="1"/>
  <c r="BB2269" i="2"/>
  <c r="BC2269" i="2" s="1"/>
  <c r="BI2269" i="2" s="1"/>
  <c r="BB1241" i="2"/>
  <c r="BC1241" i="2" s="1"/>
  <c r="BI1241" i="2" s="1"/>
  <c r="BB325" i="2"/>
  <c r="BC325" i="2" s="1"/>
  <c r="BI325" i="2" s="1"/>
  <c r="BB1310" i="2"/>
  <c r="BC1310" i="2" s="1"/>
  <c r="BI1310" i="2" s="1"/>
  <c r="BB1462" i="2"/>
  <c r="BC1462" i="2" s="1"/>
  <c r="BI1462" i="2" s="1"/>
  <c r="BB2021" i="2"/>
  <c r="BC2021" i="2" s="1"/>
  <c r="BI2021" i="2" s="1"/>
  <c r="BB639" i="2"/>
  <c r="BC639" i="2" s="1"/>
  <c r="BI639" i="2" s="1"/>
  <c r="BB880" i="2"/>
  <c r="BC880" i="2" s="1"/>
  <c r="BI880" i="2" s="1"/>
  <c r="BB2373" i="2"/>
  <c r="BC2373" i="2" s="1"/>
  <c r="BI2373" i="2" s="1"/>
  <c r="BB1074" i="2"/>
  <c r="BC1074" i="2" s="1"/>
  <c r="BI1074" i="2" s="1"/>
  <c r="BB287" i="2"/>
  <c r="BC287" i="2" s="1"/>
  <c r="BI287" i="2" s="1"/>
  <c r="BB1201" i="2"/>
  <c r="BC1201" i="2" s="1"/>
  <c r="BI1201" i="2" s="1"/>
  <c r="BB718" i="2"/>
  <c r="BC718" i="2" s="1"/>
  <c r="BI718" i="2" s="1"/>
  <c r="BB654" i="2"/>
  <c r="BC654" i="2" s="1"/>
  <c r="BI654" i="2" s="1"/>
  <c r="BB876" i="2"/>
  <c r="BC876" i="2" s="1"/>
  <c r="BI876" i="2" s="1"/>
  <c r="BB539" i="2"/>
  <c r="BC539" i="2" s="1"/>
  <c r="BI539" i="2" s="1"/>
  <c r="BB1255" i="2"/>
  <c r="BC1255" i="2" s="1"/>
  <c r="BI1255" i="2" s="1"/>
  <c r="BB2168" i="2"/>
  <c r="BC2168" i="2" s="1"/>
  <c r="BI2168" i="2" s="1"/>
  <c r="BB1638" i="2"/>
  <c r="BC1638" i="2" s="1"/>
  <c r="BI1638" i="2" s="1"/>
  <c r="BB1384" i="2"/>
  <c r="BC1384" i="2" s="1"/>
  <c r="BI1384" i="2" s="1"/>
  <c r="BB1306" i="2"/>
  <c r="BC1306" i="2" s="1"/>
  <c r="BI1306" i="2" s="1"/>
  <c r="BB1352" i="2"/>
  <c r="BC1352" i="2" s="1"/>
  <c r="BI1352" i="2" s="1"/>
  <c r="BB1467" i="2"/>
  <c r="BC1467" i="2" s="1"/>
  <c r="BI1467" i="2" s="1"/>
  <c r="BB1126" i="2"/>
  <c r="BC1126" i="2" s="1"/>
  <c r="BI1126" i="2" s="1"/>
  <c r="BB1433" i="2"/>
  <c r="BC1433" i="2" s="1"/>
  <c r="BI1433" i="2" s="1"/>
  <c r="BB2372" i="2"/>
  <c r="BC2372" i="2" s="1"/>
  <c r="BI2372" i="2" s="1"/>
  <c r="BB1169" i="2"/>
  <c r="BC1169" i="2" s="1"/>
  <c r="BI1169" i="2" s="1"/>
  <c r="BB1227" i="2"/>
  <c r="BC1227" i="2" s="1"/>
  <c r="BI1227" i="2" s="1"/>
  <c r="BB421" i="2"/>
  <c r="BC421" i="2" s="1"/>
  <c r="BI421" i="2" s="1"/>
  <c r="BB1254" i="2"/>
  <c r="BC1254" i="2" s="1"/>
  <c r="BI1254" i="2" s="1"/>
  <c r="BB617" i="2"/>
  <c r="BC617" i="2" s="1"/>
  <c r="BI617" i="2" s="1"/>
  <c r="BB585" i="2"/>
  <c r="BC585" i="2" s="1"/>
  <c r="BI585" i="2" s="1"/>
  <c r="BB2115" i="2"/>
  <c r="BC2115" i="2" s="1"/>
  <c r="BI2115" i="2" s="1"/>
  <c r="BB1980" i="2"/>
  <c r="BC1980" i="2" s="1"/>
  <c r="BI1980" i="2" s="1"/>
  <c r="BB1533" i="2"/>
  <c r="BC1533" i="2" s="1"/>
  <c r="BI1533" i="2" s="1"/>
  <c r="BB677" i="2"/>
  <c r="BC677" i="2" s="1"/>
  <c r="BI677" i="2" s="1"/>
  <c r="BB347" i="2"/>
  <c r="BC347" i="2" s="1"/>
  <c r="BI347" i="2" s="1"/>
  <c r="BB2488" i="2"/>
  <c r="BC2488" i="2" s="1"/>
  <c r="BI2488" i="2" s="1"/>
  <c r="BB780" i="2"/>
  <c r="BC780" i="2" s="1"/>
  <c r="BI780" i="2" s="1"/>
  <c r="H121" i="4"/>
  <c r="BB121" i="2"/>
  <c r="BC121" i="2" s="1"/>
  <c r="BI121" i="2" s="1"/>
  <c r="BB1148" i="2"/>
  <c r="BC1148" i="2" s="1"/>
  <c r="BI1148" i="2" s="1"/>
  <c r="BB1193" i="2"/>
  <c r="BC1193" i="2" s="1"/>
  <c r="BI1193" i="2" s="1"/>
  <c r="H40" i="4"/>
  <c r="BB40" i="2"/>
  <c r="BC40" i="2" s="1"/>
  <c r="BI40" i="2" s="1"/>
  <c r="BB1663" i="2"/>
  <c r="BC1663" i="2" s="1"/>
  <c r="BI1663" i="2" s="1"/>
  <c r="BB1876" i="2"/>
  <c r="BC1876" i="2" s="1"/>
  <c r="BI1876" i="2" s="1"/>
  <c r="BB1731" i="2"/>
  <c r="BC1731" i="2" s="1"/>
  <c r="BI1731" i="2" s="1"/>
  <c r="BB614" i="2"/>
  <c r="BC614" i="2" s="1"/>
  <c r="BI614" i="2" s="1"/>
  <c r="BB582" i="2"/>
  <c r="BC582" i="2" s="1"/>
  <c r="BI582" i="2" s="1"/>
  <c r="BB1957" i="2"/>
  <c r="BC1957" i="2" s="1"/>
  <c r="BI1957" i="2" s="1"/>
  <c r="BB902" i="2"/>
  <c r="BC902" i="2" s="1"/>
  <c r="BI902" i="2" s="1"/>
  <c r="BB1109" i="2"/>
  <c r="BC1109" i="2" s="1"/>
  <c r="BI1109" i="2" s="1"/>
  <c r="BB1927" i="2"/>
  <c r="BC1927" i="2" s="1"/>
  <c r="BI1927" i="2" s="1"/>
  <c r="BB1834" i="2"/>
  <c r="BC1834" i="2" s="1"/>
  <c r="BI1834" i="2" s="1"/>
  <c r="BB1014" i="2"/>
  <c r="BC1014" i="2" s="1"/>
  <c r="BI1014" i="2" s="1"/>
  <c r="BB950" i="2"/>
  <c r="BC950" i="2" s="1"/>
  <c r="BI950" i="2" s="1"/>
  <c r="BB417" i="2"/>
  <c r="BC417" i="2" s="1"/>
  <c r="BI417" i="2" s="1"/>
  <c r="BB2297" i="2"/>
  <c r="BC2297" i="2" s="1"/>
  <c r="BI2297" i="2" s="1"/>
  <c r="BB2320" i="2"/>
  <c r="BC2320" i="2" s="1"/>
  <c r="BI2320" i="2" s="1"/>
  <c r="BB1682" i="2"/>
  <c r="BC1682" i="2" s="1"/>
  <c r="BI1682" i="2" s="1"/>
  <c r="BB2174" i="2"/>
  <c r="BC2174" i="2" s="1"/>
  <c r="BI2174" i="2" s="1"/>
  <c r="BB808" i="2"/>
  <c r="BC808" i="2" s="1"/>
  <c r="BI808" i="2" s="1"/>
  <c r="BB2138" i="2"/>
  <c r="BC2138" i="2" s="1"/>
  <c r="BI2138" i="2" s="1"/>
  <c r="BB1037" i="2"/>
  <c r="BC1037" i="2" s="1"/>
  <c r="BI1037" i="2" s="1"/>
  <c r="BB1005" i="2"/>
  <c r="BC1005" i="2" s="1"/>
  <c r="BI1005" i="2" s="1"/>
  <c r="BB973" i="2"/>
  <c r="BC973" i="2" s="1"/>
  <c r="BI973" i="2" s="1"/>
  <c r="BB941" i="2"/>
  <c r="BC941" i="2" s="1"/>
  <c r="BI941" i="2" s="1"/>
  <c r="BB455" i="2"/>
  <c r="BC455" i="2" s="1"/>
  <c r="BI455" i="2" s="1"/>
  <c r="BB828" i="2"/>
  <c r="BC828" i="2" s="1"/>
  <c r="BI828" i="2" s="1"/>
  <c r="BB1912" i="2"/>
  <c r="BC1912" i="2" s="1"/>
  <c r="BI1912" i="2" s="1"/>
  <c r="BB1309" i="2"/>
  <c r="BC1309" i="2" s="1"/>
  <c r="BI1309" i="2" s="1"/>
  <c r="BB1053" i="2"/>
  <c r="BC1053" i="2" s="1"/>
  <c r="BI1053" i="2" s="1"/>
  <c r="BB435" i="2"/>
  <c r="BC435" i="2" s="1"/>
  <c r="BI435" i="2" s="1"/>
  <c r="BB1752" i="2"/>
  <c r="BC1752" i="2" s="1"/>
  <c r="BI1752" i="2" s="1"/>
  <c r="BB1688" i="2"/>
  <c r="BC1688" i="2" s="1"/>
  <c r="BI1688" i="2" s="1"/>
  <c r="BB1667" i="2"/>
  <c r="BC1667" i="2" s="1"/>
  <c r="BI1667" i="2" s="1"/>
  <c r="BB1962" i="2"/>
  <c r="BC1962" i="2" s="1"/>
  <c r="BI1962" i="2" s="1"/>
  <c r="BB1898" i="2"/>
  <c r="BC1898" i="2" s="1"/>
  <c r="BI1898" i="2" s="1"/>
  <c r="BB649" i="2"/>
  <c r="BC649" i="2" s="1"/>
  <c r="BI649" i="2" s="1"/>
  <c r="BB857" i="2"/>
  <c r="BC857" i="2" s="1"/>
  <c r="BI857" i="2" s="1"/>
  <c r="BB1901" i="2"/>
  <c r="BC1901" i="2" s="1"/>
  <c r="BI1901" i="2" s="1"/>
  <c r="H46" i="4"/>
  <c r="BB46" i="2"/>
  <c r="BC46" i="2" s="1"/>
  <c r="BI46" i="2" s="1"/>
  <c r="BB1656" i="2"/>
  <c r="BC1656" i="2" s="1"/>
  <c r="BI1656" i="2" s="1"/>
  <c r="BB1444" i="2"/>
  <c r="BC1444" i="2" s="1"/>
  <c r="BI1444" i="2" s="1"/>
  <c r="BB1319" i="2"/>
  <c r="BC1319" i="2" s="1"/>
  <c r="BI1319" i="2" s="1"/>
  <c r="BB732" i="2"/>
  <c r="BC732" i="2" s="1"/>
  <c r="BI732" i="2" s="1"/>
  <c r="BB1813" i="2"/>
  <c r="BC1813" i="2" s="1"/>
  <c r="BI1813" i="2" s="1"/>
  <c r="H146" i="4"/>
  <c r="BB146" i="2"/>
  <c r="BC146" i="2" s="1"/>
  <c r="BI146" i="2" s="1"/>
  <c r="BB883" i="2"/>
  <c r="BC883" i="2" s="1"/>
  <c r="BI883" i="2" s="1"/>
  <c r="BB1590" i="2"/>
  <c r="BC1590" i="2" s="1"/>
  <c r="BI1590" i="2" s="1"/>
  <c r="BB2289" i="2"/>
  <c r="BC2289" i="2" s="1"/>
  <c r="BI2289" i="2" s="1"/>
  <c r="BB2417" i="2"/>
  <c r="BC2417" i="2" s="1"/>
  <c r="BI2417" i="2" s="1"/>
  <c r="BB1705" i="2"/>
  <c r="BC1705" i="2" s="1"/>
  <c r="BI1705" i="2" s="1"/>
  <c r="BB1747" i="2"/>
  <c r="BC1747" i="2" s="1"/>
  <c r="BI1747" i="2" s="1"/>
  <c r="BB765" i="2"/>
  <c r="BC765" i="2" s="1"/>
  <c r="BI765" i="2" s="1"/>
  <c r="BB1722" i="2"/>
  <c r="BC1722" i="2" s="1"/>
  <c r="BI1722" i="2" s="1"/>
  <c r="BB1985" i="2"/>
  <c r="BC1985" i="2" s="1"/>
  <c r="BI1985" i="2" s="1"/>
  <c r="BB2343" i="2"/>
  <c r="BC2343" i="2" s="1"/>
  <c r="BI2343" i="2" s="1"/>
  <c r="BB2190" i="2"/>
  <c r="BC2190" i="2" s="1"/>
  <c r="BI2190" i="2" s="1"/>
  <c r="BB1877" i="2"/>
  <c r="BC1877" i="2" s="1"/>
  <c r="BI1877" i="2" s="1"/>
  <c r="BB496" i="2"/>
  <c r="BC496" i="2" s="1"/>
  <c r="BI496" i="2" s="1"/>
  <c r="BB1177" i="2"/>
  <c r="BC1177" i="2" s="1"/>
  <c r="BI1177" i="2" s="1"/>
  <c r="BB1077" i="2"/>
  <c r="BC1077" i="2" s="1"/>
  <c r="BI1077" i="2" s="1"/>
  <c r="BB280" i="2"/>
  <c r="BC280" i="2" s="1"/>
  <c r="BI280" i="2" s="1"/>
  <c r="H133" i="4"/>
  <c r="BB133" i="2"/>
  <c r="BC133" i="2" s="1"/>
  <c r="BI133" i="2" s="1"/>
  <c r="BB1343" i="2"/>
  <c r="BC1343" i="2" s="1"/>
  <c r="BI1343" i="2" s="1"/>
  <c r="BB203" i="2"/>
  <c r="BC203" i="2" s="1"/>
  <c r="BI203" i="2" s="1"/>
  <c r="BB1063" i="2"/>
  <c r="BC1063" i="2" s="1"/>
  <c r="BI1063" i="2" s="1"/>
  <c r="BB1913" i="2"/>
  <c r="BC1913" i="2" s="1"/>
  <c r="BI1913" i="2" s="1"/>
  <c r="BB1585" i="2"/>
  <c r="BC1585" i="2" s="1"/>
  <c r="BI1585" i="2" s="1"/>
  <c r="BB2399" i="2"/>
  <c r="BC2399" i="2" s="1"/>
  <c r="BI2399" i="2" s="1"/>
  <c r="BB311" i="2"/>
  <c r="BC311" i="2" s="1"/>
  <c r="BI311" i="2" s="1"/>
  <c r="BB1489" i="2"/>
  <c r="BC1489" i="2" s="1"/>
  <c r="BI1489" i="2" s="1"/>
  <c r="BB2453" i="2"/>
  <c r="BC2453" i="2" s="1"/>
  <c r="BI2453" i="2" s="1"/>
  <c r="BB1164" i="2"/>
  <c r="BC1164" i="2" s="1"/>
  <c r="BI1164" i="2" s="1"/>
  <c r="BB2290" i="2"/>
  <c r="BC2290" i="2" s="1"/>
  <c r="BI2290" i="2" s="1"/>
  <c r="BB2226" i="2"/>
  <c r="BC2226" i="2" s="1"/>
  <c r="BI2226" i="2" s="1"/>
  <c r="BB1931" i="2"/>
  <c r="BC1931" i="2" s="1"/>
  <c r="BI1931" i="2" s="1"/>
  <c r="BB377" i="2"/>
  <c r="BC377" i="2" s="1"/>
  <c r="BI377" i="2" s="1"/>
  <c r="H137" i="4"/>
  <c r="BB137" i="2"/>
  <c r="BC137" i="2" s="1"/>
  <c r="BI137" i="2" s="1"/>
  <c r="BB1136" i="2"/>
  <c r="BC1136" i="2" s="1"/>
  <c r="BI1136" i="2" s="1"/>
  <c r="BB1584" i="2"/>
  <c r="BC1584" i="2" s="1"/>
  <c r="BI1584" i="2" s="1"/>
  <c r="BB373" i="2"/>
  <c r="BC373" i="2" s="1"/>
  <c r="BI373" i="2" s="1"/>
  <c r="BB2256" i="2"/>
  <c r="BC2256" i="2" s="1"/>
  <c r="BI2256" i="2" s="1"/>
  <c r="BB1119" i="2"/>
  <c r="BC1119" i="2" s="1"/>
  <c r="BI1119" i="2" s="1"/>
  <c r="H51" i="4"/>
  <c r="BB51" i="2"/>
  <c r="BC51" i="2" s="1"/>
  <c r="BI51" i="2" s="1"/>
  <c r="BB1207" i="2"/>
  <c r="BC1207" i="2" s="1"/>
  <c r="BI1207" i="2" s="1"/>
  <c r="BB1855" i="2"/>
  <c r="BC1855" i="2" s="1"/>
  <c r="BI1855" i="2" s="1"/>
  <c r="BB1016" i="2"/>
  <c r="BC1016" i="2" s="1"/>
  <c r="BI1016" i="2" s="1"/>
  <c r="BB952" i="2"/>
  <c r="BC952" i="2" s="1"/>
  <c r="BI952" i="2" s="1"/>
  <c r="BB1564" i="2"/>
  <c r="BC1564" i="2" s="1"/>
  <c r="BI1564" i="2" s="1"/>
  <c r="BB1725" i="2"/>
  <c r="BC1725" i="2" s="1"/>
  <c r="BI1725" i="2" s="1"/>
  <c r="BB792" i="2"/>
  <c r="BC792" i="2" s="1"/>
  <c r="BI792" i="2" s="1"/>
  <c r="BB506" i="2"/>
  <c r="BC506" i="2" s="1"/>
  <c r="BI506" i="2" s="1"/>
  <c r="BB692" i="2"/>
  <c r="BC692" i="2" s="1"/>
  <c r="BI692" i="2" s="1"/>
  <c r="BB628" i="2"/>
  <c r="BC628" i="2" s="1"/>
  <c r="BI628" i="2" s="1"/>
  <c r="BB2416" i="2"/>
  <c r="BC2416" i="2" s="1"/>
  <c r="BI2416" i="2" s="1"/>
  <c r="BB1455" i="2"/>
  <c r="BC1455" i="2" s="1"/>
  <c r="BI1455" i="2" s="1"/>
  <c r="BB1664" i="2"/>
  <c r="BC1664" i="2" s="1"/>
  <c r="BI1664" i="2" s="1"/>
  <c r="BB2080" i="2"/>
  <c r="BC2080" i="2" s="1"/>
  <c r="BI2080" i="2" s="1"/>
  <c r="BB2098" i="2"/>
  <c r="BC2098" i="2" s="1"/>
  <c r="BI2098" i="2" s="1"/>
  <c r="BB2162" i="2"/>
  <c r="BC2162" i="2" s="1"/>
  <c r="BI2162" i="2" s="1"/>
  <c r="BB751" i="2"/>
  <c r="BC751" i="2" s="1"/>
  <c r="BI751" i="2" s="1"/>
  <c r="BB592" i="2"/>
  <c r="BC592" i="2" s="1"/>
  <c r="BI592" i="2" s="1"/>
  <c r="BB1810" i="2"/>
  <c r="BC1810" i="2" s="1"/>
  <c r="BI1810" i="2" s="1"/>
  <c r="BB431" i="2"/>
  <c r="BC431" i="2" s="1"/>
  <c r="BI431" i="2" s="1"/>
  <c r="BB943" i="2"/>
  <c r="BC943" i="2" s="1"/>
  <c r="BI943" i="2" s="1"/>
  <c r="BB375" i="2"/>
  <c r="BC375" i="2" s="1"/>
  <c r="BI375" i="2" s="1"/>
  <c r="BB1952" i="2"/>
  <c r="BC1952" i="2" s="1"/>
  <c r="BI1952" i="2" s="1"/>
  <c r="BB475" i="2"/>
  <c r="BC475" i="2" s="1"/>
  <c r="BI475" i="2" s="1"/>
  <c r="BB1989" i="2"/>
  <c r="BC1989" i="2" s="1"/>
  <c r="BI1989" i="2" s="1"/>
  <c r="BB2313" i="2"/>
  <c r="BC2313" i="2" s="1"/>
  <c r="BI2313" i="2" s="1"/>
  <c r="BB791" i="2"/>
  <c r="BC791" i="2" s="1"/>
  <c r="BI791" i="2" s="1"/>
  <c r="BB2052" i="2"/>
  <c r="BC2052" i="2" s="1"/>
  <c r="BI2052" i="2" s="1"/>
  <c r="H166" i="4"/>
  <c r="BB166" i="2"/>
  <c r="BC166" i="2" s="1"/>
  <c r="BI166" i="2" s="1"/>
  <c r="H37" i="4"/>
  <c r="BB37" i="2"/>
  <c r="BC37" i="2" s="1"/>
  <c r="BI37" i="2" s="1"/>
  <c r="BB802" i="2"/>
  <c r="BC802" i="2" s="1"/>
  <c r="BI802" i="2" s="1"/>
  <c r="H75" i="4"/>
  <c r="BB75" i="2"/>
  <c r="BC75" i="2" s="1"/>
  <c r="BI75" i="2" s="1"/>
  <c r="H157" i="4"/>
  <c r="BB157" i="2"/>
  <c r="BC157" i="2" s="1"/>
  <c r="BI157" i="2" s="1"/>
  <c r="BB1268" i="2"/>
  <c r="BC1268" i="2" s="1"/>
  <c r="BI1268" i="2" s="1"/>
  <c r="BB2246" i="2"/>
  <c r="BC2246" i="2" s="1"/>
  <c r="BI2246" i="2" s="1"/>
  <c r="BB282" i="2"/>
  <c r="BC282" i="2" s="1"/>
  <c r="BI282" i="2" s="1"/>
  <c r="BB2244" i="2"/>
  <c r="BC2244" i="2" s="1"/>
  <c r="BI2244" i="2" s="1"/>
  <c r="BB2474" i="2"/>
  <c r="BC2474" i="2" s="1"/>
  <c r="BI2474" i="2" s="1"/>
  <c r="BB873" i="2"/>
  <c r="BC873" i="2" s="1"/>
  <c r="BI873" i="2" s="1"/>
  <c r="BB940" i="2"/>
  <c r="BC940" i="2" s="1"/>
  <c r="BI940" i="2" s="1"/>
  <c r="BB2153" i="2"/>
  <c r="BC2153" i="2" s="1"/>
  <c r="BI2153" i="2" s="1"/>
  <c r="BB214" i="2"/>
  <c r="BC214" i="2" s="1"/>
  <c r="BI214" i="2" s="1"/>
  <c r="BB1466" i="2"/>
  <c r="BC1466" i="2" s="1"/>
  <c r="BI1466" i="2" s="1"/>
  <c r="BB655" i="2"/>
  <c r="BC655" i="2" s="1"/>
  <c r="BI655" i="2" s="1"/>
  <c r="BB471" i="2"/>
  <c r="BC471" i="2" s="1"/>
  <c r="BI471" i="2" s="1"/>
  <c r="BB2317" i="2"/>
  <c r="BC2317" i="2" s="1"/>
  <c r="BI2317" i="2" s="1"/>
  <c r="BB1547" i="2"/>
  <c r="BC1547" i="2" s="1"/>
  <c r="BI1547" i="2" s="1"/>
  <c r="BB1050" i="2"/>
  <c r="BC1050" i="2" s="1"/>
  <c r="BI1050" i="2" s="1"/>
  <c r="BB523" i="2"/>
  <c r="BC523" i="2" s="1"/>
  <c r="BI523" i="2" s="1"/>
  <c r="BB1422" i="2"/>
  <c r="BC1422" i="2" s="1"/>
  <c r="BI1422" i="2" s="1"/>
  <c r="BB1544" i="2"/>
  <c r="BC1544" i="2" s="1"/>
  <c r="BI1544" i="2" s="1"/>
  <c r="BB2406" i="2"/>
  <c r="BC2406" i="2" s="1"/>
  <c r="BI2406" i="2" s="1"/>
  <c r="BB1483" i="2"/>
  <c r="BC1483" i="2" s="1"/>
  <c r="BI1483" i="2" s="1"/>
  <c r="BB2067" i="2"/>
  <c r="BC2067" i="2" s="1"/>
  <c r="BI2067" i="2" s="1"/>
  <c r="BB674" i="2"/>
  <c r="BC674" i="2" s="1"/>
  <c r="BI674" i="2" s="1"/>
  <c r="BB2473" i="2"/>
  <c r="BC2473" i="2" s="1"/>
  <c r="BI2473" i="2" s="1"/>
  <c r="BB254" i="2"/>
  <c r="BC254" i="2" s="1"/>
  <c r="BI254" i="2" s="1"/>
  <c r="BB555" i="2"/>
  <c r="BC555" i="2" s="1"/>
  <c r="BI555" i="2" s="1"/>
  <c r="H16" i="4"/>
  <c r="BB16" i="2"/>
  <c r="BC16" i="2" s="1"/>
  <c r="BI16" i="2" s="1"/>
  <c r="BB1655" i="2"/>
  <c r="BC1655" i="2" s="1"/>
  <c r="BI1655" i="2" s="1"/>
  <c r="BB505" i="2"/>
  <c r="BC505" i="2" s="1"/>
  <c r="BI505" i="2" s="1"/>
  <c r="BB1978" i="2"/>
  <c r="BC1978" i="2" s="1"/>
  <c r="BI1978" i="2" s="1"/>
  <c r="BB1600" i="2"/>
  <c r="BC1600" i="2" s="1"/>
  <c r="BI1600" i="2" s="1"/>
  <c r="BB842" i="2"/>
  <c r="BC842" i="2" s="1"/>
  <c r="BI842" i="2" s="1"/>
  <c r="BB1416" i="2"/>
  <c r="BC1416" i="2" s="1"/>
  <c r="BI1416" i="2" s="1"/>
  <c r="BB1326" i="2"/>
  <c r="BC1326" i="2" s="1"/>
  <c r="BI1326" i="2" s="1"/>
  <c r="BB213" i="2"/>
  <c r="BC213" i="2" s="1"/>
  <c r="BI213" i="2" s="1"/>
  <c r="BB1253" i="2"/>
  <c r="BC1253" i="2" s="1"/>
  <c r="BI1253" i="2" s="1"/>
  <c r="H165" i="4"/>
  <c r="BB165" i="2"/>
  <c r="BC165" i="2" s="1"/>
  <c r="BI165" i="2" s="1"/>
  <c r="BB1134" i="2"/>
  <c r="BC1134" i="2" s="1"/>
  <c r="BI1134" i="2" s="1"/>
  <c r="BB779" i="2"/>
  <c r="BC779" i="2" s="1"/>
  <c r="BI779" i="2" s="1"/>
  <c r="BB2316" i="2"/>
  <c r="BC2316" i="2" s="1"/>
  <c r="BI2316" i="2" s="1"/>
  <c r="BB1163" i="2"/>
  <c r="BC1163" i="2" s="1"/>
  <c r="BI1163" i="2" s="1"/>
  <c r="BB1574" i="2"/>
  <c r="BC1574" i="2" s="1"/>
  <c r="BI1574" i="2" s="1"/>
  <c r="BB659" i="2"/>
  <c r="BC659" i="2" s="1"/>
  <c r="BI659" i="2" s="1"/>
  <c r="BB453" i="2"/>
  <c r="BC453" i="2" s="1"/>
  <c r="BI453" i="2" s="1"/>
  <c r="BB734" i="2"/>
  <c r="BC734" i="2" s="1"/>
  <c r="BI734" i="2" s="1"/>
  <c r="BB2281" i="2"/>
  <c r="BC2281" i="2" s="1"/>
  <c r="BI2281" i="2" s="1"/>
  <c r="H84" i="4"/>
  <c r="BB84" i="2"/>
  <c r="BC84" i="2" s="1"/>
  <c r="BI84" i="2" s="1"/>
  <c r="BB603" i="2"/>
  <c r="BC603" i="2" s="1"/>
  <c r="BI603" i="2" s="1"/>
  <c r="BB571" i="2"/>
  <c r="BC571" i="2" s="1"/>
  <c r="BI571" i="2" s="1"/>
  <c r="BB2133" i="2"/>
  <c r="BC2133" i="2" s="1"/>
  <c r="BI2133" i="2" s="1"/>
  <c r="BB2156" i="2"/>
  <c r="BC2156" i="2" s="1"/>
  <c r="BI2156" i="2" s="1"/>
  <c r="BB1984" i="2"/>
  <c r="BC1984" i="2" s="1"/>
  <c r="BI1984" i="2" s="1"/>
  <c r="H97" i="4"/>
  <c r="BB97" i="2"/>
  <c r="BC97" i="2" s="1"/>
  <c r="BI97" i="2" s="1"/>
  <c r="BB756" i="2"/>
  <c r="BC756" i="2" s="1"/>
  <c r="BI756" i="2" s="1"/>
  <c r="BB1067" i="2"/>
  <c r="BC1067" i="2" s="1"/>
  <c r="BI1067" i="2" s="1"/>
  <c r="BB717" i="2"/>
  <c r="BC717" i="2" s="1"/>
  <c r="BI717" i="2" s="1"/>
  <c r="BB1790" i="2"/>
  <c r="BC1790" i="2" s="1"/>
  <c r="BI1790" i="2" s="1"/>
  <c r="H153" i="4"/>
  <c r="BB153" i="2"/>
  <c r="BC153" i="2" s="1"/>
  <c r="BI153" i="2" s="1"/>
  <c r="BB1793" i="2"/>
  <c r="BC1793" i="2" s="1"/>
  <c r="BI1793" i="2" s="1"/>
  <c r="BB1257" i="2"/>
  <c r="BC1257" i="2" s="1"/>
  <c r="BI1257" i="2" s="1"/>
  <c r="BB1419" i="2"/>
  <c r="BC1419" i="2" s="1"/>
  <c r="BI1419" i="2" s="1"/>
  <c r="H96" i="4"/>
  <c r="BB96" i="2"/>
  <c r="BC96" i="2" s="1"/>
  <c r="BI96" i="2" s="1"/>
  <c r="H145" i="4"/>
  <c r="BB145" i="2"/>
  <c r="BC145" i="2" s="1"/>
  <c r="BI145" i="2" s="1"/>
  <c r="H32" i="4"/>
  <c r="BB32" i="2"/>
  <c r="BC32" i="2" s="1"/>
  <c r="BI32" i="2" s="1"/>
  <c r="BB2478" i="2"/>
  <c r="BC2478" i="2" s="1"/>
  <c r="BI2478" i="2" s="1"/>
  <c r="BB290" i="2"/>
  <c r="BC290" i="2" s="1"/>
  <c r="BI290" i="2" s="1"/>
  <c r="BB1076" i="2"/>
  <c r="BC1076" i="2" s="1"/>
  <c r="BI1076" i="2" s="1"/>
  <c r="BB2057" i="2"/>
  <c r="BC2057" i="2" s="1"/>
  <c r="BI2057" i="2" s="1"/>
  <c r="BB1916" i="2"/>
  <c r="BC1916" i="2" s="1"/>
  <c r="BI1916" i="2" s="1"/>
  <c r="BB2176" i="2"/>
  <c r="BC2176" i="2" s="1"/>
  <c r="BI2176" i="2" s="1"/>
  <c r="BB890" i="2"/>
  <c r="BC890" i="2" s="1"/>
  <c r="BI890" i="2" s="1"/>
  <c r="BB970" i="2"/>
  <c r="BC970" i="2" s="1"/>
  <c r="BI970" i="2" s="1"/>
  <c r="BB2475" i="2"/>
  <c r="BC2475" i="2" s="1"/>
  <c r="BI2475" i="2" s="1"/>
  <c r="BB2116" i="2"/>
  <c r="BC2116" i="2" s="1"/>
  <c r="BI2116" i="2" s="1"/>
  <c r="BB959" i="2"/>
  <c r="BC959" i="2" s="1"/>
  <c r="BI959" i="2" s="1"/>
  <c r="BB1692" i="2"/>
  <c r="BC1692" i="2" s="1"/>
  <c r="BI1692" i="2" s="1"/>
  <c r="BB2084" i="2"/>
  <c r="BC2084" i="2" s="1"/>
  <c r="BI2084" i="2" s="1"/>
  <c r="BB1625" i="2"/>
  <c r="BC1625" i="2" s="1"/>
  <c r="BI1625" i="2" s="1"/>
  <c r="BB409" i="2"/>
  <c r="BC409" i="2" s="1"/>
  <c r="BI409" i="2" s="1"/>
  <c r="BB1848" i="2"/>
  <c r="BC1848" i="2" s="1"/>
  <c r="BI1848" i="2" s="1"/>
  <c r="BB835" i="2"/>
  <c r="BC835" i="2" s="1"/>
  <c r="BI835" i="2" s="1"/>
  <c r="H197" i="4"/>
  <c r="BB197" i="2"/>
  <c r="BC197" i="2" s="1"/>
  <c r="BI197" i="2" s="1"/>
  <c r="BB2495" i="2"/>
  <c r="BC2495" i="2" s="1"/>
  <c r="BI2495" i="2" s="1"/>
  <c r="BB307" i="2"/>
  <c r="BC307" i="2" s="1"/>
  <c r="BI307" i="2" s="1"/>
  <c r="BB1358" i="2"/>
  <c r="BC1358" i="2" s="1"/>
  <c r="BI1358" i="2" s="1"/>
  <c r="BB1593" i="2"/>
  <c r="BC1593" i="2" s="1"/>
  <c r="BI1593" i="2" s="1"/>
  <c r="BB252" i="2"/>
  <c r="BC252" i="2" s="1"/>
  <c r="BI252" i="2" s="1"/>
  <c r="BB1385" i="2"/>
  <c r="BC1385" i="2" s="1"/>
  <c r="BI1385" i="2" s="1"/>
  <c r="BB385" i="2"/>
  <c r="BC385" i="2" s="1"/>
  <c r="BI385" i="2" s="1"/>
  <c r="BB865" i="2"/>
  <c r="BC865" i="2" s="1"/>
  <c r="BI865" i="2" s="1"/>
  <c r="BB1567" i="2"/>
  <c r="BC1567" i="2" s="1"/>
  <c r="BI1567" i="2" s="1"/>
  <c r="BB849" i="2"/>
  <c r="BC849" i="2" s="1"/>
  <c r="BI849" i="2" s="1"/>
  <c r="BB1543" i="2"/>
  <c r="BC1543" i="2" s="1"/>
  <c r="BI1543" i="2" s="1"/>
  <c r="BB1482" i="2"/>
  <c r="BC1482" i="2" s="1"/>
  <c r="BI1482" i="2" s="1"/>
  <c r="H142" i="4"/>
  <c r="BB142" i="2"/>
  <c r="BC142" i="2" s="1"/>
  <c r="BI142" i="2" s="1"/>
  <c r="BB2035" i="2"/>
  <c r="BC2035" i="2" s="1"/>
  <c r="BI2035" i="2" s="1"/>
  <c r="BB888" i="2"/>
  <c r="BC888" i="2" s="1"/>
  <c r="BI888" i="2" s="1"/>
  <c r="BB1454" i="2"/>
  <c r="BC1454" i="2" s="1"/>
  <c r="BI1454" i="2" s="1"/>
  <c r="BB2079" i="2"/>
  <c r="BC2079" i="2" s="1"/>
  <c r="BI2079" i="2" s="1"/>
  <c r="BB1470" i="2"/>
  <c r="BC1470" i="2" s="1"/>
  <c r="BI1470" i="2" s="1"/>
  <c r="BB2184" i="2"/>
  <c r="BC2184" i="2" s="1"/>
  <c r="BI2184" i="2" s="1"/>
  <c r="BB2392" i="2"/>
  <c r="BC2392" i="2" s="1"/>
  <c r="BI2392" i="2" s="1"/>
  <c r="BB2325" i="2"/>
  <c r="BC2325" i="2" s="1"/>
  <c r="BI2325" i="2" s="1"/>
  <c r="BB685" i="2"/>
  <c r="BC685" i="2" s="1"/>
  <c r="BI685" i="2" s="1"/>
  <c r="BB418" i="2"/>
  <c r="BC418" i="2" s="1"/>
  <c r="BI418" i="2" s="1"/>
  <c r="BB1090" i="2"/>
  <c r="BC1090" i="2" s="1"/>
  <c r="BI1090" i="2" s="1"/>
  <c r="BB547" i="2"/>
  <c r="BC547" i="2" s="1"/>
  <c r="BI547" i="2" s="1"/>
  <c r="BB437" i="2"/>
  <c r="BC437" i="2" s="1"/>
  <c r="BI437" i="2" s="1"/>
  <c r="BB1426" i="2"/>
  <c r="BC1426" i="2" s="1"/>
  <c r="BI1426" i="2" s="1"/>
  <c r="BB1516" i="2"/>
  <c r="BC1516" i="2" s="1"/>
  <c r="BI1516" i="2" s="1"/>
  <c r="BB1329" i="2"/>
  <c r="BC1329" i="2" s="1"/>
  <c r="BI1329" i="2" s="1"/>
  <c r="H125" i="4"/>
  <c r="BB125" i="2"/>
  <c r="BC125" i="2" s="1"/>
  <c r="BI125" i="2" s="1"/>
  <c r="BB1043" i="2"/>
  <c r="BC1043" i="2" s="1"/>
  <c r="BI1043" i="2" s="1"/>
  <c r="BB662" i="2"/>
  <c r="BC662" i="2" s="1"/>
  <c r="BI662" i="2" s="1"/>
  <c r="BB432" i="2"/>
  <c r="BC432" i="2" s="1"/>
  <c r="BI432" i="2" s="1"/>
  <c r="BB1401" i="2"/>
  <c r="BC1401" i="2" s="1"/>
  <c r="BI1401" i="2" s="1"/>
  <c r="BB202" i="2"/>
  <c r="BC202" i="2" s="1"/>
  <c r="BI202" i="2" s="1"/>
  <c r="BB1224" i="2"/>
  <c r="BC1224" i="2" s="1"/>
  <c r="BI1224" i="2" s="1"/>
  <c r="BB1579" i="2"/>
  <c r="BC1579" i="2" s="1"/>
  <c r="BI1579" i="2" s="1"/>
  <c r="BB858" i="2"/>
  <c r="BC858" i="2" s="1"/>
  <c r="BI858" i="2" s="1"/>
  <c r="BB1436" i="2"/>
  <c r="BC1436" i="2" s="1"/>
  <c r="BI1436" i="2" s="1"/>
  <c r="BB1477" i="2"/>
  <c r="BC1477" i="2" s="1"/>
  <c r="BI1477" i="2" s="1"/>
  <c r="BB244" i="2"/>
  <c r="BC244" i="2" s="1"/>
  <c r="BI244" i="2" s="1"/>
  <c r="BB1317" i="2"/>
  <c r="BC1317" i="2" s="1"/>
  <c r="BI1317" i="2" s="1"/>
  <c r="BB473" i="2"/>
  <c r="BC473" i="2" s="1"/>
  <c r="BI473" i="2" s="1"/>
  <c r="BB1318" i="2"/>
  <c r="BC1318" i="2" s="1"/>
  <c r="BI1318" i="2" s="1"/>
  <c r="H34" i="4"/>
  <c r="BB34" i="2"/>
  <c r="BC34" i="2" s="1"/>
  <c r="BI34" i="2" s="1"/>
  <c r="BB2435" i="2"/>
  <c r="BC2435" i="2" s="1"/>
  <c r="BI2435" i="2" s="1"/>
  <c r="BB1627" i="2"/>
  <c r="BC1627" i="2" s="1"/>
  <c r="BI1627" i="2" s="1"/>
  <c r="BB1573" i="2"/>
  <c r="BC1573" i="2" s="1"/>
  <c r="BI1573" i="2" s="1"/>
  <c r="BB1184" i="2"/>
  <c r="BC1184" i="2" s="1"/>
  <c r="BI1184" i="2" s="1"/>
  <c r="BB1764" i="2"/>
  <c r="BC1764" i="2" s="1"/>
  <c r="BI1764" i="2" s="1"/>
  <c r="BB2356" i="2"/>
  <c r="BC2356" i="2" s="1"/>
  <c r="BI2356" i="2" s="1"/>
  <c r="BB1173" i="2"/>
  <c r="BC1173" i="2" s="1"/>
  <c r="BI1173" i="2" s="1"/>
  <c r="BB2221" i="2"/>
  <c r="BC2221" i="2" s="1"/>
  <c r="BI2221" i="2" s="1"/>
  <c r="BB1047" i="2"/>
  <c r="BC1047" i="2" s="1"/>
  <c r="BI1047" i="2" s="1"/>
  <c r="BB294" i="2"/>
  <c r="BC294" i="2" s="1"/>
  <c r="BI294" i="2" s="1"/>
  <c r="BB814" i="2"/>
  <c r="BC814" i="2" s="1"/>
  <c r="BI814" i="2" s="1"/>
  <c r="BB2305" i="2"/>
  <c r="BC2305" i="2" s="1"/>
  <c r="BI2305" i="2" s="1"/>
  <c r="BB613" i="2"/>
  <c r="BC613" i="2" s="1"/>
  <c r="BI613" i="2" s="1"/>
  <c r="BB581" i="2"/>
  <c r="BC581" i="2" s="1"/>
  <c r="BI581" i="2" s="1"/>
  <c r="BB2135" i="2"/>
  <c r="BC2135" i="2" s="1"/>
  <c r="BI2135" i="2" s="1"/>
  <c r="BB1380" i="2"/>
  <c r="BC1380" i="2" s="1"/>
  <c r="BI1380" i="2" s="1"/>
  <c r="BB1330" i="2"/>
  <c r="BC1330" i="2" s="1"/>
  <c r="BI1330" i="2" s="1"/>
  <c r="BB2004" i="2"/>
  <c r="BC2004" i="2" s="1"/>
  <c r="BI2004" i="2" s="1"/>
  <c r="BB1417" i="2"/>
  <c r="BC1417" i="2" s="1"/>
  <c r="BI1417" i="2" s="1"/>
  <c r="BB645" i="2"/>
  <c r="BC645" i="2" s="1"/>
  <c r="BI645" i="2" s="1"/>
  <c r="BB2498" i="2"/>
  <c r="BC2498" i="2" s="1"/>
  <c r="BI2498" i="2" s="1"/>
  <c r="BB1534" i="2"/>
  <c r="BC1534" i="2" s="1"/>
  <c r="BI1534" i="2" s="1"/>
  <c r="BB226" i="2"/>
  <c r="BC226" i="2" s="1"/>
  <c r="BI226" i="2" s="1"/>
  <c r="BB1292" i="2"/>
  <c r="BC1292" i="2" s="1"/>
  <c r="BI1292" i="2" s="1"/>
  <c r="BB2432" i="2"/>
  <c r="BC2432" i="2" s="1"/>
  <c r="BI2432" i="2" s="1"/>
  <c r="BB2486" i="2"/>
  <c r="BC2486" i="2" s="1"/>
  <c r="BI2486" i="2" s="1"/>
  <c r="BB2467" i="2"/>
  <c r="BC2467" i="2" s="1"/>
  <c r="BI2467" i="2" s="1"/>
  <c r="H149" i="4"/>
  <c r="BB149" i="2"/>
  <c r="BC149" i="2" s="1"/>
  <c r="BI149" i="2" s="1"/>
  <c r="BB1116" i="2"/>
  <c r="BC1116" i="2" s="1"/>
  <c r="BI1116" i="2" s="1"/>
  <c r="BB824" i="2"/>
  <c r="BC824" i="2" s="1"/>
  <c r="BI824" i="2" s="1"/>
  <c r="BB1622" i="2"/>
  <c r="BC1622" i="2" s="1"/>
  <c r="BI1622" i="2" s="1"/>
  <c r="H115" i="4"/>
  <c r="BB115" i="2"/>
  <c r="BC115" i="2" s="1"/>
  <c r="BI115" i="2" s="1"/>
  <c r="BB1924" i="2"/>
  <c r="BC1924" i="2" s="1"/>
  <c r="BI1924" i="2" s="1"/>
  <c r="BB1671" i="2"/>
  <c r="BC1671" i="2" s="1"/>
  <c r="BI1671" i="2" s="1"/>
  <c r="BB602" i="2"/>
  <c r="BC602" i="2" s="1"/>
  <c r="BI602" i="2" s="1"/>
  <c r="BB570" i="2"/>
  <c r="BC570" i="2" s="1"/>
  <c r="BI570" i="2" s="1"/>
  <c r="H199" i="4"/>
  <c r="BB199" i="2"/>
  <c r="BC199" i="2" s="1"/>
  <c r="BI199" i="2" s="1"/>
  <c r="BB2410" i="2"/>
  <c r="BC2410" i="2" s="1"/>
  <c r="BI2410" i="2" s="1"/>
  <c r="BB1879" i="2"/>
  <c r="BC1879" i="2" s="1"/>
  <c r="BI1879" i="2" s="1"/>
  <c r="BB990" i="2"/>
  <c r="BC990" i="2" s="1"/>
  <c r="BI990" i="2" s="1"/>
  <c r="BB1397" i="2"/>
  <c r="BC1397" i="2" s="1"/>
  <c r="BI1397" i="2" s="1"/>
  <c r="BB1727" i="2"/>
  <c r="BC1727" i="2" s="1"/>
  <c r="BI1727" i="2" s="1"/>
  <c r="BB2368" i="2"/>
  <c r="BC2368" i="2" s="1"/>
  <c r="BI2368" i="2" s="1"/>
  <c r="BB2126" i="2"/>
  <c r="BC2126" i="2" s="1"/>
  <c r="BI2126" i="2" s="1"/>
  <c r="BB1017" i="2"/>
  <c r="BC1017" i="2" s="1"/>
  <c r="BI1017" i="2" s="1"/>
  <c r="BB985" i="2"/>
  <c r="BC985" i="2" s="1"/>
  <c r="BI985" i="2" s="1"/>
  <c r="BB953" i="2"/>
  <c r="BC953" i="2" s="1"/>
  <c r="BI953" i="2" s="1"/>
  <c r="BB383" i="2"/>
  <c r="BC383" i="2" s="1"/>
  <c r="BI383" i="2" s="1"/>
  <c r="BB2143" i="2"/>
  <c r="BC2143" i="2" s="1"/>
  <c r="BI2143" i="2" s="1"/>
  <c r="H28" i="4"/>
  <c r="BB28" i="2"/>
  <c r="BC28" i="2" s="1"/>
  <c r="BI28" i="2" s="1"/>
  <c r="BB2464" i="2"/>
  <c r="BC2464" i="2" s="1"/>
  <c r="BI2464" i="2" s="1"/>
  <c r="BB1864" i="2"/>
  <c r="BC1864" i="2" s="1"/>
  <c r="BI1864" i="2" s="1"/>
  <c r="BB689" i="2"/>
  <c r="BC689" i="2" s="1"/>
  <c r="BI689" i="2" s="1"/>
  <c r="BK128" i="2"/>
  <c r="J128" i="4" s="1"/>
  <c r="BJ128" i="2"/>
  <c r="I128" i="4" s="1"/>
  <c r="BB1487" i="2"/>
  <c r="BC1487" i="2" s="1"/>
  <c r="BI1487" i="2" s="1"/>
  <c r="BB1473" i="2"/>
  <c r="BC1473" i="2" s="1"/>
  <c r="BI1473" i="2" s="1"/>
  <c r="BB2454" i="2"/>
  <c r="BC2454" i="2" s="1"/>
  <c r="BI2454" i="2" s="1"/>
  <c r="BB2089" i="2"/>
  <c r="BC2089" i="2" s="1"/>
  <c r="BI2089" i="2" s="1"/>
  <c r="BB1696" i="2"/>
  <c r="BC1696" i="2" s="1"/>
  <c r="BI1696" i="2" s="1"/>
  <c r="BB2082" i="2"/>
  <c r="BC2082" i="2" s="1"/>
  <c r="BI2082" i="2" s="1"/>
  <c r="BB1974" i="2"/>
  <c r="BC1974" i="2" s="1"/>
  <c r="BI1974" i="2" s="1"/>
  <c r="BB1906" i="2"/>
  <c r="BC1906" i="2" s="1"/>
  <c r="BI1906" i="2" s="1"/>
  <c r="BB2409" i="2"/>
  <c r="BC2409" i="2" s="1"/>
  <c r="BI2409" i="2" s="1"/>
  <c r="BB806" i="2"/>
  <c r="BC806" i="2" s="1"/>
  <c r="BI806" i="2" s="1"/>
  <c r="BB1869" i="2"/>
  <c r="BC1869" i="2" s="1"/>
  <c r="BI1869" i="2" s="1"/>
  <c r="BB1609" i="2"/>
  <c r="BC1609" i="2" s="1"/>
  <c r="BI1609" i="2" s="1"/>
  <c r="BB1963" i="2"/>
  <c r="BC1963" i="2" s="1"/>
  <c r="BI1963" i="2" s="1"/>
  <c r="BB2183" i="2"/>
  <c r="BC2183" i="2" s="1"/>
  <c r="BI2183" i="2" s="1"/>
  <c r="BB900" i="2"/>
  <c r="BC900" i="2" s="1"/>
  <c r="BI900" i="2" s="1"/>
  <c r="BB225" i="2"/>
  <c r="BC225" i="2" s="1"/>
  <c r="BI225" i="2" s="1"/>
  <c r="BB2279" i="2"/>
  <c r="BC2279" i="2" s="1"/>
  <c r="BI2279" i="2" s="1"/>
  <c r="BB217" i="2"/>
  <c r="BC217" i="2" s="1"/>
  <c r="BI217" i="2" s="1"/>
  <c r="BB851" i="2"/>
  <c r="BC851" i="2" s="1"/>
  <c r="BI851" i="2" s="1"/>
  <c r="BB2169" i="2"/>
  <c r="BC2169" i="2" s="1"/>
  <c r="BI2169" i="2" s="1"/>
  <c r="H43" i="4"/>
  <c r="BB43" i="2"/>
  <c r="BC43" i="2" s="1"/>
  <c r="BI43" i="2" s="1"/>
  <c r="BB472" i="2"/>
  <c r="BC472" i="2" s="1"/>
  <c r="BI472" i="2" s="1"/>
  <c r="BB1846" i="2"/>
  <c r="BC1846" i="2" s="1"/>
  <c r="BI1846" i="2" s="1"/>
  <c r="BB1850" i="2"/>
  <c r="BC1850" i="2" s="1"/>
  <c r="BI1850" i="2" s="1"/>
  <c r="BB871" i="2"/>
  <c r="BC871" i="2" s="1"/>
  <c r="BI871" i="2" s="1"/>
  <c r="BB1673" i="2"/>
  <c r="BC1673" i="2" s="1"/>
  <c r="BI1673" i="2" s="1"/>
  <c r="BB1061" i="2"/>
  <c r="BC1061" i="2" s="1"/>
  <c r="BI1061" i="2" s="1"/>
  <c r="BB212" i="2"/>
  <c r="BC212" i="2" s="1"/>
  <c r="BI212" i="2" s="1"/>
  <c r="H130" i="4"/>
  <c r="BB130" i="2"/>
  <c r="BC130" i="2" s="1"/>
  <c r="BI130" i="2" s="1"/>
  <c r="BB423" i="2"/>
  <c r="BC423" i="2" s="1"/>
  <c r="BI423" i="2" s="1"/>
  <c r="BB2155" i="2"/>
  <c r="BC2155" i="2" s="1"/>
  <c r="BI2155" i="2" s="1"/>
  <c r="BB1774" i="2"/>
  <c r="BC1774" i="2" s="1"/>
  <c r="BI1774" i="2" s="1"/>
  <c r="BB1608" i="2"/>
  <c r="BC1608" i="2" s="1"/>
  <c r="BI1608" i="2" s="1"/>
  <c r="BB478" i="2"/>
  <c r="BC478" i="2" s="1"/>
  <c r="BI478" i="2" s="1"/>
  <c r="BB285" i="2"/>
  <c r="BC285" i="2" s="1"/>
  <c r="BI285" i="2" s="1"/>
  <c r="BB1215" i="2"/>
  <c r="BC1215" i="2" s="1"/>
  <c r="BI1215" i="2" s="1"/>
  <c r="H69" i="4"/>
  <c r="BB69" i="2"/>
  <c r="BC69" i="2" s="1"/>
  <c r="BI69" i="2" s="1"/>
  <c r="BB1648" i="2"/>
  <c r="BC1648" i="2" s="1"/>
  <c r="BI1648" i="2" s="1"/>
  <c r="BB754" i="2"/>
  <c r="BC754" i="2" s="1"/>
  <c r="BI754" i="2" s="1"/>
  <c r="H17" i="4"/>
  <c r="BB17" i="2"/>
  <c r="BC17" i="2" s="1"/>
  <c r="BI17" i="2" s="1"/>
  <c r="BB1337" i="2"/>
  <c r="BC1337" i="2" s="1"/>
  <c r="BI1337" i="2" s="1"/>
  <c r="BB289" i="2"/>
  <c r="BC289" i="2" s="1"/>
  <c r="BI289" i="2" s="1"/>
  <c r="BB1531" i="2"/>
  <c r="BC1531" i="2" s="1"/>
  <c r="BI1531" i="2" s="1"/>
  <c r="BB2447" i="2"/>
  <c r="BC2447" i="2" s="1"/>
  <c r="BI2447" i="2" s="1"/>
  <c r="BB2266" i="2"/>
  <c r="BC2266" i="2" s="1"/>
  <c r="BI2266" i="2" s="1"/>
  <c r="BB2202" i="2"/>
  <c r="BC2202" i="2" s="1"/>
  <c r="BI2202" i="2" s="1"/>
  <c r="BB1915" i="2"/>
  <c r="BC1915" i="2" s="1"/>
  <c r="BI1915" i="2" s="1"/>
  <c r="BB361" i="2"/>
  <c r="BC361" i="2" s="1"/>
  <c r="BI361" i="2" s="1"/>
  <c r="H201" i="4"/>
  <c r="BB201" i="2"/>
  <c r="BC201" i="2" s="1"/>
  <c r="BI201" i="2" s="1"/>
  <c r="BB1120" i="2"/>
  <c r="BC1120" i="2" s="1"/>
  <c r="BI1120" i="2" s="1"/>
  <c r="BB1314" i="2"/>
  <c r="BC1314" i="2" s="1"/>
  <c r="BI1314" i="2" s="1"/>
  <c r="BB2178" i="2"/>
  <c r="BC2178" i="2" s="1"/>
  <c r="BI2178" i="2" s="1"/>
  <c r="H163" i="4"/>
  <c r="BB163" i="2"/>
  <c r="BC163" i="2" s="1"/>
  <c r="BI163" i="2" s="1"/>
  <c r="BB832" i="2"/>
  <c r="BC832" i="2" s="1"/>
  <c r="BI832" i="2" s="1"/>
  <c r="BB2264" i="2"/>
  <c r="BC2264" i="2" s="1"/>
  <c r="BI2264" i="2" s="1"/>
  <c r="BB2200" i="2"/>
  <c r="BC2200" i="2" s="1"/>
  <c r="BI2200" i="2" s="1"/>
  <c r="BB2081" i="2"/>
  <c r="BC2081" i="2" s="1"/>
  <c r="BI2081" i="2" s="1"/>
  <c r="H70" i="4"/>
  <c r="BB70" i="2"/>
  <c r="BC70" i="2" s="1"/>
  <c r="BI70" i="2" s="1"/>
  <c r="BB1449" i="2"/>
  <c r="BC1449" i="2" s="1"/>
  <c r="BI1449" i="2" s="1"/>
  <c r="BB1629" i="2"/>
  <c r="BC1629" i="2" s="1"/>
  <c r="BI1629" i="2" s="1"/>
  <c r="BB1626" i="2"/>
  <c r="BC1626" i="2" s="1"/>
  <c r="BI1626" i="2" s="1"/>
  <c r="BB2456" i="2"/>
  <c r="BC2456" i="2" s="1"/>
  <c r="BI2456" i="2" s="1"/>
  <c r="BB992" i="2"/>
  <c r="BC992" i="2" s="1"/>
  <c r="BI992" i="2" s="1"/>
  <c r="BB2414" i="2"/>
  <c r="BC2414" i="2" s="1"/>
  <c r="BI2414" i="2" s="1"/>
  <c r="BB250" i="2"/>
  <c r="BC250" i="2" s="1"/>
  <c r="BI250" i="2" s="1"/>
  <c r="BB1556" i="2"/>
  <c r="BC1556" i="2" s="1"/>
  <c r="BI1556" i="2" s="1"/>
  <c r="BB761" i="2"/>
  <c r="BC761" i="2" s="1"/>
  <c r="BI761" i="2" s="1"/>
  <c r="BB700" i="2"/>
  <c r="BC700" i="2" s="1"/>
  <c r="BI700" i="2" s="1"/>
  <c r="BB636" i="2"/>
  <c r="BC636" i="2" s="1"/>
  <c r="BI636" i="2" s="1"/>
  <c r="H198" i="4"/>
  <c r="BB198" i="2"/>
  <c r="BC198" i="2" s="1"/>
  <c r="BI198" i="2" s="1"/>
  <c r="H119" i="4"/>
  <c r="BB119" i="2"/>
  <c r="BC119" i="2" s="1"/>
  <c r="BI119" i="2" s="1"/>
  <c r="BB2029" i="2"/>
  <c r="BC2029" i="2" s="1"/>
  <c r="BI2029" i="2" s="1"/>
  <c r="BB853" i="2"/>
  <c r="BC853" i="2" s="1"/>
  <c r="BI853" i="2" s="1"/>
  <c r="BB2330" i="2"/>
  <c r="BC2330" i="2" s="1"/>
  <c r="BI2330" i="2" s="1"/>
  <c r="BB2028" i="2"/>
  <c r="BC2028" i="2" s="1"/>
  <c r="BI2028" i="2" s="1"/>
  <c r="BB2436" i="2"/>
  <c r="BC2436" i="2" s="1"/>
  <c r="BI2436" i="2" s="1"/>
  <c r="BB2339" i="2"/>
  <c r="BC2339" i="2" s="1"/>
  <c r="BI2339" i="2" s="1"/>
  <c r="BB2046" i="2"/>
  <c r="BC2046" i="2" s="1"/>
  <c r="BI2046" i="2" s="1"/>
  <c r="BB757" i="2"/>
  <c r="BC757" i="2" s="1"/>
  <c r="BI757" i="2" s="1"/>
  <c r="BB2370" i="2"/>
  <c r="BC2370" i="2" s="1"/>
  <c r="BI2370" i="2" s="1"/>
  <c r="BB2032" i="2"/>
  <c r="BC2032" i="2" s="1"/>
  <c r="BI2032" i="2" s="1"/>
  <c r="BB1459" i="2"/>
  <c r="BC1459" i="2" s="1"/>
  <c r="BI1459" i="2" s="1"/>
  <c r="BB2315" i="2"/>
  <c r="BC2315" i="2" s="1"/>
  <c r="BI2315" i="2" s="1"/>
  <c r="BB1407" i="2"/>
  <c r="BC1407" i="2" s="1"/>
  <c r="BI1407" i="2" s="1"/>
  <c r="BB2428" i="2"/>
  <c r="BC2428" i="2" s="1"/>
  <c r="BI2428" i="2" s="1"/>
  <c r="BB616" i="2"/>
  <c r="BC616" i="2" s="1"/>
  <c r="BI616" i="2" s="1"/>
  <c r="BB1034" i="2"/>
  <c r="BC1034" i="2" s="1"/>
  <c r="BI1034" i="2" s="1"/>
  <c r="BB2042" i="2"/>
  <c r="BC2042" i="2" s="1"/>
  <c r="BI2042" i="2" s="1"/>
  <c r="BB1039" i="2"/>
  <c r="BC1039" i="2" s="1"/>
  <c r="BI1039" i="2" s="1"/>
  <c r="BB991" i="2"/>
  <c r="BC991" i="2" s="1"/>
  <c r="BI991" i="2" s="1"/>
  <c r="BB1754" i="2"/>
  <c r="BC1754" i="2" s="1"/>
  <c r="BI1754" i="2" s="1"/>
  <c r="BB495" i="2"/>
  <c r="BC495" i="2" s="1"/>
  <c r="BI495" i="2" s="1"/>
  <c r="BB1934" i="2"/>
  <c r="BC1934" i="2" s="1"/>
  <c r="BI1934" i="2" s="1"/>
  <c r="BK1763" i="2"/>
  <c r="BJ1763" i="2"/>
  <c r="BB2367" i="2"/>
  <c r="BC2367" i="2" s="1"/>
  <c r="BI2367" i="2" s="1"/>
  <c r="BB279" i="2"/>
  <c r="BC279" i="2" s="1"/>
  <c r="BI279" i="2" s="1"/>
  <c r="BB520" i="2"/>
  <c r="BC520" i="2" s="1"/>
  <c r="BI520" i="2" s="1"/>
  <c r="BB2427" i="2"/>
  <c r="BC2427" i="2" s="1"/>
  <c r="BI2427" i="2" s="1"/>
  <c r="BB2294" i="2"/>
  <c r="BC2294" i="2" s="1"/>
  <c r="BI2294" i="2" s="1"/>
  <c r="BB697" i="2"/>
  <c r="BC697" i="2" s="1"/>
  <c r="BI697" i="2" s="1"/>
  <c r="H131" i="4"/>
  <c r="BB131" i="2"/>
  <c r="BC131" i="2" s="1"/>
  <c r="BI131" i="2" s="1"/>
  <c r="BB768" i="2"/>
  <c r="BC768" i="2" s="1"/>
  <c r="BI768" i="2" s="1"/>
  <c r="BB1379" i="2"/>
  <c r="BC1379" i="2" s="1"/>
  <c r="BI1379" i="2" s="1"/>
  <c r="BB664" i="2"/>
  <c r="BC664" i="2" s="1"/>
  <c r="BI664" i="2" s="1"/>
  <c r="BB1586" i="2"/>
  <c r="BC1586" i="2" s="1"/>
  <c r="BI1586" i="2" s="1"/>
  <c r="BB1274" i="2"/>
  <c r="BC1274" i="2" s="1"/>
  <c r="BI1274" i="2" s="1"/>
  <c r="BB2363" i="2"/>
  <c r="BC2363" i="2" s="1"/>
  <c r="BI2363" i="2" s="1"/>
  <c r="BB1290" i="2"/>
  <c r="BC1290" i="2" s="1"/>
  <c r="BI1290" i="2" s="1"/>
  <c r="BB1526" i="2"/>
  <c r="BC1526" i="2" s="1"/>
  <c r="BI1526" i="2" s="1"/>
  <c r="BB1513" i="2"/>
  <c r="BC1513" i="2" s="1"/>
  <c r="BI1513" i="2" s="1"/>
  <c r="BB2365" i="2"/>
  <c r="BC2365" i="2" s="1"/>
  <c r="BI2365" i="2" s="1"/>
  <c r="BB1266" i="2"/>
  <c r="BC1266" i="2" s="1"/>
  <c r="BI1266" i="2" s="1"/>
  <c r="BB1219" i="2"/>
  <c r="BC1219" i="2" s="1"/>
  <c r="BI1219" i="2" s="1"/>
  <c r="BB1130" i="2"/>
  <c r="BC1130" i="2" s="1"/>
  <c r="BI1130" i="2" s="1"/>
  <c r="BB2093" i="2"/>
  <c r="BC2093" i="2" s="1"/>
  <c r="BI2093" i="2" s="1"/>
  <c r="BB1398" i="2"/>
  <c r="BC1398" i="2" s="1"/>
  <c r="BI1398" i="2" s="1"/>
  <c r="BB2060" i="2"/>
  <c r="BC2060" i="2" s="1"/>
  <c r="BI2060" i="2" s="1"/>
  <c r="BB682" i="2"/>
  <c r="BC682" i="2" s="1"/>
  <c r="BI682" i="2" s="1"/>
  <c r="BB442" i="2"/>
  <c r="BC442" i="2" s="1"/>
  <c r="BI442" i="2" s="1"/>
  <c r="BB812" i="2"/>
  <c r="BC812" i="2" s="1"/>
  <c r="BI812" i="2" s="1"/>
  <c r="BB515" i="2"/>
  <c r="BC515" i="2" s="1"/>
  <c r="BI515" i="2" s="1"/>
  <c r="BB1555" i="2"/>
  <c r="BC1555" i="2" s="1"/>
  <c r="BI1555" i="2" s="1"/>
  <c r="BB497" i="2"/>
  <c r="BC497" i="2" s="1"/>
  <c r="BI497" i="2" s="1"/>
  <c r="BB1340" i="2"/>
  <c r="BC1340" i="2" s="1"/>
  <c r="BI1340" i="2" s="1"/>
  <c r="BB1180" i="2"/>
  <c r="BC1180" i="2" s="1"/>
  <c r="BI1180" i="2" s="1"/>
  <c r="BB810" i="2"/>
  <c r="BC810" i="2" s="1"/>
  <c r="BI810" i="2" s="1"/>
  <c r="BB1408" i="2"/>
  <c r="BC1408" i="2" s="1"/>
  <c r="BI1408" i="2" s="1"/>
  <c r="BB1945" i="2"/>
  <c r="BC1945" i="2" s="1"/>
  <c r="BI1945" i="2" s="1"/>
  <c r="BB1481" i="2"/>
  <c r="BC1481" i="2" s="1"/>
  <c r="BI1481" i="2" s="1"/>
  <c r="BB1361" i="2"/>
  <c r="BC1361" i="2" s="1"/>
  <c r="BI1361" i="2" s="1"/>
  <c r="BB1086" i="2"/>
  <c r="BC1086" i="2" s="1"/>
  <c r="BI1086" i="2" s="1"/>
  <c r="BB747" i="2"/>
  <c r="BC747" i="2" s="1"/>
  <c r="BI747" i="2" s="1"/>
  <c r="BB1618" i="2"/>
  <c r="BC1618" i="2" s="1"/>
  <c r="BI1618" i="2" s="1"/>
  <c r="BB2332" i="2"/>
  <c r="BC2332" i="2" s="1"/>
  <c r="BI2332" i="2" s="1"/>
  <c r="BB1159" i="2"/>
  <c r="BC1159" i="2" s="1"/>
  <c r="BI1159" i="2" s="1"/>
  <c r="BB1550" i="2"/>
  <c r="BC1550" i="2" s="1"/>
  <c r="BI1550" i="2" s="1"/>
  <c r="BB397" i="2"/>
  <c r="BC397" i="2" s="1"/>
  <c r="BI397" i="2" s="1"/>
  <c r="BB2309" i="2"/>
  <c r="BC2309" i="2" s="1"/>
  <c r="BI2309" i="2" s="1"/>
  <c r="H90" i="4"/>
  <c r="BB90" i="2"/>
  <c r="BC90" i="2" s="1"/>
  <c r="BI90" i="2" s="1"/>
  <c r="BB270" i="2"/>
  <c r="BC270" i="2" s="1"/>
  <c r="BI270" i="2" s="1"/>
  <c r="BB615" i="2"/>
  <c r="BC615" i="2" s="1"/>
  <c r="BI615" i="2" s="1"/>
  <c r="BB583" i="2"/>
  <c r="BC583" i="2" s="1"/>
  <c r="BI583" i="2" s="1"/>
  <c r="BB2137" i="2"/>
  <c r="BC2137" i="2" s="1"/>
  <c r="BI2137" i="2" s="1"/>
  <c r="BB1359" i="2"/>
  <c r="BC1359" i="2" s="1"/>
  <c r="BI1359" i="2" s="1"/>
  <c r="BB464" i="2"/>
  <c r="BC464" i="2" s="1"/>
  <c r="BI464" i="2" s="1"/>
  <c r="BB1992" i="2"/>
  <c r="BC1992" i="2" s="1"/>
  <c r="BI1992" i="2" s="1"/>
  <c r="BB1235" i="2"/>
  <c r="BC1235" i="2" s="1"/>
  <c r="BI1235" i="2" s="1"/>
  <c r="BB1350" i="2"/>
  <c r="BC1350" i="2" s="1"/>
  <c r="BI1350" i="2" s="1"/>
  <c r="BB619" i="2"/>
  <c r="BC619" i="2" s="1"/>
  <c r="BI619" i="2" s="1"/>
  <c r="BB1761" i="2"/>
  <c r="BC1761" i="2" s="1"/>
  <c r="BI1761" i="2" s="1"/>
  <c r="BB1714" i="2"/>
  <c r="BC1714" i="2" s="1"/>
  <c r="BI1714" i="2" s="1"/>
  <c r="BB2449" i="2"/>
  <c r="BC2449" i="2" s="1"/>
  <c r="BI2449" i="2" s="1"/>
  <c r="BB2457" i="2"/>
  <c r="BC2457" i="2" s="1"/>
  <c r="BI2457" i="2" s="1"/>
  <c r="BB1124" i="2"/>
  <c r="BC1124" i="2" s="1"/>
  <c r="BI1124" i="2" s="1"/>
  <c r="BB1197" i="2"/>
  <c r="BC1197" i="2" s="1"/>
  <c r="BI1197" i="2" s="1"/>
  <c r="BB1239" i="2"/>
  <c r="BC1239" i="2" s="1"/>
  <c r="BI1239" i="2" s="1"/>
  <c r="BB783" i="2"/>
  <c r="BC783" i="2" s="1"/>
  <c r="BI783" i="2" s="1"/>
  <c r="BB1723" i="2"/>
  <c r="BC1723" i="2" s="1"/>
  <c r="BI1723" i="2" s="1"/>
  <c r="BB612" i="2"/>
  <c r="BC612" i="2" s="1"/>
  <c r="BI612" i="2" s="1"/>
  <c r="BB580" i="2"/>
  <c r="BC580" i="2" s="1"/>
  <c r="BI580" i="2" s="1"/>
  <c r="BB1889" i="2"/>
  <c r="BC1889" i="2" s="1"/>
  <c r="BI1889" i="2" s="1"/>
  <c r="BB1057" i="2"/>
  <c r="BC1057" i="2" s="1"/>
  <c r="BI1057" i="2" s="1"/>
  <c r="BB914" i="2"/>
  <c r="BC914" i="2" s="1"/>
  <c r="BI914" i="2" s="1"/>
  <c r="BB1887" i="2"/>
  <c r="BC1887" i="2" s="1"/>
  <c r="BI1887" i="2" s="1"/>
  <c r="BB1794" i="2"/>
  <c r="BC1794" i="2" s="1"/>
  <c r="BI1794" i="2" s="1"/>
  <c r="BB1049" i="2"/>
  <c r="BC1049" i="2" s="1"/>
  <c r="BI1049" i="2" s="1"/>
  <c r="BB978" i="2"/>
  <c r="BC978" i="2" s="1"/>
  <c r="BI978" i="2" s="1"/>
  <c r="BB1327" i="2"/>
  <c r="BC1327" i="2" s="1"/>
  <c r="BI1327" i="2" s="1"/>
  <c r="BB1302" i="2"/>
  <c r="BC1302" i="2" s="1"/>
  <c r="BI1302" i="2" s="1"/>
  <c r="BB2273" i="2"/>
  <c r="BC2273" i="2" s="1"/>
  <c r="BI2273" i="2" s="1"/>
  <c r="BB466" i="2"/>
  <c r="BC466" i="2" s="1"/>
  <c r="BI466" i="2" s="1"/>
  <c r="BB2120" i="2"/>
  <c r="BC2120" i="2" s="1"/>
  <c r="BI2120" i="2" s="1"/>
  <c r="BB1019" i="2"/>
  <c r="BC1019" i="2" s="1"/>
  <c r="BI1019" i="2" s="1"/>
  <c r="BB987" i="2"/>
  <c r="BC987" i="2" s="1"/>
  <c r="BI987" i="2" s="1"/>
  <c r="BB955" i="2"/>
  <c r="BC955" i="2" s="1"/>
  <c r="BI955" i="2" s="1"/>
  <c r="BB391" i="2"/>
  <c r="BC391" i="2" s="1"/>
  <c r="BI391" i="2" s="1"/>
  <c r="BB1395" i="2"/>
  <c r="BC1395" i="2" s="1"/>
  <c r="BI1395" i="2" s="1"/>
  <c r="BB503" i="2"/>
  <c r="BC503" i="2" s="1"/>
  <c r="BI503" i="2" s="1"/>
  <c r="H113" i="4"/>
  <c r="BB113" i="2"/>
  <c r="BC113" i="2" s="1"/>
  <c r="BI113" i="2" s="1"/>
  <c r="BB1631" i="2"/>
  <c r="BC1631" i="2" s="1"/>
  <c r="BI1631" i="2" s="1"/>
  <c r="BB1904" i="2"/>
  <c r="BC1904" i="2" s="1"/>
  <c r="BI1904" i="2" s="1"/>
  <c r="BB1987" i="2"/>
  <c r="BC1987" i="2" s="1"/>
  <c r="BI1987" i="2" s="1"/>
  <c r="BB1563" i="2"/>
  <c r="BC1563" i="2" s="1"/>
  <c r="BI1563" i="2" s="1"/>
  <c r="BB1732" i="2"/>
  <c r="BC1732" i="2" s="1"/>
  <c r="BI1732" i="2" s="1"/>
  <c r="BB1982" i="2"/>
  <c r="BC1982" i="2" s="1"/>
  <c r="BI1982" i="2" s="1"/>
  <c r="BB1910" i="2"/>
  <c r="BC1910" i="2" s="1"/>
  <c r="BI1910" i="2" s="1"/>
  <c r="BB788" i="2"/>
  <c r="BC788" i="2" s="1"/>
  <c r="BI788" i="2" s="1"/>
  <c r="BB793" i="2"/>
  <c r="BC793" i="2" s="1"/>
  <c r="BI793" i="2" s="1"/>
  <c r="BB314" i="2"/>
  <c r="BC314" i="2" s="1"/>
  <c r="BI314" i="2" s="1"/>
  <c r="BB758" i="2"/>
  <c r="BC758" i="2" s="1"/>
  <c r="BI758" i="2" s="1"/>
  <c r="BB2015" i="2"/>
  <c r="BC2015" i="2" s="1"/>
  <c r="BI2015" i="2" s="1"/>
  <c r="BB2383" i="2"/>
  <c r="BC2383" i="2" s="1"/>
  <c r="BI2383" i="2" s="1"/>
  <c r="BB2480" i="2"/>
  <c r="BC2480" i="2" s="1"/>
  <c r="BI2480" i="2" s="1"/>
  <c r="BB1635" i="2"/>
  <c r="BC1635" i="2" s="1"/>
  <c r="BI1635" i="2" s="1"/>
  <c r="BB1085" i="2"/>
  <c r="BC1085" i="2" s="1"/>
  <c r="BI1085" i="2" s="1"/>
  <c r="H73" i="4"/>
  <c r="BB73" i="2"/>
  <c r="BC73" i="2" s="1"/>
  <c r="BI73" i="2" s="1"/>
  <c r="H109" i="4"/>
  <c r="BB109" i="2"/>
  <c r="BC109" i="2" s="1"/>
  <c r="BI109" i="2" s="1"/>
  <c r="BB1821" i="2"/>
  <c r="BC1821" i="2" s="1"/>
  <c r="BI1821" i="2" s="1"/>
  <c r="BB514" i="2"/>
  <c r="BC514" i="2" s="1"/>
  <c r="BI514" i="2" s="1"/>
  <c r="BB2113" i="2"/>
  <c r="BC2113" i="2" s="1"/>
  <c r="BI2113" i="2" s="1"/>
  <c r="BB1278" i="2"/>
  <c r="BC1278" i="2" s="1"/>
  <c r="BI1278" i="2" s="1"/>
  <c r="BB739" i="2"/>
  <c r="BC739" i="2" s="1"/>
  <c r="BI739" i="2" s="1"/>
  <c r="BB2144" i="2"/>
  <c r="BC2144" i="2" s="1"/>
  <c r="BI2144" i="2" s="1"/>
  <c r="BB1753" i="2"/>
  <c r="BC1753" i="2" s="1"/>
  <c r="BI1753" i="2" s="1"/>
  <c r="BB1683" i="2"/>
  <c r="BC1683" i="2" s="1"/>
  <c r="BI1683" i="2" s="1"/>
  <c r="BB733" i="2"/>
  <c r="BC733" i="2" s="1"/>
  <c r="BI733" i="2" s="1"/>
  <c r="BB1921" i="2"/>
  <c r="BC1921" i="2" s="1"/>
  <c r="BI1921" i="2" s="1"/>
  <c r="BB419" i="2"/>
  <c r="BC419" i="2" s="1"/>
  <c r="BI419" i="2" s="1"/>
  <c r="BB2105" i="2"/>
  <c r="BC2105" i="2" s="1"/>
  <c r="BI2105" i="2" s="1"/>
  <c r="BB1798" i="2"/>
  <c r="BC1798" i="2" s="1"/>
  <c r="BI1798" i="2" s="1"/>
  <c r="BB1332" i="2"/>
  <c r="BC1332" i="2" s="1"/>
  <c r="BI1332" i="2" s="1"/>
  <c r="BB1639" i="2"/>
  <c r="BC1639" i="2" s="1"/>
  <c r="BI1639" i="2" s="1"/>
  <c r="BB1129" i="2"/>
  <c r="BC1129" i="2" s="1"/>
  <c r="BI1129" i="2" s="1"/>
  <c r="BB1279" i="2"/>
  <c r="BC1279" i="2" s="1"/>
  <c r="BI1279" i="2" s="1"/>
  <c r="H129" i="4"/>
  <c r="BB129" i="2"/>
  <c r="BC129" i="2" s="1"/>
  <c r="BI129" i="2" s="1"/>
  <c r="BB2161" i="2"/>
  <c r="BC2161" i="2" s="1"/>
  <c r="BI2161" i="2" s="1"/>
  <c r="BB1234" i="2"/>
  <c r="BC1234" i="2" s="1"/>
  <c r="BI1234" i="2" s="1"/>
  <c r="BB834" i="2"/>
  <c r="BC834" i="2" s="1"/>
  <c r="BI834" i="2" s="1"/>
  <c r="BB255" i="2"/>
  <c r="BC255" i="2" s="1"/>
  <c r="BI255" i="2" s="1"/>
  <c r="BB430" i="2"/>
  <c r="BC430" i="2" s="1"/>
  <c r="BI430" i="2" s="1"/>
  <c r="BB358" i="2"/>
  <c r="BC358" i="2" s="1"/>
  <c r="BI358" i="2" s="1"/>
  <c r="H123" i="4"/>
  <c r="BB123" i="2"/>
  <c r="BC123" i="2" s="1"/>
  <c r="BI123" i="2" s="1"/>
  <c r="H68" i="4"/>
  <c r="BB68" i="2"/>
  <c r="BC68" i="2" s="1"/>
  <c r="BI68" i="2" s="1"/>
  <c r="BB1176" i="2"/>
  <c r="BC1176" i="2" s="1"/>
  <c r="BI1176" i="2" s="1"/>
  <c r="BB2254" i="2"/>
  <c r="BC2254" i="2" s="1"/>
  <c r="BI2254" i="2" s="1"/>
  <c r="BB369" i="2"/>
  <c r="BC369" i="2" s="1"/>
  <c r="BI369" i="2" s="1"/>
  <c r="BB1128" i="2"/>
  <c r="BC1128" i="2" s="1"/>
  <c r="BI1128" i="2" s="1"/>
  <c r="BB2173" i="2"/>
  <c r="BC2173" i="2" s="1"/>
  <c r="BI2173" i="2" s="1"/>
  <c r="H66" i="4"/>
  <c r="BB66" i="2"/>
  <c r="BC66" i="2" s="1"/>
  <c r="BI66" i="2" s="1"/>
  <c r="H194" i="4"/>
  <c r="BB194" i="2"/>
  <c r="BC194" i="2" s="1"/>
  <c r="BI194" i="2" s="1"/>
  <c r="BB2268" i="2"/>
  <c r="BC2268" i="2" s="1"/>
  <c r="BI2268" i="2" s="1"/>
  <c r="BB2204" i="2"/>
  <c r="BC2204" i="2" s="1"/>
  <c r="BI2204" i="2" s="1"/>
  <c r="BB2097" i="2"/>
  <c r="BC2097" i="2" s="1"/>
  <c r="BI2097" i="2" s="1"/>
  <c r="BB313" i="2"/>
  <c r="BC313" i="2" s="1"/>
  <c r="BI313" i="2" s="1"/>
  <c r="BB2476" i="2"/>
  <c r="BC2476" i="2" s="1"/>
  <c r="BI2476" i="2" s="1"/>
  <c r="BB1028" i="2"/>
  <c r="BC1028" i="2" s="1"/>
  <c r="BI1028" i="2" s="1"/>
  <c r="BB964" i="2"/>
  <c r="BC964" i="2" s="1"/>
  <c r="BI964" i="2" s="1"/>
  <c r="BB715" i="2"/>
  <c r="BC715" i="2" s="1"/>
  <c r="BI715" i="2" s="1"/>
  <c r="BB1500" i="2"/>
  <c r="BC1500" i="2" s="1"/>
  <c r="BI1500" i="2" s="1"/>
  <c r="BB1710" i="2"/>
  <c r="BC1710" i="2" s="1"/>
  <c r="BI1710" i="2" s="1"/>
  <c r="BB704" i="2"/>
  <c r="BC704" i="2" s="1"/>
  <c r="BI704" i="2" s="1"/>
  <c r="BB640" i="2"/>
  <c r="BC640" i="2" s="1"/>
  <c r="BI640" i="2" s="1"/>
  <c r="BB1111" i="2"/>
  <c r="BC1111" i="2" s="1"/>
  <c r="BI1111" i="2" s="1"/>
  <c r="BB1642" i="2"/>
  <c r="BC1642" i="2" s="1"/>
  <c r="BI1642" i="2" s="1"/>
  <c r="BB2023" i="2"/>
  <c r="BC2023" i="2" s="1"/>
  <c r="BI2023" i="2" s="1"/>
  <c r="BB1739" i="2"/>
  <c r="BC1739" i="2" s="1"/>
  <c r="BI1739" i="2" s="1"/>
  <c r="H135" i="4"/>
  <c r="BB135" i="2"/>
  <c r="BC135" i="2" s="1"/>
  <c r="BI135" i="2" s="1"/>
  <c r="BB986" i="2"/>
  <c r="BC986" i="2" s="1"/>
  <c r="BI986" i="2" s="1"/>
  <c r="BB2369" i="2"/>
  <c r="BC2369" i="2" s="1"/>
  <c r="BI2369" i="2" s="1"/>
  <c r="BB1620" i="2"/>
  <c r="BC1620" i="2" s="1"/>
  <c r="BI1620" i="2" s="1"/>
  <c r="BB1117" i="2"/>
  <c r="BC1117" i="2" s="1"/>
  <c r="BI1117" i="2" s="1"/>
  <c r="BB1383" i="2"/>
  <c r="BC1383" i="2" s="1"/>
  <c r="BI1383" i="2" s="1"/>
  <c r="BB1886" i="2"/>
  <c r="BC1886" i="2" s="1"/>
  <c r="BI1886" i="2" s="1"/>
  <c r="BB713" i="2"/>
  <c r="BC713" i="2" s="1"/>
  <c r="BI713" i="2" s="1"/>
  <c r="BB517" i="2"/>
  <c r="BC517" i="2" s="1"/>
  <c r="BI517" i="2" s="1"/>
  <c r="BB744" i="2"/>
  <c r="BC744" i="2" s="1"/>
  <c r="BI744" i="2" s="1"/>
  <c r="BB703" i="2"/>
  <c r="BC703" i="2" s="1"/>
  <c r="BI703" i="2" s="1"/>
  <c r="BB740" i="2"/>
  <c r="BC740" i="2" s="1"/>
  <c r="BI740" i="2" s="1"/>
  <c r="BB1106" i="2"/>
  <c r="BC1106" i="2" s="1"/>
  <c r="BI1106" i="2" s="1"/>
  <c r="BB1402" i="2"/>
  <c r="BC1402" i="2" s="1"/>
  <c r="BI1402" i="2" s="1"/>
  <c r="BB1447" i="2"/>
  <c r="BC1447" i="2" s="1"/>
  <c r="BI1447" i="2" s="1"/>
  <c r="BB1508" i="2"/>
  <c r="BC1508" i="2" s="1"/>
  <c r="BI1508" i="2" s="1"/>
  <c r="BB1628" i="2"/>
  <c r="BC1628" i="2" s="1"/>
  <c r="BI1628" i="2" s="1"/>
  <c r="BB670" i="2"/>
  <c r="BC670" i="2" s="1"/>
  <c r="BI670" i="2" s="1"/>
  <c r="BB1471" i="2"/>
  <c r="BC1471" i="2" s="1"/>
  <c r="BI1471" i="2" s="1"/>
  <c r="BB501" i="2"/>
  <c r="BC501" i="2" s="1"/>
  <c r="BI501" i="2" s="1"/>
  <c r="BB1249" i="2"/>
  <c r="BC1249" i="2" s="1"/>
  <c r="BI1249" i="2" s="1"/>
  <c r="BB1511" i="2"/>
  <c r="BC1511" i="2" s="1"/>
  <c r="BI1511" i="2" s="1"/>
  <c r="BB762" i="2"/>
  <c r="BC762" i="2" s="1"/>
  <c r="BI762" i="2" s="1"/>
  <c r="BB1396" i="2"/>
  <c r="BC1396" i="2" s="1"/>
  <c r="BI1396" i="2" s="1"/>
  <c r="H138" i="4"/>
  <c r="BB138" i="2"/>
  <c r="BC138" i="2" s="1"/>
  <c r="BI138" i="2" s="1"/>
  <c r="BB1497" i="2"/>
  <c r="BC1497" i="2" s="1"/>
  <c r="BI1497" i="2" s="1"/>
  <c r="H80" i="4"/>
  <c r="BB80" i="2"/>
  <c r="BC80" i="2" s="1"/>
  <c r="BI80" i="2" s="1"/>
  <c r="BB1189" i="2"/>
  <c r="BC1189" i="2" s="1"/>
  <c r="BI1189" i="2" s="1"/>
  <c r="H141" i="4"/>
  <c r="BB141" i="2"/>
  <c r="BC141" i="2" s="1"/>
  <c r="BI141" i="2" s="1"/>
  <c r="BB2181" i="2"/>
  <c r="BC2181" i="2" s="1"/>
  <c r="BI2181" i="2" s="1"/>
  <c r="BB763" i="2"/>
  <c r="BC763" i="2" s="1"/>
  <c r="BI763" i="2" s="1"/>
  <c r="BB2430" i="2"/>
  <c r="BC2430" i="2" s="1"/>
  <c r="BI2430" i="2" s="1"/>
  <c r="BB1554" i="2"/>
  <c r="BC1554" i="2" s="1"/>
  <c r="BI1554" i="2" s="1"/>
  <c r="BB643" i="2"/>
  <c r="BC643" i="2" s="1"/>
  <c r="BI643" i="2" s="1"/>
  <c r="BB405" i="2"/>
  <c r="BC405" i="2" s="1"/>
  <c r="BI405" i="2" s="1"/>
  <c r="BB2400" i="2"/>
  <c r="BC2400" i="2" s="1"/>
  <c r="BI2400" i="2" s="1"/>
  <c r="BB1226" i="2"/>
  <c r="BC1226" i="2" s="1"/>
  <c r="BI1226" i="2" s="1"/>
  <c r="BB726" i="2"/>
  <c r="BC726" i="2" s="1"/>
  <c r="BI726" i="2" s="1"/>
  <c r="BB2257" i="2"/>
  <c r="BC2257" i="2" s="1"/>
  <c r="BI2257" i="2" s="1"/>
  <c r="BB593" i="2"/>
  <c r="BC593" i="2" s="1"/>
  <c r="BI593" i="2" s="1"/>
  <c r="BB561" i="2"/>
  <c r="BC561" i="2" s="1"/>
  <c r="BI561" i="2" s="1"/>
  <c r="BB2123" i="2"/>
  <c r="BC2123" i="2" s="1"/>
  <c r="BI2123" i="2" s="1"/>
  <c r="BB286" i="2"/>
  <c r="BC286" i="2" s="1"/>
  <c r="BI286" i="2" s="1"/>
  <c r="H21" i="4"/>
  <c r="BB21" i="2"/>
  <c r="BC21" i="2" s="1"/>
  <c r="BI21" i="2" s="1"/>
  <c r="BB260" i="2"/>
  <c r="BC260" i="2" s="1"/>
  <c r="BI260" i="2" s="1"/>
  <c r="BB1996" i="2"/>
  <c r="BC1996" i="2" s="1"/>
  <c r="BI1996" i="2" s="1"/>
  <c r="BB1539" i="2"/>
  <c r="BC1539" i="2" s="1"/>
  <c r="BI1539" i="2" s="1"/>
  <c r="BB647" i="2"/>
  <c r="BC647" i="2" s="1"/>
  <c r="BI647" i="2" s="1"/>
  <c r="BB653" i="2"/>
  <c r="BC653" i="2" s="1"/>
  <c r="BI653" i="2" s="1"/>
  <c r="BB1697" i="2"/>
  <c r="BC1697" i="2" s="1"/>
  <c r="BI1697" i="2" s="1"/>
  <c r="BB1766" i="2"/>
  <c r="BC1766" i="2" s="1"/>
  <c r="BI1766" i="2" s="1"/>
  <c r="BB1777" i="2"/>
  <c r="BC1777" i="2" s="1"/>
  <c r="BI1777" i="2" s="1"/>
  <c r="H26" i="4"/>
  <c r="BB26" i="2"/>
  <c r="BC26" i="2" s="1"/>
  <c r="BI26" i="2" s="1"/>
  <c r="BB1647" i="2"/>
  <c r="BC1647" i="2" s="1"/>
  <c r="BI1647" i="2" s="1"/>
  <c r="BB2465" i="2"/>
  <c r="BC2465" i="2" s="1"/>
  <c r="BI2465" i="2" s="1"/>
  <c r="BB1698" i="2"/>
  <c r="BC1698" i="2" s="1"/>
  <c r="BI1698" i="2" s="1"/>
  <c r="H10" i="4"/>
  <c r="BB10" i="2"/>
  <c r="BC10" i="2" s="1"/>
  <c r="BI10" i="2" s="1"/>
  <c r="BB1068" i="2"/>
  <c r="BC1068" i="2" s="1"/>
  <c r="BI1068" i="2" s="1"/>
  <c r="BB533" i="2"/>
  <c r="BC533" i="2" s="1"/>
  <c r="BI533" i="2" s="1"/>
  <c r="BB1908" i="2"/>
  <c r="BC1908" i="2" s="1"/>
  <c r="BI1908" i="2" s="1"/>
  <c r="BB735" i="2"/>
  <c r="BC735" i="2" s="1"/>
  <c r="BI735" i="2" s="1"/>
  <c r="BB1701" i="2"/>
  <c r="BC1701" i="2" s="1"/>
  <c r="BI1701" i="2" s="1"/>
  <c r="BB1453" i="2"/>
  <c r="BC1453" i="2" s="1"/>
  <c r="BI1453" i="2" s="1"/>
  <c r="BB590" i="2"/>
  <c r="BC590" i="2" s="1"/>
  <c r="BI590" i="2" s="1"/>
  <c r="BB558" i="2"/>
  <c r="BC558" i="2" s="1"/>
  <c r="BI558" i="2" s="1"/>
  <c r="BB2407" i="2"/>
  <c r="BC2407" i="2" s="1"/>
  <c r="BI2407" i="2" s="1"/>
  <c r="BB918" i="2"/>
  <c r="BC918" i="2" s="1"/>
  <c r="BI918" i="2" s="1"/>
  <c r="BB776" i="2"/>
  <c r="BC776" i="2" s="1"/>
  <c r="BI776" i="2" s="1"/>
  <c r="BB1030" i="2"/>
  <c r="BC1030" i="2" s="1"/>
  <c r="BI1030" i="2" s="1"/>
  <c r="BB966" i="2"/>
  <c r="BC966" i="2" s="1"/>
  <c r="BI966" i="2" s="1"/>
  <c r="BB1699" i="2"/>
  <c r="BC1699" i="2" s="1"/>
  <c r="BI1699" i="2" s="1"/>
  <c r="BB1075" i="2"/>
  <c r="BC1075" i="2" s="1"/>
  <c r="BI1075" i="2" s="1"/>
  <c r="BB1829" i="2"/>
  <c r="BC1829" i="2" s="1"/>
  <c r="BI1829" i="2" s="1"/>
  <c r="BB1678" i="2"/>
  <c r="BC1678" i="2" s="1"/>
  <c r="BI1678" i="2" s="1"/>
  <c r="BB317" i="2"/>
  <c r="BC317" i="2" s="1"/>
  <c r="BI317" i="2" s="1"/>
  <c r="BB1013" i="2"/>
  <c r="BC1013" i="2" s="1"/>
  <c r="BI1013" i="2" s="1"/>
  <c r="BB981" i="2"/>
  <c r="BC981" i="2" s="1"/>
  <c r="BI981" i="2" s="1"/>
  <c r="BB949" i="2"/>
  <c r="BC949" i="2" s="1"/>
  <c r="BI949" i="2" s="1"/>
  <c r="BB2150" i="2"/>
  <c r="BC2150" i="2" s="1"/>
  <c r="BI2150" i="2" s="1"/>
  <c r="BB335" i="2"/>
  <c r="BC335" i="2" s="1"/>
  <c r="BI335" i="2" s="1"/>
  <c r="BB1411" i="2"/>
  <c r="BC1411" i="2" s="1"/>
  <c r="BI1411" i="2" s="1"/>
  <c r="BB2071" i="2"/>
  <c r="BC2071" i="2" s="1"/>
  <c r="BI2071" i="2" s="1"/>
  <c r="BB1944" i="2"/>
  <c r="BC1944" i="2" s="1"/>
  <c r="BI1944" i="2" s="1"/>
  <c r="BB1335" i="2"/>
  <c r="BC1335" i="2" s="1"/>
  <c r="BI1335" i="2" s="1"/>
  <c r="BB1704" i="2"/>
  <c r="BC1704" i="2" s="1"/>
  <c r="BI1704" i="2" s="1"/>
  <c r="BB1986" i="2"/>
  <c r="BC1986" i="2" s="1"/>
  <c r="BI1986" i="2" s="1"/>
  <c r="BB1914" i="2"/>
  <c r="BC1914" i="2" s="1"/>
  <c r="BI1914" i="2" s="1"/>
  <c r="BB1353" i="2"/>
  <c r="BC1353" i="2" s="1"/>
  <c r="BI1353" i="2" s="1"/>
  <c r="BB1796" i="2"/>
  <c r="BC1796" i="2" s="1"/>
  <c r="BI1796" i="2" s="1"/>
  <c r="BB1965" i="2"/>
  <c r="BC1965" i="2" s="1"/>
  <c r="BI1965" i="2" s="1"/>
  <c r="H22" i="4"/>
  <c r="BB22" i="2"/>
  <c r="BC22" i="2" s="1"/>
  <c r="BI22" i="2" s="1"/>
  <c r="BB336" i="2"/>
  <c r="BC336" i="2" s="1"/>
  <c r="BI336" i="2" s="1"/>
  <c r="BB507" i="2"/>
  <c r="BC507" i="2" s="1"/>
  <c r="BI507" i="2" s="1"/>
  <c r="BB1139" i="2"/>
  <c r="BC1139" i="2" s="1"/>
  <c r="BI1139" i="2" s="1"/>
  <c r="BB1577" i="2"/>
  <c r="BC1577" i="2" s="1"/>
  <c r="BI1577" i="2" s="1"/>
  <c r="BB1460" i="2"/>
  <c r="BC1460" i="2" s="1"/>
  <c r="BI1460" i="2" s="1"/>
  <c r="BB1258" i="2"/>
  <c r="BC1258" i="2" s="1"/>
  <c r="BI1258" i="2" s="1"/>
  <c r="BB1591" i="2"/>
  <c r="BC1591" i="2" s="1"/>
  <c r="BI1591" i="2" s="1"/>
  <c r="BB551" i="2"/>
  <c r="BC551" i="2" s="1"/>
  <c r="BI551" i="2" s="1"/>
  <c r="BB1925" i="2"/>
  <c r="BC1925" i="2" s="1"/>
  <c r="BI1925" i="2" s="1"/>
  <c r="BB1357" i="2"/>
  <c r="BC1357" i="2" s="1"/>
  <c r="BI1357" i="2" s="1"/>
  <c r="BB1519" i="2"/>
  <c r="BC1519" i="2" s="1"/>
  <c r="BI1519" i="2" s="1"/>
  <c r="BB1597" i="2"/>
  <c r="BC1597" i="2" s="1"/>
  <c r="BI1597" i="2" s="1"/>
  <c r="BB376" i="2"/>
  <c r="BC376" i="2" s="1"/>
  <c r="BI376" i="2" s="1"/>
  <c r="BB2213" i="2"/>
  <c r="BC2213" i="2" s="1"/>
  <c r="BI2213" i="2" s="1"/>
  <c r="BB1612" i="2"/>
  <c r="BC1612" i="2" s="1"/>
  <c r="BI1612" i="2" s="1"/>
  <c r="BB2487" i="2"/>
  <c r="BC2487" i="2" s="1"/>
  <c r="BI2487" i="2" s="1"/>
  <c r="BB524" i="2"/>
  <c r="BC524" i="2" s="1"/>
  <c r="BI524" i="2" s="1"/>
  <c r="H56" i="4"/>
  <c r="BB56" i="2"/>
  <c r="BC56" i="2" s="1"/>
  <c r="BI56" i="2" s="1"/>
  <c r="BB549" i="2"/>
  <c r="BC549" i="2" s="1"/>
  <c r="BI549" i="2" s="1"/>
  <c r="BB1390" i="2"/>
  <c r="BC1390" i="2" s="1"/>
  <c r="BI1390" i="2" s="1"/>
  <c r="BB1614" i="2"/>
  <c r="BC1614" i="2" s="1"/>
  <c r="BI1614" i="2" s="1"/>
  <c r="BB1221" i="2"/>
  <c r="BC1221" i="2" s="1"/>
  <c r="BI1221" i="2" s="1"/>
  <c r="BB1630" i="2"/>
  <c r="BC1630" i="2" s="1"/>
  <c r="BI1630" i="2" s="1"/>
  <c r="BB2321" i="2"/>
  <c r="BC2321" i="2" s="1"/>
  <c r="BI2321" i="2" s="1"/>
  <c r="BB259" i="2"/>
  <c r="BC259" i="2" s="1"/>
  <c r="BI259" i="2" s="1"/>
  <c r="BB786" i="2"/>
  <c r="BC786" i="2" s="1"/>
  <c r="BI786" i="2" s="1"/>
  <c r="BB2104" i="2"/>
  <c r="BC2104" i="2" s="1"/>
  <c r="BI2104" i="2" s="1"/>
  <c r="BB456" i="2"/>
  <c r="BC456" i="2" s="1"/>
  <c r="BI456" i="2" s="1"/>
  <c r="BB1601" i="2"/>
  <c r="BC1601" i="2" s="1"/>
  <c r="BI1601" i="2" s="1"/>
  <c r="BB2496" i="2"/>
  <c r="BC2496" i="2" s="1"/>
  <c r="BI2496" i="2" s="1"/>
  <c r="H114" i="4"/>
  <c r="BB114" i="2"/>
  <c r="BC114" i="2" s="1"/>
  <c r="BI114" i="2" s="1"/>
  <c r="BB1093" i="2"/>
  <c r="BC1093" i="2" s="1"/>
  <c r="BI1093" i="2" s="1"/>
  <c r="BB2205" i="2"/>
  <c r="BC2205" i="2" s="1"/>
  <c r="BI2205" i="2" s="1"/>
  <c r="BB1399" i="2"/>
  <c r="BC1399" i="2" s="1"/>
  <c r="BI1399" i="2" s="1"/>
  <c r="BB2306" i="2"/>
  <c r="BC2306" i="2" s="1"/>
  <c r="BI2306" i="2" s="1"/>
  <c r="BB2242" i="2"/>
  <c r="BC2242" i="2" s="1"/>
  <c r="BI2242" i="2" s="1"/>
  <c r="BB1836" i="2"/>
  <c r="BC1836" i="2" s="1"/>
  <c r="BI1836" i="2" s="1"/>
  <c r="BB349" i="2"/>
  <c r="BC349" i="2" s="1"/>
  <c r="BI349" i="2" s="1"/>
  <c r="BB1346" i="2"/>
  <c r="BC1346" i="2" s="1"/>
  <c r="BI1346" i="2" s="1"/>
  <c r="BB1674" i="2"/>
  <c r="BC1674" i="2" s="1"/>
  <c r="BI1674" i="2" s="1"/>
  <c r="BB1186" i="2"/>
  <c r="BC1186" i="2" s="1"/>
  <c r="BI1186" i="2" s="1"/>
  <c r="BB1242" i="2"/>
  <c r="BC1242" i="2" s="1"/>
  <c r="BI1242" i="2" s="1"/>
  <c r="H95" i="4"/>
  <c r="BB95" i="2"/>
  <c r="BC95" i="2" s="1"/>
  <c r="BI95" i="2" s="1"/>
  <c r="BB2272" i="2"/>
  <c r="BC2272" i="2" s="1"/>
  <c r="BI2272" i="2" s="1"/>
  <c r="BB2208" i="2"/>
  <c r="BC2208" i="2" s="1"/>
  <c r="BI2208" i="2" s="1"/>
  <c r="BB2049" i="2"/>
  <c r="BC2049" i="2" s="1"/>
  <c r="BI2049" i="2" s="1"/>
  <c r="BB864" i="2"/>
  <c r="BC864" i="2" s="1"/>
  <c r="BI864" i="2" s="1"/>
  <c r="BB1042" i="2"/>
  <c r="BC1042" i="2" s="1"/>
  <c r="BI1042" i="2" s="1"/>
  <c r="BB833" i="2"/>
  <c r="BC833" i="2" s="1"/>
  <c r="BI833" i="2" s="1"/>
  <c r="H59" i="4"/>
  <c r="BB59" i="2"/>
  <c r="BC59" i="2" s="1"/>
  <c r="BI59" i="2" s="1"/>
  <c r="H92" i="4"/>
  <c r="BB92" i="2"/>
  <c r="BC92" i="2" s="1"/>
  <c r="BI92" i="2" s="1"/>
  <c r="BB817" i="2"/>
  <c r="BC817" i="2" s="1"/>
  <c r="BI817" i="2" s="1"/>
  <c r="BB1032" i="2"/>
  <c r="BC1032" i="2" s="1"/>
  <c r="BI1032" i="2" s="1"/>
  <c r="BB968" i="2"/>
  <c r="BC968" i="2" s="1"/>
  <c r="BI968" i="2" s="1"/>
  <c r="BB1792" i="2"/>
  <c r="BC1792" i="2" s="1"/>
  <c r="BI1792" i="2" s="1"/>
  <c r="BB667" i="2"/>
  <c r="BC667" i="2" s="1"/>
  <c r="BI667" i="2" s="1"/>
  <c r="BB2088" i="2"/>
  <c r="BC2088" i="2" s="1"/>
  <c r="BI2088" i="2" s="1"/>
  <c r="BB1478" i="2"/>
  <c r="BC1478" i="2" s="1"/>
  <c r="BI1478" i="2" s="1"/>
  <c r="BB1738" i="2"/>
  <c r="BC1738" i="2" s="1"/>
  <c r="BI1738" i="2" s="1"/>
  <c r="BB708" i="2"/>
  <c r="BC708" i="2" s="1"/>
  <c r="BI708" i="2" s="1"/>
  <c r="BB644" i="2"/>
  <c r="BC644" i="2" s="1"/>
  <c r="BI644" i="2" s="1"/>
  <c r="BB2231" i="2"/>
  <c r="BC2231" i="2" s="1"/>
  <c r="BI2231" i="2" s="1"/>
  <c r="BB2318" i="2"/>
  <c r="BC2318" i="2" s="1"/>
  <c r="BI2318" i="2" s="1"/>
  <c r="BB2025" i="2"/>
  <c r="BC2025" i="2" s="1"/>
  <c r="BI2025" i="2" s="1"/>
  <c r="BB2346" i="2"/>
  <c r="BC2346" i="2" s="1"/>
  <c r="BI2346" i="2" s="1"/>
  <c r="BB773" i="2"/>
  <c r="BC773" i="2" s="1"/>
  <c r="BI773" i="2" s="1"/>
  <c r="BB1484" i="2"/>
  <c r="BC1484" i="2" s="1"/>
  <c r="BI1484" i="2" s="1"/>
  <c r="BB2323" i="2"/>
  <c r="BC2323" i="2" s="1"/>
  <c r="BI2323" i="2" s="1"/>
  <c r="BB1657" i="2"/>
  <c r="BC1657" i="2" s="1"/>
  <c r="BI1657" i="2" s="1"/>
  <c r="BB1423" i="2"/>
  <c r="BC1423" i="2" s="1"/>
  <c r="BI1423" i="2" s="1"/>
  <c r="BB1785" i="2"/>
  <c r="BC1785" i="2" s="1"/>
  <c r="BI1785" i="2" s="1"/>
  <c r="BB1653" i="2"/>
  <c r="BC1653" i="2" s="1"/>
  <c r="BI1653" i="2" s="1"/>
  <c r="BB600" i="2"/>
  <c r="BC600" i="2" s="1"/>
  <c r="BI600" i="2" s="1"/>
  <c r="BB1123" i="2"/>
  <c r="BC1123" i="2" s="1"/>
  <c r="BI1123" i="2" s="1"/>
  <c r="BB954" i="2"/>
  <c r="BC954" i="2" s="1"/>
  <c r="BI954" i="2" s="1"/>
  <c r="BB999" i="2"/>
  <c r="BC999" i="2" s="1"/>
  <c r="BI999" i="2" s="1"/>
  <c r="BB681" i="2"/>
  <c r="BC681" i="2" s="1"/>
  <c r="BI681" i="2" s="1"/>
  <c r="BB2072" i="2"/>
  <c r="BC2072" i="2" s="1"/>
  <c r="BI2072" i="2" s="1"/>
  <c r="BB2164" i="2"/>
  <c r="BC2164" i="2" s="1"/>
  <c r="BI2164" i="2" s="1"/>
  <c r="BB1304" i="2"/>
  <c r="BC1304" i="2" s="1"/>
  <c r="BI1304" i="2" s="1"/>
  <c r="BB2070" i="2"/>
  <c r="BC2070" i="2" s="1"/>
  <c r="BI2070" i="2" s="1"/>
  <c r="BB1322" i="2"/>
  <c r="BC1322" i="2" s="1"/>
  <c r="BI1322" i="2" s="1"/>
  <c r="BB1589" i="2"/>
  <c r="BC1589" i="2" s="1"/>
  <c r="BI1589" i="2" s="1"/>
  <c r="BB2166" i="2"/>
  <c r="BC2166" i="2" s="1"/>
  <c r="BI2166" i="2" s="1"/>
  <c r="BB2047" i="2"/>
  <c r="BC2047" i="2" s="1"/>
  <c r="BI2047" i="2" s="1"/>
  <c r="BB934" i="2"/>
  <c r="BC934" i="2" s="1"/>
  <c r="BI934" i="2" s="1"/>
  <c r="H110" i="4"/>
  <c r="BB110" i="2"/>
  <c r="BC110" i="2" s="1"/>
  <c r="BI110" i="2" s="1"/>
  <c r="BB2412" i="2"/>
  <c r="BC2412" i="2" s="1"/>
  <c r="BI2412" i="2" s="1"/>
  <c r="BB2303" i="2"/>
  <c r="BC2303" i="2" s="1"/>
  <c r="BI2303" i="2" s="1"/>
  <c r="BB2278" i="2"/>
  <c r="BC2278" i="2" s="1"/>
  <c r="BI2278" i="2" s="1"/>
  <c r="BB1875" i="2"/>
  <c r="BC1875" i="2" s="1"/>
  <c r="BI1875" i="2" s="1"/>
  <c r="BB1112" i="2"/>
  <c r="BC1112" i="2" s="1"/>
  <c r="BI1112" i="2" s="1"/>
  <c r="BB1592" i="2"/>
  <c r="BC1592" i="2" s="1"/>
  <c r="BI1592" i="2" s="1"/>
  <c r="BB2276" i="2"/>
  <c r="BC2276" i="2" s="1"/>
  <c r="BI2276" i="2" s="1"/>
  <c r="BB310" i="2"/>
  <c r="BC310" i="2" s="1"/>
  <c r="BI310" i="2" s="1"/>
  <c r="BB1632" i="2"/>
  <c r="BC1632" i="2" s="1"/>
  <c r="BI1632" i="2" s="1"/>
  <c r="BB956" i="2"/>
  <c r="BC956" i="2" s="1"/>
  <c r="BI956" i="2" s="1"/>
  <c r="BB2458" i="2"/>
  <c r="BC2458" i="2" s="1"/>
  <c r="BI2458" i="2" s="1"/>
  <c r="BB1256" i="2"/>
  <c r="BC1256" i="2" s="1"/>
  <c r="BI1256" i="2" s="1"/>
  <c r="H44" i="4"/>
  <c r="BB44" i="2"/>
  <c r="BC44" i="2" s="1"/>
  <c r="BI44" i="2" s="1"/>
  <c r="H60" i="4"/>
  <c r="BB60" i="2"/>
  <c r="BC60" i="2" s="1"/>
  <c r="BI60" i="2" s="1"/>
  <c r="BB440" i="2"/>
  <c r="BC440" i="2" s="1"/>
  <c r="BI440" i="2" s="1"/>
  <c r="BB936" i="2"/>
  <c r="BC936" i="2" s="1"/>
  <c r="BI936" i="2" s="1"/>
  <c r="BB1801" i="2"/>
  <c r="BC1801" i="2" s="1"/>
  <c r="BI1801" i="2" s="1"/>
  <c r="BB1527" i="2"/>
  <c r="BC1527" i="2" s="1"/>
  <c r="BI1527" i="2" s="1"/>
  <c r="BB2149" i="2"/>
  <c r="BC2149" i="2" s="1"/>
  <c r="BI2149" i="2" s="1"/>
  <c r="BB1782" i="2"/>
  <c r="BC1782" i="2" s="1"/>
  <c r="BI1782" i="2" s="1"/>
  <c r="BB2349" i="2"/>
  <c r="BC2349" i="2" s="1"/>
  <c r="BI2349" i="2" s="1"/>
  <c r="BB621" i="2"/>
  <c r="BC621" i="2" s="1"/>
  <c r="BI621" i="2" s="1"/>
  <c r="BB1082" i="2"/>
  <c r="BC1082" i="2" s="1"/>
  <c r="BI1082" i="2" s="1"/>
  <c r="BB2061" i="2"/>
  <c r="BC2061" i="2" s="1"/>
  <c r="BI2061" i="2" s="1"/>
  <c r="BB1438" i="2"/>
  <c r="BC1438" i="2" s="1"/>
  <c r="BI1438" i="2" s="1"/>
  <c r="H190" i="4"/>
  <c r="BB190" i="2"/>
  <c r="BC190" i="2" s="1"/>
  <c r="BI190" i="2" s="1"/>
  <c r="BB1490" i="2"/>
  <c r="BC1490" i="2" s="1"/>
  <c r="BI1490" i="2" s="1"/>
  <c r="BB1079" i="2"/>
  <c r="BC1079" i="2" s="1"/>
  <c r="BI1079" i="2" s="1"/>
  <c r="BB1091" i="2"/>
  <c r="BC1091" i="2" s="1"/>
  <c r="BI1091" i="2" s="1"/>
  <c r="BB690" i="2"/>
  <c r="BC690" i="2" s="1"/>
  <c r="BI690" i="2" s="1"/>
  <c r="BB626" i="2"/>
  <c r="BC626" i="2" s="1"/>
  <c r="BI626" i="2" s="1"/>
  <c r="BB239" i="2"/>
  <c r="BC239" i="2" s="1"/>
  <c r="BI239" i="2" s="1"/>
  <c r="BB1041" i="2"/>
  <c r="BC1041" i="2" s="1"/>
  <c r="BI1041" i="2" s="1"/>
  <c r="BB1297" i="2"/>
  <c r="BC1297" i="2" s="1"/>
  <c r="BI1297" i="2" s="1"/>
  <c r="BB448" i="2"/>
  <c r="BC448" i="2" s="1"/>
  <c r="BI448" i="2" s="1"/>
  <c r="BB1832" i="2"/>
  <c r="BC1832" i="2" s="1"/>
  <c r="BI1832" i="2" s="1"/>
  <c r="H186" i="4"/>
  <c r="BB186" i="2"/>
  <c r="BC186" i="2" s="1"/>
  <c r="BI186" i="2" s="1"/>
  <c r="BB1212" i="2"/>
  <c r="BC1212" i="2" s="1"/>
  <c r="BI1212" i="2" s="1"/>
  <c r="BB1044" i="2"/>
  <c r="BC1044" i="2" s="1"/>
  <c r="BI1044" i="2" s="1"/>
  <c r="BB2198" i="2"/>
  <c r="BC2198" i="2" s="1"/>
  <c r="BI2198" i="2" s="1"/>
  <c r="BB1432" i="2"/>
  <c r="BC1432" i="2" s="1"/>
  <c r="BI1432" i="2" s="1"/>
  <c r="BB2271" i="2"/>
  <c r="BC2271" i="2" s="1"/>
  <c r="BI2271" i="2" s="1"/>
  <c r="BB843" i="2"/>
  <c r="BC843" i="2" s="1"/>
  <c r="BI843" i="2" s="1"/>
  <c r="BB1557" i="2"/>
  <c r="BC1557" i="2" s="1"/>
  <c r="BI1557" i="2" s="1"/>
  <c r="BB1765" i="2"/>
  <c r="BC1765" i="2" s="1"/>
  <c r="BI1765" i="2" s="1"/>
  <c r="BB2348" i="2"/>
  <c r="BC2348" i="2" s="1"/>
  <c r="BI2348" i="2" s="1"/>
  <c r="BB1171" i="2"/>
  <c r="BC1171" i="2" s="1"/>
  <c r="BI1171" i="2" s="1"/>
  <c r="BB315" i="2"/>
  <c r="BC315" i="2" s="1"/>
  <c r="BI315" i="2" s="1"/>
  <c r="BB2076" i="2"/>
  <c r="BC2076" i="2" s="1"/>
  <c r="BI2076" i="2" s="1"/>
  <c r="BB679" i="2"/>
  <c r="BC679" i="2" s="1"/>
  <c r="BI679" i="2" s="1"/>
  <c r="BB798" i="2"/>
  <c r="BC798" i="2" s="1"/>
  <c r="BI798" i="2" s="1"/>
  <c r="BB1170" i="2"/>
  <c r="BC1170" i="2" s="1"/>
  <c r="BI1170" i="2" s="1"/>
  <c r="BB611" i="2"/>
  <c r="BC611" i="2" s="1"/>
  <c r="BI611" i="2" s="1"/>
  <c r="BB579" i="2"/>
  <c r="BC579" i="2" s="1"/>
  <c r="BI579" i="2" s="1"/>
  <c r="H54" i="4"/>
  <c r="BB54" i="2"/>
  <c r="BC54" i="2" s="1"/>
  <c r="BI54" i="2" s="1"/>
  <c r="BB2141" i="2"/>
  <c r="BC2141" i="2" s="1"/>
  <c r="BI2141" i="2" s="1"/>
  <c r="BB2000" i="2"/>
  <c r="BC2000" i="2" s="1"/>
  <c r="BI2000" i="2" s="1"/>
  <c r="BB629" i="2"/>
  <c r="BC629" i="2" s="1"/>
  <c r="BI629" i="2" s="1"/>
  <c r="BB725" i="2"/>
  <c r="BC725" i="2" s="1"/>
  <c r="BI725" i="2" s="1"/>
  <c r="BB1713" i="2"/>
  <c r="BC1713" i="2" s="1"/>
  <c r="BI1713" i="2" s="1"/>
  <c r="BB2182" i="2"/>
  <c r="BC2182" i="2" s="1"/>
  <c r="BI2182" i="2" s="1"/>
  <c r="BB1617" i="2"/>
  <c r="BC1617" i="2" s="1"/>
  <c r="BI1617" i="2" s="1"/>
  <c r="BB1187" i="2"/>
  <c r="BC1187" i="2" s="1"/>
  <c r="BI1187" i="2" s="1"/>
  <c r="BB1789" i="2"/>
  <c r="BC1789" i="2" s="1"/>
  <c r="BI1789" i="2" s="1"/>
  <c r="BB486" i="2"/>
  <c r="BC486" i="2" s="1"/>
  <c r="BI486" i="2" s="1"/>
  <c r="BB429" i="2"/>
  <c r="BC429" i="2" s="1"/>
  <c r="BI429" i="2" s="1"/>
  <c r="BB2195" i="2"/>
  <c r="BC2195" i="2" s="1"/>
  <c r="BI2195" i="2" s="1"/>
  <c r="H170" i="4"/>
  <c r="BB170" i="2"/>
  <c r="BC170" i="2" s="1"/>
  <c r="BI170" i="2" s="1"/>
  <c r="BB2147" i="2"/>
  <c r="BC2147" i="2" s="1"/>
  <c r="BI2147" i="2" s="1"/>
  <c r="BB1858" i="2"/>
  <c r="BC1858" i="2" s="1"/>
  <c r="BI1858" i="2" s="1"/>
  <c r="H57" i="4"/>
  <c r="BB57" i="2"/>
  <c r="BC57" i="2" s="1"/>
  <c r="BI57" i="2" s="1"/>
  <c r="BB1108" i="2"/>
  <c r="BC1108" i="2" s="1"/>
  <c r="BI1108" i="2" s="1"/>
  <c r="BB246" i="2"/>
  <c r="BC246" i="2" s="1"/>
  <c r="BI246" i="2" s="1"/>
  <c r="BB2398" i="2"/>
  <c r="BC2398" i="2" s="1"/>
  <c r="BI2398" i="2" s="1"/>
  <c r="BB1300" i="2"/>
  <c r="BC1300" i="2" s="1"/>
  <c r="BI1300" i="2" s="1"/>
  <c r="BB2404" i="2"/>
  <c r="BC2404" i="2" s="1"/>
  <c r="BI2404" i="2" s="1"/>
  <c r="BB521" i="2"/>
  <c r="BC521" i="2" s="1"/>
  <c r="BI521" i="2" s="1"/>
  <c r="BB1948" i="2"/>
  <c r="BC1948" i="2" s="1"/>
  <c r="BI1948" i="2" s="1"/>
  <c r="BB1281" i="2"/>
  <c r="BC1281" i="2" s="1"/>
  <c r="BI1281" i="2" s="1"/>
  <c r="BB1717" i="2"/>
  <c r="BC1717" i="2" s="1"/>
  <c r="BI1717" i="2" s="1"/>
  <c r="BB1469" i="2"/>
  <c r="BC1469" i="2" s="1"/>
  <c r="BI1469" i="2" s="1"/>
  <c r="BB967" i="2"/>
  <c r="BC967" i="2" s="1"/>
  <c r="BI967" i="2" s="1"/>
  <c r="BB1181" i="2"/>
  <c r="BC1181" i="2" s="1"/>
  <c r="BI1181" i="2" s="1"/>
  <c r="H178" i="4"/>
  <c r="BB178" i="2"/>
  <c r="BC178" i="2" s="1"/>
  <c r="BI178" i="2" s="1"/>
  <c r="BB1311" i="2"/>
  <c r="BC1311" i="2" s="1"/>
  <c r="BI1311" i="2" s="1"/>
  <c r="H175" i="4"/>
  <c r="BB175" i="2"/>
  <c r="BC175" i="2" s="1"/>
  <c r="BI175" i="2" s="1"/>
  <c r="BB1981" i="2"/>
  <c r="BC1981" i="2" s="1"/>
  <c r="BI1981" i="2" s="1"/>
  <c r="BB1464" i="2"/>
  <c r="BC1464" i="2" s="1"/>
  <c r="BI1464" i="2" s="1"/>
  <c r="BB278" i="2"/>
  <c r="BC278" i="2" s="1"/>
  <c r="BI278" i="2" s="1"/>
  <c r="BB500" i="2"/>
  <c r="BC500" i="2" s="1"/>
  <c r="BI500" i="2" s="1"/>
  <c r="BB1457" i="2"/>
  <c r="BC1457" i="2" s="1"/>
  <c r="BI1457" i="2" s="1"/>
  <c r="BB1285" i="2"/>
  <c r="BC1285" i="2" s="1"/>
  <c r="BI1285" i="2" s="1"/>
  <c r="BB1641" i="2"/>
  <c r="BC1641" i="2" s="1"/>
  <c r="BI1641" i="2" s="1"/>
  <c r="H147" i="4"/>
  <c r="BB147" i="2"/>
  <c r="BC147" i="2" s="1"/>
  <c r="BI147" i="2" s="1"/>
  <c r="H155" i="4"/>
  <c r="BB155" i="2"/>
  <c r="BC155" i="2" s="1"/>
  <c r="BI155" i="2" s="1"/>
  <c r="BB2214" i="2"/>
  <c r="BC2214" i="2" s="1"/>
  <c r="BI2214" i="2" s="1"/>
  <c r="BB1907" i="2"/>
  <c r="BC1907" i="2" s="1"/>
  <c r="BI1907" i="2" s="1"/>
  <c r="H83" i="4"/>
  <c r="BB83" i="2"/>
  <c r="BC83" i="2" s="1"/>
  <c r="BI83" i="2" s="1"/>
  <c r="BB2470" i="2"/>
  <c r="BC2470" i="2" s="1"/>
  <c r="BI2470" i="2" s="1"/>
  <c r="BB988" i="2"/>
  <c r="BC988" i="2" s="1"/>
  <c r="BI988" i="2" s="1"/>
  <c r="BB1514" i="2"/>
  <c r="BC1514" i="2" s="1"/>
  <c r="BI1514" i="2" s="1"/>
  <c r="BB680" i="2"/>
  <c r="BC680" i="2" s="1"/>
  <c r="BI680" i="2" s="1"/>
  <c r="BB928" i="2"/>
  <c r="BC928" i="2" s="1"/>
  <c r="BI928" i="2" s="1"/>
  <c r="BB805" i="2"/>
  <c r="BC805" i="2" s="1"/>
  <c r="BI805" i="2" s="1"/>
  <c r="BB1223" i="2"/>
  <c r="BC1223" i="2" s="1"/>
  <c r="BI1223" i="2" s="1"/>
  <c r="J2" i="4" l="1"/>
  <c r="I2" i="4"/>
  <c r="BK338" i="2"/>
  <c r="BJ338" i="2"/>
  <c r="BK370" i="2"/>
  <c r="BJ370" i="2"/>
  <c r="BJ330" i="2"/>
  <c r="BK330" i="2"/>
  <c r="BJ402" i="2"/>
  <c r="BK402" i="2"/>
  <c r="BJ378" i="2"/>
  <c r="BK378" i="2"/>
  <c r="BK362" i="2"/>
  <c r="BJ362" i="2"/>
  <c r="BK354" i="2"/>
  <c r="BJ354" i="2"/>
  <c r="BJ346" i="2"/>
  <c r="BK346" i="2"/>
  <c r="BK394" i="2"/>
  <c r="BJ394" i="2"/>
  <c r="BK386" i="2"/>
  <c r="BJ386" i="2"/>
  <c r="BJ500" i="2"/>
  <c r="BK500" i="2"/>
  <c r="BK1181" i="2"/>
  <c r="BJ1181" i="2"/>
  <c r="BJ486" i="2"/>
  <c r="BK486" i="2"/>
  <c r="BK1713" i="2"/>
  <c r="BJ1713" i="2"/>
  <c r="BK315" i="2"/>
  <c r="BJ315" i="2"/>
  <c r="BJ1212" i="2"/>
  <c r="BK1212" i="2"/>
  <c r="BK239" i="2"/>
  <c r="BJ239" i="2"/>
  <c r="BJ1490" i="2"/>
  <c r="BK1490" i="2"/>
  <c r="BK1782" i="2"/>
  <c r="BJ1782" i="2"/>
  <c r="BK1112" i="2"/>
  <c r="BJ1112" i="2"/>
  <c r="BK2323" i="2"/>
  <c r="BJ2323" i="2"/>
  <c r="BJ2231" i="2"/>
  <c r="BK2231" i="2"/>
  <c r="BJ1032" i="2"/>
  <c r="BK1032" i="2"/>
  <c r="BJ2208" i="2"/>
  <c r="BK2208" i="2"/>
  <c r="BJ1674" i="2"/>
  <c r="BK1674" i="2"/>
  <c r="BK2306" i="2"/>
  <c r="BJ2306" i="2"/>
  <c r="BK1614" i="2"/>
  <c r="BJ1614" i="2"/>
  <c r="BJ1577" i="2"/>
  <c r="BK1577" i="2"/>
  <c r="BJ1914" i="2"/>
  <c r="BK1914" i="2"/>
  <c r="BJ2071" i="2"/>
  <c r="BK2071" i="2"/>
  <c r="BJ1829" i="2"/>
  <c r="BK1829" i="2"/>
  <c r="BK1698" i="2"/>
  <c r="BJ1698" i="2"/>
  <c r="BK26" i="2"/>
  <c r="J26" i="4" s="1"/>
  <c r="BJ26" i="2"/>
  <c r="I26" i="4" s="1"/>
  <c r="BK1777" i="2"/>
  <c r="BJ1777" i="2"/>
  <c r="BK21" i="2"/>
  <c r="J21" i="4" s="1"/>
  <c r="BJ21" i="2"/>
  <c r="I21" i="4" s="1"/>
  <c r="BK2123" i="2"/>
  <c r="BJ2123" i="2"/>
  <c r="BK2430" i="2"/>
  <c r="BJ2430" i="2"/>
  <c r="BK2181" i="2"/>
  <c r="BJ2181" i="2"/>
  <c r="BK1189" i="2"/>
  <c r="BJ1189" i="2"/>
  <c r="BK1497" i="2"/>
  <c r="BJ1497" i="2"/>
  <c r="BJ1396" i="2"/>
  <c r="BK1396" i="2"/>
  <c r="BK1511" i="2"/>
  <c r="BJ1511" i="2"/>
  <c r="BK1471" i="2"/>
  <c r="BJ1471" i="2"/>
  <c r="BK1508" i="2"/>
  <c r="BJ1508" i="2"/>
  <c r="BK1106" i="2"/>
  <c r="BJ1106" i="2"/>
  <c r="BJ1383" i="2"/>
  <c r="BK1383" i="2"/>
  <c r="BK2369" i="2"/>
  <c r="BJ2369" i="2"/>
  <c r="BK1028" i="2"/>
  <c r="BJ1028" i="2"/>
  <c r="BJ313" i="2"/>
  <c r="BK313" i="2"/>
  <c r="BJ2268" i="2"/>
  <c r="BK2268" i="2"/>
  <c r="BK1176" i="2"/>
  <c r="BJ1176" i="2"/>
  <c r="BK123" i="2"/>
  <c r="J123" i="4" s="1"/>
  <c r="BJ123" i="2"/>
  <c r="I123" i="4" s="1"/>
  <c r="BJ255" i="2"/>
  <c r="BK255" i="2"/>
  <c r="BK2161" i="2"/>
  <c r="BJ2161" i="2"/>
  <c r="BJ1279" i="2"/>
  <c r="BK1279" i="2"/>
  <c r="BK1639" i="2"/>
  <c r="BJ1639" i="2"/>
  <c r="BK419" i="2"/>
  <c r="BJ419" i="2"/>
  <c r="BK739" i="2"/>
  <c r="BJ739" i="2"/>
  <c r="BK2113" i="2"/>
  <c r="BJ2113" i="2"/>
  <c r="BJ2015" i="2"/>
  <c r="BK2015" i="2"/>
  <c r="BJ1563" i="2"/>
  <c r="BK1563" i="2"/>
  <c r="BJ987" i="2"/>
  <c r="BK987" i="2"/>
  <c r="BK466" i="2"/>
  <c r="BJ466" i="2"/>
  <c r="BJ1302" i="2"/>
  <c r="BK1302" i="2"/>
  <c r="BK1327" i="2"/>
  <c r="BJ1327" i="2"/>
  <c r="BK1049" i="2"/>
  <c r="BJ1049" i="2"/>
  <c r="BK1889" i="2"/>
  <c r="BJ1889" i="2"/>
  <c r="BK1723" i="2"/>
  <c r="BJ1723" i="2"/>
  <c r="BJ1197" i="2"/>
  <c r="BK1197" i="2"/>
  <c r="BK1714" i="2"/>
  <c r="BJ1714" i="2"/>
  <c r="BJ1350" i="2"/>
  <c r="BK1350" i="2"/>
  <c r="BK1359" i="2"/>
  <c r="BJ1359" i="2"/>
  <c r="BJ90" i="2"/>
  <c r="I90" i="4" s="1"/>
  <c r="BK90" i="2"/>
  <c r="J90" i="4" s="1"/>
  <c r="BK397" i="2"/>
  <c r="BJ397" i="2"/>
  <c r="BJ2332" i="2"/>
  <c r="BK2332" i="2"/>
  <c r="BK1361" i="2"/>
  <c r="BJ1361" i="2"/>
  <c r="BK682" i="2"/>
  <c r="BJ682" i="2"/>
  <c r="BJ2093" i="2"/>
  <c r="BK2093" i="2"/>
  <c r="BK1219" i="2"/>
  <c r="BJ1219" i="2"/>
  <c r="BJ1513" i="2"/>
  <c r="BK1513" i="2"/>
  <c r="BJ2363" i="2"/>
  <c r="BK2363" i="2"/>
  <c r="BK664" i="2"/>
  <c r="BJ664" i="2"/>
  <c r="BK131" i="2"/>
  <c r="J131" i="4" s="1"/>
  <c r="BJ131" i="2"/>
  <c r="I131" i="4" s="1"/>
  <c r="BK520" i="2"/>
  <c r="BJ520" i="2"/>
  <c r="BK495" i="2"/>
  <c r="BJ495" i="2"/>
  <c r="BJ1407" i="2"/>
  <c r="BK1407" i="2"/>
  <c r="BK757" i="2"/>
  <c r="BJ757" i="2"/>
  <c r="BK2330" i="2"/>
  <c r="BJ2330" i="2"/>
  <c r="BJ2029" i="2"/>
  <c r="BK2029" i="2"/>
  <c r="BJ1556" i="2"/>
  <c r="BK1556" i="2"/>
  <c r="BK1449" i="2"/>
  <c r="BJ1449" i="2"/>
  <c r="BK2202" i="2"/>
  <c r="BJ2202" i="2"/>
  <c r="BJ2447" i="2"/>
  <c r="BK2447" i="2"/>
  <c r="BJ1337" i="2"/>
  <c r="BK1337" i="2"/>
  <c r="BJ754" i="2"/>
  <c r="BK754" i="2"/>
  <c r="BK2155" i="2"/>
  <c r="BJ2155" i="2"/>
  <c r="BJ1673" i="2"/>
  <c r="BK1673" i="2"/>
  <c r="BJ1850" i="2"/>
  <c r="BK1850" i="2"/>
  <c r="BJ43" i="2"/>
  <c r="I43" i="4" s="1"/>
  <c r="BK43" i="2"/>
  <c r="J43" i="4" s="1"/>
  <c r="BK851" i="2"/>
  <c r="BJ851" i="2"/>
  <c r="BK2183" i="2"/>
  <c r="BJ2183" i="2"/>
  <c r="BJ1869" i="2"/>
  <c r="BK1869" i="2"/>
  <c r="BJ2409" i="2"/>
  <c r="BK2409" i="2"/>
  <c r="BJ1974" i="2"/>
  <c r="BK1974" i="2"/>
  <c r="BJ2089" i="2"/>
  <c r="BK2089" i="2"/>
  <c r="BJ1487" i="2"/>
  <c r="BK1487" i="2"/>
  <c r="BK689" i="2"/>
  <c r="BJ689" i="2"/>
  <c r="BK2464" i="2"/>
  <c r="BJ2464" i="2"/>
  <c r="BJ383" i="2"/>
  <c r="BK383" i="2"/>
  <c r="BK2126" i="2"/>
  <c r="BJ2126" i="2"/>
  <c r="BK1879" i="2"/>
  <c r="BJ1879" i="2"/>
  <c r="BJ1924" i="2"/>
  <c r="BK1924" i="2"/>
  <c r="BK1622" i="2"/>
  <c r="BJ1622" i="2"/>
  <c r="BJ1116" i="2"/>
  <c r="BK1116" i="2"/>
  <c r="BK2467" i="2"/>
  <c r="BJ2467" i="2"/>
  <c r="BK1292" i="2"/>
  <c r="BJ1292" i="2"/>
  <c r="BJ1534" i="2"/>
  <c r="BK1534" i="2"/>
  <c r="BK645" i="2"/>
  <c r="BJ645" i="2"/>
  <c r="BK2004" i="2"/>
  <c r="BJ2004" i="2"/>
  <c r="BJ613" i="2"/>
  <c r="BK613" i="2"/>
  <c r="BK814" i="2"/>
  <c r="BJ814" i="2"/>
  <c r="BJ1047" i="2"/>
  <c r="BK1047" i="2"/>
  <c r="BK2356" i="2"/>
  <c r="BJ2356" i="2"/>
  <c r="BJ2435" i="2"/>
  <c r="BK2435" i="2"/>
  <c r="BJ1318" i="2"/>
  <c r="BK1318" i="2"/>
  <c r="BJ1317" i="2"/>
  <c r="BK1317" i="2"/>
  <c r="BJ1224" i="2"/>
  <c r="BK1224" i="2"/>
  <c r="BK1426" i="2"/>
  <c r="BJ1426" i="2"/>
  <c r="BJ685" i="2"/>
  <c r="BK685" i="2"/>
  <c r="BK2392" i="2"/>
  <c r="BJ2392" i="2"/>
  <c r="BJ2079" i="2"/>
  <c r="BK2079" i="2"/>
  <c r="BK1482" i="2"/>
  <c r="BJ1482" i="2"/>
  <c r="BK1567" i="2"/>
  <c r="BJ1567" i="2"/>
  <c r="BK1385" i="2"/>
  <c r="BJ1385" i="2"/>
  <c r="BJ1593" i="2"/>
  <c r="BK1593" i="2"/>
  <c r="BK409" i="2"/>
  <c r="BJ409" i="2"/>
  <c r="BK890" i="2"/>
  <c r="BJ890" i="2"/>
  <c r="BJ2057" i="2"/>
  <c r="BK2057" i="2"/>
  <c r="BJ32" i="2"/>
  <c r="I32" i="4" s="1"/>
  <c r="BK32" i="2"/>
  <c r="J32" i="4" s="1"/>
  <c r="BK2156" i="2"/>
  <c r="BJ2156" i="2"/>
  <c r="BJ659" i="2"/>
  <c r="BK659" i="2"/>
  <c r="BJ1163" i="2"/>
  <c r="BK1163" i="2"/>
  <c r="BJ165" i="2"/>
  <c r="I165" i="4" s="1"/>
  <c r="BK165" i="2"/>
  <c r="J165" i="4" s="1"/>
  <c r="BK213" i="2"/>
  <c r="BJ213" i="2"/>
  <c r="BK1416" i="2"/>
  <c r="BJ1416" i="2"/>
  <c r="BJ555" i="2"/>
  <c r="BK555" i="2"/>
  <c r="BJ2473" i="2"/>
  <c r="BK2473" i="2"/>
  <c r="BJ1544" i="2"/>
  <c r="BK1544" i="2"/>
  <c r="BJ1050" i="2"/>
  <c r="BK1050" i="2"/>
  <c r="BJ471" i="2"/>
  <c r="BK471" i="2"/>
  <c r="BJ1466" i="2"/>
  <c r="BK1466" i="2"/>
  <c r="BK873" i="2"/>
  <c r="BJ873" i="2"/>
  <c r="BJ282" i="2"/>
  <c r="BK282" i="2"/>
  <c r="BJ1268" i="2"/>
  <c r="BK1268" i="2"/>
  <c r="BK75" i="2"/>
  <c r="J75" i="4" s="1"/>
  <c r="BJ75" i="2"/>
  <c r="I75" i="4" s="1"/>
  <c r="BK1989" i="2"/>
  <c r="BJ1989" i="2"/>
  <c r="BJ751" i="2"/>
  <c r="BK751" i="2"/>
  <c r="BJ2080" i="2"/>
  <c r="BK2080" i="2"/>
  <c r="BJ1455" i="2"/>
  <c r="BK1455" i="2"/>
  <c r="BK506" i="2"/>
  <c r="BJ506" i="2"/>
  <c r="BK1564" i="2"/>
  <c r="BJ1564" i="2"/>
  <c r="BJ1855" i="2"/>
  <c r="BK1855" i="2"/>
  <c r="BK1136" i="2"/>
  <c r="BJ1136" i="2"/>
  <c r="BK377" i="2"/>
  <c r="BJ377" i="2"/>
  <c r="BK1164" i="2"/>
  <c r="BJ1164" i="2"/>
  <c r="BK311" i="2"/>
  <c r="BJ311" i="2"/>
  <c r="BK1063" i="2"/>
  <c r="BJ1063" i="2"/>
  <c r="BJ496" i="2"/>
  <c r="BK496" i="2"/>
  <c r="BJ1985" i="2"/>
  <c r="BK1985" i="2"/>
  <c r="BK1747" i="2"/>
  <c r="BJ1747" i="2"/>
  <c r="BK2289" i="2"/>
  <c r="BJ2289" i="2"/>
  <c r="BJ1444" i="2"/>
  <c r="BK1444" i="2"/>
  <c r="BJ1901" i="2"/>
  <c r="BK1901" i="2"/>
  <c r="BK1898" i="2"/>
  <c r="BJ1898" i="2"/>
  <c r="BK828" i="2"/>
  <c r="BJ828" i="2"/>
  <c r="BK1005" i="2"/>
  <c r="BJ1005" i="2"/>
  <c r="BJ2174" i="2"/>
  <c r="BK2174" i="2"/>
  <c r="BJ950" i="2"/>
  <c r="BK950" i="2"/>
  <c r="BK1876" i="2"/>
  <c r="BJ1876" i="2"/>
  <c r="BK1148" i="2"/>
  <c r="BJ1148" i="2"/>
  <c r="BK780" i="2"/>
  <c r="BJ780" i="2"/>
  <c r="BJ1980" i="2"/>
  <c r="BK1980" i="2"/>
  <c r="BJ585" i="2"/>
  <c r="BK585" i="2"/>
  <c r="BK2372" i="2"/>
  <c r="BJ2372" i="2"/>
  <c r="BJ1126" i="2"/>
  <c r="BK1126" i="2"/>
  <c r="BJ1352" i="2"/>
  <c r="BK1352" i="2"/>
  <c r="BK539" i="2"/>
  <c r="BJ539" i="2"/>
  <c r="BJ654" i="2"/>
  <c r="BK654" i="2"/>
  <c r="BJ287" i="2"/>
  <c r="BK287" i="2"/>
  <c r="BJ880" i="2"/>
  <c r="BK880" i="2"/>
  <c r="BK1462" i="2"/>
  <c r="BJ1462" i="2"/>
  <c r="BK368" i="2"/>
  <c r="BJ368" i="2"/>
  <c r="BJ1920" i="2"/>
  <c r="BK1920" i="2"/>
  <c r="BJ1378" i="2"/>
  <c r="BK1378" i="2"/>
  <c r="BJ1703" i="2"/>
  <c r="BK1703" i="2"/>
  <c r="BJ688" i="2"/>
  <c r="BK688" i="2"/>
  <c r="BJ1012" i="2"/>
  <c r="BK1012" i="2"/>
  <c r="BK265" i="2"/>
  <c r="BJ265" i="2"/>
  <c r="BJ1588" i="2"/>
  <c r="BK1588" i="2"/>
  <c r="BJ522" i="2"/>
  <c r="BK522" i="2"/>
  <c r="BJ337" i="2"/>
  <c r="BK337" i="2"/>
  <c r="BJ2302" i="2"/>
  <c r="BK2302" i="2"/>
  <c r="BJ328" i="2"/>
  <c r="BK328" i="2"/>
  <c r="BJ1461" i="2"/>
  <c r="BK1461" i="2"/>
  <c r="BJ234" i="2"/>
  <c r="BK234" i="2"/>
  <c r="BJ1166" i="2"/>
  <c r="BK1166" i="2"/>
  <c r="BK2423" i="2"/>
  <c r="BJ2423" i="2"/>
  <c r="BJ2030" i="2"/>
  <c r="BK2030" i="2"/>
  <c r="BK2142" i="2"/>
  <c r="BJ2142" i="2"/>
  <c r="BK1842" i="2"/>
  <c r="BJ1842" i="2"/>
  <c r="BJ1537" i="2"/>
  <c r="BK1537" i="2"/>
  <c r="BK705" i="2"/>
  <c r="BJ705" i="2"/>
  <c r="BJ947" i="2"/>
  <c r="BK947" i="2"/>
  <c r="BK1026" i="2"/>
  <c r="BJ1026" i="2"/>
  <c r="BJ2101" i="2"/>
  <c r="BK2101" i="2"/>
  <c r="BK2211" i="2"/>
  <c r="BJ2211" i="2"/>
  <c r="BJ1092" i="2"/>
  <c r="BK1092" i="2"/>
  <c r="BJ1976" i="2"/>
  <c r="BK1976" i="2"/>
  <c r="BK607" i="2"/>
  <c r="BJ607" i="2"/>
  <c r="BK269" i="2"/>
  <c r="BJ269" i="2"/>
  <c r="BK1847" i="2"/>
  <c r="BJ1847" i="2"/>
  <c r="BK666" i="2"/>
  <c r="BJ666" i="2"/>
  <c r="BK2333" i="2"/>
  <c r="BJ2333" i="2"/>
  <c r="BK2442" i="2"/>
  <c r="BJ2442" i="2"/>
  <c r="BJ1568" i="2"/>
  <c r="BK1568" i="2"/>
  <c r="BK2308" i="2"/>
  <c r="BJ2308" i="2"/>
  <c r="BK2262" i="2"/>
  <c r="BJ2262" i="2"/>
  <c r="BJ1127" i="2"/>
  <c r="BK1127" i="2"/>
  <c r="BJ2345" i="2"/>
  <c r="BK2345" i="2"/>
  <c r="BJ1644" i="2"/>
  <c r="BK1644" i="2"/>
  <c r="BK2344" i="2"/>
  <c r="BJ2344" i="2"/>
  <c r="BJ584" i="2"/>
  <c r="BK584" i="2"/>
  <c r="BK837" i="2"/>
  <c r="BJ837" i="2"/>
  <c r="BK684" i="2"/>
  <c r="BJ684" i="2"/>
  <c r="BK769" i="2"/>
  <c r="BJ769" i="2"/>
  <c r="BK1252" i="2"/>
  <c r="BJ1252" i="2"/>
  <c r="BK1088" i="2"/>
  <c r="BJ1088" i="2"/>
  <c r="BJ329" i="2"/>
  <c r="BK329" i="2"/>
  <c r="BJ2393" i="2"/>
  <c r="BK2393" i="2"/>
  <c r="BK30" i="2"/>
  <c r="J30" i="4" s="1"/>
  <c r="BJ30" i="2"/>
  <c r="I30" i="4" s="1"/>
  <c r="BK1734" i="2"/>
  <c r="BJ1734" i="2"/>
  <c r="BJ406" i="2"/>
  <c r="BK406" i="2"/>
  <c r="BJ2494" i="2"/>
  <c r="BK2494" i="2"/>
  <c r="BK1825" i="2"/>
  <c r="BJ1825" i="2"/>
  <c r="BJ742" i="2"/>
  <c r="BK742" i="2"/>
  <c r="BJ295" i="2"/>
  <c r="BK295" i="2"/>
  <c r="BJ1654" i="2"/>
  <c r="BK1654" i="2"/>
  <c r="BJ1371" i="2"/>
  <c r="BK1371" i="2"/>
  <c r="BK1009" i="2"/>
  <c r="BJ1009" i="2"/>
  <c r="BK1158" i="2"/>
  <c r="BJ1158" i="2"/>
  <c r="BK1038" i="2"/>
  <c r="BJ1038" i="2"/>
  <c r="BK1733" i="2"/>
  <c r="BJ1733" i="2"/>
  <c r="BK100" i="2"/>
  <c r="J100" i="4" s="1"/>
  <c r="BJ100" i="2"/>
  <c r="I100" i="4" s="1"/>
  <c r="BJ1084" i="2"/>
  <c r="BK1084" i="2"/>
  <c r="BK2425" i="2"/>
  <c r="BJ2425" i="2"/>
  <c r="BK772" i="2"/>
  <c r="BJ772" i="2"/>
  <c r="BK49" i="2"/>
  <c r="J49" i="4" s="1"/>
  <c r="BJ49" i="2"/>
  <c r="I49" i="4" s="1"/>
  <c r="BK820" i="2"/>
  <c r="BJ820" i="2"/>
  <c r="BJ1760" i="2"/>
  <c r="BK1760" i="2"/>
  <c r="BK605" i="2"/>
  <c r="BJ605" i="2"/>
  <c r="BK859" i="2"/>
  <c r="BJ859" i="2"/>
  <c r="BK665" i="2"/>
  <c r="BJ665" i="2"/>
  <c r="BK1706" i="2"/>
  <c r="BJ1706" i="2"/>
  <c r="BJ710" i="2"/>
  <c r="BK710" i="2"/>
  <c r="BJ297" i="2"/>
  <c r="BK297" i="2"/>
  <c r="BK1410" i="2"/>
  <c r="BJ1410" i="2"/>
  <c r="BJ2099" i="2"/>
  <c r="BK2099" i="2"/>
  <c r="BK868" i="2"/>
  <c r="BJ868" i="2"/>
  <c r="BK1741" i="2"/>
  <c r="BJ1741" i="2"/>
  <c r="BJ737" i="2"/>
  <c r="BK737" i="2"/>
  <c r="BJ1746" i="2"/>
  <c r="BK1746" i="2"/>
  <c r="BJ1243" i="2"/>
  <c r="BK1243" i="2"/>
  <c r="BK2069" i="2"/>
  <c r="BJ2069" i="2"/>
  <c r="BJ595" i="2"/>
  <c r="BK595" i="2"/>
  <c r="BK1558" i="2"/>
  <c r="BJ1558" i="2"/>
  <c r="BJ1400" i="2"/>
  <c r="BK1400" i="2"/>
  <c r="BJ1897" i="2"/>
  <c r="BK1897" i="2"/>
  <c r="BJ1190" i="2"/>
  <c r="BK1190" i="2"/>
  <c r="BJ1244" i="2"/>
  <c r="BK1244" i="2"/>
  <c r="BK696" i="2"/>
  <c r="BJ696" i="2"/>
  <c r="BJ1273" i="2"/>
  <c r="BK1273" i="2"/>
  <c r="BK738" i="2"/>
  <c r="BJ738" i="2"/>
  <c r="BK2075" i="2"/>
  <c r="BJ2075" i="2"/>
  <c r="BK2283" i="2"/>
  <c r="BJ2283" i="2"/>
  <c r="BK1778" i="2"/>
  <c r="BJ1778" i="2"/>
  <c r="BJ238" i="2"/>
  <c r="BK238" i="2"/>
  <c r="BJ789" i="2"/>
  <c r="BK789" i="2"/>
  <c r="BJ1095" i="2"/>
  <c r="BK1095" i="2"/>
  <c r="BK305" i="2"/>
  <c r="BJ305" i="2"/>
  <c r="BJ1048" i="2"/>
  <c r="BK1048" i="2"/>
  <c r="BK85" i="2"/>
  <c r="J85" i="4" s="1"/>
  <c r="BJ85" i="2"/>
  <c r="I85" i="4" s="1"/>
  <c r="BJ2274" i="2"/>
  <c r="BK2274" i="2"/>
  <c r="BJ2411" i="2"/>
  <c r="BK2411" i="2"/>
  <c r="BK1339" i="2"/>
  <c r="BJ1339" i="2"/>
  <c r="BJ2293" i="2"/>
  <c r="BK2293" i="2"/>
  <c r="BJ38" i="2"/>
  <c r="I38" i="4" s="1"/>
  <c r="BK38" i="2"/>
  <c r="J38" i="4" s="1"/>
  <c r="BK1146" i="2"/>
  <c r="BJ1146" i="2"/>
  <c r="BK839" i="2"/>
  <c r="BJ839" i="2"/>
  <c r="BK1812" i="2"/>
  <c r="BJ1812" i="2"/>
  <c r="BK1645" i="2"/>
  <c r="BJ1645" i="2"/>
  <c r="BJ2291" i="2"/>
  <c r="BK2291" i="2"/>
  <c r="BK1736" i="2"/>
  <c r="BJ1736" i="2"/>
  <c r="BJ1880" i="2"/>
  <c r="BK1880" i="2"/>
  <c r="BJ933" i="2"/>
  <c r="BK933" i="2"/>
  <c r="BK2130" i="2"/>
  <c r="BJ2130" i="2"/>
  <c r="BJ998" i="2"/>
  <c r="BK998" i="2"/>
  <c r="BJ1580" i="2"/>
  <c r="BK1580" i="2"/>
  <c r="BK863" i="2"/>
  <c r="BJ863" i="2"/>
  <c r="BJ1132" i="2"/>
  <c r="BK1132" i="2"/>
  <c r="BK2063" i="2"/>
  <c r="BJ2063" i="2"/>
  <c r="BK1964" i="2"/>
  <c r="BJ1964" i="2"/>
  <c r="BK609" i="2"/>
  <c r="BJ609" i="2"/>
  <c r="BK220" i="2"/>
  <c r="BJ220" i="2"/>
  <c r="BJ1726" i="2"/>
  <c r="BK1726" i="2"/>
  <c r="BJ702" i="2"/>
  <c r="BK702" i="2"/>
  <c r="BJ1434" i="2"/>
  <c r="BK1434" i="2"/>
  <c r="BK856" i="2"/>
  <c r="BJ856" i="2"/>
  <c r="BJ1446" i="2"/>
  <c r="BK1446" i="2"/>
  <c r="BJ1950" i="2"/>
  <c r="BK1950" i="2"/>
  <c r="BK1277" i="2"/>
  <c r="BJ1277" i="2"/>
  <c r="BK892" i="2"/>
  <c r="BJ892" i="2"/>
  <c r="BK2461" i="2"/>
  <c r="BJ2461" i="2"/>
  <c r="BK1055" i="2"/>
  <c r="BJ1055" i="2"/>
  <c r="BK2236" i="2"/>
  <c r="BJ2236" i="2"/>
  <c r="BJ2437" i="2"/>
  <c r="BK2437" i="2"/>
  <c r="BK1658" i="2"/>
  <c r="BJ1658" i="2"/>
  <c r="BK2385" i="2"/>
  <c r="BJ2385" i="2"/>
  <c r="BJ1561" i="2"/>
  <c r="BK1561" i="2"/>
  <c r="BK1949" i="2"/>
  <c r="BJ1949" i="2"/>
  <c r="BK1331" i="2"/>
  <c r="BJ1331" i="2"/>
  <c r="BK1942" i="2"/>
  <c r="BJ1942" i="2"/>
  <c r="BK2384" i="2"/>
  <c r="BJ2384" i="2"/>
  <c r="BK641" i="2"/>
  <c r="BJ641" i="2"/>
  <c r="BK1817" i="2"/>
  <c r="BJ1817" i="2"/>
  <c r="BJ971" i="2"/>
  <c r="BK971" i="2"/>
  <c r="BJ1356" i="2"/>
  <c r="BK1356" i="2"/>
  <c r="BK564" i="2"/>
  <c r="BJ564" i="2"/>
  <c r="BJ371" i="2"/>
  <c r="BK371" i="2"/>
  <c r="BK384" i="2"/>
  <c r="BJ384" i="2"/>
  <c r="BJ836" i="2"/>
  <c r="BK836" i="2"/>
  <c r="BK414" i="2"/>
  <c r="BJ414" i="2"/>
  <c r="BJ2121" i="2"/>
  <c r="BK2121" i="2"/>
  <c r="BK599" i="2"/>
  <c r="BJ599" i="2"/>
  <c r="BK1643" i="2"/>
  <c r="BJ1643" i="2"/>
  <c r="BK1175" i="2"/>
  <c r="BJ1175" i="2"/>
  <c r="BJ1194" i="2"/>
  <c r="BK1194" i="2"/>
  <c r="BK262" i="2"/>
  <c r="BJ262" i="2"/>
  <c r="BJ1451" i="2"/>
  <c r="BK1451" i="2"/>
  <c r="BJ1344" i="2"/>
  <c r="BK1344" i="2"/>
  <c r="BK714" i="2"/>
  <c r="BJ714" i="2"/>
  <c r="BK1520" i="2"/>
  <c r="BJ1520" i="2"/>
  <c r="BJ2418" i="2"/>
  <c r="BK2418" i="2"/>
  <c r="BJ1474" i="2"/>
  <c r="BK1474" i="2"/>
  <c r="BK2322" i="2"/>
  <c r="BJ2322" i="2"/>
  <c r="BK1069" i="2"/>
  <c r="BJ1069" i="2"/>
  <c r="BJ2237" i="2"/>
  <c r="BK2237" i="2"/>
  <c r="BK790" i="2"/>
  <c r="BJ790" i="2"/>
  <c r="BJ2491" i="2"/>
  <c r="BK2491" i="2"/>
  <c r="BJ568" i="2"/>
  <c r="BK568" i="2"/>
  <c r="BJ1351" i="2"/>
  <c r="BK1351" i="2"/>
  <c r="BJ1594" i="2"/>
  <c r="BK1594" i="2"/>
  <c r="BJ2497" i="2"/>
  <c r="BK2497" i="2"/>
  <c r="BK2107" i="2"/>
  <c r="BJ2107" i="2"/>
  <c r="BJ1324" i="2"/>
  <c r="BK1324" i="2"/>
  <c r="BK2298" i="2"/>
  <c r="BJ2298" i="2"/>
  <c r="BJ1248" i="2"/>
  <c r="BK1248" i="2"/>
  <c r="BJ2439" i="2"/>
  <c r="BK2439" i="2"/>
  <c r="BK2167" i="2"/>
  <c r="BJ2167" i="2"/>
  <c r="BK441" i="2"/>
  <c r="BJ441" i="2"/>
  <c r="BJ743" i="2"/>
  <c r="BK743" i="2"/>
  <c r="BK207" i="2"/>
  <c r="BJ207" i="2"/>
  <c r="BJ400" i="2"/>
  <c r="BK400" i="2"/>
  <c r="BK2307" i="2"/>
  <c r="BJ2307" i="2"/>
  <c r="BK1874" i="2"/>
  <c r="BJ1874" i="2"/>
  <c r="BJ2415" i="2"/>
  <c r="BK2415" i="2"/>
  <c r="BJ499" i="2"/>
  <c r="BK499" i="2"/>
  <c r="BK1955" i="2"/>
  <c r="BJ1955" i="2"/>
  <c r="BJ94" i="2"/>
  <c r="I94" i="4" s="1"/>
  <c r="BK94" i="2"/>
  <c r="J94" i="4" s="1"/>
  <c r="BJ2249" i="2"/>
  <c r="BK2249" i="2"/>
  <c r="BJ1022" i="2"/>
  <c r="BK1022" i="2"/>
  <c r="BK79" i="2"/>
  <c r="J79" i="4" s="1"/>
  <c r="BJ79" i="2"/>
  <c r="I79" i="4" s="1"/>
  <c r="BK1415" i="2"/>
  <c r="BJ1415" i="2"/>
  <c r="BK1860" i="2"/>
  <c r="BJ1860" i="2"/>
  <c r="BJ1649" i="2"/>
  <c r="BK1649" i="2"/>
  <c r="BK2433" i="2"/>
  <c r="BJ2433" i="2"/>
  <c r="BK185" i="2"/>
  <c r="J185" i="4" s="1"/>
  <c r="BJ185" i="2"/>
  <c r="I185" i="4" s="1"/>
  <c r="BJ1814" i="2"/>
  <c r="BK1814" i="2"/>
  <c r="BJ565" i="2"/>
  <c r="BK565" i="2"/>
  <c r="BJ321" i="2"/>
  <c r="BK321" i="2"/>
  <c r="BK1157" i="2"/>
  <c r="BJ1157" i="2"/>
  <c r="BK2223" i="2"/>
  <c r="BJ2223" i="2"/>
  <c r="BJ1404" i="2"/>
  <c r="BK1404" i="2"/>
  <c r="BK630" i="2"/>
  <c r="BJ630" i="2"/>
  <c r="BK2462" i="2"/>
  <c r="BJ2462" i="2"/>
  <c r="BJ1662" i="2"/>
  <c r="BK1662" i="2"/>
  <c r="BJ2489" i="2"/>
  <c r="BK2489" i="2"/>
  <c r="BJ1004" i="2"/>
  <c r="BK1004" i="2"/>
  <c r="BJ1849" i="2"/>
  <c r="BK1849" i="2"/>
  <c r="BJ2083" i="2"/>
  <c r="BK2083" i="2"/>
  <c r="BK1367" i="2"/>
  <c r="BJ1367" i="2"/>
  <c r="BJ99" i="2"/>
  <c r="I99" i="4" s="1"/>
  <c r="BK99" i="2"/>
  <c r="J99" i="4" s="1"/>
  <c r="BK2016" i="2"/>
  <c r="BJ2016" i="2"/>
  <c r="BJ587" i="2"/>
  <c r="BK587" i="2"/>
  <c r="BK862" i="2"/>
  <c r="BJ862" i="2"/>
  <c r="BK1485" i="2"/>
  <c r="BJ1485" i="2"/>
  <c r="BK1178" i="2"/>
  <c r="BJ1178" i="2"/>
  <c r="BK1621" i="2"/>
  <c r="BJ1621" i="2"/>
  <c r="BJ2193" i="2"/>
  <c r="BK2193" i="2"/>
  <c r="BJ2460" i="2"/>
  <c r="BK2460" i="2"/>
  <c r="BJ2100" i="2"/>
  <c r="BK2100" i="2"/>
  <c r="BJ319" i="2"/>
  <c r="BK319" i="2"/>
  <c r="BJ2381" i="2"/>
  <c r="BK2381" i="2"/>
  <c r="BJ1575" i="2"/>
  <c r="BK1575" i="2"/>
  <c r="BJ2292" i="2"/>
  <c r="BK2292" i="2"/>
  <c r="BK1192" i="2"/>
  <c r="BJ1192" i="2"/>
  <c r="BJ1495" i="2"/>
  <c r="BK1495" i="2"/>
  <c r="BJ1002" i="2"/>
  <c r="BK1002" i="2"/>
  <c r="BJ2355" i="2"/>
  <c r="BK2355" i="2"/>
  <c r="BK2036" i="2"/>
  <c r="BJ2036" i="2"/>
  <c r="BK1341" i="2"/>
  <c r="BJ1341" i="2"/>
  <c r="BK660" i="2"/>
  <c r="BJ660" i="2"/>
  <c r="BJ984" i="2"/>
  <c r="BK984" i="2"/>
  <c r="BJ1551" i="2"/>
  <c r="BK1551" i="2"/>
  <c r="BJ1596" i="2"/>
  <c r="BK1596" i="2"/>
  <c r="BK189" i="2"/>
  <c r="J189" i="4" s="1"/>
  <c r="BJ189" i="2"/>
  <c r="I189" i="4" s="1"/>
  <c r="BJ1246" i="2"/>
  <c r="BK1246" i="2"/>
  <c r="BK1865" i="2"/>
  <c r="BJ1865" i="2"/>
  <c r="BJ924" i="2"/>
  <c r="BK924" i="2"/>
  <c r="BK1606" i="2"/>
  <c r="BJ1606" i="2"/>
  <c r="BK1930" i="2"/>
  <c r="BJ1930" i="2"/>
  <c r="BK2110" i="2"/>
  <c r="BJ2110" i="2"/>
  <c r="BJ957" i="2"/>
  <c r="BK957" i="2"/>
  <c r="BJ1863" i="2"/>
  <c r="BK1863" i="2"/>
  <c r="BJ566" i="2"/>
  <c r="BK566" i="2"/>
  <c r="BK127" i="2"/>
  <c r="J127" i="4" s="1"/>
  <c r="BJ127" i="2"/>
  <c r="I127" i="4" s="1"/>
  <c r="BK1940" i="2"/>
  <c r="BJ1940" i="2"/>
  <c r="BJ2062" i="2"/>
  <c r="BK2062" i="2"/>
  <c r="BK266" i="2"/>
  <c r="BJ266" i="2"/>
  <c r="BK723" i="2"/>
  <c r="BJ723" i="2"/>
  <c r="BK390" i="2"/>
  <c r="BJ390" i="2"/>
  <c r="BK1442" i="2"/>
  <c r="BJ1442" i="2"/>
  <c r="BJ1354" i="2"/>
  <c r="BK1354" i="2"/>
  <c r="BK686" i="2"/>
  <c r="BJ686" i="2"/>
  <c r="BK1418" i="2"/>
  <c r="BJ1418" i="2"/>
  <c r="BJ24" i="2"/>
  <c r="I24" i="4" s="1"/>
  <c r="BK24" i="2"/>
  <c r="J24" i="4" s="1"/>
  <c r="BK219" i="2"/>
  <c r="BJ219" i="2"/>
  <c r="BJ407" i="2"/>
  <c r="BK407" i="2"/>
  <c r="BJ1740" i="2"/>
  <c r="BK1740" i="2"/>
  <c r="BJ2336" i="2"/>
  <c r="BK2336" i="2"/>
  <c r="BK1199" i="2"/>
  <c r="BJ1199" i="2"/>
  <c r="BK2086" i="2"/>
  <c r="BJ2086" i="2"/>
  <c r="BK656" i="2"/>
  <c r="BJ656" i="2"/>
  <c r="BJ980" i="2"/>
  <c r="BK980" i="2"/>
  <c r="BJ800" i="2"/>
  <c r="BK800" i="2"/>
  <c r="BK333" i="2"/>
  <c r="BJ333" i="2"/>
  <c r="BJ1237" i="2"/>
  <c r="BK1237" i="2"/>
  <c r="BJ308" i="2"/>
  <c r="BK308" i="2"/>
  <c r="BJ344" i="2"/>
  <c r="BK344" i="2"/>
  <c r="BK379" i="2"/>
  <c r="BJ379" i="2"/>
  <c r="BJ1325" i="2"/>
  <c r="BK1325" i="2"/>
  <c r="BK822" i="2"/>
  <c r="BJ822" i="2"/>
  <c r="BJ11" i="2"/>
  <c r="I11" i="4" s="1"/>
  <c r="BK11" i="2"/>
  <c r="J11" i="4" s="1"/>
  <c r="BK13" i="2"/>
  <c r="J13" i="4" s="1"/>
  <c r="BJ13" i="2"/>
  <c r="I13" i="4" s="1"/>
  <c r="BJ1936" i="2"/>
  <c r="BK1936" i="2"/>
  <c r="BK588" i="2"/>
  <c r="BJ588" i="2"/>
  <c r="BK847" i="2"/>
  <c r="BJ847" i="2"/>
  <c r="BK2008" i="2"/>
  <c r="BJ2008" i="2"/>
  <c r="BJ591" i="2"/>
  <c r="BK591" i="2"/>
  <c r="BK1388" i="2"/>
  <c r="BJ1388" i="2"/>
  <c r="BK1599" i="2"/>
  <c r="BJ1599" i="2"/>
  <c r="BJ1498" i="2"/>
  <c r="BK1498" i="2"/>
  <c r="BJ2041" i="2"/>
  <c r="BK2041" i="2"/>
  <c r="BJ2212" i="2"/>
  <c r="BK2212" i="2"/>
  <c r="BJ2492" i="2"/>
  <c r="BK2492" i="2"/>
  <c r="BJ1721" i="2"/>
  <c r="BK1721" i="2"/>
  <c r="BK2022" i="2"/>
  <c r="BJ2022" i="2"/>
  <c r="BJ312" i="2"/>
  <c r="BK312" i="2"/>
  <c r="BK560" i="2"/>
  <c r="BJ560" i="2"/>
  <c r="BJ1334" i="2"/>
  <c r="BK1334" i="2"/>
  <c r="BJ2362" i="2"/>
  <c r="BK2362" i="2"/>
  <c r="BK334" i="2"/>
  <c r="BJ334" i="2"/>
  <c r="BJ1693" i="2"/>
  <c r="BK1693" i="2"/>
  <c r="BK944" i="2"/>
  <c r="BJ944" i="2"/>
  <c r="BJ15" i="2"/>
  <c r="I15" i="4" s="1"/>
  <c r="BK15" i="2"/>
  <c r="J15" i="4" s="1"/>
  <c r="BK2282" i="2"/>
  <c r="BJ2282" i="2"/>
  <c r="BJ2005" i="2"/>
  <c r="BK2005" i="2"/>
  <c r="BJ1737" i="2"/>
  <c r="BK1737" i="2"/>
  <c r="BJ206" i="2"/>
  <c r="BK206" i="2"/>
  <c r="BJ1545" i="2"/>
  <c r="BK1545" i="2"/>
  <c r="BJ1933" i="2"/>
  <c r="BK1933" i="2"/>
  <c r="BJ2055" i="2"/>
  <c r="BK2055" i="2"/>
  <c r="BK1994" i="2"/>
  <c r="BJ1994" i="2"/>
  <c r="BJ1896" i="2"/>
  <c r="BK1896" i="2"/>
  <c r="BJ993" i="2"/>
  <c r="BK993" i="2"/>
  <c r="BJ267" i="2"/>
  <c r="BK267" i="2"/>
  <c r="BK942" i="2"/>
  <c r="BJ942" i="2"/>
  <c r="BK1232" i="2"/>
  <c r="BJ1232" i="2"/>
  <c r="BK578" i="2"/>
  <c r="BJ578" i="2"/>
  <c r="BJ360" i="2"/>
  <c r="BK360" i="2"/>
  <c r="BJ767" i="2"/>
  <c r="BK767" i="2"/>
  <c r="BK1805" i="2"/>
  <c r="BJ1805" i="2"/>
  <c r="BJ1321" i="2"/>
  <c r="BK1321" i="2"/>
  <c r="BJ1505" i="2"/>
  <c r="BK1505" i="2"/>
  <c r="BJ2463" i="2"/>
  <c r="BK2463" i="2"/>
  <c r="BK249" i="2"/>
  <c r="BJ249" i="2"/>
  <c r="BK1276" i="2"/>
  <c r="BJ1276" i="2"/>
  <c r="BJ2077" i="2"/>
  <c r="BK2077" i="2"/>
  <c r="BJ1806" i="2"/>
  <c r="BK1806" i="2"/>
  <c r="BK1641" i="2"/>
  <c r="BJ1641" i="2"/>
  <c r="BJ278" i="2"/>
  <c r="BK278" i="2"/>
  <c r="BK1311" i="2"/>
  <c r="BJ1311" i="2"/>
  <c r="BJ1281" i="2"/>
  <c r="BK1281" i="2"/>
  <c r="BK1858" i="2"/>
  <c r="BJ1858" i="2"/>
  <c r="BK1187" i="2"/>
  <c r="BJ1187" i="2"/>
  <c r="BK2141" i="2"/>
  <c r="BJ2141" i="2"/>
  <c r="BJ843" i="2"/>
  <c r="BK843" i="2"/>
  <c r="BJ2198" i="2"/>
  <c r="BK2198" i="2"/>
  <c r="BJ1297" i="2"/>
  <c r="BK1297" i="2"/>
  <c r="BJ1091" i="2"/>
  <c r="BK1091" i="2"/>
  <c r="BK1438" i="2"/>
  <c r="BJ1438" i="2"/>
  <c r="BK440" i="2"/>
  <c r="BJ440" i="2"/>
  <c r="BK1256" i="2"/>
  <c r="BJ1256" i="2"/>
  <c r="BJ2276" i="2"/>
  <c r="BK2276" i="2"/>
  <c r="BJ1322" i="2"/>
  <c r="BK1322" i="2"/>
  <c r="BJ1785" i="2"/>
  <c r="BK1785" i="2"/>
  <c r="BJ2346" i="2"/>
  <c r="BK2346" i="2"/>
  <c r="BJ1738" i="2"/>
  <c r="BK1738" i="2"/>
  <c r="BK2088" i="2"/>
  <c r="BJ2088" i="2"/>
  <c r="BK1042" i="2"/>
  <c r="BJ1042" i="2"/>
  <c r="BK95" i="2"/>
  <c r="J95" i="4" s="1"/>
  <c r="BJ95" i="2"/>
  <c r="I95" i="4" s="1"/>
  <c r="BK349" i="2"/>
  <c r="BJ349" i="2"/>
  <c r="BJ2205" i="2"/>
  <c r="BK2205" i="2"/>
  <c r="BJ1601" i="2"/>
  <c r="BK1601" i="2"/>
  <c r="BK2321" i="2"/>
  <c r="BJ2321" i="2"/>
  <c r="BJ56" i="2"/>
  <c r="I56" i="4" s="1"/>
  <c r="BK56" i="2"/>
  <c r="J56" i="4" s="1"/>
  <c r="BK1519" i="2"/>
  <c r="BJ1519" i="2"/>
  <c r="BJ1258" i="2"/>
  <c r="BK1258" i="2"/>
  <c r="BJ1796" i="2"/>
  <c r="BK1796" i="2"/>
  <c r="BK1223" i="2"/>
  <c r="BJ1223" i="2"/>
  <c r="BK680" i="2"/>
  <c r="BJ680" i="2"/>
  <c r="BJ988" i="2"/>
  <c r="BK988" i="2"/>
  <c r="BK1907" i="2"/>
  <c r="BJ1907" i="2"/>
  <c r="BK155" i="2"/>
  <c r="J155" i="4" s="1"/>
  <c r="BJ155" i="2"/>
  <c r="I155" i="4" s="1"/>
  <c r="BJ1285" i="2"/>
  <c r="BK1285" i="2"/>
  <c r="BJ175" i="2"/>
  <c r="I175" i="4" s="1"/>
  <c r="BK175" i="2"/>
  <c r="J175" i="4" s="1"/>
  <c r="BJ1469" i="2"/>
  <c r="BK1469" i="2"/>
  <c r="BJ57" i="2"/>
  <c r="I57" i="4" s="1"/>
  <c r="BK57" i="2"/>
  <c r="J57" i="4" s="1"/>
  <c r="BK2147" i="2"/>
  <c r="BJ2147" i="2"/>
  <c r="BK2195" i="2"/>
  <c r="BJ2195" i="2"/>
  <c r="BK2182" i="2"/>
  <c r="BJ2182" i="2"/>
  <c r="BJ725" i="2"/>
  <c r="BK725" i="2"/>
  <c r="BJ2000" i="2"/>
  <c r="BK2000" i="2"/>
  <c r="BJ54" i="2"/>
  <c r="I54" i="4" s="1"/>
  <c r="BK54" i="2"/>
  <c r="J54" i="4" s="1"/>
  <c r="BK611" i="2"/>
  <c r="BJ611" i="2"/>
  <c r="BJ798" i="2"/>
  <c r="BK798" i="2"/>
  <c r="BK679" i="2"/>
  <c r="BJ679" i="2"/>
  <c r="BJ1432" i="2"/>
  <c r="BK1432" i="2"/>
  <c r="BK186" i="2"/>
  <c r="J186" i="4" s="1"/>
  <c r="BJ186" i="2"/>
  <c r="I186" i="4" s="1"/>
  <c r="BK1832" i="2"/>
  <c r="BJ1832" i="2"/>
  <c r="BK1041" i="2"/>
  <c r="BJ1041" i="2"/>
  <c r="BJ1079" i="2"/>
  <c r="BK1079" i="2"/>
  <c r="BK2061" i="2"/>
  <c r="BJ2061" i="2"/>
  <c r="BJ621" i="2"/>
  <c r="BK621" i="2"/>
  <c r="BK1801" i="2"/>
  <c r="BJ1801" i="2"/>
  <c r="BJ44" i="2"/>
  <c r="I44" i="4" s="1"/>
  <c r="BK44" i="2"/>
  <c r="J44" i="4" s="1"/>
  <c r="BK1632" i="2"/>
  <c r="BJ1632" i="2"/>
  <c r="BJ1875" i="2"/>
  <c r="BK1875" i="2"/>
  <c r="BK2303" i="2"/>
  <c r="BJ2303" i="2"/>
  <c r="BK110" i="2"/>
  <c r="J110" i="4" s="1"/>
  <c r="BJ110" i="2"/>
  <c r="I110" i="4" s="1"/>
  <c r="BJ934" i="2"/>
  <c r="BK934" i="2"/>
  <c r="BJ2166" i="2"/>
  <c r="BK2166" i="2"/>
  <c r="BK2164" i="2"/>
  <c r="BJ2164" i="2"/>
  <c r="BJ999" i="2"/>
  <c r="BK999" i="2"/>
  <c r="BK1123" i="2"/>
  <c r="BJ1123" i="2"/>
  <c r="BJ1423" i="2"/>
  <c r="BK1423" i="2"/>
  <c r="BK1484" i="2"/>
  <c r="BJ1484" i="2"/>
  <c r="BK2025" i="2"/>
  <c r="BJ2025" i="2"/>
  <c r="BK667" i="2"/>
  <c r="BJ667" i="2"/>
  <c r="BJ817" i="2"/>
  <c r="BK817" i="2"/>
  <c r="BK59" i="2"/>
  <c r="J59" i="4" s="1"/>
  <c r="BJ59" i="2"/>
  <c r="I59" i="4" s="1"/>
  <c r="BJ864" i="2"/>
  <c r="BK864" i="2"/>
  <c r="BK1836" i="2"/>
  <c r="BJ1836" i="2"/>
  <c r="BJ456" i="2"/>
  <c r="BK456" i="2"/>
  <c r="BK786" i="2"/>
  <c r="BJ786" i="2"/>
  <c r="BK1630" i="2"/>
  <c r="BJ1630" i="2"/>
  <c r="BK1612" i="2"/>
  <c r="BJ1612" i="2"/>
  <c r="BK376" i="2"/>
  <c r="BJ376" i="2"/>
  <c r="BK551" i="2"/>
  <c r="BJ551" i="2"/>
  <c r="BJ336" i="2"/>
  <c r="BK336" i="2"/>
  <c r="BK1335" i="2"/>
  <c r="BJ1335" i="2"/>
  <c r="BK1411" i="2"/>
  <c r="BJ1411" i="2"/>
  <c r="BK2150" i="2"/>
  <c r="BJ2150" i="2"/>
  <c r="BK981" i="2"/>
  <c r="BJ981" i="2"/>
  <c r="BK317" i="2"/>
  <c r="BJ317" i="2"/>
  <c r="BJ966" i="2"/>
  <c r="BK966" i="2"/>
  <c r="BK776" i="2"/>
  <c r="BJ776" i="2"/>
  <c r="BJ2407" i="2"/>
  <c r="BK2407" i="2"/>
  <c r="BK590" i="2"/>
  <c r="BJ590" i="2"/>
  <c r="BK735" i="2"/>
  <c r="BJ735" i="2"/>
  <c r="BK1068" i="2"/>
  <c r="BJ1068" i="2"/>
  <c r="BK1766" i="2"/>
  <c r="BJ1766" i="2"/>
  <c r="BK647" i="2"/>
  <c r="BJ647" i="2"/>
  <c r="BJ1996" i="2"/>
  <c r="BK1996" i="2"/>
  <c r="BK561" i="2"/>
  <c r="BJ561" i="2"/>
  <c r="BJ726" i="2"/>
  <c r="BK726" i="2"/>
  <c r="BK2400" i="2"/>
  <c r="BJ2400" i="2"/>
  <c r="BK643" i="2"/>
  <c r="BJ643" i="2"/>
  <c r="BK141" i="2"/>
  <c r="J141" i="4" s="1"/>
  <c r="BJ141" i="2"/>
  <c r="I141" i="4" s="1"/>
  <c r="BK80" i="2"/>
  <c r="J80" i="4" s="1"/>
  <c r="BJ80" i="2"/>
  <c r="I80" i="4" s="1"/>
  <c r="BJ1447" i="2"/>
  <c r="BK1447" i="2"/>
  <c r="BK703" i="2"/>
  <c r="BJ703" i="2"/>
  <c r="BK1117" i="2"/>
  <c r="BJ1117" i="2"/>
  <c r="BJ1739" i="2"/>
  <c r="BK1739" i="2"/>
  <c r="BJ1111" i="2"/>
  <c r="BK1111" i="2"/>
  <c r="BJ704" i="2"/>
  <c r="BK704" i="2"/>
  <c r="BK715" i="2"/>
  <c r="BJ715" i="2"/>
  <c r="BJ2097" i="2"/>
  <c r="BK2097" i="2"/>
  <c r="BK66" i="2"/>
  <c r="J66" i="4" s="1"/>
  <c r="BJ66" i="2"/>
  <c r="I66" i="4" s="1"/>
  <c r="BK2173" i="2"/>
  <c r="BJ2173" i="2"/>
  <c r="BJ369" i="2"/>
  <c r="BK369" i="2"/>
  <c r="BJ68" i="2"/>
  <c r="I68" i="4" s="1"/>
  <c r="BK68" i="2"/>
  <c r="J68" i="4" s="1"/>
  <c r="BJ834" i="2"/>
  <c r="BK834" i="2"/>
  <c r="BK129" i="2"/>
  <c r="J129" i="4" s="1"/>
  <c r="BJ129" i="2"/>
  <c r="I129" i="4" s="1"/>
  <c r="BK1332" i="2"/>
  <c r="BJ1332" i="2"/>
  <c r="BJ733" i="2"/>
  <c r="BK733" i="2"/>
  <c r="BJ2144" i="2"/>
  <c r="BK2144" i="2"/>
  <c r="BJ514" i="2"/>
  <c r="BK514" i="2"/>
  <c r="BK1635" i="2"/>
  <c r="BJ1635" i="2"/>
  <c r="BK788" i="2"/>
  <c r="BJ788" i="2"/>
  <c r="BK1982" i="2"/>
  <c r="BJ1982" i="2"/>
  <c r="BJ1987" i="2"/>
  <c r="BK1987" i="2"/>
  <c r="BJ1631" i="2"/>
  <c r="BK1631" i="2"/>
  <c r="BK503" i="2"/>
  <c r="BJ503" i="2"/>
  <c r="BK391" i="2"/>
  <c r="BJ391" i="2"/>
  <c r="BK1019" i="2"/>
  <c r="BJ1019" i="2"/>
  <c r="BK1794" i="2"/>
  <c r="BJ1794" i="2"/>
  <c r="BJ914" i="2"/>
  <c r="BK914" i="2"/>
  <c r="BK2457" i="2"/>
  <c r="BJ2457" i="2"/>
  <c r="BJ1992" i="2"/>
  <c r="BK1992" i="2"/>
  <c r="BJ615" i="2"/>
  <c r="BK615" i="2"/>
  <c r="BK1550" i="2"/>
  <c r="BJ1550" i="2"/>
  <c r="BJ747" i="2"/>
  <c r="BK747" i="2"/>
  <c r="BJ1481" i="2"/>
  <c r="BK1481" i="2"/>
  <c r="BJ810" i="2"/>
  <c r="BK810" i="2"/>
  <c r="BK497" i="2"/>
  <c r="BJ497" i="2"/>
  <c r="BK812" i="2"/>
  <c r="BJ812" i="2"/>
  <c r="BK1266" i="2"/>
  <c r="BJ1266" i="2"/>
  <c r="BJ1526" i="2"/>
  <c r="BK1526" i="2"/>
  <c r="BK1274" i="2"/>
  <c r="BJ1274" i="2"/>
  <c r="BJ1379" i="2"/>
  <c r="BK1379" i="2"/>
  <c r="BK2427" i="2"/>
  <c r="BJ2427" i="2"/>
  <c r="BJ1754" i="2"/>
  <c r="BK1754" i="2"/>
  <c r="BJ1039" i="2"/>
  <c r="BK1039" i="2"/>
  <c r="BJ1034" i="2"/>
  <c r="BK1034" i="2"/>
  <c r="BK2032" i="2"/>
  <c r="BJ2032" i="2"/>
  <c r="BK2046" i="2"/>
  <c r="BJ2046" i="2"/>
  <c r="BJ2436" i="2"/>
  <c r="BK2436" i="2"/>
  <c r="BJ119" i="2"/>
  <c r="I119" i="4" s="1"/>
  <c r="BK119" i="2"/>
  <c r="J119" i="4" s="1"/>
  <c r="BK700" i="2"/>
  <c r="BJ700" i="2"/>
  <c r="BK250" i="2"/>
  <c r="BJ250" i="2"/>
  <c r="BJ992" i="2"/>
  <c r="BK992" i="2"/>
  <c r="BJ1626" i="2"/>
  <c r="BK1626" i="2"/>
  <c r="BJ70" i="2"/>
  <c r="I70" i="4" s="1"/>
  <c r="BK70" i="2"/>
  <c r="J70" i="4" s="1"/>
  <c r="BK2200" i="2"/>
  <c r="BJ2200" i="2"/>
  <c r="BJ832" i="2"/>
  <c r="BK832" i="2"/>
  <c r="BK1120" i="2"/>
  <c r="BJ1120" i="2"/>
  <c r="BJ361" i="2"/>
  <c r="BK361" i="2"/>
  <c r="BJ1531" i="2"/>
  <c r="BK1531" i="2"/>
  <c r="BK17" i="2"/>
  <c r="J17" i="4" s="1"/>
  <c r="BJ17" i="2"/>
  <c r="I17" i="4" s="1"/>
  <c r="BJ1648" i="2"/>
  <c r="BK1648" i="2"/>
  <c r="BK1215" i="2"/>
  <c r="BJ1215" i="2"/>
  <c r="BK1608" i="2"/>
  <c r="BJ1608" i="2"/>
  <c r="BK423" i="2"/>
  <c r="BJ423" i="2"/>
  <c r="BK212" i="2"/>
  <c r="BJ212" i="2"/>
  <c r="BK225" i="2"/>
  <c r="BJ225" i="2"/>
  <c r="BK1963" i="2"/>
  <c r="BJ1963" i="2"/>
  <c r="BJ28" i="2"/>
  <c r="I28" i="4" s="1"/>
  <c r="BK28" i="2"/>
  <c r="J28" i="4" s="1"/>
  <c r="BJ953" i="2"/>
  <c r="BK953" i="2"/>
  <c r="BK2368" i="2"/>
  <c r="BJ2368" i="2"/>
  <c r="BK1397" i="2"/>
  <c r="BJ1397" i="2"/>
  <c r="BK602" i="2"/>
  <c r="BJ602" i="2"/>
  <c r="BK115" i="2"/>
  <c r="J115" i="4" s="1"/>
  <c r="BJ115" i="2"/>
  <c r="I115" i="4" s="1"/>
  <c r="BJ2486" i="2"/>
  <c r="BK2486" i="2"/>
  <c r="BJ1330" i="2"/>
  <c r="BK1330" i="2"/>
  <c r="BJ2221" i="2"/>
  <c r="BK2221" i="2"/>
  <c r="BJ1573" i="2"/>
  <c r="BK1573" i="2"/>
  <c r="BJ34" i="2"/>
  <c r="I34" i="4" s="1"/>
  <c r="BK34" i="2"/>
  <c r="J34" i="4" s="1"/>
  <c r="BJ244" i="2"/>
  <c r="BK244" i="2"/>
  <c r="BJ858" i="2"/>
  <c r="BK858" i="2"/>
  <c r="BJ202" i="2"/>
  <c r="BK202" i="2"/>
  <c r="BK662" i="2"/>
  <c r="BJ662" i="2"/>
  <c r="BJ1090" i="2"/>
  <c r="BK1090" i="2"/>
  <c r="BK1454" i="2"/>
  <c r="BJ1454" i="2"/>
  <c r="BK2035" i="2"/>
  <c r="BJ2035" i="2"/>
  <c r="BK1358" i="2"/>
  <c r="BJ1358" i="2"/>
  <c r="BK2495" i="2"/>
  <c r="BJ2495" i="2"/>
  <c r="BK1625" i="2"/>
  <c r="BJ1625" i="2"/>
  <c r="BK959" i="2"/>
  <c r="BJ959" i="2"/>
  <c r="BJ2176" i="2"/>
  <c r="BK2176" i="2"/>
  <c r="BJ1419" i="2"/>
  <c r="BK1419" i="2"/>
  <c r="BJ1793" i="2"/>
  <c r="BK1793" i="2"/>
  <c r="BJ1790" i="2"/>
  <c r="BK1790" i="2"/>
  <c r="BK1067" i="2"/>
  <c r="BJ1067" i="2"/>
  <c r="BJ603" i="2"/>
  <c r="BK603" i="2"/>
  <c r="BK2281" i="2"/>
  <c r="BJ2281" i="2"/>
  <c r="BK2316" i="2"/>
  <c r="BJ2316" i="2"/>
  <c r="BJ1326" i="2"/>
  <c r="BK1326" i="2"/>
  <c r="BJ1978" i="2"/>
  <c r="BK1978" i="2"/>
  <c r="BJ1655" i="2"/>
  <c r="BK1655" i="2"/>
  <c r="BK674" i="2"/>
  <c r="BJ674" i="2"/>
  <c r="BK2406" i="2"/>
  <c r="BJ2406" i="2"/>
  <c r="BJ1547" i="2"/>
  <c r="BK1547" i="2"/>
  <c r="BJ2153" i="2"/>
  <c r="BK2153" i="2"/>
  <c r="BJ2474" i="2"/>
  <c r="BK2474" i="2"/>
  <c r="BJ943" i="2"/>
  <c r="BK943" i="2"/>
  <c r="BJ1810" i="2"/>
  <c r="BK1810" i="2"/>
  <c r="BK2162" i="2"/>
  <c r="BJ2162" i="2"/>
  <c r="BK628" i="2"/>
  <c r="BJ628" i="2"/>
  <c r="BK792" i="2"/>
  <c r="BJ792" i="2"/>
  <c r="BK2256" i="2"/>
  <c r="BJ2256" i="2"/>
  <c r="BJ373" i="2"/>
  <c r="BK373" i="2"/>
  <c r="BJ137" i="2"/>
  <c r="I137" i="4" s="1"/>
  <c r="BK137" i="2"/>
  <c r="J137" i="4" s="1"/>
  <c r="BJ1931" i="2"/>
  <c r="BK1931" i="2"/>
  <c r="BK2453" i="2"/>
  <c r="BJ2453" i="2"/>
  <c r="BJ1585" i="2"/>
  <c r="BK1585" i="2"/>
  <c r="BK133" i="2"/>
  <c r="J133" i="4" s="1"/>
  <c r="BJ133" i="2"/>
  <c r="I133" i="4" s="1"/>
  <c r="BJ1877" i="2"/>
  <c r="BK1877" i="2"/>
  <c r="BK2190" i="2"/>
  <c r="BJ2190" i="2"/>
  <c r="BK1722" i="2"/>
  <c r="BJ1722" i="2"/>
  <c r="BK1705" i="2"/>
  <c r="BJ1705" i="2"/>
  <c r="BJ1590" i="2"/>
  <c r="BK1590" i="2"/>
  <c r="BK732" i="2"/>
  <c r="BJ732" i="2"/>
  <c r="BJ1656" i="2"/>
  <c r="BK1656" i="2"/>
  <c r="BK1962" i="2"/>
  <c r="BJ1962" i="2"/>
  <c r="BJ1752" i="2"/>
  <c r="BK1752" i="2"/>
  <c r="BK1053" i="2"/>
  <c r="BJ1053" i="2"/>
  <c r="BK455" i="2"/>
  <c r="BJ455" i="2"/>
  <c r="BK1037" i="2"/>
  <c r="BJ1037" i="2"/>
  <c r="BJ1682" i="2"/>
  <c r="BK1682" i="2"/>
  <c r="BK2297" i="2"/>
  <c r="BJ2297" i="2"/>
  <c r="BK1014" i="2"/>
  <c r="BJ1014" i="2"/>
  <c r="BK1109" i="2"/>
  <c r="BJ1109" i="2"/>
  <c r="BJ614" i="2"/>
  <c r="BK614" i="2"/>
  <c r="BK121" i="2"/>
  <c r="J121" i="4" s="1"/>
  <c r="BJ121" i="2"/>
  <c r="I121" i="4" s="1"/>
  <c r="BJ2488" i="2"/>
  <c r="BK2488" i="2"/>
  <c r="BK677" i="2"/>
  <c r="BJ677" i="2"/>
  <c r="BK1227" i="2"/>
  <c r="BJ1227" i="2"/>
  <c r="BJ1384" i="2"/>
  <c r="BK1384" i="2"/>
  <c r="BJ2168" i="2"/>
  <c r="BK2168" i="2"/>
  <c r="BK639" i="2"/>
  <c r="BJ639" i="2"/>
  <c r="BK1310" i="2"/>
  <c r="BJ1310" i="2"/>
  <c r="BJ1241" i="2"/>
  <c r="BK1241" i="2"/>
  <c r="BK771" i="2"/>
  <c r="BJ771" i="2"/>
  <c r="BJ651" i="2"/>
  <c r="BK651" i="2"/>
  <c r="BK785" i="2"/>
  <c r="BJ785" i="2"/>
  <c r="BJ490" i="2"/>
  <c r="BK490" i="2"/>
  <c r="BK1160" i="2"/>
  <c r="BJ1160" i="2"/>
  <c r="BK1231" i="2"/>
  <c r="BJ1231" i="2"/>
  <c r="BK251" i="2"/>
  <c r="BJ251" i="2"/>
  <c r="BJ1368" i="2"/>
  <c r="BK1368" i="2"/>
  <c r="BJ462" i="2"/>
  <c r="BK462" i="2"/>
  <c r="BK1293" i="2"/>
  <c r="BJ1293" i="2"/>
  <c r="BK1472" i="2"/>
  <c r="BJ1472" i="2"/>
  <c r="BJ2175" i="2"/>
  <c r="BK2175" i="2"/>
  <c r="BJ2013" i="2"/>
  <c r="BK2013" i="2"/>
  <c r="BJ8" i="2"/>
  <c r="I8" i="4" s="1"/>
  <c r="BK8" i="2"/>
  <c r="J8" i="4" s="1"/>
  <c r="BK1958" i="2"/>
  <c r="BJ1958" i="2"/>
  <c r="BJ1872" i="2"/>
  <c r="BK1872" i="2"/>
  <c r="BJ359" i="2"/>
  <c r="BK359" i="2"/>
  <c r="BK1011" i="2"/>
  <c r="BJ1011" i="2"/>
  <c r="BJ167" i="2"/>
  <c r="I167" i="4" s="1"/>
  <c r="BK167" i="2"/>
  <c r="J167" i="4" s="1"/>
  <c r="BK2337" i="2"/>
  <c r="BJ2337" i="2"/>
  <c r="BJ1377" i="2"/>
  <c r="BK1377" i="2"/>
  <c r="BK898" i="2"/>
  <c r="BJ898" i="2"/>
  <c r="BK1679" i="2"/>
  <c r="BJ1679" i="2"/>
  <c r="BK1932" i="2"/>
  <c r="BJ1932" i="2"/>
  <c r="BK470" i="2"/>
  <c r="BJ470" i="2"/>
  <c r="BK721" i="2"/>
  <c r="BJ721" i="2"/>
  <c r="BJ2129" i="2"/>
  <c r="BK2129" i="2"/>
  <c r="BK1240" i="2"/>
  <c r="BJ1240" i="2"/>
  <c r="BJ1780" i="2"/>
  <c r="BK1780" i="2"/>
  <c r="BK483" i="2"/>
  <c r="BJ483" i="2"/>
  <c r="BJ746" i="2"/>
  <c r="BK746" i="2"/>
  <c r="BJ1536" i="2"/>
  <c r="BK1536" i="2"/>
  <c r="BK816" i="2"/>
  <c r="BJ816" i="2"/>
  <c r="BJ2331" i="2"/>
  <c r="BK2331" i="2"/>
  <c r="BJ2229" i="2"/>
  <c r="BK2229" i="2"/>
  <c r="BJ1619" i="2"/>
  <c r="BK1619" i="2"/>
  <c r="BJ439" i="2"/>
  <c r="BK439" i="2"/>
  <c r="BK951" i="2"/>
  <c r="BJ951" i="2"/>
  <c r="BJ1018" i="2"/>
  <c r="BK1018" i="2"/>
  <c r="BK535" i="2"/>
  <c r="BJ535" i="2"/>
  <c r="BK741" i="2"/>
  <c r="BJ741" i="2"/>
  <c r="BJ2408" i="2"/>
  <c r="BK2408" i="2"/>
  <c r="BK2424" i="2"/>
  <c r="BJ2424" i="2"/>
  <c r="BK1286" i="2"/>
  <c r="BJ1286" i="2"/>
  <c r="BJ12" i="2"/>
  <c r="I12" i="4" s="1"/>
  <c r="BK12" i="2"/>
  <c r="J12" i="4" s="1"/>
  <c r="BK1496" i="2"/>
  <c r="BJ1496" i="2"/>
  <c r="BK1040" i="2"/>
  <c r="BJ1040" i="2"/>
  <c r="BK3" i="2"/>
  <c r="J3" i="4" s="1"/>
  <c r="BJ3" i="2"/>
  <c r="I3" i="4" s="1"/>
  <c r="BJ736" i="2"/>
  <c r="BK736" i="2"/>
  <c r="BJ493" i="2"/>
  <c r="BK493" i="2"/>
  <c r="BJ1883" i="2"/>
  <c r="BK1883" i="2"/>
  <c r="BK2314" i="2"/>
  <c r="BJ2314" i="2"/>
  <c r="BJ1172" i="2"/>
  <c r="BK1172" i="2"/>
  <c r="BJ487" i="2"/>
  <c r="BK487" i="2"/>
  <c r="BK1059" i="2"/>
  <c r="BJ1059" i="2"/>
  <c r="BK2277" i="2"/>
  <c r="BJ2277" i="2"/>
  <c r="BK504" i="2"/>
  <c r="BJ504" i="2"/>
  <c r="BJ450" i="2"/>
  <c r="BK450" i="2"/>
  <c r="BK2375" i="2"/>
  <c r="BJ2375" i="2"/>
  <c r="BJ458" i="2"/>
  <c r="BK458" i="2"/>
  <c r="BK1954" i="2"/>
  <c r="BJ1954" i="2"/>
  <c r="BJ1680" i="2"/>
  <c r="BK1680" i="2"/>
  <c r="BK1833" i="2"/>
  <c r="BJ1833" i="2"/>
  <c r="BJ351" i="2"/>
  <c r="BK351" i="2"/>
  <c r="BJ2118" i="2"/>
  <c r="BK2118" i="2"/>
  <c r="BJ2377" i="2"/>
  <c r="BK2377" i="2"/>
  <c r="BJ926" i="2"/>
  <c r="BK926" i="2"/>
  <c r="BJ74" i="2"/>
  <c r="I74" i="4" s="1"/>
  <c r="BK74" i="2"/>
  <c r="J74" i="4" s="1"/>
  <c r="BJ2090" i="2"/>
  <c r="BK2090" i="2"/>
  <c r="BK1729" i="2"/>
  <c r="BJ1729" i="2"/>
  <c r="BJ2127" i="2"/>
  <c r="BK2127" i="2"/>
  <c r="BJ2209" i="2"/>
  <c r="BK2209" i="2"/>
  <c r="BK675" i="2"/>
  <c r="BJ675" i="2"/>
  <c r="BJ1165" i="2"/>
  <c r="BK1165" i="2"/>
  <c r="BJ1781" i="2"/>
  <c r="BK1781" i="2"/>
  <c r="BJ1651" i="2"/>
  <c r="BK1651" i="2"/>
  <c r="BJ794" i="2"/>
  <c r="BK794" i="2"/>
  <c r="BJ2160" i="2"/>
  <c r="BK2160" i="2"/>
  <c r="BJ1439" i="2"/>
  <c r="BK1439" i="2"/>
  <c r="BK1494" i="2"/>
  <c r="BJ1494" i="2"/>
  <c r="BK1509" i="2"/>
  <c r="BJ1509" i="2"/>
  <c r="BJ2027" i="2"/>
  <c r="BK2027" i="2"/>
  <c r="BJ2068" i="2"/>
  <c r="BK2068" i="2"/>
  <c r="BJ683" i="2"/>
  <c r="BK683" i="2"/>
  <c r="BK2065" i="2"/>
  <c r="BJ2065" i="2"/>
  <c r="BK353" i="2"/>
  <c r="BJ353" i="2"/>
  <c r="BJ29" i="2"/>
  <c r="I29" i="4" s="1"/>
  <c r="BK29" i="2"/>
  <c r="J29" i="4" s="1"/>
  <c r="BK2466" i="2"/>
  <c r="BJ2466" i="2"/>
  <c r="BJ663" i="2"/>
  <c r="BK663" i="2"/>
  <c r="BK245" i="2"/>
  <c r="BJ245" i="2"/>
  <c r="BJ1968" i="2"/>
  <c r="BK1968" i="2"/>
  <c r="BJ553" i="2"/>
  <c r="BK553" i="2"/>
  <c r="BK2455" i="2"/>
  <c r="BJ2455" i="2"/>
  <c r="BK658" i="2"/>
  <c r="BJ658" i="2"/>
  <c r="BJ1528" i="2"/>
  <c r="BK1528" i="2"/>
  <c r="BJ2073" i="2"/>
  <c r="BK2073" i="2"/>
  <c r="BK1347" i="2"/>
  <c r="BJ1347" i="2"/>
  <c r="BJ804" i="2"/>
  <c r="BK804" i="2"/>
  <c r="BJ1450" i="2"/>
  <c r="BK1450" i="2"/>
  <c r="BK1602" i="2"/>
  <c r="BJ1602" i="2"/>
  <c r="BK1905" i="2"/>
  <c r="BJ1905" i="2"/>
  <c r="BK1707" i="2"/>
  <c r="BJ1707" i="2"/>
  <c r="BJ1881" i="2"/>
  <c r="BK1881" i="2"/>
  <c r="BJ1888" i="2"/>
  <c r="BK1888" i="2"/>
  <c r="BK2103" i="2"/>
  <c r="BJ2103" i="2"/>
  <c r="BK2050" i="2"/>
  <c r="BJ2050" i="2"/>
  <c r="BK480" i="2"/>
  <c r="BJ480" i="2"/>
  <c r="BK676" i="2"/>
  <c r="BJ676" i="2"/>
  <c r="BK908" i="2"/>
  <c r="BJ908" i="2"/>
  <c r="BK1548" i="2"/>
  <c r="BJ1548" i="2"/>
  <c r="BJ809" i="2"/>
  <c r="BK809" i="2"/>
  <c r="BJ554" i="2"/>
  <c r="BK554" i="2"/>
  <c r="BK1718" i="2"/>
  <c r="BJ1718" i="2"/>
  <c r="BK1695" i="2"/>
  <c r="BJ1695" i="2"/>
  <c r="BK247" i="2"/>
  <c r="BJ247" i="2"/>
  <c r="BJ819" i="2"/>
  <c r="BK819" i="2"/>
  <c r="BJ2413" i="2"/>
  <c r="BK2413" i="2"/>
  <c r="BK1995" i="2"/>
  <c r="BJ1995" i="2"/>
  <c r="BK1882" i="2"/>
  <c r="BJ1882" i="2"/>
  <c r="BK2018" i="2"/>
  <c r="BJ2018" i="2"/>
  <c r="BK1672" i="2"/>
  <c r="BJ1672" i="2"/>
  <c r="BK1841" i="2"/>
  <c r="BJ1841" i="2"/>
  <c r="BK463" i="2"/>
  <c r="BJ463" i="2"/>
  <c r="BJ399" i="2"/>
  <c r="BK399" i="2"/>
  <c r="BK1029" i="2"/>
  <c r="BJ1029" i="2"/>
  <c r="BJ236" i="2"/>
  <c r="BK236" i="2"/>
  <c r="BJ474" i="2"/>
  <c r="BK474" i="2"/>
  <c r="BJ1802" i="2"/>
  <c r="BK1802" i="2"/>
  <c r="BJ2485" i="2"/>
  <c r="BK2485" i="2"/>
  <c r="BK574" i="2"/>
  <c r="BJ574" i="2"/>
  <c r="BK1691" i="2"/>
  <c r="BJ1691" i="2"/>
  <c r="BK1303" i="2"/>
  <c r="BJ1303" i="2"/>
  <c r="BJ2139" i="2"/>
  <c r="BK2139" i="2"/>
  <c r="BJ2111" i="2"/>
  <c r="BK2111" i="2"/>
  <c r="BJ78" i="2"/>
  <c r="I78" i="4" s="1"/>
  <c r="BK78" i="2"/>
  <c r="J78" i="4" s="1"/>
  <c r="BJ1280" i="2"/>
  <c r="BK1280" i="2"/>
  <c r="BJ395" i="2"/>
  <c r="BK395" i="2"/>
  <c r="BK1205" i="2"/>
  <c r="BJ1205" i="2"/>
  <c r="BK852" i="2"/>
  <c r="BJ852" i="2"/>
  <c r="BK1336" i="2"/>
  <c r="BJ1336" i="2"/>
  <c r="BK2341" i="2"/>
  <c r="BJ2341" i="2"/>
  <c r="BK796" i="2"/>
  <c r="BJ796" i="2"/>
  <c r="BJ1202" i="2"/>
  <c r="BK1202" i="2"/>
  <c r="BJ906" i="2"/>
  <c r="BK906" i="2"/>
  <c r="BK885" i="2"/>
  <c r="BJ885" i="2"/>
  <c r="BK2374" i="2"/>
  <c r="BJ2374" i="2"/>
  <c r="BJ434" i="2"/>
  <c r="BK434" i="2"/>
  <c r="BJ1560" i="2"/>
  <c r="BK1560" i="2"/>
  <c r="BK2158" i="2"/>
  <c r="BJ2158" i="2"/>
  <c r="BK2420" i="2"/>
  <c r="BJ2420" i="2"/>
  <c r="BJ1637" i="2"/>
  <c r="BK1637" i="2"/>
  <c r="BJ87" i="2"/>
  <c r="I87" i="4" s="1"/>
  <c r="BK87" i="2"/>
  <c r="J87" i="4" s="1"/>
  <c r="BK2300" i="2"/>
  <c r="BJ2300" i="2"/>
  <c r="BK2222" i="2"/>
  <c r="BJ2222" i="2"/>
  <c r="BK2053" i="2"/>
  <c r="BJ2053" i="2"/>
  <c r="BK1200" i="2"/>
  <c r="BJ1200" i="2"/>
  <c r="BK508" i="2"/>
  <c r="BJ508" i="2"/>
  <c r="BJ1386" i="2"/>
  <c r="BK1386" i="2"/>
  <c r="BJ1216" i="2"/>
  <c r="BK1216" i="2"/>
  <c r="BK2265" i="2"/>
  <c r="BJ2265" i="2"/>
  <c r="BK111" i="2"/>
  <c r="J111" i="4" s="1"/>
  <c r="BJ111" i="2"/>
  <c r="I111" i="4" s="1"/>
  <c r="BK2394" i="2"/>
  <c r="BJ2394" i="2"/>
  <c r="BK1003" i="2"/>
  <c r="BJ1003" i="2"/>
  <c r="BJ784" i="2"/>
  <c r="BK784" i="2"/>
  <c r="BJ946" i="2"/>
  <c r="BK946" i="2"/>
  <c r="BJ1951" i="2"/>
  <c r="BK1951" i="2"/>
  <c r="BJ1209" i="2"/>
  <c r="BK1209" i="2"/>
  <c r="BJ1598" i="2"/>
  <c r="BK1598" i="2"/>
  <c r="BJ2233" i="2"/>
  <c r="BK2233" i="2"/>
  <c r="BK389" i="2"/>
  <c r="BJ389" i="2"/>
  <c r="BK1797" i="2"/>
  <c r="BJ1797" i="2"/>
  <c r="BK1430" i="2"/>
  <c r="BJ1430" i="2"/>
  <c r="BJ1830" i="2"/>
  <c r="BK1830" i="2"/>
  <c r="BK1552" i="2"/>
  <c r="BJ1552" i="2"/>
  <c r="BJ1020" i="2"/>
  <c r="BK1020" i="2"/>
  <c r="BK2434" i="2"/>
  <c r="BJ2434" i="2"/>
  <c r="BK866" i="2"/>
  <c r="BJ866" i="2"/>
  <c r="BK1150" i="2"/>
  <c r="BJ1150" i="2"/>
  <c r="BK1702" i="2"/>
  <c r="BJ1702" i="2"/>
  <c r="BK1990" i="2"/>
  <c r="BJ1990" i="2"/>
  <c r="BK31" i="2"/>
  <c r="J31" i="4" s="1"/>
  <c r="BJ31" i="2"/>
  <c r="I31" i="4" s="1"/>
  <c r="BJ1373" i="2"/>
  <c r="BK1373" i="2"/>
  <c r="BJ1213" i="2"/>
  <c r="BK1213" i="2"/>
  <c r="BJ72" i="2"/>
  <c r="I72" i="4" s="1"/>
  <c r="BK72" i="2"/>
  <c r="J72" i="4" s="1"/>
  <c r="BK960" i="2"/>
  <c r="BJ960" i="2"/>
  <c r="BJ1099" i="2"/>
  <c r="BK1099" i="2"/>
  <c r="BK882" i="2"/>
  <c r="BJ882" i="2"/>
  <c r="BJ1328" i="2"/>
  <c r="BK1328" i="2"/>
  <c r="BK829" i="2"/>
  <c r="BJ829" i="2"/>
  <c r="BJ158" i="2"/>
  <c r="I158" i="4" s="1"/>
  <c r="BK158" i="2"/>
  <c r="J158" i="4" s="1"/>
  <c r="BJ438" i="2"/>
  <c r="BK438" i="2"/>
  <c r="BJ1468" i="2"/>
  <c r="BK1468" i="2"/>
  <c r="BK2026" i="2"/>
  <c r="BJ2026" i="2"/>
  <c r="BJ1938" i="2"/>
  <c r="BK1938" i="2"/>
  <c r="BJ489" i="2"/>
  <c r="BK489" i="2"/>
  <c r="BK191" i="2"/>
  <c r="J191" i="4" s="1"/>
  <c r="BJ191" i="2"/>
  <c r="I191" i="4" s="1"/>
  <c r="BK1001" i="2"/>
  <c r="BJ1001" i="2"/>
  <c r="BK2329" i="2"/>
  <c r="BJ2329" i="2"/>
  <c r="BK910" i="2"/>
  <c r="BJ910" i="2"/>
  <c r="BK1530" i="2"/>
  <c r="BJ1530" i="2"/>
  <c r="BK532" i="2"/>
  <c r="BJ532" i="2"/>
  <c r="BK2395" i="2"/>
  <c r="BJ2395" i="2"/>
  <c r="BK1251" i="2"/>
  <c r="BJ1251" i="2"/>
  <c r="BJ719" i="2"/>
  <c r="BK719" i="2"/>
  <c r="BK1972" i="2"/>
  <c r="BJ1972" i="2"/>
  <c r="BJ39" i="2"/>
  <c r="I39" i="4" s="1"/>
  <c r="BK39" i="2"/>
  <c r="J39" i="4" s="1"/>
  <c r="BJ516" i="2"/>
  <c r="BK516" i="2"/>
  <c r="BK1342" i="2"/>
  <c r="BJ1342" i="2"/>
  <c r="BJ795" i="2"/>
  <c r="BK795" i="2"/>
  <c r="BK730" i="2"/>
  <c r="BJ730" i="2"/>
  <c r="BJ695" i="2"/>
  <c r="BK695" i="2"/>
  <c r="BK1394" i="2"/>
  <c r="BJ1394" i="2"/>
  <c r="BJ2096" i="2"/>
  <c r="BK2096" i="2"/>
  <c r="BJ2066" i="2"/>
  <c r="BK2066" i="2"/>
  <c r="BJ2295" i="2"/>
  <c r="BK2295" i="2"/>
  <c r="BJ920" i="2"/>
  <c r="BK920" i="2"/>
  <c r="BJ1859" i="2"/>
  <c r="BK1859" i="2"/>
  <c r="BK1535" i="2"/>
  <c r="BJ1535" i="2"/>
  <c r="BK1870" i="2"/>
  <c r="BJ1870" i="2"/>
  <c r="BK2074" i="2"/>
  <c r="BJ2074" i="2"/>
  <c r="BJ1363" i="2"/>
  <c r="BK1363" i="2"/>
  <c r="BK1071" i="2"/>
  <c r="BJ1071" i="2"/>
  <c r="BJ1607" i="2"/>
  <c r="BK1607" i="2"/>
  <c r="BJ2380" i="2"/>
  <c r="BK2380" i="2"/>
  <c r="BJ61" i="2"/>
  <c r="I61" i="4" s="1"/>
  <c r="BK61" i="2"/>
  <c r="J61" i="4" s="1"/>
  <c r="BJ845" i="2"/>
  <c r="BK845" i="2"/>
  <c r="BK1179" i="2"/>
  <c r="BJ1179" i="2"/>
  <c r="BJ2484" i="2"/>
  <c r="BK2484" i="2"/>
  <c r="BJ642" i="2"/>
  <c r="BK642" i="2"/>
  <c r="BK541" i="2"/>
  <c r="BJ541" i="2"/>
  <c r="BK1840" i="2"/>
  <c r="BJ1840" i="2"/>
  <c r="BJ1808" i="2"/>
  <c r="BK1808" i="2"/>
  <c r="BK1973" i="2"/>
  <c r="BJ1973" i="2"/>
  <c r="BJ2009" i="2"/>
  <c r="BK2009" i="2"/>
  <c r="BK854" i="2"/>
  <c r="BJ854" i="2"/>
  <c r="BK922" i="2"/>
  <c r="BJ922" i="2"/>
  <c r="BJ1856" i="2"/>
  <c r="BK1856" i="2"/>
  <c r="BJ1210" i="2"/>
  <c r="BK1210" i="2"/>
  <c r="BK2378" i="2"/>
  <c r="BJ2378" i="2"/>
  <c r="BJ916" i="2"/>
  <c r="BK916" i="2"/>
  <c r="BJ2350" i="2"/>
  <c r="BK2350" i="2"/>
  <c r="BK724" i="2"/>
  <c r="BJ724" i="2"/>
  <c r="BJ9" i="2"/>
  <c r="I9" i="4" s="1"/>
  <c r="BK9" i="2"/>
  <c r="J9" i="4" s="1"/>
  <c r="BJ1504" i="2"/>
  <c r="BK1504" i="2"/>
  <c r="BJ363" i="2"/>
  <c r="BK363" i="2"/>
  <c r="BJ2224" i="2"/>
  <c r="BK2224" i="2"/>
  <c r="BK1196" i="2"/>
  <c r="BJ1196" i="2"/>
  <c r="BK2431" i="2"/>
  <c r="BJ2431" i="2"/>
  <c r="BJ850" i="2"/>
  <c r="BK850" i="2"/>
  <c r="BJ253" i="2"/>
  <c r="BK253" i="2"/>
  <c r="BK193" i="2"/>
  <c r="J193" i="4" s="1"/>
  <c r="BJ193" i="2"/>
  <c r="I193" i="4" s="1"/>
  <c r="BK1822" i="2"/>
  <c r="BJ1822" i="2"/>
  <c r="BJ1443" i="2"/>
  <c r="BK1443" i="2"/>
  <c r="BK775" i="2"/>
  <c r="BJ775" i="2"/>
  <c r="BK546" i="2"/>
  <c r="BJ546" i="2"/>
  <c r="BJ1295" i="2"/>
  <c r="BK1295" i="2"/>
  <c r="BK774" i="2"/>
  <c r="BJ774" i="2"/>
  <c r="BK2001" i="2"/>
  <c r="BJ2001" i="2"/>
  <c r="BJ2058" i="2"/>
  <c r="BK2058" i="2"/>
  <c r="BK1616" i="2"/>
  <c r="BJ1616" i="2"/>
  <c r="BK2108" i="2"/>
  <c r="BJ2108" i="2"/>
  <c r="BK2122" i="2"/>
  <c r="BJ2122" i="2"/>
  <c r="BK1666" i="2"/>
  <c r="BJ1666" i="2"/>
  <c r="BK2353" i="2"/>
  <c r="BJ2353" i="2"/>
  <c r="BJ1105" i="2"/>
  <c r="BK1105" i="2"/>
  <c r="BK1100" i="2"/>
  <c r="BJ1100" i="2"/>
  <c r="BJ1437" i="2"/>
  <c r="BK1437" i="2"/>
  <c r="BJ2196" i="2"/>
  <c r="BK2196" i="2"/>
  <c r="BJ569" i="2"/>
  <c r="BK569" i="2"/>
  <c r="BK67" i="2"/>
  <c r="J67" i="4" s="1"/>
  <c r="BJ67" i="2"/>
  <c r="I67" i="4" s="1"/>
  <c r="BK227" i="2"/>
  <c r="BJ227" i="2"/>
  <c r="BK1412" i="2"/>
  <c r="BJ1412" i="2"/>
  <c r="BJ2109" i="2"/>
  <c r="BK2109" i="2"/>
  <c r="BK1917" i="2"/>
  <c r="BJ1917" i="2"/>
  <c r="BK2402" i="2"/>
  <c r="BJ2402" i="2"/>
  <c r="BK2017" i="2"/>
  <c r="BJ2017" i="2"/>
  <c r="BK869" i="2"/>
  <c r="BJ869" i="2"/>
  <c r="BJ1480" i="2"/>
  <c r="BK1480" i="2"/>
  <c r="BK1851" i="2"/>
  <c r="BJ1851" i="2"/>
  <c r="BJ2220" i="2"/>
  <c r="BK2220" i="2"/>
  <c r="BK1633" i="2"/>
  <c r="BJ1633" i="2"/>
  <c r="BK401" i="2"/>
  <c r="BJ401" i="2"/>
  <c r="BK2095" i="2"/>
  <c r="BJ2095" i="2"/>
  <c r="BJ1218" i="2"/>
  <c r="BK1218" i="2"/>
  <c r="BJ303" i="2"/>
  <c r="BK303" i="2"/>
  <c r="BJ281" i="2"/>
  <c r="BK281" i="2"/>
  <c r="BJ1862" i="2"/>
  <c r="BK1862" i="2"/>
  <c r="BK1684" i="2"/>
  <c r="BJ1684" i="2"/>
  <c r="BJ1431" i="2"/>
  <c r="BK1431" i="2"/>
  <c r="BJ2128" i="2"/>
  <c r="BK2128" i="2"/>
  <c r="BJ1687" i="2"/>
  <c r="BK1687" i="2"/>
  <c r="BK447" i="2"/>
  <c r="BJ447" i="2"/>
  <c r="BJ1503" i="2"/>
  <c r="BK1503" i="2"/>
  <c r="BK661" i="2"/>
  <c r="BJ661" i="2"/>
  <c r="BK1604" i="2"/>
  <c r="BJ1604" i="2"/>
  <c r="BK766" i="2"/>
  <c r="BJ766" i="2"/>
  <c r="BK1101" i="2"/>
  <c r="BJ1101" i="2"/>
  <c r="BJ811" i="2"/>
  <c r="BK811" i="2"/>
  <c r="BK1424" i="2"/>
  <c r="BJ1424" i="2"/>
  <c r="BK222" i="2"/>
  <c r="BJ222" i="2"/>
  <c r="BJ182" i="2"/>
  <c r="I182" i="4" s="1"/>
  <c r="BK182" i="2"/>
  <c r="J182" i="4" s="1"/>
  <c r="BJ634" i="2"/>
  <c r="BK634" i="2"/>
  <c r="BJ1414" i="2"/>
  <c r="BK1414" i="2"/>
  <c r="BJ1853" i="2"/>
  <c r="BK1853" i="2"/>
  <c r="BJ1081" i="2"/>
  <c r="BK1081" i="2"/>
  <c r="BJ1458" i="2"/>
  <c r="BK1458" i="2"/>
  <c r="BK712" i="2"/>
  <c r="BJ712" i="2"/>
  <c r="BJ106" i="2"/>
  <c r="I106" i="4" s="1"/>
  <c r="BK106" i="2"/>
  <c r="J106" i="4" s="1"/>
  <c r="BJ169" i="2"/>
  <c r="I169" i="4" s="1"/>
  <c r="BK169" i="2"/>
  <c r="J169" i="4" s="1"/>
  <c r="BK1661" i="2"/>
  <c r="BJ1661" i="2"/>
  <c r="BK1015" i="2"/>
  <c r="BJ1015" i="2"/>
  <c r="BK1270" i="2"/>
  <c r="BJ1270" i="2"/>
  <c r="BK2334" i="2"/>
  <c r="BJ2334" i="2"/>
  <c r="BJ652" i="2"/>
  <c r="BK652" i="2"/>
  <c r="BJ932" i="2"/>
  <c r="BK932" i="2"/>
  <c r="BK1572" i="2"/>
  <c r="BJ1572" i="2"/>
  <c r="BK322" i="2"/>
  <c r="BJ322" i="2"/>
  <c r="BJ525" i="2"/>
  <c r="BK525" i="2"/>
  <c r="BJ393" i="2"/>
  <c r="BK393" i="2"/>
  <c r="BK1969" i="2"/>
  <c r="BJ1969" i="2"/>
  <c r="BJ271" i="2"/>
  <c r="BK271" i="2"/>
  <c r="BJ122" i="2"/>
  <c r="I122" i="4" s="1"/>
  <c r="BK122" i="2"/>
  <c r="J122" i="4" s="1"/>
  <c r="BK2044" i="2"/>
  <c r="BJ2044" i="2"/>
  <c r="BK443" i="2"/>
  <c r="BJ443" i="2"/>
  <c r="BJ2255" i="2"/>
  <c r="BK2255" i="2"/>
  <c r="BJ729" i="2"/>
  <c r="BK729" i="2"/>
  <c r="BJ1712" i="2"/>
  <c r="BK1712" i="2"/>
  <c r="BK2444" i="2"/>
  <c r="BJ2444" i="2"/>
  <c r="BK1025" i="2"/>
  <c r="BJ1025" i="2"/>
  <c r="BK103" i="2"/>
  <c r="J103" i="4" s="1"/>
  <c r="BJ103" i="2"/>
  <c r="I103" i="4" s="1"/>
  <c r="BK1786" i="2"/>
  <c r="BJ1786" i="2"/>
  <c r="BK1975" i="2"/>
  <c r="BJ1975" i="2"/>
  <c r="BJ2215" i="2"/>
  <c r="BK2215" i="2"/>
  <c r="BK381" i="2"/>
  <c r="BJ381" i="2"/>
  <c r="BK433" i="2"/>
  <c r="BJ433" i="2"/>
  <c r="BJ274" i="2"/>
  <c r="BK274" i="2"/>
  <c r="BK2172" i="2"/>
  <c r="BJ2172" i="2"/>
  <c r="BJ118" i="2"/>
  <c r="I118" i="4" s="1"/>
  <c r="BK118" i="2"/>
  <c r="J118" i="4" s="1"/>
  <c r="BJ1514" i="2"/>
  <c r="BK1514" i="2"/>
  <c r="BJ1464" i="2"/>
  <c r="BK1464" i="2"/>
  <c r="BK1948" i="2"/>
  <c r="BJ1948" i="2"/>
  <c r="BK2398" i="2"/>
  <c r="BJ2398" i="2"/>
  <c r="BK1789" i="2"/>
  <c r="BJ1789" i="2"/>
  <c r="BK1765" i="2"/>
  <c r="BJ1765" i="2"/>
  <c r="BK448" i="2"/>
  <c r="BJ448" i="2"/>
  <c r="BJ2349" i="2"/>
  <c r="BK2349" i="2"/>
  <c r="BJ2458" i="2"/>
  <c r="BK2458" i="2"/>
  <c r="BK1592" i="2"/>
  <c r="BJ1592" i="2"/>
  <c r="BK2070" i="2"/>
  <c r="BJ2070" i="2"/>
  <c r="BJ600" i="2"/>
  <c r="BK600" i="2"/>
  <c r="BJ2318" i="2"/>
  <c r="BK2318" i="2"/>
  <c r="BJ1792" i="2"/>
  <c r="BK1792" i="2"/>
  <c r="BK2049" i="2"/>
  <c r="BJ2049" i="2"/>
  <c r="BJ2272" i="2"/>
  <c r="BK2272" i="2"/>
  <c r="BJ1346" i="2"/>
  <c r="BK1346" i="2"/>
  <c r="BK1399" i="2"/>
  <c r="BJ1399" i="2"/>
  <c r="BK2496" i="2"/>
  <c r="BJ2496" i="2"/>
  <c r="BJ524" i="2"/>
  <c r="BK524" i="2"/>
  <c r="BJ1460" i="2"/>
  <c r="BK1460" i="2"/>
  <c r="BJ1965" i="2"/>
  <c r="BK1965" i="2"/>
  <c r="BJ335" i="2"/>
  <c r="BK335" i="2"/>
  <c r="BK1678" i="2"/>
  <c r="BJ1678" i="2"/>
  <c r="BK1075" i="2"/>
  <c r="BJ1075" i="2"/>
  <c r="BK1453" i="2"/>
  <c r="BJ1453" i="2"/>
  <c r="BJ1908" i="2"/>
  <c r="BK1908" i="2"/>
  <c r="BK2465" i="2"/>
  <c r="BJ2465" i="2"/>
  <c r="BK1697" i="2"/>
  <c r="BJ1697" i="2"/>
  <c r="BJ1539" i="2"/>
  <c r="BK1539" i="2"/>
  <c r="BK260" i="2"/>
  <c r="BJ260" i="2"/>
  <c r="BK286" i="2"/>
  <c r="BJ286" i="2"/>
  <c r="BJ593" i="2"/>
  <c r="BK593" i="2"/>
  <c r="BK1554" i="2"/>
  <c r="BJ1554" i="2"/>
  <c r="BK763" i="2"/>
  <c r="BJ763" i="2"/>
  <c r="BK138" i="2"/>
  <c r="J138" i="4" s="1"/>
  <c r="BJ138" i="2"/>
  <c r="I138" i="4" s="1"/>
  <c r="BK762" i="2"/>
  <c r="BJ762" i="2"/>
  <c r="BK1249" i="2"/>
  <c r="BJ1249" i="2"/>
  <c r="BJ670" i="2"/>
  <c r="BK670" i="2"/>
  <c r="BJ744" i="2"/>
  <c r="BK744" i="2"/>
  <c r="BK713" i="2"/>
  <c r="BJ713" i="2"/>
  <c r="BJ1620" i="2"/>
  <c r="BK1620" i="2"/>
  <c r="BJ986" i="2"/>
  <c r="BK986" i="2"/>
  <c r="BJ2023" i="2"/>
  <c r="BK2023" i="2"/>
  <c r="BJ1710" i="2"/>
  <c r="BK1710" i="2"/>
  <c r="BK2476" i="2"/>
  <c r="BJ2476" i="2"/>
  <c r="BJ2204" i="2"/>
  <c r="BK2204" i="2"/>
  <c r="BJ2254" i="2"/>
  <c r="BK2254" i="2"/>
  <c r="BK358" i="2"/>
  <c r="BJ358" i="2"/>
  <c r="BJ1234" i="2"/>
  <c r="BK1234" i="2"/>
  <c r="BJ1129" i="2"/>
  <c r="BK1129" i="2"/>
  <c r="BJ2105" i="2"/>
  <c r="BK2105" i="2"/>
  <c r="BJ1683" i="2"/>
  <c r="BK1683" i="2"/>
  <c r="BJ1278" i="2"/>
  <c r="BK1278" i="2"/>
  <c r="BK1821" i="2"/>
  <c r="BJ1821" i="2"/>
  <c r="BK73" i="2"/>
  <c r="J73" i="4" s="1"/>
  <c r="BJ73" i="2"/>
  <c r="I73" i="4" s="1"/>
  <c r="BK758" i="2"/>
  <c r="BJ758" i="2"/>
  <c r="BJ1395" i="2"/>
  <c r="BK1395" i="2"/>
  <c r="BK955" i="2"/>
  <c r="BJ955" i="2"/>
  <c r="BK2273" i="2"/>
  <c r="BJ2273" i="2"/>
  <c r="BJ978" i="2"/>
  <c r="BK978" i="2"/>
  <c r="BK580" i="2"/>
  <c r="BJ580" i="2"/>
  <c r="BK783" i="2"/>
  <c r="BJ783" i="2"/>
  <c r="BK1124" i="2"/>
  <c r="BJ1124" i="2"/>
  <c r="BK1761" i="2"/>
  <c r="BJ1761" i="2"/>
  <c r="BJ1235" i="2"/>
  <c r="BK1235" i="2"/>
  <c r="BJ464" i="2"/>
  <c r="BK464" i="2"/>
  <c r="BJ2137" i="2"/>
  <c r="BK2137" i="2"/>
  <c r="BJ270" i="2"/>
  <c r="BK270" i="2"/>
  <c r="BJ2309" i="2"/>
  <c r="BK2309" i="2"/>
  <c r="BJ1618" i="2"/>
  <c r="BK1618" i="2"/>
  <c r="BJ1945" i="2"/>
  <c r="BK1945" i="2"/>
  <c r="BJ1180" i="2"/>
  <c r="BK1180" i="2"/>
  <c r="BJ1555" i="2"/>
  <c r="BK1555" i="2"/>
  <c r="BJ442" i="2"/>
  <c r="BK442" i="2"/>
  <c r="BJ2060" i="2"/>
  <c r="BK2060" i="2"/>
  <c r="BJ1130" i="2"/>
  <c r="BK1130" i="2"/>
  <c r="BJ1290" i="2"/>
  <c r="BK1290" i="2"/>
  <c r="BJ1586" i="2"/>
  <c r="BK1586" i="2"/>
  <c r="BJ697" i="2"/>
  <c r="BK697" i="2"/>
  <c r="BK279" i="2"/>
  <c r="BJ279" i="2"/>
  <c r="BK2367" i="2"/>
  <c r="BJ2367" i="2"/>
  <c r="BK1934" i="2"/>
  <c r="BJ1934" i="2"/>
  <c r="BJ616" i="2"/>
  <c r="BK616" i="2"/>
  <c r="BJ2315" i="2"/>
  <c r="BK2315" i="2"/>
  <c r="BJ2370" i="2"/>
  <c r="BK2370" i="2"/>
  <c r="BJ2339" i="2"/>
  <c r="BK2339" i="2"/>
  <c r="BK853" i="2"/>
  <c r="BJ853" i="2"/>
  <c r="BK163" i="2"/>
  <c r="J163" i="4" s="1"/>
  <c r="BJ163" i="2"/>
  <c r="I163" i="4" s="1"/>
  <c r="BJ2178" i="2"/>
  <c r="BK2178" i="2"/>
  <c r="BK1915" i="2"/>
  <c r="BJ1915" i="2"/>
  <c r="BJ2266" i="2"/>
  <c r="BK2266" i="2"/>
  <c r="BJ285" i="2"/>
  <c r="BK285" i="2"/>
  <c r="BJ130" i="2"/>
  <c r="I130" i="4" s="1"/>
  <c r="BK130" i="2"/>
  <c r="J130" i="4" s="1"/>
  <c r="BK871" i="2"/>
  <c r="BJ871" i="2"/>
  <c r="BK1846" i="2"/>
  <c r="BJ1846" i="2"/>
  <c r="BJ2169" i="2"/>
  <c r="BK2169" i="2"/>
  <c r="BJ217" i="2"/>
  <c r="BK217" i="2"/>
  <c r="BK806" i="2"/>
  <c r="BJ806" i="2"/>
  <c r="BK1906" i="2"/>
  <c r="BJ1906" i="2"/>
  <c r="BJ2082" i="2"/>
  <c r="BK2082" i="2"/>
  <c r="BK2454" i="2"/>
  <c r="BJ2454" i="2"/>
  <c r="BJ1864" i="2"/>
  <c r="BK1864" i="2"/>
  <c r="BJ985" i="2"/>
  <c r="BK985" i="2"/>
  <c r="BK2410" i="2"/>
  <c r="BJ2410" i="2"/>
  <c r="BJ1671" i="2"/>
  <c r="BK1671" i="2"/>
  <c r="BK824" i="2"/>
  <c r="BJ824" i="2"/>
  <c r="BJ149" i="2"/>
  <c r="I149" i="4" s="1"/>
  <c r="BK149" i="2"/>
  <c r="J149" i="4" s="1"/>
  <c r="BJ226" i="2"/>
  <c r="BK226" i="2"/>
  <c r="BK2498" i="2"/>
  <c r="BJ2498" i="2"/>
  <c r="BK1417" i="2"/>
  <c r="BJ1417" i="2"/>
  <c r="BK1380" i="2"/>
  <c r="BJ1380" i="2"/>
  <c r="BK581" i="2"/>
  <c r="BJ581" i="2"/>
  <c r="BJ2305" i="2"/>
  <c r="BK2305" i="2"/>
  <c r="BJ294" i="2"/>
  <c r="BK294" i="2"/>
  <c r="BK1764" i="2"/>
  <c r="BJ1764" i="2"/>
  <c r="BK473" i="2"/>
  <c r="BJ473" i="2"/>
  <c r="BJ1477" i="2"/>
  <c r="BK1477" i="2"/>
  <c r="BJ1401" i="2"/>
  <c r="BK1401" i="2"/>
  <c r="BJ1043" i="2"/>
  <c r="BK1043" i="2"/>
  <c r="BK1329" i="2"/>
  <c r="BJ1329" i="2"/>
  <c r="BJ437" i="2"/>
  <c r="BK437" i="2"/>
  <c r="BJ418" i="2"/>
  <c r="BK418" i="2"/>
  <c r="BK2325" i="2"/>
  <c r="BJ2325" i="2"/>
  <c r="BK2184" i="2"/>
  <c r="BJ2184" i="2"/>
  <c r="BJ142" i="2"/>
  <c r="I142" i="4" s="1"/>
  <c r="BK142" i="2"/>
  <c r="J142" i="4" s="1"/>
  <c r="BJ1543" i="2"/>
  <c r="BK1543" i="2"/>
  <c r="BK865" i="2"/>
  <c r="BJ865" i="2"/>
  <c r="BJ252" i="2"/>
  <c r="BK252" i="2"/>
  <c r="BK835" i="2"/>
  <c r="BJ835" i="2"/>
  <c r="BK2084" i="2"/>
  <c r="BJ2084" i="2"/>
  <c r="BJ2116" i="2"/>
  <c r="BK2116" i="2"/>
  <c r="BJ970" i="2"/>
  <c r="BK970" i="2"/>
  <c r="BK1076" i="2"/>
  <c r="BJ1076" i="2"/>
  <c r="BJ2478" i="2"/>
  <c r="BK2478" i="2"/>
  <c r="BJ96" i="2"/>
  <c r="I96" i="4" s="1"/>
  <c r="BK96" i="2"/>
  <c r="J96" i="4" s="1"/>
  <c r="BK756" i="2"/>
  <c r="BJ756" i="2"/>
  <c r="BJ1984" i="2"/>
  <c r="BK1984" i="2"/>
  <c r="BK2133" i="2"/>
  <c r="BJ2133" i="2"/>
  <c r="BJ84" i="2"/>
  <c r="I84" i="4" s="1"/>
  <c r="BK84" i="2"/>
  <c r="J84" i="4" s="1"/>
  <c r="BJ1574" i="2"/>
  <c r="BK1574" i="2"/>
  <c r="BK779" i="2"/>
  <c r="BJ779" i="2"/>
  <c r="BK842" i="2"/>
  <c r="BJ842" i="2"/>
  <c r="BJ16" i="2"/>
  <c r="I16" i="4" s="1"/>
  <c r="BK16" i="2"/>
  <c r="J16" i="4" s="1"/>
  <c r="BJ254" i="2"/>
  <c r="BK254" i="2"/>
  <c r="BJ2067" i="2"/>
  <c r="BK2067" i="2"/>
  <c r="BK1422" i="2"/>
  <c r="BJ1422" i="2"/>
  <c r="BK655" i="2"/>
  <c r="BJ655" i="2"/>
  <c r="BJ214" i="2"/>
  <c r="BK214" i="2"/>
  <c r="BJ2246" i="2"/>
  <c r="BK2246" i="2"/>
  <c r="BK157" i="2"/>
  <c r="J157" i="4" s="1"/>
  <c r="BJ157" i="2"/>
  <c r="I157" i="4" s="1"/>
  <c r="BJ791" i="2"/>
  <c r="BK791" i="2"/>
  <c r="BJ1952" i="2"/>
  <c r="BK1952" i="2"/>
  <c r="BJ1664" i="2"/>
  <c r="BK1664" i="2"/>
  <c r="BK692" i="2"/>
  <c r="BJ692" i="2"/>
  <c r="BJ1725" i="2"/>
  <c r="BK1725" i="2"/>
  <c r="BJ952" i="2"/>
  <c r="BK952" i="2"/>
  <c r="BK1207" i="2"/>
  <c r="BJ1207" i="2"/>
  <c r="BJ2290" i="2"/>
  <c r="BK2290" i="2"/>
  <c r="BJ1489" i="2"/>
  <c r="BK1489" i="2"/>
  <c r="BK2399" i="2"/>
  <c r="BJ2399" i="2"/>
  <c r="BK1913" i="2"/>
  <c r="BJ1913" i="2"/>
  <c r="BJ203" i="2"/>
  <c r="BK203" i="2"/>
  <c r="BK1077" i="2"/>
  <c r="BJ1077" i="2"/>
  <c r="BK883" i="2"/>
  <c r="BJ883" i="2"/>
  <c r="BK46" i="2"/>
  <c r="J46" i="4" s="1"/>
  <c r="BJ46" i="2"/>
  <c r="I46" i="4" s="1"/>
  <c r="BJ857" i="2"/>
  <c r="BK857" i="2"/>
  <c r="BJ1667" i="2"/>
  <c r="BK1667" i="2"/>
  <c r="BK1309" i="2"/>
  <c r="BJ1309" i="2"/>
  <c r="BK941" i="2"/>
  <c r="BJ941" i="2"/>
  <c r="BK2138" i="2"/>
  <c r="BJ2138" i="2"/>
  <c r="BK1834" i="2"/>
  <c r="BJ1834" i="2"/>
  <c r="BJ902" i="2"/>
  <c r="BK902" i="2"/>
  <c r="BK1731" i="2"/>
  <c r="BJ1731" i="2"/>
  <c r="BJ1663" i="2"/>
  <c r="BK1663" i="2"/>
  <c r="BK1533" i="2"/>
  <c r="BJ1533" i="2"/>
  <c r="BK617" i="2"/>
  <c r="BJ617" i="2"/>
  <c r="BK1433" i="2"/>
  <c r="BJ1433" i="2"/>
  <c r="BJ1306" i="2"/>
  <c r="BK1306" i="2"/>
  <c r="BK1638" i="2"/>
  <c r="BJ1638" i="2"/>
  <c r="BJ876" i="2"/>
  <c r="BK876" i="2"/>
  <c r="BK718" i="2"/>
  <c r="BJ718" i="2"/>
  <c r="BK2373" i="2"/>
  <c r="BJ2373" i="2"/>
  <c r="BK2269" i="2"/>
  <c r="BJ2269" i="2"/>
  <c r="BK1203" i="2"/>
  <c r="BJ1203" i="2"/>
  <c r="BJ938" i="2"/>
  <c r="BK938" i="2"/>
  <c r="BJ624" i="2"/>
  <c r="BK624" i="2"/>
  <c r="BJ948" i="2"/>
  <c r="BK948" i="2"/>
  <c r="BJ2328" i="2"/>
  <c r="BK2328" i="2"/>
  <c r="BJ1316" i="2"/>
  <c r="BK1316" i="2"/>
  <c r="BJ1096" i="2"/>
  <c r="BK1096" i="2"/>
  <c r="BK2238" i="2"/>
  <c r="BJ2238" i="2"/>
  <c r="BJ2263" i="2"/>
  <c r="BK2263" i="2"/>
  <c r="BJ181" i="2"/>
  <c r="I181" i="4" s="1"/>
  <c r="BK181" i="2"/>
  <c r="J181" i="4" s="1"/>
  <c r="BJ2285" i="2"/>
  <c r="BK2285" i="2"/>
  <c r="BK1142" i="2"/>
  <c r="BJ1142" i="2"/>
  <c r="BJ1125" i="2"/>
  <c r="BK1125" i="2"/>
  <c r="BK823" i="2"/>
  <c r="BJ823" i="2"/>
  <c r="BJ2059" i="2"/>
  <c r="BK2059" i="2"/>
  <c r="BJ912" i="2"/>
  <c r="BK912" i="2"/>
  <c r="BJ1307" i="2"/>
  <c r="BK1307" i="2"/>
  <c r="BK1665" i="2"/>
  <c r="BJ1665" i="2"/>
  <c r="BK467" i="2"/>
  <c r="BJ467" i="2"/>
  <c r="BK764" i="2"/>
  <c r="BJ764" i="2"/>
  <c r="BK1476" i="2"/>
  <c r="BJ1476" i="2"/>
  <c r="BJ979" i="2"/>
  <c r="BK979" i="2"/>
  <c r="BJ1440" i="2"/>
  <c r="BK1440" i="2"/>
  <c r="BJ962" i="2"/>
  <c r="BK962" i="2"/>
  <c r="BJ1296" i="2"/>
  <c r="BK1296" i="2"/>
  <c r="BK572" i="2"/>
  <c r="BJ572" i="2"/>
  <c r="BK1425" i="2"/>
  <c r="BJ1425" i="2"/>
  <c r="BK2064" i="2"/>
  <c r="BJ2064" i="2"/>
  <c r="BK2102" i="2"/>
  <c r="BJ2102" i="2"/>
  <c r="BJ1154" i="2"/>
  <c r="BK1154" i="2"/>
  <c r="BK691" i="2"/>
  <c r="BJ691" i="2"/>
  <c r="BK1288" i="2"/>
  <c r="BJ1288" i="2"/>
  <c r="BJ2311" i="2"/>
  <c r="BK2311" i="2"/>
  <c r="BJ2024" i="2"/>
  <c r="BK2024" i="2"/>
  <c r="BJ318" i="2"/>
  <c r="BK318" i="2"/>
  <c r="BJ1553" i="2"/>
  <c r="BK1553" i="2"/>
  <c r="BK1488" i="2"/>
  <c r="BJ1488" i="2"/>
  <c r="BJ342" i="2"/>
  <c r="BK342" i="2"/>
  <c r="BK1670" i="2"/>
  <c r="BJ1670" i="2"/>
  <c r="BK2446" i="2"/>
  <c r="BJ2446" i="2"/>
  <c r="BJ1031" i="2"/>
  <c r="BK1031" i="2"/>
  <c r="BK1652" i="2"/>
  <c r="BJ1652" i="2"/>
  <c r="BJ2338" i="2"/>
  <c r="BK2338" i="2"/>
  <c r="BJ1287" i="2"/>
  <c r="BK1287" i="2"/>
  <c r="BK699" i="2"/>
  <c r="BJ699" i="2"/>
  <c r="BJ881" i="2"/>
  <c r="BK881" i="2"/>
  <c r="BJ2312" i="2"/>
  <c r="BK2312" i="2"/>
  <c r="BJ1393" i="2"/>
  <c r="BK1393" i="2"/>
  <c r="BJ459" i="2"/>
  <c r="BK459" i="2"/>
  <c r="BJ350" i="2"/>
  <c r="BK350" i="2"/>
  <c r="BJ1259" i="2"/>
  <c r="BK1259" i="2"/>
  <c r="BJ2007" i="2"/>
  <c r="BK2007" i="2"/>
  <c r="BK1103" i="2"/>
  <c r="BJ1103" i="2"/>
  <c r="BJ807" i="2"/>
  <c r="BK807" i="2"/>
  <c r="BK787" i="2"/>
  <c r="BJ787" i="2"/>
  <c r="BK860" i="2"/>
  <c r="BJ860" i="2"/>
  <c r="BJ1999" i="2"/>
  <c r="BK1999" i="2"/>
  <c r="BK2165" i="2"/>
  <c r="BJ2165" i="2"/>
  <c r="BJ1744" i="2"/>
  <c r="BK1744" i="2"/>
  <c r="BJ1073" i="2"/>
  <c r="BK1073" i="2"/>
  <c r="BJ945" i="2"/>
  <c r="BK945" i="2"/>
  <c r="BJ1675" i="2"/>
  <c r="BK1675" i="2"/>
  <c r="BJ1263" i="2"/>
  <c r="BK1263" i="2"/>
  <c r="BK562" i="2"/>
  <c r="BJ562" i="2"/>
  <c r="BK2472" i="2"/>
  <c r="BJ2472" i="2"/>
  <c r="BJ1405" i="2"/>
  <c r="BK1405" i="2"/>
  <c r="BJ1988" i="2"/>
  <c r="BK1988" i="2"/>
  <c r="BK1355" i="2"/>
  <c r="BJ1355" i="2"/>
  <c r="BJ2324" i="2"/>
  <c r="BK2324" i="2"/>
  <c r="BK1110" i="2"/>
  <c r="BJ1110" i="2"/>
  <c r="BJ877" i="2"/>
  <c r="BK877" i="2"/>
  <c r="BJ646" i="2"/>
  <c r="BK646" i="2"/>
  <c r="BJ52" i="2"/>
  <c r="I52" i="4" s="1"/>
  <c r="BK52" i="2"/>
  <c r="J52" i="4" s="1"/>
  <c r="BK230" i="2"/>
  <c r="BJ230" i="2"/>
  <c r="BK1970" i="2"/>
  <c r="BJ1970" i="2"/>
  <c r="BJ1676" i="2"/>
  <c r="BK1676" i="2"/>
  <c r="BK1884" i="2"/>
  <c r="BJ1884" i="2"/>
  <c r="BJ844" i="2"/>
  <c r="BK844" i="2"/>
  <c r="BJ711" i="2"/>
  <c r="BK711" i="2"/>
  <c r="BJ2125" i="2"/>
  <c r="BK2125" i="2"/>
  <c r="BJ291" i="2"/>
  <c r="BK291" i="2"/>
  <c r="BJ778" i="2"/>
  <c r="BK778" i="2"/>
  <c r="BJ1463" i="2"/>
  <c r="BK1463" i="2"/>
  <c r="BJ543" i="2"/>
  <c r="BK543" i="2"/>
  <c r="BK1549" i="2"/>
  <c r="BJ1549" i="2"/>
  <c r="BK2228" i="2"/>
  <c r="BJ2228" i="2"/>
  <c r="BK544" i="2"/>
  <c r="BJ544" i="2"/>
  <c r="BK1517" i="2"/>
  <c r="BJ1517" i="2"/>
  <c r="BJ343" i="2"/>
  <c r="BK343" i="2"/>
  <c r="BJ2387" i="2"/>
  <c r="BK2387" i="2"/>
  <c r="BJ2382" i="2"/>
  <c r="BK2382" i="2"/>
  <c r="BK1611" i="2"/>
  <c r="BJ1611" i="2"/>
  <c r="BJ77" i="2"/>
  <c r="I77" i="4" s="1"/>
  <c r="BK77" i="2"/>
  <c r="J77" i="4" s="1"/>
  <c r="BJ1899" i="2"/>
  <c r="BK1899" i="2"/>
  <c r="BJ1233" i="2"/>
  <c r="BK1233" i="2"/>
  <c r="BJ2239" i="2"/>
  <c r="BK2239" i="2"/>
  <c r="BK1271" i="2"/>
  <c r="BJ1271" i="2"/>
  <c r="BK465" i="2"/>
  <c r="BJ465" i="2"/>
  <c r="BJ2034" i="2"/>
  <c r="BK2034" i="2"/>
  <c r="BK64" i="2"/>
  <c r="J64" i="4" s="1"/>
  <c r="BJ64" i="2"/>
  <c r="I64" i="4" s="1"/>
  <c r="BK2405" i="2"/>
  <c r="BJ2405" i="2"/>
  <c r="BK2106" i="2"/>
  <c r="BJ2106" i="2"/>
  <c r="BK657" i="2"/>
  <c r="BJ657" i="2"/>
  <c r="BK965" i="2"/>
  <c r="BJ965" i="2"/>
  <c r="BK154" i="2"/>
  <c r="J154" i="4" s="1"/>
  <c r="BJ154" i="2"/>
  <c r="I154" i="4" s="1"/>
  <c r="BK1895" i="2"/>
  <c r="BJ1895" i="2"/>
  <c r="BJ886" i="2"/>
  <c r="BK886" i="2"/>
  <c r="BK606" i="2"/>
  <c r="BJ606" i="2"/>
  <c r="BK1236" i="2"/>
  <c r="BJ1236" i="2"/>
  <c r="BJ637" i="2"/>
  <c r="BK637" i="2"/>
  <c r="BK6" i="2"/>
  <c r="J6" i="4" s="1"/>
  <c r="BJ6" i="2"/>
  <c r="I6" i="4" s="1"/>
  <c r="BJ577" i="2"/>
  <c r="BK577" i="2"/>
  <c r="BK1603" i="2"/>
  <c r="BJ1603" i="2"/>
  <c r="BK846" i="2"/>
  <c r="BJ846" i="2"/>
  <c r="BK1161" i="2"/>
  <c r="BJ1161" i="2"/>
  <c r="BJ1583" i="2"/>
  <c r="BK1583" i="2"/>
  <c r="BJ306" i="2"/>
  <c r="BK306" i="2"/>
  <c r="BK382" i="2"/>
  <c r="BJ382" i="2"/>
  <c r="BJ1541" i="2"/>
  <c r="BK1541" i="2"/>
  <c r="BJ1387" i="2"/>
  <c r="BK1387" i="2"/>
  <c r="BK2441" i="2"/>
  <c r="BJ2441" i="2"/>
  <c r="BJ638" i="2"/>
  <c r="BK638" i="2"/>
  <c r="BK2163" i="2"/>
  <c r="BJ2163" i="2"/>
  <c r="BJ1857" i="2"/>
  <c r="BK1857" i="2"/>
  <c r="BK1283" i="2"/>
  <c r="BJ1283" i="2"/>
  <c r="BJ1448" i="2"/>
  <c r="BK1448" i="2"/>
  <c r="BJ2225" i="2"/>
  <c r="BK2225" i="2"/>
  <c r="BK2493" i="2"/>
  <c r="BJ2493" i="2"/>
  <c r="BK904" i="2"/>
  <c r="BJ904" i="2"/>
  <c r="BJ996" i="2"/>
  <c r="BK996" i="2"/>
  <c r="BJ2189" i="2"/>
  <c r="BK2189" i="2"/>
  <c r="BK1610" i="2"/>
  <c r="BJ1610" i="2"/>
  <c r="BK1264" i="2"/>
  <c r="BJ1264" i="2"/>
  <c r="BJ1634" i="2"/>
  <c r="BK1634" i="2"/>
  <c r="BJ2471" i="2"/>
  <c r="BK2471" i="2"/>
  <c r="BJ1582" i="2"/>
  <c r="BK1582" i="2"/>
  <c r="BK1456" i="2"/>
  <c r="BJ1456" i="2"/>
  <c r="BJ1878" i="2"/>
  <c r="BK1878" i="2"/>
  <c r="BJ2014" i="2"/>
  <c r="BK2014" i="2"/>
  <c r="BK1107" i="2"/>
  <c r="BJ1107" i="2"/>
  <c r="BJ840" i="2"/>
  <c r="BK840" i="2"/>
  <c r="BK1772" i="2"/>
  <c r="BJ1772" i="2"/>
  <c r="BJ1035" i="2"/>
  <c r="BK1035" i="2"/>
  <c r="BK1893" i="2"/>
  <c r="BJ1893" i="2"/>
  <c r="BK596" i="2"/>
  <c r="BJ596" i="2"/>
  <c r="BK2054" i="2"/>
  <c r="BJ2054" i="2"/>
  <c r="BJ536" i="2"/>
  <c r="BK536" i="2"/>
  <c r="BK1745" i="2"/>
  <c r="BJ1745" i="2"/>
  <c r="BJ1960" i="2"/>
  <c r="BK1960" i="2"/>
  <c r="BJ567" i="2"/>
  <c r="BK567" i="2"/>
  <c r="BJ781" i="2"/>
  <c r="BK781" i="2"/>
  <c r="BJ296" i="2"/>
  <c r="BK296" i="2"/>
  <c r="BK2085" i="2"/>
  <c r="BJ2085" i="2"/>
  <c r="BK650" i="2"/>
  <c r="BJ650" i="2"/>
  <c r="BK2188" i="2"/>
  <c r="BJ2188" i="2"/>
  <c r="BJ2452" i="2"/>
  <c r="BK2452" i="2"/>
  <c r="BJ2358" i="2"/>
  <c r="BK2358" i="2"/>
  <c r="BK2260" i="2"/>
  <c r="BJ2260" i="2"/>
  <c r="BJ2230" i="2"/>
  <c r="BK2230" i="2"/>
  <c r="BJ14" i="2"/>
  <c r="I14" i="4" s="1"/>
  <c r="BK14" i="2"/>
  <c r="J14" i="4" s="1"/>
  <c r="BJ1845" i="2"/>
  <c r="BK1845" i="2"/>
  <c r="BK1023" i="2"/>
  <c r="BJ1023" i="2"/>
  <c r="BJ209" i="2"/>
  <c r="BK209" i="2"/>
  <c r="BK1769" i="2"/>
  <c r="BJ1769" i="2"/>
  <c r="BJ2379" i="2"/>
  <c r="BK2379" i="2"/>
  <c r="BJ896" i="2"/>
  <c r="BK896" i="2"/>
  <c r="BJ2366" i="2"/>
  <c r="BK2366" i="2"/>
  <c r="BK668" i="2"/>
  <c r="BJ668" i="2"/>
  <c r="BK509" i="2"/>
  <c r="BJ509" i="2"/>
  <c r="BJ35" i="2"/>
  <c r="I35" i="4" s="1"/>
  <c r="BK35" i="2"/>
  <c r="J35" i="4" s="1"/>
  <c r="BJ1686" i="2"/>
  <c r="BK1686" i="2"/>
  <c r="BK510" i="2"/>
  <c r="BJ510" i="2"/>
  <c r="BK2234" i="2"/>
  <c r="BJ2234" i="2"/>
  <c r="BJ1156" i="2"/>
  <c r="BK1156" i="2"/>
  <c r="BK1624" i="2"/>
  <c r="BJ1624" i="2"/>
  <c r="BJ65" i="2"/>
  <c r="I65" i="4" s="1"/>
  <c r="BK65" i="2"/>
  <c r="J65" i="4" s="1"/>
  <c r="BJ2245" i="2"/>
  <c r="BK2245" i="2"/>
  <c r="BJ1959" i="2"/>
  <c r="BK1959" i="2"/>
  <c r="BJ1372" i="2"/>
  <c r="BK1372" i="2"/>
  <c r="BJ1997" i="2"/>
  <c r="BK1997" i="2"/>
  <c r="BJ2185" i="2"/>
  <c r="BK2185" i="2"/>
  <c r="BK2010" i="2"/>
  <c r="BJ2010" i="2"/>
  <c r="BK1820" i="2"/>
  <c r="BJ1820" i="2"/>
  <c r="BK1928" i="2"/>
  <c r="BJ1928" i="2"/>
  <c r="BK173" i="2"/>
  <c r="J173" i="4" s="1"/>
  <c r="BJ173" i="2"/>
  <c r="I173" i="4" s="1"/>
  <c r="BJ937" i="2"/>
  <c r="BK937" i="2"/>
  <c r="BJ1033" i="2"/>
  <c r="BK1033" i="2"/>
  <c r="BK1818" i="2"/>
  <c r="BJ1818" i="2"/>
  <c r="BK586" i="2"/>
  <c r="BJ586" i="2"/>
  <c r="BJ1669" i="2"/>
  <c r="BK1669" i="2"/>
  <c r="BJ1409" i="2"/>
  <c r="BK1409" i="2"/>
  <c r="BJ339" i="2"/>
  <c r="BK339" i="2"/>
  <c r="BK352" i="2"/>
  <c r="BJ352" i="2"/>
  <c r="BJ2087" i="2"/>
  <c r="BK2087" i="2"/>
  <c r="BK1131" i="2"/>
  <c r="BJ1131" i="2"/>
  <c r="BJ2119" i="2"/>
  <c r="BK2119" i="2"/>
  <c r="BJ597" i="2"/>
  <c r="BK597" i="2"/>
  <c r="BK1562" i="2"/>
  <c r="BJ1562" i="2"/>
  <c r="BK93" i="2"/>
  <c r="J93" i="4" s="1"/>
  <c r="BJ93" i="2"/>
  <c r="I93" i="4" s="1"/>
  <c r="BJ1668" i="2"/>
  <c r="BK1668" i="2"/>
  <c r="BJ1429" i="2"/>
  <c r="BK1429" i="2"/>
  <c r="BK694" i="2"/>
  <c r="BJ694" i="2"/>
  <c r="BJ2483" i="2"/>
  <c r="BK2483" i="2"/>
  <c r="BK2389" i="2"/>
  <c r="BJ2389" i="2"/>
  <c r="BK2354" i="2"/>
  <c r="BJ2354" i="2"/>
  <c r="BJ1677" i="2"/>
  <c r="BK1677" i="2"/>
  <c r="BJ2360" i="2"/>
  <c r="BK2360" i="2"/>
  <c r="BK2351" i="2"/>
  <c r="BJ2351" i="2"/>
  <c r="BJ374" i="2"/>
  <c r="BK374" i="2"/>
  <c r="BK2159" i="2"/>
  <c r="BJ2159" i="2"/>
  <c r="BK975" i="2"/>
  <c r="BJ975" i="2"/>
  <c r="BJ263" i="2"/>
  <c r="BK263" i="2"/>
  <c r="BK2421" i="2"/>
  <c r="BJ2421" i="2"/>
  <c r="BK1615" i="2"/>
  <c r="BJ1615" i="2"/>
  <c r="BJ693" i="2"/>
  <c r="BK693" i="2"/>
  <c r="BK631" i="2"/>
  <c r="BJ631" i="2"/>
  <c r="BK7" i="2"/>
  <c r="J7" i="4" s="1"/>
  <c r="BJ7" i="2"/>
  <c r="I7" i="4" s="1"/>
  <c r="BJ469" i="2"/>
  <c r="BK469" i="2"/>
  <c r="BK1507" i="2"/>
  <c r="BJ1507" i="2"/>
  <c r="BK706" i="2"/>
  <c r="BJ706" i="2"/>
  <c r="BJ2040" i="2"/>
  <c r="BK2040" i="2"/>
  <c r="BJ309" i="2"/>
  <c r="BK309" i="2"/>
  <c r="BK53" i="2"/>
  <c r="J53" i="4" s="1"/>
  <c r="BJ53" i="2"/>
  <c r="I53" i="4" s="1"/>
  <c r="BK1838" i="2"/>
  <c r="BJ1838" i="2"/>
  <c r="BK608" i="2"/>
  <c r="BJ608" i="2"/>
  <c r="BJ527" i="2"/>
  <c r="BK527" i="2"/>
  <c r="BK498" i="2"/>
  <c r="BJ498" i="2"/>
  <c r="BJ1510" i="2"/>
  <c r="BK1510" i="2"/>
  <c r="BK139" i="2"/>
  <c r="J139" i="4" s="1"/>
  <c r="BJ139" i="2"/>
  <c r="I139" i="4" s="1"/>
  <c r="BK1083" i="2"/>
  <c r="BJ1083" i="2"/>
  <c r="BK326" i="2"/>
  <c r="BJ326" i="2"/>
  <c r="BK2261" i="2"/>
  <c r="BJ2261" i="2"/>
  <c r="BJ2048" i="2"/>
  <c r="BK2048" i="2"/>
  <c r="BK755" i="2"/>
  <c r="BJ755" i="2"/>
  <c r="BJ1391" i="2"/>
  <c r="BK1391" i="2"/>
  <c r="BJ2157" i="2"/>
  <c r="BK2157" i="2"/>
  <c r="BK1191" i="2"/>
  <c r="BJ1191" i="2"/>
  <c r="BJ2359" i="2"/>
  <c r="BK2359" i="2"/>
  <c r="BJ2002" i="2"/>
  <c r="BK2002" i="2"/>
  <c r="BJ989" i="2"/>
  <c r="BK989" i="2"/>
  <c r="BJ542" i="2"/>
  <c r="BK542" i="2"/>
  <c r="BJ982" i="2"/>
  <c r="BK982" i="2"/>
  <c r="BK1267" i="2"/>
  <c r="BJ1267" i="2"/>
  <c r="BK545" i="2"/>
  <c r="BJ545" i="2"/>
  <c r="BJ598" i="2"/>
  <c r="BK598" i="2"/>
  <c r="BJ799" i="2"/>
  <c r="BK799" i="2"/>
  <c r="BJ1045" i="2"/>
  <c r="BK1045" i="2"/>
  <c r="BK1087" i="2"/>
  <c r="BJ1087" i="2"/>
  <c r="BJ1162" i="2"/>
  <c r="BK1162" i="2"/>
  <c r="BJ1153" i="2"/>
  <c r="BK1153" i="2"/>
  <c r="BK1538" i="2"/>
  <c r="BJ1538" i="2"/>
  <c r="BK258" i="2"/>
  <c r="BJ258" i="2"/>
  <c r="BJ622" i="2"/>
  <c r="BK622" i="2"/>
  <c r="BJ491" i="2"/>
  <c r="BK491" i="2"/>
  <c r="BK2051" i="2"/>
  <c r="BJ2051" i="2"/>
  <c r="BK2011" i="2"/>
  <c r="BJ2011" i="2"/>
  <c r="BJ1756" i="2"/>
  <c r="BK1756" i="2"/>
  <c r="BJ2031" i="2"/>
  <c r="BK2031" i="2"/>
  <c r="BJ2342" i="2"/>
  <c r="BK2342" i="2"/>
  <c r="BJ720" i="2"/>
  <c r="BK720" i="2"/>
  <c r="BK82" i="2"/>
  <c r="J82" i="4" s="1"/>
  <c r="BJ82" i="2"/>
  <c r="I82" i="4" s="1"/>
  <c r="BJ1220" i="2"/>
  <c r="BK1220" i="2"/>
  <c r="BK1891" i="2"/>
  <c r="BJ1891" i="2"/>
  <c r="BK1542" i="2"/>
  <c r="BJ1542" i="2"/>
  <c r="BJ62" i="2"/>
  <c r="I62" i="4" s="1"/>
  <c r="BK62" i="2"/>
  <c r="J62" i="4" s="1"/>
  <c r="BJ1445" i="2"/>
  <c r="BK1445" i="2"/>
  <c r="BJ449" i="2"/>
  <c r="BK449" i="2"/>
  <c r="BK1971" i="2"/>
  <c r="BJ1971" i="2"/>
  <c r="BK215" i="2"/>
  <c r="BJ215" i="2"/>
  <c r="BJ1885" i="2"/>
  <c r="BK1885" i="2"/>
  <c r="BJ1926" i="2"/>
  <c r="BK1926" i="2"/>
  <c r="BK1748" i="2"/>
  <c r="BJ1748" i="2"/>
  <c r="BK1837" i="2"/>
  <c r="BJ1837" i="2"/>
  <c r="BJ1873" i="2"/>
  <c r="BK1873" i="2"/>
  <c r="BJ1919" i="2"/>
  <c r="BK1919" i="2"/>
  <c r="BJ556" i="2"/>
  <c r="BK556" i="2"/>
  <c r="BK1685" i="2"/>
  <c r="BJ1685" i="2"/>
  <c r="BJ1757" i="2"/>
  <c r="BK1757" i="2"/>
  <c r="BJ884" i="2"/>
  <c r="BK884" i="2"/>
  <c r="BJ416" i="2"/>
  <c r="BK416" i="2"/>
  <c r="BK1167" i="2"/>
  <c r="BJ1167" i="2"/>
  <c r="BK2287" i="2"/>
  <c r="BJ2287" i="2"/>
  <c r="BK1118" i="2"/>
  <c r="BJ1118" i="2"/>
  <c r="BK623" i="2"/>
  <c r="BJ623" i="2"/>
  <c r="BK2326" i="2"/>
  <c r="BJ2326" i="2"/>
  <c r="BK1185" i="2"/>
  <c r="BJ1185" i="2"/>
  <c r="BK1523" i="2"/>
  <c r="BJ1523" i="2"/>
  <c r="BK2477" i="2"/>
  <c r="BJ2477" i="2"/>
  <c r="BK1188" i="2"/>
  <c r="BJ1188" i="2"/>
  <c r="BK2216" i="2"/>
  <c r="BJ2216" i="2"/>
  <c r="BJ1308" i="2"/>
  <c r="BK1308" i="2"/>
  <c r="BJ1947" i="2"/>
  <c r="BK1947" i="2"/>
  <c r="BK205" i="2"/>
  <c r="BJ205" i="2"/>
  <c r="BK818" i="2"/>
  <c r="BJ818" i="2"/>
  <c r="BK2179" i="2"/>
  <c r="BJ2179" i="2"/>
  <c r="BK1452" i="2"/>
  <c r="BJ1452" i="2"/>
  <c r="BJ872" i="2"/>
  <c r="BK872" i="2"/>
  <c r="BJ870" i="2"/>
  <c r="BK870" i="2"/>
  <c r="BK89" i="2"/>
  <c r="J89" i="4" s="1"/>
  <c r="BJ89" i="2"/>
  <c r="I89" i="4" s="1"/>
  <c r="BJ1922" i="2"/>
  <c r="BK1922" i="2"/>
  <c r="BK275" i="2"/>
  <c r="BJ275" i="2"/>
  <c r="BK1392" i="2"/>
  <c r="BJ1392" i="2"/>
  <c r="BJ2134" i="2"/>
  <c r="BK2134" i="2"/>
  <c r="BK1006" i="2"/>
  <c r="BJ1006" i="2"/>
  <c r="BK1911" i="2"/>
  <c r="BJ1911" i="2"/>
  <c r="BK2170" i="2"/>
  <c r="BJ2170" i="2"/>
  <c r="BK610" i="2"/>
  <c r="BJ610" i="2"/>
  <c r="BK413" i="2"/>
  <c r="BJ413" i="2"/>
  <c r="BK1345" i="2"/>
  <c r="BJ1345" i="2"/>
  <c r="BJ2451" i="2"/>
  <c r="BK2451" i="2"/>
  <c r="BK633" i="2"/>
  <c r="BJ633" i="2"/>
  <c r="BJ1809" i="2"/>
  <c r="BK1809" i="2"/>
  <c r="BJ589" i="2"/>
  <c r="BK589" i="2"/>
  <c r="BK1991" i="2"/>
  <c r="BJ1991" i="2"/>
  <c r="BK2301" i="2"/>
  <c r="BJ2301" i="2"/>
  <c r="BK2388" i="2"/>
  <c r="BJ2388" i="2"/>
  <c r="BJ2429" i="2"/>
  <c r="BK2429" i="2"/>
  <c r="BK2235" i="2"/>
  <c r="BJ2235" i="2"/>
  <c r="BK387" i="2"/>
  <c r="BJ387" i="2"/>
  <c r="BK1122" i="2"/>
  <c r="BJ1122" i="2"/>
  <c r="BK805" i="2"/>
  <c r="BJ805" i="2"/>
  <c r="BJ2470" i="2"/>
  <c r="BK2470" i="2"/>
  <c r="BJ178" i="2"/>
  <c r="I178" i="4" s="1"/>
  <c r="BK178" i="2"/>
  <c r="J178" i="4" s="1"/>
  <c r="BK967" i="2"/>
  <c r="BJ967" i="2"/>
  <c r="BJ2404" i="2"/>
  <c r="BK2404" i="2"/>
  <c r="BJ1108" i="2"/>
  <c r="BK1108" i="2"/>
  <c r="BJ170" i="2"/>
  <c r="I170" i="4" s="1"/>
  <c r="BK170" i="2"/>
  <c r="J170" i="4" s="1"/>
  <c r="BK1617" i="2"/>
  <c r="BJ1617" i="2"/>
  <c r="BK1171" i="2"/>
  <c r="BJ1171" i="2"/>
  <c r="BK2271" i="2"/>
  <c r="BJ2271" i="2"/>
  <c r="BK626" i="2"/>
  <c r="BJ626" i="2"/>
  <c r="BJ190" i="2"/>
  <c r="I190" i="4" s="1"/>
  <c r="BK190" i="2"/>
  <c r="J190" i="4" s="1"/>
  <c r="BK2149" i="2"/>
  <c r="BJ2149" i="2"/>
  <c r="BK310" i="2"/>
  <c r="BJ310" i="2"/>
  <c r="BK1589" i="2"/>
  <c r="BJ1589" i="2"/>
  <c r="BK2072" i="2"/>
  <c r="BJ2072" i="2"/>
  <c r="BK644" i="2"/>
  <c r="BJ644" i="2"/>
  <c r="BJ1478" i="2"/>
  <c r="BK1478" i="2"/>
  <c r="BJ92" i="2"/>
  <c r="I92" i="4" s="1"/>
  <c r="BK92" i="2"/>
  <c r="J92" i="4" s="1"/>
  <c r="BK1242" i="2"/>
  <c r="BJ1242" i="2"/>
  <c r="BJ2242" i="2"/>
  <c r="BK2242" i="2"/>
  <c r="BK1093" i="2"/>
  <c r="BJ1093" i="2"/>
  <c r="BJ259" i="2"/>
  <c r="BK259" i="2"/>
  <c r="BK1390" i="2"/>
  <c r="BJ1390" i="2"/>
  <c r="BJ1357" i="2"/>
  <c r="BK1357" i="2"/>
  <c r="BJ1139" i="2"/>
  <c r="BK1139" i="2"/>
  <c r="BK1353" i="2"/>
  <c r="BJ1353" i="2"/>
  <c r="BK1986" i="2"/>
  <c r="BJ1986" i="2"/>
  <c r="BK10" i="2"/>
  <c r="J10" i="4" s="1"/>
  <c r="BJ10" i="2"/>
  <c r="I10" i="4" s="1"/>
  <c r="BJ928" i="2"/>
  <c r="BK928" i="2"/>
  <c r="BJ83" i="2"/>
  <c r="I83" i="4" s="1"/>
  <c r="BK83" i="2"/>
  <c r="J83" i="4" s="1"/>
  <c r="BJ2214" i="2"/>
  <c r="BK2214" i="2"/>
  <c r="BK147" i="2"/>
  <c r="J147" i="4" s="1"/>
  <c r="BJ147" i="2"/>
  <c r="I147" i="4" s="1"/>
  <c r="BJ1457" i="2"/>
  <c r="BK1457" i="2"/>
  <c r="BJ1981" i="2"/>
  <c r="BK1981" i="2"/>
  <c r="BJ1717" i="2"/>
  <c r="BK1717" i="2"/>
  <c r="BJ521" i="2"/>
  <c r="BK521" i="2"/>
  <c r="BJ1300" i="2"/>
  <c r="BK1300" i="2"/>
  <c r="BK246" i="2"/>
  <c r="BJ246" i="2"/>
  <c r="BJ429" i="2"/>
  <c r="BK429" i="2"/>
  <c r="BK629" i="2"/>
  <c r="BJ629" i="2"/>
  <c r="BK579" i="2"/>
  <c r="BJ579" i="2"/>
  <c r="BJ1170" i="2"/>
  <c r="BK1170" i="2"/>
  <c r="BJ2076" i="2"/>
  <c r="BK2076" i="2"/>
  <c r="BJ2348" i="2"/>
  <c r="BK2348" i="2"/>
  <c r="BJ1557" i="2"/>
  <c r="BK1557" i="2"/>
  <c r="BK1044" i="2"/>
  <c r="BJ1044" i="2"/>
  <c r="BK690" i="2"/>
  <c r="BJ690" i="2"/>
  <c r="BK1082" i="2"/>
  <c r="BJ1082" i="2"/>
  <c r="BK1527" i="2"/>
  <c r="BJ1527" i="2"/>
  <c r="BK936" i="2"/>
  <c r="BJ936" i="2"/>
  <c r="BJ60" i="2"/>
  <c r="I60" i="4" s="1"/>
  <c r="BK60" i="2"/>
  <c r="J60" i="4" s="1"/>
  <c r="BJ956" i="2"/>
  <c r="BK956" i="2"/>
  <c r="BK2278" i="2"/>
  <c r="BJ2278" i="2"/>
  <c r="BJ2412" i="2"/>
  <c r="BK2412" i="2"/>
  <c r="BJ2047" i="2"/>
  <c r="BK2047" i="2"/>
  <c r="BK1304" i="2"/>
  <c r="BJ1304" i="2"/>
  <c r="BK681" i="2"/>
  <c r="BJ681" i="2"/>
  <c r="BK954" i="2"/>
  <c r="BJ954" i="2"/>
  <c r="BJ1653" i="2"/>
  <c r="BK1653" i="2"/>
  <c r="BK1657" i="2"/>
  <c r="BJ1657" i="2"/>
  <c r="BJ773" i="2"/>
  <c r="BK773" i="2"/>
  <c r="BK708" i="2"/>
  <c r="BJ708" i="2"/>
  <c r="BJ968" i="2"/>
  <c r="BK968" i="2"/>
  <c r="BJ833" i="2"/>
  <c r="BK833" i="2"/>
  <c r="BK1186" i="2"/>
  <c r="BJ1186" i="2"/>
  <c r="BJ114" i="2"/>
  <c r="I114" i="4" s="1"/>
  <c r="BK114" i="2"/>
  <c r="J114" i="4" s="1"/>
  <c r="BK2104" i="2"/>
  <c r="BJ2104" i="2"/>
  <c r="BK1221" i="2"/>
  <c r="BJ1221" i="2"/>
  <c r="BJ549" i="2"/>
  <c r="BK549" i="2"/>
  <c r="BK2487" i="2"/>
  <c r="BJ2487" i="2"/>
  <c r="BJ2213" i="2"/>
  <c r="BK2213" i="2"/>
  <c r="BJ1597" i="2"/>
  <c r="BK1597" i="2"/>
  <c r="BJ1925" i="2"/>
  <c r="BK1925" i="2"/>
  <c r="BJ1591" i="2"/>
  <c r="BK1591" i="2"/>
  <c r="BK507" i="2"/>
  <c r="BJ507" i="2"/>
  <c r="BK22" i="2"/>
  <c r="J22" i="4" s="1"/>
  <c r="BJ22" i="2"/>
  <c r="I22" i="4" s="1"/>
  <c r="BK1704" i="2"/>
  <c r="BJ1704" i="2"/>
  <c r="BJ1944" i="2"/>
  <c r="BK1944" i="2"/>
  <c r="BK949" i="2"/>
  <c r="BJ949" i="2"/>
  <c r="BJ1013" i="2"/>
  <c r="BK1013" i="2"/>
  <c r="BK1699" i="2"/>
  <c r="BJ1699" i="2"/>
  <c r="BK1030" i="2"/>
  <c r="BJ1030" i="2"/>
  <c r="BK918" i="2"/>
  <c r="BJ918" i="2"/>
  <c r="BK558" i="2"/>
  <c r="BJ558" i="2"/>
  <c r="BJ1701" i="2"/>
  <c r="BK1701" i="2"/>
  <c r="BJ533" i="2"/>
  <c r="BK533" i="2"/>
  <c r="BJ1647" i="2"/>
  <c r="BK1647" i="2"/>
  <c r="BK653" i="2"/>
  <c r="BJ653" i="2"/>
  <c r="BJ2257" i="2"/>
  <c r="BK2257" i="2"/>
  <c r="BJ1226" i="2"/>
  <c r="BK1226" i="2"/>
  <c r="BJ405" i="2"/>
  <c r="BK405" i="2"/>
  <c r="BJ501" i="2"/>
  <c r="BK501" i="2"/>
  <c r="BK1628" i="2"/>
  <c r="BJ1628" i="2"/>
  <c r="BK1402" i="2"/>
  <c r="BJ1402" i="2"/>
  <c r="BK740" i="2"/>
  <c r="BJ740" i="2"/>
  <c r="BJ517" i="2"/>
  <c r="BK517" i="2"/>
  <c r="BK1886" i="2"/>
  <c r="BJ1886" i="2"/>
  <c r="BJ135" i="2"/>
  <c r="I135" i="4" s="1"/>
  <c r="BK135" i="2"/>
  <c r="J135" i="4" s="1"/>
  <c r="BK1642" i="2"/>
  <c r="BJ1642" i="2"/>
  <c r="BK640" i="2"/>
  <c r="BJ640" i="2"/>
  <c r="BK1500" i="2"/>
  <c r="BJ1500" i="2"/>
  <c r="BJ964" i="2"/>
  <c r="BK964" i="2"/>
  <c r="BK194" i="2"/>
  <c r="J194" i="4" s="1"/>
  <c r="BJ194" i="2"/>
  <c r="I194" i="4" s="1"/>
  <c r="BK1128" i="2"/>
  <c r="BJ1128" i="2"/>
  <c r="BK430" i="2"/>
  <c r="BJ430" i="2"/>
  <c r="BK1798" i="2"/>
  <c r="BJ1798" i="2"/>
  <c r="BK1921" i="2"/>
  <c r="BJ1921" i="2"/>
  <c r="BJ1753" i="2"/>
  <c r="BK1753" i="2"/>
  <c r="BK109" i="2"/>
  <c r="J109" i="4" s="1"/>
  <c r="BJ109" i="2"/>
  <c r="I109" i="4" s="1"/>
  <c r="BK1085" i="2"/>
  <c r="BJ1085" i="2"/>
  <c r="BJ2480" i="2"/>
  <c r="BK2480" i="2"/>
  <c r="BK2383" i="2"/>
  <c r="BJ2383" i="2"/>
  <c r="BJ314" i="2"/>
  <c r="BK314" i="2"/>
  <c r="BK793" i="2"/>
  <c r="BJ793" i="2"/>
  <c r="BJ1910" i="2"/>
  <c r="BK1910" i="2"/>
  <c r="BK1732" i="2"/>
  <c r="BJ1732" i="2"/>
  <c r="BJ1904" i="2"/>
  <c r="BK1904" i="2"/>
  <c r="BK113" i="2"/>
  <c r="J113" i="4" s="1"/>
  <c r="BJ113" i="2"/>
  <c r="I113" i="4" s="1"/>
  <c r="BJ2120" i="2"/>
  <c r="BK2120" i="2"/>
  <c r="BJ1887" i="2"/>
  <c r="BK1887" i="2"/>
  <c r="BJ1057" i="2"/>
  <c r="BK1057" i="2"/>
  <c r="BK612" i="2"/>
  <c r="BJ612" i="2"/>
  <c r="BK1239" i="2"/>
  <c r="BJ1239" i="2"/>
  <c r="BJ2449" i="2"/>
  <c r="BK2449" i="2"/>
  <c r="BJ619" i="2"/>
  <c r="BK619" i="2"/>
  <c r="BK583" i="2"/>
  <c r="BJ583" i="2"/>
  <c r="BK1159" i="2"/>
  <c r="BJ1159" i="2"/>
  <c r="BJ1086" i="2"/>
  <c r="BK1086" i="2"/>
  <c r="BK1408" i="2"/>
  <c r="BJ1408" i="2"/>
  <c r="BJ1340" i="2"/>
  <c r="BK1340" i="2"/>
  <c r="BJ515" i="2"/>
  <c r="BK515" i="2"/>
  <c r="BJ1398" i="2"/>
  <c r="BK1398" i="2"/>
  <c r="BJ2365" i="2"/>
  <c r="BK2365" i="2"/>
  <c r="BK768" i="2"/>
  <c r="BJ768" i="2"/>
  <c r="BJ2294" i="2"/>
  <c r="BK2294" i="2"/>
  <c r="BJ991" i="2"/>
  <c r="BK991" i="2"/>
  <c r="BK2042" i="2"/>
  <c r="BJ2042" i="2"/>
  <c r="BJ2428" i="2"/>
  <c r="BK2428" i="2"/>
  <c r="BJ1459" i="2"/>
  <c r="BK1459" i="2"/>
  <c r="BK2028" i="2"/>
  <c r="BJ2028" i="2"/>
  <c r="BJ198" i="2"/>
  <c r="I198" i="4" s="1"/>
  <c r="BK198" i="2"/>
  <c r="J198" i="4" s="1"/>
  <c r="BK636" i="2"/>
  <c r="BJ636" i="2"/>
  <c r="BK761" i="2"/>
  <c r="BJ761" i="2"/>
  <c r="BK2414" i="2"/>
  <c r="BJ2414" i="2"/>
  <c r="BJ2456" i="2"/>
  <c r="BK2456" i="2"/>
  <c r="BJ1629" i="2"/>
  <c r="BK1629" i="2"/>
  <c r="BJ2081" i="2"/>
  <c r="BK2081" i="2"/>
  <c r="BJ2264" i="2"/>
  <c r="BK2264" i="2"/>
  <c r="BJ1314" i="2"/>
  <c r="BK1314" i="2"/>
  <c r="BJ201" i="2"/>
  <c r="I201" i="4" s="1"/>
  <c r="BK201" i="2"/>
  <c r="J201" i="4" s="1"/>
  <c r="BK289" i="2"/>
  <c r="BJ289" i="2"/>
  <c r="BK69" i="2"/>
  <c r="J69" i="4" s="1"/>
  <c r="BJ69" i="2"/>
  <c r="I69" i="4" s="1"/>
  <c r="BJ478" i="2"/>
  <c r="BK478" i="2"/>
  <c r="BJ1774" i="2"/>
  <c r="BK1774" i="2"/>
  <c r="BJ1061" i="2"/>
  <c r="BK1061" i="2"/>
  <c r="BK472" i="2"/>
  <c r="BJ472" i="2"/>
  <c r="BJ2279" i="2"/>
  <c r="BK2279" i="2"/>
  <c r="BK900" i="2"/>
  <c r="BJ900" i="2"/>
  <c r="BK1609" i="2"/>
  <c r="BJ1609" i="2"/>
  <c r="BJ1696" i="2"/>
  <c r="BK1696" i="2"/>
  <c r="BK1473" i="2"/>
  <c r="BJ1473" i="2"/>
  <c r="BK2143" i="2"/>
  <c r="BJ2143" i="2"/>
  <c r="BJ1017" i="2"/>
  <c r="BK1017" i="2"/>
  <c r="BJ1727" i="2"/>
  <c r="BK1727" i="2"/>
  <c r="BK990" i="2"/>
  <c r="BJ990" i="2"/>
  <c r="BK199" i="2"/>
  <c r="J199" i="4" s="1"/>
  <c r="BJ199" i="2"/>
  <c r="I199" i="4" s="1"/>
  <c r="BK570" i="2"/>
  <c r="BJ570" i="2"/>
  <c r="BK2432" i="2"/>
  <c r="BJ2432" i="2"/>
  <c r="BK2135" i="2"/>
  <c r="BJ2135" i="2"/>
  <c r="BJ1173" i="2"/>
  <c r="BK1173" i="2"/>
  <c r="BJ1184" i="2"/>
  <c r="BK1184" i="2"/>
  <c r="BJ1627" i="2"/>
  <c r="BK1627" i="2"/>
  <c r="BK1436" i="2"/>
  <c r="BJ1436" i="2"/>
  <c r="BJ1579" i="2"/>
  <c r="BK1579" i="2"/>
  <c r="BJ432" i="2"/>
  <c r="BK432" i="2"/>
  <c r="BK125" i="2"/>
  <c r="J125" i="4" s="1"/>
  <c r="BJ125" i="2"/>
  <c r="I125" i="4" s="1"/>
  <c r="BJ1516" i="2"/>
  <c r="BK1516" i="2"/>
  <c r="BK547" i="2"/>
  <c r="BJ547" i="2"/>
  <c r="BJ1470" i="2"/>
  <c r="BK1470" i="2"/>
  <c r="BK888" i="2"/>
  <c r="BJ888" i="2"/>
  <c r="BK849" i="2"/>
  <c r="BJ849" i="2"/>
  <c r="BK385" i="2"/>
  <c r="BJ385" i="2"/>
  <c r="BJ1848" i="2"/>
  <c r="BK1848" i="2"/>
  <c r="BK2475" i="2"/>
  <c r="BJ2475" i="2"/>
  <c r="BK1916" i="2"/>
  <c r="BJ1916" i="2"/>
  <c r="BK290" i="2"/>
  <c r="BJ290" i="2"/>
  <c r="BJ1257" i="2"/>
  <c r="BK1257" i="2"/>
  <c r="BK717" i="2"/>
  <c r="BJ717" i="2"/>
  <c r="BJ97" i="2"/>
  <c r="I97" i="4" s="1"/>
  <c r="BK97" i="2"/>
  <c r="J97" i="4" s="1"/>
  <c r="BJ571" i="2"/>
  <c r="BK571" i="2"/>
  <c r="BK734" i="2"/>
  <c r="BJ734" i="2"/>
  <c r="BK1134" i="2"/>
  <c r="BJ1134" i="2"/>
  <c r="BK1253" i="2"/>
  <c r="BJ1253" i="2"/>
  <c r="BJ1600" i="2"/>
  <c r="BK1600" i="2"/>
  <c r="BK505" i="2"/>
  <c r="BJ505" i="2"/>
  <c r="BK1483" i="2"/>
  <c r="BJ1483" i="2"/>
  <c r="BK523" i="2"/>
  <c r="BJ523" i="2"/>
  <c r="BK2317" i="2"/>
  <c r="BJ2317" i="2"/>
  <c r="BK940" i="2"/>
  <c r="BJ940" i="2"/>
  <c r="BJ802" i="2"/>
  <c r="BK802" i="2"/>
  <c r="BJ166" i="2"/>
  <c r="I166" i="4" s="1"/>
  <c r="BK166" i="2"/>
  <c r="J166" i="4" s="1"/>
  <c r="BJ2052" i="2"/>
  <c r="BK2052" i="2"/>
  <c r="BK2313" i="2"/>
  <c r="BJ2313" i="2"/>
  <c r="BJ375" i="2"/>
  <c r="BK375" i="2"/>
  <c r="BK592" i="2"/>
  <c r="BJ592" i="2"/>
  <c r="BK2098" i="2"/>
  <c r="BJ2098" i="2"/>
  <c r="BJ2416" i="2"/>
  <c r="BK2416" i="2"/>
  <c r="BJ1016" i="2"/>
  <c r="BK1016" i="2"/>
  <c r="BK51" i="2"/>
  <c r="J51" i="4" s="1"/>
  <c r="BJ51" i="2"/>
  <c r="I51" i="4" s="1"/>
  <c r="BK1119" i="2"/>
  <c r="BJ1119" i="2"/>
  <c r="BJ1584" i="2"/>
  <c r="BK1584" i="2"/>
  <c r="BK2226" i="2"/>
  <c r="BJ2226" i="2"/>
  <c r="BJ1343" i="2"/>
  <c r="BK1343" i="2"/>
  <c r="BK280" i="2"/>
  <c r="BJ280" i="2"/>
  <c r="BJ1177" i="2"/>
  <c r="BK1177" i="2"/>
  <c r="BK2343" i="2"/>
  <c r="BJ2343" i="2"/>
  <c r="BJ765" i="2"/>
  <c r="BK765" i="2"/>
  <c r="BJ2417" i="2"/>
  <c r="BK2417" i="2"/>
  <c r="BJ146" i="2"/>
  <c r="I146" i="4" s="1"/>
  <c r="BK146" i="2"/>
  <c r="J146" i="4" s="1"/>
  <c r="BJ1813" i="2"/>
  <c r="BK1813" i="2"/>
  <c r="BJ1319" i="2"/>
  <c r="BK1319" i="2"/>
  <c r="BJ649" i="2"/>
  <c r="BK649" i="2"/>
  <c r="BJ1688" i="2"/>
  <c r="BK1688" i="2"/>
  <c r="BK435" i="2"/>
  <c r="BJ435" i="2"/>
  <c r="BK1912" i="2"/>
  <c r="BJ1912" i="2"/>
  <c r="BK973" i="2"/>
  <c r="BJ973" i="2"/>
  <c r="BK808" i="2"/>
  <c r="BJ808" i="2"/>
  <c r="BK2320" i="2"/>
  <c r="BJ2320" i="2"/>
  <c r="BJ417" i="2"/>
  <c r="BK417" i="2"/>
  <c r="BK1927" i="2"/>
  <c r="BJ1927" i="2"/>
  <c r="BJ1957" i="2"/>
  <c r="BK1957" i="2"/>
  <c r="BJ582" i="2"/>
  <c r="BK582" i="2"/>
  <c r="BK40" i="2"/>
  <c r="J40" i="4" s="1"/>
  <c r="BJ40" i="2"/>
  <c r="I40" i="4" s="1"/>
  <c r="BJ1193" i="2"/>
  <c r="BK1193" i="2"/>
  <c r="BJ347" i="2"/>
  <c r="BK347" i="2"/>
  <c r="BK2115" i="2"/>
  <c r="BJ2115" i="2"/>
  <c r="BJ1254" i="2"/>
  <c r="BK1254" i="2"/>
  <c r="BK421" i="2"/>
  <c r="BJ421" i="2"/>
  <c r="BJ1169" i="2"/>
  <c r="BK1169" i="2"/>
  <c r="BJ1467" i="2"/>
  <c r="BK1467" i="2"/>
  <c r="BJ1255" i="2"/>
  <c r="BK1255" i="2"/>
  <c r="BK1201" i="2"/>
  <c r="BJ1201" i="2"/>
  <c r="BK1074" i="2"/>
  <c r="BJ1074" i="2"/>
  <c r="BK2021" i="2"/>
  <c r="BJ2021" i="2"/>
  <c r="BJ1375" i="2"/>
  <c r="BK1375" i="2"/>
  <c r="BK2006" i="2"/>
  <c r="BJ2006" i="2"/>
  <c r="BK576" i="2"/>
  <c r="BJ576" i="2"/>
  <c r="BJ1576" i="2"/>
  <c r="BK1576" i="2"/>
  <c r="BJ1275" i="2"/>
  <c r="BK1275" i="2"/>
  <c r="BJ770" i="2"/>
  <c r="BK770" i="2"/>
  <c r="BJ1230" i="2"/>
  <c r="BK1230" i="2"/>
  <c r="BJ1640" i="2"/>
  <c r="BK1640" i="2"/>
  <c r="BJ1750" i="2"/>
  <c r="BK1750" i="2"/>
  <c r="BJ1689" i="2"/>
  <c r="BK1689" i="2"/>
  <c r="BK2148" i="2"/>
  <c r="BJ2148" i="2"/>
  <c r="BJ1493" i="2"/>
  <c r="BK1493" i="2"/>
  <c r="BJ1979" i="2"/>
  <c r="BK1979" i="2"/>
  <c r="BJ2335" i="2"/>
  <c r="BK2335" i="2"/>
  <c r="BJ1894" i="2"/>
  <c r="BK1894" i="2"/>
  <c r="BK519" i="2"/>
  <c r="BJ519" i="2"/>
  <c r="BJ410" i="2"/>
  <c r="BK410" i="2"/>
  <c r="BK276" i="2"/>
  <c r="BJ276" i="2"/>
  <c r="BK1762" i="2"/>
  <c r="BJ1762" i="2"/>
  <c r="BJ513" i="2"/>
  <c r="BK513" i="2"/>
  <c r="BK604" i="2"/>
  <c r="BJ604" i="2"/>
  <c r="BK210" i="2"/>
  <c r="BJ210" i="2"/>
  <c r="BJ1144" i="2"/>
  <c r="BK1144" i="2"/>
  <c r="BJ2043" i="2"/>
  <c r="BK2043" i="2"/>
  <c r="BJ81" i="2"/>
  <c r="I81" i="4" s="1"/>
  <c r="BK81" i="2"/>
  <c r="J81" i="4" s="1"/>
  <c r="BJ2056" i="2"/>
  <c r="BK2056" i="2"/>
  <c r="BK575" i="2"/>
  <c r="BJ575" i="2"/>
  <c r="BJ71" i="2"/>
  <c r="I71" i="4" s="1"/>
  <c r="BK71" i="2"/>
  <c r="J71" i="4" s="1"/>
  <c r="BJ1054" i="2"/>
  <c r="BK1054" i="2"/>
  <c r="BJ2267" i="2"/>
  <c r="BK2267" i="2"/>
  <c r="BK1098" i="2"/>
  <c r="BJ1098" i="2"/>
  <c r="BJ1206" i="2"/>
  <c r="BK1206" i="2"/>
  <c r="BJ632" i="2"/>
  <c r="BK632" i="2"/>
  <c r="BJ1776" i="2"/>
  <c r="BK1776" i="2"/>
  <c r="BJ2019" i="2"/>
  <c r="BK2019" i="2"/>
  <c r="BJ2140" i="2"/>
  <c r="BK2140" i="2"/>
  <c r="BJ620" i="2"/>
  <c r="BK620" i="2"/>
  <c r="BJ1502" i="2"/>
  <c r="BK1502" i="2"/>
  <c r="BJ976" i="2"/>
  <c r="BK976" i="2"/>
  <c r="BK2490" i="2"/>
  <c r="BJ2490" i="2"/>
  <c r="BJ2248" i="2"/>
  <c r="BK2248" i="2"/>
  <c r="BK2445" i="2"/>
  <c r="BJ2445" i="2"/>
  <c r="BK2250" i="2"/>
  <c r="BJ2250" i="2"/>
  <c r="BJ150" i="2"/>
  <c r="I150" i="4" s="1"/>
  <c r="BK150" i="2"/>
  <c r="J150" i="4" s="1"/>
  <c r="BJ171" i="2"/>
  <c r="I171" i="4" s="1"/>
  <c r="BK171" i="2"/>
  <c r="J171" i="4" s="1"/>
  <c r="BJ1381" i="2"/>
  <c r="BK1381" i="2"/>
  <c r="BK301" i="2"/>
  <c r="BJ301" i="2"/>
  <c r="BK2241" i="2"/>
  <c r="BJ2241" i="2"/>
  <c r="BJ1229" i="2"/>
  <c r="BK1229" i="2"/>
  <c r="BJ1961" i="2"/>
  <c r="BK1961" i="2"/>
  <c r="BK1890" i="2"/>
  <c r="BJ1890" i="2"/>
  <c r="BJ1301" i="2"/>
  <c r="BK1301" i="2"/>
  <c r="BK2376" i="2"/>
  <c r="BJ2376" i="2"/>
  <c r="BK625" i="2"/>
  <c r="BJ625" i="2"/>
  <c r="BK27" i="2"/>
  <c r="J27" i="4" s="1"/>
  <c r="BJ27" i="2"/>
  <c r="I27" i="4" s="1"/>
  <c r="BJ977" i="2"/>
  <c r="BK977" i="2"/>
  <c r="BK974" i="2"/>
  <c r="BJ974" i="2"/>
  <c r="BK594" i="2"/>
  <c r="BJ594" i="2"/>
  <c r="BK1892" i="2"/>
  <c r="BJ1892" i="2"/>
  <c r="BK461" i="2"/>
  <c r="BJ461" i="2"/>
  <c r="BK1046" i="2"/>
  <c r="BJ1046" i="2"/>
  <c r="BK573" i="2"/>
  <c r="BJ573" i="2"/>
  <c r="BK750" i="2"/>
  <c r="BJ750" i="2"/>
  <c r="BK1578" i="2"/>
  <c r="BJ1578" i="2"/>
  <c r="BK1420" i="2"/>
  <c r="BJ1420" i="2"/>
  <c r="BK1333" i="2"/>
  <c r="BJ1333" i="2"/>
  <c r="BK277" i="2"/>
  <c r="BJ277" i="2"/>
  <c r="BK231" i="2"/>
  <c r="BJ231" i="2"/>
  <c r="BK1058" i="2"/>
  <c r="BJ1058" i="2"/>
  <c r="BK2390" i="2"/>
  <c r="BJ2390" i="2"/>
  <c r="BK2443" i="2"/>
  <c r="BJ2443" i="2"/>
  <c r="BK1036" i="2"/>
  <c r="BJ1036" i="2"/>
  <c r="BK1260" i="2"/>
  <c r="BJ1260" i="2"/>
  <c r="BJ1941" i="2"/>
  <c r="BK1941" i="2"/>
  <c r="BK331" i="2"/>
  <c r="BJ331" i="2"/>
  <c r="BJ1903" i="2"/>
  <c r="BK1903" i="2"/>
  <c r="BJ392" i="2"/>
  <c r="BK392" i="2"/>
  <c r="BJ1152" i="2"/>
  <c r="BK1152" i="2"/>
  <c r="BK316" i="2"/>
  <c r="BJ316" i="2"/>
  <c r="BJ563" i="2"/>
  <c r="BK563" i="2"/>
  <c r="BK1155" i="2"/>
  <c r="BJ1155" i="2"/>
  <c r="BJ1282" i="2"/>
  <c r="BK1282" i="2"/>
  <c r="BK529" i="2"/>
  <c r="BJ529" i="2"/>
  <c r="BK722" i="2"/>
  <c r="BJ722" i="2"/>
  <c r="BK1406" i="2"/>
  <c r="BJ1406" i="2"/>
  <c r="BJ2501" i="2"/>
  <c r="BK2501" i="2"/>
  <c r="BJ2112" i="2"/>
  <c r="BK2112" i="2"/>
  <c r="BK1115" i="2"/>
  <c r="BJ1115" i="2"/>
  <c r="BJ1238" i="2"/>
  <c r="BK1238" i="2"/>
  <c r="BJ2396" i="2"/>
  <c r="BK2396" i="2"/>
  <c r="BJ935" i="2"/>
  <c r="BK935" i="2"/>
  <c r="BJ2440" i="2"/>
  <c r="BK2440" i="2"/>
  <c r="BK2187" i="2"/>
  <c r="BJ2187" i="2"/>
  <c r="BK552" i="2"/>
  <c r="BJ552" i="2"/>
  <c r="BJ1000" i="2"/>
  <c r="BK1000" i="2"/>
  <c r="BK2352" i="2"/>
  <c r="BJ2352" i="2"/>
  <c r="BK2210" i="2"/>
  <c r="BJ2210" i="2"/>
  <c r="BJ451" i="2"/>
  <c r="BK451" i="2"/>
  <c r="BJ426" i="2"/>
  <c r="BK426" i="2"/>
  <c r="BJ2199" i="2"/>
  <c r="BK2199" i="2"/>
  <c r="BK2045" i="2"/>
  <c r="BJ2045" i="2"/>
  <c r="BJ1694" i="2"/>
  <c r="BK1694" i="2"/>
  <c r="BK1097" i="2"/>
  <c r="BJ1097" i="2"/>
  <c r="BK1816" i="2"/>
  <c r="BJ1816" i="2"/>
  <c r="BJ2152" i="2"/>
  <c r="BK2152" i="2"/>
  <c r="BJ838" i="2"/>
  <c r="BK838" i="2"/>
  <c r="BK366" i="2"/>
  <c r="BJ366" i="2"/>
  <c r="BJ1946" i="2"/>
  <c r="BK1946" i="2"/>
  <c r="BK1262" i="2"/>
  <c r="BJ1262" i="2"/>
  <c r="BK2180" i="2"/>
  <c r="BJ2180" i="2"/>
  <c r="BJ177" i="2"/>
  <c r="I177" i="4" s="1"/>
  <c r="BK177" i="2"/>
  <c r="J177" i="4" s="1"/>
  <c r="BJ997" i="2"/>
  <c r="BK997" i="2"/>
  <c r="BK2201" i="2"/>
  <c r="BJ2201" i="2"/>
  <c r="BK848" i="2"/>
  <c r="BJ848" i="2"/>
  <c r="BJ1360" i="2"/>
  <c r="BK1360" i="2"/>
  <c r="BJ1953" i="2"/>
  <c r="BK1953" i="2"/>
  <c r="BK2243" i="2"/>
  <c r="BJ2243" i="2"/>
  <c r="BJ477" i="2"/>
  <c r="BK477" i="2"/>
  <c r="BK1479" i="2"/>
  <c r="BJ1479" i="2"/>
  <c r="BJ19" i="2"/>
  <c r="I19" i="4" s="1"/>
  <c r="BK19" i="2"/>
  <c r="J19" i="4" s="1"/>
  <c r="BJ2340" i="2"/>
  <c r="BK2340" i="2"/>
  <c r="BK117" i="2"/>
  <c r="J117" i="4" s="1"/>
  <c r="BJ117" i="2"/>
  <c r="I117" i="4" s="1"/>
  <c r="BK1428" i="2"/>
  <c r="BJ1428" i="2"/>
  <c r="BJ398" i="2"/>
  <c r="BK398" i="2"/>
  <c r="BJ284" i="2"/>
  <c r="BK284" i="2"/>
  <c r="BK1540" i="2"/>
  <c r="BJ1540" i="2"/>
  <c r="BK1435" i="2"/>
  <c r="BJ1435" i="2"/>
  <c r="BK1051" i="2"/>
  <c r="BJ1051" i="2"/>
  <c r="BJ1755" i="2"/>
  <c r="BK1755" i="2"/>
  <c r="BJ1935" i="2"/>
  <c r="BK1935" i="2"/>
  <c r="BJ2275" i="2"/>
  <c r="BK2275" i="2"/>
  <c r="BJ1222" i="2"/>
  <c r="BK1222" i="2"/>
  <c r="BK2039" i="2"/>
  <c r="BJ2039" i="2"/>
  <c r="BJ672" i="2"/>
  <c r="BK672" i="2"/>
  <c r="BK1709" i="2"/>
  <c r="BJ1709" i="2"/>
  <c r="BJ1650" i="2"/>
  <c r="BK1650" i="2"/>
  <c r="BK745" i="2"/>
  <c r="BJ745" i="2"/>
  <c r="BK1923" i="2"/>
  <c r="BJ1923" i="2"/>
  <c r="BK2286" i="2"/>
  <c r="BJ2286" i="2"/>
  <c r="BK2469" i="2"/>
  <c r="BJ2469" i="2"/>
  <c r="BK1861" i="2"/>
  <c r="BJ1861" i="2"/>
  <c r="BK1977" i="2"/>
  <c r="BJ1977" i="2"/>
  <c r="BJ1700" i="2"/>
  <c r="BK1700" i="2"/>
  <c r="BJ327" i="2"/>
  <c r="BK327" i="2"/>
  <c r="BK939" i="2"/>
  <c r="BJ939" i="2"/>
  <c r="BJ2136" i="2"/>
  <c r="BK2136" i="2"/>
  <c r="BK1743" i="2"/>
  <c r="BJ1743" i="2"/>
  <c r="BK538" i="2"/>
  <c r="BJ538" i="2"/>
  <c r="BJ1010" i="2"/>
  <c r="BK1010" i="2"/>
  <c r="BJ2426" i="2"/>
  <c r="BK2426" i="2"/>
  <c r="BJ1749" i="2"/>
  <c r="BK1749" i="2"/>
  <c r="BK1900" i="2"/>
  <c r="BJ1900" i="2"/>
  <c r="BJ1421" i="2"/>
  <c r="BK1421" i="2"/>
  <c r="BJ1475" i="2"/>
  <c r="BK1475" i="2"/>
  <c r="BK830" i="2"/>
  <c r="BJ830" i="2"/>
  <c r="BK627" i="2"/>
  <c r="BJ627" i="2"/>
  <c r="BK223" i="2"/>
  <c r="BJ223" i="2"/>
  <c r="BK1730" i="2"/>
  <c r="BJ1730" i="2"/>
  <c r="BJ1066" i="2"/>
  <c r="BK1066" i="2"/>
  <c r="BK687" i="2"/>
  <c r="BJ687" i="2"/>
  <c r="BK2192" i="2"/>
  <c r="BJ2192" i="2"/>
  <c r="BJ1080" i="2"/>
  <c r="BK1080" i="2"/>
  <c r="BK1515" i="2"/>
  <c r="BJ1515" i="2"/>
  <c r="BK2114" i="2"/>
  <c r="BJ2114" i="2"/>
  <c r="BK673" i="2"/>
  <c r="BJ673" i="2"/>
  <c r="BJ2132" i="2"/>
  <c r="BK2132" i="2"/>
  <c r="BJ2003" i="2"/>
  <c r="BK2003" i="2"/>
  <c r="BK91" i="2"/>
  <c r="J91" i="4" s="1"/>
  <c r="BJ91" i="2"/>
  <c r="I91" i="4" s="1"/>
  <c r="BJ2146" i="2"/>
  <c r="BK2146" i="2"/>
  <c r="BJ1370" i="2"/>
  <c r="BK1370" i="2"/>
  <c r="BJ41" i="2"/>
  <c r="I41" i="4" s="1"/>
  <c r="BK41" i="2"/>
  <c r="J41" i="4" s="1"/>
  <c r="BK635" i="2"/>
  <c r="BJ635" i="2"/>
  <c r="BJ1024" i="2"/>
  <c r="BK1024" i="2"/>
  <c r="BJ2479" i="2"/>
  <c r="BK2479" i="2"/>
  <c r="BK1056" i="2"/>
  <c r="BJ1056" i="2"/>
  <c r="BJ195" i="2"/>
  <c r="I195" i="4" s="1"/>
  <c r="BK195" i="2"/>
  <c r="J195" i="4" s="1"/>
  <c r="BJ2361" i="2"/>
  <c r="BK2361" i="2"/>
  <c r="BK1788" i="2"/>
  <c r="BJ1788" i="2"/>
  <c r="BK2391" i="2"/>
  <c r="BJ2391" i="2"/>
  <c r="BK98" i="2"/>
  <c r="J98" i="4" s="1"/>
  <c r="BJ98" i="2"/>
  <c r="I98" i="4" s="1"/>
  <c r="BK1521" i="2"/>
  <c r="BJ1521" i="2"/>
  <c r="BJ550" i="2"/>
  <c r="BK550" i="2"/>
  <c r="BK1261" i="2"/>
  <c r="BJ1261" i="2"/>
  <c r="BJ1728" i="2"/>
  <c r="BK1728" i="2"/>
  <c r="BJ427" i="2"/>
  <c r="BK427" i="2"/>
  <c r="BK969" i="2"/>
  <c r="BJ969" i="2"/>
  <c r="BK2171" i="2"/>
  <c r="BJ2171" i="2"/>
  <c r="BJ1499" i="2"/>
  <c r="BK1499" i="2"/>
  <c r="BK958" i="2"/>
  <c r="BJ958" i="2"/>
  <c r="BK1943" i="2"/>
  <c r="BJ1943" i="2"/>
  <c r="BK618" i="2"/>
  <c r="BJ618" i="2"/>
  <c r="BK1751" i="2"/>
  <c r="BJ1751" i="2"/>
  <c r="BJ488" i="2"/>
  <c r="BK488" i="2"/>
  <c r="BJ1052" i="2"/>
  <c r="BK1052" i="2"/>
  <c r="BJ302" i="2"/>
  <c r="BK302" i="2"/>
  <c r="BJ2219" i="2"/>
  <c r="BK2219" i="2"/>
  <c r="BK485" i="2"/>
  <c r="BJ485" i="2"/>
  <c r="BJ760" i="2"/>
  <c r="BK760" i="2"/>
  <c r="BJ1078" i="2"/>
  <c r="BK1078" i="2"/>
  <c r="BJ749" i="2"/>
  <c r="BK749" i="2"/>
  <c r="BJ1348" i="2"/>
  <c r="BK1348" i="2"/>
  <c r="BJ1208" i="2"/>
  <c r="BK1208" i="2"/>
  <c r="BJ1522" i="2"/>
  <c r="BK1522" i="2"/>
  <c r="BK1089" i="2"/>
  <c r="BJ1089" i="2"/>
  <c r="BJ1298" i="2"/>
  <c r="BK1298" i="2"/>
  <c r="BK2197" i="2"/>
  <c r="BJ2197" i="2"/>
  <c r="BJ1939" i="2"/>
  <c r="BK1939" i="2"/>
  <c r="BJ2217" i="2"/>
  <c r="BK2217" i="2"/>
  <c r="BJ162" i="2"/>
  <c r="I162" i="4" s="1"/>
  <c r="BK162" i="2"/>
  <c r="J162" i="4" s="1"/>
  <c r="BJ2194" i="2"/>
  <c r="BK2194" i="2"/>
  <c r="BK241" i="2"/>
  <c r="BJ241" i="2"/>
  <c r="BK879" i="2"/>
  <c r="BJ879" i="2"/>
  <c r="BK42" i="2"/>
  <c r="J42" i="4" s="1"/>
  <c r="BJ42" i="2"/>
  <c r="I42" i="4" s="1"/>
  <c r="BJ701" i="2"/>
  <c r="BK701" i="2"/>
  <c r="BK2117" i="2"/>
  <c r="BJ2117" i="2"/>
  <c r="BK1784" i="2"/>
  <c r="BJ1784" i="2"/>
  <c r="BJ1070" i="2"/>
  <c r="BK1070" i="2"/>
  <c r="BJ777" i="2"/>
  <c r="BK777" i="2"/>
  <c r="BK355" i="2"/>
  <c r="BJ355" i="2"/>
  <c r="BK1265" i="2"/>
  <c r="BJ1265" i="2"/>
  <c r="BK1114" i="2"/>
  <c r="BJ1114" i="2"/>
  <c r="BJ528" i="2"/>
  <c r="BK528" i="2"/>
  <c r="BK648" i="2"/>
  <c r="BJ648" i="2"/>
  <c r="BJ1983" i="2"/>
  <c r="BK1983" i="2"/>
  <c r="BJ1007" i="2"/>
  <c r="BK1007" i="2"/>
  <c r="BK1320" i="2"/>
  <c r="BJ1320" i="2"/>
  <c r="BK2422" i="2"/>
  <c r="BJ2422" i="2"/>
  <c r="BJ292" i="2"/>
  <c r="BK292" i="2"/>
  <c r="BJ2033" i="2"/>
  <c r="BK2033" i="2"/>
  <c r="BK2419" i="2"/>
  <c r="BJ2419" i="2"/>
  <c r="BK548" i="2"/>
  <c r="BJ548" i="2"/>
  <c r="BJ1366" i="2"/>
  <c r="BK1366" i="2"/>
  <c r="BJ2288" i="2"/>
  <c r="BK2288" i="2"/>
  <c r="BJ1867" i="2"/>
  <c r="BK1867" i="2"/>
  <c r="BJ540" i="2"/>
  <c r="BK540" i="2"/>
  <c r="BJ2191" i="2"/>
  <c r="BK2191" i="2"/>
  <c r="BJ1382" i="2"/>
  <c r="BK1382" i="2"/>
  <c r="BK1909" i="2"/>
  <c r="BJ1909" i="2"/>
  <c r="BK1294" i="2"/>
  <c r="BJ1294" i="2"/>
  <c r="BK1581" i="2"/>
  <c r="BJ1581" i="2"/>
  <c r="BK454" i="2"/>
  <c r="BJ454" i="2"/>
  <c r="BJ228" i="2"/>
  <c r="BK228" i="2"/>
  <c r="BJ1993" i="2"/>
  <c r="BK1993" i="2"/>
  <c r="BJ1967" i="2"/>
  <c r="BK1967" i="2"/>
  <c r="BK2177" i="2"/>
  <c r="BJ2177" i="2"/>
  <c r="BJ1866" i="2"/>
  <c r="BK1866" i="2"/>
  <c r="BK1441" i="2"/>
  <c r="BJ1441" i="2"/>
  <c r="BK534" i="2"/>
  <c r="BJ534" i="2"/>
  <c r="BJ367" i="2"/>
  <c r="BK367" i="2"/>
  <c r="BJ1021" i="2"/>
  <c r="BK1021" i="2"/>
  <c r="BK2251" i="2"/>
  <c r="BJ2251" i="2"/>
  <c r="BJ235" i="2"/>
  <c r="BK235" i="2"/>
  <c r="BK1770" i="2"/>
  <c r="BJ1770" i="2"/>
  <c r="BK268" i="2"/>
  <c r="BJ268" i="2"/>
  <c r="BJ2481" i="2"/>
  <c r="BK2481" i="2"/>
  <c r="BJ1217" i="2"/>
  <c r="BK1217" i="2"/>
  <c r="BK1773" i="2"/>
  <c r="BJ1773" i="2"/>
  <c r="BK1623" i="2"/>
  <c r="BJ1623" i="2"/>
  <c r="BK1299" i="2"/>
  <c r="BJ1299" i="2"/>
  <c r="BJ2131" i="2"/>
  <c r="BK2131" i="2"/>
  <c r="BK601" i="2"/>
  <c r="BJ601" i="2"/>
  <c r="BK707" i="2"/>
  <c r="BJ707" i="2"/>
  <c r="BJ1929" i="2"/>
  <c r="BK1929" i="2"/>
  <c r="BK2207" i="2"/>
  <c r="BJ2207" i="2"/>
  <c r="BK1362" i="2"/>
  <c r="BJ1362" i="2"/>
  <c r="BK1524" i="2"/>
  <c r="BJ1524" i="2"/>
  <c r="BK1828" i="2"/>
  <c r="BJ1828" i="2"/>
  <c r="BJ482" i="2"/>
  <c r="BK482" i="2"/>
  <c r="BJ1902" i="2"/>
  <c r="BK1902" i="2"/>
  <c r="BJ211" i="2"/>
  <c r="BK211" i="2"/>
  <c r="BJ815" i="2"/>
  <c r="BK815" i="2"/>
  <c r="BJ801" i="2"/>
  <c r="BK801" i="2"/>
  <c r="BJ2284" i="2"/>
  <c r="BK2284" i="2"/>
  <c r="BK187" i="2"/>
  <c r="J187" i="4" s="1"/>
  <c r="BJ187" i="2"/>
  <c r="I187" i="4" s="1"/>
  <c r="BK861" i="2"/>
  <c r="BJ861" i="2"/>
  <c r="BK803" i="2"/>
  <c r="BJ803" i="2"/>
  <c r="BJ242" i="2"/>
  <c r="BK242" i="2"/>
  <c r="BK1413" i="2"/>
  <c r="BJ1413" i="2"/>
  <c r="BJ1998" i="2"/>
  <c r="BK1998" i="2"/>
  <c r="BK2438" i="2"/>
  <c r="BJ2438" i="2"/>
  <c r="BK159" i="2"/>
  <c r="J159" i="4" s="1"/>
  <c r="BJ159" i="2"/>
  <c r="I159" i="4" s="1"/>
  <c r="BK1174" i="2"/>
  <c r="BJ1174" i="2"/>
  <c r="BJ179" i="2"/>
  <c r="I179" i="4" s="1"/>
  <c r="BK179" i="2"/>
  <c r="J179" i="4" s="1"/>
  <c r="BK58" i="2"/>
  <c r="J58" i="4" s="1"/>
  <c r="BJ58" i="2"/>
  <c r="I58" i="4" s="1"/>
  <c r="BJ1403" i="2"/>
  <c r="BK1403" i="2"/>
  <c r="BJ1183" i="2"/>
  <c r="BK1183" i="2"/>
  <c r="BK559" i="2"/>
  <c r="BJ559" i="2"/>
  <c r="BJ2364" i="2"/>
  <c r="BK2364" i="2"/>
  <c r="BK1182" i="2"/>
  <c r="BJ1182" i="2"/>
  <c r="BJ874" i="2"/>
  <c r="BK874" i="2"/>
  <c r="BJ2482" i="2"/>
  <c r="BK2482" i="2"/>
  <c r="BJ698" i="2"/>
  <c r="BK698" i="2"/>
  <c r="BK1272" i="2"/>
  <c r="BJ1272" i="2"/>
  <c r="BK728" i="2"/>
  <c r="BJ728" i="2"/>
  <c r="BJ1250" i="2"/>
  <c r="BK1250" i="2"/>
  <c r="BJ2310" i="2"/>
  <c r="BK2310" i="2"/>
  <c r="BK341" i="2"/>
  <c r="BJ341" i="2"/>
  <c r="BJ1374" i="2"/>
  <c r="BK1374" i="2"/>
  <c r="BJ63" i="2"/>
  <c r="I63" i="4" s="1"/>
  <c r="BK63" i="2"/>
  <c r="J63" i="4" s="1"/>
  <c r="BJ1708" i="2"/>
  <c r="BK1708" i="2"/>
  <c r="BJ1660" i="2"/>
  <c r="BK1660" i="2"/>
  <c r="BJ2124" i="2"/>
  <c r="BK2124" i="2"/>
  <c r="BK1389" i="2"/>
  <c r="BJ1389" i="2"/>
  <c r="BK1338" i="2"/>
  <c r="BJ1338" i="2"/>
  <c r="BJ2037" i="2"/>
  <c r="BK2037" i="2"/>
  <c r="BK2459" i="2"/>
  <c r="BJ2459" i="2"/>
  <c r="BJ716" i="2"/>
  <c r="BK716" i="2"/>
  <c r="BJ1133" i="2"/>
  <c r="BK1133" i="2"/>
  <c r="BJ102" i="2"/>
  <c r="I102" i="4" s="1"/>
  <c r="BK102" i="2"/>
  <c r="J102" i="4" s="1"/>
  <c r="BK161" i="2"/>
  <c r="J161" i="4" s="1"/>
  <c r="BJ161" i="2"/>
  <c r="I161" i="4" s="1"/>
  <c r="BK2280" i="2"/>
  <c r="BJ2280" i="2"/>
  <c r="BJ2218" i="2"/>
  <c r="BK2218" i="2"/>
  <c r="BK1065" i="2"/>
  <c r="BJ1065" i="2"/>
  <c r="BJ1719" i="2"/>
  <c r="BK1719" i="2"/>
  <c r="BJ408" i="2"/>
  <c r="BK408" i="2"/>
  <c r="BJ1214" i="2"/>
  <c r="BK1214" i="2"/>
  <c r="BJ298" i="2"/>
  <c r="BK298" i="2"/>
  <c r="BJ511" i="2"/>
  <c r="BK511" i="2"/>
  <c r="BJ1852" i="2"/>
  <c r="BK1852" i="2"/>
  <c r="BJ2227" i="2"/>
  <c r="BK2227" i="2"/>
  <c r="BK1113" i="2"/>
  <c r="BJ1113" i="2"/>
  <c r="BK961" i="2"/>
  <c r="BJ961" i="2"/>
  <c r="BJ2499" i="2"/>
  <c r="BK2499" i="2"/>
  <c r="BK1571" i="2"/>
  <c r="BJ1571" i="2"/>
  <c r="BK1198" i="2"/>
  <c r="BJ1198" i="2"/>
  <c r="BK894" i="2"/>
  <c r="BJ894" i="2"/>
  <c r="BJ1711" i="2"/>
  <c r="BK1711" i="2"/>
  <c r="BK174" i="2"/>
  <c r="J174" i="4" s="1"/>
  <c r="BJ174" i="2"/>
  <c r="I174" i="4" s="1"/>
  <c r="BK1364" i="2"/>
  <c r="BJ1364" i="2"/>
  <c r="BJ1228" i="2"/>
  <c r="BK1228" i="2"/>
  <c r="BK1800" i="2"/>
  <c r="BJ1800" i="2"/>
  <c r="BJ218" i="2"/>
  <c r="BK218" i="2"/>
  <c r="BJ1546" i="2"/>
  <c r="BK1546" i="2"/>
  <c r="BJ1659" i="2"/>
  <c r="BK1659" i="2"/>
  <c r="BJ678" i="2"/>
  <c r="BK678" i="2"/>
  <c r="BK2357" i="2"/>
  <c r="BJ2357" i="2"/>
  <c r="BK671" i="2"/>
  <c r="BJ671" i="2"/>
  <c r="BJ1195" i="2"/>
  <c r="BK1195" i="2"/>
  <c r="BK153" i="2"/>
  <c r="J153" i="4" s="1"/>
  <c r="BJ153" i="2"/>
  <c r="I153" i="4" s="1"/>
  <c r="BJ197" i="2"/>
  <c r="I197" i="4" s="1"/>
  <c r="BK197" i="2"/>
  <c r="J197" i="4" s="1"/>
  <c r="BK983" i="2"/>
  <c r="BJ983" i="2"/>
  <c r="BK1140" i="2"/>
  <c r="BJ1140" i="2"/>
  <c r="BJ494" i="2"/>
  <c r="BK494" i="2"/>
  <c r="BJ1937" i="2"/>
  <c r="BK1937" i="2"/>
  <c r="BJ1204" i="2"/>
  <c r="BK1204" i="2"/>
  <c r="BJ453" i="2"/>
  <c r="BK453" i="2"/>
  <c r="BK537" i="2"/>
  <c r="BJ537" i="2"/>
  <c r="BK300" i="2"/>
  <c r="BJ300" i="2"/>
  <c r="BK2386" i="2"/>
  <c r="BJ2386" i="2"/>
  <c r="BK2244" i="2"/>
  <c r="BJ2244" i="2"/>
  <c r="BK37" i="2"/>
  <c r="J37" i="4" s="1"/>
  <c r="BJ37" i="2"/>
  <c r="I37" i="4" s="1"/>
  <c r="BK431" i="2"/>
  <c r="BJ431" i="2"/>
  <c r="BK1104" i="2"/>
  <c r="BJ1104" i="2"/>
  <c r="BK1094" i="2"/>
  <c r="BJ1094" i="2"/>
  <c r="BK1137" i="2"/>
  <c r="BJ1137" i="2"/>
  <c r="BK325" i="2"/>
  <c r="BJ325" i="2"/>
  <c r="BK2091" i="2"/>
  <c r="BJ2091" i="2"/>
  <c r="BJ759" i="2"/>
  <c r="BK759" i="2"/>
  <c r="BK867" i="2"/>
  <c r="BJ867" i="2"/>
  <c r="BJ994" i="2"/>
  <c r="BK994" i="2"/>
  <c r="BK1060" i="2"/>
  <c r="BJ1060" i="2"/>
  <c r="BK2500" i="2"/>
  <c r="BJ2500" i="2"/>
  <c r="BK1569" i="2"/>
  <c r="BJ1569" i="2"/>
  <c r="BK1008" i="2"/>
  <c r="BJ1008" i="2"/>
  <c r="BK748" i="2"/>
  <c r="BJ748" i="2"/>
  <c r="BJ243" i="2"/>
  <c r="BK243" i="2"/>
  <c r="BJ1518" i="2"/>
  <c r="BK1518" i="2"/>
  <c r="BK446" i="2"/>
  <c r="BJ446" i="2"/>
  <c r="BJ76" i="2"/>
  <c r="I76" i="4" s="1"/>
  <c r="BK76" i="2"/>
  <c r="J76" i="4" s="1"/>
  <c r="BJ1486" i="2"/>
  <c r="BK1486" i="2"/>
  <c r="BK518" i="2"/>
  <c r="BJ518" i="2"/>
  <c r="BK2012" i="2"/>
  <c r="BJ2012" i="2"/>
  <c r="BK1570" i="2"/>
  <c r="BJ1570" i="2"/>
  <c r="BJ126" i="2"/>
  <c r="I126" i="4" s="1"/>
  <c r="BK126" i="2"/>
  <c r="J126" i="4" s="1"/>
  <c r="BK1587" i="2"/>
  <c r="BJ1587" i="2"/>
  <c r="BJ1138" i="2"/>
  <c r="BK1138" i="2"/>
  <c r="BJ825" i="2"/>
  <c r="BK825" i="2"/>
  <c r="BJ1465" i="2"/>
  <c r="BK1465" i="2"/>
  <c r="BK2270" i="2"/>
  <c r="BJ2270" i="2"/>
  <c r="BK1225" i="2"/>
  <c r="BJ1225" i="2"/>
  <c r="BJ1027" i="2"/>
  <c r="BK1027" i="2"/>
  <c r="BJ88" i="2"/>
  <c r="I88" i="4" s="1"/>
  <c r="BK88" i="2"/>
  <c r="J88" i="4" s="1"/>
  <c r="BJ1566" i="2"/>
  <c r="BK1566" i="2"/>
  <c r="BK1966" i="2"/>
  <c r="BJ1966" i="2"/>
  <c r="BK323" i="2"/>
  <c r="BJ323" i="2"/>
  <c r="BK1804" i="2"/>
  <c r="BJ1804" i="2"/>
  <c r="BJ1918" i="2"/>
  <c r="BK1918" i="2"/>
  <c r="BK151" i="2"/>
  <c r="J151" i="4" s="1"/>
  <c r="BJ151" i="2"/>
  <c r="I151" i="4" s="1"/>
  <c r="BK307" i="2"/>
  <c r="BJ307" i="2"/>
  <c r="BK1102" i="2"/>
  <c r="BJ1102" i="2"/>
  <c r="BJ1595" i="2"/>
  <c r="BK1595" i="2"/>
  <c r="BK821" i="2"/>
  <c r="BJ821" i="2"/>
  <c r="BK475" i="2"/>
  <c r="BJ475" i="2"/>
  <c r="BK782" i="2"/>
  <c r="BJ782" i="2"/>
  <c r="BJ826" i="2"/>
  <c r="BK826" i="2"/>
  <c r="BJ1758" i="2"/>
  <c r="BK1758" i="2"/>
  <c r="BK45" i="2"/>
  <c r="J45" i="4" s="1"/>
  <c r="BJ45" i="2"/>
  <c r="I45" i="4" s="1"/>
  <c r="BK365" i="2"/>
  <c r="BJ365" i="2"/>
  <c r="BK2327" i="2"/>
  <c r="BJ2327" i="2"/>
  <c r="BJ2151" i="2"/>
  <c r="BK2151" i="2"/>
  <c r="BK101" i="2"/>
  <c r="J101" i="4" s="1"/>
  <c r="BJ101" i="2"/>
  <c r="I101" i="4" s="1"/>
  <c r="BJ1716" i="2"/>
  <c r="BK1716" i="2"/>
  <c r="BJ1826" i="2"/>
  <c r="BK1826" i="2"/>
  <c r="BK1168" i="2"/>
  <c r="BJ1168" i="2"/>
  <c r="BJ424" i="2"/>
  <c r="BK424" i="2"/>
  <c r="BJ1636" i="2"/>
  <c r="BK1636" i="2"/>
  <c r="BJ2450" i="2"/>
  <c r="BK2450" i="2"/>
  <c r="BJ709" i="2"/>
  <c r="BK709" i="2"/>
  <c r="BJ557" i="2"/>
  <c r="BK557" i="2"/>
  <c r="BK134" i="2"/>
  <c r="J134" i="4" s="1"/>
  <c r="BJ134" i="2"/>
  <c r="I134" i="4" s="1"/>
  <c r="BJ233" i="2"/>
  <c r="BK233" i="2"/>
  <c r="BJ1724" i="2"/>
  <c r="BK1724" i="2"/>
  <c r="BJ1742" i="2"/>
  <c r="BK1742" i="2"/>
  <c r="BK2304" i="2"/>
  <c r="BJ2304" i="2"/>
  <c r="BJ2401" i="2"/>
  <c r="BK2401" i="2"/>
  <c r="BJ2258" i="2"/>
  <c r="BK2258" i="2"/>
  <c r="BJ422" i="2"/>
  <c r="BK422" i="2"/>
  <c r="BJ86" i="2"/>
  <c r="I86" i="4" s="1"/>
  <c r="BK86" i="2"/>
  <c r="J86" i="4" s="1"/>
  <c r="BK827" i="2"/>
  <c r="BJ827" i="2"/>
  <c r="BK813" i="2"/>
  <c r="BJ813" i="2"/>
  <c r="BK23" i="2"/>
  <c r="J23" i="4" s="1"/>
  <c r="BJ23" i="2"/>
  <c r="I23" i="4" s="1"/>
  <c r="BJ2206" i="2"/>
  <c r="BK2206" i="2"/>
  <c r="BJ1323" i="2"/>
  <c r="BK1323" i="2"/>
  <c r="BK1289" i="2"/>
  <c r="BJ1289" i="2"/>
  <c r="BJ1506" i="2"/>
  <c r="BK1506" i="2"/>
  <c r="BK995" i="2"/>
  <c r="BJ995" i="2"/>
  <c r="BJ445" i="2"/>
  <c r="BK445" i="2"/>
  <c r="BJ1315" i="2"/>
  <c r="BK1315" i="2"/>
  <c r="BJ1427" i="2"/>
  <c r="BK1427" i="2"/>
  <c r="BK2296" i="2"/>
  <c r="BJ2296" i="2"/>
  <c r="BK283" i="2"/>
  <c r="BJ283" i="2"/>
  <c r="BJ2092" i="2"/>
  <c r="BK2092" i="2"/>
  <c r="BJ1305" i="2"/>
  <c r="BK1305" i="2"/>
  <c r="BK512" i="2"/>
  <c r="BJ512" i="2"/>
  <c r="BK143" i="2"/>
  <c r="J143" i="4" s="1"/>
  <c r="BJ143" i="2"/>
  <c r="I143" i="4" s="1"/>
  <c r="BJ731" i="2"/>
  <c r="BK731" i="2"/>
  <c r="BJ2247" i="2"/>
  <c r="BK2247" i="2"/>
  <c r="BK47" i="2"/>
  <c r="J47" i="4" s="1"/>
  <c r="BJ47" i="2"/>
  <c r="I47" i="4" s="1"/>
  <c r="BJ1720" i="2"/>
  <c r="BK1720" i="2"/>
  <c r="BK855" i="2"/>
  <c r="BJ855" i="2"/>
  <c r="BK1646" i="2"/>
  <c r="BJ1646" i="2"/>
  <c r="BJ526" i="2"/>
  <c r="BK526" i="2"/>
  <c r="BK1365" i="2"/>
  <c r="BJ1365" i="2"/>
  <c r="BK1871" i="2"/>
  <c r="BJ1871" i="2"/>
  <c r="BK145" i="2"/>
  <c r="J145" i="4" s="1"/>
  <c r="BJ145" i="2"/>
  <c r="I145" i="4" s="1"/>
  <c r="BJ1312" i="2"/>
  <c r="BK1312" i="2"/>
  <c r="BJ2468" i="2"/>
  <c r="BK2468" i="2"/>
  <c r="BK530" i="2"/>
  <c r="BJ530" i="2"/>
  <c r="BK727" i="2"/>
  <c r="BJ727" i="2"/>
  <c r="BJ2448" i="2"/>
  <c r="BK2448" i="2"/>
  <c r="BK25" i="2"/>
  <c r="J25" i="4" s="1"/>
  <c r="BJ25" i="2"/>
  <c r="I25" i="4" s="1"/>
  <c r="BK1529" i="2"/>
  <c r="BJ1529" i="2"/>
  <c r="BK208" i="2"/>
  <c r="BJ208" i="2"/>
  <c r="BJ2252" i="2"/>
  <c r="BK2252" i="2"/>
  <c r="BK1064" i="2"/>
  <c r="BJ1064" i="2"/>
  <c r="BK221" i="2"/>
  <c r="BJ221" i="2"/>
  <c r="BK752" i="2"/>
  <c r="BJ752" i="2"/>
  <c r="BK237" i="2"/>
  <c r="BJ237" i="2"/>
  <c r="BJ2154" i="2"/>
  <c r="BK2154" i="2"/>
  <c r="BK930" i="2"/>
  <c r="BJ930" i="2"/>
  <c r="BJ2186" i="2"/>
  <c r="BK2186" i="2"/>
  <c r="BJ1824" i="2"/>
  <c r="BK1824" i="2"/>
  <c r="BJ875" i="2"/>
  <c r="BK875" i="2"/>
  <c r="BK411" i="2"/>
  <c r="BJ411" i="2"/>
  <c r="BJ669" i="2"/>
  <c r="BK669" i="2"/>
  <c r="BJ831" i="2"/>
  <c r="BK831" i="2"/>
  <c r="BK1135" i="2"/>
  <c r="BJ1135" i="2"/>
  <c r="BK1121" i="2"/>
  <c r="BJ1121" i="2"/>
  <c r="BK1491" i="2"/>
  <c r="BJ1491" i="2"/>
  <c r="BJ1291" i="2"/>
  <c r="BK1291" i="2"/>
  <c r="BJ1512" i="2"/>
  <c r="BK1512" i="2"/>
  <c r="BJ33" i="2"/>
  <c r="I33" i="4" s="1"/>
  <c r="BK33" i="2"/>
  <c r="J33" i="4" s="1"/>
  <c r="BK1559" i="2"/>
  <c r="BJ1559" i="2"/>
  <c r="BJ2240" i="2"/>
  <c r="BK2240" i="2"/>
  <c r="BK345" i="2"/>
  <c r="BJ345" i="2"/>
  <c r="BK257" i="2"/>
  <c r="BJ257" i="2"/>
  <c r="BJ403" i="2"/>
  <c r="BK403" i="2"/>
  <c r="BK1613" i="2"/>
  <c r="BJ1613" i="2"/>
  <c r="BK481" i="2"/>
  <c r="BJ481" i="2"/>
  <c r="BJ1715" i="2"/>
  <c r="BK1715" i="2"/>
  <c r="BK183" i="2"/>
  <c r="J183" i="4" s="1"/>
  <c r="BJ183" i="2"/>
  <c r="I183" i="4" s="1"/>
  <c r="BJ105" i="2"/>
  <c r="I105" i="4" s="1"/>
  <c r="BK105" i="2"/>
  <c r="J105" i="4" s="1"/>
  <c r="BJ1501" i="2"/>
  <c r="BK1501" i="2"/>
  <c r="BK425" i="2"/>
  <c r="BJ425" i="2"/>
  <c r="BJ479" i="2"/>
  <c r="BK479" i="2"/>
  <c r="BK1735" i="2"/>
  <c r="BJ1735" i="2"/>
  <c r="BK963" i="2"/>
  <c r="BJ963" i="2"/>
  <c r="BK1868" i="2"/>
  <c r="BJ1868" i="2"/>
  <c r="BK2078" i="2"/>
  <c r="BJ2078" i="2"/>
  <c r="BK2232" i="2"/>
  <c r="BJ2232" i="2"/>
  <c r="BJ36" i="2"/>
  <c r="I36" i="4" s="1"/>
  <c r="BK36" i="2"/>
  <c r="J36" i="4" s="1"/>
  <c r="BK107" i="2"/>
  <c r="J107" i="4" s="1"/>
  <c r="BJ107" i="2"/>
  <c r="I107" i="4" s="1"/>
  <c r="BK1211" i="2"/>
  <c r="BJ1211" i="2"/>
  <c r="BK1349" i="2"/>
  <c r="BJ1349" i="2"/>
  <c r="BK2319" i="2"/>
  <c r="BJ2319" i="2"/>
  <c r="BJ1956" i="2"/>
  <c r="BK1956" i="2"/>
  <c r="BJ1492" i="2"/>
  <c r="BK1492" i="2"/>
  <c r="BJ502" i="2"/>
  <c r="BK502" i="2"/>
  <c r="BK5" i="2"/>
  <c r="J5" i="4" s="1"/>
  <c r="BJ5" i="2"/>
  <c r="I5" i="4" s="1"/>
  <c r="BJ1692" i="2"/>
  <c r="BK1692" i="2"/>
  <c r="BJ1284" i="2"/>
  <c r="BK1284" i="2"/>
  <c r="BK1269" i="2"/>
  <c r="BJ1269" i="2"/>
  <c r="BK1605" i="2"/>
  <c r="BJ1605" i="2"/>
  <c r="BJ1376" i="2"/>
  <c r="BK1376" i="2"/>
  <c r="BK1313" i="2"/>
  <c r="BJ1313" i="2"/>
  <c r="BK972" i="2"/>
  <c r="BJ972" i="2"/>
  <c r="BJ1690" i="2"/>
  <c r="BK1690" i="2"/>
  <c r="BK2145" i="2"/>
  <c r="BJ2145" i="2"/>
  <c r="BK1525" i="2"/>
  <c r="BJ1525" i="2"/>
  <c r="BJ2397" i="2"/>
  <c r="BK2397" i="2"/>
  <c r="BJ273" i="2"/>
  <c r="BK273" i="2"/>
  <c r="BJ2403" i="2"/>
  <c r="BK2403" i="2"/>
  <c r="BJ797" i="2"/>
  <c r="BK797" i="2"/>
  <c r="BK531" i="2"/>
  <c r="BJ531" i="2"/>
  <c r="BJ753" i="2"/>
  <c r="BK753" i="2"/>
  <c r="BJ878" i="2"/>
  <c r="BK878" i="2"/>
  <c r="BJ50" i="2"/>
  <c r="I50" i="4" s="1"/>
  <c r="BK50" i="2"/>
  <c r="J50" i="4" s="1"/>
  <c r="BJ2203" i="2"/>
  <c r="BK2203" i="2"/>
  <c r="BJ2299" i="2"/>
  <c r="BK2299" i="2"/>
  <c r="BK1565" i="2"/>
  <c r="BJ1565" i="2"/>
  <c r="BJ1072" i="2"/>
  <c r="BK1072" i="2"/>
  <c r="BK1247" i="2"/>
  <c r="BJ1247" i="2"/>
  <c r="BJ261" i="2"/>
  <c r="BK261" i="2"/>
  <c r="BJ55" i="2"/>
  <c r="I55" i="4" s="1"/>
  <c r="BK55" i="2"/>
  <c r="J55" i="4" s="1"/>
  <c r="BK1768" i="2"/>
  <c r="BJ1768" i="2"/>
  <c r="BJ1062" i="2"/>
  <c r="BK1062" i="2"/>
  <c r="BJ229" i="2"/>
  <c r="BK229" i="2"/>
  <c r="BK415" i="2"/>
  <c r="BJ415" i="2"/>
  <c r="BK841" i="2"/>
  <c r="BJ841" i="2"/>
  <c r="BK2038" i="2"/>
  <c r="BJ2038" i="2"/>
  <c r="BJ299" i="2"/>
  <c r="BK299" i="2"/>
  <c r="BK293" i="2"/>
  <c r="BJ293" i="2"/>
  <c r="BJ1369" i="2"/>
  <c r="BK1369" i="2"/>
  <c r="BK2253" i="2"/>
  <c r="BJ2253" i="2"/>
  <c r="BJ2259" i="2"/>
  <c r="BK2259" i="2"/>
  <c r="BJ2094" i="2"/>
  <c r="BK2094" i="2"/>
  <c r="BK1844" i="2"/>
  <c r="BJ1844" i="2"/>
  <c r="BK1681" i="2"/>
  <c r="BJ1681" i="2"/>
  <c r="BK2347" i="2"/>
  <c r="BJ2347" i="2"/>
  <c r="BJ2371" i="2"/>
  <c r="BK2371" i="2"/>
  <c r="BK1854" i="2"/>
  <c r="BJ1854" i="2"/>
  <c r="BK1245" i="2"/>
  <c r="BJ1245" i="2"/>
  <c r="BJ48" i="2"/>
  <c r="I48" i="4" s="1"/>
  <c r="BK48" i="2"/>
  <c r="J48" i="4" s="1"/>
  <c r="BK1532" i="2"/>
  <c r="BJ1532" i="2"/>
  <c r="BK457" i="2"/>
  <c r="BJ457" i="2"/>
  <c r="BJ357" i="2"/>
  <c r="BK357" i="2"/>
  <c r="B10" i="3" l="1"/>
  <c r="B9" i="3"/>
  <c r="B8" i="3"/>
  <c r="B7" i="3"/>
  <c r="B6" i="3"/>
  <c r="B3" i="3"/>
  <c r="B5" i="3"/>
  <c r="B4" i="3"/>
</calcChain>
</file>

<file path=xl/sharedStrings.xml><?xml version="1.0" encoding="utf-8"?>
<sst xmlns="http://schemas.openxmlformats.org/spreadsheetml/2006/main" count="133" uniqueCount="118">
  <si>
    <t>Key Inputs</t>
  </si>
  <si>
    <t>Triangular Params</t>
  </si>
  <si>
    <t>Normal/Truncated Params</t>
  </si>
  <si>
    <t>Target_Base_Revenue</t>
  </si>
  <si>
    <t>Target_Base_EBITDA_Margin</t>
  </si>
  <si>
    <t>Hold_Period_Years</t>
  </si>
  <si>
    <t>Corp_Tax_Rate</t>
  </si>
  <si>
    <t>Maintenance_Capex_%_Revenue</t>
  </si>
  <si>
    <t>WC_Reinvestment_%_Incremental_Revenue</t>
  </si>
  <si>
    <t>Transaction_Costs_%_EV</t>
  </si>
  <si>
    <t>Integration_Costs_%_Yr1_Revenue</t>
  </si>
  <si>
    <t>Debt_Interest_Rate</t>
  </si>
  <si>
    <t>Debt_%_EV</t>
  </si>
  <si>
    <t>Equity_%_EV</t>
  </si>
  <si>
    <t>Hurdle_IRR</t>
  </si>
  <si>
    <t>Selling_Costs_%_ExitEV</t>
  </si>
  <si>
    <t>Simulations</t>
  </si>
  <si>
    <t>Purchase_Low</t>
  </si>
  <si>
    <t>Purchase_Mode</t>
  </si>
  <si>
    <t>Purchase_High</t>
  </si>
  <si>
    <t>Exit_Low</t>
  </si>
  <si>
    <t>Exit_Mode</t>
  </si>
  <si>
    <t>Exit_High</t>
  </si>
  <si>
    <t>Rev_CAGR_Mean</t>
  </si>
  <si>
    <t>Rev_CAGR_SD</t>
  </si>
  <si>
    <t>Rev_CAGR_Min</t>
  </si>
  <si>
    <t>Rev_CAGR_Max</t>
  </si>
  <si>
    <t>Synergy_Margin_Mean</t>
  </si>
  <si>
    <t>Synergy_Margin_SD</t>
  </si>
  <si>
    <t>Synergy_Margin_Min</t>
  </si>
  <si>
    <t>Synergy_Margin_Max</t>
  </si>
  <si>
    <t>Yr1_Shock_Mean</t>
  </si>
  <si>
    <t>Yr1_Shock_SD</t>
  </si>
  <si>
    <t>Yr1_Shock_Min</t>
  </si>
  <si>
    <t>Yr1_Shock_Max</t>
  </si>
  <si>
    <t>Synergy_Realization_Y1</t>
  </si>
  <si>
    <t>Synergy_Realization_Y2toY5</t>
  </si>
  <si>
    <t>Run</t>
  </si>
  <si>
    <t>p1</t>
  </si>
  <si>
    <t>PurchaseMultiple</t>
  </si>
  <si>
    <t>p2</t>
  </si>
  <si>
    <t>ExitMultiple</t>
  </si>
  <si>
    <t>u1</t>
  </si>
  <si>
    <t>RevCAGR_raw</t>
  </si>
  <si>
    <t>RevCAGR</t>
  </si>
  <si>
    <t>u2</t>
  </si>
  <si>
    <t>SynMargin_raw</t>
  </si>
  <si>
    <t>SynMargin</t>
  </si>
  <si>
    <t>u4</t>
  </si>
  <si>
    <t>Yr1Shock_raw</t>
  </si>
  <si>
    <t>Yr1Shock</t>
  </si>
  <si>
    <t>BaseEBITDA</t>
  </si>
  <si>
    <t>EntryEV</t>
  </si>
  <si>
    <t>TxnCosts</t>
  </si>
  <si>
    <t>Debt</t>
  </si>
  <si>
    <t>Equity</t>
  </si>
  <si>
    <t>Y1_Rev</t>
  </si>
  <si>
    <t>Y2_Rev</t>
  </si>
  <si>
    <t>Y3_Rev</t>
  </si>
  <si>
    <t>Y4_Rev</t>
  </si>
  <si>
    <t>Y5_Rev</t>
  </si>
  <si>
    <t>Y1_Margin</t>
  </si>
  <si>
    <t>Y2_5_Margin</t>
  </si>
  <si>
    <t>Y1_EBITDA</t>
  </si>
  <si>
    <t>Y2_EBITDA</t>
  </si>
  <si>
    <t>Y3_EBITDA</t>
  </si>
  <si>
    <t>Y4_EBITDA</t>
  </si>
  <si>
    <t>Y5_EBITDA</t>
  </si>
  <si>
    <t>Y1_Capex</t>
  </si>
  <si>
    <t>Y2_Capex</t>
  </si>
  <si>
    <t>Y3_Capex</t>
  </si>
  <si>
    <t>Y4_Capex</t>
  </si>
  <si>
    <t>Y5_Capex</t>
  </si>
  <si>
    <t>Y1_WC</t>
  </si>
  <si>
    <t>Y2_WC</t>
  </si>
  <si>
    <t>Y3_WC</t>
  </si>
  <si>
    <t>Y4_WC</t>
  </si>
  <si>
    <t>Y5_WC</t>
  </si>
  <si>
    <t>Interest</t>
  </si>
  <si>
    <t>Y1_Tax</t>
  </si>
  <si>
    <t>Y2_Tax</t>
  </si>
  <si>
    <t>Y3_Tax</t>
  </si>
  <si>
    <t>Y4_Tax</t>
  </si>
  <si>
    <t>Y5_Tax</t>
  </si>
  <si>
    <t>Y1_FCF</t>
  </si>
  <si>
    <t>Y2_FCF</t>
  </si>
  <si>
    <t>Y3_FCF</t>
  </si>
  <si>
    <t>Y4_FCF</t>
  </si>
  <si>
    <t>Y5_FCF</t>
  </si>
  <si>
    <t>ExitEV</t>
  </si>
  <si>
    <t>SellCosts</t>
  </si>
  <si>
    <t>EquityExit</t>
  </si>
  <si>
    <t>CF0</t>
  </si>
  <si>
    <t>CF1</t>
  </si>
  <si>
    <t>CF2</t>
  </si>
  <si>
    <t>CF3</t>
  </si>
  <si>
    <t>CF4</t>
  </si>
  <si>
    <t>CF5</t>
  </si>
  <si>
    <t>IRR</t>
  </si>
  <si>
    <t>NPV_12%</t>
  </si>
  <si>
    <t>Metric</t>
  </si>
  <si>
    <t>Value</t>
  </si>
  <si>
    <t>HeadersRef</t>
  </si>
  <si>
    <t>DataRef</t>
  </si>
  <si>
    <t>Simulations (rows)</t>
  </si>
  <si>
    <t>Mean IRR</t>
  </si>
  <si>
    <t>Median IRR</t>
  </si>
  <si>
    <t>P25 IRR</t>
  </si>
  <si>
    <t>P75 IRR</t>
  </si>
  <si>
    <t>P90 IRR</t>
  </si>
  <si>
    <t>Prob(IRR &gt; 15%)</t>
  </si>
  <si>
    <t>Mean NPV ($)</t>
  </si>
  <si>
    <t>Median NPV ($)</t>
  </si>
  <si>
    <t>Entry EV (mean, $)</t>
  </si>
  <si>
    <t>Exit EV (mean, $)</t>
  </si>
  <si>
    <t>Avg Purchase Multiple (x)</t>
  </si>
  <si>
    <t>Avg Exit Multiple (x)</t>
  </si>
  <si>
    <t>Hurdle IRR (from Inputs)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</si>
</sst>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3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1" fillId="3" borderId="1" xfId="0" applyFont="1" applyFill="1" applyBorder="1"/>
    <xf numFmtId="0" fontId="2" fillId="0" borderId="0" xfId="0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"/>
  <sheetViews>
    <sheetView tabSelected="1" workbookViewId="0">
      <selection sqref="A1:XFD1048576"/>
    </sheetView>
  </sheetViews>
  <sheetFormatPr defaultRowHeight="13" x14ac:dyDescent="0.3"/>
  <cols>
    <col min="1" max="1" width="48.1796875" style="4" bestFit="1" customWidth="1"/>
    <col min="2" max="2" width="11.1796875" style="4" bestFit="1" customWidth="1"/>
    <col min="3" max="3" width="20.453125" style="4" bestFit="1" customWidth="1"/>
    <col min="4" max="4" width="4.81640625" style="4" bestFit="1" customWidth="1"/>
    <col min="5" max="5" width="29.7265625" style="4" bestFit="1" customWidth="1"/>
    <col min="6" max="6" width="7.36328125" style="4" bestFit="1" customWidth="1"/>
    <col min="7" max="16384" width="8.7265625" style="4"/>
  </cols>
  <sheetData>
    <row r="1" spans="1:6" x14ac:dyDescent="0.3">
      <c r="A1" s="3" t="s">
        <v>0</v>
      </c>
      <c r="C1" s="3" t="s">
        <v>1</v>
      </c>
      <c r="E1" s="3" t="s">
        <v>2</v>
      </c>
    </row>
    <row r="2" spans="1:6" x14ac:dyDescent="0.3">
      <c r="A2" s="4" t="s">
        <v>3</v>
      </c>
      <c r="B2" s="4">
        <v>50000000</v>
      </c>
      <c r="C2" s="4" t="s">
        <v>17</v>
      </c>
      <c r="D2" s="4">
        <v>6</v>
      </c>
      <c r="E2" s="4" t="s">
        <v>23</v>
      </c>
      <c r="F2" s="4">
        <v>0.04</v>
      </c>
    </row>
    <row r="3" spans="1:6" x14ac:dyDescent="0.3">
      <c r="A3" s="4" t="s">
        <v>4</v>
      </c>
      <c r="B3" s="4">
        <v>0.12</v>
      </c>
      <c r="C3" s="4" t="s">
        <v>18</v>
      </c>
      <c r="D3" s="4">
        <v>7</v>
      </c>
      <c r="E3" s="4" t="s">
        <v>24</v>
      </c>
      <c r="F3" s="4">
        <v>0.03</v>
      </c>
    </row>
    <row r="4" spans="1:6" x14ac:dyDescent="0.3">
      <c r="A4" s="4" t="s">
        <v>5</v>
      </c>
      <c r="B4" s="4">
        <v>5</v>
      </c>
      <c r="C4" s="4" t="s">
        <v>19</v>
      </c>
      <c r="D4" s="4">
        <v>8</v>
      </c>
      <c r="E4" s="4" t="s">
        <v>25</v>
      </c>
      <c r="F4" s="4">
        <v>-0.02</v>
      </c>
    </row>
    <row r="5" spans="1:6" x14ac:dyDescent="0.3">
      <c r="A5" s="4" t="s">
        <v>6</v>
      </c>
      <c r="B5" s="4">
        <v>0.26</v>
      </c>
      <c r="C5" s="4" t="s">
        <v>20</v>
      </c>
      <c r="D5" s="4">
        <v>6.5</v>
      </c>
      <c r="E5" s="4" t="s">
        <v>26</v>
      </c>
      <c r="F5" s="4">
        <v>0.12</v>
      </c>
    </row>
    <row r="6" spans="1:6" x14ac:dyDescent="0.3">
      <c r="A6" s="4" t="s">
        <v>7</v>
      </c>
      <c r="B6" s="4">
        <v>0.02</v>
      </c>
      <c r="C6" s="4" t="s">
        <v>21</v>
      </c>
      <c r="D6" s="4">
        <v>7.5</v>
      </c>
      <c r="E6" s="4" t="s">
        <v>27</v>
      </c>
      <c r="F6" s="4">
        <v>0.01</v>
      </c>
    </row>
    <row r="7" spans="1:6" x14ac:dyDescent="0.3">
      <c r="A7" s="4" t="s">
        <v>8</v>
      </c>
      <c r="B7" s="4">
        <v>0.01</v>
      </c>
      <c r="C7" s="4" t="s">
        <v>22</v>
      </c>
      <c r="D7" s="4">
        <v>8.5</v>
      </c>
      <c r="E7" s="4" t="s">
        <v>28</v>
      </c>
      <c r="F7" s="4">
        <v>5.0000000000000001E-3</v>
      </c>
    </row>
    <row r="8" spans="1:6" x14ac:dyDescent="0.3">
      <c r="A8" s="4" t="s">
        <v>9</v>
      </c>
      <c r="B8" s="4">
        <v>2.5000000000000001E-2</v>
      </c>
      <c r="E8" s="4" t="s">
        <v>29</v>
      </c>
      <c r="F8" s="4">
        <v>0</v>
      </c>
    </row>
    <row r="9" spans="1:6" x14ac:dyDescent="0.3">
      <c r="A9" s="4" t="s">
        <v>10</v>
      </c>
      <c r="B9" s="4">
        <v>0.01</v>
      </c>
      <c r="E9" s="4" t="s">
        <v>30</v>
      </c>
      <c r="F9" s="4">
        <v>0.03</v>
      </c>
    </row>
    <row r="10" spans="1:6" x14ac:dyDescent="0.3">
      <c r="A10" s="4" t="s">
        <v>11</v>
      </c>
      <c r="B10" s="4">
        <v>0.09</v>
      </c>
      <c r="E10" s="4" t="s">
        <v>31</v>
      </c>
      <c r="F10" s="4">
        <v>0</v>
      </c>
    </row>
    <row r="11" spans="1:6" x14ac:dyDescent="0.3">
      <c r="A11" s="4" t="s">
        <v>12</v>
      </c>
      <c r="B11" s="4">
        <v>0.6</v>
      </c>
      <c r="E11" s="4" t="s">
        <v>32</v>
      </c>
      <c r="F11" s="4">
        <v>0.02</v>
      </c>
    </row>
    <row r="12" spans="1:6" x14ac:dyDescent="0.3">
      <c r="A12" s="4" t="s">
        <v>13</v>
      </c>
      <c r="B12" s="4">
        <v>0.4</v>
      </c>
      <c r="E12" s="4" t="s">
        <v>33</v>
      </c>
      <c r="F12" s="4">
        <v>-0.05</v>
      </c>
    </row>
    <row r="13" spans="1:6" x14ac:dyDescent="0.3">
      <c r="A13" s="4" t="s">
        <v>14</v>
      </c>
      <c r="B13" s="4">
        <v>0.15</v>
      </c>
      <c r="E13" s="4" t="s">
        <v>34</v>
      </c>
      <c r="F13" s="4">
        <v>0.05</v>
      </c>
    </row>
    <row r="14" spans="1:6" x14ac:dyDescent="0.3">
      <c r="A14" s="4" t="s">
        <v>15</v>
      </c>
      <c r="B14" s="4">
        <v>0.02</v>
      </c>
    </row>
    <row r="15" spans="1:6" x14ac:dyDescent="0.3">
      <c r="A15" s="4" t="s">
        <v>16</v>
      </c>
      <c r="B15" s="4">
        <v>2500</v>
      </c>
    </row>
    <row r="18" spans="1:2" x14ac:dyDescent="0.3">
      <c r="A18" s="4" t="s">
        <v>35</v>
      </c>
      <c r="B18" s="4">
        <v>0.5</v>
      </c>
    </row>
    <row r="19" spans="1:2" x14ac:dyDescent="0.3">
      <c r="A19" s="4" t="s">
        <v>36</v>
      </c>
      <c r="B19" s="4">
        <v>0.7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2501"/>
  <sheetViews>
    <sheetView topLeftCell="BA1" workbookViewId="0">
      <selection activeCell="BA1" sqref="A1:XFD1048576"/>
    </sheetView>
  </sheetViews>
  <sheetFormatPr defaultRowHeight="13" x14ac:dyDescent="0.3"/>
  <cols>
    <col min="1" max="1" width="6.08984375" style="2" bestFit="1" customWidth="1"/>
    <col min="2" max="2" width="15.08984375" style="2" bestFit="1" customWidth="1"/>
    <col min="3" max="3" width="19.81640625" style="2" bestFit="1" customWidth="1"/>
    <col min="4" max="6" width="15.08984375" style="2" bestFit="1" customWidth="1"/>
    <col min="7" max="7" width="16.36328125" style="2" bestFit="1" customWidth="1"/>
    <col min="8" max="8" width="15.90625" style="2" bestFit="1" customWidth="1"/>
    <col min="9" max="9" width="15.08984375" style="2" bestFit="1" customWidth="1"/>
    <col min="10" max="10" width="17.81640625" style="2" bestFit="1" customWidth="1"/>
    <col min="11" max="12" width="15.08984375" style="2" bestFit="1" customWidth="1"/>
    <col min="13" max="13" width="16.1796875" style="2" bestFit="1" customWidth="1"/>
    <col min="14" max="14" width="15.90625" style="2" bestFit="1" customWidth="1"/>
    <col min="15" max="15" width="13.90625" style="2" bestFit="1" customWidth="1"/>
    <col min="16" max="36" width="15.08984375" style="2" bestFit="1" customWidth="1"/>
    <col min="37" max="37" width="8.54296875" style="2" bestFit="1" customWidth="1"/>
    <col min="38" max="55" width="15.08984375" style="2" bestFit="1" customWidth="1"/>
    <col min="56" max="56" width="15.90625" style="2" bestFit="1" customWidth="1"/>
    <col min="57" max="62" width="15.08984375" style="2" bestFit="1" customWidth="1"/>
    <col min="63" max="63" width="15.90625" style="2" bestFit="1" customWidth="1"/>
    <col min="64" max="16384" width="8.7265625" style="2"/>
  </cols>
  <sheetData>
    <row r="1" spans="1:63" x14ac:dyDescent="0.3">
      <c r="A1" s="1" t="s">
        <v>37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55</v>
      </c>
      <c r="T1" s="1" t="s">
        <v>56</v>
      </c>
      <c r="U1" s="1" t="s">
        <v>57</v>
      </c>
      <c r="V1" s="1" t="s">
        <v>58</v>
      </c>
      <c r="W1" s="1" t="s">
        <v>59</v>
      </c>
      <c r="X1" s="1" t="s">
        <v>60</v>
      </c>
      <c r="Y1" s="1" t="s">
        <v>61</v>
      </c>
      <c r="Z1" s="1" t="s">
        <v>62</v>
      </c>
      <c r="AA1" s="1" t="s">
        <v>63</v>
      </c>
      <c r="AB1" s="1" t="s">
        <v>64</v>
      </c>
      <c r="AC1" s="1" t="s">
        <v>65</v>
      </c>
      <c r="AD1" s="1" t="s">
        <v>66</v>
      </c>
      <c r="AE1" s="1" t="s">
        <v>67</v>
      </c>
      <c r="AF1" s="1" t="s">
        <v>68</v>
      </c>
      <c r="AG1" s="1" t="s">
        <v>69</v>
      </c>
      <c r="AH1" s="1" t="s">
        <v>70</v>
      </c>
      <c r="AI1" s="1" t="s">
        <v>71</v>
      </c>
      <c r="AJ1" s="1" t="s">
        <v>72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</row>
    <row r="2" spans="1:63" x14ac:dyDescent="0.3">
      <c r="A2" s="2">
        <v>1</v>
      </c>
      <c r="B2" s="2">
        <f t="shared" ref="B2:B65" ca="1" si="0">RAND()</f>
        <v>0.90974003625634592</v>
      </c>
      <c r="C2" s="2">
        <f t="shared" ref="C2:C65" ca="1" si="1">IF(B2&lt;((P_Mode)-(P_Low))/((P_High)-(P_Low)), (P_Low)+SQRT(B2*((P_High)-(P_Low))*((P_Mode)-(P_Low))), (P_High)-SQRT((1-B2)*((P_High)-(P_Low))*((P_High)-(P_Mode))))</f>
        <v>7.5751236327032201</v>
      </c>
      <c r="D2" s="2">
        <f t="shared" ref="D2:D65" ca="1" si="2">RAND()</f>
        <v>0.55746299664216203</v>
      </c>
      <c r="E2" s="2">
        <f t="shared" ref="E2:E65" ca="1" si="3">IF(D2&lt;((X_Mode)-(X_Low))/((X_High)-(X_Low)), (X_Low)+SQRT(D2*((X_High)-(X_Low))*((X_Mode)-(X_Low))), (X_High)-SQRT((1-D2)*((X_High)-(X_Low))*((X_High)-(X_Mode))))</f>
        <v>7.5592162805853427</v>
      </c>
      <c r="F2" s="2">
        <f t="shared" ref="F2:F65" ca="1" si="4">RAND()</f>
        <v>0.20708076497935712</v>
      </c>
      <c r="G2" s="2">
        <f t="shared" ref="G2:G65" ca="1" si="5">NORMINV(F2, g_Mean, g_SD)</f>
        <v>1.5502234833996043E-2</v>
      </c>
      <c r="H2" s="2">
        <f t="shared" ref="H2:H65" ca="1" si="6">MIN(MAX(G2, g_Min), g_Max)</f>
        <v>1.5502234833996043E-2</v>
      </c>
      <c r="I2" s="2">
        <f t="shared" ref="I2:I65" ca="1" si="7">RAND()</f>
        <v>0.62628970885666502</v>
      </c>
      <c r="J2" s="2">
        <f t="shared" ref="J2:J65" ca="1" si="8">NORMINV(I2, syn_Mean, syn_SD)</f>
        <v>1.161021194249332E-2</v>
      </c>
      <c r="K2" s="2">
        <f t="shared" ref="K2:K65" ca="1" si="9">MIN(MAX(J2, syn_Min), syn_Max)</f>
        <v>1.161021194249332E-2</v>
      </c>
      <c r="L2" s="2">
        <f t="shared" ref="L2:L65" ca="1" si="10">RAND()</f>
        <v>0.26893874450413169</v>
      </c>
      <c r="M2" s="2">
        <f t="shared" ref="M2:M65" ca="1" si="11">NORMINV(L2, shk_Mean, shk_SD)</f>
        <v>-1.2320516090551426E-2</v>
      </c>
      <c r="N2" s="2">
        <f t="shared" ref="N2:N65" ca="1" si="12">MIN(MAX(M2, shk_Min), shk_Max)</f>
        <v>-1.2320516090551426E-2</v>
      </c>
      <c r="O2" s="2">
        <f t="shared" ref="O2:O65" si="13">BaseRev*BaseMargin</f>
        <v>6000000</v>
      </c>
      <c r="P2" s="2">
        <f t="shared" ref="P2:P65" ca="1" si="14">O2*C2</f>
        <v>45450741.796219319</v>
      </c>
      <c r="Q2" s="2">
        <f t="shared" ref="Q2:Q65" ca="1" si="15">P2*TxnCostPct</f>
        <v>1136268.544905483</v>
      </c>
      <c r="R2" s="2">
        <f t="shared" ref="R2:R65" ca="1" si="16">P2*DebtPct</f>
        <v>27270445.077731591</v>
      </c>
      <c r="S2" s="2">
        <f t="shared" ref="S2:S65" ca="1" si="17">P2*EqPct</f>
        <v>18180296.718487728</v>
      </c>
      <c r="T2" s="2">
        <f t="shared" ref="T2:T65" ca="1" si="18">BaseRev*(1+N2)</f>
        <v>49383974.195472427</v>
      </c>
      <c r="U2" s="2">
        <f t="shared" ref="U2:U65" ca="1" si="19">T2*(1+H2)</f>
        <v>50149536.160486639</v>
      </c>
      <c r="V2" s="2">
        <f t="shared" ref="V2:V65" ca="1" si="20">U2*(1+H2)</f>
        <v>50926966.046862476</v>
      </c>
      <c r="W2" s="2">
        <f t="shared" ref="W2:W65" ca="1" si="21">V2*(1+H2)</f>
        <v>51716447.833903871</v>
      </c>
      <c r="X2" s="2">
        <f t="shared" ref="X2:X65" ca="1" si="22">W2*(1+H2)</f>
        <v>52518168.353005148</v>
      </c>
      <c r="Y2" s="2">
        <f t="shared" ref="Y2:Y65" ca="1" si="23">BaseMargin + SynReal_Y1*K2</f>
        <v>0.12580510597124667</v>
      </c>
      <c r="Z2" s="2">
        <f t="shared" ref="Z2:Z65" ca="1" si="24">BaseMargin + SynReal_Y2toY5*K2</f>
        <v>0.12812714835974531</v>
      </c>
      <c r="AA2" s="2">
        <f t="shared" ref="AA2:AA65" ca="1" si="25">T2*Y2</f>
        <v>6212756.1069427198</v>
      </c>
      <c r="AB2" s="2">
        <f t="shared" ref="AB2:AB65" ca="1" si="26">U2*Z2</f>
        <v>6425517.0598070836</v>
      </c>
      <c r="AC2" s="2">
        <f t="shared" ref="AC2:AC65" ca="1" si="27">V2*Z2</f>
        <v>6525126.934198061</v>
      </c>
      <c r="AD2" s="2">
        <f t="shared" ref="AD2:AD65" ca="1" si="28">W2*Z2</f>
        <v>6626280.98425363</v>
      </c>
      <c r="AE2" s="2">
        <f t="shared" ref="AE2:AE65" ca="1" si="29">X2*Z2</f>
        <v>6729003.1481475718</v>
      </c>
      <c r="AF2" s="2">
        <f t="shared" ref="AF2:AF65" ca="1" si="30">T2*CapexPct</f>
        <v>987679.48390944861</v>
      </c>
      <c r="AG2" s="2">
        <f t="shared" ref="AG2:AG65" ca="1" si="31">U2*CapexPct</f>
        <v>1002990.7232097328</v>
      </c>
      <c r="AH2" s="2">
        <f t="shared" ref="AH2:AH65" ca="1" si="32">V2*CapexPct</f>
        <v>1018539.3209372496</v>
      </c>
      <c r="AI2" s="2">
        <f t="shared" ref="AI2:AI65" ca="1" si="33">W2*CapexPct</f>
        <v>1034328.9566780775</v>
      </c>
      <c r="AJ2" s="2">
        <f t="shared" ref="AJ2:AJ65" ca="1" si="34">X2*CapexPct</f>
        <v>1050363.367060103</v>
      </c>
      <c r="AK2" s="2">
        <f t="shared" ref="AK2:AK65" ca="1" si="35">MAX(T2-BaseRev*(1+N2),0)*WCPct</f>
        <v>0</v>
      </c>
      <c r="AL2" s="2">
        <f t="shared" ref="AL2:AL65" ca="1" si="36">MAX(U2-T2,0)*WCPct</f>
        <v>7655.6196501421182</v>
      </c>
      <c r="AM2" s="2">
        <f t="shared" ref="AM2:AM65" ca="1" si="37">MAX(V2-U2,0)*WCPct</f>
        <v>7774.2988637583703</v>
      </c>
      <c r="AN2" s="2">
        <f t="shared" ref="AN2:AN65" ca="1" si="38">MAX(W2-V2,0)*WCPct</f>
        <v>7894.8178704139591</v>
      </c>
      <c r="AO2" s="2">
        <f t="shared" ref="AO2:AO65" ca="1" si="39">MAX(X2-W2,0)*WCPct</f>
        <v>8017.2051910127702</v>
      </c>
      <c r="AP2" s="2">
        <f t="shared" ref="AP2:AP65" ca="1" si="40">R2*DebtRate</f>
        <v>2454340.0569958431</v>
      </c>
      <c r="AQ2" s="2">
        <f t="shared" ref="AQ2:AQ65" ca="1" si="41">MAX(AA2-AF2-AP2,0)*Tax</f>
        <v>720391.50716973131</v>
      </c>
      <c r="AR2" s="2">
        <f t="shared" ref="AR2:AR65" ca="1" si="42">MAX(AB2-AG2-AP2,0)*Tax</f>
        <v>771728.43269639194</v>
      </c>
      <c r="AS2" s="2">
        <f t="shared" ref="AS2:AS65" ca="1" si="43">MAX(AC2-AH2-AP2,0)*Tax</f>
        <v>793584.36462889169</v>
      </c>
      <c r="AT2" s="2">
        <f t="shared" ref="AT2:AT65" ca="1" si="44">MAX(AD2-AI2-AP2,0)*Tax</f>
        <v>815779.11235072452</v>
      </c>
      <c r="AU2" s="2">
        <f t="shared" ref="AU2:AU65" ca="1" si="45">MAX(AE2-AJ2-AP2,0)*Tax</f>
        <v>838317.9282638228</v>
      </c>
      <c r="AV2" s="2">
        <f t="shared" ref="AV2:AV65" ca="1" si="46">AA2-AF2-AK2-AQ2-AP2</f>
        <v>2050345.0588676971</v>
      </c>
      <c r="AW2" s="2">
        <f t="shared" ref="AW2:AW65" ca="1" si="47">AB2-AG2-AL2-AR2-AP2</f>
        <v>2188802.2272549733</v>
      </c>
      <c r="AX2" s="2">
        <f t="shared" ref="AX2:AX65" ca="1" si="48">AC2-AH2-AM2-AS2-AP2</f>
        <v>2250888.8927723183</v>
      </c>
      <c r="AY2" s="2">
        <f t="shared" ref="AY2:AY65" ca="1" si="49">AD2-AI2-AN2-AT2-AP2</f>
        <v>2313938.0403585709</v>
      </c>
      <c r="AZ2" s="2">
        <f t="shared" ref="AZ2:AZ65" ca="1" si="50">AE2-AJ2-AO2-AU2-AP2</f>
        <v>2377964.5906367912</v>
      </c>
      <c r="BA2" s="2">
        <f t="shared" ref="BA2:BA65" ca="1" si="51">AE2*E2</f>
        <v>50865990.149587147</v>
      </c>
      <c r="BB2" s="2">
        <f t="shared" ref="BB2:BB65" ca="1" si="52">BA2*SellCostPct</f>
        <v>1017319.802991743</v>
      </c>
      <c r="BC2" s="2">
        <f t="shared" ref="BC2:BC65" ca="1" si="53">BA2-R2-BB2</f>
        <v>22578225.268863812</v>
      </c>
      <c r="BD2" s="2">
        <f t="shared" ref="BD2:BD65" ca="1" si="54">-S2-Q2-IntegrationPct*BaseRev</f>
        <v>-19816565.263393212</v>
      </c>
      <c r="BE2" s="2">
        <f t="shared" ref="BE2:BE65" ca="1" si="55">AV2</f>
        <v>2050345.0588676971</v>
      </c>
      <c r="BF2" s="2">
        <f t="shared" ref="BF2:BF65" ca="1" si="56">AW2</f>
        <v>2188802.2272549733</v>
      </c>
      <c r="BG2" s="2">
        <f t="shared" ref="BG2:BG65" ca="1" si="57">AX2</f>
        <v>2250888.8927723183</v>
      </c>
      <c r="BH2" s="2">
        <f t="shared" ref="BH2:BH65" ca="1" si="58">AY2</f>
        <v>2313938.0403585709</v>
      </c>
      <c r="BI2" s="2">
        <f t="shared" ref="BI2:BI65" ca="1" si="59">AZ2+BC2</f>
        <v>24956189.859500602</v>
      </c>
      <c r="BJ2" s="2">
        <f t="shared" ref="BJ2:BJ65" ca="1" si="60">IF(MIN(BD2:BI2)*MAX(BD2:BI2)&gt;=0, "", IFERROR(IRR(BD2:BI2,0.12), IFERROR(IRR(BD2:BI2,0.5), IFERROR(IRR(BD2:BI2,-0.5),""))))</f>
        <v>0.13323209266563696</v>
      </c>
      <c r="BK2" s="2">
        <f t="shared" ref="BK2:BK65" ca="1" si="61">NPV(12%,BE2:BI2)+BD2</f>
        <v>992499.75602362677</v>
      </c>
    </row>
    <row r="3" spans="1:63" x14ac:dyDescent="0.3">
      <c r="A3" s="2">
        <v>2</v>
      </c>
      <c r="B3" s="2">
        <f t="shared" ca="1" si="0"/>
        <v>0.38151237254015735</v>
      </c>
      <c r="C3" s="2">
        <f t="shared" ca="1" si="1"/>
        <v>6.8735128763105413</v>
      </c>
      <c r="D3" s="2">
        <f t="shared" ca="1" si="2"/>
        <v>0.96953133241950717</v>
      </c>
      <c r="E3" s="2">
        <f t="shared" ca="1" si="3"/>
        <v>8.2531451131515006</v>
      </c>
      <c r="F3" s="2">
        <f t="shared" ca="1" si="4"/>
        <v>0.34662334412560369</v>
      </c>
      <c r="G3" s="2">
        <f t="shared" ca="1" si="5"/>
        <v>2.8166412747977189E-2</v>
      </c>
      <c r="H3" s="2">
        <f t="shared" ca="1" si="6"/>
        <v>2.8166412747977189E-2</v>
      </c>
      <c r="I3" s="2">
        <f t="shared" ca="1" si="7"/>
        <v>0.8223795281634545</v>
      </c>
      <c r="J3" s="2">
        <f t="shared" ca="1" si="8"/>
        <v>1.4622356920115749E-2</v>
      </c>
      <c r="K3" s="2">
        <f t="shared" ca="1" si="9"/>
        <v>1.4622356920115749E-2</v>
      </c>
      <c r="L3" s="2">
        <f t="shared" ca="1" si="10"/>
        <v>0.87773897116178989</v>
      </c>
      <c r="M3" s="2">
        <f t="shared" ca="1" si="11"/>
        <v>2.3275161951936286E-2</v>
      </c>
      <c r="N3" s="2">
        <f t="shared" ca="1" si="12"/>
        <v>2.3275161951936286E-2</v>
      </c>
      <c r="O3" s="2">
        <f t="shared" si="13"/>
        <v>6000000</v>
      </c>
      <c r="P3" s="2">
        <f t="shared" ca="1" si="14"/>
        <v>41241077.257863246</v>
      </c>
      <c r="Q3" s="2">
        <f t="shared" ca="1" si="15"/>
        <v>1031026.9314465811</v>
      </c>
      <c r="R3" s="2">
        <f t="shared" ca="1" si="16"/>
        <v>24744646.354717948</v>
      </c>
      <c r="S3" s="2">
        <f t="shared" ca="1" si="17"/>
        <v>16496430.903145298</v>
      </c>
      <c r="T3" s="2">
        <f t="shared" ca="1" si="18"/>
        <v>51163758.097596809</v>
      </c>
      <c r="U3" s="2">
        <f t="shared" ca="1" si="19"/>
        <v>52604857.625911385</v>
      </c>
      <c r="V3" s="2">
        <f t="shared" ca="1" si="20"/>
        <v>54086547.758351386</v>
      </c>
      <c r="W3" s="2">
        <f t="shared" ca="1" si="21"/>
        <v>55609971.786626294</v>
      </c>
      <c r="X3" s="2">
        <f t="shared" ca="1" si="22"/>
        <v>57176305.204871781</v>
      </c>
      <c r="Y3" s="2">
        <f t="shared" ca="1" si="23"/>
        <v>0.12731117846005788</v>
      </c>
      <c r="Z3" s="2">
        <f t="shared" ca="1" si="24"/>
        <v>0.13023564984408101</v>
      </c>
      <c r="AA3" s="2">
        <f t="shared" ca="1" si="25"/>
        <v>6513718.3378503788</v>
      </c>
      <c r="AB3" s="2">
        <f t="shared" ca="1" si="26"/>
        <v>6851027.8178659296</v>
      </c>
      <c r="AC3" s="2">
        <f t="shared" ca="1" si="27"/>
        <v>7043996.695131816</v>
      </c>
      <c r="AD3" s="2">
        <f t="shared" ca="1" si="28"/>
        <v>7242400.8134422861</v>
      </c>
      <c r="AE3" s="2">
        <f t="shared" ca="1" si="29"/>
        <v>7446393.2640399877</v>
      </c>
      <c r="AF3" s="2">
        <f t="shared" ca="1" si="30"/>
        <v>1023275.1619519362</v>
      </c>
      <c r="AG3" s="2">
        <f t="shared" ca="1" si="31"/>
        <v>1052097.1525182277</v>
      </c>
      <c r="AH3" s="2">
        <f t="shared" ca="1" si="32"/>
        <v>1081730.9551670277</v>
      </c>
      <c r="AI3" s="2">
        <f t="shared" ca="1" si="33"/>
        <v>1112199.435732526</v>
      </c>
      <c r="AJ3" s="2">
        <f t="shared" ca="1" si="34"/>
        <v>1143526.1040974357</v>
      </c>
      <c r="AK3" s="2">
        <f t="shared" ca="1" si="35"/>
        <v>0</v>
      </c>
      <c r="AL3" s="2">
        <f t="shared" ca="1" si="36"/>
        <v>14410.995283145756</v>
      </c>
      <c r="AM3" s="2">
        <f t="shared" ca="1" si="37"/>
        <v>14816.901324400009</v>
      </c>
      <c r="AN3" s="2">
        <f t="shared" ca="1" si="38"/>
        <v>15234.240282749088</v>
      </c>
      <c r="AO3" s="2">
        <f t="shared" ca="1" si="39"/>
        <v>15663.33418245487</v>
      </c>
      <c r="AP3" s="2">
        <f t="shared" ca="1" si="40"/>
        <v>2227018.1719246153</v>
      </c>
      <c r="AQ3" s="2">
        <f t="shared" ca="1" si="41"/>
        <v>848490.50103319518</v>
      </c>
      <c r="AR3" s="2">
        <f t="shared" ca="1" si="42"/>
        <v>928697.24829000258</v>
      </c>
      <c r="AS3" s="2">
        <f t="shared" ca="1" si="43"/>
        <v>971164.36769044516</v>
      </c>
      <c r="AT3" s="2">
        <f t="shared" ca="1" si="44"/>
        <v>1014827.6335041377</v>
      </c>
      <c r="AU3" s="2">
        <f t="shared" ca="1" si="45"/>
        <v>1059720.7368846638</v>
      </c>
      <c r="AV3" s="2">
        <f t="shared" ca="1" si="46"/>
        <v>2414934.5029406324</v>
      </c>
      <c r="AW3" s="2">
        <f t="shared" ca="1" si="47"/>
        <v>2628804.2498499388</v>
      </c>
      <c r="AX3" s="2">
        <f t="shared" ca="1" si="48"/>
        <v>2749266.2990253288</v>
      </c>
      <c r="AY3" s="2">
        <f t="shared" ca="1" si="49"/>
        <v>2873121.3319982588</v>
      </c>
      <c r="AZ3" s="2">
        <f t="shared" ca="1" si="50"/>
        <v>3000464.9169508182</v>
      </c>
      <c r="BA3" s="2">
        <f t="shared" ca="1" si="51"/>
        <v>61456164.177715875</v>
      </c>
      <c r="BB3" s="2">
        <f t="shared" ca="1" si="52"/>
        <v>1229123.2835543174</v>
      </c>
      <c r="BC3" s="2">
        <f t="shared" ca="1" si="53"/>
        <v>35482394.539443612</v>
      </c>
      <c r="BD3" s="2">
        <f t="shared" ca="1" si="54"/>
        <v>-18027457.83459188</v>
      </c>
      <c r="BE3" s="2">
        <f t="shared" ca="1" si="55"/>
        <v>2414934.5029406324</v>
      </c>
      <c r="BF3" s="2">
        <f t="shared" ca="1" si="56"/>
        <v>2628804.2498499388</v>
      </c>
      <c r="BG3" s="2">
        <f t="shared" ca="1" si="57"/>
        <v>2749266.2990253288</v>
      </c>
      <c r="BH3" s="2">
        <f t="shared" ca="1" si="58"/>
        <v>2873121.3319982588</v>
      </c>
      <c r="BI3" s="2">
        <f t="shared" ca="1" si="59"/>
        <v>38482859.456394434</v>
      </c>
      <c r="BJ3" s="2">
        <f t="shared" ca="1" si="60"/>
        <v>0.26301063952120374</v>
      </c>
      <c r="BK3" s="2">
        <f t="shared" ca="1" si="61"/>
        <v>11843402.275114723</v>
      </c>
    </row>
    <row r="4" spans="1:63" x14ac:dyDescent="0.3">
      <c r="A4" s="2">
        <v>3</v>
      </c>
      <c r="B4" s="2">
        <f t="shared" ca="1" si="0"/>
        <v>1.2228617446804813E-2</v>
      </c>
      <c r="C4" s="2">
        <f t="shared" ca="1" si="1"/>
        <v>6.1563880906386723</v>
      </c>
      <c r="D4" s="2">
        <f t="shared" ca="1" si="2"/>
        <v>0.44346839546661454</v>
      </c>
      <c r="E4" s="2">
        <f t="shared" ca="1" si="3"/>
        <v>7.4417732162963803</v>
      </c>
      <c r="F4" s="2">
        <f t="shared" ca="1" si="4"/>
        <v>0.96371439459462094</v>
      </c>
      <c r="G4" s="2">
        <f t="shared" ca="1" si="5"/>
        <v>9.3865539378100549E-2</v>
      </c>
      <c r="H4" s="2">
        <f t="shared" ca="1" si="6"/>
        <v>9.3865539378100549E-2</v>
      </c>
      <c r="I4" s="2">
        <f t="shared" ca="1" si="7"/>
        <v>0.84230474497611807</v>
      </c>
      <c r="J4" s="2">
        <f t="shared" ca="1" si="8"/>
        <v>1.5019876595728097E-2</v>
      </c>
      <c r="K4" s="2">
        <f t="shared" ca="1" si="9"/>
        <v>1.5019876595728097E-2</v>
      </c>
      <c r="L4" s="2">
        <f t="shared" ca="1" si="10"/>
        <v>0.9710837148034811</v>
      </c>
      <c r="M4" s="2">
        <f t="shared" ca="1" si="11"/>
        <v>3.7939298059692088E-2</v>
      </c>
      <c r="N4" s="2">
        <f t="shared" ca="1" si="12"/>
        <v>3.7939298059692088E-2</v>
      </c>
      <c r="O4" s="2">
        <f t="shared" si="13"/>
        <v>6000000</v>
      </c>
      <c r="P4" s="2">
        <f t="shared" ca="1" si="14"/>
        <v>36938328.543832034</v>
      </c>
      <c r="Q4" s="2">
        <f t="shared" ca="1" si="15"/>
        <v>923458.21359580092</v>
      </c>
      <c r="R4" s="2">
        <f t="shared" ca="1" si="16"/>
        <v>22162997.126299221</v>
      </c>
      <c r="S4" s="2">
        <f t="shared" ca="1" si="17"/>
        <v>14775331.417532815</v>
      </c>
      <c r="T4" s="2">
        <f t="shared" ca="1" si="18"/>
        <v>51896964.902984597</v>
      </c>
      <c r="U4" s="2">
        <f t="shared" ca="1" si="19"/>
        <v>56768301.505689599</v>
      </c>
      <c r="V4" s="2">
        <f t="shared" ca="1" si="20"/>
        <v>62096888.746099785</v>
      </c>
      <c r="W4" s="2">
        <f t="shared" ca="1" si="21"/>
        <v>67925646.701954335</v>
      </c>
      <c r="X4" s="2">
        <f t="shared" ca="1" si="22"/>
        <v>74301524.167239577</v>
      </c>
      <c r="Y4" s="2">
        <f t="shared" ca="1" si="23"/>
        <v>0.12750993829786406</v>
      </c>
      <c r="Z4" s="2">
        <f t="shared" ca="1" si="24"/>
        <v>0.13051391361700967</v>
      </c>
      <c r="AA4" s="2">
        <f t="shared" ca="1" si="25"/>
        <v>6617378.7926259823</v>
      </c>
      <c r="AB4" s="2">
        <f t="shared" ca="1" si="26"/>
        <v>7409053.1988979327</v>
      </c>
      <c r="AC4" s="2">
        <f t="shared" ca="1" si="27"/>
        <v>8104507.9736935273</v>
      </c>
      <c r="AD4" s="2">
        <f t="shared" ca="1" si="28"/>
        <v>8865241.9860383868</v>
      </c>
      <c r="AE4" s="2">
        <f t="shared" ca="1" si="29"/>
        <v>9697382.706775263</v>
      </c>
      <c r="AF4" s="2">
        <f t="shared" ca="1" si="30"/>
        <v>1037939.2980596919</v>
      </c>
      <c r="AG4" s="2">
        <f t="shared" ca="1" si="31"/>
        <v>1135366.030113792</v>
      </c>
      <c r="AH4" s="2">
        <f t="shared" ca="1" si="32"/>
        <v>1241937.7749219958</v>
      </c>
      <c r="AI4" s="2">
        <f t="shared" ca="1" si="33"/>
        <v>1358512.9340390868</v>
      </c>
      <c r="AJ4" s="2">
        <f t="shared" ca="1" si="34"/>
        <v>1486030.4833447915</v>
      </c>
      <c r="AK4" s="2">
        <f t="shared" ca="1" si="35"/>
        <v>0</v>
      </c>
      <c r="AL4" s="2">
        <f t="shared" ca="1" si="36"/>
        <v>48713.366027050019</v>
      </c>
      <c r="AM4" s="2">
        <f t="shared" ca="1" si="37"/>
        <v>53285.872404101865</v>
      </c>
      <c r="AN4" s="2">
        <f t="shared" ca="1" si="38"/>
        <v>58287.579558545498</v>
      </c>
      <c r="AO4" s="2">
        <f t="shared" ca="1" si="39"/>
        <v>63758.774652852415</v>
      </c>
      <c r="AP4" s="2">
        <f t="shared" ca="1" si="40"/>
        <v>1994669.7413669298</v>
      </c>
      <c r="AQ4" s="2">
        <f t="shared" ca="1" si="41"/>
        <v>932040.13583183382</v>
      </c>
      <c r="AR4" s="2">
        <f t="shared" ca="1" si="42"/>
        <v>1112544.531128475</v>
      </c>
      <c r="AS4" s="2">
        <f t="shared" ca="1" si="43"/>
        <v>1265654.1189251966</v>
      </c>
      <c r="AT4" s="2">
        <f t="shared" ca="1" si="44"/>
        <v>1433135.4207644165</v>
      </c>
      <c r="AU4" s="2">
        <f t="shared" ca="1" si="45"/>
        <v>1616337.4453365207</v>
      </c>
      <c r="AV4" s="2">
        <f t="shared" ca="1" si="46"/>
        <v>2652729.617367527</v>
      </c>
      <c r="AW4" s="2">
        <f t="shared" ca="1" si="47"/>
        <v>3117759.5302616865</v>
      </c>
      <c r="AX4" s="2">
        <f t="shared" ca="1" si="48"/>
        <v>3548960.4660753035</v>
      </c>
      <c r="AY4" s="2">
        <f t="shared" ca="1" si="49"/>
        <v>4020636.3103094078</v>
      </c>
      <c r="AZ4" s="2">
        <f t="shared" ca="1" si="50"/>
        <v>4536586.2620741688</v>
      </c>
      <c r="BA4" s="2">
        <f t="shared" ca="1" si="51"/>
        <v>72165722.895455852</v>
      </c>
      <c r="BB4" s="2">
        <f t="shared" ca="1" si="52"/>
        <v>1443314.457909117</v>
      </c>
      <c r="BC4" s="2">
        <f t="shared" ca="1" si="53"/>
        <v>48559411.31124752</v>
      </c>
      <c r="BD4" s="2">
        <f t="shared" ca="1" si="54"/>
        <v>-16198789.631128615</v>
      </c>
      <c r="BE4" s="2">
        <f t="shared" ca="1" si="55"/>
        <v>2652729.617367527</v>
      </c>
      <c r="BF4" s="2">
        <f t="shared" ca="1" si="56"/>
        <v>3117759.5302616865</v>
      </c>
      <c r="BG4" s="2">
        <f t="shared" ca="1" si="57"/>
        <v>3548960.4660753035</v>
      </c>
      <c r="BH4" s="2">
        <f t="shared" ca="1" si="58"/>
        <v>4020636.3103094078</v>
      </c>
      <c r="BI4" s="2">
        <f t="shared" ca="1" si="59"/>
        <v>53095997.573321685</v>
      </c>
      <c r="BJ4" s="2">
        <f t="shared" ca="1" si="60"/>
        <v>0.38902185887975227</v>
      </c>
      <c r="BK4" s="2">
        <f t="shared" ca="1" si="61"/>
        <v>23864539.74119553</v>
      </c>
    </row>
    <row r="5" spans="1:63" x14ac:dyDescent="0.3">
      <c r="A5" s="2">
        <v>4</v>
      </c>
      <c r="B5" s="2">
        <f t="shared" ca="1" si="0"/>
        <v>0.29399001018095638</v>
      </c>
      <c r="C5" s="2">
        <f t="shared" ca="1" si="1"/>
        <v>6.7667985526602878</v>
      </c>
      <c r="D5" s="2">
        <f t="shared" ca="1" si="2"/>
        <v>0.65329339629218808</v>
      </c>
      <c r="E5" s="2">
        <f t="shared" ca="1" si="3"/>
        <v>7.6672856387598305</v>
      </c>
      <c r="F5" s="2">
        <f t="shared" ca="1" si="4"/>
        <v>0.79054333521853126</v>
      </c>
      <c r="G5" s="2">
        <f t="shared" ca="1" si="5"/>
        <v>6.4249238371219264E-2</v>
      </c>
      <c r="H5" s="2">
        <f t="shared" ca="1" si="6"/>
        <v>6.4249238371219264E-2</v>
      </c>
      <c r="I5" s="2">
        <f t="shared" ca="1" si="7"/>
        <v>0.45256113895309757</v>
      </c>
      <c r="J5" s="2">
        <f t="shared" ca="1" si="8"/>
        <v>9.4040338993209866E-3</v>
      </c>
      <c r="K5" s="2">
        <f t="shared" ca="1" si="9"/>
        <v>9.4040338993209866E-3</v>
      </c>
      <c r="L5" s="2">
        <f t="shared" ca="1" si="10"/>
        <v>5.1656193256211402E-2</v>
      </c>
      <c r="M5" s="2">
        <f t="shared" ca="1" si="11"/>
        <v>-3.2580059750235708E-2</v>
      </c>
      <c r="N5" s="2">
        <f t="shared" ca="1" si="12"/>
        <v>-3.2580059750235708E-2</v>
      </c>
      <c r="O5" s="2">
        <f t="shared" si="13"/>
        <v>6000000</v>
      </c>
      <c r="P5" s="2">
        <f t="shared" ca="1" si="14"/>
        <v>40600791.315961726</v>
      </c>
      <c r="Q5" s="2">
        <f t="shared" ca="1" si="15"/>
        <v>1015019.7828990432</v>
      </c>
      <c r="R5" s="2">
        <f t="shared" ca="1" si="16"/>
        <v>24360474.789577033</v>
      </c>
      <c r="S5" s="2">
        <f t="shared" ca="1" si="17"/>
        <v>16240316.526384691</v>
      </c>
      <c r="T5" s="2">
        <f t="shared" ca="1" si="18"/>
        <v>48370997.012488216</v>
      </c>
      <c r="U5" s="2">
        <f t="shared" ca="1" si="19"/>
        <v>51478796.729797103</v>
      </c>
      <c r="V5" s="2">
        <f t="shared" ca="1" si="20"/>
        <v>54786270.211953379</v>
      </c>
      <c r="W5" s="2">
        <f t="shared" ca="1" si="21"/>
        <v>58306246.346271195</v>
      </c>
      <c r="X5" s="2">
        <f t="shared" ca="1" si="22"/>
        <v>62052378.2663038</v>
      </c>
      <c r="Y5" s="2">
        <f t="shared" ca="1" si="23"/>
        <v>0.12470201694966049</v>
      </c>
      <c r="Z5" s="2">
        <f t="shared" ca="1" si="24"/>
        <v>0.12658282372952467</v>
      </c>
      <c r="AA5" s="2">
        <f t="shared" ca="1" si="25"/>
        <v>6031960.8893232821</v>
      </c>
      <c r="AB5" s="2">
        <f t="shared" ca="1" si="26"/>
        <v>6516331.4522559382</v>
      </c>
      <c r="AC5" s="2">
        <f t="shared" ca="1" si="27"/>
        <v>6935000.7850378025</v>
      </c>
      <c r="AD5" s="2">
        <f t="shared" ca="1" si="28"/>
        <v>7380569.3035802888</v>
      </c>
      <c r="AE5" s="2">
        <f t="shared" ca="1" si="29"/>
        <v>7854765.2600813219</v>
      </c>
      <c r="AF5" s="2">
        <f t="shared" ca="1" si="30"/>
        <v>967419.94024976436</v>
      </c>
      <c r="AG5" s="2">
        <f t="shared" ca="1" si="31"/>
        <v>1029575.934595942</v>
      </c>
      <c r="AH5" s="2">
        <f t="shared" ca="1" si="32"/>
        <v>1095725.4042390676</v>
      </c>
      <c r="AI5" s="2">
        <f t="shared" ca="1" si="33"/>
        <v>1166124.926925424</v>
      </c>
      <c r="AJ5" s="2">
        <f t="shared" ca="1" si="34"/>
        <v>1241047.565326076</v>
      </c>
      <c r="AK5" s="2">
        <f t="shared" ca="1" si="35"/>
        <v>0</v>
      </c>
      <c r="AL5" s="2">
        <f t="shared" ca="1" si="36"/>
        <v>31077.997173088865</v>
      </c>
      <c r="AM5" s="2">
        <f t="shared" ca="1" si="37"/>
        <v>33074.734821562764</v>
      </c>
      <c r="AN5" s="2">
        <f t="shared" ca="1" si="38"/>
        <v>35199.761343178157</v>
      </c>
      <c r="AO5" s="2">
        <f t="shared" ca="1" si="39"/>
        <v>37461.319200326056</v>
      </c>
      <c r="AP5" s="2">
        <f t="shared" ca="1" si="40"/>
        <v>2192442.7310619331</v>
      </c>
      <c r="AQ5" s="2">
        <f t="shared" ca="1" si="41"/>
        <v>746745.53668301203</v>
      </c>
      <c r="AR5" s="2">
        <f t="shared" ca="1" si="42"/>
        <v>856521.32451549626</v>
      </c>
      <c r="AS5" s="2">
        <f t="shared" ca="1" si="43"/>
        <v>948176.48893156846</v>
      </c>
      <c r="AT5" s="2">
        <f t="shared" ca="1" si="44"/>
        <v>1045720.4278541624</v>
      </c>
      <c r="AU5" s="2">
        <f t="shared" ca="1" si="45"/>
        <v>1149531.4905602615</v>
      </c>
      <c r="AV5" s="2">
        <f t="shared" ca="1" si="46"/>
        <v>2125352.6813285728</v>
      </c>
      <c r="AW5" s="2">
        <f t="shared" ca="1" si="47"/>
        <v>2406713.4649094776</v>
      </c>
      <c r="AX5" s="2">
        <f t="shared" ca="1" si="48"/>
        <v>2665581.4259836706</v>
      </c>
      <c r="AY5" s="2">
        <f t="shared" ca="1" si="49"/>
        <v>2941081.4563955911</v>
      </c>
      <c r="AZ5" s="2">
        <f t="shared" ca="1" si="50"/>
        <v>3234282.1539327255</v>
      </c>
      <c r="BA5" s="2">
        <f t="shared" ca="1" si="51"/>
        <v>60224728.874451146</v>
      </c>
      <c r="BB5" s="2">
        <f t="shared" ca="1" si="52"/>
        <v>1204494.5774890229</v>
      </c>
      <c r="BC5" s="2">
        <f t="shared" ca="1" si="53"/>
        <v>34659759.507385083</v>
      </c>
      <c r="BD5" s="2">
        <f t="shared" ca="1" si="54"/>
        <v>-17755336.309283733</v>
      </c>
      <c r="BE5" s="2">
        <f t="shared" ca="1" si="55"/>
        <v>2125352.6813285728</v>
      </c>
      <c r="BF5" s="2">
        <f t="shared" ca="1" si="56"/>
        <v>2406713.4649094776</v>
      </c>
      <c r="BG5" s="2">
        <f t="shared" ca="1" si="57"/>
        <v>2665581.4259836706</v>
      </c>
      <c r="BH5" s="2">
        <f t="shared" ca="1" si="58"/>
        <v>2941081.4563955911</v>
      </c>
      <c r="BI5" s="2">
        <f t="shared" ca="1" si="59"/>
        <v>37894041.66131781</v>
      </c>
      <c r="BJ5" s="2">
        <f t="shared" ca="1" si="60"/>
        <v>0.25792154936965961</v>
      </c>
      <c r="BK5" s="2">
        <f t="shared" ca="1" si="61"/>
        <v>11329432.806481756</v>
      </c>
    </row>
    <row r="6" spans="1:63" x14ac:dyDescent="0.3">
      <c r="A6" s="2">
        <v>5</v>
      </c>
      <c r="B6" s="2">
        <f t="shared" ca="1" si="0"/>
        <v>0.82560785137525949</v>
      </c>
      <c r="C6" s="2">
        <f t="shared" ca="1" si="1"/>
        <v>7.4094203717960792</v>
      </c>
      <c r="D6" s="2">
        <f t="shared" ca="1" si="2"/>
        <v>0.18663961070696011</v>
      </c>
      <c r="E6" s="2">
        <f t="shared" ca="1" si="3"/>
        <v>7.1109658103477802</v>
      </c>
      <c r="F6" s="2">
        <f t="shared" ca="1" si="4"/>
        <v>0.59427991597095797</v>
      </c>
      <c r="G6" s="2">
        <f t="shared" ca="1" si="5"/>
        <v>4.7157055974484274E-2</v>
      </c>
      <c r="H6" s="2">
        <f t="shared" ca="1" si="6"/>
        <v>4.7157055974484274E-2</v>
      </c>
      <c r="I6" s="2">
        <f t="shared" ca="1" si="7"/>
        <v>0.79792275528681289</v>
      </c>
      <c r="J6" s="2">
        <f t="shared" ca="1" si="8"/>
        <v>1.4171122483689468E-2</v>
      </c>
      <c r="K6" s="2">
        <f t="shared" ca="1" si="9"/>
        <v>1.4171122483689468E-2</v>
      </c>
      <c r="L6" s="2">
        <f t="shared" ca="1" si="10"/>
        <v>0.72387610661308677</v>
      </c>
      <c r="M6" s="2">
        <f t="shared" ca="1" si="11"/>
        <v>1.1887904938633467E-2</v>
      </c>
      <c r="N6" s="2">
        <f t="shared" ca="1" si="12"/>
        <v>1.1887904938633467E-2</v>
      </c>
      <c r="O6" s="2">
        <f t="shared" si="13"/>
        <v>6000000</v>
      </c>
      <c r="P6" s="2">
        <f t="shared" ca="1" si="14"/>
        <v>44456522.230776474</v>
      </c>
      <c r="Q6" s="2">
        <f t="shared" ca="1" si="15"/>
        <v>1111413.0557694118</v>
      </c>
      <c r="R6" s="2">
        <f t="shared" ca="1" si="16"/>
        <v>26673913.338465884</v>
      </c>
      <c r="S6" s="2">
        <f t="shared" ca="1" si="17"/>
        <v>17782608.89231059</v>
      </c>
      <c r="T6" s="2">
        <f t="shared" ca="1" si="18"/>
        <v>50594395.24693168</v>
      </c>
      <c r="U6" s="2">
        <f t="shared" ca="1" si="19"/>
        <v>52980277.975586414</v>
      </c>
      <c r="V6" s="2">
        <f t="shared" ca="1" si="20"/>
        <v>55478671.909624882</v>
      </c>
      <c r="W6" s="2">
        <f t="shared" ca="1" si="21"/>
        <v>58094882.746257111</v>
      </c>
      <c r="X6" s="2">
        <f t="shared" ca="1" si="22"/>
        <v>60834466.383753456</v>
      </c>
      <c r="Y6" s="2">
        <f t="shared" ca="1" si="23"/>
        <v>0.12708556124184472</v>
      </c>
      <c r="Z6" s="2">
        <f t="shared" ca="1" si="24"/>
        <v>0.12991978573858262</v>
      </c>
      <c r="AA6" s="2">
        <f t="shared" ca="1" si="25"/>
        <v>6429817.115648034</v>
      </c>
      <c r="AB6" s="2">
        <f t="shared" ca="1" si="26"/>
        <v>6883186.3629587349</v>
      </c>
      <c r="AC6" s="2">
        <f t="shared" ca="1" si="27"/>
        <v>7207777.1675595874</v>
      </c>
      <c r="AD6" s="2">
        <f t="shared" ca="1" si="28"/>
        <v>7547674.7189018046</v>
      </c>
      <c r="AE6" s="2">
        <f t="shared" ca="1" si="29"/>
        <v>7903600.8380982559</v>
      </c>
      <c r="AF6" s="2">
        <f t="shared" ca="1" si="30"/>
        <v>1011887.9049386337</v>
      </c>
      <c r="AG6" s="2">
        <f t="shared" ca="1" si="31"/>
        <v>1059605.5595117284</v>
      </c>
      <c r="AH6" s="2">
        <f t="shared" ca="1" si="32"/>
        <v>1109573.4381924977</v>
      </c>
      <c r="AI6" s="2">
        <f t="shared" ca="1" si="33"/>
        <v>1161897.6549251422</v>
      </c>
      <c r="AJ6" s="2">
        <f t="shared" ca="1" si="34"/>
        <v>1216689.3276750692</v>
      </c>
      <c r="AK6" s="2">
        <f t="shared" ca="1" si="35"/>
        <v>0</v>
      </c>
      <c r="AL6" s="2">
        <f t="shared" ca="1" si="36"/>
        <v>23858.827286547348</v>
      </c>
      <c r="AM6" s="2">
        <f t="shared" ca="1" si="37"/>
        <v>24983.939340384677</v>
      </c>
      <c r="AN6" s="2">
        <f t="shared" ca="1" si="38"/>
        <v>26162.108366322296</v>
      </c>
      <c r="AO6" s="2">
        <f t="shared" ca="1" si="39"/>
        <v>27395.836374963448</v>
      </c>
      <c r="AP6" s="2">
        <f t="shared" ca="1" si="40"/>
        <v>2400652.2004619297</v>
      </c>
      <c r="AQ6" s="2">
        <f t="shared" ca="1" si="41"/>
        <v>784492.02266434242</v>
      </c>
      <c r="AR6" s="2">
        <f t="shared" ca="1" si="42"/>
        <v>889961.43677611998</v>
      </c>
      <c r="AS6" s="2">
        <f t="shared" ca="1" si="43"/>
        <v>961363.39751534152</v>
      </c>
      <c r="AT6" s="2">
        <f t="shared" ca="1" si="44"/>
        <v>1036132.4645138305</v>
      </c>
      <c r="AU6" s="2">
        <f t="shared" ca="1" si="45"/>
        <v>1114427.4205899269</v>
      </c>
      <c r="AV6" s="2">
        <f t="shared" ca="1" si="46"/>
        <v>2232784.9875831287</v>
      </c>
      <c r="AW6" s="2">
        <f t="shared" ca="1" si="47"/>
        <v>2509108.3389224093</v>
      </c>
      <c r="AX6" s="2">
        <f t="shared" ca="1" si="48"/>
        <v>2711204.1920494335</v>
      </c>
      <c r="AY6" s="2">
        <f t="shared" ca="1" si="49"/>
        <v>2922830.290634579</v>
      </c>
      <c r="AZ6" s="2">
        <f t="shared" ca="1" si="50"/>
        <v>3144436.0529963672</v>
      </c>
      <c r="BA6" s="2">
        <f t="shared" ca="1" si="51"/>
        <v>56202235.338352762</v>
      </c>
      <c r="BB6" s="2">
        <f t="shared" ca="1" si="52"/>
        <v>1124044.7067670552</v>
      </c>
      <c r="BC6" s="2">
        <f t="shared" ca="1" si="53"/>
        <v>28404277.293119822</v>
      </c>
      <c r="BD6" s="2">
        <f t="shared" ca="1" si="54"/>
        <v>-19394021.948080003</v>
      </c>
      <c r="BE6" s="2">
        <f t="shared" ca="1" si="55"/>
        <v>2232784.9875831287</v>
      </c>
      <c r="BF6" s="2">
        <f t="shared" ca="1" si="56"/>
        <v>2509108.3389224093</v>
      </c>
      <c r="BG6" s="2">
        <f t="shared" ca="1" si="57"/>
        <v>2711204.1920494335</v>
      </c>
      <c r="BH6" s="2">
        <f t="shared" ca="1" si="58"/>
        <v>2922830.290634579</v>
      </c>
      <c r="BI6" s="2">
        <f t="shared" ca="1" si="59"/>
        <v>31548713.346116189</v>
      </c>
      <c r="BJ6" s="2">
        <f t="shared" ca="1" si="60"/>
        <v>0.19798104995991661</v>
      </c>
      <c r="BK6" s="2">
        <f t="shared" ca="1" si="61"/>
        <v>6288662.1799002849</v>
      </c>
    </row>
    <row r="7" spans="1:63" x14ac:dyDescent="0.3">
      <c r="A7" s="2">
        <v>6</v>
      </c>
      <c r="B7" s="2">
        <f t="shared" ca="1" si="0"/>
        <v>0.55868325632220284</v>
      </c>
      <c r="C7" s="2">
        <f t="shared" ca="1" si="1"/>
        <v>7.0605142431331949</v>
      </c>
      <c r="D7" s="2">
        <f t="shared" ca="1" si="2"/>
        <v>0.72473963513082962</v>
      </c>
      <c r="E7" s="2">
        <f t="shared" ca="1" si="3"/>
        <v>7.7580291584311816</v>
      </c>
      <c r="F7" s="2">
        <f t="shared" ca="1" si="4"/>
        <v>0.92627882035682918</v>
      </c>
      <c r="G7" s="2">
        <f t="shared" ca="1" si="5"/>
        <v>8.3458747461825161E-2</v>
      </c>
      <c r="H7" s="2">
        <f t="shared" ca="1" si="6"/>
        <v>8.3458747461825161E-2</v>
      </c>
      <c r="I7" s="2">
        <f t="shared" ca="1" si="7"/>
        <v>0.57005845795126386</v>
      </c>
      <c r="J7" s="2">
        <f t="shared" ca="1" si="8"/>
        <v>1.0882614980292013E-2</v>
      </c>
      <c r="K7" s="2">
        <f t="shared" ca="1" si="9"/>
        <v>1.0882614980292013E-2</v>
      </c>
      <c r="L7" s="2">
        <f t="shared" ca="1" si="10"/>
        <v>0.21336401448010389</v>
      </c>
      <c r="M7" s="2">
        <f t="shared" ca="1" si="11"/>
        <v>-1.5896062635741746E-2</v>
      </c>
      <c r="N7" s="2">
        <f t="shared" ca="1" si="12"/>
        <v>-1.5896062635741746E-2</v>
      </c>
      <c r="O7" s="2">
        <f t="shared" si="13"/>
        <v>6000000</v>
      </c>
      <c r="P7" s="2">
        <f t="shared" ca="1" si="14"/>
        <v>42363085.458799168</v>
      </c>
      <c r="Q7" s="2">
        <f t="shared" ca="1" si="15"/>
        <v>1059077.1364699793</v>
      </c>
      <c r="R7" s="2">
        <f t="shared" ca="1" si="16"/>
        <v>25417851.2752795</v>
      </c>
      <c r="S7" s="2">
        <f t="shared" ca="1" si="17"/>
        <v>16945234.183519669</v>
      </c>
      <c r="T7" s="2">
        <f t="shared" ca="1" si="18"/>
        <v>49205196.868212916</v>
      </c>
      <c r="U7" s="2">
        <f t="shared" ca="1" si="19"/>
        <v>53311800.967446484</v>
      </c>
      <c r="V7" s="2">
        <f t="shared" ca="1" si="20"/>
        <v>57761137.101123683</v>
      </c>
      <c r="W7" s="2">
        <f t="shared" ca="1" si="21"/>
        <v>62581809.255554222</v>
      </c>
      <c r="X7" s="2">
        <f t="shared" ca="1" si="22"/>
        <v>67804808.669917628</v>
      </c>
      <c r="Y7" s="2">
        <f t="shared" ca="1" si="23"/>
        <v>0.12544130749014601</v>
      </c>
      <c r="Z7" s="2">
        <f t="shared" ca="1" si="24"/>
        <v>0.1276178304862044</v>
      </c>
      <c r="AA7" s="2">
        <f t="shared" ca="1" si="25"/>
        <v>6172364.2304586656</v>
      </c>
      <c r="AB7" s="2">
        <f t="shared" ca="1" si="26"/>
        <v>6803536.3787778532</v>
      </c>
      <c r="AC7" s="2">
        <f t="shared" ca="1" si="27"/>
        <v>7371351.0032616137</v>
      </c>
      <c r="AD7" s="2">
        <f t="shared" ca="1" si="28"/>
        <v>7986554.7250952963</v>
      </c>
      <c r="AE7" s="2">
        <f t="shared" ca="1" si="29"/>
        <v>8653102.5789870694</v>
      </c>
      <c r="AF7" s="2">
        <f t="shared" ca="1" si="30"/>
        <v>984103.93736425834</v>
      </c>
      <c r="AG7" s="2">
        <f t="shared" ca="1" si="31"/>
        <v>1066236.0193489296</v>
      </c>
      <c r="AH7" s="2">
        <f t="shared" ca="1" si="32"/>
        <v>1155222.7420224736</v>
      </c>
      <c r="AI7" s="2">
        <f t="shared" ca="1" si="33"/>
        <v>1251636.1851110845</v>
      </c>
      <c r="AJ7" s="2">
        <f t="shared" ca="1" si="34"/>
        <v>1356096.1733983527</v>
      </c>
      <c r="AK7" s="2">
        <f t="shared" ca="1" si="35"/>
        <v>0</v>
      </c>
      <c r="AL7" s="2">
        <f t="shared" ca="1" si="36"/>
        <v>41066.040992335678</v>
      </c>
      <c r="AM7" s="2">
        <f t="shared" ca="1" si="37"/>
        <v>44493.361336771995</v>
      </c>
      <c r="AN7" s="2">
        <f t="shared" ca="1" si="38"/>
        <v>48206.721544305386</v>
      </c>
      <c r="AO7" s="2">
        <f t="shared" ca="1" si="39"/>
        <v>52229.994143634067</v>
      </c>
      <c r="AP7" s="2">
        <f t="shared" ca="1" si="40"/>
        <v>2287606.6147751547</v>
      </c>
      <c r="AQ7" s="2">
        <f t="shared" ca="1" si="41"/>
        <v>754169.9563630058</v>
      </c>
      <c r="AR7" s="2">
        <f t="shared" ca="1" si="42"/>
        <v>896920.37360997999</v>
      </c>
      <c r="AS7" s="2">
        <f t="shared" ca="1" si="43"/>
        <v>1021415.6280806363</v>
      </c>
      <c r="AT7" s="2">
        <f t="shared" ca="1" si="44"/>
        <v>1156301.1005543547</v>
      </c>
      <c r="AU7" s="2">
        <f t="shared" ca="1" si="45"/>
        <v>1302443.945611526</v>
      </c>
      <c r="AV7" s="2">
        <f t="shared" ca="1" si="46"/>
        <v>2146483.7219562475</v>
      </c>
      <c r="AW7" s="2">
        <f t="shared" ca="1" si="47"/>
        <v>2511707.3300514538</v>
      </c>
      <c r="AX7" s="2">
        <f t="shared" ca="1" si="48"/>
        <v>2862612.657046577</v>
      </c>
      <c r="AY7" s="2">
        <f t="shared" ca="1" si="49"/>
        <v>3242804.1031103963</v>
      </c>
      <c r="AZ7" s="2">
        <f t="shared" ca="1" si="50"/>
        <v>3654725.8510584012</v>
      </c>
      <c r="BA7" s="2">
        <f t="shared" ca="1" si="51"/>
        <v>67131022.118677735</v>
      </c>
      <c r="BB7" s="2">
        <f t="shared" ca="1" si="52"/>
        <v>1342620.4423735547</v>
      </c>
      <c r="BC7" s="2">
        <f t="shared" ca="1" si="53"/>
        <v>40370550.401024684</v>
      </c>
      <c r="BD7" s="2">
        <f t="shared" ca="1" si="54"/>
        <v>-18504311.319989648</v>
      </c>
      <c r="BE7" s="2">
        <f t="shared" ca="1" si="55"/>
        <v>2146483.7219562475</v>
      </c>
      <c r="BF7" s="2">
        <f t="shared" ca="1" si="56"/>
        <v>2511707.3300514538</v>
      </c>
      <c r="BG7" s="2">
        <f t="shared" ca="1" si="57"/>
        <v>2862612.657046577</v>
      </c>
      <c r="BH7" s="2">
        <f t="shared" ca="1" si="58"/>
        <v>3242804.1031103963</v>
      </c>
      <c r="BI7" s="2">
        <f t="shared" ca="1" si="59"/>
        <v>44025276.252083085</v>
      </c>
      <c r="BJ7" s="2">
        <f t="shared" ca="1" si="60"/>
        <v>0.28151554087362851</v>
      </c>
      <c r="BK7" s="2">
        <f t="shared" ca="1" si="61"/>
        <v>14494045.563443273</v>
      </c>
    </row>
    <row r="8" spans="1:63" x14ac:dyDescent="0.3">
      <c r="A8" s="2">
        <v>7</v>
      </c>
      <c r="B8" s="2">
        <f t="shared" ca="1" si="0"/>
        <v>0.85647140482389139</v>
      </c>
      <c r="C8" s="2">
        <f t="shared" ca="1" si="1"/>
        <v>7.4642228165065099</v>
      </c>
      <c r="D8" s="2">
        <f t="shared" ca="1" si="2"/>
        <v>0.5744080106189251</v>
      </c>
      <c r="E8" s="2">
        <f t="shared" ca="1" si="3"/>
        <v>7.5774036750766074</v>
      </c>
      <c r="F8" s="2">
        <f t="shared" ca="1" si="4"/>
        <v>0.49565256309018324</v>
      </c>
      <c r="G8" s="2">
        <f t="shared" ca="1" si="5"/>
        <v>3.9673071280794149E-2</v>
      </c>
      <c r="H8" s="2">
        <f t="shared" ca="1" si="6"/>
        <v>3.9673071280794149E-2</v>
      </c>
      <c r="I8" s="2">
        <f t="shared" ca="1" si="7"/>
        <v>0.13385587106314834</v>
      </c>
      <c r="J8" s="2">
        <f t="shared" ca="1" si="8"/>
        <v>4.4582621902697116E-3</v>
      </c>
      <c r="K8" s="2">
        <f t="shared" ca="1" si="9"/>
        <v>4.4582621902697116E-3</v>
      </c>
      <c r="L8" s="2">
        <f t="shared" ca="1" si="10"/>
        <v>0.61976110062395928</v>
      </c>
      <c r="M8" s="2">
        <f t="shared" ca="1" si="11"/>
        <v>6.0970682617084958E-3</v>
      </c>
      <c r="N8" s="2">
        <f t="shared" ca="1" si="12"/>
        <v>6.0970682617084958E-3</v>
      </c>
      <c r="O8" s="2">
        <f t="shared" si="13"/>
        <v>6000000</v>
      </c>
      <c r="P8" s="2">
        <f t="shared" ca="1" si="14"/>
        <v>44785336.89903906</v>
      </c>
      <c r="Q8" s="2">
        <f t="shared" ca="1" si="15"/>
        <v>1119633.4224759766</v>
      </c>
      <c r="R8" s="2">
        <f t="shared" ca="1" si="16"/>
        <v>26871202.139423434</v>
      </c>
      <c r="S8" s="2">
        <f t="shared" ca="1" si="17"/>
        <v>17914134.759615626</v>
      </c>
      <c r="T8" s="2">
        <f t="shared" ca="1" si="18"/>
        <v>50304853.413085423</v>
      </c>
      <c r="U8" s="2">
        <f t="shared" ca="1" si="19"/>
        <v>52300601.448312663</v>
      </c>
      <c r="V8" s="2">
        <f t="shared" ca="1" si="20"/>
        <v>54375526.937599979</v>
      </c>
      <c r="W8" s="2">
        <f t="shared" ca="1" si="21"/>
        <v>56532771.093726128</v>
      </c>
      <c r="X8" s="2">
        <f t="shared" ca="1" si="22"/>
        <v>58775599.751028351</v>
      </c>
      <c r="Y8" s="2">
        <f t="shared" ca="1" si="23"/>
        <v>0.12222913109513485</v>
      </c>
      <c r="Z8" s="2">
        <f t="shared" ca="1" si="24"/>
        <v>0.1231207835331888</v>
      </c>
      <c r="AA8" s="2">
        <f t="shared" ca="1" si="25"/>
        <v>6148718.5225495603</v>
      </c>
      <c r="AB8" s="2">
        <f t="shared" ca="1" si="26"/>
        <v>6439291.0295732841</v>
      </c>
      <c r="AC8" s="2">
        <f t="shared" ca="1" si="27"/>
        <v>6694757.4815873234</v>
      </c>
      <c r="AD8" s="2">
        <f t="shared" ca="1" si="28"/>
        <v>6960359.0723619675</v>
      </c>
      <c r="AE8" s="2">
        <f t="shared" ca="1" si="29"/>
        <v>7236497.8939797068</v>
      </c>
      <c r="AF8" s="2">
        <f t="shared" ca="1" si="30"/>
        <v>1006097.0682617085</v>
      </c>
      <c r="AG8" s="2">
        <f t="shared" ca="1" si="31"/>
        <v>1046012.0289662533</v>
      </c>
      <c r="AH8" s="2">
        <f t="shared" ca="1" si="32"/>
        <v>1087510.5387519996</v>
      </c>
      <c r="AI8" s="2">
        <f t="shared" ca="1" si="33"/>
        <v>1130655.4218745227</v>
      </c>
      <c r="AJ8" s="2">
        <f t="shared" ca="1" si="34"/>
        <v>1175511.995020567</v>
      </c>
      <c r="AK8" s="2">
        <f t="shared" ca="1" si="35"/>
        <v>0</v>
      </c>
      <c r="AL8" s="2">
        <f t="shared" ca="1" si="36"/>
        <v>19957.480352272392</v>
      </c>
      <c r="AM8" s="2">
        <f t="shared" ca="1" si="37"/>
        <v>20749.254892873167</v>
      </c>
      <c r="AN8" s="2">
        <f t="shared" ca="1" si="38"/>
        <v>21572.44156126149</v>
      </c>
      <c r="AO8" s="2">
        <f t="shared" ca="1" si="39"/>
        <v>22428.286573022233</v>
      </c>
      <c r="AP8" s="2">
        <f t="shared" ca="1" si="40"/>
        <v>2418408.1925481088</v>
      </c>
      <c r="AQ8" s="2">
        <f t="shared" ca="1" si="41"/>
        <v>708295.44805233332</v>
      </c>
      <c r="AR8" s="2">
        <f t="shared" ca="1" si="42"/>
        <v>773466.41009531962</v>
      </c>
      <c r="AS8" s="2">
        <f t="shared" ca="1" si="43"/>
        <v>829098.07507467584</v>
      </c>
      <c r="AT8" s="2">
        <f t="shared" ca="1" si="44"/>
        <v>886936.81906422751</v>
      </c>
      <c r="AU8" s="2">
        <f t="shared" ca="1" si="45"/>
        <v>947070.20366686804</v>
      </c>
      <c r="AV8" s="2">
        <f t="shared" ca="1" si="46"/>
        <v>2015917.8136874097</v>
      </c>
      <c r="AW8" s="2">
        <f t="shared" ca="1" si="47"/>
        <v>2181446.9176113294</v>
      </c>
      <c r="AX8" s="2">
        <f t="shared" ca="1" si="48"/>
        <v>2338991.4203196657</v>
      </c>
      <c r="AY8" s="2">
        <f t="shared" ca="1" si="49"/>
        <v>2502786.1973138475</v>
      </c>
      <c r="AZ8" s="2">
        <f t="shared" ca="1" si="50"/>
        <v>2673079.2161711403</v>
      </c>
      <c r="BA8" s="2">
        <f t="shared" ca="1" si="51"/>
        <v>54833865.73652596</v>
      </c>
      <c r="BB8" s="2">
        <f t="shared" ca="1" si="52"/>
        <v>1096677.3147305192</v>
      </c>
      <c r="BC8" s="2">
        <f t="shared" ca="1" si="53"/>
        <v>26865986.282372009</v>
      </c>
      <c r="BD8" s="2">
        <f t="shared" ca="1" si="54"/>
        <v>-19533768.182091601</v>
      </c>
      <c r="BE8" s="2">
        <f t="shared" ca="1" si="55"/>
        <v>2015917.8136874097</v>
      </c>
      <c r="BF8" s="2">
        <f t="shared" ca="1" si="56"/>
        <v>2181446.9176113294</v>
      </c>
      <c r="BG8" s="2">
        <f t="shared" ca="1" si="57"/>
        <v>2338991.4203196657</v>
      </c>
      <c r="BH8" s="2">
        <f t="shared" ca="1" si="58"/>
        <v>2502786.1973138475</v>
      </c>
      <c r="BI8" s="2">
        <f t="shared" ca="1" si="59"/>
        <v>29539065.498543151</v>
      </c>
      <c r="BJ8" s="2">
        <f t="shared" ca="1" si="60"/>
        <v>0.1707421615032616</v>
      </c>
      <c r="BK8" s="2">
        <f t="shared" ca="1" si="61"/>
        <v>4021867.3884621523</v>
      </c>
    </row>
    <row r="9" spans="1:63" x14ac:dyDescent="0.3">
      <c r="A9" s="2">
        <v>8</v>
      </c>
      <c r="B9" s="2">
        <f t="shared" ca="1" si="0"/>
        <v>0.56570719872041897</v>
      </c>
      <c r="C9" s="2">
        <f t="shared" ca="1" si="1"/>
        <v>7.0680205997130825</v>
      </c>
      <c r="D9" s="2">
        <f t="shared" ca="1" si="2"/>
        <v>0.93515894135973532</v>
      </c>
      <c r="E9" s="2">
        <f t="shared" ca="1" si="3"/>
        <v>8.139885966282165</v>
      </c>
      <c r="F9" s="2">
        <f t="shared" ca="1" si="4"/>
        <v>0.81026291831045105</v>
      </c>
      <c r="G9" s="2">
        <f t="shared" ca="1" si="5"/>
        <v>6.6365967394812792E-2</v>
      </c>
      <c r="H9" s="2">
        <f t="shared" ca="1" si="6"/>
        <v>6.6365967394812792E-2</v>
      </c>
      <c r="I9" s="2">
        <f t="shared" ca="1" si="7"/>
        <v>0.1144734642989006</v>
      </c>
      <c r="J9" s="2">
        <f t="shared" ca="1" si="8"/>
        <v>3.9846202168597727E-3</v>
      </c>
      <c r="K9" s="2">
        <f t="shared" ca="1" si="9"/>
        <v>3.9846202168597727E-3</v>
      </c>
      <c r="L9" s="2">
        <f t="shared" ca="1" si="10"/>
        <v>0.83716112911093243</v>
      </c>
      <c r="M9" s="2">
        <f t="shared" ca="1" si="11"/>
        <v>1.9657143323598202E-2</v>
      </c>
      <c r="N9" s="2">
        <f t="shared" ca="1" si="12"/>
        <v>1.9657143323598202E-2</v>
      </c>
      <c r="O9" s="2">
        <f t="shared" si="13"/>
        <v>6000000</v>
      </c>
      <c r="P9" s="2">
        <f t="shared" ca="1" si="14"/>
        <v>42408123.598278493</v>
      </c>
      <c r="Q9" s="2">
        <f t="shared" ca="1" si="15"/>
        <v>1060203.0899569623</v>
      </c>
      <c r="R9" s="2">
        <f t="shared" ca="1" si="16"/>
        <v>25444874.158967096</v>
      </c>
      <c r="S9" s="2">
        <f t="shared" ca="1" si="17"/>
        <v>16963249.439311396</v>
      </c>
      <c r="T9" s="2">
        <f t="shared" ca="1" si="18"/>
        <v>50982857.16617991</v>
      </c>
      <c r="U9" s="2">
        <f t="shared" ca="1" si="19"/>
        <v>54366383.802565001</v>
      </c>
      <c r="V9" s="2">
        <f t="shared" ca="1" si="20"/>
        <v>57974461.4573799</v>
      </c>
      <c r="W9" s="2">
        <f t="shared" ca="1" si="21"/>
        <v>61821992.676192202</v>
      </c>
      <c r="X9" s="2">
        <f t="shared" ca="1" si="22"/>
        <v>65924869.026422724</v>
      </c>
      <c r="Y9" s="2">
        <f t="shared" ca="1" si="23"/>
        <v>0.12199231010842988</v>
      </c>
      <c r="Z9" s="2">
        <f t="shared" ca="1" si="24"/>
        <v>0.12278923415180183</v>
      </c>
      <c r="AA9" s="2">
        <f t="shared" ca="1" si="25"/>
        <v>6219516.5216304064</v>
      </c>
      <c r="AB9" s="2">
        <f t="shared" ca="1" si="26"/>
        <v>6675606.6307198806</v>
      </c>
      <c r="AC9" s="2">
        <f t="shared" ca="1" si="27"/>
        <v>7118639.7227148311</v>
      </c>
      <c r="AD9" s="2">
        <f t="shared" ca="1" si="28"/>
        <v>7591075.1344479425</v>
      </c>
      <c r="AE9" s="2">
        <f t="shared" ca="1" si="29"/>
        <v>8094864.1793122878</v>
      </c>
      <c r="AF9" s="2">
        <f t="shared" ca="1" si="30"/>
        <v>1019657.1433235982</v>
      </c>
      <c r="AG9" s="2">
        <f t="shared" ca="1" si="31"/>
        <v>1087327.6760513</v>
      </c>
      <c r="AH9" s="2">
        <f t="shared" ca="1" si="32"/>
        <v>1159489.2291475979</v>
      </c>
      <c r="AI9" s="2">
        <f t="shared" ca="1" si="33"/>
        <v>1236439.8535238442</v>
      </c>
      <c r="AJ9" s="2">
        <f t="shared" ca="1" si="34"/>
        <v>1318497.3805284544</v>
      </c>
      <c r="AK9" s="2">
        <f t="shared" ca="1" si="35"/>
        <v>0</v>
      </c>
      <c r="AL9" s="2">
        <f t="shared" ca="1" si="36"/>
        <v>33835.266363850904</v>
      </c>
      <c r="AM9" s="2">
        <f t="shared" ca="1" si="37"/>
        <v>36080.776548148991</v>
      </c>
      <c r="AN9" s="2">
        <f t="shared" ca="1" si="38"/>
        <v>38475.312188123018</v>
      </c>
      <c r="AO9" s="2">
        <f t="shared" ca="1" si="39"/>
        <v>41028.763502305228</v>
      </c>
      <c r="AP9" s="2">
        <f t="shared" ca="1" si="40"/>
        <v>2290038.6743070385</v>
      </c>
      <c r="AQ9" s="2">
        <f t="shared" ca="1" si="41"/>
        <v>756553.38303994003</v>
      </c>
      <c r="AR9" s="2">
        <f t="shared" ca="1" si="42"/>
        <v>857542.47289400094</v>
      </c>
      <c r="AS9" s="2">
        <f t="shared" ca="1" si="43"/>
        <v>953969.07300765056</v>
      </c>
      <c r="AT9" s="2">
        <f t="shared" ca="1" si="44"/>
        <v>1056795.1177204356</v>
      </c>
      <c r="AU9" s="2">
        <f t="shared" ca="1" si="45"/>
        <v>1166445.3123639666</v>
      </c>
      <c r="AV9" s="2">
        <f t="shared" ca="1" si="46"/>
        <v>2153267.3209598293</v>
      </c>
      <c r="AW9" s="2">
        <f t="shared" ca="1" si="47"/>
        <v>2406862.5411036904</v>
      </c>
      <c r="AX9" s="2">
        <f t="shared" ca="1" si="48"/>
        <v>2679061.9697043947</v>
      </c>
      <c r="AY9" s="2">
        <f t="shared" ca="1" si="49"/>
        <v>2969326.1767085013</v>
      </c>
      <c r="AZ9" s="2">
        <f t="shared" ca="1" si="50"/>
        <v>3278854.0486105229</v>
      </c>
      <c r="BA9" s="2">
        <f t="shared" ca="1" si="51"/>
        <v>65891271.332144283</v>
      </c>
      <c r="BB9" s="2">
        <f t="shared" ca="1" si="52"/>
        <v>1317825.4266428857</v>
      </c>
      <c r="BC9" s="2">
        <f t="shared" ca="1" si="53"/>
        <v>39128571.746534295</v>
      </c>
      <c r="BD9" s="2">
        <f t="shared" ca="1" si="54"/>
        <v>-18523452.529268358</v>
      </c>
      <c r="BE9" s="2">
        <f t="shared" ca="1" si="55"/>
        <v>2153267.3209598293</v>
      </c>
      <c r="BF9" s="2">
        <f t="shared" ca="1" si="56"/>
        <v>2406862.5411036904</v>
      </c>
      <c r="BG9" s="2">
        <f t="shared" ca="1" si="57"/>
        <v>2679061.9697043947</v>
      </c>
      <c r="BH9" s="2">
        <f t="shared" ca="1" si="58"/>
        <v>2969326.1767085013</v>
      </c>
      <c r="BI9" s="2">
        <f t="shared" ca="1" si="59"/>
        <v>42407425.795144819</v>
      </c>
      <c r="BJ9" s="2">
        <f t="shared" ca="1" si="60"/>
        <v>0.26917082649470192</v>
      </c>
      <c r="BK9" s="2">
        <f t="shared" ca="1" si="61"/>
        <v>13174919.797347702</v>
      </c>
    </row>
    <row r="10" spans="1:63" x14ac:dyDescent="0.3">
      <c r="A10" s="2">
        <v>9</v>
      </c>
      <c r="B10" s="2">
        <f t="shared" ca="1" si="0"/>
        <v>0.13396308089922793</v>
      </c>
      <c r="C10" s="2">
        <f t="shared" ca="1" si="1"/>
        <v>6.5176158438441156</v>
      </c>
      <c r="D10" s="2">
        <f t="shared" ca="1" si="2"/>
        <v>0.57210297187147863</v>
      </c>
      <c r="E10" s="2">
        <f t="shared" ca="1" si="3"/>
        <v>7.5749086227528428</v>
      </c>
      <c r="F10" s="2">
        <f t="shared" ca="1" si="4"/>
        <v>0.48428910913387391</v>
      </c>
      <c r="G10" s="2">
        <f t="shared" ca="1" si="5"/>
        <v>3.8818253555022664E-2</v>
      </c>
      <c r="H10" s="2">
        <f t="shared" ca="1" si="6"/>
        <v>3.8818253555022664E-2</v>
      </c>
      <c r="I10" s="2">
        <f t="shared" ca="1" si="7"/>
        <v>0.19050800674747981</v>
      </c>
      <c r="J10" s="2">
        <f t="shared" ca="1" si="8"/>
        <v>5.6198710488562101E-3</v>
      </c>
      <c r="K10" s="2">
        <f t="shared" ca="1" si="9"/>
        <v>5.6198710488562101E-3</v>
      </c>
      <c r="L10" s="2">
        <f t="shared" ca="1" si="10"/>
        <v>0.72835027288122878</v>
      </c>
      <c r="M10" s="2">
        <f t="shared" ca="1" si="11"/>
        <v>1.2156623389596111E-2</v>
      </c>
      <c r="N10" s="2">
        <f t="shared" ca="1" si="12"/>
        <v>1.2156623389596111E-2</v>
      </c>
      <c r="O10" s="2">
        <f t="shared" si="13"/>
        <v>6000000</v>
      </c>
      <c r="P10" s="2">
        <f t="shared" ca="1" si="14"/>
        <v>39105695.063064694</v>
      </c>
      <c r="Q10" s="2">
        <f t="shared" ca="1" si="15"/>
        <v>977642.37657661736</v>
      </c>
      <c r="R10" s="2">
        <f t="shared" ca="1" si="16"/>
        <v>23463417.037838817</v>
      </c>
      <c r="S10" s="2">
        <f t="shared" ca="1" si="17"/>
        <v>15642278.025225878</v>
      </c>
      <c r="T10" s="2">
        <f t="shared" ca="1" si="18"/>
        <v>50607831.169479802</v>
      </c>
      <c r="U10" s="2">
        <f t="shared" ca="1" si="19"/>
        <v>52572338.791686453</v>
      </c>
      <c r="V10" s="2">
        <f t="shared" ca="1" si="20"/>
        <v>54613105.168882698</v>
      </c>
      <c r="W10" s="2">
        <f t="shared" ca="1" si="21"/>
        <v>56733090.532755509</v>
      </c>
      <c r="X10" s="2">
        <f t="shared" ca="1" si="22"/>
        <v>58935370.026016071</v>
      </c>
      <c r="Y10" s="2">
        <f t="shared" ca="1" si="23"/>
        <v>0.12280993552442811</v>
      </c>
      <c r="Z10" s="2">
        <f t="shared" ca="1" si="24"/>
        <v>0.12393390973419935</v>
      </c>
      <c r="AA10" s="2">
        <f t="shared" ca="1" si="25"/>
        <v>6215144.4829549575</v>
      </c>
      <c r="AB10" s="2">
        <f t="shared" ca="1" si="26"/>
        <v>6515495.4903246155</v>
      </c>
      <c r="AC10" s="2">
        <f t="shared" ca="1" si="27"/>
        <v>6768415.6463046437</v>
      </c>
      <c r="AD10" s="2">
        <f t="shared" ca="1" si="28"/>
        <v>7031153.7210286809</v>
      </c>
      <c r="AE10" s="2">
        <f t="shared" ca="1" si="29"/>
        <v>7304090.8289559139</v>
      </c>
      <c r="AF10" s="2">
        <f t="shared" ca="1" si="30"/>
        <v>1012156.6233895961</v>
      </c>
      <c r="AG10" s="2">
        <f t="shared" ca="1" si="31"/>
        <v>1051446.7758337292</v>
      </c>
      <c r="AH10" s="2">
        <f t="shared" ca="1" si="32"/>
        <v>1092262.103377654</v>
      </c>
      <c r="AI10" s="2">
        <f t="shared" ca="1" si="33"/>
        <v>1134661.8106551103</v>
      </c>
      <c r="AJ10" s="2">
        <f t="shared" ca="1" si="34"/>
        <v>1178707.4005203214</v>
      </c>
      <c r="AK10" s="2">
        <f t="shared" ca="1" si="35"/>
        <v>0</v>
      </c>
      <c r="AL10" s="2">
        <f t="shared" ca="1" si="36"/>
        <v>19645.076222066506</v>
      </c>
      <c r="AM10" s="2">
        <f t="shared" ca="1" si="37"/>
        <v>20407.663771962449</v>
      </c>
      <c r="AN10" s="2">
        <f t="shared" ca="1" si="38"/>
        <v>21199.853638728113</v>
      </c>
      <c r="AO10" s="2">
        <f t="shared" ca="1" si="39"/>
        <v>22022.794932605626</v>
      </c>
      <c r="AP10" s="2">
        <f t="shared" ca="1" si="40"/>
        <v>2111707.5334054935</v>
      </c>
      <c r="AQ10" s="2">
        <f t="shared" ca="1" si="41"/>
        <v>803732.88480156567</v>
      </c>
      <c r="AR10" s="2">
        <f t="shared" ca="1" si="42"/>
        <v>871608.70708220231</v>
      </c>
      <c r="AS10" s="2">
        <f t="shared" ca="1" si="43"/>
        <v>926755.96247558901</v>
      </c>
      <c r="AT10" s="2">
        <f t="shared" ca="1" si="44"/>
        <v>984043.93801170005</v>
      </c>
      <c r="AU10" s="2">
        <f t="shared" ca="1" si="45"/>
        <v>1043555.7327078256</v>
      </c>
      <c r="AV10" s="2">
        <f t="shared" ca="1" si="46"/>
        <v>2287547.4413583023</v>
      </c>
      <c r="AW10" s="2">
        <f t="shared" ca="1" si="47"/>
        <v>2461087.3977811239</v>
      </c>
      <c r="AX10" s="2">
        <f t="shared" ca="1" si="48"/>
        <v>2617282.3832739447</v>
      </c>
      <c r="AY10" s="2">
        <f t="shared" ca="1" si="49"/>
        <v>2779540.5853176485</v>
      </c>
      <c r="AZ10" s="2">
        <f t="shared" ca="1" si="50"/>
        <v>2948097.3673896673</v>
      </c>
      <c r="BA10" s="2">
        <f t="shared" ca="1" si="51"/>
        <v>55327820.60162811</v>
      </c>
      <c r="BB10" s="2">
        <f t="shared" ca="1" si="52"/>
        <v>1106556.4120325623</v>
      </c>
      <c r="BC10" s="2">
        <f t="shared" ca="1" si="53"/>
        <v>30757847.15175673</v>
      </c>
      <c r="BD10" s="2">
        <f t="shared" ca="1" si="54"/>
        <v>-17119920.401802495</v>
      </c>
      <c r="BE10" s="2">
        <f t="shared" ca="1" si="55"/>
        <v>2287547.4413583023</v>
      </c>
      <c r="BF10" s="2">
        <f t="shared" ca="1" si="56"/>
        <v>2461087.3977811239</v>
      </c>
      <c r="BG10" s="2">
        <f t="shared" ca="1" si="57"/>
        <v>2617282.3832739447</v>
      </c>
      <c r="BH10" s="2">
        <f t="shared" ca="1" si="58"/>
        <v>2779540.5853176485</v>
      </c>
      <c r="BI10" s="2">
        <f t="shared" ca="1" si="59"/>
        <v>33705944.519146398</v>
      </c>
      <c r="BJ10" s="2">
        <f t="shared" ca="1" si="60"/>
        <v>0.24654682595355903</v>
      </c>
      <c r="BK10" s="2">
        <f t="shared" ca="1" si="61"/>
        <v>9639532.7889864333</v>
      </c>
    </row>
    <row r="11" spans="1:63" x14ac:dyDescent="0.3">
      <c r="A11" s="2">
        <v>10</v>
      </c>
      <c r="B11" s="2">
        <f t="shared" ca="1" si="0"/>
        <v>0.68983460844829414</v>
      </c>
      <c r="C11" s="2">
        <f t="shared" ca="1" si="1"/>
        <v>7.2123891931268265</v>
      </c>
      <c r="D11" s="2">
        <f t="shared" ca="1" si="2"/>
        <v>0.98970219898366163</v>
      </c>
      <c r="E11" s="2">
        <f t="shared" ca="1" si="3"/>
        <v>8.3564883209188991</v>
      </c>
      <c r="F11" s="2">
        <f t="shared" ca="1" si="4"/>
        <v>0.23693072139066162</v>
      </c>
      <c r="G11" s="2">
        <f t="shared" ca="1" si="5"/>
        <v>1.8513688023129943E-2</v>
      </c>
      <c r="H11" s="2">
        <f t="shared" ca="1" si="6"/>
        <v>1.8513688023129943E-2</v>
      </c>
      <c r="I11" s="2">
        <f t="shared" ca="1" si="7"/>
        <v>0.48545791832202356</v>
      </c>
      <c r="J11" s="2">
        <f t="shared" ca="1" si="8"/>
        <v>9.8177016540962735E-3</v>
      </c>
      <c r="K11" s="2">
        <f t="shared" ca="1" si="9"/>
        <v>9.8177016540962735E-3</v>
      </c>
      <c r="L11" s="2">
        <f t="shared" ca="1" si="10"/>
        <v>0.94274994353882435</v>
      </c>
      <c r="M11" s="2">
        <f t="shared" ca="1" si="11"/>
        <v>3.1565703259617731E-2</v>
      </c>
      <c r="N11" s="2">
        <f t="shared" ca="1" si="12"/>
        <v>3.1565703259617731E-2</v>
      </c>
      <c r="O11" s="2">
        <f t="shared" si="13"/>
        <v>6000000</v>
      </c>
      <c r="P11" s="2">
        <f t="shared" ca="1" si="14"/>
        <v>43274335.158760957</v>
      </c>
      <c r="Q11" s="2">
        <f t="shared" ca="1" si="15"/>
        <v>1081858.3789690239</v>
      </c>
      <c r="R11" s="2">
        <f t="shared" ca="1" si="16"/>
        <v>25964601.095256574</v>
      </c>
      <c r="S11" s="2">
        <f t="shared" ca="1" si="17"/>
        <v>17309734.063504383</v>
      </c>
      <c r="T11" s="2">
        <f t="shared" ca="1" si="18"/>
        <v>51578285.162980884</v>
      </c>
      <c r="U11" s="2">
        <f t="shared" ca="1" si="19"/>
        <v>52533189.443256348</v>
      </c>
      <c r="V11" s="2">
        <f t="shared" ca="1" si="20"/>
        <v>53505772.523468785</v>
      </c>
      <c r="W11" s="2">
        <f t="shared" ca="1" si="21"/>
        <v>54496361.703404851</v>
      </c>
      <c r="X11" s="2">
        <f t="shared" ca="1" si="22"/>
        <v>55505290.342377342</v>
      </c>
      <c r="Y11" s="2">
        <f t="shared" ca="1" si="23"/>
        <v>0.12490885082704813</v>
      </c>
      <c r="Z11" s="2">
        <f t="shared" ca="1" si="24"/>
        <v>0.12687239115786739</v>
      </c>
      <c r="AA11" s="2">
        <f t="shared" ca="1" si="25"/>
        <v>6442584.3273377288</v>
      </c>
      <c r="AB11" s="2">
        <f t="shared" ca="1" si="26"/>
        <v>6665011.3598151691</v>
      </c>
      <c r="AC11" s="2">
        <f t="shared" ca="1" si="27"/>
        <v>6788405.3008014048</v>
      </c>
      <c r="AD11" s="2">
        <f t="shared" ca="1" si="28"/>
        <v>6914083.7187150046</v>
      </c>
      <c r="AE11" s="2">
        <f t="shared" ca="1" si="29"/>
        <v>7042088.907649097</v>
      </c>
      <c r="AF11" s="2">
        <f t="shared" ca="1" si="30"/>
        <v>1031565.7032596177</v>
      </c>
      <c r="AG11" s="2">
        <f t="shared" ca="1" si="31"/>
        <v>1050663.7888651269</v>
      </c>
      <c r="AH11" s="2">
        <f t="shared" ca="1" si="32"/>
        <v>1070115.4504693758</v>
      </c>
      <c r="AI11" s="2">
        <f t="shared" ca="1" si="33"/>
        <v>1089927.2340680971</v>
      </c>
      <c r="AJ11" s="2">
        <f t="shared" ca="1" si="34"/>
        <v>1110105.8068475469</v>
      </c>
      <c r="AK11" s="2">
        <f t="shared" ca="1" si="35"/>
        <v>0</v>
      </c>
      <c r="AL11" s="2">
        <f t="shared" ca="1" si="36"/>
        <v>9549.0428027546404</v>
      </c>
      <c r="AM11" s="2">
        <f t="shared" ca="1" si="37"/>
        <v>9725.8308021243665</v>
      </c>
      <c r="AN11" s="2">
        <f t="shared" ca="1" si="38"/>
        <v>9905.8917993606628</v>
      </c>
      <c r="AO11" s="2">
        <f t="shared" ca="1" si="39"/>
        <v>10089.28638972491</v>
      </c>
      <c r="AP11" s="2">
        <f t="shared" ca="1" si="40"/>
        <v>2336814.0985730914</v>
      </c>
      <c r="AQ11" s="2">
        <f t="shared" ca="1" si="41"/>
        <v>799293.17663130502</v>
      </c>
      <c r="AR11" s="2">
        <f t="shared" ca="1" si="42"/>
        <v>852158.70281800732</v>
      </c>
      <c r="AS11" s="2">
        <f t="shared" ca="1" si="43"/>
        <v>879183.6954573238</v>
      </c>
      <c r="AT11" s="2">
        <f t="shared" ca="1" si="44"/>
        <v>906709.02037919208</v>
      </c>
      <c r="AU11" s="2">
        <f t="shared" ca="1" si="45"/>
        <v>934743.94057939923</v>
      </c>
      <c r="AV11" s="2">
        <f t="shared" ca="1" si="46"/>
        <v>2274911.348873714</v>
      </c>
      <c r="AW11" s="2">
        <f t="shared" ca="1" si="47"/>
        <v>2415825.726756189</v>
      </c>
      <c r="AX11" s="2">
        <f t="shared" ca="1" si="48"/>
        <v>2492566.2254994903</v>
      </c>
      <c r="AY11" s="2">
        <f t="shared" ca="1" si="49"/>
        <v>2570727.4738952629</v>
      </c>
      <c r="AZ11" s="2">
        <f t="shared" ca="1" si="50"/>
        <v>2650335.7752593337</v>
      </c>
      <c r="BA11" s="2">
        <f t="shared" ca="1" si="51"/>
        <v>58847133.711642206</v>
      </c>
      <c r="BB11" s="2">
        <f t="shared" ca="1" si="52"/>
        <v>1176942.674232844</v>
      </c>
      <c r="BC11" s="2">
        <f t="shared" ca="1" si="53"/>
        <v>31705589.942152787</v>
      </c>
      <c r="BD11" s="2">
        <f t="shared" ca="1" si="54"/>
        <v>-18891592.442473408</v>
      </c>
      <c r="BE11" s="2">
        <f t="shared" ca="1" si="55"/>
        <v>2274911.348873714</v>
      </c>
      <c r="BF11" s="2">
        <f t="shared" ca="1" si="56"/>
        <v>2415825.726756189</v>
      </c>
      <c r="BG11" s="2">
        <f t="shared" ca="1" si="57"/>
        <v>2492566.2254994903</v>
      </c>
      <c r="BH11" s="2">
        <f t="shared" ca="1" si="58"/>
        <v>2570727.4738952629</v>
      </c>
      <c r="BI11" s="2">
        <f t="shared" ca="1" si="59"/>
        <v>34355925.717412122</v>
      </c>
      <c r="BJ11" s="2">
        <f t="shared" ca="1" si="60"/>
        <v>0.21750838123449934</v>
      </c>
      <c r="BK11" s="2">
        <f t="shared" ca="1" si="61"/>
        <v>7967837.9784582481</v>
      </c>
    </row>
    <row r="12" spans="1:63" x14ac:dyDescent="0.3">
      <c r="A12" s="2">
        <v>11</v>
      </c>
      <c r="B12" s="2">
        <f t="shared" ca="1" si="0"/>
        <v>4.8512003930568648E-2</v>
      </c>
      <c r="C12" s="2">
        <f t="shared" ca="1" si="1"/>
        <v>6.3114867699616424</v>
      </c>
      <c r="D12" s="2">
        <f t="shared" ca="1" si="2"/>
        <v>0.96204156678376584</v>
      </c>
      <c r="E12" s="2">
        <f t="shared" ca="1" si="3"/>
        <v>8.2244698447856059</v>
      </c>
      <c r="F12" s="2">
        <f t="shared" ca="1" si="4"/>
        <v>0.87105119890108218</v>
      </c>
      <c r="G12" s="2">
        <f t="shared" ca="1" si="5"/>
        <v>7.3941227686231847E-2</v>
      </c>
      <c r="H12" s="2">
        <f t="shared" ca="1" si="6"/>
        <v>7.3941227686231847E-2</v>
      </c>
      <c r="I12" s="2">
        <f t="shared" ca="1" si="7"/>
        <v>0.24449832553819206</v>
      </c>
      <c r="J12" s="2">
        <f t="shared" ca="1" si="8"/>
        <v>6.5404722980576596E-3</v>
      </c>
      <c r="K12" s="2">
        <f t="shared" ca="1" si="9"/>
        <v>6.5404722980576596E-3</v>
      </c>
      <c r="L12" s="2">
        <f t="shared" ca="1" si="10"/>
        <v>0.32439450471989162</v>
      </c>
      <c r="M12" s="2">
        <f t="shared" ca="1" si="11"/>
        <v>-9.1089032800621087E-3</v>
      </c>
      <c r="N12" s="2">
        <f t="shared" ca="1" si="12"/>
        <v>-9.1089032800621087E-3</v>
      </c>
      <c r="O12" s="2">
        <f t="shared" si="13"/>
        <v>6000000</v>
      </c>
      <c r="P12" s="2">
        <f t="shared" ca="1" si="14"/>
        <v>37868920.619769856</v>
      </c>
      <c r="Q12" s="2">
        <f t="shared" ca="1" si="15"/>
        <v>946723.0154942465</v>
      </c>
      <c r="R12" s="2">
        <f t="shared" ca="1" si="16"/>
        <v>22721352.371861912</v>
      </c>
      <c r="S12" s="2">
        <f t="shared" ca="1" si="17"/>
        <v>15147568.247907944</v>
      </c>
      <c r="T12" s="2">
        <f t="shared" ca="1" si="18"/>
        <v>49544554.835996896</v>
      </c>
      <c r="U12" s="2">
        <f t="shared" ca="1" si="19"/>
        <v>53207940.045738347</v>
      </c>
      <c r="V12" s="2">
        <f t="shared" ca="1" si="20"/>
        <v>57142200.455375664</v>
      </c>
      <c r="W12" s="2">
        <f t="shared" ca="1" si="21"/>
        <v>61367364.909738898</v>
      </c>
      <c r="X12" s="2">
        <f t="shared" ca="1" si="22"/>
        <v>65904943.211033978</v>
      </c>
      <c r="Y12" s="2">
        <f t="shared" ca="1" si="23"/>
        <v>0.12327023614902882</v>
      </c>
      <c r="Z12" s="2">
        <f t="shared" ca="1" si="24"/>
        <v>0.12457833060864036</v>
      </c>
      <c r="AA12" s="2">
        <f t="shared" ca="1" si="25"/>
        <v>6107368.9745318452</v>
      </c>
      <c r="AB12" s="2">
        <f t="shared" ca="1" si="26"/>
        <v>6628556.3460227065</v>
      </c>
      <c r="AC12" s="2">
        <f t="shared" ca="1" si="27"/>
        <v>7118679.9400349893</v>
      </c>
      <c r="AD12" s="2">
        <f t="shared" ca="1" si="28"/>
        <v>7645043.8743065279</v>
      </c>
      <c r="AE12" s="2">
        <f t="shared" ca="1" si="29"/>
        <v>8210327.8040878586</v>
      </c>
      <c r="AF12" s="2">
        <f t="shared" ca="1" si="30"/>
        <v>990891.09671993798</v>
      </c>
      <c r="AG12" s="2">
        <f t="shared" ca="1" si="31"/>
        <v>1064158.800914767</v>
      </c>
      <c r="AH12" s="2">
        <f t="shared" ca="1" si="32"/>
        <v>1142844.0091075134</v>
      </c>
      <c r="AI12" s="2">
        <f t="shared" ca="1" si="33"/>
        <v>1227347.2981947779</v>
      </c>
      <c r="AJ12" s="2">
        <f t="shared" ca="1" si="34"/>
        <v>1318098.8642206795</v>
      </c>
      <c r="AK12" s="2">
        <f t="shared" ca="1" si="35"/>
        <v>0</v>
      </c>
      <c r="AL12" s="2">
        <f t="shared" ca="1" si="36"/>
        <v>36633.852097414507</v>
      </c>
      <c r="AM12" s="2">
        <f t="shared" ca="1" si="37"/>
        <v>39342.604096373172</v>
      </c>
      <c r="AN12" s="2">
        <f t="shared" ca="1" si="38"/>
        <v>42251.644543632341</v>
      </c>
      <c r="AO12" s="2">
        <f t="shared" ca="1" si="39"/>
        <v>45375.783012950793</v>
      </c>
      <c r="AP12" s="2">
        <f t="shared" ca="1" si="40"/>
        <v>2044921.7134675721</v>
      </c>
      <c r="AQ12" s="2">
        <f t="shared" ca="1" si="41"/>
        <v>798604.60272952716</v>
      </c>
      <c r="AR12" s="2">
        <f t="shared" ca="1" si="42"/>
        <v>915063.71622649557</v>
      </c>
      <c r="AS12" s="2">
        <f t="shared" ca="1" si="43"/>
        <v>1022037.6965395751</v>
      </c>
      <c r="AT12" s="2">
        <f t="shared" ca="1" si="44"/>
        <v>1136921.4642874864</v>
      </c>
      <c r="AU12" s="2">
        <f t="shared" ca="1" si="45"/>
        <v>1260299.8788638979</v>
      </c>
      <c r="AV12" s="2">
        <f t="shared" ca="1" si="46"/>
        <v>2272951.5616148077</v>
      </c>
      <c r="AW12" s="2">
        <f t="shared" ca="1" si="47"/>
        <v>2567778.2633164572</v>
      </c>
      <c r="AX12" s="2">
        <f t="shared" ca="1" si="48"/>
        <v>2869533.9168239553</v>
      </c>
      <c r="AY12" s="2">
        <f t="shared" ca="1" si="49"/>
        <v>3193601.75381306</v>
      </c>
      <c r="AZ12" s="2">
        <f t="shared" ca="1" si="50"/>
        <v>3541631.5645227581</v>
      </c>
      <c r="BA12" s="2">
        <f t="shared" ca="1" si="51"/>
        <v>67525593.440525413</v>
      </c>
      <c r="BB12" s="2">
        <f t="shared" ca="1" si="52"/>
        <v>1350511.8688105082</v>
      </c>
      <c r="BC12" s="2">
        <f t="shared" ca="1" si="53"/>
        <v>43453729.199852996</v>
      </c>
      <c r="BD12" s="2">
        <f t="shared" ca="1" si="54"/>
        <v>-16594291.26340219</v>
      </c>
      <c r="BE12" s="2">
        <f t="shared" ca="1" si="55"/>
        <v>2272951.5616148077</v>
      </c>
      <c r="BF12" s="2">
        <f t="shared" ca="1" si="56"/>
        <v>2567778.2633164572</v>
      </c>
      <c r="BG12" s="2">
        <f t="shared" ca="1" si="57"/>
        <v>2869533.9168239553</v>
      </c>
      <c r="BH12" s="2">
        <f t="shared" ca="1" si="58"/>
        <v>3193601.75381306</v>
      </c>
      <c r="BI12" s="2">
        <f t="shared" ca="1" si="59"/>
        <v>46995360.764375754</v>
      </c>
      <c r="BJ12" s="2">
        <f t="shared" ca="1" si="60"/>
        <v>0.33192783132083448</v>
      </c>
      <c r="BK12" s="2">
        <f t="shared" ca="1" si="61"/>
        <v>18220645.888268825</v>
      </c>
    </row>
    <row r="13" spans="1:63" x14ac:dyDescent="0.3">
      <c r="A13" s="2">
        <v>12</v>
      </c>
      <c r="B13" s="2">
        <f t="shared" ca="1" si="0"/>
        <v>0.90753710449128466</v>
      </c>
      <c r="C13" s="2">
        <f t="shared" ca="1" si="1"/>
        <v>7.5699700114905584</v>
      </c>
      <c r="D13" s="2">
        <f t="shared" ca="1" si="2"/>
        <v>0.6108834082386736</v>
      </c>
      <c r="E13" s="2">
        <f t="shared" ca="1" si="3"/>
        <v>7.6178247433062678</v>
      </c>
      <c r="F13" s="2">
        <f t="shared" ca="1" si="4"/>
        <v>6.1659071896970841E-2</v>
      </c>
      <c r="G13" s="2">
        <f t="shared" ca="1" si="5"/>
        <v>-6.2298326316466771E-3</v>
      </c>
      <c r="H13" s="2">
        <f t="shared" ca="1" si="6"/>
        <v>-6.2298326316466771E-3</v>
      </c>
      <c r="I13" s="2">
        <f t="shared" ca="1" si="7"/>
        <v>0.59966134116751235</v>
      </c>
      <c r="J13" s="2">
        <f t="shared" ca="1" si="8"/>
        <v>1.1262353118613119E-2</v>
      </c>
      <c r="K13" s="2">
        <f t="shared" ca="1" si="9"/>
        <v>1.1262353118613119E-2</v>
      </c>
      <c r="L13" s="2">
        <f t="shared" ca="1" si="10"/>
        <v>0.40774470197822366</v>
      </c>
      <c r="M13" s="2">
        <f t="shared" ca="1" si="11"/>
        <v>-4.6670059683311081E-3</v>
      </c>
      <c r="N13" s="2">
        <f t="shared" ca="1" si="12"/>
        <v>-4.6670059683311081E-3</v>
      </c>
      <c r="O13" s="2">
        <f t="shared" si="13"/>
        <v>6000000</v>
      </c>
      <c r="P13" s="2">
        <f t="shared" ca="1" si="14"/>
        <v>45419820.068943352</v>
      </c>
      <c r="Q13" s="2">
        <f t="shared" ca="1" si="15"/>
        <v>1135495.5017235838</v>
      </c>
      <c r="R13" s="2">
        <f t="shared" ca="1" si="16"/>
        <v>27251892.041366011</v>
      </c>
      <c r="S13" s="2">
        <f t="shared" ca="1" si="17"/>
        <v>18167928.027577341</v>
      </c>
      <c r="T13" s="2">
        <f t="shared" ca="1" si="18"/>
        <v>49766649.701583445</v>
      </c>
      <c r="U13" s="2">
        <f t="shared" ca="1" si="19"/>
        <v>49456611.803304791</v>
      </c>
      <c r="V13" s="2">
        <f t="shared" ca="1" si="20"/>
        <v>49148505.389241882</v>
      </c>
      <c r="W13" s="2">
        <f t="shared" ca="1" si="21"/>
        <v>48842318.426571317</v>
      </c>
      <c r="X13" s="2">
        <f t="shared" ca="1" si="22"/>
        <v>48538038.957432188</v>
      </c>
      <c r="Y13" s="2">
        <f t="shared" ca="1" si="23"/>
        <v>0.12563117655930656</v>
      </c>
      <c r="Z13" s="2">
        <f t="shared" ca="1" si="24"/>
        <v>0.12788364718302919</v>
      </c>
      <c r="AA13" s="2">
        <f t="shared" ca="1" si="25"/>
        <v>6252242.755424791</v>
      </c>
      <c r="AB13" s="2">
        <f t="shared" ca="1" si="26"/>
        <v>6324691.8947218675</v>
      </c>
      <c r="AC13" s="2">
        <f t="shared" ca="1" si="27"/>
        <v>6285290.1227710173</v>
      </c>
      <c r="AD13" s="2">
        <f t="shared" ca="1" si="28"/>
        <v>6246133.8172648121</v>
      </c>
      <c r="AE13" s="2">
        <f t="shared" ca="1" si="29"/>
        <v>6207221.4489883836</v>
      </c>
      <c r="AF13" s="2">
        <f t="shared" ca="1" si="30"/>
        <v>995332.99403166887</v>
      </c>
      <c r="AG13" s="2">
        <f t="shared" ca="1" si="31"/>
        <v>989132.23606609588</v>
      </c>
      <c r="AH13" s="2">
        <f t="shared" ca="1" si="32"/>
        <v>982970.1077848376</v>
      </c>
      <c r="AI13" s="2">
        <f t="shared" ca="1" si="33"/>
        <v>976846.36853142641</v>
      </c>
      <c r="AJ13" s="2">
        <f t="shared" ca="1" si="34"/>
        <v>970760.77914864384</v>
      </c>
      <c r="AK13" s="2">
        <f t="shared" ca="1" si="35"/>
        <v>0</v>
      </c>
      <c r="AL13" s="2">
        <f t="shared" ca="1" si="36"/>
        <v>0</v>
      </c>
      <c r="AM13" s="2">
        <f t="shared" ca="1" si="37"/>
        <v>0</v>
      </c>
      <c r="AN13" s="2">
        <f t="shared" ca="1" si="38"/>
        <v>0</v>
      </c>
      <c r="AO13" s="2">
        <f t="shared" ca="1" si="39"/>
        <v>0</v>
      </c>
      <c r="AP13" s="2">
        <f t="shared" ca="1" si="40"/>
        <v>2452670.2837229408</v>
      </c>
      <c r="AQ13" s="2">
        <f t="shared" ca="1" si="41"/>
        <v>729102.2641942472</v>
      </c>
      <c r="AR13" s="2">
        <f t="shared" ca="1" si="42"/>
        <v>749551.23748253612</v>
      </c>
      <c r="AS13" s="2">
        <f t="shared" ca="1" si="43"/>
        <v>740908.93012844212</v>
      </c>
      <c r="AT13" s="2">
        <f t="shared" ca="1" si="44"/>
        <v>732320.46290271566</v>
      </c>
      <c r="AU13" s="2">
        <f t="shared" ca="1" si="45"/>
        <v>723785.5003903677</v>
      </c>
      <c r="AV13" s="2">
        <f t="shared" ca="1" si="46"/>
        <v>2075137.2134759342</v>
      </c>
      <c r="AW13" s="2">
        <f t="shared" ca="1" si="47"/>
        <v>2133338.1374502946</v>
      </c>
      <c r="AX13" s="2">
        <f t="shared" ca="1" si="48"/>
        <v>2108740.8011347968</v>
      </c>
      <c r="AY13" s="2">
        <f t="shared" ca="1" si="49"/>
        <v>2084296.7021077294</v>
      </c>
      <c r="AZ13" s="2">
        <f t="shared" ca="1" si="50"/>
        <v>2060004.8857264314</v>
      </c>
      <c r="BA13" s="2">
        <f t="shared" ca="1" si="51"/>
        <v>47285525.141285092</v>
      </c>
      <c r="BB13" s="2">
        <f t="shared" ca="1" si="52"/>
        <v>945710.50282570184</v>
      </c>
      <c r="BC13" s="2">
        <f t="shared" ca="1" si="53"/>
        <v>19087922.597093377</v>
      </c>
      <c r="BD13" s="2">
        <f t="shared" ca="1" si="54"/>
        <v>-19803423.529300924</v>
      </c>
      <c r="BE13" s="2">
        <f t="shared" ca="1" si="55"/>
        <v>2075137.2134759342</v>
      </c>
      <c r="BF13" s="2">
        <f t="shared" ca="1" si="56"/>
        <v>2133338.1374502946</v>
      </c>
      <c r="BG13" s="2">
        <f t="shared" ca="1" si="57"/>
        <v>2108740.8011347968</v>
      </c>
      <c r="BH13" s="2">
        <f t="shared" ca="1" si="58"/>
        <v>2084296.7021077294</v>
      </c>
      <c r="BI13" s="2">
        <f t="shared" ca="1" si="59"/>
        <v>21147927.482819811</v>
      </c>
      <c r="BJ13" s="2">
        <f t="shared" ca="1" si="60"/>
        <v>9.9801521079456279E-2</v>
      </c>
      <c r="BK13" s="2">
        <f t="shared" ca="1" si="61"/>
        <v>-1424468.0624223948</v>
      </c>
    </row>
    <row r="14" spans="1:63" x14ac:dyDescent="0.3">
      <c r="A14" s="2">
        <v>13</v>
      </c>
      <c r="B14" s="2">
        <f t="shared" ca="1" si="0"/>
        <v>0.12074980684093006</v>
      </c>
      <c r="C14" s="2">
        <f t="shared" ca="1" si="1"/>
        <v>6.4914261019541595</v>
      </c>
      <c r="D14" s="2">
        <f t="shared" ca="1" si="2"/>
        <v>0.76306052803440061</v>
      </c>
      <c r="E14" s="2">
        <f t="shared" ca="1" si="3"/>
        <v>7.8116113423862945</v>
      </c>
      <c r="F14" s="2">
        <f t="shared" ca="1" si="4"/>
        <v>0.48296754595774349</v>
      </c>
      <c r="G14" s="2">
        <f t="shared" ca="1" si="5"/>
        <v>3.8718789715716476E-2</v>
      </c>
      <c r="H14" s="2">
        <f t="shared" ca="1" si="6"/>
        <v>3.8718789715716476E-2</v>
      </c>
      <c r="I14" s="2">
        <f t="shared" ca="1" si="7"/>
        <v>0.9235261783027261</v>
      </c>
      <c r="J14" s="2">
        <f t="shared" ca="1" si="8"/>
        <v>1.7145984588207305E-2</v>
      </c>
      <c r="K14" s="2">
        <f t="shared" ca="1" si="9"/>
        <v>1.7145984588207305E-2</v>
      </c>
      <c r="L14" s="2">
        <f t="shared" ca="1" si="10"/>
        <v>5.1296700125988748E-2</v>
      </c>
      <c r="M14" s="2">
        <f t="shared" ca="1" si="11"/>
        <v>-3.2648175648133146E-2</v>
      </c>
      <c r="N14" s="2">
        <f t="shared" ca="1" si="12"/>
        <v>-3.2648175648133146E-2</v>
      </c>
      <c r="O14" s="2">
        <f t="shared" si="13"/>
        <v>6000000</v>
      </c>
      <c r="P14" s="2">
        <f t="shared" ca="1" si="14"/>
        <v>38948556.611724958</v>
      </c>
      <c r="Q14" s="2">
        <f t="shared" ca="1" si="15"/>
        <v>973713.91529312404</v>
      </c>
      <c r="R14" s="2">
        <f t="shared" ca="1" si="16"/>
        <v>23369133.967034973</v>
      </c>
      <c r="S14" s="2">
        <f t="shared" ca="1" si="17"/>
        <v>15579422.644689985</v>
      </c>
      <c r="T14" s="2">
        <f t="shared" ca="1" si="18"/>
        <v>48367591.217593342</v>
      </c>
      <c r="U14" s="2">
        <f t="shared" ca="1" si="19"/>
        <v>50240325.811003074</v>
      </c>
      <c r="V14" s="2">
        <f t="shared" ca="1" si="20"/>
        <v>52185570.421328381</v>
      </c>
      <c r="W14" s="2">
        <f t="shared" ca="1" si="21"/>
        <v>54206132.548666507</v>
      </c>
      <c r="X14" s="2">
        <f t="shared" ca="1" si="22"/>
        <v>56304928.396120578</v>
      </c>
      <c r="Y14" s="2">
        <f t="shared" ca="1" si="23"/>
        <v>0.12857299229410366</v>
      </c>
      <c r="Z14" s="2">
        <f t="shared" ca="1" si="24"/>
        <v>0.13200218921174511</v>
      </c>
      <c r="AA14" s="2">
        <f t="shared" ca="1" si="25"/>
        <v>6218765.9329039846</v>
      </c>
      <c r="AB14" s="2">
        <f t="shared" ca="1" si="26"/>
        <v>6631832.9937637495</v>
      </c>
      <c r="AC14" s="2">
        <f t="shared" ca="1" si="27"/>
        <v>6888609.5408790382</v>
      </c>
      <c r="AD14" s="2">
        <f t="shared" ca="1" si="28"/>
        <v>7155328.1651260117</v>
      </c>
      <c r="AE14" s="2">
        <f t="shared" ca="1" si="29"/>
        <v>7432373.8116984684</v>
      </c>
      <c r="AF14" s="2">
        <f t="shared" ca="1" si="30"/>
        <v>967351.82435186685</v>
      </c>
      <c r="AG14" s="2">
        <f t="shared" ca="1" si="31"/>
        <v>1004806.5162200615</v>
      </c>
      <c r="AH14" s="2">
        <f t="shared" ca="1" si="32"/>
        <v>1043711.4084265677</v>
      </c>
      <c r="AI14" s="2">
        <f t="shared" ca="1" si="33"/>
        <v>1084122.6509733303</v>
      </c>
      <c r="AJ14" s="2">
        <f t="shared" ca="1" si="34"/>
        <v>1126098.5679224115</v>
      </c>
      <c r="AK14" s="2">
        <f t="shared" ca="1" si="35"/>
        <v>0</v>
      </c>
      <c r="AL14" s="2">
        <f t="shared" ca="1" si="36"/>
        <v>18727.34593409732</v>
      </c>
      <c r="AM14" s="2">
        <f t="shared" ca="1" si="37"/>
        <v>19452.446103253067</v>
      </c>
      <c r="AN14" s="2">
        <f t="shared" ca="1" si="38"/>
        <v>20205.621273381264</v>
      </c>
      <c r="AO14" s="2">
        <f t="shared" ca="1" si="39"/>
        <v>20987.958474540712</v>
      </c>
      <c r="AP14" s="2">
        <f t="shared" ca="1" si="40"/>
        <v>2103222.0570331477</v>
      </c>
      <c r="AQ14" s="2">
        <f t="shared" ca="1" si="41"/>
        <v>818529.9333949323</v>
      </c>
      <c r="AR14" s="2">
        <f t="shared" ca="1" si="42"/>
        <v>916189.14933274058</v>
      </c>
      <c r="AS14" s="2">
        <f t="shared" ca="1" si="43"/>
        <v>972835.77960902394</v>
      </c>
      <c r="AT14" s="2">
        <f t="shared" ca="1" si="44"/>
        <v>1031675.6988510789</v>
      </c>
      <c r="AU14" s="2">
        <f t="shared" ca="1" si="45"/>
        <v>1092793.8285531565</v>
      </c>
      <c r="AV14" s="2">
        <f t="shared" ca="1" si="46"/>
        <v>2329662.118124038</v>
      </c>
      <c r="AW14" s="2">
        <f t="shared" ca="1" si="47"/>
        <v>2588887.9252437027</v>
      </c>
      <c r="AX14" s="2">
        <f t="shared" ca="1" si="48"/>
        <v>2749387.8497070456</v>
      </c>
      <c r="AY14" s="2">
        <f t="shared" ca="1" si="49"/>
        <v>2916102.1369950734</v>
      </c>
      <c r="AZ14" s="2">
        <f t="shared" ca="1" si="50"/>
        <v>3089271.3997152112</v>
      </c>
      <c r="BA14" s="2">
        <f t="shared" ca="1" si="51"/>
        <v>58058815.568318613</v>
      </c>
      <c r="BB14" s="2">
        <f t="shared" ca="1" si="52"/>
        <v>1161176.3113663723</v>
      </c>
      <c r="BC14" s="2">
        <f t="shared" ca="1" si="53"/>
        <v>33528505.289917268</v>
      </c>
      <c r="BD14" s="2">
        <f t="shared" ca="1" si="54"/>
        <v>-17053136.559983108</v>
      </c>
      <c r="BE14" s="2">
        <f t="shared" ca="1" si="55"/>
        <v>2329662.118124038</v>
      </c>
      <c r="BF14" s="2">
        <f t="shared" ca="1" si="56"/>
        <v>2588887.9252437027</v>
      </c>
      <c r="BG14" s="2">
        <f t="shared" ca="1" si="57"/>
        <v>2749387.8497070456</v>
      </c>
      <c r="BH14" s="2">
        <f t="shared" ca="1" si="58"/>
        <v>2916102.1369950734</v>
      </c>
      <c r="BI14" s="2">
        <f t="shared" ca="1" si="59"/>
        <v>36617776.689632475</v>
      </c>
      <c r="BJ14" s="2">
        <f t="shared" ca="1" si="60"/>
        <v>0.26876860941372716</v>
      </c>
      <c r="BK14" s="2">
        <f t="shared" ca="1" si="61"/>
        <v>11678869.988236647</v>
      </c>
    </row>
    <row r="15" spans="1:63" x14ac:dyDescent="0.3">
      <c r="A15" s="2">
        <v>14</v>
      </c>
      <c r="B15" s="2">
        <f t="shared" ca="1" si="0"/>
        <v>0.24019036947906081</v>
      </c>
      <c r="C15" s="2">
        <f t="shared" ca="1" si="1"/>
        <v>6.6930950432358625</v>
      </c>
      <c r="D15" s="2">
        <f t="shared" ca="1" si="2"/>
        <v>0.62413168270306518</v>
      </c>
      <c r="E15" s="2">
        <f t="shared" ca="1" si="3"/>
        <v>7.6329725295044746</v>
      </c>
      <c r="F15" s="2">
        <f t="shared" ca="1" si="4"/>
        <v>0.60786376307687484</v>
      </c>
      <c r="G15" s="2">
        <f t="shared" ca="1" si="5"/>
        <v>4.8212666936267551E-2</v>
      </c>
      <c r="H15" s="2">
        <f t="shared" ca="1" si="6"/>
        <v>4.8212666936267551E-2</v>
      </c>
      <c r="I15" s="2">
        <f t="shared" ca="1" si="7"/>
        <v>0.95633416183027697</v>
      </c>
      <c r="J15" s="2">
        <f t="shared" ca="1" si="8"/>
        <v>1.854822128767418E-2</v>
      </c>
      <c r="K15" s="2">
        <f t="shared" ca="1" si="9"/>
        <v>1.854822128767418E-2</v>
      </c>
      <c r="L15" s="2">
        <f t="shared" ca="1" si="10"/>
        <v>0.9638980040704358</v>
      </c>
      <c r="M15" s="2">
        <f t="shared" ca="1" si="11"/>
        <v>3.5956594932976989E-2</v>
      </c>
      <c r="N15" s="2">
        <f t="shared" ca="1" si="12"/>
        <v>3.5956594932976989E-2</v>
      </c>
      <c r="O15" s="2">
        <f t="shared" si="13"/>
        <v>6000000</v>
      </c>
      <c r="P15" s="2">
        <f t="shared" ca="1" si="14"/>
        <v>40158570.259415172</v>
      </c>
      <c r="Q15" s="2">
        <f t="shared" ca="1" si="15"/>
        <v>1003964.2564853793</v>
      </c>
      <c r="R15" s="2">
        <f t="shared" ca="1" si="16"/>
        <v>24095142.155649103</v>
      </c>
      <c r="S15" s="2">
        <f t="shared" ca="1" si="17"/>
        <v>16063428.103766069</v>
      </c>
      <c r="T15" s="2">
        <f t="shared" ca="1" si="18"/>
        <v>51797829.746648848</v>
      </c>
      <c r="U15" s="2">
        <f t="shared" ca="1" si="19"/>
        <v>54295141.260245517</v>
      </c>
      <c r="V15" s="2">
        <f t="shared" ca="1" si="20"/>
        <v>56912854.822083324</v>
      </c>
      <c r="W15" s="2">
        <f t="shared" ca="1" si="21"/>
        <v>59656775.336012572</v>
      </c>
      <c r="X15" s="2">
        <f t="shared" ca="1" si="22"/>
        <v>62532987.575779483</v>
      </c>
      <c r="Y15" s="2">
        <f t="shared" ca="1" si="23"/>
        <v>0.12927411064383709</v>
      </c>
      <c r="Z15" s="2">
        <f t="shared" ca="1" si="24"/>
        <v>0.13298375490137193</v>
      </c>
      <c r="AA15" s="2">
        <f t="shared" ca="1" si="25"/>
        <v>6696118.3737789197</v>
      </c>
      <c r="AB15" s="2">
        <f t="shared" ca="1" si="26"/>
        <v>7220371.7576878564</v>
      </c>
      <c r="AC15" s="2">
        <f t="shared" ca="1" si="27"/>
        <v>7568485.1363972928</v>
      </c>
      <c r="AD15" s="2">
        <f t="shared" ca="1" si="28"/>
        <v>7933381.9894905062</v>
      </c>
      <c r="AE15" s="2">
        <f t="shared" ca="1" si="29"/>
        <v>8315871.4930279944</v>
      </c>
      <c r="AF15" s="2">
        <f t="shared" ca="1" si="30"/>
        <v>1035956.594932977</v>
      </c>
      <c r="AG15" s="2">
        <f t="shared" ca="1" si="31"/>
        <v>1085902.8252049102</v>
      </c>
      <c r="AH15" s="2">
        <f t="shared" ca="1" si="32"/>
        <v>1138257.0964416666</v>
      </c>
      <c r="AI15" s="2">
        <f t="shared" ca="1" si="33"/>
        <v>1193135.5067202514</v>
      </c>
      <c r="AJ15" s="2">
        <f t="shared" ca="1" si="34"/>
        <v>1250659.7515155897</v>
      </c>
      <c r="AK15" s="2">
        <f t="shared" ca="1" si="35"/>
        <v>0</v>
      </c>
      <c r="AL15" s="2">
        <f t="shared" ca="1" si="36"/>
        <v>24973.115135966687</v>
      </c>
      <c r="AM15" s="2">
        <f t="shared" ca="1" si="37"/>
        <v>26177.135618378074</v>
      </c>
      <c r="AN15" s="2">
        <f t="shared" ca="1" si="38"/>
        <v>27439.20513929248</v>
      </c>
      <c r="AO15" s="2">
        <f t="shared" ca="1" si="39"/>
        <v>28762.122397669107</v>
      </c>
      <c r="AP15" s="2">
        <f t="shared" ca="1" si="40"/>
        <v>2168562.7940084194</v>
      </c>
      <c r="AQ15" s="2">
        <f t="shared" ca="1" si="41"/>
        <v>907815.73605775612</v>
      </c>
      <c r="AR15" s="2">
        <f t="shared" ca="1" si="42"/>
        <v>1031135.5960033771</v>
      </c>
      <c r="AS15" s="2">
        <f t="shared" ca="1" si="43"/>
        <v>1108032.9639462738</v>
      </c>
      <c r="AT15" s="2">
        <f t="shared" ca="1" si="44"/>
        <v>1188637.7590780773</v>
      </c>
      <c r="AU15" s="2">
        <f t="shared" ca="1" si="45"/>
        <v>1273128.7263510365</v>
      </c>
      <c r="AV15" s="2">
        <f t="shared" ca="1" si="46"/>
        <v>2583783.2487797667</v>
      </c>
      <c r="AW15" s="2">
        <f t="shared" ca="1" si="47"/>
        <v>2909797.4273351836</v>
      </c>
      <c r="AX15" s="2">
        <f t="shared" ca="1" si="48"/>
        <v>3127455.1463825549</v>
      </c>
      <c r="AY15" s="2">
        <f t="shared" ca="1" si="49"/>
        <v>3355606.724544466</v>
      </c>
      <c r="AZ15" s="2">
        <f t="shared" ca="1" si="50"/>
        <v>3594758.09875528</v>
      </c>
      <c r="BA15" s="2">
        <f t="shared" ca="1" si="51"/>
        <v>63474818.66517204</v>
      </c>
      <c r="BB15" s="2">
        <f t="shared" ca="1" si="52"/>
        <v>1269496.3733034409</v>
      </c>
      <c r="BC15" s="2">
        <f t="shared" ca="1" si="53"/>
        <v>38110180.136219494</v>
      </c>
      <c r="BD15" s="2">
        <f t="shared" ca="1" si="54"/>
        <v>-17567392.360251449</v>
      </c>
      <c r="BE15" s="2">
        <f t="shared" ca="1" si="55"/>
        <v>2583783.2487797667</v>
      </c>
      <c r="BF15" s="2">
        <f t="shared" ca="1" si="56"/>
        <v>2909797.4273351836</v>
      </c>
      <c r="BG15" s="2">
        <f t="shared" ca="1" si="57"/>
        <v>3127455.1463825549</v>
      </c>
      <c r="BH15" s="2">
        <f t="shared" ca="1" si="58"/>
        <v>3355606.724544466</v>
      </c>
      <c r="BI15" s="2">
        <f t="shared" ca="1" si="59"/>
        <v>41704938.234974772</v>
      </c>
      <c r="BJ15" s="2">
        <f t="shared" ca="1" si="60"/>
        <v>0.29949688785101936</v>
      </c>
      <c r="BK15" s="2">
        <f t="shared" ca="1" si="61"/>
        <v>15082341.170193966</v>
      </c>
    </row>
    <row r="16" spans="1:63" x14ac:dyDescent="0.3">
      <c r="A16" s="2">
        <v>15</v>
      </c>
      <c r="B16" s="2">
        <f t="shared" ca="1" si="0"/>
        <v>0.7943852493552761</v>
      </c>
      <c r="C16" s="2">
        <f t="shared" ca="1" si="1"/>
        <v>7.358728215738874</v>
      </c>
      <c r="D16" s="2">
        <f t="shared" ca="1" si="2"/>
        <v>1.8529366386473622E-2</v>
      </c>
      <c r="E16" s="2">
        <f t="shared" ca="1" si="3"/>
        <v>6.6925064486528889</v>
      </c>
      <c r="F16" s="2">
        <f t="shared" ca="1" si="4"/>
        <v>0.61464291624708056</v>
      </c>
      <c r="G16" s="2">
        <f t="shared" ca="1" si="5"/>
        <v>4.8743225833531446E-2</v>
      </c>
      <c r="H16" s="2">
        <f t="shared" ca="1" si="6"/>
        <v>4.8743225833531446E-2</v>
      </c>
      <c r="I16" s="2">
        <f t="shared" ca="1" si="7"/>
        <v>0.96350769468101161</v>
      </c>
      <c r="J16" s="2">
        <f t="shared" ca="1" si="8"/>
        <v>1.8964634587011555E-2</v>
      </c>
      <c r="K16" s="2">
        <f t="shared" ca="1" si="9"/>
        <v>1.8964634587011555E-2</v>
      </c>
      <c r="L16" s="2">
        <f t="shared" ca="1" si="10"/>
        <v>0.94172019096599058</v>
      </c>
      <c r="M16" s="2">
        <f t="shared" ca="1" si="11"/>
        <v>3.1387583111628724E-2</v>
      </c>
      <c r="N16" s="2">
        <f t="shared" ca="1" si="12"/>
        <v>3.1387583111628724E-2</v>
      </c>
      <c r="O16" s="2">
        <f t="shared" si="13"/>
        <v>6000000</v>
      </c>
      <c r="P16" s="2">
        <f t="shared" ca="1" si="14"/>
        <v>44152369.294433244</v>
      </c>
      <c r="Q16" s="2">
        <f t="shared" ca="1" si="15"/>
        <v>1103809.2323608312</v>
      </c>
      <c r="R16" s="2">
        <f t="shared" ca="1" si="16"/>
        <v>26491421.576659944</v>
      </c>
      <c r="S16" s="2">
        <f t="shared" ca="1" si="17"/>
        <v>17660947.7177733</v>
      </c>
      <c r="T16" s="2">
        <f t="shared" ca="1" si="18"/>
        <v>51569379.155581437</v>
      </c>
      <c r="U16" s="2">
        <f t="shared" ca="1" si="19"/>
        <v>54083037.049856953</v>
      </c>
      <c r="V16" s="2">
        <f t="shared" ca="1" si="20"/>
        <v>56719218.73854138</v>
      </c>
      <c r="W16" s="2">
        <f t="shared" ca="1" si="21"/>
        <v>59483896.426615566</v>
      </c>
      <c r="X16" s="2">
        <f t="shared" ca="1" si="22"/>
        <v>62383333.423596479</v>
      </c>
      <c r="Y16" s="2">
        <f t="shared" ca="1" si="23"/>
        <v>0.12948231729350576</v>
      </c>
      <c r="Z16" s="2">
        <f t="shared" ca="1" si="24"/>
        <v>0.13327524421090808</v>
      </c>
      <c r="AA16" s="2">
        <f t="shared" ca="1" si="25"/>
        <v>6677322.7144520981</v>
      </c>
      <c r="AB16" s="2">
        <f t="shared" ca="1" si="26"/>
        <v>7207929.9704872752</v>
      </c>
      <c r="AC16" s="2">
        <f t="shared" ca="1" si="27"/>
        <v>7559267.7288310165</v>
      </c>
      <c r="AD16" s="2">
        <f t="shared" ca="1" si="28"/>
        <v>7927730.8228735523</v>
      </c>
      <c r="AE16" s="2">
        <f t="shared" ca="1" si="29"/>
        <v>8314153.9967203252</v>
      </c>
      <c r="AF16" s="2">
        <f t="shared" ca="1" si="30"/>
        <v>1031387.5831116288</v>
      </c>
      <c r="AG16" s="2">
        <f t="shared" ca="1" si="31"/>
        <v>1081660.7409971391</v>
      </c>
      <c r="AH16" s="2">
        <f t="shared" ca="1" si="32"/>
        <v>1134384.3747708276</v>
      </c>
      <c r="AI16" s="2">
        <f t="shared" ca="1" si="33"/>
        <v>1189677.9285323115</v>
      </c>
      <c r="AJ16" s="2">
        <f t="shared" ca="1" si="34"/>
        <v>1247666.6684719296</v>
      </c>
      <c r="AK16" s="2">
        <f t="shared" ca="1" si="35"/>
        <v>0</v>
      </c>
      <c r="AL16" s="2">
        <f t="shared" ca="1" si="36"/>
        <v>25136.578942755164</v>
      </c>
      <c r="AM16" s="2">
        <f t="shared" ca="1" si="37"/>
        <v>26361.816886844263</v>
      </c>
      <c r="AN16" s="2">
        <f t="shared" ca="1" si="38"/>
        <v>27646.776880741865</v>
      </c>
      <c r="AO16" s="2">
        <f t="shared" ca="1" si="39"/>
        <v>28994.36996980913</v>
      </c>
      <c r="AP16" s="2">
        <f t="shared" ca="1" si="40"/>
        <v>2384227.9418993951</v>
      </c>
      <c r="AQ16" s="2">
        <f t="shared" ca="1" si="41"/>
        <v>848043.8692546793</v>
      </c>
      <c r="AR16" s="2">
        <f t="shared" ca="1" si="42"/>
        <v>972930.73477359267</v>
      </c>
      <c r="AS16" s="2">
        <f t="shared" ca="1" si="43"/>
        <v>1050570.4071618065</v>
      </c>
      <c r="AT16" s="2">
        <f t="shared" ca="1" si="44"/>
        <v>1131994.4876348798</v>
      </c>
      <c r="AU16" s="2">
        <f t="shared" ca="1" si="45"/>
        <v>1217387.44045074</v>
      </c>
      <c r="AV16" s="2">
        <f t="shared" ca="1" si="46"/>
        <v>2413663.3201863947</v>
      </c>
      <c r="AW16" s="2">
        <f t="shared" ca="1" si="47"/>
        <v>2743973.9738743925</v>
      </c>
      <c r="AX16" s="2">
        <f t="shared" ca="1" si="48"/>
        <v>2963723.188112143</v>
      </c>
      <c r="AY16" s="2">
        <f t="shared" ca="1" si="49"/>
        <v>3194183.687926224</v>
      </c>
      <c r="AZ16" s="2">
        <f t="shared" ca="1" si="50"/>
        <v>3435877.575928451</v>
      </c>
      <c r="BA16" s="2">
        <f t="shared" ca="1" si="51"/>
        <v>55642529.238143966</v>
      </c>
      <c r="BB16" s="2">
        <f t="shared" ca="1" si="52"/>
        <v>1112850.5847628794</v>
      </c>
      <c r="BC16" s="2">
        <f t="shared" ca="1" si="53"/>
        <v>28038257.076721143</v>
      </c>
      <c r="BD16" s="2">
        <f t="shared" ca="1" si="54"/>
        <v>-19264756.950134132</v>
      </c>
      <c r="BE16" s="2">
        <f t="shared" ca="1" si="55"/>
        <v>2413663.3201863947</v>
      </c>
      <c r="BF16" s="2">
        <f t="shared" ca="1" si="56"/>
        <v>2743973.9738743925</v>
      </c>
      <c r="BG16" s="2">
        <f t="shared" ca="1" si="57"/>
        <v>2963723.188112143</v>
      </c>
      <c r="BH16" s="2">
        <f t="shared" ca="1" si="58"/>
        <v>3194183.687926224</v>
      </c>
      <c r="BI16" s="2">
        <f t="shared" ca="1" si="59"/>
        <v>31474134.652649593</v>
      </c>
      <c r="BJ16" s="2">
        <f t="shared" ca="1" si="60"/>
        <v>0.20847126229395596</v>
      </c>
      <c r="BK16" s="2">
        <f t="shared" ca="1" si="61"/>
        <v>7076529.2050030939</v>
      </c>
    </row>
    <row r="17" spans="1:63" x14ac:dyDescent="0.3">
      <c r="A17" s="2">
        <v>16</v>
      </c>
      <c r="B17" s="2">
        <f t="shared" ca="1" si="0"/>
        <v>2.9766727002696558E-2</v>
      </c>
      <c r="C17" s="2">
        <f t="shared" ca="1" si="1"/>
        <v>6.243994782742158</v>
      </c>
      <c r="D17" s="2">
        <f t="shared" ca="1" si="2"/>
        <v>0.42557864627544717</v>
      </c>
      <c r="E17" s="2">
        <f t="shared" ca="1" si="3"/>
        <v>7.4225818622490332</v>
      </c>
      <c r="F17" s="2">
        <f t="shared" ca="1" si="4"/>
        <v>0.91560724713656694</v>
      </c>
      <c r="G17" s="2">
        <f t="shared" ca="1" si="5"/>
        <v>8.128350103003873E-2</v>
      </c>
      <c r="H17" s="2">
        <f t="shared" ca="1" si="6"/>
        <v>8.128350103003873E-2</v>
      </c>
      <c r="I17" s="2">
        <f t="shared" ca="1" si="7"/>
        <v>2.6163915682264616E-2</v>
      </c>
      <c r="J17" s="2">
        <f t="shared" ca="1" si="8"/>
        <v>2.978655537573642E-4</v>
      </c>
      <c r="K17" s="2">
        <f t="shared" ca="1" si="9"/>
        <v>2.978655537573642E-4</v>
      </c>
      <c r="L17" s="2">
        <f t="shared" ca="1" si="10"/>
        <v>0.50298758957796219</v>
      </c>
      <c r="M17" s="2">
        <f t="shared" ca="1" si="11"/>
        <v>1.4977693015596737E-4</v>
      </c>
      <c r="N17" s="2">
        <f t="shared" ca="1" si="12"/>
        <v>1.4977693015596737E-4</v>
      </c>
      <c r="O17" s="2">
        <f t="shared" si="13"/>
        <v>6000000</v>
      </c>
      <c r="P17" s="2">
        <f t="shared" ca="1" si="14"/>
        <v>37463968.696452945</v>
      </c>
      <c r="Q17" s="2">
        <f t="shared" ca="1" si="15"/>
        <v>936599.21741132368</v>
      </c>
      <c r="R17" s="2">
        <f t="shared" ca="1" si="16"/>
        <v>22478381.217871767</v>
      </c>
      <c r="S17" s="2">
        <f t="shared" ca="1" si="17"/>
        <v>14985587.478581179</v>
      </c>
      <c r="T17" s="2">
        <f t="shared" ca="1" si="18"/>
        <v>50007488.846507795</v>
      </c>
      <c r="U17" s="2">
        <f t="shared" ca="1" si="19"/>
        <v>54072272.617672563</v>
      </c>
      <c r="V17" s="2">
        <f t="shared" ca="1" si="20"/>
        <v>58467456.244687691</v>
      </c>
      <c r="W17" s="2">
        <f t="shared" ca="1" si="21"/>
        <v>63219895.784576513</v>
      </c>
      <c r="X17" s="2">
        <f t="shared" ca="1" si="22"/>
        <v>68358630.248701081</v>
      </c>
      <c r="Y17" s="2">
        <f t="shared" ca="1" si="23"/>
        <v>0.12014893277687867</v>
      </c>
      <c r="Z17" s="2">
        <f t="shared" ca="1" si="24"/>
        <v>0.12020850588763016</v>
      </c>
      <c r="AA17" s="2">
        <f t="shared" ca="1" si="25"/>
        <v>6008346.4157595746</v>
      </c>
      <c r="AB17" s="2">
        <f t="shared" ca="1" si="26"/>
        <v>6499947.1013190355</v>
      </c>
      <c r="AC17" s="2">
        <f t="shared" ca="1" si="27"/>
        <v>7028285.558224299</v>
      </c>
      <c r="AD17" s="2">
        <f t="shared" ca="1" si="28"/>
        <v>7599569.2146356311</v>
      </c>
      <c r="AE17" s="2">
        <f t="shared" ca="1" si="29"/>
        <v>8217288.8067213167</v>
      </c>
      <c r="AF17" s="2">
        <f t="shared" ca="1" si="30"/>
        <v>1000149.7769301559</v>
      </c>
      <c r="AG17" s="2">
        <f t="shared" ca="1" si="31"/>
        <v>1081445.4523534512</v>
      </c>
      <c r="AH17" s="2">
        <f t="shared" ca="1" si="32"/>
        <v>1169349.1248937538</v>
      </c>
      <c r="AI17" s="2">
        <f t="shared" ca="1" si="33"/>
        <v>1264397.9156915303</v>
      </c>
      <c r="AJ17" s="2">
        <f t="shared" ca="1" si="34"/>
        <v>1367172.6049740217</v>
      </c>
      <c r="AK17" s="2">
        <f t="shared" ca="1" si="35"/>
        <v>0</v>
      </c>
      <c r="AL17" s="2">
        <f t="shared" ca="1" si="36"/>
        <v>40647.837711647677</v>
      </c>
      <c r="AM17" s="2">
        <f t="shared" ca="1" si="37"/>
        <v>43951.836270151289</v>
      </c>
      <c r="AN17" s="2">
        <f t="shared" ca="1" si="38"/>
        <v>47524.395398888213</v>
      </c>
      <c r="AO17" s="2">
        <f t="shared" ca="1" si="39"/>
        <v>51387.344641245676</v>
      </c>
      <c r="AP17" s="2">
        <f t="shared" ca="1" si="40"/>
        <v>2023054.309608459</v>
      </c>
      <c r="AQ17" s="2">
        <f t="shared" ca="1" si="41"/>
        <v>776137.00559744949</v>
      </c>
      <c r="AR17" s="2">
        <f t="shared" ca="1" si="42"/>
        <v>882816.30823285261</v>
      </c>
      <c r="AS17" s="2">
        <f t="shared" ca="1" si="43"/>
        <v>997329.35216774244</v>
      </c>
      <c r="AT17" s="2">
        <f t="shared" ca="1" si="44"/>
        <v>1121150.4172272668</v>
      </c>
      <c r="AU17" s="2">
        <f t="shared" ca="1" si="45"/>
        <v>1255036.0919560972</v>
      </c>
      <c r="AV17" s="2">
        <f t="shared" ca="1" si="46"/>
        <v>2209005.3236235096</v>
      </c>
      <c r="AW17" s="2">
        <f t="shared" ca="1" si="47"/>
        <v>2471983.1934126248</v>
      </c>
      <c r="AX17" s="2">
        <f t="shared" ca="1" si="48"/>
        <v>2794600.9352841922</v>
      </c>
      <c r="AY17" s="2">
        <f t="shared" ca="1" si="49"/>
        <v>3143442.1767094866</v>
      </c>
      <c r="AZ17" s="2">
        <f t="shared" ca="1" si="50"/>
        <v>3520638.455541492</v>
      </c>
      <c r="BA17" s="2">
        <f t="shared" ca="1" si="51"/>
        <v>60993498.853631645</v>
      </c>
      <c r="BB17" s="2">
        <f t="shared" ca="1" si="52"/>
        <v>1219869.9770726329</v>
      </c>
      <c r="BC17" s="2">
        <f t="shared" ca="1" si="53"/>
        <v>37295247.658687241</v>
      </c>
      <c r="BD17" s="2">
        <f t="shared" ca="1" si="54"/>
        <v>-16422186.695992503</v>
      </c>
      <c r="BE17" s="2">
        <f t="shared" ca="1" si="55"/>
        <v>2209005.3236235096</v>
      </c>
      <c r="BF17" s="2">
        <f t="shared" ca="1" si="56"/>
        <v>2471983.1934126248</v>
      </c>
      <c r="BG17" s="2">
        <f t="shared" ca="1" si="57"/>
        <v>2794600.9352841922</v>
      </c>
      <c r="BH17" s="2">
        <f t="shared" ca="1" si="58"/>
        <v>3143442.1767094866</v>
      </c>
      <c r="BI17" s="2">
        <f t="shared" ca="1" si="59"/>
        <v>40815886.114228733</v>
      </c>
      <c r="BJ17" s="2">
        <f t="shared" ca="1" si="60"/>
        <v>0.30202720840945041</v>
      </c>
      <c r="BK17" s="2">
        <f t="shared" ca="1" si="61"/>
        <v>14667675.352152292</v>
      </c>
    </row>
    <row r="18" spans="1:63" x14ac:dyDescent="0.3">
      <c r="A18" s="2">
        <v>17</v>
      </c>
      <c r="B18" s="2">
        <f t="shared" ca="1" si="0"/>
        <v>0.48640787632696991</v>
      </c>
      <c r="C18" s="2">
        <f t="shared" ca="1" si="1"/>
        <v>6.9863142261236728</v>
      </c>
      <c r="D18" s="2">
        <f t="shared" ca="1" si="2"/>
        <v>0.59392788615528724</v>
      </c>
      <c r="E18" s="2">
        <f t="shared" ca="1" si="3"/>
        <v>7.5988095497124784</v>
      </c>
      <c r="F18" s="2">
        <f t="shared" ca="1" si="4"/>
        <v>0.38940547311190132</v>
      </c>
      <c r="G18" s="2">
        <f t="shared" ca="1" si="5"/>
        <v>3.1573932655015978E-2</v>
      </c>
      <c r="H18" s="2">
        <f t="shared" ca="1" si="6"/>
        <v>3.1573932655015978E-2</v>
      </c>
      <c r="I18" s="2">
        <f t="shared" ca="1" si="7"/>
        <v>0.69855466073450889</v>
      </c>
      <c r="J18" s="2">
        <f t="shared" ca="1" si="8"/>
        <v>1.260124039764542E-2</v>
      </c>
      <c r="K18" s="2">
        <f t="shared" ca="1" si="9"/>
        <v>1.260124039764542E-2</v>
      </c>
      <c r="L18" s="2">
        <f t="shared" ca="1" si="10"/>
        <v>0.78287054846574022</v>
      </c>
      <c r="M18" s="2">
        <f t="shared" ca="1" si="11"/>
        <v>1.5638491447280644E-2</v>
      </c>
      <c r="N18" s="2">
        <f t="shared" ca="1" si="12"/>
        <v>1.5638491447280644E-2</v>
      </c>
      <c r="O18" s="2">
        <f t="shared" si="13"/>
        <v>6000000</v>
      </c>
      <c r="P18" s="2">
        <f t="shared" ca="1" si="14"/>
        <v>41917885.356742039</v>
      </c>
      <c r="Q18" s="2">
        <f t="shared" ca="1" si="15"/>
        <v>1047947.133918551</v>
      </c>
      <c r="R18" s="2">
        <f t="shared" ca="1" si="16"/>
        <v>25150731.214045223</v>
      </c>
      <c r="S18" s="2">
        <f t="shared" ca="1" si="17"/>
        <v>16767154.142696816</v>
      </c>
      <c r="T18" s="2">
        <f t="shared" ca="1" si="18"/>
        <v>50781924.572364032</v>
      </c>
      <c r="U18" s="2">
        <f t="shared" ca="1" si="19"/>
        <v>52385309.638903953</v>
      </c>
      <c r="V18" s="2">
        <f t="shared" ca="1" si="20"/>
        <v>54039319.877554864</v>
      </c>
      <c r="W18" s="2">
        <f t="shared" ca="1" si="21"/>
        <v>55745553.724091649</v>
      </c>
      <c r="X18" s="2">
        <f t="shared" ca="1" si="22"/>
        <v>57505660.083192691</v>
      </c>
      <c r="Y18" s="2">
        <f t="shared" ca="1" si="23"/>
        <v>0.12630062019882271</v>
      </c>
      <c r="Z18" s="2">
        <f t="shared" ca="1" si="24"/>
        <v>0.12882086827835179</v>
      </c>
      <c r="AA18" s="2">
        <f t="shared" ca="1" si="25"/>
        <v>6413788.5683794124</v>
      </c>
      <c r="AB18" s="2">
        <f t="shared" ca="1" si="26"/>
        <v>6748321.072713919</v>
      </c>
      <c r="AC18" s="2">
        <f t="shared" ca="1" si="27"/>
        <v>6961392.1077982131</v>
      </c>
      <c r="AD18" s="2">
        <f t="shared" ca="1" si="28"/>
        <v>7181190.6333949938</v>
      </c>
      <c r="AE18" s="2">
        <f t="shared" ca="1" si="29"/>
        <v>7407929.0628366377</v>
      </c>
      <c r="AF18" s="2">
        <f t="shared" ca="1" si="30"/>
        <v>1015638.4914472806</v>
      </c>
      <c r="AG18" s="2">
        <f t="shared" ca="1" si="31"/>
        <v>1047706.1927780791</v>
      </c>
      <c r="AH18" s="2">
        <f t="shared" ca="1" si="32"/>
        <v>1080786.3975510972</v>
      </c>
      <c r="AI18" s="2">
        <f t="shared" ca="1" si="33"/>
        <v>1114911.074481833</v>
      </c>
      <c r="AJ18" s="2">
        <f t="shared" ca="1" si="34"/>
        <v>1150113.2016638538</v>
      </c>
      <c r="AK18" s="2">
        <f t="shared" ca="1" si="35"/>
        <v>0</v>
      </c>
      <c r="AL18" s="2">
        <f t="shared" ca="1" si="36"/>
        <v>16033.85066539921</v>
      </c>
      <c r="AM18" s="2">
        <f t="shared" ca="1" si="37"/>
        <v>16540.102386509105</v>
      </c>
      <c r="AN18" s="2">
        <f t="shared" ca="1" si="38"/>
        <v>17062.338465367855</v>
      </c>
      <c r="AO18" s="2">
        <f t="shared" ca="1" si="39"/>
        <v>17601.063591010421</v>
      </c>
      <c r="AP18" s="2">
        <f t="shared" ca="1" si="40"/>
        <v>2263565.8092640699</v>
      </c>
      <c r="AQ18" s="2">
        <f t="shared" ca="1" si="41"/>
        <v>814991.90959369624</v>
      </c>
      <c r="AR18" s="2">
        <f t="shared" ca="1" si="42"/>
        <v>893632.75837466028</v>
      </c>
      <c r="AS18" s="2">
        <f t="shared" ca="1" si="43"/>
        <v>940430.37425559212</v>
      </c>
      <c r="AT18" s="2">
        <f t="shared" ca="1" si="44"/>
        <v>988705.57490876375</v>
      </c>
      <c r="AU18" s="2">
        <f t="shared" ca="1" si="45"/>
        <v>1038505.0134962657</v>
      </c>
      <c r="AV18" s="2">
        <f t="shared" ca="1" si="46"/>
        <v>2319592.3580743666</v>
      </c>
      <c r="AW18" s="2">
        <f t="shared" ca="1" si="47"/>
        <v>2527382.4616317111</v>
      </c>
      <c r="AX18" s="2">
        <f t="shared" ca="1" si="48"/>
        <v>2660069.4243409452</v>
      </c>
      <c r="AY18" s="2">
        <f t="shared" ca="1" si="49"/>
        <v>2796945.8362749596</v>
      </c>
      <c r="AZ18" s="2">
        <f t="shared" ca="1" si="50"/>
        <v>2938143.9748214376</v>
      </c>
      <c r="BA18" s="2">
        <f t="shared" ca="1" si="51"/>
        <v>56291442.106275655</v>
      </c>
      <c r="BB18" s="2">
        <f t="shared" ca="1" si="52"/>
        <v>1125828.8421255131</v>
      </c>
      <c r="BC18" s="2">
        <f t="shared" ca="1" si="53"/>
        <v>30014882.05010492</v>
      </c>
      <c r="BD18" s="2">
        <f t="shared" ca="1" si="54"/>
        <v>-18315101.276615366</v>
      </c>
      <c r="BE18" s="2">
        <f t="shared" ca="1" si="55"/>
        <v>2319592.3580743666</v>
      </c>
      <c r="BF18" s="2">
        <f t="shared" ca="1" si="56"/>
        <v>2527382.4616317111</v>
      </c>
      <c r="BG18" s="2">
        <f t="shared" ca="1" si="57"/>
        <v>2660069.4243409452</v>
      </c>
      <c r="BH18" s="2">
        <f t="shared" ca="1" si="58"/>
        <v>2796945.8362749596</v>
      </c>
      <c r="BI18" s="2">
        <f t="shared" ca="1" si="59"/>
        <v>32953026.024926357</v>
      </c>
      <c r="BJ18" s="2">
        <f t="shared" ca="1" si="60"/>
        <v>0.2233174983052737</v>
      </c>
      <c r="BK18" s="2">
        <f t="shared" ca="1" si="61"/>
        <v>8140103.614518065</v>
      </c>
    </row>
    <row r="19" spans="1:63" x14ac:dyDescent="0.3">
      <c r="A19" s="2">
        <v>18</v>
      </c>
      <c r="B19" s="2">
        <f t="shared" ca="1" si="0"/>
        <v>7.6378647438060776E-2</v>
      </c>
      <c r="C19" s="2">
        <f t="shared" ca="1" si="1"/>
        <v>6.390841777291171</v>
      </c>
      <c r="D19" s="2">
        <f t="shared" ca="1" si="2"/>
        <v>0.33632906013709296</v>
      </c>
      <c r="E19" s="2">
        <f t="shared" ca="1" si="3"/>
        <v>7.3201573753092672</v>
      </c>
      <c r="F19" s="2">
        <f t="shared" ca="1" si="4"/>
        <v>0.29741771584296273</v>
      </c>
      <c r="G19" s="2">
        <f t="shared" ca="1" si="5"/>
        <v>2.4044740037257914E-2</v>
      </c>
      <c r="H19" s="2">
        <f t="shared" ca="1" si="6"/>
        <v>2.4044740037257914E-2</v>
      </c>
      <c r="I19" s="2">
        <f t="shared" ca="1" si="7"/>
        <v>0.7135831631247761</v>
      </c>
      <c r="J19" s="2">
        <f t="shared" ca="1" si="8"/>
        <v>1.2819415635713644E-2</v>
      </c>
      <c r="K19" s="2">
        <f t="shared" ca="1" si="9"/>
        <v>1.2819415635713644E-2</v>
      </c>
      <c r="L19" s="2">
        <f t="shared" ca="1" si="10"/>
        <v>0.69561104368231019</v>
      </c>
      <c r="M19" s="2">
        <f t="shared" ca="1" si="11"/>
        <v>1.0236373683145665E-2</v>
      </c>
      <c r="N19" s="2">
        <f t="shared" ca="1" si="12"/>
        <v>1.0236373683145665E-2</v>
      </c>
      <c r="O19" s="2">
        <f t="shared" si="13"/>
        <v>6000000</v>
      </c>
      <c r="P19" s="2">
        <f t="shared" ca="1" si="14"/>
        <v>38345050.663747028</v>
      </c>
      <c r="Q19" s="2">
        <f t="shared" ca="1" si="15"/>
        <v>958626.26659367571</v>
      </c>
      <c r="R19" s="2">
        <f t="shared" ca="1" si="16"/>
        <v>23007030.398248214</v>
      </c>
      <c r="S19" s="2">
        <f t="shared" ca="1" si="17"/>
        <v>15338020.265498811</v>
      </c>
      <c r="T19" s="2">
        <f t="shared" ca="1" si="18"/>
        <v>50511818.684157282</v>
      </c>
      <c r="U19" s="2">
        <f t="shared" ca="1" si="19"/>
        <v>51726362.233226947</v>
      </c>
      <c r="V19" s="2">
        <f t="shared" ca="1" si="20"/>
        <v>52970109.166197926</v>
      </c>
      <c r="W19" s="2">
        <f t="shared" ca="1" si="21"/>
        <v>54243761.670844324</v>
      </c>
      <c r="X19" s="2">
        <f t="shared" ca="1" si="22"/>
        <v>55548038.818862751</v>
      </c>
      <c r="Y19" s="2">
        <f t="shared" ca="1" si="23"/>
        <v>0.12640970781785682</v>
      </c>
      <c r="Z19" s="2">
        <f t="shared" ca="1" si="24"/>
        <v>0.12897359094499955</v>
      </c>
      <c r="AA19" s="2">
        <f t="shared" ca="1" si="25"/>
        <v>6385184.241212883</v>
      </c>
      <c r="AB19" s="2">
        <f t="shared" ca="1" si="26"/>
        <v>6671334.6837410862</v>
      </c>
      <c r="AC19" s="2">
        <f t="shared" ca="1" si="27"/>
        <v>6831745.1919131828</v>
      </c>
      <c r="AD19" s="2">
        <f t="shared" ca="1" si="28"/>
        <v>6996012.7290535215</v>
      </c>
      <c r="AE19" s="2">
        <f t="shared" ca="1" si="29"/>
        <v>7164230.03642096</v>
      </c>
      <c r="AF19" s="2">
        <f t="shared" ca="1" si="30"/>
        <v>1010236.3736831456</v>
      </c>
      <c r="AG19" s="2">
        <f t="shared" ca="1" si="31"/>
        <v>1034527.244664539</v>
      </c>
      <c r="AH19" s="2">
        <f t="shared" ca="1" si="32"/>
        <v>1059402.1833239584</v>
      </c>
      <c r="AI19" s="2">
        <f t="shared" ca="1" si="33"/>
        <v>1084875.2334168865</v>
      </c>
      <c r="AJ19" s="2">
        <f t="shared" ca="1" si="34"/>
        <v>1110960.7763772551</v>
      </c>
      <c r="AK19" s="2">
        <f t="shared" ca="1" si="35"/>
        <v>0</v>
      </c>
      <c r="AL19" s="2">
        <f t="shared" ca="1" si="36"/>
        <v>12145.435490696655</v>
      </c>
      <c r="AM19" s="2">
        <f t="shared" ca="1" si="37"/>
        <v>12437.469329709784</v>
      </c>
      <c r="AN19" s="2">
        <f t="shared" ca="1" si="38"/>
        <v>12736.525046463981</v>
      </c>
      <c r="AO19" s="2">
        <f t="shared" ca="1" si="39"/>
        <v>13042.771480184272</v>
      </c>
      <c r="AP19" s="2">
        <f t="shared" ca="1" si="40"/>
        <v>2070632.7358423392</v>
      </c>
      <c r="AQ19" s="2">
        <f t="shared" ca="1" si="41"/>
        <v>859121.9342387236</v>
      </c>
      <c r="AR19" s="2">
        <f t="shared" ca="1" si="42"/>
        <v>927205.4228408942</v>
      </c>
      <c r="AS19" s="2">
        <f t="shared" ca="1" si="43"/>
        <v>962444.67091419036</v>
      </c>
      <c r="AT19" s="2">
        <f t="shared" ca="1" si="44"/>
        <v>998531.23754651682</v>
      </c>
      <c r="AU19" s="2">
        <f t="shared" ca="1" si="45"/>
        <v>1035485.4962923551</v>
      </c>
      <c r="AV19" s="2">
        <f t="shared" ca="1" si="46"/>
        <v>2445193.1974486751</v>
      </c>
      <c r="AW19" s="2">
        <f t="shared" ca="1" si="47"/>
        <v>2626823.8449026174</v>
      </c>
      <c r="AX19" s="2">
        <f t="shared" ca="1" si="48"/>
        <v>2726828.1325029847</v>
      </c>
      <c r="AY19" s="2">
        <f t="shared" ca="1" si="49"/>
        <v>2829236.9972013147</v>
      </c>
      <c r="AZ19" s="2">
        <f t="shared" ca="1" si="50"/>
        <v>2934108.2564288261</v>
      </c>
      <c r="BA19" s="2">
        <f t="shared" ca="1" si="51"/>
        <v>52443291.339519069</v>
      </c>
      <c r="BB19" s="2">
        <f t="shared" ca="1" si="52"/>
        <v>1048865.8267903815</v>
      </c>
      <c r="BC19" s="2">
        <f t="shared" ca="1" si="53"/>
        <v>28387395.114480473</v>
      </c>
      <c r="BD19" s="2">
        <f t="shared" ca="1" si="54"/>
        <v>-16796646.532092489</v>
      </c>
      <c r="BE19" s="2">
        <f t="shared" ca="1" si="55"/>
        <v>2445193.1974486751</v>
      </c>
      <c r="BF19" s="2">
        <f t="shared" ca="1" si="56"/>
        <v>2626823.8449026174</v>
      </c>
      <c r="BG19" s="2">
        <f t="shared" ca="1" si="57"/>
        <v>2726828.1325029847</v>
      </c>
      <c r="BH19" s="2">
        <f t="shared" ca="1" si="58"/>
        <v>2829236.9972013147</v>
      </c>
      <c r="BI19" s="2">
        <f t="shared" ca="1" si="59"/>
        <v>31321503.3709093</v>
      </c>
      <c r="BJ19" s="2">
        <f t="shared" ca="1" si="60"/>
        <v>0.24358231183965851</v>
      </c>
      <c r="BK19" s="2">
        <f t="shared" ca="1" si="61"/>
        <v>8992245.4043220095</v>
      </c>
    </row>
    <row r="20" spans="1:63" x14ac:dyDescent="0.3">
      <c r="A20" s="2">
        <v>19</v>
      </c>
      <c r="B20" s="2">
        <f t="shared" ca="1" si="0"/>
        <v>0.25961515227278598</v>
      </c>
      <c r="C20" s="2">
        <f t="shared" ca="1" si="1"/>
        <v>6.7205763696830285</v>
      </c>
      <c r="D20" s="2">
        <f t="shared" ca="1" si="2"/>
        <v>0.73877641549236595</v>
      </c>
      <c r="E20" s="2">
        <f t="shared" ca="1" si="3"/>
        <v>7.7771949301400358</v>
      </c>
      <c r="F20" s="2">
        <f t="shared" ca="1" si="4"/>
        <v>0.95924971684837557</v>
      </c>
      <c r="G20" s="2">
        <f t="shared" ca="1" si="5"/>
        <v>9.2261350700555342E-2</v>
      </c>
      <c r="H20" s="2">
        <f t="shared" ca="1" si="6"/>
        <v>9.2261350700555342E-2</v>
      </c>
      <c r="I20" s="2">
        <f t="shared" ca="1" si="7"/>
        <v>0.62267610851514588</v>
      </c>
      <c r="J20" s="2">
        <f t="shared" ca="1" si="8"/>
        <v>1.1562584095117342E-2</v>
      </c>
      <c r="K20" s="2">
        <f t="shared" ca="1" si="9"/>
        <v>1.1562584095117342E-2</v>
      </c>
      <c r="L20" s="2">
        <f t="shared" ca="1" si="10"/>
        <v>1.2644673828804187E-2</v>
      </c>
      <c r="M20" s="2">
        <f t="shared" ca="1" si="11"/>
        <v>-4.4739079695009336E-2</v>
      </c>
      <c r="N20" s="2">
        <f t="shared" ca="1" si="12"/>
        <v>-4.4739079695009336E-2</v>
      </c>
      <c r="O20" s="2">
        <f t="shared" si="13"/>
        <v>6000000</v>
      </c>
      <c r="P20" s="2">
        <f t="shared" ca="1" si="14"/>
        <v>40323458.218098171</v>
      </c>
      <c r="Q20" s="2">
        <f t="shared" ca="1" si="15"/>
        <v>1008086.4554524543</v>
      </c>
      <c r="R20" s="2">
        <f t="shared" ca="1" si="16"/>
        <v>24194074.930858903</v>
      </c>
      <c r="S20" s="2">
        <f t="shared" ca="1" si="17"/>
        <v>16129383.287239268</v>
      </c>
      <c r="T20" s="2">
        <f t="shared" ca="1" si="18"/>
        <v>47763046.015249535</v>
      </c>
      <c r="U20" s="2">
        <f t="shared" ca="1" si="19"/>
        <v>52169729.154189236</v>
      </c>
      <c r="V20" s="2">
        <f t="shared" ca="1" si="20"/>
        <v>56982978.831636883</v>
      </c>
      <c r="W20" s="2">
        <f t="shared" ca="1" si="21"/>
        <v>62240305.42558486</v>
      </c>
      <c r="X20" s="2">
        <f t="shared" ca="1" si="22"/>
        <v>67982680.072164431</v>
      </c>
      <c r="Y20" s="2">
        <f t="shared" ca="1" si="23"/>
        <v>0.12578129204755867</v>
      </c>
      <c r="Z20" s="2">
        <f t="shared" ca="1" si="24"/>
        <v>0.12809380886658214</v>
      </c>
      <c r="AA20" s="2">
        <f t="shared" ca="1" si="25"/>
        <v>6007697.639925085</v>
      </c>
      <c r="AB20" s="2">
        <f t="shared" ca="1" si="26"/>
        <v>6682619.3148980737</v>
      </c>
      <c r="AC20" s="2">
        <f t="shared" ca="1" si="27"/>
        <v>7299166.7991081914</v>
      </c>
      <c r="AD20" s="2">
        <f t="shared" ca="1" si="28"/>
        <v>7972597.7869825624</v>
      </c>
      <c r="AE20" s="2">
        <f t="shared" ca="1" si="29"/>
        <v>8708160.4274018332</v>
      </c>
      <c r="AF20" s="2">
        <f t="shared" ca="1" si="30"/>
        <v>955260.92030499072</v>
      </c>
      <c r="AG20" s="2">
        <f t="shared" ca="1" si="31"/>
        <v>1043394.5830837848</v>
      </c>
      <c r="AH20" s="2">
        <f t="shared" ca="1" si="32"/>
        <v>1139659.5766327376</v>
      </c>
      <c r="AI20" s="2">
        <f t="shared" ca="1" si="33"/>
        <v>1244806.1085116973</v>
      </c>
      <c r="AJ20" s="2">
        <f t="shared" ca="1" si="34"/>
        <v>1359653.6014432886</v>
      </c>
      <c r="AK20" s="2">
        <f t="shared" ca="1" si="35"/>
        <v>0</v>
      </c>
      <c r="AL20" s="2">
        <f t="shared" ca="1" si="36"/>
        <v>44066.831389397012</v>
      </c>
      <c r="AM20" s="2">
        <f t="shared" ca="1" si="37"/>
        <v>48132.496774476473</v>
      </c>
      <c r="AN20" s="2">
        <f t="shared" ca="1" si="38"/>
        <v>52573.265939479767</v>
      </c>
      <c r="AO20" s="2">
        <f t="shared" ca="1" si="39"/>
        <v>57423.74646579571</v>
      </c>
      <c r="AP20" s="2">
        <f t="shared" ca="1" si="40"/>
        <v>2177466.7437773012</v>
      </c>
      <c r="AQ20" s="2">
        <f t="shared" ca="1" si="41"/>
        <v>747492.19371912628</v>
      </c>
      <c r="AR20" s="2">
        <f t="shared" ca="1" si="42"/>
        <v>900057.07688961679</v>
      </c>
      <c r="AS20" s="2">
        <f t="shared" ca="1" si="43"/>
        <v>1035330.5244615198</v>
      </c>
      <c r="AT20" s="2">
        <f t="shared" ca="1" si="44"/>
        <v>1183084.4830203266</v>
      </c>
      <c r="AU20" s="2">
        <f t="shared" ca="1" si="45"/>
        <v>1344470.4213671233</v>
      </c>
      <c r="AV20" s="2">
        <f t="shared" ca="1" si="46"/>
        <v>2127477.7821236672</v>
      </c>
      <c r="AW20" s="2">
        <f t="shared" ca="1" si="47"/>
        <v>2517634.0797579736</v>
      </c>
      <c r="AX20" s="2">
        <f t="shared" ca="1" si="48"/>
        <v>2898577.4574621571</v>
      </c>
      <c r="AY20" s="2">
        <f t="shared" ca="1" si="49"/>
        <v>3314667.1857337579</v>
      </c>
      <c r="AZ20" s="2">
        <f t="shared" ca="1" si="50"/>
        <v>3769145.9143483248</v>
      </c>
      <c r="BA20" s="2">
        <f t="shared" ca="1" si="51"/>
        <v>67725061.126835629</v>
      </c>
      <c r="BB20" s="2">
        <f t="shared" ca="1" si="52"/>
        <v>1354501.2225367127</v>
      </c>
      <c r="BC20" s="2">
        <f t="shared" ca="1" si="53"/>
        <v>42176484.973440014</v>
      </c>
      <c r="BD20" s="2">
        <f t="shared" ca="1" si="54"/>
        <v>-17637469.742691722</v>
      </c>
      <c r="BE20" s="2">
        <f t="shared" ca="1" si="55"/>
        <v>2127477.7821236672</v>
      </c>
      <c r="BF20" s="2">
        <f t="shared" ca="1" si="56"/>
        <v>2517634.0797579736</v>
      </c>
      <c r="BG20" s="2">
        <f t="shared" ca="1" si="57"/>
        <v>2898577.4574621571</v>
      </c>
      <c r="BH20" s="2">
        <f t="shared" ca="1" si="58"/>
        <v>3314667.1857337579</v>
      </c>
      <c r="BI20" s="2">
        <f t="shared" ca="1" si="59"/>
        <v>45945630.88778834</v>
      </c>
      <c r="BJ20" s="2">
        <f t="shared" ca="1" si="60"/>
        <v>0.30601868977660907</v>
      </c>
      <c r="BK20" s="2">
        <f t="shared" ca="1" si="61"/>
        <v>16509572.435717057</v>
      </c>
    </row>
    <row r="21" spans="1:63" x14ac:dyDescent="0.3">
      <c r="A21" s="2">
        <v>20</v>
      </c>
      <c r="B21" s="2">
        <f t="shared" ca="1" si="0"/>
        <v>0.83147577857427868</v>
      </c>
      <c r="C21" s="2">
        <f t="shared" ca="1" si="1"/>
        <v>7.4194412666650837</v>
      </c>
      <c r="D21" s="2">
        <f t="shared" ca="1" si="2"/>
        <v>1.0107869009640669E-2</v>
      </c>
      <c r="E21" s="2">
        <f t="shared" ca="1" si="3"/>
        <v>6.6421820594142638</v>
      </c>
      <c r="F21" s="2">
        <f t="shared" ca="1" si="4"/>
        <v>0.73551478203660581</v>
      </c>
      <c r="G21" s="2">
        <f t="shared" ca="1" si="5"/>
        <v>5.8887353075346628E-2</v>
      </c>
      <c r="H21" s="2">
        <f t="shared" ca="1" si="6"/>
        <v>5.8887353075346628E-2</v>
      </c>
      <c r="I21" s="2">
        <f t="shared" ca="1" si="7"/>
        <v>0.51002967221207629</v>
      </c>
      <c r="J21" s="2">
        <f t="shared" ca="1" si="8"/>
        <v>1.0125716544543903E-2</v>
      </c>
      <c r="K21" s="2">
        <f t="shared" ca="1" si="9"/>
        <v>1.0125716544543903E-2</v>
      </c>
      <c r="L21" s="2">
        <f t="shared" ca="1" si="10"/>
        <v>0.59215465817644231</v>
      </c>
      <c r="M21" s="2">
        <f t="shared" ca="1" si="11"/>
        <v>4.6618215392228643E-3</v>
      </c>
      <c r="N21" s="2">
        <f t="shared" ca="1" si="12"/>
        <v>4.6618215392228643E-3</v>
      </c>
      <c r="O21" s="2">
        <f t="shared" si="13"/>
        <v>6000000</v>
      </c>
      <c r="P21" s="2">
        <f t="shared" ca="1" si="14"/>
        <v>44516647.599990502</v>
      </c>
      <c r="Q21" s="2">
        <f t="shared" ca="1" si="15"/>
        <v>1112916.1899997627</v>
      </c>
      <c r="R21" s="2">
        <f t="shared" ca="1" si="16"/>
        <v>26709988.559994299</v>
      </c>
      <c r="S21" s="2">
        <f t="shared" ca="1" si="17"/>
        <v>17806659.039996203</v>
      </c>
      <c r="T21" s="2">
        <f t="shared" ca="1" si="18"/>
        <v>50233091.076961145</v>
      </c>
      <c r="U21" s="2">
        <f t="shared" ca="1" si="19"/>
        <v>53191184.847276203</v>
      </c>
      <c r="V21" s="2">
        <f t="shared" ca="1" si="20"/>
        <v>56323472.929873787</v>
      </c>
      <c r="W21" s="2">
        <f t="shared" ca="1" si="21"/>
        <v>59640213.166724995</v>
      </c>
      <c r="X21" s="2">
        <f t="shared" ca="1" si="22"/>
        <v>63152267.456962869</v>
      </c>
      <c r="Y21" s="2">
        <f t="shared" ca="1" si="23"/>
        <v>0.12506285827227195</v>
      </c>
      <c r="Z21" s="2">
        <f t="shared" ca="1" si="24"/>
        <v>0.12708800158118072</v>
      </c>
      <c r="AA21" s="2">
        <f t="shared" ca="1" si="25"/>
        <v>6282293.9499361208</v>
      </c>
      <c r="AB21" s="2">
        <f t="shared" ca="1" si="26"/>
        <v>6759961.3839755142</v>
      </c>
      <c r="AC21" s="2">
        <f t="shared" ca="1" si="27"/>
        <v>7158037.6167693892</v>
      </c>
      <c r="AD21" s="2">
        <f t="shared" ca="1" si="28"/>
        <v>7579555.5052347016</v>
      </c>
      <c r="AE21" s="2">
        <f t="shared" ca="1" si="29"/>
        <v>8025895.4664256452</v>
      </c>
      <c r="AF21" s="2">
        <f t="shared" ca="1" si="30"/>
        <v>1004661.821539223</v>
      </c>
      <c r="AG21" s="2">
        <f t="shared" ca="1" si="31"/>
        <v>1063823.6969455241</v>
      </c>
      <c r="AH21" s="2">
        <f t="shared" ca="1" si="32"/>
        <v>1126469.4585974757</v>
      </c>
      <c r="AI21" s="2">
        <f t="shared" ca="1" si="33"/>
        <v>1192804.2633344999</v>
      </c>
      <c r="AJ21" s="2">
        <f t="shared" ca="1" si="34"/>
        <v>1263045.3491392573</v>
      </c>
      <c r="AK21" s="2">
        <f t="shared" ca="1" si="35"/>
        <v>0</v>
      </c>
      <c r="AL21" s="2">
        <f t="shared" ca="1" si="36"/>
        <v>29580.937703150586</v>
      </c>
      <c r="AM21" s="2">
        <f t="shared" ca="1" si="37"/>
        <v>31322.880825975837</v>
      </c>
      <c r="AN21" s="2">
        <f t="shared" ca="1" si="38"/>
        <v>33167.402368512077</v>
      </c>
      <c r="AO21" s="2">
        <f t="shared" ca="1" si="39"/>
        <v>35120.542902378736</v>
      </c>
      <c r="AP21" s="2">
        <f t="shared" ca="1" si="40"/>
        <v>2403898.9703994868</v>
      </c>
      <c r="AQ21" s="2">
        <f t="shared" ca="1" si="41"/>
        <v>747170.62107932684</v>
      </c>
      <c r="AR21" s="2">
        <f t="shared" ca="1" si="42"/>
        <v>855982.06632393098</v>
      </c>
      <c r="AS21" s="2">
        <f t="shared" ca="1" si="43"/>
        <v>943193.98882083094</v>
      </c>
      <c r="AT21" s="2">
        <f t="shared" ca="1" si="44"/>
        <v>1035541.590590186</v>
      </c>
      <c r="AU21" s="2">
        <f t="shared" ca="1" si="45"/>
        <v>1133327.2981905942</v>
      </c>
      <c r="AV21" s="2">
        <f t="shared" ca="1" si="46"/>
        <v>2126562.5369180841</v>
      </c>
      <c r="AW21" s="2">
        <f t="shared" ca="1" si="47"/>
        <v>2406675.7126034219</v>
      </c>
      <c r="AX21" s="2">
        <f t="shared" ca="1" si="48"/>
        <v>2653152.3181256196</v>
      </c>
      <c r="AY21" s="2">
        <f t="shared" ca="1" si="49"/>
        <v>2914143.2785420166</v>
      </c>
      <c r="AZ21" s="2">
        <f t="shared" ca="1" si="50"/>
        <v>3190503.3057939289</v>
      </c>
      <c r="BA21" s="2">
        <f t="shared" ca="1" si="51"/>
        <v>53309458.877826698</v>
      </c>
      <c r="BB21" s="2">
        <f t="shared" ca="1" si="52"/>
        <v>1066189.1775565341</v>
      </c>
      <c r="BC21" s="2">
        <f t="shared" ca="1" si="53"/>
        <v>25533281.140275866</v>
      </c>
      <c r="BD21" s="2">
        <f t="shared" ca="1" si="54"/>
        <v>-19419575.229995966</v>
      </c>
      <c r="BE21" s="2">
        <f t="shared" ca="1" si="55"/>
        <v>2126562.5369180841</v>
      </c>
      <c r="BF21" s="2">
        <f t="shared" ca="1" si="56"/>
        <v>2406675.7126034219</v>
      </c>
      <c r="BG21" s="2">
        <f t="shared" ca="1" si="57"/>
        <v>2653152.3181256196</v>
      </c>
      <c r="BH21" s="2">
        <f t="shared" ca="1" si="58"/>
        <v>2914143.2785420166</v>
      </c>
      <c r="BI21" s="2">
        <f t="shared" ca="1" si="59"/>
        <v>28723784.446069796</v>
      </c>
      <c r="BJ21" s="2">
        <f t="shared" ca="1" si="60"/>
        <v>0.1767987096359529</v>
      </c>
      <c r="BK21" s="2">
        <f t="shared" ca="1" si="61"/>
        <v>4436827.3077916801</v>
      </c>
    </row>
    <row r="22" spans="1:63" x14ac:dyDescent="0.3">
      <c r="A22" s="2">
        <v>21</v>
      </c>
      <c r="B22" s="2">
        <f t="shared" ca="1" si="0"/>
        <v>0.35256815510762352</v>
      </c>
      <c r="C22" s="2">
        <f t="shared" ca="1" si="1"/>
        <v>6.8397239488160659</v>
      </c>
      <c r="D22" s="2">
        <f t="shared" ca="1" si="2"/>
        <v>0.56257116327970402</v>
      </c>
      <c r="E22" s="2">
        <f t="shared" ca="1" si="3"/>
        <v>7.5646617331464556</v>
      </c>
      <c r="F22" s="2">
        <f t="shared" ca="1" si="4"/>
        <v>0.28210455920984268</v>
      </c>
      <c r="G22" s="2">
        <f t="shared" ca="1" si="5"/>
        <v>2.2701974213698153E-2</v>
      </c>
      <c r="H22" s="2">
        <f t="shared" ca="1" si="6"/>
        <v>2.2701974213698153E-2</v>
      </c>
      <c r="I22" s="2">
        <f t="shared" ca="1" si="7"/>
        <v>0.2500393227434522</v>
      </c>
      <c r="J22" s="2">
        <f t="shared" ca="1" si="8"/>
        <v>6.6281699400436364E-3</v>
      </c>
      <c r="K22" s="2">
        <f t="shared" ca="1" si="9"/>
        <v>6.6281699400436364E-3</v>
      </c>
      <c r="L22" s="2">
        <f t="shared" ca="1" si="10"/>
        <v>0.74409547205919513</v>
      </c>
      <c r="M22" s="2">
        <f t="shared" ca="1" si="11"/>
        <v>1.3120468387072528E-2</v>
      </c>
      <c r="N22" s="2">
        <f t="shared" ca="1" si="12"/>
        <v>1.3120468387072528E-2</v>
      </c>
      <c r="O22" s="2">
        <f t="shared" si="13"/>
        <v>6000000</v>
      </c>
      <c r="P22" s="2">
        <f t="shared" ca="1" si="14"/>
        <v>41038343.692896396</v>
      </c>
      <c r="Q22" s="2">
        <f t="shared" ca="1" si="15"/>
        <v>1025958.59232241</v>
      </c>
      <c r="R22" s="2">
        <f t="shared" ca="1" si="16"/>
        <v>24623006.215737838</v>
      </c>
      <c r="S22" s="2">
        <f t="shared" ca="1" si="17"/>
        <v>16415337.477158559</v>
      </c>
      <c r="T22" s="2">
        <f t="shared" ca="1" si="18"/>
        <v>50656023.419353627</v>
      </c>
      <c r="U22" s="2">
        <f t="shared" ca="1" si="19"/>
        <v>51806015.15678829</v>
      </c>
      <c r="V22" s="2">
        <f t="shared" ca="1" si="20"/>
        <v>52982113.97699216</v>
      </c>
      <c r="W22" s="2">
        <f t="shared" ca="1" si="21"/>
        <v>54184912.562285058</v>
      </c>
      <c r="X22" s="2">
        <f t="shared" ca="1" si="22"/>
        <v>55415017.05004555</v>
      </c>
      <c r="Y22" s="2">
        <f t="shared" ca="1" si="23"/>
        <v>0.12331408497002182</v>
      </c>
      <c r="Z22" s="2">
        <f t="shared" ca="1" si="24"/>
        <v>0.12463971895803054</v>
      </c>
      <c r="AA22" s="2">
        <f t="shared" ca="1" si="25"/>
        <v>6246601.1761775883</v>
      </c>
      <c r="AB22" s="2">
        <f t="shared" ca="1" si="26"/>
        <v>6457087.1694775634</v>
      </c>
      <c r="AC22" s="2">
        <f t="shared" ca="1" si="27"/>
        <v>6603675.7958946442</v>
      </c>
      <c r="AD22" s="2">
        <f t="shared" ca="1" si="28"/>
        <v>6753592.2735286681</v>
      </c>
      <c r="AE22" s="2">
        <f t="shared" ca="1" si="29"/>
        <v>6906912.1511721481</v>
      </c>
      <c r="AF22" s="2">
        <f t="shared" ca="1" si="30"/>
        <v>1013120.4683870726</v>
      </c>
      <c r="AG22" s="2">
        <f t="shared" ca="1" si="31"/>
        <v>1036120.3031357658</v>
      </c>
      <c r="AH22" s="2">
        <f t="shared" ca="1" si="32"/>
        <v>1059642.2795398433</v>
      </c>
      <c r="AI22" s="2">
        <f t="shared" ca="1" si="33"/>
        <v>1083698.2512457012</v>
      </c>
      <c r="AJ22" s="2">
        <f t="shared" ca="1" si="34"/>
        <v>1108300.3410009111</v>
      </c>
      <c r="AK22" s="2">
        <f t="shared" ca="1" si="35"/>
        <v>0</v>
      </c>
      <c r="AL22" s="2">
        <f t="shared" ca="1" si="36"/>
        <v>11499.917374346629</v>
      </c>
      <c r="AM22" s="2">
        <f t="shared" ca="1" si="37"/>
        <v>11760.988202038705</v>
      </c>
      <c r="AN22" s="2">
        <f t="shared" ca="1" si="38"/>
        <v>12027.985852928981</v>
      </c>
      <c r="AO22" s="2">
        <f t="shared" ca="1" si="39"/>
        <v>12301.044877604916</v>
      </c>
      <c r="AP22" s="2">
        <f t="shared" ca="1" si="40"/>
        <v>2216070.5594164054</v>
      </c>
      <c r="AQ22" s="2">
        <f t="shared" ca="1" si="41"/>
        <v>784526.63857726858</v>
      </c>
      <c r="AR22" s="2">
        <f t="shared" ca="1" si="42"/>
        <v>833273.03980060201</v>
      </c>
      <c r="AS22" s="2">
        <f t="shared" ca="1" si="43"/>
        <v>865270.36880398297</v>
      </c>
      <c r="AT22" s="2">
        <f t="shared" ca="1" si="44"/>
        <v>897994.1003453061</v>
      </c>
      <c r="AU22" s="2">
        <f t="shared" ca="1" si="45"/>
        <v>931460.7251962563</v>
      </c>
      <c r="AV22" s="2">
        <f t="shared" ca="1" si="46"/>
        <v>2232883.5097968415</v>
      </c>
      <c r="AW22" s="2">
        <f t="shared" ca="1" si="47"/>
        <v>2360123.3497504438</v>
      </c>
      <c r="AX22" s="2">
        <f t="shared" ca="1" si="48"/>
        <v>2450931.599932374</v>
      </c>
      <c r="AY22" s="2">
        <f t="shared" ca="1" si="49"/>
        <v>2543801.376668327</v>
      </c>
      <c r="AZ22" s="2">
        <f t="shared" ca="1" si="50"/>
        <v>2638779.4806809709</v>
      </c>
      <c r="BA22" s="2">
        <f t="shared" ca="1" si="51"/>
        <v>52248454.044176213</v>
      </c>
      <c r="BB22" s="2">
        <f t="shared" ca="1" si="52"/>
        <v>1044969.0808835243</v>
      </c>
      <c r="BC22" s="2">
        <f t="shared" ca="1" si="53"/>
        <v>26580478.74755485</v>
      </c>
      <c r="BD22" s="2">
        <f t="shared" ca="1" si="54"/>
        <v>-17941296.069480971</v>
      </c>
      <c r="BE22" s="2">
        <f t="shared" ca="1" si="55"/>
        <v>2232883.5097968415</v>
      </c>
      <c r="BF22" s="2">
        <f t="shared" ca="1" si="56"/>
        <v>2360123.3497504438</v>
      </c>
      <c r="BG22" s="2">
        <f t="shared" ca="1" si="57"/>
        <v>2450931.599932374</v>
      </c>
      <c r="BH22" s="2">
        <f t="shared" ca="1" si="58"/>
        <v>2543801.376668327</v>
      </c>
      <c r="BI22" s="2">
        <f t="shared" ca="1" si="59"/>
        <v>29219258.228235822</v>
      </c>
      <c r="BJ22" s="2">
        <f t="shared" ca="1" si="60"/>
        <v>0.19911593411300976</v>
      </c>
      <c r="BK22" s="2">
        <f t="shared" ca="1" si="61"/>
        <v>5874774.0932903849</v>
      </c>
    </row>
    <row r="23" spans="1:63" x14ac:dyDescent="0.3">
      <c r="A23" s="2">
        <v>22</v>
      </c>
      <c r="B23" s="2">
        <f t="shared" ca="1" si="0"/>
        <v>0.58164740702349449</v>
      </c>
      <c r="C23" s="2">
        <f t="shared" ca="1" si="1"/>
        <v>7.0852840954957594</v>
      </c>
      <c r="D23" s="2">
        <f t="shared" ca="1" si="2"/>
        <v>0.95454054020530654</v>
      </c>
      <c r="E23" s="2">
        <f t="shared" ca="1" si="3"/>
        <v>8.1984723568403943</v>
      </c>
      <c r="F23" s="2">
        <f t="shared" ca="1" si="4"/>
        <v>0.32574545625511664</v>
      </c>
      <c r="G23" s="2">
        <f t="shared" ca="1" si="5"/>
        <v>2.6449241259475682E-2</v>
      </c>
      <c r="H23" s="2">
        <f t="shared" ca="1" si="6"/>
        <v>2.6449241259475682E-2</v>
      </c>
      <c r="I23" s="2">
        <f t="shared" ca="1" si="7"/>
        <v>3.0254601277009852E-2</v>
      </c>
      <c r="J23" s="2">
        <f t="shared" ca="1" si="8"/>
        <v>6.1467561569967209E-4</v>
      </c>
      <c r="K23" s="2">
        <f t="shared" ca="1" si="9"/>
        <v>6.1467561569967209E-4</v>
      </c>
      <c r="L23" s="2">
        <f t="shared" ca="1" si="10"/>
        <v>0.15284087188498585</v>
      </c>
      <c r="M23" s="2">
        <f t="shared" ca="1" si="11"/>
        <v>-2.0486502106596131E-2</v>
      </c>
      <c r="N23" s="2">
        <f t="shared" ca="1" si="12"/>
        <v>-2.0486502106596131E-2</v>
      </c>
      <c r="O23" s="2">
        <f t="shared" si="13"/>
        <v>6000000</v>
      </c>
      <c r="P23" s="2">
        <f t="shared" ca="1" si="14"/>
        <v>42511704.572974555</v>
      </c>
      <c r="Q23" s="2">
        <f t="shared" ca="1" si="15"/>
        <v>1062792.6143243639</v>
      </c>
      <c r="R23" s="2">
        <f t="shared" ca="1" si="16"/>
        <v>25507022.743784733</v>
      </c>
      <c r="S23" s="2">
        <f t="shared" ca="1" si="17"/>
        <v>17004681.829189822</v>
      </c>
      <c r="T23" s="2">
        <f t="shared" ca="1" si="18"/>
        <v>48975674.894670196</v>
      </c>
      <c r="U23" s="2">
        <f t="shared" ca="1" si="19"/>
        <v>50271044.335804977</v>
      </c>
      <c r="V23" s="2">
        <f t="shared" ca="1" si="20"/>
        <v>51600675.315808482</v>
      </c>
      <c r="W23" s="2">
        <f t="shared" ca="1" si="21"/>
        <v>52965474.026388176</v>
      </c>
      <c r="X23" s="2">
        <f t="shared" ca="1" si="22"/>
        <v>54366370.62733461</v>
      </c>
      <c r="Y23" s="2">
        <f t="shared" ca="1" si="23"/>
        <v>0.12030733780784983</v>
      </c>
      <c r="Z23" s="2">
        <f t="shared" ca="1" si="24"/>
        <v>0.12043027293098976</v>
      </c>
      <c r="AA23" s="2">
        <f t="shared" ca="1" si="25"/>
        <v>5892133.0639205175</v>
      </c>
      <c r="AB23" s="2">
        <f t="shared" ca="1" si="26"/>
        <v>6054155.5898868805</v>
      </c>
      <c r="AC23" s="2">
        <f t="shared" ca="1" si="27"/>
        <v>6214283.4117062017</v>
      </c>
      <c r="AD23" s="2">
        <f t="shared" ca="1" si="28"/>
        <v>6378646.4929171773</v>
      </c>
      <c r="AE23" s="2">
        <f t="shared" ca="1" si="29"/>
        <v>6547356.8529172521</v>
      </c>
      <c r="AF23" s="2">
        <f t="shared" ca="1" si="30"/>
        <v>979513.49789340398</v>
      </c>
      <c r="AG23" s="2">
        <f t="shared" ca="1" si="31"/>
        <v>1005420.8867160996</v>
      </c>
      <c r="AH23" s="2">
        <f t="shared" ca="1" si="32"/>
        <v>1032013.5063161696</v>
      </c>
      <c r="AI23" s="2">
        <f t="shared" ca="1" si="33"/>
        <v>1059309.4805277635</v>
      </c>
      <c r="AJ23" s="2">
        <f t="shared" ca="1" si="34"/>
        <v>1087327.4125466922</v>
      </c>
      <c r="AK23" s="2">
        <f t="shared" ca="1" si="35"/>
        <v>0</v>
      </c>
      <c r="AL23" s="2">
        <f t="shared" ca="1" si="36"/>
        <v>12953.694411347808</v>
      </c>
      <c r="AM23" s="2">
        <f t="shared" ca="1" si="37"/>
        <v>13296.30980003506</v>
      </c>
      <c r="AN23" s="2">
        <f t="shared" ca="1" si="38"/>
        <v>13647.987105796934</v>
      </c>
      <c r="AO23" s="2">
        <f t="shared" ca="1" si="39"/>
        <v>14008.966009464339</v>
      </c>
      <c r="AP23" s="2">
        <f t="shared" ca="1" si="40"/>
        <v>2295632.0469406261</v>
      </c>
      <c r="AQ23" s="2">
        <f t="shared" ca="1" si="41"/>
        <v>680416.75496248668</v>
      </c>
      <c r="AR23" s="2">
        <f t="shared" ca="1" si="42"/>
        <v>715806.69061984029</v>
      </c>
      <c r="AS23" s="2">
        <f t="shared" ca="1" si="43"/>
        <v>750525.8431968455</v>
      </c>
      <c r="AT23" s="2">
        <f t="shared" ca="1" si="44"/>
        <v>786163.29101668485</v>
      </c>
      <c r="AU23" s="2">
        <f t="shared" ca="1" si="45"/>
        <v>822743.32229178271</v>
      </c>
      <c r="AV23" s="2">
        <f t="shared" ca="1" si="46"/>
        <v>1936570.7641240009</v>
      </c>
      <c r="AW23" s="2">
        <f t="shared" ca="1" si="47"/>
        <v>2024342.271198967</v>
      </c>
      <c r="AX23" s="2">
        <f t="shared" ca="1" si="48"/>
        <v>2122815.7054525246</v>
      </c>
      <c r="AY23" s="2">
        <f t="shared" ca="1" si="49"/>
        <v>2223893.687326306</v>
      </c>
      <c r="AZ23" s="2">
        <f t="shared" ca="1" si="50"/>
        <v>2327645.1051286864</v>
      </c>
      <c r="BA23" s="2">
        <f t="shared" ca="1" si="51"/>
        <v>53678324.169011608</v>
      </c>
      <c r="BB23" s="2">
        <f t="shared" ca="1" si="52"/>
        <v>1073566.4833802322</v>
      </c>
      <c r="BC23" s="2">
        <f t="shared" ca="1" si="53"/>
        <v>27097734.941846643</v>
      </c>
      <c r="BD23" s="2">
        <f t="shared" ca="1" si="54"/>
        <v>-18567474.443514187</v>
      </c>
      <c r="BE23" s="2">
        <f t="shared" ca="1" si="55"/>
        <v>1936570.7641240009</v>
      </c>
      <c r="BF23" s="2">
        <f t="shared" ca="1" si="56"/>
        <v>2024342.271198967</v>
      </c>
      <c r="BG23" s="2">
        <f t="shared" ca="1" si="57"/>
        <v>2122815.7054525246</v>
      </c>
      <c r="BH23" s="2">
        <f t="shared" ca="1" si="58"/>
        <v>2223893.687326306</v>
      </c>
      <c r="BI23" s="2">
        <f t="shared" ca="1" si="59"/>
        <v>29425380.04697533</v>
      </c>
      <c r="BJ23" s="2">
        <f t="shared" ca="1" si="60"/>
        <v>0.17740229894931003</v>
      </c>
      <c r="BK23" s="2">
        <f t="shared" ca="1" si="61"/>
        <v>4396453.6705652475</v>
      </c>
    </row>
    <row r="24" spans="1:63" x14ac:dyDescent="0.3">
      <c r="A24" s="2">
        <v>23</v>
      </c>
      <c r="B24" s="2">
        <f t="shared" ca="1" si="0"/>
        <v>0.4208520328596268</v>
      </c>
      <c r="C24" s="2">
        <f t="shared" ca="1" si="1"/>
        <v>6.9174443120534637</v>
      </c>
      <c r="D24" s="2">
        <f t="shared" ca="1" si="2"/>
        <v>0.87145256316425124</v>
      </c>
      <c r="E24" s="2">
        <f t="shared" ca="1" si="3"/>
        <v>7.9929547617110508</v>
      </c>
      <c r="F24" s="2">
        <f t="shared" ca="1" si="4"/>
        <v>0.73270325527593505</v>
      </c>
      <c r="G24" s="2">
        <f t="shared" ca="1" si="5"/>
        <v>5.8630279671346971E-2</v>
      </c>
      <c r="H24" s="2">
        <f t="shared" ca="1" si="6"/>
        <v>5.8630279671346971E-2</v>
      </c>
      <c r="I24" s="2">
        <f t="shared" ca="1" si="7"/>
        <v>0.63297620310044989</v>
      </c>
      <c r="J24" s="2">
        <f t="shared" ca="1" si="8"/>
        <v>1.169873148222742E-2</v>
      </c>
      <c r="K24" s="2">
        <f t="shared" ca="1" si="9"/>
        <v>1.169873148222742E-2</v>
      </c>
      <c r="L24" s="2">
        <f t="shared" ca="1" si="10"/>
        <v>0.29524743887098936</v>
      </c>
      <c r="M24" s="2">
        <f t="shared" ca="1" si="11"/>
        <v>-1.0762380529599777E-2</v>
      </c>
      <c r="N24" s="2">
        <f t="shared" ca="1" si="12"/>
        <v>-1.0762380529599777E-2</v>
      </c>
      <c r="O24" s="2">
        <f t="shared" si="13"/>
        <v>6000000</v>
      </c>
      <c r="P24" s="2">
        <f t="shared" ca="1" si="14"/>
        <v>41504665.872320779</v>
      </c>
      <c r="Q24" s="2">
        <f t="shared" ca="1" si="15"/>
        <v>1037616.6468080195</v>
      </c>
      <c r="R24" s="2">
        <f t="shared" ca="1" si="16"/>
        <v>24902799.523392465</v>
      </c>
      <c r="S24" s="2">
        <f t="shared" ca="1" si="17"/>
        <v>16601866.348928312</v>
      </c>
      <c r="T24" s="2">
        <f t="shared" ca="1" si="18"/>
        <v>49461880.973520011</v>
      </c>
      <c r="U24" s="2">
        <f t="shared" ca="1" si="19"/>
        <v>52361844.888068363</v>
      </c>
      <c r="V24" s="2">
        <f t="shared" ca="1" si="20"/>
        <v>55431834.497963496</v>
      </c>
      <c r="W24" s="2">
        <f t="shared" ca="1" si="21"/>
        <v>58681818.457274914</v>
      </c>
      <c r="X24" s="2">
        <f t="shared" ca="1" si="22"/>
        <v>62122349.885048151</v>
      </c>
      <c r="Y24" s="2">
        <f t="shared" ca="1" si="23"/>
        <v>0.12584936574111372</v>
      </c>
      <c r="Z24" s="2">
        <f t="shared" ca="1" si="24"/>
        <v>0.1281891120375592</v>
      </c>
      <c r="AA24" s="2">
        <f t="shared" ca="1" si="25"/>
        <v>6224746.3488799538</v>
      </c>
      <c r="AB24" s="2">
        <f t="shared" ca="1" si="26"/>
        <v>6712218.4008498918</v>
      </c>
      <c r="AC24" s="2">
        <f t="shared" ca="1" si="27"/>
        <v>7105757.6429068819</v>
      </c>
      <c r="AD24" s="2">
        <f t="shared" ca="1" si="28"/>
        <v>7522370.2007873235</v>
      </c>
      <c r="AE24" s="2">
        <f t="shared" ca="1" si="29"/>
        <v>7963408.8694508905</v>
      </c>
      <c r="AF24" s="2">
        <f t="shared" ca="1" si="30"/>
        <v>989237.61947040027</v>
      </c>
      <c r="AG24" s="2">
        <f t="shared" ca="1" si="31"/>
        <v>1047236.8977613673</v>
      </c>
      <c r="AH24" s="2">
        <f t="shared" ca="1" si="32"/>
        <v>1108636.6899592699</v>
      </c>
      <c r="AI24" s="2">
        <f t="shared" ca="1" si="33"/>
        <v>1173636.3691454984</v>
      </c>
      <c r="AJ24" s="2">
        <f t="shared" ca="1" si="34"/>
        <v>1242446.9977009629</v>
      </c>
      <c r="AK24" s="2">
        <f t="shared" ca="1" si="35"/>
        <v>0</v>
      </c>
      <c r="AL24" s="2">
        <f t="shared" ca="1" si="36"/>
        <v>28999.639145483525</v>
      </c>
      <c r="AM24" s="2">
        <f t="shared" ca="1" si="37"/>
        <v>30699.896098951325</v>
      </c>
      <c r="AN24" s="2">
        <f t="shared" ca="1" si="38"/>
        <v>32499.839593114182</v>
      </c>
      <c r="AO24" s="2">
        <f t="shared" ca="1" si="39"/>
        <v>34405.314277732374</v>
      </c>
      <c r="AP24" s="2">
        <f t="shared" ca="1" si="40"/>
        <v>2241251.9571053218</v>
      </c>
      <c r="AQ24" s="2">
        <f t="shared" ca="1" si="41"/>
        <v>778506.76079910016</v>
      </c>
      <c r="AR24" s="2">
        <f t="shared" ca="1" si="42"/>
        <v>890169.68195563275</v>
      </c>
      <c r="AS24" s="2">
        <f t="shared" ca="1" si="43"/>
        <v>976525.93891899544</v>
      </c>
      <c r="AT24" s="2">
        <f t="shared" ca="1" si="44"/>
        <v>1067945.2873794909</v>
      </c>
      <c r="AU24" s="2">
        <f t="shared" ca="1" si="45"/>
        <v>1164724.5778075974</v>
      </c>
      <c r="AV24" s="2">
        <f t="shared" ca="1" si="46"/>
        <v>2215750.0115051307</v>
      </c>
      <c r="AW24" s="2">
        <f t="shared" ca="1" si="47"/>
        <v>2504560.2248820867</v>
      </c>
      <c r="AX24" s="2">
        <f t="shared" ca="1" si="48"/>
        <v>2748643.1608243436</v>
      </c>
      <c r="AY24" s="2">
        <f t="shared" ca="1" si="49"/>
        <v>3007036.7475638976</v>
      </c>
      <c r="AZ24" s="2">
        <f t="shared" ca="1" si="50"/>
        <v>3280580.0225592759</v>
      </c>
      <c r="BA24" s="2">
        <f t="shared" ca="1" si="51"/>
        <v>63651166.842529513</v>
      </c>
      <c r="BB24" s="2">
        <f t="shared" ca="1" si="52"/>
        <v>1273023.3368505903</v>
      </c>
      <c r="BC24" s="2">
        <f t="shared" ca="1" si="53"/>
        <v>37475343.982286461</v>
      </c>
      <c r="BD24" s="2">
        <f t="shared" ca="1" si="54"/>
        <v>-18139482.995736331</v>
      </c>
      <c r="BE24" s="2">
        <f t="shared" ca="1" si="55"/>
        <v>2215750.0115051307</v>
      </c>
      <c r="BF24" s="2">
        <f t="shared" ca="1" si="56"/>
        <v>2504560.2248820867</v>
      </c>
      <c r="BG24" s="2">
        <f t="shared" ca="1" si="57"/>
        <v>2748643.1608243436</v>
      </c>
      <c r="BH24" s="2">
        <f t="shared" ca="1" si="58"/>
        <v>3007036.7475638976</v>
      </c>
      <c r="BI24" s="2">
        <f t="shared" ca="1" si="59"/>
        <v>40755924.004845738</v>
      </c>
      <c r="BJ24" s="2">
        <f t="shared" ca="1" si="60"/>
        <v>0.26986048885812752</v>
      </c>
      <c r="BK24" s="2">
        <f t="shared" ca="1" si="61"/>
        <v>12828947.241698131</v>
      </c>
    </row>
    <row r="25" spans="1:63" x14ac:dyDescent="0.3">
      <c r="A25" s="2">
        <v>24</v>
      </c>
      <c r="B25" s="2">
        <f t="shared" ca="1" si="0"/>
        <v>0.30141397952082694</v>
      </c>
      <c r="C25" s="2">
        <f t="shared" ca="1" si="1"/>
        <v>6.7764199630622937</v>
      </c>
      <c r="D25" s="2">
        <f t="shared" ca="1" si="2"/>
        <v>0.17688564578209931</v>
      </c>
      <c r="E25" s="2">
        <f t="shared" ca="1" si="3"/>
        <v>7.0947867614231157</v>
      </c>
      <c r="F25" s="2">
        <f t="shared" ca="1" si="4"/>
        <v>0.98953037534031552</v>
      </c>
      <c r="G25" s="2">
        <f t="shared" ca="1" si="5"/>
        <v>0.10927234216497933</v>
      </c>
      <c r="H25" s="2">
        <f t="shared" ca="1" si="6"/>
        <v>0.10927234216497933</v>
      </c>
      <c r="I25" s="2">
        <f t="shared" ca="1" si="7"/>
        <v>7.7171494350288139E-2</v>
      </c>
      <c r="J25" s="2">
        <f t="shared" ca="1" si="8"/>
        <v>2.8782121254713198E-3</v>
      </c>
      <c r="K25" s="2">
        <f t="shared" ca="1" si="9"/>
        <v>2.8782121254713198E-3</v>
      </c>
      <c r="L25" s="2">
        <f t="shared" ca="1" si="10"/>
        <v>0.55771436041956113</v>
      </c>
      <c r="M25" s="2">
        <f t="shared" ca="1" si="11"/>
        <v>2.903536091640172E-3</v>
      </c>
      <c r="N25" s="2">
        <f t="shared" ca="1" si="12"/>
        <v>2.903536091640172E-3</v>
      </c>
      <c r="O25" s="2">
        <f t="shared" si="13"/>
        <v>6000000</v>
      </c>
      <c r="P25" s="2">
        <f t="shared" ca="1" si="14"/>
        <v>40658519.778373763</v>
      </c>
      <c r="Q25" s="2">
        <f t="shared" ca="1" si="15"/>
        <v>1016462.9944593441</v>
      </c>
      <c r="R25" s="2">
        <f t="shared" ca="1" si="16"/>
        <v>24395111.867024258</v>
      </c>
      <c r="S25" s="2">
        <f t="shared" ca="1" si="17"/>
        <v>16263407.911349505</v>
      </c>
      <c r="T25" s="2">
        <f t="shared" ca="1" si="18"/>
        <v>50145176.804582</v>
      </c>
      <c r="U25" s="2">
        <f t="shared" ca="1" si="19"/>
        <v>55624657.722295664</v>
      </c>
      <c r="V25" s="2">
        <f t="shared" ca="1" si="20"/>
        <v>61702894.353736214</v>
      </c>
      <c r="W25" s="2">
        <f t="shared" ca="1" si="21"/>
        <v>68445314.138127252</v>
      </c>
      <c r="X25" s="2">
        <f t="shared" ca="1" si="22"/>
        <v>75924493.924218193</v>
      </c>
      <c r="Y25" s="2">
        <f t="shared" ca="1" si="23"/>
        <v>0.12143910606273566</v>
      </c>
      <c r="Z25" s="2">
        <f t="shared" ca="1" si="24"/>
        <v>0.12201474848782992</v>
      </c>
      <c r="AA25" s="2">
        <f t="shared" ca="1" si="25"/>
        <v>6089585.4445062652</v>
      </c>
      <c r="AB25" s="2">
        <f t="shared" ca="1" si="26"/>
        <v>6787028.6217075316</v>
      </c>
      <c r="AC25" s="2">
        <f t="shared" ca="1" si="27"/>
        <v>7528663.1355422651</v>
      </c>
      <c r="AD25" s="2">
        <f t="shared" ca="1" si="28"/>
        <v>8351337.7897341065</v>
      </c>
      <c r="AE25" s="2">
        <f t="shared" ca="1" si="29"/>
        <v>9263908.0302292537</v>
      </c>
      <c r="AF25" s="2">
        <f t="shared" ca="1" si="30"/>
        <v>1002903.53609164</v>
      </c>
      <c r="AG25" s="2">
        <f t="shared" ca="1" si="31"/>
        <v>1112493.1544459134</v>
      </c>
      <c r="AH25" s="2">
        <f t="shared" ca="1" si="32"/>
        <v>1234057.8870747243</v>
      </c>
      <c r="AI25" s="2">
        <f t="shared" ca="1" si="33"/>
        <v>1368906.2827625452</v>
      </c>
      <c r="AJ25" s="2">
        <f t="shared" ca="1" si="34"/>
        <v>1518489.8784843639</v>
      </c>
      <c r="AK25" s="2">
        <f t="shared" ca="1" si="35"/>
        <v>0</v>
      </c>
      <c r="AL25" s="2">
        <f t="shared" ca="1" si="36"/>
        <v>54794.809177136645</v>
      </c>
      <c r="AM25" s="2">
        <f t="shared" ca="1" si="37"/>
        <v>60782.366314405503</v>
      </c>
      <c r="AN25" s="2">
        <f t="shared" ca="1" si="38"/>
        <v>67424.197843910384</v>
      </c>
      <c r="AO25" s="2">
        <f t="shared" ca="1" si="39"/>
        <v>74791.797860909399</v>
      </c>
      <c r="AP25" s="2">
        <f t="shared" ca="1" si="40"/>
        <v>2195560.0680321832</v>
      </c>
      <c r="AQ25" s="2">
        <f t="shared" ca="1" si="41"/>
        <v>751691.67849943507</v>
      </c>
      <c r="AR25" s="2">
        <f t="shared" ca="1" si="42"/>
        <v>904533.60379965312</v>
      </c>
      <c r="AS25" s="2">
        <f t="shared" ca="1" si="43"/>
        <v>1065751.7469131928</v>
      </c>
      <c r="AT25" s="2">
        <f t="shared" ca="1" si="44"/>
        <v>1244586.5741242382</v>
      </c>
      <c r="AU25" s="2">
        <f t="shared" ca="1" si="45"/>
        <v>1442963.1017653036</v>
      </c>
      <c r="AV25" s="2">
        <f t="shared" ca="1" si="46"/>
        <v>2139430.1618830073</v>
      </c>
      <c r="AW25" s="2">
        <f t="shared" ca="1" si="47"/>
        <v>2519646.9862526446</v>
      </c>
      <c r="AX25" s="2">
        <f t="shared" ca="1" si="48"/>
        <v>2972511.0672077588</v>
      </c>
      <c r="AY25" s="2">
        <f t="shared" ca="1" si="49"/>
        <v>3474860.6669712295</v>
      </c>
      <c r="AZ25" s="2">
        <f t="shared" ca="1" si="50"/>
        <v>4032103.1840864937</v>
      </c>
      <c r="BA25" s="2">
        <f t="shared" ca="1" si="51"/>
        <v>65725452.051911801</v>
      </c>
      <c r="BB25" s="2">
        <f t="shared" ca="1" si="52"/>
        <v>1314509.0410382361</v>
      </c>
      <c r="BC25" s="2">
        <f t="shared" ca="1" si="53"/>
        <v>40015831.143849306</v>
      </c>
      <c r="BD25" s="2">
        <f t="shared" ca="1" si="54"/>
        <v>-17779870.905808851</v>
      </c>
      <c r="BE25" s="2">
        <f t="shared" ca="1" si="55"/>
        <v>2139430.1618830073</v>
      </c>
      <c r="BF25" s="2">
        <f t="shared" ca="1" si="56"/>
        <v>2519646.9862526446</v>
      </c>
      <c r="BG25" s="2">
        <f t="shared" ca="1" si="57"/>
        <v>2972511.0672077588</v>
      </c>
      <c r="BH25" s="2">
        <f t="shared" ca="1" si="58"/>
        <v>3474860.6669712295</v>
      </c>
      <c r="BI25" s="2">
        <f t="shared" ca="1" si="59"/>
        <v>44047934.3279358</v>
      </c>
      <c r="BJ25" s="2">
        <f t="shared" ca="1" si="60"/>
        <v>0.29627974777771593</v>
      </c>
      <c r="BK25" s="2">
        <f t="shared" ca="1" si="61"/>
        <v>15457074.061346184</v>
      </c>
    </row>
    <row r="26" spans="1:63" x14ac:dyDescent="0.3">
      <c r="A26" s="2">
        <v>25</v>
      </c>
      <c r="B26" s="2">
        <f t="shared" ca="1" si="0"/>
        <v>0.71064972235931101</v>
      </c>
      <c r="C26" s="2">
        <f t="shared" ca="1" si="1"/>
        <v>7.2392762950443981</v>
      </c>
      <c r="D26" s="2">
        <f t="shared" ca="1" si="2"/>
        <v>0.74303495326175306</v>
      </c>
      <c r="E26" s="2">
        <f t="shared" ca="1" si="3"/>
        <v>7.7831108220397702</v>
      </c>
      <c r="F26" s="2">
        <f t="shared" ca="1" si="4"/>
        <v>0.78305855652458167</v>
      </c>
      <c r="G26" s="2">
        <f t="shared" ca="1" si="5"/>
        <v>6.3476935413320973E-2</v>
      </c>
      <c r="H26" s="2">
        <f t="shared" ca="1" si="6"/>
        <v>6.3476935413320973E-2</v>
      </c>
      <c r="I26" s="2">
        <f t="shared" ca="1" si="7"/>
        <v>0.41910217123793736</v>
      </c>
      <c r="J26" s="2">
        <f t="shared" ca="1" si="8"/>
        <v>8.9790456290901287E-3</v>
      </c>
      <c r="K26" s="2">
        <f t="shared" ca="1" si="9"/>
        <v>8.9790456290901287E-3</v>
      </c>
      <c r="L26" s="2">
        <f t="shared" ca="1" si="10"/>
        <v>0.21961828028804664</v>
      </c>
      <c r="M26" s="2">
        <f t="shared" ca="1" si="11"/>
        <v>-1.5469660853920063E-2</v>
      </c>
      <c r="N26" s="2">
        <f t="shared" ca="1" si="12"/>
        <v>-1.5469660853920063E-2</v>
      </c>
      <c r="O26" s="2">
        <f t="shared" si="13"/>
        <v>6000000</v>
      </c>
      <c r="P26" s="2">
        <f t="shared" ca="1" si="14"/>
        <v>43435657.770266391</v>
      </c>
      <c r="Q26" s="2">
        <f t="shared" ca="1" si="15"/>
        <v>1085891.4442566598</v>
      </c>
      <c r="R26" s="2">
        <f t="shared" ca="1" si="16"/>
        <v>26061394.662159834</v>
      </c>
      <c r="S26" s="2">
        <f t="shared" ca="1" si="17"/>
        <v>17374263.108106557</v>
      </c>
      <c r="T26" s="2">
        <f t="shared" ca="1" si="18"/>
        <v>49226516.957303993</v>
      </c>
      <c r="U26" s="2">
        <f t="shared" ca="1" si="19"/>
        <v>52351265.394825526</v>
      </c>
      <c r="V26" s="2">
        <f t="shared" ca="1" si="20"/>
        <v>55674363.28709849</v>
      </c>
      <c r="W26" s="2">
        <f t="shared" ca="1" si="21"/>
        <v>59208401.249651402</v>
      </c>
      <c r="X26" s="2">
        <f t="shared" ca="1" si="22"/>
        <v>62966769.111701511</v>
      </c>
      <c r="Y26" s="2">
        <f t="shared" ca="1" si="23"/>
        <v>0.12448952281454506</v>
      </c>
      <c r="Z26" s="2">
        <f t="shared" ca="1" si="24"/>
        <v>0.12628533194036309</v>
      </c>
      <c r="AA26" s="2">
        <f t="shared" ca="1" si="25"/>
        <v>6128185.605836885</v>
      </c>
      <c r="AB26" s="2">
        <f t="shared" ca="1" si="26"/>
        <v>6611196.927883585</v>
      </c>
      <c r="AC26" s="2">
        <f t="shared" ca="1" si="27"/>
        <v>7030855.4482795969</v>
      </c>
      <c r="AD26" s="2">
        <f t="shared" ca="1" si="28"/>
        <v>7477152.6054704366</v>
      </c>
      <c r="AE26" s="2">
        <f t="shared" ca="1" si="29"/>
        <v>7951779.3384834267</v>
      </c>
      <c r="AF26" s="2">
        <f t="shared" ca="1" si="30"/>
        <v>984530.33914607984</v>
      </c>
      <c r="AG26" s="2">
        <f t="shared" ca="1" si="31"/>
        <v>1047025.3078965106</v>
      </c>
      <c r="AH26" s="2">
        <f t="shared" ca="1" si="32"/>
        <v>1113487.2657419699</v>
      </c>
      <c r="AI26" s="2">
        <f t="shared" ca="1" si="33"/>
        <v>1184168.024993028</v>
      </c>
      <c r="AJ26" s="2">
        <f t="shared" ca="1" si="34"/>
        <v>1259335.3822340302</v>
      </c>
      <c r="AK26" s="2">
        <f t="shared" ca="1" si="35"/>
        <v>0</v>
      </c>
      <c r="AL26" s="2">
        <f t="shared" ca="1" si="36"/>
        <v>31247.484375215321</v>
      </c>
      <c r="AM26" s="2">
        <f t="shared" ca="1" si="37"/>
        <v>33230.978922729642</v>
      </c>
      <c r="AN26" s="2">
        <f t="shared" ca="1" si="38"/>
        <v>35340.379625529124</v>
      </c>
      <c r="AO26" s="2">
        <f t="shared" ca="1" si="39"/>
        <v>37583.678620501087</v>
      </c>
      <c r="AP26" s="2">
        <f t="shared" ca="1" si="40"/>
        <v>2345525.5195943848</v>
      </c>
      <c r="AQ26" s="2">
        <f t="shared" ca="1" si="41"/>
        <v>727513.73424506944</v>
      </c>
      <c r="AR26" s="2">
        <f t="shared" ca="1" si="42"/>
        <v>836847.9861020993</v>
      </c>
      <c r="AS26" s="2">
        <f t="shared" ca="1" si="43"/>
        <v>928679.09236524289</v>
      </c>
      <c r="AT26" s="2">
        <f t="shared" ca="1" si="44"/>
        <v>1026339.3558295864</v>
      </c>
      <c r="AU26" s="2">
        <f t="shared" ca="1" si="45"/>
        <v>1130198.7935303028</v>
      </c>
      <c r="AV26" s="2">
        <f t="shared" ca="1" si="46"/>
        <v>2070616.0128513514</v>
      </c>
      <c r="AW26" s="2">
        <f t="shared" ca="1" si="47"/>
        <v>2350550.6299153748</v>
      </c>
      <c r="AX26" s="2">
        <f t="shared" ca="1" si="48"/>
        <v>2609932.5916552697</v>
      </c>
      <c r="AY26" s="2">
        <f t="shared" ca="1" si="49"/>
        <v>2885779.3254279089</v>
      </c>
      <c r="AZ26" s="2">
        <f t="shared" ca="1" si="50"/>
        <v>3179135.964504207</v>
      </c>
      <c r="BA26" s="2">
        <f t="shared" ca="1" si="51"/>
        <v>61889579.823822603</v>
      </c>
      <c r="BB26" s="2">
        <f t="shared" ca="1" si="52"/>
        <v>1237791.5964764522</v>
      </c>
      <c r="BC26" s="2">
        <f t="shared" ca="1" si="53"/>
        <v>34590393.565186322</v>
      </c>
      <c r="BD26" s="2">
        <f t="shared" ca="1" si="54"/>
        <v>-18960154.552363217</v>
      </c>
      <c r="BE26" s="2">
        <f t="shared" ca="1" si="55"/>
        <v>2070616.0128513514</v>
      </c>
      <c r="BF26" s="2">
        <f t="shared" ca="1" si="56"/>
        <v>2350550.6299153748</v>
      </c>
      <c r="BG26" s="2">
        <f t="shared" ca="1" si="57"/>
        <v>2609932.5916552697</v>
      </c>
      <c r="BH26" s="2">
        <f t="shared" ca="1" si="58"/>
        <v>2885779.3254279089</v>
      </c>
      <c r="BI26" s="2">
        <f t="shared" ca="1" si="59"/>
        <v>37769529.529690526</v>
      </c>
      <c r="BJ26" s="2">
        <f t="shared" ca="1" si="60"/>
        <v>0.23546649479361892</v>
      </c>
      <c r="BK26" s="2">
        <f t="shared" ca="1" si="61"/>
        <v>9885563.0973318182</v>
      </c>
    </row>
    <row r="27" spans="1:63" x14ac:dyDescent="0.3">
      <c r="A27" s="2">
        <v>26</v>
      </c>
      <c r="B27" s="2">
        <f t="shared" ca="1" si="0"/>
        <v>0.31673741107078257</v>
      </c>
      <c r="C27" s="2">
        <f t="shared" ca="1" si="1"/>
        <v>6.7959113155003923</v>
      </c>
      <c r="D27" s="2">
        <f t="shared" ca="1" si="2"/>
        <v>4.7956591644703006E-2</v>
      </c>
      <c r="E27" s="2">
        <f t="shared" ca="1" si="3"/>
        <v>6.8096985361434665</v>
      </c>
      <c r="F27" s="2">
        <f t="shared" ca="1" si="4"/>
        <v>0.66540739729293286</v>
      </c>
      <c r="G27" s="2">
        <f t="shared" ca="1" si="5"/>
        <v>5.281799601377124E-2</v>
      </c>
      <c r="H27" s="2">
        <f t="shared" ca="1" si="6"/>
        <v>5.281799601377124E-2</v>
      </c>
      <c r="I27" s="2">
        <f t="shared" ca="1" si="7"/>
        <v>0.53684784204582947</v>
      </c>
      <c r="J27" s="2">
        <f t="shared" ca="1" si="8"/>
        <v>1.0462477817612774E-2</v>
      </c>
      <c r="K27" s="2">
        <f t="shared" ca="1" si="9"/>
        <v>1.0462477817612774E-2</v>
      </c>
      <c r="L27" s="2">
        <f t="shared" ca="1" si="10"/>
        <v>0.52797698895710965</v>
      </c>
      <c r="M27" s="2">
        <f t="shared" ca="1" si="11"/>
        <v>1.4037098266492774E-3</v>
      </c>
      <c r="N27" s="2">
        <f t="shared" ca="1" si="12"/>
        <v>1.4037098266492774E-3</v>
      </c>
      <c r="O27" s="2">
        <f t="shared" si="13"/>
        <v>6000000</v>
      </c>
      <c r="P27" s="2">
        <f t="shared" ca="1" si="14"/>
        <v>40775467.893002354</v>
      </c>
      <c r="Q27" s="2">
        <f t="shared" ca="1" si="15"/>
        <v>1019386.6973250589</v>
      </c>
      <c r="R27" s="2">
        <f t="shared" ca="1" si="16"/>
        <v>24465280.73580141</v>
      </c>
      <c r="S27" s="2">
        <f t="shared" ca="1" si="17"/>
        <v>16310187.157200942</v>
      </c>
      <c r="T27" s="2">
        <f t="shared" ca="1" si="18"/>
        <v>50070185.491332464</v>
      </c>
      <c r="U27" s="2">
        <f t="shared" ca="1" si="19"/>
        <v>52714792.349022441</v>
      </c>
      <c r="V27" s="2">
        <f t="shared" ca="1" si="20"/>
        <v>55499082.04117988</v>
      </c>
      <c r="W27" s="2">
        <f t="shared" ca="1" si="21"/>
        <v>58430432.335198879</v>
      </c>
      <c r="X27" s="2">
        <f t="shared" ca="1" si="22"/>
        <v>61516610.677362338</v>
      </c>
      <c r="Y27" s="2">
        <f t="shared" ca="1" si="23"/>
        <v>0.12523123890880639</v>
      </c>
      <c r="Z27" s="2">
        <f t="shared" ca="1" si="24"/>
        <v>0.12732373447232895</v>
      </c>
      <c r="AA27" s="2">
        <f t="shared" ca="1" si="25"/>
        <v>6270351.361473307</v>
      </c>
      <c r="AB27" s="2">
        <f t="shared" ca="1" si="26"/>
        <v>6711844.2238108907</v>
      </c>
      <c r="AC27" s="2">
        <f t="shared" ca="1" si="27"/>
        <v>7066350.3852691874</v>
      </c>
      <c r="AD27" s="2">
        <f t="shared" ca="1" si="28"/>
        <v>7439580.8517502453</v>
      </c>
      <c r="AE27" s="2">
        <f t="shared" ca="1" si="29"/>
        <v>7832524.6035221182</v>
      </c>
      <c r="AF27" s="2">
        <f t="shared" ca="1" si="30"/>
        <v>1001403.7098266493</v>
      </c>
      <c r="AG27" s="2">
        <f t="shared" ca="1" si="31"/>
        <v>1054295.8469804488</v>
      </c>
      <c r="AH27" s="2">
        <f t="shared" ca="1" si="32"/>
        <v>1109981.6408235976</v>
      </c>
      <c r="AI27" s="2">
        <f t="shared" ca="1" si="33"/>
        <v>1168608.6467039776</v>
      </c>
      <c r="AJ27" s="2">
        <f t="shared" ca="1" si="34"/>
        <v>1230332.2135472468</v>
      </c>
      <c r="AK27" s="2">
        <f t="shared" ca="1" si="35"/>
        <v>0</v>
      </c>
      <c r="AL27" s="2">
        <f t="shared" ca="1" si="36"/>
        <v>26446.068576899768</v>
      </c>
      <c r="AM27" s="2">
        <f t="shared" ca="1" si="37"/>
        <v>27842.8969215744</v>
      </c>
      <c r="AN27" s="2">
        <f t="shared" ca="1" si="38"/>
        <v>29313.502940189988</v>
      </c>
      <c r="AO27" s="2">
        <f t="shared" ca="1" si="39"/>
        <v>30861.783421634584</v>
      </c>
      <c r="AP27" s="2">
        <f t="shared" ca="1" si="40"/>
        <v>2201875.2662221268</v>
      </c>
      <c r="AQ27" s="2">
        <f t="shared" ca="1" si="41"/>
        <v>797438.82021037815</v>
      </c>
      <c r="AR27" s="2">
        <f t="shared" ca="1" si="42"/>
        <v>898475.00875816192</v>
      </c>
      <c r="AS27" s="2">
        <f t="shared" ca="1" si="43"/>
        <v>976168.3043381006</v>
      </c>
      <c r="AT27" s="2">
        <f t="shared" ca="1" si="44"/>
        <v>1057965.2040942768</v>
      </c>
      <c r="AU27" s="2">
        <f t="shared" ca="1" si="45"/>
        <v>1144082.4521757136</v>
      </c>
      <c r="AV27" s="2">
        <f t="shared" ca="1" si="46"/>
        <v>2269633.5652141534</v>
      </c>
      <c r="AW27" s="2">
        <f t="shared" ca="1" si="47"/>
        <v>2530752.0332732536</v>
      </c>
      <c r="AX27" s="2">
        <f t="shared" ca="1" si="48"/>
        <v>2750482.276963789</v>
      </c>
      <c r="AY27" s="2">
        <f t="shared" ca="1" si="49"/>
        <v>2981818.2317896746</v>
      </c>
      <c r="AZ27" s="2">
        <f t="shared" ca="1" si="50"/>
        <v>3225372.888155397</v>
      </c>
      <c r="BA27" s="2">
        <f t="shared" ca="1" si="51"/>
        <v>53337131.326912254</v>
      </c>
      <c r="BB27" s="2">
        <f t="shared" ca="1" si="52"/>
        <v>1066742.626538245</v>
      </c>
      <c r="BC27" s="2">
        <f t="shared" ca="1" si="53"/>
        <v>27805107.964572601</v>
      </c>
      <c r="BD27" s="2">
        <f t="shared" ca="1" si="54"/>
        <v>-17829573.854526002</v>
      </c>
      <c r="BE27" s="2">
        <f t="shared" ca="1" si="55"/>
        <v>2269633.5652141534</v>
      </c>
      <c r="BF27" s="2">
        <f t="shared" ca="1" si="56"/>
        <v>2530752.0332732536</v>
      </c>
      <c r="BG27" s="2">
        <f t="shared" ca="1" si="57"/>
        <v>2750482.276963789</v>
      </c>
      <c r="BH27" s="2">
        <f t="shared" ca="1" si="58"/>
        <v>2981818.2317896746</v>
      </c>
      <c r="BI27" s="2">
        <f t="shared" ca="1" si="59"/>
        <v>31030480.852727998</v>
      </c>
      <c r="BJ27" s="2">
        <f t="shared" ca="1" si="60"/>
        <v>0.2212311346795508</v>
      </c>
      <c r="BK27" s="2">
        <f t="shared" ca="1" si="61"/>
        <v>7674651.2435918003</v>
      </c>
    </row>
    <row r="28" spans="1:63" x14ac:dyDescent="0.3">
      <c r="A28" s="2">
        <v>27</v>
      </c>
      <c r="B28" s="2">
        <f t="shared" ca="1" si="0"/>
        <v>8.7866396020908732E-2</v>
      </c>
      <c r="C28" s="2">
        <f t="shared" ca="1" si="1"/>
        <v>6.4192049523107011</v>
      </c>
      <c r="D28" s="2">
        <f t="shared" ca="1" si="2"/>
        <v>0.40563621292279062</v>
      </c>
      <c r="E28" s="2">
        <f t="shared" ca="1" si="3"/>
        <v>7.4007066258474961</v>
      </c>
      <c r="F28" s="2">
        <f t="shared" ca="1" si="4"/>
        <v>0.48588238446525234</v>
      </c>
      <c r="G28" s="2">
        <f t="shared" ca="1" si="5"/>
        <v>3.8938149898155638E-2</v>
      </c>
      <c r="H28" s="2">
        <f t="shared" ca="1" si="6"/>
        <v>3.8938149898155638E-2</v>
      </c>
      <c r="I28" s="2">
        <f t="shared" ca="1" si="7"/>
        <v>0.49706351256416081</v>
      </c>
      <c r="J28" s="2">
        <f t="shared" ca="1" si="8"/>
        <v>9.9631962554871927E-3</v>
      </c>
      <c r="K28" s="2">
        <f t="shared" ca="1" si="9"/>
        <v>9.9631962554871927E-3</v>
      </c>
      <c r="L28" s="2">
        <f t="shared" ca="1" si="10"/>
        <v>0.40456518353823767</v>
      </c>
      <c r="M28" s="2">
        <f t="shared" ca="1" si="11"/>
        <v>-4.8309613384804493E-3</v>
      </c>
      <c r="N28" s="2">
        <f t="shared" ca="1" si="12"/>
        <v>-4.8309613384804493E-3</v>
      </c>
      <c r="O28" s="2">
        <f t="shared" si="13"/>
        <v>6000000</v>
      </c>
      <c r="P28" s="2">
        <f t="shared" ca="1" si="14"/>
        <v>38515229.713864207</v>
      </c>
      <c r="Q28" s="2">
        <f t="shared" ca="1" si="15"/>
        <v>962880.74284660525</v>
      </c>
      <c r="R28" s="2">
        <f t="shared" ca="1" si="16"/>
        <v>23109137.828318525</v>
      </c>
      <c r="S28" s="2">
        <f t="shared" ca="1" si="17"/>
        <v>15406091.885545684</v>
      </c>
      <c r="T28" s="2">
        <f t="shared" ca="1" si="18"/>
        <v>49758451.933075972</v>
      </c>
      <c r="U28" s="2">
        <f t="shared" ca="1" si="19"/>
        <v>51695953.993146256</v>
      </c>
      <c r="V28" s="2">
        <f t="shared" ca="1" si="20"/>
        <v>53708898.798859537</v>
      </c>
      <c r="W28" s="2">
        <f t="shared" ca="1" si="21"/>
        <v>55800223.951154396</v>
      </c>
      <c r="X28" s="2">
        <f t="shared" ca="1" si="22"/>
        <v>57972981.435715094</v>
      </c>
      <c r="Y28" s="2">
        <f t="shared" ca="1" si="23"/>
        <v>0.12498159812774359</v>
      </c>
      <c r="Z28" s="2">
        <f t="shared" ca="1" si="24"/>
        <v>0.12697423737884103</v>
      </c>
      <c r="AA28" s="2">
        <f t="shared" ca="1" si="25"/>
        <v>6218890.8429583479</v>
      </c>
      <c r="AB28" s="2">
        <f t="shared" ca="1" si="26"/>
        <v>6564054.333851398</v>
      </c>
      <c r="AC28" s="2">
        <f t="shared" ca="1" si="27"/>
        <v>6819646.4654425411</v>
      </c>
      <c r="AD28" s="2">
        <f t="shared" ca="1" si="28"/>
        <v>7085190.8817663696</v>
      </c>
      <c r="AE28" s="2">
        <f t="shared" ca="1" si="29"/>
        <v>7361075.1063776324</v>
      </c>
      <c r="AF28" s="2">
        <f t="shared" ca="1" si="30"/>
        <v>995169.03866151941</v>
      </c>
      <c r="AG28" s="2">
        <f t="shared" ca="1" si="31"/>
        <v>1033919.0798629251</v>
      </c>
      <c r="AH28" s="2">
        <f t="shared" ca="1" si="32"/>
        <v>1074177.9759771908</v>
      </c>
      <c r="AI28" s="2">
        <f t="shared" ca="1" si="33"/>
        <v>1116004.479023088</v>
      </c>
      <c r="AJ28" s="2">
        <f t="shared" ca="1" si="34"/>
        <v>1159459.6287143019</v>
      </c>
      <c r="AK28" s="2">
        <f t="shared" ca="1" si="35"/>
        <v>0</v>
      </c>
      <c r="AL28" s="2">
        <f t="shared" ca="1" si="36"/>
        <v>19375.020600702839</v>
      </c>
      <c r="AM28" s="2">
        <f t="shared" ca="1" si="37"/>
        <v>20129.448057132809</v>
      </c>
      <c r="AN28" s="2">
        <f t="shared" ca="1" si="38"/>
        <v>20913.251522948594</v>
      </c>
      <c r="AO28" s="2">
        <f t="shared" ca="1" si="39"/>
        <v>21727.574845606981</v>
      </c>
      <c r="AP28" s="2">
        <f t="shared" ca="1" si="40"/>
        <v>2079822.4045486671</v>
      </c>
      <c r="AQ28" s="2">
        <f t="shared" ca="1" si="41"/>
        <v>817413.84393452201</v>
      </c>
      <c r="AR28" s="2">
        <f t="shared" ca="1" si="42"/>
        <v>897081.34085434943</v>
      </c>
      <c r="AS28" s="2">
        <f t="shared" ca="1" si="43"/>
        <v>953067.98207833758</v>
      </c>
      <c r="AT28" s="2">
        <f t="shared" ca="1" si="44"/>
        <v>1011234.6395305998</v>
      </c>
      <c r="AU28" s="2">
        <f t="shared" ca="1" si="45"/>
        <v>1071666.1990098124</v>
      </c>
      <c r="AV28" s="2">
        <f t="shared" ca="1" si="46"/>
        <v>2326485.5558136394</v>
      </c>
      <c r="AW28" s="2">
        <f t="shared" ca="1" si="47"/>
        <v>2533856.4879847532</v>
      </c>
      <c r="AX28" s="2">
        <f t="shared" ca="1" si="48"/>
        <v>2692448.654781213</v>
      </c>
      <c r="AY28" s="2">
        <f t="shared" ca="1" si="49"/>
        <v>2857216.1071410654</v>
      </c>
      <c r="AZ28" s="2">
        <f t="shared" ca="1" si="50"/>
        <v>3028399.2992592435</v>
      </c>
      <c r="BA28" s="2">
        <f t="shared" ca="1" si="51"/>
        <v>54477157.313130006</v>
      </c>
      <c r="BB28" s="2">
        <f t="shared" ca="1" si="52"/>
        <v>1089543.1462626001</v>
      </c>
      <c r="BC28" s="2">
        <f t="shared" ca="1" si="53"/>
        <v>30278476.33854888</v>
      </c>
      <c r="BD28" s="2">
        <f t="shared" ca="1" si="54"/>
        <v>-16868972.628392287</v>
      </c>
      <c r="BE28" s="2">
        <f t="shared" ca="1" si="55"/>
        <v>2326485.5558136394</v>
      </c>
      <c r="BF28" s="2">
        <f t="shared" ca="1" si="56"/>
        <v>2533856.4879847532</v>
      </c>
      <c r="BG28" s="2">
        <f t="shared" ca="1" si="57"/>
        <v>2692448.654781213</v>
      </c>
      <c r="BH28" s="2">
        <f t="shared" ca="1" si="58"/>
        <v>2857216.1071410654</v>
      </c>
      <c r="BI28" s="2">
        <f t="shared" ca="1" si="59"/>
        <v>33306875.637808122</v>
      </c>
      <c r="BJ28" s="2">
        <f t="shared" ca="1" si="60"/>
        <v>0.25140474392927104</v>
      </c>
      <c r="BK28" s="2">
        <f t="shared" ca="1" si="61"/>
        <v>9859681.4743788205</v>
      </c>
    </row>
    <row r="29" spans="1:63" x14ac:dyDescent="0.3">
      <c r="A29" s="2">
        <v>28</v>
      </c>
      <c r="B29" s="2">
        <f t="shared" ca="1" si="0"/>
        <v>0.78730370433536578</v>
      </c>
      <c r="C29" s="2">
        <f t="shared" ca="1" si="1"/>
        <v>7.3477787251788946</v>
      </c>
      <c r="D29" s="2">
        <f t="shared" ca="1" si="2"/>
        <v>8.2347269595178241E-2</v>
      </c>
      <c r="E29" s="2">
        <f t="shared" ca="1" si="3"/>
        <v>6.9058257497872164</v>
      </c>
      <c r="F29" s="2">
        <f t="shared" ca="1" si="4"/>
        <v>5.9564233276699463E-2</v>
      </c>
      <c r="G29" s="2">
        <f t="shared" ca="1" si="5"/>
        <v>-6.7532651170564978E-3</v>
      </c>
      <c r="H29" s="2">
        <f t="shared" ca="1" si="6"/>
        <v>-6.7532651170564978E-3</v>
      </c>
      <c r="I29" s="2">
        <f t="shared" ca="1" si="7"/>
        <v>0.13198196705206111</v>
      </c>
      <c r="J29" s="2">
        <f t="shared" ca="1" si="8"/>
        <v>4.4146445933093545E-3</v>
      </c>
      <c r="K29" s="2">
        <f t="shared" ca="1" si="9"/>
        <v>4.4146445933093545E-3</v>
      </c>
      <c r="L29" s="2">
        <f t="shared" ca="1" si="10"/>
        <v>0.25060784681767856</v>
      </c>
      <c r="M29" s="2">
        <f t="shared" ca="1" si="11"/>
        <v>-1.3451563399506268E-2</v>
      </c>
      <c r="N29" s="2">
        <f t="shared" ca="1" si="12"/>
        <v>-1.3451563399506268E-2</v>
      </c>
      <c r="O29" s="2">
        <f t="shared" si="13"/>
        <v>6000000</v>
      </c>
      <c r="P29" s="2">
        <f t="shared" ca="1" si="14"/>
        <v>44086672.351073369</v>
      </c>
      <c r="Q29" s="2">
        <f t="shared" ca="1" si="15"/>
        <v>1102166.8087768343</v>
      </c>
      <c r="R29" s="2">
        <f t="shared" ca="1" si="16"/>
        <v>26452003.410644021</v>
      </c>
      <c r="S29" s="2">
        <f t="shared" ca="1" si="17"/>
        <v>17634668.940429348</v>
      </c>
      <c r="T29" s="2">
        <f t="shared" ca="1" si="18"/>
        <v>49327421.830024689</v>
      </c>
      <c r="U29" s="2">
        <f t="shared" ca="1" si="19"/>
        <v>48994300.672865652</v>
      </c>
      <c r="V29" s="2">
        <f t="shared" ca="1" si="20"/>
        <v>48663429.171197005</v>
      </c>
      <c r="W29" s="2">
        <f t="shared" ca="1" si="21"/>
        <v>48334792.132498808</v>
      </c>
      <c r="X29" s="2">
        <f t="shared" ca="1" si="22"/>
        <v>48008374.466850229</v>
      </c>
      <c r="Y29" s="2">
        <f t="shared" ca="1" si="23"/>
        <v>0.12220732229665467</v>
      </c>
      <c r="Z29" s="2">
        <f t="shared" ca="1" si="24"/>
        <v>0.12309025121531654</v>
      </c>
      <c r="AA29" s="2">
        <f t="shared" ca="1" si="25"/>
        <v>6028172.1376448665</v>
      </c>
      <c r="AB29" s="2">
        <f t="shared" ca="1" si="26"/>
        <v>6030720.7779417848</v>
      </c>
      <c r="AC29" s="2">
        <f t="shared" ca="1" si="27"/>
        <v>5989993.7216814021</v>
      </c>
      <c r="AD29" s="2">
        <f t="shared" ca="1" si="28"/>
        <v>5949541.7060293835</v>
      </c>
      <c r="AE29" s="2">
        <f t="shared" ca="1" si="29"/>
        <v>5909362.873563583</v>
      </c>
      <c r="AF29" s="2">
        <f t="shared" ca="1" si="30"/>
        <v>986548.43660049385</v>
      </c>
      <c r="AG29" s="2">
        <f t="shared" ca="1" si="31"/>
        <v>979886.01345731306</v>
      </c>
      <c r="AH29" s="2">
        <f t="shared" ca="1" si="32"/>
        <v>973268.58342394012</v>
      </c>
      <c r="AI29" s="2">
        <f t="shared" ca="1" si="33"/>
        <v>966695.84264997614</v>
      </c>
      <c r="AJ29" s="2">
        <f t="shared" ca="1" si="34"/>
        <v>960167.4893370046</v>
      </c>
      <c r="AK29" s="2">
        <f t="shared" ca="1" si="35"/>
        <v>0</v>
      </c>
      <c r="AL29" s="2">
        <f t="shared" ca="1" si="36"/>
        <v>0</v>
      </c>
      <c r="AM29" s="2">
        <f t="shared" ca="1" si="37"/>
        <v>0</v>
      </c>
      <c r="AN29" s="2">
        <f t="shared" ca="1" si="38"/>
        <v>0</v>
      </c>
      <c r="AO29" s="2">
        <f t="shared" ca="1" si="39"/>
        <v>0</v>
      </c>
      <c r="AP29" s="2">
        <f t="shared" ca="1" si="40"/>
        <v>2380680.306957962</v>
      </c>
      <c r="AQ29" s="2">
        <f t="shared" ca="1" si="41"/>
        <v>691845.28246246674</v>
      </c>
      <c r="AR29" s="2">
        <f t="shared" ca="1" si="42"/>
        <v>694240.15895689256</v>
      </c>
      <c r="AS29" s="2">
        <f t="shared" ca="1" si="43"/>
        <v>685371.65613786993</v>
      </c>
      <c r="AT29" s="2">
        <f t="shared" ca="1" si="44"/>
        <v>676563.04466957587</v>
      </c>
      <c r="AU29" s="2">
        <f t="shared" ca="1" si="45"/>
        <v>667813.92008984031</v>
      </c>
      <c r="AV29" s="2">
        <f t="shared" ca="1" si="46"/>
        <v>1969098.1116239438</v>
      </c>
      <c r="AW29" s="2">
        <f t="shared" ca="1" si="47"/>
        <v>1975914.2985696169</v>
      </c>
      <c r="AX29" s="2">
        <f t="shared" ca="1" si="48"/>
        <v>1950673.1751616299</v>
      </c>
      <c r="AY29" s="2">
        <f t="shared" ca="1" si="49"/>
        <v>1925602.5117518697</v>
      </c>
      <c r="AZ29" s="2">
        <f t="shared" ca="1" si="50"/>
        <v>1900701.1571787763</v>
      </c>
      <c r="BA29" s="2">
        <f t="shared" ca="1" si="51"/>
        <v>40809030.297091968</v>
      </c>
      <c r="BB29" s="2">
        <f t="shared" ca="1" si="52"/>
        <v>816180.6059418394</v>
      </c>
      <c r="BC29" s="2">
        <f t="shared" ca="1" si="53"/>
        <v>13540846.280506108</v>
      </c>
      <c r="BD29" s="2">
        <f t="shared" ca="1" si="54"/>
        <v>-19236835.749206182</v>
      </c>
      <c r="BE29" s="2">
        <f t="shared" ca="1" si="55"/>
        <v>1969098.1116239438</v>
      </c>
      <c r="BF29" s="2">
        <f t="shared" ca="1" si="56"/>
        <v>1975914.2985696169</v>
      </c>
      <c r="BG29" s="2">
        <f t="shared" ca="1" si="57"/>
        <v>1950673.1751616299</v>
      </c>
      <c r="BH29" s="2">
        <f t="shared" ca="1" si="58"/>
        <v>1925602.5117518697</v>
      </c>
      <c r="BI29" s="2">
        <f t="shared" ca="1" si="59"/>
        <v>15441547.437684884</v>
      </c>
      <c r="BJ29" s="2">
        <f t="shared" ca="1" si="60"/>
        <v>4.7288559728146939E-2</v>
      </c>
      <c r="BK29" s="2">
        <f t="shared" ca="1" si="61"/>
        <v>-4529371.0998163093</v>
      </c>
    </row>
    <row r="30" spans="1:63" x14ac:dyDescent="0.3">
      <c r="A30" s="2">
        <v>29</v>
      </c>
      <c r="B30" s="2">
        <f t="shared" ca="1" si="0"/>
        <v>0.22179736121221372</v>
      </c>
      <c r="C30" s="2">
        <f t="shared" ca="1" si="1"/>
        <v>6.6660290702547655</v>
      </c>
      <c r="D30" s="2">
        <f t="shared" ca="1" si="2"/>
        <v>0.92615280344350215</v>
      </c>
      <c r="E30" s="2">
        <f t="shared" ca="1" si="3"/>
        <v>8.1156897176590306</v>
      </c>
      <c r="F30" s="2">
        <f t="shared" ca="1" si="4"/>
        <v>0.61528689506088152</v>
      </c>
      <c r="G30" s="2">
        <f t="shared" ca="1" si="5"/>
        <v>4.8793765641568683E-2</v>
      </c>
      <c r="H30" s="2">
        <f t="shared" ca="1" si="6"/>
        <v>4.8793765641568683E-2</v>
      </c>
      <c r="I30" s="2">
        <f t="shared" ca="1" si="7"/>
        <v>4.0191189224523249E-2</v>
      </c>
      <c r="J30" s="2">
        <f t="shared" ca="1" si="8"/>
        <v>1.257641401755891E-3</v>
      </c>
      <c r="K30" s="2">
        <f t="shared" ca="1" si="9"/>
        <v>1.257641401755891E-3</v>
      </c>
      <c r="L30" s="2">
        <f t="shared" ca="1" si="10"/>
        <v>0.63195565202147286</v>
      </c>
      <c r="M30" s="2">
        <f t="shared" ca="1" si="11"/>
        <v>6.7407482846249282E-3</v>
      </c>
      <c r="N30" s="2">
        <f t="shared" ca="1" si="12"/>
        <v>6.7407482846249282E-3</v>
      </c>
      <c r="O30" s="2">
        <f t="shared" si="13"/>
        <v>6000000</v>
      </c>
      <c r="P30" s="2">
        <f t="shared" ca="1" si="14"/>
        <v>39996174.421528593</v>
      </c>
      <c r="Q30" s="2">
        <f t="shared" ca="1" si="15"/>
        <v>999904.36053821491</v>
      </c>
      <c r="R30" s="2">
        <f t="shared" ca="1" si="16"/>
        <v>23997704.652917154</v>
      </c>
      <c r="S30" s="2">
        <f t="shared" ca="1" si="17"/>
        <v>15998469.768611439</v>
      </c>
      <c r="T30" s="2">
        <f t="shared" ca="1" si="18"/>
        <v>50337037.414231248</v>
      </c>
      <c r="U30" s="2">
        <f t="shared" ca="1" si="19"/>
        <v>52793171.020912118</v>
      </c>
      <c r="V30" s="2">
        <f t="shared" ca="1" si="20"/>
        <v>55369148.635181762</v>
      </c>
      <c r="W30" s="2">
        <f t="shared" ca="1" si="21"/>
        <v>58070817.897460006</v>
      </c>
      <c r="X30" s="2">
        <f t="shared" ca="1" si="22"/>
        <v>60904311.776562884</v>
      </c>
      <c r="Y30" s="2">
        <f t="shared" ca="1" si="23"/>
        <v>0.12062882070087794</v>
      </c>
      <c r="Z30" s="2">
        <f t="shared" ca="1" si="24"/>
        <v>0.12088034898122912</v>
      </c>
      <c r="AA30" s="2">
        <f t="shared" ca="1" si="25"/>
        <v>6072097.4608546859</v>
      </c>
      <c r="AB30" s="2">
        <f t="shared" ca="1" si="26"/>
        <v>6381656.9368335688</v>
      </c>
      <c r="AC30" s="2">
        <f t="shared" ca="1" si="27"/>
        <v>6693042.0098143173</v>
      </c>
      <c r="AD30" s="2">
        <f t="shared" ca="1" si="28"/>
        <v>7019620.7330703717</v>
      </c>
      <c r="AE30" s="2">
        <f t="shared" ca="1" si="29"/>
        <v>7362134.4620125042</v>
      </c>
      <c r="AF30" s="2">
        <f t="shared" ca="1" si="30"/>
        <v>1006740.748284625</v>
      </c>
      <c r="AG30" s="2">
        <f t="shared" ca="1" si="31"/>
        <v>1055863.4204182425</v>
      </c>
      <c r="AH30" s="2">
        <f t="shared" ca="1" si="32"/>
        <v>1107382.9727036352</v>
      </c>
      <c r="AI30" s="2">
        <f t="shared" ca="1" si="33"/>
        <v>1161416.3579492001</v>
      </c>
      <c r="AJ30" s="2">
        <f t="shared" ca="1" si="34"/>
        <v>1218086.2355312577</v>
      </c>
      <c r="AK30" s="2">
        <f t="shared" ca="1" si="35"/>
        <v>0</v>
      </c>
      <c r="AL30" s="2">
        <f t="shared" ca="1" si="36"/>
        <v>24561.336066808701</v>
      </c>
      <c r="AM30" s="2">
        <f t="shared" ca="1" si="37"/>
        <v>25759.776142696443</v>
      </c>
      <c r="AN30" s="2">
        <f t="shared" ca="1" si="38"/>
        <v>27016.692622782441</v>
      </c>
      <c r="AO30" s="2">
        <f t="shared" ca="1" si="39"/>
        <v>28334.938791028784</v>
      </c>
      <c r="AP30" s="2">
        <f t="shared" ca="1" si="40"/>
        <v>2159793.4187625437</v>
      </c>
      <c r="AQ30" s="2">
        <f t="shared" ca="1" si="41"/>
        <v>755446.45638995455</v>
      </c>
      <c r="AR30" s="2">
        <f t="shared" ca="1" si="42"/>
        <v>823160.02538972336</v>
      </c>
      <c r="AS30" s="2">
        <f t="shared" ca="1" si="43"/>
        <v>890725.06077051617</v>
      </c>
      <c r="AT30" s="2">
        <f t="shared" ca="1" si="44"/>
        <v>961586.84865324327</v>
      </c>
      <c r="AU30" s="2">
        <f t="shared" ca="1" si="45"/>
        <v>1035906.2500068628</v>
      </c>
      <c r="AV30" s="2">
        <f t="shared" ca="1" si="46"/>
        <v>2150116.837417563</v>
      </c>
      <c r="AW30" s="2">
        <f t="shared" ca="1" si="47"/>
        <v>2318278.7361962502</v>
      </c>
      <c r="AX30" s="2">
        <f t="shared" ca="1" si="48"/>
        <v>2509380.7814349257</v>
      </c>
      <c r="AY30" s="2">
        <f t="shared" ca="1" si="49"/>
        <v>2709807.4150826023</v>
      </c>
      <c r="AZ30" s="2">
        <f t="shared" ca="1" si="50"/>
        <v>2920013.618920811</v>
      </c>
      <c r="BA30" s="2">
        <f t="shared" ca="1" si="51"/>
        <v>59748798.953378081</v>
      </c>
      <c r="BB30" s="2">
        <f t="shared" ca="1" si="52"/>
        <v>1194975.9790675617</v>
      </c>
      <c r="BC30" s="2">
        <f t="shared" ca="1" si="53"/>
        <v>34556118.321393363</v>
      </c>
      <c r="BD30" s="2">
        <f t="shared" ca="1" si="54"/>
        <v>-17498374.129149653</v>
      </c>
      <c r="BE30" s="2">
        <f t="shared" ca="1" si="55"/>
        <v>2150116.837417563</v>
      </c>
      <c r="BF30" s="2">
        <f t="shared" ca="1" si="56"/>
        <v>2318278.7361962502</v>
      </c>
      <c r="BG30" s="2">
        <f t="shared" ca="1" si="57"/>
        <v>2509380.7814349257</v>
      </c>
      <c r="BH30" s="2">
        <f t="shared" ca="1" si="58"/>
        <v>2709807.4150826023</v>
      </c>
      <c r="BI30" s="2">
        <f t="shared" ca="1" si="59"/>
        <v>37476131.940314174</v>
      </c>
      <c r="BJ30" s="2">
        <f t="shared" ca="1" si="60"/>
        <v>0.25648508629165589</v>
      </c>
      <c r="BK30" s="2">
        <f t="shared" ca="1" si="61"/>
        <v>11042713.649204649</v>
      </c>
    </row>
    <row r="31" spans="1:63" x14ac:dyDescent="0.3">
      <c r="A31" s="2">
        <v>30</v>
      </c>
      <c r="B31" s="2">
        <f t="shared" ca="1" si="0"/>
        <v>0.19875766801264882</v>
      </c>
      <c r="C31" s="2">
        <f t="shared" ca="1" si="1"/>
        <v>6.6304881727877989</v>
      </c>
      <c r="D31" s="2">
        <f t="shared" ca="1" si="2"/>
        <v>0.70135205174582704</v>
      </c>
      <c r="E31" s="2">
        <f t="shared" ca="1" si="3"/>
        <v>7.7271507931631511</v>
      </c>
      <c r="F31" s="2">
        <f t="shared" ca="1" si="4"/>
        <v>4.5351746480041255E-2</v>
      </c>
      <c r="G31" s="2">
        <f t="shared" ca="1" si="5"/>
        <v>-1.0750952111056436E-2</v>
      </c>
      <c r="H31" s="2">
        <f t="shared" ca="1" si="6"/>
        <v>-1.0750952111056436E-2</v>
      </c>
      <c r="I31" s="2">
        <f t="shared" ca="1" si="7"/>
        <v>0.98288443044488283</v>
      </c>
      <c r="J31" s="2">
        <f t="shared" ca="1" si="8"/>
        <v>2.0586691940834519E-2</v>
      </c>
      <c r="K31" s="2">
        <f t="shared" ca="1" si="9"/>
        <v>2.0586691940834519E-2</v>
      </c>
      <c r="L31" s="2">
        <f t="shared" ca="1" si="10"/>
        <v>0.48462485203784611</v>
      </c>
      <c r="M31" s="2">
        <f t="shared" ca="1" si="11"/>
        <v>-7.7098652377169917E-4</v>
      </c>
      <c r="N31" s="2">
        <f t="shared" ca="1" si="12"/>
        <v>-7.7098652377169917E-4</v>
      </c>
      <c r="O31" s="2">
        <f t="shared" si="13"/>
        <v>6000000</v>
      </c>
      <c r="P31" s="2">
        <f t="shared" ca="1" si="14"/>
        <v>39782929.036726795</v>
      </c>
      <c r="Q31" s="2">
        <f t="shared" ca="1" si="15"/>
        <v>994573.22591816995</v>
      </c>
      <c r="R31" s="2">
        <f t="shared" ca="1" si="16"/>
        <v>23869757.422036078</v>
      </c>
      <c r="S31" s="2">
        <f t="shared" ca="1" si="17"/>
        <v>15913171.614690719</v>
      </c>
      <c r="T31" s="2">
        <f t="shared" ca="1" si="18"/>
        <v>49961450.673811413</v>
      </c>
      <c r="U31" s="2">
        <f t="shared" ca="1" si="19"/>
        <v>49424317.51021836</v>
      </c>
      <c r="V31" s="2">
        <f t="shared" ca="1" si="20"/>
        <v>48892959.039544351</v>
      </c>
      <c r="W31" s="2">
        <f t="shared" ca="1" si="21"/>
        <v>48367313.178342365</v>
      </c>
      <c r="X31" s="2">
        <f t="shared" ca="1" si="22"/>
        <v>47847318.510621533</v>
      </c>
      <c r="Y31" s="2">
        <f t="shared" ca="1" si="23"/>
        <v>0.13029334597041725</v>
      </c>
      <c r="Z31" s="2">
        <f t="shared" ca="1" si="24"/>
        <v>0.13441068435858416</v>
      </c>
      <c r="AA31" s="2">
        <f t="shared" ca="1" si="25"/>
        <v>6509644.5778268464</v>
      </c>
      <c r="AB31" s="2">
        <f t="shared" ca="1" si="26"/>
        <v>6643156.3405044042</v>
      </c>
      <c r="AC31" s="2">
        <f t="shared" ca="1" si="27"/>
        <v>6571736.0848213797</v>
      </c>
      <c r="AD31" s="2">
        <f t="shared" ca="1" si="28"/>
        <v>6501083.6648869636</v>
      </c>
      <c r="AE31" s="2">
        <f t="shared" ca="1" si="29"/>
        <v>6431190.8257357925</v>
      </c>
      <c r="AF31" s="2">
        <f t="shared" ca="1" si="30"/>
        <v>999229.01347622834</v>
      </c>
      <c r="AG31" s="2">
        <f t="shared" ca="1" si="31"/>
        <v>988486.35020436719</v>
      </c>
      <c r="AH31" s="2">
        <f t="shared" ca="1" si="32"/>
        <v>977859.1807908871</v>
      </c>
      <c r="AI31" s="2">
        <f t="shared" ca="1" si="33"/>
        <v>967346.26356684731</v>
      </c>
      <c r="AJ31" s="2">
        <f t="shared" ca="1" si="34"/>
        <v>956946.37021243072</v>
      </c>
      <c r="AK31" s="2">
        <f t="shared" ca="1" si="35"/>
        <v>0</v>
      </c>
      <c r="AL31" s="2">
        <f t="shared" ca="1" si="36"/>
        <v>0</v>
      </c>
      <c r="AM31" s="2">
        <f t="shared" ca="1" si="37"/>
        <v>0</v>
      </c>
      <c r="AN31" s="2">
        <f t="shared" ca="1" si="38"/>
        <v>0</v>
      </c>
      <c r="AO31" s="2">
        <f t="shared" ca="1" si="39"/>
        <v>0</v>
      </c>
      <c r="AP31" s="2">
        <f t="shared" ca="1" si="40"/>
        <v>2148278.167983247</v>
      </c>
      <c r="AQ31" s="2">
        <f t="shared" ca="1" si="41"/>
        <v>874155.72305551649</v>
      </c>
      <c r="AR31" s="2">
        <f t="shared" ca="1" si="42"/>
        <v>911661.87380236539</v>
      </c>
      <c r="AS31" s="2">
        <f t="shared" ca="1" si="43"/>
        <v>895855.67137228383</v>
      </c>
      <c r="AT31" s="2">
        <f t="shared" ca="1" si="44"/>
        <v>880219.40066758613</v>
      </c>
      <c r="AU31" s="2">
        <f t="shared" ca="1" si="45"/>
        <v>864751.23476042983</v>
      </c>
      <c r="AV31" s="2">
        <f t="shared" ca="1" si="46"/>
        <v>2487981.6733118547</v>
      </c>
      <c r="AW31" s="2">
        <f t="shared" ca="1" si="47"/>
        <v>2594729.9485144243</v>
      </c>
      <c r="AX31" s="2">
        <f t="shared" ca="1" si="48"/>
        <v>2549743.0646749614</v>
      </c>
      <c r="AY31" s="2">
        <f t="shared" ca="1" si="49"/>
        <v>2505239.8326692833</v>
      </c>
      <c r="AZ31" s="2">
        <f t="shared" ca="1" si="50"/>
        <v>2461215.0527796848</v>
      </c>
      <c r="BA31" s="2">
        <f t="shared" ca="1" si="51"/>
        <v>49694781.290067911</v>
      </c>
      <c r="BB31" s="2">
        <f t="shared" ca="1" si="52"/>
        <v>993895.62580135826</v>
      </c>
      <c r="BC31" s="2">
        <f t="shared" ca="1" si="53"/>
        <v>24831128.242230475</v>
      </c>
      <c r="BD31" s="2">
        <f t="shared" ca="1" si="54"/>
        <v>-17407744.840608887</v>
      </c>
      <c r="BE31" s="2">
        <f t="shared" ca="1" si="55"/>
        <v>2487981.6733118547</v>
      </c>
      <c r="BF31" s="2">
        <f t="shared" ca="1" si="56"/>
        <v>2594729.9485144243</v>
      </c>
      <c r="BG31" s="2">
        <f t="shared" ca="1" si="57"/>
        <v>2549743.0646749614</v>
      </c>
      <c r="BH31" s="2">
        <f t="shared" ca="1" si="58"/>
        <v>2505239.8326692833</v>
      </c>
      <c r="BI31" s="2">
        <f t="shared" ca="1" si="59"/>
        <v>27292343.295010161</v>
      </c>
      <c r="BJ31" s="2">
        <f t="shared" ca="1" si="60"/>
        <v>0.20206238064418014</v>
      </c>
      <c r="BK31" s="2">
        <f t="shared" ca="1" si="61"/>
        <v>5775560.6924755424</v>
      </c>
    </row>
    <row r="32" spans="1:63" x14ac:dyDescent="0.3">
      <c r="A32" s="2">
        <v>31</v>
      </c>
      <c r="B32" s="2">
        <f t="shared" ca="1" si="0"/>
        <v>3.2057234689138792E-2</v>
      </c>
      <c r="C32" s="2">
        <f t="shared" ca="1" si="1"/>
        <v>6.2532083517150996</v>
      </c>
      <c r="D32" s="2">
        <f t="shared" ca="1" si="2"/>
        <v>0.8753255743270234</v>
      </c>
      <c r="E32" s="2">
        <f t="shared" ca="1" si="3"/>
        <v>8.0006515732016847</v>
      </c>
      <c r="F32" s="2">
        <f t="shared" ca="1" si="4"/>
        <v>0.34020500910133522</v>
      </c>
      <c r="G32" s="2">
        <f t="shared" ca="1" si="5"/>
        <v>2.7642889387525502E-2</v>
      </c>
      <c r="H32" s="2">
        <f t="shared" ca="1" si="6"/>
        <v>2.7642889387525502E-2</v>
      </c>
      <c r="I32" s="2">
        <f t="shared" ca="1" si="7"/>
        <v>5.502006212936994E-2</v>
      </c>
      <c r="J32" s="2">
        <f t="shared" ca="1" si="8"/>
        <v>2.0099359057721908E-3</v>
      </c>
      <c r="K32" s="2">
        <f t="shared" ca="1" si="9"/>
        <v>2.0099359057721908E-3</v>
      </c>
      <c r="L32" s="2">
        <f t="shared" ca="1" si="10"/>
        <v>0.33806757677282462</v>
      </c>
      <c r="M32" s="2">
        <f t="shared" ca="1" si="11"/>
        <v>-8.3548566133393471E-3</v>
      </c>
      <c r="N32" s="2">
        <f t="shared" ca="1" si="12"/>
        <v>-8.3548566133393471E-3</v>
      </c>
      <c r="O32" s="2">
        <f t="shared" si="13"/>
        <v>6000000</v>
      </c>
      <c r="P32" s="2">
        <f t="shared" ca="1" si="14"/>
        <v>37519250.110290594</v>
      </c>
      <c r="Q32" s="2">
        <f t="shared" ca="1" si="15"/>
        <v>937981.25275726488</v>
      </c>
      <c r="R32" s="2">
        <f t="shared" ca="1" si="16"/>
        <v>22511550.066174354</v>
      </c>
      <c r="S32" s="2">
        <f t="shared" ca="1" si="17"/>
        <v>15007700.044116238</v>
      </c>
      <c r="T32" s="2">
        <f t="shared" ca="1" si="18"/>
        <v>49582257.169333033</v>
      </c>
      <c r="U32" s="2">
        <f t="shared" ca="1" si="19"/>
        <v>50952854.019848756</v>
      </c>
      <c r="V32" s="2">
        <f t="shared" ca="1" si="20"/>
        <v>52361338.127498172</v>
      </c>
      <c r="W32" s="2">
        <f t="shared" ca="1" si="21"/>
        <v>53808756.805539429</v>
      </c>
      <c r="X32" s="2">
        <f t="shared" ca="1" si="22"/>
        <v>55296186.31799522</v>
      </c>
      <c r="Y32" s="2">
        <f t="shared" ca="1" si="23"/>
        <v>0.12100496795288609</v>
      </c>
      <c r="Z32" s="2">
        <f t="shared" ca="1" si="24"/>
        <v>0.12140695513404053</v>
      </c>
      <c r="AA32" s="2">
        <f t="shared" ca="1" si="25"/>
        <v>5999699.4398069009</v>
      </c>
      <c r="AB32" s="2">
        <f t="shared" ca="1" si="26"/>
        <v>6186030.861939094</v>
      </c>
      <c r="AC32" s="2">
        <f t="shared" ca="1" si="27"/>
        <v>6357030.6288034962</v>
      </c>
      <c r="AD32" s="2">
        <f t="shared" ca="1" si="28"/>
        <v>6532757.3233086234</v>
      </c>
      <c r="AE32" s="2">
        <f t="shared" ca="1" si="29"/>
        <v>6713341.6113923909</v>
      </c>
      <c r="AF32" s="2">
        <f t="shared" ca="1" si="30"/>
        <v>991645.14338666073</v>
      </c>
      <c r="AG32" s="2">
        <f t="shared" ca="1" si="31"/>
        <v>1019057.0803969752</v>
      </c>
      <c r="AH32" s="2">
        <f t="shared" ca="1" si="32"/>
        <v>1047226.7625499634</v>
      </c>
      <c r="AI32" s="2">
        <f t="shared" ca="1" si="33"/>
        <v>1076175.1361107887</v>
      </c>
      <c r="AJ32" s="2">
        <f t="shared" ca="1" si="34"/>
        <v>1105923.7263599045</v>
      </c>
      <c r="AK32" s="2">
        <f t="shared" ca="1" si="35"/>
        <v>0</v>
      </c>
      <c r="AL32" s="2">
        <f t="shared" ca="1" si="36"/>
        <v>13705.968505157232</v>
      </c>
      <c r="AM32" s="2">
        <f t="shared" ca="1" si="37"/>
        <v>14084.841076494158</v>
      </c>
      <c r="AN32" s="2">
        <f t="shared" ca="1" si="38"/>
        <v>14474.18678041257</v>
      </c>
      <c r="AO32" s="2">
        <f t="shared" ca="1" si="39"/>
        <v>14874.295124557913</v>
      </c>
      <c r="AP32" s="2">
        <f t="shared" ca="1" si="40"/>
        <v>2026039.5059556919</v>
      </c>
      <c r="AQ32" s="2">
        <f t="shared" ca="1" si="41"/>
        <v>775323.84552078252</v>
      </c>
      <c r="AR32" s="2">
        <f t="shared" ca="1" si="42"/>
        <v>816642.91165247094</v>
      </c>
      <c r="AS32" s="2">
        <f t="shared" ca="1" si="43"/>
        <v>853778.73367743858</v>
      </c>
      <c r="AT32" s="2">
        <f t="shared" ca="1" si="44"/>
        <v>891941.097122957</v>
      </c>
      <c r="AU32" s="2">
        <f t="shared" ca="1" si="45"/>
        <v>931158.37855996657</v>
      </c>
      <c r="AV32" s="2">
        <f t="shared" ca="1" si="46"/>
        <v>2206690.9449437656</v>
      </c>
      <c r="AW32" s="2">
        <f t="shared" ca="1" si="47"/>
        <v>2310585.3954287986</v>
      </c>
      <c r="AX32" s="2">
        <f t="shared" ca="1" si="48"/>
        <v>2415900.7855439079</v>
      </c>
      <c r="AY32" s="2">
        <f t="shared" ca="1" si="49"/>
        <v>2524127.3973387727</v>
      </c>
      <c r="AZ32" s="2">
        <f t="shared" ca="1" si="50"/>
        <v>2635345.7053922699</v>
      </c>
      <c r="BA32" s="2">
        <f t="shared" ca="1" si="51"/>
        <v>53711107.124626867</v>
      </c>
      <c r="BB32" s="2">
        <f t="shared" ca="1" si="52"/>
        <v>1074222.1424925374</v>
      </c>
      <c r="BC32" s="2">
        <f t="shared" ca="1" si="53"/>
        <v>30125334.915959977</v>
      </c>
      <c r="BD32" s="2">
        <f t="shared" ca="1" si="54"/>
        <v>-16445681.296873502</v>
      </c>
      <c r="BE32" s="2">
        <f t="shared" ca="1" si="55"/>
        <v>2206690.9449437656</v>
      </c>
      <c r="BF32" s="2">
        <f t="shared" ca="1" si="56"/>
        <v>2310585.3954287986</v>
      </c>
      <c r="BG32" s="2">
        <f t="shared" ca="1" si="57"/>
        <v>2415900.7855439079</v>
      </c>
      <c r="BH32" s="2">
        <f t="shared" ca="1" si="58"/>
        <v>2524127.3973387727</v>
      </c>
      <c r="BI32" s="2">
        <f t="shared" ca="1" si="59"/>
        <v>32760680.621352248</v>
      </c>
      <c r="BJ32" s="2">
        <f t="shared" ca="1" si="60"/>
        <v>0.24633720888689581</v>
      </c>
      <c r="BK32" s="2">
        <f t="shared" ca="1" si="61"/>
        <v>9279572.0554002859</v>
      </c>
    </row>
    <row r="33" spans="1:63" x14ac:dyDescent="0.3">
      <c r="A33" s="2">
        <v>32</v>
      </c>
      <c r="B33" s="2">
        <f t="shared" ca="1" si="0"/>
        <v>0.73221732807545381</v>
      </c>
      <c r="C33" s="2">
        <f t="shared" ca="1" si="1"/>
        <v>7.2681766990255827</v>
      </c>
      <c r="D33" s="2">
        <f t="shared" ca="1" si="2"/>
        <v>0.32585388243692415</v>
      </c>
      <c r="E33" s="2">
        <f t="shared" ca="1" si="3"/>
        <v>7.307284190898006</v>
      </c>
      <c r="F33" s="2">
        <f t="shared" ca="1" si="4"/>
        <v>0.34811835925027734</v>
      </c>
      <c r="G33" s="2">
        <f t="shared" ca="1" si="5"/>
        <v>2.82878348785757E-2</v>
      </c>
      <c r="H33" s="2">
        <f t="shared" ca="1" si="6"/>
        <v>2.82878348785757E-2</v>
      </c>
      <c r="I33" s="2">
        <f t="shared" ca="1" si="7"/>
        <v>0.68150267226359196</v>
      </c>
      <c r="J33" s="2">
        <f t="shared" ca="1" si="8"/>
        <v>1.2359524604533809E-2</v>
      </c>
      <c r="K33" s="2">
        <f t="shared" ca="1" si="9"/>
        <v>1.2359524604533809E-2</v>
      </c>
      <c r="L33" s="2">
        <f t="shared" ca="1" si="10"/>
        <v>0.80588972578298967</v>
      </c>
      <c r="M33" s="2">
        <f t="shared" ca="1" si="11"/>
        <v>1.7256978028195577E-2</v>
      </c>
      <c r="N33" s="2">
        <f t="shared" ca="1" si="12"/>
        <v>1.7256978028195577E-2</v>
      </c>
      <c r="O33" s="2">
        <f t="shared" si="13"/>
        <v>6000000</v>
      </c>
      <c r="P33" s="2">
        <f t="shared" ca="1" si="14"/>
        <v>43609060.194153495</v>
      </c>
      <c r="Q33" s="2">
        <f t="shared" ca="1" si="15"/>
        <v>1090226.5048538374</v>
      </c>
      <c r="R33" s="2">
        <f t="shared" ca="1" si="16"/>
        <v>26165436.116492096</v>
      </c>
      <c r="S33" s="2">
        <f t="shared" ca="1" si="17"/>
        <v>17443624.077661399</v>
      </c>
      <c r="T33" s="2">
        <f t="shared" ca="1" si="18"/>
        <v>50862848.901409775</v>
      </c>
      <c r="U33" s="2">
        <f t="shared" ca="1" si="19"/>
        <v>52301648.772586808</v>
      </c>
      <c r="V33" s="2">
        <f t="shared" ca="1" si="20"/>
        <v>53781149.176943012</v>
      </c>
      <c r="W33" s="2">
        <f t="shared" ca="1" si="21"/>
        <v>55302501.444440424</v>
      </c>
      <c r="X33" s="2">
        <f t="shared" ca="1" si="22"/>
        <v>56866889.473672956</v>
      </c>
      <c r="Y33" s="2">
        <f t="shared" ca="1" si="23"/>
        <v>0.12617976230226691</v>
      </c>
      <c r="Z33" s="2">
        <f t="shared" ca="1" si="24"/>
        <v>0.12865166722317367</v>
      </c>
      <c r="AA33" s="2">
        <f t="shared" ca="1" si="25"/>
        <v>6417862.1843960024</v>
      </c>
      <c r="AB33" s="2">
        <f t="shared" ca="1" si="26"/>
        <v>6728694.3131141476</v>
      </c>
      <c r="AC33" s="2">
        <f t="shared" ca="1" si="27"/>
        <v>6919034.5067919325</v>
      </c>
      <c r="AD33" s="2">
        <f t="shared" ca="1" si="28"/>
        <v>7114759.0124392305</v>
      </c>
      <c r="AE33" s="2">
        <f t="shared" ca="1" si="29"/>
        <v>7316020.1405839706</v>
      </c>
      <c r="AF33" s="2">
        <f t="shared" ca="1" si="30"/>
        <v>1017256.9780281956</v>
      </c>
      <c r="AG33" s="2">
        <f t="shared" ca="1" si="31"/>
        <v>1046032.9754517361</v>
      </c>
      <c r="AH33" s="2">
        <f t="shared" ca="1" si="32"/>
        <v>1075622.9835388602</v>
      </c>
      <c r="AI33" s="2">
        <f t="shared" ca="1" si="33"/>
        <v>1106050.0288888086</v>
      </c>
      <c r="AJ33" s="2">
        <f t="shared" ca="1" si="34"/>
        <v>1137337.7894734591</v>
      </c>
      <c r="AK33" s="2">
        <f t="shared" ca="1" si="35"/>
        <v>0</v>
      </c>
      <c r="AL33" s="2">
        <f t="shared" ca="1" si="36"/>
        <v>14387.998711770326</v>
      </c>
      <c r="AM33" s="2">
        <f t="shared" ca="1" si="37"/>
        <v>14795.004043562039</v>
      </c>
      <c r="AN33" s="2">
        <f t="shared" ca="1" si="38"/>
        <v>15213.522674974129</v>
      </c>
      <c r="AO33" s="2">
        <f t="shared" ca="1" si="39"/>
        <v>15643.880292325319</v>
      </c>
      <c r="AP33" s="2">
        <f t="shared" ca="1" si="40"/>
        <v>2354889.2504842887</v>
      </c>
      <c r="AQ33" s="2">
        <f t="shared" ca="1" si="41"/>
        <v>791886.14852971467</v>
      </c>
      <c r="AR33" s="2">
        <f t="shared" ca="1" si="42"/>
        <v>865220.74266631203</v>
      </c>
      <c r="AS33" s="2">
        <f t="shared" ca="1" si="43"/>
        <v>907015.79091988376</v>
      </c>
      <c r="AT33" s="2">
        <f t="shared" ca="1" si="44"/>
        <v>949993.13059719466</v>
      </c>
      <c r="AU33" s="2">
        <f t="shared" ca="1" si="45"/>
        <v>994186.20616281801</v>
      </c>
      <c r="AV33" s="2">
        <f t="shared" ca="1" si="46"/>
        <v>2253829.807353803</v>
      </c>
      <c r="AW33" s="2">
        <f t="shared" ca="1" si="47"/>
        <v>2448163.3458000412</v>
      </c>
      <c r="AX33" s="2">
        <f t="shared" ca="1" si="48"/>
        <v>2566711.4778053369</v>
      </c>
      <c r="AY33" s="2">
        <f t="shared" ca="1" si="49"/>
        <v>2688613.0797939645</v>
      </c>
      <c r="AZ33" s="2">
        <f t="shared" ca="1" si="50"/>
        <v>2813963.0141710797</v>
      </c>
      <c r="BA33" s="2">
        <f t="shared" ca="1" si="51"/>
        <v>53460238.313580655</v>
      </c>
      <c r="BB33" s="2">
        <f t="shared" ca="1" si="52"/>
        <v>1069204.7662716131</v>
      </c>
      <c r="BC33" s="2">
        <f t="shared" ca="1" si="53"/>
        <v>26225597.430816945</v>
      </c>
      <c r="BD33" s="2">
        <f t="shared" ca="1" si="54"/>
        <v>-19033850.582515236</v>
      </c>
      <c r="BE33" s="2">
        <f t="shared" ca="1" si="55"/>
        <v>2253829.807353803</v>
      </c>
      <c r="BF33" s="2">
        <f t="shared" ca="1" si="56"/>
        <v>2448163.3458000412</v>
      </c>
      <c r="BG33" s="2">
        <f t="shared" ca="1" si="57"/>
        <v>2566711.4778053369</v>
      </c>
      <c r="BH33" s="2">
        <f t="shared" ca="1" si="58"/>
        <v>2688613.0797939645</v>
      </c>
      <c r="BI33" s="2">
        <f t="shared" ca="1" si="59"/>
        <v>29039560.444988023</v>
      </c>
      <c r="BJ33" s="2">
        <f t="shared" ca="1" si="60"/>
        <v>0.18416865461872889</v>
      </c>
      <c r="BK33" s="2">
        <f t="shared" ca="1" si="61"/>
        <v>4943581.5148138814</v>
      </c>
    </row>
    <row r="34" spans="1:63" x14ac:dyDescent="0.3">
      <c r="A34" s="2">
        <v>33</v>
      </c>
      <c r="B34" s="2">
        <f t="shared" ca="1" si="0"/>
        <v>5.1139718910434229E-2</v>
      </c>
      <c r="C34" s="2">
        <f t="shared" ca="1" si="1"/>
        <v>6.3198115661149057</v>
      </c>
      <c r="D34" s="2">
        <f t="shared" ca="1" si="2"/>
        <v>0.26664421419057127</v>
      </c>
      <c r="E34" s="2">
        <f t="shared" ca="1" si="3"/>
        <v>7.2302659983739774</v>
      </c>
      <c r="F34" s="2">
        <f t="shared" ca="1" si="4"/>
        <v>8.0819020917177853E-2</v>
      </c>
      <c r="G34" s="2">
        <f t="shared" ca="1" si="5"/>
        <v>-1.9875086022989805E-3</v>
      </c>
      <c r="H34" s="2">
        <f t="shared" ca="1" si="6"/>
        <v>-1.9875086022989805E-3</v>
      </c>
      <c r="I34" s="2">
        <f t="shared" ca="1" si="7"/>
        <v>0.46855245932972522</v>
      </c>
      <c r="J34" s="2">
        <f t="shared" ca="1" si="8"/>
        <v>9.6054544597599344E-3</v>
      </c>
      <c r="K34" s="2">
        <f t="shared" ca="1" si="9"/>
        <v>9.6054544597599344E-3</v>
      </c>
      <c r="L34" s="2">
        <f t="shared" ca="1" si="10"/>
        <v>0.67556837408236803</v>
      </c>
      <c r="M34" s="2">
        <f t="shared" ca="1" si="11"/>
        <v>9.1068389714706894E-3</v>
      </c>
      <c r="N34" s="2">
        <f t="shared" ca="1" si="12"/>
        <v>9.1068389714706894E-3</v>
      </c>
      <c r="O34" s="2">
        <f t="shared" si="13"/>
        <v>6000000</v>
      </c>
      <c r="P34" s="2">
        <f t="shared" ca="1" si="14"/>
        <v>37918869.396689437</v>
      </c>
      <c r="Q34" s="2">
        <f t="shared" ca="1" si="15"/>
        <v>947971.73491723603</v>
      </c>
      <c r="R34" s="2">
        <f t="shared" ca="1" si="16"/>
        <v>22751321.638013661</v>
      </c>
      <c r="S34" s="2">
        <f t="shared" ca="1" si="17"/>
        <v>15167547.758675776</v>
      </c>
      <c r="T34" s="2">
        <f t="shared" ca="1" si="18"/>
        <v>50455341.948573537</v>
      </c>
      <c r="U34" s="2">
        <f t="shared" ca="1" si="19"/>
        <v>50355061.522418812</v>
      </c>
      <c r="V34" s="2">
        <f t="shared" ca="1" si="20"/>
        <v>50254980.404473707</v>
      </c>
      <c r="W34" s="2">
        <f t="shared" ca="1" si="21"/>
        <v>50155098.198611446</v>
      </c>
      <c r="X34" s="2">
        <f t="shared" ca="1" si="22"/>
        <v>50055414.509492554</v>
      </c>
      <c r="Y34" s="2">
        <f t="shared" ca="1" si="23"/>
        <v>0.12480272722987996</v>
      </c>
      <c r="Z34" s="2">
        <f t="shared" ca="1" si="24"/>
        <v>0.12672381812183195</v>
      </c>
      <c r="AA34" s="2">
        <f t="shared" ca="1" si="25"/>
        <v>6296964.278498143</v>
      </c>
      <c r="AB34" s="2">
        <f t="shared" ca="1" si="26"/>
        <v>6381185.6578806601</v>
      </c>
      <c r="AC34" s="2">
        <f t="shared" ca="1" si="27"/>
        <v>6368502.9964927547</v>
      </c>
      <c r="AD34" s="2">
        <f t="shared" ca="1" si="28"/>
        <v>6355845.5420034584</v>
      </c>
      <c r="AE34" s="2">
        <f t="shared" ca="1" si="29"/>
        <v>6343213.2443138426</v>
      </c>
      <c r="AF34" s="2">
        <f t="shared" ca="1" si="30"/>
        <v>1009106.8389714707</v>
      </c>
      <c r="AG34" s="2">
        <f t="shared" ca="1" si="31"/>
        <v>1007101.2304483763</v>
      </c>
      <c r="AH34" s="2">
        <f t="shared" ca="1" si="32"/>
        <v>1005099.6080894741</v>
      </c>
      <c r="AI34" s="2">
        <f t="shared" ca="1" si="33"/>
        <v>1003101.9639722289</v>
      </c>
      <c r="AJ34" s="2">
        <f t="shared" ca="1" si="34"/>
        <v>1001108.2901898511</v>
      </c>
      <c r="AK34" s="2">
        <f t="shared" ca="1" si="35"/>
        <v>0</v>
      </c>
      <c r="AL34" s="2">
        <f t="shared" ca="1" si="36"/>
        <v>0</v>
      </c>
      <c r="AM34" s="2">
        <f t="shared" ca="1" si="37"/>
        <v>0</v>
      </c>
      <c r="AN34" s="2">
        <f t="shared" ca="1" si="38"/>
        <v>0</v>
      </c>
      <c r="AO34" s="2">
        <f t="shared" ca="1" si="39"/>
        <v>0</v>
      </c>
      <c r="AP34" s="2">
        <f t="shared" ca="1" si="40"/>
        <v>2047618.9474212294</v>
      </c>
      <c r="AQ34" s="2">
        <f t="shared" ca="1" si="41"/>
        <v>842462.00794741523</v>
      </c>
      <c r="AR34" s="2">
        <f t="shared" ca="1" si="42"/>
        <v>864881.02480287419</v>
      </c>
      <c r="AS34" s="2">
        <f t="shared" ca="1" si="43"/>
        <v>862103.95465533331</v>
      </c>
      <c r="AT34" s="2">
        <f t="shared" ca="1" si="44"/>
        <v>859332.40395860013</v>
      </c>
      <c r="AU34" s="2">
        <f t="shared" ca="1" si="45"/>
        <v>856566.36174271815</v>
      </c>
      <c r="AV34" s="2">
        <f t="shared" ca="1" si="46"/>
        <v>2397776.4841580279</v>
      </c>
      <c r="AW34" s="2">
        <f t="shared" ca="1" si="47"/>
        <v>2461584.4552081805</v>
      </c>
      <c r="AX34" s="2">
        <f t="shared" ca="1" si="48"/>
        <v>2453680.4863267178</v>
      </c>
      <c r="AY34" s="2">
        <f t="shared" ca="1" si="49"/>
        <v>2445792.2266514003</v>
      </c>
      <c r="AZ34" s="2">
        <f t="shared" ca="1" si="50"/>
        <v>2437919.644960044</v>
      </c>
      <c r="BA34" s="2">
        <f t="shared" ca="1" si="51"/>
        <v>45863119.040797859</v>
      </c>
      <c r="BB34" s="2">
        <f t="shared" ca="1" si="52"/>
        <v>917262.38081595721</v>
      </c>
      <c r="BC34" s="2">
        <f t="shared" ca="1" si="53"/>
        <v>22194535.021968242</v>
      </c>
      <c r="BD34" s="2">
        <f t="shared" ca="1" si="54"/>
        <v>-16615519.493593013</v>
      </c>
      <c r="BE34" s="2">
        <f t="shared" ca="1" si="55"/>
        <v>2397776.4841580279</v>
      </c>
      <c r="BF34" s="2">
        <f t="shared" ca="1" si="56"/>
        <v>2461584.4552081805</v>
      </c>
      <c r="BG34" s="2">
        <f t="shared" ca="1" si="57"/>
        <v>2453680.4863267178</v>
      </c>
      <c r="BH34" s="2">
        <f t="shared" ca="1" si="58"/>
        <v>2445792.2266514003</v>
      </c>
      <c r="BI34" s="2">
        <f t="shared" ca="1" si="59"/>
        <v>24632454.666928284</v>
      </c>
      <c r="BJ34" s="2">
        <f t="shared" ca="1" si="60"/>
        <v>0.19244603246838365</v>
      </c>
      <c r="BK34" s="2">
        <f t="shared" ca="1" si="61"/>
        <v>4765655.2049866747</v>
      </c>
    </row>
    <row r="35" spans="1:63" x14ac:dyDescent="0.3">
      <c r="A35" s="2">
        <v>34</v>
      </c>
      <c r="B35" s="2">
        <f t="shared" ca="1" si="0"/>
        <v>4.1869627569642853E-2</v>
      </c>
      <c r="C35" s="2">
        <f t="shared" ca="1" si="1"/>
        <v>6.2893773576824659</v>
      </c>
      <c r="D35" s="2">
        <f t="shared" ca="1" si="2"/>
        <v>0.27918051683205414</v>
      </c>
      <c r="E35" s="2">
        <f t="shared" ca="1" si="3"/>
        <v>7.2472355944841684</v>
      </c>
      <c r="F35" s="2">
        <f t="shared" ca="1" si="4"/>
        <v>0.92576676516533085</v>
      </c>
      <c r="G35" s="2">
        <f t="shared" ca="1" si="5"/>
        <v>8.3349083205925767E-2</v>
      </c>
      <c r="H35" s="2">
        <f t="shared" ca="1" si="6"/>
        <v>8.3349083205925767E-2</v>
      </c>
      <c r="I35" s="2">
        <f t="shared" ca="1" si="7"/>
        <v>0.95802669740348811</v>
      </c>
      <c r="J35" s="2">
        <f t="shared" ca="1" si="8"/>
        <v>1.8641160937453195E-2</v>
      </c>
      <c r="K35" s="2">
        <f t="shared" ca="1" si="9"/>
        <v>1.8641160937453195E-2</v>
      </c>
      <c r="L35" s="2">
        <f t="shared" ca="1" si="10"/>
        <v>1.3970490511405198E-2</v>
      </c>
      <c r="M35" s="2">
        <f t="shared" ca="1" si="11"/>
        <v>-4.3962280582711573E-2</v>
      </c>
      <c r="N35" s="2">
        <f t="shared" ca="1" si="12"/>
        <v>-4.3962280582711573E-2</v>
      </c>
      <c r="O35" s="2">
        <f t="shared" si="13"/>
        <v>6000000</v>
      </c>
      <c r="P35" s="2">
        <f t="shared" ca="1" si="14"/>
        <v>37736264.146094792</v>
      </c>
      <c r="Q35" s="2">
        <f t="shared" ca="1" si="15"/>
        <v>943406.60365236981</v>
      </c>
      <c r="R35" s="2">
        <f t="shared" ca="1" si="16"/>
        <v>22641758.487656873</v>
      </c>
      <c r="S35" s="2">
        <f t="shared" ca="1" si="17"/>
        <v>15094505.658437917</v>
      </c>
      <c r="T35" s="2">
        <f t="shared" ca="1" si="18"/>
        <v>47801885.970864423</v>
      </c>
      <c r="U35" s="2">
        <f t="shared" ca="1" si="19"/>
        <v>51786129.34205018</v>
      </c>
      <c r="V35" s="2">
        <f t="shared" ca="1" si="20"/>
        <v>56102455.745493554</v>
      </c>
      <c r="W35" s="2">
        <f t="shared" ca="1" si="21"/>
        <v>60778543.997481465</v>
      </c>
      <c r="X35" s="2">
        <f t="shared" ca="1" si="22"/>
        <v>65844379.918262571</v>
      </c>
      <c r="Y35" s="2">
        <f t="shared" ca="1" si="23"/>
        <v>0.1293205804687266</v>
      </c>
      <c r="Z35" s="2">
        <f t="shared" ca="1" si="24"/>
        <v>0.13304881265621724</v>
      </c>
      <c r="AA35" s="2">
        <f t="shared" ca="1" si="25"/>
        <v>6181767.641252066</v>
      </c>
      <c r="AB35" s="2">
        <f t="shared" ca="1" si="26"/>
        <v>6890083.021021069</v>
      </c>
      <c r="AC35" s="2">
        <f t="shared" ca="1" si="27"/>
        <v>7464365.1240358902</v>
      </c>
      <c r="AD35" s="2">
        <f t="shared" ca="1" si="28"/>
        <v>8086513.1138385683</v>
      </c>
      <c r="AE35" s="2">
        <f t="shared" ca="1" si="29"/>
        <v>8760516.5682097096</v>
      </c>
      <c r="AF35" s="2">
        <f t="shared" ca="1" si="30"/>
        <v>956037.71941728843</v>
      </c>
      <c r="AG35" s="2">
        <f t="shared" ca="1" si="31"/>
        <v>1035722.5868410036</v>
      </c>
      <c r="AH35" s="2">
        <f t="shared" ca="1" si="32"/>
        <v>1122049.114909871</v>
      </c>
      <c r="AI35" s="2">
        <f t="shared" ca="1" si="33"/>
        <v>1215570.8799496293</v>
      </c>
      <c r="AJ35" s="2">
        <f t="shared" ca="1" si="34"/>
        <v>1316887.5983652514</v>
      </c>
      <c r="AK35" s="2">
        <f t="shared" ca="1" si="35"/>
        <v>0</v>
      </c>
      <c r="AL35" s="2">
        <f t="shared" ca="1" si="36"/>
        <v>39842.433711857571</v>
      </c>
      <c r="AM35" s="2">
        <f t="shared" ca="1" si="37"/>
        <v>43163.264034433741</v>
      </c>
      <c r="AN35" s="2">
        <f t="shared" ca="1" si="38"/>
        <v>46760.882519879116</v>
      </c>
      <c r="AO35" s="2">
        <f t="shared" ca="1" si="39"/>
        <v>50658.35920781106</v>
      </c>
      <c r="AP35" s="2">
        <f t="shared" ca="1" si="40"/>
        <v>2037758.2638891186</v>
      </c>
      <c r="AQ35" s="2">
        <f t="shared" ca="1" si="41"/>
        <v>828872.63106587145</v>
      </c>
      <c r="AR35" s="2">
        <f t="shared" ca="1" si="42"/>
        <v>992316.56427564612</v>
      </c>
      <c r="AS35" s="2">
        <f t="shared" ca="1" si="43"/>
        <v>1119185.013761594</v>
      </c>
      <c r="AT35" s="2">
        <f t="shared" ca="1" si="44"/>
        <v>1256627.8321999533</v>
      </c>
      <c r="AU35" s="2">
        <f t="shared" ca="1" si="45"/>
        <v>1405526.3835483883</v>
      </c>
      <c r="AV35" s="2">
        <f t="shared" ca="1" si="46"/>
        <v>2359099.0268797879</v>
      </c>
      <c r="AW35" s="2">
        <f t="shared" ca="1" si="47"/>
        <v>2784443.1723034424</v>
      </c>
      <c r="AX35" s="2">
        <f t="shared" ca="1" si="48"/>
        <v>3142209.4674408729</v>
      </c>
      <c r="AY35" s="2">
        <f t="shared" ca="1" si="49"/>
        <v>3529795.2552799876</v>
      </c>
      <c r="AZ35" s="2">
        <f t="shared" ca="1" si="50"/>
        <v>3949685.963199141</v>
      </c>
      <c r="BA35" s="2">
        <f t="shared" ca="1" si="51"/>
        <v>63489527.499197699</v>
      </c>
      <c r="BB35" s="2">
        <f t="shared" ca="1" si="52"/>
        <v>1269790.5499839541</v>
      </c>
      <c r="BC35" s="2">
        <f t="shared" ca="1" si="53"/>
        <v>39577978.461556874</v>
      </c>
      <c r="BD35" s="2">
        <f t="shared" ca="1" si="54"/>
        <v>-16537912.262090286</v>
      </c>
      <c r="BE35" s="2">
        <f t="shared" ca="1" si="55"/>
        <v>2359099.0268797879</v>
      </c>
      <c r="BF35" s="2">
        <f t="shared" ca="1" si="56"/>
        <v>2784443.1723034424</v>
      </c>
      <c r="BG35" s="2">
        <f t="shared" ca="1" si="57"/>
        <v>3142209.4674408729</v>
      </c>
      <c r="BH35" s="2">
        <f t="shared" ca="1" si="58"/>
        <v>3529795.2552799876</v>
      </c>
      <c r="BI35" s="2">
        <f t="shared" ca="1" si="59"/>
        <v>43527664.424756013</v>
      </c>
      <c r="BJ35" s="2">
        <f t="shared" ca="1" si="60"/>
        <v>0.32465957311055238</v>
      </c>
      <c r="BK35" s="2">
        <f t="shared" ca="1" si="61"/>
        <v>16966744.296644084</v>
      </c>
    </row>
    <row r="36" spans="1:63" x14ac:dyDescent="0.3">
      <c r="A36" s="2">
        <v>35</v>
      </c>
      <c r="B36" s="2">
        <f t="shared" ca="1" si="0"/>
        <v>0.55198106317807027</v>
      </c>
      <c r="C36" s="2">
        <f t="shared" ca="1" si="1"/>
        <v>7.0534072292459342</v>
      </c>
      <c r="D36" s="2">
        <f t="shared" ca="1" si="2"/>
        <v>0.77972921000651174</v>
      </c>
      <c r="E36" s="2">
        <f t="shared" ca="1" si="3"/>
        <v>7.8362669361957504</v>
      </c>
      <c r="F36" s="2">
        <f t="shared" ca="1" si="4"/>
        <v>0.47406005124527428</v>
      </c>
      <c r="G36" s="2">
        <f t="shared" ca="1" si="5"/>
        <v>3.8047969185019785E-2</v>
      </c>
      <c r="H36" s="2">
        <f t="shared" ca="1" si="6"/>
        <v>3.8047969185019785E-2</v>
      </c>
      <c r="I36" s="2">
        <f t="shared" ca="1" si="7"/>
        <v>0.30530560773065885</v>
      </c>
      <c r="J36" s="2">
        <f t="shared" ca="1" si="8"/>
        <v>7.4539940956853176E-3</v>
      </c>
      <c r="K36" s="2">
        <f t="shared" ca="1" si="9"/>
        <v>7.4539940956853176E-3</v>
      </c>
      <c r="L36" s="2">
        <f t="shared" ca="1" si="10"/>
        <v>0.94557016822063567</v>
      </c>
      <c r="M36" s="2">
        <f t="shared" ca="1" si="11"/>
        <v>3.2066795136038377E-2</v>
      </c>
      <c r="N36" s="2">
        <f t="shared" ca="1" si="12"/>
        <v>3.2066795136038377E-2</v>
      </c>
      <c r="O36" s="2">
        <f t="shared" si="13"/>
        <v>6000000</v>
      </c>
      <c r="P36" s="2">
        <f t="shared" ca="1" si="14"/>
        <v>42320443.375475608</v>
      </c>
      <c r="Q36" s="2">
        <f t="shared" ca="1" si="15"/>
        <v>1058011.0843868903</v>
      </c>
      <c r="R36" s="2">
        <f t="shared" ca="1" si="16"/>
        <v>25392266.025285363</v>
      </c>
      <c r="S36" s="2">
        <f t="shared" ca="1" si="17"/>
        <v>16928177.350190245</v>
      </c>
      <c r="T36" s="2">
        <f t="shared" ca="1" si="18"/>
        <v>51603339.756801911</v>
      </c>
      <c r="U36" s="2">
        <f t="shared" ca="1" si="19"/>
        <v>53566742.037712812</v>
      </c>
      <c r="V36" s="2">
        <f t="shared" ca="1" si="20"/>
        <v>55604847.788105614</v>
      </c>
      <c r="W36" s="2">
        <f t="shared" ca="1" si="21"/>
        <v>57720499.32328517</v>
      </c>
      <c r="X36" s="2">
        <f t="shared" ca="1" si="22"/>
        <v>59916647.102881476</v>
      </c>
      <c r="Y36" s="2">
        <f t="shared" ca="1" si="23"/>
        <v>0.12372699704784265</v>
      </c>
      <c r="Z36" s="2">
        <f t="shared" ca="1" si="24"/>
        <v>0.12521779586697973</v>
      </c>
      <c r="AA36" s="2">
        <f t="shared" ca="1" si="25"/>
        <v>6384726.2657486517</v>
      </c>
      <c r="AB36" s="2">
        <f t="shared" ca="1" si="26"/>
        <v>6707509.3697374845</v>
      </c>
      <c r="AC36" s="2">
        <f t="shared" ca="1" si="27"/>
        <v>6962716.479545488</v>
      </c>
      <c r="AD36" s="2">
        <f t="shared" ca="1" si="28"/>
        <v>7227633.7016032645</v>
      </c>
      <c r="AE36" s="2">
        <f t="shared" ca="1" si="29"/>
        <v>7502630.4859624757</v>
      </c>
      <c r="AF36" s="2">
        <f t="shared" ca="1" si="30"/>
        <v>1032066.7951360382</v>
      </c>
      <c r="AG36" s="2">
        <f t="shared" ca="1" si="31"/>
        <v>1071334.8407542564</v>
      </c>
      <c r="AH36" s="2">
        <f t="shared" ca="1" si="32"/>
        <v>1112096.9557621123</v>
      </c>
      <c r="AI36" s="2">
        <f t="shared" ca="1" si="33"/>
        <v>1154409.9864657035</v>
      </c>
      <c r="AJ36" s="2">
        <f t="shared" ca="1" si="34"/>
        <v>1198332.9420576296</v>
      </c>
      <c r="AK36" s="2">
        <f t="shared" ca="1" si="35"/>
        <v>0</v>
      </c>
      <c r="AL36" s="2">
        <f t="shared" ca="1" si="36"/>
        <v>19634.022809109018</v>
      </c>
      <c r="AM36" s="2">
        <f t="shared" ca="1" si="37"/>
        <v>20381.057503928019</v>
      </c>
      <c r="AN36" s="2">
        <f t="shared" ca="1" si="38"/>
        <v>21156.515351795555</v>
      </c>
      <c r="AO36" s="2">
        <f t="shared" ca="1" si="39"/>
        <v>21961.477795963063</v>
      </c>
      <c r="AP36" s="2">
        <f t="shared" ca="1" si="40"/>
        <v>2285303.9422756825</v>
      </c>
      <c r="AQ36" s="2">
        <f t="shared" ca="1" si="41"/>
        <v>797512.43736760214</v>
      </c>
      <c r="AR36" s="2">
        <f t="shared" ca="1" si="42"/>
        <v>871226.35254396184</v>
      </c>
      <c r="AS36" s="2">
        <f t="shared" ca="1" si="43"/>
        <v>926982.05119200028</v>
      </c>
      <c r="AT36" s="2">
        <f t="shared" ca="1" si="44"/>
        <v>984859.14094408846</v>
      </c>
      <c r="AU36" s="2">
        <f t="shared" ca="1" si="45"/>
        <v>1044938.3364235827</v>
      </c>
      <c r="AV36" s="2">
        <f t="shared" ca="1" si="46"/>
        <v>2269843.0909693288</v>
      </c>
      <c r="AW36" s="2">
        <f t="shared" ca="1" si="47"/>
        <v>2460010.2113544745</v>
      </c>
      <c r="AX36" s="2">
        <f t="shared" ca="1" si="48"/>
        <v>2617952.4728117641</v>
      </c>
      <c r="AY36" s="2">
        <f t="shared" ca="1" si="49"/>
        <v>2781904.116565994</v>
      </c>
      <c r="AZ36" s="2">
        <f t="shared" ca="1" si="50"/>
        <v>2952093.7874096185</v>
      </c>
      <c r="BA36" s="2">
        <f t="shared" ca="1" si="51"/>
        <v>58792615.211642005</v>
      </c>
      <c r="BB36" s="2">
        <f t="shared" ca="1" si="52"/>
        <v>1175852.3042328402</v>
      </c>
      <c r="BC36" s="2">
        <f t="shared" ca="1" si="53"/>
        <v>32224496.882123802</v>
      </c>
      <c r="BD36" s="2">
        <f t="shared" ca="1" si="54"/>
        <v>-18486188.434577134</v>
      </c>
      <c r="BE36" s="2">
        <f t="shared" ca="1" si="55"/>
        <v>2269843.0909693288</v>
      </c>
      <c r="BF36" s="2">
        <f t="shared" ca="1" si="56"/>
        <v>2460010.2113544745</v>
      </c>
      <c r="BG36" s="2">
        <f t="shared" ca="1" si="57"/>
        <v>2617952.4728117641</v>
      </c>
      <c r="BH36" s="2">
        <f t="shared" ca="1" si="58"/>
        <v>2781904.116565994</v>
      </c>
      <c r="BI36" s="2">
        <f t="shared" ca="1" si="59"/>
        <v>35176590.669533417</v>
      </c>
      <c r="BJ36" s="2">
        <f t="shared" ca="1" si="60"/>
        <v>0.23164697956711944</v>
      </c>
      <c r="BK36" s="2">
        <f t="shared" ca="1" si="61"/>
        <v>9093061.718406301</v>
      </c>
    </row>
    <row r="37" spans="1:63" x14ac:dyDescent="0.3">
      <c r="A37" s="2">
        <v>36</v>
      </c>
      <c r="B37" s="2">
        <f t="shared" ca="1" si="0"/>
        <v>0.56366912542074799</v>
      </c>
      <c r="C37" s="2">
        <f t="shared" ca="1" si="1"/>
        <v>7.0658363370594506</v>
      </c>
      <c r="D37" s="2">
        <f t="shared" ca="1" si="2"/>
        <v>0.38870075434683871</v>
      </c>
      <c r="E37" s="2">
        <f t="shared" ca="1" si="3"/>
        <v>7.3817037533625891</v>
      </c>
      <c r="F37" s="2">
        <f t="shared" ca="1" si="4"/>
        <v>0.36309182073558877</v>
      </c>
      <c r="G37" s="2">
        <f t="shared" ca="1" si="5"/>
        <v>2.9493801501362944E-2</v>
      </c>
      <c r="H37" s="2">
        <f t="shared" ca="1" si="6"/>
        <v>2.9493801501362944E-2</v>
      </c>
      <c r="I37" s="2">
        <f t="shared" ca="1" si="7"/>
        <v>0.49266758278483669</v>
      </c>
      <c r="J37" s="2">
        <f t="shared" ca="1" si="8"/>
        <v>9.9080966037802323E-3</v>
      </c>
      <c r="K37" s="2">
        <f t="shared" ca="1" si="9"/>
        <v>9.9080966037802323E-3</v>
      </c>
      <c r="L37" s="2">
        <f t="shared" ca="1" si="10"/>
        <v>0.42469529265752848</v>
      </c>
      <c r="M37" s="2">
        <f t="shared" ca="1" si="11"/>
        <v>-3.7979210633214818E-3</v>
      </c>
      <c r="N37" s="2">
        <f t="shared" ca="1" si="12"/>
        <v>-3.7979210633214818E-3</v>
      </c>
      <c r="O37" s="2">
        <f t="shared" si="13"/>
        <v>6000000</v>
      </c>
      <c r="P37" s="2">
        <f t="shared" ca="1" si="14"/>
        <v>42395018.022356704</v>
      </c>
      <c r="Q37" s="2">
        <f t="shared" ca="1" si="15"/>
        <v>1059875.4505589176</v>
      </c>
      <c r="R37" s="2">
        <f t="shared" ca="1" si="16"/>
        <v>25437010.813414022</v>
      </c>
      <c r="S37" s="2">
        <f t="shared" ca="1" si="17"/>
        <v>16958007.208942682</v>
      </c>
      <c r="T37" s="2">
        <f t="shared" ca="1" si="18"/>
        <v>49810103.946833931</v>
      </c>
      <c r="U37" s="2">
        <f t="shared" ca="1" si="19"/>
        <v>51279193.265404113</v>
      </c>
      <c r="V37" s="2">
        <f t="shared" ca="1" si="20"/>
        <v>52791611.612723976</v>
      </c>
      <c r="W37" s="2">
        <f t="shared" ca="1" si="21"/>
        <v>54348636.926566713</v>
      </c>
      <c r="X37" s="2">
        <f t="shared" ca="1" si="22"/>
        <v>55951584.835948519</v>
      </c>
      <c r="Y37" s="2">
        <f t="shared" ca="1" si="23"/>
        <v>0.12495404830189011</v>
      </c>
      <c r="Z37" s="2">
        <f t="shared" ca="1" si="24"/>
        <v>0.12693566762264616</v>
      </c>
      <c r="AA37" s="2">
        <f t="shared" ca="1" si="25"/>
        <v>6223974.1344948541</v>
      </c>
      <c r="AB37" s="2">
        <f t="shared" ca="1" si="26"/>
        <v>6509158.6322947722</v>
      </c>
      <c r="AC37" s="2">
        <f t="shared" ca="1" si="27"/>
        <v>6701138.4649365582</v>
      </c>
      <c r="AD37" s="2">
        <f t="shared" ca="1" si="28"/>
        <v>6898780.5126545457</v>
      </c>
      <c r="AE37" s="2">
        <f t="shared" ca="1" si="29"/>
        <v>7102251.7756962506</v>
      </c>
      <c r="AF37" s="2">
        <f t="shared" ca="1" si="30"/>
        <v>996202.07893667859</v>
      </c>
      <c r="AG37" s="2">
        <f t="shared" ca="1" si="31"/>
        <v>1025583.8653080823</v>
      </c>
      <c r="AH37" s="2">
        <f t="shared" ca="1" si="32"/>
        <v>1055832.2322544795</v>
      </c>
      <c r="AI37" s="2">
        <f t="shared" ca="1" si="33"/>
        <v>1086972.7385313343</v>
      </c>
      <c r="AJ37" s="2">
        <f t="shared" ca="1" si="34"/>
        <v>1119031.6967189703</v>
      </c>
      <c r="AK37" s="2">
        <f t="shared" ca="1" si="35"/>
        <v>0</v>
      </c>
      <c r="AL37" s="2">
        <f t="shared" ca="1" si="36"/>
        <v>14690.893185701818</v>
      </c>
      <c r="AM37" s="2">
        <f t="shared" ca="1" si="37"/>
        <v>15124.183473198638</v>
      </c>
      <c r="AN37" s="2">
        <f t="shared" ca="1" si="38"/>
        <v>15570.253138427363</v>
      </c>
      <c r="AO37" s="2">
        <f t="shared" ca="1" si="39"/>
        <v>16029.479093818069</v>
      </c>
      <c r="AP37" s="2">
        <f t="shared" ca="1" si="40"/>
        <v>2289330.9732072619</v>
      </c>
      <c r="AQ37" s="2">
        <f t="shared" ca="1" si="41"/>
        <v>763994.68141123769</v>
      </c>
      <c r="AR37" s="2">
        <f t="shared" ca="1" si="42"/>
        <v>830503.38638265117</v>
      </c>
      <c r="AS37" s="2">
        <f t="shared" ca="1" si="43"/>
        <v>872553.56746345246</v>
      </c>
      <c r="AT37" s="2">
        <f t="shared" ca="1" si="44"/>
        <v>915843.96823814686</v>
      </c>
      <c r="AU37" s="2">
        <f t="shared" ca="1" si="45"/>
        <v>960411.16750020487</v>
      </c>
      <c r="AV37" s="2">
        <f t="shared" ca="1" si="46"/>
        <v>2174446.4009396764</v>
      </c>
      <c r="AW37" s="2">
        <f t="shared" ca="1" si="47"/>
        <v>2349049.514211074</v>
      </c>
      <c r="AX37" s="2">
        <f t="shared" ca="1" si="48"/>
        <v>2468297.5085381656</v>
      </c>
      <c r="AY37" s="2">
        <f t="shared" ca="1" si="49"/>
        <v>2591062.5795393749</v>
      </c>
      <c r="AZ37" s="2">
        <f t="shared" ca="1" si="50"/>
        <v>2717448.459175996</v>
      </c>
      <c r="BA37" s="2">
        <f t="shared" ca="1" si="51"/>
        <v>52426718.589983128</v>
      </c>
      <c r="BB37" s="2">
        <f t="shared" ca="1" si="52"/>
        <v>1048534.3717996626</v>
      </c>
      <c r="BC37" s="2">
        <f t="shared" ca="1" si="53"/>
        <v>25941173.404769443</v>
      </c>
      <c r="BD37" s="2">
        <f t="shared" ca="1" si="54"/>
        <v>-18517882.659501597</v>
      </c>
      <c r="BE37" s="2">
        <f t="shared" ca="1" si="55"/>
        <v>2174446.4009396764</v>
      </c>
      <c r="BF37" s="2">
        <f t="shared" ca="1" si="56"/>
        <v>2349049.514211074</v>
      </c>
      <c r="BG37" s="2">
        <f t="shared" ca="1" si="57"/>
        <v>2468297.5085381656</v>
      </c>
      <c r="BH37" s="2">
        <f t="shared" ca="1" si="58"/>
        <v>2591062.5795393749</v>
      </c>
      <c r="BI37" s="2">
        <f t="shared" ca="1" si="59"/>
        <v>28658621.863945439</v>
      </c>
      <c r="BJ37" s="2">
        <f t="shared" ca="1" si="60"/>
        <v>0.18581317529713415</v>
      </c>
      <c r="BK37" s="2">
        <f t="shared" ca="1" si="61"/>
        <v>4961459.4494975731</v>
      </c>
    </row>
    <row r="38" spans="1:63" x14ac:dyDescent="0.3">
      <c r="A38" s="2">
        <v>37</v>
      </c>
      <c r="B38" s="2">
        <f t="shared" ca="1" si="0"/>
        <v>0.35385638595732405</v>
      </c>
      <c r="C38" s="2">
        <f t="shared" ca="1" si="1"/>
        <v>6.8412566623300215</v>
      </c>
      <c r="D38" s="2">
        <f t="shared" ca="1" si="2"/>
        <v>0.49966464995917392</v>
      </c>
      <c r="E38" s="2">
        <f t="shared" ca="1" si="3"/>
        <v>7.4996645937104844</v>
      </c>
      <c r="F38" s="2">
        <f t="shared" ca="1" si="4"/>
        <v>0.21961489249695509</v>
      </c>
      <c r="G38" s="2">
        <f t="shared" ca="1" si="5"/>
        <v>1.6795165126584063E-2</v>
      </c>
      <c r="H38" s="2">
        <f t="shared" ca="1" si="6"/>
        <v>1.6795165126584063E-2</v>
      </c>
      <c r="I38" s="2">
        <f t="shared" ca="1" si="7"/>
        <v>0.35843693439187274</v>
      </c>
      <c r="J38" s="2">
        <f t="shared" ca="1" si="8"/>
        <v>8.1868002881706967E-3</v>
      </c>
      <c r="K38" s="2">
        <f t="shared" ca="1" si="9"/>
        <v>8.1868002881706967E-3</v>
      </c>
      <c r="L38" s="2">
        <f t="shared" ca="1" si="10"/>
        <v>0.35092080288578009</v>
      </c>
      <c r="M38" s="2">
        <f t="shared" ca="1" si="11"/>
        <v>-7.6567135629984082E-3</v>
      </c>
      <c r="N38" s="2">
        <f t="shared" ca="1" si="12"/>
        <v>-7.6567135629984082E-3</v>
      </c>
      <c r="O38" s="2">
        <f t="shared" si="13"/>
        <v>6000000</v>
      </c>
      <c r="P38" s="2">
        <f t="shared" ca="1" si="14"/>
        <v>41047539.973980129</v>
      </c>
      <c r="Q38" s="2">
        <f t="shared" ca="1" si="15"/>
        <v>1026188.4993495033</v>
      </c>
      <c r="R38" s="2">
        <f t="shared" ca="1" si="16"/>
        <v>24628523.984388076</v>
      </c>
      <c r="S38" s="2">
        <f t="shared" ca="1" si="17"/>
        <v>16419015.989592053</v>
      </c>
      <c r="T38" s="2">
        <f t="shared" ca="1" si="18"/>
        <v>49617164.321850076</v>
      </c>
      <c r="U38" s="2">
        <f t="shared" ca="1" si="19"/>
        <v>50450492.789748408</v>
      </c>
      <c r="V38" s="2">
        <f t="shared" ca="1" si="20"/>
        <v>51297817.146869771</v>
      </c>
      <c r="W38" s="2">
        <f t="shared" ca="1" si="21"/>
        <v>52159372.456484765</v>
      </c>
      <c r="X38" s="2">
        <f t="shared" ca="1" si="22"/>
        <v>53035397.729790427</v>
      </c>
      <c r="Y38" s="2">
        <f t="shared" ca="1" si="23"/>
        <v>0.12409340014408535</v>
      </c>
      <c r="Z38" s="2">
        <f t="shared" ca="1" si="24"/>
        <v>0.12573076020171947</v>
      </c>
      <c r="AA38" s="2">
        <f t="shared" ca="1" si="25"/>
        <v>6157162.6262061764</v>
      </c>
      <c r="AB38" s="2">
        <f t="shared" ca="1" si="26"/>
        <v>6343178.8110064343</v>
      </c>
      <c r="AC38" s="2">
        <f t="shared" ca="1" si="27"/>
        <v>6449713.5465647364</v>
      </c>
      <c r="AD38" s="2">
        <f t="shared" ca="1" si="28"/>
        <v>6558037.5505984575</v>
      </c>
      <c r="AE38" s="2">
        <f t="shared" ca="1" si="29"/>
        <v>6668180.8741670977</v>
      </c>
      <c r="AF38" s="2">
        <f t="shared" ca="1" si="30"/>
        <v>992343.28643700154</v>
      </c>
      <c r="AG38" s="2">
        <f t="shared" ca="1" si="31"/>
        <v>1009009.8557949682</v>
      </c>
      <c r="AH38" s="2">
        <f t="shared" ca="1" si="32"/>
        <v>1025956.3429373954</v>
      </c>
      <c r="AI38" s="2">
        <f t="shared" ca="1" si="33"/>
        <v>1043187.4491296953</v>
      </c>
      <c r="AJ38" s="2">
        <f t="shared" ca="1" si="34"/>
        <v>1060707.9545958086</v>
      </c>
      <c r="AK38" s="2">
        <f t="shared" ca="1" si="35"/>
        <v>0</v>
      </c>
      <c r="AL38" s="2">
        <f t="shared" ca="1" si="36"/>
        <v>8333.2846789833166</v>
      </c>
      <c r="AM38" s="2">
        <f t="shared" ca="1" si="37"/>
        <v>8473.2435712136321</v>
      </c>
      <c r="AN38" s="2">
        <f t="shared" ca="1" si="38"/>
        <v>8615.5530961499371</v>
      </c>
      <c r="AO38" s="2">
        <f t="shared" ca="1" si="39"/>
        <v>8760.2527330566209</v>
      </c>
      <c r="AP38" s="2">
        <f t="shared" ca="1" si="40"/>
        <v>2216567.1585949268</v>
      </c>
      <c r="AQ38" s="2">
        <f t="shared" ca="1" si="41"/>
        <v>766545.56710530468</v>
      </c>
      <c r="AR38" s="2">
        <f t="shared" ca="1" si="42"/>
        <v>810576.46712030028</v>
      </c>
      <c r="AS38" s="2">
        <f t="shared" ca="1" si="43"/>
        <v>833869.41170842759</v>
      </c>
      <c r="AT38" s="2">
        <f t="shared" ca="1" si="44"/>
        <v>857553.56514719722</v>
      </c>
      <c r="AU38" s="2">
        <f t="shared" ca="1" si="45"/>
        <v>881635.49785385421</v>
      </c>
      <c r="AV38" s="2">
        <f t="shared" ca="1" si="46"/>
        <v>2181706.614068944</v>
      </c>
      <c r="AW38" s="2">
        <f t="shared" ca="1" si="47"/>
        <v>2298692.0448172558</v>
      </c>
      <c r="AX38" s="2">
        <f t="shared" ca="1" si="48"/>
        <v>2364847.3897527726</v>
      </c>
      <c r="AY38" s="2">
        <f t="shared" ca="1" si="49"/>
        <v>2432113.8246304886</v>
      </c>
      <c r="AZ38" s="2">
        <f t="shared" ca="1" si="50"/>
        <v>2500510.0103894509</v>
      </c>
      <c r="BA38" s="2">
        <f t="shared" ca="1" si="51"/>
        <v>50009120.00644841</v>
      </c>
      <c r="BB38" s="2">
        <f t="shared" ca="1" si="52"/>
        <v>1000182.4001289682</v>
      </c>
      <c r="BC38" s="2">
        <f t="shared" ca="1" si="53"/>
        <v>24380413.621931367</v>
      </c>
      <c r="BD38" s="2">
        <f t="shared" ca="1" si="54"/>
        <v>-17945204.488941558</v>
      </c>
      <c r="BE38" s="2">
        <f t="shared" ca="1" si="55"/>
        <v>2181706.614068944</v>
      </c>
      <c r="BF38" s="2">
        <f t="shared" ca="1" si="56"/>
        <v>2298692.0448172558</v>
      </c>
      <c r="BG38" s="2">
        <f t="shared" ca="1" si="57"/>
        <v>2364847.3897527726</v>
      </c>
      <c r="BH38" s="2">
        <f t="shared" ca="1" si="58"/>
        <v>2432113.8246304886</v>
      </c>
      <c r="BI38" s="2">
        <f t="shared" ca="1" si="59"/>
        <v>26880923.632320818</v>
      </c>
      <c r="BJ38" s="2">
        <f t="shared" ca="1" si="60"/>
        <v>0.17997196808522942</v>
      </c>
      <c r="BK38" s="2">
        <f t="shared" ca="1" si="61"/>
        <v>4317113.0104618259</v>
      </c>
    </row>
    <row r="39" spans="1:63" x14ac:dyDescent="0.3">
      <c r="A39" s="2">
        <v>38</v>
      </c>
      <c r="B39" s="2">
        <f t="shared" ca="1" si="0"/>
        <v>0.99420217596286542</v>
      </c>
      <c r="C39" s="2">
        <f t="shared" ca="1" si="1"/>
        <v>7.8923169090605718</v>
      </c>
      <c r="D39" s="2">
        <f t="shared" ca="1" si="2"/>
        <v>0.68881268170673027</v>
      </c>
      <c r="E39" s="2">
        <f t="shared" ca="1" si="3"/>
        <v>7.7110927579325059</v>
      </c>
      <c r="F39" s="2">
        <f t="shared" ca="1" si="4"/>
        <v>0.78194353088927038</v>
      </c>
      <c r="G39" s="2">
        <f t="shared" ca="1" si="5"/>
        <v>6.3363215817279189E-2</v>
      </c>
      <c r="H39" s="2">
        <f t="shared" ca="1" si="6"/>
        <v>6.3363215817279189E-2</v>
      </c>
      <c r="I39" s="2">
        <f t="shared" ca="1" si="7"/>
        <v>0.46415775881264965</v>
      </c>
      <c r="J39" s="2">
        <f t="shared" ca="1" si="8"/>
        <v>9.5501780809546521E-3</v>
      </c>
      <c r="K39" s="2">
        <f t="shared" ca="1" si="9"/>
        <v>9.5501780809546521E-3</v>
      </c>
      <c r="L39" s="2">
        <f t="shared" ca="1" si="10"/>
        <v>0.43925838511823456</v>
      </c>
      <c r="M39" s="2">
        <f t="shared" ca="1" si="11"/>
        <v>-3.0569948374291212E-3</v>
      </c>
      <c r="N39" s="2">
        <f t="shared" ca="1" si="12"/>
        <v>-3.0569948374291212E-3</v>
      </c>
      <c r="O39" s="2">
        <f t="shared" si="13"/>
        <v>6000000</v>
      </c>
      <c r="P39" s="2">
        <f t="shared" ca="1" si="14"/>
        <v>47353901.454363428</v>
      </c>
      <c r="Q39" s="2">
        <f t="shared" ca="1" si="15"/>
        <v>1183847.5363590857</v>
      </c>
      <c r="R39" s="2">
        <f t="shared" ca="1" si="16"/>
        <v>28412340.872618057</v>
      </c>
      <c r="S39" s="2">
        <f t="shared" ca="1" si="17"/>
        <v>18941560.581745371</v>
      </c>
      <c r="T39" s="2">
        <f t="shared" ca="1" si="18"/>
        <v>49847150.258128539</v>
      </c>
      <c r="U39" s="2">
        <f t="shared" ca="1" si="19"/>
        <v>53005625.997810684</v>
      </c>
      <c r="V39" s="2">
        <f t="shared" ca="1" si="20"/>
        <v>56364232.917439945</v>
      </c>
      <c r="W39" s="2">
        <f t="shared" ca="1" si="21"/>
        <v>59935651.972163089</v>
      </c>
      <c r="X39" s="2">
        <f t="shared" ca="1" si="22"/>
        <v>63733367.623224594</v>
      </c>
      <c r="Y39" s="2">
        <f t="shared" ca="1" si="23"/>
        <v>0.12477508904047732</v>
      </c>
      <c r="Z39" s="2">
        <f t="shared" ca="1" si="24"/>
        <v>0.12668512465666826</v>
      </c>
      <c r="AA39" s="2">
        <f t="shared" ca="1" si="25"/>
        <v>6219682.6118720407</v>
      </c>
      <c r="AB39" s="2">
        <f t="shared" ca="1" si="26"/>
        <v>6715024.3370373826</v>
      </c>
      <c r="AC39" s="2">
        <f t="shared" ca="1" si="27"/>
        <v>7140509.8733233642</v>
      </c>
      <c r="AD39" s="2">
        <f t="shared" ca="1" si="28"/>
        <v>7592955.5414721658</v>
      </c>
      <c r="AE39" s="2">
        <f t="shared" ca="1" si="29"/>
        <v>8074069.622137472</v>
      </c>
      <c r="AF39" s="2">
        <f t="shared" ca="1" si="30"/>
        <v>996943.00516257074</v>
      </c>
      <c r="AG39" s="2">
        <f t="shared" ca="1" si="31"/>
        <v>1060112.5199562137</v>
      </c>
      <c r="AH39" s="2">
        <f t="shared" ca="1" si="32"/>
        <v>1127284.658348799</v>
      </c>
      <c r="AI39" s="2">
        <f t="shared" ca="1" si="33"/>
        <v>1198713.0394432617</v>
      </c>
      <c r="AJ39" s="2">
        <f t="shared" ca="1" si="34"/>
        <v>1274667.352464492</v>
      </c>
      <c r="AK39" s="2">
        <f t="shared" ca="1" si="35"/>
        <v>0</v>
      </c>
      <c r="AL39" s="2">
        <f t="shared" ca="1" si="36"/>
        <v>31584.757396821456</v>
      </c>
      <c r="AM39" s="2">
        <f t="shared" ca="1" si="37"/>
        <v>33586.069196292607</v>
      </c>
      <c r="AN39" s="2">
        <f t="shared" ca="1" si="38"/>
        <v>35714.190547231439</v>
      </c>
      <c r="AO39" s="2">
        <f t="shared" ca="1" si="39"/>
        <v>37977.156510615052</v>
      </c>
      <c r="AP39" s="2">
        <f t="shared" ca="1" si="40"/>
        <v>2557110.6785356249</v>
      </c>
      <c r="AQ39" s="2">
        <f t="shared" ca="1" si="41"/>
        <v>693063.52132519975</v>
      </c>
      <c r="AR39" s="2">
        <f t="shared" ca="1" si="42"/>
        <v>805428.29602184158</v>
      </c>
      <c r="AS39" s="2">
        <f t="shared" ca="1" si="43"/>
        <v>898589.77947412455</v>
      </c>
      <c r="AT39" s="2">
        <f t="shared" ca="1" si="44"/>
        <v>997654.2741082526</v>
      </c>
      <c r="AU39" s="2">
        <f t="shared" ca="1" si="45"/>
        <v>1102995.8136957125</v>
      </c>
      <c r="AV39" s="2">
        <f t="shared" ca="1" si="46"/>
        <v>1972565.4068486453</v>
      </c>
      <c r="AW39" s="2">
        <f t="shared" ca="1" si="47"/>
        <v>2260788.085126881</v>
      </c>
      <c r="AX39" s="2">
        <f t="shared" ca="1" si="48"/>
        <v>2523938.687768524</v>
      </c>
      <c r="AY39" s="2">
        <f t="shared" ca="1" si="49"/>
        <v>2803763.358837795</v>
      </c>
      <c r="AZ39" s="2">
        <f t="shared" ca="1" si="50"/>
        <v>3101318.6209310279</v>
      </c>
      <c r="BA39" s="2">
        <f t="shared" ca="1" si="51"/>
        <v>62259899.790307105</v>
      </c>
      <c r="BB39" s="2">
        <f t="shared" ca="1" si="52"/>
        <v>1245197.9958061422</v>
      </c>
      <c r="BC39" s="2">
        <f t="shared" ca="1" si="53"/>
        <v>32602360.921882905</v>
      </c>
      <c r="BD39" s="2">
        <f t="shared" ca="1" si="54"/>
        <v>-20625408.118104458</v>
      </c>
      <c r="BE39" s="2">
        <f t="shared" ca="1" si="55"/>
        <v>1972565.4068486453</v>
      </c>
      <c r="BF39" s="2">
        <f t="shared" ca="1" si="56"/>
        <v>2260788.085126881</v>
      </c>
      <c r="BG39" s="2">
        <f t="shared" ca="1" si="57"/>
        <v>2523938.687768524</v>
      </c>
      <c r="BH39" s="2">
        <f t="shared" ca="1" si="58"/>
        <v>2803763.358837795</v>
      </c>
      <c r="BI39" s="2">
        <f t="shared" ca="1" si="59"/>
        <v>35703679.542813934</v>
      </c>
      <c r="BJ39" s="2">
        <f t="shared" ca="1" si="60"/>
        <v>0.19654756059104717</v>
      </c>
      <c r="BK39" s="2">
        <f t="shared" ca="1" si="61"/>
        <v>6775656.042376291</v>
      </c>
    </row>
    <row r="40" spans="1:63" x14ac:dyDescent="0.3">
      <c r="A40" s="2">
        <v>39</v>
      </c>
      <c r="B40" s="2">
        <f t="shared" ca="1" si="0"/>
        <v>0.87969399184361974</v>
      </c>
      <c r="C40" s="2">
        <f t="shared" ca="1" si="1"/>
        <v>7.509477812619286</v>
      </c>
      <c r="D40" s="2">
        <f t="shared" ca="1" si="2"/>
        <v>0.85830057485261702</v>
      </c>
      <c r="E40" s="2">
        <f t="shared" ca="1" si="3"/>
        <v>7.9676478136658346</v>
      </c>
      <c r="F40" s="2">
        <f t="shared" ca="1" si="4"/>
        <v>0.35612622137573557</v>
      </c>
      <c r="G40" s="2">
        <f t="shared" ca="1" si="5"/>
        <v>2.8935019539034136E-2</v>
      </c>
      <c r="H40" s="2">
        <f t="shared" ca="1" si="6"/>
        <v>2.8935019539034136E-2</v>
      </c>
      <c r="I40" s="2">
        <f t="shared" ca="1" si="7"/>
        <v>0.71001120524647909</v>
      </c>
      <c r="J40" s="2">
        <f t="shared" ca="1" si="8"/>
        <v>1.2767087273134718E-2</v>
      </c>
      <c r="K40" s="2">
        <f t="shared" ca="1" si="9"/>
        <v>1.2767087273134718E-2</v>
      </c>
      <c r="L40" s="2">
        <f t="shared" ca="1" si="10"/>
        <v>0.41800846682715254</v>
      </c>
      <c r="M40" s="2">
        <f t="shared" ca="1" si="11"/>
        <v>-4.1398188117372347E-3</v>
      </c>
      <c r="N40" s="2">
        <f t="shared" ca="1" si="12"/>
        <v>-4.1398188117372347E-3</v>
      </c>
      <c r="O40" s="2">
        <f t="shared" si="13"/>
        <v>6000000</v>
      </c>
      <c r="P40" s="2">
        <f t="shared" ca="1" si="14"/>
        <v>45056866.875715718</v>
      </c>
      <c r="Q40" s="2">
        <f t="shared" ca="1" si="15"/>
        <v>1126421.671892893</v>
      </c>
      <c r="R40" s="2">
        <f t="shared" ca="1" si="16"/>
        <v>27034120.125429429</v>
      </c>
      <c r="S40" s="2">
        <f t="shared" ca="1" si="17"/>
        <v>18022746.750286289</v>
      </c>
      <c r="T40" s="2">
        <f t="shared" ca="1" si="18"/>
        <v>49793009.059413143</v>
      </c>
      <c r="U40" s="2">
        <f t="shared" ca="1" si="19"/>
        <v>51233770.749454565</v>
      </c>
      <c r="V40" s="2">
        <f t="shared" ca="1" si="20"/>
        <v>52716220.907148428</v>
      </c>
      <c r="W40" s="2">
        <f t="shared" ca="1" si="21"/>
        <v>54241565.789120808</v>
      </c>
      <c r="X40" s="2">
        <f t="shared" ca="1" si="22"/>
        <v>55811046.555056825</v>
      </c>
      <c r="Y40" s="2">
        <f t="shared" ca="1" si="23"/>
        <v>0.12638354363656734</v>
      </c>
      <c r="Z40" s="2">
        <f t="shared" ca="1" si="24"/>
        <v>0.12893696109119429</v>
      </c>
      <c r="AA40" s="2">
        <f t="shared" ca="1" si="25"/>
        <v>6293016.9332563337</v>
      </c>
      <c r="AB40" s="2">
        <f t="shared" ca="1" si="26"/>
        <v>6605926.7056775913</v>
      </c>
      <c r="AC40" s="2">
        <f t="shared" ca="1" si="27"/>
        <v>6797069.3239797996</v>
      </c>
      <c r="AD40" s="2">
        <f t="shared" ca="1" si="28"/>
        <v>6993742.6576773254</v>
      </c>
      <c r="AE40" s="2">
        <f t="shared" ca="1" si="29"/>
        <v>7196106.7381281946</v>
      </c>
      <c r="AF40" s="2">
        <f t="shared" ca="1" si="30"/>
        <v>995860.18118826288</v>
      </c>
      <c r="AG40" s="2">
        <f t="shared" ca="1" si="31"/>
        <v>1024675.4149890913</v>
      </c>
      <c r="AH40" s="2">
        <f t="shared" ca="1" si="32"/>
        <v>1054324.4181429686</v>
      </c>
      <c r="AI40" s="2">
        <f t="shared" ca="1" si="33"/>
        <v>1084831.3157824161</v>
      </c>
      <c r="AJ40" s="2">
        <f t="shared" ca="1" si="34"/>
        <v>1116220.9311011366</v>
      </c>
      <c r="AK40" s="2">
        <f t="shared" ca="1" si="35"/>
        <v>0</v>
      </c>
      <c r="AL40" s="2">
        <f t="shared" ca="1" si="36"/>
        <v>14407.616900414228</v>
      </c>
      <c r="AM40" s="2">
        <f t="shared" ca="1" si="37"/>
        <v>14824.50157693863</v>
      </c>
      <c r="AN40" s="2">
        <f t="shared" ca="1" si="38"/>
        <v>15253.448819723801</v>
      </c>
      <c r="AO40" s="2">
        <f t="shared" ca="1" si="39"/>
        <v>15694.807659360171</v>
      </c>
      <c r="AP40" s="2">
        <f t="shared" ca="1" si="40"/>
        <v>2433070.8112886488</v>
      </c>
      <c r="AQ40" s="2">
        <f t="shared" ca="1" si="41"/>
        <v>744662.34460264968</v>
      </c>
      <c r="AR40" s="2">
        <f t="shared" ca="1" si="42"/>
        <v>818526.92464396125</v>
      </c>
      <c r="AS40" s="2">
        <f t="shared" ca="1" si="43"/>
        <v>860515.26458252734</v>
      </c>
      <c r="AT40" s="2">
        <f t="shared" ca="1" si="44"/>
        <v>903718.53795762791</v>
      </c>
      <c r="AU40" s="2">
        <f t="shared" ca="1" si="45"/>
        <v>948171.89889198635</v>
      </c>
      <c r="AV40" s="2">
        <f t="shared" ca="1" si="46"/>
        <v>2119423.5961767719</v>
      </c>
      <c r="AW40" s="2">
        <f t="shared" ca="1" si="47"/>
        <v>2315245.9378554751</v>
      </c>
      <c r="AX40" s="2">
        <f t="shared" ca="1" si="48"/>
        <v>2434334.3283887156</v>
      </c>
      <c r="AY40" s="2">
        <f t="shared" ca="1" si="49"/>
        <v>2556868.5438289088</v>
      </c>
      <c r="AZ40" s="2">
        <f t="shared" ca="1" si="50"/>
        <v>2682948.2891870621</v>
      </c>
      <c r="BA40" s="2">
        <f t="shared" ca="1" si="51"/>
        <v>57336044.118953094</v>
      </c>
      <c r="BB40" s="2">
        <f t="shared" ca="1" si="52"/>
        <v>1146720.882379062</v>
      </c>
      <c r="BC40" s="2">
        <f t="shared" ca="1" si="53"/>
        <v>29155203.111144602</v>
      </c>
      <c r="BD40" s="2">
        <f t="shared" ca="1" si="54"/>
        <v>-19649168.422179181</v>
      </c>
      <c r="BE40" s="2">
        <f t="shared" ca="1" si="55"/>
        <v>2119423.5961767719</v>
      </c>
      <c r="BF40" s="2">
        <f t="shared" ca="1" si="56"/>
        <v>2315245.9378554751</v>
      </c>
      <c r="BG40" s="2">
        <f t="shared" ca="1" si="57"/>
        <v>2434334.3283887156</v>
      </c>
      <c r="BH40" s="2">
        <f t="shared" ca="1" si="58"/>
        <v>2556868.5438289088</v>
      </c>
      <c r="BI40" s="2">
        <f t="shared" ca="1" si="59"/>
        <v>31838151.400331665</v>
      </c>
      <c r="BJ40" s="2">
        <f t="shared" ca="1" si="60"/>
        <v>0.18749640879846718</v>
      </c>
      <c r="BK40" s="2">
        <f t="shared" ca="1" si="61"/>
        <v>5512343.3773025088</v>
      </c>
    </row>
    <row r="41" spans="1:63" x14ac:dyDescent="0.3">
      <c r="A41" s="2">
        <v>40</v>
      </c>
      <c r="B41" s="2">
        <f t="shared" ca="1" si="0"/>
        <v>0.37087033171207429</v>
      </c>
      <c r="C41" s="2">
        <f t="shared" ca="1" si="1"/>
        <v>6.8612436725016615</v>
      </c>
      <c r="D41" s="2">
        <f t="shared" ca="1" si="2"/>
        <v>0.59870583879853845</v>
      </c>
      <c r="E41" s="2">
        <f t="shared" ca="1" si="3"/>
        <v>7.604127061239752</v>
      </c>
      <c r="F41" s="2">
        <f t="shared" ca="1" si="4"/>
        <v>0.83638206530399584</v>
      </c>
      <c r="G41" s="2">
        <f t="shared" ca="1" si="5"/>
        <v>6.9390900158532276E-2</v>
      </c>
      <c r="H41" s="2">
        <f t="shared" ca="1" si="6"/>
        <v>6.9390900158532276E-2</v>
      </c>
      <c r="I41" s="2">
        <f t="shared" ca="1" si="7"/>
        <v>0.49914974722031769</v>
      </c>
      <c r="J41" s="2">
        <f t="shared" ca="1" si="8"/>
        <v>9.9893436536419265E-3</v>
      </c>
      <c r="K41" s="2">
        <f t="shared" ca="1" si="9"/>
        <v>9.9893436536419265E-3</v>
      </c>
      <c r="L41" s="2">
        <f t="shared" ca="1" si="10"/>
        <v>0.47105378249832275</v>
      </c>
      <c r="M41" s="2">
        <f t="shared" ca="1" si="11"/>
        <v>-1.4524237764385914E-3</v>
      </c>
      <c r="N41" s="2">
        <f t="shared" ca="1" si="12"/>
        <v>-1.4524237764385914E-3</v>
      </c>
      <c r="O41" s="2">
        <f t="shared" si="13"/>
        <v>6000000</v>
      </c>
      <c r="P41" s="2">
        <f t="shared" ca="1" si="14"/>
        <v>41167462.035009965</v>
      </c>
      <c r="Q41" s="2">
        <f t="shared" ca="1" si="15"/>
        <v>1029186.5508752492</v>
      </c>
      <c r="R41" s="2">
        <f t="shared" ca="1" si="16"/>
        <v>24700477.22100598</v>
      </c>
      <c r="S41" s="2">
        <f t="shared" ca="1" si="17"/>
        <v>16466984.814003987</v>
      </c>
      <c r="T41" s="2">
        <f t="shared" ca="1" si="18"/>
        <v>49927378.811178066</v>
      </c>
      <c r="U41" s="2">
        <f t="shared" ca="1" si="19"/>
        <v>53391884.569441743</v>
      </c>
      <c r="V41" s="2">
        <f t="shared" ca="1" si="20"/>
        <v>57096795.500875749</v>
      </c>
      <c r="W41" s="2">
        <f t="shared" ca="1" si="21"/>
        <v>61058793.536849149</v>
      </c>
      <c r="X41" s="2">
        <f t="shared" ca="1" si="22"/>
        <v>65295718.182965077</v>
      </c>
      <c r="Y41" s="2">
        <f t="shared" ca="1" si="23"/>
        <v>0.12499467182682096</v>
      </c>
      <c r="Z41" s="2">
        <f t="shared" ca="1" si="24"/>
        <v>0.12699254055754935</v>
      </c>
      <c r="AA41" s="2">
        <f t="shared" ca="1" si="25"/>
        <v>6240656.3296765769</v>
      </c>
      <c r="AB41" s="2">
        <f t="shared" ca="1" si="26"/>
        <v>6780371.066628824</v>
      </c>
      <c r="AC41" s="2">
        <f t="shared" ca="1" si="27"/>
        <v>7250867.1183510646</v>
      </c>
      <c r="AD41" s="2">
        <f t="shared" ca="1" si="28"/>
        <v>7754011.3146233475</v>
      </c>
      <c r="AE41" s="2">
        <f t="shared" ca="1" si="29"/>
        <v>8292069.1395845059</v>
      </c>
      <c r="AF41" s="2">
        <f t="shared" ca="1" si="30"/>
        <v>998547.57622356131</v>
      </c>
      <c r="AG41" s="2">
        <f t="shared" ca="1" si="31"/>
        <v>1067837.691388835</v>
      </c>
      <c r="AH41" s="2">
        <f t="shared" ca="1" si="32"/>
        <v>1141935.9100175151</v>
      </c>
      <c r="AI41" s="2">
        <f t="shared" ca="1" si="33"/>
        <v>1221175.8707369829</v>
      </c>
      <c r="AJ41" s="2">
        <f t="shared" ca="1" si="34"/>
        <v>1305914.3636593015</v>
      </c>
      <c r="AK41" s="2">
        <f t="shared" ca="1" si="35"/>
        <v>0</v>
      </c>
      <c r="AL41" s="2">
        <f t="shared" ca="1" si="36"/>
        <v>34645.057582636771</v>
      </c>
      <c r="AM41" s="2">
        <f t="shared" ca="1" si="37"/>
        <v>37049.109314340058</v>
      </c>
      <c r="AN41" s="2">
        <f t="shared" ca="1" si="38"/>
        <v>39619.980359734</v>
      </c>
      <c r="AO41" s="2">
        <f t="shared" ca="1" si="39"/>
        <v>42369.246461159288</v>
      </c>
      <c r="AP41" s="2">
        <f t="shared" ca="1" si="40"/>
        <v>2223042.9498905381</v>
      </c>
      <c r="AQ41" s="2">
        <f t="shared" ca="1" si="41"/>
        <v>784957.10892624408</v>
      </c>
      <c r="AR41" s="2">
        <f t="shared" ca="1" si="42"/>
        <v>907267.51059085724</v>
      </c>
      <c r="AS41" s="2">
        <f t="shared" ca="1" si="43"/>
        <v>1010330.9471951831</v>
      </c>
      <c r="AT41" s="2">
        <f t="shared" ca="1" si="44"/>
        <v>1120546.0484389151</v>
      </c>
      <c r="AU41" s="2">
        <f t="shared" ca="1" si="45"/>
        <v>1238409.0747690133</v>
      </c>
      <c r="AV41" s="2">
        <f t="shared" ca="1" si="46"/>
        <v>2234108.6946362332</v>
      </c>
      <c r="AW41" s="2">
        <f t="shared" ca="1" si="47"/>
        <v>2547577.8571759574</v>
      </c>
      <c r="AX41" s="2">
        <f t="shared" ca="1" si="48"/>
        <v>2838508.2019334882</v>
      </c>
      <c r="AY41" s="2">
        <f t="shared" ca="1" si="49"/>
        <v>3149626.4651971776</v>
      </c>
      <c r="AZ41" s="2">
        <f t="shared" ca="1" si="50"/>
        <v>3482333.5048044929</v>
      </c>
      <c r="BA41" s="2">
        <f t="shared" ca="1" si="51"/>
        <v>63053947.337985568</v>
      </c>
      <c r="BB41" s="2">
        <f t="shared" ca="1" si="52"/>
        <v>1261078.9467597115</v>
      </c>
      <c r="BC41" s="2">
        <f t="shared" ca="1" si="53"/>
        <v>37092391.170219876</v>
      </c>
      <c r="BD41" s="2">
        <f t="shared" ca="1" si="54"/>
        <v>-17996171.364879236</v>
      </c>
      <c r="BE41" s="2">
        <f t="shared" ca="1" si="55"/>
        <v>2234108.6946362332</v>
      </c>
      <c r="BF41" s="2">
        <f t="shared" ca="1" si="56"/>
        <v>2547577.8571759574</v>
      </c>
      <c r="BG41" s="2">
        <f t="shared" ca="1" si="57"/>
        <v>2838508.2019334882</v>
      </c>
      <c r="BH41" s="2">
        <f t="shared" ca="1" si="58"/>
        <v>3149626.4651971776</v>
      </c>
      <c r="BI41" s="2">
        <f t="shared" ca="1" si="59"/>
        <v>40574724.675024368</v>
      </c>
      <c r="BJ41" s="2">
        <f t="shared" ca="1" si="60"/>
        <v>0.2737402501213777</v>
      </c>
      <c r="BK41" s="2">
        <f t="shared" ca="1" si="61"/>
        <v>13074709.085615855</v>
      </c>
    </row>
    <row r="42" spans="1:63" x14ac:dyDescent="0.3">
      <c r="A42" s="2">
        <v>41</v>
      </c>
      <c r="B42" s="2">
        <f t="shared" ca="1" si="0"/>
        <v>0.62856319912817893</v>
      </c>
      <c r="C42" s="2">
        <f t="shared" ca="1" si="1"/>
        <v>7.1380988445629967</v>
      </c>
      <c r="D42" s="2">
        <f t="shared" ca="1" si="2"/>
        <v>0.64717708031166876</v>
      </c>
      <c r="E42" s="2">
        <f t="shared" ca="1" si="3"/>
        <v>7.6599727150998831</v>
      </c>
      <c r="F42" s="2">
        <f t="shared" ca="1" si="4"/>
        <v>0.52830004059645785</v>
      </c>
      <c r="G42" s="2">
        <f t="shared" ca="1" si="5"/>
        <v>4.2129918455341586E-2</v>
      </c>
      <c r="H42" s="2">
        <f t="shared" ca="1" si="6"/>
        <v>4.2129918455341586E-2</v>
      </c>
      <c r="I42" s="2">
        <f t="shared" ca="1" si="7"/>
        <v>0.73527987327427713</v>
      </c>
      <c r="J42" s="2">
        <f t="shared" ca="1" si="8"/>
        <v>1.3144303525923884E-2</v>
      </c>
      <c r="K42" s="2">
        <f t="shared" ca="1" si="9"/>
        <v>1.3144303525923884E-2</v>
      </c>
      <c r="L42" s="2">
        <f t="shared" ca="1" si="10"/>
        <v>0.94364480245331595</v>
      </c>
      <c r="M42" s="2">
        <f t="shared" ca="1" si="11"/>
        <v>3.1722549531055501E-2</v>
      </c>
      <c r="N42" s="2">
        <f t="shared" ca="1" si="12"/>
        <v>3.1722549531055501E-2</v>
      </c>
      <c r="O42" s="2">
        <f t="shared" si="13"/>
        <v>6000000</v>
      </c>
      <c r="P42" s="2">
        <f t="shared" ca="1" si="14"/>
        <v>42828593.067377977</v>
      </c>
      <c r="Q42" s="2">
        <f t="shared" ca="1" si="15"/>
        <v>1070714.8266844496</v>
      </c>
      <c r="R42" s="2">
        <f t="shared" ca="1" si="16"/>
        <v>25697155.840426784</v>
      </c>
      <c r="S42" s="2">
        <f t="shared" ca="1" si="17"/>
        <v>17131437.226951193</v>
      </c>
      <c r="T42" s="2">
        <f t="shared" ca="1" si="18"/>
        <v>51586127.476552777</v>
      </c>
      <c r="U42" s="2">
        <f t="shared" ca="1" si="19"/>
        <v>53759446.820566803</v>
      </c>
      <c r="V42" s="2">
        <f t="shared" ca="1" si="20"/>
        <v>56024327.931321561</v>
      </c>
      <c r="W42" s="2">
        <f t="shared" ca="1" si="21"/>
        <v>58384628.298583455</v>
      </c>
      <c r="X42" s="2">
        <f t="shared" ca="1" si="22"/>
        <v>60844367.927848205</v>
      </c>
      <c r="Y42" s="2">
        <f t="shared" ca="1" si="23"/>
        <v>0.12657215176296194</v>
      </c>
      <c r="Z42" s="2">
        <f t="shared" ca="1" si="24"/>
        <v>0.12920101246814672</v>
      </c>
      <c r="AA42" s="2">
        <f t="shared" ca="1" si="25"/>
        <v>6529367.1558257388</v>
      </c>
      <c r="AB42" s="2">
        <f t="shared" ca="1" si="26"/>
        <v>6945774.9589447221</v>
      </c>
      <c r="AC42" s="2">
        <f t="shared" ca="1" si="27"/>
        <v>7238399.8915742179</v>
      </c>
      <c r="AD42" s="2">
        <f t="shared" ca="1" si="28"/>
        <v>7543353.0887533929</v>
      </c>
      <c r="AE42" s="2">
        <f t="shared" ca="1" si="29"/>
        <v>7861153.9392624227</v>
      </c>
      <c r="AF42" s="2">
        <f t="shared" ca="1" si="30"/>
        <v>1031722.5495310556</v>
      </c>
      <c r="AG42" s="2">
        <f t="shared" ca="1" si="31"/>
        <v>1075188.9364113361</v>
      </c>
      <c r="AH42" s="2">
        <f t="shared" ca="1" si="32"/>
        <v>1120486.5586264313</v>
      </c>
      <c r="AI42" s="2">
        <f t="shared" ca="1" si="33"/>
        <v>1167692.565971669</v>
      </c>
      <c r="AJ42" s="2">
        <f t="shared" ca="1" si="34"/>
        <v>1216887.3585569642</v>
      </c>
      <c r="AK42" s="2">
        <f t="shared" ca="1" si="35"/>
        <v>0</v>
      </c>
      <c r="AL42" s="2">
        <f t="shared" ca="1" si="36"/>
        <v>21733.193440140261</v>
      </c>
      <c r="AM42" s="2">
        <f t="shared" ca="1" si="37"/>
        <v>22648.811107547583</v>
      </c>
      <c r="AN42" s="2">
        <f t="shared" ca="1" si="38"/>
        <v>23603.003672618939</v>
      </c>
      <c r="AO42" s="2">
        <f t="shared" ca="1" si="39"/>
        <v>24597.396292647496</v>
      </c>
      <c r="AP42" s="2">
        <f t="shared" ca="1" si="40"/>
        <v>2312744.0256384104</v>
      </c>
      <c r="AQ42" s="2">
        <f t="shared" ca="1" si="41"/>
        <v>828074.15097063093</v>
      </c>
      <c r="AR42" s="2">
        <f t="shared" ca="1" si="42"/>
        <v>925038.91919269366</v>
      </c>
      <c r="AS42" s="2">
        <f t="shared" ca="1" si="43"/>
        <v>989344.01990043791</v>
      </c>
      <c r="AT42" s="2">
        <f t="shared" ca="1" si="44"/>
        <v>1056358.2892572617</v>
      </c>
      <c r="AU42" s="2">
        <f t="shared" ca="1" si="45"/>
        <v>1126195.8643174323</v>
      </c>
      <c r="AV42" s="2">
        <f t="shared" ca="1" si="46"/>
        <v>2356826.4296856415</v>
      </c>
      <c r="AW42" s="2">
        <f t="shared" ca="1" si="47"/>
        <v>2611069.8842621413</v>
      </c>
      <c r="AX42" s="2">
        <f t="shared" ca="1" si="48"/>
        <v>2793176.4763013911</v>
      </c>
      <c r="AY42" s="2">
        <f t="shared" ca="1" si="49"/>
        <v>2982955.2042134325</v>
      </c>
      <c r="AZ42" s="2">
        <f t="shared" ca="1" si="50"/>
        <v>3180729.2944569685</v>
      </c>
      <c r="BA42" s="2">
        <f t="shared" ca="1" si="51"/>
        <v>60216224.683950119</v>
      </c>
      <c r="BB42" s="2">
        <f t="shared" ca="1" si="52"/>
        <v>1204324.4936790024</v>
      </c>
      <c r="BC42" s="2">
        <f t="shared" ca="1" si="53"/>
        <v>33314744.349844337</v>
      </c>
      <c r="BD42" s="2">
        <f t="shared" ca="1" si="54"/>
        <v>-18702152.053635642</v>
      </c>
      <c r="BE42" s="2">
        <f t="shared" ca="1" si="55"/>
        <v>2356826.4296856415</v>
      </c>
      <c r="BF42" s="2">
        <f t="shared" ca="1" si="56"/>
        <v>2611069.8842621413</v>
      </c>
      <c r="BG42" s="2">
        <f t="shared" ca="1" si="57"/>
        <v>2793176.4763013911</v>
      </c>
      <c r="BH42" s="2">
        <f t="shared" ca="1" si="58"/>
        <v>2982955.2042134325</v>
      </c>
      <c r="BI42" s="2">
        <f t="shared" ca="1" si="59"/>
        <v>36495473.644301303</v>
      </c>
      <c r="BJ42" s="2">
        <f t="shared" ca="1" si="60"/>
        <v>0.2411667594461111</v>
      </c>
      <c r="BK42" s="2">
        <f t="shared" ca="1" si="61"/>
        <v>10076047.845960014</v>
      </c>
    </row>
    <row r="43" spans="1:63" x14ac:dyDescent="0.3">
      <c r="A43" s="2">
        <v>42</v>
      </c>
      <c r="B43" s="2">
        <f t="shared" ca="1" si="0"/>
        <v>0.53008211845306186</v>
      </c>
      <c r="C43" s="2">
        <f t="shared" ca="1" si="1"/>
        <v>7.0305487309338979</v>
      </c>
      <c r="D43" s="2">
        <f t="shared" ca="1" si="2"/>
        <v>0.43087616261329609</v>
      </c>
      <c r="E43" s="2">
        <f t="shared" ca="1" si="3"/>
        <v>7.4283061592096606</v>
      </c>
      <c r="F43" s="2">
        <f t="shared" ca="1" si="4"/>
        <v>0.56421542400381286</v>
      </c>
      <c r="G43" s="2">
        <f t="shared" ca="1" si="5"/>
        <v>4.4849969651691447E-2</v>
      </c>
      <c r="H43" s="2">
        <f t="shared" ca="1" si="6"/>
        <v>4.4849969651691447E-2</v>
      </c>
      <c r="I43" s="2">
        <f t="shared" ca="1" si="7"/>
        <v>0.33204370647350956</v>
      </c>
      <c r="J43" s="2">
        <f t="shared" ca="1" si="8"/>
        <v>7.8286157523184564E-3</v>
      </c>
      <c r="K43" s="2">
        <f t="shared" ca="1" si="9"/>
        <v>7.8286157523184564E-3</v>
      </c>
      <c r="L43" s="2">
        <f t="shared" ca="1" si="10"/>
        <v>0.93915741025342148</v>
      </c>
      <c r="M43" s="2">
        <f t="shared" ca="1" si="11"/>
        <v>3.0954777408135979E-2</v>
      </c>
      <c r="N43" s="2">
        <f t="shared" ca="1" si="12"/>
        <v>3.0954777408135979E-2</v>
      </c>
      <c r="O43" s="2">
        <f t="shared" si="13"/>
        <v>6000000</v>
      </c>
      <c r="P43" s="2">
        <f t="shared" ca="1" si="14"/>
        <v>42183292.385603391</v>
      </c>
      <c r="Q43" s="2">
        <f t="shared" ca="1" si="15"/>
        <v>1054582.3096400849</v>
      </c>
      <c r="R43" s="2">
        <f t="shared" ca="1" si="16"/>
        <v>25309975.431362033</v>
      </c>
      <c r="S43" s="2">
        <f t="shared" ca="1" si="17"/>
        <v>16873316.954241358</v>
      </c>
      <c r="T43" s="2">
        <f t="shared" ca="1" si="18"/>
        <v>51547738.870406799</v>
      </c>
      <c r="U43" s="2">
        <f t="shared" ca="1" si="19"/>
        <v>53859653.39435786</v>
      </c>
      <c r="V43" s="2">
        <f t="shared" ca="1" si="20"/>
        <v>56275257.214545436</v>
      </c>
      <c r="W43" s="2">
        <f t="shared" ca="1" si="21"/>
        <v>58799200.792758934</v>
      </c>
      <c r="X43" s="2">
        <f t="shared" ca="1" si="22"/>
        <v>61436343.163857892</v>
      </c>
      <c r="Y43" s="2">
        <f t="shared" ca="1" si="23"/>
        <v>0.12391430787615923</v>
      </c>
      <c r="Z43" s="2">
        <f t="shared" ca="1" si="24"/>
        <v>0.12548003102662292</v>
      </c>
      <c r="AA43" s="2">
        <f t="shared" ca="1" si="25"/>
        <v>6387502.3847074481</v>
      </c>
      <c r="AB43" s="2">
        <f t="shared" ca="1" si="26"/>
        <v>6758310.9790071808</v>
      </c>
      <c r="AC43" s="2">
        <f t="shared" ca="1" si="27"/>
        <v>7061421.0213123467</v>
      </c>
      <c r="AD43" s="2">
        <f t="shared" ca="1" si="28"/>
        <v>7378125.5398160219</v>
      </c>
      <c r="AE43" s="2">
        <f t="shared" ca="1" si="29"/>
        <v>7709034.2463631416</v>
      </c>
      <c r="AF43" s="2">
        <f t="shared" ca="1" si="30"/>
        <v>1030954.7774081361</v>
      </c>
      <c r="AG43" s="2">
        <f t="shared" ca="1" si="31"/>
        <v>1077193.0678871572</v>
      </c>
      <c r="AH43" s="2">
        <f t="shared" ca="1" si="32"/>
        <v>1125505.1442909087</v>
      </c>
      <c r="AI43" s="2">
        <f t="shared" ca="1" si="33"/>
        <v>1175984.0158551787</v>
      </c>
      <c r="AJ43" s="2">
        <f t="shared" ca="1" si="34"/>
        <v>1228726.8632771578</v>
      </c>
      <c r="AK43" s="2">
        <f t="shared" ca="1" si="35"/>
        <v>0</v>
      </c>
      <c r="AL43" s="2">
        <f t="shared" ca="1" si="36"/>
        <v>23119.14523951061</v>
      </c>
      <c r="AM43" s="2">
        <f t="shared" ca="1" si="37"/>
        <v>24156.038201875763</v>
      </c>
      <c r="AN43" s="2">
        <f t="shared" ca="1" si="38"/>
        <v>25239.43578213498</v>
      </c>
      <c r="AO43" s="2">
        <f t="shared" ca="1" si="39"/>
        <v>26371.42371098958</v>
      </c>
      <c r="AP43" s="2">
        <f t="shared" ca="1" si="40"/>
        <v>2277897.7888225829</v>
      </c>
      <c r="AQ43" s="2">
        <f t="shared" ca="1" si="41"/>
        <v>800448.95280394959</v>
      </c>
      <c r="AR43" s="2">
        <f t="shared" ca="1" si="42"/>
        <v>884837.23179733462</v>
      </c>
      <c r="AS43" s="2">
        <f t="shared" ca="1" si="43"/>
        <v>951084.70293170225</v>
      </c>
      <c r="AT43" s="2">
        <f t="shared" ca="1" si="44"/>
        <v>1020303.3711359479</v>
      </c>
      <c r="AU43" s="2">
        <f t="shared" ca="1" si="45"/>
        <v>1092626.4945084844</v>
      </c>
      <c r="AV43" s="2">
        <f t="shared" ca="1" si="46"/>
        <v>2278200.8656727793</v>
      </c>
      <c r="AW43" s="2">
        <f t="shared" ca="1" si="47"/>
        <v>2495263.7452605953</v>
      </c>
      <c r="AX43" s="2">
        <f t="shared" ca="1" si="48"/>
        <v>2682777.3470652765</v>
      </c>
      <c r="AY43" s="2">
        <f t="shared" ca="1" si="49"/>
        <v>2878700.928220178</v>
      </c>
      <c r="AZ43" s="2">
        <f t="shared" ca="1" si="50"/>
        <v>3083411.6760439267</v>
      </c>
      <c r="BA43" s="2">
        <f t="shared" ca="1" si="51"/>
        <v>57265066.573817529</v>
      </c>
      <c r="BB43" s="2">
        <f t="shared" ca="1" si="52"/>
        <v>1145301.3314763505</v>
      </c>
      <c r="BC43" s="2">
        <f t="shared" ca="1" si="53"/>
        <v>30809789.810979147</v>
      </c>
      <c r="BD43" s="2">
        <f t="shared" ca="1" si="54"/>
        <v>-18427899.263881441</v>
      </c>
      <c r="BE43" s="2">
        <f t="shared" ca="1" si="55"/>
        <v>2278200.8656727793</v>
      </c>
      <c r="BF43" s="2">
        <f t="shared" ca="1" si="56"/>
        <v>2495263.7452605953</v>
      </c>
      <c r="BG43" s="2">
        <f t="shared" ca="1" si="57"/>
        <v>2682777.3470652765</v>
      </c>
      <c r="BH43" s="2">
        <f t="shared" ca="1" si="58"/>
        <v>2878700.928220178</v>
      </c>
      <c r="BI43" s="2">
        <f t="shared" ca="1" si="59"/>
        <v>33893201.48702307</v>
      </c>
      <c r="BJ43" s="2">
        <f t="shared" ca="1" si="60"/>
        <v>0.22692452464124813</v>
      </c>
      <c r="BK43" s="2">
        <f t="shared" ca="1" si="61"/>
        <v>8566344.789640069</v>
      </c>
    </row>
    <row r="44" spans="1:63" x14ac:dyDescent="0.3">
      <c r="A44" s="2">
        <v>43</v>
      </c>
      <c r="B44" s="2">
        <f t="shared" ca="1" si="0"/>
        <v>0.26913328062791242</v>
      </c>
      <c r="C44" s="2">
        <f t="shared" ca="1" si="1"/>
        <v>6.733666519105121</v>
      </c>
      <c r="D44" s="2">
        <f t="shared" ca="1" si="2"/>
        <v>0.87392920477759384</v>
      </c>
      <c r="E44" s="2">
        <f t="shared" ca="1" si="3"/>
        <v>7.9978629764249476</v>
      </c>
      <c r="F44" s="2">
        <f t="shared" ca="1" si="4"/>
        <v>0.6006438301606658</v>
      </c>
      <c r="G44" s="2">
        <f t="shared" ca="1" si="5"/>
        <v>4.7650417922906516E-2</v>
      </c>
      <c r="H44" s="2">
        <f t="shared" ca="1" si="6"/>
        <v>4.7650417922906516E-2</v>
      </c>
      <c r="I44" s="2">
        <f t="shared" ca="1" si="7"/>
        <v>0.62276894164599605</v>
      </c>
      <c r="J44" s="2">
        <f t="shared" ca="1" si="8"/>
        <v>1.156380585986644E-2</v>
      </c>
      <c r="K44" s="2">
        <f t="shared" ca="1" si="9"/>
        <v>1.156380585986644E-2</v>
      </c>
      <c r="L44" s="2">
        <f t="shared" ca="1" si="10"/>
        <v>0.19273321009975619</v>
      </c>
      <c r="M44" s="2">
        <f t="shared" ca="1" si="11"/>
        <v>-1.7357366524025308E-2</v>
      </c>
      <c r="N44" s="2">
        <f t="shared" ca="1" si="12"/>
        <v>-1.7357366524025308E-2</v>
      </c>
      <c r="O44" s="2">
        <f t="shared" si="13"/>
        <v>6000000</v>
      </c>
      <c r="P44" s="2">
        <f t="shared" ca="1" si="14"/>
        <v>40401999.114630729</v>
      </c>
      <c r="Q44" s="2">
        <f t="shared" ca="1" si="15"/>
        <v>1010049.9778657682</v>
      </c>
      <c r="R44" s="2">
        <f t="shared" ca="1" si="16"/>
        <v>24241199.468778435</v>
      </c>
      <c r="S44" s="2">
        <f t="shared" ca="1" si="17"/>
        <v>16160799.645852292</v>
      </c>
      <c r="T44" s="2">
        <f t="shared" ca="1" si="18"/>
        <v>49132131.673798732</v>
      </c>
      <c r="U44" s="2">
        <f t="shared" ca="1" si="19"/>
        <v>51473298.281498514</v>
      </c>
      <c r="V44" s="2">
        <f t="shared" ca="1" si="20"/>
        <v>53926022.456482343</v>
      </c>
      <c r="W44" s="2">
        <f t="shared" ca="1" si="21"/>
        <v>56495619.96345377</v>
      </c>
      <c r="X44" s="2">
        <f t="shared" ca="1" si="22"/>
        <v>59187659.865526043</v>
      </c>
      <c r="Y44" s="2">
        <f t="shared" ca="1" si="23"/>
        <v>0.12578190292993321</v>
      </c>
      <c r="Z44" s="2">
        <f t="shared" ca="1" si="24"/>
        <v>0.12809466410190651</v>
      </c>
      <c r="AA44" s="2">
        <f t="shared" ca="1" si="25"/>
        <v>6179933.0169344489</v>
      </c>
      <c r="AB44" s="2">
        <f t="shared" ca="1" si="26"/>
        <v>6593454.8535857936</v>
      </c>
      <c r="AC44" s="2">
        <f t="shared" ca="1" si="27"/>
        <v>6907635.7329149731</v>
      </c>
      <c r="AD44" s="2">
        <f t="shared" ca="1" si="28"/>
        <v>7236787.4624475744</v>
      </c>
      <c r="AE44" s="2">
        <f t="shared" ca="1" si="29"/>
        <v>7581623.4094524514</v>
      </c>
      <c r="AF44" s="2">
        <f t="shared" ca="1" si="30"/>
        <v>982642.63347597467</v>
      </c>
      <c r="AG44" s="2">
        <f t="shared" ca="1" si="31"/>
        <v>1029465.9656299703</v>
      </c>
      <c r="AH44" s="2">
        <f t="shared" ca="1" si="32"/>
        <v>1078520.4491296469</v>
      </c>
      <c r="AI44" s="2">
        <f t="shared" ca="1" si="33"/>
        <v>1129912.3992690754</v>
      </c>
      <c r="AJ44" s="2">
        <f t="shared" ca="1" si="34"/>
        <v>1183753.1973105208</v>
      </c>
      <c r="AK44" s="2">
        <f t="shared" ca="1" si="35"/>
        <v>0</v>
      </c>
      <c r="AL44" s="2">
        <f t="shared" ca="1" si="36"/>
        <v>23411.666076997815</v>
      </c>
      <c r="AM44" s="2">
        <f t="shared" ca="1" si="37"/>
        <v>24527.241749838293</v>
      </c>
      <c r="AN44" s="2">
        <f t="shared" ca="1" si="38"/>
        <v>25695.975069714263</v>
      </c>
      <c r="AO44" s="2">
        <f t="shared" ca="1" si="39"/>
        <v>26920.399020722733</v>
      </c>
      <c r="AP44" s="2">
        <f t="shared" ca="1" si="40"/>
        <v>2181707.9521900592</v>
      </c>
      <c r="AQ44" s="2">
        <f t="shared" ca="1" si="41"/>
        <v>784051.43212978798</v>
      </c>
      <c r="AR44" s="2">
        <f t="shared" ca="1" si="42"/>
        <v>879393.04329909862</v>
      </c>
      <c r="AS44" s="2">
        <f t="shared" ca="1" si="43"/>
        <v>948325.90621476946</v>
      </c>
      <c r="AT44" s="2">
        <f t="shared" ca="1" si="44"/>
        <v>1020543.4488569944</v>
      </c>
      <c r="AU44" s="2">
        <f t="shared" ca="1" si="45"/>
        <v>1096202.1875874868</v>
      </c>
      <c r="AV44" s="2">
        <f t="shared" ca="1" si="46"/>
        <v>2231530.9991386272</v>
      </c>
      <c r="AW44" s="2">
        <f t="shared" ca="1" si="47"/>
        <v>2479476.226389667</v>
      </c>
      <c r="AX44" s="2">
        <f t="shared" ca="1" si="48"/>
        <v>2674554.1836306592</v>
      </c>
      <c r="AY44" s="2">
        <f t="shared" ca="1" si="49"/>
        <v>2878927.6870617308</v>
      </c>
      <c r="AZ44" s="2">
        <f t="shared" ca="1" si="50"/>
        <v>3093039.6733436622</v>
      </c>
      <c r="BA44" s="2">
        <f t="shared" ca="1" si="51"/>
        <v>60636785.167656444</v>
      </c>
      <c r="BB44" s="2">
        <f t="shared" ca="1" si="52"/>
        <v>1212735.7033531289</v>
      </c>
      <c r="BC44" s="2">
        <f t="shared" ca="1" si="53"/>
        <v>35182849.995524876</v>
      </c>
      <c r="BD44" s="2">
        <f t="shared" ca="1" si="54"/>
        <v>-17670849.623718061</v>
      </c>
      <c r="BE44" s="2">
        <f t="shared" ca="1" si="55"/>
        <v>2231530.9991386272</v>
      </c>
      <c r="BF44" s="2">
        <f t="shared" ca="1" si="56"/>
        <v>2479476.226389667</v>
      </c>
      <c r="BG44" s="2">
        <f t="shared" ca="1" si="57"/>
        <v>2674554.1836306592</v>
      </c>
      <c r="BH44" s="2">
        <f t="shared" ca="1" si="58"/>
        <v>2878927.6870617308</v>
      </c>
      <c r="BI44" s="2">
        <f t="shared" ca="1" si="59"/>
        <v>38275889.668868542</v>
      </c>
      <c r="BJ44" s="2">
        <f t="shared" ca="1" si="60"/>
        <v>0.26333275983270443</v>
      </c>
      <c r="BK44" s="2">
        <f t="shared" ca="1" si="61"/>
        <v>11750285.1913822</v>
      </c>
    </row>
    <row r="45" spans="1:63" x14ac:dyDescent="0.3">
      <c r="A45" s="2">
        <v>44</v>
      </c>
      <c r="B45" s="2">
        <f t="shared" ca="1" si="0"/>
        <v>0.61194205295436876</v>
      </c>
      <c r="C45" s="2">
        <f t="shared" ca="1" si="1"/>
        <v>7.119025599639091</v>
      </c>
      <c r="D45" s="2">
        <f t="shared" ca="1" si="2"/>
        <v>0.18079991037206355</v>
      </c>
      <c r="E45" s="2">
        <f t="shared" ca="1" si="3"/>
        <v>7.1013317060858565</v>
      </c>
      <c r="F45" s="2">
        <f t="shared" ca="1" si="4"/>
        <v>0.31167163118221641</v>
      </c>
      <c r="G45" s="2">
        <f t="shared" ca="1" si="5"/>
        <v>2.5266471502568905E-2</v>
      </c>
      <c r="H45" s="2">
        <f t="shared" ca="1" si="6"/>
        <v>2.5266471502568905E-2</v>
      </c>
      <c r="I45" s="2">
        <f t="shared" ca="1" si="7"/>
        <v>8.2197694084018558E-3</v>
      </c>
      <c r="J45" s="2">
        <f t="shared" ca="1" si="8"/>
        <v>-1.9950418604816524E-3</v>
      </c>
      <c r="K45" s="2">
        <f t="shared" ca="1" si="9"/>
        <v>0</v>
      </c>
      <c r="L45" s="2">
        <f t="shared" ca="1" si="10"/>
        <v>0.75443589108111409</v>
      </c>
      <c r="M45" s="2">
        <f t="shared" ca="1" si="11"/>
        <v>1.3770309842398477E-2</v>
      </c>
      <c r="N45" s="2">
        <f t="shared" ca="1" si="12"/>
        <v>1.3770309842398477E-2</v>
      </c>
      <c r="O45" s="2">
        <f t="shared" si="13"/>
        <v>6000000</v>
      </c>
      <c r="P45" s="2">
        <f t="shared" ca="1" si="14"/>
        <v>42714153.597834542</v>
      </c>
      <c r="Q45" s="2">
        <f t="shared" ca="1" si="15"/>
        <v>1067853.8399458637</v>
      </c>
      <c r="R45" s="2">
        <f t="shared" ca="1" si="16"/>
        <v>25628492.158700723</v>
      </c>
      <c r="S45" s="2">
        <f t="shared" ca="1" si="17"/>
        <v>17085661.439133819</v>
      </c>
      <c r="T45" s="2">
        <f t="shared" ca="1" si="18"/>
        <v>50688515.492119923</v>
      </c>
      <c r="U45" s="2">
        <f t="shared" ca="1" si="19"/>
        <v>51969235.424309097</v>
      </c>
      <c r="V45" s="2">
        <f t="shared" ca="1" si="20"/>
        <v>53282314.6301677</v>
      </c>
      <c r="W45" s="2">
        <f t="shared" ca="1" si="21"/>
        <v>54628570.71436175</v>
      </c>
      <c r="X45" s="2">
        <f t="shared" ca="1" si="22"/>
        <v>56008841.939542249</v>
      </c>
      <c r="Y45" s="2">
        <f t="shared" ca="1" si="23"/>
        <v>0.12</v>
      </c>
      <c r="Z45" s="2">
        <f t="shared" ca="1" si="24"/>
        <v>0.12</v>
      </c>
      <c r="AA45" s="2">
        <f t="shared" ca="1" si="25"/>
        <v>6082621.8590543903</v>
      </c>
      <c r="AB45" s="2">
        <f t="shared" ca="1" si="26"/>
        <v>6236308.250917091</v>
      </c>
      <c r="AC45" s="2">
        <f t="shared" ca="1" si="27"/>
        <v>6393877.7556201238</v>
      </c>
      <c r="AD45" s="2">
        <f t="shared" ca="1" si="28"/>
        <v>6555428.4857234098</v>
      </c>
      <c r="AE45" s="2">
        <f t="shared" ca="1" si="29"/>
        <v>6721061.0327450698</v>
      </c>
      <c r="AF45" s="2">
        <f t="shared" ca="1" si="30"/>
        <v>1013770.3098423985</v>
      </c>
      <c r="AG45" s="2">
        <f t="shared" ca="1" si="31"/>
        <v>1039384.7084861819</v>
      </c>
      <c r="AH45" s="2">
        <f t="shared" ca="1" si="32"/>
        <v>1065646.292603354</v>
      </c>
      <c r="AI45" s="2">
        <f t="shared" ca="1" si="33"/>
        <v>1092571.4142872351</v>
      </c>
      <c r="AJ45" s="2">
        <f t="shared" ca="1" si="34"/>
        <v>1120176.8387908449</v>
      </c>
      <c r="AK45" s="2">
        <f t="shared" ca="1" si="35"/>
        <v>0</v>
      </c>
      <c r="AL45" s="2">
        <f t="shared" ca="1" si="36"/>
        <v>12807.19932189174</v>
      </c>
      <c r="AM45" s="2">
        <f t="shared" ca="1" si="37"/>
        <v>13130.792058586032</v>
      </c>
      <c r="AN45" s="2">
        <f t="shared" ca="1" si="38"/>
        <v>13462.560841940493</v>
      </c>
      <c r="AO45" s="2">
        <f t="shared" ca="1" si="39"/>
        <v>13802.712251804993</v>
      </c>
      <c r="AP45" s="2">
        <f t="shared" ca="1" si="40"/>
        <v>2306564.294283065</v>
      </c>
      <c r="AQ45" s="2">
        <f t="shared" ca="1" si="41"/>
        <v>718194.68628152099</v>
      </c>
      <c r="AR45" s="2">
        <f t="shared" ca="1" si="42"/>
        <v>751493.40451843955</v>
      </c>
      <c r="AS45" s="2">
        <f t="shared" ca="1" si="43"/>
        <v>785633.46387076331</v>
      </c>
      <c r="AT45" s="2">
        <f t="shared" ca="1" si="44"/>
        <v>820636.12205980846</v>
      </c>
      <c r="AU45" s="2">
        <f t="shared" ca="1" si="45"/>
        <v>856523.17391450156</v>
      </c>
      <c r="AV45" s="2">
        <f t="shared" ca="1" si="46"/>
        <v>2044092.5686474061</v>
      </c>
      <c r="AW45" s="2">
        <f t="shared" ca="1" si="47"/>
        <v>2126058.6443075128</v>
      </c>
      <c r="AX45" s="2">
        <f t="shared" ca="1" si="48"/>
        <v>2222902.9128043549</v>
      </c>
      <c r="AY45" s="2">
        <f t="shared" ca="1" si="49"/>
        <v>2322194.0942513607</v>
      </c>
      <c r="AZ45" s="2">
        <f t="shared" ca="1" si="50"/>
        <v>2423994.0135048535</v>
      </c>
      <c r="BA45" s="2">
        <f t="shared" ca="1" si="51"/>
        <v>47728483.810370713</v>
      </c>
      <c r="BB45" s="2">
        <f t="shared" ca="1" si="52"/>
        <v>954569.67620741425</v>
      </c>
      <c r="BC45" s="2">
        <f t="shared" ca="1" si="53"/>
        <v>21145421.975462575</v>
      </c>
      <c r="BD45" s="2">
        <f t="shared" ca="1" si="54"/>
        <v>-18653515.279079683</v>
      </c>
      <c r="BE45" s="2">
        <f t="shared" ca="1" si="55"/>
        <v>2044092.5686474061</v>
      </c>
      <c r="BF45" s="2">
        <f t="shared" ca="1" si="56"/>
        <v>2126058.6443075128</v>
      </c>
      <c r="BG45" s="2">
        <f t="shared" ca="1" si="57"/>
        <v>2222902.9128043549</v>
      </c>
      <c r="BH45" s="2">
        <f t="shared" ca="1" si="58"/>
        <v>2322194.0942513607</v>
      </c>
      <c r="BI45" s="2">
        <f t="shared" ca="1" si="59"/>
        <v>23569415.988967426</v>
      </c>
      <c r="BJ45" s="2">
        <f t="shared" ca="1" si="60"/>
        <v>0.13839241278411718</v>
      </c>
      <c r="BK45" s="2">
        <f t="shared" ca="1" si="61"/>
        <v>1298382.6264008991</v>
      </c>
    </row>
    <row r="46" spans="1:63" x14ac:dyDescent="0.3">
      <c r="A46" s="2">
        <v>45</v>
      </c>
      <c r="B46" s="2">
        <f t="shared" ca="1" si="0"/>
        <v>0.2215151475904068</v>
      </c>
      <c r="C46" s="2">
        <f t="shared" ca="1" si="1"/>
        <v>6.6656052097007761</v>
      </c>
      <c r="D46" s="2">
        <f t="shared" ca="1" si="2"/>
        <v>0.60639104600181759</v>
      </c>
      <c r="E46" s="2">
        <f t="shared" ca="1" si="3"/>
        <v>7.6127469876093041</v>
      </c>
      <c r="F46" s="2">
        <f t="shared" ca="1" si="4"/>
        <v>0.56856562255976717</v>
      </c>
      <c r="G46" s="2">
        <f t="shared" ca="1" si="5"/>
        <v>4.5181705618392395E-2</v>
      </c>
      <c r="H46" s="2">
        <f t="shared" ca="1" si="6"/>
        <v>4.5181705618392395E-2</v>
      </c>
      <c r="I46" s="2">
        <f t="shared" ca="1" si="7"/>
        <v>0.6039991123486973</v>
      </c>
      <c r="J46" s="2">
        <f t="shared" ca="1" si="8"/>
        <v>1.1318560472399682E-2</v>
      </c>
      <c r="K46" s="2">
        <f t="shared" ca="1" si="9"/>
        <v>1.1318560472399682E-2</v>
      </c>
      <c r="L46" s="2">
        <f t="shared" ca="1" si="10"/>
        <v>0.67576121304334358</v>
      </c>
      <c r="M46" s="2">
        <f t="shared" ca="1" si="11"/>
        <v>9.1175637975292861E-3</v>
      </c>
      <c r="N46" s="2">
        <f t="shared" ca="1" si="12"/>
        <v>9.1175637975292861E-3</v>
      </c>
      <c r="O46" s="2">
        <f t="shared" si="13"/>
        <v>6000000</v>
      </c>
      <c r="P46" s="2">
        <f t="shared" ca="1" si="14"/>
        <v>39993631.258204654</v>
      </c>
      <c r="Q46" s="2">
        <f t="shared" ca="1" si="15"/>
        <v>999840.78145511635</v>
      </c>
      <c r="R46" s="2">
        <f t="shared" ca="1" si="16"/>
        <v>23996178.754922792</v>
      </c>
      <c r="S46" s="2">
        <f t="shared" ca="1" si="17"/>
        <v>15997452.503281862</v>
      </c>
      <c r="T46" s="2">
        <f t="shared" ca="1" si="18"/>
        <v>50455878.189876467</v>
      </c>
      <c r="U46" s="2">
        <f t="shared" ca="1" si="19"/>
        <v>52735560.824968927</v>
      </c>
      <c r="V46" s="2">
        <f t="shared" ca="1" si="20"/>
        <v>55118243.409783497</v>
      </c>
      <c r="W46" s="2">
        <f t="shared" ca="1" si="21"/>
        <v>57608579.657727227</v>
      </c>
      <c r="X46" s="2">
        <f t="shared" ca="1" si="22"/>
        <v>60211433.544916362</v>
      </c>
      <c r="Y46" s="2">
        <f t="shared" ca="1" si="23"/>
        <v>0.12565928023619985</v>
      </c>
      <c r="Z46" s="2">
        <f t="shared" ca="1" si="24"/>
        <v>0.12792299233067977</v>
      </c>
      <c r="AA46" s="2">
        <f t="shared" ca="1" si="25"/>
        <v>6340249.3370252512</v>
      </c>
      <c r="AB46" s="2">
        <f t="shared" ca="1" si="26"/>
        <v>6746090.742966597</v>
      </c>
      <c r="AC46" s="2">
        <f t="shared" ca="1" si="27"/>
        <v>7050890.6289902758</v>
      </c>
      <c r="AD46" s="2">
        <f t="shared" ca="1" si="28"/>
        <v>7369461.8937367946</v>
      </c>
      <c r="AE46" s="2">
        <f t="shared" ca="1" si="29"/>
        <v>7702426.7515855702</v>
      </c>
      <c r="AF46" s="2">
        <f t="shared" ca="1" si="30"/>
        <v>1009117.5637975293</v>
      </c>
      <c r="AG46" s="2">
        <f t="shared" ca="1" si="31"/>
        <v>1054711.2164993784</v>
      </c>
      <c r="AH46" s="2">
        <f t="shared" ca="1" si="32"/>
        <v>1102364.86819567</v>
      </c>
      <c r="AI46" s="2">
        <f t="shared" ca="1" si="33"/>
        <v>1152171.5931545445</v>
      </c>
      <c r="AJ46" s="2">
        <f t="shared" ca="1" si="34"/>
        <v>1204228.6708983274</v>
      </c>
      <c r="AK46" s="2">
        <f t="shared" ca="1" si="35"/>
        <v>0</v>
      </c>
      <c r="AL46" s="2">
        <f t="shared" ca="1" si="36"/>
        <v>22796.826350924595</v>
      </c>
      <c r="AM46" s="2">
        <f t="shared" ca="1" si="37"/>
        <v>23826.825848145709</v>
      </c>
      <c r="AN46" s="2">
        <f t="shared" ca="1" si="38"/>
        <v>24903.362479437292</v>
      </c>
      <c r="AO46" s="2">
        <f t="shared" ca="1" si="39"/>
        <v>26028.538871891349</v>
      </c>
      <c r="AP46" s="2">
        <f t="shared" ca="1" si="40"/>
        <v>2159656.087943051</v>
      </c>
      <c r="AQ46" s="2">
        <f t="shared" ca="1" si="41"/>
        <v>824583.67817401432</v>
      </c>
      <c r="AR46" s="2">
        <f t="shared" ca="1" si="42"/>
        <v>918248.09401628375</v>
      </c>
      <c r="AS46" s="2">
        <f t="shared" ca="1" si="43"/>
        <v>985106.11494140432</v>
      </c>
      <c r="AT46" s="2">
        <f t="shared" ca="1" si="44"/>
        <v>1054984.895286192</v>
      </c>
      <c r="AU46" s="2">
        <f t="shared" ca="1" si="45"/>
        <v>1128020.9181134899</v>
      </c>
      <c r="AV46" s="2">
        <f t="shared" ca="1" si="46"/>
        <v>2346892.0071106562</v>
      </c>
      <c r="AW46" s="2">
        <f t="shared" ca="1" si="47"/>
        <v>2590678.5181569597</v>
      </c>
      <c r="AX46" s="2">
        <f t="shared" ca="1" si="48"/>
        <v>2779936.7320620054</v>
      </c>
      <c r="AY46" s="2">
        <f t="shared" ca="1" si="49"/>
        <v>2977745.9548735702</v>
      </c>
      <c r="AZ46" s="2">
        <f t="shared" ca="1" si="50"/>
        <v>3184492.5357588101</v>
      </c>
      <c r="BA46" s="2">
        <f t="shared" ca="1" si="51"/>
        <v>58636626.050414369</v>
      </c>
      <c r="BB46" s="2">
        <f t="shared" ca="1" si="52"/>
        <v>1172732.5210082873</v>
      </c>
      <c r="BC46" s="2">
        <f t="shared" ca="1" si="53"/>
        <v>33467714.77448329</v>
      </c>
      <c r="BD46" s="2">
        <f t="shared" ca="1" si="54"/>
        <v>-17497293.284736976</v>
      </c>
      <c r="BE46" s="2">
        <f t="shared" ca="1" si="55"/>
        <v>2346892.0071106562</v>
      </c>
      <c r="BF46" s="2">
        <f t="shared" ca="1" si="56"/>
        <v>2590678.5181569597</v>
      </c>
      <c r="BG46" s="2">
        <f t="shared" ca="1" si="57"/>
        <v>2779936.7320620054</v>
      </c>
      <c r="BH46" s="2">
        <f t="shared" ca="1" si="58"/>
        <v>2977745.9548735702</v>
      </c>
      <c r="BI46" s="2">
        <f t="shared" ca="1" si="59"/>
        <v>36652207.310242102</v>
      </c>
      <c r="BJ46" s="2">
        <f t="shared" ca="1" si="60"/>
        <v>0.26192958417630519</v>
      </c>
      <c r="BK46" s="2">
        <f t="shared" ca="1" si="61"/>
        <v>11331981.253172424</v>
      </c>
    </row>
    <row r="47" spans="1:63" x14ac:dyDescent="0.3">
      <c r="A47" s="2">
        <v>46</v>
      </c>
      <c r="B47" s="2">
        <f t="shared" ca="1" si="0"/>
        <v>0.25486892264797245</v>
      </c>
      <c r="C47" s="2">
        <f t="shared" ca="1" si="1"/>
        <v>6.7139592742558536</v>
      </c>
      <c r="D47" s="2">
        <f t="shared" ca="1" si="2"/>
        <v>6.5787525896406462E-2</v>
      </c>
      <c r="E47" s="2">
        <f t="shared" ca="1" si="3"/>
        <v>6.8627327553348509</v>
      </c>
      <c r="F47" s="2">
        <f t="shared" ca="1" si="4"/>
        <v>0.56585620391114366</v>
      </c>
      <c r="G47" s="2">
        <f t="shared" ca="1" si="5"/>
        <v>4.4975019857618669E-2</v>
      </c>
      <c r="H47" s="2">
        <f t="shared" ca="1" si="6"/>
        <v>4.4975019857618669E-2</v>
      </c>
      <c r="I47" s="2">
        <f t="shared" ca="1" si="7"/>
        <v>0.18194368149349749</v>
      </c>
      <c r="J47" s="2">
        <f t="shared" ca="1" si="8"/>
        <v>5.4600865099574559E-3</v>
      </c>
      <c r="K47" s="2">
        <f t="shared" ca="1" si="9"/>
        <v>5.4600865099574559E-3</v>
      </c>
      <c r="L47" s="2">
        <f t="shared" ca="1" si="10"/>
        <v>0.74033739278070398</v>
      </c>
      <c r="M47" s="2">
        <f t="shared" ca="1" si="11"/>
        <v>1.2887718340549987E-2</v>
      </c>
      <c r="N47" s="2">
        <f t="shared" ca="1" si="12"/>
        <v>1.2887718340549987E-2</v>
      </c>
      <c r="O47" s="2">
        <f t="shared" si="13"/>
        <v>6000000</v>
      </c>
      <c r="P47" s="2">
        <f t="shared" ca="1" si="14"/>
        <v>40283755.645535119</v>
      </c>
      <c r="Q47" s="2">
        <f t="shared" ca="1" si="15"/>
        <v>1007093.8911383781</v>
      </c>
      <c r="R47" s="2">
        <f t="shared" ca="1" si="16"/>
        <v>24170253.38732107</v>
      </c>
      <c r="S47" s="2">
        <f t="shared" ca="1" si="17"/>
        <v>16113502.258214049</v>
      </c>
      <c r="T47" s="2">
        <f t="shared" ca="1" si="18"/>
        <v>50644385.917027503</v>
      </c>
      <c r="U47" s="2">
        <f t="shared" ca="1" si="19"/>
        <v>52922118.17932272</v>
      </c>
      <c r="V47" s="2">
        <f t="shared" ca="1" si="20"/>
        <v>55302291.495344996</v>
      </c>
      <c r="W47" s="2">
        <f t="shared" ca="1" si="21"/>
        <v>57789513.153519951</v>
      </c>
      <c r="X47" s="2">
        <f t="shared" ca="1" si="22"/>
        <v>60388597.655161627</v>
      </c>
      <c r="Y47" s="2">
        <f t="shared" ca="1" si="23"/>
        <v>0.12273004325497873</v>
      </c>
      <c r="Z47" s="2">
        <f t="shared" ca="1" si="24"/>
        <v>0.12382206055697022</v>
      </c>
      <c r="AA47" s="2">
        <f t="shared" ca="1" si="25"/>
        <v>6215587.6742186211</v>
      </c>
      <c r="AB47" s="2">
        <f t="shared" ca="1" si="26"/>
        <v>6552925.7220032327</v>
      </c>
      <c r="AC47" s="2">
        <f t="shared" ca="1" si="27"/>
        <v>6847643.6864758274</v>
      </c>
      <c r="AD47" s="2">
        <f t="shared" ca="1" si="28"/>
        <v>7155616.5972529743</v>
      </c>
      <c r="AE47" s="2">
        <f t="shared" ca="1" si="29"/>
        <v>7477440.5958079323</v>
      </c>
      <c r="AF47" s="2">
        <f t="shared" ca="1" si="30"/>
        <v>1012887.7183405501</v>
      </c>
      <c r="AG47" s="2">
        <f t="shared" ca="1" si="31"/>
        <v>1058442.3635864544</v>
      </c>
      <c r="AH47" s="2">
        <f t="shared" ca="1" si="32"/>
        <v>1106045.8299068999</v>
      </c>
      <c r="AI47" s="2">
        <f t="shared" ca="1" si="33"/>
        <v>1155790.2630703989</v>
      </c>
      <c r="AJ47" s="2">
        <f t="shared" ca="1" si="34"/>
        <v>1207771.9531032327</v>
      </c>
      <c r="AK47" s="2">
        <f t="shared" ca="1" si="35"/>
        <v>0</v>
      </c>
      <c r="AL47" s="2">
        <f t="shared" ca="1" si="36"/>
        <v>22777.322622952164</v>
      </c>
      <c r="AM47" s="2">
        <f t="shared" ca="1" si="37"/>
        <v>23801.733160222768</v>
      </c>
      <c r="AN47" s="2">
        <f t="shared" ca="1" si="38"/>
        <v>24872.216581749544</v>
      </c>
      <c r="AO47" s="2">
        <f t="shared" ca="1" si="39"/>
        <v>25990.845016416759</v>
      </c>
      <c r="AP47" s="2">
        <f t="shared" ca="1" si="40"/>
        <v>2175322.8048588964</v>
      </c>
      <c r="AQ47" s="2">
        <f t="shared" ca="1" si="41"/>
        <v>787118.0592649855</v>
      </c>
      <c r="AR47" s="2">
        <f t="shared" ca="1" si="42"/>
        <v>862981.7439250492</v>
      </c>
      <c r="AS47" s="2">
        <f t="shared" ca="1" si="43"/>
        <v>927231.51344460796</v>
      </c>
      <c r="AT47" s="2">
        <f t="shared" ca="1" si="44"/>
        <v>994370.91762415657</v>
      </c>
      <c r="AU47" s="2">
        <f t="shared" ca="1" si="45"/>
        <v>1064529.9178399087</v>
      </c>
      <c r="AV47" s="2">
        <f t="shared" ca="1" si="46"/>
        <v>2240259.0917541892</v>
      </c>
      <c r="AW47" s="2">
        <f t="shared" ca="1" si="47"/>
        <v>2433401.4870098806</v>
      </c>
      <c r="AX47" s="2">
        <f t="shared" ca="1" si="48"/>
        <v>2615241.8051051996</v>
      </c>
      <c r="AY47" s="2">
        <f t="shared" ca="1" si="49"/>
        <v>2805260.3951177723</v>
      </c>
      <c r="AZ47" s="2">
        <f t="shared" ca="1" si="50"/>
        <v>3003825.0749894767</v>
      </c>
      <c r="BA47" s="2">
        <f t="shared" ca="1" si="51"/>
        <v>51315676.502921641</v>
      </c>
      <c r="BB47" s="2">
        <f t="shared" ca="1" si="52"/>
        <v>1026313.5300584328</v>
      </c>
      <c r="BC47" s="2">
        <f t="shared" ca="1" si="53"/>
        <v>26119109.585542139</v>
      </c>
      <c r="BD47" s="2">
        <f t="shared" ca="1" si="54"/>
        <v>-17620596.149352428</v>
      </c>
      <c r="BE47" s="2">
        <f t="shared" ca="1" si="55"/>
        <v>2240259.0917541892</v>
      </c>
      <c r="BF47" s="2">
        <f t="shared" ca="1" si="56"/>
        <v>2433401.4870098806</v>
      </c>
      <c r="BG47" s="2">
        <f t="shared" ca="1" si="57"/>
        <v>2615241.8051051996</v>
      </c>
      <c r="BH47" s="2">
        <f t="shared" ca="1" si="58"/>
        <v>2805260.3951177723</v>
      </c>
      <c r="BI47" s="2">
        <f t="shared" ca="1" si="59"/>
        <v>29122934.660531614</v>
      </c>
      <c r="BJ47" s="2">
        <f t="shared" ca="1" si="60"/>
        <v>0.20840286728594482</v>
      </c>
      <c r="BK47" s="2">
        <f t="shared" ca="1" si="61"/>
        <v>6488934.3492226377</v>
      </c>
    </row>
    <row r="48" spans="1:63" x14ac:dyDescent="0.3">
      <c r="A48" s="2">
        <v>47</v>
      </c>
      <c r="B48" s="2">
        <f t="shared" ca="1" si="0"/>
        <v>0.1720955440327484</v>
      </c>
      <c r="C48" s="2">
        <f t="shared" ca="1" si="1"/>
        <v>6.586678010552208</v>
      </c>
      <c r="D48" s="2">
        <f t="shared" ca="1" si="2"/>
        <v>0.49266818656983291</v>
      </c>
      <c r="E48" s="2">
        <f t="shared" ca="1" si="3"/>
        <v>7.4926411099383632</v>
      </c>
      <c r="F48" s="2">
        <f t="shared" ca="1" si="4"/>
        <v>0.71430290923343565</v>
      </c>
      <c r="G48" s="2">
        <f t="shared" ca="1" si="5"/>
        <v>5.6979982302679658E-2</v>
      </c>
      <c r="H48" s="2">
        <f t="shared" ca="1" si="6"/>
        <v>5.6979982302679658E-2</v>
      </c>
      <c r="I48" s="2">
        <f t="shared" ca="1" si="7"/>
        <v>9.9633618660075363E-2</v>
      </c>
      <c r="J48" s="2">
        <f t="shared" ca="1" si="8"/>
        <v>3.5817898620970675E-3</v>
      </c>
      <c r="K48" s="2">
        <f t="shared" ca="1" si="9"/>
        <v>3.5817898620970675E-3</v>
      </c>
      <c r="L48" s="2">
        <f t="shared" ca="1" si="10"/>
        <v>0.59785005680249581</v>
      </c>
      <c r="M48" s="2">
        <f t="shared" ca="1" si="11"/>
        <v>4.955722615543676E-3</v>
      </c>
      <c r="N48" s="2">
        <f t="shared" ca="1" si="12"/>
        <v>4.955722615543676E-3</v>
      </c>
      <c r="O48" s="2">
        <f t="shared" si="13"/>
        <v>6000000</v>
      </c>
      <c r="P48" s="2">
        <f t="shared" ca="1" si="14"/>
        <v>39520068.063313246</v>
      </c>
      <c r="Q48" s="2">
        <f t="shared" ca="1" si="15"/>
        <v>988001.70158283121</v>
      </c>
      <c r="R48" s="2">
        <f t="shared" ca="1" si="16"/>
        <v>23712040.837987948</v>
      </c>
      <c r="S48" s="2">
        <f t="shared" ca="1" si="17"/>
        <v>15808027.225325299</v>
      </c>
      <c r="T48" s="2">
        <f t="shared" ca="1" si="18"/>
        <v>50247786.13077718</v>
      </c>
      <c r="U48" s="2">
        <f t="shared" ca="1" si="19"/>
        <v>53110904.095257699</v>
      </c>
      <c r="V48" s="2">
        <f t="shared" ca="1" si="20"/>
        <v>56137162.470684804</v>
      </c>
      <c r="W48" s="2">
        <f t="shared" ca="1" si="21"/>
        <v>59335856.994787082</v>
      </c>
      <c r="X48" s="2">
        <f t="shared" ca="1" si="22"/>
        <v>62716813.076264389</v>
      </c>
      <c r="Y48" s="2">
        <f t="shared" ca="1" si="23"/>
        <v>0.12179089493104853</v>
      </c>
      <c r="Z48" s="2">
        <f t="shared" ca="1" si="24"/>
        <v>0.12250725290346794</v>
      </c>
      <c r="AA48" s="2">
        <f t="shared" ca="1" si="25"/>
        <v>6119722.8411712805</v>
      </c>
      <c r="AB48" s="2">
        <f t="shared" ca="1" si="26"/>
        <v>6506470.9599295659</v>
      </c>
      <c r="AC48" s="2">
        <f t="shared" ca="1" si="27"/>
        <v>6877209.5600792523</v>
      </c>
      <c r="AD48" s="2">
        <f t="shared" ca="1" si="28"/>
        <v>7269072.8391043879</v>
      </c>
      <c r="AE48" s="2">
        <f t="shared" ca="1" si="29"/>
        <v>7683264.4808334466</v>
      </c>
      <c r="AF48" s="2">
        <f t="shared" ca="1" si="30"/>
        <v>1004955.7226155436</v>
      </c>
      <c r="AG48" s="2">
        <f t="shared" ca="1" si="31"/>
        <v>1062218.081905154</v>
      </c>
      <c r="AH48" s="2">
        <f t="shared" ca="1" si="32"/>
        <v>1122743.2494136961</v>
      </c>
      <c r="AI48" s="2">
        <f t="shared" ca="1" si="33"/>
        <v>1186717.1398957416</v>
      </c>
      <c r="AJ48" s="2">
        <f t="shared" ca="1" si="34"/>
        <v>1254336.2615252878</v>
      </c>
      <c r="AK48" s="2">
        <f t="shared" ca="1" si="35"/>
        <v>0</v>
      </c>
      <c r="AL48" s="2">
        <f t="shared" ca="1" si="36"/>
        <v>28631.179644805194</v>
      </c>
      <c r="AM48" s="2">
        <f t="shared" ca="1" si="37"/>
        <v>30262.583754271047</v>
      </c>
      <c r="AN48" s="2">
        <f t="shared" ca="1" si="38"/>
        <v>31986.945241022782</v>
      </c>
      <c r="AO48" s="2">
        <f t="shared" ca="1" si="39"/>
        <v>33809.560814773067</v>
      </c>
      <c r="AP48" s="2">
        <f t="shared" ca="1" si="40"/>
        <v>2134083.6754189152</v>
      </c>
      <c r="AQ48" s="2">
        <f t="shared" ca="1" si="41"/>
        <v>774977.69521557365</v>
      </c>
      <c r="AR48" s="2">
        <f t="shared" ca="1" si="42"/>
        <v>860643.99267742923</v>
      </c>
      <c r="AS48" s="2">
        <f t="shared" ca="1" si="43"/>
        <v>941299.48516412673</v>
      </c>
      <c r="AT48" s="2">
        <f t="shared" ca="1" si="44"/>
        <v>1026550.7261853301</v>
      </c>
      <c r="AU48" s="2">
        <f t="shared" ca="1" si="45"/>
        <v>1116659.5814112034</v>
      </c>
      <c r="AV48" s="2">
        <f t="shared" ca="1" si="46"/>
        <v>2205705.747921248</v>
      </c>
      <c r="AW48" s="2">
        <f t="shared" ca="1" si="47"/>
        <v>2420894.030283263</v>
      </c>
      <c r="AX48" s="2">
        <f t="shared" ca="1" si="48"/>
        <v>2648820.5663282434</v>
      </c>
      <c r="AY48" s="2">
        <f t="shared" ca="1" si="49"/>
        <v>2889734.3523633778</v>
      </c>
      <c r="AZ48" s="2">
        <f t="shared" ca="1" si="50"/>
        <v>3144375.4016632671</v>
      </c>
      <c r="BA48" s="2">
        <f t="shared" ca="1" si="51"/>
        <v>57567943.307621919</v>
      </c>
      <c r="BB48" s="2">
        <f t="shared" ca="1" si="52"/>
        <v>1151358.8661524383</v>
      </c>
      <c r="BC48" s="2">
        <f t="shared" ca="1" si="53"/>
        <v>32704543.603481527</v>
      </c>
      <c r="BD48" s="2">
        <f t="shared" ca="1" si="54"/>
        <v>-17296028.926908132</v>
      </c>
      <c r="BE48" s="2">
        <f t="shared" ca="1" si="55"/>
        <v>2205705.747921248</v>
      </c>
      <c r="BF48" s="2">
        <f t="shared" ca="1" si="56"/>
        <v>2420894.030283263</v>
      </c>
      <c r="BG48" s="2">
        <f t="shared" ca="1" si="57"/>
        <v>2648820.5663282434</v>
      </c>
      <c r="BH48" s="2">
        <f t="shared" ca="1" si="58"/>
        <v>2889734.3523633778</v>
      </c>
      <c r="BI48" s="2">
        <f t="shared" ca="1" si="59"/>
        <v>35848919.005144797</v>
      </c>
      <c r="BJ48" s="2">
        <f t="shared" ca="1" si="60"/>
        <v>0.25532367279511758</v>
      </c>
      <c r="BK48" s="2">
        <f t="shared" ca="1" si="61"/>
        <v>10666769.078134861</v>
      </c>
    </row>
    <row r="49" spans="1:63" x14ac:dyDescent="0.3">
      <c r="A49" s="2">
        <v>48</v>
      </c>
      <c r="B49" s="2">
        <f t="shared" ca="1" si="0"/>
        <v>0.30354338108311152</v>
      </c>
      <c r="C49" s="2">
        <f t="shared" ca="1" si="1"/>
        <v>6.7791577261159794</v>
      </c>
      <c r="D49" s="2">
        <f t="shared" ca="1" si="2"/>
        <v>0.69721812675593076</v>
      </c>
      <c r="E49" s="2">
        <f t="shared" ca="1" si="3"/>
        <v>7.7218202351075051</v>
      </c>
      <c r="F49" s="2">
        <f t="shared" ca="1" si="4"/>
        <v>0.91438594119078309</v>
      </c>
      <c r="G49" s="2">
        <f t="shared" ca="1" si="5"/>
        <v>8.104804822412004E-2</v>
      </c>
      <c r="H49" s="2">
        <f t="shared" ca="1" si="6"/>
        <v>8.104804822412004E-2</v>
      </c>
      <c r="I49" s="2">
        <f t="shared" ca="1" si="7"/>
        <v>0.56007177071120262</v>
      </c>
      <c r="J49" s="2">
        <f t="shared" ca="1" si="8"/>
        <v>1.0755755911797244E-2</v>
      </c>
      <c r="K49" s="2">
        <f t="shared" ca="1" si="9"/>
        <v>1.0755755911797244E-2</v>
      </c>
      <c r="L49" s="2">
        <f t="shared" ca="1" si="10"/>
        <v>0.5751348295647386</v>
      </c>
      <c r="M49" s="2">
        <f t="shared" ca="1" si="11"/>
        <v>3.7892500654962465E-3</v>
      </c>
      <c r="N49" s="2">
        <f t="shared" ca="1" si="12"/>
        <v>3.7892500654962465E-3</v>
      </c>
      <c r="O49" s="2">
        <f t="shared" si="13"/>
        <v>6000000</v>
      </c>
      <c r="P49" s="2">
        <f t="shared" ca="1" si="14"/>
        <v>40674946.356695876</v>
      </c>
      <c r="Q49" s="2">
        <f t="shared" ca="1" si="15"/>
        <v>1016873.6589173969</v>
      </c>
      <c r="R49" s="2">
        <f t="shared" ca="1" si="16"/>
        <v>24404967.814017523</v>
      </c>
      <c r="S49" s="2">
        <f t="shared" ca="1" si="17"/>
        <v>16269978.542678351</v>
      </c>
      <c r="T49" s="2">
        <f t="shared" ca="1" si="18"/>
        <v>50189462.503274821</v>
      </c>
      <c r="U49" s="2">
        <f t="shared" ca="1" si="19"/>
        <v>54257220.4805829</v>
      </c>
      <c r="V49" s="2">
        <f t="shared" ca="1" si="20"/>
        <v>58654662.302599899</v>
      </c>
      <c r="W49" s="2">
        <f t="shared" ca="1" si="21"/>
        <v>63408508.201470494</v>
      </c>
      <c r="X49" s="2">
        <f t="shared" ca="1" si="22"/>
        <v>68547644.032002792</v>
      </c>
      <c r="Y49" s="2">
        <f t="shared" ca="1" si="23"/>
        <v>0.12537787795589861</v>
      </c>
      <c r="Z49" s="2">
        <f t="shared" ca="1" si="24"/>
        <v>0.12752902913825806</v>
      </c>
      <c r="AA49" s="2">
        <f t="shared" ca="1" si="25"/>
        <v>6292648.30440774</v>
      </c>
      <c r="AB49" s="2">
        <f t="shared" ca="1" si="26"/>
        <v>6919370.651629149</v>
      </c>
      <c r="AC49" s="2">
        <f t="shared" ca="1" si="27"/>
        <v>7480172.1378829489</v>
      </c>
      <c r="AD49" s="2">
        <f t="shared" ca="1" si="28"/>
        <v>8086425.4900388056</v>
      </c>
      <c r="AE49" s="2">
        <f t="shared" ca="1" si="29"/>
        <v>8741814.493116226</v>
      </c>
      <c r="AF49" s="2">
        <f t="shared" ca="1" si="30"/>
        <v>1003789.2500654964</v>
      </c>
      <c r="AG49" s="2">
        <f t="shared" ca="1" si="31"/>
        <v>1085144.409611658</v>
      </c>
      <c r="AH49" s="2">
        <f t="shared" ca="1" si="32"/>
        <v>1173093.2460519981</v>
      </c>
      <c r="AI49" s="2">
        <f t="shared" ca="1" si="33"/>
        <v>1268170.1640294099</v>
      </c>
      <c r="AJ49" s="2">
        <f t="shared" ca="1" si="34"/>
        <v>1370952.8806400558</v>
      </c>
      <c r="AK49" s="2">
        <f t="shared" ca="1" si="35"/>
        <v>0</v>
      </c>
      <c r="AL49" s="2">
        <f t="shared" ca="1" si="36"/>
        <v>40677.579773080797</v>
      </c>
      <c r="AM49" s="2">
        <f t="shared" ca="1" si="37"/>
        <v>43974.418220169995</v>
      </c>
      <c r="AN49" s="2">
        <f t="shared" ca="1" si="38"/>
        <v>47538.458988705948</v>
      </c>
      <c r="AO49" s="2">
        <f t="shared" ca="1" si="39"/>
        <v>51391.358305322974</v>
      </c>
      <c r="AP49" s="2">
        <f t="shared" ca="1" si="40"/>
        <v>2196447.103261577</v>
      </c>
      <c r="AQ49" s="2">
        <f t="shared" ca="1" si="41"/>
        <v>804027.10728097346</v>
      </c>
      <c r="AR49" s="2">
        <f t="shared" ca="1" si="42"/>
        <v>945822.5760765376</v>
      </c>
      <c r="AS49" s="2">
        <f t="shared" ca="1" si="43"/>
        <v>1068764.2650280374</v>
      </c>
      <c r="AT49" s="2">
        <f t="shared" ca="1" si="44"/>
        <v>1201670.1379144329</v>
      </c>
      <c r="AU49" s="2">
        <f t="shared" ca="1" si="45"/>
        <v>1345347.7723957943</v>
      </c>
      <c r="AV49" s="2">
        <f t="shared" ca="1" si="46"/>
        <v>2288384.8437996935</v>
      </c>
      <c r="AW49" s="2">
        <f t="shared" ca="1" si="47"/>
        <v>2651278.9829062959</v>
      </c>
      <c r="AX49" s="2">
        <f t="shared" ca="1" si="48"/>
        <v>2997893.105321167</v>
      </c>
      <c r="AY49" s="2">
        <f t="shared" ca="1" si="49"/>
        <v>3372599.6258446798</v>
      </c>
      <c r="AZ49" s="2">
        <f t="shared" ca="1" si="50"/>
        <v>3777675.3785134759</v>
      </c>
      <c r="BA49" s="2">
        <f t="shared" ca="1" si="51"/>
        <v>67502720.044500932</v>
      </c>
      <c r="BB49" s="2">
        <f t="shared" ca="1" si="52"/>
        <v>1350054.4008900186</v>
      </c>
      <c r="BC49" s="2">
        <f t="shared" ca="1" si="53"/>
        <v>41747697.829593398</v>
      </c>
      <c r="BD49" s="2">
        <f t="shared" ca="1" si="54"/>
        <v>-17786852.201595746</v>
      </c>
      <c r="BE49" s="2">
        <f t="shared" ca="1" si="55"/>
        <v>2288384.8437996935</v>
      </c>
      <c r="BF49" s="2">
        <f t="shared" ca="1" si="56"/>
        <v>2651278.9829062959</v>
      </c>
      <c r="BG49" s="2">
        <f t="shared" ca="1" si="57"/>
        <v>2997893.105321167</v>
      </c>
      <c r="BH49" s="2">
        <f t="shared" ca="1" si="58"/>
        <v>3372599.6258446798</v>
      </c>
      <c r="BI49" s="2">
        <f t="shared" ca="1" si="59"/>
        <v>45525373.208106875</v>
      </c>
      <c r="BJ49" s="2">
        <f t="shared" ca="1" si="60"/>
        <v>0.30612659407676812</v>
      </c>
      <c r="BK49" s="2">
        <f t="shared" ca="1" si="61"/>
        <v>16479440.430410549</v>
      </c>
    </row>
    <row r="50" spans="1:63" x14ac:dyDescent="0.3">
      <c r="A50" s="2">
        <v>49</v>
      </c>
      <c r="B50" s="2">
        <f t="shared" ca="1" si="0"/>
        <v>0.29849717081584581</v>
      </c>
      <c r="C50" s="2">
        <f t="shared" ca="1" si="1"/>
        <v>6.7726540892480225</v>
      </c>
      <c r="D50" s="2">
        <f t="shared" ca="1" si="2"/>
        <v>0.76554981388039633</v>
      </c>
      <c r="E50" s="2">
        <f t="shared" ca="1" si="3"/>
        <v>7.8152369955676582</v>
      </c>
      <c r="F50" s="2">
        <f t="shared" ca="1" si="4"/>
        <v>0.20938631532640117</v>
      </c>
      <c r="G50" s="2">
        <f t="shared" ca="1" si="5"/>
        <v>1.5743426790507262E-2</v>
      </c>
      <c r="H50" s="2">
        <f t="shared" ca="1" si="6"/>
        <v>1.5743426790507262E-2</v>
      </c>
      <c r="I50" s="2">
        <f t="shared" ca="1" si="7"/>
        <v>0.65637144027058758</v>
      </c>
      <c r="J50" s="2">
        <f t="shared" ca="1" si="8"/>
        <v>1.2012900718336269E-2</v>
      </c>
      <c r="K50" s="2">
        <f t="shared" ca="1" si="9"/>
        <v>1.2012900718336269E-2</v>
      </c>
      <c r="L50" s="2">
        <f t="shared" ca="1" si="10"/>
        <v>2.2208944320135204E-2</v>
      </c>
      <c r="M50" s="2">
        <f t="shared" ca="1" si="11"/>
        <v>-4.0202513622971503E-2</v>
      </c>
      <c r="N50" s="2">
        <f t="shared" ca="1" si="12"/>
        <v>-4.0202513622971503E-2</v>
      </c>
      <c r="O50" s="2">
        <f t="shared" si="13"/>
        <v>6000000</v>
      </c>
      <c r="P50" s="2">
        <f t="shared" ca="1" si="14"/>
        <v>40635924.535488136</v>
      </c>
      <c r="Q50" s="2">
        <f t="shared" ca="1" si="15"/>
        <v>1015898.1133872034</v>
      </c>
      <c r="R50" s="2">
        <f t="shared" ca="1" si="16"/>
        <v>24381554.721292879</v>
      </c>
      <c r="S50" s="2">
        <f t="shared" ca="1" si="17"/>
        <v>16254369.814195255</v>
      </c>
      <c r="T50" s="2">
        <f t="shared" ca="1" si="18"/>
        <v>47989874.318851419</v>
      </c>
      <c r="U50" s="2">
        <f t="shared" ca="1" si="19"/>
        <v>48745399.3918759</v>
      </c>
      <c r="V50" s="2">
        <f t="shared" ca="1" si="20"/>
        <v>49512819.018575937</v>
      </c>
      <c r="W50" s="2">
        <f t="shared" ca="1" si="21"/>
        <v>50292320.459986523</v>
      </c>
      <c r="X50" s="2">
        <f t="shared" ca="1" si="22"/>
        <v>51084093.925273046</v>
      </c>
      <c r="Y50" s="2">
        <f t="shared" ca="1" si="23"/>
        <v>0.12600645035916813</v>
      </c>
      <c r="Z50" s="2">
        <f t="shared" ca="1" si="24"/>
        <v>0.12840903050283539</v>
      </c>
      <c r="AA50" s="2">
        <f t="shared" ca="1" si="25"/>
        <v>6047033.716101069</v>
      </c>
      <c r="AB50" s="2">
        <f t="shared" ca="1" si="26"/>
        <v>6259349.477384286</v>
      </c>
      <c r="AC50" s="2">
        <f t="shared" ca="1" si="27"/>
        <v>6357893.0876376862</v>
      </c>
      <c r="AD50" s="2">
        <f t="shared" ca="1" si="28"/>
        <v>6457988.1120047821</v>
      </c>
      <c r="AE50" s="2">
        <f t="shared" ca="1" si="29"/>
        <v>6559658.9750600951</v>
      </c>
      <c r="AF50" s="2">
        <f t="shared" ca="1" si="30"/>
        <v>959797.4863770284</v>
      </c>
      <c r="AG50" s="2">
        <f t="shared" ca="1" si="31"/>
        <v>974907.98783751798</v>
      </c>
      <c r="AH50" s="2">
        <f t="shared" ca="1" si="32"/>
        <v>990256.38037151878</v>
      </c>
      <c r="AI50" s="2">
        <f t="shared" ca="1" si="33"/>
        <v>1005846.4091997305</v>
      </c>
      <c r="AJ50" s="2">
        <f t="shared" ca="1" si="34"/>
        <v>1021681.8785054609</v>
      </c>
      <c r="AK50" s="2">
        <f t="shared" ca="1" si="35"/>
        <v>0</v>
      </c>
      <c r="AL50" s="2">
        <f t="shared" ca="1" si="36"/>
        <v>7555.2507302448157</v>
      </c>
      <c r="AM50" s="2">
        <f t="shared" ca="1" si="37"/>
        <v>7674.1962670003622</v>
      </c>
      <c r="AN50" s="2">
        <f t="shared" ca="1" si="38"/>
        <v>7795.0144141058627</v>
      </c>
      <c r="AO50" s="2">
        <f t="shared" ca="1" si="39"/>
        <v>7917.7346528652315</v>
      </c>
      <c r="AP50" s="2">
        <f t="shared" ca="1" si="40"/>
        <v>2194339.9249163591</v>
      </c>
      <c r="AQ50" s="2">
        <f t="shared" ca="1" si="41"/>
        <v>752153.03924999712</v>
      </c>
      <c r="AR50" s="2">
        <f t="shared" ca="1" si="42"/>
        <v>803426.40680390643</v>
      </c>
      <c r="AS50" s="2">
        <f t="shared" ca="1" si="43"/>
        <v>825057.16341095022</v>
      </c>
      <c r="AT50" s="2">
        <f t="shared" ca="1" si="44"/>
        <v>847028.46225106006</v>
      </c>
      <c r="AU50" s="2">
        <f t="shared" ca="1" si="45"/>
        <v>869345.66462595155</v>
      </c>
      <c r="AV50" s="2">
        <f t="shared" ca="1" si="46"/>
        <v>2140743.2655576835</v>
      </c>
      <c r="AW50" s="2">
        <f t="shared" ca="1" si="47"/>
        <v>2279119.9070962588</v>
      </c>
      <c r="AX50" s="2">
        <f t="shared" ca="1" si="48"/>
        <v>2340565.4226718578</v>
      </c>
      <c r="AY50" s="2">
        <f t="shared" ca="1" si="49"/>
        <v>2402978.3012235272</v>
      </c>
      <c r="AZ50" s="2">
        <f t="shared" ca="1" si="50"/>
        <v>2466373.7723594583</v>
      </c>
      <c r="BA50" s="2">
        <f t="shared" ca="1" si="51"/>
        <v>51265289.500197083</v>
      </c>
      <c r="BB50" s="2">
        <f t="shared" ca="1" si="52"/>
        <v>1025305.7900039416</v>
      </c>
      <c r="BC50" s="2">
        <f t="shared" ca="1" si="53"/>
        <v>25858428.988900263</v>
      </c>
      <c r="BD50" s="2">
        <f t="shared" ca="1" si="54"/>
        <v>-17770267.927582458</v>
      </c>
      <c r="BE50" s="2">
        <f t="shared" ca="1" si="55"/>
        <v>2140743.2655576835</v>
      </c>
      <c r="BF50" s="2">
        <f t="shared" ca="1" si="56"/>
        <v>2279119.9070962588</v>
      </c>
      <c r="BG50" s="2">
        <f t="shared" ca="1" si="57"/>
        <v>2340565.4226718578</v>
      </c>
      <c r="BH50" s="2">
        <f t="shared" ca="1" si="58"/>
        <v>2402978.3012235272</v>
      </c>
      <c r="BI50" s="2">
        <f t="shared" ca="1" si="59"/>
        <v>28324802.76125972</v>
      </c>
      <c r="BJ50" s="2">
        <f t="shared" ca="1" si="60"/>
        <v>0.19154442419007323</v>
      </c>
      <c r="BK50" s="2">
        <f t="shared" ca="1" si="61"/>
        <v>5223368.582921885</v>
      </c>
    </row>
    <row r="51" spans="1:63" x14ac:dyDescent="0.3">
      <c r="A51" s="2">
        <v>50</v>
      </c>
      <c r="B51" s="2">
        <f t="shared" ca="1" si="0"/>
        <v>0.50976977857309791</v>
      </c>
      <c r="C51" s="2">
        <f t="shared" ca="1" si="1"/>
        <v>7.0098179748885538</v>
      </c>
      <c r="D51" s="2">
        <f t="shared" ca="1" si="2"/>
        <v>0.16772275357793731</v>
      </c>
      <c r="E51" s="2">
        <f t="shared" ca="1" si="3"/>
        <v>7.0791765768363515</v>
      </c>
      <c r="F51" s="2">
        <f t="shared" ca="1" si="4"/>
        <v>0.8762066125979564</v>
      </c>
      <c r="G51" s="2">
        <f t="shared" ca="1" si="5"/>
        <v>7.4686923262786212E-2</v>
      </c>
      <c r="H51" s="2">
        <f t="shared" ca="1" si="6"/>
        <v>7.4686923262786212E-2</v>
      </c>
      <c r="I51" s="2">
        <f t="shared" ca="1" si="7"/>
        <v>0.54116221526055208</v>
      </c>
      <c r="J51" s="2">
        <f t="shared" ca="1" si="8"/>
        <v>1.0516810634370989E-2</v>
      </c>
      <c r="K51" s="2">
        <f t="shared" ca="1" si="9"/>
        <v>1.0516810634370989E-2</v>
      </c>
      <c r="L51" s="2">
        <f t="shared" ca="1" si="10"/>
        <v>0.966676942014566</v>
      </c>
      <c r="M51" s="2">
        <f t="shared" ca="1" si="11"/>
        <v>3.668106150945874E-2</v>
      </c>
      <c r="N51" s="2">
        <f t="shared" ca="1" si="12"/>
        <v>3.668106150945874E-2</v>
      </c>
      <c r="O51" s="2">
        <f t="shared" si="13"/>
        <v>6000000</v>
      </c>
      <c r="P51" s="2">
        <f t="shared" ca="1" si="14"/>
        <v>42058907.849331327</v>
      </c>
      <c r="Q51" s="2">
        <f t="shared" ca="1" si="15"/>
        <v>1051472.6962332833</v>
      </c>
      <c r="R51" s="2">
        <f t="shared" ca="1" si="16"/>
        <v>25235344.709598795</v>
      </c>
      <c r="S51" s="2">
        <f t="shared" ca="1" si="17"/>
        <v>16823563.139732532</v>
      </c>
      <c r="T51" s="2">
        <f t="shared" ca="1" si="18"/>
        <v>51834053.075472943</v>
      </c>
      <c r="U51" s="2">
        <f t="shared" ca="1" si="19"/>
        <v>55705379.019919984</v>
      </c>
      <c r="V51" s="2">
        <f t="shared" ca="1" si="20"/>
        <v>59865842.388105169</v>
      </c>
      <c r="W51" s="2">
        <f t="shared" ca="1" si="21"/>
        <v>64337037.964607634</v>
      </c>
      <c r="X51" s="2">
        <f t="shared" ca="1" si="22"/>
        <v>69142173.382025257</v>
      </c>
      <c r="Y51" s="2">
        <f t="shared" ca="1" si="23"/>
        <v>0.12525840531718549</v>
      </c>
      <c r="Z51" s="2">
        <f t="shared" ca="1" si="24"/>
        <v>0.12736176744405969</v>
      </c>
      <c r="AA51" s="2">
        <f t="shared" ca="1" si="25"/>
        <v>6492650.8293600949</v>
      </c>
      <c r="AB51" s="2">
        <f t="shared" ca="1" si="26"/>
        <v>7094735.5281182509</v>
      </c>
      <c r="AC51" s="2">
        <f t="shared" ca="1" si="27"/>
        <v>7624619.496076582</v>
      </c>
      <c r="AD51" s="2">
        <f t="shared" ca="1" si="28"/>
        <v>8194078.8672879972</v>
      </c>
      <c r="AE51" s="2">
        <f t="shared" ca="1" si="29"/>
        <v>8806069.4068583548</v>
      </c>
      <c r="AF51" s="2">
        <f t="shared" ca="1" si="30"/>
        <v>1036681.0615094589</v>
      </c>
      <c r="AG51" s="2">
        <f t="shared" ca="1" si="31"/>
        <v>1114107.5803983996</v>
      </c>
      <c r="AH51" s="2">
        <f t="shared" ca="1" si="32"/>
        <v>1197316.8477621034</v>
      </c>
      <c r="AI51" s="2">
        <f t="shared" ca="1" si="33"/>
        <v>1286740.7592921527</v>
      </c>
      <c r="AJ51" s="2">
        <f t="shared" ca="1" si="34"/>
        <v>1382843.4676405052</v>
      </c>
      <c r="AK51" s="2">
        <f t="shared" ca="1" si="35"/>
        <v>0</v>
      </c>
      <c r="AL51" s="2">
        <f t="shared" ca="1" si="36"/>
        <v>38713.259444470408</v>
      </c>
      <c r="AM51" s="2">
        <f t="shared" ca="1" si="37"/>
        <v>41604.633681851847</v>
      </c>
      <c r="AN51" s="2">
        <f t="shared" ca="1" si="38"/>
        <v>44711.95576502465</v>
      </c>
      <c r="AO51" s="2">
        <f t="shared" ca="1" si="39"/>
        <v>48051.354174176231</v>
      </c>
      <c r="AP51" s="2">
        <f t="shared" ca="1" si="40"/>
        <v>2271181.0238638916</v>
      </c>
      <c r="AQ51" s="2">
        <f t="shared" ca="1" si="41"/>
        <v>828045.07343655347</v>
      </c>
      <c r="AR51" s="2">
        <f t="shared" ca="1" si="42"/>
        <v>964456.20020254957</v>
      </c>
      <c r="AS51" s="2">
        <f t="shared" ca="1" si="43"/>
        <v>1080591.6223571526</v>
      </c>
      <c r="AT51" s="2">
        <f t="shared" ca="1" si="44"/>
        <v>1205400.8418743077</v>
      </c>
      <c r="AU51" s="2">
        <f t="shared" ca="1" si="45"/>
        <v>1339531.6779920291</v>
      </c>
      <c r="AV51" s="2">
        <f t="shared" ca="1" si="46"/>
        <v>2356743.6705501904</v>
      </c>
      <c r="AW51" s="2">
        <f t="shared" ca="1" si="47"/>
        <v>2706277.4642089396</v>
      </c>
      <c r="AX51" s="2">
        <f t="shared" ca="1" si="48"/>
        <v>3033925.3684115834</v>
      </c>
      <c r="AY51" s="2">
        <f t="shared" ca="1" si="49"/>
        <v>3386044.2864926201</v>
      </c>
      <c r="AZ51" s="2">
        <f t="shared" ca="1" si="50"/>
        <v>3764461.8831877527</v>
      </c>
      <c r="BA51" s="2">
        <f t="shared" ca="1" si="51"/>
        <v>62339720.279026851</v>
      </c>
      <c r="BB51" s="2">
        <f t="shared" ca="1" si="52"/>
        <v>1246794.4055805372</v>
      </c>
      <c r="BC51" s="2">
        <f t="shared" ca="1" si="53"/>
        <v>35857581.163847521</v>
      </c>
      <c r="BD51" s="2">
        <f t="shared" ca="1" si="54"/>
        <v>-18375035.835965816</v>
      </c>
      <c r="BE51" s="2">
        <f t="shared" ca="1" si="55"/>
        <v>2356743.6705501904</v>
      </c>
      <c r="BF51" s="2">
        <f t="shared" ca="1" si="56"/>
        <v>2706277.4642089396</v>
      </c>
      <c r="BG51" s="2">
        <f t="shared" ca="1" si="57"/>
        <v>3033925.3684115834</v>
      </c>
      <c r="BH51" s="2">
        <f t="shared" ca="1" si="58"/>
        <v>3386044.2864926201</v>
      </c>
      <c r="BI51" s="2">
        <f t="shared" ca="1" si="59"/>
        <v>39622043.047035277</v>
      </c>
      <c r="BJ51" s="2">
        <f t="shared" ca="1" si="60"/>
        <v>0.26888306347336477</v>
      </c>
      <c r="BK51" s="2">
        <f t="shared" ca="1" si="61"/>
        <v>12680619.221836999</v>
      </c>
    </row>
    <row r="52" spans="1:63" x14ac:dyDescent="0.3">
      <c r="A52" s="2">
        <v>51</v>
      </c>
      <c r="B52" s="2">
        <f t="shared" ca="1" si="0"/>
        <v>0.57137446070480102</v>
      </c>
      <c r="C52" s="2">
        <f t="shared" ca="1" si="1"/>
        <v>7.0741214558105376</v>
      </c>
      <c r="D52" s="2">
        <f t="shared" ca="1" si="2"/>
        <v>0.14463088054990492</v>
      </c>
      <c r="E52" s="2">
        <f t="shared" ca="1" si="3"/>
        <v>7.0378306063249001</v>
      </c>
      <c r="F52" s="2">
        <f t="shared" ca="1" si="4"/>
        <v>0.54544475136909343</v>
      </c>
      <c r="G52" s="2">
        <f t="shared" ca="1" si="5"/>
        <v>4.3424817509685743E-2</v>
      </c>
      <c r="H52" s="2">
        <f t="shared" ca="1" si="6"/>
        <v>4.3424817509685743E-2</v>
      </c>
      <c r="I52" s="2">
        <f t="shared" ca="1" si="7"/>
        <v>0.68033408726625688</v>
      </c>
      <c r="J52" s="2">
        <f t="shared" ca="1" si="8"/>
        <v>1.2343166116539817E-2</v>
      </c>
      <c r="K52" s="2">
        <f t="shared" ca="1" si="9"/>
        <v>1.2343166116539817E-2</v>
      </c>
      <c r="L52" s="2">
        <f t="shared" ca="1" si="10"/>
        <v>0.31849227958986515</v>
      </c>
      <c r="M52" s="2">
        <f t="shared" ca="1" si="11"/>
        <v>-9.4383813036929207E-3</v>
      </c>
      <c r="N52" s="2">
        <f t="shared" ca="1" si="12"/>
        <v>-9.4383813036929207E-3</v>
      </c>
      <c r="O52" s="2">
        <f t="shared" si="13"/>
        <v>6000000</v>
      </c>
      <c r="P52" s="2">
        <f t="shared" ca="1" si="14"/>
        <v>42444728.734863229</v>
      </c>
      <c r="Q52" s="2">
        <f t="shared" ca="1" si="15"/>
        <v>1061118.2183715808</v>
      </c>
      <c r="R52" s="2">
        <f t="shared" ca="1" si="16"/>
        <v>25466837.240917936</v>
      </c>
      <c r="S52" s="2">
        <f t="shared" ca="1" si="17"/>
        <v>16977891.493945293</v>
      </c>
      <c r="T52" s="2">
        <f t="shared" ca="1" si="18"/>
        <v>49528080.934815355</v>
      </c>
      <c r="U52" s="2">
        <f t="shared" ca="1" si="19"/>
        <v>51678828.811014652</v>
      </c>
      <c r="V52" s="2">
        <f t="shared" ca="1" si="20"/>
        <v>53922972.521247245</v>
      </c>
      <c r="W52" s="2">
        <f t="shared" ca="1" si="21"/>
        <v>56264567.7625622</v>
      </c>
      <c r="X52" s="2">
        <f t="shared" ca="1" si="22"/>
        <v>58707846.349912807</v>
      </c>
      <c r="Y52" s="2">
        <f t="shared" ca="1" si="23"/>
        <v>0.12617158305826989</v>
      </c>
      <c r="Z52" s="2">
        <f t="shared" ca="1" si="24"/>
        <v>0.12864021628157787</v>
      </c>
      <c r="AA52" s="2">
        <f t="shared" ca="1" si="25"/>
        <v>6249036.3773837695</v>
      </c>
      <c r="AB52" s="2">
        <f t="shared" ca="1" si="26"/>
        <v>6647975.7154275626</v>
      </c>
      <c r="AC52" s="2">
        <f t="shared" ca="1" si="27"/>
        <v>6936662.8476788262</v>
      </c>
      <c r="AD52" s="2">
        <f t="shared" ca="1" si="28"/>
        <v>7237886.1659654956</v>
      </c>
      <c r="AE52" s="2">
        <f t="shared" ca="1" si="29"/>
        <v>7552190.0518784253</v>
      </c>
      <c r="AF52" s="2">
        <f t="shared" ca="1" si="30"/>
        <v>990561.61869630706</v>
      </c>
      <c r="AG52" s="2">
        <f t="shared" ca="1" si="31"/>
        <v>1033576.5762202931</v>
      </c>
      <c r="AH52" s="2">
        <f t="shared" ca="1" si="32"/>
        <v>1078459.450424945</v>
      </c>
      <c r="AI52" s="2">
        <f t="shared" ca="1" si="33"/>
        <v>1125291.355251244</v>
      </c>
      <c r="AJ52" s="2">
        <f t="shared" ca="1" si="34"/>
        <v>1174156.9269982562</v>
      </c>
      <c r="AK52" s="2">
        <f t="shared" ca="1" si="35"/>
        <v>0</v>
      </c>
      <c r="AL52" s="2">
        <f t="shared" ca="1" si="36"/>
        <v>21507.478761992978</v>
      </c>
      <c r="AM52" s="2">
        <f t="shared" ca="1" si="37"/>
        <v>22441.43710232593</v>
      </c>
      <c r="AN52" s="2">
        <f t="shared" ca="1" si="38"/>
        <v>23415.952413149553</v>
      </c>
      <c r="AO52" s="2">
        <f t="shared" ca="1" si="39"/>
        <v>24432.785873506069</v>
      </c>
      <c r="AP52" s="2">
        <f t="shared" ca="1" si="40"/>
        <v>2292015.3516826141</v>
      </c>
      <c r="AQ52" s="2">
        <f t="shared" ca="1" si="41"/>
        <v>771279.44582126068</v>
      </c>
      <c r="AR52" s="2">
        <f t="shared" ca="1" si="42"/>
        <v>863819.78475641052</v>
      </c>
      <c r="AS52" s="2">
        <f t="shared" ca="1" si="43"/>
        <v>927208.89184852946</v>
      </c>
      <c r="AT52" s="2">
        <f t="shared" ca="1" si="44"/>
        <v>993350.65934822569</v>
      </c>
      <c r="AU52" s="2">
        <f t="shared" ca="1" si="45"/>
        <v>1062364.6210313642</v>
      </c>
      <c r="AV52" s="2">
        <f t="shared" ca="1" si="46"/>
        <v>2195179.9611835876</v>
      </c>
      <c r="AW52" s="2">
        <f t="shared" ca="1" si="47"/>
        <v>2437056.5240062517</v>
      </c>
      <c r="AX52" s="2">
        <f t="shared" ca="1" si="48"/>
        <v>2616537.7166204113</v>
      </c>
      <c r="AY52" s="2">
        <f t="shared" ca="1" si="49"/>
        <v>2803812.847270262</v>
      </c>
      <c r="AZ52" s="2">
        <f t="shared" ca="1" si="50"/>
        <v>2999220.3662926839</v>
      </c>
      <c r="BA52" s="2">
        <f t="shared" ca="1" si="51"/>
        <v>53151034.291892417</v>
      </c>
      <c r="BB52" s="2">
        <f t="shared" ca="1" si="52"/>
        <v>1063020.6858378483</v>
      </c>
      <c r="BC52" s="2">
        <f t="shared" ca="1" si="53"/>
        <v>26621176.365136631</v>
      </c>
      <c r="BD52" s="2">
        <f t="shared" ca="1" si="54"/>
        <v>-18539009.712316874</v>
      </c>
      <c r="BE52" s="2">
        <f t="shared" ca="1" si="55"/>
        <v>2195179.9611835876</v>
      </c>
      <c r="BF52" s="2">
        <f t="shared" ca="1" si="56"/>
        <v>2437056.5240062517</v>
      </c>
      <c r="BG52" s="2">
        <f t="shared" ca="1" si="57"/>
        <v>2616537.7166204113</v>
      </c>
      <c r="BH52" s="2">
        <f t="shared" ca="1" si="58"/>
        <v>2803812.847270262</v>
      </c>
      <c r="BI52" s="2">
        <f t="shared" ca="1" si="59"/>
        <v>29620396.731429316</v>
      </c>
      <c r="BJ52" s="2">
        <f t="shared" ca="1" si="60"/>
        <v>0.19606474239910998</v>
      </c>
      <c r="BK52" s="2">
        <f t="shared" ca="1" si="61"/>
        <v>5815461.1357719079</v>
      </c>
    </row>
    <row r="53" spans="1:63" x14ac:dyDescent="0.3">
      <c r="A53" s="2">
        <v>52</v>
      </c>
      <c r="B53" s="2">
        <f t="shared" ca="1" si="0"/>
        <v>0.31611483375546279</v>
      </c>
      <c r="C53" s="2">
        <f t="shared" ca="1" si="1"/>
        <v>6.7951287112857424</v>
      </c>
      <c r="D53" s="2">
        <f t="shared" ca="1" si="2"/>
        <v>0.83270268711009787</v>
      </c>
      <c r="E53" s="2">
        <f t="shared" ca="1" si="3"/>
        <v>7.9215584508528067</v>
      </c>
      <c r="F53" s="2">
        <f t="shared" ca="1" si="4"/>
        <v>0.42129113635157334</v>
      </c>
      <c r="G53" s="2">
        <f t="shared" ca="1" si="5"/>
        <v>3.4042253830625153E-2</v>
      </c>
      <c r="H53" s="2">
        <f t="shared" ca="1" si="6"/>
        <v>3.4042253830625153E-2</v>
      </c>
      <c r="I53" s="2">
        <f t="shared" ca="1" si="7"/>
        <v>0.61628598710702931</v>
      </c>
      <c r="J53" s="2">
        <f t="shared" ca="1" si="8"/>
        <v>1.1478704068464692E-2</v>
      </c>
      <c r="K53" s="2">
        <f t="shared" ca="1" si="9"/>
        <v>1.1478704068464692E-2</v>
      </c>
      <c r="L53" s="2">
        <f t="shared" ca="1" si="10"/>
        <v>0.58590444470449299</v>
      </c>
      <c r="M53" s="2">
        <f t="shared" ca="1" si="11"/>
        <v>4.3404422940409018E-3</v>
      </c>
      <c r="N53" s="2">
        <f t="shared" ca="1" si="12"/>
        <v>4.3404422940409018E-3</v>
      </c>
      <c r="O53" s="2">
        <f t="shared" si="13"/>
        <v>6000000</v>
      </c>
      <c r="P53" s="2">
        <f t="shared" ca="1" si="14"/>
        <v>40770772.267714456</v>
      </c>
      <c r="Q53" s="2">
        <f t="shared" ca="1" si="15"/>
        <v>1019269.3066928615</v>
      </c>
      <c r="R53" s="2">
        <f t="shared" ca="1" si="16"/>
        <v>24462463.360628672</v>
      </c>
      <c r="S53" s="2">
        <f t="shared" ca="1" si="17"/>
        <v>16308308.907085784</v>
      </c>
      <c r="T53" s="2">
        <f t="shared" ca="1" si="18"/>
        <v>50217022.114702046</v>
      </c>
      <c r="U53" s="2">
        <f t="shared" ca="1" si="19"/>
        <v>51926522.728148848</v>
      </c>
      <c r="V53" s="2">
        <f t="shared" ca="1" si="20"/>
        <v>53694218.595402211</v>
      </c>
      <c r="W53" s="2">
        <f t="shared" ca="1" si="21"/>
        <v>55522090.814063966</v>
      </c>
      <c r="X53" s="2">
        <f t="shared" ca="1" si="22"/>
        <v>57412187.922763348</v>
      </c>
      <c r="Y53" s="2">
        <f t="shared" ca="1" si="23"/>
        <v>0.12573935203423234</v>
      </c>
      <c r="Z53" s="2">
        <f t="shared" ca="1" si="24"/>
        <v>0.12803509284792527</v>
      </c>
      <c r="AA53" s="2">
        <f t="shared" ca="1" si="25"/>
        <v>6314255.8217913508</v>
      </c>
      <c r="AB53" s="2">
        <f t="shared" ca="1" si="26"/>
        <v>6648417.1587684397</v>
      </c>
      <c r="AC53" s="2">
        <f t="shared" ca="1" si="27"/>
        <v>6874744.2632591175</v>
      </c>
      <c r="AD53" s="2">
        <f t="shared" ca="1" si="28"/>
        <v>7108776.0524896188</v>
      </c>
      <c r="AE53" s="2">
        <f t="shared" ca="1" si="29"/>
        <v>7350774.8112935396</v>
      </c>
      <c r="AF53" s="2">
        <f t="shared" ca="1" si="30"/>
        <v>1004340.4422940409</v>
      </c>
      <c r="AG53" s="2">
        <f t="shared" ca="1" si="31"/>
        <v>1038530.454562977</v>
      </c>
      <c r="AH53" s="2">
        <f t="shared" ca="1" si="32"/>
        <v>1073884.3719080442</v>
      </c>
      <c r="AI53" s="2">
        <f t="shared" ca="1" si="33"/>
        <v>1110441.8162812793</v>
      </c>
      <c r="AJ53" s="2">
        <f t="shared" ca="1" si="34"/>
        <v>1148243.7584552669</v>
      </c>
      <c r="AK53" s="2">
        <f t="shared" ca="1" si="35"/>
        <v>0</v>
      </c>
      <c r="AL53" s="2">
        <f t="shared" ca="1" si="36"/>
        <v>17095.006134468018</v>
      </c>
      <c r="AM53" s="2">
        <f t="shared" ca="1" si="37"/>
        <v>17676.95867253363</v>
      </c>
      <c r="AN53" s="2">
        <f t="shared" ca="1" si="38"/>
        <v>18278.722186617553</v>
      </c>
      <c r="AO53" s="2">
        <f t="shared" ca="1" si="39"/>
        <v>18900.971086993814</v>
      </c>
      <c r="AP53" s="2">
        <f t="shared" ca="1" si="40"/>
        <v>2201621.7024565805</v>
      </c>
      <c r="AQ53" s="2">
        <f t="shared" ca="1" si="41"/>
        <v>808156.35603058978</v>
      </c>
      <c r="AR53" s="2">
        <f t="shared" ca="1" si="42"/>
        <v>886148.90045470942</v>
      </c>
      <c r="AS53" s="2">
        <f t="shared" ca="1" si="43"/>
        <v>935801.92911256815</v>
      </c>
      <c r="AT53" s="2">
        <f t="shared" ca="1" si="44"/>
        <v>987145.25877545727</v>
      </c>
      <c r="AU53" s="2">
        <f t="shared" ca="1" si="45"/>
        <v>1040236.43109924</v>
      </c>
      <c r="AV53" s="2">
        <f t="shared" ca="1" si="46"/>
        <v>2300137.3210101398</v>
      </c>
      <c r="AW53" s="2">
        <f t="shared" ca="1" si="47"/>
        <v>2505021.0951597048</v>
      </c>
      <c r="AX53" s="2">
        <f t="shared" ca="1" si="48"/>
        <v>2645759.3011093903</v>
      </c>
      <c r="AY53" s="2">
        <f t="shared" ca="1" si="49"/>
        <v>2791288.5527896844</v>
      </c>
      <c r="AZ53" s="2">
        <f t="shared" ca="1" si="50"/>
        <v>2941771.9481954584</v>
      </c>
      <c r="BA53" s="2">
        <f t="shared" ca="1" si="51"/>
        <v>58229592.326718286</v>
      </c>
      <c r="BB53" s="2">
        <f t="shared" ca="1" si="52"/>
        <v>1164591.8465343658</v>
      </c>
      <c r="BC53" s="2">
        <f t="shared" ca="1" si="53"/>
        <v>32602537.11955525</v>
      </c>
      <c r="BD53" s="2">
        <f t="shared" ca="1" si="54"/>
        <v>-17827578.213778645</v>
      </c>
      <c r="BE53" s="2">
        <f t="shared" ca="1" si="55"/>
        <v>2300137.3210101398</v>
      </c>
      <c r="BF53" s="2">
        <f t="shared" ca="1" si="56"/>
        <v>2505021.0951597048</v>
      </c>
      <c r="BG53" s="2">
        <f t="shared" ca="1" si="57"/>
        <v>2645759.3011093903</v>
      </c>
      <c r="BH53" s="2">
        <f t="shared" ca="1" si="58"/>
        <v>2791288.5527896844</v>
      </c>
      <c r="BI53" s="2">
        <f t="shared" ca="1" si="59"/>
        <v>35544309.067750707</v>
      </c>
      <c r="BJ53" s="2">
        <f t="shared" ca="1" si="60"/>
        <v>0.24588154334920875</v>
      </c>
      <c r="BK53" s="2">
        <f t="shared" ca="1" si="61"/>
        <v>10049012.384379476</v>
      </c>
    </row>
    <row r="54" spans="1:63" x14ac:dyDescent="0.3">
      <c r="A54" s="2">
        <v>53</v>
      </c>
      <c r="B54" s="2">
        <f t="shared" ca="1" si="0"/>
        <v>0.97997903950527954</v>
      </c>
      <c r="C54" s="2">
        <f t="shared" ca="1" si="1"/>
        <v>7.7998952249709141</v>
      </c>
      <c r="D54" s="2">
        <f t="shared" ca="1" si="2"/>
        <v>0.68964617389359439</v>
      </c>
      <c r="E54" s="2">
        <f t="shared" ca="1" si="3"/>
        <v>7.7121499811431038</v>
      </c>
      <c r="F54" s="2">
        <f t="shared" ca="1" si="4"/>
        <v>0.81296364382225816</v>
      </c>
      <c r="G54" s="2">
        <f t="shared" ca="1" si="5"/>
        <v>6.6666113268712676E-2</v>
      </c>
      <c r="H54" s="2">
        <f t="shared" ca="1" si="6"/>
        <v>6.6666113268712676E-2</v>
      </c>
      <c r="I54" s="2">
        <f t="shared" ca="1" si="7"/>
        <v>0.38833774801532528</v>
      </c>
      <c r="J54" s="2">
        <f t="shared" ca="1" si="8"/>
        <v>8.5817296482103584E-3</v>
      </c>
      <c r="K54" s="2">
        <f t="shared" ca="1" si="9"/>
        <v>8.5817296482103584E-3</v>
      </c>
      <c r="L54" s="2">
        <f t="shared" ca="1" si="10"/>
        <v>0.61424293960617837</v>
      </c>
      <c r="M54" s="2">
        <f t="shared" ca="1" si="11"/>
        <v>5.8078986304496392E-3</v>
      </c>
      <c r="N54" s="2">
        <f t="shared" ca="1" si="12"/>
        <v>5.8078986304496392E-3</v>
      </c>
      <c r="O54" s="2">
        <f t="shared" si="13"/>
        <v>6000000</v>
      </c>
      <c r="P54" s="2">
        <f t="shared" ca="1" si="14"/>
        <v>46799371.349825487</v>
      </c>
      <c r="Q54" s="2">
        <f t="shared" ca="1" si="15"/>
        <v>1169984.2837456372</v>
      </c>
      <c r="R54" s="2">
        <f t="shared" ca="1" si="16"/>
        <v>28079622.809895292</v>
      </c>
      <c r="S54" s="2">
        <f t="shared" ca="1" si="17"/>
        <v>18719748.539930195</v>
      </c>
      <c r="T54" s="2">
        <f t="shared" ca="1" si="18"/>
        <v>50290394.931522489</v>
      </c>
      <c r="U54" s="2">
        <f t="shared" ca="1" si="19"/>
        <v>53643060.096355662</v>
      </c>
      <c r="V54" s="2">
        <f t="shared" ca="1" si="20"/>
        <v>57219234.416819677</v>
      </c>
      <c r="W54" s="2">
        <f t="shared" ca="1" si="21"/>
        <v>61033818.379600406</v>
      </c>
      <c r="X54" s="2">
        <f t="shared" ca="1" si="22"/>
        <v>65102705.828916885</v>
      </c>
      <c r="Y54" s="2">
        <f t="shared" ca="1" si="23"/>
        <v>0.12429086482410517</v>
      </c>
      <c r="Z54" s="2">
        <f t="shared" ca="1" si="24"/>
        <v>0.12600721075374724</v>
      </c>
      <c r="AA54" s="2">
        <f t="shared" ca="1" si="25"/>
        <v>6250636.6783847259</v>
      </c>
      <c r="AB54" s="2">
        <f t="shared" ca="1" si="26"/>
        <v>6759412.3790374165</v>
      </c>
      <c r="AC54" s="2">
        <f t="shared" ca="1" si="27"/>
        <v>7210036.1303282641</v>
      </c>
      <c r="AD54" s="2">
        <f t="shared" ca="1" si="28"/>
        <v>7690701.2156642405</v>
      </c>
      <c r="AE54" s="2">
        <f t="shared" ca="1" si="29"/>
        <v>8203410.374023539</v>
      </c>
      <c r="AF54" s="2">
        <f t="shared" ca="1" si="30"/>
        <v>1005807.8986304498</v>
      </c>
      <c r="AG54" s="2">
        <f t="shared" ca="1" si="31"/>
        <v>1072861.2019271133</v>
      </c>
      <c r="AH54" s="2">
        <f t="shared" ca="1" si="32"/>
        <v>1144384.6883363936</v>
      </c>
      <c r="AI54" s="2">
        <f t="shared" ca="1" si="33"/>
        <v>1220676.3675920081</v>
      </c>
      <c r="AJ54" s="2">
        <f t="shared" ca="1" si="34"/>
        <v>1302054.1165783377</v>
      </c>
      <c r="AK54" s="2">
        <f t="shared" ca="1" si="35"/>
        <v>0</v>
      </c>
      <c r="AL54" s="2">
        <f t="shared" ca="1" si="36"/>
        <v>33526.651648331732</v>
      </c>
      <c r="AM54" s="2">
        <f t="shared" ca="1" si="37"/>
        <v>35761.743204640152</v>
      </c>
      <c r="AN54" s="2">
        <f t="shared" ca="1" si="38"/>
        <v>38145.839627807291</v>
      </c>
      <c r="AO54" s="2">
        <f t="shared" ca="1" si="39"/>
        <v>40688.874493164796</v>
      </c>
      <c r="AP54" s="2">
        <f t="shared" ca="1" si="40"/>
        <v>2527166.052890576</v>
      </c>
      <c r="AQ54" s="2">
        <f t="shared" ca="1" si="41"/>
        <v>706592.30898456217</v>
      </c>
      <c r="AR54" s="2">
        <f t="shared" ca="1" si="42"/>
        <v>821440.13229712914</v>
      </c>
      <c r="AS54" s="2">
        <f t="shared" ca="1" si="43"/>
        <v>920006.20116633654</v>
      </c>
      <c r="AT54" s="2">
        <f t="shared" ca="1" si="44"/>
        <v>1025143.2867472308</v>
      </c>
      <c r="AU54" s="2">
        <f t="shared" ca="1" si="45"/>
        <v>1137289.4531842025</v>
      </c>
      <c r="AV54" s="2">
        <f t="shared" ca="1" si="46"/>
        <v>2011070.4178791386</v>
      </c>
      <c r="AW54" s="2">
        <f t="shared" ca="1" si="47"/>
        <v>2304418.3402742664</v>
      </c>
      <c r="AX54" s="2">
        <f t="shared" ca="1" si="48"/>
        <v>2582717.4447303177</v>
      </c>
      <c r="AY54" s="2">
        <f t="shared" ca="1" si="49"/>
        <v>2879569.6688066185</v>
      </c>
      <c r="AZ54" s="2">
        <f t="shared" ca="1" si="50"/>
        <v>3196211.8768772581</v>
      </c>
      <c r="BA54" s="2">
        <f t="shared" ca="1" si="51"/>
        <v>63265931.161334775</v>
      </c>
      <c r="BB54" s="2">
        <f t="shared" ca="1" si="52"/>
        <v>1265318.6232266955</v>
      </c>
      <c r="BC54" s="2">
        <f t="shared" ca="1" si="53"/>
        <v>33920989.728212789</v>
      </c>
      <c r="BD54" s="2">
        <f t="shared" ca="1" si="54"/>
        <v>-20389732.823675834</v>
      </c>
      <c r="BE54" s="2">
        <f t="shared" ca="1" si="55"/>
        <v>2011070.4178791386</v>
      </c>
      <c r="BF54" s="2">
        <f t="shared" ca="1" si="56"/>
        <v>2304418.3402742664</v>
      </c>
      <c r="BG54" s="2">
        <f t="shared" ca="1" si="57"/>
        <v>2582717.4447303177</v>
      </c>
      <c r="BH54" s="2">
        <f t="shared" ca="1" si="58"/>
        <v>2879569.6688066185</v>
      </c>
      <c r="BI54" s="2">
        <f t="shared" ca="1" si="59"/>
        <v>37117201.605090044</v>
      </c>
      <c r="BJ54" s="2">
        <f t="shared" ca="1" si="60"/>
        <v>0.20940730053638212</v>
      </c>
      <c r="BK54" s="2">
        <f t="shared" ca="1" si="61"/>
        <v>7972576.8011437468</v>
      </c>
    </row>
    <row r="55" spans="1:63" x14ac:dyDescent="0.3">
      <c r="A55" s="2">
        <v>54</v>
      </c>
      <c r="B55" s="2">
        <f t="shared" ca="1" si="0"/>
        <v>0.59684597900732528</v>
      </c>
      <c r="C55" s="2">
        <f t="shared" ca="1" si="1"/>
        <v>7.1020534303282021</v>
      </c>
      <c r="D55" s="2">
        <f t="shared" ca="1" si="2"/>
        <v>8.0478252002699424E-2</v>
      </c>
      <c r="E55" s="2">
        <f t="shared" ca="1" si="3"/>
        <v>6.901193848414203</v>
      </c>
      <c r="F55" s="2">
        <f t="shared" ca="1" si="4"/>
        <v>3.3765571443708287E-2</v>
      </c>
      <c r="G55" s="2">
        <f t="shared" ca="1" si="5"/>
        <v>-1.4843680189166646E-2</v>
      </c>
      <c r="H55" s="2">
        <f t="shared" ca="1" si="6"/>
        <v>-1.4843680189166646E-2</v>
      </c>
      <c r="I55" s="2">
        <f t="shared" ca="1" si="7"/>
        <v>0.50367729178986831</v>
      </c>
      <c r="J55" s="2">
        <f t="shared" ca="1" si="8"/>
        <v>1.0046088670530886E-2</v>
      </c>
      <c r="K55" s="2">
        <f t="shared" ca="1" si="9"/>
        <v>1.0046088670530886E-2</v>
      </c>
      <c r="L55" s="2">
        <f t="shared" ca="1" si="10"/>
        <v>8.7990260102555062E-3</v>
      </c>
      <c r="M55" s="2">
        <f t="shared" ca="1" si="11"/>
        <v>-4.7479369879944534E-2</v>
      </c>
      <c r="N55" s="2">
        <f t="shared" ca="1" si="12"/>
        <v>-4.7479369879944534E-2</v>
      </c>
      <c r="O55" s="2">
        <f t="shared" si="13"/>
        <v>6000000</v>
      </c>
      <c r="P55" s="2">
        <f t="shared" ca="1" si="14"/>
        <v>42612320.581969216</v>
      </c>
      <c r="Q55" s="2">
        <f t="shared" ca="1" si="15"/>
        <v>1065308.0145492305</v>
      </c>
      <c r="R55" s="2">
        <f t="shared" ca="1" si="16"/>
        <v>25567392.349181529</v>
      </c>
      <c r="S55" s="2">
        <f t="shared" ca="1" si="17"/>
        <v>17044928.232787687</v>
      </c>
      <c r="T55" s="2">
        <f t="shared" ca="1" si="18"/>
        <v>47626031.506002776</v>
      </c>
      <c r="U55" s="2">
        <f t="shared" ca="1" si="19"/>
        <v>46919085.925648496</v>
      </c>
      <c r="V55" s="2">
        <f t="shared" ca="1" si="20"/>
        <v>46222634.019400142</v>
      </c>
      <c r="W55" s="2">
        <f t="shared" ca="1" si="21"/>
        <v>45536520.022515275</v>
      </c>
      <c r="X55" s="2">
        <f t="shared" ca="1" si="22"/>
        <v>44860590.482373476</v>
      </c>
      <c r="Y55" s="2">
        <f t="shared" ca="1" si="23"/>
        <v>0.12502304433526543</v>
      </c>
      <c r="Z55" s="2">
        <f t="shared" ca="1" si="24"/>
        <v>0.12703226206937163</v>
      </c>
      <c r="AA55" s="2">
        <f t="shared" ca="1" si="25"/>
        <v>5954351.4484877335</v>
      </c>
      <c r="AB55" s="2">
        <f t="shared" ca="1" si="26"/>
        <v>5960237.6193623459</v>
      </c>
      <c r="AC55" s="2">
        <f t="shared" ca="1" si="27"/>
        <v>5871765.7582890913</v>
      </c>
      <c r="AD55" s="2">
        <f t="shared" ca="1" si="28"/>
        <v>5784607.1452273484</v>
      </c>
      <c r="AE55" s="2">
        <f t="shared" ca="1" si="29"/>
        <v>5698742.286743626</v>
      </c>
      <c r="AF55" s="2">
        <f t="shared" ca="1" si="30"/>
        <v>952520.63012005552</v>
      </c>
      <c r="AG55" s="2">
        <f t="shared" ca="1" si="31"/>
        <v>938381.71851296991</v>
      </c>
      <c r="AH55" s="2">
        <f t="shared" ca="1" si="32"/>
        <v>924452.68038800289</v>
      </c>
      <c r="AI55" s="2">
        <f t="shared" ca="1" si="33"/>
        <v>910730.40045030555</v>
      </c>
      <c r="AJ55" s="2">
        <f t="shared" ca="1" si="34"/>
        <v>897211.80964746955</v>
      </c>
      <c r="AK55" s="2">
        <f t="shared" ca="1" si="35"/>
        <v>0</v>
      </c>
      <c r="AL55" s="2">
        <f t="shared" ca="1" si="36"/>
        <v>0</v>
      </c>
      <c r="AM55" s="2">
        <f t="shared" ca="1" si="37"/>
        <v>0</v>
      </c>
      <c r="AN55" s="2">
        <f t="shared" ca="1" si="38"/>
        <v>0</v>
      </c>
      <c r="AO55" s="2">
        <f t="shared" ca="1" si="39"/>
        <v>0</v>
      </c>
      <c r="AP55" s="2">
        <f t="shared" ca="1" si="40"/>
        <v>2301065.3114263373</v>
      </c>
      <c r="AQ55" s="2">
        <f t="shared" ca="1" si="41"/>
        <v>702199.03180474858</v>
      </c>
      <c r="AR55" s="2">
        <f t="shared" ca="1" si="42"/>
        <v>707405.55324998999</v>
      </c>
      <c r="AS55" s="2">
        <f t="shared" ca="1" si="43"/>
        <v>688024.41928343533</v>
      </c>
      <c r="AT55" s="2">
        <f t="shared" ca="1" si="44"/>
        <v>668930.97267118329</v>
      </c>
      <c r="AU55" s="2">
        <f t="shared" ca="1" si="45"/>
        <v>650120.94307415292</v>
      </c>
      <c r="AV55" s="2">
        <f t="shared" ca="1" si="46"/>
        <v>1998566.4751365916</v>
      </c>
      <c r="AW55" s="2">
        <f t="shared" ca="1" si="47"/>
        <v>2013385.0361730489</v>
      </c>
      <c r="AX55" s="2">
        <f t="shared" ca="1" si="48"/>
        <v>1958223.3471913156</v>
      </c>
      <c r="AY55" s="2">
        <f t="shared" ca="1" si="49"/>
        <v>1903880.4606795222</v>
      </c>
      <c r="AZ55" s="2">
        <f t="shared" ca="1" si="50"/>
        <v>1850344.2225956661</v>
      </c>
      <c r="BA55" s="2">
        <f t="shared" ca="1" si="51"/>
        <v>39328125.212972999</v>
      </c>
      <c r="BB55" s="2">
        <f t="shared" ca="1" si="52"/>
        <v>786562.50425946002</v>
      </c>
      <c r="BC55" s="2">
        <f t="shared" ca="1" si="53"/>
        <v>12974170.35953201</v>
      </c>
      <c r="BD55" s="2">
        <f t="shared" ca="1" si="54"/>
        <v>-18610236.247336917</v>
      </c>
      <c r="BE55" s="2">
        <f t="shared" ca="1" si="55"/>
        <v>1998566.4751365916</v>
      </c>
      <c r="BF55" s="2">
        <f t="shared" ca="1" si="56"/>
        <v>2013385.0361730489</v>
      </c>
      <c r="BG55" s="2">
        <f t="shared" ca="1" si="57"/>
        <v>1958223.3471913156</v>
      </c>
      <c r="BH55" s="2">
        <f t="shared" ca="1" si="58"/>
        <v>1903880.4606795222</v>
      </c>
      <c r="BI55" s="2">
        <f t="shared" ca="1" si="59"/>
        <v>14824514.582127675</v>
      </c>
      <c r="BJ55" s="2">
        <f t="shared" ca="1" si="60"/>
        <v>4.9897359044736911E-2</v>
      </c>
      <c r="BK55" s="2">
        <f t="shared" ca="1" si="61"/>
        <v>-4205140.8224337678</v>
      </c>
    </row>
    <row r="56" spans="1:63" x14ac:dyDescent="0.3">
      <c r="A56" s="2">
        <v>55</v>
      </c>
      <c r="B56" s="2">
        <f t="shared" ca="1" si="0"/>
        <v>0.45278419482210641</v>
      </c>
      <c r="C56" s="2">
        <f t="shared" ca="1" si="1"/>
        <v>6.951613571595221</v>
      </c>
      <c r="D56" s="2">
        <f t="shared" ca="1" si="2"/>
        <v>0.79786616919470743</v>
      </c>
      <c r="E56" s="2">
        <f t="shared" ca="1" si="3"/>
        <v>7.8641795366531637</v>
      </c>
      <c r="F56" s="2">
        <f t="shared" ca="1" si="4"/>
        <v>0.9002463324693929</v>
      </c>
      <c r="G56" s="2">
        <f t="shared" ca="1" si="5"/>
        <v>7.8488693412901267E-2</v>
      </c>
      <c r="H56" s="2">
        <f t="shared" ca="1" si="6"/>
        <v>7.8488693412901267E-2</v>
      </c>
      <c r="I56" s="2">
        <f t="shared" ca="1" si="7"/>
        <v>0.12629283435038985</v>
      </c>
      <c r="J56" s="2">
        <f t="shared" ca="1" si="8"/>
        <v>4.2795422142869596E-3</v>
      </c>
      <c r="K56" s="2">
        <f t="shared" ca="1" si="9"/>
        <v>4.2795422142869596E-3</v>
      </c>
      <c r="L56" s="2">
        <f t="shared" ca="1" si="10"/>
        <v>0.77242731113278951</v>
      </c>
      <c r="M56" s="2">
        <f t="shared" ca="1" si="11"/>
        <v>1.4937289302327175E-2</v>
      </c>
      <c r="N56" s="2">
        <f t="shared" ca="1" si="12"/>
        <v>1.4937289302327175E-2</v>
      </c>
      <c r="O56" s="2">
        <f t="shared" si="13"/>
        <v>6000000</v>
      </c>
      <c r="P56" s="2">
        <f t="shared" ca="1" si="14"/>
        <v>41709681.429571323</v>
      </c>
      <c r="Q56" s="2">
        <f t="shared" ca="1" si="15"/>
        <v>1042742.0357392831</v>
      </c>
      <c r="R56" s="2">
        <f t="shared" ca="1" si="16"/>
        <v>25025808.857742794</v>
      </c>
      <c r="S56" s="2">
        <f t="shared" ca="1" si="17"/>
        <v>16683872.571828529</v>
      </c>
      <c r="T56" s="2">
        <f t="shared" ca="1" si="18"/>
        <v>50746864.465116359</v>
      </c>
      <c r="U56" s="2">
        <f t="shared" ca="1" si="19"/>
        <v>54729919.551784925</v>
      </c>
      <c r="V56" s="2">
        <f t="shared" ca="1" si="20"/>
        <v>59025599.427997723</v>
      </c>
      <c r="W56" s="2">
        <f t="shared" ca="1" si="21"/>
        <v>63658441.605014555</v>
      </c>
      <c r="X56" s="2">
        <f t="shared" ca="1" si="22"/>
        <v>68654909.51129362</v>
      </c>
      <c r="Y56" s="2">
        <f t="shared" ca="1" si="23"/>
        <v>0.12213977110714347</v>
      </c>
      <c r="Z56" s="2">
        <f t="shared" ca="1" si="24"/>
        <v>0.12299567955000086</v>
      </c>
      <c r="AA56" s="2">
        <f t="shared" ca="1" si="25"/>
        <v>6198210.4101745449</v>
      </c>
      <c r="AB56" s="2">
        <f t="shared" ca="1" si="26"/>
        <v>6731543.6469886657</v>
      </c>
      <c r="AC56" s="2">
        <f t="shared" ca="1" si="27"/>
        <v>7259893.7124927221</v>
      </c>
      <c r="AD56" s="2">
        <f t="shared" ca="1" si="28"/>
        <v>7829713.284302813</v>
      </c>
      <c r="AE56" s="2">
        <f t="shared" ca="1" si="29"/>
        <v>8444257.2497853767</v>
      </c>
      <c r="AF56" s="2">
        <f t="shared" ca="1" si="30"/>
        <v>1014937.2893023272</v>
      </c>
      <c r="AG56" s="2">
        <f t="shared" ca="1" si="31"/>
        <v>1094598.3910356986</v>
      </c>
      <c r="AH56" s="2">
        <f t="shared" ca="1" si="32"/>
        <v>1180511.9885599546</v>
      </c>
      <c r="AI56" s="2">
        <f t="shared" ca="1" si="33"/>
        <v>1273168.832100291</v>
      </c>
      <c r="AJ56" s="2">
        <f t="shared" ca="1" si="34"/>
        <v>1373098.1902258724</v>
      </c>
      <c r="AK56" s="2">
        <f t="shared" ca="1" si="35"/>
        <v>0</v>
      </c>
      <c r="AL56" s="2">
        <f t="shared" ca="1" si="36"/>
        <v>39830.550866685662</v>
      </c>
      <c r="AM56" s="2">
        <f t="shared" ca="1" si="37"/>
        <v>42956.798762127983</v>
      </c>
      <c r="AN56" s="2">
        <f t="shared" ca="1" si="38"/>
        <v>46328.421770168323</v>
      </c>
      <c r="AO56" s="2">
        <f t="shared" ca="1" si="39"/>
        <v>49964.679062790645</v>
      </c>
      <c r="AP56" s="2">
        <f t="shared" ca="1" si="40"/>
        <v>2252322.7971968516</v>
      </c>
      <c r="AQ56" s="2">
        <f t="shared" ca="1" si="41"/>
        <v>762047.0841555954</v>
      </c>
      <c r="AR56" s="2">
        <f t="shared" ca="1" si="42"/>
        <v>880001.83927659015</v>
      </c>
      <c r="AS56" s="2">
        <f t="shared" ca="1" si="43"/>
        <v>995035.32095133816</v>
      </c>
      <c r="AT56" s="2">
        <f t="shared" ca="1" si="44"/>
        <v>1119097.6303014746</v>
      </c>
      <c r="AU56" s="2">
        <f t="shared" ca="1" si="45"/>
        <v>1252897.4282142899</v>
      </c>
      <c r="AV56" s="2">
        <f t="shared" ca="1" si="46"/>
        <v>2168903.2395197717</v>
      </c>
      <c r="AW56" s="2">
        <f t="shared" ca="1" si="47"/>
        <v>2464790.0686128396</v>
      </c>
      <c r="AX56" s="2">
        <f t="shared" ca="1" si="48"/>
        <v>2789066.80702245</v>
      </c>
      <c r="AY56" s="2">
        <f t="shared" ca="1" si="49"/>
        <v>3138795.6029340276</v>
      </c>
      <c r="AZ56" s="2">
        <f t="shared" ca="1" si="50"/>
        <v>3515974.1550855725</v>
      </c>
      <c r="BA56" s="2">
        <f t="shared" ca="1" si="51"/>
        <v>66407155.06599728</v>
      </c>
      <c r="BB56" s="2">
        <f t="shared" ca="1" si="52"/>
        <v>1328143.1013199457</v>
      </c>
      <c r="BC56" s="2">
        <f t="shared" ca="1" si="53"/>
        <v>40053203.10693454</v>
      </c>
      <c r="BD56" s="2">
        <f t="shared" ca="1" si="54"/>
        <v>-18226614.607567813</v>
      </c>
      <c r="BE56" s="2">
        <f t="shared" ca="1" si="55"/>
        <v>2168903.2395197717</v>
      </c>
      <c r="BF56" s="2">
        <f t="shared" ca="1" si="56"/>
        <v>2464790.0686128396</v>
      </c>
      <c r="BG56" s="2">
        <f t="shared" ca="1" si="57"/>
        <v>2789066.80702245</v>
      </c>
      <c r="BH56" s="2">
        <f t="shared" ca="1" si="58"/>
        <v>3138795.6029340276</v>
      </c>
      <c r="BI56" s="2">
        <f t="shared" ca="1" si="59"/>
        <v>43569177.262020111</v>
      </c>
      <c r="BJ56" s="2">
        <f t="shared" ca="1" si="60"/>
        <v>0.28254430656852203</v>
      </c>
      <c r="BK56" s="2">
        <f t="shared" ca="1" si="61"/>
        <v>14377106.967337247</v>
      </c>
    </row>
    <row r="57" spans="1:63" x14ac:dyDescent="0.3">
      <c r="A57" s="2">
        <v>56</v>
      </c>
      <c r="B57" s="2">
        <f t="shared" ca="1" si="0"/>
        <v>0.96154161489080547</v>
      </c>
      <c r="C57" s="2">
        <f t="shared" ca="1" si="1"/>
        <v>7.7226612716940002</v>
      </c>
      <c r="D57" s="2">
        <f t="shared" ca="1" si="2"/>
        <v>0.9324402629581906</v>
      </c>
      <c r="E57" s="2">
        <f t="shared" ca="1" si="3"/>
        <v>8.1324139909033271</v>
      </c>
      <c r="F57" s="2">
        <f t="shared" ca="1" si="4"/>
        <v>0.96949250618045757</v>
      </c>
      <c r="G57" s="2">
        <f t="shared" ca="1" si="5"/>
        <v>9.6201604830157994E-2</v>
      </c>
      <c r="H57" s="2">
        <f t="shared" ca="1" si="6"/>
        <v>9.6201604830157994E-2</v>
      </c>
      <c r="I57" s="2">
        <f t="shared" ca="1" si="7"/>
        <v>0.39698116176036857</v>
      </c>
      <c r="J57" s="2">
        <f t="shared" ca="1" si="8"/>
        <v>8.6941559104436895E-3</v>
      </c>
      <c r="K57" s="2">
        <f t="shared" ca="1" si="9"/>
        <v>8.6941559104436895E-3</v>
      </c>
      <c r="L57" s="2">
        <f t="shared" ca="1" si="10"/>
        <v>0.48183159547804955</v>
      </c>
      <c r="M57" s="2">
        <f t="shared" ca="1" si="11"/>
        <v>-9.1114380488448448E-4</v>
      </c>
      <c r="N57" s="2">
        <f t="shared" ca="1" si="12"/>
        <v>-9.1114380488448448E-4</v>
      </c>
      <c r="O57" s="2">
        <f t="shared" si="13"/>
        <v>6000000</v>
      </c>
      <c r="P57" s="2">
        <f t="shared" ca="1" si="14"/>
        <v>46335967.630163997</v>
      </c>
      <c r="Q57" s="2">
        <f t="shared" ca="1" si="15"/>
        <v>1158399.1907541</v>
      </c>
      <c r="R57" s="2">
        <f t="shared" ca="1" si="16"/>
        <v>27801580.578098398</v>
      </c>
      <c r="S57" s="2">
        <f t="shared" ca="1" si="17"/>
        <v>18534387.0520656</v>
      </c>
      <c r="T57" s="2">
        <f t="shared" ca="1" si="18"/>
        <v>49954442.80975578</v>
      </c>
      <c r="U57" s="2">
        <f t="shared" ca="1" si="19"/>
        <v>54760140.376450628</v>
      </c>
      <c r="V57" s="2">
        <f t="shared" ca="1" si="20"/>
        <v>60028153.761389911</v>
      </c>
      <c r="W57" s="2">
        <f t="shared" ca="1" si="21"/>
        <v>65802958.488227099</v>
      </c>
      <c r="X57" s="2">
        <f t="shared" ca="1" si="22"/>
        <v>72133308.697366804</v>
      </c>
      <c r="Y57" s="2">
        <f t="shared" ca="1" si="23"/>
        <v>0.12434707795522185</v>
      </c>
      <c r="Z57" s="2">
        <f t="shared" ca="1" si="24"/>
        <v>0.12608590913731058</v>
      </c>
      <c r="AA57" s="2">
        <f t="shared" ca="1" si="25"/>
        <v>6211688.9942743732</v>
      </c>
      <c r="AB57" s="2">
        <f t="shared" ca="1" si="26"/>
        <v>6904482.0838515256</v>
      </c>
      <c r="AC57" s="2">
        <f t="shared" ca="1" si="27"/>
        <v>7568704.3408391168</v>
      </c>
      <c r="AD57" s="2">
        <f t="shared" ca="1" si="28"/>
        <v>8296825.8449128214</v>
      </c>
      <c r="AE57" s="2">
        <f t="shared" ca="1" si="29"/>
        <v>9094993.8061897662</v>
      </c>
      <c r="AF57" s="2">
        <f t="shared" ca="1" si="30"/>
        <v>999088.8561951156</v>
      </c>
      <c r="AG57" s="2">
        <f t="shared" ca="1" si="31"/>
        <v>1095202.8075290127</v>
      </c>
      <c r="AH57" s="2">
        <f t="shared" ca="1" si="32"/>
        <v>1200563.0752277982</v>
      </c>
      <c r="AI57" s="2">
        <f t="shared" ca="1" si="33"/>
        <v>1316059.169764542</v>
      </c>
      <c r="AJ57" s="2">
        <f t="shared" ca="1" si="34"/>
        <v>1442666.1739473362</v>
      </c>
      <c r="AK57" s="2">
        <f t="shared" ca="1" si="35"/>
        <v>0</v>
      </c>
      <c r="AL57" s="2">
        <f t="shared" ca="1" si="36"/>
        <v>48056.975666948485</v>
      </c>
      <c r="AM57" s="2">
        <f t="shared" ca="1" si="37"/>
        <v>52680.133849392834</v>
      </c>
      <c r="AN57" s="2">
        <f t="shared" ca="1" si="38"/>
        <v>57748.047268371884</v>
      </c>
      <c r="AO57" s="2">
        <f t="shared" ca="1" si="39"/>
        <v>63303.502091397051</v>
      </c>
      <c r="AP57" s="2">
        <f t="shared" ca="1" si="40"/>
        <v>2502142.2520288555</v>
      </c>
      <c r="AQ57" s="2">
        <f t="shared" ca="1" si="41"/>
        <v>704719.05037310463</v>
      </c>
      <c r="AR57" s="2">
        <f t="shared" ca="1" si="42"/>
        <v>859855.626316351</v>
      </c>
      <c r="AS57" s="2">
        <f t="shared" ca="1" si="43"/>
        <v>1005159.7435314405</v>
      </c>
      <c r="AT57" s="2">
        <f t="shared" ca="1" si="44"/>
        <v>1164442.3500110502</v>
      </c>
      <c r="AU57" s="2">
        <f t="shared" ca="1" si="45"/>
        <v>1339048.1988555293</v>
      </c>
      <c r="AV57" s="2">
        <f t="shared" ca="1" si="46"/>
        <v>2005738.8356772978</v>
      </c>
      <c r="AW57" s="2">
        <f t="shared" ca="1" si="47"/>
        <v>2399224.4223103579</v>
      </c>
      <c r="AX57" s="2">
        <f t="shared" ca="1" si="48"/>
        <v>2808159.1362016303</v>
      </c>
      <c r="AY57" s="2">
        <f t="shared" ca="1" si="49"/>
        <v>3256434.0258400021</v>
      </c>
      <c r="AZ57" s="2">
        <f t="shared" ca="1" si="50"/>
        <v>3747833.6792666484</v>
      </c>
      <c r="BA57" s="2">
        <f t="shared" ca="1" si="51"/>
        <v>73964254.876636758</v>
      </c>
      <c r="BB57" s="2">
        <f t="shared" ca="1" si="52"/>
        <v>1479285.0975327352</v>
      </c>
      <c r="BC57" s="2">
        <f t="shared" ca="1" si="53"/>
        <v>44683389.201005623</v>
      </c>
      <c r="BD57" s="2">
        <f t="shared" ca="1" si="54"/>
        <v>-20192786.2428197</v>
      </c>
      <c r="BE57" s="2">
        <f t="shared" ca="1" si="55"/>
        <v>2005738.8356772978</v>
      </c>
      <c r="BF57" s="2">
        <f t="shared" ca="1" si="56"/>
        <v>2399224.4223103579</v>
      </c>
      <c r="BG57" s="2">
        <f t="shared" ca="1" si="57"/>
        <v>2808159.1362016303</v>
      </c>
      <c r="BH57" s="2">
        <f t="shared" ca="1" si="58"/>
        <v>3256434.0258400021</v>
      </c>
      <c r="BI57" s="2">
        <f t="shared" ca="1" si="59"/>
        <v>48431222.880272269</v>
      </c>
      <c r="BJ57" s="2">
        <f t="shared" ca="1" si="60"/>
        <v>0.27228726300803596</v>
      </c>
      <c r="BK57" s="2">
        <f t="shared" ca="1" si="61"/>
        <v>15060190.441636052</v>
      </c>
    </row>
    <row r="58" spans="1:63" x14ac:dyDescent="0.3">
      <c r="A58" s="2">
        <v>57</v>
      </c>
      <c r="B58" s="2">
        <f t="shared" ca="1" si="0"/>
        <v>0.1130293442662722</v>
      </c>
      <c r="C58" s="2">
        <f t="shared" ca="1" si="1"/>
        <v>6.4754562950814138</v>
      </c>
      <c r="D58" s="2">
        <f t="shared" ca="1" si="2"/>
        <v>0.90062023848885597</v>
      </c>
      <c r="E58" s="2">
        <f t="shared" ca="1" si="3"/>
        <v>8.0541754571333151</v>
      </c>
      <c r="F58" s="2">
        <f t="shared" ca="1" si="4"/>
        <v>0.85972714702588737</v>
      </c>
      <c r="G58" s="2">
        <f t="shared" ca="1" si="5"/>
        <v>7.2372828060334946E-2</v>
      </c>
      <c r="H58" s="2">
        <f t="shared" ca="1" si="6"/>
        <v>7.2372828060334946E-2</v>
      </c>
      <c r="I58" s="2">
        <f t="shared" ca="1" si="7"/>
        <v>0.53806656239442441</v>
      </c>
      <c r="J58" s="2">
        <f t="shared" ca="1" si="8"/>
        <v>1.0477819892505329E-2</v>
      </c>
      <c r="K58" s="2">
        <f t="shared" ca="1" si="9"/>
        <v>1.0477819892505329E-2</v>
      </c>
      <c r="L58" s="2">
        <f t="shared" ca="1" si="10"/>
        <v>0.9516057581134999</v>
      </c>
      <c r="M58" s="2">
        <f t="shared" ca="1" si="11"/>
        <v>3.3212529956584608E-2</v>
      </c>
      <c r="N58" s="2">
        <f t="shared" ca="1" si="12"/>
        <v>3.3212529956584608E-2</v>
      </c>
      <c r="O58" s="2">
        <f t="shared" si="13"/>
        <v>6000000</v>
      </c>
      <c r="P58" s="2">
        <f t="shared" ca="1" si="14"/>
        <v>38852737.770488486</v>
      </c>
      <c r="Q58" s="2">
        <f t="shared" ca="1" si="15"/>
        <v>971318.44426221214</v>
      </c>
      <c r="R58" s="2">
        <f t="shared" ca="1" si="16"/>
        <v>23311642.662293091</v>
      </c>
      <c r="S58" s="2">
        <f t="shared" ca="1" si="17"/>
        <v>15541095.108195394</v>
      </c>
      <c r="T58" s="2">
        <f t="shared" ca="1" si="18"/>
        <v>51660626.497829229</v>
      </c>
      <c r="U58" s="2">
        <f t="shared" ca="1" si="19"/>
        <v>55399452.136845805</v>
      </c>
      <c r="V58" s="2">
        <f t="shared" ca="1" si="20"/>
        <v>59408867.160982497</v>
      </c>
      <c r="W58" s="2">
        <f t="shared" ca="1" si="21"/>
        <v>63708454.88928356</v>
      </c>
      <c r="X58" s="2">
        <f t="shared" ca="1" si="22"/>
        <v>68319215.940975279</v>
      </c>
      <c r="Y58" s="2">
        <f t="shared" ca="1" si="23"/>
        <v>0.12523890994625267</v>
      </c>
      <c r="Z58" s="2">
        <f t="shared" ca="1" si="24"/>
        <v>0.12733447392475372</v>
      </c>
      <c r="AA58" s="2">
        <f t="shared" ca="1" si="25"/>
        <v>6469920.5497286292</v>
      </c>
      <c r="AB58" s="2">
        <f t="shared" ca="1" si="26"/>
        <v>7054260.0935648335</v>
      </c>
      <c r="AC58" s="2">
        <f t="shared" ca="1" si="27"/>
        <v>7564796.8464092836</v>
      </c>
      <c r="AD58" s="2">
        <f t="shared" ca="1" si="28"/>
        <v>8112282.5878858259</v>
      </c>
      <c r="AE58" s="2">
        <f t="shared" ca="1" si="29"/>
        <v>8699391.420795735</v>
      </c>
      <c r="AF58" s="2">
        <f t="shared" ca="1" si="30"/>
        <v>1033212.5299565846</v>
      </c>
      <c r="AG58" s="2">
        <f t="shared" ca="1" si="31"/>
        <v>1107989.0427369161</v>
      </c>
      <c r="AH58" s="2">
        <f t="shared" ca="1" si="32"/>
        <v>1188177.34321965</v>
      </c>
      <c r="AI58" s="2">
        <f t="shared" ca="1" si="33"/>
        <v>1274169.0977856712</v>
      </c>
      <c r="AJ58" s="2">
        <f t="shared" ca="1" si="34"/>
        <v>1366384.3188195056</v>
      </c>
      <c r="AK58" s="2">
        <f t="shared" ca="1" si="35"/>
        <v>0</v>
      </c>
      <c r="AL58" s="2">
        <f t="shared" ca="1" si="36"/>
        <v>37388.256390165763</v>
      </c>
      <c r="AM58" s="2">
        <f t="shared" ca="1" si="37"/>
        <v>40094.150241366922</v>
      </c>
      <c r="AN58" s="2">
        <f t="shared" ca="1" si="38"/>
        <v>42995.877283010632</v>
      </c>
      <c r="AO58" s="2">
        <f t="shared" ca="1" si="39"/>
        <v>46107.610516917186</v>
      </c>
      <c r="AP58" s="2">
        <f t="shared" ca="1" si="40"/>
        <v>2098047.8396063782</v>
      </c>
      <c r="AQ58" s="2">
        <f t="shared" ca="1" si="41"/>
        <v>868051.64684307319</v>
      </c>
      <c r="AR58" s="2">
        <f t="shared" ca="1" si="42"/>
        <v>1000538.0349176003</v>
      </c>
      <c r="AS58" s="2">
        <f t="shared" ca="1" si="43"/>
        <v>1112428.6325316464</v>
      </c>
      <c r="AT58" s="2">
        <f t="shared" ca="1" si="44"/>
        <v>1232417.069128382</v>
      </c>
      <c r="AU58" s="2">
        <f t="shared" ca="1" si="45"/>
        <v>1361089.4082161612</v>
      </c>
      <c r="AV58" s="2">
        <f t="shared" ca="1" si="46"/>
        <v>2470608.5333225932</v>
      </c>
      <c r="AW58" s="2">
        <f t="shared" ca="1" si="47"/>
        <v>2810296.9199137734</v>
      </c>
      <c r="AX58" s="2">
        <f t="shared" ca="1" si="48"/>
        <v>3126048.8808102421</v>
      </c>
      <c r="AY58" s="2">
        <f t="shared" ca="1" si="49"/>
        <v>3464652.7040823838</v>
      </c>
      <c r="AZ58" s="2">
        <f t="shared" ca="1" si="50"/>
        <v>3827762.243636772</v>
      </c>
      <c r="BA58" s="2">
        <f t="shared" ca="1" si="51"/>
        <v>70066424.873369128</v>
      </c>
      <c r="BB58" s="2">
        <f t="shared" ca="1" si="52"/>
        <v>1401328.4974673826</v>
      </c>
      <c r="BC58" s="2">
        <f t="shared" ca="1" si="53"/>
        <v>45353453.713608652</v>
      </c>
      <c r="BD58" s="2">
        <f t="shared" ca="1" si="54"/>
        <v>-17012413.552457608</v>
      </c>
      <c r="BE58" s="2">
        <f t="shared" ca="1" si="55"/>
        <v>2470608.5333225932</v>
      </c>
      <c r="BF58" s="2">
        <f t="shared" ca="1" si="56"/>
        <v>2810296.9199137734</v>
      </c>
      <c r="BG58" s="2">
        <f t="shared" ca="1" si="57"/>
        <v>3126048.8808102421</v>
      </c>
      <c r="BH58" s="2">
        <f t="shared" ca="1" si="58"/>
        <v>3464652.7040823838</v>
      </c>
      <c r="BI58" s="2">
        <f t="shared" ca="1" si="59"/>
        <v>49181215.957245424</v>
      </c>
      <c r="BJ58" s="2">
        <f t="shared" ca="1" si="60"/>
        <v>0.34295696524293251</v>
      </c>
      <c r="BK58" s="2">
        <f t="shared" ca="1" si="61"/>
        <v>19767490.42931468</v>
      </c>
    </row>
    <row r="59" spans="1:63" x14ac:dyDescent="0.3">
      <c r="A59" s="2">
        <v>58</v>
      </c>
      <c r="B59" s="2">
        <f t="shared" ca="1" si="0"/>
        <v>0.76907556247176567</v>
      </c>
      <c r="C59" s="2">
        <f t="shared" ca="1" si="1"/>
        <v>7.3204053597500431</v>
      </c>
      <c r="D59" s="2">
        <f t="shared" ca="1" si="2"/>
        <v>0.7849091071319404</v>
      </c>
      <c r="E59" s="2">
        <f t="shared" ca="1" si="3"/>
        <v>7.8441175518920181</v>
      </c>
      <c r="F59" s="2">
        <f t="shared" ca="1" si="4"/>
        <v>0.63363051844439955</v>
      </c>
      <c r="G59" s="2">
        <f t="shared" ca="1" si="5"/>
        <v>5.0244531352096305E-2</v>
      </c>
      <c r="H59" s="2">
        <f t="shared" ca="1" si="6"/>
        <v>5.0244531352096305E-2</v>
      </c>
      <c r="I59" s="2">
        <f t="shared" ca="1" si="7"/>
        <v>0.50575754784854288</v>
      </c>
      <c r="J59" s="2">
        <f t="shared" ca="1" si="8"/>
        <v>1.0072162666293592E-2</v>
      </c>
      <c r="K59" s="2">
        <f t="shared" ca="1" si="9"/>
        <v>1.0072162666293592E-2</v>
      </c>
      <c r="L59" s="2">
        <f t="shared" ca="1" si="10"/>
        <v>0.36906181442550057</v>
      </c>
      <c r="M59" s="2">
        <f t="shared" ca="1" si="11"/>
        <v>-6.6867835886731883E-3</v>
      </c>
      <c r="N59" s="2">
        <f t="shared" ca="1" si="12"/>
        <v>-6.6867835886731883E-3</v>
      </c>
      <c r="O59" s="2">
        <f t="shared" si="13"/>
        <v>6000000</v>
      </c>
      <c r="P59" s="2">
        <f t="shared" ca="1" si="14"/>
        <v>43922432.158500262</v>
      </c>
      <c r="Q59" s="2">
        <f t="shared" ca="1" si="15"/>
        <v>1098060.8039625066</v>
      </c>
      <c r="R59" s="2">
        <f t="shared" ca="1" si="16"/>
        <v>26353459.295100156</v>
      </c>
      <c r="S59" s="2">
        <f t="shared" ca="1" si="17"/>
        <v>17568972.863400105</v>
      </c>
      <c r="T59" s="2">
        <f t="shared" ca="1" si="18"/>
        <v>49665660.820566341</v>
      </c>
      <c r="U59" s="2">
        <f t="shared" ca="1" si="19"/>
        <v>52161088.672787867</v>
      </c>
      <c r="V59" s="2">
        <f t="shared" ca="1" si="20"/>
        <v>54781898.127967231</v>
      </c>
      <c r="W59" s="2">
        <f t="shared" ca="1" si="21"/>
        <v>57534388.925985225</v>
      </c>
      <c r="X59" s="2">
        <f t="shared" ca="1" si="22"/>
        <v>60425177.334200591</v>
      </c>
      <c r="Y59" s="2">
        <f t="shared" ca="1" si="23"/>
        <v>0.12503608133314678</v>
      </c>
      <c r="Z59" s="2">
        <f t="shared" ca="1" si="24"/>
        <v>0.12705051386640551</v>
      </c>
      <c r="AA59" s="2">
        <f t="shared" ca="1" si="25"/>
        <v>6209999.6058248142</v>
      </c>
      <c r="AB59" s="2">
        <f t="shared" ca="1" si="26"/>
        <v>6627093.1197088426</v>
      </c>
      <c r="AC59" s="2">
        <f t="shared" ca="1" si="27"/>
        <v>6960068.3077353146</v>
      </c>
      <c r="AD59" s="2">
        <f t="shared" ca="1" si="28"/>
        <v>7309773.6780360527</v>
      </c>
      <c r="AE59" s="2">
        <f t="shared" ca="1" si="29"/>
        <v>7677049.8307788642</v>
      </c>
      <c r="AF59" s="2">
        <f t="shared" ca="1" si="30"/>
        <v>993313.2164113269</v>
      </c>
      <c r="AG59" s="2">
        <f t="shared" ca="1" si="31"/>
        <v>1043221.7734557574</v>
      </c>
      <c r="AH59" s="2">
        <f t="shared" ca="1" si="32"/>
        <v>1095637.9625593447</v>
      </c>
      <c r="AI59" s="2">
        <f t="shared" ca="1" si="33"/>
        <v>1150687.7785197045</v>
      </c>
      <c r="AJ59" s="2">
        <f t="shared" ca="1" si="34"/>
        <v>1208503.5466840118</v>
      </c>
      <c r="AK59" s="2">
        <f t="shared" ca="1" si="35"/>
        <v>0</v>
      </c>
      <c r="AL59" s="2">
        <f t="shared" ca="1" si="36"/>
        <v>24954.278522215263</v>
      </c>
      <c r="AM59" s="2">
        <f t="shared" ca="1" si="37"/>
        <v>26208.094551793634</v>
      </c>
      <c r="AN59" s="2">
        <f t="shared" ca="1" si="38"/>
        <v>27524.907980179938</v>
      </c>
      <c r="AO59" s="2">
        <f t="shared" ca="1" si="39"/>
        <v>28907.884082153665</v>
      </c>
      <c r="AP59" s="2">
        <f t="shared" ca="1" si="40"/>
        <v>2371811.3365590139</v>
      </c>
      <c r="AQ59" s="2">
        <f t="shared" ca="1" si="41"/>
        <v>739667.51374216308</v>
      </c>
      <c r="AR59" s="2">
        <f t="shared" ca="1" si="42"/>
        <v>835135.60252045852</v>
      </c>
      <c r="AS59" s="2">
        <f t="shared" ca="1" si="43"/>
        <v>908080.94224040874</v>
      </c>
      <c r="AT59" s="2">
        <f t="shared" ca="1" si="44"/>
        <v>984691.38636890682</v>
      </c>
      <c r="AU59" s="2">
        <f t="shared" ca="1" si="45"/>
        <v>1065151.0863593181</v>
      </c>
      <c r="AV59" s="2">
        <f t="shared" ca="1" si="46"/>
        <v>2105207.5391123104</v>
      </c>
      <c r="AW59" s="2">
        <f t="shared" ca="1" si="47"/>
        <v>2351970.1286513978</v>
      </c>
      <c r="AX59" s="2">
        <f t="shared" ca="1" si="48"/>
        <v>2558329.9718247545</v>
      </c>
      <c r="AY59" s="2">
        <f t="shared" ca="1" si="49"/>
        <v>2775058.2686082465</v>
      </c>
      <c r="AZ59" s="2">
        <f t="shared" ca="1" si="50"/>
        <v>3002675.9770943667</v>
      </c>
      <c r="BA59" s="2">
        <f t="shared" ca="1" si="51"/>
        <v>60219681.324362136</v>
      </c>
      <c r="BB59" s="2">
        <f t="shared" ca="1" si="52"/>
        <v>1204393.6264872428</v>
      </c>
      <c r="BC59" s="2">
        <f t="shared" ca="1" si="53"/>
        <v>32661828.402774733</v>
      </c>
      <c r="BD59" s="2">
        <f t="shared" ca="1" si="54"/>
        <v>-19167033.667362612</v>
      </c>
      <c r="BE59" s="2">
        <f t="shared" ca="1" si="55"/>
        <v>2105207.5391123104</v>
      </c>
      <c r="BF59" s="2">
        <f t="shared" ca="1" si="56"/>
        <v>2351970.1286513978</v>
      </c>
      <c r="BG59" s="2">
        <f t="shared" ca="1" si="57"/>
        <v>2558329.9718247545</v>
      </c>
      <c r="BH59" s="2">
        <f t="shared" ca="1" si="58"/>
        <v>2775058.2686082465</v>
      </c>
      <c r="BI59" s="2">
        <f t="shared" ca="1" si="59"/>
        <v>35664504.379869096</v>
      </c>
      <c r="BJ59" s="2">
        <f t="shared" ca="1" si="60"/>
        <v>0.2199411459774363</v>
      </c>
      <c r="BK59" s="2">
        <f t="shared" ca="1" si="61"/>
        <v>8409158.1285668798</v>
      </c>
    </row>
    <row r="60" spans="1:63" x14ac:dyDescent="0.3">
      <c r="A60" s="2">
        <v>59</v>
      </c>
      <c r="B60" s="2">
        <f t="shared" ca="1" si="0"/>
        <v>0.65987528503939641</v>
      </c>
      <c r="C60" s="2">
        <f t="shared" ca="1" si="1"/>
        <v>7.1752276496382734</v>
      </c>
      <c r="D60" s="2">
        <f t="shared" ca="1" si="2"/>
        <v>0.27691306575825514</v>
      </c>
      <c r="E60" s="2">
        <f t="shared" ca="1" si="3"/>
        <v>7.2441949553151446</v>
      </c>
      <c r="F60" s="2">
        <f t="shared" ca="1" si="4"/>
        <v>0.10005457599934964</v>
      </c>
      <c r="G60" s="2">
        <f t="shared" ca="1" si="5"/>
        <v>1.562780494613128E-3</v>
      </c>
      <c r="H60" s="2">
        <f t="shared" ca="1" si="6"/>
        <v>1.562780494613128E-3</v>
      </c>
      <c r="I60" s="2">
        <f t="shared" ca="1" si="7"/>
        <v>8.4546197512110566E-2</v>
      </c>
      <c r="J60" s="2">
        <f t="shared" ca="1" si="8"/>
        <v>3.1243701617684047E-3</v>
      </c>
      <c r="K60" s="2">
        <f t="shared" ca="1" si="9"/>
        <v>3.1243701617684047E-3</v>
      </c>
      <c r="L60" s="2">
        <f t="shared" ca="1" si="10"/>
        <v>0.29543413890860515</v>
      </c>
      <c r="M60" s="2">
        <f t="shared" ca="1" si="11"/>
        <v>-1.0751564174430149E-2</v>
      </c>
      <c r="N60" s="2">
        <f t="shared" ca="1" si="12"/>
        <v>-1.0751564174430149E-2</v>
      </c>
      <c r="O60" s="2">
        <f t="shared" si="13"/>
        <v>6000000</v>
      </c>
      <c r="P60" s="2">
        <f t="shared" ca="1" si="14"/>
        <v>43051365.897829637</v>
      </c>
      <c r="Q60" s="2">
        <f t="shared" ca="1" si="15"/>
        <v>1076284.1474457409</v>
      </c>
      <c r="R60" s="2">
        <f t="shared" ca="1" si="16"/>
        <v>25830819.538697783</v>
      </c>
      <c r="S60" s="2">
        <f t="shared" ca="1" si="17"/>
        <v>17220546.359131854</v>
      </c>
      <c r="T60" s="2">
        <f t="shared" ca="1" si="18"/>
        <v>49462421.791278496</v>
      </c>
      <c r="U60" s="2">
        <f t="shared" ca="1" si="19"/>
        <v>49539720.699270241</v>
      </c>
      <c r="V60" s="2">
        <f t="shared" ca="1" si="20"/>
        <v>49617140.408487648</v>
      </c>
      <c r="W60" s="2">
        <f t="shared" ca="1" si="21"/>
        <v>49694681.107716516</v>
      </c>
      <c r="X60" s="2">
        <f t="shared" ca="1" si="22"/>
        <v>49772342.986037679</v>
      </c>
      <c r="Y60" s="2">
        <f t="shared" ca="1" si="23"/>
        <v>0.12156218508088419</v>
      </c>
      <c r="Z60" s="2">
        <f t="shared" ca="1" si="24"/>
        <v>0.12218705911323788</v>
      </c>
      <c r="AA60" s="2">
        <f t="shared" ca="1" si="25"/>
        <v>6012760.072340156</v>
      </c>
      <c r="AB60" s="2">
        <f t="shared" ca="1" si="26"/>
        <v>6053112.7815350266</v>
      </c>
      <c r="AC60" s="2">
        <f t="shared" ca="1" si="27"/>
        <v>6062572.4681217037</v>
      </c>
      <c r="AD60" s="2">
        <f t="shared" ca="1" si="28"/>
        <v>6072046.9381220639</v>
      </c>
      <c r="AE60" s="2">
        <f t="shared" ca="1" si="29"/>
        <v>6081536.2146393368</v>
      </c>
      <c r="AF60" s="2">
        <f t="shared" ca="1" si="30"/>
        <v>989248.4358255699</v>
      </c>
      <c r="AG60" s="2">
        <f t="shared" ca="1" si="31"/>
        <v>990794.41398540488</v>
      </c>
      <c r="AH60" s="2">
        <f t="shared" ca="1" si="32"/>
        <v>992342.80816975294</v>
      </c>
      <c r="AI60" s="2">
        <f t="shared" ca="1" si="33"/>
        <v>993893.62215433037</v>
      </c>
      <c r="AJ60" s="2">
        <f t="shared" ca="1" si="34"/>
        <v>995446.85972075362</v>
      </c>
      <c r="AK60" s="2">
        <f t="shared" ca="1" si="35"/>
        <v>0</v>
      </c>
      <c r="AL60" s="2">
        <f t="shared" ca="1" si="36"/>
        <v>772.98907991744579</v>
      </c>
      <c r="AM60" s="2">
        <f t="shared" ca="1" si="37"/>
        <v>774.19709217406808</v>
      </c>
      <c r="AN60" s="2">
        <f t="shared" ca="1" si="38"/>
        <v>775.40699228867891</v>
      </c>
      <c r="AO60" s="2">
        <f t="shared" ca="1" si="39"/>
        <v>776.61878321163363</v>
      </c>
      <c r="AP60" s="2">
        <f t="shared" ca="1" si="40"/>
        <v>2324773.7584828003</v>
      </c>
      <c r="AQ60" s="2">
        <f t="shared" ca="1" si="41"/>
        <v>701671.84828826436</v>
      </c>
      <c r="AR60" s="2">
        <f t="shared" ca="1" si="42"/>
        <v>711761.5983573735</v>
      </c>
      <c r="AS60" s="2">
        <f t="shared" ca="1" si="43"/>
        <v>713818.53438197903</v>
      </c>
      <c r="AT60" s="2">
        <f t="shared" ca="1" si="44"/>
        <v>715878.68494608253</v>
      </c>
      <c r="AU60" s="2">
        <f t="shared" ca="1" si="45"/>
        <v>717942.05507330364</v>
      </c>
      <c r="AV60" s="2">
        <f t="shared" ca="1" si="46"/>
        <v>1997066.0297435219</v>
      </c>
      <c r="AW60" s="2">
        <f t="shared" ca="1" si="47"/>
        <v>2025010.0216295295</v>
      </c>
      <c r="AX60" s="2">
        <f t="shared" ca="1" si="48"/>
        <v>2030863.1699949973</v>
      </c>
      <c r="AY60" s="2">
        <f t="shared" ca="1" si="49"/>
        <v>2036725.4655465619</v>
      </c>
      <c r="AZ60" s="2">
        <f t="shared" ca="1" si="50"/>
        <v>2042596.9225792685</v>
      </c>
      <c r="BA60" s="2">
        <f t="shared" ca="1" si="51"/>
        <v>44055833.966656648</v>
      </c>
      <c r="BB60" s="2">
        <f t="shared" ca="1" si="52"/>
        <v>881116.67933313292</v>
      </c>
      <c r="BC60" s="2">
        <f t="shared" ca="1" si="53"/>
        <v>17343897.748625733</v>
      </c>
      <c r="BD60" s="2">
        <f t="shared" ca="1" si="54"/>
        <v>-18796830.506577596</v>
      </c>
      <c r="BE60" s="2">
        <f t="shared" ca="1" si="55"/>
        <v>1997066.0297435219</v>
      </c>
      <c r="BF60" s="2">
        <f t="shared" ca="1" si="56"/>
        <v>2025010.0216295295</v>
      </c>
      <c r="BG60" s="2">
        <f t="shared" ca="1" si="57"/>
        <v>2030863.1699949973</v>
      </c>
      <c r="BH60" s="2">
        <f t="shared" ca="1" si="58"/>
        <v>2036725.4655465619</v>
      </c>
      <c r="BI60" s="2">
        <f t="shared" ca="1" si="59"/>
        <v>19386494.671205003</v>
      </c>
      <c r="BJ60" s="2">
        <f t="shared" ca="1" si="60"/>
        <v>9.49176402298475E-2</v>
      </c>
      <c r="BK60" s="2">
        <f t="shared" ca="1" si="61"/>
        <v>-1659088.3867374808</v>
      </c>
    </row>
    <row r="61" spans="1:63" x14ac:dyDescent="0.3">
      <c r="A61" s="2">
        <v>60</v>
      </c>
      <c r="B61" s="2">
        <f t="shared" ca="1" si="0"/>
        <v>0.13183094459466638</v>
      </c>
      <c r="C61" s="2">
        <f t="shared" ca="1" si="1"/>
        <v>6.5134801740956831</v>
      </c>
      <c r="D61" s="2">
        <f t="shared" ca="1" si="2"/>
        <v>0.94140572362419006</v>
      </c>
      <c r="E61" s="2">
        <f t="shared" ca="1" si="3"/>
        <v>8.1576718639205659</v>
      </c>
      <c r="F61" s="2">
        <f t="shared" ca="1" si="4"/>
        <v>0.38312387908305823</v>
      </c>
      <c r="G61" s="2">
        <f t="shared" ca="1" si="5"/>
        <v>3.1081403849564065E-2</v>
      </c>
      <c r="H61" s="2">
        <f t="shared" ca="1" si="6"/>
        <v>3.1081403849564065E-2</v>
      </c>
      <c r="I61" s="2">
        <f t="shared" ca="1" si="7"/>
        <v>0.61386028876845355</v>
      </c>
      <c r="J61" s="2">
        <f t="shared" ca="1" si="8"/>
        <v>1.1446973028830267E-2</v>
      </c>
      <c r="K61" s="2">
        <f t="shared" ca="1" si="9"/>
        <v>1.1446973028830267E-2</v>
      </c>
      <c r="L61" s="2">
        <f t="shared" ca="1" si="10"/>
        <v>6.5731958001203794E-2</v>
      </c>
      <c r="M61" s="2">
        <f t="shared" ca="1" si="11"/>
        <v>-3.0167082614679454E-2</v>
      </c>
      <c r="N61" s="2">
        <f t="shared" ca="1" si="12"/>
        <v>-3.0167082614679454E-2</v>
      </c>
      <c r="O61" s="2">
        <f t="shared" si="13"/>
        <v>6000000</v>
      </c>
      <c r="P61" s="2">
        <f t="shared" ca="1" si="14"/>
        <v>39080881.044574097</v>
      </c>
      <c r="Q61" s="2">
        <f t="shared" ca="1" si="15"/>
        <v>977022.02611435251</v>
      </c>
      <c r="R61" s="2">
        <f t="shared" ca="1" si="16"/>
        <v>23448528.626744457</v>
      </c>
      <c r="S61" s="2">
        <f t="shared" ca="1" si="17"/>
        <v>15632352.41782964</v>
      </c>
      <c r="T61" s="2">
        <f t="shared" ca="1" si="18"/>
        <v>48491645.869266026</v>
      </c>
      <c r="U61" s="2">
        <f t="shared" ca="1" si="19"/>
        <v>49998834.29785873</v>
      </c>
      <c r="V61" s="2">
        <f t="shared" ca="1" si="20"/>
        <v>51552868.258677915</v>
      </c>
      <c r="W61" s="2">
        <f t="shared" ca="1" si="21"/>
        <v>53155203.776629262</v>
      </c>
      <c r="X61" s="2">
        <f t="shared" ca="1" si="22"/>
        <v>54807342.131916553</v>
      </c>
      <c r="Y61" s="2">
        <f t="shared" ca="1" si="23"/>
        <v>0.12572348651441512</v>
      </c>
      <c r="Z61" s="2">
        <f t="shared" ca="1" si="24"/>
        <v>0.12801288112018119</v>
      </c>
      <c r="AA61" s="2">
        <f t="shared" ca="1" si="25"/>
        <v>6096538.7855064608</v>
      </c>
      <c r="AB61" s="2">
        <f t="shared" ca="1" si="26"/>
        <v>6400494.8311194275</v>
      </c>
      <c r="AC61" s="2">
        <f t="shared" ca="1" si="27"/>
        <v>6599431.1958024986</v>
      </c>
      <c r="AD61" s="2">
        <f t="shared" ca="1" si="28"/>
        <v>6804550.7819766477</v>
      </c>
      <c r="AE61" s="2">
        <f t="shared" ca="1" si="29"/>
        <v>7016045.7728461316</v>
      </c>
      <c r="AF61" s="2">
        <f t="shared" ca="1" si="30"/>
        <v>969832.91738532053</v>
      </c>
      <c r="AG61" s="2">
        <f t="shared" ca="1" si="31"/>
        <v>999976.68595717463</v>
      </c>
      <c r="AH61" s="2">
        <f t="shared" ca="1" si="32"/>
        <v>1031057.3651735584</v>
      </c>
      <c r="AI61" s="2">
        <f t="shared" ca="1" si="33"/>
        <v>1063104.0755325851</v>
      </c>
      <c r="AJ61" s="2">
        <f t="shared" ca="1" si="34"/>
        <v>1096146.842638331</v>
      </c>
      <c r="AK61" s="2">
        <f t="shared" ca="1" si="35"/>
        <v>0</v>
      </c>
      <c r="AL61" s="2">
        <f t="shared" ca="1" si="36"/>
        <v>15071.884285927043</v>
      </c>
      <c r="AM61" s="2">
        <f t="shared" ca="1" si="37"/>
        <v>15540.339608191847</v>
      </c>
      <c r="AN61" s="2">
        <f t="shared" ca="1" si="38"/>
        <v>16023.35517951347</v>
      </c>
      <c r="AO61" s="2">
        <f t="shared" ca="1" si="39"/>
        <v>16521.383552872911</v>
      </c>
      <c r="AP61" s="2">
        <f t="shared" ca="1" si="40"/>
        <v>2110367.5764070009</v>
      </c>
      <c r="AQ61" s="2">
        <f t="shared" ca="1" si="41"/>
        <v>784247.95584567636</v>
      </c>
      <c r="AR61" s="2">
        <f t="shared" ca="1" si="42"/>
        <v>855439.14787636546</v>
      </c>
      <c r="AS61" s="2">
        <f t="shared" ca="1" si="43"/>
        <v>899081.62609770417</v>
      </c>
      <c r="AT61" s="2">
        <f t="shared" ca="1" si="44"/>
        <v>944080.57380963594</v>
      </c>
      <c r="AU61" s="2">
        <f t="shared" ca="1" si="45"/>
        <v>990478.15198820783</v>
      </c>
      <c r="AV61" s="2">
        <f t="shared" ca="1" si="46"/>
        <v>2232090.3358684634</v>
      </c>
      <c r="AW61" s="2">
        <f t="shared" ca="1" si="47"/>
        <v>2419639.5365929599</v>
      </c>
      <c r="AX61" s="2">
        <f t="shared" ca="1" si="48"/>
        <v>2543384.2885160432</v>
      </c>
      <c r="AY61" s="2">
        <f t="shared" ca="1" si="49"/>
        <v>2670975.2010479118</v>
      </c>
      <c r="AZ61" s="2">
        <f t="shared" ca="1" si="50"/>
        <v>2802531.8182597193</v>
      </c>
      <c r="BA61" s="2">
        <f t="shared" ca="1" si="51"/>
        <v>57234599.197125711</v>
      </c>
      <c r="BB61" s="2">
        <f t="shared" ca="1" si="52"/>
        <v>1144691.9839425143</v>
      </c>
      <c r="BC61" s="2">
        <f t="shared" ca="1" si="53"/>
        <v>32641378.586438738</v>
      </c>
      <c r="BD61" s="2">
        <f t="shared" ca="1" si="54"/>
        <v>-17109374.443943992</v>
      </c>
      <c r="BE61" s="2">
        <f t="shared" ca="1" si="55"/>
        <v>2232090.3358684634</v>
      </c>
      <c r="BF61" s="2">
        <f t="shared" ca="1" si="56"/>
        <v>2419639.5365929599</v>
      </c>
      <c r="BG61" s="2">
        <f t="shared" ca="1" si="57"/>
        <v>2543384.2885160432</v>
      </c>
      <c r="BH61" s="2">
        <f t="shared" ca="1" si="58"/>
        <v>2670975.2010479118</v>
      </c>
      <c r="BI61" s="2">
        <f t="shared" ca="1" si="59"/>
        <v>35443910.404698454</v>
      </c>
      <c r="BJ61" s="2">
        <f t="shared" ca="1" si="60"/>
        <v>0.25416871601868096</v>
      </c>
      <c r="BK61" s="2">
        <f t="shared" ca="1" si="61"/>
        <v>10432095.542102255</v>
      </c>
    </row>
    <row r="62" spans="1:63" x14ac:dyDescent="0.3">
      <c r="A62" s="2">
        <v>61</v>
      </c>
      <c r="B62" s="2">
        <f t="shared" ca="1" si="0"/>
        <v>0.67171553056903222</v>
      </c>
      <c r="C62" s="2">
        <f t="shared" ca="1" si="1"/>
        <v>7.1897105832716708</v>
      </c>
      <c r="D62" s="2">
        <f t="shared" ca="1" si="2"/>
        <v>0.55344048658326273</v>
      </c>
      <c r="E62" s="2">
        <f t="shared" ca="1" si="3"/>
        <v>7.5549502516621283</v>
      </c>
      <c r="F62" s="2">
        <f t="shared" ca="1" si="4"/>
        <v>0.55508909985993138</v>
      </c>
      <c r="G62" s="2">
        <f t="shared" ca="1" si="5"/>
        <v>4.4155890939600415E-2</v>
      </c>
      <c r="H62" s="2">
        <f t="shared" ca="1" si="6"/>
        <v>4.4155890939600415E-2</v>
      </c>
      <c r="I62" s="2">
        <f t="shared" ca="1" si="7"/>
        <v>0.58960950284804603</v>
      </c>
      <c r="J62" s="2">
        <f t="shared" ca="1" si="8"/>
        <v>1.1132702944301479E-2</v>
      </c>
      <c r="K62" s="2">
        <f t="shared" ca="1" si="9"/>
        <v>1.1132702944301479E-2</v>
      </c>
      <c r="L62" s="2">
        <f t="shared" ca="1" si="10"/>
        <v>0.45932738317448552</v>
      </c>
      <c r="M62" s="2">
        <f t="shared" ca="1" si="11"/>
        <v>-2.0425678130012383E-3</v>
      </c>
      <c r="N62" s="2">
        <f t="shared" ca="1" si="12"/>
        <v>-2.0425678130012383E-3</v>
      </c>
      <c r="O62" s="2">
        <f t="shared" si="13"/>
        <v>6000000</v>
      </c>
      <c r="P62" s="2">
        <f t="shared" ca="1" si="14"/>
        <v>43138263.499630027</v>
      </c>
      <c r="Q62" s="2">
        <f t="shared" ca="1" si="15"/>
        <v>1078456.5874907507</v>
      </c>
      <c r="R62" s="2">
        <f t="shared" ca="1" si="16"/>
        <v>25882958.099778015</v>
      </c>
      <c r="S62" s="2">
        <f t="shared" ca="1" si="17"/>
        <v>17255305.399852011</v>
      </c>
      <c r="T62" s="2">
        <f t="shared" ca="1" si="18"/>
        <v>49897871.609349936</v>
      </c>
      <c r="U62" s="2">
        <f t="shared" ca="1" si="19"/>
        <v>52101156.586250581</v>
      </c>
      <c r="V62" s="2">
        <f t="shared" ca="1" si="20"/>
        <v>54401729.57430011</v>
      </c>
      <c r="W62" s="2">
        <f t="shared" ca="1" si="21"/>
        <v>56803886.412308544</v>
      </c>
      <c r="X62" s="2">
        <f t="shared" ca="1" si="22"/>
        <v>59312112.625675894</v>
      </c>
      <c r="Y62" s="2">
        <f t="shared" ca="1" si="23"/>
        <v>0.12556635147215073</v>
      </c>
      <c r="Z62" s="2">
        <f t="shared" ca="1" si="24"/>
        <v>0.12779289206101102</v>
      </c>
      <c r="AA62" s="2">
        <f t="shared" ca="1" si="25"/>
        <v>6265493.6842118856</v>
      </c>
      <c r="AB62" s="2">
        <f t="shared" ca="1" si="26"/>
        <v>6658157.4798805537</v>
      </c>
      <c r="AC62" s="2">
        <f t="shared" ca="1" si="27"/>
        <v>6952154.3554208446</v>
      </c>
      <c r="AD62" s="2">
        <f t="shared" ca="1" si="28"/>
        <v>7259132.9249340761</v>
      </c>
      <c r="AE62" s="2">
        <f t="shared" ca="1" si="29"/>
        <v>7579666.4066835288</v>
      </c>
      <c r="AF62" s="2">
        <f t="shared" ca="1" si="30"/>
        <v>997957.43218699878</v>
      </c>
      <c r="AG62" s="2">
        <f t="shared" ca="1" si="31"/>
        <v>1042023.1317250116</v>
      </c>
      <c r="AH62" s="2">
        <f t="shared" ca="1" si="32"/>
        <v>1088034.5914860023</v>
      </c>
      <c r="AI62" s="2">
        <f t="shared" ca="1" si="33"/>
        <v>1136077.7282461708</v>
      </c>
      <c r="AJ62" s="2">
        <f t="shared" ca="1" si="34"/>
        <v>1186242.2525135179</v>
      </c>
      <c r="AK62" s="2">
        <f t="shared" ca="1" si="35"/>
        <v>0</v>
      </c>
      <c r="AL62" s="2">
        <f t="shared" ca="1" si="36"/>
        <v>22032.849769006447</v>
      </c>
      <c r="AM62" s="2">
        <f t="shared" ca="1" si="37"/>
        <v>23005.729880495295</v>
      </c>
      <c r="AN62" s="2">
        <f t="shared" ca="1" si="38"/>
        <v>24021.568380084336</v>
      </c>
      <c r="AO62" s="2">
        <f t="shared" ca="1" si="39"/>
        <v>25082.262133673503</v>
      </c>
      <c r="AP62" s="2">
        <f t="shared" ca="1" si="40"/>
        <v>2329466.2289800211</v>
      </c>
      <c r="AQ62" s="2">
        <f t="shared" ca="1" si="41"/>
        <v>763898.20599166525</v>
      </c>
      <c r="AR62" s="2">
        <f t="shared" ca="1" si="42"/>
        <v>854533.71098563552</v>
      </c>
      <c r="AS62" s="2">
        <f t="shared" ca="1" si="43"/>
        <v>919009.91908825352</v>
      </c>
      <c r="AT62" s="2">
        <f t="shared" ca="1" si="44"/>
        <v>986333.13160404994</v>
      </c>
      <c r="AU62" s="2">
        <f t="shared" ca="1" si="45"/>
        <v>1056629.0605493975</v>
      </c>
      <c r="AV62" s="2">
        <f t="shared" ca="1" si="46"/>
        <v>2174171.8170532011</v>
      </c>
      <c r="AW62" s="2">
        <f t="shared" ca="1" si="47"/>
        <v>2410101.5584208793</v>
      </c>
      <c r="AX62" s="2">
        <f t="shared" ca="1" si="48"/>
        <v>2592637.8859860725</v>
      </c>
      <c r="AY62" s="2">
        <f t="shared" ca="1" si="49"/>
        <v>2783234.2677237499</v>
      </c>
      <c r="AZ62" s="2">
        <f t="shared" ca="1" si="50"/>
        <v>2982246.6025069193</v>
      </c>
      <c r="BA62" s="2">
        <f t="shared" ca="1" si="51"/>
        <v>57264002.626688704</v>
      </c>
      <c r="BB62" s="2">
        <f t="shared" ca="1" si="52"/>
        <v>1145280.0525337742</v>
      </c>
      <c r="BC62" s="2">
        <f t="shared" ca="1" si="53"/>
        <v>30235764.474376913</v>
      </c>
      <c r="BD62" s="2">
        <f t="shared" ca="1" si="54"/>
        <v>-18833761.987342764</v>
      </c>
      <c r="BE62" s="2">
        <f t="shared" ca="1" si="55"/>
        <v>2174171.8170532011</v>
      </c>
      <c r="BF62" s="2">
        <f t="shared" ca="1" si="56"/>
        <v>2410101.5584208793</v>
      </c>
      <c r="BG62" s="2">
        <f t="shared" ca="1" si="57"/>
        <v>2592637.8859860725</v>
      </c>
      <c r="BH62" s="2">
        <f t="shared" ca="1" si="58"/>
        <v>2783234.2677237499</v>
      </c>
      <c r="BI62" s="2">
        <f t="shared" ca="1" si="59"/>
        <v>33218011.076883834</v>
      </c>
      <c r="BJ62" s="2">
        <f t="shared" ca="1" si="60"/>
        <v>0.21275490283923459</v>
      </c>
      <c r="BK62" s="2">
        <f t="shared" ca="1" si="61"/>
        <v>7491756.7650948465</v>
      </c>
    </row>
    <row r="63" spans="1:63" x14ac:dyDescent="0.3">
      <c r="A63" s="2">
        <v>62</v>
      </c>
      <c r="B63" s="2">
        <f t="shared" ca="1" si="0"/>
        <v>0.42832682230112396</v>
      </c>
      <c r="C63" s="2">
        <f t="shared" ca="1" si="1"/>
        <v>6.9255558570946691</v>
      </c>
      <c r="D63" s="2">
        <f t="shared" ca="1" si="2"/>
        <v>0.42806049656361356</v>
      </c>
      <c r="E63" s="2">
        <f t="shared" ca="1" si="3"/>
        <v>7.425268065550318</v>
      </c>
      <c r="F63" s="2">
        <f t="shared" ca="1" si="4"/>
        <v>0.58405880058958681</v>
      </c>
      <c r="G63" s="2">
        <f t="shared" ca="1" si="5"/>
        <v>4.636863838018835E-2</v>
      </c>
      <c r="H63" s="2">
        <f t="shared" ca="1" si="6"/>
        <v>4.636863838018835E-2</v>
      </c>
      <c r="I63" s="2">
        <f t="shared" ca="1" si="7"/>
        <v>0.84043058563358863</v>
      </c>
      <c r="J63" s="2">
        <f t="shared" ca="1" si="8"/>
        <v>1.4981145651101754E-2</v>
      </c>
      <c r="K63" s="2">
        <f t="shared" ca="1" si="9"/>
        <v>1.4981145651101754E-2</v>
      </c>
      <c r="L63" s="2">
        <f t="shared" ca="1" si="10"/>
        <v>7.7530532149759579E-2</v>
      </c>
      <c r="M63" s="2">
        <f t="shared" ca="1" si="11"/>
        <v>-2.8437601781355501E-2</v>
      </c>
      <c r="N63" s="2">
        <f t="shared" ca="1" si="12"/>
        <v>-2.8437601781355501E-2</v>
      </c>
      <c r="O63" s="2">
        <f t="shared" si="13"/>
        <v>6000000</v>
      </c>
      <c r="P63" s="2">
        <f t="shared" ca="1" si="14"/>
        <v>41553335.142568015</v>
      </c>
      <c r="Q63" s="2">
        <f t="shared" ca="1" si="15"/>
        <v>1038833.3785642004</v>
      </c>
      <c r="R63" s="2">
        <f t="shared" ca="1" si="16"/>
        <v>24932001.085540809</v>
      </c>
      <c r="S63" s="2">
        <f t="shared" ca="1" si="17"/>
        <v>16621334.057027206</v>
      </c>
      <c r="T63" s="2">
        <f t="shared" ca="1" si="18"/>
        <v>48578119.910932228</v>
      </c>
      <c r="U63" s="2">
        <f t="shared" ca="1" si="19"/>
        <v>50830621.186271675</v>
      </c>
      <c r="V63" s="2">
        <f t="shared" ca="1" si="20"/>
        <v>53187567.878698252</v>
      </c>
      <c r="W63" s="2">
        <f t="shared" ca="1" si="21"/>
        <v>55653802.979987338</v>
      </c>
      <c r="X63" s="2">
        <f t="shared" ca="1" si="22"/>
        <v>58234394.044848628</v>
      </c>
      <c r="Y63" s="2">
        <f t="shared" ca="1" si="23"/>
        <v>0.12749057282555087</v>
      </c>
      <c r="Z63" s="2">
        <f t="shared" ca="1" si="24"/>
        <v>0.13048680195577123</v>
      </c>
      <c r="AA63" s="2">
        <f t="shared" ca="1" si="25"/>
        <v>6193252.3342330484</v>
      </c>
      <c r="AB63" s="2">
        <f t="shared" ca="1" si="26"/>
        <v>6632725.2000218611</v>
      </c>
      <c r="AC63" s="2">
        <f t="shared" ca="1" si="27"/>
        <v>6940275.6362968376</v>
      </c>
      <c r="AD63" s="2">
        <f t="shared" ca="1" si="28"/>
        <v>7262086.7675351184</v>
      </c>
      <c r="AE63" s="2">
        <f t="shared" ca="1" si="29"/>
        <v>7598819.842744506</v>
      </c>
      <c r="AF63" s="2">
        <f t="shared" ca="1" si="30"/>
        <v>971562.39821864455</v>
      </c>
      <c r="AG63" s="2">
        <f t="shared" ca="1" si="31"/>
        <v>1016612.4237254335</v>
      </c>
      <c r="AH63" s="2">
        <f t="shared" ca="1" si="32"/>
        <v>1063751.3575739651</v>
      </c>
      <c r="AI63" s="2">
        <f t="shared" ca="1" si="33"/>
        <v>1113076.0595997467</v>
      </c>
      <c r="AJ63" s="2">
        <f t="shared" ca="1" si="34"/>
        <v>1164687.8808969725</v>
      </c>
      <c r="AK63" s="2">
        <f t="shared" ca="1" si="35"/>
        <v>0</v>
      </c>
      <c r="AL63" s="2">
        <f t="shared" ca="1" si="36"/>
        <v>22525.012753394469</v>
      </c>
      <c r="AM63" s="2">
        <f t="shared" ca="1" si="37"/>
        <v>23569.466924265773</v>
      </c>
      <c r="AN63" s="2">
        <f t="shared" ca="1" si="38"/>
        <v>24662.35101289086</v>
      </c>
      <c r="AO63" s="2">
        <f t="shared" ca="1" si="39"/>
        <v>25805.910648612902</v>
      </c>
      <c r="AP63" s="2">
        <f t="shared" ca="1" si="40"/>
        <v>2243880.0976986727</v>
      </c>
      <c r="AQ63" s="2">
        <f t="shared" ca="1" si="41"/>
        <v>774230.55796209001</v>
      </c>
      <c r="AR63" s="2">
        <f t="shared" ca="1" si="42"/>
        <v>876780.49643541628</v>
      </c>
      <c r="AS63" s="2">
        <f t="shared" ca="1" si="43"/>
        <v>944487.48706629209</v>
      </c>
      <c r="AT63" s="2">
        <f t="shared" ca="1" si="44"/>
        <v>1015333.9586615417</v>
      </c>
      <c r="AU63" s="2">
        <f t="shared" ca="1" si="45"/>
        <v>1089465.4846787038</v>
      </c>
      <c r="AV63" s="2">
        <f t="shared" ca="1" si="46"/>
        <v>2203579.2803536411</v>
      </c>
      <c r="AW63" s="2">
        <f t="shared" ca="1" si="47"/>
        <v>2472927.1694089444</v>
      </c>
      <c r="AX63" s="2">
        <f t="shared" ca="1" si="48"/>
        <v>2664587.2270336421</v>
      </c>
      <c r="AY63" s="2">
        <f t="shared" ca="1" si="49"/>
        <v>2865134.3005622663</v>
      </c>
      <c r="AZ63" s="2">
        <f t="shared" ca="1" si="50"/>
        <v>3074980.4688215433</v>
      </c>
      <c r="BA63" s="2">
        <f t="shared" ca="1" si="51"/>
        <v>56423274.314200871</v>
      </c>
      <c r="BB63" s="2">
        <f t="shared" ca="1" si="52"/>
        <v>1128465.4862840173</v>
      </c>
      <c r="BC63" s="2">
        <f t="shared" ca="1" si="53"/>
        <v>30362807.742376044</v>
      </c>
      <c r="BD63" s="2">
        <f t="shared" ca="1" si="54"/>
        <v>-18160167.435591407</v>
      </c>
      <c r="BE63" s="2">
        <f t="shared" ca="1" si="55"/>
        <v>2203579.2803536411</v>
      </c>
      <c r="BF63" s="2">
        <f t="shared" ca="1" si="56"/>
        <v>2472927.1694089444</v>
      </c>
      <c r="BG63" s="2">
        <f t="shared" ca="1" si="57"/>
        <v>2664587.2270336421</v>
      </c>
      <c r="BH63" s="2">
        <f t="shared" ca="1" si="58"/>
        <v>2865134.3005622663</v>
      </c>
      <c r="BI63" s="2">
        <f t="shared" ca="1" si="59"/>
        <v>33437788.211197589</v>
      </c>
      <c r="BJ63" s="2">
        <f t="shared" ca="1" si="60"/>
        <v>0.2271291652402081</v>
      </c>
      <c r="BK63" s="2">
        <f t="shared" ca="1" si="61"/>
        <v>8469660.692514576</v>
      </c>
    </row>
    <row r="64" spans="1:63" x14ac:dyDescent="0.3">
      <c r="A64" s="2">
        <v>63</v>
      </c>
      <c r="B64" s="2">
        <f t="shared" ca="1" si="0"/>
        <v>0.37850158172892401</v>
      </c>
      <c r="C64" s="2">
        <f t="shared" ca="1" si="1"/>
        <v>6.8700592873234836</v>
      </c>
      <c r="D64" s="2">
        <f t="shared" ca="1" si="2"/>
        <v>0.10406857948237314</v>
      </c>
      <c r="E64" s="2">
        <f t="shared" ca="1" si="3"/>
        <v>6.9562205157210117</v>
      </c>
      <c r="F64" s="2">
        <f t="shared" ca="1" si="4"/>
        <v>0.87737990406203137</v>
      </c>
      <c r="G64" s="2">
        <f t="shared" ca="1" si="5"/>
        <v>7.485965089151092E-2</v>
      </c>
      <c r="H64" s="2">
        <f t="shared" ca="1" si="6"/>
        <v>7.485965089151092E-2</v>
      </c>
      <c r="I64" s="2">
        <f t="shared" ca="1" si="7"/>
        <v>0.23109730084643543</v>
      </c>
      <c r="J64" s="2">
        <f t="shared" ca="1" si="8"/>
        <v>6.3238103424073031E-3</v>
      </c>
      <c r="K64" s="2">
        <f t="shared" ca="1" si="9"/>
        <v>6.3238103424073031E-3</v>
      </c>
      <c r="L64" s="2">
        <f t="shared" ca="1" si="10"/>
        <v>0.9983123390100076</v>
      </c>
      <c r="M64" s="2">
        <f t="shared" ca="1" si="11"/>
        <v>5.862626574837429E-2</v>
      </c>
      <c r="N64" s="2">
        <f t="shared" ca="1" si="12"/>
        <v>0.05</v>
      </c>
      <c r="O64" s="2">
        <f t="shared" si="13"/>
        <v>6000000</v>
      </c>
      <c r="P64" s="2">
        <f t="shared" ca="1" si="14"/>
        <v>41220355.723940901</v>
      </c>
      <c r="Q64" s="2">
        <f t="shared" ca="1" si="15"/>
        <v>1030508.8930985226</v>
      </c>
      <c r="R64" s="2">
        <f t="shared" ca="1" si="16"/>
        <v>24732213.434364539</v>
      </c>
      <c r="S64" s="2">
        <f t="shared" ca="1" si="17"/>
        <v>16488142.289576361</v>
      </c>
      <c r="T64" s="2">
        <f t="shared" ca="1" si="18"/>
        <v>52500000</v>
      </c>
      <c r="U64" s="2">
        <f t="shared" ca="1" si="19"/>
        <v>56430131.671804324</v>
      </c>
      <c r="V64" s="2">
        <f t="shared" ca="1" si="20"/>
        <v>60654471.62851759</v>
      </c>
      <c r="W64" s="2">
        <f t="shared" ca="1" si="21"/>
        <v>65195044.199637473</v>
      </c>
      <c r="X64" s="2">
        <f t="shared" ca="1" si="22"/>
        <v>70075522.448278964</v>
      </c>
      <c r="Y64" s="2">
        <f t="shared" ca="1" si="23"/>
        <v>0.12316190517120365</v>
      </c>
      <c r="Z64" s="2">
        <f t="shared" ca="1" si="24"/>
        <v>0.12442666723968511</v>
      </c>
      <c r="AA64" s="2">
        <f t="shared" ca="1" si="25"/>
        <v>6466000.0214881916</v>
      </c>
      <c r="AB64" s="2">
        <f t="shared" ca="1" si="26"/>
        <v>7021413.2158192126</v>
      </c>
      <c r="AC64" s="2">
        <f t="shared" ca="1" si="27"/>
        <v>7547033.7579204794</v>
      </c>
      <c r="AD64" s="2">
        <f t="shared" ca="1" si="28"/>
        <v>8112002.0703048548</v>
      </c>
      <c r="AE64" s="2">
        <f t="shared" ca="1" si="29"/>
        <v>8719263.7133190911</v>
      </c>
      <c r="AF64" s="2">
        <f t="shared" ca="1" si="30"/>
        <v>1050000</v>
      </c>
      <c r="AG64" s="2">
        <f t="shared" ca="1" si="31"/>
        <v>1128602.6334360866</v>
      </c>
      <c r="AH64" s="2">
        <f t="shared" ca="1" si="32"/>
        <v>1213089.4325703518</v>
      </c>
      <c r="AI64" s="2">
        <f t="shared" ca="1" si="33"/>
        <v>1303900.8839927495</v>
      </c>
      <c r="AJ64" s="2">
        <f t="shared" ca="1" si="34"/>
        <v>1401510.4489655793</v>
      </c>
      <c r="AK64" s="2">
        <f t="shared" ca="1" si="35"/>
        <v>0</v>
      </c>
      <c r="AL64" s="2">
        <f t="shared" ca="1" si="36"/>
        <v>39301.316718043236</v>
      </c>
      <c r="AM64" s="2">
        <f t="shared" ca="1" si="37"/>
        <v>42243.39956713267</v>
      </c>
      <c r="AN64" s="2">
        <f t="shared" ca="1" si="38"/>
        <v>45405.725711198822</v>
      </c>
      <c r="AO64" s="2">
        <f t="shared" ca="1" si="39"/>
        <v>48804.782486414908</v>
      </c>
      <c r="AP64" s="2">
        <f t="shared" ca="1" si="40"/>
        <v>2225899.2090928084</v>
      </c>
      <c r="AQ64" s="2">
        <f t="shared" ca="1" si="41"/>
        <v>829426.21122279961</v>
      </c>
      <c r="AR64" s="2">
        <f t="shared" ca="1" si="42"/>
        <v>953396.95705548266</v>
      </c>
      <c r="AS64" s="2">
        <f t="shared" ca="1" si="43"/>
        <v>1068091.7302269032</v>
      </c>
      <c r="AT64" s="2">
        <f t="shared" ca="1" si="44"/>
        <v>1191372.5140770171</v>
      </c>
      <c r="AU64" s="2">
        <f t="shared" ca="1" si="45"/>
        <v>1323882.0543677828</v>
      </c>
      <c r="AV64" s="2">
        <f t="shared" ca="1" si="46"/>
        <v>2360674.6011725836</v>
      </c>
      <c r="AW64" s="2">
        <f t="shared" ca="1" si="47"/>
        <v>2674213.0995167918</v>
      </c>
      <c r="AX64" s="2">
        <f t="shared" ca="1" si="48"/>
        <v>2997709.9864632837</v>
      </c>
      <c r="AY64" s="2">
        <f t="shared" ca="1" si="49"/>
        <v>3345423.7374310815</v>
      </c>
      <c r="AZ64" s="2">
        <f t="shared" ca="1" si="50"/>
        <v>3719167.2184065063</v>
      </c>
      <c r="BA64" s="2">
        <f t="shared" ca="1" si="51"/>
        <v>60653121.124572031</v>
      </c>
      <c r="BB64" s="2">
        <f t="shared" ca="1" si="52"/>
        <v>1213062.4224914405</v>
      </c>
      <c r="BC64" s="2">
        <f t="shared" ca="1" si="53"/>
        <v>34707845.267716058</v>
      </c>
      <c r="BD64" s="2">
        <f t="shared" ca="1" si="54"/>
        <v>-18018651.182674885</v>
      </c>
      <c r="BE64" s="2">
        <f t="shared" ca="1" si="55"/>
        <v>2360674.6011725836</v>
      </c>
      <c r="BF64" s="2">
        <f t="shared" ca="1" si="56"/>
        <v>2674213.0995167918</v>
      </c>
      <c r="BG64" s="2">
        <f t="shared" ca="1" si="57"/>
        <v>2997709.9864632837</v>
      </c>
      <c r="BH64" s="2">
        <f t="shared" ca="1" si="58"/>
        <v>3345423.7374310815</v>
      </c>
      <c r="BI64" s="2">
        <f t="shared" ca="1" si="59"/>
        <v>38427012.486122563</v>
      </c>
      <c r="BJ64" s="2">
        <f t="shared" ca="1" si="60"/>
        <v>0.2678942659448067</v>
      </c>
      <c r="BK64" s="2">
        <f t="shared" ca="1" si="61"/>
        <v>12285267.198904574</v>
      </c>
    </row>
    <row r="65" spans="1:63" x14ac:dyDescent="0.3">
      <c r="A65" s="2">
        <v>64</v>
      </c>
      <c r="B65" s="2">
        <f t="shared" ca="1" si="0"/>
        <v>0.69884353781404229</v>
      </c>
      <c r="C65" s="2">
        <f t="shared" ca="1" si="1"/>
        <v>7.2239117805481676</v>
      </c>
      <c r="D65" s="2">
        <f t="shared" ca="1" si="2"/>
        <v>5.3745012402530046E-2</v>
      </c>
      <c r="E65" s="2">
        <f t="shared" ca="1" si="3"/>
        <v>6.8278567138325217</v>
      </c>
      <c r="F65" s="2">
        <f t="shared" ca="1" si="4"/>
        <v>0.61813520917844555</v>
      </c>
      <c r="G65" s="2">
        <f t="shared" ca="1" si="5"/>
        <v>4.9017604655338234E-2</v>
      </c>
      <c r="H65" s="2">
        <f t="shared" ca="1" si="6"/>
        <v>4.9017604655338234E-2</v>
      </c>
      <c r="I65" s="2">
        <f t="shared" ca="1" si="7"/>
        <v>0.34301068678977575</v>
      </c>
      <c r="J65" s="2">
        <f t="shared" ca="1" si="8"/>
        <v>7.978698892582195E-3</v>
      </c>
      <c r="K65" s="2">
        <f t="shared" ca="1" si="9"/>
        <v>7.978698892582195E-3</v>
      </c>
      <c r="L65" s="2">
        <f t="shared" ca="1" si="10"/>
        <v>0.75217546261068069</v>
      </c>
      <c r="M65" s="2">
        <f t="shared" ca="1" si="11"/>
        <v>1.3627030912572485E-2</v>
      </c>
      <c r="N65" s="2">
        <f t="shared" ca="1" si="12"/>
        <v>1.3627030912572485E-2</v>
      </c>
      <c r="O65" s="2">
        <f t="shared" si="13"/>
        <v>6000000</v>
      </c>
      <c r="P65" s="2">
        <f t="shared" ca="1" si="14"/>
        <v>43343470.683289006</v>
      </c>
      <c r="Q65" s="2">
        <f t="shared" ca="1" si="15"/>
        <v>1083586.7670822253</v>
      </c>
      <c r="R65" s="2">
        <f t="shared" ca="1" si="16"/>
        <v>26006082.409973402</v>
      </c>
      <c r="S65" s="2">
        <f t="shared" ca="1" si="17"/>
        <v>17337388.273315605</v>
      </c>
      <c r="T65" s="2">
        <f t="shared" ca="1" si="18"/>
        <v>50681351.54562863</v>
      </c>
      <c r="U65" s="2">
        <f t="shared" ca="1" si="19"/>
        <v>53165629.99909047</v>
      </c>
      <c r="V65" s="2">
        <f t="shared" ca="1" si="20"/>
        <v>55771681.831637882</v>
      </c>
      <c r="W65" s="2">
        <f t="shared" ca="1" si="21"/>
        <v>58505476.082624421</v>
      </c>
      <c r="X65" s="2">
        <f t="shared" ca="1" si="22"/>
        <v>61373274.379414856</v>
      </c>
      <c r="Y65" s="2">
        <f t="shared" ca="1" si="23"/>
        <v>0.12398934944629109</v>
      </c>
      <c r="Z65" s="2">
        <f t="shared" ca="1" si="24"/>
        <v>0.12558508922480754</v>
      </c>
      <c r="AA65" s="2">
        <f t="shared" ca="1" si="25"/>
        <v>6283947.8072012728</v>
      </c>
      <c r="AB65" s="2">
        <f t="shared" ca="1" si="26"/>
        <v>6676810.3871288812</v>
      </c>
      <c r="AC65" s="2">
        <f t="shared" ca="1" si="27"/>
        <v>7004091.639043821</v>
      </c>
      <c r="AD65" s="2">
        <f t="shared" ca="1" si="28"/>
        <v>7347415.4339762321</v>
      </c>
      <c r="AE65" s="2">
        <f t="shared" ca="1" si="29"/>
        <v>7707568.1389574092</v>
      </c>
      <c r="AF65" s="2">
        <f t="shared" ca="1" si="30"/>
        <v>1013627.0309125726</v>
      </c>
      <c r="AG65" s="2">
        <f t="shared" ca="1" si="31"/>
        <v>1063312.5999818095</v>
      </c>
      <c r="AH65" s="2">
        <f t="shared" ca="1" si="32"/>
        <v>1115433.6366327577</v>
      </c>
      <c r="AI65" s="2">
        <f t="shared" ca="1" si="33"/>
        <v>1170109.5216524885</v>
      </c>
      <c r="AJ65" s="2">
        <f t="shared" ca="1" si="34"/>
        <v>1227465.4875882971</v>
      </c>
      <c r="AK65" s="2">
        <f t="shared" ca="1" si="35"/>
        <v>0</v>
      </c>
      <c r="AL65" s="2">
        <f t="shared" ca="1" si="36"/>
        <v>24842.784534618408</v>
      </c>
      <c r="AM65" s="2">
        <f t="shared" ca="1" si="37"/>
        <v>26060.518325474113</v>
      </c>
      <c r="AN65" s="2">
        <f t="shared" ca="1" si="38"/>
        <v>27337.942509865388</v>
      </c>
      <c r="AO65" s="2">
        <f t="shared" ca="1" si="39"/>
        <v>28677.982967904361</v>
      </c>
      <c r="AP65" s="2">
        <f t="shared" ca="1" si="40"/>
        <v>2340547.4168976061</v>
      </c>
      <c r="AQ65" s="2">
        <f t="shared" ca="1" si="41"/>
        <v>761741.07344168448</v>
      </c>
      <c r="AR65" s="2">
        <f t="shared" ca="1" si="42"/>
        <v>850967.09626486094</v>
      </c>
      <c r="AS65" s="2">
        <f t="shared" ca="1" si="43"/>
        <v>922508.75223349908</v>
      </c>
      <c r="AT65" s="2">
        <f t="shared" ca="1" si="44"/>
        <v>997557.20881079568</v>
      </c>
      <c r="AU65" s="2">
        <f t="shared" ca="1" si="45"/>
        <v>1076284.3609625914</v>
      </c>
      <c r="AV65" s="2">
        <f t="shared" ca="1" si="46"/>
        <v>2168032.2859494099</v>
      </c>
      <c r="AW65" s="2">
        <f t="shared" ca="1" si="47"/>
        <v>2397140.4894499863</v>
      </c>
      <c r="AX65" s="2">
        <f t="shared" ca="1" si="48"/>
        <v>2599541.3149544848</v>
      </c>
      <c r="AY65" s="2">
        <f t="shared" ca="1" si="49"/>
        <v>2811863.3441054756</v>
      </c>
      <c r="AZ65" s="2">
        <f t="shared" ca="1" si="50"/>
        <v>3034592.8905410096</v>
      </c>
      <c r="BA65" s="2">
        <f t="shared" ca="1" si="51"/>
        <v>52626170.864901982</v>
      </c>
      <c r="BB65" s="2">
        <f t="shared" ca="1" si="52"/>
        <v>1052523.4172980397</v>
      </c>
      <c r="BC65" s="2">
        <f t="shared" ca="1" si="53"/>
        <v>25567565.037630539</v>
      </c>
      <c r="BD65" s="2">
        <f t="shared" ca="1" si="54"/>
        <v>-18920975.04039783</v>
      </c>
      <c r="BE65" s="2">
        <f t="shared" ca="1" si="55"/>
        <v>2168032.2859494099</v>
      </c>
      <c r="BF65" s="2">
        <f t="shared" ca="1" si="56"/>
        <v>2397140.4894499863</v>
      </c>
      <c r="BG65" s="2">
        <f t="shared" ca="1" si="57"/>
        <v>2599541.3149544848</v>
      </c>
      <c r="BH65" s="2">
        <f t="shared" ca="1" si="58"/>
        <v>2811863.3441054756</v>
      </c>
      <c r="BI65" s="2">
        <f t="shared" ca="1" si="59"/>
        <v>28602157.928171549</v>
      </c>
      <c r="BJ65" s="2">
        <f t="shared" ca="1" si="60"/>
        <v>0.18261720421791972</v>
      </c>
      <c r="BK65" s="2">
        <f t="shared" ca="1" si="61"/>
        <v>4792678.4843677655</v>
      </c>
    </row>
    <row r="66" spans="1:63" x14ac:dyDescent="0.3">
      <c r="A66" s="2">
        <v>65</v>
      </c>
      <c r="B66" s="2">
        <f t="shared" ref="B66:B129" ca="1" si="62">RAND()</f>
        <v>0.18871484325900523</v>
      </c>
      <c r="C66" s="2">
        <f t="shared" ref="C66:C129" ca="1" si="63">IF(B66&lt;((P_Mode)-(P_Low))/((P_High)-(P_Low)), (P_Low)+SQRT(B66*((P_High)-(P_Low))*((P_Mode)-(P_Low))), (P_High)-SQRT((1-B66)*((P_High)-(P_Low))*((P_High)-(P_Mode))))</f>
        <v>6.6143530634073624</v>
      </c>
      <c r="D66" s="2">
        <f t="shared" ref="D66:D129" ca="1" si="64">RAND()</f>
        <v>0.31730059826583978</v>
      </c>
      <c r="E66" s="2">
        <f t="shared" ref="E66:E129" ca="1" si="65">IF(D66&lt;((X_Mode)-(X_Low))/((X_High)-(X_Low)), (X_Low)+SQRT(D66*((X_High)-(X_Low))*((X_Mode)-(X_Low))), (X_High)-SQRT((1-D66)*((X_High)-(X_Low))*((X_High)-(X_Mode))))</f>
        <v>7.2966186016731465</v>
      </c>
      <c r="F66" s="2">
        <f t="shared" ref="F66:F129" ca="1" si="66">RAND()</f>
        <v>0.40211193367390252</v>
      </c>
      <c r="G66" s="2">
        <f t="shared" ref="G66:G129" ca="1" si="67">NORMINV(F66, g_Mean, g_SD)</f>
        <v>3.2563468661603957E-2</v>
      </c>
      <c r="H66" s="2">
        <f t="shared" ref="H66:H129" ca="1" si="68">MIN(MAX(G66, g_Min), g_Max)</f>
        <v>3.2563468661603957E-2</v>
      </c>
      <c r="I66" s="2">
        <f t="shared" ref="I66:I129" ca="1" si="69">RAND()</f>
        <v>0.35518498288395994</v>
      </c>
      <c r="J66" s="2">
        <f t="shared" ref="J66:J129" ca="1" si="70">NORMINV(I66, syn_Mean, syn_SD)</f>
        <v>8.1432037032243901E-3</v>
      </c>
      <c r="K66" s="2">
        <f t="shared" ref="K66:K129" ca="1" si="71">MIN(MAX(J66, syn_Min), syn_Max)</f>
        <v>8.1432037032243901E-3</v>
      </c>
      <c r="L66" s="2">
        <f t="shared" ref="L66:L129" ca="1" si="72">RAND()</f>
        <v>0.62106510777354129</v>
      </c>
      <c r="M66" s="2">
        <f t="shared" ref="M66:M129" ca="1" si="73">NORMINV(L66, shk_Mean, shk_SD)</f>
        <v>6.1655868224243515E-3</v>
      </c>
      <c r="N66" s="2">
        <f t="shared" ref="N66:N129" ca="1" si="74">MIN(MAX(M66, shk_Min), shk_Max)</f>
        <v>6.1655868224243515E-3</v>
      </c>
      <c r="O66" s="2">
        <f t="shared" ref="O66:O129" si="75">BaseRev*BaseMargin</f>
        <v>6000000</v>
      </c>
      <c r="P66" s="2">
        <f t="shared" ref="P66:P129" ca="1" si="76">O66*C66</f>
        <v>39686118.380444176</v>
      </c>
      <c r="Q66" s="2">
        <f t="shared" ref="Q66:Q129" ca="1" si="77">P66*TxnCostPct</f>
        <v>992152.95951110451</v>
      </c>
      <c r="R66" s="2">
        <f t="shared" ref="R66:R129" ca="1" si="78">P66*DebtPct</f>
        <v>23811671.028266504</v>
      </c>
      <c r="S66" s="2">
        <f t="shared" ref="S66:S129" ca="1" si="79">P66*EqPct</f>
        <v>15874447.352177672</v>
      </c>
      <c r="T66" s="2">
        <f t="shared" ref="T66:T129" ca="1" si="80">BaseRev*(1+N66)</f>
        <v>50308279.341121219</v>
      </c>
      <c r="U66" s="2">
        <f t="shared" ref="U66:U129" ca="1" si="81">T66*(1+H66)</f>
        <v>51946491.418865032</v>
      </c>
      <c r="V66" s="2">
        <f t="shared" ref="V66:V129" ca="1" si="82">U66*(1+H66)</f>
        <v>53638049.36426352</v>
      </c>
      <c r="W66" s="2">
        <f t="shared" ref="W66:W129" ca="1" si="83">V66*(1+H66)</f>
        <v>55384690.303806275</v>
      </c>
      <c r="X66" s="2">
        <f t="shared" ref="X66:X129" ca="1" si="84">W66*(1+H66)</f>
        <v>57188207.930846907</v>
      </c>
      <c r="Y66" s="2">
        <f t="shared" ref="Y66:Y129" ca="1" si="85">BaseMargin + SynReal_Y1*K66</f>
        <v>0.12407160185161219</v>
      </c>
      <c r="Z66" s="2">
        <f t="shared" ref="Z66:Z129" ca="1" si="86">BaseMargin + SynReal_Y2toY5*K66</f>
        <v>0.12570024259225707</v>
      </c>
      <c r="AA66" s="2">
        <f t="shared" ref="AA66:AA129" ca="1" si="87">T66*Y66</f>
        <v>6241828.8042512788</v>
      </c>
      <c r="AB66" s="2">
        <f t="shared" ref="AB66:AB129" ca="1" si="88">U66*Z66</f>
        <v>6529686.573167935</v>
      </c>
      <c r="AC66" s="2">
        <f t="shared" ref="AC66:AC129" ca="1" si="89">V66*Z66</f>
        <v>6742315.8172633843</v>
      </c>
      <c r="AD66" s="2">
        <f t="shared" ref="AD66:AD129" ca="1" si="90">W66*Z66</f>
        <v>6961869.0070854761</v>
      </c>
      <c r="AE66" s="2">
        <f t="shared" ref="AE66:AE129" ca="1" si="91">X66*Z66</f>
        <v>7188571.6103238957</v>
      </c>
      <c r="AF66" s="2">
        <f t="shared" ref="AF66:AF129" ca="1" si="92">T66*CapexPct</f>
        <v>1006165.5868224244</v>
      </c>
      <c r="AG66" s="2">
        <f t="shared" ref="AG66:AG129" ca="1" si="93">U66*CapexPct</f>
        <v>1038929.8283773006</v>
      </c>
      <c r="AH66" s="2">
        <f t="shared" ref="AH66:AH129" ca="1" si="94">V66*CapexPct</f>
        <v>1072760.9872852704</v>
      </c>
      <c r="AI66" s="2">
        <f t="shared" ref="AI66:AI129" ca="1" si="95">W66*CapexPct</f>
        <v>1107693.8060761255</v>
      </c>
      <c r="AJ66" s="2">
        <f t="shared" ref="AJ66:AJ129" ca="1" si="96">X66*CapexPct</f>
        <v>1143764.1586169382</v>
      </c>
      <c r="AK66" s="2">
        <f t="shared" ref="AK66:AK129" ca="1" si="97">MAX(T66-BaseRev*(1+N66),0)*WCPct</f>
        <v>0</v>
      </c>
      <c r="AL66" s="2">
        <f t="shared" ref="AL66:AL129" ca="1" si="98">MAX(U66-T66,0)*WCPct</f>
        <v>16382.120777438135</v>
      </c>
      <c r="AM66" s="2">
        <f t="shared" ref="AM66:AM129" ca="1" si="99">MAX(V66-U66,0)*WCPct</f>
        <v>16915.579453984872</v>
      </c>
      <c r="AN66" s="2">
        <f t="shared" ref="AN66:AN129" ca="1" si="100">MAX(W66-V66,0)*WCPct</f>
        <v>17466.409395427556</v>
      </c>
      <c r="AO66" s="2">
        <f t="shared" ref="AO66:AO129" ca="1" si="101">MAX(X66-W66,0)*WCPct</f>
        <v>18035.176270406322</v>
      </c>
      <c r="AP66" s="2">
        <f t="shared" ref="AP66:AP129" ca="1" si="102">R66*DebtRate</f>
        <v>2143050.3925439855</v>
      </c>
      <c r="AQ66" s="2">
        <f t="shared" ref="AQ66:AQ129" ca="1" si="103">MAX(AA66-AF66-AP66,0)*Tax</f>
        <v>804079.33447006601</v>
      </c>
      <c r="AR66" s="2">
        <f t="shared" ref="AR66:AR129" ca="1" si="104">MAX(AB66-AG66-AP66,0)*Tax</f>
        <v>870403.65158412862</v>
      </c>
      <c r="AS66" s="2">
        <f t="shared" ref="AS66:AS129" ca="1" si="105">MAX(AC66-AH66-AP66,0)*Tax</f>
        <v>916891.15373287338</v>
      </c>
      <c r="AT66" s="2">
        <f t="shared" ref="AT66:AT129" ca="1" si="106">MAX(AD66-AI66-AP66,0)*Tax</f>
        <v>964892.45020099496</v>
      </c>
      <c r="AU66" s="2">
        <f t="shared" ref="AU66:AU129" ca="1" si="107">MAX(AE66-AJ66-AP66,0)*Tax</f>
        <v>1014456.8353823726</v>
      </c>
      <c r="AV66" s="2">
        <f t="shared" ref="AV66:AV129" ca="1" si="108">AA66-AF66-AK66-AQ66-AP66</f>
        <v>2288533.4904148029</v>
      </c>
      <c r="AW66" s="2">
        <f t="shared" ref="AW66:AW129" ca="1" si="109">AB66-AG66-AL66-AR66-AP66</f>
        <v>2460920.5798850814</v>
      </c>
      <c r="AX66" s="2">
        <f t="shared" ref="AX66:AX129" ca="1" si="110">AC66-AH66-AM66-AS66-AP66</f>
        <v>2592697.7042472698</v>
      </c>
      <c r="AY66" s="2">
        <f t="shared" ref="AY66:AY129" ca="1" si="111">AD66-AI66-AN66-AT66-AP66</f>
        <v>2728765.9488689424</v>
      </c>
      <c r="AZ66" s="2">
        <f t="shared" ref="AZ66:AZ129" ca="1" si="112">AE66-AJ66-AO66-AU66-AP66</f>
        <v>2869265.0475101927</v>
      </c>
      <c r="BA66" s="2">
        <f t="shared" ref="BA66:BA129" ca="1" si="113">AE66*E66</f>
        <v>52452265.331348822</v>
      </c>
      <c r="BB66" s="2">
        <f t="shared" ref="BB66:BB129" ca="1" si="114">BA66*SellCostPct</f>
        <v>1049045.3066269765</v>
      </c>
      <c r="BC66" s="2">
        <f t="shared" ref="BC66:BC129" ca="1" si="115">BA66-R66-BB66</f>
        <v>27591548.996455342</v>
      </c>
      <c r="BD66" s="2">
        <f t="shared" ref="BD66:BD129" ca="1" si="116">-S66-Q66-IntegrationPct*BaseRev</f>
        <v>-17366600.311688777</v>
      </c>
      <c r="BE66" s="2">
        <f t="shared" ref="BE66:BE129" ca="1" si="117">AV66</f>
        <v>2288533.4904148029</v>
      </c>
      <c r="BF66" s="2">
        <f t="shared" ref="BF66:BF129" ca="1" si="118">AW66</f>
        <v>2460920.5798850814</v>
      </c>
      <c r="BG66" s="2">
        <f t="shared" ref="BG66:BG129" ca="1" si="119">AX66</f>
        <v>2592697.7042472698</v>
      </c>
      <c r="BH66" s="2">
        <f t="shared" ref="BH66:BH129" ca="1" si="120">AY66</f>
        <v>2728765.9488689424</v>
      </c>
      <c r="BI66" s="2">
        <f t="shared" ref="BI66:BI129" ca="1" si="121">AZ66+BC66</f>
        <v>30460814.043965533</v>
      </c>
      <c r="BJ66" s="2">
        <f t="shared" ref="BJ66:BJ129" ca="1" si="122">IF(MIN(BD66:BI66)*MAX(BD66:BI66)&gt;=0, "", IFERROR(IRR(BD66:BI66,0.12), IFERROR(IRR(BD66:BI66,0.5), IFERROR(IRR(BD66:BI66,-0.5),""))))</f>
        <v>0.22160452724212631</v>
      </c>
      <c r="BK66" s="2">
        <f t="shared" ref="BK66:BK129" ca="1" si="123">NPV(12%,BE66:BI66)+BD66</f>
        <v>7502459.0235919841</v>
      </c>
    </row>
    <row r="67" spans="1:63" x14ac:dyDescent="0.3">
      <c r="A67" s="2">
        <v>66</v>
      </c>
      <c r="B67" s="2">
        <f t="shared" ca="1" si="62"/>
        <v>0.43809492746529966</v>
      </c>
      <c r="C67" s="2">
        <f t="shared" ca="1" si="63"/>
        <v>6.9360501348381929</v>
      </c>
      <c r="D67" s="2">
        <f t="shared" ca="1" si="64"/>
        <v>0.8131174188743937</v>
      </c>
      <c r="E67" s="2">
        <f t="shared" ca="1" si="65"/>
        <v>7.8886366364826781</v>
      </c>
      <c r="F67" s="2">
        <f t="shared" ca="1" si="66"/>
        <v>0.84151510070218816</v>
      </c>
      <c r="G67" s="2">
        <f t="shared" ca="1" si="67"/>
        <v>7.0021128338184205E-2</v>
      </c>
      <c r="H67" s="2">
        <f t="shared" ca="1" si="68"/>
        <v>7.0021128338184205E-2</v>
      </c>
      <c r="I67" s="2">
        <f t="shared" ca="1" si="69"/>
        <v>0.23670453655464485</v>
      </c>
      <c r="J67" s="2">
        <f t="shared" ca="1" si="70"/>
        <v>6.4152834195810894E-3</v>
      </c>
      <c r="K67" s="2">
        <f t="shared" ca="1" si="71"/>
        <v>6.4152834195810894E-3</v>
      </c>
      <c r="L67" s="2">
        <f t="shared" ca="1" si="72"/>
        <v>0.87307686233430004</v>
      </c>
      <c r="M67" s="2">
        <f t="shared" ca="1" si="73"/>
        <v>2.2821136559379233E-2</v>
      </c>
      <c r="N67" s="2">
        <f t="shared" ca="1" si="74"/>
        <v>2.2821136559379233E-2</v>
      </c>
      <c r="O67" s="2">
        <f t="shared" si="75"/>
        <v>6000000</v>
      </c>
      <c r="P67" s="2">
        <f t="shared" ca="1" si="76"/>
        <v>41616300.809029154</v>
      </c>
      <c r="Q67" s="2">
        <f t="shared" ca="1" si="77"/>
        <v>1040407.5202257289</v>
      </c>
      <c r="R67" s="2">
        <f t="shared" ca="1" si="78"/>
        <v>24969780.485417493</v>
      </c>
      <c r="S67" s="2">
        <f t="shared" ca="1" si="79"/>
        <v>16646520.323611662</v>
      </c>
      <c r="T67" s="2">
        <f t="shared" ca="1" si="80"/>
        <v>51141056.82796897</v>
      </c>
      <c r="U67" s="2">
        <f t="shared" ca="1" si="81"/>
        <v>54722011.331470557</v>
      </c>
      <c r="V67" s="2">
        <f t="shared" ca="1" si="82"/>
        <v>58553708.309835024</v>
      </c>
      <c r="W67" s="2">
        <f t="shared" ca="1" si="83"/>
        <v>62653705.034074582</v>
      </c>
      <c r="X67" s="2">
        <f t="shared" ca="1" si="84"/>
        <v>67040788.155128255</v>
      </c>
      <c r="Y67" s="2">
        <f t="shared" ca="1" si="85"/>
        <v>0.12320764170979054</v>
      </c>
      <c r="Z67" s="2">
        <f t="shared" ca="1" si="86"/>
        <v>0.12449069839370676</v>
      </c>
      <c r="AA67" s="2">
        <f t="shared" ca="1" si="87"/>
        <v>6300969.0063204374</v>
      </c>
      <c r="AB67" s="2">
        <f t="shared" ca="1" si="88"/>
        <v>6812381.4081631042</v>
      </c>
      <c r="AC67" s="2">
        <f t="shared" ca="1" si="89"/>
        <v>7289392.041032753</v>
      </c>
      <c r="AD67" s="2">
        <f t="shared" ca="1" si="90"/>
        <v>7799803.4966452457</v>
      </c>
      <c r="AE67" s="2">
        <f t="shared" ca="1" si="91"/>
        <v>8345954.5382964602</v>
      </c>
      <c r="AF67" s="2">
        <f t="shared" ca="1" si="92"/>
        <v>1022821.1365593794</v>
      </c>
      <c r="AG67" s="2">
        <f t="shared" ca="1" si="93"/>
        <v>1094440.2266294111</v>
      </c>
      <c r="AH67" s="2">
        <f t="shared" ca="1" si="94"/>
        <v>1171074.1661967004</v>
      </c>
      <c r="AI67" s="2">
        <f t="shared" ca="1" si="95"/>
        <v>1253074.1006814917</v>
      </c>
      <c r="AJ67" s="2">
        <f t="shared" ca="1" si="96"/>
        <v>1340815.7631025652</v>
      </c>
      <c r="AK67" s="2">
        <f t="shared" ca="1" si="97"/>
        <v>0</v>
      </c>
      <c r="AL67" s="2">
        <f t="shared" ca="1" si="98"/>
        <v>35809.545035015864</v>
      </c>
      <c r="AM67" s="2">
        <f t="shared" ca="1" si="99"/>
        <v>38316.969783644679</v>
      </c>
      <c r="AN67" s="2">
        <f t="shared" ca="1" si="100"/>
        <v>40999.967242395578</v>
      </c>
      <c r="AO67" s="2">
        <f t="shared" ca="1" si="101"/>
        <v>43870.831210536737</v>
      </c>
      <c r="AP67" s="2">
        <f t="shared" ca="1" si="102"/>
        <v>2247280.2436875743</v>
      </c>
      <c r="AQ67" s="2">
        <f t="shared" ca="1" si="103"/>
        <v>788025.58277910587</v>
      </c>
      <c r="AR67" s="2">
        <f t="shared" ca="1" si="104"/>
        <v>902371.84383999102</v>
      </c>
      <c r="AS67" s="2">
        <f t="shared" ca="1" si="105"/>
        <v>1006469.7840986045</v>
      </c>
      <c r="AT67" s="2">
        <f t="shared" ca="1" si="106"/>
        <v>1117856.7795918069</v>
      </c>
      <c r="AU67" s="2">
        <f t="shared" ca="1" si="107"/>
        <v>1237043.2181916435</v>
      </c>
      <c r="AV67" s="2">
        <f t="shared" ca="1" si="108"/>
        <v>2242842.0432943781</v>
      </c>
      <c r="AW67" s="2">
        <f t="shared" ca="1" si="109"/>
        <v>2532479.5489711124</v>
      </c>
      <c r="AX67" s="2">
        <f t="shared" ca="1" si="110"/>
        <v>2826250.8772662287</v>
      </c>
      <c r="AY67" s="2">
        <f t="shared" ca="1" si="111"/>
        <v>3140592.4054419775</v>
      </c>
      <c r="AZ67" s="2">
        <f t="shared" ca="1" si="112"/>
        <v>3476944.4821041408</v>
      </c>
      <c r="BA67" s="2">
        <f t="shared" ca="1" si="113"/>
        <v>65838202.737224333</v>
      </c>
      <c r="BB67" s="2">
        <f t="shared" ca="1" si="114"/>
        <v>1316764.0547444867</v>
      </c>
      <c r="BC67" s="2">
        <f t="shared" ca="1" si="115"/>
        <v>39551658.197062351</v>
      </c>
      <c r="BD67" s="2">
        <f t="shared" ca="1" si="116"/>
        <v>-18186927.843837392</v>
      </c>
      <c r="BE67" s="2">
        <f t="shared" ca="1" si="117"/>
        <v>2242842.0432943781</v>
      </c>
      <c r="BF67" s="2">
        <f t="shared" ca="1" si="118"/>
        <v>2532479.5489711124</v>
      </c>
      <c r="BG67" s="2">
        <f t="shared" ca="1" si="119"/>
        <v>2826250.8772662287</v>
      </c>
      <c r="BH67" s="2">
        <f t="shared" ca="1" si="120"/>
        <v>3140592.4054419775</v>
      </c>
      <c r="BI67" s="2">
        <f t="shared" ca="1" si="121"/>
        <v>43028602.679166488</v>
      </c>
      <c r="BJ67" s="2">
        <f t="shared" ca="1" si="122"/>
        <v>0.28256135593040344</v>
      </c>
      <c r="BK67" s="2">
        <f t="shared" ca="1" si="123"/>
        <v>14257644.41084829</v>
      </c>
    </row>
    <row r="68" spans="1:63" x14ac:dyDescent="0.3">
      <c r="A68" s="2">
        <v>67</v>
      </c>
      <c r="B68" s="2">
        <f t="shared" ca="1" si="62"/>
        <v>0.79973802786286974</v>
      </c>
      <c r="C68" s="2">
        <f t="shared" ca="1" si="63"/>
        <v>7.3671303891999074</v>
      </c>
      <c r="D68" s="2">
        <f t="shared" ca="1" si="64"/>
        <v>0.97090966963477199</v>
      </c>
      <c r="E68" s="2">
        <f t="shared" ca="1" si="65"/>
        <v>8.2587933236196474</v>
      </c>
      <c r="F68" s="2">
        <f t="shared" ca="1" si="66"/>
        <v>0.54495592576209728</v>
      </c>
      <c r="G68" s="2">
        <f t="shared" ca="1" si="67"/>
        <v>4.3387820665789341E-2</v>
      </c>
      <c r="H68" s="2">
        <f t="shared" ca="1" si="68"/>
        <v>4.3387820665789341E-2</v>
      </c>
      <c r="I68" s="2">
        <f t="shared" ca="1" si="69"/>
        <v>0.49659462797393505</v>
      </c>
      <c r="J68" s="2">
        <f t="shared" ca="1" si="70"/>
        <v>9.957319472654682E-3</v>
      </c>
      <c r="K68" s="2">
        <f t="shared" ca="1" si="71"/>
        <v>9.957319472654682E-3</v>
      </c>
      <c r="L68" s="2">
        <f t="shared" ca="1" si="72"/>
        <v>0.1683800353048186</v>
      </c>
      <c r="M68" s="2">
        <f t="shared" ca="1" si="73"/>
        <v>-1.9211731932862061E-2</v>
      </c>
      <c r="N68" s="2">
        <f t="shared" ca="1" si="74"/>
        <v>-1.9211731932862061E-2</v>
      </c>
      <c r="O68" s="2">
        <f t="shared" si="75"/>
        <v>6000000</v>
      </c>
      <c r="P68" s="2">
        <f t="shared" ca="1" si="76"/>
        <v>44202782.335199445</v>
      </c>
      <c r="Q68" s="2">
        <f t="shared" ca="1" si="77"/>
        <v>1105069.5583799861</v>
      </c>
      <c r="R68" s="2">
        <f t="shared" ca="1" si="78"/>
        <v>26521669.401119668</v>
      </c>
      <c r="S68" s="2">
        <f t="shared" ca="1" si="79"/>
        <v>17681112.934079777</v>
      </c>
      <c r="T68" s="2">
        <f t="shared" ca="1" si="80"/>
        <v>49039413.403356895</v>
      </c>
      <c r="U68" s="2">
        <f t="shared" ca="1" si="81"/>
        <v>51167126.677657254</v>
      </c>
      <c r="V68" s="2">
        <f t="shared" ca="1" si="82"/>
        <v>53387156.793931179</v>
      </c>
      <c r="W68" s="2">
        <f t="shared" ca="1" si="83"/>
        <v>55703509.178762645</v>
      </c>
      <c r="X68" s="2">
        <f t="shared" ca="1" si="84"/>
        <v>58120363.045465954</v>
      </c>
      <c r="Y68" s="2">
        <f t="shared" ca="1" si="85"/>
        <v>0.12497865973632734</v>
      </c>
      <c r="Z68" s="2">
        <f t="shared" ca="1" si="86"/>
        <v>0.12697012363085827</v>
      </c>
      <c r="AA68" s="2">
        <f t="shared" ca="1" si="87"/>
        <v>6128880.1614072314</v>
      </c>
      <c r="AB68" s="2">
        <f t="shared" ca="1" si="88"/>
        <v>6496696.400097928</v>
      </c>
      <c r="AC68" s="2">
        <f t="shared" ca="1" si="89"/>
        <v>6778573.8984254571</v>
      </c>
      <c r="AD68" s="2">
        <f t="shared" ca="1" si="90"/>
        <v>7072681.4471001411</v>
      </c>
      <c r="AE68" s="2">
        <f t="shared" ca="1" si="91"/>
        <v>7379549.6813531788</v>
      </c>
      <c r="AF68" s="2">
        <f t="shared" ca="1" si="92"/>
        <v>980788.26806713792</v>
      </c>
      <c r="AG68" s="2">
        <f t="shared" ca="1" si="93"/>
        <v>1023342.5335531451</v>
      </c>
      <c r="AH68" s="2">
        <f t="shared" ca="1" si="94"/>
        <v>1067743.1358786237</v>
      </c>
      <c r="AI68" s="2">
        <f t="shared" ca="1" si="95"/>
        <v>1114070.183575253</v>
      </c>
      <c r="AJ68" s="2">
        <f t="shared" ca="1" si="96"/>
        <v>1162407.2609093192</v>
      </c>
      <c r="AK68" s="2">
        <f t="shared" ca="1" si="97"/>
        <v>0</v>
      </c>
      <c r="AL68" s="2">
        <f t="shared" ca="1" si="98"/>
        <v>21277.132743003593</v>
      </c>
      <c r="AM68" s="2">
        <f t="shared" ca="1" si="99"/>
        <v>22200.301162739248</v>
      </c>
      <c r="AN68" s="2">
        <f t="shared" ca="1" si="100"/>
        <v>23163.523848314657</v>
      </c>
      <c r="AO68" s="2">
        <f t="shared" ca="1" si="101"/>
        <v>24168.538667033092</v>
      </c>
      <c r="AP68" s="2">
        <f t="shared" ca="1" si="102"/>
        <v>2386950.2461007698</v>
      </c>
      <c r="AQ68" s="2">
        <f t="shared" ca="1" si="103"/>
        <v>717896.82828222401</v>
      </c>
      <c r="AR68" s="2">
        <f t="shared" ca="1" si="104"/>
        <v>802464.94131544349</v>
      </c>
      <c r="AS68" s="2">
        <f t="shared" ca="1" si="105"/>
        <v>864208.93427597662</v>
      </c>
      <c r="AT68" s="2">
        <f t="shared" ca="1" si="106"/>
        <v>928631.8645302708</v>
      </c>
      <c r="AU68" s="2">
        <f t="shared" ca="1" si="107"/>
        <v>995849.96532920341</v>
      </c>
      <c r="AV68" s="2">
        <f t="shared" ca="1" si="108"/>
        <v>2043244.8189570992</v>
      </c>
      <c r="AW68" s="2">
        <f t="shared" ca="1" si="109"/>
        <v>2262661.5463855662</v>
      </c>
      <c r="AX68" s="2">
        <f t="shared" ca="1" si="110"/>
        <v>2437471.2810073481</v>
      </c>
      <c r="AY68" s="2">
        <f t="shared" ca="1" si="111"/>
        <v>2619865.6290455326</v>
      </c>
      <c r="AZ68" s="2">
        <f t="shared" ca="1" si="112"/>
        <v>2810173.6703468529</v>
      </c>
      <c r="BA68" s="2">
        <f t="shared" ca="1" si="113"/>
        <v>60946175.639679126</v>
      </c>
      <c r="BB68" s="2">
        <f t="shared" ca="1" si="114"/>
        <v>1218923.5127935826</v>
      </c>
      <c r="BC68" s="2">
        <f t="shared" ca="1" si="115"/>
        <v>33205582.725765873</v>
      </c>
      <c r="BD68" s="2">
        <f t="shared" ca="1" si="116"/>
        <v>-19286182.492459763</v>
      </c>
      <c r="BE68" s="2">
        <f t="shared" ca="1" si="117"/>
        <v>2043244.8189570992</v>
      </c>
      <c r="BF68" s="2">
        <f t="shared" ca="1" si="118"/>
        <v>2262661.5463855662</v>
      </c>
      <c r="BG68" s="2">
        <f t="shared" ca="1" si="119"/>
        <v>2437471.2810073481</v>
      </c>
      <c r="BH68" s="2">
        <f t="shared" ca="1" si="120"/>
        <v>2619865.6290455326</v>
      </c>
      <c r="BI68" s="2">
        <f t="shared" ca="1" si="121"/>
        <v>36015756.396112725</v>
      </c>
      <c r="BJ68" s="2">
        <f t="shared" ca="1" si="122"/>
        <v>0.21636843021834085</v>
      </c>
      <c r="BK68" s="2">
        <f t="shared" ca="1" si="123"/>
        <v>8178146.461357262</v>
      </c>
    </row>
    <row r="69" spans="1:63" x14ac:dyDescent="0.3">
      <c r="A69" s="2">
        <v>68</v>
      </c>
      <c r="B69" s="2">
        <f t="shared" ca="1" si="62"/>
        <v>0.76945476568235116</v>
      </c>
      <c r="C69" s="2">
        <f t="shared" ca="1" si="63"/>
        <v>7.3209635734106033</v>
      </c>
      <c r="D69" s="2">
        <f t="shared" ca="1" si="64"/>
        <v>0.27384824106072925</v>
      </c>
      <c r="E69" s="2">
        <f t="shared" ca="1" si="65"/>
        <v>7.2400651877513615</v>
      </c>
      <c r="F69" s="2">
        <f t="shared" ca="1" si="66"/>
        <v>0.18060283030652358</v>
      </c>
      <c r="G69" s="2">
        <f t="shared" ca="1" si="67"/>
        <v>1.2607896201516262E-2</v>
      </c>
      <c r="H69" s="2">
        <f t="shared" ca="1" si="68"/>
        <v>1.2607896201516262E-2</v>
      </c>
      <c r="I69" s="2">
        <f t="shared" ca="1" si="69"/>
        <v>0.42438124020508339</v>
      </c>
      <c r="J69" s="2">
        <f t="shared" ca="1" si="70"/>
        <v>9.0465117530374763E-3</v>
      </c>
      <c r="K69" s="2">
        <f t="shared" ca="1" si="71"/>
        <v>9.0465117530374763E-3</v>
      </c>
      <c r="L69" s="2">
        <f t="shared" ca="1" si="72"/>
        <v>0.16723386532399864</v>
      </c>
      <c r="M69" s="2">
        <f t="shared" ca="1" si="73"/>
        <v>-1.9303078103545035E-2</v>
      </c>
      <c r="N69" s="2">
        <f t="shared" ca="1" si="74"/>
        <v>-1.9303078103545035E-2</v>
      </c>
      <c r="O69" s="2">
        <f t="shared" si="75"/>
        <v>6000000</v>
      </c>
      <c r="P69" s="2">
        <f t="shared" ca="1" si="76"/>
        <v>43925781.440463617</v>
      </c>
      <c r="Q69" s="2">
        <f t="shared" ca="1" si="77"/>
        <v>1098144.5360115904</v>
      </c>
      <c r="R69" s="2">
        <f t="shared" ca="1" si="78"/>
        <v>26355468.864278171</v>
      </c>
      <c r="S69" s="2">
        <f t="shared" ca="1" si="79"/>
        <v>17570312.576185446</v>
      </c>
      <c r="T69" s="2">
        <f t="shared" ca="1" si="80"/>
        <v>49034846.094822749</v>
      </c>
      <c r="U69" s="2">
        <f t="shared" ca="1" si="81"/>
        <v>49653072.344643608</v>
      </c>
      <c r="V69" s="2">
        <f t="shared" ca="1" si="82"/>
        <v>50279093.126851261</v>
      </c>
      <c r="W69" s="2">
        <f t="shared" ca="1" si="83"/>
        <v>50913006.714100979</v>
      </c>
      <c r="X69" s="2">
        <f t="shared" ca="1" si="84"/>
        <v>51554912.618059471</v>
      </c>
      <c r="Y69" s="2">
        <f t="shared" ca="1" si="85"/>
        <v>0.12452325587651873</v>
      </c>
      <c r="Z69" s="2">
        <f t="shared" ca="1" si="86"/>
        <v>0.12633255822712622</v>
      </c>
      <c r="AA69" s="2">
        <f t="shared" ca="1" si="87"/>
        <v>6105978.6871313285</v>
      </c>
      <c r="AB69" s="2">
        <f t="shared" ca="1" si="88"/>
        <v>6272799.6531353993</v>
      </c>
      <c r="AC69" s="2">
        <f t="shared" ca="1" si="89"/>
        <v>6351886.4600550383</v>
      </c>
      <c r="AD69" s="2">
        <f t="shared" ca="1" si="90"/>
        <v>6431970.3852272304</v>
      </c>
      <c r="AE69" s="2">
        <f t="shared" ca="1" si="91"/>
        <v>6513064.0002154019</v>
      </c>
      <c r="AF69" s="2">
        <f t="shared" ca="1" si="92"/>
        <v>980696.92189645499</v>
      </c>
      <c r="AG69" s="2">
        <f t="shared" ca="1" si="93"/>
        <v>993061.44689287222</v>
      </c>
      <c r="AH69" s="2">
        <f t="shared" ca="1" si="94"/>
        <v>1005581.8625370252</v>
      </c>
      <c r="AI69" s="2">
        <f t="shared" ca="1" si="95"/>
        <v>1018260.1342820196</v>
      </c>
      <c r="AJ69" s="2">
        <f t="shared" ca="1" si="96"/>
        <v>1031098.2523611895</v>
      </c>
      <c r="AK69" s="2">
        <f t="shared" ca="1" si="97"/>
        <v>0</v>
      </c>
      <c r="AL69" s="2">
        <f t="shared" ca="1" si="98"/>
        <v>6182.2624982085827</v>
      </c>
      <c r="AM69" s="2">
        <f t="shared" ca="1" si="99"/>
        <v>6260.2078220765297</v>
      </c>
      <c r="AN69" s="2">
        <f t="shared" ca="1" si="100"/>
        <v>6339.135872497186</v>
      </c>
      <c r="AO69" s="2">
        <f t="shared" ca="1" si="101"/>
        <v>6419.0590395849204</v>
      </c>
      <c r="AP69" s="2">
        <f t="shared" ca="1" si="102"/>
        <v>2371992.1977850352</v>
      </c>
      <c r="AQ69" s="2">
        <f t="shared" ca="1" si="103"/>
        <v>715855.287536958</v>
      </c>
      <c r="AR69" s="2">
        <f t="shared" ca="1" si="104"/>
        <v>756013.96219894791</v>
      </c>
      <c r="AS69" s="2">
        <f t="shared" ca="1" si="105"/>
        <v>773321.22393057426</v>
      </c>
      <c r="AT69" s="2">
        <f t="shared" ca="1" si="106"/>
        <v>790846.69382164557</v>
      </c>
      <c r="AU69" s="2">
        <f t="shared" ca="1" si="107"/>
        <v>808593.12301798607</v>
      </c>
      <c r="AV69" s="2">
        <f t="shared" ca="1" si="108"/>
        <v>2037434.2799128802</v>
      </c>
      <c r="AW69" s="2">
        <f t="shared" ca="1" si="109"/>
        <v>2145549.7837603358</v>
      </c>
      <c r="AX69" s="2">
        <f t="shared" ca="1" si="110"/>
        <v>2194730.9679803266</v>
      </c>
      <c r="AY69" s="2">
        <f t="shared" ca="1" si="111"/>
        <v>2244532.2234660327</v>
      </c>
      <c r="AZ69" s="2">
        <f t="shared" ca="1" si="112"/>
        <v>2294961.3680116055</v>
      </c>
      <c r="BA69" s="2">
        <f t="shared" ca="1" si="113"/>
        <v>47155007.933556154</v>
      </c>
      <c r="BB69" s="2">
        <f t="shared" ca="1" si="114"/>
        <v>943100.15867112309</v>
      </c>
      <c r="BC69" s="2">
        <f t="shared" ca="1" si="115"/>
        <v>19856438.910606861</v>
      </c>
      <c r="BD69" s="2">
        <f t="shared" ca="1" si="116"/>
        <v>-19168457.112197038</v>
      </c>
      <c r="BE69" s="2">
        <f t="shared" ca="1" si="117"/>
        <v>2037434.2799128802</v>
      </c>
      <c r="BF69" s="2">
        <f t="shared" ca="1" si="118"/>
        <v>2145549.7837603358</v>
      </c>
      <c r="BG69" s="2">
        <f t="shared" ca="1" si="119"/>
        <v>2194730.9679803266</v>
      </c>
      <c r="BH69" s="2">
        <f t="shared" ca="1" si="120"/>
        <v>2244532.2234660327</v>
      </c>
      <c r="BI69" s="2">
        <f t="shared" ca="1" si="121"/>
        <v>22151400.278618466</v>
      </c>
      <c r="BJ69" s="2">
        <f t="shared" ca="1" si="122"/>
        <v>0.11884742541270898</v>
      </c>
      <c r="BK69" s="2">
        <f t="shared" ca="1" si="123"/>
        <v>-80993.842971932143</v>
      </c>
    </row>
    <row r="70" spans="1:63" x14ac:dyDescent="0.3">
      <c r="A70" s="2">
        <v>69</v>
      </c>
      <c r="B70" s="2">
        <f t="shared" ca="1" si="62"/>
        <v>0.57184820013371884</v>
      </c>
      <c r="C70" s="2">
        <f t="shared" ca="1" si="63"/>
        <v>7.0746332620346877</v>
      </c>
      <c r="D70" s="2">
        <f t="shared" ca="1" si="64"/>
        <v>0.49752784669798289</v>
      </c>
      <c r="E70" s="2">
        <f t="shared" ca="1" si="65"/>
        <v>7.4975247833492489</v>
      </c>
      <c r="F70" s="2">
        <f t="shared" ca="1" si="66"/>
        <v>0.41860425389689382</v>
      </c>
      <c r="G70" s="2">
        <f t="shared" ca="1" si="67"/>
        <v>3.3836037216769664E-2</v>
      </c>
      <c r="H70" s="2">
        <f t="shared" ca="1" si="68"/>
        <v>3.3836037216769664E-2</v>
      </c>
      <c r="I70" s="2">
        <f t="shared" ca="1" si="69"/>
        <v>0.50054222835494644</v>
      </c>
      <c r="J70" s="2">
        <f t="shared" ca="1" si="70"/>
        <v>1.0006795826721433E-2</v>
      </c>
      <c r="K70" s="2">
        <f t="shared" ca="1" si="71"/>
        <v>1.0006795826721433E-2</v>
      </c>
      <c r="L70" s="2">
        <f t="shared" ca="1" si="72"/>
        <v>0.39328034937794176</v>
      </c>
      <c r="M70" s="2">
        <f t="shared" ca="1" si="73"/>
        <v>-5.4155881518135208E-3</v>
      </c>
      <c r="N70" s="2">
        <f t="shared" ca="1" si="74"/>
        <v>-5.4155881518135208E-3</v>
      </c>
      <c r="O70" s="2">
        <f t="shared" si="75"/>
        <v>6000000</v>
      </c>
      <c r="P70" s="2">
        <f t="shared" ca="1" si="76"/>
        <v>42447799.572208129</v>
      </c>
      <c r="Q70" s="2">
        <f t="shared" ca="1" si="77"/>
        <v>1061194.9893052033</v>
      </c>
      <c r="R70" s="2">
        <f t="shared" ca="1" si="78"/>
        <v>25468679.743324876</v>
      </c>
      <c r="S70" s="2">
        <f t="shared" ca="1" si="79"/>
        <v>16979119.828883253</v>
      </c>
      <c r="T70" s="2">
        <f t="shared" ca="1" si="80"/>
        <v>49729220.59240932</v>
      </c>
      <c r="U70" s="2">
        <f t="shared" ca="1" si="81"/>
        <v>51411860.35113503</v>
      </c>
      <c r="V70" s="2">
        <f t="shared" ca="1" si="82"/>
        <v>53151433.971359402</v>
      </c>
      <c r="W70" s="2">
        <f t="shared" ca="1" si="83"/>
        <v>54949867.869338997</v>
      </c>
      <c r="X70" s="2">
        <f t="shared" ca="1" si="84"/>
        <v>56809153.643622525</v>
      </c>
      <c r="Y70" s="2">
        <f t="shared" ca="1" si="85"/>
        <v>0.12500339791336071</v>
      </c>
      <c r="Z70" s="2">
        <f t="shared" ca="1" si="86"/>
        <v>0.12700475707870501</v>
      </c>
      <c r="AA70" s="2">
        <f t="shared" ca="1" si="87"/>
        <v>6216321.549634234</v>
      </c>
      <c r="AB70" s="2">
        <f t="shared" ca="1" si="88"/>
        <v>6529550.8348602103</v>
      </c>
      <c r="AC70" s="2">
        <f t="shared" ca="1" si="89"/>
        <v>6750484.9599173302</v>
      </c>
      <c r="AD70" s="2">
        <f t="shared" ca="1" si="90"/>
        <v>6978894.6202523373</v>
      </c>
      <c r="AE70" s="2">
        <f t="shared" ca="1" si="91"/>
        <v>7215032.7583551081</v>
      </c>
      <c r="AF70" s="2">
        <f t="shared" ca="1" si="92"/>
        <v>994584.4118481864</v>
      </c>
      <c r="AG70" s="2">
        <f t="shared" ca="1" si="93"/>
        <v>1028237.2070227006</v>
      </c>
      <c r="AH70" s="2">
        <f t="shared" ca="1" si="94"/>
        <v>1063028.6794271881</v>
      </c>
      <c r="AI70" s="2">
        <f t="shared" ca="1" si="95"/>
        <v>1098997.35738678</v>
      </c>
      <c r="AJ70" s="2">
        <f t="shared" ca="1" si="96"/>
        <v>1136183.0728724506</v>
      </c>
      <c r="AK70" s="2">
        <f t="shared" ca="1" si="97"/>
        <v>0</v>
      </c>
      <c r="AL70" s="2">
        <f t="shared" ca="1" si="98"/>
        <v>16826.397587257103</v>
      </c>
      <c r="AM70" s="2">
        <f t="shared" ca="1" si="99"/>
        <v>17395.736202243716</v>
      </c>
      <c r="AN70" s="2">
        <f t="shared" ca="1" si="100"/>
        <v>17984.33897979595</v>
      </c>
      <c r="AO70" s="2">
        <f t="shared" ca="1" si="101"/>
        <v>18592.857742835284</v>
      </c>
      <c r="AP70" s="2">
        <f t="shared" ca="1" si="102"/>
        <v>2292181.176899239</v>
      </c>
      <c r="AQ70" s="2">
        <f t="shared" ca="1" si="103"/>
        <v>761684.54983057023</v>
      </c>
      <c r="AR70" s="2">
        <f t="shared" ca="1" si="104"/>
        <v>834374.43724395044</v>
      </c>
      <c r="AS70" s="2">
        <f t="shared" ca="1" si="105"/>
        <v>882771.52693363489</v>
      </c>
      <c r="AT70" s="2">
        <f t="shared" ca="1" si="106"/>
        <v>932806.18235124287</v>
      </c>
      <c r="AU70" s="2">
        <f t="shared" ca="1" si="107"/>
        <v>984533.81223168888</v>
      </c>
      <c r="AV70" s="2">
        <f t="shared" ca="1" si="108"/>
        <v>2167871.4110562387</v>
      </c>
      <c r="AW70" s="2">
        <f t="shared" ca="1" si="109"/>
        <v>2357931.6161070629</v>
      </c>
      <c r="AX70" s="2">
        <f t="shared" ca="1" si="110"/>
        <v>2495107.840455025</v>
      </c>
      <c r="AY70" s="2">
        <f t="shared" ca="1" si="111"/>
        <v>2636925.5646352801</v>
      </c>
      <c r="AZ70" s="2">
        <f t="shared" ca="1" si="112"/>
        <v>2783541.838608895</v>
      </c>
      <c r="BA70" s="2">
        <f t="shared" ca="1" si="113"/>
        <v>54094886.918444112</v>
      </c>
      <c r="BB70" s="2">
        <f t="shared" ca="1" si="114"/>
        <v>1081897.7383688823</v>
      </c>
      <c r="BC70" s="2">
        <f t="shared" ca="1" si="115"/>
        <v>27544309.436750352</v>
      </c>
      <c r="BD70" s="2">
        <f t="shared" ca="1" si="116"/>
        <v>-18540314.818188455</v>
      </c>
      <c r="BE70" s="2">
        <f t="shared" ca="1" si="117"/>
        <v>2167871.4110562387</v>
      </c>
      <c r="BF70" s="2">
        <f t="shared" ca="1" si="118"/>
        <v>2357931.6161070629</v>
      </c>
      <c r="BG70" s="2">
        <f t="shared" ca="1" si="119"/>
        <v>2495107.840455025</v>
      </c>
      <c r="BH70" s="2">
        <f t="shared" ca="1" si="120"/>
        <v>2636925.5646352801</v>
      </c>
      <c r="BI70" s="2">
        <f t="shared" ca="1" si="121"/>
        <v>30327851.275359247</v>
      </c>
      <c r="BJ70" s="2">
        <f t="shared" ca="1" si="122"/>
        <v>0.19695766286695315</v>
      </c>
      <c r="BK70" s="2">
        <f t="shared" ca="1" si="123"/>
        <v>5935632.9386256896</v>
      </c>
    </row>
    <row r="71" spans="1:63" x14ac:dyDescent="0.3">
      <c r="A71" s="2">
        <v>70</v>
      </c>
      <c r="B71" s="2">
        <f t="shared" ca="1" si="62"/>
        <v>0.27540765136681733</v>
      </c>
      <c r="C71" s="2">
        <f t="shared" ca="1" si="63"/>
        <v>6.7421693221453136</v>
      </c>
      <c r="D71" s="2">
        <f t="shared" ca="1" si="64"/>
        <v>0.88547972115639262</v>
      </c>
      <c r="E71" s="2">
        <f t="shared" ca="1" si="65"/>
        <v>8.0214181807807421</v>
      </c>
      <c r="F71" s="2">
        <f t="shared" ca="1" si="66"/>
        <v>0.96772203604559892</v>
      </c>
      <c r="G71" s="2">
        <f t="shared" ca="1" si="67"/>
        <v>9.5449628265402015E-2</v>
      </c>
      <c r="H71" s="2">
        <f t="shared" ca="1" si="68"/>
        <v>9.5449628265402015E-2</v>
      </c>
      <c r="I71" s="2">
        <f t="shared" ca="1" si="69"/>
        <v>0.63176863713274867</v>
      </c>
      <c r="J71" s="2">
        <f t="shared" ca="1" si="70"/>
        <v>1.1682706415405199E-2</v>
      </c>
      <c r="K71" s="2">
        <f t="shared" ca="1" si="71"/>
        <v>1.1682706415405199E-2</v>
      </c>
      <c r="L71" s="2">
        <f t="shared" ca="1" si="72"/>
        <v>0.1027608324072693</v>
      </c>
      <c r="M71" s="2">
        <f t="shared" ca="1" si="73"/>
        <v>-2.5319520560016913E-2</v>
      </c>
      <c r="N71" s="2">
        <f t="shared" ca="1" si="74"/>
        <v>-2.5319520560016913E-2</v>
      </c>
      <c r="O71" s="2">
        <f t="shared" si="75"/>
        <v>6000000</v>
      </c>
      <c r="P71" s="2">
        <f t="shared" ca="1" si="76"/>
        <v>40453015.932871878</v>
      </c>
      <c r="Q71" s="2">
        <f t="shared" ca="1" si="77"/>
        <v>1011325.398321797</v>
      </c>
      <c r="R71" s="2">
        <f t="shared" ca="1" si="78"/>
        <v>24271809.559723128</v>
      </c>
      <c r="S71" s="2">
        <f t="shared" ca="1" si="79"/>
        <v>16181206.373148752</v>
      </c>
      <c r="T71" s="2">
        <f t="shared" ca="1" si="80"/>
        <v>48734023.971999153</v>
      </c>
      <c r="U71" s="2">
        <f t="shared" ca="1" si="81"/>
        <v>53385668.444003664</v>
      </c>
      <c r="V71" s="2">
        <f t="shared" ca="1" si="82"/>
        <v>58481310.651683815</v>
      </c>
      <c r="W71" s="2">
        <f t="shared" ca="1" si="83"/>
        <v>64063330.013860531</v>
      </c>
      <c r="X71" s="2">
        <f t="shared" ca="1" si="84"/>
        <v>70178151.049127296</v>
      </c>
      <c r="Y71" s="2">
        <f t="shared" ca="1" si="85"/>
        <v>0.12584135320770259</v>
      </c>
      <c r="Z71" s="2">
        <f t="shared" ca="1" si="86"/>
        <v>0.12817789449078362</v>
      </c>
      <c r="AA71" s="2">
        <f t="shared" ca="1" si="87"/>
        <v>6132755.5238929912</v>
      </c>
      <c r="AB71" s="2">
        <f t="shared" ca="1" si="88"/>
        <v>6842862.5771354586</v>
      </c>
      <c r="AC71" s="2">
        <f t="shared" ca="1" si="89"/>
        <v>7496011.2663942687</v>
      </c>
      <c r="AD71" s="2">
        <f t="shared" ca="1" si="90"/>
        <v>8211502.7552448669</v>
      </c>
      <c r="AE71" s="2">
        <f t="shared" ca="1" si="91"/>
        <v>8995287.6407333147</v>
      </c>
      <c r="AF71" s="2">
        <f t="shared" ca="1" si="92"/>
        <v>974680.47943998314</v>
      </c>
      <c r="AG71" s="2">
        <f t="shared" ca="1" si="93"/>
        <v>1067713.3688800733</v>
      </c>
      <c r="AH71" s="2">
        <f t="shared" ca="1" si="94"/>
        <v>1169626.2130336764</v>
      </c>
      <c r="AI71" s="2">
        <f t="shared" ca="1" si="95"/>
        <v>1281266.6002772106</v>
      </c>
      <c r="AJ71" s="2">
        <f t="shared" ca="1" si="96"/>
        <v>1403563.020982546</v>
      </c>
      <c r="AK71" s="2">
        <f t="shared" ca="1" si="97"/>
        <v>0</v>
      </c>
      <c r="AL71" s="2">
        <f t="shared" ca="1" si="98"/>
        <v>46516.444720045103</v>
      </c>
      <c r="AM71" s="2">
        <f t="shared" ca="1" si="99"/>
        <v>50956.422076801508</v>
      </c>
      <c r="AN71" s="2">
        <f t="shared" ca="1" si="100"/>
        <v>55820.193621767161</v>
      </c>
      <c r="AO71" s="2">
        <f t="shared" ca="1" si="101"/>
        <v>61148.210352667644</v>
      </c>
      <c r="AP71" s="2">
        <f t="shared" ca="1" si="102"/>
        <v>2184462.8603750812</v>
      </c>
      <c r="AQ71" s="2">
        <f t="shared" ca="1" si="103"/>
        <v>773139.16786026105</v>
      </c>
      <c r="AR71" s="2">
        <f t="shared" ca="1" si="104"/>
        <v>933578.45044887904</v>
      </c>
      <c r="AS71" s="2">
        <f t="shared" ca="1" si="105"/>
        <v>1076899.770176233</v>
      </c>
      <c r="AT71" s="2">
        <f t="shared" ca="1" si="106"/>
        <v>1233901.0565940696</v>
      </c>
      <c r="AU71" s="2">
        <f t="shared" ca="1" si="107"/>
        <v>1405888.0574376788</v>
      </c>
      <c r="AV71" s="2">
        <f t="shared" ca="1" si="108"/>
        <v>2200473.0162176657</v>
      </c>
      <c r="AW71" s="2">
        <f t="shared" ca="1" si="109"/>
        <v>2610591.4527113801</v>
      </c>
      <c r="AX71" s="2">
        <f t="shared" ca="1" si="110"/>
        <v>3014066.0007324768</v>
      </c>
      <c r="AY71" s="2">
        <f t="shared" ca="1" si="111"/>
        <v>3456052.0443767393</v>
      </c>
      <c r="AZ71" s="2">
        <f t="shared" ca="1" si="112"/>
        <v>3940225.4915853413</v>
      </c>
      <c r="BA71" s="2">
        <f t="shared" ca="1" si="113"/>
        <v>72154963.822730511</v>
      </c>
      <c r="BB71" s="2">
        <f t="shared" ca="1" si="114"/>
        <v>1443099.2764546103</v>
      </c>
      <c r="BC71" s="2">
        <f t="shared" ca="1" si="115"/>
        <v>46440054.986552775</v>
      </c>
      <c r="BD71" s="2">
        <f t="shared" ca="1" si="116"/>
        <v>-17692531.77147055</v>
      </c>
      <c r="BE71" s="2">
        <f t="shared" ca="1" si="117"/>
        <v>2200473.0162176657</v>
      </c>
      <c r="BF71" s="2">
        <f t="shared" ca="1" si="118"/>
        <v>2610591.4527113801</v>
      </c>
      <c r="BG71" s="2">
        <f t="shared" ca="1" si="119"/>
        <v>3014066.0007324768</v>
      </c>
      <c r="BH71" s="2">
        <f t="shared" ca="1" si="120"/>
        <v>3456052.0443767393</v>
      </c>
      <c r="BI71" s="2">
        <f t="shared" ca="1" si="121"/>
        <v>50380280.478138119</v>
      </c>
      <c r="BJ71" s="2">
        <f t="shared" ca="1" si="122"/>
        <v>0.32872592148564572</v>
      </c>
      <c r="BK71" s="2">
        <f t="shared" ca="1" si="123"/>
        <v>19282184.142580096</v>
      </c>
    </row>
    <row r="72" spans="1:63" x14ac:dyDescent="0.3">
      <c r="A72" s="2">
        <v>71</v>
      </c>
      <c r="B72" s="2">
        <f t="shared" ca="1" si="62"/>
        <v>0.450741286897125</v>
      </c>
      <c r="C72" s="2">
        <f t="shared" ca="1" si="63"/>
        <v>6.9494643615187721</v>
      </c>
      <c r="D72" s="2">
        <f t="shared" ca="1" si="64"/>
        <v>0.12925613373857969</v>
      </c>
      <c r="E72" s="2">
        <f t="shared" ca="1" si="65"/>
        <v>7.0084410167139932</v>
      </c>
      <c r="F72" s="2">
        <f t="shared" ca="1" si="66"/>
        <v>0.87038605551074832</v>
      </c>
      <c r="G72" s="2">
        <f t="shared" ca="1" si="67"/>
        <v>7.3846538218661689E-2</v>
      </c>
      <c r="H72" s="2">
        <f t="shared" ca="1" si="68"/>
        <v>7.3846538218661689E-2</v>
      </c>
      <c r="I72" s="2">
        <f t="shared" ca="1" si="69"/>
        <v>0.72230169803770461</v>
      </c>
      <c r="J72" s="2">
        <f t="shared" ca="1" si="70"/>
        <v>1.294846414342344E-2</v>
      </c>
      <c r="K72" s="2">
        <f t="shared" ca="1" si="71"/>
        <v>1.294846414342344E-2</v>
      </c>
      <c r="L72" s="2">
        <f t="shared" ca="1" si="72"/>
        <v>8.9633298378029358E-2</v>
      </c>
      <c r="M72" s="2">
        <f t="shared" ca="1" si="73"/>
        <v>-2.6860332123392179E-2</v>
      </c>
      <c r="N72" s="2">
        <f t="shared" ca="1" si="74"/>
        <v>-2.6860332123392179E-2</v>
      </c>
      <c r="O72" s="2">
        <f t="shared" si="75"/>
        <v>6000000</v>
      </c>
      <c r="P72" s="2">
        <f t="shared" ca="1" si="76"/>
        <v>41696786.16911263</v>
      </c>
      <c r="Q72" s="2">
        <f t="shared" ca="1" si="77"/>
        <v>1042419.6542278158</v>
      </c>
      <c r="R72" s="2">
        <f t="shared" ca="1" si="78"/>
        <v>25018071.701467577</v>
      </c>
      <c r="S72" s="2">
        <f t="shared" ca="1" si="79"/>
        <v>16678714.467645053</v>
      </c>
      <c r="T72" s="2">
        <f t="shared" ca="1" si="80"/>
        <v>48656983.393830389</v>
      </c>
      <c r="U72" s="2">
        <f t="shared" ca="1" si="81"/>
        <v>52250133.177627675</v>
      </c>
      <c r="V72" s="2">
        <f t="shared" ca="1" si="82"/>
        <v>56108624.634259522</v>
      </c>
      <c r="W72" s="2">
        <f t="shared" ca="1" si="83"/>
        <v>60252052.327709913</v>
      </c>
      <c r="X72" s="2">
        <f t="shared" ca="1" si="84"/>
        <v>64701457.812680952</v>
      </c>
      <c r="Y72" s="2">
        <f t="shared" ca="1" si="85"/>
        <v>0.12647423207171171</v>
      </c>
      <c r="Z72" s="2">
        <f t="shared" ca="1" si="86"/>
        <v>0.12906392490039639</v>
      </c>
      <c r="AA72" s="2">
        <f t="shared" ca="1" si="87"/>
        <v>6153854.6096607279</v>
      </c>
      <c r="AB72" s="2">
        <f t="shared" ca="1" si="88"/>
        <v>6743607.264473048</v>
      </c>
      <c r="AC72" s="2">
        <f t="shared" ca="1" si="89"/>
        <v>7241599.3160606017</v>
      </c>
      <c r="AD72" s="2">
        <f t="shared" ca="1" si="90"/>
        <v>7776366.3567183055</v>
      </c>
      <c r="AE72" s="2">
        <f t="shared" ca="1" si="91"/>
        <v>8350624.0920820199</v>
      </c>
      <c r="AF72" s="2">
        <f t="shared" ca="1" si="92"/>
        <v>973139.66787660774</v>
      </c>
      <c r="AG72" s="2">
        <f t="shared" ca="1" si="93"/>
        <v>1045002.6635525535</v>
      </c>
      <c r="AH72" s="2">
        <f t="shared" ca="1" si="94"/>
        <v>1122172.4926851904</v>
      </c>
      <c r="AI72" s="2">
        <f t="shared" ca="1" si="95"/>
        <v>1205041.0465541983</v>
      </c>
      <c r="AJ72" s="2">
        <f t="shared" ca="1" si="96"/>
        <v>1294029.1562536191</v>
      </c>
      <c r="AK72" s="2">
        <f t="shared" ca="1" si="97"/>
        <v>0</v>
      </c>
      <c r="AL72" s="2">
        <f t="shared" ca="1" si="98"/>
        <v>35931.497837972864</v>
      </c>
      <c r="AM72" s="2">
        <f t="shared" ca="1" si="99"/>
        <v>38584.914566318468</v>
      </c>
      <c r="AN72" s="2">
        <f t="shared" ca="1" si="100"/>
        <v>41434.276934503912</v>
      </c>
      <c r="AO72" s="2">
        <f t="shared" ca="1" si="101"/>
        <v>44494.054849710388</v>
      </c>
      <c r="AP72" s="2">
        <f t="shared" ca="1" si="102"/>
        <v>2251626.4531320818</v>
      </c>
      <c r="AQ72" s="2">
        <f t="shared" ca="1" si="103"/>
        <v>761563.00704953005</v>
      </c>
      <c r="AR72" s="2">
        <f t="shared" ca="1" si="104"/>
        <v>896214.31842498737</v>
      </c>
      <c r="AS72" s="2">
        <f t="shared" ca="1" si="105"/>
        <v>1005628.0962632657</v>
      </c>
      <c r="AT72" s="2">
        <f t="shared" ca="1" si="106"/>
        <v>1123121.7028283265</v>
      </c>
      <c r="AU72" s="2">
        <f t="shared" ca="1" si="107"/>
        <v>1249291.8055010431</v>
      </c>
      <c r="AV72" s="2">
        <f t="shared" ca="1" si="108"/>
        <v>2167525.4816025086</v>
      </c>
      <c r="AW72" s="2">
        <f t="shared" ca="1" si="109"/>
        <v>2514832.3315254524</v>
      </c>
      <c r="AX72" s="2">
        <f t="shared" ca="1" si="110"/>
        <v>2823587.3594137449</v>
      </c>
      <c r="AY72" s="2">
        <f t="shared" ca="1" si="111"/>
        <v>3155142.8772691954</v>
      </c>
      <c r="AZ72" s="2">
        <f t="shared" ca="1" si="112"/>
        <v>3511182.6223455658</v>
      </c>
      <c r="BA72" s="2">
        <f t="shared" ca="1" si="113"/>
        <v>58524856.402107678</v>
      </c>
      <c r="BB72" s="2">
        <f t="shared" ca="1" si="114"/>
        <v>1170497.1280421535</v>
      </c>
      <c r="BC72" s="2">
        <f t="shared" ca="1" si="115"/>
        <v>32336287.572597947</v>
      </c>
      <c r="BD72" s="2">
        <f t="shared" ca="1" si="116"/>
        <v>-18221134.121872868</v>
      </c>
      <c r="BE72" s="2">
        <f t="shared" ca="1" si="117"/>
        <v>2167525.4816025086</v>
      </c>
      <c r="BF72" s="2">
        <f t="shared" ca="1" si="118"/>
        <v>2514832.3315254524</v>
      </c>
      <c r="BG72" s="2">
        <f t="shared" ca="1" si="119"/>
        <v>2823587.3594137449</v>
      </c>
      <c r="BH72" s="2">
        <f t="shared" ca="1" si="120"/>
        <v>3155142.8772691954</v>
      </c>
      <c r="BI72" s="2">
        <f t="shared" ca="1" si="121"/>
        <v>35847470.19494351</v>
      </c>
      <c r="BJ72" s="2">
        <f t="shared" ca="1" si="122"/>
        <v>0.24338541081198484</v>
      </c>
      <c r="BK72" s="2">
        <f t="shared" ca="1" si="123"/>
        <v>10074706.77150438</v>
      </c>
    </row>
    <row r="73" spans="1:63" x14ac:dyDescent="0.3">
      <c r="A73" s="2">
        <v>72</v>
      </c>
      <c r="B73" s="2">
        <f t="shared" ca="1" si="62"/>
        <v>0.62770719318368229</v>
      </c>
      <c r="C73" s="2">
        <f t="shared" ca="1" si="63"/>
        <v>7.1371062558850973</v>
      </c>
      <c r="D73" s="2">
        <f t="shared" ca="1" si="64"/>
        <v>0.21841973970259809</v>
      </c>
      <c r="E73" s="2">
        <f t="shared" ca="1" si="65"/>
        <v>7.1609383325282296</v>
      </c>
      <c r="F73" s="2">
        <f t="shared" ca="1" si="66"/>
        <v>5.9458416428692762E-2</v>
      </c>
      <c r="G73" s="2">
        <f t="shared" ca="1" si="67"/>
        <v>-6.7800853903866795E-3</v>
      </c>
      <c r="H73" s="2">
        <f t="shared" ca="1" si="68"/>
        <v>-6.7800853903866795E-3</v>
      </c>
      <c r="I73" s="2">
        <f t="shared" ca="1" si="69"/>
        <v>0.64180586559969932</v>
      </c>
      <c r="J73" s="2">
        <f t="shared" ca="1" si="70"/>
        <v>1.1816449958818325E-2</v>
      </c>
      <c r="K73" s="2">
        <f t="shared" ca="1" si="71"/>
        <v>1.1816449958818325E-2</v>
      </c>
      <c r="L73" s="2">
        <f t="shared" ca="1" si="72"/>
        <v>0.34655688896626069</v>
      </c>
      <c r="M73" s="2">
        <f t="shared" ca="1" si="73"/>
        <v>-7.8926593964492968E-3</v>
      </c>
      <c r="N73" s="2">
        <f t="shared" ca="1" si="74"/>
        <v>-7.8926593964492968E-3</v>
      </c>
      <c r="O73" s="2">
        <f t="shared" si="75"/>
        <v>6000000</v>
      </c>
      <c r="P73" s="2">
        <f t="shared" ca="1" si="76"/>
        <v>42822637.535310581</v>
      </c>
      <c r="Q73" s="2">
        <f t="shared" ca="1" si="77"/>
        <v>1070565.9383827646</v>
      </c>
      <c r="R73" s="2">
        <f t="shared" ca="1" si="78"/>
        <v>25693582.521186348</v>
      </c>
      <c r="S73" s="2">
        <f t="shared" ca="1" si="79"/>
        <v>17129055.014124233</v>
      </c>
      <c r="T73" s="2">
        <f t="shared" ca="1" si="80"/>
        <v>49605367.030177534</v>
      </c>
      <c r="U73" s="2">
        <f t="shared" ca="1" si="81"/>
        <v>49269038.405891456</v>
      </c>
      <c r="V73" s="2">
        <f t="shared" ca="1" si="82"/>
        <v>48934990.118397273</v>
      </c>
      <c r="W73" s="2">
        <f t="shared" ca="1" si="83"/>
        <v>48603206.706816815</v>
      </c>
      <c r="X73" s="2">
        <f t="shared" ca="1" si="84"/>
        <v>48273672.81509798</v>
      </c>
      <c r="Y73" s="2">
        <f t="shared" ca="1" si="85"/>
        <v>0.12590822497940915</v>
      </c>
      <c r="Z73" s="2">
        <f t="shared" ca="1" si="86"/>
        <v>0.12827151497117281</v>
      </c>
      <c r="AA73" s="2">
        <f t="shared" ca="1" si="87"/>
        <v>6245723.7122217584</v>
      </c>
      <c r="AB73" s="2">
        <f t="shared" ca="1" si="88"/>
        <v>6319814.1974965939</v>
      </c>
      <c r="AC73" s="2">
        <f t="shared" ca="1" si="89"/>
        <v>6276965.3175861891</v>
      </c>
      <c r="AD73" s="2">
        <f t="shared" ca="1" si="90"/>
        <v>6234406.9567404594</v>
      </c>
      <c r="AE73" s="2">
        <f t="shared" ca="1" si="91"/>
        <v>6192137.1452153381</v>
      </c>
      <c r="AF73" s="2">
        <f t="shared" ca="1" si="92"/>
        <v>992107.34060355066</v>
      </c>
      <c r="AG73" s="2">
        <f t="shared" ca="1" si="93"/>
        <v>985380.76811782911</v>
      </c>
      <c r="AH73" s="2">
        <f t="shared" ca="1" si="94"/>
        <v>978699.80236794543</v>
      </c>
      <c r="AI73" s="2">
        <f t="shared" ca="1" si="95"/>
        <v>972064.13413633627</v>
      </c>
      <c r="AJ73" s="2">
        <f t="shared" ca="1" si="96"/>
        <v>965473.45630195958</v>
      </c>
      <c r="AK73" s="2">
        <f t="shared" ca="1" si="97"/>
        <v>0</v>
      </c>
      <c r="AL73" s="2">
        <f t="shared" ca="1" si="98"/>
        <v>0</v>
      </c>
      <c r="AM73" s="2">
        <f t="shared" ca="1" si="99"/>
        <v>0</v>
      </c>
      <c r="AN73" s="2">
        <f t="shared" ca="1" si="100"/>
        <v>0</v>
      </c>
      <c r="AO73" s="2">
        <f t="shared" ca="1" si="101"/>
        <v>0</v>
      </c>
      <c r="AP73" s="2">
        <f t="shared" ca="1" si="102"/>
        <v>2312422.426906771</v>
      </c>
      <c r="AQ73" s="2">
        <f t="shared" ca="1" si="103"/>
        <v>764710.42562497349</v>
      </c>
      <c r="AR73" s="2">
        <f t="shared" ca="1" si="104"/>
        <v>785722.86064271838</v>
      </c>
      <c r="AS73" s="2">
        <f t="shared" ca="1" si="105"/>
        <v>776319.20296098304</v>
      </c>
      <c r="AT73" s="2">
        <f t="shared" ca="1" si="106"/>
        <v>766979.30288131163</v>
      </c>
      <c r="AU73" s="2">
        <f t="shared" ca="1" si="107"/>
        <v>757702.72812171804</v>
      </c>
      <c r="AV73" s="2">
        <f t="shared" ca="1" si="108"/>
        <v>2176483.5190864634</v>
      </c>
      <c r="AW73" s="2">
        <f t="shared" ca="1" si="109"/>
        <v>2236288.1418292755</v>
      </c>
      <c r="AX73" s="2">
        <f t="shared" ca="1" si="110"/>
        <v>2209523.88535049</v>
      </c>
      <c r="AY73" s="2">
        <f t="shared" ca="1" si="111"/>
        <v>2182941.0928160409</v>
      </c>
      <c r="AZ73" s="2">
        <f t="shared" ca="1" si="112"/>
        <v>2156538.5338848894</v>
      </c>
      <c r="BA73" s="2">
        <f t="shared" ca="1" si="113"/>
        <v>44341512.243444435</v>
      </c>
      <c r="BB73" s="2">
        <f t="shared" ca="1" si="114"/>
        <v>886830.24486888875</v>
      </c>
      <c r="BC73" s="2">
        <f t="shared" ca="1" si="115"/>
        <v>17761099.477389198</v>
      </c>
      <c r="BD73" s="2">
        <f t="shared" ca="1" si="116"/>
        <v>-18699620.952506997</v>
      </c>
      <c r="BE73" s="2">
        <f t="shared" ca="1" si="117"/>
        <v>2176483.5190864634</v>
      </c>
      <c r="BF73" s="2">
        <f t="shared" ca="1" si="118"/>
        <v>2236288.1418292755</v>
      </c>
      <c r="BG73" s="2">
        <f t="shared" ca="1" si="119"/>
        <v>2209523.88535049</v>
      </c>
      <c r="BH73" s="2">
        <f t="shared" ca="1" si="120"/>
        <v>2182941.0928160409</v>
      </c>
      <c r="BI73" s="2">
        <f t="shared" ca="1" si="121"/>
        <v>19917638.011274088</v>
      </c>
      <c r="BJ73" s="2">
        <f t="shared" ca="1" si="122"/>
        <v>0.1092627542454172</v>
      </c>
      <c r="BK73" s="2">
        <f t="shared" ca="1" si="123"/>
        <v>-711780.18375322968</v>
      </c>
    </row>
    <row r="74" spans="1:63" x14ac:dyDescent="0.3">
      <c r="A74" s="2">
        <v>73</v>
      </c>
      <c r="B74" s="2">
        <f t="shared" ca="1" si="62"/>
        <v>0.8601914266679006</v>
      </c>
      <c r="C74" s="2">
        <f t="shared" ca="1" si="63"/>
        <v>7.47121162393241</v>
      </c>
      <c r="D74" s="2">
        <f t="shared" ca="1" si="64"/>
        <v>0.25381118756965959</v>
      </c>
      <c r="E74" s="2">
        <f t="shared" ca="1" si="65"/>
        <v>7.2124762277713685</v>
      </c>
      <c r="F74" s="2">
        <f t="shared" ca="1" si="66"/>
        <v>0.25338478165782907</v>
      </c>
      <c r="G74" s="2">
        <f t="shared" ca="1" si="67"/>
        <v>2.0083714618181377E-2</v>
      </c>
      <c r="H74" s="2">
        <f t="shared" ca="1" si="68"/>
        <v>2.0083714618181377E-2</v>
      </c>
      <c r="I74" s="2">
        <f t="shared" ca="1" si="69"/>
        <v>0.95763466800684482</v>
      </c>
      <c r="J74" s="2">
        <f t="shared" ca="1" si="70"/>
        <v>1.8619368004838988E-2</v>
      </c>
      <c r="K74" s="2">
        <f t="shared" ca="1" si="71"/>
        <v>1.8619368004838988E-2</v>
      </c>
      <c r="L74" s="2">
        <f t="shared" ca="1" si="72"/>
        <v>0.90053022046784692</v>
      </c>
      <c r="M74" s="2">
        <f t="shared" ca="1" si="73"/>
        <v>2.5691573243223687E-2</v>
      </c>
      <c r="N74" s="2">
        <f t="shared" ca="1" si="74"/>
        <v>2.5691573243223687E-2</v>
      </c>
      <c r="O74" s="2">
        <f t="shared" si="75"/>
        <v>6000000</v>
      </c>
      <c r="P74" s="2">
        <f t="shared" ca="1" si="76"/>
        <v>44827269.74359446</v>
      </c>
      <c r="Q74" s="2">
        <f t="shared" ca="1" si="77"/>
        <v>1120681.7435898616</v>
      </c>
      <c r="R74" s="2">
        <f t="shared" ca="1" si="78"/>
        <v>26896361.846156675</v>
      </c>
      <c r="S74" s="2">
        <f t="shared" ca="1" si="79"/>
        <v>17930907.897437785</v>
      </c>
      <c r="T74" s="2">
        <f t="shared" ca="1" si="80"/>
        <v>51284578.662161186</v>
      </c>
      <c r="U74" s="2">
        <f t="shared" ca="1" si="81"/>
        <v>52314563.504325703</v>
      </c>
      <c r="V74" s="2">
        <f t="shared" ca="1" si="82"/>
        <v>53365234.26812131</v>
      </c>
      <c r="W74" s="2">
        <f t="shared" ca="1" si="83"/>
        <v>54437006.403694652</v>
      </c>
      <c r="X74" s="2">
        <f t="shared" ca="1" si="84"/>
        <v>55530303.704974569</v>
      </c>
      <c r="Y74" s="2">
        <f t="shared" ca="1" si="85"/>
        <v>0.12930968400241949</v>
      </c>
      <c r="Z74" s="2">
        <f t="shared" ca="1" si="86"/>
        <v>0.13303355760338728</v>
      </c>
      <c r="AA74" s="2">
        <f t="shared" ca="1" si="87"/>
        <v>6631592.6610012883</v>
      </c>
      <c r="AB74" s="2">
        <f t="shared" ca="1" si="88"/>
        <v>6959592.497448775</v>
      </c>
      <c r="AC74" s="2">
        <f t="shared" ca="1" si="89"/>
        <v>7099366.9670263734</v>
      </c>
      <c r="AD74" s="2">
        <f t="shared" ca="1" si="90"/>
        <v>7241948.6271618744</v>
      </c>
      <c r="AE74" s="2">
        <f t="shared" ca="1" si="91"/>
        <v>7387393.8566693245</v>
      </c>
      <c r="AF74" s="2">
        <f t="shared" ca="1" si="92"/>
        <v>1025691.5732432237</v>
      </c>
      <c r="AG74" s="2">
        <f t="shared" ca="1" si="93"/>
        <v>1046291.2700865141</v>
      </c>
      <c r="AH74" s="2">
        <f t="shared" ca="1" si="94"/>
        <v>1067304.6853624261</v>
      </c>
      <c r="AI74" s="2">
        <f t="shared" ca="1" si="95"/>
        <v>1088740.128073893</v>
      </c>
      <c r="AJ74" s="2">
        <f t="shared" ca="1" si="96"/>
        <v>1110606.0740994914</v>
      </c>
      <c r="AK74" s="2">
        <f t="shared" ca="1" si="97"/>
        <v>0</v>
      </c>
      <c r="AL74" s="2">
        <f t="shared" ca="1" si="98"/>
        <v>10299.848421645165</v>
      </c>
      <c r="AM74" s="2">
        <f t="shared" ca="1" si="99"/>
        <v>10506.707637956068</v>
      </c>
      <c r="AN74" s="2">
        <f t="shared" ca="1" si="100"/>
        <v>10717.721355733425</v>
      </c>
      <c r="AO74" s="2">
        <f t="shared" ca="1" si="101"/>
        <v>10932.973012799173</v>
      </c>
      <c r="AP74" s="2">
        <f t="shared" ca="1" si="102"/>
        <v>2420672.5661541005</v>
      </c>
      <c r="AQ74" s="2">
        <f t="shared" ca="1" si="103"/>
        <v>828159.41561703058</v>
      </c>
      <c r="AR74" s="2">
        <f t="shared" ca="1" si="104"/>
        <v>908083.45191412186</v>
      </c>
      <c r="AS74" s="2">
        <f t="shared" ca="1" si="105"/>
        <v>938961.32603256009</v>
      </c>
      <c r="AT74" s="2">
        <f t="shared" ca="1" si="106"/>
        <v>970459.34256280924</v>
      </c>
      <c r="AU74" s="2">
        <f t="shared" ca="1" si="107"/>
        <v>1002589.9562680905</v>
      </c>
      <c r="AV74" s="2">
        <f t="shared" ca="1" si="108"/>
        <v>2357069.1059869337</v>
      </c>
      <c r="AW74" s="2">
        <f t="shared" ca="1" si="109"/>
        <v>2574245.360872393</v>
      </c>
      <c r="AX74" s="2">
        <f t="shared" ca="1" si="110"/>
        <v>2661921.6818393297</v>
      </c>
      <c r="AY74" s="2">
        <f t="shared" ca="1" si="111"/>
        <v>2751358.8690153384</v>
      </c>
      <c r="AZ74" s="2">
        <f t="shared" ca="1" si="112"/>
        <v>2842592.2871348425</v>
      </c>
      <c r="BA74" s="2">
        <f t="shared" ca="1" si="113"/>
        <v>53281402.576411754</v>
      </c>
      <c r="BB74" s="2">
        <f t="shared" ca="1" si="114"/>
        <v>1065628.0515282352</v>
      </c>
      <c r="BC74" s="2">
        <f t="shared" ca="1" si="115"/>
        <v>25319412.678726844</v>
      </c>
      <c r="BD74" s="2">
        <f t="shared" ca="1" si="116"/>
        <v>-19551589.641027648</v>
      </c>
      <c r="BE74" s="2">
        <f t="shared" ca="1" si="117"/>
        <v>2357069.1059869337</v>
      </c>
      <c r="BF74" s="2">
        <f t="shared" ca="1" si="118"/>
        <v>2574245.360872393</v>
      </c>
      <c r="BG74" s="2">
        <f t="shared" ca="1" si="119"/>
        <v>2661921.6818393297</v>
      </c>
      <c r="BH74" s="2">
        <f t="shared" ca="1" si="120"/>
        <v>2751358.8690153384</v>
      </c>
      <c r="BI74" s="2">
        <f t="shared" ca="1" si="121"/>
        <v>28162004.965861686</v>
      </c>
      <c r="BJ74" s="2">
        <f t="shared" ca="1" si="122"/>
        <v>0.17466434637416661</v>
      </c>
      <c r="BK74" s="2">
        <f t="shared" ca="1" si="123"/>
        <v>4228228.4917709492</v>
      </c>
    </row>
    <row r="75" spans="1:63" x14ac:dyDescent="0.3">
      <c r="A75" s="2">
        <v>74</v>
      </c>
      <c r="B75" s="2">
        <f t="shared" ca="1" si="62"/>
        <v>0.11783577398717715</v>
      </c>
      <c r="C75" s="2">
        <f t="shared" ca="1" si="63"/>
        <v>6.485460140458879</v>
      </c>
      <c r="D75" s="2">
        <f t="shared" ca="1" si="64"/>
        <v>0.85547068881753285</v>
      </c>
      <c r="E75" s="2">
        <f t="shared" ca="1" si="65"/>
        <v>7.962358276949292</v>
      </c>
      <c r="F75" s="2">
        <f t="shared" ca="1" si="66"/>
        <v>0.71812480122614475</v>
      </c>
      <c r="G75" s="2">
        <f t="shared" ca="1" si="67"/>
        <v>5.7318396646716868E-2</v>
      </c>
      <c r="H75" s="2">
        <f t="shared" ca="1" si="68"/>
        <v>5.7318396646716868E-2</v>
      </c>
      <c r="I75" s="2">
        <f t="shared" ca="1" si="69"/>
        <v>0.72667789654340453</v>
      </c>
      <c r="J75" s="2">
        <f t="shared" ca="1" si="70"/>
        <v>1.3013981511821949E-2</v>
      </c>
      <c r="K75" s="2">
        <f t="shared" ca="1" si="71"/>
        <v>1.3013981511821949E-2</v>
      </c>
      <c r="L75" s="2">
        <f t="shared" ca="1" si="72"/>
        <v>0.29623368649480453</v>
      </c>
      <c r="M75" s="2">
        <f t="shared" ca="1" si="73"/>
        <v>-1.0705278360673628E-2</v>
      </c>
      <c r="N75" s="2">
        <f t="shared" ca="1" si="74"/>
        <v>-1.0705278360673628E-2</v>
      </c>
      <c r="O75" s="2">
        <f t="shared" si="75"/>
        <v>6000000</v>
      </c>
      <c r="P75" s="2">
        <f t="shared" ca="1" si="76"/>
        <v>38912760.842753276</v>
      </c>
      <c r="Q75" s="2">
        <f t="shared" ca="1" si="77"/>
        <v>972819.02106883191</v>
      </c>
      <c r="R75" s="2">
        <f t="shared" ca="1" si="78"/>
        <v>23347656.505651966</v>
      </c>
      <c r="S75" s="2">
        <f t="shared" ca="1" si="79"/>
        <v>15565104.33710131</v>
      </c>
      <c r="T75" s="2">
        <f t="shared" ca="1" si="80"/>
        <v>49464736.081966318</v>
      </c>
      <c r="U75" s="2">
        <f t="shared" ca="1" si="81"/>
        <v>52299975.444737628</v>
      </c>
      <c r="V75" s="2">
        <f t="shared" ca="1" si="82"/>
        <v>55297726.181892648</v>
      </c>
      <c r="W75" s="2">
        <f t="shared" ca="1" si="83"/>
        <v>58467303.184847906</v>
      </c>
      <c r="X75" s="2">
        <f t="shared" ca="1" si="84"/>
        <v>61818555.259660862</v>
      </c>
      <c r="Y75" s="2">
        <f t="shared" ca="1" si="85"/>
        <v>0.12650699075591096</v>
      </c>
      <c r="Z75" s="2">
        <f t="shared" ca="1" si="86"/>
        <v>0.12910978705827536</v>
      </c>
      <c r="AA75" s="2">
        <f t="shared" ca="1" si="87"/>
        <v>6257634.9102648878</v>
      </c>
      <c r="AB75" s="2">
        <f t="shared" ca="1" si="88"/>
        <v>6752438.6928231055</v>
      </c>
      <c r="AC75" s="2">
        <f t="shared" ca="1" si="89"/>
        <v>7139477.6521509783</v>
      </c>
      <c r="AD75" s="2">
        <f t="shared" ca="1" si="90"/>
        <v>7548701.0640673377</v>
      </c>
      <c r="AE75" s="2">
        <f t="shared" ca="1" si="91"/>
        <v>7981380.5058250418</v>
      </c>
      <c r="AF75" s="2">
        <f t="shared" ca="1" si="92"/>
        <v>989294.72163932642</v>
      </c>
      <c r="AG75" s="2">
        <f t="shared" ca="1" si="93"/>
        <v>1045999.5088947526</v>
      </c>
      <c r="AH75" s="2">
        <f t="shared" ca="1" si="94"/>
        <v>1105954.5236378531</v>
      </c>
      <c r="AI75" s="2">
        <f t="shared" ca="1" si="95"/>
        <v>1169346.0636969581</v>
      </c>
      <c r="AJ75" s="2">
        <f t="shared" ca="1" si="96"/>
        <v>1236371.1051932173</v>
      </c>
      <c r="AK75" s="2">
        <f t="shared" ca="1" si="97"/>
        <v>0</v>
      </c>
      <c r="AL75" s="2">
        <f t="shared" ca="1" si="98"/>
        <v>28352.3936277131</v>
      </c>
      <c r="AM75" s="2">
        <f t="shared" ca="1" si="99"/>
        <v>29977.507371550204</v>
      </c>
      <c r="AN75" s="2">
        <f t="shared" ca="1" si="100"/>
        <v>31695.770029552579</v>
      </c>
      <c r="AO75" s="2">
        <f t="shared" ca="1" si="101"/>
        <v>33512.520748129566</v>
      </c>
      <c r="AP75" s="2">
        <f t="shared" ca="1" si="102"/>
        <v>2101289.0855086767</v>
      </c>
      <c r="AQ75" s="2">
        <f t="shared" ca="1" si="103"/>
        <v>823433.28681038995</v>
      </c>
      <c r="AR75" s="2">
        <f t="shared" ca="1" si="104"/>
        <v>937339.0255891158</v>
      </c>
      <c r="AS75" s="2">
        <f t="shared" ca="1" si="105"/>
        <v>1022380.8511811568</v>
      </c>
      <c r="AT75" s="2">
        <f t="shared" ca="1" si="106"/>
        <v>1112297.137864043</v>
      </c>
      <c r="AU75" s="2">
        <f t="shared" ca="1" si="107"/>
        <v>1207367.2819320187</v>
      </c>
      <c r="AV75" s="2">
        <f t="shared" ca="1" si="108"/>
        <v>2343617.8163064946</v>
      </c>
      <c r="AW75" s="2">
        <f t="shared" ca="1" si="109"/>
        <v>2639458.6792028467</v>
      </c>
      <c r="AX75" s="2">
        <f t="shared" ca="1" si="110"/>
        <v>2879875.6844517416</v>
      </c>
      <c r="AY75" s="2">
        <f t="shared" ca="1" si="111"/>
        <v>3134073.0069681075</v>
      </c>
      <c r="AZ75" s="2">
        <f t="shared" ca="1" si="112"/>
        <v>3402840.512443</v>
      </c>
      <c r="BA75" s="2">
        <f t="shared" ca="1" si="113"/>
        <v>63550611.132037751</v>
      </c>
      <c r="BB75" s="2">
        <f t="shared" ca="1" si="114"/>
        <v>1271012.2226407551</v>
      </c>
      <c r="BC75" s="2">
        <f t="shared" ca="1" si="115"/>
        <v>38931942.403745033</v>
      </c>
      <c r="BD75" s="2">
        <f t="shared" ca="1" si="116"/>
        <v>-17037923.358170144</v>
      </c>
      <c r="BE75" s="2">
        <f t="shared" ca="1" si="117"/>
        <v>2343617.8163064946</v>
      </c>
      <c r="BF75" s="2">
        <f t="shared" ca="1" si="118"/>
        <v>2639458.6792028467</v>
      </c>
      <c r="BG75" s="2">
        <f t="shared" ca="1" si="119"/>
        <v>2879875.6844517416</v>
      </c>
      <c r="BH75" s="2">
        <f t="shared" ca="1" si="120"/>
        <v>3134073.0069681075</v>
      </c>
      <c r="BI75" s="2">
        <f t="shared" ca="1" si="121"/>
        <v>42334782.916188031</v>
      </c>
      <c r="BJ75" s="2">
        <f t="shared" ca="1" si="122"/>
        <v>0.30254520168011689</v>
      </c>
      <c r="BK75" s="2">
        <f t="shared" ca="1" si="123"/>
        <v>15222244.28933752</v>
      </c>
    </row>
    <row r="76" spans="1:63" x14ac:dyDescent="0.3">
      <c r="A76" s="2">
        <v>75</v>
      </c>
      <c r="B76" s="2">
        <f t="shared" ca="1" si="62"/>
        <v>8.0971896919064479E-2</v>
      </c>
      <c r="C76" s="2">
        <f t="shared" ca="1" si="63"/>
        <v>6.4024224072266964</v>
      </c>
      <c r="D76" s="2">
        <f t="shared" ca="1" si="64"/>
        <v>0.80002733184399044</v>
      </c>
      <c r="E76" s="2">
        <f t="shared" ca="1" si="65"/>
        <v>7.8675876848827029</v>
      </c>
      <c r="F76" s="2">
        <f t="shared" ca="1" si="66"/>
        <v>0.90598144358721822</v>
      </c>
      <c r="G76" s="2">
        <f t="shared" ca="1" si="67"/>
        <v>7.9492242318637857E-2</v>
      </c>
      <c r="H76" s="2">
        <f t="shared" ca="1" si="68"/>
        <v>7.9492242318637857E-2</v>
      </c>
      <c r="I76" s="2">
        <f t="shared" ca="1" si="69"/>
        <v>0.1489912762224016</v>
      </c>
      <c r="J76" s="2">
        <f t="shared" ca="1" si="70"/>
        <v>4.7961526488936148E-3</v>
      </c>
      <c r="K76" s="2">
        <f t="shared" ca="1" si="71"/>
        <v>4.7961526488936148E-3</v>
      </c>
      <c r="L76" s="2">
        <f t="shared" ca="1" si="72"/>
        <v>0.96128030049880908</v>
      </c>
      <c r="M76" s="2">
        <f t="shared" ca="1" si="73"/>
        <v>3.5314809500233017E-2</v>
      </c>
      <c r="N76" s="2">
        <f t="shared" ca="1" si="74"/>
        <v>3.5314809500233017E-2</v>
      </c>
      <c r="O76" s="2">
        <f t="shared" si="75"/>
        <v>6000000</v>
      </c>
      <c r="P76" s="2">
        <f t="shared" ca="1" si="76"/>
        <v>38414534.44336018</v>
      </c>
      <c r="Q76" s="2">
        <f t="shared" ca="1" si="77"/>
        <v>960363.36108400451</v>
      </c>
      <c r="R76" s="2">
        <f t="shared" ca="1" si="78"/>
        <v>23048720.666016106</v>
      </c>
      <c r="S76" s="2">
        <f t="shared" ca="1" si="79"/>
        <v>15365813.777344072</v>
      </c>
      <c r="T76" s="2">
        <f t="shared" ca="1" si="80"/>
        <v>51765740.475011647</v>
      </c>
      <c r="U76" s="2">
        <f t="shared" ca="1" si="81"/>
        <v>55880715.260654993</v>
      </c>
      <c r="V76" s="2">
        <f t="shared" ca="1" si="82"/>
        <v>60322798.619093791</v>
      </c>
      <c r="W76" s="2">
        <f t="shared" ca="1" si="83"/>
        <v>65117993.144261189</v>
      </c>
      <c r="X76" s="2">
        <f t="shared" ca="1" si="84"/>
        <v>70294368.434588209</v>
      </c>
      <c r="Y76" s="2">
        <f t="shared" ca="1" si="85"/>
        <v>0.1223980763244468</v>
      </c>
      <c r="Z76" s="2">
        <f t="shared" ca="1" si="86"/>
        <v>0.12335730685422552</v>
      </c>
      <c r="AA76" s="2">
        <f t="shared" ca="1" si="87"/>
        <v>6336027.0536519801</v>
      </c>
      <c r="AB76" s="2">
        <f t="shared" ca="1" si="88"/>
        <v>6893294.5396422213</v>
      </c>
      <c r="AC76" s="2">
        <f t="shared" ca="1" si="89"/>
        <v>7441257.9795612041</v>
      </c>
      <c r="AD76" s="2">
        <f t="shared" ca="1" si="90"/>
        <v>8032780.2620279817</v>
      </c>
      <c r="AE76" s="2">
        <f t="shared" ca="1" si="91"/>
        <v>8671323.9771094825</v>
      </c>
      <c r="AF76" s="2">
        <f t="shared" ca="1" si="92"/>
        <v>1035314.8095002329</v>
      </c>
      <c r="AG76" s="2">
        <f t="shared" ca="1" si="93"/>
        <v>1117614.3052130998</v>
      </c>
      <c r="AH76" s="2">
        <f t="shared" ca="1" si="94"/>
        <v>1206455.9723818759</v>
      </c>
      <c r="AI76" s="2">
        <f t="shared" ca="1" si="95"/>
        <v>1302359.8628852237</v>
      </c>
      <c r="AJ76" s="2">
        <f t="shared" ca="1" si="96"/>
        <v>1405887.3686917643</v>
      </c>
      <c r="AK76" s="2">
        <f t="shared" ca="1" si="97"/>
        <v>0</v>
      </c>
      <c r="AL76" s="2">
        <f t="shared" ca="1" si="98"/>
        <v>41149.747856433467</v>
      </c>
      <c r="AM76" s="2">
        <f t="shared" ca="1" si="99"/>
        <v>44420.833584387976</v>
      </c>
      <c r="AN76" s="2">
        <f t="shared" ca="1" si="100"/>
        <v>47951.945251673984</v>
      </c>
      <c r="AO76" s="2">
        <f t="shared" ca="1" si="101"/>
        <v>51763.7529032702</v>
      </c>
      <c r="AP76" s="2">
        <f t="shared" ca="1" si="102"/>
        <v>2074384.8599414495</v>
      </c>
      <c r="AQ76" s="2">
        <f t="shared" ca="1" si="103"/>
        <v>838845.11989467731</v>
      </c>
      <c r="AR76" s="2">
        <f t="shared" ca="1" si="104"/>
        <v>962336.79736679466</v>
      </c>
      <c r="AS76" s="2">
        <f t="shared" ca="1" si="105"/>
        <v>1081708.4582818486</v>
      </c>
      <c r="AT76" s="2">
        <f t="shared" ca="1" si="106"/>
        <v>1210569.2401923402</v>
      </c>
      <c r="AU76" s="2">
        <f t="shared" ca="1" si="107"/>
        <v>1349673.4546038299</v>
      </c>
      <c r="AV76" s="2">
        <f t="shared" ca="1" si="108"/>
        <v>2387482.2643156196</v>
      </c>
      <c r="AW76" s="2">
        <f t="shared" ca="1" si="109"/>
        <v>2697808.8292644429</v>
      </c>
      <c r="AX76" s="2">
        <f t="shared" ca="1" si="110"/>
        <v>3034287.8553716424</v>
      </c>
      <c r="AY76" s="2">
        <f t="shared" ca="1" si="111"/>
        <v>3397514.3537572934</v>
      </c>
      <c r="AZ76" s="2">
        <f t="shared" ca="1" si="112"/>
        <v>3789614.5409691683</v>
      </c>
      <c r="BA76" s="2">
        <f t="shared" ca="1" si="113"/>
        <v>68222401.733934671</v>
      </c>
      <c r="BB76" s="2">
        <f t="shared" ca="1" si="114"/>
        <v>1364448.0346786934</v>
      </c>
      <c r="BC76" s="2">
        <f t="shared" ca="1" si="115"/>
        <v>43809233.033239879</v>
      </c>
      <c r="BD76" s="2">
        <f t="shared" ca="1" si="116"/>
        <v>-16826177.138428077</v>
      </c>
      <c r="BE76" s="2">
        <f t="shared" ca="1" si="117"/>
        <v>2387482.2643156196</v>
      </c>
      <c r="BF76" s="2">
        <f t="shared" ca="1" si="118"/>
        <v>2697808.8292644429</v>
      </c>
      <c r="BG76" s="2">
        <f t="shared" ca="1" si="119"/>
        <v>3034287.8553716424</v>
      </c>
      <c r="BH76" s="2">
        <f t="shared" ca="1" si="120"/>
        <v>3397514.3537572934</v>
      </c>
      <c r="BI76" s="2">
        <f t="shared" ca="1" si="121"/>
        <v>47598847.574209049</v>
      </c>
      <c r="BJ76" s="2">
        <f t="shared" ca="1" si="122"/>
        <v>0.33589039947482746</v>
      </c>
      <c r="BK76" s="2">
        <f t="shared" ca="1" si="123"/>
        <v>18783972.506152198</v>
      </c>
    </row>
    <row r="77" spans="1:63" x14ac:dyDescent="0.3">
      <c r="A77" s="2">
        <v>76</v>
      </c>
      <c r="B77" s="2">
        <f t="shared" ca="1" si="62"/>
        <v>0.86047107052694394</v>
      </c>
      <c r="C77" s="2">
        <f t="shared" ca="1" si="63"/>
        <v>7.4717407275341854</v>
      </c>
      <c r="D77" s="2">
        <f t="shared" ca="1" si="64"/>
        <v>0.92467849632160604</v>
      </c>
      <c r="E77" s="2">
        <f t="shared" ca="1" si="65"/>
        <v>8.1118724341704294</v>
      </c>
      <c r="F77" s="2">
        <f t="shared" ca="1" si="66"/>
        <v>0.12044918693197715</v>
      </c>
      <c r="G77" s="2">
        <f t="shared" ca="1" si="67"/>
        <v>4.8176719868944784E-3</v>
      </c>
      <c r="H77" s="2">
        <f t="shared" ca="1" si="68"/>
        <v>4.8176719868944784E-3</v>
      </c>
      <c r="I77" s="2">
        <f t="shared" ca="1" si="69"/>
        <v>0.16928735467065936</v>
      </c>
      <c r="J77" s="2">
        <f t="shared" ca="1" si="70"/>
        <v>5.215073843089303E-3</v>
      </c>
      <c r="K77" s="2">
        <f t="shared" ca="1" si="71"/>
        <v>5.215073843089303E-3</v>
      </c>
      <c r="L77" s="2">
        <f t="shared" ca="1" si="72"/>
        <v>0.21493020013566633</v>
      </c>
      <c r="M77" s="2">
        <f t="shared" ca="1" si="73"/>
        <v>-1.5788611203947388E-2</v>
      </c>
      <c r="N77" s="2">
        <f t="shared" ca="1" si="74"/>
        <v>-1.5788611203947388E-2</v>
      </c>
      <c r="O77" s="2">
        <f t="shared" si="75"/>
        <v>6000000</v>
      </c>
      <c r="P77" s="2">
        <f t="shared" ca="1" si="76"/>
        <v>44830444.365205109</v>
      </c>
      <c r="Q77" s="2">
        <f t="shared" ca="1" si="77"/>
        <v>1120761.1091301278</v>
      </c>
      <c r="R77" s="2">
        <f t="shared" ca="1" si="78"/>
        <v>26898266.619123064</v>
      </c>
      <c r="S77" s="2">
        <f t="shared" ca="1" si="79"/>
        <v>17932177.746082045</v>
      </c>
      <c r="T77" s="2">
        <f t="shared" ca="1" si="80"/>
        <v>49210569.439802632</v>
      </c>
      <c r="U77" s="2">
        <f t="shared" ca="1" si="81"/>
        <v>49447649.821651891</v>
      </c>
      <c r="V77" s="2">
        <f t="shared" ca="1" si="82"/>
        <v>49685872.379015431</v>
      </c>
      <c r="W77" s="2">
        <f t="shared" ca="1" si="83"/>
        <v>49925242.614520222</v>
      </c>
      <c r="X77" s="2">
        <f t="shared" ca="1" si="84"/>
        <v>50165766.057303101</v>
      </c>
      <c r="Y77" s="2">
        <f t="shared" ca="1" si="85"/>
        <v>0.12260753692154465</v>
      </c>
      <c r="Z77" s="2">
        <f t="shared" ca="1" si="86"/>
        <v>0.12365055169016251</v>
      </c>
      <c r="AA77" s="2">
        <f t="shared" ca="1" si="87"/>
        <v>6033586.7095208382</v>
      </c>
      <c r="AB77" s="2">
        <f t="shared" ca="1" si="88"/>
        <v>6114229.1802292224</v>
      </c>
      <c r="AC77" s="2">
        <f t="shared" ca="1" si="89"/>
        <v>6143685.5308722649</v>
      </c>
      <c r="AD77" s="2">
        <f t="shared" ca="1" si="90"/>
        <v>6173283.7925506365</v>
      </c>
      <c r="AE77" s="2">
        <f t="shared" ca="1" si="91"/>
        <v>6203024.6489451565</v>
      </c>
      <c r="AF77" s="2">
        <f t="shared" ca="1" si="92"/>
        <v>984211.38879605266</v>
      </c>
      <c r="AG77" s="2">
        <f t="shared" ca="1" si="93"/>
        <v>988952.9964330378</v>
      </c>
      <c r="AH77" s="2">
        <f t="shared" ca="1" si="94"/>
        <v>993717.44758030865</v>
      </c>
      <c r="AI77" s="2">
        <f t="shared" ca="1" si="95"/>
        <v>998504.85229040449</v>
      </c>
      <c r="AJ77" s="2">
        <f t="shared" ca="1" si="96"/>
        <v>1003315.321146062</v>
      </c>
      <c r="AK77" s="2">
        <f t="shared" ca="1" si="97"/>
        <v>0</v>
      </c>
      <c r="AL77" s="2">
        <f t="shared" ca="1" si="98"/>
        <v>2370.8038184925913</v>
      </c>
      <c r="AM77" s="2">
        <f t="shared" ca="1" si="99"/>
        <v>2382.2255736353995</v>
      </c>
      <c r="AN77" s="2">
        <f t="shared" ca="1" si="100"/>
        <v>2393.7023550479116</v>
      </c>
      <c r="AO77" s="2">
        <f t="shared" ca="1" si="101"/>
        <v>2405.2344278287887</v>
      </c>
      <c r="AP77" s="2">
        <f t="shared" ca="1" si="102"/>
        <v>2420843.9957210757</v>
      </c>
      <c r="AQ77" s="2">
        <f t="shared" ca="1" si="103"/>
        <v>683418.14450096455</v>
      </c>
      <c r="AR77" s="2">
        <f t="shared" ca="1" si="104"/>
        <v>703152.36889952817</v>
      </c>
      <c r="AS77" s="2">
        <f t="shared" ca="1" si="105"/>
        <v>709572.26276842901</v>
      </c>
      <c r="AT77" s="2">
        <f t="shared" ca="1" si="106"/>
        <v>716023.08558018052</v>
      </c>
      <c r="AU77" s="2">
        <f t="shared" ca="1" si="107"/>
        <v>722504.98634028505</v>
      </c>
      <c r="AV77" s="2">
        <f t="shared" ca="1" si="108"/>
        <v>1945113.1805027453</v>
      </c>
      <c r="AW77" s="2">
        <f t="shared" ca="1" si="109"/>
        <v>1998909.0153570883</v>
      </c>
      <c r="AX77" s="2">
        <f t="shared" ca="1" si="110"/>
        <v>2017169.5992288161</v>
      </c>
      <c r="AY77" s="2">
        <f t="shared" ca="1" si="111"/>
        <v>2035518.1566039277</v>
      </c>
      <c r="AZ77" s="2">
        <f t="shared" ca="1" si="112"/>
        <v>2053955.1113099055</v>
      </c>
      <c r="BA77" s="2">
        <f t="shared" ca="1" si="113"/>
        <v>50318144.658257917</v>
      </c>
      <c r="BB77" s="2">
        <f t="shared" ca="1" si="114"/>
        <v>1006362.8931651583</v>
      </c>
      <c r="BC77" s="2">
        <f t="shared" ca="1" si="115"/>
        <v>22413515.145969693</v>
      </c>
      <c r="BD77" s="2">
        <f t="shared" ca="1" si="116"/>
        <v>-19552938.855212174</v>
      </c>
      <c r="BE77" s="2">
        <f t="shared" ca="1" si="117"/>
        <v>1945113.1805027453</v>
      </c>
      <c r="BF77" s="2">
        <f t="shared" ca="1" si="118"/>
        <v>1998909.0153570883</v>
      </c>
      <c r="BG77" s="2">
        <f t="shared" ca="1" si="119"/>
        <v>2017169.5992288161</v>
      </c>
      <c r="BH77" s="2">
        <f t="shared" ca="1" si="120"/>
        <v>2035518.1566039277</v>
      </c>
      <c r="BI77" s="2">
        <f t="shared" ca="1" si="121"/>
        <v>24467470.257279597</v>
      </c>
      <c r="BJ77" s="2">
        <f t="shared" ca="1" si="122"/>
        <v>0.12528285548986839</v>
      </c>
      <c r="BK77" s="2">
        <f t="shared" ca="1" si="123"/>
        <v>390177.15062982962</v>
      </c>
    </row>
    <row r="78" spans="1:63" x14ac:dyDescent="0.3">
      <c r="A78" s="2">
        <v>77</v>
      </c>
      <c r="B78" s="2">
        <f t="shared" ca="1" si="62"/>
        <v>3.931209710409489E-2</v>
      </c>
      <c r="C78" s="2">
        <f t="shared" ca="1" si="63"/>
        <v>6.2804000609989057</v>
      </c>
      <c r="D78" s="2">
        <f t="shared" ca="1" si="64"/>
        <v>0.13637898965280315</v>
      </c>
      <c r="E78" s="2">
        <f t="shared" ca="1" si="65"/>
        <v>7.0222623663501</v>
      </c>
      <c r="F78" s="2">
        <f t="shared" ca="1" si="66"/>
        <v>8.6624880463088472E-2</v>
      </c>
      <c r="G78" s="2">
        <f t="shared" ca="1" si="67"/>
        <v>-8.5506922532250368E-4</v>
      </c>
      <c r="H78" s="2">
        <f t="shared" ca="1" si="68"/>
        <v>-8.5506922532250368E-4</v>
      </c>
      <c r="I78" s="2">
        <f t="shared" ca="1" si="69"/>
        <v>0.69051497190802558</v>
      </c>
      <c r="J78" s="2">
        <f t="shared" ca="1" si="70"/>
        <v>1.2486552870618128E-2</v>
      </c>
      <c r="K78" s="2">
        <f t="shared" ca="1" si="71"/>
        <v>1.2486552870618128E-2</v>
      </c>
      <c r="L78" s="2">
        <f t="shared" ca="1" si="72"/>
        <v>0.61014266704460263</v>
      </c>
      <c r="M78" s="2">
        <f t="shared" ca="1" si="73"/>
        <v>5.5938178604463254E-3</v>
      </c>
      <c r="N78" s="2">
        <f t="shared" ca="1" si="74"/>
        <v>5.5938178604463254E-3</v>
      </c>
      <c r="O78" s="2">
        <f t="shared" si="75"/>
        <v>6000000</v>
      </c>
      <c r="P78" s="2">
        <f t="shared" ca="1" si="76"/>
        <v>37682400.365993433</v>
      </c>
      <c r="Q78" s="2">
        <f t="shared" ca="1" si="77"/>
        <v>942060.00914983591</v>
      </c>
      <c r="R78" s="2">
        <f t="shared" ca="1" si="78"/>
        <v>22609440.219596058</v>
      </c>
      <c r="S78" s="2">
        <f t="shared" ca="1" si="79"/>
        <v>15072960.146397375</v>
      </c>
      <c r="T78" s="2">
        <f t="shared" ca="1" si="80"/>
        <v>50279690.893022314</v>
      </c>
      <c r="U78" s="2">
        <f t="shared" ca="1" si="81"/>
        <v>50236698.276680961</v>
      </c>
      <c r="V78" s="2">
        <f t="shared" ca="1" si="82"/>
        <v>50193742.422002755</v>
      </c>
      <c r="W78" s="2">
        <f t="shared" ca="1" si="83"/>
        <v>50150823.297553934</v>
      </c>
      <c r="X78" s="2">
        <f t="shared" ca="1" si="84"/>
        <v>50107940.871927612</v>
      </c>
      <c r="Y78" s="2">
        <f t="shared" ca="1" si="85"/>
        <v>0.12624327643530905</v>
      </c>
      <c r="Z78" s="2">
        <f t="shared" ca="1" si="86"/>
        <v>0.12874058700943269</v>
      </c>
      <c r="AA78" s="2">
        <f t="shared" ca="1" si="87"/>
        <v>6347472.9164897073</v>
      </c>
      <c r="AB78" s="2">
        <f t="shared" ca="1" si="88"/>
        <v>6467502.0255556628</v>
      </c>
      <c r="AC78" s="2">
        <f t="shared" ca="1" si="89"/>
        <v>6461971.8636088986</v>
      </c>
      <c r="AD78" s="2">
        <f t="shared" ca="1" si="90"/>
        <v>6456446.4303334262</v>
      </c>
      <c r="AE78" s="2">
        <f t="shared" ca="1" si="91"/>
        <v>6450925.721685905</v>
      </c>
      <c r="AF78" s="2">
        <f t="shared" ca="1" si="92"/>
        <v>1005593.8178604463</v>
      </c>
      <c r="AG78" s="2">
        <f t="shared" ca="1" si="93"/>
        <v>1004733.9655336193</v>
      </c>
      <c r="AH78" s="2">
        <f t="shared" ca="1" si="94"/>
        <v>1003874.8484400552</v>
      </c>
      <c r="AI78" s="2">
        <f t="shared" ca="1" si="95"/>
        <v>1003016.4659510787</v>
      </c>
      <c r="AJ78" s="2">
        <f t="shared" ca="1" si="96"/>
        <v>1002158.8174385523</v>
      </c>
      <c r="AK78" s="2">
        <f t="shared" ca="1" si="97"/>
        <v>0</v>
      </c>
      <c r="AL78" s="2">
        <f t="shared" ca="1" si="98"/>
        <v>0</v>
      </c>
      <c r="AM78" s="2">
        <f t="shared" ca="1" si="99"/>
        <v>0</v>
      </c>
      <c r="AN78" s="2">
        <f t="shared" ca="1" si="100"/>
        <v>0</v>
      </c>
      <c r="AO78" s="2">
        <f t="shared" ca="1" si="101"/>
        <v>0</v>
      </c>
      <c r="AP78" s="2">
        <f t="shared" ca="1" si="102"/>
        <v>2034849.6197636451</v>
      </c>
      <c r="AQ78" s="2">
        <f t="shared" ca="1" si="103"/>
        <v>859827.66450506018</v>
      </c>
      <c r="AR78" s="2">
        <f t="shared" ca="1" si="104"/>
        <v>891258.79446718341</v>
      </c>
      <c r="AS78" s="2">
        <f t="shared" ca="1" si="105"/>
        <v>890044.32280535158</v>
      </c>
      <c r="AT78" s="2">
        <f t="shared" ca="1" si="106"/>
        <v>888830.88960086263</v>
      </c>
      <c r="AU78" s="2">
        <f t="shared" ca="1" si="107"/>
        <v>887618.49396576395</v>
      </c>
      <c r="AV78" s="2">
        <f t="shared" ca="1" si="108"/>
        <v>2447201.8143605562</v>
      </c>
      <c r="AW78" s="2">
        <f t="shared" ca="1" si="109"/>
        <v>2536659.645791214</v>
      </c>
      <c r="AX78" s="2">
        <f t="shared" ca="1" si="110"/>
        <v>2533203.0725998469</v>
      </c>
      <c r="AY78" s="2">
        <f t="shared" ca="1" si="111"/>
        <v>2529749.4550178396</v>
      </c>
      <c r="AZ78" s="2">
        <f t="shared" ca="1" si="112"/>
        <v>2526298.7905179439</v>
      </c>
      <c r="BA78" s="2">
        <f t="shared" ca="1" si="113"/>
        <v>45300092.923514791</v>
      </c>
      <c r="BB78" s="2">
        <f t="shared" ca="1" si="114"/>
        <v>906001.85847029579</v>
      </c>
      <c r="BC78" s="2">
        <f t="shared" ca="1" si="115"/>
        <v>21784650.845448438</v>
      </c>
      <c r="BD78" s="2">
        <f t="shared" ca="1" si="116"/>
        <v>-16515020.155547211</v>
      </c>
      <c r="BE78" s="2">
        <f t="shared" ca="1" si="117"/>
        <v>2447201.8143605562</v>
      </c>
      <c r="BF78" s="2">
        <f t="shared" ca="1" si="118"/>
        <v>2536659.645791214</v>
      </c>
      <c r="BG78" s="2">
        <f t="shared" ca="1" si="119"/>
        <v>2533203.0725998469</v>
      </c>
      <c r="BH78" s="2">
        <f t="shared" ca="1" si="120"/>
        <v>2529749.4550178396</v>
      </c>
      <c r="BI78" s="2">
        <f t="shared" ca="1" si="121"/>
        <v>24310949.635966383</v>
      </c>
      <c r="BJ78" s="2">
        <f t="shared" ca="1" si="122"/>
        <v>0.19518981956955828</v>
      </c>
      <c r="BK78" s="2">
        <f t="shared" ca="1" si="123"/>
        <v>4897662.1382181142</v>
      </c>
    </row>
    <row r="79" spans="1:63" x14ac:dyDescent="0.3">
      <c r="A79" s="2">
        <v>78</v>
      </c>
      <c r="B79" s="2">
        <f t="shared" ca="1" si="62"/>
        <v>0.87248890007304336</v>
      </c>
      <c r="C79" s="2">
        <f t="shared" ca="1" si="63"/>
        <v>7.4950027724294781</v>
      </c>
      <c r="D79" s="2">
        <f t="shared" ca="1" si="64"/>
        <v>0.13936751249669999</v>
      </c>
      <c r="E79" s="2">
        <f t="shared" ca="1" si="65"/>
        <v>7.0279536201158201</v>
      </c>
      <c r="F79" s="2">
        <f t="shared" ca="1" si="66"/>
        <v>0.54797157176358957</v>
      </c>
      <c r="G79" s="2">
        <f t="shared" ca="1" si="67"/>
        <v>4.3616144656765304E-2</v>
      </c>
      <c r="H79" s="2">
        <f t="shared" ca="1" si="68"/>
        <v>4.3616144656765304E-2</v>
      </c>
      <c r="I79" s="2">
        <f t="shared" ca="1" si="69"/>
        <v>7.5484619997160829E-2</v>
      </c>
      <c r="J79" s="2">
        <f t="shared" ca="1" si="70"/>
        <v>2.8194183130391803E-3</v>
      </c>
      <c r="K79" s="2">
        <f t="shared" ca="1" si="71"/>
        <v>2.8194183130391803E-3</v>
      </c>
      <c r="L79" s="2">
        <f t="shared" ca="1" si="72"/>
        <v>0.29694788288330543</v>
      </c>
      <c r="M79" s="2">
        <f t="shared" ca="1" si="73"/>
        <v>-1.066398196248333E-2</v>
      </c>
      <c r="N79" s="2">
        <f t="shared" ca="1" si="74"/>
        <v>-1.066398196248333E-2</v>
      </c>
      <c r="O79" s="2">
        <f t="shared" si="75"/>
        <v>6000000</v>
      </c>
      <c r="P79" s="2">
        <f t="shared" ca="1" si="76"/>
        <v>44970016.634576872</v>
      </c>
      <c r="Q79" s="2">
        <f t="shared" ca="1" si="77"/>
        <v>1124250.4158644218</v>
      </c>
      <c r="R79" s="2">
        <f t="shared" ca="1" si="78"/>
        <v>26982009.980746124</v>
      </c>
      <c r="S79" s="2">
        <f t="shared" ca="1" si="79"/>
        <v>17988006.653830748</v>
      </c>
      <c r="T79" s="2">
        <f t="shared" ca="1" si="80"/>
        <v>49466800.901875831</v>
      </c>
      <c r="U79" s="2">
        <f t="shared" ca="1" si="81"/>
        <v>51624352.04571946</v>
      </c>
      <c r="V79" s="2">
        <f t="shared" ca="1" si="82"/>
        <v>53876007.252357341</v>
      </c>
      <c r="W79" s="2">
        <f t="shared" ca="1" si="83"/>
        <v>56225870.9782051</v>
      </c>
      <c r="X79" s="2">
        <f t="shared" ca="1" si="84"/>
        <v>58678226.700243115</v>
      </c>
      <c r="Y79" s="2">
        <f t="shared" ca="1" si="85"/>
        <v>0.12140970915651958</v>
      </c>
      <c r="Z79" s="2">
        <f t="shared" ca="1" si="86"/>
        <v>0.12197359281912742</v>
      </c>
      <c r="AA79" s="2">
        <f t="shared" ca="1" si="87"/>
        <v>6005749.9104002053</v>
      </c>
      <c r="AB79" s="2">
        <f t="shared" ca="1" si="88"/>
        <v>6296807.6959758736</v>
      </c>
      <c r="AC79" s="2">
        <f t="shared" ca="1" si="89"/>
        <v>6571450.1713193906</v>
      </c>
      <c r="AD79" s="2">
        <f t="shared" ca="1" si="90"/>
        <v>6858071.4925963823</v>
      </c>
      <c r="AE79" s="2">
        <f t="shared" ca="1" si="91"/>
        <v>7157194.1308839051</v>
      </c>
      <c r="AF79" s="2">
        <f t="shared" ca="1" si="92"/>
        <v>989336.01803751662</v>
      </c>
      <c r="AG79" s="2">
        <f t="shared" ca="1" si="93"/>
        <v>1032487.0409143892</v>
      </c>
      <c r="AH79" s="2">
        <f t="shared" ca="1" si="94"/>
        <v>1077520.1450471468</v>
      </c>
      <c r="AI79" s="2">
        <f t="shared" ca="1" si="95"/>
        <v>1124517.4195641021</v>
      </c>
      <c r="AJ79" s="2">
        <f t="shared" ca="1" si="96"/>
        <v>1173564.5340048624</v>
      </c>
      <c r="AK79" s="2">
        <f t="shared" ca="1" si="97"/>
        <v>0</v>
      </c>
      <c r="AL79" s="2">
        <f t="shared" ca="1" si="98"/>
        <v>21575.511438436286</v>
      </c>
      <c r="AM79" s="2">
        <f t="shared" ca="1" si="99"/>
        <v>22516.552066378816</v>
      </c>
      <c r="AN79" s="2">
        <f t="shared" ca="1" si="100"/>
        <v>23498.637258477585</v>
      </c>
      <c r="AO79" s="2">
        <f t="shared" ca="1" si="101"/>
        <v>24523.557220380157</v>
      </c>
      <c r="AP79" s="2">
        <f t="shared" ca="1" si="102"/>
        <v>2428380.8982671509</v>
      </c>
      <c r="AQ79" s="2">
        <f t="shared" ca="1" si="103"/>
        <v>672888.57846483984</v>
      </c>
      <c r="AR79" s="2">
        <f t="shared" ca="1" si="104"/>
        <v>737344.33676652669</v>
      </c>
      <c r="AS79" s="2">
        <f t="shared" ca="1" si="105"/>
        <v>797042.77328132419</v>
      </c>
      <c r="AT79" s="2">
        <f t="shared" ca="1" si="106"/>
        <v>859345.02543893375</v>
      </c>
      <c r="AU79" s="2">
        <f t="shared" ca="1" si="107"/>
        <v>924364.66163909191</v>
      </c>
      <c r="AV79" s="2">
        <f t="shared" ca="1" si="108"/>
        <v>1915144.4156306982</v>
      </c>
      <c r="AW79" s="2">
        <f t="shared" ca="1" si="109"/>
        <v>2077019.9085893705</v>
      </c>
      <c r="AX79" s="2">
        <f t="shared" ca="1" si="110"/>
        <v>2245989.8026573891</v>
      </c>
      <c r="AY79" s="2">
        <f t="shared" ca="1" si="111"/>
        <v>2422329.5120677184</v>
      </c>
      <c r="AZ79" s="2">
        <f t="shared" ca="1" si="112"/>
        <v>2606360.4797524204</v>
      </c>
      <c r="BA79" s="2">
        <f t="shared" ca="1" si="113"/>
        <v>50300428.402017243</v>
      </c>
      <c r="BB79" s="2">
        <f t="shared" ca="1" si="114"/>
        <v>1006008.5680403449</v>
      </c>
      <c r="BC79" s="2">
        <f t="shared" ca="1" si="115"/>
        <v>22312409.853230774</v>
      </c>
      <c r="BD79" s="2">
        <f t="shared" ca="1" si="116"/>
        <v>-19612257.069695171</v>
      </c>
      <c r="BE79" s="2">
        <f t="shared" ca="1" si="117"/>
        <v>1915144.4156306982</v>
      </c>
      <c r="BF79" s="2">
        <f t="shared" ca="1" si="118"/>
        <v>2077019.9085893705</v>
      </c>
      <c r="BG79" s="2">
        <f t="shared" ca="1" si="119"/>
        <v>2245989.8026573891</v>
      </c>
      <c r="BH79" s="2">
        <f t="shared" ca="1" si="120"/>
        <v>2422329.5120677184</v>
      </c>
      <c r="BI79" s="2">
        <f t="shared" ca="1" si="121"/>
        <v>24918770.332983196</v>
      </c>
      <c r="BJ79" s="2">
        <f t="shared" ca="1" si="122"/>
        <v>0.13378908223858454</v>
      </c>
      <c r="BK79" s="2">
        <f t="shared" ca="1" si="123"/>
        <v>1031145.7295957133</v>
      </c>
    </row>
    <row r="80" spans="1:63" x14ac:dyDescent="0.3">
      <c r="A80" s="2">
        <v>79</v>
      </c>
      <c r="B80" s="2">
        <f t="shared" ca="1" si="62"/>
        <v>0.25100339755825152</v>
      </c>
      <c r="C80" s="2">
        <f t="shared" ca="1" si="63"/>
        <v>6.7085243786324522</v>
      </c>
      <c r="D80" s="2">
        <f t="shared" ca="1" si="64"/>
        <v>0.70658814834428996</v>
      </c>
      <c r="E80" s="2">
        <f t="shared" ca="1" si="65"/>
        <v>7.7339558085127074</v>
      </c>
      <c r="F80" s="2">
        <f t="shared" ca="1" si="66"/>
        <v>0.66854595355778157</v>
      </c>
      <c r="G80" s="2">
        <f t="shared" ca="1" si="67"/>
        <v>5.3077049295546151E-2</v>
      </c>
      <c r="H80" s="2">
        <f t="shared" ca="1" si="68"/>
        <v>5.3077049295546151E-2</v>
      </c>
      <c r="I80" s="2">
        <f t="shared" ca="1" si="69"/>
        <v>0.71130964827798315</v>
      </c>
      <c r="J80" s="2">
        <f t="shared" ca="1" si="70"/>
        <v>1.2786073821174087E-2</v>
      </c>
      <c r="K80" s="2">
        <f t="shared" ca="1" si="71"/>
        <v>1.2786073821174087E-2</v>
      </c>
      <c r="L80" s="2">
        <f t="shared" ca="1" si="72"/>
        <v>8.8721367460699141E-2</v>
      </c>
      <c r="M80" s="2">
        <f t="shared" ca="1" si="73"/>
        <v>-2.6973415603612275E-2</v>
      </c>
      <c r="N80" s="2">
        <f t="shared" ca="1" si="74"/>
        <v>-2.6973415603612275E-2</v>
      </c>
      <c r="O80" s="2">
        <f t="shared" si="75"/>
        <v>6000000</v>
      </c>
      <c r="P80" s="2">
        <f t="shared" ca="1" si="76"/>
        <v>40251146.271794714</v>
      </c>
      <c r="Q80" s="2">
        <f t="shared" ca="1" si="77"/>
        <v>1006278.6567948679</v>
      </c>
      <c r="R80" s="2">
        <f t="shared" ca="1" si="78"/>
        <v>24150687.763076827</v>
      </c>
      <c r="S80" s="2">
        <f t="shared" ca="1" si="79"/>
        <v>16100458.508717887</v>
      </c>
      <c r="T80" s="2">
        <f t="shared" ca="1" si="80"/>
        <v>48651329.219819382</v>
      </c>
      <c r="U80" s="2">
        <f t="shared" ca="1" si="81"/>
        <v>51233598.219113581</v>
      </c>
      <c r="V80" s="2">
        <f t="shared" ca="1" si="82"/>
        <v>53952926.437377676</v>
      </c>
      <c r="W80" s="2">
        <f t="shared" ca="1" si="83"/>
        <v>56816588.573533349</v>
      </c>
      <c r="X80" s="2">
        <f t="shared" ca="1" si="84"/>
        <v>59832245.446055539</v>
      </c>
      <c r="Y80" s="2">
        <f t="shared" ca="1" si="85"/>
        <v>0.12639303691058704</v>
      </c>
      <c r="Z80" s="2">
        <f t="shared" ca="1" si="86"/>
        <v>0.12895025167482185</v>
      </c>
      <c r="AA80" s="2">
        <f t="shared" ca="1" si="87"/>
        <v>6149189.2498297524</v>
      </c>
      <c r="AB80" s="2">
        <f t="shared" ca="1" si="88"/>
        <v>6606585.3845614009</v>
      </c>
      <c r="AC80" s="2">
        <f t="shared" ca="1" si="89"/>
        <v>6957243.4426930007</v>
      </c>
      <c r="AD80" s="2">
        <f t="shared" ca="1" si="90"/>
        <v>7326513.395861933</v>
      </c>
      <c r="AE80" s="2">
        <f t="shared" ca="1" si="91"/>
        <v>7715383.1085385755</v>
      </c>
      <c r="AF80" s="2">
        <f t="shared" ca="1" si="92"/>
        <v>973026.58439638768</v>
      </c>
      <c r="AG80" s="2">
        <f t="shared" ca="1" si="93"/>
        <v>1024671.9643822716</v>
      </c>
      <c r="AH80" s="2">
        <f t="shared" ca="1" si="94"/>
        <v>1079058.5287475535</v>
      </c>
      <c r="AI80" s="2">
        <f t="shared" ca="1" si="95"/>
        <v>1136331.7714706671</v>
      </c>
      <c r="AJ80" s="2">
        <f t="shared" ca="1" si="96"/>
        <v>1196644.9089211109</v>
      </c>
      <c r="AK80" s="2">
        <f t="shared" ca="1" si="97"/>
        <v>0</v>
      </c>
      <c r="AL80" s="2">
        <f t="shared" ca="1" si="98"/>
        <v>25822.689992941992</v>
      </c>
      <c r="AM80" s="2">
        <f t="shared" ca="1" si="99"/>
        <v>27193.282182640956</v>
      </c>
      <c r="AN80" s="2">
        <f t="shared" ca="1" si="100"/>
        <v>28636.621361556725</v>
      </c>
      <c r="AO80" s="2">
        <f t="shared" ca="1" si="101"/>
        <v>30156.568725221903</v>
      </c>
      <c r="AP80" s="2">
        <f t="shared" ca="1" si="102"/>
        <v>2173561.8986769142</v>
      </c>
      <c r="AQ80" s="2">
        <f t="shared" ca="1" si="103"/>
        <v>780676.19935667724</v>
      </c>
      <c r="AR80" s="2">
        <f t="shared" ca="1" si="104"/>
        <v>886171.39559057599</v>
      </c>
      <c r="AS80" s="2">
        <f t="shared" ca="1" si="105"/>
        <v>963201.98396981868</v>
      </c>
      <c r="AT80" s="2">
        <f t="shared" ca="1" si="106"/>
        <v>1044321.1286857316</v>
      </c>
      <c r="AU80" s="2">
        <f t="shared" ca="1" si="107"/>
        <v>1129745.8382445429</v>
      </c>
      <c r="AV80" s="2">
        <f t="shared" ca="1" si="108"/>
        <v>2221924.5673997737</v>
      </c>
      <c r="AW80" s="2">
        <f t="shared" ca="1" si="109"/>
        <v>2496357.4359186972</v>
      </c>
      <c r="AX80" s="2">
        <f t="shared" ca="1" si="110"/>
        <v>2714227.7491160734</v>
      </c>
      <c r="AY80" s="2">
        <f t="shared" ca="1" si="111"/>
        <v>2943661.9756670641</v>
      </c>
      <c r="AZ80" s="2">
        <f t="shared" ca="1" si="112"/>
        <v>3185273.8939707847</v>
      </c>
      <c r="BA80" s="2">
        <f t="shared" ca="1" si="113"/>
        <v>59670432.007182747</v>
      </c>
      <c r="BB80" s="2">
        <f t="shared" ca="1" si="114"/>
        <v>1193408.640143655</v>
      </c>
      <c r="BC80" s="2">
        <f t="shared" ca="1" si="115"/>
        <v>34326335.603962265</v>
      </c>
      <c r="BD80" s="2">
        <f t="shared" ca="1" si="116"/>
        <v>-17606737.165512756</v>
      </c>
      <c r="BE80" s="2">
        <f t="shared" ca="1" si="117"/>
        <v>2221924.5673997737</v>
      </c>
      <c r="BF80" s="2">
        <f t="shared" ca="1" si="118"/>
        <v>2496357.4359186972</v>
      </c>
      <c r="BG80" s="2">
        <f t="shared" ca="1" si="119"/>
        <v>2714227.7491160734</v>
      </c>
      <c r="BH80" s="2">
        <f t="shared" ca="1" si="120"/>
        <v>2943661.9756670641</v>
      </c>
      <c r="BI80" s="2">
        <f t="shared" ca="1" si="121"/>
        <v>37511609.497933052</v>
      </c>
      <c r="BJ80" s="2">
        <f t="shared" ca="1" si="122"/>
        <v>0.26113931917210187</v>
      </c>
      <c r="BK80" s="2">
        <f t="shared" ca="1" si="123"/>
        <v>11454983.651966512</v>
      </c>
    </row>
    <row r="81" spans="1:63" x14ac:dyDescent="0.3">
      <c r="A81" s="2">
        <v>80</v>
      </c>
      <c r="B81" s="2">
        <f t="shared" ca="1" si="62"/>
        <v>0.28332038757308597</v>
      </c>
      <c r="C81" s="2">
        <f t="shared" ca="1" si="63"/>
        <v>6.7527554550756657</v>
      </c>
      <c r="D81" s="2">
        <f t="shared" ca="1" si="64"/>
        <v>0.1514545896379289</v>
      </c>
      <c r="E81" s="2">
        <f t="shared" ca="1" si="65"/>
        <v>7.0503718554539807</v>
      </c>
      <c r="F81" s="2">
        <f t="shared" ca="1" si="66"/>
        <v>0.36169261664558883</v>
      </c>
      <c r="G81" s="2">
        <f t="shared" ca="1" si="67"/>
        <v>2.9381855404990623E-2</v>
      </c>
      <c r="H81" s="2">
        <f t="shared" ca="1" si="68"/>
        <v>2.9381855404990623E-2</v>
      </c>
      <c r="I81" s="2">
        <f t="shared" ca="1" si="69"/>
        <v>0.12066665056463244</v>
      </c>
      <c r="J81" s="2">
        <f t="shared" ca="1" si="70"/>
        <v>4.1416964227114139E-3</v>
      </c>
      <c r="K81" s="2">
        <f t="shared" ca="1" si="71"/>
        <v>4.1416964227114139E-3</v>
      </c>
      <c r="L81" s="2">
        <f t="shared" ca="1" si="72"/>
        <v>0.99559277553470327</v>
      </c>
      <c r="M81" s="2">
        <f t="shared" ca="1" si="73"/>
        <v>5.2383362832389424E-2</v>
      </c>
      <c r="N81" s="2">
        <f t="shared" ca="1" si="74"/>
        <v>0.05</v>
      </c>
      <c r="O81" s="2">
        <f t="shared" si="75"/>
        <v>6000000</v>
      </c>
      <c r="P81" s="2">
        <f t="shared" ca="1" si="76"/>
        <v>40516532.73045399</v>
      </c>
      <c r="Q81" s="2">
        <f t="shared" ca="1" si="77"/>
        <v>1012913.3182613498</v>
      </c>
      <c r="R81" s="2">
        <f t="shared" ca="1" si="78"/>
        <v>24309919.638272393</v>
      </c>
      <c r="S81" s="2">
        <f t="shared" ca="1" si="79"/>
        <v>16206613.092181597</v>
      </c>
      <c r="T81" s="2">
        <f t="shared" ca="1" si="80"/>
        <v>52500000</v>
      </c>
      <c r="U81" s="2">
        <f t="shared" ca="1" si="81"/>
        <v>54042547.408762015</v>
      </c>
      <c r="V81" s="2">
        <f t="shared" ca="1" si="82"/>
        <v>55630417.722443618</v>
      </c>
      <c r="W81" s="2">
        <f t="shared" ca="1" si="83"/>
        <v>57264942.612083688</v>
      </c>
      <c r="X81" s="2">
        <f t="shared" ca="1" si="84"/>
        <v>58947492.875687025</v>
      </c>
      <c r="Y81" s="2">
        <f t="shared" ca="1" si="85"/>
        <v>0.12207084821135571</v>
      </c>
      <c r="Z81" s="2">
        <f t="shared" ca="1" si="86"/>
        <v>0.12289918749589798</v>
      </c>
      <c r="AA81" s="2">
        <f t="shared" ca="1" si="87"/>
        <v>6408719.5310961744</v>
      </c>
      <c r="AB81" s="2">
        <f t="shared" ca="1" si="88"/>
        <v>6641785.1667453982</v>
      </c>
      <c r="AC81" s="2">
        <f t="shared" ca="1" si="89"/>
        <v>6836933.1381457243</v>
      </c>
      <c r="AD81" s="2">
        <f t="shared" ca="1" si="90"/>
        <v>7037814.919024311</v>
      </c>
      <c r="AE81" s="2">
        <f t="shared" ca="1" si="91"/>
        <v>7244598.9793421701</v>
      </c>
      <c r="AF81" s="2">
        <f t="shared" ca="1" si="92"/>
        <v>1050000</v>
      </c>
      <c r="AG81" s="2">
        <f t="shared" ca="1" si="93"/>
        <v>1080850.9481752403</v>
      </c>
      <c r="AH81" s="2">
        <f t="shared" ca="1" si="94"/>
        <v>1112608.3544488724</v>
      </c>
      <c r="AI81" s="2">
        <f t="shared" ca="1" si="95"/>
        <v>1145298.8522416737</v>
      </c>
      <c r="AJ81" s="2">
        <f t="shared" ca="1" si="96"/>
        <v>1178949.8575137404</v>
      </c>
      <c r="AK81" s="2">
        <f t="shared" ca="1" si="97"/>
        <v>0</v>
      </c>
      <c r="AL81" s="2">
        <f t="shared" ca="1" si="98"/>
        <v>15425.474087620154</v>
      </c>
      <c r="AM81" s="2">
        <f t="shared" ca="1" si="99"/>
        <v>15878.703136816026</v>
      </c>
      <c r="AN81" s="2">
        <f t="shared" ca="1" si="100"/>
        <v>16345.248896400706</v>
      </c>
      <c r="AO81" s="2">
        <f t="shared" ca="1" si="101"/>
        <v>16825.502636033372</v>
      </c>
      <c r="AP81" s="2">
        <f t="shared" ca="1" si="102"/>
        <v>2187892.7674445151</v>
      </c>
      <c r="AQ81" s="2">
        <f t="shared" ca="1" si="103"/>
        <v>824414.95854943141</v>
      </c>
      <c r="AR81" s="2">
        <f t="shared" ca="1" si="104"/>
        <v>876990.77729266719</v>
      </c>
      <c r="AS81" s="2">
        <f t="shared" ca="1" si="105"/>
        <v>919472.32422560756</v>
      </c>
      <c r="AT81" s="2">
        <f t="shared" ca="1" si="106"/>
        <v>963202.05782791181</v>
      </c>
      <c r="AU81" s="2">
        <f t="shared" ca="1" si="107"/>
        <v>1008216.6521398177</v>
      </c>
      <c r="AV81" s="2">
        <f t="shared" ca="1" si="108"/>
        <v>2346411.8051022277</v>
      </c>
      <c r="AW81" s="2">
        <f t="shared" ca="1" si="109"/>
        <v>2480625.1997453556</v>
      </c>
      <c r="AX81" s="2">
        <f t="shared" ca="1" si="110"/>
        <v>2601080.9888899135</v>
      </c>
      <c r="AY81" s="2">
        <f t="shared" ca="1" si="111"/>
        <v>2725075.9926138096</v>
      </c>
      <c r="AZ81" s="2">
        <f t="shared" ca="1" si="112"/>
        <v>2852714.1996080638</v>
      </c>
      <c r="BA81" s="2">
        <f t="shared" ca="1" si="113"/>
        <v>51077116.748004667</v>
      </c>
      <c r="BB81" s="2">
        <f t="shared" ca="1" si="114"/>
        <v>1021542.3349600934</v>
      </c>
      <c r="BC81" s="2">
        <f t="shared" ca="1" si="115"/>
        <v>25745654.774772182</v>
      </c>
      <c r="BD81" s="2">
        <f t="shared" ca="1" si="116"/>
        <v>-17719526.410442948</v>
      </c>
      <c r="BE81" s="2">
        <f t="shared" ca="1" si="117"/>
        <v>2346411.8051022277</v>
      </c>
      <c r="BF81" s="2">
        <f t="shared" ca="1" si="118"/>
        <v>2480625.1997453556</v>
      </c>
      <c r="BG81" s="2">
        <f t="shared" ca="1" si="119"/>
        <v>2601080.9888899135</v>
      </c>
      <c r="BH81" s="2">
        <f t="shared" ca="1" si="120"/>
        <v>2725075.9926138096</v>
      </c>
      <c r="BI81" s="2">
        <f t="shared" ca="1" si="121"/>
        <v>28598368.974380247</v>
      </c>
      <c r="BJ81" s="2">
        <f t="shared" ca="1" si="122"/>
        <v>0.2045230513342331</v>
      </c>
      <c r="BK81" s="2">
        <f t="shared" ca="1" si="123"/>
        <v>6163739.0665634722</v>
      </c>
    </row>
    <row r="82" spans="1:63" x14ac:dyDescent="0.3">
      <c r="A82" s="2">
        <v>81</v>
      </c>
      <c r="B82" s="2">
        <f t="shared" ca="1" si="62"/>
        <v>0.83737784139193094</v>
      </c>
      <c r="C82" s="2">
        <f t="shared" ca="1" si="63"/>
        <v>7.4296980473326979</v>
      </c>
      <c r="D82" s="2">
        <f t="shared" ca="1" si="64"/>
        <v>0.22113986185542434</v>
      </c>
      <c r="E82" s="2">
        <f t="shared" ca="1" si="65"/>
        <v>7.1650411443744275</v>
      </c>
      <c r="F82" s="2">
        <f t="shared" ca="1" si="66"/>
        <v>0.9327486159052859</v>
      </c>
      <c r="G82" s="2">
        <f t="shared" ca="1" si="67"/>
        <v>8.4897378014889655E-2</v>
      </c>
      <c r="H82" s="2">
        <f t="shared" ca="1" si="68"/>
        <v>8.4897378014889655E-2</v>
      </c>
      <c r="I82" s="2">
        <f t="shared" ca="1" si="69"/>
        <v>0.15870644840017534</v>
      </c>
      <c r="J82" s="2">
        <f t="shared" ca="1" si="70"/>
        <v>5.0010577530460064E-3</v>
      </c>
      <c r="K82" s="2">
        <f t="shared" ca="1" si="71"/>
        <v>5.0010577530460064E-3</v>
      </c>
      <c r="L82" s="2">
        <f t="shared" ca="1" si="72"/>
        <v>0.64386049984527371</v>
      </c>
      <c r="M82" s="2">
        <f t="shared" ca="1" si="73"/>
        <v>7.3759410905572869E-3</v>
      </c>
      <c r="N82" s="2">
        <f t="shared" ca="1" si="74"/>
        <v>7.3759410905572869E-3</v>
      </c>
      <c r="O82" s="2">
        <f t="shared" si="75"/>
        <v>6000000</v>
      </c>
      <c r="P82" s="2">
        <f t="shared" ca="1" si="76"/>
        <v>44578188.283996187</v>
      </c>
      <c r="Q82" s="2">
        <f t="shared" ca="1" si="77"/>
        <v>1114454.7070999048</v>
      </c>
      <c r="R82" s="2">
        <f t="shared" ca="1" si="78"/>
        <v>26746912.970397711</v>
      </c>
      <c r="S82" s="2">
        <f t="shared" ca="1" si="79"/>
        <v>17831275.313598476</v>
      </c>
      <c r="T82" s="2">
        <f t="shared" ca="1" si="80"/>
        <v>50368797.054527871</v>
      </c>
      <c r="U82" s="2">
        <f t="shared" ca="1" si="81"/>
        <v>54644975.858221382</v>
      </c>
      <c r="V82" s="2">
        <f t="shared" ca="1" si="82"/>
        <v>59284191.030271322</v>
      </c>
      <c r="W82" s="2">
        <f t="shared" ca="1" si="83"/>
        <v>64317263.406475194</v>
      </c>
      <c r="X82" s="2">
        <f t="shared" ca="1" si="84"/>
        <v>69777630.430777952</v>
      </c>
      <c r="Y82" s="2">
        <f t="shared" ca="1" si="85"/>
        <v>0.122500528876523</v>
      </c>
      <c r="Z82" s="2">
        <f t="shared" ca="1" si="86"/>
        <v>0.1235007404271322</v>
      </c>
      <c r="AA82" s="2">
        <f t="shared" ca="1" si="87"/>
        <v>6170204.2780539179</v>
      </c>
      <c r="AB82" s="2">
        <f t="shared" ca="1" si="88"/>
        <v>6748694.9791131048</v>
      </c>
      <c r="AC82" s="2">
        <f t="shared" ca="1" si="89"/>
        <v>7321641.487862058</v>
      </c>
      <c r="AD82" s="2">
        <f t="shared" ca="1" si="90"/>
        <v>7943229.6529465811</v>
      </c>
      <c r="AE82" s="2">
        <f t="shared" ca="1" si="91"/>
        <v>8617589.0234518684</v>
      </c>
      <c r="AF82" s="2">
        <f t="shared" ca="1" si="92"/>
        <v>1007375.9410905575</v>
      </c>
      <c r="AG82" s="2">
        <f t="shared" ca="1" si="93"/>
        <v>1092899.5171644276</v>
      </c>
      <c r="AH82" s="2">
        <f t="shared" ca="1" si="94"/>
        <v>1185683.8206054266</v>
      </c>
      <c r="AI82" s="2">
        <f t="shared" ca="1" si="95"/>
        <v>1286345.2681295038</v>
      </c>
      <c r="AJ82" s="2">
        <f t="shared" ca="1" si="96"/>
        <v>1395552.6086155591</v>
      </c>
      <c r="AK82" s="2">
        <f t="shared" ca="1" si="97"/>
        <v>0</v>
      </c>
      <c r="AL82" s="2">
        <f t="shared" ca="1" si="98"/>
        <v>42761.788036935104</v>
      </c>
      <c r="AM82" s="2">
        <f t="shared" ca="1" si="99"/>
        <v>46392.151720499394</v>
      </c>
      <c r="AN82" s="2">
        <f t="shared" ca="1" si="100"/>
        <v>50330.723762038724</v>
      </c>
      <c r="AO82" s="2">
        <f t="shared" ca="1" si="101"/>
        <v>54603.670243027584</v>
      </c>
      <c r="AP82" s="2">
        <f t="shared" ca="1" si="102"/>
        <v>2407222.1673357938</v>
      </c>
      <c r="AQ82" s="2">
        <f t="shared" ca="1" si="103"/>
        <v>716457.60410316731</v>
      </c>
      <c r="AR82" s="2">
        <f t="shared" ca="1" si="104"/>
        <v>844629.0565993496</v>
      </c>
      <c r="AS82" s="2">
        <f t="shared" ca="1" si="105"/>
        <v>969471.22997941764</v>
      </c>
      <c r="AT82" s="2">
        <f t="shared" ca="1" si="106"/>
        <v>1104912.1765451338</v>
      </c>
      <c r="AU82" s="2">
        <f t="shared" ca="1" si="107"/>
        <v>1251851.7043501344</v>
      </c>
      <c r="AV82" s="2">
        <f t="shared" ca="1" si="108"/>
        <v>2039148.5655243988</v>
      </c>
      <c r="AW82" s="2">
        <f t="shared" ca="1" si="109"/>
        <v>2361182.4499765984</v>
      </c>
      <c r="AX82" s="2">
        <f t="shared" ca="1" si="110"/>
        <v>2712872.1182209202</v>
      </c>
      <c r="AY82" s="2">
        <f t="shared" ca="1" si="111"/>
        <v>3094419.3171741101</v>
      </c>
      <c r="AZ82" s="2">
        <f t="shared" ca="1" si="112"/>
        <v>3508358.872907354</v>
      </c>
      <c r="BA82" s="2">
        <f t="shared" ca="1" si="113"/>
        <v>61745379.918342084</v>
      </c>
      <c r="BB82" s="2">
        <f t="shared" ca="1" si="114"/>
        <v>1234907.5983668417</v>
      </c>
      <c r="BC82" s="2">
        <f t="shared" ca="1" si="115"/>
        <v>33763559.349577531</v>
      </c>
      <c r="BD82" s="2">
        <f t="shared" ca="1" si="116"/>
        <v>-19445730.02069838</v>
      </c>
      <c r="BE82" s="2">
        <f t="shared" ca="1" si="117"/>
        <v>2039148.5655243988</v>
      </c>
      <c r="BF82" s="2">
        <f t="shared" ca="1" si="118"/>
        <v>2361182.4499765984</v>
      </c>
      <c r="BG82" s="2">
        <f t="shared" ca="1" si="119"/>
        <v>2712872.1182209202</v>
      </c>
      <c r="BH82" s="2">
        <f t="shared" ca="1" si="120"/>
        <v>3094419.3171741101</v>
      </c>
      <c r="BI82" s="2">
        <f t="shared" ca="1" si="121"/>
        <v>37271918.222484887</v>
      </c>
      <c r="BJ82" s="2">
        <f t="shared" ca="1" si="122"/>
        <v>0.22730017102850297</v>
      </c>
      <c r="BK82" s="2">
        <f t="shared" ca="1" si="123"/>
        <v>9303874.1046872549</v>
      </c>
    </row>
    <row r="83" spans="1:63" x14ac:dyDescent="0.3">
      <c r="A83" s="2">
        <v>82</v>
      </c>
      <c r="B83" s="2">
        <f t="shared" ca="1" si="62"/>
        <v>0.44717312948503674</v>
      </c>
      <c r="C83" s="2">
        <f t="shared" ca="1" si="63"/>
        <v>6.9456988204339023</v>
      </c>
      <c r="D83" s="2">
        <f t="shared" ca="1" si="64"/>
        <v>0.23076612301840083</v>
      </c>
      <c r="E83" s="2">
        <f t="shared" ca="1" si="65"/>
        <v>7.1793616459859955</v>
      </c>
      <c r="F83" s="2">
        <f t="shared" ca="1" si="66"/>
        <v>0.58322558844061712</v>
      </c>
      <c r="G83" s="2">
        <f t="shared" ca="1" si="67"/>
        <v>4.6304568390425987E-2</v>
      </c>
      <c r="H83" s="2">
        <f t="shared" ca="1" si="68"/>
        <v>4.6304568390425987E-2</v>
      </c>
      <c r="I83" s="2">
        <f t="shared" ca="1" si="69"/>
        <v>0.28140803863080033</v>
      </c>
      <c r="J83" s="2">
        <f t="shared" ca="1" si="70"/>
        <v>7.1066812281442848E-3</v>
      </c>
      <c r="K83" s="2">
        <f t="shared" ca="1" si="71"/>
        <v>7.1066812281442848E-3</v>
      </c>
      <c r="L83" s="2">
        <f t="shared" ca="1" si="72"/>
        <v>0.59008132393415991</v>
      </c>
      <c r="M83" s="2">
        <f t="shared" ca="1" si="73"/>
        <v>4.5550835342202892E-3</v>
      </c>
      <c r="N83" s="2">
        <f t="shared" ca="1" si="74"/>
        <v>4.5550835342202892E-3</v>
      </c>
      <c r="O83" s="2">
        <f t="shared" si="75"/>
        <v>6000000</v>
      </c>
      <c r="P83" s="2">
        <f t="shared" ca="1" si="76"/>
        <v>41674192.922603413</v>
      </c>
      <c r="Q83" s="2">
        <f t="shared" ca="1" si="77"/>
        <v>1041854.8230650853</v>
      </c>
      <c r="R83" s="2">
        <f t="shared" ca="1" si="78"/>
        <v>25004515.753562048</v>
      </c>
      <c r="S83" s="2">
        <f t="shared" ca="1" si="79"/>
        <v>16669677.169041365</v>
      </c>
      <c r="T83" s="2">
        <f t="shared" ca="1" si="80"/>
        <v>50227754.176711015</v>
      </c>
      <c r="U83" s="2">
        <f t="shared" ca="1" si="81"/>
        <v>52553528.655084036</v>
      </c>
      <c r="V83" s="2">
        <f t="shared" ca="1" si="82"/>
        <v>54986997.116851583</v>
      </c>
      <c r="W83" s="2">
        <f t="shared" ca="1" si="83"/>
        <v>57533146.285432994</v>
      </c>
      <c r="X83" s="2">
        <f t="shared" ca="1" si="84"/>
        <v>60197193.792323209</v>
      </c>
      <c r="Y83" s="2">
        <f t="shared" ca="1" si="85"/>
        <v>0.12355334061407214</v>
      </c>
      <c r="Z83" s="2">
        <f t="shared" ca="1" si="86"/>
        <v>0.124974676859701</v>
      </c>
      <c r="AA83" s="2">
        <f t="shared" ca="1" si="87"/>
        <v>6205806.8200750602</v>
      </c>
      <c r="AB83" s="2">
        <f t="shared" ca="1" si="88"/>
        <v>6567860.2615061644</v>
      </c>
      <c r="AC83" s="2">
        <f t="shared" ca="1" si="89"/>
        <v>6871982.1961638369</v>
      </c>
      <c r="AD83" s="2">
        <f t="shared" ca="1" si="90"/>
        <v>7190186.3657438951</v>
      </c>
      <c r="AE83" s="2">
        <f t="shared" ca="1" si="91"/>
        <v>7523124.8420563918</v>
      </c>
      <c r="AF83" s="2">
        <f t="shared" ca="1" si="92"/>
        <v>1004555.0835342203</v>
      </c>
      <c r="AG83" s="2">
        <f t="shared" ca="1" si="93"/>
        <v>1051070.5731016807</v>
      </c>
      <c r="AH83" s="2">
        <f t="shared" ca="1" si="94"/>
        <v>1099739.9423370317</v>
      </c>
      <c r="AI83" s="2">
        <f t="shared" ca="1" si="95"/>
        <v>1150662.9257086599</v>
      </c>
      <c r="AJ83" s="2">
        <f t="shared" ca="1" si="96"/>
        <v>1203943.8758464642</v>
      </c>
      <c r="AK83" s="2">
        <f t="shared" ca="1" si="97"/>
        <v>0</v>
      </c>
      <c r="AL83" s="2">
        <f t="shared" ca="1" si="98"/>
        <v>23257.74478373021</v>
      </c>
      <c r="AM83" s="2">
        <f t="shared" ca="1" si="99"/>
        <v>24334.68461767547</v>
      </c>
      <c r="AN83" s="2">
        <f t="shared" ca="1" si="100"/>
        <v>25461.491685814111</v>
      </c>
      <c r="AO83" s="2">
        <f t="shared" ca="1" si="101"/>
        <v>26640.475068902149</v>
      </c>
      <c r="AP83" s="2">
        <f t="shared" ca="1" si="102"/>
        <v>2250406.417820584</v>
      </c>
      <c r="AQ83" s="2">
        <f t="shared" ca="1" si="103"/>
        <v>767219.78286726656</v>
      </c>
      <c r="AR83" s="2">
        <f t="shared" ca="1" si="104"/>
        <v>849259.65035181399</v>
      </c>
      <c r="AS83" s="2">
        <f t="shared" ca="1" si="105"/>
        <v>915677.31736161758</v>
      </c>
      <c r="AT83" s="2">
        <f t="shared" ca="1" si="106"/>
        <v>985170.42577580933</v>
      </c>
      <c r="AU83" s="2">
        <f t="shared" ca="1" si="107"/>
        <v>1057881.3825812293</v>
      </c>
      <c r="AV83" s="2">
        <f t="shared" ca="1" si="108"/>
        <v>2183625.5358529892</v>
      </c>
      <c r="AW83" s="2">
        <f t="shared" ca="1" si="109"/>
        <v>2393865.8754483555</v>
      </c>
      <c r="AX83" s="2">
        <f t="shared" ca="1" si="110"/>
        <v>2581823.8340269281</v>
      </c>
      <c r="AY83" s="2">
        <f t="shared" ca="1" si="111"/>
        <v>2778485.1047530277</v>
      </c>
      <c r="AZ83" s="2">
        <f t="shared" ca="1" si="112"/>
        <v>2984252.6907392116</v>
      </c>
      <c r="BA83" s="2">
        <f t="shared" ca="1" si="113"/>
        <v>54011233.949024111</v>
      </c>
      <c r="BB83" s="2">
        <f t="shared" ca="1" si="114"/>
        <v>1080224.6789804823</v>
      </c>
      <c r="BC83" s="2">
        <f t="shared" ca="1" si="115"/>
        <v>27926493.516481582</v>
      </c>
      <c r="BD83" s="2">
        <f t="shared" ca="1" si="116"/>
        <v>-18211531.992106453</v>
      </c>
      <c r="BE83" s="2">
        <f t="shared" ca="1" si="117"/>
        <v>2183625.5358529892</v>
      </c>
      <c r="BF83" s="2">
        <f t="shared" ca="1" si="118"/>
        <v>2393865.8754483555</v>
      </c>
      <c r="BG83" s="2">
        <f t="shared" ca="1" si="119"/>
        <v>2581823.8340269281</v>
      </c>
      <c r="BH83" s="2">
        <f t="shared" ca="1" si="120"/>
        <v>2778485.1047530277</v>
      </c>
      <c r="BI83" s="2">
        <f t="shared" ca="1" si="121"/>
        <v>30910746.207220793</v>
      </c>
      <c r="BJ83" s="2">
        <f t="shared" ca="1" si="122"/>
        <v>0.20836198028477315</v>
      </c>
      <c r="BK83" s="2">
        <f t="shared" ca="1" si="123"/>
        <v>6789565.1358131431</v>
      </c>
    </row>
    <row r="84" spans="1:63" x14ac:dyDescent="0.3">
      <c r="A84" s="2">
        <v>83</v>
      </c>
      <c r="B84" s="2">
        <f t="shared" ca="1" si="62"/>
        <v>0.35458538183587129</v>
      </c>
      <c r="C84" s="2">
        <f t="shared" ca="1" si="63"/>
        <v>6.8421227723270182</v>
      </c>
      <c r="D84" s="2">
        <f t="shared" ca="1" si="64"/>
        <v>0.48293828409298323</v>
      </c>
      <c r="E84" s="2">
        <f t="shared" ca="1" si="65"/>
        <v>7.4827901954059</v>
      </c>
      <c r="F84" s="2">
        <f t="shared" ca="1" si="66"/>
        <v>0.79870707682875508</v>
      </c>
      <c r="G84" s="2">
        <f t="shared" ca="1" si="67"/>
        <v>6.5110358747491173E-2</v>
      </c>
      <c r="H84" s="2">
        <f t="shared" ca="1" si="68"/>
        <v>6.5110358747491173E-2</v>
      </c>
      <c r="I84" s="2">
        <f t="shared" ca="1" si="69"/>
        <v>0.92088677458288004</v>
      </c>
      <c r="J84" s="2">
        <f t="shared" ca="1" si="70"/>
        <v>1.7055308009315446E-2</v>
      </c>
      <c r="K84" s="2">
        <f t="shared" ca="1" si="71"/>
        <v>1.7055308009315446E-2</v>
      </c>
      <c r="L84" s="2">
        <f t="shared" ca="1" si="72"/>
        <v>0.51886743401477453</v>
      </c>
      <c r="M84" s="2">
        <f t="shared" ca="1" si="73"/>
        <v>9.462257515871665E-4</v>
      </c>
      <c r="N84" s="2">
        <f t="shared" ca="1" si="74"/>
        <v>9.462257515871665E-4</v>
      </c>
      <c r="O84" s="2">
        <f t="shared" si="75"/>
        <v>6000000</v>
      </c>
      <c r="P84" s="2">
        <f t="shared" ca="1" si="76"/>
        <v>41052736.63396211</v>
      </c>
      <c r="Q84" s="2">
        <f t="shared" ca="1" si="77"/>
        <v>1026318.4158490528</v>
      </c>
      <c r="R84" s="2">
        <f t="shared" ca="1" si="78"/>
        <v>24631641.980377264</v>
      </c>
      <c r="S84" s="2">
        <f t="shared" ca="1" si="79"/>
        <v>16421094.653584845</v>
      </c>
      <c r="T84" s="2">
        <f t="shared" ca="1" si="80"/>
        <v>50047311.287579358</v>
      </c>
      <c r="U84" s="2">
        <f t="shared" ca="1" si="81"/>
        <v>53305909.679861017</v>
      </c>
      <c r="V84" s="2">
        <f t="shared" ca="1" si="82"/>
        <v>56776676.582478136</v>
      </c>
      <c r="W84" s="2">
        <f t="shared" ca="1" si="83"/>
        <v>60473426.363253571</v>
      </c>
      <c r="X84" s="2">
        <f t="shared" ca="1" si="84"/>
        <v>64410872.848455004</v>
      </c>
      <c r="Y84" s="2">
        <f t="shared" ca="1" si="85"/>
        <v>0.12852765400465771</v>
      </c>
      <c r="Z84" s="2">
        <f t="shared" ca="1" si="86"/>
        <v>0.13193871560652082</v>
      </c>
      <c r="AA84" s="2">
        <f t="shared" ca="1" si="87"/>
        <v>6432463.5090333996</v>
      </c>
      <c r="AB84" s="2">
        <f t="shared" ca="1" si="88"/>
        <v>7033113.257398068</v>
      </c>
      <c r="AC84" s="2">
        <f t="shared" ca="1" si="89"/>
        <v>7491041.784698993</v>
      </c>
      <c r="AD84" s="2">
        <f t="shared" ca="1" si="90"/>
        <v>7978786.2026931914</v>
      </c>
      <c r="AE84" s="2">
        <f t="shared" ca="1" si="91"/>
        <v>8498287.8347200789</v>
      </c>
      <c r="AF84" s="2">
        <f t="shared" ca="1" si="92"/>
        <v>1000946.2257515872</v>
      </c>
      <c r="AG84" s="2">
        <f t="shared" ca="1" si="93"/>
        <v>1066118.1935972204</v>
      </c>
      <c r="AH84" s="2">
        <f t="shared" ca="1" si="94"/>
        <v>1135533.5316495628</v>
      </c>
      <c r="AI84" s="2">
        <f t="shared" ca="1" si="95"/>
        <v>1209468.5272650714</v>
      </c>
      <c r="AJ84" s="2">
        <f t="shared" ca="1" si="96"/>
        <v>1288217.4569691001</v>
      </c>
      <c r="AK84" s="2">
        <f t="shared" ca="1" si="97"/>
        <v>0</v>
      </c>
      <c r="AL84" s="2">
        <f t="shared" ca="1" si="98"/>
        <v>32585.983922816591</v>
      </c>
      <c r="AM84" s="2">
        <f t="shared" ca="1" si="99"/>
        <v>34707.669026171192</v>
      </c>
      <c r="AN84" s="2">
        <f t="shared" ca="1" si="100"/>
        <v>36967.497807754356</v>
      </c>
      <c r="AO84" s="2">
        <f t="shared" ca="1" si="101"/>
        <v>39374.464852014331</v>
      </c>
      <c r="AP84" s="2">
        <f t="shared" ca="1" si="102"/>
        <v>2216847.7782339538</v>
      </c>
      <c r="AQ84" s="2">
        <f t="shared" ca="1" si="103"/>
        <v>835814.07131244324</v>
      </c>
      <c r="AR84" s="2">
        <f t="shared" ca="1" si="104"/>
        <v>975038.29424739233</v>
      </c>
      <c r="AS84" s="2">
        <f t="shared" ca="1" si="105"/>
        <v>1076051.7234520239</v>
      </c>
      <c r="AT84" s="2">
        <f t="shared" ca="1" si="106"/>
        <v>1183642.1732704833</v>
      </c>
      <c r="AU84" s="2">
        <f t="shared" ca="1" si="107"/>
        <v>1298237.8758744264</v>
      </c>
      <c r="AV84" s="2">
        <f t="shared" ca="1" si="108"/>
        <v>2378855.4337354153</v>
      </c>
      <c r="AW84" s="2">
        <f t="shared" ca="1" si="109"/>
        <v>2742523.007396684</v>
      </c>
      <c r="AX84" s="2">
        <f t="shared" ca="1" si="110"/>
        <v>3027901.0823372817</v>
      </c>
      <c r="AY84" s="2">
        <f t="shared" ca="1" si="111"/>
        <v>3331860.226115929</v>
      </c>
      <c r="AZ84" s="2">
        <f t="shared" ca="1" si="112"/>
        <v>3655610.2587905843</v>
      </c>
      <c r="BA84" s="2">
        <f t="shared" ca="1" si="113"/>
        <v>63590904.887380645</v>
      </c>
      <c r="BB84" s="2">
        <f t="shared" ca="1" si="114"/>
        <v>1271818.097747613</v>
      </c>
      <c r="BC84" s="2">
        <f t="shared" ca="1" si="115"/>
        <v>37687444.809255764</v>
      </c>
      <c r="BD84" s="2">
        <f t="shared" ca="1" si="116"/>
        <v>-17947413.069433898</v>
      </c>
      <c r="BE84" s="2">
        <f t="shared" ca="1" si="117"/>
        <v>2378855.4337354153</v>
      </c>
      <c r="BF84" s="2">
        <f t="shared" ca="1" si="118"/>
        <v>2742523.007396684</v>
      </c>
      <c r="BG84" s="2">
        <f t="shared" ca="1" si="119"/>
        <v>3027901.0823372817</v>
      </c>
      <c r="BH84" s="2">
        <f t="shared" ca="1" si="120"/>
        <v>3331860.226115929</v>
      </c>
      <c r="BI84" s="2">
        <f t="shared" ca="1" si="121"/>
        <v>41343055.068046346</v>
      </c>
      <c r="BJ84" s="2">
        <f t="shared" ca="1" si="122"/>
        <v>0.28524380366039259</v>
      </c>
      <c r="BK84" s="2">
        <f t="shared" ca="1" si="123"/>
        <v>14094704.881158382</v>
      </c>
    </row>
    <row r="85" spans="1:63" x14ac:dyDescent="0.3">
      <c r="A85" s="2">
        <v>84</v>
      </c>
      <c r="B85" s="2">
        <f t="shared" ca="1" si="62"/>
        <v>0.93178543000075764</v>
      </c>
      <c r="C85" s="2">
        <f t="shared" ca="1" si="63"/>
        <v>7.6306368453696489</v>
      </c>
      <c r="D85" s="2">
        <f t="shared" ca="1" si="64"/>
        <v>0.23558220422480136</v>
      </c>
      <c r="E85" s="2">
        <f t="shared" ca="1" si="65"/>
        <v>7.1864141668479773</v>
      </c>
      <c r="F85" s="2">
        <f t="shared" ca="1" si="66"/>
        <v>2.4844624668189819E-2</v>
      </c>
      <c r="G85" s="2">
        <f t="shared" ca="1" si="67"/>
        <v>-1.8878882682594217E-2</v>
      </c>
      <c r="H85" s="2">
        <f t="shared" ca="1" si="68"/>
        <v>-1.8878882682594217E-2</v>
      </c>
      <c r="I85" s="2">
        <f t="shared" ca="1" si="69"/>
        <v>0.10018491716140143</v>
      </c>
      <c r="J85" s="2">
        <f t="shared" ca="1" si="70"/>
        <v>3.5975069647132644E-3</v>
      </c>
      <c r="K85" s="2">
        <f t="shared" ca="1" si="71"/>
        <v>3.5975069647132644E-3</v>
      </c>
      <c r="L85" s="2">
        <f t="shared" ca="1" si="72"/>
        <v>0.73585547051345845</v>
      </c>
      <c r="M85" s="2">
        <f t="shared" ca="1" si="73"/>
        <v>1.2612398764694928E-2</v>
      </c>
      <c r="N85" s="2">
        <f t="shared" ca="1" si="74"/>
        <v>1.2612398764694928E-2</v>
      </c>
      <c r="O85" s="2">
        <f t="shared" si="75"/>
        <v>6000000</v>
      </c>
      <c r="P85" s="2">
        <f t="shared" ca="1" si="76"/>
        <v>45783821.072217897</v>
      </c>
      <c r="Q85" s="2">
        <f t="shared" ca="1" si="77"/>
        <v>1144595.5268054474</v>
      </c>
      <c r="R85" s="2">
        <f t="shared" ca="1" si="78"/>
        <v>27470292.643330738</v>
      </c>
      <c r="S85" s="2">
        <f t="shared" ca="1" si="79"/>
        <v>18313528.428887159</v>
      </c>
      <c r="T85" s="2">
        <f t="shared" ca="1" si="80"/>
        <v>50630619.938234746</v>
      </c>
      <c r="U85" s="2">
        <f t="shared" ca="1" si="81"/>
        <v>49674770.404273801</v>
      </c>
      <c r="V85" s="2">
        <f t="shared" ca="1" si="82"/>
        <v>48736966.241526715</v>
      </c>
      <c r="W85" s="2">
        <f t="shared" ca="1" si="83"/>
        <v>47816866.773547381</v>
      </c>
      <c r="X85" s="2">
        <f t="shared" ca="1" si="84"/>
        <v>46914137.755480342</v>
      </c>
      <c r="Y85" s="2">
        <f t="shared" ca="1" si="85"/>
        <v>0.12179875348235662</v>
      </c>
      <c r="Z85" s="2">
        <f t="shared" ca="1" si="86"/>
        <v>0.12251825487529928</v>
      </c>
      <c r="AA85" s="2">
        <f t="shared" ca="1" si="87"/>
        <v>6166746.396515944</v>
      </c>
      <c r="AB85" s="2">
        <f t="shared" ca="1" si="88"/>
        <v>6086066.1812627912</v>
      </c>
      <c r="AC85" s="2">
        <f t="shared" ca="1" si="89"/>
        <v>5971168.051828227</v>
      </c>
      <c r="AD85" s="2">
        <f t="shared" ca="1" si="90"/>
        <v>5858439.0706997076</v>
      </c>
      <c r="AE85" s="2">
        <f t="shared" ca="1" si="91"/>
        <v>5747838.2867808416</v>
      </c>
      <c r="AF85" s="2">
        <f t="shared" ca="1" si="92"/>
        <v>1012612.3987646949</v>
      </c>
      <c r="AG85" s="2">
        <f t="shared" ca="1" si="93"/>
        <v>993495.40808547603</v>
      </c>
      <c r="AH85" s="2">
        <f t="shared" ca="1" si="94"/>
        <v>974739.32483053429</v>
      </c>
      <c r="AI85" s="2">
        <f t="shared" ca="1" si="95"/>
        <v>956337.33547094767</v>
      </c>
      <c r="AJ85" s="2">
        <f t="shared" ca="1" si="96"/>
        <v>938282.75510960689</v>
      </c>
      <c r="AK85" s="2">
        <f t="shared" ca="1" si="97"/>
        <v>0</v>
      </c>
      <c r="AL85" s="2">
        <f t="shared" ca="1" si="98"/>
        <v>0</v>
      </c>
      <c r="AM85" s="2">
        <f t="shared" ca="1" si="99"/>
        <v>0</v>
      </c>
      <c r="AN85" s="2">
        <f t="shared" ca="1" si="100"/>
        <v>0</v>
      </c>
      <c r="AO85" s="2">
        <f t="shared" ca="1" si="101"/>
        <v>0</v>
      </c>
      <c r="AP85" s="2">
        <f t="shared" ca="1" si="102"/>
        <v>2472326.3378997664</v>
      </c>
      <c r="AQ85" s="2">
        <f t="shared" ca="1" si="103"/>
        <v>697269.99156138545</v>
      </c>
      <c r="AR85" s="2">
        <f t="shared" ca="1" si="104"/>
        <v>681263.55317216273</v>
      </c>
      <c r="AS85" s="2">
        <f t="shared" ca="1" si="105"/>
        <v>656266.62116546091</v>
      </c>
      <c r="AT85" s="2">
        <f t="shared" ca="1" si="106"/>
        <v>631741.60330553842</v>
      </c>
      <c r="AU85" s="2">
        <f t="shared" ca="1" si="107"/>
        <v>607679.59038058168</v>
      </c>
      <c r="AV85" s="2">
        <f t="shared" ca="1" si="108"/>
        <v>1984537.6682900968</v>
      </c>
      <c r="AW85" s="2">
        <f t="shared" ca="1" si="109"/>
        <v>1938980.8821053864</v>
      </c>
      <c r="AX85" s="2">
        <f t="shared" ca="1" si="110"/>
        <v>1867835.7679324658</v>
      </c>
      <c r="AY85" s="2">
        <f t="shared" ca="1" si="111"/>
        <v>1798033.7940234556</v>
      </c>
      <c r="AZ85" s="2">
        <f t="shared" ca="1" si="112"/>
        <v>1729549.603390886</v>
      </c>
      <c r="BA85" s="2">
        <f t="shared" ca="1" si="113"/>
        <v>41306346.49287305</v>
      </c>
      <c r="BB85" s="2">
        <f t="shared" ca="1" si="114"/>
        <v>826126.92985746101</v>
      </c>
      <c r="BC85" s="2">
        <f t="shared" ca="1" si="115"/>
        <v>13009926.919684852</v>
      </c>
      <c r="BD85" s="2">
        <f t="shared" ca="1" si="116"/>
        <v>-19958123.955692604</v>
      </c>
      <c r="BE85" s="2">
        <f t="shared" ca="1" si="117"/>
        <v>1984537.6682900968</v>
      </c>
      <c r="BF85" s="2">
        <f t="shared" ca="1" si="118"/>
        <v>1938980.8821053864</v>
      </c>
      <c r="BG85" s="2">
        <f t="shared" ca="1" si="119"/>
        <v>1867835.7679324658</v>
      </c>
      <c r="BH85" s="2">
        <f t="shared" ca="1" si="120"/>
        <v>1798033.7940234556</v>
      </c>
      <c r="BI85" s="2">
        <f t="shared" ca="1" si="121"/>
        <v>14739476.523075737</v>
      </c>
      <c r="BJ85" s="2">
        <f t="shared" ca="1" si="122"/>
        <v>2.7685111739874202E-2</v>
      </c>
      <c r="BK85" s="2">
        <f t="shared" ca="1" si="123"/>
        <v>-5804725.2295024097</v>
      </c>
    </row>
    <row r="86" spans="1:63" x14ac:dyDescent="0.3">
      <c r="A86" s="2">
        <v>85</v>
      </c>
      <c r="B86" s="2">
        <f t="shared" ca="1" si="62"/>
        <v>0.84165902994424258</v>
      </c>
      <c r="C86" s="2">
        <f t="shared" ca="1" si="63"/>
        <v>7.4372549954806217</v>
      </c>
      <c r="D86" s="2">
        <f t="shared" ca="1" si="64"/>
        <v>0.89633925522794944</v>
      </c>
      <c r="E86" s="2">
        <f t="shared" ca="1" si="65"/>
        <v>8.0446743038833617</v>
      </c>
      <c r="F86" s="2">
        <f t="shared" ca="1" si="66"/>
        <v>0.45874886188439168</v>
      </c>
      <c r="G86" s="2">
        <f t="shared" ca="1" si="67"/>
        <v>3.6892413403505055E-2</v>
      </c>
      <c r="H86" s="2">
        <f t="shared" ca="1" si="68"/>
        <v>3.6892413403505055E-2</v>
      </c>
      <c r="I86" s="2">
        <f t="shared" ca="1" si="69"/>
        <v>0.11777465646086183</v>
      </c>
      <c r="J86" s="2">
        <f t="shared" ca="1" si="70"/>
        <v>4.0690758145355208E-3</v>
      </c>
      <c r="K86" s="2">
        <f t="shared" ca="1" si="71"/>
        <v>4.0690758145355208E-3</v>
      </c>
      <c r="L86" s="2">
        <f t="shared" ca="1" si="72"/>
        <v>0.94578574820683825</v>
      </c>
      <c r="M86" s="2">
        <f t="shared" ca="1" si="73"/>
        <v>3.210593595361684E-2</v>
      </c>
      <c r="N86" s="2">
        <f t="shared" ca="1" si="74"/>
        <v>3.210593595361684E-2</v>
      </c>
      <c r="O86" s="2">
        <f t="shared" si="75"/>
        <v>6000000</v>
      </c>
      <c r="P86" s="2">
        <f t="shared" ca="1" si="76"/>
        <v>44623529.972883731</v>
      </c>
      <c r="Q86" s="2">
        <f t="shared" ca="1" si="77"/>
        <v>1115588.2493220933</v>
      </c>
      <c r="R86" s="2">
        <f t="shared" ca="1" si="78"/>
        <v>26774117.983730238</v>
      </c>
      <c r="S86" s="2">
        <f t="shared" ca="1" si="79"/>
        <v>17849411.989153493</v>
      </c>
      <c r="T86" s="2">
        <f t="shared" ca="1" si="80"/>
        <v>51605296.797680847</v>
      </c>
      <c r="U86" s="2">
        <f t="shared" ca="1" si="81"/>
        <v>53509140.740951471</v>
      </c>
      <c r="V86" s="2">
        <f t="shared" ca="1" si="82"/>
        <v>55483222.082032993</v>
      </c>
      <c r="W86" s="2">
        <f t="shared" ca="1" si="83"/>
        <v>57530132.048041843</v>
      </c>
      <c r="X86" s="2">
        <f t="shared" ca="1" si="84"/>
        <v>59652557.462716445</v>
      </c>
      <c r="Y86" s="2">
        <f t="shared" ca="1" si="85"/>
        <v>0.12203453790726776</v>
      </c>
      <c r="Z86" s="2">
        <f t="shared" ca="1" si="86"/>
        <v>0.12284835307017486</v>
      </c>
      <c r="AA86" s="2">
        <f t="shared" ca="1" si="87"/>
        <v>6297628.5482723871</v>
      </c>
      <c r="AB86" s="2">
        <f t="shared" ca="1" si="88"/>
        <v>6573509.8142260844</v>
      </c>
      <c r="AC86" s="2">
        <f t="shared" ca="1" si="89"/>
        <v>6816022.4558045119</v>
      </c>
      <c r="AD86" s="2">
        <f t="shared" ca="1" si="90"/>
        <v>7067481.9740116261</v>
      </c>
      <c r="AE86" s="2">
        <f t="shared" ca="1" si="91"/>
        <v>7328218.4407186843</v>
      </c>
      <c r="AF86" s="2">
        <f t="shared" ca="1" si="92"/>
        <v>1032105.935953617</v>
      </c>
      <c r="AG86" s="2">
        <f t="shared" ca="1" si="93"/>
        <v>1070182.8148190295</v>
      </c>
      <c r="AH86" s="2">
        <f t="shared" ca="1" si="94"/>
        <v>1109664.4416406599</v>
      </c>
      <c r="AI86" s="2">
        <f t="shared" ca="1" si="95"/>
        <v>1150602.6409608368</v>
      </c>
      <c r="AJ86" s="2">
        <f t="shared" ca="1" si="96"/>
        <v>1193051.149254329</v>
      </c>
      <c r="AK86" s="2">
        <f t="shared" ca="1" si="97"/>
        <v>0</v>
      </c>
      <c r="AL86" s="2">
        <f t="shared" ca="1" si="98"/>
        <v>19038.439432706236</v>
      </c>
      <c r="AM86" s="2">
        <f t="shared" ca="1" si="99"/>
        <v>19740.813410815226</v>
      </c>
      <c r="AN86" s="2">
        <f t="shared" ca="1" si="100"/>
        <v>20469.099660088494</v>
      </c>
      <c r="AO86" s="2">
        <f t="shared" ca="1" si="101"/>
        <v>21224.254146746025</v>
      </c>
      <c r="AP86" s="2">
        <f t="shared" ca="1" si="102"/>
        <v>2409670.6185357212</v>
      </c>
      <c r="AQ86" s="2">
        <f t="shared" ca="1" si="103"/>
        <v>742521.51838359272</v>
      </c>
      <c r="AR86" s="2">
        <f t="shared" ca="1" si="104"/>
        <v>804350.65902654675</v>
      </c>
      <c r="AS86" s="2">
        <f t="shared" ca="1" si="105"/>
        <v>857138.72286331397</v>
      </c>
      <c r="AT86" s="2">
        <f t="shared" ca="1" si="106"/>
        <v>911874.26577391778</v>
      </c>
      <c r="AU86" s="2">
        <f t="shared" ca="1" si="107"/>
        <v>968629.13496144477</v>
      </c>
      <c r="AV86" s="2">
        <f t="shared" ca="1" si="108"/>
        <v>2113330.4753994565</v>
      </c>
      <c r="AW86" s="2">
        <f t="shared" ca="1" si="109"/>
        <v>2270267.2824120806</v>
      </c>
      <c r="AX86" s="2">
        <f t="shared" ca="1" si="110"/>
        <v>2419807.8593540019</v>
      </c>
      <c r="AY86" s="2">
        <f t="shared" ca="1" si="111"/>
        <v>2574865.3490810622</v>
      </c>
      <c r="AZ86" s="2">
        <f t="shared" ca="1" si="112"/>
        <v>2735643.2838204424</v>
      </c>
      <c r="BA86" s="2">
        <f t="shared" ca="1" si="113"/>
        <v>58953130.583293796</v>
      </c>
      <c r="BB86" s="2">
        <f t="shared" ca="1" si="114"/>
        <v>1179062.6116658759</v>
      </c>
      <c r="BC86" s="2">
        <f t="shared" ca="1" si="115"/>
        <v>30999949.987897683</v>
      </c>
      <c r="BD86" s="2">
        <f t="shared" ca="1" si="116"/>
        <v>-19465000.238475587</v>
      </c>
      <c r="BE86" s="2">
        <f t="shared" ca="1" si="117"/>
        <v>2113330.4753994565</v>
      </c>
      <c r="BF86" s="2">
        <f t="shared" ca="1" si="118"/>
        <v>2270267.2824120806</v>
      </c>
      <c r="BG86" s="2">
        <f t="shared" ca="1" si="119"/>
        <v>2419807.8593540019</v>
      </c>
      <c r="BH86" s="2">
        <f t="shared" ca="1" si="120"/>
        <v>2574865.3490810622</v>
      </c>
      <c r="BI86" s="2">
        <f t="shared" ca="1" si="121"/>
        <v>33735593.271718122</v>
      </c>
      <c r="BJ86" s="2">
        <f t="shared" ca="1" si="122"/>
        <v>0.20106310574133746</v>
      </c>
      <c r="BK86" s="2">
        <f t="shared" ca="1" si="123"/>
        <v>6732971.6822093576</v>
      </c>
    </row>
    <row r="87" spans="1:63" x14ac:dyDescent="0.3">
      <c r="A87" s="2">
        <v>86</v>
      </c>
      <c r="B87" s="2">
        <f t="shared" ca="1" si="62"/>
        <v>0.92684236595270764</v>
      </c>
      <c r="C87" s="2">
        <f t="shared" ca="1" si="63"/>
        <v>7.6174882118227139</v>
      </c>
      <c r="D87" s="2">
        <f t="shared" ca="1" si="64"/>
        <v>0.82083545823160298</v>
      </c>
      <c r="E87" s="2">
        <f t="shared" ca="1" si="65"/>
        <v>7.9013940498651936</v>
      </c>
      <c r="F87" s="2">
        <f t="shared" ca="1" si="66"/>
        <v>0.33044150947672968</v>
      </c>
      <c r="G87" s="2">
        <f t="shared" ca="1" si="67"/>
        <v>2.6839169392421536E-2</v>
      </c>
      <c r="H87" s="2">
        <f t="shared" ca="1" si="68"/>
        <v>2.6839169392421536E-2</v>
      </c>
      <c r="I87" s="2">
        <f t="shared" ca="1" si="69"/>
        <v>0.80404605848713673</v>
      </c>
      <c r="J87" s="2">
        <f t="shared" ca="1" si="70"/>
        <v>1.4280812669857697E-2</v>
      </c>
      <c r="K87" s="2">
        <f t="shared" ca="1" si="71"/>
        <v>1.4280812669857697E-2</v>
      </c>
      <c r="L87" s="2">
        <f t="shared" ca="1" si="72"/>
        <v>0.86984789914867977</v>
      </c>
      <c r="M87" s="2">
        <f t="shared" ca="1" si="73"/>
        <v>2.2513448407163822E-2</v>
      </c>
      <c r="N87" s="2">
        <f t="shared" ca="1" si="74"/>
        <v>2.2513448407163822E-2</v>
      </c>
      <c r="O87" s="2">
        <f t="shared" si="75"/>
        <v>6000000</v>
      </c>
      <c r="P87" s="2">
        <f t="shared" ca="1" si="76"/>
        <v>45704929.27093628</v>
      </c>
      <c r="Q87" s="2">
        <f t="shared" ca="1" si="77"/>
        <v>1142623.231773407</v>
      </c>
      <c r="R87" s="2">
        <f t="shared" ca="1" si="78"/>
        <v>27422957.562561769</v>
      </c>
      <c r="S87" s="2">
        <f t="shared" ca="1" si="79"/>
        <v>18281971.708374511</v>
      </c>
      <c r="T87" s="2">
        <f t="shared" ca="1" si="80"/>
        <v>51125672.420358196</v>
      </c>
      <c r="U87" s="2">
        <f t="shared" ca="1" si="81"/>
        <v>52497843.002749644</v>
      </c>
      <c r="V87" s="2">
        <f t="shared" ca="1" si="82"/>
        <v>53906841.503837191</v>
      </c>
      <c r="W87" s="2">
        <f t="shared" ca="1" si="83"/>
        <v>55353656.354369096</v>
      </c>
      <c r="X87" s="2">
        <f t="shared" ca="1" si="84"/>
        <v>56839302.513753898</v>
      </c>
      <c r="Y87" s="2">
        <f t="shared" ca="1" si="85"/>
        <v>0.12714040633492885</v>
      </c>
      <c r="Z87" s="2">
        <f t="shared" ca="1" si="86"/>
        <v>0.12999656886890038</v>
      </c>
      <c r="AA87" s="2">
        <f t="shared" ca="1" si="87"/>
        <v>6500138.7656708062</v>
      </c>
      <c r="AB87" s="2">
        <f t="shared" ca="1" si="88"/>
        <v>6824539.4633756634</v>
      </c>
      <c r="AC87" s="2">
        <f t="shared" ca="1" si="89"/>
        <v>7007704.4340584688</v>
      </c>
      <c r="AD87" s="2">
        <f t="shared" ca="1" si="90"/>
        <v>7195785.400416187</v>
      </c>
      <c r="AE87" s="2">
        <f t="shared" ca="1" si="91"/>
        <v>7388914.3036894705</v>
      </c>
      <c r="AF87" s="2">
        <f t="shared" ca="1" si="92"/>
        <v>1022513.448407164</v>
      </c>
      <c r="AG87" s="2">
        <f t="shared" ca="1" si="93"/>
        <v>1049956.8600549928</v>
      </c>
      <c r="AH87" s="2">
        <f t="shared" ca="1" si="94"/>
        <v>1078136.8300767438</v>
      </c>
      <c r="AI87" s="2">
        <f t="shared" ca="1" si="95"/>
        <v>1107073.1270873819</v>
      </c>
      <c r="AJ87" s="2">
        <f t="shared" ca="1" si="96"/>
        <v>1136786.050275078</v>
      </c>
      <c r="AK87" s="2">
        <f t="shared" ca="1" si="97"/>
        <v>0</v>
      </c>
      <c r="AL87" s="2">
        <f t="shared" ca="1" si="98"/>
        <v>13721.705823914483</v>
      </c>
      <c r="AM87" s="2">
        <f t="shared" ca="1" si="99"/>
        <v>14089.985010875464</v>
      </c>
      <c r="AN87" s="2">
        <f t="shared" ca="1" si="100"/>
        <v>14468.148505319059</v>
      </c>
      <c r="AO87" s="2">
        <f t="shared" ca="1" si="101"/>
        <v>14856.46159384802</v>
      </c>
      <c r="AP87" s="2">
        <f t="shared" ca="1" si="102"/>
        <v>2468066.1806305591</v>
      </c>
      <c r="AQ87" s="2">
        <f t="shared" ca="1" si="103"/>
        <v>782485.37552460167</v>
      </c>
      <c r="AR87" s="2">
        <f t="shared" ca="1" si="104"/>
        <v>859694.26989942894</v>
      </c>
      <c r="AS87" s="2">
        <f t="shared" ca="1" si="105"/>
        <v>899990.3700713031</v>
      </c>
      <c r="AT87" s="2">
        <f t="shared" ca="1" si="106"/>
        <v>941367.98410154402</v>
      </c>
      <c r="AU87" s="2">
        <f t="shared" ca="1" si="107"/>
        <v>983856.13892379671</v>
      </c>
      <c r="AV87" s="2">
        <f t="shared" ca="1" si="108"/>
        <v>2227073.7611084813</v>
      </c>
      <c r="AW87" s="2">
        <f t="shared" ca="1" si="109"/>
        <v>2433100.4469667682</v>
      </c>
      <c r="AX87" s="2">
        <f t="shared" ca="1" si="110"/>
        <v>2547421.0682689874</v>
      </c>
      <c r="AY87" s="2">
        <f t="shared" ca="1" si="111"/>
        <v>2664809.9600913832</v>
      </c>
      <c r="AZ87" s="2">
        <f t="shared" ca="1" si="112"/>
        <v>2785349.4722661888</v>
      </c>
      <c r="BA87" s="2">
        <f t="shared" ca="1" si="113"/>
        <v>58382723.5141358</v>
      </c>
      <c r="BB87" s="2">
        <f t="shared" ca="1" si="114"/>
        <v>1167654.470282716</v>
      </c>
      <c r="BC87" s="2">
        <f t="shared" ca="1" si="115"/>
        <v>29792111.481291316</v>
      </c>
      <c r="BD87" s="2">
        <f t="shared" ca="1" si="116"/>
        <v>-19924594.940147918</v>
      </c>
      <c r="BE87" s="2">
        <f t="shared" ca="1" si="117"/>
        <v>2227073.7611084813</v>
      </c>
      <c r="BF87" s="2">
        <f t="shared" ca="1" si="118"/>
        <v>2433100.4469667682</v>
      </c>
      <c r="BG87" s="2">
        <f t="shared" ca="1" si="119"/>
        <v>2547421.0682689874</v>
      </c>
      <c r="BH87" s="2">
        <f t="shared" ca="1" si="120"/>
        <v>2664809.9600913832</v>
      </c>
      <c r="BI87" s="2">
        <f t="shared" ca="1" si="121"/>
        <v>32577460.953557506</v>
      </c>
      <c r="BJ87" s="2">
        <f t="shared" ca="1" si="122"/>
        <v>0.19225405813605434</v>
      </c>
      <c r="BK87" s="2">
        <f t="shared" ca="1" si="123"/>
        <v>5995581.6954975761</v>
      </c>
    </row>
    <row r="88" spans="1:63" x14ac:dyDescent="0.3">
      <c r="A88" s="2">
        <v>87</v>
      </c>
      <c r="B88" s="2">
        <f t="shared" ca="1" si="62"/>
        <v>0.14865223724013699</v>
      </c>
      <c r="C88" s="2">
        <f t="shared" ca="1" si="63"/>
        <v>6.5452563383219617</v>
      </c>
      <c r="D88" s="2">
        <f t="shared" ca="1" si="64"/>
        <v>0.33617218072206567</v>
      </c>
      <c r="E88" s="2">
        <f t="shared" ca="1" si="65"/>
        <v>7.3199660733494598</v>
      </c>
      <c r="F88" s="2">
        <f t="shared" ca="1" si="66"/>
        <v>0.97006371859072071</v>
      </c>
      <c r="G88" s="2">
        <f t="shared" ca="1" si="67"/>
        <v>9.6451926829377921E-2</v>
      </c>
      <c r="H88" s="2">
        <f t="shared" ca="1" si="68"/>
        <v>9.6451926829377921E-2</v>
      </c>
      <c r="I88" s="2">
        <f t="shared" ca="1" si="69"/>
        <v>0.72714908751267926</v>
      </c>
      <c r="J88" s="2">
        <f t="shared" ca="1" si="70"/>
        <v>1.3021066609897739E-2</v>
      </c>
      <c r="K88" s="2">
        <f t="shared" ca="1" si="71"/>
        <v>1.3021066609897739E-2</v>
      </c>
      <c r="L88" s="2">
        <f t="shared" ca="1" si="72"/>
        <v>0.22252485750124718</v>
      </c>
      <c r="M88" s="2">
        <f t="shared" ca="1" si="73"/>
        <v>-1.5273876717222723E-2</v>
      </c>
      <c r="N88" s="2">
        <f t="shared" ca="1" si="74"/>
        <v>-1.5273876717222723E-2</v>
      </c>
      <c r="O88" s="2">
        <f t="shared" si="75"/>
        <v>6000000</v>
      </c>
      <c r="P88" s="2">
        <f t="shared" ca="1" si="76"/>
        <v>39271538.029931769</v>
      </c>
      <c r="Q88" s="2">
        <f t="shared" ca="1" si="77"/>
        <v>981788.45074829424</v>
      </c>
      <c r="R88" s="2">
        <f t="shared" ca="1" si="78"/>
        <v>23562922.817959059</v>
      </c>
      <c r="S88" s="2">
        <f t="shared" ca="1" si="79"/>
        <v>15708615.211972708</v>
      </c>
      <c r="T88" s="2">
        <f t="shared" ca="1" si="80"/>
        <v>49236306.164138868</v>
      </c>
      <c r="U88" s="2">
        <f t="shared" ca="1" si="81"/>
        <v>53985242.76363124</v>
      </c>
      <c r="V88" s="2">
        <f t="shared" ca="1" si="82"/>
        <v>59192223.448535204</v>
      </c>
      <c r="W88" s="2">
        <f t="shared" ca="1" si="83"/>
        <v>64901427.453461513</v>
      </c>
      <c r="X88" s="2">
        <f t="shared" ca="1" si="84"/>
        <v>71161295.185324967</v>
      </c>
      <c r="Y88" s="2">
        <f t="shared" ca="1" si="85"/>
        <v>0.12651053330494885</v>
      </c>
      <c r="Z88" s="2">
        <f t="shared" ca="1" si="86"/>
        <v>0.1291147466269284</v>
      </c>
      <c r="AA88" s="2">
        <f t="shared" ca="1" si="87"/>
        <v>6228911.3507909486</v>
      </c>
      <c r="AB88" s="2">
        <f t="shared" ca="1" si="88"/>
        <v>6970290.9410194671</v>
      </c>
      <c r="AC88" s="2">
        <f t="shared" ca="1" si="89"/>
        <v>7642588.9328421531</v>
      </c>
      <c r="AD88" s="2">
        <f t="shared" ca="1" si="90"/>
        <v>8379731.3613796579</v>
      </c>
      <c r="AE88" s="2">
        <f t="shared" ca="1" si="91"/>
        <v>9187972.5974972937</v>
      </c>
      <c r="AF88" s="2">
        <f t="shared" ca="1" si="92"/>
        <v>984726.12328277738</v>
      </c>
      <c r="AG88" s="2">
        <f t="shared" ca="1" si="93"/>
        <v>1079704.8552726249</v>
      </c>
      <c r="AH88" s="2">
        <f t="shared" ca="1" si="94"/>
        <v>1183844.4689707041</v>
      </c>
      <c r="AI88" s="2">
        <f t="shared" ca="1" si="95"/>
        <v>1298028.5490692302</v>
      </c>
      <c r="AJ88" s="2">
        <f t="shared" ca="1" si="96"/>
        <v>1423225.9037064994</v>
      </c>
      <c r="AK88" s="2">
        <f t="shared" ca="1" si="97"/>
        <v>0</v>
      </c>
      <c r="AL88" s="2">
        <f t="shared" ca="1" si="98"/>
        <v>47489.365994923712</v>
      </c>
      <c r="AM88" s="2">
        <f t="shared" ca="1" si="99"/>
        <v>52069.806849039647</v>
      </c>
      <c r="AN88" s="2">
        <f t="shared" ca="1" si="100"/>
        <v>57092.040049263094</v>
      </c>
      <c r="AO88" s="2">
        <f t="shared" ca="1" si="101"/>
        <v>62598.677318634538</v>
      </c>
      <c r="AP88" s="2">
        <f t="shared" ca="1" si="102"/>
        <v>2120663.0536163151</v>
      </c>
      <c r="AQ88" s="2">
        <f t="shared" ca="1" si="103"/>
        <v>812115.76521188265</v>
      </c>
      <c r="AR88" s="2">
        <f t="shared" ca="1" si="104"/>
        <v>980179.98835393717</v>
      </c>
      <c r="AS88" s="2">
        <f t="shared" ca="1" si="105"/>
        <v>1127901.166666335</v>
      </c>
      <c r="AT88" s="2">
        <f t="shared" ca="1" si="106"/>
        <v>1289870.3372604693</v>
      </c>
      <c r="AU88" s="2">
        <f t="shared" ca="1" si="107"/>
        <v>1467461.7464453646</v>
      </c>
      <c r="AV88" s="2">
        <f t="shared" ca="1" si="108"/>
        <v>2311406.4086799733</v>
      </c>
      <c r="AW88" s="2">
        <f t="shared" ca="1" si="109"/>
        <v>2742253.6777816666</v>
      </c>
      <c r="AX88" s="2">
        <f t="shared" ca="1" si="110"/>
        <v>3158110.4367397595</v>
      </c>
      <c r="AY88" s="2">
        <f t="shared" ca="1" si="111"/>
        <v>3614077.3813843802</v>
      </c>
      <c r="AZ88" s="2">
        <f t="shared" ca="1" si="112"/>
        <v>4114023.2164104804</v>
      </c>
      <c r="BA88" s="2">
        <f t="shared" ca="1" si="113"/>
        <v>67255647.696544707</v>
      </c>
      <c r="BB88" s="2">
        <f t="shared" ca="1" si="114"/>
        <v>1345112.9539308941</v>
      </c>
      <c r="BC88" s="2">
        <f t="shared" ca="1" si="115"/>
        <v>42347611.924654759</v>
      </c>
      <c r="BD88" s="2">
        <f t="shared" ca="1" si="116"/>
        <v>-17190403.662721001</v>
      </c>
      <c r="BE88" s="2">
        <f t="shared" ca="1" si="117"/>
        <v>2311406.4086799733</v>
      </c>
      <c r="BF88" s="2">
        <f t="shared" ca="1" si="118"/>
        <v>2742253.6777816666</v>
      </c>
      <c r="BG88" s="2">
        <f t="shared" ca="1" si="119"/>
        <v>3158110.4367397595</v>
      </c>
      <c r="BH88" s="2">
        <f t="shared" ca="1" si="120"/>
        <v>3614077.3813843802</v>
      </c>
      <c r="BI88" s="2">
        <f t="shared" ca="1" si="121"/>
        <v>46461635.14106524</v>
      </c>
      <c r="BJ88" s="2">
        <f t="shared" ca="1" si="122"/>
        <v>0.3254304129446961</v>
      </c>
      <c r="BK88" s="2">
        <f t="shared" ca="1" si="123"/>
        <v>17967731.58348193</v>
      </c>
    </row>
    <row r="89" spans="1:63" x14ac:dyDescent="0.3">
      <c r="A89" s="2">
        <v>88</v>
      </c>
      <c r="B89" s="2">
        <f t="shared" ca="1" si="62"/>
        <v>0.87690129395322292</v>
      </c>
      <c r="C89" s="2">
        <f t="shared" ca="1" si="63"/>
        <v>7.503817158606271</v>
      </c>
      <c r="D89" s="2">
        <f t="shared" ca="1" si="64"/>
        <v>0.10824044559285761</v>
      </c>
      <c r="E89" s="2">
        <f t="shared" ca="1" si="65"/>
        <v>6.9652750704537212</v>
      </c>
      <c r="F89" s="2">
        <f t="shared" ca="1" si="66"/>
        <v>0.30569448328509952</v>
      </c>
      <c r="G89" s="2">
        <f t="shared" ca="1" si="67"/>
        <v>2.4757246040616993E-2</v>
      </c>
      <c r="H89" s="2">
        <f t="shared" ca="1" si="68"/>
        <v>2.4757246040616993E-2</v>
      </c>
      <c r="I89" s="2">
        <f t="shared" ca="1" si="69"/>
        <v>0.33530041468418526</v>
      </c>
      <c r="J89" s="2">
        <f t="shared" ca="1" si="70"/>
        <v>7.8733822575247549E-3</v>
      </c>
      <c r="K89" s="2">
        <f t="shared" ca="1" si="71"/>
        <v>7.8733822575247549E-3</v>
      </c>
      <c r="L89" s="2">
        <f t="shared" ca="1" si="72"/>
        <v>0.31115447936241891</v>
      </c>
      <c r="M89" s="2">
        <f t="shared" ca="1" si="73"/>
        <v>-9.8516119939357528E-3</v>
      </c>
      <c r="N89" s="2">
        <f t="shared" ca="1" si="74"/>
        <v>-9.8516119939357528E-3</v>
      </c>
      <c r="O89" s="2">
        <f t="shared" si="75"/>
        <v>6000000</v>
      </c>
      <c r="P89" s="2">
        <f t="shared" ca="1" si="76"/>
        <v>45022902.951637626</v>
      </c>
      <c r="Q89" s="2">
        <f t="shared" ca="1" si="77"/>
        <v>1125572.5737909407</v>
      </c>
      <c r="R89" s="2">
        <f t="shared" ca="1" si="78"/>
        <v>27013741.770982575</v>
      </c>
      <c r="S89" s="2">
        <f t="shared" ca="1" si="79"/>
        <v>18009161.180655051</v>
      </c>
      <c r="T89" s="2">
        <f t="shared" ca="1" si="80"/>
        <v>49507419.400303207</v>
      </c>
      <c r="U89" s="2">
        <f t="shared" ca="1" si="81"/>
        <v>50733086.763232522</v>
      </c>
      <c r="V89" s="2">
        <f t="shared" ca="1" si="82"/>
        <v>51989098.274629831</v>
      </c>
      <c r="W89" s="2">
        <f t="shared" ca="1" si="83"/>
        <v>53276205.172044657</v>
      </c>
      <c r="X89" s="2">
        <f t="shared" ca="1" si="84"/>
        <v>54595177.291599356</v>
      </c>
      <c r="Y89" s="2">
        <f t="shared" ca="1" si="85"/>
        <v>0.12393669112876238</v>
      </c>
      <c r="Z89" s="2">
        <f t="shared" ca="1" si="86"/>
        <v>0.12551136758026732</v>
      </c>
      <c r="AA89" s="2">
        <f t="shared" ca="1" si="87"/>
        <v>6135785.7467974769</v>
      </c>
      <c r="AB89" s="2">
        <f t="shared" ca="1" si="88"/>
        <v>6367579.1012216713</v>
      </c>
      <c r="AC89" s="2">
        <f t="shared" ca="1" si="89"/>
        <v>6525222.8237137059</v>
      </c>
      <c r="AD89" s="2">
        <f t="shared" ca="1" si="90"/>
        <v>6686769.3706302354</v>
      </c>
      <c r="AE89" s="2">
        <f t="shared" ca="1" si="91"/>
        <v>6852315.36515579</v>
      </c>
      <c r="AF89" s="2">
        <f t="shared" ca="1" si="92"/>
        <v>990148.38800606411</v>
      </c>
      <c r="AG89" s="2">
        <f t="shared" ca="1" si="93"/>
        <v>1014661.7352646504</v>
      </c>
      <c r="AH89" s="2">
        <f t="shared" ca="1" si="94"/>
        <v>1039781.9654925966</v>
      </c>
      <c r="AI89" s="2">
        <f t="shared" ca="1" si="95"/>
        <v>1065524.1034408931</v>
      </c>
      <c r="AJ89" s="2">
        <f t="shared" ca="1" si="96"/>
        <v>1091903.5458319872</v>
      </c>
      <c r="AK89" s="2">
        <f t="shared" ca="1" si="97"/>
        <v>0</v>
      </c>
      <c r="AL89" s="2">
        <f t="shared" ca="1" si="98"/>
        <v>12256.673629293144</v>
      </c>
      <c r="AM89" s="2">
        <f t="shared" ca="1" si="99"/>
        <v>12560.115113973096</v>
      </c>
      <c r="AN89" s="2">
        <f t="shared" ca="1" si="100"/>
        <v>12871.068974148258</v>
      </c>
      <c r="AO89" s="2">
        <f t="shared" ca="1" si="101"/>
        <v>13189.721195546985</v>
      </c>
      <c r="AP89" s="2">
        <f t="shared" ca="1" si="102"/>
        <v>2431236.7593884314</v>
      </c>
      <c r="AQ89" s="2">
        <f t="shared" ca="1" si="103"/>
        <v>705744.15584477514</v>
      </c>
      <c r="AR89" s="2">
        <f t="shared" ca="1" si="104"/>
        <v>759636.95770783327</v>
      </c>
      <c r="AS89" s="2">
        <f t="shared" ca="1" si="105"/>
        <v>794093.06569649617</v>
      </c>
      <c r="AT89" s="2">
        <f t="shared" ca="1" si="106"/>
        <v>829402.21202823694</v>
      </c>
      <c r="AU89" s="2">
        <f t="shared" ca="1" si="107"/>
        <v>865585.51558319642</v>
      </c>
      <c r="AV89" s="2">
        <f t="shared" ca="1" si="108"/>
        <v>2008656.4435582063</v>
      </c>
      <c r="AW89" s="2">
        <f t="shared" ca="1" si="109"/>
        <v>2149786.9752314626</v>
      </c>
      <c r="AX89" s="2">
        <f t="shared" ca="1" si="110"/>
        <v>2247550.9180222084</v>
      </c>
      <c r="AY89" s="2">
        <f t="shared" ca="1" si="111"/>
        <v>2347735.2267985255</v>
      </c>
      <c r="AZ89" s="2">
        <f t="shared" ca="1" si="112"/>
        <v>2450399.8231566274</v>
      </c>
      <c r="BA89" s="2">
        <f t="shared" ca="1" si="113"/>
        <v>47728261.387806609</v>
      </c>
      <c r="BB89" s="2">
        <f t="shared" ca="1" si="114"/>
        <v>954565.22775613226</v>
      </c>
      <c r="BC89" s="2">
        <f t="shared" ca="1" si="115"/>
        <v>19759954.389067903</v>
      </c>
      <c r="BD89" s="2">
        <f t="shared" ca="1" si="116"/>
        <v>-19634733.754445992</v>
      </c>
      <c r="BE89" s="2">
        <f t="shared" ca="1" si="117"/>
        <v>2008656.4435582063</v>
      </c>
      <c r="BF89" s="2">
        <f t="shared" ca="1" si="118"/>
        <v>2149786.9752314626</v>
      </c>
      <c r="BG89" s="2">
        <f t="shared" ca="1" si="119"/>
        <v>2247550.9180222084</v>
      </c>
      <c r="BH89" s="2">
        <f t="shared" ca="1" si="120"/>
        <v>2347735.2267985255</v>
      </c>
      <c r="BI89" s="2">
        <f t="shared" ca="1" si="121"/>
        <v>22210354.212224532</v>
      </c>
      <c r="BJ89" s="2">
        <f t="shared" ca="1" si="122"/>
        <v>0.11395432245071802</v>
      </c>
      <c r="BK89" s="2">
        <f t="shared" ca="1" si="123"/>
        <v>-432951.50219522789</v>
      </c>
    </row>
    <row r="90" spans="1:63" x14ac:dyDescent="0.3">
      <c r="A90" s="2">
        <v>89</v>
      </c>
      <c r="B90" s="2">
        <f t="shared" ca="1" si="62"/>
        <v>0.78963991649402321</v>
      </c>
      <c r="C90" s="2">
        <f t="shared" ca="1" si="63"/>
        <v>7.3513705472213324</v>
      </c>
      <c r="D90" s="2">
        <f t="shared" ca="1" si="64"/>
        <v>0.23446738905238029</v>
      </c>
      <c r="E90" s="2">
        <f t="shared" ca="1" si="65"/>
        <v>7.1847881264338342</v>
      </c>
      <c r="F90" s="2">
        <f t="shared" ca="1" si="66"/>
        <v>4.0818596142262242E-2</v>
      </c>
      <c r="G90" s="2">
        <f t="shared" ca="1" si="67"/>
        <v>-1.2237940745685655E-2</v>
      </c>
      <c r="H90" s="2">
        <f t="shared" ca="1" si="68"/>
        <v>-1.2237940745685655E-2</v>
      </c>
      <c r="I90" s="2">
        <f t="shared" ca="1" si="69"/>
        <v>0.76010821705438036</v>
      </c>
      <c r="J90" s="2">
        <f t="shared" ca="1" si="70"/>
        <v>1.3533253561949872E-2</v>
      </c>
      <c r="K90" s="2">
        <f t="shared" ca="1" si="71"/>
        <v>1.3533253561949872E-2</v>
      </c>
      <c r="L90" s="2">
        <f t="shared" ca="1" si="72"/>
        <v>0.44608857372040389</v>
      </c>
      <c r="M90" s="2">
        <f t="shared" ca="1" si="73"/>
        <v>-2.7109971484631972E-3</v>
      </c>
      <c r="N90" s="2">
        <f t="shared" ca="1" si="74"/>
        <v>-2.7109971484631972E-3</v>
      </c>
      <c r="O90" s="2">
        <f t="shared" si="75"/>
        <v>6000000</v>
      </c>
      <c r="P90" s="2">
        <f t="shared" ca="1" si="76"/>
        <v>44108223.283327997</v>
      </c>
      <c r="Q90" s="2">
        <f t="shared" ca="1" si="77"/>
        <v>1102705.5820831999</v>
      </c>
      <c r="R90" s="2">
        <f t="shared" ca="1" si="78"/>
        <v>26464933.969996799</v>
      </c>
      <c r="S90" s="2">
        <f t="shared" ca="1" si="79"/>
        <v>17643289.313331198</v>
      </c>
      <c r="T90" s="2">
        <f t="shared" ca="1" si="80"/>
        <v>49864450.142576836</v>
      </c>
      <c r="U90" s="2">
        <f t="shared" ca="1" si="81"/>
        <v>49254211.956415787</v>
      </c>
      <c r="V90" s="2">
        <f t="shared" ca="1" si="82"/>
        <v>48651441.829017729</v>
      </c>
      <c r="W90" s="2">
        <f t="shared" ca="1" si="83"/>
        <v>48056048.36672204</v>
      </c>
      <c r="X90" s="2">
        <f t="shared" ca="1" si="84"/>
        <v>47467941.294338293</v>
      </c>
      <c r="Y90" s="2">
        <f t="shared" ca="1" si="85"/>
        <v>0.12676662678097494</v>
      </c>
      <c r="Z90" s="2">
        <f t="shared" ca="1" si="86"/>
        <v>0.1294732774933649</v>
      </c>
      <c r="AA90" s="2">
        <f t="shared" ca="1" si="87"/>
        <v>6321148.1408625711</v>
      </c>
      <c r="AB90" s="2">
        <f t="shared" ca="1" si="88"/>
        <v>6377104.2523500323</v>
      </c>
      <c r="AC90" s="2">
        <f t="shared" ca="1" si="89"/>
        <v>6299061.6283807131</v>
      </c>
      <c r="AD90" s="2">
        <f t="shared" ca="1" si="90"/>
        <v>6221974.0854191678</v>
      </c>
      <c r="AE90" s="2">
        <f t="shared" ca="1" si="91"/>
        <v>6145829.935240617</v>
      </c>
      <c r="AF90" s="2">
        <f t="shared" ca="1" si="92"/>
        <v>997289.00285153673</v>
      </c>
      <c r="AG90" s="2">
        <f t="shared" ca="1" si="93"/>
        <v>985084.23912831582</v>
      </c>
      <c r="AH90" s="2">
        <f t="shared" ca="1" si="94"/>
        <v>973028.8365803546</v>
      </c>
      <c r="AI90" s="2">
        <f t="shared" ca="1" si="95"/>
        <v>961120.96733444079</v>
      </c>
      <c r="AJ90" s="2">
        <f t="shared" ca="1" si="96"/>
        <v>949358.82588676584</v>
      </c>
      <c r="AK90" s="2">
        <f t="shared" ca="1" si="97"/>
        <v>0</v>
      </c>
      <c r="AL90" s="2">
        <f t="shared" ca="1" si="98"/>
        <v>0</v>
      </c>
      <c r="AM90" s="2">
        <f t="shared" ca="1" si="99"/>
        <v>0</v>
      </c>
      <c r="AN90" s="2">
        <f t="shared" ca="1" si="100"/>
        <v>0</v>
      </c>
      <c r="AO90" s="2">
        <f t="shared" ca="1" si="101"/>
        <v>0</v>
      </c>
      <c r="AP90" s="2">
        <f t="shared" ca="1" si="102"/>
        <v>2381844.0572997117</v>
      </c>
      <c r="AQ90" s="2">
        <f t="shared" ca="1" si="103"/>
        <v>764923.92098494398</v>
      </c>
      <c r="AR90" s="2">
        <f t="shared" ca="1" si="104"/>
        <v>782645.74853972124</v>
      </c>
      <c r="AS90" s="2">
        <f t="shared" ca="1" si="105"/>
        <v>765489.0709701681</v>
      </c>
      <c r="AT90" s="2">
        <f t="shared" ca="1" si="106"/>
        <v>748542.35580410401</v>
      </c>
      <c r="AU90" s="2">
        <f t="shared" ca="1" si="107"/>
        <v>731803.03353407641</v>
      </c>
      <c r="AV90" s="2">
        <f t="shared" ca="1" si="108"/>
        <v>2177091.1597263785</v>
      </c>
      <c r="AW90" s="2">
        <f t="shared" ca="1" si="109"/>
        <v>2227530.2073822832</v>
      </c>
      <c r="AX90" s="2">
        <f t="shared" ca="1" si="110"/>
        <v>2178699.6635304783</v>
      </c>
      <c r="AY90" s="2">
        <f t="shared" ca="1" si="111"/>
        <v>2130466.7049809108</v>
      </c>
      <c r="AZ90" s="2">
        <f t="shared" ca="1" si="112"/>
        <v>2082824.0185200637</v>
      </c>
      <c r="BA90" s="2">
        <f t="shared" ca="1" si="113"/>
        <v>44156485.945798405</v>
      </c>
      <c r="BB90" s="2">
        <f t="shared" ca="1" si="114"/>
        <v>883129.71891596809</v>
      </c>
      <c r="BC90" s="2">
        <f t="shared" ca="1" si="115"/>
        <v>16808422.256885637</v>
      </c>
      <c r="BD90" s="2">
        <f t="shared" ca="1" si="116"/>
        <v>-19245994.895414397</v>
      </c>
      <c r="BE90" s="2">
        <f t="shared" ca="1" si="117"/>
        <v>2177091.1597263785</v>
      </c>
      <c r="BF90" s="2">
        <f t="shared" ca="1" si="118"/>
        <v>2227530.2073822832</v>
      </c>
      <c r="BG90" s="2">
        <f t="shared" ca="1" si="119"/>
        <v>2178699.6635304783</v>
      </c>
      <c r="BH90" s="2">
        <f t="shared" ca="1" si="120"/>
        <v>2130466.7049809108</v>
      </c>
      <c r="BI90" s="2">
        <f t="shared" ca="1" si="121"/>
        <v>18891246.275405701</v>
      </c>
      <c r="BJ90" s="2">
        <f t="shared" ca="1" si="122"/>
        <v>9.1340213191771324E-2</v>
      </c>
      <c r="BK90" s="2">
        <f t="shared" ca="1" si="123"/>
        <v>-1902284.0918836333</v>
      </c>
    </row>
    <row r="91" spans="1:63" x14ac:dyDescent="0.3">
      <c r="A91" s="2">
        <v>90</v>
      </c>
      <c r="B91" s="2">
        <f t="shared" ca="1" si="62"/>
        <v>0.50199633966537915</v>
      </c>
      <c r="C91" s="2">
        <f t="shared" ca="1" si="63"/>
        <v>7.001998336339442</v>
      </c>
      <c r="D91" s="2">
        <f t="shared" ca="1" si="64"/>
        <v>0.63737561918598729</v>
      </c>
      <c r="E91" s="2">
        <f t="shared" ca="1" si="65"/>
        <v>7.6483846163742548</v>
      </c>
      <c r="F91" s="2">
        <f t="shared" ca="1" si="66"/>
        <v>0.32214140275900649</v>
      </c>
      <c r="G91" s="2">
        <f t="shared" ca="1" si="67"/>
        <v>2.6148428390685589E-2</v>
      </c>
      <c r="H91" s="2">
        <f t="shared" ca="1" si="68"/>
        <v>2.6148428390685589E-2</v>
      </c>
      <c r="I91" s="2">
        <f t="shared" ca="1" si="69"/>
        <v>0.23730566080716442</v>
      </c>
      <c r="J91" s="2">
        <f t="shared" ca="1" si="70"/>
        <v>6.4250184356298926E-3</v>
      </c>
      <c r="K91" s="2">
        <f t="shared" ca="1" si="71"/>
        <v>6.4250184356298926E-3</v>
      </c>
      <c r="L91" s="2">
        <f t="shared" ca="1" si="72"/>
        <v>0.33711080116584413</v>
      </c>
      <c r="M91" s="2">
        <f t="shared" ca="1" si="73"/>
        <v>-8.4072241541475069E-3</v>
      </c>
      <c r="N91" s="2">
        <f t="shared" ca="1" si="74"/>
        <v>-8.4072241541475069E-3</v>
      </c>
      <c r="O91" s="2">
        <f t="shared" si="75"/>
        <v>6000000</v>
      </c>
      <c r="P91" s="2">
        <f t="shared" ca="1" si="76"/>
        <v>42011990.018036649</v>
      </c>
      <c r="Q91" s="2">
        <f t="shared" ca="1" si="77"/>
        <v>1050299.7504509164</v>
      </c>
      <c r="R91" s="2">
        <f t="shared" ca="1" si="78"/>
        <v>25207194.010821987</v>
      </c>
      <c r="S91" s="2">
        <f t="shared" ca="1" si="79"/>
        <v>16804796.007214662</v>
      </c>
      <c r="T91" s="2">
        <f t="shared" ca="1" si="80"/>
        <v>49579638.792292625</v>
      </c>
      <c r="U91" s="2">
        <f t="shared" ca="1" si="81"/>
        <v>50876068.42688895</v>
      </c>
      <c r="V91" s="2">
        <f t="shared" ca="1" si="82"/>
        <v>52206397.658949077</v>
      </c>
      <c r="W91" s="2">
        <f t="shared" ca="1" si="83"/>
        <v>53571512.909669764</v>
      </c>
      <c r="X91" s="2">
        <f t="shared" ca="1" si="84"/>
        <v>54972323.778768957</v>
      </c>
      <c r="Y91" s="2">
        <f t="shared" ca="1" si="85"/>
        <v>0.12321250921781494</v>
      </c>
      <c r="Z91" s="2">
        <f t="shared" ca="1" si="86"/>
        <v>0.12449751290494092</v>
      </c>
      <c r="AA91" s="2">
        <f t="shared" ca="1" si="87"/>
        <v>6108831.7017112905</v>
      </c>
      <c r="AB91" s="2">
        <f t="shared" ca="1" si="88"/>
        <v>6333943.9855292644</v>
      </c>
      <c r="AC91" s="2">
        <f t="shared" ca="1" si="89"/>
        <v>6499566.6662654905</v>
      </c>
      <c r="AD91" s="2">
        <f t="shared" ca="1" si="90"/>
        <v>6669520.1198088201</v>
      </c>
      <c r="AE91" s="2">
        <f t="shared" ca="1" si="91"/>
        <v>6843917.5890618786</v>
      </c>
      <c r="AF91" s="2">
        <f t="shared" ca="1" si="92"/>
        <v>991592.77584585256</v>
      </c>
      <c r="AG91" s="2">
        <f t="shared" ca="1" si="93"/>
        <v>1017521.3685377791</v>
      </c>
      <c r="AH91" s="2">
        <f t="shared" ca="1" si="94"/>
        <v>1044127.9531789816</v>
      </c>
      <c r="AI91" s="2">
        <f t="shared" ca="1" si="95"/>
        <v>1071430.2581933953</v>
      </c>
      <c r="AJ91" s="2">
        <f t="shared" ca="1" si="96"/>
        <v>1099446.4755753791</v>
      </c>
      <c r="AK91" s="2">
        <f t="shared" ca="1" si="97"/>
        <v>0</v>
      </c>
      <c r="AL91" s="2">
        <f t="shared" ca="1" si="98"/>
        <v>12964.296345963256</v>
      </c>
      <c r="AM91" s="2">
        <f t="shared" ca="1" si="99"/>
        <v>13303.292320601269</v>
      </c>
      <c r="AN91" s="2">
        <f t="shared" ca="1" si="100"/>
        <v>13651.152507206873</v>
      </c>
      <c r="AO91" s="2">
        <f t="shared" ca="1" si="101"/>
        <v>14008.108690991923</v>
      </c>
      <c r="AP91" s="2">
        <f t="shared" ca="1" si="102"/>
        <v>2268647.4609739785</v>
      </c>
      <c r="AQ91" s="2">
        <f t="shared" ca="1" si="103"/>
        <v>740633.78087177943</v>
      </c>
      <c r="AR91" s="2">
        <f t="shared" ca="1" si="104"/>
        <v>792421.54056455183</v>
      </c>
      <c r="AS91" s="2">
        <f t="shared" ca="1" si="105"/>
        <v>828565.72554925794</v>
      </c>
      <c r="AT91" s="2">
        <f t="shared" ca="1" si="106"/>
        <v>865655.0241667761</v>
      </c>
      <c r="AU91" s="2">
        <f t="shared" ca="1" si="107"/>
        <v>903714.14965325547</v>
      </c>
      <c r="AV91" s="2">
        <f t="shared" ca="1" si="108"/>
        <v>2107957.6840196797</v>
      </c>
      <c r="AW91" s="2">
        <f t="shared" ca="1" si="109"/>
        <v>2242389.3191069919</v>
      </c>
      <c r="AX91" s="2">
        <f t="shared" ca="1" si="110"/>
        <v>2344922.2342426707</v>
      </c>
      <c r="AY91" s="2">
        <f t="shared" ca="1" si="111"/>
        <v>2450136.2239674642</v>
      </c>
      <c r="AZ91" s="2">
        <f t="shared" ca="1" si="112"/>
        <v>2558101.394168274</v>
      </c>
      <c r="BA91" s="2">
        <f t="shared" ca="1" si="113"/>
        <v>52344914.003914051</v>
      </c>
      <c r="BB91" s="2">
        <f t="shared" ca="1" si="114"/>
        <v>1046898.2800782811</v>
      </c>
      <c r="BC91" s="2">
        <f t="shared" ca="1" si="115"/>
        <v>26090821.713013783</v>
      </c>
      <c r="BD91" s="2">
        <f t="shared" ca="1" si="116"/>
        <v>-18355095.757665578</v>
      </c>
      <c r="BE91" s="2">
        <f t="shared" ca="1" si="117"/>
        <v>2107957.6840196797</v>
      </c>
      <c r="BF91" s="2">
        <f t="shared" ca="1" si="118"/>
        <v>2242389.3191069919</v>
      </c>
      <c r="BG91" s="2">
        <f t="shared" ca="1" si="119"/>
        <v>2344922.2342426707</v>
      </c>
      <c r="BH91" s="2">
        <f t="shared" ca="1" si="120"/>
        <v>2450136.2239674642</v>
      </c>
      <c r="BI91" s="2">
        <f t="shared" ca="1" si="121"/>
        <v>28648923.107182056</v>
      </c>
      <c r="BJ91" s="2">
        <f t="shared" ca="1" si="122"/>
        <v>0.18395309734241194</v>
      </c>
      <c r="BK91" s="2">
        <f t="shared" ca="1" si="123"/>
        <v>4796971.9059404209</v>
      </c>
    </row>
    <row r="92" spans="1:63" x14ac:dyDescent="0.3">
      <c r="A92" s="2">
        <v>91</v>
      </c>
      <c r="B92" s="2">
        <f t="shared" ca="1" si="62"/>
        <v>0.42905115198270471</v>
      </c>
      <c r="C92" s="2">
        <f t="shared" ca="1" si="63"/>
        <v>6.9263381153582149</v>
      </c>
      <c r="D92" s="2">
        <f t="shared" ca="1" si="64"/>
        <v>0.2184822009740609</v>
      </c>
      <c r="E92" s="2">
        <f t="shared" ca="1" si="65"/>
        <v>7.1610328297052437</v>
      </c>
      <c r="F92" s="2">
        <f t="shared" ca="1" si="66"/>
        <v>0.79751854980160763</v>
      </c>
      <c r="G92" s="2">
        <f t="shared" ca="1" si="67"/>
        <v>6.4983714631823883E-2</v>
      </c>
      <c r="H92" s="2">
        <f t="shared" ca="1" si="68"/>
        <v>6.4983714631823883E-2</v>
      </c>
      <c r="I92" s="2">
        <f t="shared" ca="1" si="69"/>
        <v>0.7059521694245684</v>
      </c>
      <c r="J92" s="2">
        <f t="shared" ca="1" si="70"/>
        <v>1.2707988612311833E-2</v>
      </c>
      <c r="K92" s="2">
        <f t="shared" ca="1" si="71"/>
        <v>1.2707988612311833E-2</v>
      </c>
      <c r="L92" s="2">
        <f t="shared" ca="1" si="72"/>
        <v>8.1542260149030765E-2</v>
      </c>
      <c r="M92" s="2">
        <f t="shared" ca="1" si="73"/>
        <v>-2.789544561385052E-2</v>
      </c>
      <c r="N92" s="2">
        <f t="shared" ca="1" si="74"/>
        <v>-2.789544561385052E-2</v>
      </c>
      <c r="O92" s="2">
        <f t="shared" si="75"/>
        <v>6000000</v>
      </c>
      <c r="P92" s="2">
        <f t="shared" ca="1" si="76"/>
        <v>41558028.692149289</v>
      </c>
      <c r="Q92" s="2">
        <f t="shared" ca="1" si="77"/>
        <v>1038950.7173037323</v>
      </c>
      <c r="R92" s="2">
        <f t="shared" ca="1" si="78"/>
        <v>24934817.215289574</v>
      </c>
      <c r="S92" s="2">
        <f t="shared" ca="1" si="79"/>
        <v>16623211.476859717</v>
      </c>
      <c r="T92" s="2">
        <f t="shared" ca="1" si="80"/>
        <v>48605227.719307475</v>
      </c>
      <c r="U92" s="2">
        <f t="shared" ca="1" si="81"/>
        <v>51763775.967033774</v>
      </c>
      <c r="V92" s="2">
        <f t="shared" ca="1" si="82"/>
        <v>55127578.412741162</v>
      </c>
      <c r="W92" s="2">
        <f t="shared" ca="1" si="83"/>
        <v>58709973.23665823</v>
      </c>
      <c r="X92" s="2">
        <f t="shared" ca="1" si="84"/>
        <v>62525165.383511253</v>
      </c>
      <c r="Y92" s="2">
        <f t="shared" ca="1" si="85"/>
        <v>0.1263539943061559</v>
      </c>
      <c r="Z92" s="2">
        <f t="shared" ca="1" si="86"/>
        <v>0.12889559202861828</v>
      </c>
      <c r="AA92" s="2">
        <f t="shared" ca="1" si="87"/>
        <v>6141464.6664947877</v>
      </c>
      <c r="AB92" s="2">
        <f t="shared" ca="1" si="88"/>
        <v>6672122.5489075808</v>
      </c>
      <c r="AC92" s="2">
        <f t="shared" ca="1" si="89"/>
        <v>7105701.8566143485</v>
      </c>
      <c r="AD92" s="2">
        <f t="shared" ca="1" si="90"/>
        <v>7567456.7583233975</v>
      </c>
      <c r="AE92" s="2">
        <f t="shared" ca="1" si="91"/>
        <v>8059218.2087949524</v>
      </c>
      <c r="AF92" s="2">
        <f t="shared" ca="1" si="92"/>
        <v>972104.55438614951</v>
      </c>
      <c r="AG92" s="2">
        <f t="shared" ca="1" si="93"/>
        <v>1035275.5193406754</v>
      </c>
      <c r="AH92" s="2">
        <f t="shared" ca="1" si="94"/>
        <v>1102551.5682548233</v>
      </c>
      <c r="AI92" s="2">
        <f t="shared" ca="1" si="95"/>
        <v>1174199.4647331645</v>
      </c>
      <c r="AJ92" s="2">
        <f t="shared" ca="1" si="96"/>
        <v>1250503.3076702252</v>
      </c>
      <c r="AK92" s="2">
        <f t="shared" ca="1" si="97"/>
        <v>0</v>
      </c>
      <c r="AL92" s="2">
        <f t="shared" ca="1" si="98"/>
        <v>31585.482477262991</v>
      </c>
      <c r="AM92" s="2">
        <f t="shared" ca="1" si="99"/>
        <v>33638.02445707388</v>
      </c>
      <c r="AN92" s="2">
        <f t="shared" ca="1" si="100"/>
        <v>35823.948239170684</v>
      </c>
      <c r="AO92" s="2">
        <f t="shared" ca="1" si="101"/>
        <v>38151.921468530221</v>
      </c>
      <c r="AP92" s="2">
        <f t="shared" ca="1" si="102"/>
        <v>2244133.5493760617</v>
      </c>
      <c r="AQ92" s="2">
        <f t="shared" ca="1" si="103"/>
        <v>760558.90631046996</v>
      </c>
      <c r="AR92" s="2">
        <f t="shared" ca="1" si="104"/>
        <v>882105.50484961946</v>
      </c>
      <c r="AS92" s="2">
        <f t="shared" ca="1" si="105"/>
        <v>977344.35213570041</v>
      </c>
      <c r="AT92" s="2">
        <f t="shared" ca="1" si="106"/>
        <v>1078772.1734956845</v>
      </c>
      <c r="AU92" s="2">
        <f t="shared" ca="1" si="107"/>
        <v>1186791.1514546531</v>
      </c>
      <c r="AV92" s="2">
        <f t="shared" ca="1" si="108"/>
        <v>2164667.656422107</v>
      </c>
      <c r="AW92" s="2">
        <f t="shared" ca="1" si="109"/>
        <v>2479022.492863962</v>
      </c>
      <c r="AX92" s="2">
        <f t="shared" ca="1" si="110"/>
        <v>2748034.3623906891</v>
      </c>
      <c r="AY92" s="2">
        <f t="shared" ca="1" si="111"/>
        <v>3034527.6224793154</v>
      </c>
      <c r="AZ92" s="2">
        <f t="shared" ca="1" si="112"/>
        <v>3339638.2788254819</v>
      </c>
      <c r="BA92" s="2">
        <f t="shared" ca="1" si="113"/>
        <v>57712326.17493894</v>
      </c>
      <c r="BB92" s="2">
        <f t="shared" ca="1" si="114"/>
        <v>1154246.5234987789</v>
      </c>
      <c r="BC92" s="2">
        <f t="shared" ca="1" si="115"/>
        <v>31623262.436150588</v>
      </c>
      <c r="BD92" s="2">
        <f t="shared" ca="1" si="116"/>
        <v>-18162162.194163449</v>
      </c>
      <c r="BE92" s="2">
        <f t="shared" ca="1" si="117"/>
        <v>2164667.656422107</v>
      </c>
      <c r="BF92" s="2">
        <f t="shared" ca="1" si="118"/>
        <v>2479022.492863962</v>
      </c>
      <c r="BG92" s="2">
        <f t="shared" ca="1" si="119"/>
        <v>2748034.3623906891</v>
      </c>
      <c r="BH92" s="2">
        <f t="shared" ca="1" si="120"/>
        <v>3034527.6224793154</v>
      </c>
      <c r="BI92" s="2">
        <f t="shared" ca="1" si="121"/>
        <v>34962900.714976072</v>
      </c>
      <c r="BJ92" s="2">
        <f t="shared" ca="1" si="122"/>
        <v>0.23744888882078019</v>
      </c>
      <c r="BK92" s="2">
        <f t="shared" ca="1" si="123"/>
        <v>9470220.9008743577</v>
      </c>
    </row>
    <row r="93" spans="1:63" x14ac:dyDescent="0.3">
      <c r="A93" s="2">
        <v>92</v>
      </c>
      <c r="B93" s="2">
        <f t="shared" ca="1" si="62"/>
        <v>0.25960073016557861</v>
      </c>
      <c r="C93" s="2">
        <f t="shared" ca="1" si="63"/>
        <v>6.7205563547226248</v>
      </c>
      <c r="D93" s="2">
        <f t="shared" ca="1" si="64"/>
        <v>0.47670652814614289</v>
      </c>
      <c r="E93" s="2">
        <f t="shared" ca="1" si="65"/>
        <v>7.4764287256591162</v>
      </c>
      <c r="F93" s="2">
        <f t="shared" ca="1" si="66"/>
        <v>0.83883827678241374</v>
      </c>
      <c r="G93" s="2">
        <f t="shared" ca="1" si="67"/>
        <v>6.9690836084316171E-2</v>
      </c>
      <c r="H93" s="2">
        <f t="shared" ca="1" si="68"/>
        <v>6.9690836084316171E-2</v>
      </c>
      <c r="I93" s="2">
        <f t="shared" ca="1" si="69"/>
        <v>0.56040509860452881</v>
      </c>
      <c r="J93" s="2">
        <f t="shared" ca="1" si="70"/>
        <v>1.0759981824113397E-2</v>
      </c>
      <c r="K93" s="2">
        <f t="shared" ca="1" si="71"/>
        <v>1.0759981824113397E-2</v>
      </c>
      <c r="L93" s="2">
        <f t="shared" ca="1" si="72"/>
        <v>1.5709184670816501E-2</v>
      </c>
      <c r="M93" s="2">
        <f t="shared" ca="1" si="73"/>
        <v>-4.3034665107591644E-2</v>
      </c>
      <c r="N93" s="2">
        <f t="shared" ca="1" si="74"/>
        <v>-4.3034665107591644E-2</v>
      </c>
      <c r="O93" s="2">
        <f t="shared" si="75"/>
        <v>6000000</v>
      </c>
      <c r="P93" s="2">
        <f t="shared" ca="1" si="76"/>
        <v>40323338.128335752</v>
      </c>
      <c r="Q93" s="2">
        <f t="shared" ca="1" si="77"/>
        <v>1008083.4532083939</v>
      </c>
      <c r="R93" s="2">
        <f t="shared" ca="1" si="78"/>
        <v>24194002.877001449</v>
      </c>
      <c r="S93" s="2">
        <f t="shared" ca="1" si="79"/>
        <v>16129335.251334302</v>
      </c>
      <c r="T93" s="2">
        <f t="shared" ca="1" si="80"/>
        <v>47848266.744620413</v>
      </c>
      <c r="U93" s="2">
        <f t="shared" ca="1" si="81"/>
        <v>51182852.459238395</v>
      </c>
      <c r="V93" s="2">
        <f t="shared" ca="1" si="82"/>
        <v>54749828.24030292</v>
      </c>
      <c r="W93" s="2">
        <f t="shared" ca="1" si="83"/>
        <v>58565389.545842342</v>
      </c>
      <c r="X93" s="2">
        <f t="shared" ca="1" si="84"/>
        <v>62646860.50889577</v>
      </c>
      <c r="Y93" s="2">
        <f t="shared" ca="1" si="85"/>
        <v>0.1253799909120567</v>
      </c>
      <c r="Z93" s="2">
        <f t="shared" ca="1" si="86"/>
        <v>0.12753198727687937</v>
      </c>
      <c r="AA93" s="2">
        <f t="shared" ca="1" si="87"/>
        <v>5999215.2495981725</v>
      </c>
      <c r="AB93" s="2">
        <f t="shared" ca="1" si="88"/>
        <v>6527450.888625985</v>
      </c>
      <c r="AC93" s="2">
        <f t="shared" ca="1" si="89"/>
        <v>6982354.3985536424</v>
      </c>
      <c r="AD93" s="2">
        <f t="shared" ca="1" si="90"/>
        <v>7468960.5144258495</v>
      </c>
      <c r="AE93" s="2">
        <f t="shared" ca="1" si="91"/>
        <v>7989478.6173569318</v>
      </c>
      <c r="AF93" s="2">
        <f t="shared" ca="1" si="92"/>
        <v>956965.33489240822</v>
      </c>
      <c r="AG93" s="2">
        <f t="shared" ca="1" si="93"/>
        <v>1023657.0491847679</v>
      </c>
      <c r="AH93" s="2">
        <f t="shared" ca="1" si="94"/>
        <v>1094996.5648060585</v>
      </c>
      <c r="AI93" s="2">
        <f t="shared" ca="1" si="95"/>
        <v>1171307.7909168468</v>
      </c>
      <c r="AJ93" s="2">
        <f t="shared" ca="1" si="96"/>
        <v>1252937.2101779154</v>
      </c>
      <c r="AK93" s="2">
        <f t="shared" ca="1" si="97"/>
        <v>0</v>
      </c>
      <c r="AL93" s="2">
        <f t="shared" ca="1" si="98"/>
        <v>33345.857146179827</v>
      </c>
      <c r="AM93" s="2">
        <f t="shared" ca="1" si="99"/>
        <v>35669.757810645257</v>
      </c>
      <c r="AN93" s="2">
        <f t="shared" ca="1" si="100"/>
        <v>38155.61305539422</v>
      </c>
      <c r="AO93" s="2">
        <f t="shared" ca="1" si="101"/>
        <v>40814.709630534278</v>
      </c>
      <c r="AP93" s="2">
        <f t="shared" ca="1" si="102"/>
        <v>2177460.2589301304</v>
      </c>
      <c r="AQ93" s="2">
        <f t="shared" ca="1" si="103"/>
        <v>744845.31050166488</v>
      </c>
      <c r="AR93" s="2">
        <f t="shared" ca="1" si="104"/>
        <v>864846.73093288264</v>
      </c>
      <c r="AS93" s="2">
        <f t="shared" ca="1" si="105"/>
        <v>964573.36945253809</v>
      </c>
      <c r="AT93" s="2">
        <f t="shared" ca="1" si="106"/>
        <v>1071250.0407905069</v>
      </c>
      <c r="AU93" s="2">
        <f t="shared" ca="1" si="107"/>
        <v>1185361.0985447105</v>
      </c>
      <c r="AV93" s="2">
        <f t="shared" ca="1" si="108"/>
        <v>2119944.3452739692</v>
      </c>
      <c r="AW93" s="2">
        <f t="shared" ca="1" si="109"/>
        <v>2428140.9924320239</v>
      </c>
      <c r="AX93" s="2">
        <f t="shared" ca="1" si="110"/>
        <v>2709654.4475542712</v>
      </c>
      <c r="AY93" s="2">
        <f t="shared" ca="1" si="111"/>
        <v>3010786.8107329714</v>
      </c>
      <c r="AZ93" s="2">
        <f t="shared" ca="1" si="112"/>
        <v>3332905.3400736419</v>
      </c>
      <c r="BA93" s="2">
        <f t="shared" ca="1" si="113"/>
        <v>59732767.437846646</v>
      </c>
      <c r="BB93" s="2">
        <f t="shared" ca="1" si="114"/>
        <v>1194655.3487569329</v>
      </c>
      <c r="BC93" s="2">
        <f t="shared" ca="1" si="115"/>
        <v>34344109.212088265</v>
      </c>
      <c r="BD93" s="2">
        <f t="shared" ca="1" si="116"/>
        <v>-17637418.704542696</v>
      </c>
      <c r="BE93" s="2">
        <f t="shared" ca="1" si="117"/>
        <v>2119944.3452739692</v>
      </c>
      <c r="BF93" s="2">
        <f t="shared" ca="1" si="118"/>
        <v>2428140.9924320239</v>
      </c>
      <c r="BG93" s="2">
        <f t="shared" ca="1" si="119"/>
        <v>2709654.4475542712</v>
      </c>
      <c r="BH93" s="2">
        <f t="shared" ca="1" si="120"/>
        <v>3010786.8107329714</v>
      </c>
      <c r="BI93" s="2">
        <f t="shared" ca="1" si="121"/>
        <v>37677014.55216191</v>
      </c>
      <c r="BJ93" s="2">
        <f t="shared" ca="1" si="122"/>
        <v>0.25978269923012642</v>
      </c>
      <c r="BK93" s="2">
        <f t="shared" ca="1" si="123"/>
        <v>11412125.742401898</v>
      </c>
    </row>
    <row r="94" spans="1:63" x14ac:dyDescent="0.3">
      <c r="A94" s="2">
        <v>93</v>
      </c>
      <c r="B94" s="2">
        <f t="shared" ca="1" si="62"/>
        <v>0.54302490508375112</v>
      </c>
      <c r="C94" s="2">
        <f t="shared" ca="1" si="63"/>
        <v>7.0439925785682949</v>
      </c>
      <c r="D94" s="2">
        <f t="shared" ca="1" si="64"/>
        <v>0.14902538277306332</v>
      </c>
      <c r="E94" s="2">
        <f t="shared" ca="1" si="65"/>
        <v>7.0459402582207389</v>
      </c>
      <c r="F94" s="2">
        <f t="shared" ca="1" si="66"/>
        <v>0.29615164472169597</v>
      </c>
      <c r="G94" s="2">
        <f t="shared" ca="1" si="67"/>
        <v>2.3934962325737316E-2</v>
      </c>
      <c r="H94" s="2">
        <f t="shared" ca="1" si="68"/>
        <v>2.3934962325737316E-2</v>
      </c>
      <c r="I94" s="2">
        <f t="shared" ca="1" si="69"/>
        <v>0.1036132206264665</v>
      </c>
      <c r="J94" s="2">
        <f t="shared" ca="1" si="70"/>
        <v>3.6938562232748627E-3</v>
      </c>
      <c r="K94" s="2">
        <f t="shared" ca="1" si="71"/>
        <v>3.6938562232748627E-3</v>
      </c>
      <c r="L94" s="2">
        <f t="shared" ca="1" si="72"/>
        <v>0.20717534596198661</v>
      </c>
      <c r="M94" s="2">
        <f t="shared" ca="1" si="73"/>
        <v>-1.632522640313085E-2</v>
      </c>
      <c r="N94" s="2">
        <f t="shared" ca="1" si="74"/>
        <v>-1.632522640313085E-2</v>
      </c>
      <c r="O94" s="2">
        <f t="shared" si="75"/>
        <v>6000000</v>
      </c>
      <c r="P94" s="2">
        <f t="shared" ca="1" si="76"/>
        <v>42263955.471409768</v>
      </c>
      <c r="Q94" s="2">
        <f t="shared" ca="1" si="77"/>
        <v>1056598.8867852443</v>
      </c>
      <c r="R94" s="2">
        <f t="shared" ca="1" si="78"/>
        <v>25358373.282845858</v>
      </c>
      <c r="S94" s="2">
        <f t="shared" ca="1" si="79"/>
        <v>16905582.188563909</v>
      </c>
      <c r="T94" s="2">
        <f t="shared" ca="1" si="80"/>
        <v>49183738.679843456</v>
      </c>
      <c r="U94" s="2">
        <f t="shared" ca="1" si="81"/>
        <v>50360949.612184413</v>
      </c>
      <c r="V94" s="2">
        <f t="shared" ca="1" si="82"/>
        <v>51566337.043840393</v>
      </c>
      <c r="W94" s="2">
        <f t="shared" ca="1" si="83"/>
        <v>52800575.378260978</v>
      </c>
      <c r="X94" s="2">
        <f t="shared" ca="1" si="84"/>
        <v>54064355.160716899</v>
      </c>
      <c r="Y94" s="2">
        <f t="shared" ca="1" si="85"/>
        <v>0.12184692811163743</v>
      </c>
      <c r="Z94" s="2">
        <f t="shared" ca="1" si="86"/>
        <v>0.1225856993562924</v>
      </c>
      <c r="AA94" s="2">
        <f t="shared" ca="1" si="87"/>
        <v>5992887.4711844465</v>
      </c>
      <c r="AB94" s="2">
        <f t="shared" ca="1" si="88"/>
        <v>6173532.2284566294</v>
      </c>
      <c r="AC94" s="2">
        <f t="shared" ca="1" si="89"/>
        <v>6321295.4897614624</v>
      </c>
      <c r="AD94" s="2">
        <f t="shared" ca="1" si="90"/>
        <v>6472595.4591587549</v>
      </c>
      <c r="AE94" s="2">
        <f t="shared" ca="1" si="91"/>
        <v>6627516.7876234576</v>
      </c>
      <c r="AF94" s="2">
        <f t="shared" ca="1" si="92"/>
        <v>983674.77359686908</v>
      </c>
      <c r="AG94" s="2">
        <f t="shared" ca="1" si="93"/>
        <v>1007218.9922436883</v>
      </c>
      <c r="AH94" s="2">
        <f t="shared" ca="1" si="94"/>
        <v>1031326.7408768079</v>
      </c>
      <c r="AI94" s="2">
        <f t="shared" ca="1" si="95"/>
        <v>1056011.5075652197</v>
      </c>
      <c r="AJ94" s="2">
        <f t="shared" ca="1" si="96"/>
        <v>1081287.103214338</v>
      </c>
      <c r="AK94" s="2">
        <f t="shared" ca="1" si="97"/>
        <v>0</v>
      </c>
      <c r="AL94" s="2">
        <f t="shared" ca="1" si="98"/>
        <v>11772.109323409573</v>
      </c>
      <c r="AM94" s="2">
        <f t="shared" ca="1" si="99"/>
        <v>12053.874316559806</v>
      </c>
      <c r="AN94" s="2">
        <f t="shared" ca="1" si="100"/>
        <v>12342.383344205842</v>
      </c>
      <c r="AO94" s="2">
        <f t="shared" ca="1" si="101"/>
        <v>12637.797824559211</v>
      </c>
      <c r="AP94" s="2">
        <f t="shared" ca="1" si="102"/>
        <v>2282253.5954561271</v>
      </c>
      <c r="AQ94" s="2">
        <f t="shared" ca="1" si="103"/>
        <v>709009.36655417713</v>
      </c>
      <c r="AR94" s="2">
        <f t="shared" ca="1" si="104"/>
        <v>749855.50659677165</v>
      </c>
      <c r="AS94" s="2">
        <f t="shared" ca="1" si="105"/>
        <v>782005.93989141716</v>
      </c>
      <c r="AT94" s="2">
        <f t="shared" ca="1" si="106"/>
        <v>814925.89259572607</v>
      </c>
      <c r="AU94" s="2">
        <f t="shared" ca="1" si="107"/>
        <v>848633.78312777798</v>
      </c>
      <c r="AV94" s="2">
        <f t="shared" ca="1" si="108"/>
        <v>2017949.7355772732</v>
      </c>
      <c r="AW94" s="2">
        <f t="shared" ca="1" si="109"/>
        <v>2122432.0248366324</v>
      </c>
      <c r="AX94" s="2">
        <f t="shared" ca="1" si="110"/>
        <v>2213655.3392205499</v>
      </c>
      <c r="AY94" s="2">
        <f t="shared" ca="1" si="111"/>
        <v>2307062.0801974759</v>
      </c>
      <c r="AZ94" s="2">
        <f t="shared" ca="1" si="112"/>
        <v>2402704.5080006551</v>
      </c>
      <c r="BA94" s="2">
        <f t="shared" ca="1" si="113"/>
        <v>46697087.345949903</v>
      </c>
      <c r="BB94" s="2">
        <f t="shared" ca="1" si="114"/>
        <v>933941.74691899808</v>
      </c>
      <c r="BC94" s="2">
        <f t="shared" ca="1" si="115"/>
        <v>20404772.316185046</v>
      </c>
      <c r="BD94" s="2">
        <f t="shared" ca="1" si="116"/>
        <v>-18462181.075349152</v>
      </c>
      <c r="BE94" s="2">
        <f t="shared" ca="1" si="117"/>
        <v>2017949.7355772732</v>
      </c>
      <c r="BF94" s="2">
        <f t="shared" ca="1" si="118"/>
        <v>2122432.0248366324</v>
      </c>
      <c r="BG94" s="2">
        <f t="shared" ca="1" si="119"/>
        <v>2213655.3392205499</v>
      </c>
      <c r="BH94" s="2">
        <f t="shared" ca="1" si="120"/>
        <v>2307062.0801974759</v>
      </c>
      <c r="BI94" s="2">
        <f t="shared" ca="1" si="121"/>
        <v>22807476.824185699</v>
      </c>
      <c r="BJ94" s="2">
        <f t="shared" ca="1" si="122"/>
        <v>0.13464365432674197</v>
      </c>
      <c r="BK94" s="2">
        <f t="shared" ca="1" si="123"/>
        <v>1014940.2428198233</v>
      </c>
    </row>
    <row r="95" spans="1:63" x14ac:dyDescent="0.3">
      <c r="A95" s="2">
        <v>94</v>
      </c>
      <c r="B95" s="2">
        <f t="shared" ca="1" si="62"/>
        <v>0.17781816876353118</v>
      </c>
      <c r="C95" s="2">
        <f t="shared" ca="1" si="63"/>
        <v>6.5963525278952559</v>
      </c>
      <c r="D95" s="2">
        <f t="shared" ca="1" si="64"/>
        <v>0.23557545364900212</v>
      </c>
      <c r="E95" s="2">
        <f t="shared" ca="1" si="65"/>
        <v>7.1864043322255506</v>
      </c>
      <c r="F95" s="2">
        <f t="shared" ca="1" si="66"/>
        <v>0.26376785088105092</v>
      </c>
      <c r="G95" s="2">
        <f t="shared" ca="1" si="67"/>
        <v>2.1046832164365894E-2</v>
      </c>
      <c r="H95" s="2">
        <f t="shared" ca="1" si="68"/>
        <v>2.1046832164365894E-2</v>
      </c>
      <c r="I95" s="2">
        <f t="shared" ca="1" si="69"/>
        <v>0.30607867354338325</v>
      </c>
      <c r="J95" s="2">
        <f t="shared" ca="1" si="70"/>
        <v>7.4650180182580152E-3</v>
      </c>
      <c r="K95" s="2">
        <f t="shared" ca="1" si="71"/>
        <v>7.4650180182580152E-3</v>
      </c>
      <c r="L95" s="2">
        <f t="shared" ca="1" si="72"/>
        <v>9.1174844340632388E-2</v>
      </c>
      <c r="M95" s="2">
        <f t="shared" ca="1" si="73"/>
        <v>-2.6671103072792367E-2</v>
      </c>
      <c r="N95" s="2">
        <f t="shared" ca="1" si="74"/>
        <v>-2.6671103072792367E-2</v>
      </c>
      <c r="O95" s="2">
        <f t="shared" si="75"/>
        <v>6000000</v>
      </c>
      <c r="P95" s="2">
        <f t="shared" ca="1" si="76"/>
        <v>39578115.167371534</v>
      </c>
      <c r="Q95" s="2">
        <f t="shared" ca="1" si="77"/>
        <v>989452.87918428844</v>
      </c>
      <c r="R95" s="2">
        <f t="shared" ca="1" si="78"/>
        <v>23746869.100422919</v>
      </c>
      <c r="S95" s="2">
        <f t="shared" ca="1" si="79"/>
        <v>15831246.066948615</v>
      </c>
      <c r="T95" s="2">
        <f t="shared" ca="1" si="80"/>
        <v>48666444.846360378</v>
      </c>
      <c r="U95" s="2">
        <f t="shared" ca="1" si="81"/>
        <v>49690719.343078099</v>
      </c>
      <c r="V95" s="2">
        <f t="shared" ca="1" si="82"/>
        <v>50736551.57321848</v>
      </c>
      <c r="W95" s="2">
        <f t="shared" ca="1" si="83"/>
        <v>51804395.258778706</v>
      </c>
      <c r="X95" s="2">
        <f t="shared" ca="1" si="84"/>
        <v>52894713.671166696</v>
      </c>
      <c r="Y95" s="2">
        <f t="shared" ca="1" si="85"/>
        <v>0.12373250900912901</v>
      </c>
      <c r="Z95" s="2">
        <f t="shared" ca="1" si="86"/>
        <v>0.12522551261278062</v>
      </c>
      <c r="AA95" s="2">
        <f t="shared" ca="1" si="87"/>
        <v>6021621.3253945652</v>
      </c>
      <c r="AB95" s="2">
        <f t="shared" ca="1" si="88"/>
        <v>6222545.8018347686</v>
      </c>
      <c r="AC95" s="2">
        <f t="shared" ca="1" si="89"/>
        <v>6353510.6789610647</v>
      </c>
      <c r="AD95" s="2">
        <f t="shared" ca="1" si="90"/>
        <v>6487231.9518756652</v>
      </c>
      <c r="AE95" s="2">
        <f t="shared" ca="1" si="91"/>
        <v>6623767.6339781042</v>
      </c>
      <c r="AF95" s="2">
        <f t="shared" ca="1" si="92"/>
        <v>973328.89692720759</v>
      </c>
      <c r="AG95" s="2">
        <f t="shared" ca="1" si="93"/>
        <v>993814.38686156203</v>
      </c>
      <c r="AH95" s="2">
        <f t="shared" ca="1" si="94"/>
        <v>1014731.0314643696</v>
      </c>
      <c r="AI95" s="2">
        <f t="shared" ca="1" si="95"/>
        <v>1036087.9051755741</v>
      </c>
      <c r="AJ95" s="2">
        <f t="shared" ca="1" si="96"/>
        <v>1057894.2734233339</v>
      </c>
      <c r="AK95" s="2">
        <f t="shared" ca="1" si="97"/>
        <v>0</v>
      </c>
      <c r="AL95" s="2">
        <f t="shared" ca="1" si="98"/>
        <v>10242.744967177212</v>
      </c>
      <c r="AM95" s="2">
        <f t="shared" ca="1" si="99"/>
        <v>10458.322301403807</v>
      </c>
      <c r="AN95" s="2">
        <f t="shared" ca="1" si="100"/>
        <v>10678.436855602265</v>
      </c>
      <c r="AO95" s="2">
        <f t="shared" ca="1" si="101"/>
        <v>10903.184123879895</v>
      </c>
      <c r="AP95" s="2">
        <f t="shared" ca="1" si="102"/>
        <v>2137218.2190380627</v>
      </c>
      <c r="AQ95" s="2">
        <f t="shared" ca="1" si="103"/>
        <v>756879.2944516167</v>
      </c>
      <c r="AR95" s="2">
        <f t="shared" ca="1" si="104"/>
        <v>803793.4309431375</v>
      </c>
      <c r="AS95" s="2">
        <f t="shared" ca="1" si="105"/>
        <v>832405.97139924439</v>
      </c>
      <c r="AT95" s="2">
        <f t="shared" ca="1" si="106"/>
        <v>861620.71519212739</v>
      </c>
      <c r="AU95" s="2">
        <f t="shared" ca="1" si="107"/>
        <v>891450.33679434413</v>
      </c>
      <c r="AV95" s="2">
        <f t="shared" ca="1" si="108"/>
        <v>2154194.9149776781</v>
      </c>
      <c r="AW95" s="2">
        <f t="shared" ca="1" si="109"/>
        <v>2277477.0200248295</v>
      </c>
      <c r="AX95" s="2">
        <f t="shared" ca="1" si="110"/>
        <v>2358697.1347579835</v>
      </c>
      <c r="AY95" s="2">
        <f t="shared" ca="1" si="111"/>
        <v>2441626.6756142993</v>
      </c>
      <c r="AZ95" s="2">
        <f t="shared" ca="1" si="112"/>
        <v>2526301.6205984838</v>
      </c>
      <c r="BA95" s="2">
        <f t="shared" ca="1" si="113"/>
        <v>47601072.420475632</v>
      </c>
      <c r="BB95" s="2">
        <f t="shared" ca="1" si="114"/>
        <v>952021.44840951264</v>
      </c>
      <c r="BC95" s="2">
        <f t="shared" ca="1" si="115"/>
        <v>22902181.871643201</v>
      </c>
      <c r="BD95" s="2">
        <f t="shared" ca="1" si="116"/>
        <v>-17320698.946132902</v>
      </c>
      <c r="BE95" s="2">
        <f t="shared" ca="1" si="117"/>
        <v>2154194.9149776781</v>
      </c>
      <c r="BF95" s="2">
        <f t="shared" ca="1" si="118"/>
        <v>2277477.0200248295</v>
      </c>
      <c r="BG95" s="2">
        <f t="shared" ca="1" si="119"/>
        <v>2358697.1347579835</v>
      </c>
      <c r="BH95" s="2">
        <f t="shared" ca="1" si="120"/>
        <v>2441626.6756142993</v>
      </c>
      <c r="BI95" s="2">
        <f t="shared" ca="1" si="121"/>
        <v>25428483.492241684</v>
      </c>
      <c r="BJ95" s="2">
        <f t="shared" ca="1" si="122"/>
        <v>0.17916744668807372</v>
      </c>
      <c r="BK95" s="2">
        <f t="shared" ca="1" si="123"/>
        <v>4077656.4652965851</v>
      </c>
    </row>
    <row r="96" spans="1:63" x14ac:dyDescent="0.3">
      <c r="A96" s="2">
        <v>95</v>
      </c>
      <c r="B96" s="2">
        <f t="shared" ca="1" si="62"/>
        <v>0.49848494309741775</v>
      </c>
      <c r="C96" s="2">
        <f t="shared" ca="1" si="63"/>
        <v>6.9984837936565798</v>
      </c>
      <c r="D96" s="2">
        <f t="shared" ca="1" si="64"/>
        <v>0.8399136384790914</v>
      </c>
      <c r="E96" s="2">
        <f t="shared" ca="1" si="65"/>
        <v>7.9341619286034062</v>
      </c>
      <c r="F96" s="2">
        <f t="shared" ca="1" si="66"/>
        <v>0.14415872189129186</v>
      </c>
      <c r="G96" s="2">
        <f t="shared" ca="1" si="67"/>
        <v>8.1454023319640495E-3</v>
      </c>
      <c r="H96" s="2">
        <f t="shared" ca="1" si="68"/>
        <v>8.1454023319640495E-3</v>
      </c>
      <c r="I96" s="2">
        <f t="shared" ca="1" si="69"/>
        <v>0.45538934864207836</v>
      </c>
      <c r="J96" s="2">
        <f t="shared" ca="1" si="70"/>
        <v>9.4397180624272541E-3</v>
      </c>
      <c r="K96" s="2">
        <f t="shared" ca="1" si="71"/>
        <v>9.4397180624272541E-3</v>
      </c>
      <c r="L96" s="2">
        <f t="shared" ca="1" si="72"/>
        <v>7.2712920618684063E-2</v>
      </c>
      <c r="M96" s="2">
        <f t="shared" ca="1" si="73"/>
        <v>-2.9117596682781025E-2</v>
      </c>
      <c r="N96" s="2">
        <f t="shared" ca="1" si="74"/>
        <v>-2.9117596682781025E-2</v>
      </c>
      <c r="O96" s="2">
        <f t="shared" si="75"/>
        <v>6000000</v>
      </c>
      <c r="P96" s="2">
        <f t="shared" ca="1" si="76"/>
        <v>41990902.761939481</v>
      </c>
      <c r="Q96" s="2">
        <f t="shared" ca="1" si="77"/>
        <v>1049772.5690484871</v>
      </c>
      <c r="R96" s="2">
        <f t="shared" ca="1" si="78"/>
        <v>25194541.657163687</v>
      </c>
      <c r="S96" s="2">
        <f t="shared" ca="1" si="79"/>
        <v>16796361.104775794</v>
      </c>
      <c r="T96" s="2">
        <f t="shared" ca="1" si="80"/>
        <v>48544120.165860951</v>
      </c>
      <c r="U96" s="2">
        <f t="shared" ca="1" si="81"/>
        <v>48939531.555463098</v>
      </c>
      <c r="V96" s="2">
        <f t="shared" ca="1" si="82"/>
        <v>49338163.729920194</v>
      </c>
      <c r="W96" s="2">
        <f t="shared" ca="1" si="83"/>
        <v>49740042.923820712</v>
      </c>
      <c r="X96" s="2">
        <f t="shared" ca="1" si="84"/>
        <v>50145195.585444391</v>
      </c>
      <c r="Y96" s="2">
        <f t="shared" ca="1" si="85"/>
        <v>0.12471985903121362</v>
      </c>
      <c r="Z96" s="2">
        <f t="shared" ca="1" si="86"/>
        <v>0.12660780264369909</v>
      </c>
      <c r="AA96" s="2">
        <f t="shared" ca="1" si="87"/>
        <v>6054415.8238804722</v>
      </c>
      <c r="AB96" s="2">
        <f t="shared" ca="1" si="88"/>
        <v>6196126.5526491553</v>
      </c>
      <c r="AC96" s="2">
        <f t="shared" ca="1" si="89"/>
        <v>6246596.4963202486</v>
      </c>
      <c r="AD96" s="2">
        <f t="shared" ca="1" si="90"/>
        <v>6297477.5379882138</v>
      </c>
      <c r="AE96" s="2">
        <f t="shared" ca="1" si="91"/>
        <v>6348773.0262116343</v>
      </c>
      <c r="AF96" s="2">
        <f t="shared" ca="1" si="92"/>
        <v>970882.403317219</v>
      </c>
      <c r="AG96" s="2">
        <f t="shared" ca="1" si="93"/>
        <v>978790.631109262</v>
      </c>
      <c r="AH96" s="2">
        <f t="shared" ca="1" si="94"/>
        <v>986763.27459840383</v>
      </c>
      <c r="AI96" s="2">
        <f t="shared" ca="1" si="95"/>
        <v>994800.85847641423</v>
      </c>
      <c r="AJ96" s="2">
        <f t="shared" ca="1" si="96"/>
        <v>1002903.9117088878</v>
      </c>
      <c r="AK96" s="2">
        <f t="shared" ca="1" si="97"/>
        <v>0</v>
      </c>
      <c r="AL96" s="2">
        <f t="shared" ca="1" si="98"/>
        <v>3954.1138960214707</v>
      </c>
      <c r="AM96" s="2">
        <f t="shared" ca="1" si="99"/>
        <v>3986.3217445709556</v>
      </c>
      <c r="AN96" s="2">
        <f t="shared" ca="1" si="100"/>
        <v>4018.7919390051811</v>
      </c>
      <c r="AO96" s="2">
        <f t="shared" ca="1" si="101"/>
        <v>4051.5266162367911</v>
      </c>
      <c r="AP96" s="2">
        <f t="shared" ca="1" si="102"/>
        <v>2267508.7491447316</v>
      </c>
      <c r="AQ96" s="2">
        <f t="shared" ca="1" si="103"/>
        <v>732166.41456881573</v>
      </c>
      <c r="AR96" s="2">
        <f t="shared" ca="1" si="104"/>
        <v>766955.06482274213</v>
      </c>
      <c r="AS96" s="2">
        <f t="shared" ca="1" si="105"/>
        <v>778004.36287004943</v>
      </c>
      <c r="AT96" s="2">
        <f t="shared" ca="1" si="106"/>
        <v>789143.66189543763</v>
      </c>
      <c r="AU96" s="2">
        <f t="shared" ca="1" si="107"/>
        <v>800373.69499308395</v>
      </c>
      <c r="AV96" s="2">
        <f t="shared" ca="1" si="108"/>
        <v>2083858.2568497066</v>
      </c>
      <c r="AW96" s="2">
        <f t="shared" ca="1" si="109"/>
        <v>2178917.9936763984</v>
      </c>
      <c r="AX96" s="2">
        <f t="shared" ca="1" si="110"/>
        <v>2210333.787962493</v>
      </c>
      <c r="AY96" s="2">
        <f t="shared" ca="1" si="111"/>
        <v>2242005.4765326246</v>
      </c>
      <c r="AZ96" s="2">
        <f t="shared" ca="1" si="112"/>
        <v>2273935.1437486936</v>
      </c>
      <c r="BA96" s="2">
        <f t="shared" ca="1" si="113"/>
        <v>50372193.23791258</v>
      </c>
      <c r="BB96" s="2">
        <f t="shared" ca="1" si="114"/>
        <v>1007443.8647582516</v>
      </c>
      <c r="BC96" s="2">
        <f t="shared" ca="1" si="115"/>
        <v>24170207.71599064</v>
      </c>
      <c r="BD96" s="2">
        <f t="shared" ca="1" si="116"/>
        <v>-18346133.673824281</v>
      </c>
      <c r="BE96" s="2">
        <f t="shared" ca="1" si="117"/>
        <v>2083858.2568497066</v>
      </c>
      <c r="BF96" s="2">
        <f t="shared" ca="1" si="118"/>
        <v>2178917.9936763984</v>
      </c>
      <c r="BG96" s="2">
        <f t="shared" ca="1" si="119"/>
        <v>2210333.787962493</v>
      </c>
      <c r="BH96" s="2">
        <f t="shared" ca="1" si="120"/>
        <v>2242005.4765326246</v>
      </c>
      <c r="BI96" s="2">
        <f t="shared" ca="1" si="121"/>
        <v>26444142.859739333</v>
      </c>
      <c r="BJ96" s="2">
        <f t="shared" ca="1" si="122"/>
        <v>0.16477794496006104</v>
      </c>
      <c r="BK96" s="2">
        <f t="shared" ca="1" si="123"/>
        <v>3254697.9183911458</v>
      </c>
    </row>
    <row r="97" spans="1:63" x14ac:dyDescent="0.3">
      <c r="A97" s="2">
        <v>96</v>
      </c>
      <c r="B97" s="2">
        <f t="shared" ca="1" si="62"/>
        <v>0.30355235803424063</v>
      </c>
      <c r="C97" s="2">
        <f t="shared" ca="1" si="63"/>
        <v>6.7791692473836997</v>
      </c>
      <c r="D97" s="2">
        <f t="shared" ca="1" si="64"/>
        <v>0.14617261298766648</v>
      </c>
      <c r="E97" s="2">
        <f t="shared" ca="1" si="65"/>
        <v>7.0406895837496162</v>
      </c>
      <c r="F97" s="2">
        <f t="shared" ca="1" si="66"/>
        <v>0.72169013314843511</v>
      </c>
      <c r="G97" s="2">
        <f t="shared" ca="1" si="67"/>
        <v>5.7636091983132E-2</v>
      </c>
      <c r="H97" s="2">
        <f t="shared" ca="1" si="68"/>
        <v>5.7636091983132E-2</v>
      </c>
      <c r="I97" s="2">
        <f t="shared" ca="1" si="69"/>
        <v>0.20023997531190996</v>
      </c>
      <c r="J97" s="2">
        <f t="shared" ca="1" si="70"/>
        <v>5.7961781437625174E-3</v>
      </c>
      <c r="K97" s="2">
        <f t="shared" ca="1" si="71"/>
        <v>5.7961781437625174E-3</v>
      </c>
      <c r="L97" s="2">
        <f t="shared" ca="1" si="72"/>
        <v>0.77363629031287862</v>
      </c>
      <c r="M97" s="2">
        <f t="shared" ca="1" si="73"/>
        <v>1.5017515545354054E-2</v>
      </c>
      <c r="N97" s="2">
        <f t="shared" ca="1" si="74"/>
        <v>1.5017515545354054E-2</v>
      </c>
      <c r="O97" s="2">
        <f t="shared" si="75"/>
        <v>6000000</v>
      </c>
      <c r="P97" s="2">
        <f t="shared" ca="1" si="76"/>
        <v>40675015.4843022</v>
      </c>
      <c r="Q97" s="2">
        <f t="shared" ca="1" si="77"/>
        <v>1016875.3871075551</v>
      </c>
      <c r="R97" s="2">
        <f t="shared" ca="1" si="78"/>
        <v>24405009.290581319</v>
      </c>
      <c r="S97" s="2">
        <f t="shared" ca="1" si="79"/>
        <v>16270006.193720881</v>
      </c>
      <c r="T97" s="2">
        <f t="shared" ca="1" si="80"/>
        <v>50750875.777267702</v>
      </c>
      <c r="U97" s="2">
        <f t="shared" ca="1" si="81"/>
        <v>53675957.921790808</v>
      </c>
      <c r="V97" s="2">
        <f t="shared" ca="1" si="82"/>
        <v>56769630.369853869</v>
      </c>
      <c r="W97" s="2">
        <f t="shared" ca="1" si="83"/>
        <v>60041610.007699169</v>
      </c>
      <c r="X97" s="2">
        <f t="shared" ca="1" si="84"/>
        <v>63502173.76491826</v>
      </c>
      <c r="Y97" s="2">
        <f t="shared" ca="1" si="85"/>
        <v>0.12289808907188125</v>
      </c>
      <c r="Z97" s="2">
        <f t="shared" ca="1" si="86"/>
        <v>0.12405732470063376</v>
      </c>
      <c r="AA97" s="2">
        <f t="shared" ca="1" si="87"/>
        <v>6237185.651750627</v>
      </c>
      <c r="AB97" s="2">
        <f t="shared" ca="1" si="88"/>
        <v>6658895.7405211572</v>
      </c>
      <c r="AC97" s="2">
        <f t="shared" ca="1" si="89"/>
        <v>7042688.4679279206</v>
      </c>
      <c r="AD97" s="2">
        <f t="shared" ca="1" si="90"/>
        <v>7448601.5082739573</v>
      </c>
      <c r="AE97" s="2">
        <f t="shared" ca="1" si="91"/>
        <v>7877909.789950531</v>
      </c>
      <c r="AF97" s="2">
        <f t="shared" ca="1" si="92"/>
        <v>1015017.5155453541</v>
      </c>
      <c r="AG97" s="2">
        <f t="shared" ca="1" si="93"/>
        <v>1073519.1584358162</v>
      </c>
      <c r="AH97" s="2">
        <f t="shared" ca="1" si="94"/>
        <v>1135392.6073970774</v>
      </c>
      <c r="AI97" s="2">
        <f t="shared" ca="1" si="95"/>
        <v>1200832.2001539834</v>
      </c>
      <c r="AJ97" s="2">
        <f t="shared" ca="1" si="96"/>
        <v>1270043.4752983653</v>
      </c>
      <c r="AK97" s="2">
        <f t="shared" ca="1" si="97"/>
        <v>0</v>
      </c>
      <c r="AL97" s="2">
        <f t="shared" ca="1" si="98"/>
        <v>29250.821445231064</v>
      </c>
      <c r="AM97" s="2">
        <f t="shared" ca="1" si="99"/>
        <v>30936.724480630608</v>
      </c>
      <c r="AN97" s="2">
        <f t="shared" ca="1" si="100"/>
        <v>32719.796378453004</v>
      </c>
      <c r="AO97" s="2">
        <f t="shared" ca="1" si="101"/>
        <v>34605.637572190913</v>
      </c>
      <c r="AP97" s="2">
        <f t="shared" ca="1" si="102"/>
        <v>2196450.8361523189</v>
      </c>
      <c r="AQ97" s="2">
        <f t="shared" ca="1" si="103"/>
        <v>786686.498013768</v>
      </c>
      <c r="AR97" s="2">
        <f t="shared" ca="1" si="104"/>
        <v>881120.69394258584</v>
      </c>
      <c r="AS97" s="2">
        <f t="shared" ca="1" si="105"/>
        <v>964819.70633841632</v>
      </c>
      <c r="AT97" s="2">
        <f t="shared" ca="1" si="106"/>
        <v>1053342.8027115904</v>
      </c>
      <c r="AU97" s="2">
        <f t="shared" ca="1" si="107"/>
        <v>1146968.02440996</v>
      </c>
      <c r="AV97" s="2">
        <f t="shared" ca="1" si="108"/>
        <v>2239030.8020391855</v>
      </c>
      <c r="AW97" s="2">
        <f t="shared" ca="1" si="109"/>
        <v>2478554.2305452051</v>
      </c>
      <c r="AX97" s="2">
        <f t="shared" ca="1" si="110"/>
        <v>2715088.5935594775</v>
      </c>
      <c r="AY97" s="2">
        <f t="shared" ca="1" si="111"/>
        <v>2965255.8728776118</v>
      </c>
      <c r="AZ97" s="2">
        <f t="shared" ca="1" si="112"/>
        <v>3229841.8165176958</v>
      </c>
      <c r="BA97" s="2">
        <f t="shared" ca="1" si="113"/>
        <v>55465917.39982383</v>
      </c>
      <c r="BB97" s="2">
        <f t="shared" ca="1" si="114"/>
        <v>1109318.3479964766</v>
      </c>
      <c r="BC97" s="2">
        <f t="shared" ca="1" si="115"/>
        <v>29951589.761246033</v>
      </c>
      <c r="BD97" s="2">
        <f t="shared" ca="1" si="116"/>
        <v>-17786881.580828436</v>
      </c>
      <c r="BE97" s="2">
        <f t="shared" ca="1" si="117"/>
        <v>2239030.8020391855</v>
      </c>
      <c r="BF97" s="2">
        <f t="shared" ca="1" si="118"/>
        <v>2478554.2305452051</v>
      </c>
      <c r="BG97" s="2">
        <f t="shared" ca="1" si="119"/>
        <v>2715088.5935594775</v>
      </c>
      <c r="BH97" s="2">
        <f t="shared" ca="1" si="120"/>
        <v>2965255.8728776118</v>
      </c>
      <c r="BI97" s="2">
        <f t="shared" ca="1" si="121"/>
        <v>33181431.577763729</v>
      </c>
      <c r="BJ97" s="2">
        <f t="shared" ca="1" si="122"/>
        <v>0.23357898473603811</v>
      </c>
      <c r="BK97" s="2">
        <f t="shared" ca="1" si="123"/>
        <v>8833196.8562994823</v>
      </c>
    </row>
    <row r="98" spans="1:63" x14ac:dyDescent="0.3">
      <c r="A98" s="2">
        <v>97</v>
      </c>
      <c r="B98" s="2">
        <f t="shared" ca="1" si="62"/>
        <v>0.84242091422594156</v>
      </c>
      <c r="C98" s="2">
        <f t="shared" ca="1" si="63"/>
        <v>7.4386104992537563</v>
      </c>
      <c r="D98" s="2">
        <f t="shared" ca="1" si="64"/>
        <v>0.3575130270689858</v>
      </c>
      <c r="E98" s="2">
        <f t="shared" ca="1" si="65"/>
        <v>7.3455921322587923</v>
      </c>
      <c r="F98" s="2">
        <f t="shared" ca="1" si="66"/>
        <v>0.27065671370304434</v>
      </c>
      <c r="G98" s="2">
        <f t="shared" ca="1" si="67"/>
        <v>2.1675158767325585E-2</v>
      </c>
      <c r="H98" s="2">
        <f t="shared" ca="1" si="68"/>
        <v>2.1675158767325585E-2</v>
      </c>
      <c r="I98" s="2">
        <f t="shared" ca="1" si="69"/>
        <v>0.37442541245288719</v>
      </c>
      <c r="J98" s="2">
        <f t="shared" ca="1" si="70"/>
        <v>8.3992249399828106E-3</v>
      </c>
      <c r="K98" s="2">
        <f t="shared" ca="1" si="71"/>
        <v>8.3992249399828106E-3</v>
      </c>
      <c r="L98" s="2">
        <f t="shared" ca="1" si="72"/>
        <v>0.19038094709808195</v>
      </c>
      <c r="M98" s="2">
        <f t="shared" ca="1" si="73"/>
        <v>-1.7529866844884043E-2</v>
      </c>
      <c r="N98" s="2">
        <f t="shared" ca="1" si="74"/>
        <v>-1.7529866844884043E-2</v>
      </c>
      <c r="O98" s="2">
        <f t="shared" si="75"/>
        <v>6000000</v>
      </c>
      <c r="P98" s="2">
        <f t="shared" ca="1" si="76"/>
        <v>44631662.995522536</v>
      </c>
      <c r="Q98" s="2">
        <f t="shared" ca="1" si="77"/>
        <v>1115791.5748880634</v>
      </c>
      <c r="R98" s="2">
        <f t="shared" ca="1" si="78"/>
        <v>26778997.797313523</v>
      </c>
      <c r="S98" s="2">
        <f t="shared" ca="1" si="79"/>
        <v>17852665.198209014</v>
      </c>
      <c r="T98" s="2">
        <f t="shared" ca="1" si="80"/>
        <v>49123506.6577558</v>
      </c>
      <c r="U98" s="2">
        <f t="shared" ca="1" si="81"/>
        <v>50188266.463770434</v>
      </c>
      <c r="V98" s="2">
        <f t="shared" ca="1" si="82"/>
        <v>51276105.1076295</v>
      </c>
      <c r="W98" s="2">
        <f t="shared" ca="1" si="83"/>
        <v>52387522.826807447</v>
      </c>
      <c r="X98" s="2">
        <f t="shared" ca="1" si="84"/>
        <v>53523030.701505393</v>
      </c>
      <c r="Y98" s="2">
        <f t="shared" ca="1" si="85"/>
        <v>0.12419961246999139</v>
      </c>
      <c r="Z98" s="2">
        <f t="shared" ca="1" si="86"/>
        <v>0.12587945745798795</v>
      </c>
      <c r="AA98" s="2">
        <f t="shared" ca="1" si="87"/>
        <v>6101120.4900603127</v>
      </c>
      <c r="AB98" s="2">
        <f t="shared" ca="1" si="88"/>
        <v>6317671.7532163542</v>
      </c>
      <c r="AC98" s="2">
        <f t="shared" ca="1" si="89"/>
        <v>6454608.2915071668</v>
      </c>
      <c r="AD98" s="2">
        <f t="shared" ca="1" si="90"/>
        <v>6594512.9510064805</v>
      </c>
      <c r="AE98" s="2">
        <f t="shared" ca="1" si="91"/>
        <v>6737450.0662127314</v>
      </c>
      <c r="AF98" s="2">
        <f t="shared" ca="1" si="92"/>
        <v>982470.133155116</v>
      </c>
      <c r="AG98" s="2">
        <f t="shared" ca="1" si="93"/>
        <v>1003765.3292754088</v>
      </c>
      <c r="AH98" s="2">
        <f t="shared" ca="1" si="94"/>
        <v>1025522.1021525901</v>
      </c>
      <c r="AI98" s="2">
        <f t="shared" ca="1" si="95"/>
        <v>1047750.4565361489</v>
      </c>
      <c r="AJ98" s="2">
        <f t="shared" ca="1" si="96"/>
        <v>1070460.6140301079</v>
      </c>
      <c r="AK98" s="2">
        <f t="shared" ca="1" si="97"/>
        <v>0</v>
      </c>
      <c r="AL98" s="2">
        <f t="shared" ca="1" si="98"/>
        <v>10647.598060146347</v>
      </c>
      <c r="AM98" s="2">
        <f t="shared" ca="1" si="99"/>
        <v>10878.386438590662</v>
      </c>
      <c r="AN98" s="2">
        <f t="shared" ca="1" si="100"/>
        <v>11114.177191779465</v>
      </c>
      <c r="AO98" s="2">
        <f t="shared" ca="1" si="101"/>
        <v>11355.07874697946</v>
      </c>
      <c r="AP98" s="2">
        <f t="shared" ca="1" si="102"/>
        <v>2410109.8017582172</v>
      </c>
      <c r="AQ98" s="2">
        <f t="shared" ca="1" si="103"/>
        <v>704220.54433821468</v>
      </c>
      <c r="AR98" s="2">
        <f t="shared" ca="1" si="104"/>
        <v>754987.12176750938</v>
      </c>
      <c r="AS98" s="2">
        <f t="shared" ca="1" si="105"/>
        <v>784933.86077505362</v>
      </c>
      <c r="AT98" s="2">
        <f t="shared" ca="1" si="106"/>
        <v>815529.70010514988</v>
      </c>
      <c r="AU98" s="2">
        <f t="shared" ca="1" si="107"/>
        <v>846788.70911034569</v>
      </c>
      <c r="AV98" s="2">
        <f t="shared" ca="1" si="108"/>
        <v>2004320.0108087654</v>
      </c>
      <c r="AW98" s="2">
        <f t="shared" ca="1" si="109"/>
        <v>2138161.9023550726</v>
      </c>
      <c r="AX98" s="2">
        <f t="shared" ca="1" si="110"/>
        <v>2223164.140382716</v>
      </c>
      <c r="AY98" s="2">
        <f t="shared" ca="1" si="111"/>
        <v>2310008.8154151854</v>
      </c>
      <c r="AZ98" s="2">
        <f t="shared" ca="1" si="112"/>
        <v>2398735.8625670816</v>
      </c>
      <c r="BA98" s="2">
        <f t="shared" ca="1" si="113"/>
        <v>49490560.197858721</v>
      </c>
      <c r="BB98" s="2">
        <f t="shared" ca="1" si="114"/>
        <v>989811.20395717444</v>
      </c>
      <c r="BC98" s="2">
        <f t="shared" ca="1" si="115"/>
        <v>21721751.196588024</v>
      </c>
      <c r="BD98" s="2">
        <f t="shared" ca="1" si="116"/>
        <v>-19468456.773097076</v>
      </c>
      <c r="BE98" s="2">
        <f t="shared" ca="1" si="117"/>
        <v>2004320.0108087654</v>
      </c>
      <c r="BF98" s="2">
        <f t="shared" ca="1" si="118"/>
        <v>2138161.9023550726</v>
      </c>
      <c r="BG98" s="2">
        <f t="shared" ca="1" si="119"/>
        <v>2223164.140382716</v>
      </c>
      <c r="BH98" s="2">
        <f t="shared" ca="1" si="120"/>
        <v>2310008.8154151854</v>
      </c>
      <c r="BI98" s="2">
        <f t="shared" ca="1" si="121"/>
        <v>24120487.059155107</v>
      </c>
      <c r="BJ98" s="2">
        <f t="shared" ca="1" si="122"/>
        <v>0.13040481385061065</v>
      </c>
      <c r="BK98" s="2">
        <f t="shared" ca="1" si="123"/>
        <v>762713.05951526389</v>
      </c>
    </row>
    <row r="99" spans="1:63" x14ac:dyDescent="0.3">
      <c r="A99" s="2">
        <v>98</v>
      </c>
      <c r="B99" s="2">
        <f t="shared" ca="1" si="62"/>
        <v>0.60230953642281804</v>
      </c>
      <c r="C99" s="2">
        <f t="shared" ca="1" si="63"/>
        <v>7.1081586872350195</v>
      </c>
      <c r="D99" s="2">
        <f t="shared" ca="1" si="64"/>
        <v>0.3712667372536852</v>
      </c>
      <c r="E99" s="2">
        <f t="shared" ca="1" si="65"/>
        <v>7.3617038206410426</v>
      </c>
      <c r="F99" s="2">
        <f t="shared" ca="1" si="66"/>
        <v>0.50873812137597907</v>
      </c>
      <c r="G99" s="2">
        <f t="shared" ca="1" si="67"/>
        <v>4.0657149212548392E-2</v>
      </c>
      <c r="H99" s="2">
        <f t="shared" ca="1" si="68"/>
        <v>4.0657149212548392E-2</v>
      </c>
      <c r="I99" s="2">
        <f t="shared" ca="1" si="69"/>
        <v>0.64591815931481533</v>
      </c>
      <c r="J99" s="2">
        <f t="shared" ca="1" si="70"/>
        <v>1.1871617291711047E-2</v>
      </c>
      <c r="K99" s="2">
        <f t="shared" ca="1" si="71"/>
        <v>1.1871617291711047E-2</v>
      </c>
      <c r="L99" s="2">
        <f t="shared" ca="1" si="72"/>
        <v>0.60025390932610223</v>
      </c>
      <c r="M99" s="2">
        <f t="shared" ca="1" si="73"/>
        <v>5.0800874175785347E-3</v>
      </c>
      <c r="N99" s="2">
        <f t="shared" ca="1" si="74"/>
        <v>5.0800874175785347E-3</v>
      </c>
      <c r="O99" s="2">
        <f t="shared" si="75"/>
        <v>6000000</v>
      </c>
      <c r="P99" s="2">
        <f t="shared" ca="1" si="76"/>
        <v>42648952.123410121</v>
      </c>
      <c r="Q99" s="2">
        <f t="shared" ca="1" si="77"/>
        <v>1066223.8030852531</v>
      </c>
      <c r="R99" s="2">
        <f t="shared" ca="1" si="78"/>
        <v>25589371.274046071</v>
      </c>
      <c r="S99" s="2">
        <f t="shared" ca="1" si="79"/>
        <v>17059580.84936405</v>
      </c>
      <c r="T99" s="2">
        <f t="shared" ca="1" si="80"/>
        <v>50254004.370878927</v>
      </c>
      <c r="U99" s="2">
        <f t="shared" ca="1" si="81"/>
        <v>52297188.925113812</v>
      </c>
      <c r="V99" s="2">
        <f t="shared" ca="1" si="82"/>
        <v>54423443.538639002</v>
      </c>
      <c r="W99" s="2">
        <f t="shared" ca="1" si="83"/>
        <v>56636145.603250153</v>
      </c>
      <c r="X99" s="2">
        <f t="shared" ca="1" si="84"/>
        <v>58938809.82586512</v>
      </c>
      <c r="Y99" s="2">
        <f t="shared" ca="1" si="85"/>
        <v>0.12593580864585552</v>
      </c>
      <c r="Z99" s="2">
        <f t="shared" ca="1" si="86"/>
        <v>0.12831013210419773</v>
      </c>
      <c r="AA99" s="2">
        <f t="shared" ca="1" si="87"/>
        <v>6328778.6781389955</v>
      </c>
      <c r="AB99" s="2">
        <f t="shared" ca="1" si="88"/>
        <v>6710259.2196595399</v>
      </c>
      <c r="AC99" s="2">
        <f t="shared" ca="1" si="89"/>
        <v>6983079.2300081169</v>
      </c>
      <c r="AD99" s="2">
        <f t="shared" ca="1" si="90"/>
        <v>7266991.3242256045</v>
      </c>
      <c r="AE99" s="2">
        <f t="shared" ca="1" si="91"/>
        <v>7562446.4748209408</v>
      </c>
      <c r="AF99" s="2">
        <f t="shared" ca="1" si="92"/>
        <v>1005080.0874175786</v>
      </c>
      <c r="AG99" s="2">
        <f t="shared" ca="1" si="93"/>
        <v>1045943.7785022763</v>
      </c>
      <c r="AH99" s="2">
        <f t="shared" ca="1" si="94"/>
        <v>1088468.8707727802</v>
      </c>
      <c r="AI99" s="2">
        <f t="shared" ca="1" si="95"/>
        <v>1132722.9120650031</v>
      </c>
      <c r="AJ99" s="2">
        <f t="shared" ca="1" si="96"/>
        <v>1178776.1965173024</v>
      </c>
      <c r="AK99" s="2">
        <f t="shared" ca="1" si="97"/>
        <v>0</v>
      </c>
      <c r="AL99" s="2">
        <f t="shared" ca="1" si="98"/>
        <v>20431.845542348849</v>
      </c>
      <c r="AM99" s="2">
        <f t="shared" ca="1" si="99"/>
        <v>21262.546135251894</v>
      </c>
      <c r="AN99" s="2">
        <f t="shared" ca="1" si="100"/>
        <v>22127.020646111519</v>
      </c>
      <c r="AO99" s="2">
        <f t="shared" ca="1" si="101"/>
        <v>23026.642226149663</v>
      </c>
      <c r="AP99" s="2">
        <f t="shared" ca="1" si="102"/>
        <v>2303043.4146641465</v>
      </c>
      <c r="AQ99" s="2">
        <f t="shared" ca="1" si="103"/>
        <v>785370.34577489039</v>
      </c>
      <c r="AR99" s="2">
        <f t="shared" ca="1" si="104"/>
        <v>873930.72688821051</v>
      </c>
      <c r="AS99" s="2">
        <f t="shared" ca="1" si="105"/>
        <v>933807.40558850951</v>
      </c>
      <c r="AT99" s="2">
        <f t="shared" ca="1" si="106"/>
        <v>996118.49934907828</v>
      </c>
      <c r="AU99" s="2">
        <f t="shared" ca="1" si="107"/>
        <v>1060962.9845462679</v>
      </c>
      <c r="AV99" s="2">
        <f t="shared" ca="1" si="108"/>
        <v>2235284.8302823799</v>
      </c>
      <c r="AW99" s="2">
        <f t="shared" ca="1" si="109"/>
        <v>2466909.4540625578</v>
      </c>
      <c r="AX99" s="2">
        <f t="shared" ca="1" si="110"/>
        <v>2636496.9928474287</v>
      </c>
      <c r="AY99" s="2">
        <f t="shared" ca="1" si="111"/>
        <v>2812979.4775012657</v>
      </c>
      <c r="AZ99" s="2">
        <f t="shared" ca="1" si="112"/>
        <v>2996637.2368670749</v>
      </c>
      <c r="BA99" s="2">
        <f t="shared" ca="1" si="113"/>
        <v>55672491.107082702</v>
      </c>
      <c r="BB99" s="2">
        <f t="shared" ca="1" si="114"/>
        <v>1113449.8221416541</v>
      </c>
      <c r="BC99" s="2">
        <f t="shared" ca="1" si="115"/>
        <v>28969670.010894977</v>
      </c>
      <c r="BD99" s="2">
        <f t="shared" ca="1" si="116"/>
        <v>-18625804.652449302</v>
      </c>
      <c r="BE99" s="2">
        <f t="shared" ca="1" si="117"/>
        <v>2235284.8302823799</v>
      </c>
      <c r="BF99" s="2">
        <f t="shared" ca="1" si="118"/>
        <v>2466909.4540625578</v>
      </c>
      <c r="BG99" s="2">
        <f t="shared" ca="1" si="119"/>
        <v>2636496.9928474287</v>
      </c>
      <c r="BH99" s="2">
        <f t="shared" ca="1" si="120"/>
        <v>2812979.4775012657</v>
      </c>
      <c r="BI99" s="2">
        <f t="shared" ca="1" si="121"/>
        <v>31966307.24776205</v>
      </c>
      <c r="BJ99" s="2">
        <f t="shared" ca="1" si="122"/>
        <v>0.21049648767273998</v>
      </c>
      <c r="BK99" s="2">
        <f t="shared" ca="1" si="123"/>
        <v>7139437.49343431</v>
      </c>
    </row>
    <row r="100" spans="1:63" x14ac:dyDescent="0.3">
      <c r="A100" s="2">
        <v>99</v>
      </c>
      <c r="B100" s="2">
        <f t="shared" ca="1" si="62"/>
        <v>0.86255319145832643</v>
      </c>
      <c r="C100" s="2">
        <f t="shared" ca="1" si="63"/>
        <v>7.4756970178576641</v>
      </c>
      <c r="D100" s="2">
        <f t="shared" ca="1" si="64"/>
        <v>0.88454479496102423</v>
      </c>
      <c r="E100" s="2">
        <f t="shared" ca="1" si="65"/>
        <v>8.019468616968723</v>
      </c>
      <c r="F100" s="2">
        <f t="shared" ca="1" si="66"/>
        <v>0.60324836607715915</v>
      </c>
      <c r="G100" s="2">
        <f t="shared" ca="1" si="67"/>
        <v>4.7852924961623008E-2</v>
      </c>
      <c r="H100" s="2">
        <f t="shared" ca="1" si="68"/>
        <v>4.7852924961623008E-2</v>
      </c>
      <c r="I100" s="2">
        <f t="shared" ca="1" si="69"/>
        <v>0.54589364860758172</v>
      </c>
      <c r="J100" s="2">
        <f t="shared" ca="1" si="70"/>
        <v>1.0576466159292015E-2</v>
      </c>
      <c r="K100" s="2">
        <f t="shared" ca="1" si="71"/>
        <v>1.0576466159292015E-2</v>
      </c>
      <c r="L100" s="2">
        <f t="shared" ca="1" si="72"/>
        <v>0.20697619034119419</v>
      </c>
      <c r="M100" s="2">
        <f t="shared" ca="1" si="73"/>
        <v>-1.6339161739117446E-2</v>
      </c>
      <c r="N100" s="2">
        <f t="shared" ca="1" si="74"/>
        <v>-1.6339161739117446E-2</v>
      </c>
      <c r="O100" s="2">
        <f t="shared" si="75"/>
        <v>6000000</v>
      </c>
      <c r="P100" s="2">
        <f t="shared" ca="1" si="76"/>
        <v>44854182.107145987</v>
      </c>
      <c r="Q100" s="2">
        <f t="shared" ca="1" si="77"/>
        <v>1121354.5526786498</v>
      </c>
      <c r="R100" s="2">
        <f t="shared" ca="1" si="78"/>
        <v>26912509.264287591</v>
      </c>
      <c r="S100" s="2">
        <f t="shared" ca="1" si="79"/>
        <v>17941672.842858396</v>
      </c>
      <c r="T100" s="2">
        <f t="shared" ca="1" si="80"/>
        <v>49183041.913044132</v>
      </c>
      <c r="U100" s="2">
        <f t="shared" ca="1" si="81"/>
        <v>51536594.327093393</v>
      </c>
      <c r="V100" s="2">
        <f t="shared" ca="1" si="82"/>
        <v>54002771.1082054</v>
      </c>
      <c r="W100" s="2">
        <f t="shared" ca="1" si="83"/>
        <v>56586961.66176606</v>
      </c>
      <c r="X100" s="2">
        <f t="shared" ca="1" si="84"/>
        <v>59294813.291972794</v>
      </c>
      <c r="Y100" s="2">
        <f t="shared" ca="1" si="85"/>
        <v>0.12528823307964601</v>
      </c>
      <c r="Z100" s="2">
        <f t="shared" ca="1" si="86"/>
        <v>0.12740352631150439</v>
      </c>
      <c r="AA100" s="2">
        <f t="shared" ca="1" si="87"/>
        <v>6162056.4187674718</v>
      </c>
      <c r="AB100" s="2">
        <f t="shared" ca="1" si="88"/>
        <v>6565943.8513571713</v>
      </c>
      <c r="AC100" s="2">
        <f t="shared" ca="1" si="89"/>
        <v>6880143.4697783962</v>
      </c>
      <c r="AD100" s="2">
        <f t="shared" ca="1" si="90"/>
        <v>7209378.4589629024</v>
      </c>
      <c r="AE100" s="2">
        <f t="shared" ca="1" si="91"/>
        <v>7554368.3053795965</v>
      </c>
      <c r="AF100" s="2">
        <f t="shared" ca="1" si="92"/>
        <v>983660.83826088265</v>
      </c>
      <c r="AG100" s="2">
        <f t="shared" ca="1" si="93"/>
        <v>1030731.8865418679</v>
      </c>
      <c r="AH100" s="2">
        <f t="shared" ca="1" si="94"/>
        <v>1080055.4221641081</v>
      </c>
      <c r="AI100" s="2">
        <f t="shared" ca="1" si="95"/>
        <v>1131739.2332353212</v>
      </c>
      <c r="AJ100" s="2">
        <f t="shared" ca="1" si="96"/>
        <v>1185896.2658394559</v>
      </c>
      <c r="AK100" s="2">
        <f t="shared" ca="1" si="97"/>
        <v>0</v>
      </c>
      <c r="AL100" s="2">
        <f t="shared" ca="1" si="98"/>
        <v>23535.524140492602</v>
      </c>
      <c r="AM100" s="2">
        <f t="shared" ca="1" si="99"/>
        <v>24661.76781112008</v>
      </c>
      <c r="AN100" s="2">
        <f t="shared" ca="1" si="100"/>
        <v>25841.905535606595</v>
      </c>
      <c r="AO100" s="2">
        <f t="shared" ca="1" si="101"/>
        <v>27078.516302067339</v>
      </c>
      <c r="AP100" s="2">
        <f t="shared" ca="1" si="102"/>
        <v>2422125.8337858832</v>
      </c>
      <c r="AQ100" s="2">
        <f t="shared" ca="1" si="103"/>
        <v>716630.13414738362</v>
      </c>
      <c r="AR100" s="2">
        <f t="shared" ca="1" si="104"/>
        <v>809402.39406764938</v>
      </c>
      <c r="AS100" s="2">
        <f t="shared" ca="1" si="105"/>
        <v>878270.17559538514</v>
      </c>
      <c r="AT100" s="2">
        <f t="shared" ca="1" si="106"/>
        <v>950433.48190484161</v>
      </c>
      <c r="AU100" s="2">
        <f t="shared" ca="1" si="107"/>
        <v>1026050.0134961071</v>
      </c>
      <c r="AV100" s="2">
        <f t="shared" ca="1" si="108"/>
        <v>2039639.6125733228</v>
      </c>
      <c r="AW100" s="2">
        <f t="shared" ca="1" si="109"/>
        <v>2280148.2128212778</v>
      </c>
      <c r="AX100" s="2">
        <f t="shared" ca="1" si="110"/>
        <v>2475030.2704218989</v>
      </c>
      <c r="AY100" s="2">
        <f t="shared" ca="1" si="111"/>
        <v>2679238.0045012496</v>
      </c>
      <c r="AZ100" s="2">
        <f t="shared" ca="1" si="112"/>
        <v>2893217.6759560825</v>
      </c>
      <c r="BA100" s="2">
        <f t="shared" ca="1" si="113"/>
        <v>60582019.546014868</v>
      </c>
      <c r="BB100" s="2">
        <f t="shared" ca="1" si="114"/>
        <v>1211640.3909202975</v>
      </c>
      <c r="BC100" s="2">
        <f t="shared" ca="1" si="115"/>
        <v>32457869.89080698</v>
      </c>
      <c r="BD100" s="2">
        <f t="shared" ca="1" si="116"/>
        <v>-19563027.395537045</v>
      </c>
      <c r="BE100" s="2">
        <f t="shared" ca="1" si="117"/>
        <v>2039639.6125733228</v>
      </c>
      <c r="BF100" s="2">
        <f t="shared" ca="1" si="118"/>
        <v>2280148.2128212778</v>
      </c>
      <c r="BG100" s="2">
        <f t="shared" ca="1" si="119"/>
        <v>2475030.2704218989</v>
      </c>
      <c r="BH100" s="2">
        <f t="shared" ca="1" si="120"/>
        <v>2679238.0045012496</v>
      </c>
      <c r="BI100" s="2">
        <f t="shared" ca="1" si="121"/>
        <v>35351087.566763066</v>
      </c>
      <c r="BJ100" s="2">
        <f t="shared" ca="1" si="122"/>
        <v>0.20935788302924041</v>
      </c>
      <c r="BK100" s="2">
        <f t="shared" ca="1" si="123"/>
        <v>7599337.9082510956</v>
      </c>
    </row>
    <row r="101" spans="1:63" x14ac:dyDescent="0.3">
      <c r="A101" s="2">
        <v>100</v>
      </c>
      <c r="B101" s="2">
        <f t="shared" ca="1" si="62"/>
        <v>0.90138192414066409</v>
      </c>
      <c r="C101" s="2">
        <f t="shared" ca="1" si="63"/>
        <v>7.5558872308538385</v>
      </c>
      <c r="D101" s="2">
        <f t="shared" ca="1" si="64"/>
        <v>0.1511716568398237</v>
      </c>
      <c r="E101" s="2">
        <f t="shared" ca="1" si="65"/>
        <v>7.0498575394405787</v>
      </c>
      <c r="F101" s="2">
        <f t="shared" ca="1" si="66"/>
        <v>8.3076249969321503E-2</v>
      </c>
      <c r="G101" s="2">
        <f t="shared" ca="1" si="67"/>
        <v>-1.5401879096058682E-3</v>
      </c>
      <c r="H101" s="2">
        <f t="shared" ca="1" si="68"/>
        <v>-1.5401879096058682E-3</v>
      </c>
      <c r="I101" s="2">
        <f t="shared" ca="1" si="69"/>
        <v>0.63331145829495117</v>
      </c>
      <c r="J101" s="2">
        <f t="shared" ca="1" si="70"/>
        <v>1.1703183593127265E-2</v>
      </c>
      <c r="K101" s="2">
        <f t="shared" ca="1" si="71"/>
        <v>1.1703183593127265E-2</v>
      </c>
      <c r="L101" s="2">
        <f t="shared" ca="1" si="72"/>
        <v>0.24797076804099694</v>
      </c>
      <c r="M101" s="2">
        <f t="shared" ca="1" si="73"/>
        <v>-1.3617786094090376E-2</v>
      </c>
      <c r="N101" s="2">
        <f t="shared" ca="1" si="74"/>
        <v>-1.3617786094090376E-2</v>
      </c>
      <c r="O101" s="2">
        <f t="shared" si="75"/>
        <v>6000000</v>
      </c>
      <c r="P101" s="2">
        <f t="shared" ca="1" si="76"/>
        <v>45335323.385123029</v>
      </c>
      <c r="Q101" s="2">
        <f t="shared" ca="1" si="77"/>
        <v>1133383.0846280758</v>
      </c>
      <c r="R101" s="2">
        <f t="shared" ca="1" si="78"/>
        <v>27201194.031073816</v>
      </c>
      <c r="S101" s="2">
        <f t="shared" ca="1" si="79"/>
        <v>18134129.354049213</v>
      </c>
      <c r="T101" s="2">
        <f t="shared" ca="1" si="80"/>
        <v>49319110.695295483</v>
      </c>
      <c r="U101" s="2">
        <f t="shared" ca="1" si="81"/>
        <v>49243149.997290075</v>
      </c>
      <c r="V101" s="2">
        <f t="shared" ca="1" si="82"/>
        <v>49167306.293033339</v>
      </c>
      <c r="W101" s="2">
        <f t="shared" ca="1" si="83"/>
        <v>49091579.402332924</v>
      </c>
      <c r="X101" s="2">
        <f t="shared" ca="1" si="84"/>
        <v>49015969.145273998</v>
      </c>
      <c r="Y101" s="2">
        <f t="shared" ca="1" si="85"/>
        <v>0.12585159179656363</v>
      </c>
      <c r="Z101" s="2">
        <f t="shared" ca="1" si="86"/>
        <v>0.12819222851518908</v>
      </c>
      <c r="AA101" s="2">
        <f t="shared" ca="1" si="87"/>
        <v>6206888.5869938629</v>
      </c>
      <c r="AB101" s="2">
        <f t="shared" ca="1" si="88"/>
        <v>6312589.137260342</v>
      </c>
      <c r="AC101" s="2">
        <f t="shared" ca="1" si="89"/>
        <v>6302866.5637928238</v>
      </c>
      <c r="AD101" s="2">
        <f t="shared" ca="1" si="90"/>
        <v>6293158.9649154115</v>
      </c>
      <c r="AE101" s="2">
        <f t="shared" ca="1" si="91"/>
        <v>6283466.3175644213</v>
      </c>
      <c r="AF101" s="2">
        <f t="shared" ca="1" si="92"/>
        <v>986382.21390590968</v>
      </c>
      <c r="AG101" s="2">
        <f t="shared" ca="1" si="93"/>
        <v>984862.99994580157</v>
      </c>
      <c r="AH101" s="2">
        <f t="shared" ca="1" si="94"/>
        <v>983346.12586066686</v>
      </c>
      <c r="AI101" s="2">
        <f t="shared" ca="1" si="95"/>
        <v>981831.58804665855</v>
      </c>
      <c r="AJ101" s="2">
        <f t="shared" ca="1" si="96"/>
        <v>980319.38290547999</v>
      </c>
      <c r="AK101" s="2">
        <f t="shared" ca="1" si="97"/>
        <v>0</v>
      </c>
      <c r="AL101" s="2">
        <f t="shared" ca="1" si="98"/>
        <v>0</v>
      </c>
      <c r="AM101" s="2">
        <f t="shared" ca="1" si="99"/>
        <v>0</v>
      </c>
      <c r="AN101" s="2">
        <f t="shared" ca="1" si="100"/>
        <v>0</v>
      </c>
      <c r="AO101" s="2">
        <f t="shared" ca="1" si="101"/>
        <v>0</v>
      </c>
      <c r="AP101" s="2">
        <f t="shared" ca="1" si="102"/>
        <v>2448107.4627966434</v>
      </c>
      <c r="AQ101" s="2">
        <f t="shared" ca="1" si="103"/>
        <v>720823.71667574043</v>
      </c>
      <c r="AR101" s="2">
        <f t="shared" ca="1" si="104"/>
        <v>748700.85537465324</v>
      </c>
      <c r="AS101" s="2">
        <f t="shared" ca="1" si="105"/>
        <v>746567.37353523355</v>
      </c>
      <c r="AT101" s="2">
        <f t="shared" ca="1" si="106"/>
        <v>744437.17765874846</v>
      </c>
      <c r="AU101" s="2">
        <f t="shared" ca="1" si="107"/>
        <v>742310.2626841974</v>
      </c>
      <c r="AV101" s="2">
        <f t="shared" ca="1" si="108"/>
        <v>2051575.1936155688</v>
      </c>
      <c r="AW101" s="2">
        <f t="shared" ca="1" si="109"/>
        <v>2130917.8191432441</v>
      </c>
      <c r="AX101" s="2">
        <f t="shared" ca="1" si="110"/>
        <v>2124845.60160028</v>
      </c>
      <c r="AY101" s="2">
        <f t="shared" ca="1" si="111"/>
        <v>2118782.7364133606</v>
      </c>
      <c r="AZ101" s="2">
        <f t="shared" ca="1" si="112"/>
        <v>2112729.2091781003</v>
      </c>
      <c r="BA101" s="2">
        <f t="shared" ca="1" si="113"/>
        <v>44297542.392702468</v>
      </c>
      <c r="BB101" s="2">
        <f t="shared" ca="1" si="114"/>
        <v>885950.84785404941</v>
      </c>
      <c r="BC101" s="2">
        <f t="shared" ca="1" si="115"/>
        <v>16210397.513774602</v>
      </c>
      <c r="BD101" s="2">
        <f t="shared" ca="1" si="116"/>
        <v>-19767512.438677289</v>
      </c>
      <c r="BE101" s="2">
        <f t="shared" ca="1" si="117"/>
        <v>2051575.1936155688</v>
      </c>
      <c r="BF101" s="2">
        <f t="shared" ca="1" si="118"/>
        <v>2130917.8191432441</v>
      </c>
      <c r="BG101" s="2">
        <f t="shared" ca="1" si="119"/>
        <v>2124845.60160028</v>
      </c>
      <c r="BH101" s="2">
        <f t="shared" ca="1" si="120"/>
        <v>2118782.7364133606</v>
      </c>
      <c r="BI101" s="2">
        <f t="shared" ca="1" si="121"/>
        <v>18323126.722952701</v>
      </c>
      <c r="BJ101" s="2">
        <f t="shared" ca="1" si="122"/>
        <v>7.5598658237317151E-2</v>
      </c>
      <c r="BK101" s="2">
        <f t="shared" ca="1" si="123"/>
        <v>-2981012.1885502152</v>
      </c>
    </row>
    <row r="102" spans="1:63" x14ac:dyDescent="0.3">
      <c r="A102" s="2">
        <v>101</v>
      </c>
      <c r="B102" s="2">
        <f t="shared" ca="1" si="62"/>
        <v>9.1001653887286094E-2</v>
      </c>
      <c r="C102" s="2">
        <f t="shared" ca="1" si="63"/>
        <v>6.4266184569080105</v>
      </c>
      <c r="D102" s="2">
        <f t="shared" ca="1" si="64"/>
        <v>0.60991118514888731</v>
      </c>
      <c r="E102" s="2">
        <f t="shared" ca="1" si="65"/>
        <v>7.6167233560756715</v>
      </c>
      <c r="F102" s="2">
        <f t="shared" ca="1" si="66"/>
        <v>0.32570490970500499</v>
      </c>
      <c r="G102" s="2">
        <f t="shared" ca="1" si="67"/>
        <v>2.644586465851818E-2</v>
      </c>
      <c r="H102" s="2">
        <f t="shared" ca="1" si="68"/>
        <v>2.644586465851818E-2</v>
      </c>
      <c r="I102" s="2">
        <f t="shared" ca="1" si="69"/>
        <v>0.40819387474097502</v>
      </c>
      <c r="J102" s="2">
        <f t="shared" ca="1" si="70"/>
        <v>8.8390326507581749E-3</v>
      </c>
      <c r="K102" s="2">
        <f t="shared" ca="1" si="71"/>
        <v>8.8390326507581749E-3</v>
      </c>
      <c r="L102" s="2">
        <f t="shared" ca="1" si="72"/>
        <v>0.13901736691354405</v>
      </c>
      <c r="M102" s="2">
        <f t="shared" ca="1" si="73"/>
        <v>-2.1694894465439991E-2</v>
      </c>
      <c r="N102" s="2">
        <f t="shared" ca="1" si="74"/>
        <v>-2.1694894465439991E-2</v>
      </c>
      <c r="O102" s="2">
        <f t="shared" si="75"/>
        <v>6000000</v>
      </c>
      <c r="P102" s="2">
        <f t="shared" ca="1" si="76"/>
        <v>38559710.74144806</v>
      </c>
      <c r="Q102" s="2">
        <f t="shared" ca="1" si="77"/>
        <v>963992.76853620156</v>
      </c>
      <c r="R102" s="2">
        <f t="shared" ca="1" si="78"/>
        <v>23135826.444868837</v>
      </c>
      <c r="S102" s="2">
        <f t="shared" ca="1" si="79"/>
        <v>15423884.296579225</v>
      </c>
      <c r="T102" s="2">
        <f t="shared" ca="1" si="80"/>
        <v>48915255.276727997</v>
      </c>
      <c r="U102" s="2">
        <f t="shared" ca="1" si="81"/>
        <v>50208861.497513212</v>
      </c>
      <c r="V102" s="2">
        <f t="shared" ca="1" si="82"/>
        <v>51536678.253334731</v>
      </c>
      <c r="W102" s="2">
        <f t="shared" ca="1" si="83"/>
        <v>52899610.27137202</v>
      </c>
      <c r="X102" s="2">
        <f t="shared" ca="1" si="84"/>
        <v>54298586.205097079</v>
      </c>
      <c r="Y102" s="2">
        <f t="shared" ca="1" si="85"/>
        <v>0.12441951632537908</v>
      </c>
      <c r="Z102" s="2">
        <f t="shared" ca="1" si="86"/>
        <v>0.12618732285553072</v>
      </c>
      <c r="AA102" s="2">
        <f t="shared" ca="1" si="87"/>
        <v>6086012.4024629444</v>
      </c>
      <c r="AB102" s="2">
        <f t="shared" ca="1" si="88"/>
        <v>6335721.8159953253</v>
      </c>
      <c r="AC102" s="2">
        <f t="shared" ca="1" si="89"/>
        <v>6503275.4576551588</v>
      </c>
      <c r="AD102" s="2">
        <f t="shared" ca="1" si="90"/>
        <v>6675260.2002453702</v>
      </c>
      <c r="AE102" s="2">
        <f t="shared" ca="1" si="91"/>
        <v>6851793.2280614516</v>
      </c>
      <c r="AF102" s="2">
        <f t="shared" ca="1" si="92"/>
        <v>978305.10553455993</v>
      </c>
      <c r="AG102" s="2">
        <f t="shared" ca="1" si="93"/>
        <v>1004177.2299502642</v>
      </c>
      <c r="AH102" s="2">
        <f t="shared" ca="1" si="94"/>
        <v>1030733.5650666946</v>
      </c>
      <c r="AI102" s="2">
        <f t="shared" ca="1" si="95"/>
        <v>1057992.2054274403</v>
      </c>
      <c r="AJ102" s="2">
        <f t="shared" ca="1" si="96"/>
        <v>1085971.7241019416</v>
      </c>
      <c r="AK102" s="2">
        <f t="shared" ca="1" si="97"/>
        <v>0</v>
      </c>
      <c r="AL102" s="2">
        <f t="shared" ca="1" si="98"/>
        <v>12936.062207852156</v>
      </c>
      <c r="AM102" s="2">
        <f t="shared" ca="1" si="99"/>
        <v>13278.167558215186</v>
      </c>
      <c r="AN102" s="2">
        <f t="shared" ca="1" si="100"/>
        <v>13629.320180372893</v>
      </c>
      <c r="AO102" s="2">
        <f t="shared" ca="1" si="101"/>
        <v>13989.759337250591</v>
      </c>
      <c r="AP102" s="2">
        <f t="shared" ca="1" si="102"/>
        <v>2082224.3800381953</v>
      </c>
      <c r="AQ102" s="2">
        <f t="shared" ca="1" si="103"/>
        <v>786625.55839144916</v>
      </c>
      <c r="AR102" s="2">
        <f t="shared" ca="1" si="104"/>
        <v>844823.25356178521</v>
      </c>
      <c r="AS102" s="2">
        <f t="shared" ca="1" si="105"/>
        <v>881482.55326307006</v>
      </c>
      <c r="AT102" s="2">
        <f t="shared" ca="1" si="106"/>
        <v>919111.3398427309</v>
      </c>
      <c r="AU102" s="2">
        <f t="shared" ca="1" si="107"/>
        <v>957735.25221954193</v>
      </c>
      <c r="AV102" s="2">
        <f t="shared" ca="1" si="108"/>
        <v>2238857.35849874</v>
      </c>
      <c r="AW102" s="2">
        <f t="shared" ca="1" si="109"/>
        <v>2391560.890237228</v>
      </c>
      <c r="AX102" s="2">
        <f t="shared" ca="1" si="110"/>
        <v>2495556.7917289836</v>
      </c>
      <c r="AY102" s="2">
        <f t="shared" ca="1" si="111"/>
        <v>2602302.9547566297</v>
      </c>
      <c r="AZ102" s="2">
        <f t="shared" ca="1" si="112"/>
        <v>2711872.1123645231</v>
      </c>
      <c r="BA102" s="2">
        <f t="shared" ca="1" si="113"/>
        <v>52188213.51117678</v>
      </c>
      <c r="BB102" s="2">
        <f t="shared" ca="1" si="114"/>
        <v>1043764.2702235356</v>
      </c>
      <c r="BC102" s="2">
        <f t="shared" ca="1" si="115"/>
        <v>28008622.796084408</v>
      </c>
      <c r="BD102" s="2">
        <f t="shared" ca="1" si="116"/>
        <v>-16887877.065115426</v>
      </c>
      <c r="BE102" s="2">
        <f t="shared" ca="1" si="117"/>
        <v>2238857.35849874</v>
      </c>
      <c r="BF102" s="2">
        <f t="shared" ca="1" si="118"/>
        <v>2391560.890237228</v>
      </c>
      <c r="BG102" s="2">
        <f t="shared" ca="1" si="119"/>
        <v>2495556.7917289836</v>
      </c>
      <c r="BH102" s="2">
        <f t="shared" ca="1" si="120"/>
        <v>2602302.9547566297</v>
      </c>
      <c r="BI102" s="2">
        <f t="shared" ca="1" si="121"/>
        <v>30720494.908448931</v>
      </c>
      <c r="BJ102" s="2">
        <f t="shared" ca="1" si="122"/>
        <v>0.22825669089499012</v>
      </c>
      <c r="BK102" s="2">
        <f t="shared" ca="1" si="123"/>
        <v>7879372.8556498885</v>
      </c>
    </row>
    <row r="103" spans="1:63" x14ac:dyDescent="0.3">
      <c r="A103" s="2">
        <v>102</v>
      </c>
      <c r="B103" s="2">
        <f t="shared" ca="1" si="62"/>
        <v>0.50755948954957675</v>
      </c>
      <c r="C103" s="2">
        <f t="shared" ca="1" si="63"/>
        <v>7.0075882805504328</v>
      </c>
      <c r="D103" s="2">
        <f t="shared" ca="1" si="64"/>
        <v>0.87239135781663935</v>
      </c>
      <c r="E103" s="2">
        <f t="shared" ca="1" si="65"/>
        <v>7.9948096553112666</v>
      </c>
      <c r="F103" s="2">
        <f t="shared" ca="1" si="66"/>
        <v>0.21335590061405163</v>
      </c>
      <c r="G103" s="2">
        <f t="shared" ca="1" si="67"/>
        <v>1.6155069252770479E-2</v>
      </c>
      <c r="H103" s="2">
        <f t="shared" ca="1" si="68"/>
        <v>1.6155069252770479E-2</v>
      </c>
      <c r="I103" s="2">
        <f t="shared" ca="1" si="69"/>
        <v>0.14984006218266099</v>
      </c>
      <c r="J103" s="2">
        <f t="shared" ca="1" si="70"/>
        <v>4.814402027668108E-3</v>
      </c>
      <c r="K103" s="2">
        <f t="shared" ca="1" si="71"/>
        <v>4.814402027668108E-3</v>
      </c>
      <c r="L103" s="2">
        <f t="shared" ca="1" si="72"/>
        <v>0.35101642833613977</v>
      </c>
      <c r="M103" s="2">
        <f t="shared" ca="1" si="73"/>
        <v>-7.6515553678032037E-3</v>
      </c>
      <c r="N103" s="2">
        <f t="shared" ca="1" si="74"/>
        <v>-7.6515553678032037E-3</v>
      </c>
      <c r="O103" s="2">
        <f t="shared" si="75"/>
        <v>6000000</v>
      </c>
      <c r="P103" s="2">
        <f t="shared" ca="1" si="76"/>
        <v>42045529.683302596</v>
      </c>
      <c r="Q103" s="2">
        <f t="shared" ca="1" si="77"/>
        <v>1051138.2420825649</v>
      </c>
      <c r="R103" s="2">
        <f t="shared" ca="1" si="78"/>
        <v>25227317.809981558</v>
      </c>
      <c r="S103" s="2">
        <f t="shared" ca="1" si="79"/>
        <v>16818211.873321038</v>
      </c>
      <c r="T103" s="2">
        <f t="shared" ca="1" si="80"/>
        <v>49617422.231609844</v>
      </c>
      <c r="U103" s="2">
        <f t="shared" ca="1" si="81"/>
        <v>50418995.123905458</v>
      </c>
      <c r="V103" s="2">
        <f t="shared" ca="1" si="82"/>
        <v>51233517.481787249</v>
      </c>
      <c r="W103" s="2">
        <f t="shared" ca="1" si="83"/>
        <v>52061198.50476855</v>
      </c>
      <c r="X103" s="2">
        <f t="shared" ca="1" si="84"/>
        <v>52902250.771995321</v>
      </c>
      <c r="Y103" s="2">
        <f t="shared" ca="1" si="85"/>
        <v>0.12240720101383405</v>
      </c>
      <c r="Z103" s="2">
        <f t="shared" ca="1" si="86"/>
        <v>0.12337008141936767</v>
      </c>
      <c r="AA103" s="2">
        <f t="shared" ca="1" si="87"/>
        <v>6073529.7768929442</v>
      </c>
      <c r="AB103" s="2">
        <f t="shared" ca="1" si="88"/>
        <v>6220195.5335189179</v>
      </c>
      <c r="AC103" s="2">
        <f t="shared" ca="1" si="89"/>
        <v>6320683.2231286904</v>
      </c>
      <c r="AD103" s="2">
        <f t="shared" ca="1" si="90"/>
        <v>6422794.2983231582</v>
      </c>
      <c r="AE103" s="2">
        <f t="shared" ca="1" si="91"/>
        <v>6526554.9850088693</v>
      </c>
      <c r="AF103" s="2">
        <f t="shared" ca="1" si="92"/>
        <v>992348.44463219692</v>
      </c>
      <c r="AG103" s="2">
        <f t="shared" ca="1" si="93"/>
        <v>1008379.9024781092</v>
      </c>
      <c r="AH103" s="2">
        <f t="shared" ca="1" si="94"/>
        <v>1024670.349635745</v>
      </c>
      <c r="AI103" s="2">
        <f t="shared" ca="1" si="95"/>
        <v>1041223.970095371</v>
      </c>
      <c r="AJ103" s="2">
        <f t="shared" ca="1" si="96"/>
        <v>1058045.0154399064</v>
      </c>
      <c r="AK103" s="2">
        <f t="shared" ca="1" si="97"/>
        <v>0</v>
      </c>
      <c r="AL103" s="2">
        <f t="shared" ca="1" si="98"/>
        <v>8015.7289229561393</v>
      </c>
      <c r="AM103" s="2">
        <f t="shared" ca="1" si="99"/>
        <v>8145.2235788179187</v>
      </c>
      <c r="AN103" s="2">
        <f t="shared" ca="1" si="100"/>
        <v>8276.8102298130088</v>
      </c>
      <c r="AO103" s="2">
        <f t="shared" ca="1" si="101"/>
        <v>8410.5226722677053</v>
      </c>
      <c r="AP103" s="2">
        <f t="shared" ca="1" si="102"/>
        <v>2270458.6028983402</v>
      </c>
      <c r="AQ103" s="2">
        <f t="shared" ca="1" si="103"/>
        <v>730787.90963422589</v>
      </c>
      <c r="AR103" s="2">
        <f t="shared" ca="1" si="104"/>
        <v>764752.82731704181</v>
      </c>
      <c r="AS103" s="2">
        <f t="shared" ca="1" si="105"/>
        <v>786644.11035459721</v>
      </c>
      <c r="AT103" s="2">
        <f t="shared" ca="1" si="106"/>
        <v>808889.04858565622</v>
      </c>
      <c r="AU103" s="2">
        <f t="shared" ca="1" si="107"/>
        <v>831493.35533436202</v>
      </c>
      <c r="AV103" s="2">
        <f t="shared" ca="1" si="108"/>
        <v>2079934.8197281812</v>
      </c>
      <c r="AW103" s="2">
        <f t="shared" ca="1" si="109"/>
        <v>2168588.4719024715</v>
      </c>
      <c r="AX103" s="2">
        <f t="shared" ca="1" si="110"/>
        <v>2230764.9366611899</v>
      </c>
      <c r="AY103" s="2">
        <f t="shared" ca="1" si="111"/>
        <v>2293945.8665139782</v>
      </c>
      <c r="AZ103" s="2">
        <f t="shared" ca="1" si="112"/>
        <v>2358147.4886639933</v>
      </c>
      <c r="BA103" s="2">
        <f t="shared" ca="1" si="113"/>
        <v>52178564.810068786</v>
      </c>
      <c r="BB103" s="2">
        <f t="shared" ca="1" si="114"/>
        <v>1043571.2962013758</v>
      </c>
      <c r="BC103" s="2">
        <f t="shared" ca="1" si="115"/>
        <v>25907675.703885853</v>
      </c>
      <c r="BD103" s="2">
        <f t="shared" ca="1" si="116"/>
        <v>-18369350.115403604</v>
      </c>
      <c r="BE103" s="2">
        <f t="shared" ca="1" si="117"/>
        <v>2079934.8197281812</v>
      </c>
      <c r="BF103" s="2">
        <f t="shared" ca="1" si="118"/>
        <v>2168588.4719024715</v>
      </c>
      <c r="BG103" s="2">
        <f t="shared" ca="1" si="119"/>
        <v>2230764.9366611899</v>
      </c>
      <c r="BH103" s="2">
        <f t="shared" ca="1" si="120"/>
        <v>2293945.8665139782</v>
      </c>
      <c r="BI103" s="2">
        <f t="shared" ca="1" si="121"/>
        <v>28265823.192549847</v>
      </c>
      <c r="BJ103" s="2">
        <f t="shared" ca="1" si="122"/>
        <v>0.17761957790283178</v>
      </c>
      <c r="BK103" s="2">
        <f t="shared" ca="1" si="123"/>
        <v>4300965.6647246145</v>
      </c>
    </row>
    <row r="104" spans="1:63" x14ac:dyDescent="0.3">
      <c r="A104" s="2">
        <v>103</v>
      </c>
      <c r="B104" s="2">
        <f t="shared" ca="1" si="62"/>
        <v>4.9921918068284943E-2</v>
      </c>
      <c r="C104" s="2">
        <f t="shared" ca="1" si="63"/>
        <v>6.315980752794486</v>
      </c>
      <c r="D104" s="2">
        <f t="shared" ca="1" si="64"/>
        <v>0.33963554997193535</v>
      </c>
      <c r="E104" s="2">
        <f t="shared" ca="1" si="65"/>
        <v>7.3241790460475631</v>
      </c>
      <c r="F104" s="2">
        <f t="shared" ca="1" si="66"/>
        <v>0.38055718080728917</v>
      </c>
      <c r="G104" s="2">
        <f t="shared" ca="1" si="67"/>
        <v>3.0879467237868573E-2</v>
      </c>
      <c r="H104" s="2">
        <f t="shared" ca="1" si="68"/>
        <v>3.0879467237868573E-2</v>
      </c>
      <c r="I104" s="2">
        <f t="shared" ca="1" si="69"/>
        <v>0.76041149399657559</v>
      </c>
      <c r="J104" s="2">
        <f t="shared" ca="1" si="70"/>
        <v>1.3538134269526336E-2</v>
      </c>
      <c r="K104" s="2">
        <f t="shared" ca="1" si="71"/>
        <v>1.3538134269526336E-2</v>
      </c>
      <c r="L104" s="2">
        <f t="shared" ca="1" si="72"/>
        <v>0.69597579821228328</v>
      </c>
      <c r="M104" s="2">
        <f t="shared" ca="1" si="73"/>
        <v>1.0257224357286042E-2</v>
      </c>
      <c r="N104" s="2">
        <f t="shared" ca="1" si="74"/>
        <v>1.0257224357286042E-2</v>
      </c>
      <c r="O104" s="2">
        <f t="shared" si="75"/>
        <v>6000000</v>
      </c>
      <c r="P104" s="2">
        <f t="shared" ca="1" si="76"/>
        <v>37895884.516766913</v>
      </c>
      <c r="Q104" s="2">
        <f t="shared" ca="1" si="77"/>
        <v>947397.11291917285</v>
      </c>
      <c r="R104" s="2">
        <f t="shared" ca="1" si="78"/>
        <v>22737530.710060146</v>
      </c>
      <c r="S104" s="2">
        <f t="shared" ca="1" si="79"/>
        <v>15158353.806706766</v>
      </c>
      <c r="T104" s="2">
        <f t="shared" ca="1" si="80"/>
        <v>50512861.217864305</v>
      </c>
      <c r="U104" s="2">
        <f t="shared" ca="1" si="81"/>
        <v>52072671.460932344</v>
      </c>
      <c r="V104" s="2">
        <f t="shared" ca="1" si="82"/>
        <v>53680647.813298494</v>
      </c>
      <c r="W104" s="2">
        <f t="shared" ca="1" si="83"/>
        <v>55338277.618756801</v>
      </c>
      <c r="X104" s="2">
        <f t="shared" ca="1" si="84"/>
        <v>57047094.149485275</v>
      </c>
      <c r="Y104" s="2">
        <f t="shared" ca="1" si="85"/>
        <v>0.12676906713476316</v>
      </c>
      <c r="Z104" s="2">
        <f t="shared" ca="1" si="86"/>
        <v>0.12947669398866843</v>
      </c>
      <c r="AA104" s="2">
        <f t="shared" ca="1" si="87"/>
        <v>6403468.2948964145</v>
      </c>
      <c r="AB104" s="2">
        <f t="shared" ca="1" si="88"/>
        <v>6742197.3479196047</v>
      </c>
      <c r="AC104" s="2">
        <f t="shared" ca="1" si="89"/>
        <v>6950392.8100359319</v>
      </c>
      <c r="AD104" s="2">
        <f t="shared" ca="1" si="90"/>
        <v>7165017.2371037537</v>
      </c>
      <c r="AE104" s="2">
        <f t="shared" ca="1" si="91"/>
        <v>7386269.1521356618</v>
      </c>
      <c r="AF104" s="2">
        <f t="shared" ca="1" si="92"/>
        <v>1010257.2243572861</v>
      </c>
      <c r="AG104" s="2">
        <f t="shared" ca="1" si="93"/>
        <v>1041453.429218647</v>
      </c>
      <c r="AH104" s="2">
        <f t="shared" ca="1" si="94"/>
        <v>1073612.9562659699</v>
      </c>
      <c r="AI104" s="2">
        <f t="shared" ca="1" si="95"/>
        <v>1106765.5523751359</v>
      </c>
      <c r="AJ104" s="2">
        <f t="shared" ca="1" si="96"/>
        <v>1140941.8829897055</v>
      </c>
      <c r="AK104" s="2">
        <f t="shared" ca="1" si="97"/>
        <v>0</v>
      </c>
      <c r="AL104" s="2">
        <f t="shared" ca="1" si="98"/>
        <v>15598.102430680394</v>
      </c>
      <c r="AM104" s="2">
        <f t="shared" ca="1" si="99"/>
        <v>16079.763523661495</v>
      </c>
      <c r="AN104" s="2">
        <f t="shared" ca="1" si="100"/>
        <v>16576.298054583072</v>
      </c>
      <c r="AO104" s="2">
        <f t="shared" ca="1" si="101"/>
        <v>17088.165307284744</v>
      </c>
      <c r="AP104" s="2">
        <f t="shared" ca="1" si="102"/>
        <v>2046377.763905413</v>
      </c>
      <c r="AQ104" s="2">
        <f t="shared" ca="1" si="103"/>
        <v>870176.65972476592</v>
      </c>
      <c r="AR104" s="2">
        <f t="shared" ca="1" si="104"/>
        <v>950135.20024684165</v>
      </c>
      <c r="AS104" s="2">
        <f t="shared" ca="1" si="105"/>
        <v>995904.5433647827</v>
      </c>
      <c r="AT104" s="2">
        <f t="shared" ca="1" si="106"/>
        <v>1043087.2194140332</v>
      </c>
      <c r="AU104" s="2">
        <f t="shared" ca="1" si="107"/>
        <v>1091726.8713625411</v>
      </c>
      <c r="AV104" s="2">
        <f t="shared" ca="1" si="108"/>
        <v>2476656.6469089487</v>
      </c>
      <c r="AW104" s="2">
        <f t="shared" ca="1" si="109"/>
        <v>2688632.8521180223</v>
      </c>
      <c r="AX104" s="2">
        <f t="shared" ca="1" si="110"/>
        <v>2818417.7829761044</v>
      </c>
      <c r="AY104" s="2">
        <f t="shared" ca="1" si="111"/>
        <v>2952210.4033545884</v>
      </c>
      <c r="AZ104" s="2">
        <f t="shared" ca="1" si="112"/>
        <v>3090134.4685707181</v>
      </c>
      <c r="BA104" s="2">
        <f t="shared" ca="1" si="113"/>
        <v>54098357.752539515</v>
      </c>
      <c r="BB104" s="2">
        <f t="shared" ca="1" si="114"/>
        <v>1081967.1550507904</v>
      </c>
      <c r="BC104" s="2">
        <f t="shared" ca="1" si="115"/>
        <v>30278859.887428578</v>
      </c>
      <c r="BD104" s="2">
        <f t="shared" ca="1" si="116"/>
        <v>-16605750.919625938</v>
      </c>
      <c r="BE104" s="2">
        <f t="shared" ca="1" si="117"/>
        <v>2476656.6469089487</v>
      </c>
      <c r="BF104" s="2">
        <f t="shared" ca="1" si="118"/>
        <v>2688632.8521180223</v>
      </c>
      <c r="BG104" s="2">
        <f t="shared" ca="1" si="119"/>
        <v>2818417.7829761044</v>
      </c>
      <c r="BH104" s="2">
        <f t="shared" ca="1" si="120"/>
        <v>2952210.4033545884</v>
      </c>
      <c r="BI104" s="2">
        <f t="shared" ca="1" si="121"/>
        <v>33368994.355999295</v>
      </c>
      <c r="BJ104" s="2">
        <f t="shared" ca="1" si="122"/>
        <v>0.26267303973821332</v>
      </c>
      <c r="BK104" s="2">
        <f t="shared" ca="1" si="123"/>
        <v>10565652.043173838</v>
      </c>
    </row>
    <row r="105" spans="1:63" x14ac:dyDescent="0.3">
      <c r="A105" s="2">
        <v>104</v>
      </c>
      <c r="B105" s="2">
        <f t="shared" ca="1" si="62"/>
        <v>0.67716246166920757</v>
      </c>
      <c r="C105" s="2">
        <f t="shared" ca="1" si="63"/>
        <v>7.1964609053309321</v>
      </c>
      <c r="D105" s="2">
        <f t="shared" ca="1" si="64"/>
        <v>0.45131057128546681</v>
      </c>
      <c r="E105" s="2">
        <f t="shared" ca="1" si="65"/>
        <v>7.4500637571084027</v>
      </c>
      <c r="F105" s="2">
        <f t="shared" ca="1" si="66"/>
        <v>0.27241714009819018</v>
      </c>
      <c r="G105" s="2">
        <f t="shared" ca="1" si="67"/>
        <v>2.1834433435607332E-2</v>
      </c>
      <c r="H105" s="2">
        <f t="shared" ca="1" si="68"/>
        <v>2.1834433435607332E-2</v>
      </c>
      <c r="I105" s="2">
        <f t="shared" ca="1" si="69"/>
        <v>0.60870712202069199</v>
      </c>
      <c r="J105" s="2">
        <f t="shared" ca="1" si="70"/>
        <v>1.1379754646993274E-2</v>
      </c>
      <c r="K105" s="2">
        <f t="shared" ca="1" si="71"/>
        <v>1.1379754646993274E-2</v>
      </c>
      <c r="L105" s="2">
        <f t="shared" ca="1" si="72"/>
        <v>0.24126908643909151</v>
      </c>
      <c r="M105" s="2">
        <f t="shared" ca="1" si="73"/>
        <v>-1.4044521947299864E-2</v>
      </c>
      <c r="N105" s="2">
        <f t="shared" ca="1" si="74"/>
        <v>-1.4044521947299864E-2</v>
      </c>
      <c r="O105" s="2">
        <f t="shared" si="75"/>
        <v>6000000</v>
      </c>
      <c r="P105" s="2">
        <f t="shared" ca="1" si="76"/>
        <v>43178765.431985594</v>
      </c>
      <c r="Q105" s="2">
        <f t="shared" ca="1" si="77"/>
        <v>1079469.1357996399</v>
      </c>
      <c r="R105" s="2">
        <f t="shared" ca="1" si="78"/>
        <v>25907259.259191357</v>
      </c>
      <c r="S105" s="2">
        <f t="shared" ca="1" si="79"/>
        <v>17271506.172794238</v>
      </c>
      <c r="T105" s="2">
        <f t="shared" ca="1" si="80"/>
        <v>49297773.902635008</v>
      </c>
      <c r="U105" s="2">
        <f t="shared" ca="1" si="81"/>
        <v>50374162.865435712</v>
      </c>
      <c r="V105" s="2">
        <f t="shared" ca="1" si="82"/>
        <v>51474054.17139551</v>
      </c>
      <c r="W105" s="2">
        <f t="shared" ca="1" si="83"/>
        <v>52597960.980861694</v>
      </c>
      <c r="X105" s="2">
        <f t="shared" ca="1" si="84"/>
        <v>53746407.658746988</v>
      </c>
      <c r="Y105" s="2">
        <f t="shared" ca="1" si="85"/>
        <v>0.12568987732349662</v>
      </c>
      <c r="Z105" s="2">
        <f t="shared" ca="1" si="86"/>
        <v>0.12796582825289529</v>
      </c>
      <c r="AA105" s="2">
        <f t="shared" ca="1" si="87"/>
        <v>6196231.1541436678</v>
      </c>
      <c r="AB105" s="2">
        <f t="shared" ca="1" si="88"/>
        <v>6446171.4736217223</v>
      </c>
      <c r="AC105" s="2">
        <f t="shared" ca="1" si="89"/>
        <v>6586919.9755770266</v>
      </c>
      <c r="AD105" s="2">
        <f t="shared" ca="1" si="90"/>
        <v>6730741.6413294356</v>
      </c>
      <c r="AE105" s="2">
        <f t="shared" ca="1" si="91"/>
        <v>6877703.5716693131</v>
      </c>
      <c r="AF105" s="2">
        <f t="shared" ca="1" si="92"/>
        <v>985955.47805270017</v>
      </c>
      <c r="AG105" s="2">
        <f t="shared" ca="1" si="93"/>
        <v>1007483.2573087142</v>
      </c>
      <c r="AH105" s="2">
        <f t="shared" ca="1" si="94"/>
        <v>1029481.0834279102</v>
      </c>
      <c r="AI105" s="2">
        <f t="shared" ca="1" si="95"/>
        <v>1051959.2196172338</v>
      </c>
      <c r="AJ105" s="2">
        <f t="shared" ca="1" si="96"/>
        <v>1074928.1531749398</v>
      </c>
      <c r="AK105" s="2">
        <f t="shared" ca="1" si="97"/>
        <v>0</v>
      </c>
      <c r="AL105" s="2">
        <f t="shared" ca="1" si="98"/>
        <v>10763.88962800704</v>
      </c>
      <c r="AM105" s="2">
        <f t="shared" ca="1" si="99"/>
        <v>10998.913059597984</v>
      </c>
      <c r="AN105" s="2">
        <f t="shared" ca="1" si="100"/>
        <v>11239.068094661832</v>
      </c>
      <c r="AO105" s="2">
        <f t="shared" ca="1" si="101"/>
        <v>11484.46677885294</v>
      </c>
      <c r="AP105" s="2">
        <f t="shared" ca="1" si="102"/>
        <v>2331653.3333272221</v>
      </c>
      <c r="AQ105" s="2">
        <f t="shared" ca="1" si="103"/>
        <v>748441.8091185739</v>
      </c>
      <c r="AR105" s="2">
        <f t="shared" ca="1" si="104"/>
        <v>807829.06957630441</v>
      </c>
      <c r="AS105" s="2">
        <f t="shared" ca="1" si="105"/>
        <v>838704.24529369269</v>
      </c>
      <c r="AT105" s="2">
        <f t="shared" ca="1" si="106"/>
        <v>870253.56298009481</v>
      </c>
      <c r="AU105" s="2">
        <f t="shared" ca="1" si="107"/>
        <v>902491.74214345939</v>
      </c>
      <c r="AV105" s="2">
        <f t="shared" ca="1" si="108"/>
        <v>2130180.5336451721</v>
      </c>
      <c r="AW105" s="2">
        <f t="shared" ca="1" si="109"/>
        <v>2288441.9237814746</v>
      </c>
      <c r="AX105" s="2">
        <f t="shared" ca="1" si="110"/>
        <v>2376082.4004686042</v>
      </c>
      <c r="AY105" s="2">
        <f t="shared" ca="1" si="111"/>
        <v>2465636.4573102235</v>
      </c>
      <c r="AZ105" s="2">
        <f t="shared" ca="1" si="112"/>
        <v>2557145.8762448388</v>
      </c>
      <c r="BA105" s="2">
        <f t="shared" ca="1" si="113"/>
        <v>51239330.111428566</v>
      </c>
      <c r="BB105" s="2">
        <f t="shared" ca="1" si="114"/>
        <v>1024786.6022285713</v>
      </c>
      <c r="BC105" s="2">
        <f t="shared" ca="1" si="115"/>
        <v>24307284.250008639</v>
      </c>
      <c r="BD105" s="2">
        <f t="shared" ca="1" si="116"/>
        <v>-18850975.308593877</v>
      </c>
      <c r="BE105" s="2">
        <f t="shared" ca="1" si="117"/>
        <v>2130180.5336451721</v>
      </c>
      <c r="BF105" s="2">
        <f t="shared" ca="1" si="118"/>
        <v>2288441.9237814746</v>
      </c>
      <c r="BG105" s="2">
        <f t="shared" ca="1" si="119"/>
        <v>2376082.4004686042</v>
      </c>
      <c r="BH105" s="2">
        <f t="shared" ca="1" si="120"/>
        <v>2465636.4573102235</v>
      </c>
      <c r="BI105" s="2">
        <f t="shared" ca="1" si="121"/>
        <v>26864430.126253478</v>
      </c>
      <c r="BJ105" s="2">
        <f t="shared" ca="1" si="122"/>
        <v>0.1653492690178302</v>
      </c>
      <c r="BK105" s="2">
        <f t="shared" ca="1" si="123"/>
        <v>3377107.6676534601</v>
      </c>
    </row>
    <row r="106" spans="1:63" x14ac:dyDescent="0.3">
      <c r="A106" s="2">
        <v>105</v>
      </c>
      <c r="B106" s="2">
        <f t="shared" ca="1" si="62"/>
        <v>0.70096209626536499</v>
      </c>
      <c r="C106" s="2">
        <f t="shared" ca="1" si="63"/>
        <v>7.2266463891147401</v>
      </c>
      <c r="D106" s="2">
        <f t="shared" ca="1" si="64"/>
        <v>0.46529025960665571</v>
      </c>
      <c r="E106" s="2">
        <f t="shared" ca="1" si="65"/>
        <v>7.4646660143351742</v>
      </c>
      <c r="F106" s="2">
        <f t="shared" ca="1" si="66"/>
        <v>0.72276279440269264</v>
      </c>
      <c r="G106" s="2">
        <f t="shared" ca="1" si="67"/>
        <v>5.7732060086222822E-2</v>
      </c>
      <c r="H106" s="2">
        <f t="shared" ca="1" si="68"/>
        <v>5.7732060086222822E-2</v>
      </c>
      <c r="I106" s="2">
        <f t="shared" ca="1" si="69"/>
        <v>0.40711590196823333</v>
      </c>
      <c r="J106" s="2">
        <f t="shared" ca="1" si="70"/>
        <v>8.8251486214350802E-3</v>
      </c>
      <c r="K106" s="2">
        <f t="shared" ca="1" si="71"/>
        <v>8.8251486214350802E-3</v>
      </c>
      <c r="L106" s="2">
        <f t="shared" ca="1" si="72"/>
        <v>0.1291514996526576</v>
      </c>
      <c r="M106" s="2">
        <f t="shared" ca="1" si="73"/>
        <v>-2.2608223887485374E-2</v>
      </c>
      <c r="N106" s="2">
        <f t="shared" ca="1" si="74"/>
        <v>-2.2608223887485374E-2</v>
      </c>
      <c r="O106" s="2">
        <f t="shared" si="75"/>
        <v>6000000</v>
      </c>
      <c r="P106" s="2">
        <f t="shared" ca="1" si="76"/>
        <v>43359878.33468844</v>
      </c>
      <c r="Q106" s="2">
        <f t="shared" ca="1" si="77"/>
        <v>1083996.958367211</v>
      </c>
      <c r="R106" s="2">
        <f t="shared" ca="1" si="78"/>
        <v>26015927.000813063</v>
      </c>
      <c r="S106" s="2">
        <f t="shared" ca="1" si="79"/>
        <v>17343951.333875377</v>
      </c>
      <c r="T106" s="2">
        <f t="shared" ca="1" si="80"/>
        <v>48869588.805625729</v>
      </c>
      <c r="U106" s="2">
        <f t="shared" ca="1" si="81"/>
        <v>51690930.842941113</v>
      </c>
      <c r="V106" s="2">
        <f t="shared" ca="1" si="82"/>
        <v>54675154.768278576</v>
      </c>
      <c r="W106" s="2">
        <f t="shared" ca="1" si="83"/>
        <v>57831664.088584363</v>
      </c>
      <c r="X106" s="2">
        <f t="shared" ca="1" si="84"/>
        <v>61170405.194632769</v>
      </c>
      <c r="Y106" s="2">
        <f t="shared" ca="1" si="85"/>
        <v>0.12441257431071753</v>
      </c>
      <c r="Z106" s="2">
        <f t="shared" ca="1" si="86"/>
        <v>0.12617760403500455</v>
      </c>
      <c r="AA106" s="2">
        <f t="shared" ca="1" si="87"/>
        <v>6079991.3488141205</v>
      </c>
      <c r="AB106" s="2">
        <f t="shared" ca="1" si="88"/>
        <v>6522237.804101428</v>
      </c>
      <c r="AC106" s="2">
        <f t="shared" ca="1" si="89"/>
        <v>6898780.0289044455</v>
      </c>
      <c r="AD106" s="2">
        <f t="shared" ca="1" si="90"/>
        <v>7297060.8120547906</v>
      </c>
      <c r="AE106" s="2">
        <f t="shared" ca="1" si="91"/>
        <v>7718335.1653091591</v>
      </c>
      <c r="AF106" s="2">
        <f t="shared" ca="1" si="92"/>
        <v>977391.77611251455</v>
      </c>
      <c r="AG106" s="2">
        <f t="shared" ca="1" si="93"/>
        <v>1033818.6168588223</v>
      </c>
      <c r="AH106" s="2">
        <f t="shared" ca="1" si="94"/>
        <v>1093503.0953655716</v>
      </c>
      <c r="AI106" s="2">
        <f t="shared" ca="1" si="95"/>
        <v>1156633.2817716873</v>
      </c>
      <c r="AJ106" s="2">
        <f t="shared" ca="1" si="96"/>
        <v>1223408.1038926553</v>
      </c>
      <c r="AK106" s="2">
        <f t="shared" ca="1" si="97"/>
        <v>0</v>
      </c>
      <c r="AL106" s="2">
        <f t="shared" ca="1" si="98"/>
        <v>28213.420373153836</v>
      </c>
      <c r="AM106" s="2">
        <f t="shared" ca="1" si="99"/>
        <v>29842.239253374635</v>
      </c>
      <c r="AN106" s="2">
        <f t="shared" ca="1" si="100"/>
        <v>31565.09320305787</v>
      </c>
      <c r="AO106" s="2">
        <f t="shared" ca="1" si="101"/>
        <v>33387.411060484053</v>
      </c>
      <c r="AP106" s="2">
        <f t="shared" ca="1" si="102"/>
        <v>2341433.4300731756</v>
      </c>
      <c r="AQ106" s="2">
        <f t="shared" ca="1" si="103"/>
        <v>717903.19708339195</v>
      </c>
      <c r="AR106" s="2">
        <f t="shared" ca="1" si="104"/>
        <v>818216.29686405184</v>
      </c>
      <c r="AS106" s="2">
        <f t="shared" ca="1" si="105"/>
        <v>900599.31090108154</v>
      </c>
      <c r="AT106" s="2">
        <f t="shared" ca="1" si="106"/>
        <v>987738.46605458111</v>
      </c>
      <c r="AU106" s="2">
        <f t="shared" ca="1" si="107"/>
        <v>1079908.3441492654</v>
      </c>
      <c r="AV106" s="2">
        <f t="shared" ca="1" si="108"/>
        <v>2043262.9455450382</v>
      </c>
      <c r="AW106" s="2">
        <f t="shared" ca="1" si="109"/>
        <v>2300556.0399322249</v>
      </c>
      <c r="AX106" s="2">
        <f t="shared" ca="1" si="110"/>
        <v>2533401.9533112422</v>
      </c>
      <c r="AY106" s="2">
        <f t="shared" ca="1" si="111"/>
        <v>2779690.5409522885</v>
      </c>
      <c r="AZ106" s="2">
        <f t="shared" ca="1" si="112"/>
        <v>3040197.8761335788</v>
      </c>
      <c r="BA106" s="2">
        <f t="shared" ca="1" si="113"/>
        <v>57614794.195731342</v>
      </c>
      <c r="BB106" s="2">
        <f t="shared" ca="1" si="114"/>
        <v>1152295.8839146269</v>
      </c>
      <c r="BC106" s="2">
        <f t="shared" ca="1" si="115"/>
        <v>30446571.311003651</v>
      </c>
      <c r="BD106" s="2">
        <f t="shared" ca="1" si="116"/>
        <v>-18927948.292242587</v>
      </c>
      <c r="BE106" s="2">
        <f t="shared" ca="1" si="117"/>
        <v>2043262.9455450382</v>
      </c>
      <c r="BF106" s="2">
        <f t="shared" ca="1" si="118"/>
        <v>2300556.0399322249</v>
      </c>
      <c r="BG106" s="2">
        <f t="shared" ca="1" si="119"/>
        <v>2533401.9533112422</v>
      </c>
      <c r="BH106" s="2">
        <f t="shared" ca="1" si="120"/>
        <v>2779690.5409522885</v>
      </c>
      <c r="BI106" s="2">
        <f t="shared" ca="1" si="121"/>
        <v>33486769.187137231</v>
      </c>
      <c r="BJ106" s="2">
        <f t="shared" ca="1" si="122"/>
        <v>0.20953091431815096</v>
      </c>
      <c r="BK106" s="2">
        <f t="shared" ca="1" si="123"/>
        <v>7301444.0227363035</v>
      </c>
    </row>
    <row r="107" spans="1:63" x14ac:dyDescent="0.3">
      <c r="A107" s="2">
        <v>106</v>
      </c>
      <c r="B107" s="2">
        <f t="shared" ca="1" si="62"/>
        <v>0.67559742327311378</v>
      </c>
      <c r="C107" s="2">
        <f t="shared" ca="1" si="63"/>
        <v>7.1945155783916288</v>
      </c>
      <c r="D107" s="2">
        <f t="shared" ca="1" si="64"/>
        <v>0.55262601698701819</v>
      </c>
      <c r="E107" s="2">
        <f t="shared" ca="1" si="65"/>
        <v>7.5540888170520644</v>
      </c>
      <c r="F107" s="2">
        <f t="shared" ca="1" si="66"/>
        <v>0.76103328391027214</v>
      </c>
      <c r="G107" s="2">
        <f t="shared" ca="1" si="67"/>
        <v>6.1288908645060453E-2</v>
      </c>
      <c r="H107" s="2">
        <f t="shared" ca="1" si="68"/>
        <v>6.1288908645060453E-2</v>
      </c>
      <c r="I107" s="2">
        <f t="shared" ca="1" si="69"/>
        <v>0.41050296087186533</v>
      </c>
      <c r="J107" s="2">
        <f t="shared" ca="1" si="70"/>
        <v>8.8687431689182562E-3</v>
      </c>
      <c r="K107" s="2">
        <f t="shared" ca="1" si="71"/>
        <v>8.8687431689182562E-3</v>
      </c>
      <c r="L107" s="2">
        <f t="shared" ca="1" si="72"/>
        <v>0.5915014380773278</v>
      </c>
      <c r="M107" s="2">
        <f t="shared" ca="1" si="73"/>
        <v>4.628178714427872E-3</v>
      </c>
      <c r="N107" s="2">
        <f t="shared" ca="1" si="74"/>
        <v>4.628178714427872E-3</v>
      </c>
      <c r="O107" s="2">
        <f t="shared" si="75"/>
        <v>6000000</v>
      </c>
      <c r="P107" s="2">
        <f t="shared" ca="1" si="76"/>
        <v>43167093.470349774</v>
      </c>
      <c r="Q107" s="2">
        <f t="shared" ca="1" si="77"/>
        <v>1079177.3367587444</v>
      </c>
      <c r="R107" s="2">
        <f t="shared" ca="1" si="78"/>
        <v>25900256.082209863</v>
      </c>
      <c r="S107" s="2">
        <f t="shared" ca="1" si="79"/>
        <v>17266837.388139911</v>
      </c>
      <c r="T107" s="2">
        <f t="shared" ca="1" si="80"/>
        <v>50231408.93572139</v>
      </c>
      <c r="U107" s="2">
        <f t="shared" ca="1" si="81"/>
        <v>53310037.169095494</v>
      </c>
      <c r="V107" s="2">
        <f t="shared" ca="1" si="82"/>
        <v>56577351.167016968</v>
      </c>
      <c r="W107" s="2">
        <f t="shared" ca="1" si="83"/>
        <v>60044915.274071783</v>
      </c>
      <c r="X107" s="2">
        <f t="shared" ca="1" si="84"/>
        <v>63725002.60090477</v>
      </c>
      <c r="Y107" s="2">
        <f t="shared" ca="1" si="85"/>
        <v>0.12443437158445912</v>
      </c>
      <c r="Z107" s="2">
        <f t="shared" ca="1" si="86"/>
        <v>0.12620812021824276</v>
      </c>
      <c r="AA107" s="2">
        <f t="shared" ca="1" si="87"/>
        <v>6250513.8047184758</v>
      </c>
      <c r="AB107" s="2">
        <f t="shared" ca="1" si="88"/>
        <v>6728159.5798761947</v>
      </c>
      <c r="AC107" s="2">
        <f t="shared" ca="1" si="89"/>
        <v>7140521.1377166146</v>
      </c>
      <c r="AD107" s="2">
        <f t="shared" ca="1" si="90"/>
        <v>7578155.8854042524</v>
      </c>
      <c r="AE107" s="2">
        <f t="shared" ca="1" si="91"/>
        <v>8042612.7891628221</v>
      </c>
      <c r="AF107" s="2">
        <f t="shared" ca="1" si="92"/>
        <v>1004628.1787144279</v>
      </c>
      <c r="AG107" s="2">
        <f t="shared" ca="1" si="93"/>
        <v>1066200.7433819098</v>
      </c>
      <c r="AH107" s="2">
        <f t="shared" ca="1" si="94"/>
        <v>1131547.0233403393</v>
      </c>
      <c r="AI107" s="2">
        <f t="shared" ca="1" si="95"/>
        <v>1200898.3054814357</v>
      </c>
      <c r="AJ107" s="2">
        <f t="shared" ca="1" si="96"/>
        <v>1274500.0520180955</v>
      </c>
      <c r="AK107" s="2">
        <f t="shared" ca="1" si="97"/>
        <v>0</v>
      </c>
      <c r="AL107" s="2">
        <f t="shared" ca="1" si="98"/>
        <v>30786.282333741041</v>
      </c>
      <c r="AM107" s="2">
        <f t="shared" ca="1" si="99"/>
        <v>32673.139979214742</v>
      </c>
      <c r="AN107" s="2">
        <f t="shared" ca="1" si="100"/>
        <v>34675.641070548147</v>
      </c>
      <c r="AO107" s="2">
        <f t="shared" ca="1" si="101"/>
        <v>36800.873268329873</v>
      </c>
      <c r="AP107" s="2">
        <f t="shared" ca="1" si="102"/>
        <v>2331023.0473988876</v>
      </c>
      <c r="AQ107" s="2">
        <f t="shared" ca="1" si="103"/>
        <v>757864.27043734165</v>
      </c>
      <c r="AR107" s="2">
        <f t="shared" ca="1" si="104"/>
        <v>866043.30516480329</v>
      </c>
      <c r="AS107" s="2">
        <f t="shared" ca="1" si="105"/>
        <v>956267.27741412073</v>
      </c>
      <c r="AT107" s="2">
        <f t="shared" ca="1" si="106"/>
        <v>1052020.9784562215</v>
      </c>
      <c r="AU107" s="2">
        <f t="shared" ca="1" si="107"/>
        <v>1153643.3193339182</v>
      </c>
      <c r="AV107" s="2">
        <f t="shared" ca="1" si="108"/>
        <v>2156998.3081678189</v>
      </c>
      <c r="AW107" s="2">
        <f t="shared" ca="1" si="109"/>
        <v>2434106.2015968524</v>
      </c>
      <c r="AX107" s="2">
        <f t="shared" ca="1" si="110"/>
        <v>2689010.6495840522</v>
      </c>
      <c r="AY107" s="2">
        <f t="shared" ca="1" si="111"/>
        <v>2959537.9129971592</v>
      </c>
      <c r="AZ107" s="2">
        <f t="shared" ca="1" si="112"/>
        <v>3246645.4971435908</v>
      </c>
      <c r="BA107" s="2">
        <f t="shared" ca="1" si="113"/>
        <v>60754611.330494784</v>
      </c>
      <c r="BB107" s="2">
        <f t="shared" ca="1" si="114"/>
        <v>1215092.2266098957</v>
      </c>
      <c r="BC107" s="2">
        <f t="shared" ca="1" si="115"/>
        <v>33639263.021675028</v>
      </c>
      <c r="BD107" s="2">
        <f t="shared" ca="1" si="116"/>
        <v>-18846014.724898655</v>
      </c>
      <c r="BE107" s="2">
        <f t="shared" ca="1" si="117"/>
        <v>2156998.3081678189</v>
      </c>
      <c r="BF107" s="2">
        <f t="shared" ca="1" si="118"/>
        <v>2434106.2015968524</v>
      </c>
      <c r="BG107" s="2">
        <f t="shared" ca="1" si="119"/>
        <v>2689010.6495840522</v>
      </c>
      <c r="BH107" s="2">
        <f t="shared" ca="1" si="120"/>
        <v>2959537.9129971592</v>
      </c>
      <c r="BI107" s="2">
        <f t="shared" ca="1" si="121"/>
        <v>36885908.518818617</v>
      </c>
      <c r="BJ107" s="2">
        <f t="shared" ca="1" si="122"/>
        <v>0.23555181597892383</v>
      </c>
      <c r="BK107" s="2">
        <f t="shared" ca="1" si="123"/>
        <v>9745210.7880269103</v>
      </c>
    </row>
    <row r="108" spans="1:63" x14ac:dyDescent="0.3">
      <c r="A108" s="2">
        <v>107</v>
      </c>
      <c r="B108" s="2">
        <f t="shared" ca="1" si="62"/>
        <v>0.52885834985853941</v>
      </c>
      <c r="C108" s="2">
        <f t="shared" ca="1" si="63"/>
        <v>7.0292872205008727</v>
      </c>
      <c r="D108" s="2">
        <f t="shared" ca="1" si="64"/>
        <v>0.98575735440389123</v>
      </c>
      <c r="E108" s="2">
        <f t="shared" ca="1" si="65"/>
        <v>8.3312241391898194</v>
      </c>
      <c r="F108" s="2">
        <f t="shared" ca="1" si="66"/>
        <v>0.58808421131102662</v>
      </c>
      <c r="G108" s="2">
        <f t="shared" ca="1" si="67"/>
        <v>4.6678588125546559E-2</v>
      </c>
      <c r="H108" s="2">
        <f t="shared" ca="1" si="68"/>
        <v>4.6678588125546559E-2</v>
      </c>
      <c r="I108" s="2">
        <f t="shared" ca="1" si="69"/>
        <v>0.87371195796851142</v>
      </c>
      <c r="J108" s="2">
        <f t="shared" ca="1" si="70"/>
        <v>1.572057335576087E-2</v>
      </c>
      <c r="K108" s="2">
        <f t="shared" ca="1" si="71"/>
        <v>1.572057335576087E-2</v>
      </c>
      <c r="L108" s="2">
        <f t="shared" ca="1" si="72"/>
        <v>6.2901333503963985E-2</v>
      </c>
      <c r="M108" s="2">
        <f t="shared" ca="1" si="73"/>
        <v>-3.0617307600387049E-2</v>
      </c>
      <c r="N108" s="2">
        <f t="shared" ca="1" si="74"/>
        <v>-3.0617307600387049E-2</v>
      </c>
      <c r="O108" s="2">
        <f t="shared" si="75"/>
        <v>6000000</v>
      </c>
      <c r="P108" s="2">
        <f t="shared" ca="1" si="76"/>
        <v>42175723.323005237</v>
      </c>
      <c r="Q108" s="2">
        <f t="shared" ca="1" si="77"/>
        <v>1054393.0830751311</v>
      </c>
      <c r="R108" s="2">
        <f t="shared" ca="1" si="78"/>
        <v>25305433.99380314</v>
      </c>
      <c r="S108" s="2">
        <f t="shared" ca="1" si="79"/>
        <v>16870289.329202097</v>
      </c>
      <c r="T108" s="2">
        <f t="shared" ca="1" si="80"/>
        <v>48469134.619980648</v>
      </c>
      <c r="U108" s="2">
        <f t="shared" ca="1" si="81"/>
        <v>50731605.391708389</v>
      </c>
      <c r="V108" s="2">
        <f t="shared" ca="1" si="82"/>
        <v>53099685.104735695</v>
      </c>
      <c r="W108" s="2">
        <f t="shared" ca="1" si="83"/>
        <v>55578303.435335867</v>
      </c>
      <c r="X108" s="2">
        <f t="shared" ca="1" si="84"/>
        <v>58172620.170110554</v>
      </c>
      <c r="Y108" s="2">
        <f t="shared" ca="1" si="85"/>
        <v>0.12786028667788044</v>
      </c>
      <c r="Z108" s="2">
        <f t="shared" ca="1" si="86"/>
        <v>0.1310044013490326</v>
      </c>
      <c r="AA108" s="2">
        <f t="shared" ca="1" si="87"/>
        <v>6197277.4475395055</v>
      </c>
      <c r="AB108" s="2">
        <f t="shared" ca="1" si="88"/>
        <v>6646063.5938161118</v>
      </c>
      <c r="AC108" s="2">
        <f t="shared" ca="1" si="89"/>
        <v>6956292.4589680433</v>
      </c>
      <c r="AD108" s="2">
        <f t="shared" ca="1" si="90"/>
        <v>7281002.3695410574</v>
      </c>
      <c r="AE108" s="2">
        <f t="shared" ca="1" si="91"/>
        <v>7620869.2802899918</v>
      </c>
      <c r="AF108" s="2">
        <f t="shared" ca="1" si="92"/>
        <v>969382.69239961298</v>
      </c>
      <c r="AG108" s="2">
        <f t="shared" ca="1" si="93"/>
        <v>1014632.1078341678</v>
      </c>
      <c r="AH108" s="2">
        <f t="shared" ca="1" si="94"/>
        <v>1061993.7020947139</v>
      </c>
      <c r="AI108" s="2">
        <f t="shared" ca="1" si="95"/>
        <v>1111566.0687067173</v>
      </c>
      <c r="AJ108" s="2">
        <f t="shared" ca="1" si="96"/>
        <v>1163452.4034022111</v>
      </c>
      <c r="AK108" s="2">
        <f t="shared" ca="1" si="97"/>
        <v>0</v>
      </c>
      <c r="AL108" s="2">
        <f t="shared" ca="1" si="98"/>
        <v>22624.707717277408</v>
      </c>
      <c r="AM108" s="2">
        <f t="shared" ca="1" si="99"/>
        <v>23680.797130273058</v>
      </c>
      <c r="AN108" s="2">
        <f t="shared" ca="1" si="100"/>
        <v>24786.183306001723</v>
      </c>
      <c r="AO108" s="2">
        <f t="shared" ca="1" si="101"/>
        <v>25943.167347746865</v>
      </c>
      <c r="AP108" s="2">
        <f t="shared" ca="1" si="102"/>
        <v>2277489.0594422827</v>
      </c>
      <c r="AQ108" s="2">
        <f t="shared" ca="1" si="103"/>
        <v>767105.48088137875</v>
      </c>
      <c r="AR108" s="2">
        <f t="shared" ca="1" si="104"/>
        <v>872025.03090031201</v>
      </c>
      <c r="AS108" s="2">
        <f t="shared" ca="1" si="105"/>
        <v>940370.52133207209</v>
      </c>
      <c r="AT108" s="2">
        <f t="shared" ca="1" si="106"/>
        <v>1011906.2827619349</v>
      </c>
      <c r="AU108" s="2">
        <f t="shared" ca="1" si="107"/>
        <v>1086781.2325358295</v>
      </c>
      <c r="AV108" s="2">
        <f t="shared" ca="1" si="108"/>
        <v>2183300.2148162313</v>
      </c>
      <c r="AW108" s="2">
        <f t="shared" ca="1" si="109"/>
        <v>2459292.6879220726</v>
      </c>
      <c r="AX108" s="2">
        <f t="shared" ca="1" si="110"/>
        <v>2652758.3789687017</v>
      </c>
      <c r="AY108" s="2">
        <f t="shared" ca="1" si="111"/>
        <v>2855254.7753241202</v>
      </c>
      <c r="AZ108" s="2">
        <f t="shared" ca="1" si="112"/>
        <v>3067203.4175619213</v>
      </c>
      <c r="BA108" s="2">
        <f t="shared" ca="1" si="113"/>
        <v>63491170.109562129</v>
      </c>
      <c r="BB108" s="2">
        <f t="shared" ca="1" si="114"/>
        <v>1269823.4021912427</v>
      </c>
      <c r="BC108" s="2">
        <f t="shared" ca="1" si="115"/>
        <v>36915912.713567741</v>
      </c>
      <c r="BD108" s="2">
        <f t="shared" ca="1" si="116"/>
        <v>-18424682.412277229</v>
      </c>
      <c r="BE108" s="2">
        <f t="shared" ca="1" si="117"/>
        <v>2183300.2148162313</v>
      </c>
      <c r="BF108" s="2">
        <f t="shared" ca="1" si="118"/>
        <v>2459292.6879220726</v>
      </c>
      <c r="BG108" s="2">
        <f t="shared" ca="1" si="119"/>
        <v>2652758.3789687017</v>
      </c>
      <c r="BH108" s="2">
        <f t="shared" ca="1" si="120"/>
        <v>2855254.7753241202</v>
      </c>
      <c r="BI108" s="2">
        <f t="shared" ca="1" si="121"/>
        <v>39983116.13112966</v>
      </c>
      <c r="BJ108" s="2">
        <f t="shared" ca="1" si="122"/>
        <v>0.25845385903689699</v>
      </c>
      <c r="BK108" s="2">
        <f t="shared" ca="1" si="123"/>
        <v>11875466.7661006</v>
      </c>
    </row>
    <row r="109" spans="1:63" x14ac:dyDescent="0.3">
      <c r="A109" s="2">
        <v>108</v>
      </c>
      <c r="B109" s="2">
        <f t="shared" ca="1" si="62"/>
        <v>9.8670941569504067E-2</v>
      </c>
      <c r="C109" s="2">
        <f t="shared" ca="1" si="63"/>
        <v>6.4442317898788968</v>
      </c>
      <c r="D109" s="2">
        <f t="shared" ca="1" si="64"/>
        <v>0.10635851757099657</v>
      </c>
      <c r="E109" s="2">
        <f t="shared" ca="1" si="65"/>
        <v>6.9612125704509724</v>
      </c>
      <c r="F109" s="2">
        <f t="shared" ca="1" si="66"/>
        <v>0.15574433503455953</v>
      </c>
      <c r="G109" s="2">
        <f t="shared" ca="1" si="67"/>
        <v>9.6369013356814061E-3</v>
      </c>
      <c r="H109" s="2">
        <f t="shared" ca="1" si="68"/>
        <v>9.6369013356814061E-3</v>
      </c>
      <c r="I109" s="2">
        <f t="shared" ca="1" si="69"/>
        <v>0.99086665009398889</v>
      </c>
      <c r="J109" s="2">
        <f t="shared" ca="1" si="70"/>
        <v>2.1800836018028815E-2</v>
      </c>
      <c r="K109" s="2">
        <f t="shared" ca="1" si="71"/>
        <v>2.1800836018028815E-2</v>
      </c>
      <c r="L109" s="2">
        <f t="shared" ca="1" si="72"/>
        <v>0.62684524934262476</v>
      </c>
      <c r="M109" s="2">
        <f t="shared" ca="1" si="73"/>
        <v>6.4701876954593339E-3</v>
      </c>
      <c r="N109" s="2">
        <f t="shared" ca="1" si="74"/>
        <v>6.4701876954593339E-3</v>
      </c>
      <c r="O109" s="2">
        <f t="shared" si="75"/>
        <v>6000000</v>
      </c>
      <c r="P109" s="2">
        <f t="shared" ca="1" si="76"/>
        <v>38665390.739273384</v>
      </c>
      <c r="Q109" s="2">
        <f t="shared" ca="1" si="77"/>
        <v>966634.76848183468</v>
      </c>
      <c r="R109" s="2">
        <f t="shared" ca="1" si="78"/>
        <v>23199234.443564031</v>
      </c>
      <c r="S109" s="2">
        <f t="shared" ca="1" si="79"/>
        <v>15466156.295709355</v>
      </c>
      <c r="T109" s="2">
        <f t="shared" ca="1" si="80"/>
        <v>50323509.384772971</v>
      </c>
      <c r="U109" s="2">
        <f t="shared" ca="1" si="81"/>
        <v>50808472.079579264</v>
      </c>
      <c r="V109" s="2">
        <f t="shared" ca="1" si="82"/>
        <v>51298108.312026896</v>
      </c>
      <c r="W109" s="2">
        <f t="shared" ca="1" si="83"/>
        <v>51792463.120536998</v>
      </c>
      <c r="X109" s="2">
        <f t="shared" ca="1" si="84"/>
        <v>52291581.977561533</v>
      </c>
      <c r="Y109" s="2">
        <f t="shared" ca="1" si="85"/>
        <v>0.13090041800901439</v>
      </c>
      <c r="Z109" s="2">
        <f t="shared" ca="1" si="86"/>
        <v>0.13526058521262016</v>
      </c>
      <c r="AA109" s="2">
        <f t="shared" ca="1" si="87"/>
        <v>6587368.4141473407</v>
      </c>
      <c r="AB109" s="2">
        <f t="shared" ca="1" si="88"/>
        <v>6872383.6672429629</v>
      </c>
      <c r="AC109" s="2">
        <f t="shared" ca="1" si="89"/>
        <v>6938612.1505851327</v>
      </c>
      <c r="AD109" s="2">
        <f t="shared" ca="1" si="90"/>
        <v>7005478.8712868821</v>
      </c>
      <c r="AE109" s="2">
        <f t="shared" ca="1" si="91"/>
        <v>7072989.9799786741</v>
      </c>
      <c r="AF109" s="2">
        <f t="shared" ca="1" si="92"/>
        <v>1006470.1876954595</v>
      </c>
      <c r="AG109" s="2">
        <f t="shared" ca="1" si="93"/>
        <v>1016169.4415915853</v>
      </c>
      <c r="AH109" s="2">
        <f t="shared" ca="1" si="94"/>
        <v>1025962.1662405379</v>
      </c>
      <c r="AI109" s="2">
        <f t="shared" ca="1" si="95"/>
        <v>1035849.26241074</v>
      </c>
      <c r="AJ109" s="2">
        <f t="shared" ca="1" si="96"/>
        <v>1045831.6395512307</v>
      </c>
      <c r="AK109" s="2">
        <f t="shared" ca="1" si="97"/>
        <v>0</v>
      </c>
      <c r="AL109" s="2">
        <f t="shared" ca="1" si="98"/>
        <v>4849.6269480629262</v>
      </c>
      <c r="AM109" s="2">
        <f t="shared" ca="1" si="99"/>
        <v>4896.3623244763166</v>
      </c>
      <c r="AN109" s="2">
        <f t="shared" ca="1" si="100"/>
        <v>4943.5480851010234</v>
      </c>
      <c r="AO109" s="2">
        <f t="shared" ca="1" si="101"/>
        <v>4991.1885702453555</v>
      </c>
      <c r="AP109" s="2">
        <f t="shared" ca="1" si="102"/>
        <v>2087931.0999207627</v>
      </c>
      <c r="AQ109" s="2">
        <f t="shared" ca="1" si="103"/>
        <v>908171.45289809082</v>
      </c>
      <c r="AR109" s="2">
        <f t="shared" ca="1" si="104"/>
        <v>979753.61268995993</v>
      </c>
      <c r="AS109" s="2">
        <f t="shared" ca="1" si="105"/>
        <v>994426.90995019651</v>
      </c>
      <c r="AT109" s="2">
        <f t="shared" ca="1" si="106"/>
        <v>1009241.6123283986</v>
      </c>
      <c r="AU109" s="2">
        <f t="shared" ca="1" si="107"/>
        <v>1024199.082531737</v>
      </c>
      <c r="AV109" s="2">
        <f t="shared" ca="1" si="108"/>
        <v>2584795.6736330278</v>
      </c>
      <c r="AW109" s="2">
        <f t="shared" ca="1" si="109"/>
        <v>2783679.886092592</v>
      </c>
      <c r="AX109" s="2">
        <f t="shared" ca="1" si="110"/>
        <v>2825395.6121491594</v>
      </c>
      <c r="AY109" s="2">
        <f t="shared" ca="1" si="111"/>
        <v>2867513.3485418791</v>
      </c>
      <c r="AZ109" s="2">
        <f t="shared" ca="1" si="112"/>
        <v>2910036.9694046983</v>
      </c>
      <c r="BA109" s="2">
        <f t="shared" ca="1" si="113"/>
        <v>49236586.75930132</v>
      </c>
      <c r="BB109" s="2">
        <f t="shared" ca="1" si="114"/>
        <v>984731.73518602643</v>
      </c>
      <c r="BC109" s="2">
        <f t="shared" ca="1" si="115"/>
        <v>25052620.580551263</v>
      </c>
      <c r="BD109" s="2">
        <f t="shared" ca="1" si="116"/>
        <v>-16932791.064191189</v>
      </c>
      <c r="BE109" s="2">
        <f t="shared" ca="1" si="117"/>
        <v>2584795.6736330278</v>
      </c>
      <c r="BF109" s="2">
        <f t="shared" ca="1" si="118"/>
        <v>2783679.886092592</v>
      </c>
      <c r="BG109" s="2">
        <f t="shared" ca="1" si="119"/>
        <v>2825395.6121491594</v>
      </c>
      <c r="BH109" s="2">
        <f t="shared" ca="1" si="120"/>
        <v>2867513.3485418791</v>
      </c>
      <c r="BI109" s="2">
        <f t="shared" ca="1" si="121"/>
        <v>27962657.54995596</v>
      </c>
      <c r="BJ109" s="2">
        <f t="shared" ca="1" si="122"/>
        <v>0.22461865433257255</v>
      </c>
      <c r="BK109" s="2">
        <f t="shared" ca="1" si="123"/>
        <v>7294374.9912526868</v>
      </c>
    </row>
    <row r="110" spans="1:63" x14ac:dyDescent="0.3">
      <c r="A110" s="2">
        <v>109</v>
      </c>
      <c r="B110" s="2">
        <f t="shared" ca="1" si="62"/>
        <v>0.6084916775282927</v>
      </c>
      <c r="C110" s="2">
        <f t="shared" ca="1" si="63"/>
        <v>7.1151177225509521</v>
      </c>
      <c r="D110" s="2">
        <f t="shared" ca="1" si="64"/>
        <v>0.48605636889769854</v>
      </c>
      <c r="E110" s="2">
        <f t="shared" ca="1" si="65"/>
        <v>7.4859577768826604</v>
      </c>
      <c r="F110" s="2">
        <f t="shared" ca="1" si="66"/>
        <v>0.65043148490012492</v>
      </c>
      <c r="G110" s="2">
        <f t="shared" ca="1" si="67"/>
        <v>5.1594569420942829E-2</v>
      </c>
      <c r="H110" s="2">
        <f t="shared" ca="1" si="68"/>
        <v>5.1594569420942829E-2</v>
      </c>
      <c r="I110" s="2">
        <f t="shared" ca="1" si="69"/>
        <v>0.55609923996123911</v>
      </c>
      <c r="J110" s="2">
        <f t="shared" ca="1" si="70"/>
        <v>1.0705433059079355E-2</v>
      </c>
      <c r="K110" s="2">
        <f t="shared" ca="1" si="71"/>
        <v>1.0705433059079355E-2</v>
      </c>
      <c r="L110" s="2">
        <f t="shared" ca="1" si="72"/>
        <v>0.3045738755207158</v>
      </c>
      <c r="M110" s="2">
        <f t="shared" ca="1" si="73"/>
        <v>-1.0225807289633274E-2</v>
      </c>
      <c r="N110" s="2">
        <f t="shared" ca="1" si="74"/>
        <v>-1.0225807289633274E-2</v>
      </c>
      <c r="O110" s="2">
        <f t="shared" si="75"/>
        <v>6000000</v>
      </c>
      <c r="P110" s="2">
        <f t="shared" ca="1" si="76"/>
        <v>42690706.335305713</v>
      </c>
      <c r="Q110" s="2">
        <f t="shared" ca="1" si="77"/>
        <v>1067267.6583826428</v>
      </c>
      <c r="R110" s="2">
        <f t="shared" ca="1" si="78"/>
        <v>25614423.801183429</v>
      </c>
      <c r="S110" s="2">
        <f t="shared" ca="1" si="79"/>
        <v>17076282.534122285</v>
      </c>
      <c r="T110" s="2">
        <f t="shared" ca="1" si="80"/>
        <v>49488709.635518335</v>
      </c>
      <c r="U110" s="2">
        <f t="shared" ca="1" si="81"/>
        <v>52042058.300360963</v>
      </c>
      <c r="V110" s="2">
        <f t="shared" ca="1" si="82"/>
        <v>54727145.890147686</v>
      </c>
      <c r="W110" s="2">
        <f t="shared" ca="1" si="83"/>
        <v>57550769.417986974</v>
      </c>
      <c r="X110" s="2">
        <f t="shared" ca="1" si="84"/>
        <v>60520076.585951969</v>
      </c>
      <c r="Y110" s="2">
        <f t="shared" ca="1" si="85"/>
        <v>0.12535271652953967</v>
      </c>
      <c r="Z110" s="2">
        <f t="shared" ca="1" si="86"/>
        <v>0.12749380314135556</v>
      </c>
      <c r="AA110" s="2">
        <f t="shared" ca="1" si="87"/>
        <v>6203544.1903538285</v>
      </c>
      <c r="AB110" s="2">
        <f t="shared" ca="1" si="88"/>
        <v>6635039.9360171696</v>
      </c>
      <c r="AC110" s="2">
        <f t="shared" ca="1" si="89"/>
        <v>6977371.9646067349</v>
      </c>
      <c r="AD110" s="2">
        <f t="shared" ca="1" si="90"/>
        <v>7337366.4668103773</v>
      </c>
      <c r="AE110" s="2">
        <f t="shared" ca="1" si="91"/>
        <v>7715934.7303491216</v>
      </c>
      <c r="AF110" s="2">
        <f t="shared" ca="1" si="92"/>
        <v>989774.19271036668</v>
      </c>
      <c r="AG110" s="2">
        <f t="shared" ca="1" si="93"/>
        <v>1040841.1660072192</v>
      </c>
      <c r="AH110" s="2">
        <f t="shared" ca="1" si="94"/>
        <v>1094542.9178029536</v>
      </c>
      <c r="AI110" s="2">
        <f t="shared" ca="1" si="95"/>
        <v>1151015.3883597394</v>
      </c>
      <c r="AJ110" s="2">
        <f t="shared" ca="1" si="96"/>
        <v>1210401.5317190394</v>
      </c>
      <c r="AK110" s="2">
        <f t="shared" ca="1" si="97"/>
        <v>0</v>
      </c>
      <c r="AL110" s="2">
        <f t="shared" ca="1" si="98"/>
        <v>25533.486648426278</v>
      </c>
      <c r="AM110" s="2">
        <f t="shared" ca="1" si="99"/>
        <v>26850.875897867234</v>
      </c>
      <c r="AN110" s="2">
        <f t="shared" ca="1" si="100"/>
        <v>28236.23527839288</v>
      </c>
      <c r="AO110" s="2">
        <f t="shared" ca="1" si="101"/>
        <v>29693.071679649951</v>
      </c>
      <c r="AP110" s="2">
        <f t="shared" ca="1" si="102"/>
        <v>2305298.1421065084</v>
      </c>
      <c r="AQ110" s="2">
        <f t="shared" ca="1" si="103"/>
        <v>756202.6824396078</v>
      </c>
      <c r="AR110" s="2">
        <f t="shared" ca="1" si="104"/>
        <v>855114.16325489501</v>
      </c>
      <c r="AS110" s="2">
        <f t="shared" ca="1" si="105"/>
        <v>930158.03522129112</v>
      </c>
      <c r="AT110" s="2">
        <f t="shared" ca="1" si="106"/>
        <v>1009073.7634494737</v>
      </c>
      <c r="AU110" s="2">
        <f t="shared" ca="1" si="107"/>
        <v>1092061.1146961295</v>
      </c>
      <c r="AV110" s="2">
        <f t="shared" ca="1" si="108"/>
        <v>2152269.1730973455</v>
      </c>
      <c r="AW110" s="2">
        <f t="shared" ca="1" si="109"/>
        <v>2408252.9780001207</v>
      </c>
      <c r="AX110" s="2">
        <f t="shared" ca="1" si="110"/>
        <v>2620521.993578115</v>
      </c>
      <c r="AY110" s="2">
        <f t="shared" ca="1" si="111"/>
        <v>2843742.9376162631</v>
      </c>
      <c r="AZ110" s="2">
        <f t="shared" ca="1" si="112"/>
        <v>3078480.870147795</v>
      </c>
      <c r="BA110" s="2">
        <f t="shared" ca="1" si="113"/>
        <v>57761161.600576021</v>
      </c>
      <c r="BB110" s="2">
        <f t="shared" ca="1" si="114"/>
        <v>1155223.2320115205</v>
      </c>
      <c r="BC110" s="2">
        <f t="shared" ca="1" si="115"/>
        <v>30991514.567381073</v>
      </c>
      <c r="BD110" s="2">
        <f t="shared" ca="1" si="116"/>
        <v>-18643550.192504928</v>
      </c>
      <c r="BE110" s="2">
        <f t="shared" ca="1" si="117"/>
        <v>2152269.1730973455</v>
      </c>
      <c r="BF110" s="2">
        <f t="shared" ca="1" si="118"/>
        <v>2408252.9780001207</v>
      </c>
      <c r="BG110" s="2">
        <f t="shared" ca="1" si="119"/>
        <v>2620521.993578115</v>
      </c>
      <c r="BH110" s="2">
        <f t="shared" ca="1" si="120"/>
        <v>2843742.9376162631</v>
      </c>
      <c r="BI110" s="2">
        <f t="shared" ca="1" si="121"/>
        <v>34069995.437528871</v>
      </c>
      <c r="BJ110" s="2">
        <f t="shared" ca="1" si="122"/>
        <v>0.22112531413224001</v>
      </c>
      <c r="BK110" s="2">
        <f t="shared" ca="1" si="123"/>
        <v>8202679.4683467261</v>
      </c>
    </row>
    <row r="111" spans="1:63" x14ac:dyDescent="0.3">
      <c r="A111" s="2">
        <v>110</v>
      </c>
      <c r="B111" s="2">
        <f t="shared" ca="1" si="62"/>
        <v>8.5410727098154116E-2</v>
      </c>
      <c r="C111" s="2">
        <f t="shared" ca="1" si="63"/>
        <v>6.4133055216136219</v>
      </c>
      <c r="D111" s="2">
        <f t="shared" ca="1" si="64"/>
        <v>6.5192064937450667E-2</v>
      </c>
      <c r="E111" s="2">
        <f t="shared" ca="1" si="65"/>
        <v>6.8610874269133468</v>
      </c>
      <c r="F111" s="2">
        <f t="shared" ca="1" si="66"/>
        <v>0.84815403829487757</v>
      </c>
      <c r="G111" s="2">
        <f t="shared" ca="1" si="67"/>
        <v>7.0856452803575151E-2</v>
      </c>
      <c r="H111" s="2">
        <f t="shared" ca="1" si="68"/>
        <v>7.0856452803575151E-2</v>
      </c>
      <c r="I111" s="2">
        <f t="shared" ca="1" si="69"/>
        <v>0.35628777369615305</v>
      </c>
      <c r="J111" s="2">
        <f t="shared" ca="1" si="70"/>
        <v>8.1580036881666613E-3</v>
      </c>
      <c r="K111" s="2">
        <f t="shared" ca="1" si="71"/>
        <v>8.1580036881666613E-3</v>
      </c>
      <c r="L111" s="2">
        <f t="shared" ca="1" si="72"/>
        <v>0.48984344520741707</v>
      </c>
      <c r="M111" s="2">
        <f t="shared" ca="1" si="73"/>
        <v>-5.0922916397910171E-4</v>
      </c>
      <c r="N111" s="2">
        <f t="shared" ca="1" si="74"/>
        <v>-5.0922916397910171E-4</v>
      </c>
      <c r="O111" s="2">
        <f t="shared" si="75"/>
        <v>6000000</v>
      </c>
      <c r="P111" s="2">
        <f t="shared" ca="1" si="76"/>
        <v>38479833.129681729</v>
      </c>
      <c r="Q111" s="2">
        <f t="shared" ca="1" si="77"/>
        <v>961995.82824204327</v>
      </c>
      <c r="R111" s="2">
        <f t="shared" ca="1" si="78"/>
        <v>23087899.877809037</v>
      </c>
      <c r="S111" s="2">
        <f t="shared" ca="1" si="79"/>
        <v>15391933.251872692</v>
      </c>
      <c r="T111" s="2">
        <f t="shared" ca="1" si="80"/>
        <v>49974538.541801043</v>
      </c>
      <c r="U111" s="2">
        <f t="shared" ca="1" si="81"/>
        <v>53515557.073368616</v>
      </c>
      <c r="V111" s="2">
        <f t="shared" ca="1" si="82"/>
        <v>57307479.61739479</v>
      </c>
      <c r="W111" s="2">
        <f t="shared" ca="1" si="83"/>
        <v>61368084.342196569</v>
      </c>
      <c r="X111" s="2">
        <f t="shared" ca="1" si="84"/>
        <v>65716409.114035234</v>
      </c>
      <c r="Y111" s="2">
        <f t="shared" ca="1" si="85"/>
        <v>0.12407900184408333</v>
      </c>
      <c r="Z111" s="2">
        <f t="shared" ca="1" si="86"/>
        <v>0.12571060258171665</v>
      </c>
      <c r="AA111" s="2">
        <f t="shared" ca="1" si="87"/>
        <v>6200790.8598853452</v>
      </c>
      <c r="AB111" s="2">
        <f t="shared" ca="1" si="88"/>
        <v>6727472.9271894172</v>
      </c>
      <c r="AC111" s="2">
        <f t="shared" ca="1" si="89"/>
        <v>7204157.795142144</v>
      </c>
      <c r="AD111" s="2">
        <f t="shared" ca="1" si="90"/>
        <v>7714618.8619431416</v>
      </c>
      <c r="AE111" s="2">
        <f t="shared" ca="1" si="91"/>
        <v>8261249.3892319854</v>
      </c>
      <c r="AF111" s="2">
        <f t="shared" ca="1" si="92"/>
        <v>999490.77083602082</v>
      </c>
      <c r="AG111" s="2">
        <f t="shared" ca="1" si="93"/>
        <v>1070311.1414673724</v>
      </c>
      <c r="AH111" s="2">
        <f t="shared" ca="1" si="94"/>
        <v>1146149.5923478957</v>
      </c>
      <c r="AI111" s="2">
        <f t="shared" ca="1" si="95"/>
        <v>1227361.6868439314</v>
      </c>
      <c r="AJ111" s="2">
        <f t="shared" ca="1" si="96"/>
        <v>1314328.1822807046</v>
      </c>
      <c r="AK111" s="2">
        <f t="shared" ca="1" si="97"/>
        <v>0</v>
      </c>
      <c r="AL111" s="2">
        <f t="shared" ca="1" si="98"/>
        <v>35410.185315675735</v>
      </c>
      <c r="AM111" s="2">
        <f t="shared" ca="1" si="99"/>
        <v>37919.22544026174</v>
      </c>
      <c r="AN111" s="2">
        <f t="shared" ca="1" si="100"/>
        <v>40606.047248017792</v>
      </c>
      <c r="AO111" s="2">
        <f t="shared" ca="1" si="101"/>
        <v>43483.24771838665</v>
      </c>
      <c r="AP111" s="2">
        <f t="shared" ca="1" si="102"/>
        <v>2077910.9890028131</v>
      </c>
      <c r="AQ111" s="2">
        <f t="shared" ca="1" si="103"/>
        <v>812081.16601209296</v>
      </c>
      <c r="AR111" s="2">
        <f t="shared" ca="1" si="104"/>
        <v>930605.20714700036</v>
      </c>
      <c r="AS111" s="2">
        <f t="shared" ca="1" si="105"/>
        <v>1034825.2755857732</v>
      </c>
      <c r="AT111" s="2">
        <f t="shared" ca="1" si="106"/>
        <v>1146430.0083850631</v>
      </c>
      <c r="AU111" s="2">
        <f t="shared" ca="1" si="107"/>
        <v>1265942.6566666018</v>
      </c>
      <c r="AV111" s="2">
        <f t="shared" ca="1" si="108"/>
        <v>2311307.9340344178</v>
      </c>
      <c r="AW111" s="2">
        <f t="shared" ca="1" si="109"/>
        <v>2613235.4042565557</v>
      </c>
      <c r="AX111" s="2">
        <f t="shared" ca="1" si="110"/>
        <v>2907352.7127653998</v>
      </c>
      <c r="AY111" s="2">
        <f t="shared" ca="1" si="111"/>
        <v>3222310.1304633156</v>
      </c>
      <c r="AZ111" s="2">
        <f t="shared" ca="1" si="112"/>
        <v>3559584.3135634796</v>
      </c>
      <c r="BA111" s="2">
        <f t="shared" ca="1" si="113"/>
        <v>56681154.315055139</v>
      </c>
      <c r="BB111" s="2">
        <f t="shared" ca="1" si="114"/>
        <v>1133623.0863011028</v>
      </c>
      <c r="BC111" s="2">
        <f t="shared" ca="1" si="115"/>
        <v>32459631.350944996</v>
      </c>
      <c r="BD111" s="2">
        <f t="shared" ca="1" si="116"/>
        <v>-16853929.080114737</v>
      </c>
      <c r="BE111" s="2">
        <f t="shared" ca="1" si="117"/>
        <v>2311307.9340344178</v>
      </c>
      <c r="BF111" s="2">
        <f t="shared" ca="1" si="118"/>
        <v>2613235.4042565557</v>
      </c>
      <c r="BG111" s="2">
        <f t="shared" ca="1" si="119"/>
        <v>2907352.7127653998</v>
      </c>
      <c r="BH111" s="2">
        <f t="shared" ca="1" si="120"/>
        <v>3222310.1304633156</v>
      </c>
      <c r="BI111" s="2">
        <f t="shared" ca="1" si="121"/>
        <v>36019215.664508477</v>
      </c>
      <c r="BJ111" s="2">
        <f t="shared" ca="1" si="122"/>
        <v>0.27272003353402718</v>
      </c>
      <c r="BK111" s="2">
        <f t="shared" ca="1" si="123"/>
        <v>11848496.849474944</v>
      </c>
    </row>
    <row r="112" spans="1:63" x14ac:dyDescent="0.3">
      <c r="A112" s="2">
        <v>111</v>
      </c>
      <c r="B112" s="2">
        <f t="shared" ca="1" si="62"/>
        <v>0.32563688821166326</v>
      </c>
      <c r="C112" s="2">
        <f t="shared" ca="1" si="63"/>
        <v>6.8070153507978191</v>
      </c>
      <c r="D112" s="2">
        <f t="shared" ca="1" si="64"/>
        <v>0.41444902704188102</v>
      </c>
      <c r="E112" s="2">
        <f t="shared" ca="1" si="65"/>
        <v>7.4104383856603162</v>
      </c>
      <c r="F112" s="2">
        <f t="shared" ca="1" si="66"/>
        <v>0.54077250016628786</v>
      </c>
      <c r="G112" s="2">
        <f t="shared" ca="1" si="67"/>
        <v>4.3071402202354468E-2</v>
      </c>
      <c r="H112" s="2">
        <f t="shared" ca="1" si="68"/>
        <v>4.3071402202354468E-2</v>
      </c>
      <c r="I112" s="2">
        <f t="shared" ca="1" si="69"/>
        <v>7.757628949003037E-2</v>
      </c>
      <c r="J112" s="2">
        <f t="shared" ca="1" si="70"/>
        <v>2.8921751305711627E-3</v>
      </c>
      <c r="K112" s="2">
        <f t="shared" ca="1" si="71"/>
        <v>2.8921751305711627E-3</v>
      </c>
      <c r="L112" s="2">
        <f t="shared" ca="1" si="72"/>
        <v>0.70902637517463729</v>
      </c>
      <c r="M112" s="2">
        <f t="shared" ca="1" si="73"/>
        <v>1.1010852490007441E-2</v>
      </c>
      <c r="N112" s="2">
        <f t="shared" ca="1" si="74"/>
        <v>1.1010852490007441E-2</v>
      </c>
      <c r="O112" s="2">
        <f t="shared" si="75"/>
        <v>6000000</v>
      </c>
      <c r="P112" s="2">
        <f t="shared" ca="1" si="76"/>
        <v>40842092.104786918</v>
      </c>
      <c r="Q112" s="2">
        <f t="shared" ca="1" si="77"/>
        <v>1021052.302619673</v>
      </c>
      <c r="R112" s="2">
        <f t="shared" ca="1" si="78"/>
        <v>24505255.262872148</v>
      </c>
      <c r="S112" s="2">
        <f t="shared" ca="1" si="79"/>
        <v>16336836.841914767</v>
      </c>
      <c r="T112" s="2">
        <f t="shared" ca="1" si="80"/>
        <v>50550542.624500372</v>
      </c>
      <c r="U112" s="2">
        <f t="shared" ca="1" si="81"/>
        <v>52727825.377427489</v>
      </c>
      <c r="V112" s="2">
        <f t="shared" ca="1" si="82"/>
        <v>54998886.751514174</v>
      </c>
      <c r="W112" s="2">
        <f t="shared" ca="1" si="83"/>
        <v>57367765.923470378</v>
      </c>
      <c r="X112" s="2">
        <f t="shared" ca="1" si="84"/>
        <v>59838676.043010689</v>
      </c>
      <c r="Y112" s="2">
        <f t="shared" ca="1" si="85"/>
        <v>0.12144608756528558</v>
      </c>
      <c r="Z112" s="2">
        <f t="shared" ca="1" si="86"/>
        <v>0.12202452259139981</v>
      </c>
      <c r="AA112" s="2">
        <f t="shared" ca="1" si="87"/>
        <v>6139165.6260477733</v>
      </c>
      <c r="AB112" s="2">
        <f t="shared" ca="1" si="88"/>
        <v>6434087.718963285</v>
      </c>
      <c r="AC112" s="2">
        <f t="shared" ca="1" si="89"/>
        <v>6711212.8989119809</v>
      </c>
      <c r="AD112" s="2">
        <f t="shared" ca="1" si="90"/>
        <v>7000274.2489466472</v>
      </c>
      <c r="AE112" s="2">
        <f t="shared" ca="1" si="91"/>
        <v>7301785.8766498128</v>
      </c>
      <c r="AF112" s="2">
        <f t="shared" ca="1" si="92"/>
        <v>1011010.8524900074</v>
      </c>
      <c r="AG112" s="2">
        <f t="shared" ca="1" si="93"/>
        <v>1054556.5075485497</v>
      </c>
      <c r="AH112" s="2">
        <f t="shared" ca="1" si="94"/>
        <v>1099977.7350302835</v>
      </c>
      <c r="AI112" s="2">
        <f t="shared" ca="1" si="95"/>
        <v>1147355.3184694075</v>
      </c>
      <c r="AJ112" s="2">
        <f t="shared" ca="1" si="96"/>
        <v>1196773.5208602138</v>
      </c>
      <c r="AK112" s="2">
        <f t="shared" ca="1" si="97"/>
        <v>0</v>
      </c>
      <c r="AL112" s="2">
        <f t="shared" ca="1" si="98"/>
        <v>21772.82752927117</v>
      </c>
      <c r="AM112" s="2">
        <f t="shared" ca="1" si="99"/>
        <v>22710.613740866855</v>
      </c>
      <c r="AN112" s="2">
        <f t="shared" ca="1" si="100"/>
        <v>23688.791719562039</v>
      </c>
      <c r="AO112" s="2">
        <f t="shared" ca="1" si="101"/>
        <v>24709.101195403113</v>
      </c>
      <c r="AP112" s="2">
        <f t="shared" ca="1" si="102"/>
        <v>2205472.9736584933</v>
      </c>
      <c r="AQ112" s="2">
        <f t="shared" ca="1" si="103"/>
        <v>759897.26797381078</v>
      </c>
      <c r="AR112" s="2">
        <f t="shared" ca="1" si="104"/>
        <v>825255.14181662304</v>
      </c>
      <c r="AS112" s="2">
        <f t="shared" ca="1" si="105"/>
        <v>885498.16945803317</v>
      </c>
      <c r="AT112" s="2">
        <f t="shared" ca="1" si="106"/>
        <v>948335.94877287396</v>
      </c>
      <c r="AU112" s="2">
        <f t="shared" ca="1" si="107"/>
        <v>1013880.2393540875</v>
      </c>
      <c r="AV112" s="2">
        <f t="shared" ca="1" si="108"/>
        <v>2162784.5319254617</v>
      </c>
      <c r="AW112" s="2">
        <f t="shared" ca="1" si="109"/>
        <v>2327030.2684103488</v>
      </c>
      <c r="AX112" s="2">
        <f t="shared" ca="1" si="110"/>
        <v>2497553.4070243039</v>
      </c>
      <c r="AY112" s="2">
        <f t="shared" ca="1" si="111"/>
        <v>2675421.2163263098</v>
      </c>
      <c r="AZ112" s="2">
        <f t="shared" ca="1" si="112"/>
        <v>2860950.0415816153</v>
      </c>
      <c r="BA112" s="2">
        <f t="shared" ca="1" si="113"/>
        <v>54109434.344198138</v>
      </c>
      <c r="BB112" s="2">
        <f t="shared" ca="1" si="114"/>
        <v>1082188.6868839627</v>
      </c>
      <c r="BC112" s="2">
        <f t="shared" ca="1" si="115"/>
        <v>28521990.394442026</v>
      </c>
      <c r="BD112" s="2">
        <f t="shared" ca="1" si="116"/>
        <v>-17857889.144534439</v>
      </c>
      <c r="BE112" s="2">
        <f t="shared" ca="1" si="117"/>
        <v>2162784.5319254617</v>
      </c>
      <c r="BF112" s="2">
        <f t="shared" ca="1" si="118"/>
        <v>2327030.2684103488</v>
      </c>
      <c r="BG112" s="2">
        <f t="shared" ca="1" si="119"/>
        <v>2497553.4070243039</v>
      </c>
      <c r="BH112" s="2">
        <f t="shared" ca="1" si="120"/>
        <v>2675421.2163263098</v>
      </c>
      <c r="BI112" s="2">
        <f t="shared" ca="1" si="121"/>
        <v>31382940.436023641</v>
      </c>
      <c r="BJ112" s="2">
        <f t="shared" ca="1" si="122"/>
        <v>0.21452364488668718</v>
      </c>
      <c r="BK112" s="2">
        <f t="shared" ca="1" si="123"/>
        <v>7213773.7042279653</v>
      </c>
    </row>
    <row r="113" spans="1:63" x14ac:dyDescent="0.3">
      <c r="A113" s="2">
        <v>112</v>
      </c>
      <c r="B113" s="2">
        <f t="shared" ca="1" si="62"/>
        <v>0.5946833527801143</v>
      </c>
      <c r="C113" s="2">
        <f t="shared" ca="1" si="63"/>
        <v>7.0996482384979904</v>
      </c>
      <c r="D113" s="2">
        <f t="shared" ca="1" si="64"/>
        <v>0.24256299278330684</v>
      </c>
      <c r="E113" s="2">
        <f t="shared" ca="1" si="65"/>
        <v>7.1965098603513189</v>
      </c>
      <c r="F113" s="2">
        <f t="shared" ca="1" si="66"/>
        <v>0.98126730865269796</v>
      </c>
      <c r="G113" s="2">
        <f t="shared" ca="1" si="67"/>
        <v>0.10241968703484999</v>
      </c>
      <c r="H113" s="2">
        <f t="shared" ca="1" si="68"/>
        <v>0.10241968703484999</v>
      </c>
      <c r="I113" s="2">
        <f t="shared" ca="1" si="69"/>
        <v>0.93094962360621625</v>
      </c>
      <c r="J113" s="2">
        <f t="shared" ca="1" si="70"/>
        <v>1.7414504302667756E-2</v>
      </c>
      <c r="K113" s="2">
        <f t="shared" ca="1" si="71"/>
        <v>1.7414504302667756E-2</v>
      </c>
      <c r="L113" s="2">
        <f t="shared" ca="1" si="72"/>
        <v>7.7381635292035345E-3</v>
      </c>
      <c r="M113" s="2">
        <f t="shared" ca="1" si="73"/>
        <v>-4.8420728208148502E-2</v>
      </c>
      <c r="N113" s="2">
        <f t="shared" ca="1" si="74"/>
        <v>-4.8420728208148502E-2</v>
      </c>
      <c r="O113" s="2">
        <f t="shared" si="75"/>
        <v>6000000</v>
      </c>
      <c r="P113" s="2">
        <f t="shared" ca="1" si="76"/>
        <v>42597889.430987939</v>
      </c>
      <c r="Q113" s="2">
        <f t="shared" ca="1" si="77"/>
        <v>1064947.2357746984</v>
      </c>
      <c r="R113" s="2">
        <f t="shared" ca="1" si="78"/>
        <v>25558733.658592764</v>
      </c>
      <c r="S113" s="2">
        <f t="shared" ca="1" si="79"/>
        <v>17039155.772395175</v>
      </c>
      <c r="T113" s="2">
        <f t="shared" ca="1" si="80"/>
        <v>47578963.589592576</v>
      </c>
      <c r="U113" s="2">
        <f t="shared" ca="1" si="81"/>
        <v>52451986.149881169</v>
      </c>
      <c r="V113" s="2">
        <f t="shared" ca="1" si="82"/>
        <v>57824102.155708283</v>
      </c>
      <c r="W113" s="2">
        <f t="shared" ca="1" si="83"/>
        <v>63746428.601567119</v>
      </c>
      <c r="X113" s="2">
        <f t="shared" ca="1" si="84"/>
        <v>70275317.868529037</v>
      </c>
      <c r="Y113" s="2">
        <f t="shared" ca="1" si="85"/>
        <v>0.12870725215133388</v>
      </c>
      <c r="Z113" s="2">
        <f t="shared" ca="1" si="86"/>
        <v>0.13219015301186743</v>
      </c>
      <c r="AA113" s="2">
        <f t="shared" ca="1" si="87"/>
        <v>6123757.6638248255</v>
      </c>
      <c r="AB113" s="2">
        <f t="shared" ca="1" si="88"/>
        <v>6933636.0749291433</v>
      </c>
      <c r="AC113" s="2">
        <f t="shared" ca="1" si="89"/>
        <v>7643776.9117369307</v>
      </c>
      <c r="AD113" s="2">
        <f t="shared" ca="1" si="90"/>
        <v>8426650.1508012395</v>
      </c>
      <c r="AE113" s="2">
        <f t="shared" ca="1" si="91"/>
        <v>9289705.0219984744</v>
      </c>
      <c r="AF113" s="2">
        <f t="shared" ca="1" si="92"/>
        <v>951579.2717918515</v>
      </c>
      <c r="AG113" s="2">
        <f t="shared" ca="1" si="93"/>
        <v>1049039.7229976235</v>
      </c>
      <c r="AH113" s="2">
        <f t="shared" ca="1" si="94"/>
        <v>1156482.0431141658</v>
      </c>
      <c r="AI113" s="2">
        <f t="shared" ca="1" si="95"/>
        <v>1274928.5720313424</v>
      </c>
      <c r="AJ113" s="2">
        <f t="shared" ca="1" si="96"/>
        <v>1405506.3573705808</v>
      </c>
      <c r="AK113" s="2">
        <f t="shared" ca="1" si="97"/>
        <v>0</v>
      </c>
      <c r="AL113" s="2">
        <f t="shared" ca="1" si="98"/>
        <v>48730.225602885934</v>
      </c>
      <c r="AM113" s="2">
        <f t="shared" ca="1" si="99"/>
        <v>53721.16005827114</v>
      </c>
      <c r="AN113" s="2">
        <f t="shared" ca="1" si="100"/>
        <v>59223.264458588361</v>
      </c>
      <c r="AO113" s="2">
        <f t="shared" ca="1" si="101"/>
        <v>65288.892669619177</v>
      </c>
      <c r="AP113" s="2">
        <f t="shared" ca="1" si="102"/>
        <v>2300286.0292733489</v>
      </c>
      <c r="AQ113" s="2">
        <f t="shared" ca="1" si="103"/>
        <v>746692.01431750262</v>
      </c>
      <c r="AR113" s="2">
        <f t="shared" ca="1" si="104"/>
        <v>931920.68389112444</v>
      </c>
      <c r="AS113" s="2">
        <f t="shared" ca="1" si="105"/>
        <v>1088622.2982308483</v>
      </c>
      <c r="AT113" s="2">
        <f t="shared" ca="1" si="106"/>
        <v>1261373.2428691026</v>
      </c>
      <c r="AU113" s="2">
        <f t="shared" ca="1" si="107"/>
        <v>1451817.2851921818</v>
      </c>
      <c r="AV113" s="2">
        <f t="shared" ca="1" si="108"/>
        <v>2125200.3484421233</v>
      </c>
      <c r="AW113" s="2">
        <f t="shared" ca="1" si="109"/>
        <v>2603659.4131641611</v>
      </c>
      <c r="AX113" s="2">
        <f t="shared" ca="1" si="110"/>
        <v>3044665.3810602967</v>
      </c>
      <c r="AY113" s="2">
        <f t="shared" ca="1" si="111"/>
        <v>3530839.0421688575</v>
      </c>
      <c r="AZ113" s="2">
        <f t="shared" ca="1" si="112"/>
        <v>4066806.4574927436</v>
      </c>
      <c r="BA113" s="2">
        <f t="shared" ca="1" si="113"/>
        <v>66853453.790567189</v>
      </c>
      <c r="BB113" s="2">
        <f t="shared" ca="1" si="114"/>
        <v>1337069.0758113437</v>
      </c>
      <c r="BC113" s="2">
        <f t="shared" ca="1" si="115"/>
        <v>39957651.056163087</v>
      </c>
      <c r="BD113" s="2">
        <f t="shared" ca="1" si="116"/>
        <v>-18604103.008169875</v>
      </c>
      <c r="BE113" s="2">
        <f t="shared" ca="1" si="117"/>
        <v>2125200.3484421233</v>
      </c>
      <c r="BF113" s="2">
        <f t="shared" ca="1" si="118"/>
        <v>2603659.4131641611</v>
      </c>
      <c r="BG113" s="2">
        <f t="shared" ca="1" si="119"/>
        <v>3044665.3810602967</v>
      </c>
      <c r="BH113" s="2">
        <f t="shared" ca="1" si="120"/>
        <v>3530839.0421688575</v>
      </c>
      <c r="BI113" s="2">
        <f t="shared" ca="1" si="121"/>
        <v>44024457.513655834</v>
      </c>
      <c r="BJ113" s="2">
        <f t="shared" ca="1" si="122"/>
        <v>0.2837028271320019</v>
      </c>
      <c r="BK113" s="2">
        <f t="shared" ca="1" si="123"/>
        <v>14760722.870708421</v>
      </c>
    </row>
    <row r="114" spans="1:63" x14ac:dyDescent="0.3">
      <c r="A114" s="2">
        <v>113</v>
      </c>
      <c r="B114" s="2">
        <f t="shared" ca="1" si="62"/>
        <v>0.94008454841275013</v>
      </c>
      <c r="C114" s="2">
        <f t="shared" ca="1" si="63"/>
        <v>7.6538339947734615</v>
      </c>
      <c r="D114" s="2">
        <f t="shared" ca="1" si="64"/>
        <v>0.92573623780370384</v>
      </c>
      <c r="E114" s="2">
        <f t="shared" ca="1" si="65"/>
        <v>8.1146073114437787</v>
      </c>
      <c r="F114" s="2">
        <f t="shared" ca="1" si="66"/>
        <v>0.8026072388037796</v>
      </c>
      <c r="G114" s="2">
        <f t="shared" ca="1" si="67"/>
        <v>6.5529126760214232E-2</v>
      </c>
      <c r="H114" s="2">
        <f t="shared" ca="1" si="68"/>
        <v>6.5529126760214232E-2</v>
      </c>
      <c r="I114" s="2">
        <f t="shared" ca="1" si="69"/>
        <v>0.81613922151886753</v>
      </c>
      <c r="J114" s="2">
        <f t="shared" ca="1" si="70"/>
        <v>1.4503747184802308E-2</v>
      </c>
      <c r="K114" s="2">
        <f t="shared" ca="1" si="71"/>
        <v>1.4503747184802308E-2</v>
      </c>
      <c r="L114" s="2">
        <f t="shared" ca="1" si="72"/>
        <v>0.88107380931022083</v>
      </c>
      <c r="M114" s="2">
        <f t="shared" ca="1" si="73"/>
        <v>2.3607435564937194E-2</v>
      </c>
      <c r="N114" s="2">
        <f t="shared" ca="1" si="74"/>
        <v>2.3607435564937194E-2</v>
      </c>
      <c r="O114" s="2">
        <f t="shared" si="75"/>
        <v>6000000</v>
      </c>
      <c r="P114" s="2">
        <f t="shared" ca="1" si="76"/>
        <v>45923003.968640767</v>
      </c>
      <c r="Q114" s="2">
        <f t="shared" ca="1" si="77"/>
        <v>1148075.0992160193</v>
      </c>
      <c r="R114" s="2">
        <f t="shared" ca="1" si="78"/>
        <v>27553802.381184459</v>
      </c>
      <c r="S114" s="2">
        <f t="shared" ca="1" si="79"/>
        <v>18369201.587456308</v>
      </c>
      <c r="T114" s="2">
        <f t="shared" ca="1" si="80"/>
        <v>51180371.778246857</v>
      </c>
      <c r="U114" s="2">
        <f t="shared" ca="1" si="81"/>
        <v>54534176.848138489</v>
      </c>
      <c r="V114" s="2">
        <f t="shared" ca="1" si="82"/>
        <v>58107753.835584097</v>
      </c>
      <c r="W114" s="2">
        <f t="shared" ca="1" si="83"/>
        <v>61915504.202427417</v>
      </c>
      <c r="X114" s="2">
        <f t="shared" ca="1" si="84"/>
        <v>65972773.125730865</v>
      </c>
      <c r="Y114" s="2">
        <f t="shared" ca="1" si="85"/>
        <v>0.12725187359240114</v>
      </c>
      <c r="Z114" s="2">
        <f t="shared" ca="1" si="86"/>
        <v>0.13015262302936162</v>
      </c>
      <c r="AA114" s="2">
        <f t="shared" ca="1" si="87"/>
        <v>6512798.1999375643</v>
      </c>
      <c r="AB114" s="2">
        <f t="shared" ca="1" si="88"/>
        <v>7097766.1615323089</v>
      </c>
      <c r="AC114" s="2">
        <f t="shared" ca="1" si="89"/>
        <v>7562876.5800457187</v>
      </c>
      <c r="AD114" s="2">
        <f t="shared" ca="1" si="90"/>
        <v>8058465.2781313909</v>
      </c>
      <c r="AE114" s="2">
        <f t="shared" ca="1" si="91"/>
        <v>8586529.4708348475</v>
      </c>
      <c r="AF114" s="2">
        <f t="shared" ca="1" si="92"/>
        <v>1023607.4355649372</v>
      </c>
      <c r="AG114" s="2">
        <f t="shared" ca="1" si="93"/>
        <v>1090683.5369627697</v>
      </c>
      <c r="AH114" s="2">
        <f t="shared" ca="1" si="94"/>
        <v>1162155.0767116819</v>
      </c>
      <c r="AI114" s="2">
        <f t="shared" ca="1" si="95"/>
        <v>1238310.0840485485</v>
      </c>
      <c r="AJ114" s="2">
        <f t="shared" ca="1" si="96"/>
        <v>1319455.4625146172</v>
      </c>
      <c r="AK114" s="2">
        <f t="shared" ca="1" si="97"/>
        <v>0</v>
      </c>
      <c r="AL114" s="2">
        <f t="shared" ca="1" si="98"/>
        <v>33538.050698916319</v>
      </c>
      <c r="AM114" s="2">
        <f t="shared" ca="1" si="99"/>
        <v>35735.769874456077</v>
      </c>
      <c r="AN114" s="2">
        <f t="shared" ca="1" si="100"/>
        <v>38077.503668433208</v>
      </c>
      <c r="AO114" s="2">
        <f t="shared" ca="1" si="101"/>
        <v>40572.689233034478</v>
      </c>
      <c r="AP114" s="2">
        <f t="shared" ca="1" si="102"/>
        <v>2479842.2143066013</v>
      </c>
      <c r="AQ114" s="2">
        <f t="shared" ca="1" si="103"/>
        <v>782430.62301716674</v>
      </c>
      <c r="AR114" s="2">
        <f t="shared" ca="1" si="104"/>
        <v>917082.50666836381</v>
      </c>
      <c r="AS114" s="2">
        <f t="shared" ca="1" si="105"/>
        <v>1019428.6151471334</v>
      </c>
      <c r="AT114" s="2">
        <f t="shared" ca="1" si="106"/>
        <v>1128481.3747418227</v>
      </c>
      <c r="AU114" s="2">
        <f t="shared" ca="1" si="107"/>
        <v>1244680.2664435436</v>
      </c>
      <c r="AV114" s="2">
        <f t="shared" ca="1" si="108"/>
        <v>2226917.9270488592</v>
      </c>
      <c r="AW114" s="2">
        <f t="shared" ca="1" si="109"/>
        <v>2576619.8528956575</v>
      </c>
      <c r="AX114" s="2">
        <f t="shared" ca="1" si="110"/>
        <v>2865714.904005846</v>
      </c>
      <c r="AY114" s="2">
        <f t="shared" ca="1" si="111"/>
        <v>3173754.1013659853</v>
      </c>
      <c r="AZ114" s="2">
        <f t="shared" ca="1" si="112"/>
        <v>3501978.8383370498</v>
      </c>
      <c r="BA114" s="2">
        <f t="shared" ca="1" si="113"/>
        <v>69676314.82396394</v>
      </c>
      <c r="BB114" s="2">
        <f t="shared" ca="1" si="114"/>
        <v>1393526.2964792789</v>
      </c>
      <c r="BC114" s="2">
        <f t="shared" ca="1" si="115"/>
        <v>40728986.146300204</v>
      </c>
      <c r="BD114" s="2">
        <f t="shared" ca="1" si="116"/>
        <v>-20017276.686672326</v>
      </c>
      <c r="BE114" s="2">
        <f t="shared" ca="1" si="117"/>
        <v>2226917.9270488592</v>
      </c>
      <c r="BF114" s="2">
        <f t="shared" ca="1" si="118"/>
        <v>2576619.8528956575</v>
      </c>
      <c r="BG114" s="2">
        <f t="shared" ca="1" si="119"/>
        <v>2865714.904005846</v>
      </c>
      <c r="BH114" s="2">
        <f t="shared" ca="1" si="120"/>
        <v>3173754.1013659853</v>
      </c>
      <c r="BI114" s="2">
        <f t="shared" ca="1" si="121"/>
        <v>44230964.984637253</v>
      </c>
      <c r="BJ114" s="2">
        <f t="shared" ca="1" si="122"/>
        <v>0.25988568306291726</v>
      </c>
      <c r="BK114" s="2">
        <f t="shared" ca="1" si="123"/>
        <v>13179683.221552301</v>
      </c>
    </row>
    <row r="115" spans="1:63" x14ac:dyDescent="0.3">
      <c r="A115" s="2">
        <v>114</v>
      </c>
      <c r="B115" s="2">
        <f t="shared" ca="1" si="62"/>
        <v>0.23640002833201124</v>
      </c>
      <c r="C115" s="2">
        <f t="shared" ca="1" si="63"/>
        <v>6.6876045787107747</v>
      </c>
      <c r="D115" s="2">
        <f t="shared" ca="1" si="64"/>
        <v>0.36413073219376768</v>
      </c>
      <c r="E115" s="2">
        <f t="shared" ca="1" si="65"/>
        <v>7.3533823670474661</v>
      </c>
      <c r="F115" s="2">
        <f t="shared" ca="1" si="66"/>
        <v>0.37698836879013786</v>
      </c>
      <c r="G115" s="2">
        <f t="shared" ca="1" si="67"/>
        <v>3.0597998158034101E-2</v>
      </c>
      <c r="H115" s="2">
        <f t="shared" ca="1" si="68"/>
        <v>3.0597998158034101E-2</v>
      </c>
      <c r="I115" s="2">
        <f t="shared" ca="1" si="69"/>
        <v>0.73506761596556613</v>
      </c>
      <c r="J115" s="2">
        <f t="shared" ca="1" si="70"/>
        <v>1.3141062306726395E-2</v>
      </c>
      <c r="K115" s="2">
        <f t="shared" ca="1" si="71"/>
        <v>1.3141062306726395E-2</v>
      </c>
      <c r="L115" s="2">
        <f t="shared" ca="1" si="72"/>
        <v>0.49771403167040973</v>
      </c>
      <c r="M115" s="2">
        <f t="shared" ca="1" si="73"/>
        <v>-1.1460208413675545E-4</v>
      </c>
      <c r="N115" s="2">
        <f t="shared" ca="1" si="74"/>
        <v>-1.1460208413675545E-4</v>
      </c>
      <c r="O115" s="2">
        <f t="shared" si="75"/>
        <v>6000000</v>
      </c>
      <c r="P115" s="2">
        <f t="shared" ca="1" si="76"/>
        <v>40125627.472264647</v>
      </c>
      <c r="Q115" s="2">
        <f t="shared" ca="1" si="77"/>
        <v>1003140.6868066163</v>
      </c>
      <c r="R115" s="2">
        <f t="shared" ca="1" si="78"/>
        <v>24075376.483358789</v>
      </c>
      <c r="S115" s="2">
        <f t="shared" ca="1" si="79"/>
        <v>16050250.98890586</v>
      </c>
      <c r="T115" s="2">
        <f t="shared" ca="1" si="80"/>
        <v>49994269.895793162</v>
      </c>
      <c r="U115" s="2">
        <f t="shared" ca="1" si="81"/>
        <v>51523994.47397691</v>
      </c>
      <c r="V115" s="2">
        <f t="shared" ca="1" si="82"/>
        <v>53100525.561986223</v>
      </c>
      <c r="W115" s="2">
        <f t="shared" ca="1" si="83"/>
        <v>54725295.345322527</v>
      </c>
      <c r="X115" s="2">
        <f t="shared" ca="1" si="84"/>
        <v>56399779.831496581</v>
      </c>
      <c r="Y115" s="2">
        <f t="shared" ca="1" si="85"/>
        <v>0.1265705311533632</v>
      </c>
      <c r="Z115" s="2">
        <f t="shared" ca="1" si="86"/>
        <v>0.12919874361470848</v>
      </c>
      <c r="AA115" s="2">
        <f t="shared" ca="1" si="87"/>
        <v>6327801.2953351364</v>
      </c>
      <c r="AB115" s="2">
        <f t="shared" ca="1" si="88"/>
        <v>6656835.3520489996</v>
      </c>
      <c r="AC115" s="2">
        <f t="shared" ca="1" si="89"/>
        <v>6860521.187889332</v>
      </c>
      <c r="AD115" s="2">
        <f t="shared" ca="1" si="90"/>
        <v>7070439.4025595244</v>
      </c>
      <c r="AE115" s="2">
        <f t="shared" ca="1" si="91"/>
        <v>7286780.6943755336</v>
      </c>
      <c r="AF115" s="2">
        <f t="shared" ca="1" si="92"/>
        <v>999885.39791586332</v>
      </c>
      <c r="AG115" s="2">
        <f t="shared" ca="1" si="93"/>
        <v>1030479.8894795382</v>
      </c>
      <c r="AH115" s="2">
        <f t="shared" ca="1" si="94"/>
        <v>1062010.5112397245</v>
      </c>
      <c r="AI115" s="2">
        <f t="shared" ca="1" si="95"/>
        <v>1094505.9069064506</v>
      </c>
      <c r="AJ115" s="2">
        <f t="shared" ca="1" si="96"/>
        <v>1127995.5966299316</v>
      </c>
      <c r="AK115" s="2">
        <f t="shared" ca="1" si="97"/>
        <v>0</v>
      </c>
      <c r="AL115" s="2">
        <f t="shared" ca="1" si="98"/>
        <v>15297.245781837479</v>
      </c>
      <c r="AM115" s="2">
        <f t="shared" ca="1" si="99"/>
        <v>15765.310880093128</v>
      </c>
      <c r="AN115" s="2">
        <f t="shared" ca="1" si="100"/>
        <v>16247.697833363041</v>
      </c>
      <c r="AO115" s="2">
        <f t="shared" ca="1" si="101"/>
        <v>16744.844861740545</v>
      </c>
      <c r="AP115" s="2">
        <f t="shared" ca="1" si="102"/>
        <v>2166783.883502291</v>
      </c>
      <c r="AQ115" s="2">
        <f t="shared" ca="1" si="103"/>
        <v>821894.32361841528</v>
      </c>
      <c r="AR115" s="2">
        <f t="shared" ca="1" si="104"/>
        <v>899488.6105574643</v>
      </c>
      <c r="AS115" s="2">
        <f t="shared" ca="1" si="105"/>
        <v>944248.96621830238</v>
      </c>
      <c r="AT115" s="2">
        <f t="shared" ca="1" si="106"/>
        <v>990378.89915920363</v>
      </c>
      <c r="AU115" s="2">
        <f t="shared" ca="1" si="107"/>
        <v>1037920.3157032609</v>
      </c>
      <c r="AV115" s="2">
        <f t="shared" ca="1" si="108"/>
        <v>2339237.6902985671</v>
      </c>
      <c r="AW115" s="2">
        <f t="shared" ca="1" si="109"/>
        <v>2544785.7227278692</v>
      </c>
      <c r="AX115" s="2">
        <f t="shared" ca="1" si="110"/>
        <v>2671712.5160489217</v>
      </c>
      <c r="AY115" s="2">
        <f t="shared" ca="1" si="111"/>
        <v>2802523.0151582169</v>
      </c>
      <c r="AZ115" s="2">
        <f t="shared" ca="1" si="112"/>
        <v>2937336.05367831</v>
      </c>
      <c r="BA115" s="2">
        <f t="shared" ca="1" si="113"/>
        <v>53582484.670562938</v>
      </c>
      <c r="BB115" s="2">
        <f t="shared" ca="1" si="114"/>
        <v>1071649.6934112587</v>
      </c>
      <c r="BC115" s="2">
        <f t="shared" ca="1" si="115"/>
        <v>28435458.493792892</v>
      </c>
      <c r="BD115" s="2">
        <f t="shared" ca="1" si="116"/>
        <v>-17553391.675712477</v>
      </c>
      <c r="BE115" s="2">
        <f t="shared" ca="1" si="117"/>
        <v>2339237.6902985671</v>
      </c>
      <c r="BF115" s="2">
        <f t="shared" ca="1" si="118"/>
        <v>2544785.7227278692</v>
      </c>
      <c r="BG115" s="2">
        <f t="shared" ca="1" si="119"/>
        <v>2671712.5160489217</v>
      </c>
      <c r="BH115" s="2">
        <f t="shared" ca="1" si="120"/>
        <v>2802523.0151582169</v>
      </c>
      <c r="BI115" s="2">
        <f t="shared" ca="1" si="121"/>
        <v>31372794.547471203</v>
      </c>
      <c r="BJ115" s="2">
        <f t="shared" ca="1" si="122"/>
        <v>0.22711499650020239</v>
      </c>
      <c r="BK115" s="2">
        <f t="shared" ca="1" si="123"/>
        <v>8048393.4059644975</v>
      </c>
    </row>
    <row r="116" spans="1:63" x14ac:dyDescent="0.3">
      <c r="A116" s="2">
        <v>115</v>
      </c>
      <c r="B116" s="2">
        <f t="shared" ca="1" si="62"/>
        <v>8.5075566385858337E-2</v>
      </c>
      <c r="C116" s="2">
        <f t="shared" ca="1" si="63"/>
        <v>6.4124937972524156</v>
      </c>
      <c r="D116" s="2">
        <f t="shared" ca="1" si="64"/>
        <v>0.75524044408860791</v>
      </c>
      <c r="E116" s="2">
        <f t="shared" ca="1" si="65"/>
        <v>7.800343575872569</v>
      </c>
      <c r="F116" s="2">
        <f t="shared" ca="1" si="66"/>
        <v>0.24473136415811381</v>
      </c>
      <c r="G116" s="2">
        <f t="shared" ca="1" si="67"/>
        <v>1.9265091640973852E-2</v>
      </c>
      <c r="H116" s="2">
        <f t="shared" ca="1" si="68"/>
        <v>1.9265091640973852E-2</v>
      </c>
      <c r="I116" s="2">
        <f t="shared" ca="1" si="69"/>
        <v>0.51991278979777866</v>
      </c>
      <c r="J116" s="2">
        <f t="shared" ca="1" si="70"/>
        <v>1.0249673529984715E-2</v>
      </c>
      <c r="K116" s="2">
        <f t="shared" ca="1" si="71"/>
        <v>1.0249673529984715E-2</v>
      </c>
      <c r="L116" s="2">
        <f t="shared" ca="1" si="72"/>
        <v>0.67399454673581416</v>
      </c>
      <c r="M116" s="2">
        <f t="shared" ca="1" si="73"/>
        <v>9.0194073390423377E-3</v>
      </c>
      <c r="N116" s="2">
        <f t="shared" ca="1" si="74"/>
        <v>9.0194073390423377E-3</v>
      </c>
      <c r="O116" s="2">
        <f t="shared" si="75"/>
        <v>6000000</v>
      </c>
      <c r="P116" s="2">
        <f t="shared" ca="1" si="76"/>
        <v>38474962.783514492</v>
      </c>
      <c r="Q116" s="2">
        <f t="shared" ca="1" si="77"/>
        <v>961874.06958786235</v>
      </c>
      <c r="R116" s="2">
        <f t="shared" ca="1" si="78"/>
        <v>23084977.670108695</v>
      </c>
      <c r="S116" s="2">
        <f t="shared" ca="1" si="79"/>
        <v>15389985.113405798</v>
      </c>
      <c r="T116" s="2">
        <f t="shared" ca="1" si="80"/>
        <v>50450970.366952121</v>
      </c>
      <c r="U116" s="2">
        <f t="shared" ca="1" si="81"/>
        <v>51422912.934447505</v>
      </c>
      <c r="V116" s="2">
        <f t="shared" ca="1" si="82"/>
        <v>52413580.064575449</v>
      </c>
      <c r="W116" s="2">
        <f t="shared" ca="1" si="83"/>
        <v>53423332.487751015</v>
      </c>
      <c r="X116" s="2">
        <f t="shared" ca="1" si="84"/>
        <v>54452537.883893751</v>
      </c>
      <c r="Y116" s="2">
        <f t="shared" ca="1" si="85"/>
        <v>0.12512483676499236</v>
      </c>
      <c r="Z116" s="2">
        <f t="shared" ca="1" si="86"/>
        <v>0.1271747714709893</v>
      </c>
      <c r="AA116" s="2">
        <f t="shared" ca="1" si="87"/>
        <v>6312669.4318003515</v>
      </c>
      <c r="AB116" s="2">
        <f t="shared" ca="1" si="88"/>
        <v>6539697.2008109409</v>
      </c>
      <c r="AC116" s="2">
        <f t="shared" ca="1" si="89"/>
        <v>6665685.0666887835</v>
      </c>
      <c r="AD116" s="2">
        <f t="shared" ca="1" si="90"/>
        <v>6794100.100348413</v>
      </c>
      <c r="AE116" s="2">
        <f t="shared" ca="1" si="91"/>
        <v>6924989.0613995744</v>
      </c>
      <c r="AF116" s="2">
        <f t="shared" ca="1" si="92"/>
        <v>1009019.4073390424</v>
      </c>
      <c r="AG116" s="2">
        <f t="shared" ca="1" si="93"/>
        <v>1028458.2586889501</v>
      </c>
      <c r="AH116" s="2">
        <f t="shared" ca="1" si="94"/>
        <v>1048271.601291509</v>
      </c>
      <c r="AI116" s="2">
        <f t="shared" ca="1" si="95"/>
        <v>1068466.6497550204</v>
      </c>
      <c r="AJ116" s="2">
        <f t="shared" ca="1" si="96"/>
        <v>1089050.757677875</v>
      </c>
      <c r="AK116" s="2">
        <f t="shared" ca="1" si="97"/>
        <v>0</v>
      </c>
      <c r="AL116" s="2">
        <f t="shared" ca="1" si="98"/>
        <v>9719.4256749538326</v>
      </c>
      <c r="AM116" s="2">
        <f t="shared" ca="1" si="99"/>
        <v>9906.6713012794407</v>
      </c>
      <c r="AN116" s="2">
        <f t="shared" ca="1" si="100"/>
        <v>10097.524231755659</v>
      </c>
      <c r="AO116" s="2">
        <f t="shared" ca="1" si="101"/>
        <v>10292.05396142736</v>
      </c>
      <c r="AP116" s="2">
        <f t="shared" ca="1" si="102"/>
        <v>2077647.9903097823</v>
      </c>
      <c r="AQ116" s="2">
        <f t="shared" ca="1" si="103"/>
        <v>838760.52887939708</v>
      </c>
      <c r="AR116" s="2">
        <f t="shared" ca="1" si="104"/>
        <v>892733.64747117425</v>
      </c>
      <c r="AS116" s="2">
        <f t="shared" ca="1" si="105"/>
        <v>920339.02352274791</v>
      </c>
      <c r="AT116" s="2">
        <f t="shared" ca="1" si="106"/>
        <v>948476.2196737387</v>
      </c>
      <c r="AU116" s="2">
        <f t="shared" ca="1" si="107"/>
        <v>977155.48148709862</v>
      </c>
      <c r="AV116" s="2">
        <f t="shared" ca="1" si="108"/>
        <v>2387241.5052721296</v>
      </c>
      <c r="AW116" s="2">
        <f t="shared" ca="1" si="109"/>
        <v>2531137.8786660805</v>
      </c>
      <c r="AX116" s="2">
        <f t="shared" ca="1" si="110"/>
        <v>2609519.7802634649</v>
      </c>
      <c r="AY116" s="2">
        <f t="shared" ca="1" si="111"/>
        <v>2689411.7163781151</v>
      </c>
      <c r="AZ116" s="2">
        <f t="shared" ca="1" si="112"/>
        <v>2770842.7779633924</v>
      </c>
      <c r="BA116" s="2">
        <f t="shared" ca="1" si="113"/>
        <v>54017293.938075982</v>
      </c>
      <c r="BB116" s="2">
        <f t="shared" ca="1" si="114"/>
        <v>1080345.8787615197</v>
      </c>
      <c r="BC116" s="2">
        <f t="shared" ca="1" si="115"/>
        <v>29851970.389205769</v>
      </c>
      <c r="BD116" s="2">
        <f t="shared" ca="1" si="116"/>
        <v>-16851859.182993658</v>
      </c>
      <c r="BE116" s="2">
        <f t="shared" ca="1" si="117"/>
        <v>2387241.5052721296</v>
      </c>
      <c r="BF116" s="2">
        <f t="shared" ca="1" si="118"/>
        <v>2531137.8786660805</v>
      </c>
      <c r="BG116" s="2">
        <f t="shared" ca="1" si="119"/>
        <v>2609519.7802634649</v>
      </c>
      <c r="BH116" s="2">
        <f t="shared" ca="1" si="120"/>
        <v>2689411.7163781151</v>
      </c>
      <c r="BI116" s="2">
        <f t="shared" ca="1" si="121"/>
        <v>32622813.167169161</v>
      </c>
      <c r="BJ116" s="2">
        <f t="shared" ca="1" si="122"/>
        <v>0.24639844963115709</v>
      </c>
      <c r="BK116" s="2">
        <f t="shared" ca="1" si="123"/>
        <v>9375048.7688677721</v>
      </c>
    </row>
    <row r="117" spans="1:63" x14ac:dyDescent="0.3">
      <c r="A117" s="2">
        <v>116</v>
      </c>
      <c r="B117" s="2">
        <f t="shared" ca="1" si="62"/>
        <v>0.79404137452586498</v>
      </c>
      <c r="C117" s="2">
        <f t="shared" ca="1" si="63"/>
        <v>7.3581922009290714</v>
      </c>
      <c r="D117" s="2">
        <f t="shared" ca="1" si="64"/>
        <v>0.71078142831519431</v>
      </c>
      <c r="E117" s="2">
        <f t="shared" ca="1" si="65"/>
        <v>7.7394494471965647</v>
      </c>
      <c r="F117" s="2">
        <f t="shared" ca="1" si="66"/>
        <v>0.13890825904903126</v>
      </c>
      <c r="G117" s="2">
        <f t="shared" ca="1" si="67"/>
        <v>7.4428776292934443E-3</v>
      </c>
      <c r="H117" s="2">
        <f t="shared" ca="1" si="68"/>
        <v>7.4428776292934443E-3</v>
      </c>
      <c r="I117" s="2">
        <f t="shared" ca="1" si="69"/>
        <v>0.21664154831799065</v>
      </c>
      <c r="J117" s="2">
        <f t="shared" ca="1" si="70"/>
        <v>6.0820701993139041E-3</v>
      </c>
      <c r="K117" s="2">
        <f t="shared" ca="1" si="71"/>
        <v>6.0820701993139041E-3</v>
      </c>
      <c r="L117" s="2">
        <f t="shared" ca="1" si="72"/>
        <v>0.42447922247126169</v>
      </c>
      <c r="M117" s="2">
        <f t="shared" ca="1" si="73"/>
        <v>-3.8089508720022714E-3</v>
      </c>
      <c r="N117" s="2">
        <f t="shared" ca="1" si="74"/>
        <v>-3.8089508720022714E-3</v>
      </c>
      <c r="O117" s="2">
        <f t="shared" si="75"/>
        <v>6000000</v>
      </c>
      <c r="P117" s="2">
        <f t="shared" ca="1" si="76"/>
        <v>44149153.205574431</v>
      </c>
      <c r="Q117" s="2">
        <f t="shared" ca="1" si="77"/>
        <v>1103728.8301393609</v>
      </c>
      <c r="R117" s="2">
        <f t="shared" ca="1" si="78"/>
        <v>26489491.923344657</v>
      </c>
      <c r="S117" s="2">
        <f t="shared" ca="1" si="79"/>
        <v>17659661.282229774</v>
      </c>
      <c r="T117" s="2">
        <f t="shared" ca="1" si="80"/>
        <v>49809552.456399888</v>
      </c>
      <c r="U117" s="2">
        <f t="shared" ca="1" si="81"/>
        <v>50180278.860102743</v>
      </c>
      <c r="V117" s="2">
        <f t="shared" ca="1" si="82"/>
        <v>50553764.535062306</v>
      </c>
      <c r="W117" s="2">
        <f t="shared" ca="1" si="83"/>
        <v>50930030.018196888</v>
      </c>
      <c r="X117" s="2">
        <f t="shared" ca="1" si="84"/>
        <v>51309095.999278568</v>
      </c>
      <c r="Y117" s="2">
        <f t="shared" ca="1" si="85"/>
        <v>0.12304103509965694</v>
      </c>
      <c r="Z117" s="2">
        <f t="shared" ca="1" si="86"/>
        <v>0.12425744913951972</v>
      </c>
      <c r="AA117" s="2">
        <f t="shared" ca="1" si="87"/>
        <v>6128618.8920861026</v>
      </c>
      <c r="AB117" s="2">
        <f t="shared" ca="1" si="88"/>
        <v>6235273.4482661337</v>
      </c>
      <c r="AC117" s="2">
        <f t="shared" ca="1" si="89"/>
        <v>6281681.82552676</v>
      </c>
      <c r="AD117" s="2">
        <f t="shared" ca="1" si="90"/>
        <v>6328435.6146603124</v>
      </c>
      <c r="AE117" s="2">
        <f t="shared" ca="1" si="91"/>
        <v>6375537.3865250917</v>
      </c>
      <c r="AF117" s="2">
        <f t="shared" ca="1" si="92"/>
        <v>996191.04912799783</v>
      </c>
      <c r="AG117" s="2">
        <f t="shared" ca="1" si="93"/>
        <v>1003605.5772020549</v>
      </c>
      <c r="AH117" s="2">
        <f t="shared" ca="1" si="94"/>
        <v>1011075.2907012461</v>
      </c>
      <c r="AI117" s="2">
        <f t="shared" ca="1" si="95"/>
        <v>1018600.6003639378</v>
      </c>
      <c r="AJ117" s="2">
        <f t="shared" ca="1" si="96"/>
        <v>1026181.9199855714</v>
      </c>
      <c r="AK117" s="2">
        <f t="shared" ca="1" si="97"/>
        <v>0</v>
      </c>
      <c r="AL117" s="2">
        <f t="shared" ca="1" si="98"/>
        <v>3707.2640370285512</v>
      </c>
      <c r="AM117" s="2">
        <f t="shared" ca="1" si="99"/>
        <v>3734.8567495956272</v>
      </c>
      <c r="AN117" s="2">
        <f t="shared" ca="1" si="100"/>
        <v>3762.6548313458266</v>
      </c>
      <c r="AO117" s="2">
        <f t="shared" ca="1" si="101"/>
        <v>3790.6598108167946</v>
      </c>
      <c r="AP117" s="2">
        <f t="shared" ca="1" si="102"/>
        <v>2384054.2731010192</v>
      </c>
      <c r="AQ117" s="2">
        <f t="shared" ca="1" si="103"/>
        <v>714577.12816284224</v>
      </c>
      <c r="AR117" s="2">
        <f t="shared" ca="1" si="104"/>
        <v>740379.53547039558</v>
      </c>
      <c r="AS117" s="2">
        <f t="shared" ca="1" si="105"/>
        <v>750503.58804836869</v>
      </c>
      <c r="AT117" s="2">
        <f t="shared" ca="1" si="106"/>
        <v>760702.99271079234</v>
      </c>
      <c r="AU117" s="2">
        <f t="shared" ca="1" si="107"/>
        <v>770978.31029401044</v>
      </c>
      <c r="AV117" s="2">
        <f t="shared" ca="1" si="108"/>
        <v>2033796.4416942433</v>
      </c>
      <c r="AW117" s="2">
        <f t="shared" ca="1" si="109"/>
        <v>2103526.7984556356</v>
      </c>
      <c r="AX117" s="2">
        <f t="shared" ca="1" si="110"/>
        <v>2132313.8169265301</v>
      </c>
      <c r="AY117" s="2">
        <f t="shared" ca="1" si="111"/>
        <v>2161315.0936532165</v>
      </c>
      <c r="AZ117" s="2">
        <f t="shared" ca="1" si="112"/>
        <v>2190532.223333674</v>
      </c>
      <c r="BA117" s="2">
        <f t="shared" ca="1" si="113"/>
        <v>49343149.301722653</v>
      </c>
      <c r="BB117" s="2">
        <f t="shared" ca="1" si="114"/>
        <v>986862.98603445303</v>
      </c>
      <c r="BC117" s="2">
        <f t="shared" ca="1" si="115"/>
        <v>21866794.392343543</v>
      </c>
      <c r="BD117" s="2">
        <f t="shared" ca="1" si="116"/>
        <v>-19263390.112369135</v>
      </c>
      <c r="BE117" s="2">
        <f t="shared" ca="1" si="117"/>
        <v>2033796.4416942433</v>
      </c>
      <c r="BF117" s="2">
        <f t="shared" ca="1" si="118"/>
        <v>2103526.7984556356</v>
      </c>
      <c r="BG117" s="2">
        <f t="shared" ca="1" si="119"/>
        <v>2132313.8169265301</v>
      </c>
      <c r="BH117" s="2">
        <f t="shared" ca="1" si="120"/>
        <v>2161315.0936532165</v>
      </c>
      <c r="BI117" s="2">
        <f t="shared" ca="1" si="121"/>
        <v>24057326.615677219</v>
      </c>
      <c r="BJ117" s="2">
        <f t="shared" ca="1" si="122"/>
        <v>0.13062902441050928</v>
      </c>
      <c r="BK117" s="2">
        <f t="shared" ca="1" si="123"/>
        <v>771485.12341121212</v>
      </c>
    </row>
    <row r="118" spans="1:63" x14ac:dyDescent="0.3">
      <c r="A118" s="2">
        <v>117</v>
      </c>
      <c r="B118" s="2">
        <f t="shared" ca="1" si="62"/>
        <v>0.84012109045219407</v>
      </c>
      <c r="C118" s="2">
        <f t="shared" ca="1" si="63"/>
        <v>7.4345286752667192</v>
      </c>
      <c r="D118" s="2">
        <f t="shared" ca="1" si="64"/>
        <v>0.81748612751021121</v>
      </c>
      <c r="E118" s="2">
        <f t="shared" ca="1" si="65"/>
        <v>7.8958247398481323</v>
      </c>
      <c r="F118" s="2">
        <f t="shared" ca="1" si="66"/>
        <v>0.29226779244629764</v>
      </c>
      <c r="G118" s="2">
        <f t="shared" ca="1" si="67"/>
        <v>2.359684886619081E-2</v>
      </c>
      <c r="H118" s="2">
        <f t="shared" ca="1" si="68"/>
        <v>2.359684886619081E-2</v>
      </c>
      <c r="I118" s="2">
        <f t="shared" ca="1" si="69"/>
        <v>0.94837626146792453</v>
      </c>
      <c r="J118" s="2">
        <f t="shared" ca="1" si="70"/>
        <v>1.8146548421692804E-2</v>
      </c>
      <c r="K118" s="2">
        <f t="shared" ca="1" si="71"/>
        <v>1.8146548421692804E-2</v>
      </c>
      <c r="L118" s="2">
        <f t="shared" ca="1" si="72"/>
        <v>0.53153262925021505</v>
      </c>
      <c r="M118" s="2">
        <f t="shared" ca="1" si="73"/>
        <v>1.5824612071472948E-3</v>
      </c>
      <c r="N118" s="2">
        <f t="shared" ca="1" si="74"/>
        <v>1.5824612071472948E-3</v>
      </c>
      <c r="O118" s="2">
        <f t="shared" si="75"/>
        <v>6000000</v>
      </c>
      <c r="P118" s="2">
        <f t="shared" ca="1" si="76"/>
        <v>44607172.051600315</v>
      </c>
      <c r="Q118" s="2">
        <f t="shared" ca="1" si="77"/>
        <v>1115179.301290008</v>
      </c>
      <c r="R118" s="2">
        <f t="shared" ca="1" si="78"/>
        <v>26764303.230960187</v>
      </c>
      <c r="S118" s="2">
        <f t="shared" ca="1" si="79"/>
        <v>17842868.820640128</v>
      </c>
      <c r="T118" s="2">
        <f t="shared" ca="1" si="80"/>
        <v>50079123.060357369</v>
      </c>
      <c r="U118" s="2">
        <f t="shared" ca="1" si="81"/>
        <v>51260832.558563992</v>
      </c>
      <c r="V118" s="2">
        <f t="shared" ca="1" si="82"/>
        <v>52470426.677203543</v>
      </c>
      <c r="W118" s="2">
        <f t="shared" ca="1" si="83"/>
        <v>53708563.405450061</v>
      </c>
      <c r="X118" s="2">
        <f t="shared" ca="1" si="84"/>
        <v>54975916.258948691</v>
      </c>
      <c r="Y118" s="2">
        <f t="shared" ca="1" si="85"/>
        <v>0.12907327421084641</v>
      </c>
      <c r="Z118" s="2">
        <f t="shared" ca="1" si="86"/>
        <v>0.13270258389518497</v>
      </c>
      <c r="AA118" s="2">
        <f t="shared" ca="1" si="87"/>
        <v>6463876.3830082286</v>
      </c>
      <c r="AB118" s="2">
        <f t="shared" ca="1" si="88"/>
        <v>6802444.9331398671</v>
      </c>
      <c r="AC118" s="2">
        <f t="shared" ca="1" si="89"/>
        <v>6962961.1981477542</v>
      </c>
      <c r="AD118" s="2">
        <f t="shared" ca="1" si="90"/>
        <v>7127265.1412015976</v>
      </c>
      <c r="AE118" s="2">
        <f t="shared" ca="1" si="91"/>
        <v>7295446.1395678017</v>
      </c>
      <c r="AF118" s="2">
        <f t="shared" ca="1" si="92"/>
        <v>1001582.4612071475</v>
      </c>
      <c r="AG118" s="2">
        <f t="shared" ca="1" si="93"/>
        <v>1025216.6511712798</v>
      </c>
      <c r="AH118" s="2">
        <f t="shared" ca="1" si="94"/>
        <v>1049408.5335440708</v>
      </c>
      <c r="AI118" s="2">
        <f t="shared" ca="1" si="95"/>
        <v>1074171.2681090012</v>
      </c>
      <c r="AJ118" s="2">
        <f t="shared" ca="1" si="96"/>
        <v>1099518.3251789738</v>
      </c>
      <c r="AK118" s="2">
        <f t="shared" ca="1" si="97"/>
        <v>0</v>
      </c>
      <c r="AL118" s="2">
        <f t="shared" ca="1" si="98"/>
        <v>11817.09498206623</v>
      </c>
      <c r="AM118" s="2">
        <f t="shared" ca="1" si="99"/>
        <v>12095.941186395512</v>
      </c>
      <c r="AN118" s="2">
        <f t="shared" ca="1" si="100"/>
        <v>12381.367282465175</v>
      </c>
      <c r="AO118" s="2">
        <f t="shared" ca="1" si="101"/>
        <v>12673.528534986302</v>
      </c>
      <c r="AP118" s="2">
        <f t="shared" ca="1" si="102"/>
        <v>2408787.2907864167</v>
      </c>
      <c r="AQ118" s="2">
        <f t="shared" ca="1" si="103"/>
        <v>793911.72406381276</v>
      </c>
      <c r="AR118" s="2">
        <f t="shared" ca="1" si="104"/>
        <v>875794.6577073643</v>
      </c>
      <c r="AS118" s="2">
        <f t="shared" ca="1" si="105"/>
        <v>911238.99719248933</v>
      </c>
      <c r="AT118" s="2">
        <f t="shared" ca="1" si="106"/>
        <v>947519.71139960678</v>
      </c>
      <c r="AU118" s="2">
        <f t="shared" ca="1" si="107"/>
        <v>984656.53613662708</v>
      </c>
      <c r="AV118" s="2">
        <f t="shared" ca="1" si="108"/>
        <v>2259594.9069508514</v>
      </c>
      <c r="AW118" s="2">
        <f t="shared" ca="1" si="109"/>
        <v>2480829.2384927399</v>
      </c>
      <c r="AX118" s="2">
        <f t="shared" ca="1" si="110"/>
        <v>2581430.435438382</v>
      </c>
      <c r="AY118" s="2">
        <f t="shared" ca="1" si="111"/>
        <v>2684405.5036241082</v>
      </c>
      <c r="AZ118" s="2">
        <f t="shared" ca="1" si="112"/>
        <v>2789810.4589307983</v>
      </c>
      <c r="BA118" s="2">
        <f t="shared" ca="1" si="113"/>
        <v>57603564.117028996</v>
      </c>
      <c r="BB118" s="2">
        <f t="shared" ca="1" si="114"/>
        <v>1152071.2823405799</v>
      </c>
      <c r="BC118" s="2">
        <f t="shared" ca="1" si="115"/>
        <v>29687189.603728231</v>
      </c>
      <c r="BD118" s="2">
        <f t="shared" ca="1" si="116"/>
        <v>-19458048.121930137</v>
      </c>
      <c r="BE118" s="2">
        <f t="shared" ca="1" si="117"/>
        <v>2259594.9069508514</v>
      </c>
      <c r="BF118" s="2">
        <f t="shared" ca="1" si="118"/>
        <v>2480829.2384927399</v>
      </c>
      <c r="BG118" s="2">
        <f t="shared" ca="1" si="119"/>
        <v>2581430.435438382</v>
      </c>
      <c r="BH118" s="2">
        <f t="shared" ca="1" si="120"/>
        <v>2684405.5036241082</v>
      </c>
      <c r="BI118" s="2">
        <f t="shared" ca="1" si="121"/>
        <v>32477000.062659029</v>
      </c>
      <c r="BJ118" s="2">
        <f t="shared" ca="1" si="122"/>
        <v>0.19982017939332741</v>
      </c>
      <c r="BK118" s="2">
        <f t="shared" ca="1" si="123"/>
        <v>6508870.6619798392</v>
      </c>
    </row>
    <row r="119" spans="1:63" x14ac:dyDescent="0.3">
      <c r="A119" s="2">
        <v>118</v>
      </c>
      <c r="B119" s="2">
        <f t="shared" ca="1" si="62"/>
        <v>0.39612548004631454</v>
      </c>
      <c r="C119" s="2">
        <f t="shared" ca="1" si="63"/>
        <v>6.8900848050004164</v>
      </c>
      <c r="D119" s="2">
        <f t="shared" ca="1" si="64"/>
        <v>0.1994257563308085</v>
      </c>
      <c r="E119" s="2">
        <f t="shared" ca="1" si="65"/>
        <v>7.1315469203959569</v>
      </c>
      <c r="F119" s="2">
        <f t="shared" ca="1" si="66"/>
        <v>0.89385806759921749</v>
      </c>
      <c r="G119" s="2">
        <f t="shared" ca="1" si="67"/>
        <v>7.7419298965468064E-2</v>
      </c>
      <c r="H119" s="2">
        <f t="shared" ca="1" si="68"/>
        <v>7.7419298965468064E-2</v>
      </c>
      <c r="I119" s="2">
        <f t="shared" ca="1" si="69"/>
        <v>0.84511670168936326</v>
      </c>
      <c r="J119" s="2">
        <f t="shared" ca="1" si="70"/>
        <v>1.5078559530981389E-2</v>
      </c>
      <c r="K119" s="2">
        <f t="shared" ca="1" si="71"/>
        <v>1.5078559530981389E-2</v>
      </c>
      <c r="L119" s="2">
        <f t="shared" ca="1" si="72"/>
        <v>0.16917450555993785</v>
      </c>
      <c r="M119" s="2">
        <f t="shared" ca="1" si="73"/>
        <v>-1.9148649599298431E-2</v>
      </c>
      <c r="N119" s="2">
        <f t="shared" ca="1" si="74"/>
        <v>-1.9148649599298431E-2</v>
      </c>
      <c r="O119" s="2">
        <f t="shared" si="75"/>
        <v>6000000</v>
      </c>
      <c r="P119" s="2">
        <f t="shared" ca="1" si="76"/>
        <v>41340508.830002502</v>
      </c>
      <c r="Q119" s="2">
        <f t="shared" ca="1" si="77"/>
        <v>1033512.7207500626</v>
      </c>
      <c r="R119" s="2">
        <f t="shared" ca="1" si="78"/>
        <v>24804305.298001502</v>
      </c>
      <c r="S119" s="2">
        <f t="shared" ca="1" si="79"/>
        <v>16536203.532001002</v>
      </c>
      <c r="T119" s="2">
        <f t="shared" ca="1" si="80"/>
        <v>49042567.520035081</v>
      </c>
      <c r="U119" s="2">
        <f t="shared" ca="1" si="81"/>
        <v>52839408.71690283</v>
      </c>
      <c r="V119" s="2">
        <f t="shared" ca="1" si="82"/>
        <v>56930198.697515287</v>
      </c>
      <c r="W119" s="2">
        <f t="shared" ca="1" si="83"/>
        <v>61337694.770641722</v>
      </c>
      <c r="X119" s="2">
        <f t="shared" ca="1" si="84"/>
        <v>66086416.099942662</v>
      </c>
      <c r="Y119" s="2">
        <f t="shared" ca="1" si="85"/>
        <v>0.12753927976549068</v>
      </c>
      <c r="Z119" s="2">
        <f t="shared" ca="1" si="86"/>
        <v>0.13055499167168697</v>
      </c>
      <c r="AA119" s="2">
        <f t="shared" ca="1" si="87"/>
        <v>6254853.7393557206</v>
      </c>
      <c r="AB119" s="2">
        <f t="shared" ca="1" si="88"/>
        <v>6898448.5649721129</v>
      </c>
      <c r="AC119" s="2">
        <f t="shared" ca="1" si="89"/>
        <v>7432521.6168215927</v>
      </c>
      <c r="AD119" s="2">
        <f t="shared" ca="1" si="90"/>
        <v>8007942.2299416075</v>
      </c>
      <c r="AE119" s="2">
        <f t="shared" ca="1" si="91"/>
        <v>8627911.5035396535</v>
      </c>
      <c r="AF119" s="2">
        <f t="shared" ca="1" si="92"/>
        <v>980851.35040070163</v>
      </c>
      <c r="AG119" s="2">
        <f t="shared" ca="1" si="93"/>
        <v>1056788.1743380567</v>
      </c>
      <c r="AH119" s="2">
        <f t="shared" ca="1" si="94"/>
        <v>1138603.9739503057</v>
      </c>
      <c r="AI119" s="2">
        <f t="shared" ca="1" si="95"/>
        <v>1226753.8954128344</v>
      </c>
      <c r="AJ119" s="2">
        <f t="shared" ca="1" si="96"/>
        <v>1321728.3219988532</v>
      </c>
      <c r="AK119" s="2">
        <f t="shared" ca="1" si="97"/>
        <v>0</v>
      </c>
      <c r="AL119" s="2">
        <f t="shared" ca="1" si="98"/>
        <v>37968.411968677494</v>
      </c>
      <c r="AM119" s="2">
        <f t="shared" ca="1" si="99"/>
        <v>40907.899806124566</v>
      </c>
      <c r="AN119" s="2">
        <f t="shared" ca="1" si="100"/>
        <v>44074.960731264357</v>
      </c>
      <c r="AO119" s="2">
        <f t="shared" ca="1" si="101"/>
        <v>47487.213293009401</v>
      </c>
      <c r="AP119" s="2">
        <f t="shared" ca="1" si="102"/>
        <v>2232387.476820135</v>
      </c>
      <c r="AQ119" s="2">
        <f t="shared" ca="1" si="103"/>
        <v>790819.87715506996</v>
      </c>
      <c r="AR119" s="2">
        <f t="shared" ca="1" si="104"/>
        <v>938410.95759161958</v>
      </c>
      <c r="AS119" s="2">
        <f t="shared" ca="1" si="105"/>
        <v>1055997.8431732995</v>
      </c>
      <c r="AT119" s="2">
        <f t="shared" ca="1" si="106"/>
        <v>1182688.2230042461</v>
      </c>
      <c r="AU119" s="2">
        <f t="shared" ca="1" si="107"/>
        <v>1319186.8832273728</v>
      </c>
      <c r="AV119" s="2">
        <f t="shared" ca="1" si="108"/>
        <v>2250795.0349798142</v>
      </c>
      <c r="AW119" s="2">
        <f t="shared" ca="1" si="109"/>
        <v>2632893.5442536245</v>
      </c>
      <c r="AX119" s="2">
        <f t="shared" ca="1" si="110"/>
        <v>2964624.4230717276</v>
      </c>
      <c r="AY119" s="2">
        <f t="shared" ca="1" si="111"/>
        <v>3322037.6739731277</v>
      </c>
      <c r="AZ119" s="2">
        <f t="shared" ca="1" si="112"/>
        <v>3707121.6082002833</v>
      </c>
      <c r="BA119" s="2">
        <f t="shared" ca="1" si="113"/>
        <v>61530355.712517068</v>
      </c>
      <c r="BB119" s="2">
        <f t="shared" ca="1" si="114"/>
        <v>1230607.1142503414</v>
      </c>
      <c r="BC119" s="2">
        <f t="shared" ca="1" si="115"/>
        <v>35495443.30026523</v>
      </c>
      <c r="BD119" s="2">
        <f t="shared" ca="1" si="116"/>
        <v>-18069716.252751064</v>
      </c>
      <c r="BE119" s="2">
        <f t="shared" ca="1" si="117"/>
        <v>2250795.0349798142</v>
      </c>
      <c r="BF119" s="2">
        <f t="shared" ca="1" si="118"/>
        <v>2632893.5442536245</v>
      </c>
      <c r="BG119" s="2">
        <f t="shared" ca="1" si="119"/>
        <v>2964624.4230717276</v>
      </c>
      <c r="BH119" s="2">
        <f t="shared" ca="1" si="120"/>
        <v>3322037.6739731277</v>
      </c>
      <c r="BI119" s="2">
        <f t="shared" ca="1" si="121"/>
        <v>39202564.908465512</v>
      </c>
      <c r="BJ119" s="2">
        <f t="shared" ca="1" si="122"/>
        <v>0.26871371052115345</v>
      </c>
      <c r="BK119" s="2">
        <f t="shared" ca="1" si="123"/>
        <v>12504813.032655068</v>
      </c>
    </row>
    <row r="120" spans="1:63" x14ac:dyDescent="0.3">
      <c r="A120" s="2">
        <v>119</v>
      </c>
      <c r="B120" s="2">
        <f t="shared" ca="1" si="62"/>
        <v>0.76113550122672835</v>
      </c>
      <c r="C120" s="2">
        <f t="shared" ca="1" si="63"/>
        <v>7.308820574997676</v>
      </c>
      <c r="D120" s="2">
        <f t="shared" ca="1" si="64"/>
        <v>0.94944027281402987</v>
      </c>
      <c r="E120" s="2">
        <f t="shared" ca="1" si="65"/>
        <v>8.1820071472942502</v>
      </c>
      <c r="F120" s="2">
        <f t="shared" ca="1" si="66"/>
        <v>2.5449891612521203E-2</v>
      </c>
      <c r="G120" s="2">
        <f t="shared" ca="1" si="67"/>
        <v>-1.8569711547814685E-2</v>
      </c>
      <c r="H120" s="2">
        <f t="shared" ca="1" si="68"/>
        <v>-1.8569711547814685E-2</v>
      </c>
      <c r="I120" s="2">
        <f t="shared" ca="1" si="69"/>
        <v>0.86168347944101709</v>
      </c>
      <c r="J120" s="2">
        <f t="shared" ca="1" si="70"/>
        <v>1.5439570384182012E-2</v>
      </c>
      <c r="K120" s="2">
        <f t="shared" ca="1" si="71"/>
        <v>1.5439570384182012E-2</v>
      </c>
      <c r="L120" s="2">
        <f t="shared" ca="1" si="72"/>
        <v>0.74299486404890014</v>
      </c>
      <c r="M120" s="2">
        <f t="shared" ca="1" si="73"/>
        <v>1.3052121382250656E-2</v>
      </c>
      <c r="N120" s="2">
        <f t="shared" ca="1" si="74"/>
        <v>1.3052121382250656E-2</v>
      </c>
      <c r="O120" s="2">
        <f t="shared" si="75"/>
        <v>6000000</v>
      </c>
      <c r="P120" s="2">
        <f t="shared" ca="1" si="76"/>
        <v>43852923.449986055</v>
      </c>
      <c r="Q120" s="2">
        <f t="shared" ca="1" si="77"/>
        <v>1096323.0862496514</v>
      </c>
      <c r="R120" s="2">
        <f t="shared" ca="1" si="78"/>
        <v>26311754.069991633</v>
      </c>
      <c r="S120" s="2">
        <f t="shared" ca="1" si="79"/>
        <v>17541169.379994422</v>
      </c>
      <c r="T120" s="2">
        <f t="shared" ca="1" si="80"/>
        <v>50652606.069112539</v>
      </c>
      <c r="U120" s="2">
        <f t="shared" ca="1" si="81"/>
        <v>49712001.78526403</v>
      </c>
      <c r="V120" s="2">
        <f t="shared" ca="1" si="82"/>
        <v>48788864.251647227</v>
      </c>
      <c r="W120" s="2">
        <f t="shared" ca="1" si="83"/>
        <v>47882869.115748651</v>
      </c>
      <c r="X120" s="2">
        <f t="shared" ca="1" si="84"/>
        <v>46993698.048187435</v>
      </c>
      <c r="Y120" s="2">
        <f t="shared" ca="1" si="85"/>
        <v>0.12771978519209101</v>
      </c>
      <c r="Z120" s="2">
        <f t="shared" ca="1" si="86"/>
        <v>0.13080769926892741</v>
      </c>
      <c r="AA120" s="2">
        <f t="shared" ca="1" si="87"/>
        <v>6469339.9665666586</v>
      </c>
      <c r="AB120" s="2">
        <f t="shared" ca="1" si="88"/>
        <v>6502712.5795831997</v>
      </c>
      <c r="AC120" s="2">
        <f t="shared" ca="1" si="89"/>
        <v>6381959.0827019932</v>
      </c>
      <c r="AD120" s="2">
        <f t="shared" ca="1" si="90"/>
        <v>6263447.9434262617</v>
      </c>
      <c r="AE120" s="2">
        <f t="shared" ca="1" si="91"/>
        <v>6147137.5218220828</v>
      </c>
      <c r="AF120" s="2">
        <f t="shared" ca="1" si="92"/>
        <v>1013052.1213822508</v>
      </c>
      <c r="AG120" s="2">
        <f t="shared" ca="1" si="93"/>
        <v>994240.03570528061</v>
      </c>
      <c r="AH120" s="2">
        <f t="shared" ca="1" si="94"/>
        <v>975777.28503294452</v>
      </c>
      <c r="AI120" s="2">
        <f t="shared" ca="1" si="95"/>
        <v>957657.38231497305</v>
      </c>
      <c r="AJ120" s="2">
        <f t="shared" ca="1" si="96"/>
        <v>939873.96096374874</v>
      </c>
      <c r="AK120" s="2">
        <f t="shared" ca="1" si="97"/>
        <v>0</v>
      </c>
      <c r="AL120" s="2">
        <f t="shared" ca="1" si="98"/>
        <v>0</v>
      </c>
      <c r="AM120" s="2">
        <f t="shared" ca="1" si="99"/>
        <v>0</v>
      </c>
      <c r="AN120" s="2">
        <f t="shared" ca="1" si="100"/>
        <v>0</v>
      </c>
      <c r="AO120" s="2">
        <f t="shared" ca="1" si="101"/>
        <v>0</v>
      </c>
      <c r="AP120" s="2">
        <f t="shared" ca="1" si="102"/>
        <v>2368057.8662992469</v>
      </c>
      <c r="AQ120" s="2">
        <f t="shared" ca="1" si="103"/>
        <v>802939.79451014195</v>
      </c>
      <c r="AR120" s="2">
        <f t="shared" ca="1" si="104"/>
        <v>816507.81617045484</v>
      </c>
      <c r="AS120" s="2">
        <f t="shared" ca="1" si="105"/>
        <v>789912.2221561484</v>
      </c>
      <c r="AT120" s="2">
        <f t="shared" ca="1" si="106"/>
        <v>763810.5006511308</v>
      </c>
      <c r="AU120" s="2">
        <f t="shared" ca="1" si="107"/>
        <v>738193.48058536276</v>
      </c>
      <c r="AV120" s="2">
        <f t="shared" ca="1" si="108"/>
        <v>2285290.1843750193</v>
      </c>
      <c r="AW120" s="2">
        <f t="shared" ca="1" si="109"/>
        <v>2323906.8614082173</v>
      </c>
      <c r="AX120" s="2">
        <f t="shared" ca="1" si="110"/>
        <v>2248211.7092136531</v>
      </c>
      <c r="AY120" s="2">
        <f t="shared" ca="1" si="111"/>
        <v>2173922.1941609108</v>
      </c>
      <c r="AZ120" s="2">
        <f t="shared" ca="1" si="112"/>
        <v>2101012.2139737247</v>
      </c>
      <c r="BA120" s="2">
        <f t="shared" ca="1" si="113"/>
        <v>50295923.138948947</v>
      </c>
      <c r="BB120" s="2">
        <f t="shared" ca="1" si="114"/>
        <v>1005918.462778979</v>
      </c>
      <c r="BC120" s="2">
        <f t="shared" ca="1" si="115"/>
        <v>22978250.606178336</v>
      </c>
      <c r="BD120" s="2">
        <f t="shared" ca="1" si="116"/>
        <v>-19137492.466244072</v>
      </c>
      <c r="BE120" s="2">
        <f t="shared" ca="1" si="117"/>
        <v>2285290.1843750193</v>
      </c>
      <c r="BF120" s="2">
        <f t="shared" ca="1" si="118"/>
        <v>2323906.8614082173</v>
      </c>
      <c r="BG120" s="2">
        <f t="shared" ca="1" si="119"/>
        <v>2248211.7092136531</v>
      </c>
      <c r="BH120" s="2">
        <f t="shared" ca="1" si="120"/>
        <v>2173922.1941609108</v>
      </c>
      <c r="BI120" s="2">
        <f t="shared" ca="1" si="121"/>
        <v>25079262.820152059</v>
      </c>
      <c r="BJ120" s="2">
        <f t="shared" ca="1" si="122"/>
        <v>0.14699906162687415</v>
      </c>
      <c r="BK120" s="2">
        <f t="shared" ca="1" si="123"/>
        <v>1967996.3090250306</v>
      </c>
    </row>
    <row r="121" spans="1:63" x14ac:dyDescent="0.3">
      <c r="A121" s="2">
        <v>120</v>
      </c>
      <c r="B121" s="2">
        <f t="shared" ca="1" si="62"/>
        <v>0.54741750176936221</v>
      </c>
      <c r="C121" s="2">
        <f t="shared" ca="1" si="63"/>
        <v>7.0485984042155092</v>
      </c>
      <c r="D121" s="2">
        <f t="shared" ca="1" si="64"/>
        <v>0.36213728966244607</v>
      </c>
      <c r="E121" s="2">
        <f t="shared" ca="1" si="65"/>
        <v>7.3510432299976847</v>
      </c>
      <c r="F121" s="2">
        <f t="shared" ca="1" si="66"/>
        <v>0.59072617096772617</v>
      </c>
      <c r="G121" s="2">
        <f t="shared" ca="1" si="67"/>
        <v>4.6882400614661243E-2</v>
      </c>
      <c r="H121" s="2">
        <f t="shared" ca="1" si="68"/>
        <v>4.6882400614661243E-2</v>
      </c>
      <c r="I121" s="2">
        <f t="shared" ca="1" si="69"/>
        <v>0.64991857117520602</v>
      </c>
      <c r="J121" s="2">
        <f t="shared" ca="1" si="70"/>
        <v>1.1925503174429511E-2</v>
      </c>
      <c r="K121" s="2">
        <f t="shared" ca="1" si="71"/>
        <v>1.1925503174429511E-2</v>
      </c>
      <c r="L121" s="2">
        <f t="shared" ca="1" si="72"/>
        <v>0.10224456125611359</v>
      </c>
      <c r="M121" s="2">
        <f t="shared" ca="1" si="73"/>
        <v>-2.5377305314586866E-2</v>
      </c>
      <c r="N121" s="2">
        <f t="shared" ca="1" si="74"/>
        <v>-2.5377305314586866E-2</v>
      </c>
      <c r="O121" s="2">
        <f t="shared" si="75"/>
        <v>6000000</v>
      </c>
      <c r="P121" s="2">
        <f t="shared" ca="1" si="76"/>
        <v>42291590.425293058</v>
      </c>
      <c r="Q121" s="2">
        <f t="shared" ca="1" si="77"/>
        <v>1057289.7606323266</v>
      </c>
      <c r="R121" s="2">
        <f t="shared" ca="1" si="78"/>
        <v>25374954.255175833</v>
      </c>
      <c r="S121" s="2">
        <f t="shared" ca="1" si="79"/>
        <v>16916636.170117225</v>
      </c>
      <c r="T121" s="2">
        <f t="shared" ca="1" si="80"/>
        <v>48731134.734270662</v>
      </c>
      <c r="U121" s="2">
        <f t="shared" ca="1" si="81"/>
        <v>51015767.315289773</v>
      </c>
      <c r="V121" s="2">
        <f t="shared" ca="1" si="82"/>
        <v>53407508.95622953</v>
      </c>
      <c r="W121" s="2">
        <f t="shared" ca="1" si="83"/>
        <v>55911381.186946593</v>
      </c>
      <c r="X121" s="2">
        <f t="shared" ca="1" si="84"/>
        <v>58532640.958672062</v>
      </c>
      <c r="Y121" s="2">
        <f t="shared" ca="1" si="85"/>
        <v>0.12596275158721476</v>
      </c>
      <c r="Z121" s="2">
        <f t="shared" ca="1" si="86"/>
        <v>0.12834785222210066</v>
      </c>
      <c r="AA121" s="2">
        <f t="shared" ca="1" si="87"/>
        <v>6138307.8190960279</v>
      </c>
      <c r="AB121" s="2">
        <f t="shared" ca="1" si="88"/>
        <v>6547764.1643798845</v>
      </c>
      <c r="AC121" s="2">
        <f t="shared" ca="1" si="89"/>
        <v>6854739.0670646653</v>
      </c>
      <c r="AD121" s="2">
        <f t="shared" ca="1" si="90"/>
        <v>7176105.6901157601</v>
      </c>
      <c r="AE121" s="2">
        <f t="shared" ca="1" si="91"/>
        <v>7512538.7519329181</v>
      </c>
      <c r="AF121" s="2">
        <f t="shared" ca="1" si="92"/>
        <v>974622.69468541327</v>
      </c>
      <c r="AG121" s="2">
        <f t="shared" ca="1" si="93"/>
        <v>1020315.3463057955</v>
      </c>
      <c r="AH121" s="2">
        <f t="shared" ca="1" si="94"/>
        <v>1068150.1791245907</v>
      </c>
      <c r="AI121" s="2">
        <f t="shared" ca="1" si="95"/>
        <v>1118227.623738932</v>
      </c>
      <c r="AJ121" s="2">
        <f t="shared" ca="1" si="96"/>
        <v>1170652.8191734413</v>
      </c>
      <c r="AK121" s="2">
        <f t="shared" ca="1" si="97"/>
        <v>0</v>
      </c>
      <c r="AL121" s="2">
        <f t="shared" ca="1" si="98"/>
        <v>22846.325810191109</v>
      </c>
      <c r="AM121" s="2">
        <f t="shared" ca="1" si="99"/>
        <v>23917.416409397574</v>
      </c>
      <c r="AN121" s="2">
        <f t="shared" ca="1" si="100"/>
        <v>25038.722307170628</v>
      </c>
      <c r="AO121" s="2">
        <f t="shared" ca="1" si="101"/>
        <v>26212.597717254685</v>
      </c>
      <c r="AP121" s="2">
        <f t="shared" ca="1" si="102"/>
        <v>2283745.882965825</v>
      </c>
      <c r="AQ121" s="2">
        <f t="shared" ca="1" si="103"/>
        <v>748784.2027756453</v>
      </c>
      <c r="AR121" s="2">
        <f t="shared" ca="1" si="104"/>
        <v>843362.76312814851</v>
      </c>
      <c r="AS121" s="2">
        <f t="shared" ca="1" si="105"/>
        <v>910739.18129330489</v>
      </c>
      <c r="AT121" s="2">
        <f t="shared" ca="1" si="106"/>
        <v>981274.36768686073</v>
      </c>
      <c r="AU121" s="2">
        <f t="shared" ca="1" si="107"/>
        <v>1055116.4129463495</v>
      </c>
      <c r="AV121" s="2">
        <f t="shared" ca="1" si="108"/>
        <v>2131155.0386691443</v>
      </c>
      <c r="AW121" s="2">
        <f t="shared" ca="1" si="109"/>
        <v>2377493.8461699239</v>
      </c>
      <c r="AX121" s="2">
        <f t="shared" ca="1" si="110"/>
        <v>2568186.4072715468</v>
      </c>
      <c r="AY121" s="2">
        <f t="shared" ca="1" si="111"/>
        <v>2767819.0934169707</v>
      </c>
      <c r="AZ121" s="2">
        <f t="shared" ca="1" si="112"/>
        <v>2976811.0391300474</v>
      </c>
      <c r="BA121" s="2">
        <f t="shared" ca="1" si="113"/>
        <v>55224997.13249173</v>
      </c>
      <c r="BB121" s="2">
        <f t="shared" ca="1" si="114"/>
        <v>1104499.9426498346</v>
      </c>
      <c r="BC121" s="2">
        <f t="shared" ca="1" si="115"/>
        <v>28745542.934666064</v>
      </c>
      <c r="BD121" s="2">
        <f t="shared" ca="1" si="116"/>
        <v>-18473925.93074955</v>
      </c>
      <c r="BE121" s="2">
        <f t="shared" ca="1" si="117"/>
        <v>2131155.0386691443</v>
      </c>
      <c r="BF121" s="2">
        <f t="shared" ca="1" si="118"/>
        <v>2377493.8461699239</v>
      </c>
      <c r="BG121" s="2">
        <f t="shared" ca="1" si="119"/>
        <v>2568186.4072715468</v>
      </c>
      <c r="BH121" s="2">
        <f t="shared" ca="1" si="120"/>
        <v>2767819.0934169707</v>
      </c>
      <c r="BI121" s="2">
        <f t="shared" ca="1" si="121"/>
        <v>31722353.973796111</v>
      </c>
      <c r="BJ121" s="2">
        <f t="shared" ca="1" si="122"/>
        <v>0.20812843877145548</v>
      </c>
      <c r="BK121" s="2">
        <f t="shared" ca="1" si="123"/>
        <v>6911313.60650694</v>
      </c>
    </row>
    <row r="122" spans="1:63" x14ac:dyDescent="0.3">
      <c r="A122" s="2">
        <v>121</v>
      </c>
      <c r="B122" s="2">
        <f t="shared" ca="1" si="62"/>
        <v>0.79785499641745516</v>
      </c>
      <c r="C122" s="2">
        <f t="shared" ca="1" si="63"/>
        <v>7.3641619646756808</v>
      </c>
      <c r="D122" s="2">
        <f t="shared" ca="1" si="64"/>
        <v>9.9941606644749825E-2</v>
      </c>
      <c r="E122" s="2">
        <f t="shared" ca="1" si="65"/>
        <v>6.9470830049213452</v>
      </c>
      <c r="F122" s="2">
        <f t="shared" ca="1" si="66"/>
        <v>0.60229589168952347</v>
      </c>
      <c r="G122" s="2">
        <f t="shared" ca="1" si="67"/>
        <v>4.7778827459388981E-2</v>
      </c>
      <c r="H122" s="2">
        <f t="shared" ca="1" si="68"/>
        <v>4.7778827459388981E-2</v>
      </c>
      <c r="I122" s="2">
        <f t="shared" ca="1" si="69"/>
        <v>0.28502454354480389</v>
      </c>
      <c r="J122" s="2">
        <f t="shared" ca="1" si="70"/>
        <v>7.1601039663747581E-3</v>
      </c>
      <c r="K122" s="2">
        <f t="shared" ca="1" si="71"/>
        <v>7.1601039663747581E-3</v>
      </c>
      <c r="L122" s="2">
        <f t="shared" ca="1" si="72"/>
        <v>0.57372640414932929</v>
      </c>
      <c r="M122" s="2">
        <f t="shared" ca="1" si="73"/>
        <v>3.7173876832253595E-3</v>
      </c>
      <c r="N122" s="2">
        <f t="shared" ca="1" si="74"/>
        <v>3.7173876832253595E-3</v>
      </c>
      <c r="O122" s="2">
        <f t="shared" si="75"/>
        <v>6000000</v>
      </c>
      <c r="P122" s="2">
        <f t="shared" ca="1" si="76"/>
        <v>44184971.788054086</v>
      </c>
      <c r="Q122" s="2">
        <f t="shared" ca="1" si="77"/>
        <v>1104624.2947013522</v>
      </c>
      <c r="R122" s="2">
        <f t="shared" ca="1" si="78"/>
        <v>26510983.07283245</v>
      </c>
      <c r="S122" s="2">
        <f t="shared" ca="1" si="79"/>
        <v>17673988.715221636</v>
      </c>
      <c r="T122" s="2">
        <f t="shared" ca="1" si="80"/>
        <v>50185869.384161264</v>
      </c>
      <c r="U122" s="2">
        <f t="shared" ca="1" si="81"/>
        <v>52583691.37836653</v>
      </c>
      <c r="V122" s="2">
        <f t="shared" ca="1" si="82"/>
        <v>55096078.495911263</v>
      </c>
      <c r="W122" s="2">
        <f t="shared" ca="1" si="83"/>
        <v>57728504.524056353</v>
      </c>
      <c r="X122" s="2">
        <f t="shared" ca="1" si="84"/>
        <v>60486704.781199791</v>
      </c>
      <c r="Y122" s="2">
        <f t="shared" ca="1" si="85"/>
        <v>0.12358005198318738</v>
      </c>
      <c r="Z122" s="2">
        <f t="shared" ca="1" si="86"/>
        <v>0.12501207277646231</v>
      </c>
      <c r="AA122" s="2">
        <f t="shared" ca="1" si="87"/>
        <v>6201972.3473161012</v>
      </c>
      <c r="AB122" s="2">
        <f t="shared" ca="1" si="88"/>
        <v>6573596.2534473902</v>
      </c>
      <c r="AC122" s="2">
        <f t="shared" ca="1" si="89"/>
        <v>6887674.9746285388</v>
      </c>
      <c r="AD122" s="2">
        <f t="shared" ca="1" si="90"/>
        <v>7216760.0088376664</v>
      </c>
      <c r="AE122" s="2">
        <f t="shared" ca="1" si="91"/>
        <v>7561568.340115739</v>
      </c>
      <c r="AF122" s="2">
        <f t="shared" ca="1" si="92"/>
        <v>1003717.3876832253</v>
      </c>
      <c r="AG122" s="2">
        <f t="shared" ca="1" si="93"/>
        <v>1051673.8275673306</v>
      </c>
      <c r="AH122" s="2">
        <f t="shared" ca="1" si="94"/>
        <v>1101921.5699182253</v>
      </c>
      <c r="AI122" s="2">
        <f t="shared" ca="1" si="95"/>
        <v>1154570.0904811271</v>
      </c>
      <c r="AJ122" s="2">
        <f t="shared" ca="1" si="96"/>
        <v>1209734.0956239959</v>
      </c>
      <c r="AK122" s="2">
        <f t="shared" ca="1" si="97"/>
        <v>0</v>
      </c>
      <c r="AL122" s="2">
        <f t="shared" ca="1" si="98"/>
        <v>23978.219942052663</v>
      </c>
      <c r="AM122" s="2">
        <f t="shared" ca="1" si="99"/>
        <v>25123.87117544733</v>
      </c>
      <c r="AN122" s="2">
        <f t="shared" ca="1" si="100"/>
        <v>26324.260281450897</v>
      </c>
      <c r="AO122" s="2">
        <f t="shared" ca="1" si="101"/>
        <v>27582.002571434379</v>
      </c>
      <c r="AP122" s="2">
        <f t="shared" ca="1" si="102"/>
        <v>2385988.4765549204</v>
      </c>
      <c r="AQ122" s="2">
        <f t="shared" ca="1" si="103"/>
        <v>731189.28560026828</v>
      </c>
      <c r="AR122" s="2">
        <f t="shared" ca="1" si="104"/>
        <v>815342.8268245362</v>
      </c>
      <c r="AS122" s="2">
        <f t="shared" ca="1" si="105"/>
        <v>883938.88132040214</v>
      </c>
      <c r="AT122" s="2">
        <f t="shared" ca="1" si="106"/>
        <v>955812.374868421</v>
      </c>
      <c r="AU122" s="2">
        <f t="shared" ca="1" si="107"/>
        <v>1031119.8996635738</v>
      </c>
      <c r="AV122" s="2">
        <f t="shared" ca="1" si="108"/>
        <v>2081077.1974776867</v>
      </c>
      <c r="AW122" s="2">
        <f t="shared" ca="1" si="109"/>
        <v>2296612.9025585498</v>
      </c>
      <c r="AX122" s="2">
        <f t="shared" ca="1" si="110"/>
        <v>2490702.1756595434</v>
      </c>
      <c r="AY122" s="2">
        <f t="shared" ca="1" si="111"/>
        <v>2694064.8066517473</v>
      </c>
      <c r="AZ122" s="2">
        <f t="shared" ca="1" si="112"/>
        <v>2907143.8657018137</v>
      </c>
      <c r="BA122" s="2">
        <f t="shared" ca="1" si="113"/>
        <v>52530842.906169355</v>
      </c>
      <c r="BB122" s="2">
        <f t="shared" ca="1" si="114"/>
        <v>1050616.8581233872</v>
      </c>
      <c r="BC122" s="2">
        <f t="shared" ca="1" si="115"/>
        <v>24969242.975213517</v>
      </c>
      <c r="BD122" s="2">
        <f t="shared" ca="1" si="116"/>
        <v>-19278613.009922989</v>
      </c>
      <c r="BE122" s="2">
        <f t="shared" ca="1" si="117"/>
        <v>2081077.1974776867</v>
      </c>
      <c r="BF122" s="2">
        <f t="shared" ca="1" si="118"/>
        <v>2296612.9025585498</v>
      </c>
      <c r="BG122" s="2">
        <f t="shared" ca="1" si="119"/>
        <v>2490702.1756595434</v>
      </c>
      <c r="BH122" s="2">
        <f t="shared" ca="1" si="120"/>
        <v>2694064.8066517473</v>
      </c>
      <c r="BI122" s="2">
        <f t="shared" ca="1" si="121"/>
        <v>27876386.84091533</v>
      </c>
      <c r="BJ122" s="2">
        <f t="shared" ca="1" si="122"/>
        <v>0.16831125108864131</v>
      </c>
      <c r="BK122" s="2">
        <f t="shared" ca="1" si="123"/>
        <v>3713107.4104841128</v>
      </c>
    </row>
    <row r="123" spans="1:63" x14ac:dyDescent="0.3">
      <c r="A123" s="2">
        <v>122</v>
      </c>
      <c r="B123" s="2">
        <f t="shared" ca="1" si="62"/>
        <v>0.96630471448831334</v>
      </c>
      <c r="C123" s="2">
        <f t="shared" ca="1" si="63"/>
        <v>7.7404030604506797</v>
      </c>
      <c r="D123" s="2">
        <f t="shared" ca="1" si="64"/>
        <v>0.764883997726026</v>
      </c>
      <c r="E123" s="2">
        <f t="shared" ca="1" si="65"/>
        <v>7.8142653541289109</v>
      </c>
      <c r="F123" s="2">
        <f t="shared" ca="1" si="66"/>
        <v>0.28803127330793543</v>
      </c>
      <c r="G123" s="2">
        <f t="shared" ca="1" si="67"/>
        <v>2.322564037478872E-2</v>
      </c>
      <c r="H123" s="2">
        <f t="shared" ca="1" si="68"/>
        <v>2.322564037478872E-2</v>
      </c>
      <c r="I123" s="2">
        <f t="shared" ca="1" si="69"/>
        <v>0.45822190958630438</v>
      </c>
      <c r="J123" s="2">
        <f t="shared" ca="1" si="70"/>
        <v>9.4754285462496611E-3</v>
      </c>
      <c r="K123" s="2">
        <f t="shared" ca="1" si="71"/>
        <v>9.4754285462496611E-3</v>
      </c>
      <c r="L123" s="2">
        <f t="shared" ca="1" si="72"/>
        <v>0.12637536489219903</v>
      </c>
      <c r="M123" s="2">
        <f t="shared" ca="1" si="73"/>
        <v>-2.2873871938268318E-2</v>
      </c>
      <c r="N123" s="2">
        <f t="shared" ca="1" si="74"/>
        <v>-2.2873871938268318E-2</v>
      </c>
      <c r="O123" s="2">
        <f t="shared" si="75"/>
        <v>6000000</v>
      </c>
      <c r="P123" s="2">
        <f t="shared" ca="1" si="76"/>
        <v>46442418.362704076</v>
      </c>
      <c r="Q123" s="2">
        <f t="shared" ca="1" si="77"/>
        <v>1161060.4590676019</v>
      </c>
      <c r="R123" s="2">
        <f t="shared" ca="1" si="78"/>
        <v>27865451.017622445</v>
      </c>
      <c r="S123" s="2">
        <f t="shared" ca="1" si="79"/>
        <v>18576967.345081631</v>
      </c>
      <c r="T123" s="2">
        <f t="shared" ca="1" si="80"/>
        <v>48856306.403086588</v>
      </c>
      <c r="U123" s="2">
        <f t="shared" ca="1" si="81"/>
        <v>49991025.405645169</v>
      </c>
      <c r="V123" s="2">
        <f t="shared" ca="1" si="82"/>
        <v>51152098.983683616</v>
      </c>
      <c r="W123" s="2">
        <f t="shared" ca="1" si="83"/>
        <v>52340139.23909425</v>
      </c>
      <c r="X123" s="2">
        <f t="shared" ca="1" si="84"/>
        <v>53555772.490227826</v>
      </c>
      <c r="Y123" s="2">
        <f t="shared" ca="1" si="85"/>
        <v>0.12473771427312483</v>
      </c>
      <c r="Z123" s="2">
        <f t="shared" ca="1" si="86"/>
        <v>0.12663279998237476</v>
      </c>
      <c r="AA123" s="2">
        <f t="shared" ca="1" si="87"/>
        <v>6094223.9885484539</v>
      </c>
      <c r="AB123" s="2">
        <f t="shared" ca="1" si="88"/>
        <v>6330503.5211068792</v>
      </c>
      <c r="AC123" s="2">
        <f t="shared" ca="1" si="89"/>
        <v>6477533.5192794427</v>
      </c>
      <c r="AD123" s="2">
        <f t="shared" ca="1" si="90"/>
        <v>6627978.3833138663</v>
      </c>
      <c r="AE123" s="2">
        <f t="shared" ca="1" si="91"/>
        <v>6781917.4256565887</v>
      </c>
      <c r="AF123" s="2">
        <f t="shared" ca="1" si="92"/>
        <v>977126.12806173181</v>
      </c>
      <c r="AG123" s="2">
        <f t="shared" ca="1" si="93"/>
        <v>999820.50811290345</v>
      </c>
      <c r="AH123" s="2">
        <f t="shared" ca="1" si="94"/>
        <v>1023041.9796736724</v>
      </c>
      <c r="AI123" s="2">
        <f t="shared" ca="1" si="95"/>
        <v>1046802.784781885</v>
      </c>
      <c r="AJ123" s="2">
        <f t="shared" ca="1" si="96"/>
        <v>1071115.4498045566</v>
      </c>
      <c r="AK123" s="2">
        <f t="shared" ca="1" si="97"/>
        <v>0</v>
      </c>
      <c r="AL123" s="2">
        <f t="shared" ca="1" si="98"/>
        <v>11347.190025585816</v>
      </c>
      <c r="AM123" s="2">
        <f t="shared" ca="1" si="99"/>
        <v>11610.735780384466</v>
      </c>
      <c r="AN123" s="2">
        <f t="shared" ca="1" si="100"/>
        <v>11880.40255410634</v>
      </c>
      <c r="AO123" s="2">
        <f t="shared" ca="1" si="101"/>
        <v>12156.332511335761</v>
      </c>
      <c r="AP123" s="2">
        <f t="shared" ca="1" si="102"/>
        <v>2507890.5915860198</v>
      </c>
      <c r="AQ123" s="2">
        <f t="shared" ca="1" si="103"/>
        <v>678393.88991418248</v>
      </c>
      <c r="AR123" s="2">
        <f t="shared" ca="1" si="104"/>
        <v>733926.02956606855</v>
      </c>
      <c r="AS123" s="2">
        <f t="shared" ca="1" si="105"/>
        <v>766116.24648513517</v>
      </c>
      <c r="AT123" s="2">
        <f t="shared" ca="1" si="106"/>
        <v>799054.10180594993</v>
      </c>
      <c r="AU123" s="2">
        <f t="shared" ca="1" si="107"/>
        <v>832756.95990916318</v>
      </c>
      <c r="AV123" s="2">
        <f t="shared" ca="1" si="108"/>
        <v>1930813.3789865188</v>
      </c>
      <c r="AW123" s="2">
        <f t="shared" ca="1" si="109"/>
        <v>2077519.2018163018</v>
      </c>
      <c r="AX123" s="2">
        <f t="shared" ca="1" si="110"/>
        <v>2168873.9657542305</v>
      </c>
      <c r="AY123" s="2">
        <f t="shared" ca="1" si="111"/>
        <v>2262350.5025859056</v>
      </c>
      <c r="AZ123" s="2">
        <f t="shared" ca="1" si="112"/>
        <v>2357998.0918455133</v>
      </c>
      <c r="BA123" s="2">
        <f t="shared" ca="1" si="113"/>
        <v>52995702.373871416</v>
      </c>
      <c r="BB123" s="2">
        <f t="shared" ca="1" si="114"/>
        <v>1059914.0474774283</v>
      </c>
      <c r="BC123" s="2">
        <f t="shared" ca="1" si="115"/>
        <v>24070337.308771543</v>
      </c>
      <c r="BD123" s="2">
        <f t="shared" ca="1" si="116"/>
        <v>-20238027.804149233</v>
      </c>
      <c r="BE123" s="2">
        <f t="shared" ca="1" si="117"/>
        <v>1930813.3789865188</v>
      </c>
      <c r="BF123" s="2">
        <f t="shared" ca="1" si="118"/>
        <v>2077519.2018163018</v>
      </c>
      <c r="BG123" s="2">
        <f t="shared" ca="1" si="119"/>
        <v>2168873.9657542305</v>
      </c>
      <c r="BH123" s="2">
        <f t="shared" ca="1" si="120"/>
        <v>2262350.5025859056</v>
      </c>
      <c r="BI123" s="2">
        <f t="shared" ca="1" si="121"/>
        <v>26428335.400617056</v>
      </c>
      <c r="BJ123" s="2">
        <f t="shared" ca="1" si="122"/>
        <v>0.13437996831333043</v>
      </c>
      <c r="BK123" s="2">
        <f t="shared" ca="1" si="123"/>
        <v>1119771.8521365374</v>
      </c>
    </row>
    <row r="124" spans="1:63" x14ac:dyDescent="0.3">
      <c r="A124" s="2">
        <v>123</v>
      </c>
      <c r="B124" s="2">
        <f t="shared" ca="1" si="62"/>
        <v>0.14387045083137495</v>
      </c>
      <c r="C124" s="2">
        <f t="shared" ca="1" si="63"/>
        <v>6.5364148596587812</v>
      </c>
      <c r="D124" s="2">
        <f t="shared" ca="1" si="64"/>
        <v>0.64852011090516359</v>
      </c>
      <c r="E124" s="2">
        <f t="shared" ca="1" si="65"/>
        <v>7.6615730334789607</v>
      </c>
      <c r="F124" s="2">
        <f t="shared" ca="1" si="66"/>
        <v>0.45146688805688673</v>
      </c>
      <c r="G124" s="2">
        <f t="shared" ca="1" si="67"/>
        <v>3.634131663339079E-2</v>
      </c>
      <c r="H124" s="2">
        <f t="shared" ca="1" si="68"/>
        <v>3.634131663339079E-2</v>
      </c>
      <c r="I124" s="2">
        <f t="shared" ca="1" si="69"/>
        <v>0.34481030435458671</v>
      </c>
      <c r="J124" s="2">
        <f t="shared" ca="1" si="70"/>
        <v>8.0031500889901092E-3</v>
      </c>
      <c r="K124" s="2">
        <f t="shared" ca="1" si="71"/>
        <v>8.0031500889901092E-3</v>
      </c>
      <c r="L124" s="2">
        <f t="shared" ca="1" si="72"/>
        <v>0.76900677397769979</v>
      </c>
      <c r="M124" s="2">
        <f t="shared" ca="1" si="73"/>
        <v>1.4711596243668787E-2</v>
      </c>
      <c r="N124" s="2">
        <f t="shared" ca="1" si="74"/>
        <v>1.4711596243668787E-2</v>
      </c>
      <c r="O124" s="2">
        <f t="shared" si="75"/>
        <v>6000000</v>
      </c>
      <c r="P124" s="2">
        <f t="shared" ca="1" si="76"/>
        <v>39218489.157952689</v>
      </c>
      <c r="Q124" s="2">
        <f t="shared" ca="1" si="77"/>
        <v>980462.22894881724</v>
      </c>
      <c r="R124" s="2">
        <f t="shared" ca="1" si="78"/>
        <v>23531093.494771611</v>
      </c>
      <c r="S124" s="2">
        <f t="shared" ca="1" si="79"/>
        <v>15687395.663181076</v>
      </c>
      <c r="T124" s="2">
        <f t="shared" ca="1" si="80"/>
        <v>50735579.81218344</v>
      </c>
      <c r="U124" s="2">
        <f t="shared" ca="1" si="81"/>
        <v>52579377.582716666</v>
      </c>
      <c r="V124" s="2">
        <f t="shared" ca="1" si="82"/>
        <v>54490181.391836785</v>
      </c>
      <c r="W124" s="2">
        <f t="shared" ca="1" si="83"/>
        <v>56470426.327208422</v>
      </c>
      <c r="X124" s="2">
        <f t="shared" ca="1" si="84"/>
        <v>58522635.970788069</v>
      </c>
      <c r="Y124" s="2">
        <f t="shared" ca="1" si="85"/>
        <v>0.12400157504449505</v>
      </c>
      <c r="Z124" s="2">
        <f t="shared" ca="1" si="86"/>
        <v>0.12560220506229308</v>
      </c>
      <c r="AA124" s="2">
        <f t="shared" ca="1" si="87"/>
        <v>6291291.8075064328</v>
      </c>
      <c r="AB124" s="2">
        <f t="shared" ca="1" si="88"/>
        <v>6604085.7651921147</v>
      </c>
      <c r="AC124" s="2">
        <f t="shared" ca="1" si="89"/>
        <v>6844086.9370590309</v>
      </c>
      <c r="AD124" s="2">
        <f t="shared" ca="1" si="90"/>
        <v>7092810.0675051464</v>
      </c>
      <c r="AE124" s="2">
        <f t="shared" ca="1" si="91"/>
        <v>7350572.1239888528</v>
      </c>
      <c r="AF124" s="2">
        <f t="shared" ca="1" si="92"/>
        <v>1014711.5962436688</v>
      </c>
      <c r="AG124" s="2">
        <f t="shared" ca="1" si="93"/>
        <v>1051587.5516543332</v>
      </c>
      <c r="AH124" s="2">
        <f t="shared" ca="1" si="94"/>
        <v>1089803.6278367357</v>
      </c>
      <c r="AI124" s="2">
        <f t="shared" ca="1" si="95"/>
        <v>1129408.5265441684</v>
      </c>
      <c r="AJ124" s="2">
        <f t="shared" ca="1" si="96"/>
        <v>1170452.7194157613</v>
      </c>
      <c r="AK124" s="2">
        <f t="shared" ca="1" si="97"/>
        <v>0</v>
      </c>
      <c r="AL124" s="2">
        <f t="shared" ca="1" si="98"/>
        <v>18437.977705332265</v>
      </c>
      <c r="AM124" s="2">
        <f t="shared" ca="1" si="99"/>
        <v>19108.038091201186</v>
      </c>
      <c r="AN124" s="2">
        <f t="shared" ca="1" si="100"/>
        <v>19802.449353716373</v>
      </c>
      <c r="AO124" s="2">
        <f t="shared" ca="1" si="101"/>
        <v>20522.096435796469</v>
      </c>
      <c r="AP124" s="2">
        <f t="shared" ca="1" si="102"/>
        <v>2117798.4145294451</v>
      </c>
      <c r="AQ124" s="2">
        <f t="shared" ca="1" si="103"/>
        <v>821283.26715066307</v>
      </c>
      <c r="AR124" s="2">
        <f t="shared" ca="1" si="104"/>
        <v>893021.94774216751</v>
      </c>
      <c r="AS124" s="2">
        <f t="shared" ca="1" si="105"/>
        <v>945486.07262014097</v>
      </c>
      <c r="AT124" s="2">
        <f t="shared" ca="1" si="106"/>
        <v>999856.81287219853</v>
      </c>
      <c r="AU124" s="2">
        <f t="shared" ca="1" si="107"/>
        <v>1056203.4574113481</v>
      </c>
      <c r="AV124" s="2">
        <f t="shared" ca="1" si="108"/>
        <v>2337498.5295826565</v>
      </c>
      <c r="AW124" s="2">
        <f t="shared" ca="1" si="109"/>
        <v>2523239.8735608361</v>
      </c>
      <c r="AX124" s="2">
        <f t="shared" ca="1" si="110"/>
        <v>2671890.7839815072</v>
      </c>
      <c r="AY124" s="2">
        <f t="shared" ca="1" si="111"/>
        <v>2825943.8642056179</v>
      </c>
      <c r="AZ124" s="2">
        <f t="shared" ca="1" si="112"/>
        <v>2985595.4361965018</v>
      </c>
      <c r="BA124" s="2">
        <f t="shared" ca="1" si="113"/>
        <v>56316945.165795162</v>
      </c>
      <c r="BB124" s="2">
        <f t="shared" ca="1" si="114"/>
        <v>1126338.9033159034</v>
      </c>
      <c r="BC124" s="2">
        <f t="shared" ca="1" si="115"/>
        <v>31659512.76770765</v>
      </c>
      <c r="BD124" s="2">
        <f t="shared" ca="1" si="116"/>
        <v>-17167857.892129891</v>
      </c>
      <c r="BE124" s="2">
        <f t="shared" ca="1" si="117"/>
        <v>2337498.5295826565</v>
      </c>
      <c r="BF124" s="2">
        <f t="shared" ca="1" si="118"/>
        <v>2523239.8735608361</v>
      </c>
      <c r="BG124" s="2">
        <f t="shared" ca="1" si="119"/>
        <v>2671890.7839815072</v>
      </c>
      <c r="BH124" s="2">
        <f t="shared" ca="1" si="120"/>
        <v>2825943.8642056179</v>
      </c>
      <c r="BI124" s="2">
        <f t="shared" ca="1" si="121"/>
        <v>34645108.203904152</v>
      </c>
      <c r="BJ124" s="2">
        <f t="shared" ca="1" si="122"/>
        <v>0.25348024634214372</v>
      </c>
      <c r="BK124" s="2">
        <f t="shared" ca="1" si="123"/>
        <v>10287008.05800594</v>
      </c>
    </row>
    <row r="125" spans="1:63" x14ac:dyDescent="0.3">
      <c r="A125" s="2">
        <v>124</v>
      </c>
      <c r="B125" s="2">
        <f t="shared" ca="1" si="62"/>
        <v>0.92596291152850552</v>
      </c>
      <c r="C125" s="2">
        <f t="shared" ca="1" si="63"/>
        <v>7.615195923952216</v>
      </c>
      <c r="D125" s="2">
        <f t="shared" ca="1" si="64"/>
        <v>0.65325024885232119</v>
      </c>
      <c r="E125" s="2">
        <f t="shared" ca="1" si="65"/>
        <v>7.6672338249572345</v>
      </c>
      <c r="F125" s="2">
        <f t="shared" ca="1" si="66"/>
        <v>0.61895661041397965</v>
      </c>
      <c r="G125" s="2">
        <f t="shared" ca="1" si="67"/>
        <v>4.9082248517946542E-2</v>
      </c>
      <c r="H125" s="2">
        <f t="shared" ca="1" si="68"/>
        <v>4.9082248517946542E-2</v>
      </c>
      <c r="I125" s="2">
        <f t="shared" ca="1" si="69"/>
        <v>0.30019991671381963</v>
      </c>
      <c r="J125" s="2">
        <f t="shared" ca="1" si="70"/>
        <v>7.3808719092446056E-3</v>
      </c>
      <c r="K125" s="2">
        <f t="shared" ca="1" si="71"/>
        <v>7.3808719092446056E-3</v>
      </c>
      <c r="L125" s="2">
        <f t="shared" ca="1" si="72"/>
        <v>0.60128668170458333</v>
      </c>
      <c r="M125" s="2">
        <f t="shared" ca="1" si="73"/>
        <v>5.1335786403848872E-3</v>
      </c>
      <c r="N125" s="2">
        <f t="shared" ca="1" si="74"/>
        <v>5.1335786403848872E-3</v>
      </c>
      <c r="O125" s="2">
        <f t="shared" si="75"/>
        <v>6000000</v>
      </c>
      <c r="P125" s="2">
        <f t="shared" ca="1" si="76"/>
        <v>45691175.543713294</v>
      </c>
      <c r="Q125" s="2">
        <f t="shared" ca="1" si="77"/>
        <v>1142279.3885928325</v>
      </c>
      <c r="R125" s="2">
        <f t="shared" ca="1" si="78"/>
        <v>27414705.326227974</v>
      </c>
      <c r="S125" s="2">
        <f t="shared" ca="1" si="79"/>
        <v>18276470.21748532</v>
      </c>
      <c r="T125" s="2">
        <f t="shared" ca="1" si="80"/>
        <v>50256678.932019249</v>
      </c>
      <c r="U125" s="2">
        <f t="shared" ca="1" si="81"/>
        <v>52723389.737047262</v>
      </c>
      <c r="V125" s="2">
        <f t="shared" ca="1" si="82"/>
        <v>55311172.254829571</v>
      </c>
      <c r="W125" s="2">
        <f t="shared" ca="1" si="83"/>
        <v>58025968.957260065</v>
      </c>
      <c r="X125" s="2">
        <f t="shared" ca="1" si="84"/>
        <v>60874013.986114956</v>
      </c>
      <c r="Y125" s="2">
        <f t="shared" ca="1" si="85"/>
        <v>0.1236904359546223</v>
      </c>
      <c r="Z125" s="2">
        <f t="shared" ca="1" si="86"/>
        <v>0.12516661033647122</v>
      </c>
      <c r="AA125" s="2">
        <f t="shared" ca="1" si="87"/>
        <v>6216270.526732943</v>
      </c>
      <c r="AB125" s="2">
        <f t="shared" ca="1" si="88"/>
        <v>6599207.978834901</v>
      </c>
      <c r="AC125" s="2">
        <f t="shared" ca="1" si="89"/>
        <v>6923111.9448736915</v>
      </c>
      <c r="AD125" s="2">
        <f t="shared" ca="1" si="90"/>
        <v>7262913.8458695458</v>
      </c>
      <c r="AE125" s="2">
        <f t="shared" ca="1" si="91"/>
        <v>7619393.9882169506</v>
      </c>
      <c r="AF125" s="2">
        <f t="shared" ca="1" si="92"/>
        <v>1005133.5786403849</v>
      </c>
      <c r="AG125" s="2">
        <f t="shared" ca="1" si="93"/>
        <v>1054467.7947409453</v>
      </c>
      <c r="AH125" s="2">
        <f t="shared" ca="1" si="94"/>
        <v>1106223.4450965915</v>
      </c>
      <c r="AI125" s="2">
        <f t="shared" ca="1" si="95"/>
        <v>1160519.3791452013</v>
      </c>
      <c r="AJ125" s="2">
        <f t="shared" ca="1" si="96"/>
        <v>1217480.2797222992</v>
      </c>
      <c r="AK125" s="2">
        <f t="shared" ca="1" si="97"/>
        <v>0</v>
      </c>
      <c r="AL125" s="2">
        <f t="shared" ca="1" si="98"/>
        <v>24667.108050280138</v>
      </c>
      <c r="AM125" s="2">
        <f t="shared" ca="1" si="99"/>
        <v>25877.825177823081</v>
      </c>
      <c r="AN125" s="2">
        <f t="shared" ca="1" si="100"/>
        <v>27147.96702430494</v>
      </c>
      <c r="AO125" s="2">
        <f t="shared" ca="1" si="101"/>
        <v>28480.450288548916</v>
      </c>
      <c r="AP125" s="2">
        <f t="shared" ca="1" si="102"/>
        <v>2467323.4793605176</v>
      </c>
      <c r="AQ125" s="2">
        <f t="shared" ca="1" si="103"/>
        <v>713391.50187033066</v>
      </c>
      <c r="AR125" s="2">
        <f t="shared" ca="1" si="104"/>
        <v>800128.34323069395</v>
      </c>
      <c r="AS125" s="2">
        <f t="shared" ca="1" si="105"/>
        <v>870886.90530831146</v>
      </c>
      <c r="AT125" s="2">
        <f t="shared" ca="1" si="106"/>
        <v>945118.45671459509</v>
      </c>
      <c r="AU125" s="2">
        <f t="shared" ca="1" si="107"/>
        <v>1022993.4595748747</v>
      </c>
      <c r="AV125" s="2">
        <f t="shared" ca="1" si="108"/>
        <v>2030421.9668617104</v>
      </c>
      <c r="AW125" s="2">
        <f t="shared" ca="1" si="109"/>
        <v>2252621.2534524645</v>
      </c>
      <c r="AX125" s="2">
        <f t="shared" ca="1" si="110"/>
        <v>2452800.2899304475</v>
      </c>
      <c r="AY125" s="2">
        <f t="shared" ca="1" si="111"/>
        <v>2662804.5636249273</v>
      </c>
      <c r="AZ125" s="2">
        <f t="shared" ca="1" si="112"/>
        <v>2883116.31927071</v>
      </c>
      <c r="BA125" s="2">
        <f t="shared" ca="1" si="113"/>
        <v>58419675.312132806</v>
      </c>
      <c r="BB125" s="2">
        <f t="shared" ca="1" si="114"/>
        <v>1168393.5062426561</v>
      </c>
      <c r="BC125" s="2">
        <f t="shared" ca="1" si="115"/>
        <v>29836576.479662176</v>
      </c>
      <c r="BD125" s="2">
        <f t="shared" ca="1" si="116"/>
        <v>-19918749.606078152</v>
      </c>
      <c r="BE125" s="2">
        <f t="shared" ca="1" si="117"/>
        <v>2030421.9668617104</v>
      </c>
      <c r="BF125" s="2">
        <f t="shared" ca="1" si="118"/>
        <v>2252621.2534524645</v>
      </c>
      <c r="BG125" s="2">
        <f t="shared" ca="1" si="119"/>
        <v>2452800.2899304475</v>
      </c>
      <c r="BH125" s="2">
        <f t="shared" ca="1" si="120"/>
        <v>2662804.5636249273</v>
      </c>
      <c r="BI125" s="2">
        <f t="shared" ca="1" si="121"/>
        <v>32719692.798932888</v>
      </c>
      <c r="BJ125" s="2">
        <f t="shared" ca="1" si="122"/>
        <v>0.18818625207069339</v>
      </c>
      <c r="BK125" s="2">
        <f t="shared" ca="1" si="123"/>
        <v>5694050.6643649936</v>
      </c>
    </row>
    <row r="126" spans="1:63" x14ac:dyDescent="0.3">
      <c r="A126" s="2">
        <v>125</v>
      </c>
      <c r="B126" s="2">
        <f t="shared" ca="1" si="62"/>
        <v>0.68066647999175423</v>
      </c>
      <c r="C126" s="2">
        <f t="shared" ca="1" si="63"/>
        <v>7.20083353422676</v>
      </c>
      <c r="D126" s="2">
        <f t="shared" ca="1" si="64"/>
        <v>0.12998344472199852</v>
      </c>
      <c r="E126" s="2">
        <f t="shared" ca="1" si="65"/>
        <v>7.0098694827541621</v>
      </c>
      <c r="F126" s="2">
        <f t="shared" ca="1" si="66"/>
        <v>4.7699652657938074E-2</v>
      </c>
      <c r="G126" s="2">
        <f t="shared" ca="1" si="67"/>
        <v>-1.0027373709868621E-2</v>
      </c>
      <c r="H126" s="2">
        <f t="shared" ca="1" si="68"/>
        <v>-1.0027373709868621E-2</v>
      </c>
      <c r="I126" s="2">
        <f t="shared" ca="1" si="69"/>
        <v>0.3117731829564877</v>
      </c>
      <c r="J126" s="2">
        <f t="shared" ca="1" si="70"/>
        <v>7.5458477106286961E-3</v>
      </c>
      <c r="K126" s="2">
        <f t="shared" ca="1" si="71"/>
        <v>7.5458477106286961E-3</v>
      </c>
      <c r="L126" s="2">
        <f t="shared" ca="1" si="72"/>
        <v>0.59551353576821553</v>
      </c>
      <c r="M126" s="2">
        <f t="shared" ca="1" si="73"/>
        <v>4.8350246620360009E-3</v>
      </c>
      <c r="N126" s="2">
        <f t="shared" ca="1" si="74"/>
        <v>4.8350246620360009E-3</v>
      </c>
      <c r="O126" s="2">
        <f t="shared" si="75"/>
        <v>6000000</v>
      </c>
      <c r="P126" s="2">
        <f t="shared" ca="1" si="76"/>
        <v>43205001.205360562</v>
      </c>
      <c r="Q126" s="2">
        <f t="shared" ca="1" si="77"/>
        <v>1080125.0301340141</v>
      </c>
      <c r="R126" s="2">
        <f t="shared" ca="1" si="78"/>
        <v>25923000.723216336</v>
      </c>
      <c r="S126" s="2">
        <f t="shared" ca="1" si="79"/>
        <v>17282000.482144225</v>
      </c>
      <c r="T126" s="2">
        <f t="shared" ca="1" si="80"/>
        <v>50241751.233101793</v>
      </c>
      <c r="U126" s="2">
        <f t="shared" ca="1" si="81"/>
        <v>49737958.417649232</v>
      </c>
      <c r="V126" s="2">
        <f t="shared" ca="1" si="82"/>
        <v>49239217.321029559</v>
      </c>
      <c r="W126" s="2">
        <f t="shared" ca="1" si="83"/>
        <v>48745477.28777016</v>
      </c>
      <c r="X126" s="2">
        <f t="shared" ca="1" si="84"/>
        <v>48256688.170339778</v>
      </c>
      <c r="Y126" s="2">
        <f t="shared" ca="1" si="85"/>
        <v>0.12377292385531434</v>
      </c>
      <c r="Z126" s="2">
        <f t="shared" ca="1" si="86"/>
        <v>0.12528209339744009</v>
      </c>
      <c r="AA126" s="2">
        <f t="shared" ca="1" si="87"/>
        <v>6218568.4497323539</v>
      </c>
      <c r="AB126" s="2">
        <f t="shared" ca="1" si="88"/>
        <v>6231275.5518779224</v>
      </c>
      <c r="AC126" s="2">
        <f t="shared" ca="1" si="89"/>
        <v>6168792.2232300751</v>
      </c>
      <c r="AD126" s="2">
        <f t="shared" ca="1" si="90"/>
        <v>6106935.4382692156</v>
      </c>
      <c r="AE126" s="2">
        <f t="shared" ca="1" si="91"/>
        <v>6045698.9144076509</v>
      </c>
      <c r="AF126" s="2">
        <f t="shared" ca="1" si="92"/>
        <v>1004835.0246620359</v>
      </c>
      <c r="AG126" s="2">
        <f t="shared" ca="1" si="93"/>
        <v>994759.16835298471</v>
      </c>
      <c r="AH126" s="2">
        <f t="shared" ca="1" si="94"/>
        <v>984784.34642059123</v>
      </c>
      <c r="AI126" s="2">
        <f t="shared" ca="1" si="95"/>
        <v>974909.54575540323</v>
      </c>
      <c r="AJ126" s="2">
        <f t="shared" ca="1" si="96"/>
        <v>965133.76340679557</v>
      </c>
      <c r="AK126" s="2">
        <f t="shared" ca="1" si="97"/>
        <v>0</v>
      </c>
      <c r="AL126" s="2">
        <f t="shared" ca="1" si="98"/>
        <v>0</v>
      </c>
      <c r="AM126" s="2">
        <f t="shared" ca="1" si="99"/>
        <v>0</v>
      </c>
      <c r="AN126" s="2">
        <f t="shared" ca="1" si="100"/>
        <v>0</v>
      </c>
      <c r="AO126" s="2">
        <f t="shared" ca="1" si="101"/>
        <v>0</v>
      </c>
      <c r="AP126" s="2">
        <f t="shared" ca="1" si="102"/>
        <v>2333070.0650894702</v>
      </c>
      <c r="AQ126" s="2">
        <f t="shared" ca="1" si="103"/>
        <v>748972.47359502059</v>
      </c>
      <c r="AR126" s="2">
        <f t="shared" ca="1" si="104"/>
        <v>754896.04279322154</v>
      </c>
      <c r="AS126" s="2">
        <f t="shared" ca="1" si="105"/>
        <v>741243.83104720339</v>
      </c>
      <c r="AT126" s="2">
        <f t="shared" ca="1" si="106"/>
        <v>727728.51513032906</v>
      </c>
      <c r="AU126" s="2">
        <f t="shared" ca="1" si="107"/>
        <v>714348.72233696014</v>
      </c>
      <c r="AV126" s="2">
        <f t="shared" ca="1" si="108"/>
        <v>2131690.8863858278</v>
      </c>
      <c r="AW126" s="2">
        <f t="shared" ca="1" si="109"/>
        <v>2148550.2756422455</v>
      </c>
      <c r="AX126" s="2">
        <f t="shared" ca="1" si="110"/>
        <v>2109693.9806728098</v>
      </c>
      <c r="AY126" s="2">
        <f t="shared" ca="1" si="111"/>
        <v>2071227.3122940133</v>
      </c>
      <c r="AZ126" s="2">
        <f t="shared" ca="1" si="112"/>
        <v>2033146.3635744252</v>
      </c>
      <c r="BA126" s="2">
        <f t="shared" ca="1" si="113"/>
        <v>42379560.322026156</v>
      </c>
      <c r="BB126" s="2">
        <f t="shared" ca="1" si="114"/>
        <v>847591.20644052315</v>
      </c>
      <c r="BC126" s="2">
        <f t="shared" ca="1" si="115"/>
        <v>15608968.392369296</v>
      </c>
      <c r="BD126" s="2">
        <f t="shared" ca="1" si="116"/>
        <v>-18862125.51227824</v>
      </c>
      <c r="BE126" s="2">
        <f t="shared" ca="1" si="117"/>
        <v>2131690.8863858278</v>
      </c>
      <c r="BF126" s="2">
        <f t="shared" ca="1" si="118"/>
        <v>2148550.2756422455</v>
      </c>
      <c r="BG126" s="2">
        <f t="shared" ca="1" si="119"/>
        <v>2109693.9806728098</v>
      </c>
      <c r="BH126" s="2">
        <f t="shared" ca="1" si="120"/>
        <v>2071227.3122940133</v>
      </c>
      <c r="BI126" s="2">
        <f t="shared" ca="1" si="121"/>
        <v>17642114.755943723</v>
      </c>
      <c r="BJ126" s="2">
        <f t="shared" ca="1" si="122"/>
        <v>8.2231340327033609E-2</v>
      </c>
      <c r="BK126" s="2">
        <f t="shared" ca="1" si="123"/>
        <v>-2417468.3426383305</v>
      </c>
    </row>
    <row r="127" spans="1:63" x14ac:dyDescent="0.3">
      <c r="A127" s="2">
        <v>126</v>
      </c>
      <c r="B127" s="2">
        <f t="shared" ca="1" si="62"/>
        <v>0.84368733122979755</v>
      </c>
      <c r="C127" s="2">
        <f t="shared" ca="1" si="63"/>
        <v>7.4408709115594105</v>
      </c>
      <c r="D127" s="2">
        <f t="shared" ca="1" si="64"/>
        <v>0.59655329421730285</v>
      </c>
      <c r="E127" s="2">
        <f t="shared" ca="1" si="65"/>
        <v>7.6017275404614733</v>
      </c>
      <c r="F127" s="2">
        <f t="shared" ca="1" si="66"/>
        <v>0.46585149648961044</v>
      </c>
      <c r="G127" s="2">
        <f t="shared" ca="1" si="67"/>
        <v>3.7428927952936779E-2</v>
      </c>
      <c r="H127" s="2">
        <f t="shared" ca="1" si="68"/>
        <v>3.7428927952936779E-2</v>
      </c>
      <c r="I127" s="2">
        <f t="shared" ca="1" si="69"/>
        <v>0.90864525530179252</v>
      </c>
      <c r="J127" s="2">
        <f t="shared" ca="1" si="70"/>
        <v>1.6662293724222333E-2</v>
      </c>
      <c r="K127" s="2">
        <f t="shared" ca="1" si="71"/>
        <v>1.6662293724222333E-2</v>
      </c>
      <c r="L127" s="2">
        <f t="shared" ca="1" si="72"/>
        <v>0.66298441667048147</v>
      </c>
      <c r="M127" s="2">
        <f t="shared" ca="1" si="73"/>
        <v>8.4124388949950689E-3</v>
      </c>
      <c r="N127" s="2">
        <f t="shared" ca="1" si="74"/>
        <v>8.4124388949950689E-3</v>
      </c>
      <c r="O127" s="2">
        <f t="shared" si="75"/>
        <v>6000000</v>
      </c>
      <c r="P127" s="2">
        <f t="shared" ca="1" si="76"/>
        <v>44645225.469356462</v>
      </c>
      <c r="Q127" s="2">
        <f t="shared" ca="1" si="77"/>
        <v>1116130.6367339117</v>
      </c>
      <c r="R127" s="2">
        <f t="shared" ca="1" si="78"/>
        <v>26787135.281613875</v>
      </c>
      <c r="S127" s="2">
        <f t="shared" ca="1" si="79"/>
        <v>17858090.187742587</v>
      </c>
      <c r="T127" s="2">
        <f t="shared" ca="1" si="80"/>
        <v>50420621.944749758</v>
      </c>
      <c r="U127" s="2">
        <f t="shared" ca="1" si="81"/>
        <v>52307811.770862058</v>
      </c>
      <c r="V127" s="2">
        <f t="shared" ca="1" si="82"/>
        <v>54265637.089009427</v>
      </c>
      <c r="W127" s="2">
        <f t="shared" ca="1" si="83"/>
        <v>56296741.709934175</v>
      </c>
      <c r="X127" s="2">
        <f t="shared" ca="1" si="84"/>
        <v>58403868.399380386</v>
      </c>
      <c r="Y127" s="2">
        <f t="shared" ca="1" si="85"/>
        <v>0.12833114686211117</v>
      </c>
      <c r="Z127" s="2">
        <f t="shared" ca="1" si="86"/>
        <v>0.13166360560695561</v>
      </c>
      <c r="AA127" s="2">
        <f t="shared" ca="1" si="87"/>
        <v>6470536.2396706659</v>
      </c>
      <c r="AB127" s="2">
        <f t="shared" ca="1" si="88"/>
        <v>6887035.0991616528</v>
      </c>
      <c r="AC127" s="2">
        <f t="shared" ca="1" si="89"/>
        <v>7144809.4396975199</v>
      </c>
      <c r="AD127" s="2">
        <f t="shared" ca="1" si="90"/>
        <v>7412231.9974534214</v>
      </c>
      <c r="AE127" s="2">
        <f t="shared" ca="1" si="91"/>
        <v>7689663.8948565573</v>
      </c>
      <c r="AF127" s="2">
        <f t="shared" ca="1" si="92"/>
        <v>1008412.4388949951</v>
      </c>
      <c r="AG127" s="2">
        <f t="shared" ca="1" si="93"/>
        <v>1046156.2354172412</v>
      </c>
      <c r="AH127" s="2">
        <f t="shared" ca="1" si="94"/>
        <v>1085312.7417801886</v>
      </c>
      <c r="AI127" s="2">
        <f t="shared" ca="1" si="95"/>
        <v>1125934.8341986835</v>
      </c>
      <c r="AJ127" s="2">
        <f t="shared" ca="1" si="96"/>
        <v>1168077.3679876078</v>
      </c>
      <c r="AK127" s="2">
        <f t="shared" ca="1" si="97"/>
        <v>0</v>
      </c>
      <c r="AL127" s="2">
        <f t="shared" ca="1" si="98"/>
        <v>18871.898261123002</v>
      </c>
      <c r="AM127" s="2">
        <f t="shared" ca="1" si="99"/>
        <v>19578.253181473687</v>
      </c>
      <c r="AN127" s="2">
        <f t="shared" ca="1" si="100"/>
        <v>20311.046209247485</v>
      </c>
      <c r="AO127" s="2">
        <f t="shared" ca="1" si="101"/>
        <v>21071.266894462107</v>
      </c>
      <c r="AP127" s="2">
        <f t="shared" ca="1" si="102"/>
        <v>2410842.1753452485</v>
      </c>
      <c r="AQ127" s="2">
        <f t="shared" ca="1" si="103"/>
        <v>793333.22261190973</v>
      </c>
      <c r="AR127" s="2">
        <f t="shared" ca="1" si="104"/>
        <v>891809.5389837824</v>
      </c>
      <c r="AS127" s="2">
        <f t="shared" ca="1" si="105"/>
        <v>948650.17586874147</v>
      </c>
      <c r="AT127" s="2">
        <f t="shared" ca="1" si="106"/>
        <v>1007618.2968564673</v>
      </c>
      <c r="AU127" s="2">
        <f t="shared" ca="1" si="107"/>
        <v>1068793.5313961622</v>
      </c>
      <c r="AV127" s="2">
        <f t="shared" ca="1" si="108"/>
        <v>2257948.4028185122</v>
      </c>
      <c r="AW127" s="2">
        <f t="shared" ca="1" si="109"/>
        <v>2519355.251154257</v>
      </c>
      <c r="AX127" s="2">
        <f t="shared" ca="1" si="110"/>
        <v>2680426.0935218679</v>
      </c>
      <c r="AY127" s="2">
        <f t="shared" ca="1" si="111"/>
        <v>2847525.6448437739</v>
      </c>
      <c r="AZ127" s="2">
        <f t="shared" ca="1" si="112"/>
        <v>3020879.5532330768</v>
      </c>
      <c r="BA127" s="2">
        <f t="shared" ca="1" si="113"/>
        <v>58454729.806423329</v>
      </c>
      <c r="BB127" s="2">
        <f t="shared" ca="1" si="114"/>
        <v>1169094.5961284665</v>
      </c>
      <c r="BC127" s="2">
        <f t="shared" ca="1" si="115"/>
        <v>30498499.928680986</v>
      </c>
      <c r="BD127" s="2">
        <f t="shared" ca="1" si="116"/>
        <v>-19474220.824476499</v>
      </c>
      <c r="BE127" s="2">
        <f t="shared" ca="1" si="117"/>
        <v>2257948.4028185122</v>
      </c>
      <c r="BF127" s="2">
        <f t="shared" ca="1" si="118"/>
        <v>2519355.251154257</v>
      </c>
      <c r="BG127" s="2">
        <f t="shared" ca="1" si="119"/>
        <v>2680426.0935218679</v>
      </c>
      <c r="BH127" s="2">
        <f t="shared" ca="1" si="120"/>
        <v>2847525.6448437739</v>
      </c>
      <c r="BI127" s="2">
        <f t="shared" ca="1" si="121"/>
        <v>33519379.481914062</v>
      </c>
      <c r="BJ127" s="2">
        <f t="shared" ca="1" si="122"/>
        <v>0.20814541858189628</v>
      </c>
      <c r="BK127" s="2">
        <f t="shared" ca="1" si="123"/>
        <v>7287543.5969522186</v>
      </c>
    </row>
    <row r="128" spans="1:63" x14ac:dyDescent="0.3">
      <c r="A128" s="2">
        <v>127</v>
      </c>
      <c r="B128" s="2">
        <f t="shared" ca="1" si="62"/>
        <v>3.2264872267659617E-2</v>
      </c>
      <c r="C128" s="2">
        <f t="shared" ca="1" si="63"/>
        <v>6.2540270547310248</v>
      </c>
      <c r="D128" s="2">
        <f t="shared" ca="1" si="64"/>
        <v>0.54468946270995022</v>
      </c>
      <c r="E128" s="2">
        <f t="shared" ca="1" si="65"/>
        <v>7.5457353225754922</v>
      </c>
      <c r="F128" s="2">
        <f t="shared" ca="1" si="66"/>
        <v>0.68341675492225229</v>
      </c>
      <c r="G128" s="2">
        <f t="shared" ca="1" si="67"/>
        <v>5.4318242438165541E-2</v>
      </c>
      <c r="H128" s="2">
        <f t="shared" ca="1" si="68"/>
        <v>5.4318242438165541E-2</v>
      </c>
      <c r="I128" s="2">
        <f t="shared" ca="1" si="69"/>
        <v>0.6365890587632933</v>
      </c>
      <c r="J128" s="2">
        <f t="shared" ca="1" si="70"/>
        <v>1.174678119351176E-2</v>
      </c>
      <c r="K128" s="2">
        <f t="shared" ca="1" si="71"/>
        <v>1.174678119351176E-2</v>
      </c>
      <c r="L128" s="2">
        <f t="shared" ca="1" si="72"/>
        <v>0.86027395257107908</v>
      </c>
      <c r="M128" s="2">
        <f t="shared" ca="1" si="73"/>
        <v>2.1631019666412388E-2</v>
      </c>
      <c r="N128" s="2">
        <f t="shared" ca="1" si="74"/>
        <v>2.1631019666412388E-2</v>
      </c>
      <c r="O128" s="2">
        <f t="shared" si="75"/>
        <v>6000000</v>
      </c>
      <c r="P128" s="2">
        <f t="shared" ca="1" si="76"/>
        <v>37524162.32838615</v>
      </c>
      <c r="Q128" s="2">
        <f t="shared" ca="1" si="77"/>
        <v>938104.05820965383</v>
      </c>
      <c r="R128" s="2">
        <f t="shared" ca="1" si="78"/>
        <v>22514497.397031691</v>
      </c>
      <c r="S128" s="2">
        <f t="shared" ca="1" si="79"/>
        <v>15009664.931354461</v>
      </c>
      <c r="T128" s="2">
        <f t="shared" ca="1" si="80"/>
        <v>51081550.983320624</v>
      </c>
      <c r="U128" s="2">
        <f t="shared" ca="1" si="81"/>
        <v>53856211.05375015</v>
      </c>
      <c r="V128" s="2">
        <f t="shared" ca="1" si="82"/>
        <v>56781585.782568768</v>
      </c>
      <c r="W128" s="2">
        <f t="shared" ca="1" si="83"/>
        <v>59865861.725129835</v>
      </c>
      <c r="X128" s="2">
        <f t="shared" ca="1" si="84"/>
        <v>63117670.116085142</v>
      </c>
      <c r="Y128" s="2">
        <f t="shared" ca="1" si="85"/>
        <v>0.12587339059675587</v>
      </c>
      <c r="Z128" s="2">
        <f t="shared" ca="1" si="86"/>
        <v>0.12822274683545823</v>
      </c>
      <c r="AA128" s="2">
        <f t="shared" ca="1" si="87"/>
        <v>6429808.0192116154</v>
      </c>
      <c r="AB128" s="2">
        <f t="shared" ca="1" si="88"/>
        <v>6905591.3154620128</v>
      </c>
      <c r="AC128" s="2">
        <f t="shared" ca="1" si="89"/>
        <v>7280690.8987141699</v>
      </c>
      <c r="AD128" s="2">
        <f t="shared" ca="1" si="90"/>
        <v>7676165.2320678718</v>
      </c>
      <c r="AE128" s="2">
        <f t="shared" ca="1" si="91"/>
        <v>8093121.0361387525</v>
      </c>
      <c r="AF128" s="2">
        <f t="shared" ca="1" si="92"/>
        <v>1021631.0196664125</v>
      </c>
      <c r="AG128" s="2">
        <f t="shared" ca="1" si="93"/>
        <v>1077124.221075003</v>
      </c>
      <c r="AH128" s="2">
        <f t="shared" ca="1" si="94"/>
        <v>1135631.7156513755</v>
      </c>
      <c r="AI128" s="2">
        <f t="shared" ca="1" si="95"/>
        <v>1197317.2345025968</v>
      </c>
      <c r="AJ128" s="2">
        <f t="shared" ca="1" si="96"/>
        <v>1262353.4023217028</v>
      </c>
      <c r="AK128" s="2">
        <f t="shared" ca="1" si="97"/>
        <v>0</v>
      </c>
      <c r="AL128" s="2">
        <f t="shared" ca="1" si="98"/>
        <v>27746.600704295262</v>
      </c>
      <c r="AM128" s="2">
        <f t="shared" ca="1" si="99"/>
        <v>29253.74728818618</v>
      </c>
      <c r="AN128" s="2">
        <f t="shared" ca="1" si="100"/>
        <v>30842.759425610679</v>
      </c>
      <c r="AO128" s="2">
        <f t="shared" ca="1" si="101"/>
        <v>32518.083909553068</v>
      </c>
      <c r="AP128" s="2">
        <f t="shared" ca="1" si="102"/>
        <v>2026304.765732852</v>
      </c>
      <c r="AQ128" s="2">
        <f t="shared" ca="1" si="103"/>
        <v>879286.78079121117</v>
      </c>
      <c r="AR128" s="2">
        <f t="shared" ca="1" si="104"/>
        <v>988562.20545008115</v>
      </c>
      <c r="AS128" s="2">
        <f t="shared" ca="1" si="105"/>
        <v>1070876.1485057853</v>
      </c>
      <c r="AT128" s="2">
        <f t="shared" ca="1" si="106"/>
        <v>1157661.24027643</v>
      </c>
      <c r="AU128" s="2">
        <f t="shared" ca="1" si="107"/>
        <v>1249160.3457018915</v>
      </c>
      <c r="AV128" s="2">
        <f t="shared" ca="1" si="108"/>
        <v>2502585.4530211398</v>
      </c>
      <c r="AW128" s="2">
        <f t="shared" ca="1" si="109"/>
        <v>2785853.5224997811</v>
      </c>
      <c r="AX128" s="2">
        <f t="shared" ca="1" si="110"/>
        <v>3018624.5215359712</v>
      </c>
      <c r="AY128" s="2">
        <f t="shared" ca="1" si="111"/>
        <v>3264039.2321303831</v>
      </c>
      <c r="AZ128" s="2">
        <f t="shared" ca="1" si="112"/>
        <v>3522784.4384727525</v>
      </c>
      <c r="BA128" s="2">
        <f t="shared" ca="1" si="113"/>
        <v>61068549.272270948</v>
      </c>
      <c r="BB128" s="2">
        <f t="shared" ca="1" si="114"/>
        <v>1221370.9854454191</v>
      </c>
      <c r="BC128" s="2">
        <f t="shared" ca="1" si="115"/>
        <v>37332680.889793836</v>
      </c>
      <c r="BD128" s="2">
        <f t="shared" ca="1" si="116"/>
        <v>-16447768.989564115</v>
      </c>
      <c r="BE128" s="2">
        <f t="shared" ca="1" si="117"/>
        <v>2502585.4530211398</v>
      </c>
      <c r="BF128" s="2">
        <f t="shared" ca="1" si="118"/>
        <v>2785853.5224997811</v>
      </c>
      <c r="BG128" s="2">
        <f t="shared" ca="1" si="119"/>
        <v>3018624.5215359712</v>
      </c>
      <c r="BH128" s="2">
        <f t="shared" ca="1" si="120"/>
        <v>3264039.2321303831</v>
      </c>
      <c r="BI128" s="2">
        <f t="shared" ca="1" si="121"/>
        <v>40855465.328266591</v>
      </c>
      <c r="BJ128" s="2">
        <f t="shared" ca="1" si="122"/>
        <v>0.3125123966584793</v>
      </c>
      <c r="BK128" s="2">
        <f t="shared" ca="1" si="123"/>
        <v>15412989.160441509</v>
      </c>
    </row>
    <row r="129" spans="1:63" x14ac:dyDescent="0.3">
      <c r="A129" s="2">
        <v>128</v>
      </c>
      <c r="B129" s="2">
        <f t="shared" ca="1" si="62"/>
        <v>0.73222938450485986</v>
      </c>
      <c r="C129" s="2">
        <f t="shared" ca="1" si="63"/>
        <v>7.2681931737198129</v>
      </c>
      <c r="D129" s="2">
        <f t="shared" ca="1" si="64"/>
        <v>0.14144342363407181</v>
      </c>
      <c r="E129" s="2">
        <f t="shared" ca="1" si="65"/>
        <v>7.0318710814362291</v>
      </c>
      <c r="F129" s="2">
        <f t="shared" ca="1" si="66"/>
        <v>0.11787255762247573</v>
      </c>
      <c r="G129" s="2">
        <f t="shared" ca="1" si="67"/>
        <v>4.4293281070777041E-3</v>
      </c>
      <c r="H129" s="2">
        <f t="shared" ca="1" si="68"/>
        <v>4.4293281070777041E-3</v>
      </c>
      <c r="I129" s="2">
        <f t="shared" ca="1" si="69"/>
        <v>0.55692086490781945</v>
      </c>
      <c r="J129" s="2">
        <f t="shared" ca="1" si="70"/>
        <v>1.0715835134868226E-2</v>
      </c>
      <c r="K129" s="2">
        <f t="shared" ca="1" si="71"/>
        <v>1.0715835134868226E-2</v>
      </c>
      <c r="L129" s="2">
        <f t="shared" ca="1" si="72"/>
        <v>0.36606092745301111</v>
      </c>
      <c r="M129" s="2">
        <f t="shared" ca="1" si="73"/>
        <v>-6.8460871957642735E-3</v>
      </c>
      <c r="N129" s="2">
        <f t="shared" ca="1" si="74"/>
        <v>-6.8460871957642735E-3</v>
      </c>
      <c r="O129" s="2">
        <f t="shared" si="75"/>
        <v>6000000</v>
      </c>
      <c r="P129" s="2">
        <f t="shared" ca="1" si="76"/>
        <v>43609159.042318881</v>
      </c>
      <c r="Q129" s="2">
        <f t="shared" ca="1" si="77"/>
        <v>1090228.9760579721</v>
      </c>
      <c r="R129" s="2">
        <f t="shared" ca="1" si="78"/>
        <v>26165495.425391328</v>
      </c>
      <c r="S129" s="2">
        <f t="shared" ca="1" si="79"/>
        <v>17443663.616927553</v>
      </c>
      <c r="T129" s="2">
        <f t="shared" ca="1" si="80"/>
        <v>49657695.640211783</v>
      </c>
      <c r="U129" s="2">
        <f t="shared" ca="1" si="81"/>
        <v>49877645.867243685</v>
      </c>
      <c r="V129" s="2">
        <f t="shared" ca="1" si="82"/>
        <v>50098570.325998336</v>
      </c>
      <c r="W129" s="2">
        <f t="shared" ca="1" si="83"/>
        <v>50320473.331667691</v>
      </c>
      <c r="X129" s="2">
        <f t="shared" ca="1" si="84"/>
        <v>50543359.218557104</v>
      </c>
      <c r="Y129" s="2">
        <f t="shared" ca="1" si="85"/>
        <v>0.12535791756743411</v>
      </c>
      <c r="Z129" s="2">
        <f t="shared" ca="1" si="86"/>
        <v>0.12750108459440776</v>
      </c>
      <c r="AA129" s="2">
        <f t="shared" ca="1" si="87"/>
        <v>6224985.3166544009</v>
      </c>
      <c r="AB129" s="2">
        <f t="shared" ca="1" si="88"/>
        <v>6359453.9450893495</v>
      </c>
      <c r="AC129" s="2">
        <f t="shared" ca="1" si="89"/>
        <v>6387622.0531940004</v>
      </c>
      <c r="AD129" s="2">
        <f t="shared" ca="1" si="90"/>
        <v>6415914.9270916022</v>
      </c>
      <c r="AE129" s="2">
        <f t="shared" ca="1" si="91"/>
        <v>6444333.1194107886</v>
      </c>
      <c r="AF129" s="2">
        <f t="shared" ca="1" si="92"/>
        <v>993153.9128042357</v>
      </c>
      <c r="AG129" s="2">
        <f t="shared" ca="1" si="93"/>
        <v>997552.91734487377</v>
      </c>
      <c r="AH129" s="2">
        <f t="shared" ca="1" si="94"/>
        <v>1001971.4065199668</v>
      </c>
      <c r="AI129" s="2">
        <f t="shared" ca="1" si="95"/>
        <v>1006409.4666333538</v>
      </c>
      <c r="AJ129" s="2">
        <f t="shared" ca="1" si="96"/>
        <v>1010867.1843711421</v>
      </c>
      <c r="AK129" s="2">
        <f t="shared" ca="1" si="97"/>
        <v>0</v>
      </c>
      <c r="AL129" s="2">
        <f t="shared" ca="1" si="98"/>
        <v>2199.5022703190148</v>
      </c>
      <c r="AM129" s="2">
        <f t="shared" ca="1" si="99"/>
        <v>2209.2445875465123</v>
      </c>
      <c r="AN129" s="2">
        <f t="shared" ca="1" si="100"/>
        <v>2219.0300566935539</v>
      </c>
      <c r="AO129" s="2">
        <f t="shared" ca="1" si="101"/>
        <v>2228.85886889413</v>
      </c>
      <c r="AP129" s="2">
        <f t="shared" ca="1" si="102"/>
        <v>2354894.5882852194</v>
      </c>
      <c r="AQ129" s="2">
        <f t="shared" ca="1" si="103"/>
        <v>748003.57204688597</v>
      </c>
      <c r="AR129" s="2">
        <f t="shared" ca="1" si="104"/>
        <v>781821.67425940663</v>
      </c>
      <c r="AS129" s="2">
        <f t="shared" ca="1" si="105"/>
        <v>787996.57518109167</v>
      </c>
      <c r="AT129" s="2">
        <f t="shared" ca="1" si="106"/>
        <v>794198.82676498767</v>
      </c>
      <c r="AU129" s="2">
        <f t="shared" ca="1" si="107"/>
        <v>800428.55015615118</v>
      </c>
      <c r="AV129" s="2">
        <f t="shared" ca="1" si="108"/>
        <v>2128933.2435180596</v>
      </c>
      <c r="AW129" s="2">
        <f t="shared" ca="1" si="109"/>
        <v>2222985.2629295313</v>
      </c>
      <c r="AX129" s="2">
        <f t="shared" ca="1" si="110"/>
        <v>2240550.2386201764</v>
      </c>
      <c r="AY129" s="2">
        <f t="shared" ca="1" si="111"/>
        <v>2258193.0153513481</v>
      </c>
      <c r="AZ129" s="2">
        <f t="shared" ca="1" si="112"/>
        <v>2275913.9377293824</v>
      </c>
      <c r="BA129" s="2">
        <f t="shared" ca="1" si="113"/>
        <v>45315719.701526448</v>
      </c>
      <c r="BB129" s="2">
        <f t="shared" ca="1" si="114"/>
        <v>906314.39403052896</v>
      </c>
      <c r="BC129" s="2">
        <f t="shared" ca="1" si="115"/>
        <v>18243909.882104591</v>
      </c>
      <c r="BD129" s="2">
        <f t="shared" ca="1" si="116"/>
        <v>-19033892.592985526</v>
      </c>
      <c r="BE129" s="2">
        <f t="shared" ca="1" si="117"/>
        <v>2128933.2435180596</v>
      </c>
      <c r="BF129" s="2">
        <f t="shared" ca="1" si="118"/>
        <v>2222985.2629295313</v>
      </c>
      <c r="BG129" s="2">
        <f t="shared" ca="1" si="119"/>
        <v>2240550.2386201764</v>
      </c>
      <c r="BH129" s="2">
        <f t="shared" ca="1" si="120"/>
        <v>2258193.0153513481</v>
      </c>
      <c r="BI129" s="2">
        <f t="shared" ca="1" si="121"/>
        <v>20519823.819833972</v>
      </c>
      <c r="BJ129" s="2">
        <f t="shared" ca="1" si="122"/>
        <v>0.10987966110167657</v>
      </c>
      <c r="BK129" s="2">
        <f t="shared" ca="1" si="123"/>
        <v>-687508.09849606454</v>
      </c>
    </row>
    <row r="130" spans="1:63" x14ac:dyDescent="0.3">
      <c r="A130" s="2">
        <v>129</v>
      </c>
      <c r="B130" s="2">
        <f t="shared" ref="B130:B193" ca="1" si="124">RAND()</f>
        <v>0.53741267956949834</v>
      </c>
      <c r="C130" s="2">
        <f t="shared" ref="C130:C193" ca="1" si="125">IF(B130&lt;((P_Mode)-(P_Low))/((P_High)-(P_Low)), (P_Low)+SQRT(B130*((P_High)-(P_Low))*((P_Mode)-(P_Low))), (P_High)-SQRT((1-B130)*((P_High)-(P_Low))*((P_High)-(P_Mode))))</f>
        <v>7.0381400097410207</v>
      </c>
      <c r="D130" s="2">
        <f t="shared" ref="D130:D193" ca="1" si="126">RAND()</f>
        <v>0.97257660659398881</v>
      </c>
      <c r="E130" s="2">
        <f t="shared" ref="E130:E193" ca="1" si="127">IF(D130&lt;((X_Mode)-(X_Low))/((X_High)-(X_Low)), (X_Low)+SQRT(D130*((X_High)-(X_Low))*((X_Mode)-(X_Low))), (X_High)-SQRT((1-D130)*((X_High)-(X_Low))*((X_High)-(X_Mode))))</f>
        <v>8.2658060914284448</v>
      </c>
      <c r="F130" s="2">
        <f t="shared" ref="F130:F193" ca="1" si="128">RAND()</f>
        <v>0.21050205274565637</v>
      </c>
      <c r="G130" s="2">
        <f t="shared" ref="G130:G193" ca="1" si="129">NORMINV(F130, g_Mean, g_SD)</f>
        <v>1.5859586578474669E-2</v>
      </c>
      <c r="H130" s="2">
        <f t="shared" ref="H130:H193" ca="1" si="130">MIN(MAX(G130, g_Min), g_Max)</f>
        <v>1.5859586578474669E-2</v>
      </c>
      <c r="I130" s="2">
        <f t="shared" ref="I130:I193" ca="1" si="131">RAND()</f>
        <v>0.18399290257529366</v>
      </c>
      <c r="J130" s="2">
        <f t="shared" ref="J130:J193" ca="1" si="132">NORMINV(I130, syn_Mean, syn_SD)</f>
        <v>5.4987366752634048E-3</v>
      </c>
      <c r="K130" s="2">
        <f t="shared" ref="K130:K193" ca="1" si="133">MIN(MAX(J130, syn_Min), syn_Max)</f>
        <v>5.4987366752634048E-3</v>
      </c>
      <c r="L130" s="2">
        <f t="shared" ref="L130:L193" ca="1" si="134">RAND()</f>
        <v>0.51242366303056985</v>
      </c>
      <c r="M130" s="2">
        <f t="shared" ref="M130:M193" ca="1" si="135">NORMINV(L130, shk_Mean, shk_SD)</f>
        <v>6.2293080413601597E-4</v>
      </c>
      <c r="N130" s="2">
        <f t="shared" ref="N130:N193" ca="1" si="136">MIN(MAX(M130, shk_Min), shk_Max)</f>
        <v>6.2293080413601597E-4</v>
      </c>
      <c r="O130" s="2">
        <f t="shared" ref="O130:O193" si="137">BaseRev*BaseMargin</f>
        <v>6000000</v>
      </c>
      <c r="P130" s="2">
        <f t="shared" ref="P130:P193" ca="1" si="138">O130*C130</f>
        <v>42228840.058446124</v>
      </c>
      <c r="Q130" s="2">
        <f t="shared" ref="Q130:Q193" ca="1" si="139">P130*TxnCostPct</f>
        <v>1055721.0014611532</v>
      </c>
      <c r="R130" s="2">
        <f t="shared" ref="R130:R193" ca="1" si="140">P130*DebtPct</f>
        <v>25337304.035067674</v>
      </c>
      <c r="S130" s="2">
        <f t="shared" ref="S130:S193" ca="1" si="141">P130*EqPct</f>
        <v>16891536.02337845</v>
      </c>
      <c r="T130" s="2">
        <f t="shared" ref="T130:T193" ca="1" si="142">BaseRev*(1+N130)</f>
        <v>50031146.540206805</v>
      </c>
      <c r="U130" s="2">
        <f t="shared" ref="U130:U193" ca="1" si="143">T130*(1+H130)</f>
        <v>50824619.84038157</v>
      </c>
      <c r="V130" s="2">
        <f t="shared" ref="V130:V193" ca="1" si="144">U130*(1+H130)</f>
        <v>51630677.299058169</v>
      </c>
      <c r="W130" s="2">
        <f t="shared" ref="W130:W193" ca="1" si="145">V130*(1+H130)</f>
        <v>52449518.495787874</v>
      </c>
      <c r="X130" s="2">
        <f t="shared" ref="X130:X193" ca="1" si="146">W130*(1+H130)</f>
        <v>53281346.175371133</v>
      </c>
      <c r="Y130" s="2">
        <f t="shared" ref="Y130:Y193" ca="1" si="147">BaseMargin + SynReal_Y1*K130</f>
        <v>0.1227493683376317</v>
      </c>
      <c r="Z130" s="2">
        <f t="shared" ref="Z130:Z193" ca="1" si="148">BaseMargin + SynReal_Y2toY5*K130</f>
        <v>0.12384911567268438</v>
      </c>
      <c r="AA130" s="2">
        <f t="shared" ref="AA130:AA193" ca="1" si="149">T130*Y130</f>
        <v>6141291.6350178728</v>
      </c>
      <c r="AB130" s="2">
        <f t="shared" ref="AB130:AB193" ca="1" si="150">U130*Z130</f>
        <v>6294584.2216316266</v>
      </c>
      <c r="AC130" s="2">
        <f t="shared" ref="AC130:AC193" ca="1" si="151">V130*Z130</f>
        <v>6394413.7250700947</v>
      </c>
      <c r="AD130" s="2">
        <f t="shared" ref="AD130:AD193" ca="1" si="152">W130*Z130</f>
        <v>6495826.4831614308</v>
      </c>
      <c r="AE130" s="2">
        <f t="shared" ref="AE130:AE193" ca="1" si="153">X130*Z130</f>
        <v>6598847.6056698784</v>
      </c>
      <c r="AF130" s="2">
        <f t="shared" ref="AF130:AF193" ca="1" si="154">T130*CapexPct</f>
        <v>1000622.9308041361</v>
      </c>
      <c r="AG130" s="2">
        <f t="shared" ref="AG130:AG193" ca="1" si="155">U130*CapexPct</f>
        <v>1016492.3968076315</v>
      </c>
      <c r="AH130" s="2">
        <f t="shared" ref="AH130:AH193" ca="1" si="156">V130*CapexPct</f>
        <v>1032613.5459811634</v>
      </c>
      <c r="AI130" s="2">
        <f t="shared" ref="AI130:AI193" ca="1" si="157">W130*CapexPct</f>
        <v>1048990.3699157576</v>
      </c>
      <c r="AJ130" s="2">
        <f t="shared" ref="AJ130:AJ193" ca="1" si="158">X130*CapexPct</f>
        <v>1065626.9235074227</v>
      </c>
      <c r="AK130" s="2">
        <f t="shared" ref="AK130:AK193" ca="1" si="159">MAX(T130-BaseRev*(1+N130),0)*WCPct</f>
        <v>0</v>
      </c>
      <c r="AL130" s="2">
        <f t="shared" ref="AL130:AL193" ca="1" si="160">MAX(U130-T130,0)*WCPct</f>
        <v>7934.7330017476534</v>
      </c>
      <c r="AM130" s="2">
        <f t="shared" ref="AM130:AM193" ca="1" si="161">MAX(V130-U130,0)*WCPct</f>
        <v>8060.5745867659898</v>
      </c>
      <c r="AN130" s="2">
        <f t="shared" ref="AN130:AN193" ca="1" si="162">MAX(W130-V130,0)*WCPct</f>
        <v>8188.4119672970473</v>
      </c>
      <c r="AO130" s="2">
        <f t="shared" ref="AO130:AO193" ca="1" si="163">MAX(X130-W130,0)*WCPct</f>
        <v>8318.2767958325894</v>
      </c>
      <c r="AP130" s="2">
        <f t="shared" ref="AP130:AP193" ca="1" si="164">R130*DebtRate</f>
        <v>2280357.3631560905</v>
      </c>
      <c r="AQ130" s="2">
        <f t="shared" ref="AQ130:AQ193" ca="1" si="165">MAX(AA130-AF130-AP130,0)*Tax</f>
        <v>743680.948674988</v>
      </c>
      <c r="AR130" s="2">
        <f t="shared" ref="AR130:AR193" ca="1" si="166">MAX(AB130-AG130-AP130,0)*Tax</f>
        <v>779410.96003365528</v>
      </c>
      <c r="AS130" s="2">
        <f t="shared" ref="AS130:AS193" ca="1" si="167">MAX(AC130-AH130-AP130,0)*Tax</f>
        <v>801175.13214253867</v>
      </c>
      <c r="AT130" s="2">
        <f t="shared" ref="AT130:AT193" ca="1" si="168">MAX(AD130-AI130-AP130,0)*Tax</f>
        <v>823284.47502329166</v>
      </c>
      <c r="AU130" s="2">
        <f t="shared" ref="AU130:AU193" ca="1" si="169">MAX(AE130-AJ130-AP130,0)*Tax</f>
        <v>845744.46294165507</v>
      </c>
      <c r="AV130" s="2">
        <f t="shared" ref="AV130:AV193" ca="1" si="170">AA130-AF130-AK130-AQ130-AP130</f>
        <v>2116630.3923826581</v>
      </c>
      <c r="AW130" s="2">
        <f t="shared" ref="AW130:AW193" ca="1" si="171">AB130-AG130-AL130-AR130-AP130</f>
        <v>2210388.7686325014</v>
      </c>
      <c r="AX130" s="2">
        <f t="shared" ref="AX130:AX193" ca="1" si="172">AC130-AH130-AM130-AS130-AP130</f>
        <v>2272207.109203537</v>
      </c>
      <c r="AY130" s="2">
        <f t="shared" ref="AY130:AY193" ca="1" si="173">AD130-AI130-AN130-AT130-AP130</f>
        <v>2335005.8630989939</v>
      </c>
      <c r="AZ130" s="2">
        <f t="shared" ref="AZ130:AZ193" ca="1" si="174">AE130-AJ130-AO130-AU130-AP130</f>
        <v>2398800.5792688783</v>
      </c>
      <c r="BA130" s="2">
        <f t="shared" ref="BA130:BA193" ca="1" si="175">AE130*E130</f>
        <v>54544794.735354088</v>
      </c>
      <c r="BB130" s="2">
        <f t="shared" ref="BB130:BB193" ca="1" si="176">BA130*SellCostPct</f>
        <v>1090895.8947070818</v>
      </c>
      <c r="BC130" s="2">
        <f t="shared" ref="BC130:BC193" ca="1" si="177">BA130-R130-BB130</f>
        <v>28116594.805579334</v>
      </c>
      <c r="BD130" s="2">
        <f t="shared" ref="BD130:BD193" ca="1" si="178">-S130-Q130-IntegrationPct*BaseRev</f>
        <v>-18447257.024839602</v>
      </c>
      <c r="BE130" s="2">
        <f t="shared" ref="BE130:BE193" ca="1" si="179">AV130</f>
        <v>2116630.3923826581</v>
      </c>
      <c r="BF130" s="2">
        <f t="shared" ref="BF130:BF193" ca="1" si="180">AW130</f>
        <v>2210388.7686325014</v>
      </c>
      <c r="BG130" s="2">
        <f t="shared" ref="BG130:BG193" ca="1" si="181">AX130</f>
        <v>2272207.109203537</v>
      </c>
      <c r="BH130" s="2">
        <f t="shared" ref="BH130:BH193" ca="1" si="182">AY130</f>
        <v>2335005.8630989939</v>
      </c>
      <c r="BI130" s="2">
        <f t="shared" ref="BI130:BI193" ca="1" si="183">AZ130+BC130</f>
        <v>30515395.384848215</v>
      </c>
      <c r="BJ130" s="2">
        <f t="shared" ref="BJ130:BJ193" ca="1" si="184">IF(MIN(BD130:BI130)*MAX(BD130:BI130)&gt;=0, "", IFERROR(IRR(BD130:BI130,0.12), IFERROR(IRR(BD130:BI130,0.5), IFERROR(IRR(BD130:BI130,-0.5),""))))</f>
        <v>0.19297565209342382</v>
      </c>
      <c r="BK130" s="2">
        <f t="shared" ref="BK130:BK193" ca="1" si="185">NPV(12%,BE130:BI130)+BD130</f>
        <v>5621205.3658363856</v>
      </c>
    </row>
    <row r="131" spans="1:63" x14ac:dyDescent="0.3">
      <c r="A131" s="2">
        <v>130</v>
      </c>
      <c r="B131" s="2">
        <f t="shared" ca="1" si="124"/>
        <v>0.86626664328947611</v>
      </c>
      <c r="C131" s="2">
        <f t="shared" ca="1" si="125"/>
        <v>7.4828281587121666</v>
      </c>
      <c r="D131" s="2">
        <f t="shared" ca="1" si="126"/>
        <v>0.26205933982676155</v>
      </c>
      <c r="E131" s="2">
        <f t="shared" ca="1" si="127"/>
        <v>7.2239604130430912</v>
      </c>
      <c r="F131" s="2">
        <f t="shared" ca="1" si="128"/>
        <v>0.82351528593513657</v>
      </c>
      <c r="G131" s="2">
        <f t="shared" ca="1" si="129"/>
        <v>6.7865349512891054E-2</v>
      </c>
      <c r="H131" s="2">
        <f t="shared" ca="1" si="130"/>
        <v>6.7865349512891054E-2</v>
      </c>
      <c r="I131" s="2">
        <f t="shared" ca="1" si="131"/>
        <v>0.20627285695400899</v>
      </c>
      <c r="J131" s="2">
        <f t="shared" ca="1" si="132"/>
        <v>5.9028902334262714E-3</v>
      </c>
      <c r="K131" s="2">
        <f t="shared" ca="1" si="133"/>
        <v>5.9028902334262714E-3</v>
      </c>
      <c r="L131" s="2">
        <f t="shared" ca="1" si="134"/>
        <v>0.66344783337617519</v>
      </c>
      <c r="M131" s="2">
        <f t="shared" ca="1" si="135"/>
        <v>8.4378267477957652E-3</v>
      </c>
      <c r="N131" s="2">
        <f t="shared" ca="1" si="136"/>
        <v>8.4378267477957652E-3</v>
      </c>
      <c r="O131" s="2">
        <f t="shared" si="137"/>
        <v>6000000</v>
      </c>
      <c r="P131" s="2">
        <f t="shared" ca="1" si="138"/>
        <v>44896968.952272996</v>
      </c>
      <c r="Q131" s="2">
        <f t="shared" ca="1" si="139"/>
        <v>1122424.223806825</v>
      </c>
      <c r="R131" s="2">
        <f t="shared" ca="1" si="140"/>
        <v>26938181.371363796</v>
      </c>
      <c r="S131" s="2">
        <f t="shared" ca="1" si="141"/>
        <v>17958787.5809092</v>
      </c>
      <c r="T131" s="2">
        <f t="shared" ca="1" si="142"/>
        <v>50421891.33738979</v>
      </c>
      <c r="U131" s="2">
        <f t="shared" ca="1" si="143"/>
        <v>53843790.616102763</v>
      </c>
      <c r="V131" s="2">
        <f t="shared" ca="1" si="144"/>
        <v>57497918.285363503</v>
      </c>
      <c r="W131" s="2">
        <f t="shared" ca="1" si="145"/>
        <v>61400034.606063351</v>
      </c>
      <c r="X131" s="2">
        <f t="shared" ca="1" si="146"/>
        <v>65566969.414707452</v>
      </c>
      <c r="Y131" s="2">
        <f t="shared" ca="1" si="147"/>
        <v>0.12295144511671313</v>
      </c>
      <c r="Z131" s="2">
        <f t="shared" ca="1" si="148"/>
        <v>0.12413202316339839</v>
      </c>
      <c r="AA131" s="2">
        <f t="shared" ca="1" si="149"/>
        <v>6199444.4054499539</v>
      </c>
      <c r="AB131" s="2">
        <f t="shared" ca="1" si="150"/>
        <v>6683738.6639632406</v>
      </c>
      <c r="AC131" s="2">
        <f t="shared" ca="1" si="151"/>
        <v>7137332.9244459299</v>
      </c>
      <c r="AD131" s="2">
        <f t="shared" ca="1" si="152"/>
        <v>7621710.5179533185</v>
      </c>
      <c r="AE131" s="2">
        <f t="shared" ca="1" si="153"/>
        <v>8138960.5661402987</v>
      </c>
      <c r="AF131" s="2">
        <f t="shared" ca="1" si="154"/>
        <v>1008437.8267477958</v>
      </c>
      <c r="AG131" s="2">
        <f t="shared" ca="1" si="155"/>
        <v>1076875.8123220552</v>
      </c>
      <c r="AH131" s="2">
        <f t="shared" ca="1" si="156"/>
        <v>1149958.3657072701</v>
      </c>
      <c r="AI131" s="2">
        <f t="shared" ca="1" si="157"/>
        <v>1228000.6921212671</v>
      </c>
      <c r="AJ131" s="2">
        <f t="shared" ca="1" si="158"/>
        <v>1311339.388294149</v>
      </c>
      <c r="AK131" s="2">
        <f t="shared" ca="1" si="159"/>
        <v>0</v>
      </c>
      <c r="AL131" s="2">
        <f t="shared" ca="1" si="160"/>
        <v>34218.992787129733</v>
      </c>
      <c r="AM131" s="2">
        <f t="shared" ca="1" si="161"/>
        <v>36541.276692607404</v>
      </c>
      <c r="AN131" s="2">
        <f t="shared" ca="1" si="162"/>
        <v>39021.163206998484</v>
      </c>
      <c r="AO131" s="2">
        <f t="shared" ca="1" si="163"/>
        <v>41669.348086441008</v>
      </c>
      <c r="AP131" s="2">
        <f t="shared" ca="1" si="164"/>
        <v>2424436.3234227416</v>
      </c>
      <c r="AQ131" s="2">
        <f t="shared" ca="1" si="165"/>
        <v>719308.26637264842</v>
      </c>
      <c r="AR131" s="2">
        <f t="shared" ca="1" si="166"/>
        <v>827430.89733679546</v>
      </c>
      <c r="AS131" s="2">
        <f t="shared" ca="1" si="167"/>
        <v>926363.94118213886</v>
      </c>
      <c r="AT131" s="2">
        <f t="shared" ca="1" si="168"/>
        <v>1032011.1106264206</v>
      </c>
      <c r="AU131" s="2">
        <f t="shared" ca="1" si="169"/>
        <v>1144828.062150086</v>
      </c>
      <c r="AV131" s="2">
        <f t="shared" ca="1" si="170"/>
        <v>2047261.9889067686</v>
      </c>
      <c r="AW131" s="2">
        <f t="shared" ca="1" si="171"/>
        <v>2320776.6380945179</v>
      </c>
      <c r="AX131" s="2">
        <f t="shared" ca="1" si="172"/>
        <v>2600033.0174411717</v>
      </c>
      <c r="AY131" s="2">
        <f t="shared" ca="1" si="173"/>
        <v>2898241.2285758904</v>
      </c>
      <c r="AZ131" s="2">
        <f t="shared" ca="1" si="174"/>
        <v>3216687.4441868807</v>
      </c>
      <c r="BA131" s="2">
        <f t="shared" ca="1" si="175"/>
        <v>58795528.933116302</v>
      </c>
      <c r="BB131" s="2">
        <f t="shared" ca="1" si="176"/>
        <v>1175910.5786623261</v>
      </c>
      <c r="BC131" s="2">
        <f t="shared" ca="1" si="177"/>
        <v>30681436.983090181</v>
      </c>
      <c r="BD131" s="2">
        <f t="shared" ca="1" si="178"/>
        <v>-19581211.804716025</v>
      </c>
      <c r="BE131" s="2">
        <f t="shared" ca="1" si="179"/>
        <v>2047261.9889067686</v>
      </c>
      <c r="BF131" s="2">
        <f t="shared" ca="1" si="180"/>
        <v>2320776.6380945179</v>
      </c>
      <c r="BG131" s="2">
        <f t="shared" ca="1" si="181"/>
        <v>2600033.0174411717</v>
      </c>
      <c r="BH131" s="2">
        <f t="shared" ca="1" si="182"/>
        <v>2898241.2285758904</v>
      </c>
      <c r="BI131" s="2">
        <f t="shared" ca="1" si="183"/>
        <v>33898124.427277058</v>
      </c>
      <c r="BJ131" s="2">
        <f t="shared" ca="1" si="184"/>
        <v>0.20381095718127296</v>
      </c>
      <c r="BK131" s="2">
        <f t="shared" ca="1" si="185"/>
        <v>7024052.6127748899</v>
      </c>
    </row>
    <row r="132" spans="1:63" x14ac:dyDescent="0.3">
      <c r="A132" s="2">
        <v>131</v>
      </c>
      <c r="B132" s="2">
        <f t="shared" ca="1" si="124"/>
        <v>0.49836354070877209</v>
      </c>
      <c r="C132" s="2">
        <f t="shared" ca="1" si="125"/>
        <v>6.9983621995135552</v>
      </c>
      <c r="D132" s="2">
        <f t="shared" ca="1" si="126"/>
        <v>0.78323196445984089</v>
      </c>
      <c r="E132" s="2">
        <f t="shared" ca="1" si="127"/>
        <v>7.8415654390295737</v>
      </c>
      <c r="F132" s="2">
        <f t="shared" ca="1" si="128"/>
        <v>0.50958471957322971</v>
      </c>
      <c r="G132" s="2">
        <f t="shared" ca="1" si="129"/>
        <v>4.072082922568613E-2</v>
      </c>
      <c r="H132" s="2">
        <f t="shared" ca="1" si="130"/>
        <v>4.072082922568613E-2</v>
      </c>
      <c r="I132" s="2">
        <f t="shared" ca="1" si="131"/>
        <v>0.79153862474115022</v>
      </c>
      <c r="J132" s="2">
        <f t="shared" ca="1" si="132"/>
        <v>1.4058857568686942E-2</v>
      </c>
      <c r="K132" s="2">
        <f t="shared" ca="1" si="133"/>
        <v>1.4058857568686942E-2</v>
      </c>
      <c r="L132" s="2">
        <f t="shared" ca="1" si="134"/>
        <v>5.6317319793936171E-2</v>
      </c>
      <c r="M132" s="2">
        <f t="shared" ca="1" si="135"/>
        <v>-3.1729231713393105E-2</v>
      </c>
      <c r="N132" s="2">
        <f t="shared" ca="1" si="136"/>
        <v>-3.1729231713393105E-2</v>
      </c>
      <c r="O132" s="2">
        <f t="shared" si="137"/>
        <v>6000000</v>
      </c>
      <c r="P132" s="2">
        <f t="shared" ca="1" si="138"/>
        <v>41990173.197081335</v>
      </c>
      <c r="Q132" s="2">
        <f t="shared" ca="1" si="139"/>
        <v>1049754.3299270335</v>
      </c>
      <c r="R132" s="2">
        <f t="shared" ca="1" si="140"/>
        <v>25194103.918248799</v>
      </c>
      <c r="S132" s="2">
        <f t="shared" ca="1" si="141"/>
        <v>16796069.278832536</v>
      </c>
      <c r="T132" s="2">
        <f t="shared" ca="1" si="142"/>
        <v>48413538.414330341</v>
      </c>
      <c r="U132" s="2">
        <f t="shared" ca="1" si="143"/>
        <v>50384977.844311483</v>
      </c>
      <c r="V132" s="2">
        <f t="shared" ca="1" si="144"/>
        <v>52436695.922649674</v>
      </c>
      <c r="W132" s="2">
        <f t="shared" ca="1" si="145"/>
        <v>54571961.662475124</v>
      </c>
      <c r="X132" s="2">
        <f t="shared" ca="1" si="146"/>
        <v>56794177.193843469</v>
      </c>
      <c r="Y132" s="2">
        <f t="shared" ca="1" si="147"/>
        <v>0.12702942878434348</v>
      </c>
      <c r="Z132" s="2">
        <f t="shared" ca="1" si="148"/>
        <v>0.12984120029808086</v>
      </c>
      <c r="AA132" s="2">
        <f t="shared" ca="1" si="149"/>
        <v>6149944.1302012531</v>
      </c>
      <c r="AB132" s="2">
        <f t="shared" ca="1" si="150"/>
        <v>6542046.0002976134</v>
      </c>
      <c r="AC132" s="2">
        <f t="shared" ca="1" si="151"/>
        <v>6808443.538262316</v>
      </c>
      <c r="AD132" s="2">
        <f t="shared" ca="1" si="152"/>
        <v>7085689.004876622</v>
      </c>
      <c r="AE132" s="2">
        <f t="shared" ca="1" si="153"/>
        <v>7374224.1367905252</v>
      </c>
      <c r="AF132" s="2">
        <f t="shared" ca="1" si="154"/>
        <v>968270.76828660688</v>
      </c>
      <c r="AG132" s="2">
        <f t="shared" ca="1" si="155"/>
        <v>1007699.5568862297</v>
      </c>
      <c r="AH132" s="2">
        <f t="shared" ca="1" si="156"/>
        <v>1048733.9184529935</v>
      </c>
      <c r="AI132" s="2">
        <f t="shared" ca="1" si="157"/>
        <v>1091439.2332495025</v>
      </c>
      <c r="AJ132" s="2">
        <f t="shared" ca="1" si="158"/>
        <v>1135883.5438768694</v>
      </c>
      <c r="AK132" s="2">
        <f t="shared" ca="1" si="159"/>
        <v>0</v>
      </c>
      <c r="AL132" s="2">
        <f t="shared" ca="1" si="160"/>
        <v>19714.394299811422</v>
      </c>
      <c r="AM132" s="2">
        <f t="shared" ca="1" si="161"/>
        <v>20517.180783381911</v>
      </c>
      <c r="AN132" s="2">
        <f t="shared" ca="1" si="162"/>
        <v>21352.657398254498</v>
      </c>
      <c r="AO132" s="2">
        <f t="shared" ca="1" si="163"/>
        <v>22222.155313683452</v>
      </c>
      <c r="AP132" s="2">
        <f t="shared" ca="1" si="164"/>
        <v>2267469.3526423918</v>
      </c>
      <c r="AQ132" s="2">
        <f t="shared" ca="1" si="165"/>
        <v>757693.04241078603</v>
      </c>
      <c r="AR132" s="2">
        <f t="shared" ca="1" si="166"/>
        <v>849388.04359993793</v>
      </c>
      <c r="AS132" s="2">
        <f t="shared" ca="1" si="167"/>
        <v>907982.46946340194</v>
      </c>
      <c r="AT132" s="2">
        <f t="shared" ca="1" si="168"/>
        <v>968962.9089360293</v>
      </c>
      <c r="AU132" s="2">
        <f t="shared" ca="1" si="169"/>
        <v>1032426.5224705286</v>
      </c>
      <c r="AV132" s="2">
        <f t="shared" ca="1" si="170"/>
        <v>2156510.9668614678</v>
      </c>
      <c r="AW132" s="2">
        <f t="shared" ca="1" si="171"/>
        <v>2397774.6528692422</v>
      </c>
      <c r="AX132" s="2">
        <f t="shared" ca="1" si="172"/>
        <v>2563740.6169201462</v>
      </c>
      <c r="AY132" s="2">
        <f t="shared" ca="1" si="173"/>
        <v>2736464.852650444</v>
      </c>
      <c r="AZ132" s="2">
        <f t="shared" ca="1" si="174"/>
        <v>2916222.5624870518</v>
      </c>
      <c r="BA132" s="2">
        <f t="shared" ca="1" si="175"/>
        <v>57825461.130714275</v>
      </c>
      <c r="BB132" s="2">
        <f t="shared" ca="1" si="176"/>
        <v>1156509.2226142855</v>
      </c>
      <c r="BC132" s="2">
        <f t="shared" ca="1" si="177"/>
        <v>31474847.989851192</v>
      </c>
      <c r="BD132" s="2">
        <f t="shared" ca="1" si="178"/>
        <v>-18345823.608759571</v>
      </c>
      <c r="BE132" s="2">
        <f t="shared" ca="1" si="179"/>
        <v>2156510.9668614678</v>
      </c>
      <c r="BF132" s="2">
        <f t="shared" ca="1" si="180"/>
        <v>2397774.6528692422</v>
      </c>
      <c r="BG132" s="2">
        <f t="shared" ca="1" si="181"/>
        <v>2563740.6169201462</v>
      </c>
      <c r="BH132" s="2">
        <f t="shared" ca="1" si="182"/>
        <v>2736464.852650444</v>
      </c>
      <c r="BI132" s="2">
        <f t="shared" ca="1" si="183"/>
        <v>34391070.552338243</v>
      </c>
      <c r="BJ132" s="2">
        <f t="shared" ca="1" si="184"/>
        <v>0.22643911483306689</v>
      </c>
      <c r="BK132" s="2">
        <f t="shared" ca="1" si="185"/>
        <v>8569433.7293961309</v>
      </c>
    </row>
    <row r="133" spans="1:63" x14ac:dyDescent="0.3">
      <c r="A133" s="2">
        <v>132</v>
      </c>
      <c r="B133" s="2">
        <f t="shared" ca="1" si="124"/>
        <v>8.4078191920053391E-2</v>
      </c>
      <c r="C133" s="2">
        <f t="shared" ca="1" si="125"/>
        <v>6.4100687550156765</v>
      </c>
      <c r="D133" s="2">
        <f t="shared" ca="1" si="126"/>
        <v>0.89097330884289883</v>
      </c>
      <c r="E133" s="2">
        <f t="shared" ca="1" si="127"/>
        <v>8.0330381361243699</v>
      </c>
      <c r="F133" s="2">
        <f t="shared" ca="1" si="128"/>
        <v>0.60104592101175003</v>
      </c>
      <c r="G133" s="2">
        <f t="shared" ca="1" si="129"/>
        <v>4.76816581847085E-2</v>
      </c>
      <c r="H133" s="2">
        <f t="shared" ca="1" si="130"/>
        <v>4.76816581847085E-2</v>
      </c>
      <c r="I133" s="2">
        <f t="shared" ca="1" si="131"/>
        <v>0.82396876880361647</v>
      </c>
      <c r="J133" s="2">
        <f t="shared" ca="1" si="132"/>
        <v>1.465298117889899E-2</v>
      </c>
      <c r="K133" s="2">
        <f t="shared" ca="1" si="133"/>
        <v>1.465298117889899E-2</v>
      </c>
      <c r="L133" s="2">
        <f t="shared" ca="1" si="134"/>
        <v>0.2525458804436409</v>
      </c>
      <c r="M133" s="2">
        <f t="shared" ca="1" si="135"/>
        <v>-1.332999382724053E-2</v>
      </c>
      <c r="N133" s="2">
        <f t="shared" ca="1" si="136"/>
        <v>-1.332999382724053E-2</v>
      </c>
      <c r="O133" s="2">
        <f t="shared" si="137"/>
        <v>6000000</v>
      </c>
      <c r="P133" s="2">
        <f t="shared" ca="1" si="138"/>
        <v>38460412.530094057</v>
      </c>
      <c r="Q133" s="2">
        <f t="shared" ca="1" si="139"/>
        <v>961510.31325235148</v>
      </c>
      <c r="R133" s="2">
        <f t="shared" ca="1" si="140"/>
        <v>23076247.518056434</v>
      </c>
      <c r="S133" s="2">
        <f t="shared" ca="1" si="141"/>
        <v>15384165.012037624</v>
      </c>
      <c r="T133" s="2">
        <f t="shared" ca="1" si="142"/>
        <v>49333500.308637977</v>
      </c>
      <c r="U133" s="2">
        <f t="shared" ca="1" si="143"/>
        <v>51685803.407409668</v>
      </c>
      <c r="V133" s="2">
        <f t="shared" ca="1" si="144"/>
        <v>54150268.218483821</v>
      </c>
      <c r="W133" s="2">
        <f t="shared" ca="1" si="145"/>
        <v>56732242.798287854</v>
      </c>
      <c r="X133" s="2">
        <f t="shared" ca="1" si="146"/>
        <v>59437330.207447708</v>
      </c>
      <c r="Y133" s="2">
        <f t="shared" ca="1" si="147"/>
        <v>0.1273264905894495</v>
      </c>
      <c r="Z133" s="2">
        <f t="shared" ca="1" si="148"/>
        <v>0.1302570868252293</v>
      </c>
      <c r="AA133" s="2">
        <f t="shared" ca="1" si="149"/>
        <v>6281461.4627923975</v>
      </c>
      <c r="AB133" s="2">
        <f t="shared" ca="1" si="150"/>
        <v>6732442.182070693</v>
      </c>
      <c r="AC133" s="2">
        <f t="shared" ca="1" si="151"/>
        <v>7053456.1889445018</v>
      </c>
      <c r="AD133" s="2">
        <f t="shared" ca="1" si="152"/>
        <v>7389776.6759665702</v>
      </c>
      <c r="AE133" s="2">
        <f t="shared" ca="1" si="153"/>
        <v>7742133.4814913403</v>
      </c>
      <c r="AF133" s="2">
        <f t="shared" ca="1" si="154"/>
        <v>986670.00617275957</v>
      </c>
      <c r="AG133" s="2">
        <f t="shared" ca="1" si="155"/>
        <v>1033716.0681481934</v>
      </c>
      <c r="AH133" s="2">
        <f t="shared" ca="1" si="156"/>
        <v>1083005.3643696764</v>
      </c>
      <c r="AI133" s="2">
        <f t="shared" ca="1" si="157"/>
        <v>1134644.855965757</v>
      </c>
      <c r="AJ133" s="2">
        <f t="shared" ca="1" si="158"/>
        <v>1188746.6041489542</v>
      </c>
      <c r="AK133" s="2">
        <f t="shared" ca="1" si="159"/>
        <v>0</v>
      </c>
      <c r="AL133" s="2">
        <f t="shared" ca="1" si="160"/>
        <v>23523.030987716913</v>
      </c>
      <c r="AM133" s="2">
        <f t="shared" ca="1" si="161"/>
        <v>24644.648110741527</v>
      </c>
      <c r="AN133" s="2">
        <f t="shared" ca="1" si="162"/>
        <v>25819.745798040331</v>
      </c>
      <c r="AO133" s="2">
        <f t="shared" ca="1" si="163"/>
        <v>27050.87409159854</v>
      </c>
      <c r="AP133" s="2">
        <f t="shared" ca="1" si="164"/>
        <v>2076862.2766250789</v>
      </c>
      <c r="AQ133" s="2">
        <f t="shared" ca="1" si="165"/>
        <v>836661.58679858537</v>
      </c>
      <c r="AR133" s="2">
        <f t="shared" ca="1" si="166"/>
        <v>941684.59769732924</v>
      </c>
      <c r="AS133" s="2">
        <f t="shared" ca="1" si="167"/>
        <v>1012333.0224669341</v>
      </c>
      <c r="AT133" s="2">
        <f t="shared" ca="1" si="168"/>
        <v>1086350.0812776908</v>
      </c>
      <c r="AU133" s="2">
        <f t="shared" ca="1" si="169"/>
        <v>1163896.3961864999</v>
      </c>
      <c r="AV133" s="2">
        <f t="shared" ca="1" si="170"/>
        <v>2381267.5931959739</v>
      </c>
      <c r="AW133" s="2">
        <f t="shared" ca="1" si="171"/>
        <v>2656656.208612374</v>
      </c>
      <c r="AX133" s="2">
        <f t="shared" ca="1" si="172"/>
        <v>2856610.8773720702</v>
      </c>
      <c r="AY133" s="2">
        <f t="shared" ca="1" si="173"/>
        <v>3066099.7163000032</v>
      </c>
      <c r="AZ133" s="2">
        <f t="shared" ca="1" si="174"/>
        <v>3285577.330439209</v>
      </c>
      <c r="BA133" s="2">
        <f t="shared" ca="1" si="175"/>
        <v>62192853.511785276</v>
      </c>
      <c r="BB133" s="2">
        <f t="shared" ca="1" si="176"/>
        <v>1243857.0702357055</v>
      </c>
      <c r="BC133" s="2">
        <f t="shared" ca="1" si="177"/>
        <v>37872748.923493139</v>
      </c>
      <c r="BD133" s="2">
        <f t="shared" ca="1" si="178"/>
        <v>-16845675.325289976</v>
      </c>
      <c r="BE133" s="2">
        <f t="shared" ca="1" si="179"/>
        <v>2381267.5931959739</v>
      </c>
      <c r="BF133" s="2">
        <f t="shared" ca="1" si="180"/>
        <v>2656656.208612374</v>
      </c>
      <c r="BG133" s="2">
        <f t="shared" ca="1" si="181"/>
        <v>2856610.8773720702</v>
      </c>
      <c r="BH133" s="2">
        <f t="shared" ca="1" si="182"/>
        <v>3066099.7163000032</v>
      </c>
      <c r="BI133" s="2">
        <f t="shared" ca="1" si="183"/>
        <v>41158326.253932349</v>
      </c>
      <c r="BJ133" s="2">
        <f t="shared" ca="1" si="184"/>
        <v>0.30032141298349635</v>
      </c>
      <c r="BK133" s="2">
        <f t="shared" ca="1" si="185"/>
        <v>14734507.169625033</v>
      </c>
    </row>
    <row r="134" spans="1:63" x14ac:dyDescent="0.3">
      <c r="A134" s="2">
        <v>133</v>
      </c>
      <c r="B134" s="2">
        <f t="shared" ca="1" si="124"/>
        <v>0.12835569757499776</v>
      </c>
      <c r="C134" s="2">
        <f t="shared" ca="1" si="125"/>
        <v>6.50666694696812</v>
      </c>
      <c r="D134" s="2">
        <f t="shared" ca="1" si="126"/>
        <v>0.77692820980636457</v>
      </c>
      <c r="E134" s="2">
        <f t="shared" ca="1" si="127"/>
        <v>7.8320601970332424</v>
      </c>
      <c r="F134" s="2">
        <f t="shared" ca="1" si="128"/>
        <v>1.3377472692750914E-2</v>
      </c>
      <c r="G134" s="2">
        <f t="shared" ca="1" si="129"/>
        <v>-2.6452237623337892E-2</v>
      </c>
      <c r="H134" s="2">
        <f t="shared" ca="1" si="130"/>
        <v>-0.02</v>
      </c>
      <c r="I134" s="2">
        <f t="shared" ca="1" si="131"/>
        <v>0.91946929988658066</v>
      </c>
      <c r="J134" s="2">
        <f t="shared" ca="1" si="132"/>
        <v>1.700755366573441E-2</v>
      </c>
      <c r="K134" s="2">
        <f t="shared" ca="1" si="133"/>
        <v>1.700755366573441E-2</v>
      </c>
      <c r="L134" s="2">
        <f t="shared" ca="1" si="134"/>
        <v>0.98784874724431671</v>
      </c>
      <c r="M134" s="2">
        <f t="shared" ca="1" si="135"/>
        <v>4.5046258005265766E-2</v>
      </c>
      <c r="N134" s="2">
        <f t="shared" ca="1" si="136"/>
        <v>4.5046258005265766E-2</v>
      </c>
      <c r="O134" s="2">
        <f t="shared" si="137"/>
        <v>6000000</v>
      </c>
      <c r="P134" s="2">
        <f t="shared" ca="1" si="138"/>
        <v>39040001.681808718</v>
      </c>
      <c r="Q134" s="2">
        <f t="shared" ca="1" si="139"/>
        <v>976000.04204521794</v>
      </c>
      <c r="R134" s="2">
        <f t="shared" ca="1" si="140"/>
        <v>23424001.009085231</v>
      </c>
      <c r="S134" s="2">
        <f t="shared" ca="1" si="141"/>
        <v>15616000.672723487</v>
      </c>
      <c r="T134" s="2">
        <f t="shared" ca="1" si="142"/>
        <v>52252312.900263287</v>
      </c>
      <c r="U134" s="2">
        <f t="shared" ca="1" si="143"/>
        <v>51207266.642258018</v>
      </c>
      <c r="V134" s="2">
        <f t="shared" ca="1" si="144"/>
        <v>50183121.309412859</v>
      </c>
      <c r="W134" s="2">
        <f t="shared" ca="1" si="145"/>
        <v>49179458.883224599</v>
      </c>
      <c r="X134" s="2">
        <f t="shared" ca="1" si="146"/>
        <v>48195869.705560103</v>
      </c>
      <c r="Y134" s="2">
        <f t="shared" ca="1" si="147"/>
        <v>0.12850377683286721</v>
      </c>
      <c r="Z134" s="2">
        <f t="shared" ca="1" si="148"/>
        <v>0.13190528756601408</v>
      </c>
      <c r="AA134" s="2">
        <f t="shared" ca="1" si="149"/>
        <v>6714619.5559365815</v>
      </c>
      <c r="AB134" s="2">
        <f t="shared" ca="1" si="150"/>
        <v>6754509.2319166036</v>
      </c>
      <c r="AC134" s="2">
        <f t="shared" ca="1" si="151"/>
        <v>6619419.047278272</v>
      </c>
      <c r="AD134" s="2">
        <f t="shared" ca="1" si="152"/>
        <v>6487030.6663327068</v>
      </c>
      <c r="AE134" s="2">
        <f t="shared" ca="1" si="153"/>
        <v>6357290.053006052</v>
      </c>
      <c r="AF134" s="2">
        <f t="shared" ca="1" si="154"/>
        <v>1045046.2580052657</v>
      </c>
      <c r="AG134" s="2">
        <f t="shared" ca="1" si="155"/>
        <v>1024145.3328451604</v>
      </c>
      <c r="AH134" s="2">
        <f t="shared" ca="1" si="156"/>
        <v>1003662.4261882572</v>
      </c>
      <c r="AI134" s="2">
        <f t="shared" ca="1" si="157"/>
        <v>983589.17766449205</v>
      </c>
      <c r="AJ134" s="2">
        <f t="shared" ca="1" si="158"/>
        <v>963917.3941112021</v>
      </c>
      <c r="AK134" s="2">
        <f t="shared" ca="1" si="159"/>
        <v>0</v>
      </c>
      <c r="AL134" s="2">
        <f t="shared" ca="1" si="160"/>
        <v>0</v>
      </c>
      <c r="AM134" s="2">
        <f t="shared" ca="1" si="161"/>
        <v>0</v>
      </c>
      <c r="AN134" s="2">
        <f t="shared" ca="1" si="162"/>
        <v>0</v>
      </c>
      <c r="AO134" s="2">
        <f t="shared" ca="1" si="163"/>
        <v>0</v>
      </c>
      <c r="AP134" s="2">
        <f t="shared" ca="1" si="164"/>
        <v>2108160.0908176708</v>
      </c>
      <c r="AQ134" s="2">
        <f t="shared" ca="1" si="165"/>
        <v>925967.43384954764</v>
      </c>
      <c r="AR134" s="2">
        <f t="shared" ca="1" si="166"/>
        <v>941772.99014598073</v>
      </c>
      <c r="AS134" s="2">
        <f t="shared" ca="1" si="167"/>
        <v>911975.09787080938</v>
      </c>
      <c r="AT134" s="2">
        <f t="shared" ca="1" si="168"/>
        <v>882773.16344114137</v>
      </c>
      <c r="AU134" s="2">
        <f t="shared" ca="1" si="169"/>
        <v>854155.26770006656</v>
      </c>
      <c r="AV134" s="2">
        <f t="shared" ca="1" si="170"/>
        <v>2635445.7732640966</v>
      </c>
      <c r="AW134" s="2">
        <f t="shared" ca="1" si="171"/>
        <v>2680430.8181077917</v>
      </c>
      <c r="AX134" s="2">
        <f t="shared" ca="1" si="172"/>
        <v>2595621.4324015346</v>
      </c>
      <c r="AY134" s="2">
        <f t="shared" ca="1" si="173"/>
        <v>2512508.2344094026</v>
      </c>
      <c r="AZ134" s="2">
        <f t="shared" ca="1" si="174"/>
        <v>2431057.3003771123</v>
      </c>
      <c r="BA134" s="2">
        <f t="shared" ca="1" si="175"/>
        <v>49790678.385144055</v>
      </c>
      <c r="BB134" s="2">
        <f t="shared" ca="1" si="176"/>
        <v>995813.56770288106</v>
      </c>
      <c r="BC134" s="2">
        <f t="shared" ca="1" si="177"/>
        <v>25370863.808355942</v>
      </c>
      <c r="BD134" s="2">
        <f t="shared" ca="1" si="178"/>
        <v>-17092000.714768704</v>
      </c>
      <c r="BE134" s="2">
        <f t="shared" ca="1" si="179"/>
        <v>2635445.7732640966</v>
      </c>
      <c r="BF134" s="2">
        <f t="shared" ca="1" si="180"/>
        <v>2680430.8181077917</v>
      </c>
      <c r="BG134" s="2">
        <f t="shared" ca="1" si="181"/>
        <v>2595621.4324015346</v>
      </c>
      <c r="BH134" s="2">
        <f t="shared" ca="1" si="182"/>
        <v>2512508.2344094026</v>
      </c>
      <c r="BI134" s="2">
        <f t="shared" ca="1" si="183"/>
        <v>27801921.108733054</v>
      </c>
      <c r="BJ134" s="2">
        <f t="shared" ca="1" si="184"/>
        <v>0.21487354597337993</v>
      </c>
      <c r="BK134" s="2">
        <f t="shared" ca="1" si="185"/>
        <v>6617712.0550551005</v>
      </c>
    </row>
    <row r="135" spans="1:63" x14ac:dyDescent="0.3">
      <c r="A135" s="2">
        <v>134</v>
      </c>
      <c r="B135" s="2">
        <f t="shared" ca="1" si="124"/>
        <v>0.62042179041604006</v>
      </c>
      <c r="C135" s="2">
        <f t="shared" ca="1" si="125"/>
        <v>7.1287041724144897</v>
      </c>
      <c r="D135" s="2">
        <f t="shared" ca="1" si="126"/>
        <v>0.70283838696361622</v>
      </c>
      <c r="E135" s="2">
        <f t="shared" ca="1" si="127"/>
        <v>7.7290763811681682</v>
      </c>
      <c r="F135" s="2">
        <f t="shared" ca="1" si="128"/>
        <v>0.48388006044205523</v>
      </c>
      <c r="G135" s="2">
        <f t="shared" ca="1" si="129"/>
        <v>3.8787469062642986E-2</v>
      </c>
      <c r="H135" s="2">
        <f t="shared" ca="1" si="130"/>
        <v>3.8787469062642986E-2</v>
      </c>
      <c r="I135" s="2">
        <f t="shared" ca="1" si="131"/>
        <v>0.15957891604444796</v>
      </c>
      <c r="J135" s="2">
        <f t="shared" ca="1" si="132"/>
        <v>5.0190499469149729E-3</v>
      </c>
      <c r="K135" s="2">
        <f t="shared" ca="1" si="133"/>
        <v>5.0190499469149729E-3</v>
      </c>
      <c r="L135" s="2">
        <f t="shared" ca="1" si="134"/>
        <v>0.31320608839460629</v>
      </c>
      <c r="M135" s="2">
        <f t="shared" ca="1" si="135"/>
        <v>-9.7356583647213012E-3</v>
      </c>
      <c r="N135" s="2">
        <f t="shared" ca="1" si="136"/>
        <v>-9.7356583647213012E-3</v>
      </c>
      <c r="O135" s="2">
        <f t="shared" si="137"/>
        <v>6000000</v>
      </c>
      <c r="P135" s="2">
        <f t="shared" ca="1" si="138"/>
        <v>42772225.034486942</v>
      </c>
      <c r="Q135" s="2">
        <f t="shared" ca="1" si="139"/>
        <v>1069305.6258621735</v>
      </c>
      <c r="R135" s="2">
        <f t="shared" ca="1" si="140"/>
        <v>25663335.020692166</v>
      </c>
      <c r="S135" s="2">
        <f t="shared" ca="1" si="141"/>
        <v>17108890.013794776</v>
      </c>
      <c r="T135" s="2">
        <f t="shared" ca="1" si="142"/>
        <v>49513217.081763931</v>
      </c>
      <c r="U135" s="2">
        <f t="shared" ca="1" si="143"/>
        <v>51433709.457514778</v>
      </c>
      <c r="V135" s="2">
        <f t="shared" ca="1" si="144"/>
        <v>53428692.871875107</v>
      </c>
      <c r="W135" s="2">
        <f t="shared" ca="1" si="145"/>
        <v>55501056.643700421</v>
      </c>
      <c r="X135" s="2">
        <f t="shared" ca="1" si="146"/>
        <v>57653802.161211953</v>
      </c>
      <c r="Y135" s="2">
        <f t="shared" ca="1" si="147"/>
        <v>0.12250952497345748</v>
      </c>
      <c r="Z135" s="2">
        <f t="shared" ca="1" si="148"/>
        <v>0.12351333496284048</v>
      </c>
      <c r="AA135" s="2">
        <f t="shared" ca="1" si="149"/>
        <v>6065840.7045945795</v>
      </c>
      <c r="AB135" s="2">
        <f t="shared" ca="1" si="150"/>
        <v>6352748.9846074386</v>
      </c>
      <c r="AC135" s="2">
        <f t="shared" ca="1" si="151"/>
        <v>6599156.0393106379</v>
      </c>
      <c r="AD135" s="2">
        <f t="shared" ca="1" si="152"/>
        <v>6855120.6000249526</v>
      </c>
      <c r="AE135" s="2">
        <f t="shared" ca="1" si="153"/>
        <v>7121013.3782191081</v>
      </c>
      <c r="AF135" s="2">
        <f t="shared" ca="1" si="154"/>
        <v>990264.34163527866</v>
      </c>
      <c r="AG135" s="2">
        <f t="shared" ca="1" si="155"/>
        <v>1028674.1891502956</v>
      </c>
      <c r="AH135" s="2">
        <f t="shared" ca="1" si="156"/>
        <v>1068573.8574375021</v>
      </c>
      <c r="AI135" s="2">
        <f t="shared" ca="1" si="157"/>
        <v>1110021.1328740085</v>
      </c>
      <c r="AJ135" s="2">
        <f t="shared" ca="1" si="158"/>
        <v>1153076.043224239</v>
      </c>
      <c r="AK135" s="2">
        <f t="shared" ca="1" si="159"/>
        <v>0</v>
      </c>
      <c r="AL135" s="2">
        <f t="shared" ca="1" si="160"/>
        <v>19204.923757508473</v>
      </c>
      <c r="AM135" s="2">
        <f t="shared" ca="1" si="161"/>
        <v>19949.834143603297</v>
      </c>
      <c r="AN135" s="2">
        <f t="shared" ca="1" si="162"/>
        <v>20723.637718253136</v>
      </c>
      <c r="AO135" s="2">
        <f t="shared" ca="1" si="163"/>
        <v>21527.455175115316</v>
      </c>
      <c r="AP135" s="2">
        <f t="shared" ca="1" si="164"/>
        <v>2309700.1518622949</v>
      </c>
      <c r="AQ135" s="2">
        <f t="shared" ca="1" si="165"/>
        <v>719127.81488522165</v>
      </c>
      <c r="AR135" s="2">
        <f t="shared" ca="1" si="166"/>
        <v>783737.40733466065</v>
      </c>
      <c r="AS135" s="2">
        <f t="shared" ca="1" si="167"/>
        <v>837429.3278028185</v>
      </c>
      <c r="AT135" s="2">
        <f t="shared" ca="1" si="168"/>
        <v>893203.82197504886</v>
      </c>
      <c r="AU135" s="2">
        <f t="shared" ca="1" si="169"/>
        <v>951141.66761446942</v>
      </c>
      <c r="AV135" s="2">
        <f t="shared" ca="1" si="170"/>
        <v>2046748.3962117848</v>
      </c>
      <c r="AW135" s="2">
        <f t="shared" ca="1" si="171"/>
        <v>2211432.3125026789</v>
      </c>
      <c r="AX135" s="2">
        <f t="shared" ca="1" si="172"/>
        <v>2363502.8680644189</v>
      </c>
      <c r="AY135" s="2">
        <f t="shared" ca="1" si="173"/>
        <v>2521471.8555953479</v>
      </c>
      <c r="AZ135" s="2">
        <f t="shared" ca="1" si="174"/>
        <v>2685568.0603429894</v>
      </c>
      <c r="BA135" s="2">
        <f t="shared" ca="1" si="175"/>
        <v>55038856.31157586</v>
      </c>
      <c r="BB135" s="2">
        <f t="shared" ca="1" si="176"/>
        <v>1100777.1262315172</v>
      </c>
      <c r="BC135" s="2">
        <f t="shared" ca="1" si="177"/>
        <v>28274744.164652176</v>
      </c>
      <c r="BD135" s="2">
        <f t="shared" ca="1" si="178"/>
        <v>-18678195.63965695</v>
      </c>
      <c r="BE135" s="2">
        <f t="shared" ca="1" si="179"/>
        <v>2046748.3962117848</v>
      </c>
      <c r="BF135" s="2">
        <f t="shared" ca="1" si="180"/>
        <v>2211432.3125026789</v>
      </c>
      <c r="BG135" s="2">
        <f t="shared" ca="1" si="181"/>
        <v>2363502.8680644189</v>
      </c>
      <c r="BH135" s="2">
        <f t="shared" ca="1" si="182"/>
        <v>2521471.8555953479</v>
      </c>
      <c r="BI135" s="2">
        <f t="shared" ca="1" si="183"/>
        <v>30960312.224995166</v>
      </c>
      <c r="BJ135" s="2">
        <f t="shared" ca="1" si="184"/>
        <v>0.19360602957602979</v>
      </c>
      <c r="BK135" s="2">
        <f t="shared" ca="1" si="185"/>
        <v>5764646.8091313057</v>
      </c>
    </row>
    <row r="136" spans="1:63" x14ac:dyDescent="0.3">
      <c r="A136" s="2">
        <v>135</v>
      </c>
      <c r="B136" s="2">
        <f t="shared" ca="1" si="124"/>
        <v>0.56083819746706587</v>
      </c>
      <c r="C136" s="2">
        <f t="shared" ca="1" si="125"/>
        <v>7.06281079548158</v>
      </c>
      <c r="D136" s="2">
        <f t="shared" ca="1" si="126"/>
        <v>0.32335955062077382</v>
      </c>
      <c r="E136" s="2">
        <f t="shared" ca="1" si="127"/>
        <v>7.3041884737059766</v>
      </c>
      <c r="F136" s="2">
        <f t="shared" ca="1" si="128"/>
        <v>0.35068526377950437</v>
      </c>
      <c r="G136" s="2">
        <f t="shared" ca="1" si="129"/>
        <v>2.8495868341093397E-2</v>
      </c>
      <c r="H136" s="2">
        <f t="shared" ca="1" si="130"/>
        <v>2.8495868341093397E-2</v>
      </c>
      <c r="I136" s="2">
        <f t="shared" ca="1" si="131"/>
        <v>0.25925464059227776</v>
      </c>
      <c r="J136" s="2">
        <f t="shared" ca="1" si="132"/>
        <v>6.7717749528796219E-3</v>
      </c>
      <c r="K136" s="2">
        <f t="shared" ca="1" si="133"/>
        <v>6.7717749528796219E-3</v>
      </c>
      <c r="L136" s="2">
        <f t="shared" ca="1" si="134"/>
        <v>0.91933096029777073</v>
      </c>
      <c r="M136" s="2">
        <f t="shared" ca="1" si="135"/>
        <v>2.801170866652369E-2</v>
      </c>
      <c r="N136" s="2">
        <f t="shared" ca="1" si="136"/>
        <v>2.801170866652369E-2</v>
      </c>
      <c r="O136" s="2">
        <f t="shared" si="137"/>
        <v>6000000</v>
      </c>
      <c r="P136" s="2">
        <f t="shared" ca="1" si="138"/>
        <v>42376864.77288948</v>
      </c>
      <c r="Q136" s="2">
        <f t="shared" ca="1" si="139"/>
        <v>1059421.6193222371</v>
      </c>
      <c r="R136" s="2">
        <f t="shared" ca="1" si="140"/>
        <v>25426118.863733687</v>
      </c>
      <c r="S136" s="2">
        <f t="shared" ca="1" si="141"/>
        <v>16950745.909155793</v>
      </c>
      <c r="T136" s="2">
        <f t="shared" ca="1" si="142"/>
        <v>51400585.433326185</v>
      </c>
      <c r="U136" s="2">
        <f t="shared" ca="1" si="143"/>
        <v>52865289.748489372</v>
      </c>
      <c r="V136" s="2">
        <f t="shared" ca="1" si="144"/>
        <v>54371732.084976077</v>
      </c>
      <c r="W136" s="2">
        <f t="shared" ca="1" si="145"/>
        <v>55921101.803946763</v>
      </c>
      <c r="X136" s="2">
        <f t="shared" ca="1" si="146"/>
        <v>57514622.15844091</v>
      </c>
      <c r="Y136" s="2">
        <f t="shared" ca="1" si="147"/>
        <v>0.1233858874764398</v>
      </c>
      <c r="Z136" s="2">
        <f t="shared" ca="1" si="148"/>
        <v>0.12474024246701573</v>
      </c>
      <c r="AA136" s="2">
        <f t="shared" ca="1" si="149"/>
        <v>6342106.8504995154</v>
      </c>
      <c r="AB136" s="2">
        <f t="shared" ca="1" si="150"/>
        <v>6594429.0613156054</v>
      </c>
      <c r="AC136" s="2">
        <f t="shared" ca="1" si="151"/>
        <v>6782343.043631535</v>
      </c>
      <c r="AD136" s="2">
        <f t="shared" ca="1" si="152"/>
        <v>6975611.7980469903</v>
      </c>
      <c r="AE136" s="2">
        <f t="shared" ca="1" si="153"/>
        <v>7174387.9134427151</v>
      </c>
      <c r="AF136" s="2">
        <f t="shared" ca="1" si="154"/>
        <v>1028011.7086665237</v>
      </c>
      <c r="AG136" s="2">
        <f t="shared" ca="1" si="155"/>
        <v>1057305.7949697874</v>
      </c>
      <c r="AH136" s="2">
        <f t="shared" ca="1" si="156"/>
        <v>1087434.6416995216</v>
      </c>
      <c r="AI136" s="2">
        <f t="shared" ca="1" si="157"/>
        <v>1118422.0360789353</v>
      </c>
      <c r="AJ136" s="2">
        <f t="shared" ca="1" si="158"/>
        <v>1150292.4431688183</v>
      </c>
      <c r="AK136" s="2">
        <f t="shared" ca="1" si="159"/>
        <v>0</v>
      </c>
      <c r="AL136" s="2">
        <f t="shared" ca="1" si="160"/>
        <v>14647.043151631877</v>
      </c>
      <c r="AM136" s="2">
        <f t="shared" ca="1" si="161"/>
        <v>15064.423364867047</v>
      </c>
      <c r="AN136" s="2">
        <f t="shared" ca="1" si="162"/>
        <v>15493.697189706862</v>
      </c>
      <c r="AO136" s="2">
        <f t="shared" ca="1" si="163"/>
        <v>15935.203544941471</v>
      </c>
      <c r="AP136" s="2">
        <f t="shared" ca="1" si="164"/>
        <v>2288350.6977360318</v>
      </c>
      <c r="AQ136" s="2">
        <f t="shared" ca="1" si="165"/>
        <v>786693.55546520953</v>
      </c>
      <c r="AR136" s="2">
        <f t="shared" ca="1" si="166"/>
        <v>844680.86783854431</v>
      </c>
      <c r="AS136" s="2">
        <f t="shared" ca="1" si="167"/>
        <v>885705.0030909552</v>
      </c>
      <c r="AT136" s="2">
        <f t="shared" ca="1" si="168"/>
        <v>927898.15670032601</v>
      </c>
      <c r="AU136" s="2">
        <f t="shared" ca="1" si="169"/>
        <v>971293.64085984498</v>
      </c>
      <c r="AV136" s="2">
        <f t="shared" ca="1" si="170"/>
        <v>2239050.8886317504</v>
      </c>
      <c r="AW136" s="2">
        <f t="shared" ca="1" si="171"/>
        <v>2389444.657619609</v>
      </c>
      <c r="AX136" s="2">
        <f t="shared" ca="1" si="172"/>
        <v>2505788.2777401586</v>
      </c>
      <c r="AY136" s="2">
        <f t="shared" ca="1" si="173"/>
        <v>2625447.2103419895</v>
      </c>
      <c r="AZ136" s="2">
        <f t="shared" ca="1" si="174"/>
        <v>2748515.9281330784</v>
      </c>
      <c r="BA136" s="2">
        <f t="shared" ca="1" si="175"/>
        <v>52403081.503263749</v>
      </c>
      <c r="BB136" s="2">
        <f t="shared" ca="1" si="176"/>
        <v>1048061.630065275</v>
      </c>
      <c r="BC136" s="2">
        <f t="shared" ca="1" si="177"/>
        <v>25928901.009464789</v>
      </c>
      <c r="BD136" s="2">
        <f t="shared" ca="1" si="178"/>
        <v>-18510167.52847803</v>
      </c>
      <c r="BE136" s="2">
        <f t="shared" ca="1" si="179"/>
        <v>2239050.8886317504</v>
      </c>
      <c r="BF136" s="2">
        <f t="shared" ca="1" si="180"/>
        <v>2389444.657619609</v>
      </c>
      <c r="BG136" s="2">
        <f t="shared" ca="1" si="181"/>
        <v>2505788.2777401586</v>
      </c>
      <c r="BH136" s="2">
        <f t="shared" ca="1" si="182"/>
        <v>2625447.2103419895</v>
      </c>
      <c r="BI136" s="2">
        <f t="shared" ca="1" si="183"/>
        <v>28677416.937597867</v>
      </c>
      <c r="BJ136" s="2">
        <f t="shared" ca="1" si="184"/>
        <v>0.18798267917036449</v>
      </c>
      <c r="BK136" s="2">
        <f t="shared" ca="1" si="185"/>
        <v>5118261.9928589612</v>
      </c>
    </row>
    <row r="137" spans="1:63" x14ac:dyDescent="0.3">
      <c r="A137" s="2">
        <v>136</v>
      </c>
      <c r="B137" s="2">
        <f t="shared" ca="1" si="124"/>
        <v>0.59999540327673118</v>
      </c>
      <c r="C137" s="2">
        <f t="shared" ca="1" si="125"/>
        <v>7.1055676697219976</v>
      </c>
      <c r="D137" s="2">
        <f t="shared" ca="1" si="126"/>
        <v>0.11589685205653322</v>
      </c>
      <c r="E137" s="2">
        <f t="shared" ca="1" si="127"/>
        <v>6.9814495862632624</v>
      </c>
      <c r="F137" s="2">
        <f t="shared" ca="1" si="128"/>
        <v>0.69781091146060148</v>
      </c>
      <c r="G137" s="2">
        <f t="shared" ca="1" si="129"/>
        <v>5.5543443899169209E-2</v>
      </c>
      <c r="H137" s="2">
        <f t="shared" ca="1" si="130"/>
        <v>5.5543443899169209E-2</v>
      </c>
      <c r="I137" s="2">
        <f t="shared" ca="1" si="131"/>
        <v>0.93443011137952436</v>
      </c>
      <c r="J137" s="2">
        <f t="shared" ca="1" si="132"/>
        <v>1.7548112490626301E-2</v>
      </c>
      <c r="K137" s="2">
        <f t="shared" ca="1" si="133"/>
        <v>1.7548112490626301E-2</v>
      </c>
      <c r="L137" s="2">
        <f t="shared" ca="1" si="134"/>
        <v>1.4312781854113776E-2</v>
      </c>
      <c r="M137" s="2">
        <f t="shared" ca="1" si="135"/>
        <v>-4.377209955807769E-2</v>
      </c>
      <c r="N137" s="2">
        <f t="shared" ca="1" si="136"/>
        <v>-4.377209955807769E-2</v>
      </c>
      <c r="O137" s="2">
        <f t="shared" si="137"/>
        <v>6000000</v>
      </c>
      <c r="P137" s="2">
        <f t="shared" ca="1" si="138"/>
        <v>42633406.018331982</v>
      </c>
      <c r="Q137" s="2">
        <f t="shared" ca="1" si="139"/>
        <v>1065835.1504582996</v>
      </c>
      <c r="R137" s="2">
        <f t="shared" ca="1" si="140"/>
        <v>25580043.610999189</v>
      </c>
      <c r="S137" s="2">
        <f t="shared" ca="1" si="141"/>
        <v>17053362.407332793</v>
      </c>
      <c r="T137" s="2">
        <f t="shared" ca="1" si="142"/>
        <v>47811395.022096112</v>
      </c>
      <c r="U137" s="2">
        <f t="shared" ca="1" si="143"/>
        <v>50467004.55924692</v>
      </c>
      <c r="V137" s="2">
        <f t="shared" ca="1" si="144"/>
        <v>53270115.795742564</v>
      </c>
      <c r="W137" s="2">
        <f t="shared" ca="1" si="145"/>
        <v>56228921.48394563</v>
      </c>
      <c r="X137" s="2">
        <f t="shared" ca="1" si="146"/>
        <v>59352069.429899946</v>
      </c>
      <c r="Y137" s="2">
        <f t="shared" ca="1" si="147"/>
        <v>0.12877405624531316</v>
      </c>
      <c r="Z137" s="2">
        <f t="shared" ca="1" si="148"/>
        <v>0.13228367874343841</v>
      </c>
      <c r="AA137" s="2">
        <f t="shared" ca="1" si="149"/>
        <v>6156867.2717422899</v>
      </c>
      <c r="AB137" s="2">
        <f t="shared" ca="1" si="150"/>
        <v>6675961.0182590615</v>
      </c>
      <c r="AC137" s="2">
        <f t="shared" ca="1" si="151"/>
        <v>7046766.8845497733</v>
      </c>
      <c r="AD137" s="2">
        <f t="shared" ca="1" si="152"/>
        <v>7438168.5856722863</v>
      </c>
      <c r="AE137" s="2">
        <f t="shared" ca="1" si="153"/>
        <v>7851310.0852231365</v>
      </c>
      <c r="AF137" s="2">
        <f t="shared" ca="1" si="154"/>
        <v>956227.90044192225</v>
      </c>
      <c r="AG137" s="2">
        <f t="shared" ca="1" si="155"/>
        <v>1009340.0911849384</v>
      </c>
      <c r="AH137" s="2">
        <f t="shared" ca="1" si="156"/>
        <v>1065402.3159148514</v>
      </c>
      <c r="AI137" s="2">
        <f t="shared" ca="1" si="157"/>
        <v>1124578.4296789127</v>
      </c>
      <c r="AJ137" s="2">
        <f t="shared" ca="1" si="158"/>
        <v>1187041.388597999</v>
      </c>
      <c r="AK137" s="2">
        <f t="shared" ca="1" si="159"/>
        <v>0</v>
      </c>
      <c r="AL137" s="2">
        <f t="shared" ca="1" si="160"/>
        <v>26556.095371508076</v>
      </c>
      <c r="AM137" s="2">
        <f t="shared" ca="1" si="161"/>
        <v>28031.11236495644</v>
      </c>
      <c r="AN137" s="2">
        <f t="shared" ca="1" si="162"/>
        <v>29588.056882030665</v>
      </c>
      <c r="AO137" s="2">
        <f t="shared" ca="1" si="163"/>
        <v>31231.479459543156</v>
      </c>
      <c r="AP137" s="2">
        <f t="shared" ca="1" si="164"/>
        <v>2302203.9249899271</v>
      </c>
      <c r="AQ137" s="2">
        <f t="shared" ca="1" si="165"/>
        <v>753593.21604071453</v>
      </c>
      <c r="AR137" s="2">
        <f t="shared" ca="1" si="166"/>
        <v>874748.42054189101</v>
      </c>
      <c r="AS137" s="2">
        <f t="shared" ca="1" si="167"/>
        <v>956581.76734769868</v>
      </c>
      <c r="AT137" s="2">
        <f t="shared" ca="1" si="168"/>
        <v>1042960.4200608962</v>
      </c>
      <c r="AU137" s="2">
        <f t="shared" ca="1" si="169"/>
        <v>1134136.8406251548</v>
      </c>
      <c r="AV137" s="2">
        <f t="shared" ca="1" si="170"/>
        <v>2144842.2302697259</v>
      </c>
      <c r="AW137" s="2">
        <f t="shared" ca="1" si="171"/>
        <v>2463112.4861707971</v>
      </c>
      <c r="AX137" s="2">
        <f t="shared" ca="1" si="172"/>
        <v>2694547.7639323394</v>
      </c>
      <c r="AY137" s="2">
        <f t="shared" ca="1" si="173"/>
        <v>2938837.7540605203</v>
      </c>
      <c r="AZ137" s="2">
        <f t="shared" ca="1" si="174"/>
        <v>3196696.451550513</v>
      </c>
      <c r="BA137" s="2">
        <f t="shared" ca="1" si="175"/>
        <v>54813525.546105646</v>
      </c>
      <c r="BB137" s="2">
        <f t="shared" ca="1" si="176"/>
        <v>1096270.510922113</v>
      </c>
      <c r="BC137" s="2">
        <f t="shared" ca="1" si="177"/>
        <v>28137211.424184345</v>
      </c>
      <c r="BD137" s="2">
        <f t="shared" ca="1" si="178"/>
        <v>-18619197.557791092</v>
      </c>
      <c r="BE137" s="2">
        <f t="shared" ca="1" si="179"/>
        <v>2144842.2302697259</v>
      </c>
      <c r="BF137" s="2">
        <f t="shared" ca="1" si="180"/>
        <v>2463112.4861707971</v>
      </c>
      <c r="BG137" s="2">
        <f t="shared" ca="1" si="181"/>
        <v>2694547.7639323394</v>
      </c>
      <c r="BH137" s="2">
        <f t="shared" ca="1" si="182"/>
        <v>2938837.7540605203</v>
      </c>
      <c r="BI137" s="2">
        <f t="shared" ca="1" si="183"/>
        <v>31333907.875734858</v>
      </c>
      <c r="BJ137" s="2">
        <f t="shared" ca="1" si="184"/>
        <v>0.20695291406508587</v>
      </c>
      <c r="BK137" s="2">
        <f t="shared" ca="1" si="185"/>
        <v>6824729.5621671341</v>
      </c>
    </row>
    <row r="138" spans="1:63" x14ac:dyDescent="0.3">
      <c r="A138" s="2">
        <v>137</v>
      </c>
      <c r="B138" s="2">
        <f t="shared" ca="1" si="124"/>
        <v>0.26643312462950308</v>
      </c>
      <c r="C138" s="2">
        <f t="shared" ca="1" si="125"/>
        <v>6.7299768826880797</v>
      </c>
      <c r="D138" s="2">
        <f t="shared" ca="1" si="126"/>
        <v>0.1419363933570682</v>
      </c>
      <c r="E138" s="2">
        <f t="shared" ca="1" si="127"/>
        <v>7.032797134671477</v>
      </c>
      <c r="F138" s="2">
        <f t="shared" ca="1" si="128"/>
        <v>0.76513160940211045</v>
      </c>
      <c r="G138" s="2">
        <f t="shared" ca="1" si="129"/>
        <v>6.1687221789607033E-2</v>
      </c>
      <c r="H138" s="2">
        <f t="shared" ca="1" si="130"/>
        <v>6.1687221789607033E-2</v>
      </c>
      <c r="I138" s="2">
        <f t="shared" ca="1" si="131"/>
        <v>0.99840122493561079</v>
      </c>
      <c r="J138" s="2">
        <f t="shared" ca="1" si="132"/>
        <v>2.4740396580646886E-2</v>
      </c>
      <c r="K138" s="2">
        <f t="shared" ca="1" si="133"/>
        <v>2.4740396580646886E-2</v>
      </c>
      <c r="L138" s="2">
        <f t="shared" ca="1" si="134"/>
        <v>8.6483862961514113E-2</v>
      </c>
      <c r="M138" s="2">
        <f t="shared" ca="1" si="135"/>
        <v>-2.7254593241502416E-2</v>
      </c>
      <c r="N138" s="2">
        <f t="shared" ca="1" si="136"/>
        <v>-2.7254593241502416E-2</v>
      </c>
      <c r="O138" s="2">
        <f t="shared" si="137"/>
        <v>6000000</v>
      </c>
      <c r="P138" s="2">
        <f t="shared" ca="1" si="138"/>
        <v>40379861.296128482</v>
      </c>
      <c r="Q138" s="2">
        <f t="shared" ca="1" si="139"/>
        <v>1009496.532403212</v>
      </c>
      <c r="R138" s="2">
        <f t="shared" ca="1" si="140"/>
        <v>24227916.777677089</v>
      </c>
      <c r="S138" s="2">
        <f t="shared" ca="1" si="141"/>
        <v>16151944.518451393</v>
      </c>
      <c r="T138" s="2">
        <f t="shared" ca="1" si="142"/>
        <v>48637270.337924883</v>
      </c>
      <c r="U138" s="2">
        <f t="shared" ca="1" si="143"/>
        <v>51637568.420501523</v>
      </c>
      <c r="V138" s="2">
        <f t="shared" ca="1" si="144"/>
        <v>54822946.556333005</v>
      </c>
      <c r="W138" s="2">
        <f t="shared" ca="1" si="145"/>
        <v>58204821.819713287</v>
      </c>
      <c r="X138" s="2">
        <f t="shared" ca="1" si="146"/>
        <v>61795315.572530493</v>
      </c>
      <c r="Y138" s="2">
        <f t="shared" ca="1" si="147"/>
        <v>0.13237019829032343</v>
      </c>
      <c r="Z138" s="2">
        <f t="shared" ca="1" si="148"/>
        <v>0.13731827760645282</v>
      </c>
      <c r="AA138" s="2">
        <f t="shared" ca="1" si="149"/>
        <v>6438125.1189311827</v>
      </c>
      <c r="AB138" s="2">
        <f t="shared" ca="1" si="150"/>
        <v>7090781.95528863</v>
      </c>
      <c r="AC138" s="2">
        <f t="shared" ca="1" si="151"/>
        <v>7528192.5944262622</v>
      </c>
      <c r="AD138" s="2">
        <f t="shared" ca="1" si="152"/>
        <v>7992585.8806735119</v>
      </c>
      <c r="AE138" s="2">
        <f t="shared" ca="1" si="153"/>
        <v>8485626.2985670995</v>
      </c>
      <c r="AF138" s="2">
        <f t="shared" ca="1" si="154"/>
        <v>972745.4067584977</v>
      </c>
      <c r="AG138" s="2">
        <f t="shared" ca="1" si="155"/>
        <v>1032751.3684100305</v>
      </c>
      <c r="AH138" s="2">
        <f t="shared" ca="1" si="156"/>
        <v>1096458.9311266602</v>
      </c>
      <c r="AI138" s="2">
        <f t="shared" ca="1" si="157"/>
        <v>1164096.4363942659</v>
      </c>
      <c r="AJ138" s="2">
        <f t="shared" ca="1" si="158"/>
        <v>1235906.3114506099</v>
      </c>
      <c r="AK138" s="2">
        <f t="shared" ca="1" si="159"/>
        <v>0</v>
      </c>
      <c r="AL138" s="2">
        <f t="shared" ca="1" si="160"/>
        <v>30002.980825766401</v>
      </c>
      <c r="AM138" s="2">
        <f t="shared" ca="1" si="161"/>
        <v>31853.781358314827</v>
      </c>
      <c r="AN138" s="2">
        <f t="shared" ca="1" si="162"/>
        <v>33818.752633802818</v>
      </c>
      <c r="AO138" s="2">
        <f t="shared" ca="1" si="163"/>
        <v>35904.937528172064</v>
      </c>
      <c r="AP138" s="2">
        <f t="shared" ca="1" si="164"/>
        <v>2180512.509990938</v>
      </c>
      <c r="AQ138" s="2">
        <f t="shared" ca="1" si="165"/>
        <v>854065.47256725433</v>
      </c>
      <c r="AR138" s="2">
        <f t="shared" ca="1" si="166"/>
        <v>1008154.6999907921</v>
      </c>
      <c r="AS138" s="2">
        <f t="shared" ca="1" si="167"/>
        <v>1105317.4998602525</v>
      </c>
      <c r="AT138" s="2">
        <f t="shared" ca="1" si="168"/>
        <v>1208474.00291496</v>
      </c>
      <c r="AU138" s="2">
        <f t="shared" ca="1" si="169"/>
        <v>1317993.9440526434</v>
      </c>
      <c r="AV138" s="2">
        <f t="shared" ca="1" si="170"/>
        <v>2430801.7296144925</v>
      </c>
      <c r="AW138" s="2">
        <f t="shared" ca="1" si="171"/>
        <v>2839360.3960711034</v>
      </c>
      <c r="AX138" s="2">
        <f t="shared" ca="1" si="172"/>
        <v>3114049.8720900966</v>
      </c>
      <c r="AY138" s="2">
        <f t="shared" ca="1" si="173"/>
        <v>3405684.1787395459</v>
      </c>
      <c r="AZ138" s="2">
        <f t="shared" ca="1" si="174"/>
        <v>3715308.5955447359</v>
      </c>
      <c r="BA138" s="2">
        <f t="shared" ca="1" si="175"/>
        <v>59677688.318455629</v>
      </c>
      <c r="BB138" s="2">
        <f t="shared" ca="1" si="176"/>
        <v>1193553.7663691125</v>
      </c>
      <c r="BC138" s="2">
        <f t="shared" ca="1" si="177"/>
        <v>34256217.774409428</v>
      </c>
      <c r="BD138" s="2">
        <f t="shared" ca="1" si="178"/>
        <v>-17661441.050854605</v>
      </c>
      <c r="BE138" s="2">
        <f t="shared" ca="1" si="179"/>
        <v>2430801.7296144925</v>
      </c>
      <c r="BF138" s="2">
        <f t="shared" ca="1" si="180"/>
        <v>2839360.3960711034</v>
      </c>
      <c r="BG138" s="2">
        <f t="shared" ca="1" si="181"/>
        <v>3114049.8720900966</v>
      </c>
      <c r="BH138" s="2">
        <f t="shared" ca="1" si="182"/>
        <v>3405684.1787395459</v>
      </c>
      <c r="BI138" s="2">
        <f t="shared" ca="1" si="183"/>
        <v>37971526.369954161</v>
      </c>
      <c r="BJ138" s="2">
        <f t="shared" ca="1" si="184"/>
        <v>0.27593801706380239</v>
      </c>
      <c r="BK138" s="2">
        <f t="shared" ca="1" si="185"/>
        <v>12699395.229734778</v>
      </c>
    </row>
    <row r="139" spans="1:63" x14ac:dyDescent="0.3">
      <c r="A139" s="2">
        <v>138</v>
      </c>
      <c r="B139" s="2">
        <f t="shared" ca="1" si="124"/>
        <v>0.29182097293476883</v>
      </c>
      <c r="C139" s="2">
        <f t="shared" ca="1" si="125"/>
        <v>6.7639646234411233</v>
      </c>
      <c r="D139" s="2">
        <f t="shared" ca="1" si="126"/>
        <v>0.85563025950022209</v>
      </c>
      <c r="E139" s="2">
        <f t="shared" ca="1" si="127"/>
        <v>7.9626551563478483</v>
      </c>
      <c r="F139" s="2">
        <f t="shared" ca="1" si="128"/>
        <v>0.67480475754066227</v>
      </c>
      <c r="G139" s="2">
        <f t="shared" ca="1" si="129"/>
        <v>5.3596593639807621E-2</v>
      </c>
      <c r="H139" s="2">
        <f t="shared" ca="1" si="130"/>
        <v>5.3596593639807621E-2</v>
      </c>
      <c r="I139" s="2">
        <f t="shared" ca="1" si="131"/>
        <v>0.36855738622981482</v>
      </c>
      <c r="J139" s="2">
        <f t="shared" ca="1" si="132"/>
        <v>8.3216171260315705E-3</v>
      </c>
      <c r="K139" s="2">
        <f t="shared" ca="1" si="133"/>
        <v>8.3216171260315705E-3</v>
      </c>
      <c r="L139" s="2">
        <f t="shared" ca="1" si="134"/>
        <v>0.58263233196336373</v>
      </c>
      <c r="M139" s="2">
        <f t="shared" ca="1" si="135"/>
        <v>4.1726449131131282E-3</v>
      </c>
      <c r="N139" s="2">
        <f t="shared" ca="1" si="136"/>
        <v>4.1726449131131282E-3</v>
      </c>
      <c r="O139" s="2">
        <f t="shared" si="137"/>
        <v>6000000</v>
      </c>
      <c r="P139" s="2">
        <f t="shared" ca="1" si="138"/>
        <v>40583787.740646742</v>
      </c>
      <c r="Q139" s="2">
        <f t="shared" ca="1" si="139"/>
        <v>1014594.6935161686</v>
      </c>
      <c r="R139" s="2">
        <f t="shared" ca="1" si="140"/>
        <v>24350272.644388046</v>
      </c>
      <c r="S139" s="2">
        <f t="shared" ca="1" si="141"/>
        <v>16233515.096258698</v>
      </c>
      <c r="T139" s="2">
        <f t="shared" ca="1" si="142"/>
        <v>50208632.245655663</v>
      </c>
      <c r="U139" s="2">
        <f t="shared" ca="1" si="143"/>
        <v>52899643.905336618</v>
      </c>
      <c r="V139" s="2">
        <f t="shared" ca="1" si="144"/>
        <v>55734884.623421475</v>
      </c>
      <c r="W139" s="2">
        <f t="shared" ca="1" si="145"/>
        <v>58722084.586144567</v>
      </c>
      <c r="X139" s="2">
        <f t="shared" ca="1" si="146"/>
        <v>61869388.291390575</v>
      </c>
      <c r="Y139" s="2">
        <f t="shared" ca="1" si="147"/>
        <v>0.12416080856301578</v>
      </c>
      <c r="Z139" s="2">
        <f t="shared" ca="1" si="148"/>
        <v>0.12582513198822209</v>
      </c>
      <c r="AA139" s="2">
        <f t="shared" ca="1" si="149"/>
        <v>6233944.3764637141</v>
      </c>
      <c r="AB139" s="2">
        <f t="shared" ca="1" si="150"/>
        <v>6656104.6765189283</v>
      </c>
      <c r="AC139" s="2">
        <f t="shared" ca="1" si="151"/>
        <v>7012849.214090337</v>
      </c>
      <c r="AD139" s="2">
        <f t="shared" ca="1" si="152"/>
        <v>7388714.0436751824</v>
      </c>
      <c r="AE139" s="2">
        <f t="shared" ca="1" si="153"/>
        <v>7784723.947794782</v>
      </c>
      <c r="AF139" s="2">
        <f t="shared" ca="1" si="154"/>
        <v>1004172.6449131133</v>
      </c>
      <c r="AG139" s="2">
        <f t="shared" ca="1" si="155"/>
        <v>1057992.8781067324</v>
      </c>
      <c r="AH139" s="2">
        <f t="shared" ca="1" si="156"/>
        <v>1114697.6924684294</v>
      </c>
      <c r="AI139" s="2">
        <f t="shared" ca="1" si="157"/>
        <v>1174441.6917228913</v>
      </c>
      <c r="AJ139" s="2">
        <f t="shared" ca="1" si="158"/>
        <v>1237387.7658278116</v>
      </c>
      <c r="AK139" s="2">
        <f t="shared" ca="1" si="159"/>
        <v>0</v>
      </c>
      <c r="AL139" s="2">
        <f t="shared" ca="1" si="160"/>
        <v>26910.116596809552</v>
      </c>
      <c r="AM139" s="2">
        <f t="shared" ca="1" si="161"/>
        <v>28352.407180848568</v>
      </c>
      <c r="AN139" s="2">
        <f t="shared" ca="1" si="162"/>
        <v>29871.999627230914</v>
      </c>
      <c r="AO139" s="2">
        <f t="shared" ca="1" si="163"/>
        <v>31473.037052460091</v>
      </c>
      <c r="AP139" s="2">
        <f t="shared" ca="1" si="164"/>
        <v>2191524.537994924</v>
      </c>
      <c r="AQ139" s="2">
        <f t="shared" ca="1" si="165"/>
        <v>789944.27032447583</v>
      </c>
      <c r="AR139" s="2">
        <f t="shared" ca="1" si="166"/>
        <v>885712.68770849088</v>
      </c>
      <c r="AS139" s="2">
        <f t="shared" ca="1" si="167"/>
        <v>963723.01574301568</v>
      </c>
      <c r="AT139" s="2">
        <f t="shared" ca="1" si="168"/>
        <v>1045914.4316289155</v>
      </c>
      <c r="AU139" s="2">
        <f t="shared" ca="1" si="169"/>
        <v>1132511.0274327323</v>
      </c>
      <c r="AV139" s="2">
        <f t="shared" ca="1" si="170"/>
        <v>2248302.9232312003</v>
      </c>
      <c r="AW139" s="2">
        <f t="shared" ca="1" si="171"/>
        <v>2493964.4561119722</v>
      </c>
      <c r="AX139" s="2">
        <f t="shared" ca="1" si="172"/>
        <v>2714551.5607031193</v>
      </c>
      <c r="AY139" s="2">
        <f t="shared" ca="1" si="173"/>
        <v>2946961.3827012209</v>
      </c>
      <c r="AZ139" s="2">
        <f t="shared" ca="1" si="174"/>
        <v>3191827.5794868544</v>
      </c>
      <c r="BA139" s="2">
        <f t="shared" ca="1" si="175"/>
        <v>61987072.2836527</v>
      </c>
      <c r="BB139" s="2">
        <f t="shared" ca="1" si="176"/>
        <v>1239741.4456730541</v>
      </c>
      <c r="BC139" s="2">
        <f t="shared" ca="1" si="177"/>
        <v>36397058.193591602</v>
      </c>
      <c r="BD139" s="2">
        <f t="shared" ca="1" si="178"/>
        <v>-17748109.789774865</v>
      </c>
      <c r="BE139" s="2">
        <f t="shared" ca="1" si="179"/>
        <v>2248302.9232312003</v>
      </c>
      <c r="BF139" s="2">
        <f t="shared" ca="1" si="180"/>
        <v>2493964.4561119722</v>
      </c>
      <c r="BG139" s="2">
        <f t="shared" ca="1" si="181"/>
        <v>2714551.5607031193</v>
      </c>
      <c r="BH139" s="2">
        <f t="shared" ca="1" si="182"/>
        <v>2946961.3827012209</v>
      </c>
      <c r="BI139" s="2">
        <f t="shared" ca="1" si="183"/>
        <v>39588885.773078457</v>
      </c>
      <c r="BJ139" s="2">
        <f t="shared" ca="1" si="184"/>
        <v>0.27015951775855562</v>
      </c>
      <c r="BK139" s="2">
        <f t="shared" ca="1" si="185"/>
        <v>12516285.123048794</v>
      </c>
    </row>
    <row r="140" spans="1:63" x14ac:dyDescent="0.3">
      <c r="A140" s="2">
        <v>139</v>
      </c>
      <c r="B140" s="2">
        <f t="shared" ca="1" si="124"/>
        <v>4.8783763149654935E-2</v>
      </c>
      <c r="C140" s="2">
        <f t="shared" ca="1" si="125"/>
        <v>6.312358009820958</v>
      </c>
      <c r="D140" s="2">
        <f t="shared" ca="1" si="126"/>
        <v>0.50912735532220343</v>
      </c>
      <c r="E140" s="2">
        <f t="shared" ca="1" si="127"/>
        <v>7.5091693942173601</v>
      </c>
      <c r="F140" s="2">
        <f t="shared" ca="1" si="128"/>
        <v>0.13388073019239088</v>
      </c>
      <c r="G140" s="2">
        <f t="shared" ca="1" si="129"/>
        <v>6.7530279225089598E-3</v>
      </c>
      <c r="H140" s="2">
        <f t="shared" ca="1" si="130"/>
        <v>6.7530279225089598E-3</v>
      </c>
      <c r="I140" s="2">
        <f t="shared" ca="1" si="131"/>
        <v>0.60465313819405342</v>
      </c>
      <c r="J140" s="2">
        <f t="shared" ca="1" si="132"/>
        <v>1.1327049414662284E-2</v>
      </c>
      <c r="K140" s="2">
        <f t="shared" ca="1" si="133"/>
        <v>1.1327049414662284E-2</v>
      </c>
      <c r="L140" s="2">
        <f t="shared" ca="1" si="134"/>
        <v>0.64463690347907165</v>
      </c>
      <c r="M140" s="2">
        <f t="shared" ca="1" si="135"/>
        <v>7.4176193093916203E-3</v>
      </c>
      <c r="N140" s="2">
        <f t="shared" ca="1" si="136"/>
        <v>7.4176193093916203E-3</v>
      </c>
      <c r="O140" s="2">
        <f t="shared" si="137"/>
        <v>6000000</v>
      </c>
      <c r="P140" s="2">
        <f t="shared" ca="1" si="138"/>
        <v>37874148.058925748</v>
      </c>
      <c r="Q140" s="2">
        <f t="shared" ca="1" si="139"/>
        <v>946853.70147314377</v>
      </c>
      <c r="R140" s="2">
        <f t="shared" ca="1" si="140"/>
        <v>22724488.835355449</v>
      </c>
      <c r="S140" s="2">
        <f t="shared" ca="1" si="141"/>
        <v>15149659.2235703</v>
      </c>
      <c r="T140" s="2">
        <f t="shared" ca="1" si="142"/>
        <v>50370880.965469576</v>
      </c>
      <c r="U140" s="2">
        <f t="shared" ca="1" si="143"/>
        <v>50711036.93111077</v>
      </c>
      <c r="V140" s="2">
        <f t="shared" ca="1" si="144"/>
        <v>51053489.979485944</v>
      </c>
      <c r="W140" s="2">
        <f t="shared" ca="1" si="145"/>
        <v>51398255.622858942</v>
      </c>
      <c r="X140" s="2">
        <f t="shared" ca="1" si="146"/>
        <v>51745349.478248365</v>
      </c>
      <c r="Y140" s="2">
        <f t="shared" ca="1" si="147"/>
        <v>0.12566352470733114</v>
      </c>
      <c r="Z140" s="2">
        <f t="shared" ca="1" si="148"/>
        <v>0.12792893459026358</v>
      </c>
      <c r="AA140" s="2">
        <f t="shared" ca="1" si="149"/>
        <v>6329782.4447343219</v>
      </c>
      <c r="AB140" s="2">
        <f t="shared" ca="1" si="150"/>
        <v>6487408.9265645109</v>
      </c>
      <c r="AC140" s="2">
        <f t="shared" ca="1" si="151"/>
        <v>6531218.5801903345</v>
      </c>
      <c r="AD140" s="2">
        <f t="shared" ca="1" si="152"/>
        <v>6575324.0816303687</v>
      </c>
      <c r="AE140" s="2">
        <f t="shared" ca="1" si="153"/>
        <v>6619727.4287531646</v>
      </c>
      <c r="AF140" s="2">
        <f t="shared" ca="1" si="154"/>
        <v>1007417.6193093916</v>
      </c>
      <c r="AG140" s="2">
        <f t="shared" ca="1" si="155"/>
        <v>1014220.7386222155</v>
      </c>
      <c r="AH140" s="2">
        <f t="shared" ca="1" si="156"/>
        <v>1021069.7995897189</v>
      </c>
      <c r="AI140" s="2">
        <f t="shared" ca="1" si="157"/>
        <v>1027965.1124571789</v>
      </c>
      <c r="AJ140" s="2">
        <f t="shared" ca="1" si="158"/>
        <v>1034906.9895649673</v>
      </c>
      <c r="AK140" s="2">
        <f t="shared" ca="1" si="159"/>
        <v>0</v>
      </c>
      <c r="AL140" s="2">
        <f t="shared" ca="1" si="160"/>
        <v>3401.559656411931</v>
      </c>
      <c r="AM140" s="2">
        <f t="shared" ca="1" si="161"/>
        <v>3424.5304837517442</v>
      </c>
      <c r="AN140" s="2">
        <f t="shared" ca="1" si="162"/>
        <v>3447.6564337299765</v>
      </c>
      <c r="AO140" s="2">
        <f t="shared" ca="1" si="163"/>
        <v>3470.938553894237</v>
      </c>
      <c r="AP140" s="2">
        <f t="shared" ca="1" si="164"/>
        <v>2045203.9951819903</v>
      </c>
      <c r="AQ140" s="2">
        <f t="shared" ca="1" si="165"/>
        <v>852061.81586316437</v>
      </c>
      <c r="AR140" s="2">
        <f t="shared" ca="1" si="166"/>
        <v>891275.89011767937</v>
      </c>
      <c r="AS140" s="2">
        <f t="shared" ca="1" si="167"/>
        <v>900885.64420884266</v>
      </c>
      <c r="AT140" s="2">
        <f t="shared" ca="1" si="168"/>
        <v>910560.293237712</v>
      </c>
      <c r="AU140" s="2">
        <f t="shared" ca="1" si="169"/>
        <v>920300.27544161386</v>
      </c>
      <c r="AV140" s="2">
        <f t="shared" ca="1" si="170"/>
        <v>2425099.0143797756</v>
      </c>
      <c r="AW140" s="2">
        <f t="shared" ca="1" si="171"/>
        <v>2533306.742986213</v>
      </c>
      <c r="AX140" s="2">
        <f t="shared" ca="1" si="172"/>
        <v>2560634.610726031</v>
      </c>
      <c r="AY140" s="2">
        <f t="shared" ca="1" si="173"/>
        <v>2588147.0243197572</v>
      </c>
      <c r="AZ140" s="2">
        <f t="shared" ca="1" si="174"/>
        <v>2615845.230010699</v>
      </c>
      <c r="BA140" s="2">
        <f t="shared" ca="1" si="175"/>
        <v>49708654.60605444</v>
      </c>
      <c r="BB140" s="2">
        <f t="shared" ca="1" si="176"/>
        <v>994173.09212108888</v>
      </c>
      <c r="BC140" s="2">
        <f t="shared" ca="1" si="177"/>
        <v>25989992.6785779</v>
      </c>
      <c r="BD140" s="2">
        <f t="shared" ca="1" si="178"/>
        <v>-16596512.925043443</v>
      </c>
      <c r="BE140" s="2">
        <f t="shared" ca="1" si="179"/>
        <v>2425099.0143797756</v>
      </c>
      <c r="BF140" s="2">
        <f t="shared" ca="1" si="180"/>
        <v>2533306.742986213</v>
      </c>
      <c r="BG140" s="2">
        <f t="shared" ca="1" si="181"/>
        <v>2560634.610726031</v>
      </c>
      <c r="BH140" s="2">
        <f t="shared" ca="1" si="182"/>
        <v>2588147.0243197572</v>
      </c>
      <c r="BI140" s="2">
        <f t="shared" ca="1" si="183"/>
        <v>28605837.908588599</v>
      </c>
      <c r="BJ140" s="2">
        <f t="shared" ca="1" si="184"/>
        <v>0.22469408522540602</v>
      </c>
      <c r="BK140" s="2">
        <f t="shared" ca="1" si="185"/>
        <v>7287434.698522063</v>
      </c>
    </row>
    <row r="141" spans="1:63" x14ac:dyDescent="0.3">
      <c r="A141" s="2">
        <v>140</v>
      </c>
      <c r="B141" s="2">
        <f t="shared" ca="1" si="124"/>
        <v>7.1045227019416402E-2</v>
      </c>
      <c r="C141" s="2">
        <f t="shared" ca="1" si="125"/>
        <v>6.3769488745689964</v>
      </c>
      <c r="D141" s="2">
        <f t="shared" ca="1" si="126"/>
        <v>0.74954147863993104</v>
      </c>
      <c r="E141" s="2">
        <f t="shared" ca="1" si="127"/>
        <v>7.7922450687419138</v>
      </c>
      <c r="F141" s="2">
        <f t="shared" ca="1" si="128"/>
        <v>0.48041370886461265</v>
      </c>
      <c r="G141" s="2">
        <f t="shared" ca="1" si="129"/>
        <v>3.8526541272666075E-2</v>
      </c>
      <c r="H141" s="2">
        <f t="shared" ca="1" si="130"/>
        <v>3.8526541272666075E-2</v>
      </c>
      <c r="I141" s="2">
        <f t="shared" ca="1" si="131"/>
        <v>0.9773996869572309</v>
      </c>
      <c r="J141" s="2">
        <f t="shared" ca="1" si="132"/>
        <v>2.0013913102929409E-2</v>
      </c>
      <c r="K141" s="2">
        <f t="shared" ca="1" si="133"/>
        <v>2.0013913102929409E-2</v>
      </c>
      <c r="L141" s="2">
        <f t="shared" ca="1" si="134"/>
        <v>0.11356202975177099</v>
      </c>
      <c r="M141" s="2">
        <f t="shared" ca="1" si="135"/>
        <v>-2.4156007381063875E-2</v>
      </c>
      <c r="N141" s="2">
        <f t="shared" ca="1" si="136"/>
        <v>-2.4156007381063875E-2</v>
      </c>
      <c r="O141" s="2">
        <f t="shared" si="137"/>
        <v>6000000</v>
      </c>
      <c r="P141" s="2">
        <f t="shared" ca="1" si="138"/>
        <v>38261693.247413978</v>
      </c>
      <c r="Q141" s="2">
        <f t="shared" ca="1" si="139"/>
        <v>956542.3311853495</v>
      </c>
      <c r="R141" s="2">
        <f t="shared" ca="1" si="140"/>
        <v>22957015.948448386</v>
      </c>
      <c r="S141" s="2">
        <f t="shared" ca="1" si="141"/>
        <v>15304677.298965592</v>
      </c>
      <c r="T141" s="2">
        <f t="shared" ca="1" si="142"/>
        <v>48792199.630946808</v>
      </c>
      <c r="U141" s="2">
        <f t="shared" ca="1" si="143"/>
        <v>50671994.323812641</v>
      </c>
      <c r="V141" s="2">
        <f t="shared" ca="1" si="144"/>
        <v>52624211.004497312</v>
      </c>
      <c r="W141" s="2">
        <f t="shared" ca="1" si="145"/>
        <v>54651639.841703564</v>
      </c>
      <c r="X141" s="2">
        <f t="shared" ca="1" si="146"/>
        <v>56757178.499683835</v>
      </c>
      <c r="Y141" s="2">
        <f t="shared" ca="1" si="147"/>
        <v>0.13000695655146471</v>
      </c>
      <c r="Z141" s="2">
        <f t="shared" ca="1" si="148"/>
        <v>0.13400973917205058</v>
      </c>
      <c r="AA141" s="2">
        <f t="shared" ca="1" si="149"/>
        <v>6343325.3774708947</v>
      </c>
      <c r="AB141" s="2">
        <f t="shared" ca="1" si="150"/>
        <v>6790540.7426617602</v>
      </c>
      <c r="AC141" s="2">
        <f t="shared" ca="1" si="151"/>
        <v>7052156.7908476386</v>
      </c>
      <c r="AD141" s="2">
        <f t="shared" ca="1" si="152"/>
        <v>7323852.0005115429</v>
      </c>
      <c r="AE141" s="2">
        <f t="shared" ca="1" si="153"/>
        <v>7606014.686884148</v>
      </c>
      <c r="AF141" s="2">
        <f t="shared" ca="1" si="154"/>
        <v>975843.99261893611</v>
      </c>
      <c r="AG141" s="2">
        <f t="shared" ca="1" si="155"/>
        <v>1013439.8864762528</v>
      </c>
      <c r="AH141" s="2">
        <f t="shared" ca="1" si="156"/>
        <v>1052484.2200899462</v>
      </c>
      <c r="AI141" s="2">
        <f t="shared" ca="1" si="157"/>
        <v>1093032.7968340714</v>
      </c>
      <c r="AJ141" s="2">
        <f t="shared" ca="1" si="158"/>
        <v>1135143.5699936766</v>
      </c>
      <c r="AK141" s="2">
        <f t="shared" ca="1" si="159"/>
        <v>0</v>
      </c>
      <c r="AL141" s="2">
        <f t="shared" ca="1" si="160"/>
        <v>18797.946928658337</v>
      </c>
      <c r="AM141" s="2">
        <f t="shared" ca="1" si="161"/>
        <v>19522.166806846708</v>
      </c>
      <c r="AN141" s="2">
        <f t="shared" ca="1" si="162"/>
        <v>20274.288372062521</v>
      </c>
      <c r="AO141" s="2">
        <f t="shared" ca="1" si="163"/>
        <v>21055.386579802707</v>
      </c>
      <c r="AP141" s="2">
        <f t="shared" ca="1" si="164"/>
        <v>2066131.4353603546</v>
      </c>
      <c r="AQ141" s="2">
        <f t="shared" ca="1" si="165"/>
        <v>858350.98686781712</v>
      </c>
      <c r="AR141" s="2">
        <f t="shared" ca="1" si="166"/>
        <v>964852.04941453971</v>
      </c>
      <c r="AS141" s="2">
        <f t="shared" ca="1" si="167"/>
        <v>1022720.695203308</v>
      </c>
      <c r="AT141" s="2">
        <f t="shared" ca="1" si="168"/>
        <v>1082818.8197624506</v>
      </c>
      <c r="AU141" s="2">
        <f t="shared" ca="1" si="169"/>
        <v>1145232.3171978304</v>
      </c>
      <c r="AV141" s="2">
        <f t="shared" ca="1" si="170"/>
        <v>2442998.9626237871</v>
      </c>
      <c r="AW141" s="2">
        <f t="shared" ca="1" si="171"/>
        <v>2727319.4244819544</v>
      </c>
      <c r="AX141" s="2">
        <f t="shared" ca="1" si="172"/>
        <v>2891298.2733871834</v>
      </c>
      <c r="AY141" s="2">
        <f t="shared" ca="1" si="173"/>
        <v>3061594.6601826046</v>
      </c>
      <c r="AZ141" s="2">
        <f t="shared" ca="1" si="174"/>
        <v>3238451.9777524844</v>
      </c>
      <c r="BA141" s="2">
        <f t="shared" ca="1" si="175"/>
        <v>59267930.436651573</v>
      </c>
      <c r="BB141" s="2">
        <f t="shared" ca="1" si="176"/>
        <v>1185358.6087330314</v>
      </c>
      <c r="BC141" s="2">
        <f t="shared" ca="1" si="177"/>
        <v>35125555.879470155</v>
      </c>
      <c r="BD141" s="2">
        <f t="shared" ca="1" si="178"/>
        <v>-16761219.630150942</v>
      </c>
      <c r="BE141" s="2">
        <f t="shared" ca="1" si="179"/>
        <v>2442998.9626237871</v>
      </c>
      <c r="BF141" s="2">
        <f t="shared" ca="1" si="180"/>
        <v>2727319.4244819544</v>
      </c>
      <c r="BG141" s="2">
        <f t="shared" ca="1" si="181"/>
        <v>2891298.2733871834</v>
      </c>
      <c r="BH141" s="2">
        <f t="shared" ca="1" si="182"/>
        <v>3061594.6601826046</v>
      </c>
      <c r="BI141" s="2">
        <f t="shared" ca="1" si="183"/>
        <v>38364007.857222639</v>
      </c>
      <c r="BJ141" s="2">
        <f t="shared" ca="1" si="184"/>
        <v>0.28929640706080284</v>
      </c>
      <c r="BK141" s="2">
        <f t="shared" ca="1" si="185"/>
        <v>13366667.898958514</v>
      </c>
    </row>
    <row r="142" spans="1:63" x14ac:dyDescent="0.3">
      <c r="A142" s="2">
        <v>141</v>
      </c>
      <c r="B142" s="2">
        <f t="shared" ca="1" si="124"/>
        <v>0.68078733439306471</v>
      </c>
      <c r="C142" s="2">
        <f t="shared" ca="1" si="125"/>
        <v>7.2009847741038531</v>
      </c>
      <c r="D142" s="2">
        <f t="shared" ca="1" si="126"/>
        <v>0.41255621394078112</v>
      </c>
      <c r="E142" s="2">
        <f t="shared" ca="1" si="127"/>
        <v>7.4083569936327685</v>
      </c>
      <c r="F142" s="2">
        <f t="shared" ca="1" si="128"/>
        <v>0.82446825430963244</v>
      </c>
      <c r="G142" s="2">
        <f t="shared" ca="1" si="129"/>
        <v>6.7975853467808323E-2</v>
      </c>
      <c r="H142" s="2">
        <f t="shared" ca="1" si="130"/>
        <v>6.7975853467808323E-2</v>
      </c>
      <c r="I142" s="2">
        <f t="shared" ca="1" si="131"/>
        <v>0.85268449446298733</v>
      </c>
      <c r="J142" s="2">
        <f t="shared" ca="1" si="132"/>
        <v>1.5240082433044588E-2</v>
      </c>
      <c r="K142" s="2">
        <f t="shared" ca="1" si="133"/>
        <v>1.5240082433044588E-2</v>
      </c>
      <c r="L142" s="2">
        <f t="shared" ca="1" si="134"/>
        <v>0.81116340607537585</v>
      </c>
      <c r="M142" s="2">
        <f t="shared" ca="1" si="135"/>
        <v>1.7643832585453541E-2</v>
      </c>
      <c r="N142" s="2">
        <f t="shared" ca="1" si="136"/>
        <v>1.7643832585453541E-2</v>
      </c>
      <c r="O142" s="2">
        <f t="shared" si="137"/>
        <v>6000000</v>
      </c>
      <c r="P142" s="2">
        <f t="shared" ca="1" si="138"/>
        <v>43205908.644623116</v>
      </c>
      <c r="Q142" s="2">
        <f t="shared" ca="1" si="139"/>
        <v>1080147.7161155778</v>
      </c>
      <c r="R142" s="2">
        <f t="shared" ca="1" si="140"/>
        <v>25923545.18677387</v>
      </c>
      <c r="S142" s="2">
        <f t="shared" ca="1" si="141"/>
        <v>17282363.457849246</v>
      </c>
      <c r="T142" s="2">
        <f t="shared" ca="1" si="142"/>
        <v>50882191.629272677</v>
      </c>
      <c r="U142" s="2">
        <f t="shared" ca="1" si="143"/>
        <v>54340952.03158506</v>
      </c>
      <c r="V142" s="2">
        <f t="shared" ca="1" si="144"/>
        <v>58034824.624185286</v>
      </c>
      <c r="W142" s="2">
        <f t="shared" ca="1" si="145"/>
        <v>61979791.35886886</v>
      </c>
      <c r="X142" s="2">
        <f t="shared" ca="1" si="146"/>
        <v>66192920.574244663</v>
      </c>
      <c r="Y142" s="2">
        <f t="shared" ca="1" si="147"/>
        <v>0.12762004121652229</v>
      </c>
      <c r="Z142" s="2">
        <f t="shared" ca="1" si="148"/>
        <v>0.1306680577031312</v>
      </c>
      <c r="AA142" s="2">
        <f t="shared" ca="1" si="149"/>
        <v>6493587.3929147646</v>
      </c>
      <c r="AB142" s="2">
        <f t="shared" ca="1" si="150"/>
        <v>7100626.6557062408</v>
      </c>
      <c r="AC142" s="2">
        <f t="shared" ca="1" si="151"/>
        <v>7583297.8127841419</v>
      </c>
      <c r="AD142" s="2">
        <f t="shared" ca="1" si="152"/>
        <v>8098778.9537087083</v>
      </c>
      <c r="AE142" s="2">
        <f t="shared" ca="1" si="153"/>
        <v>8649300.3651341815</v>
      </c>
      <c r="AF142" s="2">
        <f t="shared" ca="1" si="154"/>
        <v>1017643.8325854535</v>
      </c>
      <c r="AG142" s="2">
        <f t="shared" ca="1" si="155"/>
        <v>1086819.0406317012</v>
      </c>
      <c r="AH142" s="2">
        <f t="shared" ca="1" si="156"/>
        <v>1160696.4924837057</v>
      </c>
      <c r="AI142" s="2">
        <f t="shared" ca="1" si="157"/>
        <v>1239595.8271773772</v>
      </c>
      <c r="AJ142" s="2">
        <f t="shared" ca="1" si="158"/>
        <v>1323858.4114848932</v>
      </c>
      <c r="AK142" s="2">
        <f t="shared" ca="1" si="159"/>
        <v>0</v>
      </c>
      <c r="AL142" s="2">
        <f t="shared" ca="1" si="160"/>
        <v>34587.604023123829</v>
      </c>
      <c r="AM142" s="2">
        <f t="shared" ca="1" si="161"/>
        <v>36938.725926002262</v>
      </c>
      <c r="AN142" s="2">
        <f t="shared" ca="1" si="162"/>
        <v>39449.667346835733</v>
      </c>
      <c r="AO142" s="2">
        <f t="shared" ca="1" si="163"/>
        <v>42131.292153758033</v>
      </c>
      <c r="AP142" s="2">
        <f t="shared" ca="1" si="164"/>
        <v>2333119.0668096482</v>
      </c>
      <c r="AQ142" s="2">
        <f t="shared" ca="1" si="165"/>
        <v>817134.36831511231</v>
      </c>
      <c r="AR142" s="2">
        <f t="shared" ca="1" si="166"/>
        <v>956979.02254887181</v>
      </c>
      <c r="AS142" s="2">
        <f t="shared" ca="1" si="167"/>
        <v>1063265.3859076048</v>
      </c>
      <c r="AT142" s="2">
        <f t="shared" ca="1" si="168"/>
        <v>1176776.6555276373</v>
      </c>
      <c r="AU142" s="2">
        <f t="shared" ca="1" si="169"/>
        <v>1298003.9505783063</v>
      </c>
      <c r="AV142" s="2">
        <f t="shared" ca="1" si="170"/>
        <v>2325690.1252045506</v>
      </c>
      <c r="AW142" s="2">
        <f t="shared" ca="1" si="171"/>
        <v>2689121.9216928952</v>
      </c>
      <c r="AX142" s="2">
        <f t="shared" ca="1" si="172"/>
        <v>2989278.1416571797</v>
      </c>
      <c r="AY142" s="2">
        <f t="shared" ca="1" si="173"/>
        <v>3309837.7368472093</v>
      </c>
      <c r="AZ142" s="2">
        <f t="shared" ca="1" si="174"/>
        <v>3652187.6441075751</v>
      </c>
      <c r="BA142" s="2">
        <f t="shared" ca="1" si="175"/>
        <v>64077104.850072272</v>
      </c>
      <c r="BB142" s="2">
        <f t="shared" ca="1" si="176"/>
        <v>1281542.0970014455</v>
      </c>
      <c r="BC142" s="2">
        <f t="shared" ca="1" si="177"/>
        <v>36872017.56629695</v>
      </c>
      <c r="BD142" s="2">
        <f t="shared" ca="1" si="178"/>
        <v>-18862511.173964825</v>
      </c>
      <c r="BE142" s="2">
        <f t="shared" ca="1" si="179"/>
        <v>2325690.1252045506</v>
      </c>
      <c r="BF142" s="2">
        <f t="shared" ca="1" si="180"/>
        <v>2689121.9216928952</v>
      </c>
      <c r="BG142" s="2">
        <f t="shared" ca="1" si="181"/>
        <v>2989278.1416571797</v>
      </c>
      <c r="BH142" s="2">
        <f t="shared" ca="1" si="182"/>
        <v>3309837.7368472093</v>
      </c>
      <c r="BI142" s="2">
        <f t="shared" ca="1" si="183"/>
        <v>40524205.210404523</v>
      </c>
      <c r="BJ142" s="2">
        <f t="shared" ca="1" si="184"/>
        <v>0.26395291286477462</v>
      </c>
      <c r="BK142" s="2">
        <f t="shared" ca="1" si="185"/>
        <v>12583442.596198197</v>
      </c>
    </row>
    <row r="143" spans="1:63" x14ac:dyDescent="0.3">
      <c r="A143" s="2">
        <v>142</v>
      </c>
      <c r="B143" s="2">
        <f t="shared" ca="1" si="124"/>
        <v>0.96197977685915903</v>
      </c>
      <c r="C143" s="2">
        <f t="shared" ca="1" si="125"/>
        <v>7.7242456776736184</v>
      </c>
      <c r="D143" s="2">
        <f t="shared" ca="1" si="126"/>
        <v>0.11931440289023132</v>
      </c>
      <c r="E143" s="2">
        <f t="shared" ca="1" si="127"/>
        <v>6.9884964746858085</v>
      </c>
      <c r="F143" s="2">
        <f t="shared" ca="1" si="128"/>
        <v>0.30235702580050727</v>
      </c>
      <c r="G143" s="2">
        <f t="shared" ca="1" si="129"/>
        <v>2.44709970506156E-2</v>
      </c>
      <c r="H143" s="2">
        <f t="shared" ca="1" si="130"/>
        <v>2.44709970506156E-2</v>
      </c>
      <c r="I143" s="2">
        <f t="shared" ca="1" si="131"/>
        <v>0.14959476206305755</v>
      </c>
      <c r="J143" s="2">
        <f t="shared" ca="1" si="132"/>
        <v>4.8091350404335107E-3</v>
      </c>
      <c r="K143" s="2">
        <f t="shared" ca="1" si="133"/>
        <v>4.8091350404335107E-3</v>
      </c>
      <c r="L143" s="2">
        <f t="shared" ca="1" si="134"/>
        <v>0.1727555071175656</v>
      </c>
      <c r="M143" s="2">
        <f t="shared" ca="1" si="135"/>
        <v>-1.8866643858780455E-2</v>
      </c>
      <c r="N143" s="2">
        <f t="shared" ca="1" si="136"/>
        <v>-1.8866643858780455E-2</v>
      </c>
      <c r="O143" s="2">
        <f t="shared" si="137"/>
        <v>6000000</v>
      </c>
      <c r="P143" s="2">
        <f t="shared" ca="1" si="138"/>
        <v>46345474.066041708</v>
      </c>
      <c r="Q143" s="2">
        <f t="shared" ca="1" si="139"/>
        <v>1158636.8516510427</v>
      </c>
      <c r="R143" s="2">
        <f t="shared" ca="1" si="140"/>
        <v>27807284.439625025</v>
      </c>
      <c r="S143" s="2">
        <f t="shared" ca="1" si="141"/>
        <v>18538189.626416683</v>
      </c>
      <c r="T143" s="2">
        <f t="shared" ca="1" si="142"/>
        <v>49056667.807060979</v>
      </c>
      <c r="U143" s="2">
        <f t="shared" ca="1" si="143"/>
        <v>50257133.380280599</v>
      </c>
      <c r="V143" s="2">
        <f t="shared" ca="1" si="144"/>
        <v>51486975.543001838</v>
      </c>
      <c r="W143" s="2">
        <f t="shared" ca="1" si="145"/>
        <v>52746913.169659756</v>
      </c>
      <c r="X143" s="2">
        <f t="shared" ca="1" si="146"/>
        <v>54037682.726263575</v>
      </c>
      <c r="Y143" s="2">
        <f t="shared" ca="1" si="147"/>
        <v>0.12240456752021675</v>
      </c>
      <c r="Z143" s="2">
        <f t="shared" ca="1" si="148"/>
        <v>0.12336639452830345</v>
      </c>
      <c r="AA143" s="2">
        <f t="shared" ca="1" si="149"/>
        <v>6004760.2069062386</v>
      </c>
      <c r="AB143" s="2">
        <f t="shared" ca="1" si="150"/>
        <v>6200041.344453265</v>
      </c>
      <c r="AC143" s="2">
        <f t="shared" ca="1" si="151"/>
        <v>6351762.5379070751</v>
      </c>
      <c r="AD143" s="2">
        <f t="shared" ca="1" si="152"/>
        <v>6507196.5002384102</v>
      </c>
      <c r="AE143" s="2">
        <f t="shared" ca="1" si="153"/>
        <v>6666434.0866035204</v>
      </c>
      <c r="AF143" s="2">
        <f t="shared" ca="1" si="154"/>
        <v>981133.35614121961</v>
      </c>
      <c r="AG143" s="2">
        <f t="shared" ca="1" si="155"/>
        <v>1005142.667605612</v>
      </c>
      <c r="AH143" s="2">
        <f t="shared" ca="1" si="156"/>
        <v>1029739.5108600368</v>
      </c>
      <c r="AI143" s="2">
        <f t="shared" ca="1" si="157"/>
        <v>1054938.2633931951</v>
      </c>
      <c r="AJ143" s="2">
        <f t="shared" ca="1" si="158"/>
        <v>1080753.6545252716</v>
      </c>
      <c r="AK143" s="2">
        <f t="shared" ca="1" si="159"/>
        <v>0</v>
      </c>
      <c r="AL143" s="2">
        <f t="shared" ca="1" si="160"/>
        <v>12004.655732196197</v>
      </c>
      <c r="AM143" s="2">
        <f t="shared" ca="1" si="161"/>
        <v>12298.42162721239</v>
      </c>
      <c r="AN143" s="2">
        <f t="shared" ca="1" si="162"/>
        <v>12599.376266579182</v>
      </c>
      <c r="AO143" s="2">
        <f t="shared" ca="1" si="163"/>
        <v>12907.695566038192</v>
      </c>
      <c r="AP143" s="2">
        <f t="shared" ca="1" si="164"/>
        <v>2502655.599566252</v>
      </c>
      <c r="AQ143" s="2">
        <f t="shared" ca="1" si="165"/>
        <v>655452.52531167935</v>
      </c>
      <c r="AR143" s="2">
        <f t="shared" ca="1" si="166"/>
        <v>699983.20009316446</v>
      </c>
      <c r="AS143" s="2">
        <f t="shared" ca="1" si="167"/>
        <v>733035.53114500444</v>
      </c>
      <c r="AT143" s="2">
        <f t="shared" ca="1" si="168"/>
        <v>766896.68569253036</v>
      </c>
      <c r="AU143" s="2">
        <f t="shared" ca="1" si="169"/>
        <v>801586.45645311917</v>
      </c>
      <c r="AV143" s="2">
        <f t="shared" ca="1" si="170"/>
        <v>1865518.7258870872</v>
      </c>
      <c r="AW143" s="2">
        <f t="shared" ca="1" si="171"/>
        <v>1980255.2214560416</v>
      </c>
      <c r="AX143" s="2">
        <f t="shared" ca="1" si="172"/>
        <v>2074033.4747085692</v>
      </c>
      <c r="AY143" s="2">
        <f t="shared" ca="1" si="173"/>
        <v>2170106.5753198536</v>
      </c>
      <c r="AZ143" s="2">
        <f t="shared" ca="1" si="174"/>
        <v>2268530.6804928388</v>
      </c>
      <c r="BA143" s="2">
        <f t="shared" ca="1" si="175"/>
        <v>46588351.112954013</v>
      </c>
      <c r="BB143" s="2">
        <f t="shared" ca="1" si="176"/>
        <v>931767.02225908032</v>
      </c>
      <c r="BC143" s="2">
        <f t="shared" ca="1" si="177"/>
        <v>17849299.651069909</v>
      </c>
      <c r="BD143" s="2">
        <f t="shared" ca="1" si="178"/>
        <v>-20196826.478067726</v>
      </c>
      <c r="BE143" s="2">
        <f t="shared" ca="1" si="179"/>
        <v>1865518.7258870872</v>
      </c>
      <c r="BF143" s="2">
        <f t="shared" ca="1" si="180"/>
        <v>1980255.2214560416</v>
      </c>
      <c r="BG143" s="2">
        <f t="shared" ca="1" si="181"/>
        <v>2074033.4747085692</v>
      </c>
      <c r="BH143" s="2">
        <f t="shared" ca="1" si="182"/>
        <v>2170106.5753198536</v>
      </c>
      <c r="BI143" s="2">
        <f t="shared" ca="1" si="183"/>
        <v>20117830.33156275</v>
      </c>
      <c r="BJ143" s="2">
        <f t="shared" ca="1" si="184"/>
        <v>8.2067204920952097E-2</v>
      </c>
      <c r="BK143" s="2">
        <f t="shared" ca="1" si="185"/>
        <v>-2681742.1897912361</v>
      </c>
    </row>
    <row r="144" spans="1:63" x14ac:dyDescent="0.3">
      <c r="A144" s="2">
        <v>143</v>
      </c>
      <c r="B144" s="2">
        <f t="shared" ca="1" si="124"/>
        <v>0.97381869610527094</v>
      </c>
      <c r="C144" s="2">
        <f t="shared" ca="1" si="125"/>
        <v>7.7711712260456345</v>
      </c>
      <c r="D144" s="2">
        <f t="shared" ca="1" si="126"/>
        <v>0.76094000181906729</v>
      </c>
      <c r="E144" s="2">
        <f t="shared" ca="1" si="127"/>
        <v>7.8085377838508707</v>
      </c>
      <c r="F144" s="2">
        <f t="shared" ca="1" si="128"/>
        <v>0.9139885010795421</v>
      </c>
      <c r="G144" s="2">
        <f t="shared" ca="1" si="129"/>
        <v>8.0971969430260221E-2</v>
      </c>
      <c r="H144" s="2">
        <f t="shared" ca="1" si="130"/>
        <v>8.0971969430260221E-2</v>
      </c>
      <c r="I144" s="2">
        <f t="shared" ca="1" si="131"/>
        <v>0.58289313037695445</v>
      </c>
      <c r="J144" s="2">
        <f t="shared" ca="1" si="132"/>
        <v>1.1046502001867468E-2</v>
      </c>
      <c r="K144" s="2">
        <f t="shared" ca="1" si="133"/>
        <v>1.1046502001867468E-2</v>
      </c>
      <c r="L144" s="2">
        <f t="shared" ca="1" si="134"/>
        <v>0.73628188982982012</v>
      </c>
      <c r="M144" s="2">
        <f t="shared" ca="1" si="135"/>
        <v>1.2638489780867984E-2</v>
      </c>
      <c r="N144" s="2">
        <f t="shared" ca="1" si="136"/>
        <v>1.2638489780867984E-2</v>
      </c>
      <c r="O144" s="2">
        <f t="shared" si="137"/>
        <v>6000000</v>
      </c>
      <c r="P144" s="2">
        <f t="shared" ca="1" si="138"/>
        <v>46627027.356273808</v>
      </c>
      <c r="Q144" s="2">
        <f t="shared" ca="1" si="139"/>
        <v>1165675.6839068453</v>
      </c>
      <c r="R144" s="2">
        <f t="shared" ca="1" si="140"/>
        <v>27976216.413764283</v>
      </c>
      <c r="S144" s="2">
        <f t="shared" ca="1" si="141"/>
        <v>18650810.942509525</v>
      </c>
      <c r="T144" s="2">
        <f t="shared" ca="1" si="142"/>
        <v>50631924.4890434</v>
      </c>
      <c r="U144" s="2">
        <f t="shared" ca="1" si="143"/>
        <v>54731691.130965464</v>
      </c>
      <c r="V144" s="2">
        <f t="shared" ca="1" si="144"/>
        <v>59163423.952088445</v>
      </c>
      <c r="W144" s="2">
        <f t="shared" ca="1" si="145"/>
        <v>63954002.907726474</v>
      </c>
      <c r="X144" s="2">
        <f t="shared" ca="1" si="146"/>
        <v>69132484.476113677</v>
      </c>
      <c r="Y144" s="2">
        <f t="shared" ca="1" si="147"/>
        <v>0.12552325100093373</v>
      </c>
      <c r="Z144" s="2">
        <f t="shared" ca="1" si="148"/>
        <v>0.12773255140130721</v>
      </c>
      <c r="AA144" s="2">
        <f t="shared" ca="1" si="149"/>
        <v>6355483.7662985176</v>
      </c>
      <c r="AB144" s="2">
        <f t="shared" ca="1" si="150"/>
        <v>6991018.5506665157</v>
      </c>
      <c r="AC144" s="2">
        <f t="shared" ca="1" si="151"/>
        <v>7557095.0910374671</v>
      </c>
      <c r="AD144" s="2">
        <f t="shared" ca="1" si="152"/>
        <v>8169007.9637305224</v>
      </c>
      <c r="AE144" s="2">
        <f t="shared" ca="1" si="153"/>
        <v>8830468.6268452629</v>
      </c>
      <c r="AF144" s="2">
        <f t="shared" ca="1" si="154"/>
        <v>1012638.4897808681</v>
      </c>
      <c r="AG144" s="2">
        <f t="shared" ca="1" si="155"/>
        <v>1094633.8226193092</v>
      </c>
      <c r="AH144" s="2">
        <f t="shared" ca="1" si="156"/>
        <v>1183268.4790417689</v>
      </c>
      <c r="AI144" s="2">
        <f t="shared" ca="1" si="157"/>
        <v>1279080.0581545294</v>
      </c>
      <c r="AJ144" s="2">
        <f t="shared" ca="1" si="158"/>
        <v>1382649.6895222736</v>
      </c>
      <c r="AK144" s="2">
        <f t="shared" ca="1" si="159"/>
        <v>0</v>
      </c>
      <c r="AL144" s="2">
        <f t="shared" ca="1" si="160"/>
        <v>40997.666419220644</v>
      </c>
      <c r="AM144" s="2">
        <f t="shared" ca="1" si="161"/>
        <v>44317.328211229818</v>
      </c>
      <c r="AN144" s="2">
        <f t="shared" ca="1" si="162"/>
        <v>47905.789556380289</v>
      </c>
      <c r="AO144" s="2">
        <f t="shared" ca="1" si="163"/>
        <v>51784.815683872032</v>
      </c>
      <c r="AP144" s="2">
        <f t="shared" ca="1" si="164"/>
        <v>2517859.4772387855</v>
      </c>
      <c r="AQ144" s="2">
        <f t="shared" ca="1" si="165"/>
        <v>734496.30781250459</v>
      </c>
      <c r="AR144" s="2">
        <f t="shared" ca="1" si="166"/>
        <v>878416.56521018967</v>
      </c>
      <c r="AS144" s="2">
        <f t="shared" ca="1" si="167"/>
        <v>1002551.4550367973</v>
      </c>
      <c r="AT144" s="2">
        <f t="shared" ca="1" si="168"/>
        <v>1136737.7913676738</v>
      </c>
      <c r="AU144" s="2">
        <f t="shared" ca="1" si="169"/>
        <v>1281789.459621893</v>
      </c>
      <c r="AV144" s="2">
        <f t="shared" ca="1" si="170"/>
        <v>2090489.4914663592</v>
      </c>
      <c r="AW144" s="2">
        <f t="shared" ca="1" si="171"/>
        <v>2459111.0191790108</v>
      </c>
      <c r="AX144" s="2">
        <f t="shared" ca="1" si="172"/>
        <v>2809098.3515088847</v>
      </c>
      <c r="AY144" s="2">
        <f t="shared" ca="1" si="173"/>
        <v>3187424.8474131525</v>
      </c>
      <c r="AZ144" s="2">
        <f t="shared" ca="1" si="174"/>
        <v>3596385.1847784379</v>
      </c>
      <c r="BA144" s="2">
        <f t="shared" ca="1" si="175"/>
        <v>68953047.921830952</v>
      </c>
      <c r="BB144" s="2">
        <f t="shared" ca="1" si="176"/>
        <v>1379060.958436619</v>
      </c>
      <c r="BC144" s="2">
        <f t="shared" ca="1" si="177"/>
        <v>39597770.549630053</v>
      </c>
      <c r="BD144" s="2">
        <f t="shared" ca="1" si="178"/>
        <v>-20316486.62641637</v>
      </c>
      <c r="BE144" s="2">
        <f t="shared" ca="1" si="179"/>
        <v>2090489.4914663592</v>
      </c>
      <c r="BF144" s="2">
        <f t="shared" ca="1" si="180"/>
        <v>2459111.0191790108</v>
      </c>
      <c r="BG144" s="2">
        <f t="shared" ca="1" si="181"/>
        <v>2809098.3515088847</v>
      </c>
      <c r="BH144" s="2">
        <f t="shared" ca="1" si="182"/>
        <v>3187424.8474131525</v>
      </c>
      <c r="BI144" s="2">
        <f t="shared" ca="1" si="183"/>
        <v>43194155.73440849</v>
      </c>
      <c r="BJ144" s="2">
        <f t="shared" ca="1" si="184"/>
        <v>0.24748030276654998</v>
      </c>
      <c r="BK144" s="2">
        <f t="shared" ca="1" si="185"/>
        <v>12045060.905466884</v>
      </c>
    </row>
    <row r="145" spans="1:63" x14ac:dyDescent="0.3">
      <c r="A145" s="2">
        <v>144</v>
      </c>
      <c r="B145" s="2">
        <f t="shared" ca="1" si="124"/>
        <v>0.31294228294935711</v>
      </c>
      <c r="C145" s="2">
        <f t="shared" ca="1" si="125"/>
        <v>6.7911286658304792</v>
      </c>
      <c r="D145" s="2">
        <f t="shared" ca="1" si="126"/>
        <v>0.50905492156890497</v>
      </c>
      <c r="E145" s="2">
        <f t="shared" ca="1" si="127"/>
        <v>7.509096292840626</v>
      </c>
      <c r="F145" s="2">
        <f t="shared" ca="1" si="128"/>
        <v>0.50432654945096322</v>
      </c>
      <c r="G145" s="2">
        <f t="shared" ca="1" si="129"/>
        <v>4.0325357913534574E-2</v>
      </c>
      <c r="H145" s="2">
        <f t="shared" ca="1" si="130"/>
        <v>4.0325357913534574E-2</v>
      </c>
      <c r="I145" s="2">
        <f t="shared" ca="1" si="131"/>
        <v>0.79424335299891791</v>
      </c>
      <c r="J145" s="2">
        <f t="shared" ca="1" si="132"/>
        <v>1.410616736089888E-2</v>
      </c>
      <c r="K145" s="2">
        <f t="shared" ca="1" si="133"/>
        <v>1.410616736089888E-2</v>
      </c>
      <c r="L145" s="2">
        <f t="shared" ca="1" si="134"/>
        <v>0.47371759494281795</v>
      </c>
      <c r="M145" s="2">
        <f t="shared" ca="1" si="135"/>
        <v>-1.3185589552286851E-3</v>
      </c>
      <c r="N145" s="2">
        <f t="shared" ca="1" si="136"/>
        <v>-1.3185589552286851E-3</v>
      </c>
      <c r="O145" s="2">
        <f t="shared" si="137"/>
        <v>6000000</v>
      </c>
      <c r="P145" s="2">
        <f t="shared" ca="1" si="138"/>
        <v>40746771.994982876</v>
      </c>
      <c r="Q145" s="2">
        <f t="shared" ca="1" si="139"/>
        <v>1018669.299874572</v>
      </c>
      <c r="R145" s="2">
        <f t="shared" ca="1" si="140"/>
        <v>24448063.196989726</v>
      </c>
      <c r="S145" s="2">
        <f t="shared" ca="1" si="141"/>
        <v>16298708.797993151</v>
      </c>
      <c r="T145" s="2">
        <f t="shared" ca="1" si="142"/>
        <v>49934072.052238569</v>
      </c>
      <c r="U145" s="2">
        <f t="shared" ca="1" si="143"/>
        <v>51947681.379825309</v>
      </c>
      <c r="V145" s="2">
        <f t="shared" ca="1" si="144"/>
        <v>54042490.224245019</v>
      </c>
      <c r="W145" s="2">
        <f t="shared" ca="1" si="145"/>
        <v>56221772.98507639</v>
      </c>
      <c r="X145" s="2">
        <f t="shared" ca="1" si="146"/>
        <v>58488936.103233084</v>
      </c>
      <c r="Y145" s="2">
        <f t="shared" ca="1" si="147"/>
        <v>0.12705308368044943</v>
      </c>
      <c r="Z145" s="2">
        <f t="shared" ca="1" si="148"/>
        <v>0.1298743171526292</v>
      </c>
      <c r="AA145" s="2">
        <f t="shared" ca="1" si="149"/>
        <v>6344277.8349586576</v>
      </c>
      <c r="AB145" s="2">
        <f t="shared" ca="1" si="150"/>
        <v>6746669.6468671625</v>
      </c>
      <c r="AC145" s="2">
        <f t="shared" ca="1" si="151"/>
        <v>7018731.5151014607</v>
      </c>
      <c r="AD145" s="2">
        <f t="shared" ca="1" si="152"/>
        <v>7301764.3755469322</v>
      </c>
      <c r="AE145" s="2">
        <f t="shared" ca="1" si="153"/>
        <v>7596210.6373911584</v>
      </c>
      <c r="AF145" s="2">
        <f t="shared" ca="1" si="154"/>
        <v>998681.44104477135</v>
      </c>
      <c r="AG145" s="2">
        <f t="shared" ca="1" si="155"/>
        <v>1038953.6275965062</v>
      </c>
      <c r="AH145" s="2">
        <f t="shared" ca="1" si="156"/>
        <v>1080849.8044849003</v>
      </c>
      <c r="AI145" s="2">
        <f t="shared" ca="1" si="157"/>
        <v>1124435.4597015278</v>
      </c>
      <c r="AJ145" s="2">
        <f t="shared" ca="1" si="158"/>
        <v>1169778.7220646618</v>
      </c>
      <c r="AK145" s="2">
        <f t="shared" ca="1" si="159"/>
        <v>0</v>
      </c>
      <c r="AL145" s="2">
        <f t="shared" ca="1" si="160"/>
        <v>20136.093275867403</v>
      </c>
      <c r="AM145" s="2">
        <f t="shared" ca="1" si="161"/>
        <v>20948.088444197103</v>
      </c>
      <c r="AN145" s="2">
        <f t="shared" ca="1" si="162"/>
        <v>21792.82760831371</v>
      </c>
      <c r="AO145" s="2">
        <f t="shared" ca="1" si="163"/>
        <v>22671.63118156694</v>
      </c>
      <c r="AP145" s="2">
        <f t="shared" ca="1" si="164"/>
        <v>2200325.6877290751</v>
      </c>
      <c r="AQ145" s="2">
        <f t="shared" ca="1" si="165"/>
        <v>817770.38360805099</v>
      </c>
      <c r="AR145" s="2">
        <f t="shared" ca="1" si="166"/>
        <v>911921.48620081122</v>
      </c>
      <c r="AS145" s="2">
        <f t="shared" ca="1" si="167"/>
        <v>971764.5659507463</v>
      </c>
      <c r="AT145" s="2">
        <f t="shared" ca="1" si="168"/>
        <v>1034020.8393102457</v>
      </c>
      <c r="AU145" s="2">
        <f t="shared" ca="1" si="169"/>
        <v>1098787.6191753296</v>
      </c>
      <c r="AV145" s="2">
        <f t="shared" ca="1" si="170"/>
        <v>2327500.3225767608</v>
      </c>
      <c r="AW145" s="2">
        <f t="shared" ca="1" si="171"/>
        <v>2575332.7520649028</v>
      </c>
      <c r="AX145" s="2">
        <f t="shared" ca="1" si="172"/>
        <v>2744843.3684925414</v>
      </c>
      <c r="AY145" s="2">
        <f t="shared" ca="1" si="173"/>
        <v>2921189.5611977703</v>
      </c>
      <c r="AZ145" s="2">
        <f t="shared" ca="1" si="174"/>
        <v>3104646.9772405247</v>
      </c>
      <c r="BA145" s="2">
        <f t="shared" ca="1" si="175"/>
        <v>57040677.136870474</v>
      </c>
      <c r="BB145" s="2">
        <f t="shared" ca="1" si="176"/>
        <v>1140813.5427374095</v>
      </c>
      <c r="BC145" s="2">
        <f t="shared" ca="1" si="177"/>
        <v>31451800.397143338</v>
      </c>
      <c r="BD145" s="2">
        <f t="shared" ca="1" si="178"/>
        <v>-17817378.097867724</v>
      </c>
      <c r="BE145" s="2">
        <f t="shared" ca="1" si="179"/>
        <v>2327500.3225767608</v>
      </c>
      <c r="BF145" s="2">
        <f t="shared" ca="1" si="180"/>
        <v>2575332.7520649028</v>
      </c>
      <c r="BG145" s="2">
        <f t="shared" ca="1" si="181"/>
        <v>2744843.3684925414</v>
      </c>
      <c r="BH145" s="2">
        <f t="shared" ca="1" si="182"/>
        <v>2921189.5611977703</v>
      </c>
      <c r="BI145" s="2">
        <f t="shared" ca="1" si="183"/>
        <v>34556447.374383859</v>
      </c>
      <c r="BJ145" s="2">
        <f t="shared" ca="1" si="184"/>
        <v>0.24335606233562523</v>
      </c>
      <c r="BK145" s="2">
        <f t="shared" ca="1" si="185"/>
        <v>9732237.0408251509</v>
      </c>
    </row>
    <row r="146" spans="1:63" x14ac:dyDescent="0.3">
      <c r="A146" s="2">
        <v>145</v>
      </c>
      <c r="B146" s="2">
        <f t="shared" ca="1" si="124"/>
        <v>0.85254840740625615</v>
      </c>
      <c r="C146" s="2">
        <f t="shared" ca="1" si="125"/>
        <v>7.4569501080126361</v>
      </c>
      <c r="D146" s="2">
        <f t="shared" ca="1" si="126"/>
        <v>0.39748457731792475</v>
      </c>
      <c r="E146" s="2">
        <f t="shared" ca="1" si="127"/>
        <v>7.3916104276172696</v>
      </c>
      <c r="F146" s="2">
        <f t="shared" ca="1" si="128"/>
        <v>0.26863718037618045</v>
      </c>
      <c r="G146" s="2">
        <f t="shared" ca="1" si="129"/>
        <v>2.1491802676957539E-2</v>
      </c>
      <c r="H146" s="2">
        <f t="shared" ca="1" si="130"/>
        <v>2.1491802676957539E-2</v>
      </c>
      <c r="I146" s="2">
        <f t="shared" ca="1" si="131"/>
        <v>1.9940696729336738E-2</v>
      </c>
      <c r="J146" s="2">
        <f t="shared" ca="1" si="132"/>
        <v>-2.7487634627595264E-4</v>
      </c>
      <c r="K146" s="2">
        <f t="shared" ca="1" si="133"/>
        <v>0</v>
      </c>
      <c r="L146" s="2">
        <f t="shared" ca="1" si="134"/>
        <v>0.78233710962412339</v>
      </c>
      <c r="M146" s="2">
        <f t="shared" ca="1" si="135"/>
        <v>1.5602211896534169E-2</v>
      </c>
      <c r="N146" s="2">
        <f t="shared" ca="1" si="136"/>
        <v>1.5602211896534169E-2</v>
      </c>
      <c r="O146" s="2">
        <f t="shared" si="137"/>
        <v>6000000</v>
      </c>
      <c r="P146" s="2">
        <f t="shared" ca="1" si="138"/>
        <v>44741700.648075819</v>
      </c>
      <c r="Q146" s="2">
        <f t="shared" ca="1" si="139"/>
        <v>1118542.5162018954</v>
      </c>
      <c r="R146" s="2">
        <f t="shared" ca="1" si="140"/>
        <v>26845020.388845492</v>
      </c>
      <c r="S146" s="2">
        <f t="shared" ca="1" si="141"/>
        <v>17896680.259230327</v>
      </c>
      <c r="T146" s="2">
        <f t="shared" ca="1" si="142"/>
        <v>50780110.594826713</v>
      </c>
      <c r="U146" s="2">
        <f t="shared" ca="1" si="143"/>
        <v>51871466.711644806</v>
      </c>
      <c r="V146" s="2">
        <f t="shared" ca="1" si="144"/>
        <v>52986278.038775846</v>
      </c>
      <c r="W146" s="2">
        <f t="shared" ca="1" si="145"/>
        <v>54125048.670971625</v>
      </c>
      <c r="X146" s="2">
        <f t="shared" ca="1" si="146"/>
        <v>55288293.536888868</v>
      </c>
      <c r="Y146" s="2">
        <f t="shared" ca="1" si="147"/>
        <v>0.12</v>
      </c>
      <c r="Z146" s="2">
        <f t="shared" ca="1" si="148"/>
        <v>0.12</v>
      </c>
      <c r="AA146" s="2">
        <f t="shared" ca="1" si="149"/>
        <v>6093613.2713792054</v>
      </c>
      <c r="AB146" s="2">
        <f t="shared" ca="1" si="150"/>
        <v>6224576.0053973766</v>
      </c>
      <c r="AC146" s="2">
        <f t="shared" ca="1" si="151"/>
        <v>6358353.3646531012</v>
      </c>
      <c r="AD146" s="2">
        <f t="shared" ca="1" si="152"/>
        <v>6495005.8405165952</v>
      </c>
      <c r="AE146" s="2">
        <f t="shared" ca="1" si="153"/>
        <v>6634595.2244266635</v>
      </c>
      <c r="AF146" s="2">
        <f t="shared" ca="1" si="154"/>
        <v>1015602.2118965343</v>
      </c>
      <c r="AG146" s="2">
        <f t="shared" ca="1" si="155"/>
        <v>1037429.3342328961</v>
      </c>
      <c r="AH146" s="2">
        <f t="shared" ca="1" si="156"/>
        <v>1059725.560775517</v>
      </c>
      <c r="AI146" s="2">
        <f t="shared" ca="1" si="157"/>
        <v>1082500.9734194325</v>
      </c>
      <c r="AJ146" s="2">
        <f t="shared" ca="1" si="158"/>
        <v>1105765.8707377773</v>
      </c>
      <c r="AK146" s="2">
        <f t="shared" ca="1" si="159"/>
        <v>0</v>
      </c>
      <c r="AL146" s="2">
        <f t="shared" ca="1" si="160"/>
        <v>10913.561168180928</v>
      </c>
      <c r="AM146" s="2">
        <f t="shared" ca="1" si="161"/>
        <v>11148.113271310403</v>
      </c>
      <c r="AN146" s="2">
        <f t="shared" ca="1" si="162"/>
        <v>11387.706321957781</v>
      </c>
      <c r="AO146" s="2">
        <f t="shared" ca="1" si="163"/>
        <v>11632.448659172431</v>
      </c>
      <c r="AP146" s="2">
        <f t="shared" ca="1" si="164"/>
        <v>2416051.834996094</v>
      </c>
      <c r="AQ146" s="2">
        <f t="shared" ca="1" si="165"/>
        <v>692109.39836651017</v>
      </c>
      <c r="AR146" s="2">
        <f t="shared" ca="1" si="166"/>
        <v>720484.65740378061</v>
      </c>
      <c r="AS146" s="2">
        <f t="shared" ca="1" si="167"/>
        <v>749469.75190918765</v>
      </c>
      <c r="AT146" s="2">
        <f t="shared" ca="1" si="168"/>
        <v>779077.7883462779</v>
      </c>
      <c r="AU146" s="2">
        <f t="shared" ca="1" si="169"/>
        <v>809322.15486012609</v>
      </c>
      <c r="AV146" s="2">
        <f t="shared" ca="1" si="170"/>
        <v>1969849.8261200674</v>
      </c>
      <c r="AW146" s="2">
        <f t="shared" ca="1" si="171"/>
        <v>2039696.617596426</v>
      </c>
      <c r="AX146" s="2">
        <f t="shared" ca="1" si="172"/>
        <v>2121958.1037009927</v>
      </c>
      <c r="AY146" s="2">
        <f t="shared" ca="1" si="173"/>
        <v>2205987.5374328336</v>
      </c>
      <c r="AZ146" s="2">
        <f t="shared" ca="1" si="174"/>
        <v>2291822.9151734943</v>
      </c>
      <c r="BA146" s="2">
        <f t="shared" ca="1" si="175"/>
        <v>49040343.243891865</v>
      </c>
      <c r="BB146" s="2">
        <f t="shared" ca="1" si="176"/>
        <v>980806.86487783736</v>
      </c>
      <c r="BC146" s="2">
        <f t="shared" ca="1" si="177"/>
        <v>21214515.990168534</v>
      </c>
      <c r="BD146" s="2">
        <f t="shared" ca="1" si="178"/>
        <v>-19515222.775432222</v>
      </c>
      <c r="BE146" s="2">
        <f t="shared" ca="1" si="179"/>
        <v>1969849.8261200674</v>
      </c>
      <c r="BF146" s="2">
        <f t="shared" ca="1" si="180"/>
        <v>2039696.617596426</v>
      </c>
      <c r="BG146" s="2">
        <f t="shared" ca="1" si="181"/>
        <v>2121958.1037009927</v>
      </c>
      <c r="BH146" s="2">
        <f t="shared" ca="1" si="182"/>
        <v>2205987.5374328336</v>
      </c>
      <c r="BI146" s="2">
        <f t="shared" ca="1" si="183"/>
        <v>23506338.905342028</v>
      </c>
      <c r="BJ146" s="2">
        <f t="shared" ca="1" si="184"/>
        <v>0.12164965253849847</v>
      </c>
      <c r="BK146" s="2">
        <f t="shared" ca="1" si="185"/>
        <v>120046.16797466576</v>
      </c>
    </row>
    <row r="147" spans="1:63" x14ac:dyDescent="0.3">
      <c r="A147" s="2">
        <v>146</v>
      </c>
      <c r="B147" s="2">
        <f t="shared" ca="1" si="124"/>
        <v>0.64594733439647734</v>
      </c>
      <c r="C147" s="2">
        <f t="shared" ca="1" si="125"/>
        <v>7.1585100528187837</v>
      </c>
      <c r="D147" s="2">
        <f t="shared" ca="1" si="126"/>
        <v>0.9842621889938119</v>
      </c>
      <c r="E147" s="2">
        <f t="shared" ca="1" si="127"/>
        <v>8.3225862969994253</v>
      </c>
      <c r="F147" s="2">
        <f t="shared" ca="1" si="128"/>
        <v>0.87083461818685481</v>
      </c>
      <c r="G147" s="2">
        <f t="shared" ca="1" si="129"/>
        <v>7.3910358273306165E-2</v>
      </c>
      <c r="H147" s="2">
        <f t="shared" ca="1" si="130"/>
        <v>7.3910358273306165E-2</v>
      </c>
      <c r="I147" s="2">
        <f t="shared" ca="1" si="131"/>
        <v>0.39498781488005019</v>
      </c>
      <c r="J147" s="2">
        <f t="shared" ca="1" si="132"/>
        <v>8.6682887028416301E-3</v>
      </c>
      <c r="K147" s="2">
        <f t="shared" ca="1" si="133"/>
        <v>8.6682887028416301E-3</v>
      </c>
      <c r="L147" s="2">
        <f t="shared" ca="1" si="134"/>
        <v>0.54103784701968949</v>
      </c>
      <c r="M147" s="2">
        <f t="shared" ca="1" si="135"/>
        <v>2.0609743448272376E-3</v>
      </c>
      <c r="N147" s="2">
        <f t="shared" ca="1" si="136"/>
        <v>2.0609743448272376E-3</v>
      </c>
      <c r="O147" s="2">
        <f t="shared" si="137"/>
        <v>6000000</v>
      </c>
      <c r="P147" s="2">
        <f t="shared" ca="1" si="138"/>
        <v>42951060.316912703</v>
      </c>
      <c r="Q147" s="2">
        <f t="shared" ca="1" si="139"/>
        <v>1073776.5079228177</v>
      </c>
      <c r="R147" s="2">
        <f t="shared" ca="1" si="140"/>
        <v>25770636.19014762</v>
      </c>
      <c r="S147" s="2">
        <f t="shared" ca="1" si="141"/>
        <v>17180424.126765084</v>
      </c>
      <c r="T147" s="2">
        <f t="shared" ca="1" si="142"/>
        <v>50103048.717241362</v>
      </c>
      <c r="U147" s="2">
        <f t="shared" ca="1" si="143"/>
        <v>53806182.998517588</v>
      </c>
      <c r="V147" s="2">
        <f t="shared" ca="1" si="144"/>
        <v>57783017.261257105</v>
      </c>
      <c r="W147" s="2">
        <f t="shared" ca="1" si="145"/>
        <v>62053780.769149259</v>
      </c>
      <c r="X147" s="2">
        <f t="shared" ca="1" si="146"/>
        <v>66640197.938010283</v>
      </c>
      <c r="Y147" s="2">
        <f t="shared" ca="1" si="147"/>
        <v>0.12433414435142082</v>
      </c>
      <c r="Z147" s="2">
        <f t="shared" ca="1" si="148"/>
        <v>0.12606780209198915</v>
      </c>
      <c r="AA147" s="2">
        <f t="shared" ca="1" si="149"/>
        <v>6229519.6916557569</v>
      </c>
      <c r="AB147" s="2">
        <f t="shared" ca="1" si="150"/>
        <v>6783227.2295824662</v>
      </c>
      <c r="AC147" s="2">
        <f t="shared" ca="1" si="151"/>
        <v>7284577.9843701534</v>
      </c>
      <c r="AD147" s="2">
        <f t="shared" ca="1" si="152"/>
        <v>7822983.7530647907</v>
      </c>
      <c r="AE147" s="2">
        <f t="shared" ca="1" si="153"/>
        <v>8401183.2850200627</v>
      </c>
      <c r="AF147" s="2">
        <f t="shared" ca="1" si="154"/>
        <v>1002060.9743448272</v>
      </c>
      <c r="AG147" s="2">
        <f t="shared" ca="1" si="155"/>
        <v>1076123.6599703517</v>
      </c>
      <c r="AH147" s="2">
        <f t="shared" ca="1" si="156"/>
        <v>1155660.3452251421</v>
      </c>
      <c r="AI147" s="2">
        <f t="shared" ca="1" si="157"/>
        <v>1241075.6153829852</v>
      </c>
      <c r="AJ147" s="2">
        <f t="shared" ca="1" si="158"/>
        <v>1332803.9587602057</v>
      </c>
      <c r="AK147" s="2">
        <f t="shared" ca="1" si="159"/>
        <v>0</v>
      </c>
      <c r="AL147" s="2">
        <f t="shared" ca="1" si="160"/>
        <v>37031.342812762261</v>
      </c>
      <c r="AM147" s="2">
        <f t="shared" ca="1" si="161"/>
        <v>39768.34262739517</v>
      </c>
      <c r="AN147" s="2">
        <f t="shared" ca="1" si="162"/>
        <v>42707.635078921543</v>
      </c>
      <c r="AO147" s="2">
        <f t="shared" ca="1" si="163"/>
        <v>45864.171688610244</v>
      </c>
      <c r="AP147" s="2">
        <f t="shared" ca="1" si="164"/>
        <v>2319357.2571132858</v>
      </c>
      <c r="AQ147" s="2">
        <f t="shared" ca="1" si="165"/>
        <v>756106.37965138745</v>
      </c>
      <c r="AR147" s="2">
        <f t="shared" ca="1" si="166"/>
        <v>880814.04124969558</v>
      </c>
      <c r="AS147" s="2">
        <f t="shared" ca="1" si="167"/>
        <v>990485.69932824862</v>
      </c>
      <c r="AT147" s="2">
        <f t="shared" ca="1" si="168"/>
        <v>1108263.228947815</v>
      </c>
      <c r="AU147" s="2">
        <f t="shared" ca="1" si="169"/>
        <v>1234745.7379781087</v>
      </c>
      <c r="AV147" s="2">
        <f t="shared" ca="1" si="170"/>
        <v>2151995.0805462566</v>
      </c>
      <c r="AW147" s="2">
        <f t="shared" ca="1" si="171"/>
        <v>2469900.928436371</v>
      </c>
      <c r="AX147" s="2">
        <f t="shared" ca="1" si="172"/>
        <v>2779306.3400760819</v>
      </c>
      <c r="AY147" s="2">
        <f t="shared" ca="1" si="173"/>
        <v>3111580.0165417823</v>
      </c>
      <c r="AZ147" s="2">
        <f t="shared" ca="1" si="174"/>
        <v>3468412.1594798523</v>
      </c>
      <c r="BA147" s="2">
        <f t="shared" ca="1" si="175"/>
        <v>69919572.886488587</v>
      </c>
      <c r="BB147" s="2">
        <f t="shared" ca="1" si="176"/>
        <v>1398391.4577297717</v>
      </c>
      <c r="BC147" s="2">
        <f t="shared" ca="1" si="177"/>
        <v>42750545.238611192</v>
      </c>
      <c r="BD147" s="2">
        <f t="shared" ca="1" si="178"/>
        <v>-18754200.634687901</v>
      </c>
      <c r="BE147" s="2">
        <f t="shared" ca="1" si="179"/>
        <v>2151995.0805462566</v>
      </c>
      <c r="BF147" s="2">
        <f t="shared" ca="1" si="180"/>
        <v>2469900.928436371</v>
      </c>
      <c r="BG147" s="2">
        <f t="shared" ca="1" si="181"/>
        <v>2779306.3400760819</v>
      </c>
      <c r="BH147" s="2">
        <f t="shared" ca="1" si="182"/>
        <v>3111580.0165417823</v>
      </c>
      <c r="BI147" s="2">
        <f t="shared" ca="1" si="183"/>
        <v>46218957.398091041</v>
      </c>
      <c r="BJ147" s="2">
        <f t="shared" ca="1" si="184"/>
        <v>0.28596352280484072</v>
      </c>
      <c r="BK147" s="2">
        <f t="shared" ca="1" si="185"/>
        <v>15317811.822073236</v>
      </c>
    </row>
    <row r="148" spans="1:63" x14ac:dyDescent="0.3">
      <c r="A148" s="2">
        <v>147</v>
      </c>
      <c r="B148" s="2">
        <f t="shared" ca="1" si="124"/>
        <v>0.35079482997313194</v>
      </c>
      <c r="C148" s="2">
        <f t="shared" ca="1" si="125"/>
        <v>6.8376094913181582</v>
      </c>
      <c r="D148" s="2">
        <f t="shared" ca="1" si="126"/>
        <v>0.3188785245218948</v>
      </c>
      <c r="E148" s="2">
        <f t="shared" ca="1" si="127"/>
        <v>7.2985969252656746</v>
      </c>
      <c r="F148" s="2">
        <f t="shared" ca="1" si="128"/>
        <v>0.28909995194502314</v>
      </c>
      <c r="G148" s="2">
        <f t="shared" ca="1" si="129"/>
        <v>2.3319519425999885E-2</v>
      </c>
      <c r="H148" s="2">
        <f t="shared" ca="1" si="130"/>
        <v>2.3319519425999885E-2</v>
      </c>
      <c r="I148" s="2">
        <f t="shared" ca="1" si="131"/>
        <v>2.6342830785973437E-2</v>
      </c>
      <c r="J148" s="2">
        <f t="shared" ca="1" si="132"/>
        <v>3.1255765511760923E-4</v>
      </c>
      <c r="K148" s="2">
        <f t="shared" ca="1" si="133"/>
        <v>3.1255765511760923E-4</v>
      </c>
      <c r="L148" s="2">
        <f t="shared" ca="1" si="134"/>
        <v>0.43305105951030498</v>
      </c>
      <c r="M148" s="2">
        <f t="shared" ca="1" si="135"/>
        <v>-3.3722329332753942E-3</v>
      </c>
      <c r="N148" s="2">
        <f t="shared" ca="1" si="136"/>
        <v>-3.3722329332753942E-3</v>
      </c>
      <c r="O148" s="2">
        <f t="shared" si="137"/>
        <v>6000000</v>
      </c>
      <c r="P148" s="2">
        <f t="shared" ca="1" si="138"/>
        <v>41025656.947908953</v>
      </c>
      <c r="Q148" s="2">
        <f t="shared" ca="1" si="139"/>
        <v>1025641.4236977239</v>
      </c>
      <c r="R148" s="2">
        <f t="shared" ca="1" si="140"/>
        <v>24615394.168745372</v>
      </c>
      <c r="S148" s="2">
        <f t="shared" ca="1" si="141"/>
        <v>16410262.779163582</v>
      </c>
      <c r="T148" s="2">
        <f t="shared" ca="1" si="142"/>
        <v>49831388.35333623</v>
      </c>
      <c r="U148" s="2">
        <f t="shared" ca="1" si="143"/>
        <v>50993432.382066399</v>
      </c>
      <c r="V148" s="2">
        <f t="shared" ca="1" si="144"/>
        <v>52182574.719098404</v>
      </c>
      <c r="W148" s="2">
        <f t="shared" ca="1" si="145"/>
        <v>53399447.283959106</v>
      </c>
      <c r="X148" s="2">
        <f t="shared" ca="1" si="146"/>
        <v>54644696.732235044</v>
      </c>
      <c r="Y148" s="2">
        <f t="shared" ca="1" si="147"/>
        <v>0.1201562788275588</v>
      </c>
      <c r="Z148" s="2">
        <f t="shared" ca="1" si="148"/>
        <v>0.12021879035858232</v>
      </c>
      <c r="AA148" s="2">
        <f t="shared" ca="1" si="149"/>
        <v>5987554.1933478341</v>
      </c>
      <c r="AB148" s="2">
        <f t="shared" ca="1" si="150"/>
        <v>6130368.7572041834</v>
      </c>
      <c r="AC148" s="2">
        <f t="shared" ca="1" si="151"/>
        <v>6273326.0105263488</v>
      </c>
      <c r="AD148" s="2">
        <f t="shared" ca="1" si="152"/>
        <v>6419616.9582944475</v>
      </c>
      <c r="AE148" s="2">
        <f t="shared" ca="1" si="153"/>
        <v>6569319.3406608729</v>
      </c>
      <c r="AF148" s="2">
        <f t="shared" ca="1" si="154"/>
        <v>996627.7670667246</v>
      </c>
      <c r="AG148" s="2">
        <f t="shared" ca="1" si="155"/>
        <v>1019868.647641328</v>
      </c>
      <c r="AH148" s="2">
        <f t="shared" ca="1" si="156"/>
        <v>1043651.494381968</v>
      </c>
      <c r="AI148" s="2">
        <f t="shared" ca="1" si="157"/>
        <v>1067988.9456791822</v>
      </c>
      <c r="AJ148" s="2">
        <f t="shared" ca="1" si="158"/>
        <v>1092893.934644701</v>
      </c>
      <c r="AK148" s="2">
        <f t="shared" ca="1" si="159"/>
        <v>0</v>
      </c>
      <c r="AL148" s="2">
        <f t="shared" ca="1" si="160"/>
        <v>11620.44028730169</v>
      </c>
      <c r="AM148" s="2">
        <f t="shared" ca="1" si="161"/>
        <v>11891.423370320052</v>
      </c>
      <c r="AN148" s="2">
        <f t="shared" ca="1" si="162"/>
        <v>12168.725648607016</v>
      </c>
      <c r="AO148" s="2">
        <f t="shared" ca="1" si="163"/>
        <v>12452.494482759386</v>
      </c>
      <c r="AP148" s="2">
        <f t="shared" ca="1" si="164"/>
        <v>2215385.4751870832</v>
      </c>
      <c r="AQ148" s="2">
        <f t="shared" ca="1" si="165"/>
        <v>721640.64728444687</v>
      </c>
      <c r="AR148" s="2">
        <f t="shared" ca="1" si="166"/>
        <v>752729.80493770074</v>
      </c>
      <c r="AS148" s="2">
        <f t="shared" ca="1" si="167"/>
        <v>783715.1506488974</v>
      </c>
      <c r="AT148" s="2">
        <f t="shared" ca="1" si="168"/>
        <v>815423.05973132735</v>
      </c>
      <c r="AU148" s="2">
        <f t="shared" ca="1" si="169"/>
        <v>847870.38201556308</v>
      </c>
      <c r="AV148" s="2">
        <f t="shared" ca="1" si="170"/>
        <v>2053900.303809579</v>
      </c>
      <c r="AW148" s="2">
        <f t="shared" ca="1" si="171"/>
        <v>2130764.3891507699</v>
      </c>
      <c r="AX148" s="2">
        <f t="shared" ca="1" si="172"/>
        <v>2218682.4669380798</v>
      </c>
      <c r="AY148" s="2">
        <f t="shared" ca="1" si="173"/>
        <v>2308650.752048248</v>
      </c>
      <c r="AZ148" s="2">
        <f t="shared" ca="1" si="174"/>
        <v>2400717.0543307667</v>
      </c>
      <c r="BA148" s="2">
        <f t="shared" ca="1" si="175"/>
        <v>47946813.940835774</v>
      </c>
      <c r="BB148" s="2">
        <f t="shared" ca="1" si="176"/>
        <v>958936.27881671546</v>
      </c>
      <c r="BC148" s="2">
        <f t="shared" ca="1" si="177"/>
        <v>22372483.493273687</v>
      </c>
      <c r="BD148" s="2">
        <f t="shared" ca="1" si="178"/>
        <v>-17935904.202861305</v>
      </c>
      <c r="BE148" s="2">
        <f t="shared" ca="1" si="179"/>
        <v>2053900.303809579</v>
      </c>
      <c r="BF148" s="2">
        <f t="shared" ca="1" si="180"/>
        <v>2130764.3891507699</v>
      </c>
      <c r="BG148" s="2">
        <f t="shared" ca="1" si="181"/>
        <v>2218682.4669380798</v>
      </c>
      <c r="BH148" s="2">
        <f t="shared" ca="1" si="182"/>
        <v>2308650.752048248</v>
      </c>
      <c r="BI148" s="2">
        <f t="shared" ca="1" si="183"/>
        <v>24773200.547604453</v>
      </c>
      <c r="BJ148" s="2">
        <f t="shared" ca="1" si="184"/>
        <v>0.15857243536835997</v>
      </c>
      <c r="BK148" s="2">
        <f t="shared" ca="1" si="185"/>
        <v>2699950.6182457656</v>
      </c>
    </row>
    <row r="149" spans="1:63" x14ac:dyDescent="0.3">
      <c r="A149" s="2">
        <v>148</v>
      </c>
      <c r="B149" s="2">
        <f t="shared" ca="1" si="124"/>
        <v>0.51204900812780507</v>
      </c>
      <c r="C149" s="2">
        <f t="shared" ca="1" si="125"/>
        <v>7.0121224854546034</v>
      </c>
      <c r="D149" s="2">
        <f t="shared" ca="1" si="126"/>
        <v>0.58522753005255412</v>
      </c>
      <c r="E149" s="2">
        <f t="shared" ca="1" si="127"/>
        <v>7.5892064230052503</v>
      </c>
      <c r="F149" s="2">
        <f t="shared" ca="1" si="128"/>
        <v>0.56294627877995573</v>
      </c>
      <c r="G149" s="2">
        <f t="shared" ca="1" si="129"/>
        <v>4.4753301047105544E-2</v>
      </c>
      <c r="H149" s="2">
        <f t="shared" ca="1" si="130"/>
        <v>4.4753301047105544E-2</v>
      </c>
      <c r="I149" s="2">
        <f t="shared" ca="1" si="131"/>
        <v>0.40945020526656406</v>
      </c>
      <c r="J149" s="2">
        <f t="shared" ca="1" si="132"/>
        <v>8.8552026043616002E-3</v>
      </c>
      <c r="K149" s="2">
        <f t="shared" ca="1" si="133"/>
        <v>8.8552026043616002E-3</v>
      </c>
      <c r="L149" s="2">
        <f t="shared" ca="1" si="134"/>
        <v>0.80822256519889846</v>
      </c>
      <c r="M149" s="2">
        <f t="shared" ca="1" si="135"/>
        <v>1.7427300743656417E-2</v>
      </c>
      <c r="N149" s="2">
        <f t="shared" ca="1" si="136"/>
        <v>1.7427300743656417E-2</v>
      </c>
      <c r="O149" s="2">
        <f t="shared" si="137"/>
        <v>6000000</v>
      </c>
      <c r="P149" s="2">
        <f t="shared" ca="1" si="138"/>
        <v>42072734.912727617</v>
      </c>
      <c r="Q149" s="2">
        <f t="shared" ca="1" si="139"/>
        <v>1051818.3728181904</v>
      </c>
      <c r="R149" s="2">
        <f t="shared" ca="1" si="140"/>
        <v>25243640.947636571</v>
      </c>
      <c r="S149" s="2">
        <f t="shared" ca="1" si="141"/>
        <v>16829093.965091046</v>
      </c>
      <c r="T149" s="2">
        <f t="shared" ca="1" si="142"/>
        <v>50871365.037182823</v>
      </c>
      <c r="U149" s="2">
        <f t="shared" ca="1" si="143"/>
        <v>53148026.551369064</v>
      </c>
      <c r="V149" s="2">
        <f t="shared" ca="1" si="144"/>
        <v>55526576.183682039</v>
      </c>
      <c r="W149" s="2">
        <f t="shared" ca="1" si="145"/>
        <v>58011573.763745397</v>
      </c>
      <c r="X149" s="2">
        <f t="shared" ca="1" si="146"/>
        <v>60607783.188610666</v>
      </c>
      <c r="Y149" s="2">
        <f t="shared" ca="1" si="147"/>
        <v>0.12442760130218079</v>
      </c>
      <c r="Z149" s="2">
        <f t="shared" ca="1" si="148"/>
        <v>0.12619864182305313</v>
      </c>
      <c r="AA149" s="2">
        <f t="shared" ca="1" si="149"/>
        <v>6329801.9265442835</v>
      </c>
      <c r="AB149" s="2">
        <f t="shared" ca="1" si="150"/>
        <v>6707208.766358342</v>
      </c>
      <c r="AC149" s="2">
        <f t="shared" ca="1" si="151"/>
        <v>7007378.4994649617</v>
      </c>
      <c r="AD149" s="2">
        <f t="shared" ca="1" si="152"/>
        <v>7320981.8190025315</v>
      </c>
      <c r="AE149" s="2">
        <f t="shared" ca="1" si="153"/>
        <v>7648619.9223087383</v>
      </c>
      <c r="AF149" s="2">
        <f t="shared" ca="1" si="154"/>
        <v>1017427.3007436565</v>
      </c>
      <c r="AG149" s="2">
        <f t="shared" ca="1" si="155"/>
        <v>1062960.5310273813</v>
      </c>
      <c r="AH149" s="2">
        <f t="shared" ca="1" si="156"/>
        <v>1110531.5236736408</v>
      </c>
      <c r="AI149" s="2">
        <f t="shared" ca="1" si="157"/>
        <v>1160231.4752749079</v>
      </c>
      <c r="AJ149" s="2">
        <f t="shared" ca="1" si="158"/>
        <v>1212155.6637722133</v>
      </c>
      <c r="AK149" s="2">
        <f t="shared" ca="1" si="159"/>
        <v>0</v>
      </c>
      <c r="AL149" s="2">
        <f t="shared" ca="1" si="160"/>
        <v>22766.615141862407</v>
      </c>
      <c r="AM149" s="2">
        <f t="shared" ca="1" si="161"/>
        <v>23785.496323129759</v>
      </c>
      <c r="AN149" s="2">
        <f t="shared" ca="1" si="162"/>
        <v>24849.97580063358</v>
      </c>
      <c r="AO149" s="2">
        <f t="shared" ca="1" si="163"/>
        <v>25962.094248652684</v>
      </c>
      <c r="AP149" s="2">
        <f t="shared" ca="1" si="164"/>
        <v>2271927.6852872912</v>
      </c>
      <c r="AQ149" s="2">
        <f t="shared" ca="1" si="165"/>
        <v>790516.20453346742</v>
      </c>
      <c r="AR149" s="2">
        <f t="shared" ca="1" si="166"/>
        <v>876803.3430113541</v>
      </c>
      <c r="AS149" s="2">
        <f t="shared" ca="1" si="167"/>
        <v>942479.01553104783</v>
      </c>
      <c r="AT149" s="2">
        <f t="shared" ca="1" si="168"/>
        <v>1011093.8911944865</v>
      </c>
      <c r="AU149" s="2">
        <f t="shared" ca="1" si="169"/>
        <v>1082779.5090448009</v>
      </c>
      <c r="AV149" s="2">
        <f t="shared" ca="1" si="170"/>
        <v>2249930.735979869</v>
      </c>
      <c r="AW149" s="2">
        <f t="shared" ca="1" si="171"/>
        <v>2472750.5918904534</v>
      </c>
      <c r="AX149" s="2">
        <f t="shared" ca="1" si="172"/>
        <v>2658654.7786498517</v>
      </c>
      <c r="AY149" s="2">
        <f t="shared" ca="1" si="173"/>
        <v>2852878.7914452124</v>
      </c>
      <c r="AZ149" s="2">
        <f t="shared" ca="1" si="174"/>
        <v>3055794.9699557805</v>
      </c>
      <c r="BA149" s="2">
        <f t="shared" ca="1" si="175"/>
        <v>58046955.441511393</v>
      </c>
      <c r="BB149" s="2">
        <f t="shared" ca="1" si="176"/>
        <v>1160939.108830228</v>
      </c>
      <c r="BC149" s="2">
        <f t="shared" ca="1" si="177"/>
        <v>31642375.385044593</v>
      </c>
      <c r="BD149" s="2">
        <f t="shared" ca="1" si="178"/>
        <v>-18380912.337909237</v>
      </c>
      <c r="BE149" s="2">
        <f t="shared" ca="1" si="179"/>
        <v>2249930.735979869</v>
      </c>
      <c r="BF149" s="2">
        <f t="shared" ca="1" si="180"/>
        <v>2472750.5918904534</v>
      </c>
      <c r="BG149" s="2">
        <f t="shared" ca="1" si="181"/>
        <v>2658654.7786498517</v>
      </c>
      <c r="BH149" s="2">
        <f t="shared" ca="1" si="182"/>
        <v>2852878.7914452124</v>
      </c>
      <c r="BI149" s="2">
        <f t="shared" ca="1" si="183"/>
        <v>34698170.355000377</v>
      </c>
      <c r="BJ149" s="2">
        <f t="shared" ca="1" si="184"/>
        <v>0.2313427922832183</v>
      </c>
      <c r="BK149" s="2">
        <f t="shared" ca="1" si="185"/>
        <v>8993323.7315949798</v>
      </c>
    </row>
    <row r="150" spans="1:63" x14ac:dyDescent="0.3">
      <c r="A150" s="2">
        <v>149</v>
      </c>
      <c r="B150" s="2">
        <f t="shared" ca="1" si="124"/>
        <v>0.79861266439581602</v>
      </c>
      <c r="C150" s="2">
        <f t="shared" ca="1" si="125"/>
        <v>7.3653546886580123</v>
      </c>
      <c r="D150" s="2">
        <f t="shared" ca="1" si="126"/>
        <v>0.93824182407706236</v>
      </c>
      <c r="E150" s="2">
        <f t="shared" ca="1" si="127"/>
        <v>8.1485510679403408</v>
      </c>
      <c r="F150" s="2">
        <f t="shared" ca="1" si="128"/>
        <v>0.26356428320832814</v>
      </c>
      <c r="G150" s="2">
        <f t="shared" ca="1" si="129"/>
        <v>2.1028139258050148E-2</v>
      </c>
      <c r="H150" s="2">
        <f t="shared" ca="1" si="130"/>
        <v>2.1028139258050148E-2</v>
      </c>
      <c r="I150" s="2">
        <f t="shared" ca="1" si="131"/>
        <v>0.29129177672599726</v>
      </c>
      <c r="J150" s="2">
        <f t="shared" ca="1" si="132"/>
        <v>7.2519256206219455E-3</v>
      </c>
      <c r="K150" s="2">
        <f t="shared" ca="1" si="133"/>
        <v>7.2519256206219455E-3</v>
      </c>
      <c r="L150" s="2">
        <f t="shared" ca="1" si="134"/>
        <v>0.4998955606873835</v>
      </c>
      <c r="M150" s="2">
        <f t="shared" ca="1" si="135"/>
        <v>-5.2358107395563236E-6</v>
      </c>
      <c r="N150" s="2">
        <f t="shared" ca="1" si="136"/>
        <v>-5.2358107395563236E-6</v>
      </c>
      <c r="O150" s="2">
        <f t="shared" si="137"/>
        <v>6000000</v>
      </c>
      <c r="P150" s="2">
        <f t="shared" ca="1" si="138"/>
        <v>44192128.131948076</v>
      </c>
      <c r="Q150" s="2">
        <f t="shared" ca="1" si="139"/>
        <v>1104803.2032987019</v>
      </c>
      <c r="R150" s="2">
        <f t="shared" ca="1" si="140"/>
        <v>26515276.879168846</v>
      </c>
      <c r="S150" s="2">
        <f t="shared" ca="1" si="141"/>
        <v>17676851.25277923</v>
      </c>
      <c r="T150" s="2">
        <f t="shared" ca="1" si="142"/>
        <v>49999738.209463023</v>
      </c>
      <c r="U150" s="2">
        <f t="shared" ca="1" si="143"/>
        <v>51051139.66739767</v>
      </c>
      <c r="V150" s="2">
        <f t="shared" ca="1" si="144"/>
        <v>52124650.141605884</v>
      </c>
      <c r="W150" s="2">
        <f t="shared" ca="1" si="145"/>
        <v>53220734.543560721</v>
      </c>
      <c r="X150" s="2">
        <f t="shared" ca="1" si="146"/>
        <v>54339867.560958438</v>
      </c>
      <c r="Y150" s="2">
        <f t="shared" ca="1" si="147"/>
        <v>0.12362596281031096</v>
      </c>
      <c r="Z150" s="2">
        <f t="shared" ca="1" si="148"/>
        <v>0.12507634793443537</v>
      </c>
      <c r="AA150" s="2">
        <f t="shared" ca="1" si="149"/>
        <v>6181265.7764083594</v>
      </c>
      <c r="AB150" s="2">
        <f t="shared" ca="1" si="150"/>
        <v>6385290.1074888865</v>
      </c>
      <c r="AC150" s="2">
        <f t="shared" ca="1" si="151"/>
        <v>6519560.8770722132</v>
      </c>
      <c r="AD150" s="2">
        <f t="shared" ca="1" si="152"/>
        <v>6656655.1110966243</v>
      </c>
      <c r="AE150" s="2">
        <f t="shared" ca="1" si="153"/>
        <v>6796632.181765575</v>
      </c>
      <c r="AF150" s="2">
        <f t="shared" ca="1" si="154"/>
        <v>999994.76418926043</v>
      </c>
      <c r="AG150" s="2">
        <f t="shared" ca="1" si="155"/>
        <v>1021022.7933479535</v>
      </c>
      <c r="AH150" s="2">
        <f t="shared" ca="1" si="156"/>
        <v>1042493.0028321177</v>
      </c>
      <c r="AI150" s="2">
        <f t="shared" ca="1" si="157"/>
        <v>1064414.6908712145</v>
      </c>
      <c r="AJ150" s="2">
        <f t="shared" ca="1" si="158"/>
        <v>1086797.3512191689</v>
      </c>
      <c r="AK150" s="2">
        <f t="shared" ca="1" si="159"/>
        <v>0</v>
      </c>
      <c r="AL150" s="2">
        <f t="shared" ca="1" si="160"/>
        <v>10514.014579346478</v>
      </c>
      <c r="AM150" s="2">
        <f t="shared" ca="1" si="161"/>
        <v>10735.104742082134</v>
      </c>
      <c r="AN150" s="2">
        <f t="shared" ca="1" si="162"/>
        <v>10960.844019548371</v>
      </c>
      <c r="AO150" s="2">
        <f t="shared" ca="1" si="163"/>
        <v>11191.330173977167</v>
      </c>
      <c r="AP150" s="2">
        <f t="shared" ca="1" si="164"/>
        <v>2386374.9191251961</v>
      </c>
      <c r="AQ150" s="2">
        <f t="shared" ca="1" si="165"/>
        <v>726672.98420441488</v>
      </c>
      <c r="AR150" s="2">
        <f t="shared" ca="1" si="166"/>
        <v>774252.02270409151</v>
      </c>
      <c r="AS150" s="2">
        <f t="shared" ca="1" si="167"/>
        <v>803580.16832987394</v>
      </c>
      <c r="AT150" s="2">
        <f t="shared" ca="1" si="168"/>
        <v>833525.03028605564</v>
      </c>
      <c r="AU150" s="2">
        <f t="shared" ca="1" si="169"/>
        <v>864099.5769695146</v>
      </c>
      <c r="AV150" s="2">
        <f t="shared" ca="1" si="170"/>
        <v>2068223.108889488</v>
      </c>
      <c r="AW150" s="2">
        <f t="shared" ca="1" si="171"/>
        <v>2193126.3577322983</v>
      </c>
      <c r="AX150" s="2">
        <f t="shared" ca="1" si="172"/>
        <v>2276377.6820429438</v>
      </c>
      <c r="AY150" s="2">
        <f t="shared" ca="1" si="173"/>
        <v>2361379.6267946097</v>
      </c>
      <c r="AZ150" s="2">
        <f t="shared" ca="1" si="174"/>
        <v>2448169.0042777187</v>
      </c>
      <c r="BA150" s="2">
        <f t="shared" ca="1" si="175"/>
        <v>55382704.423123561</v>
      </c>
      <c r="BB150" s="2">
        <f t="shared" ca="1" si="176"/>
        <v>1107654.0884624713</v>
      </c>
      <c r="BC150" s="2">
        <f t="shared" ca="1" si="177"/>
        <v>27759773.455492243</v>
      </c>
      <c r="BD150" s="2">
        <f t="shared" ca="1" si="178"/>
        <v>-19281654.456077933</v>
      </c>
      <c r="BE150" s="2">
        <f t="shared" ca="1" si="179"/>
        <v>2068223.108889488</v>
      </c>
      <c r="BF150" s="2">
        <f t="shared" ca="1" si="180"/>
        <v>2193126.3577322983</v>
      </c>
      <c r="BG150" s="2">
        <f t="shared" ca="1" si="181"/>
        <v>2276377.6820429438</v>
      </c>
      <c r="BH150" s="2">
        <f t="shared" ca="1" si="182"/>
        <v>2361379.6267946097</v>
      </c>
      <c r="BI150" s="2">
        <f t="shared" ca="1" si="183"/>
        <v>30207942.45976996</v>
      </c>
      <c r="BJ150" s="2">
        <f t="shared" ca="1" si="184"/>
        <v>0.17785275794062461</v>
      </c>
      <c r="BK150" s="2">
        <f t="shared" ca="1" si="185"/>
        <v>4575098.145918116</v>
      </c>
    </row>
    <row r="151" spans="1:63" x14ac:dyDescent="0.3">
      <c r="A151" s="2">
        <v>150</v>
      </c>
      <c r="B151" s="2">
        <f t="shared" ca="1" si="124"/>
        <v>0.18206684637984916</v>
      </c>
      <c r="C151" s="2">
        <f t="shared" ca="1" si="125"/>
        <v>6.6034349117839461</v>
      </c>
      <c r="D151" s="2">
        <f t="shared" ca="1" si="126"/>
        <v>5.9490430676821693E-2</v>
      </c>
      <c r="E151" s="2">
        <f t="shared" ca="1" si="127"/>
        <v>6.8449360250157172</v>
      </c>
      <c r="F151" s="2">
        <f t="shared" ca="1" si="128"/>
        <v>9.5740390080090609E-2</v>
      </c>
      <c r="G151" s="2">
        <f t="shared" ca="1" si="129"/>
        <v>8.1366709453454394E-4</v>
      </c>
      <c r="H151" s="2">
        <f t="shared" ca="1" si="130"/>
        <v>8.1366709453454394E-4</v>
      </c>
      <c r="I151" s="2">
        <f t="shared" ca="1" si="131"/>
        <v>0.42006175297125858</v>
      </c>
      <c r="J151" s="2">
        <f t="shared" ca="1" si="132"/>
        <v>8.991322485908209E-3</v>
      </c>
      <c r="K151" s="2">
        <f t="shared" ca="1" si="133"/>
        <v>8.991322485908209E-3</v>
      </c>
      <c r="L151" s="2">
        <f t="shared" ca="1" si="134"/>
        <v>0.74303779032755435</v>
      </c>
      <c r="M151" s="2">
        <f t="shared" ca="1" si="135"/>
        <v>1.3054784215028202E-2</v>
      </c>
      <c r="N151" s="2">
        <f t="shared" ca="1" si="136"/>
        <v>1.3054784215028202E-2</v>
      </c>
      <c r="O151" s="2">
        <f t="shared" si="137"/>
        <v>6000000</v>
      </c>
      <c r="P151" s="2">
        <f t="shared" ca="1" si="138"/>
        <v>39620609.470703676</v>
      </c>
      <c r="Q151" s="2">
        <f t="shared" ca="1" si="139"/>
        <v>990515.23676759191</v>
      </c>
      <c r="R151" s="2">
        <f t="shared" ca="1" si="140"/>
        <v>23772365.682422206</v>
      </c>
      <c r="S151" s="2">
        <f t="shared" ca="1" si="141"/>
        <v>15848243.788281471</v>
      </c>
      <c r="T151" s="2">
        <f t="shared" ca="1" si="142"/>
        <v>50652739.210751407</v>
      </c>
      <c r="U151" s="2">
        <f t="shared" ca="1" si="143"/>
        <v>50693953.677895233</v>
      </c>
      <c r="V151" s="2">
        <f t="shared" ca="1" si="144"/>
        <v>50735201.67989479</v>
      </c>
      <c r="W151" s="2">
        <f t="shared" ca="1" si="145"/>
        <v>50776483.244036287</v>
      </c>
      <c r="X151" s="2">
        <f t="shared" ca="1" si="146"/>
        <v>50817798.397628136</v>
      </c>
      <c r="Y151" s="2">
        <f t="shared" ca="1" si="147"/>
        <v>0.12449566124295409</v>
      </c>
      <c r="Z151" s="2">
        <f t="shared" ca="1" si="148"/>
        <v>0.12629392574013573</v>
      </c>
      <c r="AA151" s="2">
        <f t="shared" ca="1" si="149"/>
        <v>6306046.2618094049</v>
      </c>
      <c r="AB151" s="2">
        <f t="shared" ca="1" si="150"/>
        <v>6402338.4212699812</v>
      </c>
      <c r="AC151" s="2">
        <f t="shared" ca="1" si="151"/>
        <v>6407547.7933714427</v>
      </c>
      <c r="AD151" s="2">
        <f t="shared" ca="1" si="152"/>
        <v>6412761.4041675655</v>
      </c>
      <c r="AE151" s="2">
        <f t="shared" ca="1" si="153"/>
        <v>6417979.2571072364</v>
      </c>
      <c r="AF151" s="2">
        <f t="shared" ca="1" si="154"/>
        <v>1013054.7842150282</v>
      </c>
      <c r="AG151" s="2">
        <f t="shared" ca="1" si="155"/>
        <v>1013879.0735579047</v>
      </c>
      <c r="AH151" s="2">
        <f t="shared" ca="1" si="156"/>
        <v>1014704.0335978959</v>
      </c>
      <c r="AI151" s="2">
        <f t="shared" ca="1" si="157"/>
        <v>1015529.6648807258</v>
      </c>
      <c r="AJ151" s="2">
        <f t="shared" ca="1" si="158"/>
        <v>1016355.9679525627</v>
      </c>
      <c r="AK151" s="2">
        <f t="shared" ca="1" si="159"/>
        <v>0</v>
      </c>
      <c r="AL151" s="2">
        <f t="shared" ca="1" si="160"/>
        <v>412.14467143826187</v>
      </c>
      <c r="AM151" s="2">
        <f t="shared" ca="1" si="161"/>
        <v>412.48001999557022</v>
      </c>
      <c r="AN151" s="2">
        <f t="shared" ca="1" si="162"/>
        <v>412.81564141497017</v>
      </c>
      <c r="AO151" s="2">
        <f t="shared" ca="1" si="163"/>
        <v>413.15153591848912</v>
      </c>
      <c r="AP151" s="2">
        <f t="shared" ca="1" si="164"/>
        <v>2139512.9114179984</v>
      </c>
      <c r="AQ151" s="2">
        <f t="shared" ca="1" si="165"/>
        <v>819904.4272058584</v>
      </c>
      <c r="AR151" s="2">
        <f t="shared" ca="1" si="166"/>
        <v>844726.07343646022</v>
      </c>
      <c r="AS151" s="2">
        <f t="shared" ca="1" si="167"/>
        <v>845866.02057244268</v>
      </c>
      <c r="AT151" s="2">
        <f t="shared" ca="1" si="168"/>
        <v>847006.89524589886</v>
      </c>
      <c r="AU151" s="2">
        <f t="shared" ca="1" si="169"/>
        <v>848148.6982115357</v>
      </c>
      <c r="AV151" s="2">
        <f t="shared" ca="1" si="170"/>
        <v>2333574.1389705194</v>
      </c>
      <c r="AW151" s="2">
        <f t="shared" ca="1" si="171"/>
        <v>2403808.2181861792</v>
      </c>
      <c r="AX151" s="2">
        <f t="shared" ca="1" si="172"/>
        <v>2407052.34776311</v>
      </c>
      <c r="AY151" s="2">
        <f t="shared" ca="1" si="173"/>
        <v>2410299.1169815278</v>
      </c>
      <c r="AZ151" s="2">
        <f t="shared" ca="1" si="174"/>
        <v>2413548.5279892208</v>
      </c>
      <c r="BA151" s="2">
        <f t="shared" ca="1" si="175"/>
        <v>43930657.424776934</v>
      </c>
      <c r="BB151" s="2">
        <f t="shared" ca="1" si="176"/>
        <v>878613.14849553874</v>
      </c>
      <c r="BC151" s="2">
        <f t="shared" ca="1" si="177"/>
        <v>19279678.593859188</v>
      </c>
      <c r="BD151" s="2">
        <f t="shared" ca="1" si="178"/>
        <v>-17338759.025049061</v>
      </c>
      <c r="BE151" s="2">
        <f t="shared" ca="1" si="179"/>
        <v>2333574.1389705194</v>
      </c>
      <c r="BF151" s="2">
        <f t="shared" ca="1" si="180"/>
        <v>2403808.2181861792</v>
      </c>
      <c r="BG151" s="2">
        <f t="shared" ca="1" si="181"/>
        <v>2407052.34776311</v>
      </c>
      <c r="BH151" s="2">
        <f t="shared" ca="1" si="182"/>
        <v>2410299.1169815278</v>
      </c>
      <c r="BI151" s="2">
        <f t="shared" ca="1" si="183"/>
        <v>21693227.121848408</v>
      </c>
      <c r="BJ151" s="2">
        <f t="shared" ca="1" si="184"/>
        <v>0.154227503217925</v>
      </c>
      <c r="BK151" s="2">
        <f t="shared" ca="1" si="185"/>
        <v>2215491.1435978413</v>
      </c>
    </row>
    <row r="152" spans="1:63" x14ac:dyDescent="0.3">
      <c r="A152" s="2">
        <v>151</v>
      </c>
      <c r="B152" s="2">
        <f t="shared" ca="1" si="124"/>
        <v>0.61463742403320398</v>
      </c>
      <c r="C152" s="2">
        <f t="shared" ca="1" si="125"/>
        <v>7.1220904648350194</v>
      </c>
      <c r="D152" s="2">
        <f t="shared" ca="1" si="126"/>
        <v>0.81860397995943657</v>
      </c>
      <c r="E152" s="2">
        <f t="shared" ca="1" si="127"/>
        <v>7.8976777938004226</v>
      </c>
      <c r="F152" s="2">
        <f t="shared" ca="1" si="128"/>
        <v>0.91179857649897877</v>
      </c>
      <c r="G152" s="2">
        <f t="shared" ca="1" si="129"/>
        <v>8.0557418253701607E-2</v>
      </c>
      <c r="H152" s="2">
        <f t="shared" ca="1" si="130"/>
        <v>8.0557418253701607E-2</v>
      </c>
      <c r="I152" s="2">
        <f t="shared" ca="1" si="131"/>
        <v>0.20729557892280281</v>
      </c>
      <c r="J152" s="2">
        <f t="shared" ca="1" si="132"/>
        <v>5.9207956783607968E-3</v>
      </c>
      <c r="K152" s="2">
        <f t="shared" ca="1" si="133"/>
        <v>5.9207956783607968E-3</v>
      </c>
      <c r="L152" s="2">
        <f t="shared" ca="1" si="134"/>
        <v>0.62858315766105832</v>
      </c>
      <c r="M152" s="2">
        <f t="shared" ca="1" si="135"/>
        <v>6.5620626742092349E-3</v>
      </c>
      <c r="N152" s="2">
        <f t="shared" ca="1" si="136"/>
        <v>6.5620626742092349E-3</v>
      </c>
      <c r="O152" s="2">
        <f t="shared" si="137"/>
        <v>6000000</v>
      </c>
      <c r="P152" s="2">
        <f t="shared" ca="1" si="138"/>
        <v>42732542.789010115</v>
      </c>
      <c r="Q152" s="2">
        <f t="shared" ca="1" si="139"/>
        <v>1068313.5697252529</v>
      </c>
      <c r="R152" s="2">
        <f t="shared" ca="1" si="140"/>
        <v>25639525.673406068</v>
      </c>
      <c r="S152" s="2">
        <f t="shared" ca="1" si="141"/>
        <v>17093017.115604047</v>
      </c>
      <c r="T152" s="2">
        <f t="shared" ca="1" si="142"/>
        <v>50328103.133710466</v>
      </c>
      <c r="U152" s="2">
        <f t="shared" ca="1" si="143"/>
        <v>54382405.187768213</v>
      </c>
      <c r="V152" s="2">
        <f t="shared" ca="1" si="144"/>
        <v>58763311.348121531</v>
      </c>
      <c r="W152" s="2">
        <f t="shared" ca="1" si="145"/>
        <v>63497131.99836465</v>
      </c>
      <c r="X152" s="2">
        <f t="shared" ca="1" si="146"/>
        <v>68612297.018667415</v>
      </c>
      <c r="Y152" s="2">
        <f t="shared" ca="1" si="147"/>
        <v>0.12296039783918039</v>
      </c>
      <c r="Z152" s="2">
        <f t="shared" ca="1" si="148"/>
        <v>0.12414455697485255</v>
      </c>
      <c r="AA152" s="2">
        <f t="shared" ca="1" si="149"/>
        <v>6188363.5838123402</v>
      </c>
      <c r="AB152" s="2">
        <f t="shared" ca="1" si="150"/>
        <v>6751279.599262408</v>
      </c>
      <c r="AC152" s="2">
        <f t="shared" ca="1" si="151"/>
        <v>7295145.2536878726</v>
      </c>
      <c r="AD152" s="2">
        <f t="shared" ca="1" si="152"/>
        <v>7882823.3211107133</v>
      </c>
      <c r="AE152" s="2">
        <f t="shared" ca="1" si="153"/>
        <v>8517843.2164094634</v>
      </c>
      <c r="AF152" s="2">
        <f t="shared" ca="1" si="154"/>
        <v>1006562.0626742094</v>
      </c>
      <c r="AG152" s="2">
        <f t="shared" ca="1" si="155"/>
        <v>1087648.1037553642</v>
      </c>
      <c r="AH152" s="2">
        <f t="shared" ca="1" si="156"/>
        <v>1175266.2269624306</v>
      </c>
      <c r="AI152" s="2">
        <f t="shared" ca="1" si="157"/>
        <v>1269942.639967293</v>
      </c>
      <c r="AJ152" s="2">
        <f t="shared" ca="1" si="158"/>
        <v>1372245.9403733483</v>
      </c>
      <c r="AK152" s="2">
        <f t="shared" ca="1" si="159"/>
        <v>0</v>
      </c>
      <c r="AL152" s="2">
        <f t="shared" ca="1" si="160"/>
        <v>40543.020540577469</v>
      </c>
      <c r="AM152" s="2">
        <f t="shared" ca="1" si="161"/>
        <v>43809.061603533177</v>
      </c>
      <c r="AN152" s="2">
        <f t="shared" ca="1" si="162"/>
        <v>47338.206502431181</v>
      </c>
      <c r="AO152" s="2">
        <f t="shared" ca="1" si="163"/>
        <v>51151.650203027653</v>
      </c>
      <c r="AP152" s="2">
        <f t="shared" ca="1" si="164"/>
        <v>2307557.3106065462</v>
      </c>
      <c r="AQ152" s="2">
        <f t="shared" ca="1" si="165"/>
        <v>747303.49473821197</v>
      </c>
      <c r="AR152" s="2">
        <f t="shared" ca="1" si="166"/>
        <v>872579.28807412938</v>
      </c>
      <c r="AS152" s="2">
        <f t="shared" ca="1" si="167"/>
        <v>991203.64619091293</v>
      </c>
      <c r="AT152" s="2">
        <f t="shared" ca="1" si="168"/>
        <v>1119384.0763395871</v>
      </c>
      <c r="AU152" s="2">
        <f t="shared" ca="1" si="169"/>
        <v>1257890.3910116879</v>
      </c>
      <c r="AV152" s="2">
        <f t="shared" ca="1" si="170"/>
        <v>2126940.7157933726</v>
      </c>
      <c r="AW152" s="2">
        <f t="shared" ca="1" si="171"/>
        <v>2442951.8762857909</v>
      </c>
      <c r="AX152" s="2">
        <f t="shared" ca="1" si="172"/>
        <v>2777309.0083244503</v>
      </c>
      <c r="AY152" s="2">
        <f t="shared" ca="1" si="173"/>
        <v>3138601.0876948559</v>
      </c>
      <c r="AZ152" s="2">
        <f t="shared" ca="1" si="174"/>
        <v>3528997.9242148534</v>
      </c>
      <c r="BA152" s="2">
        <f t="shared" ca="1" si="175"/>
        <v>67271181.221310586</v>
      </c>
      <c r="BB152" s="2">
        <f t="shared" ca="1" si="176"/>
        <v>1345423.6244262117</v>
      </c>
      <c r="BC152" s="2">
        <f t="shared" ca="1" si="177"/>
        <v>40286231.923478313</v>
      </c>
      <c r="BD152" s="2">
        <f t="shared" ca="1" si="178"/>
        <v>-18661330.685329299</v>
      </c>
      <c r="BE152" s="2">
        <f t="shared" ca="1" si="179"/>
        <v>2126940.7157933726</v>
      </c>
      <c r="BF152" s="2">
        <f t="shared" ca="1" si="180"/>
        <v>2442951.8762857909</v>
      </c>
      <c r="BG152" s="2">
        <f t="shared" ca="1" si="181"/>
        <v>2777309.0083244503</v>
      </c>
      <c r="BH152" s="2">
        <f t="shared" ca="1" si="182"/>
        <v>3138601.0876948559</v>
      </c>
      <c r="BI152" s="2">
        <f t="shared" ca="1" si="183"/>
        <v>43815229.847693168</v>
      </c>
      <c r="BJ152" s="2">
        <f t="shared" ca="1" si="184"/>
        <v>0.27567024524143147</v>
      </c>
      <c r="BK152" s="2">
        <f t="shared" ca="1" si="185"/>
        <v>14018639.335522298</v>
      </c>
    </row>
    <row r="153" spans="1:63" x14ac:dyDescent="0.3">
      <c r="A153" s="2">
        <v>152</v>
      </c>
      <c r="B153" s="2">
        <f t="shared" ca="1" si="124"/>
        <v>0.60305831859487968</v>
      </c>
      <c r="C153" s="2">
        <f t="shared" ca="1" si="125"/>
        <v>7.1089986740693139</v>
      </c>
      <c r="D153" s="2">
        <f t="shared" ca="1" si="126"/>
        <v>0.56850278539436094</v>
      </c>
      <c r="E153" s="2">
        <f t="shared" ca="1" si="127"/>
        <v>7.5710250653482207</v>
      </c>
      <c r="F153" s="2">
        <f t="shared" ca="1" si="128"/>
        <v>0.54021873575865986</v>
      </c>
      <c r="G153" s="2">
        <f t="shared" ca="1" si="129"/>
        <v>4.3029543918692938E-2</v>
      </c>
      <c r="H153" s="2">
        <f t="shared" ca="1" si="130"/>
        <v>4.3029543918692938E-2</v>
      </c>
      <c r="I153" s="2">
        <f t="shared" ca="1" si="131"/>
        <v>0.32699699150388373</v>
      </c>
      <c r="J153" s="2">
        <f t="shared" ca="1" si="132"/>
        <v>7.7588969025305264E-3</v>
      </c>
      <c r="K153" s="2">
        <f t="shared" ca="1" si="133"/>
        <v>7.7588969025305264E-3</v>
      </c>
      <c r="L153" s="2">
        <f t="shared" ca="1" si="134"/>
        <v>0.19609110853399181</v>
      </c>
      <c r="M153" s="2">
        <f t="shared" ca="1" si="135"/>
        <v>-1.7113332099873448E-2</v>
      </c>
      <c r="N153" s="2">
        <f t="shared" ca="1" si="136"/>
        <v>-1.7113332099873448E-2</v>
      </c>
      <c r="O153" s="2">
        <f t="shared" si="137"/>
        <v>6000000</v>
      </c>
      <c r="P153" s="2">
        <f t="shared" ca="1" si="138"/>
        <v>42653992.044415884</v>
      </c>
      <c r="Q153" s="2">
        <f t="shared" ca="1" si="139"/>
        <v>1066349.8011103971</v>
      </c>
      <c r="R153" s="2">
        <f t="shared" ca="1" si="140"/>
        <v>25592395.22664953</v>
      </c>
      <c r="S153" s="2">
        <f t="shared" ca="1" si="141"/>
        <v>17061596.817766353</v>
      </c>
      <c r="T153" s="2">
        <f t="shared" ca="1" si="142"/>
        <v>49144333.395006329</v>
      </c>
      <c r="U153" s="2">
        <f t="shared" ca="1" si="143"/>
        <v>51258991.647181645</v>
      </c>
      <c r="V153" s="2">
        <f t="shared" ca="1" si="144"/>
        <v>53464642.67949196</v>
      </c>
      <c r="W153" s="2">
        <f t="shared" ca="1" si="145"/>
        <v>55765201.869766384</v>
      </c>
      <c r="X153" s="2">
        <f t="shared" ca="1" si="146"/>
        <v>58164753.072756276</v>
      </c>
      <c r="Y153" s="2">
        <f t="shared" ca="1" si="147"/>
        <v>0.12387944845126526</v>
      </c>
      <c r="Z153" s="2">
        <f t="shared" ca="1" si="148"/>
        <v>0.12543122783177135</v>
      </c>
      <c r="AA153" s="2">
        <f t="shared" ca="1" si="149"/>
        <v>6087972.915478481</v>
      </c>
      <c r="AB153" s="2">
        <f t="shared" ca="1" si="150"/>
        <v>6429478.2597245052</v>
      </c>
      <c r="AC153" s="2">
        <f t="shared" ca="1" si="151"/>
        <v>6706135.7768756021</v>
      </c>
      <c r="AD153" s="2">
        <f t="shared" ca="1" si="152"/>
        <v>6994697.7408113889</v>
      </c>
      <c r="AE153" s="2">
        <f t="shared" ca="1" si="153"/>
        <v>7295676.3944476154</v>
      </c>
      <c r="AF153" s="2">
        <f t="shared" ca="1" si="154"/>
        <v>982886.66790012654</v>
      </c>
      <c r="AG153" s="2">
        <f t="shared" ca="1" si="155"/>
        <v>1025179.832943633</v>
      </c>
      <c r="AH153" s="2">
        <f t="shared" ca="1" si="156"/>
        <v>1069292.8535898393</v>
      </c>
      <c r="AI153" s="2">
        <f t="shared" ca="1" si="157"/>
        <v>1115304.0373953278</v>
      </c>
      <c r="AJ153" s="2">
        <f t="shared" ca="1" si="158"/>
        <v>1163295.0614551255</v>
      </c>
      <c r="AK153" s="2">
        <f t="shared" ca="1" si="159"/>
        <v>0</v>
      </c>
      <c r="AL153" s="2">
        <f t="shared" ca="1" si="160"/>
        <v>21146.582521753164</v>
      </c>
      <c r="AM153" s="2">
        <f t="shared" ca="1" si="161"/>
        <v>22056.510323103146</v>
      </c>
      <c r="AN153" s="2">
        <f t="shared" ca="1" si="162"/>
        <v>23005.591902744251</v>
      </c>
      <c r="AO153" s="2">
        <f t="shared" ca="1" si="163"/>
        <v>23995.512029898913</v>
      </c>
      <c r="AP153" s="2">
        <f t="shared" ca="1" si="164"/>
        <v>2303315.5703984578</v>
      </c>
      <c r="AQ153" s="2">
        <f t="shared" ca="1" si="165"/>
        <v>728460.3760667732</v>
      </c>
      <c r="AR153" s="2">
        <f t="shared" ca="1" si="166"/>
        <v>806255.54265942774</v>
      </c>
      <c r="AS153" s="2">
        <f t="shared" ca="1" si="167"/>
        <v>866717.11175069935</v>
      </c>
      <c r="AT153" s="2">
        <f t="shared" ca="1" si="168"/>
        <v>929780.31458457676</v>
      </c>
      <c r="AU153" s="2">
        <f t="shared" ca="1" si="169"/>
        <v>995557.09827444854</v>
      </c>
      <c r="AV153" s="2">
        <f t="shared" ca="1" si="170"/>
        <v>2073310.3011131235</v>
      </c>
      <c r="AW153" s="2">
        <f t="shared" ca="1" si="171"/>
        <v>2273580.7312012329</v>
      </c>
      <c r="AX153" s="2">
        <f t="shared" ca="1" si="172"/>
        <v>2444753.7308135019</v>
      </c>
      <c r="AY153" s="2">
        <f t="shared" ca="1" si="173"/>
        <v>2623292.2265302823</v>
      </c>
      <c r="AZ153" s="2">
        <f t="shared" ca="1" si="174"/>
        <v>2809513.1522896844</v>
      </c>
      <c r="BA153" s="2">
        <f t="shared" ca="1" si="175"/>
        <v>55235748.851032227</v>
      </c>
      <c r="BB153" s="2">
        <f t="shared" ca="1" si="176"/>
        <v>1104714.9770206446</v>
      </c>
      <c r="BC153" s="2">
        <f t="shared" ca="1" si="177"/>
        <v>28538638.647362053</v>
      </c>
      <c r="BD153" s="2">
        <f t="shared" ca="1" si="178"/>
        <v>-18627946.618876752</v>
      </c>
      <c r="BE153" s="2">
        <f t="shared" ca="1" si="179"/>
        <v>2073310.3011131235</v>
      </c>
      <c r="BF153" s="2">
        <f t="shared" ca="1" si="180"/>
        <v>2273580.7312012329</v>
      </c>
      <c r="BG153" s="2">
        <f t="shared" ca="1" si="181"/>
        <v>2444753.7308135019</v>
      </c>
      <c r="BH153" s="2">
        <f t="shared" ca="1" si="182"/>
        <v>2623292.2265302823</v>
      </c>
      <c r="BI153" s="2">
        <f t="shared" ca="1" si="183"/>
        <v>31348151.799651738</v>
      </c>
      <c r="BJ153" s="2">
        <f t="shared" ca="1" si="184"/>
        <v>0.19932760767674274</v>
      </c>
      <c r="BK153" s="2">
        <f t="shared" ca="1" si="185"/>
        <v>6230768.1913887709</v>
      </c>
    </row>
    <row r="154" spans="1:63" x14ac:dyDescent="0.3">
      <c r="A154" s="2">
        <v>153</v>
      </c>
      <c r="B154" s="2">
        <f t="shared" ca="1" si="124"/>
        <v>0.38709810789888366</v>
      </c>
      <c r="C154" s="2">
        <f t="shared" ca="1" si="125"/>
        <v>6.8798842059031218</v>
      </c>
      <c r="D154" s="2">
        <f t="shared" ca="1" si="126"/>
        <v>0.78784263177565295</v>
      </c>
      <c r="E154" s="2">
        <f t="shared" ca="1" si="127"/>
        <v>7.8486055446592333</v>
      </c>
      <c r="F154" s="2">
        <f t="shared" ca="1" si="128"/>
        <v>0.8081185582515511</v>
      </c>
      <c r="G154" s="2">
        <f t="shared" ca="1" si="129"/>
        <v>6.6129520322404059E-2</v>
      </c>
      <c r="H154" s="2">
        <f t="shared" ca="1" si="130"/>
        <v>6.6129520322404059E-2</v>
      </c>
      <c r="I154" s="2">
        <f t="shared" ca="1" si="131"/>
        <v>0.30161895647898795</v>
      </c>
      <c r="J154" s="2">
        <f t="shared" ca="1" si="132"/>
        <v>7.4012505758555992E-3</v>
      </c>
      <c r="K154" s="2">
        <f t="shared" ca="1" si="133"/>
        <v>7.4012505758555992E-3</v>
      </c>
      <c r="L154" s="2">
        <f t="shared" ca="1" si="134"/>
        <v>0.63049641891530306</v>
      </c>
      <c r="M154" s="2">
        <f t="shared" ca="1" si="135"/>
        <v>6.663368205694512E-3</v>
      </c>
      <c r="N154" s="2">
        <f t="shared" ca="1" si="136"/>
        <v>6.663368205694512E-3</v>
      </c>
      <c r="O154" s="2">
        <f t="shared" si="137"/>
        <v>6000000</v>
      </c>
      <c r="P154" s="2">
        <f t="shared" ca="1" si="138"/>
        <v>41279305.235418729</v>
      </c>
      <c r="Q154" s="2">
        <f t="shared" ca="1" si="139"/>
        <v>1031982.6308854683</v>
      </c>
      <c r="R154" s="2">
        <f t="shared" ca="1" si="140"/>
        <v>24767583.141251236</v>
      </c>
      <c r="S154" s="2">
        <f t="shared" ca="1" si="141"/>
        <v>16511722.094167493</v>
      </c>
      <c r="T154" s="2">
        <f t="shared" ca="1" si="142"/>
        <v>50333168.41028472</v>
      </c>
      <c r="U154" s="2">
        <f t="shared" ca="1" si="143"/>
        <v>53661676.693563633</v>
      </c>
      <c r="V154" s="2">
        <f t="shared" ca="1" si="144"/>
        <v>57210297.633004934</v>
      </c>
      <c r="W154" s="2">
        <f t="shared" ca="1" si="145"/>
        <v>60993587.172977522</v>
      </c>
      <c r="X154" s="2">
        <f t="shared" ca="1" si="146"/>
        <v>65027063.835469268</v>
      </c>
      <c r="Y154" s="2">
        <f t="shared" ca="1" si="147"/>
        <v>0.1237006252879278</v>
      </c>
      <c r="Z154" s="2">
        <f t="shared" ca="1" si="148"/>
        <v>0.12518087540309891</v>
      </c>
      <c r="AA154" s="2">
        <f t="shared" ca="1" si="149"/>
        <v>6226244.4050747948</v>
      </c>
      <c r="AB154" s="2">
        <f t="shared" ca="1" si="150"/>
        <v>6717415.6640983662</v>
      </c>
      <c r="AC154" s="2">
        <f t="shared" ca="1" si="151"/>
        <v>7161635.1397713954</v>
      </c>
      <c r="AD154" s="2">
        <f t="shared" ca="1" si="152"/>
        <v>7635230.6362885516</v>
      </c>
      <c r="AE154" s="2">
        <f t="shared" ca="1" si="153"/>
        <v>8140144.7758172378</v>
      </c>
      <c r="AF154" s="2">
        <f t="shared" ca="1" si="154"/>
        <v>1006663.3682056945</v>
      </c>
      <c r="AG154" s="2">
        <f t="shared" ca="1" si="155"/>
        <v>1073233.5338712726</v>
      </c>
      <c r="AH154" s="2">
        <f t="shared" ca="1" si="156"/>
        <v>1144205.9526600987</v>
      </c>
      <c r="AI154" s="2">
        <f t="shared" ca="1" si="157"/>
        <v>1219871.7434595504</v>
      </c>
      <c r="AJ154" s="2">
        <f t="shared" ca="1" si="158"/>
        <v>1300541.2767093854</v>
      </c>
      <c r="AK154" s="2">
        <f t="shared" ca="1" si="159"/>
        <v>0</v>
      </c>
      <c r="AL154" s="2">
        <f t="shared" ca="1" si="160"/>
        <v>33285.082832789121</v>
      </c>
      <c r="AM154" s="2">
        <f t="shared" ca="1" si="161"/>
        <v>35486.20939441301</v>
      </c>
      <c r="AN154" s="2">
        <f t="shared" ca="1" si="162"/>
        <v>37832.895399725887</v>
      </c>
      <c r="AO154" s="2">
        <f t="shared" ca="1" si="163"/>
        <v>40334.766624917465</v>
      </c>
      <c r="AP154" s="2">
        <f t="shared" ca="1" si="164"/>
        <v>2229082.4827126111</v>
      </c>
      <c r="AQ154" s="2">
        <f t="shared" ca="1" si="165"/>
        <v>777529.62408068718</v>
      </c>
      <c r="AR154" s="2">
        <f t="shared" ca="1" si="166"/>
        <v>887925.9083537655</v>
      </c>
      <c r="AS154" s="2">
        <f t="shared" ca="1" si="167"/>
        <v>984970.14314365829</v>
      </c>
      <c r="AT154" s="2">
        <f t="shared" ca="1" si="168"/>
        <v>1088431.8666302613</v>
      </c>
      <c r="AU154" s="2">
        <f t="shared" ca="1" si="169"/>
        <v>1198735.4642627628</v>
      </c>
      <c r="AV154" s="2">
        <f t="shared" ca="1" si="170"/>
        <v>2212968.9300758024</v>
      </c>
      <c r="AW154" s="2">
        <f t="shared" ca="1" si="171"/>
        <v>2493888.656327928</v>
      </c>
      <c r="AX154" s="2">
        <f t="shared" ca="1" si="172"/>
        <v>2767890.351860614</v>
      </c>
      <c r="AY154" s="2">
        <f t="shared" ca="1" si="173"/>
        <v>3060011.648086403</v>
      </c>
      <c r="AZ154" s="2">
        <f t="shared" ca="1" si="174"/>
        <v>3371450.7855075612</v>
      </c>
      <c r="BA154" s="2">
        <f t="shared" ca="1" si="175"/>
        <v>63888785.421808064</v>
      </c>
      <c r="BB154" s="2">
        <f t="shared" ca="1" si="176"/>
        <v>1277775.7084361613</v>
      </c>
      <c r="BC154" s="2">
        <f t="shared" ca="1" si="177"/>
        <v>37843426.572120667</v>
      </c>
      <c r="BD154" s="2">
        <f t="shared" ca="1" si="178"/>
        <v>-18043704.72505296</v>
      </c>
      <c r="BE154" s="2">
        <f t="shared" ca="1" si="179"/>
        <v>2212968.9300758024</v>
      </c>
      <c r="BF154" s="2">
        <f t="shared" ca="1" si="180"/>
        <v>2493888.656327928</v>
      </c>
      <c r="BG154" s="2">
        <f t="shared" ca="1" si="181"/>
        <v>2767890.351860614</v>
      </c>
      <c r="BH154" s="2">
        <f t="shared" ca="1" si="182"/>
        <v>3060011.648086403</v>
      </c>
      <c r="BI154" s="2">
        <f t="shared" ca="1" si="183"/>
        <v>41214877.357628226</v>
      </c>
      <c r="BJ154" s="2">
        <f t="shared" ca="1" si="184"/>
        <v>0.27417393759811448</v>
      </c>
      <c r="BK154" s="2">
        <f t="shared" ca="1" si="185"/>
        <v>13221523.830127355</v>
      </c>
    </row>
    <row r="155" spans="1:63" x14ac:dyDescent="0.3">
      <c r="A155" s="2">
        <v>154</v>
      </c>
      <c r="B155" s="2">
        <f t="shared" ca="1" si="124"/>
        <v>0.98729137137983602</v>
      </c>
      <c r="C155" s="2">
        <f t="shared" ca="1" si="125"/>
        <v>7.8405720939097296</v>
      </c>
      <c r="D155" s="2">
        <f t="shared" ca="1" si="126"/>
        <v>0.13882493824674191</v>
      </c>
      <c r="E155" s="2">
        <f t="shared" ca="1" si="127"/>
        <v>7.0269249249119685</v>
      </c>
      <c r="F155" s="2">
        <f t="shared" ca="1" si="128"/>
        <v>0.94657840387155168</v>
      </c>
      <c r="G155" s="2">
        <f t="shared" ca="1" si="129"/>
        <v>8.8376378092617905E-2</v>
      </c>
      <c r="H155" s="2">
        <f t="shared" ca="1" si="130"/>
        <v>8.8376378092617905E-2</v>
      </c>
      <c r="I155" s="2">
        <f t="shared" ca="1" si="131"/>
        <v>0.98082924387678061</v>
      </c>
      <c r="J155" s="2">
        <f t="shared" ca="1" si="132"/>
        <v>2.0355924923952461E-2</v>
      </c>
      <c r="K155" s="2">
        <f t="shared" ca="1" si="133"/>
        <v>2.0355924923952461E-2</v>
      </c>
      <c r="L155" s="2">
        <f t="shared" ca="1" si="134"/>
        <v>8.0668526263360296E-2</v>
      </c>
      <c r="M155" s="2">
        <f t="shared" ca="1" si="135"/>
        <v>-2.8011777306058909E-2</v>
      </c>
      <c r="N155" s="2">
        <f t="shared" ca="1" si="136"/>
        <v>-2.8011777306058909E-2</v>
      </c>
      <c r="O155" s="2">
        <f t="shared" si="137"/>
        <v>6000000</v>
      </c>
      <c r="P155" s="2">
        <f t="shared" ca="1" si="138"/>
        <v>47043432.563458376</v>
      </c>
      <c r="Q155" s="2">
        <f t="shared" ca="1" si="139"/>
        <v>1176085.8140864593</v>
      </c>
      <c r="R155" s="2">
        <f t="shared" ca="1" si="140"/>
        <v>28226059.538075026</v>
      </c>
      <c r="S155" s="2">
        <f t="shared" ca="1" si="141"/>
        <v>18817373.02538335</v>
      </c>
      <c r="T155" s="2">
        <f t="shared" ca="1" si="142"/>
        <v>48599411.134697057</v>
      </c>
      <c r="U155" s="2">
        <f t="shared" ca="1" si="143"/>
        <v>52894451.068215631</v>
      </c>
      <c r="V155" s="2">
        <f t="shared" ca="1" si="144"/>
        <v>57569071.074821733</v>
      </c>
      <c r="W155" s="2">
        <f t="shared" ca="1" si="145"/>
        <v>62656817.066570967</v>
      </c>
      <c r="X155" s="2">
        <f t="shared" ca="1" si="146"/>
        <v>68194199.62172623</v>
      </c>
      <c r="Y155" s="2">
        <f t="shared" ca="1" si="147"/>
        <v>0.13017796246197622</v>
      </c>
      <c r="Z155" s="2">
        <f t="shared" ca="1" si="148"/>
        <v>0.13424914744676672</v>
      </c>
      <c r="AA155" s="2">
        <f t="shared" ca="1" si="149"/>
        <v>6326572.3183667427</v>
      </c>
      <c r="AB155" s="2">
        <f t="shared" ca="1" si="150"/>
        <v>7101034.9605726674</v>
      </c>
      <c r="AC155" s="2">
        <f t="shared" ca="1" si="151"/>
        <v>7728598.7110971361</v>
      </c>
      <c r="AD155" s="2">
        <f t="shared" ca="1" si="152"/>
        <v>8411624.2729151752</v>
      </c>
      <c r="AE155" s="2">
        <f t="shared" ca="1" si="153"/>
        <v>9155013.1600313671</v>
      </c>
      <c r="AF155" s="2">
        <f t="shared" ca="1" si="154"/>
        <v>971988.22269394121</v>
      </c>
      <c r="AG155" s="2">
        <f t="shared" ca="1" si="155"/>
        <v>1057889.0213643126</v>
      </c>
      <c r="AH155" s="2">
        <f t="shared" ca="1" si="156"/>
        <v>1151381.4214964346</v>
      </c>
      <c r="AI155" s="2">
        <f t="shared" ca="1" si="157"/>
        <v>1253136.3413314193</v>
      </c>
      <c r="AJ155" s="2">
        <f t="shared" ca="1" si="158"/>
        <v>1363883.9924345247</v>
      </c>
      <c r="AK155" s="2">
        <f t="shared" ca="1" si="159"/>
        <v>0</v>
      </c>
      <c r="AL155" s="2">
        <f t="shared" ca="1" si="160"/>
        <v>42950.399335185735</v>
      </c>
      <c r="AM155" s="2">
        <f t="shared" ca="1" si="161"/>
        <v>46746.200066061021</v>
      </c>
      <c r="AN155" s="2">
        <f t="shared" ca="1" si="162"/>
        <v>50877.45991749235</v>
      </c>
      <c r="AO155" s="2">
        <f t="shared" ca="1" si="163"/>
        <v>55373.825551552625</v>
      </c>
      <c r="AP155" s="2">
        <f t="shared" ca="1" si="164"/>
        <v>2540345.358426752</v>
      </c>
      <c r="AQ155" s="2">
        <f t="shared" ca="1" si="165"/>
        <v>731702.07168397284</v>
      </c>
      <c r="AR155" s="2">
        <f t="shared" ca="1" si="166"/>
        <v>910728.15100321674</v>
      </c>
      <c r="AS155" s="2">
        <f t="shared" ca="1" si="167"/>
        <v>1049586.7021052269</v>
      </c>
      <c r="AT155" s="2">
        <f t="shared" ca="1" si="168"/>
        <v>1200717.0690208208</v>
      </c>
      <c r="AU155" s="2">
        <f t="shared" ca="1" si="169"/>
        <v>1365203.7903842235</v>
      </c>
      <c r="AV155" s="2">
        <f t="shared" ca="1" si="170"/>
        <v>2082536.665562076</v>
      </c>
      <c r="AW155" s="2">
        <f t="shared" ca="1" si="171"/>
        <v>2549122.0304432004</v>
      </c>
      <c r="AX155" s="2">
        <f t="shared" ca="1" si="172"/>
        <v>2940539.0290026623</v>
      </c>
      <c r="AY155" s="2">
        <f t="shared" ca="1" si="173"/>
        <v>3366548.0442186906</v>
      </c>
      <c r="AZ155" s="2">
        <f t="shared" ca="1" si="174"/>
        <v>3830206.1932343137</v>
      </c>
      <c r="BA155" s="2">
        <f t="shared" ca="1" si="175"/>
        <v>64331590.162121497</v>
      </c>
      <c r="BB155" s="2">
        <f t="shared" ca="1" si="176"/>
        <v>1286631.8032424299</v>
      </c>
      <c r="BC155" s="2">
        <f t="shared" ca="1" si="177"/>
        <v>34818898.820804045</v>
      </c>
      <c r="BD155" s="2">
        <f t="shared" ca="1" si="178"/>
        <v>-20493458.839469809</v>
      </c>
      <c r="BE155" s="2">
        <f t="shared" ca="1" si="179"/>
        <v>2082536.665562076</v>
      </c>
      <c r="BF155" s="2">
        <f t="shared" ca="1" si="180"/>
        <v>2549122.0304432004</v>
      </c>
      <c r="BG155" s="2">
        <f t="shared" ca="1" si="181"/>
        <v>2940539.0290026623</v>
      </c>
      <c r="BH155" s="2">
        <f t="shared" ca="1" si="182"/>
        <v>3366548.0442186906</v>
      </c>
      <c r="BI155" s="2">
        <f t="shared" ca="1" si="183"/>
        <v>38649105.014038362</v>
      </c>
      <c r="BJ155" s="2">
        <f t="shared" ca="1" si="184"/>
        <v>0.22515081253222413</v>
      </c>
      <c r="BK155" s="2">
        <f t="shared" ca="1" si="185"/>
        <v>9561153.2505805902</v>
      </c>
    </row>
    <row r="156" spans="1:63" x14ac:dyDescent="0.3">
      <c r="A156" s="2">
        <v>155</v>
      </c>
      <c r="B156" s="2">
        <f t="shared" ca="1" si="124"/>
        <v>0.76162801319427531</v>
      </c>
      <c r="C156" s="2">
        <f t="shared" ca="1" si="125"/>
        <v>7.3095335101458945</v>
      </c>
      <c r="D156" s="2">
        <f t="shared" ca="1" si="126"/>
        <v>0.87608334994492798</v>
      </c>
      <c r="E156" s="2">
        <f t="shared" ca="1" si="127"/>
        <v>8.0021714149326666</v>
      </c>
      <c r="F156" s="2">
        <f t="shared" ca="1" si="128"/>
        <v>0.36214730769402814</v>
      </c>
      <c r="G156" s="2">
        <f t="shared" ca="1" si="129"/>
        <v>2.941825000691678E-2</v>
      </c>
      <c r="H156" s="2">
        <f t="shared" ca="1" si="130"/>
        <v>2.941825000691678E-2</v>
      </c>
      <c r="I156" s="2">
        <f t="shared" ca="1" si="131"/>
        <v>0.33491688311332879</v>
      </c>
      <c r="J156" s="2">
        <f t="shared" ca="1" si="132"/>
        <v>7.8681191733751491E-3</v>
      </c>
      <c r="K156" s="2">
        <f t="shared" ca="1" si="133"/>
        <v>7.8681191733751491E-3</v>
      </c>
      <c r="L156" s="2">
        <f t="shared" ca="1" si="134"/>
        <v>0.50605320425586919</v>
      </c>
      <c r="M156" s="2">
        <f t="shared" ca="1" si="135"/>
        <v>3.034743037985875E-4</v>
      </c>
      <c r="N156" s="2">
        <f t="shared" ca="1" si="136"/>
        <v>3.034743037985875E-4</v>
      </c>
      <c r="O156" s="2">
        <f t="shared" si="137"/>
        <v>6000000</v>
      </c>
      <c r="P156" s="2">
        <f t="shared" ca="1" si="138"/>
        <v>43857201.060875364</v>
      </c>
      <c r="Q156" s="2">
        <f t="shared" ca="1" si="139"/>
        <v>1096430.0265218841</v>
      </c>
      <c r="R156" s="2">
        <f t="shared" ca="1" si="140"/>
        <v>26314320.636525217</v>
      </c>
      <c r="S156" s="2">
        <f t="shared" ca="1" si="141"/>
        <v>17542880.424350146</v>
      </c>
      <c r="T156" s="2">
        <f t="shared" ca="1" si="142"/>
        <v>50015173.715189934</v>
      </c>
      <c r="U156" s="2">
        <f t="shared" ca="1" si="143"/>
        <v>51486532.599682756</v>
      </c>
      <c r="V156" s="2">
        <f t="shared" ca="1" si="144"/>
        <v>53001176.287689485</v>
      </c>
      <c r="W156" s="2">
        <f t="shared" ca="1" si="145"/>
        <v>54560378.1423814</v>
      </c>
      <c r="X156" s="2">
        <f t="shared" ca="1" si="146"/>
        <v>56165448.987045884</v>
      </c>
      <c r="Y156" s="2">
        <f t="shared" ca="1" si="147"/>
        <v>0.12393405958668757</v>
      </c>
      <c r="Z156" s="2">
        <f t="shared" ca="1" si="148"/>
        <v>0.12550768342136259</v>
      </c>
      <c r="AA156" s="2">
        <f t="shared" ca="1" si="149"/>
        <v>6198583.5194568792</v>
      </c>
      <c r="AB156" s="2">
        <f t="shared" ca="1" si="150"/>
        <v>6461955.4339846484</v>
      </c>
      <c r="AC156" s="2">
        <f t="shared" ca="1" si="151"/>
        <v>6652054.854475162</v>
      </c>
      <c r="AD156" s="2">
        <f t="shared" ca="1" si="152"/>
        <v>6847746.6672438355</v>
      </c>
      <c r="AE156" s="2">
        <f t="shared" ca="1" si="153"/>
        <v>7049195.3906848449</v>
      </c>
      <c r="AF156" s="2">
        <f t="shared" ca="1" si="154"/>
        <v>1000303.4743037988</v>
      </c>
      <c r="AG156" s="2">
        <f t="shared" ca="1" si="155"/>
        <v>1029730.6519936551</v>
      </c>
      <c r="AH156" s="2">
        <f t="shared" ca="1" si="156"/>
        <v>1060023.5257537898</v>
      </c>
      <c r="AI156" s="2">
        <f t="shared" ca="1" si="157"/>
        <v>1091207.562847628</v>
      </c>
      <c r="AJ156" s="2">
        <f t="shared" ca="1" si="158"/>
        <v>1123308.9797409177</v>
      </c>
      <c r="AK156" s="2">
        <f t="shared" ca="1" si="159"/>
        <v>0</v>
      </c>
      <c r="AL156" s="2">
        <f t="shared" ca="1" si="160"/>
        <v>14713.588844928221</v>
      </c>
      <c r="AM156" s="2">
        <f t="shared" ca="1" si="161"/>
        <v>15146.436880067289</v>
      </c>
      <c r="AN156" s="2">
        <f t="shared" ca="1" si="162"/>
        <v>15592.018546919153</v>
      </c>
      <c r="AO156" s="2">
        <f t="shared" ca="1" si="163"/>
        <v>16050.708446644843</v>
      </c>
      <c r="AP156" s="2">
        <f t="shared" ca="1" si="164"/>
        <v>2368288.8572872696</v>
      </c>
      <c r="AQ156" s="2">
        <f t="shared" ca="1" si="165"/>
        <v>735797.70884511084</v>
      </c>
      <c r="AR156" s="2">
        <f t="shared" ca="1" si="166"/>
        <v>796623.34042296838</v>
      </c>
      <c r="AS156" s="2">
        <f t="shared" ca="1" si="167"/>
        <v>838173.04257286678</v>
      </c>
      <c r="AT156" s="2">
        <f t="shared" ca="1" si="168"/>
        <v>880945.06424832379</v>
      </c>
      <c r="AU156" s="2">
        <f t="shared" ca="1" si="169"/>
        <v>924975.363950731</v>
      </c>
      <c r="AV156" s="2">
        <f t="shared" ca="1" si="170"/>
        <v>2094193.4790207003</v>
      </c>
      <c r="AW156" s="2">
        <f t="shared" ca="1" si="171"/>
        <v>2252598.9954358279</v>
      </c>
      <c r="AX156" s="2">
        <f t="shared" ca="1" si="172"/>
        <v>2370422.9919811687</v>
      </c>
      <c r="AY156" s="2">
        <f t="shared" ca="1" si="173"/>
        <v>2491713.1643136949</v>
      </c>
      <c r="AZ156" s="2">
        <f t="shared" ca="1" si="174"/>
        <v>2616571.4812592813</v>
      </c>
      <c r="BA156" s="2">
        <f t="shared" ca="1" si="175"/>
        <v>56408869.853613377</v>
      </c>
      <c r="BB156" s="2">
        <f t="shared" ca="1" si="176"/>
        <v>1128177.3970722675</v>
      </c>
      <c r="BC156" s="2">
        <f t="shared" ca="1" si="177"/>
        <v>28966371.820015892</v>
      </c>
      <c r="BD156" s="2">
        <f t="shared" ca="1" si="178"/>
        <v>-19139310.45087203</v>
      </c>
      <c r="BE156" s="2">
        <f t="shared" ca="1" si="179"/>
        <v>2094193.4790207003</v>
      </c>
      <c r="BF156" s="2">
        <f t="shared" ca="1" si="180"/>
        <v>2252598.9954358279</v>
      </c>
      <c r="BG156" s="2">
        <f t="shared" ca="1" si="181"/>
        <v>2370422.9919811687</v>
      </c>
      <c r="BH156" s="2">
        <f t="shared" ca="1" si="182"/>
        <v>2491713.1643136949</v>
      </c>
      <c r="BI156" s="2">
        <f t="shared" ca="1" si="183"/>
        <v>31582943.301275175</v>
      </c>
      <c r="BJ156" s="2">
        <f t="shared" ca="1" si="184"/>
        <v>0.19141574660202787</v>
      </c>
      <c r="BK156" s="2">
        <f t="shared" ca="1" si="185"/>
        <v>5718022.5216924585</v>
      </c>
    </row>
    <row r="157" spans="1:63" x14ac:dyDescent="0.3">
      <c r="A157" s="2">
        <v>156</v>
      </c>
      <c r="B157" s="2">
        <f t="shared" ca="1" si="124"/>
        <v>0.44318707183744965</v>
      </c>
      <c r="C157" s="2">
        <f t="shared" ca="1" si="125"/>
        <v>6.9414744519501843</v>
      </c>
      <c r="D157" s="2">
        <f t="shared" ca="1" si="126"/>
        <v>0.40839916453863179</v>
      </c>
      <c r="E157" s="2">
        <f t="shared" ca="1" si="127"/>
        <v>7.403768957796883</v>
      </c>
      <c r="F157" s="2">
        <f t="shared" ca="1" si="128"/>
        <v>0.38056649004028353</v>
      </c>
      <c r="G157" s="2">
        <f t="shared" ca="1" si="129"/>
        <v>3.088020038932187E-2</v>
      </c>
      <c r="H157" s="2">
        <f t="shared" ca="1" si="130"/>
        <v>3.088020038932187E-2</v>
      </c>
      <c r="I157" s="2">
        <f t="shared" ca="1" si="131"/>
        <v>0.94668202124904155</v>
      </c>
      <c r="J157" s="2">
        <f t="shared" ca="1" si="132"/>
        <v>1.8067499211202848E-2</v>
      </c>
      <c r="K157" s="2">
        <f t="shared" ca="1" si="133"/>
        <v>1.8067499211202848E-2</v>
      </c>
      <c r="L157" s="2">
        <f t="shared" ca="1" si="134"/>
        <v>0.98562465413981237</v>
      </c>
      <c r="M157" s="2">
        <f t="shared" ca="1" si="135"/>
        <v>4.3737762585750808E-2</v>
      </c>
      <c r="N157" s="2">
        <f t="shared" ca="1" si="136"/>
        <v>4.3737762585750808E-2</v>
      </c>
      <c r="O157" s="2">
        <f t="shared" si="137"/>
        <v>6000000</v>
      </c>
      <c r="P157" s="2">
        <f t="shared" ca="1" si="138"/>
        <v>41648846.711701103</v>
      </c>
      <c r="Q157" s="2">
        <f t="shared" ca="1" si="139"/>
        <v>1041221.1677925276</v>
      </c>
      <c r="R157" s="2">
        <f t="shared" ca="1" si="140"/>
        <v>24989308.027020659</v>
      </c>
      <c r="S157" s="2">
        <f t="shared" ca="1" si="141"/>
        <v>16659538.684680441</v>
      </c>
      <c r="T157" s="2">
        <f t="shared" ca="1" si="142"/>
        <v>52186888.129287548</v>
      </c>
      <c r="U157" s="2">
        <f t="shared" ca="1" si="143"/>
        <v>53798429.692415066</v>
      </c>
      <c r="V157" s="2">
        <f t="shared" ca="1" si="144"/>
        <v>55459735.981947683</v>
      </c>
      <c r="W157" s="2">
        <f t="shared" ca="1" si="145"/>
        <v>57172343.742609106</v>
      </c>
      <c r="X157" s="2">
        <f t="shared" ca="1" si="146"/>
        <v>58937837.174108066</v>
      </c>
      <c r="Y157" s="2">
        <f t="shared" ca="1" si="147"/>
        <v>0.12903374960560143</v>
      </c>
      <c r="Z157" s="2">
        <f t="shared" ca="1" si="148"/>
        <v>0.13264724944784198</v>
      </c>
      <c r="AA157" s="2">
        <f t="shared" ca="1" si="149"/>
        <v>6733869.8555700229</v>
      </c>
      <c r="AB157" s="2">
        <f t="shared" ca="1" si="150"/>
        <v>7136213.72331197</v>
      </c>
      <c r="AC157" s="2">
        <f t="shared" ca="1" si="151"/>
        <v>7356581.4331088718</v>
      </c>
      <c r="AD157" s="2">
        <f t="shared" ca="1" si="152"/>
        <v>7583754.1419436373</v>
      </c>
      <c r="AE157" s="2">
        <f t="shared" ca="1" si="153"/>
        <v>7817941.9895502068</v>
      </c>
      <c r="AF157" s="2">
        <f t="shared" ca="1" si="154"/>
        <v>1043737.762585751</v>
      </c>
      <c r="AG157" s="2">
        <f t="shared" ca="1" si="155"/>
        <v>1075968.5938483013</v>
      </c>
      <c r="AH157" s="2">
        <f t="shared" ca="1" si="156"/>
        <v>1109194.7196389537</v>
      </c>
      <c r="AI157" s="2">
        <f t="shared" ca="1" si="157"/>
        <v>1143446.8748521821</v>
      </c>
      <c r="AJ157" s="2">
        <f t="shared" ca="1" si="158"/>
        <v>1178756.7434821613</v>
      </c>
      <c r="AK157" s="2">
        <f t="shared" ca="1" si="159"/>
        <v>0</v>
      </c>
      <c r="AL157" s="2">
        <f t="shared" ca="1" si="160"/>
        <v>16115.415631275177</v>
      </c>
      <c r="AM157" s="2">
        <f t="shared" ca="1" si="161"/>
        <v>16613.062895326169</v>
      </c>
      <c r="AN157" s="2">
        <f t="shared" ca="1" si="162"/>
        <v>17126.077606614232</v>
      </c>
      <c r="AO157" s="2">
        <f t="shared" ca="1" si="163"/>
        <v>17654.934314989598</v>
      </c>
      <c r="AP157" s="2">
        <f t="shared" ca="1" si="164"/>
        <v>2249037.7224318595</v>
      </c>
      <c r="AQ157" s="2">
        <f t="shared" ca="1" si="165"/>
        <v>894684.53634362738</v>
      </c>
      <c r="AR157" s="2">
        <f t="shared" ca="1" si="166"/>
        <v>990913.9258282705</v>
      </c>
      <c r="AS157" s="2">
        <f t="shared" ca="1" si="167"/>
        <v>1039570.7376698952</v>
      </c>
      <c r="AT157" s="2">
        <f t="shared" ca="1" si="168"/>
        <v>1089730.0816114948</v>
      </c>
      <c r="AU157" s="2">
        <f t="shared" ca="1" si="169"/>
        <v>1141438.3561454085</v>
      </c>
      <c r="AV157" s="2">
        <f t="shared" ca="1" si="170"/>
        <v>2546409.8342087851</v>
      </c>
      <c r="AW157" s="2">
        <f t="shared" ca="1" si="171"/>
        <v>2804178.0655722632</v>
      </c>
      <c r="AX157" s="2">
        <f t="shared" ca="1" si="172"/>
        <v>2942165.1904728371</v>
      </c>
      <c r="AY157" s="2">
        <f t="shared" ca="1" si="173"/>
        <v>3084413.3854414863</v>
      </c>
      <c r="AZ157" s="2">
        <f t="shared" ca="1" si="174"/>
        <v>3231054.2331757876</v>
      </c>
      <c r="BA157" s="2">
        <f t="shared" ca="1" si="175"/>
        <v>57882236.216088623</v>
      </c>
      <c r="BB157" s="2">
        <f t="shared" ca="1" si="176"/>
        <v>1157644.7243217726</v>
      </c>
      <c r="BC157" s="2">
        <f t="shared" ca="1" si="177"/>
        <v>31735283.464746192</v>
      </c>
      <c r="BD157" s="2">
        <f t="shared" ca="1" si="178"/>
        <v>-18200759.852472968</v>
      </c>
      <c r="BE157" s="2">
        <f t="shared" ca="1" si="179"/>
        <v>2546409.8342087851</v>
      </c>
      <c r="BF157" s="2">
        <f t="shared" ca="1" si="180"/>
        <v>2804178.0655722632</v>
      </c>
      <c r="BG157" s="2">
        <f t="shared" ca="1" si="181"/>
        <v>2942165.1904728371</v>
      </c>
      <c r="BH157" s="2">
        <f t="shared" ca="1" si="182"/>
        <v>3084413.3854414863</v>
      </c>
      <c r="BI157" s="2">
        <f t="shared" ca="1" si="183"/>
        <v>34966337.697921976</v>
      </c>
      <c r="BJ157" s="2">
        <f t="shared" ca="1" si="184"/>
        <v>0.24757435435068587</v>
      </c>
      <c r="BK157" s="2">
        <f t="shared" ca="1" si="185"/>
        <v>10203508.534110337</v>
      </c>
    </row>
    <row r="158" spans="1:63" x14ac:dyDescent="0.3">
      <c r="A158" s="2">
        <v>157</v>
      </c>
      <c r="B158" s="2">
        <f t="shared" ca="1" si="124"/>
        <v>0.48810588639917896</v>
      </c>
      <c r="C158" s="2">
        <f t="shared" ca="1" si="125"/>
        <v>6.9880342973795786</v>
      </c>
      <c r="D158" s="2">
        <f t="shared" ca="1" si="126"/>
        <v>0.64723881520613413</v>
      </c>
      <c r="E158" s="2">
        <f t="shared" ca="1" si="127"/>
        <v>7.6600462098497726</v>
      </c>
      <c r="F158" s="2">
        <f t="shared" ca="1" si="128"/>
        <v>0.26914772362973138</v>
      </c>
      <c r="G158" s="2">
        <f t="shared" ca="1" si="129"/>
        <v>2.1538220639157918E-2</v>
      </c>
      <c r="H158" s="2">
        <f t="shared" ca="1" si="130"/>
        <v>2.1538220639157918E-2</v>
      </c>
      <c r="I158" s="2">
        <f t="shared" ca="1" si="131"/>
        <v>0.51845177126322906</v>
      </c>
      <c r="J158" s="2">
        <f t="shared" ca="1" si="132"/>
        <v>1.0231341171912628E-2</v>
      </c>
      <c r="K158" s="2">
        <f t="shared" ca="1" si="133"/>
        <v>1.0231341171912628E-2</v>
      </c>
      <c r="L158" s="2">
        <f t="shared" ca="1" si="134"/>
        <v>0.66660048218645185</v>
      </c>
      <c r="M158" s="2">
        <f t="shared" ca="1" si="135"/>
        <v>8.6109056158769938E-3</v>
      </c>
      <c r="N158" s="2">
        <f t="shared" ca="1" si="136"/>
        <v>8.6109056158769938E-3</v>
      </c>
      <c r="O158" s="2">
        <f t="shared" si="137"/>
        <v>6000000</v>
      </c>
      <c r="P158" s="2">
        <f t="shared" ca="1" si="138"/>
        <v>41928205.784277469</v>
      </c>
      <c r="Q158" s="2">
        <f t="shared" ca="1" si="139"/>
        <v>1048205.1446069367</v>
      </c>
      <c r="R158" s="2">
        <f t="shared" ca="1" si="140"/>
        <v>25156923.470566481</v>
      </c>
      <c r="S158" s="2">
        <f t="shared" ca="1" si="141"/>
        <v>16771282.313710988</v>
      </c>
      <c r="T158" s="2">
        <f t="shared" ca="1" si="142"/>
        <v>50430545.280793846</v>
      </c>
      <c r="U158" s="2">
        <f t="shared" ca="1" si="143"/>
        <v>51516729.492004625</v>
      </c>
      <c r="V158" s="2">
        <f t="shared" ca="1" si="144"/>
        <v>52626308.17841123</v>
      </c>
      <c r="W158" s="2">
        <f t="shared" ca="1" si="145"/>
        <v>53759785.215382174</v>
      </c>
      <c r="X158" s="2">
        <f t="shared" ca="1" si="146"/>
        <v>54917675.330864817</v>
      </c>
      <c r="Y158" s="2">
        <f t="shared" ca="1" si="147"/>
        <v>0.1251156705859563</v>
      </c>
      <c r="Z158" s="2">
        <f t="shared" ca="1" si="148"/>
        <v>0.12716193882033883</v>
      </c>
      <c r="AA158" s="2">
        <f t="shared" ca="1" si="149"/>
        <v>6309651.4908219557</v>
      </c>
      <c r="AB158" s="2">
        <f t="shared" ca="1" si="150"/>
        <v>6550967.203886237</v>
      </c>
      <c r="AC158" s="2">
        <f t="shared" ca="1" si="151"/>
        <v>6692063.3809234258</v>
      </c>
      <c r="AD158" s="2">
        <f t="shared" ca="1" si="152"/>
        <v>6836198.5185529841</v>
      </c>
      <c r="AE158" s="2">
        <f t="shared" ca="1" si="153"/>
        <v>6983438.0705786627</v>
      </c>
      <c r="AF158" s="2">
        <f t="shared" ca="1" si="154"/>
        <v>1008610.9056158769</v>
      </c>
      <c r="AG158" s="2">
        <f t="shared" ca="1" si="155"/>
        <v>1030334.5898400926</v>
      </c>
      <c r="AH158" s="2">
        <f t="shared" ca="1" si="156"/>
        <v>1052526.1635682245</v>
      </c>
      <c r="AI158" s="2">
        <f t="shared" ca="1" si="157"/>
        <v>1075195.7043076435</v>
      </c>
      <c r="AJ158" s="2">
        <f t="shared" ca="1" si="158"/>
        <v>1098353.5066172963</v>
      </c>
      <c r="AK158" s="2">
        <f t="shared" ca="1" si="159"/>
        <v>0</v>
      </c>
      <c r="AL158" s="2">
        <f t="shared" ca="1" si="160"/>
        <v>10861.842112107799</v>
      </c>
      <c r="AM158" s="2">
        <f t="shared" ca="1" si="161"/>
        <v>11095.786864066049</v>
      </c>
      <c r="AN158" s="2">
        <f t="shared" ca="1" si="162"/>
        <v>11334.770369709433</v>
      </c>
      <c r="AO158" s="2">
        <f t="shared" ca="1" si="163"/>
        <v>11578.901154826433</v>
      </c>
      <c r="AP158" s="2">
        <f t="shared" ca="1" si="164"/>
        <v>2264123.1123509831</v>
      </c>
      <c r="AQ158" s="2">
        <f t="shared" ca="1" si="165"/>
        <v>789598.54294232477</v>
      </c>
      <c r="AR158" s="2">
        <f t="shared" ca="1" si="166"/>
        <v>846692.47044074198</v>
      </c>
      <c r="AS158" s="2">
        <f t="shared" ca="1" si="167"/>
        <v>877607.66730109672</v>
      </c>
      <c r="AT158" s="2">
        <f t="shared" ca="1" si="168"/>
        <v>909188.72249253292</v>
      </c>
      <c r="AU158" s="2">
        <f t="shared" ca="1" si="169"/>
        <v>941449.97741869965</v>
      </c>
      <c r="AV158" s="2">
        <f t="shared" ca="1" si="170"/>
        <v>2247318.9299127706</v>
      </c>
      <c r="AW158" s="2">
        <f t="shared" ca="1" si="171"/>
        <v>2398955.1891423115</v>
      </c>
      <c r="AX158" s="2">
        <f t="shared" ca="1" si="172"/>
        <v>2486710.6508390545</v>
      </c>
      <c r="AY158" s="2">
        <f t="shared" ca="1" si="173"/>
        <v>2576356.2090321151</v>
      </c>
      <c r="AZ158" s="2">
        <f t="shared" ca="1" si="174"/>
        <v>2667932.5730368574</v>
      </c>
      <c r="BA158" s="2">
        <f t="shared" ca="1" si="175"/>
        <v>53493458.324256696</v>
      </c>
      <c r="BB158" s="2">
        <f t="shared" ca="1" si="176"/>
        <v>1069869.166485134</v>
      </c>
      <c r="BC158" s="2">
        <f t="shared" ca="1" si="177"/>
        <v>27266665.68720508</v>
      </c>
      <c r="BD158" s="2">
        <f t="shared" ca="1" si="178"/>
        <v>-18319487.458317924</v>
      </c>
      <c r="BE158" s="2">
        <f t="shared" ca="1" si="179"/>
        <v>2247318.9299127706</v>
      </c>
      <c r="BF158" s="2">
        <f t="shared" ca="1" si="180"/>
        <v>2398955.1891423115</v>
      </c>
      <c r="BG158" s="2">
        <f t="shared" ca="1" si="181"/>
        <v>2486710.6508390545</v>
      </c>
      <c r="BH158" s="2">
        <f t="shared" ca="1" si="182"/>
        <v>2576356.2090321151</v>
      </c>
      <c r="BI158" s="2">
        <f t="shared" ca="1" si="183"/>
        <v>29934598.260241937</v>
      </c>
      <c r="BJ158" s="2">
        <f t="shared" ca="1" si="184"/>
        <v>0.19889015843002311</v>
      </c>
      <c r="BK158" s="2">
        <f t="shared" ca="1" si="185"/>
        <v>5992487.1283897124</v>
      </c>
    </row>
    <row r="159" spans="1:63" x14ac:dyDescent="0.3">
      <c r="A159" s="2">
        <v>158</v>
      </c>
      <c r="B159" s="2">
        <f t="shared" ca="1" si="124"/>
        <v>2.0647079912011201E-2</v>
      </c>
      <c r="C159" s="2">
        <f t="shared" ca="1" si="125"/>
        <v>6.203209645007373</v>
      </c>
      <c r="D159" s="2">
        <f t="shared" ca="1" si="126"/>
        <v>0.69199286055277942</v>
      </c>
      <c r="E159" s="2">
        <f t="shared" ca="1" si="127"/>
        <v>7.715134228740709</v>
      </c>
      <c r="F159" s="2">
        <f t="shared" ca="1" si="128"/>
        <v>0.53125452856201649</v>
      </c>
      <c r="G159" s="2">
        <f t="shared" ca="1" si="129"/>
        <v>4.2352713973318912E-2</v>
      </c>
      <c r="H159" s="2">
        <f t="shared" ca="1" si="130"/>
        <v>4.2352713973318912E-2</v>
      </c>
      <c r="I159" s="2">
        <f t="shared" ca="1" si="131"/>
        <v>0.4392264002921481</v>
      </c>
      <c r="J159" s="2">
        <f t="shared" ca="1" si="132"/>
        <v>9.2353457075473235E-3</v>
      </c>
      <c r="K159" s="2">
        <f t="shared" ca="1" si="133"/>
        <v>9.2353457075473235E-3</v>
      </c>
      <c r="L159" s="2">
        <f t="shared" ca="1" si="134"/>
        <v>8.4037996415975424E-4</v>
      </c>
      <c r="M159" s="2">
        <f t="shared" ca="1" si="135"/>
        <v>-6.2830307183633735E-2</v>
      </c>
      <c r="N159" s="2">
        <f t="shared" ca="1" si="136"/>
        <v>-0.05</v>
      </c>
      <c r="O159" s="2">
        <f t="shared" si="137"/>
        <v>6000000</v>
      </c>
      <c r="P159" s="2">
        <f t="shared" ca="1" si="138"/>
        <v>37219257.870044239</v>
      </c>
      <c r="Q159" s="2">
        <f t="shared" ca="1" si="139"/>
        <v>930481.44675110606</v>
      </c>
      <c r="R159" s="2">
        <f t="shared" ca="1" si="140"/>
        <v>22331554.722026542</v>
      </c>
      <c r="S159" s="2">
        <f t="shared" ca="1" si="141"/>
        <v>14887703.148017697</v>
      </c>
      <c r="T159" s="2">
        <f t="shared" ca="1" si="142"/>
        <v>47500000</v>
      </c>
      <c r="U159" s="2">
        <f t="shared" ca="1" si="143"/>
        <v>49511753.913732648</v>
      </c>
      <c r="V159" s="2">
        <f t="shared" ca="1" si="144"/>
        <v>51608711.065558314</v>
      </c>
      <c r="W159" s="2">
        <f t="shared" ca="1" si="145"/>
        <v>53794480.043849565</v>
      </c>
      <c r="X159" s="2">
        <f t="shared" ca="1" si="146"/>
        <v>56072822.270490132</v>
      </c>
      <c r="Y159" s="2">
        <f t="shared" ca="1" si="147"/>
        <v>0.12461767285377366</v>
      </c>
      <c r="Z159" s="2">
        <f t="shared" ca="1" si="148"/>
        <v>0.12646474199528313</v>
      </c>
      <c r="AA159" s="2">
        <f t="shared" ca="1" si="149"/>
        <v>5919339.4605542487</v>
      </c>
      <c r="AB159" s="2">
        <f t="shared" ca="1" si="150"/>
        <v>6261491.1844341485</v>
      </c>
      <c r="AC159" s="2">
        <f t="shared" ca="1" si="151"/>
        <v>6526682.3296149457</v>
      </c>
      <c r="AD159" s="2">
        <f t="shared" ca="1" si="152"/>
        <v>6803105.0395158418</v>
      </c>
      <c r="AE159" s="2">
        <f t="shared" ca="1" si="153"/>
        <v>7091235.0013849</v>
      </c>
      <c r="AF159" s="2">
        <f t="shared" ca="1" si="154"/>
        <v>950000</v>
      </c>
      <c r="AG159" s="2">
        <f t="shared" ca="1" si="155"/>
        <v>990235.07827465294</v>
      </c>
      <c r="AH159" s="2">
        <f t="shared" ca="1" si="156"/>
        <v>1032174.2213111663</v>
      </c>
      <c r="AI159" s="2">
        <f t="shared" ca="1" si="157"/>
        <v>1075889.6008769914</v>
      </c>
      <c r="AJ159" s="2">
        <f t="shared" ca="1" si="158"/>
        <v>1121456.4454098027</v>
      </c>
      <c r="AK159" s="2">
        <f t="shared" ca="1" si="159"/>
        <v>0</v>
      </c>
      <c r="AL159" s="2">
        <f t="shared" ca="1" si="160"/>
        <v>20117.539137326479</v>
      </c>
      <c r="AM159" s="2">
        <f t="shared" ca="1" si="161"/>
        <v>20969.571518256664</v>
      </c>
      <c r="AN159" s="2">
        <f t="shared" ca="1" si="162"/>
        <v>21857.689782912508</v>
      </c>
      <c r="AO159" s="2">
        <f t="shared" ca="1" si="163"/>
        <v>22783.422266405672</v>
      </c>
      <c r="AP159" s="2">
        <f t="shared" ca="1" si="164"/>
        <v>2009839.9249823887</v>
      </c>
      <c r="AQ159" s="2">
        <f t="shared" ca="1" si="165"/>
        <v>769469.87924868369</v>
      </c>
      <c r="AR159" s="2">
        <f t="shared" ca="1" si="166"/>
        <v>847968.20710604778</v>
      </c>
      <c r="AS159" s="2">
        <f t="shared" ca="1" si="167"/>
        <v>906013.7276635617</v>
      </c>
      <c r="AT159" s="2">
        <f t="shared" ca="1" si="168"/>
        <v>966517.63355068001</v>
      </c>
      <c r="AU159" s="2">
        <f t="shared" ca="1" si="169"/>
        <v>1029584.0440581043</v>
      </c>
      <c r="AV159" s="2">
        <f t="shared" ca="1" si="170"/>
        <v>2190029.6563231768</v>
      </c>
      <c r="AW159" s="2">
        <f t="shared" ca="1" si="171"/>
        <v>2393330.4349337323</v>
      </c>
      <c r="AX159" s="2">
        <f t="shared" ca="1" si="172"/>
        <v>2557684.8841395732</v>
      </c>
      <c r="AY159" s="2">
        <f t="shared" ca="1" si="173"/>
        <v>2729000.1903228685</v>
      </c>
      <c r="AZ159" s="2">
        <f t="shared" ca="1" si="174"/>
        <v>2907571.1646681987</v>
      </c>
      <c r="BA159" s="2">
        <f t="shared" ca="1" si="175"/>
        <v>54709829.883228809</v>
      </c>
      <c r="BB159" s="2">
        <f t="shared" ca="1" si="176"/>
        <v>1094196.5976645763</v>
      </c>
      <c r="BC159" s="2">
        <f t="shared" ca="1" si="177"/>
        <v>31284078.563537691</v>
      </c>
      <c r="BD159" s="2">
        <f t="shared" ca="1" si="178"/>
        <v>-16318184.594768804</v>
      </c>
      <c r="BE159" s="2">
        <f t="shared" ca="1" si="179"/>
        <v>2190029.6563231768</v>
      </c>
      <c r="BF159" s="2">
        <f t="shared" ca="1" si="180"/>
        <v>2393330.4349337323</v>
      </c>
      <c r="BG159" s="2">
        <f t="shared" ca="1" si="181"/>
        <v>2557684.8841395732</v>
      </c>
      <c r="BH159" s="2">
        <f t="shared" ca="1" si="182"/>
        <v>2729000.1903228685</v>
      </c>
      <c r="BI159" s="2">
        <f t="shared" ca="1" si="183"/>
        <v>34191649.728205889</v>
      </c>
      <c r="BJ159" s="2">
        <f t="shared" ca="1" si="184"/>
        <v>0.26104256703319484</v>
      </c>
      <c r="BK159" s="2">
        <f t="shared" ca="1" si="185"/>
        <v>10501246.231323458</v>
      </c>
    </row>
    <row r="160" spans="1:63" x14ac:dyDescent="0.3">
      <c r="A160" s="2">
        <v>159</v>
      </c>
      <c r="B160" s="2">
        <f t="shared" ca="1" si="124"/>
        <v>2.561867976783605E-2</v>
      </c>
      <c r="C160" s="2">
        <f t="shared" ca="1" si="125"/>
        <v>6.2263567086164491</v>
      </c>
      <c r="D160" s="2">
        <f t="shared" ca="1" si="126"/>
        <v>4.5118259629153057E-2</v>
      </c>
      <c r="E160" s="2">
        <f t="shared" ca="1" si="127"/>
        <v>6.8003939401158187</v>
      </c>
      <c r="F160" s="2">
        <f t="shared" ca="1" si="128"/>
        <v>0.82400486403285877</v>
      </c>
      <c r="G160" s="2">
        <f t="shared" ca="1" si="129"/>
        <v>6.7922072509619263E-2</v>
      </c>
      <c r="H160" s="2">
        <f t="shared" ca="1" si="130"/>
        <v>6.7922072509619263E-2</v>
      </c>
      <c r="I160" s="2">
        <f t="shared" ca="1" si="131"/>
        <v>0.36360752786194417</v>
      </c>
      <c r="J160" s="2">
        <f t="shared" ca="1" si="132"/>
        <v>8.2558374535421034E-3</v>
      </c>
      <c r="K160" s="2">
        <f t="shared" ca="1" si="133"/>
        <v>8.2558374535421034E-3</v>
      </c>
      <c r="L160" s="2">
        <f t="shared" ca="1" si="134"/>
        <v>0.29453668042588776</v>
      </c>
      <c r="M160" s="2">
        <f t="shared" ca="1" si="135"/>
        <v>-1.0803586749188836E-2</v>
      </c>
      <c r="N160" s="2">
        <f t="shared" ca="1" si="136"/>
        <v>-1.0803586749188836E-2</v>
      </c>
      <c r="O160" s="2">
        <f t="shared" si="137"/>
        <v>6000000</v>
      </c>
      <c r="P160" s="2">
        <f t="shared" ca="1" si="138"/>
        <v>37358140.251698695</v>
      </c>
      <c r="Q160" s="2">
        <f t="shared" ca="1" si="139"/>
        <v>933953.50629246747</v>
      </c>
      <c r="R160" s="2">
        <f t="shared" ca="1" si="140"/>
        <v>22414884.151019216</v>
      </c>
      <c r="S160" s="2">
        <f t="shared" ca="1" si="141"/>
        <v>14943256.10067948</v>
      </c>
      <c r="T160" s="2">
        <f t="shared" ca="1" si="142"/>
        <v>49459820.662540562</v>
      </c>
      <c r="U160" s="2">
        <f t="shared" ca="1" si="143"/>
        <v>52819234.187894404</v>
      </c>
      <c r="V160" s="2">
        <f t="shared" ca="1" si="144"/>
        <v>56406826.042307124</v>
      </c>
      <c r="W160" s="2">
        <f t="shared" ca="1" si="145"/>
        <v>60238094.570790187</v>
      </c>
      <c r="X160" s="2">
        <f t="shared" ca="1" si="146"/>
        <v>64329590.798068695</v>
      </c>
      <c r="Y160" s="2">
        <f t="shared" ca="1" si="147"/>
        <v>0.12412791872677105</v>
      </c>
      <c r="Z160" s="2">
        <f t="shared" ca="1" si="148"/>
        <v>0.12577908621747946</v>
      </c>
      <c r="AA160" s="2">
        <f t="shared" ca="1" si="149"/>
        <v>6139344.5994405067</v>
      </c>
      <c r="AB160" s="2">
        <f t="shared" ca="1" si="150"/>
        <v>6643555.0108604087</v>
      </c>
      <c r="AC160" s="2">
        <f t="shared" ca="1" si="151"/>
        <v>7094799.0360297132</v>
      </c>
      <c r="AD160" s="2">
        <f t="shared" ca="1" si="152"/>
        <v>7576692.4905961007</v>
      </c>
      <c r="AE160" s="2">
        <f t="shared" ca="1" si="153"/>
        <v>8091317.1473254561</v>
      </c>
      <c r="AF160" s="2">
        <f t="shared" ca="1" si="154"/>
        <v>989196.41325081128</v>
      </c>
      <c r="AG160" s="2">
        <f t="shared" ca="1" si="155"/>
        <v>1056384.6837578882</v>
      </c>
      <c r="AH160" s="2">
        <f t="shared" ca="1" si="156"/>
        <v>1128136.5208461424</v>
      </c>
      <c r="AI160" s="2">
        <f t="shared" ca="1" si="157"/>
        <v>1204761.8914158037</v>
      </c>
      <c r="AJ160" s="2">
        <f t="shared" ca="1" si="158"/>
        <v>1286591.815961374</v>
      </c>
      <c r="AK160" s="2">
        <f t="shared" ca="1" si="159"/>
        <v>0</v>
      </c>
      <c r="AL160" s="2">
        <f t="shared" ca="1" si="160"/>
        <v>33594.135253538414</v>
      </c>
      <c r="AM160" s="2">
        <f t="shared" ca="1" si="161"/>
        <v>35875.918544127198</v>
      </c>
      <c r="AN160" s="2">
        <f t="shared" ca="1" si="162"/>
        <v>38312.68528483063</v>
      </c>
      <c r="AO160" s="2">
        <f t="shared" ca="1" si="163"/>
        <v>40914.96227278508</v>
      </c>
      <c r="AP160" s="2">
        <f t="shared" ca="1" si="164"/>
        <v>2017339.5735917294</v>
      </c>
      <c r="AQ160" s="2">
        <f t="shared" ca="1" si="165"/>
        <v>814530.23927547107</v>
      </c>
      <c r="AR160" s="2">
        <f t="shared" ca="1" si="166"/>
        <v>928155.99591280567</v>
      </c>
      <c r="AS160" s="2">
        <f t="shared" ca="1" si="167"/>
        <v>1026823.9648138788</v>
      </c>
      <c r="AT160" s="2">
        <f t="shared" ca="1" si="168"/>
        <v>1132193.6666530275</v>
      </c>
      <c r="AU160" s="2">
        <f t="shared" ca="1" si="169"/>
        <v>1244720.2970208118</v>
      </c>
      <c r="AV160" s="2">
        <f t="shared" ca="1" si="170"/>
        <v>2318278.3733224943</v>
      </c>
      <c r="AW160" s="2">
        <f t="shared" ca="1" si="171"/>
        <v>2608080.6223444473</v>
      </c>
      <c r="AX160" s="2">
        <f t="shared" ca="1" si="172"/>
        <v>2886623.0582338348</v>
      </c>
      <c r="AY160" s="2">
        <f t="shared" ca="1" si="173"/>
        <v>3184084.673650709</v>
      </c>
      <c r="AZ160" s="2">
        <f t="shared" ca="1" si="174"/>
        <v>3501750.4984787563</v>
      </c>
      <c r="BA160" s="2">
        <f t="shared" ca="1" si="175"/>
        <v>55024144.096227244</v>
      </c>
      <c r="BB160" s="2">
        <f t="shared" ca="1" si="176"/>
        <v>1100482.8819245449</v>
      </c>
      <c r="BC160" s="2">
        <f t="shared" ca="1" si="177"/>
        <v>31508777.063283484</v>
      </c>
      <c r="BD160" s="2">
        <f t="shared" ca="1" si="178"/>
        <v>-16377209.606971947</v>
      </c>
      <c r="BE160" s="2">
        <f t="shared" ca="1" si="179"/>
        <v>2318278.3733224943</v>
      </c>
      <c r="BF160" s="2">
        <f t="shared" ca="1" si="180"/>
        <v>2608080.6223444473</v>
      </c>
      <c r="BG160" s="2">
        <f t="shared" ca="1" si="181"/>
        <v>2886623.0582338348</v>
      </c>
      <c r="BH160" s="2">
        <f t="shared" ca="1" si="182"/>
        <v>3184084.673650709</v>
      </c>
      <c r="BI160" s="2">
        <f t="shared" ca="1" si="183"/>
        <v>35010527.561762244</v>
      </c>
      <c r="BJ160" s="2">
        <f t="shared" ca="1" si="184"/>
        <v>0.27565332176565871</v>
      </c>
      <c r="BK160" s="2">
        <f t="shared" ca="1" si="185"/>
        <v>11715925.92250319</v>
      </c>
    </row>
    <row r="161" spans="1:63" x14ac:dyDescent="0.3">
      <c r="A161" s="2">
        <v>160</v>
      </c>
      <c r="B161" s="2">
        <f t="shared" ca="1" si="124"/>
        <v>0.67165036298870873</v>
      </c>
      <c r="C161" s="2">
        <f t="shared" ca="1" si="125"/>
        <v>7.1896301621959378</v>
      </c>
      <c r="D161" s="2">
        <f t="shared" ca="1" si="126"/>
        <v>0.48620548805760821</v>
      </c>
      <c r="E161" s="2">
        <f t="shared" ca="1" si="127"/>
        <v>7.486109008231451</v>
      </c>
      <c r="F161" s="2">
        <f t="shared" ca="1" si="128"/>
        <v>0.22112215673359903</v>
      </c>
      <c r="G161" s="2">
        <f t="shared" ca="1" si="129"/>
        <v>1.6947733957383134E-2</v>
      </c>
      <c r="H161" s="2">
        <f t="shared" ca="1" si="130"/>
        <v>1.6947733957383134E-2</v>
      </c>
      <c r="I161" s="2">
        <f t="shared" ca="1" si="131"/>
        <v>0.13808779872242094</v>
      </c>
      <c r="J161" s="2">
        <f t="shared" ca="1" si="132"/>
        <v>4.5552461686869982E-3</v>
      </c>
      <c r="K161" s="2">
        <f t="shared" ca="1" si="133"/>
        <v>4.5552461686869982E-3</v>
      </c>
      <c r="L161" s="2">
        <f t="shared" ca="1" si="134"/>
        <v>1.5451815829285453E-2</v>
      </c>
      <c r="M161" s="2">
        <f t="shared" ca="1" si="135"/>
        <v>-4.3166227311581443E-2</v>
      </c>
      <c r="N161" s="2">
        <f t="shared" ca="1" si="136"/>
        <v>-4.3166227311581443E-2</v>
      </c>
      <c r="O161" s="2">
        <f t="shared" si="137"/>
        <v>6000000</v>
      </c>
      <c r="P161" s="2">
        <f t="shared" ca="1" si="138"/>
        <v>43137780.97317563</v>
      </c>
      <c r="Q161" s="2">
        <f t="shared" ca="1" si="139"/>
        <v>1078444.5243293908</v>
      </c>
      <c r="R161" s="2">
        <f t="shared" ca="1" si="140"/>
        <v>25882668.583905376</v>
      </c>
      <c r="S161" s="2">
        <f t="shared" ca="1" si="141"/>
        <v>17255112.389270253</v>
      </c>
      <c r="T161" s="2">
        <f t="shared" ca="1" si="142"/>
        <v>47841688.634420924</v>
      </c>
      <c r="U161" s="2">
        <f t="shared" ca="1" si="143"/>
        <v>48652496.84546905</v>
      </c>
      <c r="V161" s="2">
        <f t="shared" ca="1" si="144"/>
        <v>49477046.418368481</v>
      </c>
      <c r="W161" s="2">
        <f t="shared" ca="1" si="145"/>
        <v>50315570.238064088</v>
      </c>
      <c r="X161" s="2">
        <f t="shared" ca="1" si="146"/>
        <v>51168305.13637282</v>
      </c>
      <c r="Y161" s="2">
        <f t="shared" ca="1" si="147"/>
        <v>0.12227762308434349</v>
      </c>
      <c r="Z161" s="2">
        <f t="shared" ca="1" si="148"/>
        <v>0.12318867231808089</v>
      </c>
      <c r="AA161" s="2">
        <f t="shared" ca="1" si="149"/>
        <v>5849967.9705582419</v>
      </c>
      <c r="AB161" s="2">
        <f t="shared" ca="1" si="150"/>
        <v>5993436.4913529512</v>
      </c>
      <c r="AC161" s="2">
        <f t="shared" ca="1" si="151"/>
        <v>6095011.658498873</v>
      </c>
      <c r="AD161" s="2">
        <f t="shared" ca="1" si="152"/>
        <v>6198308.2945542606</v>
      </c>
      <c r="AE161" s="2">
        <f t="shared" ca="1" si="153"/>
        <v>6303355.574516207</v>
      </c>
      <c r="AF161" s="2">
        <f t="shared" ca="1" si="154"/>
        <v>956833.77268841851</v>
      </c>
      <c r="AG161" s="2">
        <f t="shared" ca="1" si="155"/>
        <v>973049.93690938107</v>
      </c>
      <c r="AH161" s="2">
        <f t="shared" ca="1" si="156"/>
        <v>989540.92836736969</v>
      </c>
      <c r="AI161" s="2">
        <f t="shared" ca="1" si="157"/>
        <v>1006311.4047612818</v>
      </c>
      <c r="AJ161" s="2">
        <f t="shared" ca="1" si="158"/>
        <v>1023366.1027274564</v>
      </c>
      <c r="AK161" s="2">
        <f t="shared" ca="1" si="159"/>
        <v>0</v>
      </c>
      <c r="AL161" s="2">
        <f t="shared" ca="1" si="160"/>
        <v>8108.0821104812621</v>
      </c>
      <c r="AM161" s="2">
        <f t="shared" ca="1" si="161"/>
        <v>8245.4957289943104</v>
      </c>
      <c r="AN161" s="2">
        <f t="shared" ca="1" si="162"/>
        <v>8385.2381969560684</v>
      </c>
      <c r="AO161" s="2">
        <f t="shared" ca="1" si="163"/>
        <v>8527.3489830873168</v>
      </c>
      <c r="AP161" s="2">
        <f t="shared" ca="1" si="164"/>
        <v>2329440.1725514838</v>
      </c>
      <c r="AQ161" s="2">
        <f t="shared" ca="1" si="165"/>
        <v>666560.44658276823</v>
      </c>
      <c r="AR161" s="2">
        <f t="shared" ca="1" si="166"/>
        <v>699646.05929194239</v>
      </c>
      <c r="AS161" s="2">
        <f t="shared" ca="1" si="167"/>
        <v>721767.94497080508</v>
      </c>
      <c r="AT161" s="2">
        <f t="shared" ca="1" si="168"/>
        <v>744264.7464827887</v>
      </c>
      <c r="AU161" s="2">
        <f t="shared" ca="1" si="169"/>
        <v>767142.8178016895</v>
      </c>
      <c r="AV161" s="2">
        <f t="shared" ca="1" si="170"/>
        <v>1897133.5787355714</v>
      </c>
      <c r="AW161" s="2">
        <f t="shared" ca="1" si="171"/>
        <v>1983192.2404896626</v>
      </c>
      <c r="AX161" s="2">
        <f t="shared" ca="1" si="172"/>
        <v>2046017.1168802194</v>
      </c>
      <c r="AY161" s="2">
        <f t="shared" ca="1" si="173"/>
        <v>2109906.7325617503</v>
      </c>
      <c r="AZ161" s="2">
        <f t="shared" ca="1" si="174"/>
        <v>2174879.1324524898</v>
      </c>
      <c r="BA161" s="2">
        <f t="shared" ca="1" si="175"/>
        <v>47187606.94847171</v>
      </c>
      <c r="BB161" s="2">
        <f t="shared" ca="1" si="176"/>
        <v>943752.13896943419</v>
      </c>
      <c r="BC161" s="2">
        <f t="shared" ca="1" si="177"/>
        <v>20361186.225596901</v>
      </c>
      <c r="BD161" s="2">
        <f t="shared" ca="1" si="178"/>
        <v>-18833556.913599644</v>
      </c>
      <c r="BE161" s="2">
        <f t="shared" ca="1" si="179"/>
        <v>1897133.5787355714</v>
      </c>
      <c r="BF161" s="2">
        <f t="shared" ca="1" si="180"/>
        <v>1983192.2404896626</v>
      </c>
      <c r="BG161" s="2">
        <f t="shared" ca="1" si="181"/>
        <v>2046017.1168802194</v>
      </c>
      <c r="BH161" s="2">
        <f t="shared" ca="1" si="182"/>
        <v>2109906.7325617503</v>
      </c>
      <c r="BI161" s="2">
        <f t="shared" ca="1" si="183"/>
        <v>22536065.358049393</v>
      </c>
      <c r="BJ161" s="2">
        <f t="shared" ca="1" si="184"/>
        <v>0.1203721515231988</v>
      </c>
      <c r="BK161" s="2">
        <f t="shared" ca="1" si="185"/>
        <v>26068.21441495046</v>
      </c>
    </row>
    <row r="162" spans="1:63" x14ac:dyDescent="0.3">
      <c r="A162" s="2">
        <v>161</v>
      </c>
      <c r="B162" s="2">
        <f t="shared" ca="1" si="124"/>
        <v>0.93211572291436262</v>
      </c>
      <c r="C162" s="2">
        <f t="shared" ca="1" si="125"/>
        <v>7.6315321531377878</v>
      </c>
      <c r="D162" s="2">
        <f t="shared" ca="1" si="126"/>
        <v>0.87631411925387848</v>
      </c>
      <c r="E162" s="2">
        <f t="shared" ca="1" si="127"/>
        <v>8.0026351826955953</v>
      </c>
      <c r="F162" s="2">
        <f t="shared" ca="1" si="128"/>
        <v>0.38419048046783844</v>
      </c>
      <c r="G162" s="2">
        <f t="shared" ca="1" si="129"/>
        <v>3.1165200158069686E-2</v>
      </c>
      <c r="H162" s="2">
        <f t="shared" ca="1" si="130"/>
        <v>3.1165200158069686E-2</v>
      </c>
      <c r="I162" s="2">
        <f t="shared" ca="1" si="131"/>
        <v>0.97166101316686337</v>
      </c>
      <c r="J162" s="2">
        <f t="shared" ca="1" si="132"/>
        <v>1.9528930091879008E-2</v>
      </c>
      <c r="K162" s="2">
        <f t="shared" ca="1" si="133"/>
        <v>1.9528930091879008E-2</v>
      </c>
      <c r="L162" s="2">
        <f t="shared" ca="1" si="134"/>
        <v>0.37400009594262529</v>
      </c>
      <c r="M162" s="2">
        <f t="shared" ca="1" si="135"/>
        <v>-6.4255477263181768E-3</v>
      </c>
      <c r="N162" s="2">
        <f t="shared" ca="1" si="136"/>
        <v>-6.4255477263181768E-3</v>
      </c>
      <c r="O162" s="2">
        <f t="shared" si="137"/>
        <v>6000000</v>
      </c>
      <c r="P162" s="2">
        <f t="shared" ca="1" si="138"/>
        <v>45789192.918826729</v>
      </c>
      <c r="Q162" s="2">
        <f t="shared" ca="1" si="139"/>
        <v>1144729.8229706683</v>
      </c>
      <c r="R162" s="2">
        <f t="shared" ca="1" si="140"/>
        <v>27473515.751296036</v>
      </c>
      <c r="S162" s="2">
        <f t="shared" ca="1" si="141"/>
        <v>18315677.167530693</v>
      </c>
      <c r="T162" s="2">
        <f t="shared" ca="1" si="142"/>
        <v>49678722.613684088</v>
      </c>
      <c r="U162" s="2">
        <f t="shared" ca="1" si="143"/>
        <v>51226969.947536781</v>
      </c>
      <c r="V162" s="2">
        <f t="shared" ca="1" si="144"/>
        <v>52823468.719443187</v>
      </c>
      <c r="W162" s="2">
        <f t="shared" ca="1" si="145"/>
        <v>54469722.695128173</v>
      </c>
      <c r="X162" s="2">
        <f t="shared" ca="1" si="146"/>
        <v>56167282.5054764</v>
      </c>
      <c r="Y162" s="2">
        <f t="shared" ca="1" si="147"/>
        <v>0.1297644650459395</v>
      </c>
      <c r="Z162" s="2">
        <f t="shared" ca="1" si="148"/>
        <v>0.13367025106431529</v>
      </c>
      <c r="AA162" s="2">
        <f t="shared" ca="1" si="149"/>
        <v>6446532.8641303331</v>
      </c>
      <c r="AB162" s="2">
        <f t="shared" ca="1" si="150"/>
        <v>6847521.9341513757</v>
      </c>
      <c r="AC162" s="2">
        <f t="shared" ca="1" si="151"/>
        <v>7060926.3258159766</v>
      </c>
      <c r="AD162" s="2">
        <f t="shared" ca="1" si="152"/>
        <v>7280981.5080614155</v>
      </c>
      <c r="AE162" s="2">
        <f t="shared" ca="1" si="153"/>
        <v>7507894.7541073542</v>
      </c>
      <c r="AF162" s="2">
        <f t="shared" ca="1" si="154"/>
        <v>993574.45227368176</v>
      </c>
      <c r="AG162" s="2">
        <f t="shared" ca="1" si="155"/>
        <v>1024539.3989507357</v>
      </c>
      <c r="AH162" s="2">
        <f t="shared" ca="1" si="156"/>
        <v>1056469.3743888638</v>
      </c>
      <c r="AI162" s="2">
        <f t="shared" ca="1" si="157"/>
        <v>1089394.4539025635</v>
      </c>
      <c r="AJ162" s="2">
        <f t="shared" ca="1" si="158"/>
        <v>1123345.6501095281</v>
      </c>
      <c r="AK162" s="2">
        <f t="shared" ca="1" si="159"/>
        <v>0</v>
      </c>
      <c r="AL162" s="2">
        <f t="shared" ca="1" si="160"/>
        <v>15482.473338526936</v>
      </c>
      <c r="AM162" s="2">
        <f t="shared" ca="1" si="161"/>
        <v>15964.987719064056</v>
      </c>
      <c r="AN162" s="2">
        <f t="shared" ca="1" si="162"/>
        <v>16462.539756849856</v>
      </c>
      <c r="AO162" s="2">
        <f t="shared" ca="1" si="163"/>
        <v>16975.598103482276</v>
      </c>
      <c r="AP162" s="2">
        <f t="shared" ca="1" si="164"/>
        <v>2472616.417616643</v>
      </c>
      <c r="AQ162" s="2">
        <f t="shared" ca="1" si="165"/>
        <v>774888.91850240214</v>
      </c>
      <c r="AR162" s="2">
        <f t="shared" ca="1" si="166"/>
        <v>871095.19057183911</v>
      </c>
      <c r="AS162" s="2">
        <f t="shared" ca="1" si="167"/>
        <v>918278.53879072226</v>
      </c>
      <c r="AT162" s="2">
        <f t="shared" ca="1" si="168"/>
        <v>966932.36550097424</v>
      </c>
      <c r="AU162" s="2">
        <f t="shared" ca="1" si="169"/>
        <v>1017102.4984591077</v>
      </c>
      <c r="AV162" s="2">
        <f t="shared" ca="1" si="170"/>
        <v>2205453.0757376058</v>
      </c>
      <c r="AW162" s="2">
        <f t="shared" ca="1" si="171"/>
        <v>2463788.453673631</v>
      </c>
      <c r="AX162" s="2">
        <f t="shared" ca="1" si="172"/>
        <v>2597597.0073006842</v>
      </c>
      <c r="AY162" s="2">
        <f t="shared" ca="1" si="173"/>
        <v>2735575.7312843846</v>
      </c>
      <c r="AZ162" s="2">
        <f t="shared" ca="1" si="174"/>
        <v>2877854.5898185931</v>
      </c>
      <c r="BA162" s="2">
        <f t="shared" ca="1" si="175"/>
        <v>60082942.707195207</v>
      </c>
      <c r="BB162" s="2">
        <f t="shared" ca="1" si="176"/>
        <v>1201658.8541439043</v>
      </c>
      <c r="BC162" s="2">
        <f t="shared" ca="1" si="177"/>
        <v>31407768.101755269</v>
      </c>
      <c r="BD162" s="2">
        <f t="shared" ca="1" si="178"/>
        <v>-19960406.990501363</v>
      </c>
      <c r="BE162" s="2">
        <f t="shared" ca="1" si="179"/>
        <v>2205453.0757376058</v>
      </c>
      <c r="BF162" s="2">
        <f t="shared" ca="1" si="180"/>
        <v>2463788.453673631</v>
      </c>
      <c r="BG162" s="2">
        <f t="shared" ca="1" si="181"/>
        <v>2597597.0073006842</v>
      </c>
      <c r="BH162" s="2">
        <f t="shared" ca="1" si="182"/>
        <v>2735575.7312843846</v>
      </c>
      <c r="BI162" s="2">
        <f t="shared" ca="1" si="183"/>
        <v>34285622.691573858</v>
      </c>
      <c r="BJ162" s="2">
        <f t="shared" ca="1" si="184"/>
        <v>0.20272693522261109</v>
      </c>
      <c r="BK162" s="2">
        <f t="shared" ca="1" si="185"/>
        <v>7014873.7661433332</v>
      </c>
    </row>
    <row r="163" spans="1:63" x14ac:dyDescent="0.3">
      <c r="A163" s="2">
        <v>162</v>
      </c>
      <c r="B163" s="2">
        <f t="shared" ca="1" si="124"/>
        <v>0.91542911686272233</v>
      </c>
      <c r="C163" s="2">
        <f t="shared" ca="1" si="125"/>
        <v>7.588731515583123</v>
      </c>
      <c r="D163" s="2">
        <f t="shared" ca="1" si="126"/>
        <v>0.50684992432814646</v>
      </c>
      <c r="E163" s="2">
        <f t="shared" ca="1" si="127"/>
        <v>7.506873547153381</v>
      </c>
      <c r="F163" s="2">
        <f t="shared" ca="1" si="128"/>
        <v>0.17946168762861214</v>
      </c>
      <c r="G163" s="2">
        <f t="shared" ca="1" si="129"/>
        <v>1.2477444606999653E-2</v>
      </c>
      <c r="H163" s="2">
        <f t="shared" ca="1" si="130"/>
        <v>1.2477444606999653E-2</v>
      </c>
      <c r="I163" s="2">
        <f t="shared" ca="1" si="131"/>
        <v>0.13434735212511706</v>
      </c>
      <c r="J163" s="2">
        <f t="shared" ca="1" si="132"/>
        <v>4.4696324609044833E-3</v>
      </c>
      <c r="K163" s="2">
        <f t="shared" ca="1" si="133"/>
        <v>4.4696324609044833E-3</v>
      </c>
      <c r="L163" s="2">
        <f t="shared" ca="1" si="134"/>
        <v>0.55520053200122998</v>
      </c>
      <c r="M163" s="2">
        <f t="shared" ca="1" si="135"/>
        <v>2.7762343097368163E-3</v>
      </c>
      <c r="N163" s="2">
        <f t="shared" ca="1" si="136"/>
        <v>2.7762343097368163E-3</v>
      </c>
      <c r="O163" s="2">
        <f t="shared" si="137"/>
        <v>6000000</v>
      </c>
      <c r="P163" s="2">
        <f t="shared" ca="1" si="138"/>
        <v>45532389.093498737</v>
      </c>
      <c r="Q163" s="2">
        <f t="shared" ca="1" si="139"/>
        <v>1138309.7273374684</v>
      </c>
      <c r="R163" s="2">
        <f t="shared" ca="1" si="140"/>
        <v>27319433.456099242</v>
      </c>
      <c r="S163" s="2">
        <f t="shared" ca="1" si="141"/>
        <v>18212955.637399495</v>
      </c>
      <c r="T163" s="2">
        <f t="shared" ca="1" si="142"/>
        <v>50138811.715486839</v>
      </c>
      <c r="U163" s="2">
        <f t="shared" ca="1" si="143"/>
        <v>50764415.961327612</v>
      </c>
      <c r="V163" s="2">
        <f t="shared" ca="1" si="144"/>
        <v>51397826.149491772</v>
      </c>
      <c r="W163" s="2">
        <f t="shared" ca="1" si="145"/>
        <v>52039139.678192258</v>
      </c>
      <c r="X163" s="2">
        <f t="shared" ca="1" si="146"/>
        <v>52688455.160922825</v>
      </c>
      <c r="Y163" s="2">
        <f t="shared" ca="1" si="147"/>
        <v>0.12223481623045224</v>
      </c>
      <c r="Z163" s="2">
        <f t="shared" ca="1" si="148"/>
        <v>0.12312874272263313</v>
      </c>
      <c r="AA163" s="2">
        <f t="shared" ca="1" si="149"/>
        <v>6128708.4360557795</v>
      </c>
      <c r="AB163" s="2">
        <f t="shared" ca="1" si="150"/>
        <v>6250558.7123670382</v>
      </c>
      <c r="AC163" s="2">
        <f t="shared" ca="1" si="151"/>
        <v>6328549.7124633975</v>
      </c>
      <c r="AD163" s="2">
        <f t="shared" ca="1" si="152"/>
        <v>6407513.8409433039</v>
      </c>
      <c r="AE163" s="2">
        <f t="shared" ca="1" si="153"/>
        <v>6487463.2399622584</v>
      </c>
      <c r="AF163" s="2">
        <f t="shared" ca="1" si="154"/>
        <v>1002776.2343097368</v>
      </c>
      <c r="AG163" s="2">
        <f t="shared" ca="1" si="155"/>
        <v>1015288.3192265523</v>
      </c>
      <c r="AH163" s="2">
        <f t="shared" ca="1" si="156"/>
        <v>1027956.5229898355</v>
      </c>
      <c r="AI163" s="2">
        <f t="shared" ca="1" si="157"/>
        <v>1040782.7935638452</v>
      </c>
      <c r="AJ163" s="2">
        <f t="shared" ca="1" si="158"/>
        <v>1053769.1032184565</v>
      </c>
      <c r="AK163" s="2">
        <f t="shared" ca="1" si="159"/>
        <v>0</v>
      </c>
      <c r="AL163" s="2">
        <f t="shared" ca="1" si="160"/>
        <v>6256.04245840773</v>
      </c>
      <c r="AM163" s="2">
        <f t="shared" ca="1" si="161"/>
        <v>6334.1018816415963</v>
      </c>
      <c r="AN163" s="2">
        <f t="shared" ca="1" si="162"/>
        <v>6413.1352870048586</v>
      </c>
      <c r="AO163" s="2">
        <f t="shared" ca="1" si="163"/>
        <v>6493.1548273056751</v>
      </c>
      <c r="AP163" s="2">
        <f t="shared" ca="1" si="164"/>
        <v>2458749.0110489316</v>
      </c>
      <c r="AQ163" s="2">
        <f t="shared" ca="1" si="165"/>
        <v>693467.62958124897</v>
      </c>
      <c r="AR163" s="2">
        <f t="shared" ca="1" si="166"/>
        <v>721895.55934380402</v>
      </c>
      <c r="AS163" s="2">
        <f t="shared" ca="1" si="167"/>
        <v>738879.48639040394</v>
      </c>
      <c r="AT163" s="2">
        <f t="shared" ca="1" si="168"/>
        <v>756075.32944593695</v>
      </c>
      <c r="AU163" s="2">
        <f t="shared" ca="1" si="169"/>
        <v>773485.73268066626</v>
      </c>
      <c r="AV163" s="2">
        <f t="shared" ca="1" si="170"/>
        <v>1973715.5611158619</v>
      </c>
      <c r="AW163" s="2">
        <f t="shared" ca="1" si="171"/>
        <v>2048369.7802893426</v>
      </c>
      <c r="AX163" s="2">
        <f t="shared" ca="1" si="172"/>
        <v>2096630.590152584</v>
      </c>
      <c r="AY163" s="2">
        <f t="shared" ca="1" si="173"/>
        <v>2145493.5715975855</v>
      </c>
      <c r="AZ163" s="2">
        <f t="shared" ca="1" si="174"/>
        <v>2194966.2381868977</v>
      </c>
      <c r="BA163" s="2">
        <f t="shared" ca="1" si="175"/>
        <v>48700566.184202641</v>
      </c>
      <c r="BB163" s="2">
        <f t="shared" ca="1" si="176"/>
        <v>974011.3236840528</v>
      </c>
      <c r="BC163" s="2">
        <f t="shared" ca="1" si="177"/>
        <v>20407121.404419348</v>
      </c>
      <c r="BD163" s="2">
        <f t="shared" ca="1" si="178"/>
        <v>-19851265.364736963</v>
      </c>
      <c r="BE163" s="2">
        <f t="shared" ca="1" si="179"/>
        <v>1973715.5611158619</v>
      </c>
      <c r="BF163" s="2">
        <f t="shared" ca="1" si="180"/>
        <v>2048369.7802893426</v>
      </c>
      <c r="BG163" s="2">
        <f t="shared" ca="1" si="181"/>
        <v>2096630.590152584</v>
      </c>
      <c r="BH163" s="2">
        <f t="shared" ca="1" si="182"/>
        <v>2145493.5715975855</v>
      </c>
      <c r="BI163" s="2">
        <f t="shared" ca="1" si="183"/>
        <v>22602087.642606243</v>
      </c>
      <c r="BJ163" s="2">
        <f t="shared" ca="1" si="184"/>
        <v>0.10931354871521126</v>
      </c>
      <c r="BK163" s="2">
        <f t="shared" ca="1" si="185"/>
        <v>-775199.76361531392</v>
      </c>
    </row>
    <row r="164" spans="1:63" x14ac:dyDescent="0.3">
      <c r="A164" s="2">
        <v>163</v>
      </c>
      <c r="B164" s="2">
        <f t="shared" ca="1" si="124"/>
        <v>0.23507795902541306</v>
      </c>
      <c r="C164" s="2">
        <f t="shared" ca="1" si="125"/>
        <v>6.6856791655364969</v>
      </c>
      <c r="D164" s="2">
        <f t="shared" ca="1" si="126"/>
        <v>0.30906533769626032</v>
      </c>
      <c r="E164" s="2">
        <f t="shared" ca="1" si="127"/>
        <v>7.2862128690071923</v>
      </c>
      <c r="F164" s="2">
        <f t="shared" ca="1" si="128"/>
        <v>0.77063431184119435</v>
      </c>
      <c r="G164" s="2">
        <f t="shared" ca="1" si="129"/>
        <v>6.2228123043932944E-2</v>
      </c>
      <c r="H164" s="2">
        <f t="shared" ca="1" si="130"/>
        <v>6.2228123043932944E-2</v>
      </c>
      <c r="I164" s="2">
        <f t="shared" ca="1" si="131"/>
        <v>0.27732318080211671</v>
      </c>
      <c r="J164" s="2">
        <f t="shared" ca="1" si="132"/>
        <v>7.0459397604257148E-3</v>
      </c>
      <c r="K164" s="2">
        <f t="shared" ca="1" si="133"/>
        <v>7.0459397604257148E-3</v>
      </c>
      <c r="L164" s="2">
        <f t="shared" ca="1" si="134"/>
        <v>0.54989541299258426</v>
      </c>
      <c r="M164" s="2">
        <f t="shared" ca="1" si="135"/>
        <v>2.5079422487123064E-3</v>
      </c>
      <c r="N164" s="2">
        <f t="shared" ca="1" si="136"/>
        <v>2.5079422487123064E-3</v>
      </c>
      <c r="O164" s="2">
        <f t="shared" si="137"/>
        <v>6000000</v>
      </c>
      <c r="P164" s="2">
        <f t="shared" ca="1" si="138"/>
        <v>40114074.993218981</v>
      </c>
      <c r="Q164" s="2">
        <f t="shared" ca="1" si="139"/>
        <v>1002851.8748304746</v>
      </c>
      <c r="R164" s="2">
        <f t="shared" ca="1" si="140"/>
        <v>24068444.995931387</v>
      </c>
      <c r="S164" s="2">
        <f t="shared" ca="1" si="141"/>
        <v>16045629.997287594</v>
      </c>
      <c r="T164" s="2">
        <f t="shared" ca="1" si="142"/>
        <v>50125397.112435609</v>
      </c>
      <c r="U164" s="2">
        <f t="shared" ca="1" si="143"/>
        <v>53244606.491574258</v>
      </c>
      <c r="V164" s="2">
        <f t="shared" ca="1" si="144"/>
        <v>56557918.415757731</v>
      </c>
      <c r="W164" s="2">
        <f t="shared" ca="1" si="145"/>
        <v>60077411.52204223</v>
      </c>
      <c r="X164" s="2">
        <f t="shared" ca="1" si="146"/>
        <v>63815916.078396872</v>
      </c>
      <c r="Y164" s="2">
        <f t="shared" ca="1" si="147"/>
        <v>0.12352296988021286</v>
      </c>
      <c r="Z164" s="2">
        <f t="shared" ca="1" si="148"/>
        <v>0.124932157832298</v>
      </c>
      <c r="AA164" s="2">
        <f t="shared" ca="1" si="149"/>
        <v>6191637.917753092</v>
      </c>
      <c r="AB164" s="2">
        <f t="shared" ca="1" si="150"/>
        <v>6651963.5819239533</v>
      </c>
      <c r="AC164" s="2">
        <f t="shared" ca="1" si="151"/>
        <v>7065902.7901836783</v>
      </c>
      <c r="AD164" s="2">
        <f t="shared" ca="1" si="152"/>
        <v>7505600.6584276976</v>
      </c>
      <c r="AE164" s="2">
        <f t="shared" ca="1" si="153"/>
        <v>7972660.0997189609</v>
      </c>
      <c r="AF164" s="2">
        <f t="shared" ca="1" si="154"/>
        <v>1002507.9422487122</v>
      </c>
      <c r="AG164" s="2">
        <f t="shared" ca="1" si="155"/>
        <v>1064892.1298314852</v>
      </c>
      <c r="AH164" s="2">
        <f t="shared" ca="1" si="156"/>
        <v>1131158.3683151547</v>
      </c>
      <c r="AI164" s="2">
        <f t="shared" ca="1" si="157"/>
        <v>1201548.2304408445</v>
      </c>
      <c r="AJ164" s="2">
        <f t="shared" ca="1" si="158"/>
        <v>1276318.3215679375</v>
      </c>
      <c r="AK164" s="2">
        <f t="shared" ca="1" si="159"/>
        <v>0</v>
      </c>
      <c r="AL164" s="2">
        <f t="shared" ca="1" si="160"/>
        <v>31192.093791386487</v>
      </c>
      <c r="AM164" s="2">
        <f t="shared" ca="1" si="161"/>
        <v>33133.119241834727</v>
      </c>
      <c r="AN164" s="2">
        <f t="shared" ca="1" si="162"/>
        <v>35194.931062844989</v>
      </c>
      <c r="AO164" s="2">
        <f t="shared" ca="1" si="163"/>
        <v>37385.045563546417</v>
      </c>
      <c r="AP164" s="2">
        <f t="shared" ca="1" si="164"/>
        <v>2166160.0496338247</v>
      </c>
      <c r="AQ164" s="2">
        <f t="shared" ca="1" si="165"/>
        <v>785972.18072634435</v>
      </c>
      <c r="AR164" s="2">
        <f t="shared" ca="1" si="166"/>
        <v>889436.96463924728</v>
      </c>
      <c r="AS164" s="2">
        <f t="shared" ca="1" si="167"/>
        <v>979831.93678102177</v>
      </c>
      <c r="AT164" s="2">
        <f t="shared" ca="1" si="168"/>
        <v>1075852.0183717874</v>
      </c>
      <c r="AU164" s="2">
        <f t="shared" ca="1" si="169"/>
        <v>1177847.2494144717</v>
      </c>
      <c r="AV164" s="2">
        <f t="shared" ca="1" si="170"/>
        <v>2236997.7451442103</v>
      </c>
      <c r="AW164" s="2">
        <f t="shared" ca="1" si="171"/>
        <v>2500282.3440280096</v>
      </c>
      <c r="AX164" s="2">
        <f t="shared" ca="1" si="172"/>
        <v>2755619.3162118425</v>
      </c>
      <c r="AY164" s="2">
        <f t="shared" ca="1" si="173"/>
        <v>3026845.4289183957</v>
      </c>
      <c r="AZ164" s="2">
        <f t="shared" ca="1" si="174"/>
        <v>3314949.4335391806</v>
      </c>
      <c r="BA164" s="2">
        <f t="shared" ca="1" si="175"/>
        <v>58090498.618792459</v>
      </c>
      <c r="BB164" s="2">
        <f t="shared" ca="1" si="176"/>
        <v>1161809.9723758493</v>
      </c>
      <c r="BC164" s="2">
        <f t="shared" ca="1" si="177"/>
        <v>32860243.650485225</v>
      </c>
      <c r="BD164" s="2">
        <f t="shared" ca="1" si="178"/>
        <v>-17548481.872118067</v>
      </c>
      <c r="BE164" s="2">
        <f t="shared" ca="1" si="179"/>
        <v>2236997.7451442103</v>
      </c>
      <c r="BF164" s="2">
        <f t="shared" ca="1" si="180"/>
        <v>2500282.3440280096</v>
      </c>
      <c r="BG164" s="2">
        <f t="shared" ca="1" si="181"/>
        <v>2755619.3162118425</v>
      </c>
      <c r="BH164" s="2">
        <f t="shared" ca="1" si="182"/>
        <v>3026845.4289183957</v>
      </c>
      <c r="BI164" s="2">
        <f t="shared" ca="1" si="183"/>
        <v>36175193.084024407</v>
      </c>
      <c r="BJ164" s="2">
        <f t="shared" ca="1" si="184"/>
        <v>0.25596452064021058</v>
      </c>
      <c r="BK164" s="2">
        <f t="shared" ca="1" si="185"/>
        <v>10853833.777065843</v>
      </c>
    </row>
    <row r="165" spans="1:63" x14ac:dyDescent="0.3">
      <c r="A165" s="2">
        <v>164</v>
      </c>
      <c r="B165" s="2">
        <f t="shared" ca="1" si="124"/>
        <v>0.61847641635091033</v>
      </c>
      <c r="C165" s="2">
        <f t="shared" ca="1" si="125"/>
        <v>7.126474289274678</v>
      </c>
      <c r="D165" s="2">
        <f t="shared" ca="1" si="126"/>
        <v>0.31262007003695014</v>
      </c>
      <c r="E165" s="2">
        <f t="shared" ca="1" si="127"/>
        <v>7.2907212783743081</v>
      </c>
      <c r="F165" s="2">
        <f t="shared" ca="1" si="128"/>
        <v>0.1082118573130767</v>
      </c>
      <c r="G165" s="2">
        <f t="shared" ca="1" si="129"/>
        <v>2.9171872434092874E-3</v>
      </c>
      <c r="H165" s="2">
        <f t="shared" ca="1" si="130"/>
        <v>2.9171872434092874E-3</v>
      </c>
      <c r="I165" s="2">
        <f t="shared" ca="1" si="131"/>
        <v>0.64154278445610868</v>
      </c>
      <c r="J165" s="2">
        <f t="shared" ca="1" si="132"/>
        <v>1.1812928252467315E-2</v>
      </c>
      <c r="K165" s="2">
        <f t="shared" ca="1" si="133"/>
        <v>1.1812928252467315E-2</v>
      </c>
      <c r="L165" s="2">
        <f t="shared" ca="1" si="134"/>
        <v>0.94237290193535495</v>
      </c>
      <c r="M165" s="2">
        <f t="shared" ca="1" si="135"/>
        <v>3.150019481938255E-2</v>
      </c>
      <c r="N165" s="2">
        <f t="shared" ca="1" si="136"/>
        <v>3.150019481938255E-2</v>
      </c>
      <c r="O165" s="2">
        <f t="shared" si="137"/>
        <v>6000000</v>
      </c>
      <c r="P165" s="2">
        <f t="shared" ca="1" si="138"/>
        <v>42758845.735648066</v>
      </c>
      <c r="Q165" s="2">
        <f t="shared" ca="1" si="139"/>
        <v>1068971.1433912017</v>
      </c>
      <c r="R165" s="2">
        <f t="shared" ca="1" si="140"/>
        <v>25655307.441388838</v>
      </c>
      <c r="S165" s="2">
        <f t="shared" ca="1" si="141"/>
        <v>17103538.294259228</v>
      </c>
      <c r="T165" s="2">
        <f t="shared" ca="1" si="142"/>
        <v>51575009.740969121</v>
      </c>
      <c r="U165" s="2">
        <f t="shared" ca="1" si="143"/>
        <v>51725463.701464184</v>
      </c>
      <c r="V165" s="2">
        <f t="shared" ca="1" si="144"/>
        <v>51876356.564333528</v>
      </c>
      <c r="W165" s="2">
        <f t="shared" ca="1" si="145"/>
        <v>52027689.609937556</v>
      </c>
      <c r="X165" s="2">
        <f t="shared" ca="1" si="146"/>
        <v>52179464.122371726</v>
      </c>
      <c r="Y165" s="2">
        <f t="shared" ca="1" si="147"/>
        <v>0.12590646412623366</v>
      </c>
      <c r="Z165" s="2">
        <f t="shared" ca="1" si="148"/>
        <v>0.12826904977672712</v>
      </c>
      <c r="AA165" s="2">
        <f t="shared" ca="1" si="149"/>
        <v>6493627.11376148</v>
      </c>
      <c r="AB165" s="2">
        <f t="shared" ca="1" si="150"/>
        <v>6634776.0782474009</v>
      </c>
      <c r="AC165" s="2">
        <f t="shared" ca="1" si="151"/>
        <v>6654130.962385742</v>
      </c>
      <c r="AD165" s="2">
        <f t="shared" ca="1" si="152"/>
        <v>6673542.3083451893</v>
      </c>
      <c r="AE165" s="2">
        <f t="shared" ca="1" si="153"/>
        <v>6693010.280835446</v>
      </c>
      <c r="AF165" s="2">
        <f t="shared" ca="1" si="154"/>
        <v>1031500.1948193825</v>
      </c>
      <c r="AG165" s="2">
        <f t="shared" ca="1" si="155"/>
        <v>1034509.2740292837</v>
      </c>
      <c r="AH165" s="2">
        <f t="shared" ca="1" si="156"/>
        <v>1037527.1312866706</v>
      </c>
      <c r="AI165" s="2">
        <f t="shared" ca="1" si="157"/>
        <v>1040553.7921987511</v>
      </c>
      <c r="AJ165" s="2">
        <f t="shared" ca="1" si="158"/>
        <v>1043589.2824474345</v>
      </c>
      <c r="AK165" s="2">
        <f t="shared" ca="1" si="159"/>
        <v>0</v>
      </c>
      <c r="AL165" s="2">
        <f t="shared" ca="1" si="160"/>
        <v>1504.5396049506217</v>
      </c>
      <c r="AM165" s="2">
        <f t="shared" ca="1" si="161"/>
        <v>1508.9286286934466</v>
      </c>
      <c r="AN165" s="2">
        <f t="shared" ca="1" si="162"/>
        <v>1513.330456040278</v>
      </c>
      <c r="AO165" s="2">
        <f t="shared" ca="1" si="163"/>
        <v>1517.7451243416965</v>
      </c>
      <c r="AP165" s="2">
        <f t="shared" ca="1" si="164"/>
        <v>2308977.6697249953</v>
      </c>
      <c r="AQ165" s="2">
        <f t="shared" ca="1" si="165"/>
        <v>819818.80479644658</v>
      </c>
      <c r="AR165" s="2">
        <f t="shared" ca="1" si="166"/>
        <v>855735.17496821168</v>
      </c>
      <c r="AS165" s="2">
        <f t="shared" ca="1" si="167"/>
        <v>859982.80195725989</v>
      </c>
      <c r="AT165" s="2">
        <f t="shared" ca="1" si="168"/>
        <v>864242.82006957522</v>
      </c>
      <c r="AU165" s="2">
        <f t="shared" ca="1" si="169"/>
        <v>868515.26545238413</v>
      </c>
      <c r="AV165" s="2">
        <f t="shared" ca="1" si="170"/>
        <v>2333330.4444206562</v>
      </c>
      <c r="AW165" s="2">
        <f t="shared" ca="1" si="171"/>
        <v>2434049.4199199593</v>
      </c>
      <c r="AX165" s="2">
        <f t="shared" ca="1" si="172"/>
        <v>2446134.430788123</v>
      </c>
      <c r="AY165" s="2">
        <f t="shared" ca="1" si="173"/>
        <v>2458254.6958958283</v>
      </c>
      <c r="AZ165" s="2">
        <f t="shared" ca="1" si="174"/>
        <v>2470410.3180862898</v>
      </c>
      <c r="BA165" s="2">
        <f t="shared" ca="1" si="175"/>
        <v>48796872.470864989</v>
      </c>
      <c r="BB165" s="2">
        <f t="shared" ca="1" si="176"/>
        <v>975937.44941729982</v>
      </c>
      <c r="BC165" s="2">
        <f t="shared" ca="1" si="177"/>
        <v>22165627.58005885</v>
      </c>
      <c r="BD165" s="2">
        <f t="shared" ca="1" si="178"/>
        <v>-18672509.437650431</v>
      </c>
      <c r="BE165" s="2">
        <f t="shared" ca="1" si="179"/>
        <v>2333330.4444206562</v>
      </c>
      <c r="BF165" s="2">
        <f t="shared" ca="1" si="180"/>
        <v>2434049.4199199593</v>
      </c>
      <c r="BG165" s="2">
        <f t="shared" ca="1" si="181"/>
        <v>2446134.430788123</v>
      </c>
      <c r="BH165" s="2">
        <f t="shared" ca="1" si="182"/>
        <v>2458254.6958958283</v>
      </c>
      <c r="BI165" s="2">
        <f t="shared" ca="1" si="183"/>
        <v>24636037.898145139</v>
      </c>
      <c r="BJ165" s="2">
        <f t="shared" ca="1" si="184"/>
        <v>0.15693928324834805</v>
      </c>
      <c r="BK165" s="2">
        <f t="shared" ca="1" si="185"/>
        <v>2633755.6053187847</v>
      </c>
    </row>
    <row r="166" spans="1:63" x14ac:dyDescent="0.3">
      <c r="A166" s="2">
        <v>165</v>
      </c>
      <c r="B166" s="2">
        <f t="shared" ca="1" si="124"/>
        <v>0.91935456949656746</v>
      </c>
      <c r="C166" s="2">
        <f t="shared" ca="1" si="125"/>
        <v>7.5983896652140723</v>
      </c>
      <c r="D166" s="2">
        <f t="shared" ca="1" si="126"/>
        <v>0.25946718599900065</v>
      </c>
      <c r="E166" s="2">
        <f t="shared" ca="1" si="127"/>
        <v>7.2203709960832692</v>
      </c>
      <c r="F166" s="2">
        <f t="shared" ca="1" si="128"/>
        <v>0.27576597115303214</v>
      </c>
      <c r="G166" s="2">
        <f t="shared" ca="1" si="129"/>
        <v>2.2136016528041185E-2</v>
      </c>
      <c r="H166" s="2">
        <f t="shared" ca="1" si="130"/>
        <v>2.2136016528041185E-2</v>
      </c>
      <c r="I166" s="2">
        <f t="shared" ca="1" si="131"/>
        <v>0.88035124639333096</v>
      </c>
      <c r="J166" s="2">
        <f t="shared" ca="1" si="132"/>
        <v>1.5883722416565365E-2</v>
      </c>
      <c r="K166" s="2">
        <f t="shared" ca="1" si="133"/>
        <v>1.5883722416565365E-2</v>
      </c>
      <c r="L166" s="2">
        <f t="shared" ca="1" si="134"/>
        <v>0.34235037661060341</v>
      </c>
      <c r="M166" s="2">
        <f t="shared" ca="1" si="135"/>
        <v>-8.1211390819291487E-3</v>
      </c>
      <c r="N166" s="2">
        <f t="shared" ca="1" si="136"/>
        <v>-8.1211390819291487E-3</v>
      </c>
      <c r="O166" s="2">
        <f t="shared" si="137"/>
        <v>6000000</v>
      </c>
      <c r="P166" s="2">
        <f t="shared" ca="1" si="138"/>
        <v>45590337.991284437</v>
      </c>
      <c r="Q166" s="2">
        <f t="shared" ca="1" si="139"/>
        <v>1139758.449782111</v>
      </c>
      <c r="R166" s="2">
        <f t="shared" ca="1" si="140"/>
        <v>27354202.794770662</v>
      </c>
      <c r="S166" s="2">
        <f t="shared" ca="1" si="141"/>
        <v>18236135.196513776</v>
      </c>
      <c r="T166" s="2">
        <f t="shared" ca="1" si="142"/>
        <v>49593943.045903541</v>
      </c>
      <c r="U166" s="2">
        <f t="shared" ca="1" si="143"/>
        <v>50691755.388858393</v>
      </c>
      <c r="V166" s="2">
        <f t="shared" ca="1" si="144"/>
        <v>51813868.923981577</v>
      </c>
      <c r="W166" s="2">
        <f t="shared" ca="1" si="145"/>
        <v>52960821.58286459</v>
      </c>
      <c r="X166" s="2">
        <f t="shared" ca="1" si="146"/>
        <v>54133163.204761513</v>
      </c>
      <c r="Y166" s="2">
        <f t="shared" ca="1" si="147"/>
        <v>0.12794186120828269</v>
      </c>
      <c r="Z166" s="2">
        <f t="shared" ca="1" si="148"/>
        <v>0.13111860569159575</v>
      </c>
      <c r="AA166" s="2">
        <f t="shared" ca="1" si="149"/>
        <v>6345141.3779504672</v>
      </c>
      <c r="AB166" s="2">
        <f t="shared" ca="1" si="150"/>
        <v>6646632.2866465477</v>
      </c>
      <c r="AC166" s="2">
        <f t="shared" ca="1" si="151"/>
        <v>6793762.2487995671</v>
      </c>
      <c r="AD166" s="2">
        <f t="shared" ca="1" si="152"/>
        <v>6944149.0822265763</v>
      </c>
      <c r="AE166" s="2">
        <f t="shared" ca="1" si="153"/>
        <v>7097864.8810839243</v>
      </c>
      <c r="AF166" s="2">
        <f t="shared" ca="1" si="154"/>
        <v>991878.86091807089</v>
      </c>
      <c r="AG166" s="2">
        <f t="shared" ca="1" si="155"/>
        <v>1013835.1077771679</v>
      </c>
      <c r="AH166" s="2">
        <f t="shared" ca="1" si="156"/>
        <v>1036277.3784796316</v>
      </c>
      <c r="AI166" s="2">
        <f t="shared" ca="1" si="157"/>
        <v>1059216.4316572917</v>
      </c>
      <c r="AJ166" s="2">
        <f t="shared" ca="1" si="158"/>
        <v>1082663.2640952303</v>
      </c>
      <c r="AK166" s="2">
        <f t="shared" ca="1" si="159"/>
        <v>0</v>
      </c>
      <c r="AL166" s="2">
        <f t="shared" ca="1" si="160"/>
        <v>10978.123429548517</v>
      </c>
      <c r="AM166" s="2">
        <f t="shared" ca="1" si="161"/>
        <v>11221.135351231844</v>
      </c>
      <c r="AN166" s="2">
        <f t="shared" ca="1" si="162"/>
        <v>11469.526588830129</v>
      </c>
      <c r="AO166" s="2">
        <f t="shared" ca="1" si="163"/>
        <v>11723.416218969227</v>
      </c>
      <c r="AP166" s="2">
        <f t="shared" ca="1" si="164"/>
        <v>2461878.2515293593</v>
      </c>
      <c r="AQ166" s="2">
        <f t="shared" ca="1" si="165"/>
        <v>751759.90903078963</v>
      </c>
      <c r="AR166" s="2">
        <f t="shared" ca="1" si="166"/>
        <v>824438.92110840534</v>
      </c>
      <c r="AS166" s="2">
        <f t="shared" ca="1" si="167"/>
        <v>856857.7208855499</v>
      </c>
      <c r="AT166" s="2">
        <f t="shared" ca="1" si="168"/>
        <v>889994.14375038061</v>
      </c>
      <c r="AU166" s="2">
        <f t="shared" ca="1" si="169"/>
        <v>923864.07501942711</v>
      </c>
      <c r="AV166" s="2">
        <f t="shared" ca="1" si="170"/>
        <v>2139624.3564722473</v>
      </c>
      <c r="AW166" s="2">
        <f t="shared" ca="1" si="171"/>
        <v>2335501.8828020664</v>
      </c>
      <c r="AX166" s="2">
        <f t="shared" ca="1" si="172"/>
        <v>2427527.7625537943</v>
      </c>
      <c r="AY166" s="2">
        <f t="shared" ca="1" si="173"/>
        <v>2521590.7287007142</v>
      </c>
      <c r="AZ166" s="2">
        <f t="shared" ca="1" si="174"/>
        <v>2617735.8742209384</v>
      </c>
      <c r="BA166" s="2">
        <f t="shared" ca="1" si="175"/>
        <v>51249217.721496388</v>
      </c>
      <c r="BB166" s="2">
        <f t="shared" ca="1" si="176"/>
        <v>1024984.3544299278</v>
      </c>
      <c r="BC166" s="2">
        <f t="shared" ca="1" si="177"/>
        <v>22870030.5722958</v>
      </c>
      <c r="BD166" s="2">
        <f t="shared" ca="1" si="178"/>
        <v>-19875893.646295886</v>
      </c>
      <c r="BE166" s="2">
        <f t="shared" ca="1" si="179"/>
        <v>2139624.3564722473</v>
      </c>
      <c r="BF166" s="2">
        <f t="shared" ca="1" si="180"/>
        <v>2335501.8828020664</v>
      </c>
      <c r="BG166" s="2">
        <f t="shared" ca="1" si="181"/>
        <v>2427527.7625537943</v>
      </c>
      <c r="BH166" s="2">
        <f t="shared" ca="1" si="182"/>
        <v>2521590.7287007142</v>
      </c>
      <c r="BI166" s="2">
        <f t="shared" ca="1" si="183"/>
        <v>25487766.446516737</v>
      </c>
      <c r="BJ166" s="2">
        <f t="shared" ca="1" si="184"/>
        <v>0.14232094874761736</v>
      </c>
      <c r="BK166" s="2">
        <f t="shared" ca="1" si="185"/>
        <v>1689159.0262589604</v>
      </c>
    </row>
    <row r="167" spans="1:63" x14ac:dyDescent="0.3">
      <c r="A167" s="2">
        <v>166</v>
      </c>
      <c r="B167" s="2">
        <f t="shared" ca="1" si="124"/>
        <v>7.8877040723470349E-2</v>
      </c>
      <c r="C167" s="2">
        <f t="shared" ca="1" si="125"/>
        <v>6.3971826801950717</v>
      </c>
      <c r="D167" s="2">
        <f t="shared" ca="1" si="126"/>
        <v>0.49900832879486867</v>
      </c>
      <c r="E167" s="2">
        <f t="shared" ca="1" si="127"/>
        <v>7.4990078366007635</v>
      </c>
      <c r="F167" s="2">
        <f t="shared" ca="1" si="128"/>
        <v>0.82380257549537073</v>
      </c>
      <c r="G167" s="2">
        <f t="shared" ca="1" si="129"/>
        <v>6.7898623070841185E-2</v>
      </c>
      <c r="H167" s="2">
        <f t="shared" ca="1" si="130"/>
        <v>6.7898623070841185E-2</v>
      </c>
      <c r="I167" s="2">
        <f t="shared" ca="1" si="131"/>
        <v>0.4949072528673919</v>
      </c>
      <c r="J167" s="2">
        <f t="shared" ca="1" si="132"/>
        <v>9.9361701465263876E-3</v>
      </c>
      <c r="K167" s="2">
        <f t="shared" ca="1" si="133"/>
        <v>9.9361701465263876E-3</v>
      </c>
      <c r="L167" s="2">
        <f t="shared" ca="1" si="134"/>
        <v>7.0072851097058075E-2</v>
      </c>
      <c r="M167" s="2">
        <f t="shared" ca="1" si="135"/>
        <v>-2.9504973303578496E-2</v>
      </c>
      <c r="N167" s="2">
        <f t="shared" ca="1" si="136"/>
        <v>-2.9504973303578496E-2</v>
      </c>
      <c r="O167" s="2">
        <f t="shared" si="137"/>
        <v>6000000</v>
      </c>
      <c r="P167" s="2">
        <f t="shared" ca="1" si="138"/>
        <v>38383096.081170432</v>
      </c>
      <c r="Q167" s="2">
        <f t="shared" ca="1" si="139"/>
        <v>959577.40202926088</v>
      </c>
      <c r="R167" s="2">
        <f t="shared" ca="1" si="140"/>
        <v>23029857.64870226</v>
      </c>
      <c r="S167" s="2">
        <f t="shared" ca="1" si="141"/>
        <v>15353238.432468174</v>
      </c>
      <c r="T167" s="2">
        <f t="shared" ca="1" si="142"/>
        <v>48524751.334821075</v>
      </c>
      <c r="U167" s="2">
        <f t="shared" ca="1" si="143"/>
        <v>51819515.135310389</v>
      </c>
      <c r="V167" s="2">
        <f t="shared" ca="1" si="144"/>
        <v>55337988.861196578</v>
      </c>
      <c r="W167" s="2">
        <f t="shared" ca="1" si="145"/>
        <v>59095362.108381368</v>
      </c>
      <c r="X167" s="2">
        <f t="shared" ca="1" si="146"/>
        <v>63107855.825413227</v>
      </c>
      <c r="Y167" s="2">
        <f t="shared" ca="1" si="147"/>
        <v>0.12496808507326319</v>
      </c>
      <c r="Z167" s="2">
        <f t="shared" ca="1" si="148"/>
        <v>0.12695531910256846</v>
      </c>
      <c r="AA167" s="2">
        <f t="shared" ca="1" si="149"/>
        <v>6064045.2529688617</v>
      </c>
      <c r="AB167" s="2">
        <f t="shared" ca="1" si="150"/>
        <v>6578763.0797437066</v>
      </c>
      <c r="AC167" s="2">
        <f t="shared" ca="1" si="151"/>
        <v>7025452.0343675911</v>
      </c>
      <c r="AD167" s="2">
        <f t="shared" ca="1" si="152"/>
        <v>7502470.5539513901</v>
      </c>
      <c r="AE167" s="2">
        <f t="shared" ca="1" si="153"/>
        <v>8011877.9741942203</v>
      </c>
      <c r="AF167" s="2">
        <f t="shared" ca="1" si="154"/>
        <v>970495.02669642156</v>
      </c>
      <c r="AG167" s="2">
        <f t="shared" ca="1" si="155"/>
        <v>1036390.3027062078</v>
      </c>
      <c r="AH167" s="2">
        <f t="shared" ca="1" si="156"/>
        <v>1106759.7772239316</v>
      </c>
      <c r="AI167" s="2">
        <f t="shared" ca="1" si="157"/>
        <v>1181907.2421676274</v>
      </c>
      <c r="AJ167" s="2">
        <f t="shared" ca="1" si="158"/>
        <v>1262157.1165082646</v>
      </c>
      <c r="AK167" s="2">
        <f t="shared" ca="1" si="159"/>
        <v>0</v>
      </c>
      <c r="AL167" s="2">
        <f t="shared" ca="1" si="160"/>
        <v>32947.638004893139</v>
      </c>
      <c r="AM167" s="2">
        <f t="shared" ca="1" si="161"/>
        <v>35184.737258861882</v>
      </c>
      <c r="AN167" s="2">
        <f t="shared" ca="1" si="162"/>
        <v>37573.732471847907</v>
      </c>
      <c r="AO167" s="2">
        <f t="shared" ca="1" si="163"/>
        <v>40124.93717031859</v>
      </c>
      <c r="AP167" s="2">
        <f t="shared" ca="1" si="164"/>
        <v>2072687.1883832032</v>
      </c>
      <c r="AQ167" s="2">
        <f t="shared" ca="1" si="165"/>
        <v>785424.38985120179</v>
      </c>
      <c r="AR167" s="2">
        <f t="shared" ca="1" si="166"/>
        <v>902118.25305011682</v>
      </c>
      <c r="AS167" s="2">
        <f t="shared" ca="1" si="167"/>
        <v>999961.31787771871</v>
      </c>
      <c r="AT167" s="2">
        <f t="shared" ca="1" si="168"/>
        <v>1104447.7920841456</v>
      </c>
      <c r="AU167" s="2">
        <f t="shared" ca="1" si="169"/>
        <v>1216028.7540187156</v>
      </c>
      <c r="AV167" s="2">
        <f t="shared" ca="1" si="170"/>
        <v>2235438.6480380353</v>
      </c>
      <c r="AW167" s="2">
        <f t="shared" ca="1" si="171"/>
        <v>2534619.6975992853</v>
      </c>
      <c r="AX167" s="2">
        <f t="shared" ca="1" si="172"/>
        <v>2810859.0136238765</v>
      </c>
      <c r="AY167" s="2">
        <f t="shared" ca="1" si="173"/>
        <v>3105854.5988445664</v>
      </c>
      <c r="AZ167" s="2">
        <f t="shared" ca="1" si="174"/>
        <v>3420879.9781137183</v>
      </c>
      <c r="BA167" s="2">
        <f t="shared" ca="1" si="175"/>
        <v>60081135.71437151</v>
      </c>
      <c r="BB167" s="2">
        <f t="shared" ca="1" si="176"/>
        <v>1201622.7142874303</v>
      </c>
      <c r="BC167" s="2">
        <f t="shared" ca="1" si="177"/>
        <v>35849655.351381823</v>
      </c>
      <c r="BD167" s="2">
        <f t="shared" ca="1" si="178"/>
        <v>-16812815.834497437</v>
      </c>
      <c r="BE167" s="2">
        <f t="shared" ca="1" si="179"/>
        <v>2235438.6480380353</v>
      </c>
      <c r="BF167" s="2">
        <f t="shared" ca="1" si="180"/>
        <v>2534619.6975992853</v>
      </c>
      <c r="BG167" s="2">
        <f t="shared" ca="1" si="181"/>
        <v>2810859.0136238765</v>
      </c>
      <c r="BH167" s="2">
        <f t="shared" ca="1" si="182"/>
        <v>3105854.5988445664</v>
      </c>
      <c r="BI167" s="2">
        <f t="shared" ca="1" si="183"/>
        <v>39270535.329495542</v>
      </c>
      <c r="BJ167" s="2">
        <f t="shared" ca="1" si="184"/>
        <v>0.28750022566223699</v>
      </c>
      <c r="BK167" s="2">
        <f t="shared" ca="1" si="185"/>
        <v>13461391.890818685</v>
      </c>
    </row>
    <row r="168" spans="1:63" x14ac:dyDescent="0.3">
      <c r="A168" s="2">
        <v>167</v>
      </c>
      <c r="B168" s="2">
        <f t="shared" ca="1" si="124"/>
        <v>0.77028315237762601</v>
      </c>
      <c r="C168" s="2">
        <f t="shared" ca="1" si="125"/>
        <v>7.3221846156623851</v>
      </c>
      <c r="D168" s="2">
        <f t="shared" ca="1" si="126"/>
        <v>0.19894970702270776</v>
      </c>
      <c r="E168" s="2">
        <f t="shared" ca="1" si="127"/>
        <v>7.1307926870576539</v>
      </c>
      <c r="F168" s="2">
        <f t="shared" ca="1" si="128"/>
        <v>9.7827000272232678E-2</v>
      </c>
      <c r="G168" s="2">
        <f t="shared" ca="1" si="129"/>
        <v>1.1790081048597273E-3</v>
      </c>
      <c r="H168" s="2">
        <f t="shared" ca="1" si="130"/>
        <v>1.1790081048597273E-3</v>
      </c>
      <c r="I168" s="2">
        <f t="shared" ca="1" si="131"/>
        <v>0.5670875966939436</v>
      </c>
      <c r="J168" s="2">
        <f t="shared" ca="1" si="132"/>
        <v>1.0844820962662339E-2</v>
      </c>
      <c r="K168" s="2">
        <f t="shared" ca="1" si="133"/>
        <v>1.0844820962662339E-2</v>
      </c>
      <c r="L168" s="2">
        <f t="shared" ca="1" si="134"/>
        <v>0.52017541317882343</v>
      </c>
      <c r="M168" s="2">
        <f t="shared" ca="1" si="135"/>
        <v>1.0118767464459368E-3</v>
      </c>
      <c r="N168" s="2">
        <f t="shared" ca="1" si="136"/>
        <v>1.0118767464459368E-3</v>
      </c>
      <c r="O168" s="2">
        <f t="shared" si="137"/>
        <v>6000000</v>
      </c>
      <c r="P168" s="2">
        <f t="shared" ca="1" si="138"/>
        <v>43933107.693974309</v>
      </c>
      <c r="Q168" s="2">
        <f t="shared" ca="1" si="139"/>
        <v>1098327.6923493578</v>
      </c>
      <c r="R168" s="2">
        <f t="shared" ca="1" si="140"/>
        <v>26359864.616384584</v>
      </c>
      <c r="S168" s="2">
        <f t="shared" ca="1" si="141"/>
        <v>17573243.077589724</v>
      </c>
      <c r="T168" s="2">
        <f t="shared" ca="1" si="142"/>
        <v>50050593.837322302</v>
      </c>
      <c r="U168" s="2">
        <f t="shared" ca="1" si="143"/>
        <v>50109603.893109545</v>
      </c>
      <c r="V168" s="2">
        <f t="shared" ca="1" si="144"/>
        <v>50168683.522230834</v>
      </c>
      <c r="W168" s="2">
        <f t="shared" ca="1" si="145"/>
        <v>50227832.806713685</v>
      </c>
      <c r="X168" s="2">
        <f t="shared" ca="1" si="146"/>
        <v>50287051.828682341</v>
      </c>
      <c r="Y168" s="2">
        <f t="shared" ca="1" si="147"/>
        <v>0.12542241048133115</v>
      </c>
      <c r="Z168" s="2">
        <f t="shared" ca="1" si="148"/>
        <v>0.12759137467386364</v>
      </c>
      <c r="AA168" s="2">
        <f t="shared" ca="1" si="149"/>
        <v>6277466.125099021</v>
      </c>
      <c r="AB168" s="2">
        <f t="shared" ca="1" si="150"/>
        <v>6393553.2450846359</v>
      </c>
      <c r="AC168" s="2">
        <f t="shared" ca="1" si="151"/>
        <v>6401091.2961794436</v>
      </c>
      <c r="AD168" s="2">
        <f t="shared" ca="1" si="152"/>
        <v>6408638.2346975859</v>
      </c>
      <c r="AE168" s="2">
        <f t="shared" ca="1" si="153"/>
        <v>6416194.0711174086</v>
      </c>
      <c r="AF168" s="2">
        <f t="shared" ca="1" si="154"/>
        <v>1001011.876746446</v>
      </c>
      <c r="AG168" s="2">
        <f t="shared" ca="1" si="155"/>
        <v>1002192.0778621909</v>
      </c>
      <c r="AH168" s="2">
        <f t="shared" ca="1" si="156"/>
        <v>1003373.6704446167</v>
      </c>
      <c r="AI168" s="2">
        <f t="shared" ca="1" si="157"/>
        <v>1004556.6561342737</v>
      </c>
      <c r="AJ168" s="2">
        <f t="shared" ca="1" si="158"/>
        <v>1005741.0365736468</v>
      </c>
      <c r="AK168" s="2">
        <f t="shared" ca="1" si="159"/>
        <v>0</v>
      </c>
      <c r="AL168" s="2">
        <f t="shared" ca="1" si="160"/>
        <v>590.10055787242948</v>
      </c>
      <c r="AM168" s="2">
        <f t="shared" ca="1" si="161"/>
        <v>590.79629121288656</v>
      </c>
      <c r="AN168" s="2">
        <f t="shared" ca="1" si="162"/>
        <v>591.49284482851624</v>
      </c>
      <c r="AO168" s="2">
        <f t="shared" ca="1" si="163"/>
        <v>592.19021968655295</v>
      </c>
      <c r="AP168" s="2">
        <f t="shared" ca="1" si="164"/>
        <v>2372387.8154746126</v>
      </c>
      <c r="AQ168" s="2">
        <f t="shared" ca="1" si="165"/>
        <v>755057.2725482703</v>
      </c>
      <c r="AR168" s="2">
        <f t="shared" ca="1" si="166"/>
        <v>784933.0714544364</v>
      </c>
      <c r="AS168" s="2">
        <f t="shared" ca="1" si="167"/>
        <v>786585.75066765561</v>
      </c>
      <c r="AT168" s="2">
        <f t="shared" ca="1" si="168"/>
        <v>788240.37840306188</v>
      </c>
      <c r="AU168" s="2">
        <f t="shared" ca="1" si="169"/>
        <v>789896.95695797889</v>
      </c>
      <c r="AV168" s="2">
        <f t="shared" ca="1" si="170"/>
        <v>2149009.1603296921</v>
      </c>
      <c r="AW168" s="2">
        <f t="shared" ca="1" si="171"/>
        <v>2233450.1797355236</v>
      </c>
      <c r="AX168" s="2">
        <f t="shared" ca="1" si="172"/>
        <v>2238153.2633013455</v>
      </c>
      <c r="AY168" s="2">
        <f t="shared" ca="1" si="173"/>
        <v>2242861.891840809</v>
      </c>
      <c r="AZ168" s="2">
        <f t="shared" ca="1" si="174"/>
        <v>2247576.0718914839</v>
      </c>
      <c r="BA168" s="2">
        <f t="shared" ca="1" si="175"/>
        <v>45752549.76106669</v>
      </c>
      <c r="BB168" s="2">
        <f t="shared" ca="1" si="176"/>
        <v>915050.99522133381</v>
      </c>
      <c r="BC168" s="2">
        <f t="shared" ca="1" si="177"/>
        <v>18477634.14946077</v>
      </c>
      <c r="BD168" s="2">
        <f t="shared" ca="1" si="178"/>
        <v>-19171570.769939084</v>
      </c>
      <c r="BE168" s="2">
        <f t="shared" ca="1" si="179"/>
        <v>2149009.1603296921</v>
      </c>
      <c r="BF168" s="2">
        <f t="shared" ca="1" si="180"/>
        <v>2233450.1797355236</v>
      </c>
      <c r="BG168" s="2">
        <f t="shared" ca="1" si="181"/>
        <v>2238153.2633013455</v>
      </c>
      <c r="BH168" s="2">
        <f t="shared" ca="1" si="182"/>
        <v>2242861.891840809</v>
      </c>
      <c r="BI168" s="2">
        <f t="shared" ca="1" si="183"/>
        <v>20725210.221352253</v>
      </c>
      <c r="BJ168" s="2">
        <f t="shared" ca="1" si="184"/>
        <v>0.10986544330236003</v>
      </c>
      <c r="BK168" s="2">
        <f t="shared" ca="1" si="185"/>
        <v>-693826.3479369022</v>
      </c>
    </row>
    <row r="169" spans="1:63" x14ac:dyDescent="0.3">
      <c r="A169" s="2">
        <v>168</v>
      </c>
      <c r="B169" s="2">
        <f t="shared" ca="1" si="124"/>
        <v>0.34842553139624433</v>
      </c>
      <c r="C169" s="2">
        <f t="shared" ca="1" si="125"/>
        <v>6.8347760554738546</v>
      </c>
      <c r="D169" s="2">
        <f t="shared" ca="1" si="126"/>
        <v>0.1848156710380372</v>
      </c>
      <c r="E169" s="2">
        <f t="shared" ca="1" si="127"/>
        <v>7.1079731425614741</v>
      </c>
      <c r="F169" s="2">
        <f t="shared" ca="1" si="128"/>
        <v>0.90742564466510778</v>
      </c>
      <c r="G169" s="2">
        <f t="shared" ca="1" si="129"/>
        <v>7.9752029855385931E-2</v>
      </c>
      <c r="H169" s="2">
        <f t="shared" ca="1" si="130"/>
        <v>7.9752029855385931E-2</v>
      </c>
      <c r="I169" s="2">
        <f t="shared" ca="1" si="131"/>
        <v>0.32038856913633318</v>
      </c>
      <c r="J169" s="2">
        <f t="shared" ca="1" si="132"/>
        <v>7.6669374728108135E-3</v>
      </c>
      <c r="K169" s="2">
        <f t="shared" ca="1" si="133"/>
        <v>7.6669374728108135E-3</v>
      </c>
      <c r="L169" s="2">
        <f t="shared" ca="1" si="134"/>
        <v>0.67443412636502009</v>
      </c>
      <c r="M169" s="2">
        <f t="shared" ca="1" si="135"/>
        <v>9.0438101152414217E-3</v>
      </c>
      <c r="N169" s="2">
        <f t="shared" ca="1" si="136"/>
        <v>9.0438101152414217E-3</v>
      </c>
      <c r="O169" s="2">
        <f t="shared" si="137"/>
        <v>6000000</v>
      </c>
      <c r="P169" s="2">
        <f t="shared" ca="1" si="138"/>
        <v>41008656.332843125</v>
      </c>
      <c r="Q169" s="2">
        <f t="shared" ca="1" si="139"/>
        <v>1025216.4083210782</v>
      </c>
      <c r="R169" s="2">
        <f t="shared" ca="1" si="140"/>
        <v>24605193.799705874</v>
      </c>
      <c r="S169" s="2">
        <f t="shared" ca="1" si="141"/>
        <v>16403462.533137251</v>
      </c>
      <c r="T169" s="2">
        <f t="shared" ca="1" si="142"/>
        <v>50452190.50576207</v>
      </c>
      <c r="U169" s="2">
        <f t="shared" ca="1" si="143"/>
        <v>54475855.10924723</v>
      </c>
      <c r="V169" s="2">
        <f t="shared" ca="1" si="144"/>
        <v>58820415.132317595</v>
      </c>
      <c r="W169" s="2">
        <f t="shared" ca="1" si="145"/>
        <v>63511462.636056386</v>
      </c>
      <c r="X169" s="2">
        <f t="shared" ca="1" si="146"/>
        <v>68576630.700366393</v>
      </c>
      <c r="Y169" s="2">
        <f t="shared" ca="1" si="147"/>
        <v>0.1238334687364054</v>
      </c>
      <c r="Z169" s="2">
        <f t="shared" ca="1" si="148"/>
        <v>0.12536685623096758</v>
      </c>
      <c r="AA169" s="2">
        <f t="shared" ca="1" si="149"/>
        <v>6247669.7556784563</v>
      </c>
      <c r="AB169" s="2">
        <f t="shared" ca="1" si="150"/>
        <v>6829466.6955400184</v>
      </c>
      <c r="AC169" s="2">
        <f t="shared" ca="1" si="151"/>
        <v>7374130.5273390897</v>
      </c>
      <c r="AD169" s="2">
        <f t="shared" ca="1" si="152"/>
        <v>7962232.4053129498</v>
      </c>
      <c r="AE169" s="2">
        <f t="shared" ca="1" si="153"/>
        <v>8597236.6018169913</v>
      </c>
      <c r="AF169" s="2">
        <f t="shared" ca="1" si="154"/>
        <v>1009043.8101152414</v>
      </c>
      <c r="AG169" s="2">
        <f t="shared" ca="1" si="155"/>
        <v>1089517.1021849446</v>
      </c>
      <c r="AH169" s="2">
        <f t="shared" ca="1" si="156"/>
        <v>1176408.302646352</v>
      </c>
      <c r="AI169" s="2">
        <f t="shared" ca="1" si="157"/>
        <v>1270229.2527211278</v>
      </c>
      <c r="AJ169" s="2">
        <f t="shared" ca="1" si="158"/>
        <v>1371532.6140073279</v>
      </c>
      <c r="AK169" s="2">
        <f t="shared" ca="1" si="159"/>
        <v>0</v>
      </c>
      <c r="AL169" s="2">
        <f t="shared" ca="1" si="160"/>
        <v>40236.646034851598</v>
      </c>
      <c r="AM169" s="2">
        <f t="shared" ca="1" si="161"/>
        <v>43445.600230703654</v>
      </c>
      <c r="AN169" s="2">
        <f t="shared" ca="1" si="162"/>
        <v>46910.475037387907</v>
      </c>
      <c r="AO169" s="2">
        <f t="shared" ca="1" si="163"/>
        <v>50651.680643100066</v>
      </c>
      <c r="AP169" s="2">
        <f t="shared" ca="1" si="164"/>
        <v>2214467.4419735288</v>
      </c>
      <c r="AQ169" s="2">
        <f t="shared" ca="1" si="165"/>
        <v>786281.21093331836</v>
      </c>
      <c r="AR169" s="2">
        <f t="shared" ca="1" si="166"/>
        <v>916625.35935920163</v>
      </c>
      <c r="AS169" s="2">
        <f t="shared" ca="1" si="167"/>
        <v>1035646.2435069943</v>
      </c>
      <c r="AT169" s="2">
        <f t="shared" ca="1" si="168"/>
        <v>1164159.2847607562</v>
      </c>
      <c r="AU169" s="2">
        <f t="shared" ca="1" si="169"/>
        <v>1302921.501917395</v>
      </c>
      <c r="AV169" s="2">
        <f t="shared" ca="1" si="170"/>
        <v>2237877.2926563676</v>
      </c>
      <c r="AW169" s="2">
        <f t="shared" ca="1" si="171"/>
        <v>2568620.1459874911</v>
      </c>
      <c r="AX169" s="2">
        <f t="shared" ca="1" si="172"/>
        <v>2904162.9389815107</v>
      </c>
      <c r="AY169" s="2">
        <f t="shared" ca="1" si="173"/>
        <v>3266465.9508201489</v>
      </c>
      <c r="AZ169" s="2">
        <f t="shared" ca="1" si="174"/>
        <v>3657663.3632756397</v>
      </c>
      <c r="BA169" s="2">
        <f t="shared" ca="1" si="175"/>
        <v>61108926.865961649</v>
      </c>
      <c r="BB169" s="2">
        <f t="shared" ca="1" si="176"/>
        <v>1222178.5373192329</v>
      </c>
      <c r="BC169" s="2">
        <f t="shared" ca="1" si="177"/>
        <v>35281554.528936543</v>
      </c>
      <c r="BD169" s="2">
        <f t="shared" ca="1" si="178"/>
        <v>-17928678.94145833</v>
      </c>
      <c r="BE169" s="2">
        <f t="shared" ca="1" si="179"/>
        <v>2237877.2926563676</v>
      </c>
      <c r="BF169" s="2">
        <f t="shared" ca="1" si="180"/>
        <v>2568620.1459874911</v>
      </c>
      <c r="BG169" s="2">
        <f t="shared" ca="1" si="181"/>
        <v>2904162.9389815107</v>
      </c>
      <c r="BH169" s="2">
        <f t="shared" ca="1" si="182"/>
        <v>3266465.9508201489</v>
      </c>
      <c r="BI169" s="2">
        <f t="shared" ca="1" si="183"/>
        <v>38939217.892212182</v>
      </c>
      <c r="BJ169" s="2">
        <f t="shared" ca="1" si="184"/>
        <v>0.26802004300341342</v>
      </c>
      <c r="BK169" s="2">
        <f t="shared" ca="1" si="185"/>
        <v>12355295.991621338</v>
      </c>
    </row>
    <row r="170" spans="1:63" x14ac:dyDescent="0.3">
      <c r="A170" s="2">
        <v>169</v>
      </c>
      <c r="B170" s="2">
        <f t="shared" ca="1" si="124"/>
        <v>0.42497413939399653</v>
      </c>
      <c r="C170" s="2">
        <f t="shared" ca="1" si="125"/>
        <v>6.9219263955370804</v>
      </c>
      <c r="D170" s="2">
        <f t="shared" ca="1" si="126"/>
        <v>2.6750060887539284E-2</v>
      </c>
      <c r="E170" s="2">
        <f t="shared" ca="1" si="127"/>
        <v>6.7313009333640457</v>
      </c>
      <c r="F170" s="2">
        <f t="shared" ca="1" si="128"/>
        <v>0.69080450819158812</v>
      </c>
      <c r="G170" s="2">
        <f t="shared" ca="1" si="129"/>
        <v>5.4943961003465991E-2</v>
      </c>
      <c r="H170" s="2">
        <f t="shared" ca="1" si="130"/>
        <v>5.4943961003465991E-2</v>
      </c>
      <c r="I170" s="2">
        <f t="shared" ca="1" si="131"/>
        <v>0.55836969227918243</v>
      </c>
      <c r="J170" s="2">
        <f t="shared" ca="1" si="132"/>
        <v>1.0734185405316912E-2</v>
      </c>
      <c r="K170" s="2">
        <f t="shared" ca="1" si="133"/>
        <v>1.0734185405316912E-2</v>
      </c>
      <c r="L170" s="2">
        <f t="shared" ca="1" si="134"/>
        <v>0.35295209952493178</v>
      </c>
      <c r="M170" s="2">
        <f t="shared" ca="1" si="135"/>
        <v>-7.5472508611159851E-3</v>
      </c>
      <c r="N170" s="2">
        <f t="shared" ca="1" si="136"/>
        <v>-7.5472508611159851E-3</v>
      </c>
      <c r="O170" s="2">
        <f t="shared" si="137"/>
        <v>6000000</v>
      </c>
      <c r="P170" s="2">
        <f t="shared" ca="1" si="138"/>
        <v>41531558.373222485</v>
      </c>
      <c r="Q170" s="2">
        <f t="shared" ca="1" si="139"/>
        <v>1038288.9593305622</v>
      </c>
      <c r="R170" s="2">
        <f t="shared" ca="1" si="140"/>
        <v>24918935.023933489</v>
      </c>
      <c r="S170" s="2">
        <f t="shared" ca="1" si="141"/>
        <v>16612623.349288994</v>
      </c>
      <c r="T170" s="2">
        <f t="shared" ca="1" si="142"/>
        <v>49622637.456944205</v>
      </c>
      <c r="U170" s="2">
        <f t="shared" ca="1" si="143"/>
        <v>52349101.714267671</v>
      </c>
      <c r="V170" s="2">
        <f t="shared" ca="1" si="144"/>
        <v>55225368.717422865</v>
      </c>
      <c r="W170" s="2">
        <f t="shared" ca="1" si="145"/>
        <v>58259669.222634971</v>
      </c>
      <c r="X170" s="2">
        <f t="shared" ca="1" si="146"/>
        <v>61460686.216478251</v>
      </c>
      <c r="Y170" s="2">
        <f t="shared" ca="1" si="147"/>
        <v>0.12536709270265844</v>
      </c>
      <c r="Z170" s="2">
        <f t="shared" ca="1" si="148"/>
        <v>0.12751392978372184</v>
      </c>
      <c r="AA170" s="2">
        <f t="shared" ca="1" si="149"/>
        <v>6221045.7902151356</v>
      </c>
      <c r="AB170" s="2">
        <f t="shared" ca="1" si="150"/>
        <v>6675239.6802340401</v>
      </c>
      <c r="AC170" s="2">
        <f t="shared" ca="1" si="151"/>
        <v>7042003.7889136076</v>
      </c>
      <c r="AD170" s="2">
        <f t="shared" ca="1" si="152"/>
        <v>7428919.3704779362</v>
      </c>
      <c r="AE170" s="2">
        <f t="shared" ca="1" si="153"/>
        <v>7837093.6266673682</v>
      </c>
      <c r="AF170" s="2">
        <f t="shared" ca="1" si="154"/>
        <v>992452.74913888413</v>
      </c>
      <c r="AG170" s="2">
        <f t="shared" ca="1" si="155"/>
        <v>1046982.0342853535</v>
      </c>
      <c r="AH170" s="2">
        <f t="shared" ca="1" si="156"/>
        <v>1104507.3743484574</v>
      </c>
      <c r="AI170" s="2">
        <f t="shared" ca="1" si="157"/>
        <v>1165193.3844526995</v>
      </c>
      <c r="AJ170" s="2">
        <f t="shared" ca="1" si="158"/>
        <v>1229213.724329565</v>
      </c>
      <c r="AK170" s="2">
        <f t="shared" ca="1" si="159"/>
        <v>0</v>
      </c>
      <c r="AL170" s="2">
        <f t="shared" ca="1" si="160"/>
        <v>27264.642573234662</v>
      </c>
      <c r="AM170" s="2">
        <f t="shared" ca="1" si="161"/>
        <v>28762.670031551941</v>
      </c>
      <c r="AN170" s="2">
        <f t="shared" ca="1" si="162"/>
        <v>30343.005052121058</v>
      </c>
      <c r="AO170" s="2">
        <f t="shared" ca="1" si="163"/>
        <v>32010.169938432799</v>
      </c>
      <c r="AP170" s="2">
        <f t="shared" ca="1" si="164"/>
        <v>2242704.152154014</v>
      </c>
      <c r="AQ170" s="2">
        <f t="shared" ca="1" si="165"/>
        <v>776331.11111978174</v>
      </c>
      <c r="AR170" s="2">
        <f t="shared" ca="1" si="166"/>
        <v>880243.90838661487</v>
      </c>
      <c r="AS170" s="2">
        <f t="shared" ca="1" si="167"/>
        <v>960645.98822689534</v>
      </c>
      <c r="AT170" s="2">
        <f t="shared" ca="1" si="168"/>
        <v>1045465.6768065179</v>
      </c>
      <c r="AU170" s="2">
        <f t="shared" ca="1" si="169"/>
        <v>1134945.6950477853</v>
      </c>
      <c r="AV170" s="2">
        <f t="shared" ca="1" si="170"/>
        <v>2209557.7778024557</v>
      </c>
      <c r="AW170" s="2">
        <f t="shared" ca="1" si="171"/>
        <v>2478044.9428348229</v>
      </c>
      <c r="AX170" s="2">
        <f t="shared" ca="1" si="172"/>
        <v>2705383.6041526883</v>
      </c>
      <c r="AY170" s="2">
        <f t="shared" ca="1" si="173"/>
        <v>2945213.1520125833</v>
      </c>
      <c r="AZ170" s="2">
        <f t="shared" ca="1" si="174"/>
        <v>3198219.885197571</v>
      </c>
      <c r="BA170" s="2">
        <f t="shared" ca="1" si="175"/>
        <v>52753835.644047469</v>
      </c>
      <c r="BB170" s="2">
        <f t="shared" ca="1" si="176"/>
        <v>1055076.7128809495</v>
      </c>
      <c r="BC170" s="2">
        <f t="shared" ca="1" si="177"/>
        <v>26779823.90723303</v>
      </c>
      <c r="BD170" s="2">
        <f t="shared" ca="1" si="178"/>
        <v>-18150912.308619555</v>
      </c>
      <c r="BE170" s="2">
        <f t="shared" ca="1" si="179"/>
        <v>2209557.7778024557</v>
      </c>
      <c r="BF170" s="2">
        <f t="shared" ca="1" si="180"/>
        <v>2478044.9428348229</v>
      </c>
      <c r="BG170" s="2">
        <f t="shared" ca="1" si="181"/>
        <v>2705383.6041526883</v>
      </c>
      <c r="BH170" s="2">
        <f t="shared" ca="1" si="182"/>
        <v>2945213.1520125833</v>
      </c>
      <c r="BI170" s="2">
        <f t="shared" ca="1" si="183"/>
        <v>29978043.792430602</v>
      </c>
      <c r="BJ170" s="2">
        <f t="shared" ca="1" si="184"/>
        <v>0.20714804319532454</v>
      </c>
      <c r="BK170" s="2">
        <f t="shared" ca="1" si="185"/>
        <v>6605111.3373582922</v>
      </c>
    </row>
    <row r="171" spans="1:63" x14ac:dyDescent="0.3">
      <c r="A171" s="2">
        <v>170</v>
      </c>
      <c r="B171" s="2">
        <f t="shared" ca="1" si="124"/>
        <v>0.61886263333367375</v>
      </c>
      <c r="C171" s="2">
        <f t="shared" ca="1" si="125"/>
        <v>7.1269165370179941</v>
      </c>
      <c r="D171" s="2">
        <f t="shared" ca="1" si="126"/>
        <v>0.34400353266635375</v>
      </c>
      <c r="E171" s="2">
        <f t="shared" ca="1" si="127"/>
        <v>7.3294619131296548</v>
      </c>
      <c r="F171" s="2">
        <f t="shared" ca="1" si="128"/>
        <v>0.92653452061295072</v>
      </c>
      <c r="G171" s="2">
        <f t="shared" ca="1" si="129"/>
        <v>8.351372756085873E-2</v>
      </c>
      <c r="H171" s="2">
        <f t="shared" ca="1" si="130"/>
        <v>8.351372756085873E-2</v>
      </c>
      <c r="I171" s="2">
        <f t="shared" ca="1" si="131"/>
        <v>0.74244918888049127</v>
      </c>
      <c r="J171" s="2">
        <f t="shared" ca="1" si="132"/>
        <v>1.3254572953425374E-2</v>
      </c>
      <c r="K171" s="2">
        <f t="shared" ca="1" si="133"/>
        <v>1.3254572953425374E-2</v>
      </c>
      <c r="L171" s="2">
        <f t="shared" ca="1" si="134"/>
        <v>7.8572692604635286E-2</v>
      </c>
      <c r="M171" s="2">
        <f t="shared" ca="1" si="135"/>
        <v>-2.8294756126448856E-2</v>
      </c>
      <c r="N171" s="2">
        <f t="shared" ca="1" si="136"/>
        <v>-2.8294756126448856E-2</v>
      </c>
      <c r="O171" s="2">
        <f t="shared" si="137"/>
        <v>6000000</v>
      </c>
      <c r="P171" s="2">
        <f t="shared" ca="1" si="138"/>
        <v>42761499.222107962</v>
      </c>
      <c r="Q171" s="2">
        <f t="shared" ca="1" si="139"/>
        <v>1069037.4805526992</v>
      </c>
      <c r="R171" s="2">
        <f t="shared" ca="1" si="140"/>
        <v>25656899.533264775</v>
      </c>
      <c r="S171" s="2">
        <f t="shared" ca="1" si="141"/>
        <v>17104599.688843187</v>
      </c>
      <c r="T171" s="2">
        <f t="shared" ca="1" si="142"/>
        <v>48585262.193677559</v>
      </c>
      <c r="U171" s="2">
        <f t="shared" ca="1" si="143"/>
        <v>52642798.543993235</v>
      </c>
      <c r="V171" s="2">
        <f t="shared" ca="1" si="144"/>
        <v>57039194.87963745</v>
      </c>
      <c r="W171" s="2">
        <f t="shared" ca="1" si="145"/>
        <v>61802750.661106214</v>
      </c>
      <c r="X171" s="2">
        <f t="shared" ca="1" si="146"/>
        <v>66964128.742329516</v>
      </c>
      <c r="Y171" s="2">
        <f t="shared" ca="1" si="147"/>
        <v>0.12662728647671267</v>
      </c>
      <c r="Z171" s="2">
        <f t="shared" ca="1" si="148"/>
        <v>0.12927820106739776</v>
      </c>
      <c r="AA171" s="2">
        <f t="shared" ca="1" si="149"/>
        <v>6152219.9143450065</v>
      </c>
      <c r="AB171" s="2">
        <f t="shared" ca="1" si="150"/>
        <v>6805566.294920872</v>
      </c>
      <c r="AC171" s="2">
        <f t="shared" ca="1" si="151"/>
        <v>7373924.5043722549</v>
      </c>
      <c r="AD171" s="2">
        <f t="shared" ca="1" si="152"/>
        <v>7989748.4264847394</v>
      </c>
      <c r="AE171" s="2">
        <f t="shared" ca="1" si="153"/>
        <v>8657002.099853985</v>
      </c>
      <c r="AF171" s="2">
        <f t="shared" ca="1" si="154"/>
        <v>971705.24387355126</v>
      </c>
      <c r="AG171" s="2">
        <f t="shared" ca="1" si="155"/>
        <v>1052855.9708798646</v>
      </c>
      <c r="AH171" s="2">
        <f t="shared" ca="1" si="156"/>
        <v>1140783.897592749</v>
      </c>
      <c r="AI171" s="2">
        <f t="shared" ca="1" si="157"/>
        <v>1236055.0132221242</v>
      </c>
      <c r="AJ171" s="2">
        <f t="shared" ca="1" si="158"/>
        <v>1339282.5748465904</v>
      </c>
      <c r="AK171" s="2">
        <f t="shared" ca="1" si="159"/>
        <v>0</v>
      </c>
      <c r="AL171" s="2">
        <f t="shared" ca="1" si="160"/>
        <v>40575.363503156754</v>
      </c>
      <c r="AM171" s="2">
        <f t="shared" ca="1" si="161"/>
        <v>43963.963356442153</v>
      </c>
      <c r="AN171" s="2">
        <f t="shared" ca="1" si="162"/>
        <v>47635.557814687643</v>
      </c>
      <c r="AO171" s="2">
        <f t="shared" ca="1" si="163"/>
        <v>51613.780812233017</v>
      </c>
      <c r="AP171" s="2">
        <f t="shared" ca="1" si="164"/>
        <v>2309120.9579938296</v>
      </c>
      <c r="AQ171" s="2">
        <f t="shared" ca="1" si="165"/>
        <v>746562.36524418264</v>
      </c>
      <c r="AR171" s="2">
        <f t="shared" ca="1" si="166"/>
        <v>895333.23517226614</v>
      </c>
      <c r="AS171" s="2">
        <f t="shared" ca="1" si="167"/>
        <v>1020245.108684276</v>
      </c>
      <c r="AT171" s="2">
        <f t="shared" ca="1" si="168"/>
        <v>1155588.8383698843</v>
      </c>
      <c r="AU171" s="2">
        <f t="shared" ca="1" si="169"/>
        <v>1302235.627423527</v>
      </c>
      <c r="AV171" s="2">
        <f t="shared" ca="1" si="170"/>
        <v>2124831.3472334426</v>
      </c>
      <c r="AW171" s="2">
        <f t="shared" ca="1" si="171"/>
        <v>2507680.7673717542</v>
      </c>
      <c r="AX171" s="2">
        <f t="shared" ca="1" si="172"/>
        <v>2859810.5767449588</v>
      </c>
      <c r="AY171" s="2">
        <f t="shared" ca="1" si="173"/>
        <v>3241348.0590842133</v>
      </c>
      <c r="AZ171" s="2">
        <f t="shared" ca="1" si="174"/>
        <v>3654749.158777806</v>
      </c>
      <c r="BA171" s="2">
        <f t="shared" ca="1" si="175"/>
        <v>63451167.172763228</v>
      </c>
      <c r="BB171" s="2">
        <f t="shared" ca="1" si="176"/>
        <v>1269023.3434552646</v>
      </c>
      <c r="BC171" s="2">
        <f t="shared" ca="1" si="177"/>
        <v>36525244.296043195</v>
      </c>
      <c r="BD171" s="2">
        <f t="shared" ca="1" si="178"/>
        <v>-18673637.169395886</v>
      </c>
      <c r="BE171" s="2">
        <f t="shared" ca="1" si="179"/>
        <v>2124831.3472334426</v>
      </c>
      <c r="BF171" s="2">
        <f t="shared" ca="1" si="180"/>
        <v>2507680.7673717542</v>
      </c>
      <c r="BG171" s="2">
        <f t="shared" ca="1" si="181"/>
        <v>2859810.5767449588</v>
      </c>
      <c r="BH171" s="2">
        <f t="shared" ca="1" si="182"/>
        <v>3241348.0590842133</v>
      </c>
      <c r="BI171" s="2">
        <f t="shared" ca="1" si="183"/>
        <v>40179993.454820998</v>
      </c>
      <c r="BJ171" s="2">
        <f t="shared" ca="1" si="184"/>
        <v>0.25934871970786832</v>
      </c>
      <c r="BK171" s="2">
        <f t="shared" ca="1" si="185"/>
        <v>12117340.750777803</v>
      </c>
    </row>
    <row r="172" spans="1:63" x14ac:dyDescent="0.3">
      <c r="A172" s="2">
        <v>171</v>
      </c>
      <c r="B172" s="2">
        <f t="shared" ca="1" si="124"/>
        <v>0.40126396515158524</v>
      </c>
      <c r="C172" s="2">
        <f t="shared" ca="1" si="125"/>
        <v>6.8958392323978508</v>
      </c>
      <c r="D172" s="2">
        <f t="shared" ca="1" si="126"/>
        <v>0.96548803051564647</v>
      </c>
      <c r="E172" s="2">
        <f t="shared" ca="1" si="127"/>
        <v>8.2372759261721402</v>
      </c>
      <c r="F172" s="2">
        <f t="shared" ca="1" si="128"/>
        <v>0.82875747556631807</v>
      </c>
      <c r="G172" s="2">
        <f t="shared" ca="1" si="129"/>
        <v>6.8477997256001052E-2</v>
      </c>
      <c r="H172" s="2">
        <f t="shared" ca="1" si="130"/>
        <v>6.8477997256001052E-2</v>
      </c>
      <c r="I172" s="2">
        <f t="shared" ca="1" si="131"/>
        <v>0.90826610020786203</v>
      </c>
      <c r="J172" s="2">
        <f t="shared" ca="1" si="132"/>
        <v>1.6650766009255313E-2</v>
      </c>
      <c r="K172" s="2">
        <f t="shared" ca="1" si="133"/>
        <v>1.6650766009255313E-2</v>
      </c>
      <c r="L172" s="2">
        <f t="shared" ca="1" si="134"/>
        <v>0.74807780828490167</v>
      </c>
      <c r="M172" s="2">
        <f t="shared" ca="1" si="135"/>
        <v>1.3369062831029991E-2</v>
      </c>
      <c r="N172" s="2">
        <f t="shared" ca="1" si="136"/>
        <v>1.3369062831029991E-2</v>
      </c>
      <c r="O172" s="2">
        <f t="shared" si="137"/>
        <v>6000000</v>
      </c>
      <c r="P172" s="2">
        <f t="shared" ca="1" si="138"/>
        <v>41375035.394387104</v>
      </c>
      <c r="Q172" s="2">
        <f t="shared" ca="1" si="139"/>
        <v>1034375.8848596776</v>
      </c>
      <c r="R172" s="2">
        <f t="shared" ca="1" si="140"/>
        <v>24825021.236632261</v>
      </c>
      <c r="S172" s="2">
        <f t="shared" ca="1" si="141"/>
        <v>16550014.157754842</v>
      </c>
      <c r="T172" s="2">
        <f t="shared" ca="1" si="142"/>
        <v>50668453.141551495</v>
      </c>
      <c r="U172" s="2">
        <f t="shared" ca="1" si="143"/>
        <v>54138127.336744472</v>
      </c>
      <c r="V172" s="2">
        <f t="shared" ca="1" si="144"/>
        <v>57845397.871955097</v>
      </c>
      <c r="W172" s="2">
        <f t="shared" ca="1" si="145"/>
        <v>61806534.868703127</v>
      </c>
      <c r="X172" s="2">
        <f t="shared" ca="1" si="146"/>
        <v>66038922.593845114</v>
      </c>
      <c r="Y172" s="2">
        <f t="shared" ca="1" si="147"/>
        <v>0.12832538300462765</v>
      </c>
      <c r="Z172" s="2">
        <f t="shared" ca="1" si="148"/>
        <v>0.13165553620647871</v>
      </c>
      <c r="AA172" s="2">
        <f t="shared" ca="1" si="149"/>
        <v>6502048.6556416247</v>
      </c>
      <c r="AB172" s="2">
        <f t="shared" ca="1" si="150"/>
        <v>7127584.1837337166</v>
      </c>
      <c r="AC172" s="2">
        <f t="shared" ca="1" si="151"/>
        <v>7615666.8739093505</v>
      </c>
      <c r="AD172" s="2">
        <f t="shared" ca="1" si="152"/>
        <v>8137172.4892035332</v>
      </c>
      <c r="AE172" s="2">
        <f t="shared" ca="1" si="153"/>
        <v>8694389.7645908203</v>
      </c>
      <c r="AF172" s="2">
        <f t="shared" ca="1" si="154"/>
        <v>1013369.0628310299</v>
      </c>
      <c r="AG172" s="2">
        <f t="shared" ca="1" si="155"/>
        <v>1082762.5467348895</v>
      </c>
      <c r="AH172" s="2">
        <f t="shared" ca="1" si="156"/>
        <v>1156907.957439102</v>
      </c>
      <c r="AI172" s="2">
        <f t="shared" ca="1" si="157"/>
        <v>1236130.6973740626</v>
      </c>
      <c r="AJ172" s="2">
        <f t="shared" ca="1" si="158"/>
        <v>1320778.4518769023</v>
      </c>
      <c r="AK172" s="2">
        <f t="shared" ca="1" si="159"/>
        <v>0</v>
      </c>
      <c r="AL172" s="2">
        <f t="shared" ca="1" si="160"/>
        <v>34696.741951929776</v>
      </c>
      <c r="AM172" s="2">
        <f t="shared" ca="1" si="161"/>
        <v>37072.705352106241</v>
      </c>
      <c r="AN172" s="2">
        <f t="shared" ca="1" si="162"/>
        <v>39611.369967480299</v>
      </c>
      <c r="AO172" s="2">
        <f t="shared" ca="1" si="163"/>
        <v>42323.877251419872</v>
      </c>
      <c r="AP172" s="2">
        <f t="shared" ca="1" si="164"/>
        <v>2234251.9112969036</v>
      </c>
      <c r="AQ172" s="2">
        <f t="shared" ca="1" si="165"/>
        <v>846151.19719355961</v>
      </c>
      <c r="AR172" s="2">
        <f t="shared" ca="1" si="166"/>
        <v>990748.12868249998</v>
      </c>
      <c r="AS172" s="2">
        <f t="shared" ca="1" si="167"/>
        <v>1098371.8213450694</v>
      </c>
      <c r="AT172" s="2">
        <f t="shared" ca="1" si="168"/>
        <v>1213365.3689384672</v>
      </c>
      <c r="AU172" s="2">
        <f t="shared" ca="1" si="169"/>
        <v>1336233.4443684239</v>
      </c>
      <c r="AV172" s="2">
        <f t="shared" ca="1" si="170"/>
        <v>2408276.4843201316</v>
      </c>
      <c r="AW172" s="2">
        <f t="shared" ca="1" si="171"/>
        <v>2785124.8550674939</v>
      </c>
      <c r="AX172" s="2">
        <f t="shared" ca="1" si="172"/>
        <v>3089062.4784761691</v>
      </c>
      <c r="AY172" s="2">
        <f t="shared" ca="1" si="173"/>
        <v>3413813.1416266193</v>
      </c>
      <c r="AZ172" s="2">
        <f t="shared" ca="1" si="174"/>
        <v>3760802.0797971706</v>
      </c>
      <c r="BA172" s="2">
        <f t="shared" ca="1" si="175"/>
        <v>71618087.500621423</v>
      </c>
      <c r="BB172" s="2">
        <f t="shared" ca="1" si="176"/>
        <v>1432361.7500124285</v>
      </c>
      <c r="BC172" s="2">
        <f t="shared" ca="1" si="177"/>
        <v>45360704.513976738</v>
      </c>
      <c r="BD172" s="2">
        <f t="shared" ca="1" si="178"/>
        <v>-18084390.04261452</v>
      </c>
      <c r="BE172" s="2">
        <f t="shared" ca="1" si="179"/>
        <v>2408276.4843201316</v>
      </c>
      <c r="BF172" s="2">
        <f t="shared" ca="1" si="180"/>
        <v>2785124.8550674939</v>
      </c>
      <c r="BG172" s="2">
        <f t="shared" ca="1" si="181"/>
        <v>3089062.4784761691</v>
      </c>
      <c r="BH172" s="2">
        <f t="shared" ca="1" si="182"/>
        <v>3413813.1416266193</v>
      </c>
      <c r="BI172" s="2">
        <f t="shared" ca="1" si="183"/>
        <v>49121506.593773909</v>
      </c>
      <c r="BJ172" s="2">
        <f t="shared" ca="1" si="184"/>
        <v>0.3211237196721215</v>
      </c>
      <c r="BK172" s="2">
        <f t="shared" ca="1" si="185"/>
        <v>18527276.959966727</v>
      </c>
    </row>
    <row r="173" spans="1:63" x14ac:dyDescent="0.3">
      <c r="A173" s="2">
        <v>172</v>
      </c>
      <c r="B173" s="2">
        <f t="shared" ca="1" si="124"/>
        <v>0.51983563498374741</v>
      </c>
      <c r="C173" s="2">
        <f t="shared" ca="1" si="125"/>
        <v>7.0200363629029363</v>
      </c>
      <c r="D173" s="2">
        <f t="shared" ca="1" si="126"/>
        <v>2.8535078086971977E-3</v>
      </c>
      <c r="E173" s="2">
        <f t="shared" ca="1" si="127"/>
        <v>6.575544792126224</v>
      </c>
      <c r="F173" s="2">
        <f t="shared" ca="1" si="128"/>
        <v>0.85028202799854635</v>
      </c>
      <c r="G173" s="2">
        <f t="shared" ca="1" si="129"/>
        <v>7.112931234901862E-2</v>
      </c>
      <c r="H173" s="2">
        <f t="shared" ca="1" si="130"/>
        <v>7.112931234901862E-2</v>
      </c>
      <c r="I173" s="2">
        <f t="shared" ca="1" si="131"/>
        <v>0.50069064714249212</v>
      </c>
      <c r="J173" s="2">
        <f t="shared" ca="1" si="132"/>
        <v>1.000865598259954E-2</v>
      </c>
      <c r="K173" s="2">
        <f t="shared" ca="1" si="133"/>
        <v>1.000865598259954E-2</v>
      </c>
      <c r="L173" s="2">
        <f t="shared" ca="1" si="134"/>
        <v>0.10382288080542401</v>
      </c>
      <c r="M173" s="2">
        <f t="shared" ca="1" si="135"/>
        <v>-2.5201308502097976E-2</v>
      </c>
      <c r="N173" s="2">
        <f t="shared" ca="1" si="136"/>
        <v>-2.5201308502097976E-2</v>
      </c>
      <c r="O173" s="2">
        <f t="shared" si="137"/>
        <v>6000000</v>
      </c>
      <c r="P173" s="2">
        <f t="shared" ca="1" si="138"/>
        <v>42120218.177417621</v>
      </c>
      <c r="Q173" s="2">
        <f t="shared" ca="1" si="139"/>
        <v>1053005.4544354405</v>
      </c>
      <c r="R173" s="2">
        <f t="shared" ca="1" si="140"/>
        <v>25272130.906450573</v>
      </c>
      <c r="S173" s="2">
        <f t="shared" ca="1" si="141"/>
        <v>16848087.270967048</v>
      </c>
      <c r="T173" s="2">
        <f t="shared" ca="1" si="142"/>
        <v>48739934.574895099</v>
      </c>
      <c r="U173" s="2">
        <f t="shared" ca="1" si="143"/>
        <v>52206772.605143547</v>
      </c>
      <c r="V173" s="2">
        <f t="shared" ca="1" si="144"/>
        <v>55920204.440508991</v>
      </c>
      <c r="W173" s="2">
        <f t="shared" ca="1" si="145"/>
        <v>59897770.128778934</v>
      </c>
      <c r="X173" s="2">
        <f t="shared" ca="1" si="146"/>
        <v>64158257.329278573</v>
      </c>
      <c r="Y173" s="2">
        <f t="shared" ca="1" si="147"/>
        <v>0.12500432799129976</v>
      </c>
      <c r="Z173" s="2">
        <f t="shared" ca="1" si="148"/>
        <v>0.12700605918781968</v>
      </c>
      <c r="AA173" s="2">
        <f t="shared" ca="1" si="149"/>
        <v>6092702.7678746786</v>
      </c>
      <c r="AB173" s="2">
        <f t="shared" ca="1" si="150"/>
        <v>6630576.451493904</v>
      </c>
      <c r="AC173" s="2">
        <f t="shared" ca="1" si="151"/>
        <v>7102204.7949662618</v>
      </c>
      <c r="AD173" s="2">
        <f t="shared" ca="1" si="152"/>
        <v>7607379.7381941155</v>
      </c>
      <c r="AE173" s="2">
        <f t="shared" ca="1" si="153"/>
        <v>8148487.4277497204</v>
      </c>
      <c r="AF173" s="2">
        <f t="shared" ca="1" si="154"/>
        <v>974798.69149790204</v>
      </c>
      <c r="AG173" s="2">
        <f t="shared" ca="1" si="155"/>
        <v>1044135.4521028709</v>
      </c>
      <c r="AH173" s="2">
        <f t="shared" ca="1" si="156"/>
        <v>1118404.0888101798</v>
      </c>
      <c r="AI173" s="2">
        <f t="shared" ca="1" si="157"/>
        <v>1197955.4025755788</v>
      </c>
      <c r="AJ173" s="2">
        <f t="shared" ca="1" si="158"/>
        <v>1283165.1465855716</v>
      </c>
      <c r="AK173" s="2">
        <f t="shared" ca="1" si="159"/>
        <v>0</v>
      </c>
      <c r="AL173" s="2">
        <f t="shared" ca="1" si="160"/>
        <v>34668.380302484482</v>
      </c>
      <c r="AM173" s="2">
        <f t="shared" ca="1" si="161"/>
        <v>37134.318353654446</v>
      </c>
      <c r="AN173" s="2">
        <f t="shared" ca="1" si="162"/>
        <v>39775.656882699433</v>
      </c>
      <c r="AO173" s="2">
        <f t="shared" ca="1" si="163"/>
        <v>42604.872004996389</v>
      </c>
      <c r="AP173" s="2">
        <f t="shared" ca="1" si="164"/>
        <v>2274491.7815805515</v>
      </c>
      <c r="AQ173" s="2">
        <f t="shared" ca="1" si="165"/>
        <v>739287.19664701843</v>
      </c>
      <c r="AR173" s="2">
        <f t="shared" ca="1" si="166"/>
        <v>861106.79663072526</v>
      </c>
      <c r="AS173" s="2">
        <f t="shared" ca="1" si="167"/>
        <v>964420.32038963807</v>
      </c>
      <c r="AT173" s="2">
        <f t="shared" ca="1" si="168"/>
        <v>1075082.4640498762</v>
      </c>
      <c r="AU173" s="2">
        <f t="shared" ca="1" si="169"/>
        <v>1193615.9298917353</v>
      </c>
      <c r="AV173" s="2">
        <f t="shared" ca="1" si="170"/>
        <v>2104125.0981492065</v>
      </c>
      <c r="AW173" s="2">
        <f t="shared" ca="1" si="171"/>
        <v>2416174.0408772724</v>
      </c>
      <c r="AX173" s="2">
        <f t="shared" ca="1" si="172"/>
        <v>2707754.2858322384</v>
      </c>
      <c r="AY173" s="2">
        <f t="shared" ca="1" si="173"/>
        <v>3020074.4331054101</v>
      </c>
      <c r="AZ173" s="2">
        <f t="shared" ca="1" si="174"/>
        <v>3354609.6976868659</v>
      </c>
      <c r="BA173" s="2">
        <f t="shared" ca="1" si="175"/>
        <v>53580744.069245689</v>
      </c>
      <c r="BB173" s="2">
        <f t="shared" ca="1" si="176"/>
        <v>1071614.8813849138</v>
      </c>
      <c r="BC173" s="2">
        <f t="shared" ca="1" si="177"/>
        <v>27236998.281410202</v>
      </c>
      <c r="BD173" s="2">
        <f t="shared" ca="1" si="178"/>
        <v>-18401092.725402489</v>
      </c>
      <c r="BE173" s="2">
        <f t="shared" ca="1" si="179"/>
        <v>2104125.0981492065</v>
      </c>
      <c r="BF173" s="2">
        <f t="shared" ca="1" si="180"/>
        <v>2416174.0408772724</v>
      </c>
      <c r="BG173" s="2">
        <f t="shared" ca="1" si="181"/>
        <v>2707754.2858322384</v>
      </c>
      <c r="BH173" s="2">
        <f t="shared" ca="1" si="182"/>
        <v>3020074.4331054101</v>
      </c>
      <c r="BI173" s="2">
        <f t="shared" ca="1" si="183"/>
        <v>30591607.979097068</v>
      </c>
      <c r="BJ173" s="2">
        <f t="shared" ca="1" si="184"/>
        <v>0.20548119280315458</v>
      </c>
      <c r="BK173" s="2">
        <f t="shared" ca="1" si="185"/>
        <v>6608887.3943393491</v>
      </c>
    </row>
    <row r="174" spans="1:63" x14ac:dyDescent="0.3">
      <c r="A174" s="2">
        <v>173</v>
      </c>
      <c r="B174" s="2">
        <f t="shared" ca="1" si="124"/>
        <v>0.56416739888474321</v>
      </c>
      <c r="C174" s="2">
        <f t="shared" ca="1" si="125"/>
        <v>7.06636987932559</v>
      </c>
      <c r="D174" s="2">
        <f t="shared" ca="1" si="126"/>
        <v>0.76404375540891034</v>
      </c>
      <c r="E174" s="2">
        <f t="shared" ca="1" si="127"/>
        <v>7.8130411299195712</v>
      </c>
      <c r="F174" s="2">
        <f t="shared" ca="1" si="128"/>
        <v>0.20982205505436602</v>
      </c>
      <c r="G174" s="2">
        <f t="shared" ca="1" si="129"/>
        <v>1.578883498914729E-2</v>
      </c>
      <c r="H174" s="2">
        <f t="shared" ca="1" si="130"/>
        <v>1.578883498914729E-2</v>
      </c>
      <c r="I174" s="2">
        <f t="shared" ca="1" si="131"/>
        <v>2.7510000692967274E-2</v>
      </c>
      <c r="J174" s="2">
        <f t="shared" ca="1" si="132"/>
        <v>4.0640878146829332E-4</v>
      </c>
      <c r="K174" s="2">
        <f t="shared" ca="1" si="133"/>
        <v>4.0640878146829332E-4</v>
      </c>
      <c r="L174" s="2">
        <f t="shared" ca="1" si="134"/>
        <v>0.62372205519259305</v>
      </c>
      <c r="M174" s="2">
        <f t="shared" ca="1" si="135"/>
        <v>6.3054203188466183E-3</v>
      </c>
      <c r="N174" s="2">
        <f t="shared" ca="1" si="136"/>
        <v>6.3054203188466183E-3</v>
      </c>
      <c r="O174" s="2">
        <f t="shared" si="137"/>
        <v>6000000</v>
      </c>
      <c r="P174" s="2">
        <f t="shared" ca="1" si="138"/>
        <v>42398219.275953539</v>
      </c>
      <c r="Q174" s="2">
        <f t="shared" ca="1" si="139"/>
        <v>1059955.4818988384</v>
      </c>
      <c r="R174" s="2">
        <f t="shared" ca="1" si="140"/>
        <v>25438931.565572124</v>
      </c>
      <c r="S174" s="2">
        <f t="shared" ca="1" si="141"/>
        <v>16959287.710381415</v>
      </c>
      <c r="T174" s="2">
        <f t="shared" ca="1" si="142"/>
        <v>50315271.015942328</v>
      </c>
      <c r="U174" s="2">
        <f t="shared" ca="1" si="143"/>
        <v>51109690.527447268</v>
      </c>
      <c r="V174" s="2">
        <f t="shared" ca="1" si="144"/>
        <v>51916652.997531518</v>
      </c>
      <c r="W174" s="2">
        <f t="shared" ca="1" si="145"/>
        <v>52736356.464898363</v>
      </c>
      <c r="X174" s="2">
        <f t="shared" ca="1" si="146"/>
        <v>53569002.095051497</v>
      </c>
      <c r="Y174" s="2">
        <f t="shared" ca="1" si="147"/>
        <v>0.12020320439073415</v>
      </c>
      <c r="Z174" s="2">
        <f t="shared" ca="1" si="148"/>
        <v>0.1202844861470278</v>
      </c>
      <c r="AA174" s="2">
        <f t="shared" ca="1" si="149"/>
        <v>6048056.8059044974</v>
      </c>
      <c r="AB174" s="2">
        <f t="shared" ca="1" si="150"/>
        <v>6147702.8622276094</v>
      </c>
      <c r="AC174" s="2">
        <f t="shared" ca="1" si="151"/>
        <v>6244767.9282816295</v>
      </c>
      <c r="AD174" s="2">
        <f t="shared" ca="1" si="152"/>
        <v>6343365.5386467874</v>
      </c>
      <c r="AE174" s="2">
        <f t="shared" ca="1" si="153"/>
        <v>6443519.890412325</v>
      </c>
      <c r="AF174" s="2">
        <f t="shared" ca="1" si="154"/>
        <v>1006305.4203188466</v>
      </c>
      <c r="AG174" s="2">
        <f t="shared" ca="1" si="155"/>
        <v>1022193.8105489454</v>
      </c>
      <c r="AH174" s="2">
        <f t="shared" ca="1" si="156"/>
        <v>1038333.0599506304</v>
      </c>
      <c r="AI174" s="2">
        <f t="shared" ca="1" si="157"/>
        <v>1054727.1292979673</v>
      </c>
      <c r="AJ174" s="2">
        <f t="shared" ca="1" si="158"/>
        <v>1071380.0419010299</v>
      </c>
      <c r="AK174" s="2">
        <f t="shared" ca="1" si="159"/>
        <v>0</v>
      </c>
      <c r="AL174" s="2">
        <f t="shared" ca="1" si="160"/>
        <v>7944.1951150494069</v>
      </c>
      <c r="AM174" s="2">
        <f t="shared" ca="1" si="161"/>
        <v>8069.6247008424998</v>
      </c>
      <c r="AN174" s="2">
        <f t="shared" ca="1" si="162"/>
        <v>8197.0346736684442</v>
      </c>
      <c r="AO174" s="2">
        <f t="shared" ca="1" si="163"/>
        <v>8326.4563015313452</v>
      </c>
      <c r="AP174" s="2">
        <f t="shared" ca="1" si="164"/>
        <v>2289503.8409014912</v>
      </c>
      <c r="AQ174" s="2">
        <f t="shared" ca="1" si="165"/>
        <v>715584.36161788146</v>
      </c>
      <c r="AR174" s="2">
        <f t="shared" ca="1" si="166"/>
        <v>737361.35480206495</v>
      </c>
      <c r="AS174" s="2">
        <f t="shared" ca="1" si="167"/>
        <v>758402.06713167217</v>
      </c>
      <c r="AT174" s="2">
        <f t="shared" ca="1" si="168"/>
        <v>779774.98779630556</v>
      </c>
      <c r="AU174" s="2">
        <f t="shared" ca="1" si="169"/>
        <v>801485.36197854916</v>
      </c>
      <c r="AV174" s="2">
        <f t="shared" ca="1" si="170"/>
        <v>2036663.1830662778</v>
      </c>
      <c r="AW174" s="2">
        <f t="shared" ca="1" si="171"/>
        <v>2090699.6608600589</v>
      </c>
      <c r="AX174" s="2">
        <f t="shared" ca="1" si="172"/>
        <v>2150459.3355969936</v>
      </c>
      <c r="AY174" s="2">
        <f t="shared" ca="1" si="173"/>
        <v>2211162.545977355</v>
      </c>
      <c r="AZ174" s="2">
        <f t="shared" ca="1" si="174"/>
        <v>2272824.1893297229</v>
      </c>
      <c r="BA174" s="2">
        <f t="shared" ca="1" si="175"/>
        <v>50343485.925246343</v>
      </c>
      <c r="BB174" s="2">
        <f t="shared" ca="1" si="176"/>
        <v>1006869.7185049269</v>
      </c>
      <c r="BC174" s="2">
        <f t="shared" ca="1" si="177"/>
        <v>23897684.641169291</v>
      </c>
      <c r="BD174" s="2">
        <f t="shared" ca="1" si="178"/>
        <v>-18519243.192280252</v>
      </c>
      <c r="BE174" s="2">
        <f t="shared" ca="1" si="179"/>
        <v>2036663.1830662778</v>
      </c>
      <c r="BF174" s="2">
        <f t="shared" ca="1" si="180"/>
        <v>2090699.6608600589</v>
      </c>
      <c r="BG174" s="2">
        <f t="shared" ca="1" si="181"/>
        <v>2150459.3355969936</v>
      </c>
      <c r="BH174" s="2">
        <f t="shared" ca="1" si="182"/>
        <v>2211162.545977355</v>
      </c>
      <c r="BI174" s="2">
        <f t="shared" ca="1" si="183"/>
        <v>26170508.830499016</v>
      </c>
      <c r="BJ174" s="2">
        <f t="shared" ca="1" si="184"/>
        <v>0.15771745601473852</v>
      </c>
      <c r="BK174" s="2">
        <f t="shared" ca="1" si="185"/>
        <v>2751636.8370603137</v>
      </c>
    </row>
    <row r="175" spans="1:63" x14ac:dyDescent="0.3">
      <c r="A175" s="2">
        <v>174</v>
      </c>
      <c r="B175" s="2">
        <f t="shared" ca="1" si="124"/>
        <v>0.2216430890326011</v>
      </c>
      <c r="C175" s="2">
        <f t="shared" ca="1" si="125"/>
        <v>6.6657974001640454</v>
      </c>
      <c r="D175" s="2">
        <f t="shared" ca="1" si="126"/>
        <v>0.55532485794056541</v>
      </c>
      <c r="E175" s="2">
        <f t="shared" ca="1" si="127"/>
        <v>7.5569462983907707</v>
      </c>
      <c r="F175" s="2">
        <f t="shared" ca="1" si="128"/>
        <v>6.8175377631299217E-2</v>
      </c>
      <c r="G175" s="2">
        <f t="shared" ca="1" si="129"/>
        <v>-4.6855698434784057E-3</v>
      </c>
      <c r="H175" s="2">
        <f t="shared" ca="1" si="130"/>
        <v>-4.6855698434784057E-3</v>
      </c>
      <c r="I175" s="2">
        <f t="shared" ca="1" si="131"/>
        <v>0.86344314042639103</v>
      </c>
      <c r="J175" s="2">
        <f t="shared" ca="1" si="132"/>
        <v>1.5479600761273381E-2</v>
      </c>
      <c r="K175" s="2">
        <f t="shared" ca="1" si="133"/>
        <v>1.5479600761273381E-2</v>
      </c>
      <c r="L175" s="2">
        <f t="shared" ca="1" si="134"/>
        <v>0.63700878947194395</v>
      </c>
      <c r="M175" s="2">
        <f t="shared" ca="1" si="135"/>
        <v>7.0094954130325918E-3</v>
      </c>
      <c r="N175" s="2">
        <f t="shared" ca="1" si="136"/>
        <v>7.0094954130325918E-3</v>
      </c>
      <c r="O175" s="2">
        <f t="shared" si="137"/>
        <v>6000000</v>
      </c>
      <c r="P175" s="2">
        <f t="shared" ca="1" si="138"/>
        <v>39994784.400984272</v>
      </c>
      <c r="Q175" s="2">
        <f t="shared" ca="1" si="139"/>
        <v>999869.61002460681</v>
      </c>
      <c r="R175" s="2">
        <f t="shared" ca="1" si="140"/>
        <v>23996870.640590563</v>
      </c>
      <c r="S175" s="2">
        <f t="shared" ca="1" si="141"/>
        <v>15997913.760393709</v>
      </c>
      <c r="T175" s="2">
        <f t="shared" ca="1" si="142"/>
        <v>50350474.770651631</v>
      </c>
      <c r="U175" s="2">
        <f t="shared" ca="1" si="143"/>
        <v>50114554.104461446</v>
      </c>
      <c r="V175" s="2">
        <f t="shared" ca="1" si="144"/>
        <v>49879738.861030214</v>
      </c>
      <c r="W175" s="2">
        <f t="shared" ca="1" si="145"/>
        <v>49646023.860822387</v>
      </c>
      <c r="X175" s="2">
        <f t="shared" ca="1" si="146"/>
        <v>49413403.948571503</v>
      </c>
      <c r="Y175" s="2">
        <f t="shared" ca="1" si="147"/>
        <v>0.12773980038063668</v>
      </c>
      <c r="Z175" s="2">
        <f t="shared" ca="1" si="148"/>
        <v>0.13083572053289136</v>
      </c>
      <c r="AA175" s="2">
        <f t="shared" ca="1" si="149"/>
        <v>6431759.5962733226</v>
      </c>
      <c r="AB175" s="2">
        <f t="shared" ca="1" si="150"/>
        <v>6556773.7954417812</v>
      </c>
      <c r="AC175" s="2">
        <f t="shared" ca="1" si="151"/>
        <v>6526051.5738753499</v>
      </c>
      <c r="AD175" s="2">
        <f t="shared" ca="1" si="152"/>
        <v>6495473.3034238135</v>
      </c>
      <c r="AE175" s="2">
        <f t="shared" ca="1" si="153"/>
        <v>6465038.3095941711</v>
      </c>
      <c r="AF175" s="2">
        <f t="shared" ca="1" si="154"/>
        <v>1007009.4954130326</v>
      </c>
      <c r="AG175" s="2">
        <f t="shared" ca="1" si="155"/>
        <v>1002291.0820892289</v>
      </c>
      <c r="AH175" s="2">
        <f t="shared" ca="1" si="156"/>
        <v>997594.77722060424</v>
      </c>
      <c r="AI175" s="2">
        <f t="shared" ca="1" si="157"/>
        <v>992920.4772164477</v>
      </c>
      <c r="AJ175" s="2">
        <f t="shared" ca="1" si="158"/>
        <v>988268.07897143008</v>
      </c>
      <c r="AK175" s="2">
        <f t="shared" ca="1" si="159"/>
        <v>0</v>
      </c>
      <c r="AL175" s="2">
        <f t="shared" ca="1" si="160"/>
        <v>0</v>
      </c>
      <c r="AM175" s="2">
        <f t="shared" ca="1" si="161"/>
        <v>0</v>
      </c>
      <c r="AN175" s="2">
        <f t="shared" ca="1" si="162"/>
        <v>0</v>
      </c>
      <c r="AO175" s="2">
        <f t="shared" ca="1" si="163"/>
        <v>0</v>
      </c>
      <c r="AP175" s="2">
        <f t="shared" ca="1" si="164"/>
        <v>2159718.3576531508</v>
      </c>
      <c r="AQ175" s="2">
        <f t="shared" ca="1" si="165"/>
        <v>848908.25323385629</v>
      </c>
      <c r="AR175" s="2">
        <f t="shared" ca="1" si="166"/>
        <v>882638.73248184449</v>
      </c>
      <c r="AS175" s="2">
        <f t="shared" ca="1" si="167"/>
        <v>875871.99414041475</v>
      </c>
      <c r="AT175" s="2">
        <f t="shared" ca="1" si="168"/>
        <v>869136.96182409592</v>
      </c>
      <c r="AU175" s="2">
        <f t="shared" ca="1" si="169"/>
        <v>862433.48697209358</v>
      </c>
      <c r="AV175" s="2">
        <f t="shared" ca="1" si="170"/>
        <v>2416123.4899732829</v>
      </c>
      <c r="AW175" s="2">
        <f t="shared" ca="1" si="171"/>
        <v>2512125.6232175571</v>
      </c>
      <c r="AX175" s="2">
        <f t="shared" ca="1" si="172"/>
        <v>2492866.4448611806</v>
      </c>
      <c r="AY175" s="2">
        <f t="shared" ca="1" si="173"/>
        <v>2473697.5067301192</v>
      </c>
      <c r="AZ175" s="2">
        <f t="shared" ca="1" si="174"/>
        <v>2454618.385997497</v>
      </c>
      <c r="BA175" s="2">
        <f t="shared" ca="1" si="175"/>
        <v>48855947.3226422</v>
      </c>
      <c r="BB175" s="2">
        <f t="shared" ca="1" si="176"/>
        <v>977118.94645284396</v>
      </c>
      <c r="BC175" s="2">
        <f t="shared" ca="1" si="177"/>
        <v>23881957.735598791</v>
      </c>
      <c r="BD175" s="2">
        <f t="shared" ca="1" si="178"/>
        <v>-17497783.370418318</v>
      </c>
      <c r="BE175" s="2">
        <f t="shared" ca="1" si="179"/>
        <v>2416123.4899732829</v>
      </c>
      <c r="BF175" s="2">
        <f t="shared" ca="1" si="180"/>
        <v>2512125.6232175571</v>
      </c>
      <c r="BG175" s="2">
        <f t="shared" ca="1" si="181"/>
        <v>2492866.4448611806</v>
      </c>
      <c r="BH175" s="2">
        <f t="shared" ca="1" si="182"/>
        <v>2473697.5067301192</v>
      </c>
      <c r="BI175" s="2">
        <f t="shared" ca="1" si="183"/>
        <v>26336576.121596288</v>
      </c>
      <c r="BJ175" s="2">
        <f t="shared" ca="1" si="184"/>
        <v>0.19094779479464674</v>
      </c>
      <c r="BK175" s="2">
        <f t="shared" ca="1" si="185"/>
        <v>4952654.0730892308</v>
      </c>
    </row>
    <row r="176" spans="1:63" x14ac:dyDescent="0.3">
      <c r="A176" s="2">
        <v>175</v>
      </c>
      <c r="B176" s="2">
        <f t="shared" ca="1" si="124"/>
        <v>0.20903046549194837</v>
      </c>
      <c r="C176" s="2">
        <f t="shared" ca="1" si="125"/>
        <v>6.6465763148955403</v>
      </c>
      <c r="D176" s="2">
        <f t="shared" ca="1" si="126"/>
        <v>0.20298033078603184</v>
      </c>
      <c r="E176" s="2">
        <f t="shared" ca="1" si="127"/>
        <v>7.1371504230337317</v>
      </c>
      <c r="F176" s="2">
        <f t="shared" ca="1" si="128"/>
        <v>0.77271667352359608</v>
      </c>
      <c r="G176" s="2">
        <f t="shared" ca="1" si="129"/>
        <v>6.2434703631911156E-2</v>
      </c>
      <c r="H176" s="2">
        <f t="shared" ca="1" si="130"/>
        <v>6.2434703631911156E-2</v>
      </c>
      <c r="I176" s="2">
        <f t="shared" ca="1" si="131"/>
        <v>0.83402515619999706</v>
      </c>
      <c r="J176" s="2">
        <f t="shared" ca="1" si="132"/>
        <v>1.485097113668964E-2</v>
      </c>
      <c r="K176" s="2">
        <f t="shared" ca="1" si="133"/>
        <v>1.485097113668964E-2</v>
      </c>
      <c r="L176" s="2">
        <f t="shared" ca="1" si="134"/>
        <v>0.16665384316675236</v>
      </c>
      <c r="M176" s="2">
        <f t="shared" ca="1" si="135"/>
        <v>-1.9349457839545531E-2</v>
      </c>
      <c r="N176" s="2">
        <f t="shared" ca="1" si="136"/>
        <v>-1.9349457839545531E-2</v>
      </c>
      <c r="O176" s="2">
        <f t="shared" si="137"/>
        <v>6000000</v>
      </c>
      <c r="P176" s="2">
        <f t="shared" ca="1" si="138"/>
        <v>39879457.889373243</v>
      </c>
      <c r="Q176" s="2">
        <f t="shared" ca="1" si="139"/>
        <v>996986.44723433116</v>
      </c>
      <c r="R176" s="2">
        <f t="shared" ca="1" si="140"/>
        <v>23927674.733623944</v>
      </c>
      <c r="S176" s="2">
        <f t="shared" ca="1" si="141"/>
        <v>15951783.155749299</v>
      </c>
      <c r="T176" s="2">
        <f t="shared" ca="1" si="142"/>
        <v>49032527.10802272</v>
      </c>
      <c r="U176" s="2">
        <f t="shared" ca="1" si="143"/>
        <v>52093858.406335764</v>
      </c>
      <c r="V176" s="2">
        <f t="shared" ca="1" si="144"/>
        <v>55346323.016978078</v>
      </c>
      <c r="W176" s="2">
        <f t="shared" ca="1" si="145"/>
        <v>58801854.291659124</v>
      </c>
      <c r="X176" s="2">
        <f t="shared" ca="1" si="146"/>
        <v>62473130.637365676</v>
      </c>
      <c r="Y176" s="2">
        <f t="shared" ca="1" si="147"/>
        <v>0.12742548556834482</v>
      </c>
      <c r="Z176" s="2">
        <f t="shared" ca="1" si="148"/>
        <v>0.13039567979568273</v>
      </c>
      <c r="AA176" s="2">
        <f t="shared" ca="1" si="149"/>
        <v>6247993.575382825</v>
      </c>
      <c r="AB176" s="2">
        <f t="shared" ca="1" si="150"/>
        <v>6792814.080074193</v>
      </c>
      <c r="AC176" s="2">
        <f t="shared" ca="1" si="151"/>
        <v>7216921.4139902983</v>
      </c>
      <c r="AD176" s="2">
        <f t="shared" ca="1" si="152"/>
        <v>7667507.7636075756</v>
      </c>
      <c r="AE176" s="2">
        <f t="shared" ca="1" si="153"/>
        <v>8146226.3384237913</v>
      </c>
      <c r="AF176" s="2">
        <f t="shared" ca="1" si="154"/>
        <v>980650.54216045444</v>
      </c>
      <c r="AG176" s="2">
        <f t="shared" ca="1" si="155"/>
        <v>1041877.1681267153</v>
      </c>
      <c r="AH176" s="2">
        <f t="shared" ca="1" si="156"/>
        <v>1106926.4603395616</v>
      </c>
      <c r="AI176" s="2">
        <f t="shared" ca="1" si="157"/>
        <v>1176037.0858331826</v>
      </c>
      <c r="AJ176" s="2">
        <f t="shared" ca="1" si="158"/>
        <v>1249462.6127473135</v>
      </c>
      <c r="AK176" s="2">
        <f t="shared" ca="1" si="159"/>
        <v>0</v>
      </c>
      <c r="AL176" s="2">
        <f t="shared" ca="1" si="160"/>
        <v>30613.31298313044</v>
      </c>
      <c r="AM176" s="2">
        <f t="shared" ca="1" si="161"/>
        <v>32524.646106423141</v>
      </c>
      <c r="AN176" s="2">
        <f t="shared" ca="1" si="162"/>
        <v>34555.312746810465</v>
      </c>
      <c r="AO176" s="2">
        <f t="shared" ca="1" si="163"/>
        <v>36712.763457065521</v>
      </c>
      <c r="AP176" s="2">
        <f t="shared" ca="1" si="164"/>
        <v>2153490.7260261551</v>
      </c>
      <c r="AQ176" s="2">
        <f t="shared" ca="1" si="165"/>
        <v>809601.59987101611</v>
      </c>
      <c r="AR176" s="2">
        <f t="shared" ca="1" si="166"/>
        <v>935336.00833954394</v>
      </c>
      <c r="AS176" s="2">
        <f t="shared" ca="1" si="167"/>
        <v>1028691.0991823914</v>
      </c>
      <c r="AT176" s="2">
        <f t="shared" ca="1" si="168"/>
        <v>1127874.787454542</v>
      </c>
      <c r="AU176" s="2">
        <f t="shared" ca="1" si="169"/>
        <v>1233250.979909084</v>
      </c>
      <c r="AV176" s="2">
        <f t="shared" ca="1" si="170"/>
        <v>2304250.7073251996</v>
      </c>
      <c r="AW176" s="2">
        <f t="shared" ca="1" si="171"/>
        <v>2631496.8645986486</v>
      </c>
      <c r="AX176" s="2">
        <f t="shared" ca="1" si="172"/>
        <v>2895288.4823357677</v>
      </c>
      <c r="AY176" s="2">
        <f t="shared" ca="1" si="173"/>
        <v>3175549.8515468854</v>
      </c>
      <c r="AZ176" s="2">
        <f t="shared" ca="1" si="174"/>
        <v>3473309.2562841736</v>
      </c>
      <c r="BA176" s="2">
        <f t="shared" ca="1" si="175"/>
        <v>58140842.757409893</v>
      </c>
      <c r="BB176" s="2">
        <f t="shared" ca="1" si="176"/>
        <v>1162816.8551481979</v>
      </c>
      <c r="BC176" s="2">
        <f t="shared" ca="1" si="177"/>
        <v>33050351.168637753</v>
      </c>
      <c r="BD176" s="2">
        <f t="shared" ca="1" si="178"/>
        <v>-17448769.602983631</v>
      </c>
      <c r="BE176" s="2">
        <f t="shared" ca="1" si="179"/>
        <v>2304250.7073251996</v>
      </c>
      <c r="BF176" s="2">
        <f t="shared" ca="1" si="180"/>
        <v>2631496.8645986486</v>
      </c>
      <c r="BG176" s="2">
        <f t="shared" ca="1" si="181"/>
        <v>2895288.4823357677</v>
      </c>
      <c r="BH176" s="2">
        <f t="shared" ca="1" si="182"/>
        <v>3175549.8515468854</v>
      </c>
      <c r="BI176" s="2">
        <f t="shared" ca="1" si="183"/>
        <v>36523660.42492193</v>
      </c>
      <c r="BJ176" s="2">
        <f t="shared" ca="1" si="184"/>
        <v>0.26433460513100848</v>
      </c>
      <c r="BK176" s="2">
        <f t="shared" ca="1" si="185"/>
        <v>11509844.576467417</v>
      </c>
    </row>
    <row r="177" spans="1:63" x14ac:dyDescent="0.3">
      <c r="A177" s="2">
        <v>176</v>
      </c>
      <c r="B177" s="2">
        <f t="shared" ca="1" si="124"/>
        <v>0.42093641733362974</v>
      </c>
      <c r="C177" s="2">
        <f t="shared" ca="1" si="125"/>
        <v>6.9175362852047106</v>
      </c>
      <c r="D177" s="2">
        <f t="shared" ca="1" si="126"/>
        <v>0.40819487775199914</v>
      </c>
      <c r="E177" s="2">
        <f t="shared" ca="1" si="127"/>
        <v>7.4035428907937897</v>
      </c>
      <c r="F177" s="2">
        <f t="shared" ca="1" si="128"/>
        <v>0.77458240442366022</v>
      </c>
      <c r="G177" s="2">
        <f t="shared" ca="1" si="129"/>
        <v>6.2620700991403114E-2</v>
      </c>
      <c r="H177" s="2">
        <f t="shared" ca="1" si="130"/>
        <v>6.2620700991403114E-2</v>
      </c>
      <c r="I177" s="2">
        <f t="shared" ca="1" si="131"/>
        <v>0.34928633951924348</v>
      </c>
      <c r="J177" s="2">
        <f t="shared" ca="1" si="132"/>
        <v>8.063760412462052E-3</v>
      </c>
      <c r="K177" s="2">
        <f t="shared" ca="1" si="133"/>
        <v>8.063760412462052E-3</v>
      </c>
      <c r="L177" s="2">
        <f t="shared" ca="1" si="134"/>
        <v>0.8754480241816347</v>
      </c>
      <c r="M177" s="2">
        <f t="shared" ca="1" si="135"/>
        <v>2.3050570665953188E-2</v>
      </c>
      <c r="N177" s="2">
        <f t="shared" ca="1" si="136"/>
        <v>2.3050570665953188E-2</v>
      </c>
      <c r="O177" s="2">
        <f t="shared" si="137"/>
        <v>6000000</v>
      </c>
      <c r="P177" s="2">
        <f t="shared" ca="1" si="138"/>
        <v>41505217.711228266</v>
      </c>
      <c r="Q177" s="2">
        <f t="shared" ca="1" si="139"/>
        <v>1037630.4427807067</v>
      </c>
      <c r="R177" s="2">
        <f t="shared" ca="1" si="140"/>
        <v>24903130.626736958</v>
      </c>
      <c r="S177" s="2">
        <f t="shared" ca="1" si="141"/>
        <v>16602087.084491307</v>
      </c>
      <c r="T177" s="2">
        <f t="shared" ca="1" si="142"/>
        <v>51152528.533297658</v>
      </c>
      <c r="U177" s="2">
        <f t="shared" ca="1" si="143"/>
        <v>54355735.727535501</v>
      </c>
      <c r="V177" s="2">
        <f t="shared" ca="1" si="144"/>
        <v>57759530.001697227</v>
      </c>
      <c r="W177" s="2">
        <f t="shared" ca="1" si="145"/>
        <v>61376472.259337485</v>
      </c>
      <c r="X177" s="2">
        <f t="shared" ca="1" si="146"/>
        <v>65219909.976596601</v>
      </c>
      <c r="Y177" s="2">
        <f t="shared" ca="1" si="147"/>
        <v>0.12403188020623102</v>
      </c>
      <c r="Z177" s="2">
        <f t="shared" ca="1" si="148"/>
        <v>0.12564463228872344</v>
      </c>
      <c r="AA177" s="2">
        <f t="shared" ca="1" si="149"/>
        <v>6344544.2912877891</v>
      </c>
      <c r="AB177" s="2">
        <f t="shared" ca="1" si="150"/>
        <v>6829506.4282692252</v>
      </c>
      <c r="AC177" s="2">
        <f t="shared" ca="1" si="151"/>
        <v>7257174.9082327373</v>
      </c>
      <c r="AD177" s="2">
        <f t="shared" ca="1" si="152"/>
        <v>7711624.2882034928</v>
      </c>
      <c r="AE177" s="2">
        <f t="shared" ca="1" si="153"/>
        <v>8194531.6069131251</v>
      </c>
      <c r="AF177" s="2">
        <f t="shared" ca="1" si="154"/>
        <v>1023050.5706659532</v>
      </c>
      <c r="AG177" s="2">
        <f t="shared" ca="1" si="155"/>
        <v>1087114.7145507101</v>
      </c>
      <c r="AH177" s="2">
        <f t="shared" ca="1" si="156"/>
        <v>1155190.6000339445</v>
      </c>
      <c r="AI177" s="2">
        <f t="shared" ca="1" si="157"/>
        <v>1227529.4451867498</v>
      </c>
      <c r="AJ177" s="2">
        <f t="shared" ca="1" si="158"/>
        <v>1304398.1995319321</v>
      </c>
      <c r="AK177" s="2">
        <f t="shared" ca="1" si="159"/>
        <v>0</v>
      </c>
      <c r="AL177" s="2">
        <f t="shared" ca="1" si="160"/>
        <v>32032.071942378432</v>
      </c>
      <c r="AM177" s="2">
        <f t="shared" ca="1" si="161"/>
        <v>34037.942741617262</v>
      </c>
      <c r="AN177" s="2">
        <f t="shared" ca="1" si="162"/>
        <v>36169.422576402576</v>
      </c>
      <c r="AO177" s="2">
        <f t="shared" ca="1" si="163"/>
        <v>38434.377172591165</v>
      </c>
      <c r="AP177" s="2">
        <f t="shared" ca="1" si="164"/>
        <v>2241281.7564063263</v>
      </c>
      <c r="AQ177" s="2">
        <f t="shared" ca="1" si="165"/>
        <v>800855.11069603241</v>
      </c>
      <c r="AR177" s="2">
        <f t="shared" ca="1" si="166"/>
        <v>910288.58890116902</v>
      </c>
      <c r="AS177" s="2">
        <f t="shared" ca="1" si="167"/>
        <v>1003782.6634660413</v>
      </c>
      <c r="AT177" s="2">
        <f t="shared" ca="1" si="168"/>
        <v>1103131.4025187083</v>
      </c>
      <c r="AU177" s="2">
        <f t="shared" ca="1" si="169"/>
        <v>1208701.4292534653</v>
      </c>
      <c r="AV177" s="2">
        <f t="shared" ca="1" si="170"/>
        <v>2279356.8535194765</v>
      </c>
      <c r="AW177" s="2">
        <f t="shared" ca="1" si="171"/>
        <v>2558789.2964686411</v>
      </c>
      <c r="AX177" s="2">
        <f t="shared" ca="1" si="172"/>
        <v>2822881.945584808</v>
      </c>
      <c r="AY177" s="2">
        <f t="shared" ca="1" si="173"/>
        <v>3103512.2615153058</v>
      </c>
      <c r="AZ177" s="2">
        <f t="shared" ca="1" si="174"/>
        <v>3401715.8445488098</v>
      </c>
      <c r="BA177" s="2">
        <f t="shared" ca="1" si="175"/>
        <v>60668566.221746676</v>
      </c>
      <c r="BB177" s="2">
        <f t="shared" ca="1" si="176"/>
        <v>1213371.3244349335</v>
      </c>
      <c r="BC177" s="2">
        <f t="shared" ca="1" si="177"/>
        <v>34552064.270574778</v>
      </c>
      <c r="BD177" s="2">
        <f t="shared" ca="1" si="178"/>
        <v>-18139717.527272012</v>
      </c>
      <c r="BE177" s="2">
        <f t="shared" ca="1" si="179"/>
        <v>2279356.8535194765</v>
      </c>
      <c r="BF177" s="2">
        <f t="shared" ca="1" si="180"/>
        <v>2558789.2964686411</v>
      </c>
      <c r="BG177" s="2">
        <f t="shared" ca="1" si="181"/>
        <v>2822881.945584808</v>
      </c>
      <c r="BH177" s="2">
        <f t="shared" ca="1" si="182"/>
        <v>3103512.2615153058</v>
      </c>
      <c r="BI177" s="2">
        <f t="shared" ca="1" si="183"/>
        <v>37953780.115123585</v>
      </c>
      <c r="BJ177" s="2">
        <f t="shared" ca="1" si="184"/>
        <v>0.25787118886404325</v>
      </c>
      <c r="BK177" s="2">
        <f t="shared" ca="1" si="185"/>
        <v>11452877.554481182</v>
      </c>
    </row>
    <row r="178" spans="1:63" x14ac:dyDescent="0.3">
      <c r="A178" s="2">
        <v>177</v>
      </c>
      <c r="B178" s="2">
        <f t="shared" ca="1" si="124"/>
        <v>6.7232826199441598E-2</v>
      </c>
      <c r="C178" s="2">
        <f t="shared" ca="1" si="125"/>
        <v>6.3666955854641332</v>
      </c>
      <c r="D178" s="2">
        <f t="shared" ca="1" si="126"/>
        <v>0.64937314395161316</v>
      </c>
      <c r="E178" s="2">
        <f t="shared" ca="1" si="127"/>
        <v>7.6625910723566566</v>
      </c>
      <c r="F178" s="2">
        <f t="shared" ca="1" si="128"/>
        <v>0.41196251127945727</v>
      </c>
      <c r="G178" s="2">
        <f t="shared" ca="1" si="129"/>
        <v>3.3325013462251557E-2</v>
      </c>
      <c r="H178" s="2">
        <f t="shared" ca="1" si="130"/>
        <v>3.3325013462251557E-2</v>
      </c>
      <c r="I178" s="2">
        <f t="shared" ca="1" si="131"/>
        <v>0.97221720990320804</v>
      </c>
      <c r="J178" s="2">
        <f t="shared" ca="1" si="132"/>
        <v>1.9572136495848595E-2</v>
      </c>
      <c r="K178" s="2">
        <f t="shared" ca="1" si="133"/>
        <v>1.9572136495848595E-2</v>
      </c>
      <c r="L178" s="2">
        <f t="shared" ca="1" si="134"/>
        <v>0.6493951319706075</v>
      </c>
      <c r="M178" s="2">
        <f t="shared" ca="1" si="135"/>
        <v>7.6737592363062207E-3</v>
      </c>
      <c r="N178" s="2">
        <f t="shared" ca="1" si="136"/>
        <v>7.6737592363062207E-3</v>
      </c>
      <c r="O178" s="2">
        <f t="shared" si="137"/>
        <v>6000000</v>
      </c>
      <c r="P178" s="2">
        <f t="shared" ca="1" si="138"/>
        <v>38200173.512784801</v>
      </c>
      <c r="Q178" s="2">
        <f t="shared" ca="1" si="139"/>
        <v>955004.33781962004</v>
      </c>
      <c r="R178" s="2">
        <f t="shared" ca="1" si="140"/>
        <v>22920104.107670881</v>
      </c>
      <c r="S178" s="2">
        <f t="shared" ca="1" si="141"/>
        <v>15280069.405113921</v>
      </c>
      <c r="T178" s="2">
        <f t="shared" ca="1" si="142"/>
        <v>50383687.961815313</v>
      </c>
      <c r="U178" s="2">
        <f t="shared" ca="1" si="143"/>
        <v>52062725.041420691</v>
      </c>
      <c r="V178" s="2">
        <f t="shared" ca="1" si="144"/>
        <v>53797716.054307535</v>
      </c>
      <c r="W178" s="2">
        <f t="shared" ca="1" si="145"/>
        <v>55590525.666055724</v>
      </c>
      <c r="X178" s="2">
        <f t="shared" ca="1" si="146"/>
        <v>57443080.682250671</v>
      </c>
      <c r="Y178" s="2">
        <f t="shared" ca="1" si="147"/>
        <v>0.1297860682479243</v>
      </c>
      <c r="Z178" s="2">
        <f t="shared" ca="1" si="148"/>
        <v>0.13370049554709401</v>
      </c>
      <c r="AA178" s="2">
        <f t="shared" ca="1" si="149"/>
        <v>6539100.7643942842</v>
      </c>
      <c r="AB178" s="2">
        <f t="shared" ca="1" si="150"/>
        <v>6960812.1375700468</v>
      </c>
      <c r="AC178" s="2">
        <f t="shared" ca="1" si="151"/>
        <v>7192781.2957627727</v>
      </c>
      <c r="AD178" s="2">
        <f t="shared" ca="1" si="152"/>
        <v>7432480.8292750986</v>
      </c>
      <c r="AE178" s="2">
        <f t="shared" ca="1" si="153"/>
        <v>7680168.3529686183</v>
      </c>
      <c r="AF178" s="2">
        <f t="shared" ca="1" si="154"/>
        <v>1007673.7592363063</v>
      </c>
      <c r="AG178" s="2">
        <f t="shared" ca="1" si="155"/>
        <v>1041254.5008284139</v>
      </c>
      <c r="AH178" s="2">
        <f t="shared" ca="1" si="156"/>
        <v>1075954.3210861508</v>
      </c>
      <c r="AI178" s="2">
        <f t="shared" ca="1" si="157"/>
        <v>1111810.5133211145</v>
      </c>
      <c r="AJ178" s="2">
        <f t="shared" ca="1" si="158"/>
        <v>1148861.6136450134</v>
      </c>
      <c r="AK178" s="2">
        <f t="shared" ca="1" si="159"/>
        <v>0</v>
      </c>
      <c r="AL178" s="2">
        <f t="shared" ca="1" si="160"/>
        <v>16790.370796053783</v>
      </c>
      <c r="AM178" s="2">
        <f t="shared" ca="1" si="161"/>
        <v>17349.910128868447</v>
      </c>
      <c r="AN178" s="2">
        <f t="shared" ca="1" si="162"/>
        <v>17928.096117481888</v>
      </c>
      <c r="AO178" s="2">
        <f t="shared" ca="1" si="163"/>
        <v>18525.550161949472</v>
      </c>
      <c r="AP178" s="2">
        <f t="shared" ca="1" si="164"/>
        <v>2062809.3696903791</v>
      </c>
      <c r="AQ178" s="2">
        <f t="shared" ca="1" si="165"/>
        <v>901840.58522157581</v>
      </c>
      <c r="AR178" s="2">
        <f t="shared" ca="1" si="166"/>
        <v>1002754.5494333259</v>
      </c>
      <c r="AS178" s="2">
        <f t="shared" ca="1" si="167"/>
        <v>1054044.5772964233</v>
      </c>
      <c r="AT178" s="2">
        <f t="shared" ca="1" si="168"/>
        <v>1107043.8460285373</v>
      </c>
      <c r="AU178" s="2">
        <f t="shared" ca="1" si="169"/>
        <v>1161809.3161046386</v>
      </c>
      <c r="AV178" s="2">
        <f t="shared" ca="1" si="170"/>
        <v>2566777.0502460236</v>
      </c>
      <c r="AW178" s="2">
        <f t="shared" ca="1" si="171"/>
        <v>2837203.3468218744</v>
      </c>
      <c r="AX178" s="2">
        <f t="shared" ca="1" si="172"/>
        <v>2982623.117560951</v>
      </c>
      <c r="AY178" s="2">
        <f t="shared" ca="1" si="173"/>
        <v>3132889.0041175857</v>
      </c>
      <c r="AZ178" s="2">
        <f t="shared" ca="1" si="174"/>
        <v>3288162.503366638</v>
      </c>
      <c r="BA178" s="2">
        <f t="shared" ca="1" si="175"/>
        <v>58849989.455653459</v>
      </c>
      <c r="BB178" s="2">
        <f t="shared" ca="1" si="176"/>
        <v>1176999.7891130692</v>
      </c>
      <c r="BC178" s="2">
        <f t="shared" ca="1" si="177"/>
        <v>34752885.558869511</v>
      </c>
      <c r="BD178" s="2">
        <f t="shared" ca="1" si="178"/>
        <v>-16735073.742933542</v>
      </c>
      <c r="BE178" s="2">
        <f t="shared" ca="1" si="179"/>
        <v>2566777.0502460236</v>
      </c>
      <c r="BF178" s="2">
        <f t="shared" ca="1" si="180"/>
        <v>2837203.3468218744</v>
      </c>
      <c r="BG178" s="2">
        <f t="shared" ca="1" si="181"/>
        <v>2982623.117560951</v>
      </c>
      <c r="BH178" s="2">
        <f t="shared" ca="1" si="182"/>
        <v>3132889.0041175857</v>
      </c>
      <c r="BI178" s="2">
        <f t="shared" ca="1" si="183"/>
        <v>38041048.062236145</v>
      </c>
      <c r="BJ178" s="2">
        <f t="shared" ca="1" si="184"/>
        <v>0.29248895511907569</v>
      </c>
      <c r="BK178" s="2">
        <f t="shared" ca="1" si="185"/>
        <v>13517984.729652811</v>
      </c>
    </row>
    <row r="179" spans="1:63" x14ac:dyDescent="0.3">
      <c r="A179" s="2">
        <v>178</v>
      </c>
      <c r="B179" s="2">
        <f t="shared" ca="1" si="124"/>
        <v>0.56659557978441555</v>
      </c>
      <c r="C179" s="2">
        <f t="shared" ca="1" si="125"/>
        <v>7.068974307319519</v>
      </c>
      <c r="D179" s="2">
        <f t="shared" ca="1" si="126"/>
        <v>0.15640297945133175</v>
      </c>
      <c r="E179" s="2">
        <f t="shared" ca="1" si="127"/>
        <v>7.0592905853871164</v>
      </c>
      <c r="F179" s="2">
        <f t="shared" ca="1" si="128"/>
        <v>0.96365248466992959</v>
      </c>
      <c r="G179" s="2">
        <f t="shared" ca="1" si="129"/>
        <v>9.3842219509905178E-2</v>
      </c>
      <c r="H179" s="2">
        <f t="shared" ca="1" si="130"/>
        <v>9.3842219509905178E-2</v>
      </c>
      <c r="I179" s="2">
        <f t="shared" ca="1" si="131"/>
        <v>3.8815392642340352E-2</v>
      </c>
      <c r="J179" s="2">
        <f t="shared" ca="1" si="132"/>
        <v>1.1769931561543684E-3</v>
      </c>
      <c r="K179" s="2">
        <f t="shared" ca="1" si="133"/>
        <v>1.1769931561543684E-3</v>
      </c>
      <c r="L179" s="2">
        <f t="shared" ca="1" si="134"/>
        <v>0.75282357774135367</v>
      </c>
      <c r="M179" s="2">
        <f t="shared" ca="1" si="135"/>
        <v>1.3668040382312816E-2</v>
      </c>
      <c r="N179" s="2">
        <f t="shared" ca="1" si="136"/>
        <v>1.3668040382312816E-2</v>
      </c>
      <c r="O179" s="2">
        <f t="shared" si="137"/>
        <v>6000000</v>
      </c>
      <c r="P179" s="2">
        <f t="shared" ca="1" si="138"/>
        <v>42413845.843917117</v>
      </c>
      <c r="Q179" s="2">
        <f t="shared" ca="1" si="139"/>
        <v>1060346.1460979281</v>
      </c>
      <c r="R179" s="2">
        <f t="shared" ca="1" si="140"/>
        <v>25448307.506350268</v>
      </c>
      <c r="S179" s="2">
        <f t="shared" ca="1" si="141"/>
        <v>16965538.337566849</v>
      </c>
      <c r="T179" s="2">
        <f t="shared" ca="1" si="142"/>
        <v>50683402.019115642</v>
      </c>
      <c r="U179" s="2">
        <f t="shared" ca="1" si="143"/>
        <v>55439644.956902258</v>
      </c>
      <c r="V179" s="2">
        <f t="shared" ca="1" si="144"/>
        <v>60642224.288499087</v>
      </c>
      <c r="W179" s="2">
        <f t="shared" ca="1" si="145"/>
        <v>66333025.211749315</v>
      </c>
      <c r="X179" s="2">
        <f t="shared" ca="1" si="146"/>
        <v>72557863.524426371</v>
      </c>
      <c r="Y179" s="2">
        <f t="shared" ca="1" si="147"/>
        <v>0.12058849657807719</v>
      </c>
      <c r="Z179" s="2">
        <f t="shared" ca="1" si="148"/>
        <v>0.12082389520930806</v>
      </c>
      <c r="AA179" s="2">
        <f t="shared" ca="1" si="149"/>
        <v>6111835.2509474372</v>
      </c>
      <c r="AB179" s="2">
        <f t="shared" ca="1" si="150"/>
        <v>6698433.8527140021</v>
      </c>
      <c r="AC179" s="2">
        <f t="shared" ca="1" si="151"/>
        <v>7327029.7526929695</v>
      </c>
      <c r="AD179" s="2">
        <f t="shared" ca="1" si="152"/>
        <v>8014614.4871007884</v>
      </c>
      <c r="AE179" s="2">
        <f t="shared" ca="1" si="153"/>
        <v>8766723.6990865674</v>
      </c>
      <c r="AF179" s="2">
        <f t="shared" ca="1" si="154"/>
        <v>1013668.0403823128</v>
      </c>
      <c r="AG179" s="2">
        <f t="shared" ca="1" si="155"/>
        <v>1108792.8991380453</v>
      </c>
      <c r="AH179" s="2">
        <f t="shared" ca="1" si="156"/>
        <v>1212844.4857699818</v>
      </c>
      <c r="AI179" s="2">
        <f t="shared" ca="1" si="157"/>
        <v>1326660.5042349864</v>
      </c>
      <c r="AJ179" s="2">
        <f t="shared" ca="1" si="158"/>
        <v>1451157.2704885274</v>
      </c>
      <c r="AK179" s="2">
        <f t="shared" ca="1" si="159"/>
        <v>0</v>
      </c>
      <c r="AL179" s="2">
        <f t="shared" ca="1" si="160"/>
        <v>47562.429377866167</v>
      </c>
      <c r="AM179" s="2">
        <f t="shared" ca="1" si="161"/>
        <v>52025.793315968294</v>
      </c>
      <c r="AN179" s="2">
        <f t="shared" ca="1" si="162"/>
        <v>56908.009232502285</v>
      </c>
      <c r="AO179" s="2">
        <f t="shared" ca="1" si="163"/>
        <v>62248.383126770554</v>
      </c>
      <c r="AP179" s="2">
        <f t="shared" ca="1" si="164"/>
        <v>2290347.6755715241</v>
      </c>
      <c r="AQ179" s="2">
        <f t="shared" ca="1" si="165"/>
        <v>730033.07909833617</v>
      </c>
      <c r="AR179" s="2">
        <f t="shared" ca="1" si="166"/>
        <v>857816.25228115253</v>
      </c>
      <c r="AS179" s="2">
        <f t="shared" ca="1" si="167"/>
        <v>994197.77375138062</v>
      </c>
      <c r="AT179" s="2">
        <f t="shared" ca="1" si="168"/>
        <v>1143377.6398965123</v>
      </c>
      <c r="AU179" s="2">
        <f t="shared" ca="1" si="169"/>
        <v>1306556.875786894</v>
      </c>
      <c r="AV179" s="2">
        <f t="shared" ca="1" si="170"/>
        <v>2077786.4558952642</v>
      </c>
      <c r="AW179" s="2">
        <f t="shared" ca="1" si="171"/>
        <v>2393914.5963454139</v>
      </c>
      <c r="AX179" s="2">
        <f t="shared" ca="1" si="172"/>
        <v>2777614.0242841146</v>
      </c>
      <c r="AY179" s="2">
        <f t="shared" ca="1" si="173"/>
        <v>3197320.6581652635</v>
      </c>
      <c r="AZ179" s="2">
        <f t="shared" ca="1" si="174"/>
        <v>3656413.4941128516</v>
      </c>
      <c r="BA179" s="2">
        <f t="shared" ca="1" si="175"/>
        <v>61886850.073651917</v>
      </c>
      <c r="BB179" s="2">
        <f t="shared" ca="1" si="176"/>
        <v>1237737.0014730385</v>
      </c>
      <c r="BC179" s="2">
        <f t="shared" ca="1" si="177"/>
        <v>35200805.565828606</v>
      </c>
      <c r="BD179" s="2">
        <f t="shared" ca="1" si="178"/>
        <v>-18525884.483664777</v>
      </c>
      <c r="BE179" s="2">
        <f t="shared" ca="1" si="179"/>
        <v>2077786.4558952642</v>
      </c>
      <c r="BF179" s="2">
        <f t="shared" ca="1" si="180"/>
        <v>2393914.5963454139</v>
      </c>
      <c r="BG179" s="2">
        <f t="shared" ca="1" si="181"/>
        <v>2777614.0242841146</v>
      </c>
      <c r="BH179" s="2">
        <f t="shared" ca="1" si="182"/>
        <v>3197320.6581652635</v>
      </c>
      <c r="BI179" s="2">
        <f t="shared" ca="1" si="183"/>
        <v>38857219.059941456</v>
      </c>
      <c r="BJ179" s="2">
        <f t="shared" ca="1" si="184"/>
        <v>0.25214368239866003</v>
      </c>
      <c r="BK179" s="2">
        <f t="shared" ca="1" si="185"/>
        <v>11295331.566807337</v>
      </c>
    </row>
    <row r="180" spans="1:63" x14ac:dyDescent="0.3">
      <c r="A180" s="2">
        <v>179</v>
      </c>
      <c r="B180" s="2">
        <f t="shared" ca="1" si="124"/>
        <v>0.25148967613145135</v>
      </c>
      <c r="C180" s="2">
        <f t="shared" ca="1" si="125"/>
        <v>6.7092103723599248</v>
      </c>
      <c r="D180" s="2">
        <f t="shared" ca="1" si="126"/>
        <v>0.80021733373155901</v>
      </c>
      <c r="E180" s="2">
        <f t="shared" ca="1" si="127"/>
        <v>7.8678881961734284</v>
      </c>
      <c r="F180" s="2">
        <f t="shared" ca="1" si="128"/>
        <v>3.0083509710808198E-2</v>
      </c>
      <c r="G180" s="2">
        <f t="shared" ca="1" si="129"/>
        <v>-1.6387030862377437E-2</v>
      </c>
      <c r="H180" s="2">
        <f t="shared" ca="1" si="130"/>
        <v>-1.6387030862377437E-2</v>
      </c>
      <c r="I180" s="2">
        <f t="shared" ca="1" si="131"/>
        <v>0.7574044699945518</v>
      </c>
      <c r="J180" s="2">
        <f t="shared" ca="1" si="132"/>
        <v>1.3489889140968332E-2</v>
      </c>
      <c r="K180" s="2">
        <f t="shared" ca="1" si="133"/>
        <v>1.3489889140968332E-2</v>
      </c>
      <c r="L180" s="2">
        <f t="shared" ca="1" si="134"/>
        <v>0.24887633483407678</v>
      </c>
      <c r="M180" s="2">
        <f t="shared" ca="1" si="135"/>
        <v>-1.356060007423638E-2</v>
      </c>
      <c r="N180" s="2">
        <f t="shared" ca="1" si="136"/>
        <v>-1.356060007423638E-2</v>
      </c>
      <c r="O180" s="2">
        <f t="shared" si="137"/>
        <v>6000000</v>
      </c>
      <c r="P180" s="2">
        <f t="shared" ca="1" si="138"/>
        <v>40255262.234159552</v>
      </c>
      <c r="Q180" s="2">
        <f t="shared" ca="1" si="139"/>
        <v>1006381.5558539889</v>
      </c>
      <c r="R180" s="2">
        <f t="shared" ca="1" si="140"/>
        <v>24153157.340495732</v>
      </c>
      <c r="S180" s="2">
        <f t="shared" ca="1" si="141"/>
        <v>16102104.893663822</v>
      </c>
      <c r="T180" s="2">
        <f t="shared" ca="1" si="142"/>
        <v>49321969.99628818</v>
      </c>
      <c r="U180" s="2">
        <f t="shared" ca="1" si="143"/>
        <v>48513729.351765752</v>
      </c>
      <c r="V180" s="2">
        <f t="shared" ca="1" si="144"/>
        <v>47718733.371629335</v>
      </c>
      <c r="W180" s="2">
        <f t="shared" ca="1" si="145"/>
        <v>46936765.015154883</v>
      </c>
      <c r="X180" s="2">
        <f t="shared" ca="1" si="146"/>
        <v>46167610.79827138</v>
      </c>
      <c r="Y180" s="2">
        <f t="shared" ca="1" si="147"/>
        <v>0.12674494457048416</v>
      </c>
      <c r="Z180" s="2">
        <f t="shared" ca="1" si="148"/>
        <v>0.12944292239867783</v>
      </c>
      <c r="AA180" s="2">
        <f t="shared" ca="1" si="149"/>
        <v>6251310.3532866286</v>
      </c>
      <c r="AB180" s="2">
        <f t="shared" ca="1" si="150"/>
        <v>6279758.9037510734</v>
      </c>
      <c r="AC180" s="2">
        <f t="shared" ca="1" si="151"/>
        <v>6176852.300787014</v>
      </c>
      <c r="AD180" s="2">
        <f t="shared" ca="1" si="152"/>
        <v>6075632.0315016704</v>
      </c>
      <c r="AE180" s="2">
        <f t="shared" ca="1" si="153"/>
        <v>5976070.4618930025</v>
      </c>
      <c r="AF180" s="2">
        <f t="shared" ca="1" si="154"/>
        <v>986439.3999257636</v>
      </c>
      <c r="AG180" s="2">
        <f t="shared" ca="1" si="155"/>
        <v>970274.58703531511</v>
      </c>
      <c r="AH180" s="2">
        <f t="shared" ca="1" si="156"/>
        <v>954374.66743258666</v>
      </c>
      <c r="AI180" s="2">
        <f t="shared" ca="1" si="157"/>
        <v>938735.3003030977</v>
      </c>
      <c r="AJ180" s="2">
        <f t="shared" ca="1" si="158"/>
        <v>923352.21596542757</v>
      </c>
      <c r="AK180" s="2">
        <f t="shared" ca="1" si="159"/>
        <v>0</v>
      </c>
      <c r="AL180" s="2">
        <f t="shared" ca="1" si="160"/>
        <v>0</v>
      </c>
      <c r="AM180" s="2">
        <f t="shared" ca="1" si="161"/>
        <v>0</v>
      </c>
      <c r="AN180" s="2">
        <f t="shared" ca="1" si="162"/>
        <v>0</v>
      </c>
      <c r="AO180" s="2">
        <f t="shared" ca="1" si="163"/>
        <v>0</v>
      </c>
      <c r="AP180" s="2">
        <f t="shared" ca="1" si="164"/>
        <v>2173784.160644616</v>
      </c>
      <c r="AQ180" s="2">
        <f t="shared" ca="1" si="165"/>
        <v>803682.56610622478</v>
      </c>
      <c r="AR180" s="2">
        <f t="shared" ca="1" si="166"/>
        <v>815282.04057849699</v>
      </c>
      <c r="AS180" s="2">
        <f t="shared" ca="1" si="167"/>
        <v>792660.30290455092</v>
      </c>
      <c r="AT180" s="2">
        <f t="shared" ca="1" si="168"/>
        <v>770409.26834402874</v>
      </c>
      <c r="AU180" s="2">
        <f t="shared" ca="1" si="169"/>
        <v>748522.86217356939</v>
      </c>
      <c r="AV180" s="2">
        <f t="shared" ca="1" si="170"/>
        <v>2287404.2266100245</v>
      </c>
      <c r="AW180" s="2">
        <f t="shared" ca="1" si="171"/>
        <v>2320418.1154926457</v>
      </c>
      <c r="AX180" s="2">
        <f t="shared" ca="1" si="172"/>
        <v>2256033.1698052604</v>
      </c>
      <c r="AY180" s="2">
        <f t="shared" ca="1" si="173"/>
        <v>2192703.3022099277</v>
      </c>
      <c r="AZ180" s="2">
        <f t="shared" ca="1" si="174"/>
        <v>2130411.2231093897</v>
      </c>
      <c r="BA180" s="2">
        <f t="shared" ca="1" si="175"/>
        <v>47019054.246628642</v>
      </c>
      <c r="BB180" s="2">
        <f t="shared" ca="1" si="176"/>
        <v>940381.08493257291</v>
      </c>
      <c r="BC180" s="2">
        <f t="shared" ca="1" si="177"/>
        <v>21925515.821200337</v>
      </c>
      <c r="BD180" s="2">
        <f t="shared" ca="1" si="178"/>
        <v>-17608486.449517809</v>
      </c>
      <c r="BE180" s="2">
        <f t="shared" ca="1" si="179"/>
        <v>2287404.2266100245</v>
      </c>
      <c r="BF180" s="2">
        <f t="shared" ca="1" si="180"/>
        <v>2320418.1154926457</v>
      </c>
      <c r="BG180" s="2">
        <f t="shared" ca="1" si="181"/>
        <v>2256033.1698052604</v>
      </c>
      <c r="BH180" s="2">
        <f t="shared" ca="1" si="182"/>
        <v>2192703.3022099277</v>
      </c>
      <c r="BI180" s="2">
        <f t="shared" ca="1" si="183"/>
        <v>24055927.044309728</v>
      </c>
      <c r="BJ180" s="2">
        <f t="shared" ca="1" si="184"/>
        <v>0.16321332578255765</v>
      </c>
      <c r="BK180" s="2">
        <f t="shared" ca="1" si="185"/>
        <v>2932943.3498021103</v>
      </c>
    </row>
    <row r="181" spans="1:63" x14ac:dyDescent="0.3">
      <c r="A181" s="2">
        <v>180</v>
      </c>
      <c r="B181" s="2">
        <f t="shared" ca="1" si="124"/>
        <v>0.65824308106765239</v>
      </c>
      <c r="C181" s="2">
        <f t="shared" ca="1" si="125"/>
        <v>7.1732510430217076</v>
      </c>
      <c r="D181" s="2">
        <f t="shared" ca="1" si="126"/>
        <v>0.25651261716827889</v>
      </c>
      <c r="E181" s="2">
        <f t="shared" ca="1" si="127"/>
        <v>7.2162577987963257</v>
      </c>
      <c r="F181" s="2">
        <f t="shared" ca="1" si="128"/>
        <v>0.19268064609886792</v>
      </c>
      <c r="G181" s="2">
        <f t="shared" ca="1" si="129"/>
        <v>1.3958189317048751E-2</v>
      </c>
      <c r="H181" s="2">
        <f t="shared" ca="1" si="130"/>
        <v>1.3958189317048751E-2</v>
      </c>
      <c r="I181" s="2">
        <f t="shared" ca="1" si="131"/>
        <v>0.26957284878449939</v>
      </c>
      <c r="J181" s="2">
        <f t="shared" ca="1" si="132"/>
        <v>6.9294731320755244E-3</v>
      </c>
      <c r="K181" s="2">
        <f t="shared" ca="1" si="133"/>
        <v>6.9294731320755244E-3</v>
      </c>
      <c r="L181" s="2">
        <f t="shared" ca="1" si="134"/>
        <v>0.34743502428028061</v>
      </c>
      <c r="M181" s="2">
        <f t="shared" ca="1" si="135"/>
        <v>-7.8450935284159733E-3</v>
      </c>
      <c r="N181" s="2">
        <f t="shared" ca="1" si="136"/>
        <v>-7.8450935284159733E-3</v>
      </c>
      <c r="O181" s="2">
        <f t="shared" si="137"/>
        <v>6000000</v>
      </c>
      <c r="P181" s="2">
        <f t="shared" ca="1" si="138"/>
        <v>43039506.258130245</v>
      </c>
      <c r="Q181" s="2">
        <f t="shared" ca="1" si="139"/>
        <v>1075987.6564532563</v>
      </c>
      <c r="R181" s="2">
        <f t="shared" ca="1" si="140"/>
        <v>25823703.754878145</v>
      </c>
      <c r="S181" s="2">
        <f t="shared" ca="1" si="141"/>
        <v>17215802.5032521</v>
      </c>
      <c r="T181" s="2">
        <f t="shared" ca="1" si="142"/>
        <v>49607745.3235792</v>
      </c>
      <c r="U181" s="2">
        <f t="shared" ca="1" si="143"/>
        <v>50300179.624397665</v>
      </c>
      <c r="V181" s="2">
        <f t="shared" ca="1" si="144"/>
        <v>51002279.054276571</v>
      </c>
      <c r="W181" s="2">
        <f t="shared" ca="1" si="145"/>
        <v>51714178.520917118</v>
      </c>
      <c r="X181" s="2">
        <f t="shared" ca="1" si="146"/>
        <v>52436014.815087743</v>
      </c>
      <c r="Y181" s="2">
        <f t="shared" ca="1" si="147"/>
        <v>0.12346473656603776</v>
      </c>
      <c r="Z181" s="2">
        <f t="shared" ca="1" si="148"/>
        <v>0.12485063119245286</v>
      </c>
      <c r="AA181" s="2">
        <f t="shared" ca="1" si="149"/>
        <v>6124807.2080107974</v>
      </c>
      <c r="AB181" s="2">
        <f t="shared" ca="1" si="150"/>
        <v>6280009.1751998048</v>
      </c>
      <c r="AC181" s="2">
        <f t="shared" ca="1" si="151"/>
        <v>6367666.7321800478</v>
      </c>
      <c r="AD181" s="2">
        <f t="shared" ca="1" si="152"/>
        <v>6456547.8299356904</v>
      </c>
      <c r="AE181" s="2">
        <f t="shared" ca="1" si="153"/>
        <v>6546669.5468805144</v>
      </c>
      <c r="AF181" s="2">
        <f t="shared" ca="1" si="154"/>
        <v>992154.90647158399</v>
      </c>
      <c r="AG181" s="2">
        <f t="shared" ca="1" si="155"/>
        <v>1006003.5924879534</v>
      </c>
      <c r="AH181" s="2">
        <f t="shared" ca="1" si="156"/>
        <v>1020045.5810855314</v>
      </c>
      <c r="AI181" s="2">
        <f t="shared" ca="1" si="157"/>
        <v>1034283.5704183424</v>
      </c>
      <c r="AJ181" s="2">
        <f t="shared" ca="1" si="158"/>
        <v>1048720.2963017549</v>
      </c>
      <c r="AK181" s="2">
        <f t="shared" ca="1" si="159"/>
        <v>0</v>
      </c>
      <c r="AL181" s="2">
        <f t="shared" ca="1" si="160"/>
        <v>6924.3430081846564</v>
      </c>
      <c r="AM181" s="2">
        <f t="shared" ca="1" si="161"/>
        <v>7020.9942987890545</v>
      </c>
      <c r="AN181" s="2">
        <f t="shared" ca="1" si="162"/>
        <v>7118.9946664054696</v>
      </c>
      <c r="AO181" s="2">
        <f t="shared" ca="1" si="163"/>
        <v>7218.3629417062548</v>
      </c>
      <c r="AP181" s="2">
        <f t="shared" ca="1" si="164"/>
        <v>2324133.3379390328</v>
      </c>
      <c r="AQ181" s="2">
        <f t="shared" ca="1" si="165"/>
        <v>730214.93053604697</v>
      </c>
      <c r="AR181" s="2">
        <f t="shared" ca="1" si="166"/>
        <v>766966.78364093276</v>
      </c>
      <c r="AS181" s="2">
        <f t="shared" ca="1" si="167"/>
        <v>786106.83142042579</v>
      </c>
      <c r="AT181" s="2">
        <f t="shared" ca="1" si="168"/>
        <v>805514.03961036203</v>
      </c>
      <c r="AU181" s="2">
        <f t="shared" ca="1" si="169"/>
        <v>825192.13728632894</v>
      </c>
      <c r="AV181" s="2">
        <f t="shared" ca="1" si="170"/>
        <v>2078304.033064134</v>
      </c>
      <c r="AW181" s="2">
        <f t="shared" ca="1" si="171"/>
        <v>2175981.1181237013</v>
      </c>
      <c r="AX181" s="2">
        <f t="shared" ca="1" si="172"/>
        <v>2230359.9874362689</v>
      </c>
      <c r="AY181" s="2">
        <f t="shared" ca="1" si="173"/>
        <v>2285497.8873015488</v>
      </c>
      <c r="AZ181" s="2">
        <f t="shared" ca="1" si="174"/>
        <v>2341405.4124116912</v>
      </c>
      <c r="BA181" s="2">
        <f t="shared" ca="1" si="175"/>
        <v>47242455.173818916</v>
      </c>
      <c r="BB181" s="2">
        <f t="shared" ca="1" si="176"/>
        <v>944849.10347637837</v>
      </c>
      <c r="BC181" s="2">
        <f t="shared" ca="1" si="177"/>
        <v>20473902.315464392</v>
      </c>
      <c r="BD181" s="2">
        <f t="shared" ca="1" si="178"/>
        <v>-18791790.159705356</v>
      </c>
      <c r="BE181" s="2">
        <f t="shared" ca="1" si="179"/>
        <v>2078304.033064134</v>
      </c>
      <c r="BF181" s="2">
        <f t="shared" ca="1" si="180"/>
        <v>2175981.1181237013</v>
      </c>
      <c r="BG181" s="2">
        <f t="shared" ca="1" si="181"/>
        <v>2230359.9874362689</v>
      </c>
      <c r="BH181" s="2">
        <f t="shared" ca="1" si="182"/>
        <v>2285497.8873015488</v>
      </c>
      <c r="BI181" s="2">
        <f t="shared" ca="1" si="183"/>
        <v>22815307.727876082</v>
      </c>
      <c r="BJ181" s="2">
        <f t="shared" ca="1" si="184"/>
        <v>0.13120432213513977</v>
      </c>
      <c r="BK181" s="2">
        <f t="shared" ca="1" si="185"/>
        <v>784537.0026672706</v>
      </c>
    </row>
    <row r="182" spans="1:63" x14ac:dyDescent="0.3">
      <c r="A182" s="2">
        <v>181</v>
      </c>
      <c r="B182" s="2">
        <f t="shared" ca="1" si="124"/>
        <v>0.42908251231257644</v>
      </c>
      <c r="C182" s="2">
        <f t="shared" ca="1" si="125"/>
        <v>6.926371968825241</v>
      </c>
      <c r="D182" s="2">
        <f t="shared" ca="1" si="126"/>
        <v>0.16030209138803908</v>
      </c>
      <c r="E182" s="2">
        <f t="shared" ca="1" si="127"/>
        <v>7.0662192002891446</v>
      </c>
      <c r="F182" s="2">
        <f t="shared" ca="1" si="128"/>
        <v>0.50897897166096007</v>
      </c>
      <c r="G182" s="2">
        <f t="shared" ca="1" si="129"/>
        <v>4.0675265343257487E-2</v>
      </c>
      <c r="H182" s="2">
        <f t="shared" ca="1" si="130"/>
        <v>4.0675265343257487E-2</v>
      </c>
      <c r="I182" s="2">
        <f t="shared" ca="1" si="131"/>
        <v>0.81568496490267972</v>
      </c>
      <c r="J182" s="2">
        <f t="shared" ca="1" si="132"/>
        <v>1.449521206152753E-2</v>
      </c>
      <c r="K182" s="2">
        <f t="shared" ca="1" si="133"/>
        <v>1.449521206152753E-2</v>
      </c>
      <c r="L182" s="2">
        <f t="shared" ca="1" si="134"/>
        <v>7.1253873423068326E-3</v>
      </c>
      <c r="M182" s="2">
        <f t="shared" ca="1" si="135"/>
        <v>-4.9017585176129752E-2</v>
      </c>
      <c r="N182" s="2">
        <f t="shared" ca="1" si="136"/>
        <v>-4.9017585176129752E-2</v>
      </c>
      <c r="O182" s="2">
        <f t="shared" si="137"/>
        <v>6000000</v>
      </c>
      <c r="P182" s="2">
        <f t="shared" ca="1" si="138"/>
        <v>41558231.812951446</v>
      </c>
      <c r="Q182" s="2">
        <f t="shared" ca="1" si="139"/>
        <v>1038955.7953237862</v>
      </c>
      <c r="R182" s="2">
        <f t="shared" ca="1" si="140"/>
        <v>24934939.087770868</v>
      </c>
      <c r="S182" s="2">
        <f t="shared" ca="1" si="141"/>
        <v>16623292.725180579</v>
      </c>
      <c r="T182" s="2">
        <f t="shared" ca="1" si="142"/>
        <v>47549120.741193511</v>
      </c>
      <c r="U182" s="2">
        <f t="shared" ca="1" si="143"/>
        <v>49483193.844180137</v>
      </c>
      <c r="V182" s="2">
        <f t="shared" ca="1" si="144"/>
        <v>51495935.883824006</v>
      </c>
      <c r="W182" s="2">
        <f t="shared" ca="1" si="145"/>
        <v>53590546.739997916</v>
      </c>
      <c r="X182" s="2">
        <f t="shared" ca="1" si="146"/>
        <v>55770356.448537566</v>
      </c>
      <c r="Y182" s="2">
        <f t="shared" ca="1" si="147"/>
        <v>0.12724760603076377</v>
      </c>
      <c r="Z182" s="2">
        <f t="shared" ca="1" si="148"/>
        <v>0.13014664844306928</v>
      </c>
      <c r="AA182" s="2">
        <f t="shared" ca="1" si="149"/>
        <v>6050511.7831846094</v>
      </c>
      <c r="AB182" s="2">
        <f t="shared" ca="1" si="150"/>
        <v>6440071.8330787625</v>
      </c>
      <c r="AC182" s="2">
        <f t="shared" ca="1" si="151"/>
        <v>6702023.463718879</v>
      </c>
      <c r="AD182" s="2">
        <f t="shared" ca="1" si="152"/>
        <v>6974630.0464423811</v>
      </c>
      <c r="AE182" s="2">
        <f t="shared" ca="1" si="153"/>
        <v>7258324.9742524801</v>
      </c>
      <c r="AF182" s="2">
        <f t="shared" ca="1" si="154"/>
        <v>950982.41482387017</v>
      </c>
      <c r="AG182" s="2">
        <f t="shared" ca="1" si="155"/>
        <v>989663.8768836027</v>
      </c>
      <c r="AH182" s="2">
        <f t="shared" ca="1" si="156"/>
        <v>1029918.7176764802</v>
      </c>
      <c r="AI182" s="2">
        <f t="shared" ca="1" si="157"/>
        <v>1071810.9347999583</v>
      </c>
      <c r="AJ182" s="2">
        <f t="shared" ca="1" si="158"/>
        <v>1115407.1289707513</v>
      </c>
      <c r="AK182" s="2">
        <f t="shared" ca="1" si="159"/>
        <v>0</v>
      </c>
      <c r="AL182" s="2">
        <f t="shared" ca="1" si="160"/>
        <v>19340.731029866263</v>
      </c>
      <c r="AM182" s="2">
        <f t="shared" ca="1" si="161"/>
        <v>20127.420396438687</v>
      </c>
      <c r="AN182" s="2">
        <f t="shared" ca="1" si="162"/>
        <v>20946.108561739104</v>
      </c>
      <c r="AO182" s="2">
        <f t="shared" ca="1" si="163"/>
        <v>21798.097085396497</v>
      </c>
      <c r="AP182" s="2">
        <f t="shared" ca="1" si="164"/>
        <v>2244144.5178993782</v>
      </c>
      <c r="AQ182" s="2">
        <f t="shared" ca="1" si="165"/>
        <v>742400.06111995387</v>
      </c>
      <c r="AR182" s="2">
        <f t="shared" ca="1" si="166"/>
        <v>833628.49395690323</v>
      </c>
      <c r="AS182" s="2">
        <f t="shared" ca="1" si="167"/>
        <v>891269.6593171854</v>
      </c>
      <c r="AT182" s="2">
        <f t="shared" ca="1" si="168"/>
        <v>951255.39437319175</v>
      </c>
      <c r="AU182" s="2">
        <f t="shared" ca="1" si="169"/>
        <v>1013681.0651194111</v>
      </c>
      <c r="AV182" s="2">
        <f t="shared" ca="1" si="170"/>
        <v>2112984.7893414069</v>
      </c>
      <c r="AW182" s="2">
        <f t="shared" ca="1" si="171"/>
        <v>2353294.2133090124</v>
      </c>
      <c r="AX182" s="2">
        <f t="shared" ca="1" si="172"/>
        <v>2516563.1484293966</v>
      </c>
      <c r="AY182" s="2">
        <f t="shared" ca="1" si="173"/>
        <v>2686473.090808114</v>
      </c>
      <c r="AZ182" s="2">
        <f t="shared" ca="1" si="174"/>
        <v>2863294.1651775427</v>
      </c>
      <c r="BA182" s="2">
        <f t="shared" ca="1" si="175"/>
        <v>51288915.29500109</v>
      </c>
      <c r="BB182" s="2">
        <f t="shared" ca="1" si="176"/>
        <v>1025778.3059000218</v>
      </c>
      <c r="BC182" s="2">
        <f t="shared" ca="1" si="177"/>
        <v>25328197.901330199</v>
      </c>
      <c r="BD182" s="2">
        <f t="shared" ca="1" si="178"/>
        <v>-18162248.520504367</v>
      </c>
      <c r="BE182" s="2">
        <f t="shared" ca="1" si="179"/>
        <v>2112984.7893414069</v>
      </c>
      <c r="BF182" s="2">
        <f t="shared" ca="1" si="180"/>
        <v>2353294.2133090124</v>
      </c>
      <c r="BG182" s="2">
        <f t="shared" ca="1" si="181"/>
        <v>2516563.1484293966</v>
      </c>
      <c r="BH182" s="2">
        <f t="shared" ca="1" si="182"/>
        <v>2686473.090808114</v>
      </c>
      <c r="BI182" s="2">
        <f t="shared" ca="1" si="183"/>
        <v>28191492.066507742</v>
      </c>
      <c r="BJ182" s="2">
        <f t="shared" ca="1" si="184"/>
        <v>0.18874686387834805</v>
      </c>
      <c r="BK182" s="2">
        <f t="shared" ca="1" si="185"/>
        <v>5095528.639431946</v>
      </c>
    </row>
    <row r="183" spans="1:63" x14ac:dyDescent="0.3">
      <c r="A183" s="2">
        <v>182</v>
      </c>
      <c r="B183" s="2">
        <f t="shared" ca="1" si="124"/>
        <v>0.87294750314047398</v>
      </c>
      <c r="C183" s="2">
        <f t="shared" ca="1" si="125"/>
        <v>7.4959117203117573</v>
      </c>
      <c r="D183" s="2">
        <f t="shared" ca="1" si="126"/>
        <v>0.70356738294340337</v>
      </c>
      <c r="E183" s="2">
        <f t="shared" ca="1" si="127"/>
        <v>7.7300225755821188</v>
      </c>
      <c r="F183" s="2">
        <f t="shared" ca="1" si="128"/>
        <v>0.42797187019317473</v>
      </c>
      <c r="G183" s="2">
        <f t="shared" ca="1" si="129"/>
        <v>3.4553800043074297E-2</v>
      </c>
      <c r="H183" s="2">
        <f t="shared" ca="1" si="130"/>
        <v>3.4553800043074297E-2</v>
      </c>
      <c r="I183" s="2">
        <f t="shared" ca="1" si="131"/>
        <v>0.85458822257766487</v>
      </c>
      <c r="J183" s="2">
        <f t="shared" ca="1" si="132"/>
        <v>1.5281583433346992E-2</v>
      </c>
      <c r="K183" s="2">
        <f t="shared" ca="1" si="133"/>
        <v>1.5281583433346992E-2</v>
      </c>
      <c r="L183" s="2">
        <f t="shared" ca="1" si="134"/>
        <v>0.54521580574392658</v>
      </c>
      <c r="M183" s="2">
        <f t="shared" ca="1" si="135"/>
        <v>2.271659385697723E-3</v>
      </c>
      <c r="N183" s="2">
        <f t="shared" ca="1" si="136"/>
        <v>2.271659385697723E-3</v>
      </c>
      <c r="O183" s="2">
        <f t="shared" si="137"/>
        <v>6000000</v>
      </c>
      <c r="P183" s="2">
        <f t="shared" ca="1" si="138"/>
        <v>44975470.321870543</v>
      </c>
      <c r="Q183" s="2">
        <f t="shared" ca="1" si="139"/>
        <v>1124386.7580467637</v>
      </c>
      <c r="R183" s="2">
        <f t="shared" ca="1" si="140"/>
        <v>26985282.193122324</v>
      </c>
      <c r="S183" s="2">
        <f t="shared" ca="1" si="141"/>
        <v>17990188.128748219</v>
      </c>
      <c r="T183" s="2">
        <f t="shared" ca="1" si="142"/>
        <v>50113582.969284885</v>
      </c>
      <c r="U183" s="2">
        <f t="shared" ca="1" si="143"/>
        <v>51845197.694647565</v>
      </c>
      <c r="V183" s="2">
        <f t="shared" ca="1" si="144"/>
        <v>53636646.288982071</v>
      </c>
      <c r="W183" s="2">
        <f t="shared" ca="1" si="145"/>
        <v>55489996.239832662</v>
      </c>
      <c r="X183" s="2">
        <f t="shared" ca="1" si="146"/>
        <v>57407386.474294782</v>
      </c>
      <c r="Y183" s="2">
        <f t="shared" ca="1" si="147"/>
        <v>0.1276407917166735</v>
      </c>
      <c r="Z183" s="2">
        <f t="shared" ca="1" si="148"/>
        <v>0.13069710840334289</v>
      </c>
      <c r="AA183" s="2">
        <f t="shared" ca="1" si="149"/>
        <v>6396537.4059587279</v>
      </c>
      <c r="AB183" s="2">
        <f t="shared" ca="1" si="150"/>
        <v>6776017.4232900962</v>
      </c>
      <c r="AC183" s="2">
        <f t="shared" ca="1" si="151"/>
        <v>7010154.5744228493</v>
      </c>
      <c r="AD183" s="2">
        <f t="shared" ca="1" si="152"/>
        <v>7252382.053858499</v>
      </c>
      <c r="AE183" s="2">
        <f t="shared" ca="1" si="153"/>
        <v>7502979.4131835056</v>
      </c>
      <c r="AF183" s="2">
        <f t="shared" ca="1" si="154"/>
        <v>1002271.6593856977</v>
      </c>
      <c r="AG183" s="2">
        <f t="shared" ca="1" si="155"/>
        <v>1036903.9538929514</v>
      </c>
      <c r="AH183" s="2">
        <f t="shared" ca="1" si="156"/>
        <v>1072732.9257796414</v>
      </c>
      <c r="AI183" s="2">
        <f t="shared" ca="1" si="157"/>
        <v>1109799.9247966532</v>
      </c>
      <c r="AJ183" s="2">
        <f t="shared" ca="1" si="158"/>
        <v>1148147.7294858957</v>
      </c>
      <c r="AK183" s="2">
        <f t="shared" ca="1" si="159"/>
        <v>0</v>
      </c>
      <c r="AL183" s="2">
        <f t="shared" ca="1" si="160"/>
        <v>17316.147253626808</v>
      </c>
      <c r="AM183" s="2">
        <f t="shared" ca="1" si="161"/>
        <v>17914.485943345055</v>
      </c>
      <c r="AN183" s="2">
        <f t="shared" ca="1" si="162"/>
        <v>18533.499508505913</v>
      </c>
      <c r="AO183" s="2">
        <f t="shared" ca="1" si="163"/>
        <v>19173.902344621198</v>
      </c>
      <c r="AP183" s="2">
        <f t="shared" ca="1" si="164"/>
        <v>2428675.3973810091</v>
      </c>
      <c r="AQ183" s="2">
        <f t="shared" ca="1" si="165"/>
        <v>771053.49078992545</v>
      </c>
      <c r="AR183" s="2">
        <f t="shared" ca="1" si="166"/>
        <v>860713.8987241952</v>
      </c>
      <c r="AS183" s="2">
        <f t="shared" ca="1" si="167"/>
        <v>912274.02532817167</v>
      </c>
      <c r="AT183" s="2">
        <f t="shared" ca="1" si="168"/>
        <v>965615.75023701764</v>
      </c>
      <c r="AU183" s="2">
        <f t="shared" ca="1" si="169"/>
        <v>1020800.6344423164</v>
      </c>
      <c r="AV183" s="2">
        <f t="shared" ca="1" si="170"/>
        <v>2194536.8584020953</v>
      </c>
      <c r="AW183" s="2">
        <f t="shared" ca="1" si="171"/>
        <v>2432408.0260383128</v>
      </c>
      <c r="AX183" s="2">
        <f t="shared" ca="1" si="172"/>
        <v>2578557.7399906819</v>
      </c>
      <c r="AY183" s="2">
        <f t="shared" ca="1" si="173"/>
        <v>2729757.4819353134</v>
      </c>
      <c r="AZ183" s="2">
        <f t="shared" ca="1" si="174"/>
        <v>2886181.7495296639</v>
      </c>
      <c r="BA183" s="2">
        <f t="shared" ca="1" si="175"/>
        <v>57998200.248036377</v>
      </c>
      <c r="BB183" s="2">
        <f t="shared" ca="1" si="176"/>
        <v>1159964.0049607276</v>
      </c>
      <c r="BC183" s="2">
        <f t="shared" ca="1" si="177"/>
        <v>29852954.049953327</v>
      </c>
      <c r="BD183" s="2">
        <f t="shared" ca="1" si="178"/>
        <v>-19614574.886794984</v>
      </c>
      <c r="BE183" s="2">
        <f t="shared" ca="1" si="179"/>
        <v>2194536.8584020953</v>
      </c>
      <c r="BF183" s="2">
        <f t="shared" ca="1" si="180"/>
        <v>2432408.0260383128</v>
      </c>
      <c r="BG183" s="2">
        <f t="shared" ca="1" si="181"/>
        <v>2578557.7399906819</v>
      </c>
      <c r="BH183" s="2">
        <f t="shared" ca="1" si="182"/>
        <v>2729757.4819353134</v>
      </c>
      <c r="BI183" s="2">
        <f t="shared" ca="1" si="183"/>
        <v>32739135.79948299</v>
      </c>
      <c r="BJ183" s="2">
        <f t="shared" ca="1" si="184"/>
        <v>0.19806402089941688</v>
      </c>
      <c r="BK183" s="2">
        <f t="shared" ca="1" si="185"/>
        <v>6431175.3908036612</v>
      </c>
    </row>
    <row r="184" spans="1:63" x14ac:dyDescent="0.3">
      <c r="A184" s="2">
        <v>183</v>
      </c>
      <c r="B184" s="2">
        <f t="shared" ca="1" si="124"/>
        <v>0.9620163521417664</v>
      </c>
      <c r="C184" s="2">
        <f t="shared" ca="1" si="125"/>
        <v>7.7243783467931681</v>
      </c>
      <c r="D184" s="2">
        <f t="shared" ca="1" si="126"/>
        <v>0.91328709630102056</v>
      </c>
      <c r="E184" s="2">
        <f t="shared" ca="1" si="127"/>
        <v>8.0835557571559438</v>
      </c>
      <c r="F184" s="2">
        <f t="shared" ca="1" si="128"/>
        <v>0.16952148572836867</v>
      </c>
      <c r="G184" s="2">
        <f t="shared" ca="1" si="129"/>
        <v>1.1318262314372923E-2</v>
      </c>
      <c r="H184" s="2">
        <f t="shared" ca="1" si="130"/>
        <v>1.1318262314372923E-2</v>
      </c>
      <c r="I184" s="2">
        <f t="shared" ca="1" si="131"/>
        <v>0.78326183171722774</v>
      </c>
      <c r="J184" s="2">
        <f t="shared" ca="1" si="132"/>
        <v>1.3916283910992103E-2</v>
      </c>
      <c r="K184" s="2">
        <f t="shared" ca="1" si="133"/>
        <v>1.3916283910992103E-2</v>
      </c>
      <c r="L184" s="2">
        <f t="shared" ca="1" si="134"/>
        <v>0.46647990983812115</v>
      </c>
      <c r="M184" s="2">
        <f t="shared" ca="1" si="135"/>
        <v>-1.6824302773314778E-3</v>
      </c>
      <c r="N184" s="2">
        <f t="shared" ca="1" si="136"/>
        <v>-1.6824302773314778E-3</v>
      </c>
      <c r="O184" s="2">
        <f t="shared" si="137"/>
        <v>6000000</v>
      </c>
      <c r="P184" s="2">
        <f t="shared" ca="1" si="138"/>
        <v>46346270.080759011</v>
      </c>
      <c r="Q184" s="2">
        <f t="shared" ca="1" si="139"/>
        <v>1158656.7520189753</v>
      </c>
      <c r="R184" s="2">
        <f t="shared" ca="1" si="140"/>
        <v>27807762.048455406</v>
      </c>
      <c r="S184" s="2">
        <f t="shared" ca="1" si="141"/>
        <v>18538508.032303605</v>
      </c>
      <c r="T184" s="2">
        <f t="shared" ca="1" si="142"/>
        <v>49915878.486133426</v>
      </c>
      <c r="U184" s="2">
        <f t="shared" ca="1" si="143"/>
        <v>50480839.492491841</v>
      </c>
      <c r="V184" s="2">
        <f t="shared" ca="1" si="144"/>
        <v>51052194.875717618</v>
      </c>
      <c r="W184" s="2">
        <f t="shared" ca="1" si="145"/>
        <v>51630017.009045467</v>
      </c>
      <c r="X184" s="2">
        <f t="shared" ca="1" si="146"/>
        <v>52214379.084849373</v>
      </c>
      <c r="Y184" s="2">
        <f t="shared" ca="1" si="147"/>
        <v>0.12695814195549604</v>
      </c>
      <c r="Z184" s="2">
        <f t="shared" ca="1" si="148"/>
        <v>0.12974139873769447</v>
      </c>
      <c r="AA184" s="2">
        <f t="shared" ca="1" si="149"/>
        <v>6337227.1866758186</v>
      </c>
      <c r="AB184" s="2">
        <f t="shared" ca="1" si="150"/>
        <v>6549454.7252089381</v>
      </c>
      <c r="AC184" s="2">
        <f t="shared" ca="1" si="151"/>
        <v>6623583.1718049617</v>
      </c>
      <c r="AD184" s="2">
        <f t="shared" ca="1" si="152"/>
        <v>6698550.6236045156</v>
      </c>
      <c r="AE184" s="2">
        <f t="shared" ca="1" si="153"/>
        <v>6774366.5766885765</v>
      </c>
      <c r="AF184" s="2">
        <f t="shared" ca="1" si="154"/>
        <v>998317.5697226685</v>
      </c>
      <c r="AG184" s="2">
        <f t="shared" ca="1" si="155"/>
        <v>1009616.7898498368</v>
      </c>
      <c r="AH184" s="2">
        <f t="shared" ca="1" si="156"/>
        <v>1021043.8975143523</v>
      </c>
      <c r="AI184" s="2">
        <f t="shared" ca="1" si="157"/>
        <v>1032600.3401809094</v>
      </c>
      <c r="AJ184" s="2">
        <f t="shared" ca="1" si="158"/>
        <v>1044287.5816969875</v>
      </c>
      <c r="AK184" s="2">
        <f t="shared" ca="1" si="159"/>
        <v>0</v>
      </c>
      <c r="AL184" s="2">
        <f t="shared" ca="1" si="160"/>
        <v>5649.6100635841494</v>
      </c>
      <c r="AM184" s="2">
        <f t="shared" ca="1" si="161"/>
        <v>5713.5538322577622</v>
      </c>
      <c r="AN184" s="2">
        <f t="shared" ca="1" si="162"/>
        <v>5778.2213332784922</v>
      </c>
      <c r="AO184" s="2">
        <f t="shared" ca="1" si="163"/>
        <v>5843.6207580390574</v>
      </c>
      <c r="AP184" s="2">
        <f t="shared" ca="1" si="164"/>
        <v>2502698.5843609865</v>
      </c>
      <c r="AQ184" s="2">
        <f t="shared" ca="1" si="165"/>
        <v>737414.86847396265</v>
      </c>
      <c r="AR184" s="2">
        <f t="shared" ca="1" si="166"/>
        <v>789656.23125951004</v>
      </c>
      <c r="AS184" s="2">
        <f t="shared" ca="1" si="167"/>
        <v>805958.57938170189</v>
      </c>
      <c r="AT184" s="2">
        <f t="shared" ca="1" si="168"/>
        <v>822445.44175628119</v>
      </c>
      <c r="AU184" s="2">
        <f t="shared" ca="1" si="169"/>
        <v>839118.90676395677</v>
      </c>
      <c r="AV184" s="2">
        <f t="shared" ca="1" si="170"/>
        <v>2098796.164118201</v>
      </c>
      <c r="AW184" s="2">
        <f t="shared" ca="1" si="171"/>
        <v>2241833.5096750208</v>
      </c>
      <c r="AX184" s="2">
        <f t="shared" ca="1" si="172"/>
        <v>2288168.5567156631</v>
      </c>
      <c r="AY184" s="2">
        <f t="shared" ca="1" si="173"/>
        <v>2335028.0359730604</v>
      </c>
      <c r="AZ184" s="2">
        <f t="shared" ca="1" si="174"/>
        <v>2382417.883108607</v>
      </c>
      <c r="BA184" s="2">
        <f t="shared" ca="1" si="175"/>
        <v>54760969.942075744</v>
      </c>
      <c r="BB184" s="2">
        <f t="shared" ca="1" si="176"/>
        <v>1095219.398841515</v>
      </c>
      <c r="BC184" s="2">
        <f t="shared" ca="1" si="177"/>
        <v>25857988.494778823</v>
      </c>
      <c r="BD184" s="2">
        <f t="shared" ca="1" si="178"/>
        <v>-20197164.784322582</v>
      </c>
      <c r="BE184" s="2">
        <f t="shared" ca="1" si="179"/>
        <v>2098796.164118201</v>
      </c>
      <c r="BF184" s="2">
        <f t="shared" ca="1" si="180"/>
        <v>2241833.5096750208</v>
      </c>
      <c r="BG184" s="2">
        <f t="shared" ca="1" si="181"/>
        <v>2288168.5567156631</v>
      </c>
      <c r="BH184" s="2">
        <f t="shared" ca="1" si="182"/>
        <v>2335028.0359730604</v>
      </c>
      <c r="BI184" s="2">
        <f t="shared" ca="1" si="183"/>
        <v>28240406.377887432</v>
      </c>
      <c r="BJ184" s="2">
        <f t="shared" ca="1" si="184"/>
        <v>0.152757092105549</v>
      </c>
      <c r="BK184" s="2">
        <f t="shared" ca="1" si="185"/>
        <v>2600927.01861424</v>
      </c>
    </row>
    <row r="185" spans="1:63" x14ac:dyDescent="0.3">
      <c r="A185" s="2">
        <v>184</v>
      </c>
      <c r="B185" s="2">
        <f t="shared" ca="1" si="124"/>
        <v>0.74558139007649249</v>
      </c>
      <c r="C185" s="2">
        <f t="shared" ca="1" si="125"/>
        <v>7.2866717306548026</v>
      </c>
      <c r="D185" s="2">
        <f t="shared" ca="1" si="126"/>
        <v>0.74455324471106954</v>
      </c>
      <c r="E185" s="2">
        <f t="shared" ca="1" si="127"/>
        <v>7.785231848374691</v>
      </c>
      <c r="F185" s="2">
        <f t="shared" ca="1" si="128"/>
        <v>0.98432911330805961</v>
      </c>
      <c r="G185" s="2">
        <f t="shared" ca="1" si="129"/>
        <v>0.10458118697089575</v>
      </c>
      <c r="H185" s="2">
        <f t="shared" ca="1" si="130"/>
        <v>0.10458118697089575</v>
      </c>
      <c r="I185" s="2">
        <f t="shared" ca="1" si="131"/>
        <v>0.98012134581664778</v>
      </c>
      <c r="J185" s="2">
        <f t="shared" ca="1" si="132"/>
        <v>2.0281307956206571E-2</v>
      </c>
      <c r="K185" s="2">
        <f t="shared" ca="1" si="133"/>
        <v>2.0281307956206571E-2</v>
      </c>
      <c r="L185" s="2">
        <f t="shared" ca="1" si="134"/>
        <v>0.49272389205795675</v>
      </c>
      <c r="M185" s="2">
        <f t="shared" ca="1" si="135"/>
        <v>-3.6479018330768894E-4</v>
      </c>
      <c r="N185" s="2">
        <f t="shared" ca="1" si="136"/>
        <v>-3.6479018330768894E-4</v>
      </c>
      <c r="O185" s="2">
        <f t="shared" si="137"/>
        <v>6000000</v>
      </c>
      <c r="P185" s="2">
        <f t="shared" ca="1" si="138"/>
        <v>43720030.383928813</v>
      </c>
      <c r="Q185" s="2">
        <f t="shared" ca="1" si="139"/>
        <v>1093000.7595982205</v>
      </c>
      <c r="R185" s="2">
        <f t="shared" ca="1" si="140"/>
        <v>26232018.230357286</v>
      </c>
      <c r="S185" s="2">
        <f t="shared" ca="1" si="141"/>
        <v>17488012.153571527</v>
      </c>
      <c r="T185" s="2">
        <f t="shared" ca="1" si="142"/>
        <v>49981760.490834616</v>
      </c>
      <c r="U185" s="2">
        <f t="shared" ca="1" si="143"/>
        <v>55208912.329861119</v>
      </c>
      <c r="V185" s="2">
        <f t="shared" ca="1" si="144"/>
        <v>60982725.912690111</v>
      </c>
      <c r="W185" s="2">
        <f t="shared" ca="1" si="145"/>
        <v>67360371.773360044</v>
      </c>
      <c r="X185" s="2">
        <f t="shared" ca="1" si="146"/>
        <v>74404999.408218861</v>
      </c>
      <c r="Y185" s="2">
        <f t="shared" ca="1" si="147"/>
        <v>0.13014065397810329</v>
      </c>
      <c r="Z185" s="2">
        <f t="shared" ca="1" si="148"/>
        <v>0.1341969155693446</v>
      </c>
      <c r="AA185" s="2">
        <f t="shared" ca="1" si="149"/>
        <v>6504658.9972541416</v>
      </c>
      <c r="AB185" s="2">
        <f t="shared" ca="1" si="150"/>
        <v>7408865.7466057204</v>
      </c>
      <c r="AC185" s="2">
        <f t="shared" ca="1" si="151"/>
        <v>8183693.7204937581</v>
      </c>
      <c r="AD185" s="2">
        <f t="shared" ca="1" si="152"/>
        <v>9039554.1235892605</v>
      </c>
      <c r="AE185" s="2">
        <f t="shared" ca="1" si="153"/>
        <v>9984921.4235218819</v>
      </c>
      <c r="AF185" s="2">
        <f t="shared" ca="1" si="154"/>
        <v>999635.2098166924</v>
      </c>
      <c r="AG185" s="2">
        <f t="shared" ca="1" si="155"/>
        <v>1104178.2465972225</v>
      </c>
      <c r="AH185" s="2">
        <f t="shared" ca="1" si="156"/>
        <v>1219654.5182538023</v>
      </c>
      <c r="AI185" s="2">
        <f t="shared" ca="1" si="157"/>
        <v>1347207.4354672008</v>
      </c>
      <c r="AJ185" s="2">
        <f t="shared" ca="1" si="158"/>
        <v>1488099.9881643772</v>
      </c>
      <c r="AK185" s="2">
        <f t="shared" ca="1" si="159"/>
        <v>0</v>
      </c>
      <c r="AL185" s="2">
        <f t="shared" ca="1" si="160"/>
        <v>52271.518390265031</v>
      </c>
      <c r="AM185" s="2">
        <f t="shared" ca="1" si="161"/>
        <v>57738.135828289909</v>
      </c>
      <c r="AN185" s="2">
        <f t="shared" ca="1" si="162"/>
        <v>63776.458606699336</v>
      </c>
      <c r="AO185" s="2">
        <f t="shared" ca="1" si="163"/>
        <v>70446.276348588173</v>
      </c>
      <c r="AP185" s="2">
        <f t="shared" ca="1" si="164"/>
        <v>2360881.6407321556</v>
      </c>
      <c r="AQ185" s="2">
        <f t="shared" ca="1" si="165"/>
        <v>817476.9581433764</v>
      </c>
      <c r="AR185" s="2">
        <f t="shared" ca="1" si="166"/>
        <v>1025389.5234118489</v>
      </c>
      <c r="AS185" s="2">
        <f t="shared" ca="1" si="167"/>
        <v>1196820.9659920281</v>
      </c>
      <c r="AT185" s="2">
        <f t="shared" ca="1" si="168"/>
        <v>1386180.912321375</v>
      </c>
      <c r="AU185" s="2">
        <f t="shared" ca="1" si="169"/>
        <v>1595344.346602591</v>
      </c>
      <c r="AV185" s="2">
        <f t="shared" ca="1" si="170"/>
        <v>2326665.1885619168</v>
      </c>
      <c r="AW185" s="2">
        <f t="shared" ca="1" si="171"/>
        <v>2866144.8174742279</v>
      </c>
      <c r="AX185" s="2">
        <f t="shared" ca="1" si="172"/>
        <v>3348598.4596874821</v>
      </c>
      <c r="AY185" s="2">
        <f t="shared" ca="1" si="173"/>
        <v>3881507.6764618303</v>
      </c>
      <c r="AZ185" s="2">
        <f t="shared" ca="1" si="174"/>
        <v>4470149.1716741696</v>
      </c>
      <c r="BA185" s="2">
        <f t="shared" ca="1" si="175"/>
        <v>77734928.269921318</v>
      </c>
      <c r="BB185" s="2">
        <f t="shared" ca="1" si="176"/>
        <v>1554698.5653984265</v>
      </c>
      <c r="BC185" s="2">
        <f t="shared" ca="1" si="177"/>
        <v>49948211.474165604</v>
      </c>
      <c r="BD185" s="2">
        <f t="shared" ca="1" si="178"/>
        <v>-19081012.913169749</v>
      </c>
      <c r="BE185" s="2">
        <f t="shared" ca="1" si="179"/>
        <v>2326665.1885619168</v>
      </c>
      <c r="BF185" s="2">
        <f t="shared" ca="1" si="180"/>
        <v>2866144.8174742279</v>
      </c>
      <c r="BG185" s="2">
        <f t="shared" ca="1" si="181"/>
        <v>3348598.4596874821</v>
      </c>
      <c r="BH185" s="2">
        <f t="shared" ca="1" si="182"/>
        <v>3881507.6764618303</v>
      </c>
      <c r="BI185" s="2">
        <f t="shared" ca="1" si="183"/>
        <v>54418360.645839773</v>
      </c>
      <c r="BJ185" s="2">
        <f t="shared" ca="1" si="184"/>
        <v>0.33048265761066409</v>
      </c>
      <c r="BK185" s="2">
        <f t="shared" ca="1" si="185"/>
        <v>21009913.636092059</v>
      </c>
    </row>
    <row r="186" spans="1:63" x14ac:dyDescent="0.3">
      <c r="A186" s="2">
        <v>185</v>
      </c>
      <c r="B186" s="2">
        <f t="shared" ca="1" si="124"/>
        <v>0.98922828818508979</v>
      </c>
      <c r="C186" s="2">
        <f t="shared" ca="1" si="125"/>
        <v>7.8532232183558301</v>
      </c>
      <c r="D186" s="2">
        <f t="shared" ca="1" si="126"/>
        <v>0.35998692671944554</v>
      </c>
      <c r="E186" s="2">
        <f t="shared" ca="1" si="127"/>
        <v>7.3485127302750923</v>
      </c>
      <c r="F186" s="2">
        <f t="shared" ca="1" si="128"/>
        <v>0.77330159100252571</v>
      </c>
      <c r="G186" s="2">
        <f t="shared" ca="1" si="129"/>
        <v>6.2492921803108337E-2</v>
      </c>
      <c r="H186" s="2">
        <f t="shared" ca="1" si="130"/>
        <v>6.2492921803108337E-2</v>
      </c>
      <c r="I186" s="2">
        <f t="shared" ca="1" si="131"/>
        <v>0.72785196493017768</v>
      </c>
      <c r="J186" s="2">
        <f t="shared" ca="1" si="132"/>
        <v>1.30316467692416E-2</v>
      </c>
      <c r="K186" s="2">
        <f t="shared" ca="1" si="133"/>
        <v>1.30316467692416E-2</v>
      </c>
      <c r="L186" s="2">
        <f t="shared" ca="1" si="134"/>
        <v>0.20083294288652065</v>
      </c>
      <c r="M186" s="2">
        <f t="shared" ca="1" si="135"/>
        <v>-1.6772994945787587E-2</v>
      </c>
      <c r="N186" s="2">
        <f t="shared" ca="1" si="136"/>
        <v>-1.6772994945787587E-2</v>
      </c>
      <c r="O186" s="2">
        <f t="shared" si="137"/>
        <v>6000000</v>
      </c>
      <c r="P186" s="2">
        <f t="shared" ca="1" si="138"/>
        <v>47119339.310134985</v>
      </c>
      <c r="Q186" s="2">
        <f t="shared" ca="1" si="139"/>
        <v>1177983.4827533746</v>
      </c>
      <c r="R186" s="2">
        <f t="shared" ca="1" si="140"/>
        <v>28271603.586080991</v>
      </c>
      <c r="S186" s="2">
        <f t="shared" ca="1" si="141"/>
        <v>18847735.724053994</v>
      </c>
      <c r="T186" s="2">
        <f t="shared" ca="1" si="142"/>
        <v>49161350.252710626</v>
      </c>
      <c r="U186" s="2">
        <f t="shared" ca="1" si="143"/>
        <v>52233586.669788487</v>
      </c>
      <c r="V186" s="2">
        <f t="shared" ca="1" si="144"/>
        <v>55497816.117039457</v>
      </c>
      <c r="W186" s="2">
        <f t="shared" ca="1" si="145"/>
        <v>58966036.799884886</v>
      </c>
      <c r="X186" s="2">
        <f t="shared" ca="1" si="146"/>
        <v>62650996.726659298</v>
      </c>
      <c r="Y186" s="2">
        <f t="shared" ca="1" si="147"/>
        <v>0.12651582338462081</v>
      </c>
      <c r="Z186" s="2">
        <f t="shared" ca="1" si="148"/>
        <v>0.12912215273846911</v>
      </c>
      <c r="AA186" s="2">
        <f t="shared" ca="1" si="149"/>
        <v>6219688.7059214208</v>
      </c>
      <c r="AB186" s="2">
        <f t="shared" ca="1" si="150"/>
        <v>6744513.156054493</v>
      </c>
      <c r="AC186" s="2">
        <f t="shared" ca="1" si="151"/>
        <v>7165997.4893158413</v>
      </c>
      <c r="AD186" s="2">
        <f t="shared" ca="1" si="152"/>
        <v>7613821.6100569265</v>
      </c>
      <c r="AE186" s="2">
        <f t="shared" ca="1" si="153"/>
        <v>8089631.5685570305</v>
      </c>
      <c r="AF186" s="2">
        <f t="shared" ca="1" si="154"/>
        <v>983227.00505421252</v>
      </c>
      <c r="AG186" s="2">
        <f t="shared" ca="1" si="155"/>
        <v>1044671.7333957697</v>
      </c>
      <c r="AH186" s="2">
        <f t="shared" ca="1" si="156"/>
        <v>1109956.3223407893</v>
      </c>
      <c r="AI186" s="2">
        <f t="shared" ca="1" si="157"/>
        <v>1179320.7359976978</v>
      </c>
      <c r="AJ186" s="2">
        <f t="shared" ca="1" si="158"/>
        <v>1253019.934533186</v>
      </c>
      <c r="AK186" s="2">
        <f t="shared" ca="1" si="159"/>
        <v>0</v>
      </c>
      <c r="AL186" s="2">
        <f t="shared" ca="1" si="160"/>
        <v>30722.364170778619</v>
      </c>
      <c r="AM186" s="2">
        <f t="shared" ca="1" si="161"/>
        <v>32642.294472509697</v>
      </c>
      <c r="AN186" s="2">
        <f t="shared" ca="1" si="162"/>
        <v>34682.206828454284</v>
      </c>
      <c r="AO186" s="2">
        <f t="shared" ca="1" si="163"/>
        <v>36849.599267744125</v>
      </c>
      <c r="AP186" s="2">
        <f t="shared" ca="1" si="164"/>
        <v>2544444.3227472892</v>
      </c>
      <c r="AQ186" s="2">
        <f t="shared" ca="1" si="165"/>
        <v>699924.51831117913</v>
      </c>
      <c r="AR186" s="2">
        <f t="shared" ca="1" si="166"/>
        <v>820403.24597697274</v>
      </c>
      <c r="AS186" s="2">
        <f t="shared" ca="1" si="167"/>
        <v>913015.17949921836</v>
      </c>
      <c r="AT186" s="2">
        <f t="shared" ca="1" si="168"/>
        <v>1011414.7033411042</v>
      </c>
      <c r="AU186" s="2">
        <f t="shared" ca="1" si="169"/>
        <v>1115963.5009319044</v>
      </c>
      <c r="AV186" s="2">
        <f t="shared" ca="1" si="170"/>
        <v>1992092.8598087402</v>
      </c>
      <c r="AW186" s="2">
        <f t="shared" ca="1" si="171"/>
        <v>2304271.4897636827</v>
      </c>
      <c r="AX186" s="2">
        <f t="shared" ca="1" si="172"/>
        <v>2565939.3702560347</v>
      </c>
      <c r="AY186" s="2">
        <f t="shared" ca="1" si="173"/>
        <v>2843959.6411423804</v>
      </c>
      <c r="AZ186" s="2">
        <f t="shared" ca="1" si="174"/>
        <v>3139354.211076906</v>
      </c>
      <c r="BA186" s="2">
        <f t="shared" ca="1" si="175"/>
        <v>59446760.564776599</v>
      </c>
      <c r="BB186" s="2">
        <f t="shared" ca="1" si="176"/>
        <v>1188935.2112955321</v>
      </c>
      <c r="BC186" s="2">
        <f t="shared" ca="1" si="177"/>
        <v>29986221.767400078</v>
      </c>
      <c r="BD186" s="2">
        <f t="shared" ca="1" si="178"/>
        <v>-20525719.206807368</v>
      </c>
      <c r="BE186" s="2">
        <f t="shared" ca="1" si="179"/>
        <v>1992092.8598087402</v>
      </c>
      <c r="BF186" s="2">
        <f t="shared" ca="1" si="180"/>
        <v>2304271.4897636827</v>
      </c>
      <c r="BG186" s="2">
        <f t="shared" ca="1" si="181"/>
        <v>2565939.3702560347</v>
      </c>
      <c r="BH186" s="2">
        <f t="shared" ca="1" si="182"/>
        <v>2843959.6411423804</v>
      </c>
      <c r="BI186" s="2">
        <f t="shared" ca="1" si="183"/>
        <v>33125575.978476986</v>
      </c>
      <c r="BJ186" s="2">
        <f t="shared" ca="1" si="184"/>
        <v>0.18441301383744912</v>
      </c>
      <c r="BK186" s="2">
        <f t="shared" ca="1" si="185"/>
        <v>5520000.404532034</v>
      </c>
    </row>
    <row r="187" spans="1:63" x14ac:dyDescent="0.3">
      <c r="A187" s="2">
        <v>186</v>
      </c>
      <c r="B187" s="2">
        <f t="shared" ca="1" si="124"/>
        <v>0.511126542896985</v>
      </c>
      <c r="C187" s="2">
        <f t="shared" ca="1" si="125"/>
        <v>7.011189141338936</v>
      </c>
      <c r="D187" s="2">
        <f t="shared" ca="1" si="126"/>
        <v>0.99675177060770248</v>
      </c>
      <c r="E187" s="2">
        <f t="shared" ca="1" si="127"/>
        <v>8.4193993871946677</v>
      </c>
      <c r="F187" s="2">
        <f t="shared" ca="1" si="128"/>
        <v>0.98832100984187776</v>
      </c>
      <c r="G187" s="2">
        <f t="shared" ca="1" si="129"/>
        <v>0.10802584496959422</v>
      </c>
      <c r="H187" s="2">
        <f t="shared" ca="1" si="130"/>
        <v>0.10802584496959422</v>
      </c>
      <c r="I187" s="2">
        <f t="shared" ca="1" si="131"/>
        <v>0.90116020019219101</v>
      </c>
      <c r="J187" s="2">
        <f t="shared" ca="1" si="132"/>
        <v>1.644095334062963E-2</v>
      </c>
      <c r="K187" s="2">
        <f t="shared" ca="1" si="133"/>
        <v>1.644095334062963E-2</v>
      </c>
      <c r="L187" s="2">
        <f t="shared" ca="1" si="134"/>
        <v>0.43497875637554362</v>
      </c>
      <c r="M187" s="2">
        <f t="shared" ca="1" si="135"/>
        <v>-3.2742490852525458E-3</v>
      </c>
      <c r="N187" s="2">
        <f t="shared" ca="1" si="136"/>
        <v>-3.2742490852525458E-3</v>
      </c>
      <c r="O187" s="2">
        <f t="shared" si="137"/>
        <v>6000000</v>
      </c>
      <c r="P187" s="2">
        <f t="shared" ca="1" si="138"/>
        <v>42067134.848033614</v>
      </c>
      <c r="Q187" s="2">
        <f t="shared" ca="1" si="139"/>
        <v>1051678.3712008405</v>
      </c>
      <c r="R187" s="2">
        <f t="shared" ca="1" si="140"/>
        <v>25240280.908820167</v>
      </c>
      <c r="S187" s="2">
        <f t="shared" ca="1" si="141"/>
        <v>16826853.939213447</v>
      </c>
      <c r="T187" s="2">
        <f t="shared" ca="1" si="142"/>
        <v>49836287.545737371</v>
      </c>
      <c r="U187" s="2">
        <f t="shared" ca="1" si="143"/>
        <v>55219894.618013322</v>
      </c>
      <c r="V187" s="2">
        <f t="shared" ca="1" si="144"/>
        <v>61185070.393256165</v>
      </c>
      <c r="W187" s="2">
        <f t="shared" ca="1" si="145"/>
        <v>67794639.322011769</v>
      </c>
      <c r="X187" s="2">
        <f t="shared" ca="1" si="146"/>
        <v>75118212.519180983</v>
      </c>
      <c r="Y187" s="2">
        <f t="shared" ca="1" si="147"/>
        <v>0.1282204766703148</v>
      </c>
      <c r="Z187" s="2">
        <f t="shared" ca="1" si="148"/>
        <v>0.13150866733844074</v>
      </c>
      <c r="AA187" s="2">
        <f t="shared" ca="1" si="149"/>
        <v>6390032.5445933184</v>
      </c>
      <c r="AB187" s="2">
        <f t="shared" ca="1" si="150"/>
        <v>7261894.7517840685</v>
      </c>
      <c r="AC187" s="2">
        <f t="shared" ca="1" si="151"/>
        <v>8046367.0684258044</v>
      </c>
      <c r="AD187" s="2">
        <f t="shared" ca="1" si="152"/>
        <v>8915582.6699280199</v>
      </c>
      <c r="AE187" s="2">
        <f t="shared" ca="1" si="153"/>
        <v>9878696.0212432668</v>
      </c>
      <c r="AF187" s="2">
        <f t="shared" ca="1" si="154"/>
        <v>996725.75091474748</v>
      </c>
      <c r="AG187" s="2">
        <f t="shared" ca="1" si="155"/>
        <v>1104397.8923602665</v>
      </c>
      <c r="AH187" s="2">
        <f t="shared" ca="1" si="156"/>
        <v>1223701.4078651234</v>
      </c>
      <c r="AI187" s="2">
        <f t="shared" ca="1" si="157"/>
        <v>1355892.7864402353</v>
      </c>
      <c r="AJ187" s="2">
        <f t="shared" ca="1" si="158"/>
        <v>1502364.2503836197</v>
      </c>
      <c r="AK187" s="2">
        <f t="shared" ca="1" si="159"/>
        <v>0</v>
      </c>
      <c r="AL187" s="2">
        <f t="shared" ca="1" si="160"/>
        <v>53836.070722759519</v>
      </c>
      <c r="AM187" s="2">
        <f t="shared" ca="1" si="161"/>
        <v>59651.757752428428</v>
      </c>
      <c r="AN187" s="2">
        <f t="shared" ca="1" si="162"/>
        <v>66095.689287556044</v>
      </c>
      <c r="AO187" s="2">
        <f t="shared" ca="1" si="163"/>
        <v>73235.731971692148</v>
      </c>
      <c r="AP187" s="2">
        <f t="shared" ca="1" si="164"/>
        <v>2271625.2817938151</v>
      </c>
      <c r="AQ187" s="2">
        <f t="shared" ca="1" si="165"/>
        <v>811637.1930900364</v>
      </c>
      <c r="AR187" s="2">
        <f t="shared" ca="1" si="166"/>
        <v>1010326.6101837967</v>
      </c>
      <c r="AS187" s="2">
        <f t="shared" ca="1" si="167"/>
        <v>1183270.4984793852</v>
      </c>
      <c r="AT187" s="2">
        <f t="shared" ca="1" si="168"/>
        <v>1374896.7964404321</v>
      </c>
      <c r="AU187" s="2">
        <f t="shared" ca="1" si="169"/>
        <v>1587223.6871571166</v>
      </c>
      <c r="AV187" s="2">
        <f t="shared" ca="1" si="170"/>
        <v>2310044.3187947189</v>
      </c>
      <c r="AW187" s="2">
        <f t="shared" ca="1" si="171"/>
        <v>2821708.8967234306</v>
      </c>
      <c r="AX187" s="2">
        <f t="shared" ca="1" si="172"/>
        <v>3308118.1225350518</v>
      </c>
      <c r="AY187" s="2">
        <f t="shared" ca="1" si="173"/>
        <v>3847072.115965981</v>
      </c>
      <c r="AZ187" s="2">
        <f t="shared" ca="1" si="174"/>
        <v>4444247.0699370233</v>
      </c>
      <c r="BA187" s="2">
        <f t="shared" ca="1" si="175"/>
        <v>83172687.22753796</v>
      </c>
      <c r="BB187" s="2">
        <f t="shared" ca="1" si="176"/>
        <v>1663453.7445507592</v>
      </c>
      <c r="BC187" s="2">
        <f t="shared" ca="1" si="177"/>
        <v>56268952.574167036</v>
      </c>
      <c r="BD187" s="2">
        <f t="shared" ca="1" si="178"/>
        <v>-18378532.310414288</v>
      </c>
      <c r="BE187" s="2">
        <f t="shared" ca="1" si="179"/>
        <v>2310044.3187947189</v>
      </c>
      <c r="BF187" s="2">
        <f t="shared" ca="1" si="180"/>
        <v>2821708.8967234306</v>
      </c>
      <c r="BG187" s="2">
        <f t="shared" ca="1" si="181"/>
        <v>3308118.1225350518</v>
      </c>
      <c r="BH187" s="2">
        <f t="shared" ca="1" si="182"/>
        <v>3847072.115965981</v>
      </c>
      <c r="BI187" s="2">
        <f t="shared" ca="1" si="183"/>
        <v>60713199.644104056</v>
      </c>
      <c r="BJ187" s="2">
        <f t="shared" ca="1" si="184"/>
        <v>0.36587220535358189</v>
      </c>
      <c r="BK187" s="2">
        <f t="shared" ca="1" si="185"/>
        <v>25183293.306984376</v>
      </c>
    </row>
    <row r="188" spans="1:63" x14ac:dyDescent="0.3">
      <c r="A188" s="2">
        <v>187</v>
      </c>
      <c r="B188" s="2">
        <f t="shared" ca="1" si="124"/>
        <v>0.25605500176205698</v>
      </c>
      <c r="C188" s="2">
        <f t="shared" ca="1" si="125"/>
        <v>6.7156186159709055</v>
      </c>
      <c r="D188" s="2">
        <f t="shared" ca="1" si="126"/>
        <v>0.86733238409852509</v>
      </c>
      <c r="E188" s="2">
        <f t="shared" ca="1" si="127"/>
        <v>7.9848929899497101</v>
      </c>
      <c r="F188" s="2">
        <f t="shared" ca="1" si="128"/>
        <v>0.84406270775746839</v>
      </c>
      <c r="G188" s="2">
        <f t="shared" ca="1" si="129"/>
        <v>7.0338892256811669E-2</v>
      </c>
      <c r="H188" s="2">
        <f t="shared" ca="1" si="130"/>
        <v>7.0338892256811669E-2</v>
      </c>
      <c r="I188" s="2">
        <f t="shared" ca="1" si="131"/>
        <v>0.40472186020418632</v>
      </c>
      <c r="J188" s="2">
        <f t="shared" ca="1" si="132"/>
        <v>8.7942813463397634E-3</v>
      </c>
      <c r="K188" s="2">
        <f t="shared" ca="1" si="133"/>
        <v>8.7942813463397634E-3</v>
      </c>
      <c r="L188" s="2">
        <f t="shared" ca="1" si="134"/>
        <v>0.99888748525580517</v>
      </c>
      <c r="M188" s="2">
        <f t="shared" ca="1" si="135"/>
        <v>6.1168522048790037E-2</v>
      </c>
      <c r="N188" s="2">
        <f t="shared" ca="1" si="136"/>
        <v>0.05</v>
      </c>
      <c r="O188" s="2">
        <f t="shared" si="137"/>
        <v>6000000</v>
      </c>
      <c r="P188" s="2">
        <f t="shared" ca="1" si="138"/>
        <v>40293711.695825435</v>
      </c>
      <c r="Q188" s="2">
        <f t="shared" ca="1" si="139"/>
        <v>1007342.792395636</v>
      </c>
      <c r="R188" s="2">
        <f t="shared" ca="1" si="140"/>
        <v>24176227.01749526</v>
      </c>
      <c r="S188" s="2">
        <f t="shared" ca="1" si="141"/>
        <v>16117484.678330176</v>
      </c>
      <c r="T188" s="2">
        <f t="shared" ca="1" si="142"/>
        <v>52500000</v>
      </c>
      <c r="U188" s="2">
        <f t="shared" ca="1" si="143"/>
        <v>56192791.843482606</v>
      </c>
      <c r="V188" s="2">
        <f t="shared" ca="1" si="144"/>
        <v>60145330.574570768</v>
      </c>
      <c r="W188" s="2">
        <f t="shared" ca="1" si="145"/>
        <v>64375886.501605816</v>
      </c>
      <c r="X188" s="2">
        <f t="shared" ca="1" si="146"/>
        <v>68904015.046178997</v>
      </c>
      <c r="Y188" s="2">
        <f t="shared" ca="1" si="147"/>
        <v>0.12439714067316987</v>
      </c>
      <c r="Z188" s="2">
        <f t="shared" ca="1" si="148"/>
        <v>0.12615599694243784</v>
      </c>
      <c r="AA188" s="2">
        <f t="shared" ca="1" si="149"/>
        <v>6530849.885341418</v>
      </c>
      <c r="AB188" s="2">
        <f t="shared" ca="1" si="150"/>
        <v>7089057.6759934379</v>
      </c>
      <c r="AC188" s="2">
        <f t="shared" ca="1" si="151"/>
        <v>7587694.1400674628</v>
      </c>
      <c r="AD188" s="2">
        <f t="shared" ca="1" si="152"/>
        <v>8121404.140663309</v>
      </c>
      <c r="AE188" s="2">
        <f t="shared" ca="1" si="153"/>
        <v>8692654.7114874478</v>
      </c>
      <c r="AF188" s="2">
        <f t="shared" ca="1" si="154"/>
        <v>1050000</v>
      </c>
      <c r="AG188" s="2">
        <f t="shared" ca="1" si="155"/>
        <v>1123855.8368696522</v>
      </c>
      <c r="AH188" s="2">
        <f t="shared" ca="1" si="156"/>
        <v>1202906.6114914154</v>
      </c>
      <c r="AI188" s="2">
        <f t="shared" ca="1" si="157"/>
        <v>1287517.7300321164</v>
      </c>
      <c r="AJ188" s="2">
        <f t="shared" ca="1" si="158"/>
        <v>1378080.3009235801</v>
      </c>
      <c r="AK188" s="2">
        <f t="shared" ca="1" si="159"/>
        <v>0</v>
      </c>
      <c r="AL188" s="2">
        <f t="shared" ca="1" si="160"/>
        <v>36927.918434826061</v>
      </c>
      <c r="AM188" s="2">
        <f t="shared" ca="1" si="161"/>
        <v>39525.387310881619</v>
      </c>
      <c r="AN188" s="2">
        <f t="shared" ca="1" si="162"/>
        <v>42305.559270350488</v>
      </c>
      <c r="AO188" s="2">
        <f t="shared" ca="1" si="163"/>
        <v>45281.285445731803</v>
      </c>
      <c r="AP188" s="2">
        <f t="shared" ca="1" si="164"/>
        <v>2175860.4315745733</v>
      </c>
      <c r="AQ188" s="2">
        <f t="shared" ca="1" si="165"/>
        <v>859297.25797937962</v>
      </c>
      <c r="AR188" s="2">
        <f t="shared" ca="1" si="166"/>
        <v>985228.76596279524</v>
      </c>
      <c r="AS188" s="2">
        <f t="shared" ca="1" si="167"/>
        <v>1094321.0452203834</v>
      </c>
      <c r="AT188" s="2">
        <f t="shared" ca="1" si="168"/>
        <v>1211086.7545547211</v>
      </c>
      <c r="AU188" s="2">
        <f t="shared" ca="1" si="169"/>
        <v>1336065.6345372165</v>
      </c>
      <c r="AV188" s="2">
        <f t="shared" ca="1" si="170"/>
        <v>2445692.1957874647</v>
      </c>
      <c r="AW188" s="2">
        <f t="shared" ca="1" si="171"/>
        <v>2767184.7231515911</v>
      </c>
      <c r="AX188" s="2">
        <f t="shared" ca="1" si="172"/>
        <v>3075080.6644702093</v>
      </c>
      <c r="AY188" s="2">
        <f t="shared" ca="1" si="173"/>
        <v>3404633.6652315487</v>
      </c>
      <c r="AZ188" s="2">
        <f t="shared" ca="1" si="174"/>
        <v>3757367.0590063459</v>
      </c>
      <c r="BA188" s="2">
        <f t="shared" ca="1" si="175"/>
        <v>69409917.669809446</v>
      </c>
      <c r="BB188" s="2">
        <f t="shared" ca="1" si="176"/>
        <v>1388198.3533961889</v>
      </c>
      <c r="BC188" s="2">
        <f t="shared" ca="1" si="177"/>
        <v>43845492.298917994</v>
      </c>
      <c r="BD188" s="2">
        <f t="shared" ca="1" si="178"/>
        <v>-17624827.470725812</v>
      </c>
      <c r="BE188" s="2">
        <f t="shared" ca="1" si="179"/>
        <v>2445692.1957874647</v>
      </c>
      <c r="BF188" s="2">
        <f t="shared" ca="1" si="180"/>
        <v>2767184.7231515911</v>
      </c>
      <c r="BG188" s="2">
        <f t="shared" ca="1" si="181"/>
        <v>3075080.6644702093</v>
      </c>
      <c r="BH188" s="2">
        <f t="shared" ca="1" si="182"/>
        <v>3404633.6652315487</v>
      </c>
      <c r="BI188" s="2">
        <f t="shared" ca="1" si="183"/>
        <v>47602859.357924342</v>
      </c>
      <c r="BJ188" s="2">
        <f t="shared" ca="1" si="184"/>
        <v>0.32278806366058221</v>
      </c>
      <c r="BK188" s="2">
        <f t="shared" ca="1" si="185"/>
        <v>18128437.725547045</v>
      </c>
    </row>
    <row r="189" spans="1:63" x14ac:dyDescent="0.3">
      <c r="A189" s="2">
        <v>188</v>
      </c>
      <c r="B189" s="2">
        <f t="shared" ca="1" si="124"/>
        <v>0.35540371584143915</v>
      </c>
      <c r="C189" s="2">
        <f t="shared" ca="1" si="125"/>
        <v>6.8430939637329153</v>
      </c>
      <c r="D189" s="2">
        <f t="shared" ca="1" si="126"/>
        <v>8.6137933824557034E-2</v>
      </c>
      <c r="E189" s="2">
        <f t="shared" ca="1" si="127"/>
        <v>6.9150612817995842</v>
      </c>
      <c r="F189" s="2">
        <f t="shared" ca="1" si="128"/>
        <v>0.99985478204858735</v>
      </c>
      <c r="G189" s="2">
        <f t="shared" ca="1" si="129"/>
        <v>0.14871053372004969</v>
      </c>
      <c r="H189" s="2">
        <f t="shared" ca="1" si="130"/>
        <v>0.12</v>
      </c>
      <c r="I189" s="2">
        <f t="shared" ca="1" si="131"/>
        <v>0.90957227404620322</v>
      </c>
      <c r="J189" s="2">
        <f t="shared" ca="1" si="132"/>
        <v>1.6690628690225608E-2</v>
      </c>
      <c r="K189" s="2">
        <f t="shared" ca="1" si="133"/>
        <v>1.6690628690225608E-2</v>
      </c>
      <c r="L189" s="2">
        <f t="shared" ca="1" si="134"/>
        <v>0.37841007210866939</v>
      </c>
      <c r="M189" s="2">
        <f t="shared" ca="1" si="135"/>
        <v>-6.1931836872581424E-3</v>
      </c>
      <c r="N189" s="2">
        <f t="shared" ca="1" si="136"/>
        <v>-6.1931836872581424E-3</v>
      </c>
      <c r="O189" s="2">
        <f t="shared" si="137"/>
        <v>6000000</v>
      </c>
      <c r="P189" s="2">
        <f t="shared" ca="1" si="138"/>
        <v>41058563.782397494</v>
      </c>
      <c r="Q189" s="2">
        <f t="shared" ca="1" si="139"/>
        <v>1026464.0945599374</v>
      </c>
      <c r="R189" s="2">
        <f t="shared" ca="1" si="140"/>
        <v>24635138.269438494</v>
      </c>
      <c r="S189" s="2">
        <f t="shared" ca="1" si="141"/>
        <v>16423425.512958998</v>
      </c>
      <c r="T189" s="2">
        <f t="shared" ca="1" si="142"/>
        <v>49690340.815637089</v>
      </c>
      <c r="U189" s="2">
        <f t="shared" ca="1" si="143"/>
        <v>55653181.713513546</v>
      </c>
      <c r="V189" s="2">
        <f t="shared" ca="1" si="144"/>
        <v>62331563.519135177</v>
      </c>
      <c r="W189" s="2">
        <f t="shared" ca="1" si="145"/>
        <v>69811351.141431406</v>
      </c>
      <c r="X189" s="2">
        <f t="shared" ca="1" si="146"/>
        <v>78188713.278403178</v>
      </c>
      <c r="Y189" s="2">
        <f t="shared" ca="1" si="147"/>
        <v>0.12834531434511279</v>
      </c>
      <c r="Z189" s="2">
        <f t="shared" ca="1" si="148"/>
        <v>0.13168344008315791</v>
      </c>
      <c r="AA189" s="2">
        <f t="shared" ca="1" si="149"/>
        <v>6377522.4118987303</v>
      </c>
      <c r="AB189" s="2">
        <f t="shared" ca="1" si="150"/>
        <v>7328602.4196085604</v>
      </c>
      <c r="AC189" s="2">
        <f t="shared" ca="1" si="151"/>
        <v>8208034.7099615885</v>
      </c>
      <c r="AD189" s="2">
        <f t="shared" ca="1" si="152"/>
        <v>9192998.87515698</v>
      </c>
      <c r="AE189" s="2">
        <f t="shared" ca="1" si="153"/>
        <v>10296158.740175819</v>
      </c>
      <c r="AF189" s="2">
        <f t="shared" ca="1" si="154"/>
        <v>993806.81631274184</v>
      </c>
      <c r="AG189" s="2">
        <f t="shared" ca="1" si="155"/>
        <v>1113063.6342702708</v>
      </c>
      <c r="AH189" s="2">
        <f t="shared" ca="1" si="156"/>
        <v>1246631.2703827035</v>
      </c>
      <c r="AI189" s="2">
        <f t="shared" ca="1" si="157"/>
        <v>1396227.0228286281</v>
      </c>
      <c r="AJ189" s="2">
        <f t="shared" ca="1" si="158"/>
        <v>1563774.2655680636</v>
      </c>
      <c r="AK189" s="2">
        <f t="shared" ca="1" si="159"/>
        <v>0</v>
      </c>
      <c r="AL189" s="2">
        <f t="shared" ca="1" si="160"/>
        <v>59628.408978764564</v>
      </c>
      <c r="AM189" s="2">
        <f t="shared" ca="1" si="161"/>
        <v>66783.818056216318</v>
      </c>
      <c r="AN189" s="2">
        <f t="shared" ca="1" si="162"/>
        <v>74797.876222962295</v>
      </c>
      <c r="AO189" s="2">
        <f t="shared" ca="1" si="163"/>
        <v>83773.621369717715</v>
      </c>
      <c r="AP189" s="2">
        <f t="shared" ca="1" si="164"/>
        <v>2217162.4442494642</v>
      </c>
      <c r="AQ189" s="2">
        <f t="shared" ca="1" si="165"/>
        <v>823303.81934749638</v>
      </c>
      <c r="AR189" s="2">
        <f t="shared" ca="1" si="166"/>
        <v>1039577.8486830947</v>
      </c>
      <c r="AS189" s="2">
        <f t="shared" ca="1" si="167"/>
        <v>1233502.6587856496</v>
      </c>
      <c r="AT189" s="2">
        <f t="shared" ca="1" si="168"/>
        <v>1450698.4461005109</v>
      </c>
      <c r="AU189" s="2">
        <f t="shared" ca="1" si="169"/>
        <v>1693957.7278931555</v>
      </c>
      <c r="AV189" s="2">
        <f t="shared" ca="1" si="170"/>
        <v>2343249.3319890285</v>
      </c>
      <c r="AW189" s="2">
        <f t="shared" ca="1" si="171"/>
        <v>2899170.0834269663</v>
      </c>
      <c r="AX189" s="2">
        <f t="shared" ca="1" si="172"/>
        <v>3443954.518487555</v>
      </c>
      <c r="AY189" s="2">
        <f t="shared" ca="1" si="173"/>
        <v>4054113.0857554143</v>
      </c>
      <c r="AZ189" s="2">
        <f t="shared" ca="1" si="174"/>
        <v>4737490.6810954176</v>
      </c>
      <c r="BA189" s="2">
        <f t="shared" ca="1" si="175"/>
        <v>71198568.655452192</v>
      </c>
      <c r="BB189" s="2">
        <f t="shared" ca="1" si="176"/>
        <v>1423971.3731090438</v>
      </c>
      <c r="BC189" s="2">
        <f t="shared" ca="1" si="177"/>
        <v>45139459.012904659</v>
      </c>
      <c r="BD189" s="2">
        <f t="shared" ca="1" si="178"/>
        <v>-17949889.607518934</v>
      </c>
      <c r="BE189" s="2">
        <f t="shared" ca="1" si="179"/>
        <v>2343249.3319890285</v>
      </c>
      <c r="BF189" s="2">
        <f t="shared" ca="1" si="180"/>
        <v>2899170.0834269663</v>
      </c>
      <c r="BG189" s="2">
        <f t="shared" ca="1" si="181"/>
        <v>3443954.518487555</v>
      </c>
      <c r="BH189" s="2">
        <f t="shared" ca="1" si="182"/>
        <v>4054113.0857554143</v>
      </c>
      <c r="BI189" s="2">
        <f t="shared" ca="1" si="183"/>
        <v>49876949.69400008</v>
      </c>
      <c r="BJ189" s="2">
        <f t="shared" ca="1" si="184"/>
        <v>0.33351487792529855</v>
      </c>
      <c r="BK189" s="2">
        <f t="shared" ca="1" si="185"/>
        <v>19782819.63275332</v>
      </c>
    </row>
    <row r="190" spans="1:63" x14ac:dyDescent="0.3">
      <c r="A190" s="2">
        <v>189</v>
      </c>
      <c r="B190" s="2">
        <f t="shared" ca="1" si="124"/>
        <v>4.6675817424196131E-2</v>
      </c>
      <c r="C190" s="2">
        <f t="shared" ca="1" si="125"/>
        <v>6.3055349977472179</v>
      </c>
      <c r="D190" s="2">
        <f t="shared" ca="1" si="126"/>
        <v>0.62992829646544823</v>
      </c>
      <c r="E190" s="2">
        <f t="shared" ca="1" si="127"/>
        <v>7.6396841236678803</v>
      </c>
      <c r="F190" s="2">
        <f t="shared" ca="1" si="128"/>
        <v>0.88474790965407291</v>
      </c>
      <c r="G190" s="2">
        <f t="shared" ca="1" si="129"/>
        <v>7.5971833599283334E-2</v>
      </c>
      <c r="H190" s="2">
        <f t="shared" ca="1" si="130"/>
        <v>7.5971833599283334E-2</v>
      </c>
      <c r="I190" s="2">
        <f t="shared" ca="1" si="131"/>
        <v>0.81265296372336981</v>
      </c>
      <c r="J190" s="2">
        <f t="shared" ca="1" si="132"/>
        <v>1.4438575024246477E-2</v>
      </c>
      <c r="K190" s="2">
        <f t="shared" ca="1" si="133"/>
        <v>1.4438575024246477E-2</v>
      </c>
      <c r="L190" s="2">
        <f t="shared" ca="1" si="134"/>
        <v>0.68072321151583126</v>
      </c>
      <c r="M190" s="2">
        <f t="shared" ca="1" si="135"/>
        <v>9.3944419831186593E-3</v>
      </c>
      <c r="N190" s="2">
        <f t="shared" ca="1" si="136"/>
        <v>9.3944419831186593E-3</v>
      </c>
      <c r="O190" s="2">
        <f t="shared" si="137"/>
        <v>6000000</v>
      </c>
      <c r="P190" s="2">
        <f t="shared" ca="1" si="138"/>
        <v>37833209.986483306</v>
      </c>
      <c r="Q190" s="2">
        <f t="shared" ca="1" si="139"/>
        <v>945830.24966208264</v>
      </c>
      <c r="R190" s="2">
        <f t="shared" ca="1" si="140"/>
        <v>22699925.991889983</v>
      </c>
      <c r="S190" s="2">
        <f t="shared" ca="1" si="141"/>
        <v>15133283.994593322</v>
      </c>
      <c r="T190" s="2">
        <f t="shared" ca="1" si="142"/>
        <v>50469722.099155933</v>
      </c>
      <c r="U190" s="2">
        <f t="shared" ca="1" si="143"/>
        <v>54303999.428275086</v>
      </c>
      <c r="V190" s="2">
        <f t="shared" ca="1" si="144"/>
        <v>58429573.836615585</v>
      </c>
      <c r="W190" s="2">
        <f t="shared" ca="1" si="145"/>
        <v>62868575.697407983</v>
      </c>
      <c r="X190" s="2">
        <f t="shared" ca="1" si="146"/>
        <v>67644816.668915421</v>
      </c>
      <c r="Y190" s="2">
        <f t="shared" ca="1" si="147"/>
        <v>0.12721928751212325</v>
      </c>
      <c r="Z190" s="2">
        <f t="shared" ca="1" si="148"/>
        <v>0.13010700251697252</v>
      </c>
      <c r="AA190" s="2">
        <f t="shared" ca="1" si="149"/>
        <v>6420722.0863894792</v>
      </c>
      <c r="AB190" s="2">
        <f t="shared" ca="1" si="150"/>
        <v>7065330.590296261</v>
      </c>
      <c r="AC190" s="2">
        <f t="shared" ca="1" si="151"/>
        <v>7602096.7102261754</v>
      </c>
      <c r="AD190" s="2">
        <f t="shared" ca="1" si="152"/>
        <v>8179641.9365011379</v>
      </c>
      <c r="AE190" s="2">
        <f t="shared" ca="1" si="153"/>
        <v>8801064.3326027226</v>
      </c>
      <c r="AF190" s="2">
        <f t="shared" ca="1" si="154"/>
        <v>1009394.4419831187</v>
      </c>
      <c r="AG190" s="2">
        <f t="shared" ca="1" si="155"/>
        <v>1086079.9885655018</v>
      </c>
      <c r="AH190" s="2">
        <f t="shared" ca="1" si="156"/>
        <v>1168591.4767323118</v>
      </c>
      <c r="AI190" s="2">
        <f t="shared" ca="1" si="157"/>
        <v>1257371.5139481598</v>
      </c>
      <c r="AJ190" s="2">
        <f t="shared" ca="1" si="158"/>
        <v>1352896.3333783085</v>
      </c>
      <c r="AK190" s="2">
        <f t="shared" ca="1" si="159"/>
        <v>0</v>
      </c>
      <c r="AL190" s="2">
        <f t="shared" ca="1" si="160"/>
        <v>38342.773291191537</v>
      </c>
      <c r="AM190" s="2">
        <f t="shared" ca="1" si="161"/>
        <v>41255.744083404992</v>
      </c>
      <c r="AN190" s="2">
        <f t="shared" ca="1" si="162"/>
        <v>44390.018607923987</v>
      </c>
      <c r="AO190" s="2">
        <f t="shared" ca="1" si="163"/>
        <v>47762.409715074376</v>
      </c>
      <c r="AP190" s="2">
        <f t="shared" ca="1" si="164"/>
        <v>2042993.3392700984</v>
      </c>
      <c r="AQ190" s="2">
        <f t="shared" ca="1" si="165"/>
        <v>875766.91933542828</v>
      </c>
      <c r="AR190" s="2">
        <f t="shared" ca="1" si="166"/>
        <v>1023426.8882397719</v>
      </c>
      <c r="AS190" s="2">
        <f t="shared" ca="1" si="167"/>
        <v>1141533.0924981791</v>
      </c>
      <c r="AT190" s="2">
        <f t="shared" ca="1" si="168"/>
        <v>1268612.0416535491</v>
      </c>
      <c r="AU190" s="2">
        <f t="shared" ca="1" si="169"/>
        <v>1405345.4115881221</v>
      </c>
      <c r="AV190" s="2">
        <f t="shared" ca="1" si="170"/>
        <v>2492567.3858008338</v>
      </c>
      <c r="AW190" s="2">
        <f t="shared" ca="1" si="171"/>
        <v>2874487.600929698</v>
      </c>
      <c r="AX190" s="2">
        <f t="shared" ca="1" si="172"/>
        <v>3207723.0576421823</v>
      </c>
      <c r="AY190" s="2">
        <f t="shared" ca="1" si="173"/>
        <v>3566275.0230214074</v>
      </c>
      <c r="AZ190" s="2">
        <f t="shared" ca="1" si="174"/>
        <v>3952066.8386511197</v>
      </c>
      <c r="BA190" s="2">
        <f t="shared" ca="1" si="175"/>
        <v>67237351.453164667</v>
      </c>
      <c r="BB190" s="2">
        <f t="shared" ca="1" si="176"/>
        <v>1344747.0290632935</v>
      </c>
      <c r="BC190" s="2">
        <f t="shared" ca="1" si="177"/>
        <v>43192678.432211392</v>
      </c>
      <c r="BD190" s="2">
        <f t="shared" ca="1" si="178"/>
        <v>-16579114.244255405</v>
      </c>
      <c r="BE190" s="2">
        <f t="shared" ca="1" si="179"/>
        <v>2492567.3858008338</v>
      </c>
      <c r="BF190" s="2">
        <f t="shared" ca="1" si="180"/>
        <v>2874487.600929698</v>
      </c>
      <c r="BG190" s="2">
        <f t="shared" ca="1" si="181"/>
        <v>3207723.0576421823</v>
      </c>
      <c r="BH190" s="2">
        <f t="shared" ca="1" si="182"/>
        <v>3566275.0230214074</v>
      </c>
      <c r="BI190" s="2">
        <f t="shared" ca="1" si="183"/>
        <v>47144745.270862512</v>
      </c>
      <c r="BJ190" s="2">
        <f t="shared" ca="1" si="184"/>
        <v>0.34463758532082056</v>
      </c>
      <c r="BK190" s="2">
        <f t="shared" ca="1" si="185"/>
        <v>19238737.00204597</v>
      </c>
    </row>
    <row r="191" spans="1:63" x14ac:dyDescent="0.3">
      <c r="A191" s="2">
        <v>190</v>
      </c>
      <c r="B191" s="2">
        <f t="shared" ca="1" si="124"/>
        <v>0.2909495911920803</v>
      </c>
      <c r="C191" s="2">
        <f t="shared" ca="1" si="125"/>
        <v>6.7628231658675295</v>
      </c>
      <c r="D191" s="2">
        <f t="shared" ca="1" si="126"/>
        <v>0.8954156977062534</v>
      </c>
      <c r="E191" s="2">
        <f t="shared" ca="1" si="127"/>
        <v>8.0426504568850063</v>
      </c>
      <c r="F191" s="2">
        <f t="shared" ca="1" si="128"/>
        <v>0.15849986542789563</v>
      </c>
      <c r="G191" s="2">
        <f t="shared" ca="1" si="129"/>
        <v>9.9807284418957018E-3</v>
      </c>
      <c r="H191" s="2">
        <f t="shared" ca="1" si="130"/>
        <v>9.9807284418957018E-3</v>
      </c>
      <c r="I191" s="2">
        <f t="shared" ca="1" si="131"/>
        <v>0.47439257242006005</v>
      </c>
      <c r="J191" s="2">
        <f t="shared" ca="1" si="132"/>
        <v>9.6788377843372766E-3</v>
      </c>
      <c r="K191" s="2">
        <f t="shared" ca="1" si="133"/>
        <v>9.6788377843372766E-3</v>
      </c>
      <c r="L191" s="2">
        <f t="shared" ca="1" si="134"/>
        <v>0.87569271277606764</v>
      </c>
      <c r="M191" s="2">
        <f t="shared" ca="1" si="135"/>
        <v>2.3074419855291604E-2</v>
      </c>
      <c r="N191" s="2">
        <f t="shared" ca="1" si="136"/>
        <v>2.3074419855291604E-2</v>
      </c>
      <c r="O191" s="2">
        <f t="shared" si="137"/>
        <v>6000000</v>
      </c>
      <c r="P191" s="2">
        <f t="shared" ca="1" si="138"/>
        <v>40576938.995205179</v>
      </c>
      <c r="Q191" s="2">
        <f t="shared" ca="1" si="139"/>
        <v>1014423.4748801296</v>
      </c>
      <c r="R191" s="2">
        <f t="shared" ca="1" si="140"/>
        <v>24346163.397123106</v>
      </c>
      <c r="S191" s="2">
        <f t="shared" ca="1" si="141"/>
        <v>16230775.598082073</v>
      </c>
      <c r="T191" s="2">
        <f t="shared" ca="1" si="142"/>
        <v>51153720.992764585</v>
      </c>
      <c r="U191" s="2">
        <f t="shared" ca="1" si="143"/>
        <v>51664272.390785873</v>
      </c>
      <c r="V191" s="2">
        <f t="shared" ca="1" si="144"/>
        <v>52179919.463666439</v>
      </c>
      <c r="W191" s="2">
        <f t="shared" ca="1" si="145"/>
        <v>52700713.069953285</v>
      </c>
      <c r="X191" s="2">
        <f t="shared" ca="1" si="146"/>
        <v>53226704.575798757</v>
      </c>
      <c r="Y191" s="2">
        <f t="shared" ca="1" si="147"/>
        <v>0.12483941889216864</v>
      </c>
      <c r="Z191" s="2">
        <f t="shared" ca="1" si="148"/>
        <v>0.1267751864490361</v>
      </c>
      <c r="AA191" s="2">
        <f t="shared" ca="1" si="149"/>
        <v>6386000.8029088583</v>
      </c>
      <c r="AB191" s="2">
        <f t="shared" ca="1" si="150"/>
        <v>6549747.765095667</v>
      </c>
      <c r="AC191" s="2">
        <f t="shared" ca="1" si="151"/>
        <v>6615119.018902</v>
      </c>
      <c r="AD191" s="2">
        <f t="shared" ca="1" si="152"/>
        <v>6681142.7254404817</v>
      </c>
      <c r="AE191" s="2">
        <f t="shared" ca="1" si="153"/>
        <v>6747825.3966646502</v>
      </c>
      <c r="AF191" s="2">
        <f t="shared" ca="1" si="154"/>
        <v>1023074.4198552917</v>
      </c>
      <c r="AG191" s="2">
        <f t="shared" ca="1" si="155"/>
        <v>1033285.4478157174</v>
      </c>
      <c r="AH191" s="2">
        <f t="shared" ca="1" si="156"/>
        <v>1043598.3892733288</v>
      </c>
      <c r="AI191" s="2">
        <f t="shared" ca="1" si="157"/>
        <v>1054014.2613990656</v>
      </c>
      <c r="AJ191" s="2">
        <f t="shared" ca="1" si="158"/>
        <v>1064534.0915159751</v>
      </c>
      <c r="AK191" s="2">
        <f t="shared" ca="1" si="159"/>
        <v>0</v>
      </c>
      <c r="AL191" s="2">
        <f t="shared" ca="1" si="160"/>
        <v>5105.5139802128824</v>
      </c>
      <c r="AM191" s="2">
        <f t="shared" ca="1" si="161"/>
        <v>5156.4707288056616</v>
      </c>
      <c r="AN191" s="2">
        <f t="shared" ca="1" si="162"/>
        <v>5207.9360628684608</v>
      </c>
      <c r="AO191" s="2">
        <f t="shared" ca="1" si="163"/>
        <v>5259.9150584547224</v>
      </c>
      <c r="AP191" s="2">
        <f t="shared" ca="1" si="164"/>
        <v>2191154.7057410795</v>
      </c>
      <c r="AQ191" s="2">
        <f t="shared" ca="1" si="165"/>
        <v>824660.63610124658</v>
      </c>
      <c r="AR191" s="2">
        <f t="shared" ca="1" si="166"/>
        <v>864579.97900010634</v>
      </c>
      <c r="AS191" s="2">
        <f t="shared" ca="1" si="167"/>
        <v>878895.14021077391</v>
      </c>
      <c r="AT191" s="2">
        <f t="shared" ca="1" si="168"/>
        <v>893353.17715808738</v>
      </c>
      <c r="AU191" s="2">
        <f t="shared" ca="1" si="169"/>
        <v>907955.51584597491</v>
      </c>
      <c r="AV191" s="2">
        <f t="shared" ca="1" si="170"/>
        <v>2347111.04121124</v>
      </c>
      <c r="AW191" s="2">
        <f t="shared" ca="1" si="171"/>
        <v>2455622.1185585512</v>
      </c>
      <c r="AX191" s="2">
        <f t="shared" ca="1" si="172"/>
        <v>2496314.3129480127</v>
      </c>
      <c r="AY191" s="2">
        <f t="shared" ca="1" si="173"/>
        <v>2537412.6450793799</v>
      </c>
      <c r="AZ191" s="2">
        <f t="shared" ca="1" si="174"/>
        <v>2578921.1685031662</v>
      </c>
      <c r="BA191" s="2">
        <f t="shared" ca="1" si="175"/>
        <v>54270401.009465195</v>
      </c>
      <c r="BB191" s="2">
        <f t="shared" ca="1" si="176"/>
        <v>1085408.0201893039</v>
      </c>
      <c r="BC191" s="2">
        <f t="shared" ca="1" si="177"/>
        <v>28838829.592152786</v>
      </c>
      <c r="BD191" s="2">
        <f t="shared" ca="1" si="178"/>
        <v>-17745199.072962202</v>
      </c>
      <c r="BE191" s="2">
        <f t="shared" ca="1" si="179"/>
        <v>2347111.04121124</v>
      </c>
      <c r="BF191" s="2">
        <f t="shared" ca="1" si="180"/>
        <v>2455622.1185585512</v>
      </c>
      <c r="BG191" s="2">
        <f t="shared" ca="1" si="181"/>
        <v>2496314.3129480127</v>
      </c>
      <c r="BH191" s="2">
        <f t="shared" ca="1" si="182"/>
        <v>2537412.6450793799</v>
      </c>
      <c r="BI191" s="2">
        <f t="shared" ca="1" si="183"/>
        <v>31417750.760655951</v>
      </c>
      <c r="BJ191" s="2">
        <f t="shared" ca="1" si="184"/>
        <v>0.2195461824520748</v>
      </c>
      <c r="BK191" s="2">
        <f t="shared" ca="1" si="185"/>
        <v>7524717.0602367632</v>
      </c>
    </row>
    <row r="192" spans="1:63" x14ac:dyDescent="0.3">
      <c r="A192" s="2">
        <v>191</v>
      </c>
      <c r="B192" s="2">
        <f t="shared" ca="1" si="124"/>
        <v>0.75008615138385903</v>
      </c>
      <c r="C192" s="2">
        <f t="shared" ca="1" si="125"/>
        <v>7.2930150657671113</v>
      </c>
      <c r="D192" s="2">
        <f t="shared" ca="1" si="126"/>
        <v>0.88214509917540129</v>
      </c>
      <c r="E192" s="2">
        <f t="shared" ca="1" si="127"/>
        <v>8.0145004617415196</v>
      </c>
      <c r="F192" s="2">
        <f t="shared" ca="1" si="128"/>
        <v>0.34031770105539327</v>
      </c>
      <c r="G192" s="2">
        <f t="shared" ca="1" si="129"/>
        <v>2.7652113377327439E-2</v>
      </c>
      <c r="H192" s="2">
        <f t="shared" ca="1" si="130"/>
        <v>2.7652113377327439E-2</v>
      </c>
      <c r="I192" s="2">
        <f t="shared" ca="1" si="131"/>
        <v>0.73584219544436014</v>
      </c>
      <c r="J192" s="2">
        <f t="shared" ca="1" si="132"/>
        <v>1.3152896714275395E-2</v>
      </c>
      <c r="K192" s="2">
        <f t="shared" ca="1" si="133"/>
        <v>1.3152896714275395E-2</v>
      </c>
      <c r="L192" s="2">
        <f t="shared" ca="1" si="134"/>
        <v>0.42963363768861762</v>
      </c>
      <c r="M192" s="2">
        <f t="shared" ca="1" si="135"/>
        <v>-3.5461394226935536E-3</v>
      </c>
      <c r="N192" s="2">
        <f t="shared" ca="1" si="136"/>
        <v>-3.5461394226935536E-3</v>
      </c>
      <c r="O192" s="2">
        <f t="shared" si="137"/>
        <v>6000000</v>
      </c>
      <c r="P192" s="2">
        <f t="shared" ca="1" si="138"/>
        <v>43758090.394602671</v>
      </c>
      <c r="Q192" s="2">
        <f t="shared" ca="1" si="139"/>
        <v>1093952.2598650667</v>
      </c>
      <c r="R192" s="2">
        <f t="shared" ca="1" si="140"/>
        <v>26254854.236761604</v>
      </c>
      <c r="S192" s="2">
        <f t="shared" ca="1" si="141"/>
        <v>17503236.157841068</v>
      </c>
      <c r="T192" s="2">
        <f t="shared" ca="1" si="142"/>
        <v>49822693.028865322</v>
      </c>
      <c r="U192" s="2">
        <f t="shared" ca="1" si="143"/>
        <v>51200395.785263292</v>
      </c>
      <c r="V192" s="2">
        <f t="shared" ca="1" si="144"/>
        <v>52616194.934481435</v>
      </c>
      <c r="W192" s="2">
        <f t="shared" ca="1" si="145"/>
        <v>54071143.922293283</v>
      </c>
      <c r="X192" s="2">
        <f t="shared" ca="1" si="146"/>
        <v>55566325.324474335</v>
      </c>
      <c r="Y192" s="2">
        <f t="shared" ca="1" si="147"/>
        <v>0.12657644835713769</v>
      </c>
      <c r="Z192" s="2">
        <f t="shared" ca="1" si="148"/>
        <v>0.12920702769999276</v>
      </c>
      <c r="AA192" s="2">
        <f t="shared" ca="1" si="149"/>
        <v>6306379.5311816959</v>
      </c>
      <c r="AB192" s="2">
        <f t="shared" ca="1" si="150"/>
        <v>6615450.9564771065</v>
      </c>
      <c r="AC192" s="2">
        <f t="shared" ca="1" si="151"/>
        <v>6798382.1563677611</v>
      </c>
      <c r="AD192" s="2">
        <f t="shared" ca="1" si="152"/>
        <v>6986371.7905380437</v>
      </c>
      <c r="AE192" s="2">
        <f t="shared" ca="1" si="153"/>
        <v>7179559.7353861649</v>
      </c>
      <c r="AF192" s="2">
        <f t="shared" ca="1" si="154"/>
        <v>996453.86057730648</v>
      </c>
      <c r="AG192" s="2">
        <f t="shared" ca="1" si="155"/>
        <v>1024007.9157052658</v>
      </c>
      <c r="AH192" s="2">
        <f t="shared" ca="1" si="156"/>
        <v>1052323.8986896288</v>
      </c>
      <c r="AI192" s="2">
        <f t="shared" ca="1" si="157"/>
        <v>1081422.8784458656</v>
      </c>
      <c r="AJ192" s="2">
        <f t="shared" ca="1" si="158"/>
        <v>1111326.5064894867</v>
      </c>
      <c r="AK192" s="2">
        <f t="shared" ca="1" si="159"/>
        <v>0</v>
      </c>
      <c r="AL192" s="2">
        <f t="shared" ca="1" si="160"/>
        <v>13777.0275639797</v>
      </c>
      <c r="AM192" s="2">
        <f t="shared" ca="1" si="161"/>
        <v>14157.99149218142</v>
      </c>
      <c r="AN192" s="2">
        <f t="shared" ca="1" si="162"/>
        <v>14549.489878118486</v>
      </c>
      <c r="AO192" s="2">
        <f t="shared" ca="1" si="163"/>
        <v>14951.814021810516</v>
      </c>
      <c r="AP192" s="2">
        <f t="shared" ca="1" si="164"/>
        <v>2362936.8813085444</v>
      </c>
      <c r="AQ192" s="2">
        <f t="shared" ca="1" si="165"/>
        <v>766217.08521691966</v>
      </c>
      <c r="AR192" s="2">
        <f t="shared" ca="1" si="166"/>
        <v>839411.6014604572</v>
      </c>
      <c r="AS192" s="2">
        <f t="shared" ca="1" si="167"/>
        <v>879611.55785609293</v>
      </c>
      <c r="AT192" s="2">
        <f t="shared" ca="1" si="168"/>
        <v>920923.12800374476</v>
      </c>
      <c r="AU192" s="2">
        <f t="shared" ca="1" si="169"/>
        <v>963377.05037291488</v>
      </c>
      <c r="AV192" s="2">
        <f t="shared" ca="1" si="170"/>
        <v>2180771.7040789248</v>
      </c>
      <c r="AW192" s="2">
        <f t="shared" ca="1" si="171"/>
        <v>2375317.5304388599</v>
      </c>
      <c r="AX192" s="2">
        <f t="shared" ca="1" si="172"/>
        <v>2489351.8270213138</v>
      </c>
      <c r="AY192" s="2">
        <f t="shared" ca="1" si="173"/>
        <v>2606539.4129017713</v>
      </c>
      <c r="AZ192" s="2">
        <f t="shared" ca="1" si="174"/>
        <v>2726967.4831934087</v>
      </c>
      <c r="BA192" s="2">
        <f t="shared" ca="1" si="175"/>
        <v>57540584.814353243</v>
      </c>
      <c r="BB192" s="2">
        <f t="shared" ca="1" si="176"/>
        <v>1150811.6962870648</v>
      </c>
      <c r="BC192" s="2">
        <f t="shared" ca="1" si="177"/>
        <v>30134918.881304573</v>
      </c>
      <c r="BD192" s="2">
        <f t="shared" ca="1" si="178"/>
        <v>-19097188.417706136</v>
      </c>
      <c r="BE192" s="2">
        <f t="shared" ca="1" si="179"/>
        <v>2180771.7040789248</v>
      </c>
      <c r="BF192" s="2">
        <f t="shared" ca="1" si="180"/>
        <v>2375317.5304388599</v>
      </c>
      <c r="BG192" s="2">
        <f t="shared" ca="1" si="181"/>
        <v>2489351.8270213138</v>
      </c>
      <c r="BH192" s="2">
        <f t="shared" ca="1" si="182"/>
        <v>2606539.4129017713</v>
      </c>
      <c r="BI192" s="2">
        <f t="shared" ca="1" si="183"/>
        <v>32861886.364497982</v>
      </c>
      <c r="BJ192" s="2">
        <f t="shared" ca="1" si="184"/>
        <v>0.20411966006219928</v>
      </c>
      <c r="BK192" s="2">
        <f t="shared" ca="1" si="185"/>
        <v>6818608.99982173</v>
      </c>
    </row>
    <row r="193" spans="1:63" x14ac:dyDescent="0.3">
      <c r="A193" s="2">
        <v>192</v>
      </c>
      <c r="B193" s="2">
        <f t="shared" ca="1" si="124"/>
        <v>0.24876527398616644</v>
      </c>
      <c r="C193" s="2">
        <f t="shared" ca="1" si="125"/>
        <v>6.7053584535343234</v>
      </c>
      <c r="D193" s="2">
        <f t="shared" ca="1" si="126"/>
        <v>0.93454394548900421</v>
      </c>
      <c r="E193" s="2">
        <f t="shared" ca="1" si="127"/>
        <v>8.1381822157190289</v>
      </c>
      <c r="F193" s="2">
        <f t="shared" ca="1" si="128"/>
        <v>0.67324714924541962</v>
      </c>
      <c r="G193" s="2">
        <f t="shared" ca="1" si="129"/>
        <v>5.3466920762084827E-2</v>
      </c>
      <c r="H193" s="2">
        <f t="shared" ca="1" si="130"/>
        <v>5.3466920762084827E-2</v>
      </c>
      <c r="I193" s="2">
        <f t="shared" ca="1" si="131"/>
        <v>0.9181399893755392</v>
      </c>
      <c r="J193" s="2">
        <f t="shared" ca="1" si="132"/>
        <v>1.6963343112398173E-2</v>
      </c>
      <c r="K193" s="2">
        <f t="shared" ca="1" si="133"/>
        <v>1.6963343112398173E-2</v>
      </c>
      <c r="L193" s="2">
        <f t="shared" ca="1" si="134"/>
        <v>0.2346027451469348</v>
      </c>
      <c r="M193" s="2">
        <f t="shared" ca="1" si="135"/>
        <v>-1.4475447545994988E-2</v>
      </c>
      <c r="N193" s="2">
        <f t="shared" ca="1" si="136"/>
        <v>-1.4475447545994988E-2</v>
      </c>
      <c r="O193" s="2">
        <f t="shared" si="137"/>
        <v>6000000</v>
      </c>
      <c r="P193" s="2">
        <f t="shared" ca="1" si="138"/>
        <v>40232150.721205942</v>
      </c>
      <c r="Q193" s="2">
        <f t="shared" ca="1" si="139"/>
        <v>1005803.7680301486</v>
      </c>
      <c r="R193" s="2">
        <f t="shared" ca="1" si="140"/>
        <v>24139290.432723563</v>
      </c>
      <c r="S193" s="2">
        <f t="shared" ca="1" si="141"/>
        <v>16092860.288482377</v>
      </c>
      <c r="T193" s="2">
        <f t="shared" ca="1" si="142"/>
        <v>49276227.622700252</v>
      </c>
      <c r="U193" s="2">
        <f t="shared" ca="1" si="143"/>
        <v>51910875.780457623</v>
      </c>
      <c r="V193" s="2">
        <f t="shared" ca="1" si="144"/>
        <v>54686390.462501779</v>
      </c>
      <c r="W193" s="2">
        <f t="shared" ca="1" si="145"/>
        <v>57610303.36812479</v>
      </c>
      <c r="X193" s="2">
        <f t="shared" ca="1" si="146"/>
        <v>60690548.893387988</v>
      </c>
      <c r="Y193" s="2">
        <f t="shared" ca="1" si="147"/>
        <v>0.12848167155619908</v>
      </c>
      <c r="Z193" s="2">
        <f t="shared" ca="1" si="148"/>
        <v>0.13187434017867872</v>
      </c>
      <c r="AA193" s="2">
        <f t="shared" ca="1" si="149"/>
        <v>6331092.0929482784</v>
      </c>
      <c r="AB193" s="2">
        <f t="shared" ca="1" si="150"/>
        <v>6845712.491645203</v>
      </c>
      <c r="AC193" s="2">
        <f t="shared" ca="1" si="151"/>
        <v>7211731.6589960111</v>
      </c>
      <c r="AD193" s="2">
        <f t="shared" ca="1" si="152"/>
        <v>7597320.7441649688</v>
      </c>
      <c r="AE193" s="2">
        <f t="shared" ca="1" si="153"/>
        <v>8003526.0903973803</v>
      </c>
      <c r="AF193" s="2">
        <f t="shared" ca="1" si="154"/>
        <v>985524.552454005</v>
      </c>
      <c r="AG193" s="2">
        <f t="shared" ca="1" si="155"/>
        <v>1038217.5156091525</v>
      </c>
      <c r="AH193" s="2">
        <f t="shared" ca="1" si="156"/>
        <v>1093727.8092500356</v>
      </c>
      <c r="AI193" s="2">
        <f t="shared" ca="1" si="157"/>
        <v>1152206.0673624959</v>
      </c>
      <c r="AJ193" s="2">
        <f t="shared" ca="1" si="158"/>
        <v>1213810.9778677598</v>
      </c>
      <c r="AK193" s="2">
        <f t="shared" ca="1" si="159"/>
        <v>0</v>
      </c>
      <c r="AL193" s="2">
        <f t="shared" ca="1" si="160"/>
        <v>26346.481577573719</v>
      </c>
      <c r="AM193" s="2">
        <f t="shared" ca="1" si="161"/>
        <v>27755.146820441558</v>
      </c>
      <c r="AN193" s="2">
        <f t="shared" ca="1" si="162"/>
        <v>29239.129056230115</v>
      </c>
      <c r="AO193" s="2">
        <f t="shared" ca="1" si="163"/>
        <v>30802.455252631979</v>
      </c>
      <c r="AP193" s="2">
        <f t="shared" ca="1" si="164"/>
        <v>2172536.1389451204</v>
      </c>
      <c r="AQ193" s="2">
        <f t="shared" ca="1" si="165"/>
        <v>824988.16440277977</v>
      </c>
      <c r="AR193" s="2">
        <f t="shared" ca="1" si="166"/>
        <v>945089.29764364182</v>
      </c>
      <c r="AS193" s="2">
        <f t="shared" ca="1" si="167"/>
        <v>1025821.6048082225</v>
      </c>
      <c r="AT193" s="2">
        <f t="shared" ca="1" si="168"/>
        <v>1110870.4198429117</v>
      </c>
      <c r="AU193" s="2">
        <f t="shared" ca="1" si="169"/>
        <v>1200466.5331319701</v>
      </c>
      <c r="AV193" s="2">
        <f t="shared" ca="1" si="170"/>
        <v>2348043.2371463729</v>
      </c>
      <c r="AW193" s="2">
        <f t="shared" ca="1" si="171"/>
        <v>2663523.0578697147</v>
      </c>
      <c r="AX193" s="2">
        <f t="shared" ca="1" si="172"/>
        <v>2891890.9591721911</v>
      </c>
      <c r="AY193" s="2">
        <f t="shared" ca="1" si="173"/>
        <v>3132468.9889582107</v>
      </c>
      <c r="AZ193" s="2">
        <f t="shared" ca="1" si="174"/>
        <v>3385909.9851998985</v>
      </c>
      <c r="BA193" s="2">
        <f t="shared" ca="1" si="175"/>
        <v>65134153.691915207</v>
      </c>
      <c r="BB193" s="2">
        <f t="shared" ca="1" si="176"/>
        <v>1302683.0738383043</v>
      </c>
      <c r="BC193" s="2">
        <f t="shared" ca="1" si="177"/>
        <v>39692180.185353346</v>
      </c>
      <c r="BD193" s="2">
        <f t="shared" ca="1" si="178"/>
        <v>-17598664.056512527</v>
      </c>
      <c r="BE193" s="2">
        <f t="shared" ca="1" si="179"/>
        <v>2348043.2371463729</v>
      </c>
      <c r="BF193" s="2">
        <f t="shared" ca="1" si="180"/>
        <v>2663523.0578697147</v>
      </c>
      <c r="BG193" s="2">
        <f t="shared" ca="1" si="181"/>
        <v>2891890.9591721911</v>
      </c>
      <c r="BH193" s="2">
        <f t="shared" ca="1" si="182"/>
        <v>3132468.9889582107</v>
      </c>
      <c r="BI193" s="2">
        <f t="shared" ca="1" si="183"/>
        <v>43078090.170553245</v>
      </c>
      <c r="BJ193" s="2">
        <f t="shared" ca="1" si="184"/>
        <v>0.29636067241652553</v>
      </c>
      <c r="BK193" s="2">
        <f t="shared" ca="1" si="185"/>
        <v>15113944.185894437</v>
      </c>
    </row>
    <row r="194" spans="1:63" x14ac:dyDescent="0.3">
      <c r="A194" s="2">
        <v>193</v>
      </c>
      <c r="B194" s="2">
        <f t="shared" ref="B194:B257" ca="1" si="186">RAND()</f>
        <v>0.60083436641700116</v>
      </c>
      <c r="C194" s="2">
        <f t="shared" ref="C194:C257" ca="1" si="187">IF(B194&lt;((P_Mode)-(P_Low))/((P_High)-(P_Low)), (P_Low)+SQRT(B194*((P_High)-(P_Low))*((P_Mode)-(P_Low))), (P_High)-SQRT((1-B194)*((P_High)-(P_Low))*((P_High)-(P_Mode))))</f>
        <v>7.1065061459830865</v>
      </c>
      <c r="D194" s="2">
        <f t="shared" ref="D194:D257" ca="1" si="188">RAND()</f>
        <v>0.52506824998107038</v>
      </c>
      <c r="E194" s="2">
        <f t="shared" ref="E194:E257" ca="1" si="189">IF(D194&lt;((X_Mode)-(X_Low))/((X_High)-(X_Low)), (X_Low)+SQRT(D194*((X_High)-(X_Low))*((X_Mode)-(X_Low))), (X_High)-SQRT((1-D194)*((X_High)-(X_Low))*((X_High)-(X_Mode))))</f>
        <v>7.5253905910376924</v>
      </c>
      <c r="F194" s="2">
        <f t="shared" ref="F194:F257" ca="1" si="190">RAND()</f>
        <v>0.32936393233323258</v>
      </c>
      <c r="G194" s="2">
        <f t="shared" ref="G194:G257" ca="1" si="191">NORMINV(F194, g_Mean, g_SD)</f>
        <v>2.6749893492852776E-2</v>
      </c>
      <c r="H194" s="2">
        <f t="shared" ref="H194:H257" ca="1" si="192">MIN(MAX(G194, g_Min), g_Max)</f>
        <v>2.6749893492852776E-2</v>
      </c>
      <c r="I194" s="2">
        <f t="shared" ref="I194:I257" ca="1" si="193">RAND()</f>
        <v>0.52605489177045728</v>
      </c>
      <c r="J194" s="2">
        <f t="shared" ref="J194:J257" ca="1" si="194">NORMINV(I194, syn_Mean, syn_SD)</f>
        <v>1.0326782132644048E-2</v>
      </c>
      <c r="K194" s="2">
        <f t="shared" ref="K194:K257" ca="1" si="195">MIN(MAX(J194, syn_Min), syn_Max)</f>
        <v>1.0326782132644048E-2</v>
      </c>
      <c r="L194" s="2">
        <f t="shared" ref="L194:L257" ca="1" si="196">RAND()</f>
        <v>0.93090373453048603</v>
      </c>
      <c r="M194" s="2">
        <f t="shared" ref="M194:M257" ca="1" si="197">NORMINV(L194, shk_Mean, shk_SD)</f>
        <v>2.9651111255664157E-2</v>
      </c>
      <c r="N194" s="2">
        <f t="shared" ref="N194:N257" ca="1" si="198">MIN(MAX(M194, shk_Min), shk_Max)</f>
        <v>2.9651111255664157E-2</v>
      </c>
      <c r="O194" s="2">
        <f t="shared" ref="O194:O257" si="199">BaseRev*BaseMargin</f>
        <v>6000000</v>
      </c>
      <c r="P194" s="2">
        <f t="shared" ref="P194:P257" ca="1" si="200">O194*C194</f>
        <v>42639036.875898518</v>
      </c>
      <c r="Q194" s="2">
        <f t="shared" ref="Q194:Q257" ca="1" si="201">P194*TxnCostPct</f>
        <v>1065975.921897463</v>
      </c>
      <c r="R194" s="2">
        <f t="shared" ref="R194:R257" ca="1" si="202">P194*DebtPct</f>
        <v>25583422.125539109</v>
      </c>
      <c r="S194" s="2">
        <f t="shared" ref="S194:S257" ca="1" si="203">P194*EqPct</f>
        <v>17055614.750359409</v>
      </c>
      <c r="T194" s="2">
        <f t="shared" ref="T194:T257" ca="1" si="204">BaseRev*(1+N194)</f>
        <v>51482555.562783204</v>
      </c>
      <c r="U194" s="2">
        <f t="shared" ref="U194:U257" ca="1" si="205">T194*(1+H194)</f>
        <v>52859708.440827526</v>
      </c>
      <c r="V194" s="2">
        <f t="shared" ref="V194:V257" ca="1" si="206">U194*(1+H194)</f>
        <v>54273700.011682913</v>
      </c>
      <c r="W194" s="2">
        <f t="shared" ref="W194:W257" ca="1" si="207">V194*(1+H194)</f>
        <v>55725515.706458472</v>
      </c>
      <c r="X194" s="2">
        <f t="shared" ref="X194:X257" ca="1" si="208">W194*(1+H194)</f>
        <v>57216167.31644053</v>
      </c>
      <c r="Y194" s="2">
        <f t="shared" ref="Y194:Y257" ca="1" si="209">BaseMargin + SynReal_Y1*K194</f>
        <v>0.12516339106632202</v>
      </c>
      <c r="Z194" s="2">
        <f t="shared" ref="Z194:Z257" ca="1" si="210">BaseMargin + SynReal_Y2toY5*K194</f>
        <v>0.12722874749285082</v>
      </c>
      <c r="AA194" s="2">
        <f t="shared" ref="AA194:AA257" ca="1" si="211">T194*Y194</f>
        <v>6443731.2349982858</v>
      </c>
      <c r="AB194" s="2">
        <f t="shared" ref="AB194:AB257" ca="1" si="212">U194*Z194</f>
        <v>6725274.4977637604</v>
      </c>
      <c r="AC194" s="2">
        <f t="shared" ref="AC194:AC257" ca="1" si="213">V194*Z194</f>
        <v>6905174.8742891401</v>
      </c>
      <c r="AD194" s="2">
        <f t="shared" ref="AD194:AD257" ca="1" si="214">W194*Z194</f>
        <v>7089887.5667258976</v>
      </c>
      <c r="AE194" s="2">
        <f t="shared" ref="AE194:AE257" ca="1" si="215">X194*Z194</f>
        <v>7279541.304012116</v>
      </c>
      <c r="AF194" s="2">
        <f t="shared" ref="AF194:AF257" ca="1" si="216">T194*CapexPct</f>
        <v>1029651.1112556641</v>
      </c>
      <c r="AG194" s="2">
        <f t="shared" ref="AG194:AG257" ca="1" si="217">U194*CapexPct</f>
        <v>1057194.1688165506</v>
      </c>
      <c r="AH194" s="2">
        <f t="shared" ref="AH194:AH257" ca="1" si="218">V194*CapexPct</f>
        <v>1085474.0002336584</v>
      </c>
      <c r="AI194" s="2">
        <f t="shared" ref="AI194:AI257" ca="1" si="219">W194*CapexPct</f>
        <v>1114510.3141291696</v>
      </c>
      <c r="AJ194" s="2">
        <f t="shared" ref="AJ194:AJ257" ca="1" si="220">X194*CapexPct</f>
        <v>1144323.3463288106</v>
      </c>
      <c r="AK194" s="2">
        <f t="shared" ref="AK194:AK257" ca="1" si="221">MAX(T194-BaseRev*(1+N194),0)*WCPct</f>
        <v>0</v>
      </c>
      <c r="AL194" s="2">
        <f t="shared" ref="AL194:AL257" ca="1" si="222">MAX(U194-T194,0)*WCPct</f>
        <v>13771.528780443221</v>
      </c>
      <c r="AM194" s="2">
        <f t="shared" ref="AM194:AM257" ca="1" si="223">MAX(V194-U194,0)*WCPct</f>
        <v>14139.915708553866</v>
      </c>
      <c r="AN194" s="2">
        <f t="shared" ref="AN194:AN257" ca="1" si="224">MAX(W194-V194,0)*WCPct</f>
        <v>14518.156947755589</v>
      </c>
      <c r="AO194" s="2">
        <f t="shared" ref="AO194:AO257" ca="1" si="225">MAX(X194-W194,0)*WCPct</f>
        <v>14906.516099820585</v>
      </c>
      <c r="AP194" s="2">
        <f t="shared" ref="AP194:AP257" ca="1" si="226">R194*DebtRate</f>
        <v>2302507.9912985195</v>
      </c>
      <c r="AQ194" s="2">
        <f t="shared" ref="AQ194:AQ257" ca="1" si="227">MAX(AA194-AF194-AP194,0)*Tax</f>
        <v>809008.75443546649</v>
      </c>
      <c r="AR194" s="2">
        <f t="shared" ref="AR194:AR257" ca="1" si="228">MAX(AB194-AG194-AP194,0)*Tax</f>
        <v>875048.80778865947</v>
      </c>
      <c r="AS194" s="2">
        <f t="shared" ref="AS194:AS257" ca="1" si="229">MAX(AC194-AH194-AP194,0)*Tax</f>
        <v>914470.1495168102</v>
      </c>
      <c r="AT194" s="2">
        <f t="shared" ref="AT194:AT257" ca="1" si="230">MAX(AD194-AI194-AP194,0)*Tax</f>
        <v>954946.00793753436</v>
      </c>
      <c r="AU194" s="2">
        <f t="shared" ref="AU194:AU257" ca="1" si="231">MAX(AE194-AJ194-AP194,0)*Tax</f>
        <v>996504.59126004437</v>
      </c>
      <c r="AV194" s="2">
        <f t="shared" ref="AV194:AV257" ca="1" si="232">AA194-AF194-AK194-AQ194-AP194</f>
        <v>2302563.3780086352</v>
      </c>
      <c r="AW194" s="2">
        <f t="shared" ref="AW194:AW257" ca="1" si="233">AB194-AG194-AL194-AR194-AP194</f>
        <v>2476752.0010795868</v>
      </c>
      <c r="AX194" s="2">
        <f t="shared" ref="AX194:AX257" ca="1" si="234">AC194-AH194-AM194-AS194-AP194</f>
        <v>2588582.8175315983</v>
      </c>
      <c r="AY194" s="2">
        <f t="shared" ref="AY194:AY257" ca="1" si="235">AD194-AI194-AN194-AT194-AP194</f>
        <v>2703405.096412919</v>
      </c>
      <c r="AZ194" s="2">
        <f t="shared" ref="AZ194:AZ257" ca="1" si="236">AE194-AJ194-AO194-AU194-AP194</f>
        <v>2821298.859024921</v>
      </c>
      <c r="BA194" s="2">
        <f t="shared" ref="BA194:BA257" ca="1" si="237">AE194*E194</f>
        <v>54781391.636283033</v>
      </c>
      <c r="BB194" s="2">
        <f t="shared" ref="BB194:BB257" ca="1" si="238">BA194*SellCostPct</f>
        <v>1095627.8327256606</v>
      </c>
      <c r="BC194" s="2">
        <f t="shared" ref="BC194:BC257" ca="1" si="239">BA194-R194-BB194</f>
        <v>28102341.678018264</v>
      </c>
      <c r="BD194" s="2">
        <f t="shared" ref="BD194:BD257" ca="1" si="240">-S194-Q194-IntegrationPct*BaseRev</f>
        <v>-18621590.672256872</v>
      </c>
      <c r="BE194" s="2">
        <f t="shared" ref="BE194:BE257" ca="1" si="241">AV194</f>
        <v>2302563.3780086352</v>
      </c>
      <c r="BF194" s="2">
        <f t="shared" ref="BF194:BF257" ca="1" si="242">AW194</f>
        <v>2476752.0010795868</v>
      </c>
      <c r="BG194" s="2">
        <f t="shared" ref="BG194:BG257" ca="1" si="243">AX194</f>
        <v>2588582.8175315983</v>
      </c>
      <c r="BH194" s="2">
        <f t="shared" ref="BH194:BH257" ca="1" si="244">AY194</f>
        <v>2703405.096412919</v>
      </c>
      <c r="BI194" s="2">
        <f t="shared" ref="BI194:BI257" ca="1" si="245">AZ194+BC194</f>
        <v>30923640.537043184</v>
      </c>
      <c r="BJ194" s="2">
        <f t="shared" ref="BJ194:BJ257" ca="1" si="246">IF(MIN(BD194:BI194)*MAX(BD194:BI194)&gt;=0, "", IFERROR(IRR(BD194:BI194,0.12), IFERROR(IRR(BD194:BI194,0.5), IFERROR(IRR(BD194:BI194,-0.5),""))))</f>
        <v>0.20386497697596639</v>
      </c>
      <c r="BK194" s="2">
        <f t="shared" ref="BK194:BK257" ca="1" si="247">NPV(12%,BE194:BI194)+BD194</f>
        <v>6516190.0668292642</v>
      </c>
    </row>
    <row r="195" spans="1:63" x14ac:dyDescent="0.3">
      <c r="A195" s="2">
        <v>194</v>
      </c>
      <c r="B195" s="2">
        <f t="shared" ca="1" si="186"/>
        <v>0.4316373543040396</v>
      </c>
      <c r="C195" s="2">
        <f t="shared" ca="1" si="187"/>
        <v>6.9291257765276342</v>
      </c>
      <c r="D195" s="2">
        <f t="shared" ca="1" si="188"/>
        <v>0.87931514729203775</v>
      </c>
      <c r="E195" s="2">
        <f t="shared" ca="1" si="189"/>
        <v>8.0087060905975687</v>
      </c>
      <c r="F195" s="2">
        <f t="shared" ca="1" si="190"/>
        <v>2.523123921197612E-2</v>
      </c>
      <c r="G195" s="2">
        <f t="shared" ca="1" si="191"/>
        <v>-1.8680681422474039E-2</v>
      </c>
      <c r="H195" s="2">
        <f t="shared" ca="1" si="192"/>
        <v>-1.8680681422474039E-2</v>
      </c>
      <c r="I195" s="2">
        <f t="shared" ca="1" si="193"/>
        <v>0.26792969548234813</v>
      </c>
      <c r="J195" s="2">
        <f t="shared" ca="1" si="194"/>
        <v>6.9045676113416842E-3</v>
      </c>
      <c r="K195" s="2">
        <f t="shared" ca="1" si="195"/>
        <v>6.9045676113416842E-3</v>
      </c>
      <c r="L195" s="2">
        <f t="shared" ca="1" si="196"/>
        <v>0.49318273785371247</v>
      </c>
      <c r="M195" s="2">
        <f t="shared" ca="1" si="197"/>
        <v>-3.4178347603355114E-4</v>
      </c>
      <c r="N195" s="2">
        <f t="shared" ca="1" si="198"/>
        <v>-3.4178347603355114E-4</v>
      </c>
      <c r="O195" s="2">
        <f t="shared" si="199"/>
        <v>6000000</v>
      </c>
      <c r="P195" s="2">
        <f t="shared" ca="1" si="200"/>
        <v>41574754.659165807</v>
      </c>
      <c r="Q195" s="2">
        <f t="shared" ca="1" si="201"/>
        <v>1039368.8664791452</v>
      </c>
      <c r="R195" s="2">
        <f t="shared" ca="1" si="202"/>
        <v>24944852.795499485</v>
      </c>
      <c r="S195" s="2">
        <f t="shared" ca="1" si="203"/>
        <v>16629901.863666324</v>
      </c>
      <c r="T195" s="2">
        <f t="shared" ca="1" si="204"/>
        <v>49982910.826198325</v>
      </c>
      <c r="U195" s="2">
        <f t="shared" ca="1" si="205"/>
        <v>49049195.992486186</v>
      </c>
      <c r="V195" s="2">
        <f t="shared" ca="1" si="206"/>
        <v>48132923.588122062</v>
      </c>
      <c r="W195" s="2">
        <f t="shared" ca="1" si="207"/>
        <v>47233767.776640065</v>
      </c>
      <c r="X195" s="2">
        <f t="shared" ca="1" si="208"/>
        <v>46351408.80842153</v>
      </c>
      <c r="Y195" s="2">
        <f t="shared" ca="1" si="209"/>
        <v>0.12345228380567083</v>
      </c>
      <c r="Z195" s="2">
        <f t="shared" ca="1" si="210"/>
        <v>0.12483319732793917</v>
      </c>
      <c r="AA195" s="2">
        <f t="shared" ca="1" si="211"/>
        <v>6170504.4927493725</v>
      </c>
      <c r="AB195" s="2">
        <f t="shared" ca="1" si="212"/>
        <v>6122967.9621067913</v>
      </c>
      <c r="AC195" s="2">
        <f t="shared" ca="1" si="213"/>
        <v>6008586.7482466595</v>
      </c>
      <c r="AD195" s="2">
        <f t="shared" ca="1" si="214"/>
        <v>5896342.2534033637</v>
      </c>
      <c r="AE195" s="2">
        <f t="shared" ca="1" si="215"/>
        <v>5786194.562209663</v>
      </c>
      <c r="AF195" s="2">
        <f t="shared" ca="1" si="216"/>
        <v>999658.21652396652</v>
      </c>
      <c r="AG195" s="2">
        <f t="shared" ca="1" si="217"/>
        <v>980983.91984972369</v>
      </c>
      <c r="AH195" s="2">
        <f t="shared" ca="1" si="218"/>
        <v>962658.47176244122</v>
      </c>
      <c r="AI195" s="2">
        <f t="shared" ca="1" si="219"/>
        <v>944675.35553280136</v>
      </c>
      <c r="AJ195" s="2">
        <f t="shared" ca="1" si="220"/>
        <v>927028.1761684306</v>
      </c>
      <c r="AK195" s="2">
        <f t="shared" ca="1" si="221"/>
        <v>0</v>
      </c>
      <c r="AL195" s="2">
        <f t="shared" ca="1" si="222"/>
        <v>0</v>
      </c>
      <c r="AM195" s="2">
        <f t="shared" ca="1" si="223"/>
        <v>0</v>
      </c>
      <c r="AN195" s="2">
        <f t="shared" ca="1" si="224"/>
        <v>0</v>
      </c>
      <c r="AO195" s="2">
        <f t="shared" ca="1" si="225"/>
        <v>0</v>
      </c>
      <c r="AP195" s="2">
        <f t="shared" ca="1" si="226"/>
        <v>2245036.7515949537</v>
      </c>
      <c r="AQ195" s="2">
        <f t="shared" ca="1" si="227"/>
        <v>760710.47640391754</v>
      </c>
      <c r="AR195" s="2">
        <f t="shared" ca="1" si="228"/>
        <v>753206.29557214968</v>
      </c>
      <c r="AS195" s="2">
        <f t="shared" ca="1" si="229"/>
        <v>728231.7964712088</v>
      </c>
      <c r="AT195" s="2">
        <f t="shared" ca="1" si="230"/>
        <v>703723.8380316582</v>
      </c>
      <c r="AU195" s="2">
        <f t="shared" ca="1" si="231"/>
        <v>679673.70495603245</v>
      </c>
      <c r="AV195" s="2">
        <f t="shared" ca="1" si="232"/>
        <v>2165099.0482265349</v>
      </c>
      <c r="AW195" s="2">
        <f t="shared" ca="1" si="233"/>
        <v>2143740.9950899645</v>
      </c>
      <c r="AX195" s="2">
        <f t="shared" ca="1" si="234"/>
        <v>2072659.7284180555</v>
      </c>
      <c r="AY195" s="2">
        <f t="shared" ca="1" si="235"/>
        <v>2002906.3082439504</v>
      </c>
      <c r="AZ195" s="2">
        <f t="shared" ca="1" si="236"/>
        <v>1934455.9294902463</v>
      </c>
      <c r="BA195" s="2">
        <f t="shared" ca="1" si="237"/>
        <v>46339931.63175106</v>
      </c>
      <c r="BB195" s="2">
        <f t="shared" ca="1" si="238"/>
        <v>926798.63263502123</v>
      </c>
      <c r="BC195" s="2">
        <f t="shared" ca="1" si="239"/>
        <v>20468280.203616556</v>
      </c>
      <c r="BD195" s="2">
        <f t="shared" ca="1" si="240"/>
        <v>-18169270.730145469</v>
      </c>
      <c r="BE195" s="2">
        <f t="shared" ca="1" si="241"/>
        <v>2165099.0482265349</v>
      </c>
      <c r="BF195" s="2">
        <f t="shared" ca="1" si="242"/>
        <v>2143740.9950899645</v>
      </c>
      <c r="BG195" s="2">
        <f t="shared" ca="1" si="243"/>
        <v>2072659.7284180555</v>
      </c>
      <c r="BH195" s="2">
        <f t="shared" ca="1" si="244"/>
        <v>2002906.3082439504</v>
      </c>
      <c r="BI195" s="2">
        <f t="shared" ca="1" si="245"/>
        <v>22402736.133106802</v>
      </c>
      <c r="BJ195" s="2">
        <f t="shared" ca="1" si="246"/>
        <v>0.13378402678688439</v>
      </c>
      <c r="BK195" s="2">
        <f t="shared" ca="1" si="247"/>
        <v>932906.1632662788</v>
      </c>
    </row>
    <row r="196" spans="1:63" x14ac:dyDescent="0.3">
      <c r="A196" s="2">
        <v>195</v>
      </c>
      <c r="B196" s="2">
        <f t="shared" ca="1" si="186"/>
        <v>0.79742060749066845</v>
      </c>
      <c r="C196" s="2">
        <f t="shared" ca="1" si="187"/>
        <v>7.3634791558647406</v>
      </c>
      <c r="D196" s="2">
        <f t="shared" ca="1" si="188"/>
        <v>5.3757378939615075E-3</v>
      </c>
      <c r="E196" s="2">
        <f t="shared" ca="1" si="189"/>
        <v>6.6036893234037288</v>
      </c>
      <c r="F196" s="2">
        <f t="shared" ca="1" si="190"/>
        <v>0.10802274364942677</v>
      </c>
      <c r="G196" s="2">
        <f t="shared" ca="1" si="191"/>
        <v>2.8866385409239484E-3</v>
      </c>
      <c r="H196" s="2">
        <f t="shared" ca="1" si="192"/>
        <v>2.8866385409239484E-3</v>
      </c>
      <c r="I196" s="2">
        <f t="shared" ca="1" si="193"/>
        <v>0.26613122570634962</v>
      </c>
      <c r="J196" s="2">
        <f t="shared" ca="1" si="194"/>
        <v>6.8772195883372335E-3</v>
      </c>
      <c r="K196" s="2">
        <f t="shared" ca="1" si="195"/>
        <v>6.8772195883372335E-3</v>
      </c>
      <c r="L196" s="2">
        <f t="shared" ca="1" si="196"/>
        <v>0.6655495145385073</v>
      </c>
      <c r="M196" s="2">
        <f t="shared" ca="1" si="197"/>
        <v>8.5531369646969189E-3</v>
      </c>
      <c r="N196" s="2">
        <f t="shared" ca="1" si="198"/>
        <v>8.5531369646969189E-3</v>
      </c>
      <c r="O196" s="2">
        <f t="shared" si="199"/>
        <v>6000000</v>
      </c>
      <c r="P196" s="2">
        <f t="shared" ca="1" si="200"/>
        <v>44180874.935188442</v>
      </c>
      <c r="Q196" s="2">
        <f t="shared" ca="1" si="201"/>
        <v>1104521.8733797111</v>
      </c>
      <c r="R196" s="2">
        <f t="shared" ca="1" si="202"/>
        <v>26508524.961113065</v>
      </c>
      <c r="S196" s="2">
        <f t="shared" ca="1" si="203"/>
        <v>17672349.974075377</v>
      </c>
      <c r="T196" s="2">
        <f t="shared" ca="1" si="204"/>
        <v>50427656.848234847</v>
      </c>
      <c r="U196" s="2">
        <f t="shared" ca="1" si="205"/>
        <v>50573223.266021445</v>
      </c>
      <c r="V196" s="2">
        <f t="shared" ca="1" si="206"/>
        <v>50719209.881439887</v>
      </c>
      <c r="W196" s="2">
        <f t="shared" ca="1" si="207"/>
        <v>50865617.907448858</v>
      </c>
      <c r="X196" s="2">
        <f t="shared" ca="1" si="208"/>
        <v>51012448.560508408</v>
      </c>
      <c r="Y196" s="2">
        <f t="shared" ca="1" si="209"/>
        <v>0.12343860979416861</v>
      </c>
      <c r="Z196" s="2">
        <f t="shared" ca="1" si="210"/>
        <v>0.12481405371183606</v>
      </c>
      <c r="AA196" s="2">
        <f t="shared" ca="1" si="211"/>
        <v>6224719.8565234961</v>
      </c>
      <c r="AB196" s="2">
        <f t="shared" ca="1" si="212"/>
        <v>6312249.0051058773</v>
      </c>
      <c r="AC196" s="2">
        <f t="shared" ca="1" si="213"/>
        <v>6330470.1863639243</v>
      </c>
      <c r="AD196" s="2">
        <f t="shared" ca="1" si="214"/>
        <v>6348743.9655860513</v>
      </c>
      <c r="AE196" s="2">
        <f t="shared" ca="1" si="215"/>
        <v>6367070.4946035706</v>
      </c>
      <c r="AF196" s="2">
        <f t="shared" ca="1" si="216"/>
        <v>1008553.1369646969</v>
      </c>
      <c r="AG196" s="2">
        <f t="shared" ca="1" si="217"/>
        <v>1011464.4653204289</v>
      </c>
      <c r="AH196" s="2">
        <f t="shared" ca="1" si="218"/>
        <v>1014384.1976287977</v>
      </c>
      <c r="AI196" s="2">
        <f t="shared" ca="1" si="219"/>
        <v>1017312.3581489772</v>
      </c>
      <c r="AJ196" s="2">
        <f t="shared" ca="1" si="220"/>
        <v>1020248.9712101682</v>
      </c>
      <c r="AK196" s="2">
        <f t="shared" ca="1" si="221"/>
        <v>0</v>
      </c>
      <c r="AL196" s="2">
        <f t="shared" ca="1" si="222"/>
        <v>1455.6641778659821</v>
      </c>
      <c r="AM196" s="2">
        <f t="shared" ca="1" si="223"/>
        <v>1459.866154184416</v>
      </c>
      <c r="AN196" s="2">
        <f t="shared" ca="1" si="224"/>
        <v>1464.0802600897105</v>
      </c>
      <c r="AO196" s="2">
        <f t="shared" ca="1" si="225"/>
        <v>1468.3065305954963</v>
      </c>
      <c r="AP196" s="2">
        <f t="shared" ca="1" si="226"/>
        <v>2385767.2465001759</v>
      </c>
      <c r="AQ196" s="2">
        <f t="shared" ca="1" si="227"/>
        <v>735903.86299524223</v>
      </c>
      <c r="AR196" s="2">
        <f t="shared" ca="1" si="228"/>
        <v>757904.4962541709</v>
      </c>
      <c r="AS196" s="2">
        <f t="shared" ca="1" si="229"/>
        <v>761882.87298108719</v>
      </c>
      <c r="AT196" s="2">
        <f t="shared" ca="1" si="230"/>
        <v>765872.73384359363</v>
      </c>
      <c r="AU196" s="2">
        <f t="shared" ca="1" si="231"/>
        <v>769874.11199223879</v>
      </c>
      <c r="AV196" s="2">
        <f t="shared" ca="1" si="232"/>
        <v>2094495.610063381</v>
      </c>
      <c r="AW196" s="2">
        <f t="shared" ca="1" si="233"/>
        <v>2155657.1328532356</v>
      </c>
      <c r="AX196" s="2">
        <f t="shared" ca="1" si="234"/>
        <v>2166976.0030996785</v>
      </c>
      <c r="AY196" s="2">
        <f t="shared" ca="1" si="235"/>
        <v>2178327.5468332148</v>
      </c>
      <c r="AZ196" s="2">
        <f t="shared" ca="1" si="236"/>
        <v>2189711.8583703912</v>
      </c>
      <c r="BA196" s="2">
        <f t="shared" ca="1" si="237"/>
        <v>42046155.446572497</v>
      </c>
      <c r="BB196" s="2">
        <f t="shared" ca="1" si="238"/>
        <v>840923.10893144994</v>
      </c>
      <c r="BC196" s="2">
        <f t="shared" ca="1" si="239"/>
        <v>14696707.376527982</v>
      </c>
      <c r="BD196" s="2">
        <f t="shared" ca="1" si="240"/>
        <v>-19276871.847455088</v>
      </c>
      <c r="BE196" s="2">
        <f t="shared" ca="1" si="241"/>
        <v>2094495.610063381</v>
      </c>
      <c r="BF196" s="2">
        <f t="shared" ca="1" si="242"/>
        <v>2155657.1328532356</v>
      </c>
      <c r="BG196" s="2">
        <f t="shared" ca="1" si="243"/>
        <v>2166976.0030996785</v>
      </c>
      <c r="BH196" s="2">
        <f t="shared" ca="1" si="244"/>
        <v>2178327.5468332148</v>
      </c>
      <c r="BI196" s="2">
        <f t="shared" ca="1" si="245"/>
        <v>16886419.234898373</v>
      </c>
      <c r="BJ196" s="2">
        <f t="shared" ca="1" si="246"/>
        <v>7.0467059178180858E-2</v>
      </c>
      <c r="BK196" s="2">
        <f t="shared" ca="1" si="247"/>
        <v>-3179724.7889210694</v>
      </c>
    </row>
    <row r="197" spans="1:63" x14ac:dyDescent="0.3">
      <c r="A197" s="2">
        <v>196</v>
      </c>
      <c r="B197" s="2">
        <f t="shared" ca="1" si="186"/>
        <v>0.6886608006949958</v>
      </c>
      <c r="C197" s="2">
        <f t="shared" ca="1" si="187"/>
        <v>7.2109002606704218</v>
      </c>
      <c r="D197" s="2">
        <f t="shared" ca="1" si="188"/>
        <v>0.41083228316592824</v>
      </c>
      <c r="E197" s="2">
        <f t="shared" ca="1" si="189"/>
        <v>7.4064571508526242</v>
      </c>
      <c r="F197" s="2">
        <f t="shared" ca="1" si="190"/>
        <v>0.50208865755791832</v>
      </c>
      <c r="G197" s="2">
        <f t="shared" ca="1" si="191"/>
        <v>4.0157065360260306E-2</v>
      </c>
      <c r="H197" s="2">
        <f t="shared" ca="1" si="192"/>
        <v>4.0157065360260306E-2</v>
      </c>
      <c r="I197" s="2">
        <f t="shared" ca="1" si="193"/>
        <v>0.87805692098103938</v>
      </c>
      <c r="J197" s="2">
        <f t="shared" ca="1" si="194"/>
        <v>1.5826641128218036E-2</v>
      </c>
      <c r="K197" s="2">
        <f t="shared" ca="1" si="195"/>
        <v>1.5826641128218036E-2</v>
      </c>
      <c r="L197" s="2">
        <f t="shared" ca="1" si="196"/>
        <v>0.58016981229600062</v>
      </c>
      <c r="M197" s="2">
        <f t="shared" ca="1" si="197"/>
        <v>4.0465583719629826E-3</v>
      </c>
      <c r="N197" s="2">
        <f t="shared" ca="1" si="198"/>
        <v>4.0465583719629826E-3</v>
      </c>
      <c r="O197" s="2">
        <f t="shared" si="199"/>
        <v>6000000</v>
      </c>
      <c r="P197" s="2">
        <f t="shared" ca="1" si="200"/>
        <v>43265401.564022534</v>
      </c>
      <c r="Q197" s="2">
        <f t="shared" ca="1" si="201"/>
        <v>1081635.0391005634</v>
      </c>
      <c r="R197" s="2">
        <f t="shared" ca="1" si="202"/>
        <v>25959240.938413519</v>
      </c>
      <c r="S197" s="2">
        <f t="shared" ca="1" si="203"/>
        <v>17306160.625609014</v>
      </c>
      <c r="T197" s="2">
        <f t="shared" ca="1" si="204"/>
        <v>50202327.918598145</v>
      </c>
      <c r="U197" s="2">
        <f t="shared" ca="1" si="205"/>
        <v>52218306.082062513</v>
      </c>
      <c r="V197" s="2">
        <f t="shared" ca="1" si="206"/>
        <v>54315240.012401976</v>
      </c>
      <c r="W197" s="2">
        <f t="shared" ca="1" si="207"/>
        <v>56496380.655638225</v>
      </c>
      <c r="X197" s="2">
        <f t="shared" ca="1" si="208"/>
        <v>58765109.506244838</v>
      </c>
      <c r="Y197" s="2">
        <f t="shared" ca="1" si="209"/>
        <v>0.12791332056410901</v>
      </c>
      <c r="Z197" s="2">
        <f t="shared" ca="1" si="210"/>
        <v>0.13107864878975262</v>
      </c>
      <c r="AA197" s="2">
        <f t="shared" ca="1" si="211"/>
        <v>6421546.4641161636</v>
      </c>
      <c r="AB197" s="2">
        <f t="shared" ca="1" si="212"/>
        <v>6844705.0033264747</v>
      </c>
      <c r="AC197" s="2">
        <f t="shared" ca="1" si="213"/>
        <v>7119568.2695167568</v>
      </c>
      <c r="AD197" s="2">
        <f t="shared" ca="1" si="214"/>
        <v>7405469.2378525762</v>
      </c>
      <c r="AE197" s="2">
        <f t="shared" ca="1" si="215"/>
        <v>7702851.1500604199</v>
      </c>
      <c r="AF197" s="2">
        <f t="shared" ca="1" si="216"/>
        <v>1004046.558371963</v>
      </c>
      <c r="AG197" s="2">
        <f t="shared" ca="1" si="217"/>
        <v>1044366.1216412503</v>
      </c>
      <c r="AH197" s="2">
        <f t="shared" ca="1" si="218"/>
        <v>1086304.8002480394</v>
      </c>
      <c r="AI197" s="2">
        <f t="shared" ca="1" si="219"/>
        <v>1129927.6131127644</v>
      </c>
      <c r="AJ197" s="2">
        <f t="shared" ca="1" si="220"/>
        <v>1175302.1901248968</v>
      </c>
      <c r="AK197" s="2">
        <f t="shared" ca="1" si="221"/>
        <v>0</v>
      </c>
      <c r="AL197" s="2">
        <f t="shared" ca="1" si="222"/>
        <v>20159.781634643674</v>
      </c>
      <c r="AM197" s="2">
        <f t="shared" ca="1" si="223"/>
        <v>20969.33930339463</v>
      </c>
      <c r="AN197" s="2">
        <f t="shared" ca="1" si="224"/>
        <v>21811.406432362499</v>
      </c>
      <c r="AO197" s="2">
        <f t="shared" ca="1" si="225"/>
        <v>22687.288506066128</v>
      </c>
      <c r="AP197" s="2">
        <f t="shared" ca="1" si="226"/>
        <v>2336331.6844572169</v>
      </c>
      <c r="AQ197" s="2">
        <f t="shared" ca="1" si="227"/>
        <v>801103.73753461579</v>
      </c>
      <c r="AR197" s="2">
        <f t="shared" ca="1" si="228"/>
        <v>900641.87127928203</v>
      </c>
      <c r="AS197" s="2">
        <f t="shared" ca="1" si="229"/>
        <v>961202.26405098999</v>
      </c>
      <c r="AT197" s="2">
        <f t="shared" ca="1" si="230"/>
        <v>1024194.5844734746</v>
      </c>
      <c r="AU197" s="2">
        <f t="shared" ca="1" si="231"/>
        <v>1089716.4916243597</v>
      </c>
      <c r="AV197" s="2">
        <f t="shared" ca="1" si="232"/>
        <v>2280064.4837523676</v>
      </c>
      <c r="AW197" s="2">
        <f t="shared" ca="1" si="233"/>
        <v>2543205.5443140822</v>
      </c>
      <c r="AX197" s="2">
        <f t="shared" ca="1" si="234"/>
        <v>2714760.1814571149</v>
      </c>
      <c r="AY197" s="2">
        <f t="shared" ca="1" si="235"/>
        <v>2893203.9493767577</v>
      </c>
      <c r="AZ197" s="2">
        <f t="shared" ca="1" si="236"/>
        <v>3078813.4953478803</v>
      </c>
      <c r="BA197" s="2">
        <f t="shared" ca="1" si="237"/>
        <v>57050836.982318357</v>
      </c>
      <c r="BB197" s="2">
        <f t="shared" ca="1" si="238"/>
        <v>1141016.7396463673</v>
      </c>
      <c r="BC197" s="2">
        <f t="shared" ca="1" si="239"/>
        <v>29950579.304258469</v>
      </c>
      <c r="BD197" s="2">
        <f t="shared" ca="1" si="240"/>
        <v>-18887795.664709579</v>
      </c>
      <c r="BE197" s="2">
        <f t="shared" ca="1" si="241"/>
        <v>2280064.4837523676</v>
      </c>
      <c r="BF197" s="2">
        <f t="shared" ca="1" si="242"/>
        <v>2543205.5443140822</v>
      </c>
      <c r="BG197" s="2">
        <f t="shared" ca="1" si="243"/>
        <v>2714760.1814571149</v>
      </c>
      <c r="BH197" s="2">
        <f t="shared" ca="1" si="244"/>
        <v>2893203.9493767577</v>
      </c>
      <c r="BI197" s="2">
        <f t="shared" ca="1" si="245"/>
        <v>33029392.799606349</v>
      </c>
      <c r="BJ197" s="2">
        <f t="shared" ca="1" si="246"/>
        <v>0.21542588057429368</v>
      </c>
      <c r="BK197" s="2">
        <f t="shared" ca="1" si="247"/>
        <v>7688164.6766924821</v>
      </c>
    </row>
    <row r="198" spans="1:63" x14ac:dyDescent="0.3">
      <c r="A198" s="2">
        <v>197</v>
      </c>
      <c r="B198" s="2">
        <f t="shared" ca="1" si="186"/>
        <v>0.56047973436998544</v>
      </c>
      <c r="C198" s="2">
        <f t="shared" ca="1" si="187"/>
        <v>7.062428386063214</v>
      </c>
      <c r="D198" s="2">
        <f t="shared" ca="1" si="188"/>
        <v>0.99936179917308832</v>
      </c>
      <c r="E198" s="2">
        <f t="shared" ca="1" si="189"/>
        <v>8.464273236169177</v>
      </c>
      <c r="F198" s="2">
        <f t="shared" ca="1" si="190"/>
        <v>0.18933683908211052</v>
      </c>
      <c r="G198" s="2">
        <f t="shared" ca="1" si="191"/>
        <v>1.3589718489392229E-2</v>
      </c>
      <c r="H198" s="2">
        <f t="shared" ca="1" si="192"/>
        <v>1.3589718489392229E-2</v>
      </c>
      <c r="I198" s="2">
        <f t="shared" ca="1" si="193"/>
        <v>0.38026616561682547</v>
      </c>
      <c r="J198" s="2">
        <f t="shared" ca="1" si="194"/>
        <v>8.476090916560302E-3</v>
      </c>
      <c r="K198" s="2">
        <f t="shared" ca="1" si="195"/>
        <v>8.476090916560302E-3</v>
      </c>
      <c r="L198" s="2">
        <f t="shared" ca="1" si="196"/>
        <v>0.88938220895816977</v>
      </c>
      <c r="M198" s="2">
        <f t="shared" ca="1" si="197"/>
        <v>2.446498430668248E-2</v>
      </c>
      <c r="N198" s="2">
        <f t="shared" ca="1" si="198"/>
        <v>2.446498430668248E-2</v>
      </c>
      <c r="O198" s="2">
        <f t="shared" si="199"/>
        <v>6000000</v>
      </c>
      <c r="P198" s="2">
        <f t="shared" ca="1" si="200"/>
        <v>42374570.316379286</v>
      </c>
      <c r="Q198" s="2">
        <f t="shared" ca="1" si="201"/>
        <v>1059364.2579094821</v>
      </c>
      <c r="R198" s="2">
        <f t="shared" ca="1" si="202"/>
        <v>25424742.189827573</v>
      </c>
      <c r="S198" s="2">
        <f t="shared" ca="1" si="203"/>
        <v>16949828.126551714</v>
      </c>
      <c r="T198" s="2">
        <f t="shared" ca="1" si="204"/>
        <v>51223249.215334125</v>
      </c>
      <c r="U198" s="2">
        <f t="shared" ca="1" si="205"/>
        <v>51919358.7522825</v>
      </c>
      <c r="V198" s="2">
        <f t="shared" ca="1" si="206"/>
        <v>52624928.221875787</v>
      </c>
      <c r="W198" s="2">
        <f t="shared" ca="1" si="207"/>
        <v>53340086.181935556</v>
      </c>
      <c r="X198" s="2">
        <f t="shared" ca="1" si="208"/>
        <v>54064962.937347986</v>
      </c>
      <c r="Y198" s="2">
        <f t="shared" ca="1" si="209"/>
        <v>0.12423804545828014</v>
      </c>
      <c r="Z198" s="2">
        <f t="shared" ca="1" si="210"/>
        <v>0.12593326364159221</v>
      </c>
      <c r="AA198" s="2">
        <f t="shared" ca="1" si="211"/>
        <v>6363876.3645354938</v>
      </c>
      <c r="AB198" s="2">
        <f t="shared" ca="1" si="212"/>
        <v>6538374.2938536005</v>
      </c>
      <c r="AC198" s="2">
        <f t="shared" ca="1" si="213"/>
        <v>6627228.9598853504</v>
      </c>
      <c r="AD198" s="2">
        <f t="shared" ca="1" si="214"/>
        <v>6717291.1358149406</v>
      </c>
      <c r="AE198" s="2">
        <f t="shared" ca="1" si="215"/>
        <v>6808577.2313619554</v>
      </c>
      <c r="AF198" s="2">
        <f t="shared" ca="1" si="216"/>
        <v>1024464.9843066825</v>
      </c>
      <c r="AG198" s="2">
        <f t="shared" ca="1" si="217"/>
        <v>1038387.17504565</v>
      </c>
      <c r="AH198" s="2">
        <f t="shared" ca="1" si="218"/>
        <v>1052498.5644375158</v>
      </c>
      <c r="AI198" s="2">
        <f t="shared" ca="1" si="219"/>
        <v>1066801.723638711</v>
      </c>
      <c r="AJ198" s="2">
        <f t="shared" ca="1" si="220"/>
        <v>1081299.2587469597</v>
      </c>
      <c r="AK198" s="2">
        <f t="shared" ca="1" si="221"/>
        <v>0</v>
      </c>
      <c r="AL198" s="2">
        <f t="shared" ca="1" si="222"/>
        <v>6961.0953694837544</v>
      </c>
      <c r="AM198" s="2">
        <f t="shared" ca="1" si="223"/>
        <v>7055.6946959328652</v>
      </c>
      <c r="AN198" s="2">
        <f t="shared" ca="1" si="224"/>
        <v>7151.5796005976945</v>
      </c>
      <c r="AO198" s="2">
        <f t="shared" ca="1" si="225"/>
        <v>7248.7675541242961</v>
      </c>
      <c r="AP198" s="2">
        <f t="shared" ca="1" si="226"/>
        <v>2288226.7970844815</v>
      </c>
      <c r="AQ198" s="2">
        <f t="shared" ca="1" si="227"/>
        <v>793307.99161752569</v>
      </c>
      <c r="AR198" s="2">
        <f t="shared" ca="1" si="228"/>
        <v>835057.6836481021</v>
      </c>
      <c r="AS198" s="2">
        <f t="shared" ca="1" si="229"/>
        <v>854490.93557447183</v>
      </c>
      <c r="AT198" s="2">
        <f t="shared" ca="1" si="230"/>
        <v>874188.2799238544</v>
      </c>
      <c r="AU198" s="2">
        <f t="shared" ca="1" si="231"/>
        <v>894153.3056379339</v>
      </c>
      <c r="AV198" s="2">
        <f t="shared" ca="1" si="232"/>
        <v>2257876.5915268036</v>
      </c>
      <c r="AW198" s="2">
        <f t="shared" ca="1" si="233"/>
        <v>2369741.5427058842</v>
      </c>
      <c r="AX198" s="2">
        <f t="shared" ca="1" si="234"/>
        <v>2424956.9680929482</v>
      </c>
      <c r="AY198" s="2">
        <f t="shared" ca="1" si="235"/>
        <v>2480922.7555672955</v>
      </c>
      <c r="AZ198" s="2">
        <f t="shared" ca="1" si="236"/>
        <v>2537649.1023384565</v>
      </c>
      <c r="BA198" s="2">
        <f t="shared" ca="1" si="237"/>
        <v>57629658.035807833</v>
      </c>
      <c r="BB198" s="2">
        <f t="shared" ca="1" si="238"/>
        <v>1152593.1607161567</v>
      </c>
      <c r="BC198" s="2">
        <f t="shared" ca="1" si="239"/>
        <v>31052322.685264103</v>
      </c>
      <c r="BD198" s="2">
        <f t="shared" ca="1" si="240"/>
        <v>-18509192.384461194</v>
      </c>
      <c r="BE198" s="2">
        <f t="shared" ca="1" si="241"/>
        <v>2257876.5915268036</v>
      </c>
      <c r="BF198" s="2">
        <f t="shared" ca="1" si="242"/>
        <v>2369741.5427058842</v>
      </c>
      <c r="BG198" s="2">
        <f t="shared" ca="1" si="243"/>
        <v>2424956.9680929482</v>
      </c>
      <c r="BH198" s="2">
        <f t="shared" ca="1" si="244"/>
        <v>2480922.7555672955</v>
      </c>
      <c r="BI198" s="2">
        <f t="shared" ca="1" si="245"/>
        <v>33589971.787602559</v>
      </c>
      <c r="BJ198" s="2">
        <f t="shared" ca="1" si="246"/>
        <v>0.21707321126674328</v>
      </c>
      <c r="BK198" s="2">
        <f t="shared" ca="1" si="247"/>
        <v>7758472.1162876673</v>
      </c>
    </row>
    <row r="199" spans="1:63" x14ac:dyDescent="0.3">
      <c r="A199" s="2">
        <v>198</v>
      </c>
      <c r="B199" s="2">
        <f t="shared" ca="1" si="186"/>
        <v>0.31303220148955246</v>
      </c>
      <c r="C199" s="2">
        <f t="shared" ca="1" si="187"/>
        <v>6.7912423162212097</v>
      </c>
      <c r="D199" s="2">
        <f t="shared" ca="1" si="188"/>
        <v>0.39356360778974919</v>
      </c>
      <c r="E199" s="2">
        <f t="shared" ca="1" si="189"/>
        <v>7.3872019023759465</v>
      </c>
      <c r="F199" s="2">
        <f t="shared" ca="1" si="190"/>
        <v>0.7237121047605346</v>
      </c>
      <c r="G199" s="2">
        <f t="shared" ca="1" si="191"/>
        <v>5.78171439072033E-2</v>
      </c>
      <c r="H199" s="2">
        <f t="shared" ca="1" si="192"/>
        <v>5.78171439072033E-2</v>
      </c>
      <c r="I199" s="2">
        <f t="shared" ca="1" si="193"/>
        <v>0.8726332228102277</v>
      </c>
      <c r="J199" s="2">
        <f t="shared" ca="1" si="194"/>
        <v>1.5694635583712698E-2</v>
      </c>
      <c r="K199" s="2">
        <f t="shared" ca="1" si="195"/>
        <v>1.5694635583712698E-2</v>
      </c>
      <c r="L199" s="2">
        <f t="shared" ca="1" si="196"/>
        <v>0.71202786404157525</v>
      </c>
      <c r="M199" s="2">
        <f t="shared" ca="1" si="197"/>
        <v>1.1186372927176514E-2</v>
      </c>
      <c r="N199" s="2">
        <f t="shared" ca="1" si="198"/>
        <v>1.1186372927176514E-2</v>
      </c>
      <c r="O199" s="2">
        <f t="shared" si="199"/>
        <v>6000000</v>
      </c>
      <c r="P199" s="2">
        <f t="shared" ca="1" si="200"/>
        <v>40747453.897327259</v>
      </c>
      <c r="Q199" s="2">
        <f t="shared" ca="1" si="201"/>
        <v>1018686.3474331815</v>
      </c>
      <c r="R199" s="2">
        <f t="shared" ca="1" si="202"/>
        <v>24448472.338396356</v>
      </c>
      <c r="S199" s="2">
        <f t="shared" ca="1" si="203"/>
        <v>16298981.558930904</v>
      </c>
      <c r="T199" s="2">
        <f t="shared" ca="1" si="204"/>
        <v>50559318.646358833</v>
      </c>
      <c r="U199" s="2">
        <f t="shared" ca="1" si="205"/>
        <v>53482514.048385508</v>
      </c>
      <c r="V199" s="2">
        <f t="shared" ca="1" si="206"/>
        <v>56574720.259640031</v>
      </c>
      <c r="W199" s="2">
        <f t="shared" ca="1" si="207"/>
        <v>59845709.002401404</v>
      </c>
      <c r="X199" s="2">
        <f t="shared" ca="1" si="208"/>
        <v>63305816.972021855</v>
      </c>
      <c r="Y199" s="2">
        <f t="shared" ca="1" si="209"/>
        <v>0.12784731779185635</v>
      </c>
      <c r="Z199" s="2">
        <f t="shared" ca="1" si="210"/>
        <v>0.13098624490859889</v>
      </c>
      <c r="AA199" s="2">
        <f t="shared" ca="1" si="211"/>
        <v>6463873.2783207661</v>
      </c>
      <c r="AB199" s="2">
        <f t="shared" ca="1" si="212"/>
        <v>7005473.6834694054</v>
      </c>
      <c r="AC199" s="2">
        <f t="shared" ca="1" si="213"/>
        <v>7410510.1635646801</v>
      </c>
      <c r="AD199" s="2">
        <f t="shared" ca="1" si="214"/>
        <v>7838964.6961172922</v>
      </c>
      <c r="AE199" s="2">
        <f t="shared" ca="1" si="215"/>
        <v>8292191.2460361915</v>
      </c>
      <c r="AF199" s="2">
        <f t="shared" ca="1" si="216"/>
        <v>1011186.3729271766</v>
      </c>
      <c r="AG199" s="2">
        <f t="shared" ca="1" si="217"/>
        <v>1069650.2809677101</v>
      </c>
      <c r="AH199" s="2">
        <f t="shared" ca="1" si="218"/>
        <v>1131494.4051928006</v>
      </c>
      <c r="AI199" s="2">
        <f t="shared" ca="1" si="219"/>
        <v>1196914.180048028</v>
      </c>
      <c r="AJ199" s="2">
        <f t="shared" ca="1" si="220"/>
        <v>1266116.339440437</v>
      </c>
      <c r="AK199" s="2">
        <f t="shared" ca="1" si="221"/>
        <v>0</v>
      </c>
      <c r="AL199" s="2">
        <f t="shared" ca="1" si="222"/>
        <v>29231.954020266756</v>
      </c>
      <c r="AM199" s="2">
        <f t="shared" ca="1" si="223"/>
        <v>30922.062112545223</v>
      </c>
      <c r="AN199" s="2">
        <f t="shared" ca="1" si="224"/>
        <v>32709.887427613736</v>
      </c>
      <c r="AO199" s="2">
        <f t="shared" ca="1" si="225"/>
        <v>34601.079696204513</v>
      </c>
      <c r="AP199" s="2">
        <f t="shared" ca="1" si="226"/>
        <v>2200362.5104556717</v>
      </c>
      <c r="AQ199" s="2">
        <f t="shared" ca="1" si="227"/>
        <v>845604.34268385859</v>
      </c>
      <c r="AR199" s="2">
        <f t="shared" ca="1" si="228"/>
        <v>971219.83193196601</v>
      </c>
      <c r="AS199" s="2">
        <f t="shared" ca="1" si="229"/>
        <v>1060449.844458214</v>
      </c>
      <c r="AT199" s="2">
        <f t="shared" ca="1" si="230"/>
        <v>1154838.8814595342</v>
      </c>
      <c r="AU199" s="2">
        <f t="shared" ca="1" si="231"/>
        <v>1254685.2229964216</v>
      </c>
      <c r="AV199" s="2">
        <f t="shared" ca="1" si="232"/>
        <v>2406720.0522540594</v>
      </c>
      <c r="AW199" s="2">
        <f t="shared" ca="1" si="233"/>
        <v>2735009.1060937904</v>
      </c>
      <c r="AX199" s="2">
        <f t="shared" ca="1" si="234"/>
        <v>2987281.341345448</v>
      </c>
      <c r="AY199" s="2">
        <f t="shared" ca="1" si="235"/>
        <v>3254139.2367264442</v>
      </c>
      <c r="AZ199" s="2">
        <f t="shared" ca="1" si="236"/>
        <v>3536426.0934474561</v>
      </c>
      <c r="BA199" s="2">
        <f t="shared" ca="1" si="237"/>
        <v>61256090.947583728</v>
      </c>
      <c r="BB199" s="2">
        <f t="shared" ca="1" si="238"/>
        <v>1225121.8189516745</v>
      </c>
      <c r="BC199" s="2">
        <f t="shared" ca="1" si="239"/>
        <v>35582496.790235698</v>
      </c>
      <c r="BD199" s="2">
        <f t="shared" ca="1" si="240"/>
        <v>-17817667.906364083</v>
      </c>
      <c r="BE199" s="2">
        <f t="shared" ca="1" si="241"/>
        <v>2406720.0522540594</v>
      </c>
      <c r="BF199" s="2">
        <f t="shared" ca="1" si="242"/>
        <v>2735009.1060937904</v>
      </c>
      <c r="BG199" s="2">
        <f t="shared" ca="1" si="243"/>
        <v>2987281.341345448</v>
      </c>
      <c r="BH199" s="2">
        <f t="shared" ca="1" si="244"/>
        <v>3254139.2367264442</v>
      </c>
      <c r="BI199" s="2">
        <f t="shared" ca="1" si="245"/>
        <v>39118922.883683152</v>
      </c>
      <c r="BJ199" s="2">
        <f t="shared" ca="1" si="246"/>
        <v>0.27561856670321139</v>
      </c>
      <c r="BK199" s="2">
        <f t="shared" ca="1" si="247"/>
        <v>12903001.376576807</v>
      </c>
    </row>
    <row r="200" spans="1:63" x14ac:dyDescent="0.3">
      <c r="A200" s="2">
        <v>199</v>
      </c>
      <c r="B200" s="2">
        <f t="shared" ca="1" si="186"/>
        <v>0.20883193626077257</v>
      </c>
      <c r="C200" s="2">
        <f t="shared" ca="1" si="187"/>
        <v>6.6462691950894346</v>
      </c>
      <c r="D200" s="2">
        <f t="shared" ca="1" si="188"/>
        <v>0.57956141708212805</v>
      </c>
      <c r="E200" s="2">
        <f t="shared" ca="1" si="189"/>
        <v>7.5830064526749688</v>
      </c>
      <c r="F200" s="2">
        <f t="shared" ca="1" si="190"/>
        <v>0.34953057230803897</v>
      </c>
      <c r="G200" s="2">
        <f t="shared" ca="1" si="191"/>
        <v>2.8402356007479042E-2</v>
      </c>
      <c r="H200" s="2">
        <f t="shared" ca="1" si="192"/>
        <v>2.8402356007479042E-2</v>
      </c>
      <c r="I200" s="2">
        <f t="shared" ca="1" si="193"/>
        <v>0.64676458340312781</v>
      </c>
      <c r="J200" s="2">
        <f t="shared" ca="1" si="194"/>
        <v>1.1883000367147276E-2</v>
      </c>
      <c r="K200" s="2">
        <f t="shared" ca="1" si="195"/>
        <v>1.1883000367147276E-2</v>
      </c>
      <c r="L200" s="2">
        <f t="shared" ca="1" si="196"/>
        <v>0.97962443672511934</v>
      </c>
      <c r="M200" s="2">
        <f t="shared" ca="1" si="197"/>
        <v>4.0921066080872974E-2</v>
      </c>
      <c r="N200" s="2">
        <f t="shared" ca="1" si="198"/>
        <v>4.0921066080872974E-2</v>
      </c>
      <c r="O200" s="2">
        <f t="shared" si="199"/>
        <v>6000000</v>
      </c>
      <c r="P200" s="2">
        <f t="shared" ca="1" si="200"/>
        <v>39877615.170536608</v>
      </c>
      <c r="Q200" s="2">
        <f t="shared" ca="1" si="201"/>
        <v>996940.37926341523</v>
      </c>
      <c r="R200" s="2">
        <f t="shared" ca="1" si="202"/>
        <v>23926569.102321964</v>
      </c>
      <c r="S200" s="2">
        <f t="shared" ca="1" si="203"/>
        <v>15951046.068214644</v>
      </c>
      <c r="T200" s="2">
        <f t="shared" ca="1" si="204"/>
        <v>52046053.304043651</v>
      </c>
      <c r="U200" s="2">
        <f t="shared" ca="1" si="205"/>
        <v>53524283.838769332</v>
      </c>
      <c r="V200" s="2">
        <f t="shared" ca="1" si="206"/>
        <v>55044499.603403419</v>
      </c>
      <c r="W200" s="2">
        <f t="shared" ca="1" si="207"/>
        <v>56607893.077392824</v>
      </c>
      <c r="X200" s="2">
        <f t="shared" ca="1" si="208"/>
        <v>58215690.609410249</v>
      </c>
      <c r="Y200" s="2">
        <f t="shared" ca="1" si="209"/>
        <v>0.12594150018357364</v>
      </c>
      <c r="Z200" s="2">
        <f t="shared" ca="1" si="210"/>
        <v>0.12831810025700308</v>
      </c>
      <c r="AA200" s="2">
        <f t="shared" ca="1" si="211"/>
        <v>6554758.0317454971</v>
      </c>
      <c r="AB200" s="2">
        <f t="shared" ca="1" si="212"/>
        <v>6868134.4198074928</v>
      </c>
      <c r="AC200" s="2">
        <f t="shared" ca="1" si="213"/>
        <v>7063205.6187060857</v>
      </c>
      <c r="AD200" s="2">
        <f t="shared" ca="1" si="214"/>
        <v>7263817.2992426027</v>
      </c>
      <c r="AE200" s="2">
        <f t="shared" ca="1" si="215"/>
        <v>7470126.8241489772</v>
      </c>
      <c r="AF200" s="2">
        <f t="shared" ca="1" si="216"/>
        <v>1040921.066080873</v>
      </c>
      <c r="AG200" s="2">
        <f t="shared" ca="1" si="217"/>
        <v>1070485.6767753866</v>
      </c>
      <c r="AH200" s="2">
        <f t="shared" ca="1" si="218"/>
        <v>1100889.9920680684</v>
      </c>
      <c r="AI200" s="2">
        <f t="shared" ca="1" si="219"/>
        <v>1132157.8615478566</v>
      </c>
      <c r="AJ200" s="2">
        <f t="shared" ca="1" si="220"/>
        <v>1164313.8121882051</v>
      </c>
      <c r="AK200" s="2">
        <f t="shared" ca="1" si="221"/>
        <v>0</v>
      </c>
      <c r="AL200" s="2">
        <f t="shared" ca="1" si="222"/>
        <v>14782.30534725681</v>
      </c>
      <c r="AM200" s="2">
        <f t="shared" ca="1" si="223"/>
        <v>15202.157646340876</v>
      </c>
      <c r="AN200" s="2">
        <f t="shared" ca="1" si="224"/>
        <v>15633.934739894048</v>
      </c>
      <c r="AO200" s="2">
        <f t="shared" ca="1" si="225"/>
        <v>16077.975320174248</v>
      </c>
      <c r="AP200" s="2">
        <f t="shared" ca="1" si="226"/>
        <v>2153391.2192089767</v>
      </c>
      <c r="AQ200" s="2">
        <f t="shared" ca="1" si="227"/>
        <v>873715.89407846844</v>
      </c>
      <c r="AR200" s="2">
        <f t="shared" ca="1" si="228"/>
        <v>947506.95619401371</v>
      </c>
      <c r="AS200" s="2">
        <f t="shared" ca="1" si="229"/>
        <v>990320.3459315506</v>
      </c>
      <c r="AT200" s="2">
        <f t="shared" ca="1" si="230"/>
        <v>1034349.7368063001</v>
      </c>
      <c r="AU200" s="2">
        <f t="shared" ca="1" si="231"/>
        <v>1079629.6661154667</v>
      </c>
      <c r="AV200" s="2">
        <f t="shared" ca="1" si="232"/>
        <v>2486729.8523771795</v>
      </c>
      <c r="AW200" s="2">
        <f t="shared" ca="1" si="233"/>
        <v>2681968.2622818598</v>
      </c>
      <c r="AX200" s="2">
        <f t="shared" ca="1" si="234"/>
        <v>2803401.9038511491</v>
      </c>
      <c r="AY200" s="2">
        <f t="shared" ca="1" si="235"/>
        <v>2928284.5469395746</v>
      </c>
      <c r="AZ200" s="2">
        <f t="shared" ca="1" si="236"/>
        <v>3056714.1513161543</v>
      </c>
      <c r="BA200" s="2">
        <f t="shared" ca="1" si="237"/>
        <v>56646019.909822069</v>
      </c>
      <c r="BB200" s="2">
        <f t="shared" ca="1" si="238"/>
        <v>1132920.3981964414</v>
      </c>
      <c r="BC200" s="2">
        <f t="shared" ca="1" si="239"/>
        <v>31586530.409303665</v>
      </c>
      <c r="BD200" s="2">
        <f t="shared" ca="1" si="240"/>
        <v>-17447986.44747806</v>
      </c>
      <c r="BE200" s="2">
        <f t="shared" ca="1" si="241"/>
        <v>2486729.8523771795</v>
      </c>
      <c r="BF200" s="2">
        <f t="shared" ca="1" si="242"/>
        <v>2681968.2622818598</v>
      </c>
      <c r="BG200" s="2">
        <f t="shared" ca="1" si="243"/>
        <v>2803401.9038511491</v>
      </c>
      <c r="BH200" s="2">
        <f t="shared" ca="1" si="244"/>
        <v>2928284.5469395746</v>
      </c>
      <c r="BI200" s="2">
        <f t="shared" ca="1" si="245"/>
        <v>34643244.560619816</v>
      </c>
      <c r="BJ200" s="2">
        <f t="shared" ca="1" si="246"/>
        <v>0.25432905920240811</v>
      </c>
      <c r="BK200" s="2">
        <f t="shared" ca="1" si="247"/>
        <v>10424247.945110563</v>
      </c>
    </row>
    <row r="201" spans="1:63" x14ac:dyDescent="0.3">
      <c r="A201" s="2">
        <v>200</v>
      </c>
      <c r="B201" s="2">
        <f t="shared" ca="1" si="186"/>
        <v>0.60892147957140008</v>
      </c>
      <c r="C201" s="2">
        <f t="shared" ca="1" si="187"/>
        <v>7.1156035725664655</v>
      </c>
      <c r="D201" s="2">
        <f t="shared" ca="1" si="188"/>
        <v>0.25898997027051851</v>
      </c>
      <c r="E201" s="2">
        <f t="shared" ca="1" si="189"/>
        <v>7.2197082329257025</v>
      </c>
      <c r="F201" s="2">
        <f t="shared" ca="1" si="190"/>
        <v>0.46008051370622538</v>
      </c>
      <c r="G201" s="2">
        <f t="shared" ca="1" si="191"/>
        <v>3.6993073473681269E-2</v>
      </c>
      <c r="H201" s="2">
        <f t="shared" ca="1" si="192"/>
        <v>3.6993073473681269E-2</v>
      </c>
      <c r="I201" s="2">
        <f t="shared" ca="1" si="193"/>
        <v>0.11434443307743936</v>
      </c>
      <c r="J201" s="2">
        <f t="shared" ca="1" si="194"/>
        <v>3.9812842156708517E-3</v>
      </c>
      <c r="K201" s="2">
        <f t="shared" ca="1" si="195"/>
        <v>3.9812842156708517E-3</v>
      </c>
      <c r="L201" s="2">
        <f t="shared" ca="1" si="196"/>
        <v>0.85293086024613485</v>
      </c>
      <c r="M201" s="2">
        <f t="shared" ca="1" si="197"/>
        <v>2.0981731275311163E-2</v>
      </c>
      <c r="N201" s="2">
        <f t="shared" ca="1" si="198"/>
        <v>2.0981731275311163E-2</v>
      </c>
      <c r="O201" s="2">
        <f t="shared" si="199"/>
        <v>6000000</v>
      </c>
      <c r="P201" s="2">
        <f t="shared" ca="1" si="200"/>
        <v>42693621.435398795</v>
      </c>
      <c r="Q201" s="2">
        <f t="shared" ca="1" si="201"/>
        <v>1067340.5358849699</v>
      </c>
      <c r="R201" s="2">
        <f t="shared" ca="1" si="202"/>
        <v>25616172.861239277</v>
      </c>
      <c r="S201" s="2">
        <f t="shared" ca="1" si="203"/>
        <v>17077448.574159518</v>
      </c>
      <c r="T201" s="2">
        <f t="shared" ca="1" si="204"/>
        <v>51049086.563765556</v>
      </c>
      <c r="U201" s="2">
        <f t="shared" ca="1" si="205"/>
        <v>52937549.173783243</v>
      </c>
      <c r="V201" s="2">
        <f t="shared" ca="1" si="206"/>
        <v>54895871.819885619</v>
      </c>
      <c r="W201" s="2">
        <f t="shared" ca="1" si="207"/>
        <v>56926638.839520432</v>
      </c>
      <c r="X201" s="2">
        <f t="shared" ca="1" si="208"/>
        <v>59032530.172720522</v>
      </c>
      <c r="Y201" s="2">
        <f t="shared" ca="1" si="209"/>
        <v>0.12199064210783542</v>
      </c>
      <c r="Z201" s="2">
        <f t="shared" ca="1" si="210"/>
        <v>0.12278689895096959</v>
      </c>
      <c r="AA201" s="2">
        <f t="shared" ca="1" si="211"/>
        <v>6227510.8489322336</v>
      </c>
      <c r="AB201" s="2">
        <f t="shared" ca="1" si="212"/>
        <v>6500037.5011133067</v>
      </c>
      <c r="AC201" s="2">
        <f t="shared" ca="1" si="213"/>
        <v>6740493.8659736747</v>
      </c>
      <c r="AD201" s="2">
        <f t="shared" ca="1" si="214"/>
        <v>6989845.4508065358</v>
      </c>
      <c r="AE201" s="2">
        <f t="shared" ca="1" si="215"/>
        <v>7248421.3171378979</v>
      </c>
      <c r="AF201" s="2">
        <f t="shared" ca="1" si="216"/>
        <v>1020981.7312753111</v>
      </c>
      <c r="AG201" s="2">
        <f t="shared" ca="1" si="217"/>
        <v>1058750.9834756649</v>
      </c>
      <c r="AH201" s="2">
        <f t="shared" ca="1" si="218"/>
        <v>1097917.4363977124</v>
      </c>
      <c r="AI201" s="2">
        <f t="shared" ca="1" si="219"/>
        <v>1138532.7767904087</v>
      </c>
      <c r="AJ201" s="2">
        <f t="shared" ca="1" si="220"/>
        <v>1180650.6034544106</v>
      </c>
      <c r="AK201" s="2">
        <f t="shared" ca="1" si="221"/>
        <v>0</v>
      </c>
      <c r="AL201" s="2">
        <f t="shared" ca="1" si="222"/>
        <v>18884.626100176873</v>
      </c>
      <c r="AM201" s="2">
        <f t="shared" ca="1" si="223"/>
        <v>19583.226461023762</v>
      </c>
      <c r="AN201" s="2">
        <f t="shared" ca="1" si="224"/>
        <v>20307.670196348132</v>
      </c>
      <c r="AO201" s="2">
        <f t="shared" ca="1" si="225"/>
        <v>21058.913332000895</v>
      </c>
      <c r="AP201" s="2">
        <f t="shared" ca="1" si="226"/>
        <v>2305455.557511535</v>
      </c>
      <c r="AQ201" s="2">
        <f t="shared" ca="1" si="227"/>
        <v>754279.1256378009</v>
      </c>
      <c r="AR201" s="2">
        <f t="shared" ca="1" si="228"/>
        <v>815316.04963278782</v>
      </c>
      <c r="AS201" s="2">
        <f t="shared" ca="1" si="229"/>
        <v>867651.42673675111</v>
      </c>
      <c r="AT201" s="2">
        <f t="shared" ca="1" si="230"/>
        <v>921922.85029119404</v>
      </c>
      <c r="AU201" s="2">
        <f t="shared" ca="1" si="231"/>
        <v>978201.94060470781</v>
      </c>
      <c r="AV201" s="2">
        <f t="shared" ca="1" si="232"/>
        <v>2146794.4345075875</v>
      </c>
      <c r="AW201" s="2">
        <f t="shared" ca="1" si="233"/>
        <v>2301630.2843931424</v>
      </c>
      <c r="AX201" s="2">
        <f t="shared" ca="1" si="234"/>
        <v>2449886.2188666514</v>
      </c>
      <c r="AY201" s="2">
        <f t="shared" ca="1" si="235"/>
        <v>2603626.5960170501</v>
      </c>
      <c r="AZ201" s="2">
        <f t="shared" ca="1" si="236"/>
        <v>2763054.3022352434</v>
      </c>
      <c r="BA201" s="2">
        <f t="shared" ca="1" si="237"/>
        <v>52331487.059054643</v>
      </c>
      <c r="BB201" s="2">
        <f t="shared" ca="1" si="238"/>
        <v>1046629.7411810929</v>
      </c>
      <c r="BC201" s="2">
        <f t="shared" ca="1" si="239"/>
        <v>25668684.456634272</v>
      </c>
      <c r="BD201" s="2">
        <f t="shared" ca="1" si="240"/>
        <v>-18644789.110044487</v>
      </c>
      <c r="BE201" s="2">
        <f t="shared" ca="1" si="241"/>
        <v>2146794.4345075875</v>
      </c>
      <c r="BF201" s="2">
        <f t="shared" ca="1" si="242"/>
        <v>2301630.2843931424</v>
      </c>
      <c r="BG201" s="2">
        <f t="shared" ca="1" si="243"/>
        <v>2449886.2188666514</v>
      </c>
      <c r="BH201" s="2">
        <f t="shared" ca="1" si="244"/>
        <v>2603626.5960170501</v>
      </c>
      <c r="BI201" s="2">
        <f t="shared" ca="1" si="245"/>
        <v>28431738.758869514</v>
      </c>
      <c r="BJ201" s="2">
        <f t="shared" ca="1" si="246"/>
        <v>0.18137094201259885</v>
      </c>
      <c r="BK201" s="2">
        <f t="shared" ca="1" si="247"/>
        <v>4638201.7238777876</v>
      </c>
    </row>
    <row r="202" spans="1:63" x14ac:dyDescent="0.3">
      <c r="A202" s="2">
        <v>201</v>
      </c>
      <c r="B202" s="2">
        <f t="shared" ca="1" si="186"/>
        <v>4.0820424821968571E-2</v>
      </c>
      <c r="C202" s="2">
        <f t="shared" ca="1" si="187"/>
        <v>6.2857286293739865</v>
      </c>
      <c r="D202" s="2">
        <f t="shared" ca="1" si="188"/>
        <v>0.27371133319356855</v>
      </c>
      <c r="E202" s="2">
        <f t="shared" ca="1" si="189"/>
        <v>7.2398801702891742</v>
      </c>
      <c r="F202" s="2">
        <f t="shared" ca="1" si="190"/>
        <v>0.80080041285768266</v>
      </c>
      <c r="G202" s="2">
        <f t="shared" ca="1" si="191"/>
        <v>6.5334510665566531E-2</v>
      </c>
      <c r="H202" s="2">
        <f t="shared" ca="1" si="192"/>
        <v>6.5334510665566531E-2</v>
      </c>
      <c r="I202" s="2">
        <f t="shared" ca="1" si="193"/>
        <v>0.48974066496217816</v>
      </c>
      <c r="J202" s="2">
        <f t="shared" ca="1" si="194"/>
        <v>9.8714041278038771E-3</v>
      </c>
      <c r="K202" s="2">
        <f t="shared" ca="1" si="195"/>
        <v>9.8714041278038771E-3</v>
      </c>
      <c r="L202" s="2">
        <f t="shared" ca="1" si="196"/>
        <v>0.69018860596248244</v>
      </c>
      <c r="M202" s="2">
        <f t="shared" ca="1" si="197"/>
        <v>9.9277005091857259E-3</v>
      </c>
      <c r="N202" s="2">
        <f t="shared" ca="1" si="198"/>
        <v>9.9277005091857259E-3</v>
      </c>
      <c r="O202" s="2">
        <f t="shared" si="199"/>
        <v>6000000</v>
      </c>
      <c r="P202" s="2">
        <f t="shared" ca="1" si="200"/>
        <v>37714371.776243918</v>
      </c>
      <c r="Q202" s="2">
        <f t="shared" ca="1" si="201"/>
        <v>942859.29440609796</v>
      </c>
      <c r="R202" s="2">
        <f t="shared" ca="1" si="202"/>
        <v>22628623.065746348</v>
      </c>
      <c r="S202" s="2">
        <f t="shared" ca="1" si="203"/>
        <v>15085748.710497567</v>
      </c>
      <c r="T202" s="2">
        <f t="shared" ca="1" si="204"/>
        <v>50496385.02545929</v>
      </c>
      <c r="U202" s="2">
        <f t="shared" ca="1" si="205"/>
        <v>53795541.631477714</v>
      </c>
      <c r="V202" s="2">
        <f t="shared" ca="1" si="206"/>
        <v>57310247.01995942</v>
      </c>
      <c r="W202" s="2">
        <f t="shared" ca="1" si="207"/>
        <v>61054583.965131208</v>
      </c>
      <c r="X202" s="2">
        <f t="shared" ca="1" si="208"/>
        <v>65043555.332382798</v>
      </c>
      <c r="Y202" s="2">
        <f t="shared" ca="1" si="209"/>
        <v>0.12493570206390193</v>
      </c>
      <c r="Z202" s="2">
        <f t="shared" ca="1" si="210"/>
        <v>0.1269099828894627</v>
      </c>
      <c r="AA202" s="2">
        <f t="shared" ca="1" si="211"/>
        <v>6308801.3148448607</v>
      </c>
      <c r="AB202" s="2">
        <f t="shared" ca="1" si="212"/>
        <v>6827191.2679802151</v>
      </c>
      <c r="AC202" s="2">
        <f t="shared" ca="1" si="213"/>
        <v>7273242.4686939307</v>
      </c>
      <c r="AD202" s="2">
        <f t="shared" ca="1" si="214"/>
        <v>7748436.2063380657</v>
      </c>
      <c r="AE202" s="2">
        <f t="shared" ca="1" si="215"/>
        <v>8254676.4943025215</v>
      </c>
      <c r="AF202" s="2">
        <f t="shared" ca="1" si="216"/>
        <v>1009927.7005091858</v>
      </c>
      <c r="AG202" s="2">
        <f t="shared" ca="1" si="217"/>
        <v>1075910.8326295542</v>
      </c>
      <c r="AH202" s="2">
        <f t="shared" ca="1" si="218"/>
        <v>1146204.9403991883</v>
      </c>
      <c r="AI202" s="2">
        <f t="shared" ca="1" si="219"/>
        <v>1221091.6793026242</v>
      </c>
      <c r="AJ202" s="2">
        <f t="shared" ca="1" si="220"/>
        <v>1300871.1066476561</v>
      </c>
      <c r="AK202" s="2">
        <f t="shared" ca="1" si="221"/>
        <v>0</v>
      </c>
      <c r="AL202" s="2">
        <f t="shared" ca="1" si="222"/>
        <v>32991.566060184239</v>
      </c>
      <c r="AM202" s="2">
        <f t="shared" ca="1" si="223"/>
        <v>35147.053884817062</v>
      </c>
      <c r="AN202" s="2">
        <f t="shared" ca="1" si="224"/>
        <v>37443.369451717881</v>
      </c>
      <c r="AO202" s="2">
        <f t="shared" ca="1" si="225"/>
        <v>39889.7136725159</v>
      </c>
      <c r="AP202" s="2">
        <f t="shared" ca="1" si="226"/>
        <v>2036576.0759171713</v>
      </c>
      <c r="AQ202" s="2">
        <f t="shared" ca="1" si="227"/>
        <v>848197.35998881096</v>
      </c>
      <c r="AR202" s="2">
        <f t="shared" ca="1" si="228"/>
        <v>965823.13345270744</v>
      </c>
      <c r="AS202" s="2">
        <f t="shared" ca="1" si="229"/>
        <v>1063519.9776181683</v>
      </c>
      <c r="AT202" s="2">
        <f t="shared" ca="1" si="230"/>
        <v>1167599.7972907503</v>
      </c>
      <c r="AU202" s="2">
        <f t="shared" ca="1" si="231"/>
        <v>1278479.6210518004</v>
      </c>
      <c r="AV202" s="2">
        <f t="shared" ca="1" si="232"/>
        <v>2414100.178429693</v>
      </c>
      <c r="AW202" s="2">
        <f t="shared" ca="1" si="233"/>
        <v>2715889.6599205974</v>
      </c>
      <c r="AX202" s="2">
        <f t="shared" ca="1" si="234"/>
        <v>2991794.4208745854</v>
      </c>
      <c r="AY202" s="2">
        <f t="shared" ca="1" si="235"/>
        <v>3285725.2843758017</v>
      </c>
      <c r="AZ202" s="2">
        <f t="shared" ca="1" si="236"/>
        <v>3598859.9770133775</v>
      </c>
      <c r="BA202" s="2">
        <f t="shared" ca="1" si="237"/>
        <v>59762868.66325298</v>
      </c>
      <c r="BB202" s="2">
        <f t="shared" ca="1" si="238"/>
        <v>1195257.3732650597</v>
      </c>
      <c r="BC202" s="2">
        <f t="shared" ca="1" si="239"/>
        <v>35938988.22424157</v>
      </c>
      <c r="BD202" s="2">
        <f t="shared" ca="1" si="240"/>
        <v>-16528608.004903665</v>
      </c>
      <c r="BE202" s="2">
        <f t="shared" ca="1" si="241"/>
        <v>2414100.178429693</v>
      </c>
      <c r="BF202" s="2">
        <f t="shared" ca="1" si="242"/>
        <v>2715889.6599205974</v>
      </c>
      <c r="BG202" s="2">
        <f t="shared" ca="1" si="243"/>
        <v>2991794.4208745854</v>
      </c>
      <c r="BH202" s="2">
        <f t="shared" ca="1" si="244"/>
        <v>3285725.2843758017</v>
      </c>
      <c r="BI202" s="2">
        <f t="shared" ca="1" si="245"/>
        <v>39537848.201254949</v>
      </c>
      <c r="BJ202" s="2">
        <f t="shared" ca="1" si="246"/>
        <v>0.30187609134370375</v>
      </c>
      <c r="BK202" s="2">
        <f t="shared" ca="1" si="247"/>
        <v>14444404.07187975</v>
      </c>
    </row>
    <row r="203" spans="1:63" x14ac:dyDescent="0.3">
      <c r="A203" s="2">
        <v>202</v>
      </c>
      <c r="B203" s="2">
        <f t="shared" ca="1" si="186"/>
        <v>0.25942372876558195</v>
      </c>
      <c r="C203" s="2">
        <f t="shared" ca="1" si="187"/>
        <v>6.7203106673728801</v>
      </c>
      <c r="D203" s="2">
        <f t="shared" ca="1" si="188"/>
        <v>0.23165762750347541</v>
      </c>
      <c r="E203" s="2">
        <f t="shared" ca="1" si="189"/>
        <v>7.18067264893409</v>
      </c>
      <c r="F203" s="2">
        <f t="shared" ca="1" si="190"/>
        <v>0.74853662374934959</v>
      </c>
      <c r="G203" s="2">
        <f t="shared" ca="1" si="191"/>
        <v>6.0096754701442781E-2</v>
      </c>
      <c r="H203" s="2">
        <f t="shared" ca="1" si="192"/>
        <v>6.0096754701442781E-2</v>
      </c>
      <c r="I203" s="2">
        <f t="shared" ca="1" si="193"/>
        <v>0.4496629199505443</v>
      </c>
      <c r="J203" s="2">
        <f t="shared" ca="1" si="194"/>
        <v>9.3674348779873781E-3</v>
      </c>
      <c r="K203" s="2">
        <f t="shared" ca="1" si="195"/>
        <v>9.3674348779873781E-3</v>
      </c>
      <c r="L203" s="2">
        <f t="shared" ca="1" si="196"/>
        <v>0.180562659895389</v>
      </c>
      <c r="M203" s="2">
        <f t="shared" ca="1" si="197"/>
        <v>-1.8264458097238416E-2</v>
      </c>
      <c r="N203" s="2">
        <f t="shared" ca="1" si="198"/>
        <v>-1.8264458097238416E-2</v>
      </c>
      <c r="O203" s="2">
        <f t="shared" si="199"/>
        <v>6000000</v>
      </c>
      <c r="P203" s="2">
        <f t="shared" ca="1" si="200"/>
        <v>40321864.004237279</v>
      </c>
      <c r="Q203" s="2">
        <f t="shared" ca="1" si="201"/>
        <v>1008046.600105932</v>
      </c>
      <c r="R203" s="2">
        <f t="shared" ca="1" si="202"/>
        <v>24193118.402542368</v>
      </c>
      <c r="S203" s="2">
        <f t="shared" ca="1" si="203"/>
        <v>16128745.601694912</v>
      </c>
      <c r="T203" s="2">
        <f t="shared" ca="1" si="204"/>
        <v>49086777.09513808</v>
      </c>
      <c r="U203" s="2">
        <f t="shared" ca="1" si="205"/>
        <v>52036733.097308993</v>
      </c>
      <c r="V203" s="2">
        <f t="shared" ca="1" si="206"/>
        <v>55163971.88172242</v>
      </c>
      <c r="W203" s="2">
        <f t="shared" ca="1" si="207"/>
        <v>58479147.568255581</v>
      </c>
      <c r="X203" s="2">
        <f t="shared" ca="1" si="208"/>
        <v>61993554.55481451</v>
      </c>
      <c r="Y203" s="2">
        <f t="shared" ca="1" si="209"/>
        <v>0.12468371743899369</v>
      </c>
      <c r="Z203" s="2">
        <f t="shared" ca="1" si="210"/>
        <v>0.12655720441459117</v>
      </c>
      <c r="AA203" s="2">
        <f t="shared" ca="1" si="211"/>
        <v>6120321.8453210639</v>
      </c>
      <c r="AB203" s="2">
        <f t="shared" ca="1" si="212"/>
        <v>6585623.467663656</v>
      </c>
      <c r="AC203" s="2">
        <f t="shared" ca="1" si="213"/>
        <v>6981398.0657559037</v>
      </c>
      <c r="AD203" s="2">
        <f t="shared" ca="1" si="214"/>
        <v>7400957.4327867636</v>
      </c>
      <c r="AE203" s="2">
        <f t="shared" ca="1" si="215"/>
        <v>7845730.95618077</v>
      </c>
      <c r="AF203" s="2">
        <f t="shared" ca="1" si="216"/>
        <v>981735.54190276167</v>
      </c>
      <c r="AG203" s="2">
        <f t="shared" ca="1" si="217"/>
        <v>1040734.6619461799</v>
      </c>
      <c r="AH203" s="2">
        <f t="shared" ca="1" si="218"/>
        <v>1103279.4376344485</v>
      </c>
      <c r="AI203" s="2">
        <f t="shared" ca="1" si="219"/>
        <v>1169582.9513651116</v>
      </c>
      <c r="AJ203" s="2">
        <f t="shared" ca="1" si="220"/>
        <v>1239871.0910962902</v>
      </c>
      <c r="AK203" s="2">
        <f t="shared" ca="1" si="221"/>
        <v>0</v>
      </c>
      <c r="AL203" s="2">
        <f t="shared" ca="1" si="222"/>
        <v>29499.560021709131</v>
      </c>
      <c r="AM203" s="2">
        <f t="shared" ca="1" si="223"/>
        <v>31272.387844134271</v>
      </c>
      <c r="AN203" s="2">
        <f t="shared" ca="1" si="224"/>
        <v>33151.756865331605</v>
      </c>
      <c r="AO203" s="2">
        <f t="shared" ca="1" si="225"/>
        <v>35144.069865589292</v>
      </c>
      <c r="AP203" s="2">
        <f t="shared" ca="1" si="226"/>
        <v>2177380.6562288129</v>
      </c>
      <c r="AQ203" s="2">
        <f t="shared" ca="1" si="227"/>
        <v>769913.46826926724</v>
      </c>
      <c r="AR203" s="2">
        <f t="shared" ca="1" si="228"/>
        <v>875552.11886705237</v>
      </c>
      <c r="AS203" s="2">
        <f t="shared" ca="1" si="229"/>
        <v>962191.87269208708</v>
      </c>
      <c r="AT203" s="2">
        <f t="shared" ca="1" si="230"/>
        <v>1054038.3945501384</v>
      </c>
      <c r="AU203" s="2">
        <f t="shared" ca="1" si="231"/>
        <v>1151404.5943024734</v>
      </c>
      <c r="AV203" s="2">
        <f t="shared" ca="1" si="232"/>
        <v>2191292.178920222</v>
      </c>
      <c r="AW203" s="2">
        <f t="shared" ca="1" si="233"/>
        <v>2462456.4705999014</v>
      </c>
      <c r="AX203" s="2">
        <f t="shared" ca="1" si="234"/>
        <v>2707273.7113564215</v>
      </c>
      <c r="AY203" s="2">
        <f t="shared" ca="1" si="235"/>
        <v>2966803.6737773693</v>
      </c>
      <c r="AZ203" s="2">
        <f t="shared" ca="1" si="236"/>
        <v>3241930.5446876041</v>
      </c>
      <c r="BA203" s="2">
        <f t="shared" ca="1" si="237"/>
        <v>56337625.687942758</v>
      </c>
      <c r="BB203" s="2">
        <f t="shared" ca="1" si="238"/>
        <v>1126752.5137588552</v>
      </c>
      <c r="BC203" s="2">
        <f t="shared" ca="1" si="239"/>
        <v>31017754.771641534</v>
      </c>
      <c r="BD203" s="2">
        <f t="shared" ca="1" si="240"/>
        <v>-17636792.201800846</v>
      </c>
      <c r="BE203" s="2">
        <f t="shared" ca="1" si="241"/>
        <v>2191292.178920222</v>
      </c>
      <c r="BF203" s="2">
        <f t="shared" ca="1" si="242"/>
        <v>2462456.4705999014</v>
      </c>
      <c r="BG203" s="2">
        <f t="shared" ca="1" si="243"/>
        <v>2707273.7113564215</v>
      </c>
      <c r="BH203" s="2">
        <f t="shared" ca="1" si="244"/>
        <v>2966803.6737773693</v>
      </c>
      <c r="BI203" s="2">
        <f t="shared" ca="1" si="245"/>
        <v>34259685.316329136</v>
      </c>
      <c r="BJ203" s="2">
        <f t="shared" ca="1" si="246"/>
        <v>0.24159109613448404</v>
      </c>
      <c r="BK203" s="2">
        <f t="shared" ca="1" si="247"/>
        <v>9535080.7342178971</v>
      </c>
    </row>
    <row r="204" spans="1:63" x14ac:dyDescent="0.3">
      <c r="A204" s="2">
        <v>203</v>
      </c>
      <c r="B204" s="2">
        <f t="shared" ca="1" si="186"/>
        <v>0.35197855754223373</v>
      </c>
      <c r="C204" s="2">
        <f t="shared" ca="1" si="187"/>
        <v>6.8390215224202935</v>
      </c>
      <c r="D204" s="2">
        <f t="shared" ca="1" si="188"/>
        <v>0.96348103594921586</v>
      </c>
      <c r="E204" s="2">
        <f t="shared" ca="1" si="189"/>
        <v>8.229744698291471</v>
      </c>
      <c r="F204" s="2">
        <f t="shared" ca="1" si="190"/>
        <v>0.44960803370852964</v>
      </c>
      <c r="G204" s="2">
        <f t="shared" ca="1" si="191"/>
        <v>3.6200448686205124E-2</v>
      </c>
      <c r="H204" s="2">
        <f t="shared" ca="1" si="192"/>
        <v>3.6200448686205124E-2</v>
      </c>
      <c r="I204" s="2">
        <f t="shared" ca="1" si="193"/>
        <v>0.59806278981422778</v>
      </c>
      <c r="J204" s="2">
        <f t="shared" ca="1" si="194"/>
        <v>1.1241680173587034E-2</v>
      </c>
      <c r="K204" s="2">
        <f t="shared" ca="1" si="195"/>
        <v>1.1241680173587034E-2</v>
      </c>
      <c r="L204" s="2">
        <f t="shared" ca="1" si="196"/>
        <v>0.1856912299289275</v>
      </c>
      <c r="M204" s="2">
        <f t="shared" ca="1" si="197"/>
        <v>-1.7877736043354811E-2</v>
      </c>
      <c r="N204" s="2">
        <f t="shared" ca="1" si="198"/>
        <v>-1.7877736043354811E-2</v>
      </c>
      <c r="O204" s="2">
        <f t="shared" si="199"/>
        <v>6000000</v>
      </c>
      <c r="P204" s="2">
        <f t="shared" ca="1" si="200"/>
        <v>41034129.13452176</v>
      </c>
      <c r="Q204" s="2">
        <f t="shared" ca="1" si="201"/>
        <v>1025853.2283630441</v>
      </c>
      <c r="R204" s="2">
        <f t="shared" ca="1" si="202"/>
        <v>24620477.480713055</v>
      </c>
      <c r="S204" s="2">
        <f t="shared" ca="1" si="203"/>
        <v>16413651.653808706</v>
      </c>
      <c r="T204" s="2">
        <f t="shared" ca="1" si="204"/>
        <v>49106113.197832257</v>
      </c>
      <c r="U204" s="2">
        <f t="shared" ca="1" si="205"/>
        <v>50883776.528829359</v>
      </c>
      <c r="V204" s="2">
        <f t="shared" ca="1" si="206"/>
        <v>52725792.07002157</v>
      </c>
      <c r="W204" s="2">
        <f t="shared" ca="1" si="207"/>
        <v>54634489.400291905</v>
      </c>
      <c r="X204" s="2">
        <f t="shared" ca="1" si="208"/>
        <v>56612282.430324189</v>
      </c>
      <c r="Y204" s="2">
        <f t="shared" ca="1" si="209"/>
        <v>0.1256208400867935</v>
      </c>
      <c r="Z204" s="2">
        <f t="shared" ca="1" si="210"/>
        <v>0.12786917612151091</v>
      </c>
      <c r="AA204" s="2">
        <f t="shared" ca="1" si="211"/>
        <v>6168751.1933088657</v>
      </c>
      <c r="AB204" s="2">
        <f t="shared" ca="1" si="212"/>
        <v>6506466.5826924844</v>
      </c>
      <c r="AC204" s="2">
        <f t="shared" ca="1" si="213"/>
        <v>6742003.5923477514</v>
      </c>
      <c r="AD204" s="2">
        <f t="shared" ca="1" si="214"/>
        <v>6986067.1474347468</v>
      </c>
      <c r="AE204" s="2">
        <f t="shared" ca="1" si="215"/>
        <v>7238965.9127238421</v>
      </c>
      <c r="AF204" s="2">
        <f t="shared" ca="1" si="216"/>
        <v>982122.26395664515</v>
      </c>
      <c r="AG204" s="2">
        <f t="shared" ca="1" si="217"/>
        <v>1017675.5305765872</v>
      </c>
      <c r="AH204" s="2">
        <f t="shared" ca="1" si="218"/>
        <v>1054515.8414004315</v>
      </c>
      <c r="AI204" s="2">
        <f t="shared" ca="1" si="219"/>
        <v>1092689.7880058382</v>
      </c>
      <c r="AJ204" s="2">
        <f t="shared" ca="1" si="220"/>
        <v>1132245.6486064838</v>
      </c>
      <c r="AK204" s="2">
        <f t="shared" ca="1" si="221"/>
        <v>0</v>
      </c>
      <c r="AL204" s="2">
        <f t="shared" ca="1" si="222"/>
        <v>17776.633309971021</v>
      </c>
      <c r="AM204" s="2">
        <f t="shared" ca="1" si="223"/>
        <v>18420.155411922111</v>
      </c>
      <c r="AN204" s="2">
        <f t="shared" ca="1" si="224"/>
        <v>19086.973302703351</v>
      </c>
      <c r="AO204" s="2">
        <f t="shared" ca="1" si="225"/>
        <v>19777.930300322845</v>
      </c>
      <c r="AP204" s="2">
        <f t="shared" ca="1" si="226"/>
        <v>2215842.973264175</v>
      </c>
      <c r="AQ204" s="2">
        <f t="shared" ca="1" si="227"/>
        <v>772404.34858289175</v>
      </c>
      <c r="AR204" s="2">
        <f t="shared" ca="1" si="228"/>
        <v>850966.50050144771</v>
      </c>
      <c r="AS204" s="2">
        <f t="shared" ca="1" si="229"/>
        <v>902627.64219761768</v>
      </c>
      <c r="AT204" s="2">
        <f t="shared" ca="1" si="230"/>
        <v>956158.94040283083</v>
      </c>
      <c r="AU204" s="2">
        <f t="shared" ca="1" si="231"/>
        <v>1011628.0956218276</v>
      </c>
      <c r="AV204" s="2">
        <f t="shared" ca="1" si="232"/>
        <v>2198381.6075051534</v>
      </c>
      <c r="AW204" s="2">
        <f t="shared" ca="1" si="233"/>
        <v>2404204.9450403037</v>
      </c>
      <c r="AX204" s="2">
        <f t="shared" ca="1" si="234"/>
        <v>2550596.9800736052</v>
      </c>
      <c r="AY204" s="2">
        <f t="shared" ca="1" si="235"/>
        <v>2702288.4724591994</v>
      </c>
      <c r="AZ204" s="2">
        <f t="shared" ca="1" si="236"/>
        <v>2859471.264931032</v>
      </c>
      <c r="BA204" s="2">
        <f t="shared" ca="1" si="237"/>
        <v>59574841.341351718</v>
      </c>
      <c r="BB204" s="2">
        <f t="shared" ca="1" si="238"/>
        <v>1191496.8268270344</v>
      </c>
      <c r="BC204" s="2">
        <f t="shared" ca="1" si="239"/>
        <v>33762867.033811629</v>
      </c>
      <c r="BD204" s="2">
        <f t="shared" ca="1" si="240"/>
        <v>-17939504.88217175</v>
      </c>
      <c r="BE204" s="2">
        <f t="shared" ca="1" si="241"/>
        <v>2198381.6075051534</v>
      </c>
      <c r="BF204" s="2">
        <f t="shared" ca="1" si="242"/>
        <v>2404204.9450403037</v>
      </c>
      <c r="BG204" s="2">
        <f t="shared" ca="1" si="243"/>
        <v>2550596.9800736052</v>
      </c>
      <c r="BH204" s="2">
        <f t="shared" ca="1" si="244"/>
        <v>2702288.4724591994</v>
      </c>
      <c r="BI204" s="2">
        <f t="shared" ca="1" si="245"/>
        <v>36622338.298742659</v>
      </c>
      <c r="BJ204" s="2">
        <f t="shared" ca="1" si="246"/>
        <v>0.24612361034486518</v>
      </c>
      <c r="BK204" s="2">
        <f t="shared" ca="1" si="247"/>
        <v>10253269.299159117</v>
      </c>
    </row>
    <row r="205" spans="1:63" x14ac:dyDescent="0.3">
      <c r="A205" s="2">
        <v>204</v>
      </c>
      <c r="B205" s="2">
        <f t="shared" ca="1" si="186"/>
        <v>0.78509617621340411</v>
      </c>
      <c r="C205" s="2">
        <f t="shared" ca="1" si="187"/>
        <v>7.344402831326132</v>
      </c>
      <c r="D205" s="2">
        <f t="shared" ca="1" si="188"/>
        <v>3.857829053207551E-2</v>
      </c>
      <c r="E205" s="2">
        <f t="shared" ca="1" si="189"/>
        <v>6.7777707347150722</v>
      </c>
      <c r="F205" s="2">
        <f t="shared" ca="1" si="190"/>
        <v>0.78325620683899422</v>
      </c>
      <c r="G205" s="2">
        <f t="shared" ca="1" si="191"/>
        <v>6.3497128636550479E-2</v>
      </c>
      <c r="H205" s="2">
        <f t="shared" ca="1" si="192"/>
        <v>6.3497128636550479E-2</v>
      </c>
      <c r="I205" s="2">
        <f t="shared" ca="1" si="193"/>
        <v>0.92257595497282974</v>
      </c>
      <c r="J205" s="2">
        <f t="shared" ca="1" si="194"/>
        <v>1.7113069883343698E-2</v>
      </c>
      <c r="K205" s="2">
        <f t="shared" ca="1" si="195"/>
        <v>1.7113069883343698E-2</v>
      </c>
      <c r="L205" s="2">
        <f t="shared" ca="1" si="196"/>
        <v>0.15134877856854412</v>
      </c>
      <c r="M205" s="2">
        <f t="shared" ca="1" si="197"/>
        <v>-2.061331645864917E-2</v>
      </c>
      <c r="N205" s="2">
        <f t="shared" ca="1" si="198"/>
        <v>-2.061331645864917E-2</v>
      </c>
      <c r="O205" s="2">
        <f t="shared" si="199"/>
        <v>6000000</v>
      </c>
      <c r="P205" s="2">
        <f t="shared" ca="1" si="200"/>
        <v>44066416.987956792</v>
      </c>
      <c r="Q205" s="2">
        <f t="shared" ca="1" si="201"/>
        <v>1101660.4246989198</v>
      </c>
      <c r="R205" s="2">
        <f t="shared" ca="1" si="202"/>
        <v>26439850.192774076</v>
      </c>
      <c r="S205" s="2">
        <f t="shared" ca="1" si="203"/>
        <v>17626566.795182716</v>
      </c>
      <c r="T205" s="2">
        <f t="shared" ca="1" si="204"/>
        <v>48969334.177067541</v>
      </c>
      <c r="U205" s="2">
        <f t="shared" ca="1" si="205"/>
        <v>52078746.288555026</v>
      </c>
      <c r="V205" s="2">
        <f t="shared" ca="1" si="206"/>
        <v>55385597.140869677</v>
      </c>
      <c r="W205" s="2">
        <f t="shared" ca="1" si="207"/>
        <v>58902423.52713564</v>
      </c>
      <c r="X205" s="2">
        <f t="shared" ca="1" si="208"/>
        <v>62642558.290842749</v>
      </c>
      <c r="Y205" s="2">
        <f t="shared" ca="1" si="209"/>
        <v>0.12855653494167185</v>
      </c>
      <c r="Z205" s="2">
        <f t="shared" ca="1" si="210"/>
        <v>0.13197914891834059</v>
      </c>
      <c r="AA205" s="2">
        <f t="shared" ca="1" si="211"/>
        <v>6295327.9202045891</v>
      </c>
      <c r="AB205" s="2">
        <f t="shared" ca="1" si="212"/>
        <v>6873308.6118976809</v>
      </c>
      <c r="AC205" s="2">
        <f t="shared" ca="1" si="213"/>
        <v>7309743.9729860574</v>
      </c>
      <c r="AD205" s="2">
        <f t="shared" ca="1" si="214"/>
        <v>7773891.7263390031</v>
      </c>
      <c r="AE205" s="2">
        <f t="shared" ca="1" si="215"/>
        <v>8267511.5292929662</v>
      </c>
      <c r="AF205" s="2">
        <f t="shared" ca="1" si="216"/>
        <v>979386.68354135088</v>
      </c>
      <c r="AG205" s="2">
        <f t="shared" ca="1" si="217"/>
        <v>1041574.9257711006</v>
      </c>
      <c r="AH205" s="2">
        <f t="shared" ca="1" si="218"/>
        <v>1107711.9428173935</v>
      </c>
      <c r="AI205" s="2">
        <f t="shared" ca="1" si="219"/>
        <v>1178048.4705427128</v>
      </c>
      <c r="AJ205" s="2">
        <f t="shared" ca="1" si="220"/>
        <v>1252851.1658168549</v>
      </c>
      <c r="AK205" s="2">
        <f t="shared" ca="1" si="221"/>
        <v>0</v>
      </c>
      <c r="AL205" s="2">
        <f t="shared" ca="1" si="222"/>
        <v>31094.121114874855</v>
      </c>
      <c r="AM205" s="2">
        <f t="shared" ca="1" si="223"/>
        <v>33068.508523146513</v>
      </c>
      <c r="AN205" s="2">
        <f t="shared" ca="1" si="224"/>
        <v>35168.263862659631</v>
      </c>
      <c r="AO205" s="2">
        <f t="shared" ca="1" si="225"/>
        <v>37401.347637071092</v>
      </c>
      <c r="AP205" s="2">
        <f t="shared" ca="1" si="226"/>
        <v>2379586.5173496669</v>
      </c>
      <c r="AQ205" s="2">
        <f t="shared" ca="1" si="227"/>
        <v>763452.22702152852</v>
      </c>
      <c r="AR205" s="2">
        <f t="shared" ca="1" si="228"/>
        <v>897558.26388199755</v>
      </c>
      <c r="AS205" s="2">
        <f t="shared" ca="1" si="229"/>
        <v>993835.83333293919</v>
      </c>
      <c r="AT205" s="2">
        <f t="shared" ca="1" si="230"/>
        <v>1096226.7519961221</v>
      </c>
      <c r="AU205" s="2">
        <f t="shared" ca="1" si="231"/>
        <v>1205119.1999928756</v>
      </c>
      <c r="AV205" s="2">
        <f t="shared" ca="1" si="232"/>
        <v>2172902.4922920428</v>
      </c>
      <c r="AW205" s="2">
        <f t="shared" ca="1" si="233"/>
        <v>2523494.7837800412</v>
      </c>
      <c r="AX205" s="2">
        <f t="shared" ca="1" si="234"/>
        <v>2795541.1709629111</v>
      </c>
      <c r="AY205" s="2">
        <f t="shared" ca="1" si="235"/>
        <v>3084861.7225878416</v>
      </c>
      <c r="AZ205" s="2">
        <f t="shared" ca="1" si="236"/>
        <v>3392553.2984964978</v>
      </c>
      <c r="BA205" s="2">
        <f t="shared" ca="1" si="237"/>
        <v>56035297.692161314</v>
      </c>
      <c r="BB205" s="2">
        <f t="shared" ca="1" si="238"/>
        <v>1120705.9538432262</v>
      </c>
      <c r="BC205" s="2">
        <f t="shared" ca="1" si="239"/>
        <v>28474741.545544013</v>
      </c>
      <c r="BD205" s="2">
        <f t="shared" ca="1" si="240"/>
        <v>-19228227.219881635</v>
      </c>
      <c r="BE205" s="2">
        <f t="shared" ca="1" si="241"/>
        <v>2172902.4922920428</v>
      </c>
      <c r="BF205" s="2">
        <f t="shared" ca="1" si="242"/>
        <v>2523494.7837800412</v>
      </c>
      <c r="BG205" s="2">
        <f t="shared" ca="1" si="243"/>
        <v>2795541.1709629111</v>
      </c>
      <c r="BH205" s="2">
        <f t="shared" ca="1" si="244"/>
        <v>3084861.7225878416</v>
      </c>
      <c r="BI205" s="2">
        <f t="shared" ca="1" si="245"/>
        <v>31867294.844040513</v>
      </c>
      <c r="BJ205" s="2">
        <f t="shared" ca="1" si="246"/>
        <v>0.20373274371112005</v>
      </c>
      <c r="BK205" s="2">
        <f t="shared" ca="1" si="247"/>
        <v>6756234.1778904386</v>
      </c>
    </row>
    <row r="206" spans="1:63" x14ac:dyDescent="0.3">
      <c r="A206" s="2">
        <v>205</v>
      </c>
      <c r="B206" s="2">
        <f t="shared" ca="1" si="186"/>
        <v>0.75917207340372572</v>
      </c>
      <c r="C206" s="2">
        <f t="shared" ca="1" si="187"/>
        <v>7.3059856966945507</v>
      </c>
      <c r="D206" s="2">
        <f t="shared" ca="1" si="188"/>
        <v>0.1139408648215362</v>
      </c>
      <c r="E206" s="2">
        <f t="shared" ca="1" si="189"/>
        <v>6.9773695943847622</v>
      </c>
      <c r="F206" s="2">
        <f t="shared" ca="1" si="190"/>
        <v>0.81048610288752942</v>
      </c>
      <c r="G206" s="2">
        <f t="shared" ca="1" si="191"/>
        <v>6.6390670873231278E-2</v>
      </c>
      <c r="H206" s="2">
        <f t="shared" ca="1" si="192"/>
        <v>6.6390670873231278E-2</v>
      </c>
      <c r="I206" s="2">
        <f t="shared" ca="1" si="193"/>
        <v>0.97553704208344827</v>
      </c>
      <c r="J206" s="2">
        <f t="shared" ca="1" si="194"/>
        <v>1.9846183521250893E-2</v>
      </c>
      <c r="K206" s="2">
        <f t="shared" ca="1" si="195"/>
        <v>1.9846183521250893E-2</v>
      </c>
      <c r="L206" s="2">
        <f t="shared" ca="1" si="196"/>
        <v>0.84178386167448049</v>
      </c>
      <c r="M206" s="2">
        <f t="shared" ca="1" si="197"/>
        <v>2.0036327929598367E-2</v>
      </c>
      <c r="N206" s="2">
        <f t="shared" ca="1" si="198"/>
        <v>2.0036327929598367E-2</v>
      </c>
      <c r="O206" s="2">
        <f t="shared" si="199"/>
        <v>6000000</v>
      </c>
      <c r="P206" s="2">
        <f t="shared" ca="1" si="200"/>
        <v>43835914.180167302</v>
      </c>
      <c r="Q206" s="2">
        <f t="shared" ca="1" si="201"/>
        <v>1095897.8545041827</v>
      </c>
      <c r="R206" s="2">
        <f t="shared" ca="1" si="202"/>
        <v>26301548.508100379</v>
      </c>
      <c r="S206" s="2">
        <f t="shared" ca="1" si="203"/>
        <v>17534365.672066923</v>
      </c>
      <c r="T206" s="2">
        <f t="shared" ca="1" si="204"/>
        <v>51001816.396479912</v>
      </c>
      <c r="U206" s="2">
        <f t="shared" ca="1" si="205"/>
        <v>54387861.202795587</v>
      </c>
      <c r="V206" s="2">
        <f t="shared" ca="1" si="206"/>
        <v>57998707.795409381</v>
      </c>
      <c r="W206" s="2">
        <f t="shared" ca="1" si="207"/>
        <v>61849280.915727124</v>
      </c>
      <c r="X206" s="2">
        <f t="shared" ca="1" si="208"/>
        <v>65955496.168749191</v>
      </c>
      <c r="Y206" s="2">
        <f t="shared" ca="1" si="209"/>
        <v>0.12992309176062544</v>
      </c>
      <c r="Z206" s="2">
        <f t="shared" ca="1" si="210"/>
        <v>0.13389232846487562</v>
      </c>
      <c r="AA206" s="2">
        <f t="shared" ca="1" si="211"/>
        <v>6626313.671638431</v>
      </c>
      <c r="AB206" s="2">
        <f t="shared" ca="1" si="212"/>
        <v>7282117.3766667722</v>
      </c>
      <c r="AC206" s="2">
        <f t="shared" ca="1" si="213"/>
        <v>7765582.034681295</v>
      </c>
      <c r="AD206" s="2">
        <f t="shared" ca="1" si="214"/>
        <v>8281144.2356848987</v>
      </c>
      <c r="AE206" s="2">
        <f t="shared" ca="1" si="215"/>
        <v>8830934.9570900127</v>
      </c>
      <c r="AF206" s="2">
        <f t="shared" ca="1" si="216"/>
        <v>1020036.3279295983</v>
      </c>
      <c r="AG206" s="2">
        <f t="shared" ca="1" si="217"/>
        <v>1087757.2240559119</v>
      </c>
      <c r="AH206" s="2">
        <f t="shared" ca="1" si="218"/>
        <v>1159974.1559081876</v>
      </c>
      <c r="AI206" s="2">
        <f t="shared" ca="1" si="219"/>
        <v>1236985.6183145426</v>
      </c>
      <c r="AJ206" s="2">
        <f t="shared" ca="1" si="220"/>
        <v>1319109.9233749839</v>
      </c>
      <c r="AK206" s="2">
        <f t="shared" ca="1" si="221"/>
        <v>0</v>
      </c>
      <c r="AL206" s="2">
        <f t="shared" ca="1" si="222"/>
        <v>33860.448063156757</v>
      </c>
      <c r="AM206" s="2">
        <f t="shared" ca="1" si="223"/>
        <v>36108.465926137942</v>
      </c>
      <c r="AN206" s="2">
        <f t="shared" ca="1" si="224"/>
        <v>38505.73120317742</v>
      </c>
      <c r="AO206" s="2">
        <f t="shared" ca="1" si="225"/>
        <v>41062.152530220672</v>
      </c>
      <c r="AP206" s="2">
        <f t="shared" ca="1" si="226"/>
        <v>2367139.3657290339</v>
      </c>
      <c r="AQ206" s="2">
        <f t="shared" ca="1" si="227"/>
        <v>842175.87427474768</v>
      </c>
      <c r="AR206" s="2">
        <f t="shared" ca="1" si="228"/>
        <v>995077.40458927501</v>
      </c>
      <c r="AS206" s="2">
        <f t="shared" ca="1" si="229"/>
        <v>1102001.8133914592</v>
      </c>
      <c r="AT206" s="2">
        <f t="shared" ca="1" si="230"/>
        <v>1216025.0054267438</v>
      </c>
      <c r="AU206" s="2">
        <f t="shared" ca="1" si="231"/>
        <v>1337618.2736763586</v>
      </c>
      <c r="AV206" s="2">
        <f t="shared" ca="1" si="232"/>
        <v>2396962.1037050514</v>
      </c>
      <c r="AW206" s="2">
        <f t="shared" ca="1" si="233"/>
        <v>2798282.9342293954</v>
      </c>
      <c r="AX206" s="2">
        <f t="shared" ca="1" si="234"/>
        <v>3100358.2337264763</v>
      </c>
      <c r="AY206" s="2">
        <f t="shared" ca="1" si="235"/>
        <v>3422488.5150114009</v>
      </c>
      <c r="AZ206" s="2">
        <f t="shared" ca="1" si="236"/>
        <v>3766005.2417794149</v>
      </c>
      <c r="BA206" s="2">
        <f t="shared" ca="1" si="237"/>
        <v>61616697.059589356</v>
      </c>
      <c r="BB206" s="2">
        <f t="shared" ca="1" si="238"/>
        <v>1232333.9411917871</v>
      </c>
      <c r="BC206" s="2">
        <f t="shared" ca="1" si="239"/>
        <v>34082814.610297196</v>
      </c>
      <c r="BD206" s="2">
        <f t="shared" ca="1" si="240"/>
        <v>-19130263.526571106</v>
      </c>
      <c r="BE206" s="2">
        <f t="shared" ca="1" si="241"/>
        <v>2396962.1037050514</v>
      </c>
      <c r="BF206" s="2">
        <f t="shared" ca="1" si="242"/>
        <v>2798282.9342293954</v>
      </c>
      <c r="BG206" s="2">
        <f t="shared" ca="1" si="243"/>
        <v>3100358.2337264763</v>
      </c>
      <c r="BH206" s="2">
        <f t="shared" ca="1" si="244"/>
        <v>3422488.5150114009</v>
      </c>
      <c r="BI206" s="2">
        <f t="shared" ca="1" si="245"/>
        <v>37848819.852076612</v>
      </c>
      <c r="BJ206" s="2">
        <f t="shared" ca="1" si="246"/>
        <v>0.2495148962144238</v>
      </c>
      <c r="BK206" s="2">
        <f t="shared" ca="1" si="247"/>
        <v>11098919.149361372</v>
      </c>
    </row>
    <row r="207" spans="1:63" x14ac:dyDescent="0.3">
      <c r="A207" s="2">
        <v>206</v>
      </c>
      <c r="B207" s="2">
        <f t="shared" ca="1" si="186"/>
        <v>0.9196343652874599</v>
      </c>
      <c r="C207" s="2">
        <f t="shared" ca="1" si="187"/>
        <v>7.5990869552819715</v>
      </c>
      <c r="D207" s="2">
        <f t="shared" ca="1" si="188"/>
        <v>1.0908784901409008E-2</v>
      </c>
      <c r="E207" s="2">
        <f t="shared" ca="1" si="189"/>
        <v>6.6477077174788715</v>
      </c>
      <c r="F207" s="2">
        <f t="shared" ca="1" si="190"/>
        <v>0.7954923191844786</v>
      </c>
      <c r="G207" s="2">
        <f t="shared" ca="1" si="191"/>
        <v>6.4768828635279121E-2</v>
      </c>
      <c r="H207" s="2">
        <f t="shared" ca="1" si="192"/>
        <v>6.4768828635279121E-2</v>
      </c>
      <c r="I207" s="2">
        <f t="shared" ca="1" si="193"/>
        <v>0.18197582986550331</v>
      </c>
      <c r="J207" s="2">
        <f t="shared" ca="1" si="194"/>
        <v>5.4606949505657055E-3</v>
      </c>
      <c r="K207" s="2">
        <f t="shared" ca="1" si="195"/>
        <v>5.4606949505657055E-3</v>
      </c>
      <c r="L207" s="2">
        <f t="shared" ca="1" si="196"/>
        <v>0.35568513379674616</v>
      </c>
      <c r="M207" s="2">
        <f t="shared" ca="1" si="197"/>
        <v>-7.4003280874419194E-3</v>
      </c>
      <c r="N207" s="2">
        <f t="shared" ca="1" si="198"/>
        <v>-7.4003280874419194E-3</v>
      </c>
      <c r="O207" s="2">
        <f t="shared" si="199"/>
        <v>6000000</v>
      </c>
      <c r="P207" s="2">
        <f t="shared" ca="1" si="200"/>
        <v>45594521.73169183</v>
      </c>
      <c r="Q207" s="2">
        <f t="shared" ca="1" si="201"/>
        <v>1139863.0432922959</v>
      </c>
      <c r="R207" s="2">
        <f t="shared" ca="1" si="202"/>
        <v>27356713.039015096</v>
      </c>
      <c r="S207" s="2">
        <f t="shared" ca="1" si="203"/>
        <v>18237808.692676734</v>
      </c>
      <c r="T207" s="2">
        <f t="shared" ca="1" si="204"/>
        <v>49629983.595627904</v>
      </c>
      <c r="U207" s="2">
        <f t="shared" ca="1" si="205"/>
        <v>52844459.498304844</v>
      </c>
      <c r="V207" s="2">
        <f t="shared" ca="1" si="206"/>
        <v>56267133.239874505</v>
      </c>
      <c r="W207" s="2">
        <f t="shared" ca="1" si="207"/>
        <v>59911489.550486356</v>
      </c>
      <c r="X207" s="2">
        <f t="shared" ca="1" si="208"/>
        <v>63791886.550466128</v>
      </c>
      <c r="Y207" s="2">
        <f t="shared" ca="1" si="209"/>
        <v>0.12273034747528284</v>
      </c>
      <c r="Z207" s="2">
        <f t="shared" ca="1" si="210"/>
        <v>0.123822486465396</v>
      </c>
      <c r="AA207" s="2">
        <f t="shared" ca="1" si="211"/>
        <v>6091105.1318840003</v>
      </c>
      <c r="AB207" s="2">
        <f t="shared" ca="1" si="212"/>
        <v>6543332.371000018</v>
      </c>
      <c r="AC207" s="2">
        <f t="shared" ca="1" si="213"/>
        <v>6967136.3440409936</v>
      </c>
      <c r="AD207" s="2">
        <f t="shared" ca="1" si="214"/>
        <v>7418389.60398681</v>
      </c>
      <c r="AE207" s="2">
        <f t="shared" ca="1" si="215"/>
        <v>7898870.0089971693</v>
      </c>
      <c r="AF207" s="2">
        <f t="shared" ca="1" si="216"/>
        <v>992599.67191255814</v>
      </c>
      <c r="AG207" s="2">
        <f t="shared" ca="1" si="217"/>
        <v>1056889.189966097</v>
      </c>
      <c r="AH207" s="2">
        <f t="shared" ca="1" si="218"/>
        <v>1125342.6647974902</v>
      </c>
      <c r="AI207" s="2">
        <f t="shared" ca="1" si="219"/>
        <v>1198229.7910097272</v>
      </c>
      <c r="AJ207" s="2">
        <f t="shared" ca="1" si="220"/>
        <v>1275837.7310093227</v>
      </c>
      <c r="AK207" s="2">
        <f t="shared" ca="1" si="221"/>
        <v>0</v>
      </c>
      <c r="AL207" s="2">
        <f t="shared" ca="1" si="222"/>
        <v>32144.759026769399</v>
      </c>
      <c r="AM207" s="2">
        <f t="shared" ca="1" si="223"/>
        <v>34226.737415696603</v>
      </c>
      <c r="AN207" s="2">
        <f t="shared" ca="1" si="224"/>
        <v>36443.563106118519</v>
      </c>
      <c r="AO207" s="2">
        <f t="shared" ca="1" si="225"/>
        <v>38803.969999797715</v>
      </c>
      <c r="AP207" s="2">
        <f t="shared" ca="1" si="226"/>
        <v>2462104.1735113584</v>
      </c>
      <c r="AQ207" s="2">
        <f t="shared" ca="1" si="227"/>
        <v>685464.33447962173</v>
      </c>
      <c r="AR207" s="2">
        <f t="shared" ca="1" si="228"/>
        <v>786328.14195586613</v>
      </c>
      <c r="AS207" s="2">
        <f t="shared" ca="1" si="229"/>
        <v>878719.2714903577</v>
      </c>
      <c r="AT207" s="2">
        <f t="shared" ca="1" si="230"/>
        <v>977094.46626108838</v>
      </c>
      <c r="AU207" s="2">
        <f t="shared" ca="1" si="231"/>
        <v>1081841.3071638872</v>
      </c>
      <c r="AV207" s="2">
        <f t="shared" ca="1" si="232"/>
        <v>1950936.9519804618</v>
      </c>
      <c r="AW207" s="2">
        <f t="shared" ca="1" si="233"/>
        <v>2205866.106539926</v>
      </c>
      <c r="AX207" s="2">
        <f t="shared" ca="1" si="234"/>
        <v>2466743.4968260904</v>
      </c>
      <c r="AY207" s="2">
        <f t="shared" ca="1" si="235"/>
        <v>2744517.610098518</v>
      </c>
      <c r="AZ207" s="2">
        <f t="shared" ca="1" si="236"/>
        <v>3040282.8273128043</v>
      </c>
      <c r="BA207" s="2">
        <f t="shared" ca="1" si="237"/>
        <v>52509379.118172884</v>
      </c>
      <c r="BB207" s="2">
        <f t="shared" ca="1" si="238"/>
        <v>1050187.5823634577</v>
      </c>
      <c r="BC207" s="2">
        <f t="shared" ca="1" si="239"/>
        <v>24102478.496794332</v>
      </c>
      <c r="BD207" s="2">
        <f t="shared" ca="1" si="240"/>
        <v>-19877671.735969029</v>
      </c>
      <c r="BE207" s="2">
        <f t="shared" ca="1" si="241"/>
        <v>1950936.9519804618</v>
      </c>
      <c r="BF207" s="2">
        <f t="shared" ca="1" si="242"/>
        <v>2205866.106539926</v>
      </c>
      <c r="BG207" s="2">
        <f t="shared" ca="1" si="243"/>
        <v>2466743.4968260904</v>
      </c>
      <c r="BH207" s="2">
        <f t="shared" ca="1" si="244"/>
        <v>2744517.610098518</v>
      </c>
      <c r="BI207" s="2">
        <f t="shared" ca="1" si="245"/>
        <v>27142761.324107137</v>
      </c>
      <c r="BJ207" s="2">
        <f t="shared" ca="1" si="246"/>
        <v>0.1523868245793063</v>
      </c>
      <c r="BK207" s="2">
        <f t="shared" ca="1" si="247"/>
        <v>2524240.7805411406</v>
      </c>
    </row>
    <row r="208" spans="1:63" x14ac:dyDescent="0.3">
      <c r="A208" s="2">
        <v>207</v>
      </c>
      <c r="B208" s="2">
        <f t="shared" ca="1" si="186"/>
        <v>0.86378398896028463</v>
      </c>
      <c r="C208" s="2">
        <f t="shared" ca="1" si="187"/>
        <v>7.4780497896547695</v>
      </c>
      <c r="D208" s="2">
        <f t="shared" ca="1" si="188"/>
        <v>8.6995434142924211E-2</v>
      </c>
      <c r="E208" s="2">
        <f t="shared" ca="1" si="189"/>
        <v>6.9171221263441298</v>
      </c>
      <c r="F208" s="2">
        <f t="shared" ca="1" si="190"/>
        <v>1.6742258721205827E-2</v>
      </c>
      <c r="G208" s="2">
        <f t="shared" ca="1" si="191"/>
        <v>-2.3786754322672111E-2</v>
      </c>
      <c r="H208" s="2">
        <f t="shared" ca="1" si="192"/>
        <v>-0.02</v>
      </c>
      <c r="I208" s="2">
        <f t="shared" ca="1" si="193"/>
        <v>0.23803834374259492</v>
      </c>
      <c r="J208" s="2">
        <f t="shared" ca="1" si="194"/>
        <v>6.4368657099040591E-3</v>
      </c>
      <c r="K208" s="2">
        <f t="shared" ca="1" si="195"/>
        <v>6.4368657099040591E-3</v>
      </c>
      <c r="L208" s="2">
        <f t="shared" ca="1" si="196"/>
        <v>0.39811348294692128</v>
      </c>
      <c r="M208" s="2">
        <f t="shared" ca="1" si="197"/>
        <v>-5.1646632437587344E-3</v>
      </c>
      <c r="N208" s="2">
        <f t="shared" ca="1" si="198"/>
        <v>-5.1646632437587344E-3</v>
      </c>
      <c r="O208" s="2">
        <f t="shared" si="199"/>
        <v>6000000</v>
      </c>
      <c r="P208" s="2">
        <f t="shared" ca="1" si="200"/>
        <v>44868298.737928614</v>
      </c>
      <c r="Q208" s="2">
        <f t="shared" ca="1" si="201"/>
        <v>1121707.4684482154</v>
      </c>
      <c r="R208" s="2">
        <f t="shared" ca="1" si="202"/>
        <v>26920979.242757168</v>
      </c>
      <c r="S208" s="2">
        <f t="shared" ca="1" si="203"/>
        <v>17947319.495171446</v>
      </c>
      <c r="T208" s="2">
        <f t="shared" ca="1" si="204"/>
        <v>49741766.837812066</v>
      </c>
      <c r="U208" s="2">
        <f t="shared" ca="1" si="205"/>
        <v>48746931.501055822</v>
      </c>
      <c r="V208" s="2">
        <f t="shared" ca="1" si="206"/>
        <v>47771992.871034704</v>
      </c>
      <c r="W208" s="2">
        <f t="shared" ca="1" si="207"/>
        <v>46816553.013614006</v>
      </c>
      <c r="X208" s="2">
        <f t="shared" ca="1" si="208"/>
        <v>45880221.953341722</v>
      </c>
      <c r="Y208" s="2">
        <f t="shared" ca="1" si="209"/>
        <v>0.12321843285495203</v>
      </c>
      <c r="Z208" s="2">
        <f t="shared" ca="1" si="210"/>
        <v>0.12450580599693284</v>
      </c>
      <c r="AA208" s="2">
        <f t="shared" ca="1" si="211"/>
        <v>6129102.5571916252</v>
      </c>
      <c r="AB208" s="2">
        <f t="shared" ca="1" si="212"/>
        <v>6069275.9964162307</v>
      </c>
      <c r="AC208" s="2">
        <f t="shared" ca="1" si="213"/>
        <v>5947890.4764879057</v>
      </c>
      <c r="AD208" s="2">
        <f t="shared" ca="1" si="214"/>
        <v>5828932.6669581467</v>
      </c>
      <c r="AE208" s="2">
        <f t="shared" ca="1" si="215"/>
        <v>5712354.0136189833</v>
      </c>
      <c r="AF208" s="2">
        <f t="shared" ca="1" si="216"/>
        <v>994835.33675624139</v>
      </c>
      <c r="AG208" s="2">
        <f t="shared" ca="1" si="217"/>
        <v>974938.63002111646</v>
      </c>
      <c r="AH208" s="2">
        <f t="shared" ca="1" si="218"/>
        <v>955439.85742069408</v>
      </c>
      <c r="AI208" s="2">
        <f t="shared" ca="1" si="219"/>
        <v>936331.06027228013</v>
      </c>
      <c r="AJ208" s="2">
        <f t="shared" ca="1" si="220"/>
        <v>917604.43906683451</v>
      </c>
      <c r="AK208" s="2">
        <f t="shared" ca="1" si="221"/>
        <v>0</v>
      </c>
      <c r="AL208" s="2">
        <f t="shared" ca="1" si="222"/>
        <v>0</v>
      </c>
      <c r="AM208" s="2">
        <f t="shared" ca="1" si="223"/>
        <v>0</v>
      </c>
      <c r="AN208" s="2">
        <f t="shared" ca="1" si="224"/>
        <v>0</v>
      </c>
      <c r="AO208" s="2">
        <f t="shared" ca="1" si="225"/>
        <v>0</v>
      </c>
      <c r="AP208" s="2">
        <f t="shared" ca="1" si="226"/>
        <v>2422888.1318481448</v>
      </c>
      <c r="AQ208" s="2">
        <f t="shared" ca="1" si="227"/>
        <v>704958.56303268217</v>
      </c>
      <c r="AR208" s="2">
        <f t="shared" ca="1" si="228"/>
        <v>694576.80098221207</v>
      </c>
      <c r="AS208" s="2">
        <f t="shared" ca="1" si="229"/>
        <v>668086.24667695735</v>
      </c>
      <c r="AT208" s="2">
        <f t="shared" ca="1" si="230"/>
        <v>642125.5034578077</v>
      </c>
      <c r="AU208" s="2">
        <f t="shared" ca="1" si="231"/>
        <v>616683.97510304104</v>
      </c>
      <c r="AV208" s="2">
        <f t="shared" ca="1" si="232"/>
        <v>2006420.5255545569</v>
      </c>
      <c r="AW208" s="2">
        <f t="shared" ca="1" si="233"/>
        <v>1976872.4335647575</v>
      </c>
      <c r="AX208" s="2">
        <f t="shared" ca="1" si="234"/>
        <v>1901476.2405421096</v>
      </c>
      <c r="AY208" s="2">
        <f t="shared" ca="1" si="235"/>
        <v>1827587.9713799139</v>
      </c>
      <c r="AZ208" s="2">
        <f t="shared" ca="1" si="236"/>
        <v>1755177.4676009626</v>
      </c>
      <c r="BA208" s="2">
        <f t="shared" ca="1" si="237"/>
        <v>39513050.341114566</v>
      </c>
      <c r="BB208" s="2">
        <f t="shared" ca="1" si="238"/>
        <v>790261.0068222913</v>
      </c>
      <c r="BC208" s="2">
        <f t="shared" ca="1" si="239"/>
        <v>11801810.091535106</v>
      </c>
      <c r="BD208" s="2">
        <f t="shared" ca="1" si="240"/>
        <v>-19569026.963619661</v>
      </c>
      <c r="BE208" s="2">
        <f t="shared" ca="1" si="241"/>
        <v>2006420.5255545569</v>
      </c>
      <c r="BF208" s="2">
        <f t="shared" ca="1" si="242"/>
        <v>1976872.4335647575</v>
      </c>
      <c r="BG208" s="2">
        <f t="shared" ca="1" si="243"/>
        <v>1901476.2405421096</v>
      </c>
      <c r="BH208" s="2">
        <f t="shared" ca="1" si="244"/>
        <v>1827587.9713799139</v>
      </c>
      <c r="BI208" s="2">
        <f t="shared" ca="1" si="245"/>
        <v>13556987.559136068</v>
      </c>
      <c r="BJ208" s="2">
        <f t="shared" ca="1" si="246"/>
        <v>2.0739276767464343E-2</v>
      </c>
      <c r="BK208" s="2">
        <f t="shared" ca="1" si="247"/>
        <v>-5994132.2159776147</v>
      </c>
    </row>
    <row r="209" spans="1:63" x14ac:dyDescent="0.3">
      <c r="A209" s="2">
        <v>208</v>
      </c>
      <c r="B209" s="2">
        <f t="shared" ca="1" si="186"/>
        <v>0.32134436395151456</v>
      </c>
      <c r="C209" s="2">
        <f t="shared" ca="1" si="187"/>
        <v>6.8016786936815956</v>
      </c>
      <c r="D209" s="2">
        <f t="shared" ca="1" si="188"/>
        <v>0.7470234695859902</v>
      </c>
      <c r="E209" s="2">
        <f t="shared" ca="1" si="189"/>
        <v>7.7886962246493976</v>
      </c>
      <c r="F209" s="2">
        <f t="shared" ca="1" si="190"/>
        <v>6.1472870524607814E-2</v>
      </c>
      <c r="G209" s="2">
        <f t="shared" ca="1" si="191"/>
        <v>-6.2757903485365293E-3</v>
      </c>
      <c r="H209" s="2">
        <f t="shared" ca="1" si="192"/>
        <v>-6.2757903485365293E-3</v>
      </c>
      <c r="I209" s="2">
        <f t="shared" ca="1" si="193"/>
        <v>0.23556435881154558</v>
      </c>
      <c r="J209" s="2">
        <f t="shared" ca="1" si="194"/>
        <v>6.3967811581369773E-3</v>
      </c>
      <c r="K209" s="2">
        <f t="shared" ca="1" si="195"/>
        <v>6.3967811581369773E-3</v>
      </c>
      <c r="L209" s="2">
        <f t="shared" ca="1" si="196"/>
        <v>0.88138092829209225</v>
      </c>
      <c r="M209" s="2">
        <f t="shared" ca="1" si="197"/>
        <v>2.3638364819662475E-2</v>
      </c>
      <c r="N209" s="2">
        <f t="shared" ca="1" si="198"/>
        <v>2.3638364819662475E-2</v>
      </c>
      <c r="O209" s="2">
        <f t="shared" si="199"/>
        <v>6000000</v>
      </c>
      <c r="P209" s="2">
        <f t="shared" ca="1" si="200"/>
        <v>40810072.162089571</v>
      </c>
      <c r="Q209" s="2">
        <f t="shared" ca="1" si="201"/>
        <v>1020251.8040522393</v>
      </c>
      <c r="R209" s="2">
        <f t="shared" ca="1" si="202"/>
        <v>24486043.297253743</v>
      </c>
      <c r="S209" s="2">
        <f t="shared" ca="1" si="203"/>
        <v>16324028.864835829</v>
      </c>
      <c r="T209" s="2">
        <f t="shared" ca="1" si="204"/>
        <v>51181918.240983129</v>
      </c>
      <c r="U209" s="2">
        <f t="shared" ca="1" si="205"/>
        <v>50860711.252466783</v>
      </c>
      <c r="V209" s="2">
        <f t="shared" ca="1" si="206"/>
        <v>50541520.091668852</v>
      </c>
      <c r="W209" s="2">
        <f t="shared" ca="1" si="207"/>
        <v>50224332.107677191</v>
      </c>
      <c r="X209" s="2">
        <f t="shared" ca="1" si="208"/>
        <v>49909134.728974134</v>
      </c>
      <c r="Y209" s="2">
        <f t="shared" ca="1" si="209"/>
        <v>0.12319839057906848</v>
      </c>
      <c r="Z209" s="2">
        <f t="shared" ca="1" si="210"/>
        <v>0.12447774681069589</v>
      </c>
      <c r="AA209" s="2">
        <f t="shared" ca="1" si="211"/>
        <v>6305529.9540385893</v>
      </c>
      <c r="AB209" s="2">
        <f t="shared" ca="1" si="212"/>
        <v>6331026.7378964713</v>
      </c>
      <c r="AC209" s="2">
        <f t="shared" ca="1" si="213"/>
        <v>6291294.5413984545</v>
      </c>
      <c r="AD209" s="2">
        <f t="shared" ca="1" si="214"/>
        <v>6251811.6958357459</v>
      </c>
      <c r="AE209" s="2">
        <f t="shared" ca="1" si="215"/>
        <v>6212576.636334151</v>
      </c>
      <c r="AF209" s="2">
        <f t="shared" ca="1" si="216"/>
        <v>1023638.3648196626</v>
      </c>
      <c r="AG209" s="2">
        <f t="shared" ca="1" si="217"/>
        <v>1017214.2250493356</v>
      </c>
      <c r="AH209" s="2">
        <f t="shared" ca="1" si="218"/>
        <v>1010830.4018333771</v>
      </c>
      <c r="AI209" s="2">
        <f t="shared" ca="1" si="219"/>
        <v>1004486.6421535439</v>
      </c>
      <c r="AJ209" s="2">
        <f t="shared" ca="1" si="220"/>
        <v>998182.69457948266</v>
      </c>
      <c r="AK209" s="2">
        <f t="shared" ca="1" si="221"/>
        <v>0</v>
      </c>
      <c r="AL209" s="2">
        <f t="shared" ca="1" si="222"/>
        <v>0</v>
      </c>
      <c r="AM209" s="2">
        <f t="shared" ca="1" si="223"/>
        <v>0</v>
      </c>
      <c r="AN209" s="2">
        <f t="shared" ca="1" si="224"/>
        <v>0</v>
      </c>
      <c r="AO209" s="2">
        <f t="shared" ca="1" si="225"/>
        <v>0</v>
      </c>
      <c r="AP209" s="2">
        <f t="shared" ca="1" si="226"/>
        <v>2203743.8967528366</v>
      </c>
      <c r="AQ209" s="2">
        <f t="shared" ca="1" si="227"/>
        <v>800318.40004118346</v>
      </c>
      <c r="AR209" s="2">
        <f t="shared" ca="1" si="228"/>
        <v>808617.84018451779</v>
      </c>
      <c r="AS209" s="2">
        <f t="shared" ca="1" si="229"/>
        <v>799947.26313118264</v>
      </c>
      <c r="AT209" s="2">
        <f t="shared" ca="1" si="230"/>
        <v>791331.10080163518</v>
      </c>
      <c r="AU209" s="2">
        <f t="shared" ca="1" si="231"/>
        <v>782769.01170047617</v>
      </c>
      <c r="AV209" s="2">
        <f t="shared" ca="1" si="232"/>
        <v>2277829.2924249065</v>
      </c>
      <c r="AW209" s="2">
        <f t="shared" ca="1" si="233"/>
        <v>2301450.775909781</v>
      </c>
      <c r="AX209" s="2">
        <f t="shared" ca="1" si="234"/>
        <v>2276772.9796810583</v>
      </c>
      <c r="AY209" s="2">
        <f t="shared" ca="1" si="235"/>
        <v>2252250.0561277303</v>
      </c>
      <c r="AZ209" s="2">
        <f t="shared" ca="1" si="236"/>
        <v>2227881.0333013549</v>
      </c>
      <c r="BA209" s="2">
        <f t="shared" ca="1" si="237"/>
        <v>48387872.192760855</v>
      </c>
      <c r="BB209" s="2">
        <f t="shared" ca="1" si="238"/>
        <v>967757.44385521708</v>
      </c>
      <c r="BC209" s="2">
        <f t="shared" ca="1" si="239"/>
        <v>22934071.451651894</v>
      </c>
      <c r="BD209" s="2">
        <f t="shared" ca="1" si="240"/>
        <v>-17844280.66888807</v>
      </c>
      <c r="BE209" s="2">
        <f t="shared" ca="1" si="241"/>
        <v>2277829.2924249065</v>
      </c>
      <c r="BF209" s="2">
        <f t="shared" ca="1" si="242"/>
        <v>2301450.775909781</v>
      </c>
      <c r="BG209" s="2">
        <f t="shared" ca="1" si="243"/>
        <v>2276772.9796810583</v>
      </c>
      <c r="BH209" s="2">
        <f t="shared" ca="1" si="244"/>
        <v>2252250.0561277303</v>
      </c>
      <c r="BI209" s="2">
        <f t="shared" ca="1" si="245"/>
        <v>25161952.484953247</v>
      </c>
      <c r="BJ209" s="2">
        <f t="shared" ca="1" si="246"/>
        <v>0.16811620973227481</v>
      </c>
      <c r="BK209" s="2">
        <f t="shared" ca="1" si="247"/>
        <v>3353673.1988306046</v>
      </c>
    </row>
    <row r="210" spans="1:63" x14ac:dyDescent="0.3">
      <c r="A210" s="2">
        <v>209</v>
      </c>
      <c r="B210" s="2">
        <f t="shared" ca="1" si="186"/>
        <v>0.39866404669174649</v>
      </c>
      <c r="C210" s="2">
        <f t="shared" ca="1" si="187"/>
        <v>6.8929323005600667</v>
      </c>
      <c r="D210" s="2">
        <f t="shared" ca="1" si="188"/>
        <v>0.9175994468874219</v>
      </c>
      <c r="E210" s="2">
        <f t="shared" ca="1" si="189"/>
        <v>8.0940429749035552</v>
      </c>
      <c r="F210" s="2">
        <f t="shared" ca="1" si="190"/>
        <v>0.52137653757896241</v>
      </c>
      <c r="G210" s="2">
        <f t="shared" ca="1" si="191"/>
        <v>4.1608261001576045E-2</v>
      </c>
      <c r="H210" s="2">
        <f t="shared" ca="1" si="192"/>
        <v>4.1608261001576045E-2</v>
      </c>
      <c r="I210" s="2">
        <f t="shared" ca="1" si="193"/>
        <v>0.58589023980549304</v>
      </c>
      <c r="J210" s="2">
        <f t="shared" ca="1" si="194"/>
        <v>1.1084928299939499E-2</v>
      </c>
      <c r="K210" s="2">
        <f t="shared" ca="1" si="195"/>
        <v>1.1084928299939499E-2</v>
      </c>
      <c r="L210" s="2">
        <f t="shared" ca="1" si="196"/>
        <v>0.50035519384859672</v>
      </c>
      <c r="M210" s="2">
        <f t="shared" ca="1" si="197"/>
        <v>1.7806781229934156E-5</v>
      </c>
      <c r="N210" s="2">
        <f t="shared" ca="1" si="198"/>
        <v>1.7806781229934156E-5</v>
      </c>
      <c r="O210" s="2">
        <f t="shared" si="199"/>
        <v>6000000</v>
      </c>
      <c r="P210" s="2">
        <f t="shared" ca="1" si="200"/>
        <v>41357593.803360403</v>
      </c>
      <c r="Q210" s="2">
        <f t="shared" ca="1" si="201"/>
        <v>1033939.8450840102</v>
      </c>
      <c r="R210" s="2">
        <f t="shared" ca="1" si="202"/>
        <v>24814556.28201624</v>
      </c>
      <c r="S210" s="2">
        <f t="shared" ca="1" si="203"/>
        <v>16543037.521344163</v>
      </c>
      <c r="T210" s="2">
        <f t="shared" ca="1" si="204"/>
        <v>50000890.339061499</v>
      </c>
      <c r="U210" s="2">
        <f t="shared" ca="1" si="205"/>
        <v>52081340.434600346</v>
      </c>
      <c r="V210" s="2">
        <f t="shared" ca="1" si="206"/>
        <v>54248354.440715134</v>
      </c>
      <c r="W210" s="2">
        <f t="shared" ca="1" si="207"/>
        <v>56505534.131190412</v>
      </c>
      <c r="X210" s="2">
        <f t="shared" ca="1" si="208"/>
        <v>58856631.143354446</v>
      </c>
      <c r="Y210" s="2">
        <f t="shared" ca="1" si="209"/>
        <v>0.12554246414996975</v>
      </c>
      <c r="Z210" s="2">
        <f t="shared" ca="1" si="210"/>
        <v>0.12775944980995765</v>
      </c>
      <c r="AA210" s="2">
        <f t="shared" ca="1" si="211"/>
        <v>6277234.9828581968</v>
      </c>
      <c r="AB210" s="2">
        <f t="shared" ca="1" si="212"/>
        <v>6653883.3992896406</v>
      </c>
      <c r="AC210" s="2">
        <f t="shared" ca="1" si="213"/>
        <v>6930739.9164413381</v>
      </c>
      <c r="AD210" s="2">
        <f t="shared" ca="1" si="214"/>
        <v>7219115.9518186701</v>
      </c>
      <c r="AE210" s="2">
        <f t="shared" ca="1" si="215"/>
        <v>7519490.8125425829</v>
      </c>
      <c r="AF210" s="2">
        <f t="shared" ca="1" si="216"/>
        <v>1000017.80678123</v>
      </c>
      <c r="AG210" s="2">
        <f t="shared" ca="1" si="217"/>
        <v>1041626.808692007</v>
      </c>
      <c r="AH210" s="2">
        <f t="shared" ca="1" si="218"/>
        <v>1084967.0888143028</v>
      </c>
      <c r="AI210" s="2">
        <f t="shared" ca="1" si="219"/>
        <v>1130110.6826238083</v>
      </c>
      <c r="AJ210" s="2">
        <f t="shared" ca="1" si="220"/>
        <v>1177132.622867089</v>
      </c>
      <c r="AK210" s="2">
        <f t="shared" ca="1" si="221"/>
        <v>0</v>
      </c>
      <c r="AL210" s="2">
        <f t="shared" ca="1" si="222"/>
        <v>20804.50095538847</v>
      </c>
      <c r="AM210" s="2">
        <f t="shared" ca="1" si="223"/>
        <v>21670.140061147886</v>
      </c>
      <c r="AN210" s="2">
        <f t="shared" ca="1" si="224"/>
        <v>22571.796904752777</v>
      </c>
      <c r="AO210" s="2">
        <f t="shared" ca="1" si="225"/>
        <v>23510.970121640341</v>
      </c>
      <c r="AP210" s="2">
        <f t="shared" ca="1" si="226"/>
        <v>2233310.0653814618</v>
      </c>
      <c r="AQ210" s="2">
        <f t="shared" ca="1" si="227"/>
        <v>791415.84878083144</v>
      </c>
      <c r="AR210" s="2">
        <f t="shared" ca="1" si="228"/>
        <v>878526.0965562046</v>
      </c>
      <c r="AS210" s="2">
        <f t="shared" ca="1" si="229"/>
        <v>939240.31818384898</v>
      </c>
      <c r="AT210" s="2">
        <f t="shared" ca="1" si="230"/>
        <v>1002480.752991484</v>
      </c>
      <c r="AU210" s="2">
        <f t="shared" ca="1" si="231"/>
        <v>1068352.5123164484</v>
      </c>
      <c r="AV210" s="2">
        <f t="shared" ca="1" si="232"/>
        <v>2252491.2619146742</v>
      </c>
      <c r="AW210" s="2">
        <f t="shared" ca="1" si="233"/>
        <v>2479615.9277045783</v>
      </c>
      <c r="AX210" s="2">
        <f t="shared" ca="1" si="234"/>
        <v>2651552.304000577</v>
      </c>
      <c r="AY210" s="2">
        <f t="shared" ca="1" si="235"/>
        <v>2830642.6539171636</v>
      </c>
      <c r="AZ210" s="2">
        <f t="shared" ca="1" si="236"/>
        <v>3017184.641855943</v>
      </c>
      <c r="BA210" s="2">
        <f t="shared" ca="1" si="237"/>
        <v>60863081.786112122</v>
      </c>
      <c r="BB210" s="2">
        <f t="shared" ca="1" si="238"/>
        <v>1217261.6357222425</v>
      </c>
      <c r="BC210" s="2">
        <f t="shared" ca="1" si="239"/>
        <v>34831263.86837364</v>
      </c>
      <c r="BD210" s="2">
        <f t="shared" ca="1" si="240"/>
        <v>-18076977.366428174</v>
      </c>
      <c r="BE210" s="2">
        <f t="shared" ca="1" si="241"/>
        <v>2252491.2619146742</v>
      </c>
      <c r="BF210" s="2">
        <f t="shared" ca="1" si="242"/>
        <v>2479615.9277045783</v>
      </c>
      <c r="BG210" s="2">
        <f t="shared" ca="1" si="243"/>
        <v>2651552.304000577</v>
      </c>
      <c r="BH210" s="2">
        <f t="shared" ca="1" si="244"/>
        <v>2830642.6539171636</v>
      </c>
      <c r="BI210" s="2">
        <f t="shared" ca="1" si="245"/>
        <v>37848448.51022958</v>
      </c>
      <c r="BJ210" s="2">
        <f t="shared" ca="1" si="246"/>
        <v>0.25385047263396587</v>
      </c>
      <c r="BK210" s="2">
        <f t="shared" ca="1" si="247"/>
        <v>11073383.450326528</v>
      </c>
    </row>
    <row r="211" spans="1:63" x14ac:dyDescent="0.3">
      <c r="A211" s="2">
        <v>210</v>
      </c>
      <c r="B211" s="2">
        <f t="shared" ca="1" si="186"/>
        <v>0.86823676183582876</v>
      </c>
      <c r="C211" s="2">
        <f t="shared" ca="1" si="187"/>
        <v>7.4866517007641473</v>
      </c>
      <c r="D211" s="2">
        <f t="shared" ca="1" si="188"/>
        <v>0.37844690803658343</v>
      </c>
      <c r="E211" s="2">
        <f t="shared" ca="1" si="189"/>
        <v>7.3699964460118021</v>
      </c>
      <c r="F211" s="2">
        <f t="shared" ca="1" si="190"/>
        <v>3.3159890916589774E-2</v>
      </c>
      <c r="G211" s="2">
        <f t="shared" ca="1" si="191"/>
        <v>-1.5087684482965234E-2</v>
      </c>
      <c r="H211" s="2">
        <f t="shared" ca="1" si="192"/>
        <v>-1.5087684482965234E-2</v>
      </c>
      <c r="I211" s="2">
        <f t="shared" ca="1" si="193"/>
        <v>0.94066474631151675</v>
      </c>
      <c r="J211" s="2">
        <f t="shared" ca="1" si="194"/>
        <v>1.7801891550367061E-2</v>
      </c>
      <c r="K211" s="2">
        <f t="shared" ca="1" si="195"/>
        <v>1.7801891550367061E-2</v>
      </c>
      <c r="L211" s="2">
        <f t="shared" ca="1" si="196"/>
        <v>0.74141598091773053</v>
      </c>
      <c r="M211" s="2">
        <f t="shared" ca="1" si="197"/>
        <v>1.2954339031843129E-2</v>
      </c>
      <c r="N211" s="2">
        <f t="shared" ca="1" si="198"/>
        <v>1.2954339031843129E-2</v>
      </c>
      <c r="O211" s="2">
        <f t="shared" si="199"/>
        <v>6000000</v>
      </c>
      <c r="P211" s="2">
        <f t="shared" ca="1" si="200"/>
        <v>44919910.204584882</v>
      </c>
      <c r="Q211" s="2">
        <f t="shared" ca="1" si="201"/>
        <v>1122997.7551146222</v>
      </c>
      <c r="R211" s="2">
        <f t="shared" ca="1" si="202"/>
        <v>26951946.122750927</v>
      </c>
      <c r="S211" s="2">
        <f t="shared" ca="1" si="203"/>
        <v>17967964.081833955</v>
      </c>
      <c r="T211" s="2">
        <f t="shared" ca="1" si="204"/>
        <v>50647716.951592162</v>
      </c>
      <c r="U211" s="2">
        <f t="shared" ca="1" si="205"/>
        <v>49883560.178444006</v>
      </c>
      <c r="V211" s="2">
        <f t="shared" ca="1" si="206"/>
        <v>49130932.761584632</v>
      </c>
      <c r="W211" s="2">
        <f t="shared" ca="1" si="207"/>
        <v>48389660.74972406</v>
      </c>
      <c r="X211" s="2">
        <f t="shared" ca="1" si="208"/>
        <v>47659572.816094495</v>
      </c>
      <c r="Y211" s="2">
        <f t="shared" ca="1" si="209"/>
        <v>0.12890094577518352</v>
      </c>
      <c r="Z211" s="2">
        <f t="shared" ca="1" si="210"/>
        <v>0.13246132408525693</v>
      </c>
      <c r="AA211" s="2">
        <f t="shared" ca="1" si="211"/>
        <v>6528538.6164140245</v>
      </c>
      <c r="AB211" s="2">
        <f t="shared" ca="1" si="212"/>
        <v>6607642.4313232889</v>
      </c>
      <c r="AC211" s="2">
        <f t="shared" ca="1" si="213"/>
        <v>6507948.4071432296</v>
      </c>
      <c r="AD211" s="2">
        <f t="shared" ca="1" si="214"/>
        <v>6409758.5349448361</v>
      </c>
      <c r="AE211" s="2">
        <f t="shared" ca="1" si="215"/>
        <v>6313050.1205575941</v>
      </c>
      <c r="AF211" s="2">
        <f t="shared" ca="1" si="216"/>
        <v>1012954.3390318432</v>
      </c>
      <c r="AG211" s="2">
        <f t="shared" ca="1" si="217"/>
        <v>997671.2035688801</v>
      </c>
      <c r="AH211" s="2">
        <f t="shared" ca="1" si="218"/>
        <v>982618.65523169271</v>
      </c>
      <c r="AI211" s="2">
        <f t="shared" ca="1" si="219"/>
        <v>967793.21499448118</v>
      </c>
      <c r="AJ211" s="2">
        <f t="shared" ca="1" si="220"/>
        <v>953191.45632188988</v>
      </c>
      <c r="AK211" s="2">
        <f t="shared" ca="1" si="221"/>
        <v>0</v>
      </c>
      <c r="AL211" s="2">
        <f t="shared" ca="1" si="222"/>
        <v>0</v>
      </c>
      <c r="AM211" s="2">
        <f t="shared" ca="1" si="223"/>
        <v>0</v>
      </c>
      <c r="AN211" s="2">
        <f t="shared" ca="1" si="224"/>
        <v>0</v>
      </c>
      <c r="AO211" s="2">
        <f t="shared" ca="1" si="225"/>
        <v>0</v>
      </c>
      <c r="AP211" s="2">
        <f t="shared" ca="1" si="226"/>
        <v>2425675.1510475832</v>
      </c>
      <c r="AQ211" s="2">
        <f t="shared" ca="1" si="227"/>
        <v>803376.37284699548</v>
      </c>
      <c r="AR211" s="2">
        <f t="shared" ca="1" si="228"/>
        <v>827916.97994377464</v>
      </c>
      <c r="AS211" s="2">
        <f t="shared" ca="1" si="229"/>
        <v>805910.19622462802</v>
      </c>
      <c r="AT211" s="2">
        <f t="shared" ca="1" si="230"/>
        <v>784235.44391472079</v>
      </c>
      <c r="AU211" s="2">
        <f t="shared" ca="1" si="231"/>
        <v>762887.71342891164</v>
      </c>
      <c r="AV211" s="2">
        <f t="shared" ca="1" si="232"/>
        <v>2286532.7534876023</v>
      </c>
      <c r="AW211" s="2">
        <f t="shared" ca="1" si="233"/>
        <v>2356379.0967630506</v>
      </c>
      <c r="AX211" s="2">
        <f t="shared" ca="1" si="234"/>
        <v>2293744.4046393256</v>
      </c>
      <c r="AY211" s="2">
        <f t="shared" ca="1" si="235"/>
        <v>2232054.7249880512</v>
      </c>
      <c r="AZ211" s="2">
        <f t="shared" ca="1" si="236"/>
        <v>2171295.7997592096</v>
      </c>
      <c r="BA211" s="2">
        <f t="shared" ca="1" si="237"/>
        <v>46527156.952003844</v>
      </c>
      <c r="BB211" s="2">
        <f t="shared" ca="1" si="238"/>
        <v>930543.13904007687</v>
      </c>
      <c r="BC211" s="2">
        <f t="shared" ca="1" si="239"/>
        <v>18644667.690212842</v>
      </c>
      <c r="BD211" s="2">
        <f t="shared" ca="1" si="240"/>
        <v>-19590961.836948577</v>
      </c>
      <c r="BE211" s="2">
        <f t="shared" ca="1" si="241"/>
        <v>2286532.7534876023</v>
      </c>
      <c r="BF211" s="2">
        <f t="shared" ca="1" si="242"/>
        <v>2356379.0967630506</v>
      </c>
      <c r="BG211" s="2">
        <f t="shared" ca="1" si="243"/>
        <v>2293744.4046393256</v>
      </c>
      <c r="BH211" s="2">
        <f t="shared" ca="1" si="244"/>
        <v>2232054.7249880512</v>
      </c>
      <c r="BI211" s="2">
        <f t="shared" ca="1" si="245"/>
        <v>20815963.489972051</v>
      </c>
      <c r="BJ211" s="2">
        <f t="shared" ca="1" si="246"/>
        <v>0.10834279736478081</v>
      </c>
      <c r="BK211" s="2">
        <f t="shared" ca="1" si="247"/>
        <v>-808233.94415001944</v>
      </c>
    </row>
    <row r="212" spans="1:63" x14ac:dyDescent="0.3">
      <c r="A212" s="2">
        <v>211</v>
      </c>
      <c r="B212" s="2">
        <f t="shared" ca="1" si="186"/>
        <v>0.45143369901705699</v>
      </c>
      <c r="C212" s="2">
        <f t="shared" ca="1" si="187"/>
        <v>6.9501933477109352</v>
      </c>
      <c r="D212" s="2">
        <f t="shared" ca="1" si="188"/>
        <v>0.35674468921165736</v>
      </c>
      <c r="E212" s="2">
        <f t="shared" ca="1" si="189"/>
        <v>7.3446830046966225</v>
      </c>
      <c r="F212" s="2">
        <f t="shared" ca="1" si="190"/>
        <v>0.23164074941183022</v>
      </c>
      <c r="G212" s="2">
        <f t="shared" ca="1" si="191"/>
        <v>1.7996376295541273E-2</v>
      </c>
      <c r="H212" s="2">
        <f t="shared" ca="1" si="192"/>
        <v>1.7996376295541273E-2</v>
      </c>
      <c r="I212" s="2">
        <f t="shared" ca="1" si="193"/>
        <v>0.65501222222643041</v>
      </c>
      <c r="J212" s="2">
        <f t="shared" ca="1" si="194"/>
        <v>1.1994441194484114E-2</v>
      </c>
      <c r="K212" s="2">
        <f t="shared" ca="1" si="195"/>
        <v>1.1994441194484114E-2</v>
      </c>
      <c r="L212" s="2">
        <f t="shared" ca="1" si="196"/>
        <v>0.56351287553654339</v>
      </c>
      <c r="M212" s="2">
        <f t="shared" ca="1" si="197"/>
        <v>3.1976343916538925E-3</v>
      </c>
      <c r="N212" s="2">
        <f t="shared" ca="1" si="198"/>
        <v>3.1976343916538925E-3</v>
      </c>
      <c r="O212" s="2">
        <f t="shared" si="199"/>
        <v>6000000</v>
      </c>
      <c r="P212" s="2">
        <f t="shared" ca="1" si="200"/>
        <v>41701160.086265609</v>
      </c>
      <c r="Q212" s="2">
        <f t="shared" ca="1" si="201"/>
        <v>1042529.0021566403</v>
      </c>
      <c r="R212" s="2">
        <f t="shared" ca="1" si="202"/>
        <v>25020696.051759366</v>
      </c>
      <c r="S212" s="2">
        <f t="shared" ca="1" si="203"/>
        <v>16680464.034506245</v>
      </c>
      <c r="T212" s="2">
        <f t="shared" ca="1" si="204"/>
        <v>50159881.719582699</v>
      </c>
      <c r="U212" s="2">
        <f t="shared" ca="1" si="205"/>
        <v>51062577.825948149</v>
      </c>
      <c r="V212" s="2">
        <f t="shared" ca="1" si="206"/>
        <v>51981519.191124275</v>
      </c>
      <c r="W212" s="2">
        <f t="shared" ca="1" si="207"/>
        <v>52916998.170901649</v>
      </c>
      <c r="X212" s="2">
        <f t="shared" ca="1" si="208"/>
        <v>53869312.382415667</v>
      </c>
      <c r="Y212" s="2">
        <f t="shared" ca="1" si="209"/>
        <v>0.12599722059724205</v>
      </c>
      <c r="Z212" s="2">
        <f t="shared" ca="1" si="210"/>
        <v>0.12839610883613889</v>
      </c>
      <c r="AA212" s="2">
        <f t="shared" ca="1" si="211"/>
        <v>6320005.6821538303</v>
      </c>
      <c r="AB212" s="2">
        <f t="shared" ca="1" si="212"/>
        <v>6556236.2999942508</v>
      </c>
      <c r="AC212" s="2">
        <f t="shared" ca="1" si="213"/>
        <v>6674224.7955314349</v>
      </c>
      <c r="AD212" s="2">
        <f t="shared" ca="1" si="214"/>
        <v>6794336.6564328503</v>
      </c>
      <c r="AE212" s="2">
        <f t="shared" ca="1" si="215"/>
        <v>6916610.0955806067</v>
      </c>
      <c r="AF212" s="2">
        <f t="shared" ca="1" si="216"/>
        <v>1003197.634391654</v>
      </c>
      <c r="AG212" s="2">
        <f t="shared" ca="1" si="217"/>
        <v>1021251.556518963</v>
      </c>
      <c r="AH212" s="2">
        <f t="shared" ca="1" si="218"/>
        <v>1039630.3838224856</v>
      </c>
      <c r="AI212" s="2">
        <f t="shared" ca="1" si="219"/>
        <v>1058339.963418033</v>
      </c>
      <c r="AJ212" s="2">
        <f t="shared" ca="1" si="220"/>
        <v>1077386.2476483134</v>
      </c>
      <c r="AK212" s="2">
        <f t="shared" ca="1" si="221"/>
        <v>0</v>
      </c>
      <c r="AL212" s="2">
        <f t="shared" ca="1" si="222"/>
        <v>9026.9610636544967</v>
      </c>
      <c r="AM212" s="2">
        <f t="shared" ca="1" si="223"/>
        <v>9189.4136517612642</v>
      </c>
      <c r="AN212" s="2">
        <f t="shared" ca="1" si="224"/>
        <v>9354.7897977737339</v>
      </c>
      <c r="AO212" s="2">
        <f t="shared" ca="1" si="225"/>
        <v>9523.1421151401846</v>
      </c>
      <c r="AP212" s="2">
        <f t="shared" ca="1" si="226"/>
        <v>2251862.6446583429</v>
      </c>
      <c r="AQ212" s="2">
        <f t="shared" ca="1" si="227"/>
        <v>796885.8048069966</v>
      </c>
      <c r="AR212" s="2">
        <f t="shared" ca="1" si="228"/>
        <v>853611.74569240573</v>
      </c>
      <c r="AS212" s="2">
        <f t="shared" ca="1" si="229"/>
        <v>879510.25943315763</v>
      </c>
      <c r="AT212" s="2">
        <f t="shared" ca="1" si="230"/>
        <v>905874.85257268336</v>
      </c>
      <c r="AU212" s="2">
        <f t="shared" ca="1" si="231"/>
        <v>932713.9128512271</v>
      </c>
      <c r="AV212" s="2">
        <f t="shared" ca="1" si="232"/>
        <v>2268059.5982968369</v>
      </c>
      <c r="AW212" s="2">
        <f t="shared" ca="1" si="233"/>
        <v>2420483.3920608852</v>
      </c>
      <c r="AX212" s="2">
        <f t="shared" ca="1" si="234"/>
        <v>2494032.0939656869</v>
      </c>
      <c r="AY212" s="2">
        <f t="shared" ca="1" si="235"/>
        <v>2568904.4059860175</v>
      </c>
      <c r="AZ212" s="2">
        <f t="shared" ca="1" si="236"/>
        <v>2645124.1483075824</v>
      </c>
      <c r="BA212" s="2">
        <f t="shared" ca="1" si="237"/>
        <v>50800308.619123966</v>
      </c>
      <c r="BB212" s="2">
        <f t="shared" ca="1" si="238"/>
        <v>1016006.1723824793</v>
      </c>
      <c r="BC212" s="2">
        <f t="shared" ca="1" si="239"/>
        <v>24763606.394982122</v>
      </c>
      <c r="BD212" s="2">
        <f t="shared" ca="1" si="240"/>
        <v>-18222993.036662884</v>
      </c>
      <c r="BE212" s="2">
        <f t="shared" ca="1" si="241"/>
        <v>2268059.5982968369</v>
      </c>
      <c r="BF212" s="2">
        <f t="shared" ca="1" si="242"/>
        <v>2420483.3920608852</v>
      </c>
      <c r="BG212" s="2">
        <f t="shared" ca="1" si="243"/>
        <v>2494032.0939656869</v>
      </c>
      <c r="BH212" s="2">
        <f t="shared" ca="1" si="244"/>
        <v>2568904.4059860175</v>
      </c>
      <c r="BI212" s="2">
        <f t="shared" ca="1" si="245"/>
        <v>27408730.543289706</v>
      </c>
      <c r="BJ212" s="2">
        <f t="shared" ca="1" si="246"/>
        <v>0.18413814149904972</v>
      </c>
      <c r="BK212" s="2">
        <f t="shared" ca="1" si="247"/>
        <v>4691892.481979657</v>
      </c>
    </row>
    <row r="213" spans="1:63" x14ac:dyDescent="0.3">
      <c r="A213" s="2">
        <v>212</v>
      </c>
      <c r="B213" s="2">
        <f t="shared" ca="1" si="186"/>
        <v>0.59322975324661553</v>
      </c>
      <c r="C213" s="2">
        <f t="shared" ca="1" si="187"/>
        <v>7.0980352038428727</v>
      </c>
      <c r="D213" s="2">
        <f t="shared" ca="1" si="188"/>
        <v>0.79386118466541622</v>
      </c>
      <c r="E213" s="2">
        <f t="shared" ca="1" si="189"/>
        <v>7.8579115086927915</v>
      </c>
      <c r="F213" s="2">
        <f t="shared" ca="1" si="190"/>
        <v>0.79512375030964388</v>
      </c>
      <c r="G213" s="2">
        <f t="shared" ca="1" si="191"/>
        <v>6.472987769274241E-2</v>
      </c>
      <c r="H213" s="2">
        <f t="shared" ca="1" si="192"/>
        <v>6.472987769274241E-2</v>
      </c>
      <c r="I213" s="2">
        <f t="shared" ca="1" si="193"/>
        <v>0.83006063512329298</v>
      </c>
      <c r="J213" s="2">
        <f t="shared" ca="1" si="194"/>
        <v>1.4772024471787482E-2</v>
      </c>
      <c r="K213" s="2">
        <f t="shared" ca="1" si="195"/>
        <v>1.4772024471787482E-2</v>
      </c>
      <c r="L213" s="2">
        <f t="shared" ca="1" si="196"/>
        <v>0.52933211673172076</v>
      </c>
      <c r="M213" s="2">
        <f t="shared" ca="1" si="197"/>
        <v>1.4718216624886441E-3</v>
      </c>
      <c r="N213" s="2">
        <f t="shared" ca="1" si="198"/>
        <v>1.4718216624886441E-3</v>
      </c>
      <c r="O213" s="2">
        <f t="shared" si="199"/>
        <v>6000000</v>
      </c>
      <c r="P213" s="2">
        <f t="shared" ca="1" si="200"/>
        <v>42588211.223057233</v>
      </c>
      <c r="Q213" s="2">
        <f t="shared" ca="1" si="201"/>
        <v>1064705.280576431</v>
      </c>
      <c r="R213" s="2">
        <f t="shared" ca="1" si="202"/>
        <v>25552926.733834337</v>
      </c>
      <c r="S213" s="2">
        <f t="shared" ca="1" si="203"/>
        <v>17035284.489222895</v>
      </c>
      <c r="T213" s="2">
        <f t="shared" ca="1" si="204"/>
        <v>50073591.083124436</v>
      </c>
      <c r="U213" s="2">
        <f t="shared" ca="1" si="205"/>
        <v>53314848.50957147</v>
      </c>
      <c r="V213" s="2">
        <f t="shared" ca="1" si="206"/>
        <v>56765912.132803112</v>
      </c>
      <c r="W213" s="2">
        <f t="shared" ca="1" si="207"/>
        <v>60440362.682276413</v>
      </c>
      <c r="X213" s="2">
        <f t="shared" ca="1" si="208"/>
        <v>64352659.966405153</v>
      </c>
      <c r="Y213" s="2">
        <f t="shared" ca="1" si="209"/>
        <v>0.12738601223589374</v>
      </c>
      <c r="Z213" s="2">
        <f t="shared" ca="1" si="210"/>
        <v>0.13034041713025124</v>
      </c>
      <c r="AA213" s="2">
        <f t="shared" ca="1" si="211"/>
        <v>6378675.0864100289</v>
      </c>
      <c r="AB213" s="2">
        <f t="shared" ca="1" si="212"/>
        <v>6949079.593973699</v>
      </c>
      <c r="AC213" s="2">
        <f t="shared" ca="1" si="213"/>
        <v>7398892.6661687475</v>
      </c>
      <c r="AD213" s="2">
        <f t="shared" ca="1" si="214"/>
        <v>7877822.0835115779</v>
      </c>
      <c r="AE213" s="2">
        <f t="shared" ca="1" si="215"/>
        <v>8387752.5434624674</v>
      </c>
      <c r="AF213" s="2">
        <f t="shared" ca="1" si="216"/>
        <v>1001471.8216624887</v>
      </c>
      <c r="AG213" s="2">
        <f t="shared" ca="1" si="217"/>
        <v>1066296.9701914294</v>
      </c>
      <c r="AH213" s="2">
        <f t="shared" ca="1" si="218"/>
        <v>1135318.2426560624</v>
      </c>
      <c r="AI213" s="2">
        <f t="shared" ca="1" si="219"/>
        <v>1208807.2536455283</v>
      </c>
      <c r="AJ213" s="2">
        <f t="shared" ca="1" si="220"/>
        <v>1287053.1993281031</v>
      </c>
      <c r="AK213" s="2">
        <f t="shared" ca="1" si="221"/>
        <v>0</v>
      </c>
      <c r="AL213" s="2">
        <f t="shared" ca="1" si="222"/>
        <v>32412.574264470339</v>
      </c>
      <c r="AM213" s="2">
        <f t="shared" ca="1" si="223"/>
        <v>34510.636232316421</v>
      </c>
      <c r="AN213" s="2">
        <f t="shared" ca="1" si="224"/>
        <v>36744.505494733006</v>
      </c>
      <c r="AO213" s="2">
        <f t="shared" ca="1" si="225"/>
        <v>39122.972841287403</v>
      </c>
      <c r="AP213" s="2">
        <f t="shared" ca="1" si="226"/>
        <v>2299763.4060450904</v>
      </c>
      <c r="AQ213" s="2">
        <f t="shared" ca="1" si="227"/>
        <v>800134.36326263705</v>
      </c>
      <c r="AR213" s="2">
        <f t="shared" ca="1" si="228"/>
        <v>931584.99661166663</v>
      </c>
      <c r="AS213" s="2">
        <f t="shared" ca="1" si="229"/>
        <v>1030590.8645415746</v>
      </c>
      <c r="AT213" s="2">
        <f t="shared" ca="1" si="230"/>
        <v>1136005.3701934495</v>
      </c>
      <c r="AU213" s="2">
        <f t="shared" ca="1" si="231"/>
        <v>1248243.3439032112</v>
      </c>
      <c r="AV213" s="2">
        <f t="shared" ca="1" si="232"/>
        <v>2277305.4954398125</v>
      </c>
      <c r="AW213" s="2">
        <f t="shared" ca="1" si="233"/>
        <v>2619021.6468610419</v>
      </c>
      <c r="AX213" s="2">
        <f t="shared" ca="1" si="234"/>
        <v>2898709.5166937038</v>
      </c>
      <c r="AY213" s="2">
        <f t="shared" ca="1" si="235"/>
        <v>3196501.5481327763</v>
      </c>
      <c r="AZ213" s="2">
        <f t="shared" ca="1" si="236"/>
        <v>3513569.6213447759</v>
      </c>
      <c r="BA213" s="2">
        <f t="shared" ca="1" si="237"/>
        <v>65910217.243340954</v>
      </c>
      <c r="BB213" s="2">
        <f t="shared" ca="1" si="238"/>
        <v>1318204.3448668192</v>
      </c>
      <c r="BC213" s="2">
        <f t="shared" ca="1" si="239"/>
        <v>39039086.164639793</v>
      </c>
      <c r="BD213" s="2">
        <f t="shared" ca="1" si="240"/>
        <v>-18599989.769799326</v>
      </c>
      <c r="BE213" s="2">
        <f t="shared" ca="1" si="241"/>
        <v>2277305.4954398125</v>
      </c>
      <c r="BF213" s="2">
        <f t="shared" ca="1" si="242"/>
        <v>2619021.6468610419</v>
      </c>
      <c r="BG213" s="2">
        <f t="shared" ca="1" si="243"/>
        <v>2898709.5166937038</v>
      </c>
      <c r="BH213" s="2">
        <f t="shared" ca="1" si="244"/>
        <v>3196501.5481327763</v>
      </c>
      <c r="BI213" s="2">
        <f t="shared" ca="1" si="245"/>
        <v>42552655.785984568</v>
      </c>
      <c r="BJ213" s="2">
        <f t="shared" ca="1" si="246"/>
        <v>0.27557111627162345</v>
      </c>
      <c r="BK213" s="2">
        <f t="shared" ca="1" si="247"/>
        <v>13761385.105058972</v>
      </c>
    </row>
    <row r="214" spans="1:63" x14ac:dyDescent="0.3">
      <c r="A214" s="2">
        <v>213</v>
      </c>
      <c r="B214" s="2">
        <f t="shared" ca="1" si="186"/>
        <v>0.88880730548826936</v>
      </c>
      <c r="C214" s="2">
        <f t="shared" ca="1" si="187"/>
        <v>7.5284224464380634</v>
      </c>
      <c r="D214" s="2">
        <f t="shared" ca="1" si="188"/>
        <v>0.54729285579782894</v>
      </c>
      <c r="E214" s="2">
        <f t="shared" ca="1" si="189"/>
        <v>7.5484674002408836</v>
      </c>
      <c r="F214" s="2">
        <f t="shared" ca="1" si="190"/>
        <v>0.57813372201571034</v>
      </c>
      <c r="G214" s="2">
        <f t="shared" ca="1" si="191"/>
        <v>4.5913641280306471E-2</v>
      </c>
      <c r="H214" s="2">
        <f t="shared" ca="1" si="192"/>
        <v>4.5913641280306471E-2</v>
      </c>
      <c r="I214" s="2">
        <f t="shared" ca="1" si="193"/>
        <v>0.27156714593795073</v>
      </c>
      <c r="J214" s="2">
        <f t="shared" ca="1" si="194"/>
        <v>6.9595990623210688E-3</v>
      </c>
      <c r="K214" s="2">
        <f t="shared" ca="1" si="195"/>
        <v>6.9595990623210688E-3</v>
      </c>
      <c r="L214" s="2">
        <f t="shared" ca="1" si="196"/>
        <v>0.32128965183662783</v>
      </c>
      <c r="M214" s="2">
        <f t="shared" ca="1" si="197"/>
        <v>-9.2819106138374435E-3</v>
      </c>
      <c r="N214" s="2">
        <f t="shared" ca="1" si="198"/>
        <v>-9.2819106138374435E-3</v>
      </c>
      <c r="O214" s="2">
        <f t="shared" si="199"/>
        <v>6000000</v>
      </c>
      <c r="P214" s="2">
        <f t="shared" ca="1" si="200"/>
        <v>45170534.678628378</v>
      </c>
      <c r="Q214" s="2">
        <f t="shared" ca="1" si="201"/>
        <v>1129263.3669657095</v>
      </c>
      <c r="R214" s="2">
        <f t="shared" ca="1" si="202"/>
        <v>27102320.807177026</v>
      </c>
      <c r="S214" s="2">
        <f t="shared" ca="1" si="203"/>
        <v>18068213.871451352</v>
      </c>
      <c r="T214" s="2">
        <f t="shared" ca="1" si="204"/>
        <v>49535904.46930813</v>
      </c>
      <c r="U214" s="2">
        <f t="shared" ca="1" si="205"/>
        <v>51810278.217607476</v>
      </c>
      <c r="V214" s="2">
        <f t="shared" ca="1" si="206"/>
        <v>54189076.746323586</v>
      </c>
      <c r="W214" s="2">
        <f t="shared" ca="1" si="207"/>
        <v>56677094.577365287</v>
      </c>
      <c r="X214" s="2">
        <f t="shared" ca="1" si="208"/>
        <v>59279346.366600439</v>
      </c>
      <c r="Y214" s="2">
        <f t="shared" ca="1" si="209"/>
        <v>0.12347979953116053</v>
      </c>
      <c r="Z214" s="2">
        <f t="shared" ca="1" si="210"/>
        <v>0.12487171934362475</v>
      </c>
      <c r="AA214" s="2">
        <f t="shared" ca="1" si="211"/>
        <v>6116683.5534648867</v>
      </c>
      <c r="AB214" s="2">
        <f t="shared" ca="1" si="212"/>
        <v>6469638.5207041949</v>
      </c>
      <c r="AC214" s="2">
        <f t="shared" ca="1" si="213"/>
        <v>6766683.1829570606</v>
      </c>
      <c r="AD214" s="2">
        <f t="shared" ca="1" si="214"/>
        <v>7077366.2472768342</v>
      </c>
      <c r="AE214" s="2">
        <f t="shared" ca="1" si="215"/>
        <v>7402313.9023636514</v>
      </c>
      <c r="AF214" s="2">
        <f t="shared" ca="1" si="216"/>
        <v>990718.08938616258</v>
      </c>
      <c r="AG214" s="2">
        <f t="shared" ca="1" si="217"/>
        <v>1036205.5643521495</v>
      </c>
      <c r="AH214" s="2">
        <f t="shared" ca="1" si="218"/>
        <v>1083781.5349264718</v>
      </c>
      <c r="AI214" s="2">
        <f t="shared" ca="1" si="219"/>
        <v>1133541.8915473057</v>
      </c>
      <c r="AJ214" s="2">
        <f t="shared" ca="1" si="220"/>
        <v>1185586.9273320087</v>
      </c>
      <c r="AK214" s="2">
        <f t="shared" ca="1" si="221"/>
        <v>0</v>
      </c>
      <c r="AL214" s="2">
        <f t="shared" ca="1" si="222"/>
        <v>22743.737482993452</v>
      </c>
      <c r="AM214" s="2">
        <f t="shared" ca="1" si="223"/>
        <v>23787.985287161096</v>
      </c>
      <c r="AN214" s="2">
        <f t="shared" ca="1" si="224"/>
        <v>24880.178310417014</v>
      </c>
      <c r="AO214" s="2">
        <f t="shared" ca="1" si="225"/>
        <v>26022.517892351523</v>
      </c>
      <c r="AP214" s="2">
        <f t="shared" ca="1" si="226"/>
        <v>2439208.8726459322</v>
      </c>
      <c r="AQ214" s="2">
        <f t="shared" ca="1" si="227"/>
        <v>698556.71377252601</v>
      </c>
      <c r="AR214" s="2">
        <f t="shared" ca="1" si="228"/>
        <v>778498.26176358957</v>
      </c>
      <c r="AS214" s="2">
        <f t="shared" ca="1" si="229"/>
        <v>843360.12160001067</v>
      </c>
      <c r="AT214" s="2">
        <f t="shared" ca="1" si="230"/>
        <v>911200.02560173511</v>
      </c>
      <c r="AU214" s="2">
        <f t="shared" ca="1" si="231"/>
        <v>982154.70662028459</v>
      </c>
      <c r="AV214" s="2">
        <f t="shared" ca="1" si="232"/>
        <v>1988199.8776602661</v>
      </c>
      <c r="AW214" s="2">
        <f t="shared" ca="1" si="233"/>
        <v>2192982.0844595302</v>
      </c>
      <c r="AX214" s="2">
        <f t="shared" ca="1" si="234"/>
        <v>2376544.6684974842</v>
      </c>
      <c r="AY214" s="2">
        <f t="shared" ca="1" si="235"/>
        <v>2568535.2791714445</v>
      </c>
      <c r="AZ214" s="2">
        <f t="shared" ca="1" si="236"/>
        <v>2769340.8778730743</v>
      </c>
      <c r="BA214" s="2">
        <f t="shared" ca="1" si="237"/>
        <v>55876125.178341903</v>
      </c>
      <c r="BB214" s="2">
        <f t="shared" ca="1" si="238"/>
        <v>1117522.5035668381</v>
      </c>
      <c r="BC214" s="2">
        <f t="shared" ca="1" si="239"/>
        <v>27656281.867598038</v>
      </c>
      <c r="BD214" s="2">
        <f t="shared" ca="1" si="240"/>
        <v>-19697477.238417063</v>
      </c>
      <c r="BE214" s="2">
        <f t="shared" ca="1" si="241"/>
        <v>1988199.8776602661</v>
      </c>
      <c r="BF214" s="2">
        <f t="shared" ca="1" si="242"/>
        <v>2192982.0844595302</v>
      </c>
      <c r="BG214" s="2">
        <f t="shared" ca="1" si="243"/>
        <v>2376544.6684974842</v>
      </c>
      <c r="BH214" s="2">
        <f t="shared" ca="1" si="244"/>
        <v>2568535.2791714445</v>
      </c>
      <c r="BI214" s="2">
        <f t="shared" ca="1" si="245"/>
        <v>30425622.745471112</v>
      </c>
      <c r="BJ214" s="2">
        <f t="shared" ca="1" si="246"/>
        <v>0.17471855983982265</v>
      </c>
      <c r="BK214" s="2">
        <f t="shared" ca="1" si="247"/>
        <v>4414176.7208496146</v>
      </c>
    </row>
    <row r="215" spans="1:63" x14ac:dyDescent="0.3">
      <c r="A215" s="2">
        <v>214</v>
      </c>
      <c r="B215" s="2">
        <f t="shared" ca="1" si="186"/>
        <v>6.308433549273873E-2</v>
      </c>
      <c r="C215" s="2">
        <f t="shared" ca="1" si="187"/>
        <v>6.3552022958617771</v>
      </c>
      <c r="D215" s="2">
        <f t="shared" ca="1" si="188"/>
        <v>5.0865675087845008E-2</v>
      </c>
      <c r="E215" s="2">
        <f t="shared" ca="1" si="189"/>
        <v>6.8189535235354679</v>
      </c>
      <c r="F215" s="2">
        <f t="shared" ca="1" si="190"/>
        <v>0.95095534195995246</v>
      </c>
      <c r="G215" s="2">
        <f t="shared" ca="1" si="191"/>
        <v>8.9625640620812186E-2</v>
      </c>
      <c r="H215" s="2">
        <f t="shared" ca="1" si="192"/>
        <v>8.9625640620812186E-2</v>
      </c>
      <c r="I215" s="2">
        <f t="shared" ca="1" si="193"/>
        <v>0.57573642063276254</v>
      </c>
      <c r="J215" s="2">
        <f t="shared" ca="1" si="194"/>
        <v>1.0954990008604297E-2</v>
      </c>
      <c r="K215" s="2">
        <f t="shared" ca="1" si="195"/>
        <v>1.0954990008604297E-2</v>
      </c>
      <c r="L215" s="2">
        <f t="shared" ca="1" si="196"/>
        <v>0.41752086734871674</v>
      </c>
      <c r="M215" s="2">
        <f t="shared" ca="1" si="197"/>
        <v>-4.1647959762705355E-3</v>
      </c>
      <c r="N215" s="2">
        <f t="shared" ca="1" si="198"/>
        <v>-4.1647959762705355E-3</v>
      </c>
      <c r="O215" s="2">
        <f t="shared" si="199"/>
        <v>6000000</v>
      </c>
      <c r="P215" s="2">
        <f t="shared" ca="1" si="200"/>
        <v>38131213.775170662</v>
      </c>
      <c r="Q215" s="2">
        <f t="shared" ca="1" si="201"/>
        <v>953280.34437926661</v>
      </c>
      <c r="R215" s="2">
        <f t="shared" ca="1" si="202"/>
        <v>22878728.265102398</v>
      </c>
      <c r="S215" s="2">
        <f t="shared" ca="1" si="203"/>
        <v>15252485.510068266</v>
      </c>
      <c r="T215" s="2">
        <f t="shared" ca="1" si="204"/>
        <v>49791760.201186478</v>
      </c>
      <c r="U215" s="2">
        <f t="shared" ca="1" si="205"/>
        <v>54254378.606855676</v>
      </c>
      <c r="V215" s="2">
        <f t="shared" ca="1" si="206"/>
        <v>59116962.045979209</v>
      </c>
      <c r="W215" s="2">
        <f t="shared" ca="1" si="207"/>
        <v>64415357.640906341</v>
      </c>
      <c r="X215" s="2">
        <f t="shared" ca="1" si="208"/>
        <v>70188625.335291311</v>
      </c>
      <c r="Y215" s="2">
        <f t="shared" ca="1" si="209"/>
        <v>0.12547749500430214</v>
      </c>
      <c r="Z215" s="2">
        <f t="shared" ca="1" si="210"/>
        <v>0.12766849300602301</v>
      </c>
      <c r="AA215" s="2">
        <f t="shared" ca="1" si="211"/>
        <v>6247745.3418997861</v>
      </c>
      <c r="AB215" s="2">
        <f t="shared" ca="1" si="212"/>
        <v>6926574.7557154782</v>
      </c>
      <c r="AC215" s="2">
        <f t="shared" ca="1" si="213"/>
        <v>7547373.4555044239</v>
      </c>
      <c r="AD215" s="2">
        <f t="shared" ca="1" si="214"/>
        <v>8223811.6364585217</v>
      </c>
      <c r="AE215" s="2">
        <f t="shared" ca="1" si="215"/>
        <v>8960876.0227210075</v>
      </c>
      <c r="AF215" s="2">
        <f t="shared" ca="1" si="216"/>
        <v>995835.20402372954</v>
      </c>
      <c r="AG215" s="2">
        <f t="shared" ca="1" si="217"/>
        <v>1085087.5721371134</v>
      </c>
      <c r="AH215" s="2">
        <f t="shared" ca="1" si="218"/>
        <v>1182339.2409195842</v>
      </c>
      <c r="AI215" s="2">
        <f t="shared" ca="1" si="219"/>
        <v>1288307.1528181268</v>
      </c>
      <c r="AJ215" s="2">
        <f t="shared" ca="1" si="220"/>
        <v>1403772.5067058261</v>
      </c>
      <c r="AK215" s="2">
        <f t="shared" ca="1" si="221"/>
        <v>0</v>
      </c>
      <c r="AL215" s="2">
        <f t="shared" ca="1" si="222"/>
        <v>44626.184056691978</v>
      </c>
      <c r="AM215" s="2">
        <f t="shared" ca="1" si="223"/>
        <v>48625.834391235338</v>
      </c>
      <c r="AN215" s="2">
        <f t="shared" ca="1" si="224"/>
        <v>52983.955949271323</v>
      </c>
      <c r="AO215" s="2">
        <f t="shared" ca="1" si="225"/>
        <v>57732.676943849699</v>
      </c>
      <c r="AP215" s="2">
        <f t="shared" ca="1" si="226"/>
        <v>2059085.5438592157</v>
      </c>
      <c r="AQ215" s="2">
        <f t="shared" ca="1" si="227"/>
        <v>830134.39444437856</v>
      </c>
      <c r="AR215" s="2">
        <f t="shared" ca="1" si="228"/>
        <v>983424.42632697884</v>
      </c>
      <c r="AS215" s="2">
        <f t="shared" ca="1" si="229"/>
        <v>1119546.6543886622</v>
      </c>
      <c r="AT215" s="2">
        <f t="shared" ca="1" si="230"/>
        <v>1267868.9243431068</v>
      </c>
      <c r="AU215" s="2">
        <f t="shared" ca="1" si="231"/>
        <v>1429484.6727605511</v>
      </c>
      <c r="AV215" s="2">
        <f t="shared" ca="1" si="232"/>
        <v>2362690.1995724626</v>
      </c>
      <c r="AW215" s="2">
        <f t="shared" ca="1" si="233"/>
        <v>2754351.0293354783</v>
      </c>
      <c r="AX215" s="2">
        <f t="shared" ca="1" si="234"/>
        <v>3137776.1819457263</v>
      </c>
      <c r="AY215" s="2">
        <f t="shared" ca="1" si="235"/>
        <v>3555566.0594888013</v>
      </c>
      <c r="AZ215" s="2">
        <f t="shared" ca="1" si="236"/>
        <v>4010800.6224515652</v>
      </c>
      <c r="BA215" s="2">
        <f t="shared" ca="1" si="237"/>
        <v>61103797.129097901</v>
      </c>
      <c r="BB215" s="2">
        <f t="shared" ca="1" si="238"/>
        <v>1222075.9425819581</v>
      </c>
      <c r="BC215" s="2">
        <f t="shared" ca="1" si="239"/>
        <v>37002992.921413548</v>
      </c>
      <c r="BD215" s="2">
        <f t="shared" ca="1" si="240"/>
        <v>-16705765.854447532</v>
      </c>
      <c r="BE215" s="2">
        <f t="shared" ca="1" si="241"/>
        <v>2362690.1995724626</v>
      </c>
      <c r="BF215" s="2">
        <f t="shared" ca="1" si="242"/>
        <v>2754351.0293354783</v>
      </c>
      <c r="BG215" s="2">
        <f t="shared" ca="1" si="243"/>
        <v>3137776.1819457263</v>
      </c>
      <c r="BH215" s="2">
        <f t="shared" ca="1" si="244"/>
        <v>3555566.0594888013</v>
      </c>
      <c r="BI215" s="2">
        <f t="shared" ca="1" si="245"/>
        <v>41013793.543865114</v>
      </c>
      <c r="BJ215" s="2">
        <f t="shared" ca="1" si="246"/>
        <v>0.30877244714203878</v>
      </c>
      <c r="BK215" s="2">
        <f t="shared" ca="1" si="247"/>
        <v>15364892.273635171</v>
      </c>
    </row>
    <row r="216" spans="1:63" x14ac:dyDescent="0.3">
      <c r="A216" s="2">
        <v>215</v>
      </c>
      <c r="B216" s="2">
        <f t="shared" ca="1" si="186"/>
        <v>0.90879305616521711</v>
      </c>
      <c r="C216" s="2">
        <f t="shared" ca="1" si="187"/>
        <v>7.5729006114853759</v>
      </c>
      <c r="D216" s="2">
        <f t="shared" ca="1" si="188"/>
        <v>0.66021595205511097</v>
      </c>
      <c r="E216" s="2">
        <f t="shared" ca="1" si="189"/>
        <v>7.675640796806527</v>
      </c>
      <c r="F216" s="2">
        <f t="shared" ca="1" si="190"/>
        <v>0.80053541458556865</v>
      </c>
      <c r="G216" s="2">
        <f t="shared" ca="1" si="191"/>
        <v>6.5306056916298996E-2</v>
      </c>
      <c r="H216" s="2">
        <f t="shared" ca="1" si="192"/>
        <v>6.5306056916298996E-2</v>
      </c>
      <c r="I216" s="2">
        <f t="shared" ca="1" si="193"/>
        <v>3.9560307802717354E-3</v>
      </c>
      <c r="J216" s="2">
        <f t="shared" ca="1" si="194"/>
        <v>-3.2789980337519214E-3</v>
      </c>
      <c r="K216" s="2">
        <f t="shared" ca="1" si="195"/>
        <v>0</v>
      </c>
      <c r="L216" s="2">
        <f t="shared" ca="1" si="196"/>
        <v>0.46392097538298105</v>
      </c>
      <c r="M216" s="2">
        <f t="shared" ca="1" si="197"/>
        <v>-1.8112066922505779E-3</v>
      </c>
      <c r="N216" s="2">
        <f t="shared" ca="1" si="198"/>
        <v>-1.8112066922505779E-3</v>
      </c>
      <c r="O216" s="2">
        <f t="shared" si="199"/>
        <v>6000000</v>
      </c>
      <c r="P216" s="2">
        <f t="shared" ca="1" si="200"/>
        <v>45437403.668912254</v>
      </c>
      <c r="Q216" s="2">
        <f t="shared" ca="1" si="201"/>
        <v>1135935.0917228064</v>
      </c>
      <c r="R216" s="2">
        <f t="shared" ca="1" si="202"/>
        <v>27262442.201347351</v>
      </c>
      <c r="S216" s="2">
        <f t="shared" ca="1" si="203"/>
        <v>18174961.467564903</v>
      </c>
      <c r="T216" s="2">
        <f t="shared" ca="1" si="204"/>
        <v>49909439.665387474</v>
      </c>
      <c r="U216" s="2">
        <f t="shared" ca="1" si="205"/>
        <v>53168828.372835867</v>
      </c>
      <c r="V216" s="2">
        <f t="shared" ca="1" si="206"/>
        <v>56641074.904725224</v>
      </c>
      <c r="W216" s="2">
        <f t="shared" ca="1" si="207"/>
        <v>60340080.166253567</v>
      </c>
      <c r="X216" s="2">
        <f t="shared" ca="1" si="208"/>
        <v>64280652.875924975</v>
      </c>
      <c r="Y216" s="2">
        <f t="shared" ca="1" si="209"/>
        <v>0.12</v>
      </c>
      <c r="Z216" s="2">
        <f t="shared" ca="1" si="210"/>
        <v>0.12</v>
      </c>
      <c r="AA216" s="2">
        <f t="shared" ca="1" si="211"/>
        <v>5989132.7598464964</v>
      </c>
      <c r="AB216" s="2">
        <f t="shared" ca="1" si="212"/>
        <v>6380259.4047403038</v>
      </c>
      <c r="AC216" s="2">
        <f t="shared" ca="1" si="213"/>
        <v>6796928.9885670263</v>
      </c>
      <c r="AD216" s="2">
        <f t="shared" ca="1" si="214"/>
        <v>7240809.6199504277</v>
      </c>
      <c r="AE216" s="2">
        <f t="shared" ca="1" si="215"/>
        <v>7713678.3451109966</v>
      </c>
      <c r="AF216" s="2">
        <f t="shared" ca="1" si="216"/>
        <v>998188.79330774955</v>
      </c>
      <c r="AG216" s="2">
        <f t="shared" ca="1" si="217"/>
        <v>1063376.5674567174</v>
      </c>
      <c r="AH216" s="2">
        <f t="shared" ca="1" si="218"/>
        <v>1132821.4980945045</v>
      </c>
      <c r="AI216" s="2">
        <f t="shared" ca="1" si="219"/>
        <v>1206801.6033250713</v>
      </c>
      <c r="AJ216" s="2">
        <f t="shared" ca="1" si="220"/>
        <v>1285613.0575184994</v>
      </c>
      <c r="AK216" s="2">
        <f t="shared" ca="1" si="221"/>
        <v>0</v>
      </c>
      <c r="AL216" s="2">
        <f t="shared" ca="1" si="222"/>
        <v>32593.887074483933</v>
      </c>
      <c r="AM216" s="2">
        <f t="shared" ca="1" si="223"/>
        <v>34722.46531889357</v>
      </c>
      <c r="AN216" s="2">
        <f t="shared" ca="1" si="224"/>
        <v>36990.052615283428</v>
      </c>
      <c r="AO216" s="2">
        <f t="shared" ca="1" si="225"/>
        <v>39405.727096714079</v>
      </c>
      <c r="AP216" s="2">
        <f t="shared" ca="1" si="226"/>
        <v>2453619.7981212614</v>
      </c>
      <c r="AQ216" s="2">
        <f t="shared" ca="1" si="227"/>
        <v>659704.28378854622</v>
      </c>
      <c r="AR216" s="2">
        <f t="shared" ca="1" si="228"/>
        <v>744448.39018220443</v>
      </c>
      <c r="AS216" s="2">
        <f t="shared" ca="1" si="229"/>
        <v>834726.80001132772</v>
      </c>
      <c r="AT216" s="2">
        <f t="shared" ca="1" si="230"/>
        <v>930900.9368110646</v>
      </c>
      <c r="AU216" s="2">
        <f t="shared" ca="1" si="231"/>
        <v>1033355.8272625213</v>
      </c>
      <c r="AV216" s="2">
        <f t="shared" ca="1" si="232"/>
        <v>1877619.8846289394</v>
      </c>
      <c r="AW216" s="2">
        <f t="shared" ca="1" si="233"/>
        <v>2086220.7619056366</v>
      </c>
      <c r="AX216" s="2">
        <f t="shared" ca="1" si="234"/>
        <v>2341038.4270210387</v>
      </c>
      <c r="AY216" s="2">
        <f t="shared" ca="1" si="235"/>
        <v>2612497.2290777471</v>
      </c>
      <c r="AZ216" s="2">
        <f t="shared" ca="1" si="236"/>
        <v>2901683.9351120004</v>
      </c>
      <c r="BA216" s="2">
        <f t="shared" ca="1" si="237"/>
        <v>59207424.199177019</v>
      </c>
      <c r="BB216" s="2">
        <f t="shared" ca="1" si="238"/>
        <v>1184148.4839835404</v>
      </c>
      <c r="BC216" s="2">
        <f t="shared" ca="1" si="239"/>
        <v>30760833.513846129</v>
      </c>
      <c r="BD216" s="2">
        <f t="shared" ca="1" si="240"/>
        <v>-19810896.559287708</v>
      </c>
      <c r="BE216" s="2">
        <f t="shared" ca="1" si="241"/>
        <v>1877619.8846289394</v>
      </c>
      <c r="BF216" s="2">
        <f t="shared" ca="1" si="242"/>
        <v>2086220.7619056366</v>
      </c>
      <c r="BG216" s="2">
        <f t="shared" ca="1" si="243"/>
        <v>2341038.4270210387</v>
      </c>
      <c r="BH216" s="2">
        <f t="shared" ca="1" si="244"/>
        <v>2612497.2290777471</v>
      </c>
      <c r="BI216" s="2">
        <f t="shared" ca="1" si="245"/>
        <v>33662517.448958129</v>
      </c>
      <c r="BJ216" s="2">
        <f t="shared" ca="1" si="246"/>
        <v>0.19054172597236096</v>
      </c>
      <c r="BK216" s="2">
        <f t="shared" ca="1" si="247"/>
        <v>5956282.7471068203</v>
      </c>
    </row>
    <row r="217" spans="1:63" x14ac:dyDescent="0.3">
      <c r="A217" s="2">
        <v>216</v>
      </c>
      <c r="B217" s="2">
        <f t="shared" ca="1" si="186"/>
        <v>0.8647369612059489</v>
      </c>
      <c r="C217" s="2">
        <f t="shared" ca="1" si="187"/>
        <v>7.4798787856777018</v>
      </c>
      <c r="D217" s="2">
        <f t="shared" ca="1" si="188"/>
        <v>0.19065302676240992</v>
      </c>
      <c r="E217" s="2">
        <f t="shared" ca="1" si="189"/>
        <v>7.1174998409107646</v>
      </c>
      <c r="F217" s="2">
        <f t="shared" ca="1" si="190"/>
        <v>8.0414263799240437E-2</v>
      </c>
      <c r="G217" s="2">
        <f t="shared" ca="1" si="191"/>
        <v>-2.0687138455025289E-3</v>
      </c>
      <c r="H217" s="2">
        <f t="shared" ca="1" si="192"/>
        <v>-2.0687138455025289E-3</v>
      </c>
      <c r="I217" s="2">
        <f t="shared" ca="1" si="193"/>
        <v>0.10630032574962933</v>
      </c>
      <c r="J217" s="2">
        <f t="shared" ca="1" si="194"/>
        <v>3.7677693071020181E-3</v>
      </c>
      <c r="K217" s="2">
        <f t="shared" ca="1" si="195"/>
        <v>3.7677693071020181E-3</v>
      </c>
      <c r="L217" s="2">
        <f t="shared" ca="1" si="196"/>
        <v>9.2745741592581865E-2</v>
      </c>
      <c r="M217" s="2">
        <f t="shared" ca="1" si="197"/>
        <v>-2.6480696256228092E-2</v>
      </c>
      <c r="N217" s="2">
        <f t="shared" ca="1" si="198"/>
        <v>-2.6480696256228092E-2</v>
      </c>
      <c r="O217" s="2">
        <f t="shared" si="199"/>
        <v>6000000</v>
      </c>
      <c r="P217" s="2">
        <f t="shared" ca="1" si="200"/>
        <v>44879272.714066207</v>
      </c>
      <c r="Q217" s="2">
        <f t="shared" ca="1" si="201"/>
        <v>1121981.8178516552</v>
      </c>
      <c r="R217" s="2">
        <f t="shared" ca="1" si="202"/>
        <v>26927563.628439724</v>
      </c>
      <c r="S217" s="2">
        <f t="shared" ca="1" si="203"/>
        <v>17951709.085626483</v>
      </c>
      <c r="T217" s="2">
        <f t="shared" ca="1" si="204"/>
        <v>48675965.187188596</v>
      </c>
      <c r="U217" s="2">
        <f t="shared" ca="1" si="205"/>
        <v>48575268.544062659</v>
      </c>
      <c r="V217" s="2">
        <f t="shared" ca="1" si="206"/>
        <v>48474780.213476554</v>
      </c>
      <c r="W217" s="2">
        <f t="shared" ca="1" si="207"/>
        <v>48374499.764491238</v>
      </c>
      <c r="X217" s="2">
        <f t="shared" ca="1" si="208"/>
        <v>48274426.767059177</v>
      </c>
      <c r="Y217" s="2">
        <f t="shared" ca="1" si="209"/>
        <v>0.121883884653551</v>
      </c>
      <c r="Z217" s="2">
        <f t="shared" ca="1" si="210"/>
        <v>0.12263743851497141</v>
      </c>
      <c r="AA217" s="2">
        <f t="shared" ca="1" si="211"/>
        <v>5932815.7262755586</v>
      </c>
      <c r="AB217" s="2">
        <f t="shared" ca="1" si="212"/>
        <v>5957146.5094207097</v>
      </c>
      <c r="AC217" s="2">
        <f t="shared" ca="1" si="213"/>
        <v>5944822.8779569836</v>
      </c>
      <c r="AD217" s="2">
        <f t="shared" ca="1" si="214"/>
        <v>5932524.7405602932</v>
      </c>
      <c r="AE217" s="2">
        <f t="shared" ca="1" si="215"/>
        <v>5920252.0444907099</v>
      </c>
      <c r="AF217" s="2">
        <f t="shared" ca="1" si="216"/>
        <v>973519.30374377198</v>
      </c>
      <c r="AG217" s="2">
        <f t="shared" ca="1" si="217"/>
        <v>971505.37088125315</v>
      </c>
      <c r="AH217" s="2">
        <f t="shared" ca="1" si="218"/>
        <v>969495.60426953109</v>
      </c>
      <c r="AI217" s="2">
        <f t="shared" ca="1" si="219"/>
        <v>967489.99528982479</v>
      </c>
      <c r="AJ217" s="2">
        <f t="shared" ca="1" si="220"/>
        <v>965488.53534118354</v>
      </c>
      <c r="AK217" s="2">
        <f t="shared" ca="1" si="221"/>
        <v>0</v>
      </c>
      <c r="AL217" s="2">
        <f t="shared" ca="1" si="222"/>
        <v>0</v>
      </c>
      <c r="AM217" s="2">
        <f t="shared" ca="1" si="223"/>
        <v>0</v>
      </c>
      <c r="AN217" s="2">
        <f t="shared" ca="1" si="224"/>
        <v>0</v>
      </c>
      <c r="AO217" s="2">
        <f t="shared" ca="1" si="225"/>
        <v>0</v>
      </c>
      <c r="AP217" s="2">
        <f t="shared" ca="1" si="226"/>
        <v>2423480.7265595752</v>
      </c>
      <c r="AQ217" s="2">
        <f t="shared" ca="1" si="227"/>
        <v>659312.08095277497</v>
      </c>
      <c r="AR217" s="2">
        <f t="shared" ca="1" si="228"/>
        <v>666161.70711476926</v>
      </c>
      <c r="AS217" s="2">
        <f t="shared" ca="1" si="229"/>
        <v>663480.10225324798</v>
      </c>
      <c r="AT217" s="2">
        <f t="shared" ca="1" si="230"/>
        <v>660804.04486483219</v>
      </c>
      <c r="AU217" s="2">
        <f t="shared" ca="1" si="231"/>
        <v>658133.52347338735</v>
      </c>
      <c r="AV217" s="2">
        <f t="shared" ca="1" si="232"/>
        <v>1876503.6150194365</v>
      </c>
      <c r="AW217" s="2">
        <f t="shared" ca="1" si="233"/>
        <v>1895998.7048651124</v>
      </c>
      <c r="AX217" s="2">
        <f t="shared" ca="1" si="234"/>
        <v>1888366.4448746289</v>
      </c>
      <c r="AY217" s="2">
        <f t="shared" ca="1" si="235"/>
        <v>1880749.9738460607</v>
      </c>
      <c r="AZ217" s="2">
        <f t="shared" ca="1" si="236"/>
        <v>1873149.2591165635</v>
      </c>
      <c r="BA217" s="2">
        <f t="shared" ca="1" si="237"/>
        <v>42137392.984814256</v>
      </c>
      <c r="BB217" s="2">
        <f t="shared" ca="1" si="238"/>
        <v>842747.8596962851</v>
      </c>
      <c r="BC217" s="2">
        <f t="shared" ca="1" si="239"/>
        <v>14367081.496678246</v>
      </c>
      <c r="BD217" s="2">
        <f t="shared" ca="1" si="240"/>
        <v>-19573690.903478138</v>
      </c>
      <c r="BE217" s="2">
        <f t="shared" ca="1" si="241"/>
        <v>1876503.6150194365</v>
      </c>
      <c r="BF217" s="2">
        <f t="shared" ca="1" si="242"/>
        <v>1895998.7048651124</v>
      </c>
      <c r="BG217" s="2">
        <f t="shared" ca="1" si="243"/>
        <v>1888366.4448746289</v>
      </c>
      <c r="BH217" s="2">
        <f t="shared" ca="1" si="244"/>
        <v>1880749.9738460607</v>
      </c>
      <c r="BI217" s="2">
        <f t="shared" ca="1" si="245"/>
        <v>16240230.75579481</v>
      </c>
      <c r="BJ217" s="2">
        <f t="shared" ca="1" si="246"/>
        <v>4.7862712830669008E-2</v>
      </c>
      <c r="BK217" s="2">
        <f t="shared" ca="1" si="247"/>
        <v>-4632267.0685085375</v>
      </c>
    </row>
    <row r="218" spans="1:63" x14ac:dyDescent="0.3">
      <c r="A218" s="2">
        <v>217</v>
      </c>
      <c r="B218" s="2">
        <f t="shared" ca="1" si="186"/>
        <v>0.29304463917073953</v>
      </c>
      <c r="C218" s="2">
        <f t="shared" ca="1" si="187"/>
        <v>6.7655646793978148</v>
      </c>
      <c r="D218" s="2">
        <f t="shared" ca="1" si="188"/>
        <v>5.1819976751137475E-2</v>
      </c>
      <c r="E218" s="2">
        <f t="shared" ca="1" si="189"/>
        <v>6.8219315975518322</v>
      </c>
      <c r="F218" s="2">
        <f t="shared" ca="1" si="190"/>
        <v>0.35921928990866192</v>
      </c>
      <c r="G218" s="2">
        <f t="shared" ca="1" si="191"/>
        <v>2.9183608624240024E-2</v>
      </c>
      <c r="H218" s="2">
        <f t="shared" ca="1" si="192"/>
        <v>2.9183608624240024E-2</v>
      </c>
      <c r="I218" s="2">
        <f t="shared" ca="1" si="193"/>
        <v>0.24952967249981362</v>
      </c>
      <c r="J218" s="2">
        <f t="shared" ca="1" si="194"/>
        <v>6.6201472641277829E-3</v>
      </c>
      <c r="K218" s="2">
        <f t="shared" ca="1" si="195"/>
        <v>6.6201472641277829E-3</v>
      </c>
      <c r="L218" s="2">
        <f t="shared" ca="1" si="196"/>
        <v>0.24656391832419189</v>
      </c>
      <c r="M218" s="2">
        <f t="shared" ca="1" si="197"/>
        <v>-1.3706849439902748E-2</v>
      </c>
      <c r="N218" s="2">
        <f t="shared" ca="1" si="198"/>
        <v>-1.3706849439902748E-2</v>
      </c>
      <c r="O218" s="2">
        <f t="shared" si="199"/>
        <v>6000000</v>
      </c>
      <c r="P218" s="2">
        <f t="shared" ca="1" si="200"/>
        <v>40593388.076386891</v>
      </c>
      <c r="Q218" s="2">
        <f t="shared" ca="1" si="201"/>
        <v>1014834.7019096724</v>
      </c>
      <c r="R218" s="2">
        <f t="shared" ca="1" si="202"/>
        <v>24356032.845832136</v>
      </c>
      <c r="S218" s="2">
        <f t="shared" ca="1" si="203"/>
        <v>16237355.230554758</v>
      </c>
      <c r="T218" s="2">
        <f t="shared" ca="1" si="204"/>
        <v>49314657.528004862</v>
      </c>
      <c r="U218" s="2">
        <f t="shared" ca="1" si="205"/>
        <v>50753837.192740589</v>
      </c>
      <c r="V218" s="2">
        <f t="shared" ca="1" si="206"/>
        <v>52235017.313551933</v>
      </c>
      <c r="W218" s="2">
        <f t="shared" ca="1" si="207"/>
        <v>53759423.615311034</v>
      </c>
      <c r="X218" s="2">
        <f t="shared" ca="1" si="208"/>
        <v>55328317.593965001</v>
      </c>
      <c r="Y218" s="2">
        <f t="shared" ca="1" si="209"/>
        <v>0.12331007363206389</v>
      </c>
      <c r="Z218" s="2">
        <f t="shared" ca="1" si="210"/>
        <v>0.12463410308488944</v>
      </c>
      <c r="AA218" s="2">
        <f t="shared" ca="1" si="211"/>
        <v>6080994.0509182932</v>
      </c>
      <c r="AB218" s="2">
        <f t="shared" ca="1" si="212"/>
        <v>6325658.9766337266</v>
      </c>
      <c r="AC218" s="2">
        <f t="shared" ca="1" si="213"/>
        <v>6510264.5324982163</v>
      </c>
      <c r="AD218" s="2">
        <f t="shared" ca="1" si="214"/>
        <v>6700257.5446549151</v>
      </c>
      <c r="AE218" s="2">
        <f t="shared" ca="1" si="215"/>
        <v>6895795.2385197356</v>
      </c>
      <c r="AF218" s="2">
        <f t="shared" ca="1" si="216"/>
        <v>986293.1505600973</v>
      </c>
      <c r="AG218" s="2">
        <f t="shared" ca="1" si="217"/>
        <v>1015076.7438548118</v>
      </c>
      <c r="AH218" s="2">
        <f t="shared" ca="1" si="218"/>
        <v>1044700.3462710386</v>
      </c>
      <c r="AI218" s="2">
        <f t="shared" ca="1" si="219"/>
        <v>1075188.4723062208</v>
      </c>
      <c r="AJ218" s="2">
        <f t="shared" ca="1" si="220"/>
        <v>1106566.3518793001</v>
      </c>
      <c r="AK218" s="2">
        <f t="shared" ca="1" si="221"/>
        <v>0</v>
      </c>
      <c r="AL218" s="2">
        <f t="shared" ca="1" si="222"/>
        <v>14391.796647357271</v>
      </c>
      <c r="AM218" s="2">
        <f t="shared" ca="1" si="223"/>
        <v>14811.801208113433</v>
      </c>
      <c r="AN218" s="2">
        <f t="shared" ca="1" si="224"/>
        <v>15244.063017591016</v>
      </c>
      <c r="AO218" s="2">
        <f t="shared" ca="1" si="225"/>
        <v>15688.939786539675</v>
      </c>
      <c r="AP218" s="2">
        <f t="shared" ca="1" si="226"/>
        <v>2192042.956124892</v>
      </c>
      <c r="AQ218" s="2">
        <f t="shared" ca="1" si="227"/>
        <v>754691.06550065917</v>
      </c>
      <c r="AR218" s="2">
        <f t="shared" ca="1" si="228"/>
        <v>810820.21193004609</v>
      </c>
      <c r="AS218" s="2">
        <f t="shared" ca="1" si="229"/>
        <v>851115.51982659416</v>
      </c>
      <c r="AT218" s="2">
        <f t="shared" ca="1" si="230"/>
        <v>892586.79021818866</v>
      </c>
      <c r="AU218" s="2">
        <f t="shared" ca="1" si="231"/>
        <v>935268.34193404124</v>
      </c>
      <c r="AV218" s="2">
        <f t="shared" ca="1" si="232"/>
        <v>2147966.8787326454</v>
      </c>
      <c r="AW218" s="2">
        <f t="shared" ca="1" si="233"/>
        <v>2293327.2680766205</v>
      </c>
      <c r="AX218" s="2">
        <f t="shared" ca="1" si="234"/>
        <v>2407593.9090675781</v>
      </c>
      <c r="AY218" s="2">
        <f t="shared" ca="1" si="235"/>
        <v>2525195.262988023</v>
      </c>
      <c r="AZ218" s="2">
        <f t="shared" ca="1" si="236"/>
        <v>2646228.6487949626</v>
      </c>
      <c r="BA218" s="2">
        <f t="shared" ca="1" si="237"/>
        <v>47042643.427905262</v>
      </c>
      <c r="BB218" s="2">
        <f t="shared" ca="1" si="238"/>
        <v>940852.8685581052</v>
      </c>
      <c r="BC218" s="2">
        <f t="shared" ca="1" si="239"/>
        <v>21745757.713515021</v>
      </c>
      <c r="BD218" s="2">
        <f t="shared" ca="1" si="240"/>
        <v>-17752189.932464428</v>
      </c>
      <c r="BE218" s="2">
        <f t="shared" ca="1" si="241"/>
        <v>2147966.8787326454</v>
      </c>
      <c r="BF218" s="2">
        <f t="shared" ca="1" si="242"/>
        <v>2293327.2680766205</v>
      </c>
      <c r="BG218" s="2">
        <f t="shared" ca="1" si="243"/>
        <v>2407593.9090675781</v>
      </c>
      <c r="BH218" s="2">
        <f t="shared" ca="1" si="244"/>
        <v>2525195.262988023</v>
      </c>
      <c r="BI218" s="2">
        <f t="shared" ca="1" si="245"/>
        <v>24391986.362309985</v>
      </c>
      <c r="BJ218" s="2">
        <f t="shared" ca="1" si="246"/>
        <v>0.16566441893962325</v>
      </c>
      <c r="BK218" s="2">
        <f t="shared" ca="1" si="247"/>
        <v>3153017.251821883</v>
      </c>
    </row>
    <row r="219" spans="1:63" x14ac:dyDescent="0.3">
      <c r="A219" s="2">
        <v>218</v>
      </c>
      <c r="B219" s="2">
        <f t="shared" ca="1" si="186"/>
        <v>0.20901002584597117</v>
      </c>
      <c r="C219" s="2">
        <f t="shared" ca="1" si="187"/>
        <v>6.6465447020059347</v>
      </c>
      <c r="D219" s="2">
        <f t="shared" ca="1" si="188"/>
        <v>0.73207006888829285</v>
      </c>
      <c r="E219" s="2">
        <f t="shared" ca="1" si="189"/>
        <v>7.7679755043556167</v>
      </c>
      <c r="F219" s="2">
        <f t="shared" ca="1" si="190"/>
        <v>0.8365649434192709</v>
      </c>
      <c r="G219" s="2">
        <f t="shared" ca="1" si="191"/>
        <v>6.9413130684108093E-2</v>
      </c>
      <c r="H219" s="2">
        <f t="shared" ca="1" si="192"/>
        <v>6.9413130684108093E-2</v>
      </c>
      <c r="I219" s="2">
        <f t="shared" ca="1" si="193"/>
        <v>9.1531274362972814E-2</v>
      </c>
      <c r="J219" s="2">
        <f t="shared" ca="1" si="194"/>
        <v>3.3430778317749578E-3</v>
      </c>
      <c r="K219" s="2">
        <f t="shared" ca="1" si="195"/>
        <v>3.3430778317749578E-3</v>
      </c>
      <c r="L219" s="2">
        <f t="shared" ca="1" si="196"/>
        <v>0.35004822727401153</v>
      </c>
      <c r="M219" s="2">
        <f t="shared" ca="1" si="197"/>
        <v>-7.7038053219941087E-3</v>
      </c>
      <c r="N219" s="2">
        <f t="shared" ca="1" si="198"/>
        <v>-7.7038053219941087E-3</v>
      </c>
      <c r="O219" s="2">
        <f t="shared" si="199"/>
        <v>6000000</v>
      </c>
      <c r="P219" s="2">
        <f t="shared" ca="1" si="200"/>
        <v>39879268.212035611</v>
      </c>
      <c r="Q219" s="2">
        <f t="shared" ca="1" si="201"/>
        <v>996981.70530089037</v>
      </c>
      <c r="R219" s="2">
        <f t="shared" ca="1" si="202"/>
        <v>23927560.927221365</v>
      </c>
      <c r="S219" s="2">
        <f t="shared" ca="1" si="203"/>
        <v>15951707.284814246</v>
      </c>
      <c r="T219" s="2">
        <f t="shared" ca="1" si="204"/>
        <v>49614809.733900294</v>
      </c>
      <c r="U219" s="2">
        <f t="shared" ca="1" si="205"/>
        <v>53058729.005826674</v>
      </c>
      <c r="V219" s="2">
        <f t="shared" ca="1" si="206"/>
        <v>56741701.496240802</v>
      </c>
      <c r="W219" s="2">
        <f t="shared" ca="1" si="207"/>
        <v>60680320.637438022</v>
      </c>
      <c r="X219" s="2">
        <f t="shared" ca="1" si="208"/>
        <v>64892331.663798094</v>
      </c>
      <c r="Y219" s="2">
        <f t="shared" ca="1" si="209"/>
        <v>0.12167153891588747</v>
      </c>
      <c r="Z219" s="2">
        <f t="shared" ca="1" si="210"/>
        <v>0.12234015448224246</v>
      </c>
      <c r="AA219" s="2">
        <f t="shared" ca="1" si="211"/>
        <v>6036710.2533426024</v>
      </c>
      <c r="AB219" s="2">
        <f t="shared" ca="1" si="212"/>
        <v>6491213.1032042746</v>
      </c>
      <c r="AC219" s="2">
        <f t="shared" ca="1" si="213"/>
        <v>6941788.5266353879</v>
      </c>
      <c r="AD219" s="2">
        <f t="shared" ca="1" si="214"/>
        <v>7423639.8008161727</v>
      </c>
      <c r="AE219" s="2">
        <f t="shared" ca="1" si="215"/>
        <v>7938937.8804619731</v>
      </c>
      <c r="AF219" s="2">
        <f t="shared" ca="1" si="216"/>
        <v>992296.19467800588</v>
      </c>
      <c r="AG219" s="2">
        <f t="shared" ca="1" si="217"/>
        <v>1061174.5801165334</v>
      </c>
      <c r="AH219" s="2">
        <f t="shared" ca="1" si="218"/>
        <v>1134834.029924816</v>
      </c>
      <c r="AI219" s="2">
        <f t="shared" ca="1" si="219"/>
        <v>1213606.4127487605</v>
      </c>
      <c r="AJ219" s="2">
        <f t="shared" ca="1" si="220"/>
        <v>1297846.633275962</v>
      </c>
      <c r="AK219" s="2">
        <f t="shared" ca="1" si="221"/>
        <v>0</v>
      </c>
      <c r="AL219" s="2">
        <f t="shared" ca="1" si="222"/>
        <v>34439.19271926381</v>
      </c>
      <c r="AM219" s="2">
        <f t="shared" ca="1" si="223"/>
        <v>36829.72490414128</v>
      </c>
      <c r="AN219" s="2">
        <f t="shared" ca="1" si="224"/>
        <v>39386.191411972199</v>
      </c>
      <c r="AO219" s="2">
        <f t="shared" ca="1" si="225"/>
        <v>42120.11026360072</v>
      </c>
      <c r="AP219" s="2">
        <f t="shared" ca="1" si="226"/>
        <v>2153480.4834499229</v>
      </c>
      <c r="AQ219" s="2">
        <f t="shared" ca="1" si="227"/>
        <v>751642.72955581523</v>
      </c>
      <c r="AR219" s="2">
        <f t="shared" ca="1" si="228"/>
        <v>851905.09030583268</v>
      </c>
      <c r="AS219" s="2">
        <f t="shared" ca="1" si="229"/>
        <v>949903.24344776885</v>
      </c>
      <c r="AT219" s="2">
        <f t="shared" ca="1" si="230"/>
        <v>1054703.7552005472</v>
      </c>
      <c r="AU219" s="2">
        <f t="shared" ca="1" si="231"/>
        <v>1166778.7985713829</v>
      </c>
      <c r="AV219" s="2">
        <f t="shared" ca="1" si="232"/>
        <v>2139290.8456588583</v>
      </c>
      <c r="AW219" s="2">
        <f t="shared" ca="1" si="233"/>
        <v>2390213.7566127218</v>
      </c>
      <c r="AX219" s="2">
        <f t="shared" ca="1" si="234"/>
        <v>2666741.0449087396</v>
      </c>
      <c r="AY219" s="2">
        <f t="shared" ca="1" si="235"/>
        <v>2962462.9580049701</v>
      </c>
      <c r="AZ219" s="2">
        <f t="shared" ca="1" si="236"/>
        <v>3278711.8549011042</v>
      </c>
      <c r="BA219" s="2">
        <f t="shared" ca="1" si="237"/>
        <v>61669474.986029506</v>
      </c>
      <c r="BB219" s="2">
        <f t="shared" ca="1" si="238"/>
        <v>1233389.4997205902</v>
      </c>
      <c r="BC219" s="2">
        <f t="shared" ca="1" si="239"/>
        <v>36508524.559087552</v>
      </c>
      <c r="BD219" s="2">
        <f t="shared" ca="1" si="240"/>
        <v>-17448688.990115136</v>
      </c>
      <c r="BE219" s="2">
        <f t="shared" ca="1" si="241"/>
        <v>2139290.8456588583</v>
      </c>
      <c r="BF219" s="2">
        <f t="shared" ca="1" si="242"/>
        <v>2390213.7566127218</v>
      </c>
      <c r="BG219" s="2">
        <f t="shared" ca="1" si="243"/>
        <v>2666741.0449087396</v>
      </c>
      <c r="BH219" s="2">
        <f t="shared" ca="1" si="244"/>
        <v>2962462.9580049701</v>
      </c>
      <c r="BI219" s="2">
        <f t="shared" ca="1" si="245"/>
        <v>39787236.413988657</v>
      </c>
      <c r="BJ219" s="2">
        <f t="shared" ca="1" si="246"/>
        <v>0.27351053968805616</v>
      </c>
      <c r="BK219" s="2">
        <f t="shared" ca="1" si="247"/>
        <v>12724034.719228443</v>
      </c>
    </row>
    <row r="220" spans="1:63" x14ac:dyDescent="0.3">
      <c r="A220" s="2">
        <v>219</v>
      </c>
      <c r="B220" s="2">
        <f t="shared" ca="1" si="186"/>
        <v>0.21045550929180312</v>
      </c>
      <c r="C220" s="2">
        <f t="shared" ca="1" si="187"/>
        <v>6.6487765552049538</v>
      </c>
      <c r="D220" s="2">
        <f t="shared" ca="1" si="188"/>
        <v>9.671839068034993E-2</v>
      </c>
      <c r="E220" s="2">
        <f t="shared" ca="1" si="189"/>
        <v>6.9398144851647112</v>
      </c>
      <c r="F220" s="2">
        <f t="shared" ca="1" si="190"/>
        <v>0.77719865572209101</v>
      </c>
      <c r="G220" s="2">
        <f t="shared" ca="1" si="191"/>
        <v>6.2882993724067804E-2</v>
      </c>
      <c r="H220" s="2">
        <f t="shared" ca="1" si="192"/>
        <v>6.2882993724067804E-2</v>
      </c>
      <c r="I220" s="2">
        <f t="shared" ca="1" si="193"/>
        <v>0.30305781839134704</v>
      </c>
      <c r="J220" s="2">
        <f t="shared" ca="1" si="194"/>
        <v>7.4218699233467751E-3</v>
      </c>
      <c r="K220" s="2">
        <f t="shared" ca="1" si="195"/>
        <v>7.4218699233467751E-3</v>
      </c>
      <c r="L220" s="2">
        <f t="shared" ca="1" si="196"/>
        <v>0.80398701618615409</v>
      </c>
      <c r="M220" s="2">
        <f t="shared" ca="1" si="197"/>
        <v>1.7118980800658247E-2</v>
      </c>
      <c r="N220" s="2">
        <f t="shared" ca="1" si="198"/>
        <v>1.7118980800658247E-2</v>
      </c>
      <c r="O220" s="2">
        <f t="shared" si="199"/>
        <v>6000000</v>
      </c>
      <c r="P220" s="2">
        <f t="shared" ca="1" si="200"/>
        <v>39892659.331229724</v>
      </c>
      <c r="Q220" s="2">
        <f t="shared" ca="1" si="201"/>
        <v>997316.48328074312</v>
      </c>
      <c r="R220" s="2">
        <f t="shared" ca="1" si="202"/>
        <v>23935595.598737832</v>
      </c>
      <c r="S220" s="2">
        <f t="shared" ca="1" si="203"/>
        <v>15957063.73249189</v>
      </c>
      <c r="T220" s="2">
        <f t="shared" ca="1" si="204"/>
        <v>50855949.040032908</v>
      </c>
      <c r="U220" s="2">
        <f t="shared" ca="1" si="205"/>
        <v>54053923.364348806</v>
      </c>
      <c r="V220" s="2">
        <f t="shared" ca="1" si="206"/>
        <v>57452995.888030395</v>
      </c>
      <c r="W220" s="2">
        <f t="shared" ca="1" si="207"/>
        <v>61065812.267886303</v>
      </c>
      <c r="X220" s="2">
        <f t="shared" ca="1" si="208"/>
        <v>64905813.357482903</v>
      </c>
      <c r="Y220" s="2">
        <f t="shared" ca="1" si="209"/>
        <v>0.12371093496167339</v>
      </c>
      <c r="Z220" s="2">
        <f t="shared" ca="1" si="210"/>
        <v>0.12519530894634273</v>
      </c>
      <c r="AA220" s="2">
        <f t="shared" ca="1" si="211"/>
        <v>6291437.0041056871</v>
      </c>
      <c r="AB220" s="2">
        <f t="shared" ca="1" si="212"/>
        <v>6767297.635361583</v>
      </c>
      <c r="AC220" s="2">
        <f t="shared" ca="1" si="213"/>
        <v>7192845.5700949235</v>
      </c>
      <c r="AD220" s="2">
        <f t="shared" ca="1" si="214"/>
        <v>7645153.2329373918</v>
      </c>
      <c r="AE220" s="2">
        <f t="shared" ca="1" si="215"/>
        <v>8125903.3557037311</v>
      </c>
      <c r="AF220" s="2">
        <f t="shared" ca="1" si="216"/>
        <v>1017118.9808006582</v>
      </c>
      <c r="AG220" s="2">
        <f t="shared" ca="1" si="217"/>
        <v>1081078.4672869761</v>
      </c>
      <c r="AH220" s="2">
        <f t="shared" ca="1" si="218"/>
        <v>1149059.917760608</v>
      </c>
      <c r="AI220" s="2">
        <f t="shared" ca="1" si="219"/>
        <v>1221316.245357726</v>
      </c>
      <c r="AJ220" s="2">
        <f t="shared" ca="1" si="220"/>
        <v>1298116.2671496582</v>
      </c>
      <c r="AK220" s="2">
        <f t="shared" ca="1" si="221"/>
        <v>0</v>
      </c>
      <c r="AL220" s="2">
        <f t="shared" ca="1" si="222"/>
        <v>31979.74324315898</v>
      </c>
      <c r="AM220" s="2">
        <f t="shared" ca="1" si="223"/>
        <v>33990.725236815888</v>
      </c>
      <c r="AN220" s="2">
        <f t="shared" ca="1" si="224"/>
        <v>36128.163798559086</v>
      </c>
      <c r="AO220" s="2">
        <f t="shared" ca="1" si="225"/>
        <v>38400.010895965992</v>
      </c>
      <c r="AP220" s="2">
        <f t="shared" ca="1" si="226"/>
        <v>2154203.603886405</v>
      </c>
      <c r="AQ220" s="2">
        <f t="shared" ca="1" si="227"/>
        <v>811229.74904884223</v>
      </c>
      <c r="AR220" s="2">
        <f t="shared" ca="1" si="228"/>
        <v>918324.04668893258</v>
      </c>
      <c r="AS220" s="2">
        <f t="shared" ca="1" si="229"/>
        <v>1011291.3325964569</v>
      </c>
      <c r="AT220" s="2">
        <f t="shared" ca="1" si="230"/>
        <v>1110104.6797602479</v>
      </c>
      <c r="AU220" s="2">
        <f t="shared" ca="1" si="231"/>
        <v>1215131.7060135938</v>
      </c>
      <c r="AV220" s="2">
        <f t="shared" ca="1" si="232"/>
        <v>2308884.6703697816</v>
      </c>
      <c r="AW220" s="2">
        <f t="shared" ca="1" si="233"/>
        <v>2581711.7742561102</v>
      </c>
      <c r="AX220" s="2">
        <f t="shared" ca="1" si="234"/>
        <v>2844299.9906146377</v>
      </c>
      <c r="AY220" s="2">
        <f t="shared" ca="1" si="235"/>
        <v>3123400.5401344541</v>
      </c>
      <c r="AZ220" s="2">
        <f t="shared" ca="1" si="236"/>
        <v>3420051.7677581087</v>
      </c>
      <c r="BA220" s="2">
        <f t="shared" ca="1" si="237"/>
        <v>56392261.812961288</v>
      </c>
      <c r="BB220" s="2">
        <f t="shared" ca="1" si="238"/>
        <v>1127845.2362592258</v>
      </c>
      <c r="BC220" s="2">
        <f t="shared" ca="1" si="239"/>
        <v>31328820.97796423</v>
      </c>
      <c r="BD220" s="2">
        <f t="shared" ca="1" si="240"/>
        <v>-17454380.215772633</v>
      </c>
      <c r="BE220" s="2">
        <f t="shared" ca="1" si="241"/>
        <v>2308884.6703697816</v>
      </c>
      <c r="BF220" s="2">
        <f t="shared" ca="1" si="242"/>
        <v>2581711.7742561102</v>
      </c>
      <c r="BG220" s="2">
        <f t="shared" ca="1" si="243"/>
        <v>2844299.9906146377</v>
      </c>
      <c r="BH220" s="2">
        <f t="shared" ca="1" si="244"/>
        <v>3123400.5401344541</v>
      </c>
      <c r="BI220" s="2">
        <f t="shared" ca="1" si="245"/>
        <v>34748872.745722339</v>
      </c>
      <c r="BJ220" s="2">
        <f t="shared" ca="1" si="246"/>
        <v>0.25293862273201251</v>
      </c>
      <c r="BK220" s="2">
        <f t="shared" ca="1" si="247"/>
        <v>10392186.437639918</v>
      </c>
    </row>
    <row r="221" spans="1:63" x14ac:dyDescent="0.3">
      <c r="A221" s="2">
        <v>220</v>
      </c>
      <c r="B221" s="2">
        <f t="shared" ca="1" si="186"/>
        <v>1.776546593625794E-2</v>
      </c>
      <c r="C221" s="2">
        <f t="shared" ca="1" si="187"/>
        <v>6.1884965036081994</v>
      </c>
      <c r="D221" s="2">
        <f t="shared" ca="1" si="188"/>
        <v>0.31458948568833878</v>
      </c>
      <c r="E221" s="2">
        <f t="shared" ca="1" si="189"/>
        <v>7.293208025285093</v>
      </c>
      <c r="F221" s="2">
        <f t="shared" ca="1" si="190"/>
        <v>0.44092861230278202</v>
      </c>
      <c r="G221" s="2">
        <f t="shared" ca="1" si="191"/>
        <v>3.5541541956981441E-2</v>
      </c>
      <c r="H221" s="2">
        <f t="shared" ca="1" si="192"/>
        <v>3.5541541956981441E-2</v>
      </c>
      <c r="I221" s="2">
        <f t="shared" ca="1" si="193"/>
        <v>0.83219670655260747</v>
      </c>
      <c r="J221" s="2">
        <f t="shared" ca="1" si="194"/>
        <v>1.481441156152432E-2</v>
      </c>
      <c r="K221" s="2">
        <f t="shared" ca="1" si="195"/>
        <v>1.481441156152432E-2</v>
      </c>
      <c r="L221" s="2">
        <f t="shared" ca="1" si="196"/>
        <v>0.63545106492285097</v>
      </c>
      <c r="M221" s="2">
        <f t="shared" ca="1" si="197"/>
        <v>6.9265162977525984E-3</v>
      </c>
      <c r="N221" s="2">
        <f t="shared" ca="1" si="198"/>
        <v>6.9265162977525984E-3</v>
      </c>
      <c r="O221" s="2">
        <f t="shared" si="199"/>
        <v>6000000</v>
      </c>
      <c r="P221" s="2">
        <f t="shared" ca="1" si="200"/>
        <v>37130979.021649197</v>
      </c>
      <c r="Q221" s="2">
        <f t="shared" ca="1" si="201"/>
        <v>928274.47554122994</v>
      </c>
      <c r="R221" s="2">
        <f t="shared" ca="1" si="202"/>
        <v>22278587.412989516</v>
      </c>
      <c r="S221" s="2">
        <f t="shared" ca="1" si="203"/>
        <v>14852391.608659679</v>
      </c>
      <c r="T221" s="2">
        <f t="shared" ca="1" si="204"/>
        <v>50346325.814887628</v>
      </c>
      <c r="U221" s="2">
        <f t="shared" ca="1" si="205"/>
        <v>52135711.866217308</v>
      </c>
      <c r="V221" s="2">
        <f t="shared" ca="1" si="206"/>
        <v>53988695.456967562</v>
      </c>
      <c r="W221" s="2">
        <f t="shared" ca="1" si="207"/>
        <v>55907536.941754065</v>
      </c>
      <c r="X221" s="2">
        <f t="shared" ca="1" si="208"/>
        <v>57894577.011680901</v>
      </c>
      <c r="Y221" s="2">
        <f t="shared" ca="1" si="209"/>
        <v>0.12740720578076214</v>
      </c>
      <c r="Z221" s="2">
        <f t="shared" ca="1" si="210"/>
        <v>0.13037008809306702</v>
      </c>
      <c r="AA221" s="2">
        <f t="shared" ca="1" si="211"/>
        <v>6414484.6934026852</v>
      </c>
      <c r="AB221" s="2">
        <f t="shared" ca="1" si="212"/>
        <v>6796937.3487935103</v>
      </c>
      <c r="AC221" s="2">
        <f t="shared" ca="1" si="213"/>
        <v>7038510.9827546282</v>
      </c>
      <c r="AD221" s="2">
        <f t="shared" ca="1" si="214"/>
        <v>7288670.516162876</v>
      </c>
      <c r="AE221" s="2">
        <f t="shared" ca="1" si="215"/>
        <v>7547721.1051236922</v>
      </c>
      <c r="AF221" s="2">
        <f t="shared" ca="1" si="216"/>
        <v>1006926.5162977526</v>
      </c>
      <c r="AG221" s="2">
        <f t="shared" ca="1" si="217"/>
        <v>1042714.2373243462</v>
      </c>
      <c r="AH221" s="2">
        <f t="shared" ca="1" si="218"/>
        <v>1079773.9091393512</v>
      </c>
      <c r="AI221" s="2">
        <f t="shared" ca="1" si="219"/>
        <v>1118150.7388350812</v>
      </c>
      <c r="AJ221" s="2">
        <f t="shared" ca="1" si="220"/>
        <v>1157891.5402336181</v>
      </c>
      <c r="AK221" s="2">
        <f t="shared" ca="1" si="221"/>
        <v>0</v>
      </c>
      <c r="AL221" s="2">
        <f t="shared" ca="1" si="222"/>
        <v>17893.860513296797</v>
      </c>
      <c r="AM221" s="2">
        <f t="shared" ca="1" si="223"/>
        <v>18529.835907502547</v>
      </c>
      <c r="AN221" s="2">
        <f t="shared" ca="1" si="224"/>
        <v>19188.414847865031</v>
      </c>
      <c r="AO221" s="2">
        <f t="shared" ca="1" si="225"/>
        <v>19870.400699268357</v>
      </c>
      <c r="AP221" s="2">
        <f t="shared" ca="1" si="226"/>
        <v>2005072.8671690563</v>
      </c>
      <c r="AQ221" s="2">
        <f t="shared" ca="1" si="227"/>
        <v>884646.18058332778</v>
      </c>
      <c r="AR221" s="2">
        <f t="shared" ca="1" si="228"/>
        <v>974779.06351802824</v>
      </c>
      <c r="AS221" s="2">
        <f t="shared" ca="1" si="229"/>
        <v>1027952.6936760176</v>
      </c>
      <c r="AT221" s="2">
        <f t="shared" ca="1" si="230"/>
        <v>1083016.1966412719</v>
      </c>
      <c r="AU221" s="2">
        <f t="shared" ca="1" si="231"/>
        <v>1140036.7414074645</v>
      </c>
      <c r="AV221" s="2">
        <f t="shared" ca="1" si="232"/>
        <v>2517839.1293525482</v>
      </c>
      <c r="AW221" s="2">
        <f t="shared" ca="1" si="233"/>
        <v>2756477.3202687837</v>
      </c>
      <c r="AX221" s="2">
        <f t="shared" ca="1" si="234"/>
        <v>2907181.6768627018</v>
      </c>
      <c r="AY221" s="2">
        <f t="shared" ca="1" si="235"/>
        <v>3063242.2986696018</v>
      </c>
      <c r="AZ221" s="2">
        <f t="shared" ca="1" si="236"/>
        <v>3224849.5556142852</v>
      </c>
      <c r="BA221" s="2">
        <f t="shared" ca="1" si="237"/>
        <v>55047100.136501782</v>
      </c>
      <c r="BB221" s="2">
        <f t="shared" ca="1" si="238"/>
        <v>1100942.0027300357</v>
      </c>
      <c r="BC221" s="2">
        <f t="shared" ca="1" si="239"/>
        <v>31667570.720782232</v>
      </c>
      <c r="BD221" s="2">
        <f t="shared" ca="1" si="240"/>
        <v>-16280666.084200909</v>
      </c>
      <c r="BE221" s="2">
        <f t="shared" ca="1" si="241"/>
        <v>2517839.1293525482</v>
      </c>
      <c r="BF221" s="2">
        <f t="shared" ca="1" si="242"/>
        <v>2756477.3202687837</v>
      </c>
      <c r="BG221" s="2">
        <f t="shared" ca="1" si="243"/>
        <v>2907181.6768627018</v>
      </c>
      <c r="BH221" s="2">
        <f t="shared" ca="1" si="244"/>
        <v>3063242.2986696018</v>
      </c>
      <c r="BI221" s="2">
        <f t="shared" ca="1" si="245"/>
        <v>34892420.276396513</v>
      </c>
      <c r="BJ221" s="2">
        <f t="shared" ca="1" si="246"/>
        <v>0.28101400179572278</v>
      </c>
      <c r="BK221" s="2">
        <f t="shared" ca="1" si="247"/>
        <v>11979768.089915654</v>
      </c>
    </row>
    <row r="222" spans="1:63" x14ac:dyDescent="0.3">
      <c r="A222" s="2">
        <v>221</v>
      </c>
      <c r="B222" s="2">
        <f t="shared" ca="1" si="186"/>
        <v>0.62214740080944109</v>
      </c>
      <c r="C222" s="2">
        <f t="shared" ca="1" si="187"/>
        <v>7.1306869387952823</v>
      </c>
      <c r="D222" s="2">
        <f t="shared" ca="1" si="188"/>
        <v>0.55816259317158334</v>
      </c>
      <c r="E222" s="2">
        <f t="shared" ca="1" si="189"/>
        <v>7.5599602063439901</v>
      </c>
      <c r="F222" s="2">
        <f t="shared" ca="1" si="190"/>
        <v>0.39842748783397386</v>
      </c>
      <c r="G222" s="2">
        <f t="shared" ca="1" si="191"/>
        <v>3.2277415952874422E-2</v>
      </c>
      <c r="H222" s="2">
        <f t="shared" ca="1" si="192"/>
        <v>3.2277415952874422E-2</v>
      </c>
      <c r="I222" s="2">
        <f t="shared" ca="1" si="193"/>
        <v>0.14939067027536346</v>
      </c>
      <c r="J222" s="2">
        <f t="shared" ca="1" si="194"/>
        <v>4.8047484683507967E-3</v>
      </c>
      <c r="K222" s="2">
        <f t="shared" ca="1" si="195"/>
        <v>4.8047484683507967E-3</v>
      </c>
      <c r="L222" s="2">
        <f t="shared" ca="1" si="196"/>
        <v>0.86936797747005035</v>
      </c>
      <c r="M222" s="2">
        <f t="shared" ca="1" si="197"/>
        <v>2.2468169829977059E-2</v>
      </c>
      <c r="N222" s="2">
        <f t="shared" ca="1" si="198"/>
        <v>2.2468169829977059E-2</v>
      </c>
      <c r="O222" s="2">
        <f t="shared" si="199"/>
        <v>6000000</v>
      </c>
      <c r="P222" s="2">
        <f t="shared" ca="1" si="200"/>
        <v>42784121.632771693</v>
      </c>
      <c r="Q222" s="2">
        <f t="shared" ca="1" si="201"/>
        <v>1069603.0408192924</v>
      </c>
      <c r="R222" s="2">
        <f t="shared" ca="1" si="202"/>
        <v>25670472.979663014</v>
      </c>
      <c r="S222" s="2">
        <f t="shared" ca="1" si="203"/>
        <v>17113648.653108679</v>
      </c>
      <c r="T222" s="2">
        <f t="shared" ca="1" si="204"/>
        <v>51123408.491498858</v>
      </c>
      <c r="U222" s="2">
        <f t="shared" ca="1" si="205"/>
        <v>52773540.012307681</v>
      </c>
      <c r="V222" s="2">
        <f t="shared" ca="1" si="206"/>
        <v>54476933.514590599</v>
      </c>
      <c r="W222" s="2">
        <f t="shared" ca="1" si="207"/>
        <v>56235308.157478124</v>
      </c>
      <c r="X222" s="2">
        <f t="shared" ca="1" si="208"/>
        <v>58050438.590115122</v>
      </c>
      <c r="Y222" s="2">
        <f t="shared" ca="1" si="209"/>
        <v>0.1224023742341754</v>
      </c>
      <c r="Z222" s="2">
        <f t="shared" ca="1" si="210"/>
        <v>0.12336332392784555</v>
      </c>
      <c r="AA222" s="2">
        <f t="shared" ca="1" si="211"/>
        <v>6257626.5783030633</v>
      </c>
      <c r="AB222" s="2">
        <f t="shared" ca="1" si="212"/>
        <v>6510319.3113574302</v>
      </c>
      <c r="AC222" s="2">
        <f t="shared" ca="1" si="213"/>
        <v>6720455.5957561452</v>
      </c>
      <c r="AD222" s="2">
        <f t="shared" ca="1" si="214"/>
        <v>6937374.536413189</v>
      </c>
      <c r="AE222" s="2">
        <f t="shared" ca="1" si="215"/>
        <v>7161295.0599458776</v>
      </c>
      <c r="AF222" s="2">
        <f t="shared" ca="1" si="216"/>
        <v>1022468.1698299772</v>
      </c>
      <c r="AG222" s="2">
        <f t="shared" ca="1" si="217"/>
        <v>1055470.8002461537</v>
      </c>
      <c r="AH222" s="2">
        <f t="shared" ca="1" si="218"/>
        <v>1089538.6702918119</v>
      </c>
      <c r="AI222" s="2">
        <f t="shared" ca="1" si="219"/>
        <v>1124706.1631495624</v>
      </c>
      <c r="AJ222" s="2">
        <f t="shared" ca="1" si="220"/>
        <v>1161008.7718023024</v>
      </c>
      <c r="AK222" s="2">
        <f t="shared" ca="1" si="221"/>
        <v>0</v>
      </c>
      <c r="AL222" s="2">
        <f t="shared" ca="1" si="222"/>
        <v>16501.315208088236</v>
      </c>
      <c r="AM222" s="2">
        <f t="shared" ca="1" si="223"/>
        <v>17033.935022829177</v>
      </c>
      <c r="AN222" s="2">
        <f t="shared" ca="1" si="224"/>
        <v>17583.746428875253</v>
      </c>
      <c r="AO222" s="2">
        <f t="shared" ca="1" si="225"/>
        <v>18151.304326369987</v>
      </c>
      <c r="AP222" s="2">
        <f t="shared" ca="1" si="226"/>
        <v>2310342.5681696711</v>
      </c>
      <c r="AQ222" s="2">
        <f t="shared" ca="1" si="227"/>
        <v>760452.11847888783</v>
      </c>
      <c r="AR222" s="2">
        <f t="shared" ca="1" si="228"/>
        <v>817571.54516481736</v>
      </c>
      <c r="AS222" s="2">
        <f t="shared" ca="1" si="229"/>
        <v>863349.33289661212</v>
      </c>
      <c r="AT222" s="2">
        <f t="shared" ca="1" si="230"/>
        <v>910604.70932442835</v>
      </c>
      <c r="AU222" s="2">
        <f t="shared" ca="1" si="231"/>
        <v>959385.36719321506</v>
      </c>
      <c r="AV222" s="2">
        <f t="shared" ca="1" si="232"/>
        <v>2164363.7218245268</v>
      </c>
      <c r="AW222" s="2">
        <f t="shared" ca="1" si="233"/>
        <v>2310433.0825686995</v>
      </c>
      <c r="AX222" s="2">
        <f t="shared" ca="1" si="234"/>
        <v>2440191.0893752212</v>
      </c>
      <c r="AY222" s="2">
        <f t="shared" ca="1" si="235"/>
        <v>2574137.3493406521</v>
      </c>
      <c r="AZ222" s="2">
        <f t="shared" ca="1" si="236"/>
        <v>2712407.0484543191</v>
      </c>
      <c r="BA222" s="2">
        <f t="shared" ca="1" si="237"/>
        <v>54139105.679078631</v>
      </c>
      <c r="BB222" s="2">
        <f t="shared" ca="1" si="238"/>
        <v>1082782.1135815727</v>
      </c>
      <c r="BC222" s="2">
        <f t="shared" ca="1" si="239"/>
        <v>27385850.585834045</v>
      </c>
      <c r="BD222" s="2">
        <f t="shared" ca="1" si="240"/>
        <v>-18683251.69392797</v>
      </c>
      <c r="BE222" s="2">
        <f t="shared" ca="1" si="241"/>
        <v>2164363.7218245268</v>
      </c>
      <c r="BF222" s="2">
        <f t="shared" ca="1" si="242"/>
        <v>2310433.0825686995</v>
      </c>
      <c r="BG222" s="2">
        <f t="shared" ca="1" si="243"/>
        <v>2440191.0893752212</v>
      </c>
      <c r="BH222" s="2">
        <f t="shared" ca="1" si="244"/>
        <v>2574137.3493406521</v>
      </c>
      <c r="BI222" s="2">
        <f t="shared" ca="1" si="245"/>
        <v>30098257.634288363</v>
      </c>
      <c r="BJ222" s="2">
        <f t="shared" ca="1" si="246"/>
        <v>0.19171521797867452</v>
      </c>
      <c r="BK222" s="2">
        <f t="shared" ca="1" si="247"/>
        <v>5542429.3549022414</v>
      </c>
    </row>
    <row r="223" spans="1:63" x14ac:dyDescent="0.3">
      <c r="A223" s="2">
        <v>222</v>
      </c>
      <c r="B223" s="2">
        <f t="shared" ca="1" si="186"/>
        <v>0.38503483118921988</v>
      </c>
      <c r="C223" s="2">
        <f t="shared" ca="1" si="187"/>
        <v>6.8775361316654946</v>
      </c>
      <c r="D223" s="2">
        <f t="shared" ca="1" si="188"/>
        <v>0.14663323660186134</v>
      </c>
      <c r="E223" s="2">
        <f t="shared" ca="1" si="189"/>
        <v>7.041540832443614</v>
      </c>
      <c r="F223" s="2">
        <f t="shared" ca="1" si="190"/>
        <v>0.6853056399827564</v>
      </c>
      <c r="G223" s="2">
        <f t="shared" ca="1" si="191"/>
        <v>5.4477622309437312E-2</v>
      </c>
      <c r="H223" s="2">
        <f t="shared" ca="1" si="192"/>
        <v>5.4477622309437312E-2</v>
      </c>
      <c r="I223" s="2">
        <f t="shared" ca="1" si="193"/>
        <v>0.73852835217212287</v>
      </c>
      <c r="J223" s="2">
        <f t="shared" ca="1" si="194"/>
        <v>1.3194074948695391E-2</v>
      </c>
      <c r="K223" s="2">
        <f t="shared" ca="1" si="195"/>
        <v>1.3194074948695391E-2</v>
      </c>
      <c r="L223" s="2">
        <f t="shared" ca="1" si="196"/>
        <v>2.1207157525509723E-2</v>
      </c>
      <c r="M223" s="2">
        <f t="shared" ca="1" si="197"/>
        <v>-4.0588638719018723E-2</v>
      </c>
      <c r="N223" s="2">
        <f t="shared" ca="1" si="198"/>
        <v>-4.0588638719018723E-2</v>
      </c>
      <c r="O223" s="2">
        <f t="shared" si="199"/>
        <v>6000000</v>
      </c>
      <c r="P223" s="2">
        <f t="shared" ca="1" si="200"/>
        <v>41265216.789992966</v>
      </c>
      <c r="Q223" s="2">
        <f t="shared" ca="1" si="201"/>
        <v>1031630.4197498242</v>
      </c>
      <c r="R223" s="2">
        <f t="shared" ca="1" si="202"/>
        <v>24759130.07399578</v>
      </c>
      <c r="S223" s="2">
        <f t="shared" ca="1" si="203"/>
        <v>16506086.715997187</v>
      </c>
      <c r="T223" s="2">
        <f t="shared" ca="1" si="204"/>
        <v>47970568.064049065</v>
      </c>
      <c r="U223" s="2">
        <f t="shared" ca="1" si="205"/>
        <v>50583890.553011477</v>
      </c>
      <c r="V223" s="2">
        <f t="shared" ca="1" si="206"/>
        <v>53339580.637500346</v>
      </c>
      <c r="W223" s="2">
        <f t="shared" ca="1" si="207"/>
        <v>56245394.16561386</v>
      </c>
      <c r="X223" s="2">
        <f t="shared" ca="1" si="208"/>
        <v>59309509.505613595</v>
      </c>
      <c r="Y223" s="2">
        <f t="shared" ca="1" si="209"/>
        <v>0.1265970374743477</v>
      </c>
      <c r="Z223" s="2">
        <f t="shared" ca="1" si="210"/>
        <v>0.12923585246408678</v>
      </c>
      <c r="AA223" s="2">
        <f t="shared" ca="1" si="211"/>
        <v>6072931.8028701665</v>
      </c>
      <c r="AB223" s="2">
        <f t="shared" ca="1" si="212"/>
        <v>6537252.2165685045</v>
      </c>
      <c r="AC223" s="2">
        <f t="shared" ca="1" si="213"/>
        <v>6893386.1737642549</v>
      </c>
      <c r="AD223" s="2">
        <f t="shared" ca="1" si="214"/>
        <v>7268921.4621716803</v>
      </c>
      <c r="AE223" s="2">
        <f t="shared" ca="1" si="215"/>
        <v>7664915.0201848308</v>
      </c>
      <c r="AF223" s="2">
        <f t="shared" ca="1" si="216"/>
        <v>959411.36128098133</v>
      </c>
      <c r="AG223" s="2">
        <f t="shared" ca="1" si="217"/>
        <v>1011677.8110602295</v>
      </c>
      <c r="AH223" s="2">
        <f t="shared" ca="1" si="218"/>
        <v>1066791.6127500068</v>
      </c>
      <c r="AI223" s="2">
        <f t="shared" ca="1" si="219"/>
        <v>1124907.8833122773</v>
      </c>
      <c r="AJ223" s="2">
        <f t="shared" ca="1" si="220"/>
        <v>1186190.190112272</v>
      </c>
      <c r="AK223" s="2">
        <f t="shared" ca="1" si="221"/>
        <v>0</v>
      </c>
      <c r="AL223" s="2">
        <f t="shared" ca="1" si="222"/>
        <v>26133.224889624118</v>
      </c>
      <c r="AM223" s="2">
        <f t="shared" ca="1" si="223"/>
        <v>27556.900844888689</v>
      </c>
      <c r="AN223" s="2">
        <f t="shared" ca="1" si="224"/>
        <v>29058.135281135143</v>
      </c>
      <c r="AO223" s="2">
        <f t="shared" ca="1" si="225"/>
        <v>30641.153399997354</v>
      </c>
      <c r="AP223" s="2">
        <f t="shared" ca="1" si="226"/>
        <v>2228321.7066596202</v>
      </c>
      <c r="AQ223" s="2">
        <f t="shared" ca="1" si="227"/>
        <v>750151.67108168686</v>
      </c>
      <c r="AR223" s="2">
        <f t="shared" ca="1" si="228"/>
        <v>857285.70170065027</v>
      </c>
      <c r="AS223" s="2">
        <f t="shared" ca="1" si="229"/>
        <v>935550.94213220326</v>
      </c>
      <c r="AT223" s="2">
        <f t="shared" ca="1" si="230"/>
        <v>1018079.8867719435</v>
      </c>
      <c r="AU223" s="2">
        <f t="shared" ca="1" si="231"/>
        <v>1105104.812087364</v>
      </c>
      <c r="AV223" s="2">
        <f t="shared" ca="1" si="232"/>
        <v>2135047.0638478776</v>
      </c>
      <c r="AW223" s="2">
        <f t="shared" ca="1" si="233"/>
        <v>2413833.7722583809</v>
      </c>
      <c r="AX223" s="2">
        <f t="shared" ca="1" si="234"/>
        <v>2635165.0113775362</v>
      </c>
      <c r="AY223" s="2">
        <f t="shared" ca="1" si="235"/>
        <v>2868553.8501467039</v>
      </c>
      <c r="AZ223" s="2">
        <f t="shared" ca="1" si="236"/>
        <v>3114657.1579255764</v>
      </c>
      <c r="BA223" s="2">
        <f t="shared" ca="1" si="237"/>
        <v>53972812.091841854</v>
      </c>
      <c r="BB223" s="2">
        <f t="shared" ca="1" si="238"/>
        <v>1079456.241836837</v>
      </c>
      <c r="BC223" s="2">
        <f t="shared" ca="1" si="239"/>
        <v>28134225.776009236</v>
      </c>
      <c r="BD223" s="2">
        <f t="shared" ca="1" si="240"/>
        <v>-18037717.135747012</v>
      </c>
      <c r="BE223" s="2">
        <f t="shared" ca="1" si="241"/>
        <v>2135047.0638478776</v>
      </c>
      <c r="BF223" s="2">
        <f t="shared" ca="1" si="242"/>
        <v>2413833.7722583809</v>
      </c>
      <c r="BG223" s="2">
        <f t="shared" ca="1" si="243"/>
        <v>2635165.0113775362</v>
      </c>
      <c r="BH223" s="2">
        <f t="shared" ca="1" si="244"/>
        <v>2868553.8501467039</v>
      </c>
      <c r="BI223" s="2">
        <f t="shared" ca="1" si="245"/>
        <v>31248882.933934812</v>
      </c>
      <c r="BJ223" s="2">
        <f t="shared" ca="1" si="246"/>
        <v>0.21404764613635852</v>
      </c>
      <c r="BK223" s="2">
        <f t="shared" ca="1" si="247"/>
        <v>7223000.0136107691</v>
      </c>
    </row>
    <row r="224" spans="1:63" x14ac:dyDescent="0.3">
      <c r="A224" s="2">
        <v>223</v>
      </c>
      <c r="B224" s="2">
        <f t="shared" ca="1" si="186"/>
        <v>0.20326715176362742</v>
      </c>
      <c r="C224" s="2">
        <f t="shared" ca="1" si="187"/>
        <v>6.6376004262288841</v>
      </c>
      <c r="D224" s="2">
        <f t="shared" ca="1" si="188"/>
        <v>0.16117180401202036</v>
      </c>
      <c r="E224" s="2">
        <f t="shared" ca="1" si="189"/>
        <v>7.0677531224256196</v>
      </c>
      <c r="F224" s="2">
        <f t="shared" ca="1" si="190"/>
        <v>0.54056281897322411</v>
      </c>
      <c r="G224" s="2">
        <f t="shared" ca="1" si="191"/>
        <v>4.3055551992739291E-2</v>
      </c>
      <c r="H224" s="2">
        <f t="shared" ca="1" si="192"/>
        <v>4.3055551992739291E-2</v>
      </c>
      <c r="I224" s="2">
        <f t="shared" ca="1" si="193"/>
        <v>0.80279924666707525</v>
      </c>
      <c r="J224" s="2">
        <f t="shared" ca="1" si="194"/>
        <v>1.4258311896835036E-2</v>
      </c>
      <c r="K224" s="2">
        <f t="shared" ca="1" si="195"/>
        <v>1.4258311896835036E-2</v>
      </c>
      <c r="L224" s="2">
        <f t="shared" ca="1" si="196"/>
        <v>0.32697802213490534</v>
      </c>
      <c r="M224" s="2">
        <f t="shared" ca="1" si="197"/>
        <v>-8.9654638751313041E-3</v>
      </c>
      <c r="N224" s="2">
        <f t="shared" ca="1" si="198"/>
        <v>-8.9654638751313041E-3</v>
      </c>
      <c r="O224" s="2">
        <f t="shared" si="199"/>
        <v>6000000</v>
      </c>
      <c r="P224" s="2">
        <f t="shared" ca="1" si="200"/>
        <v>39825602.557373308</v>
      </c>
      <c r="Q224" s="2">
        <f t="shared" ca="1" si="201"/>
        <v>995640.06393433269</v>
      </c>
      <c r="R224" s="2">
        <f t="shared" ca="1" si="202"/>
        <v>23895361.534423985</v>
      </c>
      <c r="S224" s="2">
        <f t="shared" ca="1" si="203"/>
        <v>15930241.022949323</v>
      </c>
      <c r="T224" s="2">
        <f t="shared" ca="1" si="204"/>
        <v>49551726.806243435</v>
      </c>
      <c r="U224" s="2">
        <f t="shared" ca="1" si="205"/>
        <v>51685203.756079666</v>
      </c>
      <c r="V224" s="2">
        <f t="shared" ca="1" si="206"/>
        <v>53910538.733654879</v>
      </c>
      <c r="W224" s="2">
        <f t="shared" ca="1" si="207"/>
        <v>56231686.737058349</v>
      </c>
      <c r="X224" s="2">
        <f t="shared" ca="1" si="208"/>
        <v>58652773.049005195</v>
      </c>
      <c r="Y224" s="2">
        <f t="shared" ca="1" si="209"/>
        <v>0.1271291559484175</v>
      </c>
      <c r="Z224" s="2">
        <f t="shared" ca="1" si="210"/>
        <v>0.12998081832778452</v>
      </c>
      <c r="AA224" s="2">
        <f t="shared" ca="1" si="211"/>
        <v>6299469.2046643021</v>
      </c>
      <c r="AB224" s="2">
        <f t="shared" ca="1" si="212"/>
        <v>6718085.0796535173</v>
      </c>
      <c r="AC224" s="2">
        <f t="shared" ca="1" si="213"/>
        <v>7007335.9410921857</v>
      </c>
      <c r="AD224" s="2">
        <f t="shared" ca="1" si="214"/>
        <v>7309040.6580344718</v>
      </c>
      <c r="AE224" s="2">
        <f t="shared" ca="1" si="215"/>
        <v>7623735.4381035203</v>
      </c>
      <c r="AF224" s="2">
        <f t="shared" ca="1" si="216"/>
        <v>991034.53612486867</v>
      </c>
      <c r="AG224" s="2">
        <f t="shared" ca="1" si="217"/>
        <v>1033704.0751215933</v>
      </c>
      <c r="AH224" s="2">
        <f t="shared" ca="1" si="218"/>
        <v>1078210.7746730975</v>
      </c>
      <c r="AI224" s="2">
        <f t="shared" ca="1" si="219"/>
        <v>1124633.7347411669</v>
      </c>
      <c r="AJ224" s="2">
        <f t="shared" ca="1" si="220"/>
        <v>1173055.460980104</v>
      </c>
      <c r="AK224" s="2">
        <f t="shared" ca="1" si="221"/>
        <v>0</v>
      </c>
      <c r="AL224" s="2">
        <f t="shared" ca="1" si="222"/>
        <v>21334.769498362319</v>
      </c>
      <c r="AM224" s="2">
        <f t="shared" ca="1" si="223"/>
        <v>22253.349775752129</v>
      </c>
      <c r="AN224" s="2">
        <f t="shared" ca="1" si="224"/>
        <v>23211.480034034699</v>
      </c>
      <c r="AO224" s="2">
        <f t="shared" ca="1" si="225"/>
        <v>24210.863119468468</v>
      </c>
      <c r="AP224" s="2">
        <f t="shared" ca="1" si="226"/>
        <v>2150582.5380981583</v>
      </c>
      <c r="AQ224" s="2">
        <f t="shared" ca="1" si="227"/>
        <v>821041.5539147316</v>
      </c>
      <c r="AR224" s="2">
        <f t="shared" ca="1" si="228"/>
        <v>918787.60127277905</v>
      </c>
      <c r="AS224" s="2">
        <f t="shared" ca="1" si="229"/>
        <v>982421.08336344175</v>
      </c>
      <c r="AT224" s="2">
        <f t="shared" ca="1" si="230"/>
        <v>1048794.3401507381</v>
      </c>
      <c r="AU224" s="2">
        <f t="shared" ca="1" si="231"/>
        <v>1118025.3341465672</v>
      </c>
      <c r="AV224" s="2">
        <f t="shared" ca="1" si="232"/>
        <v>2336810.5765265441</v>
      </c>
      <c r="AW224" s="2">
        <f t="shared" ca="1" si="233"/>
        <v>2593676.0956626236</v>
      </c>
      <c r="AX224" s="2">
        <f t="shared" ca="1" si="234"/>
        <v>2773868.1951817358</v>
      </c>
      <c r="AY224" s="2">
        <f t="shared" ca="1" si="235"/>
        <v>2961818.5650103735</v>
      </c>
      <c r="AZ224" s="2">
        <f t="shared" ca="1" si="236"/>
        <v>3157861.241759222</v>
      </c>
      <c r="BA224" s="2">
        <f t="shared" ca="1" si="237"/>
        <v>53882679.947203003</v>
      </c>
      <c r="BB224" s="2">
        <f t="shared" ca="1" si="238"/>
        <v>1077653.59894406</v>
      </c>
      <c r="BC224" s="2">
        <f t="shared" ca="1" si="239"/>
        <v>28909664.813834958</v>
      </c>
      <c r="BD224" s="2">
        <f t="shared" ca="1" si="240"/>
        <v>-17425881.086883657</v>
      </c>
      <c r="BE224" s="2">
        <f t="shared" ca="1" si="241"/>
        <v>2336810.5765265441</v>
      </c>
      <c r="BF224" s="2">
        <f t="shared" ca="1" si="242"/>
        <v>2593676.0956626236</v>
      </c>
      <c r="BG224" s="2">
        <f t="shared" ca="1" si="243"/>
        <v>2773868.1951817358</v>
      </c>
      <c r="BH224" s="2">
        <f t="shared" ca="1" si="244"/>
        <v>2961818.5650103735</v>
      </c>
      <c r="BI224" s="2">
        <f t="shared" ca="1" si="245"/>
        <v>32067526.05559418</v>
      </c>
      <c r="BJ224" s="2">
        <f t="shared" ca="1" si="246"/>
        <v>0.23630303785520845</v>
      </c>
      <c r="BK224" s="2">
        <f t="shared" ca="1" si="247"/>
        <v>8780868.9464722648</v>
      </c>
    </row>
    <row r="225" spans="1:63" x14ac:dyDescent="0.3">
      <c r="A225" s="2">
        <v>224</v>
      </c>
      <c r="B225" s="2">
        <f t="shared" ca="1" si="186"/>
        <v>0.36664381976956784</v>
      </c>
      <c r="C225" s="2">
        <f t="shared" ca="1" si="187"/>
        <v>6.8563221587341623</v>
      </c>
      <c r="D225" s="2">
        <f t="shared" ca="1" si="188"/>
        <v>7.1349659663826226E-2</v>
      </c>
      <c r="E225" s="2">
        <f t="shared" ca="1" si="189"/>
        <v>6.8777556344088762</v>
      </c>
      <c r="F225" s="2">
        <f t="shared" ca="1" si="190"/>
        <v>0.74118505623350373</v>
      </c>
      <c r="G225" s="2">
        <f t="shared" ca="1" si="191"/>
        <v>5.9410095299900156E-2</v>
      </c>
      <c r="H225" s="2">
        <f t="shared" ca="1" si="192"/>
        <v>5.9410095299900156E-2</v>
      </c>
      <c r="I225" s="2">
        <f t="shared" ca="1" si="193"/>
        <v>7.7042080434643001E-2</v>
      </c>
      <c r="J225" s="2">
        <f t="shared" ca="1" si="194"/>
        <v>2.8737363845608077E-3</v>
      </c>
      <c r="K225" s="2">
        <f t="shared" ca="1" si="195"/>
        <v>2.8737363845608077E-3</v>
      </c>
      <c r="L225" s="2">
        <f t="shared" ca="1" si="196"/>
        <v>0.5233378224236892</v>
      </c>
      <c r="M225" s="2">
        <f t="shared" ca="1" si="197"/>
        <v>1.1706530245040572E-3</v>
      </c>
      <c r="N225" s="2">
        <f t="shared" ca="1" si="198"/>
        <v>1.1706530245040572E-3</v>
      </c>
      <c r="O225" s="2">
        <f t="shared" si="199"/>
        <v>6000000</v>
      </c>
      <c r="P225" s="2">
        <f t="shared" ca="1" si="200"/>
        <v>41137932.952404976</v>
      </c>
      <c r="Q225" s="2">
        <f t="shared" ca="1" si="201"/>
        <v>1028448.3238101244</v>
      </c>
      <c r="R225" s="2">
        <f t="shared" ca="1" si="202"/>
        <v>24682759.771442983</v>
      </c>
      <c r="S225" s="2">
        <f t="shared" ca="1" si="203"/>
        <v>16455173.180961991</v>
      </c>
      <c r="T225" s="2">
        <f t="shared" ca="1" si="204"/>
        <v>50058532.651225209</v>
      </c>
      <c r="U225" s="2">
        <f t="shared" ca="1" si="205"/>
        <v>53032514.846607663</v>
      </c>
      <c r="V225" s="2">
        <f t="shared" ca="1" si="206"/>
        <v>56183181.607637994</v>
      </c>
      <c r="W225" s="2">
        <f t="shared" ca="1" si="207"/>
        <v>59521029.781199366</v>
      </c>
      <c r="X225" s="2">
        <f t="shared" ca="1" si="208"/>
        <v>63057179.832848616</v>
      </c>
      <c r="Y225" s="2">
        <f t="shared" ca="1" si="209"/>
        <v>0.1214368681922804</v>
      </c>
      <c r="Z225" s="2">
        <f t="shared" ca="1" si="210"/>
        <v>0.12201161546919256</v>
      </c>
      <c r="AA225" s="2">
        <f t="shared" ca="1" si="211"/>
        <v>6078951.4314658009</v>
      </c>
      <c r="AB225" s="2">
        <f t="shared" ca="1" si="212"/>
        <v>6470582.8088285401</v>
      </c>
      <c r="AC225" s="2">
        <f t="shared" ca="1" si="213"/>
        <v>6855000.7501469394</v>
      </c>
      <c r="AD225" s="2">
        <f t="shared" ca="1" si="214"/>
        <v>7262256.997994056</v>
      </c>
      <c r="AE225" s="2">
        <f t="shared" ca="1" si="215"/>
        <v>7693708.3783372492</v>
      </c>
      <c r="AF225" s="2">
        <f t="shared" ca="1" si="216"/>
        <v>1001170.6530245042</v>
      </c>
      <c r="AG225" s="2">
        <f t="shared" ca="1" si="217"/>
        <v>1060650.2969321532</v>
      </c>
      <c r="AH225" s="2">
        <f t="shared" ca="1" si="218"/>
        <v>1123663.6321527599</v>
      </c>
      <c r="AI225" s="2">
        <f t="shared" ca="1" si="219"/>
        <v>1190420.5956239873</v>
      </c>
      <c r="AJ225" s="2">
        <f t="shared" ca="1" si="220"/>
        <v>1261143.5966569723</v>
      </c>
      <c r="AK225" s="2">
        <f t="shared" ca="1" si="221"/>
        <v>0</v>
      </c>
      <c r="AL225" s="2">
        <f t="shared" ca="1" si="222"/>
        <v>29739.821953824536</v>
      </c>
      <c r="AM225" s="2">
        <f t="shared" ca="1" si="223"/>
        <v>31506.667610303313</v>
      </c>
      <c r="AN225" s="2">
        <f t="shared" ca="1" si="224"/>
        <v>33378.481735613721</v>
      </c>
      <c r="AO225" s="2">
        <f t="shared" ca="1" si="225"/>
        <v>35361.500516492502</v>
      </c>
      <c r="AP225" s="2">
        <f t="shared" ca="1" si="226"/>
        <v>2221448.3794298684</v>
      </c>
      <c r="AQ225" s="2">
        <f t="shared" ca="1" si="227"/>
        <v>742646.42374297138</v>
      </c>
      <c r="AR225" s="2">
        <f t="shared" ca="1" si="228"/>
        <v>829005.87444129481</v>
      </c>
      <c r="AS225" s="2">
        <f t="shared" ca="1" si="229"/>
        <v>912571.07202672109</v>
      </c>
      <c r="AT225" s="2">
        <f t="shared" ca="1" si="230"/>
        <v>1001100.8859644522</v>
      </c>
      <c r="AU225" s="2">
        <f t="shared" ca="1" si="231"/>
        <v>1094890.2645851062</v>
      </c>
      <c r="AV225" s="2">
        <f t="shared" ca="1" si="232"/>
        <v>2113685.9752684571</v>
      </c>
      <c r="AW225" s="2">
        <f t="shared" ca="1" si="233"/>
        <v>2329738.4360713987</v>
      </c>
      <c r="AX225" s="2">
        <f t="shared" ca="1" si="234"/>
        <v>2565810.9989272868</v>
      </c>
      <c r="AY225" s="2">
        <f t="shared" ca="1" si="235"/>
        <v>2815908.6552401343</v>
      </c>
      <c r="AZ225" s="2">
        <f t="shared" ca="1" si="236"/>
        <v>3080864.6371488096</v>
      </c>
      <c r="BA225" s="2">
        <f t="shared" ca="1" si="237"/>
        <v>52915446.14860779</v>
      </c>
      <c r="BB225" s="2">
        <f t="shared" ca="1" si="238"/>
        <v>1058308.9229721557</v>
      </c>
      <c r="BC225" s="2">
        <f t="shared" ca="1" si="239"/>
        <v>27174377.454192653</v>
      </c>
      <c r="BD225" s="2">
        <f t="shared" ca="1" si="240"/>
        <v>-17983621.504772115</v>
      </c>
      <c r="BE225" s="2">
        <f t="shared" ca="1" si="241"/>
        <v>2113685.9752684571</v>
      </c>
      <c r="BF225" s="2">
        <f t="shared" ca="1" si="242"/>
        <v>2329738.4360713987</v>
      </c>
      <c r="BG225" s="2">
        <f t="shared" ca="1" si="243"/>
        <v>2565810.9989272868</v>
      </c>
      <c r="BH225" s="2">
        <f t="shared" ca="1" si="244"/>
        <v>2815908.6552401343</v>
      </c>
      <c r="BI225" s="2">
        <f t="shared" ca="1" si="245"/>
        <v>30255242.091341462</v>
      </c>
      <c r="BJ225" s="2">
        <f t="shared" ca="1" si="246"/>
        <v>0.20639531410500722</v>
      </c>
      <c r="BK225" s="2">
        <f t="shared" ca="1" si="247"/>
        <v>6544342.668630179</v>
      </c>
    </row>
    <row r="226" spans="1:63" x14ac:dyDescent="0.3">
      <c r="A226" s="2">
        <v>225</v>
      </c>
      <c r="B226" s="2">
        <f t="shared" ca="1" si="186"/>
        <v>0.59143456049424359</v>
      </c>
      <c r="C226" s="2">
        <f t="shared" ca="1" si="187"/>
        <v>7.0960470814187762</v>
      </c>
      <c r="D226" s="2">
        <f t="shared" ca="1" si="188"/>
        <v>0.93801312669016179</v>
      </c>
      <c r="E226" s="2">
        <f t="shared" ca="1" si="189"/>
        <v>8.1479009420352337</v>
      </c>
      <c r="F226" s="2">
        <f t="shared" ca="1" si="190"/>
        <v>0.66248424069700296</v>
      </c>
      <c r="G226" s="2">
        <f t="shared" ca="1" si="191"/>
        <v>5.2577578631718594E-2</v>
      </c>
      <c r="H226" s="2">
        <f t="shared" ca="1" si="192"/>
        <v>5.2577578631718594E-2</v>
      </c>
      <c r="I226" s="2">
        <f t="shared" ca="1" si="193"/>
        <v>0.99734533370399248</v>
      </c>
      <c r="J226" s="2">
        <f t="shared" ca="1" si="194"/>
        <v>2.393820555060797E-2</v>
      </c>
      <c r="K226" s="2">
        <f t="shared" ca="1" si="195"/>
        <v>2.393820555060797E-2</v>
      </c>
      <c r="L226" s="2">
        <f t="shared" ca="1" si="196"/>
        <v>0.98590680137040132</v>
      </c>
      <c r="M226" s="2">
        <f t="shared" ca="1" si="197"/>
        <v>4.3893645447272978E-2</v>
      </c>
      <c r="N226" s="2">
        <f t="shared" ca="1" si="198"/>
        <v>4.3893645447272978E-2</v>
      </c>
      <c r="O226" s="2">
        <f t="shared" si="199"/>
        <v>6000000</v>
      </c>
      <c r="P226" s="2">
        <f t="shared" ca="1" si="200"/>
        <v>42576282.488512658</v>
      </c>
      <c r="Q226" s="2">
        <f t="shared" ca="1" si="201"/>
        <v>1064407.0622128164</v>
      </c>
      <c r="R226" s="2">
        <f t="shared" ca="1" si="202"/>
        <v>25545769.493107595</v>
      </c>
      <c r="S226" s="2">
        <f t="shared" ca="1" si="203"/>
        <v>17030512.995405063</v>
      </c>
      <c r="T226" s="2">
        <f t="shared" ca="1" si="204"/>
        <v>52194682.272363648</v>
      </c>
      <c r="U226" s="2">
        <f t="shared" ca="1" si="205"/>
        <v>54938952.28369642</v>
      </c>
      <c r="V226" s="2">
        <f t="shared" ca="1" si="206"/>
        <v>57827509.367336705</v>
      </c>
      <c r="W226" s="2">
        <f t="shared" ca="1" si="207"/>
        <v>60867939.788174294</v>
      </c>
      <c r="X226" s="2">
        <f t="shared" ca="1" si="208"/>
        <v>64068228.678537741</v>
      </c>
      <c r="Y226" s="2">
        <f t="shared" ca="1" si="209"/>
        <v>0.13196910277530399</v>
      </c>
      <c r="Z226" s="2">
        <f t="shared" ca="1" si="210"/>
        <v>0.13675674388542558</v>
      </c>
      <c r="AA226" s="2">
        <f t="shared" ca="1" si="211"/>
        <v>6888085.3891258957</v>
      </c>
      <c r="AB226" s="2">
        <f t="shared" ca="1" si="212"/>
        <v>7513272.2267950885</v>
      </c>
      <c r="AC226" s="2">
        <f t="shared" ca="1" si="213"/>
        <v>7908301.8880809145</v>
      </c>
      <c r="AD226" s="2">
        <f t="shared" ca="1" si="214"/>
        <v>8324101.2524448568</v>
      </c>
      <c r="AE226" s="2">
        <f t="shared" ca="1" si="215"/>
        <v>8761762.3405836634</v>
      </c>
      <c r="AF226" s="2">
        <f t="shared" ca="1" si="216"/>
        <v>1043893.6454472729</v>
      </c>
      <c r="AG226" s="2">
        <f t="shared" ca="1" si="217"/>
        <v>1098779.0456739285</v>
      </c>
      <c r="AH226" s="2">
        <f t="shared" ca="1" si="218"/>
        <v>1156550.1873467341</v>
      </c>
      <c r="AI226" s="2">
        <f t="shared" ca="1" si="219"/>
        <v>1217358.7957634858</v>
      </c>
      <c r="AJ226" s="2">
        <f t="shared" ca="1" si="220"/>
        <v>1281364.5735707548</v>
      </c>
      <c r="AK226" s="2">
        <f t="shared" ca="1" si="221"/>
        <v>0</v>
      </c>
      <c r="AL226" s="2">
        <f t="shared" ca="1" si="222"/>
        <v>27442.700113327726</v>
      </c>
      <c r="AM226" s="2">
        <f t="shared" ca="1" si="223"/>
        <v>28885.570836402851</v>
      </c>
      <c r="AN226" s="2">
        <f t="shared" ca="1" si="224"/>
        <v>30404.304208375888</v>
      </c>
      <c r="AO226" s="2">
        <f t="shared" ca="1" si="225"/>
        <v>32002.888903634474</v>
      </c>
      <c r="AP226" s="2">
        <f t="shared" ca="1" si="226"/>
        <v>2299119.2543796836</v>
      </c>
      <c r="AQ226" s="2">
        <f t="shared" ca="1" si="227"/>
        <v>921718.84721772419</v>
      </c>
      <c r="AR226" s="2">
        <f t="shared" ca="1" si="228"/>
        <v>1069997.2209527839</v>
      </c>
      <c r="AS226" s="2">
        <f t="shared" ca="1" si="229"/>
        <v>1157684.4360521694</v>
      </c>
      <c r="AT226" s="2">
        <f t="shared" ca="1" si="230"/>
        <v>1249982.0325984387</v>
      </c>
      <c r="AU226" s="2">
        <f t="shared" ca="1" si="231"/>
        <v>1347132.4132846384</v>
      </c>
      <c r="AV226" s="2">
        <f t="shared" ca="1" si="232"/>
        <v>2623353.6420812146</v>
      </c>
      <c r="AW226" s="2">
        <f t="shared" ca="1" si="233"/>
        <v>3017934.0056753648</v>
      </c>
      <c r="AX226" s="2">
        <f t="shared" ca="1" si="234"/>
        <v>3266062.4394659246</v>
      </c>
      <c r="AY226" s="2">
        <f t="shared" ca="1" si="235"/>
        <v>3527236.8654948729</v>
      </c>
      <c r="AZ226" s="2">
        <f t="shared" ca="1" si="236"/>
        <v>3802143.2104449519</v>
      </c>
      <c r="BA226" s="2">
        <f t="shared" ca="1" si="237"/>
        <v>71389971.628730461</v>
      </c>
      <c r="BB226" s="2">
        <f t="shared" ca="1" si="238"/>
        <v>1427799.4325746093</v>
      </c>
      <c r="BC226" s="2">
        <f t="shared" ca="1" si="239"/>
        <v>44416402.703048259</v>
      </c>
      <c r="BD226" s="2">
        <f t="shared" ca="1" si="240"/>
        <v>-18594920.05761788</v>
      </c>
      <c r="BE226" s="2">
        <f t="shared" ca="1" si="241"/>
        <v>2623353.6420812146</v>
      </c>
      <c r="BF226" s="2">
        <f t="shared" ca="1" si="242"/>
        <v>3017934.0056753648</v>
      </c>
      <c r="BG226" s="2">
        <f t="shared" ca="1" si="243"/>
        <v>3266062.4394659246</v>
      </c>
      <c r="BH226" s="2">
        <f t="shared" ca="1" si="244"/>
        <v>3527236.8654948729</v>
      </c>
      <c r="BI226" s="2">
        <f t="shared" ca="1" si="245"/>
        <v>48218545.913493209</v>
      </c>
      <c r="BJ226" s="2">
        <f t="shared" ca="1" si="246"/>
        <v>0.31541406248665083</v>
      </c>
      <c r="BK226" s="2">
        <f t="shared" ca="1" si="247"/>
        <v>18080077.914523527</v>
      </c>
    </row>
    <row r="227" spans="1:63" x14ac:dyDescent="0.3">
      <c r="A227" s="2">
        <v>226</v>
      </c>
      <c r="B227" s="2">
        <f t="shared" ca="1" si="186"/>
        <v>0.76962367575816459</v>
      </c>
      <c r="C227" s="2">
        <f t="shared" ca="1" si="187"/>
        <v>7.3212123686426871</v>
      </c>
      <c r="D227" s="2">
        <f t="shared" ca="1" si="188"/>
        <v>0.39826382082169109</v>
      </c>
      <c r="E227" s="2">
        <f t="shared" ca="1" si="189"/>
        <v>7.392483972765552</v>
      </c>
      <c r="F227" s="2">
        <f t="shared" ca="1" si="190"/>
        <v>0.89082757255340672</v>
      </c>
      <c r="G227" s="2">
        <f t="shared" ca="1" si="191"/>
        <v>7.6928236159842567E-2</v>
      </c>
      <c r="H227" s="2">
        <f t="shared" ca="1" si="192"/>
        <v>7.6928236159842567E-2</v>
      </c>
      <c r="I227" s="2">
        <f t="shared" ca="1" si="193"/>
        <v>0.44439179672612372</v>
      </c>
      <c r="J227" s="2">
        <f t="shared" ca="1" si="194"/>
        <v>9.3007821868521488E-3</v>
      </c>
      <c r="K227" s="2">
        <f t="shared" ca="1" si="195"/>
        <v>9.3007821868521488E-3</v>
      </c>
      <c r="L227" s="2">
        <f t="shared" ca="1" si="196"/>
        <v>0.39561230325830021</v>
      </c>
      <c r="M227" s="2">
        <f t="shared" ca="1" si="197"/>
        <v>-5.2944146075998271E-3</v>
      </c>
      <c r="N227" s="2">
        <f t="shared" ca="1" si="198"/>
        <v>-5.2944146075998271E-3</v>
      </c>
      <c r="O227" s="2">
        <f t="shared" si="199"/>
        <v>6000000</v>
      </c>
      <c r="P227" s="2">
        <f t="shared" ca="1" si="200"/>
        <v>43927274.211856119</v>
      </c>
      <c r="Q227" s="2">
        <f t="shared" ca="1" si="201"/>
        <v>1098181.8552964029</v>
      </c>
      <c r="R227" s="2">
        <f t="shared" ca="1" si="202"/>
        <v>26356364.527113672</v>
      </c>
      <c r="S227" s="2">
        <f t="shared" ca="1" si="203"/>
        <v>17570909.684742447</v>
      </c>
      <c r="T227" s="2">
        <f t="shared" ca="1" si="204"/>
        <v>49735279.269620009</v>
      </c>
      <c r="U227" s="2">
        <f t="shared" ca="1" si="205"/>
        <v>53561326.578749053</v>
      </c>
      <c r="V227" s="2">
        <f t="shared" ca="1" si="206"/>
        <v>57681704.958833508</v>
      </c>
      <c r="W227" s="2">
        <f t="shared" ca="1" si="207"/>
        <v>62119056.780009009</v>
      </c>
      <c r="X227" s="2">
        <f t="shared" ca="1" si="208"/>
        <v>66897766.250008203</v>
      </c>
      <c r="Y227" s="2">
        <f t="shared" ca="1" si="209"/>
        <v>0.12465039109342607</v>
      </c>
      <c r="Z227" s="2">
        <f t="shared" ca="1" si="210"/>
        <v>0.12651054753079649</v>
      </c>
      <c r="AA227" s="2">
        <f t="shared" ca="1" si="211"/>
        <v>6199522.0120989</v>
      </c>
      <c r="AB227" s="2">
        <f t="shared" ca="1" si="212"/>
        <v>6776072.7519533457</v>
      </c>
      <c r="AC227" s="2">
        <f t="shared" ca="1" si="213"/>
        <v>7297344.0768518858</v>
      </c>
      <c r="AD227" s="2">
        <f t="shared" ca="1" si="214"/>
        <v>7858715.8853355758</v>
      </c>
      <c r="AE227" s="2">
        <f t="shared" ca="1" si="215"/>
        <v>8463273.0368757769</v>
      </c>
      <c r="AF227" s="2">
        <f t="shared" ca="1" si="216"/>
        <v>994705.58539240016</v>
      </c>
      <c r="AG227" s="2">
        <f t="shared" ca="1" si="217"/>
        <v>1071226.5315749811</v>
      </c>
      <c r="AH227" s="2">
        <f t="shared" ca="1" si="218"/>
        <v>1153634.0991766702</v>
      </c>
      <c r="AI227" s="2">
        <f t="shared" ca="1" si="219"/>
        <v>1242381.1356001801</v>
      </c>
      <c r="AJ227" s="2">
        <f t="shared" ca="1" si="220"/>
        <v>1337955.3250001641</v>
      </c>
      <c r="AK227" s="2">
        <f t="shared" ca="1" si="221"/>
        <v>0</v>
      </c>
      <c r="AL227" s="2">
        <f t="shared" ca="1" si="222"/>
        <v>38260.473091290442</v>
      </c>
      <c r="AM227" s="2">
        <f t="shared" ca="1" si="223"/>
        <v>41203.783800844554</v>
      </c>
      <c r="AN227" s="2">
        <f t="shared" ca="1" si="224"/>
        <v>44373.518211755007</v>
      </c>
      <c r="AO227" s="2">
        <f t="shared" ca="1" si="225"/>
        <v>47787.09469999194</v>
      </c>
      <c r="AP227" s="2">
        <f t="shared" ca="1" si="226"/>
        <v>2372072.8074402306</v>
      </c>
      <c r="AQ227" s="2">
        <f t="shared" ca="1" si="227"/>
        <v>736513.34100923012</v>
      </c>
      <c r="AR227" s="2">
        <f t="shared" ca="1" si="228"/>
        <v>866521.08736391482</v>
      </c>
      <c r="AS227" s="2">
        <f t="shared" ca="1" si="229"/>
        <v>980625.66426109604</v>
      </c>
      <c r="AT227" s="2">
        <f t="shared" ca="1" si="230"/>
        <v>1103508.1049967429</v>
      </c>
      <c r="AU227" s="2">
        <f t="shared" ca="1" si="231"/>
        <v>1235843.6751531994</v>
      </c>
      <c r="AV227" s="2">
        <f t="shared" ca="1" si="232"/>
        <v>2096230.2782570394</v>
      </c>
      <c r="AW227" s="2">
        <f t="shared" ca="1" si="233"/>
        <v>2427991.8524829289</v>
      </c>
      <c r="AX227" s="2">
        <f t="shared" ca="1" si="234"/>
        <v>2749807.7221730445</v>
      </c>
      <c r="AY227" s="2">
        <f t="shared" ca="1" si="235"/>
        <v>3096380.3190866672</v>
      </c>
      <c r="AZ227" s="2">
        <f t="shared" ca="1" si="236"/>
        <v>3469614.1345821908</v>
      </c>
      <c r="BA227" s="2">
        <f t="shared" ca="1" si="237"/>
        <v>62564610.282243021</v>
      </c>
      <c r="BB227" s="2">
        <f t="shared" ca="1" si="238"/>
        <v>1251292.2056448604</v>
      </c>
      <c r="BC227" s="2">
        <f t="shared" ca="1" si="239"/>
        <v>34956953.549484491</v>
      </c>
      <c r="BD227" s="2">
        <f t="shared" ca="1" si="240"/>
        <v>-19169091.54003885</v>
      </c>
      <c r="BE227" s="2">
        <f t="shared" ca="1" si="241"/>
        <v>2096230.2782570394</v>
      </c>
      <c r="BF227" s="2">
        <f t="shared" ca="1" si="242"/>
        <v>2427991.8524829289</v>
      </c>
      <c r="BG227" s="2">
        <f t="shared" ca="1" si="243"/>
        <v>2749807.7221730445</v>
      </c>
      <c r="BH227" s="2">
        <f t="shared" ca="1" si="244"/>
        <v>3096380.3190866672</v>
      </c>
      <c r="BI227" s="2">
        <f t="shared" ca="1" si="245"/>
        <v>38426567.684066683</v>
      </c>
      <c r="BJ227" s="2">
        <f t="shared" ca="1" si="246"/>
        <v>0.23938083473614058</v>
      </c>
      <c r="BK227" s="2">
        <f t="shared" ca="1" si="247"/>
        <v>10367453.84587146</v>
      </c>
    </row>
    <row r="228" spans="1:63" x14ac:dyDescent="0.3">
      <c r="A228" s="2">
        <v>227</v>
      </c>
      <c r="B228" s="2">
        <f t="shared" ca="1" si="186"/>
        <v>0.34357420174265108</v>
      </c>
      <c r="C228" s="2">
        <f t="shared" ca="1" si="187"/>
        <v>6.8289441497985868</v>
      </c>
      <c r="D228" s="2">
        <f t="shared" ca="1" si="188"/>
        <v>0.69738998764995663</v>
      </c>
      <c r="E228" s="2">
        <f t="shared" ca="1" si="189"/>
        <v>7.7220411163177793</v>
      </c>
      <c r="F228" s="2">
        <f t="shared" ca="1" si="190"/>
        <v>0.15432707771011211</v>
      </c>
      <c r="G228" s="2">
        <f t="shared" ca="1" si="191"/>
        <v>9.4584974943966275E-3</v>
      </c>
      <c r="H228" s="2">
        <f t="shared" ca="1" si="192"/>
        <v>9.4584974943966275E-3</v>
      </c>
      <c r="I228" s="2">
        <f t="shared" ca="1" si="193"/>
        <v>0.63324019665818443</v>
      </c>
      <c r="J228" s="2">
        <f t="shared" ca="1" si="194"/>
        <v>1.1702237142289953E-2</v>
      </c>
      <c r="K228" s="2">
        <f t="shared" ca="1" si="195"/>
        <v>1.1702237142289953E-2</v>
      </c>
      <c r="L228" s="2">
        <f t="shared" ca="1" si="196"/>
        <v>0.59066019144865267</v>
      </c>
      <c r="M228" s="2">
        <f t="shared" ca="1" si="197"/>
        <v>4.5848712210803146E-3</v>
      </c>
      <c r="N228" s="2">
        <f t="shared" ca="1" si="198"/>
        <v>4.5848712210803146E-3</v>
      </c>
      <c r="O228" s="2">
        <f t="shared" si="199"/>
        <v>6000000</v>
      </c>
      <c r="P228" s="2">
        <f t="shared" ca="1" si="200"/>
        <v>40973664.898791522</v>
      </c>
      <c r="Q228" s="2">
        <f t="shared" ca="1" si="201"/>
        <v>1024341.6224697881</v>
      </c>
      <c r="R228" s="2">
        <f t="shared" ca="1" si="202"/>
        <v>24584198.939274911</v>
      </c>
      <c r="S228" s="2">
        <f t="shared" ca="1" si="203"/>
        <v>16389465.959516609</v>
      </c>
      <c r="T228" s="2">
        <f t="shared" ca="1" si="204"/>
        <v>50229243.561054014</v>
      </c>
      <c r="U228" s="2">
        <f t="shared" ca="1" si="205"/>
        <v>50704336.73542168</v>
      </c>
      <c r="V228" s="2">
        <f t="shared" ca="1" si="206"/>
        <v>51183923.577388704</v>
      </c>
      <c r="W228" s="2">
        <f t="shared" ca="1" si="207"/>
        <v>51668046.590298817</v>
      </c>
      <c r="X228" s="2">
        <f t="shared" ca="1" si="208"/>
        <v>52156748.679513521</v>
      </c>
      <c r="Y228" s="2">
        <f t="shared" ca="1" si="209"/>
        <v>0.12585111857114498</v>
      </c>
      <c r="Z228" s="2">
        <f t="shared" ca="1" si="210"/>
        <v>0.12819156599960296</v>
      </c>
      <c r="AA228" s="2">
        <f t="shared" ca="1" si="211"/>
        <v>6321406.4871411286</v>
      </c>
      <c r="AB228" s="2">
        <f t="shared" ca="1" si="212"/>
        <v>6499868.3290849011</v>
      </c>
      <c r="AC228" s="2">
        <f t="shared" ca="1" si="213"/>
        <v>6561347.3173894584</v>
      </c>
      <c r="AD228" s="2">
        <f t="shared" ca="1" si="214"/>
        <v>6623407.8045508517</v>
      </c>
      <c r="AE228" s="2">
        <f t="shared" ca="1" si="215"/>
        <v>6686055.2906745626</v>
      </c>
      <c r="AF228" s="2">
        <f t="shared" ca="1" si="216"/>
        <v>1004584.8712210803</v>
      </c>
      <c r="AG228" s="2">
        <f t="shared" ca="1" si="217"/>
        <v>1014086.7347084336</v>
      </c>
      <c r="AH228" s="2">
        <f t="shared" ca="1" si="218"/>
        <v>1023678.4715477742</v>
      </c>
      <c r="AI228" s="2">
        <f t="shared" ca="1" si="219"/>
        <v>1033360.9318059763</v>
      </c>
      <c r="AJ228" s="2">
        <f t="shared" ca="1" si="220"/>
        <v>1043134.9735902705</v>
      </c>
      <c r="AK228" s="2">
        <f t="shared" ca="1" si="221"/>
        <v>0</v>
      </c>
      <c r="AL228" s="2">
        <f t="shared" ca="1" si="222"/>
        <v>4750.9317436766623</v>
      </c>
      <c r="AM228" s="2">
        <f t="shared" ca="1" si="223"/>
        <v>4795.8684196702388</v>
      </c>
      <c r="AN228" s="2">
        <f t="shared" ca="1" si="224"/>
        <v>4841.2301291011272</v>
      </c>
      <c r="AO228" s="2">
        <f t="shared" ca="1" si="225"/>
        <v>4887.0208921470494</v>
      </c>
      <c r="AP228" s="2">
        <f t="shared" ca="1" si="226"/>
        <v>2212577.9045347418</v>
      </c>
      <c r="AQ228" s="2">
        <f t="shared" ca="1" si="227"/>
        <v>807103.36496017966</v>
      </c>
      <c r="AR228" s="2">
        <f t="shared" ca="1" si="228"/>
        <v>851032.95935884863</v>
      </c>
      <c r="AS228" s="2">
        <f t="shared" ca="1" si="229"/>
        <v>864523.64473980514</v>
      </c>
      <c r="AT228" s="2">
        <f t="shared" ca="1" si="230"/>
        <v>878141.93173463468</v>
      </c>
      <c r="AU228" s="2">
        <f t="shared" ca="1" si="231"/>
        <v>891889.02726288303</v>
      </c>
      <c r="AV228" s="2">
        <f t="shared" ca="1" si="232"/>
        <v>2297140.3464251268</v>
      </c>
      <c r="AW228" s="2">
        <f t="shared" ca="1" si="233"/>
        <v>2417419.7987392</v>
      </c>
      <c r="AX228" s="2">
        <f t="shared" ca="1" si="234"/>
        <v>2455771.4281474673</v>
      </c>
      <c r="AY228" s="2">
        <f t="shared" ca="1" si="235"/>
        <v>2494485.8063463974</v>
      </c>
      <c r="AZ228" s="2">
        <f t="shared" ca="1" si="236"/>
        <v>2533566.3643945199</v>
      </c>
      <c r="BA228" s="2">
        <f t="shared" ca="1" si="237"/>
        <v>51629993.860562995</v>
      </c>
      <c r="BB228" s="2">
        <f t="shared" ca="1" si="238"/>
        <v>1032599.8772112599</v>
      </c>
      <c r="BC228" s="2">
        <f t="shared" ca="1" si="239"/>
        <v>26013195.044076823</v>
      </c>
      <c r="BD228" s="2">
        <f t="shared" ca="1" si="240"/>
        <v>-17913807.581986398</v>
      </c>
      <c r="BE228" s="2">
        <f t="shared" ca="1" si="241"/>
        <v>2297140.3464251268</v>
      </c>
      <c r="BF228" s="2">
        <f t="shared" ca="1" si="242"/>
        <v>2417419.7987392</v>
      </c>
      <c r="BG228" s="2">
        <f t="shared" ca="1" si="243"/>
        <v>2455771.4281474673</v>
      </c>
      <c r="BH228" s="2">
        <f t="shared" ca="1" si="244"/>
        <v>2494485.8063463974</v>
      </c>
      <c r="BI228" s="2">
        <f t="shared" ca="1" si="245"/>
        <v>28546761.408471342</v>
      </c>
      <c r="BJ228" s="2">
        <f t="shared" ca="1" si="246"/>
        <v>0.19627850297037996</v>
      </c>
      <c r="BK228" s="2">
        <f t="shared" ca="1" si="247"/>
        <v>5595822.336405348</v>
      </c>
    </row>
    <row r="229" spans="1:63" x14ac:dyDescent="0.3">
      <c r="A229" s="2">
        <v>228</v>
      </c>
      <c r="B229" s="2">
        <f t="shared" ca="1" si="186"/>
        <v>0.35870678153100077</v>
      </c>
      <c r="C229" s="2">
        <f t="shared" ca="1" si="187"/>
        <v>6.8470026936568749</v>
      </c>
      <c r="D229" s="2">
        <f t="shared" ca="1" si="188"/>
        <v>0.27895061244605579</v>
      </c>
      <c r="E229" s="2">
        <f t="shared" ca="1" si="189"/>
        <v>7.2469278578899781</v>
      </c>
      <c r="F229" s="2">
        <f t="shared" ca="1" si="190"/>
        <v>0.39552524198280781</v>
      </c>
      <c r="G229" s="2">
        <f t="shared" ca="1" si="191"/>
        <v>3.2051597517852456E-2</v>
      </c>
      <c r="H229" s="2">
        <f t="shared" ca="1" si="192"/>
        <v>3.2051597517852456E-2</v>
      </c>
      <c r="I229" s="2">
        <f t="shared" ca="1" si="193"/>
        <v>0.48476042903814309</v>
      </c>
      <c r="J229" s="2">
        <f t="shared" ca="1" si="194"/>
        <v>9.8089538266766842E-3</v>
      </c>
      <c r="K229" s="2">
        <f t="shared" ca="1" si="195"/>
        <v>9.8089538266766842E-3</v>
      </c>
      <c r="L229" s="2">
        <f t="shared" ca="1" si="196"/>
        <v>0.71987370004408768</v>
      </c>
      <c r="M229" s="2">
        <f t="shared" ca="1" si="197"/>
        <v>1.1649327032337358E-2</v>
      </c>
      <c r="N229" s="2">
        <f t="shared" ca="1" si="198"/>
        <v>1.1649327032337358E-2</v>
      </c>
      <c r="O229" s="2">
        <f t="shared" si="199"/>
        <v>6000000</v>
      </c>
      <c r="P229" s="2">
        <f t="shared" ca="1" si="200"/>
        <v>41082016.161941253</v>
      </c>
      <c r="Q229" s="2">
        <f t="shared" ca="1" si="201"/>
        <v>1027050.4040485313</v>
      </c>
      <c r="R229" s="2">
        <f t="shared" ca="1" si="202"/>
        <v>24649209.697164752</v>
      </c>
      <c r="S229" s="2">
        <f t="shared" ca="1" si="203"/>
        <v>16432806.464776501</v>
      </c>
      <c r="T229" s="2">
        <f t="shared" ca="1" si="204"/>
        <v>50582466.351616874</v>
      </c>
      <c r="U229" s="2">
        <f t="shared" ca="1" si="205"/>
        <v>52203715.204579212</v>
      </c>
      <c r="V229" s="2">
        <f t="shared" ca="1" si="206"/>
        <v>53876927.673252977</v>
      </c>
      <c r="W229" s="2">
        <f t="shared" ca="1" si="207"/>
        <v>55603769.274534523</v>
      </c>
      <c r="X229" s="2">
        <f t="shared" ca="1" si="208"/>
        <v>57385958.907797426</v>
      </c>
      <c r="Y229" s="2">
        <f t="shared" ca="1" si="209"/>
        <v>0.12490447691333834</v>
      </c>
      <c r="Z229" s="2">
        <f t="shared" ca="1" si="210"/>
        <v>0.12686626767867368</v>
      </c>
      <c r="AA229" s="2">
        <f t="shared" ca="1" si="211"/>
        <v>6317976.500635243</v>
      </c>
      <c r="AB229" s="2">
        <f t="shared" ca="1" si="212"/>
        <v>6622890.5069653932</v>
      </c>
      <c r="AC229" s="2">
        <f t="shared" ca="1" si="213"/>
        <v>6835164.7278994536</v>
      </c>
      <c r="AD229" s="2">
        <f t="shared" ca="1" si="214"/>
        <v>7054242.6767263077</v>
      </c>
      <c r="AE229" s="2">
        <f t="shared" ca="1" si="215"/>
        <v>7280342.4237939967</v>
      </c>
      <c r="AF229" s="2">
        <f t="shared" ca="1" si="216"/>
        <v>1011649.3270323375</v>
      </c>
      <c r="AG229" s="2">
        <f t="shared" ca="1" si="217"/>
        <v>1044074.3040915843</v>
      </c>
      <c r="AH229" s="2">
        <f t="shared" ca="1" si="218"/>
        <v>1077538.5534650595</v>
      </c>
      <c r="AI229" s="2">
        <f t="shared" ca="1" si="219"/>
        <v>1112075.3854906906</v>
      </c>
      <c r="AJ229" s="2">
        <f t="shared" ca="1" si="220"/>
        <v>1147719.1781559486</v>
      </c>
      <c r="AK229" s="2">
        <f t="shared" ca="1" si="221"/>
        <v>0</v>
      </c>
      <c r="AL229" s="2">
        <f t="shared" ca="1" si="222"/>
        <v>16212.488529623375</v>
      </c>
      <c r="AM229" s="2">
        <f t="shared" ca="1" si="223"/>
        <v>16732.124686737658</v>
      </c>
      <c r="AN229" s="2">
        <f t="shared" ca="1" si="224"/>
        <v>17268.416012815462</v>
      </c>
      <c r="AO229" s="2">
        <f t="shared" ca="1" si="225"/>
        <v>17821.896332629025</v>
      </c>
      <c r="AP229" s="2">
        <f t="shared" ca="1" si="226"/>
        <v>2218428.8727448275</v>
      </c>
      <c r="AQ229" s="2">
        <f t="shared" ca="1" si="227"/>
        <v>802853.55822310015</v>
      </c>
      <c r="AR229" s="2">
        <f t="shared" ca="1" si="228"/>
        <v>873700.70583353529</v>
      </c>
      <c r="AS229" s="2">
        <f t="shared" ca="1" si="229"/>
        <v>920191.29843928723</v>
      </c>
      <c r="AT229" s="2">
        <f t="shared" ca="1" si="230"/>
        <v>968171.98880760535</v>
      </c>
      <c r="AU229" s="2">
        <f t="shared" ca="1" si="231"/>
        <v>1017690.5369522375</v>
      </c>
      <c r="AV229" s="2">
        <f t="shared" ca="1" si="232"/>
        <v>2285044.7426349772</v>
      </c>
      <c r="AW229" s="2">
        <f t="shared" ca="1" si="233"/>
        <v>2470474.1357658226</v>
      </c>
      <c r="AX229" s="2">
        <f t="shared" ca="1" si="234"/>
        <v>2602273.878563541</v>
      </c>
      <c r="AY229" s="2">
        <f t="shared" ca="1" si="235"/>
        <v>2738298.0136703691</v>
      </c>
      <c r="AZ229" s="2">
        <f t="shared" ca="1" si="236"/>
        <v>2878681.9396083541</v>
      </c>
      <c r="BA229" s="2">
        <f t="shared" ca="1" si="237"/>
        <v>52760116.325970963</v>
      </c>
      <c r="BB229" s="2">
        <f t="shared" ca="1" si="238"/>
        <v>1055202.3265194192</v>
      </c>
      <c r="BC229" s="2">
        <f t="shared" ca="1" si="239"/>
        <v>27055704.302286793</v>
      </c>
      <c r="BD229" s="2">
        <f t="shared" ca="1" si="240"/>
        <v>-17959856.868825033</v>
      </c>
      <c r="BE229" s="2">
        <f t="shared" ca="1" si="241"/>
        <v>2285044.7426349772</v>
      </c>
      <c r="BF229" s="2">
        <f t="shared" ca="1" si="242"/>
        <v>2470474.1357658226</v>
      </c>
      <c r="BG229" s="2">
        <f t="shared" ca="1" si="243"/>
        <v>2602273.878563541</v>
      </c>
      <c r="BH229" s="2">
        <f t="shared" ca="1" si="244"/>
        <v>2738298.0136703691</v>
      </c>
      <c r="BI229" s="2">
        <f t="shared" ca="1" si="245"/>
        <v>29934386.241895147</v>
      </c>
      <c r="BJ229" s="2">
        <f t="shared" ca="1" si="246"/>
        <v>0.20839224262978728</v>
      </c>
      <c r="BK229" s="2">
        <f t="shared" ca="1" si="247"/>
        <v>6627868.2080799714</v>
      </c>
    </row>
    <row r="230" spans="1:63" x14ac:dyDescent="0.3">
      <c r="A230" s="2">
        <v>229</v>
      </c>
      <c r="B230" s="2">
        <f t="shared" ca="1" si="186"/>
        <v>4.2561525458676086E-2</v>
      </c>
      <c r="C230" s="2">
        <f t="shared" ca="1" si="187"/>
        <v>6.2917585490047419</v>
      </c>
      <c r="D230" s="2">
        <f t="shared" ca="1" si="188"/>
        <v>0.98820981599081947</v>
      </c>
      <c r="E230" s="2">
        <f t="shared" ca="1" si="189"/>
        <v>8.346440994994234</v>
      </c>
      <c r="F230" s="2">
        <f t="shared" ca="1" si="190"/>
        <v>0.54996606299485029</v>
      </c>
      <c r="G230" s="2">
        <f t="shared" ca="1" si="191"/>
        <v>4.3767268166838763E-2</v>
      </c>
      <c r="H230" s="2">
        <f t="shared" ca="1" si="192"/>
        <v>4.3767268166838763E-2</v>
      </c>
      <c r="I230" s="2">
        <f t="shared" ca="1" si="193"/>
        <v>0.96713413536193626</v>
      </c>
      <c r="J230" s="2">
        <f t="shared" ca="1" si="194"/>
        <v>1.9201243631074429E-2</v>
      </c>
      <c r="K230" s="2">
        <f t="shared" ca="1" si="195"/>
        <v>1.9201243631074429E-2</v>
      </c>
      <c r="L230" s="2">
        <f t="shared" ca="1" si="196"/>
        <v>0.43551759993062256</v>
      </c>
      <c r="M230" s="2">
        <f t="shared" ca="1" si="197"/>
        <v>-3.2468740915097306E-3</v>
      </c>
      <c r="N230" s="2">
        <f t="shared" ca="1" si="198"/>
        <v>-3.2468740915097306E-3</v>
      </c>
      <c r="O230" s="2">
        <f t="shared" si="199"/>
        <v>6000000</v>
      </c>
      <c r="P230" s="2">
        <f t="shared" ca="1" si="200"/>
        <v>37750551.294028454</v>
      </c>
      <c r="Q230" s="2">
        <f t="shared" ca="1" si="201"/>
        <v>943763.78235071141</v>
      </c>
      <c r="R230" s="2">
        <f t="shared" ca="1" si="202"/>
        <v>22650330.776417073</v>
      </c>
      <c r="S230" s="2">
        <f t="shared" ca="1" si="203"/>
        <v>15100220.517611383</v>
      </c>
      <c r="T230" s="2">
        <f t="shared" ca="1" si="204"/>
        <v>49837656.295424514</v>
      </c>
      <c r="U230" s="2">
        <f t="shared" ca="1" si="205"/>
        <v>52018914.363313101</v>
      </c>
      <c r="V230" s="2">
        <f t="shared" ca="1" si="206"/>
        <v>54295640.138000049</v>
      </c>
      <c r="W230" s="2">
        <f t="shared" ca="1" si="207"/>
        <v>56672011.980210073</v>
      </c>
      <c r="X230" s="2">
        <f t="shared" ca="1" si="208"/>
        <v>59152391.126102231</v>
      </c>
      <c r="Y230" s="2">
        <f t="shared" ca="1" si="209"/>
        <v>0.12960062181553722</v>
      </c>
      <c r="Z230" s="2">
        <f t="shared" ca="1" si="210"/>
        <v>0.1334408705417521</v>
      </c>
      <c r="AA230" s="2">
        <f t="shared" ca="1" si="211"/>
        <v>6458991.24571604</v>
      </c>
      <c r="AB230" s="2">
        <f t="shared" ca="1" si="212"/>
        <v>6941449.2172773527</v>
      </c>
      <c r="AC230" s="2">
        <f t="shared" ca="1" si="213"/>
        <v>7245257.4866364235</v>
      </c>
      <c r="AD230" s="2">
        <f t="shared" ca="1" si="214"/>
        <v>7562362.613991837</v>
      </c>
      <c r="AE230" s="2">
        <f t="shared" ca="1" si="215"/>
        <v>7893346.5664932942</v>
      </c>
      <c r="AF230" s="2">
        <f t="shared" ca="1" si="216"/>
        <v>996753.12590849027</v>
      </c>
      <c r="AG230" s="2">
        <f t="shared" ca="1" si="217"/>
        <v>1040378.287266262</v>
      </c>
      <c r="AH230" s="2">
        <f t="shared" ca="1" si="218"/>
        <v>1085912.802760001</v>
      </c>
      <c r="AI230" s="2">
        <f t="shared" ca="1" si="219"/>
        <v>1133440.2396042014</v>
      </c>
      <c r="AJ230" s="2">
        <f t="shared" ca="1" si="220"/>
        <v>1183047.8225220446</v>
      </c>
      <c r="AK230" s="2">
        <f t="shared" ca="1" si="221"/>
        <v>0</v>
      </c>
      <c r="AL230" s="2">
        <f t="shared" ca="1" si="222"/>
        <v>21812.580678885879</v>
      </c>
      <c r="AM230" s="2">
        <f t="shared" ca="1" si="223"/>
        <v>22767.257746869476</v>
      </c>
      <c r="AN230" s="2">
        <f t="shared" ca="1" si="224"/>
        <v>23763.718422100246</v>
      </c>
      <c r="AO230" s="2">
        <f t="shared" ca="1" si="225"/>
        <v>24803.791458921583</v>
      </c>
      <c r="AP230" s="2">
        <f t="shared" ca="1" si="226"/>
        <v>2038529.7698775365</v>
      </c>
      <c r="AQ230" s="2">
        <f t="shared" ca="1" si="227"/>
        <v>890164.17098180356</v>
      </c>
      <c r="AR230" s="2">
        <f t="shared" ca="1" si="228"/>
        <v>1004260.7016347243</v>
      </c>
      <c r="AS230" s="2">
        <f t="shared" ca="1" si="229"/>
        <v>1071411.8776397104</v>
      </c>
      <c r="AT230" s="2">
        <f t="shared" ca="1" si="230"/>
        <v>1141502.077172626</v>
      </c>
      <c r="AU230" s="2">
        <f t="shared" ca="1" si="231"/>
        <v>1214659.9332643654</v>
      </c>
      <c r="AV230" s="2">
        <f t="shared" ca="1" si="232"/>
        <v>2533544.1789482096</v>
      </c>
      <c r="AW230" s="2">
        <f t="shared" ca="1" si="233"/>
        <v>2836467.8778199442</v>
      </c>
      <c r="AX230" s="2">
        <f t="shared" ca="1" si="234"/>
        <v>3026635.7786123063</v>
      </c>
      <c r="AY230" s="2">
        <f t="shared" ca="1" si="235"/>
        <v>3225126.8089153739</v>
      </c>
      <c r="AZ230" s="2">
        <f t="shared" ca="1" si="236"/>
        <v>3432305.2493704259</v>
      </c>
      <c r="BA230" s="2">
        <f t="shared" ca="1" si="237"/>
        <v>65881351.370276608</v>
      </c>
      <c r="BB230" s="2">
        <f t="shared" ca="1" si="238"/>
        <v>1317627.0274055321</v>
      </c>
      <c r="BC230" s="2">
        <f t="shared" ca="1" si="239"/>
        <v>41913393.566454008</v>
      </c>
      <c r="BD230" s="2">
        <f t="shared" ca="1" si="240"/>
        <v>-16543984.299962094</v>
      </c>
      <c r="BE230" s="2">
        <f t="shared" ca="1" si="241"/>
        <v>2533544.1789482096</v>
      </c>
      <c r="BF230" s="2">
        <f t="shared" ca="1" si="242"/>
        <v>2836467.8778199442</v>
      </c>
      <c r="BG230" s="2">
        <f t="shared" ca="1" si="243"/>
        <v>3026635.7786123063</v>
      </c>
      <c r="BH230" s="2">
        <f t="shared" ca="1" si="244"/>
        <v>3225126.8089153739</v>
      </c>
      <c r="BI230" s="2">
        <f t="shared" ca="1" si="245"/>
        <v>45345698.815824434</v>
      </c>
      <c r="BJ230" s="2">
        <f t="shared" ca="1" si="246"/>
        <v>0.33352792503703887</v>
      </c>
      <c r="BK230" s="2">
        <f t="shared" ca="1" si="247"/>
        <v>17913616.799205415</v>
      </c>
    </row>
    <row r="231" spans="1:63" x14ac:dyDescent="0.3">
      <c r="A231" s="2">
        <v>230</v>
      </c>
      <c r="B231" s="2">
        <f t="shared" ca="1" si="186"/>
        <v>0.33144588440754397</v>
      </c>
      <c r="C231" s="2">
        <f t="shared" ca="1" si="187"/>
        <v>6.8141816559067685</v>
      </c>
      <c r="D231" s="2">
        <f t="shared" ca="1" si="188"/>
        <v>0.50228519602652</v>
      </c>
      <c r="E231" s="2">
        <f t="shared" ca="1" si="189"/>
        <v>7.5022878130708435</v>
      </c>
      <c r="F231" s="2">
        <f t="shared" ca="1" si="190"/>
        <v>0.8723700347932154</v>
      </c>
      <c r="G231" s="2">
        <f t="shared" ca="1" si="191"/>
        <v>7.4129983258755541E-2</v>
      </c>
      <c r="H231" s="2">
        <f t="shared" ca="1" si="192"/>
        <v>7.4129983258755541E-2</v>
      </c>
      <c r="I231" s="2">
        <f t="shared" ca="1" si="193"/>
        <v>0.62612964212952904</v>
      </c>
      <c r="J231" s="2">
        <f t="shared" ca="1" si="194"/>
        <v>1.1608099173136294E-2</v>
      </c>
      <c r="K231" s="2">
        <f t="shared" ca="1" si="195"/>
        <v>1.1608099173136294E-2</v>
      </c>
      <c r="L231" s="2">
        <f t="shared" ca="1" si="196"/>
        <v>0.2707883710205653</v>
      </c>
      <c r="M231" s="2">
        <f t="shared" ca="1" si="197"/>
        <v>-1.2208607799491405E-2</v>
      </c>
      <c r="N231" s="2">
        <f t="shared" ca="1" si="198"/>
        <v>-1.2208607799491405E-2</v>
      </c>
      <c r="O231" s="2">
        <f t="shared" si="199"/>
        <v>6000000</v>
      </c>
      <c r="P231" s="2">
        <f t="shared" ca="1" si="200"/>
        <v>40885089.935440607</v>
      </c>
      <c r="Q231" s="2">
        <f t="shared" ca="1" si="201"/>
        <v>1022127.2483860152</v>
      </c>
      <c r="R231" s="2">
        <f t="shared" ca="1" si="202"/>
        <v>24531053.961264364</v>
      </c>
      <c r="S231" s="2">
        <f t="shared" ca="1" si="203"/>
        <v>16354035.974176243</v>
      </c>
      <c r="T231" s="2">
        <f t="shared" ca="1" si="204"/>
        <v>49389569.610025428</v>
      </c>
      <c r="U231" s="2">
        <f t="shared" ca="1" si="205"/>
        <v>53050817.57837376</v>
      </c>
      <c r="V231" s="2">
        <f t="shared" ca="1" si="206"/>
        <v>56983473.797321908</v>
      </c>
      <c r="W231" s="2">
        <f t="shared" ca="1" si="207"/>
        <v>61207657.75594312</v>
      </c>
      <c r="X231" s="2">
        <f t="shared" ca="1" si="208"/>
        <v>65744980.400698826</v>
      </c>
      <c r="Y231" s="2">
        <f t="shared" ca="1" si="209"/>
        <v>0.12580404958656816</v>
      </c>
      <c r="Z231" s="2">
        <f t="shared" ca="1" si="210"/>
        <v>0.12812566942119541</v>
      </c>
      <c r="AA231" s="2">
        <f t="shared" ca="1" si="211"/>
        <v>6213407.8642788986</v>
      </c>
      <c r="AB231" s="2">
        <f t="shared" ca="1" si="212"/>
        <v>6797171.5155708585</v>
      </c>
      <c r="AC231" s="2">
        <f t="shared" ca="1" si="213"/>
        <v>7301045.7262270171</v>
      </c>
      <c r="AD231" s="2">
        <f t="shared" ca="1" si="214"/>
        <v>7842272.1236836351</v>
      </c>
      <c r="AE231" s="2">
        <f t="shared" ca="1" si="215"/>
        <v>8423619.6249229088</v>
      </c>
      <c r="AF231" s="2">
        <f t="shared" ca="1" si="216"/>
        <v>987791.39220050862</v>
      </c>
      <c r="AG231" s="2">
        <f t="shared" ca="1" si="217"/>
        <v>1061016.3515674751</v>
      </c>
      <c r="AH231" s="2">
        <f t="shared" ca="1" si="218"/>
        <v>1139669.4759464383</v>
      </c>
      <c r="AI231" s="2">
        <f t="shared" ca="1" si="219"/>
        <v>1224153.1551188624</v>
      </c>
      <c r="AJ231" s="2">
        <f t="shared" ca="1" si="220"/>
        <v>1314899.6080139766</v>
      </c>
      <c r="AK231" s="2">
        <f t="shared" ca="1" si="221"/>
        <v>0</v>
      </c>
      <c r="AL231" s="2">
        <f t="shared" ca="1" si="222"/>
        <v>36612.479683483318</v>
      </c>
      <c r="AM231" s="2">
        <f t="shared" ca="1" si="223"/>
        <v>39326.562189481483</v>
      </c>
      <c r="AN231" s="2">
        <f t="shared" ca="1" si="224"/>
        <v>42241.839586212118</v>
      </c>
      <c r="AO231" s="2">
        <f t="shared" ca="1" si="225"/>
        <v>45373.226447557063</v>
      </c>
      <c r="AP231" s="2">
        <f t="shared" ca="1" si="226"/>
        <v>2207794.8565137926</v>
      </c>
      <c r="AQ231" s="2">
        <f t="shared" ca="1" si="227"/>
        <v>784633.62004679546</v>
      </c>
      <c r="AR231" s="2">
        <f t="shared" ca="1" si="228"/>
        <v>917373.6799472936</v>
      </c>
      <c r="AS231" s="2">
        <f t="shared" ca="1" si="229"/>
        <v>1027931.1623793644</v>
      </c>
      <c r="AT231" s="2">
        <f t="shared" ca="1" si="230"/>
        <v>1146684.2691332549</v>
      </c>
      <c r="AU231" s="2">
        <f t="shared" ca="1" si="231"/>
        <v>1274240.5417027364</v>
      </c>
      <c r="AV231" s="2">
        <f t="shared" ca="1" si="232"/>
        <v>2233187.9955178024</v>
      </c>
      <c r="AW231" s="2">
        <f t="shared" ca="1" si="233"/>
        <v>2574374.1478588143</v>
      </c>
      <c r="AX231" s="2">
        <f t="shared" ca="1" si="234"/>
        <v>2886323.6691979403</v>
      </c>
      <c r="AY231" s="2">
        <f t="shared" ca="1" si="235"/>
        <v>3221398.0033315131</v>
      </c>
      <c r="AZ231" s="2">
        <f t="shared" ca="1" si="236"/>
        <v>3581311.3922448466</v>
      </c>
      <c r="BA231" s="2">
        <f t="shared" ca="1" si="237"/>
        <v>63196418.854003526</v>
      </c>
      <c r="BB231" s="2">
        <f t="shared" ca="1" si="238"/>
        <v>1263928.3770800706</v>
      </c>
      <c r="BC231" s="2">
        <f t="shared" ca="1" si="239"/>
        <v>37401436.515659094</v>
      </c>
      <c r="BD231" s="2">
        <f t="shared" ca="1" si="240"/>
        <v>-17876163.222562257</v>
      </c>
      <c r="BE231" s="2">
        <f t="shared" ca="1" si="241"/>
        <v>2233187.9955178024</v>
      </c>
      <c r="BF231" s="2">
        <f t="shared" ca="1" si="242"/>
        <v>2574374.1478588143</v>
      </c>
      <c r="BG231" s="2">
        <f t="shared" ca="1" si="243"/>
        <v>2886323.6691979403</v>
      </c>
      <c r="BH231" s="2">
        <f t="shared" ca="1" si="244"/>
        <v>3221398.0033315131</v>
      </c>
      <c r="BI231" s="2">
        <f t="shared" ca="1" si="245"/>
        <v>40982747.907903939</v>
      </c>
      <c r="BJ231" s="2">
        <f t="shared" ca="1" si="246"/>
        <v>0.27902116906713403</v>
      </c>
      <c r="BK231" s="2">
        <f t="shared" ca="1" si="247"/>
        <v>13526426.569253068</v>
      </c>
    </row>
    <row r="232" spans="1:63" x14ac:dyDescent="0.3">
      <c r="A232" s="2">
        <v>231</v>
      </c>
      <c r="B232" s="2">
        <f t="shared" ca="1" si="186"/>
        <v>0.71613638395511703</v>
      </c>
      <c r="C232" s="2">
        <f t="shared" ca="1" si="187"/>
        <v>7.246523237193232</v>
      </c>
      <c r="D232" s="2">
        <f t="shared" ca="1" si="188"/>
        <v>0.95009715010744855</v>
      </c>
      <c r="E232" s="2">
        <f t="shared" ca="1" si="189"/>
        <v>8.1840795989729322</v>
      </c>
      <c r="F232" s="2">
        <f t="shared" ca="1" si="190"/>
        <v>0.28893586622050471</v>
      </c>
      <c r="G232" s="2">
        <f t="shared" ca="1" si="191"/>
        <v>2.3305115798892932E-2</v>
      </c>
      <c r="H232" s="2">
        <f t="shared" ca="1" si="192"/>
        <v>2.3305115798892932E-2</v>
      </c>
      <c r="I232" s="2">
        <f t="shared" ca="1" si="193"/>
        <v>0.76857366163115126</v>
      </c>
      <c r="J232" s="2">
        <f t="shared" ca="1" si="194"/>
        <v>1.3670788121387207E-2</v>
      </c>
      <c r="K232" s="2">
        <f t="shared" ca="1" si="195"/>
        <v>1.3670788121387207E-2</v>
      </c>
      <c r="L232" s="2">
        <f t="shared" ca="1" si="196"/>
        <v>0.8505294098375914</v>
      </c>
      <c r="M232" s="2">
        <f t="shared" ca="1" si="197"/>
        <v>2.0774133306595645E-2</v>
      </c>
      <c r="N232" s="2">
        <f t="shared" ca="1" si="198"/>
        <v>2.0774133306595645E-2</v>
      </c>
      <c r="O232" s="2">
        <f t="shared" si="199"/>
        <v>6000000</v>
      </c>
      <c r="P232" s="2">
        <f t="shared" ca="1" si="200"/>
        <v>43479139.423159391</v>
      </c>
      <c r="Q232" s="2">
        <f t="shared" ca="1" si="201"/>
        <v>1086978.4855789847</v>
      </c>
      <c r="R232" s="2">
        <f t="shared" ca="1" si="202"/>
        <v>26087483.653895635</v>
      </c>
      <c r="S232" s="2">
        <f t="shared" ca="1" si="203"/>
        <v>17391655.769263756</v>
      </c>
      <c r="T232" s="2">
        <f t="shared" ca="1" si="204"/>
        <v>51038706.665329784</v>
      </c>
      <c r="U232" s="2">
        <f t="shared" ca="1" si="205"/>
        <v>52228169.634391017</v>
      </c>
      <c r="V232" s="2">
        <f t="shared" ca="1" si="206"/>
        <v>53445353.17568472</v>
      </c>
      <c r="W232" s="2">
        <f t="shared" ca="1" si="207"/>
        <v>54690903.320356779</v>
      </c>
      <c r="X232" s="2">
        <f t="shared" ca="1" si="208"/>
        <v>55965481.155383743</v>
      </c>
      <c r="Y232" s="2">
        <f t="shared" ca="1" si="209"/>
        <v>0.12683539406069361</v>
      </c>
      <c r="Z232" s="2">
        <f t="shared" ca="1" si="210"/>
        <v>0.12956955168497103</v>
      </c>
      <c r="AA232" s="2">
        <f t="shared" ca="1" si="211"/>
        <v>6473514.4722452527</v>
      </c>
      <c r="AB232" s="2">
        <f t="shared" ca="1" si="212"/>
        <v>6767180.524854661</v>
      </c>
      <c r="AC232" s="2">
        <f t="shared" ca="1" si="213"/>
        <v>6924890.4506184123</v>
      </c>
      <c r="AD232" s="2">
        <f t="shared" ca="1" si="214"/>
        <v>7086275.8244647216</v>
      </c>
      <c r="AE232" s="2">
        <f t="shared" ca="1" si="215"/>
        <v>7251422.303136766</v>
      </c>
      <c r="AF232" s="2">
        <f t="shared" ca="1" si="216"/>
        <v>1020774.1333065957</v>
      </c>
      <c r="AG232" s="2">
        <f t="shared" ca="1" si="217"/>
        <v>1044563.3926878204</v>
      </c>
      <c r="AH232" s="2">
        <f t="shared" ca="1" si="218"/>
        <v>1068907.0635136943</v>
      </c>
      <c r="AI232" s="2">
        <f t="shared" ca="1" si="219"/>
        <v>1093818.0664071357</v>
      </c>
      <c r="AJ232" s="2">
        <f t="shared" ca="1" si="220"/>
        <v>1119309.623107675</v>
      </c>
      <c r="AK232" s="2">
        <f t="shared" ca="1" si="221"/>
        <v>0</v>
      </c>
      <c r="AL232" s="2">
        <f t="shared" ca="1" si="222"/>
        <v>11894.629690612332</v>
      </c>
      <c r="AM232" s="2">
        <f t="shared" ca="1" si="223"/>
        <v>12171.835412937031</v>
      </c>
      <c r="AN232" s="2">
        <f t="shared" ca="1" si="224"/>
        <v>12455.501446720586</v>
      </c>
      <c r="AO232" s="2">
        <f t="shared" ca="1" si="225"/>
        <v>12745.778350269646</v>
      </c>
      <c r="AP232" s="2">
        <f t="shared" ca="1" si="226"/>
        <v>2347873.5288506071</v>
      </c>
      <c r="AQ232" s="2">
        <f t="shared" ca="1" si="227"/>
        <v>807265.3706228931</v>
      </c>
      <c r="AR232" s="2">
        <f t="shared" ca="1" si="228"/>
        <v>877433.33686222066</v>
      </c>
      <c r="AS232" s="2">
        <f t="shared" ca="1" si="229"/>
        <v>912108.56314606883</v>
      </c>
      <c r="AT232" s="2">
        <f t="shared" ca="1" si="230"/>
        <v>947591.89959381451</v>
      </c>
      <c r="AU232" s="2">
        <f t="shared" ca="1" si="231"/>
        <v>983902.17930640571</v>
      </c>
      <c r="AV232" s="2">
        <f t="shared" ca="1" si="232"/>
        <v>2297601.4394651572</v>
      </c>
      <c r="AW232" s="2">
        <f t="shared" ca="1" si="233"/>
        <v>2485415.6367633999</v>
      </c>
      <c r="AX232" s="2">
        <f t="shared" ca="1" si="234"/>
        <v>2583829.459695105</v>
      </c>
      <c r="AY232" s="2">
        <f t="shared" ca="1" si="235"/>
        <v>2684536.8281664443</v>
      </c>
      <c r="AZ232" s="2">
        <f t="shared" ca="1" si="236"/>
        <v>2787591.1935218084</v>
      </c>
      <c r="BA232" s="2">
        <f t="shared" ca="1" si="237"/>
        <v>59346217.334638923</v>
      </c>
      <c r="BB232" s="2">
        <f t="shared" ca="1" si="238"/>
        <v>1186924.3466927784</v>
      </c>
      <c r="BC232" s="2">
        <f t="shared" ca="1" si="239"/>
        <v>32071809.33405051</v>
      </c>
      <c r="BD232" s="2">
        <f t="shared" ca="1" si="240"/>
        <v>-18978634.25484274</v>
      </c>
      <c r="BE232" s="2">
        <f t="shared" ca="1" si="241"/>
        <v>2297601.4394651572</v>
      </c>
      <c r="BF232" s="2">
        <f t="shared" ca="1" si="242"/>
        <v>2485415.6367633999</v>
      </c>
      <c r="BG232" s="2">
        <f t="shared" ca="1" si="243"/>
        <v>2583829.459695105</v>
      </c>
      <c r="BH232" s="2">
        <f t="shared" ca="1" si="244"/>
        <v>2684536.8281664443</v>
      </c>
      <c r="BI232" s="2">
        <f t="shared" ca="1" si="245"/>
        <v>34859400.527572319</v>
      </c>
      <c r="BJ232" s="2">
        <f t="shared" ca="1" si="246"/>
        <v>0.22166521474353962</v>
      </c>
      <c r="BK232" s="2">
        <f t="shared" ca="1" si="247"/>
        <v>8379504.22378828</v>
      </c>
    </row>
    <row r="233" spans="1:63" x14ac:dyDescent="0.3">
      <c r="A233" s="2">
        <v>232</v>
      </c>
      <c r="B233" s="2">
        <f t="shared" ca="1" si="186"/>
        <v>0.72874265418853346</v>
      </c>
      <c r="C233" s="2">
        <f t="shared" ca="1" si="187"/>
        <v>7.2634440336112043</v>
      </c>
      <c r="D233" s="2">
        <f t="shared" ca="1" si="188"/>
        <v>0.6137487090208964</v>
      </c>
      <c r="E233" s="2">
        <f t="shared" ca="1" si="189"/>
        <v>7.621078739614175</v>
      </c>
      <c r="F233" s="2">
        <f t="shared" ca="1" si="190"/>
        <v>0.55101366129489238</v>
      </c>
      <c r="G233" s="2">
        <f t="shared" ca="1" si="191"/>
        <v>4.3846683234183038E-2</v>
      </c>
      <c r="H233" s="2">
        <f t="shared" ca="1" si="192"/>
        <v>4.3846683234183038E-2</v>
      </c>
      <c r="I233" s="2">
        <f t="shared" ca="1" si="193"/>
        <v>0.19841273155676964</v>
      </c>
      <c r="J233" s="2">
        <f t="shared" ca="1" si="194"/>
        <v>5.763477895308928E-3</v>
      </c>
      <c r="K233" s="2">
        <f t="shared" ca="1" si="195"/>
        <v>5.763477895308928E-3</v>
      </c>
      <c r="L233" s="2">
        <f t="shared" ca="1" si="196"/>
        <v>0.63971980439875098</v>
      </c>
      <c r="M233" s="2">
        <f t="shared" ca="1" si="197"/>
        <v>7.1541988650284149E-3</v>
      </c>
      <c r="N233" s="2">
        <f t="shared" ca="1" si="198"/>
        <v>7.1541988650284149E-3</v>
      </c>
      <c r="O233" s="2">
        <f t="shared" si="199"/>
        <v>6000000</v>
      </c>
      <c r="P233" s="2">
        <f t="shared" ca="1" si="200"/>
        <v>43580664.201667227</v>
      </c>
      <c r="Q233" s="2">
        <f t="shared" ca="1" si="201"/>
        <v>1089516.6050416806</v>
      </c>
      <c r="R233" s="2">
        <f t="shared" ca="1" si="202"/>
        <v>26148398.521000337</v>
      </c>
      <c r="S233" s="2">
        <f t="shared" ca="1" si="203"/>
        <v>17432265.68066689</v>
      </c>
      <c r="T233" s="2">
        <f t="shared" ca="1" si="204"/>
        <v>50357709.943251416</v>
      </c>
      <c r="U233" s="2">
        <f t="shared" ca="1" si="205"/>
        <v>52565728.499532029</v>
      </c>
      <c r="V233" s="2">
        <f t="shared" ca="1" si="206"/>
        <v>54870561.346025079</v>
      </c>
      <c r="W233" s="2">
        <f t="shared" ca="1" si="207"/>
        <v>57276453.46824605</v>
      </c>
      <c r="X233" s="2">
        <f t="shared" ca="1" si="208"/>
        <v>59787835.980245657</v>
      </c>
      <c r="Y233" s="2">
        <f t="shared" ca="1" si="209"/>
        <v>0.12288173894765446</v>
      </c>
      <c r="Z233" s="2">
        <f t="shared" ca="1" si="210"/>
        <v>0.12403443452671624</v>
      </c>
      <c r="AA233" s="2">
        <f t="shared" ca="1" si="211"/>
        <v>6188042.9672483234</v>
      </c>
      <c r="AB233" s="2">
        <f t="shared" ca="1" si="212"/>
        <v>6519960.409924347</v>
      </c>
      <c r="AC233" s="2">
        <f t="shared" ca="1" si="213"/>
        <v>6805839.0487177148</v>
      </c>
      <c r="AD233" s="2">
        <f t="shared" ca="1" si="214"/>
        <v>7104252.5176296737</v>
      </c>
      <c r="AE233" s="2">
        <f t="shared" ca="1" si="215"/>
        <v>7415750.4273858294</v>
      </c>
      <c r="AF233" s="2">
        <f t="shared" ca="1" si="216"/>
        <v>1007154.1988650283</v>
      </c>
      <c r="AG233" s="2">
        <f t="shared" ca="1" si="217"/>
        <v>1051314.5699906405</v>
      </c>
      <c r="AH233" s="2">
        <f t="shared" ca="1" si="218"/>
        <v>1097411.2269205016</v>
      </c>
      <c r="AI233" s="2">
        <f t="shared" ca="1" si="219"/>
        <v>1145529.069364921</v>
      </c>
      <c r="AJ233" s="2">
        <f t="shared" ca="1" si="220"/>
        <v>1195756.7196049131</v>
      </c>
      <c r="AK233" s="2">
        <f t="shared" ca="1" si="221"/>
        <v>0</v>
      </c>
      <c r="AL233" s="2">
        <f t="shared" ca="1" si="222"/>
        <v>22080.185562806131</v>
      </c>
      <c r="AM233" s="2">
        <f t="shared" ca="1" si="223"/>
        <v>23048.328464930506</v>
      </c>
      <c r="AN233" s="2">
        <f t="shared" ca="1" si="224"/>
        <v>24058.921222209709</v>
      </c>
      <c r="AO233" s="2">
        <f t="shared" ca="1" si="225"/>
        <v>25113.825119996072</v>
      </c>
      <c r="AP233" s="2">
        <f t="shared" ca="1" si="226"/>
        <v>2353355.8668900304</v>
      </c>
      <c r="AQ233" s="2">
        <f t="shared" ca="1" si="227"/>
        <v>735158.55438824883</v>
      </c>
      <c r="AR233" s="2">
        <f t="shared" ca="1" si="228"/>
        <v>809975.39299135574</v>
      </c>
      <c r="AS233" s="2">
        <f t="shared" ca="1" si="229"/>
        <v>872318.70827586763</v>
      </c>
      <c r="AT233" s="2">
        <f t="shared" ca="1" si="230"/>
        <v>937395.57115742774</v>
      </c>
      <c r="AU233" s="2">
        <f t="shared" ca="1" si="231"/>
        <v>1005325.8386316303</v>
      </c>
      <c r="AV233" s="2">
        <f t="shared" ca="1" si="232"/>
        <v>2092374.3471050165</v>
      </c>
      <c r="AW233" s="2">
        <f t="shared" ca="1" si="233"/>
        <v>2283234.3944895142</v>
      </c>
      <c r="AX233" s="2">
        <f t="shared" ca="1" si="234"/>
        <v>2459704.9181663846</v>
      </c>
      <c r="AY233" s="2">
        <f t="shared" ca="1" si="235"/>
        <v>2643913.0889950846</v>
      </c>
      <c r="AZ233" s="2">
        <f t="shared" ca="1" si="236"/>
        <v>2836198.1771392594</v>
      </c>
      <c r="BA233" s="2">
        <f t="shared" ca="1" si="237"/>
        <v>56516017.920434877</v>
      </c>
      <c r="BB233" s="2">
        <f t="shared" ca="1" si="238"/>
        <v>1130320.3584086976</v>
      </c>
      <c r="BC233" s="2">
        <f t="shared" ca="1" si="239"/>
        <v>29237299.041025843</v>
      </c>
      <c r="BD233" s="2">
        <f t="shared" ca="1" si="240"/>
        <v>-19021782.285708569</v>
      </c>
      <c r="BE233" s="2">
        <f t="shared" ca="1" si="241"/>
        <v>2092374.3471050165</v>
      </c>
      <c r="BF233" s="2">
        <f t="shared" ca="1" si="242"/>
        <v>2283234.3944895142</v>
      </c>
      <c r="BG233" s="2">
        <f t="shared" ca="1" si="243"/>
        <v>2459704.9181663846</v>
      </c>
      <c r="BH233" s="2">
        <f t="shared" ca="1" si="244"/>
        <v>2643913.0889950846</v>
      </c>
      <c r="BI233" s="2">
        <f t="shared" ca="1" si="245"/>
        <v>32073497.218165103</v>
      </c>
      <c r="BJ233" s="2">
        <f t="shared" ca="1" si="246"/>
        <v>0.19841375675590478</v>
      </c>
      <c r="BK233" s="2">
        <f t="shared" ca="1" si="247"/>
        <v>6296977.1963266805</v>
      </c>
    </row>
    <row r="234" spans="1:63" x14ac:dyDescent="0.3">
      <c r="A234" s="2">
        <v>233</v>
      </c>
      <c r="B234" s="2">
        <f t="shared" ca="1" si="186"/>
        <v>0.78432072245465101</v>
      </c>
      <c r="C234" s="2">
        <f t="shared" ca="1" si="187"/>
        <v>7.3432210759390202</v>
      </c>
      <c r="D234" s="2">
        <f t="shared" ca="1" si="188"/>
        <v>0.69854147877611672</v>
      </c>
      <c r="E234" s="2">
        <f t="shared" ca="1" si="189"/>
        <v>7.7235226710020655</v>
      </c>
      <c r="F234" s="2">
        <f t="shared" ca="1" si="190"/>
        <v>0.29950193759840005</v>
      </c>
      <c r="G234" s="2">
        <f t="shared" ca="1" si="191"/>
        <v>2.4224994082061656E-2</v>
      </c>
      <c r="H234" s="2">
        <f t="shared" ca="1" si="192"/>
        <v>2.4224994082061656E-2</v>
      </c>
      <c r="I234" s="2">
        <f t="shared" ca="1" si="193"/>
        <v>0.22262714991886501</v>
      </c>
      <c r="J234" s="2">
        <f t="shared" ca="1" si="194"/>
        <v>6.183246724306651E-3</v>
      </c>
      <c r="K234" s="2">
        <f t="shared" ca="1" si="195"/>
        <v>6.183246724306651E-3</v>
      </c>
      <c r="L234" s="2">
        <f t="shared" ca="1" si="196"/>
        <v>0.58514106857814752</v>
      </c>
      <c r="M234" s="2">
        <f t="shared" ca="1" si="197"/>
        <v>4.3012686651794016E-3</v>
      </c>
      <c r="N234" s="2">
        <f t="shared" ca="1" si="198"/>
        <v>4.3012686651794016E-3</v>
      </c>
      <c r="O234" s="2">
        <f t="shared" si="199"/>
        <v>6000000</v>
      </c>
      <c r="P234" s="2">
        <f t="shared" ca="1" si="200"/>
        <v>44059326.455634125</v>
      </c>
      <c r="Q234" s="2">
        <f t="shared" ca="1" si="201"/>
        <v>1101483.1613908531</v>
      </c>
      <c r="R234" s="2">
        <f t="shared" ca="1" si="202"/>
        <v>26435595.873380475</v>
      </c>
      <c r="S234" s="2">
        <f t="shared" ca="1" si="203"/>
        <v>17623730.58225365</v>
      </c>
      <c r="T234" s="2">
        <f t="shared" ca="1" si="204"/>
        <v>50215063.433258966</v>
      </c>
      <c r="U234" s="2">
        <f t="shared" ca="1" si="205"/>
        <v>51431523.04776001</v>
      </c>
      <c r="V234" s="2">
        <f t="shared" ca="1" si="206"/>
        <v>52677451.389223412</v>
      </c>
      <c r="W234" s="2">
        <f t="shared" ca="1" si="207"/>
        <v>53953562.337385438</v>
      </c>
      <c r="X234" s="2">
        <f t="shared" ca="1" si="208"/>
        <v>55260587.065714739</v>
      </c>
      <c r="Y234" s="2">
        <f t="shared" ca="1" si="209"/>
        <v>0.12309162336215332</v>
      </c>
      <c r="Z234" s="2">
        <f t="shared" ca="1" si="210"/>
        <v>0.12432827270701464</v>
      </c>
      <c r="AA234" s="2">
        <f t="shared" ca="1" si="211"/>
        <v>6181053.6752333501</v>
      </c>
      <c r="AB234" s="2">
        <f t="shared" ca="1" si="212"/>
        <v>6394392.4232190158</v>
      </c>
      <c r="AC234" s="2">
        <f t="shared" ca="1" si="213"/>
        <v>6549296.5418298757</v>
      </c>
      <c r="AD234" s="2">
        <f t="shared" ca="1" si="214"/>
        <v>6707953.2117973715</v>
      </c>
      <c r="AE234" s="2">
        <f t="shared" ca="1" si="215"/>
        <v>6870453.3386559086</v>
      </c>
      <c r="AF234" s="2">
        <f t="shared" ca="1" si="216"/>
        <v>1004301.2686651794</v>
      </c>
      <c r="AG234" s="2">
        <f t="shared" ca="1" si="217"/>
        <v>1028630.4609552003</v>
      </c>
      <c r="AH234" s="2">
        <f t="shared" ca="1" si="218"/>
        <v>1053549.0277844681</v>
      </c>
      <c r="AI234" s="2">
        <f t="shared" ca="1" si="219"/>
        <v>1079071.2467477089</v>
      </c>
      <c r="AJ234" s="2">
        <f t="shared" ca="1" si="220"/>
        <v>1105211.7413142947</v>
      </c>
      <c r="AK234" s="2">
        <f t="shared" ca="1" si="221"/>
        <v>0</v>
      </c>
      <c r="AL234" s="2">
        <f t="shared" ca="1" si="222"/>
        <v>12164.596145010442</v>
      </c>
      <c r="AM234" s="2">
        <f t="shared" ca="1" si="223"/>
        <v>12459.283414634019</v>
      </c>
      <c r="AN234" s="2">
        <f t="shared" ca="1" si="224"/>
        <v>12761.109481620268</v>
      </c>
      <c r="AO234" s="2">
        <f t="shared" ca="1" si="225"/>
        <v>13070.247283293009</v>
      </c>
      <c r="AP234" s="2">
        <f t="shared" ca="1" si="226"/>
        <v>2379203.6286042426</v>
      </c>
      <c r="AQ234" s="2">
        <f t="shared" ca="1" si="227"/>
        <v>727362.6822706213</v>
      </c>
      <c r="AR234" s="2">
        <f t="shared" ca="1" si="228"/>
        <v>776505.16675148893</v>
      </c>
      <c r="AS234" s="2">
        <f t="shared" ca="1" si="229"/>
        <v>810301.41021470306</v>
      </c>
      <c r="AT234" s="2">
        <f t="shared" ca="1" si="230"/>
        <v>844916.3674758093</v>
      </c>
      <c r="AU234" s="2">
        <f t="shared" ca="1" si="231"/>
        <v>880369.87187171658</v>
      </c>
      <c r="AV234" s="2">
        <f t="shared" ca="1" si="232"/>
        <v>2070186.095693307</v>
      </c>
      <c r="AW234" s="2">
        <f t="shared" ca="1" si="233"/>
        <v>2197888.5707630729</v>
      </c>
      <c r="AX234" s="2">
        <f t="shared" ca="1" si="234"/>
        <v>2293783.1918118279</v>
      </c>
      <c r="AY234" s="2">
        <f t="shared" ca="1" si="235"/>
        <v>2392000.8594879899</v>
      </c>
      <c r="AZ234" s="2">
        <f t="shared" ca="1" si="236"/>
        <v>2492597.849582362</v>
      </c>
      <c r="BA234" s="2">
        <f t="shared" ca="1" si="237"/>
        <v>53064102.121170744</v>
      </c>
      <c r="BB234" s="2">
        <f t="shared" ca="1" si="238"/>
        <v>1061282.042423415</v>
      </c>
      <c r="BC234" s="2">
        <f t="shared" ca="1" si="239"/>
        <v>25567224.205366854</v>
      </c>
      <c r="BD234" s="2">
        <f t="shared" ca="1" si="240"/>
        <v>-19225213.743644502</v>
      </c>
      <c r="BE234" s="2">
        <f t="shared" ca="1" si="241"/>
        <v>2070186.095693307</v>
      </c>
      <c r="BF234" s="2">
        <f t="shared" ca="1" si="242"/>
        <v>2197888.5707630729</v>
      </c>
      <c r="BG234" s="2">
        <f t="shared" ca="1" si="243"/>
        <v>2293783.1918118279</v>
      </c>
      <c r="BH234" s="2">
        <f t="shared" ca="1" si="244"/>
        <v>2392000.8594879899</v>
      </c>
      <c r="BI234" s="2">
        <f t="shared" ca="1" si="245"/>
        <v>28059822.054949217</v>
      </c>
      <c r="BJ234" s="2">
        <f t="shared" ca="1" si="246"/>
        <v>0.16493901454244897</v>
      </c>
      <c r="BK234" s="2">
        <f t="shared" ca="1" si="247"/>
        <v>3450035.9702162966</v>
      </c>
    </row>
    <row r="235" spans="1:63" x14ac:dyDescent="0.3">
      <c r="A235" s="2">
        <v>234</v>
      </c>
      <c r="B235" s="2">
        <f t="shared" ca="1" si="186"/>
        <v>0.76913141407036811</v>
      </c>
      <c r="C235" s="2">
        <f t="shared" ca="1" si="187"/>
        <v>7.3204875484148477</v>
      </c>
      <c r="D235" s="2">
        <f t="shared" ca="1" si="188"/>
        <v>0.35268810317022825</v>
      </c>
      <c r="E235" s="2">
        <f t="shared" ca="1" si="189"/>
        <v>7.3398667789241676</v>
      </c>
      <c r="F235" s="2">
        <f t="shared" ca="1" si="190"/>
        <v>0.78760393169639276</v>
      </c>
      <c r="G235" s="2">
        <f t="shared" ca="1" si="191"/>
        <v>6.3944050822851636E-2</v>
      </c>
      <c r="H235" s="2">
        <f t="shared" ca="1" si="192"/>
        <v>6.3944050822851636E-2</v>
      </c>
      <c r="I235" s="2">
        <f t="shared" ca="1" si="193"/>
        <v>0.1408114912058962</v>
      </c>
      <c r="J235" s="2">
        <f t="shared" ca="1" si="194"/>
        <v>4.6165970020971663E-3</v>
      </c>
      <c r="K235" s="2">
        <f t="shared" ca="1" si="195"/>
        <v>4.6165970020971663E-3</v>
      </c>
      <c r="L235" s="2">
        <f t="shared" ca="1" si="196"/>
        <v>0.23147906720368039</v>
      </c>
      <c r="M235" s="2">
        <f t="shared" ca="1" si="197"/>
        <v>-1.467969165647422E-2</v>
      </c>
      <c r="N235" s="2">
        <f t="shared" ca="1" si="198"/>
        <v>-1.467969165647422E-2</v>
      </c>
      <c r="O235" s="2">
        <f t="shared" si="199"/>
        <v>6000000</v>
      </c>
      <c r="P235" s="2">
        <f t="shared" ca="1" si="200"/>
        <v>43922925.290489085</v>
      </c>
      <c r="Q235" s="2">
        <f t="shared" ca="1" si="201"/>
        <v>1098073.1322622271</v>
      </c>
      <c r="R235" s="2">
        <f t="shared" ca="1" si="202"/>
        <v>26353755.174293451</v>
      </c>
      <c r="S235" s="2">
        <f t="shared" ca="1" si="203"/>
        <v>17569170.116195634</v>
      </c>
      <c r="T235" s="2">
        <f t="shared" ca="1" si="204"/>
        <v>49266015.417176291</v>
      </c>
      <c r="U235" s="2">
        <f t="shared" ca="1" si="205"/>
        <v>52416284.010851607</v>
      </c>
      <c r="V235" s="2">
        <f t="shared" ca="1" si="206"/>
        <v>55767993.539586529</v>
      </c>
      <c r="W235" s="2">
        <f t="shared" ca="1" si="207"/>
        <v>59334024.952770315</v>
      </c>
      <c r="X235" s="2">
        <f t="shared" ca="1" si="208"/>
        <v>63128082.859874614</v>
      </c>
      <c r="Y235" s="2">
        <f t="shared" ca="1" si="209"/>
        <v>0.12230829850104857</v>
      </c>
      <c r="Z235" s="2">
        <f t="shared" ca="1" si="210"/>
        <v>0.12323161790146801</v>
      </c>
      <c r="AA235" s="2">
        <f t="shared" ca="1" si="211"/>
        <v>6025642.5196012584</v>
      </c>
      <c r="AB235" s="2">
        <f t="shared" ca="1" si="212"/>
        <v>6459343.4830400925</v>
      </c>
      <c r="AC235" s="2">
        <f t="shared" ca="1" si="213"/>
        <v>6872380.071001864</v>
      </c>
      <c r="AD235" s="2">
        <f t="shared" ca="1" si="214"/>
        <v>7311827.8915359601</v>
      </c>
      <c r="AE235" s="2">
        <f t="shared" ca="1" si="215"/>
        <v>7779375.7858402804</v>
      </c>
      <c r="AF235" s="2">
        <f t="shared" ca="1" si="216"/>
        <v>985320.30834352586</v>
      </c>
      <c r="AG235" s="2">
        <f t="shared" ca="1" si="217"/>
        <v>1048325.6802170322</v>
      </c>
      <c r="AH235" s="2">
        <f t="shared" ca="1" si="218"/>
        <v>1115359.8707917307</v>
      </c>
      <c r="AI235" s="2">
        <f t="shared" ca="1" si="219"/>
        <v>1186680.4990554063</v>
      </c>
      <c r="AJ235" s="2">
        <f t="shared" ca="1" si="220"/>
        <v>1262561.6571974922</v>
      </c>
      <c r="AK235" s="2">
        <f t="shared" ca="1" si="221"/>
        <v>0</v>
      </c>
      <c r="AL235" s="2">
        <f t="shared" ca="1" si="222"/>
        <v>31502.685936753154</v>
      </c>
      <c r="AM235" s="2">
        <f t="shared" ca="1" si="223"/>
        <v>33517.095287349228</v>
      </c>
      <c r="AN235" s="2">
        <f t="shared" ca="1" si="224"/>
        <v>35660.314131837862</v>
      </c>
      <c r="AO235" s="2">
        <f t="shared" ca="1" si="225"/>
        <v>37940.579071042986</v>
      </c>
      <c r="AP235" s="2">
        <f t="shared" ca="1" si="226"/>
        <v>2371837.9656864107</v>
      </c>
      <c r="AQ235" s="2">
        <f t="shared" ca="1" si="227"/>
        <v>693805.90384854365</v>
      </c>
      <c r="AR235" s="2">
        <f t="shared" ca="1" si="228"/>
        <v>790186.75765552896</v>
      </c>
      <c r="AS235" s="2">
        <f t="shared" ca="1" si="229"/>
        <v>880147.38097616797</v>
      </c>
      <c r="AT235" s="2">
        <f t="shared" ca="1" si="230"/>
        <v>975860.45096647728</v>
      </c>
      <c r="AU235" s="2">
        <f t="shared" ca="1" si="231"/>
        <v>1077693.8023686581</v>
      </c>
      <c r="AV235" s="2">
        <f t="shared" ca="1" si="232"/>
        <v>1974678.341722778</v>
      </c>
      <c r="AW235" s="2">
        <f t="shared" ca="1" si="233"/>
        <v>2217490.3935443675</v>
      </c>
      <c r="AX235" s="2">
        <f t="shared" ca="1" si="234"/>
        <v>2471517.7582602054</v>
      </c>
      <c r="AY235" s="2">
        <f t="shared" ca="1" si="235"/>
        <v>2741788.6616958277</v>
      </c>
      <c r="AZ235" s="2">
        <f t="shared" ca="1" si="236"/>
        <v>3029341.7815166768</v>
      </c>
      <c r="BA235" s="2">
        <f t="shared" ca="1" si="237"/>
        <v>57099581.891256161</v>
      </c>
      <c r="BB235" s="2">
        <f t="shared" ca="1" si="238"/>
        <v>1141991.6378251233</v>
      </c>
      <c r="BC235" s="2">
        <f t="shared" ca="1" si="239"/>
        <v>29603835.079137586</v>
      </c>
      <c r="BD235" s="2">
        <f t="shared" ca="1" si="240"/>
        <v>-19167243.24845786</v>
      </c>
      <c r="BE235" s="2">
        <f t="shared" ca="1" si="241"/>
        <v>1974678.341722778</v>
      </c>
      <c r="BF235" s="2">
        <f t="shared" ca="1" si="242"/>
        <v>2217490.3935443675</v>
      </c>
      <c r="BG235" s="2">
        <f t="shared" ca="1" si="243"/>
        <v>2471517.7582602054</v>
      </c>
      <c r="BH235" s="2">
        <f t="shared" ca="1" si="244"/>
        <v>2741788.6616958277</v>
      </c>
      <c r="BI235" s="2">
        <f t="shared" ca="1" si="245"/>
        <v>32633176.860654265</v>
      </c>
      <c r="BJ235" s="2">
        <f t="shared" ca="1" si="246"/>
        <v>0.19828380443992288</v>
      </c>
      <c r="BK235" s="2">
        <f t="shared" ca="1" si="247"/>
        <v>6382206.9013291672</v>
      </c>
    </row>
    <row r="236" spans="1:63" x14ac:dyDescent="0.3">
      <c r="A236" s="2">
        <v>235</v>
      </c>
      <c r="B236" s="2">
        <f t="shared" ca="1" si="186"/>
        <v>0.76440737120948166</v>
      </c>
      <c r="C236" s="2">
        <f t="shared" ca="1" si="187"/>
        <v>7.3135706463291097</v>
      </c>
      <c r="D236" s="2">
        <f t="shared" ca="1" si="188"/>
        <v>0.46613112167024773</v>
      </c>
      <c r="E236" s="2">
        <f t="shared" ca="1" si="189"/>
        <v>7.4655372822115655</v>
      </c>
      <c r="F236" s="2">
        <f t="shared" ca="1" si="190"/>
        <v>0.99917318302378966</v>
      </c>
      <c r="G236" s="2">
        <f t="shared" ca="1" si="191"/>
        <v>0.13438830550175795</v>
      </c>
      <c r="H236" s="2">
        <f t="shared" ca="1" si="192"/>
        <v>0.12</v>
      </c>
      <c r="I236" s="2">
        <f t="shared" ca="1" si="193"/>
        <v>0.26853500633821625</v>
      </c>
      <c r="J236" s="2">
        <f t="shared" ca="1" si="194"/>
        <v>6.9137513032839441E-3</v>
      </c>
      <c r="K236" s="2">
        <f t="shared" ca="1" si="195"/>
        <v>6.9137513032839441E-3</v>
      </c>
      <c r="L236" s="2">
        <f t="shared" ca="1" si="196"/>
        <v>0.89535948397047549</v>
      </c>
      <c r="M236" s="2">
        <f t="shared" ca="1" si="197"/>
        <v>2.5110897295698074E-2</v>
      </c>
      <c r="N236" s="2">
        <f t="shared" ca="1" si="198"/>
        <v>2.5110897295698074E-2</v>
      </c>
      <c r="O236" s="2">
        <f t="shared" si="199"/>
        <v>6000000</v>
      </c>
      <c r="P236" s="2">
        <f t="shared" ca="1" si="200"/>
        <v>43881423.877974659</v>
      </c>
      <c r="Q236" s="2">
        <f t="shared" ca="1" si="201"/>
        <v>1097035.5969493666</v>
      </c>
      <c r="R236" s="2">
        <f t="shared" ca="1" si="202"/>
        <v>26328854.326784793</v>
      </c>
      <c r="S236" s="2">
        <f t="shared" ca="1" si="203"/>
        <v>17552569.551189866</v>
      </c>
      <c r="T236" s="2">
        <f t="shared" ca="1" si="204"/>
        <v>51255544.864784911</v>
      </c>
      <c r="U236" s="2">
        <f t="shared" ca="1" si="205"/>
        <v>57406210.248559102</v>
      </c>
      <c r="V236" s="2">
        <f t="shared" ca="1" si="206"/>
        <v>64294955.478386201</v>
      </c>
      <c r="W236" s="2">
        <f t="shared" ca="1" si="207"/>
        <v>72010350.135792553</v>
      </c>
      <c r="X236" s="2">
        <f t="shared" ca="1" si="208"/>
        <v>80651592.152087674</v>
      </c>
      <c r="Y236" s="2">
        <f t="shared" ca="1" si="209"/>
        <v>0.12345687565164197</v>
      </c>
      <c r="Z236" s="2">
        <f t="shared" ca="1" si="210"/>
        <v>0.12483962591229876</v>
      </c>
      <c r="AA236" s="2">
        <f t="shared" ca="1" si="211"/>
        <v>6327849.4288289072</v>
      </c>
      <c r="AB236" s="2">
        <f t="shared" ca="1" si="212"/>
        <v>7166569.8124728892</v>
      </c>
      <c r="AC236" s="2">
        <f t="shared" ca="1" si="213"/>
        <v>8026558.1899696374</v>
      </c>
      <c r="AD236" s="2">
        <f t="shared" ca="1" si="214"/>
        <v>8989745.1727659944</v>
      </c>
      <c r="AE236" s="2">
        <f t="shared" ca="1" si="215"/>
        <v>10068514.593497915</v>
      </c>
      <c r="AF236" s="2">
        <f t="shared" ca="1" si="216"/>
        <v>1025110.8972956983</v>
      </c>
      <c r="AG236" s="2">
        <f t="shared" ca="1" si="217"/>
        <v>1148124.2049711822</v>
      </c>
      <c r="AH236" s="2">
        <f t="shared" ca="1" si="218"/>
        <v>1285899.1095677239</v>
      </c>
      <c r="AI236" s="2">
        <f t="shared" ca="1" si="219"/>
        <v>1440207.0027158512</v>
      </c>
      <c r="AJ236" s="2">
        <f t="shared" ca="1" si="220"/>
        <v>1613031.8430417534</v>
      </c>
      <c r="AK236" s="2">
        <f t="shared" ca="1" si="221"/>
        <v>0</v>
      </c>
      <c r="AL236" s="2">
        <f t="shared" ca="1" si="222"/>
        <v>61506.653837741913</v>
      </c>
      <c r="AM236" s="2">
        <f t="shared" ca="1" si="223"/>
        <v>68887.45229827099</v>
      </c>
      <c r="AN236" s="2">
        <f t="shared" ca="1" si="224"/>
        <v>77153.946574063521</v>
      </c>
      <c r="AO236" s="2">
        <f t="shared" ca="1" si="225"/>
        <v>86412.42016295121</v>
      </c>
      <c r="AP236" s="2">
        <f t="shared" ca="1" si="226"/>
        <v>2369596.8894106313</v>
      </c>
      <c r="AQ236" s="2">
        <f t="shared" ca="1" si="227"/>
        <v>762616.82695187011</v>
      </c>
      <c r="AR236" s="2">
        <f t="shared" ca="1" si="228"/>
        <v>948700.66670367972</v>
      </c>
      <c r="AS236" s="2">
        <f t="shared" ca="1" si="229"/>
        <v>1136476.1696577335</v>
      </c>
      <c r="AT236" s="2">
        <f t="shared" ca="1" si="230"/>
        <v>1346784.7329662733</v>
      </c>
      <c r="AU236" s="2">
        <f t="shared" ca="1" si="231"/>
        <v>1582330.3238718379</v>
      </c>
      <c r="AV236" s="2">
        <f t="shared" ca="1" si="232"/>
        <v>2170524.8151707076</v>
      </c>
      <c r="AW236" s="2">
        <f t="shared" ca="1" si="233"/>
        <v>2638641.3975496539</v>
      </c>
      <c r="AX236" s="2">
        <f t="shared" ca="1" si="234"/>
        <v>3165698.5690352782</v>
      </c>
      <c r="AY236" s="2">
        <f t="shared" ca="1" si="235"/>
        <v>3756002.6010991749</v>
      </c>
      <c r="AZ236" s="2">
        <f t="shared" ca="1" si="236"/>
        <v>4417143.1170107406</v>
      </c>
      <c r="BA236" s="2">
        <f t="shared" ca="1" si="237"/>
        <v>75166871.074249908</v>
      </c>
      <c r="BB236" s="2">
        <f t="shared" ca="1" si="238"/>
        <v>1503337.4214849982</v>
      </c>
      <c r="BC236" s="2">
        <f t="shared" ca="1" si="239"/>
        <v>47334679.325980119</v>
      </c>
      <c r="BD236" s="2">
        <f t="shared" ca="1" si="240"/>
        <v>-19149605.148139231</v>
      </c>
      <c r="BE236" s="2">
        <f t="shared" ca="1" si="241"/>
        <v>2170524.8151707076</v>
      </c>
      <c r="BF236" s="2">
        <f t="shared" ca="1" si="242"/>
        <v>2638641.3975496539</v>
      </c>
      <c r="BG236" s="2">
        <f t="shared" ca="1" si="243"/>
        <v>3165698.5690352782</v>
      </c>
      <c r="BH236" s="2">
        <f t="shared" ca="1" si="244"/>
        <v>3756002.6010991749</v>
      </c>
      <c r="BI236" s="2">
        <f t="shared" ca="1" si="245"/>
        <v>51751822.442990862</v>
      </c>
      <c r="BJ236" s="2">
        <f t="shared" ca="1" si="246"/>
        <v>0.31231656243604</v>
      </c>
      <c r="BK236" s="2">
        <f t="shared" ca="1" si="247"/>
        <v>18897535.358051986</v>
      </c>
    </row>
    <row r="237" spans="1:63" x14ac:dyDescent="0.3">
      <c r="A237" s="2">
        <v>236</v>
      </c>
      <c r="B237" s="2">
        <f t="shared" ca="1" si="186"/>
        <v>0.51939625954252844</v>
      </c>
      <c r="C237" s="2">
        <f t="shared" ca="1" si="187"/>
        <v>7.0195881065006693</v>
      </c>
      <c r="D237" s="2">
        <f t="shared" ca="1" si="188"/>
        <v>0.69152723640053648</v>
      </c>
      <c r="E237" s="2">
        <f t="shared" ca="1" si="189"/>
        <v>7.7145411995534543</v>
      </c>
      <c r="F237" s="2">
        <f t="shared" ca="1" si="190"/>
        <v>0.12618626542998712</v>
      </c>
      <c r="G237" s="2">
        <f t="shared" ca="1" si="191"/>
        <v>5.6618290589700859E-3</v>
      </c>
      <c r="H237" s="2">
        <f t="shared" ca="1" si="192"/>
        <v>5.6618290589700859E-3</v>
      </c>
      <c r="I237" s="2">
        <f t="shared" ca="1" si="193"/>
        <v>0.51112621266489555</v>
      </c>
      <c r="J237" s="2">
        <f t="shared" ca="1" si="194"/>
        <v>1.0139464478377483E-2</v>
      </c>
      <c r="K237" s="2">
        <f t="shared" ca="1" si="195"/>
        <v>1.0139464478377483E-2</v>
      </c>
      <c r="L237" s="2">
        <f t="shared" ca="1" si="196"/>
        <v>0.55225034019477381</v>
      </c>
      <c r="M237" s="2">
        <f t="shared" ca="1" si="197"/>
        <v>2.6269777628821606E-3</v>
      </c>
      <c r="N237" s="2">
        <f t="shared" ca="1" si="198"/>
        <v>2.6269777628821606E-3</v>
      </c>
      <c r="O237" s="2">
        <f t="shared" si="199"/>
        <v>6000000</v>
      </c>
      <c r="P237" s="2">
        <f t="shared" ca="1" si="200"/>
        <v>42117528.639004014</v>
      </c>
      <c r="Q237" s="2">
        <f t="shared" ca="1" si="201"/>
        <v>1052938.2159751004</v>
      </c>
      <c r="R237" s="2">
        <f t="shared" ca="1" si="202"/>
        <v>25270517.183402408</v>
      </c>
      <c r="S237" s="2">
        <f t="shared" ca="1" si="203"/>
        <v>16847011.455601607</v>
      </c>
      <c r="T237" s="2">
        <f t="shared" ca="1" si="204"/>
        <v>50131348.888144113</v>
      </c>
      <c r="U237" s="2">
        <f t="shared" ca="1" si="205"/>
        <v>50415184.016044371</v>
      </c>
      <c r="V237" s="2">
        <f t="shared" ca="1" si="206"/>
        <v>50700626.169919737</v>
      </c>
      <c r="W237" s="2">
        <f t="shared" ca="1" si="207"/>
        <v>50987684.448476568</v>
      </c>
      <c r="X237" s="2">
        <f t="shared" ca="1" si="208"/>
        <v>51276368.001936547</v>
      </c>
      <c r="Y237" s="2">
        <f t="shared" ca="1" si="209"/>
        <v>0.12506973223918874</v>
      </c>
      <c r="Z237" s="2">
        <f t="shared" ca="1" si="210"/>
        <v>0.12709762513486422</v>
      </c>
      <c r="AA237" s="2">
        <f t="shared" ca="1" si="211"/>
        <v>6269914.3822295368</v>
      </c>
      <c r="AB237" s="2">
        <f t="shared" ca="1" si="212"/>
        <v>6407650.1591764065</v>
      </c>
      <c r="AC237" s="2">
        <f t="shared" ca="1" si="213"/>
        <v>6443929.1790473452</v>
      </c>
      <c r="AD237" s="2">
        <f t="shared" ca="1" si="214"/>
        <v>6480413.6045272211</v>
      </c>
      <c r="AE237" s="2">
        <f t="shared" ca="1" si="215"/>
        <v>6517104.5985874785</v>
      </c>
      <c r="AF237" s="2">
        <f t="shared" ca="1" si="216"/>
        <v>1002626.9777628822</v>
      </c>
      <c r="AG237" s="2">
        <f t="shared" ca="1" si="217"/>
        <v>1008303.6803208875</v>
      </c>
      <c r="AH237" s="2">
        <f t="shared" ca="1" si="218"/>
        <v>1014012.5233983948</v>
      </c>
      <c r="AI237" s="2">
        <f t="shared" ca="1" si="219"/>
        <v>1019753.6889695313</v>
      </c>
      <c r="AJ237" s="2">
        <f t="shared" ca="1" si="220"/>
        <v>1025527.360038731</v>
      </c>
      <c r="AK237" s="2">
        <f t="shared" ca="1" si="221"/>
        <v>0</v>
      </c>
      <c r="AL237" s="2">
        <f t="shared" ca="1" si="222"/>
        <v>2838.351279002577</v>
      </c>
      <c r="AM237" s="2">
        <f t="shared" ca="1" si="223"/>
        <v>2854.4215387536588</v>
      </c>
      <c r="AN237" s="2">
        <f t="shared" ca="1" si="224"/>
        <v>2870.5827855683119</v>
      </c>
      <c r="AO237" s="2">
        <f t="shared" ca="1" si="225"/>
        <v>2886.8355345997961</v>
      </c>
      <c r="AP237" s="2">
        <f t="shared" ca="1" si="226"/>
        <v>2274346.5465062167</v>
      </c>
      <c r="AQ237" s="2">
        <f t="shared" ca="1" si="227"/>
        <v>778164.62306971371</v>
      </c>
      <c r="AR237" s="2">
        <f t="shared" ca="1" si="228"/>
        <v>812499.98241081857</v>
      </c>
      <c r="AS237" s="2">
        <f t="shared" ca="1" si="229"/>
        <v>820448.22837711079</v>
      </c>
      <c r="AT237" s="2">
        <f t="shared" ca="1" si="230"/>
        <v>828441.47595338302</v>
      </c>
      <c r="AU237" s="2">
        <f t="shared" ca="1" si="231"/>
        <v>836479.97993105801</v>
      </c>
      <c r="AV237" s="2">
        <f t="shared" ca="1" si="232"/>
        <v>2214776.2348907236</v>
      </c>
      <c r="AW237" s="2">
        <f t="shared" ca="1" si="233"/>
        <v>2309661.5986594809</v>
      </c>
      <c r="AX237" s="2">
        <f t="shared" ca="1" si="234"/>
        <v>2332267.459226869</v>
      </c>
      <c r="AY237" s="2">
        <f t="shared" ca="1" si="235"/>
        <v>2355001.3103125216</v>
      </c>
      <c r="AZ237" s="2">
        <f t="shared" ca="1" si="236"/>
        <v>2377863.8765768725</v>
      </c>
      <c r="BA237" s="2">
        <f t="shared" ca="1" si="237"/>
        <v>50276471.927602381</v>
      </c>
      <c r="BB237" s="2">
        <f t="shared" ca="1" si="238"/>
        <v>1005529.4385520476</v>
      </c>
      <c r="BC237" s="2">
        <f t="shared" ca="1" si="239"/>
        <v>24000425.305647925</v>
      </c>
      <c r="BD237" s="2">
        <f t="shared" ca="1" si="240"/>
        <v>-18399949.671576709</v>
      </c>
      <c r="BE237" s="2">
        <f t="shared" ca="1" si="241"/>
        <v>2214776.2348907236</v>
      </c>
      <c r="BF237" s="2">
        <f t="shared" ca="1" si="242"/>
        <v>2309661.5986594809</v>
      </c>
      <c r="BG237" s="2">
        <f t="shared" ca="1" si="243"/>
        <v>2332267.459226869</v>
      </c>
      <c r="BH237" s="2">
        <f t="shared" ca="1" si="244"/>
        <v>2355001.3103125216</v>
      </c>
      <c r="BI237" s="2">
        <f t="shared" ca="1" si="245"/>
        <v>26378289.182224795</v>
      </c>
      <c r="BJ237" s="2">
        <f t="shared" ca="1" si="246"/>
        <v>0.1688248299908508</v>
      </c>
      <c r="BK237" s="2">
        <f t="shared" ca="1" si="247"/>
        <v>3543234.7026138455</v>
      </c>
    </row>
    <row r="238" spans="1:63" x14ac:dyDescent="0.3">
      <c r="A238" s="2">
        <v>237</v>
      </c>
      <c r="B238" s="2">
        <f t="shared" ca="1" si="186"/>
        <v>0.71551691694463493</v>
      </c>
      <c r="C238" s="2">
        <f t="shared" ca="1" si="187"/>
        <v>7.2457015404293008</v>
      </c>
      <c r="D238" s="2">
        <f t="shared" ca="1" si="188"/>
        <v>0.15670320835491613</v>
      </c>
      <c r="E238" s="2">
        <f t="shared" ca="1" si="189"/>
        <v>7.0598271310947984</v>
      </c>
      <c r="F238" s="2">
        <f t="shared" ca="1" si="190"/>
        <v>0.87315021554857675</v>
      </c>
      <c r="G238" s="2">
        <f t="shared" ca="1" si="191"/>
        <v>7.4242283866582326E-2</v>
      </c>
      <c r="H238" s="2">
        <f t="shared" ca="1" si="192"/>
        <v>7.4242283866582326E-2</v>
      </c>
      <c r="I238" s="2">
        <f t="shared" ca="1" si="193"/>
        <v>0.58690925541974193</v>
      </c>
      <c r="J238" s="2">
        <f t="shared" ca="1" si="194"/>
        <v>1.1098007717848812E-2</v>
      </c>
      <c r="K238" s="2">
        <f t="shared" ca="1" si="195"/>
        <v>1.1098007717848812E-2</v>
      </c>
      <c r="L238" s="2">
        <f t="shared" ca="1" si="196"/>
        <v>5.760227924367467E-2</v>
      </c>
      <c r="M238" s="2">
        <f t="shared" ca="1" si="197"/>
        <v>-3.1504496539755865E-2</v>
      </c>
      <c r="N238" s="2">
        <f t="shared" ca="1" si="198"/>
        <v>-3.1504496539755865E-2</v>
      </c>
      <c r="O238" s="2">
        <f t="shared" si="199"/>
        <v>6000000</v>
      </c>
      <c r="P238" s="2">
        <f t="shared" ca="1" si="200"/>
        <v>43474209.242575802</v>
      </c>
      <c r="Q238" s="2">
        <f t="shared" ca="1" si="201"/>
        <v>1086855.231064395</v>
      </c>
      <c r="R238" s="2">
        <f t="shared" ca="1" si="202"/>
        <v>26084525.545545481</v>
      </c>
      <c r="S238" s="2">
        <f t="shared" ca="1" si="203"/>
        <v>17389683.697030321</v>
      </c>
      <c r="T238" s="2">
        <f t="shared" ca="1" si="204"/>
        <v>48424775.173012204</v>
      </c>
      <c r="U238" s="2">
        <f t="shared" ca="1" si="205"/>
        <v>52019941.077582404</v>
      </c>
      <c r="V238" s="2">
        <f t="shared" ca="1" si="206"/>
        <v>55882020.309787169</v>
      </c>
      <c r="W238" s="2">
        <f t="shared" ca="1" si="207"/>
        <v>60030829.124664508</v>
      </c>
      <c r="X238" s="2">
        <f t="shared" ca="1" si="208"/>
        <v>64487654.981284149</v>
      </c>
      <c r="Y238" s="2">
        <f t="shared" ca="1" si="209"/>
        <v>0.1255490038589244</v>
      </c>
      <c r="Z238" s="2">
        <f t="shared" ca="1" si="210"/>
        <v>0.12776860540249416</v>
      </c>
      <c r="AA238" s="2">
        <f t="shared" ca="1" si="211"/>
        <v>6079682.2850640556</v>
      </c>
      <c r="AB238" s="2">
        <f t="shared" ca="1" si="212"/>
        <v>6646515.3246026225</v>
      </c>
      <c r="AC238" s="2">
        <f t="shared" ca="1" si="213"/>
        <v>7139967.8020553607</v>
      </c>
      <c r="AD238" s="2">
        <f t="shared" ca="1" si="214"/>
        <v>7670055.3184138136</v>
      </c>
      <c r="AE238" s="2">
        <f t="shared" ca="1" si="215"/>
        <v>8239497.7426358815</v>
      </c>
      <c r="AF238" s="2">
        <f t="shared" ca="1" si="216"/>
        <v>968495.50346024416</v>
      </c>
      <c r="AG238" s="2">
        <f t="shared" ca="1" si="217"/>
        <v>1040398.8215516481</v>
      </c>
      <c r="AH238" s="2">
        <f t="shared" ca="1" si="218"/>
        <v>1117640.4061957435</v>
      </c>
      <c r="AI238" s="2">
        <f t="shared" ca="1" si="219"/>
        <v>1200616.5824932901</v>
      </c>
      <c r="AJ238" s="2">
        <f t="shared" ca="1" si="220"/>
        <v>1289753.0996256829</v>
      </c>
      <c r="AK238" s="2">
        <f t="shared" ca="1" si="221"/>
        <v>0</v>
      </c>
      <c r="AL238" s="2">
        <f t="shared" ca="1" si="222"/>
        <v>35951.659045701999</v>
      </c>
      <c r="AM238" s="2">
        <f t="shared" ca="1" si="223"/>
        <v>38620.792322047651</v>
      </c>
      <c r="AN238" s="2">
        <f t="shared" ca="1" si="224"/>
        <v>41488.088148773386</v>
      </c>
      <c r="AO238" s="2">
        <f t="shared" ca="1" si="225"/>
        <v>44568.258566196411</v>
      </c>
      <c r="AP238" s="2">
        <f t="shared" ca="1" si="226"/>
        <v>2347607.2990990933</v>
      </c>
      <c r="AQ238" s="2">
        <f t="shared" ca="1" si="227"/>
        <v>718530.66545122676</v>
      </c>
      <c r="AR238" s="2">
        <f t="shared" ca="1" si="228"/>
        <v>847212.39302748919</v>
      </c>
      <c r="AS238" s="2">
        <f t="shared" ca="1" si="229"/>
        <v>955427.22515773633</v>
      </c>
      <c r="AT238" s="2">
        <f t="shared" ca="1" si="230"/>
        <v>1071676.1735735717</v>
      </c>
      <c r="AU238" s="2">
        <f t="shared" ca="1" si="231"/>
        <v>1196555.7094168875</v>
      </c>
      <c r="AV238" s="2">
        <f t="shared" ca="1" si="232"/>
        <v>2045048.8170534912</v>
      </c>
      <c r="AW238" s="2">
        <f t="shared" ca="1" si="233"/>
        <v>2375345.1518786903</v>
      </c>
      <c r="AX238" s="2">
        <f t="shared" ca="1" si="234"/>
        <v>2680672.0792807397</v>
      </c>
      <c r="AY238" s="2">
        <f t="shared" ca="1" si="235"/>
        <v>3008667.1750990842</v>
      </c>
      <c r="AZ238" s="2">
        <f t="shared" ca="1" si="236"/>
        <v>3361013.375928022</v>
      </c>
      <c r="BA238" s="2">
        <f t="shared" ca="1" si="237"/>
        <v>58169429.710055143</v>
      </c>
      <c r="BB238" s="2">
        <f t="shared" ca="1" si="238"/>
        <v>1163388.5942011029</v>
      </c>
      <c r="BC238" s="2">
        <f t="shared" ca="1" si="239"/>
        <v>30921515.570308559</v>
      </c>
      <c r="BD238" s="2">
        <f t="shared" ca="1" si="240"/>
        <v>-18976538.928094715</v>
      </c>
      <c r="BE238" s="2">
        <f t="shared" ca="1" si="241"/>
        <v>2045048.8170534912</v>
      </c>
      <c r="BF238" s="2">
        <f t="shared" ca="1" si="242"/>
        <v>2375345.1518786903</v>
      </c>
      <c r="BG238" s="2">
        <f t="shared" ca="1" si="243"/>
        <v>2680672.0792807397</v>
      </c>
      <c r="BH238" s="2">
        <f t="shared" ca="1" si="244"/>
        <v>3008667.1750990842</v>
      </c>
      <c r="BI238" s="2">
        <f t="shared" ca="1" si="245"/>
        <v>34282528.946236581</v>
      </c>
      <c r="BJ238" s="2">
        <f t="shared" ca="1" si="246"/>
        <v>0.21712365892203267</v>
      </c>
      <c r="BK238" s="2">
        <f t="shared" ca="1" si="247"/>
        <v>8015947.552471716</v>
      </c>
    </row>
    <row r="239" spans="1:63" x14ac:dyDescent="0.3">
      <c r="A239" s="2">
        <v>238</v>
      </c>
      <c r="B239" s="2">
        <f t="shared" ca="1" si="186"/>
        <v>2.1692089874125631E-2</v>
      </c>
      <c r="C239" s="2">
        <f t="shared" ca="1" si="187"/>
        <v>6.2082886932799068</v>
      </c>
      <c r="D239" s="2">
        <f t="shared" ca="1" si="188"/>
        <v>0.76697218777407039</v>
      </c>
      <c r="E239" s="2">
        <f t="shared" ca="1" si="189"/>
        <v>7.8173173325388587</v>
      </c>
      <c r="F239" s="2">
        <f t="shared" ca="1" si="190"/>
        <v>0.60138555934990245</v>
      </c>
      <c r="G239" s="2">
        <f t="shared" ca="1" si="191"/>
        <v>4.7708052717442224E-2</v>
      </c>
      <c r="H239" s="2">
        <f t="shared" ca="1" si="192"/>
        <v>4.7708052717442224E-2</v>
      </c>
      <c r="I239" s="2">
        <f t="shared" ca="1" si="193"/>
        <v>0.39494518399766254</v>
      </c>
      <c r="J239" s="2">
        <f t="shared" ca="1" si="194"/>
        <v>8.6677351046037954E-3</v>
      </c>
      <c r="K239" s="2">
        <f t="shared" ca="1" si="195"/>
        <v>8.6677351046037954E-3</v>
      </c>
      <c r="L239" s="2">
        <f t="shared" ca="1" si="196"/>
        <v>0.24753190141289649</v>
      </c>
      <c r="M239" s="2">
        <f t="shared" ca="1" si="197"/>
        <v>-1.3645540342709183E-2</v>
      </c>
      <c r="N239" s="2">
        <f t="shared" ca="1" si="198"/>
        <v>-1.3645540342709183E-2</v>
      </c>
      <c r="O239" s="2">
        <f t="shared" si="199"/>
        <v>6000000</v>
      </c>
      <c r="P239" s="2">
        <f t="shared" ca="1" si="200"/>
        <v>37249732.159679443</v>
      </c>
      <c r="Q239" s="2">
        <f t="shared" ca="1" si="201"/>
        <v>931243.30399198609</v>
      </c>
      <c r="R239" s="2">
        <f t="shared" ca="1" si="202"/>
        <v>22349839.295807663</v>
      </c>
      <c r="S239" s="2">
        <f t="shared" ca="1" si="203"/>
        <v>14899892.863871777</v>
      </c>
      <c r="T239" s="2">
        <f t="shared" ca="1" si="204"/>
        <v>49317722.982864544</v>
      </c>
      <c r="U239" s="2">
        <f t="shared" ca="1" si="205"/>
        <v>51670575.51083526</v>
      </c>
      <c r="V239" s="2">
        <f t="shared" ca="1" si="206"/>
        <v>54135678.05124677</v>
      </c>
      <c r="W239" s="2">
        <f t="shared" ca="1" si="207"/>
        <v>56718385.833610132</v>
      </c>
      <c r="X239" s="2">
        <f t="shared" ca="1" si="208"/>
        <v>59424309.575008236</v>
      </c>
      <c r="Y239" s="2">
        <f t="shared" ca="1" si="209"/>
        <v>0.1243338675523019</v>
      </c>
      <c r="Z239" s="2">
        <f t="shared" ca="1" si="210"/>
        <v>0.12606741457322265</v>
      </c>
      <c r="AA239" s="2">
        <f t="shared" ca="1" si="211"/>
        <v>6131863.2373325955</v>
      </c>
      <c r="AB239" s="2">
        <f t="shared" ca="1" si="212"/>
        <v>6513975.8641614746</v>
      </c>
      <c r="AC239" s="2">
        <f t="shared" ca="1" si="213"/>
        <v>6824744.9680890366</v>
      </c>
      <c r="AD239" s="2">
        <f t="shared" ca="1" si="214"/>
        <v>7150340.260809727</v>
      </c>
      <c r="AE239" s="2">
        <f t="shared" ca="1" si="215"/>
        <v>7491469.0709200874</v>
      </c>
      <c r="AF239" s="2">
        <f t="shared" ca="1" si="216"/>
        <v>986354.45965729095</v>
      </c>
      <c r="AG239" s="2">
        <f t="shared" ca="1" si="217"/>
        <v>1033411.5102167053</v>
      </c>
      <c r="AH239" s="2">
        <f t="shared" ca="1" si="218"/>
        <v>1082713.5610249355</v>
      </c>
      <c r="AI239" s="2">
        <f t="shared" ca="1" si="219"/>
        <v>1134367.7166722026</v>
      </c>
      <c r="AJ239" s="2">
        <f t="shared" ca="1" si="220"/>
        <v>1188486.1915001648</v>
      </c>
      <c r="AK239" s="2">
        <f t="shared" ca="1" si="221"/>
        <v>0</v>
      </c>
      <c r="AL239" s="2">
        <f t="shared" ca="1" si="222"/>
        <v>23528.525279707163</v>
      </c>
      <c r="AM239" s="2">
        <f t="shared" ca="1" si="223"/>
        <v>24651.025404115095</v>
      </c>
      <c r="AN239" s="2">
        <f t="shared" ca="1" si="224"/>
        <v>25827.077823633626</v>
      </c>
      <c r="AO239" s="2">
        <f t="shared" ca="1" si="225"/>
        <v>27059.237413981034</v>
      </c>
      <c r="AP239" s="2">
        <f t="shared" ca="1" si="226"/>
        <v>2011485.5366226896</v>
      </c>
      <c r="AQ239" s="2">
        <f t="shared" ca="1" si="227"/>
        <v>814846.04267367988</v>
      </c>
      <c r="AR239" s="2">
        <f t="shared" ca="1" si="228"/>
        <v>901960.49250374071</v>
      </c>
      <c r="AS239" s="2">
        <f t="shared" ca="1" si="229"/>
        <v>969941.92631476698</v>
      </c>
      <c r="AT239" s="2">
        <f t="shared" ca="1" si="230"/>
        <v>1041166.6219538571</v>
      </c>
      <c r="AU239" s="2">
        <f t="shared" ca="1" si="231"/>
        <v>1115789.3091272805</v>
      </c>
      <c r="AV239" s="2">
        <f t="shared" ca="1" si="232"/>
        <v>2319177.198378935</v>
      </c>
      <c r="AW239" s="2">
        <f t="shared" ca="1" si="233"/>
        <v>2543589.7995386315</v>
      </c>
      <c r="AX239" s="2">
        <f t="shared" ca="1" si="234"/>
        <v>2735952.9187225294</v>
      </c>
      <c r="AY239" s="2">
        <f t="shared" ca="1" si="235"/>
        <v>2937493.3077373444</v>
      </c>
      <c r="AZ239" s="2">
        <f t="shared" ca="1" si="236"/>
        <v>3148648.7962559718</v>
      </c>
      <c r="BA239" s="2">
        <f t="shared" ca="1" si="237"/>
        <v>58563191.014282383</v>
      </c>
      <c r="BB239" s="2">
        <f t="shared" ca="1" si="238"/>
        <v>1171263.8202856476</v>
      </c>
      <c r="BC239" s="2">
        <f t="shared" ca="1" si="239"/>
        <v>35042087.898189068</v>
      </c>
      <c r="BD239" s="2">
        <f t="shared" ca="1" si="240"/>
        <v>-16331136.167863764</v>
      </c>
      <c r="BE239" s="2">
        <f t="shared" ca="1" si="241"/>
        <v>2319177.198378935</v>
      </c>
      <c r="BF239" s="2">
        <f t="shared" ca="1" si="242"/>
        <v>2543589.7995386315</v>
      </c>
      <c r="BG239" s="2">
        <f t="shared" ca="1" si="243"/>
        <v>2735952.9187225294</v>
      </c>
      <c r="BH239" s="2">
        <f t="shared" ca="1" si="244"/>
        <v>2937493.3077373444</v>
      </c>
      <c r="BI239" s="2">
        <f t="shared" ca="1" si="245"/>
        <v>38190736.694445036</v>
      </c>
      <c r="BJ239" s="2">
        <f t="shared" ca="1" si="246"/>
        <v>0.29041291078456788</v>
      </c>
      <c r="BK239" s="2">
        <f t="shared" ca="1" si="247"/>
        <v>13251968.963314015</v>
      </c>
    </row>
    <row r="240" spans="1:63" x14ac:dyDescent="0.3">
      <c r="A240" s="2">
        <v>239</v>
      </c>
      <c r="B240" s="2">
        <f t="shared" ca="1" si="186"/>
        <v>0.4690209105070432</v>
      </c>
      <c r="C240" s="2">
        <f t="shared" ca="1" si="187"/>
        <v>6.968525591305716</v>
      </c>
      <c r="D240" s="2">
        <f t="shared" ca="1" si="188"/>
        <v>0.2835514692734532</v>
      </c>
      <c r="E240" s="2">
        <f t="shared" ca="1" si="189"/>
        <v>7.2530623736098532</v>
      </c>
      <c r="F240" s="2">
        <f t="shared" ca="1" si="190"/>
        <v>0.42333796643282984</v>
      </c>
      <c r="G240" s="2">
        <f t="shared" ca="1" si="191"/>
        <v>3.4199157601805114E-2</v>
      </c>
      <c r="H240" s="2">
        <f t="shared" ca="1" si="192"/>
        <v>3.4199157601805114E-2</v>
      </c>
      <c r="I240" s="2">
        <f t="shared" ca="1" si="193"/>
        <v>0.5064182426155649</v>
      </c>
      <c r="J240" s="2">
        <f t="shared" ca="1" si="194"/>
        <v>1.0080444212442165E-2</v>
      </c>
      <c r="K240" s="2">
        <f t="shared" ca="1" si="195"/>
        <v>1.0080444212442165E-2</v>
      </c>
      <c r="L240" s="2">
        <f t="shared" ca="1" si="196"/>
        <v>0.69957803307405486</v>
      </c>
      <c r="M240" s="2">
        <f t="shared" ca="1" si="197"/>
        <v>1.0463745556301694E-2</v>
      </c>
      <c r="N240" s="2">
        <f t="shared" ca="1" si="198"/>
        <v>1.0463745556301694E-2</v>
      </c>
      <c r="O240" s="2">
        <f t="shared" si="199"/>
        <v>6000000</v>
      </c>
      <c r="P240" s="2">
        <f t="shared" ca="1" si="200"/>
        <v>41811153.5478343</v>
      </c>
      <c r="Q240" s="2">
        <f t="shared" ca="1" si="201"/>
        <v>1045278.8386958576</v>
      </c>
      <c r="R240" s="2">
        <f t="shared" ca="1" si="202"/>
        <v>25086692.12870058</v>
      </c>
      <c r="S240" s="2">
        <f t="shared" ca="1" si="203"/>
        <v>16724461.419133721</v>
      </c>
      <c r="T240" s="2">
        <f t="shared" ca="1" si="204"/>
        <v>50523187.277815081</v>
      </c>
      <c r="U240" s="2">
        <f t="shared" ca="1" si="205"/>
        <v>52251037.722074591</v>
      </c>
      <c r="V240" s="2">
        <f t="shared" ca="1" si="206"/>
        <v>54037979.195989676</v>
      </c>
      <c r="W240" s="2">
        <f t="shared" ca="1" si="207"/>
        <v>55886032.562996387</v>
      </c>
      <c r="X240" s="2">
        <f t="shared" ca="1" si="208"/>
        <v>57797287.798357911</v>
      </c>
      <c r="Y240" s="2">
        <f t="shared" ca="1" si="209"/>
        <v>0.12504022210622107</v>
      </c>
      <c r="Z240" s="2">
        <f t="shared" ca="1" si="210"/>
        <v>0.12705631094870951</v>
      </c>
      <c r="AA240" s="2">
        <f t="shared" ca="1" si="211"/>
        <v>6317430.5587322004</v>
      </c>
      <c r="AB240" s="2">
        <f t="shared" ca="1" si="212"/>
        <v>6638824.096208659</v>
      </c>
      <c r="AC240" s="2">
        <f t="shared" ca="1" si="213"/>
        <v>6865866.2877655597</v>
      </c>
      <c r="AD240" s="2">
        <f t="shared" ca="1" si="214"/>
        <v>7100673.1310137743</v>
      </c>
      <c r="AE240" s="2">
        <f t="shared" ca="1" si="215"/>
        <v>7343510.170500217</v>
      </c>
      <c r="AF240" s="2">
        <f t="shared" ca="1" si="216"/>
        <v>1010463.7455563017</v>
      </c>
      <c r="AG240" s="2">
        <f t="shared" ca="1" si="217"/>
        <v>1045020.7544414918</v>
      </c>
      <c r="AH240" s="2">
        <f t="shared" ca="1" si="218"/>
        <v>1080759.5839197936</v>
      </c>
      <c r="AI240" s="2">
        <f t="shared" ca="1" si="219"/>
        <v>1117720.6512599278</v>
      </c>
      <c r="AJ240" s="2">
        <f t="shared" ca="1" si="220"/>
        <v>1155945.7559671584</v>
      </c>
      <c r="AK240" s="2">
        <f t="shared" ca="1" si="221"/>
        <v>0</v>
      </c>
      <c r="AL240" s="2">
        <f t="shared" ca="1" si="222"/>
        <v>17278.504442595095</v>
      </c>
      <c r="AM240" s="2">
        <f t="shared" ca="1" si="223"/>
        <v>17869.414739150852</v>
      </c>
      <c r="AN240" s="2">
        <f t="shared" ca="1" si="224"/>
        <v>18480.533670067118</v>
      </c>
      <c r="AO240" s="2">
        <f t="shared" ca="1" si="225"/>
        <v>19112.55235361524</v>
      </c>
      <c r="AP240" s="2">
        <f t="shared" ca="1" si="226"/>
        <v>2257802.2915830524</v>
      </c>
      <c r="AQ240" s="2">
        <f t="shared" ca="1" si="227"/>
        <v>792782.77561414009</v>
      </c>
      <c r="AR240" s="2">
        <f t="shared" ca="1" si="228"/>
        <v>867360.27304787003</v>
      </c>
      <c r="AS240" s="2">
        <f t="shared" ca="1" si="229"/>
        <v>917099.14718830562</v>
      </c>
      <c r="AT240" s="2">
        <f t="shared" ca="1" si="230"/>
        <v>968539.04892440641</v>
      </c>
      <c r="AU240" s="2">
        <f t="shared" ca="1" si="231"/>
        <v>1021738.1519670015</v>
      </c>
      <c r="AV240" s="2">
        <f t="shared" ca="1" si="232"/>
        <v>2256381.745978707</v>
      </c>
      <c r="AW240" s="2">
        <f t="shared" ca="1" si="233"/>
        <v>2451362.2726936503</v>
      </c>
      <c r="AX240" s="2">
        <f t="shared" ca="1" si="234"/>
        <v>2592335.8503352576</v>
      </c>
      <c r="AY240" s="2">
        <f t="shared" ca="1" si="235"/>
        <v>2738130.605576321</v>
      </c>
      <c r="AZ240" s="2">
        <f t="shared" ca="1" si="236"/>
        <v>2888911.4186293897</v>
      </c>
      <c r="BA240" s="2">
        <f t="shared" ca="1" si="237"/>
        <v>53262937.307876401</v>
      </c>
      <c r="BB240" s="2">
        <f t="shared" ca="1" si="238"/>
        <v>1065258.7461575281</v>
      </c>
      <c r="BC240" s="2">
        <f t="shared" ca="1" si="239"/>
        <v>27110986.433018293</v>
      </c>
      <c r="BD240" s="2">
        <f t="shared" ca="1" si="240"/>
        <v>-18269740.257829577</v>
      </c>
      <c r="BE240" s="2">
        <f t="shared" ca="1" si="241"/>
        <v>2256381.745978707</v>
      </c>
      <c r="BF240" s="2">
        <f t="shared" ca="1" si="242"/>
        <v>2451362.2726936503</v>
      </c>
      <c r="BG240" s="2">
        <f t="shared" ca="1" si="243"/>
        <v>2592335.8503352576</v>
      </c>
      <c r="BH240" s="2">
        <f t="shared" ca="1" si="244"/>
        <v>2738130.605576321</v>
      </c>
      <c r="BI240" s="2">
        <f t="shared" ca="1" si="245"/>
        <v>29999897.851647682</v>
      </c>
      <c r="BJ240" s="2">
        <f t="shared" ca="1" si="246"/>
        <v>0.20304519558041845</v>
      </c>
      <c r="BK240" s="2">
        <f t="shared" ca="1" si="247"/>
        <v>6307149.9612150528</v>
      </c>
    </row>
    <row r="241" spans="1:63" x14ac:dyDescent="0.3">
      <c r="A241" s="2">
        <v>240</v>
      </c>
      <c r="B241" s="2">
        <f t="shared" ca="1" si="186"/>
        <v>0.16342789150561776</v>
      </c>
      <c r="C241" s="2">
        <f t="shared" ca="1" si="187"/>
        <v>6.5717130250494868</v>
      </c>
      <c r="D241" s="2">
        <f t="shared" ca="1" si="188"/>
        <v>0.55050278936308283</v>
      </c>
      <c r="E241" s="2">
        <f t="shared" ca="1" si="189"/>
        <v>7.5518468365955664</v>
      </c>
      <c r="F241" s="2">
        <f t="shared" ca="1" si="190"/>
        <v>0.66498084370943156</v>
      </c>
      <c r="G241" s="2">
        <f t="shared" ca="1" si="191"/>
        <v>5.2782862797815924E-2</v>
      </c>
      <c r="H241" s="2">
        <f t="shared" ca="1" si="192"/>
        <v>5.2782862797815924E-2</v>
      </c>
      <c r="I241" s="2">
        <f t="shared" ca="1" si="193"/>
        <v>0.69441907743363573</v>
      </c>
      <c r="J241" s="2">
        <f t="shared" ca="1" si="194"/>
        <v>1.2542078496967783E-2</v>
      </c>
      <c r="K241" s="2">
        <f t="shared" ca="1" si="195"/>
        <v>1.2542078496967783E-2</v>
      </c>
      <c r="L241" s="2">
        <f t="shared" ca="1" si="196"/>
        <v>0.69795036914739916</v>
      </c>
      <c r="M241" s="2">
        <f t="shared" ca="1" si="197"/>
        <v>1.0370292415907994E-2</v>
      </c>
      <c r="N241" s="2">
        <f t="shared" ca="1" si="198"/>
        <v>1.0370292415907994E-2</v>
      </c>
      <c r="O241" s="2">
        <f t="shared" si="199"/>
        <v>6000000</v>
      </c>
      <c r="P241" s="2">
        <f t="shared" ca="1" si="200"/>
        <v>39430278.150296919</v>
      </c>
      <c r="Q241" s="2">
        <f t="shared" ca="1" si="201"/>
        <v>985756.95375742298</v>
      </c>
      <c r="R241" s="2">
        <f t="shared" ca="1" si="202"/>
        <v>23658166.890178151</v>
      </c>
      <c r="S241" s="2">
        <f t="shared" ca="1" si="203"/>
        <v>15772111.260118768</v>
      </c>
      <c r="T241" s="2">
        <f t="shared" ca="1" si="204"/>
        <v>50518514.620795399</v>
      </c>
      <c r="U241" s="2">
        <f t="shared" ca="1" si="205"/>
        <v>53185026.446774304</v>
      </c>
      <c r="V241" s="2">
        <f t="shared" ca="1" si="206"/>
        <v>55992284.400612608</v>
      </c>
      <c r="W241" s="2">
        <f t="shared" ca="1" si="207"/>
        <v>58947717.465866432</v>
      </c>
      <c r="X241" s="2">
        <f t="shared" ca="1" si="208"/>
        <v>62059146.749111682</v>
      </c>
      <c r="Y241" s="2">
        <f t="shared" ca="1" si="209"/>
        <v>0.12627103924848387</v>
      </c>
      <c r="Z241" s="2">
        <f t="shared" ca="1" si="210"/>
        <v>0.12877945494787743</v>
      </c>
      <c r="AA241" s="2">
        <f t="shared" ca="1" si="211"/>
        <v>6379025.3424575627</v>
      </c>
      <c r="AB241" s="2">
        <f t="shared" ca="1" si="212"/>
        <v>6849138.7172040408</v>
      </c>
      <c r="AC241" s="2">
        <f t="shared" ca="1" si="213"/>
        <v>7210655.8663974311</v>
      </c>
      <c r="AD241" s="2">
        <f t="shared" ca="1" si="214"/>
        <v>7591254.9256757535</v>
      </c>
      <c r="AE241" s="2">
        <f t="shared" ca="1" si="215"/>
        <v>7991943.0928809419</v>
      </c>
      <c r="AF241" s="2">
        <f t="shared" ca="1" si="216"/>
        <v>1010370.292415908</v>
      </c>
      <c r="AG241" s="2">
        <f t="shared" ca="1" si="217"/>
        <v>1063700.528935486</v>
      </c>
      <c r="AH241" s="2">
        <f t="shared" ca="1" si="218"/>
        <v>1119845.6880122521</v>
      </c>
      <c r="AI241" s="2">
        <f t="shared" ca="1" si="219"/>
        <v>1178954.3493173288</v>
      </c>
      <c r="AJ241" s="2">
        <f t="shared" ca="1" si="220"/>
        <v>1241182.9349822337</v>
      </c>
      <c r="AK241" s="2">
        <f t="shared" ca="1" si="221"/>
        <v>0</v>
      </c>
      <c r="AL241" s="2">
        <f t="shared" ca="1" si="222"/>
        <v>26665.118259789051</v>
      </c>
      <c r="AM241" s="2">
        <f t="shared" ca="1" si="223"/>
        <v>28072.579538383037</v>
      </c>
      <c r="AN241" s="2">
        <f t="shared" ca="1" si="224"/>
        <v>29554.33065253824</v>
      </c>
      <c r="AO241" s="2">
        <f t="shared" ca="1" si="225"/>
        <v>31114.292832452506</v>
      </c>
      <c r="AP241" s="2">
        <f t="shared" ca="1" si="226"/>
        <v>2129235.0201160335</v>
      </c>
      <c r="AQ241" s="2">
        <f t="shared" ca="1" si="227"/>
        <v>842249.20778066164</v>
      </c>
      <c r="AR241" s="2">
        <f t="shared" ca="1" si="228"/>
        <v>950612.82371965575</v>
      </c>
      <c r="AS241" s="2">
        <f t="shared" ca="1" si="229"/>
        <v>1030009.5411499779</v>
      </c>
      <c r="AT241" s="2">
        <f t="shared" ca="1" si="230"/>
        <v>1113597.0446230217</v>
      </c>
      <c r="AU241" s="2">
        <f t="shared" ca="1" si="231"/>
        <v>1201596.5358234954</v>
      </c>
      <c r="AV241" s="2">
        <f t="shared" ca="1" si="232"/>
        <v>2397170.8221449596</v>
      </c>
      <c r="AW241" s="2">
        <f t="shared" ca="1" si="233"/>
        <v>2678925.2261730763</v>
      </c>
      <c r="AX241" s="2">
        <f t="shared" ca="1" si="234"/>
        <v>2903493.0375807858</v>
      </c>
      <c r="AY241" s="2">
        <f t="shared" ca="1" si="235"/>
        <v>3139914.1809668303</v>
      </c>
      <c r="AZ241" s="2">
        <f t="shared" ca="1" si="236"/>
        <v>3388814.3091267268</v>
      </c>
      <c r="BA241" s="2">
        <f t="shared" ca="1" si="237"/>
        <v>60353930.164224729</v>
      </c>
      <c r="BB241" s="2">
        <f t="shared" ca="1" si="238"/>
        <v>1207078.6032844947</v>
      </c>
      <c r="BC241" s="2">
        <f t="shared" ca="1" si="239"/>
        <v>35488684.670762084</v>
      </c>
      <c r="BD241" s="2">
        <f t="shared" ca="1" si="240"/>
        <v>-17257868.213876192</v>
      </c>
      <c r="BE241" s="2">
        <f t="shared" ca="1" si="241"/>
        <v>2397170.8221449596</v>
      </c>
      <c r="BF241" s="2">
        <f t="shared" ca="1" si="242"/>
        <v>2678925.2261730763</v>
      </c>
      <c r="BG241" s="2">
        <f t="shared" ca="1" si="243"/>
        <v>2903493.0375807858</v>
      </c>
      <c r="BH241" s="2">
        <f t="shared" ca="1" si="244"/>
        <v>3139914.1809668303</v>
      </c>
      <c r="BI241" s="2">
        <f t="shared" ca="1" si="245"/>
        <v>38877498.979888812</v>
      </c>
      <c r="BJ241" s="2">
        <f t="shared" ca="1" si="246"/>
        <v>0.28217019837217716</v>
      </c>
      <c r="BK241" s="2">
        <f t="shared" ca="1" si="247"/>
        <v>13140343.89086606</v>
      </c>
    </row>
    <row r="242" spans="1:63" x14ac:dyDescent="0.3">
      <c r="A242" s="2">
        <v>241</v>
      </c>
      <c r="B242" s="2">
        <f t="shared" ca="1" si="186"/>
        <v>0.67874896212490088</v>
      </c>
      <c r="C242" s="2">
        <f t="shared" ca="1" si="187"/>
        <v>7.1984377280895773</v>
      </c>
      <c r="D242" s="2">
        <f t="shared" ca="1" si="188"/>
        <v>1.4142346734532296E-2</v>
      </c>
      <c r="E242" s="2">
        <f t="shared" ca="1" si="189"/>
        <v>6.6681805383183939</v>
      </c>
      <c r="F242" s="2">
        <f t="shared" ca="1" si="190"/>
        <v>0.9698288847213663</v>
      </c>
      <c r="G242" s="2">
        <f t="shared" ca="1" si="191"/>
        <v>9.6348540540429101E-2</v>
      </c>
      <c r="H242" s="2">
        <f t="shared" ca="1" si="192"/>
        <v>9.6348540540429101E-2</v>
      </c>
      <c r="I242" s="2">
        <f t="shared" ca="1" si="193"/>
        <v>0.74953351543498303</v>
      </c>
      <c r="J242" s="2">
        <f t="shared" ca="1" si="194"/>
        <v>1.3365112559686452E-2</v>
      </c>
      <c r="K242" s="2">
        <f t="shared" ca="1" si="195"/>
        <v>1.3365112559686452E-2</v>
      </c>
      <c r="L242" s="2">
        <f t="shared" ca="1" si="196"/>
        <v>7.5726629617162033E-2</v>
      </c>
      <c r="M242" s="2">
        <f t="shared" ca="1" si="197"/>
        <v>-2.868834280365145E-2</v>
      </c>
      <c r="N242" s="2">
        <f t="shared" ca="1" si="198"/>
        <v>-2.868834280365145E-2</v>
      </c>
      <c r="O242" s="2">
        <f t="shared" si="199"/>
        <v>6000000</v>
      </c>
      <c r="P242" s="2">
        <f t="shared" ca="1" si="200"/>
        <v>43190626.368537463</v>
      </c>
      <c r="Q242" s="2">
        <f t="shared" ca="1" si="201"/>
        <v>1079765.6592134365</v>
      </c>
      <c r="R242" s="2">
        <f t="shared" ca="1" si="202"/>
        <v>25914375.821122479</v>
      </c>
      <c r="S242" s="2">
        <f t="shared" ca="1" si="203"/>
        <v>17276250.547414985</v>
      </c>
      <c r="T242" s="2">
        <f t="shared" ca="1" si="204"/>
        <v>48565582.85981743</v>
      </c>
      <c r="U242" s="2">
        <f t="shared" ca="1" si="205"/>
        <v>53244805.88885612</v>
      </c>
      <c r="V242" s="2">
        <f t="shared" ca="1" si="206"/>
        <v>58374865.227605857</v>
      </c>
      <c r="W242" s="2">
        <f t="shared" ca="1" si="207"/>
        <v>63999198.296529926</v>
      </c>
      <c r="X242" s="2">
        <f t="shared" ca="1" si="208"/>
        <v>70165427.648158103</v>
      </c>
      <c r="Y242" s="2">
        <f t="shared" ca="1" si="209"/>
        <v>0.12668255627984323</v>
      </c>
      <c r="Z242" s="2">
        <f t="shared" ca="1" si="210"/>
        <v>0.1293555787917805</v>
      </c>
      <c r="AA242" s="2">
        <f t="shared" ca="1" si="211"/>
        <v>6152412.1839022115</v>
      </c>
      <c r="AB242" s="2">
        <f t="shared" ca="1" si="212"/>
        <v>6887512.6834089858</v>
      </c>
      <c r="AC242" s="2">
        <f t="shared" ca="1" si="213"/>
        <v>7551114.4784091376</v>
      </c>
      <c r="AD242" s="2">
        <f t="shared" ca="1" si="214"/>
        <v>8278653.3378575612</v>
      </c>
      <c r="AE242" s="2">
        <f t="shared" ca="1" si="215"/>
        <v>9076289.5046002902</v>
      </c>
      <c r="AF242" s="2">
        <f t="shared" ca="1" si="216"/>
        <v>971311.65719634865</v>
      </c>
      <c r="AG242" s="2">
        <f t="shared" ca="1" si="217"/>
        <v>1064896.1177771224</v>
      </c>
      <c r="AH242" s="2">
        <f t="shared" ca="1" si="218"/>
        <v>1167497.3045521171</v>
      </c>
      <c r="AI242" s="2">
        <f t="shared" ca="1" si="219"/>
        <v>1279983.9659305986</v>
      </c>
      <c r="AJ242" s="2">
        <f t="shared" ca="1" si="220"/>
        <v>1403308.5529631621</v>
      </c>
      <c r="AK242" s="2">
        <f t="shared" ca="1" si="221"/>
        <v>0</v>
      </c>
      <c r="AL242" s="2">
        <f t="shared" ca="1" si="222"/>
        <v>46792.230290386899</v>
      </c>
      <c r="AM242" s="2">
        <f t="shared" ca="1" si="223"/>
        <v>51300.593387497363</v>
      </c>
      <c r="AN242" s="2">
        <f t="shared" ca="1" si="224"/>
        <v>56243.330689240698</v>
      </c>
      <c r="AO242" s="2">
        <f t="shared" ca="1" si="225"/>
        <v>61662.293516281767</v>
      </c>
      <c r="AP242" s="2">
        <f t="shared" ca="1" si="226"/>
        <v>2332293.8239010228</v>
      </c>
      <c r="AQ242" s="2">
        <f t="shared" ca="1" si="227"/>
        <v>740689.74272925849</v>
      </c>
      <c r="AR242" s="2">
        <f t="shared" ca="1" si="228"/>
        <v>907483.91285001871</v>
      </c>
      <c r="AS242" s="2">
        <f t="shared" ca="1" si="229"/>
        <v>1053344.0709885594</v>
      </c>
      <c r="AT242" s="2">
        <f t="shared" ca="1" si="230"/>
        <v>1213257.6424867443</v>
      </c>
      <c r="AU242" s="2">
        <f t="shared" ca="1" si="231"/>
        <v>1388578.6532113876</v>
      </c>
      <c r="AV242" s="2">
        <f t="shared" ca="1" si="232"/>
        <v>2108116.9600755814</v>
      </c>
      <c r="AW242" s="2">
        <f t="shared" ca="1" si="233"/>
        <v>2536046.5985904355</v>
      </c>
      <c r="AX242" s="2">
        <f t="shared" ca="1" si="234"/>
        <v>2946678.6855799407</v>
      </c>
      <c r="AY242" s="2">
        <f t="shared" ca="1" si="235"/>
        <v>3396874.5748499548</v>
      </c>
      <c r="AZ242" s="2">
        <f t="shared" ca="1" si="236"/>
        <v>3890446.1810084358</v>
      </c>
      <c r="BA242" s="2">
        <f t="shared" ca="1" si="237"/>
        <v>60522337.034719154</v>
      </c>
      <c r="BB242" s="2">
        <f t="shared" ca="1" si="238"/>
        <v>1210446.7406943832</v>
      </c>
      <c r="BC242" s="2">
        <f t="shared" ca="1" si="239"/>
        <v>33397514.472902291</v>
      </c>
      <c r="BD242" s="2">
        <f t="shared" ca="1" si="240"/>
        <v>-18856016.206628419</v>
      </c>
      <c r="BE242" s="2">
        <f t="shared" ca="1" si="241"/>
        <v>2108116.9600755814</v>
      </c>
      <c r="BF242" s="2">
        <f t="shared" ca="1" si="242"/>
        <v>2536046.5985904355</v>
      </c>
      <c r="BG242" s="2">
        <f t="shared" ca="1" si="243"/>
        <v>2946678.6855799407</v>
      </c>
      <c r="BH242" s="2">
        <f t="shared" ca="1" si="244"/>
        <v>3396874.5748499548</v>
      </c>
      <c r="BI242" s="2">
        <f t="shared" ca="1" si="245"/>
        <v>37287960.653910726</v>
      </c>
      <c r="BJ242" s="2">
        <f t="shared" ca="1" si="246"/>
        <v>0.24308177819564603</v>
      </c>
      <c r="BK242" s="2">
        <f t="shared" ca="1" si="247"/>
        <v>10462305.058180597</v>
      </c>
    </row>
    <row r="243" spans="1:63" x14ac:dyDescent="0.3">
      <c r="A243" s="2">
        <v>242</v>
      </c>
      <c r="B243" s="2">
        <f t="shared" ca="1" si="186"/>
        <v>0.85863343665912184</v>
      </c>
      <c r="C243" s="2">
        <f t="shared" ca="1" si="187"/>
        <v>7.4682734474546564</v>
      </c>
      <c r="D243" s="2">
        <f t="shared" ca="1" si="188"/>
        <v>0.24924334106683288</v>
      </c>
      <c r="E243" s="2">
        <f t="shared" ca="1" si="189"/>
        <v>7.2060358929499735</v>
      </c>
      <c r="F243" s="2">
        <f t="shared" ca="1" si="190"/>
        <v>0.66179443874586819</v>
      </c>
      <c r="G243" s="2">
        <f t="shared" ca="1" si="191"/>
        <v>5.2520963487683522E-2</v>
      </c>
      <c r="H243" s="2">
        <f t="shared" ca="1" si="192"/>
        <v>5.2520963487683522E-2</v>
      </c>
      <c r="I243" s="2">
        <f t="shared" ca="1" si="193"/>
        <v>0.19998927903788244</v>
      </c>
      <c r="J243" s="2">
        <f t="shared" ca="1" si="194"/>
        <v>5.7917023572578242E-3</v>
      </c>
      <c r="K243" s="2">
        <f t="shared" ca="1" si="195"/>
        <v>5.7917023572578242E-3</v>
      </c>
      <c r="L243" s="2">
        <f t="shared" ca="1" si="196"/>
        <v>0.37889739858540405</v>
      </c>
      <c r="M243" s="2">
        <f t="shared" ca="1" si="197"/>
        <v>-6.1675579783674753E-3</v>
      </c>
      <c r="N243" s="2">
        <f t="shared" ca="1" si="198"/>
        <v>-6.1675579783674753E-3</v>
      </c>
      <c r="O243" s="2">
        <f t="shared" si="199"/>
        <v>6000000</v>
      </c>
      <c r="P243" s="2">
        <f t="shared" ca="1" si="200"/>
        <v>44809640.684727937</v>
      </c>
      <c r="Q243" s="2">
        <f t="shared" ca="1" si="201"/>
        <v>1120241.0171181986</v>
      </c>
      <c r="R243" s="2">
        <f t="shared" ca="1" si="202"/>
        <v>26885784.41083676</v>
      </c>
      <c r="S243" s="2">
        <f t="shared" ca="1" si="203"/>
        <v>17923856.273891177</v>
      </c>
      <c r="T243" s="2">
        <f t="shared" ca="1" si="204"/>
        <v>49691622.101081632</v>
      </c>
      <c r="U243" s="2">
        <f t="shared" ca="1" si="205"/>
        <v>52301473.971096307</v>
      </c>
      <c r="V243" s="2">
        <f t="shared" ca="1" si="206"/>
        <v>55048397.775884286</v>
      </c>
      <c r="W243" s="2">
        <f t="shared" ca="1" si="207"/>
        <v>57939592.665526986</v>
      </c>
      <c r="X243" s="2">
        <f t="shared" ca="1" si="208"/>
        <v>60982635.896404386</v>
      </c>
      <c r="Y243" s="2">
        <f t="shared" ca="1" si="209"/>
        <v>0.1228958511786289</v>
      </c>
      <c r="Z243" s="2">
        <f t="shared" ca="1" si="210"/>
        <v>0.12405419165008047</v>
      </c>
      <c r="AA243" s="2">
        <f t="shared" ca="1" si="211"/>
        <v>6106894.1945591951</v>
      </c>
      <c r="AB243" s="2">
        <f t="shared" ca="1" si="212"/>
        <v>6488217.0755920764</v>
      </c>
      <c r="AC243" s="2">
        <f t="shared" ca="1" si="213"/>
        <v>6828984.4877194129</v>
      </c>
      <c r="AD243" s="2">
        <f t="shared" ca="1" si="214"/>
        <v>7187649.3326568818</v>
      </c>
      <c r="AE243" s="2">
        <f t="shared" ca="1" si="215"/>
        <v>7565151.6008196268</v>
      </c>
      <c r="AF243" s="2">
        <f t="shared" ca="1" si="216"/>
        <v>993832.44202163268</v>
      </c>
      <c r="AG243" s="2">
        <f t="shared" ca="1" si="217"/>
        <v>1046029.4794219262</v>
      </c>
      <c r="AH243" s="2">
        <f t="shared" ca="1" si="218"/>
        <v>1100967.9555176857</v>
      </c>
      <c r="AI243" s="2">
        <f t="shared" ca="1" si="219"/>
        <v>1158791.8533105399</v>
      </c>
      <c r="AJ243" s="2">
        <f t="shared" ca="1" si="220"/>
        <v>1219652.7179280878</v>
      </c>
      <c r="AK243" s="2">
        <f t="shared" ca="1" si="221"/>
        <v>0</v>
      </c>
      <c r="AL243" s="2">
        <f t="shared" ca="1" si="222"/>
        <v>26098.518700146749</v>
      </c>
      <c r="AM243" s="2">
        <f t="shared" ca="1" si="223"/>
        <v>27469.238047879786</v>
      </c>
      <c r="AN243" s="2">
        <f t="shared" ca="1" si="224"/>
        <v>28911.948896427006</v>
      </c>
      <c r="AO243" s="2">
        <f t="shared" ca="1" si="225"/>
        <v>30430.432308773994</v>
      </c>
      <c r="AP243" s="2">
        <f t="shared" ca="1" si="226"/>
        <v>2419720.5969753084</v>
      </c>
      <c r="AQ243" s="2">
        <f t="shared" ca="1" si="227"/>
        <v>700268.70044618612</v>
      </c>
      <c r="AR243" s="2">
        <f t="shared" ca="1" si="228"/>
        <v>785841.41979065875</v>
      </c>
      <c r="AS243" s="2">
        <f t="shared" ca="1" si="229"/>
        <v>860156.94315886882</v>
      </c>
      <c r="AT243" s="2">
        <f t="shared" ca="1" si="230"/>
        <v>938375.58941646887</v>
      </c>
      <c r="AU243" s="2">
        <f t="shared" ca="1" si="231"/>
        <v>1020702.3543382201</v>
      </c>
      <c r="AV243" s="2">
        <f t="shared" ca="1" si="232"/>
        <v>1993072.4551160685</v>
      </c>
      <c r="AW243" s="2">
        <f t="shared" ca="1" si="233"/>
        <v>2210527.0607040352</v>
      </c>
      <c r="AX243" s="2">
        <f t="shared" ca="1" si="234"/>
        <v>2420669.7540196697</v>
      </c>
      <c r="AY243" s="2">
        <f t="shared" ca="1" si="235"/>
        <v>2641849.3440581388</v>
      </c>
      <c r="AZ243" s="2">
        <f t="shared" ca="1" si="236"/>
        <v>2874645.4992692363</v>
      </c>
      <c r="BA243" s="2">
        <f t="shared" ca="1" si="237"/>
        <v>54514753.971114181</v>
      </c>
      <c r="BB243" s="2">
        <f t="shared" ca="1" si="238"/>
        <v>1090295.0794222837</v>
      </c>
      <c r="BC243" s="2">
        <f t="shared" ca="1" si="239"/>
        <v>26538674.480855137</v>
      </c>
      <c r="BD243" s="2">
        <f t="shared" ca="1" si="240"/>
        <v>-19544097.291009374</v>
      </c>
      <c r="BE243" s="2">
        <f t="shared" ca="1" si="241"/>
        <v>1993072.4551160685</v>
      </c>
      <c r="BF243" s="2">
        <f t="shared" ca="1" si="242"/>
        <v>2210527.0607040352</v>
      </c>
      <c r="BG243" s="2">
        <f t="shared" ca="1" si="243"/>
        <v>2420669.7540196697</v>
      </c>
      <c r="BH243" s="2">
        <f t="shared" ca="1" si="244"/>
        <v>2641849.3440581388</v>
      </c>
      <c r="BI243" s="2">
        <f t="shared" ca="1" si="245"/>
        <v>29413319.980124373</v>
      </c>
      <c r="BJ243" s="2">
        <f t="shared" ca="1" si="246"/>
        <v>0.17158859586657038</v>
      </c>
      <c r="BK243" s="2">
        <f t="shared" ca="1" si="247"/>
        <v>4089485.9342554025</v>
      </c>
    </row>
    <row r="244" spans="1:63" x14ac:dyDescent="0.3">
      <c r="A244" s="2">
        <v>243</v>
      </c>
      <c r="B244" s="2">
        <f t="shared" ca="1" si="186"/>
        <v>0.61137377286335204</v>
      </c>
      <c r="C244" s="2">
        <f t="shared" ca="1" si="187"/>
        <v>7.1183807770509446</v>
      </c>
      <c r="D244" s="2">
        <f t="shared" ca="1" si="188"/>
        <v>0.76133338976444442</v>
      </c>
      <c r="E244" s="2">
        <f t="shared" ca="1" si="189"/>
        <v>7.8091069399168127</v>
      </c>
      <c r="F244" s="2">
        <f t="shared" ca="1" si="190"/>
        <v>0.24093948397291864</v>
      </c>
      <c r="G244" s="2">
        <f t="shared" ca="1" si="191"/>
        <v>1.890148906029487E-2</v>
      </c>
      <c r="H244" s="2">
        <f t="shared" ca="1" si="192"/>
        <v>1.890148906029487E-2</v>
      </c>
      <c r="I244" s="2">
        <f t="shared" ca="1" si="193"/>
        <v>0.86143448955349555</v>
      </c>
      <c r="J244" s="2">
        <f t="shared" ca="1" si="194"/>
        <v>1.5433934246881449E-2</v>
      </c>
      <c r="K244" s="2">
        <f t="shared" ca="1" si="195"/>
        <v>1.5433934246881449E-2</v>
      </c>
      <c r="L244" s="2">
        <f t="shared" ca="1" si="196"/>
        <v>0.22211838174992493</v>
      </c>
      <c r="M244" s="2">
        <f t="shared" ca="1" si="197"/>
        <v>-1.5301168216280126E-2</v>
      </c>
      <c r="N244" s="2">
        <f t="shared" ca="1" si="198"/>
        <v>-1.5301168216280126E-2</v>
      </c>
      <c r="O244" s="2">
        <f t="shared" si="199"/>
        <v>6000000</v>
      </c>
      <c r="P244" s="2">
        <f t="shared" ca="1" si="200"/>
        <v>42710284.662305668</v>
      </c>
      <c r="Q244" s="2">
        <f t="shared" ca="1" si="201"/>
        <v>1067757.1165576417</v>
      </c>
      <c r="R244" s="2">
        <f t="shared" ca="1" si="202"/>
        <v>25626170.797383402</v>
      </c>
      <c r="S244" s="2">
        <f t="shared" ca="1" si="203"/>
        <v>17084113.864922266</v>
      </c>
      <c r="T244" s="2">
        <f t="shared" ca="1" si="204"/>
        <v>49234941.58918599</v>
      </c>
      <c r="U244" s="2">
        <f t="shared" ca="1" si="205"/>
        <v>50165555.299018241</v>
      </c>
      <c r="V244" s="2">
        <f t="shared" ca="1" si="206"/>
        <v>51113758.993706249</v>
      </c>
      <c r="W244" s="2">
        <f t="shared" ca="1" si="207"/>
        <v>52079885.150156334</v>
      </c>
      <c r="X244" s="2">
        <f t="shared" ca="1" si="208"/>
        <v>53064272.529583424</v>
      </c>
      <c r="Y244" s="2">
        <f t="shared" ca="1" si="209"/>
        <v>0.12771696712344072</v>
      </c>
      <c r="Z244" s="2">
        <f t="shared" ca="1" si="210"/>
        <v>0.13080375397281702</v>
      </c>
      <c r="AA244" s="2">
        <f t="shared" ca="1" si="211"/>
        <v>6288137.4162705913</v>
      </c>
      <c r="AB244" s="2">
        <f t="shared" ca="1" si="212"/>
        <v>6561842.9532425292</v>
      </c>
      <c r="AC244" s="2">
        <f t="shared" ca="1" si="213"/>
        <v>6685871.5560386153</v>
      </c>
      <c r="AD244" s="2">
        <f t="shared" ca="1" si="214"/>
        <v>6812244.4841136159</v>
      </c>
      <c r="AE244" s="2">
        <f t="shared" ca="1" si="215"/>
        <v>6941006.0487061432</v>
      </c>
      <c r="AF244" s="2">
        <f t="shared" ca="1" si="216"/>
        <v>984698.83178371983</v>
      </c>
      <c r="AG244" s="2">
        <f t="shared" ca="1" si="217"/>
        <v>1003311.1059803648</v>
      </c>
      <c r="AH244" s="2">
        <f t="shared" ca="1" si="218"/>
        <v>1022275.1798741251</v>
      </c>
      <c r="AI244" s="2">
        <f t="shared" ca="1" si="219"/>
        <v>1041597.7030031267</v>
      </c>
      <c r="AJ244" s="2">
        <f t="shared" ca="1" si="220"/>
        <v>1061285.4505916685</v>
      </c>
      <c r="AK244" s="2">
        <f t="shared" ca="1" si="221"/>
        <v>0</v>
      </c>
      <c r="AL244" s="2">
        <f t="shared" ca="1" si="222"/>
        <v>9306.1370983225115</v>
      </c>
      <c r="AM244" s="2">
        <f t="shared" ca="1" si="223"/>
        <v>9482.0369468800727</v>
      </c>
      <c r="AN244" s="2">
        <f t="shared" ca="1" si="224"/>
        <v>9661.2615645008536</v>
      </c>
      <c r="AO244" s="2">
        <f t="shared" ca="1" si="225"/>
        <v>9843.8737942709031</v>
      </c>
      <c r="AP244" s="2">
        <f t="shared" ca="1" si="226"/>
        <v>2306355.3717645062</v>
      </c>
      <c r="AQ244" s="2">
        <f t="shared" ca="1" si="227"/>
        <v>779241.63530781516</v>
      </c>
      <c r="AR244" s="2">
        <f t="shared" ca="1" si="228"/>
        <v>845565.8836293912</v>
      </c>
      <c r="AS244" s="2">
        <f t="shared" ca="1" si="229"/>
        <v>872882.66114399594</v>
      </c>
      <c r="AT244" s="2">
        <f t="shared" ca="1" si="230"/>
        <v>900715.76642995572</v>
      </c>
      <c r="AU244" s="2">
        <f t="shared" ca="1" si="231"/>
        <v>929074.9588509918</v>
      </c>
      <c r="AV244" s="2">
        <f t="shared" ca="1" si="232"/>
        <v>2217841.5774145508</v>
      </c>
      <c r="AW244" s="2">
        <f t="shared" ca="1" si="233"/>
        <v>2397304.4547699448</v>
      </c>
      <c r="AX244" s="2">
        <f t="shared" ca="1" si="234"/>
        <v>2474876.3063091086</v>
      </c>
      <c r="AY244" s="2">
        <f t="shared" ca="1" si="235"/>
        <v>2553914.3813515268</v>
      </c>
      <c r="AZ244" s="2">
        <f t="shared" ca="1" si="236"/>
        <v>2634446.3937047059</v>
      </c>
      <c r="BA244" s="2">
        <f t="shared" ca="1" si="237"/>
        <v>54203058.504955716</v>
      </c>
      <c r="BB244" s="2">
        <f t="shared" ca="1" si="238"/>
        <v>1084061.1700991143</v>
      </c>
      <c r="BC244" s="2">
        <f t="shared" ca="1" si="239"/>
        <v>27492826.537473202</v>
      </c>
      <c r="BD244" s="2">
        <f t="shared" ca="1" si="240"/>
        <v>-18651870.981479909</v>
      </c>
      <c r="BE244" s="2">
        <f t="shared" ca="1" si="241"/>
        <v>2217841.5774145508</v>
      </c>
      <c r="BF244" s="2">
        <f t="shared" ca="1" si="242"/>
        <v>2397304.4547699448</v>
      </c>
      <c r="BG244" s="2">
        <f t="shared" ca="1" si="243"/>
        <v>2474876.3063091086</v>
      </c>
      <c r="BH244" s="2">
        <f t="shared" ca="1" si="244"/>
        <v>2553914.3813515268</v>
      </c>
      <c r="BI244" s="2">
        <f t="shared" ca="1" si="245"/>
        <v>30127272.931177907</v>
      </c>
      <c r="BJ244" s="2">
        <f t="shared" ca="1" si="246"/>
        <v>0.19419377126774418</v>
      </c>
      <c r="BK244" s="2">
        <f t="shared" ca="1" si="247"/>
        <v>5719111.7279821783</v>
      </c>
    </row>
    <row r="245" spans="1:63" x14ac:dyDescent="0.3">
      <c r="A245" s="2">
        <v>244</v>
      </c>
      <c r="B245" s="2">
        <f t="shared" ca="1" si="186"/>
        <v>0.23417203592744196</v>
      </c>
      <c r="C245" s="2">
        <f t="shared" ca="1" si="187"/>
        <v>6.6843566846717319</v>
      </c>
      <c r="D245" s="2">
        <f t="shared" ca="1" si="188"/>
        <v>0.28894207606425404</v>
      </c>
      <c r="E245" s="2">
        <f t="shared" ca="1" si="189"/>
        <v>7.2601869192037629</v>
      </c>
      <c r="F245" s="2">
        <f t="shared" ca="1" si="190"/>
        <v>5.4692448089567414E-2</v>
      </c>
      <c r="G245" s="2">
        <f t="shared" ca="1" si="191"/>
        <v>-8.0289195563383528E-3</v>
      </c>
      <c r="H245" s="2">
        <f t="shared" ca="1" si="192"/>
        <v>-8.0289195563383528E-3</v>
      </c>
      <c r="I245" s="2">
        <f t="shared" ca="1" si="193"/>
        <v>0.32506640420202859</v>
      </c>
      <c r="J245" s="2">
        <f t="shared" ca="1" si="194"/>
        <v>7.7321115100540128E-3</v>
      </c>
      <c r="K245" s="2">
        <f t="shared" ca="1" si="195"/>
        <v>7.7321115100540128E-3</v>
      </c>
      <c r="L245" s="2">
        <f t="shared" ca="1" si="196"/>
        <v>0.39382005977805812</v>
      </c>
      <c r="M245" s="2">
        <f t="shared" ca="1" si="197"/>
        <v>-5.3875260682030683E-3</v>
      </c>
      <c r="N245" s="2">
        <f t="shared" ca="1" si="198"/>
        <v>-5.3875260682030683E-3</v>
      </c>
      <c r="O245" s="2">
        <f t="shared" si="199"/>
        <v>6000000</v>
      </c>
      <c r="P245" s="2">
        <f t="shared" ca="1" si="200"/>
        <v>40106140.108030394</v>
      </c>
      <c r="Q245" s="2">
        <f t="shared" ca="1" si="201"/>
        <v>1002653.5027007599</v>
      </c>
      <c r="R245" s="2">
        <f t="shared" ca="1" si="202"/>
        <v>24063684.064818237</v>
      </c>
      <c r="S245" s="2">
        <f t="shared" ca="1" si="203"/>
        <v>16042456.043212159</v>
      </c>
      <c r="T245" s="2">
        <f t="shared" ca="1" si="204"/>
        <v>49730623.69658985</v>
      </c>
      <c r="U245" s="2">
        <f t="shared" ca="1" si="205"/>
        <v>49331340.5194434</v>
      </c>
      <c r="V245" s="2">
        <f t="shared" ca="1" si="206"/>
        <v>48935263.154806457</v>
      </c>
      <c r="W245" s="2">
        <f t="shared" ca="1" si="207"/>
        <v>48542365.863468267</v>
      </c>
      <c r="X245" s="2">
        <f t="shared" ca="1" si="208"/>
        <v>48152623.11287614</v>
      </c>
      <c r="Y245" s="2">
        <f t="shared" ca="1" si="209"/>
        <v>0.123866055755027</v>
      </c>
      <c r="Z245" s="2">
        <f t="shared" ca="1" si="210"/>
        <v>0.12541247805703781</v>
      </c>
      <c r="AA245" s="2">
        <f t="shared" ca="1" si="211"/>
        <v>6159936.2075340655</v>
      </c>
      <c r="AB245" s="2">
        <f t="shared" ca="1" si="212"/>
        <v>6186765.6604189556</v>
      </c>
      <c r="AC245" s="2">
        <f t="shared" ca="1" si="213"/>
        <v>6137092.6166175362</v>
      </c>
      <c r="AD245" s="2">
        <f t="shared" ca="1" si="214"/>
        <v>6087818.3936889153</v>
      </c>
      <c r="AE245" s="2">
        <f t="shared" ca="1" si="215"/>
        <v>6038939.7895323904</v>
      </c>
      <c r="AF245" s="2">
        <f t="shared" ca="1" si="216"/>
        <v>994612.47393179697</v>
      </c>
      <c r="AG245" s="2">
        <f t="shared" ca="1" si="217"/>
        <v>986626.81038886798</v>
      </c>
      <c r="AH245" s="2">
        <f t="shared" ca="1" si="218"/>
        <v>978705.26309612917</v>
      </c>
      <c r="AI245" s="2">
        <f t="shared" ca="1" si="219"/>
        <v>970847.3172693653</v>
      </c>
      <c r="AJ245" s="2">
        <f t="shared" ca="1" si="220"/>
        <v>963052.46225752286</v>
      </c>
      <c r="AK245" s="2">
        <f t="shared" ca="1" si="221"/>
        <v>0</v>
      </c>
      <c r="AL245" s="2">
        <f t="shared" ca="1" si="222"/>
        <v>0</v>
      </c>
      <c r="AM245" s="2">
        <f t="shared" ca="1" si="223"/>
        <v>0</v>
      </c>
      <c r="AN245" s="2">
        <f t="shared" ca="1" si="224"/>
        <v>0</v>
      </c>
      <c r="AO245" s="2">
        <f t="shared" ca="1" si="225"/>
        <v>0</v>
      </c>
      <c r="AP245" s="2">
        <f t="shared" ca="1" si="226"/>
        <v>2165731.5658336412</v>
      </c>
      <c r="AQ245" s="2">
        <f t="shared" ca="1" si="227"/>
        <v>779893.96361984313</v>
      </c>
      <c r="AR245" s="2">
        <f t="shared" ca="1" si="228"/>
        <v>788945.89389107621</v>
      </c>
      <c r="AS245" s="2">
        <f t="shared" ca="1" si="229"/>
        <v>778090.50479881908</v>
      </c>
      <c r="AT245" s="2">
        <f t="shared" ca="1" si="230"/>
        <v>767322.27275233634</v>
      </c>
      <c r="AU245" s="2">
        <f t="shared" ca="1" si="231"/>
        <v>756640.4979747188</v>
      </c>
      <c r="AV245" s="2">
        <f t="shared" ca="1" si="232"/>
        <v>2219698.2041487843</v>
      </c>
      <c r="AW245" s="2">
        <f t="shared" ca="1" si="233"/>
        <v>2245461.3903053701</v>
      </c>
      <c r="AX245" s="2">
        <f t="shared" ca="1" si="234"/>
        <v>2214565.2828889461</v>
      </c>
      <c r="AY245" s="2">
        <f t="shared" ca="1" si="235"/>
        <v>2183917.2378335726</v>
      </c>
      <c r="AZ245" s="2">
        <f t="shared" ca="1" si="236"/>
        <v>2153515.2634665072</v>
      </c>
      <c r="BA245" s="2">
        <f t="shared" ca="1" si="237"/>
        <v>43843831.665822186</v>
      </c>
      <c r="BB245" s="2">
        <f t="shared" ca="1" si="238"/>
        <v>876876.63331644377</v>
      </c>
      <c r="BC245" s="2">
        <f t="shared" ca="1" si="239"/>
        <v>18903270.967687506</v>
      </c>
      <c r="BD245" s="2">
        <f t="shared" ca="1" si="240"/>
        <v>-17545109.545912918</v>
      </c>
      <c r="BE245" s="2">
        <f t="shared" ca="1" si="241"/>
        <v>2219698.2041487843</v>
      </c>
      <c r="BF245" s="2">
        <f t="shared" ca="1" si="242"/>
        <v>2245461.3903053701</v>
      </c>
      <c r="BG245" s="2">
        <f t="shared" ca="1" si="243"/>
        <v>2214565.2828889461</v>
      </c>
      <c r="BH245" s="2">
        <f t="shared" ca="1" si="244"/>
        <v>2183917.2378335726</v>
      </c>
      <c r="BI245" s="2">
        <f t="shared" ca="1" si="245"/>
        <v>21056786.231154013</v>
      </c>
      <c r="BJ245" s="2">
        <f t="shared" ca="1" si="246"/>
        <v>0.13762493503345996</v>
      </c>
      <c r="BK245" s="2">
        <f t="shared" ca="1" si="247"/>
        <v>1139220.638196405</v>
      </c>
    </row>
    <row r="246" spans="1:63" x14ac:dyDescent="0.3">
      <c r="A246" s="2">
        <v>245</v>
      </c>
      <c r="B246" s="2">
        <f t="shared" ca="1" si="186"/>
        <v>0.30317312204581237</v>
      </c>
      <c r="C246" s="2">
        <f t="shared" ca="1" si="187"/>
        <v>6.7786823768980682</v>
      </c>
      <c r="D246" s="2">
        <f t="shared" ca="1" si="188"/>
        <v>0.98921900527521989</v>
      </c>
      <c r="E246" s="2">
        <f t="shared" ca="1" si="189"/>
        <v>8.3531599868919919</v>
      </c>
      <c r="F246" s="2">
        <f t="shared" ca="1" si="190"/>
        <v>0.63667622178417926</v>
      </c>
      <c r="G246" s="2">
        <f t="shared" ca="1" si="191"/>
        <v>5.0487654450594728E-2</v>
      </c>
      <c r="H246" s="2">
        <f t="shared" ca="1" si="192"/>
        <v>5.0487654450594728E-2</v>
      </c>
      <c r="I246" s="2">
        <f t="shared" ca="1" si="193"/>
        <v>0.1804153564891352</v>
      </c>
      <c r="J246" s="2">
        <f t="shared" ca="1" si="194"/>
        <v>5.4310834024544107E-3</v>
      </c>
      <c r="K246" s="2">
        <f t="shared" ca="1" si="195"/>
        <v>5.4310834024544107E-3</v>
      </c>
      <c r="L246" s="2">
        <f t="shared" ca="1" si="196"/>
        <v>0.85502107478463785</v>
      </c>
      <c r="M246" s="2">
        <f t="shared" ca="1" si="197"/>
        <v>2.1164281737332785E-2</v>
      </c>
      <c r="N246" s="2">
        <f t="shared" ca="1" si="198"/>
        <v>2.1164281737332785E-2</v>
      </c>
      <c r="O246" s="2">
        <f t="shared" si="199"/>
        <v>6000000</v>
      </c>
      <c r="P246" s="2">
        <f t="shared" ca="1" si="200"/>
        <v>40672094.261388406</v>
      </c>
      <c r="Q246" s="2">
        <f t="shared" ca="1" si="201"/>
        <v>1016802.3565347102</v>
      </c>
      <c r="R246" s="2">
        <f t="shared" ca="1" si="202"/>
        <v>24403256.556833044</v>
      </c>
      <c r="S246" s="2">
        <f t="shared" ca="1" si="203"/>
        <v>16268837.704555362</v>
      </c>
      <c r="T246" s="2">
        <f t="shared" ca="1" si="204"/>
        <v>51058214.08686664</v>
      </c>
      <c r="U246" s="2">
        <f t="shared" ca="1" si="205"/>
        <v>53636023.556548856</v>
      </c>
      <c r="V246" s="2">
        <f t="shared" ca="1" si="206"/>
        <v>56343980.579975858</v>
      </c>
      <c r="W246" s="2">
        <f t="shared" ca="1" si="207"/>
        <v>59188656.001868702</v>
      </c>
      <c r="X246" s="2">
        <f t="shared" ca="1" si="208"/>
        <v>62176952.413486175</v>
      </c>
      <c r="Y246" s="2">
        <f t="shared" ca="1" si="209"/>
        <v>0.1227155417012272</v>
      </c>
      <c r="Z246" s="2">
        <f t="shared" ca="1" si="210"/>
        <v>0.12380175838171809</v>
      </c>
      <c r="AA246" s="2">
        <f t="shared" ca="1" si="211"/>
        <v>6265636.3999670688</v>
      </c>
      <c r="AB246" s="2">
        <f t="shared" ca="1" si="212"/>
        <v>6640234.0289040012</v>
      </c>
      <c r="AC246" s="2">
        <f t="shared" ca="1" si="213"/>
        <v>6975483.8700263873</v>
      </c>
      <c r="AD246" s="2">
        <f t="shared" ca="1" si="214"/>
        <v>7327659.6892819768</v>
      </c>
      <c r="AE246" s="2">
        <f t="shared" ca="1" si="215"/>
        <v>7697616.0396059984</v>
      </c>
      <c r="AF246" s="2">
        <f t="shared" ca="1" si="216"/>
        <v>1021164.2817373328</v>
      </c>
      <c r="AG246" s="2">
        <f t="shared" ca="1" si="217"/>
        <v>1072720.4711309772</v>
      </c>
      <c r="AH246" s="2">
        <f t="shared" ca="1" si="218"/>
        <v>1126879.6115995173</v>
      </c>
      <c r="AI246" s="2">
        <f t="shared" ca="1" si="219"/>
        <v>1183773.1200373741</v>
      </c>
      <c r="AJ246" s="2">
        <f t="shared" ca="1" si="220"/>
        <v>1243539.0482697235</v>
      </c>
      <c r="AK246" s="2">
        <f t="shared" ca="1" si="221"/>
        <v>0</v>
      </c>
      <c r="AL246" s="2">
        <f t="shared" ca="1" si="222"/>
        <v>25778.094696822169</v>
      </c>
      <c r="AM246" s="2">
        <f t="shared" ca="1" si="223"/>
        <v>27079.570234270021</v>
      </c>
      <c r="AN246" s="2">
        <f t="shared" ca="1" si="224"/>
        <v>28446.754218928443</v>
      </c>
      <c r="AO246" s="2">
        <f t="shared" ca="1" si="225"/>
        <v>29882.964116174728</v>
      </c>
      <c r="AP246" s="2">
        <f t="shared" ca="1" si="226"/>
        <v>2196293.090114974</v>
      </c>
      <c r="AQ246" s="2">
        <f t="shared" ca="1" si="227"/>
        <v>792526.54730983812</v>
      </c>
      <c r="AR246" s="2">
        <f t="shared" ca="1" si="228"/>
        <v>876517.32159109297</v>
      </c>
      <c r="AS246" s="2">
        <f t="shared" ca="1" si="229"/>
        <v>949600.90376109304</v>
      </c>
      <c r="AT246" s="2">
        <f t="shared" ca="1" si="230"/>
        <v>1026374.3045737036</v>
      </c>
      <c r="AU246" s="2">
        <f t="shared" ca="1" si="231"/>
        <v>1107023.8143175384</v>
      </c>
      <c r="AV246" s="2">
        <f t="shared" ca="1" si="232"/>
        <v>2255652.4808049235</v>
      </c>
      <c r="AW246" s="2">
        <f t="shared" ca="1" si="233"/>
        <v>2468925.0513701341</v>
      </c>
      <c r="AX246" s="2">
        <f t="shared" ca="1" si="234"/>
        <v>2675630.6943165339</v>
      </c>
      <c r="AY246" s="2">
        <f t="shared" ca="1" si="235"/>
        <v>2892772.4203369967</v>
      </c>
      <c r="AZ246" s="2">
        <f t="shared" ca="1" si="236"/>
        <v>3120877.1227875878</v>
      </c>
      <c r="BA246" s="2">
        <f t="shared" ca="1" si="237"/>
        <v>64299418.296494827</v>
      </c>
      <c r="BB246" s="2">
        <f t="shared" ca="1" si="238"/>
        <v>1285988.3659298965</v>
      </c>
      <c r="BC246" s="2">
        <f t="shared" ca="1" si="239"/>
        <v>38610173.373731889</v>
      </c>
      <c r="BD246" s="2">
        <f t="shared" ca="1" si="240"/>
        <v>-17785640.061090074</v>
      </c>
      <c r="BE246" s="2">
        <f t="shared" ca="1" si="241"/>
        <v>2255652.4808049235</v>
      </c>
      <c r="BF246" s="2">
        <f t="shared" ca="1" si="242"/>
        <v>2468925.0513701341</v>
      </c>
      <c r="BG246" s="2">
        <f t="shared" ca="1" si="243"/>
        <v>2675630.6943165339</v>
      </c>
      <c r="BH246" s="2">
        <f t="shared" ca="1" si="244"/>
        <v>2892772.4203369967</v>
      </c>
      <c r="BI246" s="2">
        <f t="shared" ca="1" si="245"/>
        <v>41731050.496519476</v>
      </c>
      <c r="BJ246" s="2">
        <f t="shared" ca="1" si="246"/>
        <v>0.27969284243940096</v>
      </c>
      <c r="BK246" s="2">
        <f t="shared" ca="1" si="247"/>
        <v>13618736.320851628</v>
      </c>
    </row>
    <row r="247" spans="1:63" x14ac:dyDescent="0.3">
      <c r="A247" s="2">
        <v>246</v>
      </c>
      <c r="B247" s="2">
        <f t="shared" ca="1" si="186"/>
        <v>0.83148645877652105</v>
      </c>
      <c r="C247" s="2">
        <f t="shared" ca="1" si="187"/>
        <v>7.4194596633764736</v>
      </c>
      <c r="D247" s="2">
        <f t="shared" ca="1" si="188"/>
        <v>0.48505248602477014</v>
      </c>
      <c r="E247" s="2">
        <f t="shared" ca="1" si="189"/>
        <v>7.4849390702218797</v>
      </c>
      <c r="F247" s="2">
        <f t="shared" ca="1" si="190"/>
        <v>0.99433752347529836</v>
      </c>
      <c r="G247" s="2">
        <f t="shared" ca="1" si="191"/>
        <v>0.11597526368459246</v>
      </c>
      <c r="H247" s="2">
        <f t="shared" ca="1" si="192"/>
        <v>0.11597526368459246</v>
      </c>
      <c r="I247" s="2">
        <f t="shared" ca="1" si="193"/>
        <v>0.7703427536493741</v>
      </c>
      <c r="J247" s="2">
        <f t="shared" ca="1" si="194"/>
        <v>1.3699880531018459E-2</v>
      </c>
      <c r="K247" s="2">
        <f t="shared" ca="1" si="195"/>
        <v>1.3699880531018459E-2</v>
      </c>
      <c r="L247" s="2">
        <f t="shared" ca="1" si="196"/>
        <v>2.725003264911452E-2</v>
      </c>
      <c r="M247" s="2">
        <f t="shared" ca="1" si="197"/>
        <v>-3.8456812988584048E-2</v>
      </c>
      <c r="N247" s="2">
        <f t="shared" ca="1" si="198"/>
        <v>-3.8456812988584048E-2</v>
      </c>
      <c r="O247" s="2">
        <f t="shared" si="199"/>
        <v>6000000</v>
      </c>
      <c r="P247" s="2">
        <f t="shared" ca="1" si="200"/>
        <v>44516757.980258845</v>
      </c>
      <c r="Q247" s="2">
        <f t="shared" ca="1" si="201"/>
        <v>1112918.9495064712</v>
      </c>
      <c r="R247" s="2">
        <f t="shared" ca="1" si="202"/>
        <v>26710054.788155306</v>
      </c>
      <c r="S247" s="2">
        <f t="shared" ca="1" si="203"/>
        <v>17806703.192103539</v>
      </c>
      <c r="T247" s="2">
        <f t="shared" ca="1" si="204"/>
        <v>48077159.350570798</v>
      </c>
      <c r="U247" s="2">
        <f t="shared" ca="1" si="205"/>
        <v>53652920.583459422</v>
      </c>
      <c r="V247" s="2">
        <f t="shared" ca="1" si="206"/>
        <v>59875332.195574634</v>
      </c>
      <c r="W247" s="2">
        <f t="shared" ca="1" si="207"/>
        <v>66819389.635158978</v>
      </c>
      <c r="X247" s="2">
        <f t="shared" ca="1" si="208"/>
        <v>74568785.967340067</v>
      </c>
      <c r="Y247" s="2">
        <f t="shared" ca="1" si="209"/>
        <v>0.12684994026550922</v>
      </c>
      <c r="Z247" s="2">
        <f t="shared" ca="1" si="210"/>
        <v>0.12958991637171291</v>
      </c>
      <c r="AA247" s="2">
        <f t="shared" ca="1" si="211"/>
        <v>6098584.7917552739</v>
      </c>
      <c r="AB247" s="2">
        <f t="shared" ca="1" si="212"/>
        <v>6952877.4915086608</v>
      </c>
      <c r="AC247" s="2">
        <f t="shared" ca="1" si="213"/>
        <v>7759239.2919530459</v>
      </c>
      <c r="AD247" s="2">
        <f t="shared" ca="1" si="214"/>
        <v>8659119.1148291528</v>
      </c>
      <c r="AE247" s="2">
        <f t="shared" ca="1" si="215"/>
        <v>9663362.7374477591</v>
      </c>
      <c r="AF247" s="2">
        <f t="shared" ca="1" si="216"/>
        <v>961543.18701141595</v>
      </c>
      <c r="AG247" s="2">
        <f t="shared" ca="1" si="217"/>
        <v>1073058.4116691884</v>
      </c>
      <c r="AH247" s="2">
        <f t="shared" ca="1" si="218"/>
        <v>1197506.6439114928</v>
      </c>
      <c r="AI247" s="2">
        <f t="shared" ca="1" si="219"/>
        <v>1336387.7927031796</v>
      </c>
      <c r="AJ247" s="2">
        <f t="shared" ca="1" si="220"/>
        <v>1491375.7193468013</v>
      </c>
      <c r="AK247" s="2">
        <f t="shared" ca="1" si="221"/>
        <v>0</v>
      </c>
      <c r="AL247" s="2">
        <f t="shared" ca="1" si="222"/>
        <v>55757.612328886244</v>
      </c>
      <c r="AM247" s="2">
        <f t="shared" ca="1" si="223"/>
        <v>62224.116121152118</v>
      </c>
      <c r="AN247" s="2">
        <f t="shared" ca="1" si="224"/>
        <v>69440.574395843447</v>
      </c>
      <c r="AO247" s="2">
        <f t="shared" ca="1" si="225"/>
        <v>77493.963321810894</v>
      </c>
      <c r="AP247" s="2">
        <f t="shared" ca="1" si="226"/>
        <v>2403904.9309339775</v>
      </c>
      <c r="AQ247" s="2">
        <f t="shared" ca="1" si="227"/>
        <v>710615.53519056889</v>
      </c>
      <c r="AR247" s="2">
        <f t="shared" ca="1" si="228"/>
        <v>903737.6787154288</v>
      </c>
      <c r="AS247" s="2">
        <f t="shared" ca="1" si="229"/>
        <v>1081035.2064479697</v>
      </c>
      <c r="AT247" s="2">
        <f t="shared" ca="1" si="230"/>
        <v>1278894.8617099188</v>
      </c>
      <c r="AU247" s="2">
        <f t="shared" ca="1" si="231"/>
        <v>1499701.342663415</v>
      </c>
      <c r="AV247" s="2">
        <f t="shared" ca="1" si="232"/>
        <v>2022521.1386193112</v>
      </c>
      <c r="AW247" s="2">
        <f t="shared" ca="1" si="233"/>
        <v>2516418.8578611808</v>
      </c>
      <c r="AX247" s="2">
        <f t="shared" ca="1" si="234"/>
        <v>3014568.3945384538</v>
      </c>
      <c r="AY247" s="2">
        <f t="shared" ca="1" si="235"/>
        <v>3570490.9550862331</v>
      </c>
      <c r="AZ247" s="2">
        <f t="shared" ca="1" si="236"/>
        <v>4190886.7811817555</v>
      </c>
      <c r="BA247" s="2">
        <f t="shared" ca="1" si="237"/>
        <v>72329681.303248987</v>
      </c>
      <c r="BB247" s="2">
        <f t="shared" ca="1" si="238"/>
        <v>1446593.6260649797</v>
      </c>
      <c r="BC247" s="2">
        <f t="shared" ca="1" si="239"/>
        <v>44173032.889028706</v>
      </c>
      <c r="BD247" s="2">
        <f t="shared" ca="1" si="240"/>
        <v>-19419622.141610011</v>
      </c>
      <c r="BE247" s="2">
        <f t="shared" ca="1" si="241"/>
        <v>2022521.1386193112</v>
      </c>
      <c r="BF247" s="2">
        <f t="shared" ca="1" si="242"/>
        <v>2516418.8578611808</v>
      </c>
      <c r="BG247" s="2">
        <f t="shared" ca="1" si="243"/>
        <v>3014568.3945384538</v>
      </c>
      <c r="BH247" s="2">
        <f t="shared" ca="1" si="244"/>
        <v>3570490.9550862331</v>
      </c>
      <c r="BI247" s="2">
        <f t="shared" ca="1" si="245"/>
        <v>48363919.670210458</v>
      </c>
      <c r="BJ247" s="2">
        <f t="shared" ca="1" si="246"/>
        <v>0.28830972059314375</v>
      </c>
      <c r="BK247" s="2">
        <f t="shared" ca="1" si="247"/>
        <v>16250082.668774389</v>
      </c>
    </row>
    <row r="248" spans="1:63" x14ac:dyDescent="0.3">
      <c r="A248" s="2">
        <v>247</v>
      </c>
      <c r="B248" s="2">
        <f t="shared" ca="1" si="186"/>
        <v>0.95235504443885166</v>
      </c>
      <c r="C248" s="2">
        <f t="shared" ca="1" si="187"/>
        <v>7.6913093601641007</v>
      </c>
      <c r="D248" s="2">
        <f t="shared" ca="1" si="188"/>
        <v>5.643125777238156E-2</v>
      </c>
      <c r="E248" s="2">
        <f t="shared" ca="1" si="189"/>
        <v>6.8359501682463684</v>
      </c>
      <c r="F248" s="2">
        <f t="shared" ca="1" si="190"/>
        <v>0.86728480396291985</v>
      </c>
      <c r="G248" s="2">
        <f t="shared" ca="1" si="191"/>
        <v>7.3409428364581253E-2</v>
      </c>
      <c r="H248" s="2">
        <f t="shared" ca="1" si="192"/>
        <v>7.3409428364581253E-2</v>
      </c>
      <c r="I248" s="2">
        <f t="shared" ca="1" si="193"/>
        <v>0.84151591826405914</v>
      </c>
      <c r="J248" s="2">
        <f t="shared" ca="1" si="194"/>
        <v>1.5003538295450189E-2</v>
      </c>
      <c r="K248" s="2">
        <f t="shared" ca="1" si="195"/>
        <v>1.5003538295450189E-2</v>
      </c>
      <c r="L248" s="2">
        <f t="shared" ca="1" si="196"/>
        <v>1.2412819058325475E-2</v>
      </c>
      <c r="M248" s="2">
        <f t="shared" ca="1" si="197"/>
        <v>-4.4882102557467086E-2</v>
      </c>
      <c r="N248" s="2">
        <f t="shared" ca="1" si="198"/>
        <v>-4.4882102557467086E-2</v>
      </c>
      <c r="O248" s="2">
        <f t="shared" si="199"/>
        <v>6000000</v>
      </c>
      <c r="P248" s="2">
        <f t="shared" ca="1" si="200"/>
        <v>46147856.160984606</v>
      </c>
      <c r="Q248" s="2">
        <f t="shared" ca="1" si="201"/>
        <v>1153696.4040246152</v>
      </c>
      <c r="R248" s="2">
        <f t="shared" ca="1" si="202"/>
        <v>27688713.696590763</v>
      </c>
      <c r="S248" s="2">
        <f t="shared" ca="1" si="203"/>
        <v>18459142.464393843</v>
      </c>
      <c r="T248" s="2">
        <f t="shared" ca="1" si="204"/>
        <v>47755894.872126646</v>
      </c>
      <c r="U248" s="2">
        <f t="shared" ca="1" si="205"/>
        <v>51261627.8157285</v>
      </c>
      <c r="V248" s="2">
        <f t="shared" ca="1" si="206"/>
        <v>55024714.610719047</v>
      </c>
      <c r="W248" s="2">
        <f t="shared" ca="1" si="207"/>
        <v>59064047.456216149</v>
      </c>
      <c r="X248" s="2">
        <f t="shared" ca="1" si="208"/>
        <v>63399905.416875474</v>
      </c>
      <c r="Y248" s="2">
        <f t="shared" ca="1" si="209"/>
        <v>0.1275017691477251</v>
      </c>
      <c r="Z248" s="2">
        <f t="shared" ca="1" si="210"/>
        <v>0.13050247680681512</v>
      </c>
      <c r="AA248" s="2">
        <f t="shared" ca="1" si="211"/>
        <v>6088961.0834289202</v>
      </c>
      <c r="AB248" s="2">
        <f t="shared" ca="1" si="212"/>
        <v>6689769.3951016972</v>
      </c>
      <c r="AC248" s="2">
        <f t="shared" ca="1" si="213"/>
        <v>7180861.5422869837</v>
      </c>
      <c r="AD248" s="2">
        <f t="shared" ca="1" si="214"/>
        <v>7708004.4832714759</v>
      </c>
      <c r="AE248" s="2">
        <f t="shared" ca="1" si="215"/>
        <v>8273844.6862200638</v>
      </c>
      <c r="AF248" s="2">
        <f t="shared" ca="1" si="216"/>
        <v>955117.89744253294</v>
      </c>
      <c r="AG248" s="2">
        <f t="shared" ca="1" si="217"/>
        <v>1025232.55631457</v>
      </c>
      <c r="AH248" s="2">
        <f t="shared" ca="1" si="218"/>
        <v>1100494.292214381</v>
      </c>
      <c r="AI248" s="2">
        <f t="shared" ca="1" si="219"/>
        <v>1181280.949124323</v>
      </c>
      <c r="AJ248" s="2">
        <f t="shared" ca="1" si="220"/>
        <v>1267998.1083375094</v>
      </c>
      <c r="AK248" s="2">
        <f t="shared" ca="1" si="221"/>
        <v>0</v>
      </c>
      <c r="AL248" s="2">
        <f t="shared" ca="1" si="222"/>
        <v>35057.329436018539</v>
      </c>
      <c r="AM248" s="2">
        <f t="shared" ca="1" si="223"/>
        <v>37630.867949905471</v>
      </c>
      <c r="AN248" s="2">
        <f t="shared" ca="1" si="224"/>
        <v>40393.328454971015</v>
      </c>
      <c r="AO248" s="2">
        <f t="shared" ca="1" si="225"/>
        <v>43358.579606593252</v>
      </c>
      <c r="AP248" s="2">
        <f t="shared" ca="1" si="226"/>
        <v>2491984.2326931683</v>
      </c>
      <c r="AQ248" s="2">
        <f t="shared" ca="1" si="227"/>
        <v>686883.32785623707</v>
      </c>
      <c r="AR248" s="2">
        <f t="shared" ca="1" si="228"/>
        <v>824863.67758442939</v>
      </c>
      <c r="AS248" s="2">
        <f t="shared" ca="1" si="229"/>
        <v>932979.58451865287</v>
      </c>
      <c r="AT248" s="2">
        <f t="shared" ca="1" si="230"/>
        <v>1049032.2183780361</v>
      </c>
      <c r="AU248" s="2">
        <f t="shared" ca="1" si="231"/>
        <v>1173604.2097492404</v>
      </c>
      <c r="AV248" s="2">
        <f t="shared" ca="1" si="232"/>
        <v>1954975.6254369821</v>
      </c>
      <c r="AW248" s="2">
        <f t="shared" ca="1" si="233"/>
        <v>2312631.5990735115</v>
      </c>
      <c r="AX248" s="2">
        <f t="shared" ca="1" si="234"/>
        <v>2617772.5649108747</v>
      </c>
      <c r="AY248" s="2">
        <f t="shared" ca="1" si="235"/>
        <v>2945313.7546209767</v>
      </c>
      <c r="AZ248" s="2">
        <f t="shared" ca="1" si="236"/>
        <v>3296899.555833552</v>
      </c>
      <c r="BA248" s="2">
        <f t="shared" ca="1" si="237"/>
        <v>56559589.974810369</v>
      </c>
      <c r="BB248" s="2">
        <f t="shared" ca="1" si="238"/>
        <v>1131191.7994962074</v>
      </c>
      <c r="BC248" s="2">
        <f t="shared" ca="1" si="239"/>
        <v>27739684.478723399</v>
      </c>
      <c r="BD248" s="2">
        <f t="shared" ca="1" si="240"/>
        <v>-20112838.868418459</v>
      </c>
      <c r="BE248" s="2">
        <f t="shared" ca="1" si="241"/>
        <v>1954975.6254369821</v>
      </c>
      <c r="BF248" s="2">
        <f t="shared" ca="1" si="242"/>
        <v>2312631.5990735115</v>
      </c>
      <c r="BG248" s="2">
        <f t="shared" ca="1" si="243"/>
        <v>2617772.5649108747</v>
      </c>
      <c r="BH248" s="2">
        <f t="shared" ca="1" si="244"/>
        <v>2945313.7546209767</v>
      </c>
      <c r="BI248" s="2">
        <f t="shared" ca="1" si="245"/>
        <v>31036584.034556951</v>
      </c>
      <c r="BJ248" s="2">
        <f t="shared" ca="1" si="246"/>
        <v>0.17836487283451241</v>
      </c>
      <c r="BK248" s="2">
        <f t="shared" ca="1" si="247"/>
        <v>4822361.0682591684</v>
      </c>
    </row>
    <row r="249" spans="1:63" x14ac:dyDescent="0.3">
      <c r="A249" s="2">
        <v>248</v>
      </c>
      <c r="B249" s="2">
        <f t="shared" ca="1" si="186"/>
        <v>4.9141427262746618E-2</v>
      </c>
      <c r="C249" s="2">
        <f t="shared" ca="1" si="187"/>
        <v>6.3135009641540094</v>
      </c>
      <c r="D249" s="2">
        <f t="shared" ca="1" si="188"/>
        <v>8.0904067965436366E-2</v>
      </c>
      <c r="E249" s="2">
        <f t="shared" ca="1" si="189"/>
        <v>6.902253820281266</v>
      </c>
      <c r="F249" s="2">
        <f t="shared" ca="1" si="190"/>
        <v>0.57295633326239792</v>
      </c>
      <c r="G249" s="2">
        <f t="shared" ca="1" si="191"/>
        <v>4.5517174810721518E-2</v>
      </c>
      <c r="H249" s="2">
        <f t="shared" ca="1" si="192"/>
        <v>4.5517174810721518E-2</v>
      </c>
      <c r="I249" s="2">
        <f t="shared" ca="1" si="193"/>
        <v>3.0446321071285865E-2</v>
      </c>
      <c r="J249" s="2">
        <f t="shared" ca="1" si="194"/>
        <v>6.2862901779226626E-4</v>
      </c>
      <c r="K249" s="2">
        <f t="shared" ca="1" si="195"/>
        <v>6.2862901779226626E-4</v>
      </c>
      <c r="L249" s="2">
        <f t="shared" ca="1" si="196"/>
        <v>0.40985474626672758</v>
      </c>
      <c r="M249" s="2">
        <f t="shared" ca="1" si="197"/>
        <v>-4.5583727719197588E-3</v>
      </c>
      <c r="N249" s="2">
        <f t="shared" ca="1" si="198"/>
        <v>-4.5583727719197588E-3</v>
      </c>
      <c r="O249" s="2">
        <f t="shared" si="199"/>
        <v>6000000</v>
      </c>
      <c r="P249" s="2">
        <f t="shared" ca="1" si="200"/>
        <v>37881005.78492406</v>
      </c>
      <c r="Q249" s="2">
        <f t="shared" ca="1" si="201"/>
        <v>947025.14462310157</v>
      </c>
      <c r="R249" s="2">
        <f t="shared" ca="1" si="202"/>
        <v>22728603.470954437</v>
      </c>
      <c r="S249" s="2">
        <f t="shared" ca="1" si="203"/>
        <v>15152402.313969625</v>
      </c>
      <c r="T249" s="2">
        <f t="shared" ca="1" si="204"/>
        <v>49772081.361404017</v>
      </c>
      <c r="U249" s="2">
        <f t="shared" ca="1" si="205"/>
        <v>52037565.889424495</v>
      </c>
      <c r="V249" s="2">
        <f t="shared" ca="1" si="206"/>
        <v>54406168.87273787</v>
      </c>
      <c r="W249" s="2">
        <f t="shared" ca="1" si="207"/>
        <v>56882583.972099915</v>
      </c>
      <c r="X249" s="2">
        <f t="shared" ca="1" si="208"/>
        <v>59471718.490443528</v>
      </c>
      <c r="Y249" s="2">
        <f t="shared" ca="1" si="209"/>
        <v>0.12031431450889613</v>
      </c>
      <c r="Z249" s="2">
        <f t="shared" ca="1" si="210"/>
        <v>0.12044004031245459</v>
      </c>
      <c r="AA249" s="2">
        <f t="shared" ca="1" si="211"/>
        <v>5988293.8506783294</v>
      </c>
      <c r="AB249" s="2">
        <f t="shared" ca="1" si="212"/>
        <v>6267406.5334842978</v>
      </c>
      <c r="AC249" s="2">
        <f t="shared" ca="1" si="213"/>
        <v>6552681.1722787609</v>
      </c>
      <c r="AD249" s="2">
        <f t="shared" ca="1" si="214"/>
        <v>6850940.7066762969</v>
      </c>
      <c r="AE249" s="2">
        <f t="shared" ca="1" si="215"/>
        <v>7162776.1724399691</v>
      </c>
      <c r="AF249" s="2">
        <f t="shared" ca="1" si="216"/>
        <v>995441.6272280803</v>
      </c>
      <c r="AG249" s="2">
        <f t="shared" ca="1" si="217"/>
        <v>1040751.31778849</v>
      </c>
      <c r="AH249" s="2">
        <f t="shared" ca="1" si="218"/>
        <v>1088123.3774547575</v>
      </c>
      <c r="AI249" s="2">
        <f t="shared" ca="1" si="219"/>
        <v>1137651.6794419982</v>
      </c>
      <c r="AJ249" s="2">
        <f t="shared" ca="1" si="220"/>
        <v>1189434.3698088706</v>
      </c>
      <c r="AK249" s="2">
        <f t="shared" ca="1" si="221"/>
        <v>0</v>
      </c>
      <c r="AL249" s="2">
        <f t="shared" ca="1" si="222"/>
        <v>22654.845280204787</v>
      </c>
      <c r="AM249" s="2">
        <f t="shared" ca="1" si="223"/>
        <v>23686.029833133744</v>
      </c>
      <c r="AN249" s="2">
        <f t="shared" ca="1" si="224"/>
        <v>24764.150993620457</v>
      </c>
      <c r="AO249" s="2">
        <f t="shared" ca="1" si="225"/>
        <v>25891.345183436126</v>
      </c>
      <c r="AP249" s="2">
        <f t="shared" ca="1" si="226"/>
        <v>2045574.3123858992</v>
      </c>
      <c r="AQ249" s="2">
        <f t="shared" ca="1" si="227"/>
        <v>766292.25687673106</v>
      </c>
      <c r="AR249" s="2">
        <f t="shared" ca="1" si="228"/>
        <v>827081.03486057627</v>
      </c>
      <c r="AS249" s="2">
        <f t="shared" ca="1" si="229"/>
        <v>888935.7054339071</v>
      </c>
      <c r="AT249" s="2">
        <f t="shared" ca="1" si="230"/>
        <v>953605.82586058404</v>
      </c>
      <c r="AU249" s="2">
        <f t="shared" ca="1" si="231"/>
        <v>1021219.547463752</v>
      </c>
      <c r="AV249" s="2">
        <f t="shared" ca="1" si="232"/>
        <v>2180985.6541876188</v>
      </c>
      <c r="AW249" s="2">
        <f t="shared" ca="1" si="233"/>
        <v>2331345.0231691273</v>
      </c>
      <c r="AX249" s="2">
        <f t="shared" ca="1" si="234"/>
        <v>2506361.7471710639</v>
      </c>
      <c r="AY249" s="2">
        <f t="shared" ca="1" si="235"/>
        <v>2689344.7379941959</v>
      </c>
      <c r="AZ249" s="2">
        <f t="shared" ca="1" si="236"/>
        <v>2880656.5975980116</v>
      </c>
      <c r="BA249" s="2">
        <f t="shared" ca="1" si="237"/>
        <v>49439299.200043403</v>
      </c>
      <c r="BB249" s="2">
        <f t="shared" ca="1" si="238"/>
        <v>988785.98400086805</v>
      </c>
      <c r="BC249" s="2">
        <f t="shared" ca="1" si="239"/>
        <v>25721909.745088097</v>
      </c>
      <c r="BD249" s="2">
        <f t="shared" ca="1" si="240"/>
        <v>-16599427.458592726</v>
      </c>
      <c r="BE249" s="2">
        <f t="shared" ca="1" si="241"/>
        <v>2180985.6541876188</v>
      </c>
      <c r="BF249" s="2">
        <f t="shared" ca="1" si="242"/>
        <v>2331345.0231691273</v>
      </c>
      <c r="BG249" s="2">
        <f t="shared" ca="1" si="243"/>
        <v>2506361.7471710639</v>
      </c>
      <c r="BH249" s="2">
        <f t="shared" ca="1" si="244"/>
        <v>2689344.7379941959</v>
      </c>
      <c r="BI249" s="2">
        <f t="shared" ca="1" si="245"/>
        <v>28602566.342686109</v>
      </c>
      <c r="BJ249" s="2">
        <f t="shared" ca="1" si="246"/>
        <v>0.2187580923220791</v>
      </c>
      <c r="BK249" s="2">
        <f t="shared" ca="1" si="247"/>
        <v>6929385.4110298175</v>
      </c>
    </row>
    <row r="250" spans="1:63" x14ac:dyDescent="0.3">
      <c r="A250" s="2">
        <v>249</v>
      </c>
      <c r="B250" s="2">
        <f t="shared" ca="1" si="186"/>
        <v>0.6053577519257467</v>
      </c>
      <c r="C250" s="2">
        <f t="shared" ca="1" si="187"/>
        <v>7.1115831518096329</v>
      </c>
      <c r="D250" s="2">
        <f t="shared" ca="1" si="188"/>
        <v>0.15903829405683023</v>
      </c>
      <c r="E250" s="2">
        <f t="shared" ca="1" si="189"/>
        <v>7.0639827906183488</v>
      </c>
      <c r="F250" s="2">
        <f t="shared" ca="1" si="190"/>
        <v>0.28786024299711266</v>
      </c>
      <c r="G250" s="2">
        <f t="shared" ca="1" si="191"/>
        <v>2.3210600825187166E-2</v>
      </c>
      <c r="H250" s="2">
        <f t="shared" ca="1" si="192"/>
        <v>2.3210600825187166E-2</v>
      </c>
      <c r="I250" s="2">
        <f t="shared" ca="1" si="193"/>
        <v>0.91178529667565822</v>
      </c>
      <c r="J250" s="2">
        <f t="shared" ca="1" si="194"/>
        <v>1.6759154657774507E-2</v>
      </c>
      <c r="K250" s="2">
        <f t="shared" ca="1" si="195"/>
        <v>1.6759154657774507E-2</v>
      </c>
      <c r="L250" s="2">
        <f t="shared" ca="1" si="196"/>
        <v>0.62025929657732803</v>
      </c>
      <c r="M250" s="2">
        <f t="shared" ca="1" si="197"/>
        <v>6.1232372885918086E-3</v>
      </c>
      <c r="N250" s="2">
        <f t="shared" ca="1" si="198"/>
        <v>6.1232372885918086E-3</v>
      </c>
      <c r="O250" s="2">
        <f t="shared" si="199"/>
        <v>6000000</v>
      </c>
      <c r="P250" s="2">
        <f t="shared" ca="1" si="200"/>
        <v>42669498.910857797</v>
      </c>
      <c r="Q250" s="2">
        <f t="shared" ca="1" si="201"/>
        <v>1066737.4727714451</v>
      </c>
      <c r="R250" s="2">
        <f t="shared" ca="1" si="202"/>
        <v>25601699.346514676</v>
      </c>
      <c r="S250" s="2">
        <f t="shared" ca="1" si="203"/>
        <v>17067799.564343121</v>
      </c>
      <c r="T250" s="2">
        <f t="shared" ca="1" si="204"/>
        <v>50306161.864429586</v>
      </c>
      <c r="U250" s="2">
        <f t="shared" ca="1" si="205"/>
        <v>51473798.106512114</v>
      </c>
      <c r="V250" s="2">
        <f t="shared" ca="1" si="206"/>
        <v>52668535.887318641</v>
      </c>
      <c r="W250" s="2">
        <f t="shared" ca="1" si="207"/>
        <v>53891004.249846235</v>
      </c>
      <c r="X250" s="2">
        <f t="shared" ca="1" si="208"/>
        <v>55141846.837557875</v>
      </c>
      <c r="Y250" s="2">
        <f t="shared" ca="1" si="209"/>
        <v>0.12837957732888725</v>
      </c>
      <c r="Z250" s="2">
        <f t="shared" ca="1" si="210"/>
        <v>0.13173140826044216</v>
      </c>
      <c r="AA250" s="2">
        <f t="shared" ca="1" si="211"/>
        <v>6458283.7971940562</v>
      </c>
      <c r="AB250" s="2">
        <f t="shared" ca="1" si="212"/>
        <v>6780715.9130845219</v>
      </c>
      <c r="AC250" s="2">
        <f t="shared" ca="1" si="213"/>
        <v>6938100.4034521217</v>
      </c>
      <c r="AD250" s="2">
        <f t="shared" ca="1" si="214"/>
        <v>7099137.8824017178</v>
      </c>
      <c r="AE250" s="2">
        <f t="shared" ca="1" si="215"/>
        <v>7263913.1379931075</v>
      </c>
      <c r="AF250" s="2">
        <f t="shared" ca="1" si="216"/>
        <v>1006123.2372885917</v>
      </c>
      <c r="AG250" s="2">
        <f t="shared" ca="1" si="217"/>
        <v>1029475.9621302423</v>
      </c>
      <c r="AH250" s="2">
        <f t="shared" ca="1" si="218"/>
        <v>1053370.7177463728</v>
      </c>
      <c r="AI250" s="2">
        <f t="shared" ca="1" si="219"/>
        <v>1077820.0849969247</v>
      </c>
      <c r="AJ250" s="2">
        <f t="shared" ca="1" si="220"/>
        <v>1102836.9367511575</v>
      </c>
      <c r="AK250" s="2">
        <f t="shared" ca="1" si="221"/>
        <v>0</v>
      </c>
      <c r="AL250" s="2">
        <f t="shared" ca="1" si="222"/>
        <v>11676.362420825288</v>
      </c>
      <c r="AM250" s="2">
        <f t="shared" ca="1" si="223"/>
        <v>11947.377808065266</v>
      </c>
      <c r="AN250" s="2">
        <f t="shared" ca="1" si="224"/>
        <v>12224.68362527594</v>
      </c>
      <c r="AO250" s="2">
        <f t="shared" ca="1" si="225"/>
        <v>12508.425877116397</v>
      </c>
      <c r="AP250" s="2">
        <f t="shared" ca="1" si="226"/>
        <v>2304152.9411863205</v>
      </c>
      <c r="AQ250" s="2">
        <f t="shared" ca="1" si="227"/>
        <v>818481.98086697748</v>
      </c>
      <c r="AR250" s="2">
        <f t="shared" ca="1" si="228"/>
        <v>896242.62253966951</v>
      </c>
      <c r="AS250" s="2">
        <f t="shared" ca="1" si="229"/>
        <v>930949.95357505151</v>
      </c>
      <c r="AT250" s="2">
        <f t="shared" ca="1" si="230"/>
        <v>966462.86261680291</v>
      </c>
      <c r="AU250" s="2">
        <f t="shared" ca="1" si="231"/>
        <v>1002800.0476144636</v>
      </c>
      <c r="AV250" s="2">
        <f t="shared" ca="1" si="232"/>
        <v>2329525.6378521672</v>
      </c>
      <c r="AW250" s="2">
        <f t="shared" ca="1" si="233"/>
        <v>2539168.0248074648</v>
      </c>
      <c r="AX250" s="2">
        <f t="shared" ca="1" si="234"/>
        <v>2637679.4131363123</v>
      </c>
      <c r="AY250" s="2">
        <f t="shared" ca="1" si="235"/>
        <v>2738477.3099763938</v>
      </c>
      <c r="AZ250" s="2">
        <f t="shared" ca="1" si="236"/>
        <v>2841614.7865640488</v>
      </c>
      <c r="BA250" s="2">
        <f t="shared" ca="1" si="237"/>
        <v>51312157.399329841</v>
      </c>
      <c r="BB250" s="2">
        <f t="shared" ca="1" si="238"/>
        <v>1026243.1479865968</v>
      </c>
      <c r="BC250" s="2">
        <f t="shared" ca="1" si="239"/>
        <v>24684214.904828567</v>
      </c>
      <c r="BD250" s="2">
        <f t="shared" ca="1" si="240"/>
        <v>-18634537.037114564</v>
      </c>
      <c r="BE250" s="2">
        <f t="shared" ca="1" si="241"/>
        <v>2329525.6378521672</v>
      </c>
      <c r="BF250" s="2">
        <f t="shared" ca="1" si="242"/>
        <v>2539168.0248074648</v>
      </c>
      <c r="BG250" s="2">
        <f t="shared" ca="1" si="243"/>
        <v>2637679.4131363123</v>
      </c>
      <c r="BH250" s="2">
        <f t="shared" ca="1" si="244"/>
        <v>2738477.3099763938</v>
      </c>
      <c r="BI250" s="2">
        <f t="shared" ca="1" si="245"/>
        <v>27525829.691392615</v>
      </c>
      <c r="BJ250" s="2">
        <f t="shared" ca="1" si="246"/>
        <v>0.18332020124289361</v>
      </c>
      <c r="BK250" s="2">
        <f t="shared" ca="1" si="247"/>
        <v>4706300.7085189074</v>
      </c>
    </row>
    <row r="251" spans="1:63" x14ac:dyDescent="0.3">
      <c r="A251" s="2">
        <v>250</v>
      </c>
      <c r="B251" s="2">
        <f t="shared" ca="1" si="186"/>
        <v>0.72941652064479623</v>
      </c>
      <c r="C251" s="2">
        <f t="shared" ca="1" si="187"/>
        <v>7.2643594908446056</v>
      </c>
      <c r="D251" s="2">
        <f t="shared" ca="1" si="188"/>
        <v>0.36120296578652411</v>
      </c>
      <c r="E251" s="2">
        <f t="shared" ca="1" si="189"/>
        <v>7.3499446638299748</v>
      </c>
      <c r="F251" s="2">
        <f t="shared" ca="1" si="190"/>
        <v>0.66247851197688068</v>
      </c>
      <c r="G251" s="2">
        <f t="shared" ca="1" si="191"/>
        <v>5.257710826570227E-2</v>
      </c>
      <c r="H251" s="2">
        <f t="shared" ca="1" si="192"/>
        <v>5.257710826570227E-2</v>
      </c>
      <c r="I251" s="2">
        <f t="shared" ca="1" si="193"/>
        <v>0.62824502872996568</v>
      </c>
      <c r="J251" s="2">
        <f t="shared" ca="1" si="194"/>
        <v>1.1636044151692207E-2</v>
      </c>
      <c r="K251" s="2">
        <f t="shared" ca="1" si="195"/>
        <v>1.1636044151692207E-2</v>
      </c>
      <c r="L251" s="2">
        <f t="shared" ca="1" si="196"/>
        <v>0.48800718955056455</v>
      </c>
      <c r="M251" s="2">
        <f t="shared" ca="1" si="197"/>
        <v>-6.0132093874594266E-4</v>
      </c>
      <c r="N251" s="2">
        <f t="shared" ca="1" si="198"/>
        <v>-6.0132093874594266E-4</v>
      </c>
      <c r="O251" s="2">
        <f t="shared" si="199"/>
        <v>6000000</v>
      </c>
      <c r="P251" s="2">
        <f t="shared" ca="1" si="200"/>
        <v>43586156.945067637</v>
      </c>
      <c r="Q251" s="2">
        <f t="shared" ca="1" si="201"/>
        <v>1089653.9236266909</v>
      </c>
      <c r="R251" s="2">
        <f t="shared" ca="1" si="202"/>
        <v>26151694.167040583</v>
      </c>
      <c r="S251" s="2">
        <f t="shared" ca="1" si="203"/>
        <v>17434462.778027054</v>
      </c>
      <c r="T251" s="2">
        <f t="shared" ca="1" si="204"/>
        <v>49969933.953062698</v>
      </c>
      <c r="U251" s="2">
        <f t="shared" ca="1" si="205"/>
        <v>52597208.58054287</v>
      </c>
      <c r="V251" s="2">
        <f t="shared" ca="1" si="206"/>
        <v>55362617.710555799</v>
      </c>
      <c r="W251" s="2">
        <f t="shared" ca="1" si="207"/>
        <v>58273424.055796377</v>
      </c>
      <c r="X251" s="2">
        <f t="shared" ca="1" si="208"/>
        <v>61337272.181391165</v>
      </c>
      <c r="Y251" s="2">
        <f t="shared" ca="1" si="209"/>
        <v>0.12581802207584611</v>
      </c>
      <c r="Z251" s="2">
        <f t="shared" ca="1" si="210"/>
        <v>0.12814523090618454</v>
      </c>
      <c r="AA251" s="2">
        <f t="shared" ca="1" si="211"/>
        <v>6287118.2532350142</v>
      </c>
      <c r="AB251" s="2">
        <f t="shared" ca="1" si="212"/>
        <v>6740081.4385744166</v>
      </c>
      <c r="AC251" s="2">
        <f t="shared" ca="1" si="213"/>
        <v>7094455.4300899943</v>
      </c>
      <c r="AD251" s="2">
        <f t="shared" ca="1" si="214"/>
        <v>7467461.381324036</v>
      </c>
      <c r="AE251" s="2">
        <f t="shared" ca="1" si="215"/>
        <v>7860078.9068398606</v>
      </c>
      <c r="AF251" s="2">
        <f t="shared" ca="1" si="216"/>
        <v>999398.67906125402</v>
      </c>
      <c r="AG251" s="2">
        <f t="shared" ca="1" si="217"/>
        <v>1051944.1716108574</v>
      </c>
      <c r="AH251" s="2">
        <f t="shared" ca="1" si="218"/>
        <v>1107252.354211116</v>
      </c>
      <c r="AI251" s="2">
        <f t="shared" ca="1" si="219"/>
        <v>1165468.4811159277</v>
      </c>
      <c r="AJ251" s="2">
        <f t="shared" ca="1" si="220"/>
        <v>1226745.4436278234</v>
      </c>
      <c r="AK251" s="2">
        <f t="shared" ca="1" si="221"/>
        <v>0</v>
      </c>
      <c r="AL251" s="2">
        <f t="shared" ca="1" si="222"/>
        <v>26272.746274801717</v>
      </c>
      <c r="AM251" s="2">
        <f t="shared" ca="1" si="223"/>
        <v>27654.091300129294</v>
      </c>
      <c r="AN251" s="2">
        <f t="shared" ca="1" si="224"/>
        <v>29108.063452405782</v>
      </c>
      <c r="AO251" s="2">
        <f t="shared" ca="1" si="225"/>
        <v>30638.481255947874</v>
      </c>
      <c r="AP251" s="2">
        <f t="shared" ca="1" si="226"/>
        <v>2353652.4750336525</v>
      </c>
      <c r="AQ251" s="2">
        <f t="shared" ca="1" si="227"/>
        <v>762857.44577642786</v>
      </c>
      <c r="AR251" s="2">
        <f t="shared" ca="1" si="228"/>
        <v>866966.04590177583</v>
      </c>
      <c r="AS251" s="2">
        <f t="shared" ca="1" si="229"/>
        <v>944723.15621975868</v>
      </c>
      <c r="AT251" s="2">
        <f t="shared" ca="1" si="230"/>
        <v>1026568.5105453585</v>
      </c>
      <c r="AU251" s="2">
        <f t="shared" ca="1" si="231"/>
        <v>1112717.0569263801</v>
      </c>
      <c r="AV251" s="2">
        <f t="shared" ca="1" si="232"/>
        <v>2171209.6533636791</v>
      </c>
      <c r="AW251" s="2">
        <f t="shared" ca="1" si="233"/>
        <v>2441245.9997533294</v>
      </c>
      <c r="AX251" s="2">
        <f t="shared" ca="1" si="234"/>
        <v>2661173.3533253376</v>
      </c>
      <c r="AY251" s="2">
        <f t="shared" ca="1" si="235"/>
        <v>2892663.8511766917</v>
      </c>
      <c r="AZ251" s="2">
        <f t="shared" ca="1" si="236"/>
        <v>3136325.4499960574</v>
      </c>
      <c r="BA251" s="2">
        <f t="shared" ca="1" si="237"/>
        <v>57771145.018610172</v>
      </c>
      <c r="BB251" s="2">
        <f t="shared" ca="1" si="238"/>
        <v>1155422.9003722034</v>
      </c>
      <c r="BC251" s="2">
        <f t="shared" ca="1" si="239"/>
        <v>30464027.951197386</v>
      </c>
      <c r="BD251" s="2">
        <f t="shared" ca="1" si="240"/>
        <v>-19024116.701653745</v>
      </c>
      <c r="BE251" s="2">
        <f t="shared" ca="1" si="241"/>
        <v>2171209.6533636791</v>
      </c>
      <c r="BF251" s="2">
        <f t="shared" ca="1" si="242"/>
        <v>2441245.9997533294</v>
      </c>
      <c r="BG251" s="2">
        <f t="shared" ca="1" si="243"/>
        <v>2661173.3533253376</v>
      </c>
      <c r="BH251" s="2">
        <f t="shared" ca="1" si="244"/>
        <v>2892663.8511766917</v>
      </c>
      <c r="BI251" s="2">
        <f t="shared" ca="1" si="245"/>
        <v>33600353.40119344</v>
      </c>
      <c r="BJ251" s="2">
        <f t="shared" ca="1" si="246"/>
        <v>0.21372655434603804</v>
      </c>
      <c r="BK251" s="2">
        <f t="shared" ca="1" si="247"/>
        <v>7658863.3931398839</v>
      </c>
    </row>
    <row r="252" spans="1:63" x14ac:dyDescent="0.3">
      <c r="A252" s="2">
        <v>251</v>
      </c>
      <c r="B252" s="2">
        <f t="shared" ca="1" si="186"/>
        <v>0.24237182070722274</v>
      </c>
      <c r="C252" s="2">
        <f t="shared" ca="1" si="187"/>
        <v>6.6962353347930899</v>
      </c>
      <c r="D252" s="2">
        <f t="shared" ca="1" si="188"/>
        <v>0.68852411766818244</v>
      </c>
      <c r="E252" s="2">
        <f t="shared" ca="1" si="189"/>
        <v>7.7107270657981264</v>
      </c>
      <c r="F252" s="2">
        <f t="shared" ca="1" si="190"/>
        <v>0.27017333807292632</v>
      </c>
      <c r="G252" s="2">
        <f t="shared" ca="1" si="191"/>
        <v>2.1631334986719923E-2</v>
      </c>
      <c r="H252" s="2">
        <f t="shared" ca="1" si="192"/>
        <v>2.1631334986719923E-2</v>
      </c>
      <c r="I252" s="2">
        <f t="shared" ca="1" si="193"/>
        <v>0.64271707762546282</v>
      </c>
      <c r="J252" s="2">
        <f t="shared" ca="1" si="194"/>
        <v>1.1828654778558977E-2</v>
      </c>
      <c r="K252" s="2">
        <f t="shared" ca="1" si="195"/>
        <v>1.1828654778558977E-2</v>
      </c>
      <c r="L252" s="2">
        <f t="shared" ca="1" si="196"/>
        <v>0.36410813150808752</v>
      </c>
      <c r="M252" s="2">
        <f t="shared" ca="1" si="197"/>
        <v>-6.9499855016614933E-3</v>
      </c>
      <c r="N252" s="2">
        <f t="shared" ca="1" si="198"/>
        <v>-6.9499855016614933E-3</v>
      </c>
      <c r="O252" s="2">
        <f t="shared" si="199"/>
        <v>6000000</v>
      </c>
      <c r="P252" s="2">
        <f t="shared" ca="1" si="200"/>
        <v>40177412.008758537</v>
      </c>
      <c r="Q252" s="2">
        <f t="shared" ca="1" si="201"/>
        <v>1004435.3002189635</v>
      </c>
      <c r="R252" s="2">
        <f t="shared" ca="1" si="202"/>
        <v>24106447.205255121</v>
      </c>
      <c r="S252" s="2">
        <f t="shared" ca="1" si="203"/>
        <v>16070964.803503416</v>
      </c>
      <c r="T252" s="2">
        <f t="shared" ca="1" si="204"/>
        <v>49652500.724916928</v>
      </c>
      <c r="U252" s="2">
        <f t="shared" ca="1" si="205"/>
        <v>50726550.601025954</v>
      </c>
      <c r="V252" s="2">
        <f t="shared" ca="1" si="206"/>
        <v>51823833.609797545</v>
      </c>
      <c r="W252" s="2">
        <f t="shared" ca="1" si="207"/>
        <v>52944852.314907111</v>
      </c>
      <c r="X252" s="2">
        <f t="shared" ca="1" si="208"/>
        <v>54090120.151153281</v>
      </c>
      <c r="Y252" s="2">
        <f t="shared" ca="1" si="209"/>
        <v>0.12591432738927949</v>
      </c>
      <c r="Z252" s="2">
        <f t="shared" ca="1" si="210"/>
        <v>0.12828005834499129</v>
      </c>
      <c r="AA252" s="2">
        <f t="shared" ca="1" si="211"/>
        <v>6251961.2319736276</v>
      </c>
      <c r="AB252" s="2">
        <f t="shared" ca="1" si="212"/>
        <v>6507204.8707397627</v>
      </c>
      <c r="AC252" s="2">
        <f t="shared" ca="1" si="213"/>
        <v>6647964.3991259495</v>
      </c>
      <c r="AD252" s="2">
        <f t="shared" ca="1" si="214"/>
        <v>6791768.7440232309</v>
      </c>
      <c r="AE252" s="2">
        <f t="shared" ca="1" si="215"/>
        <v>6938683.7688775323</v>
      </c>
      <c r="AF252" s="2">
        <f t="shared" ca="1" si="216"/>
        <v>993050.01449833857</v>
      </c>
      <c r="AG252" s="2">
        <f t="shared" ca="1" si="217"/>
        <v>1014531.0120205191</v>
      </c>
      <c r="AH252" s="2">
        <f t="shared" ca="1" si="218"/>
        <v>1036476.6721959509</v>
      </c>
      <c r="AI252" s="2">
        <f t="shared" ca="1" si="219"/>
        <v>1058897.0462981423</v>
      </c>
      <c r="AJ252" s="2">
        <f t="shared" ca="1" si="220"/>
        <v>1081802.4030230655</v>
      </c>
      <c r="AK252" s="2">
        <f t="shared" ca="1" si="221"/>
        <v>0</v>
      </c>
      <c r="AL252" s="2">
        <f t="shared" ca="1" si="222"/>
        <v>10740.498761090264</v>
      </c>
      <c r="AM252" s="2">
        <f t="shared" ca="1" si="223"/>
        <v>10972.830087715909</v>
      </c>
      <c r="AN252" s="2">
        <f t="shared" ca="1" si="224"/>
        <v>11210.187051095665</v>
      </c>
      <c r="AO252" s="2">
        <f t="shared" ca="1" si="225"/>
        <v>11452.678362461702</v>
      </c>
      <c r="AP252" s="2">
        <f t="shared" ca="1" si="226"/>
        <v>2169580.2484729607</v>
      </c>
      <c r="AQ252" s="2">
        <f t="shared" ca="1" si="227"/>
        <v>803226.05194060551</v>
      </c>
      <c r="AR252" s="2">
        <f t="shared" ca="1" si="228"/>
        <v>864004.33866403357</v>
      </c>
      <c r="AS252" s="2">
        <f t="shared" ca="1" si="229"/>
        <v>894895.94439882995</v>
      </c>
      <c r="AT252" s="2">
        <f t="shared" ca="1" si="230"/>
        <v>926455.77680555324</v>
      </c>
      <c r="AU252" s="2">
        <f t="shared" ca="1" si="231"/>
        <v>958698.29051919153</v>
      </c>
      <c r="AV252" s="2">
        <f t="shared" ca="1" si="232"/>
        <v>2286104.9170617238</v>
      </c>
      <c r="AW252" s="2">
        <f t="shared" ca="1" si="233"/>
        <v>2448348.7728211591</v>
      </c>
      <c r="AX252" s="2">
        <f t="shared" ca="1" si="234"/>
        <v>2536038.7039704928</v>
      </c>
      <c r="AY252" s="2">
        <f t="shared" ca="1" si="235"/>
        <v>2625625.4853954781</v>
      </c>
      <c r="AZ252" s="2">
        <f t="shared" ca="1" si="236"/>
        <v>2717150.148499852</v>
      </c>
      <c r="BA252" s="2">
        <f t="shared" ca="1" si="237"/>
        <v>53502296.737698138</v>
      </c>
      <c r="BB252" s="2">
        <f t="shared" ca="1" si="238"/>
        <v>1070045.9347539628</v>
      </c>
      <c r="BC252" s="2">
        <f t="shared" ca="1" si="239"/>
        <v>28325803.597689055</v>
      </c>
      <c r="BD252" s="2">
        <f t="shared" ca="1" si="240"/>
        <v>-17575400.103722379</v>
      </c>
      <c r="BE252" s="2">
        <f t="shared" ca="1" si="241"/>
        <v>2286104.9170617238</v>
      </c>
      <c r="BF252" s="2">
        <f t="shared" ca="1" si="242"/>
        <v>2448348.7728211591</v>
      </c>
      <c r="BG252" s="2">
        <f t="shared" ca="1" si="243"/>
        <v>2536038.7039704928</v>
      </c>
      <c r="BH252" s="2">
        <f t="shared" ca="1" si="244"/>
        <v>2625625.4853954781</v>
      </c>
      <c r="BI252" s="2">
        <f t="shared" ca="1" si="245"/>
        <v>31042953.746188909</v>
      </c>
      <c r="BJ252" s="2">
        <f t="shared" ca="1" si="246"/>
        <v>0.22018939171766605</v>
      </c>
      <c r="BK252" s="2">
        <f t="shared" ca="1" si="247"/>
        <v>7505914.0092832856</v>
      </c>
    </row>
    <row r="253" spans="1:63" x14ac:dyDescent="0.3">
      <c r="A253" s="2">
        <v>252</v>
      </c>
      <c r="B253" s="2">
        <f t="shared" ca="1" si="186"/>
        <v>0.65035166112408616</v>
      </c>
      <c r="C253" s="2">
        <f t="shared" ca="1" si="187"/>
        <v>7.1637603945328658</v>
      </c>
      <c r="D253" s="2">
        <f t="shared" ca="1" si="188"/>
        <v>0.68268759638022958</v>
      </c>
      <c r="E253" s="2">
        <f t="shared" ca="1" si="189"/>
        <v>7.7033665791347055</v>
      </c>
      <c r="F253" s="2">
        <f t="shared" ca="1" si="190"/>
        <v>0.29901415754085081</v>
      </c>
      <c r="G253" s="2">
        <f t="shared" ca="1" si="191"/>
        <v>2.4182859650555315E-2</v>
      </c>
      <c r="H253" s="2">
        <f t="shared" ca="1" si="192"/>
        <v>2.4182859650555315E-2</v>
      </c>
      <c r="I253" s="2">
        <f t="shared" ca="1" si="193"/>
        <v>0.69880644907019129</v>
      </c>
      <c r="J253" s="2">
        <f t="shared" ca="1" si="194"/>
        <v>1.2604854079214224E-2</v>
      </c>
      <c r="K253" s="2">
        <f t="shared" ca="1" si="195"/>
        <v>1.2604854079214224E-2</v>
      </c>
      <c r="L253" s="2">
        <f t="shared" ca="1" si="196"/>
        <v>0.96823415412065905</v>
      </c>
      <c r="M253" s="2">
        <f t="shared" ca="1" si="197"/>
        <v>3.7109042223308547E-2</v>
      </c>
      <c r="N253" s="2">
        <f t="shared" ca="1" si="198"/>
        <v>3.7109042223308547E-2</v>
      </c>
      <c r="O253" s="2">
        <f t="shared" si="199"/>
        <v>6000000</v>
      </c>
      <c r="P253" s="2">
        <f t="shared" ca="1" si="200"/>
        <v>42982562.367197193</v>
      </c>
      <c r="Q253" s="2">
        <f t="shared" ca="1" si="201"/>
        <v>1074564.0591799298</v>
      </c>
      <c r="R253" s="2">
        <f t="shared" ca="1" si="202"/>
        <v>25789537.420318317</v>
      </c>
      <c r="S253" s="2">
        <f t="shared" ca="1" si="203"/>
        <v>17193024.946878877</v>
      </c>
      <c r="T253" s="2">
        <f t="shared" ca="1" si="204"/>
        <v>51855452.111165427</v>
      </c>
      <c r="U253" s="2">
        <f t="shared" ca="1" si="205"/>
        <v>53109465.231685832</v>
      </c>
      <c r="V253" s="2">
        <f t="shared" ca="1" si="206"/>
        <v>54393803.975499742</v>
      </c>
      <c r="W253" s="2">
        <f t="shared" ca="1" si="207"/>
        <v>55709201.702899069</v>
      </c>
      <c r="X253" s="2">
        <f t="shared" ca="1" si="208"/>
        <v>57056409.508924752</v>
      </c>
      <c r="Y253" s="2">
        <f t="shared" ca="1" si="209"/>
        <v>0.12630242703960712</v>
      </c>
      <c r="Z253" s="2">
        <f t="shared" ca="1" si="210"/>
        <v>0.12882339785544994</v>
      </c>
      <c r="AA253" s="2">
        <f t="shared" ca="1" si="211"/>
        <v>6549469.4568763124</v>
      </c>
      <c r="AB253" s="2">
        <f t="shared" ca="1" si="212"/>
        <v>6841741.7694316497</v>
      </c>
      <c r="AC253" s="2">
        <f t="shared" ca="1" si="213"/>
        <v>7007194.6504071578</v>
      </c>
      <c r="AD253" s="2">
        <f t="shared" ca="1" si="214"/>
        <v>7176648.6551820757</v>
      </c>
      <c r="AE253" s="2">
        <f t="shared" ca="1" si="215"/>
        <v>7350200.5423716903</v>
      </c>
      <c r="AF253" s="2">
        <f t="shared" ca="1" si="216"/>
        <v>1037109.0422233086</v>
      </c>
      <c r="AG253" s="2">
        <f t="shared" ca="1" si="217"/>
        <v>1062189.3046337166</v>
      </c>
      <c r="AH253" s="2">
        <f t="shared" ca="1" si="218"/>
        <v>1087876.0795099949</v>
      </c>
      <c r="AI253" s="2">
        <f t="shared" ca="1" si="219"/>
        <v>1114184.0340579813</v>
      </c>
      <c r="AJ253" s="2">
        <f t="shared" ca="1" si="220"/>
        <v>1141128.1901784951</v>
      </c>
      <c r="AK253" s="2">
        <f t="shared" ca="1" si="221"/>
        <v>0</v>
      </c>
      <c r="AL253" s="2">
        <f t="shared" ca="1" si="222"/>
        <v>12540.131205204056</v>
      </c>
      <c r="AM253" s="2">
        <f t="shared" ca="1" si="223"/>
        <v>12843.387438139096</v>
      </c>
      <c r="AN253" s="2">
        <f t="shared" ca="1" si="224"/>
        <v>13153.977273993269</v>
      </c>
      <c r="AO253" s="2">
        <f t="shared" ca="1" si="225"/>
        <v>13472.078060256839</v>
      </c>
      <c r="AP253" s="2">
        <f t="shared" ca="1" si="226"/>
        <v>2321058.3678286485</v>
      </c>
      <c r="AQ253" s="2">
        <f t="shared" ca="1" si="227"/>
        <v>829738.53217433253</v>
      </c>
      <c r="AR253" s="2">
        <f t="shared" ca="1" si="228"/>
        <v>899208.46521201392</v>
      </c>
      <c r="AS253" s="2">
        <f t="shared" ca="1" si="229"/>
        <v>935547.65279781376</v>
      </c>
      <c r="AT253" s="2">
        <f t="shared" ca="1" si="230"/>
        <v>972765.62585681595</v>
      </c>
      <c r="AU253" s="2">
        <f t="shared" ca="1" si="231"/>
        <v>1010883.6359347822</v>
      </c>
      <c r="AV253" s="2">
        <f t="shared" ca="1" si="232"/>
        <v>2361563.5146500226</v>
      </c>
      <c r="AW253" s="2">
        <f t="shared" ca="1" si="233"/>
        <v>2546745.5005520666</v>
      </c>
      <c r="AX253" s="2">
        <f t="shared" ca="1" si="234"/>
        <v>2649869.1628325619</v>
      </c>
      <c r="AY253" s="2">
        <f t="shared" ca="1" si="235"/>
        <v>2755486.6501646368</v>
      </c>
      <c r="AZ253" s="2">
        <f t="shared" ca="1" si="236"/>
        <v>2863658.2703695074</v>
      </c>
      <c r="BA253" s="2">
        <f t="shared" ca="1" si="237"/>
        <v>56621289.208043866</v>
      </c>
      <c r="BB253" s="2">
        <f t="shared" ca="1" si="238"/>
        <v>1132425.7841608773</v>
      </c>
      <c r="BC253" s="2">
        <f t="shared" ca="1" si="239"/>
        <v>29699326.003564671</v>
      </c>
      <c r="BD253" s="2">
        <f t="shared" ca="1" si="240"/>
        <v>-18767589.006058805</v>
      </c>
      <c r="BE253" s="2">
        <f t="shared" ca="1" si="241"/>
        <v>2361563.5146500226</v>
      </c>
      <c r="BF253" s="2">
        <f t="shared" ca="1" si="242"/>
        <v>2546745.5005520666</v>
      </c>
      <c r="BG253" s="2">
        <f t="shared" ca="1" si="243"/>
        <v>2649869.1628325619</v>
      </c>
      <c r="BH253" s="2">
        <f t="shared" ca="1" si="244"/>
        <v>2755486.6501646368</v>
      </c>
      <c r="BI253" s="2">
        <f t="shared" ca="1" si="245"/>
        <v>32562984.273934178</v>
      </c>
      <c r="BJ253" s="2">
        <f t="shared" ca="1" si="246"/>
        <v>0.21406836085900594</v>
      </c>
      <c r="BK253" s="2">
        <f t="shared" ca="1" si="247"/>
        <v>7485597.6567775346</v>
      </c>
    </row>
    <row r="254" spans="1:63" x14ac:dyDescent="0.3">
      <c r="A254" s="2">
        <v>253</v>
      </c>
      <c r="B254" s="2">
        <f t="shared" ca="1" si="186"/>
        <v>0.10652508785505987</v>
      </c>
      <c r="C254" s="2">
        <f t="shared" ca="1" si="187"/>
        <v>6.4615735864519541</v>
      </c>
      <c r="D254" s="2">
        <f t="shared" ca="1" si="188"/>
        <v>3.0081128055777784E-2</v>
      </c>
      <c r="E254" s="2">
        <f t="shared" ca="1" si="189"/>
        <v>6.7452799545652997</v>
      </c>
      <c r="F254" s="2">
        <f t="shared" ca="1" si="190"/>
        <v>0.98601799795009049</v>
      </c>
      <c r="G254" s="2">
        <f t="shared" ca="1" si="191"/>
        <v>0.10593372957855776</v>
      </c>
      <c r="H254" s="2">
        <f t="shared" ca="1" si="192"/>
        <v>0.10593372957855776</v>
      </c>
      <c r="I254" s="2">
        <f t="shared" ca="1" si="193"/>
        <v>0.44688785079417859</v>
      </c>
      <c r="J254" s="2">
        <f t="shared" ca="1" si="194"/>
        <v>9.332359240308976E-3</v>
      </c>
      <c r="K254" s="2">
        <f t="shared" ca="1" si="195"/>
        <v>9.332359240308976E-3</v>
      </c>
      <c r="L254" s="2">
        <f t="shared" ca="1" si="196"/>
        <v>0.72540258274871028</v>
      </c>
      <c r="M254" s="2">
        <f t="shared" ca="1" si="197"/>
        <v>1.1979341688412725E-2</v>
      </c>
      <c r="N254" s="2">
        <f t="shared" ca="1" si="198"/>
        <v>1.1979341688412725E-2</v>
      </c>
      <c r="O254" s="2">
        <f t="shared" si="199"/>
        <v>6000000</v>
      </c>
      <c r="P254" s="2">
        <f t="shared" ca="1" si="200"/>
        <v>38769441.518711723</v>
      </c>
      <c r="Q254" s="2">
        <f t="shared" ca="1" si="201"/>
        <v>969236.03796779318</v>
      </c>
      <c r="R254" s="2">
        <f t="shared" ca="1" si="202"/>
        <v>23261664.911227033</v>
      </c>
      <c r="S254" s="2">
        <f t="shared" ca="1" si="203"/>
        <v>15507776.607484691</v>
      </c>
      <c r="T254" s="2">
        <f t="shared" ca="1" si="204"/>
        <v>50598967.084420629</v>
      </c>
      <c r="U254" s="2">
        <f t="shared" ca="1" si="205"/>
        <v>55959104.380495995</v>
      </c>
      <c r="V254" s="2">
        <f t="shared" ca="1" si="206"/>
        <v>61887061.011397749</v>
      </c>
      <c r="W254" s="2">
        <f t="shared" ca="1" si="207"/>
        <v>68442988.196990862</v>
      </c>
      <c r="X254" s="2">
        <f t="shared" ca="1" si="208"/>
        <v>75693409.200199321</v>
      </c>
      <c r="Y254" s="2">
        <f t="shared" ca="1" si="209"/>
        <v>0.12466617962015449</v>
      </c>
      <c r="Z254" s="2">
        <f t="shared" ca="1" si="210"/>
        <v>0.12653265146821627</v>
      </c>
      <c r="AA254" s="2">
        <f t="shared" ca="1" si="211"/>
        <v>6307979.9191406667</v>
      </c>
      <c r="AB254" s="2">
        <f t="shared" ca="1" si="212"/>
        <v>7080653.8510508342</v>
      </c>
      <c r="AC254" s="2">
        <f t="shared" ca="1" si="213"/>
        <v>7830733.9213474272</v>
      </c>
      <c r="AD254" s="2">
        <f t="shared" ca="1" si="214"/>
        <v>8660272.7709730845</v>
      </c>
      <c r="AE254" s="2">
        <f t="shared" ca="1" si="215"/>
        <v>9577687.764769895</v>
      </c>
      <c r="AF254" s="2">
        <f t="shared" ca="1" si="216"/>
        <v>1011979.3416884126</v>
      </c>
      <c r="AG254" s="2">
        <f t="shared" ca="1" si="217"/>
        <v>1119182.08760992</v>
      </c>
      <c r="AH254" s="2">
        <f t="shared" ca="1" si="218"/>
        <v>1237741.2202279549</v>
      </c>
      <c r="AI254" s="2">
        <f t="shared" ca="1" si="219"/>
        <v>1368859.7639398172</v>
      </c>
      <c r="AJ254" s="2">
        <f t="shared" ca="1" si="220"/>
        <v>1513868.1840039864</v>
      </c>
      <c r="AK254" s="2">
        <f t="shared" ca="1" si="221"/>
        <v>0</v>
      </c>
      <c r="AL254" s="2">
        <f t="shared" ca="1" si="222"/>
        <v>53601.372960753666</v>
      </c>
      <c r="AM254" s="2">
        <f t="shared" ca="1" si="223"/>
        <v>59279.566309017537</v>
      </c>
      <c r="AN254" s="2">
        <f t="shared" ca="1" si="224"/>
        <v>65559.271855931132</v>
      </c>
      <c r="AO254" s="2">
        <f t="shared" ca="1" si="225"/>
        <v>72504.210032084593</v>
      </c>
      <c r="AP254" s="2">
        <f t="shared" ca="1" si="226"/>
        <v>2093549.8420104329</v>
      </c>
      <c r="AQ254" s="2">
        <f t="shared" ca="1" si="227"/>
        <v>832637.19121487369</v>
      </c>
      <c r="AR254" s="2">
        <f t="shared" ca="1" si="228"/>
        <v>1005659.6995719252</v>
      </c>
      <c r="AS254" s="2">
        <f t="shared" ca="1" si="229"/>
        <v>1169855.1433683503</v>
      </c>
      <c r="AT254" s="2">
        <f t="shared" ca="1" si="230"/>
        <v>1351444.4229059368</v>
      </c>
      <c r="AU254" s="2">
        <f t="shared" ca="1" si="231"/>
        <v>1552270.1320764238</v>
      </c>
      <c r="AV254" s="2">
        <f t="shared" ca="1" si="232"/>
        <v>2369813.5442269482</v>
      </c>
      <c r="AW254" s="2">
        <f t="shared" ca="1" si="233"/>
        <v>2808660.8488978026</v>
      </c>
      <c r="AX254" s="2">
        <f t="shared" ca="1" si="234"/>
        <v>3270308.1494316719</v>
      </c>
      <c r="AY254" s="2">
        <f t="shared" ca="1" si="235"/>
        <v>3780859.4702609666</v>
      </c>
      <c r="AZ254" s="2">
        <f t="shared" ca="1" si="236"/>
        <v>4345495.3966469672</v>
      </c>
      <c r="BA254" s="2">
        <f t="shared" ca="1" si="237"/>
        <v>64604185.290787704</v>
      </c>
      <c r="BB254" s="2">
        <f t="shared" ca="1" si="238"/>
        <v>1292083.7058157541</v>
      </c>
      <c r="BC254" s="2">
        <f t="shared" ca="1" si="239"/>
        <v>40050436.673744917</v>
      </c>
      <c r="BD254" s="2">
        <f t="shared" ca="1" si="240"/>
        <v>-16977012.645452484</v>
      </c>
      <c r="BE254" s="2">
        <f t="shared" ca="1" si="241"/>
        <v>2369813.5442269482</v>
      </c>
      <c r="BF254" s="2">
        <f t="shared" ca="1" si="242"/>
        <v>2808660.8488978026</v>
      </c>
      <c r="BG254" s="2">
        <f t="shared" ca="1" si="243"/>
        <v>3270308.1494316719</v>
      </c>
      <c r="BH254" s="2">
        <f t="shared" ca="1" si="244"/>
        <v>3780859.4702609666</v>
      </c>
      <c r="BI254" s="2">
        <f t="shared" ca="1" si="245"/>
        <v>44395932.070391886</v>
      </c>
      <c r="BJ254" s="2">
        <f t="shared" ca="1" si="246"/>
        <v>0.32335520495936709</v>
      </c>
      <c r="BK254" s="2">
        <f t="shared" ca="1" si="247"/>
        <v>17299928.96929536</v>
      </c>
    </row>
    <row r="255" spans="1:63" x14ac:dyDescent="0.3">
      <c r="A255" s="2">
        <v>254</v>
      </c>
      <c r="B255" s="2">
        <f t="shared" ca="1" si="186"/>
        <v>0.99537509227799426</v>
      </c>
      <c r="C255" s="2">
        <f t="shared" ca="1" si="187"/>
        <v>7.9038240391573265</v>
      </c>
      <c r="D255" s="2">
        <f t="shared" ca="1" si="188"/>
        <v>0.2168886383303763</v>
      </c>
      <c r="E255" s="2">
        <f t="shared" ca="1" si="189"/>
        <v>7.1586177014480805</v>
      </c>
      <c r="F255" s="2">
        <f t="shared" ca="1" si="190"/>
        <v>0.68965633806033577</v>
      </c>
      <c r="G255" s="2">
        <f t="shared" ca="1" si="191"/>
        <v>5.4846293980594624E-2</v>
      </c>
      <c r="H255" s="2">
        <f t="shared" ca="1" si="192"/>
        <v>5.4846293980594624E-2</v>
      </c>
      <c r="I255" s="2">
        <f t="shared" ca="1" si="193"/>
        <v>0.16641364012423276</v>
      </c>
      <c r="J255" s="2">
        <f t="shared" ca="1" si="194"/>
        <v>5.1578261366517974E-3</v>
      </c>
      <c r="K255" s="2">
        <f t="shared" ca="1" si="195"/>
        <v>5.1578261366517974E-3</v>
      </c>
      <c r="L255" s="2">
        <f t="shared" ca="1" si="196"/>
        <v>0.97752374207028869</v>
      </c>
      <c r="M255" s="2">
        <f t="shared" ca="1" si="197"/>
        <v>4.0101970366759637E-2</v>
      </c>
      <c r="N255" s="2">
        <f t="shared" ca="1" si="198"/>
        <v>4.0101970366759637E-2</v>
      </c>
      <c r="O255" s="2">
        <f t="shared" si="199"/>
        <v>6000000</v>
      </c>
      <c r="P255" s="2">
        <f t="shared" ca="1" si="200"/>
        <v>47422944.234943956</v>
      </c>
      <c r="Q255" s="2">
        <f t="shared" ca="1" si="201"/>
        <v>1185573.6058735989</v>
      </c>
      <c r="R255" s="2">
        <f t="shared" ca="1" si="202"/>
        <v>28453766.540966373</v>
      </c>
      <c r="S255" s="2">
        <f t="shared" ca="1" si="203"/>
        <v>18969177.693977583</v>
      </c>
      <c r="T255" s="2">
        <f t="shared" ca="1" si="204"/>
        <v>52005098.51833798</v>
      </c>
      <c r="U255" s="2">
        <f t="shared" ca="1" si="205"/>
        <v>54857385.440164536</v>
      </c>
      <c r="V255" s="2">
        <f t="shared" ca="1" si="206"/>
        <v>57866109.7290226</v>
      </c>
      <c r="W255" s="2">
        <f t="shared" ca="1" si="207"/>
        <v>61039851.394733928</v>
      </c>
      <c r="X255" s="2">
        <f t="shared" ca="1" si="208"/>
        <v>64387661.028861322</v>
      </c>
      <c r="Y255" s="2">
        <f t="shared" ca="1" si="209"/>
        <v>0.1225789130683259</v>
      </c>
      <c r="Z255" s="2">
        <f t="shared" ca="1" si="210"/>
        <v>0.12361047829565626</v>
      </c>
      <c r="AA255" s="2">
        <f t="shared" ca="1" si="211"/>
        <v>6374728.4503890751</v>
      </c>
      <c r="AB255" s="2">
        <f t="shared" ca="1" si="212"/>
        <v>6780947.6523079081</v>
      </c>
      <c r="AC255" s="2">
        <f t="shared" ca="1" si="213"/>
        <v>7152857.5007134117</v>
      </c>
      <c r="AD255" s="2">
        <f t="shared" ca="1" si="214"/>
        <v>7545165.2259988412</v>
      </c>
      <c r="AE255" s="2">
        <f t="shared" ca="1" si="215"/>
        <v>7958989.5761161344</v>
      </c>
      <c r="AF255" s="2">
        <f t="shared" ca="1" si="216"/>
        <v>1040101.9703667596</v>
      </c>
      <c r="AG255" s="2">
        <f t="shared" ca="1" si="217"/>
        <v>1097147.7088032907</v>
      </c>
      <c r="AH255" s="2">
        <f t="shared" ca="1" si="218"/>
        <v>1157322.1945804521</v>
      </c>
      <c r="AI255" s="2">
        <f t="shared" ca="1" si="219"/>
        <v>1220797.0278946785</v>
      </c>
      <c r="AJ255" s="2">
        <f t="shared" ca="1" si="220"/>
        <v>1287753.2205772265</v>
      </c>
      <c r="AK255" s="2">
        <f t="shared" ca="1" si="221"/>
        <v>0</v>
      </c>
      <c r="AL255" s="2">
        <f t="shared" ca="1" si="222"/>
        <v>28522.869218265565</v>
      </c>
      <c r="AM255" s="2">
        <f t="shared" ca="1" si="223"/>
        <v>30087.242888580637</v>
      </c>
      <c r="AN255" s="2">
        <f t="shared" ca="1" si="224"/>
        <v>31737.416657113285</v>
      </c>
      <c r="AO255" s="2">
        <f t="shared" ca="1" si="225"/>
        <v>33478.096341273937</v>
      </c>
      <c r="AP255" s="2">
        <f t="shared" ca="1" si="226"/>
        <v>2560838.9886869737</v>
      </c>
      <c r="AQ255" s="2">
        <f t="shared" ca="1" si="227"/>
        <v>721184.74774718902</v>
      </c>
      <c r="AR255" s="2">
        <f t="shared" ca="1" si="228"/>
        <v>811969.84825258749</v>
      </c>
      <c r="AS255" s="2">
        <f t="shared" ca="1" si="229"/>
        <v>893021.04253595625</v>
      </c>
      <c r="AT255" s="2">
        <f t="shared" ca="1" si="230"/>
        <v>978517.59444846923</v>
      </c>
      <c r="AU255" s="2">
        <f t="shared" ca="1" si="231"/>
        <v>1068703.315381503</v>
      </c>
      <c r="AV255" s="2">
        <f t="shared" ca="1" si="232"/>
        <v>2052602.7435881528</v>
      </c>
      <c r="AW255" s="2">
        <f t="shared" ca="1" si="233"/>
        <v>2282468.2373467903</v>
      </c>
      <c r="AX255" s="2">
        <f t="shared" ca="1" si="234"/>
        <v>2511588.0320214485</v>
      </c>
      <c r="AY255" s="2">
        <f t="shared" ca="1" si="235"/>
        <v>2753274.198311606</v>
      </c>
      <c r="AZ255" s="2">
        <f t="shared" ca="1" si="236"/>
        <v>3008215.9551291582</v>
      </c>
      <c r="BA255" s="2">
        <f t="shared" ca="1" si="237"/>
        <v>56975363.665225714</v>
      </c>
      <c r="BB255" s="2">
        <f t="shared" ca="1" si="238"/>
        <v>1139507.2733045144</v>
      </c>
      <c r="BC255" s="2">
        <f t="shared" ca="1" si="239"/>
        <v>27382089.850954827</v>
      </c>
      <c r="BD255" s="2">
        <f t="shared" ca="1" si="240"/>
        <v>-20654751.299851183</v>
      </c>
      <c r="BE255" s="2">
        <f t="shared" ca="1" si="241"/>
        <v>2052602.7435881528</v>
      </c>
      <c r="BF255" s="2">
        <f t="shared" ca="1" si="242"/>
        <v>2282468.2373467903</v>
      </c>
      <c r="BG255" s="2">
        <f t="shared" ca="1" si="243"/>
        <v>2511588.0320214485</v>
      </c>
      <c r="BH255" s="2">
        <f t="shared" ca="1" si="244"/>
        <v>2753274.198311606</v>
      </c>
      <c r="BI255" s="2">
        <f t="shared" ca="1" si="245"/>
        <v>30390305.806083985</v>
      </c>
      <c r="BJ255" s="2">
        <f t="shared" ca="1" si="246"/>
        <v>0.16544864142672178</v>
      </c>
      <c r="BK255" s="2">
        <f t="shared" ca="1" si="247"/>
        <v>3779229.3732701354</v>
      </c>
    </row>
    <row r="256" spans="1:63" x14ac:dyDescent="0.3">
      <c r="A256" s="2">
        <v>255</v>
      </c>
      <c r="B256" s="2">
        <f t="shared" ca="1" si="186"/>
        <v>0.98263409405717694</v>
      </c>
      <c r="C256" s="2">
        <f t="shared" ca="1" si="187"/>
        <v>7.8136352718842801</v>
      </c>
      <c r="D256" s="2">
        <f t="shared" ca="1" si="188"/>
        <v>0.96438281806382498</v>
      </c>
      <c r="E256" s="2">
        <f t="shared" ca="1" si="189"/>
        <v>8.2331023344569125</v>
      </c>
      <c r="F256" s="2">
        <f t="shared" ca="1" si="190"/>
        <v>0.93841431790356034</v>
      </c>
      <c r="G256" s="2">
        <f t="shared" ca="1" si="191"/>
        <v>8.6247933545427591E-2</v>
      </c>
      <c r="H256" s="2">
        <f t="shared" ca="1" si="192"/>
        <v>8.6247933545427591E-2</v>
      </c>
      <c r="I256" s="2">
        <f t="shared" ca="1" si="193"/>
        <v>0.55801415044796998</v>
      </c>
      <c r="J256" s="2">
        <f t="shared" ca="1" si="194"/>
        <v>1.0729681347893909E-2</v>
      </c>
      <c r="K256" s="2">
        <f t="shared" ca="1" si="195"/>
        <v>1.0729681347893909E-2</v>
      </c>
      <c r="L256" s="2">
        <f t="shared" ca="1" si="196"/>
        <v>9.1595525197002425E-2</v>
      </c>
      <c r="M256" s="2">
        <f t="shared" ca="1" si="197"/>
        <v>-2.6619876036601393E-2</v>
      </c>
      <c r="N256" s="2">
        <f t="shared" ca="1" si="198"/>
        <v>-2.6619876036601393E-2</v>
      </c>
      <c r="O256" s="2">
        <f t="shared" si="199"/>
        <v>6000000</v>
      </c>
      <c r="P256" s="2">
        <f t="shared" ca="1" si="200"/>
        <v>46881811.63130568</v>
      </c>
      <c r="Q256" s="2">
        <f t="shared" ca="1" si="201"/>
        <v>1172045.2907826421</v>
      </c>
      <c r="R256" s="2">
        <f t="shared" ca="1" si="202"/>
        <v>28129086.978783406</v>
      </c>
      <c r="S256" s="2">
        <f t="shared" ca="1" si="203"/>
        <v>18752724.652522273</v>
      </c>
      <c r="T256" s="2">
        <f t="shared" ca="1" si="204"/>
        <v>48669006.198169932</v>
      </c>
      <c r="U256" s="2">
        <f t="shared" ca="1" si="205"/>
        <v>52866607.410471693</v>
      </c>
      <c r="V256" s="2">
        <f t="shared" ca="1" si="206"/>
        <v>57426243.053182267</v>
      </c>
      <c r="W256" s="2">
        <f t="shared" ca="1" si="207"/>
        <v>62379137.847796701</v>
      </c>
      <c r="X256" s="2">
        <f t="shared" ca="1" si="208"/>
        <v>67759209.583514541</v>
      </c>
      <c r="Y256" s="2">
        <f t="shared" ca="1" si="209"/>
        <v>0.12536484067394696</v>
      </c>
      <c r="Z256" s="2">
        <f t="shared" ca="1" si="210"/>
        <v>0.12751077694352572</v>
      </c>
      <c r="AA256" s="2">
        <f t="shared" ca="1" si="211"/>
        <v>6101382.2077929107</v>
      </c>
      <c r="AB256" s="2">
        <f t="shared" ca="1" si="212"/>
        <v>6741062.1852775998</v>
      </c>
      <c r="AC256" s="2">
        <f t="shared" ca="1" si="213"/>
        <v>7322464.8686590176</v>
      </c>
      <c r="AD256" s="2">
        <f t="shared" ca="1" si="214"/>
        <v>7954012.332039848</v>
      </c>
      <c r="AE256" s="2">
        <f t="shared" ca="1" si="215"/>
        <v>8640029.4590731338</v>
      </c>
      <c r="AF256" s="2">
        <f t="shared" ca="1" si="216"/>
        <v>973380.12396339863</v>
      </c>
      <c r="AG256" s="2">
        <f t="shared" ca="1" si="217"/>
        <v>1057332.1482094338</v>
      </c>
      <c r="AH256" s="2">
        <f t="shared" ca="1" si="218"/>
        <v>1148524.8610636455</v>
      </c>
      <c r="AI256" s="2">
        <f t="shared" ca="1" si="219"/>
        <v>1247582.756955934</v>
      </c>
      <c r="AJ256" s="2">
        <f t="shared" ca="1" si="220"/>
        <v>1355184.1916702909</v>
      </c>
      <c r="AK256" s="2">
        <f t="shared" ca="1" si="221"/>
        <v>0</v>
      </c>
      <c r="AL256" s="2">
        <f t="shared" ca="1" si="222"/>
        <v>41976.012123017608</v>
      </c>
      <c r="AM256" s="2">
        <f t="shared" ca="1" si="223"/>
        <v>45596.35642710574</v>
      </c>
      <c r="AN256" s="2">
        <f t="shared" ca="1" si="224"/>
        <v>49528.947946144341</v>
      </c>
      <c r="AO256" s="2">
        <f t="shared" ca="1" si="225"/>
        <v>53800.717357178408</v>
      </c>
      <c r="AP256" s="2">
        <f t="shared" ca="1" si="226"/>
        <v>2531617.8280905066</v>
      </c>
      <c r="AQ256" s="2">
        <f t="shared" ca="1" si="227"/>
        <v>675059.90649214142</v>
      </c>
      <c r="AR256" s="2">
        <f t="shared" ca="1" si="228"/>
        <v>819549.17433419148</v>
      </c>
      <c r="AS256" s="2">
        <f t="shared" ca="1" si="229"/>
        <v>947003.76667126513</v>
      </c>
      <c r="AT256" s="2">
        <f t="shared" ca="1" si="230"/>
        <v>1085451.0542182859</v>
      </c>
      <c r="AU256" s="2">
        <f t="shared" ca="1" si="231"/>
        <v>1235839.1342212074</v>
      </c>
      <c r="AV256" s="2">
        <f t="shared" ca="1" si="232"/>
        <v>1921324.3492468642</v>
      </c>
      <c r="AW256" s="2">
        <f t="shared" ca="1" si="233"/>
        <v>2290587.0225204499</v>
      </c>
      <c r="AX256" s="2">
        <f t="shared" ca="1" si="234"/>
        <v>2649722.0564064942</v>
      </c>
      <c r="AY256" s="2">
        <f t="shared" ca="1" si="235"/>
        <v>3039831.7448289776</v>
      </c>
      <c r="AZ256" s="2">
        <f t="shared" ca="1" si="236"/>
        <v>3463587.5877339505</v>
      </c>
      <c r="BA256" s="2">
        <f t="shared" ca="1" si="237"/>
        <v>71134246.709271505</v>
      </c>
      <c r="BB256" s="2">
        <f t="shared" ca="1" si="238"/>
        <v>1422684.9341854302</v>
      </c>
      <c r="BC256" s="2">
        <f t="shared" ca="1" si="239"/>
        <v>41582474.796302669</v>
      </c>
      <c r="BD256" s="2">
        <f t="shared" ca="1" si="240"/>
        <v>-20424769.943304915</v>
      </c>
      <c r="BE256" s="2">
        <f t="shared" ca="1" si="241"/>
        <v>1921324.3492468642</v>
      </c>
      <c r="BF256" s="2">
        <f t="shared" ca="1" si="242"/>
        <v>2290587.0225204499</v>
      </c>
      <c r="BG256" s="2">
        <f t="shared" ca="1" si="243"/>
        <v>2649722.0564064942</v>
      </c>
      <c r="BH256" s="2">
        <f t="shared" ca="1" si="244"/>
        <v>3039831.7448289776</v>
      </c>
      <c r="BI256" s="2">
        <f t="shared" ca="1" si="245"/>
        <v>45046062.384036615</v>
      </c>
      <c r="BJ256" s="2">
        <f t="shared" ca="1" si="246"/>
        <v>0.2491532245484589</v>
      </c>
      <c r="BK256" s="2">
        <f t="shared" ca="1" si="247"/>
        <v>12494973.568187773</v>
      </c>
    </row>
    <row r="257" spans="1:63" x14ac:dyDescent="0.3">
      <c r="A257" s="2">
        <v>256</v>
      </c>
      <c r="B257" s="2">
        <f t="shared" ca="1" si="186"/>
        <v>0.57754791458506483</v>
      </c>
      <c r="C257" s="2">
        <f t="shared" ca="1" si="187"/>
        <v>7.0808133101323376</v>
      </c>
      <c r="D257" s="2">
        <f t="shared" ca="1" si="188"/>
        <v>0.95809583193900594</v>
      </c>
      <c r="E257" s="2">
        <f t="shared" ca="1" si="189"/>
        <v>8.2105033055076646</v>
      </c>
      <c r="F257" s="2">
        <f t="shared" ca="1" si="190"/>
        <v>0.19227355104396082</v>
      </c>
      <c r="G257" s="2">
        <f t="shared" ca="1" si="191"/>
        <v>1.3913540044911275E-2</v>
      </c>
      <c r="H257" s="2">
        <f t="shared" ca="1" si="192"/>
        <v>1.3913540044911275E-2</v>
      </c>
      <c r="I257" s="2">
        <f t="shared" ca="1" si="193"/>
        <v>0.50247210932753084</v>
      </c>
      <c r="J257" s="2">
        <f t="shared" ca="1" si="194"/>
        <v>1.0030983493980287E-2</v>
      </c>
      <c r="K257" s="2">
        <f t="shared" ca="1" si="195"/>
        <v>1.0030983493980287E-2</v>
      </c>
      <c r="L257" s="2">
        <f t="shared" ca="1" si="196"/>
        <v>0.90625890813440746</v>
      </c>
      <c r="M257" s="2">
        <f t="shared" ca="1" si="197"/>
        <v>2.6361282431804602E-2</v>
      </c>
      <c r="N257" s="2">
        <f t="shared" ca="1" si="198"/>
        <v>2.6361282431804602E-2</v>
      </c>
      <c r="O257" s="2">
        <f t="shared" si="199"/>
        <v>6000000</v>
      </c>
      <c r="P257" s="2">
        <f t="shared" ca="1" si="200"/>
        <v>42484879.860794023</v>
      </c>
      <c r="Q257" s="2">
        <f t="shared" ca="1" si="201"/>
        <v>1062121.9965198506</v>
      </c>
      <c r="R257" s="2">
        <f t="shared" ca="1" si="202"/>
        <v>25490927.916476414</v>
      </c>
      <c r="S257" s="2">
        <f t="shared" ca="1" si="203"/>
        <v>16993951.944317609</v>
      </c>
      <c r="T257" s="2">
        <f t="shared" ca="1" si="204"/>
        <v>51318064.121590234</v>
      </c>
      <c r="U257" s="2">
        <f t="shared" ca="1" si="205"/>
        <v>52032080.061773308</v>
      </c>
      <c r="V257" s="2">
        <f t="shared" ca="1" si="206"/>
        <v>52756030.491332822</v>
      </c>
      <c r="W257" s="2">
        <f t="shared" ca="1" si="207"/>
        <v>53490053.634184539</v>
      </c>
      <c r="X257" s="2">
        <f t="shared" ca="1" si="208"/>
        <v>54234289.637428217</v>
      </c>
      <c r="Y257" s="2">
        <f t="shared" ca="1" si="209"/>
        <v>0.12501549174699014</v>
      </c>
      <c r="Z257" s="2">
        <f t="shared" ca="1" si="210"/>
        <v>0.12702168844578621</v>
      </c>
      <c r="AA257" s="2">
        <f t="shared" ca="1" si="211"/>
        <v>6415553.0216641752</v>
      </c>
      <c r="AB257" s="2">
        <f t="shared" ca="1" si="212"/>
        <v>6609202.662792773</v>
      </c>
      <c r="AC257" s="2">
        <f t="shared" ca="1" si="213"/>
        <v>6701160.0687064752</v>
      </c>
      <c r="AD257" s="2">
        <f t="shared" ca="1" si="214"/>
        <v>6794396.9276697831</v>
      </c>
      <c r="AE257" s="2">
        <f t="shared" ca="1" si="215"/>
        <v>6888931.0414039381</v>
      </c>
      <c r="AF257" s="2">
        <f t="shared" ca="1" si="216"/>
        <v>1026361.2824318047</v>
      </c>
      <c r="AG257" s="2">
        <f t="shared" ca="1" si="217"/>
        <v>1040641.6012354662</v>
      </c>
      <c r="AH257" s="2">
        <f t="shared" ca="1" si="218"/>
        <v>1055120.6098266565</v>
      </c>
      <c r="AI257" s="2">
        <f t="shared" ca="1" si="219"/>
        <v>1069801.0726836908</v>
      </c>
      <c r="AJ257" s="2">
        <f t="shared" ca="1" si="220"/>
        <v>1084685.7927485644</v>
      </c>
      <c r="AK257" s="2">
        <f t="shared" ca="1" si="221"/>
        <v>0</v>
      </c>
      <c r="AL257" s="2">
        <f t="shared" ca="1" si="222"/>
        <v>7140.1594018307333</v>
      </c>
      <c r="AM257" s="2">
        <f t="shared" ca="1" si="223"/>
        <v>7239.5042955951394</v>
      </c>
      <c r="AN257" s="2">
        <f t="shared" ca="1" si="224"/>
        <v>7340.2314285171778</v>
      </c>
      <c r="AO257" s="2">
        <f t="shared" ca="1" si="225"/>
        <v>7442.3600324367735</v>
      </c>
      <c r="AP257" s="2">
        <f t="shared" ca="1" si="226"/>
        <v>2294183.5124828774</v>
      </c>
      <c r="AQ257" s="2">
        <f t="shared" ca="1" si="227"/>
        <v>804702.13895486831</v>
      </c>
      <c r="AR257" s="2">
        <f t="shared" ca="1" si="228"/>
        <v>851338.16275935166</v>
      </c>
      <c r="AS257" s="2">
        <f t="shared" ca="1" si="229"/>
        <v>871482.54606320488</v>
      </c>
      <c r="AT257" s="2">
        <f t="shared" ca="1" si="230"/>
        <v>891907.20905083581</v>
      </c>
      <c r="AU257" s="2">
        <f t="shared" ca="1" si="231"/>
        <v>912616.05140484893</v>
      </c>
      <c r="AV257" s="2">
        <f t="shared" ca="1" si="232"/>
        <v>2290306.0877946247</v>
      </c>
      <c r="AW257" s="2">
        <f t="shared" ca="1" si="233"/>
        <v>2415899.2269132477</v>
      </c>
      <c r="AX257" s="2">
        <f t="shared" ca="1" si="234"/>
        <v>2473133.8960381416</v>
      </c>
      <c r="AY257" s="2">
        <f t="shared" ca="1" si="235"/>
        <v>2531164.9020238617</v>
      </c>
      <c r="AZ257" s="2">
        <f t="shared" ca="1" si="236"/>
        <v>2590003.3247352107</v>
      </c>
      <c r="BA257" s="2">
        <f t="shared" ca="1" si="237"/>
        <v>56561591.086861394</v>
      </c>
      <c r="BB257" s="2">
        <f t="shared" ca="1" si="238"/>
        <v>1131231.821737228</v>
      </c>
      <c r="BC257" s="2">
        <f t="shared" ca="1" si="239"/>
        <v>29939431.348647751</v>
      </c>
      <c r="BD257" s="2">
        <f t="shared" ca="1" si="240"/>
        <v>-18556073.940837458</v>
      </c>
      <c r="BE257" s="2">
        <f t="shared" ca="1" si="241"/>
        <v>2290306.0877946247</v>
      </c>
      <c r="BF257" s="2">
        <f t="shared" ca="1" si="242"/>
        <v>2415899.2269132477</v>
      </c>
      <c r="BG257" s="2">
        <f t="shared" ca="1" si="243"/>
        <v>2473133.8960381416</v>
      </c>
      <c r="BH257" s="2">
        <f t="shared" ca="1" si="244"/>
        <v>2531164.9020238617</v>
      </c>
      <c r="BI257" s="2">
        <f t="shared" ca="1" si="245"/>
        <v>32529434.67338296</v>
      </c>
      <c r="BJ257" s="2">
        <f t="shared" ca="1" si="246"/>
        <v>0.21166301850382219</v>
      </c>
      <c r="BK257" s="2">
        <f t="shared" ca="1" si="247"/>
        <v>7241786.0285336562</v>
      </c>
    </row>
    <row r="258" spans="1:63" x14ac:dyDescent="0.3">
      <c r="A258" s="2">
        <v>257</v>
      </c>
      <c r="B258" s="2">
        <f t="shared" ref="B258:B321" ca="1" si="248">RAND()</f>
        <v>0.63822583999756699</v>
      </c>
      <c r="C258" s="2">
        <f t="shared" ref="C258:C321" ca="1" si="249">IF(B258&lt;((P_Mode)-(P_Low))/((P_High)-(P_Low)), (P_Low)+SQRT(B258*((P_High)-(P_Low))*((P_Mode)-(P_Low))), (P_High)-SQRT((1-B258)*((P_High)-(P_Low))*((P_High)-(P_Mode))))</f>
        <v>7.1493835646985966</v>
      </c>
      <c r="D258" s="2">
        <f t="shared" ref="D258:D321" ca="1" si="250">RAND()</f>
        <v>0.45803243222309897</v>
      </c>
      <c r="E258" s="2">
        <f t="shared" ref="E258:E321" ca="1" si="251">IF(D258&lt;((X_Mode)-(X_Low))/((X_High)-(X_Low)), (X_Low)+SQRT(D258*((X_High)-(X_Low))*((X_Mode)-(X_Low))), (X_High)-SQRT((1-D258)*((X_High)-(X_Low))*((X_High)-(X_Mode))))</f>
        <v>7.4571127751974675</v>
      </c>
      <c r="F258" s="2">
        <f t="shared" ref="F258:F321" ca="1" si="252">RAND()</f>
        <v>9.0265574545719818E-2</v>
      </c>
      <c r="G258" s="2">
        <f t="shared" ref="G258:G321" ca="1" si="253">NORMINV(F258, g_Mean, g_SD)</f>
        <v>-1.7364253053421541E-4</v>
      </c>
      <c r="H258" s="2">
        <f t="shared" ref="H258:H321" ca="1" si="254">MIN(MAX(G258, g_Min), g_Max)</f>
        <v>-1.7364253053421541E-4</v>
      </c>
      <c r="I258" s="2">
        <f t="shared" ref="I258:I321" ca="1" si="255">RAND()</f>
        <v>0.6273094760873632</v>
      </c>
      <c r="J258" s="2">
        <f t="shared" ref="J258:J321" ca="1" si="256">NORMINV(I258, syn_Mean, syn_SD)</f>
        <v>1.1623678930572014E-2</v>
      </c>
      <c r="K258" s="2">
        <f t="shared" ref="K258:K321" ca="1" si="257">MIN(MAX(J258, syn_Min), syn_Max)</f>
        <v>1.1623678930572014E-2</v>
      </c>
      <c r="L258" s="2">
        <f t="shared" ref="L258:L321" ca="1" si="258">RAND()</f>
        <v>0.52457559953549371</v>
      </c>
      <c r="M258" s="2">
        <f t="shared" ref="M258:M321" ca="1" si="259">NORMINV(L258, shk_Mean, shk_SD)</f>
        <v>1.2328181113513922E-3</v>
      </c>
      <c r="N258" s="2">
        <f t="shared" ref="N258:N321" ca="1" si="260">MIN(MAX(M258, shk_Min), shk_Max)</f>
        <v>1.2328181113513922E-3</v>
      </c>
      <c r="O258" s="2">
        <f t="shared" ref="O258:O321" si="261">BaseRev*BaseMargin</f>
        <v>6000000</v>
      </c>
      <c r="P258" s="2">
        <f t="shared" ref="P258:P321" ca="1" si="262">O258*C258</f>
        <v>42896301.388191581</v>
      </c>
      <c r="Q258" s="2">
        <f t="shared" ref="Q258:Q321" ca="1" si="263">P258*TxnCostPct</f>
        <v>1072407.5347047895</v>
      </c>
      <c r="R258" s="2">
        <f t="shared" ref="R258:R321" ca="1" si="264">P258*DebtPct</f>
        <v>25737780.832914948</v>
      </c>
      <c r="S258" s="2">
        <f t="shared" ref="S258:S321" ca="1" si="265">P258*EqPct</f>
        <v>17158520.555276632</v>
      </c>
      <c r="T258" s="2">
        <f t="shared" ref="T258:T321" ca="1" si="266">BaseRev*(1+N258)</f>
        <v>50061640.905567572</v>
      </c>
      <c r="U258" s="2">
        <f t="shared" ref="U258:U321" ca="1" si="267">T258*(1+H258)</f>
        <v>50052948.075558037</v>
      </c>
      <c r="V258" s="2">
        <f t="shared" ref="V258:V321" ca="1" si="268">U258*(1+H258)</f>
        <v>50044256.754993498</v>
      </c>
      <c r="W258" s="2">
        <f t="shared" ref="W258:W321" ca="1" si="269">V258*(1+H258)</f>
        <v>50035566.94361186</v>
      </c>
      <c r="X258" s="2">
        <f t="shared" ref="X258:X321" ca="1" si="270">W258*(1+H258)</f>
        <v>50026878.641151056</v>
      </c>
      <c r="Y258" s="2">
        <f t="shared" ref="Y258:Y321" ca="1" si="271">BaseMargin + SynReal_Y1*K258</f>
        <v>0.12581183946528601</v>
      </c>
      <c r="Z258" s="2">
        <f t="shared" ref="Z258:Z321" ca="1" si="272">BaseMargin + SynReal_Y2toY5*K258</f>
        <v>0.1281365752514004</v>
      </c>
      <c r="AA258" s="2">
        <f t="shared" ref="AA258:AA321" ca="1" si="273">T258*Y258</f>
        <v>6298347.1289800629</v>
      </c>
      <c r="AB258" s="2">
        <f t="shared" ref="AB258:AB321" ca="1" si="274">U258*Z258</f>
        <v>6413613.3476381795</v>
      </c>
      <c r="AC258" s="2">
        <f t="shared" ref="AC258:AC321" ca="1" si="275">V258*Z258</f>
        <v>6412499.6715866271</v>
      </c>
      <c r="AD258" s="2">
        <f t="shared" ref="AD258:AD321" ca="1" si="276">W258*Z258</f>
        <v>6411386.188916604</v>
      </c>
      <c r="AE258" s="2">
        <f t="shared" ref="AE258:AE321" ca="1" si="277">X258*Z258</f>
        <v>6410272.8995945277</v>
      </c>
      <c r="AF258" s="2">
        <f t="shared" ref="AF258:AF321" ca="1" si="278">T258*CapexPct</f>
        <v>1001232.8181113515</v>
      </c>
      <c r="AG258" s="2">
        <f t="shared" ref="AG258:AG321" ca="1" si="279">U258*CapexPct</f>
        <v>1001058.9615111607</v>
      </c>
      <c r="AH258" s="2">
        <f t="shared" ref="AH258:AH321" ca="1" si="280">V258*CapexPct</f>
        <v>1000885.13509987</v>
      </c>
      <c r="AI258" s="2">
        <f t="shared" ref="AI258:AI321" ca="1" si="281">W258*CapexPct</f>
        <v>1000711.3388722372</v>
      </c>
      <c r="AJ258" s="2">
        <f t="shared" ref="AJ258:AJ321" ca="1" si="282">X258*CapexPct</f>
        <v>1000537.5728230211</v>
      </c>
      <c r="AK258" s="2">
        <f t="shared" ref="AK258:AK321" ca="1" si="283">MAX(T258-BaseRev*(1+N258),0)*WCPct</f>
        <v>0</v>
      </c>
      <c r="AL258" s="2">
        <f t="shared" ref="AL258:AL321" ca="1" si="284">MAX(U258-T258,0)*WCPct</f>
        <v>0</v>
      </c>
      <c r="AM258" s="2">
        <f t="shared" ref="AM258:AM321" ca="1" si="285">MAX(V258-U258,0)*WCPct</f>
        <v>0</v>
      </c>
      <c r="AN258" s="2">
        <f t="shared" ref="AN258:AN321" ca="1" si="286">MAX(W258-V258,0)*WCPct</f>
        <v>0</v>
      </c>
      <c r="AO258" s="2">
        <f t="shared" ref="AO258:AO321" ca="1" si="287">MAX(X258-W258,0)*WCPct</f>
        <v>0</v>
      </c>
      <c r="AP258" s="2">
        <f t="shared" ref="AP258:AP321" ca="1" si="288">R258*DebtRate</f>
        <v>2316400.2749623451</v>
      </c>
      <c r="AQ258" s="2">
        <f t="shared" ref="AQ258:AQ321" ca="1" si="289">MAX(AA258-AF258-AP258,0)*Tax</f>
        <v>774985.64933565515</v>
      </c>
      <c r="AR258" s="2">
        <f t="shared" ref="AR258:AR321" ca="1" si="290">MAX(AB258-AG258-AP258,0)*Tax</f>
        <v>805000.06890281534</v>
      </c>
      <c r="AS258" s="2">
        <f t="shared" ref="AS258:AS321" ca="1" si="291">MAX(AC258-AH258-AP258,0)*Tax</f>
        <v>804755.7079963471</v>
      </c>
      <c r="AT258" s="2">
        <f t="shared" ref="AT258:AT321" ca="1" si="292">MAX(AD258-AI258-AP258,0)*Tax</f>
        <v>804511.38952132571</v>
      </c>
      <c r="AU258" s="2">
        <f t="shared" ref="AU258:AU321" ca="1" si="293">MAX(AE258-AJ258-AP258,0)*Tax</f>
        <v>804267.11347038217</v>
      </c>
      <c r="AV258" s="2">
        <f t="shared" ref="AV258:AV321" ca="1" si="294">AA258-AF258-AK258-AQ258-AP258</f>
        <v>2205728.3865707107</v>
      </c>
      <c r="AW258" s="2">
        <f t="shared" ref="AW258:AW321" ca="1" si="295">AB258-AG258-AL258-AR258-AP258</f>
        <v>2291154.0422618585</v>
      </c>
      <c r="AX258" s="2">
        <f t="shared" ref="AX258:AX321" ca="1" si="296">AC258-AH258-AM258-AS258-AP258</f>
        <v>2290458.5535280649</v>
      </c>
      <c r="AY258" s="2">
        <f t="shared" ref="AY258:AY321" ca="1" si="297">AD258-AI258-AN258-AT258-AP258</f>
        <v>2289763.1855606958</v>
      </c>
      <c r="AZ258" s="2">
        <f t="shared" ref="AZ258:AZ321" ca="1" si="298">AE258-AJ258-AO258-AU258-AP258</f>
        <v>2289067.9383387798</v>
      </c>
      <c r="BA258" s="2">
        <f t="shared" ref="BA258:BA321" ca="1" si="299">AE258*E258</f>
        <v>47802127.932068467</v>
      </c>
      <c r="BB258" s="2">
        <f t="shared" ref="BB258:BB321" ca="1" si="300">BA258*SellCostPct</f>
        <v>956042.55864136934</v>
      </c>
      <c r="BC258" s="2">
        <f t="shared" ref="BC258:BC321" ca="1" si="301">BA258-R258-BB258</f>
        <v>21108304.540512148</v>
      </c>
      <c r="BD258" s="2">
        <f t="shared" ref="BD258:BD321" ca="1" si="302">-S258-Q258-IntegrationPct*BaseRev</f>
        <v>-18730928.089981422</v>
      </c>
      <c r="BE258" s="2">
        <f t="shared" ref="BE258:BE321" ca="1" si="303">AV258</f>
        <v>2205728.3865707107</v>
      </c>
      <c r="BF258" s="2">
        <f t="shared" ref="BF258:BF321" ca="1" si="304">AW258</f>
        <v>2291154.0422618585</v>
      </c>
      <c r="BG258" s="2">
        <f t="shared" ref="BG258:BG321" ca="1" si="305">AX258</f>
        <v>2290458.5535280649</v>
      </c>
      <c r="BH258" s="2">
        <f t="shared" ref="BH258:BH321" ca="1" si="306">AY258</f>
        <v>2289763.1855606958</v>
      </c>
      <c r="BI258" s="2">
        <f t="shared" ref="BI258:BI321" ca="1" si="307">AZ258+BC258</f>
        <v>23397372.478850927</v>
      </c>
      <c r="BJ258" s="2">
        <f t="shared" ref="BJ258:BJ321" ca="1" si="308">IF(MIN(BD258:BI258)*MAX(BD258:BI258)&gt;=0, "", IFERROR(IRR(BD258:BI258,0.12), IFERROR(IRR(BD258:BI258,0.5), IFERROR(IRR(BD258:BI258,-0.5),""))))</f>
        <v>0.14030614785589224</v>
      </c>
      <c r="BK258" s="2">
        <f t="shared" ref="BK258:BK321" ca="1" si="309">NPV(12%,BE258:BI258)+BD258</f>
        <v>1426752.7844659016</v>
      </c>
    </row>
    <row r="259" spans="1:63" x14ac:dyDescent="0.3">
      <c r="A259" s="2">
        <v>258</v>
      </c>
      <c r="B259" s="2">
        <f t="shared" ca="1" si="248"/>
        <v>0.24818473227371907</v>
      </c>
      <c r="C259" s="2">
        <f t="shared" ca="1" si="249"/>
        <v>6.7045349278406556</v>
      </c>
      <c r="D259" s="2">
        <f t="shared" ca="1" si="250"/>
        <v>0.78274604644923174</v>
      </c>
      <c r="E259" s="2">
        <f t="shared" ca="1" si="251"/>
        <v>7.8408278623139953</v>
      </c>
      <c r="F259" s="2">
        <f t="shared" ca="1" si="252"/>
        <v>4.388992160514027E-2</v>
      </c>
      <c r="G259" s="2">
        <f t="shared" ca="1" si="253"/>
        <v>-1.1216814070566079E-2</v>
      </c>
      <c r="H259" s="2">
        <f t="shared" ca="1" si="254"/>
        <v>-1.1216814070566079E-2</v>
      </c>
      <c r="I259" s="2">
        <f t="shared" ca="1" si="255"/>
        <v>0.96187586684150339</v>
      </c>
      <c r="J259" s="2">
        <f t="shared" ca="1" si="256"/>
        <v>1.8864409867273869E-2</v>
      </c>
      <c r="K259" s="2">
        <f t="shared" ca="1" si="257"/>
        <v>1.8864409867273869E-2</v>
      </c>
      <c r="L259" s="2">
        <f t="shared" ca="1" si="258"/>
        <v>0.73653209812879183</v>
      </c>
      <c r="M259" s="2">
        <f t="shared" ca="1" si="259"/>
        <v>1.2653809114689052E-2</v>
      </c>
      <c r="N259" s="2">
        <f t="shared" ca="1" si="260"/>
        <v>1.2653809114689052E-2</v>
      </c>
      <c r="O259" s="2">
        <f t="shared" si="261"/>
        <v>6000000</v>
      </c>
      <c r="P259" s="2">
        <f t="shared" ca="1" si="262"/>
        <v>40227209.56704393</v>
      </c>
      <c r="Q259" s="2">
        <f t="shared" ca="1" si="263"/>
        <v>1005680.2391760983</v>
      </c>
      <c r="R259" s="2">
        <f t="shared" ca="1" si="264"/>
        <v>24136325.740226358</v>
      </c>
      <c r="S259" s="2">
        <f t="shared" ca="1" si="265"/>
        <v>16090883.826817572</v>
      </c>
      <c r="T259" s="2">
        <f t="shared" ca="1" si="266"/>
        <v>50632690.455734454</v>
      </c>
      <c r="U259" s="2">
        <f t="shared" ca="1" si="267"/>
        <v>50064752.980999954</v>
      </c>
      <c r="V259" s="2">
        <f t="shared" ca="1" si="268"/>
        <v>49503185.955323257</v>
      </c>
      <c r="W259" s="2">
        <f t="shared" ca="1" si="269"/>
        <v>48947917.922561735</v>
      </c>
      <c r="X259" s="2">
        <f t="shared" ca="1" si="270"/>
        <v>48398878.228083029</v>
      </c>
      <c r="Y259" s="2">
        <f t="shared" ca="1" si="271"/>
        <v>0.12943220493363694</v>
      </c>
      <c r="Z259" s="2">
        <f t="shared" ca="1" si="272"/>
        <v>0.13320508690709171</v>
      </c>
      <c r="AA259" s="2">
        <f t="shared" ca="1" si="273"/>
        <v>6553500.7674080255</v>
      </c>
      <c r="AB259" s="2">
        <f t="shared" ca="1" si="274"/>
        <v>6668879.7718161773</v>
      </c>
      <c r="AC259" s="2">
        <f t="shared" ca="1" si="275"/>
        <v>6594076.1873567561</v>
      </c>
      <c r="AD259" s="2">
        <f t="shared" ca="1" si="276"/>
        <v>6520111.6607960276</v>
      </c>
      <c r="AE259" s="2">
        <f t="shared" ca="1" si="277"/>
        <v>6446976.7805775488</v>
      </c>
      <c r="AF259" s="2">
        <f t="shared" ca="1" si="278"/>
        <v>1012653.8091146891</v>
      </c>
      <c r="AG259" s="2">
        <f t="shared" ca="1" si="279"/>
        <v>1001295.0596199991</v>
      </c>
      <c r="AH259" s="2">
        <f t="shared" ca="1" si="280"/>
        <v>990063.71910646511</v>
      </c>
      <c r="AI259" s="2">
        <f t="shared" ca="1" si="281"/>
        <v>978958.35845123476</v>
      </c>
      <c r="AJ259" s="2">
        <f t="shared" ca="1" si="282"/>
        <v>967977.56456166063</v>
      </c>
      <c r="AK259" s="2">
        <f t="shared" ca="1" si="283"/>
        <v>0</v>
      </c>
      <c r="AL259" s="2">
        <f t="shared" ca="1" si="284"/>
        <v>0</v>
      </c>
      <c r="AM259" s="2">
        <f t="shared" ca="1" si="285"/>
        <v>0</v>
      </c>
      <c r="AN259" s="2">
        <f t="shared" ca="1" si="286"/>
        <v>0</v>
      </c>
      <c r="AO259" s="2">
        <f t="shared" ca="1" si="287"/>
        <v>0</v>
      </c>
      <c r="AP259" s="2">
        <f t="shared" ca="1" si="288"/>
        <v>2172269.3166203722</v>
      </c>
      <c r="AQ259" s="2">
        <f t="shared" ca="1" si="289"/>
        <v>875830.18683497072</v>
      </c>
      <c r="AR259" s="2">
        <f t="shared" ca="1" si="290"/>
        <v>908782.00284970948</v>
      </c>
      <c r="AS259" s="2">
        <f t="shared" ca="1" si="291"/>
        <v>892253.21942377905</v>
      </c>
      <c r="AT259" s="2">
        <f t="shared" ca="1" si="292"/>
        <v>875909.83628834935</v>
      </c>
      <c r="AU259" s="2">
        <f t="shared" ca="1" si="293"/>
        <v>859749.77384283417</v>
      </c>
      <c r="AV259" s="2">
        <f t="shared" ca="1" si="294"/>
        <v>2492747.4548379937</v>
      </c>
      <c r="AW259" s="2">
        <f t="shared" ca="1" si="295"/>
        <v>2586533.3927260963</v>
      </c>
      <c r="AX259" s="2">
        <f t="shared" ca="1" si="296"/>
        <v>2539489.9322061399</v>
      </c>
      <c r="AY259" s="2">
        <f t="shared" ca="1" si="297"/>
        <v>2492974.1494360706</v>
      </c>
      <c r="AZ259" s="2">
        <f t="shared" ca="1" si="298"/>
        <v>2446980.1255526822</v>
      </c>
      <c r="BA259" s="2">
        <f t="shared" ca="1" si="299"/>
        <v>50549635.168843828</v>
      </c>
      <c r="BB259" s="2">
        <f t="shared" ca="1" si="300"/>
        <v>1010992.7033768765</v>
      </c>
      <c r="BC259" s="2">
        <f t="shared" ca="1" si="301"/>
        <v>25402316.725240592</v>
      </c>
      <c r="BD259" s="2">
        <f t="shared" ca="1" si="302"/>
        <v>-17596564.06599367</v>
      </c>
      <c r="BE259" s="2">
        <f t="shared" ca="1" si="303"/>
        <v>2492747.4548379937</v>
      </c>
      <c r="BF259" s="2">
        <f t="shared" ca="1" si="304"/>
        <v>2586533.3927260963</v>
      </c>
      <c r="BG259" s="2">
        <f t="shared" ca="1" si="305"/>
        <v>2539489.9322061399</v>
      </c>
      <c r="BH259" s="2">
        <f t="shared" ca="1" si="306"/>
        <v>2492974.1494360706</v>
      </c>
      <c r="BI259" s="2">
        <f t="shared" ca="1" si="307"/>
        <v>27849296.850793272</v>
      </c>
      <c r="BJ259" s="2">
        <f t="shared" ca="1" si="308"/>
        <v>0.20239794266936251</v>
      </c>
      <c r="BK259" s="2">
        <f t="shared" ca="1" si="309"/>
        <v>5885399.7494072951</v>
      </c>
    </row>
    <row r="260" spans="1:63" x14ac:dyDescent="0.3">
      <c r="A260" s="2">
        <v>259</v>
      </c>
      <c r="B260" s="2">
        <f t="shared" ca="1" si="248"/>
        <v>0.92860684072111566</v>
      </c>
      <c r="C260" s="2">
        <f t="shared" ca="1" si="249"/>
        <v>7.6221292303475057</v>
      </c>
      <c r="D260" s="2">
        <f t="shared" ca="1" si="250"/>
        <v>0.83387930077240158</v>
      </c>
      <c r="E260" s="2">
        <f t="shared" ca="1" si="251"/>
        <v>7.9235961498608836</v>
      </c>
      <c r="F260" s="2">
        <f t="shared" ca="1" si="252"/>
        <v>0.38914030145030454</v>
      </c>
      <c r="G260" s="2">
        <f t="shared" ca="1" si="253"/>
        <v>3.1553187786982205E-2</v>
      </c>
      <c r="H260" s="2">
        <f t="shared" ca="1" si="254"/>
        <v>3.1553187786982205E-2</v>
      </c>
      <c r="I260" s="2">
        <f t="shared" ca="1" si="255"/>
        <v>0.52693097062288174</v>
      </c>
      <c r="J260" s="2">
        <f t="shared" ca="1" si="256"/>
        <v>1.0337786428462588E-2</v>
      </c>
      <c r="K260" s="2">
        <f t="shared" ca="1" si="257"/>
        <v>1.0337786428462588E-2</v>
      </c>
      <c r="L260" s="2">
        <f t="shared" ca="1" si="258"/>
        <v>0.74045147608830186</v>
      </c>
      <c r="M260" s="2">
        <f t="shared" ca="1" si="259"/>
        <v>1.2894758103581679E-2</v>
      </c>
      <c r="N260" s="2">
        <f t="shared" ca="1" si="260"/>
        <v>1.2894758103581679E-2</v>
      </c>
      <c r="O260" s="2">
        <f t="shared" si="261"/>
        <v>6000000</v>
      </c>
      <c r="P260" s="2">
        <f t="shared" ca="1" si="262"/>
        <v>45732775.382085033</v>
      </c>
      <c r="Q260" s="2">
        <f t="shared" ca="1" si="263"/>
        <v>1143319.3845521258</v>
      </c>
      <c r="R260" s="2">
        <f t="shared" ca="1" si="264"/>
        <v>27439665.22925102</v>
      </c>
      <c r="S260" s="2">
        <f t="shared" ca="1" si="265"/>
        <v>18293110.152834013</v>
      </c>
      <c r="T260" s="2">
        <f t="shared" ca="1" si="266"/>
        <v>50644737.905179083</v>
      </c>
      <c r="U260" s="2">
        <f t="shared" ca="1" si="267"/>
        <v>52242740.830723688</v>
      </c>
      <c r="V260" s="2">
        <f t="shared" ca="1" si="268"/>
        <v>53891165.842662148</v>
      </c>
      <c r="W260" s="2">
        <f t="shared" ca="1" si="269"/>
        <v>55591603.918555066</v>
      </c>
      <c r="X260" s="2">
        <f t="shared" ca="1" si="270"/>
        <v>57345696.236376762</v>
      </c>
      <c r="Y260" s="2">
        <f t="shared" ca="1" si="271"/>
        <v>0.1251688932142313</v>
      </c>
      <c r="Z260" s="2">
        <f t="shared" ca="1" si="272"/>
        <v>0.1272364504999238</v>
      </c>
      <c r="AA260" s="2">
        <f t="shared" ca="1" si="273"/>
        <v>6339145.790716093</v>
      </c>
      <c r="AB260" s="2">
        <f t="shared" ca="1" si="274"/>
        <v>6647180.907688722</v>
      </c>
      <c r="AC260" s="2">
        <f t="shared" ca="1" si="275"/>
        <v>6856920.6551230662</v>
      </c>
      <c r="AD260" s="2">
        <f t="shared" ca="1" si="276"/>
        <v>7073278.3601946011</v>
      </c>
      <c r="AE260" s="2">
        <f t="shared" ca="1" si="277"/>
        <v>7296462.8405634183</v>
      </c>
      <c r="AF260" s="2">
        <f t="shared" ca="1" si="278"/>
        <v>1012894.7581035817</v>
      </c>
      <c r="AG260" s="2">
        <f t="shared" ca="1" si="279"/>
        <v>1044854.8166144738</v>
      </c>
      <c r="AH260" s="2">
        <f t="shared" ca="1" si="280"/>
        <v>1077823.3168532429</v>
      </c>
      <c r="AI260" s="2">
        <f t="shared" ca="1" si="281"/>
        <v>1111832.0783711013</v>
      </c>
      <c r="AJ260" s="2">
        <f t="shared" ca="1" si="282"/>
        <v>1146913.9247275353</v>
      </c>
      <c r="AK260" s="2">
        <f t="shared" ca="1" si="283"/>
        <v>0</v>
      </c>
      <c r="AL260" s="2">
        <f t="shared" ca="1" si="284"/>
        <v>15980.029255446047</v>
      </c>
      <c r="AM260" s="2">
        <f t="shared" ca="1" si="285"/>
        <v>16484.250119384604</v>
      </c>
      <c r="AN260" s="2">
        <f t="shared" ca="1" si="286"/>
        <v>17004.380758929179</v>
      </c>
      <c r="AO260" s="2">
        <f t="shared" ca="1" si="287"/>
        <v>17540.923178216963</v>
      </c>
      <c r="AP260" s="2">
        <f t="shared" ca="1" si="288"/>
        <v>2469569.8706325917</v>
      </c>
      <c r="AQ260" s="2">
        <f t="shared" ca="1" si="289"/>
        <v>742737.10211477906</v>
      </c>
      <c r="AR260" s="2">
        <f t="shared" ca="1" si="290"/>
        <v>814516.61731483066</v>
      </c>
      <c r="AS260" s="2">
        <f t="shared" ca="1" si="291"/>
        <v>860477.14158568019</v>
      </c>
      <c r="AT260" s="2">
        <f t="shared" ca="1" si="292"/>
        <v>907887.86690963618</v>
      </c>
      <c r="AU260" s="2">
        <f t="shared" ca="1" si="293"/>
        <v>956794.55175285588</v>
      </c>
      <c r="AV260" s="2">
        <f t="shared" ca="1" si="294"/>
        <v>2113944.0598651404</v>
      </c>
      <c r="AW260" s="2">
        <f t="shared" ca="1" si="295"/>
        <v>2302259.5738713797</v>
      </c>
      <c r="AX260" s="2">
        <f t="shared" ca="1" si="296"/>
        <v>2432566.0759321665</v>
      </c>
      <c r="AY260" s="2">
        <f t="shared" ca="1" si="297"/>
        <v>2566984.1635223432</v>
      </c>
      <c r="AZ260" s="2">
        <f t="shared" ca="1" si="298"/>
        <v>2705643.5702722184</v>
      </c>
      <c r="BA260" s="2">
        <f t="shared" ca="1" si="299"/>
        <v>57814224.871091306</v>
      </c>
      <c r="BB260" s="2">
        <f t="shared" ca="1" si="300"/>
        <v>1156284.4974218262</v>
      </c>
      <c r="BC260" s="2">
        <f t="shared" ca="1" si="301"/>
        <v>29218275.144418459</v>
      </c>
      <c r="BD260" s="2">
        <f t="shared" ca="1" si="302"/>
        <v>-19936429.537386138</v>
      </c>
      <c r="BE260" s="2">
        <f t="shared" ca="1" si="303"/>
        <v>2113944.0598651404</v>
      </c>
      <c r="BF260" s="2">
        <f t="shared" ca="1" si="304"/>
        <v>2302259.5738713797</v>
      </c>
      <c r="BG260" s="2">
        <f t="shared" ca="1" si="305"/>
        <v>2432566.0759321665</v>
      </c>
      <c r="BH260" s="2">
        <f t="shared" ca="1" si="306"/>
        <v>2566984.1635223432</v>
      </c>
      <c r="BI260" s="2">
        <f t="shared" ca="1" si="307"/>
        <v>31923918.714690678</v>
      </c>
      <c r="BJ260" s="2">
        <f t="shared" ca="1" si="308"/>
        <v>0.18376136804312648</v>
      </c>
      <c r="BK260" s="2">
        <f t="shared" ca="1" si="309"/>
        <v>5263673.8986282833</v>
      </c>
    </row>
    <row r="261" spans="1:63" x14ac:dyDescent="0.3">
      <c r="A261" s="2">
        <v>260</v>
      </c>
      <c r="B261" s="2">
        <f t="shared" ca="1" si="248"/>
        <v>0.48737164814375156</v>
      </c>
      <c r="C261" s="2">
        <f t="shared" ca="1" si="249"/>
        <v>6.987290887371854</v>
      </c>
      <c r="D261" s="2">
        <f t="shared" ca="1" si="250"/>
        <v>0.11257563330215703</v>
      </c>
      <c r="E261" s="2">
        <f t="shared" ca="1" si="251"/>
        <v>6.9745010712362134</v>
      </c>
      <c r="F261" s="2">
        <f t="shared" ca="1" si="252"/>
        <v>0.93197821681375392</v>
      </c>
      <c r="G261" s="2">
        <f t="shared" ca="1" si="253"/>
        <v>8.4720624205099029E-2</v>
      </c>
      <c r="H261" s="2">
        <f t="shared" ca="1" si="254"/>
        <v>8.4720624205099029E-2</v>
      </c>
      <c r="I261" s="2">
        <f t="shared" ca="1" si="255"/>
        <v>0.83292549796196313</v>
      </c>
      <c r="J261" s="2">
        <f t="shared" ca="1" si="256"/>
        <v>1.4828952690573362E-2</v>
      </c>
      <c r="K261" s="2">
        <f t="shared" ca="1" si="257"/>
        <v>1.4828952690573362E-2</v>
      </c>
      <c r="L261" s="2">
        <f t="shared" ca="1" si="258"/>
        <v>0.77117557434434714</v>
      </c>
      <c r="M261" s="2">
        <f t="shared" ca="1" si="259"/>
        <v>1.485447818387875E-2</v>
      </c>
      <c r="N261" s="2">
        <f t="shared" ca="1" si="260"/>
        <v>1.485447818387875E-2</v>
      </c>
      <c r="O261" s="2">
        <f t="shared" si="261"/>
        <v>6000000</v>
      </c>
      <c r="P261" s="2">
        <f t="shared" ca="1" si="262"/>
        <v>41923745.324231125</v>
      </c>
      <c r="Q261" s="2">
        <f t="shared" ca="1" si="263"/>
        <v>1048093.6331057781</v>
      </c>
      <c r="R261" s="2">
        <f t="shared" ca="1" si="264"/>
        <v>25154247.194538675</v>
      </c>
      <c r="S261" s="2">
        <f t="shared" ca="1" si="265"/>
        <v>16769498.12969245</v>
      </c>
      <c r="T261" s="2">
        <f t="shared" ca="1" si="266"/>
        <v>50742723.90919394</v>
      </c>
      <c r="U261" s="2">
        <f t="shared" ca="1" si="267"/>
        <v>55041679.152647853</v>
      </c>
      <c r="V261" s="2">
        <f t="shared" ca="1" si="268"/>
        <v>59704844.567756966</v>
      </c>
      <c r="W261" s="2">
        <f t="shared" ca="1" si="269"/>
        <v>64763076.267605752</v>
      </c>
      <c r="X261" s="2">
        <f t="shared" ca="1" si="270"/>
        <v>70249844.514439747</v>
      </c>
      <c r="Y261" s="2">
        <f t="shared" ca="1" si="271"/>
        <v>0.12741447634528669</v>
      </c>
      <c r="Z261" s="2">
        <f t="shared" ca="1" si="272"/>
        <v>0.13038026688340135</v>
      </c>
      <c r="AA261" s="2">
        <f t="shared" ca="1" si="273"/>
        <v>6465357.5952234045</v>
      </c>
      <c r="AB261" s="2">
        <f t="shared" ca="1" si="274"/>
        <v>7176348.8176327748</v>
      </c>
      <c r="AC261" s="2">
        <f t="shared" ca="1" si="275"/>
        <v>7784333.568976148</v>
      </c>
      <c r="AD261" s="2">
        <f t="shared" ca="1" si="276"/>
        <v>8443827.1679605134</v>
      </c>
      <c r="AE261" s="2">
        <f t="shared" ca="1" si="277"/>
        <v>9159193.4763101023</v>
      </c>
      <c r="AF261" s="2">
        <f t="shared" ca="1" si="278"/>
        <v>1014854.4781838788</v>
      </c>
      <c r="AG261" s="2">
        <f t="shared" ca="1" si="279"/>
        <v>1100833.583052957</v>
      </c>
      <c r="AH261" s="2">
        <f t="shared" ca="1" si="280"/>
        <v>1194096.8913551394</v>
      </c>
      <c r="AI261" s="2">
        <f t="shared" ca="1" si="281"/>
        <v>1295261.525352115</v>
      </c>
      <c r="AJ261" s="2">
        <f t="shared" ca="1" si="282"/>
        <v>1404996.8902887949</v>
      </c>
      <c r="AK261" s="2">
        <f t="shared" ca="1" si="283"/>
        <v>0</v>
      </c>
      <c r="AL261" s="2">
        <f t="shared" ca="1" si="284"/>
        <v>42989.552434539124</v>
      </c>
      <c r="AM261" s="2">
        <f t="shared" ca="1" si="285"/>
        <v>46631.654151091127</v>
      </c>
      <c r="AN261" s="2">
        <f t="shared" ca="1" si="286"/>
        <v>50582.316998487862</v>
      </c>
      <c r="AO261" s="2">
        <f t="shared" ca="1" si="287"/>
        <v>54867.682468339954</v>
      </c>
      <c r="AP261" s="2">
        <f t="shared" ca="1" si="288"/>
        <v>2263882.2475084807</v>
      </c>
      <c r="AQ261" s="2">
        <f t="shared" ca="1" si="289"/>
        <v>828521.42607807182</v>
      </c>
      <c r="AR261" s="2">
        <f t="shared" ca="1" si="290"/>
        <v>991024.57663854782</v>
      </c>
      <c r="AS261" s="2">
        <f t="shared" ca="1" si="291"/>
        <v>1124852.1518292571</v>
      </c>
      <c r="AT261" s="2">
        <f t="shared" ca="1" si="292"/>
        <v>1270017.6827259785</v>
      </c>
      <c r="AU261" s="2">
        <f t="shared" ca="1" si="293"/>
        <v>1427481.728013335</v>
      </c>
      <c r="AV261" s="2">
        <f t="shared" ca="1" si="294"/>
        <v>2358099.4434529734</v>
      </c>
      <c r="AW261" s="2">
        <f t="shared" ca="1" si="295"/>
        <v>2777618.8579982505</v>
      </c>
      <c r="AX261" s="2">
        <f t="shared" ca="1" si="296"/>
        <v>3154870.6241321792</v>
      </c>
      <c r="AY261" s="2">
        <f t="shared" ca="1" si="297"/>
        <v>3564083.3953754515</v>
      </c>
      <c r="AZ261" s="2">
        <f t="shared" ca="1" si="298"/>
        <v>4007964.9280311526</v>
      </c>
      <c r="BA261" s="2">
        <f t="shared" ca="1" si="299"/>
        <v>63880804.712184548</v>
      </c>
      <c r="BB261" s="2">
        <f t="shared" ca="1" si="300"/>
        <v>1277616.0942436911</v>
      </c>
      <c r="BC261" s="2">
        <f t="shared" ca="1" si="301"/>
        <v>37448941.423402183</v>
      </c>
      <c r="BD261" s="2">
        <f t="shared" ca="1" si="302"/>
        <v>-18317591.762798227</v>
      </c>
      <c r="BE261" s="2">
        <f t="shared" ca="1" si="303"/>
        <v>2358099.4434529734</v>
      </c>
      <c r="BF261" s="2">
        <f t="shared" ca="1" si="304"/>
        <v>2777618.8579982505</v>
      </c>
      <c r="BG261" s="2">
        <f t="shared" ca="1" si="305"/>
        <v>3154870.6241321792</v>
      </c>
      <c r="BH261" s="2">
        <f t="shared" ca="1" si="306"/>
        <v>3564083.3953754515</v>
      </c>
      <c r="BI261" s="2">
        <f t="shared" ca="1" si="307"/>
        <v>41456906.351433337</v>
      </c>
      <c r="BJ261" s="2">
        <f t="shared" ca="1" si="308"/>
        <v>0.28200603237113731</v>
      </c>
      <c r="BK261" s="2">
        <f t="shared" ca="1" si="309"/>
        <v>14036530.960804541</v>
      </c>
    </row>
    <row r="262" spans="1:63" x14ac:dyDescent="0.3">
      <c r="A262" s="2">
        <v>261</v>
      </c>
      <c r="B262" s="2">
        <f t="shared" ca="1" si="248"/>
        <v>0.23421572627133336</v>
      </c>
      <c r="C262" s="2">
        <f t="shared" ca="1" si="249"/>
        <v>6.6844205231746541</v>
      </c>
      <c r="D262" s="2">
        <f t="shared" ca="1" si="250"/>
        <v>0.57198798570386478</v>
      </c>
      <c r="E262" s="2">
        <f t="shared" ca="1" si="251"/>
        <v>7.5747843340105669</v>
      </c>
      <c r="F262" s="2">
        <f t="shared" ca="1" si="252"/>
        <v>0.22124476726611064</v>
      </c>
      <c r="G262" s="2">
        <f t="shared" ca="1" si="253"/>
        <v>1.6960118647915225E-2</v>
      </c>
      <c r="H262" s="2">
        <f t="shared" ca="1" si="254"/>
        <v>1.6960118647915225E-2</v>
      </c>
      <c r="I262" s="2">
        <f t="shared" ca="1" si="255"/>
        <v>0.4084699497290617</v>
      </c>
      <c r="J262" s="2">
        <f t="shared" ca="1" si="256"/>
        <v>8.8425869863397264E-3</v>
      </c>
      <c r="K262" s="2">
        <f t="shared" ca="1" si="257"/>
        <v>8.8425869863397264E-3</v>
      </c>
      <c r="L262" s="2">
        <f t="shared" ca="1" si="258"/>
        <v>0.5660121532550092</v>
      </c>
      <c r="M262" s="2">
        <f t="shared" ca="1" si="259"/>
        <v>3.3246065519811898E-3</v>
      </c>
      <c r="N262" s="2">
        <f t="shared" ca="1" si="260"/>
        <v>3.3246065519811898E-3</v>
      </c>
      <c r="O262" s="2">
        <f t="shared" si="261"/>
        <v>6000000</v>
      </c>
      <c r="P262" s="2">
        <f t="shared" ca="1" si="262"/>
        <v>40106523.139047928</v>
      </c>
      <c r="Q262" s="2">
        <f t="shared" ca="1" si="263"/>
        <v>1002663.0784761983</v>
      </c>
      <c r="R262" s="2">
        <f t="shared" ca="1" si="264"/>
        <v>24063913.883428756</v>
      </c>
      <c r="S262" s="2">
        <f t="shared" ca="1" si="265"/>
        <v>16042609.255619172</v>
      </c>
      <c r="T262" s="2">
        <f t="shared" ca="1" si="266"/>
        <v>50166230.327599056</v>
      </c>
      <c r="U262" s="2">
        <f t="shared" ca="1" si="267"/>
        <v>51017055.546073772</v>
      </c>
      <c r="V262" s="2">
        <f t="shared" ca="1" si="268"/>
        <v>51882310.861202464</v>
      </c>
      <c r="W262" s="2">
        <f t="shared" ca="1" si="269"/>
        <v>52762241.009136476</v>
      </c>
      <c r="X262" s="2">
        <f t="shared" ca="1" si="270"/>
        <v>53657094.876781322</v>
      </c>
      <c r="Y262" s="2">
        <f t="shared" ca="1" si="271"/>
        <v>0.12442129349316985</v>
      </c>
      <c r="Z262" s="2">
        <f t="shared" ca="1" si="272"/>
        <v>0.12618981089043779</v>
      </c>
      <c r="AA262" s="2">
        <f t="shared" ca="1" si="273"/>
        <v>6241747.2670361605</v>
      </c>
      <c r="AB262" s="2">
        <f t="shared" ca="1" si="274"/>
        <v>6437832.5915460102</v>
      </c>
      <c r="AC262" s="2">
        <f t="shared" ca="1" si="275"/>
        <v>6547018.9961340455</v>
      </c>
      <c r="AD262" s="2">
        <f t="shared" ca="1" si="276"/>
        <v>6658057.2150986334</v>
      </c>
      <c r="AE262" s="2">
        <f t="shared" ca="1" si="277"/>
        <v>6770978.6554313134</v>
      </c>
      <c r="AF262" s="2">
        <f t="shared" ca="1" si="278"/>
        <v>1003324.6065519812</v>
      </c>
      <c r="AG262" s="2">
        <f t="shared" ca="1" si="279"/>
        <v>1020341.1109214755</v>
      </c>
      <c r="AH262" s="2">
        <f t="shared" ca="1" si="280"/>
        <v>1037646.2172240493</v>
      </c>
      <c r="AI262" s="2">
        <f t="shared" ca="1" si="281"/>
        <v>1055244.8201827295</v>
      </c>
      <c r="AJ262" s="2">
        <f t="shared" ca="1" si="282"/>
        <v>1073141.8975356265</v>
      </c>
      <c r="AK262" s="2">
        <f t="shared" ca="1" si="283"/>
        <v>0</v>
      </c>
      <c r="AL262" s="2">
        <f t="shared" ca="1" si="284"/>
        <v>8508.2521847471598</v>
      </c>
      <c r="AM262" s="2">
        <f t="shared" ca="1" si="285"/>
        <v>8652.5531512869147</v>
      </c>
      <c r="AN262" s="2">
        <f t="shared" ca="1" si="286"/>
        <v>8799.3014793401217</v>
      </c>
      <c r="AO262" s="2">
        <f t="shared" ca="1" si="287"/>
        <v>8948.5386764484647</v>
      </c>
      <c r="AP262" s="2">
        <f t="shared" ca="1" si="288"/>
        <v>2165752.2495085881</v>
      </c>
      <c r="AQ262" s="2">
        <f t="shared" ca="1" si="289"/>
        <v>798894.30685365363</v>
      </c>
      <c r="AR262" s="2">
        <f t="shared" ca="1" si="290"/>
        <v>845452.20009014627</v>
      </c>
      <c r="AS262" s="2">
        <f t="shared" ca="1" si="291"/>
        <v>869341.33764436608</v>
      </c>
      <c r="AT262" s="2">
        <f t="shared" ca="1" si="292"/>
        <v>893635.63780590217</v>
      </c>
      <c r="AU262" s="2">
        <f t="shared" ca="1" si="293"/>
        <v>918341.97218064568</v>
      </c>
      <c r="AV262" s="2">
        <f t="shared" ca="1" si="294"/>
        <v>2273776.104121937</v>
      </c>
      <c r="AW262" s="2">
        <f t="shared" ca="1" si="295"/>
        <v>2397778.7788410536</v>
      </c>
      <c r="AX262" s="2">
        <f t="shared" ca="1" si="296"/>
        <v>2465626.6386057544</v>
      </c>
      <c r="AY262" s="2">
        <f t="shared" ca="1" si="297"/>
        <v>2534625.2061220729</v>
      </c>
      <c r="AZ262" s="2">
        <f t="shared" ca="1" si="298"/>
        <v>2604793.9975300045</v>
      </c>
      <c r="BA262" s="2">
        <f t="shared" ca="1" si="299"/>
        <v>51288703.045081049</v>
      </c>
      <c r="BB262" s="2">
        <f t="shared" ca="1" si="300"/>
        <v>1025774.060901621</v>
      </c>
      <c r="BC262" s="2">
        <f t="shared" ca="1" si="301"/>
        <v>26199015.100750674</v>
      </c>
      <c r="BD262" s="2">
        <f t="shared" ca="1" si="302"/>
        <v>-17545272.33409537</v>
      </c>
      <c r="BE262" s="2">
        <f t="shared" ca="1" si="303"/>
        <v>2273776.104121937</v>
      </c>
      <c r="BF262" s="2">
        <f t="shared" ca="1" si="304"/>
        <v>2397778.7788410536</v>
      </c>
      <c r="BG262" s="2">
        <f t="shared" ca="1" si="305"/>
        <v>2465626.6386057544</v>
      </c>
      <c r="BH262" s="2">
        <f t="shared" ca="1" si="306"/>
        <v>2534625.2061220729</v>
      </c>
      <c r="BI262" s="2">
        <f t="shared" ca="1" si="307"/>
        <v>28803809.098280679</v>
      </c>
      <c r="BJ262" s="2">
        <f t="shared" ca="1" si="308"/>
        <v>0.20401316443862005</v>
      </c>
      <c r="BK262" s="2">
        <f t="shared" ca="1" si="309"/>
        <v>6106218.7736111209</v>
      </c>
    </row>
    <row r="263" spans="1:63" x14ac:dyDescent="0.3">
      <c r="A263" s="2">
        <v>262</v>
      </c>
      <c r="B263" s="2">
        <f t="shared" ca="1" si="248"/>
        <v>0.19107058839014146</v>
      </c>
      <c r="C263" s="2">
        <f t="shared" ca="1" si="249"/>
        <v>6.6181756843974719</v>
      </c>
      <c r="D263" s="2">
        <f t="shared" ca="1" si="250"/>
        <v>0.57434178729184837</v>
      </c>
      <c r="E263" s="2">
        <f t="shared" ca="1" si="251"/>
        <v>7.5773318985592368</v>
      </c>
      <c r="F263" s="2">
        <f t="shared" ca="1" si="252"/>
        <v>0.19256072346786091</v>
      </c>
      <c r="G263" s="2">
        <f t="shared" ca="1" si="253"/>
        <v>1.3945042468835312E-2</v>
      </c>
      <c r="H263" s="2">
        <f t="shared" ca="1" si="254"/>
        <v>1.3945042468835312E-2</v>
      </c>
      <c r="I263" s="2">
        <f t="shared" ca="1" si="255"/>
        <v>0.335832386556982</v>
      </c>
      <c r="J263" s="2">
        <f t="shared" ca="1" si="256"/>
        <v>7.8806784443521075E-3</v>
      </c>
      <c r="K263" s="2">
        <f t="shared" ca="1" si="257"/>
        <v>7.8806784443521075E-3</v>
      </c>
      <c r="L263" s="2">
        <f t="shared" ca="1" si="258"/>
        <v>0.28360005956781575</v>
      </c>
      <c r="M263" s="2">
        <f t="shared" ca="1" si="259"/>
        <v>-1.1443597531287151E-2</v>
      </c>
      <c r="N263" s="2">
        <f t="shared" ca="1" si="260"/>
        <v>-1.1443597531287151E-2</v>
      </c>
      <c r="O263" s="2">
        <f t="shared" si="261"/>
        <v>6000000</v>
      </c>
      <c r="P263" s="2">
        <f t="shared" ca="1" si="262"/>
        <v>39709054.106384829</v>
      </c>
      <c r="Q263" s="2">
        <f t="shared" ca="1" si="263"/>
        <v>992726.35265962081</v>
      </c>
      <c r="R263" s="2">
        <f t="shared" ca="1" si="264"/>
        <v>23825432.463830896</v>
      </c>
      <c r="S263" s="2">
        <f t="shared" ca="1" si="265"/>
        <v>15883621.642553933</v>
      </c>
      <c r="T263" s="2">
        <f t="shared" ca="1" si="266"/>
        <v>49427820.123435646</v>
      </c>
      <c r="U263" s="2">
        <f t="shared" ca="1" si="267"/>
        <v>50117093.174198903</v>
      </c>
      <c r="V263" s="2">
        <f t="shared" ca="1" si="268"/>
        <v>50815978.16692768</v>
      </c>
      <c r="W263" s="2">
        <f t="shared" ca="1" si="269"/>
        <v>51524609.140560888</v>
      </c>
      <c r="X263" s="2">
        <f t="shared" ca="1" si="270"/>
        <v>52243122.003216147</v>
      </c>
      <c r="Y263" s="2">
        <f t="shared" ca="1" si="271"/>
        <v>0.12394033922217605</v>
      </c>
      <c r="Z263" s="2">
        <f t="shared" ca="1" si="272"/>
        <v>0.12551647491104648</v>
      </c>
      <c r="AA263" s="2">
        <f t="shared" ca="1" si="273"/>
        <v>6126100.7931113141</v>
      </c>
      <c r="AB263" s="2">
        <f t="shared" ca="1" si="274"/>
        <v>6290520.8680139156</v>
      </c>
      <c r="AC263" s="2">
        <f t="shared" ca="1" si="275"/>
        <v>6378242.4486694634</v>
      </c>
      <c r="AD263" s="2">
        <f t="shared" ca="1" si="276"/>
        <v>6467187.3104926869</v>
      </c>
      <c r="AE263" s="2">
        <f t="shared" ca="1" si="277"/>
        <v>6557372.5121914195</v>
      </c>
      <c r="AF263" s="2">
        <f t="shared" ca="1" si="278"/>
        <v>988556.402468713</v>
      </c>
      <c r="AG263" s="2">
        <f t="shared" ca="1" si="279"/>
        <v>1002341.8634839781</v>
      </c>
      <c r="AH263" s="2">
        <f t="shared" ca="1" si="280"/>
        <v>1016319.5633385536</v>
      </c>
      <c r="AI263" s="2">
        <f t="shared" ca="1" si="281"/>
        <v>1030492.1828112177</v>
      </c>
      <c r="AJ263" s="2">
        <f t="shared" ca="1" si="282"/>
        <v>1044862.440064323</v>
      </c>
      <c r="AK263" s="2">
        <f t="shared" ca="1" si="283"/>
        <v>0</v>
      </c>
      <c r="AL263" s="2">
        <f t="shared" ca="1" si="284"/>
        <v>6892.7305076325683</v>
      </c>
      <c r="AM263" s="2">
        <f t="shared" ca="1" si="285"/>
        <v>6988.8499272877725</v>
      </c>
      <c r="AN263" s="2">
        <f t="shared" ca="1" si="286"/>
        <v>7086.309736332074</v>
      </c>
      <c r="AO263" s="2">
        <f t="shared" ca="1" si="287"/>
        <v>7185.1286265525969</v>
      </c>
      <c r="AP263" s="2">
        <f t="shared" ca="1" si="288"/>
        <v>2144288.9217447806</v>
      </c>
      <c r="AQ263" s="2">
        <f t="shared" ca="1" si="289"/>
        <v>778246.42191343335</v>
      </c>
      <c r="AR263" s="2">
        <f t="shared" ca="1" si="290"/>
        <v>817411.42152414075</v>
      </c>
      <c r="AS263" s="2">
        <f t="shared" ca="1" si="291"/>
        <v>836584.83053239365</v>
      </c>
      <c r="AT263" s="2">
        <f t="shared" ca="1" si="292"/>
        <v>856025.61354353919</v>
      </c>
      <c r="AU263" s="2">
        <f t="shared" ca="1" si="293"/>
        <v>875737.49909940211</v>
      </c>
      <c r="AV263" s="2">
        <f t="shared" ca="1" si="294"/>
        <v>2215009.0469843876</v>
      </c>
      <c r="AW263" s="2">
        <f t="shared" ca="1" si="295"/>
        <v>2319585.9307533829</v>
      </c>
      <c r="AX263" s="2">
        <f t="shared" ca="1" si="296"/>
        <v>2374060.2831264483</v>
      </c>
      <c r="AY263" s="2">
        <f t="shared" ca="1" si="297"/>
        <v>2429294.2826568177</v>
      </c>
      <c r="AZ263" s="2">
        <f t="shared" ca="1" si="298"/>
        <v>2485298.5226563616</v>
      </c>
      <c r="BA263" s="2">
        <f t="shared" ca="1" si="299"/>
        <v>49687387.907363564</v>
      </c>
      <c r="BB263" s="2">
        <f t="shared" ca="1" si="300"/>
        <v>993747.75814727135</v>
      </c>
      <c r="BC263" s="2">
        <f t="shared" ca="1" si="301"/>
        <v>24868207.685385399</v>
      </c>
      <c r="BD263" s="2">
        <f t="shared" ca="1" si="302"/>
        <v>-17376347.995213553</v>
      </c>
      <c r="BE263" s="2">
        <f t="shared" ca="1" si="303"/>
        <v>2215009.0469843876</v>
      </c>
      <c r="BF263" s="2">
        <f t="shared" ca="1" si="304"/>
        <v>2319585.9307533829</v>
      </c>
      <c r="BG263" s="2">
        <f t="shared" ca="1" si="305"/>
        <v>2374060.2831264483</v>
      </c>
      <c r="BH263" s="2">
        <f t="shared" ca="1" si="306"/>
        <v>2429294.2826568177</v>
      </c>
      <c r="BI263" s="2">
        <f t="shared" ca="1" si="307"/>
        <v>27353506.208041761</v>
      </c>
      <c r="BJ263" s="2">
        <f t="shared" ca="1" si="308"/>
        <v>0.19345021626562997</v>
      </c>
      <c r="BK263" s="2">
        <f t="shared" ca="1" si="309"/>
        <v>5205282.0278796703</v>
      </c>
    </row>
    <row r="264" spans="1:63" x14ac:dyDescent="0.3">
      <c r="A264" s="2">
        <v>263</v>
      </c>
      <c r="B264" s="2">
        <f t="shared" ca="1" si="248"/>
        <v>0.67053597458138259</v>
      </c>
      <c r="C264" s="2">
        <f t="shared" ca="1" si="249"/>
        <v>7.1882561667390164</v>
      </c>
      <c r="D264" s="2">
        <f t="shared" ca="1" si="250"/>
        <v>0.41544764993409478</v>
      </c>
      <c r="E264" s="2">
        <f t="shared" ca="1" si="251"/>
        <v>7.4115345851190666</v>
      </c>
      <c r="F264" s="2">
        <f t="shared" ca="1" si="252"/>
        <v>0.1521187326622585</v>
      </c>
      <c r="G264" s="2">
        <f t="shared" ca="1" si="253"/>
        <v>9.1783386851482449E-3</v>
      </c>
      <c r="H264" s="2">
        <f t="shared" ca="1" si="254"/>
        <v>9.1783386851482449E-3</v>
      </c>
      <c r="I264" s="2">
        <f t="shared" ca="1" si="255"/>
        <v>0.36582360385773938</v>
      </c>
      <c r="J264" s="2">
        <f t="shared" ca="1" si="256"/>
        <v>8.2853239851892954E-3</v>
      </c>
      <c r="K264" s="2">
        <f t="shared" ca="1" si="257"/>
        <v>8.2853239851892954E-3</v>
      </c>
      <c r="L264" s="2">
        <f t="shared" ca="1" si="258"/>
        <v>0.39613287188036561</v>
      </c>
      <c r="M264" s="2">
        <f t="shared" ca="1" si="259"/>
        <v>-5.2673913675840445E-3</v>
      </c>
      <c r="N264" s="2">
        <f t="shared" ca="1" si="260"/>
        <v>-5.2673913675840445E-3</v>
      </c>
      <c r="O264" s="2">
        <f t="shared" si="261"/>
        <v>6000000</v>
      </c>
      <c r="P264" s="2">
        <f t="shared" ca="1" si="262"/>
        <v>43129537.000434101</v>
      </c>
      <c r="Q264" s="2">
        <f t="shared" ca="1" si="263"/>
        <v>1078238.4250108525</v>
      </c>
      <c r="R264" s="2">
        <f t="shared" ca="1" si="264"/>
        <v>25877722.20026046</v>
      </c>
      <c r="S264" s="2">
        <f t="shared" ca="1" si="265"/>
        <v>17251814.80017364</v>
      </c>
      <c r="T264" s="2">
        <f t="shared" ca="1" si="266"/>
        <v>49736630.431620799</v>
      </c>
      <c r="U264" s="2">
        <f t="shared" ca="1" si="267"/>
        <v>50193130.07078027</v>
      </c>
      <c r="V264" s="2">
        <f t="shared" ca="1" si="268"/>
        <v>50653819.618237592</v>
      </c>
      <c r="W264" s="2">
        <f t="shared" ca="1" si="269"/>
        <v>51118737.530390188</v>
      </c>
      <c r="X264" s="2">
        <f t="shared" ca="1" si="270"/>
        <v>51587922.616601311</v>
      </c>
      <c r="Y264" s="2">
        <f t="shared" ca="1" si="271"/>
        <v>0.12414266199259465</v>
      </c>
      <c r="Z264" s="2">
        <f t="shared" ca="1" si="272"/>
        <v>0.1257997267896325</v>
      </c>
      <c r="AA264" s="2">
        <f t="shared" ca="1" si="273"/>
        <v>6174437.7003232976</v>
      </c>
      <c r="AB264" s="2">
        <f t="shared" ca="1" si="274"/>
        <v>6314282.0496206451</v>
      </c>
      <c r="AC264" s="2">
        <f t="shared" ca="1" si="275"/>
        <v>6372236.6688256161</v>
      </c>
      <c r="AD264" s="2">
        <f t="shared" ca="1" si="276"/>
        <v>6430723.2151540192</v>
      </c>
      <c r="AE264" s="2">
        <f t="shared" ca="1" si="277"/>
        <v>6489746.5708131483</v>
      </c>
      <c r="AF264" s="2">
        <f t="shared" ca="1" si="278"/>
        <v>994732.608632416</v>
      </c>
      <c r="AG264" s="2">
        <f t="shared" ca="1" si="279"/>
        <v>1003862.6014156054</v>
      </c>
      <c r="AH264" s="2">
        <f t="shared" ca="1" si="280"/>
        <v>1013076.3923647519</v>
      </c>
      <c r="AI264" s="2">
        <f t="shared" ca="1" si="281"/>
        <v>1022374.7506078038</v>
      </c>
      <c r="AJ264" s="2">
        <f t="shared" ca="1" si="282"/>
        <v>1031758.4523320262</v>
      </c>
      <c r="AK264" s="2">
        <f t="shared" ca="1" si="283"/>
        <v>0</v>
      </c>
      <c r="AL264" s="2">
        <f t="shared" ca="1" si="284"/>
        <v>4564.9963915947083</v>
      </c>
      <c r="AM264" s="2">
        <f t="shared" ca="1" si="285"/>
        <v>4606.8954745732253</v>
      </c>
      <c r="AN264" s="2">
        <f t="shared" ca="1" si="286"/>
        <v>4649.1791215259582</v>
      </c>
      <c r="AO264" s="2">
        <f t="shared" ca="1" si="287"/>
        <v>4691.850862111226</v>
      </c>
      <c r="AP264" s="2">
        <f t="shared" ca="1" si="288"/>
        <v>2328994.9980234415</v>
      </c>
      <c r="AQ264" s="2">
        <f t="shared" ca="1" si="289"/>
        <v>741184.62435353431</v>
      </c>
      <c r="AR264" s="2">
        <f t="shared" ca="1" si="290"/>
        <v>775170.35704721557</v>
      </c>
      <c r="AS264" s="2">
        <f t="shared" ca="1" si="291"/>
        <v>787842.97239373007</v>
      </c>
      <c r="AT264" s="2">
        <f t="shared" ca="1" si="292"/>
        <v>800631.9012959213</v>
      </c>
      <c r="AU264" s="2">
        <f t="shared" ca="1" si="293"/>
        <v>813538.21131899697</v>
      </c>
      <c r="AV264" s="2">
        <f t="shared" ca="1" si="294"/>
        <v>2109525.4693139051</v>
      </c>
      <c r="AW264" s="2">
        <f t="shared" ca="1" si="295"/>
        <v>2201689.0967427879</v>
      </c>
      <c r="AX264" s="2">
        <f t="shared" ca="1" si="296"/>
        <v>2237715.4105691197</v>
      </c>
      <c r="AY264" s="2">
        <f t="shared" ca="1" si="297"/>
        <v>2274072.3861053265</v>
      </c>
      <c r="AZ264" s="2">
        <f t="shared" ca="1" si="298"/>
        <v>2310763.0582765727</v>
      </c>
      <c r="BA264" s="2">
        <f t="shared" ca="1" si="299"/>
        <v>48098981.158239514</v>
      </c>
      <c r="BB264" s="2">
        <f t="shared" ca="1" si="300"/>
        <v>961979.62316479033</v>
      </c>
      <c r="BC264" s="2">
        <f t="shared" ca="1" si="301"/>
        <v>21259279.334814262</v>
      </c>
      <c r="BD264" s="2">
        <f t="shared" ca="1" si="302"/>
        <v>-18830053.225184493</v>
      </c>
      <c r="BE264" s="2">
        <f t="shared" ca="1" si="303"/>
        <v>2109525.4693139051</v>
      </c>
      <c r="BF264" s="2">
        <f t="shared" ca="1" si="304"/>
        <v>2201689.0967427879</v>
      </c>
      <c r="BG264" s="2">
        <f t="shared" ca="1" si="305"/>
        <v>2237715.4105691197</v>
      </c>
      <c r="BH264" s="2">
        <f t="shared" ca="1" si="306"/>
        <v>2274072.3861053265</v>
      </c>
      <c r="BI264" s="2">
        <f t="shared" ca="1" si="307"/>
        <v>23570042.393090833</v>
      </c>
      <c r="BJ264" s="2">
        <f t="shared" ca="1" si="308"/>
        <v>0.13722586855528651</v>
      </c>
      <c r="BK264" s="2">
        <f t="shared" ca="1" si="309"/>
        <v>1220875.5130332187</v>
      </c>
    </row>
    <row r="265" spans="1:63" x14ac:dyDescent="0.3">
      <c r="A265" s="2">
        <v>264</v>
      </c>
      <c r="B265" s="2">
        <f t="shared" ca="1" si="248"/>
        <v>0.96761601285927756</v>
      </c>
      <c r="C265" s="2">
        <f t="shared" ca="1" si="249"/>
        <v>7.7455044709991059</v>
      </c>
      <c r="D265" s="2">
        <f t="shared" ca="1" si="250"/>
        <v>0.2460003580015494</v>
      </c>
      <c r="E265" s="2">
        <f t="shared" ca="1" si="251"/>
        <v>7.2014276270600543</v>
      </c>
      <c r="F265" s="2">
        <f t="shared" ca="1" si="252"/>
        <v>0.53143920168264924</v>
      </c>
      <c r="G265" s="2">
        <f t="shared" ca="1" si="253"/>
        <v>4.2366644204343523E-2</v>
      </c>
      <c r="H265" s="2">
        <f t="shared" ca="1" si="254"/>
        <v>4.2366644204343523E-2</v>
      </c>
      <c r="I265" s="2">
        <f t="shared" ca="1" si="255"/>
        <v>0.3143924495128122</v>
      </c>
      <c r="J265" s="2">
        <f t="shared" ca="1" si="256"/>
        <v>7.582810893349258E-3</v>
      </c>
      <c r="K265" s="2">
        <f t="shared" ca="1" si="257"/>
        <v>7.582810893349258E-3</v>
      </c>
      <c r="L265" s="2">
        <f t="shared" ca="1" si="258"/>
        <v>1.650279424259371E-2</v>
      </c>
      <c r="M265" s="2">
        <f t="shared" ca="1" si="259"/>
        <v>-4.2640306075845971E-2</v>
      </c>
      <c r="N265" s="2">
        <f t="shared" ca="1" si="260"/>
        <v>-4.2640306075845971E-2</v>
      </c>
      <c r="O265" s="2">
        <f t="shared" si="261"/>
        <v>6000000</v>
      </c>
      <c r="P265" s="2">
        <f t="shared" ca="1" si="262"/>
        <v>46473026.825994633</v>
      </c>
      <c r="Q265" s="2">
        <f t="shared" ca="1" si="263"/>
        <v>1161825.6706498659</v>
      </c>
      <c r="R265" s="2">
        <f t="shared" ca="1" si="264"/>
        <v>27883816.095596779</v>
      </c>
      <c r="S265" s="2">
        <f t="shared" ca="1" si="265"/>
        <v>18589210.730397854</v>
      </c>
      <c r="T265" s="2">
        <f t="shared" ca="1" si="266"/>
        <v>47867984.696207702</v>
      </c>
      <c r="U265" s="2">
        <f t="shared" ca="1" si="267"/>
        <v>49895990.572610892</v>
      </c>
      <c r="V265" s="2">
        <f t="shared" ca="1" si="268"/>
        <v>52009916.252423979</v>
      </c>
      <c r="W265" s="2">
        <f t="shared" ca="1" si="269"/>
        <v>54213401.869388133</v>
      </c>
      <c r="X265" s="2">
        <f t="shared" ca="1" si="270"/>
        <v>56510241.777495593</v>
      </c>
      <c r="Y265" s="2">
        <f t="shared" ca="1" si="271"/>
        <v>0.12379140544667462</v>
      </c>
      <c r="Z265" s="2">
        <f t="shared" ca="1" si="272"/>
        <v>0.12530796762534446</v>
      </c>
      <c r="AA265" s="2">
        <f t="shared" ca="1" si="273"/>
        <v>5925645.1014434639</v>
      </c>
      <c r="AB265" s="2">
        <f t="shared" ca="1" si="274"/>
        <v>6252365.1713072183</v>
      </c>
      <c r="AC265" s="2">
        <f t="shared" ca="1" si="275"/>
        <v>6517256.9019556204</v>
      </c>
      <c r="AD265" s="2">
        <f t="shared" ca="1" si="276"/>
        <v>6793371.2063090773</v>
      </c>
      <c r="AE265" s="2">
        <f t="shared" ca="1" si="277"/>
        <v>7081183.5471548056</v>
      </c>
      <c r="AF265" s="2">
        <f t="shared" ca="1" si="278"/>
        <v>957359.69392415404</v>
      </c>
      <c r="AG265" s="2">
        <f t="shared" ca="1" si="279"/>
        <v>997919.81145221787</v>
      </c>
      <c r="AH265" s="2">
        <f t="shared" ca="1" si="280"/>
        <v>1040198.3250484796</v>
      </c>
      <c r="AI265" s="2">
        <f t="shared" ca="1" si="281"/>
        <v>1084268.0373877627</v>
      </c>
      <c r="AJ265" s="2">
        <f t="shared" ca="1" si="282"/>
        <v>1130204.8355499119</v>
      </c>
      <c r="AK265" s="2">
        <f t="shared" ca="1" si="283"/>
        <v>0</v>
      </c>
      <c r="AL265" s="2">
        <f t="shared" ca="1" si="284"/>
        <v>20280.058764031903</v>
      </c>
      <c r="AM265" s="2">
        <f t="shared" ca="1" si="285"/>
        <v>21139.256798130871</v>
      </c>
      <c r="AN265" s="2">
        <f t="shared" ca="1" si="286"/>
        <v>22034.856169641538</v>
      </c>
      <c r="AO265" s="2">
        <f t="shared" ca="1" si="287"/>
        <v>22968.399081074596</v>
      </c>
      <c r="AP265" s="2">
        <f t="shared" ca="1" si="288"/>
        <v>2509543.4486037102</v>
      </c>
      <c r="AQ265" s="2">
        <f t="shared" ca="1" si="289"/>
        <v>639272.90931805596</v>
      </c>
      <c r="AR265" s="2">
        <f t="shared" ca="1" si="290"/>
        <v>713674.49692533538</v>
      </c>
      <c r="AS265" s="2">
        <f t="shared" ca="1" si="291"/>
        <v>771553.9333588921</v>
      </c>
      <c r="AT265" s="2">
        <f t="shared" ca="1" si="292"/>
        <v>831885.52728257712</v>
      </c>
      <c r="AU265" s="2">
        <f t="shared" ca="1" si="293"/>
        <v>894773.16838030762</v>
      </c>
      <c r="AV265" s="2">
        <f t="shared" ca="1" si="294"/>
        <v>1819469.0495975437</v>
      </c>
      <c r="AW265" s="2">
        <f t="shared" ca="1" si="295"/>
        <v>2010947.3555619223</v>
      </c>
      <c r="AX265" s="2">
        <f t="shared" ca="1" si="296"/>
        <v>2174821.9381464086</v>
      </c>
      <c r="AY265" s="2">
        <f t="shared" ca="1" si="297"/>
        <v>2345639.3368653851</v>
      </c>
      <c r="AZ265" s="2">
        <f t="shared" ca="1" si="298"/>
        <v>2523693.6955398005</v>
      </c>
      <c r="BA265" s="2">
        <f t="shared" ca="1" si="299"/>
        <v>50994630.828763731</v>
      </c>
      <c r="BB265" s="2">
        <f t="shared" ca="1" si="300"/>
        <v>1019892.6165752746</v>
      </c>
      <c r="BC265" s="2">
        <f t="shared" ca="1" si="301"/>
        <v>22090922.116591677</v>
      </c>
      <c r="BD265" s="2">
        <f t="shared" ca="1" si="302"/>
        <v>-20251036.401047722</v>
      </c>
      <c r="BE265" s="2">
        <f t="shared" ca="1" si="303"/>
        <v>1819469.0495975437</v>
      </c>
      <c r="BF265" s="2">
        <f t="shared" ca="1" si="304"/>
        <v>2010947.3555619223</v>
      </c>
      <c r="BG265" s="2">
        <f t="shared" ca="1" si="305"/>
        <v>2174821.9381464086</v>
      </c>
      <c r="BH265" s="2">
        <f t="shared" ca="1" si="306"/>
        <v>2345639.3368653851</v>
      </c>
      <c r="BI265" s="2">
        <f t="shared" ca="1" si="307"/>
        <v>24614615.812131479</v>
      </c>
      <c r="BJ265" s="2">
        <f t="shared" ca="1" si="308"/>
        <v>0.11976752653722134</v>
      </c>
      <c r="BK265" s="2">
        <f t="shared" ca="1" si="309"/>
        <v>-17709.986897233874</v>
      </c>
    </row>
    <row r="266" spans="1:63" x14ac:dyDescent="0.3">
      <c r="A266" s="2">
        <v>265</v>
      </c>
      <c r="B266" s="2">
        <f t="shared" ca="1" si="248"/>
        <v>7.1631775608560821E-2</v>
      </c>
      <c r="C266" s="2">
        <f t="shared" ca="1" si="249"/>
        <v>6.3785017189090709</v>
      </c>
      <c r="D266" s="2">
        <f t="shared" ca="1" si="250"/>
        <v>0.1521562752558655</v>
      </c>
      <c r="E266" s="2">
        <f t="shared" ca="1" si="251"/>
        <v>7.0516453122357978</v>
      </c>
      <c r="F266" s="2">
        <f t="shared" ca="1" si="252"/>
        <v>0.53857782167971235</v>
      </c>
      <c r="G266" s="2">
        <f t="shared" ca="1" si="253"/>
        <v>4.2905543806593754E-2</v>
      </c>
      <c r="H266" s="2">
        <f t="shared" ca="1" si="254"/>
        <v>4.2905543806593754E-2</v>
      </c>
      <c r="I266" s="2">
        <f t="shared" ca="1" si="255"/>
        <v>0.95482239038180117</v>
      </c>
      <c r="J266" s="2">
        <f t="shared" ca="1" si="256"/>
        <v>1.8467634494572983E-2</v>
      </c>
      <c r="K266" s="2">
        <f t="shared" ca="1" si="257"/>
        <v>1.8467634494572983E-2</v>
      </c>
      <c r="L266" s="2">
        <f t="shared" ca="1" si="258"/>
        <v>0.2700172513659751</v>
      </c>
      <c r="M266" s="2">
        <f t="shared" ca="1" si="259"/>
        <v>-1.225521634088669E-2</v>
      </c>
      <c r="N266" s="2">
        <f t="shared" ca="1" si="260"/>
        <v>-1.225521634088669E-2</v>
      </c>
      <c r="O266" s="2">
        <f t="shared" si="261"/>
        <v>6000000</v>
      </c>
      <c r="P266" s="2">
        <f t="shared" ca="1" si="262"/>
        <v>38271010.313454427</v>
      </c>
      <c r="Q266" s="2">
        <f t="shared" ca="1" si="263"/>
        <v>956775.25783636072</v>
      </c>
      <c r="R266" s="2">
        <f t="shared" ca="1" si="264"/>
        <v>22962606.188072655</v>
      </c>
      <c r="S266" s="2">
        <f t="shared" ca="1" si="265"/>
        <v>15308404.125381771</v>
      </c>
      <c r="T266" s="2">
        <f t="shared" ca="1" si="266"/>
        <v>49387239.182955667</v>
      </c>
      <c r="U266" s="2">
        <f t="shared" ca="1" si="267"/>
        <v>51506225.537206694</v>
      </c>
      <c r="V266" s="2">
        <f t="shared" ca="1" si="268"/>
        <v>53716128.153305613</v>
      </c>
      <c r="W266" s="2">
        <f t="shared" ca="1" si="269"/>
        <v>56020847.842907868</v>
      </c>
      <c r="X266" s="2">
        <f t="shared" ca="1" si="270"/>
        <v>58424452.784114271</v>
      </c>
      <c r="Y266" s="2">
        <f t="shared" ca="1" si="271"/>
        <v>0.1292338172472865</v>
      </c>
      <c r="Z266" s="2">
        <f t="shared" ca="1" si="272"/>
        <v>0.13292734414620108</v>
      </c>
      <c r="AA266" s="2">
        <f t="shared" ca="1" si="273"/>
        <v>6382501.44291812</v>
      </c>
      <c r="AB266" s="2">
        <f t="shared" ca="1" si="274"/>
        <v>6846585.7676561251</v>
      </c>
      <c r="AC266" s="2">
        <f t="shared" ca="1" si="275"/>
        <v>7140342.2532358961</v>
      </c>
      <c r="AD266" s="2">
        <f t="shared" ca="1" si="276"/>
        <v>7446702.5205761809</v>
      </c>
      <c r="AE266" s="2">
        <f t="shared" ca="1" si="277"/>
        <v>7766207.3417874333</v>
      </c>
      <c r="AF266" s="2">
        <f t="shared" ca="1" si="278"/>
        <v>987744.78365911334</v>
      </c>
      <c r="AG266" s="2">
        <f t="shared" ca="1" si="279"/>
        <v>1030124.510744134</v>
      </c>
      <c r="AH266" s="2">
        <f t="shared" ca="1" si="280"/>
        <v>1074322.5630661123</v>
      </c>
      <c r="AI266" s="2">
        <f t="shared" ca="1" si="281"/>
        <v>1120416.9568581574</v>
      </c>
      <c r="AJ266" s="2">
        <f t="shared" ca="1" si="282"/>
        <v>1168489.0556822855</v>
      </c>
      <c r="AK266" s="2">
        <f t="shared" ca="1" si="283"/>
        <v>0</v>
      </c>
      <c r="AL266" s="2">
        <f t="shared" ca="1" si="284"/>
        <v>21189.863542510273</v>
      </c>
      <c r="AM266" s="2">
        <f t="shared" ca="1" si="285"/>
        <v>22099.026160989182</v>
      </c>
      <c r="AN266" s="2">
        <f t="shared" ca="1" si="286"/>
        <v>23047.19689602256</v>
      </c>
      <c r="AO266" s="2">
        <f t="shared" ca="1" si="287"/>
        <v>24036.049412064032</v>
      </c>
      <c r="AP266" s="2">
        <f t="shared" ca="1" si="288"/>
        <v>2066634.5569265389</v>
      </c>
      <c r="AQ266" s="2">
        <f t="shared" ca="1" si="289"/>
        <v>865311.74660644145</v>
      </c>
      <c r="AR266" s="2">
        <f t="shared" ca="1" si="290"/>
        <v>974954.94199621759</v>
      </c>
      <c r="AS266" s="2">
        <f t="shared" ca="1" si="291"/>
        <v>1039840.1346432435</v>
      </c>
      <c r="AT266" s="2">
        <f t="shared" ca="1" si="292"/>
        <v>1107509.261765786</v>
      </c>
      <c r="AU266" s="2">
        <f t="shared" ca="1" si="293"/>
        <v>1178081.7695864383</v>
      </c>
      <c r="AV266" s="2">
        <f t="shared" ca="1" si="294"/>
        <v>2462810.355726026</v>
      </c>
      <c r="AW266" s="2">
        <f t="shared" ca="1" si="295"/>
        <v>2753681.8944467241</v>
      </c>
      <c r="AX266" s="2">
        <f t="shared" ca="1" si="296"/>
        <v>2937445.9724390116</v>
      </c>
      <c r="AY266" s="2">
        <f t="shared" ca="1" si="297"/>
        <v>3129094.5481296759</v>
      </c>
      <c r="AZ266" s="2">
        <f t="shared" ca="1" si="298"/>
        <v>3328965.9101801058</v>
      </c>
      <c r="BA266" s="2">
        <f t="shared" ca="1" si="299"/>
        <v>54764539.595566593</v>
      </c>
      <c r="BB266" s="2">
        <f t="shared" ca="1" si="300"/>
        <v>1095290.7919113319</v>
      </c>
      <c r="BC266" s="2">
        <f t="shared" ca="1" si="301"/>
        <v>30706642.615582608</v>
      </c>
      <c r="BD266" s="2">
        <f t="shared" ca="1" si="302"/>
        <v>-16765179.383218132</v>
      </c>
      <c r="BE266" s="2">
        <f t="shared" ca="1" si="303"/>
        <v>2462810.355726026</v>
      </c>
      <c r="BF266" s="2">
        <f t="shared" ca="1" si="304"/>
        <v>2753681.8944467241</v>
      </c>
      <c r="BG266" s="2">
        <f t="shared" ca="1" si="305"/>
        <v>2937445.9724390116</v>
      </c>
      <c r="BH266" s="2">
        <f t="shared" ca="1" si="306"/>
        <v>3129094.5481296759</v>
      </c>
      <c r="BI266" s="2">
        <f t="shared" ca="1" si="307"/>
        <v>34035608.525762714</v>
      </c>
      <c r="BJ266" s="2">
        <f t="shared" ca="1" si="308"/>
        <v>0.26656158323267309</v>
      </c>
      <c r="BK266" s="2">
        <f t="shared" ca="1" si="309"/>
        <v>11021107.286188647</v>
      </c>
    </row>
    <row r="267" spans="1:63" x14ac:dyDescent="0.3">
      <c r="A267" s="2">
        <v>266</v>
      </c>
      <c r="B267" s="2">
        <f t="shared" ca="1" si="248"/>
        <v>0.92728380590445025</v>
      </c>
      <c r="C267" s="2">
        <f t="shared" ca="1" si="249"/>
        <v>7.6186440138255342</v>
      </c>
      <c r="D267" s="2">
        <f t="shared" ca="1" si="250"/>
        <v>0.55134554539243708</v>
      </c>
      <c r="E267" s="2">
        <f t="shared" ca="1" si="251"/>
        <v>7.5527360931529559</v>
      </c>
      <c r="F267" s="2">
        <f t="shared" ca="1" si="252"/>
        <v>0.57324844793485741</v>
      </c>
      <c r="G267" s="2">
        <f t="shared" ca="1" si="253"/>
        <v>4.5539517659981307E-2</v>
      </c>
      <c r="H267" s="2">
        <f t="shared" ca="1" si="254"/>
        <v>4.5539517659981307E-2</v>
      </c>
      <c r="I267" s="2">
        <f t="shared" ca="1" si="255"/>
        <v>0.82396020980774398</v>
      </c>
      <c r="J267" s="2">
        <f t="shared" ca="1" si="256"/>
        <v>1.4652815781904763E-2</v>
      </c>
      <c r="K267" s="2">
        <f t="shared" ca="1" si="257"/>
        <v>1.4652815781904763E-2</v>
      </c>
      <c r="L267" s="2">
        <f t="shared" ca="1" si="258"/>
        <v>0.18016541303656652</v>
      </c>
      <c r="M267" s="2">
        <f t="shared" ca="1" si="259"/>
        <v>-1.829469769203226E-2</v>
      </c>
      <c r="N267" s="2">
        <f t="shared" ca="1" si="260"/>
        <v>-1.829469769203226E-2</v>
      </c>
      <c r="O267" s="2">
        <f t="shared" si="261"/>
        <v>6000000</v>
      </c>
      <c r="P267" s="2">
        <f t="shared" ca="1" si="262"/>
        <v>45711864.082953207</v>
      </c>
      <c r="Q267" s="2">
        <f t="shared" ca="1" si="263"/>
        <v>1142796.6020738303</v>
      </c>
      <c r="R267" s="2">
        <f t="shared" ca="1" si="264"/>
        <v>27427118.449771922</v>
      </c>
      <c r="S267" s="2">
        <f t="shared" ca="1" si="265"/>
        <v>18284745.633181285</v>
      </c>
      <c r="T267" s="2">
        <f t="shared" ca="1" si="266"/>
        <v>49085265.115398385</v>
      </c>
      <c r="U267" s="2">
        <f t="shared" ca="1" si="267"/>
        <v>51320584.412965931</v>
      </c>
      <c r="V267" s="2">
        <f t="shared" ca="1" si="268"/>
        <v>53657699.073160753</v>
      </c>
      <c r="W267" s="2">
        <f t="shared" ca="1" si="269"/>
        <v>56101244.807696924</v>
      </c>
      <c r="X267" s="2">
        <f t="shared" ca="1" si="270"/>
        <v>58656068.436363973</v>
      </c>
      <c r="Y267" s="2">
        <f t="shared" ca="1" si="271"/>
        <v>0.12732640789095237</v>
      </c>
      <c r="Z267" s="2">
        <f t="shared" ca="1" si="272"/>
        <v>0.13025697104733333</v>
      </c>
      <c r="AA267" s="2">
        <f t="shared" ca="1" si="273"/>
        <v>6249850.4875187501</v>
      </c>
      <c r="AB267" s="2">
        <f t="shared" ca="1" si="274"/>
        <v>6684863.8780119298</v>
      </c>
      <c r="AC267" s="2">
        <f t="shared" ca="1" si="275"/>
        <v>6989289.3546392247</v>
      </c>
      <c r="AD267" s="2">
        <f t="shared" ca="1" si="276"/>
        <v>7307578.220635538</v>
      </c>
      <c r="AE267" s="2">
        <f t="shared" ca="1" si="277"/>
        <v>7640361.8080658643</v>
      </c>
      <c r="AF267" s="2">
        <f t="shared" ca="1" si="278"/>
        <v>981705.30230796768</v>
      </c>
      <c r="AG267" s="2">
        <f t="shared" ca="1" si="279"/>
        <v>1026411.6882593186</v>
      </c>
      <c r="AH267" s="2">
        <f t="shared" ca="1" si="280"/>
        <v>1073153.9814632151</v>
      </c>
      <c r="AI267" s="2">
        <f t="shared" ca="1" si="281"/>
        <v>1122024.8961539385</v>
      </c>
      <c r="AJ267" s="2">
        <f t="shared" ca="1" si="282"/>
        <v>1173121.3687272796</v>
      </c>
      <c r="AK267" s="2">
        <f t="shared" ca="1" si="283"/>
        <v>0</v>
      </c>
      <c r="AL267" s="2">
        <f t="shared" ca="1" si="284"/>
        <v>22353.192975675465</v>
      </c>
      <c r="AM267" s="2">
        <f t="shared" ca="1" si="285"/>
        <v>23371.146601948218</v>
      </c>
      <c r="AN267" s="2">
        <f t="shared" ca="1" si="286"/>
        <v>24435.457345361709</v>
      </c>
      <c r="AO267" s="2">
        <f t="shared" ca="1" si="287"/>
        <v>25548.236286670493</v>
      </c>
      <c r="AP267" s="2">
        <f t="shared" ca="1" si="288"/>
        <v>2468440.660479473</v>
      </c>
      <c r="AQ267" s="2">
        <f t="shared" ca="1" si="289"/>
        <v>727923.17643014039</v>
      </c>
      <c r="AR267" s="2">
        <f t="shared" ca="1" si="290"/>
        <v>829402.99761101604</v>
      </c>
      <c r="AS267" s="2">
        <f t="shared" ca="1" si="291"/>
        <v>896400.6253010995</v>
      </c>
      <c r="AT267" s="2">
        <f t="shared" ca="1" si="292"/>
        <v>966449.29264055286</v>
      </c>
      <c r="AU267" s="2">
        <f t="shared" ca="1" si="293"/>
        <v>1039687.9425033691</v>
      </c>
      <c r="AV267" s="2">
        <f t="shared" ca="1" si="294"/>
        <v>2071781.3483011685</v>
      </c>
      <c r="AW267" s="2">
        <f t="shared" ca="1" si="295"/>
        <v>2338255.3386864467</v>
      </c>
      <c r="AX267" s="2">
        <f t="shared" ca="1" si="296"/>
        <v>2527922.9407934891</v>
      </c>
      <c r="AY267" s="2">
        <f t="shared" ca="1" si="297"/>
        <v>2726227.9140162114</v>
      </c>
      <c r="AZ267" s="2">
        <f t="shared" ca="1" si="298"/>
        <v>2933563.6000690712</v>
      </c>
      <c r="BA267" s="2">
        <f t="shared" ca="1" si="299"/>
        <v>57705636.392526433</v>
      </c>
      <c r="BB267" s="2">
        <f t="shared" ca="1" si="300"/>
        <v>1154112.7278505287</v>
      </c>
      <c r="BC267" s="2">
        <f t="shared" ca="1" si="301"/>
        <v>29124405.21490398</v>
      </c>
      <c r="BD267" s="2">
        <f t="shared" ca="1" si="302"/>
        <v>-19927542.235255115</v>
      </c>
      <c r="BE267" s="2">
        <f t="shared" ca="1" si="303"/>
        <v>2071781.3483011685</v>
      </c>
      <c r="BF267" s="2">
        <f t="shared" ca="1" si="304"/>
        <v>2338255.3386864467</v>
      </c>
      <c r="BG267" s="2">
        <f t="shared" ca="1" si="305"/>
        <v>2527922.9407934891</v>
      </c>
      <c r="BH267" s="2">
        <f t="shared" ca="1" si="306"/>
        <v>2726227.9140162114</v>
      </c>
      <c r="BI267" s="2">
        <f t="shared" ca="1" si="307"/>
        <v>32057968.814973053</v>
      </c>
      <c r="BJ267" s="2">
        <f t="shared" ca="1" si="308"/>
        <v>0.18652479801844568</v>
      </c>
      <c r="BK267" s="2">
        <f t="shared" ca="1" si="309"/>
        <v>5508750.5680310614</v>
      </c>
    </row>
    <row r="268" spans="1:63" x14ac:dyDescent="0.3">
      <c r="A268" s="2">
        <v>267</v>
      </c>
      <c r="B268" s="2">
        <f t="shared" ca="1" si="248"/>
        <v>0.21145938057220393</v>
      </c>
      <c r="C268" s="2">
        <f t="shared" ca="1" si="249"/>
        <v>6.6503220441784272</v>
      </c>
      <c r="D268" s="2">
        <f t="shared" ca="1" si="250"/>
        <v>0.32616587217793447</v>
      </c>
      <c r="E268" s="2">
        <f t="shared" ca="1" si="251"/>
        <v>7.3076705667262294</v>
      </c>
      <c r="F268" s="2">
        <f t="shared" ca="1" si="252"/>
        <v>0.4340246452545673</v>
      </c>
      <c r="G268" s="2">
        <f t="shared" ca="1" si="253"/>
        <v>3.5015895853529148E-2</v>
      </c>
      <c r="H268" s="2">
        <f t="shared" ca="1" si="254"/>
        <v>3.5015895853529148E-2</v>
      </c>
      <c r="I268" s="2">
        <f t="shared" ca="1" si="255"/>
        <v>0.82366689191375175</v>
      </c>
      <c r="J268" s="2">
        <f t="shared" ca="1" si="256"/>
        <v>1.4647150679120417E-2</v>
      </c>
      <c r="K268" s="2">
        <f t="shared" ca="1" si="257"/>
        <v>1.4647150679120417E-2</v>
      </c>
      <c r="L268" s="2">
        <f t="shared" ca="1" si="258"/>
        <v>0.81843788325329214</v>
      </c>
      <c r="M268" s="2">
        <f t="shared" ca="1" si="259"/>
        <v>1.8188560527520575E-2</v>
      </c>
      <c r="N268" s="2">
        <f t="shared" ca="1" si="260"/>
        <v>1.8188560527520575E-2</v>
      </c>
      <c r="O268" s="2">
        <f t="shared" si="261"/>
        <v>6000000</v>
      </c>
      <c r="P268" s="2">
        <f t="shared" ca="1" si="262"/>
        <v>39901932.265070565</v>
      </c>
      <c r="Q268" s="2">
        <f t="shared" ca="1" si="263"/>
        <v>997548.30662676413</v>
      </c>
      <c r="R268" s="2">
        <f t="shared" ca="1" si="264"/>
        <v>23941159.359042339</v>
      </c>
      <c r="S268" s="2">
        <f t="shared" ca="1" si="265"/>
        <v>15960772.906028226</v>
      </c>
      <c r="T268" s="2">
        <f t="shared" ca="1" si="266"/>
        <v>50909428.026376024</v>
      </c>
      <c r="U268" s="2">
        <f t="shared" ca="1" si="267"/>
        <v>52692067.256110348</v>
      </c>
      <c r="V268" s="2">
        <f t="shared" ca="1" si="268"/>
        <v>54537127.195457458</v>
      </c>
      <c r="W268" s="2">
        <f t="shared" ca="1" si="269"/>
        <v>56446793.56148427</v>
      </c>
      <c r="X268" s="2">
        <f t="shared" ca="1" si="270"/>
        <v>58423328.606098861</v>
      </c>
      <c r="Y268" s="2">
        <f t="shared" ca="1" si="271"/>
        <v>0.12732357533956021</v>
      </c>
      <c r="Z268" s="2">
        <f t="shared" ca="1" si="272"/>
        <v>0.13025300547538429</v>
      </c>
      <c r="AA268" s="2">
        <f t="shared" ca="1" si="273"/>
        <v>6481970.3948102053</v>
      </c>
      <c r="AB268" s="2">
        <f t="shared" ca="1" si="274"/>
        <v>6863300.1248194585</v>
      </c>
      <c r="AC268" s="2">
        <f t="shared" ca="1" si="275"/>
        <v>7103624.7272016499</v>
      </c>
      <c r="AD268" s="2">
        <f t="shared" ca="1" si="276"/>
        <v>7352364.5108318971</v>
      </c>
      <c r="AE268" s="2">
        <f t="shared" ca="1" si="277"/>
        <v>7609814.140820371</v>
      </c>
      <c r="AF268" s="2">
        <f t="shared" ca="1" si="278"/>
        <v>1018188.5605275205</v>
      </c>
      <c r="AG268" s="2">
        <f t="shared" ca="1" si="279"/>
        <v>1053841.345122207</v>
      </c>
      <c r="AH268" s="2">
        <f t="shared" ca="1" si="280"/>
        <v>1090742.5439091492</v>
      </c>
      <c r="AI268" s="2">
        <f t="shared" ca="1" si="281"/>
        <v>1128935.8712296854</v>
      </c>
      <c r="AJ268" s="2">
        <f t="shared" ca="1" si="282"/>
        <v>1168466.5721219773</v>
      </c>
      <c r="AK268" s="2">
        <f t="shared" ca="1" si="283"/>
        <v>0</v>
      </c>
      <c r="AL268" s="2">
        <f t="shared" ca="1" si="284"/>
        <v>17826.392297343238</v>
      </c>
      <c r="AM268" s="2">
        <f t="shared" ca="1" si="285"/>
        <v>18450.599393471108</v>
      </c>
      <c r="AN268" s="2">
        <f t="shared" ca="1" si="286"/>
        <v>19096.663660268114</v>
      </c>
      <c r="AO268" s="2">
        <f t="shared" ca="1" si="287"/>
        <v>19765.350446145909</v>
      </c>
      <c r="AP268" s="2">
        <f t="shared" ca="1" si="288"/>
        <v>2154704.3423138103</v>
      </c>
      <c r="AQ268" s="2">
        <f t="shared" ca="1" si="289"/>
        <v>860360.14791190752</v>
      </c>
      <c r="AR268" s="2">
        <f t="shared" ca="1" si="290"/>
        <v>950236.1537196947</v>
      </c>
      <c r="AS268" s="2">
        <f t="shared" ca="1" si="291"/>
        <v>1003126.2386544596</v>
      </c>
      <c r="AT268" s="2">
        <f t="shared" ca="1" si="292"/>
        <v>1057868.3172949846</v>
      </c>
      <c r="AU268" s="2">
        <f t="shared" ca="1" si="293"/>
        <v>1114527.2388599915</v>
      </c>
      <c r="AV268" s="2">
        <f t="shared" ca="1" si="294"/>
        <v>2448717.3440569676</v>
      </c>
      <c r="AW268" s="2">
        <f t="shared" ca="1" si="295"/>
        <v>2686691.8913664035</v>
      </c>
      <c r="AX268" s="2">
        <f t="shared" ca="1" si="296"/>
        <v>2836601.0029307595</v>
      </c>
      <c r="AY268" s="2">
        <f t="shared" ca="1" si="297"/>
        <v>2991759.3163331496</v>
      </c>
      <c r="AZ268" s="2">
        <f t="shared" ca="1" si="298"/>
        <v>3152350.6370784454</v>
      </c>
      <c r="BA268" s="2">
        <f t="shared" ca="1" si="299"/>
        <v>55610014.815130077</v>
      </c>
      <c r="BB268" s="2">
        <f t="shared" ca="1" si="300"/>
        <v>1112200.2963026015</v>
      </c>
      <c r="BC268" s="2">
        <f t="shared" ca="1" si="301"/>
        <v>30556655.159785137</v>
      </c>
      <c r="BD268" s="2">
        <f t="shared" ca="1" si="302"/>
        <v>-17458321.212654989</v>
      </c>
      <c r="BE268" s="2">
        <f t="shared" ca="1" si="303"/>
        <v>2448717.3440569676</v>
      </c>
      <c r="BF268" s="2">
        <f t="shared" ca="1" si="304"/>
        <v>2686691.8913664035</v>
      </c>
      <c r="BG268" s="2">
        <f t="shared" ca="1" si="305"/>
        <v>2836601.0029307595</v>
      </c>
      <c r="BH268" s="2">
        <f t="shared" ca="1" si="306"/>
        <v>2991759.3163331496</v>
      </c>
      <c r="BI268" s="2">
        <f t="shared" ca="1" si="307"/>
        <v>33709005.796863586</v>
      </c>
      <c r="BJ268" s="2">
        <f t="shared" ca="1" si="308"/>
        <v>0.24899464816284755</v>
      </c>
      <c r="BK268" s="2">
        <f t="shared" ca="1" si="309"/>
        <v>9917596.7507816702</v>
      </c>
    </row>
    <row r="269" spans="1:63" x14ac:dyDescent="0.3">
      <c r="A269" s="2">
        <v>268</v>
      </c>
      <c r="B269" s="2">
        <f t="shared" ca="1" si="248"/>
        <v>0.79080431398914985</v>
      </c>
      <c r="C269" s="2">
        <f t="shared" ca="1" si="249"/>
        <v>7.3531682042279458</v>
      </c>
      <c r="D269" s="2">
        <f t="shared" ca="1" si="250"/>
        <v>0.37946358717753226</v>
      </c>
      <c r="E269" s="2">
        <f t="shared" ca="1" si="251"/>
        <v>7.3711642637040757</v>
      </c>
      <c r="F269" s="2">
        <f t="shared" ca="1" si="252"/>
        <v>0.87137587904400238</v>
      </c>
      <c r="G269" s="2">
        <f t="shared" ca="1" si="253"/>
        <v>7.3987572025848602E-2</v>
      </c>
      <c r="H269" s="2">
        <f t="shared" ca="1" si="254"/>
        <v>7.3987572025848602E-2</v>
      </c>
      <c r="I269" s="2">
        <f t="shared" ca="1" si="255"/>
        <v>0.4901214819392119</v>
      </c>
      <c r="J269" s="2">
        <f t="shared" ca="1" si="256"/>
        <v>9.8761784817320997E-3</v>
      </c>
      <c r="K269" s="2">
        <f t="shared" ca="1" si="257"/>
        <v>9.8761784817320997E-3</v>
      </c>
      <c r="L269" s="2">
        <f t="shared" ca="1" si="258"/>
        <v>0.74641149361111936</v>
      </c>
      <c r="M269" s="2">
        <f t="shared" ca="1" si="259"/>
        <v>1.3264795135266684E-2</v>
      </c>
      <c r="N269" s="2">
        <f t="shared" ca="1" si="260"/>
        <v>1.3264795135266684E-2</v>
      </c>
      <c r="O269" s="2">
        <f t="shared" si="261"/>
        <v>6000000</v>
      </c>
      <c r="P269" s="2">
        <f t="shared" ca="1" si="262"/>
        <v>44119009.225367673</v>
      </c>
      <c r="Q269" s="2">
        <f t="shared" ca="1" si="263"/>
        <v>1102975.2306341918</v>
      </c>
      <c r="R269" s="2">
        <f t="shared" ca="1" si="264"/>
        <v>26471405.535220604</v>
      </c>
      <c r="S269" s="2">
        <f t="shared" ca="1" si="265"/>
        <v>17647603.690147068</v>
      </c>
      <c r="T269" s="2">
        <f t="shared" ca="1" si="266"/>
        <v>50663239.756763332</v>
      </c>
      <c r="U269" s="2">
        <f t="shared" ca="1" si="267"/>
        <v>54411689.857329704</v>
      </c>
      <c r="V269" s="2">
        <f t="shared" ca="1" si="268"/>
        <v>58437478.679697029</v>
      </c>
      <c r="W269" s="2">
        <f t="shared" ca="1" si="269"/>
        <v>62761125.84252011</v>
      </c>
      <c r="X269" s="2">
        <f t="shared" ca="1" si="270"/>
        <v>67404669.161216915</v>
      </c>
      <c r="Y269" s="2">
        <f t="shared" ca="1" si="271"/>
        <v>0.12493808924086605</v>
      </c>
      <c r="Z269" s="2">
        <f t="shared" ca="1" si="272"/>
        <v>0.12691332493721247</v>
      </c>
      <c r="AA269" s="2">
        <f t="shared" ca="1" si="273"/>
        <v>6329768.3699618904</v>
      </c>
      <c r="AB269" s="2">
        <f t="shared" ca="1" si="274"/>
        <v>6905568.4752461128</v>
      </c>
      <c r="AC269" s="2">
        <f t="shared" ca="1" si="275"/>
        <v>7416494.7201878149</v>
      </c>
      <c r="AD269" s="2">
        <f t="shared" ca="1" si="276"/>
        <v>7965223.157477037</v>
      </c>
      <c r="AE269" s="2">
        <f t="shared" ca="1" si="277"/>
        <v>8554550.6795428265</v>
      </c>
      <c r="AF269" s="2">
        <f t="shared" ca="1" si="278"/>
        <v>1013264.7951352666</v>
      </c>
      <c r="AG269" s="2">
        <f t="shared" ca="1" si="279"/>
        <v>1088233.7971465942</v>
      </c>
      <c r="AH269" s="2">
        <f t="shared" ca="1" si="280"/>
        <v>1168749.5735939406</v>
      </c>
      <c r="AI269" s="2">
        <f t="shared" ca="1" si="281"/>
        <v>1255222.5168504023</v>
      </c>
      <c r="AJ269" s="2">
        <f t="shared" ca="1" si="282"/>
        <v>1348093.3832243383</v>
      </c>
      <c r="AK269" s="2">
        <f t="shared" ca="1" si="283"/>
        <v>0</v>
      </c>
      <c r="AL269" s="2">
        <f t="shared" ca="1" si="284"/>
        <v>37484.501005663726</v>
      </c>
      <c r="AM269" s="2">
        <f t="shared" ca="1" si="285"/>
        <v>40257.888223673253</v>
      </c>
      <c r="AN269" s="2">
        <f t="shared" ca="1" si="286"/>
        <v>43236.471628230815</v>
      </c>
      <c r="AO269" s="2">
        <f t="shared" ca="1" si="287"/>
        <v>46435.433186968046</v>
      </c>
      <c r="AP269" s="2">
        <f t="shared" ca="1" si="288"/>
        <v>2382426.4981698543</v>
      </c>
      <c r="AQ269" s="2">
        <f t="shared" ca="1" si="289"/>
        <v>762860.03993076016</v>
      </c>
      <c r="AR269" s="2">
        <f t="shared" ca="1" si="290"/>
        <v>893076.12678171275</v>
      </c>
      <c r="AS269" s="2">
        <f t="shared" ca="1" si="291"/>
        <v>1004982.8485902452</v>
      </c>
      <c r="AT269" s="2">
        <f t="shared" ca="1" si="292"/>
        <v>1125169.2770387628</v>
      </c>
      <c r="AU269" s="2">
        <f t="shared" ca="1" si="293"/>
        <v>1254248.0075186449</v>
      </c>
      <c r="AV269" s="2">
        <f t="shared" ca="1" si="294"/>
        <v>2171217.03672601</v>
      </c>
      <c r="AW269" s="2">
        <f t="shared" ca="1" si="295"/>
        <v>2504347.5521422885</v>
      </c>
      <c r="AX269" s="2">
        <f t="shared" ca="1" si="296"/>
        <v>2820077.9116101013</v>
      </c>
      <c r="AY269" s="2">
        <f t="shared" ca="1" si="297"/>
        <v>3159168.3937897868</v>
      </c>
      <c r="AZ269" s="2">
        <f t="shared" ca="1" si="298"/>
        <v>3523347.3574430216</v>
      </c>
      <c r="BA269" s="2">
        <f t="shared" ca="1" si="299"/>
        <v>63056998.261091501</v>
      </c>
      <c r="BB269" s="2">
        <f t="shared" ca="1" si="300"/>
        <v>1261139.9652218299</v>
      </c>
      <c r="BC269" s="2">
        <f t="shared" ca="1" si="301"/>
        <v>35324452.760649063</v>
      </c>
      <c r="BD269" s="2">
        <f t="shared" ca="1" si="302"/>
        <v>-19250578.920781258</v>
      </c>
      <c r="BE269" s="2">
        <f t="shared" ca="1" si="303"/>
        <v>2171217.03672601</v>
      </c>
      <c r="BF269" s="2">
        <f t="shared" ca="1" si="304"/>
        <v>2504347.5521422885</v>
      </c>
      <c r="BG269" s="2">
        <f t="shared" ca="1" si="305"/>
        <v>2820077.9116101013</v>
      </c>
      <c r="BH269" s="2">
        <f t="shared" ca="1" si="306"/>
        <v>3159168.3937897868</v>
      </c>
      <c r="BI269" s="2">
        <f t="shared" ca="1" si="307"/>
        <v>38847800.118092082</v>
      </c>
      <c r="BJ269" s="2">
        <f t="shared" ca="1" si="308"/>
        <v>0.24301564962499067</v>
      </c>
      <c r="BK269" s="2">
        <f t="shared" ca="1" si="309"/>
        <v>10742727.709331535</v>
      </c>
    </row>
    <row r="270" spans="1:63" x14ac:dyDescent="0.3">
      <c r="A270" s="2">
        <v>269</v>
      </c>
      <c r="B270" s="2">
        <f t="shared" ca="1" si="248"/>
        <v>0.87244851325538875</v>
      </c>
      <c r="C270" s="2">
        <f t="shared" ca="1" si="249"/>
        <v>7.494922804425677</v>
      </c>
      <c r="D270" s="2">
        <f t="shared" ca="1" si="250"/>
        <v>0.95571110311513896</v>
      </c>
      <c r="E270" s="2">
        <f t="shared" ca="1" si="251"/>
        <v>8.2023797826596425</v>
      </c>
      <c r="F270" s="2">
        <f t="shared" ca="1" si="252"/>
        <v>7.8353728589425686E-2</v>
      </c>
      <c r="G270" s="2">
        <f t="shared" ca="1" si="253"/>
        <v>-2.4869735808577403E-3</v>
      </c>
      <c r="H270" s="2">
        <f t="shared" ca="1" si="254"/>
        <v>-2.4869735808577403E-3</v>
      </c>
      <c r="I270" s="2">
        <f t="shared" ca="1" si="255"/>
        <v>0.60348077335366224</v>
      </c>
      <c r="J270" s="2">
        <f t="shared" ca="1" si="256"/>
        <v>1.1311835380388772E-2</v>
      </c>
      <c r="K270" s="2">
        <f t="shared" ca="1" si="257"/>
        <v>1.1311835380388772E-2</v>
      </c>
      <c r="L270" s="2">
        <f t="shared" ca="1" si="258"/>
        <v>0.96817302322739984</v>
      </c>
      <c r="M270" s="2">
        <f t="shared" ca="1" si="259"/>
        <v>3.7091918071670012E-2</v>
      </c>
      <c r="N270" s="2">
        <f t="shared" ca="1" si="260"/>
        <v>3.7091918071670012E-2</v>
      </c>
      <c r="O270" s="2">
        <f t="shared" si="261"/>
        <v>6000000</v>
      </c>
      <c r="P270" s="2">
        <f t="shared" ca="1" si="262"/>
        <v>44969536.82655406</v>
      </c>
      <c r="Q270" s="2">
        <f t="shared" ca="1" si="263"/>
        <v>1124238.4206638515</v>
      </c>
      <c r="R270" s="2">
        <f t="shared" ca="1" si="264"/>
        <v>26981722.095932435</v>
      </c>
      <c r="S270" s="2">
        <f t="shared" ca="1" si="265"/>
        <v>17987814.730621625</v>
      </c>
      <c r="T270" s="2">
        <f t="shared" ca="1" si="266"/>
        <v>51854595.903583497</v>
      </c>
      <c r="U270" s="2">
        <f t="shared" ca="1" si="267"/>
        <v>51725634.893525235</v>
      </c>
      <c r="V270" s="2">
        <f t="shared" ca="1" si="268"/>
        <v>51596994.606091946</v>
      </c>
      <c r="W270" s="2">
        <f t="shared" ca="1" si="269"/>
        <v>51468674.243654937</v>
      </c>
      <c r="X270" s="2">
        <f t="shared" ca="1" si="270"/>
        <v>51340673.010569192</v>
      </c>
      <c r="Y270" s="2">
        <f t="shared" ca="1" si="271"/>
        <v>0.12565591769019438</v>
      </c>
      <c r="Z270" s="2">
        <f t="shared" ca="1" si="272"/>
        <v>0.12791828476627215</v>
      </c>
      <c r="AA270" s="2">
        <f t="shared" ca="1" si="273"/>
        <v>6515836.834718979</v>
      </c>
      <c r="AB270" s="2">
        <f t="shared" ca="1" si="274"/>
        <v>6616654.4940261841</v>
      </c>
      <c r="AC270" s="2">
        <f t="shared" ca="1" si="275"/>
        <v>6600199.049105878</v>
      </c>
      <c r="AD270" s="2">
        <f t="shared" ca="1" si="276"/>
        <v>6583784.5284423493</v>
      </c>
      <c r="AE270" s="2">
        <f t="shared" ca="1" si="277"/>
        <v>6567410.8302580528</v>
      </c>
      <c r="AF270" s="2">
        <f t="shared" ca="1" si="278"/>
        <v>1037091.91807167</v>
      </c>
      <c r="AG270" s="2">
        <f t="shared" ca="1" si="279"/>
        <v>1034512.6978705047</v>
      </c>
      <c r="AH270" s="2">
        <f t="shared" ca="1" si="280"/>
        <v>1031939.892121839</v>
      </c>
      <c r="AI270" s="2">
        <f t="shared" ca="1" si="281"/>
        <v>1029373.4848730988</v>
      </c>
      <c r="AJ270" s="2">
        <f t="shared" ca="1" si="282"/>
        <v>1026813.4602113839</v>
      </c>
      <c r="AK270" s="2">
        <f t="shared" ca="1" si="283"/>
        <v>0</v>
      </c>
      <c r="AL270" s="2">
        <f t="shared" ca="1" si="284"/>
        <v>0</v>
      </c>
      <c r="AM270" s="2">
        <f t="shared" ca="1" si="285"/>
        <v>0</v>
      </c>
      <c r="AN270" s="2">
        <f t="shared" ca="1" si="286"/>
        <v>0</v>
      </c>
      <c r="AO270" s="2">
        <f t="shared" ca="1" si="287"/>
        <v>0</v>
      </c>
      <c r="AP270" s="2">
        <f t="shared" ca="1" si="288"/>
        <v>2428354.988633919</v>
      </c>
      <c r="AQ270" s="2">
        <f t="shared" ca="1" si="289"/>
        <v>793101.38128348149</v>
      </c>
      <c r="AR270" s="2">
        <f t="shared" ca="1" si="290"/>
        <v>819984.56995565759</v>
      </c>
      <c r="AS270" s="2">
        <f t="shared" ca="1" si="291"/>
        <v>816375.08377103112</v>
      </c>
      <c r="AT270" s="2">
        <f t="shared" ca="1" si="292"/>
        <v>812774.57428318611</v>
      </c>
      <c r="AU270" s="2">
        <f t="shared" ca="1" si="293"/>
        <v>809183.01916731498</v>
      </c>
      <c r="AV270" s="2">
        <f t="shared" ca="1" si="294"/>
        <v>2257288.5467299088</v>
      </c>
      <c r="AW270" s="2">
        <f t="shared" ca="1" si="295"/>
        <v>2333802.2375661028</v>
      </c>
      <c r="AX270" s="2">
        <f t="shared" ca="1" si="296"/>
        <v>2323529.0845790883</v>
      </c>
      <c r="AY270" s="2">
        <f t="shared" ca="1" si="297"/>
        <v>2313281.4806521446</v>
      </c>
      <c r="AZ270" s="2">
        <f t="shared" ca="1" si="298"/>
        <v>2303059.3622454344</v>
      </c>
      <c r="BA270" s="2">
        <f t="shared" ca="1" si="299"/>
        <v>53868397.81852863</v>
      </c>
      <c r="BB270" s="2">
        <f t="shared" ca="1" si="300"/>
        <v>1077367.9563705726</v>
      </c>
      <c r="BC270" s="2">
        <f t="shared" ca="1" si="301"/>
        <v>25809307.766225621</v>
      </c>
      <c r="BD270" s="2">
        <f t="shared" ca="1" si="302"/>
        <v>-19612053.151285477</v>
      </c>
      <c r="BE270" s="2">
        <f t="shared" ca="1" si="303"/>
        <v>2257288.5467299088</v>
      </c>
      <c r="BF270" s="2">
        <f t="shared" ca="1" si="304"/>
        <v>2333802.2375661028</v>
      </c>
      <c r="BG270" s="2">
        <f t="shared" ca="1" si="305"/>
        <v>2323529.0845790883</v>
      </c>
      <c r="BH270" s="2">
        <f t="shared" ca="1" si="306"/>
        <v>2313281.4806521446</v>
      </c>
      <c r="BI270" s="2">
        <f t="shared" ca="1" si="307"/>
        <v>28112367.128471054</v>
      </c>
      <c r="BJ270" s="2">
        <f t="shared" ca="1" si="308"/>
        <v>0.16312669947060932</v>
      </c>
      <c r="BK270" s="2">
        <f t="shared" ca="1" si="309"/>
        <v>3339562.3018866517</v>
      </c>
    </row>
    <row r="271" spans="1:63" x14ac:dyDescent="0.3">
      <c r="A271" s="2">
        <v>270</v>
      </c>
      <c r="B271" s="2">
        <f t="shared" ca="1" si="248"/>
        <v>0.34652455845627717</v>
      </c>
      <c r="C271" s="2">
        <f t="shared" ca="1" si="249"/>
        <v>6.8324957158523727</v>
      </c>
      <c r="D271" s="2">
        <f t="shared" ca="1" si="250"/>
        <v>0.42604530761072679</v>
      </c>
      <c r="E271" s="2">
        <f t="shared" ca="1" si="251"/>
        <v>7.4230875447223053</v>
      </c>
      <c r="F271" s="2">
        <f t="shared" ca="1" si="252"/>
        <v>0.30527716172141772</v>
      </c>
      <c r="G271" s="2">
        <f t="shared" ca="1" si="253"/>
        <v>2.4721529317578584E-2</v>
      </c>
      <c r="H271" s="2">
        <f t="shared" ca="1" si="254"/>
        <v>2.4721529317578584E-2</v>
      </c>
      <c r="I271" s="2">
        <f t="shared" ca="1" si="255"/>
        <v>0.12178238680184006</v>
      </c>
      <c r="J271" s="2">
        <f t="shared" ca="1" si="256"/>
        <v>4.1693856789123962E-3</v>
      </c>
      <c r="K271" s="2">
        <f t="shared" ca="1" si="257"/>
        <v>4.1693856789123962E-3</v>
      </c>
      <c r="L271" s="2">
        <f t="shared" ca="1" si="258"/>
        <v>0.44265570370395424</v>
      </c>
      <c r="M271" s="2">
        <f t="shared" ca="1" si="259"/>
        <v>-2.8847885603260092E-3</v>
      </c>
      <c r="N271" s="2">
        <f t="shared" ca="1" si="260"/>
        <v>-2.8847885603260092E-3</v>
      </c>
      <c r="O271" s="2">
        <f t="shared" si="261"/>
        <v>6000000</v>
      </c>
      <c r="P271" s="2">
        <f t="shared" ca="1" si="262"/>
        <v>40994974.295114234</v>
      </c>
      <c r="Q271" s="2">
        <f t="shared" ca="1" si="263"/>
        <v>1024874.3573778559</v>
      </c>
      <c r="R271" s="2">
        <f t="shared" ca="1" si="264"/>
        <v>24596984.577068541</v>
      </c>
      <c r="S271" s="2">
        <f t="shared" ca="1" si="265"/>
        <v>16397989.718045695</v>
      </c>
      <c r="T271" s="2">
        <f t="shared" ca="1" si="266"/>
        <v>49855760.571983695</v>
      </c>
      <c r="U271" s="2">
        <f t="shared" ca="1" si="267"/>
        <v>51088271.218614168</v>
      </c>
      <c r="V271" s="2">
        <f t="shared" ca="1" si="268"/>
        <v>52351251.413329549</v>
      </c>
      <c r="W271" s="2">
        <f t="shared" ca="1" si="269"/>
        <v>53645454.409956105</v>
      </c>
      <c r="X271" s="2">
        <f t="shared" ca="1" si="270"/>
        <v>54971652.083906665</v>
      </c>
      <c r="Y271" s="2">
        <f t="shared" ca="1" si="271"/>
        <v>0.12208469283945619</v>
      </c>
      <c r="Z271" s="2">
        <f t="shared" ca="1" si="272"/>
        <v>0.12291856997523867</v>
      </c>
      <c r="AA271" s="2">
        <f t="shared" ca="1" si="273"/>
        <v>6086625.2157081002</v>
      </c>
      <c r="AB271" s="2">
        <f t="shared" ca="1" si="274"/>
        <v>6279697.2406991972</v>
      </c>
      <c r="AC271" s="2">
        <f t="shared" ca="1" si="275"/>
        <v>6434940.9601406604</v>
      </c>
      <c r="AD271" s="2">
        <f t="shared" ca="1" si="276"/>
        <v>6594022.5417436659</v>
      </c>
      <c r="AE271" s="2">
        <f t="shared" ca="1" si="277"/>
        <v>6757036.8633301565</v>
      </c>
      <c r="AF271" s="2">
        <f t="shared" ca="1" si="278"/>
        <v>997115.21143967391</v>
      </c>
      <c r="AG271" s="2">
        <f t="shared" ca="1" si="279"/>
        <v>1021765.4243722834</v>
      </c>
      <c r="AH271" s="2">
        <f t="shared" ca="1" si="280"/>
        <v>1047025.028266591</v>
      </c>
      <c r="AI271" s="2">
        <f t="shared" ca="1" si="281"/>
        <v>1072909.0881991221</v>
      </c>
      <c r="AJ271" s="2">
        <f t="shared" ca="1" si="282"/>
        <v>1099433.0416781334</v>
      </c>
      <c r="AK271" s="2">
        <f t="shared" ca="1" si="283"/>
        <v>0</v>
      </c>
      <c r="AL271" s="2">
        <f t="shared" ca="1" si="284"/>
        <v>12325.106466304735</v>
      </c>
      <c r="AM271" s="2">
        <f t="shared" ca="1" si="285"/>
        <v>12629.801947153806</v>
      </c>
      <c r="AN271" s="2">
        <f t="shared" ca="1" si="286"/>
        <v>12942.02996626556</v>
      </c>
      <c r="AO271" s="2">
        <f t="shared" ca="1" si="287"/>
        <v>13261.976739505604</v>
      </c>
      <c r="AP271" s="2">
        <f t="shared" ca="1" si="288"/>
        <v>2213728.6119361687</v>
      </c>
      <c r="AQ271" s="2">
        <f t="shared" ca="1" si="289"/>
        <v>747703.16200638702</v>
      </c>
      <c r="AR271" s="2">
        <f t="shared" ca="1" si="290"/>
        <v>791492.83314159361</v>
      </c>
      <c r="AS271" s="2">
        <f t="shared" ca="1" si="291"/>
        <v>825288.70318385423</v>
      </c>
      <c r="AT271" s="2">
        <f t="shared" ca="1" si="292"/>
        <v>859920.05881817755</v>
      </c>
      <c r="AU271" s="2">
        <f t="shared" ca="1" si="293"/>
        <v>895407.55452612217</v>
      </c>
      <c r="AV271" s="2">
        <f t="shared" ca="1" si="294"/>
        <v>2128078.2303258702</v>
      </c>
      <c r="AW271" s="2">
        <f t="shared" ca="1" si="295"/>
        <v>2240385.2647828469</v>
      </c>
      <c r="AX271" s="2">
        <f t="shared" ca="1" si="296"/>
        <v>2336268.8148068925</v>
      </c>
      <c r="AY271" s="2">
        <f t="shared" ca="1" si="297"/>
        <v>2434522.7528239321</v>
      </c>
      <c r="AZ271" s="2">
        <f t="shared" ca="1" si="298"/>
        <v>2535205.6784502268</v>
      </c>
      <c r="BA271" s="2">
        <f t="shared" ca="1" si="299"/>
        <v>50158076.179415561</v>
      </c>
      <c r="BB271" s="2">
        <f t="shared" ca="1" si="300"/>
        <v>1003161.5235883113</v>
      </c>
      <c r="BC271" s="2">
        <f t="shared" ca="1" si="301"/>
        <v>24557930.078758709</v>
      </c>
      <c r="BD271" s="2">
        <f t="shared" ca="1" si="302"/>
        <v>-17922864.07542355</v>
      </c>
      <c r="BE271" s="2">
        <f t="shared" ca="1" si="303"/>
        <v>2128078.2303258702</v>
      </c>
      <c r="BF271" s="2">
        <f t="shared" ca="1" si="304"/>
        <v>2240385.2647828469</v>
      </c>
      <c r="BG271" s="2">
        <f t="shared" ca="1" si="305"/>
        <v>2336268.8148068925</v>
      </c>
      <c r="BH271" s="2">
        <f t="shared" ca="1" si="306"/>
        <v>2434522.7528239321</v>
      </c>
      <c r="BI271" s="2">
        <f t="shared" ca="1" si="307"/>
        <v>27093135.757208936</v>
      </c>
      <c r="BJ271" s="2">
        <f t="shared" ca="1" si="308"/>
        <v>0.18015872775242792</v>
      </c>
      <c r="BK271" s="2">
        <f t="shared" ca="1" si="309"/>
        <v>4346693.2414618097</v>
      </c>
    </row>
    <row r="272" spans="1:63" x14ac:dyDescent="0.3">
      <c r="A272" s="2">
        <v>271</v>
      </c>
      <c r="B272" s="2">
        <f t="shared" ca="1" si="248"/>
        <v>0.4088634722792619</v>
      </c>
      <c r="C272" s="2">
        <f t="shared" ca="1" si="249"/>
        <v>6.9042825579201024</v>
      </c>
      <c r="D272" s="2">
        <f t="shared" ca="1" si="250"/>
        <v>0.9483219621959148</v>
      </c>
      <c r="E272" s="2">
        <f t="shared" ca="1" si="251"/>
        <v>8.1785096026190356</v>
      </c>
      <c r="F272" s="2">
        <f t="shared" ca="1" si="252"/>
        <v>0.85859138610372032</v>
      </c>
      <c r="G272" s="2">
        <f t="shared" ca="1" si="253"/>
        <v>7.2220365051399199E-2</v>
      </c>
      <c r="H272" s="2">
        <f t="shared" ca="1" si="254"/>
        <v>7.2220365051399199E-2</v>
      </c>
      <c r="I272" s="2">
        <f t="shared" ca="1" si="255"/>
        <v>0.43460409093062236</v>
      </c>
      <c r="J272" s="2">
        <f t="shared" ca="1" si="256"/>
        <v>9.1766782716225011E-3</v>
      </c>
      <c r="K272" s="2">
        <f t="shared" ca="1" si="257"/>
        <v>9.1766782716225011E-3</v>
      </c>
      <c r="L272" s="2">
        <f t="shared" ca="1" si="258"/>
        <v>1.9991873971679119E-2</v>
      </c>
      <c r="M272" s="2">
        <f t="shared" ca="1" si="259"/>
        <v>-4.1078335396459317E-2</v>
      </c>
      <c r="N272" s="2">
        <f t="shared" ca="1" si="260"/>
        <v>-4.1078335396459317E-2</v>
      </c>
      <c r="O272" s="2">
        <f t="shared" si="261"/>
        <v>6000000</v>
      </c>
      <c r="P272" s="2">
        <f t="shared" ca="1" si="262"/>
        <v>41425695.347520612</v>
      </c>
      <c r="Q272" s="2">
        <f t="shared" ca="1" si="263"/>
        <v>1035642.3836880154</v>
      </c>
      <c r="R272" s="2">
        <f t="shared" ca="1" si="264"/>
        <v>24855417.208512366</v>
      </c>
      <c r="S272" s="2">
        <f t="shared" ca="1" si="265"/>
        <v>16570278.139008246</v>
      </c>
      <c r="T272" s="2">
        <f t="shared" ca="1" si="266"/>
        <v>47946083.23017703</v>
      </c>
      <c r="U272" s="2">
        <f t="shared" ca="1" si="267"/>
        <v>51408766.863845192</v>
      </c>
      <c r="V272" s="2">
        <f t="shared" ca="1" si="268"/>
        <v>55121526.773594372</v>
      </c>
      <c r="W272" s="2">
        <f t="shared" ca="1" si="269"/>
        <v>59102423.559373833</v>
      </c>
      <c r="X272" s="2">
        <f t="shared" ca="1" si="270"/>
        <v>63370822.164254233</v>
      </c>
      <c r="Y272" s="2">
        <f t="shared" ca="1" si="271"/>
        <v>0.12458833913581124</v>
      </c>
      <c r="Z272" s="2">
        <f t="shared" ca="1" si="272"/>
        <v>0.12642367479013575</v>
      </c>
      <c r="AA272" s="2">
        <f t="shared" ca="1" si="273"/>
        <v>5973522.8777151285</v>
      </c>
      <c r="AB272" s="2">
        <f t="shared" ca="1" si="274"/>
        <v>6499285.2233566716</v>
      </c>
      <c r="AC272" s="2">
        <f t="shared" ca="1" si="275"/>
        <v>6968665.9747606553</v>
      </c>
      <c r="AD272" s="2">
        <f t="shared" ca="1" si="276"/>
        <v>7471945.5753791351</v>
      </c>
      <c r="AE272" s="2">
        <f t="shared" ca="1" si="277"/>
        <v>8011572.2124772035</v>
      </c>
      <c r="AF272" s="2">
        <f t="shared" ca="1" si="278"/>
        <v>958921.66460354067</v>
      </c>
      <c r="AG272" s="2">
        <f t="shared" ca="1" si="279"/>
        <v>1028175.3372769039</v>
      </c>
      <c r="AH272" s="2">
        <f t="shared" ca="1" si="280"/>
        <v>1102430.5354718876</v>
      </c>
      <c r="AI272" s="2">
        <f t="shared" ca="1" si="281"/>
        <v>1182048.4711874768</v>
      </c>
      <c r="AJ272" s="2">
        <f t="shared" ca="1" si="282"/>
        <v>1267416.4432850848</v>
      </c>
      <c r="AK272" s="2">
        <f t="shared" ca="1" si="283"/>
        <v>0</v>
      </c>
      <c r="AL272" s="2">
        <f t="shared" ca="1" si="284"/>
        <v>34626.836336681619</v>
      </c>
      <c r="AM272" s="2">
        <f t="shared" ca="1" si="285"/>
        <v>37127.599097491802</v>
      </c>
      <c r="AN272" s="2">
        <f t="shared" ca="1" si="286"/>
        <v>39808.967857794611</v>
      </c>
      <c r="AO272" s="2">
        <f t="shared" ca="1" si="287"/>
        <v>42683.986048803999</v>
      </c>
      <c r="AP272" s="2">
        <f t="shared" ca="1" si="288"/>
        <v>2236987.5487661129</v>
      </c>
      <c r="AQ272" s="2">
        <f t="shared" ca="1" si="289"/>
        <v>722179.55272982351</v>
      </c>
      <c r="AR272" s="2">
        <f t="shared" ca="1" si="290"/>
        <v>840871.80770155031</v>
      </c>
      <c r="AS272" s="2">
        <f t="shared" ca="1" si="291"/>
        <v>943604.45153589034</v>
      </c>
      <c r="AT272" s="2">
        <f t="shared" ca="1" si="292"/>
        <v>1053756.4844106417</v>
      </c>
      <c r="AU272" s="2">
        <f t="shared" ca="1" si="293"/>
        <v>1171863.7373107614</v>
      </c>
      <c r="AV272" s="2">
        <f t="shared" ca="1" si="294"/>
        <v>2055434.1116156513</v>
      </c>
      <c r="AW272" s="2">
        <f t="shared" ca="1" si="295"/>
        <v>2358623.6932754228</v>
      </c>
      <c r="AX272" s="2">
        <f t="shared" ca="1" si="296"/>
        <v>2648515.8398892721</v>
      </c>
      <c r="AY272" s="2">
        <f t="shared" ca="1" si="297"/>
        <v>2959344.1031571086</v>
      </c>
      <c r="AZ272" s="2">
        <f t="shared" ca="1" si="298"/>
        <v>3292620.4970664401</v>
      </c>
      <c r="BA272" s="2">
        <f t="shared" ca="1" si="299"/>
        <v>65522720.271820642</v>
      </c>
      <c r="BB272" s="2">
        <f t="shared" ca="1" si="300"/>
        <v>1310454.4054364129</v>
      </c>
      <c r="BC272" s="2">
        <f t="shared" ca="1" si="301"/>
        <v>39356848.657871865</v>
      </c>
      <c r="BD272" s="2">
        <f t="shared" ca="1" si="302"/>
        <v>-18105920.52269626</v>
      </c>
      <c r="BE272" s="2">
        <f t="shared" ca="1" si="303"/>
        <v>2055434.1116156513</v>
      </c>
      <c r="BF272" s="2">
        <f t="shared" ca="1" si="304"/>
        <v>2358623.6932754228</v>
      </c>
      <c r="BG272" s="2">
        <f t="shared" ca="1" si="305"/>
        <v>2648515.8398892721</v>
      </c>
      <c r="BH272" s="2">
        <f t="shared" ca="1" si="306"/>
        <v>2959344.1031571086</v>
      </c>
      <c r="BI272" s="2">
        <f t="shared" ca="1" si="307"/>
        <v>42649469.154938303</v>
      </c>
      <c r="BJ272" s="2">
        <f t="shared" ca="1" si="308"/>
        <v>0.27521252343590707</v>
      </c>
      <c r="BK272" s="2">
        <f t="shared" ca="1" si="309"/>
        <v>13575900.992543165</v>
      </c>
    </row>
    <row r="273" spans="1:63" x14ac:dyDescent="0.3">
      <c r="A273" s="2">
        <v>272</v>
      </c>
      <c r="B273" s="2">
        <f t="shared" ca="1" si="248"/>
        <v>0.94751927624718657</v>
      </c>
      <c r="C273" s="2">
        <f t="shared" ca="1" si="249"/>
        <v>7.6760224583314036</v>
      </c>
      <c r="D273" s="2">
        <f t="shared" ca="1" si="250"/>
        <v>0.47308938046823379</v>
      </c>
      <c r="E273" s="2">
        <f t="shared" ca="1" si="251"/>
        <v>7.4727172050171973</v>
      </c>
      <c r="F273" s="2">
        <f t="shared" ca="1" si="252"/>
        <v>0.35389267504001287</v>
      </c>
      <c r="G273" s="2">
        <f t="shared" ca="1" si="253"/>
        <v>2.8755037425720727E-2</v>
      </c>
      <c r="H273" s="2">
        <f t="shared" ca="1" si="254"/>
        <v>2.8755037425720727E-2</v>
      </c>
      <c r="I273" s="2">
        <f t="shared" ca="1" si="255"/>
        <v>0.91876778193709185</v>
      </c>
      <c r="J273" s="2">
        <f t="shared" ca="1" si="256"/>
        <v>1.6984154362468088E-2</v>
      </c>
      <c r="K273" s="2">
        <f t="shared" ca="1" si="257"/>
        <v>1.6984154362468088E-2</v>
      </c>
      <c r="L273" s="2">
        <f t="shared" ca="1" si="258"/>
        <v>3.1154247012128433E-3</v>
      </c>
      <c r="M273" s="2">
        <f t="shared" ca="1" si="259"/>
        <v>-5.4707579507603292E-2</v>
      </c>
      <c r="N273" s="2">
        <f t="shared" ca="1" si="260"/>
        <v>-0.05</v>
      </c>
      <c r="O273" s="2">
        <f t="shared" si="261"/>
        <v>6000000</v>
      </c>
      <c r="P273" s="2">
        <f t="shared" ca="1" si="262"/>
        <v>46056134.749988422</v>
      </c>
      <c r="Q273" s="2">
        <f t="shared" ca="1" si="263"/>
        <v>1151403.3687497105</v>
      </c>
      <c r="R273" s="2">
        <f t="shared" ca="1" si="264"/>
        <v>27633680.849993054</v>
      </c>
      <c r="S273" s="2">
        <f t="shared" ca="1" si="265"/>
        <v>18422453.899995368</v>
      </c>
      <c r="T273" s="2">
        <f t="shared" ca="1" si="266"/>
        <v>47500000</v>
      </c>
      <c r="U273" s="2">
        <f t="shared" ca="1" si="267"/>
        <v>48865864.27772174</v>
      </c>
      <c r="V273" s="2">
        <f t="shared" ca="1" si="268"/>
        <v>50271004.033867821</v>
      </c>
      <c r="W273" s="2">
        <f t="shared" ca="1" si="269"/>
        <v>51716548.636290252</v>
      </c>
      <c r="X273" s="2">
        <f t="shared" ca="1" si="270"/>
        <v>53203659.927855887</v>
      </c>
      <c r="Y273" s="2">
        <f t="shared" ca="1" si="271"/>
        <v>0.12849207718123404</v>
      </c>
      <c r="Z273" s="2">
        <f t="shared" ca="1" si="272"/>
        <v>0.13188890805372766</v>
      </c>
      <c r="AA273" s="2">
        <f t="shared" ca="1" si="273"/>
        <v>6103373.6661086166</v>
      </c>
      <c r="AB273" s="2">
        <f t="shared" ca="1" si="274"/>
        <v>6444865.4806903778</v>
      </c>
      <c r="AC273" s="2">
        <f t="shared" ca="1" si="275"/>
        <v>6630187.828791365</v>
      </c>
      <c r="AD273" s="2">
        <f t="shared" ca="1" si="276"/>
        <v>6820839.1279478194</v>
      </c>
      <c r="AE273" s="2">
        <f t="shared" ca="1" si="277"/>
        <v>7016972.6123467796</v>
      </c>
      <c r="AF273" s="2">
        <f t="shared" ca="1" si="278"/>
        <v>950000</v>
      </c>
      <c r="AG273" s="2">
        <f t="shared" ca="1" si="279"/>
        <v>977317.28555443487</v>
      </c>
      <c r="AH273" s="2">
        <f t="shared" ca="1" si="280"/>
        <v>1005420.0806773565</v>
      </c>
      <c r="AI273" s="2">
        <f t="shared" ca="1" si="281"/>
        <v>1034330.972725805</v>
      </c>
      <c r="AJ273" s="2">
        <f t="shared" ca="1" si="282"/>
        <v>1064073.1985571177</v>
      </c>
      <c r="AK273" s="2">
        <f t="shared" ca="1" si="283"/>
        <v>0</v>
      </c>
      <c r="AL273" s="2">
        <f t="shared" ca="1" si="284"/>
        <v>13658.642777217403</v>
      </c>
      <c r="AM273" s="2">
        <f t="shared" ca="1" si="285"/>
        <v>14051.397561460808</v>
      </c>
      <c r="AN273" s="2">
        <f t="shared" ca="1" si="286"/>
        <v>14455.446024224311</v>
      </c>
      <c r="AO273" s="2">
        <f t="shared" ca="1" si="287"/>
        <v>14871.112915656344</v>
      </c>
      <c r="AP273" s="2">
        <f t="shared" ca="1" si="288"/>
        <v>2487031.2764993748</v>
      </c>
      <c r="AQ273" s="2">
        <f t="shared" ca="1" si="289"/>
        <v>693249.02129840292</v>
      </c>
      <c r="AR273" s="2">
        <f t="shared" ca="1" si="290"/>
        <v>774934.39884550765</v>
      </c>
      <c r="AS273" s="2">
        <f t="shared" ca="1" si="291"/>
        <v>815811.4826198048</v>
      </c>
      <c r="AT273" s="2">
        <f t="shared" ca="1" si="292"/>
        <v>857863.98846788635</v>
      </c>
      <c r="AU273" s="2">
        <f t="shared" ca="1" si="293"/>
        <v>901125.71569547465</v>
      </c>
      <c r="AV273" s="2">
        <f t="shared" ca="1" si="294"/>
        <v>1973093.3683108389</v>
      </c>
      <c r="AW273" s="2">
        <f t="shared" ca="1" si="295"/>
        <v>2191923.8770138426</v>
      </c>
      <c r="AX273" s="2">
        <f t="shared" ca="1" si="296"/>
        <v>2307873.5914333677</v>
      </c>
      <c r="AY273" s="2">
        <f t="shared" ca="1" si="297"/>
        <v>2427157.4442305295</v>
      </c>
      <c r="AZ273" s="2">
        <f t="shared" ca="1" si="298"/>
        <v>2549871.308679156</v>
      </c>
      <c r="BA273" s="2">
        <f t="shared" ca="1" si="299"/>
        <v>52435851.967418246</v>
      </c>
      <c r="BB273" s="2">
        <f t="shared" ca="1" si="300"/>
        <v>1048717.039348365</v>
      </c>
      <c r="BC273" s="2">
        <f t="shared" ca="1" si="301"/>
        <v>23753454.078076828</v>
      </c>
      <c r="BD273" s="2">
        <f t="shared" ca="1" si="302"/>
        <v>-20073857.26874508</v>
      </c>
      <c r="BE273" s="2">
        <f t="shared" ca="1" si="303"/>
        <v>1973093.3683108389</v>
      </c>
      <c r="BF273" s="2">
        <f t="shared" ca="1" si="304"/>
        <v>2191923.8770138426</v>
      </c>
      <c r="BG273" s="2">
        <f t="shared" ca="1" si="305"/>
        <v>2307873.5914333677</v>
      </c>
      <c r="BH273" s="2">
        <f t="shared" ca="1" si="306"/>
        <v>2427157.4442305295</v>
      </c>
      <c r="BI273" s="2">
        <f t="shared" ca="1" si="307"/>
        <v>26303325.386755984</v>
      </c>
      <c r="BJ273" s="2">
        <f t="shared" ca="1" si="308"/>
        <v>0.13999299132278487</v>
      </c>
      <c r="BK273" s="2">
        <f t="shared" ca="1" si="309"/>
        <v>1545636.0244146325</v>
      </c>
    </row>
    <row r="274" spans="1:63" x14ac:dyDescent="0.3">
      <c r="A274" s="2">
        <v>273</v>
      </c>
      <c r="B274" s="2">
        <f t="shared" ca="1" si="248"/>
        <v>0.47843801668367492</v>
      </c>
      <c r="C274" s="2">
        <f t="shared" ca="1" si="249"/>
        <v>6.9782004055240163</v>
      </c>
      <c r="D274" s="2">
        <f t="shared" ca="1" si="250"/>
        <v>0.5596217988360952</v>
      </c>
      <c r="E274" s="2">
        <f t="shared" ca="1" si="251"/>
        <v>7.5615137708374141</v>
      </c>
      <c r="F274" s="2">
        <f t="shared" ca="1" si="252"/>
        <v>0.18617691506878087</v>
      </c>
      <c r="G274" s="2">
        <f t="shared" ca="1" si="253"/>
        <v>1.3237811364719097E-2</v>
      </c>
      <c r="H274" s="2">
        <f t="shared" ca="1" si="254"/>
        <v>1.3237811364719097E-2</v>
      </c>
      <c r="I274" s="2">
        <f t="shared" ca="1" si="255"/>
        <v>0.47551545274773566</v>
      </c>
      <c r="J274" s="2">
        <f t="shared" ca="1" si="256"/>
        <v>9.6929388053106965E-3</v>
      </c>
      <c r="K274" s="2">
        <f t="shared" ca="1" si="257"/>
        <v>9.6929388053106965E-3</v>
      </c>
      <c r="L274" s="2">
        <f t="shared" ca="1" si="258"/>
        <v>0.83285013859664891</v>
      </c>
      <c r="M274" s="2">
        <f t="shared" ca="1" si="259"/>
        <v>1.9309788794810621E-2</v>
      </c>
      <c r="N274" s="2">
        <f t="shared" ca="1" si="260"/>
        <v>1.9309788794810621E-2</v>
      </c>
      <c r="O274" s="2">
        <f t="shared" si="261"/>
        <v>6000000</v>
      </c>
      <c r="P274" s="2">
        <f t="shared" ca="1" si="262"/>
        <v>41869202.4331441</v>
      </c>
      <c r="Q274" s="2">
        <f t="shared" ca="1" si="263"/>
        <v>1046730.0608286025</v>
      </c>
      <c r="R274" s="2">
        <f t="shared" ca="1" si="264"/>
        <v>25121521.459886458</v>
      </c>
      <c r="S274" s="2">
        <f t="shared" ca="1" si="265"/>
        <v>16747680.97325764</v>
      </c>
      <c r="T274" s="2">
        <f t="shared" ca="1" si="266"/>
        <v>50965489.439740531</v>
      </c>
      <c r="U274" s="2">
        <f t="shared" ca="1" si="267"/>
        <v>51640160.975054398</v>
      </c>
      <c r="V274" s="2">
        <f t="shared" ca="1" si="268"/>
        <v>52323763.684885897</v>
      </c>
      <c r="W274" s="2">
        <f t="shared" ca="1" si="269"/>
        <v>53016415.798438556</v>
      </c>
      <c r="X274" s="2">
        <f t="shared" ca="1" si="270"/>
        <v>53718237.110011801</v>
      </c>
      <c r="Y274" s="2">
        <f t="shared" ca="1" si="271"/>
        <v>0.12484646940265534</v>
      </c>
      <c r="Z274" s="2">
        <f t="shared" ca="1" si="272"/>
        <v>0.12678505716371749</v>
      </c>
      <c r="AA274" s="2">
        <f t="shared" ca="1" si="273"/>
        <v>6362861.4179299204</v>
      </c>
      <c r="AB274" s="2">
        <f t="shared" ca="1" si="274"/>
        <v>6547200.7611658452</v>
      </c>
      <c r="AC274" s="2">
        <f t="shared" ca="1" si="275"/>
        <v>6633871.3698091041</v>
      </c>
      <c r="AD274" s="2">
        <f t="shared" ca="1" si="276"/>
        <v>6721689.3076204471</v>
      </c>
      <c r="AE274" s="2">
        <f t="shared" ca="1" si="277"/>
        <v>6810669.7627269765</v>
      </c>
      <c r="AF274" s="2">
        <f t="shared" ca="1" si="278"/>
        <v>1019309.7887948107</v>
      </c>
      <c r="AG274" s="2">
        <f t="shared" ca="1" si="279"/>
        <v>1032803.219501088</v>
      </c>
      <c r="AH274" s="2">
        <f t="shared" ca="1" si="280"/>
        <v>1046475.2736977179</v>
      </c>
      <c r="AI274" s="2">
        <f t="shared" ca="1" si="281"/>
        <v>1060328.3159687712</v>
      </c>
      <c r="AJ274" s="2">
        <f t="shared" ca="1" si="282"/>
        <v>1074364.7422002361</v>
      </c>
      <c r="AK274" s="2">
        <f t="shared" ca="1" si="283"/>
        <v>0</v>
      </c>
      <c r="AL274" s="2">
        <f t="shared" ca="1" si="284"/>
        <v>6746.7153531386703</v>
      </c>
      <c r="AM274" s="2">
        <f t="shared" ca="1" si="285"/>
        <v>6836.0270983149858</v>
      </c>
      <c r="AN274" s="2">
        <f t="shared" ca="1" si="286"/>
        <v>6926.5211355265974</v>
      </c>
      <c r="AO274" s="2">
        <f t="shared" ca="1" si="287"/>
        <v>7018.2131157324466</v>
      </c>
      <c r="AP274" s="2">
        <f t="shared" ca="1" si="288"/>
        <v>2260936.9313897812</v>
      </c>
      <c r="AQ274" s="2">
        <f t="shared" ca="1" si="289"/>
        <v>801479.82141378534</v>
      </c>
      <c r="AR274" s="2">
        <f t="shared" ca="1" si="290"/>
        <v>845899.75867149374</v>
      </c>
      <c r="AS274" s="2">
        <f t="shared" ca="1" si="291"/>
        <v>864879.38282761734</v>
      </c>
      <c r="AT274" s="2">
        <f t="shared" ca="1" si="292"/>
        <v>884110.25566809264</v>
      </c>
      <c r="AU274" s="2">
        <f t="shared" ca="1" si="293"/>
        <v>903595.70317560947</v>
      </c>
      <c r="AV274" s="2">
        <f t="shared" ca="1" si="294"/>
        <v>2281134.8763315431</v>
      </c>
      <c r="AW274" s="2">
        <f t="shared" ca="1" si="295"/>
        <v>2400814.1362503427</v>
      </c>
      <c r="AX274" s="2">
        <f t="shared" ca="1" si="296"/>
        <v>2454743.7547956728</v>
      </c>
      <c r="AY274" s="2">
        <f t="shared" ca="1" si="297"/>
        <v>2509387.2834582753</v>
      </c>
      <c r="AZ274" s="2">
        <f t="shared" ca="1" si="298"/>
        <v>2564754.1728456183</v>
      </c>
      <c r="BA274" s="2">
        <f t="shared" ca="1" si="299"/>
        <v>51498973.199486017</v>
      </c>
      <c r="BB274" s="2">
        <f t="shared" ca="1" si="300"/>
        <v>1029979.4639897203</v>
      </c>
      <c r="BC274" s="2">
        <f t="shared" ca="1" si="301"/>
        <v>25347472.27560984</v>
      </c>
      <c r="BD274" s="2">
        <f t="shared" ca="1" si="302"/>
        <v>-18294411.034086242</v>
      </c>
      <c r="BE274" s="2">
        <f t="shared" ca="1" si="303"/>
        <v>2281134.8763315431</v>
      </c>
      <c r="BF274" s="2">
        <f t="shared" ca="1" si="304"/>
        <v>2400814.1362503427</v>
      </c>
      <c r="BG274" s="2">
        <f t="shared" ca="1" si="305"/>
        <v>2454743.7547956728</v>
      </c>
      <c r="BH274" s="2">
        <f t="shared" ca="1" si="306"/>
        <v>2509387.2834582753</v>
      </c>
      <c r="BI274" s="2">
        <f t="shared" ca="1" si="307"/>
        <v>27912226.448455457</v>
      </c>
      <c r="BJ274" s="2">
        <f t="shared" ca="1" si="308"/>
        <v>0.18553398227428852</v>
      </c>
      <c r="BK274" s="2">
        <f t="shared" ca="1" si="309"/>
        <v>4836376.8568400443</v>
      </c>
    </row>
    <row r="275" spans="1:63" x14ac:dyDescent="0.3">
      <c r="A275" s="2">
        <v>274</v>
      </c>
      <c r="B275" s="2">
        <f t="shared" ca="1" si="248"/>
        <v>0.25794883669496937</v>
      </c>
      <c r="C275" s="2">
        <f t="shared" ca="1" si="249"/>
        <v>6.7182601711009315</v>
      </c>
      <c r="D275" s="2">
        <f t="shared" ca="1" si="250"/>
        <v>0.82548435138086207</v>
      </c>
      <c r="E275" s="2">
        <f t="shared" ca="1" si="251"/>
        <v>7.9092112922217659</v>
      </c>
      <c r="F275" s="2">
        <f t="shared" ca="1" si="252"/>
        <v>0.9974337982633823</v>
      </c>
      <c r="G275" s="2">
        <f t="shared" ca="1" si="253"/>
        <v>0.12395812069785322</v>
      </c>
      <c r="H275" s="2">
        <f t="shared" ca="1" si="254"/>
        <v>0.12</v>
      </c>
      <c r="I275" s="2">
        <f t="shared" ca="1" si="255"/>
        <v>0.9000265228369142</v>
      </c>
      <c r="J275" s="2">
        <f t="shared" ca="1" si="256"/>
        <v>1.6408513544473018E-2</v>
      </c>
      <c r="K275" s="2">
        <f t="shared" ca="1" si="257"/>
        <v>1.6408513544473018E-2</v>
      </c>
      <c r="L275" s="2">
        <f t="shared" ca="1" si="258"/>
        <v>0.395997429511739</v>
      </c>
      <c r="M275" s="2">
        <f t="shared" ca="1" si="259"/>
        <v>-5.274421389520236E-3</v>
      </c>
      <c r="N275" s="2">
        <f t="shared" ca="1" si="260"/>
        <v>-5.274421389520236E-3</v>
      </c>
      <c r="O275" s="2">
        <f t="shared" si="261"/>
        <v>6000000</v>
      </c>
      <c r="P275" s="2">
        <f t="shared" ca="1" si="262"/>
        <v>40309561.026605591</v>
      </c>
      <c r="Q275" s="2">
        <f t="shared" ca="1" si="263"/>
        <v>1007739.0256651398</v>
      </c>
      <c r="R275" s="2">
        <f t="shared" ca="1" si="264"/>
        <v>24185736.615963355</v>
      </c>
      <c r="S275" s="2">
        <f t="shared" ca="1" si="265"/>
        <v>16123824.410642236</v>
      </c>
      <c r="T275" s="2">
        <f t="shared" ca="1" si="266"/>
        <v>49736278.930523984</v>
      </c>
      <c r="U275" s="2">
        <f t="shared" ca="1" si="267"/>
        <v>55704632.402186871</v>
      </c>
      <c r="V275" s="2">
        <f t="shared" ca="1" si="268"/>
        <v>62389188.290449299</v>
      </c>
      <c r="W275" s="2">
        <f t="shared" ca="1" si="269"/>
        <v>69875890.885303214</v>
      </c>
      <c r="X275" s="2">
        <f t="shared" ca="1" si="270"/>
        <v>78260997.791539609</v>
      </c>
      <c r="Y275" s="2">
        <f t="shared" ca="1" si="271"/>
        <v>0.12820425677223651</v>
      </c>
      <c r="Z275" s="2">
        <f t="shared" ca="1" si="272"/>
        <v>0.13148595948113112</v>
      </c>
      <c r="AA275" s="2">
        <f t="shared" ca="1" si="273"/>
        <v>6376402.6749044741</v>
      </c>
      <c r="AB275" s="2">
        <f t="shared" ca="1" si="274"/>
        <v>7324377.0389452465</v>
      </c>
      <c r="AC275" s="2">
        <f t="shared" ca="1" si="275"/>
        <v>8203302.2836186765</v>
      </c>
      <c r="AD275" s="2">
        <f t="shared" ca="1" si="276"/>
        <v>9187698.5576529186</v>
      </c>
      <c r="AE275" s="2">
        <f t="shared" ca="1" si="277"/>
        <v>10290222.384571269</v>
      </c>
      <c r="AF275" s="2">
        <f t="shared" ca="1" si="278"/>
        <v>994725.57861047972</v>
      </c>
      <c r="AG275" s="2">
        <f t="shared" ca="1" si="279"/>
        <v>1114092.6480437375</v>
      </c>
      <c r="AH275" s="2">
        <f t="shared" ca="1" si="280"/>
        <v>1247783.765808986</v>
      </c>
      <c r="AI275" s="2">
        <f t="shared" ca="1" si="281"/>
        <v>1397517.8177060643</v>
      </c>
      <c r="AJ275" s="2">
        <f t="shared" ca="1" si="282"/>
        <v>1565219.9558307922</v>
      </c>
      <c r="AK275" s="2">
        <f t="shared" ca="1" si="283"/>
        <v>0</v>
      </c>
      <c r="AL275" s="2">
        <f t="shared" ca="1" si="284"/>
        <v>59683.534716628863</v>
      </c>
      <c r="AM275" s="2">
        <f t="shared" ca="1" si="285"/>
        <v>66845.558882624289</v>
      </c>
      <c r="AN275" s="2">
        <f t="shared" ca="1" si="286"/>
        <v>74867.025948539158</v>
      </c>
      <c r="AO275" s="2">
        <f t="shared" ca="1" si="287"/>
        <v>83851.069062363953</v>
      </c>
      <c r="AP275" s="2">
        <f t="shared" ca="1" si="288"/>
        <v>2176716.2954367017</v>
      </c>
      <c r="AQ275" s="2">
        <f t="shared" ca="1" si="289"/>
        <v>833289.80822289607</v>
      </c>
      <c r="AR275" s="2">
        <f t="shared" ca="1" si="290"/>
        <v>1048727.7048208499</v>
      </c>
      <c r="AS275" s="2">
        <f t="shared" ca="1" si="291"/>
        <v>1242488.5778169772</v>
      </c>
      <c r="AT275" s="2">
        <f t="shared" ca="1" si="292"/>
        <v>1459500.7555726396</v>
      </c>
      <c r="AU275" s="2">
        <f t="shared" ca="1" si="293"/>
        <v>1702554.3946589816</v>
      </c>
      <c r="AV275" s="2">
        <f t="shared" ca="1" si="294"/>
        <v>2371670.9926343961</v>
      </c>
      <c r="AW275" s="2">
        <f t="shared" ca="1" si="295"/>
        <v>2925156.8559273286</v>
      </c>
      <c r="AX275" s="2">
        <f t="shared" ca="1" si="296"/>
        <v>3469468.0856733881</v>
      </c>
      <c r="AY275" s="2">
        <f t="shared" ca="1" si="297"/>
        <v>4079096.6629889738</v>
      </c>
      <c r="AZ275" s="2">
        <f t="shared" ca="1" si="298"/>
        <v>4761880.6695824303</v>
      </c>
      <c r="BA275" s="2">
        <f t="shared" ca="1" si="299"/>
        <v>81387543.083524272</v>
      </c>
      <c r="BB275" s="2">
        <f t="shared" ca="1" si="300"/>
        <v>1627750.8616704855</v>
      </c>
      <c r="BC275" s="2">
        <f t="shared" ca="1" si="301"/>
        <v>55574055.605890431</v>
      </c>
      <c r="BD275" s="2">
        <f t="shared" ca="1" si="302"/>
        <v>-17631563.436307378</v>
      </c>
      <c r="BE275" s="2">
        <f t="shared" ca="1" si="303"/>
        <v>2371670.9926343961</v>
      </c>
      <c r="BF275" s="2">
        <f t="shared" ca="1" si="304"/>
        <v>2925156.8559273286</v>
      </c>
      <c r="BG275" s="2">
        <f t="shared" ca="1" si="305"/>
        <v>3469468.0856733881</v>
      </c>
      <c r="BH275" s="2">
        <f t="shared" ca="1" si="306"/>
        <v>4079096.6629889738</v>
      </c>
      <c r="BI275" s="2">
        <f t="shared" ca="1" si="307"/>
        <v>60335936.275472865</v>
      </c>
      <c r="BJ275" s="2">
        <f t="shared" ca="1" si="308"/>
        <v>0.38232504491250263</v>
      </c>
      <c r="BK275" s="2">
        <f t="shared" ca="1" si="309"/>
        <v>26115986.220715955</v>
      </c>
    </row>
    <row r="276" spans="1:63" x14ac:dyDescent="0.3">
      <c r="A276" s="2">
        <v>275</v>
      </c>
      <c r="B276" s="2">
        <f t="shared" ca="1" si="248"/>
        <v>9.837489819524381E-2</v>
      </c>
      <c r="C276" s="2">
        <f t="shared" ca="1" si="249"/>
        <v>6.4435648728094774</v>
      </c>
      <c r="D276" s="2">
        <f t="shared" ca="1" si="250"/>
        <v>0.25442434317997142</v>
      </c>
      <c r="E276" s="2">
        <f t="shared" ca="1" si="251"/>
        <v>7.2133363066323923</v>
      </c>
      <c r="F276" s="2">
        <f t="shared" ca="1" si="252"/>
        <v>0.9607026255489346</v>
      </c>
      <c r="G276" s="2">
        <f t="shared" ca="1" si="253"/>
        <v>9.276695519574911E-2</v>
      </c>
      <c r="H276" s="2">
        <f t="shared" ca="1" si="254"/>
        <v>9.276695519574911E-2</v>
      </c>
      <c r="I276" s="2">
        <f t="shared" ca="1" si="255"/>
        <v>0.43960144986806993</v>
      </c>
      <c r="J276" s="2">
        <f t="shared" ca="1" si="256"/>
        <v>9.2401012022727443E-3</v>
      </c>
      <c r="K276" s="2">
        <f t="shared" ca="1" si="257"/>
        <v>9.2401012022727443E-3</v>
      </c>
      <c r="L276" s="2">
        <f t="shared" ca="1" si="258"/>
        <v>0.98531188319933471</v>
      </c>
      <c r="M276" s="2">
        <f t="shared" ca="1" si="259"/>
        <v>4.3568009758484509E-2</v>
      </c>
      <c r="N276" s="2">
        <f t="shared" ca="1" si="260"/>
        <v>4.3568009758484509E-2</v>
      </c>
      <c r="O276" s="2">
        <f t="shared" si="261"/>
        <v>6000000</v>
      </c>
      <c r="P276" s="2">
        <f t="shared" ca="1" si="262"/>
        <v>38661389.236856863</v>
      </c>
      <c r="Q276" s="2">
        <f t="shared" ca="1" si="263"/>
        <v>966534.73092142167</v>
      </c>
      <c r="R276" s="2">
        <f t="shared" ca="1" si="264"/>
        <v>23196833.542114116</v>
      </c>
      <c r="S276" s="2">
        <f t="shared" ca="1" si="265"/>
        <v>15464555.694742747</v>
      </c>
      <c r="T276" s="2">
        <f t="shared" ca="1" si="266"/>
        <v>52178400.487924226</v>
      </c>
      <c r="U276" s="2">
        <f t="shared" ca="1" si="267"/>
        <v>57018831.828173347</v>
      </c>
      <c r="V276" s="2">
        <f t="shared" ca="1" si="268"/>
        <v>62308295.245691456</v>
      </c>
      <c r="W276" s="2">
        <f t="shared" ca="1" si="269"/>
        <v>68088446.079072013</v>
      </c>
      <c r="X276" s="2">
        <f t="shared" ca="1" si="270"/>
        <v>74404803.905837461</v>
      </c>
      <c r="Y276" s="2">
        <f t="shared" ca="1" si="271"/>
        <v>0.12462005060113637</v>
      </c>
      <c r="Z276" s="2">
        <f t="shared" ca="1" si="272"/>
        <v>0.12646807084159092</v>
      </c>
      <c r="AA276" s="2">
        <f t="shared" ca="1" si="273"/>
        <v>6502474.9090914754</v>
      </c>
      <c r="AB276" s="2">
        <f t="shared" ca="1" si="274"/>
        <v>7211061.6629501861</v>
      </c>
      <c r="AC276" s="2">
        <f t="shared" ca="1" si="275"/>
        <v>7880009.8971508704</v>
      </c>
      <c r="AD276" s="2">
        <f t="shared" ca="1" si="276"/>
        <v>8611014.4222219232</v>
      </c>
      <c r="AE276" s="2">
        <f t="shared" ca="1" si="277"/>
        <v>9409832.0113181323</v>
      </c>
      <c r="AF276" s="2">
        <f t="shared" ca="1" si="278"/>
        <v>1043568.0097584845</v>
      </c>
      <c r="AG276" s="2">
        <f t="shared" ca="1" si="279"/>
        <v>1140376.6365634669</v>
      </c>
      <c r="AH276" s="2">
        <f t="shared" ca="1" si="280"/>
        <v>1246165.9049138292</v>
      </c>
      <c r="AI276" s="2">
        <f t="shared" ca="1" si="281"/>
        <v>1361768.9215814404</v>
      </c>
      <c r="AJ276" s="2">
        <f t="shared" ca="1" si="282"/>
        <v>1488096.0781167492</v>
      </c>
      <c r="AK276" s="2">
        <f t="shared" ca="1" si="283"/>
        <v>0</v>
      </c>
      <c r="AL276" s="2">
        <f t="shared" ca="1" si="284"/>
        <v>48404.313402491214</v>
      </c>
      <c r="AM276" s="2">
        <f t="shared" ca="1" si="285"/>
        <v>52894.634175181091</v>
      </c>
      <c r="AN276" s="2">
        <f t="shared" ca="1" si="286"/>
        <v>57801.508333805577</v>
      </c>
      <c r="AO276" s="2">
        <f t="shared" ca="1" si="287"/>
        <v>63163.578267654477</v>
      </c>
      <c r="AP276" s="2">
        <f t="shared" ca="1" si="288"/>
        <v>2087715.0187902704</v>
      </c>
      <c r="AQ276" s="2">
        <f t="shared" ca="1" si="289"/>
        <v>876509.88894110743</v>
      </c>
      <c r="AR276" s="2">
        <f t="shared" ca="1" si="290"/>
        <v>1035572.2019750768</v>
      </c>
      <c r="AS276" s="2">
        <f t="shared" ca="1" si="291"/>
        <v>1181993.5330961603</v>
      </c>
      <c r="AT276" s="2">
        <f t="shared" ca="1" si="292"/>
        <v>1341997.9252810553</v>
      </c>
      <c r="AU276" s="2">
        <f t="shared" ca="1" si="293"/>
        <v>1516845.4377468894</v>
      </c>
      <c r="AV276" s="2">
        <f t="shared" ca="1" si="294"/>
        <v>2494681.9916016134</v>
      </c>
      <c r="AW276" s="2">
        <f t="shared" ca="1" si="295"/>
        <v>2898993.4922188809</v>
      </c>
      <c r="AX276" s="2">
        <f t="shared" ca="1" si="296"/>
        <v>3311240.8061754284</v>
      </c>
      <c r="AY276" s="2">
        <f t="shared" ca="1" si="297"/>
        <v>3761731.0482353512</v>
      </c>
      <c r="AZ276" s="2">
        <f t="shared" ca="1" si="298"/>
        <v>4254011.8983965693</v>
      </c>
      <c r="BA276" s="2">
        <f t="shared" ca="1" si="299"/>
        <v>67876282.886552796</v>
      </c>
      <c r="BB276" s="2">
        <f t="shared" ca="1" si="300"/>
        <v>1357525.657731056</v>
      </c>
      <c r="BC276" s="2">
        <f t="shared" ca="1" si="301"/>
        <v>43321923.686707623</v>
      </c>
      <c r="BD276" s="2">
        <f t="shared" ca="1" si="302"/>
        <v>-16931090.425664168</v>
      </c>
      <c r="BE276" s="2">
        <f t="shared" ca="1" si="303"/>
        <v>2494681.9916016134</v>
      </c>
      <c r="BF276" s="2">
        <f t="shared" ca="1" si="304"/>
        <v>2898993.4922188809</v>
      </c>
      <c r="BG276" s="2">
        <f t="shared" ca="1" si="305"/>
        <v>3311240.8061754284</v>
      </c>
      <c r="BH276" s="2">
        <f t="shared" ca="1" si="306"/>
        <v>3761731.0482353512</v>
      </c>
      <c r="BI276" s="2">
        <f t="shared" ca="1" si="307"/>
        <v>47575935.58510419</v>
      </c>
      <c r="BJ276" s="2">
        <f t="shared" ca="1" si="308"/>
        <v>0.34195040366909191</v>
      </c>
      <c r="BK276" s="2">
        <f t="shared" ca="1" si="309"/>
        <v>19350751.498517584</v>
      </c>
    </row>
    <row r="277" spans="1:63" x14ac:dyDescent="0.3">
      <c r="A277" s="2">
        <v>276</v>
      </c>
      <c r="B277" s="2">
        <f t="shared" ca="1" si="248"/>
        <v>0.58362900786111482</v>
      </c>
      <c r="C277" s="2">
        <f t="shared" ca="1" si="249"/>
        <v>7.08745302352275</v>
      </c>
      <c r="D277" s="2">
        <f t="shared" ca="1" si="250"/>
        <v>1.6271550074891006E-2</v>
      </c>
      <c r="E277" s="2">
        <f t="shared" ca="1" si="251"/>
        <v>6.6803970624754792</v>
      </c>
      <c r="F277" s="2">
        <f t="shared" ca="1" si="252"/>
        <v>0.62126437929381673</v>
      </c>
      <c r="G277" s="2">
        <f t="shared" ca="1" si="253"/>
        <v>4.926409573889285E-2</v>
      </c>
      <c r="H277" s="2">
        <f t="shared" ca="1" si="254"/>
        <v>4.926409573889285E-2</v>
      </c>
      <c r="I277" s="2">
        <f t="shared" ca="1" si="255"/>
        <v>0.51819525427224478</v>
      </c>
      <c r="J277" s="2">
        <f t="shared" ca="1" si="256"/>
        <v>1.0228122812843762E-2</v>
      </c>
      <c r="K277" s="2">
        <f t="shared" ca="1" si="257"/>
        <v>1.0228122812843762E-2</v>
      </c>
      <c r="L277" s="2">
        <f t="shared" ca="1" si="258"/>
        <v>0.71889079422067814</v>
      </c>
      <c r="M277" s="2">
        <f t="shared" ca="1" si="259"/>
        <v>1.1590991335759193E-2</v>
      </c>
      <c r="N277" s="2">
        <f t="shared" ca="1" si="260"/>
        <v>1.1590991335759193E-2</v>
      </c>
      <c r="O277" s="2">
        <f t="shared" si="261"/>
        <v>6000000</v>
      </c>
      <c r="P277" s="2">
        <f t="shared" ca="1" si="262"/>
        <v>42524718.141136497</v>
      </c>
      <c r="Q277" s="2">
        <f t="shared" ca="1" si="263"/>
        <v>1063117.9535284124</v>
      </c>
      <c r="R277" s="2">
        <f t="shared" ca="1" si="264"/>
        <v>25514830.884681899</v>
      </c>
      <c r="S277" s="2">
        <f t="shared" ca="1" si="265"/>
        <v>17009887.256454598</v>
      </c>
      <c r="T277" s="2">
        <f t="shared" ca="1" si="266"/>
        <v>50579549.566787966</v>
      </c>
      <c r="U277" s="2">
        <f t="shared" ca="1" si="267"/>
        <v>53071305.339076281</v>
      </c>
      <c r="V277" s="2">
        <f t="shared" ca="1" si="268"/>
        <v>55685815.206288546</v>
      </c>
      <c r="W277" s="2">
        <f t="shared" ca="1" si="269"/>
        <v>58429126.537909441</v>
      </c>
      <c r="X277" s="2">
        <f t="shared" ca="1" si="270"/>
        <v>61307584.621612892</v>
      </c>
      <c r="Y277" s="2">
        <f t="shared" ca="1" si="271"/>
        <v>0.12511406140642187</v>
      </c>
      <c r="Z277" s="2">
        <f t="shared" ca="1" si="272"/>
        <v>0.12715968596899063</v>
      </c>
      <c r="AA277" s="2">
        <f t="shared" ca="1" si="273"/>
        <v>6328212.8704082677</v>
      </c>
      <c r="AB277" s="2">
        <f t="shared" ca="1" si="274"/>
        <v>6748530.5208813557</v>
      </c>
      <c r="AC277" s="2">
        <f t="shared" ca="1" si="275"/>
        <v>7080990.7745588953</v>
      </c>
      <c r="AD277" s="2">
        <f t="shared" ca="1" si="276"/>
        <v>7429829.3820029814</v>
      </c>
      <c r="AE277" s="2">
        <f t="shared" ca="1" si="277"/>
        <v>7795853.2080016145</v>
      </c>
      <c r="AF277" s="2">
        <f t="shared" ca="1" si="278"/>
        <v>1011590.9913357593</v>
      </c>
      <c r="AG277" s="2">
        <f t="shared" ca="1" si="279"/>
        <v>1061426.1067815255</v>
      </c>
      <c r="AH277" s="2">
        <f t="shared" ca="1" si="280"/>
        <v>1113716.3041257709</v>
      </c>
      <c r="AI277" s="2">
        <f t="shared" ca="1" si="281"/>
        <v>1168582.5307581888</v>
      </c>
      <c r="AJ277" s="2">
        <f t="shared" ca="1" si="282"/>
        <v>1226151.6924322578</v>
      </c>
      <c r="AK277" s="2">
        <f t="shared" ca="1" si="283"/>
        <v>0</v>
      </c>
      <c r="AL277" s="2">
        <f t="shared" ca="1" si="284"/>
        <v>24917.55772288315</v>
      </c>
      <c r="AM277" s="2">
        <f t="shared" ca="1" si="285"/>
        <v>26145.098672122658</v>
      </c>
      <c r="AN277" s="2">
        <f t="shared" ca="1" si="286"/>
        <v>27433.113316208943</v>
      </c>
      <c r="AO277" s="2">
        <f t="shared" ca="1" si="287"/>
        <v>28784.580837034508</v>
      </c>
      <c r="AP277" s="2">
        <f t="shared" ca="1" si="288"/>
        <v>2296334.7796213706</v>
      </c>
      <c r="AQ277" s="2">
        <f t="shared" ca="1" si="289"/>
        <v>785274.64585729595</v>
      </c>
      <c r="AR277" s="2">
        <f t="shared" ca="1" si="290"/>
        <v>881600.10496439948</v>
      </c>
      <c r="AS277" s="2">
        <f t="shared" ca="1" si="291"/>
        <v>954444.31961105601</v>
      </c>
      <c r="AT277" s="2">
        <f t="shared" ca="1" si="292"/>
        <v>1030877.1386220896</v>
      </c>
      <c r="AU277" s="2">
        <f t="shared" ca="1" si="293"/>
        <v>1111075.3513464767</v>
      </c>
      <c r="AV277" s="2">
        <f t="shared" ca="1" si="294"/>
        <v>2235012.4535938422</v>
      </c>
      <c r="AW277" s="2">
        <f t="shared" ca="1" si="295"/>
        <v>2484251.9717911766</v>
      </c>
      <c r="AX277" s="2">
        <f t="shared" ca="1" si="296"/>
        <v>2690350.2725285753</v>
      </c>
      <c r="AY277" s="2">
        <f t="shared" ca="1" si="297"/>
        <v>2906601.8196851234</v>
      </c>
      <c r="AZ277" s="2">
        <f t="shared" ca="1" si="298"/>
        <v>3133506.803764475</v>
      </c>
      <c r="BA277" s="2">
        <f t="shared" ca="1" si="299"/>
        <v>52079394.870224029</v>
      </c>
      <c r="BB277" s="2">
        <f t="shared" ca="1" si="300"/>
        <v>1041587.8974044806</v>
      </c>
      <c r="BC277" s="2">
        <f t="shared" ca="1" si="301"/>
        <v>25522976.088137649</v>
      </c>
      <c r="BD277" s="2">
        <f t="shared" ca="1" si="302"/>
        <v>-18573005.20998301</v>
      </c>
      <c r="BE277" s="2">
        <f t="shared" ca="1" si="303"/>
        <v>2235012.4535938422</v>
      </c>
      <c r="BF277" s="2">
        <f t="shared" ca="1" si="304"/>
        <v>2484251.9717911766</v>
      </c>
      <c r="BG277" s="2">
        <f t="shared" ca="1" si="305"/>
        <v>2690350.2725285753</v>
      </c>
      <c r="BH277" s="2">
        <f t="shared" ca="1" si="306"/>
        <v>2906601.8196851234</v>
      </c>
      <c r="BI277" s="2">
        <f t="shared" ca="1" si="307"/>
        <v>28656482.891902123</v>
      </c>
      <c r="BJ277" s="2">
        <f t="shared" ca="1" si="308"/>
        <v>0.19178983454528131</v>
      </c>
      <c r="BK277" s="2">
        <f t="shared" ca="1" si="309"/>
        <v>5425566.2559142895</v>
      </c>
    </row>
    <row r="278" spans="1:63" x14ac:dyDescent="0.3">
      <c r="A278" s="2">
        <v>277</v>
      </c>
      <c r="B278" s="2">
        <f t="shared" ca="1" si="248"/>
        <v>0.68451645434800157</v>
      </c>
      <c r="C278" s="2">
        <f t="shared" ca="1" si="249"/>
        <v>7.205665630037327</v>
      </c>
      <c r="D278" s="2">
        <f t="shared" ca="1" si="250"/>
        <v>0.36431646067583723</v>
      </c>
      <c r="E278" s="2">
        <f t="shared" ca="1" si="251"/>
        <v>7.3535999773615712</v>
      </c>
      <c r="F278" s="2">
        <f t="shared" ca="1" si="252"/>
        <v>0.16868839550866177</v>
      </c>
      <c r="G278" s="2">
        <f t="shared" ca="1" si="253"/>
        <v>1.1219162611707328E-2</v>
      </c>
      <c r="H278" s="2">
        <f t="shared" ca="1" si="254"/>
        <v>1.1219162611707328E-2</v>
      </c>
      <c r="I278" s="2">
        <f t="shared" ca="1" si="255"/>
        <v>0.52600154090833373</v>
      </c>
      <c r="J278" s="2">
        <f t="shared" ca="1" si="256"/>
        <v>1.0326112052088145E-2</v>
      </c>
      <c r="K278" s="2">
        <f t="shared" ca="1" si="257"/>
        <v>1.0326112052088145E-2</v>
      </c>
      <c r="L278" s="2">
        <f t="shared" ca="1" si="258"/>
        <v>0.11784737273694612</v>
      </c>
      <c r="M278" s="2">
        <f t="shared" ca="1" si="259"/>
        <v>-2.371633144319486E-2</v>
      </c>
      <c r="N278" s="2">
        <f t="shared" ca="1" si="260"/>
        <v>-2.371633144319486E-2</v>
      </c>
      <c r="O278" s="2">
        <f t="shared" si="261"/>
        <v>6000000</v>
      </c>
      <c r="P278" s="2">
        <f t="shared" ca="1" si="262"/>
        <v>43233993.780223958</v>
      </c>
      <c r="Q278" s="2">
        <f t="shared" ca="1" si="263"/>
        <v>1080849.844505599</v>
      </c>
      <c r="R278" s="2">
        <f t="shared" ca="1" si="264"/>
        <v>25940396.268134374</v>
      </c>
      <c r="S278" s="2">
        <f t="shared" ca="1" si="265"/>
        <v>17293597.512089584</v>
      </c>
      <c r="T278" s="2">
        <f t="shared" ca="1" si="266"/>
        <v>48814183.427840255</v>
      </c>
      <c r="U278" s="2">
        <f t="shared" ca="1" si="267"/>
        <v>49361837.689474903</v>
      </c>
      <c r="V278" s="2">
        <f t="shared" ca="1" si="268"/>
        <v>49915636.173325822</v>
      </c>
      <c r="W278" s="2">
        <f t="shared" ca="1" si="269"/>
        <v>50475647.81242118</v>
      </c>
      <c r="X278" s="2">
        <f t="shared" ca="1" si="270"/>
        <v>51041942.313160002</v>
      </c>
      <c r="Y278" s="2">
        <f t="shared" ca="1" si="271"/>
        <v>0.12516305602604408</v>
      </c>
      <c r="Z278" s="2">
        <f t="shared" ca="1" si="272"/>
        <v>0.1272282784364617</v>
      </c>
      <c r="AA278" s="2">
        <f t="shared" ca="1" si="273"/>
        <v>6109732.3752443623</v>
      </c>
      <c r="AB278" s="2">
        <f t="shared" ca="1" si="274"/>
        <v>6280221.6296919426</v>
      </c>
      <c r="AC278" s="2">
        <f t="shared" ca="1" si="275"/>
        <v>6350680.4573930176</v>
      </c>
      <c r="AD278" s="2">
        <f t="shared" ca="1" si="276"/>
        <v>6421929.7741395012</v>
      </c>
      <c r="AE278" s="2">
        <f t="shared" ca="1" si="277"/>
        <v>6493978.4485565368</v>
      </c>
      <c r="AF278" s="2">
        <f t="shared" ca="1" si="278"/>
        <v>976283.66855680512</v>
      </c>
      <c r="AG278" s="2">
        <f t="shared" ca="1" si="279"/>
        <v>987236.75378949812</v>
      </c>
      <c r="AH278" s="2">
        <f t="shared" ca="1" si="280"/>
        <v>998312.72346651647</v>
      </c>
      <c r="AI278" s="2">
        <f t="shared" ca="1" si="281"/>
        <v>1009512.9562484237</v>
      </c>
      <c r="AJ278" s="2">
        <f t="shared" ca="1" si="282"/>
        <v>1020838.8462632</v>
      </c>
      <c r="AK278" s="2">
        <f t="shared" ca="1" si="283"/>
        <v>0</v>
      </c>
      <c r="AL278" s="2">
        <f t="shared" ca="1" si="284"/>
        <v>5476.542616346479</v>
      </c>
      <c r="AM278" s="2">
        <f t="shared" ca="1" si="285"/>
        <v>5537.9848385091873</v>
      </c>
      <c r="AN278" s="2">
        <f t="shared" ca="1" si="286"/>
        <v>5600.1163909535853</v>
      </c>
      <c r="AO278" s="2">
        <f t="shared" ca="1" si="287"/>
        <v>5662.945007388219</v>
      </c>
      <c r="AP278" s="2">
        <f t="shared" ca="1" si="288"/>
        <v>2334635.6641320935</v>
      </c>
      <c r="AQ278" s="2">
        <f t="shared" ca="1" si="289"/>
        <v>727691.39106442069</v>
      </c>
      <c r="AR278" s="2">
        <f t="shared" ca="1" si="290"/>
        <v>769170.79506029119</v>
      </c>
      <c r="AS278" s="2">
        <f t="shared" ca="1" si="291"/>
        <v>784610.33814654604</v>
      </c>
      <c r="AT278" s="2">
        <f t="shared" ca="1" si="292"/>
        <v>800223.09997733578</v>
      </c>
      <c r="AU278" s="2">
        <f t="shared" ca="1" si="293"/>
        <v>816011.02392192325</v>
      </c>
      <c r="AV278" s="2">
        <f t="shared" ca="1" si="294"/>
        <v>2071121.6514910436</v>
      </c>
      <c r="AW278" s="2">
        <f t="shared" ca="1" si="295"/>
        <v>2183701.8740937128</v>
      </c>
      <c r="AX278" s="2">
        <f t="shared" ca="1" si="296"/>
        <v>2227583.7468093527</v>
      </c>
      <c r="AY278" s="2">
        <f t="shared" ca="1" si="297"/>
        <v>2271957.9373906939</v>
      </c>
      <c r="AZ278" s="2">
        <f t="shared" ca="1" si="298"/>
        <v>2316829.969231932</v>
      </c>
      <c r="BA278" s="2">
        <f t="shared" ca="1" si="299"/>
        <v>47754119.772291884</v>
      </c>
      <c r="BB278" s="2">
        <f t="shared" ca="1" si="300"/>
        <v>955082.39544583764</v>
      </c>
      <c r="BC278" s="2">
        <f t="shared" ca="1" si="301"/>
        <v>20858641.108711671</v>
      </c>
      <c r="BD278" s="2">
        <f t="shared" ca="1" si="302"/>
        <v>-18874447.356595185</v>
      </c>
      <c r="BE278" s="2">
        <f t="shared" ca="1" si="303"/>
        <v>2071121.6514910436</v>
      </c>
      <c r="BF278" s="2">
        <f t="shared" ca="1" si="304"/>
        <v>2183701.8740937128</v>
      </c>
      <c r="BG278" s="2">
        <f t="shared" ca="1" si="305"/>
        <v>2227583.7468093527</v>
      </c>
      <c r="BH278" s="2">
        <f t="shared" ca="1" si="306"/>
        <v>2271957.9373906939</v>
      </c>
      <c r="BI278" s="2">
        <f t="shared" ca="1" si="307"/>
        <v>23175471.077943604</v>
      </c>
      <c r="BJ278" s="2">
        <f t="shared" ca="1" si="308"/>
        <v>0.13267912122763037</v>
      </c>
      <c r="BK278" s="2">
        <f t="shared" ca="1" si="309"/>
        <v>895407.30555997044</v>
      </c>
    </row>
    <row r="279" spans="1:63" x14ac:dyDescent="0.3">
      <c r="A279" s="2">
        <v>278</v>
      </c>
      <c r="B279" s="2">
        <f t="shared" ca="1" si="248"/>
        <v>0.66025541280818989</v>
      </c>
      <c r="C279" s="2">
        <f t="shared" ca="1" si="249"/>
        <v>7.1756886665927606</v>
      </c>
      <c r="D279" s="2">
        <f t="shared" ca="1" si="250"/>
        <v>0.50243370441942514</v>
      </c>
      <c r="E279" s="2">
        <f t="shared" ca="1" si="251"/>
        <v>7.5024366731073409</v>
      </c>
      <c r="F279" s="2">
        <f t="shared" ca="1" si="252"/>
        <v>0.13037255833626249</v>
      </c>
      <c r="G279" s="2">
        <f t="shared" ca="1" si="253"/>
        <v>6.26104770696774E-3</v>
      </c>
      <c r="H279" s="2">
        <f t="shared" ca="1" si="254"/>
        <v>6.26104770696774E-3</v>
      </c>
      <c r="I279" s="2">
        <f t="shared" ca="1" si="255"/>
        <v>0.47551163297253041</v>
      </c>
      <c r="J279" s="2">
        <f t="shared" ca="1" si="256"/>
        <v>9.6928908411516319E-3</v>
      </c>
      <c r="K279" s="2">
        <f t="shared" ca="1" si="257"/>
        <v>9.6928908411516319E-3</v>
      </c>
      <c r="L279" s="2">
        <f t="shared" ca="1" si="258"/>
        <v>7.1304555320421459E-2</v>
      </c>
      <c r="M279" s="2">
        <f t="shared" ca="1" si="259"/>
        <v>-2.9322876348617251E-2</v>
      </c>
      <c r="N279" s="2">
        <f t="shared" ca="1" si="260"/>
        <v>-2.9322876348617251E-2</v>
      </c>
      <c r="O279" s="2">
        <f t="shared" si="261"/>
        <v>6000000</v>
      </c>
      <c r="P279" s="2">
        <f t="shared" ca="1" si="262"/>
        <v>43054131.999556564</v>
      </c>
      <c r="Q279" s="2">
        <f t="shared" ca="1" si="263"/>
        <v>1076353.299988914</v>
      </c>
      <c r="R279" s="2">
        <f t="shared" ca="1" si="264"/>
        <v>25832479.199733939</v>
      </c>
      <c r="S279" s="2">
        <f t="shared" ca="1" si="265"/>
        <v>17221652.799822625</v>
      </c>
      <c r="T279" s="2">
        <f t="shared" ca="1" si="266"/>
        <v>48533856.182569139</v>
      </c>
      <c r="U279" s="2">
        <f t="shared" ca="1" si="267"/>
        <v>48837728.971531317</v>
      </c>
      <c r="V279" s="2">
        <f t="shared" ca="1" si="268"/>
        <v>49143504.322522037</v>
      </c>
      <c r="W279" s="2">
        <f t="shared" ca="1" si="269"/>
        <v>49451194.147572927</v>
      </c>
      <c r="X279" s="2">
        <f t="shared" ca="1" si="270"/>
        <v>49760810.433297411</v>
      </c>
      <c r="Y279" s="2">
        <f t="shared" ca="1" si="271"/>
        <v>0.12484644542057581</v>
      </c>
      <c r="Z279" s="2">
        <f t="shared" ca="1" si="272"/>
        <v>0.12678502358880614</v>
      </c>
      <c r="AA279" s="2">
        <f t="shared" ca="1" si="273"/>
        <v>6059279.4269471942</v>
      </c>
      <c r="AB279" s="2">
        <f t="shared" ca="1" si="274"/>
        <v>6191892.6196793187</v>
      </c>
      <c r="AC279" s="2">
        <f t="shared" ca="1" si="275"/>
        <v>6230660.3547675526</v>
      </c>
      <c r="AD279" s="2">
        <f t="shared" ca="1" si="276"/>
        <v>6269670.816494666</v>
      </c>
      <c r="AE279" s="2">
        <f t="shared" ca="1" si="277"/>
        <v>6308925.5245837225</v>
      </c>
      <c r="AF279" s="2">
        <f t="shared" ca="1" si="278"/>
        <v>970677.12365138275</v>
      </c>
      <c r="AG279" s="2">
        <f t="shared" ca="1" si="279"/>
        <v>976754.57943062636</v>
      </c>
      <c r="AH279" s="2">
        <f t="shared" ca="1" si="280"/>
        <v>982870.08645044081</v>
      </c>
      <c r="AI279" s="2">
        <f t="shared" ca="1" si="281"/>
        <v>989023.88295145857</v>
      </c>
      <c r="AJ279" s="2">
        <f t="shared" ca="1" si="282"/>
        <v>995216.20866594824</v>
      </c>
      <c r="AK279" s="2">
        <f t="shared" ca="1" si="283"/>
        <v>0</v>
      </c>
      <c r="AL279" s="2">
        <f t="shared" ca="1" si="284"/>
        <v>3038.7278896217795</v>
      </c>
      <c r="AM279" s="2">
        <f t="shared" ca="1" si="285"/>
        <v>3057.7535099072011</v>
      </c>
      <c r="AN279" s="2">
        <f t="shared" ca="1" si="286"/>
        <v>3076.8982505089043</v>
      </c>
      <c r="AO279" s="2">
        <f t="shared" ca="1" si="287"/>
        <v>3096.1628572448344</v>
      </c>
      <c r="AP279" s="2">
        <f t="shared" ca="1" si="288"/>
        <v>2324923.1279760543</v>
      </c>
      <c r="AQ279" s="2">
        <f t="shared" ca="1" si="289"/>
        <v>718556.58558313688</v>
      </c>
      <c r="AR279" s="2">
        <f t="shared" ca="1" si="290"/>
        <v>751455.87719088583</v>
      </c>
      <c r="AS279" s="2">
        <f t="shared" ca="1" si="291"/>
        <v>759945.45648867497</v>
      </c>
      <c r="AT279" s="2">
        <f t="shared" ca="1" si="292"/>
        <v>768488.18944745976</v>
      </c>
      <c r="AU279" s="2">
        <f t="shared" ca="1" si="293"/>
        <v>777084.40886484715</v>
      </c>
      <c r="AV279" s="2">
        <f t="shared" ca="1" si="294"/>
        <v>2045122.58973662</v>
      </c>
      <c r="AW279" s="2">
        <f t="shared" ca="1" si="295"/>
        <v>2135720.30719213</v>
      </c>
      <c r="AX279" s="2">
        <f t="shared" ca="1" si="296"/>
        <v>2159863.930342475</v>
      </c>
      <c r="AY279" s="2">
        <f t="shared" ca="1" si="297"/>
        <v>2184158.717869184</v>
      </c>
      <c r="AZ279" s="2">
        <f t="shared" ca="1" si="298"/>
        <v>2208605.6162196277</v>
      </c>
      <c r="BA279" s="2">
        <f t="shared" ca="1" si="299"/>
        <v>47332314.223539889</v>
      </c>
      <c r="BB279" s="2">
        <f t="shared" ca="1" si="300"/>
        <v>946646.28447079775</v>
      </c>
      <c r="BC279" s="2">
        <f t="shared" ca="1" si="301"/>
        <v>20553188.739335153</v>
      </c>
      <c r="BD279" s="2">
        <f t="shared" ca="1" si="302"/>
        <v>-18798006.099811539</v>
      </c>
      <c r="BE279" s="2">
        <f t="shared" ca="1" si="303"/>
        <v>2045122.58973662</v>
      </c>
      <c r="BF279" s="2">
        <f t="shared" ca="1" si="304"/>
        <v>2135720.30719213</v>
      </c>
      <c r="BG279" s="2">
        <f t="shared" ca="1" si="305"/>
        <v>2159863.930342475</v>
      </c>
      <c r="BH279" s="2">
        <f t="shared" ca="1" si="306"/>
        <v>2184158.717869184</v>
      </c>
      <c r="BI279" s="2">
        <f t="shared" ca="1" si="307"/>
        <v>22761794.355554782</v>
      </c>
      <c r="BJ279" s="2">
        <f t="shared" ca="1" si="308"/>
        <v>0.12816982626651452</v>
      </c>
      <c r="BK279" s="2">
        <f t="shared" ca="1" si="309"/>
        <v>571653.60208785534</v>
      </c>
    </row>
    <row r="280" spans="1:63" x14ac:dyDescent="0.3">
      <c r="A280" s="2">
        <v>279</v>
      </c>
      <c r="B280" s="2">
        <f t="shared" ca="1" si="248"/>
        <v>0.96857703969967868</v>
      </c>
      <c r="C280" s="2">
        <f t="shared" ca="1" si="249"/>
        <v>7.7493091134471728</v>
      </c>
      <c r="D280" s="2">
        <f t="shared" ca="1" si="250"/>
        <v>0.74794028877657914</v>
      </c>
      <c r="E280" s="2">
        <f t="shared" ca="1" si="251"/>
        <v>7.7899863223522789</v>
      </c>
      <c r="F280" s="2">
        <f t="shared" ca="1" si="252"/>
        <v>0.88621673679150992</v>
      </c>
      <c r="G280" s="2">
        <f t="shared" ca="1" si="253"/>
        <v>7.6199533944343797E-2</v>
      </c>
      <c r="H280" s="2">
        <f t="shared" ca="1" si="254"/>
        <v>7.6199533944343797E-2</v>
      </c>
      <c r="I280" s="2">
        <f t="shared" ca="1" si="255"/>
        <v>0.6053121213414786</v>
      </c>
      <c r="J280" s="2">
        <f t="shared" ca="1" si="256"/>
        <v>1.1335606570951522E-2</v>
      </c>
      <c r="K280" s="2">
        <f t="shared" ca="1" si="257"/>
        <v>1.1335606570951522E-2</v>
      </c>
      <c r="L280" s="2">
        <f t="shared" ca="1" si="258"/>
        <v>0.42284044204742333</v>
      </c>
      <c r="M280" s="2">
        <f t="shared" ca="1" si="259"/>
        <v>-3.8926442311127676E-3</v>
      </c>
      <c r="N280" s="2">
        <f t="shared" ca="1" si="260"/>
        <v>-3.8926442311127676E-3</v>
      </c>
      <c r="O280" s="2">
        <f t="shared" si="261"/>
        <v>6000000</v>
      </c>
      <c r="P280" s="2">
        <f t="shared" ca="1" si="262"/>
        <v>46495854.680683039</v>
      </c>
      <c r="Q280" s="2">
        <f t="shared" ca="1" si="263"/>
        <v>1162396.3670170761</v>
      </c>
      <c r="R280" s="2">
        <f t="shared" ca="1" si="264"/>
        <v>27897512.808409821</v>
      </c>
      <c r="S280" s="2">
        <f t="shared" ca="1" si="265"/>
        <v>18598341.872273218</v>
      </c>
      <c r="T280" s="2">
        <f t="shared" ca="1" si="266"/>
        <v>49805367.788444363</v>
      </c>
      <c r="U280" s="2">
        <f t="shared" ca="1" si="267"/>
        <v>53600513.601850457</v>
      </c>
      <c r="V280" s="2">
        <f t="shared" ca="1" si="268"/>
        <v>57684847.757488921</v>
      </c>
      <c r="W280" s="2">
        <f t="shared" ca="1" si="269"/>
        <v>62080406.272260003</v>
      </c>
      <c r="X280" s="2">
        <f t="shared" ca="1" si="270"/>
        <v>66810904.297281727</v>
      </c>
      <c r="Y280" s="2">
        <f t="shared" ca="1" si="271"/>
        <v>0.12566780328547575</v>
      </c>
      <c r="Z280" s="2">
        <f t="shared" ca="1" si="272"/>
        <v>0.12793492459966607</v>
      </c>
      <c r="AA280" s="2">
        <f t="shared" ca="1" si="273"/>
        <v>6258931.1617989969</v>
      </c>
      <c r="AB280" s="2">
        <f t="shared" ca="1" si="274"/>
        <v>6857377.6661561141</v>
      </c>
      <c r="AC280" s="2">
        <f t="shared" ca="1" si="275"/>
        <v>7379906.6483975621</v>
      </c>
      <c r="AD280" s="2">
        <f t="shared" ca="1" si="276"/>
        <v>7942252.0955582205</v>
      </c>
      <c r="AE280" s="2">
        <f t="shared" ca="1" si="277"/>
        <v>8547448.0037082434</v>
      </c>
      <c r="AF280" s="2">
        <f t="shared" ca="1" si="278"/>
        <v>996107.35576888733</v>
      </c>
      <c r="AG280" s="2">
        <f t="shared" ca="1" si="279"/>
        <v>1072010.2720370092</v>
      </c>
      <c r="AH280" s="2">
        <f t="shared" ca="1" si="280"/>
        <v>1153696.9551497784</v>
      </c>
      <c r="AI280" s="2">
        <f t="shared" ca="1" si="281"/>
        <v>1241608.1254452001</v>
      </c>
      <c r="AJ280" s="2">
        <f t="shared" ca="1" si="282"/>
        <v>1336218.0859456346</v>
      </c>
      <c r="AK280" s="2">
        <f t="shared" ca="1" si="283"/>
        <v>0</v>
      </c>
      <c r="AL280" s="2">
        <f t="shared" ca="1" si="284"/>
        <v>37951.458134060951</v>
      </c>
      <c r="AM280" s="2">
        <f t="shared" ca="1" si="285"/>
        <v>40843.341556384636</v>
      </c>
      <c r="AN280" s="2">
        <f t="shared" ca="1" si="286"/>
        <v>43955.585147710815</v>
      </c>
      <c r="AO280" s="2">
        <f t="shared" ca="1" si="287"/>
        <v>47304.980250217246</v>
      </c>
      <c r="AP280" s="2">
        <f t="shared" ca="1" si="288"/>
        <v>2510776.1527568838</v>
      </c>
      <c r="AQ280" s="2">
        <f t="shared" ca="1" si="289"/>
        <v>715532.38985103869</v>
      </c>
      <c r="AR280" s="2">
        <f t="shared" ca="1" si="290"/>
        <v>851393.7227541774</v>
      </c>
      <c r="AS280" s="2">
        <f t="shared" ca="1" si="291"/>
        <v>966012.72052763402</v>
      </c>
      <c r="AT280" s="2">
        <f t="shared" ca="1" si="292"/>
        <v>1089365.6325125955</v>
      </c>
      <c r="AU280" s="2">
        <f t="shared" ca="1" si="293"/>
        <v>1222117.9789014887</v>
      </c>
      <c r="AV280" s="2">
        <f t="shared" ca="1" si="294"/>
        <v>2036515.2634221874</v>
      </c>
      <c r="AW280" s="2">
        <f t="shared" ca="1" si="295"/>
        <v>2385246.0604739822</v>
      </c>
      <c r="AX280" s="2">
        <f t="shared" ca="1" si="296"/>
        <v>2708577.4784068819</v>
      </c>
      <c r="AY280" s="2">
        <f t="shared" ca="1" si="297"/>
        <v>3056546.5996958306</v>
      </c>
      <c r="AZ280" s="2">
        <f t="shared" ca="1" si="298"/>
        <v>3431030.8058540197</v>
      </c>
      <c r="BA280" s="2">
        <f t="shared" ca="1" si="299"/>
        <v>66584503.039904505</v>
      </c>
      <c r="BB280" s="2">
        <f t="shared" ca="1" si="300"/>
        <v>1331690.0607980902</v>
      </c>
      <c r="BC280" s="2">
        <f t="shared" ca="1" si="301"/>
        <v>37355300.170696586</v>
      </c>
      <c r="BD280" s="2">
        <f t="shared" ca="1" si="302"/>
        <v>-20260738.239290293</v>
      </c>
      <c r="BE280" s="2">
        <f t="shared" ca="1" si="303"/>
        <v>2036515.2634221874</v>
      </c>
      <c r="BF280" s="2">
        <f t="shared" ca="1" si="304"/>
        <v>2385246.0604739822</v>
      </c>
      <c r="BG280" s="2">
        <f t="shared" ca="1" si="305"/>
        <v>2708577.4784068819</v>
      </c>
      <c r="BH280" s="2">
        <f t="shared" ca="1" si="306"/>
        <v>3056546.5996958306</v>
      </c>
      <c r="BI280" s="2">
        <f t="shared" ca="1" si="307"/>
        <v>40786330.976550609</v>
      </c>
      <c r="BJ280" s="2">
        <f t="shared" ca="1" si="308"/>
        <v>0.23356348455948495</v>
      </c>
      <c r="BK280" s="2">
        <f t="shared" ca="1" si="309"/>
        <v>10472744.628774352</v>
      </c>
    </row>
    <row r="281" spans="1:63" x14ac:dyDescent="0.3">
      <c r="A281" s="2">
        <v>280</v>
      </c>
      <c r="B281" s="2">
        <f t="shared" ca="1" si="248"/>
        <v>6.0008664065545947E-2</v>
      </c>
      <c r="C281" s="2">
        <f t="shared" ca="1" si="249"/>
        <v>6.3464351716138125</v>
      </c>
      <c r="D281" s="2">
        <f t="shared" ca="1" si="250"/>
        <v>0.28389052341909826</v>
      </c>
      <c r="E281" s="2">
        <f t="shared" ca="1" si="251"/>
        <v>7.2535124729148128</v>
      </c>
      <c r="F281" s="2">
        <f t="shared" ca="1" si="252"/>
        <v>0.53612062506421265</v>
      </c>
      <c r="G281" s="2">
        <f t="shared" ca="1" si="253"/>
        <v>4.271995121321636E-2</v>
      </c>
      <c r="H281" s="2">
        <f t="shared" ca="1" si="254"/>
        <v>4.271995121321636E-2</v>
      </c>
      <c r="I281" s="2">
        <f t="shared" ca="1" si="255"/>
        <v>0.85359488959850172</v>
      </c>
      <c r="J281" s="2">
        <f t="shared" ca="1" si="256"/>
        <v>1.5259883706755836E-2</v>
      </c>
      <c r="K281" s="2">
        <f t="shared" ca="1" si="257"/>
        <v>1.5259883706755836E-2</v>
      </c>
      <c r="L281" s="2">
        <f t="shared" ca="1" si="258"/>
        <v>0.60217242815028382</v>
      </c>
      <c r="M281" s="2">
        <f t="shared" ca="1" si="259"/>
        <v>5.1794840851927286E-3</v>
      </c>
      <c r="N281" s="2">
        <f t="shared" ca="1" si="260"/>
        <v>5.1794840851927286E-3</v>
      </c>
      <c r="O281" s="2">
        <f t="shared" si="261"/>
        <v>6000000</v>
      </c>
      <c r="P281" s="2">
        <f t="shared" ca="1" si="262"/>
        <v>38078611.029682875</v>
      </c>
      <c r="Q281" s="2">
        <f t="shared" ca="1" si="263"/>
        <v>951965.27574207191</v>
      </c>
      <c r="R281" s="2">
        <f t="shared" ca="1" si="264"/>
        <v>22847166.617809724</v>
      </c>
      <c r="S281" s="2">
        <f t="shared" ca="1" si="265"/>
        <v>15231444.411873151</v>
      </c>
      <c r="T281" s="2">
        <f t="shared" ca="1" si="266"/>
        <v>50258974.204259634</v>
      </c>
      <c r="U281" s="2">
        <f t="shared" ca="1" si="267"/>
        <v>52406035.130291909</v>
      </c>
      <c r="V281" s="2">
        <f t="shared" ca="1" si="268"/>
        <v>54644818.394336082</v>
      </c>
      <c r="W281" s="2">
        <f t="shared" ca="1" si="269"/>
        <v>56979242.370197184</v>
      </c>
      <c r="X281" s="2">
        <f t="shared" ca="1" si="270"/>
        <v>59413392.824418038</v>
      </c>
      <c r="Y281" s="2">
        <f t="shared" ca="1" si="271"/>
        <v>0.12762994185337792</v>
      </c>
      <c r="Z281" s="2">
        <f t="shared" ca="1" si="272"/>
        <v>0.13068191859472908</v>
      </c>
      <c r="AA281" s="2">
        <f t="shared" ca="1" si="273"/>
        <v>6414549.9553000778</v>
      </c>
      <c r="AB281" s="2">
        <f t="shared" ca="1" si="274"/>
        <v>6848521.21676932</v>
      </c>
      <c r="AC281" s="2">
        <f t="shared" ca="1" si="275"/>
        <v>7141089.7090323819</v>
      </c>
      <c r="AD281" s="2">
        <f t="shared" ca="1" si="276"/>
        <v>7446156.7130114464</v>
      </c>
      <c r="AE281" s="2">
        <f t="shared" ca="1" si="277"/>
        <v>7764256.1645172592</v>
      </c>
      <c r="AF281" s="2">
        <f t="shared" ca="1" si="278"/>
        <v>1005179.4840851927</v>
      </c>
      <c r="AG281" s="2">
        <f t="shared" ca="1" si="279"/>
        <v>1048120.7026058382</v>
      </c>
      <c r="AH281" s="2">
        <f t="shared" ca="1" si="280"/>
        <v>1092896.3678867216</v>
      </c>
      <c r="AI281" s="2">
        <f t="shared" ca="1" si="281"/>
        <v>1139584.8474039438</v>
      </c>
      <c r="AJ281" s="2">
        <f t="shared" ca="1" si="282"/>
        <v>1188267.8564883608</v>
      </c>
      <c r="AK281" s="2">
        <f t="shared" ca="1" si="283"/>
        <v>0</v>
      </c>
      <c r="AL281" s="2">
        <f t="shared" ca="1" si="284"/>
        <v>21470.609260322752</v>
      </c>
      <c r="AM281" s="2">
        <f t="shared" ca="1" si="285"/>
        <v>22387.832640441731</v>
      </c>
      <c r="AN281" s="2">
        <f t="shared" ca="1" si="286"/>
        <v>23344.239758611024</v>
      </c>
      <c r="AO281" s="2">
        <f t="shared" ca="1" si="287"/>
        <v>24341.504542208539</v>
      </c>
      <c r="AP281" s="2">
        <f t="shared" ca="1" si="288"/>
        <v>2056244.995602875</v>
      </c>
      <c r="AQ281" s="2">
        <f t="shared" ca="1" si="289"/>
        <v>871812.62365912262</v>
      </c>
      <c r="AR281" s="2">
        <f t="shared" ca="1" si="290"/>
        <v>973480.43482575787</v>
      </c>
      <c r="AS281" s="2">
        <f t="shared" ca="1" si="291"/>
        <v>1037906.5698411244</v>
      </c>
      <c r="AT281" s="2">
        <f t="shared" ca="1" si="292"/>
        <v>1105084.9862012032</v>
      </c>
      <c r="AU281" s="2">
        <f t="shared" ca="1" si="293"/>
        <v>1175133.2612307661</v>
      </c>
      <c r="AV281" s="2">
        <f t="shared" ca="1" si="294"/>
        <v>2481312.8519528871</v>
      </c>
      <c r="AW281" s="2">
        <f t="shared" ca="1" si="295"/>
        <v>2749204.4744745269</v>
      </c>
      <c r="AX281" s="2">
        <f t="shared" ca="1" si="296"/>
        <v>2931653.9430612195</v>
      </c>
      <c r="AY281" s="2">
        <f t="shared" ca="1" si="297"/>
        <v>3121897.6440448137</v>
      </c>
      <c r="AZ281" s="2">
        <f t="shared" ca="1" si="298"/>
        <v>3320268.5466530491</v>
      </c>
      <c r="BA281" s="2">
        <f t="shared" ca="1" si="299"/>
        <v>56318128.932231665</v>
      </c>
      <c r="BB281" s="2">
        <f t="shared" ca="1" si="300"/>
        <v>1126362.5786446333</v>
      </c>
      <c r="BC281" s="2">
        <f t="shared" ca="1" si="301"/>
        <v>32344599.735777307</v>
      </c>
      <c r="BD281" s="2">
        <f t="shared" ca="1" si="302"/>
        <v>-16683409.687615223</v>
      </c>
      <c r="BE281" s="2">
        <f t="shared" ca="1" si="303"/>
        <v>2481312.8519528871</v>
      </c>
      <c r="BF281" s="2">
        <f t="shared" ca="1" si="304"/>
        <v>2749204.4744745269</v>
      </c>
      <c r="BG281" s="2">
        <f t="shared" ca="1" si="305"/>
        <v>2931653.9430612195</v>
      </c>
      <c r="BH281" s="2">
        <f t="shared" ca="1" si="306"/>
        <v>3121897.6440448137</v>
      </c>
      <c r="BI281" s="2">
        <f t="shared" ca="1" si="307"/>
        <v>35664868.282430358</v>
      </c>
      <c r="BJ281" s="2">
        <f t="shared" ca="1" si="308"/>
        <v>0.27756792989832757</v>
      </c>
      <c r="BK281" s="2">
        <f t="shared" ca="1" si="309"/>
        <v>12031617.022033766</v>
      </c>
    </row>
    <row r="282" spans="1:63" x14ac:dyDescent="0.3">
      <c r="A282" s="2">
        <v>281</v>
      </c>
      <c r="B282" s="2">
        <f t="shared" ca="1" si="248"/>
        <v>5.5978291969853711E-3</v>
      </c>
      <c r="C282" s="2">
        <f t="shared" ca="1" si="249"/>
        <v>6.1058095382939115</v>
      </c>
      <c r="D282" s="2">
        <f t="shared" ca="1" si="250"/>
        <v>0.47657901424836158</v>
      </c>
      <c r="E282" s="2">
        <f t="shared" ca="1" si="251"/>
        <v>7.4762981248044689</v>
      </c>
      <c r="F282" s="2">
        <f t="shared" ca="1" si="252"/>
        <v>0.60739297526518277</v>
      </c>
      <c r="G282" s="2">
        <f t="shared" ca="1" si="253"/>
        <v>4.8175918644027704E-2</v>
      </c>
      <c r="H282" s="2">
        <f t="shared" ca="1" si="254"/>
        <v>4.8175918644027704E-2</v>
      </c>
      <c r="I282" s="2">
        <f t="shared" ca="1" si="255"/>
        <v>0.16721518542114089</v>
      </c>
      <c r="J282" s="2">
        <f t="shared" ca="1" si="256"/>
        <v>5.1738574579657396E-3</v>
      </c>
      <c r="K282" s="2">
        <f t="shared" ca="1" si="257"/>
        <v>5.1738574579657396E-3</v>
      </c>
      <c r="L282" s="2">
        <f t="shared" ca="1" si="258"/>
        <v>0.31800648358467232</v>
      </c>
      <c r="M282" s="2">
        <f t="shared" ca="1" si="259"/>
        <v>-9.4656129480683512E-3</v>
      </c>
      <c r="N282" s="2">
        <f t="shared" ca="1" si="260"/>
        <v>-9.4656129480683512E-3</v>
      </c>
      <c r="O282" s="2">
        <f t="shared" si="261"/>
        <v>6000000</v>
      </c>
      <c r="P282" s="2">
        <f t="shared" ca="1" si="262"/>
        <v>36634857.229763471</v>
      </c>
      <c r="Q282" s="2">
        <f t="shared" ca="1" si="263"/>
        <v>915871.43074408686</v>
      </c>
      <c r="R282" s="2">
        <f t="shared" ca="1" si="264"/>
        <v>21980914.337858081</v>
      </c>
      <c r="S282" s="2">
        <f t="shared" ca="1" si="265"/>
        <v>14653942.89190539</v>
      </c>
      <c r="T282" s="2">
        <f t="shared" ca="1" si="266"/>
        <v>49526719.352596581</v>
      </c>
      <c r="U282" s="2">
        <f t="shared" ca="1" si="267"/>
        <v>51912714.554832861</v>
      </c>
      <c r="V282" s="2">
        <f t="shared" ca="1" si="268"/>
        <v>54413657.267817117</v>
      </c>
      <c r="W282" s="2">
        <f t="shared" ca="1" si="269"/>
        <v>57035085.193475477</v>
      </c>
      <c r="X282" s="2">
        <f t="shared" ca="1" si="270"/>
        <v>59782802.817611538</v>
      </c>
      <c r="Y282" s="2">
        <f t="shared" ca="1" si="271"/>
        <v>0.12258692872898287</v>
      </c>
      <c r="Z282" s="2">
        <f t="shared" ca="1" si="272"/>
        <v>0.12362170022057602</v>
      </c>
      <c r="AA282" s="2">
        <f t="shared" ca="1" si="273"/>
        <v>6071328.4154570941</v>
      </c>
      <c r="AB282" s="2">
        <f t="shared" ca="1" si="274"/>
        <v>6417538.0363338813</v>
      </c>
      <c r="AC282" s="2">
        <f t="shared" ca="1" si="275"/>
        <v>6726708.8266672548</v>
      </c>
      <c r="AD282" s="2">
        <f t="shared" ca="1" si="276"/>
        <v>7050774.2038428392</v>
      </c>
      <c r="AE282" s="2">
        <f t="shared" ca="1" si="277"/>
        <v>7390451.7282645805</v>
      </c>
      <c r="AF282" s="2">
        <f t="shared" ca="1" si="278"/>
        <v>990534.38705193158</v>
      </c>
      <c r="AG282" s="2">
        <f t="shared" ca="1" si="279"/>
        <v>1038254.2910966573</v>
      </c>
      <c r="AH282" s="2">
        <f t="shared" ca="1" si="280"/>
        <v>1088273.1453563424</v>
      </c>
      <c r="AI282" s="2">
        <f t="shared" ca="1" si="281"/>
        <v>1140701.7038695095</v>
      </c>
      <c r="AJ282" s="2">
        <f t="shared" ca="1" si="282"/>
        <v>1195656.0563522307</v>
      </c>
      <c r="AK282" s="2">
        <f t="shared" ca="1" si="283"/>
        <v>0</v>
      </c>
      <c r="AL282" s="2">
        <f t="shared" ca="1" si="284"/>
        <v>23859.952022362799</v>
      </c>
      <c r="AM282" s="2">
        <f t="shared" ca="1" si="285"/>
        <v>25009.427129842567</v>
      </c>
      <c r="AN282" s="2">
        <f t="shared" ca="1" si="286"/>
        <v>26214.279256583603</v>
      </c>
      <c r="AO282" s="2">
        <f t="shared" ca="1" si="287"/>
        <v>27477.176241360605</v>
      </c>
      <c r="AP282" s="2">
        <f t="shared" ca="1" si="288"/>
        <v>1978282.2904072271</v>
      </c>
      <c r="AQ282" s="2">
        <f t="shared" ca="1" si="289"/>
        <v>806653.05187946314</v>
      </c>
      <c r="AR282" s="2">
        <f t="shared" ca="1" si="290"/>
        <v>884260.37825579906</v>
      </c>
      <c r="AS282" s="2">
        <f t="shared" ca="1" si="291"/>
        <v>951639.8816349582</v>
      </c>
      <c r="AT282" s="2">
        <f t="shared" ca="1" si="292"/>
        <v>1022265.4544871866</v>
      </c>
      <c r="AU282" s="2">
        <f t="shared" ca="1" si="293"/>
        <v>1096293.4791913319</v>
      </c>
      <c r="AV282" s="2">
        <f t="shared" ca="1" si="294"/>
        <v>2295858.6861184724</v>
      </c>
      <c r="AW282" s="2">
        <f t="shared" ca="1" si="295"/>
        <v>2492881.1245518345</v>
      </c>
      <c r="AX282" s="2">
        <f t="shared" ca="1" si="296"/>
        <v>2683504.0821388848</v>
      </c>
      <c r="AY282" s="2">
        <f t="shared" ca="1" si="297"/>
        <v>2883310.4758223323</v>
      </c>
      <c r="AZ282" s="2">
        <f t="shared" ca="1" si="298"/>
        <v>3092742.7260724297</v>
      </c>
      <c r="BA282" s="2">
        <f t="shared" ca="1" si="299"/>
        <v>55253220.397482432</v>
      </c>
      <c r="BB282" s="2">
        <f t="shared" ca="1" si="300"/>
        <v>1105064.4079496486</v>
      </c>
      <c r="BC282" s="2">
        <f t="shared" ca="1" si="301"/>
        <v>32167241.651674703</v>
      </c>
      <c r="BD282" s="2">
        <f t="shared" ca="1" si="302"/>
        <v>-16069814.322649477</v>
      </c>
      <c r="BE282" s="2">
        <f t="shared" ca="1" si="303"/>
        <v>2295858.6861184724</v>
      </c>
      <c r="BF282" s="2">
        <f t="shared" ca="1" si="304"/>
        <v>2492881.1245518345</v>
      </c>
      <c r="BG282" s="2">
        <f t="shared" ca="1" si="305"/>
        <v>2683504.0821388848</v>
      </c>
      <c r="BH282" s="2">
        <f t="shared" ca="1" si="306"/>
        <v>2883310.4758223323</v>
      </c>
      <c r="BI282" s="2">
        <f t="shared" ca="1" si="307"/>
        <v>35259984.377747133</v>
      </c>
      <c r="BJ282" s="2">
        <f t="shared" ca="1" si="308"/>
        <v>0.27725022149065182</v>
      </c>
      <c r="BK282" s="2">
        <f t="shared" ca="1" si="309"/>
        <v>11717292.275981465</v>
      </c>
    </row>
    <row r="283" spans="1:63" x14ac:dyDescent="0.3">
      <c r="A283" s="2">
        <v>282</v>
      </c>
      <c r="B283" s="2">
        <f t="shared" ca="1" si="248"/>
        <v>0.57568098951220337</v>
      </c>
      <c r="C283" s="2">
        <f t="shared" ca="1" si="249"/>
        <v>7.0787844872259296</v>
      </c>
      <c r="D283" s="2">
        <f t="shared" ca="1" si="250"/>
        <v>0.9655904803449864</v>
      </c>
      <c r="E283" s="2">
        <f t="shared" ca="1" si="251"/>
        <v>8.237666168193984</v>
      </c>
      <c r="F283" s="2">
        <f t="shared" ca="1" si="252"/>
        <v>0.52366647435588554</v>
      </c>
      <c r="G283" s="2">
        <f t="shared" ca="1" si="253"/>
        <v>4.1780736756927415E-2</v>
      </c>
      <c r="H283" s="2">
        <f t="shared" ca="1" si="254"/>
        <v>4.1780736756927415E-2</v>
      </c>
      <c r="I283" s="2">
        <f t="shared" ca="1" si="255"/>
        <v>0.15312828864540895</v>
      </c>
      <c r="J283" s="2">
        <f t="shared" ca="1" si="256"/>
        <v>4.8844578047164888E-3</v>
      </c>
      <c r="K283" s="2">
        <f t="shared" ca="1" si="257"/>
        <v>4.8844578047164888E-3</v>
      </c>
      <c r="L283" s="2">
        <f t="shared" ca="1" si="258"/>
        <v>3.1567306621881008E-2</v>
      </c>
      <c r="M283" s="2">
        <f t="shared" ca="1" si="259"/>
        <v>-3.7164846045183157E-2</v>
      </c>
      <c r="N283" s="2">
        <f t="shared" ca="1" si="260"/>
        <v>-3.7164846045183157E-2</v>
      </c>
      <c r="O283" s="2">
        <f t="shared" si="261"/>
        <v>6000000</v>
      </c>
      <c r="P283" s="2">
        <f t="shared" ca="1" si="262"/>
        <v>42472706.923355579</v>
      </c>
      <c r="Q283" s="2">
        <f t="shared" ca="1" si="263"/>
        <v>1061817.6730838895</v>
      </c>
      <c r="R283" s="2">
        <f t="shared" ca="1" si="264"/>
        <v>25483624.154013347</v>
      </c>
      <c r="S283" s="2">
        <f t="shared" ca="1" si="265"/>
        <v>16989082.769342232</v>
      </c>
      <c r="T283" s="2">
        <f t="shared" ca="1" si="266"/>
        <v>48141757.697740845</v>
      </c>
      <c r="U283" s="2">
        <f t="shared" ca="1" si="267"/>
        <v>50153155.80312594</v>
      </c>
      <c r="V283" s="2">
        <f t="shared" ca="1" si="268"/>
        <v>52248591.603265509</v>
      </c>
      <c r="W283" s="2">
        <f t="shared" ca="1" si="269"/>
        <v>54431576.254961751</v>
      </c>
      <c r="X283" s="2">
        <f t="shared" ca="1" si="270"/>
        <v>56705767.613734931</v>
      </c>
      <c r="Y283" s="2">
        <f t="shared" ca="1" si="271"/>
        <v>0.12244222890235824</v>
      </c>
      <c r="Z283" s="2">
        <f t="shared" ca="1" si="272"/>
        <v>0.12341912046330154</v>
      </c>
      <c r="AA283" s="2">
        <f t="shared" ca="1" si="273"/>
        <v>5894584.1157886516</v>
      </c>
      <c r="AB283" s="2">
        <f t="shared" ca="1" si="274"/>
        <v>6189858.377680731</v>
      </c>
      <c r="AC283" s="2">
        <f t="shared" ca="1" si="275"/>
        <v>6448475.2211212711</v>
      </c>
      <c r="AD283" s="2">
        <f t="shared" ca="1" si="276"/>
        <v>6717897.2668185085</v>
      </c>
      <c r="AE283" s="2">
        <f t="shared" ca="1" si="277"/>
        <v>6998575.9640835347</v>
      </c>
      <c r="AF283" s="2">
        <f t="shared" ca="1" si="278"/>
        <v>962835.15395481698</v>
      </c>
      <c r="AG283" s="2">
        <f t="shared" ca="1" si="279"/>
        <v>1003063.1160625188</v>
      </c>
      <c r="AH283" s="2">
        <f t="shared" ca="1" si="280"/>
        <v>1044971.8320653102</v>
      </c>
      <c r="AI283" s="2">
        <f t="shared" ca="1" si="281"/>
        <v>1088631.5250992351</v>
      </c>
      <c r="AJ283" s="2">
        <f t="shared" ca="1" si="282"/>
        <v>1134115.3522746987</v>
      </c>
      <c r="AK283" s="2">
        <f t="shared" ca="1" si="283"/>
        <v>0</v>
      </c>
      <c r="AL283" s="2">
        <f t="shared" ca="1" si="284"/>
        <v>20113.981053850948</v>
      </c>
      <c r="AM283" s="2">
        <f t="shared" ca="1" si="285"/>
        <v>20954.358001395689</v>
      </c>
      <c r="AN283" s="2">
        <f t="shared" ca="1" si="286"/>
        <v>21829.846516962425</v>
      </c>
      <c r="AO283" s="2">
        <f t="shared" ca="1" si="287"/>
        <v>22741.913587731793</v>
      </c>
      <c r="AP283" s="2">
        <f t="shared" ca="1" si="288"/>
        <v>2293526.1738612009</v>
      </c>
      <c r="AQ283" s="2">
        <f t="shared" ca="1" si="289"/>
        <v>685937.92487288476</v>
      </c>
      <c r="AR283" s="2">
        <f t="shared" ca="1" si="290"/>
        <v>752249.96281682292</v>
      </c>
      <c r="AS283" s="2">
        <f t="shared" ca="1" si="291"/>
        <v>808594.07595063758</v>
      </c>
      <c r="AT283" s="2">
        <f t="shared" ca="1" si="292"/>
        <v>867292.28764309897</v>
      </c>
      <c r="AU283" s="2">
        <f t="shared" ca="1" si="293"/>
        <v>928442.95386638527</v>
      </c>
      <c r="AV283" s="2">
        <f t="shared" ca="1" si="294"/>
        <v>1952284.8630997492</v>
      </c>
      <c r="AW283" s="2">
        <f t="shared" ca="1" si="295"/>
        <v>2120905.1438863371</v>
      </c>
      <c r="AX283" s="2">
        <f t="shared" ca="1" si="296"/>
        <v>2280428.7812427264</v>
      </c>
      <c r="AY283" s="2">
        <f t="shared" ca="1" si="297"/>
        <v>2446617.4336980116</v>
      </c>
      <c r="AZ283" s="2">
        <f t="shared" ca="1" si="298"/>
        <v>2619749.5704935184</v>
      </c>
      <c r="BA283" s="2">
        <f t="shared" ca="1" si="299"/>
        <v>57651932.444866531</v>
      </c>
      <c r="BB283" s="2">
        <f t="shared" ca="1" si="300"/>
        <v>1153038.6488973307</v>
      </c>
      <c r="BC283" s="2">
        <f t="shared" ca="1" si="301"/>
        <v>31015269.641955853</v>
      </c>
      <c r="BD283" s="2">
        <f t="shared" ca="1" si="302"/>
        <v>-18550900.442426123</v>
      </c>
      <c r="BE283" s="2">
        <f t="shared" ca="1" si="303"/>
        <v>1952284.8630997492</v>
      </c>
      <c r="BF283" s="2">
        <f t="shared" ca="1" si="304"/>
        <v>2120905.1438863371</v>
      </c>
      <c r="BG283" s="2">
        <f t="shared" ca="1" si="305"/>
        <v>2280428.7812427264</v>
      </c>
      <c r="BH283" s="2">
        <f t="shared" ca="1" si="306"/>
        <v>2446617.4336980116</v>
      </c>
      <c r="BI283" s="2">
        <f t="shared" ca="1" si="307"/>
        <v>33635019.212449372</v>
      </c>
      <c r="BJ283" s="2">
        <f t="shared" ca="1" si="308"/>
        <v>0.20856619696002321</v>
      </c>
      <c r="BK283" s="2">
        <f t="shared" ca="1" si="309"/>
        <v>7146430.6049011424</v>
      </c>
    </row>
    <row r="284" spans="1:63" x14ac:dyDescent="0.3">
      <c r="A284" s="2">
        <v>283</v>
      </c>
      <c r="B284" s="2">
        <f t="shared" ca="1" si="248"/>
        <v>0.11351162197438702</v>
      </c>
      <c r="C284" s="2">
        <f t="shared" ca="1" si="249"/>
        <v>6.476469562457849</v>
      </c>
      <c r="D284" s="2">
        <f t="shared" ca="1" si="250"/>
        <v>0.89815330329853649</v>
      </c>
      <c r="E284" s="2">
        <f t="shared" ca="1" si="251"/>
        <v>8.0486759552129676</v>
      </c>
      <c r="F284" s="2">
        <f t="shared" ca="1" si="252"/>
        <v>0.71013627710850125</v>
      </c>
      <c r="G284" s="2">
        <f t="shared" ca="1" si="253"/>
        <v>5.661348641641642E-2</v>
      </c>
      <c r="H284" s="2">
        <f t="shared" ca="1" si="254"/>
        <v>5.661348641641642E-2</v>
      </c>
      <c r="I284" s="2">
        <f t="shared" ca="1" si="255"/>
        <v>0.85032514717593255</v>
      </c>
      <c r="J284" s="2">
        <f t="shared" ca="1" si="256"/>
        <v>1.5189144649289938E-2</v>
      </c>
      <c r="K284" s="2">
        <f t="shared" ca="1" si="257"/>
        <v>1.5189144649289938E-2</v>
      </c>
      <c r="L284" s="2">
        <f t="shared" ca="1" si="258"/>
        <v>0.41752793349407125</v>
      </c>
      <c r="M284" s="2">
        <f t="shared" ca="1" si="259"/>
        <v>-4.164433968401663E-3</v>
      </c>
      <c r="N284" s="2">
        <f t="shared" ca="1" si="260"/>
        <v>-4.164433968401663E-3</v>
      </c>
      <c r="O284" s="2">
        <f t="shared" si="261"/>
        <v>6000000</v>
      </c>
      <c r="P284" s="2">
        <f t="shared" ca="1" si="262"/>
        <v>38858817.374747097</v>
      </c>
      <c r="Q284" s="2">
        <f t="shared" ca="1" si="263"/>
        <v>971470.43436867744</v>
      </c>
      <c r="R284" s="2">
        <f t="shared" ca="1" si="264"/>
        <v>23315290.424848258</v>
      </c>
      <c r="S284" s="2">
        <f t="shared" ca="1" si="265"/>
        <v>15543526.949898839</v>
      </c>
      <c r="T284" s="2">
        <f t="shared" ca="1" si="266"/>
        <v>49791778.301579915</v>
      </c>
      <c r="U284" s="2">
        <f t="shared" ca="1" si="267"/>
        <v>52610664.466105632</v>
      </c>
      <c r="V284" s="2">
        <f t="shared" ca="1" si="268"/>
        <v>55589137.604216151</v>
      </c>
      <c r="W284" s="2">
        <f t="shared" ca="1" si="269"/>
        <v>58736232.490872748</v>
      </c>
      <c r="X284" s="2">
        <f t="shared" ca="1" si="270"/>
        <v>62061495.391146258</v>
      </c>
      <c r="Y284" s="2">
        <f t="shared" ca="1" si="271"/>
        <v>0.12759457232464497</v>
      </c>
      <c r="Z284" s="2">
        <f t="shared" ca="1" si="272"/>
        <v>0.13063240125450296</v>
      </c>
      <c r="AA284" s="2">
        <f t="shared" ca="1" si="273"/>
        <v>6353160.6576736262</v>
      </c>
      <c r="AB284" s="2">
        <f t="shared" ca="1" si="274"/>
        <v>6872657.4308023313</v>
      </c>
      <c r="AC284" s="2">
        <f t="shared" ca="1" si="275"/>
        <v>7261742.5289057437</v>
      </c>
      <c r="AD284" s="2">
        <f t="shared" ca="1" si="276"/>
        <v>7672855.0909254625</v>
      </c>
      <c r="AE284" s="2">
        <f t="shared" ca="1" si="277"/>
        <v>8107242.1683907034</v>
      </c>
      <c r="AF284" s="2">
        <f t="shared" ca="1" si="278"/>
        <v>995835.56603159837</v>
      </c>
      <c r="AG284" s="2">
        <f t="shared" ca="1" si="279"/>
        <v>1052213.2893221127</v>
      </c>
      <c r="AH284" s="2">
        <f t="shared" ca="1" si="280"/>
        <v>1111782.752084323</v>
      </c>
      <c r="AI284" s="2">
        <f t="shared" ca="1" si="281"/>
        <v>1174724.6498174551</v>
      </c>
      <c r="AJ284" s="2">
        <f t="shared" ca="1" si="282"/>
        <v>1241229.9078229251</v>
      </c>
      <c r="AK284" s="2">
        <f t="shared" ca="1" si="283"/>
        <v>0</v>
      </c>
      <c r="AL284" s="2">
        <f t="shared" ca="1" si="284"/>
        <v>28188.861645257177</v>
      </c>
      <c r="AM284" s="2">
        <f t="shared" ca="1" si="285"/>
        <v>29784.731381105186</v>
      </c>
      <c r="AN284" s="2">
        <f t="shared" ca="1" si="286"/>
        <v>31470.948866565974</v>
      </c>
      <c r="AO284" s="2">
        <f t="shared" ca="1" si="287"/>
        <v>33252.629002735091</v>
      </c>
      <c r="AP284" s="2">
        <f t="shared" ca="1" si="288"/>
        <v>2098376.1382363434</v>
      </c>
      <c r="AQ284" s="2">
        <f t="shared" ca="1" si="289"/>
        <v>847326.72788547794</v>
      </c>
      <c r="AR284" s="2">
        <f t="shared" ca="1" si="290"/>
        <v>967737.68084340764</v>
      </c>
      <c r="AS284" s="2">
        <f t="shared" ca="1" si="291"/>
        <v>1053411.7460321202</v>
      </c>
      <c r="AT284" s="2">
        <f t="shared" ca="1" si="292"/>
        <v>1143936.1187466325</v>
      </c>
      <c r="AU284" s="2">
        <f t="shared" ca="1" si="293"/>
        <v>1239585.3918061731</v>
      </c>
      <c r="AV284" s="2">
        <f t="shared" ca="1" si="294"/>
        <v>2411622.2255202061</v>
      </c>
      <c r="AW284" s="2">
        <f t="shared" ca="1" si="295"/>
        <v>2726141.4607552108</v>
      </c>
      <c r="AX284" s="2">
        <f t="shared" ca="1" si="296"/>
        <v>2968387.1611718521</v>
      </c>
      <c r="AY284" s="2">
        <f t="shared" ca="1" si="297"/>
        <v>3224347.2352584652</v>
      </c>
      <c r="AZ284" s="2">
        <f t="shared" ca="1" si="298"/>
        <v>3494798.1015225272</v>
      </c>
      <c r="BA284" s="2">
        <f t="shared" ca="1" si="299"/>
        <v>65252565.103814892</v>
      </c>
      <c r="BB284" s="2">
        <f t="shared" ca="1" si="300"/>
        <v>1305051.3020762978</v>
      </c>
      <c r="BC284" s="2">
        <f t="shared" ca="1" si="301"/>
        <v>40632223.376890339</v>
      </c>
      <c r="BD284" s="2">
        <f t="shared" ca="1" si="302"/>
        <v>-17014997.384267516</v>
      </c>
      <c r="BE284" s="2">
        <f t="shared" ca="1" si="303"/>
        <v>2411622.2255202061</v>
      </c>
      <c r="BF284" s="2">
        <f t="shared" ca="1" si="304"/>
        <v>2726141.4607552108</v>
      </c>
      <c r="BG284" s="2">
        <f t="shared" ca="1" si="305"/>
        <v>2968387.1611718521</v>
      </c>
      <c r="BH284" s="2">
        <f t="shared" ca="1" si="306"/>
        <v>3224347.2352584652</v>
      </c>
      <c r="BI284" s="2">
        <f t="shared" ca="1" si="307"/>
        <v>44127021.478412867</v>
      </c>
      <c r="BJ284" s="2">
        <f t="shared" ca="1" si="308"/>
        <v>0.31502442772169359</v>
      </c>
      <c r="BK284" s="2">
        <f t="shared" ca="1" si="309"/>
        <v>16512327.385482632</v>
      </c>
    </row>
    <row r="285" spans="1:63" x14ac:dyDescent="0.3">
      <c r="A285" s="2">
        <v>284</v>
      </c>
      <c r="B285" s="2">
        <f t="shared" ca="1" si="248"/>
        <v>0.31595645341254786</v>
      </c>
      <c r="C285" s="2">
        <f t="shared" ca="1" si="249"/>
        <v>6.7949294980217401</v>
      </c>
      <c r="D285" s="2">
        <f t="shared" ca="1" si="250"/>
        <v>0.91854957176742824</v>
      </c>
      <c r="E285" s="2">
        <f t="shared" ca="1" si="251"/>
        <v>8.0963902175799713</v>
      </c>
      <c r="F285" s="2">
        <f t="shared" ca="1" si="252"/>
        <v>0.2858359201458458</v>
      </c>
      <c r="G285" s="2">
        <f t="shared" ca="1" si="253"/>
        <v>2.3032269688175122E-2</v>
      </c>
      <c r="H285" s="2">
        <f t="shared" ca="1" si="254"/>
        <v>2.3032269688175122E-2</v>
      </c>
      <c r="I285" s="2">
        <f t="shared" ca="1" si="255"/>
        <v>0.6158284749154137</v>
      </c>
      <c r="J285" s="2">
        <f t="shared" ca="1" si="256"/>
        <v>1.1472714741063464E-2</v>
      </c>
      <c r="K285" s="2">
        <f t="shared" ca="1" si="257"/>
        <v>1.1472714741063464E-2</v>
      </c>
      <c r="L285" s="2">
        <f t="shared" ca="1" si="258"/>
        <v>0.8289726068296952</v>
      </c>
      <c r="M285" s="2">
        <f t="shared" ca="1" si="259"/>
        <v>1.9002262047439992E-2</v>
      </c>
      <c r="N285" s="2">
        <f t="shared" ca="1" si="260"/>
        <v>1.9002262047439992E-2</v>
      </c>
      <c r="O285" s="2">
        <f t="shared" si="261"/>
        <v>6000000</v>
      </c>
      <c r="P285" s="2">
        <f t="shared" ca="1" si="262"/>
        <v>40769576.988130443</v>
      </c>
      <c r="Q285" s="2">
        <f t="shared" ca="1" si="263"/>
        <v>1019239.4247032611</v>
      </c>
      <c r="R285" s="2">
        <f t="shared" ca="1" si="264"/>
        <v>24461746.192878265</v>
      </c>
      <c r="S285" s="2">
        <f t="shared" ca="1" si="265"/>
        <v>16307830.795252178</v>
      </c>
      <c r="T285" s="2">
        <f t="shared" ca="1" si="266"/>
        <v>50950113.102371998</v>
      </c>
      <c r="U285" s="2">
        <f t="shared" ca="1" si="267"/>
        <v>52123609.847988851</v>
      </c>
      <c r="V285" s="2">
        <f t="shared" ca="1" si="268"/>
        <v>53324134.887128949</v>
      </c>
      <c r="W285" s="2">
        <f t="shared" ca="1" si="269"/>
        <v>54552310.742737927</v>
      </c>
      <c r="X285" s="2">
        <f t="shared" ca="1" si="270"/>
        <v>55808774.275877796</v>
      </c>
      <c r="Y285" s="2">
        <f t="shared" ca="1" si="271"/>
        <v>0.12573635737053174</v>
      </c>
      <c r="Z285" s="2">
        <f t="shared" ca="1" si="272"/>
        <v>0.12803090031874442</v>
      </c>
      <c r="AA285" s="2">
        <f t="shared" ca="1" si="273"/>
        <v>6406281.6291088574</v>
      </c>
      <c r="AB285" s="2">
        <f t="shared" ca="1" si="274"/>
        <v>6673432.6967009855</v>
      </c>
      <c r="AC285" s="2">
        <f t="shared" ca="1" si="275"/>
        <v>6827136.9983172882</v>
      </c>
      <c r="AD285" s="2">
        <f t="shared" ca="1" si="276"/>
        <v>6984381.4588606497</v>
      </c>
      <c r="AE285" s="2">
        <f t="shared" ca="1" si="277"/>
        <v>7145247.6162262177</v>
      </c>
      <c r="AF285" s="2">
        <f t="shared" ca="1" si="278"/>
        <v>1019002.2620474399</v>
      </c>
      <c r="AG285" s="2">
        <f t="shared" ca="1" si="279"/>
        <v>1042472.196959777</v>
      </c>
      <c r="AH285" s="2">
        <f t="shared" ca="1" si="280"/>
        <v>1066482.697742579</v>
      </c>
      <c r="AI285" s="2">
        <f t="shared" ca="1" si="281"/>
        <v>1091046.2148547585</v>
      </c>
      <c r="AJ285" s="2">
        <f t="shared" ca="1" si="282"/>
        <v>1116175.4855175558</v>
      </c>
      <c r="AK285" s="2">
        <f t="shared" ca="1" si="283"/>
        <v>0</v>
      </c>
      <c r="AL285" s="2">
        <f t="shared" ca="1" si="284"/>
        <v>11734.967456168533</v>
      </c>
      <c r="AM285" s="2">
        <f t="shared" ca="1" si="285"/>
        <v>12005.250391400978</v>
      </c>
      <c r="AN285" s="2">
        <f t="shared" ca="1" si="286"/>
        <v>12281.758556089773</v>
      </c>
      <c r="AO285" s="2">
        <f t="shared" ca="1" si="287"/>
        <v>12564.635331398697</v>
      </c>
      <c r="AP285" s="2">
        <f t="shared" ca="1" si="288"/>
        <v>2201557.1573590436</v>
      </c>
      <c r="AQ285" s="2">
        <f t="shared" ca="1" si="289"/>
        <v>828287.77452261723</v>
      </c>
      <c r="AR285" s="2">
        <f t="shared" ca="1" si="290"/>
        <v>891644.86901936296</v>
      </c>
      <c r="AS285" s="2">
        <f t="shared" ca="1" si="291"/>
        <v>925365.25723607291</v>
      </c>
      <c r="AT285" s="2">
        <f t="shared" ca="1" si="292"/>
        <v>959862.30252818053</v>
      </c>
      <c r="AU285" s="2">
        <f t="shared" ca="1" si="293"/>
        <v>995153.89307090081</v>
      </c>
      <c r="AV285" s="2">
        <f t="shared" ca="1" si="294"/>
        <v>2357434.4351797565</v>
      </c>
      <c r="AW285" s="2">
        <f t="shared" ca="1" si="295"/>
        <v>2526023.5059066336</v>
      </c>
      <c r="AX285" s="2">
        <f t="shared" ca="1" si="296"/>
        <v>2621726.635588191</v>
      </c>
      <c r="AY285" s="2">
        <f t="shared" ca="1" si="297"/>
        <v>2719634.0255625783</v>
      </c>
      <c r="AZ285" s="2">
        <f t="shared" ca="1" si="298"/>
        <v>2819796.4449473186</v>
      </c>
      <c r="BA285" s="2">
        <f t="shared" ca="1" si="299"/>
        <v>57850712.902200557</v>
      </c>
      <c r="BB285" s="2">
        <f t="shared" ca="1" si="300"/>
        <v>1157014.2580440112</v>
      </c>
      <c r="BC285" s="2">
        <f t="shared" ca="1" si="301"/>
        <v>32231952.45127828</v>
      </c>
      <c r="BD285" s="2">
        <f t="shared" ca="1" si="302"/>
        <v>-17827070.219955441</v>
      </c>
      <c r="BE285" s="2">
        <f t="shared" ca="1" si="303"/>
        <v>2357434.4351797565</v>
      </c>
      <c r="BF285" s="2">
        <f t="shared" ca="1" si="304"/>
        <v>2526023.5059066336</v>
      </c>
      <c r="BG285" s="2">
        <f t="shared" ca="1" si="305"/>
        <v>2621726.635588191</v>
      </c>
      <c r="BH285" s="2">
        <f t="shared" ca="1" si="306"/>
        <v>2719634.0255625783</v>
      </c>
      <c r="BI285" s="2">
        <f t="shared" ca="1" si="307"/>
        <v>35051748.896225601</v>
      </c>
      <c r="BJ285" s="2">
        <f t="shared" ca="1" si="308"/>
        <v>0.24336943336460082</v>
      </c>
      <c r="BK285" s="2">
        <f t="shared" ca="1" si="309"/>
        <v>9775285.915662013</v>
      </c>
    </row>
    <row r="286" spans="1:63" x14ac:dyDescent="0.3">
      <c r="A286" s="2">
        <v>285</v>
      </c>
      <c r="B286" s="2">
        <f t="shared" ca="1" si="248"/>
        <v>0.87618973261049871</v>
      </c>
      <c r="C286" s="2">
        <f t="shared" ca="1" si="249"/>
        <v>7.502385154181467</v>
      </c>
      <c r="D286" s="2">
        <f t="shared" ca="1" si="250"/>
        <v>0.37331250590316722</v>
      </c>
      <c r="E286" s="2">
        <f t="shared" ca="1" si="251"/>
        <v>7.3640746563846982</v>
      </c>
      <c r="F286" s="2">
        <f t="shared" ca="1" si="252"/>
        <v>0.76063698040392824</v>
      </c>
      <c r="G286" s="2">
        <f t="shared" ca="1" si="253"/>
        <v>6.1250591570347721E-2</v>
      </c>
      <c r="H286" s="2">
        <f t="shared" ca="1" si="254"/>
        <v>6.1250591570347721E-2</v>
      </c>
      <c r="I286" s="2">
        <f t="shared" ca="1" si="255"/>
        <v>0.88230078888736241</v>
      </c>
      <c r="J286" s="2">
        <f t="shared" ca="1" si="256"/>
        <v>1.5932835466390391E-2</v>
      </c>
      <c r="K286" s="2">
        <f t="shared" ca="1" si="257"/>
        <v>1.5932835466390391E-2</v>
      </c>
      <c r="L286" s="2">
        <f t="shared" ca="1" si="258"/>
        <v>0.76050610023597798</v>
      </c>
      <c r="M286" s="2">
        <f t="shared" ca="1" si="259"/>
        <v>1.415862992010493E-2</v>
      </c>
      <c r="N286" s="2">
        <f t="shared" ca="1" si="260"/>
        <v>1.415862992010493E-2</v>
      </c>
      <c r="O286" s="2">
        <f t="shared" si="261"/>
        <v>6000000</v>
      </c>
      <c r="P286" s="2">
        <f t="shared" ca="1" si="262"/>
        <v>45014310.9250888</v>
      </c>
      <c r="Q286" s="2">
        <f t="shared" ca="1" si="263"/>
        <v>1125357.7731272201</v>
      </c>
      <c r="R286" s="2">
        <f t="shared" ca="1" si="264"/>
        <v>27008586.555053279</v>
      </c>
      <c r="S286" s="2">
        <f t="shared" ca="1" si="265"/>
        <v>18005724.370035522</v>
      </c>
      <c r="T286" s="2">
        <f t="shared" ca="1" si="266"/>
        <v>50707931.496005245</v>
      </c>
      <c r="U286" s="2">
        <f t="shared" ca="1" si="267"/>
        <v>53813822.297444232</v>
      </c>
      <c r="V286" s="2">
        <f t="shared" ca="1" si="268"/>
        <v>57109950.747824252</v>
      </c>
      <c r="W286" s="2">
        <f t="shared" ca="1" si="269"/>
        <v>60607969.0156819</v>
      </c>
      <c r="X286" s="2">
        <f t="shared" ca="1" si="270"/>
        <v>64320242.971769713</v>
      </c>
      <c r="Y286" s="2">
        <f t="shared" ca="1" si="271"/>
        <v>0.1279664177331952</v>
      </c>
      <c r="Z286" s="2">
        <f t="shared" ca="1" si="272"/>
        <v>0.13115298482647328</v>
      </c>
      <c r="AA286" s="2">
        <f t="shared" ca="1" si="273"/>
        <v>6488912.3442040533</v>
      </c>
      <c r="AB286" s="2">
        <f t="shared" ca="1" si="274"/>
        <v>7057843.4192312332</v>
      </c>
      <c r="AC286" s="2">
        <f t="shared" ca="1" si="275"/>
        <v>7490140.5038700299</v>
      </c>
      <c r="AD286" s="2">
        <f t="shared" ca="1" si="276"/>
        <v>7948916.0406770911</v>
      </c>
      <c r="AE286" s="2">
        <f t="shared" ca="1" si="277"/>
        <v>8435791.8505115882</v>
      </c>
      <c r="AF286" s="2">
        <f t="shared" ca="1" si="278"/>
        <v>1014158.6299201049</v>
      </c>
      <c r="AG286" s="2">
        <f t="shared" ca="1" si="279"/>
        <v>1076276.4459488846</v>
      </c>
      <c r="AH286" s="2">
        <f t="shared" ca="1" si="280"/>
        <v>1142199.014956485</v>
      </c>
      <c r="AI286" s="2">
        <f t="shared" ca="1" si="281"/>
        <v>1212159.3803136381</v>
      </c>
      <c r="AJ286" s="2">
        <f t="shared" ca="1" si="282"/>
        <v>1286404.8594353942</v>
      </c>
      <c r="AK286" s="2">
        <f t="shared" ca="1" si="283"/>
        <v>0</v>
      </c>
      <c r="AL286" s="2">
        <f t="shared" ca="1" si="284"/>
        <v>31058.908014389872</v>
      </c>
      <c r="AM286" s="2">
        <f t="shared" ca="1" si="285"/>
        <v>32961.284503800198</v>
      </c>
      <c r="AN286" s="2">
        <f t="shared" ca="1" si="286"/>
        <v>34980.182678576486</v>
      </c>
      <c r="AO286" s="2">
        <f t="shared" ca="1" si="287"/>
        <v>37122.73956087813</v>
      </c>
      <c r="AP286" s="2">
        <f t="shared" ca="1" si="288"/>
        <v>2430772.789954795</v>
      </c>
      <c r="AQ286" s="2">
        <f t="shared" ca="1" si="289"/>
        <v>791435.04032558005</v>
      </c>
      <c r="AR286" s="2">
        <f t="shared" ca="1" si="290"/>
        <v>923206.48766516394</v>
      </c>
      <c r="AS286" s="2">
        <f t="shared" ca="1" si="291"/>
        <v>1018463.8617292751</v>
      </c>
      <c r="AT286" s="2">
        <f t="shared" ca="1" si="292"/>
        <v>1119555.8063062511</v>
      </c>
      <c r="AU286" s="2">
        <f t="shared" ca="1" si="293"/>
        <v>1226839.6922915638</v>
      </c>
      <c r="AV286" s="2">
        <f t="shared" ca="1" si="294"/>
        <v>2252545.8840035736</v>
      </c>
      <c r="AW286" s="2">
        <f t="shared" ca="1" si="295"/>
        <v>2596528.7876479994</v>
      </c>
      <c r="AX286" s="2">
        <f t="shared" ca="1" si="296"/>
        <v>2865743.5527256751</v>
      </c>
      <c r="AY286" s="2">
        <f t="shared" ca="1" si="297"/>
        <v>3151447.8814238296</v>
      </c>
      <c r="AZ286" s="2">
        <f t="shared" ca="1" si="298"/>
        <v>3454651.7692689574</v>
      </c>
      <c r="BA286" s="2">
        <f t="shared" ca="1" si="299"/>
        <v>62121800.972888961</v>
      </c>
      <c r="BB286" s="2">
        <f t="shared" ca="1" si="300"/>
        <v>1242436.0194577794</v>
      </c>
      <c r="BC286" s="2">
        <f t="shared" ca="1" si="301"/>
        <v>33870778.398377903</v>
      </c>
      <c r="BD286" s="2">
        <f t="shared" ca="1" si="302"/>
        <v>-19631082.143162742</v>
      </c>
      <c r="BE286" s="2">
        <f t="shared" ca="1" si="303"/>
        <v>2252545.8840035736</v>
      </c>
      <c r="BF286" s="2">
        <f t="shared" ca="1" si="304"/>
        <v>2596528.7876479994</v>
      </c>
      <c r="BG286" s="2">
        <f t="shared" ca="1" si="305"/>
        <v>2865743.5527256751</v>
      </c>
      <c r="BH286" s="2">
        <f t="shared" ca="1" si="306"/>
        <v>3151447.8814238296</v>
      </c>
      <c r="BI286" s="2">
        <f t="shared" ca="1" si="307"/>
        <v>37325430.167646863</v>
      </c>
      <c r="BJ286" s="2">
        <f t="shared" ca="1" si="308"/>
        <v>0.23138094505920126</v>
      </c>
      <c r="BK286" s="2">
        <f t="shared" ca="1" si="309"/>
        <v>9672089.6276774779</v>
      </c>
    </row>
    <row r="287" spans="1:63" x14ac:dyDescent="0.3">
      <c r="A287" s="2">
        <v>286</v>
      </c>
      <c r="B287" s="2">
        <f t="shared" ca="1" si="248"/>
        <v>0.84741835688732503</v>
      </c>
      <c r="C287" s="2">
        <f t="shared" ca="1" si="249"/>
        <v>7.4475841365190982</v>
      </c>
      <c r="D287" s="2">
        <f t="shared" ca="1" si="250"/>
        <v>0.30135672727011975</v>
      </c>
      <c r="E287" s="2">
        <f t="shared" ca="1" si="251"/>
        <v>7.2763462207934291</v>
      </c>
      <c r="F287" s="2">
        <f t="shared" ca="1" si="252"/>
        <v>0.37889886603938061</v>
      </c>
      <c r="G287" s="2">
        <f t="shared" ca="1" si="253"/>
        <v>3.0748778756986797E-2</v>
      </c>
      <c r="H287" s="2">
        <f t="shared" ca="1" si="254"/>
        <v>3.0748778756986797E-2</v>
      </c>
      <c r="I287" s="2">
        <f t="shared" ca="1" si="255"/>
        <v>0.89100007297349892</v>
      </c>
      <c r="J287" s="2">
        <f t="shared" ca="1" si="256"/>
        <v>1.6159320496860852E-2</v>
      </c>
      <c r="K287" s="2">
        <f t="shared" ca="1" si="257"/>
        <v>1.6159320496860852E-2</v>
      </c>
      <c r="L287" s="2">
        <f t="shared" ca="1" si="258"/>
        <v>0.29668419310681604</v>
      </c>
      <c r="M287" s="2">
        <f t="shared" ca="1" si="259"/>
        <v>-1.067922377924155E-2</v>
      </c>
      <c r="N287" s="2">
        <f t="shared" ca="1" si="260"/>
        <v>-1.067922377924155E-2</v>
      </c>
      <c r="O287" s="2">
        <f t="shared" si="261"/>
        <v>6000000</v>
      </c>
      <c r="P287" s="2">
        <f t="shared" ca="1" si="262"/>
        <v>44685504.819114588</v>
      </c>
      <c r="Q287" s="2">
        <f t="shared" ca="1" si="263"/>
        <v>1117137.6204778648</v>
      </c>
      <c r="R287" s="2">
        <f t="shared" ca="1" si="264"/>
        <v>26811302.891468752</v>
      </c>
      <c r="S287" s="2">
        <f t="shared" ca="1" si="265"/>
        <v>17874201.927645836</v>
      </c>
      <c r="T287" s="2">
        <f t="shared" ca="1" si="266"/>
        <v>49466038.81103792</v>
      </c>
      <c r="U287" s="2">
        <f t="shared" ca="1" si="267"/>
        <v>50987059.094423056</v>
      </c>
      <c r="V287" s="2">
        <f t="shared" ca="1" si="268"/>
        <v>52554848.893986888</v>
      </c>
      <c r="W287" s="2">
        <f t="shared" ca="1" si="269"/>
        <v>54170846.315234967</v>
      </c>
      <c r="X287" s="2">
        <f t="shared" ca="1" si="270"/>
        <v>55836533.683660865</v>
      </c>
      <c r="Y287" s="2">
        <f t="shared" ca="1" si="271"/>
        <v>0.12807966024843043</v>
      </c>
      <c r="Z287" s="2">
        <f t="shared" ca="1" si="272"/>
        <v>0.13131152434780258</v>
      </c>
      <c r="AA287" s="2">
        <f t="shared" ca="1" si="273"/>
        <v>6335593.4447534103</v>
      </c>
      <c r="AB287" s="2">
        <f t="shared" ca="1" si="274"/>
        <v>6695188.4517001817</v>
      </c>
      <c r="AC287" s="2">
        <f t="shared" ca="1" si="275"/>
        <v>6901057.3201378444</v>
      </c>
      <c r="AD287" s="2">
        <f t="shared" ca="1" si="276"/>
        <v>7113256.4048640477</v>
      </c>
      <c r="AE287" s="2">
        <f t="shared" ca="1" si="277"/>
        <v>7331980.3522989322</v>
      </c>
      <c r="AF287" s="2">
        <f t="shared" ca="1" si="278"/>
        <v>989320.77622075845</v>
      </c>
      <c r="AG287" s="2">
        <f t="shared" ca="1" si="279"/>
        <v>1019741.1818884611</v>
      </c>
      <c r="AH287" s="2">
        <f t="shared" ca="1" si="280"/>
        <v>1051096.9778797377</v>
      </c>
      <c r="AI287" s="2">
        <f t="shared" ca="1" si="281"/>
        <v>1083416.9263046994</v>
      </c>
      <c r="AJ287" s="2">
        <f t="shared" ca="1" si="282"/>
        <v>1116730.6736732174</v>
      </c>
      <c r="AK287" s="2">
        <f t="shared" ca="1" si="283"/>
        <v>0</v>
      </c>
      <c r="AL287" s="2">
        <f t="shared" ca="1" si="284"/>
        <v>15210.202833851352</v>
      </c>
      <c r="AM287" s="2">
        <f t="shared" ca="1" si="285"/>
        <v>15677.897995638326</v>
      </c>
      <c r="AN287" s="2">
        <f t="shared" ca="1" si="286"/>
        <v>16159.974212480784</v>
      </c>
      <c r="AO287" s="2">
        <f t="shared" ca="1" si="287"/>
        <v>16656.873684258982</v>
      </c>
      <c r="AP287" s="2">
        <f t="shared" ca="1" si="288"/>
        <v>2413017.2602321878</v>
      </c>
      <c r="AQ287" s="2">
        <f t="shared" ca="1" si="289"/>
        <v>762646.40615812072</v>
      </c>
      <c r="AR287" s="2">
        <f t="shared" ca="1" si="290"/>
        <v>848231.8024906785</v>
      </c>
      <c r="AS287" s="2">
        <f t="shared" ca="1" si="291"/>
        <v>893605.20132673904</v>
      </c>
      <c r="AT287" s="2">
        <f t="shared" ca="1" si="292"/>
        <v>940373.77676506189</v>
      </c>
      <c r="AU287" s="2">
        <f t="shared" ca="1" si="293"/>
        <v>988580.42878231709</v>
      </c>
      <c r="AV287" s="2">
        <f t="shared" ca="1" si="294"/>
        <v>2170609.0021423437</v>
      </c>
      <c r="AW287" s="2">
        <f t="shared" ca="1" si="295"/>
        <v>2398988.0042550024</v>
      </c>
      <c r="AX287" s="2">
        <f t="shared" ca="1" si="296"/>
        <v>2527659.9827035414</v>
      </c>
      <c r="AY287" s="2">
        <f t="shared" ca="1" si="297"/>
        <v>2660288.4673496187</v>
      </c>
      <c r="AZ287" s="2">
        <f t="shared" ca="1" si="298"/>
        <v>2796995.1159269512</v>
      </c>
      <c r="BA287" s="2">
        <f t="shared" ca="1" si="299"/>
        <v>53350027.527382009</v>
      </c>
      <c r="BB287" s="2">
        <f t="shared" ca="1" si="300"/>
        <v>1067000.5505476403</v>
      </c>
      <c r="BC287" s="2">
        <f t="shared" ca="1" si="301"/>
        <v>25471724.085365616</v>
      </c>
      <c r="BD287" s="2">
        <f t="shared" ca="1" si="302"/>
        <v>-19491339.548123702</v>
      </c>
      <c r="BE287" s="2">
        <f t="shared" ca="1" si="303"/>
        <v>2170609.0021423437</v>
      </c>
      <c r="BF287" s="2">
        <f t="shared" ca="1" si="304"/>
        <v>2398988.0042550024</v>
      </c>
      <c r="BG287" s="2">
        <f t="shared" ca="1" si="305"/>
        <v>2527659.9827035414</v>
      </c>
      <c r="BH287" s="2">
        <f t="shared" ca="1" si="306"/>
        <v>2660288.4673496187</v>
      </c>
      <c r="BI287" s="2">
        <f t="shared" ca="1" si="307"/>
        <v>28268719.201292567</v>
      </c>
      <c r="BJ287" s="2">
        <f t="shared" ca="1" si="308"/>
        <v>0.17011540619635412</v>
      </c>
      <c r="BK287" s="2">
        <f t="shared" ca="1" si="309"/>
        <v>3889393.0683302917</v>
      </c>
    </row>
    <row r="288" spans="1:63" x14ac:dyDescent="0.3">
      <c r="A288" s="2">
        <v>287</v>
      </c>
      <c r="B288" s="2">
        <f t="shared" ca="1" si="248"/>
        <v>0.9263403425412714</v>
      </c>
      <c r="C288" s="2">
        <f t="shared" ca="1" si="249"/>
        <v>7.616178016630812</v>
      </c>
      <c r="D288" s="2">
        <f t="shared" ca="1" si="250"/>
        <v>0.42783954848669159</v>
      </c>
      <c r="E288" s="2">
        <f t="shared" ca="1" si="251"/>
        <v>7.4250292411450483</v>
      </c>
      <c r="F288" s="2">
        <f t="shared" ca="1" si="252"/>
        <v>5.8522457135728234E-2</v>
      </c>
      <c r="G288" s="2">
        <f t="shared" ca="1" si="253"/>
        <v>-7.0189577696252725E-3</v>
      </c>
      <c r="H288" s="2">
        <f t="shared" ca="1" si="254"/>
        <v>-7.0189577696252725E-3</v>
      </c>
      <c r="I288" s="2">
        <f t="shared" ca="1" si="255"/>
        <v>0.68692613337463992</v>
      </c>
      <c r="J288" s="2">
        <f t="shared" ca="1" si="256"/>
        <v>1.2435780356631359E-2</v>
      </c>
      <c r="K288" s="2">
        <f t="shared" ca="1" si="257"/>
        <v>1.2435780356631359E-2</v>
      </c>
      <c r="L288" s="2">
        <f t="shared" ca="1" si="258"/>
        <v>0.80451005254073715</v>
      </c>
      <c r="M288" s="2">
        <f t="shared" ca="1" si="259"/>
        <v>1.7156833464898019E-2</v>
      </c>
      <c r="N288" s="2">
        <f t="shared" ca="1" si="260"/>
        <v>1.7156833464898019E-2</v>
      </c>
      <c r="O288" s="2">
        <f t="shared" si="261"/>
        <v>6000000</v>
      </c>
      <c r="P288" s="2">
        <f t="shared" ca="1" si="262"/>
        <v>45697068.099784873</v>
      </c>
      <c r="Q288" s="2">
        <f t="shared" ca="1" si="263"/>
        <v>1142426.702494622</v>
      </c>
      <c r="R288" s="2">
        <f t="shared" ca="1" si="264"/>
        <v>27418240.859870922</v>
      </c>
      <c r="S288" s="2">
        <f t="shared" ca="1" si="265"/>
        <v>18278827.239913952</v>
      </c>
      <c r="T288" s="2">
        <f t="shared" ca="1" si="266"/>
        <v>50857841.673244894</v>
      </c>
      <c r="U288" s="2">
        <f t="shared" ca="1" si="267"/>
        <v>50500872.630286098</v>
      </c>
      <c r="V288" s="2">
        <f t="shared" ca="1" si="268"/>
        <v>50146409.137964897</v>
      </c>
      <c r="W288" s="2">
        <f t="shared" ca="1" si="269"/>
        <v>49794433.60992717</v>
      </c>
      <c r="X288" s="2">
        <f t="shared" ca="1" si="270"/>
        <v>49444928.583256684</v>
      </c>
      <c r="Y288" s="2">
        <f t="shared" ca="1" si="271"/>
        <v>0.12621789017831567</v>
      </c>
      <c r="Z288" s="2">
        <f t="shared" ca="1" si="272"/>
        <v>0.12870504624964194</v>
      </c>
      <c r="AA288" s="2">
        <f t="shared" ca="1" si="273"/>
        <v>6419169.4750197902</v>
      </c>
      <c r="AB288" s="2">
        <f t="shared" ca="1" si="274"/>
        <v>6499717.1475282488</v>
      </c>
      <c r="AC288" s="2">
        <f t="shared" ca="1" si="275"/>
        <v>6454095.9073552387</v>
      </c>
      <c r="AD288" s="2">
        <f t="shared" ca="1" si="276"/>
        <v>6408794.8807404013</v>
      </c>
      <c r="AE288" s="2">
        <f t="shared" ca="1" si="277"/>
        <v>6363811.8201182941</v>
      </c>
      <c r="AF288" s="2">
        <f t="shared" ca="1" si="278"/>
        <v>1017156.8334648979</v>
      </c>
      <c r="AG288" s="2">
        <f t="shared" ca="1" si="279"/>
        <v>1010017.452605722</v>
      </c>
      <c r="AH288" s="2">
        <f t="shared" ca="1" si="280"/>
        <v>1002928.182759298</v>
      </c>
      <c r="AI288" s="2">
        <f t="shared" ca="1" si="281"/>
        <v>995888.67219854344</v>
      </c>
      <c r="AJ288" s="2">
        <f t="shared" ca="1" si="282"/>
        <v>988898.5716651337</v>
      </c>
      <c r="AK288" s="2">
        <f t="shared" ca="1" si="283"/>
        <v>0</v>
      </c>
      <c r="AL288" s="2">
        <f t="shared" ca="1" si="284"/>
        <v>0</v>
      </c>
      <c r="AM288" s="2">
        <f t="shared" ca="1" si="285"/>
        <v>0</v>
      </c>
      <c r="AN288" s="2">
        <f t="shared" ca="1" si="286"/>
        <v>0</v>
      </c>
      <c r="AO288" s="2">
        <f t="shared" ca="1" si="287"/>
        <v>0</v>
      </c>
      <c r="AP288" s="2">
        <f t="shared" ca="1" si="288"/>
        <v>2467641.6773883831</v>
      </c>
      <c r="AQ288" s="2">
        <f t="shared" ca="1" si="289"/>
        <v>762936.45068329235</v>
      </c>
      <c r="AR288" s="2">
        <f t="shared" ca="1" si="290"/>
        <v>785735.08455887751</v>
      </c>
      <c r="AS288" s="2">
        <f t="shared" ca="1" si="291"/>
        <v>775716.77227396495</v>
      </c>
      <c r="AT288" s="2">
        <f t="shared" ca="1" si="292"/>
        <v>765768.77809990349</v>
      </c>
      <c r="AU288" s="2">
        <f t="shared" ca="1" si="293"/>
        <v>755890.60847684217</v>
      </c>
      <c r="AV288" s="2">
        <f t="shared" ca="1" si="294"/>
        <v>2171434.513483217</v>
      </c>
      <c r="AW288" s="2">
        <f t="shared" ca="1" si="295"/>
        <v>2236322.9329752671</v>
      </c>
      <c r="AX288" s="2">
        <f t="shared" ca="1" si="296"/>
        <v>2207809.2749335924</v>
      </c>
      <c r="AY288" s="2">
        <f t="shared" ca="1" si="297"/>
        <v>2179495.7530535711</v>
      </c>
      <c r="AZ288" s="2">
        <f t="shared" ca="1" si="298"/>
        <v>2151380.9625879359</v>
      </c>
      <c r="BA288" s="2">
        <f t="shared" ca="1" si="299"/>
        <v>47251488.849522829</v>
      </c>
      <c r="BB288" s="2">
        <f t="shared" ca="1" si="300"/>
        <v>945029.77699045662</v>
      </c>
      <c r="BC288" s="2">
        <f t="shared" ca="1" si="301"/>
        <v>18888218.212661449</v>
      </c>
      <c r="BD288" s="2">
        <f t="shared" ca="1" si="302"/>
        <v>-19921253.942408573</v>
      </c>
      <c r="BE288" s="2">
        <f t="shared" ca="1" si="303"/>
        <v>2171434.513483217</v>
      </c>
      <c r="BF288" s="2">
        <f t="shared" ca="1" si="304"/>
        <v>2236322.9329752671</v>
      </c>
      <c r="BG288" s="2">
        <f t="shared" ca="1" si="305"/>
        <v>2207809.2749335924</v>
      </c>
      <c r="BH288" s="2">
        <f t="shared" ca="1" si="306"/>
        <v>2179495.7530535711</v>
      </c>
      <c r="BI288" s="2">
        <f t="shared" ca="1" si="307"/>
        <v>21039599.175249383</v>
      </c>
      <c r="BJ288" s="2">
        <f t="shared" ca="1" si="308"/>
        <v>0.10151368771486458</v>
      </c>
      <c r="BK288" s="2">
        <f t="shared" ca="1" si="309"/>
        <v>-1304672.5851032697</v>
      </c>
    </row>
    <row r="289" spans="1:63" x14ac:dyDescent="0.3">
      <c r="A289" s="2">
        <v>288</v>
      </c>
      <c r="B289" s="2">
        <f t="shared" ca="1" si="248"/>
        <v>0.27307343022961916</v>
      </c>
      <c r="C289" s="2">
        <f t="shared" ca="1" si="249"/>
        <v>6.7390174967206384</v>
      </c>
      <c r="D289" s="2">
        <f t="shared" ca="1" si="250"/>
        <v>0.47809546011022896</v>
      </c>
      <c r="E289" s="2">
        <f t="shared" ca="1" si="251"/>
        <v>7.4778501522321594</v>
      </c>
      <c r="F289" s="2">
        <f t="shared" ca="1" si="252"/>
        <v>0.83031295304120778</v>
      </c>
      <c r="G289" s="2">
        <f t="shared" ca="1" si="253"/>
        <v>6.8662080716355364E-2</v>
      </c>
      <c r="H289" s="2">
        <f t="shared" ca="1" si="254"/>
        <v>6.8662080716355364E-2</v>
      </c>
      <c r="I289" s="2">
        <f t="shared" ca="1" si="255"/>
        <v>0.41950659610729524</v>
      </c>
      <c r="J289" s="2">
        <f t="shared" ca="1" si="256"/>
        <v>8.9842205735899822E-3</v>
      </c>
      <c r="K289" s="2">
        <f t="shared" ca="1" si="257"/>
        <v>8.9842205735899822E-3</v>
      </c>
      <c r="L289" s="2">
        <f t="shared" ca="1" si="258"/>
        <v>0.14691604042006112</v>
      </c>
      <c r="M289" s="2">
        <f t="shared" ca="1" si="259"/>
        <v>-2.0995042970278526E-2</v>
      </c>
      <c r="N289" s="2">
        <f t="shared" ca="1" si="260"/>
        <v>-2.0995042970278526E-2</v>
      </c>
      <c r="O289" s="2">
        <f t="shared" si="261"/>
        <v>6000000</v>
      </c>
      <c r="P289" s="2">
        <f t="shared" ca="1" si="262"/>
        <v>40434104.980323829</v>
      </c>
      <c r="Q289" s="2">
        <f t="shared" ca="1" si="263"/>
        <v>1010852.6245080958</v>
      </c>
      <c r="R289" s="2">
        <f t="shared" ca="1" si="264"/>
        <v>24260462.988194298</v>
      </c>
      <c r="S289" s="2">
        <f t="shared" ca="1" si="265"/>
        <v>16173641.992129533</v>
      </c>
      <c r="T289" s="2">
        <f t="shared" ca="1" si="266"/>
        <v>48950247.851486072</v>
      </c>
      <c r="U289" s="2">
        <f t="shared" ca="1" si="267"/>
        <v>52311273.72055041</v>
      </c>
      <c r="V289" s="2">
        <f t="shared" ca="1" si="268"/>
        <v>55903074.619126201</v>
      </c>
      <c r="W289" s="2">
        <f t="shared" ca="1" si="269"/>
        <v>59741496.040917084</v>
      </c>
      <c r="X289" s="2">
        <f t="shared" ca="1" si="270"/>
        <v>63843471.464194357</v>
      </c>
      <c r="Y289" s="2">
        <f t="shared" ca="1" si="271"/>
        <v>0.12449211028679499</v>
      </c>
      <c r="Z289" s="2">
        <f t="shared" ca="1" si="272"/>
        <v>0.12628895440151297</v>
      </c>
      <c r="AA289" s="2">
        <f t="shared" ca="1" si="273"/>
        <v>6093919.6540931538</v>
      </c>
      <c r="AB289" s="2">
        <f t="shared" ca="1" si="274"/>
        <v>6606336.0615796549</v>
      </c>
      <c r="AC289" s="2">
        <f t="shared" ca="1" si="275"/>
        <v>7059940.8414792055</v>
      </c>
      <c r="AD289" s="2">
        <f t="shared" ca="1" si="276"/>
        <v>7544691.0693895454</v>
      </c>
      <c r="AE289" s="2">
        <f t="shared" ca="1" si="277"/>
        <v>8062725.2565759355</v>
      </c>
      <c r="AF289" s="2">
        <f t="shared" ca="1" si="278"/>
        <v>979004.95702972147</v>
      </c>
      <c r="AG289" s="2">
        <f t="shared" ca="1" si="279"/>
        <v>1046225.4744110082</v>
      </c>
      <c r="AH289" s="2">
        <f t="shared" ca="1" si="280"/>
        <v>1118061.4923825241</v>
      </c>
      <c r="AI289" s="2">
        <f t="shared" ca="1" si="281"/>
        <v>1194829.9208183417</v>
      </c>
      <c r="AJ289" s="2">
        <f t="shared" ca="1" si="282"/>
        <v>1276869.4292838871</v>
      </c>
      <c r="AK289" s="2">
        <f t="shared" ca="1" si="283"/>
        <v>0</v>
      </c>
      <c r="AL289" s="2">
        <f t="shared" ca="1" si="284"/>
        <v>33610.258690643386</v>
      </c>
      <c r="AM289" s="2">
        <f t="shared" ca="1" si="285"/>
        <v>35918.008985757901</v>
      </c>
      <c r="AN289" s="2">
        <f t="shared" ca="1" si="286"/>
        <v>38384.214217908833</v>
      </c>
      <c r="AO289" s="2">
        <f t="shared" ca="1" si="287"/>
        <v>41019.754232772735</v>
      </c>
      <c r="AP289" s="2">
        <f t="shared" ca="1" si="288"/>
        <v>2183441.6689374866</v>
      </c>
      <c r="AQ289" s="2">
        <f t="shared" ca="1" si="289"/>
        <v>762182.98731274588</v>
      </c>
      <c r="AR289" s="2">
        <f t="shared" ca="1" si="290"/>
        <v>877933.91874010174</v>
      </c>
      <c r="AS289" s="2">
        <f t="shared" ca="1" si="291"/>
        <v>977193.79684139078</v>
      </c>
      <c r="AT289" s="2">
        <f t="shared" ca="1" si="292"/>
        <v>1083269.0647047665</v>
      </c>
      <c r="AU289" s="2">
        <f t="shared" ca="1" si="293"/>
        <v>1196627.681172186</v>
      </c>
      <c r="AV289" s="2">
        <f t="shared" ca="1" si="294"/>
        <v>2169290.0408131992</v>
      </c>
      <c r="AW289" s="2">
        <f t="shared" ca="1" si="295"/>
        <v>2465124.7408004152</v>
      </c>
      <c r="AX289" s="2">
        <f t="shared" ca="1" si="296"/>
        <v>2745325.8743320471</v>
      </c>
      <c r="AY289" s="2">
        <f t="shared" ca="1" si="297"/>
        <v>3044766.2007110417</v>
      </c>
      <c r="AZ289" s="2">
        <f t="shared" ca="1" si="298"/>
        <v>3364766.7229496026</v>
      </c>
      <c r="BA289" s="2">
        <f t="shared" ca="1" si="299"/>
        <v>60291851.287292436</v>
      </c>
      <c r="BB289" s="2">
        <f t="shared" ca="1" si="300"/>
        <v>1205837.0257458487</v>
      </c>
      <c r="BC289" s="2">
        <f t="shared" ca="1" si="301"/>
        <v>34825551.273352288</v>
      </c>
      <c r="BD289" s="2">
        <f t="shared" ca="1" si="302"/>
        <v>-17684494.616637629</v>
      </c>
      <c r="BE289" s="2">
        <f t="shared" ca="1" si="303"/>
        <v>2169290.0408131992</v>
      </c>
      <c r="BF289" s="2">
        <f t="shared" ca="1" si="304"/>
        <v>2465124.7408004152</v>
      </c>
      <c r="BG289" s="2">
        <f t="shared" ca="1" si="305"/>
        <v>2745325.8743320471</v>
      </c>
      <c r="BH289" s="2">
        <f t="shared" ca="1" si="306"/>
        <v>3044766.2007110417</v>
      </c>
      <c r="BI289" s="2">
        <f t="shared" ca="1" si="307"/>
        <v>38190317.996301889</v>
      </c>
      <c r="BJ289" s="2">
        <f t="shared" ca="1" si="308"/>
        <v>0.26336233625484562</v>
      </c>
      <c r="BK289" s="2">
        <f t="shared" ca="1" si="309"/>
        <v>11776838.597760439</v>
      </c>
    </row>
    <row r="290" spans="1:63" x14ac:dyDescent="0.3">
      <c r="A290" s="2">
        <v>289</v>
      </c>
      <c r="B290" s="2">
        <f t="shared" ca="1" si="248"/>
        <v>0.79605309271000502</v>
      </c>
      <c r="C290" s="2">
        <f t="shared" ca="1" si="249"/>
        <v>7.361334348363723</v>
      </c>
      <c r="D290" s="2">
        <f t="shared" ca="1" si="250"/>
        <v>0.95722321011495204</v>
      </c>
      <c r="E290" s="2">
        <f t="shared" ca="1" si="251"/>
        <v>8.2075045645311775</v>
      </c>
      <c r="F290" s="2">
        <f t="shared" ca="1" si="252"/>
        <v>0.11827443163292872</v>
      </c>
      <c r="G290" s="2">
        <f t="shared" ca="1" si="253"/>
        <v>4.4902897157849744E-3</v>
      </c>
      <c r="H290" s="2">
        <f t="shared" ca="1" si="254"/>
        <v>4.4902897157849744E-3</v>
      </c>
      <c r="I290" s="2">
        <f t="shared" ca="1" si="255"/>
        <v>0.79742000121009704</v>
      </c>
      <c r="J290" s="2">
        <f t="shared" ca="1" si="256"/>
        <v>1.4162205621331411E-2</v>
      </c>
      <c r="K290" s="2">
        <f t="shared" ca="1" si="257"/>
        <v>1.4162205621331411E-2</v>
      </c>
      <c r="L290" s="2">
        <f t="shared" ca="1" si="258"/>
        <v>0.6021442378585099</v>
      </c>
      <c r="M290" s="2">
        <f t="shared" ca="1" si="259"/>
        <v>5.1780226520755524E-3</v>
      </c>
      <c r="N290" s="2">
        <f t="shared" ca="1" si="260"/>
        <v>5.1780226520755524E-3</v>
      </c>
      <c r="O290" s="2">
        <f t="shared" si="261"/>
        <v>6000000</v>
      </c>
      <c r="P290" s="2">
        <f t="shared" ca="1" si="262"/>
        <v>44168006.090182342</v>
      </c>
      <c r="Q290" s="2">
        <f t="shared" ca="1" si="263"/>
        <v>1104200.1522545586</v>
      </c>
      <c r="R290" s="2">
        <f t="shared" ca="1" si="264"/>
        <v>26500803.654109403</v>
      </c>
      <c r="S290" s="2">
        <f t="shared" ca="1" si="265"/>
        <v>17667202.436072938</v>
      </c>
      <c r="T290" s="2">
        <f t="shared" ca="1" si="266"/>
        <v>50258901.132603772</v>
      </c>
      <c r="U290" s="2">
        <f t="shared" ca="1" si="267"/>
        <v>50484578.15948616</v>
      </c>
      <c r="V290" s="2">
        <f t="shared" ca="1" si="268"/>
        <v>50711268.541601449</v>
      </c>
      <c r="W290" s="2">
        <f t="shared" ca="1" si="269"/>
        <v>50938976.829208218</v>
      </c>
      <c r="X290" s="2">
        <f t="shared" ca="1" si="270"/>
        <v>51167707.592997022</v>
      </c>
      <c r="Y290" s="2">
        <f t="shared" ca="1" si="271"/>
        <v>0.1270811028106657</v>
      </c>
      <c r="Z290" s="2">
        <f t="shared" ca="1" si="272"/>
        <v>0.12991354393493199</v>
      </c>
      <c r="AA290" s="2">
        <f t="shared" ca="1" si="273"/>
        <v>6386956.581983503</v>
      </c>
      <c r="AB290" s="2">
        <f t="shared" ca="1" si="274"/>
        <v>6558630.4627589127</v>
      </c>
      <c r="AC290" s="2">
        <f t="shared" ca="1" si="275"/>
        <v>6588080.6136754742</v>
      </c>
      <c r="AD290" s="2">
        <f t="shared" ca="1" si="276"/>
        <v>6617663.0043018246</v>
      </c>
      <c r="AE290" s="2">
        <f t="shared" ca="1" si="277"/>
        <v>6647378.2284325715</v>
      </c>
      <c r="AF290" s="2">
        <f t="shared" ca="1" si="278"/>
        <v>1005178.0226520755</v>
      </c>
      <c r="AG290" s="2">
        <f t="shared" ca="1" si="279"/>
        <v>1009691.5631897232</v>
      </c>
      <c r="AH290" s="2">
        <f t="shared" ca="1" si="280"/>
        <v>1014225.370832029</v>
      </c>
      <c r="AI290" s="2">
        <f t="shared" ca="1" si="281"/>
        <v>1018779.5365841644</v>
      </c>
      <c r="AJ290" s="2">
        <f t="shared" ca="1" si="282"/>
        <v>1023354.1518599405</v>
      </c>
      <c r="AK290" s="2">
        <f t="shared" ca="1" si="283"/>
        <v>0</v>
      </c>
      <c r="AL290" s="2">
        <f t="shared" ca="1" si="284"/>
        <v>2256.7702688238769</v>
      </c>
      <c r="AM290" s="2">
        <f t="shared" ca="1" si="285"/>
        <v>2266.9038211528959</v>
      </c>
      <c r="AN290" s="2">
        <f t="shared" ca="1" si="286"/>
        <v>2277.0828760676832</v>
      </c>
      <c r="AO290" s="2">
        <f t="shared" ca="1" si="287"/>
        <v>2287.3076378880442</v>
      </c>
      <c r="AP290" s="2">
        <f t="shared" ca="1" si="288"/>
        <v>2385072.3288698462</v>
      </c>
      <c r="AQ290" s="2">
        <f t="shared" ca="1" si="289"/>
        <v>779143.61992001114</v>
      </c>
      <c r="AR290" s="2">
        <f t="shared" ca="1" si="290"/>
        <v>822605.30838182918</v>
      </c>
      <c r="AS290" s="2">
        <f t="shared" ca="1" si="291"/>
        <v>829083.55763313582</v>
      </c>
      <c r="AT290" s="2">
        <f t="shared" ca="1" si="292"/>
        <v>835590.8961004318</v>
      </c>
      <c r="AU290" s="2">
        <f t="shared" ca="1" si="293"/>
        <v>842127.45440272393</v>
      </c>
      <c r="AV290" s="2">
        <f t="shared" ca="1" si="294"/>
        <v>2217562.6105415705</v>
      </c>
      <c r="AW290" s="2">
        <f t="shared" ca="1" si="295"/>
        <v>2339004.4920486896</v>
      </c>
      <c r="AX290" s="2">
        <f t="shared" ca="1" si="296"/>
        <v>2357432.4525193111</v>
      </c>
      <c r="AY290" s="2">
        <f t="shared" ca="1" si="297"/>
        <v>2375943.1598713151</v>
      </c>
      <c r="AZ290" s="2">
        <f t="shared" ca="1" si="298"/>
        <v>2394536.9856621721</v>
      </c>
      <c r="BA290" s="2">
        <f t="shared" ca="1" si="299"/>
        <v>54558387.152025506</v>
      </c>
      <c r="BB290" s="2">
        <f t="shared" ca="1" si="300"/>
        <v>1091167.7430405102</v>
      </c>
      <c r="BC290" s="2">
        <f t="shared" ca="1" si="301"/>
        <v>26966415.754875593</v>
      </c>
      <c r="BD290" s="2">
        <f t="shared" ca="1" si="302"/>
        <v>-19271402.588327497</v>
      </c>
      <c r="BE290" s="2">
        <f t="shared" ca="1" si="303"/>
        <v>2217562.6105415705</v>
      </c>
      <c r="BF290" s="2">
        <f t="shared" ca="1" si="304"/>
        <v>2339004.4920486896</v>
      </c>
      <c r="BG290" s="2">
        <f t="shared" ca="1" si="305"/>
        <v>2357432.4525193111</v>
      </c>
      <c r="BH290" s="2">
        <f t="shared" ca="1" si="306"/>
        <v>2375943.1598713151</v>
      </c>
      <c r="BI290" s="2">
        <f t="shared" ca="1" si="307"/>
        <v>29360952.740537766</v>
      </c>
      <c r="BJ290" s="2">
        <f t="shared" ca="1" si="308"/>
        <v>0.17675243305117672</v>
      </c>
      <c r="BK290" s="2">
        <f t="shared" ca="1" si="309"/>
        <v>4421325.8699368499</v>
      </c>
    </row>
    <row r="291" spans="1:63" x14ac:dyDescent="0.3">
      <c r="A291" s="2">
        <v>290</v>
      </c>
      <c r="B291" s="2">
        <f t="shared" ca="1" si="248"/>
        <v>0.79554844976805161</v>
      </c>
      <c r="C291" s="2">
        <f t="shared" ca="1" si="249"/>
        <v>7.3605446845448101</v>
      </c>
      <c r="D291" s="2">
        <f t="shared" ca="1" si="250"/>
        <v>0.34453943800212361</v>
      </c>
      <c r="E291" s="2">
        <f t="shared" ca="1" si="251"/>
        <v>7.3301077496350988</v>
      </c>
      <c r="F291" s="2">
        <f t="shared" ca="1" si="252"/>
        <v>0.82295874593119001</v>
      </c>
      <c r="G291" s="2">
        <f t="shared" ca="1" si="253"/>
        <v>6.7800988990182942E-2</v>
      </c>
      <c r="H291" s="2">
        <f t="shared" ca="1" si="254"/>
        <v>6.7800988990182942E-2</v>
      </c>
      <c r="I291" s="2">
        <f t="shared" ca="1" si="255"/>
        <v>0.20405030143527125</v>
      </c>
      <c r="J291" s="2">
        <f t="shared" ca="1" si="256"/>
        <v>5.8637961082851596E-3</v>
      </c>
      <c r="K291" s="2">
        <f t="shared" ca="1" si="257"/>
        <v>5.8637961082851596E-3</v>
      </c>
      <c r="L291" s="2">
        <f t="shared" ca="1" si="258"/>
        <v>0.25485206277630001</v>
      </c>
      <c r="M291" s="2">
        <f t="shared" ca="1" si="259"/>
        <v>-1.3185969373807879E-2</v>
      </c>
      <c r="N291" s="2">
        <f t="shared" ca="1" si="260"/>
        <v>-1.3185969373807879E-2</v>
      </c>
      <c r="O291" s="2">
        <f t="shared" si="261"/>
        <v>6000000</v>
      </c>
      <c r="P291" s="2">
        <f t="shared" ca="1" si="262"/>
        <v>44163268.107268862</v>
      </c>
      <c r="Q291" s="2">
        <f t="shared" ca="1" si="263"/>
        <v>1104081.7026817217</v>
      </c>
      <c r="R291" s="2">
        <f t="shared" ca="1" si="264"/>
        <v>26497960.864361316</v>
      </c>
      <c r="S291" s="2">
        <f t="shared" ca="1" si="265"/>
        <v>17665307.242907546</v>
      </c>
      <c r="T291" s="2">
        <f t="shared" ca="1" si="266"/>
        <v>49340701.531309605</v>
      </c>
      <c r="U291" s="2">
        <f t="shared" ca="1" si="267"/>
        <v>52686049.892601833</v>
      </c>
      <c r="V291" s="2">
        <f t="shared" ca="1" si="268"/>
        <v>56258216.181306362</v>
      </c>
      <c r="W291" s="2">
        <f t="shared" ca="1" si="269"/>
        <v>60072578.877222449</v>
      </c>
      <c r="X291" s="2">
        <f t="shared" ca="1" si="270"/>
        <v>64145559.136288904</v>
      </c>
      <c r="Y291" s="2">
        <f t="shared" ca="1" si="271"/>
        <v>0.12293189805414258</v>
      </c>
      <c r="Z291" s="2">
        <f t="shared" ca="1" si="272"/>
        <v>0.12410465727579961</v>
      </c>
      <c r="AA291" s="2">
        <f t="shared" ca="1" si="273"/>
        <v>6065546.0905668288</v>
      </c>
      <c r="AB291" s="2">
        <f t="shared" ca="1" si="274"/>
        <v>6538584.1651370293</v>
      </c>
      <c r="AC291" s="2">
        <f t="shared" ca="1" si="275"/>
        <v>6981906.6381288702</v>
      </c>
      <c r="AD291" s="2">
        <f t="shared" ca="1" si="276"/>
        <v>7455286.8132311311</v>
      </c>
      <c r="AE291" s="2">
        <f t="shared" ca="1" si="277"/>
        <v>7960762.632373671</v>
      </c>
      <c r="AF291" s="2">
        <f t="shared" ca="1" si="278"/>
        <v>986814.03062619211</v>
      </c>
      <c r="AG291" s="2">
        <f t="shared" ca="1" si="279"/>
        <v>1053720.9978520367</v>
      </c>
      <c r="AH291" s="2">
        <f t="shared" ca="1" si="280"/>
        <v>1125164.3236261273</v>
      </c>
      <c r="AI291" s="2">
        <f t="shared" ca="1" si="281"/>
        <v>1201451.5775444489</v>
      </c>
      <c r="AJ291" s="2">
        <f t="shared" ca="1" si="282"/>
        <v>1282911.1827257781</v>
      </c>
      <c r="AK291" s="2">
        <f t="shared" ca="1" si="283"/>
        <v>0</v>
      </c>
      <c r="AL291" s="2">
        <f t="shared" ca="1" si="284"/>
        <v>33453.483612922282</v>
      </c>
      <c r="AM291" s="2">
        <f t="shared" ca="1" si="285"/>
        <v>35721.662887045291</v>
      </c>
      <c r="AN291" s="2">
        <f t="shared" ca="1" si="286"/>
        <v>38143.626959160865</v>
      </c>
      <c r="AO291" s="2">
        <f t="shared" ca="1" si="287"/>
        <v>40729.802590664549</v>
      </c>
      <c r="AP291" s="2">
        <f t="shared" ca="1" si="288"/>
        <v>2384816.4777925182</v>
      </c>
      <c r="AQ291" s="2">
        <f t="shared" ca="1" si="289"/>
        <v>700418.05135851097</v>
      </c>
      <c r="AR291" s="2">
        <f t="shared" ca="1" si="290"/>
        <v>806012.13926804333</v>
      </c>
      <c r="AS291" s="2">
        <f t="shared" ca="1" si="291"/>
        <v>902700.71754465846</v>
      </c>
      <c r="AT291" s="2">
        <f t="shared" ca="1" si="292"/>
        <v>1005944.8770524827</v>
      </c>
      <c r="AU291" s="2">
        <f t="shared" ca="1" si="293"/>
        <v>1116189.0926823975</v>
      </c>
      <c r="AV291" s="2">
        <f t="shared" ca="1" si="294"/>
        <v>1993497.5307896081</v>
      </c>
      <c r="AW291" s="2">
        <f t="shared" ca="1" si="295"/>
        <v>2260581.0666115088</v>
      </c>
      <c r="AX291" s="2">
        <f t="shared" ca="1" si="296"/>
        <v>2533503.4562785216</v>
      </c>
      <c r="AY291" s="2">
        <f t="shared" ca="1" si="297"/>
        <v>2824930.2538825199</v>
      </c>
      <c r="AZ291" s="2">
        <f t="shared" ca="1" si="298"/>
        <v>3136116.0765823126</v>
      </c>
      <c r="BA291" s="2">
        <f t="shared" ca="1" si="299"/>
        <v>58353247.864567757</v>
      </c>
      <c r="BB291" s="2">
        <f t="shared" ca="1" si="300"/>
        <v>1167064.9572913551</v>
      </c>
      <c r="BC291" s="2">
        <f t="shared" ca="1" si="301"/>
        <v>30688222.042915087</v>
      </c>
      <c r="BD291" s="2">
        <f t="shared" ca="1" si="302"/>
        <v>-19269388.945589267</v>
      </c>
      <c r="BE291" s="2">
        <f t="shared" ca="1" si="303"/>
        <v>1993497.5307896081</v>
      </c>
      <c r="BF291" s="2">
        <f t="shared" ca="1" si="304"/>
        <v>2260581.0666115088</v>
      </c>
      <c r="BG291" s="2">
        <f t="shared" ca="1" si="305"/>
        <v>2533503.4562785216</v>
      </c>
      <c r="BH291" s="2">
        <f t="shared" ca="1" si="306"/>
        <v>2824930.2538825199</v>
      </c>
      <c r="BI291" s="2">
        <f t="shared" ca="1" si="307"/>
        <v>33824338.119497404</v>
      </c>
      <c r="BJ291" s="2">
        <f t="shared" ca="1" si="308"/>
        <v>0.20564335401039746</v>
      </c>
      <c r="BK291" s="2">
        <f t="shared" ca="1" si="309"/>
        <v>7104070.7404850759</v>
      </c>
    </row>
    <row r="292" spans="1:63" x14ac:dyDescent="0.3">
      <c r="A292" s="2">
        <v>291</v>
      </c>
      <c r="B292" s="2">
        <f t="shared" ca="1" si="248"/>
        <v>0.30951124439457056</v>
      </c>
      <c r="C292" s="2">
        <f t="shared" ca="1" si="249"/>
        <v>6.7867798223068139</v>
      </c>
      <c r="D292" s="2">
        <f t="shared" ca="1" si="250"/>
        <v>0.71700688576121818</v>
      </c>
      <c r="E292" s="2">
        <f t="shared" ca="1" si="251"/>
        <v>7.7476794376879203</v>
      </c>
      <c r="F292" s="2">
        <f t="shared" ca="1" si="252"/>
        <v>0.6646089719000966</v>
      </c>
      <c r="G292" s="2">
        <f t="shared" ca="1" si="253"/>
        <v>5.2752247762491419E-2</v>
      </c>
      <c r="H292" s="2">
        <f t="shared" ca="1" si="254"/>
        <v>5.2752247762491419E-2</v>
      </c>
      <c r="I292" s="2">
        <f t="shared" ca="1" si="255"/>
        <v>0.14233538909930932</v>
      </c>
      <c r="J292" s="2">
        <f t="shared" ca="1" si="256"/>
        <v>4.6505716959172163E-3</v>
      </c>
      <c r="K292" s="2">
        <f t="shared" ca="1" si="257"/>
        <v>4.6505716959172163E-3</v>
      </c>
      <c r="L292" s="2">
        <f t="shared" ca="1" si="258"/>
        <v>0.76048144030094456</v>
      </c>
      <c r="M292" s="2">
        <f t="shared" ca="1" si="259"/>
        <v>1.4157041641512241E-2</v>
      </c>
      <c r="N292" s="2">
        <f t="shared" ca="1" si="260"/>
        <v>1.4157041641512241E-2</v>
      </c>
      <c r="O292" s="2">
        <f t="shared" si="261"/>
        <v>6000000</v>
      </c>
      <c r="P292" s="2">
        <f t="shared" ca="1" si="262"/>
        <v>40720678.933840886</v>
      </c>
      <c r="Q292" s="2">
        <f t="shared" ca="1" si="263"/>
        <v>1018016.9733460222</v>
      </c>
      <c r="R292" s="2">
        <f t="shared" ca="1" si="264"/>
        <v>24432407.360304531</v>
      </c>
      <c r="S292" s="2">
        <f t="shared" ca="1" si="265"/>
        <v>16288271.573536355</v>
      </c>
      <c r="T292" s="2">
        <f t="shared" ca="1" si="266"/>
        <v>50707852.082075611</v>
      </c>
      <c r="U292" s="2">
        <f t="shared" ca="1" si="267"/>
        <v>53382805.258613028</v>
      </c>
      <c r="V292" s="2">
        <f t="shared" ca="1" si="268"/>
        <v>56198868.227872208</v>
      </c>
      <c r="W292" s="2">
        <f t="shared" ca="1" si="269"/>
        <v>59163484.848600522</v>
      </c>
      <c r="X292" s="2">
        <f t="shared" ca="1" si="270"/>
        <v>62284491.659826301</v>
      </c>
      <c r="Y292" s="2">
        <f t="shared" ca="1" si="271"/>
        <v>0.1223252858479586</v>
      </c>
      <c r="Z292" s="2">
        <f t="shared" ca="1" si="272"/>
        <v>0.12325540018714205</v>
      </c>
      <c r="AA292" s="2">
        <f t="shared" ca="1" si="273"/>
        <v>6202852.5006759018</v>
      </c>
      <c r="AB292" s="2">
        <f t="shared" ca="1" si="274"/>
        <v>6579719.0252626203</v>
      </c>
      <c r="AC292" s="2">
        <f t="shared" ca="1" si="275"/>
        <v>6926813.9934908515</v>
      </c>
      <c r="AD292" s="2">
        <f t="shared" ca="1" si="276"/>
        <v>7292219.0014801724</v>
      </c>
      <c r="AE292" s="2">
        <f t="shared" ca="1" si="277"/>
        <v>7676899.9449846027</v>
      </c>
      <c r="AF292" s="2">
        <f t="shared" ca="1" si="278"/>
        <v>1014157.0416415122</v>
      </c>
      <c r="AG292" s="2">
        <f t="shared" ca="1" si="279"/>
        <v>1067656.1051722607</v>
      </c>
      <c r="AH292" s="2">
        <f t="shared" ca="1" si="280"/>
        <v>1123977.3645574441</v>
      </c>
      <c r="AI292" s="2">
        <f t="shared" ca="1" si="281"/>
        <v>1183269.6969720104</v>
      </c>
      <c r="AJ292" s="2">
        <f t="shared" ca="1" si="282"/>
        <v>1245689.8331965262</v>
      </c>
      <c r="AK292" s="2">
        <f t="shared" ca="1" si="283"/>
        <v>0</v>
      </c>
      <c r="AL292" s="2">
        <f t="shared" ca="1" si="284"/>
        <v>26749.531765374169</v>
      </c>
      <c r="AM292" s="2">
        <f t="shared" ca="1" si="285"/>
        <v>28160.629692591803</v>
      </c>
      <c r="AN292" s="2">
        <f t="shared" ca="1" si="286"/>
        <v>29646.166207283139</v>
      </c>
      <c r="AO292" s="2">
        <f t="shared" ca="1" si="287"/>
        <v>31210.068112257795</v>
      </c>
      <c r="AP292" s="2">
        <f t="shared" ca="1" si="288"/>
        <v>2198916.6624274077</v>
      </c>
      <c r="AQ292" s="2">
        <f t="shared" ca="1" si="289"/>
        <v>777342.48711781541</v>
      </c>
      <c r="AR292" s="2">
        <f t="shared" ca="1" si="290"/>
        <v>861418.02699236758</v>
      </c>
      <c r="AS292" s="2">
        <f t="shared" ca="1" si="291"/>
        <v>937019.19129155995</v>
      </c>
      <c r="AT292" s="2">
        <f t="shared" ca="1" si="292"/>
        <v>1016608.4869409961</v>
      </c>
      <c r="AU292" s="2">
        <f t="shared" ca="1" si="293"/>
        <v>1100396.2968337738</v>
      </c>
      <c r="AV292" s="2">
        <f t="shared" ca="1" si="294"/>
        <v>2212436.3094891664</v>
      </c>
      <c r="AW292" s="2">
        <f t="shared" ca="1" si="295"/>
        <v>2424978.69890521</v>
      </c>
      <c r="AX292" s="2">
        <f t="shared" ca="1" si="296"/>
        <v>2638740.1455218485</v>
      </c>
      <c r="AY292" s="2">
        <f t="shared" ca="1" si="297"/>
        <v>2863777.9889324754</v>
      </c>
      <c r="AZ292" s="2">
        <f t="shared" ca="1" si="298"/>
        <v>3100687.0844146367</v>
      </c>
      <c r="BA292" s="2">
        <f t="shared" ca="1" si="299"/>
        <v>59478159.848944731</v>
      </c>
      <c r="BB292" s="2">
        <f t="shared" ca="1" si="300"/>
        <v>1189563.1969788948</v>
      </c>
      <c r="BC292" s="2">
        <f t="shared" ca="1" si="301"/>
        <v>33856189.291661307</v>
      </c>
      <c r="BD292" s="2">
        <f t="shared" ca="1" si="302"/>
        <v>-17806288.546882376</v>
      </c>
      <c r="BE292" s="2">
        <f t="shared" ca="1" si="303"/>
        <v>2212436.3094891664</v>
      </c>
      <c r="BF292" s="2">
        <f t="shared" ca="1" si="304"/>
        <v>2424978.69890521</v>
      </c>
      <c r="BG292" s="2">
        <f t="shared" ca="1" si="305"/>
        <v>2638740.1455218485</v>
      </c>
      <c r="BH292" s="2">
        <f t="shared" ca="1" si="306"/>
        <v>2863777.9889324754</v>
      </c>
      <c r="BI292" s="2">
        <f t="shared" ca="1" si="307"/>
        <v>36956876.376075946</v>
      </c>
      <c r="BJ292" s="2">
        <f t="shared" ca="1" si="308"/>
        <v>0.25253756766273394</v>
      </c>
      <c r="BK292" s="2">
        <f t="shared" ca="1" si="309"/>
        <v>10770789.1455773</v>
      </c>
    </row>
    <row r="293" spans="1:63" x14ac:dyDescent="0.3">
      <c r="A293" s="2">
        <v>292</v>
      </c>
      <c r="B293" s="2">
        <f t="shared" ca="1" si="248"/>
        <v>0.98080463232344384</v>
      </c>
      <c r="C293" s="2">
        <f t="shared" ca="1" si="249"/>
        <v>7.8040644612299435</v>
      </c>
      <c r="D293" s="2">
        <f t="shared" ca="1" si="250"/>
        <v>0.72639773590179668</v>
      </c>
      <c r="E293" s="2">
        <f t="shared" ca="1" si="251"/>
        <v>7.7602672589398205</v>
      </c>
      <c r="F293" s="2">
        <f t="shared" ca="1" si="252"/>
        <v>0.53788709053979544</v>
      </c>
      <c r="G293" s="2">
        <f t="shared" ca="1" si="253"/>
        <v>4.2853361803371619E-2</v>
      </c>
      <c r="H293" s="2">
        <f t="shared" ca="1" si="254"/>
        <v>4.2853361803371619E-2</v>
      </c>
      <c r="I293" s="2">
        <f t="shared" ca="1" si="255"/>
        <v>0.69639833484445146</v>
      </c>
      <c r="J293" s="2">
        <f t="shared" ca="1" si="256"/>
        <v>1.2570348002547558E-2</v>
      </c>
      <c r="K293" s="2">
        <f t="shared" ca="1" si="257"/>
        <v>1.2570348002547558E-2</v>
      </c>
      <c r="L293" s="2">
        <f t="shared" ca="1" si="258"/>
        <v>0.31846615845539505</v>
      </c>
      <c r="M293" s="2">
        <f t="shared" ca="1" si="259"/>
        <v>-9.439845097168411E-3</v>
      </c>
      <c r="N293" s="2">
        <f t="shared" ca="1" si="260"/>
        <v>-9.439845097168411E-3</v>
      </c>
      <c r="O293" s="2">
        <f t="shared" si="261"/>
        <v>6000000</v>
      </c>
      <c r="P293" s="2">
        <f t="shared" ca="1" si="262"/>
        <v>46824386.767379664</v>
      </c>
      <c r="Q293" s="2">
        <f t="shared" ca="1" si="263"/>
        <v>1170609.6691844917</v>
      </c>
      <c r="R293" s="2">
        <f t="shared" ca="1" si="264"/>
        <v>28094632.060427796</v>
      </c>
      <c r="S293" s="2">
        <f t="shared" ca="1" si="265"/>
        <v>18729754.706951868</v>
      </c>
      <c r="T293" s="2">
        <f t="shared" ca="1" si="266"/>
        <v>49528007.745141581</v>
      </c>
      <c r="U293" s="2">
        <f t="shared" ca="1" si="267"/>
        <v>51650449.380444318</v>
      </c>
      <c r="V293" s="2">
        <f t="shared" ca="1" si="268"/>
        <v>53863844.775051221</v>
      </c>
      <c r="W293" s="2">
        <f t="shared" ca="1" si="269"/>
        <v>56172091.603317134</v>
      </c>
      <c r="X293" s="2">
        <f t="shared" ca="1" si="270"/>
        <v>58579254.568046212</v>
      </c>
      <c r="Y293" s="2">
        <f t="shared" ca="1" si="271"/>
        <v>0.12628517400127379</v>
      </c>
      <c r="Z293" s="2">
        <f t="shared" ca="1" si="272"/>
        <v>0.1287992436017833</v>
      </c>
      <c r="AA293" s="2">
        <f t="shared" ca="1" si="273"/>
        <v>6254653.0760316402</v>
      </c>
      <c r="AB293" s="2">
        <f t="shared" ca="1" si="274"/>
        <v>6652538.811893425</v>
      </c>
      <c r="AC293" s="2">
        <f t="shared" ca="1" si="275"/>
        <v>6937622.464510465</v>
      </c>
      <c r="AD293" s="2">
        <f t="shared" ca="1" si="276"/>
        <v>7234922.9100373294</v>
      </c>
      <c r="AE293" s="2">
        <f t="shared" ca="1" si="277"/>
        <v>7544963.6791206608</v>
      </c>
      <c r="AF293" s="2">
        <f t="shared" ca="1" si="278"/>
        <v>990560.15490283165</v>
      </c>
      <c r="AG293" s="2">
        <f t="shared" ca="1" si="279"/>
        <v>1033008.9876088864</v>
      </c>
      <c r="AH293" s="2">
        <f t="shared" ca="1" si="280"/>
        <v>1077276.8955010246</v>
      </c>
      <c r="AI293" s="2">
        <f t="shared" ca="1" si="281"/>
        <v>1123441.8320663427</v>
      </c>
      <c r="AJ293" s="2">
        <f t="shared" ca="1" si="282"/>
        <v>1171585.0913609243</v>
      </c>
      <c r="AK293" s="2">
        <f t="shared" ca="1" si="283"/>
        <v>0</v>
      </c>
      <c r="AL293" s="2">
        <f t="shared" ca="1" si="284"/>
        <v>21224.416353027373</v>
      </c>
      <c r="AM293" s="2">
        <f t="shared" ca="1" si="285"/>
        <v>22133.953946069032</v>
      </c>
      <c r="AN293" s="2">
        <f t="shared" ca="1" si="286"/>
        <v>23082.468282659127</v>
      </c>
      <c r="AO293" s="2">
        <f t="shared" ca="1" si="287"/>
        <v>24071.629647290782</v>
      </c>
      <c r="AP293" s="2">
        <f t="shared" ca="1" si="288"/>
        <v>2528516.8854385014</v>
      </c>
      <c r="AQ293" s="2">
        <f t="shared" ca="1" si="289"/>
        <v>711249.76927947986</v>
      </c>
      <c r="AR293" s="2">
        <f t="shared" ca="1" si="290"/>
        <v>803663.36409996974</v>
      </c>
      <c r="AS293" s="2">
        <f t="shared" ca="1" si="291"/>
        <v>866275.45772844413</v>
      </c>
      <c r="AT293" s="2">
        <f t="shared" ca="1" si="292"/>
        <v>931570.69005844637</v>
      </c>
      <c r="AU293" s="2">
        <f t="shared" ca="1" si="293"/>
        <v>999664.04260352126</v>
      </c>
      <c r="AV293" s="2">
        <f t="shared" ca="1" si="294"/>
        <v>2024326.2664108272</v>
      </c>
      <c r="AW293" s="2">
        <f t="shared" ca="1" si="295"/>
        <v>2266125.1583930398</v>
      </c>
      <c r="AX293" s="2">
        <f t="shared" ca="1" si="296"/>
        <v>2443419.2718964261</v>
      </c>
      <c r="AY293" s="2">
        <f t="shared" ca="1" si="297"/>
        <v>2628311.0341913798</v>
      </c>
      <c r="AZ293" s="2">
        <f t="shared" ca="1" si="298"/>
        <v>2821126.0300704236</v>
      </c>
      <c r="BA293" s="2">
        <f t="shared" ca="1" si="299"/>
        <v>58550934.608970195</v>
      </c>
      <c r="BB293" s="2">
        <f t="shared" ca="1" si="300"/>
        <v>1171018.692179404</v>
      </c>
      <c r="BC293" s="2">
        <f t="shared" ca="1" si="301"/>
        <v>29285283.856362995</v>
      </c>
      <c r="BD293" s="2">
        <f t="shared" ca="1" si="302"/>
        <v>-20400364.376136359</v>
      </c>
      <c r="BE293" s="2">
        <f t="shared" ca="1" si="303"/>
        <v>2024326.2664108272</v>
      </c>
      <c r="BF293" s="2">
        <f t="shared" ca="1" si="304"/>
        <v>2266125.1583930398</v>
      </c>
      <c r="BG293" s="2">
        <f t="shared" ca="1" si="305"/>
        <v>2443419.2718964261</v>
      </c>
      <c r="BH293" s="2">
        <f t="shared" ca="1" si="306"/>
        <v>2628311.0341913798</v>
      </c>
      <c r="BI293" s="2">
        <f t="shared" ca="1" si="307"/>
        <v>32106409.886433419</v>
      </c>
      <c r="BJ293" s="2">
        <f t="shared" ca="1" si="308"/>
        <v>0.17750934276794084</v>
      </c>
      <c r="BK293" s="2">
        <f t="shared" ca="1" si="309"/>
        <v>4841166.8553706296</v>
      </c>
    </row>
    <row r="294" spans="1:63" x14ac:dyDescent="0.3">
      <c r="A294" s="2">
        <v>293</v>
      </c>
      <c r="B294" s="2">
        <f t="shared" ca="1" si="248"/>
        <v>0.21519420565088077</v>
      </c>
      <c r="C294" s="2">
        <f t="shared" ca="1" si="249"/>
        <v>6.6560399464222906</v>
      </c>
      <c r="D294" s="2">
        <f t="shared" ca="1" si="250"/>
        <v>1.7978897693104456E-2</v>
      </c>
      <c r="E294" s="2">
        <f t="shared" ca="1" si="251"/>
        <v>6.6896254080713051</v>
      </c>
      <c r="F294" s="2">
        <f t="shared" ca="1" si="252"/>
        <v>0.55736670332606197</v>
      </c>
      <c r="G294" s="2">
        <f t="shared" ca="1" si="253"/>
        <v>4.4328885449837908E-2</v>
      </c>
      <c r="H294" s="2">
        <f t="shared" ca="1" si="254"/>
        <v>4.4328885449837908E-2</v>
      </c>
      <c r="I294" s="2">
        <f t="shared" ca="1" si="255"/>
        <v>5.6643864601813698E-2</v>
      </c>
      <c r="J294" s="2">
        <f t="shared" ca="1" si="256"/>
        <v>2.082064890516995E-3</v>
      </c>
      <c r="K294" s="2">
        <f t="shared" ca="1" si="257"/>
        <v>2.082064890516995E-3</v>
      </c>
      <c r="L294" s="2">
        <f t="shared" ca="1" si="258"/>
        <v>0.84465615041026942</v>
      </c>
      <c r="M294" s="2">
        <f t="shared" ca="1" si="259"/>
        <v>2.027560173901757E-2</v>
      </c>
      <c r="N294" s="2">
        <f t="shared" ca="1" si="260"/>
        <v>2.027560173901757E-2</v>
      </c>
      <c r="O294" s="2">
        <f t="shared" si="261"/>
        <v>6000000</v>
      </c>
      <c r="P294" s="2">
        <f t="shared" ca="1" si="262"/>
        <v>39936239.67853374</v>
      </c>
      <c r="Q294" s="2">
        <f t="shared" ca="1" si="263"/>
        <v>998405.99196334358</v>
      </c>
      <c r="R294" s="2">
        <f t="shared" ca="1" si="264"/>
        <v>23961743.807120245</v>
      </c>
      <c r="S294" s="2">
        <f t="shared" ca="1" si="265"/>
        <v>15974495.871413497</v>
      </c>
      <c r="T294" s="2">
        <f t="shared" ca="1" si="266"/>
        <v>51013780.086950876</v>
      </c>
      <c r="U294" s="2">
        <f t="shared" ca="1" si="267"/>
        <v>53275164.100788541</v>
      </c>
      <c r="V294" s="2">
        <f t="shared" ca="1" si="268"/>
        <v>55636792.747533709</v>
      </c>
      <c r="W294" s="2">
        <f t="shared" ca="1" si="269"/>
        <v>58103109.7600355</v>
      </c>
      <c r="X294" s="2">
        <f t="shared" ca="1" si="270"/>
        <v>60678755.85686747</v>
      </c>
      <c r="Y294" s="2">
        <f t="shared" ca="1" si="271"/>
        <v>0.12104103244525849</v>
      </c>
      <c r="Z294" s="2">
        <f t="shared" ca="1" si="272"/>
        <v>0.1214574454233619</v>
      </c>
      <c r="AA294" s="2">
        <f t="shared" ca="1" si="273"/>
        <v>6174760.610659902</v>
      </c>
      <c r="AB294" s="2">
        <f t="shared" ca="1" si="274"/>
        <v>6470665.336192173</v>
      </c>
      <c r="AC294" s="2">
        <f t="shared" ca="1" si="275"/>
        <v>6757502.7186644729</v>
      </c>
      <c r="AD294" s="2">
        <f t="shared" ca="1" si="276"/>
        <v>7057055.2826071177</v>
      </c>
      <c r="AE294" s="2">
        <f t="shared" ca="1" si="277"/>
        <v>7369886.6778429821</v>
      </c>
      <c r="AF294" s="2">
        <f t="shared" ca="1" si="278"/>
        <v>1020275.6017390175</v>
      </c>
      <c r="AG294" s="2">
        <f t="shared" ca="1" si="279"/>
        <v>1065503.2820157709</v>
      </c>
      <c r="AH294" s="2">
        <f t="shared" ca="1" si="280"/>
        <v>1112735.8549506741</v>
      </c>
      <c r="AI294" s="2">
        <f t="shared" ca="1" si="281"/>
        <v>1162062.1952007101</v>
      </c>
      <c r="AJ294" s="2">
        <f t="shared" ca="1" si="282"/>
        <v>1213575.1171373494</v>
      </c>
      <c r="AK294" s="2">
        <f t="shared" ca="1" si="283"/>
        <v>0</v>
      </c>
      <c r="AL294" s="2">
        <f t="shared" ca="1" si="284"/>
        <v>22613.840138376654</v>
      </c>
      <c r="AM294" s="2">
        <f t="shared" ca="1" si="285"/>
        <v>23616.286467451679</v>
      </c>
      <c r="AN294" s="2">
        <f t="shared" ca="1" si="286"/>
        <v>24663.17012501791</v>
      </c>
      <c r="AO294" s="2">
        <f t="shared" ca="1" si="287"/>
        <v>25756.460968319701</v>
      </c>
      <c r="AP294" s="2">
        <f t="shared" ca="1" si="288"/>
        <v>2156556.9426408219</v>
      </c>
      <c r="AQ294" s="2">
        <f t="shared" ca="1" si="289"/>
        <v>779461.29723281635</v>
      </c>
      <c r="AR294" s="2">
        <f t="shared" ca="1" si="290"/>
        <v>844637.32899925089</v>
      </c>
      <c r="AS294" s="2">
        <f t="shared" ca="1" si="291"/>
        <v>906934.5794789741</v>
      </c>
      <c r="AT294" s="2">
        <f t="shared" ca="1" si="292"/>
        <v>971993.39763905248</v>
      </c>
      <c r="AU294" s="2">
        <f t="shared" ca="1" si="293"/>
        <v>1039936.2006968509</v>
      </c>
      <c r="AV294" s="2">
        <f t="shared" ca="1" si="294"/>
        <v>2218466.7690472468</v>
      </c>
      <c r="AW294" s="2">
        <f t="shared" ca="1" si="295"/>
        <v>2381353.9423979525</v>
      </c>
      <c r="AX294" s="2">
        <f t="shared" ca="1" si="296"/>
        <v>2557659.0551265511</v>
      </c>
      <c r="AY294" s="2">
        <f t="shared" ca="1" si="297"/>
        <v>2741779.5770015162</v>
      </c>
      <c r="AZ294" s="2">
        <f t="shared" ca="1" si="298"/>
        <v>2934061.9563996405</v>
      </c>
      <c r="BA294" s="2">
        <f t="shared" ca="1" si="299"/>
        <v>49301781.174704634</v>
      </c>
      <c r="BB294" s="2">
        <f t="shared" ca="1" si="300"/>
        <v>986035.62349409272</v>
      </c>
      <c r="BC294" s="2">
        <f t="shared" ca="1" si="301"/>
        <v>24354001.744090296</v>
      </c>
      <c r="BD294" s="2">
        <f t="shared" ca="1" si="302"/>
        <v>-17472901.863376841</v>
      </c>
      <c r="BE294" s="2">
        <f t="shared" ca="1" si="303"/>
        <v>2218466.7690472468</v>
      </c>
      <c r="BF294" s="2">
        <f t="shared" ca="1" si="304"/>
        <v>2381353.9423979525</v>
      </c>
      <c r="BG294" s="2">
        <f t="shared" ca="1" si="305"/>
        <v>2557659.0551265511</v>
      </c>
      <c r="BH294" s="2">
        <f t="shared" ca="1" si="306"/>
        <v>2741779.5770015162</v>
      </c>
      <c r="BI294" s="2">
        <f t="shared" ca="1" si="307"/>
        <v>27288063.700489938</v>
      </c>
      <c r="BJ294" s="2">
        <f t="shared" ca="1" si="308"/>
        <v>0.19655686525439631</v>
      </c>
      <c r="BK294" s="2">
        <f t="shared" ca="1" si="309"/>
        <v>5453194.6892034858</v>
      </c>
    </row>
    <row r="295" spans="1:63" x14ac:dyDescent="0.3">
      <c r="A295" s="2">
        <v>294</v>
      </c>
      <c r="B295" s="2">
        <f t="shared" ca="1" si="248"/>
        <v>0.45946150301052313</v>
      </c>
      <c r="C295" s="2">
        <f t="shared" ca="1" si="249"/>
        <v>6.9586047183386102</v>
      </c>
      <c r="D295" s="2">
        <f t="shared" ca="1" si="250"/>
        <v>0.26749076991239962</v>
      </c>
      <c r="E295" s="2">
        <f t="shared" ca="1" si="251"/>
        <v>7.231424322691554</v>
      </c>
      <c r="F295" s="2">
        <f t="shared" ca="1" si="252"/>
        <v>5.9307007917503096E-2</v>
      </c>
      <c r="G295" s="2">
        <f t="shared" ca="1" si="253"/>
        <v>-6.8185264443367949E-3</v>
      </c>
      <c r="H295" s="2">
        <f t="shared" ca="1" si="254"/>
        <v>-6.8185264443367949E-3</v>
      </c>
      <c r="I295" s="2">
        <f t="shared" ca="1" si="255"/>
        <v>0.368408847400164</v>
      </c>
      <c r="J295" s="2">
        <f t="shared" ca="1" si="256"/>
        <v>8.3196474420900671E-3</v>
      </c>
      <c r="K295" s="2">
        <f t="shared" ca="1" si="257"/>
        <v>8.3196474420900671E-3</v>
      </c>
      <c r="L295" s="2">
        <f t="shared" ca="1" si="258"/>
        <v>0.59869472543265267</v>
      </c>
      <c r="M295" s="2">
        <f t="shared" ca="1" si="259"/>
        <v>4.9993999915551772E-3</v>
      </c>
      <c r="N295" s="2">
        <f t="shared" ca="1" si="260"/>
        <v>4.9993999915551772E-3</v>
      </c>
      <c r="O295" s="2">
        <f t="shared" si="261"/>
        <v>6000000</v>
      </c>
      <c r="P295" s="2">
        <f t="shared" ca="1" si="262"/>
        <v>41751628.31003166</v>
      </c>
      <c r="Q295" s="2">
        <f t="shared" ca="1" si="263"/>
        <v>1043790.7077507916</v>
      </c>
      <c r="R295" s="2">
        <f t="shared" ca="1" si="264"/>
        <v>25050976.986018997</v>
      </c>
      <c r="S295" s="2">
        <f t="shared" ca="1" si="265"/>
        <v>16700651.324012665</v>
      </c>
      <c r="T295" s="2">
        <f t="shared" ca="1" si="266"/>
        <v>50249969.999577761</v>
      </c>
      <c r="U295" s="2">
        <f t="shared" ca="1" si="267"/>
        <v>49907339.250308506</v>
      </c>
      <c r="V295" s="2">
        <f t="shared" ca="1" si="268"/>
        <v>49567044.737863794</v>
      </c>
      <c r="W295" s="2">
        <f t="shared" ca="1" si="269"/>
        <v>49229070.532551043</v>
      </c>
      <c r="X295" s="2">
        <f t="shared" ca="1" si="270"/>
        <v>48893400.813294724</v>
      </c>
      <c r="Y295" s="2">
        <f t="shared" ca="1" si="271"/>
        <v>0.12415982372104503</v>
      </c>
      <c r="Z295" s="2">
        <f t="shared" ca="1" si="272"/>
        <v>0.12582375320946304</v>
      </c>
      <c r="AA295" s="2">
        <f t="shared" ca="1" si="273"/>
        <v>6239027.4171353765</v>
      </c>
      <c r="AB295" s="2">
        <f t="shared" ca="1" si="274"/>
        <v>6279528.7371717654</v>
      </c>
      <c r="AC295" s="2">
        <f t="shared" ca="1" si="275"/>
        <v>6236711.6044193879</v>
      </c>
      <c r="AD295" s="2">
        <f t="shared" ca="1" si="276"/>
        <v>6194186.4214189518</v>
      </c>
      <c r="AE295" s="2">
        <f t="shared" ca="1" si="277"/>
        <v>6151951.1975033544</v>
      </c>
      <c r="AF295" s="2">
        <f t="shared" ca="1" si="278"/>
        <v>1004999.3999915553</v>
      </c>
      <c r="AG295" s="2">
        <f t="shared" ca="1" si="279"/>
        <v>998146.78500617016</v>
      </c>
      <c r="AH295" s="2">
        <f t="shared" ca="1" si="280"/>
        <v>991340.89475727594</v>
      </c>
      <c r="AI295" s="2">
        <f t="shared" ca="1" si="281"/>
        <v>984581.41065102082</v>
      </c>
      <c r="AJ295" s="2">
        <f t="shared" ca="1" si="282"/>
        <v>977868.01626589452</v>
      </c>
      <c r="AK295" s="2">
        <f t="shared" ca="1" si="283"/>
        <v>0</v>
      </c>
      <c r="AL295" s="2">
        <f t="shared" ca="1" si="284"/>
        <v>0</v>
      </c>
      <c r="AM295" s="2">
        <f t="shared" ca="1" si="285"/>
        <v>0</v>
      </c>
      <c r="AN295" s="2">
        <f t="shared" ca="1" si="286"/>
        <v>0</v>
      </c>
      <c r="AO295" s="2">
        <f t="shared" ca="1" si="287"/>
        <v>0</v>
      </c>
      <c r="AP295" s="2">
        <f t="shared" ca="1" si="288"/>
        <v>2254587.9287417098</v>
      </c>
      <c r="AQ295" s="2">
        <f t="shared" ca="1" si="289"/>
        <v>774654.42298454908</v>
      </c>
      <c r="AR295" s="2">
        <f t="shared" ca="1" si="290"/>
        <v>786966.44609021023</v>
      </c>
      <c r="AS295" s="2">
        <f t="shared" ca="1" si="291"/>
        <v>777603.52303930442</v>
      </c>
      <c r="AT295" s="2">
        <f t="shared" ca="1" si="292"/>
        <v>768304.44132681761</v>
      </c>
      <c r="AU295" s="2">
        <f t="shared" ca="1" si="293"/>
        <v>759068.76564889506</v>
      </c>
      <c r="AV295" s="2">
        <f t="shared" ca="1" si="294"/>
        <v>2204785.6654175627</v>
      </c>
      <c r="AW295" s="2">
        <f t="shared" ca="1" si="295"/>
        <v>2239827.5773336752</v>
      </c>
      <c r="AX295" s="2">
        <f t="shared" ca="1" si="296"/>
        <v>2213179.257881097</v>
      </c>
      <c r="AY295" s="2">
        <f t="shared" ca="1" si="297"/>
        <v>2186712.6406994038</v>
      </c>
      <c r="AZ295" s="2">
        <f t="shared" ca="1" si="298"/>
        <v>2160426.4868468554</v>
      </c>
      <c r="BA295" s="2">
        <f t="shared" ca="1" si="299"/>
        <v>44487369.521637186</v>
      </c>
      <c r="BB295" s="2">
        <f t="shared" ca="1" si="300"/>
        <v>889747.3904327437</v>
      </c>
      <c r="BC295" s="2">
        <f t="shared" ca="1" si="301"/>
        <v>18546645.145185445</v>
      </c>
      <c r="BD295" s="2">
        <f t="shared" ca="1" si="302"/>
        <v>-18244442.031763457</v>
      </c>
      <c r="BE295" s="2">
        <f t="shared" ca="1" si="303"/>
        <v>2204785.6654175627</v>
      </c>
      <c r="BF295" s="2">
        <f t="shared" ca="1" si="304"/>
        <v>2239827.5773336752</v>
      </c>
      <c r="BG295" s="2">
        <f t="shared" ca="1" si="305"/>
        <v>2213179.257881097</v>
      </c>
      <c r="BH295" s="2">
        <f t="shared" ca="1" si="306"/>
        <v>2186712.6406994038</v>
      </c>
      <c r="BI295" s="2">
        <f t="shared" ca="1" si="307"/>
        <v>20707071.632032301</v>
      </c>
      <c r="BJ295" s="2">
        <f t="shared" ca="1" si="308"/>
        <v>0.12339917440839421</v>
      </c>
      <c r="BK295" s="2">
        <f t="shared" ca="1" si="309"/>
        <v>224434.67286882922</v>
      </c>
    </row>
    <row r="296" spans="1:63" x14ac:dyDescent="0.3">
      <c r="A296" s="2">
        <v>295</v>
      </c>
      <c r="B296" s="2">
        <f t="shared" ca="1" si="248"/>
        <v>0.76590143270839106</v>
      </c>
      <c r="C296" s="2">
        <f t="shared" ca="1" si="249"/>
        <v>7.3157506780542505</v>
      </c>
      <c r="D296" s="2">
        <f t="shared" ca="1" si="250"/>
        <v>0.5094362650019808</v>
      </c>
      <c r="E296" s="2">
        <f t="shared" ca="1" si="251"/>
        <v>7.5094812116895318</v>
      </c>
      <c r="F296" s="2">
        <f t="shared" ca="1" si="252"/>
        <v>0.98341786773816908</v>
      </c>
      <c r="G296" s="2">
        <f t="shared" ca="1" si="253"/>
        <v>0.10390267064822437</v>
      </c>
      <c r="H296" s="2">
        <f t="shared" ca="1" si="254"/>
        <v>0.10390267064822437</v>
      </c>
      <c r="I296" s="2">
        <f t="shared" ca="1" si="255"/>
        <v>0.74756353621237592</v>
      </c>
      <c r="J296" s="2">
        <f t="shared" ca="1" si="256"/>
        <v>1.3334211051143597E-2</v>
      </c>
      <c r="K296" s="2">
        <f t="shared" ca="1" si="257"/>
        <v>1.3334211051143597E-2</v>
      </c>
      <c r="L296" s="2">
        <f t="shared" ca="1" si="258"/>
        <v>0.3452873239796882</v>
      </c>
      <c r="M296" s="2">
        <f t="shared" ca="1" si="259"/>
        <v>-7.9615068916125235E-3</v>
      </c>
      <c r="N296" s="2">
        <f t="shared" ca="1" si="260"/>
        <v>-7.9615068916125235E-3</v>
      </c>
      <c r="O296" s="2">
        <f t="shared" si="261"/>
        <v>6000000</v>
      </c>
      <c r="P296" s="2">
        <f t="shared" ca="1" si="262"/>
        <v>43894504.068325505</v>
      </c>
      <c r="Q296" s="2">
        <f t="shared" ca="1" si="263"/>
        <v>1097362.6017081377</v>
      </c>
      <c r="R296" s="2">
        <f t="shared" ca="1" si="264"/>
        <v>26336702.440995302</v>
      </c>
      <c r="S296" s="2">
        <f t="shared" ca="1" si="265"/>
        <v>17557801.627330203</v>
      </c>
      <c r="T296" s="2">
        <f t="shared" ca="1" si="266"/>
        <v>49601924.655419372</v>
      </c>
      <c r="U296" s="2">
        <f t="shared" ca="1" si="267"/>
        <v>54755697.096409455</v>
      </c>
      <c r="V296" s="2">
        <f t="shared" ca="1" si="268"/>
        <v>60444960.257931627</v>
      </c>
      <c r="W296" s="2">
        <f t="shared" ca="1" si="269"/>
        <v>66725353.055956513</v>
      </c>
      <c r="X296" s="2">
        <f t="shared" ca="1" si="270"/>
        <v>73658295.438416064</v>
      </c>
      <c r="Y296" s="2">
        <f t="shared" ca="1" si="271"/>
        <v>0.12666710552557178</v>
      </c>
      <c r="Z296" s="2">
        <f t="shared" ca="1" si="272"/>
        <v>0.12933394773580051</v>
      </c>
      <c r="AA296" s="2">
        <f t="shared" ca="1" si="273"/>
        <v>6282932.2245994667</v>
      </c>
      <c r="AB296" s="2">
        <f t="shared" ca="1" si="274"/>
        <v>7081770.4665043438</v>
      </c>
      <c r="AC296" s="2">
        <f t="shared" ca="1" si="275"/>
        <v>7817585.3308918681</v>
      </c>
      <c r="AD296" s="2">
        <f t="shared" ca="1" si="276"/>
        <v>8629853.3247919157</v>
      </c>
      <c r="AE296" s="2">
        <f t="shared" ca="1" si="277"/>
        <v>9526518.1325402558</v>
      </c>
      <c r="AF296" s="2">
        <f t="shared" ca="1" si="278"/>
        <v>992038.49310838745</v>
      </c>
      <c r="AG296" s="2">
        <f t="shared" ca="1" si="279"/>
        <v>1095113.941928189</v>
      </c>
      <c r="AH296" s="2">
        <f t="shared" ca="1" si="280"/>
        <v>1208899.2051586325</v>
      </c>
      <c r="AI296" s="2">
        <f t="shared" ca="1" si="281"/>
        <v>1334507.0611191303</v>
      </c>
      <c r="AJ296" s="2">
        <f t="shared" ca="1" si="282"/>
        <v>1473165.9087683214</v>
      </c>
      <c r="AK296" s="2">
        <f t="shared" ca="1" si="283"/>
        <v>0</v>
      </c>
      <c r="AL296" s="2">
        <f t="shared" ca="1" si="284"/>
        <v>51537.724409900831</v>
      </c>
      <c r="AM296" s="2">
        <f t="shared" ca="1" si="285"/>
        <v>56892.631615221726</v>
      </c>
      <c r="AN296" s="2">
        <f t="shared" ca="1" si="286"/>
        <v>62803.927980248853</v>
      </c>
      <c r="AO296" s="2">
        <f t="shared" ca="1" si="287"/>
        <v>69329.423824595506</v>
      </c>
      <c r="AP296" s="2">
        <f t="shared" ca="1" si="288"/>
        <v>2370303.2196895769</v>
      </c>
      <c r="AQ296" s="2">
        <f t="shared" ca="1" si="289"/>
        <v>759353.53306839068</v>
      </c>
      <c r="AR296" s="2">
        <f t="shared" ca="1" si="290"/>
        <v>940251.85927051026</v>
      </c>
      <c r="AS296" s="2">
        <f t="shared" ca="1" si="291"/>
        <v>1101979.5555713514</v>
      </c>
      <c r="AT296" s="2">
        <f t="shared" ca="1" si="292"/>
        <v>1280511.1914356344</v>
      </c>
      <c r="AU296" s="2">
        <f t="shared" ca="1" si="293"/>
        <v>1477592.741061413</v>
      </c>
      <c r="AV296" s="2">
        <f t="shared" ca="1" si="294"/>
        <v>2161236.9787331121</v>
      </c>
      <c r="AW296" s="2">
        <f t="shared" ca="1" si="295"/>
        <v>2624563.7212061668</v>
      </c>
      <c r="AX296" s="2">
        <f t="shared" ca="1" si="296"/>
        <v>3079510.7188570863</v>
      </c>
      <c r="AY296" s="2">
        <f t="shared" ca="1" si="297"/>
        <v>3581727.924567326</v>
      </c>
      <c r="AZ296" s="2">
        <f t="shared" ca="1" si="298"/>
        <v>4136126.8391963495</v>
      </c>
      <c r="BA296" s="2">
        <f t="shared" ca="1" si="299"/>
        <v>71539208.929130688</v>
      </c>
      <c r="BB296" s="2">
        <f t="shared" ca="1" si="300"/>
        <v>1430784.1785826138</v>
      </c>
      <c r="BC296" s="2">
        <f t="shared" ca="1" si="301"/>
        <v>43771722.309552766</v>
      </c>
      <c r="BD296" s="2">
        <f t="shared" ca="1" si="302"/>
        <v>-19155164.229038339</v>
      </c>
      <c r="BE296" s="2">
        <f t="shared" ca="1" si="303"/>
        <v>2161236.9787331121</v>
      </c>
      <c r="BF296" s="2">
        <f t="shared" ca="1" si="304"/>
        <v>2624563.7212061668</v>
      </c>
      <c r="BG296" s="2">
        <f t="shared" ca="1" si="305"/>
        <v>3079510.7188570863</v>
      </c>
      <c r="BH296" s="2">
        <f t="shared" ca="1" si="306"/>
        <v>3581727.924567326</v>
      </c>
      <c r="BI296" s="2">
        <f t="shared" ca="1" si="307"/>
        <v>47907849.148749113</v>
      </c>
      <c r="BJ296" s="2">
        <f t="shared" ca="1" si="308"/>
        <v>0.29377637504714604</v>
      </c>
      <c r="BK296" s="2">
        <f t="shared" ca="1" si="309"/>
        <v>16519185.731936369</v>
      </c>
    </row>
    <row r="297" spans="1:63" x14ac:dyDescent="0.3">
      <c r="A297" s="2">
        <v>296</v>
      </c>
      <c r="B297" s="2">
        <f t="shared" ca="1" si="248"/>
        <v>0.19992617968004811</v>
      </c>
      <c r="C297" s="2">
        <f t="shared" ca="1" si="249"/>
        <v>6.6323388010869619</v>
      </c>
      <c r="D297" s="2">
        <f t="shared" ca="1" si="250"/>
        <v>0.37666230726308203</v>
      </c>
      <c r="E297" s="2">
        <f t="shared" ca="1" si="251"/>
        <v>7.3679427484149889</v>
      </c>
      <c r="F297" s="2">
        <f t="shared" ca="1" si="252"/>
        <v>0.76407307224275567</v>
      </c>
      <c r="G297" s="2">
        <f t="shared" ca="1" si="253"/>
        <v>6.1583979434440432E-2</v>
      </c>
      <c r="H297" s="2">
        <f t="shared" ca="1" si="254"/>
        <v>6.1583979434440432E-2</v>
      </c>
      <c r="I297" s="2">
        <f t="shared" ca="1" si="255"/>
        <v>0.28495863807550881</v>
      </c>
      <c r="J297" s="2">
        <f t="shared" ca="1" si="256"/>
        <v>7.1591333287475568E-3</v>
      </c>
      <c r="K297" s="2">
        <f t="shared" ca="1" si="257"/>
        <v>7.1591333287475568E-3</v>
      </c>
      <c r="L297" s="2">
        <f t="shared" ca="1" si="258"/>
        <v>0.70172156152306109</v>
      </c>
      <c r="M297" s="2">
        <f t="shared" ca="1" si="259"/>
        <v>1.0587167234919086E-2</v>
      </c>
      <c r="N297" s="2">
        <f t="shared" ca="1" si="260"/>
        <v>1.0587167234919086E-2</v>
      </c>
      <c r="O297" s="2">
        <f t="shared" si="261"/>
        <v>6000000</v>
      </c>
      <c r="P297" s="2">
        <f t="shared" ca="1" si="262"/>
        <v>39794032.806521773</v>
      </c>
      <c r="Q297" s="2">
        <f t="shared" ca="1" si="263"/>
        <v>994850.82016304438</v>
      </c>
      <c r="R297" s="2">
        <f t="shared" ca="1" si="264"/>
        <v>23876419.683913063</v>
      </c>
      <c r="S297" s="2">
        <f t="shared" ca="1" si="265"/>
        <v>15917613.12260871</v>
      </c>
      <c r="T297" s="2">
        <f t="shared" ca="1" si="266"/>
        <v>50529358.361745961</v>
      </c>
      <c r="U297" s="2">
        <f t="shared" ca="1" si="267"/>
        <v>53641157.327931195</v>
      </c>
      <c r="V297" s="2">
        <f t="shared" ca="1" si="268"/>
        <v>56944593.257654093</v>
      </c>
      <c r="W297" s="2">
        <f t="shared" ca="1" si="269"/>
        <v>60451467.917736039</v>
      </c>
      <c r="X297" s="2">
        <f t="shared" ca="1" si="270"/>
        <v>64174309.87476363</v>
      </c>
      <c r="Y297" s="2">
        <f t="shared" ca="1" si="271"/>
        <v>0.12357956666437378</v>
      </c>
      <c r="Z297" s="2">
        <f t="shared" ca="1" si="272"/>
        <v>0.12501139333012329</v>
      </c>
      <c r="AA297" s="2">
        <f t="shared" ca="1" si="273"/>
        <v>6244396.2101734178</v>
      </c>
      <c r="AB297" s="2">
        <f t="shared" ca="1" si="274"/>
        <v>6705755.817405032</v>
      </c>
      <c r="AC297" s="2">
        <f t="shared" ca="1" si="275"/>
        <v>7118722.9457564829</v>
      </c>
      <c r="AD297" s="2">
        <f t="shared" ca="1" si="276"/>
        <v>7557122.2332474291</v>
      </c>
      <c r="AE297" s="2">
        <f t="shared" ca="1" si="277"/>
        <v>8022519.8934432911</v>
      </c>
      <c r="AF297" s="2">
        <f t="shared" ca="1" si="278"/>
        <v>1010587.1672349193</v>
      </c>
      <c r="AG297" s="2">
        <f t="shared" ca="1" si="279"/>
        <v>1072823.146558624</v>
      </c>
      <c r="AH297" s="2">
        <f t="shared" ca="1" si="280"/>
        <v>1138891.8651530819</v>
      </c>
      <c r="AI297" s="2">
        <f t="shared" ca="1" si="281"/>
        <v>1209029.3583547208</v>
      </c>
      <c r="AJ297" s="2">
        <f t="shared" ca="1" si="282"/>
        <v>1283486.1974952726</v>
      </c>
      <c r="AK297" s="2">
        <f t="shared" ca="1" si="283"/>
        <v>0</v>
      </c>
      <c r="AL297" s="2">
        <f t="shared" ca="1" si="284"/>
        <v>31117.989661852345</v>
      </c>
      <c r="AM297" s="2">
        <f t="shared" ca="1" si="285"/>
        <v>33034.359297228977</v>
      </c>
      <c r="AN297" s="2">
        <f t="shared" ca="1" si="286"/>
        <v>35068.746600819453</v>
      </c>
      <c r="AO297" s="2">
        <f t="shared" ca="1" si="287"/>
        <v>37228.419570275917</v>
      </c>
      <c r="AP297" s="2">
        <f t="shared" ca="1" si="288"/>
        <v>2148877.7715521757</v>
      </c>
      <c r="AQ297" s="2">
        <f t="shared" ca="1" si="289"/>
        <v>802082.13056044397</v>
      </c>
      <c r="AR297" s="2">
        <f t="shared" ca="1" si="290"/>
        <v>905854.27381650044</v>
      </c>
      <c r="AS297" s="2">
        <f t="shared" ca="1" si="291"/>
        <v>996047.86035331863</v>
      </c>
      <c r="AT297" s="2">
        <f t="shared" ca="1" si="292"/>
        <v>1091795.9268685386</v>
      </c>
      <c r="AU297" s="2">
        <f t="shared" ca="1" si="293"/>
        <v>1193440.5403429191</v>
      </c>
      <c r="AV297" s="2">
        <f t="shared" ca="1" si="294"/>
        <v>2282849.1408258793</v>
      </c>
      <c r="AW297" s="2">
        <f t="shared" ca="1" si="295"/>
        <v>2547082.6358158798</v>
      </c>
      <c r="AX297" s="2">
        <f t="shared" ca="1" si="296"/>
        <v>2801871.0894006775</v>
      </c>
      <c r="AY297" s="2">
        <f t="shared" ca="1" si="297"/>
        <v>3072350.429871174</v>
      </c>
      <c r="AZ297" s="2">
        <f t="shared" ca="1" si="298"/>
        <v>3359486.9644826478</v>
      </c>
      <c r="BA297" s="2">
        <f t="shared" ca="1" si="299"/>
        <v>59109467.272910483</v>
      </c>
      <c r="BB297" s="2">
        <f t="shared" ca="1" si="300"/>
        <v>1182189.3454582097</v>
      </c>
      <c r="BC297" s="2">
        <f t="shared" ca="1" si="301"/>
        <v>34050858.243539214</v>
      </c>
      <c r="BD297" s="2">
        <f t="shared" ca="1" si="302"/>
        <v>-17412463.942771755</v>
      </c>
      <c r="BE297" s="2">
        <f t="shared" ca="1" si="303"/>
        <v>2282849.1408258793</v>
      </c>
      <c r="BF297" s="2">
        <f t="shared" ca="1" si="304"/>
        <v>2547082.6358158798</v>
      </c>
      <c r="BG297" s="2">
        <f t="shared" ca="1" si="305"/>
        <v>2801871.0894006775</v>
      </c>
      <c r="BH297" s="2">
        <f t="shared" ca="1" si="306"/>
        <v>3072350.429871174</v>
      </c>
      <c r="BI297" s="2">
        <f t="shared" ca="1" si="307"/>
        <v>37410345.208021864</v>
      </c>
      <c r="BJ297" s="2">
        <f t="shared" ca="1" si="308"/>
        <v>0.26706792194524742</v>
      </c>
      <c r="BK297" s="2">
        <f t="shared" ca="1" si="309"/>
        <v>11830798.194036894</v>
      </c>
    </row>
    <row r="298" spans="1:63" x14ac:dyDescent="0.3">
      <c r="A298" s="2">
        <v>297</v>
      </c>
      <c r="B298" s="2">
        <f t="shared" ca="1" si="248"/>
        <v>0.78092261989256195</v>
      </c>
      <c r="C298" s="2">
        <f t="shared" ca="1" si="249"/>
        <v>7.3380674050820005</v>
      </c>
      <c r="D298" s="2">
        <f t="shared" ca="1" si="250"/>
        <v>0.45463095574914958</v>
      </c>
      <c r="E298" s="2">
        <f t="shared" ca="1" si="251"/>
        <v>7.4535522594479549</v>
      </c>
      <c r="F298" s="2">
        <f t="shared" ca="1" si="252"/>
        <v>0.9548756944449075</v>
      </c>
      <c r="G298" s="2">
        <f t="shared" ca="1" si="253"/>
        <v>9.0822632285688404E-2</v>
      </c>
      <c r="H298" s="2">
        <f t="shared" ca="1" si="254"/>
        <v>9.0822632285688404E-2</v>
      </c>
      <c r="I298" s="2">
        <f t="shared" ca="1" si="255"/>
        <v>0.60386816670261967</v>
      </c>
      <c r="J298" s="2">
        <f t="shared" ca="1" si="256"/>
        <v>1.131686131797026E-2</v>
      </c>
      <c r="K298" s="2">
        <f t="shared" ca="1" si="257"/>
        <v>1.131686131797026E-2</v>
      </c>
      <c r="L298" s="2">
        <f t="shared" ca="1" si="258"/>
        <v>0.37330636146016383</v>
      </c>
      <c r="M298" s="2">
        <f t="shared" ca="1" si="259"/>
        <v>-6.4621792499475385E-3</v>
      </c>
      <c r="N298" s="2">
        <f t="shared" ca="1" si="260"/>
        <v>-6.4621792499475385E-3</v>
      </c>
      <c r="O298" s="2">
        <f t="shared" si="261"/>
        <v>6000000</v>
      </c>
      <c r="P298" s="2">
        <f t="shared" ca="1" si="262"/>
        <v>44028404.430492006</v>
      </c>
      <c r="Q298" s="2">
        <f t="shared" ca="1" si="263"/>
        <v>1100710.1107623002</v>
      </c>
      <c r="R298" s="2">
        <f t="shared" ca="1" si="264"/>
        <v>26417042.658295203</v>
      </c>
      <c r="S298" s="2">
        <f t="shared" ca="1" si="265"/>
        <v>17611361.772196803</v>
      </c>
      <c r="T298" s="2">
        <f t="shared" ca="1" si="266"/>
        <v>49676891.037502624</v>
      </c>
      <c r="U298" s="2">
        <f t="shared" ca="1" si="267"/>
        <v>54188677.045297936</v>
      </c>
      <c r="V298" s="2">
        <f t="shared" ca="1" si="268"/>
        <v>59110235.334630959</v>
      </c>
      <c r="W298" s="2">
        <f t="shared" ca="1" si="269"/>
        <v>64478782.502748653</v>
      </c>
      <c r="X298" s="2">
        <f t="shared" ca="1" si="270"/>
        <v>70334915.256224677</v>
      </c>
      <c r="Y298" s="2">
        <f t="shared" ca="1" si="271"/>
        <v>0.12565843065898513</v>
      </c>
      <c r="Z298" s="2">
        <f t="shared" ca="1" si="272"/>
        <v>0.12792180292257918</v>
      </c>
      <c r="AA298" s="2">
        <f t="shared" ca="1" si="273"/>
        <v>6242320.1677899836</v>
      </c>
      <c r="AB298" s="2">
        <f t="shared" ca="1" si="274"/>
        <v>6931913.2656238927</v>
      </c>
      <c r="AC298" s="2">
        <f t="shared" ca="1" si="275"/>
        <v>7561487.8751839381</v>
      </c>
      <c r="AD298" s="2">
        <f t="shared" ca="1" si="276"/>
        <v>8248242.1080044601</v>
      </c>
      <c r="AE298" s="2">
        <f t="shared" ca="1" si="277"/>
        <v>8997369.1679830812</v>
      </c>
      <c r="AF298" s="2">
        <f t="shared" ca="1" si="278"/>
        <v>993537.82075005246</v>
      </c>
      <c r="AG298" s="2">
        <f t="shared" ca="1" si="279"/>
        <v>1083773.5409059587</v>
      </c>
      <c r="AH298" s="2">
        <f t="shared" ca="1" si="280"/>
        <v>1182204.7066926192</v>
      </c>
      <c r="AI298" s="2">
        <f t="shared" ca="1" si="281"/>
        <v>1289575.6500549731</v>
      </c>
      <c r="AJ298" s="2">
        <f t="shared" ca="1" si="282"/>
        <v>1406698.3051244935</v>
      </c>
      <c r="AK298" s="2">
        <f t="shared" ca="1" si="283"/>
        <v>0</v>
      </c>
      <c r="AL298" s="2">
        <f t="shared" ca="1" si="284"/>
        <v>45117.860077953119</v>
      </c>
      <c r="AM298" s="2">
        <f t="shared" ca="1" si="285"/>
        <v>49215.582893330233</v>
      </c>
      <c r="AN298" s="2">
        <f t="shared" ca="1" si="286"/>
        <v>53685.471681176947</v>
      </c>
      <c r="AO298" s="2">
        <f t="shared" ca="1" si="287"/>
        <v>58561.327534760239</v>
      </c>
      <c r="AP298" s="2">
        <f t="shared" ca="1" si="288"/>
        <v>2377533.8392465683</v>
      </c>
      <c r="AQ298" s="2">
        <f t="shared" ca="1" si="289"/>
        <v>746524.61202627444</v>
      </c>
      <c r="AR298" s="2">
        <f t="shared" ca="1" si="290"/>
        <v>902357.53022255504</v>
      </c>
      <c r="AS298" s="2">
        <f t="shared" ca="1" si="291"/>
        <v>1040454.8256036352</v>
      </c>
      <c r="AT298" s="2">
        <f t="shared" ca="1" si="292"/>
        <v>1191094.4808627591</v>
      </c>
      <c r="AU298" s="2">
        <f t="shared" ca="1" si="293"/>
        <v>1355415.6261391251</v>
      </c>
      <c r="AV298" s="2">
        <f t="shared" ca="1" si="294"/>
        <v>2124723.895767089</v>
      </c>
      <c r="AW298" s="2">
        <f t="shared" ca="1" si="295"/>
        <v>2523130.4951708578</v>
      </c>
      <c r="AX298" s="2">
        <f t="shared" ca="1" si="296"/>
        <v>2912078.9207477849</v>
      </c>
      <c r="AY298" s="2">
        <f t="shared" ca="1" si="297"/>
        <v>3336352.6661589835</v>
      </c>
      <c r="AZ298" s="2">
        <f t="shared" ca="1" si="298"/>
        <v>3799160.0699381344</v>
      </c>
      <c r="BA298" s="2">
        <f t="shared" ca="1" si="299"/>
        <v>67062361.291107662</v>
      </c>
      <c r="BB298" s="2">
        <f t="shared" ca="1" si="300"/>
        <v>1341247.2258221533</v>
      </c>
      <c r="BC298" s="2">
        <f t="shared" ca="1" si="301"/>
        <v>39304071.406990305</v>
      </c>
      <c r="BD298" s="2">
        <f t="shared" ca="1" si="302"/>
        <v>-19212071.882959105</v>
      </c>
      <c r="BE298" s="2">
        <f t="shared" ca="1" si="303"/>
        <v>2124723.895767089</v>
      </c>
      <c r="BF298" s="2">
        <f t="shared" ca="1" si="304"/>
        <v>2523130.4951708578</v>
      </c>
      <c r="BG298" s="2">
        <f t="shared" ca="1" si="305"/>
        <v>2912078.9207477849</v>
      </c>
      <c r="BH298" s="2">
        <f t="shared" ca="1" si="306"/>
        <v>3336352.6661589835</v>
      </c>
      <c r="BI298" s="2">
        <f t="shared" ca="1" si="307"/>
        <v>43103231.476928443</v>
      </c>
      <c r="BJ298" s="2">
        <f t="shared" ca="1" si="308"/>
        <v>0.26644414329131494</v>
      </c>
      <c r="BK298" s="2">
        <f t="shared" ca="1" si="309"/>
        <v>13347431.006392997</v>
      </c>
    </row>
    <row r="299" spans="1:63" x14ac:dyDescent="0.3">
      <c r="A299" s="2">
        <v>298</v>
      </c>
      <c r="B299" s="2">
        <f t="shared" ca="1" si="248"/>
        <v>0.81104246924393486</v>
      </c>
      <c r="C299" s="2">
        <f t="shared" ca="1" si="249"/>
        <v>7.3852520341537273</v>
      </c>
      <c r="D299" s="2">
        <f t="shared" ca="1" si="250"/>
        <v>0.54467808654331407</v>
      </c>
      <c r="E299" s="2">
        <f t="shared" ca="1" si="251"/>
        <v>7.5457234012544516</v>
      </c>
      <c r="F299" s="2">
        <f t="shared" ca="1" si="252"/>
        <v>0.42082552307302068</v>
      </c>
      <c r="G299" s="2">
        <f t="shared" ca="1" si="253"/>
        <v>3.4006538722478594E-2</v>
      </c>
      <c r="H299" s="2">
        <f t="shared" ca="1" si="254"/>
        <v>3.4006538722478594E-2</v>
      </c>
      <c r="I299" s="2">
        <f t="shared" ca="1" si="255"/>
        <v>5.7565148928242493E-2</v>
      </c>
      <c r="J299" s="2">
        <f t="shared" ca="1" si="256"/>
        <v>2.1222662821081036E-3</v>
      </c>
      <c r="K299" s="2">
        <f t="shared" ca="1" si="257"/>
        <v>2.1222662821081036E-3</v>
      </c>
      <c r="L299" s="2">
        <f t="shared" ca="1" si="258"/>
        <v>0.57103428056276273</v>
      </c>
      <c r="M299" s="2">
        <f t="shared" ca="1" si="259"/>
        <v>3.5801595209473398E-3</v>
      </c>
      <c r="N299" s="2">
        <f t="shared" ca="1" si="260"/>
        <v>3.5801595209473398E-3</v>
      </c>
      <c r="O299" s="2">
        <f t="shared" si="261"/>
        <v>6000000</v>
      </c>
      <c r="P299" s="2">
        <f t="shared" ca="1" si="262"/>
        <v>44311512.204922363</v>
      </c>
      <c r="Q299" s="2">
        <f t="shared" ca="1" si="263"/>
        <v>1107787.8051230591</v>
      </c>
      <c r="R299" s="2">
        <f t="shared" ca="1" si="264"/>
        <v>26586907.322953418</v>
      </c>
      <c r="S299" s="2">
        <f t="shared" ca="1" si="265"/>
        <v>17724604.881968945</v>
      </c>
      <c r="T299" s="2">
        <f t="shared" ca="1" si="266"/>
        <v>50179007.976047359</v>
      </c>
      <c r="U299" s="2">
        <f t="shared" ca="1" si="267"/>
        <v>51885422.353840373</v>
      </c>
      <c r="V299" s="2">
        <f t="shared" ca="1" si="268"/>
        <v>53649865.978248402</v>
      </c>
      <c r="W299" s="2">
        <f t="shared" ca="1" si="269"/>
        <v>55474312.223093495</v>
      </c>
      <c r="X299" s="2">
        <f t="shared" ca="1" si="270"/>
        <v>57360801.569810994</v>
      </c>
      <c r="Y299" s="2">
        <f t="shared" ca="1" si="271"/>
        <v>0.12106113314105404</v>
      </c>
      <c r="Z299" s="2">
        <f t="shared" ca="1" si="272"/>
        <v>0.12148558639747567</v>
      </c>
      <c r="AA299" s="2">
        <f t="shared" ca="1" si="273"/>
        <v>6074727.565474282</v>
      </c>
      <c r="AB299" s="2">
        <f t="shared" ca="1" si="274"/>
        <v>6303330.9601369901</v>
      </c>
      <c r="AC299" s="2">
        <f t="shared" ca="1" si="275"/>
        <v>6517685.4285134869</v>
      </c>
      <c r="AD299" s="2">
        <f t="shared" ca="1" si="276"/>
        <v>6739329.3504191656</v>
      </c>
      <c r="AE299" s="2">
        <f t="shared" ca="1" si="277"/>
        <v>6968510.614937732</v>
      </c>
      <c r="AF299" s="2">
        <f t="shared" ca="1" si="278"/>
        <v>1003580.1595209473</v>
      </c>
      <c r="AG299" s="2">
        <f t="shared" ca="1" si="279"/>
        <v>1037708.4470768075</v>
      </c>
      <c r="AH299" s="2">
        <f t="shared" ca="1" si="280"/>
        <v>1072997.3195649681</v>
      </c>
      <c r="AI299" s="2">
        <f t="shared" ca="1" si="281"/>
        <v>1109486.2444618698</v>
      </c>
      <c r="AJ299" s="2">
        <f t="shared" ca="1" si="282"/>
        <v>1147216.03139622</v>
      </c>
      <c r="AK299" s="2">
        <f t="shared" ca="1" si="283"/>
        <v>0</v>
      </c>
      <c r="AL299" s="2">
        <f t="shared" ca="1" si="284"/>
        <v>17064.143777930141</v>
      </c>
      <c r="AM299" s="2">
        <f t="shared" ca="1" si="285"/>
        <v>17644.436244080291</v>
      </c>
      <c r="AN299" s="2">
        <f t="shared" ca="1" si="286"/>
        <v>18244.462448450922</v>
      </c>
      <c r="AO299" s="2">
        <f t="shared" ca="1" si="287"/>
        <v>18864.893467174992</v>
      </c>
      <c r="AP299" s="2">
        <f t="shared" ca="1" si="288"/>
        <v>2392821.6590658077</v>
      </c>
      <c r="AQ299" s="2">
        <f t="shared" ca="1" si="289"/>
        <v>696364.694190757</v>
      </c>
      <c r="AR299" s="2">
        <f t="shared" ca="1" si="290"/>
        <v>746928.22203853738</v>
      </c>
      <c r="AS299" s="2">
        <f t="shared" ca="1" si="291"/>
        <v>793485.27696950489</v>
      </c>
      <c r="AT299" s="2">
        <f t="shared" ca="1" si="292"/>
        <v>841625.57619178691</v>
      </c>
      <c r="AU299" s="2">
        <f t="shared" ca="1" si="293"/>
        <v>891402.96036368329</v>
      </c>
      <c r="AV299" s="2">
        <f t="shared" ca="1" si="294"/>
        <v>1981961.0526967696</v>
      </c>
      <c r="AW299" s="2">
        <f t="shared" ca="1" si="295"/>
        <v>2108808.4881779072</v>
      </c>
      <c r="AX299" s="2">
        <f t="shared" ca="1" si="296"/>
        <v>2240736.7366691264</v>
      </c>
      <c r="AY299" s="2">
        <f t="shared" ca="1" si="297"/>
        <v>2377151.4082512506</v>
      </c>
      <c r="AZ299" s="2">
        <f t="shared" ca="1" si="298"/>
        <v>2518205.0706448467</v>
      </c>
      <c r="BA299" s="2">
        <f t="shared" ca="1" si="299"/>
        <v>52582453.619025692</v>
      </c>
      <c r="BB299" s="2">
        <f t="shared" ca="1" si="300"/>
        <v>1051649.0723805139</v>
      </c>
      <c r="BC299" s="2">
        <f t="shared" ca="1" si="301"/>
        <v>24943897.223691761</v>
      </c>
      <c r="BD299" s="2">
        <f t="shared" ca="1" si="302"/>
        <v>-19332392.687092006</v>
      </c>
      <c r="BE299" s="2">
        <f t="shared" ca="1" si="303"/>
        <v>1981961.0526967696</v>
      </c>
      <c r="BF299" s="2">
        <f t="shared" ca="1" si="304"/>
        <v>2108808.4881779072</v>
      </c>
      <c r="BG299" s="2">
        <f t="shared" ca="1" si="305"/>
        <v>2240736.7366691264</v>
      </c>
      <c r="BH299" s="2">
        <f t="shared" ca="1" si="306"/>
        <v>2377151.4082512506</v>
      </c>
      <c r="BI299" s="2">
        <f t="shared" ca="1" si="307"/>
        <v>27462102.29433661</v>
      </c>
      <c r="BJ299" s="2">
        <f t="shared" ca="1" si="308"/>
        <v>0.15663774536803676</v>
      </c>
      <c r="BK299" s="2">
        <f t="shared" ca="1" si="309"/>
        <v>2806713.8124341071</v>
      </c>
    </row>
    <row r="300" spans="1:63" x14ac:dyDescent="0.3">
      <c r="A300" s="2">
        <v>299</v>
      </c>
      <c r="B300" s="2">
        <f t="shared" ca="1" si="248"/>
        <v>0.83047820635039615</v>
      </c>
      <c r="C300" s="2">
        <f t="shared" ca="1" si="249"/>
        <v>7.4177255051960396</v>
      </c>
      <c r="D300" s="2">
        <f t="shared" ca="1" si="250"/>
        <v>0.70941999135580724</v>
      </c>
      <c r="E300" s="2">
        <f t="shared" ca="1" si="251"/>
        <v>7.7376614811723172</v>
      </c>
      <c r="F300" s="2">
        <f t="shared" ca="1" si="252"/>
        <v>9.7805034832666782E-2</v>
      </c>
      <c r="G300" s="2">
        <f t="shared" ca="1" si="253"/>
        <v>1.1751921382218214E-3</v>
      </c>
      <c r="H300" s="2">
        <f t="shared" ca="1" si="254"/>
        <v>1.1751921382218214E-3</v>
      </c>
      <c r="I300" s="2">
        <f t="shared" ca="1" si="255"/>
        <v>0.4192625135345901</v>
      </c>
      <c r="J300" s="2">
        <f t="shared" ca="1" si="256"/>
        <v>8.9810974694735524E-3</v>
      </c>
      <c r="K300" s="2">
        <f t="shared" ca="1" si="257"/>
        <v>8.9810974694735524E-3</v>
      </c>
      <c r="L300" s="2">
        <f t="shared" ca="1" si="258"/>
        <v>0.55644404851419393</v>
      </c>
      <c r="M300" s="2">
        <f t="shared" ca="1" si="259"/>
        <v>2.8391923541470792E-3</v>
      </c>
      <c r="N300" s="2">
        <f t="shared" ca="1" si="260"/>
        <v>2.8391923541470792E-3</v>
      </c>
      <c r="O300" s="2">
        <f t="shared" si="261"/>
        <v>6000000</v>
      </c>
      <c r="P300" s="2">
        <f t="shared" ca="1" si="262"/>
        <v>44506353.031176239</v>
      </c>
      <c r="Q300" s="2">
        <f t="shared" ca="1" si="263"/>
        <v>1112658.8257794061</v>
      </c>
      <c r="R300" s="2">
        <f t="shared" ca="1" si="264"/>
        <v>26703811.818705741</v>
      </c>
      <c r="S300" s="2">
        <f t="shared" ca="1" si="265"/>
        <v>17802541.212470498</v>
      </c>
      <c r="T300" s="2">
        <f t="shared" ca="1" si="266"/>
        <v>50141959.617707357</v>
      </c>
      <c r="U300" s="2">
        <f t="shared" ca="1" si="267"/>
        <v>50200886.054445125</v>
      </c>
      <c r="V300" s="2">
        <f t="shared" ca="1" si="268"/>
        <v>50259881.74106808</v>
      </c>
      <c r="W300" s="2">
        <f t="shared" ca="1" si="269"/>
        <v>50318946.758958146</v>
      </c>
      <c r="X300" s="2">
        <f t="shared" ca="1" si="270"/>
        <v>50378081.189592883</v>
      </c>
      <c r="Y300" s="2">
        <f t="shared" ca="1" si="271"/>
        <v>0.12449054873473678</v>
      </c>
      <c r="Z300" s="2">
        <f t="shared" ca="1" si="272"/>
        <v>0.12628676822863147</v>
      </c>
      <c r="AA300" s="2">
        <f t="shared" ca="1" si="273"/>
        <v>6242200.0674434016</v>
      </c>
      <c r="AB300" s="2">
        <f t="shared" ca="1" si="274"/>
        <v>6339707.6620296491</v>
      </c>
      <c r="AC300" s="2">
        <f t="shared" ca="1" si="275"/>
        <v>6347158.0366326915</v>
      </c>
      <c r="AD300" s="2">
        <f t="shared" ca="1" si="276"/>
        <v>6354617.1668573944</v>
      </c>
      <c r="AE300" s="2">
        <f t="shared" ca="1" si="277"/>
        <v>6362085.0629932955</v>
      </c>
      <c r="AF300" s="2">
        <f t="shared" ca="1" si="278"/>
        <v>1002839.1923541472</v>
      </c>
      <c r="AG300" s="2">
        <f t="shared" ca="1" si="279"/>
        <v>1004017.7210889026</v>
      </c>
      <c r="AH300" s="2">
        <f t="shared" ca="1" si="280"/>
        <v>1005197.6348213616</v>
      </c>
      <c r="AI300" s="2">
        <f t="shared" ca="1" si="281"/>
        <v>1006378.9351791629</v>
      </c>
      <c r="AJ300" s="2">
        <f t="shared" ca="1" si="282"/>
        <v>1007561.6237918576</v>
      </c>
      <c r="AK300" s="2">
        <f t="shared" ca="1" si="283"/>
        <v>0</v>
      </c>
      <c r="AL300" s="2">
        <f t="shared" ca="1" si="284"/>
        <v>589.26436737768358</v>
      </c>
      <c r="AM300" s="2">
        <f t="shared" ca="1" si="285"/>
        <v>589.95686622954906</v>
      </c>
      <c r="AN300" s="2">
        <f t="shared" ca="1" si="286"/>
        <v>590.65017890065906</v>
      </c>
      <c r="AO300" s="2">
        <f t="shared" ca="1" si="287"/>
        <v>591.34430634737021</v>
      </c>
      <c r="AP300" s="2">
        <f t="shared" ca="1" si="288"/>
        <v>2403343.0636835168</v>
      </c>
      <c r="AQ300" s="2">
        <f t="shared" ca="1" si="289"/>
        <v>737364.63096549176</v>
      </c>
      <c r="AR300" s="2">
        <f t="shared" ca="1" si="290"/>
        <v>762410.18808687991</v>
      </c>
      <c r="AS300" s="2">
        <f t="shared" ca="1" si="291"/>
        <v>764040.50791323138</v>
      </c>
      <c r="AT300" s="2">
        <f t="shared" ca="1" si="292"/>
        <v>765672.74367862591</v>
      </c>
      <c r="AU300" s="2">
        <f t="shared" ca="1" si="293"/>
        <v>767306.89763465954</v>
      </c>
      <c r="AV300" s="2">
        <f t="shared" ca="1" si="294"/>
        <v>2098653.1804402457</v>
      </c>
      <c r="AW300" s="2">
        <f t="shared" ca="1" si="295"/>
        <v>2169347.4248029725</v>
      </c>
      <c r="AX300" s="2">
        <f t="shared" ca="1" si="296"/>
        <v>2173986.873348352</v>
      </c>
      <c r="AY300" s="2">
        <f t="shared" ca="1" si="297"/>
        <v>2178631.7741371882</v>
      </c>
      <c r="AZ300" s="2">
        <f t="shared" ca="1" si="298"/>
        <v>2183282.1335769142</v>
      </c>
      <c r="BA300" s="2">
        <f t="shared" ca="1" si="299"/>
        <v>49227660.531864978</v>
      </c>
      <c r="BB300" s="2">
        <f t="shared" ca="1" si="300"/>
        <v>984553.21063729958</v>
      </c>
      <c r="BC300" s="2">
        <f t="shared" ca="1" si="301"/>
        <v>21539295.502521936</v>
      </c>
      <c r="BD300" s="2">
        <f t="shared" ca="1" si="302"/>
        <v>-19415200.038249902</v>
      </c>
      <c r="BE300" s="2">
        <f t="shared" ca="1" si="303"/>
        <v>2098653.1804402457</v>
      </c>
      <c r="BF300" s="2">
        <f t="shared" ca="1" si="304"/>
        <v>2169347.4248029725</v>
      </c>
      <c r="BG300" s="2">
        <f t="shared" ca="1" si="305"/>
        <v>2173986.873348352</v>
      </c>
      <c r="BH300" s="2">
        <f t="shared" ca="1" si="306"/>
        <v>2178631.7741371882</v>
      </c>
      <c r="BI300" s="2">
        <f t="shared" ca="1" si="307"/>
        <v>23722577.636098851</v>
      </c>
      <c r="BJ300" s="2">
        <f t="shared" ca="1" si="308"/>
        <v>0.12801237543207655</v>
      </c>
      <c r="BK300" s="2">
        <f t="shared" ca="1" si="309"/>
        <v>580776.36131832749</v>
      </c>
    </row>
    <row r="301" spans="1:63" x14ac:dyDescent="0.3">
      <c r="A301" s="2">
        <v>300</v>
      </c>
      <c r="B301" s="2">
        <f t="shared" ca="1" si="248"/>
        <v>0.5383193229923553</v>
      </c>
      <c r="C301" s="2">
        <f t="shared" ca="1" si="249"/>
        <v>7.0390830660169996</v>
      </c>
      <c r="D301" s="2">
        <f t="shared" ca="1" si="250"/>
        <v>0.6431839438795216</v>
      </c>
      <c r="E301" s="2">
        <f t="shared" ca="1" si="251"/>
        <v>7.6552325099526159</v>
      </c>
      <c r="F301" s="2">
        <f t="shared" ca="1" si="252"/>
        <v>0.89202010967204381</v>
      </c>
      <c r="G301" s="2">
        <f t="shared" ca="1" si="253"/>
        <v>7.7120289172095E-2</v>
      </c>
      <c r="H301" s="2">
        <f t="shared" ca="1" si="254"/>
        <v>7.7120289172095E-2</v>
      </c>
      <c r="I301" s="2">
        <f t="shared" ca="1" si="255"/>
        <v>0.97894871443804399</v>
      </c>
      <c r="J301" s="2">
        <f t="shared" ca="1" si="256"/>
        <v>2.0162524356997166E-2</v>
      </c>
      <c r="K301" s="2">
        <f t="shared" ca="1" si="257"/>
        <v>2.0162524356997166E-2</v>
      </c>
      <c r="L301" s="2">
        <f t="shared" ca="1" si="258"/>
        <v>0.148187922638366</v>
      </c>
      <c r="M301" s="2">
        <f t="shared" ca="1" si="259"/>
        <v>-2.088473598391179E-2</v>
      </c>
      <c r="N301" s="2">
        <f t="shared" ca="1" si="260"/>
        <v>-2.088473598391179E-2</v>
      </c>
      <c r="O301" s="2">
        <f t="shared" si="261"/>
        <v>6000000</v>
      </c>
      <c r="P301" s="2">
        <f t="shared" ca="1" si="262"/>
        <v>42234498.396101996</v>
      </c>
      <c r="Q301" s="2">
        <f t="shared" ca="1" si="263"/>
        <v>1055862.4599025499</v>
      </c>
      <c r="R301" s="2">
        <f t="shared" ca="1" si="264"/>
        <v>25340699.037661199</v>
      </c>
      <c r="S301" s="2">
        <f t="shared" ca="1" si="265"/>
        <v>16893799.358440798</v>
      </c>
      <c r="T301" s="2">
        <f t="shared" ca="1" si="266"/>
        <v>48955763.200804405</v>
      </c>
      <c r="U301" s="2">
        <f t="shared" ca="1" si="267"/>
        <v>52731245.81549105</v>
      </c>
      <c r="V301" s="2">
        <f t="shared" ca="1" si="268"/>
        <v>56797894.741186544</v>
      </c>
      <c r="W301" s="2">
        <f t="shared" ca="1" si="269"/>
        <v>61178164.807993062</v>
      </c>
      <c r="X301" s="2">
        <f t="shared" ca="1" si="270"/>
        <v>65896242.569003575</v>
      </c>
      <c r="Y301" s="2">
        <f t="shared" ca="1" si="271"/>
        <v>0.13008126217849858</v>
      </c>
      <c r="Z301" s="2">
        <f t="shared" ca="1" si="272"/>
        <v>0.13411376704989802</v>
      </c>
      <c r="AA301" s="2">
        <f t="shared" ca="1" si="273"/>
        <v>6368227.4680723306</v>
      </c>
      <c r="AB301" s="2">
        <f t="shared" ca="1" si="274"/>
        <v>7071986.0175496768</v>
      </c>
      <c r="AC301" s="2">
        <f t="shared" ca="1" si="275"/>
        <v>7617379.62424412</v>
      </c>
      <c r="AD301" s="2">
        <f t="shared" ca="1" si="276"/>
        <v>8204834.1435994506</v>
      </c>
      <c r="AE301" s="2">
        <f t="shared" ca="1" si="277"/>
        <v>8837593.3253629189</v>
      </c>
      <c r="AF301" s="2">
        <f t="shared" ca="1" si="278"/>
        <v>979115.2640160881</v>
      </c>
      <c r="AG301" s="2">
        <f t="shared" ca="1" si="279"/>
        <v>1054624.916309821</v>
      </c>
      <c r="AH301" s="2">
        <f t="shared" ca="1" si="280"/>
        <v>1135957.8948237309</v>
      </c>
      <c r="AI301" s="2">
        <f t="shared" ca="1" si="281"/>
        <v>1223563.2961598614</v>
      </c>
      <c r="AJ301" s="2">
        <f t="shared" ca="1" si="282"/>
        <v>1317924.8513800716</v>
      </c>
      <c r="AK301" s="2">
        <f t="shared" ca="1" si="283"/>
        <v>0</v>
      </c>
      <c r="AL301" s="2">
        <f t="shared" ca="1" si="284"/>
        <v>37754.826146866457</v>
      </c>
      <c r="AM301" s="2">
        <f t="shared" ca="1" si="285"/>
        <v>40666.489256954941</v>
      </c>
      <c r="AN301" s="2">
        <f t="shared" ca="1" si="286"/>
        <v>43802.700668065176</v>
      </c>
      <c r="AO301" s="2">
        <f t="shared" ca="1" si="287"/>
        <v>47180.777610105128</v>
      </c>
      <c r="AP301" s="2">
        <f t="shared" ca="1" si="288"/>
        <v>2280662.9133895077</v>
      </c>
      <c r="AQ301" s="2">
        <f t="shared" ca="1" si="289"/>
        <v>808196.81557335111</v>
      </c>
      <c r="AR301" s="2">
        <f t="shared" ca="1" si="290"/>
        <v>971541.52884109074</v>
      </c>
      <c r="AS301" s="2">
        <f t="shared" ca="1" si="291"/>
        <v>1092197.2921680291</v>
      </c>
      <c r="AT301" s="2">
        <f t="shared" ca="1" si="292"/>
        <v>1222158.0628530211</v>
      </c>
      <c r="AU301" s="2">
        <f t="shared" ca="1" si="293"/>
        <v>1362141.4457542684</v>
      </c>
      <c r="AV301" s="2">
        <f t="shared" ca="1" si="294"/>
        <v>2300252.4750933833</v>
      </c>
      <c r="AW301" s="2">
        <f t="shared" ca="1" si="295"/>
        <v>2727401.8328623921</v>
      </c>
      <c r="AX301" s="2">
        <f t="shared" ca="1" si="296"/>
        <v>3067895.034605898</v>
      </c>
      <c r="AY301" s="2">
        <f t="shared" ca="1" si="297"/>
        <v>3434647.1705289949</v>
      </c>
      <c r="AZ301" s="2">
        <f t="shared" ca="1" si="298"/>
        <v>3829683.3372289659</v>
      </c>
      <c r="BA301" s="2">
        <f t="shared" ca="1" si="299"/>
        <v>67653831.73405847</v>
      </c>
      <c r="BB301" s="2">
        <f t="shared" ca="1" si="300"/>
        <v>1353076.6346811694</v>
      </c>
      <c r="BC301" s="2">
        <f t="shared" ca="1" si="301"/>
        <v>40960056.061716102</v>
      </c>
      <c r="BD301" s="2">
        <f t="shared" ca="1" si="302"/>
        <v>-18449661.818343349</v>
      </c>
      <c r="BE301" s="2">
        <f t="shared" ca="1" si="303"/>
        <v>2300252.4750933833</v>
      </c>
      <c r="BF301" s="2">
        <f t="shared" ca="1" si="304"/>
        <v>2727401.8328623921</v>
      </c>
      <c r="BG301" s="2">
        <f t="shared" ca="1" si="305"/>
        <v>3067895.034605898</v>
      </c>
      <c r="BH301" s="2">
        <f t="shared" ca="1" si="306"/>
        <v>3434647.1705289949</v>
      </c>
      <c r="BI301" s="2">
        <f t="shared" ca="1" si="307"/>
        <v>44789739.398945071</v>
      </c>
      <c r="BJ301" s="2">
        <f t="shared" ca="1" si="308"/>
        <v>0.29303402546146184</v>
      </c>
      <c r="BK301" s="2">
        <f t="shared" ca="1" si="309"/>
        <v>15559751.530607283</v>
      </c>
    </row>
    <row r="302" spans="1:63" x14ac:dyDescent="0.3">
      <c r="A302" s="2">
        <v>301</v>
      </c>
      <c r="B302" s="2">
        <f t="shared" ca="1" si="248"/>
        <v>0.41671856796792761</v>
      </c>
      <c r="C302" s="2">
        <f t="shared" ca="1" si="249"/>
        <v>6.9129277824318063</v>
      </c>
      <c r="D302" s="2">
        <f t="shared" ca="1" si="250"/>
        <v>8.4201985441442861E-2</v>
      </c>
      <c r="E302" s="2">
        <f t="shared" ca="1" si="251"/>
        <v>6.9103705287698984</v>
      </c>
      <c r="F302" s="2">
        <f t="shared" ca="1" si="252"/>
        <v>0.8892319140755256</v>
      </c>
      <c r="G302" s="2">
        <f t="shared" ca="1" si="253"/>
        <v>7.6673605501320186E-2</v>
      </c>
      <c r="H302" s="2">
        <f t="shared" ca="1" si="254"/>
        <v>7.6673605501320186E-2</v>
      </c>
      <c r="I302" s="2">
        <f t="shared" ca="1" si="255"/>
        <v>0.10137120210912653</v>
      </c>
      <c r="J302" s="2">
        <f t="shared" ca="1" si="256"/>
        <v>3.6311142333277568E-3</v>
      </c>
      <c r="K302" s="2">
        <f t="shared" ca="1" si="257"/>
        <v>3.6311142333277568E-3</v>
      </c>
      <c r="L302" s="2">
        <f t="shared" ca="1" si="258"/>
        <v>0.18964898051436185</v>
      </c>
      <c r="M302" s="2">
        <f t="shared" ca="1" si="259"/>
        <v>-1.7583811235142733E-2</v>
      </c>
      <c r="N302" s="2">
        <f t="shared" ca="1" si="260"/>
        <v>-1.7583811235142733E-2</v>
      </c>
      <c r="O302" s="2">
        <f t="shared" si="261"/>
        <v>6000000</v>
      </c>
      <c r="P302" s="2">
        <f t="shared" ca="1" si="262"/>
        <v>41477566.694590837</v>
      </c>
      <c r="Q302" s="2">
        <f t="shared" ca="1" si="263"/>
        <v>1036939.167364771</v>
      </c>
      <c r="R302" s="2">
        <f t="shared" ca="1" si="264"/>
        <v>24886540.016754501</v>
      </c>
      <c r="S302" s="2">
        <f t="shared" ca="1" si="265"/>
        <v>16591026.677836336</v>
      </c>
      <c r="T302" s="2">
        <f t="shared" ca="1" si="266"/>
        <v>49120809.43824286</v>
      </c>
      <c r="U302" s="2">
        <f t="shared" ca="1" si="267"/>
        <v>52887079.003016219</v>
      </c>
      <c r="V302" s="2">
        <f t="shared" ca="1" si="268"/>
        <v>56942122.034610637</v>
      </c>
      <c r="W302" s="2">
        <f t="shared" ca="1" si="269"/>
        <v>61308079.835900404</v>
      </c>
      <c r="X302" s="2">
        <f t="shared" ca="1" si="270"/>
        <v>66008791.363281675</v>
      </c>
      <c r="Y302" s="2">
        <f t="shared" ca="1" si="271"/>
        <v>0.12181555711666388</v>
      </c>
      <c r="Z302" s="2">
        <f t="shared" ca="1" si="272"/>
        <v>0.12254177996332942</v>
      </c>
      <c r="AA302" s="2">
        <f t="shared" ca="1" si="273"/>
        <v>5983678.7677410357</v>
      </c>
      <c r="AB302" s="2">
        <f t="shared" ca="1" si="274"/>
        <v>6480876.7980908332</v>
      </c>
      <c r="AC302" s="2">
        <f t="shared" ca="1" si="275"/>
        <v>6977788.9890103079</v>
      </c>
      <c r="AD302" s="2">
        <f t="shared" ca="1" si="276"/>
        <v>7512801.2292251401</v>
      </c>
      <c r="AE302" s="2">
        <f t="shared" ca="1" si="277"/>
        <v>8088834.7868845826</v>
      </c>
      <c r="AF302" s="2">
        <f t="shared" ca="1" si="278"/>
        <v>982416.18876485724</v>
      </c>
      <c r="AG302" s="2">
        <f t="shared" ca="1" si="279"/>
        <v>1057741.5800603244</v>
      </c>
      <c r="AH302" s="2">
        <f t="shared" ca="1" si="280"/>
        <v>1138842.4406922127</v>
      </c>
      <c r="AI302" s="2">
        <f t="shared" ca="1" si="281"/>
        <v>1226161.5967180082</v>
      </c>
      <c r="AJ302" s="2">
        <f t="shared" ca="1" si="282"/>
        <v>1320175.8272656335</v>
      </c>
      <c r="AK302" s="2">
        <f t="shared" ca="1" si="283"/>
        <v>0</v>
      </c>
      <c r="AL302" s="2">
        <f t="shared" ca="1" si="284"/>
        <v>37662.695647733584</v>
      </c>
      <c r="AM302" s="2">
        <f t="shared" ca="1" si="285"/>
        <v>40550.430315944184</v>
      </c>
      <c r="AN302" s="2">
        <f t="shared" ca="1" si="286"/>
        <v>43659.578012897669</v>
      </c>
      <c r="AO302" s="2">
        <f t="shared" ca="1" si="287"/>
        <v>47007.115273812713</v>
      </c>
      <c r="AP302" s="2">
        <f t="shared" ca="1" si="288"/>
        <v>2239788.6015079049</v>
      </c>
      <c r="AQ302" s="2">
        <f t="shared" ca="1" si="289"/>
        <v>717983.23414175119</v>
      </c>
      <c r="AR302" s="2">
        <f t="shared" ca="1" si="290"/>
        <v>827670.12029587699</v>
      </c>
      <c r="AS302" s="2">
        <f t="shared" ca="1" si="291"/>
        <v>935781.0661706496</v>
      </c>
      <c r="AT302" s="2">
        <f t="shared" ca="1" si="292"/>
        <v>1052181.2680597992</v>
      </c>
      <c r="AU302" s="2">
        <f t="shared" ca="1" si="293"/>
        <v>1177506.2931088717</v>
      </c>
      <c r="AV302" s="2">
        <f t="shared" ca="1" si="294"/>
        <v>2043490.7433265224</v>
      </c>
      <c r="AW302" s="2">
        <f t="shared" ca="1" si="295"/>
        <v>2318013.8005789937</v>
      </c>
      <c r="AX302" s="2">
        <f t="shared" ca="1" si="296"/>
        <v>2622826.4503235966</v>
      </c>
      <c r="AY302" s="2">
        <f t="shared" ca="1" si="297"/>
        <v>2951010.1849265303</v>
      </c>
      <c r="AZ302" s="2">
        <f t="shared" ca="1" si="298"/>
        <v>3304356.9497283595</v>
      </c>
      <c r="BA302" s="2">
        <f t="shared" ca="1" si="299"/>
        <v>55896845.523375958</v>
      </c>
      <c r="BB302" s="2">
        <f t="shared" ca="1" si="300"/>
        <v>1117936.9104675192</v>
      </c>
      <c r="BC302" s="2">
        <f t="shared" ca="1" si="301"/>
        <v>29892368.596153937</v>
      </c>
      <c r="BD302" s="2">
        <f t="shared" ca="1" si="302"/>
        <v>-18127965.845201109</v>
      </c>
      <c r="BE302" s="2">
        <f t="shared" ca="1" si="303"/>
        <v>2043490.7433265224</v>
      </c>
      <c r="BF302" s="2">
        <f t="shared" ca="1" si="304"/>
        <v>2318013.8005789937</v>
      </c>
      <c r="BG302" s="2">
        <f t="shared" ca="1" si="305"/>
        <v>2622826.4503235966</v>
      </c>
      <c r="BH302" s="2">
        <f t="shared" ca="1" si="306"/>
        <v>2951010.1849265303</v>
      </c>
      <c r="BI302" s="2">
        <f t="shared" ca="1" si="307"/>
        <v>33196725.545882296</v>
      </c>
      <c r="BJ302" s="2">
        <f t="shared" ca="1" si="308"/>
        <v>0.22264800534583218</v>
      </c>
      <c r="BK302" s="2">
        <f t="shared" ca="1" si="309"/>
        <v>8123495.8507545553</v>
      </c>
    </row>
    <row r="303" spans="1:63" x14ac:dyDescent="0.3">
      <c r="A303" s="2">
        <v>302</v>
      </c>
      <c r="B303" s="2">
        <f t="shared" ca="1" si="248"/>
        <v>0.41838936594559417</v>
      </c>
      <c r="C303" s="2">
        <f t="shared" ca="1" si="249"/>
        <v>6.9147561051401558</v>
      </c>
      <c r="D303" s="2">
        <f t="shared" ca="1" si="250"/>
        <v>0.27668531419938303</v>
      </c>
      <c r="E303" s="2">
        <f t="shared" ca="1" si="251"/>
        <v>7.2438888548693052</v>
      </c>
      <c r="F303" s="2">
        <f t="shared" ca="1" si="252"/>
        <v>0.70746261078518591</v>
      </c>
      <c r="G303" s="2">
        <f t="shared" ca="1" si="253"/>
        <v>5.6379614142481119E-2</v>
      </c>
      <c r="H303" s="2">
        <f t="shared" ca="1" si="254"/>
        <v>5.6379614142481119E-2</v>
      </c>
      <c r="I303" s="2">
        <f t="shared" ca="1" si="255"/>
        <v>0.41315765982069885</v>
      </c>
      <c r="J303" s="2">
        <f t="shared" ca="1" si="256"/>
        <v>8.9028513919656976E-3</v>
      </c>
      <c r="K303" s="2">
        <f t="shared" ca="1" si="257"/>
        <v>8.9028513919656976E-3</v>
      </c>
      <c r="L303" s="2">
        <f t="shared" ca="1" si="258"/>
        <v>0.48790407491350851</v>
      </c>
      <c r="M303" s="2">
        <f t="shared" ca="1" si="259"/>
        <v>-6.0649269721612276E-4</v>
      </c>
      <c r="N303" s="2">
        <f t="shared" ca="1" si="260"/>
        <v>-6.0649269721612276E-4</v>
      </c>
      <c r="O303" s="2">
        <f t="shared" si="261"/>
        <v>6000000</v>
      </c>
      <c r="P303" s="2">
        <f t="shared" ca="1" si="262"/>
        <v>41488536.630840935</v>
      </c>
      <c r="Q303" s="2">
        <f t="shared" ca="1" si="263"/>
        <v>1037213.4157710234</v>
      </c>
      <c r="R303" s="2">
        <f t="shared" ca="1" si="264"/>
        <v>24893121.978504561</v>
      </c>
      <c r="S303" s="2">
        <f t="shared" ca="1" si="265"/>
        <v>16595414.652336374</v>
      </c>
      <c r="T303" s="2">
        <f t="shared" ca="1" si="266"/>
        <v>49969675.365139194</v>
      </c>
      <c r="U303" s="2">
        <f t="shared" ca="1" si="267"/>
        <v>52786946.38105078</v>
      </c>
      <c r="V303" s="2">
        <f t="shared" ca="1" si="268"/>
        <v>55763054.049774259</v>
      </c>
      <c r="W303" s="2">
        <f t="shared" ca="1" si="269"/>
        <v>58906953.520506844</v>
      </c>
      <c r="X303" s="2">
        <f t="shared" ca="1" si="270"/>
        <v>62228104.830302082</v>
      </c>
      <c r="Y303" s="2">
        <f t="shared" ca="1" si="271"/>
        <v>0.12445142569598285</v>
      </c>
      <c r="Z303" s="2">
        <f t="shared" ca="1" si="272"/>
        <v>0.12623199597437598</v>
      </c>
      <c r="AA303" s="2">
        <f t="shared" ca="1" si="273"/>
        <v>6218797.3407570049</v>
      </c>
      <c r="AB303" s="2">
        <f t="shared" ca="1" si="274"/>
        <v>6663401.603072403</v>
      </c>
      <c r="AC303" s="2">
        <f t="shared" ca="1" si="275"/>
        <v>7039081.6143300142</v>
      </c>
      <c r="AD303" s="2">
        <f t="shared" ca="1" si="276"/>
        <v>7435942.3196633728</v>
      </c>
      <c r="AE303" s="2">
        <f t="shared" ca="1" si="277"/>
        <v>7855177.8784317393</v>
      </c>
      <c r="AF303" s="2">
        <f t="shared" ca="1" si="278"/>
        <v>999393.5073027839</v>
      </c>
      <c r="AG303" s="2">
        <f t="shared" ca="1" si="279"/>
        <v>1055738.9276210156</v>
      </c>
      <c r="AH303" s="2">
        <f t="shared" ca="1" si="280"/>
        <v>1115261.0809954852</v>
      </c>
      <c r="AI303" s="2">
        <f t="shared" ca="1" si="281"/>
        <v>1178139.0704101368</v>
      </c>
      <c r="AJ303" s="2">
        <f t="shared" ca="1" si="282"/>
        <v>1244562.0966060418</v>
      </c>
      <c r="AK303" s="2">
        <f t="shared" ca="1" si="283"/>
        <v>0</v>
      </c>
      <c r="AL303" s="2">
        <f t="shared" ca="1" si="284"/>
        <v>28172.710159115868</v>
      </c>
      <c r="AM303" s="2">
        <f t="shared" ca="1" si="285"/>
        <v>29761.076687234789</v>
      </c>
      <c r="AN303" s="2">
        <f t="shared" ca="1" si="286"/>
        <v>31438.994707325848</v>
      </c>
      <c r="AO303" s="2">
        <f t="shared" ca="1" si="287"/>
        <v>33211.513097952382</v>
      </c>
      <c r="AP303" s="2">
        <f t="shared" ca="1" si="288"/>
        <v>2240380.9780654106</v>
      </c>
      <c r="AQ303" s="2">
        <f t="shared" ca="1" si="289"/>
        <v>774545.94240109087</v>
      </c>
      <c r="AR303" s="2">
        <f t="shared" ca="1" si="290"/>
        <v>875493.24132035405</v>
      </c>
      <c r="AS303" s="2">
        <f t="shared" ca="1" si="291"/>
        <v>957694.28436997079</v>
      </c>
      <c r="AT303" s="2">
        <f t="shared" ca="1" si="292"/>
        <v>1044529.7905088345</v>
      </c>
      <c r="AU303" s="2">
        <f t="shared" ca="1" si="293"/>
        <v>1136261.0489776745</v>
      </c>
      <c r="AV303" s="2">
        <f t="shared" ca="1" si="294"/>
        <v>2204476.9129877202</v>
      </c>
      <c r="AW303" s="2">
        <f t="shared" ca="1" si="295"/>
        <v>2463615.7459065076</v>
      </c>
      <c r="AX303" s="2">
        <f t="shared" ca="1" si="296"/>
        <v>2695984.1942119133</v>
      </c>
      <c r="AY303" s="2">
        <f t="shared" ca="1" si="297"/>
        <v>2941453.485971665</v>
      </c>
      <c r="AZ303" s="2">
        <f t="shared" ca="1" si="298"/>
        <v>3200762.2416846603</v>
      </c>
      <c r="BA303" s="2">
        <f t="shared" ca="1" si="299"/>
        <v>56902035.486587591</v>
      </c>
      <c r="BB303" s="2">
        <f t="shared" ca="1" si="300"/>
        <v>1138040.7097317518</v>
      </c>
      <c r="BC303" s="2">
        <f t="shared" ca="1" si="301"/>
        <v>30870872.79835128</v>
      </c>
      <c r="BD303" s="2">
        <f t="shared" ca="1" si="302"/>
        <v>-18132628.068107396</v>
      </c>
      <c r="BE303" s="2">
        <f t="shared" ca="1" si="303"/>
        <v>2204476.9129877202</v>
      </c>
      <c r="BF303" s="2">
        <f t="shared" ca="1" si="304"/>
        <v>2463615.7459065076</v>
      </c>
      <c r="BG303" s="2">
        <f t="shared" ca="1" si="305"/>
        <v>2695984.1942119133</v>
      </c>
      <c r="BH303" s="2">
        <f t="shared" ca="1" si="306"/>
        <v>2941453.485971665</v>
      </c>
      <c r="BI303" s="2">
        <f t="shared" ca="1" si="307"/>
        <v>34071635.040035941</v>
      </c>
      <c r="BJ303" s="2">
        <f t="shared" ca="1" si="308"/>
        <v>0.23204529891364434</v>
      </c>
      <c r="BK303" s="2">
        <f t="shared" ca="1" si="309"/>
        <v>8921090.18413065</v>
      </c>
    </row>
    <row r="304" spans="1:63" x14ac:dyDescent="0.3">
      <c r="A304" s="2">
        <v>303</v>
      </c>
      <c r="B304" s="2">
        <f t="shared" ca="1" si="248"/>
        <v>9.8354830192053599E-2</v>
      </c>
      <c r="C304" s="2">
        <f t="shared" ca="1" si="249"/>
        <v>6.4435196279581177</v>
      </c>
      <c r="D304" s="2">
        <f t="shared" ca="1" si="250"/>
        <v>0.28545134635532388</v>
      </c>
      <c r="E304" s="2">
        <f t="shared" ca="1" si="251"/>
        <v>7.2555810298774368</v>
      </c>
      <c r="F304" s="2">
        <f t="shared" ca="1" si="252"/>
        <v>0.64993199281128222</v>
      </c>
      <c r="G304" s="2">
        <f t="shared" ca="1" si="253"/>
        <v>5.1554106030589027E-2</v>
      </c>
      <c r="H304" s="2">
        <f t="shared" ca="1" si="254"/>
        <v>5.1554106030589027E-2</v>
      </c>
      <c r="I304" s="2">
        <f t="shared" ca="1" si="255"/>
        <v>0.9959821218792283</v>
      </c>
      <c r="J304" s="2">
        <f t="shared" ca="1" si="256"/>
        <v>2.3252818711662872E-2</v>
      </c>
      <c r="K304" s="2">
        <f t="shared" ca="1" si="257"/>
        <v>2.3252818711662872E-2</v>
      </c>
      <c r="L304" s="2">
        <f t="shared" ca="1" si="258"/>
        <v>0.81825606242236304</v>
      </c>
      <c r="M304" s="2">
        <f t="shared" ca="1" si="259"/>
        <v>1.8174781416694052E-2</v>
      </c>
      <c r="N304" s="2">
        <f t="shared" ca="1" si="260"/>
        <v>1.8174781416694052E-2</v>
      </c>
      <c r="O304" s="2">
        <f t="shared" si="261"/>
        <v>6000000</v>
      </c>
      <c r="P304" s="2">
        <f t="shared" ca="1" si="262"/>
        <v>38661117.767748706</v>
      </c>
      <c r="Q304" s="2">
        <f t="shared" ca="1" si="263"/>
        <v>966527.94419371767</v>
      </c>
      <c r="R304" s="2">
        <f t="shared" ca="1" si="264"/>
        <v>23196670.660649221</v>
      </c>
      <c r="S304" s="2">
        <f t="shared" ca="1" si="265"/>
        <v>15464447.107099483</v>
      </c>
      <c r="T304" s="2">
        <f t="shared" ca="1" si="266"/>
        <v>50908739.070834711</v>
      </c>
      <c r="U304" s="2">
        <f t="shared" ca="1" si="267"/>
        <v>53533293.602776118</v>
      </c>
      <c r="V304" s="2">
        <f t="shared" ca="1" si="268"/>
        <v>56293154.697340295</v>
      </c>
      <c r="W304" s="2">
        <f t="shared" ca="1" si="269"/>
        <v>59195297.963403329</v>
      </c>
      <c r="X304" s="2">
        <f t="shared" ca="1" si="270"/>
        <v>62247058.631120935</v>
      </c>
      <c r="Y304" s="2">
        <f t="shared" ca="1" si="271"/>
        <v>0.13162640935583142</v>
      </c>
      <c r="Z304" s="2">
        <f t="shared" ca="1" si="272"/>
        <v>0.136276973098164</v>
      </c>
      <c r="AA304" s="2">
        <f t="shared" ca="1" si="273"/>
        <v>6700934.5287268981</v>
      </c>
      <c r="AB304" s="2">
        <f t="shared" ca="1" si="274"/>
        <v>7295355.212161636</v>
      </c>
      <c r="AC304" s="2">
        <f t="shared" ca="1" si="275"/>
        <v>7671460.7283002278</v>
      </c>
      <c r="AD304" s="2">
        <f t="shared" ca="1" si="276"/>
        <v>8066956.0280965175</v>
      </c>
      <c r="AE304" s="2">
        <f t="shared" ca="1" si="277"/>
        <v>8482840.7345131058</v>
      </c>
      <c r="AF304" s="2">
        <f t="shared" ca="1" si="278"/>
        <v>1018174.7814166943</v>
      </c>
      <c r="AG304" s="2">
        <f t="shared" ca="1" si="279"/>
        <v>1070665.8720555224</v>
      </c>
      <c r="AH304" s="2">
        <f t="shared" ca="1" si="280"/>
        <v>1125863.0939468059</v>
      </c>
      <c r="AI304" s="2">
        <f t="shared" ca="1" si="281"/>
        <v>1183905.9592680666</v>
      </c>
      <c r="AJ304" s="2">
        <f t="shared" ca="1" si="282"/>
        <v>1244941.1726224187</v>
      </c>
      <c r="AK304" s="2">
        <f t="shared" ca="1" si="283"/>
        <v>0</v>
      </c>
      <c r="AL304" s="2">
        <f t="shared" ca="1" si="284"/>
        <v>26245.545319414065</v>
      </c>
      <c r="AM304" s="2">
        <f t="shared" ca="1" si="285"/>
        <v>27598.610945641773</v>
      </c>
      <c r="AN304" s="2">
        <f t="shared" ca="1" si="286"/>
        <v>29021.432660630348</v>
      </c>
      <c r="AO304" s="2">
        <f t="shared" ca="1" si="287"/>
        <v>30517.60667717606</v>
      </c>
      <c r="AP304" s="2">
        <f t="shared" ca="1" si="288"/>
        <v>2087700.3594584297</v>
      </c>
      <c r="AQ304" s="2">
        <f t="shared" ca="1" si="289"/>
        <v>934715.44084146118</v>
      </c>
      <c r="AR304" s="2">
        <f t="shared" ca="1" si="290"/>
        <v>1075617.1349683979</v>
      </c>
      <c r="AS304" s="2">
        <f t="shared" ca="1" si="291"/>
        <v>1159053.2914726979</v>
      </c>
      <c r="AT304" s="2">
        <f t="shared" ca="1" si="292"/>
        <v>1246790.9244362055</v>
      </c>
      <c r="AU304" s="2">
        <f t="shared" ca="1" si="293"/>
        <v>1339051.7926323868</v>
      </c>
      <c r="AV304" s="2">
        <f t="shared" ca="1" si="294"/>
        <v>2660343.9470103122</v>
      </c>
      <c r="AW304" s="2">
        <f t="shared" ca="1" si="295"/>
        <v>3035126.3003598722</v>
      </c>
      <c r="AX304" s="2">
        <f t="shared" ca="1" si="296"/>
        <v>3271245.3724766523</v>
      </c>
      <c r="AY304" s="2">
        <f t="shared" ca="1" si="297"/>
        <v>3519537.3522731848</v>
      </c>
      <c r="AZ304" s="2">
        <f t="shared" ca="1" si="298"/>
        <v>3780629.8031226937</v>
      </c>
      <c r="BA304" s="2">
        <f t="shared" ca="1" si="299"/>
        <v>61547938.31280487</v>
      </c>
      <c r="BB304" s="2">
        <f t="shared" ca="1" si="300"/>
        <v>1230958.7662560975</v>
      </c>
      <c r="BC304" s="2">
        <f t="shared" ca="1" si="301"/>
        <v>37120308.885899559</v>
      </c>
      <c r="BD304" s="2">
        <f t="shared" ca="1" si="302"/>
        <v>-16930975.051293202</v>
      </c>
      <c r="BE304" s="2">
        <f t="shared" ca="1" si="303"/>
        <v>2660343.9470103122</v>
      </c>
      <c r="BF304" s="2">
        <f t="shared" ca="1" si="304"/>
        <v>3035126.3003598722</v>
      </c>
      <c r="BG304" s="2">
        <f t="shared" ca="1" si="305"/>
        <v>3271245.3724766523</v>
      </c>
      <c r="BH304" s="2">
        <f t="shared" ca="1" si="306"/>
        <v>3519537.3522731848</v>
      </c>
      <c r="BI304" s="2">
        <f t="shared" ca="1" si="307"/>
        <v>40900938.68902225</v>
      </c>
      <c r="BJ304" s="2">
        <f t="shared" ca="1" si="308"/>
        <v>0.31234014181238501</v>
      </c>
      <c r="BK304" s="2">
        <f t="shared" ca="1" si="309"/>
        <v>15637344.64161437</v>
      </c>
    </row>
    <row r="305" spans="1:63" x14ac:dyDescent="0.3">
      <c r="A305" s="2">
        <v>304</v>
      </c>
      <c r="B305" s="2">
        <f t="shared" ca="1" si="248"/>
        <v>0.25722386473172898</v>
      </c>
      <c r="C305" s="2">
        <f t="shared" ca="1" si="249"/>
        <v>6.7172501163913871</v>
      </c>
      <c r="D305" s="2">
        <f t="shared" ca="1" si="250"/>
        <v>0.24178924219054565</v>
      </c>
      <c r="E305" s="2">
        <f t="shared" ca="1" si="251"/>
        <v>7.1953980761988712</v>
      </c>
      <c r="F305" s="2">
        <f t="shared" ca="1" si="252"/>
        <v>0.81120494991687919</v>
      </c>
      <c r="G305" s="2">
        <f t="shared" ca="1" si="253"/>
        <v>6.6470359343340668E-2</v>
      </c>
      <c r="H305" s="2">
        <f t="shared" ca="1" si="254"/>
        <v>6.6470359343340668E-2</v>
      </c>
      <c r="I305" s="2">
        <f t="shared" ca="1" si="255"/>
        <v>0.94892221093013196</v>
      </c>
      <c r="J305" s="2">
        <f t="shared" ca="1" si="256"/>
        <v>1.8172460155834479E-2</v>
      </c>
      <c r="K305" s="2">
        <f t="shared" ca="1" si="257"/>
        <v>1.8172460155834479E-2</v>
      </c>
      <c r="L305" s="2">
        <f t="shared" ca="1" si="258"/>
        <v>0.23542509048575155</v>
      </c>
      <c r="M305" s="2">
        <f t="shared" ca="1" si="259"/>
        <v>-1.4421928808025062E-2</v>
      </c>
      <c r="N305" s="2">
        <f t="shared" ca="1" si="260"/>
        <v>-1.4421928808025062E-2</v>
      </c>
      <c r="O305" s="2">
        <f t="shared" si="261"/>
        <v>6000000</v>
      </c>
      <c r="P305" s="2">
        <f t="shared" ca="1" si="262"/>
        <v>40303500.698348321</v>
      </c>
      <c r="Q305" s="2">
        <f t="shared" ca="1" si="263"/>
        <v>1007587.517458708</v>
      </c>
      <c r="R305" s="2">
        <f t="shared" ca="1" si="264"/>
        <v>24182100.419008993</v>
      </c>
      <c r="S305" s="2">
        <f t="shared" ca="1" si="265"/>
        <v>16121400.279339328</v>
      </c>
      <c r="T305" s="2">
        <f t="shared" ca="1" si="266"/>
        <v>49278903.559598744</v>
      </c>
      <c r="U305" s="2">
        <f t="shared" ca="1" si="267"/>
        <v>52554489.987251103</v>
      </c>
      <c r="V305" s="2">
        <f t="shared" ca="1" si="268"/>
        <v>56047805.821809679</v>
      </c>
      <c r="W305" s="2">
        <f t="shared" ca="1" si="269"/>
        <v>59773323.615191147</v>
      </c>
      <c r="X305" s="2">
        <f t="shared" ca="1" si="270"/>
        <v>63746477.91503869</v>
      </c>
      <c r="Y305" s="2">
        <f t="shared" ca="1" si="271"/>
        <v>0.12908623007791722</v>
      </c>
      <c r="Z305" s="2">
        <f t="shared" ca="1" si="272"/>
        <v>0.13272072210908414</v>
      </c>
      <c r="AA305" s="2">
        <f t="shared" ca="1" si="273"/>
        <v>6361227.8828818575</v>
      </c>
      <c r="AB305" s="2">
        <f t="shared" ca="1" si="274"/>
        <v>6975069.8611825984</v>
      </c>
      <c r="AC305" s="2">
        <f t="shared" ca="1" si="275"/>
        <v>7438705.2613003105</v>
      </c>
      <c r="AD305" s="2">
        <f t="shared" ca="1" si="276"/>
        <v>7933158.6730681406</v>
      </c>
      <c r="AE305" s="2">
        <f t="shared" ca="1" si="277"/>
        <v>8460478.58079472</v>
      </c>
      <c r="AF305" s="2">
        <f t="shared" ca="1" si="278"/>
        <v>985578.07119197492</v>
      </c>
      <c r="AG305" s="2">
        <f t="shared" ca="1" si="279"/>
        <v>1051089.7997450221</v>
      </c>
      <c r="AH305" s="2">
        <f t="shared" ca="1" si="280"/>
        <v>1120956.1164361937</v>
      </c>
      <c r="AI305" s="2">
        <f t="shared" ca="1" si="281"/>
        <v>1195466.4723038229</v>
      </c>
      <c r="AJ305" s="2">
        <f t="shared" ca="1" si="282"/>
        <v>1274929.5583007738</v>
      </c>
      <c r="AK305" s="2">
        <f t="shared" ca="1" si="283"/>
        <v>0</v>
      </c>
      <c r="AL305" s="2">
        <f t="shared" ca="1" si="284"/>
        <v>32755.864276523589</v>
      </c>
      <c r="AM305" s="2">
        <f t="shared" ca="1" si="285"/>
        <v>34933.158345585762</v>
      </c>
      <c r="AN305" s="2">
        <f t="shared" ca="1" si="286"/>
        <v>37255.177933814673</v>
      </c>
      <c r="AO305" s="2">
        <f t="shared" ca="1" si="287"/>
        <v>39731.54299847543</v>
      </c>
      <c r="AP305" s="2">
        <f t="shared" ca="1" si="288"/>
        <v>2176389.0377108091</v>
      </c>
      <c r="AQ305" s="2">
        <f t="shared" ca="1" si="289"/>
        <v>831807.80123455916</v>
      </c>
      <c r="AR305" s="2">
        <f t="shared" ca="1" si="290"/>
        <v>974373.66616895946</v>
      </c>
      <c r="AS305" s="2">
        <f t="shared" ca="1" si="291"/>
        <v>1076753.62785986</v>
      </c>
      <c r="AT305" s="2">
        <f t="shared" ca="1" si="292"/>
        <v>1185938.8223939124</v>
      </c>
      <c r="AU305" s="2">
        <f t="shared" ca="1" si="293"/>
        <v>1302381.5960436158</v>
      </c>
      <c r="AV305" s="2">
        <f t="shared" ca="1" si="294"/>
        <v>2367452.9727445142</v>
      </c>
      <c r="AW305" s="2">
        <f t="shared" ca="1" si="295"/>
        <v>2740461.4932812834</v>
      </c>
      <c r="AX305" s="2">
        <f t="shared" ca="1" si="296"/>
        <v>3029673.3209478622</v>
      </c>
      <c r="AY305" s="2">
        <f t="shared" ca="1" si="297"/>
        <v>3338109.1627257811</v>
      </c>
      <c r="AZ305" s="2">
        <f t="shared" ca="1" si="298"/>
        <v>3667046.8457410466</v>
      </c>
      <c r="BA305" s="2">
        <f t="shared" ca="1" si="299"/>
        <v>60876511.30397208</v>
      </c>
      <c r="BB305" s="2">
        <f t="shared" ca="1" si="300"/>
        <v>1217530.2260794416</v>
      </c>
      <c r="BC305" s="2">
        <f t="shared" ca="1" si="301"/>
        <v>35476880.658883646</v>
      </c>
      <c r="BD305" s="2">
        <f t="shared" ca="1" si="302"/>
        <v>-17628987.796798036</v>
      </c>
      <c r="BE305" s="2">
        <f t="shared" ca="1" si="303"/>
        <v>2367452.9727445142</v>
      </c>
      <c r="BF305" s="2">
        <f t="shared" ca="1" si="304"/>
        <v>2740461.4932812834</v>
      </c>
      <c r="BG305" s="2">
        <f t="shared" ca="1" si="305"/>
        <v>3029673.3209478622</v>
      </c>
      <c r="BH305" s="2">
        <f t="shared" ca="1" si="306"/>
        <v>3338109.1627257811</v>
      </c>
      <c r="BI305" s="2">
        <f t="shared" ca="1" si="307"/>
        <v>39143927.504624695</v>
      </c>
      <c r="BJ305" s="2">
        <f t="shared" ca="1" si="308"/>
        <v>0.27953148952944762</v>
      </c>
      <c r="BK305" s="2">
        <f t="shared" ca="1" si="309"/>
        <v>13158694.676608425</v>
      </c>
    </row>
    <row r="306" spans="1:63" x14ac:dyDescent="0.3">
      <c r="A306" s="2">
        <v>305</v>
      </c>
      <c r="B306" s="2">
        <f t="shared" ca="1" si="248"/>
        <v>0.4543310291011694</v>
      </c>
      <c r="C306" s="2">
        <f t="shared" ca="1" si="249"/>
        <v>6.953237671413766</v>
      </c>
      <c r="D306" s="2">
        <f t="shared" ca="1" si="250"/>
        <v>0.97100541828969511</v>
      </c>
      <c r="E306" s="2">
        <f t="shared" ca="1" si="251"/>
        <v>8.2591906076985158</v>
      </c>
      <c r="F306" s="2">
        <f t="shared" ca="1" si="252"/>
        <v>0.31599526070271111</v>
      </c>
      <c r="G306" s="2">
        <f t="shared" ca="1" si="253"/>
        <v>2.563218827947206E-2</v>
      </c>
      <c r="H306" s="2">
        <f t="shared" ca="1" si="254"/>
        <v>2.563218827947206E-2</v>
      </c>
      <c r="I306" s="2">
        <f t="shared" ca="1" si="255"/>
        <v>0.75793613551936534</v>
      </c>
      <c r="J306" s="2">
        <f t="shared" ca="1" si="256"/>
        <v>1.3498395520539538E-2</v>
      </c>
      <c r="K306" s="2">
        <f t="shared" ca="1" si="257"/>
        <v>1.3498395520539538E-2</v>
      </c>
      <c r="L306" s="2">
        <f t="shared" ca="1" si="258"/>
        <v>0.14372823695036852</v>
      </c>
      <c r="M306" s="2">
        <f t="shared" ca="1" si="259"/>
        <v>-2.1274359728525045E-2</v>
      </c>
      <c r="N306" s="2">
        <f t="shared" ca="1" si="260"/>
        <v>-2.1274359728525045E-2</v>
      </c>
      <c r="O306" s="2">
        <f t="shared" si="261"/>
        <v>6000000</v>
      </c>
      <c r="P306" s="2">
        <f t="shared" ca="1" si="262"/>
        <v>41719426.028482594</v>
      </c>
      <c r="Q306" s="2">
        <f t="shared" ca="1" si="263"/>
        <v>1042985.6507120649</v>
      </c>
      <c r="R306" s="2">
        <f t="shared" ca="1" si="264"/>
        <v>25031655.617089555</v>
      </c>
      <c r="S306" s="2">
        <f t="shared" ca="1" si="265"/>
        <v>16687770.411393039</v>
      </c>
      <c r="T306" s="2">
        <f t="shared" ca="1" si="266"/>
        <v>48936282.013573743</v>
      </c>
      <c r="U306" s="2">
        <f t="shared" ca="1" si="267"/>
        <v>50190626.00784301</v>
      </c>
      <c r="V306" s="2">
        <f t="shared" ca="1" si="268"/>
        <v>51477121.583540611</v>
      </c>
      <c r="W306" s="2">
        <f t="shared" ca="1" si="269"/>
        <v>52796592.8560552</v>
      </c>
      <c r="X306" s="2">
        <f t="shared" ca="1" si="270"/>
        <v>54149885.064656243</v>
      </c>
      <c r="Y306" s="2">
        <f t="shared" ca="1" si="271"/>
        <v>0.12674919776026977</v>
      </c>
      <c r="Z306" s="2">
        <f t="shared" ca="1" si="272"/>
        <v>0.12944887686437767</v>
      </c>
      <c r="AA306" s="2">
        <f t="shared" ca="1" si="273"/>
        <v>6202634.4865907915</v>
      </c>
      <c r="AB306" s="2">
        <f t="shared" ca="1" si="274"/>
        <v>6497120.1658353014</v>
      </c>
      <c r="AC306" s="2">
        <f t="shared" ca="1" si="275"/>
        <v>6663655.5732003469</v>
      </c>
      <c r="AD306" s="2">
        <f t="shared" ca="1" si="276"/>
        <v>6834459.6474821717</v>
      </c>
      <c r="AE306" s="2">
        <f t="shared" ca="1" si="277"/>
        <v>7009641.8039548891</v>
      </c>
      <c r="AF306" s="2">
        <f t="shared" ca="1" si="278"/>
        <v>978725.64027147484</v>
      </c>
      <c r="AG306" s="2">
        <f t="shared" ca="1" si="279"/>
        <v>1003812.5201568602</v>
      </c>
      <c r="AH306" s="2">
        <f t="shared" ca="1" si="280"/>
        <v>1029542.4316708122</v>
      </c>
      <c r="AI306" s="2">
        <f t="shared" ca="1" si="281"/>
        <v>1055931.8571211039</v>
      </c>
      <c r="AJ306" s="2">
        <f t="shared" ca="1" si="282"/>
        <v>1082997.7012931248</v>
      </c>
      <c r="AK306" s="2">
        <f t="shared" ca="1" si="283"/>
        <v>0</v>
      </c>
      <c r="AL306" s="2">
        <f t="shared" ca="1" si="284"/>
        <v>12543.439942692668</v>
      </c>
      <c r="AM306" s="2">
        <f t="shared" ca="1" si="285"/>
        <v>12864.955756976009</v>
      </c>
      <c r="AN306" s="2">
        <f t="shared" ca="1" si="286"/>
        <v>13194.712725145891</v>
      </c>
      <c r="AO306" s="2">
        <f t="shared" ca="1" si="287"/>
        <v>13532.922086010427</v>
      </c>
      <c r="AP306" s="2">
        <f t="shared" ca="1" si="288"/>
        <v>2252849.0055380599</v>
      </c>
      <c r="AQ306" s="2">
        <f t="shared" ca="1" si="289"/>
        <v>772475.5586031269</v>
      </c>
      <c r="AR306" s="2">
        <f t="shared" ca="1" si="290"/>
        <v>842519.24643649918</v>
      </c>
      <c r="AS306" s="2">
        <f t="shared" ca="1" si="291"/>
        <v>879128.67535778356</v>
      </c>
      <c r="AT306" s="2">
        <f t="shared" ca="1" si="292"/>
        <v>916676.48405398196</v>
      </c>
      <c r="AU306" s="2">
        <f t="shared" ca="1" si="293"/>
        <v>955186.72525216313</v>
      </c>
      <c r="AV306" s="2">
        <f t="shared" ca="1" si="294"/>
        <v>2198584.2821781305</v>
      </c>
      <c r="AW306" s="2">
        <f t="shared" ca="1" si="295"/>
        <v>2385395.9537611897</v>
      </c>
      <c r="AX306" s="2">
        <f t="shared" ca="1" si="296"/>
        <v>2489270.5048767156</v>
      </c>
      <c r="AY306" s="2">
        <f t="shared" ca="1" si="297"/>
        <v>2595807.5880438793</v>
      </c>
      <c r="AZ306" s="2">
        <f t="shared" ca="1" si="298"/>
        <v>2705075.4497855301</v>
      </c>
      <c r="BA306" s="2">
        <f t="shared" ca="1" si="299"/>
        <v>57893967.750555098</v>
      </c>
      <c r="BB306" s="2">
        <f t="shared" ca="1" si="300"/>
        <v>1157879.355011102</v>
      </c>
      <c r="BC306" s="2">
        <f t="shared" ca="1" si="301"/>
        <v>31704432.778454442</v>
      </c>
      <c r="BD306" s="2">
        <f t="shared" ca="1" si="302"/>
        <v>-18230756.062105104</v>
      </c>
      <c r="BE306" s="2">
        <f t="shared" ca="1" si="303"/>
        <v>2198584.2821781305</v>
      </c>
      <c r="BF306" s="2">
        <f t="shared" ca="1" si="304"/>
        <v>2385395.9537611897</v>
      </c>
      <c r="BG306" s="2">
        <f t="shared" ca="1" si="305"/>
        <v>2489270.5048767156</v>
      </c>
      <c r="BH306" s="2">
        <f t="shared" ca="1" si="306"/>
        <v>2595807.5880438793</v>
      </c>
      <c r="BI306" s="2">
        <f t="shared" ca="1" si="307"/>
        <v>34409508.228239968</v>
      </c>
      <c r="BJ306" s="2">
        <f t="shared" ca="1" si="308"/>
        <v>0.22717436696649274</v>
      </c>
      <c r="BK306" s="2">
        <f t="shared" ca="1" si="309"/>
        <v>8580263.9561560377</v>
      </c>
    </row>
    <row r="307" spans="1:63" x14ac:dyDescent="0.3">
      <c r="A307" s="2">
        <v>306</v>
      </c>
      <c r="B307" s="2">
        <f t="shared" ca="1" si="248"/>
        <v>0.79261355989766091</v>
      </c>
      <c r="C307" s="2">
        <f t="shared" ca="1" si="249"/>
        <v>7.3559713669372471</v>
      </c>
      <c r="D307" s="2">
        <f t="shared" ca="1" si="250"/>
        <v>0.55206753811887477</v>
      </c>
      <c r="E307" s="2">
        <f t="shared" ca="1" si="251"/>
        <v>7.5534985875540119</v>
      </c>
      <c r="F307" s="2">
        <f t="shared" ca="1" si="252"/>
        <v>0.60946703647846878</v>
      </c>
      <c r="G307" s="2">
        <f t="shared" ca="1" si="253"/>
        <v>4.8337906529849956E-2</v>
      </c>
      <c r="H307" s="2">
        <f t="shared" ca="1" si="254"/>
        <v>4.8337906529849956E-2</v>
      </c>
      <c r="I307" s="2">
        <f t="shared" ca="1" si="255"/>
        <v>0.52757196453086985</v>
      </c>
      <c r="J307" s="2">
        <f t="shared" ca="1" si="256"/>
        <v>1.0345838890960912E-2</v>
      </c>
      <c r="K307" s="2">
        <f t="shared" ca="1" si="257"/>
        <v>1.0345838890960912E-2</v>
      </c>
      <c r="L307" s="2">
        <f t="shared" ca="1" si="258"/>
        <v>8.7181481447778264E-2</v>
      </c>
      <c r="M307" s="2">
        <f t="shared" ca="1" si="259"/>
        <v>-2.7166349796990331E-2</v>
      </c>
      <c r="N307" s="2">
        <f t="shared" ca="1" si="260"/>
        <v>-2.7166349796990331E-2</v>
      </c>
      <c r="O307" s="2">
        <f t="shared" si="261"/>
        <v>6000000</v>
      </c>
      <c r="P307" s="2">
        <f t="shared" ca="1" si="262"/>
        <v>44135828.201623484</v>
      </c>
      <c r="Q307" s="2">
        <f t="shared" ca="1" si="263"/>
        <v>1103395.7050405871</v>
      </c>
      <c r="R307" s="2">
        <f t="shared" ca="1" si="264"/>
        <v>26481496.920974091</v>
      </c>
      <c r="S307" s="2">
        <f t="shared" ca="1" si="265"/>
        <v>17654331.280649394</v>
      </c>
      <c r="T307" s="2">
        <f t="shared" ca="1" si="266"/>
        <v>48641682.510150485</v>
      </c>
      <c r="U307" s="2">
        <f t="shared" ca="1" si="267"/>
        <v>50992919.612780772</v>
      </c>
      <c r="V307" s="2">
        <f t="shared" ca="1" si="268"/>
        <v>53457810.594707519</v>
      </c>
      <c r="W307" s="2">
        <f t="shared" ca="1" si="269"/>
        <v>56041849.246524915</v>
      </c>
      <c r="X307" s="2">
        <f t="shared" ca="1" si="270"/>
        <v>58750794.917163379</v>
      </c>
      <c r="Y307" s="2">
        <f t="shared" ca="1" si="271"/>
        <v>0.12517291944548045</v>
      </c>
      <c r="Z307" s="2">
        <f t="shared" ca="1" si="272"/>
        <v>0.12724208722367264</v>
      </c>
      <c r="AA307" s="2">
        <f t="shared" ca="1" si="273"/>
        <v>6088621.4065357018</v>
      </c>
      <c r="AB307" s="2">
        <f t="shared" ca="1" si="274"/>
        <v>6488445.5251591783</v>
      </c>
      <c r="AC307" s="2">
        <f t="shared" ca="1" si="275"/>
        <v>6802083.398478345</v>
      </c>
      <c r="AD307" s="2">
        <f t="shared" ca="1" si="276"/>
        <v>7130881.8700022362</v>
      </c>
      <c r="AE307" s="2">
        <f t="shared" ca="1" si="277"/>
        <v>7475573.771309806</v>
      </c>
      <c r="AF307" s="2">
        <f t="shared" ca="1" si="278"/>
        <v>972833.65020300972</v>
      </c>
      <c r="AG307" s="2">
        <f t="shared" ca="1" si="279"/>
        <v>1019858.3922556154</v>
      </c>
      <c r="AH307" s="2">
        <f t="shared" ca="1" si="280"/>
        <v>1069156.2118941504</v>
      </c>
      <c r="AI307" s="2">
        <f t="shared" ca="1" si="281"/>
        <v>1120836.9849304983</v>
      </c>
      <c r="AJ307" s="2">
        <f t="shared" ca="1" si="282"/>
        <v>1175015.8983432676</v>
      </c>
      <c r="AK307" s="2">
        <f t="shared" ca="1" si="283"/>
        <v>0</v>
      </c>
      <c r="AL307" s="2">
        <f t="shared" ca="1" si="284"/>
        <v>23512.371026302873</v>
      </c>
      <c r="AM307" s="2">
        <f t="shared" ca="1" si="285"/>
        <v>24648.909819267468</v>
      </c>
      <c r="AN307" s="2">
        <f t="shared" ca="1" si="286"/>
        <v>25840.386518173964</v>
      </c>
      <c r="AO307" s="2">
        <f t="shared" ca="1" si="287"/>
        <v>27089.456706384644</v>
      </c>
      <c r="AP307" s="2">
        <f t="shared" ca="1" si="288"/>
        <v>2383334.7228876683</v>
      </c>
      <c r="AQ307" s="2">
        <f t="shared" ca="1" si="289"/>
        <v>710437.78869570617</v>
      </c>
      <c r="AR307" s="2">
        <f t="shared" ca="1" si="290"/>
        <v>802165.62660413259</v>
      </c>
      <c r="AS307" s="2">
        <f t="shared" ca="1" si="291"/>
        <v>870894.04056109698</v>
      </c>
      <c r="AT307" s="2">
        <f t="shared" ca="1" si="292"/>
        <v>942944.64216785808</v>
      </c>
      <c r="AU307" s="2">
        <f t="shared" ca="1" si="293"/>
        <v>1018478.0190205062</v>
      </c>
      <c r="AV307" s="2">
        <f t="shared" ca="1" si="294"/>
        <v>2022015.2447493174</v>
      </c>
      <c r="AW307" s="2">
        <f t="shared" ca="1" si="295"/>
        <v>2259574.4123854595</v>
      </c>
      <c r="AX307" s="2">
        <f t="shared" ca="1" si="296"/>
        <v>2454049.5133161624</v>
      </c>
      <c r="AY307" s="2">
        <f t="shared" ca="1" si="297"/>
        <v>2657925.1334980377</v>
      </c>
      <c r="AZ307" s="2">
        <f t="shared" ca="1" si="298"/>
        <v>2871655.6743519795</v>
      </c>
      <c r="BA307" s="2">
        <f t="shared" ca="1" si="299"/>
        <v>56466735.922744438</v>
      </c>
      <c r="BB307" s="2">
        <f t="shared" ca="1" si="300"/>
        <v>1129334.7184548888</v>
      </c>
      <c r="BC307" s="2">
        <f t="shared" ca="1" si="301"/>
        <v>28855904.283315457</v>
      </c>
      <c r="BD307" s="2">
        <f t="shared" ca="1" si="302"/>
        <v>-19257726.985689983</v>
      </c>
      <c r="BE307" s="2">
        <f t="shared" ca="1" si="303"/>
        <v>2022015.2447493174</v>
      </c>
      <c r="BF307" s="2">
        <f t="shared" ca="1" si="304"/>
        <v>2259574.4123854595</v>
      </c>
      <c r="BG307" s="2">
        <f t="shared" ca="1" si="305"/>
        <v>2454049.5133161624</v>
      </c>
      <c r="BH307" s="2">
        <f t="shared" ca="1" si="306"/>
        <v>2657925.1334980377</v>
      </c>
      <c r="BI307" s="2">
        <f t="shared" ca="1" si="307"/>
        <v>31727559.957667436</v>
      </c>
      <c r="BJ307" s="2">
        <f t="shared" ca="1" si="308"/>
        <v>0.19168345862545322</v>
      </c>
      <c r="BK307" s="2">
        <f t="shared" ca="1" si="309"/>
        <v>5787935.6864968091</v>
      </c>
    </row>
    <row r="308" spans="1:63" x14ac:dyDescent="0.3">
      <c r="A308" s="2">
        <v>307</v>
      </c>
      <c r="B308" s="2">
        <f t="shared" ca="1" si="248"/>
        <v>0.68939244911685471</v>
      </c>
      <c r="C308" s="2">
        <f t="shared" ca="1" si="249"/>
        <v>7.2118279998843589</v>
      </c>
      <c r="D308" s="2">
        <f t="shared" ca="1" si="250"/>
        <v>0.62383040294288417</v>
      </c>
      <c r="E308" s="2">
        <f t="shared" ca="1" si="251"/>
        <v>7.6326251132790208</v>
      </c>
      <c r="F308" s="2">
        <f t="shared" ca="1" si="252"/>
        <v>0.55399779776626845</v>
      </c>
      <c r="G308" s="2">
        <f t="shared" ca="1" si="253"/>
        <v>4.4073050800198209E-2</v>
      </c>
      <c r="H308" s="2">
        <f t="shared" ca="1" si="254"/>
        <v>4.4073050800198209E-2</v>
      </c>
      <c r="I308" s="2">
        <f t="shared" ca="1" si="255"/>
        <v>0.98217468255730589</v>
      </c>
      <c r="J308" s="2">
        <f t="shared" ca="1" si="256"/>
        <v>2.0504449348934757E-2</v>
      </c>
      <c r="K308" s="2">
        <f t="shared" ca="1" si="257"/>
        <v>2.0504449348934757E-2</v>
      </c>
      <c r="L308" s="2">
        <f t="shared" ca="1" si="258"/>
        <v>1.4620432173868214E-2</v>
      </c>
      <c r="M308" s="2">
        <f t="shared" ca="1" si="259"/>
        <v>-4.3604479210147956E-2</v>
      </c>
      <c r="N308" s="2">
        <f t="shared" ca="1" si="260"/>
        <v>-4.3604479210147956E-2</v>
      </c>
      <c r="O308" s="2">
        <f t="shared" si="261"/>
        <v>6000000</v>
      </c>
      <c r="P308" s="2">
        <f t="shared" ca="1" si="262"/>
        <v>43270967.99930615</v>
      </c>
      <c r="Q308" s="2">
        <f t="shared" ca="1" si="263"/>
        <v>1081774.1999826538</v>
      </c>
      <c r="R308" s="2">
        <f t="shared" ca="1" si="264"/>
        <v>25962580.799583688</v>
      </c>
      <c r="S308" s="2">
        <f t="shared" ca="1" si="265"/>
        <v>17308387.199722461</v>
      </c>
      <c r="T308" s="2">
        <f t="shared" ca="1" si="266"/>
        <v>47819776.0394926</v>
      </c>
      <c r="U308" s="2">
        <f t="shared" ca="1" si="267"/>
        <v>49927339.458135262</v>
      </c>
      <c r="V308" s="2">
        <f t="shared" ca="1" si="268"/>
        <v>52127789.626392402</v>
      </c>
      <c r="W308" s="2">
        <f t="shared" ca="1" si="269"/>
        <v>54425220.346698441</v>
      </c>
      <c r="X308" s="2">
        <f t="shared" ca="1" si="270"/>
        <v>56823905.847850464</v>
      </c>
      <c r="Y308" s="2">
        <f t="shared" ca="1" si="271"/>
        <v>0.13025222467446737</v>
      </c>
      <c r="Z308" s="2">
        <f t="shared" ca="1" si="272"/>
        <v>0.13435311454425433</v>
      </c>
      <c r="AA308" s="2">
        <f t="shared" ca="1" si="273"/>
        <v>6228632.2125787018</v>
      </c>
      <c r="AB308" s="2">
        <f t="shared" ca="1" si="274"/>
        <v>6707893.5571087161</v>
      </c>
      <c r="AC308" s="2">
        <f t="shared" ca="1" si="275"/>
        <v>7003530.8906134907</v>
      </c>
      <c r="AD308" s="2">
        <f t="shared" ca="1" si="276"/>
        <v>7312197.8633362567</v>
      </c>
      <c r="AE308" s="2">
        <f t="shared" ca="1" si="277"/>
        <v>7634468.7312281774</v>
      </c>
      <c r="AF308" s="2">
        <f t="shared" ca="1" si="278"/>
        <v>956395.52078985202</v>
      </c>
      <c r="AG308" s="2">
        <f t="shared" ca="1" si="279"/>
        <v>998546.7891627053</v>
      </c>
      <c r="AH308" s="2">
        <f t="shared" ca="1" si="280"/>
        <v>1042555.792527848</v>
      </c>
      <c r="AI308" s="2">
        <f t="shared" ca="1" si="281"/>
        <v>1088504.4069339689</v>
      </c>
      <c r="AJ308" s="2">
        <f t="shared" ca="1" si="282"/>
        <v>1136478.1169570093</v>
      </c>
      <c r="AK308" s="2">
        <f t="shared" ca="1" si="283"/>
        <v>0</v>
      </c>
      <c r="AL308" s="2">
        <f t="shared" ca="1" si="284"/>
        <v>21075.634186426625</v>
      </c>
      <c r="AM308" s="2">
        <f t="shared" ca="1" si="285"/>
        <v>22004.501682571397</v>
      </c>
      <c r="AN308" s="2">
        <f t="shared" ca="1" si="286"/>
        <v>22974.307203060391</v>
      </c>
      <c r="AO308" s="2">
        <f t="shared" ca="1" si="287"/>
        <v>23986.855011520238</v>
      </c>
      <c r="AP308" s="2">
        <f t="shared" ca="1" si="288"/>
        <v>2336632.2719625318</v>
      </c>
      <c r="AQ308" s="2">
        <f t="shared" ca="1" si="289"/>
        <v>763257.1491548426</v>
      </c>
      <c r="AR308" s="2">
        <f t="shared" ca="1" si="290"/>
        <v>876905.76895570452</v>
      </c>
      <c r="AS308" s="2">
        <f t="shared" ca="1" si="291"/>
        <v>942329.1347920089</v>
      </c>
      <c r="AT308" s="2">
        <f t="shared" ca="1" si="292"/>
        <v>1010635.9079543366</v>
      </c>
      <c r="AU308" s="2">
        <f t="shared" ca="1" si="293"/>
        <v>1081953.1690002454</v>
      </c>
      <c r="AV308" s="2">
        <f t="shared" ca="1" si="294"/>
        <v>2172347.2706714747</v>
      </c>
      <c r="AW308" s="2">
        <f t="shared" ca="1" si="295"/>
        <v>2474733.0928413477</v>
      </c>
      <c r="AX308" s="2">
        <f t="shared" ca="1" si="296"/>
        <v>2660009.1896485304</v>
      </c>
      <c r="AY308" s="2">
        <f t="shared" ca="1" si="297"/>
        <v>2853450.9692823598</v>
      </c>
      <c r="AZ308" s="2">
        <f t="shared" ca="1" si="298"/>
        <v>3055418.3182968702</v>
      </c>
      <c r="BA308" s="2">
        <f t="shared" ca="1" si="299"/>
        <v>58271037.764515609</v>
      </c>
      <c r="BB308" s="2">
        <f t="shared" ca="1" si="300"/>
        <v>1165420.7552903122</v>
      </c>
      <c r="BC308" s="2">
        <f t="shared" ca="1" si="301"/>
        <v>31143036.209641609</v>
      </c>
      <c r="BD308" s="2">
        <f t="shared" ca="1" si="302"/>
        <v>-18890161.399705116</v>
      </c>
      <c r="BE308" s="2">
        <f t="shared" ca="1" si="303"/>
        <v>2172347.2706714747</v>
      </c>
      <c r="BF308" s="2">
        <f t="shared" ca="1" si="304"/>
        <v>2474733.0928413477</v>
      </c>
      <c r="BG308" s="2">
        <f t="shared" ca="1" si="305"/>
        <v>2660009.1896485304</v>
      </c>
      <c r="BH308" s="2">
        <f t="shared" ca="1" si="306"/>
        <v>2853450.9692823598</v>
      </c>
      <c r="BI308" s="2">
        <f t="shared" ca="1" si="307"/>
        <v>34198454.527938478</v>
      </c>
      <c r="BJ308" s="2">
        <f t="shared" ca="1" si="308"/>
        <v>0.21936625232451967</v>
      </c>
      <c r="BK308" s="2">
        <f t="shared" ca="1" si="309"/>
        <v>8134159.6481044814</v>
      </c>
    </row>
    <row r="309" spans="1:63" x14ac:dyDescent="0.3">
      <c r="A309" s="2">
        <v>308</v>
      </c>
      <c r="B309" s="2">
        <f t="shared" ca="1" si="248"/>
        <v>0.94088686649630615</v>
      </c>
      <c r="C309" s="2">
        <f t="shared" ca="1" si="249"/>
        <v>7.6561595326210314</v>
      </c>
      <c r="D309" s="2">
        <f t="shared" ca="1" si="250"/>
        <v>0.32632753884118726</v>
      </c>
      <c r="E309" s="2">
        <f t="shared" ca="1" si="251"/>
        <v>7.3078707060429746</v>
      </c>
      <c r="F309" s="2">
        <f t="shared" ca="1" si="252"/>
        <v>0.68598704121141152</v>
      </c>
      <c r="G309" s="2">
        <f t="shared" ca="1" si="253"/>
        <v>5.4535217615539047E-2</v>
      </c>
      <c r="H309" s="2">
        <f t="shared" ca="1" si="254"/>
        <v>5.4535217615539047E-2</v>
      </c>
      <c r="I309" s="2">
        <f t="shared" ca="1" si="255"/>
        <v>0.76443680460024399</v>
      </c>
      <c r="J309" s="2">
        <f t="shared" ca="1" si="256"/>
        <v>1.3603237746333261E-2</v>
      </c>
      <c r="K309" s="2">
        <f t="shared" ca="1" si="257"/>
        <v>1.3603237746333261E-2</v>
      </c>
      <c r="L309" s="2">
        <f t="shared" ca="1" si="258"/>
        <v>0.61248800566946915</v>
      </c>
      <c r="M309" s="2">
        <f t="shared" ca="1" si="259"/>
        <v>5.7161911203164996E-3</v>
      </c>
      <c r="N309" s="2">
        <f t="shared" ca="1" si="260"/>
        <v>5.7161911203164996E-3</v>
      </c>
      <c r="O309" s="2">
        <f t="shared" si="261"/>
        <v>6000000</v>
      </c>
      <c r="P309" s="2">
        <f t="shared" ca="1" si="262"/>
        <v>45936957.195726186</v>
      </c>
      <c r="Q309" s="2">
        <f t="shared" ca="1" si="263"/>
        <v>1148423.9298931547</v>
      </c>
      <c r="R309" s="2">
        <f t="shared" ca="1" si="264"/>
        <v>27562174.317435712</v>
      </c>
      <c r="S309" s="2">
        <f t="shared" ca="1" si="265"/>
        <v>18374782.878290474</v>
      </c>
      <c r="T309" s="2">
        <f t="shared" ca="1" si="266"/>
        <v>50285809.556015827</v>
      </c>
      <c r="U309" s="2">
        <f t="shared" ca="1" si="267"/>
        <v>53028157.123126708</v>
      </c>
      <c r="V309" s="2">
        <f t="shared" ca="1" si="268"/>
        <v>55920059.211587422</v>
      </c>
      <c r="W309" s="2">
        <f t="shared" ca="1" si="269"/>
        <v>58969671.809765175</v>
      </c>
      <c r="X309" s="2">
        <f t="shared" ca="1" si="270"/>
        <v>62185595.694627643</v>
      </c>
      <c r="Y309" s="2">
        <f t="shared" ca="1" si="271"/>
        <v>0.12680161887316663</v>
      </c>
      <c r="Z309" s="2">
        <f t="shared" ca="1" si="272"/>
        <v>0.12952226642243328</v>
      </c>
      <c r="AA309" s="2">
        <f t="shared" ca="1" si="273"/>
        <v>6376322.0580505589</v>
      </c>
      <c r="AB309" s="2">
        <f t="shared" ca="1" si="274"/>
        <v>6868327.0947922701</v>
      </c>
      <c r="AC309" s="2">
        <f t="shared" ca="1" si="275"/>
        <v>7242892.8075614702</v>
      </c>
      <c r="AD309" s="2">
        <f t="shared" ca="1" si="276"/>
        <v>7637885.5429878579</v>
      </c>
      <c r="AE309" s="2">
        <f t="shared" ca="1" si="277"/>
        <v>8054419.2931972817</v>
      </c>
      <c r="AF309" s="2">
        <f t="shared" ca="1" si="278"/>
        <v>1005716.1911203165</v>
      </c>
      <c r="AG309" s="2">
        <f t="shared" ca="1" si="279"/>
        <v>1060563.1424625341</v>
      </c>
      <c r="AH309" s="2">
        <f t="shared" ca="1" si="280"/>
        <v>1118401.1842317483</v>
      </c>
      <c r="AI309" s="2">
        <f t="shared" ca="1" si="281"/>
        <v>1179393.4361953035</v>
      </c>
      <c r="AJ309" s="2">
        <f t="shared" ca="1" si="282"/>
        <v>1243711.913892553</v>
      </c>
      <c r="AK309" s="2">
        <f t="shared" ca="1" si="283"/>
        <v>0</v>
      </c>
      <c r="AL309" s="2">
        <f t="shared" ca="1" si="284"/>
        <v>27423.475671108812</v>
      </c>
      <c r="AM309" s="2">
        <f t="shared" ca="1" si="285"/>
        <v>28919.020884607136</v>
      </c>
      <c r="AN309" s="2">
        <f t="shared" ca="1" si="286"/>
        <v>30496.125981777535</v>
      </c>
      <c r="AO309" s="2">
        <f t="shared" ca="1" si="287"/>
        <v>32159.238848624678</v>
      </c>
      <c r="AP309" s="2">
        <f t="shared" ca="1" si="288"/>
        <v>2480595.6885692137</v>
      </c>
      <c r="AQ309" s="2">
        <f t="shared" ca="1" si="289"/>
        <v>751402.64637386752</v>
      </c>
      <c r="AR309" s="2">
        <f t="shared" ca="1" si="290"/>
        <v>865063.74857773585</v>
      </c>
      <c r="AS309" s="2">
        <f t="shared" ca="1" si="291"/>
        <v>947412.94303773204</v>
      </c>
      <c r="AT309" s="2">
        <f t="shared" ca="1" si="292"/>
        <v>1034253.0687380686</v>
      </c>
      <c r="AU309" s="2">
        <f t="shared" ca="1" si="293"/>
        <v>1125829.0395912339</v>
      </c>
      <c r="AV309" s="2">
        <f t="shared" ca="1" si="294"/>
        <v>2138607.5319871609</v>
      </c>
      <c r="AW309" s="2">
        <f t="shared" ca="1" si="295"/>
        <v>2434681.0395116773</v>
      </c>
      <c r="AX309" s="2">
        <f t="shared" ca="1" si="296"/>
        <v>2667563.9708381691</v>
      </c>
      <c r="AY309" s="2">
        <f t="shared" ca="1" si="297"/>
        <v>2913147.2235034942</v>
      </c>
      <c r="AZ309" s="2">
        <f t="shared" ca="1" si="298"/>
        <v>3172123.4122956558</v>
      </c>
      <c r="BA309" s="2">
        <f t="shared" ca="1" si="299"/>
        <v>58860654.806943774</v>
      </c>
      <c r="BB309" s="2">
        <f t="shared" ca="1" si="300"/>
        <v>1177213.0961388755</v>
      </c>
      <c r="BC309" s="2">
        <f t="shared" ca="1" si="301"/>
        <v>30121267.393369187</v>
      </c>
      <c r="BD309" s="2">
        <f t="shared" ca="1" si="302"/>
        <v>-20023206.808183629</v>
      </c>
      <c r="BE309" s="2">
        <f t="shared" ca="1" si="303"/>
        <v>2138607.5319871609</v>
      </c>
      <c r="BF309" s="2">
        <f t="shared" ca="1" si="304"/>
        <v>2434681.0395116773</v>
      </c>
      <c r="BG309" s="2">
        <f t="shared" ca="1" si="305"/>
        <v>2667563.9708381691</v>
      </c>
      <c r="BH309" s="2">
        <f t="shared" ca="1" si="306"/>
        <v>2913147.2235034942</v>
      </c>
      <c r="BI309" s="2">
        <f t="shared" ca="1" si="307"/>
        <v>33293390.805664841</v>
      </c>
      <c r="BJ309" s="2">
        <f t="shared" ca="1" si="308"/>
        <v>0.19679055182663729</v>
      </c>
      <c r="BK309" s="2">
        <f t="shared" ca="1" si="309"/>
        <v>6468818.1518890038</v>
      </c>
    </row>
    <row r="310" spans="1:63" x14ac:dyDescent="0.3">
      <c r="A310" s="2">
        <v>309</v>
      </c>
      <c r="B310" s="2">
        <f t="shared" ca="1" si="248"/>
        <v>0.52033298880223999</v>
      </c>
      <c r="C310" s="2">
        <f t="shared" ca="1" si="249"/>
        <v>7.0205440171219946</v>
      </c>
      <c r="D310" s="2">
        <f t="shared" ca="1" si="250"/>
        <v>0.25817724282014209</v>
      </c>
      <c r="E310" s="2">
        <f t="shared" ca="1" si="251"/>
        <v>7.2185780998891378</v>
      </c>
      <c r="F310" s="2">
        <f t="shared" ca="1" si="252"/>
        <v>0.5452544077020568</v>
      </c>
      <c r="G310" s="2">
        <f t="shared" ca="1" si="253"/>
        <v>4.3410410702814151E-2</v>
      </c>
      <c r="H310" s="2">
        <f t="shared" ca="1" si="254"/>
        <v>4.3410410702814151E-2</v>
      </c>
      <c r="I310" s="2">
        <f t="shared" ca="1" si="255"/>
        <v>0.54925955432469398</v>
      </c>
      <c r="J310" s="2">
        <f t="shared" ca="1" si="256"/>
        <v>1.0618954157674032E-2</v>
      </c>
      <c r="K310" s="2">
        <f t="shared" ca="1" si="257"/>
        <v>1.0618954157674032E-2</v>
      </c>
      <c r="L310" s="2">
        <f t="shared" ca="1" si="258"/>
        <v>6.4238768088655807E-3</v>
      </c>
      <c r="M310" s="2">
        <f t="shared" ca="1" si="259"/>
        <v>-4.9759235777322906E-2</v>
      </c>
      <c r="N310" s="2">
        <f t="shared" ca="1" si="260"/>
        <v>-4.9759235777322906E-2</v>
      </c>
      <c r="O310" s="2">
        <f t="shared" si="261"/>
        <v>6000000</v>
      </c>
      <c r="P310" s="2">
        <f t="shared" ca="1" si="262"/>
        <v>42123264.102731965</v>
      </c>
      <c r="Q310" s="2">
        <f t="shared" ca="1" si="263"/>
        <v>1053081.6025682993</v>
      </c>
      <c r="R310" s="2">
        <f t="shared" ca="1" si="264"/>
        <v>25273958.461639177</v>
      </c>
      <c r="S310" s="2">
        <f t="shared" ca="1" si="265"/>
        <v>16849305.641092788</v>
      </c>
      <c r="T310" s="2">
        <f t="shared" ca="1" si="266"/>
        <v>47512038.211133853</v>
      </c>
      <c r="U310" s="2">
        <f t="shared" ca="1" si="267"/>
        <v>49574555.303206973</v>
      </c>
      <c r="V310" s="2">
        <f t="shared" ca="1" si="268"/>
        <v>51726607.109328561</v>
      </c>
      <c r="W310" s="2">
        <f t="shared" ca="1" si="269"/>
        <v>53972080.368207619</v>
      </c>
      <c r="X310" s="2">
        <f t="shared" ca="1" si="270"/>
        <v>56315030.543476805</v>
      </c>
      <c r="Y310" s="2">
        <f t="shared" ca="1" si="271"/>
        <v>0.12530947707883702</v>
      </c>
      <c r="Z310" s="2">
        <f t="shared" ca="1" si="272"/>
        <v>0.12743326791037182</v>
      </c>
      <c r="AA310" s="2">
        <f t="shared" ca="1" si="273"/>
        <v>5953708.6631869059</v>
      </c>
      <c r="AB310" s="2">
        <f t="shared" ca="1" si="274"/>
        <v>6317447.5874911183</v>
      </c>
      <c r="AC310" s="2">
        <f t="shared" ca="1" si="275"/>
        <v>6591690.5818576105</v>
      </c>
      <c r="AD310" s="2">
        <f t="shared" ca="1" si="276"/>
        <v>6877838.5772419209</v>
      </c>
      <c r="AE310" s="2">
        <f t="shared" ca="1" si="277"/>
        <v>7176408.3746276516</v>
      </c>
      <c r="AF310" s="2">
        <f t="shared" ca="1" si="278"/>
        <v>950240.7642226771</v>
      </c>
      <c r="AG310" s="2">
        <f t="shared" ca="1" si="279"/>
        <v>991491.10606413952</v>
      </c>
      <c r="AH310" s="2">
        <f t="shared" ca="1" si="280"/>
        <v>1034532.1421865713</v>
      </c>
      <c r="AI310" s="2">
        <f t="shared" ca="1" si="281"/>
        <v>1079441.6073641523</v>
      </c>
      <c r="AJ310" s="2">
        <f t="shared" ca="1" si="282"/>
        <v>1126300.6108695362</v>
      </c>
      <c r="AK310" s="2">
        <f t="shared" ca="1" si="283"/>
        <v>0</v>
      </c>
      <c r="AL310" s="2">
        <f t="shared" ca="1" si="284"/>
        <v>20625.170920731201</v>
      </c>
      <c r="AM310" s="2">
        <f t="shared" ca="1" si="285"/>
        <v>21520.518061215877</v>
      </c>
      <c r="AN310" s="2">
        <f t="shared" ca="1" si="286"/>
        <v>22454.732588790583</v>
      </c>
      <c r="AO310" s="2">
        <f t="shared" ca="1" si="287"/>
        <v>23429.501752691864</v>
      </c>
      <c r="AP310" s="2">
        <f t="shared" ca="1" si="288"/>
        <v>2274656.2615475259</v>
      </c>
      <c r="AQ310" s="2">
        <f t="shared" ca="1" si="289"/>
        <v>709491.02572834282</v>
      </c>
      <c r="AR310" s="2">
        <f t="shared" ca="1" si="290"/>
        <v>793338.05716865766</v>
      </c>
      <c r="AS310" s="2">
        <f t="shared" ca="1" si="291"/>
        <v>853450.56631211354</v>
      </c>
      <c r="AT310" s="2">
        <f t="shared" ca="1" si="292"/>
        <v>916172.58416586311</v>
      </c>
      <c r="AU310" s="2">
        <f t="shared" ca="1" si="293"/>
        <v>981617.39057475328</v>
      </c>
      <c r="AV310" s="2">
        <f t="shared" ca="1" si="294"/>
        <v>2019320.6116883601</v>
      </c>
      <c r="AW310" s="2">
        <f t="shared" ca="1" si="295"/>
        <v>2237336.9917900632</v>
      </c>
      <c r="AX310" s="2">
        <f t="shared" ca="1" si="296"/>
        <v>2407531.0937501839</v>
      </c>
      <c r="AY310" s="2">
        <f t="shared" ca="1" si="297"/>
        <v>2585113.3915755893</v>
      </c>
      <c r="AZ310" s="2">
        <f t="shared" ca="1" si="298"/>
        <v>2770404.609883144</v>
      </c>
      <c r="BA310" s="2">
        <f t="shared" ca="1" si="299"/>
        <v>51803464.32894817</v>
      </c>
      <c r="BB310" s="2">
        <f t="shared" ca="1" si="300"/>
        <v>1036069.2865789634</v>
      </c>
      <c r="BC310" s="2">
        <f t="shared" ca="1" si="301"/>
        <v>25493436.580730028</v>
      </c>
      <c r="BD310" s="2">
        <f t="shared" ca="1" si="302"/>
        <v>-18402387.243661087</v>
      </c>
      <c r="BE310" s="2">
        <f t="shared" ca="1" si="303"/>
        <v>2019320.6116883601</v>
      </c>
      <c r="BF310" s="2">
        <f t="shared" ca="1" si="304"/>
        <v>2237336.9917900632</v>
      </c>
      <c r="BG310" s="2">
        <f t="shared" ca="1" si="305"/>
        <v>2407531.0937501839</v>
      </c>
      <c r="BH310" s="2">
        <f t="shared" ca="1" si="306"/>
        <v>2585113.3915755893</v>
      </c>
      <c r="BI310" s="2">
        <f t="shared" ca="1" si="307"/>
        <v>28263841.190613173</v>
      </c>
      <c r="BJ310" s="2">
        <f t="shared" ca="1" si="308"/>
        <v>0.18106459615143544</v>
      </c>
      <c r="BK310" s="2">
        <f t="shared" ca="1" si="309"/>
        <v>4578350.8509971499</v>
      </c>
    </row>
    <row r="311" spans="1:63" x14ac:dyDescent="0.3">
      <c r="A311" s="2">
        <v>310</v>
      </c>
      <c r="B311" s="2">
        <f t="shared" ca="1" si="248"/>
        <v>0.13262652140201625</v>
      </c>
      <c r="C311" s="2">
        <f t="shared" ca="1" si="249"/>
        <v>6.5150272253037045</v>
      </c>
      <c r="D311" s="2">
        <f t="shared" ca="1" si="250"/>
        <v>0.40628466739496505</v>
      </c>
      <c r="E311" s="2">
        <f t="shared" ca="1" si="251"/>
        <v>7.4014262780671141</v>
      </c>
      <c r="F311" s="2">
        <f t="shared" ca="1" si="252"/>
        <v>0.57636140226479093</v>
      </c>
      <c r="G311" s="2">
        <f t="shared" ca="1" si="253"/>
        <v>4.5777810377977464E-2</v>
      </c>
      <c r="H311" s="2">
        <f t="shared" ca="1" si="254"/>
        <v>4.5777810377977464E-2</v>
      </c>
      <c r="I311" s="2">
        <f t="shared" ca="1" si="255"/>
        <v>0.38913366283338546</v>
      </c>
      <c r="J311" s="2">
        <f t="shared" ca="1" si="256"/>
        <v>8.592111397325599E-3</v>
      </c>
      <c r="K311" s="2">
        <f t="shared" ca="1" si="257"/>
        <v>8.592111397325599E-3</v>
      </c>
      <c r="L311" s="2">
        <f t="shared" ca="1" si="258"/>
        <v>0.23036231129427021</v>
      </c>
      <c r="M311" s="2">
        <f t="shared" ca="1" si="259"/>
        <v>-1.4753083596293643E-2</v>
      </c>
      <c r="N311" s="2">
        <f t="shared" ca="1" si="260"/>
        <v>-1.4753083596293643E-2</v>
      </c>
      <c r="O311" s="2">
        <f t="shared" si="261"/>
        <v>6000000</v>
      </c>
      <c r="P311" s="2">
        <f t="shared" ca="1" si="262"/>
        <v>39090163.351822227</v>
      </c>
      <c r="Q311" s="2">
        <f t="shared" ca="1" si="263"/>
        <v>977254.08379555575</v>
      </c>
      <c r="R311" s="2">
        <f t="shared" ca="1" si="264"/>
        <v>23454098.011093337</v>
      </c>
      <c r="S311" s="2">
        <f t="shared" ca="1" si="265"/>
        <v>15636065.340728892</v>
      </c>
      <c r="T311" s="2">
        <f t="shared" ca="1" si="266"/>
        <v>49262345.820185319</v>
      </c>
      <c r="U311" s="2">
        <f t="shared" ca="1" si="267"/>
        <v>51517468.145916119</v>
      </c>
      <c r="V311" s="2">
        <f t="shared" ca="1" si="268"/>
        <v>53875825.033853367</v>
      </c>
      <c r="W311" s="2">
        <f t="shared" ca="1" si="269"/>
        <v>56342142.336210206</v>
      </c>
      <c r="X311" s="2">
        <f t="shared" ca="1" si="270"/>
        <v>58921362.244366258</v>
      </c>
      <c r="Y311" s="2">
        <f t="shared" ca="1" si="271"/>
        <v>0.1242960556986628</v>
      </c>
      <c r="Z311" s="2">
        <f t="shared" ca="1" si="272"/>
        <v>0.12601447797812793</v>
      </c>
      <c r="AA311" s="2">
        <f t="shared" ca="1" si="273"/>
        <v>6123115.2799125426</v>
      </c>
      <c r="AB311" s="2">
        <f t="shared" ca="1" si="274"/>
        <v>6491946.8551624538</v>
      </c>
      <c r="AC311" s="2">
        <f t="shared" ca="1" si="275"/>
        <v>6789133.9672819879</v>
      </c>
      <c r="AD311" s="2">
        <f t="shared" ca="1" si="276"/>
        <v>7099925.6546669099</v>
      </c>
      <c r="AE311" s="2">
        <f t="shared" ca="1" si="277"/>
        <v>7424944.7049839897</v>
      </c>
      <c r="AF311" s="2">
        <f t="shared" ca="1" si="278"/>
        <v>985246.91640370642</v>
      </c>
      <c r="AG311" s="2">
        <f t="shared" ca="1" si="279"/>
        <v>1030349.3629183224</v>
      </c>
      <c r="AH311" s="2">
        <f t="shared" ca="1" si="280"/>
        <v>1077516.5006770673</v>
      </c>
      <c r="AI311" s="2">
        <f t="shared" ca="1" si="281"/>
        <v>1126842.8467242043</v>
      </c>
      <c r="AJ311" s="2">
        <f t="shared" ca="1" si="282"/>
        <v>1178427.2448873252</v>
      </c>
      <c r="AK311" s="2">
        <f t="shared" ca="1" si="283"/>
        <v>0</v>
      </c>
      <c r="AL311" s="2">
        <f t="shared" ca="1" si="284"/>
        <v>22551.223257308007</v>
      </c>
      <c r="AM311" s="2">
        <f t="shared" ca="1" si="285"/>
        <v>23583.568879372477</v>
      </c>
      <c r="AN311" s="2">
        <f t="shared" ca="1" si="286"/>
        <v>24663.173023568394</v>
      </c>
      <c r="AO311" s="2">
        <f t="shared" ca="1" si="287"/>
        <v>25792.199081560524</v>
      </c>
      <c r="AP311" s="2">
        <f t="shared" ca="1" si="288"/>
        <v>2110868.8209984004</v>
      </c>
      <c r="AQ311" s="2">
        <f t="shared" ca="1" si="289"/>
        <v>787019.88105271338</v>
      </c>
      <c r="AR311" s="2">
        <f t="shared" ca="1" si="290"/>
        <v>871189.45452389016</v>
      </c>
      <c r="AS311" s="2">
        <f t="shared" ca="1" si="291"/>
        <v>936194.64785769512</v>
      </c>
      <c r="AT311" s="2">
        <f t="shared" ca="1" si="292"/>
        <v>1004175.6366055192</v>
      </c>
      <c r="AU311" s="2">
        <f t="shared" ca="1" si="293"/>
        <v>1075268.6461655488</v>
      </c>
      <c r="AV311" s="2">
        <f t="shared" ca="1" si="294"/>
        <v>2239979.661457723</v>
      </c>
      <c r="AW311" s="2">
        <f t="shared" ca="1" si="295"/>
        <v>2456987.9934645332</v>
      </c>
      <c r="AX311" s="2">
        <f t="shared" ca="1" si="296"/>
        <v>2640970.4288694523</v>
      </c>
      <c r="AY311" s="2">
        <f t="shared" ca="1" si="297"/>
        <v>2833375.1773152174</v>
      </c>
      <c r="AZ311" s="2">
        <f t="shared" ca="1" si="298"/>
        <v>3034587.7938511549</v>
      </c>
      <c r="BA311" s="2">
        <f t="shared" ca="1" si="299"/>
        <v>54955180.852663778</v>
      </c>
      <c r="BB311" s="2">
        <f t="shared" ca="1" si="300"/>
        <v>1099103.6170532755</v>
      </c>
      <c r="BC311" s="2">
        <f t="shared" ca="1" si="301"/>
        <v>30401979.224517167</v>
      </c>
      <c r="BD311" s="2">
        <f t="shared" ca="1" si="302"/>
        <v>-17113319.424524449</v>
      </c>
      <c r="BE311" s="2">
        <f t="shared" ca="1" si="303"/>
        <v>2239979.661457723</v>
      </c>
      <c r="BF311" s="2">
        <f t="shared" ca="1" si="304"/>
        <v>2456987.9934645332</v>
      </c>
      <c r="BG311" s="2">
        <f t="shared" ca="1" si="305"/>
        <v>2640970.4288694523</v>
      </c>
      <c r="BH311" s="2">
        <f t="shared" ca="1" si="306"/>
        <v>2833375.1773152174</v>
      </c>
      <c r="BI311" s="2">
        <f t="shared" ca="1" si="307"/>
        <v>33436567.018368322</v>
      </c>
      <c r="BJ311" s="2">
        <f t="shared" ca="1" si="308"/>
        <v>0.24494832894799368</v>
      </c>
      <c r="BK311" s="2">
        <f t="shared" ca="1" si="309"/>
        <v>9498616.0253419504</v>
      </c>
    </row>
    <row r="312" spans="1:63" x14ac:dyDescent="0.3">
      <c r="A312" s="2">
        <v>311</v>
      </c>
      <c r="B312" s="2">
        <f t="shared" ca="1" si="248"/>
        <v>5.4706235574350615E-2</v>
      </c>
      <c r="C312" s="2">
        <f t="shared" ca="1" si="249"/>
        <v>6.3307755600837243</v>
      </c>
      <c r="D312" s="2">
        <f t="shared" ca="1" si="250"/>
        <v>0.15439448432637171</v>
      </c>
      <c r="E312" s="2">
        <f t="shared" ca="1" si="251"/>
        <v>7.055687833817462</v>
      </c>
      <c r="F312" s="2">
        <f t="shared" ca="1" si="252"/>
        <v>0.38788544586858631</v>
      </c>
      <c r="G312" s="2">
        <f t="shared" ca="1" si="253"/>
        <v>3.1454963134741692E-2</v>
      </c>
      <c r="H312" s="2">
        <f t="shared" ca="1" si="254"/>
        <v>3.1454963134741692E-2</v>
      </c>
      <c r="I312" s="2">
        <f t="shared" ca="1" si="255"/>
        <v>0.27135672862309412</v>
      </c>
      <c r="J312" s="2">
        <f t="shared" ca="1" si="256"/>
        <v>6.9564257126062731E-3</v>
      </c>
      <c r="K312" s="2">
        <f t="shared" ca="1" si="257"/>
        <v>6.9564257126062731E-3</v>
      </c>
      <c r="L312" s="2">
        <f t="shared" ca="1" si="258"/>
        <v>0.77494792643442345</v>
      </c>
      <c r="M312" s="2">
        <f t="shared" ca="1" si="259"/>
        <v>1.5104828171203533E-2</v>
      </c>
      <c r="N312" s="2">
        <f t="shared" ca="1" si="260"/>
        <v>1.5104828171203533E-2</v>
      </c>
      <c r="O312" s="2">
        <f t="shared" si="261"/>
        <v>6000000</v>
      </c>
      <c r="P312" s="2">
        <f t="shared" ca="1" si="262"/>
        <v>37984653.360502347</v>
      </c>
      <c r="Q312" s="2">
        <f t="shared" ca="1" si="263"/>
        <v>949616.33401255868</v>
      </c>
      <c r="R312" s="2">
        <f t="shared" ca="1" si="264"/>
        <v>22790792.016301408</v>
      </c>
      <c r="S312" s="2">
        <f t="shared" ca="1" si="265"/>
        <v>15193861.344200939</v>
      </c>
      <c r="T312" s="2">
        <f t="shared" ca="1" si="266"/>
        <v>50755241.408560179</v>
      </c>
      <c r="U312" s="2">
        <f t="shared" ca="1" si="267"/>
        <v>52351745.65596135</v>
      </c>
      <c r="V312" s="2">
        <f t="shared" ca="1" si="268"/>
        <v>53998467.885608986</v>
      </c>
      <c r="W312" s="2">
        <f t="shared" ca="1" si="269"/>
        <v>55696987.702283345</v>
      </c>
      <c r="X312" s="2">
        <f t="shared" ca="1" si="270"/>
        <v>57448934.397174828</v>
      </c>
      <c r="Y312" s="2">
        <f t="shared" ca="1" si="271"/>
        <v>0.12347821285630313</v>
      </c>
      <c r="Z312" s="2">
        <f t="shared" ca="1" si="272"/>
        <v>0.12486949799882438</v>
      </c>
      <c r="AA312" s="2">
        <f t="shared" ca="1" si="273"/>
        <v>6267166.5022192448</v>
      </c>
      <c r="AB312" s="2">
        <f t="shared" ca="1" si="274"/>
        <v>6537136.1994220288</v>
      </c>
      <c r="AC312" s="2">
        <f t="shared" ca="1" si="275"/>
        <v>6742761.5775816338</v>
      </c>
      <c r="AD312" s="2">
        <f t="shared" ca="1" si="276"/>
        <v>6954854.8944308162</v>
      </c>
      <c r="AE312" s="2">
        <f t="shared" ca="1" si="277"/>
        <v>7173619.5987426154</v>
      </c>
      <c r="AF312" s="2">
        <f t="shared" ca="1" si="278"/>
        <v>1015104.8281712036</v>
      </c>
      <c r="AG312" s="2">
        <f t="shared" ca="1" si="279"/>
        <v>1047034.913119227</v>
      </c>
      <c r="AH312" s="2">
        <f t="shared" ca="1" si="280"/>
        <v>1079969.3577121797</v>
      </c>
      <c r="AI312" s="2">
        <f t="shared" ca="1" si="281"/>
        <v>1113939.7540456669</v>
      </c>
      <c r="AJ312" s="2">
        <f t="shared" ca="1" si="282"/>
        <v>1148978.6879434965</v>
      </c>
      <c r="AK312" s="2">
        <f t="shared" ca="1" si="283"/>
        <v>0</v>
      </c>
      <c r="AL312" s="2">
        <f t="shared" ca="1" si="284"/>
        <v>15965.042474011705</v>
      </c>
      <c r="AM312" s="2">
        <f t="shared" ca="1" si="285"/>
        <v>16467.222296476364</v>
      </c>
      <c r="AN312" s="2">
        <f t="shared" ca="1" si="286"/>
        <v>16985.19816674359</v>
      </c>
      <c r="AO312" s="2">
        <f t="shared" ca="1" si="287"/>
        <v>17519.466948914825</v>
      </c>
      <c r="AP312" s="2">
        <f t="shared" ca="1" si="288"/>
        <v>2051171.2814671267</v>
      </c>
      <c r="AQ312" s="2">
        <f t="shared" ca="1" si="289"/>
        <v>832231.50207103777</v>
      </c>
      <c r="AR312" s="2">
        <f t="shared" ca="1" si="290"/>
        <v>894121.80125727563</v>
      </c>
      <c r="AS312" s="2">
        <f t="shared" ca="1" si="291"/>
        <v>939021.44398460526</v>
      </c>
      <c r="AT312" s="2">
        <f t="shared" ca="1" si="292"/>
        <v>985333.40331868583</v>
      </c>
      <c r="AU312" s="2">
        <f t="shared" ca="1" si="293"/>
        <v>1033102.1036263179</v>
      </c>
      <c r="AV312" s="2">
        <f t="shared" ca="1" si="294"/>
        <v>2368658.8905098764</v>
      </c>
      <c r="AW312" s="2">
        <f t="shared" ca="1" si="295"/>
        <v>2528843.1611043876</v>
      </c>
      <c r="AX312" s="2">
        <f t="shared" ca="1" si="296"/>
        <v>2656132.272121246</v>
      </c>
      <c r="AY312" s="2">
        <f t="shared" ca="1" si="297"/>
        <v>2787425.257432593</v>
      </c>
      <c r="AZ312" s="2">
        <f t="shared" ca="1" si="298"/>
        <v>2922848.0587567585</v>
      </c>
      <c r="BA312" s="2">
        <f t="shared" ca="1" si="299"/>
        <v>50614820.527282774</v>
      </c>
      <c r="BB312" s="2">
        <f t="shared" ca="1" si="300"/>
        <v>1012296.4105456555</v>
      </c>
      <c r="BC312" s="2">
        <f t="shared" ca="1" si="301"/>
        <v>26811732.100435711</v>
      </c>
      <c r="BD312" s="2">
        <f t="shared" ca="1" si="302"/>
        <v>-16643477.678213498</v>
      </c>
      <c r="BE312" s="2">
        <f t="shared" ca="1" si="303"/>
        <v>2368658.8905098764</v>
      </c>
      <c r="BF312" s="2">
        <f t="shared" ca="1" si="304"/>
        <v>2528843.1611043876</v>
      </c>
      <c r="BG312" s="2">
        <f t="shared" ca="1" si="305"/>
        <v>2656132.272121246</v>
      </c>
      <c r="BH312" s="2">
        <f t="shared" ca="1" si="306"/>
        <v>2787425.257432593</v>
      </c>
      <c r="BI312" s="2">
        <f t="shared" ca="1" si="307"/>
        <v>29734580.159192469</v>
      </c>
      <c r="BJ312" s="2">
        <f t="shared" ca="1" si="308"/>
        <v>0.23296005561957212</v>
      </c>
      <c r="BK312" s="2">
        <f t="shared" ca="1" si="309"/>
        <v>8021615.5725090448</v>
      </c>
    </row>
    <row r="313" spans="1:63" x14ac:dyDescent="0.3">
      <c r="A313" s="2">
        <v>312</v>
      </c>
      <c r="B313" s="2">
        <f t="shared" ca="1" si="248"/>
        <v>0.35719207162636757</v>
      </c>
      <c r="C313" s="2">
        <f t="shared" ca="1" si="249"/>
        <v>6.8452124840847626</v>
      </c>
      <c r="D313" s="2">
        <f t="shared" ca="1" si="250"/>
        <v>0.58439011588030243</v>
      </c>
      <c r="E313" s="2">
        <f t="shared" ca="1" si="251"/>
        <v>7.5882874530646216</v>
      </c>
      <c r="F313" s="2">
        <f t="shared" ca="1" si="252"/>
        <v>0.83388571801375733</v>
      </c>
      <c r="G313" s="2">
        <f t="shared" ca="1" si="253"/>
        <v>6.9089043775842643E-2</v>
      </c>
      <c r="H313" s="2">
        <f t="shared" ca="1" si="254"/>
        <v>6.9089043775842643E-2</v>
      </c>
      <c r="I313" s="2">
        <f t="shared" ca="1" si="255"/>
        <v>0.62764681803100519</v>
      </c>
      <c r="J313" s="2">
        <f t="shared" ca="1" si="256"/>
        <v>1.1628136438269964E-2</v>
      </c>
      <c r="K313" s="2">
        <f t="shared" ca="1" si="257"/>
        <v>1.1628136438269964E-2</v>
      </c>
      <c r="L313" s="2">
        <f t="shared" ca="1" si="258"/>
        <v>0.97897649418799193</v>
      </c>
      <c r="M313" s="2">
        <f t="shared" ca="1" si="259"/>
        <v>4.0661091096371192E-2</v>
      </c>
      <c r="N313" s="2">
        <f t="shared" ca="1" si="260"/>
        <v>4.0661091096371192E-2</v>
      </c>
      <c r="O313" s="2">
        <f t="shared" si="261"/>
        <v>6000000</v>
      </c>
      <c r="P313" s="2">
        <f t="shared" ca="1" si="262"/>
        <v>41071274.904508576</v>
      </c>
      <c r="Q313" s="2">
        <f t="shared" ca="1" si="263"/>
        <v>1026781.8726127144</v>
      </c>
      <c r="R313" s="2">
        <f t="shared" ca="1" si="264"/>
        <v>24642764.942705143</v>
      </c>
      <c r="S313" s="2">
        <f t="shared" ca="1" si="265"/>
        <v>16428509.961803431</v>
      </c>
      <c r="T313" s="2">
        <f t="shared" ca="1" si="266"/>
        <v>52033054.554818556</v>
      </c>
      <c r="U313" s="2">
        <f t="shared" ca="1" si="267"/>
        <v>55627968.538747229</v>
      </c>
      <c r="V313" s="2">
        <f t="shared" ca="1" si="268"/>
        <v>59471251.692281939</v>
      </c>
      <c r="W313" s="2">
        <f t="shared" ca="1" si="269"/>
        <v>63580063.603854164</v>
      </c>
      <c r="X313" s="2">
        <f t="shared" ca="1" si="270"/>
        <v>67972749.401451707</v>
      </c>
      <c r="Y313" s="2">
        <f t="shared" ca="1" si="271"/>
        <v>0.12581406821913499</v>
      </c>
      <c r="Z313" s="2">
        <f t="shared" ca="1" si="272"/>
        <v>0.12813969550678897</v>
      </c>
      <c r="AA313" s="2">
        <f t="shared" ca="1" si="273"/>
        <v>6546490.2754099146</v>
      </c>
      <c r="AB313" s="2">
        <f t="shared" ca="1" si="274"/>
        <v>7128150.9502163064</v>
      </c>
      <c r="AC313" s="2">
        <f t="shared" ca="1" si="275"/>
        <v>7620628.0832566163</v>
      </c>
      <c r="AD313" s="2">
        <f t="shared" ca="1" si="276"/>
        <v>8147129.9905001484</v>
      </c>
      <c r="AE313" s="2">
        <f t="shared" ca="1" si="277"/>
        <v>8710007.4110612944</v>
      </c>
      <c r="AF313" s="2">
        <f t="shared" ca="1" si="278"/>
        <v>1040661.0910963712</v>
      </c>
      <c r="AG313" s="2">
        <f t="shared" ca="1" si="279"/>
        <v>1112559.3707749445</v>
      </c>
      <c r="AH313" s="2">
        <f t="shared" ca="1" si="280"/>
        <v>1189425.0338456389</v>
      </c>
      <c r="AI313" s="2">
        <f t="shared" ca="1" si="281"/>
        <v>1271601.2720770834</v>
      </c>
      <c r="AJ313" s="2">
        <f t="shared" ca="1" si="282"/>
        <v>1359454.9880290341</v>
      </c>
      <c r="AK313" s="2">
        <f t="shared" ca="1" si="283"/>
        <v>0</v>
      </c>
      <c r="AL313" s="2">
        <f t="shared" ca="1" si="284"/>
        <v>35949.139839286734</v>
      </c>
      <c r="AM313" s="2">
        <f t="shared" ca="1" si="285"/>
        <v>38432.831535347104</v>
      </c>
      <c r="AN313" s="2">
        <f t="shared" ca="1" si="286"/>
        <v>41088.119115722257</v>
      </c>
      <c r="AO313" s="2">
        <f t="shared" ca="1" si="287"/>
        <v>43926.857975975428</v>
      </c>
      <c r="AP313" s="2">
        <f t="shared" ca="1" si="288"/>
        <v>2217848.844843463</v>
      </c>
      <c r="AQ313" s="2">
        <f t="shared" ca="1" si="289"/>
        <v>854874.88826222089</v>
      </c>
      <c r="AR313" s="2">
        <f t="shared" ca="1" si="290"/>
        <v>987413.11099545378</v>
      </c>
      <c r="AS313" s="2">
        <f t="shared" ca="1" si="291"/>
        <v>1095472.0931875538</v>
      </c>
      <c r="AT313" s="2">
        <f t="shared" ca="1" si="292"/>
        <v>1210996.7671306964</v>
      </c>
      <c r="AU313" s="2">
        <f t="shared" ca="1" si="293"/>
        <v>1334502.9303290874</v>
      </c>
      <c r="AV313" s="2">
        <f t="shared" ca="1" si="294"/>
        <v>2433105.4512078594</v>
      </c>
      <c r="AW313" s="2">
        <f t="shared" ca="1" si="295"/>
        <v>2774380.4837631583</v>
      </c>
      <c r="AX313" s="2">
        <f t="shared" ca="1" si="296"/>
        <v>3079449.2798446137</v>
      </c>
      <c r="AY313" s="2">
        <f t="shared" ca="1" si="297"/>
        <v>3405594.9873331832</v>
      </c>
      <c r="AZ313" s="2">
        <f t="shared" ca="1" si="298"/>
        <v>3754273.7898837347</v>
      </c>
      <c r="BA313" s="2">
        <f t="shared" ca="1" si="299"/>
        <v>66094039.95345629</v>
      </c>
      <c r="BB313" s="2">
        <f t="shared" ca="1" si="300"/>
        <v>1321880.7990691259</v>
      </c>
      <c r="BC313" s="2">
        <f t="shared" ca="1" si="301"/>
        <v>40129394.211682014</v>
      </c>
      <c r="BD313" s="2">
        <f t="shared" ca="1" si="302"/>
        <v>-17955291.834416144</v>
      </c>
      <c r="BE313" s="2">
        <f t="shared" ca="1" si="303"/>
        <v>2433105.4512078594</v>
      </c>
      <c r="BF313" s="2">
        <f t="shared" ca="1" si="304"/>
        <v>2774380.4837631583</v>
      </c>
      <c r="BG313" s="2">
        <f t="shared" ca="1" si="305"/>
        <v>3079449.2798446137</v>
      </c>
      <c r="BH313" s="2">
        <f t="shared" ca="1" si="306"/>
        <v>3405594.9873331832</v>
      </c>
      <c r="BI313" s="2">
        <f t="shared" ca="1" si="307"/>
        <v>43883668.001565747</v>
      </c>
      <c r="BJ313" s="2">
        <f t="shared" ca="1" si="308"/>
        <v>0.29948882162191182</v>
      </c>
      <c r="BK313" s="2">
        <f t="shared" ca="1" si="309"/>
        <v>15685822.987911567</v>
      </c>
    </row>
    <row r="314" spans="1:63" x14ac:dyDescent="0.3">
      <c r="A314" s="2">
        <v>313</v>
      </c>
      <c r="B314" s="2">
        <f t="shared" ca="1" si="248"/>
        <v>0.31154640492585373</v>
      </c>
      <c r="C314" s="2">
        <f t="shared" ca="1" si="249"/>
        <v>6.7893622804845108</v>
      </c>
      <c r="D314" s="2">
        <f t="shared" ca="1" si="250"/>
        <v>0.38054304139464101</v>
      </c>
      <c r="E314" s="2">
        <f t="shared" ca="1" si="251"/>
        <v>7.3724024775235808</v>
      </c>
      <c r="F314" s="2">
        <f t="shared" ca="1" si="252"/>
        <v>6.6446265740350507E-2</v>
      </c>
      <c r="G314" s="2">
        <f t="shared" ca="1" si="253"/>
        <v>-5.0837783829127195E-3</v>
      </c>
      <c r="H314" s="2">
        <f t="shared" ca="1" si="254"/>
        <v>-5.0837783829127195E-3</v>
      </c>
      <c r="I314" s="2">
        <f t="shared" ca="1" si="255"/>
        <v>0.3315813929278828</v>
      </c>
      <c r="J314" s="2">
        <f t="shared" ca="1" si="256"/>
        <v>7.8222467710106925E-3</v>
      </c>
      <c r="K314" s="2">
        <f t="shared" ca="1" si="257"/>
        <v>7.8222467710106925E-3</v>
      </c>
      <c r="L314" s="2">
        <f t="shared" ca="1" si="258"/>
        <v>0.4562317574688356</v>
      </c>
      <c r="M314" s="2">
        <f t="shared" ca="1" si="259"/>
        <v>-2.1986346807425488E-3</v>
      </c>
      <c r="N314" s="2">
        <f t="shared" ca="1" si="260"/>
        <v>-2.1986346807425488E-3</v>
      </c>
      <c r="O314" s="2">
        <f t="shared" si="261"/>
        <v>6000000</v>
      </c>
      <c r="P314" s="2">
        <f t="shared" ca="1" si="262"/>
        <v>40736173.682907067</v>
      </c>
      <c r="Q314" s="2">
        <f t="shared" ca="1" si="263"/>
        <v>1018404.3420726768</v>
      </c>
      <c r="R314" s="2">
        <f t="shared" ca="1" si="264"/>
        <v>24441704.209744241</v>
      </c>
      <c r="S314" s="2">
        <f t="shared" ca="1" si="265"/>
        <v>16294469.473162828</v>
      </c>
      <c r="T314" s="2">
        <f t="shared" ca="1" si="266"/>
        <v>49890068.265962869</v>
      </c>
      <c r="U314" s="2">
        <f t="shared" ca="1" si="267"/>
        <v>49636438.215390325</v>
      </c>
      <c r="V314" s="2">
        <f t="shared" ca="1" si="268"/>
        <v>49384097.563786142</v>
      </c>
      <c r="W314" s="2">
        <f t="shared" ca="1" si="269"/>
        <v>49133039.756131709</v>
      </c>
      <c r="X314" s="2">
        <f t="shared" ca="1" si="270"/>
        <v>48883258.270732693</v>
      </c>
      <c r="Y314" s="2">
        <f t="shared" ca="1" si="271"/>
        <v>0.12391112338550535</v>
      </c>
      <c r="Z314" s="2">
        <f t="shared" ca="1" si="272"/>
        <v>0.12547557273970747</v>
      </c>
      <c r="AA314" s="2">
        <f t="shared" ca="1" si="273"/>
        <v>6181934.4046150101</v>
      </c>
      <c r="AB314" s="2">
        <f t="shared" ca="1" si="274"/>
        <v>6228160.5138352038</v>
      </c>
      <c r="AC314" s="2">
        <f t="shared" ca="1" si="275"/>
        <v>6196497.9260496581</v>
      </c>
      <c r="AD314" s="2">
        <f t="shared" ca="1" si="276"/>
        <v>6164996.3038434433</v>
      </c>
      <c r="AE314" s="2">
        <f t="shared" ca="1" si="277"/>
        <v>6133654.8289032271</v>
      </c>
      <c r="AF314" s="2">
        <f t="shared" ca="1" si="278"/>
        <v>997801.36531925737</v>
      </c>
      <c r="AG314" s="2">
        <f t="shared" ca="1" si="279"/>
        <v>992728.7643078065</v>
      </c>
      <c r="AH314" s="2">
        <f t="shared" ca="1" si="280"/>
        <v>987681.95127572282</v>
      </c>
      <c r="AI314" s="2">
        <f t="shared" ca="1" si="281"/>
        <v>982660.79512263415</v>
      </c>
      <c r="AJ314" s="2">
        <f t="shared" ca="1" si="282"/>
        <v>977665.16541465383</v>
      </c>
      <c r="AK314" s="2">
        <f t="shared" ca="1" si="283"/>
        <v>0</v>
      </c>
      <c r="AL314" s="2">
        <f t="shared" ca="1" si="284"/>
        <v>0</v>
      </c>
      <c r="AM314" s="2">
        <f t="shared" ca="1" si="285"/>
        <v>0</v>
      </c>
      <c r="AN314" s="2">
        <f t="shared" ca="1" si="286"/>
        <v>0</v>
      </c>
      <c r="AO314" s="2">
        <f t="shared" ca="1" si="287"/>
        <v>0</v>
      </c>
      <c r="AP314" s="2">
        <f t="shared" ca="1" si="288"/>
        <v>2199753.3788769818</v>
      </c>
      <c r="AQ314" s="2">
        <f t="shared" ca="1" si="289"/>
        <v>775938.71170888038</v>
      </c>
      <c r="AR314" s="2">
        <f t="shared" ca="1" si="290"/>
        <v>789276.3763691081</v>
      </c>
      <c r="AS314" s="2">
        <f t="shared" ca="1" si="291"/>
        <v>782356.2749332079</v>
      </c>
      <c r="AT314" s="2">
        <f t="shared" ca="1" si="292"/>
        <v>775471.35375939531</v>
      </c>
      <c r="AU314" s="2">
        <f t="shared" ca="1" si="293"/>
        <v>768621.43399901385</v>
      </c>
      <c r="AV314" s="2">
        <f t="shared" ca="1" si="294"/>
        <v>2208440.9487098907</v>
      </c>
      <c r="AW314" s="2">
        <f t="shared" ca="1" si="295"/>
        <v>2246401.9942813073</v>
      </c>
      <c r="AX314" s="2">
        <f t="shared" ca="1" si="296"/>
        <v>2226706.3209637455</v>
      </c>
      <c r="AY314" s="2">
        <f t="shared" ca="1" si="297"/>
        <v>2207110.7760844328</v>
      </c>
      <c r="AZ314" s="2">
        <f t="shared" ca="1" si="298"/>
        <v>2187614.8506125775</v>
      </c>
      <c r="BA314" s="2">
        <f t="shared" ca="1" si="299"/>
        <v>45219772.056880623</v>
      </c>
      <c r="BB314" s="2">
        <f t="shared" ca="1" si="300"/>
        <v>904395.44113761245</v>
      </c>
      <c r="BC314" s="2">
        <f t="shared" ca="1" si="301"/>
        <v>19873672.40599877</v>
      </c>
      <c r="BD314" s="2">
        <f t="shared" ca="1" si="302"/>
        <v>-17812873.815235503</v>
      </c>
      <c r="BE314" s="2">
        <f t="shared" ca="1" si="303"/>
        <v>2208440.9487098907</v>
      </c>
      <c r="BF314" s="2">
        <f t="shared" ca="1" si="304"/>
        <v>2246401.9942813073</v>
      </c>
      <c r="BG314" s="2">
        <f t="shared" ca="1" si="305"/>
        <v>2226706.3209637455</v>
      </c>
      <c r="BH314" s="2">
        <f t="shared" ca="1" si="306"/>
        <v>2207110.7760844328</v>
      </c>
      <c r="BI314" s="2">
        <f t="shared" ca="1" si="307"/>
        <v>22061287.256611347</v>
      </c>
      <c r="BJ314" s="2">
        <f t="shared" ca="1" si="308"/>
        <v>0.14190693158565071</v>
      </c>
      <c r="BK314" s="2">
        <f t="shared" ca="1" si="309"/>
        <v>1455517.6140686013</v>
      </c>
    </row>
    <row r="315" spans="1:63" x14ac:dyDescent="0.3">
      <c r="A315" s="2">
        <v>314</v>
      </c>
      <c r="B315" s="2">
        <f t="shared" ca="1" si="248"/>
        <v>0.21153658432919897</v>
      </c>
      <c r="C315" s="2">
        <f t="shared" ca="1" si="249"/>
        <v>6.6504407495371103</v>
      </c>
      <c r="D315" s="2">
        <f t="shared" ca="1" si="250"/>
        <v>0.73918648399170084</v>
      </c>
      <c r="E315" s="2">
        <f t="shared" ca="1" si="251"/>
        <v>7.7777624822701341</v>
      </c>
      <c r="F315" s="2">
        <f t="shared" ca="1" si="252"/>
        <v>0.34125169522602405</v>
      </c>
      <c r="G315" s="2">
        <f t="shared" ca="1" si="253"/>
        <v>2.7728517256317031E-2</v>
      </c>
      <c r="H315" s="2">
        <f t="shared" ca="1" si="254"/>
        <v>2.7728517256317031E-2</v>
      </c>
      <c r="I315" s="2">
        <f t="shared" ca="1" si="255"/>
        <v>0.82448075092993645</v>
      </c>
      <c r="J315" s="2">
        <f t="shared" ca="1" si="256"/>
        <v>1.4662884177892296E-2</v>
      </c>
      <c r="K315" s="2">
        <f t="shared" ca="1" si="257"/>
        <v>1.4662884177892296E-2</v>
      </c>
      <c r="L315" s="2">
        <f t="shared" ca="1" si="258"/>
        <v>0.74722507736195509</v>
      </c>
      <c r="M315" s="2">
        <f t="shared" ca="1" si="259"/>
        <v>1.331565897329791E-2</v>
      </c>
      <c r="N315" s="2">
        <f t="shared" ca="1" si="260"/>
        <v>1.331565897329791E-2</v>
      </c>
      <c r="O315" s="2">
        <f t="shared" si="261"/>
        <v>6000000</v>
      </c>
      <c r="P315" s="2">
        <f t="shared" ca="1" si="262"/>
        <v>39902644.497222662</v>
      </c>
      <c r="Q315" s="2">
        <f t="shared" ca="1" si="263"/>
        <v>997566.11243056657</v>
      </c>
      <c r="R315" s="2">
        <f t="shared" ca="1" si="264"/>
        <v>23941586.698333595</v>
      </c>
      <c r="S315" s="2">
        <f t="shared" ca="1" si="265"/>
        <v>15961057.798889065</v>
      </c>
      <c r="T315" s="2">
        <f t="shared" ca="1" si="266"/>
        <v>50665782.948664896</v>
      </c>
      <c r="U315" s="2">
        <f t="shared" ca="1" si="267"/>
        <v>52070669.985461764</v>
      </c>
      <c r="V315" s="2">
        <f t="shared" ca="1" si="268"/>
        <v>53514512.456701636</v>
      </c>
      <c r="W315" s="2">
        <f t="shared" ca="1" si="269"/>
        <v>54998390.538820684</v>
      </c>
      <c r="X315" s="2">
        <f t="shared" ca="1" si="270"/>
        <v>56523414.359946042</v>
      </c>
      <c r="Y315" s="2">
        <f t="shared" ca="1" si="271"/>
        <v>0.12733144208894615</v>
      </c>
      <c r="Z315" s="2">
        <f t="shared" ca="1" si="272"/>
        <v>0.1302640189245246</v>
      </c>
      <c r="AA315" s="2">
        <f t="shared" ca="1" si="273"/>
        <v>6451347.2074190397</v>
      </c>
      <c r="AB315" s="2">
        <f t="shared" ca="1" si="274"/>
        <v>6782934.7403988661</v>
      </c>
      <c r="AC315" s="2">
        <f t="shared" ca="1" si="275"/>
        <v>6971015.4633964896</v>
      </c>
      <c r="AD315" s="2">
        <f t="shared" ca="1" si="276"/>
        <v>7164311.3859673329</v>
      </c>
      <c r="AE315" s="2">
        <f t="shared" ca="1" si="277"/>
        <v>7362967.1178627573</v>
      </c>
      <c r="AF315" s="2">
        <f t="shared" ca="1" si="278"/>
        <v>1013315.6589732979</v>
      </c>
      <c r="AG315" s="2">
        <f t="shared" ca="1" si="279"/>
        <v>1041413.3997092353</v>
      </c>
      <c r="AH315" s="2">
        <f t="shared" ca="1" si="280"/>
        <v>1070290.2491340328</v>
      </c>
      <c r="AI315" s="2">
        <f t="shared" ca="1" si="281"/>
        <v>1099967.8107764137</v>
      </c>
      <c r="AJ315" s="2">
        <f t="shared" ca="1" si="282"/>
        <v>1130468.287198921</v>
      </c>
      <c r="AK315" s="2">
        <f t="shared" ca="1" si="283"/>
        <v>0</v>
      </c>
      <c r="AL315" s="2">
        <f t="shared" ca="1" si="284"/>
        <v>14048.870367968679</v>
      </c>
      <c r="AM315" s="2">
        <f t="shared" ca="1" si="285"/>
        <v>14438.424712398722</v>
      </c>
      <c r="AN315" s="2">
        <f t="shared" ca="1" si="286"/>
        <v>14838.780821190478</v>
      </c>
      <c r="AO315" s="2">
        <f t="shared" ca="1" si="287"/>
        <v>15250.238211253583</v>
      </c>
      <c r="AP315" s="2">
        <f t="shared" ca="1" si="288"/>
        <v>2154742.8028500234</v>
      </c>
      <c r="AQ315" s="2">
        <f t="shared" ca="1" si="289"/>
        <v>853655.07385488681</v>
      </c>
      <c r="AR315" s="2">
        <f t="shared" ca="1" si="290"/>
        <v>932562.41983829811</v>
      </c>
      <c r="AS315" s="2">
        <f t="shared" ca="1" si="291"/>
        <v>973955.42696723272</v>
      </c>
      <c r="AT315" s="2">
        <f t="shared" ca="1" si="292"/>
        <v>1016496.200808633</v>
      </c>
      <c r="AU315" s="2">
        <f t="shared" ca="1" si="293"/>
        <v>1060216.5672315916</v>
      </c>
      <c r="AV315" s="2">
        <f t="shared" ca="1" si="294"/>
        <v>2429633.6717408313</v>
      </c>
      <c r="AW315" s="2">
        <f t="shared" ca="1" si="295"/>
        <v>2640167.2476333412</v>
      </c>
      <c r="AX315" s="2">
        <f t="shared" ca="1" si="296"/>
        <v>2757588.5597328017</v>
      </c>
      <c r="AY315" s="2">
        <f t="shared" ca="1" si="297"/>
        <v>2878265.7907110727</v>
      </c>
      <c r="AZ315" s="2">
        <f t="shared" ca="1" si="298"/>
        <v>3002289.2223709677</v>
      </c>
      <c r="BA315" s="2">
        <f t="shared" ca="1" si="299"/>
        <v>57267409.407501616</v>
      </c>
      <c r="BB315" s="2">
        <f t="shared" ca="1" si="300"/>
        <v>1145348.1881500324</v>
      </c>
      <c r="BC315" s="2">
        <f t="shared" ca="1" si="301"/>
        <v>32180474.521017987</v>
      </c>
      <c r="BD315" s="2">
        <f t="shared" ca="1" si="302"/>
        <v>-17458623.911319632</v>
      </c>
      <c r="BE315" s="2">
        <f t="shared" ca="1" si="303"/>
        <v>2429633.6717408313</v>
      </c>
      <c r="BF315" s="2">
        <f t="shared" ca="1" si="304"/>
        <v>2640167.2476333412</v>
      </c>
      <c r="BG315" s="2">
        <f t="shared" ca="1" si="305"/>
        <v>2757588.5597328017</v>
      </c>
      <c r="BH315" s="2">
        <f t="shared" ca="1" si="306"/>
        <v>2878265.7907110727</v>
      </c>
      <c r="BI315" s="2">
        <f t="shared" ca="1" si="307"/>
        <v>35182763.743388958</v>
      </c>
      <c r="BJ315" s="2">
        <f t="shared" ca="1" si="308"/>
        <v>0.25517429673208825</v>
      </c>
      <c r="BK315" s="2">
        <f t="shared" ca="1" si="309"/>
        <v>10571049.051811051</v>
      </c>
    </row>
    <row r="316" spans="1:63" x14ac:dyDescent="0.3">
      <c r="A316" s="2">
        <v>315</v>
      </c>
      <c r="B316" s="2">
        <f t="shared" ca="1" si="248"/>
        <v>0.70157439897487583</v>
      </c>
      <c r="C316" s="2">
        <f t="shared" ca="1" si="249"/>
        <v>7.227438544806791</v>
      </c>
      <c r="D316" s="2">
        <f t="shared" ca="1" si="250"/>
        <v>0.77332332495596812</v>
      </c>
      <c r="E316" s="2">
        <f t="shared" ca="1" si="251"/>
        <v>7.8266848062845575</v>
      </c>
      <c r="F316" s="2">
        <f t="shared" ca="1" si="252"/>
        <v>0.58632205935701021</v>
      </c>
      <c r="G316" s="2">
        <f t="shared" ca="1" si="253"/>
        <v>4.6542819650053947E-2</v>
      </c>
      <c r="H316" s="2">
        <f t="shared" ca="1" si="254"/>
        <v>4.6542819650053947E-2</v>
      </c>
      <c r="I316" s="2">
        <f t="shared" ca="1" si="255"/>
        <v>0.63747021963158013</v>
      </c>
      <c r="J316" s="2">
        <f t="shared" ca="1" si="256"/>
        <v>1.1758524664442641E-2</v>
      </c>
      <c r="K316" s="2">
        <f t="shared" ca="1" si="257"/>
        <v>1.1758524664442641E-2</v>
      </c>
      <c r="L316" s="2">
        <f t="shared" ca="1" si="258"/>
        <v>0.78969253833778519</v>
      </c>
      <c r="M316" s="2">
        <f t="shared" ca="1" si="259"/>
        <v>1.610709751688532E-2</v>
      </c>
      <c r="N316" s="2">
        <f t="shared" ca="1" si="260"/>
        <v>1.610709751688532E-2</v>
      </c>
      <c r="O316" s="2">
        <f t="shared" si="261"/>
        <v>6000000</v>
      </c>
      <c r="P316" s="2">
        <f t="shared" ca="1" si="262"/>
        <v>43364631.268840745</v>
      </c>
      <c r="Q316" s="2">
        <f t="shared" ca="1" si="263"/>
        <v>1084115.7817210187</v>
      </c>
      <c r="R316" s="2">
        <f t="shared" ca="1" si="264"/>
        <v>26018778.761304446</v>
      </c>
      <c r="S316" s="2">
        <f t="shared" ca="1" si="265"/>
        <v>17345852.5075363</v>
      </c>
      <c r="T316" s="2">
        <f t="shared" ca="1" si="266"/>
        <v>50805354.87584427</v>
      </c>
      <c r="U316" s="2">
        <f t="shared" ca="1" si="267"/>
        <v>53169979.345087677</v>
      </c>
      <c r="V316" s="2">
        <f t="shared" ca="1" si="268"/>
        <v>55644660.104543187</v>
      </c>
      <c r="W316" s="2">
        <f t="shared" ca="1" si="269"/>
        <v>58234519.484277487</v>
      </c>
      <c r="X316" s="2">
        <f t="shared" ca="1" si="270"/>
        <v>60944918.222041763</v>
      </c>
      <c r="Y316" s="2">
        <f t="shared" ca="1" si="271"/>
        <v>0.12587926233222133</v>
      </c>
      <c r="Z316" s="2">
        <f t="shared" ca="1" si="272"/>
        <v>0.12823096726510985</v>
      </c>
      <c r="AA316" s="2">
        <f t="shared" ca="1" si="273"/>
        <v>6395340.5942980004</v>
      </c>
      <c r="AB316" s="2">
        <f t="shared" ca="1" si="274"/>
        <v>6818037.8808865054</v>
      </c>
      <c r="AC316" s="2">
        <f t="shared" ca="1" si="275"/>
        <v>7135368.588343842</v>
      </c>
      <c r="AD316" s="2">
        <f t="shared" ca="1" si="276"/>
        <v>7467468.7616877882</v>
      </c>
      <c r="AE316" s="2">
        <f t="shared" ca="1" si="277"/>
        <v>7815025.8135054344</v>
      </c>
      <c r="AF316" s="2">
        <f t="shared" ca="1" si="278"/>
        <v>1016107.0975168854</v>
      </c>
      <c r="AG316" s="2">
        <f t="shared" ca="1" si="279"/>
        <v>1063399.5869017537</v>
      </c>
      <c r="AH316" s="2">
        <f t="shared" ca="1" si="280"/>
        <v>1112893.2020908638</v>
      </c>
      <c r="AI316" s="2">
        <f t="shared" ca="1" si="281"/>
        <v>1164690.3896855498</v>
      </c>
      <c r="AJ316" s="2">
        <f t="shared" ca="1" si="282"/>
        <v>1218898.3644408353</v>
      </c>
      <c r="AK316" s="2">
        <f t="shared" ca="1" si="283"/>
        <v>0</v>
      </c>
      <c r="AL316" s="2">
        <f t="shared" ca="1" si="284"/>
        <v>23646.244692434073</v>
      </c>
      <c r="AM316" s="2">
        <f t="shared" ca="1" si="285"/>
        <v>24746.807594555095</v>
      </c>
      <c r="AN316" s="2">
        <f t="shared" ca="1" si="286"/>
        <v>25898.593797343001</v>
      </c>
      <c r="AO316" s="2">
        <f t="shared" ca="1" si="287"/>
        <v>27103.987377642767</v>
      </c>
      <c r="AP316" s="2">
        <f t="shared" ca="1" si="288"/>
        <v>2341690.0885174</v>
      </c>
      <c r="AQ316" s="2">
        <f t="shared" ca="1" si="289"/>
        <v>789761.28614856605</v>
      </c>
      <c r="AR316" s="2">
        <f t="shared" ca="1" si="290"/>
        <v>887366.53342151165</v>
      </c>
      <c r="AS316" s="2">
        <f t="shared" ca="1" si="291"/>
        <v>957004.1774112503</v>
      </c>
      <c r="AT316" s="2">
        <f t="shared" ca="1" si="292"/>
        <v>1029882.953706058</v>
      </c>
      <c r="AU316" s="2">
        <f t="shared" ca="1" si="293"/>
        <v>1106153.713742272</v>
      </c>
      <c r="AV316" s="2">
        <f t="shared" ca="1" si="294"/>
        <v>2247782.1221151496</v>
      </c>
      <c r="AW316" s="2">
        <f t="shared" ca="1" si="295"/>
        <v>2501935.4273534068</v>
      </c>
      <c r="AX316" s="2">
        <f t="shared" ca="1" si="296"/>
        <v>2699034.3127297717</v>
      </c>
      <c r="AY316" s="2">
        <f t="shared" ca="1" si="297"/>
        <v>2905306.7359814378</v>
      </c>
      <c r="AZ316" s="2">
        <f t="shared" ca="1" si="298"/>
        <v>3121179.6594272847</v>
      </c>
      <c r="BA316" s="2">
        <f t="shared" ca="1" si="299"/>
        <v>61165743.795284599</v>
      </c>
      <c r="BB316" s="2">
        <f t="shared" ca="1" si="300"/>
        <v>1223314.8759056921</v>
      </c>
      <c r="BC316" s="2">
        <f t="shared" ca="1" si="301"/>
        <v>33923650.158074461</v>
      </c>
      <c r="BD316" s="2">
        <f t="shared" ca="1" si="302"/>
        <v>-18929968.289257318</v>
      </c>
      <c r="BE316" s="2">
        <f t="shared" ca="1" si="303"/>
        <v>2247782.1221151496</v>
      </c>
      <c r="BF316" s="2">
        <f t="shared" ca="1" si="304"/>
        <v>2501935.4273534068</v>
      </c>
      <c r="BG316" s="2">
        <f t="shared" ca="1" si="305"/>
        <v>2699034.3127297717</v>
      </c>
      <c r="BH316" s="2">
        <f t="shared" ca="1" si="306"/>
        <v>2905306.7359814378</v>
      </c>
      <c r="BI316" s="2">
        <f t="shared" ca="1" si="307"/>
        <v>37044829.817501746</v>
      </c>
      <c r="BJ316" s="2">
        <f t="shared" ca="1" si="308"/>
        <v>0.23667226886078851</v>
      </c>
      <c r="BK316" s="2">
        <f t="shared" ca="1" si="309"/>
        <v>9859233.2087487653</v>
      </c>
    </row>
    <row r="317" spans="1:63" x14ac:dyDescent="0.3">
      <c r="A317" s="2">
        <v>316</v>
      </c>
      <c r="B317" s="2">
        <f t="shared" ca="1" si="248"/>
        <v>0.94723507321344935</v>
      </c>
      <c r="C317" s="2">
        <f t="shared" ca="1" si="249"/>
        <v>7.6751464120975399</v>
      </c>
      <c r="D317" s="2">
        <f t="shared" ca="1" si="250"/>
        <v>0.17696962283719819</v>
      </c>
      <c r="E317" s="2">
        <f t="shared" ca="1" si="251"/>
        <v>7.0949279331771171</v>
      </c>
      <c r="F317" s="2">
        <f t="shared" ca="1" si="252"/>
        <v>0.61249201997608038</v>
      </c>
      <c r="G317" s="2">
        <f t="shared" ca="1" si="253"/>
        <v>4.8574601136926035E-2</v>
      </c>
      <c r="H317" s="2">
        <f t="shared" ca="1" si="254"/>
        <v>4.8574601136926035E-2</v>
      </c>
      <c r="I317" s="2">
        <f t="shared" ca="1" si="255"/>
        <v>0.47008811083231039</v>
      </c>
      <c r="J317" s="2">
        <f t="shared" ca="1" si="256"/>
        <v>9.6247581184818673E-3</v>
      </c>
      <c r="K317" s="2">
        <f t="shared" ca="1" si="257"/>
        <v>9.6247581184818673E-3</v>
      </c>
      <c r="L317" s="2">
        <f t="shared" ca="1" si="258"/>
        <v>0.90385581875085408</v>
      </c>
      <c r="M317" s="2">
        <f t="shared" ca="1" si="259"/>
        <v>2.6076787019338445E-2</v>
      </c>
      <c r="N317" s="2">
        <f t="shared" ca="1" si="260"/>
        <v>2.6076787019338445E-2</v>
      </c>
      <c r="O317" s="2">
        <f t="shared" si="261"/>
        <v>6000000</v>
      </c>
      <c r="P317" s="2">
        <f t="shared" ca="1" si="262"/>
        <v>46050878.472585239</v>
      </c>
      <c r="Q317" s="2">
        <f t="shared" ca="1" si="263"/>
        <v>1151271.961814631</v>
      </c>
      <c r="R317" s="2">
        <f t="shared" ca="1" si="264"/>
        <v>27630527.083551142</v>
      </c>
      <c r="S317" s="2">
        <f t="shared" ca="1" si="265"/>
        <v>18420351.389034096</v>
      </c>
      <c r="T317" s="2">
        <f t="shared" ca="1" si="266"/>
        <v>51303839.350966915</v>
      </c>
      <c r="U317" s="2">
        <f t="shared" ca="1" si="267"/>
        <v>53795902.884233065</v>
      </c>
      <c r="V317" s="2">
        <f t="shared" ca="1" si="268"/>
        <v>56409017.409635499</v>
      </c>
      <c r="W317" s="2">
        <f t="shared" ca="1" si="269"/>
        <v>59149062.930834465</v>
      </c>
      <c r="X317" s="2">
        <f t="shared" ca="1" si="270"/>
        <v>62022205.070322692</v>
      </c>
      <c r="Y317" s="2">
        <f t="shared" ca="1" si="271"/>
        <v>0.12481237905924093</v>
      </c>
      <c r="Z317" s="2">
        <f t="shared" ca="1" si="272"/>
        <v>0.1267373306829373</v>
      </c>
      <c r="AA317" s="2">
        <f t="shared" ca="1" si="273"/>
        <v>6403354.2442672839</v>
      </c>
      <c r="AB317" s="2">
        <f t="shared" ca="1" si="274"/>
        <v>6817949.1332262261</v>
      </c>
      <c r="AC317" s="2">
        <f t="shared" ca="1" si="275"/>
        <v>7149128.2929445412</v>
      </c>
      <c r="AD317" s="2">
        <f t="shared" ca="1" si="276"/>
        <v>7496394.3482510364</v>
      </c>
      <c r="AE317" s="2">
        <f t="shared" ca="1" si="277"/>
        <v>7860528.7136824373</v>
      </c>
      <c r="AF317" s="2">
        <f t="shared" ca="1" si="278"/>
        <v>1026076.7870193383</v>
      </c>
      <c r="AG317" s="2">
        <f t="shared" ca="1" si="279"/>
        <v>1075918.0576846614</v>
      </c>
      <c r="AH317" s="2">
        <f t="shared" ca="1" si="280"/>
        <v>1128180.34819271</v>
      </c>
      <c r="AI317" s="2">
        <f t="shared" ca="1" si="281"/>
        <v>1182981.2586166894</v>
      </c>
      <c r="AJ317" s="2">
        <f t="shared" ca="1" si="282"/>
        <v>1240444.1014064539</v>
      </c>
      <c r="AK317" s="2">
        <f t="shared" ca="1" si="283"/>
        <v>0</v>
      </c>
      <c r="AL317" s="2">
        <f t="shared" ca="1" si="284"/>
        <v>24920.635332661495</v>
      </c>
      <c r="AM317" s="2">
        <f t="shared" ca="1" si="285"/>
        <v>26131.145254024341</v>
      </c>
      <c r="AN317" s="2">
        <f t="shared" ca="1" si="286"/>
        <v>27400.455211989658</v>
      </c>
      <c r="AO317" s="2">
        <f t="shared" ca="1" si="287"/>
        <v>28731.421394882276</v>
      </c>
      <c r="AP317" s="2">
        <f t="shared" ca="1" si="288"/>
        <v>2486747.4375196029</v>
      </c>
      <c r="AQ317" s="2">
        <f t="shared" ca="1" si="289"/>
        <v>751537.80512936914</v>
      </c>
      <c r="AR317" s="2">
        <f t="shared" ca="1" si="290"/>
        <v>846373.74588571023</v>
      </c>
      <c r="AS317" s="2">
        <f t="shared" ca="1" si="291"/>
        <v>918892.13188037928</v>
      </c>
      <c r="AT317" s="2">
        <f t="shared" ca="1" si="292"/>
        <v>994933.06954983342</v>
      </c>
      <c r="AU317" s="2">
        <f t="shared" ca="1" si="293"/>
        <v>1074667.665436659</v>
      </c>
      <c r="AV317" s="2">
        <f t="shared" ca="1" si="294"/>
        <v>2138992.2145989737</v>
      </c>
      <c r="AW317" s="2">
        <f t="shared" ca="1" si="295"/>
        <v>2383989.2568035903</v>
      </c>
      <c r="AX317" s="2">
        <f t="shared" ca="1" si="296"/>
        <v>2589177.2300978242</v>
      </c>
      <c r="AY317" s="2">
        <f t="shared" ca="1" si="297"/>
        <v>2804332.1273529208</v>
      </c>
      <c r="AZ317" s="2">
        <f t="shared" ca="1" si="298"/>
        <v>3029938.0879248385</v>
      </c>
      <c r="BA317" s="2">
        <f t="shared" ca="1" si="299"/>
        <v>55769884.740246318</v>
      </c>
      <c r="BB317" s="2">
        <f t="shared" ca="1" si="300"/>
        <v>1115397.6948049264</v>
      </c>
      <c r="BC317" s="2">
        <f t="shared" ca="1" si="301"/>
        <v>27023959.96189025</v>
      </c>
      <c r="BD317" s="2">
        <f t="shared" ca="1" si="302"/>
        <v>-20071623.350848727</v>
      </c>
      <c r="BE317" s="2">
        <f t="shared" ca="1" si="303"/>
        <v>2138992.2145989737</v>
      </c>
      <c r="BF317" s="2">
        <f t="shared" ca="1" si="304"/>
        <v>2383989.2568035903</v>
      </c>
      <c r="BG317" s="2">
        <f t="shared" ca="1" si="305"/>
        <v>2589177.2300978242</v>
      </c>
      <c r="BH317" s="2">
        <f t="shared" ca="1" si="306"/>
        <v>2804332.1273529208</v>
      </c>
      <c r="BI317" s="2">
        <f t="shared" ca="1" si="307"/>
        <v>30053898.049815089</v>
      </c>
      <c r="BJ317" s="2">
        <f t="shared" ca="1" si="308"/>
        <v>0.17445666645775737</v>
      </c>
      <c r="BK317" s="2">
        <f t="shared" ca="1" si="309"/>
        <v>4417210.6138930582</v>
      </c>
    </row>
    <row r="318" spans="1:63" x14ac:dyDescent="0.3">
      <c r="A318" s="2">
        <v>317</v>
      </c>
      <c r="B318" s="2">
        <f t="shared" ca="1" si="248"/>
        <v>8.6815355662589022E-2</v>
      </c>
      <c r="C318" s="2">
        <f t="shared" ca="1" si="249"/>
        <v>6.4166901862597419</v>
      </c>
      <c r="D318" s="2">
        <f t="shared" ca="1" si="250"/>
        <v>0.41399229064851661</v>
      </c>
      <c r="E318" s="2">
        <f t="shared" ca="1" si="251"/>
        <v>7.409936580920359</v>
      </c>
      <c r="F318" s="2">
        <f t="shared" ca="1" si="252"/>
        <v>0.80713624513908766</v>
      </c>
      <c r="G318" s="2">
        <f t="shared" ca="1" si="253"/>
        <v>6.6021746523530378E-2</v>
      </c>
      <c r="H318" s="2">
        <f t="shared" ca="1" si="254"/>
        <v>6.6021746523530378E-2</v>
      </c>
      <c r="I318" s="2">
        <f t="shared" ca="1" si="255"/>
        <v>0.81959160410733689</v>
      </c>
      <c r="J318" s="2">
        <f t="shared" ca="1" si="256"/>
        <v>1.4569049040722022E-2</v>
      </c>
      <c r="K318" s="2">
        <f t="shared" ca="1" si="257"/>
        <v>1.4569049040722022E-2</v>
      </c>
      <c r="L318" s="2">
        <f t="shared" ca="1" si="258"/>
        <v>0.85317699381740475</v>
      </c>
      <c r="M318" s="2">
        <f t="shared" ca="1" si="259"/>
        <v>2.1003136664875632E-2</v>
      </c>
      <c r="N318" s="2">
        <f t="shared" ca="1" si="260"/>
        <v>2.1003136664875632E-2</v>
      </c>
      <c r="O318" s="2">
        <f t="shared" si="261"/>
        <v>6000000</v>
      </c>
      <c r="P318" s="2">
        <f t="shared" ca="1" si="262"/>
        <v>38500141.11755845</v>
      </c>
      <c r="Q318" s="2">
        <f t="shared" ca="1" si="263"/>
        <v>962503.52793896128</v>
      </c>
      <c r="R318" s="2">
        <f t="shared" ca="1" si="264"/>
        <v>23100084.670535069</v>
      </c>
      <c r="S318" s="2">
        <f t="shared" ca="1" si="265"/>
        <v>15400056.447023381</v>
      </c>
      <c r="T318" s="2">
        <f t="shared" ca="1" si="266"/>
        <v>51050156.833243787</v>
      </c>
      <c r="U318" s="2">
        <f t="shared" ca="1" si="267"/>
        <v>54420577.347674683</v>
      </c>
      <c r="V318" s="2">
        <f t="shared" ca="1" si="268"/>
        <v>58013518.910987042</v>
      </c>
      <c r="W318" s="2">
        <f t="shared" ca="1" si="269"/>
        <v>61843672.751466267</v>
      </c>
      <c r="X318" s="2">
        <f t="shared" ca="1" si="270"/>
        <v>65926700.037947737</v>
      </c>
      <c r="Y318" s="2">
        <f t="shared" ca="1" si="271"/>
        <v>0.12728452452036101</v>
      </c>
      <c r="Z318" s="2">
        <f t="shared" ca="1" si="272"/>
        <v>0.13019833432850542</v>
      </c>
      <c r="AA318" s="2">
        <f t="shared" ca="1" si="273"/>
        <v>6497894.9392092945</v>
      </c>
      <c r="AB318" s="2">
        <f t="shared" ca="1" si="274"/>
        <v>7085468.5238628369</v>
      </c>
      <c r="AC318" s="2">
        <f t="shared" ca="1" si="275"/>
        <v>7553263.5307457624</v>
      </c>
      <c r="AD318" s="2">
        <f t="shared" ca="1" si="276"/>
        <v>8051943.1809980851</v>
      </c>
      <c r="AE318" s="2">
        <f t="shared" ca="1" si="277"/>
        <v>8583546.5327158105</v>
      </c>
      <c r="AF318" s="2">
        <f t="shared" ca="1" si="278"/>
        <v>1021003.1366648758</v>
      </c>
      <c r="AG318" s="2">
        <f t="shared" ca="1" si="279"/>
        <v>1088411.5469534937</v>
      </c>
      <c r="AH318" s="2">
        <f t="shared" ca="1" si="280"/>
        <v>1160270.3782197409</v>
      </c>
      <c r="AI318" s="2">
        <f t="shared" ca="1" si="281"/>
        <v>1236873.4550293253</v>
      </c>
      <c r="AJ318" s="2">
        <f t="shared" ca="1" si="282"/>
        <v>1318534.0007589548</v>
      </c>
      <c r="AK318" s="2">
        <f t="shared" ca="1" si="283"/>
        <v>0</v>
      </c>
      <c r="AL318" s="2">
        <f t="shared" ca="1" si="284"/>
        <v>33704.205144308959</v>
      </c>
      <c r="AM318" s="2">
        <f t="shared" ca="1" si="285"/>
        <v>35929.415633123594</v>
      </c>
      <c r="AN318" s="2">
        <f t="shared" ca="1" si="286"/>
        <v>38301.538404792249</v>
      </c>
      <c r="AO318" s="2">
        <f t="shared" ca="1" si="287"/>
        <v>40830.272864814702</v>
      </c>
      <c r="AP318" s="2">
        <f t="shared" ca="1" si="288"/>
        <v>2079007.6203481562</v>
      </c>
      <c r="AQ318" s="2">
        <f t="shared" ca="1" si="289"/>
        <v>883449.88737102819</v>
      </c>
      <c r="AR318" s="2">
        <f t="shared" ca="1" si="290"/>
        <v>1018692.8327059086</v>
      </c>
      <c r="AS318" s="2">
        <f t="shared" ca="1" si="291"/>
        <v>1121636.2383662448</v>
      </c>
      <c r="AT318" s="2">
        <f t="shared" ca="1" si="292"/>
        <v>1231376.1474613568</v>
      </c>
      <c r="AU318" s="2">
        <f t="shared" ca="1" si="293"/>
        <v>1348361.2770182618</v>
      </c>
      <c r="AV318" s="2">
        <f t="shared" ca="1" si="294"/>
        <v>2514434.2948252345</v>
      </c>
      <c r="AW318" s="2">
        <f t="shared" ca="1" si="295"/>
        <v>2865652.3187109698</v>
      </c>
      <c r="AX318" s="2">
        <f t="shared" ca="1" si="296"/>
        <v>3156419.8781784968</v>
      </c>
      <c r="AY318" s="2">
        <f t="shared" ca="1" si="297"/>
        <v>3466384.4197544539</v>
      </c>
      <c r="AZ318" s="2">
        <f t="shared" ca="1" si="298"/>
        <v>3796813.3617256219</v>
      </c>
      <c r="BA318" s="2">
        <f t="shared" ca="1" si="299"/>
        <v>63603535.446802996</v>
      </c>
      <c r="BB318" s="2">
        <f t="shared" ca="1" si="300"/>
        <v>1272070.7089360598</v>
      </c>
      <c r="BC318" s="2">
        <f t="shared" ca="1" si="301"/>
        <v>39231380.067331873</v>
      </c>
      <c r="BD318" s="2">
        <f t="shared" ca="1" si="302"/>
        <v>-16862559.974962343</v>
      </c>
      <c r="BE318" s="2">
        <f t="shared" ca="1" si="303"/>
        <v>2514434.2948252345</v>
      </c>
      <c r="BF318" s="2">
        <f t="shared" ca="1" si="304"/>
        <v>2865652.3187109698</v>
      </c>
      <c r="BG318" s="2">
        <f t="shared" ca="1" si="305"/>
        <v>3156419.8781784968</v>
      </c>
      <c r="BH318" s="2">
        <f t="shared" ca="1" si="306"/>
        <v>3466384.4197544539</v>
      </c>
      <c r="BI318" s="2">
        <f t="shared" ca="1" si="307"/>
        <v>43028193.429057494</v>
      </c>
      <c r="BJ318" s="2">
        <f t="shared" ca="1" si="308"/>
        <v>0.31879443117663886</v>
      </c>
      <c r="BK318" s="2">
        <f t="shared" ca="1" si="309"/>
        <v>16531930.922333244</v>
      </c>
    </row>
    <row r="319" spans="1:63" x14ac:dyDescent="0.3">
      <c r="A319" s="2">
        <v>318</v>
      </c>
      <c r="B319" s="2">
        <f t="shared" ca="1" si="248"/>
        <v>0.56654906961184559</v>
      </c>
      <c r="C319" s="2">
        <f t="shared" ca="1" si="249"/>
        <v>7.0689243528175014</v>
      </c>
      <c r="D319" s="2">
        <f t="shared" ca="1" si="250"/>
        <v>0.50810045834103579</v>
      </c>
      <c r="E319" s="2">
        <f t="shared" ca="1" si="251"/>
        <v>7.5081335355412362</v>
      </c>
      <c r="F319" s="2">
        <f t="shared" ca="1" si="252"/>
        <v>0.1212381574424547</v>
      </c>
      <c r="G319" s="2">
        <f t="shared" ca="1" si="253"/>
        <v>4.9354114825849935E-3</v>
      </c>
      <c r="H319" s="2">
        <f t="shared" ca="1" si="254"/>
        <v>4.9354114825849935E-3</v>
      </c>
      <c r="I319" s="2">
        <f t="shared" ca="1" si="255"/>
        <v>0.24650273812721901</v>
      </c>
      <c r="J319" s="2">
        <f t="shared" ca="1" si="256"/>
        <v>6.5723178169788416E-3</v>
      </c>
      <c r="K319" s="2">
        <f t="shared" ca="1" si="257"/>
        <v>6.5723178169788416E-3</v>
      </c>
      <c r="L319" s="2">
        <f t="shared" ca="1" si="258"/>
        <v>0.91984666993528863</v>
      </c>
      <c r="M319" s="2">
        <f t="shared" ca="1" si="259"/>
        <v>2.8080818710168893E-2</v>
      </c>
      <c r="N319" s="2">
        <f t="shared" ca="1" si="260"/>
        <v>2.8080818710168893E-2</v>
      </c>
      <c r="O319" s="2">
        <f t="shared" si="261"/>
        <v>6000000</v>
      </c>
      <c r="P319" s="2">
        <f t="shared" ca="1" si="262"/>
        <v>42413546.116905011</v>
      </c>
      <c r="Q319" s="2">
        <f t="shared" ca="1" si="263"/>
        <v>1060338.6529226254</v>
      </c>
      <c r="R319" s="2">
        <f t="shared" ca="1" si="264"/>
        <v>25448127.670143005</v>
      </c>
      <c r="S319" s="2">
        <f t="shared" ca="1" si="265"/>
        <v>16965418.446762007</v>
      </c>
      <c r="T319" s="2">
        <f t="shared" ca="1" si="266"/>
        <v>51404040.935508445</v>
      </c>
      <c r="U319" s="2">
        <f t="shared" ca="1" si="267"/>
        <v>51657741.029392824</v>
      </c>
      <c r="V319" s="2">
        <f t="shared" ca="1" si="268"/>
        <v>51912693.23763369</v>
      </c>
      <c r="W319" s="2">
        <f t="shared" ca="1" si="269"/>
        <v>52168903.739930622</v>
      </c>
      <c r="X319" s="2">
        <f t="shared" ca="1" si="270"/>
        <v>52426378.746482551</v>
      </c>
      <c r="Y319" s="2">
        <f t="shared" ca="1" si="271"/>
        <v>0.12328615890848942</v>
      </c>
      <c r="Z319" s="2">
        <f t="shared" ca="1" si="272"/>
        <v>0.12460062247188518</v>
      </c>
      <c r="AA319" s="2">
        <f t="shared" ca="1" si="273"/>
        <v>6337406.759313589</v>
      </c>
      <c r="AB319" s="2">
        <f t="shared" ca="1" si="274"/>
        <v>6436586.6877537882</v>
      </c>
      <c r="AC319" s="2">
        <f t="shared" ca="1" si="275"/>
        <v>6468353.8916011825</v>
      </c>
      <c r="AD319" s="2">
        <f t="shared" ca="1" si="276"/>
        <v>6500277.8796712141</v>
      </c>
      <c r="AE319" s="2">
        <f t="shared" ca="1" si="277"/>
        <v>6532359.4257585369</v>
      </c>
      <c r="AF319" s="2">
        <f t="shared" ca="1" si="278"/>
        <v>1028080.8187101689</v>
      </c>
      <c r="AG319" s="2">
        <f t="shared" ca="1" si="279"/>
        <v>1033154.8205878565</v>
      </c>
      <c r="AH319" s="2">
        <f t="shared" ca="1" si="280"/>
        <v>1038253.8647526738</v>
      </c>
      <c r="AI319" s="2">
        <f t="shared" ca="1" si="281"/>
        <v>1043378.0747986125</v>
      </c>
      <c r="AJ319" s="2">
        <f t="shared" ca="1" si="282"/>
        <v>1048527.574929651</v>
      </c>
      <c r="AK319" s="2">
        <f t="shared" ca="1" si="283"/>
        <v>0</v>
      </c>
      <c r="AL319" s="2">
        <f t="shared" ca="1" si="284"/>
        <v>2537.0009388437866</v>
      </c>
      <c r="AM319" s="2">
        <f t="shared" ca="1" si="285"/>
        <v>2549.5220824086668</v>
      </c>
      <c r="AN319" s="2">
        <f t="shared" ca="1" si="286"/>
        <v>2562.1050229693205</v>
      </c>
      <c r="AO319" s="2">
        <f t="shared" ca="1" si="287"/>
        <v>2574.7500655192885</v>
      </c>
      <c r="AP319" s="2">
        <f t="shared" ca="1" si="288"/>
        <v>2290331.4903128701</v>
      </c>
      <c r="AQ319" s="2">
        <f t="shared" ca="1" si="289"/>
        <v>784938.55707554298</v>
      </c>
      <c r="AR319" s="2">
        <f t="shared" ca="1" si="290"/>
        <v>809406.09798179602</v>
      </c>
      <c r="AS319" s="2">
        <f t="shared" ca="1" si="291"/>
        <v>816339.8194992661</v>
      </c>
      <c r="AT319" s="2">
        <f t="shared" ca="1" si="292"/>
        <v>823307.76178553014</v>
      </c>
      <c r="AU319" s="2">
        <f t="shared" ca="1" si="293"/>
        <v>830310.09373416414</v>
      </c>
      <c r="AV319" s="2">
        <f t="shared" ca="1" si="294"/>
        <v>2234055.8932150067</v>
      </c>
      <c r="AW319" s="2">
        <f t="shared" ca="1" si="295"/>
        <v>2301157.2779324218</v>
      </c>
      <c r="AX319" s="2">
        <f t="shared" ca="1" si="296"/>
        <v>2320879.1949539636</v>
      </c>
      <c r="AY319" s="2">
        <f t="shared" ca="1" si="297"/>
        <v>2340698.447751231</v>
      </c>
      <c r="AZ319" s="2">
        <f t="shared" ca="1" si="298"/>
        <v>2360615.5167163326</v>
      </c>
      <c r="BA319" s="2">
        <f t="shared" ca="1" si="299"/>
        <v>49045826.87074656</v>
      </c>
      <c r="BB319" s="2">
        <f t="shared" ca="1" si="300"/>
        <v>980916.53741493123</v>
      </c>
      <c r="BC319" s="2">
        <f t="shared" ca="1" si="301"/>
        <v>22616782.663188625</v>
      </c>
      <c r="BD319" s="2">
        <f t="shared" ca="1" si="302"/>
        <v>-18525757.099684633</v>
      </c>
      <c r="BE319" s="2">
        <f t="shared" ca="1" si="303"/>
        <v>2234055.8932150067</v>
      </c>
      <c r="BF319" s="2">
        <f t="shared" ca="1" si="304"/>
        <v>2301157.2779324218</v>
      </c>
      <c r="BG319" s="2">
        <f t="shared" ca="1" si="305"/>
        <v>2320879.1949539636</v>
      </c>
      <c r="BH319" s="2">
        <f t="shared" ca="1" si="306"/>
        <v>2340698.447751231</v>
      </c>
      <c r="BI319" s="2">
        <f t="shared" ca="1" si="307"/>
        <v>24977398.179904956</v>
      </c>
      <c r="BJ319" s="2">
        <f t="shared" ca="1" si="308"/>
        <v>0.1566300748357734</v>
      </c>
      <c r="BK319" s="2">
        <f t="shared" ca="1" si="309"/>
        <v>2615762.8167884648</v>
      </c>
    </row>
    <row r="320" spans="1:63" x14ac:dyDescent="0.3">
      <c r="A320" s="2">
        <v>319</v>
      </c>
      <c r="B320" s="2">
        <f t="shared" ca="1" si="248"/>
        <v>0.226852507755814</v>
      </c>
      <c r="C320" s="2">
        <f t="shared" ca="1" si="249"/>
        <v>6.6735762878187055</v>
      </c>
      <c r="D320" s="2">
        <f t="shared" ca="1" si="250"/>
        <v>0.28834829717848831</v>
      </c>
      <c r="E320" s="2">
        <f t="shared" ca="1" si="251"/>
        <v>7.2594054216009898</v>
      </c>
      <c r="F320" s="2">
        <f t="shared" ca="1" si="252"/>
        <v>0.99266639831426007</v>
      </c>
      <c r="G320" s="2">
        <f t="shared" ca="1" si="253"/>
        <v>0.11321480982276247</v>
      </c>
      <c r="H320" s="2">
        <f t="shared" ca="1" si="254"/>
        <v>0.11321480982276247</v>
      </c>
      <c r="I320" s="2">
        <f t="shared" ca="1" si="255"/>
        <v>0.18530544702032103</v>
      </c>
      <c r="J320" s="2">
        <f t="shared" ca="1" si="256"/>
        <v>5.5233517414307008E-3</v>
      </c>
      <c r="K320" s="2">
        <f t="shared" ca="1" si="257"/>
        <v>5.5233517414307008E-3</v>
      </c>
      <c r="L320" s="2">
        <f t="shared" ca="1" si="258"/>
        <v>0.36886323883724681</v>
      </c>
      <c r="M320" s="2">
        <f t="shared" ca="1" si="259"/>
        <v>-6.6973118662667424E-3</v>
      </c>
      <c r="N320" s="2">
        <f t="shared" ca="1" si="260"/>
        <v>-6.6973118662667424E-3</v>
      </c>
      <c r="O320" s="2">
        <f t="shared" si="261"/>
        <v>6000000</v>
      </c>
      <c r="P320" s="2">
        <f t="shared" ca="1" si="262"/>
        <v>40041457.72691223</v>
      </c>
      <c r="Q320" s="2">
        <f t="shared" ca="1" si="263"/>
        <v>1001036.4431728058</v>
      </c>
      <c r="R320" s="2">
        <f t="shared" ca="1" si="264"/>
        <v>24024874.636147339</v>
      </c>
      <c r="S320" s="2">
        <f t="shared" ca="1" si="265"/>
        <v>16016583.090764893</v>
      </c>
      <c r="T320" s="2">
        <f t="shared" ca="1" si="266"/>
        <v>49665134.406686664</v>
      </c>
      <c r="U320" s="2">
        <f t="shared" ca="1" si="267"/>
        <v>55287963.153361633</v>
      </c>
      <c r="V320" s="2">
        <f t="shared" ca="1" si="268"/>
        <v>61547379.387257375</v>
      </c>
      <c r="W320" s="2">
        <f t="shared" ca="1" si="269"/>
        <v>68515454.239675134</v>
      </c>
      <c r="X320" s="2">
        <f t="shared" ca="1" si="270"/>
        <v>76272418.36134015</v>
      </c>
      <c r="Y320" s="2">
        <f t="shared" ca="1" si="271"/>
        <v>0.12276167587071535</v>
      </c>
      <c r="Z320" s="2">
        <f t="shared" ca="1" si="272"/>
        <v>0.12386634621900149</v>
      </c>
      <c r="AA320" s="2">
        <f t="shared" ca="1" si="273"/>
        <v>6096975.132109181</v>
      </c>
      <c r="AB320" s="2">
        <f t="shared" ca="1" si="274"/>
        <v>6848317.9856976895</v>
      </c>
      <c r="AC320" s="2">
        <f t="shared" ca="1" si="275"/>
        <v>7623649.0040542576</v>
      </c>
      <c r="AD320" s="2">
        <f t="shared" ca="1" si="276"/>
        <v>8486758.9762037527</v>
      </c>
      <c r="AE320" s="2">
        <f t="shared" ca="1" si="277"/>
        <v>9447585.7797062844</v>
      </c>
      <c r="AF320" s="2">
        <f t="shared" ca="1" si="278"/>
        <v>993302.68813373335</v>
      </c>
      <c r="AG320" s="2">
        <f t="shared" ca="1" si="279"/>
        <v>1105759.2630672327</v>
      </c>
      <c r="AH320" s="2">
        <f t="shared" ca="1" si="280"/>
        <v>1230947.5877451475</v>
      </c>
      <c r="AI320" s="2">
        <f t="shared" ca="1" si="281"/>
        <v>1370309.0847935027</v>
      </c>
      <c r="AJ320" s="2">
        <f t="shared" ca="1" si="282"/>
        <v>1525448.367226803</v>
      </c>
      <c r="AK320" s="2">
        <f t="shared" ca="1" si="283"/>
        <v>0</v>
      </c>
      <c r="AL320" s="2">
        <f t="shared" ca="1" si="284"/>
        <v>56228.287466749702</v>
      </c>
      <c r="AM320" s="2">
        <f t="shared" ca="1" si="285"/>
        <v>62594.162338957416</v>
      </c>
      <c r="AN320" s="2">
        <f t="shared" ca="1" si="286"/>
        <v>69680.748524177601</v>
      </c>
      <c r="AO320" s="2">
        <f t="shared" ca="1" si="287"/>
        <v>77569.641216650154</v>
      </c>
      <c r="AP320" s="2">
        <f t="shared" ca="1" si="288"/>
        <v>2162238.7172532603</v>
      </c>
      <c r="AQ320" s="2">
        <f t="shared" ca="1" si="289"/>
        <v>764772.76894776872</v>
      </c>
      <c r="AR320" s="2">
        <f t="shared" ca="1" si="290"/>
        <v>930883.20139807113</v>
      </c>
      <c r="AS320" s="2">
        <f t="shared" ca="1" si="291"/>
        <v>1099920.301754521</v>
      </c>
      <c r="AT320" s="2">
        <f t="shared" ca="1" si="292"/>
        <v>1288094.9052808175</v>
      </c>
      <c r="AU320" s="2">
        <f t="shared" ca="1" si="293"/>
        <v>1497573.6607588176</v>
      </c>
      <c r="AV320" s="2">
        <f t="shared" ca="1" si="294"/>
        <v>2176660.9577744184</v>
      </c>
      <c r="AW320" s="2">
        <f t="shared" ca="1" si="295"/>
        <v>2593208.5165123763</v>
      </c>
      <c r="AX320" s="2">
        <f t="shared" ca="1" si="296"/>
        <v>3067948.2349623712</v>
      </c>
      <c r="AY320" s="2">
        <f t="shared" ca="1" si="297"/>
        <v>3596435.5203519948</v>
      </c>
      <c r="AZ320" s="2">
        <f t="shared" ca="1" si="298"/>
        <v>4184755.3932507532</v>
      </c>
      <c r="BA320" s="2">
        <f t="shared" ca="1" si="299"/>
        <v>68583855.430240214</v>
      </c>
      <c r="BB320" s="2">
        <f t="shared" ca="1" si="300"/>
        <v>1371677.1086048044</v>
      </c>
      <c r="BC320" s="2">
        <f t="shared" ca="1" si="301"/>
        <v>43187303.685488075</v>
      </c>
      <c r="BD320" s="2">
        <f t="shared" ca="1" si="302"/>
        <v>-17517619.5339377</v>
      </c>
      <c r="BE320" s="2">
        <f t="shared" ca="1" si="303"/>
        <v>2176660.9577744184</v>
      </c>
      <c r="BF320" s="2">
        <f t="shared" ca="1" si="304"/>
        <v>2593208.5165123763</v>
      </c>
      <c r="BG320" s="2">
        <f t="shared" ca="1" si="305"/>
        <v>3067948.2349623712</v>
      </c>
      <c r="BH320" s="2">
        <f t="shared" ca="1" si="306"/>
        <v>3596435.5203519948</v>
      </c>
      <c r="BI320" s="2">
        <f t="shared" ca="1" si="307"/>
        <v>47372059.078738831</v>
      </c>
      <c r="BJ320" s="2">
        <f t="shared" ca="1" si="308"/>
        <v>0.31925696295197148</v>
      </c>
      <c r="BK320" s="2">
        <f t="shared" ca="1" si="309"/>
        <v>17842600.980291992</v>
      </c>
    </row>
    <row r="321" spans="1:63" x14ac:dyDescent="0.3">
      <c r="A321" s="2">
        <v>320</v>
      </c>
      <c r="B321" s="2">
        <f t="shared" ca="1" si="248"/>
        <v>0.46962433760708444</v>
      </c>
      <c r="C321" s="2">
        <f t="shared" ca="1" si="249"/>
        <v>6.9691484278551812</v>
      </c>
      <c r="D321" s="2">
        <f t="shared" ca="1" si="250"/>
        <v>0.67970804659321604</v>
      </c>
      <c r="E321" s="2">
        <f t="shared" ca="1" si="251"/>
        <v>7.6996351414426245</v>
      </c>
      <c r="F321" s="2">
        <f t="shared" ca="1" si="252"/>
        <v>0.93428067113264024</v>
      </c>
      <c r="G321" s="2">
        <f t="shared" ca="1" si="253"/>
        <v>8.5253586404396148E-2</v>
      </c>
      <c r="H321" s="2">
        <f t="shared" ca="1" si="254"/>
        <v>8.5253586404396148E-2</v>
      </c>
      <c r="I321" s="2">
        <f t="shared" ca="1" si="255"/>
        <v>0.46638952181057436</v>
      </c>
      <c r="J321" s="2">
        <f t="shared" ca="1" si="256"/>
        <v>9.5782555585058569E-3</v>
      </c>
      <c r="K321" s="2">
        <f t="shared" ca="1" si="257"/>
        <v>9.5782555585058569E-3</v>
      </c>
      <c r="L321" s="2">
        <f t="shared" ca="1" si="258"/>
        <v>0.79666334187725651</v>
      </c>
      <c r="M321" s="2">
        <f t="shared" ca="1" si="259"/>
        <v>1.6595241530483102E-2</v>
      </c>
      <c r="N321" s="2">
        <f t="shared" ca="1" si="260"/>
        <v>1.6595241530483102E-2</v>
      </c>
      <c r="O321" s="2">
        <f t="shared" si="261"/>
        <v>6000000</v>
      </c>
      <c r="P321" s="2">
        <f t="shared" ca="1" si="262"/>
        <v>41814890.567131087</v>
      </c>
      <c r="Q321" s="2">
        <f t="shared" ca="1" si="263"/>
        <v>1045372.2641782772</v>
      </c>
      <c r="R321" s="2">
        <f t="shared" ca="1" si="264"/>
        <v>25088934.340278652</v>
      </c>
      <c r="S321" s="2">
        <f t="shared" ca="1" si="265"/>
        <v>16725956.226852436</v>
      </c>
      <c r="T321" s="2">
        <f t="shared" ca="1" si="266"/>
        <v>50829762.076524153</v>
      </c>
      <c r="U321" s="2">
        <f t="shared" ca="1" si="267"/>
        <v>55163181.589630008</v>
      </c>
      <c r="V321" s="2">
        <f t="shared" ca="1" si="268"/>
        <v>59866040.657622926</v>
      </c>
      <c r="W321" s="2">
        <f t="shared" ca="1" si="269"/>
        <v>64969835.327516675</v>
      </c>
      <c r="X321" s="2">
        <f t="shared" ca="1" si="270"/>
        <v>70508746.797290504</v>
      </c>
      <c r="Y321" s="2">
        <f t="shared" ca="1" si="271"/>
        <v>0.12478912777925293</v>
      </c>
      <c r="Z321" s="2">
        <f t="shared" ca="1" si="272"/>
        <v>0.12670477889095411</v>
      </c>
      <c r="AA321" s="2">
        <f t="shared" ca="1" si="273"/>
        <v>6343001.6747563975</v>
      </c>
      <c r="AB321" s="2">
        <f t="shared" ca="1" si="274"/>
        <v>6989438.7262356207</v>
      </c>
      <c r="AC321" s="2">
        <f t="shared" ca="1" si="275"/>
        <v>7585313.4446009817</v>
      </c>
      <c r="AD321" s="2">
        <f t="shared" ca="1" si="276"/>
        <v>8231988.6197546991</v>
      </c>
      <c r="AE321" s="2">
        <f t="shared" ca="1" si="277"/>
        <v>8933795.1728289612</v>
      </c>
      <c r="AF321" s="2">
        <f t="shared" ca="1" si="278"/>
        <v>1016595.2415304831</v>
      </c>
      <c r="AG321" s="2">
        <f t="shared" ca="1" si="279"/>
        <v>1103263.6317926003</v>
      </c>
      <c r="AH321" s="2">
        <f t="shared" ca="1" si="280"/>
        <v>1197320.8131524585</v>
      </c>
      <c r="AI321" s="2">
        <f t="shared" ca="1" si="281"/>
        <v>1299396.7065503334</v>
      </c>
      <c r="AJ321" s="2">
        <f t="shared" ca="1" si="282"/>
        <v>1410174.9359458101</v>
      </c>
      <c r="AK321" s="2">
        <f t="shared" ca="1" si="283"/>
        <v>0</v>
      </c>
      <c r="AL321" s="2">
        <f t="shared" ca="1" si="284"/>
        <v>43334.195131058543</v>
      </c>
      <c r="AM321" s="2">
        <f t="shared" ca="1" si="285"/>
        <v>47028.590679929184</v>
      </c>
      <c r="AN321" s="2">
        <f t="shared" ca="1" si="286"/>
        <v>51037.946698937492</v>
      </c>
      <c r="AO321" s="2">
        <f t="shared" ca="1" si="287"/>
        <v>55389.114697738289</v>
      </c>
      <c r="AP321" s="2">
        <f t="shared" ca="1" si="288"/>
        <v>2258004.0906250784</v>
      </c>
      <c r="AQ321" s="2">
        <f t="shared" ca="1" si="289"/>
        <v>797784.60907621752</v>
      </c>
      <c r="AR321" s="2">
        <f t="shared" ca="1" si="290"/>
        <v>943324.46099266491</v>
      </c>
      <c r="AS321" s="2">
        <f t="shared" ca="1" si="291"/>
        <v>1073797.0206140957</v>
      </c>
      <c r="AT321" s="2">
        <f t="shared" ca="1" si="292"/>
        <v>1215392.8338706146</v>
      </c>
      <c r="AU321" s="2">
        <f t="shared" ca="1" si="293"/>
        <v>1369060.198027099</v>
      </c>
      <c r="AV321" s="2">
        <f t="shared" ca="1" si="294"/>
        <v>2270617.7335246187</v>
      </c>
      <c r="AW321" s="2">
        <f t="shared" ca="1" si="295"/>
        <v>2641512.3476942182</v>
      </c>
      <c r="AX321" s="2">
        <f t="shared" ca="1" si="296"/>
        <v>3009162.9295294192</v>
      </c>
      <c r="AY321" s="2">
        <f t="shared" ca="1" si="297"/>
        <v>3408157.0420097345</v>
      </c>
      <c r="AZ321" s="2">
        <f t="shared" ca="1" si="298"/>
        <v>3841166.8335332358</v>
      </c>
      <c r="BA321" s="2">
        <f t="shared" ca="1" si="299"/>
        <v>68786963.259164348</v>
      </c>
      <c r="BB321" s="2">
        <f t="shared" ca="1" si="300"/>
        <v>1375739.265183287</v>
      </c>
      <c r="BC321" s="2">
        <f t="shared" ca="1" si="301"/>
        <v>42322289.653702408</v>
      </c>
      <c r="BD321" s="2">
        <f t="shared" ca="1" si="302"/>
        <v>-18271328.491030712</v>
      </c>
      <c r="BE321" s="2">
        <f t="shared" ca="1" si="303"/>
        <v>2270617.7335246187</v>
      </c>
      <c r="BF321" s="2">
        <f t="shared" ca="1" si="304"/>
        <v>2641512.3476942182</v>
      </c>
      <c r="BG321" s="2">
        <f t="shared" ca="1" si="305"/>
        <v>3009162.9295294192</v>
      </c>
      <c r="BH321" s="2">
        <f t="shared" ca="1" si="306"/>
        <v>3408157.0420097345</v>
      </c>
      <c r="BI321" s="2">
        <f t="shared" ca="1" si="307"/>
        <v>46163456.487235643</v>
      </c>
      <c r="BJ321" s="2">
        <f t="shared" ca="1" si="308"/>
        <v>0.30059057892464547</v>
      </c>
      <c r="BK321" s="2">
        <f t="shared" ca="1" si="309"/>
        <v>16363999.355687875</v>
      </c>
    </row>
    <row r="322" spans="1:63" x14ac:dyDescent="0.3">
      <c r="A322" s="2">
        <v>321</v>
      </c>
      <c r="B322" s="2">
        <f t="shared" ref="B322:B385" ca="1" si="310">RAND()</f>
        <v>0.78889705435908997</v>
      </c>
      <c r="C322" s="2">
        <f t="shared" ref="C322:C385" ca="1" si="311">IF(B322&lt;((P_Mode)-(P_Low))/((P_High)-(P_Low)), (P_Low)+SQRT(B322*((P_High)-(P_Low))*((P_Mode)-(P_Low))), (P_High)-SQRT((1-B322)*((P_High)-(P_Low))*((P_High)-(P_Mode))))</f>
        <v>7.3502262768610755</v>
      </c>
      <c r="D322" s="2">
        <f t="shared" ref="D322:D385" ca="1" si="312">RAND()</f>
        <v>0.28323083013832229</v>
      </c>
      <c r="E322" s="2">
        <f t="shared" ref="E322:E385" ca="1" si="313">IF(D322&lt;((X_Mode)-(X_Low))/((X_High)-(X_Low)), (X_Low)+SQRT(D322*((X_High)-(X_Low))*((X_Mode)-(X_Low))), (X_High)-SQRT((1-D322)*((X_High)-(X_Low))*((X_High)-(X_Mode))))</f>
        <v>7.2526364728583417</v>
      </c>
      <c r="F322" s="2">
        <f t="shared" ref="F322:F385" ca="1" si="314">RAND()</f>
        <v>1.5428110087673641E-2</v>
      </c>
      <c r="G322" s="2">
        <f t="shared" ref="G322:G385" ca="1" si="315">NORMINV(F322, g_Mean, g_SD)</f>
        <v>-2.4767659455534531E-2</v>
      </c>
      <c r="H322" s="2">
        <f t="shared" ref="H322:H385" ca="1" si="316">MIN(MAX(G322, g_Min), g_Max)</f>
        <v>-0.02</v>
      </c>
      <c r="I322" s="2">
        <f t="shared" ref="I322:I385" ca="1" si="317">RAND()</f>
        <v>0.47642044340902567</v>
      </c>
      <c r="J322" s="2">
        <f t="shared" ref="J322:J385" ca="1" si="318">NORMINV(I322, syn_Mean, syn_SD)</f>
        <v>9.7043018068692852E-3</v>
      </c>
      <c r="K322" s="2">
        <f t="shared" ref="K322:K385" ca="1" si="319">MIN(MAX(J322, syn_Min), syn_Max)</f>
        <v>9.7043018068692852E-3</v>
      </c>
      <c r="L322" s="2">
        <f t="shared" ref="L322:L385" ca="1" si="320">RAND()</f>
        <v>7.5780420372056123E-2</v>
      </c>
      <c r="M322" s="2">
        <f t="shared" ref="M322:M385" ca="1" si="321">NORMINV(L322, shk_Mean, shk_SD)</f>
        <v>-2.8680800535545198E-2</v>
      </c>
      <c r="N322" s="2">
        <f t="shared" ref="N322:N385" ca="1" si="322">MIN(MAX(M322, shk_Min), shk_Max)</f>
        <v>-2.8680800535545198E-2</v>
      </c>
      <c r="O322" s="2">
        <f t="shared" ref="O322:O385" si="323">BaseRev*BaseMargin</f>
        <v>6000000</v>
      </c>
      <c r="P322" s="2">
        <f t="shared" ref="P322:P385" ca="1" si="324">O322*C322</f>
        <v>44101357.661166452</v>
      </c>
      <c r="Q322" s="2">
        <f t="shared" ref="Q322:Q385" ca="1" si="325">P322*TxnCostPct</f>
        <v>1102533.9415291613</v>
      </c>
      <c r="R322" s="2">
        <f t="shared" ref="R322:R385" ca="1" si="326">P322*DebtPct</f>
        <v>26460814.596699871</v>
      </c>
      <c r="S322" s="2">
        <f t="shared" ref="S322:S385" ca="1" si="327">P322*EqPct</f>
        <v>17640543.064466581</v>
      </c>
      <c r="T322" s="2">
        <f t="shared" ref="T322:T385" ca="1" si="328">BaseRev*(1+N322)</f>
        <v>48565959.97322274</v>
      </c>
      <c r="U322" s="2">
        <f t="shared" ref="U322:U385" ca="1" si="329">T322*(1+H322)</f>
        <v>47594640.773758285</v>
      </c>
      <c r="V322" s="2">
        <f t="shared" ref="V322:V385" ca="1" si="330">U322*(1+H322)</f>
        <v>46642747.958283119</v>
      </c>
      <c r="W322" s="2">
        <f t="shared" ref="W322:W385" ca="1" si="331">V322*(1+H322)</f>
        <v>45709892.999117456</v>
      </c>
      <c r="X322" s="2">
        <f t="shared" ref="X322:X385" ca="1" si="332">W322*(1+H322)</f>
        <v>44795695.139135107</v>
      </c>
      <c r="Y322" s="2">
        <f t="shared" ref="Y322:Y385" ca="1" si="333">BaseMargin + SynReal_Y1*K322</f>
        <v>0.12485215090343464</v>
      </c>
      <c r="Z322" s="2">
        <f t="shared" ref="Z322:Z385" ca="1" si="334">BaseMargin + SynReal_Y2toY5*K322</f>
        <v>0.12679301126480849</v>
      </c>
      <c r="AA322" s="2">
        <f t="shared" ref="AA322:AA385" ca="1" si="335">T322*Y322</f>
        <v>6063564.5633469718</v>
      </c>
      <c r="AB322" s="2">
        <f t="shared" ref="AB322:AB385" ca="1" si="336">U322*Z322</f>
        <v>6034667.8237716481</v>
      </c>
      <c r="AC322" s="2">
        <f t="shared" ref="AC322:AC385" ca="1" si="337">V322*Z322</f>
        <v>5913974.4672962148</v>
      </c>
      <c r="AD322" s="2">
        <f t="shared" ref="AD322:AD385" ca="1" si="338">W322*Z322</f>
        <v>5795694.9779502908</v>
      </c>
      <c r="AE322" s="2">
        <f t="shared" ref="AE322:AE385" ca="1" si="339">X322*Z322</f>
        <v>5679781.0783912847</v>
      </c>
      <c r="AF322" s="2">
        <f t="shared" ref="AF322:AF385" ca="1" si="340">T322*CapexPct</f>
        <v>971319.19946445478</v>
      </c>
      <c r="AG322" s="2">
        <f t="shared" ref="AG322:AG385" ca="1" si="341">U322*CapexPct</f>
        <v>951892.81547516573</v>
      </c>
      <c r="AH322" s="2">
        <f t="shared" ref="AH322:AH385" ca="1" si="342">V322*CapexPct</f>
        <v>932854.95916566241</v>
      </c>
      <c r="AI322" s="2">
        <f t="shared" ref="AI322:AI385" ca="1" si="343">W322*CapexPct</f>
        <v>914197.85998234909</v>
      </c>
      <c r="AJ322" s="2">
        <f t="shared" ref="AJ322:AJ385" ca="1" si="344">X322*CapexPct</f>
        <v>895913.90278270212</v>
      </c>
      <c r="AK322" s="2">
        <f t="shared" ref="AK322:AK385" ca="1" si="345">MAX(T322-BaseRev*(1+N322),0)*WCPct</f>
        <v>0</v>
      </c>
      <c r="AL322" s="2">
        <f t="shared" ref="AL322:AL385" ca="1" si="346">MAX(U322-T322,0)*WCPct</f>
        <v>0</v>
      </c>
      <c r="AM322" s="2">
        <f t="shared" ref="AM322:AM385" ca="1" si="347">MAX(V322-U322,0)*WCPct</f>
        <v>0</v>
      </c>
      <c r="AN322" s="2">
        <f t="shared" ref="AN322:AN385" ca="1" si="348">MAX(W322-V322,0)*WCPct</f>
        <v>0</v>
      </c>
      <c r="AO322" s="2">
        <f t="shared" ref="AO322:AO385" ca="1" si="349">MAX(X322-W322,0)*WCPct</f>
        <v>0</v>
      </c>
      <c r="AP322" s="2">
        <f t="shared" ref="AP322:AP385" ca="1" si="350">R322*DebtRate</f>
        <v>2381473.3137029884</v>
      </c>
      <c r="AQ322" s="2">
        <f t="shared" ref="AQ322:AQ385" ca="1" si="351">MAX(AA322-AF322-AP322,0)*Tax</f>
        <v>704800.73304667755</v>
      </c>
      <c r="AR322" s="2">
        <f t="shared" ref="AR322:AR385" ca="1" si="352">MAX(AB322-AG322-AP322,0)*Tax</f>
        <v>702338.44059430843</v>
      </c>
      <c r="AS322" s="2">
        <f t="shared" ref="AS322:AS385" ca="1" si="353">MAX(AC322-AH322-AP322,0)*Tax</f>
        <v>675908.0105511666</v>
      </c>
      <c r="AT322" s="2">
        <f t="shared" ref="AT322:AT385" ca="1" si="354">MAX(AD322-AI322-AP322,0)*Tax</f>
        <v>650006.18910888792</v>
      </c>
      <c r="AU322" s="2">
        <f t="shared" ref="AU322:AU385" ca="1" si="355">MAX(AE322-AJ322-AP322,0)*Tax</f>
        <v>624622.40409545461</v>
      </c>
      <c r="AV322" s="2">
        <f t="shared" ref="AV322:AV385" ca="1" si="356">AA322-AF322-AK322-AQ322-AP322</f>
        <v>2005971.3171328511</v>
      </c>
      <c r="AW322" s="2">
        <f t="shared" ref="AW322:AW385" ca="1" si="357">AB322-AG322-AL322-AR322-AP322</f>
        <v>1998963.2539991857</v>
      </c>
      <c r="AX322" s="2">
        <f t="shared" ref="AX322:AX385" ca="1" si="358">AC322-AH322-AM322-AS322-AP322</f>
        <v>1923738.1838763971</v>
      </c>
      <c r="AY322" s="2">
        <f t="shared" ref="AY322:AY385" ca="1" si="359">AD322-AI322-AN322-AT322-AP322</f>
        <v>1850017.6151560657</v>
      </c>
      <c r="AZ322" s="2">
        <f t="shared" ref="AZ322:AZ385" ca="1" si="360">AE322-AJ322-AO322-AU322-AP322</f>
        <v>1777771.4578101397</v>
      </c>
      <c r="BA322" s="2">
        <f t="shared" ref="BA322:BA385" ca="1" si="361">AE322*E322</f>
        <v>41193387.406991318</v>
      </c>
      <c r="BB322" s="2">
        <f t="shared" ref="BB322:BB385" ca="1" si="362">BA322*SellCostPct</f>
        <v>823867.74813982635</v>
      </c>
      <c r="BC322" s="2">
        <f t="shared" ref="BC322:BC385" ca="1" si="363">BA322-R322-BB322</f>
        <v>13908705.06215162</v>
      </c>
      <c r="BD322" s="2">
        <f t="shared" ref="BD322:BD385" ca="1" si="364">-S322-Q322-IntegrationPct*BaseRev</f>
        <v>-19243077.005995743</v>
      </c>
      <c r="BE322" s="2">
        <f t="shared" ref="BE322:BE385" ca="1" si="365">AV322</f>
        <v>2005971.3171328511</v>
      </c>
      <c r="BF322" s="2">
        <f t="shared" ref="BF322:BF385" ca="1" si="366">AW322</f>
        <v>1998963.2539991857</v>
      </c>
      <c r="BG322" s="2">
        <f t="shared" ref="BG322:BG385" ca="1" si="367">AX322</f>
        <v>1923738.1838763971</v>
      </c>
      <c r="BH322" s="2">
        <f t="shared" ref="BH322:BH385" ca="1" si="368">AY322</f>
        <v>1850017.6151560657</v>
      </c>
      <c r="BI322" s="2">
        <f t="shared" ref="BI322:BI385" ca="1" si="369">AZ322+BC322</f>
        <v>15686476.519961759</v>
      </c>
      <c r="BJ322" s="2">
        <f t="shared" ref="BJ322:BJ385" ca="1" si="370">IF(MIN(BD322:BI322)*MAX(BD322:BI322)&gt;=0, "", IFERROR(IRR(BD322:BI322,0.12), IFERROR(IRR(BD322:BI322,0.5), IFERROR(IRR(BD322:BI322,-0.5),""))))</f>
        <v>4.9396589261282209E-2</v>
      </c>
      <c r="BK322" s="2">
        <f t="shared" ref="BK322:BK385" ca="1" si="371">NPV(12%,BE322:BI322)+BD322</f>
        <v>-4412543.3895172421</v>
      </c>
    </row>
    <row r="323" spans="1:63" x14ac:dyDescent="0.3">
      <c r="A323" s="2">
        <v>322</v>
      </c>
      <c r="B323" s="2">
        <f t="shared" ca="1" si="310"/>
        <v>0.7464363256236024</v>
      </c>
      <c r="C323" s="2">
        <f t="shared" ca="1" si="311"/>
        <v>7.2878712554932257</v>
      </c>
      <c r="D323" s="2">
        <f t="shared" ca="1" si="312"/>
        <v>0.90168595596691881</v>
      </c>
      <c r="E323" s="2">
        <f t="shared" ca="1" si="313"/>
        <v>8.0565723417893711</v>
      </c>
      <c r="F323" s="2">
        <f t="shared" ca="1" si="314"/>
        <v>0.47459121840124285</v>
      </c>
      <c r="G323" s="2">
        <f t="shared" ca="1" si="315"/>
        <v>3.8087995263123543E-2</v>
      </c>
      <c r="H323" s="2">
        <f t="shared" ca="1" si="316"/>
        <v>3.8087995263123543E-2</v>
      </c>
      <c r="I323" s="2">
        <f t="shared" ca="1" si="317"/>
        <v>0.67246192119583559</v>
      </c>
      <c r="J323" s="2">
        <f t="shared" ca="1" si="318"/>
        <v>1.2233607490961319E-2</v>
      </c>
      <c r="K323" s="2">
        <f t="shared" ca="1" si="319"/>
        <v>1.2233607490961319E-2</v>
      </c>
      <c r="L323" s="2">
        <f t="shared" ca="1" si="320"/>
        <v>0.17406202138689808</v>
      </c>
      <c r="M323" s="2">
        <f t="shared" ca="1" si="321"/>
        <v>-1.8764684917895621E-2</v>
      </c>
      <c r="N323" s="2">
        <f t="shared" ca="1" si="322"/>
        <v>-1.8764684917895621E-2</v>
      </c>
      <c r="O323" s="2">
        <f t="shared" si="323"/>
        <v>6000000</v>
      </c>
      <c r="P323" s="2">
        <f t="shared" ca="1" si="324"/>
        <v>43727227.532959357</v>
      </c>
      <c r="Q323" s="2">
        <f t="shared" ca="1" si="325"/>
        <v>1093180.6883239839</v>
      </c>
      <c r="R323" s="2">
        <f t="shared" ca="1" si="326"/>
        <v>26236336.519775614</v>
      </c>
      <c r="S323" s="2">
        <f t="shared" ca="1" si="327"/>
        <v>17490891.013183743</v>
      </c>
      <c r="T323" s="2">
        <f t="shared" ca="1" si="328"/>
        <v>49061765.754105218</v>
      </c>
      <c r="U323" s="2">
        <f t="shared" ca="1" si="329"/>
        <v>50930430.055748053</v>
      </c>
      <c r="V323" s="2">
        <f t="shared" ca="1" si="330"/>
        <v>52870268.034460224</v>
      </c>
      <c r="W323" s="2">
        <f t="shared" ca="1" si="331"/>
        <v>54883990.55291681</v>
      </c>
      <c r="X323" s="2">
        <f t="shared" ca="1" si="332"/>
        <v>56974411.725117616</v>
      </c>
      <c r="Y323" s="2">
        <f t="shared" ca="1" si="333"/>
        <v>0.12611680374548065</v>
      </c>
      <c r="Z323" s="2">
        <f t="shared" ca="1" si="334"/>
        <v>0.12856352524367293</v>
      </c>
      <c r="AA323" s="2">
        <f t="shared" ca="1" si="335"/>
        <v>6187513.083017231</v>
      </c>
      <c r="AB323" s="2">
        <f t="shared" ca="1" si="336"/>
        <v>6547795.6301432829</v>
      </c>
      <c r="AC323" s="2">
        <f t="shared" ca="1" si="337"/>
        <v>6797188.0390880806</v>
      </c>
      <c r="AD323" s="2">
        <f t="shared" ca="1" si="338"/>
        <v>7056079.3049234264</v>
      </c>
      <c r="AE323" s="2">
        <f t="shared" ca="1" si="339"/>
        <v>7324831.2200655732</v>
      </c>
      <c r="AF323" s="2">
        <f t="shared" ca="1" si="340"/>
        <v>981235.31508210441</v>
      </c>
      <c r="AG323" s="2">
        <f t="shared" ca="1" si="341"/>
        <v>1018608.6011149611</v>
      </c>
      <c r="AH323" s="2">
        <f t="shared" ca="1" si="342"/>
        <v>1057405.3606892044</v>
      </c>
      <c r="AI323" s="2">
        <f t="shared" ca="1" si="343"/>
        <v>1097679.8110583362</v>
      </c>
      <c r="AJ323" s="2">
        <f t="shared" ca="1" si="344"/>
        <v>1139488.2345023523</v>
      </c>
      <c r="AK323" s="2">
        <f t="shared" ca="1" si="345"/>
        <v>0</v>
      </c>
      <c r="AL323" s="2">
        <f t="shared" ca="1" si="346"/>
        <v>18686.643016428352</v>
      </c>
      <c r="AM323" s="2">
        <f t="shared" ca="1" si="347"/>
        <v>19398.379787121714</v>
      </c>
      <c r="AN323" s="2">
        <f t="shared" ca="1" si="348"/>
        <v>20137.225184565857</v>
      </c>
      <c r="AO323" s="2">
        <f t="shared" ca="1" si="349"/>
        <v>20904.211722008065</v>
      </c>
      <c r="AP323" s="2">
        <f t="shared" ca="1" si="350"/>
        <v>2361270.2867798051</v>
      </c>
      <c r="AQ323" s="2">
        <f t="shared" ca="1" si="351"/>
        <v>739701.94510038372</v>
      </c>
      <c r="AR323" s="2">
        <f t="shared" ca="1" si="352"/>
        <v>823658.35298461432</v>
      </c>
      <c r="AS323" s="2">
        <f t="shared" ca="1" si="353"/>
        <v>878413.22182095854</v>
      </c>
      <c r="AT323" s="2">
        <f t="shared" ca="1" si="354"/>
        <v>935253.59384217428</v>
      </c>
      <c r="AU323" s="2">
        <f t="shared" ca="1" si="355"/>
        <v>994258.90168368805</v>
      </c>
      <c r="AV323" s="2">
        <f t="shared" ca="1" si="356"/>
        <v>2105305.5360549381</v>
      </c>
      <c r="AW323" s="2">
        <f t="shared" ca="1" si="357"/>
        <v>2325571.7462474732</v>
      </c>
      <c r="AX323" s="2">
        <f t="shared" ca="1" si="358"/>
        <v>2480700.7900109906</v>
      </c>
      <c r="AY323" s="2">
        <f t="shared" ca="1" si="359"/>
        <v>2641738.388058546</v>
      </c>
      <c r="AZ323" s="2">
        <f t="shared" ca="1" si="360"/>
        <v>2808909.5853777193</v>
      </c>
      <c r="BA323" s="2">
        <f t="shared" ca="1" si="361"/>
        <v>59013032.61585559</v>
      </c>
      <c r="BB323" s="2">
        <f t="shared" ca="1" si="362"/>
        <v>1180260.6523171118</v>
      </c>
      <c r="BC323" s="2">
        <f t="shared" ca="1" si="363"/>
        <v>31596435.443762865</v>
      </c>
      <c r="BD323" s="2">
        <f t="shared" ca="1" si="364"/>
        <v>-19084071.701507725</v>
      </c>
      <c r="BE323" s="2">
        <f t="shared" ca="1" si="365"/>
        <v>2105305.5360549381</v>
      </c>
      <c r="BF323" s="2">
        <f t="shared" ca="1" si="366"/>
        <v>2325571.7462474732</v>
      </c>
      <c r="BG323" s="2">
        <f t="shared" ca="1" si="367"/>
        <v>2480700.7900109906</v>
      </c>
      <c r="BH323" s="2">
        <f t="shared" ca="1" si="368"/>
        <v>2641738.388058546</v>
      </c>
      <c r="BI323" s="2">
        <f t="shared" ca="1" si="369"/>
        <v>34405345.029140584</v>
      </c>
      <c r="BJ323" s="2">
        <f t="shared" ca="1" si="370"/>
        <v>0.21214364103892458</v>
      </c>
      <c r="BK323" s="2">
        <f t="shared" ca="1" si="371"/>
        <v>7616700.0190607011</v>
      </c>
    </row>
    <row r="324" spans="1:63" x14ac:dyDescent="0.3">
      <c r="A324" s="2">
        <v>323</v>
      </c>
      <c r="B324" s="2">
        <f t="shared" ca="1" si="310"/>
        <v>0.94607647279597751</v>
      </c>
      <c r="C324" s="2">
        <f t="shared" ca="1" si="311"/>
        <v>7.6715992472480536</v>
      </c>
      <c r="D324" s="2">
        <f t="shared" ca="1" si="312"/>
        <v>0.75945294529754093</v>
      </c>
      <c r="E324" s="2">
        <f t="shared" ca="1" si="313"/>
        <v>7.806390520966648</v>
      </c>
      <c r="F324" s="2">
        <f t="shared" ca="1" si="314"/>
        <v>0.92257159140241363</v>
      </c>
      <c r="G324" s="2">
        <f t="shared" ca="1" si="315"/>
        <v>8.2677516663132361E-2</v>
      </c>
      <c r="H324" s="2">
        <f t="shared" ca="1" si="316"/>
        <v>8.2677516663132361E-2</v>
      </c>
      <c r="I324" s="2">
        <f t="shared" ca="1" si="317"/>
        <v>0.79983222187767977</v>
      </c>
      <c r="J324" s="2">
        <f t="shared" ca="1" si="318"/>
        <v>1.4205110477685787E-2</v>
      </c>
      <c r="K324" s="2">
        <f t="shared" ca="1" si="319"/>
        <v>1.4205110477685787E-2</v>
      </c>
      <c r="L324" s="2">
        <f t="shared" ca="1" si="320"/>
        <v>0.29789515354835949</v>
      </c>
      <c r="M324" s="2">
        <f t="shared" ca="1" si="321"/>
        <v>-1.0609278719297684E-2</v>
      </c>
      <c r="N324" s="2">
        <f t="shared" ca="1" si="322"/>
        <v>-1.0609278719297684E-2</v>
      </c>
      <c r="O324" s="2">
        <f t="shared" si="323"/>
        <v>6000000</v>
      </c>
      <c r="P324" s="2">
        <f t="shared" ca="1" si="324"/>
        <v>46029595.483488321</v>
      </c>
      <c r="Q324" s="2">
        <f t="shared" ca="1" si="325"/>
        <v>1150739.887087208</v>
      </c>
      <c r="R324" s="2">
        <f t="shared" ca="1" si="326"/>
        <v>27617757.290092994</v>
      </c>
      <c r="S324" s="2">
        <f t="shared" ca="1" si="327"/>
        <v>18411838.193395328</v>
      </c>
      <c r="T324" s="2">
        <f t="shared" ca="1" si="328"/>
        <v>49469536.06403511</v>
      </c>
      <c r="U324" s="2">
        <f t="shared" ca="1" si="329"/>
        <v>53559554.456286803</v>
      </c>
      <c r="V324" s="2">
        <f t="shared" ca="1" si="330"/>
        <v>57987725.412316404</v>
      </c>
      <c r="W324" s="2">
        <f t="shared" ca="1" si="331"/>
        <v>62782006.546350338</v>
      </c>
      <c r="X324" s="2">
        <f t="shared" ca="1" si="332"/>
        <v>67972666.938731104</v>
      </c>
      <c r="Y324" s="2">
        <f t="shared" ca="1" si="333"/>
        <v>0.1271025552388429</v>
      </c>
      <c r="Z324" s="2">
        <f t="shared" ca="1" si="334"/>
        <v>0.12994357733438006</v>
      </c>
      <c r="AA324" s="2">
        <f t="shared" ca="1" si="335"/>
        <v>6287704.4402189534</v>
      </c>
      <c r="AB324" s="2">
        <f t="shared" ca="1" si="336"/>
        <v>6959720.1064854441</v>
      </c>
      <c r="AC324" s="2">
        <f t="shared" ca="1" si="337"/>
        <v>7535132.4815601325</v>
      </c>
      <c r="AD324" s="2">
        <f t="shared" ca="1" si="338"/>
        <v>8158118.5228632297</v>
      </c>
      <c r="AE324" s="2">
        <f t="shared" ca="1" si="339"/>
        <v>8832611.5029770639</v>
      </c>
      <c r="AF324" s="2">
        <f t="shared" ca="1" si="340"/>
        <v>989390.72128070227</v>
      </c>
      <c r="AG324" s="2">
        <f t="shared" ca="1" si="341"/>
        <v>1071191.0891257362</v>
      </c>
      <c r="AH324" s="2">
        <f t="shared" ca="1" si="342"/>
        <v>1159754.5082463282</v>
      </c>
      <c r="AI324" s="2">
        <f t="shared" ca="1" si="343"/>
        <v>1255640.1309270067</v>
      </c>
      <c r="AJ324" s="2">
        <f t="shared" ca="1" si="344"/>
        <v>1359453.3387746222</v>
      </c>
      <c r="AK324" s="2">
        <f t="shared" ca="1" si="345"/>
        <v>0</v>
      </c>
      <c r="AL324" s="2">
        <f t="shared" ca="1" si="346"/>
        <v>40900.183922516931</v>
      </c>
      <c r="AM324" s="2">
        <f t="shared" ca="1" si="347"/>
        <v>44281.709560296018</v>
      </c>
      <c r="AN324" s="2">
        <f t="shared" ca="1" si="348"/>
        <v>47942.811340339336</v>
      </c>
      <c r="AO324" s="2">
        <f t="shared" ca="1" si="349"/>
        <v>51906.60392380767</v>
      </c>
      <c r="AP324" s="2">
        <f t="shared" ca="1" si="350"/>
        <v>2485598.1561083691</v>
      </c>
      <c r="AQ324" s="2">
        <f t="shared" ca="1" si="351"/>
        <v>731306.04633576935</v>
      </c>
      <c r="AR324" s="2">
        <f t="shared" ca="1" si="352"/>
        <v>884762.02392534795</v>
      </c>
      <c r="AS324" s="2">
        <f t="shared" ca="1" si="353"/>
        <v>1011342.7524734132</v>
      </c>
      <c r="AT324" s="2">
        <f t="shared" ca="1" si="354"/>
        <v>1148388.861315242</v>
      </c>
      <c r="AU324" s="2">
        <f t="shared" ca="1" si="355"/>
        <v>1296765.602104459</v>
      </c>
      <c r="AV324" s="2">
        <f t="shared" ca="1" si="356"/>
        <v>2081409.516494113</v>
      </c>
      <c r="AW324" s="2">
        <f t="shared" ca="1" si="357"/>
        <v>2477268.6534034731</v>
      </c>
      <c r="AX324" s="2">
        <f t="shared" ca="1" si="358"/>
        <v>2834155.355171727</v>
      </c>
      <c r="AY324" s="2">
        <f t="shared" ca="1" si="359"/>
        <v>3220548.5631722724</v>
      </c>
      <c r="AZ324" s="2">
        <f t="shared" ca="1" si="360"/>
        <v>3638887.8020658055</v>
      </c>
      <c r="BA324" s="2">
        <f t="shared" ca="1" si="361"/>
        <v>68950814.712221131</v>
      </c>
      <c r="BB324" s="2">
        <f t="shared" ca="1" si="362"/>
        <v>1379016.2942444226</v>
      </c>
      <c r="BC324" s="2">
        <f t="shared" ca="1" si="363"/>
        <v>39954041.127883717</v>
      </c>
      <c r="BD324" s="2">
        <f t="shared" ca="1" si="364"/>
        <v>-20062578.080482535</v>
      </c>
      <c r="BE324" s="2">
        <f t="shared" ca="1" si="365"/>
        <v>2081409.516494113</v>
      </c>
      <c r="BF324" s="2">
        <f t="shared" ca="1" si="366"/>
        <v>2477268.6534034731</v>
      </c>
      <c r="BG324" s="2">
        <f t="shared" ca="1" si="367"/>
        <v>2834155.355171727</v>
      </c>
      <c r="BH324" s="2">
        <f t="shared" ca="1" si="368"/>
        <v>3220548.5631722724</v>
      </c>
      <c r="BI324" s="2">
        <f t="shared" ca="1" si="369"/>
        <v>43592928.929949522</v>
      </c>
      <c r="BJ324" s="2">
        <f t="shared" ca="1" si="370"/>
        <v>0.25356149762721336</v>
      </c>
      <c r="BK324" s="2">
        <f t="shared" ca="1" si="371"/>
        <v>12570497.906680502</v>
      </c>
    </row>
    <row r="325" spans="1:63" x14ac:dyDescent="0.3">
      <c r="A325" s="2">
        <v>324</v>
      </c>
      <c r="B325" s="2">
        <f t="shared" ca="1" si="310"/>
        <v>0.62370645865873164</v>
      </c>
      <c r="C325" s="2">
        <f t="shared" ca="1" si="311"/>
        <v>7.132482229183438</v>
      </c>
      <c r="D325" s="2">
        <f t="shared" ca="1" si="312"/>
        <v>0.84147687022879825</v>
      </c>
      <c r="E325" s="2">
        <f t="shared" ca="1" si="313"/>
        <v>7.9369313900221368</v>
      </c>
      <c r="F325" s="2">
        <f t="shared" ca="1" si="314"/>
        <v>0.16811444784542995</v>
      </c>
      <c r="G325" s="2">
        <f t="shared" ca="1" si="315"/>
        <v>1.1150705934533687E-2</v>
      </c>
      <c r="H325" s="2">
        <f t="shared" ca="1" si="316"/>
        <v>1.1150705934533687E-2</v>
      </c>
      <c r="I325" s="2">
        <f t="shared" ca="1" si="317"/>
        <v>0.23467087938806042</v>
      </c>
      <c r="J325" s="2">
        <f t="shared" ca="1" si="318"/>
        <v>6.3822476518079381E-3</v>
      </c>
      <c r="K325" s="2">
        <f t="shared" ca="1" si="319"/>
        <v>6.3822476518079381E-3</v>
      </c>
      <c r="L325" s="2">
        <f t="shared" ca="1" si="320"/>
        <v>0.36560789963010343</v>
      </c>
      <c r="M325" s="2">
        <f t="shared" ca="1" si="321"/>
        <v>-6.8701739378334457E-3</v>
      </c>
      <c r="N325" s="2">
        <f t="shared" ca="1" si="322"/>
        <v>-6.8701739378334457E-3</v>
      </c>
      <c r="O325" s="2">
        <f t="shared" si="323"/>
        <v>6000000</v>
      </c>
      <c r="P325" s="2">
        <f t="shared" ca="1" si="324"/>
        <v>42794893.375100628</v>
      </c>
      <c r="Q325" s="2">
        <f t="shared" ca="1" si="325"/>
        <v>1069872.3343775158</v>
      </c>
      <c r="R325" s="2">
        <f t="shared" ca="1" si="326"/>
        <v>25676936.025060374</v>
      </c>
      <c r="S325" s="2">
        <f t="shared" ca="1" si="327"/>
        <v>17117957.350040253</v>
      </c>
      <c r="T325" s="2">
        <f t="shared" ca="1" si="328"/>
        <v>49656491.303108327</v>
      </c>
      <c r="U325" s="2">
        <f t="shared" ca="1" si="329"/>
        <v>50210196.235370018</v>
      </c>
      <c r="V325" s="2">
        <f t="shared" ca="1" si="330"/>
        <v>50770075.368505858</v>
      </c>
      <c r="W325" s="2">
        <f t="shared" ca="1" si="331"/>
        <v>51336197.549214177</v>
      </c>
      <c r="X325" s="2">
        <f t="shared" ca="1" si="332"/>
        <v>51908632.391882591</v>
      </c>
      <c r="Y325" s="2">
        <f t="shared" ca="1" si="333"/>
        <v>0.12319112382590397</v>
      </c>
      <c r="Z325" s="2">
        <f t="shared" ca="1" si="334"/>
        <v>0.12446757335626556</v>
      </c>
      <c r="AA325" s="2">
        <f t="shared" ca="1" si="335"/>
        <v>6117238.9688811414</v>
      </c>
      <c r="AB325" s="2">
        <f t="shared" ca="1" si="336"/>
        <v>6249541.2831584066</v>
      </c>
      <c r="AC325" s="2">
        <f t="shared" ca="1" si="337"/>
        <v>6319228.0802326342</v>
      </c>
      <c r="AD325" s="2">
        <f t="shared" ca="1" si="338"/>
        <v>6389691.9342885558</v>
      </c>
      <c r="AE325" s="2">
        <f t="shared" ca="1" si="339"/>
        <v>6460941.5100600692</v>
      </c>
      <c r="AF325" s="2">
        <f t="shared" ca="1" si="340"/>
        <v>993129.8260621666</v>
      </c>
      <c r="AG325" s="2">
        <f t="shared" ca="1" si="341"/>
        <v>1004203.9247074004</v>
      </c>
      <c r="AH325" s="2">
        <f t="shared" ca="1" si="342"/>
        <v>1015401.5073701172</v>
      </c>
      <c r="AI325" s="2">
        <f t="shared" ca="1" si="343"/>
        <v>1026723.9509842836</v>
      </c>
      <c r="AJ325" s="2">
        <f t="shared" ca="1" si="344"/>
        <v>1038172.6478376519</v>
      </c>
      <c r="AK325" s="2">
        <f t="shared" ca="1" si="345"/>
        <v>0</v>
      </c>
      <c r="AL325" s="2">
        <f t="shared" ca="1" si="346"/>
        <v>5537.0493226169046</v>
      </c>
      <c r="AM325" s="2">
        <f t="shared" ca="1" si="347"/>
        <v>5598.7913313584031</v>
      </c>
      <c r="AN325" s="2">
        <f t="shared" ca="1" si="348"/>
        <v>5661.2218070831896</v>
      </c>
      <c r="AO325" s="2">
        <f t="shared" ca="1" si="349"/>
        <v>5724.3484266841415</v>
      </c>
      <c r="AP325" s="2">
        <f t="shared" ca="1" si="350"/>
        <v>2310924.2422554335</v>
      </c>
      <c r="AQ325" s="2">
        <f t="shared" ca="1" si="351"/>
        <v>731428.0741465207</v>
      </c>
      <c r="AR325" s="2">
        <f t="shared" ca="1" si="352"/>
        <v>762947.4102108489</v>
      </c>
      <c r="AS325" s="2">
        <f t="shared" ca="1" si="353"/>
        <v>778154.60595784173</v>
      </c>
      <c r="AT325" s="2">
        <f t="shared" ca="1" si="354"/>
        <v>793531.37267269811</v>
      </c>
      <c r="AU325" s="2">
        <f t="shared" ca="1" si="355"/>
        <v>809079.6011914158</v>
      </c>
      <c r="AV325" s="2">
        <f t="shared" ca="1" si="356"/>
        <v>2081756.8264170205</v>
      </c>
      <c r="AW325" s="2">
        <f t="shared" ca="1" si="357"/>
        <v>2165928.6566621065</v>
      </c>
      <c r="AX325" s="2">
        <f t="shared" ca="1" si="358"/>
        <v>2209148.9333178839</v>
      </c>
      <c r="AY325" s="2">
        <f t="shared" ca="1" si="359"/>
        <v>2252851.1465690574</v>
      </c>
      <c r="AZ325" s="2">
        <f t="shared" ca="1" si="360"/>
        <v>2297040.6703488845</v>
      </c>
      <c r="BA325" s="2">
        <f t="shared" ca="1" si="361"/>
        <v>51280049.48029279</v>
      </c>
      <c r="BB325" s="2">
        <f t="shared" ca="1" si="362"/>
        <v>1025600.9896058558</v>
      </c>
      <c r="BC325" s="2">
        <f t="shared" ca="1" si="363"/>
        <v>24577512.46562656</v>
      </c>
      <c r="BD325" s="2">
        <f t="shared" ca="1" si="364"/>
        <v>-18687829.684417769</v>
      </c>
      <c r="BE325" s="2">
        <f t="shared" ca="1" si="365"/>
        <v>2081756.8264170205</v>
      </c>
      <c r="BF325" s="2">
        <f t="shared" ca="1" si="366"/>
        <v>2165928.6566621065</v>
      </c>
      <c r="BG325" s="2">
        <f t="shared" ca="1" si="367"/>
        <v>2209148.9333178839</v>
      </c>
      <c r="BH325" s="2">
        <f t="shared" ca="1" si="368"/>
        <v>2252851.1465690574</v>
      </c>
      <c r="BI325" s="2">
        <f t="shared" ca="1" si="369"/>
        <v>26874553.135975443</v>
      </c>
      <c r="BJ325" s="2">
        <f t="shared" ca="1" si="370"/>
        <v>0.16255614656878392</v>
      </c>
      <c r="BK325" s="2">
        <f t="shared" ca="1" si="371"/>
        <v>3151046.2236460075</v>
      </c>
    </row>
    <row r="326" spans="1:63" x14ac:dyDescent="0.3">
      <c r="A326" s="2">
        <v>325</v>
      </c>
      <c r="B326" s="2">
        <f t="shared" ca="1" si="310"/>
        <v>0.26218804519001959</v>
      </c>
      <c r="C326" s="2">
        <f t="shared" ca="1" si="311"/>
        <v>6.72413817077961</v>
      </c>
      <c r="D326" s="2">
        <f t="shared" ca="1" si="312"/>
        <v>0.94614588666114507</v>
      </c>
      <c r="E326" s="2">
        <f t="shared" ca="1" si="313"/>
        <v>8.1718106846990448</v>
      </c>
      <c r="F326" s="2">
        <f t="shared" ca="1" si="314"/>
        <v>0.30704405088366959</v>
      </c>
      <c r="G326" s="2">
        <f t="shared" ca="1" si="315"/>
        <v>2.4872602184307577E-2</v>
      </c>
      <c r="H326" s="2">
        <f t="shared" ca="1" si="316"/>
        <v>2.4872602184307577E-2</v>
      </c>
      <c r="I326" s="2">
        <f t="shared" ca="1" si="317"/>
        <v>1.4654344559758337E-2</v>
      </c>
      <c r="J326" s="2">
        <f t="shared" ca="1" si="318"/>
        <v>-8.9654715314482422E-4</v>
      </c>
      <c r="K326" s="2">
        <f t="shared" ca="1" si="319"/>
        <v>0</v>
      </c>
      <c r="L326" s="2">
        <f t="shared" ca="1" si="320"/>
        <v>0.60345144028932585</v>
      </c>
      <c r="M326" s="2">
        <f t="shared" ca="1" si="321"/>
        <v>5.2458195004253128E-3</v>
      </c>
      <c r="N326" s="2">
        <f t="shared" ca="1" si="322"/>
        <v>5.2458195004253128E-3</v>
      </c>
      <c r="O326" s="2">
        <f t="shared" si="323"/>
        <v>6000000</v>
      </c>
      <c r="P326" s="2">
        <f t="shared" ca="1" si="324"/>
        <v>40344829.024677657</v>
      </c>
      <c r="Q326" s="2">
        <f t="shared" ca="1" si="325"/>
        <v>1008620.7256169415</v>
      </c>
      <c r="R326" s="2">
        <f t="shared" ca="1" si="326"/>
        <v>24206897.414806593</v>
      </c>
      <c r="S326" s="2">
        <f t="shared" ca="1" si="327"/>
        <v>16137931.609871063</v>
      </c>
      <c r="T326" s="2">
        <f t="shared" ca="1" si="328"/>
        <v>50262290.975021265</v>
      </c>
      <c r="U326" s="2">
        <f t="shared" ca="1" si="329"/>
        <v>51512444.94331488</v>
      </c>
      <c r="V326" s="2">
        <f t="shared" ca="1" si="330"/>
        <v>52793693.493930995</v>
      </c>
      <c r="W326" s="2">
        <f t="shared" ca="1" si="331"/>
        <v>54106810.030045807</v>
      </c>
      <c r="X326" s="2">
        <f t="shared" ca="1" si="332"/>
        <v>55452587.191385038</v>
      </c>
      <c r="Y326" s="2">
        <f t="shared" ca="1" si="333"/>
        <v>0.12</v>
      </c>
      <c r="Z326" s="2">
        <f t="shared" ca="1" si="334"/>
        <v>0.12</v>
      </c>
      <c r="AA326" s="2">
        <f t="shared" ca="1" si="335"/>
        <v>6031474.9170025513</v>
      </c>
      <c r="AB326" s="2">
        <f t="shared" ca="1" si="336"/>
        <v>6181493.3931977851</v>
      </c>
      <c r="AC326" s="2">
        <f t="shared" ca="1" si="337"/>
        <v>6335243.2192717195</v>
      </c>
      <c r="AD326" s="2">
        <f t="shared" ca="1" si="338"/>
        <v>6492817.2036054963</v>
      </c>
      <c r="AE326" s="2">
        <f t="shared" ca="1" si="339"/>
        <v>6654310.4629662046</v>
      </c>
      <c r="AF326" s="2">
        <f t="shared" ca="1" si="340"/>
        <v>1005245.8195004254</v>
      </c>
      <c r="AG326" s="2">
        <f t="shared" ca="1" si="341"/>
        <v>1030248.8988662977</v>
      </c>
      <c r="AH326" s="2">
        <f t="shared" ca="1" si="342"/>
        <v>1055873.8698786199</v>
      </c>
      <c r="AI326" s="2">
        <f t="shared" ca="1" si="343"/>
        <v>1082136.2006009161</v>
      </c>
      <c r="AJ326" s="2">
        <f t="shared" ca="1" si="344"/>
        <v>1109051.7438277008</v>
      </c>
      <c r="AK326" s="2">
        <f t="shared" ca="1" si="345"/>
        <v>0</v>
      </c>
      <c r="AL326" s="2">
        <f t="shared" ca="1" si="346"/>
        <v>12501.539682936147</v>
      </c>
      <c r="AM326" s="2">
        <f t="shared" ca="1" si="347"/>
        <v>12812.485506161154</v>
      </c>
      <c r="AN326" s="2">
        <f t="shared" ca="1" si="348"/>
        <v>13131.16536114812</v>
      </c>
      <c r="AO326" s="2">
        <f t="shared" ca="1" si="349"/>
        <v>13457.77161339231</v>
      </c>
      <c r="AP326" s="2">
        <f t="shared" ca="1" si="350"/>
        <v>2178620.7673325934</v>
      </c>
      <c r="AQ326" s="2">
        <f t="shared" ca="1" si="351"/>
        <v>740378.16584407829</v>
      </c>
      <c r="AR326" s="2">
        <f t="shared" ca="1" si="352"/>
        <v>772882.16901971248</v>
      </c>
      <c r="AS326" s="2">
        <f t="shared" ca="1" si="353"/>
        <v>806194.6313357316</v>
      </c>
      <c r="AT326" s="2">
        <f t="shared" ca="1" si="354"/>
        <v>840335.66127471672</v>
      </c>
      <c r="AU326" s="2">
        <f t="shared" ca="1" si="355"/>
        <v>875325.86746953672</v>
      </c>
      <c r="AV326" s="2">
        <f t="shared" ca="1" si="356"/>
        <v>2107230.1643254538</v>
      </c>
      <c r="AW326" s="2">
        <f t="shared" ca="1" si="357"/>
        <v>2187240.018296246</v>
      </c>
      <c r="AX326" s="2">
        <f t="shared" ca="1" si="358"/>
        <v>2281741.4652186134</v>
      </c>
      <c r="AY326" s="2">
        <f t="shared" ca="1" si="359"/>
        <v>2378593.4090361218</v>
      </c>
      <c r="AZ326" s="2">
        <f t="shared" ca="1" si="360"/>
        <v>2477854.3127229814</v>
      </c>
      <c r="BA326" s="2">
        <f t="shared" ca="1" si="361"/>
        <v>54377765.34057188</v>
      </c>
      <c r="BB326" s="2">
        <f t="shared" ca="1" si="362"/>
        <v>1087555.3068114377</v>
      </c>
      <c r="BC326" s="2">
        <f t="shared" ca="1" si="363"/>
        <v>29083312.61895385</v>
      </c>
      <c r="BD326" s="2">
        <f t="shared" ca="1" si="364"/>
        <v>-17646552.335488006</v>
      </c>
      <c r="BE326" s="2">
        <f t="shared" ca="1" si="365"/>
        <v>2107230.1643254538</v>
      </c>
      <c r="BF326" s="2">
        <f t="shared" ca="1" si="366"/>
        <v>2187240.018296246</v>
      </c>
      <c r="BG326" s="2">
        <f t="shared" ca="1" si="367"/>
        <v>2281741.4652186134</v>
      </c>
      <c r="BH326" s="2">
        <f t="shared" ca="1" si="368"/>
        <v>2378593.4090361218</v>
      </c>
      <c r="BI326" s="2">
        <f t="shared" ca="1" si="369"/>
        <v>31561166.931676831</v>
      </c>
      <c r="BJ326" s="2">
        <f t="shared" ca="1" si="370"/>
        <v>0.21254868728631182</v>
      </c>
      <c r="BK326" s="2">
        <f t="shared" ca="1" si="371"/>
        <v>7022948.8527220376</v>
      </c>
    </row>
    <row r="327" spans="1:63" x14ac:dyDescent="0.3">
      <c r="A327" s="2">
        <v>326</v>
      </c>
      <c r="B327" s="2">
        <f t="shared" ca="1" si="310"/>
        <v>0.25083156846729093</v>
      </c>
      <c r="C327" s="2">
        <f t="shared" ca="1" si="311"/>
        <v>6.7082818202767749</v>
      </c>
      <c r="D327" s="2">
        <f t="shared" ca="1" si="312"/>
        <v>0.3689161256863599</v>
      </c>
      <c r="E327" s="2">
        <f t="shared" ca="1" si="313"/>
        <v>7.3589716243117227</v>
      </c>
      <c r="F327" s="2">
        <f t="shared" ca="1" si="314"/>
        <v>0.29897611285498105</v>
      </c>
      <c r="G327" s="2">
        <f t="shared" ca="1" si="315"/>
        <v>2.4179572040413308E-2</v>
      </c>
      <c r="H327" s="2">
        <f t="shared" ca="1" si="316"/>
        <v>2.4179572040413308E-2</v>
      </c>
      <c r="I327" s="2">
        <f t="shared" ca="1" si="317"/>
        <v>0.30502379857134509</v>
      </c>
      <c r="J327" s="2">
        <f t="shared" ca="1" si="318"/>
        <v>7.4499724183029843E-3</v>
      </c>
      <c r="K327" s="2">
        <f t="shared" ca="1" si="319"/>
        <v>7.4499724183029843E-3</v>
      </c>
      <c r="L327" s="2">
        <f t="shared" ca="1" si="320"/>
        <v>0.85732470778128322</v>
      </c>
      <c r="M327" s="2">
        <f t="shared" ca="1" si="321"/>
        <v>2.136753570665087E-2</v>
      </c>
      <c r="N327" s="2">
        <f t="shared" ca="1" si="322"/>
        <v>2.136753570665087E-2</v>
      </c>
      <c r="O327" s="2">
        <f t="shared" si="323"/>
        <v>6000000</v>
      </c>
      <c r="P327" s="2">
        <f t="shared" ca="1" si="324"/>
        <v>40249690.921660647</v>
      </c>
      <c r="Q327" s="2">
        <f t="shared" ca="1" si="325"/>
        <v>1006242.2730415162</v>
      </c>
      <c r="R327" s="2">
        <f t="shared" ca="1" si="326"/>
        <v>24149814.552996386</v>
      </c>
      <c r="S327" s="2">
        <f t="shared" ca="1" si="327"/>
        <v>16099876.368664259</v>
      </c>
      <c r="T327" s="2">
        <f t="shared" ca="1" si="328"/>
        <v>51068376.785332546</v>
      </c>
      <c r="U327" s="2">
        <f t="shared" ca="1" si="329"/>
        <v>52303188.280800462</v>
      </c>
      <c r="V327" s="2">
        <f t="shared" ca="1" si="330"/>
        <v>53567856.989779375</v>
      </c>
      <c r="W327" s="2">
        <f t="shared" ca="1" si="331"/>
        <v>54863104.846914299</v>
      </c>
      <c r="X327" s="2">
        <f t="shared" ca="1" si="332"/>
        <v>56189671.24292101</v>
      </c>
      <c r="Y327" s="2">
        <f t="shared" ca="1" si="333"/>
        <v>0.12372498620915148</v>
      </c>
      <c r="Z327" s="2">
        <f t="shared" ca="1" si="334"/>
        <v>0.12521498069281209</v>
      </c>
      <c r="AA327" s="2">
        <f t="shared" ca="1" si="335"/>
        <v>6318434.2134890212</v>
      </c>
      <c r="AB327" s="2">
        <f t="shared" ca="1" si="336"/>
        <v>6549142.7107529454</v>
      </c>
      <c r="AC327" s="2">
        <f t="shared" ca="1" si="337"/>
        <v>6707498.1787305437</v>
      </c>
      <c r="AD327" s="2">
        <f t="shared" ca="1" si="338"/>
        <v>6869682.6141540995</v>
      </c>
      <c r="AE327" s="2">
        <f t="shared" ca="1" si="339"/>
        <v>7035788.5998178124</v>
      </c>
      <c r="AF327" s="2">
        <f t="shared" ca="1" si="340"/>
        <v>1021367.5357066509</v>
      </c>
      <c r="AG327" s="2">
        <f t="shared" ca="1" si="341"/>
        <v>1046063.7656160092</v>
      </c>
      <c r="AH327" s="2">
        <f t="shared" ca="1" si="342"/>
        <v>1071357.1397955876</v>
      </c>
      <c r="AI327" s="2">
        <f t="shared" ca="1" si="343"/>
        <v>1097262.096938286</v>
      </c>
      <c r="AJ327" s="2">
        <f t="shared" ca="1" si="344"/>
        <v>1123793.4248584202</v>
      </c>
      <c r="AK327" s="2">
        <f t="shared" ca="1" si="345"/>
        <v>0</v>
      </c>
      <c r="AL327" s="2">
        <f t="shared" ca="1" si="346"/>
        <v>12348.114954679162</v>
      </c>
      <c r="AM327" s="2">
        <f t="shared" ca="1" si="347"/>
        <v>12646.687089789137</v>
      </c>
      <c r="AN327" s="2">
        <f t="shared" ca="1" si="348"/>
        <v>12952.478571349233</v>
      </c>
      <c r="AO327" s="2">
        <f t="shared" ca="1" si="349"/>
        <v>13265.663960067108</v>
      </c>
      <c r="AP327" s="2">
        <f t="shared" ca="1" si="350"/>
        <v>2173483.3097696747</v>
      </c>
      <c r="AQ327" s="2">
        <f t="shared" ca="1" si="351"/>
        <v>812131.67568330071</v>
      </c>
      <c r="AR327" s="2">
        <f t="shared" ca="1" si="352"/>
        <v>865694.86519548809</v>
      </c>
      <c r="AS327" s="2">
        <f t="shared" ca="1" si="353"/>
        <v>900291.0095829732</v>
      </c>
      <c r="AT327" s="2">
        <f t="shared" ca="1" si="354"/>
        <v>935723.67393599614</v>
      </c>
      <c r="AU327" s="2">
        <f t="shared" ca="1" si="355"/>
        <v>972013.08494932659</v>
      </c>
      <c r="AV327" s="2">
        <f t="shared" ca="1" si="356"/>
        <v>2311451.6923293942</v>
      </c>
      <c r="AW327" s="2">
        <f t="shared" ca="1" si="357"/>
        <v>2451552.6552170948</v>
      </c>
      <c r="AX327" s="2">
        <f t="shared" ca="1" si="358"/>
        <v>2549720.0324925198</v>
      </c>
      <c r="AY327" s="2">
        <f t="shared" ca="1" si="359"/>
        <v>2650261.0549387936</v>
      </c>
      <c r="AZ327" s="2">
        <f t="shared" ca="1" si="360"/>
        <v>2753233.1162803234</v>
      </c>
      <c r="BA327" s="2">
        <f t="shared" ca="1" si="361"/>
        <v>51776168.660715185</v>
      </c>
      <c r="BB327" s="2">
        <f t="shared" ca="1" si="362"/>
        <v>1035523.3732143037</v>
      </c>
      <c r="BC327" s="2">
        <f t="shared" ca="1" si="363"/>
        <v>26590830.734504495</v>
      </c>
      <c r="BD327" s="2">
        <f t="shared" ca="1" si="364"/>
        <v>-17606118.641705774</v>
      </c>
      <c r="BE327" s="2">
        <f t="shared" ca="1" si="365"/>
        <v>2311451.6923293942</v>
      </c>
      <c r="BF327" s="2">
        <f t="shared" ca="1" si="366"/>
        <v>2451552.6552170948</v>
      </c>
      <c r="BG327" s="2">
        <f t="shared" ca="1" si="367"/>
        <v>2549720.0324925198</v>
      </c>
      <c r="BH327" s="2">
        <f t="shared" ca="1" si="368"/>
        <v>2650261.0549387936</v>
      </c>
      <c r="BI327" s="2">
        <f t="shared" ca="1" si="369"/>
        <v>29344063.85078482</v>
      </c>
      <c r="BJ327" s="2">
        <f t="shared" ca="1" si="370"/>
        <v>0.20944988873129677</v>
      </c>
      <c r="BK327" s="2">
        <f t="shared" ca="1" si="371"/>
        <v>6561779.3337376155</v>
      </c>
    </row>
    <row r="328" spans="1:63" x14ac:dyDescent="0.3">
      <c r="A328" s="2">
        <v>327</v>
      </c>
      <c r="B328" s="2">
        <f t="shared" ca="1" si="310"/>
        <v>6.1670523055443183E-2</v>
      </c>
      <c r="C328" s="2">
        <f t="shared" ca="1" si="311"/>
        <v>6.3511994392234792</v>
      </c>
      <c r="D328" s="2">
        <f t="shared" ca="1" si="312"/>
        <v>4.0503424888978845E-2</v>
      </c>
      <c r="E328" s="2">
        <f t="shared" ca="1" si="313"/>
        <v>6.7846170229939835</v>
      </c>
      <c r="F328" s="2">
        <f t="shared" ca="1" si="314"/>
        <v>0.2591096202529044</v>
      </c>
      <c r="G328" s="2">
        <f t="shared" ca="1" si="315"/>
        <v>2.0617215191087498E-2</v>
      </c>
      <c r="H328" s="2">
        <f t="shared" ca="1" si="316"/>
        <v>2.0617215191087498E-2</v>
      </c>
      <c r="I328" s="2">
        <f t="shared" ca="1" si="317"/>
        <v>6.5802916540419476E-2</v>
      </c>
      <c r="J328" s="2">
        <f t="shared" ca="1" si="318"/>
        <v>2.4610021661639944E-3</v>
      </c>
      <c r="K328" s="2">
        <f t="shared" ca="1" si="319"/>
        <v>2.4610021661639944E-3</v>
      </c>
      <c r="L328" s="2">
        <f t="shared" ca="1" si="320"/>
        <v>0.84549668925605626</v>
      </c>
      <c r="M328" s="2">
        <f t="shared" ca="1" si="321"/>
        <v>2.0346173061476288E-2</v>
      </c>
      <c r="N328" s="2">
        <f t="shared" ca="1" si="322"/>
        <v>2.0346173061476288E-2</v>
      </c>
      <c r="O328" s="2">
        <f t="shared" si="323"/>
        <v>6000000</v>
      </c>
      <c r="P328" s="2">
        <f t="shared" ca="1" si="324"/>
        <v>38107196.635340877</v>
      </c>
      <c r="Q328" s="2">
        <f t="shared" ca="1" si="325"/>
        <v>952679.91588352202</v>
      </c>
      <c r="R328" s="2">
        <f t="shared" ca="1" si="326"/>
        <v>22864317.981204525</v>
      </c>
      <c r="S328" s="2">
        <f t="shared" ca="1" si="327"/>
        <v>15242878.654136352</v>
      </c>
      <c r="T328" s="2">
        <f t="shared" ca="1" si="328"/>
        <v>51017308.65307381</v>
      </c>
      <c r="U328" s="2">
        <f t="shared" ca="1" si="329"/>
        <v>52069143.484044366</v>
      </c>
      <c r="V328" s="2">
        <f t="shared" ca="1" si="330"/>
        <v>53142664.220070519</v>
      </c>
      <c r="W328" s="2">
        <f t="shared" ca="1" si="331"/>
        <v>54238317.96412342</v>
      </c>
      <c r="X328" s="2">
        <f t="shared" ca="1" si="332"/>
        <v>55356561.037192382</v>
      </c>
      <c r="Y328" s="2">
        <f t="shared" ca="1" si="333"/>
        <v>0.12123050108308199</v>
      </c>
      <c r="Z328" s="2">
        <f t="shared" ca="1" si="334"/>
        <v>0.12172270151631479</v>
      </c>
      <c r="AA328" s="2">
        <f t="shared" ca="1" si="335"/>
        <v>6184853.8919223929</v>
      </c>
      <c r="AB328" s="2">
        <f t="shared" ca="1" si="336"/>
        <v>6337996.8105184995</v>
      </c>
      <c r="AC328" s="2">
        <f t="shared" ca="1" si="337"/>
        <v>6468668.6546413852</v>
      </c>
      <c r="AD328" s="2">
        <f t="shared" ca="1" si="338"/>
        <v>6602034.5882939696</v>
      </c>
      <c r="AE328" s="2">
        <f t="shared" ca="1" si="339"/>
        <v>6738150.1560998289</v>
      </c>
      <c r="AF328" s="2">
        <f t="shared" ca="1" si="340"/>
        <v>1020346.1730614762</v>
      </c>
      <c r="AG328" s="2">
        <f t="shared" ca="1" si="341"/>
        <v>1041382.8696808873</v>
      </c>
      <c r="AH328" s="2">
        <f t="shared" ca="1" si="342"/>
        <v>1062853.2844014105</v>
      </c>
      <c r="AI328" s="2">
        <f t="shared" ca="1" si="343"/>
        <v>1084766.3592824684</v>
      </c>
      <c r="AJ328" s="2">
        <f t="shared" ca="1" si="344"/>
        <v>1107131.2207438475</v>
      </c>
      <c r="AK328" s="2">
        <f t="shared" ca="1" si="345"/>
        <v>0</v>
      </c>
      <c r="AL328" s="2">
        <f t="shared" ca="1" si="346"/>
        <v>10518.348309705556</v>
      </c>
      <c r="AM328" s="2">
        <f t="shared" ca="1" si="347"/>
        <v>10735.207360261529</v>
      </c>
      <c r="AN328" s="2">
        <f t="shared" ca="1" si="348"/>
        <v>10956.537440529019</v>
      </c>
      <c r="AO328" s="2">
        <f t="shared" ca="1" si="349"/>
        <v>11182.430730689615</v>
      </c>
      <c r="AP328" s="2">
        <f t="shared" ca="1" si="350"/>
        <v>2057788.6183084073</v>
      </c>
      <c r="AQ328" s="2">
        <f t="shared" ca="1" si="351"/>
        <v>807746.96614365256</v>
      </c>
      <c r="AR328" s="2">
        <f t="shared" ca="1" si="352"/>
        <v>842094.58385759336</v>
      </c>
      <c r="AS328" s="2">
        <f t="shared" ca="1" si="353"/>
        <v>870486.95550220762</v>
      </c>
      <c r="AT328" s="2">
        <f t="shared" ca="1" si="354"/>
        <v>899464.69878280442</v>
      </c>
      <c r="AU328" s="2">
        <f t="shared" ca="1" si="355"/>
        <v>929039.8824323694</v>
      </c>
      <c r="AV328" s="2">
        <f t="shared" ca="1" si="356"/>
        <v>2298972.1344088567</v>
      </c>
      <c r="AW328" s="2">
        <f t="shared" ca="1" si="357"/>
        <v>2386212.390361906</v>
      </c>
      <c r="AX328" s="2">
        <f t="shared" ca="1" si="358"/>
        <v>2466804.5890690992</v>
      </c>
      <c r="AY328" s="2">
        <f t="shared" ca="1" si="359"/>
        <v>2549058.3744797604</v>
      </c>
      <c r="AZ328" s="2">
        <f t="shared" ca="1" si="360"/>
        <v>2633008.0038845157</v>
      </c>
      <c r="BA328" s="2">
        <f t="shared" ca="1" si="361"/>
        <v>45715768.252564467</v>
      </c>
      <c r="BB328" s="2">
        <f t="shared" ca="1" si="362"/>
        <v>914315.36505128932</v>
      </c>
      <c r="BC328" s="2">
        <f t="shared" ca="1" si="363"/>
        <v>21937134.906308655</v>
      </c>
      <c r="BD328" s="2">
        <f t="shared" ca="1" si="364"/>
        <v>-16695558.570019875</v>
      </c>
      <c r="BE328" s="2">
        <f t="shared" ca="1" si="365"/>
        <v>2298972.1344088567</v>
      </c>
      <c r="BF328" s="2">
        <f t="shared" ca="1" si="366"/>
        <v>2386212.390361906</v>
      </c>
      <c r="BG328" s="2">
        <f t="shared" ca="1" si="367"/>
        <v>2466804.5890690992</v>
      </c>
      <c r="BH328" s="2">
        <f t="shared" ca="1" si="368"/>
        <v>2549058.3744797604</v>
      </c>
      <c r="BI328" s="2">
        <f t="shared" ca="1" si="369"/>
        <v>24570142.910193171</v>
      </c>
      <c r="BJ328" s="2">
        <f t="shared" ca="1" si="370"/>
        <v>0.18914840111012499</v>
      </c>
      <c r="BK328" s="2">
        <f t="shared" ca="1" si="371"/>
        <v>4576923.4272430241</v>
      </c>
    </row>
    <row r="329" spans="1:63" x14ac:dyDescent="0.3">
      <c r="A329" s="2">
        <v>328</v>
      </c>
      <c r="B329" s="2">
        <f t="shared" ca="1" si="310"/>
        <v>0.14766530435635905</v>
      </c>
      <c r="C329" s="2">
        <f t="shared" ca="1" si="311"/>
        <v>6.5434432893253147</v>
      </c>
      <c r="D329" s="2">
        <f t="shared" ca="1" si="312"/>
        <v>0.29414721631044605</v>
      </c>
      <c r="E329" s="2">
        <f t="shared" ca="1" si="313"/>
        <v>7.2670035414656784</v>
      </c>
      <c r="F329" s="2">
        <f t="shared" ca="1" si="314"/>
        <v>0.92600903117256461</v>
      </c>
      <c r="G329" s="2">
        <f t="shared" ca="1" si="315"/>
        <v>8.3400895804446429E-2</v>
      </c>
      <c r="H329" s="2">
        <f t="shared" ca="1" si="316"/>
        <v>8.3400895804446429E-2</v>
      </c>
      <c r="I329" s="2">
        <f t="shared" ca="1" si="317"/>
        <v>0.31230218709078839</v>
      </c>
      <c r="J329" s="2">
        <f t="shared" ca="1" si="318"/>
        <v>7.5533237868471974E-3</v>
      </c>
      <c r="K329" s="2">
        <f t="shared" ca="1" si="319"/>
        <v>7.5533237868471974E-3</v>
      </c>
      <c r="L329" s="2">
        <f t="shared" ca="1" si="320"/>
        <v>0.88227335716046151</v>
      </c>
      <c r="M329" s="2">
        <f t="shared" ca="1" si="321"/>
        <v>2.3728561717871789E-2</v>
      </c>
      <c r="N329" s="2">
        <f t="shared" ca="1" si="322"/>
        <v>2.3728561717871789E-2</v>
      </c>
      <c r="O329" s="2">
        <f t="shared" si="323"/>
        <v>6000000</v>
      </c>
      <c r="P329" s="2">
        <f t="shared" ca="1" si="324"/>
        <v>39260659.735951886</v>
      </c>
      <c r="Q329" s="2">
        <f t="shared" ca="1" si="325"/>
        <v>981516.49339879723</v>
      </c>
      <c r="R329" s="2">
        <f t="shared" ca="1" si="326"/>
        <v>23556395.84157113</v>
      </c>
      <c r="S329" s="2">
        <f t="shared" ca="1" si="327"/>
        <v>15704263.894380756</v>
      </c>
      <c r="T329" s="2">
        <f t="shared" ca="1" si="328"/>
        <v>51186428.085893586</v>
      </c>
      <c r="U329" s="2">
        <f t="shared" ca="1" si="329"/>
        <v>55455422.041286983</v>
      </c>
      <c r="V329" s="2">
        <f t="shared" ca="1" si="330"/>
        <v>60080453.916743957</v>
      </c>
      <c r="W329" s="2">
        <f t="shared" ca="1" si="331"/>
        <v>65091217.593738161</v>
      </c>
      <c r="X329" s="2">
        <f t="shared" ca="1" si="332"/>
        <v>70519883.450058058</v>
      </c>
      <c r="Y329" s="2">
        <f t="shared" ca="1" si="333"/>
        <v>0.1237766618934236</v>
      </c>
      <c r="Z329" s="2">
        <f t="shared" ca="1" si="334"/>
        <v>0.12528732665079303</v>
      </c>
      <c r="AA329" s="2">
        <f t="shared" ca="1" si="335"/>
        <v>6335685.2027196921</v>
      </c>
      <c r="AB329" s="2">
        <f t="shared" ca="1" si="336"/>
        <v>6947861.5758443102</v>
      </c>
      <c r="AC329" s="2">
        <f t="shared" ca="1" si="337"/>
        <v>7527319.4551950181</v>
      </c>
      <c r="AD329" s="2">
        <f t="shared" ca="1" si="338"/>
        <v>8155104.6407645196</v>
      </c>
      <c r="AE329" s="2">
        <f t="shared" ca="1" si="339"/>
        <v>8835247.6731832772</v>
      </c>
      <c r="AF329" s="2">
        <f t="shared" ca="1" si="340"/>
        <v>1023728.5617178717</v>
      </c>
      <c r="AG329" s="2">
        <f t="shared" ca="1" si="341"/>
        <v>1109108.4408257396</v>
      </c>
      <c r="AH329" s="2">
        <f t="shared" ca="1" si="342"/>
        <v>1201609.0783348791</v>
      </c>
      <c r="AI329" s="2">
        <f t="shared" ca="1" si="343"/>
        <v>1301824.3518747631</v>
      </c>
      <c r="AJ329" s="2">
        <f t="shared" ca="1" si="344"/>
        <v>1410397.6690011611</v>
      </c>
      <c r="AK329" s="2">
        <f t="shared" ca="1" si="345"/>
        <v>0</v>
      </c>
      <c r="AL329" s="2">
        <f t="shared" ca="1" si="346"/>
        <v>42689.939553933968</v>
      </c>
      <c r="AM329" s="2">
        <f t="shared" ca="1" si="347"/>
        <v>46250.318754569736</v>
      </c>
      <c r="AN329" s="2">
        <f t="shared" ca="1" si="348"/>
        <v>50107.636769942044</v>
      </c>
      <c r="AO329" s="2">
        <f t="shared" ca="1" si="349"/>
        <v>54286.658563198973</v>
      </c>
      <c r="AP329" s="2">
        <f t="shared" ca="1" si="350"/>
        <v>2120075.6257414017</v>
      </c>
      <c r="AQ329" s="2">
        <f t="shared" ca="1" si="351"/>
        <v>829889.06396770896</v>
      </c>
      <c r="AR329" s="2">
        <f t="shared" ca="1" si="352"/>
        <v>966856.15241206391</v>
      </c>
      <c r="AS329" s="2">
        <f t="shared" ca="1" si="353"/>
        <v>1093465.0352908717</v>
      </c>
      <c r="AT329" s="2">
        <f t="shared" ca="1" si="354"/>
        <v>1230633.2124185723</v>
      </c>
      <c r="AU329" s="2">
        <f t="shared" ca="1" si="355"/>
        <v>1379241.3383945858</v>
      </c>
      <c r="AV329" s="2">
        <f t="shared" ca="1" si="356"/>
        <v>2361991.9512927104</v>
      </c>
      <c r="AW329" s="2">
        <f t="shared" ca="1" si="357"/>
        <v>2709131.4173111711</v>
      </c>
      <c r="AX329" s="2">
        <f t="shared" ca="1" si="358"/>
        <v>3065919.3970732959</v>
      </c>
      <c r="AY329" s="2">
        <f t="shared" ca="1" si="359"/>
        <v>3452463.8139598407</v>
      </c>
      <c r="AZ329" s="2">
        <f t="shared" ca="1" si="360"/>
        <v>3871246.3814829299</v>
      </c>
      <c r="BA329" s="2">
        <f t="shared" ca="1" si="361"/>
        <v>64205776.13074927</v>
      </c>
      <c r="BB329" s="2">
        <f t="shared" ca="1" si="362"/>
        <v>1284115.5226149855</v>
      </c>
      <c r="BC329" s="2">
        <f t="shared" ca="1" si="363"/>
        <v>39365264.766563155</v>
      </c>
      <c r="BD329" s="2">
        <f t="shared" ca="1" si="364"/>
        <v>-17185780.387779552</v>
      </c>
      <c r="BE329" s="2">
        <f t="shared" ca="1" si="365"/>
        <v>2361991.9512927104</v>
      </c>
      <c r="BF329" s="2">
        <f t="shared" ca="1" si="366"/>
        <v>2709131.4173111711</v>
      </c>
      <c r="BG329" s="2">
        <f t="shared" ca="1" si="367"/>
        <v>3065919.3970732959</v>
      </c>
      <c r="BH329" s="2">
        <f t="shared" ca="1" si="368"/>
        <v>3452463.8139598407</v>
      </c>
      <c r="BI329" s="2">
        <f t="shared" ca="1" si="369"/>
        <v>43236511.148046084</v>
      </c>
      <c r="BJ329" s="2">
        <f t="shared" ca="1" si="370"/>
        <v>0.30886033015925696</v>
      </c>
      <c r="BK329" s="2">
        <f t="shared" ca="1" si="371"/>
        <v>15992765.586677503</v>
      </c>
    </row>
    <row r="330" spans="1:63" x14ac:dyDescent="0.3">
      <c r="A330" s="2">
        <v>329</v>
      </c>
      <c r="B330" s="2">
        <f t="shared" ca="1" si="310"/>
        <v>0.48395464201036031</v>
      </c>
      <c r="C330" s="2">
        <f t="shared" ca="1" si="311"/>
        <v>6.9838238074069565</v>
      </c>
      <c r="D330" s="2">
        <f t="shared" ca="1" si="312"/>
        <v>0.45498525794727562</v>
      </c>
      <c r="E330" s="2">
        <f t="shared" ca="1" si="313"/>
        <v>7.4539237474214337</v>
      </c>
      <c r="F330" s="2">
        <f t="shared" ca="1" si="314"/>
        <v>0.32450428574349499</v>
      </c>
      <c r="G330" s="2">
        <f t="shared" ca="1" si="315"/>
        <v>2.6345802037456918E-2</v>
      </c>
      <c r="H330" s="2">
        <f t="shared" ca="1" si="316"/>
        <v>2.6345802037456918E-2</v>
      </c>
      <c r="I330" s="2">
        <f t="shared" ca="1" si="317"/>
        <v>0.15205460354704992</v>
      </c>
      <c r="J330" s="2">
        <f t="shared" ca="1" si="318"/>
        <v>4.8616938082950579E-3</v>
      </c>
      <c r="K330" s="2">
        <f t="shared" ca="1" si="319"/>
        <v>4.8616938082950579E-3</v>
      </c>
      <c r="L330" s="2">
        <f t="shared" ca="1" si="320"/>
        <v>0.83712111389744548</v>
      </c>
      <c r="M330" s="2">
        <f t="shared" ca="1" si="321"/>
        <v>1.9653891878763732E-2</v>
      </c>
      <c r="N330" s="2">
        <f t="shared" ca="1" si="322"/>
        <v>1.9653891878763732E-2</v>
      </c>
      <c r="O330" s="2">
        <f t="shared" si="323"/>
        <v>6000000</v>
      </c>
      <c r="P330" s="2">
        <f t="shared" ca="1" si="324"/>
        <v>41902942.844441742</v>
      </c>
      <c r="Q330" s="2">
        <f t="shared" ca="1" si="325"/>
        <v>1047573.5711110436</v>
      </c>
      <c r="R330" s="2">
        <f t="shared" ca="1" si="326"/>
        <v>25141765.706665043</v>
      </c>
      <c r="S330" s="2">
        <f t="shared" ca="1" si="327"/>
        <v>16761177.137776697</v>
      </c>
      <c r="T330" s="2">
        <f t="shared" ca="1" si="328"/>
        <v>50982694.593938179</v>
      </c>
      <c r="U330" s="2">
        <f t="shared" ca="1" si="329"/>
        <v>52325874.5730462</v>
      </c>
      <c r="V330" s="2">
        <f t="shared" ca="1" si="330"/>
        <v>53704441.705984481</v>
      </c>
      <c r="W330" s="2">
        <f t="shared" ca="1" si="331"/>
        <v>55119328.295702495</v>
      </c>
      <c r="X330" s="2">
        <f t="shared" ca="1" si="332"/>
        <v>56571491.207418673</v>
      </c>
      <c r="Y330" s="2">
        <f t="shared" ca="1" si="333"/>
        <v>0.12243084690414753</v>
      </c>
      <c r="Z330" s="2">
        <f t="shared" ca="1" si="334"/>
        <v>0.12340318566580653</v>
      </c>
      <c r="AA330" s="2">
        <f t="shared" ca="1" si="335"/>
        <v>6241854.4765913552</v>
      </c>
      <c r="AB330" s="2">
        <f t="shared" ca="1" si="336"/>
        <v>6457179.6150633255</v>
      </c>
      <c r="AC330" s="2">
        <f t="shared" ca="1" si="337"/>
        <v>6627299.1909220871</v>
      </c>
      <c r="AD330" s="2">
        <f t="shared" ca="1" si="338"/>
        <v>6801900.7034491189</v>
      </c>
      <c r="AE330" s="2">
        <f t="shared" ca="1" si="339"/>
        <v>6981102.2328606285</v>
      </c>
      <c r="AF330" s="2">
        <f t="shared" ca="1" si="340"/>
        <v>1019653.8918787636</v>
      </c>
      <c r="AG330" s="2">
        <f t="shared" ca="1" si="341"/>
        <v>1046517.491460924</v>
      </c>
      <c r="AH330" s="2">
        <f t="shared" ca="1" si="342"/>
        <v>1074088.8341196897</v>
      </c>
      <c r="AI330" s="2">
        <f t="shared" ca="1" si="343"/>
        <v>1102386.56591405</v>
      </c>
      <c r="AJ330" s="2">
        <f t="shared" ca="1" si="344"/>
        <v>1131429.8241483734</v>
      </c>
      <c r="AK330" s="2">
        <f t="shared" ca="1" si="345"/>
        <v>0</v>
      </c>
      <c r="AL330" s="2">
        <f t="shared" ca="1" si="346"/>
        <v>13431.799791080208</v>
      </c>
      <c r="AM330" s="2">
        <f t="shared" ca="1" si="347"/>
        <v>13785.671329382807</v>
      </c>
      <c r="AN330" s="2">
        <f t="shared" ca="1" si="348"/>
        <v>14148.86589718014</v>
      </c>
      <c r="AO330" s="2">
        <f t="shared" ca="1" si="349"/>
        <v>14521.629117161781</v>
      </c>
      <c r="AP330" s="2">
        <f t="shared" ca="1" si="350"/>
        <v>2262758.9135998539</v>
      </c>
      <c r="AQ330" s="2">
        <f t="shared" ca="1" si="351"/>
        <v>769454.83448931191</v>
      </c>
      <c r="AR330" s="2">
        <f t="shared" ca="1" si="352"/>
        <v>818454.83460066235</v>
      </c>
      <c r="AS330" s="2">
        <f t="shared" ca="1" si="353"/>
        <v>855517.37523266138</v>
      </c>
      <c r="AT330" s="2">
        <f t="shared" ca="1" si="354"/>
        <v>893556.35822315596</v>
      </c>
      <c r="AU330" s="2">
        <f t="shared" ca="1" si="355"/>
        <v>932597.50872922433</v>
      </c>
      <c r="AV330" s="2">
        <f t="shared" ca="1" si="356"/>
        <v>2189986.8366234261</v>
      </c>
      <c r="AW330" s="2">
        <f t="shared" ca="1" si="357"/>
        <v>2316016.5756108058</v>
      </c>
      <c r="AX330" s="2">
        <f t="shared" ca="1" si="358"/>
        <v>2421148.3966404996</v>
      </c>
      <c r="AY330" s="2">
        <f t="shared" ca="1" si="359"/>
        <v>2529049.9998148787</v>
      </c>
      <c r="AZ330" s="2">
        <f t="shared" ca="1" si="360"/>
        <v>2639794.3572660149</v>
      </c>
      <c r="BA330" s="2">
        <f t="shared" ca="1" si="361"/>
        <v>52036603.716696635</v>
      </c>
      <c r="BB330" s="2">
        <f t="shared" ca="1" si="362"/>
        <v>1040732.0743339327</v>
      </c>
      <c r="BC330" s="2">
        <f t="shared" ca="1" si="363"/>
        <v>25854105.93569766</v>
      </c>
      <c r="BD330" s="2">
        <f t="shared" ca="1" si="364"/>
        <v>-18308750.708887741</v>
      </c>
      <c r="BE330" s="2">
        <f t="shared" ca="1" si="365"/>
        <v>2189986.8366234261</v>
      </c>
      <c r="BF330" s="2">
        <f t="shared" ca="1" si="366"/>
        <v>2316016.5756108058</v>
      </c>
      <c r="BG330" s="2">
        <f t="shared" ca="1" si="367"/>
        <v>2421148.3966404996</v>
      </c>
      <c r="BH330" s="2">
        <f t="shared" ca="1" si="368"/>
        <v>2529049.9998148787</v>
      </c>
      <c r="BI330" s="2">
        <f t="shared" ca="1" si="369"/>
        <v>28493900.292963676</v>
      </c>
      <c r="BJ330" s="2">
        <f t="shared" ca="1" si="370"/>
        <v>0.18689912910498241</v>
      </c>
      <c r="BK330" s="2">
        <f t="shared" ca="1" si="371"/>
        <v>4991695.7675597742</v>
      </c>
    </row>
    <row r="331" spans="1:63" x14ac:dyDescent="0.3">
      <c r="A331" s="2">
        <v>330</v>
      </c>
      <c r="B331" s="2">
        <f t="shared" ca="1" si="310"/>
        <v>0.98209644308659982</v>
      </c>
      <c r="C331" s="2">
        <f t="shared" ca="1" si="311"/>
        <v>7.810772322778087</v>
      </c>
      <c r="D331" s="2">
        <f t="shared" ca="1" si="312"/>
        <v>0.91271336976118433</v>
      </c>
      <c r="E331" s="2">
        <f t="shared" ca="1" si="313"/>
        <v>8.0821803493400157</v>
      </c>
      <c r="F331" s="2">
        <f t="shared" ca="1" si="314"/>
        <v>0.6403541110788129</v>
      </c>
      <c r="G331" s="2">
        <f t="shared" ca="1" si="315"/>
        <v>5.0782164317487159E-2</v>
      </c>
      <c r="H331" s="2">
        <f t="shared" ca="1" si="316"/>
        <v>5.0782164317487159E-2</v>
      </c>
      <c r="I331" s="2">
        <f t="shared" ca="1" si="317"/>
        <v>0.13217743460798848</v>
      </c>
      <c r="J331" s="2">
        <f t="shared" ca="1" si="318"/>
        <v>4.4192142090374456E-3</v>
      </c>
      <c r="K331" s="2">
        <f t="shared" ca="1" si="319"/>
        <v>4.4192142090374456E-3</v>
      </c>
      <c r="L331" s="2">
        <f t="shared" ca="1" si="320"/>
        <v>0.20671819854894824</v>
      </c>
      <c r="M331" s="2">
        <f t="shared" ca="1" si="321"/>
        <v>-1.6357225768052742E-2</v>
      </c>
      <c r="N331" s="2">
        <f t="shared" ca="1" si="322"/>
        <v>-1.6357225768052742E-2</v>
      </c>
      <c r="O331" s="2">
        <f t="shared" si="323"/>
        <v>6000000</v>
      </c>
      <c r="P331" s="2">
        <f t="shared" ca="1" si="324"/>
        <v>46864633.936668523</v>
      </c>
      <c r="Q331" s="2">
        <f t="shared" ca="1" si="325"/>
        <v>1171615.8484167131</v>
      </c>
      <c r="R331" s="2">
        <f t="shared" ca="1" si="326"/>
        <v>28118780.362001114</v>
      </c>
      <c r="S331" s="2">
        <f t="shared" ca="1" si="327"/>
        <v>18745853.574667409</v>
      </c>
      <c r="T331" s="2">
        <f t="shared" ca="1" si="328"/>
        <v>49182138.711597361</v>
      </c>
      <c r="U331" s="2">
        <f t="shared" ca="1" si="329"/>
        <v>51679714.161135137</v>
      </c>
      <c r="V331" s="2">
        <f t="shared" ca="1" si="330"/>
        <v>54304121.897546664</v>
      </c>
      <c r="W331" s="2">
        <f t="shared" ca="1" si="331"/>
        <v>57061802.738864727</v>
      </c>
      <c r="X331" s="2">
        <f t="shared" ca="1" si="332"/>
        <v>59959524.581801787</v>
      </c>
      <c r="Y331" s="2">
        <f t="shared" ca="1" si="333"/>
        <v>0.12220960710451872</v>
      </c>
      <c r="Z331" s="2">
        <f t="shared" ca="1" si="334"/>
        <v>0.12309344994632621</v>
      </c>
      <c r="AA331" s="2">
        <f t="shared" ca="1" si="335"/>
        <v>6010529.8485042546</v>
      </c>
      <c r="AB331" s="2">
        <f t="shared" ca="1" si="336"/>
        <v>6361434.3083341336</v>
      </c>
      <c r="AC331" s="2">
        <f t="shared" ca="1" si="337"/>
        <v>6684481.7106748568</v>
      </c>
      <c r="AD331" s="2">
        <f t="shared" ca="1" si="338"/>
        <v>7023934.1592835849</v>
      </c>
      <c r="AE331" s="2">
        <f t="shared" ca="1" si="339"/>
        <v>7380624.7379155336</v>
      </c>
      <c r="AF331" s="2">
        <f t="shared" ca="1" si="340"/>
        <v>983642.77423194726</v>
      </c>
      <c r="AG331" s="2">
        <f t="shared" ca="1" si="341"/>
        <v>1033594.2832227028</v>
      </c>
      <c r="AH331" s="2">
        <f t="shared" ca="1" si="342"/>
        <v>1086082.4379509334</v>
      </c>
      <c r="AI331" s="2">
        <f t="shared" ca="1" si="343"/>
        <v>1141236.0547772946</v>
      </c>
      <c r="AJ331" s="2">
        <f t="shared" ca="1" si="344"/>
        <v>1199190.4916360357</v>
      </c>
      <c r="AK331" s="2">
        <f t="shared" ca="1" si="345"/>
        <v>0</v>
      </c>
      <c r="AL331" s="2">
        <f t="shared" ca="1" si="346"/>
        <v>24975.754495377765</v>
      </c>
      <c r="AM331" s="2">
        <f t="shared" ca="1" si="347"/>
        <v>26244.07736411527</v>
      </c>
      <c r="AN331" s="2">
        <f t="shared" ca="1" si="348"/>
        <v>27576.808413180635</v>
      </c>
      <c r="AO331" s="2">
        <f t="shared" ca="1" si="349"/>
        <v>28977.218429370598</v>
      </c>
      <c r="AP331" s="2">
        <f t="shared" ca="1" si="350"/>
        <v>2530690.2325801002</v>
      </c>
      <c r="AQ331" s="2">
        <f t="shared" ca="1" si="351"/>
        <v>649011.17883997399</v>
      </c>
      <c r="AR331" s="2">
        <f t="shared" ca="1" si="352"/>
        <v>727258.94605814607</v>
      </c>
      <c r="AS331" s="2">
        <f t="shared" ca="1" si="353"/>
        <v>797604.35043739411</v>
      </c>
      <c r="AT331" s="2">
        <f t="shared" ca="1" si="354"/>
        <v>871522.0467008095</v>
      </c>
      <c r="AU331" s="2">
        <f t="shared" ca="1" si="355"/>
        <v>949193.44356184336</v>
      </c>
      <c r="AV331" s="2">
        <f t="shared" ca="1" si="356"/>
        <v>1847185.6628522333</v>
      </c>
      <c r="AW331" s="2">
        <f t="shared" ca="1" si="357"/>
        <v>2044915.0919778077</v>
      </c>
      <c r="AX331" s="2">
        <f t="shared" ca="1" si="358"/>
        <v>2243860.6123423139</v>
      </c>
      <c r="AY331" s="2">
        <f t="shared" ca="1" si="359"/>
        <v>2452909.0168122007</v>
      </c>
      <c r="AZ331" s="2">
        <f t="shared" ca="1" si="360"/>
        <v>2672573.3517081831</v>
      </c>
      <c r="BA331" s="2">
        <f t="shared" ca="1" si="361"/>
        <v>59651540.222633727</v>
      </c>
      <c r="BB331" s="2">
        <f t="shared" ca="1" si="362"/>
        <v>1193030.8044526745</v>
      </c>
      <c r="BC331" s="2">
        <f t="shared" ca="1" si="363"/>
        <v>30339729.056179941</v>
      </c>
      <c r="BD331" s="2">
        <f t="shared" ca="1" si="364"/>
        <v>-20417469.423084121</v>
      </c>
      <c r="BE331" s="2">
        <f t="shared" ca="1" si="365"/>
        <v>1847185.6628522333</v>
      </c>
      <c r="BF331" s="2">
        <f t="shared" ca="1" si="366"/>
        <v>2044915.0919778077</v>
      </c>
      <c r="BG331" s="2">
        <f t="shared" ca="1" si="367"/>
        <v>2243860.6123423139</v>
      </c>
      <c r="BH331" s="2">
        <f t="shared" ca="1" si="368"/>
        <v>2452909.0168122007</v>
      </c>
      <c r="BI331" s="2">
        <f t="shared" ca="1" si="369"/>
        <v>33012302.407888122</v>
      </c>
      <c r="BJ331" s="2">
        <f t="shared" ca="1" si="370"/>
        <v>0.17561074370421892</v>
      </c>
      <c r="BK331" s="2">
        <f t="shared" ca="1" si="371"/>
        <v>4750067.9245308228</v>
      </c>
    </row>
    <row r="332" spans="1:63" x14ac:dyDescent="0.3">
      <c r="A332" s="2">
        <v>331</v>
      </c>
      <c r="B332" s="2">
        <f t="shared" ca="1" si="310"/>
        <v>0.5148533328808641</v>
      </c>
      <c r="C332" s="2">
        <f t="shared" ca="1" si="311"/>
        <v>7.0149653131801539</v>
      </c>
      <c r="D332" s="2">
        <f t="shared" ca="1" si="312"/>
        <v>0.53538144511029395</v>
      </c>
      <c r="E332" s="2">
        <f t="shared" ca="1" si="313"/>
        <v>7.5360305452041478</v>
      </c>
      <c r="F332" s="2">
        <f t="shared" ca="1" si="314"/>
        <v>2.5565254306501028E-2</v>
      </c>
      <c r="G332" s="2">
        <f t="shared" ca="1" si="315"/>
        <v>-1.8511484440569777E-2</v>
      </c>
      <c r="H332" s="2">
        <f t="shared" ca="1" si="316"/>
        <v>-1.8511484440569777E-2</v>
      </c>
      <c r="I332" s="2">
        <f t="shared" ca="1" si="317"/>
        <v>0.78314538849665083</v>
      </c>
      <c r="J332" s="2">
        <f t="shared" ca="1" si="318"/>
        <v>1.3914300902287862E-2</v>
      </c>
      <c r="K332" s="2">
        <f t="shared" ca="1" si="319"/>
        <v>1.3914300902287862E-2</v>
      </c>
      <c r="L332" s="2">
        <f t="shared" ca="1" si="320"/>
        <v>0.60112766461147782</v>
      </c>
      <c r="M332" s="2">
        <f t="shared" ca="1" si="321"/>
        <v>5.1253401557228018E-3</v>
      </c>
      <c r="N332" s="2">
        <f t="shared" ca="1" si="322"/>
        <v>5.1253401557228018E-3</v>
      </c>
      <c r="O332" s="2">
        <f t="shared" si="323"/>
        <v>6000000</v>
      </c>
      <c r="P332" s="2">
        <f t="shared" ca="1" si="324"/>
        <v>42089791.879080921</v>
      </c>
      <c r="Q332" s="2">
        <f t="shared" ca="1" si="325"/>
        <v>1052244.7969770231</v>
      </c>
      <c r="R332" s="2">
        <f t="shared" ca="1" si="326"/>
        <v>25253875.127448551</v>
      </c>
      <c r="S332" s="2">
        <f t="shared" ca="1" si="327"/>
        <v>16835916.75163237</v>
      </c>
      <c r="T332" s="2">
        <f t="shared" ca="1" si="328"/>
        <v>50256267.00778614</v>
      </c>
      <c r="U332" s="2">
        <f t="shared" ca="1" si="329"/>
        <v>49325948.903030381</v>
      </c>
      <c r="V332" s="2">
        <f t="shared" ca="1" si="330"/>
        <v>48412852.367395595</v>
      </c>
      <c r="W332" s="2">
        <f t="shared" ca="1" si="331"/>
        <v>47516658.604072951</v>
      </c>
      <c r="X332" s="2">
        <f t="shared" ca="1" si="332"/>
        <v>46637054.717655785</v>
      </c>
      <c r="Y332" s="2">
        <f t="shared" ca="1" si="333"/>
        <v>0.12695715045114392</v>
      </c>
      <c r="Z332" s="2">
        <f t="shared" ca="1" si="334"/>
        <v>0.12974001063160151</v>
      </c>
      <c r="AA332" s="2">
        <f t="shared" ca="1" si="335"/>
        <v>6380392.4516203655</v>
      </c>
      <c r="AB332" s="2">
        <f t="shared" ca="1" si="336"/>
        <v>6399549.1350929942</v>
      </c>
      <c r="AC332" s="2">
        <f t="shared" ca="1" si="337"/>
        <v>6281083.9808520591</v>
      </c>
      <c r="AD332" s="2">
        <f t="shared" ca="1" si="338"/>
        <v>6164811.7924706042</v>
      </c>
      <c r="AE332" s="2">
        <f t="shared" ca="1" si="339"/>
        <v>6050691.9748952426</v>
      </c>
      <c r="AF332" s="2">
        <f t="shared" ca="1" si="340"/>
        <v>1005125.3401557228</v>
      </c>
      <c r="AG332" s="2">
        <f t="shared" ca="1" si="341"/>
        <v>986518.97806060768</v>
      </c>
      <c r="AH332" s="2">
        <f t="shared" ca="1" si="342"/>
        <v>968257.04734791187</v>
      </c>
      <c r="AI332" s="2">
        <f t="shared" ca="1" si="343"/>
        <v>950333.17208145908</v>
      </c>
      <c r="AJ332" s="2">
        <f t="shared" ca="1" si="344"/>
        <v>932741.09435311577</v>
      </c>
      <c r="AK332" s="2">
        <f t="shared" ca="1" si="345"/>
        <v>0</v>
      </c>
      <c r="AL332" s="2">
        <f t="shared" ca="1" si="346"/>
        <v>0</v>
      </c>
      <c r="AM332" s="2">
        <f t="shared" ca="1" si="347"/>
        <v>0</v>
      </c>
      <c r="AN332" s="2">
        <f t="shared" ca="1" si="348"/>
        <v>0</v>
      </c>
      <c r="AO332" s="2">
        <f t="shared" ca="1" si="349"/>
        <v>0</v>
      </c>
      <c r="AP332" s="2">
        <f t="shared" ca="1" si="350"/>
        <v>2272848.7614703695</v>
      </c>
      <c r="AQ332" s="2">
        <f t="shared" ca="1" si="351"/>
        <v>806628.77099851111</v>
      </c>
      <c r="AR332" s="2">
        <f t="shared" ca="1" si="352"/>
        <v>816447.16284612438</v>
      </c>
      <c r="AS332" s="2">
        <f t="shared" ca="1" si="353"/>
        <v>790394.32472878229</v>
      </c>
      <c r="AT332" s="2">
        <f t="shared" ca="1" si="354"/>
        <v>764823.76331888163</v>
      </c>
      <c r="AU332" s="2">
        <f t="shared" ca="1" si="355"/>
        <v>739726.55095865682</v>
      </c>
      <c r="AV332" s="2">
        <f t="shared" ca="1" si="356"/>
        <v>2295789.5789957619</v>
      </c>
      <c r="AW332" s="2">
        <f t="shared" ca="1" si="357"/>
        <v>2323734.2327158921</v>
      </c>
      <c r="AX332" s="2">
        <f t="shared" ca="1" si="358"/>
        <v>2249583.8473049956</v>
      </c>
      <c r="AY332" s="2">
        <f t="shared" ca="1" si="359"/>
        <v>2176806.0955998939</v>
      </c>
      <c r="AZ332" s="2">
        <f t="shared" ca="1" si="360"/>
        <v>2105375.5681131002</v>
      </c>
      <c r="BA332" s="2">
        <f t="shared" ca="1" si="361"/>
        <v>45598199.542432159</v>
      </c>
      <c r="BB332" s="2">
        <f t="shared" ca="1" si="362"/>
        <v>911963.99084864324</v>
      </c>
      <c r="BC332" s="2">
        <f t="shared" ca="1" si="363"/>
        <v>19432360.424134966</v>
      </c>
      <c r="BD332" s="2">
        <f t="shared" ca="1" si="364"/>
        <v>-18388161.548609395</v>
      </c>
      <c r="BE332" s="2">
        <f t="shared" ca="1" si="365"/>
        <v>2295789.5789957619</v>
      </c>
      <c r="BF332" s="2">
        <f t="shared" ca="1" si="366"/>
        <v>2323734.2327158921</v>
      </c>
      <c r="BG332" s="2">
        <f t="shared" ca="1" si="367"/>
        <v>2249583.8473049956</v>
      </c>
      <c r="BH332" s="2">
        <f t="shared" ca="1" si="368"/>
        <v>2176806.0955998939</v>
      </c>
      <c r="BI332" s="2">
        <f t="shared" ca="1" si="369"/>
        <v>21537735.992248066</v>
      </c>
      <c r="BJ332" s="2">
        <f t="shared" ca="1" si="370"/>
        <v>0.13072230960257758</v>
      </c>
      <c r="BK332" s="2">
        <f t="shared" ca="1" si="371"/>
        <v>719816.06749677658</v>
      </c>
    </row>
    <row r="333" spans="1:63" x14ac:dyDescent="0.3">
      <c r="A333" s="2">
        <v>332</v>
      </c>
      <c r="B333" s="2">
        <f t="shared" ca="1" si="310"/>
        <v>0.91323711915835404</v>
      </c>
      <c r="C333" s="2">
        <f t="shared" ca="1" si="311"/>
        <v>7.5834357652374704</v>
      </c>
      <c r="D333" s="2">
        <f t="shared" ca="1" si="312"/>
        <v>0.29303314277046544</v>
      </c>
      <c r="E333" s="2">
        <f t="shared" ca="1" si="313"/>
        <v>7.2655496623609279</v>
      </c>
      <c r="F333" s="2">
        <f t="shared" ca="1" si="314"/>
        <v>0.26685022288215288</v>
      </c>
      <c r="G333" s="2">
        <f t="shared" ca="1" si="315"/>
        <v>2.1328984128087137E-2</v>
      </c>
      <c r="H333" s="2">
        <f t="shared" ca="1" si="316"/>
        <v>2.1328984128087137E-2</v>
      </c>
      <c r="I333" s="2">
        <f t="shared" ca="1" si="317"/>
        <v>0.47534162476041997</v>
      </c>
      <c r="J333" s="2">
        <f t="shared" ca="1" si="318"/>
        <v>9.6907560530917133E-3</v>
      </c>
      <c r="K333" s="2">
        <f t="shared" ca="1" si="319"/>
        <v>9.6907560530917133E-3</v>
      </c>
      <c r="L333" s="2">
        <f t="shared" ca="1" si="320"/>
        <v>0.35188992890112281</v>
      </c>
      <c r="M333" s="2">
        <f t="shared" ca="1" si="321"/>
        <v>-7.6044608011941418E-3</v>
      </c>
      <c r="N333" s="2">
        <f t="shared" ca="1" si="322"/>
        <v>-7.6044608011941418E-3</v>
      </c>
      <c r="O333" s="2">
        <f t="shared" si="323"/>
        <v>6000000</v>
      </c>
      <c r="P333" s="2">
        <f t="shared" ca="1" si="324"/>
        <v>45500614.591424823</v>
      </c>
      <c r="Q333" s="2">
        <f t="shared" ca="1" si="325"/>
        <v>1137515.3647856207</v>
      </c>
      <c r="R333" s="2">
        <f t="shared" ca="1" si="326"/>
        <v>27300368.754854891</v>
      </c>
      <c r="S333" s="2">
        <f t="shared" ca="1" si="327"/>
        <v>18200245.836569931</v>
      </c>
      <c r="T333" s="2">
        <f t="shared" ca="1" si="328"/>
        <v>49619776.959940292</v>
      </c>
      <c r="U333" s="2">
        <f t="shared" ca="1" si="329"/>
        <v>50678116.395158075</v>
      </c>
      <c r="V333" s="2">
        <f t="shared" ca="1" si="330"/>
        <v>51759029.135391749</v>
      </c>
      <c r="W333" s="2">
        <f t="shared" ca="1" si="331"/>
        <v>52862996.646305718</v>
      </c>
      <c r="X333" s="2">
        <f t="shared" ca="1" si="332"/>
        <v>53990510.662737891</v>
      </c>
      <c r="Y333" s="2">
        <f t="shared" ca="1" si="333"/>
        <v>0.12484537802654586</v>
      </c>
      <c r="Z333" s="2">
        <f t="shared" ca="1" si="334"/>
        <v>0.12678352923716418</v>
      </c>
      <c r="AA333" s="2">
        <f t="shared" ca="1" si="335"/>
        <v>6194799.8121566363</v>
      </c>
      <c r="AB333" s="2">
        <f t="shared" ca="1" si="336"/>
        <v>6425150.4516699333</v>
      </c>
      <c r="AC333" s="2">
        <f t="shared" ca="1" si="337"/>
        <v>6562192.3836741727</v>
      </c>
      <c r="AD333" s="2">
        <f t="shared" ca="1" si="338"/>
        <v>6702157.2808710132</v>
      </c>
      <c r="AE333" s="2">
        <f t="shared" ca="1" si="339"/>
        <v>6845107.4871386541</v>
      </c>
      <c r="AF333" s="2">
        <f t="shared" ca="1" si="340"/>
        <v>992395.53919880581</v>
      </c>
      <c r="AG333" s="2">
        <f t="shared" ca="1" si="341"/>
        <v>1013562.3279031615</v>
      </c>
      <c r="AH333" s="2">
        <f t="shared" ca="1" si="342"/>
        <v>1035180.582707835</v>
      </c>
      <c r="AI333" s="2">
        <f t="shared" ca="1" si="343"/>
        <v>1057259.9329261144</v>
      </c>
      <c r="AJ333" s="2">
        <f t="shared" ca="1" si="344"/>
        <v>1079810.2132547579</v>
      </c>
      <c r="AK333" s="2">
        <f t="shared" ca="1" si="345"/>
        <v>0</v>
      </c>
      <c r="AL333" s="2">
        <f t="shared" ca="1" si="346"/>
        <v>10583.394352177829</v>
      </c>
      <c r="AM333" s="2">
        <f t="shared" ca="1" si="347"/>
        <v>10809.127402336746</v>
      </c>
      <c r="AN333" s="2">
        <f t="shared" ca="1" si="348"/>
        <v>11039.675109139682</v>
      </c>
      <c r="AO333" s="2">
        <f t="shared" ca="1" si="349"/>
        <v>11275.140164321736</v>
      </c>
      <c r="AP333" s="2">
        <f t="shared" ca="1" si="350"/>
        <v>2457033.1879369402</v>
      </c>
      <c r="AQ333" s="2">
        <f t="shared" ca="1" si="351"/>
        <v>713796.4821054315</v>
      </c>
      <c r="AR333" s="2">
        <f t="shared" ca="1" si="352"/>
        <v>768184.28331575613</v>
      </c>
      <c r="AS333" s="2">
        <f t="shared" ca="1" si="353"/>
        <v>798194.43938764324</v>
      </c>
      <c r="AT333" s="2">
        <f t="shared" ca="1" si="354"/>
        <v>828844.68160206918</v>
      </c>
      <c r="AU333" s="2">
        <f t="shared" ca="1" si="355"/>
        <v>860148.66234620847</v>
      </c>
      <c r="AV333" s="2">
        <f t="shared" ca="1" si="356"/>
        <v>2031574.6029154593</v>
      </c>
      <c r="AW333" s="2">
        <f t="shared" ca="1" si="357"/>
        <v>2175787.2581618968</v>
      </c>
      <c r="AX333" s="2">
        <f t="shared" ca="1" si="358"/>
        <v>2260975.046239418</v>
      </c>
      <c r="AY333" s="2">
        <f t="shared" ca="1" si="359"/>
        <v>2347979.8032967495</v>
      </c>
      <c r="AZ333" s="2">
        <f t="shared" ca="1" si="360"/>
        <v>2436840.283436426</v>
      </c>
      <c r="BA333" s="2">
        <f t="shared" ca="1" si="361"/>
        <v>49733468.392004505</v>
      </c>
      <c r="BB333" s="2">
        <f t="shared" ca="1" si="362"/>
        <v>994669.36784009007</v>
      </c>
      <c r="BC333" s="2">
        <f t="shared" ca="1" si="363"/>
        <v>21438430.269309524</v>
      </c>
      <c r="BD333" s="2">
        <f t="shared" ca="1" si="364"/>
        <v>-19837761.20135555</v>
      </c>
      <c r="BE333" s="2">
        <f t="shared" ca="1" si="365"/>
        <v>2031574.6029154593</v>
      </c>
      <c r="BF333" s="2">
        <f t="shared" ca="1" si="366"/>
        <v>2175787.2581618968</v>
      </c>
      <c r="BG333" s="2">
        <f t="shared" ca="1" si="367"/>
        <v>2260975.046239418</v>
      </c>
      <c r="BH333" s="2">
        <f t="shared" ca="1" si="368"/>
        <v>2347979.8032967495</v>
      </c>
      <c r="BI333" s="2">
        <f t="shared" ca="1" si="369"/>
        <v>23875270.552745949</v>
      </c>
      <c r="BJ333" s="2">
        <f t="shared" ca="1" si="370"/>
        <v>0.12486427468054373</v>
      </c>
      <c r="BK333" s="2">
        <f t="shared" ca="1" si="371"/>
        <v>359639.66577709839</v>
      </c>
    </row>
    <row r="334" spans="1:63" x14ac:dyDescent="0.3">
      <c r="A334" s="2">
        <v>333</v>
      </c>
      <c r="B334" s="2">
        <f t="shared" ca="1" si="310"/>
        <v>0.7366589663594737</v>
      </c>
      <c r="C334" s="2">
        <f t="shared" ca="1" si="311"/>
        <v>7.2742713542369621</v>
      </c>
      <c r="D334" s="2">
        <f t="shared" ca="1" si="312"/>
        <v>0.83868620014586581</v>
      </c>
      <c r="E334" s="2">
        <f t="shared" ca="1" si="313"/>
        <v>7.9319968312515607</v>
      </c>
      <c r="F334" s="2">
        <f t="shared" ca="1" si="314"/>
        <v>5.2798636042046487E-2</v>
      </c>
      <c r="G334" s="2">
        <f t="shared" ca="1" si="315"/>
        <v>-8.5490959063290115E-3</v>
      </c>
      <c r="H334" s="2">
        <f t="shared" ca="1" si="316"/>
        <v>-8.5490959063290115E-3</v>
      </c>
      <c r="I334" s="2">
        <f t="shared" ca="1" si="317"/>
        <v>0.62783421673301609</v>
      </c>
      <c r="J334" s="2">
        <f t="shared" ca="1" si="318"/>
        <v>1.1630613212167802E-2</v>
      </c>
      <c r="K334" s="2">
        <f t="shared" ca="1" si="319"/>
        <v>1.1630613212167802E-2</v>
      </c>
      <c r="L334" s="2">
        <f t="shared" ca="1" si="320"/>
        <v>0.65893043644917282</v>
      </c>
      <c r="M334" s="2">
        <f t="shared" ca="1" si="321"/>
        <v>8.1909169791130592E-3</v>
      </c>
      <c r="N334" s="2">
        <f t="shared" ca="1" si="322"/>
        <v>8.1909169791130592E-3</v>
      </c>
      <c r="O334" s="2">
        <f t="shared" si="323"/>
        <v>6000000</v>
      </c>
      <c r="P334" s="2">
        <f t="shared" ca="1" si="324"/>
        <v>43645628.12542177</v>
      </c>
      <c r="Q334" s="2">
        <f t="shared" ca="1" si="325"/>
        <v>1091140.7031355442</v>
      </c>
      <c r="R334" s="2">
        <f t="shared" ca="1" si="326"/>
        <v>26187376.875253063</v>
      </c>
      <c r="S334" s="2">
        <f t="shared" ca="1" si="327"/>
        <v>17458251.250168707</v>
      </c>
      <c r="T334" s="2">
        <f t="shared" ca="1" si="328"/>
        <v>50409545.848955654</v>
      </c>
      <c r="U334" s="2">
        <f t="shared" ca="1" si="329"/>
        <v>49978589.806898445</v>
      </c>
      <c r="V334" s="2">
        <f t="shared" ca="1" si="330"/>
        <v>49551318.04937619</v>
      </c>
      <c r="W334" s="2">
        <f t="shared" ca="1" si="331"/>
        <v>49127699.079087064</v>
      </c>
      <c r="X334" s="2">
        <f t="shared" ca="1" si="332"/>
        <v>48707701.66800268</v>
      </c>
      <c r="Y334" s="2">
        <f t="shared" ca="1" si="333"/>
        <v>0.12581530660608389</v>
      </c>
      <c r="Z334" s="2">
        <f t="shared" ca="1" si="334"/>
        <v>0.12814142924851746</v>
      </c>
      <c r="AA334" s="2">
        <f t="shared" ca="1" si="335"/>
        <v>6342292.4668597989</v>
      </c>
      <c r="AB334" s="2">
        <f t="shared" ca="1" si="336"/>
        <v>6404327.9296813533</v>
      </c>
      <c r="AC334" s="2">
        <f t="shared" ca="1" si="337"/>
        <v>6349576.7159949252</v>
      </c>
      <c r="AD334" s="2">
        <f t="shared" ca="1" si="338"/>
        <v>6295293.5756852916</v>
      </c>
      <c r="AE334" s="2">
        <f t="shared" ca="1" si="339"/>
        <v>6241474.5071482612</v>
      </c>
      <c r="AF334" s="2">
        <f t="shared" ca="1" si="340"/>
        <v>1008190.9169791131</v>
      </c>
      <c r="AG334" s="2">
        <f t="shared" ca="1" si="341"/>
        <v>999571.79613796889</v>
      </c>
      <c r="AH334" s="2">
        <f t="shared" ca="1" si="342"/>
        <v>991026.3609875238</v>
      </c>
      <c r="AI334" s="2">
        <f t="shared" ca="1" si="343"/>
        <v>982553.98158174125</v>
      </c>
      <c r="AJ334" s="2">
        <f t="shared" ca="1" si="344"/>
        <v>974154.03336005367</v>
      </c>
      <c r="AK334" s="2">
        <f t="shared" ca="1" si="345"/>
        <v>0</v>
      </c>
      <c r="AL334" s="2">
        <f t="shared" ca="1" si="346"/>
        <v>0</v>
      </c>
      <c r="AM334" s="2">
        <f t="shared" ca="1" si="347"/>
        <v>0</v>
      </c>
      <c r="AN334" s="2">
        <f t="shared" ca="1" si="348"/>
        <v>0</v>
      </c>
      <c r="AO334" s="2">
        <f t="shared" ca="1" si="349"/>
        <v>0</v>
      </c>
      <c r="AP334" s="2">
        <f t="shared" ca="1" si="350"/>
        <v>2356863.9187727757</v>
      </c>
      <c r="AQ334" s="2">
        <f t="shared" ca="1" si="351"/>
        <v>774081.78408805653</v>
      </c>
      <c r="AR334" s="2">
        <f t="shared" ca="1" si="352"/>
        <v>792451.9758403583</v>
      </c>
      <c r="AS334" s="2">
        <f t="shared" ca="1" si="353"/>
        <v>780438.47342100274</v>
      </c>
      <c r="AT334" s="2">
        <f t="shared" ca="1" si="354"/>
        <v>768527.67558600148</v>
      </c>
      <c r="AU334" s="2">
        <f t="shared" ca="1" si="355"/>
        <v>756718.70430401224</v>
      </c>
      <c r="AV334" s="2">
        <f t="shared" ca="1" si="356"/>
        <v>2203155.8470198531</v>
      </c>
      <c r="AW334" s="2">
        <f t="shared" ca="1" si="357"/>
        <v>2255440.2389302505</v>
      </c>
      <c r="AX334" s="2">
        <f t="shared" ca="1" si="358"/>
        <v>2221247.9628136232</v>
      </c>
      <c r="AY334" s="2">
        <f t="shared" ca="1" si="359"/>
        <v>2187347.9997447729</v>
      </c>
      <c r="AZ334" s="2">
        <f t="shared" ca="1" si="360"/>
        <v>2153737.8507114192</v>
      </c>
      <c r="BA334" s="2">
        <f t="shared" ca="1" si="361"/>
        <v>49507356.013037406</v>
      </c>
      <c r="BB334" s="2">
        <f t="shared" ca="1" si="362"/>
        <v>990147.12026074808</v>
      </c>
      <c r="BC334" s="2">
        <f t="shared" ca="1" si="363"/>
        <v>22329832.017523594</v>
      </c>
      <c r="BD334" s="2">
        <f t="shared" ca="1" si="364"/>
        <v>-19049391.95330425</v>
      </c>
      <c r="BE334" s="2">
        <f t="shared" ca="1" si="365"/>
        <v>2203155.8470198531</v>
      </c>
      <c r="BF334" s="2">
        <f t="shared" ca="1" si="366"/>
        <v>2255440.2389302505</v>
      </c>
      <c r="BG334" s="2">
        <f t="shared" ca="1" si="367"/>
        <v>2221247.9628136232</v>
      </c>
      <c r="BH334" s="2">
        <f t="shared" ca="1" si="368"/>
        <v>2187347.9997447729</v>
      </c>
      <c r="BI334" s="2">
        <f t="shared" ca="1" si="369"/>
        <v>24483569.868235014</v>
      </c>
      <c r="BJ334" s="2">
        <f t="shared" ca="1" si="370"/>
        <v>0.14187890842159057</v>
      </c>
      <c r="BK334" s="2">
        <f t="shared" ca="1" si="371"/>
        <v>1579509.3213185072</v>
      </c>
    </row>
    <row r="335" spans="1:63" x14ac:dyDescent="0.3">
      <c r="A335" s="2">
        <v>334</v>
      </c>
      <c r="B335" s="2">
        <f t="shared" ca="1" si="310"/>
        <v>0.7760258886750464</v>
      </c>
      <c r="C335" s="2">
        <f t="shared" ca="1" si="311"/>
        <v>7.3307106584967103</v>
      </c>
      <c r="D335" s="2">
        <f t="shared" ca="1" si="312"/>
        <v>0.94874778823526396</v>
      </c>
      <c r="E335" s="2">
        <f t="shared" ca="1" si="313"/>
        <v>8.179836879810507</v>
      </c>
      <c r="F335" s="2">
        <f t="shared" ca="1" si="314"/>
        <v>0.97517462317252102</v>
      </c>
      <c r="G335" s="2">
        <f t="shared" ca="1" si="315"/>
        <v>9.8888817660217149E-2</v>
      </c>
      <c r="H335" s="2">
        <f t="shared" ca="1" si="316"/>
        <v>9.8888817660217149E-2</v>
      </c>
      <c r="I335" s="2">
        <f t="shared" ca="1" si="317"/>
        <v>0.11681743621128193</v>
      </c>
      <c r="J335" s="2">
        <f t="shared" ca="1" si="318"/>
        <v>4.0447616625185808E-3</v>
      </c>
      <c r="K335" s="2">
        <f t="shared" ca="1" si="319"/>
        <v>4.0447616625185808E-3</v>
      </c>
      <c r="L335" s="2">
        <f t="shared" ca="1" si="320"/>
        <v>0.56727177106739757</v>
      </c>
      <c r="M335" s="2">
        <f t="shared" ca="1" si="321"/>
        <v>3.3886500984503481E-3</v>
      </c>
      <c r="N335" s="2">
        <f t="shared" ca="1" si="322"/>
        <v>3.3886500984503481E-3</v>
      </c>
      <c r="O335" s="2">
        <f t="shared" si="323"/>
        <v>6000000</v>
      </c>
      <c r="P335" s="2">
        <f t="shared" ca="1" si="324"/>
        <v>43984263.950980261</v>
      </c>
      <c r="Q335" s="2">
        <f t="shared" ca="1" si="325"/>
        <v>1099606.5987745065</v>
      </c>
      <c r="R335" s="2">
        <f t="shared" ca="1" si="326"/>
        <v>26390558.370588157</v>
      </c>
      <c r="S335" s="2">
        <f t="shared" ca="1" si="327"/>
        <v>17593705.580392104</v>
      </c>
      <c r="T335" s="2">
        <f t="shared" ca="1" si="328"/>
        <v>50169432.504922517</v>
      </c>
      <c r="U335" s="2">
        <f t="shared" ca="1" si="329"/>
        <v>55130628.368018374</v>
      </c>
      <c r="V335" s="2">
        <f t="shared" ca="1" si="330"/>
        <v>60582431.024196543</v>
      </c>
      <c r="W335" s="2">
        <f t="shared" ca="1" si="331"/>
        <v>66573355.999160998</v>
      </c>
      <c r="X335" s="2">
        <f t="shared" ca="1" si="332"/>
        <v>73156716.461590752</v>
      </c>
      <c r="Y335" s="2">
        <f t="shared" ca="1" si="333"/>
        <v>0.12202238083125928</v>
      </c>
      <c r="Z335" s="2">
        <f t="shared" ca="1" si="334"/>
        <v>0.122831333163763</v>
      </c>
      <c r="AA335" s="2">
        <f t="shared" ca="1" si="335"/>
        <v>6121793.5992038138</v>
      </c>
      <c r="AB335" s="2">
        <f t="shared" ca="1" si="336"/>
        <v>6771768.5805996684</v>
      </c>
      <c r="AC335" s="2">
        <f t="shared" ca="1" si="337"/>
        <v>7441420.7690037778</v>
      </c>
      <c r="AD335" s="2">
        <f t="shared" ca="1" si="338"/>
        <v>8177294.0705627454</v>
      </c>
      <c r="AE335" s="2">
        <f t="shared" ca="1" si="339"/>
        <v>8985937.0128605999</v>
      </c>
      <c r="AF335" s="2">
        <f t="shared" ca="1" si="340"/>
        <v>1003388.6500984504</v>
      </c>
      <c r="AG335" s="2">
        <f t="shared" ca="1" si="341"/>
        <v>1102612.5673603674</v>
      </c>
      <c r="AH335" s="2">
        <f t="shared" ca="1" si="342"/>
        <v>1211648.6204839309</v>
      </c>
      <c r="AI335" s="2">
        <f t="shared" ca="1" si="343"/>
        <v>1331467.11998322</v>
      </c>
      <c r="AJ335" s="2">
        <f t="shared" ca="1" si="344"/>
        <v>1463134.3292318152</v>
      </c>
      <c r="AK335" s="2">
        <f t="shared" ca="1" si="345"/>
        <v>0</v>
      </c>
      <c r="AL335" s="2">
        <f t="shared" ca="1" si="346"/>
        <v>49611.958630958572</v>
      </c>
      <c r="AM335" s="2">
        <f t="shared" ca="1" si="347"/>
        <v>54518.026561781691</v>
      </c>
      <c r="AN335" s="2">
        <f t="shared" ca="1" si="348"/>
        <v>59909.24974964455</v>
      </c>
      <c r="AO335" s="2">
        <f t="shared" ca="1" si="349"/>
        <v>65833.604624297543</v>
      </c>
      <c r="AP335" s="2">
        <f t="shared" ca="1" si="350"/>
        <v>2375150.253352934</v>
      </c>
      <c r="AQ335" s="2">
        <f t="shared" ca="1" si="351"/>
        <v>713246.22089563159</v>
      </c>
      <c r="AR335" s="2">
        <f t="shared" ca="1" si="352"/>
        <v>856441.49757045542</v>
      </c>
      <c r="AS335" s="2">
        <f t="shared" ca="1" si="353"/>
        <v>1002201.6927433973</v>
      </c>
      <c r="AT335" s="2">
        <f t="shared" ca="1" si="354"/>
        <v>1162375.9412789138</v>
      </c>
      <c r="AU335" s="2">
        <f t="shared" ca="1" si="355"/>
        <v>1338389.631871721</v>
      </c>
      <c r="AV335" s="2">
        <f t="shared" ca="1" si="356"/>
        <v>2030008.4748567981</v>
      </c>
      <c r="AW335" s="2">
        <f t="shared" ca="1" si="357"/>
        <v>2387952.3036849531</v>
      </c>
      <c r="AX335" s="2">
        <f t="shared" ca="1" si="358"/>
        <v>2797902.1758617335</v>
      </c>
      <c r="AY335" s="2">
        <f t="shared" ca="1" si="359"/>
        <v>3248391.5061980332</v>
      </c>
      <c r="AZ335" s="2">
        <f t="shared" ca="1" si="360"/>
        <v>3743429.1937798322</v>
      </c>
      <c r="BA335" s="2">
        <f t="shared" ca="1" si="361"/>
        <v>73503498.977451399</v>
      </c>
      <c r="BB335" s="2">
        <f t="shared" ca="1" si="362"/>
        <v>1470069.979549028</v>
      </c>
      <c r="BC335" s="2">
        <f t="shared" ca="1" si="363"/>
        <v>45642870.627314217</v>
      </c>
      <c r="BD335" s="2">
        <f t="shared" ca="1" si="364"/>
        <v>-19193312.179166611</v>
      </c>
      <c r="BE335" s="2">
        <f t="shared" ca="1" si="365"/>
        <v>2030008.4748567981</v>
      </c>
      <c r="BF335" s="2">
        <f t="shared" ca="1" si="366"/>
        <v>2387952.3036849531</v>
      </c>
      <c r="BG335" s="2">
        <f t="shared" ca="1" si="367"/>
        <v>2797902.1758617335</v>
      </c>
      <c r="BH335" s="2">
        <f t="shared" ca="1" si="368"/>
        <v>3248391.5061980332</v>
      </c>
      <c r="BI335" s="2">
        <f t="shared" ca="1" si="369"/>
        <v>49386299.821094051</v>
      </c>
      <c r="BJ335" s="2">
        <f t="shared" ca="1" si="370"/>
        <v>0.29183599194971621</v>
      </c>
      <c r="BK335" s="2">
        <f t="shared" ca="1" si="371"/>
        <v>16601872.199128818</v>
      </c>
    </row>
    <row r="336" spans="1:63" x14ac:dyDescent="0.3">
      <c r="A336" s="2">
        <v>335</v>
      </c>
      <c r="B336" s="2">
        <f t="shared" ca="1" si="310"/>
        <v>0.67589496933099436</v>
      </c>
      <c r="C336" s="2">
        <f t="shared" ca="1" si="311"/>
        <v>7.1948850632748069</v>
      </c>
      <c r="D336" s="2">
        <f t="shared" ca="1" si="312"/>
        <v>0.13296322298310859</v>
      </c>
      <c r="E336" s="2">
        <f t="shared" ca="1" si="313"/>
        <v>7.0156805658217278</v>
      </c>
      <c r="F336" s="2">
        <f t="shared" ca="1" si="314"/>
        <v>0.70239797049301889</v>
      </c>
      <c r="G336" s="2">
        <f t="shared" ca="1" si="315"/>
        <v>5.5939296442465564E-2</v>
      </c>
      <c r="H336" s="2">
        <f t="shared" ca="1" si="316"/>
        <v>5.5939296442465564E-2</v>
      </c>
      <c r="I336" s="2">
        <f t="shared" ca="1" si="317"/>
        <v>0.31101185392939734</v>
      </c>
      <c r="J336" s="2">
        <f t="shared" ca="1" si="318"/>
        <v>7.5350786920197112E-3</v>
      </c>
      <c r="K336" s="2">
        <f t="shared" ca="1" si="319"/>
        <v>7.5350786920197112E-3</v>
      </c>
      <c r="L336" s="2">
        <f t="shared" ca="1" si="320"/>
        <v>0.942424817804283</v>
      </c>
      <c r="M336" s="2">
        <f t="shared" ca="1" si="321"/>
        <v>3.1509194798546032E-2</v>
      </c>
      <c r="N336" s="2">
        <f t="shared" ca="1" si="322"/>
        <v>3.1509194798546032E-2</v>
      </c>
      <c r="O336" s="2">
        <f t="shared" si="323"/>
        <v>6000000</v>
      </c>
      <c r="P336" s="2">
        <f t="shared" ca="1" si="324"/>
        <v>43169310.379648842</v>
      </c>
      <c r="Q336" s="2">
        <f t="shared" ca="1" si="325"/>
        <v>1079232.759491221</v>
      </c>
      <c r="R336" s="2">
        <f t="shared" ca="1" si="326"/>
        <v>25901586.227789305</v>
      </c>
      <c r="S336" s="2">
        <f t="shared" ca="1" si="327"/>
        <v>17267724.151859537</v>
      </c>
      <c r="T336" s="2">
        <f t="shared" ca="1" si="328"/>
        <v>51575459.739927299</v>
      </c>
      <c r="U336" s="2">
        <f t="shared" ca="1" si="329"/>
        <v>54460554.671475545</v>
      </c>
      <c r="V336" s="2">
        <f t="shared" ca="1" si="330"/>
        <v>57507039.783664323</v>
      </c>
      <c r="W336" s="2">
        <f t="shared" ca="1" si="331"/>
        <v>60723943.12965139</v>
      </c>
      <c r="X336" s="2">
        <f t="shared" ca="1" si="332"/>
        <v>64120797.785536386</v>
      </c>
      <c r="Y336" s="2">
        <f t="shared" ca="1" si="333"/>
        <v>0.12376753934600986</v>
      </c>
      <c r="Z336" s="2">
        <f t="shared" ca="1" si="334"/>
        <v>0.12527455508441379</v>
      </c>
      <c r="AA336" s="2">
        <f t="shared" ca="1" si="335"/>
        <v>6383367.7426499994</v>
      </c>
      <c r="AB336" s="2">
        <f t="shared" ca="1" si="336"/>
        <v>6822521.7561194915</v>
      </c>
      <c r="AC336" s="2">
        <f t="shared" ca="1" si="337"/>
        <v>7204168.8231202317</v>
      </c>
      <c r="AD336" s="2">
        <f t="shared" ca="1" si="338"/>
        <v>7607164.9585383236</v>
      </c>
      <c r="AE336" s="2">
        <f t="shared" ca="1" si="339"/>
        <v>8032704.4142407356</v>
      </c>
      <c r="AF336" s="2">
        <f t="shared" ca="1" si="340"/>
        <v>1031509.194798546</v>
      </c>
      <c r="AG336" s="2">
        <f t="shared" ca="1" si="341"/>
        <v>1089211.0934295109</v>
      </c>
      <c r="AH336" s="2">
        <f t="shared" ca="1" si="342"/>
        <v>1150140.7956732865</v>
      </c>
      <c r="AI336" s="2">
        <f t="shared" ca="1" si="343"/>
        <v>1214478.8625930278</v>
      </c>
      <c r="AJ336" s="2">
        <f t="shared" ca="1" si="344"/>
        <v>1282415.9557107277</v>
      </c>
      <c r="AK336" s="2">
        <f t="shared" ca="1" si="345"/>
        <v>0</v>
      </c>
      <c r="AL336" s="2">
        <f t="shared" ca="1" si="346"/>
        <v>28850.949315482452</v>
      </c>
      <c r="AM336" s="2">
        <f t="shared" ca="1" si="347"/>
        <v>30464.85112188779</v>
      </c>
      <c r="AN336" s="2">
        <f t="shared" ca="1" si="348"/>
        <v>32169.033459870669</v>
      </c>
      <c r="AO336" s="2">
        <f t="shared" ca="1" si="349"/>
        <v>33968.546558849965</v>
      </c>
      <c r="AP336" s="2">
        <f t="shared" ca="1" si="350"/>
        <v>2331142.7605010374</v>
      </c>
      <c r="AQ336" s="2">
        <f t="shared" ca="1" si="351"/>
        <v>785386.10471110826</v>
      </c>
      <c r="AR336" s="2">
        <f t="shared" ca="1" si="352"/>
        <v>884563.65456912515</v>
      </c>
      <c r="AS336" s="2">
        <f t="shared" ca="1" si="353"/>
        <v>967950.16940593603</v>
      </c>
      <c r="AT336" s="2">
        <f t="shared" ca="1" si="354"/>
        <v>1056001.2672155073</v>
      </c>
      <c r="AU336" s="2">
        <f t="shared" ca="1" si="355"/>
        <v>1148977.8814875323</v>
      </c>
      <c r="AV336" s="2">
        <f t="shared" ca="1" si="356"/>
        <v>2235329.6826393083</v>
      </c>
      <c r="AW336" s="2">
        <f t="shared" ca="1" si="357"/>
        <v>2488753.2983043352</v>
      </c>
      <c r="AX336" s="2">
        <f t="shared" ca="1" si="358"/>
        <v>2724470.246418084</v>
      </c>
      <c r="AY336" s="2">
        <f t="shared" ca="1" si="359"/>
        <v>2973373.0347688803</v>
      </c>
      <c r="AZ336" s="2">
        <f t="shared" ca="1" si="360"/>
        <v>3236199.2699825885</v>
      </c>
      <c r="BA336" s="2">
        <f t="shared" ca="1" si="361"/>
        <v>56354888.249979131</v>
      </c>
      <c r="BB336" s="2">
        <f t="shared" ca="1" si="362"/>
        <v>1127097.7649995827</v>
      </c>
      <c r="BC336" s="2">
        <f t="shared" ca="1" si="363"/>
        <v>29326204.257190242</v>
      </c>
      <c r="BD336" s="2">
        <f t="shared" ca="1" si="364"/>
        <v>-18846956.911350757</v>
      </c>
      <c r="BE336" s="2">
        <f t="shared" ca="1" si="365"/>
        <v>2235329.6826393083</v>
      </c>
      <c r="BF336" s="2">
        <f t="shared" ca="1" si="366"/>
        <v>2488753.2983043352</v>
      </c>
      <c r="BG336" s="2">
        <f t="shared" ca="1" si="367"/>
        <v>2724470.246418084</v>
      </c>
      <c r="BH336" s="2">
        <f t="shared" ca="1" si="368"/>
        <v>2973373.0347688803</v>
      </c>
      <c r="BI336" s="2">
        <f t="shared" ca="1" si="369"/>
        <v>32562403.52717283</v>
      </c>
      <c r="BJ336" s="2">
        <f t="shared" ca="1" si="370"/>
        <v>0.2127958342525047</v>
      </c>
      <c r="BK336" s="2">
        <f t="shared" ca="1" si="371"/>
        <v>7438530.7272341512</v>
      </c>
    </row>
    <row r="337" spans="1:63" x14ac:dyDescent="0.3">
      <c r="A337" s="2">
        <v>336</v>
      </c>
      <c r="B337" s="2">
        <f t="shared" ca="1" si="310"/>
        <v>0.29070748870865271</v>
      </c>
      <c r="C337" s="2">
        <f t="shared" ca="1" si="311"/>
        <v>6.7625057228751171</v>
      </c>
      <c r="D337" s="2">
        <f t="shared" ca="1" si="312"/>
        <v>0.36954973317193884</v>
      </c>
      <c r="E337" s="2">
        <f t="shared" ca="1" si="313"/>
        <v>7.3597089428079006</v>
      </c>
      <c r="F337" s="2">
        <f t="shared" ca="1" si="314"/>
        <v>0.87968334833803907</v>
      </c>
      <c r="G337" s="2">
        <f t="shared" ca="1" si="315"/>
        <v>7.5202159713068539E-2</v>
      </c>
      <c r="H337" s="2">
        <f t="shared" ca="1" si="316"/>
        <v>7.5202159713068539E-2</v>
      </c>
      <c r="I337" s="2">
        <f t="shared" ca="1" si="317"/>
        <v>0.41994950812318177</v>
      </c>
      <c r="J337" s="2">
        <f t="shared" ca="1" si="318"/>
        <v>8.9898867444957627E-3</v>
      </c>
      <c r="K337" s="2">
        <f t="shared" ca="1" si="319"/>
        <v>8.9898867444957627E-3</v>
      </c>
      <c r="L337" s="2">
        <f t="shared" ca="1" si="320"/>
        <v>0.55626889264371449</v>
      </c>
      <c r="M337" s="2">
        <f t="shared" ca="1" si="321"/>
        <v>2.830322692813123E-3</v>
      </c>
      <c r="N337" s="2">
        <f t="shared" ca="1" si="322"/>
        <v>2.830322692813123E-3</v>
      </c>
      <c r="O337" s="2">
        <f t="shared" si="323"/>
        <v>6000000</v>
      </c>
      <c r="P337" s="2">
        <f t="shared" ca="1" si="324"/>
        <v>40575034.337250702</v>
      </c>
      <c r="Q337" s="2">
        <f t="shared" ca="1" si="325"/>
        <v>1014375.8584312676</v>
      </c>
      <c r="R337" s="2">
        <f t="shared" ca="1" si="326"/>
        <v>24345020.602350421</v>
      </c>
      <c r="S337" s="2">
        <f t="shared" ca="1" si="327"/>
        <v>16230013.734900281</v>
      </c>
      <c r="T337" s="2">
        <f t="shared" ca="1" si="328"/>
        <v>50141516.134640649</v>
      </c>
      <c r="U337" s="2">
        <f t="shared" ca="1" si="329"/>
        <v>53912266.4392533</v>
      </c>
      <c r="V337" s="2">
        <f t="shared" ca="1" si="330"/>
        <v>57966585.310511529</v>
      </c>
      <c r="W337" s="2">
        <f t="shared" ca="1" si="331"/>
        <v>62325797.717053831</v>
      </c>
      <c r="X337" s="2">
        <f t="shared" ca="1" si="332"/>
        <v>67012832.311216116</v>
      </c>
      <c r="Y337" s="2">
        <f t="shared" ca="1" si="333"/>
        <v>0.12449494337224788</v>
      </c>
      <c r="Z337" s="2">
        <f t="shared" ca="1" si="334"/>
        <v>0.12629292072114703</v>
      </c>
      <c r="AA337" s="2">
        <f t="shared" ca="1" si="335"/>
        <v>6242365.2117807409</v>
      </c>
      <c r="AB337" s="2">
        <f t="shared" ca="1" si="336"/>
        <v>6808737.591309973</v>
      </c>
      <c r="AC337" s="2">
        <f t="shared" ca="1" si="337"/>
        <v>7320769.3630960388</v>
      </c>
      <c r="AD337" s="2">
        <f t="shared" ca="1" si="338"/>
        <v>7871307.0299621262</v>
      </c>
      <c r="AE337" s="2">
        <f t="shared" ca="1" si="339"/>
        <v>8463246.3183799367</v>
      </c>
      <c r="AF337" s="2">
        <f t="shared" ca="1" si="340"/>
        <v>1002830.322692813</v>
      </c>
      <c r="AG337" s="2">
        <f t="shared" ca="1" si="341"/>
        <v>1078245.328785066</v>
      </c>
      <c r="AH337" s="2">
        <f t="shared" ca="1" si="342"/>
        <v>1159331.7062102307</v>
      </c>
      <c r="AI337" s="2">
        <f t="shared" ca="1" si="343"/>
        <v>1246515.9543410765</v>
      </c>
      <c r="AJ337" s="2">
        <f t="shared" ca="1" si="344"/>
        <v>1340256.6462243223</v>
      </c>
      <c r="AK337" s="2">
        <f t="shared" ca="1" si="345"/>
        <v>0</v>
      </c>
      <c r="AL337" s="2">
        <f t="shared" ca="1" si="346"/>
        <v>37707.503046126512</v>
      </c>
      <c r="AM337" s="2">
        <f t="shared" ca="1" si="347"/>
        <v>40543.18871258229</v>
      </c>
      <c r="AN337" s="2">
        <f t="shared" ca="1" si="348"/>
        <v>43592.124065423013</v>
      </c>
      <c r="AO337" s="2">
        <f t="shared" ca="1" si="349"/>
        <v>46870.345941622851</v>
      </c>
      <c r="AP337" s="2">
        <f t="shared" ca="1" si="350"/>
        <v>2191051.8542115376</v>
      </c>
      <c r="AQ337" s="2">
        <f t="shared" ca="1" si="351"/>
        <v>792605.58906786144</v>
      </c>
      <c r="AR337" s="2">
        <f t="shared" ca="1" si="352"/>
        <v>920254.5061614759</v>
      </c>
      <c r="AS337" s="2">
        <f t="shared" ca="1" si="353"/>
        <v>1032300.3086953104</v>
      </c>
      <c r="AT337" s="2">
        <f t="shared" ca="1" si="354"/>
        <v>1152772.1975664734</v>
      </c>
      <c r="AU337" s="2">
        <f t="shared" ca="1" si="355"/>
        <v>1282303.8326654602</v>
      </c>
      <c r="AV337" s="2">
        <f t="shared" ca="1" si="356"/>
        <v>2255877.4458085285</v>
      </c>
      <c r="AW337" s="2">
        <f t="shared" ca="1" si="357"/>
        <v>2581478.3991057673</v>
      </c>
      <c r="AX337" s="2">
        <f t="shared" ca="1" si="358"/>
        <v>2897542.305266378</v>
      </c>
      <c r="AY337" s="2">
        <f t="shared" ca="1" si="359"/>
        <v>3237374.899777615</v>
      </c>
      <c r="AZ337" s="2">
        <f t="shared" ca="1" si="360"/>
        <v>3602763.6393369944</v>
      </c>
      <c r="BA337" s="2">
        <f t="shared" ca="1" si="361"/>
        <v>62287029.614566863</v>
      </c>
      <c r="BB337" s="2">
        <f t="shared" ca="1" si="362"/>
        <v>1245740.5922913372</v>
      </c>
      <c r="BC337" s="2">
        <f t="shared" ca="1" si="363"/>
        <v>36696268.419925101</v>
      </c>
      <c r="BD337" s="2">
        <f t="shared" ca="1" si="364"/>
        <v>-17744389.593331549</v>
      </c>
      <c r="BE337" s="2">
        <f t="shared" ca="1" si="365"/>
        <v>2255877.4458085285</v>
      </c>
      <c r="BF337" s="2">
        <f t="shared" ca="1" si="366"/>
        <v>2581478.3991057673</v>
      </c>
      <c r="BG337" s="2">
        <f t="shared" ca="1" si="367"/>
        <v>2897542.305266378</v>
      </c>
      <c r="BH337" s="2">
        <f t="shared" ca="1" si="368"/>
        <v>3237374.899777615</v>
      </c>
      <c r="BI337" s="2">
        <f t="shared" ca="1" si="369"/>
        <v>40299032.059262097</v>
      </c>
      <c r="BJ337" s="2">
        <f t="shared" ca="1" si="370"/>
        <v>0.27841459118667711</v>
      </c>
      <c r="BK337" s="2">
        <f t="shared" ca="1" si="371"/>
        <v>13314302.17773141</v>
      </c>
    </row>
    <row r="338" spans="1:63" x14ac:dyDescent="0.3">
      <c r="A338" s="2">
        <v>337</v>
      </c>
      <c r="B338" s="2">
        <f t="shared" ca="1" si="310"/>
        <v>9.0947467251609737E-3</v>
      </c>
      <c r="C338" s="2">
        <f t="shared" ca="1" si="311"/>
        <v>6.1348684301470211</v>
      </c>
      <c r="D338" s="2">
        <f t="shared" ca="1" si="312"/>
        <v>0.59384966323984589</v>
      </c>
      <c r="E338" s="2">
        <f t="shared" ca="1" si="313"/>
        <v>7.5987227543534077</v>
      </c>
      <c r="F338" s="2">
        <f t="shared" ca="1" si="314"/>
        <v>0.1904569852500142</v>
      </c>
      <c r="G338" s="2">
        <f t="shared" ca="1" si="315"/>
        <v>1.3713594541484995E-2</v>
      </c>
      <c r="H338" s="2">
        <f t="shared" ca="1" si="316"/>
        <v>1.3713594541484995E-2</v>
      </c>
      <c r="I338" s="2">
        <f t="shared" ca="1" si="317"/>
        <v>0.86775249194841997</v>
      </c>
      <c r="J338" s="2">
        <f t="shared" ca="1" si="318"/>
        <v>1.5579148757487209E-2</v>
      </c>
      <c r="K338" s="2">
        <f t="shared" ca="1" si="319"/>
        <v>1.5579148757487209E-2</v>
      </c>
      <c r="L338" s="2">
        <f t="shared" ca="1" si="320"/>
        <v>0.19239004694467898</v>
      </c>
      <c r="M338" s="2">
        <f t="shared" ca="1" si="321"/>
        <v>-1.7382451365030107E-2</v>
      </c>
      <c r="N338" s="2">
        <f t="shared" ca="1" si="322"/>
        <v>-1.7382451365030107E-2</v>
      </c>
      <c r="O338" s="2">
        <f t="shared" si="323"/>
        <v>6000000</v>
      </c>
      <c r="P338" s="2">
        <f t="shared" ca="1" si="324"/>
        <v>36809210.580882125</v>
      </c>
      <c r="Q338" s="2">
        <f t="shared" ca="1" si="325"/>
        <v>920230.26452205318</v>
      </c>
      <c r="R338" s="2">
        <f t="shared" ca="1" si="326"/>
        <v>22085526.348529276</v>
      </c>
      <c r="S338" s="2">
        <f t="shared" ca="1" si="327"/>
        <v>14723684.232352851</v>
      </c>
      <c r="T338" s="2">
        <f t="shared" ca="1" si="328"/>
        <v>49130877.431748495</v>
      </c>
      <c r="U338" s="2">
        <f t="shared" ca="1" si="329"/>
        <v>49804638.364314891</v>
      </c>
      <c r="V338" s="2">
        <f t="shared" ca="1" si="330"/>
        <v>50487638.981128395</v>
      </c>
      <c r="W338" s="2">
        <f t="shared" ca="1" si="331"/>
        <v>51180005.99147246</v>
      </c>
      <c r="X338" s="2">
        <f t="shared" ca="1" si="332"/>
        <v>51881867.842270285</v>
      </c>
      <c r="Y338" s="2">
        <f t="shared" ca="1" si="333"/>
        <v>0.12778957437874361</v>
      </c>
      <c r="Z338" s="2">
        <f t="shared" ca="1" si="334"/>
        <v>0.13090540413024104</v>
      </c>
      <c r="AA338" s="2">
        <f t="shared" ca="1" si="335"/>
        <v>6278413.9158573598</v>
      </c>
      <c r="AB338" s="2">
        <f t="shared" ca="1" si="336"/>
        <v>6519696.3126411485</v>
      </c>
      <c r="AC338" s="2">
        <f t="shared" ca="1" si="337"/>
        <v>6609104.7844063239</v>
      </c>
      <c r="AD338" s="2">
        <f t="shared" ca="1" si="338"/>
        <v>6699739.3677018601</v>
      </c>
      <c r="AE338" s="2">
        <f t="shared" ca="1" si="339"/>
        <v>6791616.8769241488</v>
      </c>
      <c r="AF338" s="2">
        <f t="shared" ca="1" si="340"/>
        <v>982617.54863496986</v>
      </c>
      <c r="AG338" s="2">
        <f t="shared" ca="1" si="341"/>
        <v>996092.76728629787</v>
      </c>
      <c r="AH338" s="2">
        <f t="shared" ca="1" si="342"/>
        <v>1009752.7796225679</v>
      </c>
      <c r="AI338" s="2">
        <f t="shared" ca="1" si="343"/>
        <v>1023600.1198294492</v>
      </c>
      <c r="AJ338" s="2">
        <f t="shared" ca="1" si="344"/>
        <v>1037637.3568454058</v>
      </c>
      <c r="AK338" s="2">
        <f t="shared" ca="1" si="345"/>
        <v>0</v>
      </c>
      <c r="AL338" s="2">
        <f t="shared" ca="1" si="346"/>
        <v>6737.6093256639688</v>
      </c>
      <c r="AM338" s="2">
        <f t="shared" ca="1" si="347"/>
        <v>6830.0061681350326</v>
      </c>
      <c r="AN338" s="2">
        <f t="shared" ca="1" si="348"/>
        <v>6923.6701034406578</v>
      </c>
      <c r="AO338" s="2">
        <f t="shared" ca="1" si="349"/>
        <v>7018.6185079782454</v>
      </c>
      <c r="AP338" s="2">
        <f t="shared" ca="1" si="350"/>
        <v>1987697.3713676347</v>
      </c>
      <c r="AQ338" s="2">
        <f t="shared" ca="1" si="351"/>
        <v>860105.73892223649</v>
      </c>
      <c r="AR338" s="2">
        <f t="shared" ca="1" si="352"/>
        <v>919335.60523667617</v>
      </c>
      <c r="AS338" s="2">
        <f t="shared" ca="1" si="353"/>
        <v>939030.20468819153</v>
      </c>
      <c r="AT338" s="2">
        <f t="shared" ca="1" si="354"/>
        <v>958994.88789124193</v>
      </c>
      <c r="AU338" s="2">
        <f t="shared" ca="1" si="355"/>
        <v>979233.35866488819</v>
      </c>
      <c r="AV338" s="2">
        <f t="shared" ca="1" si="356"/>
        <v>2447993.2569325189</v>
      </c>
      <c r="AW338" s="2">
        <f t="shared" ca="1" si="357"/>
        <v>2609832.9594248752</v>
      </c>
      <c r="AX338" s="2">
        <f t="shared" ca="1" si="358"/>
        <v>2665794.4225597945</v>
      </c>
      <c r="AY338" s="2">
        <f t="shared" ca="1" si="359"/>
        <v>2722523.3185100933</v>
      </c>
      <c r="AZ338" s="2">
        <f t="shared" ca="1" si="360"/>
        <v>2780030.1715382417</v>
      </c>
      <c r="BA338" s="2">
        <f t="shared" ca="1" si="361"/>
        <v>51607613.701534159</v>
      </c>
      <c r="BB338" s="2">
        <f t="shared" ca="1" si="362"/>
        <v>1032152.2740306832</v>
      </c>
      <c r="BC338" s="2">
        <f t="shared" ca="1" si="363"/>
        <v>28489935.078974202</v>
      </c>
      <c r="BD338" s="2">
        <f t="shared" ca="1" si="364"/>
        <v>-16143914.496874904</v>
      </c>
      <c r="BE338" s="2">
        <f t="shared" ca="1" si="365"/>
        <v>2447993.2569325189</v>
      </c>
      <c r="BF338" s="2">
        <f t="shared" ca="1" si="366"/>
        <v>2609832.9594248752</v>
      </c>
      <c r="BG338" s="2">
        <f t="shared" ca="1" si="367"/>
        <v>2665794.4225597945</v>
      </c>
      <c r="BH338" s="2">
        <f t="shared" ca="1" si="368"/>
        <v>2722523.3185100933</v>
      </c>
      <c r="BI338" s="2">
        <f t="shared" ca="1" si="369"/>
        <v>31269965.250512443</v>
      </c>
      <c r="BJ338" s="2">
        <f t="shared" ca="1" si="370"/>
        <v>0.25409579606601085</v>
      </c>
      <c r="BK338" s="2">
        <f t="shared" ca="1" si="371"/>
        <v>9493427.2879570145</v>
      </c>
    </row>
    <row r="339" spans="1:63" x14ac:dyDescent="0.3">
      <c r="A339" s="2">
        <v>338</v>
      </c>
      <c r="B339" s="2">
        <f t="shared" ca="1" si="310"/>
        <v>0.14410455982962367</v>
      </c>
      <c r="C339" s="2">
        <f t="shared" ca="1" si="311"/>
        <v>6.5368511149837047</v>
      </c>
      <c r="D339" s="2">
        <f t="shared" ca="1" si="312"/>
        <v>0.7065143539491191</v>
      </c>
      <c r="E339" s="2">
        <f t="shared" ca="1" si="313"/>
        <v>7.7338594827959026</v>
      </c>
      <c r="F339" s="2">
        <f t="shared" ca="1" si="314"/>
        <v>1.219728213083715E-2</v>
      </c>
      <c r="G339" s="2">
        <f t="shared" ca="1" si="315"/>
        <v>-2.7525725014083492E-2</v>
      </c>
      <c r="H339" s="2">
        <f t="shared" ca="1" si="316"/>
        <v>-0.02</v>
      </c>
      <c r="I339" s="2">
        <f t="shared" ca="1" si="317"/>
        <v>3.6083488449279777E-2</v>
      </c>
      <c r="J339" s="2">
        <f t="shared" ca="1" si="318"/>
        <v>1.0096834896829495E-3</v>
      </c>
      <c r="K339" s="2">
        <f t="shared" ca="1" si="319"/>
        <v>1.0096834896829495E-3</v>
      </c>
      <c r="L339" s="2">
        <f t="shared" ca="1" si="320"/>
        <v>0.49208060551209931</v>
      </c>
      <c r="M339" s="2">
        <f t="shared" ca="1" si="321"/>
        <v>-3.970456414331946E-4</v>
      </c>
      <c r="N339" s="2">
        <f t="shared" ca="1" si="322"/>
        <v>-3.970456414331946E-4</v>
      </c>
      <c r="O339" s="2">
        <f t="shared" si="323"/>
        <v>6000000</v>
      </c>
      <c r="P339" s="2">
        <f t="shared" ca="1" si="324"/>
        <v>39221106.689902231</v>
      </c>
      <c r="Q339" s="2">
        <f t="shared" ca="1" si="325"/>
        <v>980527.6672475558</v>
      </c>
      <c r="R339" s="2">
        <f t="shared" ca="1" si="326"/>
        <v>23532664.013941336</v>
      </c>
      <c r="S339" s="2">
        <f t="shared" ca="1" si="327"/>
        <v>15688442.675960893</v>
      </c>
      <c r="T339" s="2">
        <f t="shared" ca="1" si="328"/>
        <v>49980147.717928343</v>
      </c>
      <c r="U339" s="2">
        <f t="shared" ca="1" si="329"/>
        <v>48980544.763569772</v>
      </c>
      <c r="V339" s="2">
        <f t="shared" ca="1" si="330"/>
        <v>48000933.868298374</v>
      </c>
      <c r="W339" s="2">
        <f t="shared" ca="1" si="331"/>
        <v>47040915.190932408</v>
      </c>
      <c r="X339" s="2">
        <f t="shared" ca="1" si="332"/>
        <v>46100096.887113757</v>
      </c>
      <c r="Y339" s="2">
        <f t="shared" ca="1" si="333"/>
        <v>0.12050484174484147</v>
      </c>
      <c r="Z339" s="2">
        <f t="shared" ca="1" si="334"/>
        <v>0.12070677844277806</v>
      </c>
      <c r="AA339" s="2">
        <f t="shared" ca="1" si="335"/>
        <v>6022849.7911327546</v>
      </c>
      <c r="AB339" s="2">
        <f t="shared" ca="1" si="336"/>
        <v>5912283.7647827901</v>
      </c>
      <c r="AC339" s="2">
        <f t="shared" ca="1" si="337"/>
        <v>5794038.0894871335</v>
      </c>
      <c r="AD339" s="2">
        <f t="shared" ca="1" si="338"/>
        <v>5678157.3276973916</v>
      </c>
      <c r="AE339" s="2">
        <f t="shared" ca="1" si="339"/>
        <v>5564594.1811434431</v>
      </c>
      <c r="AF339" s="2">
        <f t="shared" ca="1" si="340"/>
        <v>999602.9543585669</v>
      </c>
      <c r="AG339" s="2">
        <f t="shared" ca="1" si="341"/>
        <v>979610.89527139545</v>
      </c>
      <c r="AH339" s="2">
        <f t="shared" ca="1" si="342"/>
        <v>960018.67736596754</v>
      </c>
      <c r="AI339" s="2">
        <f t="shared" ca="1" si="343"/>
        <v>940818.30381864822</v>
      </c>
      <c r="AJ339" s="2">
        <f t="shared" ca="1" si="344"/>
        <v>922001.93774227519</v>
      </c>
      <c r="AK339" s="2">
        <f t="shared" ca="1" si="345"/>
        <v>0</v>
      </c>
      <c r="AL339" s="2">
        <f t="shared" ca="1" si="346"/>
        <v>0</v>
      </c>
      <c r="AM339" s="2">
        <f t="shared" ca="1" si="347"/>
        <v>0</v>
      </c>
      <c r="AN339" s="2">
        <f t="shared" ca="1" si="348"/>
        <v>0</v>
      </c>
      <c r="AO339" s="2">
        <f t="shared" ca="1" si="349"/>
        <v>0</v>
      </c>
      <c r="AP339" s="2">
        <f t="shared" ca="1" si="350"/>
        <v>2117939.7612547204</v>
      </c>
      <c r="AQ339" s="2">
        <f t="shared" ca="1" si="351"/>
        <v>755379.83963506168</v>
      </c>
      <c r="AR339" s="2">
        <f t="shared" ca="1" si="352"/>
        <v>731830.60814673535</v>
      </c>
      <c r="AS339" s="2">
        <f t="shared" ca="1" si="353"/>
        <v>706180.70922527579</v>
      </c>
      <c r="AT339" s="2">
        <f t="shared" ca="1" si="354"/>
        <v>681043.80828224611</v>
      </c>
      <c r="AU339" s="2">
        <f t="shared" ca="1" si="355"/>
        <v>656409.64535807644</v>
      </c>
      <c r="AV339" s="2">
        <f t="shared" ca="1" si="356"/>
        <v>2149927.2358844057</v>
      </c>
      <c r="AW339" s="2">
        <f t="shared" ca="1" si="357"/>
        <v>2082902.5001099389</v>
      </c>
      <c r="AX339" s="2">
        <f t="shared" ca="1" si="358"/>
        <v>2009898.9416411696</v>
      </c>
      <c r="AY339" s="2">
        <f t="shared" ca="1" si="359"/>
        <v>1938355.4543417776</v>
      </c>
      <c r="AZ339" s="2">
        <f t="shared" ca="1" si="360"/>
        <v>1868242.8367883712</v>
      </c>
      <c r="BA339" s="2">
        <f t="shared" ca="1" si="361"/>
        <v>43035789.475747116</v>
      </c>
      <c r="BB339" s="2">
        <f t="shared" ca="1" si="362"/>
        <v>860715.78951494233</v>
      </c>
      <c r="BC339" s="2">
        <f t="shared" ca="1" si="363"/>
        <v>18642409.672290836</v>
      </c>
      <c r="BD339" s="2">
        <f t="shared" ca="1" si="364"/>
        <v>-17168970.343208447</v>
      </c>
      <c r="BE339" s="2">
        <f t="shared" ca="1" si="365"/>
        <v>2149927.2358844057</v>
      </c>
      <c r="BF339" s="2">
        <f t="shared" ca="1" si="366"/>
        <v>2082902.5001099389</v>
      </c>
      <c r="BG339" s="2">
        <f t="shared" ca="1" si="367"/>
        <v>2009898.9416411696</v>
      </c>
      <c r="BH339" s="2">
        <f t="shared" ca="1" si="368"/>
        <v>1938355.4543417776</v>
      </c>
      <c r="BI339" s="2">
        <f t="shared" ca="1" si="369"/>
        <v>20510652.509079207</v>
      </c>
      <c r="BJ339" s="2">
        <f t="shared" ca="1" si="370"/>
        <v>0.13128352468400362</v>
      </c>
      <c r="BK339" s="2">
        <f t="shared" ca="1" si="371"/>
        <v>711846.0289310962</v>
      </c>
    </row>
    <row r="340" spans="1:63" x14ac:dyDescent="0.3">
      <c r="A340" s="2">
        <v>339</v>
      </c>
      <c r="B340" s="2">
        <f t="shared" ca="1" si="310"/>
        <v>0.51512036694047536</v>
      </c>
      <c r="C340" s="2">
        <f t="shared" ca="1" si="311"/>
        <v>7.0152364415155031</v>
      </c>
      <c r="D340" s="2">
        <f t="shared" ca="1" si="312"/>
        <v>0.79742290412768202</v>
      </c>
      <c r="E340" s="2">
        <f t="shared" ca="1" si="313"/>
        <v>7.8634827639846385</v>
      </c>
      <c r="F340" s="2">
        <f t="shared" ca="1" si="314"/>
        <v>0.92384418340624008</v>
      </c>
      <c r="G340" s="2">
        <f t="shared" ca="1" si="315"/>
        <v>8.2942416352471418E-2</v>
      </c>
      <c r="H340" s="2">
        <f t="shared" ca="1" si="316"/>
        <v>8.2942416352471418E-2</v>
      </c>
      <c r="I340" s="2">
        <f t="shared" ca="1" si="317"/>
        <v>0.61375313319101021</v>
      </c>
      <c r="J340" s="2">
        <f t="shared" ca="1" si="318"/>
        <v>1.1445572658048554E-2</v>
      </c>
      <c r="K340" s="2">
        <f t="shared" ca="1" si="319"/>
        <v>1.1445572658048554E-2</v>
      </c>
      <c r="L340" s="2">
        <f t="shared" ca="1" si="320"/>
        <v>0.64216361214353967</v>
      </c>
      <c r="M340" s="2">
        <f t="shared" ca="1" si="321"/>
        <v>7.2849613585447013E-3</v>
      </c>
      <c r="N340" s="2">
        <f t="shared" ca="1" si="322"/>
        <v>7.2849613585447013E-3</v>
      </c>
      <c r="O340" s="2">
        <f t="shared" si="323"/>
        <v>6000000</v>
      </c>
      <c r="P340" s="2">
        <f t="shared" ca="1" si="324"/>
        <v>42091418.649093017</v>
      </c>
      <c r="Q340" s="2">
        <f t="shared" ca="1" si="325"/>
        <v>1052285.4662273254</v>
      </c>
      <c r="R340" s="2">
        <f t="shared" ca="1" si="326"/>
        <v>25254851.189455811</v>
      </c>
      <c r="S340" s="2">
        <f t="shared" ca="1" si="327"/>
        <v>16836567.459637206</v>
      </c>
      <c r="T340" s="2">
        <f t="shared" ca="1" si="328"/>
        <v>50364248.067927234</v>
      </c>
      <c r="U340" s="2">
        <f t="shared" ca="1" si="329"/>
        <v>54541580.500456408</v>
      </c>
      <c r="V340" s="2">
        <f t="shared" ca="1" si="330"/>
        <v>59065390.978847101</v>
      </c>
      <c r="W340" s="2">
        <f t="shared" ca="1" si="331"/>
        <v>63964417.229436152</v>
      </c>
      <c r="X340" s="2">
        <f t="shared" ca="1" si="332"/>
        <v>69269780.555023238</v>
      </c>
      <c r="Y340" s="2">
        <f t="shared" ca="1" si="333"/>
        <v>0.12572278632902428</v>
      </c>
      <c r="Z340" s="2">
        <f t="shared" ca="1" si="334"/>
        <v>0.12801190086063399</v>
      </c>
      <c r="AA340" s="2">
        <f t="shared" ca="1" si="335"/>
        <v>6331933.5984659893</v>
      </c>
      <c r="AB340" s="2">
        <f t="shared" ca="1" si="336"/>
        <v>6981971.395806714</v>
      </c>
      <c r="AC340" s="2">
        <f t="shared" ca="1" si="337"/>
        <v>7561072.9742787601</v>
      </c>
      <c r="AD340" s="2">
        <f t="shared" ca="1" si="338"/>
        <v>8188206.6369828098</v>
      </c>
      <c r="AE340" s="2">
        <f t="shared" ca="1" si="339"/>
        <v>8867356.2810475063</v>
      </c>
      <c r="AF340" s="2">
        <f t="shared" ca="1" si="340"/>
        <v>1007284.9613585446</v>
      </c>
      <c r="AG340" s="2">
        <f t="shared" ca="1" si="341"/>
        <v>1090831.6100091282</v>
      </c>
      <c r="AH340" s="2">
        <f t="shared" ca="1" si="342"/>
        <v>1181307.8195769421</v>
      </c>
      <c r="AI340" s="2">
        <f t="shared" ca="1" si="343"/>
        <v>1279288.344588723</v>
      </c>
      <c r="AJ340" s="2">
        <f t="shared" ca="1" si="344"/>
        <v>1385395.6111004648</v>
      </c>
      <c r="AK340" s="2">
        <f t="shared" ca="1" si="345"/>
        <v>0</v>
      </c>
      <c r="AL340" s="2">
        <f t="shared" ca="1" si="346"/>
        <v>41773.324325291738</v>
      </c>
      <c r="AM340" s="2">
        <f t="shared" ca="1" si="347"/>
        <v>45238.104783906936</v>
      </c>
      <c r="AN340" s="2">
        <f t="shared" ca="1" si="348"/>
        <v>48990.262505890503</v>
      </c>
      <c r="AO340" s="2">
        <f t="shared" ca="1" si="349"/>
        <v>53053.633255870867</v>
      </c>
      <c r="AP340" s="2">
        <f t="shared" ca="1" si="350"/>
        <v>2272936.6070510228</v>
      </c>
      <c r="AQ340" s="2">
        <f t="shared" ca="1" si="351"/>
        <v>793445.12781466974</v>
      </c>
      <c r="AR340" s="2">
        <f t="shared" ca="1" si="352"/>
        <v>940732.8264741064</v>
      </c>
      <c r="AS340" s="2">
        <f t="shared" ca="1" si="353"/>
        <v>1067775.4223892067</v>
      </c>
      <c r="AT340" s="2">
        <f t="shared" ca="1" si="354"/>
        <v>1205355.2381891967</v>
      </c>
      <c r="AU340" s="2">
        <f t="shared" ca="1" si="355"/>
        <v>1354346.256352965</v>
      </c>
      <c r="AV340" s="2">
        <f t="shared" ca="1" si="356"/>
        <v>2258266.902241752</v>
      </c>
      <c r="AW340" s="2">
        <f t="shared" ca="1" si="357"/>
        <v>2635697.0279471646</v>
      </c>
      <c r="AX340" s="2">
        <f t="shared" ca="1" si="358"/>
        <v>2993815.0204776819</v>
      </c>
      <c r="AY340" s="2">
        <f t="shared" ca="1" si="359"/>
        <v>3381636.1846479769</v>
      </c>
      <c r="AZ340" s="2">
        <f t="shared" ca="1" si="360"/>
        <v>3801624.1732871826</v>
      </c>
      <c r="BA340" s="2">
        <f t="shared" ca="1" si="361"/>
        <v>69728303.278127983</v>
      </c>
      <c r="BB340" s="2">
        <f t="shared" ca="1" si="362"/>
        <v>1394566.0655625598</v>
      </c>
      <c r="BC340" s="2">
        <f t="shared" ca="1" si="363"/>
        <v>43078886.023109615</v>
      </c>
      <c r="BD340" s="2">
        <f t="shared" ca="1" si="364"/>
        <v>-18388852.925864533</v>
      </c>
      <c r="BE340" s="2">
        <f t="shared" ca="1" si="365"/>
        <v>2258266.902241752</v>
      </c>
      <c r="BF340" s="2">
        <f t="shared" ca="1" si="366"/>
        <v>2635697.0279471646</v>
      </c>
      <c r="BG340" s="2">
        <f t="shared" ca="1" si="367"/>
        <v>2993815.0204776819</v>
      </c>
      <c r="BH340" s="2">
        <f t="shared" ca="1" si="368"/>
        <v>3381636.1846479769</v>
      </c>
      <c r="BI340" s="2">
        <f t="shared" ca="1" si="369"/>
        <v>46880510.196396798</v>
      </c>
      <c r="BJ340" s="2">
        <f t="shared" ca="1" si="370"/>
        <v>0.30137209877260052</v>
      </c>
      <c r="BK340" s="2">
        <f t="shared" ca="1" si="371"/>
        <v>16609908.164378792</v>
      </c>
    </row>
    <row r="341" spans="1:63" x14ac:dyDescent="0.3">
      <c r="A341" s="2">
        <v>340</v>
      </c>
      <c r="B341" s="2">
        <f t="shared" ca="1" si="310"/>
        <v>0.59588741361773978</v>
      </c>
      <c r="C341" s="2">
        <f t="shared" ca="1" si="311"/>
        <v>7.1009865558488459</v>
      </c>
      <c r="D341" s="2">
        <f t="shared" ca="1" si="312"/>
        <v>0.15248212441470288</v>
      </c>
      <c r="E341" s="2">
        <f t="shared" ca="1" si="313"/>
        <v>7.0522356823217835</v>
      </c>
      <c r="F341" s="2">
        <f t="shared" ca="1" si="314"/>
        <v>0.49882742901976285</v>
      </c>
      <c r="G341" s="2">
        <f t="shared" ca="1" si="315"/>
        <v>3.9911823885850219E-2</v>
      </c>
      <c r="H341" s="2">
        <f t="shared" ca="1" si="316"/>
        <v>3.9911823885850219E-2</v>
      </c>
      <c r="I341" s="2">
        <f t="shared" ca="1" si="317"/>
        <v>0.85005539520626028</v>
      </c>
      <c r="J341" s="2">
        <f t="shared" ca="1" si="318"/>
        <v>1.5183355022593929E-2</v>
      </c>
      <c r="K341" s="2">
        <f t="shared" ca="1" si="319"/>
        <v>1.5183355022593929E-2</v>
      </c>
      <c r="L341" s="2">
        <f t="shared" ca="1" si="320"/>
        <v>0.8916235685935574</v>
      </c>
      <c r="M341" s="2">
        <f t="shared" ca="1" si="321"/>
        <v>2.4704172892899039E-2</v>
      </c>
      <c r="N341" s="2">
        <f t="shared" ca="1" si="322"/>
        <v>2.4704172892899039E-2</v>
      </c>
      <c r="O341" s="2">
        <f t="shared" si="323"/>
        <v>6000000</v>
      </c>
      <c r="P341" s="2">
        <f t="shared" ca="1" si="324"/>
        <v>42605919.335093074</v>
      </c>
      <c r="Q341" s="2">
        <f t="shared" ca="1" si="325"/>
        <v>1065147.983377327</v>
      </c>
      <c r="R341" s="2">
        <f t="shared" ca="1" si="326"/>
        <v>25563551.601055842</v>
      </c>
      <c r="S341" s="2">
        <f t="shared" ca="1" si="327"/>
        <v>17042367.734037232</v>
      </c>
      <c r="T341" s="2">
        <f t="shared" ca="1" si="328"/>
        <v>51235208.644644946</v>
      </c>
      <c r="U341" s="2">
        <f t="shared" ca="1" si="329"/>
        <v>53280099.268824808</v>
      </c>
      <c r="V341" s="2">
        <f t="shared" ca="1" si="330"/>
        <v>55406605.207462765</v>
      </c>
      <c r="W341" s="2">
        <f t="shared" ca="1" si="331"/>
        <v>57617983.876615852</v>
      </c>
      <c r="X341" s="2">
        <f t="shared" ca="1" si="332"/>
        <v>59917622.701757103</v>
      </c>
      <c r="Y341" s="2">
        <f t="shared" ca="1" si="333"/>
        <v>0.12759167751129696</v>
      </c>
      <c r="Z341" s="2">
        <f t="shared" ca="1" si="334"/>
        <v>0.13062834851581576</v>
      </c>
      <c r="AA341" s="2">
        <f t="shared" ca="1" si="335"/>
        <v>6537186.2186115524</v>
      </c>
      <c r="AB341" s="2">
        <f t="shared" ca="1" si="336"/>
        <v>6959891.3762453077</v>
      </c>
      <c r="AC341" s="2">
        <f t="shared" ca="1" si="337"/>
        <v>7237673.3351186579</v>
      </c>
      <c r="AD341" s="2">
        <f t="shared" ca="1" si="338"/>
        <v>7526542.0786132282</v>
      </c>
      <c r="AE341" s="2">
        <f t="shared" ca="1" si="339"/>
        <v>7826940.1005242812</v>
      </c>
      <c r="AF341" s="2">
        <f t="shared" ca="1" si="340"/>
        <v>1024704.1728928989</v>
      </c>
      <c r="AG341" s="2">
        <f t="shared" ca="1" si="341"/>
        <v>1065601.9853764961</v>
      </c>
      <c r="AH341" s="2">
        <f t="shared" ca="1" si="342"/>
        <v>1108132.1041492554</v>
      </c>
      <c r="AI341" s="2">
        <f t="shared" ca="1" si="343"/>
        <v>1152359.6775323171</v>
      </c>
      <c r="AJ341" s="2">
        <f t="shared" ca="1" si="344"/>
        <v>1198352.4540351422</v>
      </c>
      <c r="AK341" s="2">
        <f t="shared" ca="1" si="345"/>
        <v>0</v>
      </c>
      <c r="AL341" s="2">
        <f t="shared" ca="1" si="346"/>
        <v>20448.906241798624</v>
      </c>
      <c r="AM341" s="2">
        <f t="shared" ca="1" si="347"/>
        <v>21265.059386379569</v>
      </c>
      <c r="AN341" s="2">
        <f t="shared" ca="1" si="348"/>
        <v>22113.78669153087</v>
      </c>
      <c r="AO341" s="2">
        <f t="shared" ca="1" si="349"/>
        <v>22996.388251412511</v>
      </c>
      <c r="AP341" s="2">
        <f t="shared" ca="1" si="350"/>
        <v>2300719.6440950255</v>
      </c>
      <c r="AQ341" s="2">
        <f t="shared" ca="1" si="351"/>
        <v>835058.22442214319</v>
      </c>
      <c r="AR341" s="2">
        <f t="shared" ca="1" si="352"/>
        <v>934328.13416118454</v>
      </c>
      <c r="AS341" s="2">
        <f t="shared" ca="1" si="353"/>
        <v>995493.6125873382</v>
      </c>
      <c r="AT341" s="2">
        <f t="shared" ca="1" si="354"/>
        <v>1059100.3168163302</v>
      </c>
      <c r="AU341" s="2">
        <f t="shared" ca="1" si="355"/>
        <v>1125245.6806224696</v>
      </c>
      <c r="AV341" s="2">
        <f t="shared" ca="1" si="356"/>
        <v>2376704.1772014848</v>
      </c>
      <c r="AW341" s="2">
        <f t="shared" ca="1" si="357"/>
        <v>2638792.7063708031</v>
      </c>
      <c r="AX341" s="2">
        <f t="shared" ca="1" si="358"/>
        <v>2812062.9149006591</v>
      </c>
      <c r="AY341" s="2">
        <f t="shared" ca="1" si="359"/>
        <v>2992248.653478025</v>
      </c>
      <c r="AZ341" s="2">
        <f t="shared" ca="1" si="360"/>
        <v>3179625.9335202309</v>
      </c>
      <c r="BA341" s="2">
        <f t="shared" ca="1" si="361"/>
        <v>55197426.26031258</v>
      </c>
      <c r="BB341" s="2">
        <f t="shared" ca="1" si="362"/>
        <v>1103948.5252062515</v>
      </c>
      <c r="BC341" s="2">
        <f t="shared" ca="1" si="363"/>
        <v>28529926.134050485</v>
      </c>
      <c r="BD341" s="2">
        <f t="shared" ca="1" si="364"/>
        <v>-18607515.717414558</v>
      </c>
      <c r="BE341" s="2">
        <f t="shared" ca="1" si="365"/>
        <v>2376704.1772014848</v>
      </c>
      <c r="BF341" s="2">
        <f t="shared" ca="1" si="366"/>
        <v>2638792.7063708031</v>
      </c>
      <c r="BG341" s="2">
        <f t="shared" ca="1" si="367"/>
        <v>2812062.9149006591</v>
      </c>
      <c r="BH341" s="2">
        <f t="shared" ca="1" si="368"/>
        <v>2992248.653478025</v>
      </c>
      <c r="BI341" s="2">
        <f t="shared" ca="1" si="369"/>
        <v>31709552.067570716</v>
      </c>
      <c r="BJ341" s="2">
        <f t="shared" ca="1" si="370"/>
        <v>0.21585259859597294</v>
      </c>
      <c r="BK341" s="2">
        <f t="shared" ca="1" si="371"/>
        <v>7514221.3520528339</v>
      </c>
    </row>
    <row r="342" spans="1:63" x14ac:dyDescent="0.3">
      <c r="A342" s="2">
        <v>341</v>
      </c>
      <c r="B342" s="2">
        <f t="shared" ca="1" si="310"/>
        <v>0.55821073822813716</v>
      </c>
      <c r="C342" s="2">
        <f t="shared" ca="1" si="311"/>
        <v>7.0600114237163698</v>
      </c>
      <c r="D342" s="2">
        <f t="shared" ca="1" si="312"/>
        <v>0.84019189391323745</v>
      </c>
      <c r="E342" s="2">
        <f t="shared" ca="1" si="313"/>
        <v>7.9346539005409831</v>
      </c>
      <c r="F342" s="2">
        <f t="shared" ca="1" si="314"/>
        <v>0.3834543865570762</v>
      </c>
      <c r="G342" s="2">
        <f t="shared" ca="1" si="315"/>
        <v>3.1107377198780869E-2</v>
      </c>
      <c r="H342" s="2">
        <f t="shared" ca="1" si="316"/>
        <v>3.1107377198780869E-2</v>
      </c>
      <c r="I342" s="2">
        <f t="shared" ca="1" si="317"/>
        <v>0.12826678750257925</v>
      </c>
      <c r="J342" s="2">
        <f t="shared" ca="1" si="318"/>
        <v>4.3268881360783388E-3</v>
      </c>
      <c r="K342" s="2">
        <f t="shared" ca="1" si="319"/>
        <v>4.3268881360783388E-3</v>
      </c>
      <c r="L342" s="2">
        <f t="shared" ca="1" si="320"/>
        <v>0.30919818148015732</v>
      </c>
      <c r="M342" s="2">
        <f t="shared" ca="1" si="321"/>
        <v>-9.9624880177398827E-3</v>
      </c>
      <c r="N342" s="2">
        <f t="shared" ca="1" si="322"/>
        <v>-9.9624880177398827E-3</v>
      </c>
      <c r="O342" s="2">
        <f t="shared" si="323"/>
        <v>6000000</v>
      </c>
      <c r="P342" s="2">
        <f t="shared" ca="1" si="324"/>
        <v>42360068.54229822</v>
      </c>
      <c r="Q342" s="2">
        <f t="shared" ca="1" si="325"/>
        <v>1059001.7135574555</v>
      </c>
      <c r="R342" s="2">
        <f t="shared" ca="1" si="326"/>
        <v>25416041.125378933</v>
      </c>
      <c r="S342" s="2">
        <f t="shared" ca="1" si="327"/>
        <v>16944027.416919287</v>
      </c>
      <c r="T342" s="2">
        <f t="shared" ca="1" si="328"/>
        <v>49501875.599113002</v>
      </c>
      <c r="U342" s="2">
        <f t="shared" ca="1" si="329"/>
        <v>51041749.115421735</v>
      </c>
      <c r="V342" s="2">
        <f t="shared" ca="1" si="330"/>
        <v>52629524.058040701</v>
      </c>
      <c r="W342" s="2">
        <f t="shared" ca="1" si="331"/>
        <v>54266690.514706485</v>
      </c>
      <c r="X342" s="2">
        <f t="shared" ca="1" si="332"/>
        <v>55954784.92587696</v>
      </c>
      <c r="Y342" s="2">
        <f t="shared" ca="1" si="333"/>
        <v>0.12216344406803917</v>
      </c>
      <c r="Z342" s="2">
        <f t="shared" ca="1" si="334"/>
        <v>0.12302882169525484</v>
      </c>
      <c r="AA342" s="2">
        <f t="shared" ca="1" si="335"/>
        <v>6047319.6110152742</v>
      </c>
      <c r="AB342" s="2">
        <f t="shared" ca="1" si="336"/>
        <v>6279606.2509351522</v>
      </c>
      <c r="AC342" s="2">
        <f t="shared" ca="1" si="337"/>
        <v>6474948.3312428137</v>
      </c>
      <c r="AD342" s="2">
        <f t="shared" ca="1" si="338"/>
        <v>6676366.9913254008</v>
      </c>
      <c r="AE342" s="2">
        <f t="shared" ca="1" si="339"/>
        <v>6884051.2576420493</v>
      </c>
      <c r="AF342" s="2">
        <f t="shared" ca="1" si="340"/>
        <v>990037.51198226004</v>
      </c>
      <c r="AG342" s="2">
        <f t="shared" ca="1" si="341"/>
        <v>1020834.9823084347</v>
      </c>
      <c r="AH342" s="2">
        <f t="shared" ca="1" si="342"/>
        <v>1052590.4811608139</v>
      </c>
      <c r="AI342" s="2">
        <f t="shared" ca="1" si="343"/>
        <v>1085333.8102941297</v>
      </c>
      <c r="AJ342" s="2">
        <f t="shared" ca="1" si="344"/>
        <v>1119095.6985175393</v>
      </c>
      <c r="AK342" s="2">
        <f t="shared" ca="1" si="345"/>
        <v>0</v>
      </c>
      <c r="AL342" s="2">
        <f t="shared" ca="1" si="346"/>
        <v>15398.735163087324</v>
      </c>
      <c r="AM342" s="2">
        <f t="shared" ca="1" si="347"/>
        <v>15877.749426189661</v>
      </c>
      <c r="AN342" s="2">
        <f t="shared" ca="1" si="348"/>
        <v>16371.664566657842</v>
      </c>
      <c r="AO342" s="2">
        <f t="shared" ca="1" si="349"/>
        <v>16880.944111704754</v>
      </c>
      <c r="AP342" s="2">
        <f t="shared" ca="1" si="350"/>
        <v>2287443.701284104</v>
      </c>
      <c r="AQ342" s="2">
        <f t="shared" ca="1" si="351"/>
        <v>720157.98341471655</v>
      </c>
      <c r="AR342" s="2">
        <f t="shared" ca="1" si="352"/>
        <v>772545.16750907968</v>
      </c>
      <c r="AS342" s="2">
        <f t="shared" ca="1" si="353"/>
        <v>815077.67868745292</v>
      </c>
      <c r="AT342" s="2">
        <f t="shared" ca="1" si="354"/>
        <v>858933.26473426342</v>
      </c>
      <c r="AU342" s="2">
        <f t="shared" ca="1" si="355"/>
        <v>904153.08303850552</v>
      </c>
      <c r="AV342" s="2">
        <f t="shared" ca="1" si="356"/>
        <v>2049680.4143341938</v>
      </c>
      <c r="AW342" s="2">
        <f t="shared" ca="1" si="357"/>
        <v>2183383.6646704469</v>
      </c>
      <c r="AX342" s="2">
        <f t="shared" ca="1" si="358"/>
        <v>2303958.7206842527</v>
      </c>
      <c r="AY342" s="2">
        <f t="shared" ca="1" si="359"/>
        <v>2428284.5504462458</v>
      </c>
      <c r="AZ342" s="2">
        <f t="shared" ca="1" si="360"/>
        <v>2556477.8306901958</v>
      </c>
      <c r="BA342" s="2">
        <f t="shared" ca="1" si="361"/>
        <v>54622564.162973545</v>
      </c>
      <c r="BB342" s="2">
        <f t="shared" ca="1" si="362"/>
        <v>1092451.2832594709</v>
      </c>
      <c r="BC342" s="2">
        <f t="shared" ca="1" si="363"/>
        <v>28114071.754335143</v>
      </c>
      <c r="BD342" s="2">
        <f t="shared" ca="1" si="364"/>
        <v>-18503029.130476743</v>
      </c>
      <c r="BE342" s="2">
        <f t="shared" ca="1" si="365"/>
        <v>2049680.4143341938</v>
      </c>
      <c r="BF342" s="2">
        <f t="shared" ca="1" si="366"/>
        <v>2183383.6646704469</v>
      </c>
      <c r="BG342" s="2">
        <f t="shared" ca="1" si="367"/>
        <v>2303958.7206842527</v>
      </c>
      <c r="BH342" s="2">
        <f t="shared" ca="1" si="368"/>
        <v>2428284.5504462458</v>
      </c>
      <c r="BI342" s="2">
        <f t="shared" ca="1" si="369"/>
        <v>30670549.58502534</v>
      </c>
      <c r="BJ342" s="2">
        <f t="shared" ca="1" si="370"/>
        <v>0.19294621892815389</v>
      </c>
      <c r="BK342" s="2">
        <f t="shared" ca="1" si="371"/>
        <v>5654047.312528681</v>
      </c>
    </row>
    <row r="343" spans="1:63" x14ac:dyDescent="0.3">
      <c r="A343" s="2">
        <v>342</v>
      </c>
      <c r="B343" s="2">
        <f t="shared" ca="1" si="310"/>
        <v>0.82709561770662754</v>
      </c>
      <c r="C343" s="2">
        <f t="shared" ca="1" si="311"/>
        <v>7.4119449306512655</v>
      </c>
      <c r="D343" s="2">
        <f t="shared" ca="1" si="312"/>
        <v>0.6311184008678602</v>
      </c>
      <c r="E343" s="2">
        <f t="shared" ca="1" si="313"/>
        <v>7.6410685718497202</v>
      </c>
      <c r="F343" s="2">
        <f t="shared" ca="1" si="314"/>
        <v>0.83145937207795728</v>
      </c>
      <c r="G343" s="2">
        <f t="shared" ca="1" si="315"/>
        <v>6.8798447793605486E-2</v>
      </c>
      <c r="H343" s="2">
        <f t="shared" ca="1" si="316"/>
        <v>6.8798447793605486E-2</v>
      </c>
      <c r="I343" s="2">
        <f t="shared" ca="1" si="317"/>
        <v>0.2566025695770614</v>
      </c>
      <c r="J343" s="2">
        <f t="shared" ca="1" si="318"/>
        <v>6.7307243099613296E-3</v>
      </c>
      <c r="K343" s="2">
        <f t="shared" ca="1" si="319"/>
        <v>6.7307243099613296E-3</v>
      </c>
      <c r="L343" s="2">
        <f t="shared" ca="1" si="320"/>
        <v>0.13695685531016799</v>
      </c>
      <c r="M343" s="2">
        <f t="shared" ca="1" si="321"/>
        <v>-2.1881881962808707E-2</v>
      </c>
      <c r="N343" s="2">
        <f t="shared" ca="1" si="322"/>
        <v>-2.1881881962808707E-2</v>
      </c>
      <c r="O343" s="2">
        <f t="shared" si="323"/>
        <v>6000000</v>
      </c>
      <c r="P343" s="2">
        <f t="shared" ca="1" si="324"/>
        <v>44471669.583907589</v>
      </c>
      <c r="Q343" s="2">
        <f t="shared" ca="1" si="325"/>
        <v>1111791.7395976898</v>
      </c>
      <c r="R343" s="2">
        <f t="shared" ca="1" si="326"/>
        <v>26683001.750344552</v>
      </c>
      <c r="S343" s="2">
        <f t="shared" ca="1" si="327"/>
        <v>17788667.833563037</v>
      </c>
      <c r="T343" s="2">
        <f t="shared" ca="1" si="328"/>
        <v>48905905.901859567</v>
      </c>
      <c r="U343" s="2">
        <f t="shared" ca="1" si="329"/>
        <v>52270556.315847635</v>
      </c>
      <c r="V343" s="2">
        <f t="shared" ca="1" si="330"/>
        <v>55866689.455686189</v>
      </c>
      <c r="W343" s="2">
        <f t="shared" ca="1" si="331"/>
        <v>59710230.973604783</v>
      </c>
      <c r="X343" s="2">
        <f t="shared" ca="1" si="332"/>
        <v>63818202.181986451</v>
      </c>
      <c r="Y343" s="2">
        <f t="shared" ca="1" si="333"/>
        <v>0.12336536215498066</v>
      </c>
      <c r="Z343" s="2">
        <f t="shared" ca="1" si="334"/>
        <v>0.12471150701697292</v>
      </c>
      <c r="AA343" s="2">
        <f t="shared" ca="1" si="335"/>
        <v>6033294.7931003114</v>
      </c>
      <c r="AB343" s="2">
        <f t="shared" ca="1" si="336"/>
        <v>6518739.8507649107</v>
      </c>
      <c r="AC343" s="2">
        <f t="shared" ca="1" si="337"/>
        <v>6967219.0340678552</v>
      </c>
      <c r="AD343" s="2">
        <f t="shared" ca="1" si="338"/>
        <v>7446552.8890497871</v>
      </c>
      <c r="AE343" s="2">
        <f t="shared" ca="1" si="339"/>
        <v>7958864.1692294003</v>
      </c>
      <c r="AF343" s="2">
        <f t="shared" ca="1" si="340"/>
        <v>978118.11803719134</v>
      </c>
      <c r="AG343" s="2">
        <f t="shared" ca="1" si="341"/>
        <v>1045411.1263169528</v>
      </c>
      <c r="AH343" s="2">
        <f t="shared" ca="1" si="342"/>
        <v>1117333.7891137239</v>
      </c>
      <c r="AI343" s="2">
        <f t="shared" ca="1" si="343"/>
        <v>1194204.6194720957</v>
      </c>
      <c r="AJ343" s="2">
        <f t="shared" ca="1" si="344"/>
        <v>1276364.043639729</v>
      </c>
      <c r="AK343" s="2">
        <f t="shared" ca="1" si="345"/>
        <v>0</v>
      </c>
      <c r="AL343" s="2">
        <f t="shared" ca="1" si="346"/>
        <v>33646.504139880686</v>
      </c>
      <c r="AM343" s="2">
        <f t="shared" ca="1" si="347"/>
        <v>35961.331398385541</v>
      </c>
      <c r="AN343" s="2">
        <f t="shared" ca="1" si="348"/>
        <v>38435.41517918594</v>
      </c>
      <c r="AO343" s="2">
        <f t="shared" ca="1" si="349"/>
        <v>41079.712083816681</v>
      </c>
      <c r="AP343" s="2">
        <f t="shared" ca="1" si="350"/>
        <v>2401470.1575310095</v>
      </c>
      <c r="AQ343" s="2">
        <f t="shared" ca="1" si="351"/>
        <v>689963.69455834886</v>
      </c>
      <c r="AR343" s="2">
        <f t="shared" ca="1" si="352"/>
        <v>798683.22739840671</v>
      </c>
      <c r="AS343" s="2">
        <f t="shared" ca="1" si="353"/>
        <v>896587.92273001175</v>
      </c>
      <c r="AT343" s="2">
        <f t="shared" ca="1" si="354"/>
        <v>1001228.3091321373</v>
      </c>
      <c r="AU343" s="2">
        <f t="shared" ca="1" si="355"/>
        <v>1113067.7916952523</v>
      </c>
      <c r="AV343" s="2">
        <f t="shared" ca="1" si="356"/>
        <v>1963742.8229737622</v>
      </c>
      <c r="AW343" s="2">
        <f t="shared" ca="1" si="357"/>
        <v>2239528.8353786613</v>
      </c>
      <c r="AX343" s="2">
        <f t="shared" ca="1" si="358"/>
        <v>2515865.8332947246</v>
      </c>
      <c r="AY343" s="2">
        <f t="shared" ca="1" si="359"/>
        <v>2811214.3877353589</v>
      </c>
      <c r="AZ343" s="2">
        <f t="shared" ca="1" si="360"/>
        <v>3126882.4642795934</v>
      </c>
      <c r="BA343" s="2">
        <f t="shared" ca="1" si="361"/>
        <v>60814226.871119604</v>
      </c>
      <c r="BB343" s="2">
        <f t="shared" ca="1" si="362"/>
        <v>1216284.5374223921</v>
      </c>
      <c r="BC343" s="2">
        <f t="shared" ca="1" si="363"/>
        <v>32914940.583352659</v>
      </c>
      <c r="BD343" s="2">
        <f t="shared" ca="1" si="364"/>
        <v>-19400459.573160727</v>
      </c>
      <c r="BE343" s="2">
        <f t="shared" ca="1" si="365"/>
        <v>1963742.8229737622</v>
      </c>
      <c r="BF343" s="2">
        <f t="shared" ca="1" si="366"/>
        <v>2239528.8353786613</v>
      </c>
      <c r="BG343" s="2">
        <f t="shared" ca="1" si="367"/>
        <v>2515865.8332947246</v>
      </c>
      <c r="BH343" s="2">
        <f t="shared" ca="1" si="368"/>
        <v>2811214.3877353589</v>
      </c>
      <c r="BI343" s="2">
        <f t="shared" ca="1" si="369"/>
        <v>36041823.047632255</v>
      </c>
      <c r="BJ343" s="2">
        <f t="shared" ca="1" si="370"/>
        <v>0.21555788776346585</v>
      </c>
      <c r="BK343" s="2">
        <f t="shared" ca="1" si="371"/>
        <v>8166640.407478191</v>
      </c>
    </row>
    <row r="344" spans="1:63" x14ac:dyDescent="0.3">
      <c r="A344" s="2">
        <v>343</v>
      </c>
      <c r="B344" s="2">
        <f t="shared" ca="1" si="310"/>
        <v>0.20176173697960476</v>
      </c>
      <c r="C344" s="2">
        <f t="shared" ca="1" si="311"/>
        <v>6.6352349753903743</v>
      </c>
      <c r="D344" s="2">
        <f t="shared" ca="1" si="312"/>
        <v>0.54317597911357773</v>
      </c>
      <c r="E344" s="2">
        <f t="shared" ca="1" si="313"/>
        <v>7.5441506176322317</v>
      </c>
      <c r="F344" s="2">
        <f t="shared" ca="1" si="314"/>
        <v>0.32885813612294967</v>
      </c>
      <c r="G344" s="2">
        <f t="shared" ca="1" si="315"/>
        <v>2.6707948467439527E-2</v>
      </c>
      <c r="H344" s="2">
        <f t="shared" ca="1" si="316"/>
        <v>2.6707948467439527E-2</v>
      </c>
      <c r="I344" s="2">
        <f t="shared" ca="1" si="317"/>
        <v>0.72886199417377229</v>
      </c>
      <c r="J344" s="2">
        <f t="shared" ca="1" si="318"/>
        <v>1.3046874193950413E-2</v>
      </c>
      <c r="K344" s="2">
        <f t="shared" ca="1" si="319"/>
        <v>1.3046874193950413E-2</v>
      </c>
      <c r="L344" s="2">
        <f t="shared" ca="1" si="320"/>
        <v>0.31520597134628037</v>
      </c>
      <c r="M344" s="2">
        <f t="shared" ca="1" si="321"/>
        <v>-9.6229423463137682E-3</v>
      </c>
      <c r="N344" s="2">
        <f t="shared" ca="1" si="322"/>
        <v>-9.6229423463137682E-3</v>
      </c>
      <c r="O344" s="2">
        <f t="shared" si="323"/>
        <v>6000000</v>
      </c>
      <c r="P344" s="2">
        <f t="shared" ca="1" si="324"/>
        <v>39811409.852342248</v>
      </c>
      <c r="Q344" s="2">
        <f t="shared" ca="1" si="325"/>
        <v>995285.24630855629</v>
      </c>
      <c r="R344" s="2">
        <f t="shared" ca="1" si="326"/>
        <v>23886845.911405347</v>
      </c>
      <c r="S344" s="2">
        <f t="shared" ca="1" si="327"/>
        <v>15924563.940936901</v>
      </c>
      <c r="T344" s="2">
        <f t="shared" ca="1" si="328"/>
        <v>49518852.882684313</v>
      </c>
      <c r="U344" s="2">
        <f t="shared" ca="1" si="329"/>
        <v>50841399.853641763</v>
      </c>
      <c r="V344" s="2">
        <f t="shared" ca="1" si="330"/>
        <v>52199269.340945311</v>
      </c>
      <c r="W344" s="2">
        <f t="shared" ca="1" si="331"/>
        <v>53593404.736541271</v>
      </c>
      <c r="X344" s="2">
        <f t="shared" ca="1" si="332"/>
        <v>55024774.628439441</v>
      </c>
      <c r="Y344" s="2">
        <f t="shared" ca="1" si="333"/>
        <v>0.12652343709697519</v>
      </c>
      <c r="Z344" s="2">
        <f t="shared" ca="1" si="334"/>
        <v>0.12913281193576528</v>
      </c>
      <c r="AA344" s="2">
        <f t="shared" ca="1" si="335"/>
        <v>6265295.4678166779</v>
      </c>
      <c r="AB344" s="2">
        <f t="shared" ca="1" si="336"/>
        <v>6565292.9258513665</v>
      </c>
      <c r="AC344" s="2">
        <f t="shared" ca="1" si="337"/>
        <v>6740638.4309886498</v>
      </c>
      <c r="AD344" s="2">
        <f t="shared" ca="1" si="338"/>
        <v>6920667.0548411366</v>
      </c>
      <c r="AE344" s="2">
        <f t="shared" ca="1" si="339"/>
        <v>7105503.8739021393</v>
      </c>
      <c r="AF344" s="2">
        <f t="shared" ca="1" si="340"/>
        <v>990377.05765368626</v>
      </c>
      <c r="AG344" s="2">
        <f t="shared" ca="1" si="341"/>
        <v>1016827.9970728353</v>
      </c>
      <c r="AH344" s="2">
        <f t="shared" ca="1" si="342"/>
        <v>1043985.3868189063</v>
      </c>
      <c r="AI344" s="2">
        <f t="shared" ca="1" si="343"/>
        <v>1071868.0947308254</v>
      </c>
      <c r="AJ344" s="2">
        <f t="shared" ca="1" si="344"/>
        <v>1100495.4925687888</v>
      </c>
      <c r="AK344" s="2">
        <f t="shared" ca="1" si="345"/>
        <v>0</v>
      </c>
      <c r="AL344" s="2">
        <f t="shared" ca="1" si="346"/>
        <v>13225.469709574507</v>
      </c>
      <c r="AM344" s="2">
        <f t="shared" ca="1" si="347"/>
        <v>13578.694873035476</v>
      </c>
      <c r="AN344" s="2">
        <f t="shared" ca="1" si="348"/>
        <v>13941.353955959603</v>
      </c>
      <c r="AO344" s="2">
        <f t="shared" ca="1" si="349"/>
        <v>14313.698918981701</v>
      </c>
      <c r="AP344" s="2">
        <f t="shared" ca="1" si="350"/>
        <v>2149816.132026481</v>
      </c>
      <c r="AQ344" s="2">
        <f t="shared" ca="1" si="351"/>
        <v>812526.5923154928</v>
      </c>
      <c r="AR344" s="2">
        <f t="shared" ca="1" si="352"/>
        <v>883648.687155533</v>
      </c>
      <c r="AS344" s="2">
        <f t="shared" ca="1" si="353"/>
        <v>922177.5971572483</v>
      </c>
      <c r="AT344" s="2">
        <f t="shared" ca="1" si="354"/>
        <v>961735.53530179593</v>
      </c>
      <c r="AU344" s="2">
        <f t="shared" ca="1" si="355"/>
        <v>1002349.984819786</v>
      </c>
      <c r="AV344" s="2">
        <f t="shared" ca="1" si="356"/>
        <v>2312575.6858210177</v>
      </c>
      <c r="AW344" s="2">
        <f t="shared" ca="1" si="357"/>
        <v>2501774.6398869432</v>
      </c>
      <c r="AX344" s="2">
        <f t="shared" ca="1" si="358"/>
        <v>2611080.6201129784</v>
      </c>
      <c r="AY344" s="2">
        <f t="shared" ca="1" si="359"/>
        <v>2723305.9388260744</v>
      </c>
      <c r="AZ344" s="2">
        <f t="shared" ca="1" si="360"/>
        <v>2838528.5655681021</v>
      </c>
      <c r="BA344" s="2">
        <f t="shared" ca="1" si="361"/>
        <v>53604991.438887037</v>
      </c>
      <c r="BB344" s="2">
        <f t="shared" ca="1" si="362"/>
        <v>1072099.8287777407</v>
      </c>
      <c r="BC344" s="2">
        <f t="shared" ca="1" si="363"/>
        <v>28646045.698703948</v>
      </c>
      <c r="BD344" s="2">
        <f t="shared" ca="1" si="364"/>
        <v>-17419849.187245458</v>
      </c>
      <c r="BE344" s="2">
        <f t="shared" ca="1" si="365"/>
        <v>2312575.6858210177</v>
      </c>
      <c r="BF344" s="2">
        <f t="shared" ca="1" si="366"/>
        <v>2501774.6398869432</v>
      </c>
      <c r="BG344" s="2">
        <f t="shared" ca="1" si="367"/>
        <v>2611080.6201129784</v>
      </c>
      <c r="BH344" s="2">
        <f t="shared" ca="1" si="368"/>
        <v>2723305.9388260744</v>
      </c>
      <c r="BI344" s="2">
        <f t="shared" ca="1" si="369"/>
        <v>31484574.264272049</v>
      </c>
      <c r="BJ344" s="2">
        <f t="shared" ca="1" si="370"/>
        <v>0.22808170804269068</v>
      </c>
      <c r="BK344" s="2">
        <f t="shared" ca="1" si="371"/>
        <v>8093768.7045785114</v>
      </c>
    </row>
    <row r="345" spans="1:63" x14ac:dyDescent="0.3">
      <c r="A345" s="2">
        <v>344</v>
      </c>
      <c r="B345" s="2">
        <f t="shared" ca="1" si="310"/>
        <v>0.59282255155339825</v>
      </c>
      <c r="C345" s="2">
        <f t="shared" ca="1" si="311"/>
        <v>7.0975838560324824</v>
      </c>
      <c r="D345" s="2">
        <f t="shared" ca="1" si="312"/>
        <v>0.89618208085223039</v>
      </c>
      <c r="E345" s="2">
        <f t="shared" ca="1" si="313"/>
        <v>8.0443292435370264</v>
      </c>
      <c r="F345" s="2">
        <f t="shared" ca="1" si="314"/>
        <v>0.87544409797154032</v>
      </c>
      <c r="G345" s="2">
        <f t="shared" ca="1" si="315"/>
        <v>7.4575282382739569E-2</v>
      </c>
      <c r="H345" s="2">
        <f t="shared" ca="1" si="316"/>
        <v>7.4575282382739569E-2</v>
      </c>
      <c r="I345" s="2">
        <f t="shared" ca="1" si="317"/>
        <v>0.59487247110712016</v>
      </c>
      <c r="J345" s="2">
        <f t="shared" ca="1" si="318"/>
        <v>1.1200485013355814E-2</v>
      </c>
      <c r="K345" s="2">
        <f t="shared" ca="1" si="319"/>
        <v>1.1200485013355814E-2</v>
      </c>
      <c r="L345" s="2">
        <f t="shared" ca="1" si="320"/>
        <v>0.67459161714541682</v>
      </c>
      <c r="M345" s="2">
        <f t="shared" ca="1" si="321"/>
        <v>9.0525563166194995E-3</v>
      </c>
      <c r="N345" s="2">
        <f t="shared" ca="1" si="322"/>
        <v>9.0525563166194995E-3</v>
      </c>
      <c r="O345" s="2">
        <f t="shared" si="323"/>
        <v>6000000</v>
      </c>
      <c r="P345" s="2">
        <f t="shared" ca="1" si="324"/>
        <v>42585503.136194892</v>
      </c>
      <c r="Q345" s="2">
        <f t="shared" ca="1" si="325"/>
        <v>1064637.5784048724</v>
      </c>
      <c r="R345" s="2">
        <f t="shared" ca="1" si="326"/>
        <v>25551301.881716933</v>
      </c>
      <c r="S345" s="2">
        <f t="shared" ca="1" si="327"/>
        <v>17034201.254477959</v>
      </c>
      <c r="T345" s="2">
        <f t="shared" ca="1" si="328"/>
        <v>50452627.815830976</v>
      </c>
      <c r="U345" s="2">
        <f t="shared" ca="1" si="329"/>
        <v>54215146.782147825</v>
      </c>
      <c r="V345" s="2">
        <f t="shared" ca="1" si="330"/>
        <v>58258256.662848167</v>
      </c>
      <c r="W345" s="2">
        <f t="shared" ca="1" si="331"/>
        <v>62602882.604606181</v>
      </c>
      <c r="X345" s="2">
        <f t="shared" ca="1" si="332"/>
        <v>67271510.252818182</v>
      </c>
      <c r="Y345" s="2">
        <f t="shared" ca="1" si="333"/>
        <v>0.12560024250667789</v>
      </c>
      <c r="Z345" s="2">
        <f t="shared" ca="1" si="334"/>
        <v>0.12784033950934906</v>
      </c>
      <c r="AA345" s="2">
        <f t="shared" ca="1" si="335"/>
        <v>6336862.2887675334</v>
      </c>
      <c r="AB345" s="2">
        <f t="shared" ca="1" si="336"/>
        <v>6930882.771178971</v>
      </c>
      <c r="AC345" s="2">
        <f t="shared" ca="1" si="337"/>
        <v>7447755.3110013064</v>
      </c>
      <c r="AD345" s="2">
        <f t="shared" ca="1" si="338"/>
        <v>8003173.7664367761</v>
      </c>
      <c r="AE345" s="2">
        <f t="shared" ca="1" si="339"/>
        <v>8600012.7100269329</v>
      </c>
      <c r="AF345" s="2">
        <f t="shared" ca="1" si="340"/>
        <v>1009052.5563166195</v>
      </c>
      <c r="AG345" s="2">
        <f t="shared" ca="1" si="341"/>
        <v>1084302.9356429565</v>
      </c>
      <c r="AH345" s="2">
        <f t="shared" ca="1" si="342"/>
        <v>1165165.1332569635</v>
      </c>
      <c r="AI345" s="2">
        <f t="shared" ca="1" si="343"/>
        <v>1252057.6520921236</v>
      </c>
      <c r="AJ345" s="2">
        <f t="shared" ca="1" si="344"/>
        <v>1345430.2050563637</v>
      </c>
      <c r="AK345" s="2">
        <f t="shared" ca="1" si="345"/>
        <v>0</v>
      </c>
      <c r="AL345" s="2">
        <f t="shared" ca="1" si="346"/>
        <v>37625.189663168494</v>
      </c>
      <c r="AM345" s="2">
        <f t="shared" ca="1" si="347"/>
        <v>40431.098807003422</v>
      </c>
      <c r="AN345" s="2">
        <f t="shared" ca="1" si="348"/>
        <v>43446.259417580142</v>
      </c>
      <c r="AO345" s="2">
        <f t="shared" ca="1" si="349"/>
        <v>46686.276482120011</v>
      </c>
      <c r="AP345" s="2">
        <f t="shared" ca="1" si="350"/>
        <v>2299617.169354524</v>
      </c>
      <c r="AQ345" s="2">
        <f t="shared" ca="1" si="351"/>
        <v>787330.06640506128</v>
      </c>
      <c r="AR345" s="2">
        <f t="shared" ca="1" si="352"/>
        <v>922210.29320718755</v>
      </c>
      <c r="AS345" s="2">
        <f t="shared" ca="1" si="353"/>
        <v>1035572.9821813529</v>
      </c>
      <c r="AT345" s="2">
        <f t="shared" ca="1" si="354"/>
        <v>1157389.7256974333</v>
      </c>
      <c r="AU345" s="2">
        <f t="shared" ca="1" si="355"/>
        <v>1288290.9872601717</v>
      </c>
      <c r="AV345" s="2">
        <f t="shared" ca="1" si="356"/>
        <v>2240862.496691328</v>
      </c>
      <c r="AW345" s="2">
        <f t="shared" ca="1" si="357"/>
        <v>2587127.183311135</v>
      </c>
      <c r="AX345" s="2">
        <f t="shared" ca="1" si="358"/>
        <v>2906968.927401463</v>
      </c>
      <c r="AY345" s="2">
        <f t="shared" ca="1" si="359"/>
        <v>3250662.9598751147</v>
      </c>
      <c r="AZ345" s="2">
        <f t="shared" ca="1" si="360"/>
        <v>3619988.0718737529</v>
      </c>
      <c r="BA345" s="2">
        <f t="shared" ca="1" si="361"/>
        <v>69181333.738059774</v>
      </c>
      <c r="BB345" s="2">
        <f t="shared" ca="1" si="362"/>
        <v>1383626.6747611954</v>
      </c>
      <c r="BC345" s="2">
        <f t="shared" ca="1" si="363"/>
        <v>42246405.181581639</v>
      </c>
      <c r="BD345" s="2">
        <f t="shared" ca="1" si="364"/>
        <v>-18598838.832882833</v>
      </c>
      <c r="BE345" s="2">
        <f t="shared" ca="1" si="365"/>
        <v>2240862.496691328</v>
      </c>
      <c r="BF345" s="2">
        <f t="shared" ca="1" si="366"/>
        <v>2587127.183311135</v>
      </c>
      <c r="BG345" s="2">
        <f t="shared" ca="1" si="367"/>
        <v>2906968.927401463</v>
      </c>
      <c r="BH345" s="2">
        <f t="shared" ca="1" si="368"/>
        <v>3250662.9598751147</v>
      </c>
      <c r="BI345" s="2">
        <f t="shared" ca="1" si="369"/>
        <v>45866393.253455393</v>
      </c>
      <c r="BJ345" s="2">
        <f t="shared" ca="1" si="370"/>
        <v>0.29100347130461546</v>
      </c>
      <c r="BK345" s="2">
        <f t="shared" ca="1" si="371"/>
        <v>15625174.652724419</v>
      </c>
    </row>
    <row r="346" spans="1:63" x14ac:dyDescent="0.3">
      <c r="A346" s="2">
        <v>345</v>
      </c>
      <c r="B346" s="2">
        <f t="shared" ca="1" si="310"/>
        <v>0.99205051230871522</v>
      </c>
      <c r="C346" s="2">
        <f t="shared" ca="1" si="311"/>
        <v>7.8739088608086609</v>
      </c>
      <c r="D346" s="2">
        <f t="shared" ca="1" si="312"/>
        <v>0.8672430926934187</v>
      </c>
      <c r="E346" s="2">
        <f t="shared" ca="1" si="313"/>
        <v>7.9847196737569321</v>
      </c>
      <c r="F346" s="2">
        <f t="shared" ca="1" si="314"/>
        <v>0.20552433013262272</v>
      </c>
      <c r="G346" s="2">
        <f t="shared" ca="1" si="315"/>
        <v>1.5338511578338231E-2</v>
      </c>
      <c r="H346" s="2">
        <f t="shared" ca="1" si="316"/>
        <v>1.5338511578338231E-2</v>
      </c>
      <c r="I346" s="2">
        <f t="shared" ca="1" si="317"/>
        <v>5.0332371608711957E-2</v>
      </c>
      <c r="J346" s="2">
        <f t="shared" ca="1" si="318"/>
        <v>1.7918026608734847E-3</v>
      </c>
      <c r="K346" s="2">
        <f t="shared" ca="1" si="319"/>
        <v>1.7918026608734847E-3</v>
      </c>
      <c r="L346" s="2">
        <f t="shared" ca="1" si="320"/>
        <v>0.33934561065416846</v>
      </c>
      <c r="M346" s="2">
        <f t="shared" ca="1" si="321"/>
        <v>-8.2849947055516331E-3</v>
      </c>
      <c r="N346" s="2">
        <f t="shared" ca="1" si="322"/>
        <v>-8.2849947055516331E-3</v>
      </c>
      <c r="O346" s="2">
        <f t="shared" si="323"/>
        <v>6000000</v>
      </c>
      <c r="P346" s="2">
        <f t="shared" ca="1" si="324"/>
        <v>47243453.164851964</v>
      </c>
      <c r="Q346" s="2">
        <f t="shared" ca="1" si="325"/>
        <v>1181086.3291212991</v>
      </c>
      <c r="R346" s="2">
        <f t="shared" ca="1" si="326"/>
        <v>28346071.898911178</v>
      </c>
      <c r="S346" s="2">
        <f t="shared" ca="1" si="327"/>
        <v>18897381.265940785</v>
      </c>
      <c r="T346" s="2">
        <f t="shared" ca="1" si="328"/>
        <v>49585750.264722414</v>
      </c>
      <c r="U346" s="2">
        <f t="shared" ca="1" si="329"/>
        <v>50346321.869278446</v>
      </c>
      <c r="V346" s="2">
        <f t="shared" ca="1" si="330"/>
        <v>51118559.510197118</v>
      </c>
      <c r="W346" s="2">
        <f t="shared" ca="1" si="331"/>
        <v>51902642.127112247</v>
      </c>
      <c r="X346" s="2">
        <f t="shared" ca="1" si="332"/>
        <v>52698751.404325306</v>
      </c>
      <c r="Y346" s="2">
        <f t="shared" ca="1" si="333"/>
        <v>0.12089590133043673</v>
      </c>
      <c r="Z346" s="2">
        <f t="shared" ca="1" si="334"/>
        <v>0.12125426186261143</v>
      </c>
      <c r="AA346" s="2">
        <f t="shared" ca="1" si="335"/>
        <v>5994713.9713995578</v>
      </c>
      <c r="AB346" s="2">
        <f t="shared" ca="1" si="336"/>
        <v>6104706.0957568092</v>
      </c>
      <c r="AC346" s="2">
        <f t="shared" ca="1" si="337"/>
        <v>6198343.2008889271</v>
      </c>
      <c r="AD346" s="2">
        <f t="shared" ca="1" si="338"/>
        <v>6293416.5598422755</v>
      </c>
      <c r="AE346" s="2">
        <f t="shared" ca="1" si="339"/>
        <v>6389948.2026127223</v>
      </c>
      <c r="AF346" s="2">
        <f t="shared" ca="1" si="340"/>
        <v>991715.00529444835</v>
      </c>
      <c r="AG346" s="2">
        <f t="shared" ca="1" si="341"/>
        <v>1006926.437385569</v>
      </c>
      <c r="AH346" s="2">
        <f t="shared" ca="1" si="342"/>
        <v>1022371.1902039424</v>
      </c>
      <c r="AI346" s="2">
        <f t="shared" ca="1" si="343"/>
        <v>1038052.8425422449</v>
      </c>
      <c r="AJ346" s="2">
        <f t="shared" ca="1" si="344"/>
        <v>1053975.0280865061</v>
      </c>
      <c r="AK346" s="2">
        <f t="shared" ca="1" si="345"/>
        <v>0</v>
      </c>
      <c r="AL346" s="2">
        <f t="shared" ca="1" si="346"/>
        <v>7605.7160455603153</v>
      </c>
      <c r="AM346" s="2">
        <f t="shared" ca="1" si="347"/>
        <v>7722.3764091867206</v>
      </c>
      <c r="AN346" s="2">
        <f t="shared" ca="1" si="348"/>
        <v>7840.8261691512917</v>
      </c>
      <c r="AO346" s="2">
        <f t="shared" ca="1" si="349"/>
        <v>7961.0927721305934</v>
      </c>
      <c r="AP346" s="2">
        <f t="shared" ca="1" si="350"/>
        <v>2551146.4709020061</v>
      </c>
      <c r="AQ346" s="2">
        <f t="shared" ca="1" si="351"/>
        <v>637481.64875280682</v>
      </c>
      <c r="AR346" s="2">
        <f t="shared" ca="1" si="352"/>
        <v>662124.62874200079</v>
      </c>
      <c r="AS346" s="2">
        <f t="shared" ca="1" si="353"/>
        <v>682454.64034357446</v>
      </c>
      <c r="AT346" s="2">
        <f t="shared" ca="1" si="354"/>
        <v>703096.48406348634</v>
      </c>
      <c r="AU346" s="2">
        <f t="shared" ca="1" si="355"/>
        <v>724054.94294229476</v>
      </c>
      <c r="AV346" s="2">
        <f t="shared" ca="1" si="356"/>
        <v>1814370.8464502962</v>
      </c>
      <c r="AW346" s="2">
        <f t="shared" ca="1" si="357"/>
        <v>1876902.8426816724</v>
      </c>
      <c r="AX346" s="2">
        <f t="shared" ca="1" si="358"/>
        <v>1934648.5230302168</v>
      </c>
      <c r="AY346" s="2">
        <f t="shared" ca="1" si="359"/>
        <v>1993279.9361653868</v>
      </c>
      <c r="AZ346" s="2">
        <f t="shared" ca="1" si="360"/>
        <v>2052810.6679097852</v>
      </c>
      <c r="BA346" s="2">
        <f t="shared" ca="1" si="361"/>
        <v>51021945.127689548</v>
      </c>
      <c r="BB346" s="2">
        <f t="shared" ca="1" si="362"/>
        <v>1020438.9025537909</v>
      </c>
      <c r="BC346" s="2">
        <f t="shared" ca="1" si="363"/>
        <v>21655434.32622458</v>
      </c>
      <c r="BD346" s="2">
        <f t="shared" ca="1" si="364"/>
        <v>-20578467.595062084</v>
      </c>
      <c r="BE346" s="2">
        <f t="shared" ca="1" si="365"/>
        <v>1814370.8464502962</v>
      </c>
      <c r="BF346" s="2">
        <f t="shared" ca="1" si="366"/>
        <v>1876902.8426816724</v>
      </c>
      <c r="BG346" s="2">
        <f t="shared" ca="1" si="367"/>
        <v>1934648.5230302168</v>
      </c>
      <c r="BH346" s="2">
        <f t="shared" ca="1" si="368"/>
        <v>1993279.9361653868</v>
      </c>
      <c r="BI346" s="2">
        <f t="shared" ca="1" si="369"/>
        <v>23708244.994134367</v>
      </c>
      <c r="BJ346" s="2">
        <f t="shared" ca="1" si="370"/>
        <v>0.10198193549252088</v>
      </c>
      <c r="BK346" s="2">
        <f t="shared" ca="1" si="371"/>
        <v>-1365733.2185363322</v>
      </c>
    </row>
    <row r="347" spans="1:63" x14ac:dyDescent="0.3">
      <c r="A347" s="2">
        <v>346</v>
      </c>
      <c r="B347" s="2">
        <f t="shared" ca="1" si="310"/>
        <v>0.32459410681192047</v>
      </c>
      <c r="C347" s="2">
        <f t="shared" ca="1" si="311"/>
        <v>6.8057221690035847</v>
      </c>
      <c r="D347" s="2">
        <f t="shared" ca="1" si="312"/>
        <v>0.70028792417783903</v>
      </c>
      <c r="E347" s="2">
        <f t="shared" ca="1" si="313"/>
        <v>7.7257751285031446</v>
      </c>
      <c r="F347" s="2">
        <f t="shared" ca="1" si="314"/>
        <v>9.9786024845774257E-2</v>
      </c>
      <c r="G347" s="2">
        <f t="shared" ca="1" si="315"/>
        <v>1.5168471212419002E-3</v>
      </c>
      <c r="H347" s="2">
        <f t="shared" ca="1" si="316"/>
        <v>1.5168471212419002E-3</v>
      </c>
      <c r="I347" s="2">
        <f t="shared" ca="1" si="317"/>
        <v>0.76795188715819862</v>
      </c>
      <c r="J347" s="2">
        <f t="shared" ca="1" si="318"/>
        <v>1.3660592642154152E-2</v>
      </c>
      <c r="K347" s="2">
        <f t="shared" ca="1" si="319"/>
        <v>1.3660592642154152E-2</v>
      </c>
      <c r="L347" s="2">
        <f t="shared" ca="1" si="320"/>
        <v>0.29599431381791863</v>
      </c>
      <c r="M347" s="2">
        <f t="shared" ca="1" si="321"/>
        <v>-1.0719129622567429E-2</v>
      </c>
      <c r="N347" s="2">
        <f t="shared" ca="1" si="322"/>
        <v>-1.0719129622567429E-2</v>
      </c>
      <c r="O347" s="2">
        <f t="shared" si="323"/>
        <v>6000000</v>
      </c>
      <c r="P347" s="2">
        <f t="shared" ca="1" si="324"/>
        <v>40834333.014021508</v>
      </c>
      <c r="Q347" s="2">
        <f t="shared" ca="1" si="325"/>
        <v>1020858.3253505378</v>
      </c>
      <c r="R347" s="2">
        <f t="shared" ca="1" si="326"/>
        <v>24500599.808412906</v>
      </c>
      <c r="S347" s="2">
        <f t="shared" ca="1" si="327"/>
        <v>16333733.205608604</v>
      </c>
      <c r="T347" s="2">
        <f t="shared" ca="1" si="328"/>
        <v>49464043.518871628</v>
      </c>
      <c r="U347" s="2">
        <f t="shared" ca="1" si="329"/>
        <v>49539072.91088821</v>
      </c>
      <c r="V347" s="2">
        <f t="shared" ca="1" si="330"/>
        <v>49614216.111022085</v>
      </c>
      <c r="W347" s="2">
        <f t="shared" ca="1" si="331"/>
        <v>49689473.291902766</v>
      </c>
      <c r="X347" s="2">
        <f t="shared" ca="1" si="332"/>
        <v>49764844.626421615</v>
      </c>
      <c r="Y347" s="2">
        <f t="shared" ca="1" si="333"/>
        <v>0.12683029632107706</v>
      </c>
      <c r="Z347" s="2">
        <f t="shared" ca="1" si="334"/>
        <v>0.1295624148495079</v>
      </c>
      <c r="AA347" s="2">
        <f t="shared" ca="1" si="335"/>
        <v>6273539.29673714</v>
      </c>
      <c r="AB347" s="2">
        <f t="shared" ca="1" si="336"/>
        <v>6418401.915740517</v>
      </c>
      <c r="AC347" s="2">
        <f t="shared" ca="1" si="337"/>
        <v>6428137.6502093812</v>
      </c>
      <c r="AD347" s="2">
        <f t="shared" ca="1" si="338"/>
        <v>6437888.1522990484</v>
      </c>
      <c r="AE347" s="2">
        <f t="shared" ca="1" si="339"/>
        <v>6447653.4444097411</v>
      </c>
      <c r="AF347" s="2">
        <f t="shared" ca="1" si="340"/>
        <v>989280.87037743255</v>
      </c>
      <c r="AG347" s="2">
        <f t="shared" ca="1" si="341"/>
        <v>990781.45821776427</v>
      </c>
      <c r="AH347" s="2">
        <f t="shared" ca="1" si="342"/>
        <v>992284.32222044177</v>
      </c>
      <c r="AI347" s="2">
        <f t="shared" ca="1" si="343"/>
        <v>993789.46583805536</v>
      </c>
      <c r="AJ347" s="2">
        <f t="shared" ca="1" si="344"/>
        <v>995296.8925284323</v>
      </c>
      <c r="AK347" s="2">
        <f t="shared" ca="1" si="345"/>
        <v>0</v>
      </c>
      <c r="AL347" s="2">
        <f t="shared" ca="1" si="346"/>
        <v>750.29392016582187</v>
      </c>
      <c r="AM347" s="2">
        <f t="shared" ca="1" si="347"/>
        <v>751.43200133875018</v>
      </c>
      <c r="AN347" s="2">
        <f t="shared" ca="1" si="348"/>
        <v>752.57180880680687</v>
      </c>
      <c r="AO347" s="2">
        <f t="shared" ca="1" si="349"/>
        <v>753.71334518849847</v>
      </c>
      <c r="AP347" s="2">
        <f t="shared" ca="1" si="350"/>
        <v>2205053.9827571614</v>
      </c>
      <c r="AQ347" s="2">
        <f t="shared" ca="1" si="351"/>
        <v>800593.15533666196</v>
      </c>
      <c r="AR347" s="2">
        <f t="shared" ca="1" si="352"/>
        <v>837867.2834390538</v>
      </c>
      <c r="AS347" s="2">
        <f t="shared" ca="1" si="353"/>
        <v>840007.82976026228</v>
      </c>
      <c r="AT347" s="2">
        <f t="shared" ca="1" si="354"/>
        <v>842151.62296299636</v>
      </c>
      <c r="AU347" s="2">
        <f t="shared" ca="1" si="355"/>
        <v>844298.66797227832</v>
      </c>
      <c r="AV347" s="2">
        <f t="shared" ca="1" si="356"/>
        <v>2278611.2882658839</v>
      </c>
      <c r="AW347" s="2">
        <f t="shared" ca="1" si="357"/>
        <v>2383948.8974063713</v>
      </c>
      <c r="AX347" s="2">
        <f t="shared" ca="1" si="358"/>
        <v>2390040.0834701778</v>
      </c>
      <c r="AY347" s="2">
        <f t="shared" ca="1" si="359"/>
        <v>2396140.5089320289</v>
      </c>
      <c r="AZ347" s="2">
        <f t="shared" ca="1" si="360"/>
        <v>2402250.1878066799</v>
      </c>
      <c r="BA347" s="2">
        <f t="shared" ca="1" si="361"/>
        <v>49813120.61802841</v>
      </c>
      <c r="BB347" s="2">
        <f t="shared" ca="1" si="362"/>
        <v>996262.41236056818</v>
      </c>
      <c r="BC347" s="2">
        <f t="shared" ca="1" si="363"/>
        <v>24316258.397254936</v>
      </c>
      <c r="BD347" s="2">
        <f t="shared" ca="1" si="364"/>
        <v>-17854591.530959141</v>
      </c>
      <c r="BE347" s="2">
        <f t="shared" ca="1" si="365"/>
        <v>2278611.2882658839</v>
      </c>
      <c r="BF347" s="2">
        <f t="shared" ca="1" si="366"/>
        <v>2383948.8974063713</v>
      </c>
      <c r="BG347" s="2">
        <f t="shared" ca="1" si="367"/>
        <v>2390040.0834701778</v>
      </c>
      <c r="BH347" s="2">
        <f t="shared" ca="1" si="368"/>
        <v>2396140.5089320289</v>
      </c>
      <c r="BI347" s="2">
        <f t="shared" ca="1" si="369"/>
        <v>26718508.585061617</v>
      </c>
      <c r="BJ347" s="2">
        <f t="shared" ca="1" si="370"/>
        <v>0.18256762144820171</v>
      </c>
      <c r="BK347" s="2">
        <f t="shared" ca="1" si="371"/>
        <v>4465125.5496035889</v>
      </c>
    </row>
    <row r="348" spans="1:63" x14ac:dyDescent="0.3">
      <c r="A348" s="2">
        <v>347</v>
      </c>
      <c r="B348" s="2">
        <f t="shared" ca="1" si="310"/>
        <v>0.31499876241161207</v>
      </c>
      <c r="C348" s="2">
        <f t="shared" ca="1" si="311"/>
        <v>6.7937238341030364</v>
      </c>
      <c r="D348" s="2">
        <f t="shared" ca="1" si="312"/>
        <v>0.75921680754213261</v>
      </c>
      <c r="E348" s="2">
        <f t="shared" ca="1" si="313"/>
        <v>7.8060501567723106</v>
      </c>
      <c r="F348" s="2">
        <f t="shared" ca="1" si="314"/>
        <v>0.36363243344880025</v>
      </c>
      <c r="G348" s="2">
        <f t="shared" ca="1" si="315"/>
        <v>2.9537015056866758E-2</v>
      </c>
      <c r="H348" s="2">
        <f t="shared" ca="1" si="316"/>
        <v>2.9537015056866758E-2</v>
      </c>
      <c r="I348" s="2">
        <f t="shared" ca="1" si="317"/>
        <v>0.32305289278953131</v>
      </c>
      <c r="J348" s="2">
        <f t="shared" ca="1" si="318"/>
        <v>7.7041060862423211E-3</v>
      </c>
      <c r="K348" s="2">
        <f t="shared" ca="1" si="319"/>
        <v>7.7041060862423211E-3</v>
      </c>
      <c r="L348" s="2">
        <f t="shared" ca="1" si="320"/>
        <v>0.424152834109085</v>
      </c>
      <c r="M348" s="2">
        <f t="shared" ca="1" si="321"/>
        <v>-3.8256143283832791E-3</v>
      </c>
      <c r="N348" s="2">
        <f t="shared" ca="1" si="322"/>
        <v>-3.8256143283832791E-3</v>
      </c>
      <c r="O348" s="2">
        <f t="shared" si="323"/>
        <v>6000000</v>
      </c>
      <c r="P348" s="2">
        <f t="shared" ca="1" si="324"/>
        <v>40762343.00461822</v>
      </c>
      <c r="Q348" s="2">
        <f t="shared" ca="1" si="325"/>
        <v>1019058.5751154555</v>
      </c>
      <c r="R348" s="2">
        <f t="shared" ca="1" si="326"/>
        <v>24457405.802770931</v>
      </c>
      <c r="S348" s="2">
        <f t="shared" ca="1" si="327"/>
        <v>16304937.201847289</v>
      </c>
      <c r="T348" s="2">
        <f t="shared" ca="1" si="328"/>
        <v>49808719.28358084</v>
      </c>
      <c r="U348" s="2">
        <f t="shared" ca="1" si="329"/>
        <v>51279920.17502322</v>
      </c>
      <c r="V348" s="2">
        <f t="shared" ca="1" si="330"/>
        <v>52794575.949347809</v>
      </c>
      <c r="W348" s="2">
        <f t="shared" ca="1" si="331"/>
        <v>54353970.13408459</v>
      </c>
      <c r="X348" s="2">
        <f t="shared" ca="1" si="332"/>
        <v>55959424.168335535</v>
      </c>
      <c r="Y348" s="2">
        <f t="shared" ca="1" si="333"/>
        <v>0.12385205304312116</v>
      </c>
      <c r="Z348" s="2">
        <f t="shared" ca="1" si="334"/>
        <v>0.12539287426036963</v>
      </c>
      <c r="AA348" s="2">
        <f t="shared" ca="1" si="335"/>
        <v>6168912.1427199859</v>
      </c>
      <c r="AB348" s="2">
        <f t="shared" ca="1" si="336"/>
        <v>6430136.5825884789</v>
      </c>
      <c r="AC348" s="2">
        <f t="shared" ca="1" si="337"/>
        <v>6620063.6236461047</v>
      </c>
      <c r="AD348" s="2">
        <f t="shared" ca="1" si="338"/>
        <v>6815600.5425751554</v>
      </c>
      <c r="AE348" s="2">
        <f t="shared" ca="1" si="339"/>
        <v>7016913.0384227866</v>
      </c>
      <c r="AF348" s="2">
        <f t="shared" ca="1" si="340"/>
        <v>996174.38567161676</v>
      </c>
      <c r="AG348" s="2">
        <f t="shared" ca="1" si="341"/>
        <v>1025598.4035004644</v>
      </c>
      <c r="AH348" s="2">
        <f t="shared" ca="1" si="342"/>
        <v>1055891.5189869562</v>
      </c>
      <c r="AI348" s="2">
        <f t="shared" ca="1" si="343"/>
        <v>1087079.4026816918</v>
      </c>
      <c r="AJ348" s="2">
        <f t="shared" ca="1" si="344"/>
        <v>1119188.4833667106</v>
      </c>
      <c r="AK348" s="2">
        <f t="shared" ca="1" si="345"/>
        <v>0</v>
      </c>
      <c r="AL348" s="2">
        <f t="shared" ca="1" si="346"/>
        <v>14712.008914423808</v>
      </c>
      <c r="AM348" s="2">
        <f t="shared" ca="1" si="347"/>
        <v>15146.557743245885</v>
      </c>
      <c r="AN348" s="2">
        <f t="shared" ca="1" si="348"/>
        <v>15593.941847367809</v>
      </c>
      <c r="AO348" s="2">
        <f t="shared" ca="1" si="349"/>
        <v>16054.540342509448</v>
      </c>
      <c r="AP348" s="2">
        <f t="shared" ca="1" si="350"/>
        <v>2201166.5222493839</v>
      </c>
      <c r="AQ348" s="2">
        <f t="shared" ca="1" si="351"/>
        <v>772608.52104773629</v>
      </c>
      <c r="AR348" s="2">
        <f t="shared" ca="1" si="352"/>
        <v>832876.63077804388</v>
      </c>
      <c r="AS348" s="2">
        <f t="shared" ca="1" si="353"/>
        <v>874381.45142653887</v>
      </c>
      <c r="AT348" s="2">
        <f t="shared" ca="1" si="354"/>
        <v>917112.20058746077</v>
      </c>
      <c r="AU348" s="2">
        <f t="shared" ca="1" si="355"/>
        <v>961105.08852974011</v>
      </c>
      <c r="AV348" s="2">
        <f t="shared" ca="1" si="356"/>
        <v>2198962.713751249</v>
      </c>
      <c r="AW348" s="2">
        <f t="shared" ca="1" si="357"/>
        <v>2355783.0171461627</v>
      </c>
      <c r="AX348" s="2">
        <f t="shared" ca="1" si="358"/>
        <v>2473477.5732399803</v>
      </c>
      <c r="AY348" s="2">
        <f t="shared" ca="1" si="359"/>
        <v>2594648.475209251</v>
      </c>
      <c r="AZ348" s="2">
        <f t="shared" ca="1" si="360"/>
        <v>2719398.4039344424</v>
      </c>
      <c r="BA348" s="2">
        <f t="shared" ca="1" si="361"/>
        <v>54774375.123637863</v>
      </c>
      <c r="BB348" s="2">
        <f t="shared" ca="1" si="362"/>
        <v>1095487.5024727574</v>
      </c>
      <c r="BC348" s="2">
        <f t="shared" ca="1" si="363"/>
        <v>29221481.818394173</v>
      </c>
      <c r="BD348" s="2">
        <f t="shared" ca="1" si="364"/>
        <v>-17823995.776962746</v>
      </c>
      <c r="BE348" s="2">
        <f t="shared" ca="1" si="365"/>
        <v>2198962.713751249</v>
      </c>
      <c r="BF348" s="2">
        <f t="shared" ca="1" si="366"/>
        <v>2355783.0171461627</v>
      </c>
      <c r="BG348" s="2">
        <f t="shared" ca="1" si="367"/>
        <v>2473477.5732399803</v>
      </c>
      <c r="BH348" s="2">
        <f t="shared" ca="1" si="368"/>
        <v>2594648.475209251</v>
      </c>
      <c r="BI348" s="2">
        <f t="shared" ca="1" si="369"/>
        <v>31940880.222328614</v>
      </c>
      <c r="BJ348" s="2">
        <f t="shared" ca="1" si="370"/>
        <v>0.21854214900263935</v>
      </c>
      <c r="BK348" s="2">
        <f t="shared" ca="1" si="371"/>
        <v>7551011.313577164</v>
      </c>
    </row>
    <row r="349" spans="1:63" x14ac:dyDescent="0.3">
      <c r="A349" s="2">
        <v>348</v>
      </c>
      <c r="B349" s="2">
        <f t="shared" ca="1" si="310"/>
        <v>1.3762314959584132E-2</v>
      </c>
      <c r="C349" s="2">
        <f t="shared" ca="1" si="311"/>
        <v>6.1659054848977819</v>
      </c>
      <c r="D349" s="2">
        <f t="shared" ca="1" si="312"/>
        <v>0.13847995441212757</v>
      </c>
      <c r="E349" s="2">
        <f t="shared" ca="1" si="313"/>
        <v>7.0262698061111379</v>
      </c>
      <c r="F349" s="2">
        <f t="shared" ca="1" si="314"/>
        <v>0.17841351970429031</v>
      </c>
      <c r="G349" s="2">
        <f t="shared" ca="1" si="315"/>
        <v>1.2357161358426124E-2</v>
      </c>
      <c r="H349" s="2">
        <f t="shared" ca="1" si="316"/>
        <v>1.2357161358426124E-2</v>
      </c>
      <c r="I349" s="2">
        <f t="shared" ca="1" si="317"/>
        <v>0.12432823171185503</v>
      </c>
      <c r="J349" s="2">
        <f t="shared" ca="1" si="318"/>
        <v>4.2319057089910926E-3</v>
      </c>
      <c r="K349" s="2">
        <f t="shared" ca="1" si="319"/>
        <v>4.2319057089910926E-3</v>
      </c>
      <c r="L349" s="2">
        <f t="shared" ca="1" si="320"/>
        <v>0.37320728148874627</v>
      </c>
      <c r="M349" s="2">
        <f t="shared" ca="1" si="321"/>
        <v>-6.4674127738149978E-3</v>
      </c>
      <c r="N349" s="2">
        <f t="shared" ca="1" si="322"/>
        <v>-6.4674127738149978E-3</v>
      </c>
      <c r="O349" s="2">
        <f t="shared" si="323"/>
        <v>6000000</v>
      </c>
      <c r="P349" s="2">
        <f t="shared" ca="1" si="324"/>
        <v>36995432.909386694</v>
      </c>
      <c r="Q349" s="2">
        <f t="shared" ca="1" si="325"/>
        <v>924885.82273466745</v>
      </c>
      <c r="R349" s="2">
        <f t="shared" ca="1" si="326"/>
        <v>22197259.745632015</v>
      </c>
      <c r="S349" s="2">
        <f t="shared" ca="1" si="327"/>
        <v>14798173.163754679</v>
      </c>
      <c r="T349" s="2">
        <f t="shared" ca="1" si="328"/>
        <v>49676629.361309253</v>
      </c>
      <c r="U349" s="2">
        <f t="shared" ca="1" si="329"/>
        <v>50290491.486069679</v>
      </c>
      <c r="V349" s="2">
        <f t="shared" ca="1" si="330"/>
        <v>50911939.204157598</v>
      </c>
      <c r="W349" s="2">
        <f t="shared" ca="1" si="331"/>
        <v>51541066.251973756</v>
      </c>
      <c r="X349" s="2">
        <f t="shared" ca="1" si="332"/>
        <v>52177967.524234727</v>
      </c>
      <c r="Y349" s="2">
        <f t="shared" ca="1" si="333"/>
        <v>0.12211595285449554</v>
      </c>
      <c r="Z349" s="2">
        <f t="shared" ca="1" si="334"/>
        <v>0.12296233399629376</v>
      </c>
      <c r="AA349" s="2">
        <f t="shared" ca="1" si="335"/>
        <v>6066308.9290558901</v>
      </c>
      <c r="AB349" s="2">
        <f t="shared" ca="1" si="336"/>
        <v>6183836.2109478675</v>
      </c>
      <c r="AC349" s="2">
        <f t="shared" ca="1" si="337"/>
        <v>6260250.8728206288</v>
      </c>
      <c r="AD349" s="2">
        <f t="shared" ca="1" si="338"/>
        <v>6337609.8030003021</v>
      </c>
      <c r="AE349" s="2">
        <f t="shared" ca="1" si="339"/>
        <v>6415924.66996272</v>
      </c>
      <c r="AF349" s="2">
        <f t="shared" ca="1" si="340"/>
        <v>993532.58722618502</v>
      </c>
      <c r="AG349" s="2">
        <f t="shared" ca="1" si="341"/>
        <v>1005809.8297213936</v>
      </c>
      <c r="AH349" s="2">
        <f t="shared" ca="1" si="342"/>
        <v>1018238.784083152</v>
      </c>
      <c r="AI349" s="2">
        <f t="shared" ca="1" si="343"/>
        <v>1030821.3250394751</v>
      </c>
      <c r="AJ349" s="2">
        <f t="shared" ca="1" si="344"/>
        <v>1043559.3504846946</v>
      </c>
      <c r="AK349" s="2">
        <f t="shared" ca="1" si="345"/>
        <v>0</v>
      </c>
      <c r="AL349" s="2">
        <f t="shared" ca="1" si="346"/>
        <v>6138.6212476042656</v>
      </c>
      <c r="AM349" s="2">
        <f t="shared" ca="1" si="347"/>
        <v>6214.4771808791911</v>
      </c>
      <c r="AN349" s="2">
        <f t="shared" ca="1" si="348"/>
        <v>6291.2704781615739</v>
      </c>
      <c r="AO349" s="2">
        <f t="shared" ca="1" si="349"/>
        <v>6369.0127226097138</v>
      </c>
      <c r="AP349" s="2">
        <f t="shared" ca="1" si="350"/>
        <v>1997753.3771068812</v>
      </c>
      <c r="AQ349" s="2">
        <f t="shared" ca="1" si="351"/>
        <v>799505.97082793422</v>
      </c>
      <c r="AR349" s="2">
        <f t="shared" ca="1" si="352"/>
        <v>826870.98107109405</v>
      </c>
      <c r="AS349" s="2">
        <f t="shared" ca="1" si="353"/>
        <v>843507.26502395479</v>
      </c>
      <c r="AT349" s="2">
        <f t="shared" ca="1" si="354"/>
        <v>860349.12622202584</v>
      </c>
      <c r="AU349" s="2">
        <f t="shared" ca="1" si="355"/>
        <v>877399.10501649755</v>
      </c>
      <c r="AV349" s="2">
        <f t="shared" ca="1" si="356"/>
        <v>2275516.9938948895</v>
      </c>
      <c r="AW349" s="2">
        <f t="shared" ca="1" si="357"/>
        <v>2347263.4018008937</v>
      </c>
      <c r="AX349" s="2">
        <f t="shared" ca="1" si="358"/>
        <v>2394536.9694257607</v>
      </c>
      <c r="AY349" s="2">
        <f t="shared" ca="1" si="359"/>
        <v>2442394.704153758</v>
      </c>
      <c r="AZ349" s="2">
        <f t="shared" ca="1" si="360"/>
        <v>2490843.824632037</v>
      </c>
      <c r="BA349" s="2">
        <f t="shared" ca="1" si="361"/>
        <v>45080017.786842629</v>
      </c>
      <c r="BB349" s="2">
        <f t="shared" ca="1" si="362"/>
        <v>901600.35573685262</v>
      </c>
      <c r="BC349" s="2">
        <f t="shared" ca="1" si="363"/>
        <v>21981157.685473762</v>
      </c>
      <c r="BD349" s="2">
        <f t="shared" ca="1" si="364"/>
        <v>-16223058.986489346</v>
      </c>
      <c r="BE349" s="2">
        <f t="shared" ca="1" si="365"/>
        <v>2275516.9938948895</v>
      </c>
      <c r="BF349" s="2">
        <f t="shared" ca="1" si="366"/>
        <v>2347263.4018008937</v>
      </c>
      <c r="BG349" s="2">
        <f t="shared" ca="1" si="367"/>
        <v>2394536.9694257607</v>
      </c>
      <c r="BH349" s="2">
        <f t="shared" ca="1" si="368"/>
        <v>2442394.704153758</v>
      </c>
      <c r="BI349" s="2">
        <f t="shared" ca="1" si="369"/>
        <v>24472001.5101058</v>
      </c>
      <c r="BJ349" s="2">
        <f t="shared" ca="1" si="370"/>
        <v>0.1944063434069967</v>
      </c>
      <c r="BK349" s="2">
        <f t="shared" ca="1" si="371"/>
        <v>4822517.6047240924</v>
      </c>
    </row>
    <row r="350" spans="1:63" x14ac:dyDescent="0.3">
      <c r="A350" s="2">
        <v>349</v>
      </c>
      <c r="B350" s="2">
        <f t="shared" ca="1" si="310"/>
        <v>0.95728413061206663</v>
      </c>
      <c r="C350" s="2">
        <f t="shared" ca="1" si="311"/>
        <v>7.7077129171929304</v>
      </c>
      <c r="D350" s="2">
        <f t="shared" ca="1" si="312"/>
        <v>0.91227171649175398</v>
      </c>
      <c r="E350" s="2">
        <f t="shared" ca="1" si="313"/>
        <v>8.0811246402371086</v>
      </c>
      <c r="F350" s="2">
        <f t="shared" ca="1" si="314"/>
        <v>0.76898828548798726</v>
      </c>
      <c r="G350" s="2">
        <f t="shared" ca="1" si="315"/>
        <v>6.2065572163817057E-2</v>
      </c>
      <c r="H350" s="2">
        <f t="shared" ca="1" si="316"/>
        <v>6.2065572163817057E-2</v>
      </c>
      <c r="I350" s="2">
        <f t="shared" ca="1" si="317"/>
        <v>0.77563675223872064</v>
      </c>
      <c r="J350" s="2">
        <f t="shared" ca="1" si="318"/>
        <v>1.378769929482598E-2</v>
      </c>
      <c r="K350" s="2">
        <f t="shared" ca="1" si="319"/>
        <v>1.378769929482598E-2</v>
      </c>
      <c r="L350" s="2">
        <f t="shared" ca="1" si="320"/>
        <v>0.25243361596391156</v>
      </c>
      <c r="M350" s="2">
        <f t="shared" ca="1" si="321"/>
        <v>-1.333702252251481E-2</v>
      </c>
      <c r="N350" s="2">
        <f t="shared" ca="1" si="322"/>
        <v>-1.333702252251481E-2</v>
      </c>
      <c r="O350" s="2">
        <f t="shared" si="323"/>
        <v>6000000</v>
      </c>
      <c r="P350" s="2">
        <f t="shared" ca="1" si="324"/>
        <v>46246277.503157586</v>
      </c>
      <c r="Q350" s="2">
        <f t="shared" ca="1" si="325"/>
        <v>1156156.9375789396</v>
      </c>
      <c r="R350" s="2">
        <f t="shared" ca="1" si="326"/>
        <v>27747766.501894552</v>
      </c>
      <c r="S350" s="2">
        <f t="shared" ca="1" si="327"/>
        <v>18498511.001263034</v>
      </c>
      <c r="T350" s="2">
        <f t="shared" ca="1" si="328"/>
        <v>49333148.873874262</v>
      </c>
      <c r="U350" s="2">
        <f t="shared" ca="1" si="329"/>
        <v>52395038.985374033</v>
      </c>
      <c r="V350" s="2">
        <f t="shared" ca="1" si="330"/>
        <v>55646967.058546774</v>
      </c>
      <c r="W350" s="2">
        <f t="shared" ca="1" si="331"/>
        <v>59100727.908216558</v>
      </c>
      <c r="X350" s="2">
        <f t="shared" ca="1" si="332"/>
        <v>62768848.40113809</v>
      </c>
      <c r="Y350" s="2">
        <f t="shared" ca="1" si="333"/>
        <v>0.12689384964741299</v>
      </c>
      <c r="Z350" s="2">
        <f t="shared" ca="1" si="334"/>
        <v>0.12965138950637817</v>
      </c>
      <c r="AA350" s="2">
        <f t="shared" ca="1" si="335"/>
        <v>6260073.175834842</v>
      </c>
      <c r="AB350" s="2">
        <f t="shared" ca="1" si="336"/>
        <v>6793089.6076945979</v>
      </c>
      <c r="AC350" s="2">
        <f t="shared" ca="1" si="337"/>
        <v>7214706.6009562425</v>
      </c>
      <c r="AD350" s="2">
        <f t="shared" ca="1" si="338"/>
        <v>7662491.4941386599</v>
      </c>
      <c r="AE350" s="2">
        <f t="shared" ca="1" si="339"/>
        <v>8138068.4129227567</v>
      </c>
      <c r="AF350" s="2">
        <f t="shared" ca="1" si="340"/>
        <v>986662.97747748531</v>
      </c>
      <c r="AG350" s="2">
        <f t="shared" ca="1" si="341"/>
        <v>1047900.7797074807</v>
      </c>
      <c r="AH350" s="2">
        <f t="shared" ca="1" si="342"/>
        <v>1112939.3411709354</v>
      </c>
      <c r="AI350" s="2">
        <f t="shared" ca="1" si="343"/>
        <v>1182014.5581643311</v>
      </c>
      <c r="AJ350" s="2">
        <f t="shared" ca="1" si="344"/>
        <v>1255376.9680227619</v>
      </c>
      <c r="AK350" s="2">
        <f t="shared" ca="1" si="345"/>
        <v>0</v>
      </c>
      <c r="AL350" s="2">
        <f t="shared" ca="1" si="346"/>
        <v>30618.901114997716</v>
      </c>
      <c r="AM350" s="2">
        <f t="shared" ca="1" si="347"/>
        <v>32519.280731727406</v>
      </c>
      <c r="AN350" s="2">
        <f t="shared" ca="1" si="348"/>
        <v>34537.608496697845</v>
      </c>
      <c r="AO350" s="2">
        <f t="shared" ca="1" si="349"/>
        <v>36681.20492921531</v>
      </c>
      <c r="AP350" s="2">
        <f t="shared" ca="1" si="350"/>
        <v>2497298.9851705097</v>
      </c>
      <c r="AQ350" s="2">
        <f t="shared" ca="1" si="351"/>
        <v>721788.91542858025</v>
      </c>
      <c r="AR350" s="2">
        <f t="shared" ca="1" si="352"/>
        <v>844451.35913231806</v>
      </c>
      <c r="AS350" s="2">
        <f t="shared" ca="1" si="353"/>
        <v>937161.75139984745</v>
      </c>
      <c r="AT350" s="2">
        <f t="shared" ca="1" si="354"/>
        <v>1035626.267208993</v>
      </c>
      <c r="AU350" s="2">
        <f t="shared" ca="1" si="355"/>
        <v>1140202.0395296663</v>
      </c>
      <c r="AV350" s="2">
        <f t="shared" ca="1" si="356"/>
        <v>2054322.2977582663</v>
      </c>
      <c r="AW350" s="2">
        <f t="shared" ca="1" si="357"/>
        <v>2372819.5825692927</v>
      </c>
      <c r="AX350" s="2">
        <f t="shared" ca="1" si="358"/>
        <v>2634787.2424832229</v>
      </c>
      <c r="AY350" s="2">
        <f t="shared" ca="1" si="359"/>
        <v>2913014.075098129</v>
      </c>
      <c r="AZ350" s="2">
        <f t="shared" ca="1" si="360"/>
        <v>3208509.215270604</v>
      </c>
      <c r="BA350" s="2">
        <f t="shared" ca="1" si="361"/>
        <v>65764745.175605394</v>
      </c>
      <c r="BB350" s="2">
        <f t="shared" ca="1" si="362"/>
        <v>1315294.9035121079</v>
      </c>
      <c r="BC350" s="2">
        <f t="shared" ca="1" si="363"/>
        <v>36701683.770198733</v>
      </c>
      <c r="BD350" s="2">
        <f t="shared" ca="1" si="364"/>
        <v>-20154667.938841973</v>
      </c>
      <c r="BE350" s="2">
        <f t="shared" ca="1" si="365"/>
        <v>2054322.2977582663</v>
      </c>
      <c r="BF350" s="2">
        <f t="shared" ca="1" si="366"/>
        <v>2372819.5825692927</v>
      </c>
      <c r="BG350" s="2">
        <f t="shared" ca="1" si="367"/>
        <v>2634787.2424832229</v>
      </c>
      <c r="BH350" s="2">
        <f t="shared" ca="1" si="368"/>
        <v>2913014.075098129</v>
      </c>
      <c r="BI350" s="2">
        <f t="shared" ca="1" si="369"/>
        <v>39910192.985469334</v>
      </c>
      <c r="BJ350" s="2">
        <f t="shared" ca="1" si="370"/>
        <v>0.22925820141619146</v>
      </c>
      <c r="BK350" s="2">
        <f t="shared" ca="1" si="371"/>
        <v>9943923.5828298666</v>
      </c>
    </row>
    <row r="351" spans="1:63" x14ac:dyDescent="0.3">
      <c r="A351" s="2">
        <v>350</v>
      </c>
      <c r="B351" s="2">
        <f t="shared" ca="1" si="310"/>
        <v>0.41586597980540219</v>
      </c>
      <c r="C351" s="2">
        <f t="shared" ca="1" si="311"/>
        <v>6.9119933988855422</v>
      </c>
      <c r="D351" s="2">
        <f t="shared" ca="1" si="312"/>
        <v>0.56826949439232544</v>
      </c>
      <c r="E351" s="2">
        <f t="shared" ca="1" si="313"/>
        <v>7.5707739719447433</v>
      </c>
      <c r="F351" s="2">
        <f t="shared" ca="1" si="314"/>
        <v>4.0021881907084333E-2</v>
      </c>
      <c r="G351" s="2">
        <f t="shared" ca="1" si="315"/>
        <v>-1.2512965999627916E-2</v>
      </c>
      <c r="H351" s="2">
        <f t="shared" ca="1" si="316"/>
        <v>-1.2512965999627916E-2</v>
      </c>
      <c r="I351" s="2">
        <f t="shared" ca="1" si="317"/>
        <v>0.80876869685847275</v>
      </c>
      <c r="J351" s="2">
        <f t="shared" ca="1" si="318"/>
        <v>1.4366839273858959E-2</v>
      </c>
      <c r="K351" s="2">
        <f t="shared" ca="1" si="319"/>
        <v>1.4366839273858959E-2</v>
      </c>
      <c r="L351" s="2">
        <f t="shared" ca="1" si="320"/>
        <v>0.21602827797109014</v>
      </c>
      <c r="M351" s="2">
        <f t="shared" ca="1" si="321"/>
        <v>-1.571354631981486E-2</v>
      </c>
      <c r="N351" s="2">
        <f t="shared" ca="1" si="322"/>
        <v>-1.571354631981486E-2</v>
      </c>
      <c r="O351" s="2">
        <f t="shared" si="323"/>
        <v>6000000</v>
      </c>
      <c r="P351" s="2">
        <f t="shared" ca="1" si="324"/>
        <v>41471960.393313251</v>
      </c>
      <c r="Q351" s="2">
        <f t="shared" ca="1" si="325"/>
        <v>1036799.0098328313</v>
      </c>
      <c r="R351" s="2">
        <f t="shared" ca="1" si="326"/>
        <v>24883176.23598795</v>
      </c>
      <c r="S351" s="2">
        <f t="shared" ca="1" si="327"/>
        <v>16588784.157325301</v>
      </c>
      <c r="T351" s="2">
        <f t="shared" ca="1" si="328"/>
        <v>49214322.684009261</v>
      </c>
      <c r="U351" s="2">
        <f t="shared" ca="1" si="329"/>
        <v>48598505.537569538</v>
      </c>
      <c r="V351" s="2">
        <f t="shared" ca="1" si="330"/>
        <v>47990394.0901452</v>
      </c>
      <c r="W351" s="2">
        <f t="shared" ca="1" si="331"/>
        <v>47389891.920586467</v>
      </c>
      <c r="X351" s="2">
        <f t="shared" ca="1" si="332"/>
        <v>46796903.814258128</v>
      </c>
      <c r="Y351" s="2">
        <f t="shared" ca="1" si="333"/>
        <v>0.12718341963692947</v>
      </c>
      <c r="Z351" s="2">
        <f t="shared" ca="1" si="334"/>
        <v>0.13005678749170127</v>
      </c>
      <c r="AA351" s="2">
        <f t="shared" ca="1" si="335"/>
        <v>6259245.8540676069</v>
      </c>
      <c r="AB351" s="2">
        <f t="shared" ca="1" si="336"/>
        <v>6320565.5071139485</v>
      </c>
      <c r="AC351" s="2">
        <f t="shared" ca="1" si="337"/>
        <v>6241476.4858250106</v>
      </c>
      <c r="AD351" s="2">
        <f t="shared" ca="1" si="338"/>
        <v>6163377.1027704049</v>
      </c>
      <c r="AE351" s="2">
        <f t="shared" ca="1" si="339"/>
        <v>6086254.9746405538</v>
      </c>
      <c r="AF351" s="2">
        <f t="shared" ca="1" si="340"/>
        <v>984286.45368018525</v>
      </c>
      <c r="AG351" s="2">
        <f t="shared" ca="1" si="341"/>
        <v>971970.11075139081</v>
      </c>
      <c r="AH351" s="2">
        <f t="shared" ca="1" si="342"/>
        <v>959807.88180290407</v>
      </c>
      <c r="AI351" s="2">
        <f t="shared" ca="1" si="343"/>
        <v>947797.83841172932</v>
      </c>
      <c r="AJ351" s="2">
        <f t="shared" ca="1" si="344"/>
        <v>935938.07628516259</v>
      </c>
      <c r="AK351" s="2">
        <f t="shared" ca="1" si="345"/>
        <v>0</v>
      </c>
      <c r="AL351" s="2">
        <f t="shared" ca="1" si="346"/>
        <v>0</v>
      </c>
      <c r="AM351" s="2">
        <f t="shared" ca="1" si="347"/>
        <v>0</v>
      </c>
      <c r="AN351" s="2">
        <f t="shared" ca="1" si="348"/>
        <v>0</v>
      </c>
      <c r="AO351" s="2">
        <f t="shared" ca="1" si="349"/>
        <v>0</v>
      </c>
      <c r="AP351" s="2">
        <f t="shared" ca="1" si="350"/>
        <v>2239485.8612389155</v>
      </c>
      <c r="AQ351" s="2">
        <f t="shared" ca="1" si="351"/>
        <v>789223.12017861148</v>
      </c>
      <c r="AR351" s="2">
        <f t="shared" ca="1" si="352"/>
        <v>808368.47913214704</v>
      </c>
      <c r="AS351" s="2">
        <f t="shared" ca="1" si="353"/>
        <v>790967.51312362961</v>
      </c>
      <c r="AT351" s="2">
        <f t="shared" ca="1" si="354"/>
        <v>773784.28481113748</v>
      </c>
      <c r="AU351" s="2">
        <f t="shared" ca="1" si="355"/>
        <v>756816.06965028367</v>
      </c>
      <c r="AV351" s="2">
        <f t="shared" ca="1" si="356"/>
        <v>2246250.4189698938</v>
      </c>
      <c r="AW351" s="2">
        <f t="shared" ca="1" si="357"/>
        <v>2300741.055991495</v>
      </c>
      <c r="AX351" s="2">
        <f t="shared" ca="1" si="358"/>
        <v>2251215.2296595611</v>
      </c>
      <c r="AY351" s="2">
        <f t="shared" ca="1" si="359"/>
        <v>2202309.1183086224</v>
      </c>
      <c r="AZ351" s="2">
        <f t="shared" ca="1" si="360"/>
        <v>2154014.9674661914</v>
      </c>
      <c r="BA351" s="2">
        <f t="shared" ca="1" si="361"/>
        <v>46077660.748627916</v>
      </c>
      <c r="BB351" s="2">
        <f t="shared" ca="1" si="362"/>
        <v>921553.21497255831</v>
      </c>
      <c r="BC351" s="2">
        <f t="shared" ca="1" si="363"/>
        <v>20272931.297667406</v>
      </c>
      <c r="BD351" s="2">
        <f t="shared" ca="1" si="364"/>
        <v>-18125583.167158134</v>
      </c>
      <c r="BE351" s="2">
        <f t="shared" ca="1" si="365"/>
        <v>2246250.4189698938</v>
      </c>
      <c r="BF351" s="2">
        <f t="shared" ca="1" si="366"/>
        <v>2300741.055991495</v>
      </c>
      <c r="BG351" s="2">
        <f t="shared" ca="1" si="367"/>
        <v>2251215.2296595611</v>
      </c>
      <c r="BH351" s="2">
        <f t="shared" ca="1" si="368"/>
        <v>2202309.1183086224</v>
      </c>
      <c r="BI351" s="2">
        <f t="shared" ca="1" si="369"/>
        <v>22426946.265133597</v>
      </c>
      <c r="BJ351" s="2">
        <f t="shared" ca="1" si="370"/>
        <v>0.14134496563278276</v>
      </c>
      <c r="BK351" s="2">
        <f t="shared" ca="1" si="371"/>
        <v>1441763.6432957537</v>
      </c>
    </row>
    <row r="352" spans="1:63" x14ac:dyDescent="0.3">
      <c r="A352" s="2">
        <v>351</v>
      </c>
      <c r="B352" s="2">
        <f t="shared" ca="1" si="310"/>
        <v>0.55316415459135015</v>
      </c>
      <c r="C352" s="2">
        <f t="shared" ca="1" si="311"/>
        <v>7.0546578974692284</v>
      </c>
      <c r="D352" s="2">
        <f t="shared" ca="1" si="312"/>
        <v>0.49649391857148928</v>
      </c>
      <c r="E352" s="2">
        <f t="shared" ca="1" si="313"/>
        <v>7.4964877506236487</v>
      </c>
      <c r="F352" s="2">
        <f t="shared" ca="1" si="314"/>
        <v>0.2022758970514128</v>
      </c>
      <c r="G352" s="2">
        <f t="shared" ca="1" si="315"/>
        <v>1.4994414426409506E-2</v>
      </c>
      <c r="H352" s="2">
        <f t="shared" ca="1" si="316"/>
        <v>1.4994414426409506E-2</v>
      </c>
      <c r="I352" s="2">
        <f t="shared" ca="1" si="317"/>
        <v>0.64004424509511315</v>
      </c>
      <c r="J352" s="2">
        <f t="shared" ca="1" si="318"/>
        <v>1.1792885304701035E-2</v>
      </c>
      <c r="K352" s="2">
        <f t="shared" ca="1" si="319"/>
        <v>1.1792885304701035E-2</v>
      </c>
      <c r="L352" s="2">
        <f t="shared" ca="1" si="320"/>
        <v>0.95710168124727479</v>
      </c>
      <c r="M352" s="2">
        <f t="shared" ca="1" si="321"/>
        <v>3.4359997562535778E-2</v>
      </c>
      <c r="N352" s="2">
        <f t="shared" ca="1" si="322"/>
        <v>3.4359997562535778E-2</v>
      </c>
      <c r="O352" s="2">
        <f t="shared" si="323"/>
        <v>6000000</v>
      </c>
      <c r="P352" s="2">
        <f t="shared" ca="1" si="324"/>
        <v>42327947.384815373</v>
      </c>
      <c r="Q352" s="2">
        <f t="shared" ca="1" si="325"/>
        <v>1058198.6846203844</v>
      </c>
      <c r="R352" s="2">
        <f t="shared" ca="1" si="326"/>
        <v>25396768.430889223</v>
      </c>
      <c r="S352" s="2">
        <f t="shared" ca="1" si="327"/>
        <v>16931178.95392615</v>
      </c>
      <c r="T352" s="2">
        <f t="shared" ca="1" si="328"/>
        <v>51717999.878126785</v>
      </c>
      <c r="U352" s="2">
        <f t="shared" ca="1" si="329"/>
        <v>52493481.001604415</v>
      </c>
      <c r="V352" s="2">
        <f t="shared" ca="1" si="330"/>
        <v>53280590.010427333</v>
      </c>
      <c r="W352" s="2">
        <f t="shared" ca="1" si="331"/>
        <v>54079501.257927299</v>
      </c>
      <c r="X352" s="2">
        <f t="shared" ca="1" si="332"/>
        <v>54890391.711762197</v>
      </c>
      <c r="Y352" s="2">
        <f t="shared" ca="1" si="333"/>
        <v>0.1258964426523505</v>
      </c>
      <c r="Z352" s="2">
        <f t="shared" ca="1" si="334"/>
        <v>0.12825501971329073</v>
      </c>
      <c r="AA352" s="2">
        <f t="shared" ca="1" si="335"/>
        <v>6511112.2057508593</v>
      </c>
      <c r="AB352" s="2">
        <f t="shared" ca="1" si="336"/>
        <v>6732552.440680027</v>
      </c>
      <c r="AC352" s="2">
        <f t="shared" ca="1" si="337"/>
        <v>6833503.1221231185</v>
      </c>
      <c r="AD352" s="2">
        <f t="shared" ca="1" si="338"/>
        <v>6935967.4999203961</v>
      </c>
      <c r="AE352" s="2">
        <f t="shared" ca="1" si="339"/>
        <v>7039968.2710623108</v>
      </c>
      <c r="AF352" s="2">
        <f t="shared" ca="1" si="340"/>
        <v>1034359.9975625357</v>
      </c>
      <c r="AG352" s="2">
        <f t="shared" ca="1" si="341"/>
        <v>1049869.6200320884</v>
      </c>
      <c r="AH352" s="2">
        <f t="shared" ca="1" si="342"/>
        <v>1065611.8002085467</v>
      </c>
      <c r="AI352" s="2">
        <f t="shared" ca="1" si="343"/>
        <v>1081590.0251585459</v>
      </c>
      <c r="AJ352" s="2">
        <f t="shared" ca="1" si="344"/>
        <v>1097807.834235244</v>
      </c>
      <c r="AK352" s="2">
        <f t="shared" ca="1" si="345"/>
        <v>0</v>
      </c>
      <c r="AL352" s="2">
        <f t="shared" ca="1" si="346"/>
        <v>7754.8112347763035</v>
      </c>
      <c r="AM352" s="2">
        <f t="shared" ca="1" si="347"/>
        <v>7871.0900882291799</v>
      </c>
      <c r="AN352" s="2">
        <f t="shared" ca="1" si="348"/>
        <v>7989.1124749996516</v>
      </c>
      <c r="AO352" s="2">
        <f t="shared" ca="1" si="349"/>
        <v>8108.9045383489874</v>
      </c>
      <c r="AP352" s="2">
        <f t="shared" ca="1" si="350"/>
        <v>2285709.15878003</v>
      </c>
      <c r="AQ352" s="2">
        <f t="shared" ca="1" si="351"/>
        <v>829671.19284615631</v>
      </c>
      <c r="AR352" s="2">
        <f t="shared" ca="1" si="352"/>
        <v>883213.15208565618</v>
      </c>
      <c r="AS352" s="2">
        <f t="shared" ca="1" si="353"/>
        <v>905367.36241498101</v>
      </c>
      <c r="AT352" s="2">
        <f t="shared" ca="1" si="354"/>
        <v>927853.76215527335</v>
      </c>
      <c r="AU352" s="2">
        <f t="shared" ca="1" si="355"/>
        <v>950677.33229222975</v>
      </c>
      <c r="AV352" s="2">
        <f t="shared" ca="1" si="356"/>
        <v>2361371.8565621367</v>
      </c>
      <c r="AW352" s="2">
        <f t="shared" ca="1" si="357"/>
        <v>2506005.698547476</v>
      </c>
      <c r="AX352" s="2">
        <f t="shared" ca="1" si="358"/>
        <v>2568943.7106313314</v>
      </c>
      <c r="AY352" s="2">
        <f t="shared" ca="1" si="359"/>
        <v>2632825.4413515478</v>
      </c>
      <c r="AZ352" s="2">
        <f t="shared" ca="1" si="360"/>
        <v>2697665.0412164582</v>
      </c>
      <c r="BA352" s="2">
        <f t="shared" ca="1" si="361"/>
        <v>52775035.908797756</v>
      </c>
      <c r="BB352" s="2">
        <f t="shared" ca="1" si="362"/>
        <v>1055500.7181759551</v>
      </c>
      <c r="BC352" s="2">
        <f t="shared" ca="1" si="363"/>
        <v>26322766.759732578</v>
      </c>
      <c r="BD352" s="2">
        <f t="shared" ca="1" si="364"/>
        <v>-18489377.638546534</v>
      </c>
      <c r="BE352" s="2">
        <f t="shared" ca="1" si="365"/>
        <v>2361371.8565621367</v>
      </c>
      <c r="BF352" s="2">
        <f t="shared" ca="1" si="366"/>
        <v>2506005.698547476</v>
      </c>
      <c r="BG352" s="2">
        <f t="shared" ca="1" si="367"/>
        <v>2568943.7106313314</v>
      </c>
      <c r="BH352" s="2">
        <f t="shared" ca="1" si="368"/>
        <v>2632825.4413515478</v>
      </c>
      <c r="BI352" s="2">
        <f t="shared" ca="1" si="369"/>
        <v>29020431.800949037</v>
      </c>
      <c r="BJ352" s="2">
        <f t="shared" ca="1" si="370"/>
        <v>0.19414928586196645</v>
      </c>
      <c r="BK352" s="2">
        <f t="shared" ca="1" si="371"/>
        <v>5585466.4151603281</v>
      </c>
    </row>
    <row r="353" spans="1:63" x14ac:dyDescent="0.3">
      <c r="A353" s="2">
        <v>352</v>
      </c>
      <c r="B353" s="2">
        <f t="shared" ca="1" si="310"/>
        <v>0.91413391396042287</v>
      </c>
      <c r="C353" s="2">
        <f t="shared" ca="1" si="311"/>
        <v>7.5855941939606124</v>
      </c>
      <c r="D353" s="2">
        <f t="shared" ca="1" si="312"/>
        <v>0.8461715740290543</v>
      </c>
      <c r="E353" s="2">
        <f t="shared" ca="1" si="313"/>
        <v>7.9453317640770376</v>
      </c>
      <c r="F353" s="2">
        <f t="shared" ca="1" si="314"/>
        <v>0.6446483162072234</v>
      </c>
      <c r="G353" s="2">
        <f t="shared" ca="1" si="315"/>
        <v>5.1127348295959427E-2</v>
      </c>
      <c r="H353" s="2">
        <f t="shared" ca="1" si="316"/>
        <v>5.1127348295959427E-2</v>
      </c>
      <c r="I353" s="2">
        <f t="shared" ca="1" si="317"/>
        <v>0.12136040154385908</v>
      </c>
      <c r="J353" s="2">
        <f t="shared" ca="1" si="318"/>
        <v>4.1589343195683227E-3</v>
      </c>
      <c r="K353" s="2">
        <f t="shared" ca="1" si="319"/>
        <v>4.1589343195683227E-3</v>
      </c>
      <c r="L353" s="2">
        <f t="shared" ca="1" si="320"/>
        <v>0.41052558284048279</v>
      </c>
      <c r="M353" s="2">
        <f t="shared" ca="1" si="321"/>
        <v>-4.5238638329592453E-3</v>
      </c>
      <c r="N353" s="2">
        <f t="shared" ca="1" si="322"/>
        <v>-4.5238638329592453E-3</v>
      </c>
      <c r="O353" s="2">
        <f t="shared" si="323"/>
        <v>6000000</v>
      </c>
      <c r="P353" s="2">
        <f t="shared" ca="1" si="324"/>
        <v>45513565.163763672</v>
      </c>
      <c r="Q353" s="2">
        <f t="shared" ca="1" si="325"/>
        <v>1137839.1290940919</v>
      </c>
      <c r="R353" s="2">
        <f t="shared" ca="1" si="326"/>
        <v>27308139.098258201</v>
      </c>
      <c r="S353" s="2">
        <f t="shared" ca="1" si="327"/>
        <v>18205426.065505471</v>
      </c>
      <c r="T353" s="2">
        <f t="shared" ca="1" si="328"/>
        <v>49773806.808352038</v>
      </c>
      <c r="U353" s="2">
        <f t="shared" ca="1" si="329"/>
        <v>52318609.565058447</v>
      </c>
      <c r="V353" s="2">
        <f t="shared" ca="1" si="330"/>
        <v>54993521.338651501</v>
      </c>
      <c r="W353" s="2">
        <f t="shared" ca="1" si="331"/>
        <v>57805194.258154005</v>
      </c>
      <c r="X353" s="2">
        <f t="shared" ca="1" si="332"/>
        <v>60760620.558306232</v>
      </c>
      <c r="Y353" s="2">
        <f t="shared" ca="1" si="333"/>
        <v>0.12207946715978416</v>
      </c>
      <c r="Z353" s="2">
        <f t="shared" ca="1" si="334"/>
        <v>0.12291125402369782</v>
      </c>
      <c r="AA353" s="2">
        <f t="shared" ca="1" si="335"/>
        <v>6076359.8136776537</v>
      </c>
      <c r="AB353" s="2">
        <f t="shared" ca="1" si="336"/>
        <v>6430545.9104175651</v>
      </c>
      <c r="AC353" s="2">
        <f t="shared" ca="1" si="337"/>
        <v>6759322.6709126411</v>
      </c>
      <c r="AD353" s="2">
        <f t="shared" ca="1" si="338"/>
        <v>7104908.9153531659</v>
      </c>
      <c r="AE353" s="2">
        <f t="shared" ca="1" si="339"/>
        <v>7468164.068079493</v>
      </c>
      <c r="AF353" s="2">
        <f t="shared" ca="1" si="340"/>
        <v>995476.13616704079</v>
      </c>
      <c r="AG353" s="2">
        <f t="shared" ca="1" si="341"/>
        <v>1046372.191301169</v>
      </c>
      <c r="AH353" s="2">
        <f t="shared" ca="1" si="342"/>
        <v>1099870.4267730301</v>
      </c>
      <c r="AI353" s="2">
        <f t="shared" ca="1" si="343"/>
        <v>1156103.8851630802</v>
      </c>
      <c r="AJ353" s="2">
        <f t="shared" ca="1" si="344"/>
        <v>1215212.4111661247</v>
      </c>
      <c r="AK353" s="2">
        <f t="shared" ca="1" si="345"/>
        <v>0</v>
      </c>
      <c r="AL353" s="2">
        <f t="shared" ca="1" si="346"/>
        <v>25448.027567064091</v>
      </c>
      <c r="AM353" s="2">
        <f t="shared" ca="1" si="347"/>
        <v>26749.117735930533</v>
      </c>
      <c r="AN353" s="2">
        <f t="shared" ca="1" si="348"/>
        <v>28116.729195025044</v>
      </c>
      <c r="AO353" s="2">
        <f t="shared" ca="1" si="349"/>
        <v>29554.263001522275</v>
      </c>
      <c r="AP353" s="2">
        <f t="shared" ca="1" si="350"/>
        <v>2457732.5188432378</v>
      </c>
      <c r="AQ353" s="2">
        <f t="shared" ca="1" si="351"/>
        <v>682019.30125351751</v>
      </c>
      <c r="AR353" s="2">
        <f t="shared" ca="1" si="352"/>
        <v>760874.7120710212</v>
      </c>
      <c r="AS353" s="2">
        <f t="shared" ca="1" si="353"/>
        <v>832447.12857705704</v>
      </c>
      <c r="AT353" s="2">
        <f t="shared" ca="1" si="354"/>
        <v>907678.85295018053</v>
      </c>
      <c r="AU353" s="2">
        <f t="shared" ca="1" si="355"/>
        <v>986756.97589823394</v>
      </c>
      <c r="AV353" s="2">
        <f t="shared" ca="1" si="356"/>
        <v>1941131.8574138577</v>
      </c>
      <c r="AW353" s="2">
        <f t="shared" ca="1" si="357"/>
        <v>2140118.460635073</v>
      </c>
      <c r="AX353" s="2">
        <f t="shared" ca="1" si="358"/>
        <v>2342523.478983385</v>
      </c>
      <c r="AY353" s="2">
        <f t="shared" ca="1" si="359"/>
        <v>2555276.9292016425</v>
      </c>
      <c r="AZ353" s="2">
        <f t="shared" ca="1" si="360"/>
        <v>2778907.899170374</v>
      </c>
      <c r="BA353" s="2">
        <f t="shared" ca="1" si="361"/>
        <v>59337041.189450786</v>
      </c>
      <c r="BB353" s="2">
        <f t="shared" ca="1" si="362"/>
        <v>1186740.8237890156</v>
      </c>
      <c r="BC353" s="2">
        <f t="shared" ca="1" si="363"/>
        <v>30842161.267403569</v>
      </c>
      <c r="BD353" s="2">
        <f t="shared" ca="1" si="364"/>
        <v>-19843265.194599561</v>
      </c>
      <c r="BE353" s="2">
        <f t="shared" ca="1" si="365"/>
        <v>1941131.8574138577</v>
      </c>
      <c r="BF353" s="2">
        <f t="shared" ca="1" si="366"/>
        <v>2140118.460635073</v>
      </c>
      <c r="BG353" s="2">
        <f t="shared" ca="1" si="367"/>
        <v>2342523.478983385</v>
      </c>
      <c r="BH353" s="2">
        <f t="shared" ca="1" si="368"/>
        <v>2555276.9292016425</v>
      </c>
      <c r="BI353" s="2">
        <f t="shared" ca="1" si="369"/>
        <v>33621069.166573942</v>
      </c>
      <c r="BJ353" s="2">
        <f t="shared" ca="1" si="370"/>
        <v>0.19074083701430244</v>
      </c>
      <c r="BK353" s="2">
        <f t="shared" ca="1" si="371"/>
        <v>5964761.7728766985</v>
      </c>
    </row>
    <row r="354" spans="1:63" x14ac:dyDescent="0.3">
      <c r="A354" s="2">
        <v>353</v>
      </c>
      <c r="B354" s="2">
        <f t="shared" ca="1" si="310"/>
        <v>0.45731801892835144</v>
      </c>
      <c r="C354" s="2">
        <f t="shared" ca="1" si="311"/>
        <v>6.9563660585030727</v>
      </c>
      <c r="D354" s="2">
        <f t="shared" ca="1" si="312"/>
        <v>0.97173093590265203</v>
      </c>
      <c r="E354" s="2">
        <f t="shared" ca="1" si="313"/>
        <v>8.2622225237860079</v>
      </c>
      <c r="F354" s="2">
        <f t="shared" ca="1" si="314"/>
        <v>0.28691830573199917</v>
      </c>
      <c r="G354" s="2">
        <f t="shared" ca="1" si="315"/>
        <v>2.3127695776939031E-2</v>
      </c>
      <c r="H354" s="2">
        <f t="shared" ca="1" si="316"/>
        <v>2.3127695776939031E-2</v>
      </c>
      <c r="I354" s="2">
        <f t="shared" ca="1" si="317"/>
        <v>0.98459965318380005</v>
      </c>
      <c r="J354" s="2">
        <f t="shared" ca="1" si="318"/>
        <v>2.0798190687823126E-2</v>
      </c>
      <c r="K354" s="2">
        <f t="shared" ca="1" si="319"/>
        <v>2.0798190687823126E-2</v>
      </c>
      <c r="L354" s="2">
        <f t="shared" ca="1" si="320"/>
        <v>0.36073720937215836</v>
      </c>
      <c r="M354" s="2">
        <f t="shared" ca="1" si="321"/>
        <v>-7.1297791911283026E-3</v>
      </c>
      <c r="N354" s="2">
        <f t="shared" ca="1" si="322"/>
        <v>-7.1297791911283026E-3</v>
      </c>
      <c r="O354" s="2">
        <f t="shared" si="323"/>
        <v>6000000</v>
      </c>
      <c r="P354" s="2">
        <f t="shared" ca="1" si="324"/>
        <v>41738196.351018436</v>
      </c>
      <c r="Q354" s="2">
        <f t="shared" ca="1" si="325"/>
        <v>1043454.9087754609</v>
      </c>
      <c r="R354" s="2">
        <f t="shared" ca="1" si="326"/>
        <v>25042917.810611062</v>
      </c>
      <c r="S354" s="2">
        <f t="shared" ca="1" si="327"/>
        <v>16695278.540407375</v>
      </c>
      <c r="T354" s="2">
        <f t="shared" ca="1" si="328"/>
        <v>49643511.040443584</v>
      </c>
      <c r="U354" s="2">
        <f t="shared" ca="1" si="329"/>
        <v>50791651.061086081</v>
      </c>
      <c r="V354" s="2">
        <f t="shared" ca="1" si="330"/>
        <v>51966344.914835326</v>
      </c>
      <c r="W354" s="2">
        <f t="shared" ca="1" si="331"/>
        <v>53168206.730665125</v>
      </c>
      <c r="X354" s="2">
        <f t="shared" ca="1" si="332"/>
        <v>54397864.840937354</v>
      </c>
      <c r="Y354" s="2">
        <f t="shared" ca="1" si="333"/>
        <v>0.13039909534391156</v>
      </c>
      <c r="Z354" s="2">
        <f t="shared" ca="1" si="334"/>
        <v>0.13455873348147618</v>
      </c>
      <c r="AA354" s="2">
        <f t="shared" ca="1" si="335"/>
        <v>6473468.9293693295</v>
      </c>
      <c r="AB354" s="2">
        <f t="shared" ca="1" si="336"/>
        <v>6834460.2382128183</v>
      </c>
      <c r="AC354" s="2">
        <f t="shared" ca="1" si="337"/>
        <v>6992525.5554017918</v>
      </c>
      <c r="AD354" s="2">
        <f t="shared" ca="1" si="338"/>
        <v>7154246.5591595965</v>
      </c>
      <c r="AE354" s="2">
        <f t="shared" ca="1" si="339"/>
        <v>7319707.7970930533</v>
      </c>
      <c r="AF354" s="2">
        <f t="shared" ca="1" si="340"/>
        <v>992870.22080887167</v>
      </c>
      <c r="AG354" s="2">
        <f t="shared" ca="1" si="341"/>
        <v>1015833.0212217217</v>
      </c>
      <c r="AH354" s="2">
        <f t="shared" ca="1" si="342"/>
        <v>1039326.8982967065</v>
      </c>
      <c r="AI354" s="2">
        <f t="shared" ca="1" si="343"/>
        <v>1063364.1346133025</v>
      </c>
      <c r="AJ354" s="2">
        <f t="shared" ca="1" si="344"/>
        <v>1087957.2968187472</v>
      </c>
      <c r="AK354" s="2">
        <f t="shared" ca="1" si="345"/>
        <v>0</v>
      </c>
      <c r="AL354" s="2">
        <f t="shared" ca="1" si="346"/>
        <v>11481.400206424967</v>
      </c>
      <c r="AM354" s="2">
        <f t="shared" ca="1" si="347"/>
        <v>11746.938537492455</v>
      </c>
      <c r="AN354" s="2">
        <f t="shared" ca="1" si="348"/>
        <v>12018.618158297986</v>
      </c>
      <c r="AO354" s="2">
        <f t="shared" ca="1" si="349"/>
        <v>12296.581102722288</v>
      </c>
      <c r="AP354" s="2">
        <f t="shared" ca="1" si="350"/>
        <v>2253862.6029549954</v>
      </c>
      <c r="AQ354" s="2">
        <f t="shared" ca="1" si="351"/>
        <v>838951.38745742012</v>
      </c>
      <c r="AR354" s="2">
        <f t="shared" ca="1" si="352"/>
        <v>926838.79964938643</v>
      </c>
      <c r="AS354" s="2">
        <f t="shared" ca="1" si="353"/>
        <v>961827.37407902349</v>
      </c>
      <c r="AT354" s="2">
        <f t="shared" ca="1" si="354"/>
        <v>997625.15361373767</v>
      </c>
      <c r="AU354" s="2">
        <f t="shared" ca="1" si="355"/>
        <v>1034250.8533030208</v>
      </c>
      <c r="AV354" s="2">
        <f t="shared" ca="1" si="356"/>
        <v>2387784.718148042</v>
      </c>
      <c r="AW354" s="2">
        <f t="shared" ca="1" si="357"/>
        <v>2626444.4141802895</v>
      </c>
      <c r="AX354" s="2">
        <f t="shared" ca="1" si="358"/>
        <v>2725761.7415335742</v>
      </c>
      <c r="AY354" s="2">
        <f t="shared" ca="1" si="359"/>
        <v>2827376.0498192632</v>
      </c>
      <c r="AZ354" s="2">
        <f t="shared" ca="1" si="360"/>
        <v>2931340.4629135677</v>
      </c>
      <c r="BA354" s="2">
        <f t="shared" ca="1" si="361"/>
        <v>60477054.628674284</v>
      </c>
      <c r="BB354" s="2">
        <f t="shared" ca="1" si="362"/>
        <v>1209541.0925734858</v>
      </c>
      <c r="BC354" s="2">
        <f t="shared" ca="1" si="363"/>
        <v>34224595.725489736</v>
      </c>
      <c r="BD354" s="2">
        <f t="shared" ca="1" si="364"/>
        <v>-18238733.449182834</v>
      </c>
      <c r="BE354" s="2">
        <f t="shared" ca="1" si="365"/>
        <v>2387784.718148042</v>
      </c>
      <c r="BF354" s="2">
        <f t="shared" ca="1" si="366"/>
        <v>2626444.4141802895</v>
      </c>
      <c r="BG354" s="2">
        <f t="shared" ca="1" si="367"/>
        <v>2725761.7415335742</v>
      </c>
      <c r="BH354" s="2">
        <f t="shared" ca="1" si="368"/>
        <v>2827376.0498192632</v>
      </c>
      <c r="BI354" s="2">
        <f t="shared" ca="1" si="369"/>
        <v>37155936.188403301</v>
      </c>
      <c r="BJ354" s="2">
        <f t="shared" ca="1" si="370"/>
        <v>0.25136070369008467</v>
      </c>
      <c r="BK354" s="2">
        <f t="shared" ca="1" si="371"/>
        <v>10807270.603378039</v>
      </c>
    </row>
    <row r="355" spans="1:63" x14ac:dyDescent="0.3">
      <c r="A355" s="2">
        <v>354</v>
      </c>
      <c r="B355" s="2">
        <f t="shared" ca="1" si="310"/>
        <v>0.40214824571300412</v>
      </c>
      <c r="C355" s="2">
        <f t="shared" ca="1" si="311"/>
        <v>6.8968257865527773</v>
      </c>
      <c r="D355" s="2">
        <f t="shared" ca="1" si="312"/>
        <v>0.41663742499196965</v>
      </c>
      <c r="E355" s="2">
        <f t="shared" ca="1" si="313"/>
        <v>7.4128388959635423</v>
      </c>
      <c r="F355" s="2">
        <f t="shared" ca="1" si="314"/>
        <v>0.24539658317889546</v>
      </c>
      <c r="G355" s="2">
        <f t="shared" ca="1" si="315"/>
        <v>1.9328564984385056E-2</v>
      </c>
      <c r="H355" s="2">
        <f t="shared" ca="1" si="316"/>
        <v>1.9328564984385056E-2</v>
      </c>
      <c r="I355" s="2">
        <f t="shared" ca="1" si="317"/>
        <v>0.1285738055175033</v>
      </c>
      <c r="J355" s="2">
        <f t="shared" ca="1" si="318"/>
        <v>4.3342064608558571E-3</v>
      </c>
      <c r="K355" s="2">
        <f t="shared" ca="1" si="319"/>
        <v>4.3342064608558571E-3</v>
      </c>
      <c r="L355" s="2">
        <f t="shared" ca="1" si="320"/>
        <v>0.6799055829194055</v>
      </c>
      <c r="M355" s="2">
        <f t="shared" ca="1" si="321"/>
        <v>9.3486958725592911E-3</v>
      </c>
      <c r="N355" s="2">
        <f t="shared" ca="1" si="322"/>
        <v>9.3486958725592911E-3</v>
      </c>
      <c r="O355" s="2">
        <f t="shared" si="323"/>
        <v>6000000</v>
      </c>
      <c r="P355" s="2">
        <f t="shared" ca="1" si="324"/>
        <v>41380954.719316661</v>
      </c>
      <c r="Q355" s="2">
        <f t="shared" ca="1" si="325"/>
        <v>1034523.8679829165</v>
      </c>
      <c r="R355" s="2">
        <f t="shared" ca="1" si="326"/>
        <v>24828572.831589997</v>
      </c>
      <c r="S355" s="2">
        <f t="shared" ca="1" si="327"/>
        <v>16552381.887726665</v>
      </c>
      <c r="T355" s="2">
        <f t="shared" ca="1" si="328"/>
        <v>50467434.793627962</v>
      </c>
      <c r="U355" s="2">
        <f t="shared" ca="1" si="329"/>
        <v>51442897.886631817</v>
      </c>
      <c r="V355" s="2">
        <f t="shared" ca="1" si="330"/>
        <v>52437215.281418666</v>
      </c>
      <c r="W355" s="2">
        <f t="shared" ca="1" si="331"/>
        <v>53450751.404585756</v>
      </c>
      <c r="X355" s="2">
        <f t="shared" ca="1" si="332"/>
        <v>54483877.726573505</v>
      </c>
      <c r="Y355" s="2">
        <f t="shared" ca="1" si="333"/>
        <v>0.12216710323042793</v>
      </c>
      <c r="Z355" s="2">
        <f t="shared" ca="1" si="334"/>
        <v>0.1230339445225991</v>
      </c>
      <c r="AA355" s="2">
        <f t="shared" ca="1" si="335"/>
        <v>6165460.3162080375</v>
      </c>
      <c r="AB355" s="2">
        <f t="shared" ca="1" si="336"/>
        <v>6329222.6446655896</v>
      </c>
      <c r="AC355" s="2">
        <f t="shared" ca="1" si="337"/>
        <v>6451557.4358536499</v>
      </c>
      <c r="AD355" s="2">
        <f t="shared" ca="1" si="338"/>
        <v>6576256.7830030397</v>
      </c>
      <c r="AE355" s="2">
        <f t="shared" ca="1" si="339"/>
        <v>6703366.3895873167</v>
      </c>
      <c r="AF355" s="2">
        <f t="shared" ca="1" si="340"/>
        <v>1009348.6958725593</v>
      </c>
      <c r="AG355" s="2">
        <f t="shared" ca="1" si="341"/>
        <v>1028857.9577326364</v>
      </c>
      <c r="AH355" s="2">
        <f t="shared" ca="1" si="342"/>
        <v>1048744.3056283733</v>
      </c>
      <c r="AI355" s="2">
        <f t="shared" ca="1" si="343"/>
        <v>1069015.0280917152</v>
      </c>
      <c r="AJ355" s="2">
        <f t="shared" ca="1" si="344"/>
        <v>1089677.5545314702</v>
      </c>
      <c r="AK355" s="2">
        <f t="shared" ca="1" si="345"/>
        <v>0</v>
      </c>
      <c r="AL355" s="2">
        <f t="shared" ca="1" si="346"/>
        <v>9754.6309300385419</v>
      </c>
      <c r="AM355" s="2">
        <f t="shared" ca="1" si="347"/>
        <v>9943.1739478684958</v>
      </c>
      <c r="AN355" s="2">
        <f t="shared" ca="1" si="348"/>
        <v>10135.361231670902</v>
      </c>
      <c r="AO355" s="2">
        <f t="shared" ca="1" si="349"/>
        <v>10331.263219877481</v>
      </c>
      <c r="AP355" s="2">
        <f t="shared" ca="1" si="350"/>
        <v>2234571.5548430998</v>
      </c>
      <c r="AQ355" s="2">
        <f t="shared" ca="1" si="351"/>
        <v>759600.41702801851</v>
      </c>
      <c r="AR355" s="2">
        <f t="shared" ca="1" si="352"/>
        <v>797106.21434336191</v>
      </c>
      <c r="AS355" s="2">
        <f t="shared" ca="1" si="353"/>
        <v>823742.80959936604</v>
      </c>
      <c r="AT355" s="2">
        <f t="shared" ca="1" si="354"/>
        <v>850894.2520177383</v>
      </c>
      <c r="AU355" s="2">
        <f t="shared" ca="1" si="355"/>
        <v>878570.49285531428</v>
      </c>
      <c r="AV355" s="2">
        <f t="shared" ca="1" si="356"/>
        <v>2161939.6484643603</v>
      </c>
      <c r="AW355" s="2">
        <f t="shared" ca="1" si="357"/>
        <v>2258932.2868164536</v>
      </c>
      <c r="AX355" s="2">
        <f t="shared" ca="1" si="358"/>
        <v>2334555.5918349419</v>
      </c>
      <c r="AY355" s="2">
        <f t="shared" ca="1" si="359"/>
        <v>2411640.5868188152</v>
      </c>
      <c r="AZ355" s="2">
        <f t="shared" ca="1" si="360"/>
        <v>2490215.5241375556</v>
      </c>
      <c r="BA355" s="2">
        <f t="shared" ca="1" si="361"/>
        <v>49690975.106627561</v>
      </c>
      <c r="BB355" s="2">
        <f t="shared" ca="1" si="362"/>
        <v>993819.50213255128</v>
      </c>
      <c r="BC355" s="2">
        <f t="shared" ca="1" si="363"/>
        <v>23868582.772905014</v>
      </c>
      <c r="BD355" s="2">
        <f t="shared" ca="1" si="364"/>
        <v>-18086905.755709581</v>
      </c>
      <c r="BE355" s="2">
        <f t="shared" ca="1" si="365"/>
        <v>2161939.6484643603</v>
      </c>
      <c r="BF355" s="2">
        <f t="shared" ca="1" si="366"/>
        <v>2258932.2868164536</v>
      </c>
      <c r="BG355" s="2">
        <f t="shared" ca="1" si="367"/>
        <v>2334555.5918349419</v>
      </c>
      <c r="BH355" s="2">
        <f t="shared" ca="1" si="368"/>
        <v>2411640.5868188152</v>
      </c>
      <c r="BI355" s="2">
        <f t="shared" ca="1" si="369"/>
        <v>26358798.297042571</v>
      </c>
      <c r="BJ355" s="2">
        <f t="shared" ca="1" si="370"/>
        <v>0.17280718009879759</v>
      </c>
      <c r="BK355" s="2">
        <f t="shared" ca="1" si="371"/>
        <v>3795226.278140571</v>
      </c>
    </row>
    <row r="356" spans="1:63" x14ac:dyDescent="0.3">
      <c r="A356" s="2">
        <v>355</v>
      </c>
      <c r="B356" s="2">
        <f t="shared" ca="1" si="310"/>
        <v>0.24081369383612461</v>
      </c>
      <c r="C356" s="2">
        <f t="shared" ca="1" si="311"/>
        <v>6.6939937951251789</v>
      </c>
      <c r="D356" s="2">
        <f t="shared" ca="1" si="312"/>
        <v>7.2001139888232535E-3</v>
      </c>
      <c r="E356" s="2">
        <f t="shared" ca="1" si="313"/>
        <v>6.6200009499031012</v>
      </c>
      <c r="F356" s="2">
        <f t="shared" ca="1" si="314"/>
        <v>0.92611506159270052</v>
      </c>
      <c r="G356" s="2">
        <f t="shared" ca="1" si="315"/>
        <v>8.3423612948498455E-2</v>
      </c>
      <c r="H356" s="2">
        <f t="shared" ca="1" si="316"/>
        <v>8.3423612948498455E-2</v>
      </c>
      <c r="I356" s="2">
        <f t="shared" ca="1" si="317"/>
        <v>0.39758931118589336</v>
      </c>
      <c r="J356" s="2">
        <f t="shared" ca="1" si="318"/>
        <v>8.7020407418613374E-3</v>
      </c>
      <c r="K356" s="2">
        <f t="shared" ca="1" si="319"/>
        <v>8.7020407418613374E-3</v>
      </c>
      <c r="L356" s="2">
        <f t="shared" ca="1" si="320"/>
        <v>0.34448698754357376</v>
      </c>
      <c r="M356" s="2">
        <f t="shared" ca="1" si="321"/>
        <v>-8.0049569792062427E-3</v>
      </c>
      <c r="N356" s="2">
        <f t="shared" ca="1" si="322"/>
        <v>-8.0049569792062427E-3</v>
      </c>
      <c r="O356" s="2">
        <f t="shared" si="323"/>
        <v>6000000</v>
      </c>
      <c r="P356" s="2">
        <f t="shared" ca="1" si="324"/>
        <v>40163962.770751074</v>
      </c>
      <c r="Q356" s="2">
        <f t="shared" ca="1" si="325"/>
        <v>1004099.0692687769</v>
      </c>
      <c r="R356" s="2">
        <f t="shared" ca="1" si="326"/>
        <v>24098377.662450645</v>
      </c>
      <c r="S356" s="2">
        <f t="shared" ca="1" si="327"/>
        <v>16065585.108300431</v>
      </c>
      <c r="T356" s="2">
        <f t="shared" ca="1" si="328"/>
        <v>49599752.15103969</v>
      </c>
      <c r="U356" s="2">
        <f t="shared" ca="1" si="329"/>
        <v>53737542.67682948</v>
      </c>
      <c r="V356" s="2">
        <f t="shared" ca="1" si="330"/>
        <v>58220522.637904719</v>
      </c>
      <c r="W356" s="2">
        <f t="shared" ca="1" si="331"/>
        <v>63077488.984108575</v>
      </c>
      <c r="X356" s="2">
        <f t="shared" ca="1" si="332"/>
        <v>68339641.01088202</v>
      </c>
      <c r="Y356" s="2">
        <f t="shared" ca="1" si="333"/>
        <v>0.12435102037093067</v>
      </c>
      <c r="Z356" s="2">
        <f t="shared" ca="1" si="334"/>
        <v>0.12609142851930294</v>
      </c>
      <c r="AA356" s="2">
        <f t="shared" ca="1" si="335"/>
        <v>6167779.7901270483</v>
      </c>
      <c r="AB356" s="2">
        <f t="shared" ca="1" si="336"/>
        <v>6775843.5212384351</v>
      </c>
      <c r="AC356" s="2">
        <f t="shared" ca="1" si="337"/>
        <v>7341108.868553821</v>
      </c>
      <c r="AD356" s="2">
        <f t="shared" ca="1" si="338"/>
        <v>7953530.6934168451</v>
      </c>
      <c r="AE356" s="2">
        <f t="shared" ca="1" si="339"/>
        <v>8617042.9595584534</v>
      </c>
      <c r="AF356" s="2">
        <f t="shared" ca="1" si="340"/>
        <v>991995.04302079382</v>
      </c>
      <c r="AG356" s="2">
        <f t="shared" ca="1" si="341"/>
        <v>1074750.8535365895</v>
      </c>
      <c r="AH356" s="2">
        <f t="shared" ca="1" si="342"/>
        <v>1164410.4527580943</v>
      </c>
      <c r="AI356" s="2">
        <f t="shared" ca="1" si="343"/>
        <v>1261549.7796821715</v>
      </c>
      <c r="AJ356" s="2">
        <f t="shared" ca="1" si="344"/>
        <v>1366792.8202176404</v>
      </c>
      <c r="AK356" s="2">
        <f t="shared" ca="1" si="345"/>
        <v>0</v>
      </c>
      <c r="AL356" s="2">
        <f t="shared" ca="1" si="346"/>
        <v>41377.905257897903</v>
      </c>
      <c r="AM356" s="2">
        <f t="shared" ca="1" si="347"/>
        <v>44829.799610752387</v>
      </c>
      <c r="AN356" s="2">
        <f t="shared" ca="1" si="348"/>
        <v>48569.663462038559</v>
      </c>
      <c r="AO356" s="2">
        <f t="shared" ca="1" si="349"/>
        <v>52621.520267734457</v>
      </c>
      <c r="AP356" s="2">
        <f t="shared" ca="1" si="350"/>
        <v>2168853.989620558</v>
      </c>
      <c r="AQ356" s="2">
        <f t="shared" ca="1" si="351"/>
        <v>781801.99694628105</v>
      </c>
      <c r="AR356" s="2">
        <f t="shared" ca="1" si="352"/>
        <v>918382.05630113487</v>
      </c>
      <c r="AS356" s="2">
        <f t="shared" ca="1" si="353"/>
        <v>1042039.5508055439</v>
      </c>
      <c r="AT356" s="2">
        <f t="shared" ca="1" si="354"/>
        <v>1176013.00026967</v>
      </c>
      <c r="AU356" s="2">
        <f t="shared" ca="1" si="355"/>
        <v>1321162.9989272663</v>
      </c>
      <c r="AV356" s="2">
        <f t="shared" ca="1" si="356"/>
        <v>2225128.7605394153</v>
      </c>
      <c r="AW356" s="2">
        <f t="shared" ca="1" si="357"/>
        <v>2572478.7165222559</v>
      </c>
      <c r="AX356" s="2">
        <f t="shared" ca="1" si="358"/>
        <v>2920975.0757588726</v>
      </c>
      <c r="AY356" s="2">
        <f t="shared" ca="1" si="359"/>
        <v>3298544.2603824073</v>
      </c>
      <c r="AZ356" s="2">
        <f t="shared" ca="1" si="360"/>
        <v>3707611.6305252546</v>
      </c>
      <c r="BA356" s="2">
        <f t="shared" ca="1" si="361"/>
        <v>57044832.577632792</v>
      </c>
      <c r="BB356" s="2">
        <f t="shared" ca="1" si="362"/>
        <v>1140896.651552656</v>
      </c>
      <c r="BC356" s="2">
        <f t="shared" ca="1" si="363"/>
        <v>31805558.263629492</v>
      </c>
      <c r="BD356" s="2">
        <f t="shared" ca="1" si="364"/>
        <v>-17569684.177569207</v>
      </c>
      <c r="BE356" s="2">
        <f t="shared" ca="1" si="365"/>
        <v>2225128.7605394153</v>
      </c>
      <c r="BF356" s="2">
        <f t="shared" ca="1" si="366"/>
        <v>2572478.7165222559</v>
      </c>
      <c r="BG356" s="2">
        <f t="shared" ca="1" si="367"/>
        <v>2920975.0757588726</v>
      </c>
      <c r="BH356" s="2">
        <f t="shared" ca="1" si="368"/>
        <v>3298544.2603824073</v>
      </c>
      <c r="BI356" s="2">
        <f t="shared" ca="1" si="369"/>
        <v>35513169.89415475</v>
      </c>
      <c r="BJ356" s="2">
        <f t="shared" ca="1" si="370"/>
        <v>0.25589322834344341</v>
      </c>
      <c r="BK356" s="2">
        <f t="shared" ca="1" si="371"/>
        <v>10794305.415809724</v>
      </c>
    </row>
    <row r="357" spans="1:63" x14ac:dyDescent="0.3">
      <c r="A357" s="2">
        <v>356</v>
      </c>
      <c r="B357" s="2">
        <f t="shared" ca="1" si="310"/>
        <v>0.9482573856904799</v>
      </c>
      <c r="C357" s="2">
        <f t="shared" ca="1" si="311"/>
        <v>7.6783087992825418</v>
      </c>
      <c r="D357" s="2">
        <f t="shared" ca="1" si="312"/>
        <v>0.51675983570237505</v>
      </c>
      <c r="E357" s="2">
        <f t="shared" ca="1" si="313"/>
        <v>7.5169026861010906</v>
      </c>
      <c r="F357" s="2">
        <f t="shared" ca="1" si="314"/>
        <v>0.15028799006445148</v>
      </c>
      <c r="G357" s="2">
        <f t="shared" ca="1" si="315"/>
        <v>8.9440296415608453E-3</v>
      </c>
      <c r="H357" s="2">
        <f t="shared" ca="1" si="316"/>
        <v>8.9440296415608453E-3</v>
      </c>
      <c r="I357" s="2">
        <f t="shared" ca="1" si="317"/>
        <v>0.2038053638488545</v>
      </c>
      <c r="J357" s="2">
        <f t="shared" ca="1" si="318"/>
        <v>5.8594722590255503E-3</v>
      </c>
      <c r="K357" s="2">
        <f t="shared" ca="1" si="319"/>
        <v>5.8594722590255503E-3</v>
      </c>
      <c r="L357" s="2">
        <f t="shared" ca="1" si="320"/>
        <v>0.5514378654645089</v>
      </c>
      <c r="M357" s="2">
        <f t="shared" ca="1" si="321"/>
        <v>2.5858989529870804E-3</v>
      </c>
      <c r="N357" s="2">
        <f t="shared" ca="1" si="322"/>
        <v>2.5858989529870804E-3</v>
      </c>
      <c r="O357" s="2">
        <f t="shared" si="323"/>
        <v>6000000</v>
      </c>
      <c r="P357" s="2">
        <f t="shared" ca="1" si="324"/>
        <v>46069852.795695253</v>
      </c>
      <c r="Q357" s="2">
        <f t="shared" ca="1" si="325"/>
        <v>1151746.3198923813</v>
      </c>
      <c r="R357" s="2">
        <f t="shared" ca="1" si="326"/>
        <v>27641911.677417152</v>
      </c>
      <c r="S357" s="2">
        <f t="shared" ca="1" si="327"/>
        <v>18427941.118278101</v>
      </c>
      <c r="T357" s="2">
        <f t="shared" ca="1" si="328"/>
        <v>50129294.947649352</v>
      </c>
      <c r="U357" s="2">
        <f t="shared" ca="1" si="329"/>
        <v>50577652.847571671</v>
      </c>
      <c r="V357" s="2">
        <f t="shared" ca="1" si="330"/>
        <v>51030020.873840928</v>
      </c>
      <c r="W357" s="2">
        <f t="shared" ca="1" si="331"/>
        <v>51486434.893146031</v>
      </c>
      <c r="X357" s="2">
        <f t="shared" ca="1" si="332"/>
        <v>51946931.09296862</v>
      </c>
      <c r="Y357" s="2">
        <f t="shared" ca="1" si="333"/>
        <v>0.12292973612951277</v>
      </c>
      <c r="Z357" s="2">
        <f t="shared" ca="1" si="334"/>
        <v>0.12410163058131787</v>
      </c>
      <c r="AA357" s="2">
        <f t="shared" ca="1" si="335"/>
        <v>6162381.0002730526</v>
      </c>
      <c r="AB357" s="2">
        <f t="shared" ca="1" si="336"/>
        <v>6276769.1893594796</v>
      </c>
      <c r="AC357" s="2">
        <f t="shared" ca="1" si="337"/>
        <v>6332908.7990423469</v>
      </c>
      <c r="AD357" s="2">
        <f t="shared" ca="1" si="338"/>
        <v>6389550.5230582831</v>
      </c>
      <c r="AE357" s="2">
        <f t="shared" ca="1" si="339"/>
        <v>6446698.8523327671</v>
      </c>
      <c r="AF357" s="2">
        <f t="shared" ca="1" si="340"/>
        <v>1002585.898952987</v>
      </c>
      <c r="AG357" s="2">
        <f t="shared" ca="1" si="341"/>
        <v>1011553.0569514334</v>
      </c>
      <c r="AH357" s="2">
        <f t="shared" ca="1" si="342"/>
        <v>1020600.4174768185</v>
      </c>
      <c r="AI357" s="2">
        <f t="shared" ca="1" si="343"/>
        <v>1029728.6978629206</v>
      </c>
      <c r="AJ357" s="2">
        <f t="shared" ca="1" si="344"/>
        <v>1038938.6218593725</v>
      </c>
      <c r="AK357" s="2">
        <f t="shared" ca="1" si="345"/>
        <v>0</v>
      </c>
      <c r="AL357" s="2">
        <f t="shared" ca="1" si="346"/>
        <v>4483.5789992231876</v>
      </c>
      <c r="AM357" s="2">
        <f t="shared" ca="1" si="347"/>
        <v>4523.680262692571</v>
      </c>
      <c r="AN357" s="2">
        <f t="shared" ca="1" si="348"/>
        <v>4564.1401930510256</v>
      </c>
      <c r="AO357" s="2">
        <f t="shared" ca="1" si="349"/>
        <v>4604.9619982258973</v>
      </c>
      <c r="AP357" s="2">
        <f t="shared" ca="1" si="350"/>
        <v>2487772.0509675434</v>
      </c>
      <c r="AQ357" s="2">
        <f t="shared" ca="1" si="351"/>
        <v>694725.99309165578</v>
      </c>
      <c r="AR357" s="2">
        <f t="shared" ca="1" si="352"/>
        <v>722135.46117453079</v>
      </c>
      <c r="AS357" s="2">
        <f t="shared" ca="1" si="353"/>
        <v>734379.44595547603</v>
      </c>
      <c r="AT357" s="2">
        <f t="shared" ca="1" si="354"/>
        <v>746732.94129923312</v>
      </c>
      <c r="AU357" s="2">
        <f t="shared" ca="1" si="355"/>
        <v>759196.92667152127</v>
      </c>
      <c r="AV357" s="2">
        <f t="shared" ca="1" si="356"/>
        <v>1977297.0572608663</v>
      </c>
      <c r="AW357" s="2">
        <f t="shared" ca="1" si="357"/>
        <v>2050825.0412667487</v>
      </c>
      <c r="AX357" s="2">
        <f t="shared" ca="1" si="358"/>
        <v>2085633.2043798165</v>
      </c>
      <c r="AY357" s="2">
        <f t="shared" ca="1" si="359"/>
        <v>2120752.6927355351</v>
      </c>
      <c r="AZ357" s="2">
        <f t="shared" ca="1" si="360"/>
        <v>2156186.2908361042</v>
      </c>
      <c r="BA357" s="2">
        <f t="shared" ca="1" si="361"/>
        <v>48459207.919584997</v>
      </c>
      <c r="BB357" s="2">
        <f t="shared" ca="1" si="362"/>
        <v>969184.15839170001</v>
      </c>
      <c r="BC357" s="2">
        <f t="shared" ca="1" si="363"/>
        <v>19848112.083776146</v>
      </c>
      <c r="BD357" s="2">
        <f t="shared" ca="1" si="364"/>
        <v>-20079687.438170481</v>
      </c>
      <c r="BE357" s="2">
        <f t="shared" ca="1" si="365"/>
        <v>1977297.0572608663</v>
      </c>
      <c r="BF357" s="2">
        <f t="shared" ca="1" si="366"/>
        <v>2050825.0412667487</v>
      </c>
      <c r="BG357" s="2">
        <f t="shared" ca="1" si="367"/>
        <v>2085633.2043798165</v>
      </c>
      <c r="BH357" s="2">
        <f t="shared" ca="1" si="368"/>
        <v>2120752.6927355351</v>
      </c>
      <c r="BI357" s="2">
        <f t="shared" ca="1" si="369"/>
        <v>22004298.374612249</v>
      </c>
      <c r="BJ357" s="2">
        <f t="shared" ca="1" si="370"/>
        <v>0.10119745249313228</v>
      </c>
      <c r="BK357" s="2">
        <f t="shared" ca="1" si="371"/>
        <v>-1361219.4360979274</v>
      </c>
    </row>
    <row r="358" spans="1:63" x14ac:dyDescent="0.3">
      <c r="A358" s="2">
        <v>357</v>
      </c>
      <c r="B358" s="2">
        <f t="shared" ca="1" si="310"/>
        <v>0.83004190457857763</v>
      </c>
      <c r="C358" s="2">
        <f t="shared" ca="1" si="311"/>
        <v>7.4169766807040691</v>
      </c>
      <c r="D358" s="2">
        <f t="shared" ca="1" si="312"/>
        <v>9.6178031521775176E-2</v>
      </c>
      <c r="E358" s="2">
        <f t="shared" ca="1" si="313"/>
        <v>6.9385841573102596</v>
      </c>
      <c r="F358" s="2">
        <f t="shared" ca="1" si="314"/>
        <v>2.7516897239729166E-2</v>
      </c>
      <c r="G358" s="2">
        <f t="shared" ca="1" si="315"/>
        <v>-1.7558279773141561E-2</v>
      </c>
      <c r="H358" s="2">
        <f t="shared" ca="1" si="316"/>
        <v>-1.7558279773141561E-2</v>
      </c>
      <c r="I358" s="2">
        <f t="shared" ca="1" si="317"/>
        <v>0.85953738327330587</v>
      </c>
      <c r="J358" s="2">
        <f t="shared" ca="1" si="318"/>
        <v>1.5391216048017579E-2</v>
      </c>
      <c r="K358" s="2">
        <f t="shared" ca="1" si="319"/>
        <v>1.5391216048017579E-2</v>
      </c>
      <c r="L358" s="2">
        <f t="shared" ca="1" si="320"/>
        <v>0.23695448968676791</v>
      </c>
      <c r="M358" s="2">
        <f t="shared" ca="1" si="321"/>
        <v>-1.4322668081898643E-2</v>
      </c>
      <c r="N358" s="2">
        <f t="shared" ca="1" si="322"/>
        <v>-1.4322668081898643E-2</v>
      </c>
      <c r="O358" s="2">
        <f t="shared" si="323"/>
        <v>6000000</v>
      </c>
      <c r="P358" s="2">
        <f t="shared" ca="1" si="324"/>
        <v>44501860.084224418</v>
      </c>
      <c r="Q358" s="2">
        <f t="shared" ca="1" si="325"/>
        <v>1112546.5021056104</v>
      </c>
      <c r="R358" s="2">
        <f t="shared" ca="1" si="326"/>
        <v>26701116.050534651</v>
      </c>
      <c r="S358" s="2">
        <f t="shared" ca="1" si="327"/>
        <v>17800744.033689767</v>
      </c>
      <c r="T358" s="2">
        <f t="shared" ca="1" si="328"/>
        <v>49283866.595905066</v>
      </c>
      <c r="U358" s="2">
        <f t="shared" ca="1" si="329"/>
        <v>48418526.677911982</v>
      </c>
      <c r="V358" s="2">
        <f t="shared" ca="1" si="330"/>
        <v>47568380.64029789</v>
      </c>
      <c r="W358" s="2">
        <f t="shared" ca="1" si="331"/>
        <v>46733161.704660252</v>
      </c>
      <c r="X358" s="2">
        <f t="shared" ca="1" si="332"/>
        <v>45912607.776766367</v>
      </c>
      <c r="Y358" s="2">
        <f t="shared" ca="1" si="333"/>
        <v>0.12769560802400878</v>
      </c>
      <c r="Z358" s="2">
        <f t="shared" ca="1" si="334"/>
        <v>0.13077385123361229</v>
      </c>
      <c r="AA358" s="2">
        <f t="shared" ca="1" si="335"/>
        <v>6293333.3107382329</v>
      </c>
      <c r="AB358" s="2">
        <f t="shared" ca="1" si="336"/>
        <v>6331877.2047279496</v>
      </c>
      <c r="AC358" s="2">
        <f t="shared" ca="1" si="337"/>
        <v>6220700.3332781596</v>
      </c>
      <c r="AD358" s="2">
        <f t="shared" ca="1" si="338"/>
        <v>6111475.5364415869</v>
      </c>
      <c r="AE358" s="2">
        <f t="shared" ca="1" si="339"/>
        <v>6004168.5391460359</v>
      </c>
      <c r="AF358" s="2">
        <f t="shared" ca="1" si="340"/>
        <v>985677.33191810129</v>
      </c>
      <c r="AG358" s="2">
        <f t="shared" ca="1" si="341"/>
        <v>968370.53355823969</v>
      </c>
      <c r="AH358" s="2">
        <f t="shared" ca="1" si="342"/>
        <v>951367.61280595779</v>
      </c>
      <c r="AI358" s="2">
        <f t="shared" ca="1" si="343"/>
        <v>934663.23409320507</v>
      </c>
      <c r="AJ358" s="2">
        <f t="shared" ca="1" si="344"/>
        <v>918252.15553532739</v>
      </c>
      <c r="AK358" s="2">
        <f t="shared" ca="1" si="345"/>
        <v>0</v>
      </c>
      <c r="AL358" s="2">
        <f t="shared" ca="1" si="346"/>
        <v>0</v>
      </c>
      <c r="AM358" s="2">
        <f t="shared" ca="1" si="347"/>
        <v>0</v>
      </c>
      <c r="AN358" s="2">
        <f t="shared" ca="1" si="348"/>
        <v>0</v>
      </c>
      <c r="AO358" s="2">
        <f t="shared" ca="1" si="349"/>
        <v>0</v>
      </c>
      <c r="AP358" s="2">
        <f t="shared" ca="1" si="350"/>
        <v>2403100.4445481184</v>
      </c>
      <c r="AQ358" s="2">
        <f t="shared" ca="1" si="351"/>
        <v>755184.43891072355</v>
      </c>
      <c r="AR358" s="2">
        <f t="shared" ca="1" si="352"/>
        <v>769705.61892161367</v>
      </c>
      <c r="AS358" s="2">
        <f t="shared" ca="1" si="353"/>
        <v>745220.39174026169</v>
      </c>
      <c r="AT358" s="2">
        <f t="shared" ca="1" si="354"/>
        <v>721165.08302806853</v>
      </c>
      <c r="AU358" s="2">
        <f t="shared" ca="1" si="355"/>
        <v>697532.14415627345</v>
      </c>
      <c r="AV358" s="2">
        <f t="shared" ca="1" si="356"/>
        <v>2149371.09536129</v>
      </c>
      <c r="AW358" s="2">
        <f t="shared" ca="1" si="357"/>
        <v>2190700.6076999777</v>
      </c>
      <c r="AX358" s="2">
        <f t="shared" ca="1" si="358"/>
        <v>2121011.8841838217</v>
      </c>
      <c r="AY358" s="2">
        <f t="shared" ca="1" si="359"/>
        <v>2052546.7747721947</v>
      </c>
      <c r="AZ358" s="2">
        <f t="shared" ca="1" si="360"/>
        <v>1985283.7949063168</v>
      </c>
      <c r="BA358" s="2">
        <f t="shared" ca="1" si="361"/>
        <v>41660428.703539371</v>
      </c>
      <c r="BB358" s="2">
        <f t="shared" ca="1" si="362"/>
        <v>833208.57407078741</v>
      </c>
      <c r="BC358" s="2">
        <f t="shared" ca="1" si="363"/>
        <v>14126104.078933934</v>
      </c>
      <c r="BD358" s="2">
        <f t="shared" ca="1" si="364"/>
        <v>-19413290.535795376</v>
      </c>
      <c r="BE358" s="2">
        <f t="shared" ca="1" si="365"/>
        <v>2149371.09536129</v>
      </c>
      <c r="BF358" s="2">
        <f t="shared" ca="1" si="366"/>
        <v>2190700.6076999777</v>
      </c>
      <c r="BG358" s="2">
        <f t="shared" ca="1" si="367"/>
        <v>2121011.8841838217</v>
      </c>
      <c r="BH358" s="2">
        <f t="shared" ca="1" si="368"/>
        <v>2052546.7747721947</v>
      </c>
      <c r="BI358" s="2">
        <f t="shared" ca="1" si="369"/>
        <v>16111387.87384025</v>
      </c>
      <c r="BJ358" s="2">
        <f t="shared" ca="1" si="370"/>
        <v>6.0138063887666515E-2</v>
      </c>
      <c r="BK358" s="2">
        <f t="shared" ca="1" si="371"/>
        <v>-3791636.9794508982</v>
      </c>
    </row>
    <row r="359" spans="1:63" x14ac:dyDescent="0.3">
      <c r="A359" s="2">
        <v>358</v>
      </c>
      <c r="B359" s="2">
        <f t="shared" ca="1" si="310"/>
        <v>0.46759884686940179</v>
      </c>
      <c r="C359" s="2">
        <f t="shared" ca="1" si="311"/>
        <v>6.9670561998864411</v>
      </c>
      <c r="D359" s="2">
        <f t="shared" ca="1" si="312"/>
        <v>0.38255836074054628</v>
      </c>
      <c r="E359" s="2">
        <f t="shared" ca="1" si="313"/>
        <v>7.3747095069113477</v>
      </c>
      <c r="F359" s="2">
        <f t="shared" ca="1" si="314"/>
        <v>0.70826052495385161</v>
      </c>
      <c r="G359" s="2">
        <f t="shared" ca="1" si="315"/>
        <v>5.6449304896149417E-2</v>
      </c>
      <c r="H359" s="2">
        <f t="shared" ca="1" si="316"/>
        <v>5.6449304896149417E-2</v>
      </c>
      <c r="I359" s="2">
        <f t="shared" ca="1" si="317"/>
        <v>0.45378640402872905</v>
      </c>
      <c r="J359" s="2">
        <f t="shared" ca="1" si="318"/>
        <v>9.4194969669271107E-3</v>
      </c>
      <c r="K359" s="2">
        <f t="shared" ca="1" si="319"/>
        <v>9.4194969669271107E-3</v>
      </c>
      <c r="L359" s="2">
        <f t="shared" ca="1" si="320"/>
        <v>0.48918990682401731</v>
      </c>
      <c r="M359" s="2">
        <f t="shared" ca="1" si="321"/>
        <v>-5.4200404000519665E-4</v>
      </c>
      <c r="N359" s="2">
        <f t="shared" ca="1" si="322"/>
        <v>-5.4200404000519665E-4</v>
      </c>
      <c r="O359" s="2">
        <f t="shared" si="323"/>
        <v>6000000</v>
      </c>
      <c r="P359" s="2">
        <f t="shared" ca="1" si="324"/>
        <v>41802337.199318647</v>
      </c>
      <c r="Q359" s="2">
        <f t="shared" ca="1" si="325"/>
        <v>1045058.4299829663</v>
      </c>
      <c r="R359" s="2">
        <f t="shared" ca="1" si="326"/>
        <v>25081402.319591187</v>
      </c>
      <c r="S359" s="2">
        <f t="shared" ca="1" si="327"/>
        <v>16720934.87972746</v>
      </c>
      <c r="T359" s="2">
        <f t="shared" ca="1" si="328"/>
        <v>49972899.79799974</v>
      </c>
      <c r="U359" s="2">
        <f t="shared" ca="1" si="329"/>
        <v>52793835.255241752</v>
      </c>
      <c r="V359" s="2">
        <f t="shared" ca="1" si="330"/>
        <v>55774010.558201976</v>
      </c>
      <c r="W359" s="2">
        <f t="shared" ca="1" si="331"/>
        <v>58922414.685482979</v>
      </c>
      <c r="X359" s="2">
        <f t="shared" ca="1" si="332"/>
        <v>62248544.037281156</v>
      </c>
      <c r="Y359" s="2">
        <f t="shared" ca="1" si="333"/>
        <v>0.12470974848346356</v>
      </c>
      <c r="Z359" s="2">
        <f t="shared" ca="1" si="334"/>
        <v>0.12659364787684899</v>
      </c>
      <c r="AA359" s="2">
        <f t="shared" ca="1" si="335"/>
        <v>6232107.7647978747</v>
      </c>
      <c r="AB359" s="2">
        <f t="shared" ca="1" si="336"/>
        <v>6683364.1903704498</v>
      </c>
      <c r="AC359" s="2">
        <f t="shared" ca="1" si="337"/>
        <v>7060635.453284679</v>
      </c>
      <c r="AD359" s="2">
        <f t="shared" ca="1" si="338"/>
        <v>7459203.4167477079</v>
      </c>
      <c r="AE359" s="2">
        <f t="shared" ca="1" si="339"/>
        <v>7880270.2647020984</v>
      </c>
      <c r="AF359" s="2">
        <f t="shared" ca="1" si="340"/>
        <v>999457.99595999485</v>
      </c>
      <c r="AG359" s="2">
        <f t="shared" ca="1" si="341"/>
        <v>1055876.7051048351</v>
      </c>
      <c r="AH359" s="2">
        <f t="shared" ca="1" si="342"/>
        <v>1115480.2111640396</v>
      </c>
      <c r="AI359" s="2">
        <f t="shared" ca="1" si="343"/>
        <v>1178448.2937096597</v>
      </c>
      <c r="AJ359" s="2">
        <f t="shared" ca="1" si="344"/>
        <v>1244970.880745623</v>
      </c>
      <c r="AK359" s="2">
        <f t="shared" ca="1" si="345"/>
        <v>0</v>
      </c>
      <c r="AL359" s="2">
        <f t="shared" ca="1" si="346"/>
        <v>28209.354572420121</v>
      </c>
      <c r="AM359" s="2">
        <f t="shared" ca="1" si="347"/>
        <v>29801.753029602245</v>
      </c>
      <c r="AN359" s="2">
        <f t="shared" ca="1" si="348"/>
        <v>31484.041272810027</v>
      </c>
      <c r="AO359" s="2">
        <f t="shared" ca="1" si="349"/>
        <v>33261.293517981765</v>
      </c>
      <c r="AP359" s="2">
        <f t="shared" ca="1" si="350"/>
        <v>2257326.2087632068</v>
      </c>
      <c r="AQ359" s="2">
        <f t="shared" ca="1" si="351"/>
        <v>773584.12561941519</v>
      </c>
      <c r="AR359" s="2">
        <f t="shared" ca="1" si="352"/>
        <v>876241.93189062597</v>
      </c>
      <c r="AS359" s="2">
        <f t="shared" ca="1" si="353"/>
        <v>958835.54867293255</v>
      </c>
      <c r="AT359" s="2">
        <f t="shared" ca="1" si="354"/>
        <v>1046091.5177114587</v>
      </c>
      <c r="AU359" s="2">
        <f t="shared" ca="1" si="355"/>
        <v>1138273.02555025</v>
      </c>
      <c r="AV359" s="2">
        <f t="shared" ca="1" si="356"/>
        <v>2201739.4344552583</v>
      </c>
      <c r="AW359" s="2">
        <f t="shared" ca="1" si="357"/>
        <v>2465709.9900393612</v>
      </c>
      <c r="AX359" s="2">
        <f t="shared" ca="1" si="358"/>
        <v>2699191.7316548978</v>
      </c>
      <c r="AY359" s="2">
        <f t="shared" ca="1" si="359"/>
        <v>2945853.3552905726</v>
      </c>
      <c r="AZ359" s="2">
        <f t="shared" ca="1" si="360"/>
        <v>3206438.8561250367</v>
      </c>
      <c r="BA359" s="2">
        <f t="shared" ca="1" si="361"/>
        <v>58114704.038129367</v>
      </c>
      <c r="BB359" s="2">
        <f t="shared" ca="1" si="362"/>
        <v>1162294.0807625873</v>
      </c>
      <c r="BC359" s="2">
        <f t="shared" ca="1" si="363"/>
        <v>31871007.637775593</v>
      </c>
      <c r="BD359" s="2">
        <f t="shared" ca="1" si="364"/>
        <v>-18265993.309710428</v>
      </c>
      <c r="BE359" s="2">
        <f t="shared" ca="1" si="365"/>
        <v>2201739.4344552583</v>
      </c>
      <c r="BF359" s="2">
        <f t="shared" ca="1" si="366"/>
        <v>2465709.9900393612</v>
      </c>
      <c r="BG359" s="2">
        <f t="shared" ca="1" si="367"/>
        <v>2699191.7316548978</v>
      </c>
      <c r="BH359" s="2">
        <f t="shared" ca="1" si="368"/>
        <v>2945853.3552905726</v>
      </c>
      <c r="BI359" s="2">
        <f t="shared" ca="1" si="369"/>
        <v>35077446.493900627</v>
      </c>
      <c r="BJ359" s="2">
        <f t="shared" ca="1" si="370"/>
        <v>0.23568967189240131</v>
      </c>
      <c r="BK359" s="2">
        <f t="shared" ca="1" si="371"/>
        <v>9362753.9728703164</v>
      </c>
    </row>
    <row r="360" spans="1:63" x14ac:dyDescent="0.3">
      <c r="A360" s="2">
        <v>359</v>
      </c>
      <c r="B360" s="2">
        <f t="shared" ca="1" si="310"/>
        <v>0.14986866452724346</v>
      </c>
      <c r="C360" s="2">
        <f t="shared" ca="1" si="311"/>
        <v>6.5474827203250223</v>
      </c>
      <c r="D360" s="2">
        <f t="shared" ca="1" si="312"/>
        <v>0.63557240622047084</v>
      </c>
      <c r="E360" s="2">
        <f t="shared" ca="1" si="313"/>
        <v>7.6462698391417474</v>
      </c>
      <c r="F360" s="2">
        <f t="shared" ca="1" si="314"/>
        <v>0.22714732263979531</v>
      </c>
      <c r="G360" s="2">
        <f t="shared" ca="1" si="315"/>
        <v>1.755176714059482E-2</v>
      </c>
      <c r="H360" s="2">
        <f t="shared" ca="1" si="316"/>
        <v>1.755176714059482E-2</v>
      </c>
      <c r="I360" s="2">
        <f t="shared" ca="1" si="317"/>
        <v>0.2810279744778249</v>
      </c>
      <c r="J360" s="2">
        <f t="shared" ca="1" si="318"/>
        <v>7.1010478275254762E-3</v>
      </c>
      <c r="K360" s="2">
        <f t="shared" ca="1" si="319"/>
        <v>7.1010478275254762E-3</v>
      </c>
      <c r="L360" s="2">
        <f t="shared" ca="1" si="320"/>
        <v>0.11920517301540035</v>
      </c>
      <c r="M360" s="2">
        <f t="shared" ca="1" si="321"/>
        <v>-2.3579388743779621E-2</v>
      </c>
      <c r="N360" s="2">
        <f t="shared" ca="1" si="322"/>
        <v>-2.3579388743779621E-2</v>
      </c>
      <c r="O360" s="2">
        <f t="shared" si="323"/>
        <v>6000000</v>
      </c>
      <c r="P360" s="2">
        <f t="shared" ca="1" si="324"/>
        <v>39284896.321950138</v>
      </c>
      <c r="Q360" s="2">
        <f t="shared" ca="1" si="325"/>
        <v>982122.40804875351</v>
      </c>
      <c r="R360" s="2">
        <f t="shared" ca="1" si="326"/>
        <v>23570937.793170083</v>
      </c>
      <c r="S360" s="2">
        <f t="shared" ca="1" si="327"/>
        <v>15713958.528780056</v>
      </c>
      <c r="T360" s="2">
        <f t="shared" ca="1" si="328"/>
        <v>48821030.562811017</v>
      </c>
      <c r="U360" s="2">
        <f t="shared" ca="1" si="329"/>
        <v>49677925.922813341</v>
      </c>
      <c r="V360" s="2">
        <f t="shared" ca="1" si="330"/>
        <v>50549861.310638286</v>
      </c>
      <c r="W360" s="2">
        <f t="shared" ca="1" si="331"/>
        <v>51437100.705351979</v>
      </c>
      <c r="X360" s="2">
        <f t="shared" ca="1" si="332"/>
        <v>52339912.719319649</v>
      </c>
      <c r="Y360" s="2">
        <f t="shared" ca="1" si="333"/>
        <v>0.12355052391376273</v>
      </c>
      <c r="Z360" s="2">
        <f t="shared" ca="1" si="334"/>
        <v>0.12497073347926783</v>
      </c>
      <c r="AA360" s="2">
        <f t="shared" ca="1" si="335"/>
        <v>6031863.9040451236</v>
      </c>
      <c r="AB360" s="2">
        <f t="shared" ca="1" si="336"/>
        <v>6208286.8403027169</v>
      </c>
      <c r="AC360" s="2">
        <f t="shared" ca="1" si="337"/>
        <v>6317253.2452657297</v>
      </c>
      <c r="AD360" s="2">
        <f t="shared" ca="1" si="338"/>
        <v>6428132.2031948017</v>
      </c>
      <c r="AE360" s="2">
        <f t="shared" ca="1" si="339"/>
        <v>6540957.2827742361</v>
      </c>
      <c r="AF360" s="2">
        <f t="shared" ca="1" si="340"/>
        <v>976420.61125622038</v>
      </c>
      <c r="AG360" s="2">
        <f t="shared" ca="1" si="341"/>
        <v>993558.51845626684</v>
      </c>
      <c r="AH360" s="2">
        <f t="shared" ca="1" si="342"/>
        <v>1010997.2262127658</v>
      </c>
      <c r="AI360" s="2">
        <f t="shared" ca="1" si="343"/>
        <v>1028742.0141070395</v>
      </c>
      <c r="AJ360" s="2">
        <f t="shared" ca="1" si="344"/>
        <v>1046798.254386393</v>
      </c>
      <c r="AK360" s="2">
        <f t="shared" ca="1" si="345"/>
        <v>0</v>
      </c>
      <c r="AL360" s="2">
        <f t="shared" ca="1" si="346"/>
        <v>8568.9536000232401</v>
      </c>
      <c r="AM360" s="2">
        <f t="shared" ca="1" si="347"/>
        <v>8719.3538782494525</v>
      </c>
      <c r="AN360" s="2">
        <f t="shared" ca="1" si="348"/>
        <v>8872.3939471369231</v>
      </c>
      <c r="AO360" s="2">
        <f t="shared" ca="1" si="349"/>
        <v>9028.1201396767046</v>
      </c>
      <c r="AP360" s="2">
        <f t="shared" ca="1" si="350"/>
        <v>2121384.4013853073</v>
      </c>
      <c r="AQ360" s="2">
        <f t="shared" ca="1" si="351"/>
        <v>762855.31176493492</v>
      </c>
      <c r="AR360" s="2">
        <f t="shared" ca="1" si="352"/>
        <v>804269.41931989708</v>
      </c>
      <c r="AS360" s="2">
        <f t="shared" ca="1" si="353"/>
        <v>828066.62059359066</v>
      </c>
      <c r="AT360" s="2">
        <f t="shared" ca="1" si="354"/>
        <v>852281.50480263843</v>
      </c>
      <c r="AU360" s="2">
        <f t="shared" ca="1" si="355"/>
        <v>876921.40302065923</v>
      </c>
      <c r="AV360" s="2">
        <f t="shared" ca="1" si="356"/>
        <v>2171203.5796386609</v>
      </c>
      <c r="AW360" s="2">
        <f t="shared" ca="1" si="357"/>
        <v>2280505.5475412225</v>
      </c>
      <c r="AX360" s="2">
        <f t="shared" ca="1" si="358"/>
        <v>2348085.6431958163</v>
      </c>
      <c r="AY360" s="2">
        <f t="shared" ca="1" si="359"/>
        <v>2416851.8889526799</v>
      </c>
      <c r="AZ360" s="2">
        <f t="shared" ca="1" si="360"/>
        <v>2486825.1038421988</v>
      </c>
      <c r="BA360" s="2">
        <f t="shared" ca="1" si="361"/>
        <v>50013924.390391201</v>
      </c>
      <c r="BB360" s="2">
        <f t="shared" ca="1" si="362"/>
        <v>1000278.487807824</v>
      </c>
      <c r="BC360" s="2">
        <f t="shared" ca="1" si="363"/>
        <v>25442708.109413292</v>
      </c>
      <c r="BD360" s="2">
        <f t="shared" ca="1" si="364"/>
        <v>-17196080.936828807</v>
      </c>
      <c r="BE360" s="2">
        <f t="shared" ca="1" si="365"/>
        <v>2171203.5796386609</v>
      </c>
      <c r="BF360" s="2">
        <f t="shared" ca="1" si="366"/>
        <v>2280505.5475412225</v>
      </c>
      <c r="BG360" s="2">
        <f t="shared" ca="1" si="367"/>
        <v>2348085.6431958163</v>
      </c>
      <c r="BH360" s="2">
        <f t="shared" ca="1" si="368"/>
        <v>2416851.8889526799</v>
      </c>
      <c r="BI360" s="2">
        <f t="shared" ca="1" si="369"/>
        <v>27929533.213255491</v>
      </c>
      <c r="BJ360" s="2">
        <f t="shared" ca="1" si="370"/>
        <v>0.19906680904420271</v>
      </c>
      <c r="BK360" s="2">
        <f t="shared" ca="1" si="371"/>
        <v>5615740.0102126412</v>
      </c>
    </row>
    <row r="361" spans="1:63" x14ac:dyDescent="0.3">
      <c r="A361" s="2">
        <v>360</v>
      </c>
      <c r="B361" s="2">
        <f t="shared" ca="1" si="310"/>
        <v>0.89611133828510081</v>
      </c>
      <c r="C361" s="2">
        <f t="shared" ca="1" si="311"/>
        <v>7.5441740206725836</v>
      </c>
      <c r="D361" s="2">
        <f t="shared" ca="1" si="312"/>
        <v>0.45879793900307975</v>
      </c>
      <c r="E361" s="2">
        <f t="shared" ca="1" si="313"/>
        <v>7.4579122496378041</v>
      </c>
      <c r="F361" s="2">
        <f t="shared" ca="1" si="314"/>
        <v>0.55873992677477691</v>
      </c>
      <c r="G361" s="2">
        <f t="shared" ca="1" si="315"/>
        <v>4.4433257349787016E-2</v>
      </c>
      <c r="H361" s="2">
        <f t="shared" ca="1" si="316"/>
        <v>4.4433257349787016E-2</v>
      </c>
      <c r="I361" s="2">
        <f t="shared" ca="1" si="317"/>
        <v>0.94388743588849455</v>
      </c>
      <c r="J361" s="2">
        <f t="shared" ca="1" si="318"/>
        <v>1.7941353760462988E-2</v>
      </c>
      <c r="K361" s="2">
        <f t="shared" ca="1" si="319"/>
        <v>1.7941353760462988E-2</v>
      </c>
      <c r="L361" s="2">
        <f t="shared" ca="1" si="320"/>
        <v>0.48136764352119976</v>
      </c>
      <c r="M361" s="2">
        <f t="shared" ca="1" si="321"/>
        <v>-9.3442767862080695E-4</v>
      </c>
      <c r="N361" s="2">
        <f t="shared" ca="1" si="322"/>
        <v>-9.3442767862080695E-4</v>
      </c>
      <c r="O361" s="2">
        <f t="shared" si="323"/>
        <v>6000000</v>
      </c>
      <c r="P361" s="2">
        <f t="shared" ca="1" si="324"/>
        <v>45265044.1240355</v>
      </c>
      <c r="Q361" s="2">
        <f t="shared" ca="1" si="325"/>
        <v>1131626.1031008875</v>
      </c>
      <c r="R361" s="2">
        <f t="shared" ca="1" si="326"/>
        <v>27159026.4744213</v>
      </c>
      <c r="S361" s="2">
        <f t="shared" ca="1" si="327"/>
        <v>18106017.6496142</v>
      </c>
      <c r="T361" s="2">
        <f t="shared" ca="1" si="328"/>
        <v>49953278.616068959</v>
      </c>
      <c r="U361" s="2">
        <f t="shared" ca="1" si="329"/>
        <v>52172865.500282362</v>
      </c>
      <c r="V361" s="2">
        <f t="shared" ca="1" si="330"/>
        <v>54491075.859732233</v>
      </c>
      <c r="W361" s="2">
        <f t="shared" ca="1" si="331"/>
        <v>56912291.856674477</v>
      </c>
      <c r="X361" s="2">
        <f t="shared" ca="1" si="332"/>
        <v>59441090.367108278</v>
      </c>
      <c r="Y361" s="2">
        <f t="shared" ca="1" si="333"/>
        <v>0.12897067688023148</v>
      </c>
      <c r="Z361" s="2">
        <f t="shared" ca="1" si="334"/>
        <v>0.13255894763232409</v>
      </c>
      <c r="AA361" s="2">
        <f t="shared" ca="1" si="335"/>
        <v>6442508.1555012064</v>
      </c>
      <c r="AB361" s="2">
        <f t="shared" ca="1" si="336"/>
        <v>6915980.145680218</v>
      </c>
      <c r="AC361" s="2">
        <f t="shared" ca="1" si="337"/>
        <v>7223279.6713192444</v>
      </c>
      <c r="AD361" s="2">
        <f t="shared" ca="1" si="338"/>
        <v>7544233.515864457</v>
      </c>
      <c r="AE361" s="2">
        <f t="shared" ca="1" si="339"/>
        <v>7879448.3851817502</v>
      </c>
      <c r="AF361" s="2">
        <f t="shared" ca="1" si="340"/>
        <v>999065.57232137921</v>
      </c>
      <c r="AG361" s="2">
        <f t="shared" ca="1" si="341"/>
        <v>1043457.3100056472</v>
      </c>
      <c r="AH361" s="2">
        <f t="shared" ca="1" si="342"/>
        <v>1089821.5171946448</v>
      </c>
      <c r="AI361" s="2">
        <f t="shared" ca="1" si="343"/>
        <v>1138245.8371334895</v>
      </c>
      <c r="AJ361" s="2">
        <f t="shared" ca="1" si="344"/>
        <v>1188821.8073421656</v>
      </c>
      <c r="AK361" s="2">
        <f t="shared" ca="1" si="345"/>
        <v>0</v>
      </c>
      <c r="AL361" s="2">
        <f t="shared" ca="1" si="346"/>
        <v>22195.86884213403</v>
      </c>
      <c r="AM361" s="2">
        <f t="shared" ca="1" si="347"/>
        <v>23182.103594498709</v>
      </c>
      <c r="AN361" s="2">
        <f t="shared" ca="1" si="348"/>
        <v>24212.159969422446</v>
      </c>
      <c r="AO361" s="2">
        <f t="shared" ca="1" si="349"/>
        <v>25287.985104338004</v>
      </c>
      <c r="AP361" s="2">
        <f t="shared" ca="1" si="350"/>
        <v>2444312.3826979171</v>
      </c>
      <c r="AQ361" s="2">
        <f t="shared" ca="1" si="351"/>
        <v>779773.8521252966</v>
      </c>
      <c r="AR361" s="2">
        <f t="shared" ca="1" si="352"/>
        <v>891334.71777393005</v>
      </c>
      <c r="AS361" s="2">
        <f t="shared" ca="1" si="353"/>
        <v>959177.90057093755</v>
      </c>
      <c r="AT361" s="2">
        <f t="shared" ca="1" si="354"/>
        <v>1030035.5769685932</v>
      </c>
      <c r="AU361" s="2">
        <f t="shared" ca="1" si="355"/>
        <v>1104041.6907368335</v>
      </c>
      <c r="AV361" s="2">
        <f t="shared" ca="1" si="356"/>
        <v>2219356.3483566134</v>
      </c>
      <c r="AW361" s="2">
        <f t="shared" ca="1" si="357"/>
        <v>2514679.8663605894</v>
      </c>
      <c r="AX361" s="2">
        <f t="shared" ca="1" si="358"/>
        <v>2706785.7672612467</v>
      </c>
      <c r="AY361" s="2">
        <f t="shared" ca="1" si="359"/>
        <v>2907427.5590950348</v>
      </c>
      <c r="AZ361" s="2">
        <f t="shared" ca="1" si="360"/>
        <v>3116984.5193004967</v>
      </c>
      <c r="BA361" s="2">
        <f t="shared" ca="1" si="361"/>
        <v>58764234.632235788</v>
      </c>
      <c r="BB361" s="2">
        <f t="shared" ca="1" si="362"/>
        <v>1175284.6926447158</v>
      </c>
      <c r="BC361" s="2">
        <f t="shared" ca="1" si="363"/>
        <v>30429923.465169773</v>
      </c>
      <c r="BD361" s="2">
        <f t="shared" ca="1" si="364"/>
        <v>-19737643.752715088</v>
      </c>
      <c r="BE361" s="2">
        <f t="shared" ca="1" si="365"/>
        <v>2219356.3483566134</v>
      </c>
      <c r="BF361" s="2">
        <f t="shared" ca="1" si="366"/>
        <v>2514679.8663605894</v>
      </c>
      <c r="BG361" s="2">
        <f t="shared" ca="1" si="367"/>
        <v>2706785.7672612467</v>
      </c>
      <c r="BH361" s="2">
        <f t="shared" ca="1" si="368"/>
        <v>2907427.5590950348</v>
      </c>
      <c r="BI361" s="2">
        <f t="shared" ca="1" si="369"/>
        <v>33546907.984470271</v>
      </c>
      <c r="BJ361" s="2">
        <f t="shared" ca="1" si="370"/>
        <v>0.20450286030236264</v>
      </c>
      <c r="BK361" s="2">
        <f t="shared" ca="1" si="371"/>
        <v>7058387.7452894188</v>
      </c>
    </row>
    <row r="362" spans="1:63" x14ac:dyDescent="0.3">
      <c r="A362" s="2">
        <v>361</v>
      </c>
      <c r="B362" s="2">
        <f t="shared" ca="1" si="310"/>
        <v>0.30260819931074778</v>
      </c>
      <c r="C362" s="2">
        <f t="shared" ca="1" si="311"/>
        <v>6.777956553170867</v>
      </c>
      <c r="D362" s="2">
        <f t="shared" ca="1" si="312"/>
        <v>0.98800476930176506</v>
      </c>
      <c r="E362" s="2">
        <f t="shared" ca="1" si="313"/>
        <v>8.3451114549217085</v>
      </c>
      <c r="F362" s="2">
        <f t="shared" ca="1" si="314"/>
        <v>0.45718173250345195</v>
      </c>
      <c r="G362" s="2">
        <f t="shared" ca="1" si="315"/>
        <v>3.6773908578413735E-2</v>
      </c>
      <c r="H362" s="2">
        <f t="shared" ca="1" si="316"/>
        <v>3.6773908578413735E-2</v>
      </c>
      <c r="I362" s="2">
        <f t="shared" ca="1" si="317"/>
        <v>4.9603830578135666E-2</v>
      </c>
      <c r="J362" s="2">
        <f t="shared" ca="1" si="318"/>
        <v>1.7564646527271337E-3</v>
      </c>
      <c r="K362" s="2">
        <f t="shared" ca="1" si="319"/>
        <v>1.7564646527271337E-3</v>
      </c>
      <c r="L362" s="2">
        <f t="shared" ca="1" si="320"/>
        <v>0.70308487097257322</v>
      </c>
      <c r="M362" s="2">
        <f t="shared" ca="1" si="321"/>
        <v>1.0665874866359849E-2</v>
      </c>
      <c r="N362" s="2">
        <f t="shared" ca="1" si="322"/>
        <v>1.0665874866359849E-2</v>
      </c>
      <c r="O362" s="2">
        <f t="shared" si="323"/>
        <v>6000000</v>
      </c>
      <c r="P362" s="2">
        <f t="shared" ca="1" si="324"/>
        <v>40667739.319025204</v>
      </c>
      <c r="Q362" s="2">
        <f t="shared" ca="1" si="325"/>
        <v>1016693.4829756301</v>
      </c>
      <c r="R362" s="2">
        <f t="shared" ca="1" si="326"/>
        <v>24400643.591415122</v>
      </c>
      <c r="S362" s="2">
        <f t="shared" ca="1" si="327"/>
        <v>16267095.727610081</v>
      </c>
      <c r="T362" s="2">
        <f t="shared" ca="1" si="328"/>
        <v>50533293.743317999</v>
      </c>
      <c r="U362" s="2">
        <f t="shared" ca="1" si="329"/>
        <v>52391600.467600904</v>
      </c>
      <c r="V362" s="2">
        <f t="shared" ca="1" si="330"/>
        <v>54318244.393473238</v>
      </c>
      <c r="W362" s="2">
        <f t="shared" ca="1" si="331"/>
        <v>56315738.546938762</v>
      </c>
      <c r="X362" s="2">
        <f t="shared" ca="1" si="332"/>
        <v>58386688.367789738</v>
      </c>
      <c r="Y362" s="2">
        <f t="shared" ca="1" si="333"/>
        <v>0.12087823232636356</v>
      </c>
      <c r="Z362" s="2">
        <f t="shared" ca="1" si="334"/>
        <v>0.12122952525690898</v>
      </c>
      <c r="AA362" s="2">
        <f t="shared" ca="1" si="335"/>
        <v>6108375.2213211674</v>
      </c>
      <c r="AB362" s="2">
        <f t="shared" ca="1" si="336"/>
        <v>6351408.8521369081</v>
      </c>
      <c r="AC362" s="2">
        <f t="shared" ca="1" si="337"/>
        <v>6584974.9806095185</v>
      </c>
      <c r="AD362" s="2">
        <f t="shared" ca="1" si="338"/>
        <v>6827130.2485375954</v>
      </c>
      <c r="AE362" s="2">
        <f t="shared" ca="1" si="339"/>
        <v>7078190.5121502401</v>
      </c>
      <c r="AF362" s="2">
        <f t="shared" ca="1" si="340"/>
        <v>1010665.87486636</v>
      </c>
      <c r="AG362" s="2">
        <f t="shared" ca="1" si="341"/>
        <v>1047832.0093520181</v>
      </c>
      <c r="AH362" s="2">
        <f t="shared" ca="1" si="342"/>
        <v>1086364.8878694647</v>
      </c>
      <c r="AI362" s="2">
        <f t="shared" ca="1" si="343"/>
        <v>1126314.7709387753</v>
      </c>
      <c r="AJ362" s="2">
        <f t="shared" ca="1" si="344"/>
        <v>1167733.7673557948</v>
      </c>
      <c r="AK362" s="2">
        <f t="shared" ca="1" si="345"/>
        <v>0</v>
      </c>
      <c r="AL362" s="2">
        <f t="shared" ca="1" si="346"/>
        <v>18583.067242829056</v>
      </c>
      <c r="AM362" s="2">
        <f t="shared" ca="1" si="347"/>
        <v>19266.439258723334</v>
      </c>
      <c r="AN362" s="2">
        <f t="shared" ca="1" si="348"/>
        <v>19974.941534655245</v>
      </c>
      <c r="AO362" s="2">
        <f t="shared" ca="1" si="349"/>
        <v>20709.498208509758</v>
      </c>
      <c r="AP362" s="2">
        <f t="shared" ca="1" si="350"/>
        <v>2196057.9232273609</v>
      </c>
      <c r="AQ362" s="2">
        <f t="shared" ca="1" si="351"/>
        <v>754429.37003913615</v>
      </c>
      <c r="AR362" s="2">
        <f t="shared" ca="1" si="352"/>
        <v>807954.91908495757</v>
      </c>
      <c r="AS362" s="2">
        <f t="shared" ca="1" si="353"/>
        <v>858663.56407329999</v>
      </c>
      <c r="AT362" s="2">
        <f t="shared" ca="1" si="354"/>
        <v>911236.96413657931</v>
      </c>
      <c r="AU362" s="2">
        <f t="shared" ca="1" si="355"/>
        <v>965743.69360744196</v>
      </c>
      <c r="AV362" s="2">
        <f t="shared" ca="1" si="356"/>
        <v>2147222.0531883105</v>
      </c>
      <c r="AW362" s="2">
        <f t="shared" ca="1" si="357"/>
        <v>2280980.9332297421</v>
      </c>
      <c r="AX362" s="2">
        <f t="shared" ca="1" si="358"/>
        <v>2424622.1661806689</v>
      </c>
      <c r="AY362" s="2">
        <f t="shared" ca="1" si="359"/>
        <v>2573545.6487002247</v>
      </c>
      <c r="AZ362" s="2">
        <f t="shared" ca="1" si="360"/>
        <v>2727945.6297511323</v>
      </c>
      <c r="BA362" s="2">
        <f t="shared" ca="1" si="361"/>
        <v>59068288.723063126</v>
      </c>
      <c r="BB362" s="2">
        <f t="shared" ca="1" si="362"/>
        <v>1181365.7744612626</v>
      </c>
      <c r="BC362" s="2">
        <f t="shared" ca="1" si="363"/>
        <v>33486279.357186742</v>
      </c>
      <c r="BD362" s="2">
        <f t="shared" ca="1" si="364"/>
        <v>-17783789.210585713</v>
      </c>
      <c r="BE362" s="2">
        <f t="shared" ca="1" si="365"/>
        <v>2147222.0531883105</v>
      </c>
      <c r="BF362" s="2">
        <f t="shared" ca="1" si="366"/>
        <v>2280980.9332297421</v>
      </c>
      <c r="BG362" s="2">
        <f t="shared" ca="1" si="367"/>
        <v>2424622.1661806689</v>
      </c>
      <c r="BH362" s="2">
        <f t="shared" ca="1" si="368"/>
        <v>2573545.6487002247</v>
      </c>
      <c r="BI362" s="2">
        <f t="shared" ca="1" si="369"/>
        <v>36214224.986937873</v>
      </c>
      <c r="BJ362" s="2">
        <f t="shared" ca="1" si="370"/>
        <v>0.24241378539356551</v>
      </c>
      <c r="BK362" s="2">
        <f t="shared" ca="1" si="371"/>
        <v>9862014.1399563402</v>
      </c>
    </row>
    <row r="363" spans="1:63" x14ac:dyDescent="0.3">
      <c r="A363" s="2">
        <v>362</v>
      </c>
      <c r="B363" s="2">
        <f t="shared" ca="1" si="310"/>
        <v>5.2952482857424488E-2</v>
      </c>
      <c r="C363" s="2">
        <f t="shared" ca="1" si="311"/>
        <v>6.3254304314517142</v>
      </c>
      <c r="D363" s="2">
        <f t="shared" ca="1" si="312"/>
        <v>0.58089668083745993</v>
      </c>
      <c r="E363" s="2">
        <f t="shared" ca="1" si="313"/>
        <v>7.5844637427577863</v>
      </c>
      <c r="F363" s="2">
        <f t="shared" ca="1" si="314"/>
        <v>0.13155333528140734</v>
      </c>
      <c r="G363" s="2">
        <f t="shared" ca="1" si="315"/>
        <v>6.4276463632078201E-3</v>
      </c>
      <c r="H363" s="2">
        <f t="shared" ca="1" si="316"/>
        <v>6.4276463632078201E-3</v>
      </c>
      <c r="I363" s="2">
        <f t="shared" ca="1" si="317"/>
        <v>0.114444087475425</v>
      </c>
      <c r="J363" s="2">
        <f t="shared" ca="1" si="318"/>
        <v>3.983860937539818E-3</v>
      </c>
      <c r="K363" s="2">
        <f t="shared" ca="1" si="319"/>
        <v>3.983860937539818E-3</v>
      </c>
      <c r="L363" s="2">
        <f t="shared" ca="1" si="320"/>
        <v>0.37947288684374192</v>
      </c>
      <c r="M363" s="2">
        <f t="shared" ca="1" si="321"/>
        <v>-6.1373093757281496E-3</v>
      </c>
      <c r="N363" s="2">
        <f t="shared" ca="1" si="322"/>
        <v>-6.1373093757281496E-3</v>
      </c>
      <c r="O363" s="2">
        <f t="shared" si="323"/>
        <v>6000000</v>
      </c>
      <c r="P363" s="2">
        <f t="shared" ca="1" si="324"/>
        <v>37952582.588710286</v>
      </c>
      <c r="Q363" s="2">
        <f t="shared" ca="1" si="325"/>
        <v>948814.56471775717</v>
      </c>
      <c r="R363" s="2">
        <f t="shared" ca="1" si="326"/>
        <v>22771549.553226169</v>
      </c>
      <c r="S363" s="2">
        <f t="shared" ca="1" si="327"/>
        <v>15181033.035484115</v>
      </c>
      <c r="T363" s="2">
        <f t="shared" ca="1" si="328"/>
        <v>49693134.531213596</v>
      </c>
      <c r="U363" s="2">
        <f t="shared" ca="1" si="329"/>
        <v>50012544.426659547</v>
      </c>
      <c r="V363" s="2">
        <f t="shared" ca="1" si="330"/>
        <v>50334007.375958331</v>
      </c>
      <c r="W363" s="2">
        <f t="shared" ca="1" si="331"/>
        <v>50657536.575414084</v>
      </c>
      <c r="X363" s="2">
        <f t="shared" ca="1" si="332"/>
        <v>50983145.306152113</v>
      </c>
      <c r="Y363" s="2">
        <f t="shared" ca="1" si="333"/>
        <v>0.12199193046876991</v>
      </c>
      <c r="Z363" s="2">
        <f t="shared" ca="1" si="334"/>
        <v>0.12278870265627786</v>
      </c>
      <c r="AA363" s="2">
        <f t="shared" ca="1" si="335"/>
        <v>6062161.4125070376</v>
      </c>
      <c r="AB363" s="2">
        <f t="shared" ca="1" si="336"/>
        <v>6140975.4466889855</v>
      </c>
      <c r="AC363" s="2">
        <f t="shared" ca="1" si="337"/>
        <v>6180447.4651854448</v>
      </c>
      <c r="AD363" s="2">
        <f t="shared" ca="1" si="338"/>
        <v>6220173.1958580408</v>
      </c>
      <c r="AE363" s="2">
        <f t="shared" ca="1" si="339"/>
        <v>6260154.2694789199</v>
      </c>
      <c r="AF363" s="2">
        <f t="shared" ca="1" si="340"/>
        <v>993862.69062427199</v>
      </c>
      <c r="AG363" s="2">
        <f t="shared" ca="1" si="341"/>
        <v>1000250.8885331909</v>
      </c>
      <c r="AH363" s="2">
        <f t="shared" ca="1" si="342"/>
        <v>1006680.1475191666</v>
      </c>
      <c r="AI363" s="2">
        <f t="shared" ca="1" si="343"/>
        <v>1013150.7315082817</v>
      </c>
      <c r="AJ363" s="2">
        <f t="shared" ca="1" si="344"/>
        <v>1019662.9061230422</v>
      </c>
      <c r="AK363" s="2">
        <f t="shared" ca="1" si="345"/>
        <v>0</v>
      </c>
      <c r="AL363" s="2">
        <f t="shared" ca="1" si="346"/>
        <v>3194.0989544595031</v>
      </c>
      <c r="AM363" s="2">
        <f t="shared" ca="1" si="347"/>
        <v>3214.6294929878413</v>
      </c>
      <c r="AN363" s="2">
        <f t="shared" ca="1" si="348"/>
        <v>3235.29199455753</v>
      </c>
      <c r="AO363" s="2">
        <f t="shared" ca="1" si="349"/>
        <v>3256.0873073802891</v>
      </c>
      <c r="AP363" s="2">
        <f t="shared" ca="1" si="350"/>
        <v>2049439.4597903551</v>
      </c>
      <c r="AQ363" s="2">
        <f t="shared" ca="1" si="351"/>
        <v>784903.40814402688</v>
      </c>
      <c r="AR363" s="2">
        <f t="shared" ca="1" si="352"/>
        <v>803734.12557501427</v>
      </c>
      <c r="AS363" s="2">
        <f t="shared" ca="1" si="353"/>
        <v>812325.24304774008</v>
      </c>
      <c r="AT363" s="2">
        <f t="shared" ca="1" si="354"/>
        <v>820971.58118544496</v>
      </c>
      <c r="AU363" s="2">
        <f t="shared" ca="1" si="355"/>
        <v>829673.49492703599</v>
      </c>
      <c r="AV363" s="2">
        <f t="shared" ca="1" si="356"/>
        <v>2233955.8539483841</v>
      </c>
      <c r="AW363" s="2">
        <f t="shared" ca="1" si="357"/>
        <v>2284356.8738359655</v>
      </c>
      <c r="AX363" s="2">
        <f t="shared" ca="1" si="358"/>
        <v>2308787.985335195</v>
      </c>
      <c r="AY363" s="2">
        <f t="shared" ca="1" si="359"/>
        <v>2333376.1313794008</v>
      </c>
      <c r="AZ363" s="2">
        <f t="shared" ca="1" si="360"/>
        <v>2358122.3213311066</v>
      </c>
      <c r="BA363" s="2">
        <f t="shared" ca="1" si="361"/>
        <v>47479913.080933228</v>
      </c>
      <c r="BB363" s="2">
        <f t="shared" ca="1" si="362"/>
        <v>949598.2616186646</v>
      </c>
      <c r="BC363" s="2">
        <f t="shared" ca="1" si="363"/>
        <v>23758765.266088393</v>
      </c>
      <c r="BD363" s="2">
        <f t="shared" ca="1" si="364"/>
        <v>-16629847.600201871</v>
      </c>
      <c r="BE363" s="2">
        <f t="shared" ca="1" si="365"/>
        <v>2233955.8539483841</v>
      </c>
      <c r="BF363" s="2">
        <f t="shared" ca="1" si="366"/>
        <v>2284356.8738359655</v>
      </c>
      <c r="BG363" s="2">
        <f t="shared" ca="1" si="367"/>
        <v>2308787.985335195</v>
      </c>
      <c r="BH363" s="2">
        <f t="shared" ca="1" si="368"/>
        <v>2333376.1313794008</v>
      </c>
      <c r="BI363" s="2">
        <f t="shared" ca="1" si="369"/>
        <v>26116887.587419499</v>
      </c>
      <c r="BJ363" s="2">
        <f t="shared" ca="1" si="370"/>
        <v>0.1959543778569901</v>
      </c>
      <c r="BK363" s="2">
        <f t="shared" ca="1" si="371"/>
        <v>5131506.959233094</v>
      </c>
    </row>
    <row r="364" spans="1:63" x14ac:dyDescent="0.3">
      <c r="A364" s="2">
        <v>363</v>
      </c>
      <c r="B364" s="2">
        <f t="shared" ca="1" si="310"/>
        <v>2.8534764821926628E-2</v>
      </c>
      <c r="C364" s="2">
        <f t="shared" ca="1" si="311"/>
        <v>6.2388922971630798</v>
      </c>
      <c r="D364" s="2">
        <f t="shared" ca="1" si="312"/>
        <v>0.487777703049591</v>
      </c>
      <c r="E364" s="2">
        <f t="shared" ca="1" si="313"/>
        <v>7.487702083676643</v>
      </c>
      <c r="F364" s="2">
        <f t="shared" ca="1" si="314"/>
        <v>0.93699097540724563</v>
      </c>
      <c r="G364" s="2">
        <f t="shared" ca="1" si="315"/>
        <v>8.5899839985971976E-2</v>
      </c>
      <c r="H364" s="2">
        <f t="shared" ca="1" si="316"/>
        <v>8.5899839985971976E-2</v>
      </c>
      <c r="I364" s="2">
        <f t="shared" ca="1" si="317"/>
        <v>0.55773314696380094</v>
      </c>
      <c r="J364" s="2">
        <f t="shared" ca="1" si="318"/>
        <v>1.072612197252144E-2</v>
      </c>
      <c r="K364" s="2">
        <f t="shared" ca="1" si="319"/>
        <v>1.072612197252144E-2</v>
      </c>
      <c r="L364" s="2">
        <f t="shared" ca="1" si="320"/>
        <v>0.13074010682399673</v>
      </c>
      <c r="M364" s="2">
        <f t="shared" ca="1" si="321"/>
        <v>-2.2457988411382409E-2</v>
      </c>
      <c r="N364" s="2">
        <f t="shared" ca="1" si="322"/>
        <v>-2.2457988411382409E-2</v>
      </c>
      <c r="O364" s="2">
        <f t="shared" si="323"/>
        <v>6000000</v>
      </c>
      <c r="P364" s="2">
        <f t="shared" ca="1" si="324"/>
        <v>37433353.782978475</v>
      </c>
      <c r="Q364" s="2">
        <f t="shared" ca="1" si="325"/>
        <v>935833.84457446192</v>
      </c>
      <c r="R364" s="2">
        <f t="shared" ca="1" si="326"/>
        <v>22460012.269787084</v>
      </c>
      <c r="S364" s="2">
        <f t="shared" ca="1" si="327"/>
        <v>14973341.513191391</v>
      </c>
      <c r="T364" s="2">
        <f t="shared" ca="1" si="328"/>
        <v>48877100.579430886</v>
      </c>
      <c r="U364" s="2">
        <f t="shared" ca="1" si="329"/>
        <v>53075635.698182262</v>
      </c>
      <c r="V364" s="2">
        <f t="shared" ca="1" si="330"/>
        <v>57634824.311809868</v>
      </c>
      <c r="W364" s="2">
        <f t="shared" ca="1" si="331"/>
        <v>62585646.497813947</v>
      </c>
      <c r="X364" s="2">
        <f t="shared" ca="1" si="332"/>
        <v>67961743.517394781</v>
      </c>
      <c r="Y364" s="2">
        <f t="shared" ca="1" si="333"/>
        <v>0.12536306098626071</v>
      </c>
      <c r="Z364" s="2">
        <f t="shared" ca="1" si="334"/>
        <v>0.127508285380765</v>
      </c>
      <c r="AA364" s="2">
        <f t="shared" ca="1" si="335"/>
        <v>6127382.9407707928</v>
      </c>
      <c r="AB364" s="2">
        <f t="shared" ca="1" si="336"/>
        <v>6767583.3033693423</v>
      </c>
      <c r="AC364" s="2">
        <f t="shared" ca="1" si="337"/>
        <v>7348917.6262205057</v>
      </c>
      <c r="AD364" s="2">
        <f t="shared" ca="1" si="338"/>
        <v>7980188.474382937</v>
      </c>
      <c r="AE364" s="2">
        <f t="shared" ca="1" si="339"/>
        <v>8665685.3873903304</v>
      </c>
      <c r="AF364" s="2">
        <f t="shared" ca="1" si="340"/>
        <v>977542.01158861769</v>
      </c>
      <c r="AG364" s="2">
        <f t="shared" ca="1" si="341"/>
        <v>1061512.7139636453</v>
      </c>
      <c r="AH364" s="2">
        <f t="shared" ca="1" si="342"/>
        <v>1152696.4862361974</v>
      </c>
      <c r="AI364" s="2">
        <f t="shared" ca="1" si="343"/>
        <v>1251712.929956279</v>
      </c>
      <c r="AJ364" s="2">
        <f t="shared" ca="1" si="344"/>
        <v>1359234.8703478957</v>
      </c>
      <c r="AK364" s="2">
        <f t="shared" ca="1" si="345"/>
        <v>0</v>
      </c>
      <c r="AL364" s="2">
        <f t="shared" ca="1" si="346"/>
        <v>41985.35118751377</v>
      </c>
      <c r="AM364" s="2">
        <f t="shared" ca="1" si="347"/>
        <v>45591.886136276051</v>
      </c>
      <c r="AN364" s="2">
        <f t="shared" ca="1" si="348"/>
        <v>49508.221860040801</v>
      </c>
      <c r="AO364" s="2">
        <f t="shared" ca="1" si="349"/>
        <v>53760.970195808339</v>
      </c>
      <c r="AP364" s="2">
        <f t="shared" ca="1" si="350"/>
        <v>2021401.1042808376</v>
      </c>
      <c r="AQ364" s="2">
        <f t="shared" ca="1" si="351"/>
        <v>813394.35447434778</v>
      </c>
      <c r="AR364" s="2">
        <f t="shared" ca="1" si="352"/>
        <v>958014.0661324634</v>
      </c>
      <c r="AS364" s="2">
        <f t="shared" ca="1" si="353"/>
        <v>1085453.2092829023</v>
      </c>
      <c r="AT364" s="2">
        <f t="shared" ca="1" si="354"/>
        <v>1223839.3544379133</v>
      </c>
      <c r="AU364" s="2">
        <f t="shared" ca="1" si="355"/>
        <v>1374112.8473180153</v>
      </c>
      <c r="AV364" s="2">
        <f t="shared" ca="1" si="356"/>
        <v>2315045.4704269897</v>
      </c>
      <c r="AW364" s="2">
        <f t="shared" ca="1" si="357"/>
        <v>2684670.0678048814</v>
      </c>
      <c r="AX364" s="2">
        <f t="shared" ca="1" si="358"/>
        <v>3043774.9402842922</v>
      </c>
      <c r="AY364" s="2">
        <f t="shared" ca="1" si="359"/>
        <v>3433726.8638478657</v>
      </c>
      <c r="AZ364" s="2">
        <f t="shared" ca="1" si="360"/>
        <v>3857175.5952477735</v>
      </c>
      <c r="BA364" s="2">
        <f t="shared" ca="1" si="361"/>
        <v>64886070.531648815</v>
      </c>
      <c r="BB364" s="2">
        <f t="shared" ca="1" si="362"/>
        <v>1297721.4106329763</v>
      </c>
      <c r="BC364" s="2">
        <f t="shared" ca="1" si="363"/>
        <v>41128336.851228751</v>
      </c>
      <c r="BD364" s="2">
        <f t="shared" ca="1" si="364"/>
        <v>-16409175.357765853</v>
      </c>
      <c r="BE364" s="2">
        <f t="shared" ca="1" si="365"/>
        <v>2315045.4704269897</v>
      </c>
      <c r="BF364" s="2">
        <f t="shared" ca="1" si="366"/>
        <v>2684670.0678048814</v>
      </c>
      <c r="BG364" s="2">
        <f t="shared" ca="1" si="367"/>
        <v>3043774.9402842922</v>
      </c>
      <c r="BH364" s="2">
        <f t="shared" ca="1" si="368"/>
        <v>3433726.8638478657</v>
      </c>
      <c r="BI364" s="2">
        <f t="shared" ca="1" si="369"/>
        <v>44985512.446476527</v>
      </c>
      <c r="BJ364" s="2">
        <f t="shared" ca="1" si="370"/>
        <v>0.33099406319257341</v>
      </c>
      <c r="BK364" s="2">
        <f t="shared" ca="1" si="371"/>
        <v>17672714.327800013</v>
      </c>
    </row>
    <row r="365" spans="1:63" x14ac:dyDescent="0.3">
      <c r="A365" s="2">
        <v>364</v>
      </c>
      <c r="B365" s="2">
        <f t="shared" ca="1" si="310"/>
        <v>0.88186354209307649</v>
      </c>
      <c r="C365" s="2">
        <f t="shared" ca="1" si="311"/>
        <v>7.5139208749453985</v>
      </c>
      <c r="D365" s="2">
        <f t="shared" ca="1" si="312"/>
        <v>0.18952077115357002</v>
      </c>
      <c r="E365" s="2">
        <f t="shared" ca="1" si="313"/>
        <v>7.1156634976244248</v>
      </c>
      <c r="F365" s="2">
        <f t="shared" ca="1" si="314"/>
        <v>0.62151028573570588</v>
      </c>
      <c r="G365" s="2">
        <f t="shared" ca="1" si="315"/>
        <v>4.9283492602546539E-2</v>
      </c>
      <c r="H365" s="2">
        <f t="shared" ca="1" si="316"/>
        <v>4.9283492602546539E-2</v>
      </c>
      <c r="I365" s="2">
        <f t="shared" ca="1" si="317"/>
        <v>0.76933465464644557</v>
      </c>
      <c r="J365" s="2">
        <f t="shared" ca="1" si="318"/>
        <v>1.3683287233206358E-2</v>
      </c>
      <c r="K365" s="2">
        <f t="shared" ca="1" si="319"/>
        <v>1.3683287233206358E-2</v>
      </c>
      <c r="L365" s="2">
        <f t="shared" ca="1" si="320"/>
        <v>0.86691004705612384</v>
      </c>
      <c r="M365" s="2">
        <f t="shared" ca="1" si="321"/>
        <v>2.2238057805132879E-2</v>
      </c>
      <c r="N365" s="2">
        <f t="shared" ca="1" si="322"/>
        <v>2.2238057805132879E-2</v>
      </c>
      <c r="O365" s="2">
        <f t="shared" si="323"/>
        <v>6000000</v>
      </c>
      <c r="P365" s="2">
        <f t="shared" ca="1" si="324"/>
        <v>45083525.249672391</v>
      </c>
      <c r="Q365" s="2">
        <f t="shared" ca="1" si="325"/>
        <v>1127088.1312418098</v>
      </c>
      <c r="R365" s="2">
        <f t="shared" ca="1" si="326"/>
        <v>27050115.149803434</v>
      </c>
      <c r="S365" s="2">
        <f t="shared" ca="1" si="327"/>
        <v>18033410.099868957</v>
      </c>
      <c r="T365" s="2">
        <f t="shared" ca="1" si="328"/>
        <v>51111902.890256643</v>
      </c>
      <c r="U365" s="2">
        <f t="shared" ca="1" si="329"/>
        <v>53630875.978250682</v>
      </c>
      <c r="V365" s="2">
        <f t="shared" ca="1" si="330"/>
        <v>56273992.857792892</v>
      </c>
      <c r="W365" s="2">
        <f t="shared" ca="1" si="331"/>
        <v>59047371.768515684</v>
      </c>
      <c r="X365" s="2">
        <f t="shared" ca="1" si="332"/>
        <v>61957432.478269137</v>
      </c>
      <c r="Y365" s="2">
        <f t="shared" ca="1" si="333"/>
        <v>0.12684164361660316</v>
      </c>
      <c r="Z365" s="2">
        <f t="shared" ca="1" si="334"/>
        <v>0.12957830106324444</v>
      </c>
      <c r="AA365" s="2">
        <f t="shared" ca="1" si="335"/>
        <v>6483117.7709723618</v>
      </c>
      <c r="AB365" s="2">
        <f t="shared" ca="1" si="336"/>
        <v>6949397.7937952913</v>
      </c>
      <c r="AC365" s="2">
        <f t="shared" ca="1" si="337"/>
        <v>7291888.3885579547</v>
      </c>
      <c r="AD365" s="2">
        <f t="shared" ca="1" si="338"/>
        <v>7651258.1160140457</v>
      </c>
      <c r="AE365" s="2">
        <f t="shared" ca="1" si="339"/>
        <v>8028338.8387747975</v>
      </c>
      <c r="AF365" s="2">
        <f t="shared" ca="1" si="340"/>
        <v>1022238.0578051329</v>
      </c>
      <c r="AG365" s="2">
        <f t="shared" ca="1" si="341"/>
        <v>1072617.5195650137</v>
      </c>
      <c r="AH365" s="2">
        <f t="shared" ca="1" si="342"/>
        <v>1125479.8571558578</v>
      </c>
      <c r="AI365" s="2">
        <f t="shared" ca="1" si="343"/>
        <v>1180947.4353703137</v>
      </c>
      <c r="AJ365" s="2">
        <f t="shared" ca="1" si="344"/>
        <v>1239148.6495653829</v>
      </c>
      <c r="AK365" s="2">
        <f t="shared" ca="1" si="345"/>
        <v>0</v>
      </c>
      <c r="AL365" s="2">
        <f t="shared" ca="1" si="346"/>
        <v>25189.730879940391</v>
      </c>
      <c r="AM365" s="2">
        <f t="shared" ca="1" si="347"/>
        <v>26431.168795422094</v>
      </c>
      <c r="AN365" s="2">
        <f t="shared" ca="1" si="348"/>
        <v>27733.789107227924</v>
      </c>
      <c r="AO365" s="2">
        <f t="shared" ca="1" si="349"/>
        <v>29100.607097534539</v>
      </c>
      <c r="AP365" s="2">
        <f t="shared" ca="1" si="350"/>
        <v>2434510.363482309</v>
      </c>
      <c r="AQ365" s="2">
        <f t="shared" ca="1" si="351"/>
        <v>786856.0309180792</v>
      </c>
      <c r="AR365" s="2">
        <f t="shared" ca="1" si="352"/>
        <v>894990.1767944718</v>
      </c>
      <c r="AS365" s="2">
        <f t="shared" ca="1" si="353"/>
        <v>970293.52365914488</v>
      </c>
      <c r="AT365" s="2">
        <f t="shared" ca="1" si="354"/>
        <v>1049308.0824619699</v>
      </c>
      <c r="AU365" s="2">
        <f t="shared" ca="1" si="355"/>
        <v>1132216.7546890473</v>
      </c>
      <c r="AV365" s="2">
        <f t="shared" ca="1" si="356"/>
        <v>2239513.3187668403</v>
      </c>
      <c r="AW365" s="2">
        <f t="shared" ca="1" si="357"/>
        <v>2522090.0030735559</v>
      </c>
      <c r="AX365" s="2">
        <f t="shared" ca="1" si="358"/>
        <v>2735173.4754652218</v>
      </c>
      <c r="AY365" s="2">
        <f t="shared" ca="1" si="359"/>
        <v>2958758.4455922251</v>
      </c>
      <c r="AZ365" s="2">
        <f t="shared" ca="1" si="360"/>
        <v>3193362.463940524</v>
      </c>
      <c r="BA365" s="2">
        <f t="shared" ca="1" si="361"/>
        <v>57126957.621630289</v>
      </c>
      <c r="BB365" s="2">
        <f t="shared" ca="1" si="362"/>
        <v>1142539.1524326059</v>
      </c>
      <c r="BC365" s="2">
        <f t="shared" ca="1" si="363"/>
        <v>28934303.319394249</v>
      </c>
      <c r="BD365" s="2">
        <f t="shared" ca="1" si="364"/>
        <v>-19660498.231110767</v>
      </c>
      <c r="BE365" s="2">
        <f t="shared" ca="1" si="365"/>
        <v>2239513.3187668403</v>
      </c>
      <c r="BF365" s="2">
        <f t="shared" ca="1" si="366"/>
        <v>2522090.0030735559</v>
      </c>
      <c r="BG365" s="2">
        <f t="shared" ca="1" si="367"/>
        <v>2735173.4754652218</v>
      </c>
      <c r="BH365" s="2">
        <f t="shared" ca="1" si="368"/>
        <v>2958758.4455922251</v>
      </c>
      <c r="BI365" s="2">
        <f t="shared" ca="1" si="369"/>
        <v>32127665.783334773</v>
      </c>
      <c r="BJ365" s="2">
        <f t="shared" ca="1" si="370"/>
        <v>0.19819123893125434</v>
      </c>
      <c r="BK365" s="2">
        <f t="shared" ca="1" si="371"/>
        <v>6406949.2541585974</v>
      </c>
    </row>
    <row r="366" spans="1:63" x14ac:dyDescent="0.3">
      <c r="A366" s="2">
        <v>365</v>
      </c>
      <c r="B366" s="2">
        <f t="shared" ca="1" si="310"/>
        <v>0.46742925526067081</v>
      </c>
      <c r="C366" s="2">
        <f t="shared" ca="1" si="311"/>
        <v>6.9668808150549593</v>
      </c>
      <c r="D366" s="2">
        <f t="shared" ca="1" si="312"/>
        <v>0.17256135705843745</v>
      </c>
      <c r="E366" s="2">
        <f t="shared" ca="1" si="313"/>
        <v>7.0874714581295635</v>
      </c>
      <c r="F366" s="2">
        <f t="shared" ca="1" si="314"/>
        <v>0.86559425581570537</v>
      </c>
      <c r="G366" s="2">
        <f t="shared" ca="1" si="315"/>
        <v>7.3174111334935343E-2</v>
      </c>
      <c r="H366" s="2">
        <f t="shared" ca="1" si="316"/>
        <v>7.3174111334935343E-2</v>
      </c>
      <c r="I366" s="2">
        <f t="shared" ca="1" si="317"/>
        <v>0.23539804980105838</v>
      </c>
      <c r="J366" s="2">
        <f t="shared" ca="1" si="318"/>
        <v>6.3940782527072467E-3</v>
      </c>
      <c r="K366" s="2">
        <f t="shared" ca="1" si="319"/>
        <v>6.3940782527072467E-3</v>
      </c>
      <c r="L366" s="2">
        <f t="shared" ca="1" si="320"/>
        <v>0.11350666524277586</v>
      </c>
      <c r="M366" s="2">
        <f t="shared" ca="1" si="321"/>
        <v>-2.4161764395377525E-2</v>
      </c>
      <c r="N366" s="2">
        <f t="shared" ca="1" si="322"/>
        <v>-2.4161764395377525E-2</v>
      </c>
      <c r="O366" s="2">
        <f t="shared" si="323"/>
        <v>6000000</v>
      </c>
      <c r="P366" s="2">
        <f t="shared" ca="1" si="324"/>
        <v>41801284.890329756</v>
      </c>
      <c r="Q366" s="2">
        <f t="shared" ca="1" si="325"/>
        <v>1045032.122258244</v>
      </c>
      <c r="R366" s="2">
        <f t="shared" ca="1" si="326"/>
        <v>25080770.934197854</v>
      </c>
      <c r="S366" s="2">
        <f t="shared" ca="1" si="327"/>
        <v>16720513.956131903</v>
      </c>
      <c r="T366" s="2">
        <f t="shared" ca="1" si="328"/>
        <v>48791911.780231126</v>
      </c>
      <c r="U366" s="2">
        <f t="shared" ca="1" si="329"/>
        <v>52362216.565082103</v>
      </c>
      <c r="V366" s="2">
        <f t="shared" ca="1" si="330"/>
        <v>56193775.229759417</v>
      </c>
      <c r="W366" s="2">
        <f t="shared" ca="1" si="331"/>
        <v>60305704.794752166</v>
      </c>
      <c r="X366" s="2">
        <f t="shared" ca="1" si="332"/>
        <v>64718521.151535101</v>
      </c>
      <c r="Y366" s="2">
        <f t="shared" ca="1" si="333"/>
        <v>0.12319703912635362</v>
      </c>
      <c r="Z366" s="2">
        <f t="shared" ca="1" si="334"/>
        <v>0.12447585477689507</v>
      </c>
      <c r="AA366" s="2">
        <f t="shared" ca="1" si="335"/>
        <v>6011019.0646387283</v>
      </c>
      <c r="AB366" s="2">
        <f t="shared" ca="1" si="336"/>
        <v>6517831.6649514893</v>
      </c>
      <c r="AC366" s="2">
        <f t="shared" ca="1" si="337"/>
        <v>6994768.204865017</v>
      </c>
      <c r="AD366" s="2">
        <f t="shared" ca="1" si="338"/>
        <v>7506604.1522498755</v>
      </c>
      <c r="AE366" s="2">
        <f t="shared" ca="1" si="339"/>
        <v>8055893.2402338954</v>
      </c>
      <c r="AF366" s="2">
        <f t="shared" ca="1" si="340"/>
        <v>975838.23560462252</v>
      </c>
      <c r="AG366" s="2">
        <f t="shared" ca="1" si="341"/>
        <v>1047244.3313016421</v>
      </c>
      <c r="AH366" s="2">
        <f t="shared" ca="1" si="342"/>
        <v>1123875.5045951884</v>
      </c>
      <c r="AI366" s="2">
        <f t="shared" ca="1" si="343"/>
        <v>1206114.0958950433</v>
      </c>
      <c r="AJ366" s="2">
        <f t="shared" ca="1" si="344"/>
        <v>1294370.4230307022</v>
      </c>
      <c r="AK366" s="2">
        <f t="shared" ca="1" si="345"/>
        <v>0</v>
      </c>
      <c r="AL366" s="2">
        <f t="shared" ca="1" si="346"/>
        <v>35703.047848509777</v>
      </c>
      <c r="AM366" s="2">
        <f t="shared" ca="1" si="347"/>
        <v>38315.586646773147</v>
      </c>
      <c r="AN366" s="2">
        <f t="shared" ca="1" si="348"/>
        <v>41119.295649927481</v>
      </c>
      <c r="AO366" s="2">
        <f t="shared" ca="1" si="349"/>
        <v>44128.163567829353</v>
      </c>
      <c r="AP366" s="2">
        <f t="shared" ca="1" si="350"/>
        <v>2257269.384077807</v>
      </c>
      <c r="AQ366" s="2">
        <f t="shared" ca="1" si="351"/>
        <v>722256.9756886377</v>
      </c>
      <c r="AR366" s="2">
        <f t="shared" ca="1" si="352"/>
        <v>835462.6668887306</v>
      </c>
      <c r="AS366" s="2">
        <f t="shared" ca="1" si="353"/>
        <v>939542.06220992561</v>
      </c>
      <c r="AT366" s="2">
        <f t="shared" ca="1" si="354"/>
        <v>1051237.3747920266</v>
      </c>
      <c r="AU366" s="2">
        <f t="shared" ca="1" si="355"/>
        <v>1171105.8926126005</v>
      </c>
      <c r="AV366" s="2">
        <f t="shared" ca="1" si="356"/>
        <v>2055654.4692676617</v>
      </c>
      <c r="AW366" s="2">
        <f t="shared" ca="1" si="357"/>
        <v>2342152.2348348005</v>
      </c>
      <c r="AX366" s="2">
        <f t="shared" ca="1" si="358"/>
        <v>2635765.6673353231</v>
      </c>
      <c r="AY366" s="2">
        <f t="shared" ca="1" si="359"/>
        <v>2950864.0018350715</v>
      </c>
      <c r="AZ366" s="2">
        <f t="shared" ca="1" si="360"/>
        <v>3289019.3769449564</v>
      </c>
      <c r="BA366" s="2">
        <f t="shared" ca="1" si="361"/>
        <v>57095913.40989662</v>
      </c>
      <c r="BB366" s="2">
        <f t="shared" ca="1" si="362"/>
        <v>1141918.2681979325</v>
      </c>
      <c r="BC366" s="2">
        <f t="shared" ca="1" si="363"/>
        <v>30873224.207500834</v>
      </c>
      <c r="BD366" s="2">
        <f t="shared" ca="1" si="364"/>
        <v>-18265546.078390148</v>
      </c>
      <c r="BE366" s="2">
        <f t="shared" ca="1" si="365"/>
        <v>2055654.4692676617</v>
      </c>
      <c r="BF366" s="2">
        <f t="shared" ca="1" si="366"/>
        <v>2342152.2348348005</v>
      </c>
      <c r="BG366" s="2">
        <f t="shared" ca="1" si="367"/>
        <v>2635765.6673353231</v>
      </c>
      <c r="BH366" s="2">
        <f t="shared" ca="1" si="368"/>
        <v>2950864.0018350715</v>
      </c>
      <c r="BI366" s="2">
        <f t="shared" ca="1" si="369"/>
        <v>34162243.584445789</v>
      </c>
      <c r="BJ366" s="2">
        <f t="shared" ca="1" si="370"/>
        <v>0.22663974740387927</v>
      </c>
      <c r="BK366" s="2">
        <f t="shared" ca="1" si="371"/>
        <v>8572996.9410136268</v>
      </c>
    </row>
    <row r="367" spans="1:63" x14ac:dyDescent="0.3">
      <c r="A367" s="2">
        <v>366</v>
      </c>
      <c r="B367" s="2">
        <f t="shared" ca="1" si="310"/>
        <v>0.7514228618187937</v>
      </c>
      <c r="C367" s="2">
        <f t="shared" ca="1" si="311"/>
        <v>7.2949083205976599</v>
      </c>
      <c r="D367" s="2">
        <f t="shared" ca="1" si="312"/>
        <v>0.48651843742481848</v>
      </c>
      <c r="E367" s="2">
        <f t="shared" ca="1" si="313"/>
        <v>7.4864263149620642</v>
      </c>
      <c r="F367" s="2">
        <f t="shared" ca="1" si="314"/>
        <v>0.9146729698005861</v>
      </c>
      <c r="G367" s="2">
        <f t="shared" ca="1" si="315"/>
        <v>8.1103156427109108E-2</v>
      </c>
      <c r="H367" s="2">
        <f t="shared" ca="1" si="316"/>
        <v>8.1103156427109108E-2</v>
      </c>
      <c r="I367" s="2">
        <f t="shared" ca="1" si="317"/>
        <v>0.93374621186259643</v>
      </c>
      <c r="J367" s="2">
        <f t="shared" ca="1" si="318"/>
        <v>1.7521433224848955E-2</v>
      </c>
      <c r="K367" s="2">
        <f t="shared" ca="1" si="319"/>
        <v>1.7521433224848955E-2</v>
      </c>
      <c r="L367" s="2">
        <f t="shared" ca="1" si="320"/>
        <v>8.3799821665809127E-2</v>
      </c>
      <c r="M367" s="2">
        <f t="shared" ca="1" si="321"/>
        <v>-2.759915568251926E-2</v>
      </c>
      <c r="N367" s="2">
        <f t="shared" ca="1" si="322"/>
        <v>-2.759915568251926E-2</v>
      </c>
      <c r="O367" s="2">
        <f t="shared" si="323"/>
        <v>6000000</v>
      </c>
      <c r="P367" s="2">
        <f t="shared" ca="1" si="324"/>
        <v>43769449.923585959</v>
      </c>
      <c r="Q367" s="2">
        <f t="shared" ca="1" si="325"/>
        <v>1094236.248089649</v>
      </c>
      <c r="R367" s="2">
        <f t="shared" ca="1" si="326"/>
        <v>26261669.954151575</v>
      </c>
      <c r="S367" s="2">
        <f t="shared" ca="1" si="327"/>
        <v>17507779.969434384</v>
      </c>
      <c r="T367" s="2">
        <f t="shared" ca="1" si="328"/>
        <v>48620042.215874039</v>
      </c>
      <c r="U367" s="2">
        <f t="shared" ca="1" si="329"/>
        <v>52563281.105200723</v>
      </c>
      <c r="V367" s="2">
        <f t="shared" ca="1" si="330"/>
        <v>56826329.114997931</v>
      </c>
      <c r="W367" s="2">
        <f t="shared" ca="1" si="331"/>
        <v>61435123.774389997</v>
      </c>
      <c r="X367" s="2">
        <f t="shared" ca="1" si="332"/>
        <v>66417706.227983162</v>
      </c>
      <c r="Y367" s="2">
        <f t="shared" ca="1" si="333"/>
        <v>0.12876071661242447</v>
      </c>
      <c r="Z367" s="2">
        <f t="shared" ca="1" si="334"/>
        <v>0.13226500325739426</v>
      </c>
      <c r="AA367" s="2">
        <f t="shared" ca="1" si="335"/>
        <v>6260351.4774422711</v>
      </c>
      <c r="AB367" s="2">
        <f t="shared" ca="1" si="336"/>
        <v>6952282.5465987036</v>
      </c>
      <c r="AC367" s="2">
        <f t="shared" ca="1" si="337"/>
        <v>7516134.6055009598</v>
      </c>
      <c r="AD367" s="2">
        <f t="shared" ca="1" si="338"/>
        <v>8125716.8461381132</v>
      </c>
      <c r="AE367" s="2">
        <f t="shared" ca="1" si="339"/>
        <v>8784738.1305928491</v>
      </c>
      <c r="AF367" s="2">
        <f t="shared" ca="1" si="340"/>
        <v>972400.84431748081</v>
      </c>
      <c r="AG367" s="2">
        <f t="shared" ca="1" si="341"/>
        <v>1051265.6221040145</v>
      </c>
      <c r="AH367" s="2">
        <f t="shared" ca="1" si="342"/>
        <v>1136526.5822999587</v>
      </c>
      <c r="AI367" s="2">
        <f t="shared" ca="1" si="343"/>
        <v>1228702.4754878001</v>
      </c>
      <c r="AJ367" s="2">
        <f t="shared" ca="1" si="344"/>
        <v>1328354.1245596632</v>
      </c>
      <c r="AK367" s="2">
        <f t="shared" ca="1" si="345"/>
        <v>0</v>
      </c>
      <c r="AL367" s="2">
        <f t="shared" ca="1" si="346"/>
        <v>39432.388893266841</v>
      </c>
      <c r="AM367" s="2">
        <f t="shared" ca="1" si="347"/>
        <v>42630.480097972082</v>
      </c>
      <c r="AN367" s="2">
        <f t="shared" ca="1" si="348"/>
        <v>46087.946593920664</v>
      </c>
      <c r="AO367" s="2">
        <f t="shared" ca="1" si="349"/>
        <v>49825.82453593165</v>
      </c>
      <c r="AP367" s="2">
        <f t="shared" ca="1" si="350"/>
        <v>2363550.2958736415</v>
      </c>
      <c r="AQ367" s="2">
        <f t="shared" ca="1" si="351"/>
        <v>760344.08768529864</v>
      </c>
      <c r="AR367" s="2">
        <f t="shared" ca="1" si="352"/>
        <v>919741.32344147249</v>
      </c>
      <c r="AS367" s="2">
        <f t="shared" ca="1" si="353"/>
        <v>1044175.0091051135</v>
      </c>
      <c r="AT367" s="2">
        <f t="shared" ca="1" si="354"/>
        <v>1178700.6594419347</v>
      </c>
      <c r="AU367" s="2">
        <f t="shared" ca="1" si="355"/>
        <v>1324136.7646414815</v>
      </c>
      <c r="AV367" s="2">
        <f t="shared" ca="1" si="356"/>
        <v>2164056.2495658495</v>
      </c>
      <c r="AW367" s="2">
        <f t="shared" ca="1" si="357"/>
        <v>2578292.9162863079</v>
      </c>
      <c r="AX367" s="2">
        <f t="shared" ca="1" si="358"/>
        <v>2929252.2381242742</v>
      </c>
      <c r="AY367" s="2">
        <f t="shared" ca="1" si="359"/>
        <v>3308675.4687408158</v>
      </c>
      <c r="AZ367" s="2">
        <f t="shared" ca="1" si="360"/>
        <v>3718871.1209821315</v>
      </c>
      <c r="BA367" s="2">
        <f t="shared" ca="1" si="361"/>
        <v>65766294.71092096</v>
      </c>
      <c r="BB367" s="2">
        <f t="shared" ca="1" si="362"/>
        <v>1315325.8942184192</v>
      </c>
      <c r="BC367" s="2">
        <f t="shared" ca="1" si="363"/>
        <v>38189298.862550966</v>
      </c>
      <c r="BD367" s="2">
        <f t="shared" ca="1" si="364"/>
        <v>-19102016.217524033</v>
      </c>
      <c r="BE367" s="2">
        <f t="shared" ca="1" si="365"/>
        <v>2164056.2495658495</v>
      </c>
      <c r="BF367" s="2">
        <f t="shared" ca="1" si="366"/>
        <v>2578292.9162863079</v>
      </c>
      <c r="BG367" s="2">
        <f t="shared" ca="1" si="367"/>
        <v>2929252.2381242742</v>
      </c>
      <c r="BH367" s="2">
        <f t="shared" ca="1" si="368"/>
        <v>3308675.4687408158</v>
      </c>
      <c r="BI367" s="2">
        <f t="shared" ca="1" si="369"/>
        <v>41908169.983533099</v>
      </c>
      <c r="BJ367" s="2">
        <f t="shared" ca="1" si="370"/>
        <v>0.26335021887147758</v>
      </c>
      <c r="BK367" s="2">
        <f t="shared" ca="1" si="371"/>
        <v>12853104.272438303</v>
      </c>
    </row>
    <row r="368" spans="1:63" x14ac:dyDescent="0.3">
      <c r="A368" s="2">
        <v>367</v>
      </c>
      <c r="B368" s="2">
        <f t="shared" ca="1" si="310"/>
        <v>0.27463427454122347</v>
      </c>
      <c r="C368" s="2">
        <f t="shared" ca="1" si="311"/>
        <v>6.7411265405330232</v>
      </c>
      <c r="D368" s="2">
        <f t="shared" ca="1" si="312"/>
        <v>0.59137506986639021</v>
      </c>
      <c r="E368" s="2">
        <f t="shared" ca="1" si="313"/>
        <v>7.5959812721700839</v>
      </c>
      <c r="F368" s="2">
        <f t="shared" ca="1" si="314"/>
        <v>0.56953024040578659</v>
      </c>
      <c r="G368" s="2">
        <f t="shared" ca="1" si="315"/>
        <v>4.5255349594525547E-2</v>
      </c>
      <c r="H368" s="2">
        <f t="shared" ca="1" si="316"/>
        <v>4.5255349594525547E-2</v>
      </c>
      <c r="I368" s="2">
        <f t="shared" ca="1" si="317"/>
        <v>3.8002116935801245E-2</v>
      </c>
      <c r="J368" s="2">
        <f t="shared" ca="1" si="318"/>
        <v>1.1282185134061859E-3</v>
      </c>
      <c r="K368" s="2">
        <f t="shared" ca="1" si="319"/>
        <v>1.1282185134061859E-3</v>
      </c>
      <c r="L368" s="2">
        <f t="shared" ca="1" si="320"/>
        <v>0.76958858539963626</v>
      </c>
      <c r="M368" s="2">
        <f t="shared" ca="1" si="321"/>
        <v>1.474985241060868E-2</v>
      </c>
      <c r="N368" s="2">
        <f t="shared" ca="1" si="322"/>
        <v>1.474985241060868E-2</v>
      </c>
      <c r="O368" s="2">
        <f t="shared" si="323"/>
        <v>6000000</v>
      </c>
      <c r="P368" s="2">
        <f t="shared" ca="1" si="324"/>
        <v>40446759.243198141</v>
      </c>
      <c r="Q368" s="2">
        <f t="shared" ca="1" si="325"/>
        <v>1011168.9810799536</v>
      </c>
      <c r="R368" s="2">
        <f t="shared" ca="1" si="326"/>
        <v>24268055.545918886</v>
      </c>
      <c r="S368" s="2">
        <f t="shared" ca="1" si="327"/>
        <v>16178703.697279258</v>
      </c>
      <c r="T368" s="2">
        <f t="shared" ca="1" si="328"/>
        <v>50737492.620530434</v>
      </c>
      <c r="U368" s="2">
        <f t="shared" ca="1" si="329"/>
        <v>53033635.586622201</v>
      </c>
      <c r="V368" s="2">
        <f t="shared" ca="1" si="330"/>
        <v>55433691.305363461</v>
      </c>
      <c r="W368" s="2">
        <f t="shared" ca="1" si="331"/>
        <v>57942362.384702697</v>
      </c>
      <c r="X368" s="2">
        <f t="shared" ca="1" si="332"/>
        <v>60564564.250755109</v>
      </c>
      <c r="Y368" s="2">
        <f t="shared" ca="1" si="333"/>
        <v>0.12056410925670309</v>
      </c>
      <c r="Z368" s="2">
        <f t="shared" ca="1" si="334"/>
        <v>0.12078975295938432</v>
      </c>
      <c r="AA368" s="2">
        <f t="shared" ca="1" si="335"/>
        <v>6117120.6037127981</v>
      </c>
      <c r="AB368" s="2">
        <f t="shared" ca="1" si="336"/>
        <v>6405919.7410461083</v>
      </c>
      <c r="AC368" s="2">
        <f t="shared" ca="1" si="337"/>
        <v>6695821.8784016231</v>
      </c>
      <c r="AD368" s="2">
        <f t="shared" ca="1" si="338"/>
        <v>6998843.6383313611</v>
      </c>
      <c r="AE368" s="2">
        <f t="shared" ca="1" si="339"/>
        <v>7315578.7539414689</v>
      </c>
      <c r="AF368" s="2">
        <f t="shared" ca="1" si="340"/>
        <v>1014749.8524106087</v>
      </c>
      <c r="AG368" s="2">
        <f t="shared" ca="1" si="341"/>
        <v>1060672.7117324441</v>
      </c>
      <c r="AH368" s="2">
        <f t="shared" ca="1" si="342"/>
        <v>1108673.8261072692</v>
      </c>
      <c r="AI368" s="2">
        <f t="shared" ca="1" si="343"/>
        <v>1158847.2476940539</v>
      </c>
      <c r="AJ368" s="2">
        <f t="shared" ca="1" si="344"/>
        <v>1211291.2850151022</v>
      </c>
      <c r="AK368" s="2">
        <f t="shared" ca="1" si="345"/>
        <v>0</v>
      </c>
      <c r="AL368" s="2">
        <f t="shared" ca="1" si="346"/>
        <v>22961.429660917671</v>
      </c>
      <c r="AM368" s="2">
        <f t="shared" ca="1" si="347"/>
        <v>24000.557187412604</v>
      </c>
      <c r="AN368" s="2">
        <f t="shared" ca="1" si="348"/>
        <v>25086.710793392362</v>
      </c>
      <c r="AO368" s="2">
        <f t="shared" ca="1" si="349"/>
        <v>26222.018660524114</v>
      </c>
      <c r="AP368" s="2">
        <f t="shared" ca="1" si="350"/>
        <v>2184124.9991326998</v>
      </c>
      <c r="AQ368" s="2">
        <f t="shared" ca="1" si="351"/>
        <v>758743.89556406729</v>
      </c>
      <c r="AR368" s="2">
        <f t="shared" ca="1" si="352"/>
        <v>821891.72784705076</v>
      </c>
      <c r="AS368" s="2">
        <f t="shared" ca="1" si="353"/>
        <v>884785.99382203014</v>
      </c>
      <c r="AT368" s="2">
        <f t="shared" ca="1" si="354"/>
        <v>950526.56179119798</v>
      </c>
      <c r="AU368" s="2">
        <f t="shared" ca="1" si="355"/>
        <v>1019242.2421463534</v>
      </c>
      <c r="AV368" s="2">
        <f t="shared" ca="1" si="356"/>
        <v>2159501.8566054222</v>
      </c>
      <c r="AW368" s="2">
        <f t="shared" ca="1" si="357"/>
        <v>2316268.872672996</v>
      </c>
      <c r="AX368" s="2">
        <f t="shared" ca="1" si="358"/>
        <v>2494236.5021522115</v>
      </c>
      <c r="AY368" s="2">
        <f t="shared" ca="1" si="359"/>
        <v>2680258.1189200166</v>
      </c>
      <c r="AZ368" s="2">
        <f t="shared" ca="1" si="360"/>
        <v>2874698.2089867895</v>
      </c>
      <c r="BA368" s="2">
        <f t="shared" ca="1" si="361"/>
        <v>55568999.210024759</v>
      </c>
      <c r="BB368" s="2">
        <f t="shared" ca="1" si="362"/>
        <v>1111379.9842004953</v>
      </c>
      <c r="BC368" s="2">
        <f t="shared" ca="1" si="363"/>
        <v>30189563.679905377</v>
      </c>
      <c r="BD368" s="2">
        <f t="shared" ca="1" si="364"/>
        <v>-17689872.67835921</v>
      </c>
      <c r="BE368" s="2">
        <f t="shared" ca="1" si="365"/>
        <v>2159501.8566054222</v>
      </c>
      <c r="BF368" s="2">
        <f t="shared" ca="1" si="366"/>
        <v>2316268.872672996</v>
      </c>
      <c r="BG368" s="2">
        <f t="shared" ca="1" si="367"/>
        <v>2494236.5021522115</v>
      </c>
      <c r="BH368" s="2">
        <f t="shared" ca="1" si="368"/>
        <v>2680258.1189200166</v>
      </c>
      <c r="BI368" s="2">
        <f t="shared" ca="1" si="369"/>
        <v>33064261.888892166</v>
      </c>
      <c r="BJ368" s="2">
        <f t="shared" ca="1" si="370"/>
        <v>0.22750569280997346</v>
      </c>
      <c r="BK368" s="2">
        <f t="shared" ca="1" si="371"/>
        <v>8325020.2686236612</v>
      </c>
    </row>
    <row r="369" spans="1:63" x14ac:dyDescent="0.3">
      <c r="A369" s="2">
        <v>368</v>
      </c>
      <c r="B369" s="2">
        <f t="shared" ca="1" si="310"/>
        <v>0.58952211550694489</v>
      </c>
      <c r="C369" s="2">
        <f t="shared" ca="1" si="311"/>
        <v>7.0939339047364642</v>
      </c>
      <c r="D369" s="2">
        <f t="shared" ca="1" si="312"/>
        <v>0.87126461702150781</v>
      </c>
      <c r="E369" s="2">
        <f t="shared" ca="1" si="313"/>
        <v>7.992584227721502</v>
      </c>
      <c r="F369" s="2">
        <f t="shared" ca="1" si="314"/>
        <v>0.69507234870495904</v>
      </c>
      <c r="G369" s="2">
        <f t="shared" ca="1" si="315"/>
        <v>5.5308400418036002E-2</v>
      </c>
      <c r="H369" s="2">
        <f t="shared" ca="1" si="316"/>
        <v>5.5308400418036002E-2</v>
      </c>
      <c r="I369" s="2">
        <f t="shared" ca="1" si="317"/>
        <v>0.96172826601262096</v>
      </c>
      <c r="J369" s="2">
        <f t="shared" ca="1" si="318"/>
        <v>1.8855518225840223E-2</v>
      </c>
      <c r="K369" s="2">
        <f t="shared" ca="1" si="319"/>
        <v>1.8855518225840223E-2</v>
      </c>
      <c r="L369" s="2">
        <f t="shared" ca="1" si="320"/>
        <v>0.52475776881688463</v>
      </c>
      <c r="M369" s="2">
        <f t="shared" ca="1" si="321"/>
        <v>1.2419682207568058E-3</v>
      </c>
      <c r="N369" s="2">
        <f t="shared" ca="1" si="322"/>
        <v>1.2419682207568058E-3</v>
      </c>
      <c r="O369" s="2">
        <f t="shared" si="323"/>
        <v>6000000</v>
      </c>
      <c r="P369" s="2">
        <f t="shared" ca="1" si="324"/>
        <v>42563603.428418785</v>
      </c>
      <c r="Q369" s="2">
        <f t="shared" ca="1" si="325"/>
        <v>1064090.0857104696</v>
      </c>
      <c r="R369" s="2">
        <f t="shared" ca="1" si="326"/>
        <v>25538162.057051271</v>
      </c>
      <c r="S369" s="2">
        <f t="shared" ca="1" si="327"/>
        <v>17025441.371367514</v>
      </c>
      <c r="T369" s="2">
        <f t="shared" ca="1" si="328"/>
        <v>50062098.41103784</v>
      </c>
      <c r="U369" s="2">
        <f t="shared" ca="1" si="329"/>
        <v>52830952.995722644</v>
      </c>
      <c r="V369" s="2">
        <f t="shared" ca="1" si="330"/>
        <v>55752948.498476513</v>
      </c>
      <c r="W369" s="2">
        <f t="shared" ca="1" si="331"/>
        <v>58836554.898516387</v>
      </c>
      <c r="X369" s="2">
        <f t="shared" ca="1" si="332"/>
        <v>62090710.636061288</v>
      </c>
      <c r="Y369" s="2">
        <f t="shared" ca="1" si="333"/>
        <v>0.12942775911292009</v>
      </c>
      <c r="Z369" s="2">
        <f t="shared" ca="1" si="334"/>
        <v>0.13319886275808815</v>
      </c>
      <c r="AA369" s="2">
        <f t="shared" ca="1" si="335"/>
        <v>6479425.2138311053</v>
      </c>
      <c r="AB369" s="2">
        <f t="shared" ca="1" si="336"/>
        <v>7037022.8574562669</v>
      </c>
      <c r="AC369" s="2">
        <f t="shared" ca="1" si="337"/>
        <v>7426229.3354073297</v>
      </c>
      <c r="AD369" s="2">
        <f t="shared" ca="1" si="338"/>
        <v>7836962.2010862036</v>
      </c>
      <c r="AE369" s="2">
        <f t="shared" ca="1" si="339"/>
        <v>8270412.0445648916</v>
      </c>
      <c r="AF369" s="2">
        <f t="shared" ca="1" si="340"/>
        <v>1001241.9682207569</v>
      </c>
      <c r="AG369" s="2">
        <f t="shared" ca="1" si="341"/>
        <v>1056619.059914453</v>
      </c>
      <c r="AH369" s="2">
        <f t="shared" ca="1" si="342"/>
        <v>1115058.9699695304</v>
      </c>
      <c r="AI369" s="2">
        <f t="shared" ca="1" si="343"/>
        <v>1176731.0979703278</v>
      </c>
      <c r="AJ369" s="2">
        <f t="shared" ca="1" si="344"/>
        <v>1241814.2127212258</v>
      </c>
      <c r="AK369" s="2">
        <f t="shared" ca="1" si="345"/>
        <v>0</v>
      </c>
      <c r="AL369" s="2">
        <f t="shared" ca="1" si="346"/>
        <v>27688.545846848043</v>
      </c>
      <c r="AM369" s="2">
        <f t="shared" ca="1" si="347"/>
        <v>29219.955027538686</v>
      </c>
      <c r="AN369" s="2">
        <f t="shared" ca="1" si="348"/>
        <v>30836.064000398739</v>
      </c>
      <c r="AO369" s="2">
        <f t="shared" ca="1" si="349"/>
        <v>32541.557375449018</v>
      </c>
      <c r="AP369" s="2">
        <f t="shared" ca="1" si="350"/>
        <v>2298434.5851346143</v>
      </c>
      <c r="AQ369" s="2">
        <f t="shared" ca="1" si="351"/>
        <v>826734.65172369103</v>
      </c>
      <c r="AR369" s="2">
        <f t="shared" ca="1" si="352"/>
        <v>957311.99522587191</v>
      </c>
      <c r="AS369" s="2">
        <f t="shared" ca="1" si="353"/>
        <v>1043311.3028788281</v>
      </c>
      <c r="AT369" s="2">
        <f t="shared" ca="1" si="354"/>
        <v>1134067.0946751279</v>
      </c>
      <c r="AU369" s="2">
        <f t="shared" ca="1" si="355"/>
        <v>1229842.4441443535</v>
      </c>
      <c r="AV369" s="2">
        <f t="shared" ca="1" si="356"/>
        <v>2353014.0087520434</v>
      </c>
      <c r="AW369" s="2">
        <f t="shared" ca="1" si="357"/>
        <v>2696968.6713344799</v>
      </c>
      <c r="AX369" s="2">
        <f t="shared" ca="1" si="358"/>
        <v>2940204.5223968187</v>
      </c>
      <c r="AY369" s="2">
        <f t="shared" ca="1" si="359"/>
        <v>3196893.3593057338</v>
      </c>
      <c r="AZ369" s="2">
        <f t="shared" ca="1" si="360"/>
        <v>3467779.2451892495</v>
      </c>
      <c r="BA369" s="2">
        <f t="shared" ca="1" si="361"/>
        <v>66101964.864147291</v>
      </c>
      <c r="BB369" s="2">
        <f t="shared" ca="1" si="362"/>
        <v>1322039.2972829458</v>
      </c>
      <c r="BC369" s="2">
        <f t="shared" ca="1" si="363"/>
        <v>39241763.50981307</v>
      </c>
      <c r="BD369" s="2">
        <f t="shared" ca="1" si="364"/>
        <v>-18589531.457077984</v>
      </c>
      <c r="BE369" s="2">
        <f t="shared" ca="1" si="365"/>
        <v>2353014.0087520434</v>
      </c>
      <c r="BF369" s="2">
        <f t="shared" ca="1" si="366"/>
        <v>2696968.6713344799</v>
      </c>
      <c r="BG369" s="2">
        <f t="shared" ca="1" si="367"/>
        <v>2940204.5223968187</v>
      </c>
      <c r="BH369" s="2">
        <f t="shared" ca="1" si="368"/>
        <v>3196893.3593057338</v>
      </c>
      <c r="BI369" s="2">
        <f t="shared" ca="1" si="369"/>
        <v>42709542.75500232</v>
      </c>
      <c r="BJ369" s="2">
        <f t="shared" ca="1" si="370"/>
        <v>0.27862606952852009</v>
      </c>
      <c r="BK369" s="2">
        <f t="shared" ca="1" si="371"/>
        <v>14020385.403408859</v>
      </c>
    </row>
    <row r="370" spans="1:63" x14ac:dyDescent="0.3">
      <c r="A370" s="2">
        <v>369</v>
      </c>
      <c r="B370" s="2">
        <f t="shared" ca="1" si="310"/>
        <v>0.58445728842319278</v>
      </c>
      <c r="C370" s="2">
        <f t="shared" ca="1" si="311"/>
        <v>7.0883611333682541</v>
      </c>
      <c r="D370" s="2">
        <f t="shared" ca="1" si="312"/>
        <v>7.5975131916949601E-2</v>
      </c>
      <c r="E370" s="2">
        <f t="shared" ca="1" si="313"/>
        <v>6.8898079832865138</v>
      </c>
      <c r="F370" s="2">
        <f t="shared" ca="1" si="314"/>
        <v>0.91230005892230348</v>
      </c>
      <c r="G370" s="2">
        <f t="shared" ca="1" si="315"/>
        <v>8.0651664338256893E-2</v>
      </c>
      <c r="H370" s="2">
        <f t="shared" ca="1" si="316"/>
        <v>8.0651664338256893E-2</v>
      </c>
      <c r="I370" s="2">
        <f t="shared" ca="1" si="317"/>
        <v>0.87805069619186138</v>
      </c>
      <c r="J370" s="2">
        <f t="shared" ca="1" si="318"/>
        <v>1.5826487291305737E-2</v>
      </c>
      <c r="K370" s="2">
        <f t="shared" ca="1" si="319"/>
        <v>1.5826487291305737E-2</v>
      </c>
      <c r="L370" s="2">
        <f t="shared" ca="1" si="320"/>
        <v>0.39692088669732239</v>
      </c>
      <c r="M370" s="2">
        <f t="shared" ca="1" si="321"/>
        <v>-5.2265029983707611E-3</v>
      </c>
      <c r="N370" s="2">
        <f t="shared" ca="1" si="322"/>
        <v>-5.2265029983707611E-3</v>
      </c>
      <c r="O370" s="2">
        <f t="shared" si="323"/>
        <v>6000000</v>
      </c>
      <c r="P370" s="2">
        <f t="shared" ca="1" si="324"/>
        <v>42530166.800209522</v>
      </c>
      <c r="Q370" s="2">
        <f t="shared" ca="1" si="325"/>
        <v>1063254.1700052381</v>
      </c>
      <c r="R370" s="2">
        <f t="shared" ca="1" si="326"/>
        <v>25518100.080125712</v>
      </c>
      <c r="S370" s="2">
        <f t="shared" ca="1" si="327"/>
        <v>17012066.72008381</v>
      </c>
      <c r="T370" s="2">
        <f t="shared" ca="1" si="328"/>
        <v>49738674.850081459</v>
      </c>
      <c r="U370" s="2">
        <f t="shared" ca="1" si="329"/>
        <v>53750181.758719929</v>
      </c>
      <c r="V370" s="2">
        <f t="shared" ca="1" si="330"/>
        <v>58085223.376044504</v>
      </c>
      <c r="W370" s="2">
        <f t="shared" ca="1" si="331"/>
        <v>62769893.314781919</v>
      </c>
      <c r="X370" s="2">
        <f t="shared" ca="1" si="332"/>
        <v>67832389.680953905</v>
      </c>
      <c r="Y370" s="2">
        <f t="shared" ca="1" si="333"/>
        <v>0.12791324364565287</v>
      </c>
      <c r="Z370" s="2">
        <f t="shared" ca="1" si="334"/>
        <v>0.13107854110391401</v>
      </c>
      <c r="AA370" s="2">
        <f t="shared" ca="1" si="335"/>
        <v>6362235.2347103767</v>
      </c>
      <c r="AB370" s="2">
        <f t="shared" ca="1" si="336"/>
        <v>7045495.4090032196</v>
      </c>
      <c r="AC370" s="2">
        <f t="shared" ca="1" si="337"/>
        <v>7613726.3398268763</v>
      </c>
      <c r="AD370" s="2">
        <f t="shared" ca="1" si="338"/>
        <v>8227786.0409499388</v>
      </c>
      <c r="AE370" s="2">
        <f t="shared" ca="1" si="339"/>
        <v>8891370.6789716296</v>
      </c>
      <c r="AF370" s="2">
        <f t="shared" ca="1" si="340"/>
        <v>994773.49700162921</v>
      </c>
      <c r="AG370" s="2">
        <f t="shared" ca="1" si="341"/>
        <v>1075003.6351743985</v>
      </c>
      <c r="AH370" s="2">
        <f t="shared" ca="1" si="342"/>
        <v>1161704.4675208901</v>
      </c>
      <c r="AI370" s="2">
        <f t="shared" ca="1" si="343"/>
        <v>1255397.8662956385</v>
      </c>
      <c r="AJ370" s="2">
        <f t="shared" ca="1" si="344"/>
        <v>1356647.7936190781</v>
      </c>
      <c r="AK370" s="2">
        <f t="shared" ca="1" si="345"/>
        <v>0</v>
      </c>
      <c r="AL370" s="2">
        <f t="shared" ca="1" si="346"/>
        <v>40115.069086384698</v>
      </c>
      <c r="AM370" s="2">
        <f t="shared" ca="1" si="347"/>
        <v>43350.416173245758</v>
      </c>
      <c r="AN370" s="2">
        <f t="shared" ca="1" si="348"/>
        <v>46846.699387374152</v>
      </c>
      <c r="AO370" s="2">
        <f t="shared" ca="1" si="349"/>
        <v>50624.963661719863</v>
      </c>
      <c r="AP370" s="2">
        <f t="shared" ca="1" si="350"/>
        <v>2296629.007211314</v>
      </c>
      <c r="AQ370" s="2">
        <f t="shared" ca="1" si="351"/>
        <v>798416.50992933265</v>
      </c>
      <c r="AR370" s="2">
        <f t="shared" ca="1" si="352"/>
        <v>955204.31932055193</v>
      </c>
      <c r="AS370" s="2">
        <f t="shared" ca="1" si="353"/>
        <v>1080402.1449246148</v>
      </c>
      <c r="AT370" s="2">
        <f t="shared" ca="1" si="354"/>
        <v>1215697.3835351765</v>
      </c>
      <c r="AU370" s="2">
        <f t="shared" ca="1" si="355"/>
        <v>1361904.4083167217</v>
      </c>
      <c r="AV370" s="2">
        <f t="shared" ca="1" si="356"/>
        <v>2272416.2205681005</v>
      </c>
      <c r="AW370" s="2">
        <f t="shared" ca="1" si="357"/>
        <v>2678543.3782105702</v>
      </c>
      <c r="AX370" s="2">
        <f t="shared" ca="1" si="358"/>
        <v>3031640.3039968121</v>
      </c>
      <c r="AY370" s="2">
        <f t="shared" ca="1" si="359"/>
        <v>3413215.0845204354</v>
      </c>
      <c r="AZ370" s="2">
        <f t="shared" ca="1" si="360"/>
        <v>3825564.5061627966</v>
      </c>
      <c r="BA370" s="2">
        <f t="shared" ca="1" si="361"/>
        <v>61259836.686338365</v>
      </c>
      <c r="BB370" s="2">
        <f t="shared" ca="1" si="362"/>
        <v>1225196.7337267674</v>
      </c>
      <c r="BC370" s="2">
        <f t="shared" ca="1" si="363"/>
        <v>34516539.872485884</v>
      </c>
      <c r="BD370" s="2">
        <f t="shared" ca="1" si="364"/>
        <v>-18575320.89008905</v>
      </c>
      <c r="BE370" s="2">
        <f t="shared" ca="1" si="365"/>
        <v>2272416.2205681005</v>
      </c>
      <c r="BF370" s="2">
        <f t="shared" ca="1" si="366"/>
        <v>2678543.3782105702</v>
      </c>
      <c r="BG370" s="2">
        <f t="shared" ca="1" si="367"/>
        <v>3031640.3039968121</v>
      </c>
      <c r="BH370" s="2">
        <f t="shared" ca="1" si="368"/>
        <v>3413215.0845204354</v>
      </c>
      <c r="BI370" s="2">
        <f t="shared" ca="1" si="369"/>
        <v>38342104.378648683</v>
      </c>
      <c r="BJ370" s="2">
        <f t="shared" ca="1" si="370"/>
        <v>0.25764778735284199</v>
      </c>
      <c r="BK370" s="2">
        <f t="shared" ca="1" si="371"/>
        <v>11672301.85362165</v>
      </c>
    </row>
    <row r="371" spans="1:63" x14ac:dyDescent="0.3">
      <c r="A371" s="2">
        <v>370</v>
      </c>
      <c r="B371" s="2">
        <f t="shared" ca="1" si="310"/>
        <v>0.42523792588390696</v>
      </c>
      <c r="C371" s="2">
        <f t="shared" ca="1" si="311"/>
        <v>6.9222124764759005</v>
      </c>
      <c r="D371" s="2">
        <f t="shared" ca="1" si="312"/>
        <v>0.71287077507728158</v>
      </c>
      <c r="E371" s="2">
        <f t="shared" ca="1" si="313"/>
        <v>7.74220157703685</v>
      </c>
      <c r="F371" s="2">
        <f t="shared" ca="1" si="314"/>
        <v>0.54549074415025045</v>
      </c>
      <c r="G371" s="2">
        <f t="shared" ca="1" si="315"/>
        <v>4.3428298747882003E-2</v>
      </c>
      <c r="H371" s="2">
        <f t="shared" ca="1" si="316"/>
        <v>4.3428298747882003E-2</v>
      </c>
      <c r="I371" s="2">
        <f t="shared" ca="1" si="317"/>
        <v>0.12491843365113031</v>
      </c>
      <c r="J371" s="2">
        <f t="shared" ca="1" si="318"/>
        <v>4.2462714720116288E-3</v>
      </c>
      <c r="K371" s="2">
        <f t="shared" ca="1" si="319"/>
        <v>4.2462714720116288E-3</v>
      </c>
      <c r="L371" s="2">
        <f t="shared" ca="1" si="320"/>
        <v>0.78927090459924398</v>
      </c>
      <c r="M371" s="2">
        <f t="shared" ca="1" si="321"/>
        <v>1.6077880163566354E-2</v>
      </c>
      <c r="N371" s="2">
        <f t="shared" ca="1" si="322"/>
        <v>1.6077880163566354E-2</v>
      </c>
      <c r="O371" s="2">
        <f t="shared" si="323"/>
        <v>6000000</v>
      </c>
      <c r="P371" s="2">
        <f t="shared" ca="1" si="324"/>
        <v>41533274.858855404</v>
      </c>
      <c r="Q371" s="2">
        <f t="shared" ca="1" si="325"/>
        <v>1038331.8714713851</v>
      </c>
      <c r="R371" s="2">
        <f t="shared" ca="1" si="326"/>
        <v>24919964.91531324</v>
      </c>
      <c r="S371" s="2">
        <f t="shared" ca="1" si="327"/>
        <v>16613309.943542162</v>
      </c>
      <c r="T371" s="2">
        <f t="shared" ca="1" si="328"/>
        <v>50803894.008178316</v>
      </c>
      <c r="U371" s="2">
        <f t="shared" ca="1" si="329"/>
        <v>53010220.694721214</v>
      </c>
      <c r="V371" s="2">
        <f t="shared" ca="1" si="330"/>
        <v>55312364.395742722</v>
      </c>
      <c r="W371" s="2">
        <f t="shared" ca="1" si="331"/>
        <v>57714486.281172752</v>
      </c>
      <c r="X371" s="2">
        <f t="shared" ca="1" si="332"/>
        <v>60220928.233472064</v>
      </c>
      <c r="Y371" s="2">
        <f t="shared" ca="1" si="333"/>
        <v>0.12212313573600581</v>
      </c>
      <c r="Z371" s="2">
        <f t="shared" ca="1" si="334"/>
        <v>0.12297239003040814</v>
      </c>
      <c r="AA371" s="2">
        <f t="shared" ca="1" si="335"/>
        <v>6204330.8438784126</v>
      </c>
      <c r="AB371" s="2">
        <f t="shared" ca="1" si="336"/>
        <v>6518793.5348692704</v>
      </c>
      <c r="AC371" s="2">
        <f t="shared" ca="1" si="337"/>
        <v>6801893.6479773344</v>
      </c>
      <c r="AD371" s="2">
        <f t="shared" ca="1" si="338"/>
        <v>7097288.317373015</v>
      </c>
      <c r="AE371" s="2">
        <f t="shared" ca="1" si="339"/>
        <v>7405511.4747197442</v>
      </c>
      <c r="AF371" s="2">
        <f t="shared" ca="1" si="340"/>
        <v>1016077.8801635663</v>
      </c>
      <c r="AG371" s="2">
        <f t="shared" ca="1" si="341"/>
        <v>1060204.4138944242</v>
      </c>
      <c r="AH371" s="2">
        <f t="shared" ca="1" si="342"/>
        <v>1106247.2879148545</v>
      </c>
      <c r="AI371" s="2">
        <f t="shared" ca="1" si="343"/>
        <v>1154289.7256234551</v>
      </c>
      <c r="AJ371" s="2">
        <f t="shared" ca="1" si="344"/>
        <v>1204418.5646694412</v>
      </c>
      <c r="AK371" s="2">
        <f t="shared" ca="1" si="345"/>
        <v>0</v>
      </c>
      <c r="AL371" s="2">
        <f t="shared" ca="1" si="346"/>
        <v>22063.266865428985</v>
      </c>
      <c r="AM371" s="2">
        <f t="shared" ca="1" si="347"/>
        <v>23021.437010215075</v>
      </c>
      <c r="AN371" s="2">
        <f t="shared" ca="1" si="348"/>
        <v>24021.218854300307</v>
      </c>
      <c r="AO371" s="2">
        <f t="shared" ca="1" si="349"/>
        <v>25064.419522993117</v>
      </c>
      <c r="AP371" s="2">
        <f t="shared" ca="1" si="350"/>
        <v>2242796.8423781916</v>
      </c>
      <c r="AQ371" s="2">
        <f t="shared" ca="1" si="351"/>
        <v>765818.59154753026</v>
      </c>
      <c r="AR371" s="2">
        <f t="shared" ca="1" si="352"/>
        <v>836105.99243513017</v>
      </c>
      <c r="AS371" s="2">
        <f t="shared" ca="1" si="353"/>
        <v>897740.87459791498</v>
      </c>
      <c r="AT371" s="2">
        <f t="shared" ca="1" si="354"/>
        <v>962052.45483655587</v>
      </c>
      <c r="AU371" s="2">
        <f t="shared" ca="1" si="355"/>
        <v>1029156.977594749</v>
      </c>
      <c r="AV371" s="2">
        <f t="shared" ca="1" si="356"/>
        <v>2179637.5297891246</v>
      </c>
      <c r="AW371" s="2">
        <f t="shared" ca="1" si="357"/>
        <v>2357623.0192960957</v>
      </c>
      <c r="AX371" s="2">
        <f t="shared" ca="1" si="358"/>
        <v>2532087.2060761582</v>
      </c>
      <c r="AY371" s="2">
        <f t="shared" ca="1" si="359"/>
        <v>2714128.075680512</v>
      </c>
      <c r="AZ371" s="2">
        <f t="shared" ca="1" si="360"/>
        <v>2904074.6705543688</v>
      </c>
      <c r="BA371" s="2">
        <f t="shared" ca="1" si="361"/>
        <v>57334962.618339695</v>
      </c>
      <c r="BB371" s="2">
        <f t="shared" ca="1" si="362"/>
        <v>1146699.252366794</v>
      </c>
      <c r="BC371" s="2">
        <f t="shared" ca="1" si="363"/>
        <v>31268298.450659662</v>
      </c>
      <c r="BD371" s="2">
        <f t="shared" ca="1" si="364"/>
        <v>-18151641.815013546</v>
      </c>
      <c r="BE371" s="2">
        <f t="shared" ca="1" si="365"/>
        <v>2179637.5297891246</v>
      </c>
      <c r="BF371" s="2">
        <f t="shared" ca="1" si="366"/>
        <v>2357623.0192960957</v>
      </c>
      <c r="BG371" s="2">
        <f t="shared" ca="1" si="367"/>
        <v>2532087.2060761582</v>
      </c>
      <c r="BH371" s="2">
        <f t="shared" ca="1" si="368"/>
        <v>2714128.075680512</v>
      </c>
      <c r="BI371" s="2">
        <f t="shared" ca="1" si="369"/>
        <v>34172373.121214032</v>
      </c>
      <c r="BJ371" s="2">
        <f t="shared" ca="1" si="370"/>
        <v>0.22775231651459538</v>
      </c>
      <c r="BK371" s="2">
        <f t="shared" ca="1" si="371"/>
        <v>8591435.1096947528</v>
      </c>
    </row>
    <row r="372" spans="1:63" x14ac:dyDescent="0.3">
      <c r="A372" s="2">
        <v>371</v>
      </c>
      <c r="B372" s="2">
        <f t="shared" ca="1" si="310"/>
        <v>0.88054601431457491</v>
      </c>
      <c r="C372" s="2">
        <f t="shared" ca="1" si="311"/>
        <v>7.5112178692189637</v>
      </c>
      <c r="D372" s="2">
        <f t="shared" ca="1" si="312"/>
        <v>0.21373495462726755</v>
      </c>
      <c r="E372" s="2">
        <f t="shared" ca="1" si="313"/>
        <v>7.1538118301579861</v>
      </c>
      <c r="F372" s="2">
        <f t="shared" ca="1" si="314"/>
        <v>0.46135364853309035</v>
      </c>
      <c r="G372" s="2">
        <f t="shared" ca="1" si="315"/>
        <v>3.7089278562479844E-2</v>
      </c>
      <c r="H372" s="2">
        <f t="shared" ca="1" si="316"/>
        <v>3.7089278562479844E-2</v>
      </c>
      <c r="I372" s="2">
        <f t="shared" ca="1" si="317"/>
        <v>0.8919001239166312</v>
      </c>
      <c r="J372" s="2">
        <f t="shared" ca="1" si="318"/>
        <v>1.618348285553417E-2</v>
      </c>
      <c r="K372" s="2">
        <f t="shared" ca="1" si="319"/>
        <v>1.618348285553417E-2</v>
      </c>
      <c r="L372" s="2">
        <f t="shared" ca="1" si="320"/>
        <v>0.67582836333364105</v>
      </c>
      <c r="M372" s="2">
        <f t="shared" ca="1" si="321"/>
        <v>9.1212990066682296E-3</v>
      </c>
      <c r="N372" s="2">
        <f t="shared" ca="1" si="322"/>
        <v>9.1212990066682296E-3</v>
      </c>
      <c r="O372" s="2">
        <f t="shared" si="323"/>
        <v>6000000</v>
      </c>
      <c r="P372" s="2">
        <f t="shared" ca="1" si="324"/>
        <v>45067307.215313785</v>
      </c>
      <c r="Q372" s="2">
        <f t="shared" ca="1" si="325"/>
        <v>1126682.6803828448</v>
      </c>
      <c r="R372" s="2">
        <f t="shared" ca="1" si="326"/>
        <v>27040384.329188269</v>
      </c>
      <c r="S372" s="2">
        <f t="shared" ca="1" si="327"/>
        <v>18026922.886125516</v>
      </c>
      <c r="T372" s="2">
        <f t="shared" ca="1" si="328"/>
        <v>50456064.950333409</v>
      </c>
      <c r="U372" s="2">
        <f t="shared" ca="1" si="329"/>
        <v>52327443.998442903</v>
      </c>
      <c r="V372" s="2">
        <f t="shared" ca="1" si="330"/>
        <v>54268231.145363718</v>
      </c>
      <c r="W372" s="2">
        <f t="shared" ca="1" si="331"/>
        <v>56281000.687407158</v>
      </c>
      <c r="X372" s="2">
        <f t="shared" ca="1" si="332"/>
        <v>58368422.399677522</v>
      </c>
      <c r="Y372" s="2">
        <f t="shared" ca="1" si="333"/>
        <v>0.12809174142776708</v>
      </c>
      <c r="Z372" s="2">
        <f t="shared" ca="1" si="334"/>
        <v>0.13132843799887392</v>
      </c>
      <c r="AA372" s="2">
        <f t="shared" ca="1" si="335"/>
        <v>6463005.2250807285</v>
      </c>
      <c r="AB372" s="2">
        <f t="shared" ca="1" si="336"/>
        <v>6872081.4847890558</v>
      </c>
      <c r="AC372" s="2">
        <f t="shared" ca="1" si="337"/>
        <v>7126962.0292824581</v>
      </c>
      <c r="AD372" s="2">
        <f t="shared" ca="1" si="338"/>
        <v>7391295.9092907319</v>
      </c>
      <c r="AE372" s="2">
        <f t="shared" ca="1" si="339"/>
        <v>7665433.7422081335</v>
      </c>
      <c r="AF372" s="2">
        <f t="shared" ca="1" si="340"/>
        <v>1009121.2990066682</v>
      </c>
      <c r="AG372" s="2">
        <f t="shared" ca="1" si="341"/>
        <v>1046548.8799688581</v>
      </c>
      <c r="AH372" s="2">
        <f t="shared" ca="1" si="342"/>
        <v>1085364.6229072744</v>
      </c>
      <c r="AI372" s="2">
        <f t="shared" ca="1" si="343"/>
        <v>1125620.0137481431</v>
      </c>
      <c r="AJ372" s="2">
        <f t="shared" ca="1" si="344"/>
        <v>1167368.4479935504</v>
      </c>
      <c r="AK372" s="2">
        <f t="shared" ca="1" si="345"/>
        <v>0</v>
      </c>
      <c r="AL372" s="2">
        <f t="shared" ca="1" si="346"/>
        <v>18713.79048109494</v>
      </c>
      <c r="AM372" s="2">
        <f t="shared" ca="1" si="347"/>
        <v>19407.871469208152</v>
      </c>
      <c r="AN372" s="2">
        <f t="shared" ca="1" si="348"/>
        <v>20127.6954204344</v>
      </c>
      <c r="AO372" s="2">
        <f t="shared" ca="1" si="349"/>
        <v>20874.217122703642</v>
      </c>
      <c r="AP372" s="2">
        <f t="shared" ca="1" si="350"/>
        <v>2433634.5896269442</v>
      </c>
      <c r="AQ372" s="2">
        <f t="shared" ca="1" si="351"/>
        <v>785264.82747625036</v>
      </c>
      <c r="AR372" s="2">
        <f t="shared" ca="1" si="352"/>
        <v>881893.48395024589</v>
      </c>
      <c r="AS372" s="2">
        <f t="shared" ca="1" si="353"/>
        <v>938070.33235454233</v>
      </c>
      <c r="AT372" s="2">
        <f t="shared" ca="1" si="354"/>
        <v>996330.73953806772</v>
      </c>
      <c r="AU372" s="2">
        <f t="shared" ca="1" si="355"/>
        <v>1056751.9831927861</v>
      </c>
      <c r="AV372" s="2">
        <f t="shared" ca="1" si="356"/>
        <v>2234984.5089708664</v>
      </c>
      <c r="AW372" s="2">
        <f t="shared" ca="1" si="357"/>
        <v>2491290.740761912</v>
      </c>
      <c r="AX372" s="2">
        <f t="shared" ca="1" si="358"/>
        <v>2650484.6129244897</v>
      </c>
      <c r="AY372" s="2">
        <f t="shared" ca="1" si="359"/>
        <v>2815582.8709571422</v>
      </c>
      <c r="AZ372" s="2">
        <f t="shared" ca="1" si="360"/>
        <v>2986804.5042721494</v>
      </c>
      <c r="BA372" s="2">
        <f t="shared" ca="1" si="361"/>
        <v>54837070.58830075</v>
      </c>
      <c r="BB372" s="2">
        <f t="shared" ca="1" si="362"/>
        <v>1096741.411766015</v>
      </c>
      <c r="BC372" s="2">
        <f t="shared" ca="1" si="363"/>
        <v>26699944.847346466</v>
      </c>
      <c r="BD372" s="2">
        <f t="shared" ca="1" si="364"/>
        <v>-19653605.56650836</v>
      </c>
      <c r="BE372" s="2">
        <f t="shared" ca="1" si="365"/>
        <v>2234984.5089708664</v>
      </c>
      <c r="BF372" s="2">
        <f t="shared" ca="1" si="366"/>
        <v>2491290.740761912</v>
      </c>
      <c r="BG372" s="2">
        <f t="shared" ca="1" si="367"/>
        <v>2650484.6129244897</v>
      </c>
      <c r="BH372" s="2">
        <f t="shared" ca="1" si="368"/>
        <v>2815582.8709571422</v>
      </c>
      <c r="BI372" s="2">
        <f t="shared" ca="1" si="369"/>
        <v>29686749.351618614</v>
      </c>
      <c r="BJ372" s="2">
        <f t="shared" ca="1" si="370"/>
        <v>0.18104297499416222</v>
      </c>
      <c r="BK372" s="2">
        <f t="shared" ca="1" si="371"/>
        <v>4848933.2936846577</v>
      </c>
    </row>
    <row r="373" spans="1:63" x14ac:dyDescent="0.3">
      <c r="A373" s="2">
        <v>372</v>
      </c>
      <c r="B373" s="2">
        <f t="shared" ca="1" si="310"/>
        <v>0.64022575892168399</v>
      </c>
      <c r="C373" s="2">
        <f t="shared" ca="1" si="311"/>
        <v>7.1517379637419625</v>
      </c>
      <c r="D373" s="2">
        <f t="shared" ca="1" si="312"/>
        <v>0.75946365800332294</v>
      </c>
      <c r="E373" s="2">
        <f t="shared" ca="1" si="313"/>
        <v>7.806405966005074</v>
      </c>
      <c r="F373" s="2">
        <f t="shared" ca="1" si="314"/>
        <v>0.26486716136321609</v>
      </c>
      <c r="G373" s="2">
        <f t="shared" ca="1" si="315"/>
        <v>2.1147651209366292E-2</v>
      </c>
      <c r="H373" s="2">
        <f t="shared" ca="1" si="316"/>
        <v>2.1147651209366292E-2</v>
      </c>
      <c r="I373" s="2">
        <f t="shared" ca="1" si="317"/>
        <v>0.63367021171170645</v>
      </c>
      <c r="J373" s="2">
        <f t="shared" ca="1" si="318"/>
        <v>1.1707949251173889E-2</v>
      </c>
      <c r="K373" s="2">
        <f t="shared" ca="1" si="319"/>
        <v>1.1707949251173889E-2</v>
      </c>
      <c r="L373" s="2">
        <f t="shared" ca="1" si="320"/>
        <v>0.59569379220293417</v>
      </c>
      <c r="M373" s="2">
        <f t="shared" ca="1" si="321"/>
        <v>4.8443298687544361E-3</v>
      </c>
      <c r="N373" s="2">
        <f t="shared" ca="1" si="322"/>
        <v>4.8443298687544361E-3</v>
      </c>
      <c r="O373" s="2">
        <f t="shared" si="323"/>
        <v>6000000</v>
      </c>
      <c r="P373" s="2">
        <f t="shared" ca="1" si="324"/>
        <v>42910427.782451771</v>
      </c>
      <c r="Q373" s="2">
        <f t="shared" ca="1" si="325"/>
        <v>1072760.6945612943</v>
      </c>
      <c r="R373" s="2">
        <f t="shared" ca="1" si="326"/>
        <v>25746256.669471063</v>
      </c>
      <c r="S373" s="2">
        <f t="shared" ca="1" si="327"/>
        <v>17164171.112980708</v>
      </c>
      <c r="T373" s="2">
        <f t="shared" ca="1" si="328"/>
        <v>50242216.493437722</v>
      </c>
      <c r="U373" s="2">
        <f t="shared" ca="1" si="329"/>
        <v>51304721.363826409</v>
      </c>
      <c r="V373" s="2">
        <f t="shared" ca="1" si="330"/>
        <v>52389695.71662233</v>
      </c>
      <c r="W373" s="2">
        <f t="shared" ca="1" si="331"/>
        <v>53497614.72860229</v>
      </c>
      <c r="X373" s="2">
        <f t="shared" ca="1" si="332"/>
        <v>54628963.625415824</v>
      </c>
      <c r="Y373" s="2">
        <f t="shared" ca="1" si="333"/>
        <v>0.12585397462558695</v>
      </c>
      <c r="Z373" s="2">
        <f t="shared" ca="1" si="334"/>
        <v>0.12819556447582173</v>
      </c>
      <c r="AA373" s="2">
        <f t="shared" ca="1" si="335"/>
        <v>6323182.6396983573</v>
      </c>
      <c r="AB373" s="2">
        <f t="shared" ca="1" si="336"/>
        <v>6577037.7155104764</v>
      </c>
      <c r="AC373" s="2">
        <f t="shared" ca="1" si="337"/>
        <v>6716126.6151089389</v>
      </c>
      <c r="AD373" s="2">
        <f t="shared" ca="1" si="338"/>
        <v>6858156.9182432052</v>
      </c>
      <c r="AE373" s="2">
        <f t="shared" ca="1" si="339"/>
        <v>7003190.8286893144</v>
      </c>
      <c r="AF373" s="2">
        <f t="shared" ca="1" si="340"/>
        <v>1004844.3298687545</v>
      </c>
      <c r="AG373" s="2">
        <f t="shared" ca="1" si="341"/>
        <v>1026094.4272765282</v>
      </c>
      <c r="AH373" s="2">
        <f t="shared" ca="1" si="342"/>
        <v>1047793.9143324466</v>
      </c>
      <c r="AI373" s="2">
        <f t="shared" ca="1" si="343"/>
        <v>1069952.2945720458</v>
      </c>
      <c r="AJ373" s="2">
        <f t="shared" ca="1" si="344"/>
        <v>1092579.2725083164</v>
      </c>
      <c r="AK373" s="2">
        <f t="shared" ca="1" si="345"/>
        <v>0</v>
      </c>
      <c r="AL373" s="2">
        <f t="shared" ca="1" si="346"/>
        <v>10625.048703886867</v>
      </c>
      <c r="AM373" s="2">
        <f t="shared" ca="1" si="347"/>
        <v>10849.743527959214</v>
      </c>
      <c r="AN373" s="2">
        <f t="shared" ca="1" si="348"/>
        <v>11079.190119799599</v>
      </c>
      <c r="AO373" s="2">
        <f t="shared" ca="1" si="349"/>
        <v>11313.488968135342</v>
      </c>
      <c r="AP373" s="2">
        <f t="shared" ca="1" si="350"/>
        <v>2317163.1002523955</v>
      </c>
      <c r="AQ373" s="2">
        <f t="shared" ca="1" si="351"/>
        <v>780305.55449007393</v>
      </c>
      <c r="AR373" s="2">
        <f t="shared" ca="1" si="352"/>
        <v>840782.84887520364</v>
      </c>
      <c r="AS373" s="2">
        <f t="shared" ca="1" si="353"/>
        <v>871304.0961362652</v>
      </c>
      <c r="AT373" s="2">
        <f t="shared" ca="1" si="354"/>
        <v>902470.79608887853</v>
      </c>
      <c r="AU373" s="2">
        <f t="shared" ca="1" si="355"/>
        <v>934296.5985414366</v>
      </c>
      <c r="AV373" s="2">
        <f t="shared" ca="1" si="356"/>
        <v>2220869.6550871339</v>
      </c>
      <c r="AW373" s="2">
        <f t="shared" ca="1" si="357"/>
        <v>2382372.2904024627</v>
      </c>
      <c r="AX373" s="2">
        <f t="shared" ca="1" si="358"/>
        <v>2469015.7608598722</v>
      </c>
      <c r="AY373" s="2">
        <f t="shared" ca="1" si="359"/>
        <v>2557491.5372100864</v>
      </c>
      <c r="AZ373" s="2">
        <f t="shared" ca="1" si="360"/>
        <v>2647838.3684190297</v>
      </c>
      <c r="BA373" s="2">
        <f t="shared" ca="1" si="361"/>
        <v>54669750.666152284</v>
      </c>
      <c r="BB373" s="2">
        <f t="shared" ca="1" si="362"/>
        <v>1093395.0133230458</v>
      </c>
      <c r="BC373" s="2">
        <f t="shared" ca="1" si="363"/>
        <v>27830098.983358175</v>
      </c>
      <c r="BD373" s="2">
        <f t="shared" ca="1" si="364"/>
        <v>-18736931.807542004</v>
      </c>
      <c r="BE373" s="2">
        <f t="shared" ca="1" si="365"/>
        <v>2220869.6550871339</v>
      </c>
      <c r="BF373" s="2">
        <f t="shared" ca="1" si="366"/>
        <v>2382372.2904024627</v>
      </c>
      <c r="BG373" s="2">
        <f t="shared" ca="1" si="367"/>
        <v>2469015.7608598722</v>
      </c>
      <c r="BH373" s="2">
        <f t="shared" ca="1" si="368"/>
        <v>2557491.5372100864</v>
      </c>
      <c r="BI373" s="2">
        <f t="shared" ca="1" si="369"/>
        <v>30477937.351777203</v>
      </c>
      <c r="BJ373" s="2">
        <f t="shared" ca="1" si="370"/>
        <v>0.1949627909352154</v>
      </c>
      <c r="BK373" s="2">
        <f t="shared" ca="1" si="371"/>
        <v>5821929.04900508</v>
      </c>
    </row>
    <row r="374" spans="1:63" x14ac:dyDescent="0.3">
      <c r="A374" s="2">
        <v>373</v>
      </c>
      <c r="B374" s="2">
        <f t="shared" ca="1" si="310"/>
        <v>0.79859907691058052</v>
      </c>
      <c r="C374" s="2">
        <f t="shared" ca="1" si="311"/>
        <v>7.3653332794459452</v>
      </c>
      <c r="D374" s="2">
        <f t="shared" ca="1" si="312"/>
        <v>0.21636244322269027</v>
      </c>
      <c r="E374" s="2">
        <f t="shared" ca="1" si="313"/>
        <v>7.1578182776765793</v>
      </c>
      <c r="F374" s="2">
        <f t="shared" ca="1" si="314"/>
        <v>0.49858797624653828</v>
      </c>
      <c r="G374" s="2">
        <f t="shared" ca="1" si="315"/>
        <v>3.9893817218352633E-2</v>
      </c>
      <c r="H374" s="2">
        <f t="shared" ca="1" si="316"/>
        <v>3.9893817218352633E-2</v>
      </c>
      <c r="I374" s="2">
        <f t="shared" ca="1" si="317"/>
        <v>0.25554997281379166</v>
      </c>
      <c r="J374" s="2">
        <f t="shared" ca="1" si="318"/>
        <v>6.7143703373708456E-3</v>
      </c>
      <c r="K374" s="2">
        <f t="shared" ca="1" si="319"/>
        <v>6.7143703373708456E-3</v>
      </c>
      <c r="L374" s="2">
        <f t="shared" ca="1" si="320"/>
        <v>0.50071223909420892</v>
      </c>
      <c r="M374" s="2">
        <f t="shared" ca="1" si="321"/>
        <v>3.5706392005047814E-5</v>
      </c>
      <c r="N374" s="2">
        <f t="shared" ca="1" si="322"/>
        <v>3.5706392005047814E-5</v>
      </c>
      <c r="O374" s="2">
        <f t="shared" si="323"/>
        <v>6000000</v>
      </c>
      <c r="P374" s="2">
        <f t="shared" ca="1" si="324"/>
        <v>44191999.67667567</v>
      </c>
      <c r="Q374" s="2">
        <f t="shared" ca="1" si="325"/>
        <v>1104799.9919168919</v>
      </c>
      <c r="R374" s="2">
        <f t="shared" ca="1" si="326"/>
        <v>26515199.8060054</v>
      </c>
      <c r="S374" s="2">
        <f t="shared" ca="1" si="327"/>
        <v>17676799.87067027</v>
      </c>
      <c r="T374" s="2">
        <f t="shared" ca="1" si="328"/>
        <v>50001785.319600254</v>
      </c>
      <c r="U374" s="2">
        <f t="shared" ca="1" si="329"/>
        <v>51996547.403731696</v>
      </c>
      <c r="V374" s="2">
        <f t="shared" ca="1" si="330"/>
        <v>54070888.161841579</v>
      </c>
      <c r="W374" s="2">
        <f t="shared" ca="1" si="331"/>
        <v>56227982.291004077</v>
      </c>
      <c r="X374" s="2">
        <f t="shared" ca="1" si="332"/>
        <v>58471131.13907817</v>
      </c>
      <c r="Y374" s="2">
        <f t="shared" ca="1" si="333"/>
        <v>0.12335718516868542</v>
      </c>
      <c r="Z374" s="2">
        <f t="shared" ca="1" si="334"/>
        <v>0.12470005923615959</v>
      </c>
      <c r="AA374" s="2">
        <f t="shared" ca="1" si="335"/>
        <v>6168079.4904347844</v>
      </c>
      <c r="AB374" s="2">
        <f t="shared" ca="1" si="336"/>
        <v>6483972.541321123</v>
      </c>
      <c r="AC374" s="2">
        <f t="shared" ca="1" si="337"/>
        <v>6742642.9567334056</v>
      </c>
      <c r="AD374" s="2">
        <f t="shared" ca="1" si="338"/>
        <v>7011632.7224179413</v>
      </c>
      <c r="AE374" s="2">
        <f t="shared" ca="1" si="339"/>
        <v>7291353.5166483037</v>
      </c>
      <c r="AF374" s="2">
        <f t="shared" ca="1" si="340"/>
        <v>1000035.7063920051</v>
      </c>
      <c r="AG374" s="2">
        <f t="shared" ca="1" si="341"/>
        <v>1039930.948074634</v>
      </c>
      <c r="AH374" s="2">
        <f t="shared" ca="1" si="342"/>
        <v>1081417.7632368316</v>
      </c>
      <c r="AI374" s="2">
        <f t="shared" ca="1" si="343"/>
        <v>1124559.6458200815</v>
      </c>
      <c r="AJ374" s="2">
        <f t="shared" ca="1" si="344"/>
        <v>1169422.6227815633</v>
      </c>
      <c r="AK374" s="2">
        <f t="shared" ca="1" si="345"/>
        <v>0</v>
      </c>
      <c r="AL374" s="2">
        <f t="shared" ca="1" si="346"/>
        <v>19947.62084131442</v>
      </c>
      <c r="AM374" s="2">
        <f t="shared" ca="1" si="347"/>
        <v>20743.407581098825</v>
      </c>
      <c r="AN374" s="2">
        <f t="shared" ca="1" si="348"/>
        <v>21570.941291624978</v>
      </c>
      <c r="AO374" s="2">
        <f t="shared" ca="1" si="349"/>
        <v>22431.488480740936</v>
      </c>
      <c r="AP374" s="2">
        <f t="shared" ca="1" si="350"/>
        <v>2386367.9825404859</v>
      </c>
      <c r="AQ374" s="2">
        <f t="shared" ca="1" si="351"/>
        <v>723235.70839059632</v>
      </c>
      <c r="AR374" s="2">
        <f t="shared" ca="1" si="352"/>
        <v>794995.13878356083</v>
      </c>
      <c r="AS374" s="2">
        <f t="shared" ca="1" si="353"/>
        <v>851462.8748485829</v>
      </c>
      <c r="AT374" s="2">
        <f t="shared" ca="1" si="354"/>
        <v>910183.32445491734</v>
      </c>
      <c r="AU374" s="2">
        <f t="shared" ca="1" si="355"/>
        <v>971246.35694482608</v>
      </c>
      <c r="AV374" s="2">
        <f t="shared" ca="1" si="356"/>
        <v>2058440.0931116971</v>
      </c>
      <c r="AW374" s="2">
        <f t="shared" ca="1" si="357"/>
        <v>2242730.8510811278</v>
      </c>
      <c r="AX374" s="2">
        <f t="shared" ca="1" si="358"/>
        <v>2402650.9285264066</v>
      </c>
      <c r="AY374" s="2">
        <f t="shared" ca="1" si="359"/>
        <v>2568950.8283108319</v>
      </c>
      <c r="AZ374" s="2">
        <f t="shared" ca="1" si="360"/>
        <v>2741885.0659006867</v>
      </c>
      <c r="BA374" s="2">
        <f t="shared" ca="1" si="361"/>
        <v>52190183.470466629</v>
      </c>
      <c r="BB374" s="2">
        <f t="shared" ca="1" si="362"/>
        <v>1043803.6694093326</v>
      </c>
      <c r="BC374" s="2">
        <f t="shared" ca="1" si="363"/>
        <v>24631179.995051898</v>
      </c>
      <c r="BD374" s="2">
        <f t="shared" ca="1" si="364"/>
        <v>-19281599.862587161</v>
      </c>
      <c r="BE374" s="2">
        <f t="shared" ca="1" si="365"/>
        <v>2058440.0931116971</v>
      </c>
      <c r="BF374" s="2">
        <f t="shared" ca="1" si="366"/>
        <v>2242730.8510811278</v>
      </c>
      <c r="BG374" s="2">
        <f t="shared" ca="1" si="367"/>
        <v>2402650.9285264066</v>
      </c>
      <c r="BH374" s="2">
        <f t="shared" ca="1" si="368"/>
        <v>2568950.8283108319</v>
      </c>
      <c r="BI374" s="2">
        <f t="shared" ca="1" si="369"/>
        <v>27373065.060952585</v>
      </c>
      <c r="BJ374" s="2">
        <f t="shared" ca="1" si="370"/>
        <v>0.1621767707326347</v>
      </c>
      <c r="BK374" s="2">
        <f t="shared" ca="1" si="371"/>
        <v>3219170.7873250172</v>
      </c>
    </row>
    <row r="375" spans="1:63" x14ac:dyDescent="0.3">
      <c r="A375" s="2">
        <v>374</v>
      </c>
      <c r="B375" s="2">
        <f t="shared" ca="1" si="310"/>
        <v>0.53999169416245174</v>
      </c>
      <c r="C375" s="2">
        <f t="shared" ca="1" si="311"/>
        <v>7.040825035942297</v>
      </c>
      <c r="D375" s="2">
        <f t="shared" ca="1" si="312"/>
        <v>0.32033071578869154</v>
      </c>
      <c r="E375" s="2">
        <f t="shared" ca="1" si="313"/>
        <v>7.3004132879815167</v>
      </c>
      <c r="F375" s="2">
        <f t="shared" ca="1" si="314"/>
        <v>0.34125346947002</v>
      </c>
      <c r="G375" s="2">
        <f t="shared" ca="1" si="315"/>
        <v>2.7728662319596344E-2</v>
      </c>
      <c r="H375" s="2">
        <f t="shared" ca="1" si="316"/>
        <v>2.7728662319596344E-2</v>
      </c>
      <c r="I375" s="2">
        <f t="shared" ca="1" si="317"/>
        <v>0.24908117689504272</v>
      </c>
      <c r="J375" s="2">
        <f t="shared" ca="1" si="318"/>
        <v>6.6130800514467743E-3</v>
      </c>
      <c r="K375" s="2">
        <f t="shared" ca="1" si="319"/>
        <v>6.6130800514467743E-3</v>
      </c>
      <c r="L375" s="2">
        <f t="shared" ca="1" si="320"/>
        <v>0.81215403904662165</v>
      </c>
      <c r="M375" s="2">
        <f t="shared" ca="1" si="321"/>
        <v>1.7717239008315039E-2</v>
      </c>
      <c r="N375" s="2">
        <f t="shared" ca="1" si="322"/>
        <v>1.7717239008315039E-2</v>
      </c>
      <c r="O375" s="2">
        <f t="shared" si="323"/>
        <v>6000000</v>
      </c>
      <c r="P375" s="2">
        <f t="shared" ca="1" si="324"/>
        <v>42244950.215653785</v>
      </c>
      <c r="Q375" s="2">
        <f t="shared" ca="1" si="325"/>
        <v>1056123.7553913447</v>
      </c>
      <c r="R375" s="2">
        <f t="shared" ca="1" si="326"/>
        <v>25346970.12939227</v>
      </c>
      <c r="S375" s="2">
        <f t="shared" ca="1" si="327"/>
        <v>16897980.086261515</v>
      </c>
      <c r="T375" s="2">
        <f t="shared" ca="1" si="328"/>
        <v>50885861.950415753</v>
      </c>
      <c r="U375" s="2">
        <f t="shared" ca="1" si="329"/>
        <v>52296858.833280422</v>
      </c>
      <c r="V375" s="2">
        <f t="shared" ca="1" si="330"/>
        <v>53746980.772244051</v>
      </c>
      <c r="W375" s="2">
        <f t="shared" ca="1" si="331"/>
        <v>55237312.652775437</v>
      </c>
      <c r="X375" s="2">
        <f t="shared" ca="1" si="332"/>
        <v>56768969.442766212</v>
      </c>
      <c r="Y375" s="2">
        <f t="shared" ca="1" si="333"/>
        <v>0.12330654002572339</v>
      </c>
      <c r="Z375" s="2">
        <f t="shared" ca="1" si="334"/>
        <v>0.12462915603601274</v>
      </c>
      <c r="AA375" s="2">
        <f t="shared" ca="1" si="335"/>
        <v>6274559.5733323749</v>
      </c>
      <c r="AB375" s="2">
        <f t="shared" ca="1" si="336"/>
        <v>6517713.3797262367</v>
      </c>
      <c r="AC375" s="2">
        <f t="shared" ca="1" si="337"/>
        <v>6698440.8531285804</v>
      </c>
      <c r="AD375" s="2">
        <f t="shared" ca="1" si="338"/>
        <v>6884179.6576127708</v>
      </c>
      <c r="AE375" s="2">
        <f t="shared" ca="1" si="339"/>
        <v>7075068.7506861491</v>
      </c>
      <c r="AF375" s="2">
        <f t="shared" ca="1" si="340"/>
        <v>1017717.239008315</v>
      </c>
      <c r="AG375" s="2">
        <f t="shared" ca="1" si="341"/>
        <v>1045937.1766656084</v>
      </c>
      <c r="AH375" s="2">
        <f t="shared" ca="1" si="342"/>
        <v>1074939.6154448811</v>
      </c>
      <c r="AI375" s="2">
        <f t="shared" ca="1" si="343"/>
        <v>1104746.2530555087</v>
      </c>
      <c r="AJ375" s="2">
        <f t="shared" ca="1" si="344"/>
        <v>1135379.3888553244</v>
      </c>
      <c r="AK375" s="2">
        <f t="shared" ca="1" si="345"/>
        <v>0</v>
      </c>
      <c r="AL375" s="2">
        <f t="shared" ca="1" si="346"/>
        <v>14109.96882864669</v>
      </c>
      <c r="AM375" s="2">
        <f t="shared" ca="1" si="347"/>
        <v>14501.219389636293</v>
      </c>
      <c r="AN375" s="2">
        <f t="shared" ca="1" si="348"/>
        <v>14903.318805313857</v>
      </c>
      <c r="AO375" s="2">
        <f t="shared" ca="1" si="349"/>
        <v>15316.567899907754</v>
      </c>
      <c r="AP375" s="2">
        <f t="shared" ca="1" si="350"/>
        <v>2281227.3116453043</v>
      </c>
      <c r="AQ375" s="2">
        <f t="shared" ca="1" si="351"/>
        <v>773659.90589647647</v>
      </c>
      <c r="AR375" s="2">
        <f t="shared" ca="1" si="352"/>
        <v>829542.7117679842</v>
      </c>
      <c r="AS375" s="2">
        <f t="shared" ca="1" si="353"/>
        <v>868991.22076998278</v>
      </c>
      <c r="AT375" s="2">
        <f t="shared" ca="1" si="354"/>
        <v>909533.58415710891</v>
      </c>
      <c r="AU375" s="2">
        <f t="shared" ca="1" si="355"/>
        <v>951200.13304823544</v>
      </c>
      <c r="AV375" s="2">
        <f t="shared" ca="1" si="356"/>
        <v>2201955.1167822792</v>
      </c>
      <c r="AW375" s="2">
        <f t="shared" ca="1" si="357"/>
        <v>2346896.2108186926</v>
      </c>
      <c r="AX375" s="2">
        <f t="shared" ca="1" si="358"/>
        <v>2458781.4858787763</v>
      </c>
      <c r="AY375" s="2">
        <f t="shared" ca="1" si="359"/>
        <v>2573769.1899495344</v>
      </c>
      <c r="AZ375" s="2">
        <f t="shared" ca="1" si="360"/>
        <v>2691945.3492373773</v>
      </c>
      <c r="BA375" s="2">
        <f t="shared" ca="1" si="361"/>
        <v>51650925.920891948</v>
      </c>
      <c r="BB375" s="2">
        <f t="shared" ca="1" si="362"/>
        <v>1033018.518417839</v>
      </c>
      <c r="BC375" s="2">
        <f t="shared" ca="1" si="363"/>
        <v>25270937.273081839</v>
      </c>
      <c r="BD375" s="2">
        <f t="shared" ca="1" si="364"/>
        <v>-18454103.841652859</v>
      </c>
      <c r="BE375" s="2">
        <f t="shared" ca="1" si="365"/>
        <v>2201955.1167822792</v>
      </c>
      <c r="BF375" s="2">
        <f t="shared" ca="1" si="366"/>
        <v>2346896.2108186926</v>
      </c>
      <c r="BG375" s="2">
        <f t="shared" ca="1" si="367"/>
        <v>2458781.4858787763</v>
      </c>
      <c r="BH375" s="2">
        <f t="shared" ca="1" si="368"/>
        <v>2573769.1899495344</v>
      </c>
      <c r="BI375" s="2">
        <f t="shared" ca="1" si="369"/>
        <v>27962882.622319218</v>
      </c>
      <c r="BJ375" s="2">
        <f t="shared" ca="1" si="370"/>
        <v>0.18224806213772449</v>
      </c>
      <c r="BK375" s="2">
        <f t="shared" ca="1" si="371"/>
        <v>4635538.3115323409</v>
      </c>
    </row>
    <row r="376" spans="1:63" x14ac:dyDescent="0.3">
      <c r="A376" s="2">
        <v>375</v>
      </c>
      <c r="B376" s="2">
        <f t="shared" ca="1" si="310"/>
        <v>0.36296448033964934</v>
      </c>
      <c r="C376" s="2">
        <f t="shared" ca="1" si="311"/>
        <v>6.8520146481600532</v>
      </c>
      <c r="D376" s="2">
        <f t="shared" ca="1" si="312"/>
        <v>0.23964828989196485</v>
      </c>
      <c r="E376" s="2">
        <f t="shared" ca="1" si="313"/>
        <v>7.1923124870923028</v>
      </c>
      <c r="F376" s="2">
        <f t="shared" ca="1" si="314"/>
        <v>0.33072466039869075</v>
      </c>
      <c r="G376" s="2">
        <f t="shared" ca="1" si="315"/>
        <v>2.686260873156765E-2</v>
      </c>
      <c r="H376" s="2">
        <f t="shared" ca="1" si="316"/>
        <v>2.686260873156765E-2</v>
      </c>
      <c r="I376" s="2">
        <f t="shared" ca="1" si="317"/>
        <v>0.74572400316946041</v>
      </c>
      <c r="J376" s="2">
        <f t="shared" ca="1" si="318"/>
        <v>1.3305470305739961E-2</v>
      </c>
      <c r="K376" s="2">
        <f t="shared" ca="1" si="319"/>
        <v>1.3305470305739961E-2</v>
      </c>
      <c r="L376" s="2">
        <f t="shared" ca="1" si="320"/>
        <v>0.3733869193772833</v>
      </c>
      <c r="M376" s="2">
        <f t="shared" ca="1" si="321"/>
        <v>-6.4579244095174775E-3</v>
      </c>
      <c r="N376" s="2">
        <f t="shared" ca="1" si="322"/>
        <v>-6.4579244095174775E-3</v>
      </c>
      <c r="O376" s="2">
        <f t="shared" si="323"/>
        <v>6000000</v>
      </c>
      <c r="P376" s="2">
        <f t="shared" ca="1" si="324"/>
        <v>41112087.888960317</v>
      </c>
      <c r="Q376" s="2">
        <f t="shared" ca="1" si="325"/>
        <v>1027802.1972240079</v>
      </c>
      <c r="R376" s="2">
        <f t="shared" ca="1" si="326"/>
        <v>24667252.73337619</v>
      </c>
      <c r="S376" s="2">
        <f t="shared" ca="1" si="327"/>
        <v>16444835.155584127</v>
      </c>
      <c r="T376" s="2">
        <f t="shared" ca="1" si="328"/>
        <v>49677103.779524125</v>
      </c>
      <c r="U376" s="2">
        <f t="shared" ca="1" si="329"/>
        <v>51011560.381270967</v>
      </c>
      <c r="V376" s="2">
        <f t="shared" ca="1" si="330"/>
        <v>52381863.968579791</v>
      </c>
      <c r="W376" s="2">
        <f t="shared" ca="1" si="331"/>
        <v>53788977.484997958</v>
      </c>
      <c r="X376" s="2">
        <f t="shared" ca="1" si="332"/>
        <v>55233889.741248563</v>
      </c>
      <c r="Y376" s="2">
        <f t="shared" ca="1" si="333"/>
        <v>0.12665273515286998</v>
      </c>
      <c r="Z376" s="2">
        <f t="shared" ca="1" si="334"/>
        <v>0.12931382921401796</v>
      </c>
      <c r="AA376" s="2">
        <f t="shared" ca="1" si="335"/>
        <v>6291741.0681497054</v>
      </c>
      <c r="AB376" s="2">
        <f t="shared" ca="1" si="336"/>
        <v>6596500.2070842385</v>
      </c>
      <c r="AC376" s="2">
        <f t="shared" ca="1" si="337"/>
        <v>6773699.411144848</v>
      </c>
      <c r="AD376" s="2">
        <f t="shared" ca="1" si="338"/>
        <v>6955658.6480916832</v>
      </c>
      <c r="AE376" s="2">
        <f t="shared" ca="1" si="339"/>
        <v>7142505.7848257152</v>
      </c>
      <c r="AF376" s="2">
        <f t="shared" ca="1" si="340"/>
        <v>993542.07559048256</v>
      </c>
      <c r="AG376" s="2">
        <f t="shared" ca="1" si="341"/>
        <v>1020231.2076254194</v>
      </c>
      <c r="AH376" s="2">
        <f t="shared" ca="1" si="342"/>
        <v>1047637.2793715958</v>
      </c>
      <c r="AI376" s="2">
        <f t="shared" ca="1" si="343"/>
        <v>1075779.5496999591</v>
      </c>
      <c r="AJ376" s="2">
        <f t="shared" ca="1" si="344"/>
        <v>1104677.7948249714</v>
      </c>
      <c r="AK376" s="2">
        <f t="shared" ca="1" si="345"/>
        <v>0</v>
      </c>
      <c r="AL376" s="2">
        <f t="shared" ca="1" si="346"/>
        <v>13344.566017468424</v>
      </c>
      <c r="AM376" s="2">
        <f t="shared" ca="1" si="347"/>
        <v>13703.035873088242</v>
      </c>
      <c r="AN376" s="2">
        <f t="shared" ca="1" si="348"/>
        <v>14071.135164181665</v>
      </c>
      <c r="AO376" s="2">
        <f t="shared" ca="1" si="349"/>
        <v>14449.122562506051</v>
      </c>
      <c r="AP376" s="2">
        <f t="shared" ca="1" si="350"/>
        <v>2220052.7460038569</v>
      </c>
      <c r="AQ376" s="2">
        <f t="shared" ca="1" si="351"/>
        <v>800318.02410439507</v>
      </c>
      <c r="AR376" s="2">
        <f t="shared" ca="1" si="352"/>
        <v>872616.22589829029</v>
      </c>
      <c r="AS376" s="2">
        <f t="shared" ca="1" si="353"/>
        <v>911562.44030004274</v>
      </c>
      <c r="AT376" s="2">
        <f t="shared" ca="1" si="354"/>
        <v>951554.85162084538</v>
      </c>
      <c r="AU376" s="2">
        <f t="shared" ca="1" si="355"/>
        <v>992621.5634391905</v>
      </c>
      <c r="AV376" s="2">
        <f t="shared" ca="1" si="356"/>
        <v>2277828.2224509707</v>
      </c>
      <c r="AW376" s="2">
        <f t="shared" ca="1" si="357"/>
        <v>2470255.4615392042</v>
      </c>
      <c r="AX376" s="2">
        <f t="shared" ca="1" si="358"/>
        <v>2580743.9095962644</v>
      </c>
      <c r="AY376" s="2">
        <f t="shared" ca="1" si="359"/>
        <v>2694200.3656028397</v>
      </c>
      <c r="AZ376" s="2">
        <f t="shared" ca="1" si="360"/>
        <v>2810704.5579951899</v>
      </c>
      <c r="BA376" s="2">
        <f t="shared" ca="1" si="361"/>
        <v>51371133.545331001</v>
      </c>
      <c r="BB376" s="2">
        <f t="shared" ca="1" si="362"/>
        <v>1027422.6709066201</v>
      </c>
      <c r="BC376" s="2">
        <f t="shared" ca="1" si="363"/>
        <v>25676458.141048193</v>
      </c>
      <c r="BD376" s="2">
        <f t="shared" ca="1" si="364"/>
        <v>-17972637.352808133</v>
      </c>
      <c r="BE376" s="2">
        <f t="shared" ca="1" si="365"/>
        <v>2277828.2224509707</v>
      </c>
      <c r="BF376" s="2">
        <f t="shared" ca="1" si="366"/>
        <v>2470255.4615392042</v>
      </c>
      <c r="BG376" s="2">
        <f t="shared" ca="1" si="367"/>
        <v>2580743.9095962644</v>
      </c>
      <c r="BH376" s="2">
        <f t="shared" ca="1" si="368"/>
        <v>2694200.3656028397</v>
      </c>
      <c r="BI376" s="2">
        <f t="shared" ca="1" si="369"/>
        <v>28487162.699043382</v>
      </c>
      <c r="BJ376" s="2">
        <f t="shared" ca="1" si="370"/>
        <v>0.19805111962862965</v>
      </c>
      <c r="BK376" s="2">
        <f t="shared" ca="1" si="371"/>
        <v>5743927.1130980626</v>
      </c>
    </row>
    <row r="377" spans="1:63" x14ac:dyDescent="0.3">
      <c r="A377" s="2">
        <v>376</v>
      </c>
      <c r="B377" s="2">
        <f t="shared" ca="1" si="310"/>
        <v>0.51248243384350134</v>
      </c>
      <c r="C377" s="2">
        <f t="shared" ca="1" si="311"/>
        <v>7.0125613273154643</v>
      </c>
      <c r="D377" s="2">
        <f t="shared" ca="1" si="312"/>
        <v>0.57643252612618945</v>
      </c>
      <c r="E377" s="2">
        <f t="shared" ca="1" si="313"/>
        <v>7.5796006585467257</v>
      </c>
      <c r="F377" s="2">
        <f t="shared" ca="1" si="314"/>
        <v>0.63124029789342428</v>
      </c>
      <c r="G377" s="2">
        <f t="shared" ca="1" si="315"/>
        <v>5.0054203023100874E-2</v>
      </c>
      <c r="H377" s="2">
        <f t="shared" ca="1" si="316"/>
        <v>5.0054203023100874E-2</v>
      </c>
      <c r="I377" s="2">
        <f t="shared" ca="1" si="317"/>
        <v>2.7335030337643507E-2</v>
      </c>
      <c r="J377" s="2">
        <f t="shared" ca="1" si="318"/>
        <v>3.925539220058314E-4</v>
      </c>
      <c r="K377" s="2">
        <f t="shared" ca="1" si="319"/>
        <v>3.925539220058314E-4</v>
      </c>
      <c r="L377" s="2">
        <f t="shared" ca="1" si="320"/>
        <v>0.41859797180093372</v>
      </c>
      <c r="M377" s="2">
        <f t="shared" ca="1" si="321"/>
        <v>-4.1096301786375218E-3</v>
      </c>
      <c r="N377" s="2">
        <f t="shared" ca="1" si="322"/>
        <v>-4.1096301786375218E-3</v>
      </c>
      <c r="O377" s="2">
        <f t="shared" si="323"/>
        <v>6000000</v>
      </c>
      <c r="P377" s="2">
        <f t="shared" ca="1" si="324"/>
        <v>42075367.963892788</v>
      </c>
      <c r="Q377" s="2">
        <f t="shared" ca="1" si="325"/>
        <v>1051884.1990973197</v>
      </c>
      <c r="R377" s="2">
        <f t="shared" ca="1" si="326"/>
        <v>25245220.778335672</v>
      </c>
      <c r="S377" s="2">
        <f t="shared" ca="1" si="327"/>
        <v>16830147.185557116</v>
      </c>
      <c r="T377" s="2">
        <f t="shared" ca="1" si="328"/>
        <v>49794518.491068125</v>
      </c>
      <c r="U377" s="2">
        <f t="shared" ca="1" si="329"/>
        <v>52286943.429057598</v>
      </c>
      <c r="V377" s="2">
        <f t="shared" ca="1" si="330"/>
        <v>54904124.710913032</v>
      </c>
      <c r="W377" s="2">
        <f t="shared" ca="1" si="331"/>
        <v>57652306.91599872</v>
      </c>
      <c r="X377" s="2">
        <f t="shared" ca="1" si="332"/>
        <v>60538047.191122241</v>
      </c>
      <c r="Y377" s="2">
        <f t="shared" ca="1" si="333"/>
        <v>0.12019627696100291</v>
      </c>
      <c r="Z377" s="2">
        <f t="shared" ca="1" si="334"/>
        <v>0.12027478774540408</v>
      </c>
      <c r="AA377" s="2">
        <f t="shared" ca="1" si="335"/>
        <v>5985115.7356922049</v>
      </c>
      <c r="AB377" s="2">
        <f t="shared" ca="1" si="336"/>
        <v>6288801.0227858536</v>
      </c>
      <c r="AC377" s="2">
        <f t="shared" ca="1" si="337"/>
        <v>6603581.9459522599</v>
      </c>
      <c r="AD377" s="2">
        <f t="shared" ca="1" si="338"/>
        <v>6934118.9773546373</v>
      </c>
      <c r="AE377" s="2">
        <f t="shared" ca="1" si="339"/>
        <v>7281200.7764334828</v>
      </c>
      <c r="AF377" s="2">
        <f t="shared" ca="1" si="340"/>
        <v>995890.36982136255</v>
      </c>
      <c r="AG377" s="2">
        <f t="shared" ca="1" si="341"/>
        <v>1045738.8685811519</v>
      </c>
      <c r="AH377" s="2">
        <f t="shared" ca="1" si="342"/>
        <v>1098082.4942182607</v>
      </c>
      <c r="AI377" s="2">
        <f t="shared" ca="1" si="343"/>
        <v>1153046.1383199745</v>
      </c>
      <c r="AJ377" s="2">
        <f t="shared" ca="1" si="344"/>
        <v>1210760.9438224449</v>
      </c>
      <c r="AK377" s="2">
        <f t="shared" ca="1" si="345"/>
        <v>0</v>
      </c>
      <c r="AL377" s="2">
        <f t="shared" ca="1" si="346"/>
        <v>24924.249379894733</v>
      </c>
      <c r="AM377" s="2">
        <f t="shared" ca="1" si="347"/>
        <v>26171.812818554343</v>
      </c>
      <c r="AN377" s="2">
        <f t="shared" ca="1" si="348"/>
        <v>27481.822050856874</v>
      </c>
      <c r="AO377" s="2">
        <f t="shared" ca="1" si="349"/>
        <v>28857.402751235219</v>
      </c>
      <c r="AP377" s="2">
        <f t="shared" ca="1" si="350"/>
        <v>2272069.8700502105</v>
      </c>
      <c r="AQ377" s="2">
        <f t="shared" ca="1" si="351"/>
        <v>706460.42891336442</v>
      </c>
      <c r="AR377" s="2">
        <f t="shared" ca="1" si="352"/>
        <v>772457.99388016784</v>
      </c>
      <c r="AS377" s="2">
        <f t="shared" ca="1" si="353"/>
        <v>840691.69123778504</v>
      </c>
      <c r="AT377" s="2">
        <f t="shared" ca="1" si="354"/>
        <v>912340.7719359576</v>
      </c>
      <c r="AU377" s="2">
        <f t="shared" ca="1" si="355"/>
        <v>987576.19026581501</v>
      </c>
      <c r="AV377" s="2">
        <f t="shared" ca="1" si="356"/>
        <v>2010695.066907268</v>
      </c>
      <c r="AW377" s="2">
        <f t="shared" ca="1" si="357"/>
        <v>2173610.0408944292</v>
      </c>
      <c r="AX377" s="2">
        <f t="shared" ca="1" si="358"/>
        <v>2366566.0776274493</v>
      </c>
      <c r="AY377" s="2">
        <f t="shared" ca="1" si="359"/>
        <v>2569180.3749976382</v>
      </c>
      <c r="AZ377" s="2">
        <f t="shared" ca="1" si="360"/>
        <v>2781936.3695437768</v>
      </c>
      <c r="BA377" s="2">
        <f t="shared" ca="1" si="361"/>
        <v>55188594.200066157</v>
      </c>
      <c r="BB377" s="2">
        <f t="shared" ca="1" si="362"/>
        <v>1103771.8840013233</v>
      </c>
      <c r="BC377" s="2">
        <f t="shared" ca="1" si="363"/>
        <v>28839601.537729163</v>
      </c>
      <c r="BD377" s="2">
        <f t="shared" ca="1" si="364"/>
        <v>-18382031.384654436</v>
      </c>
      <c r="BE377" s="2">
        <f t="shared" ca="1" si="365"/>
        <v>2010695.066907268</v>
      </c>
      <c r="BF377" s="2">
        <f t="shared" ca="1" si="366"/>
        <v>2173610.0408944292</v>
      </c>
      <c r="BG377" s="2">
        <f t="shared" ca="1" si="367"/>
        <v>2366566.0776274493</v>
      </c>
      <c r="BH377" s="2">
        <f t="shared" ca="1" si="368"/>
        <v>2569180.3749976382</v>
      </c>
      <c r="BI377" s="2">
        <f t="shared" ca="1" si="369"/>
        <v>31621537.907272939</v>
      </c>
      <c r="BJ377" s="2">
        <f t="shared" ca="1" si="370"/>
        <v>0.20186358503859614</v>
      </c>
      <c r="BK377" s="2">
        <f t="shared" ca="1" si="371"/>
        <v>6406166.0766305551</v>
      </c>
    </row>
    <row r="378" spans="1:63" x14ac:dyDescent="0.3">
      <c r="A378" s="2">
        <v>377</v>
      </c>
      <c r="B378" s="2">
        <f t="shared" ca="1" si="310"/>
        <v>0.14198531744562048</v>
      </c>
      <c r="C378" s="2">
        <f t="shared" ca="1" si="311"/>
        <v>6.532888951744396</v>
      </c>
      <c r="D378" s="2">
        <f t="shared" ca="1" si="312"/>
        <v>0.89072397803691206</v>
      </c>
      <c r="E378" s="2">
        <f t="shared" ca="1" si="313"/>
        <v>8.032504498496321</v>
      </c>
      <c r="F378" s="2">
        <f t="shared" ca="1" si="314"/>
        <v>0.12444032973703756</v>
      </c>
      <c r="G378" s="2">
        <f t="shared" ca="1" si="315"/>
        <v>5.4078273033577595E-3</v>
      </c>
      <c r="H378" s="2">
        <f t="shared" ca="1" si="316"/>
        <v>5.4078273033577595E-3</v>
      </c>
      <c r="I378" s="2">
        <f t="shared" ca="1" si="317"/>
        <v>5.0655078174954626E-2</v>
      </c>
      <c r="J378" s="2">
        <f t="shared" ca="1" si="318"/>
        <v>1.807325414665965E-3</v>
      </c>
      <c r="K378" s="2">
        <f t="shared" ca="1" si="319"/>
        <v>1.807325414665965E-3</v>
      </c>
      <c r="L378" s="2">
        <f t="shared" ca="1" si="320"/>
        <v>0.82800307981727328</v>
      </c>
      <c r="M378" s="2">
        <f t="shared" ca="1" si="321"/>
        <v>1.8926068758504732E-2</v>
      </c>
      <c r="N378" s="2">
        <f t="shared" ca="1" si="322"/>
        <v>1.8926068758504732E-2</v>
      </c>
      <c r="O378" s="2">
        <f t="shared" si="323"/>
        <v>6000000</v>
      </c>
      <c r="P378" s="2">
        <f t="shared" ca="1" si="324"/>
        <v>39197333.710466377</v>
      </c>
      <c r="Q378" s="2">
        <f t="shared" ca="1" si="325"/>
        <v>979933.34276165953</v>
      </c>
      <c r="R378" s="2">
        <f t="shared" ca="1" si="326"/>
        <v>23518400.226279825</v>
      </c>
      <c r="S378" s="2">
        <f t="shared" ca="1" si="327"/>
        <v>15678933.484186552</v>
      </c>
      <c r="T378" s="2">
        <f t="shared" ca="1" si="328"/>
        <v>50946303.437925234</v>
      </c>
      <c r="U378" s="2">
        <f t="shared" ca="1" si="329"/>
        <v>51221812.248661995</v>
      </c>
      <c r="V378" s="2">
        <f t="shared" ca="1" si="330"/>
        <v>51498810.963467777</v>
      </c>
      <c r="W378" s="2">
        <f t="shared" ca="1" si="331"/>
        <v>51777307.639486477</v>
      </c>
      <c r="X378" s="2">
        <f t="shared" ca="1" si="332"/>
        <v>52057310.377433643</v>
      </c>
      <c r="Y378" s="2">
        <f t="shared" ca="1" si="333"/>
        <v>0.12090366270733298</v>
      </c>
      <c r="Z378" s="2">
        <f t="shared" ca="1" si="334"/>
        <v>0.12126512779026617</v>
      </c>
      <c r="AA378" s="2">
        <f t="shared" ca="1" si="335"/>
        <v>6159594.6870443514</v>
      </c>
      <c r="AB378" s="2">
        <f t="shared" ca="1" si="336"/>
        <v>6211419.6079830183</v>
      </c>
      <c r="AC378" s="2">
        <f t="shared" ca="1" si="337"/>
        <v>6245009.8925316809</v>
      </c>
      <c r="AD378" s="2">
        <f t="shared" ca="1" si="338"/>
        <v>6278781.8275382528</v>
      </c>
      <c r="AE378" s="2">
        <f t="shared" ca="1" si="339"/>
        <v>6312736.3953370396</v>
      </c>
      <c r="AF378" s="2">
        <f t="shared" ca="1" si="340"/>
        <v>1018926.0687585047</v>
      </c>
      <c r="AG378" s="2">
        <f t="shared" ca="1" si="341"/>
        <v>1024436.24497324</v>
      </c>
      <c r="AH378" s="2">
        <f t="shared" ca="1" si="342"/>
        <v>1029976.2192693555</v>
      </c>
      <c r="AI378" s="2">
        <f t="shared" ca="1" si="343"/>
        <v>1035546.1527897295</v>
      </c>
      <c r="AJ378" s="2">
        <f t="shared" ca="1" si="344"/>
        <v>1041146.2075486729</v>
      </c>
      <c r="AK378" s="2">
        <f t="shared" ca="1" si="345"/>
        <v>0</v>
      </c>
      <c r="AL378" s="2">
        <f t="shared" ca="1" si="346"/>
        <v>2755.0881073676051</v>
      </c>
      <c r="AM378" s="2">
        <f t="shared" ca="1" si="347"/>
        <v>2769.9871480578186</v>
      </c>
      <c r="AN378" s="2">
        <f t="shared" ca="1" si="348"/>
        <v>2784.9667601870001</v>
      </c>
      <c r="AO378" s="2">
        <f t="shared" ca="1" si="349"/>
        <v>2800.0273794716595</v>
      </c>
      <c r="AP378" s="2">
        <f t="shared" ca="1" si="350"/>
        <v>2116656.0203651842</v>
      </c>
      <c r="AQ378" s="2">
        <f t="shared" ca="1" si="351"/>
        <v>786243.27545937232</v>
      </c>
      <c r="AR378" s="2">
        <f t="shared" ca="1" si="352"/>
        <v>798285.10908759467</v>
      </c>
      <c r="AS378" s="2">
        <f t="shared" ca="1" si="353"/>
        <v>805578.18975325662</v>
      </c>
      <c r="AT378" s="2">
        <f t="shared" ca="1" si="354"/>
        <v>812910.7101396682</v>
      </c>
      <c r="AU378" s="2">
        <f t="shared" ca="1" si="355"/>
        <v>820282.88353002735</v>
      </c>
      <c r="AV378" s="2">
        <f t="shared" ca="1" si="356"/>
        <v>2237769.3224612903</v>
      </c>
      <c r="AW378" s="2">
        <f t="shared" ca="1" si="357"/>
        <v>2269287.1454496318</v>
      </c>
      <c r="AX378" s="2">
        <f t="shared" ca="1" si="358"/>
        <v>2290029.4759958265</v>
      </c>
      <c r="AY378" s="2">
        <f t="shared" ca="1" si="359"/>
        <v>2310883.977483483</v>
      </c>
      <c r="AZ378" s="2">
        <f t="shared" ca="1" si="360"/>
        <v>2331851.2565136831</v>
      </c>
      <c r="BA378" s="2">
        <f t="shared" ca="1" si="361"/>
        <v>50707083.493366219</v>
      </c>
      <c r="BB378" s="2">
        <f t="shared" ca="1" si="362"/>
        <v>1014141.6698673244</v>
      </c>
      <c r="BC378" s="2">
        <f t="shared" ca="1" si="363"/>
        <v>26174541.597219069</v>
      </c>
      <c r="BD378" s="2">
        <f t="shared" ca="1" si="364"/>
        <v>-17158866.826948211</v>
      </c>
      <c r="BE378" s="2">
        <f t="shared" ca="1" si="365"/>
        <v>2237769.3224612903</v>
      </c>
      <c r="BF378" s="2">
        <f t="shared" ca="1" si="366"/>
        <v>2269287.1454496318</v>
      </c>
      <c r="BG378" s="2">
        <f t="shared" ca="1" si="367"/>
        <v>2290029.4759958265</v>
      </c>
      <c r="BH378" s="2">
        <f t="shared" ca="1" si="368"/>
        <v>2310883.977483483</v>
      </c>
      <c r="BI378" s="2">
        <f t="shared" ca="1" si="369"/>
        <v>28506392.85373275</v>
      </c>
      <c r="BJ378" s="2">
        <f t="shared" ca="1" si="370"/>
        <v>0.20303433670444493</v>
      </c>
      <c r="BK378" s="2">
        <f t="shared" ca="1" si="371"/>
        <v>5922102.4730194807</v>
      </c>
    </row>
    <row r="379" spans="1:63" x14ac:dyDescent="0.3">
      <c r="A379" s="2">
        <v>378</v>
      </c>
      <c r="B379" s="2">
        <f t="shared" ca="1" si="310"/>
        <v>0.15584125667448456</v>
      </c>
      <c r="C379" s="2">
        <f t="shared" ca="1" si="311"/>
        <v>6.5582853332740969</v>
      </c>
      <c r="D379" s="2">
        <f t="shared" ca="1" si="312"/>
        <v>7.3250157145646755E-3</v>
      </c>
      <c r="E379" s="2">
        <f t="shared" ca="1" si="313"/>
        <v>6.621037314201569</v>
      </c>
      <c r="F379" s="2">
        <f t="shared" ca="1" si="314"/>
        <v>0.82287404296600097</v>
      </c>
      <c r="G379" s="2">
        <f t="shared" ca="1" si="315"/>
        <v>6.7791204815546874E-2</v>
      </c>
      <c r="H379" s="2">
        <f t="shared" ca="1" si="316"/>
        <v>6.7791204815546874E-2</v>
      </c>
      <c r="I379" s="2">
        <f t="shared" ca="1" si="317"/>
        <v>2.1609988876330921E-2</v>
      </c>
      <c r="J379" s="2">
        <f t="shared" ca="1" si="318"/>
        <v>-1.0788946795543992E-4</v>
      </c>
      <c r="K379" s="2">
        <f t="shared" ca="1" si="319"/>
        <v>0</v>
      </c>
      <c r="L379" s="2">
        <f t="shared" ca="1" si="320"/>
        <v>0.46633875172328909</v>
      </c>
      <c r="M379" s="2">
        <f t="shared" ca="1" si="321"/>
        <v>-1.689532084926969E-3</v>
      </c>
      <c r="N379" s="2">
        <f t="shared" ca="1" si="322"/>
        <v>-1.689532084926969E-3</v>
      </c>
      <c r="O379" s="2">
        <f t="shared" si="323"/>
        <v>6000000</v>
      </c>
      <c r="P379" s="2">
        <f t="shared" ca="1" si="324"/>
        <v>39349711.999644585</v>
      </c>
      <c r="Q379" s="2">
        <f t="shared" ca="1" si="325"/>
        <v>983742.79999111465</v>
      </c>
      <c r="R379" s="2">
        <f t="shared" ca="1" si="326"/>
        <v>23609827.199786749</v>
      </c>
      <c r="S379" s="2">
        <f t="shared" ca="1" si="327"/>
        <v>15739884.799857834</v>
      </c>
      <c r="T379" s="2">
        <f t="shared" ca="1" si="328"/>
        <v>49915523.395753652</v>
      </c>
      <c r="U379" s="2">
        <f t="shared" ca="1" si="329"/>
        <v>53299356.86575041</v>
      </c>
      <c r="V379" s="2">
        <f t="shared" ca="1" si="330"/>
        <v>56912584.483573422</v>
      </c>
      <c r="W379" s="2">
        <f t="shared" ca="1" si="331"/>
        <v>60770757.154881462</v>
      </c>
      <c r="X379" s="2">
        <f t="shared" ca="1" si="332"/>
        <v>64890479.999963894</v>
      </c>
      <c r="Y379" s="2">
        <f t="shared" ca="1" si="333"/>
        <v>0.12</v>
      </c>
      <c r="Z379" s="2">
        <f t="shared" ca="1" si="334"/>
        <v>0.12</v>
      </c>
      <c r="AA379" s="2">
        <f t="shared" ca="1" si="335"/>
        <v>5989862.8074904382</v>
      </c>
      <c r="AB379" s="2">
        <f t="shared" ca="1" si="336"/>
        <v>6395922.823890049</v>
      </c>
      <c r="AC379" s="2">
        <f t="shared" ca="1" si="337"/>
        <v>6829510.1380288107</v>
      </c>
      <c r="AD379" s="2">
        <f t="shared" ca="1" si="338"/>
        <v>7292490.8585857749</v>
      </c>
      <c r="AE379" s="2">
        <f t="shared" ca="1" si="339"/>
        <v>7786857.5999956671</v>
      </c>
      <c r="AF379" s="2">
        <f t="shared" ca="1" si="340"/>
        <v>998310.46791507304</v>
      </c>
      <c r="AG379" s="2">
        <f t="shared" ca="1" si="341"/>
        <v>1065987.1373150083</v>
      </c>
      <c r="AH379" s="2">
        <f t="shared" ca="1" si="342"/>
        <v>1138251.6896714685</v>
      </c>
      <c r="AI379" s="2">
        <f t="shared" ca="1" si="343"/>
        <v>1215415.1430976293</v>
      </c>
      <c r="AJ379" s="2">
        <f t="shared" ca="1" si="344"/>
        <v>1297809.5999992779</v>
      </c>
      <c r="AK379" s="2">
        <f t="shared" ca="1" si="345"/>
        <v>0</v>
      </c>
      <c r="AL379" s="2">
        <f t="shared" ca="1" si="346"/>
        <v>33838.334699967578</v>
      </c>
      <c r="AM379" s="2">
        <f t="shared" ca="1" si="347"/>
        <v>36132.276178230124</v>
      </c>
      <c r="AN379" s="2">
        <f t="shared" ca="1" si="348"/>
        <v>38581.72671308041</v>
      </c>
      <c r="AO379" s="2">
        <f t="shared" ca="1" si="349"/>
        <v>41197.228450824325</v>
      </c>
      <c r="AP379" s="2">
        <f t="shared" ca="1" si="350"/>
        <v>2124884.4479808072</v>
      </c>
      <c r="AQ379" s="2">
        <f t="shared" ca="1" si="351"/>
        <v>745333.65181458509</v>
      </c>
      <c r="AR379" s="2">
        <f t="shared" ca="1" si="352"/>
        <v>833313.32203450066</v>
      </c>
      <c r="AS379" s="2">
        <f t="shared" ca="1" si="353"/>
        <v>927257.24009789899</v>
      </c>
      <c r="AT379" s="2">
        <f t="shared" ca="1" si="354"/>
        <v>1027569.7295519079</v>
      </c>
      <c r="AU379" s="2">
        <f t="shared" ca="1" si="355"/>
        <v>1134682.5235240513</v>
      </c>
      <c r="AV379" s="2">
        <f t="shared" ca="1" si="356"/>
        <v>2121334.2397799725</v>
      </c>
      <c r="AW379" s="2">
        <f t="shared" ca="1" si="357"/>
        <v>2337899.5818597646</v>
      </c>
      <c r="AX379" s="2">
        <f t="shared" ca="1" si="358"/>
        <v>2602984.4841004051</v>
      </c>
      <c r="AY379" s="2">
        <f t="shared" ca="1" si="359"/>
        <v>2886039.8112423504</v>
      </c>
      <c r="AZ379" s="2">
        <f t="shared" ca="1" si="360"/>
        <v>3188283.8000407061</v>
      </c>
      <c r="BA379" s="2">
        <f t="shared" ca="1" si="361"/>
        <v>51557074.729945384</v>
      </c>
      <c r="BB379" s="2">
        <f t="shared" ca="1" si="362"/>
        <v>1031141.4945989077</v>
      </c>
      <c r="BC379" s="2">
        <f t="shared" ca="1" si="363"/>
        <v>26916106.035559729</v>
      </c>
      <c r="BD379" s="2">
        <f t="shared" ca="1" si="364"/>
        <v>-17223627.599848948</v>
      </c>
      <c r="BE379" s="2">
        <f t="shared" ca="1" si="365"/>
        <v>2121334.2397799725</v>
      </c>
      <c r="BF379" s="2">
        <f t="shared" ca="1" si="366"/>
        <v>2337899.5818597646</v>
      </c>
      <c r="BG379" s="2">
        <f t="shared" ca="1" si="367"/>
        <v>2602984.4841004051</v>
      </c>
      <c r="BH379" s="2">
        <f t="shared" ca="1" si="368"/>
        <v>2886039.8112423504</v>
      </c>
      <c r="BI379" s="2">
        <f t="shared" ca="1" si="369"/>
        <v>30104389.835600436</v>
      </c>
      <c r="BJ379" s="2">
        <f t="shared" ca="1" si="370"/>
        <v>0.21931793652309972</v>
      </c>
      <c r="BK379" s="2">
        <f t="shared" ca="1" si="371"/>
        <v>7303102.7454434633</v>
      </c>
    </row>
    <row r="380" spans="1:63" x14ac:dyDescent="0.3">
      <c r="A380" s="2">
        <v>379</v>
      </c>
      <c r="B380" s="2">
        <f t="shared" ca="1" si="310"/>
        <v>0.43654884857999376</v>
      </c>
      <c r="C380" s="2">
        <f t="shared" ca="1" si="311"/>
        <v>6.9343969697938812</v>
      </c>
      <c r="D380" s="2">
        <f t="shared" ca="1" si="312"/>
        <v>0.48331672610127974</v>
      </c>
      <c r="E380" s="2">
        <f t="shared" ca="1" si="313"/>
        <v>7.4831751889681506</v>
      </c>
      <c r="F380" s="2">
        <f t="shared" ca="1" si="314"/>
        <v>0.31830934841140979</v>
      </c>
      <c r="G380" s="2">
        <f t="shared" ca="1" si="315"/>
        <v>2.5827049621145341E-2</v>
      </c>
      <c r="H380" s="2">
        <f t="shared" ca="1" si="316"/>
        <v>2.5827049621145341E-2</v>
      </c>
      <c r="I380" s="2">
        <f t="shared" ca="1" si="317"/>
        <v>9.1955003563049087E-2</v>
      </c>
      <c r="J380" s="2">
        <f t="shared" ca="1" si="318"/>
        <v>3.3559400751544547E-3</v>
      </c>
      <c r="K380" s="2">
        <f t="shared" ca="1" si="319"/>
        <v>3.3559400751544547E-3</v>
      </c>
      <c r="L380" s="2">
        <f t="shared" ca="1" si="320"/>
        <v>0.92008621133200763</v>
      </c>
      <c r="M380" s="2">
        <f t="shared" ca="1" si="321"/>
        <v>2.8113033905818322E-2</v>
      </c>
      <c r="N380" s="2">
        <f t="shared" ca="1" si="322"/>
        <v>2.8113033905818322E-2</v>
      </c>
      <c r="O380" s="2">
        <f t="shared" si="323"/>
        <v>6000000</v>
      </c>
      <c r="P380" s="2">
        <f t="shared" ca="1" si="324"/>
        <v>41606381.818763286</v>
      </c>
      <c r="Q380" s="2">
        <f t="shared" ca="1" si="325"/>
        <v>1040159.5454690822</v>
      </c>
      <c r="R380" s="2">
        <f t="shared" ca="1" si="326"/>
        <v>24963829.091257971</v>
      </c>
      <c r="S380" s="2">
        <f t="shared" ca="1" si="327"/>
        <v>16642552.727505315</v>
      </c>
      <c r="T380" s="2">
        <f t="shared" ca="1" si="328"/>
        <v>51405651.695290923</v>
      </c>
      <c r="U380" s="2">
        <f t="shared" ca="1" si="329"/>
        <v>52733308.012432508</v>
      </c>
      <c r="V380" s="2">
        <f t="shared" ca="1" si="330"/>
        <v>54095253.775156736</v>
      </c>
      <c r="W380" s="2">
        <f t="shared" ca="1" si="331"/>
        <v>55492374.578676157</v>
      </c>
      <c r="X380" s="2">
        <f t="shared" ca="1" si="332"/>
        <v>56925578.890514806</v>
      </c>
      <c r="Y380" s="2">
        <f t="shared" ca="1" si="333"/>
        <v>0.12167797003757723</v>
      </c>
      <c r="Z380" s="2">
        <f t="shared" ca="1" si="334"/>
        <v>0.12234915805260811</v>
      </c>
      <c r="AA380" s="2">
        <f t="shared" ca="1" si="335"/>
        <v>6254935.3467417397</v>
      </c>
      <c r="AB380" s="2">
        <f t="shared" ca="1" si="336"/>
        <v>6451875.8366499711</v>
      </c>
      <c r="AC380" s="2">
        <f t="shared" ca="1" si="337"/>
        <v>6618508.7540325969</v>
      </c>
      <c r="AD380" s="2">
        <f t="shared" ca="1" si="338"/>
        <v>6789445.3080409812</v>
      </c>
      <c r="AE380" s="2">
        <f t="shared" ca="1" si="339"/>
        <v>6964796.6489118077</v>
      </c>
      <c r="AF380" s="2">
        <f t="shared" ca="1" si="340"/>
        <v>1028113.0339058185</v>
      </c>
      <c r="AG380" s="2">
        <f t="shared" ca="1" si="341"/>
        <v>1054666.1602486502</v>
      </c>
      <c r="AH380" s="2">
        <f t="shared" ca="1" si="342"/>
        <v>1081905.0755031346</v>
      </c>
      <c r="AI380" s="2">
        <f t="shared" ca="1" si="343"/>
        <v>1109847.4915735233</v>
      </c>
      <c r="AJ380" s="2">
        <f t="shared" ca="1" si="344"/>
        <v>1138511.5778102961</v>
      </c>
      <c r="AK380" s="2">
        <f t="shared" ca="1" si="345"/>
        <v>0</v>
      </c>
      <c r="AL380" s="2">
        <f t="shared" ca="1" si="346"/>
        <v>13276.563171415852</v>
      </c>
      <c r="AM380" s="2">
        <f t="shared" ca="1" si="347"/>
        <v>13619.457627242282</v>
      </c>
      <c r="AN380" s="2">
        <f t="shared" ca="1" si="348"/>
        <v>13971.208035194204</v>
      </c>
      <c r="AO380" s="2">
        <f t="shared" ca="1" si="349"/>
        <v>14332.043118386493</v>
      </c>
      <c r="AP380" s="2">
        <f t="shared" ca="1" si="350"/>
        <v>2246744.6182132172</v>
      </c>
      <c r="AQ380" s="2">
        <f t="shared" ca="1" si="351"/>
        <v>774820.20060190314</v>
      </c>
      <c r="AR380" s="2">
        <f t="shared" ca="1" si="352"/>
        <v>819120.91512890696</v>
      </c>
      <c r="AS380" s="2">
        <f t="shared" ca="1" si="353"/>
        <v>855363.35568222357</v>
      </c>
      <c r="AT380" s="2">
        <f t="shared" ca="1" si="354"/>
        <v>892541.83154610277</v>
      </c>
      <c r="AU380" s="2">
        <f t="shared" ca="1" si="355"/>
        <v>930680.51775095658</v>
      </c>
      <c r="AV380" s="2">
        <f t="shared" ca="1" si="356"/>
        <v>2205257.4940208015</v>
      </c>
      <c r="AW380" s="2">
        <f t="shared" ca="1" si="357"/>
        <v>2318067.5798877808</v>
      </c>
      <c r="AX380" s="2">
        <f t="shared" ca="1" si="358"/>
        <v>2420876.2470067781</v>
      </c>
      <c r="AY380" s="2">
        <f t="shared" ca="1" si="359"/>
        <v>2526340.1586729442</v>
      </c>
      <c r="AZ380" s="2">
        <f t="shared" ca="1" si="360"/>
        <v>2634527.8920189519</v>
      </c>
      <c r="BA380" s="2">
        <f t="shared" ca="1" si="361"/>
        <v>52118793.479345359</v>
      </c>
      <c r="BB380" s="2">
        <f t="shared" ca="1" si="362"/>
        <v>1042375.8695869072</v>
      </c>
      <c r="BC380" s="2">
        <f t="shared" ca="1" si="363"/>
        <v>26112588.518500481</v>
      </c>
      <c r="BD380" s="2">
        <f t="shared" ca="1" si="364"/>
        <v>-18182712.272974398</v>
      </c>
      <c r="BE380" s="2">
        <f t="shared" ca="1" si="365"/>
        <v>2205257.4940208015</v>
      </c>
      <c r="BF380" s="2">
        <f t="shared" ca="1" si="366"/>
        <v>2318067.5798877808</v>
      </c>
      <c r="BG380" s="2">
        <f t="shared" ca="1" si="367"/>
        <v>2420876.2470067781</v>
      </c>
      <c r="BH380" s="2">
        <f t="shared" ca="1" si="368"/>
        <v>2526340.1586729442</v>
      </c>
      <c r="BI380" s="2">
        <f t="shared" ca="1" si="369"/>
        <v>28747116.410519432</v>
      </c>
      <c r="BJ380" s="2">
        <f t="shared" ca="1" si="370"/>
        <v>0.19080171609203478</v>
      </c>
      <c r="BK380" s="2">
        <f t="shared" ca="1" si="371"/>
        <v>5274769.5286918208</v>
      </c>
    </row>
    <row r="381" spans="1:63" x14ac:dyDescent="0.3">
      <c r="A381" s="2">
        <v>380</v>
      </c>
      <c r="B381" s="2">
        <f t="shared" ca="1" si="310"/>
        <v>0.37249172040233136</v>
      </c>
      <c r="C381" s="2">
        <f t="shared" ca="1" si="311"/>
        <v>6.8631242325439965</v>
      </c>
      <c r="D381" s="2">
        <f t="shared" ca="1" si="312"/>
        <v>0.32641412530794178</v>
      </c>
      <c r="E381" s="2">
        <f t="shared" ca="1" si="313"/>
        <v>7.3079778775535154</v>
      </c>
      <c r="F381" s="2">
        <f t="shared" ca="1" si="314"/>
        <v>0.18621550412843568</v>
      </c>
      <c r="G381" s="2">
        <f t="shared" ca="1" si="315"/>
        <v>1.3242131048928199E-2</v>
      </c>
      <c r="H381" s="2">
        <f t="shared" ca="1" si="316"/>
        <v>1.3242131048928199E-2</v>
      </c>
      <c r="I381" s="2">
        <f t="shared" ca="1" si="317"/>
        <v>3.5693545398724935E-2</v>
      </c>
      <c r="J381" s="2">
        <f t="shared" ca="1" si="318"/>
        <v>9.849642186436601E-4</v>
      </c>
      <c r="K381" s="2">
        <f t="shared" ca="1" si="319"/>
        <v>9.849642186436601E-4</v>
      </c>
      <c r="L381" s="2">
        <f t="shared" ca="1" si="320"/>
        <v>0.88803869161431803</v>
      </c>
      <c r="M381" s="2">
        <f t="shared" ca="1" si="321"/>
        <v>2.4323271476188096E-2</v>
      </c>
      <c r="N381" s="2">
        <f t="shared" ca="1" si="322"/>
        <v>2.4323271476188096E-2</v>
      </c>
      <c r="O381" s="2">
        <f t="shared" si="323"/>
        <v>6000000</v>
      </c>
      <c r="P381" s="2">
        <f t="shared" ca="1" si="324"/>
        <v>41178745.395263977</v>
      </c>
      <c r="Q381" s="2">
        <f t="shared" ca="1" si="325"/>
        <v>1029468.6348815995</v>
      </c>
      <c r="R381" s="2">
        <f t="shared" ca="1" si="326"/>
        <v>24707247.237158384</v>
      </c>
      <c r="S381" s="2">
        <f t="shared" ca="1" si="327"/>
        <v>16471498.158105591</v>
      </c>
      <c r="T381" s="2">
        <f t="shared" ca="1" si="328"/>
        <v>51216163.5738094</v>
      </c>
      <c r="U381" s="2">
        <f t="shared" ca="1" si="329"/>
        <v>51894374.723677121</v>
      </c>
      <c r="V381" s="2">
        <f t="shared" ca="1" si="330"/>
        <v>52581566.834470235</v>
      </c>
      <c r="W381" s="2">
        <f t="shared" ca="1" si="331"/>
        <v>53277858.833250262</v>
      </c>
      <c r="X381" s="2">
        <f t="shared" ca="1" si="332"/>
        <v>53983371.221926458</v>
      </c>
      <c r="Y381" s="2">
        <f t="shared" ca="1" si="333"/>
        <v>0.12049248210932183</v>
      </c>
      <c r="Z381" s="2">
        <f t="shared" ca="1" si="334"/>
        <v>0.12068947495305056</v>
      </c>
      <c r="AA381" s="2">
        <f t="shared" ca="1" si="335"/>
        <v>6171162.6731253294</v>
      </c>
      <c r="AB381" s="2">
        <f t="shared" ca="1" si="336"/>
        <v>6263104.83841745</v>
      </c>
      <c r="AC381" s="2">
        <f t="shared" ca="1" si="337"/>
        <v>6346041.6934609497</v>
      </c>
      <c r="AD381" s="2">
        <f t="shared" ca="1" si="338"/>
        <v>6430076.8092077207</v>
      </c>
      <c r="AE381" s="2">
        <f t="shared" ca="1" si="339"/>
        <v>6515224.7289699232</v>
      </c>
      <c r="AF381" s="2">
        <f t="shared" ca="1" si="340"/>
        <v>1024323.271476188</v>
      </c>
      <c r="AG381" s="2">
        <f t="shared" ca="1" si="341"/>
        <v>1037887.4944735424</v>
      </c>
      <c r="AH381" s="2">
        <f t="shared" ca="1" si="342"/>
        <v>1051631.3366894047</v>
      </c>
      <c r="AI381" s="2">
        <f t="shared" ca="1" si="343"/>
        <v>1065557.1766650053</v>
      </c>
      <c r="AJ381" s="2">
        <f t="shared" ca="1" si="344"/>
        <v>1079667.4244385292</v>
      </c>
      <c r="AK381" s="2">
        <f t="shared" ca="1" si="345"/>
        <v>0</v>
      </c>
      <c r="AL381" s="2">
        <f t="shared" ca="1" si="346"/>
        <v>6782.1114986772091</v>
      </c>
      <c r="AM381" s="2">
        <f t="shared" ca="1" si="347"/>
        <v>6871.9211079311372</v>
      </c>
      <c r="AN381" s="2">
        <f t="shared" ca="1" si="348"/>
        <v>6962.9199878002701</v>
      </c>
      <c r="AO381" s="2">
        <f t="shared" ca="1" si="349"/>
        <v>7055.1238867619631</v>
      </c>
      <c r="AP381" s="2">
        <f t="shared" ca="1" si="350"/>
        <v>2223652.2513442547</v>
      </c>
      <c r="AQ381" s="2">
        <f t="shared" ca="1" si="351"/>
        <v>760028.65907927067</v>
      </c>
      <c r="AR381" s="2">
        <f t="shared" ca="1" si="352"/>
        <v>780406.92407590989</v>
      </c>
      <c r="AS381" s="2">
        <f t="shared" ca="1" si="353"/>
        <v>798397.10741109564</v>
      </c>
      <c r="AT381" s="2">
        <f t="shared" ca="1" si="354"/>
        <v>816625.51911159977</v>
      </c>
      <c r="AU381" s="2">
        <f t="shared" ca="1" si="355"/>
        <v>835095.3138286561</v>
      </c>
      <c r="AV381" s="2">
        <f t="shared" ca="1" si="356"/>
        <v>2163158.4912256165</v>
      </c>
      <c r="AW381" s="2">
        <f t="shared" ca="1" si="357"/>
        <v>2214376.0570250661</v>
      </c>
      <c r="AX381" s="2">
        <f t="shared" ca="1" si="358"/>
        <v>2265489.0769082638</v>
      </c>
      <c r="AY381" s="2">
        <f t="shared" ca="1" si="359"/>
        <v>2317278.9420990604</v>
      </c>
      <c r="AZ381" s="2">
        <f t="shared" ca="1" si="360"/>
        <v>2369754.6154717202</v>
      </c>
      <c r="BA381" s="2">
        <f t="shared" ca="1" si="361"/>
        <v>47613118.186601795</v>
      </c>
      <c r="BB381" s="2">
        <f t="shared" ca="1" si="362"/>
        <v>952262.36373203597</v>
      </c>
      <c r="BC381" s="2">
        <f t="shared" ca="1" si="363"/>
        <v>21953608.585711375</v>
      </c>
      <c r="BD381" s="2">
        <f t="shared" ca="1" si="364"/>
        <v>-18000966.79298719</v>
      </c>
      <c r="BE381" s="2">
        <f t="shared" ca="1" si="365"/>
        <v>2163158.4912256165</v>
      </c>
      <c r="BF381" s="2">
        <f t="shared" ca="1" si="366"/>
        <v>2214376.0570250661</v>
      </c>
      <c r="BG381" s="2">
        <f t="shared" ca="1" si="367"/>
        <v>2265489.0769082638</v>
      </c>
      <c r="BH381" s="2">
        <f t="shared" ca="1" si="368"/>
        <v>2317278.9420990604</v>
      </c>
      <c r="BI381" s="2">
        <f t="shared" ca="1" si="369"/>
        <v>24323363.201183096</v>
      </c>
      <c r="BJ381" s="2">
        <f t="shared" ca="1" si="370"/>
        <v>0.15716237501413088</v>
      </c>
      <c r="BK381" s="2">
        <f t="shared" ca="1" si="371"/>
        <v>2582644.2910315506</v>
      </c>
    </row>
    <row r="382" spans="1:63" x14ac:dyDescent="0.3">
      <c r="A382" s="2">
        <v>381</v>
      </c>
      <c r="B382" s="2">
        <f t="shared" ca="1" si="310"/>
        <v>0.73379352032913914</v>
      </c>
      <c r="C382" s="2">
        <f t="shared" ca="1" si="311"/>
        <v>7.2703336657473354</v>
      </c>
      <c r="D382" s="2">
        <f t="shared" ca="1" si="312"/>
        <v>0.28990912525681967</v>
      </c>
      <c r="E382" s="2">
        <f t="shared" ca="1" si="313"/>
        <v>7.2614579768533778</v>
      </c>
      <c r="F382" s="2">
        <f t="shared" ca="1" si="314"/>
        <v>0.14449582530622318</v>
      </c>
      <c r="G382" s="2">
        <f t="shared" ca="1" si="315"/>
        <v>8.1899123252585151E-3</v>
      </c>
      <c r="H382" s="2">
        <f t="shared" ca="1" si="316"/>
        <v>8.1899123252585151E-3</v>
      </c>
      <c r="I382" s="2">
        <f t="shared" ca="1" si="317"/>
        <v>0.89276409619681629</v>
      </c>
      <c r="J382" s="2">
        <f t="shared" ca="1" si="318"/>
        <v>1.6206813286506548E-2</v>
      </c>
      <c r="K382" s="2">
        <f t="shared" ca="1" si="319"/>
        <v>1.6206813286506548E-2</v>
      </c>
      <c r="L382" s="2">
        <f t="shared" ca="1" si="320"/>
        <v>3.3965197597476182E-2</v>
      </c>
      <c r="M382" s="2">
        <f t="shared" ca="1" si="321"/>
        <v>-3.6509365397807039E-2</v>
      </c>
      <c r="N382" s="2">
        <f t="shared" ca="1" si="322"/>
        <v>-3.6509365397807039E-2</v>
      </c>
      <c r="O382" s="2">
        <f t="shared" si="323"/>
        <v>6000000</v>
      </c>
      <c r="P382" s="2">
        <f t="shared" ca="1" si="324"/>
        <v>43622001.994484015</v>
      </c>
      <c r="Q382" s="2">
        <f t="shared" ca="1" si="325"/>
        <v>1090550.0498621005</v>
      </c>
      <c r="R382" s="2">
        <f t="shared" ca="1" si="326"/>
        <v>26173201.196690407</v>
      </c>
      <c r="S382" s="2">
        <f t="shared" ca="1" si="327"/>
        <v>17448800.797793608</v>
      </c>
      <c r="T382" s="2">
        <f t="shared" ca="1" si="328"/>
        <v>48174531.730109647</v>
      </c>
      <c r="U382" s="2">
        <f t="shared" ca="1" si="329"/>
        <v>48569076.921289623</v>
      </c>
      <c r="V382" s="2">
        <f t="shared" ca="1" si="330"/>
        <v>48966853.402993716</v>
      </c>
      <c r="W382" s="2">
        <f t="shared" ca="1" si="331"/>
        <v>49367887.639208019</v>
      </c>
      <c r="X382" s="2">
        <f t="shared" ca="1" si="332"/>
        <v>49772206.310656346</v>
      </c>
      <c r="Y382" s="2">
        <f t="shared" ca="1" si="333"/>
        <v>0.12810340664325326</v>
      </c>
      <c r="Z382" s="2">
        <f t="shared" ca="1" si="334"/>
        <v>0.13134476930055458</v>
      </c>
      <c r="AA382" s="2">
        <f t="shared" ca="1" si="335"/>
        <v>6171321.6280705435</v>
      </c>
      <c r="AB382" s="2">
        <f t="shared" ca="1" si="336"/>
        <v>6379294.2033676757</v>
      </c>
      <c r="AC382" s="2">
        <f t="shared" ca="1" si="337"/>
        <v>6431540.0635902854</v>
      </c>
      <c r="AD382" s="2">
        <f t="shared" ca="1" si="338"/>
        <v>6484213.8128274772</v>
      </c>
      <c r="AE382" s="2">
        <f t="shared" ca="1" si="339"/>
        <v>6537318.9554527644</v>
      </c>
      <c r="AF382" s="2">
        <f t="shared" ca="1" si="340"/>
        <v>963490.63460219291</v>
      </c>
      <c r="AG382" s="2">
        <f t="shared" ca="1" si="341"/>
        <v>971381.53842579247</v>
      </c>
      <c r="AH382" s="2">
        <f t="shared" ca="1" si="342"/>
        <v>979337.06805987435</v>
      </c>
      <c r="AI382" s="2">
        <f t="shared" ca="1" si="343"/>
        <v>987357.75278416043</v>
      </c>
      <c r="AJ382" s="2">
        <f t="shared" ca="1" si="344"/>
        <v>995444.12621312693</v>
      </c>
      <c r="AK382" s="2">
        <f t="shared" ca="1" si="345"/>
        <v>0</v>
      </c>
      <c r="AL382" s="2">
        <f t="shared" ca="1" si="346"/>
        <v>3945.4519117997588</v>
      </c>
      <c r="AM382" s="2">
        <f t="shared" ca="1" si="347"/>
        <v>3977.7648170409352</v>
      </c>
      <c r="AN382" s="2">
        <f t="shared" ca="1" si="348"/>
        <v>4010.3423621430247</v>
      </c>
      <c r="AO382" s="2">
        <f t="shared" ca="1" si="349"/>
        <v>4043.1867144832763</v>
      </c>
      <c r="AP382" s="2">
        <f t="shared" ca="1" si="350"/>
        <v>2355588.1077021365</v>
      </c>
      <c r="AQ382" s="2">
        <f t="shared" ca="1" si="351"/>
        <v>741583.15029921569</v>
      </c>
      <c r="AR382" s="2">
        <f t="shared" ca="1" si="352"/>
        <v>793604.38488233404</v>
      </c>
      <c r="AS382" s="2">
        <f t="shared" ca="1" si="353"/>
        <v>805119.87083535129</v>
      </c>
      <c r="AT382" s="2">
        <f t="shared" ca="1" si="354"/>
        <v>816729.66760870675</v>
      </c>
      <c r="AU382" s="2">
        <f t="shared" ca="1" si="355"/>
        <v>828434.54759975034</v>
      </c>
      <c r="AV382" s="2">
        <f t="shared" ca="1" si="356"/>
        <v>2110659.7354669985</v>
      </c>
      <c r="AW382" s="2">
        <f t="shared" ca="1" si="357"/>
        <v>2254774.7204456129</v>
      </c>
      <c r="AX382" s="2">
        <f t="shared" ca="1" si="358"/>
        <v>2287517.252175882</v>
      </c>
      <c r="AY382" s="2">
        <f t="shared" ca="1" si="359"/>
        <v>2320527.9423703304</v>
      </c>
      <c r="AZ382" s="2">
        <f t="shared" ca="1" si="360"/>
        <v>2353808.9872232671</v>
      </c>
      <c r="BA382" s="2">
        <f t="shared" ca="1" si="361"/>
        <v>47470466.876307264</v>
      </c>
      <c r="BB382" s="2">
        <f t="shared" ca="1" si="362"/>
        <v>949409.33752614527</v>
      </c>
      <c r="BC382" s="2">
        <f t="shared" ca="1" si="363"/>
        <v>20347856.342090711</v>
      </c>
      <c r="BD382" s="2">
        <f t="shared" ca="1" si="364"/>
        <v>-19039350.84765571</v>
      </c>
      <c r="BE382" s="2">
        <f t="shared" ca="1" si="365"/>
        <v>2110659.7354669985</v>
      </c>
      <c r="BF382" s="2">
        <f t="shared" ca="1" si="366"/>
        <v>2254774.7204456129</v>
      </c>
      <c r="BG382" s="2">
        <f t="shared" ca="1" si="367"/>
        <v>2287517.252175882</v>
      </c>
      <c r="BH382" s="2">
        <f t="shared" ca="1" si="368"/>
        <v>2320527.9423703304</v>
      </c>
      <c r="BI382" s="2">
        <f t="shared" ca="1" si="369"/>
        <v>22701665.329313979</v>
      </c>
      <c r="BJ382" s="2">
        <f t="shared" ca="1" si="370"/>
        <v>0.12890080666883286</v>
      </c>
      <c r="BK382" s="2">
        <f t="shared" ca="1" si="371"/>
        <v>627141.00853270292</v>
      </c>
    </row>
    <row r="383" spans="1:63" x14ac:dyDescent="0.3">
      <c r="A383" s="2">
        <v>382</v>
      </c>
      <c r="B383" s="2">
        <f t="shared" ca="1" si="310"/>
        <v>0.55859757138722033</v>
      </c>
      <c r="C383" s="2">
        <f t="shared" ca="1" si="311"/>
        <v>7.0604230434788438</v>
      </c>
      <c r="D383" s="2">
        <f t="shared" ca="1" si="312"/>
        <v>0.874670954809459</v>
      </c>
      <c r="E383" s="2">
        <f t="shared" ca="1" si="313"/>
        <v>7.9993423421327883</v>
      </c>
      <c r="F383" s="2">
        <f t="shared" ca="1" si="314"/>
        <v>0.22008820598378742</v>
      </c>
      <c r="G383" s="2">
        <f t="shared" ca="1" si="315"/>
        <v>1.6843139516847721E-2</v>
      </c>
      <c r="H383" s="2">
        <f t="shared" ca="1" si="316"/>
        <v>1.6843139516847721E-2</v>
      </c>
      <c r="I383" s="2">
        <f t="shared" ca="1" si="317"/>
        <v>0.11856739107172187</v>
      </c>
      <c r="J383" s="2">
        <f t="shared" ca="1" si="318"/>
        <v>4.0891062453751112E-3</v>
      </c>
      <c r="K383" s="2">
        <f t="shared" ca="1" si="319"/>
        <v>4.0891062453751112E-3</v>
      </c>
      <c r="L383" s="2">
        <f t="shared" ca="1" si="320"/>
        <v>0.16211431836017309</v>
      </c>
      <c r="M383" s="2">
        <f t="shared" ca="1" si="321"/>
        <v>-1.9716107130767335E-2</v>
      </c>
      <c r="N383" s="2">
        <f t="shared" ca="1" si="322"/>
        <v>-1.9716107130767335E-2</v>
      </c>
      <c r="O383" s="2">
        <f t="shared" si="323"/>
        <v>6000000</v>
      </c>
      <c r="P383" s="2">
        <f t="shared" ca="1" si="324"/>
        <v>42362538.260873064</v>
      </c>
      <c r="Q383" s="2">
        <f t="shared" ca="1" si="325"/>
        <v>1059063.4565218266</v>
      </c>
      <c r="R383" s="2">
        <f t="shared" ca="1" si="326"/>
        <v>25417522.956523839</v>
      </c>
      <c r="S383" s="2">
        <f t="shared" ca="1" si="327"/>
        <v>16945015.304349225</v>
      </c>
      <c r="T383" s="2">
        <f t="shared" ca="1" si="328"/>
        <v>49014194.643461637</v>
      </c>
      <c r="U383" s="2">
        <f t="shared" ca="1" si="329"/>
        <v>49839747.562147394</v>
      </c>
      <c r="V383" s="2">
        <f t="shared" ca="1" si="330"/>
        <v>50679205.383821115</v>
      </c>
      <c r="W383" s="2">
        <f t="shared" ca="1" si="331"/>
        <v>51532802.310703799</v>
      </c>
      <c r="X383" s="2">
        <f t="shared" ca="1" si="332"/>
        <v>52400776.489717118</v>
      </c>
      <c r="Y383" s="2">
        <f t="shared" ca="1" si="333"/>
        <v>0.12204455312268755</v>
      </c>
      <c r="Z383" s="2">
        <f t="shared" ca="1" si="334"/>
        <v>0.12286237437176258</v>
      </c>
      <c r="AA383" s="2">
        <f t="shared" ca="1" si="335"/>
        <v>5981915.4819297018</v>
      </c>
      <c r="AB383" s="2">
        <f t="shared" ca="1" si="336"/>
        <v>6123429.7235746942</v>
      </c>
      <c r="AC383" s="2">
        <f t="shared" ca="1" si="337"/>
        <v>6226567.5047304751</v>
      </c>
      <c r="AD383" s="2">
        <f t="shared" ca="1" si="338"/>
        <v>6331442.4499237221</v>
      </c>
      <c r="AE383" s="2">
        <f t="shared" ca="1" si="339"/>
        <v>6438083.8184506791</v>
      </c>
      <c r="AF383" s="2">
        <f t="shared" ca="1" si="340"/>
        <v>980283.8928692328</v>
      </c>
      <c r="AG383" s="2">
        <f t="shared" ca="1" si="341"/>
        <v>996794.95124294795</v>
      </c>
      <c r="AH383" s="2">
        <f t="shared" ca="1" si="342"/>
        <v>1013584.1076764223</v>
      </c>
      <c r="AI383" s="2">
        <f t="shared" ca="1" si="343"/>
        <v>1030656.046214076</v>
      </c>
      <c r="AJ383" s="2">
        <f t="shared" ca="1" si="344"/>
        <v>1048015.5297943424</v>
      </c>
      <c r="AK383" s="2">
        <f t="shared" ca="1" si="345"/>
        <v>0</v>
      </c>
      <c r="AL383" s="2">
        <f t="shared" ca="1" si="346"/>
        <v>8255.5291868575659</v>
      </c>
      <c r="AM383" s="2">
        <f t="shared" ca="1" si="347"/>
        <v>8394.5782167372108</v>
      </c>
      <c r="AN383" s="2">
        <f t="shared" ca="1" si="348"/>
        <v>8535.9692688268424</v>
      </c>
      <c r="AO383" s="2">
        <f t="shared" ca="1" si="349"/>
        <v>8679.7417901331937</v>
      </c>
      <c r="AP383" s="2">
        <f t="shared" ca="1" si="350"/>
        <v>2287577.0660871454</v>
      </c>
      <c r="AQ383" s="2">
        <f t="shared" ca="1" si="351"/>
        <v>705654.17597306403</v>
      </c>
      <c r="AR383" s="2">
        <f t="shared" ca="1" si="352"/>
        <v>738155.00362359628</v>
      </c>
      <c r="AS383" s="2">
        <f t="shared" ca="1" si="353"/>
        <v>760605.64605139603</v>
      </c>
      <c r="AT383" s="2">
        <f t="shared" ca="1" si="354"/>
        <v>783434.42778185033</v>
      </c>
      <c r="AU383" s="2">
        <f t="shared" ca="1" si="355"/>
        <v>806647.71786798991</v>
      </c>
      <c r="AV383" s="2">
        <f t="shared" ca="1" si="356"/>
        <v>2008400.347000259</v>
      </c>
      <c r="AW383" s="2">
        <f t="shared" ca="1" si="357"/>
        <v>2092647.1734341467</v>
      </c>
      <c r="AX383" s="2">
        <f t="shared" ca="1" si="358"/>
        <v>2156406.1066987747</v>
      </c>
      <c r="AY383" s="2">
        <f t="shared" ca="1" si="359"/>
        <v>2221238.9405718241</v>
      </c>
      <c r="AZ383" s="2">
        <f t="shared" ca="1" si="360"/>
        <v>2287163.7629110683</v>
      </c>
      <c r="BA383" s="2">
        <f t="shared" ca="1" si="361"/>
        <v>51500436.491132461</v>
      </c>
      <c r="BB383" s="2">
        <f t="shared" ca="1" si="362"/>
        <v>1030008.7298226493</v>
      </c>
      <c r="BC383" s="2">
        <f t="shared" ca="1" si="363"/>
        <v>25052904.804785971</v>
      </c>
      <c r="BD383" s="2">
        <f t="shared" ca="1" si="364"/>
        <v>-18504078.760871053</v>
      </c>
      <c r="BE383" s="2">
        <f t="shared" ca="1" si="365"/>
        <v>2008400.347000259</v>
      </c>
      <c r="BF383" s="2">
        <f t="shared" ca="1" si="366"/>
        <v>2092647.1734341467</v>
      </c>
      <c r="BG383" s="2">
        <f t="shared" ca="1" si="367"/>
        <v>2156406.1066987747</v>
      </c>
      <c r="BH383" s="2">
        <f t="shared" ca="1" si="368"/>
        <v>2221238.9405718241</v>
      </c>
      <c r="BI383" s="2">
        <f t="shared" ca="1" si="369"/>
        <v>27340068.567697041</v>
      </c>
      <c r="BJ383" s="2">
        <f t="shared" ca="1" si="370"/>
        <v>0.16607709671236615</v>
      </c>
      <c r="BK383" s="2">
        <f t="shared" ca="1" si="371"/>
        <v>3417395.2679028772</v>
      </c>
    </row>
    <row r="384" spans="1:63" x14ac:dyDescent="0.3">
      <c r="A384" s="2">
        <v>383</v>
      </c>
      <c r="B384" s="2">
        <f t="shared" ca="1" si="310"/>
        <v>0.97124526192456329</v>
      </c>
      <c r="C384" s="2">
        <f t="shared" ca="1" si="311"/>
        <v>7.7601886655079175</v>
      </c>
      <c r="D384" s="2">
        <f t="shared" ca="1" si="312"/>
        <v>0.16880465493486752</v>
      </c>
      <c r="E384" s="2">
        <f t="shared" ca="1" si="313"/>
        <v>7.0810415732714267</v>
      </c>
      <c r="F384" s="2">
        <f t="shared" ca="1" si="314"/>
        <v>0.5869604412488626</v>
      </c>
      <c r="G384" s="2">
        <f t="shared" ca="1" si="315"/>
        <v>4.6591989418892074E-2</v>
      </c>
      <c r="H384" s="2">
        <f t="shared" ca="1" si="316"/>
        <v>4.6591989418892074E-2</v>
      </c>
      <c r="I384" s="2">
        <f t="shared" ca="1" si="317"/>
        <v>0.27327422926791212</v>
      </c>
      <c r="J384" s="2">
        <f t="shared" ca="1" si="318"/>
        <v>6.9852989007601254E-3</v>
      </c>
      <c r="K384" s="2">
        <f t="shared" ca="1" si="319"/>
        <v>6.9852989007601254E-3</v>
      </c>
      <c r="L384" s="2">
        <f t="shared" ca="1" si="320"/>
        <v>0.81816027430202443</v>
      </c>
      <c r="M384" s="2">
        <f t="shared" ca="1" si="321"/>
        <v>1.8167525677796923E-2</v>
      </c>
      <c r="N384" s="2">
        <f t="shared" ca="1" si="322"/>
        <v>1.8167525677796923E-2</v>
      </c>
      <c r="O384" s="2">
        <f t="shared" si="323"/>
        <v>6000000</v>
      </c>
      <c r="P384" s="2">
        <f t="shared" ca="1" si="324"/>
        <v>46561131.993047506</v>
      </c>
      <c r="Q384" s="2">
        <f t="shared" ca="1" si="325"/>
        <v>1164028.2998261878</v>
      </c>
      <c r="R384" s="2">
        <f t="shared" ca="1" si="326"/>
        <v>27936679.195828501</v>
      </c>
      <c r="S384" s="2">
        <f t="shared" ca="1" si="327"/>
        <v>18624452.797219004</v>
      </c>
      <c r="T384" s="2">
        <f t="shared" ca="1" si="328"/>
        <v>50908376.283889845</v>
      </c>
      <c r="U384" s="2">
        <f t="shared" ca="1" si="329"/>
        <v>53280298.813041814</v>
      </c>
      <c r="V384" s="2">
        <f t="shared" ca="1" si="330"/>
        <v>55762733.931574464</v>
      </c>
      <c r="W384" s="2">
        <f t="shared" ca="1" si="331"/>
        <v>58360830.640882872</v>
      </c>
      <c r="X384" s="2">
        <f t="shared" ca="1" si="332"/>
        <v>61079977.844580635</v>
      </c>
      <c r="Y384" s="2">
        <f t="shared" ca="1" si="333"/>
        <v>0.12349264945038006</v>
      </c>
      <c r="Z384" s="2">
        <f t="shared" ca="1" si="334"/>
        <v>0.12488970923053208</v>
      </c>
      <c r="AA384" s="2">
        <f t="shared" ca="1" si="335"/>
        <v>6286810.2665144503</v>
      </c>
      <c r="AB384" s="2">
        <f t="shared" ca="1" si="336"/>
        <v>6654161.0264766561</v>
      </c>
      <c r="AC384" s="2">
        <f t="shared" ca="1" si="337"/>
        <v>6964191.62661386</v>
      </c>
      <c r="AD384" s="2">
        <f t="shared" ca="1" si="338"/>
        <v>7288667.1691921894</v>
      </c>
      <c r="AE384" s="2">
        <f t="shared" ca="1" si="339"/>
        <v>7628260.672817017</v>
      </c>
      <c r="AF384" s="2">
        <f t="shared" ca="1" si="340"/>
        <v>1018167.5256777969</v>
      </c>
      <c r="AG384" s="2">
        <f t="shared" ca="1" si="341"/>
        <v>1065605.9762608362</v>
      </c>
      <c r="AH384" s="2">
        <f t="shared" ca="1" si="342"/>
        <v>1115254.6786314894</v>
      </c>
      <c r="AI384" s="2">
        <f t="shared" ca="1" si="343"/>
        <v>1167216.6128176574</v>
      </c>
      <c r="AJ384" s="2">
        <f t="shared" ca="1" si="344"/>
        <v>1221599.5568916127</v>
      </c>
      <c r="AK384" s="2">
        <f t="shared" ca="1" si="345"/>
        <v>0</v>
      </c>
      <c r="AL384" s="2">
        <f t="shared" ca="1" si="346"/>
        <v>23719.225291519688</v>
      </c>
      <c r="AM384" s="2">
        <f t="shared" ca="1" si="347"/>
        <v>24824.351185326501</v>
      </c>
      <c r="AN384" s="2">
        <f t="shared" ca="1" si="348"/>
        <v>25980.967093084084</v>
      </c>
      <c r="AO384" s="2">
        <f t="shared" ca="1" si="349"/>
        <v>27191.472036977633</v>
      </c>
      <c r="AP384" s="2">
        <f t="shared" ca="1" si="350"/>
        <v>2514301.1276245648</v>
      </c>
      <c r="AQ384" s="2">
        <f t="shared" ca="1" si="351"/>
        <v>716128.81943514314</v>
      </c>
      <c r="AR384" s="2">
        <f t="shared" ca="1" si="352"/>
        <v>799306.0198737263</v>
      </c>
      <c r="AS384" s="2">
        <f t="shared" ca="1" si="353"/>
        <v>867005.31329302955</v>
      </c>
      <c r="AT384" s="2">
        <f t="shared" ca="1" si="354"/>
        <v>937858.85147499153</v>
      </c>
      <c r="AU384" s="2">
        <f t="shared" ca="1" si="355"/>
        <v>1012013.5969582183</v>
      </c>
      <c r="AV384" s="2">
        <f t="shared" ca="1" si="356"/>
        <v>2038212.7937769461</v>
      </c>
      <c r="AW384" s="2">
        <f t="shared" ca="1" si="357"/>
        <v>2251228.6774260094</v>
      </c>
      <c r="AX384" s="2">
        <f t="shared" ca="1" si="358"/>
        <v>2442806.15587945</v>
      </c>
      <c r="AY384" s="2">
        <f t="shared" ca="1" si="359"/>
        <v>2643309.6101818914</v>
      </c>
      <c r="AZ384" s="2">
        <f t="shared" ca="1" si="360"/>
        <v>2853154.919305644</v>
      </c>
      <c r="BA384" s="2">
        <f t="shared" ca="1" si="361"/>
        <v>54016030.95596876</v>
      </c>
      <c r="BB384" s="2">
        <f t="shared" ca="1" si="362"/>
        <v>1080320.6191193752</v>
      </c>
      <c r="BC384" s="2">
        <f t="shared" ca="1" si="363"/>
        <v>24999031.141020883</v>
      </c>
      <c r="BD384" s="2">
        <f t="shared" ca="1" si="364"/>
        <v>-20288481.097045191</v>
      </c>
      <c r="BE384" s="2">
        <f t="shared" ca="1" si="365"/>
        <v>2038212.7937769461</v>
      </c>
      <c r="BF384" s="2">
        <f t="shared" ca="1" si="366"/>
        <v>2251228.6774260094</v>
      </c>
      <c r="BG384" s="2">
        <f t="shared" ca="1" si="367"/>
        <v>2442806.15587945</v>
      </c>
      <c r="BH384" s="2">
        <f t="shared" ca="1" si="368"/>
        <v>2643309.6101818914</v>
      </c>
      <c r="BI384" s="2">
        <f t="shared" ca="1" si="369"/>
        <v>27852186.060326528</v>
      </c>
      <c r="BJ384" s="2">
        <f t="shared" ca="1" si="370"/>
        <v>0.15204775065607001</v>
      </c>
      <c r="BK384" s="2">
        <f t="shared" ca="1" si="371"/>
        <v>2548708.0493369624</v>
      </c>
    </row>
    <row r="385" spans="1:63" x14ac:dyDescent="0.3">
      <c r="A385" s="2">
        <v>384</v>
      </c>
      <c r="B385" s="2">
        <f t="shared" ca="1" si="310"/>
        <v>0.96040391057011276</v>
      </c>
      <c r="C385" s="2">
        <f t="shared" ca="1" si="311"/>
        <v>7.7185889503594884</v>
      </c>
      <c r="D385" s="2">
        <f t="shared" ca="1" si="312"/>
        <v>0.94087919333969927</v>
      </c>
      <c r="E385" s="2">
        <f t="shared" ca="1" si="313"/>
        <v>8.1561372173081228</v>
      </c>
      <c r="F385" s="2">
        <f t="shared" ca="1" si="314"/>
        <v>9.0732046168559677E-2</v>
      </c>
      <c r="G385" s="2">
        <f t="shared" ca="1" si="315"/>
        <v>-8.7819601540556347E-5</v>
      </c>
      <c r="H385" s="2">
        <f t="shared" ca="1" si="316"/>
        <v>-8.7819601540556347E-5</v>
      </c>
      <c r="I385" s="2">
        <f t="shared" ca="1" si="317"/>
        <v>9.7986525595392004E-2</v>
      </c>
      <c r="J385" s="2">
        <f t="shared" ca="1" si="318"/>
        <v>3.5344504943316084E-3</v>
      </c>
      <c r="K385" s="2">
        <f t="shared" ca="1" si="319"/>
        <v>3.5344504943316084E-3</v>
      </c>
      <c r="L385" s="2">
        <f t="shared" ca="1" si="320"/>
        <v>0.93762304004666586</v>
      </c>
      <c r="M385" s="2">
        <f t="shared" ca="1" si="321"/>
        <v>3.0702435384643817E-2</v>
      </c>
      <c r="N385" s="2">
        <f t="shared" ca="1" si="322"/>
        <v>3.0702435384643817E-2</v>
      </c>
      <c r="O385" s="2">
        <f t="shared" si="323"/>
        <v>6000000</v>
      </c>
      <c r="P385" s="2">
        <f t="shared" ca="1" si="324"/>
        <v>46311533.702156931</v>
      </c>
      <c r="Q385" s="2">
        <f t="shared" ca="1" si="325"/>
        <v>1157788.3425539234</v>
      </c>
      <c r="R385" s="2">
        <f t="shared" ca="1" si="326"/>
        <v>27786920.221294157</v>
      </c>
      <c r="S385" s="2">
        <f t="shared" ca="1" si="327"/>
        <v>18524613.480862774</v>
      </c>
      <c r="T385" s="2">
        <f t="shared" ca="1" si="328"/>
        <v>51535121.769232199</v>
      </c>
      <c r="U385" s="2">
        <f t="shared" ca="1" si="329"/>
        <v>51530595.975373082</v>
      </c>
      <c r="V385" s="2">
        <f t="shared" ca="1" si="330"/>
        <v>51526070.578967378</v>
      </c>
      <c r="W385" s="2">
        <f t="shared" ca="1" si="331"/>
        <v>51521545.57998018</v>
      </c>
      <c r="X385" s="2">
        <f t="shared" ca="1" si="332"/>
        <v>51517020.97837659</v>
      </c>
      <c r="Y385" s="2">
        <f t="shared" ca="1" si="333"/>
        <v>0.12176722524716579</v>
      </c>
      <c r="Z385" s="2">
        <f t="shared" ca="1" si="334"/>
        <v>0.12247411534603211</v>
      </c>
      <c r="AA385" s="2">
        <f t="shared" ca="1" si="335"/>
        <v>6275288.7806142149</v>
      </c>
      <c r="AB385" s="2">
        <f t="shared" ca="1" si="336"/>
        <v>6311164.1553376215</v>
      </c>
      <c r="AC385" s="2">
        <f t="shared" ca="1" si="337"/>
        <v>6310609.9114162419</v>
      </c>
      <c r="AD385" s="2">
        <f t="shared" ca="1" si="338"/>
        <v>6310055.716168344</v>
      </c>
      <c r="AE385" s="2">
        <f t="shared" ca="1" si="339"/>
        <v>6309501.5695896503</v>
      </c>
      <c r="AF385" s="2">
        <f t="shared" ca="1" si="340"/>
        <v>1030702.435384644</v>
      </c>
      <c r="AG385" s="2">
        <f t="shared" ca="1" si="341"/>
        <v>1030611.9195074617</v>
      </c>
      <c r="AH385" s="2">
        <f t="shared" ca="1" si="342"/>
        <v>1030521.4115793476</v>
      </c>
      <c r="AI385" s="2">
        <f t="shared" ca="1" si="343"/>
        <v>1030430.9115996036</v>
      </c>
      <c r="AJ385" s="2">
        <f t="shared" ca="1" si="344"/>
        <v>1030340.4195675318</v>
      </c>
      <c r="AK385" s="2">
        <f t="shared" ca="1" si="345"/>
        <v>0</v>
      </c>
      <c r="AL385" s="2">
        <f t="shared" ca="1" si="346"/>
        <v>0</v>
      </c>
      <c r="AM385" s="2">
        <f t="shared" ca="1" si="347"/>
        <v>0</v>
      </c>
      <c r="AN385" s="2">
        <f t="shared" ca="1" si="348"/>
        <v>0</v>
      </c>
      <c r="AO385" s="2">
        <f t="shared" ca="1" si="349"/>
        <v>0</v>
      </c>
      <c r="AP385" s="2">
        <f t="shared" ca="1" si="350"/>
        <v>2500822.8199164742</v>
      </c>
      <c r="AQ385" s="2">
        <f t="shared" ca="1" si="351"/>
        <v>713378.51658140519</v>
      </c>
      <c r="AR385" s="2">
        <f t="shared" ca="1" si="352"/>
        <v>722729.64813755825</v>
      </c>
      <c r="AS385" s="2">
        <f t="shared" ca="1" si="353"/>
        <v>722609.07677930931</v>
      </c>
      <c r="AT385" s="2">
        <f t="shared" ca="1" si="354"/>
        <v>722488.51600958931</v>
      </c>
      <c r="AU385" s="2">
        <f t="shared" ca="1" si="355"/>
        <v>722367.9658274675</v>
      </c>
      <c r="AV385" s="2">
        <f t="shared" ca="1" si="356"/>
        <v>2030385.0087316916</v>
      </c>
      <c r="AW385" s="2">
        <f t="shared" ca="1" si="357"/>
        <v>2056999.7677761274</v>
      </c>
      <c r="AX385" s="2">
        <f t="shared" ca="1" si="358"/>
        <v>2056656.6031411109</v>
      </c>
      <c r="AY385" s="2">
        <f t="shared" ca="1" si="359"/>
        <v>2056313.4686426767</v>
      </c>
      <c r="AZ385" s="2">
        <f t="shared" ca="1" si="360"/>
        <v>2055970.3642781763</v>
      </c>
      <c r="BA385" s="2">
        <f t="shared" ca="1" si="361"/>
        <v>51461160.574394166</v>
      </c>
      <c r="BB385" s="2">
        <f t="shared" ca="1" si="362"/>
        <v>1029223.2114878834</v>
      </c>
      <c r="BC385" s="2">
        <f t="shared" ca="1" si="363"/>
        <v>22645017.141612127</v>
      </c>
      <c r="BD385" s="2">
        <f t="shared" ca="1" si="364"/>
        <v>-20182401.823416699</v>
      </c>
      <c r="BE385" s="2">
        <f t="shared" ca="1" si="365"/>
        <v>2030385.0087316916</v>
      </c>
      <c r="BF385" s="2">
        <f t="shared" ca="1" si="366"/>
        <v>2056999.7677761274</v>
      </c>
      <c r="BG385" s="2">
        <f t="shared" ca="1" si="367"/>
        <v>2056656.6031411109</v>
      </c>
      <c r="BH385" s="2">
        <f t="shared" ca="1" si="368"/>
        <v>2056313.4686426767</v>
      </c>
      <c r="BI385" s="2">
        <f t="shared" ca="1" si="369"/>
        <v>24700987.505890302</v>
      </c>
      <c r="BJ385" s="2">
        <f t="shared" ca="1" si="370"/>
        <v>0.12075413790166145</v>
      </c>
      <c r="BK385" s="2">
        <f t="shared" ca="1" si="371"/>
        <v>56985.159826826304</v>
      </c>
    </row>
    <row r="386" spans="1:63" x14ac:dyDescent="0.3">
      <c r="A386" s="2">
        <v>385</v>
      </c>
      <c r="B386" s="2">
        <f t="shared" ref="B386:B449" ca="1" si="372">RAND()</f>
        <v>0.21960581859320905</v>
      </c>
      <c r="C386" s="2">
        <f t="shared" ref="C386:C449" ca="1" si="373">IF(B386&lt;((P_Mode)-(P_Low))/((P_High)-(P_Low)), (P_Low)+SQRT(B386*((P_High)-(P_Low))*((P_Mode)-(P_Low))), (P_High)-SQRT((1-B386)*((P_High)-(P_Low))*((P_High)-(P_Mode))))</f>
        <v>6.6627304408176959</v>
      </c>
      <c r="D386" s="2">
        <f t="shared" ref="D386:D449" ca="1" si="374">RAND()</f>
        <v>0.75601209323254037</v>
      </c>
      <c r="E386" s="2">
        <f t="shared" ref="E386:E449" ca="1" si="375">IF(D386&lt;((X_Mode)-(X_Low))/((X_High)-(X_Low)), (X_Low)+SQRT(D386*((X_High)-(X_Low))*((X_Mode)-(X_Low))), (X_High)-SQRT((1-D386)*((X_High)-(X_Low))*((X_High)-(X_Mode))))</f>
        <v>7.8014473437636074</v>
      </c>
      <c r="F386" s="2">
        <f t="shared" ref="F386:F449" ca="1" si="376">RAND()</f>
        <v>0.73239377336182754</v>
      </c>
      <c r="G386" s="2">
        <f t="shared" ref="G386:G449" ca="1" si="377">NORMINV(F386, g_Mean, g_SD)</f>
        <v>5.8602065773310973E-2</v>
      </c>
      <c r="H386" s="2">
        <f t="shared" ref="H386:H449" ca="1" si="378">MIN(MAX(G386, g_Min), g_Max)</f>
        <v>5.8602065773310973E-2</v>
      </c>
      <c r="I386" s="2">
        <f t="shared" ref="I386:I449" ca="1" si="379">RAND()</f>
        <v>0.96816330879341961</v>
      </c>
      <c r="J386" s="2">
        <f t="shared" ref="J386:J449" ca="1" si="380">NORMINV(I386, syn_Mean, syn_SD)</f>
        <v>1.9272299835134427E-2</v>
      </c>
      <c r="K386" s="2">
        <f t="shared" ref="K386:K449" ca="1" si="381">MIN(MAX(J386, syn_Min), syn_Max)</f>
        <v>1.9272299835134427E-2</v>
      </c>
      <c r="L386" s="2">
        <f t="shared" ref="L386:L449" ca="1" si="382">RAND()</f>
        <v>0.76200038045407059</v>
      </c>
      <c r="M386" s="2">
        <f t="shared" ref="M386:M449" ca="1" si="383">NORMINV(L386, shk_Mean, shk_SD)</f>
        <v>1.425503979313192E-2</v>
      </c>
      <c r="N386" s="2">
        <f t="shared" ref="N386:N449" ca="1" si="384">MIN(MAX(M386, shk_Min), shk_Max)</f>
        <v>1.425503979313192E-2</v>
      </c>
      <c r="O386" s="2">
        <f t="shared" ref="O386:O449" si="385">BaseRev*BaseMargin</f>
        <v>6000000</v>
      </c>
      <c r="P386" s="2">
        <f t="shared" ref="P386:P449" ca="1" si="386">O386*C386</f>
        <v>39976382.644906178</v>
      </c>
      <c r="Q386" s="2">
        <f t="shared" ref="Q386:Q449" ca="1" si="387">P386*TxnCostPct</f>
        <v>999409.56612265448</v>
      </c>
      <c r="R386" s="2">
        <f t="shared" ref="R386:R449" ca="1" si="388">P386*DebtPct</f>
        <v>23985829.586943705</v>
      </c>
      <c r="S386" s="2">
        <f t="shared" ref="S386:S449" ca="1" si="389">P386*EqPct</f>
        <v>15990553.057962472</v>
      </c>
      <c r="T386" s="2">
        <f t="shared" ref="T386:T449" ca="1" si="390">BaseRev*(1+N386)</f>
        <v>50712751.989656605</v>
      </c>
      <c r="U386" s="2">
        <f t="shared" ref="U386:U449" ca="1" si="391">T386*(1+H386)</f>
        <v>53684624.017300069</v>
      </c>
      <c r="V386" s="2">
        <f t="shared" ref="V386:V449" ca="1" si="392">U386*(1+H386)</f>
        <v>56830653.884977363</v>
      </c>
      <c r="W386" s="2">
        <f t="shared" ref="W386:W449" ca="1" si="393">V386*(1+H386)</f>
        <v>60161047.60188508</v>
      </c>
      <c r="X386" s="2">
        <f t="shared" ref="X386:X449" ca="1" si="394">W386*(1+H386)</f>
        <v>63686609.270442046</v>
      </c>
      <c r="Y386" s="2">
        <f t="shared" ref="Y386:Y449" ca="1" si="395">BaseMargin + SynReal_Y1*K386</f>
        <v>0.12963614991756722</v>
      </c>
      <c r="Z386" s="2">
        <f t="shared" ref="Z386:Z449" ca="1" si="396">BaseMargin + SynReal_Y2toY5*K386</f>
        <v>0.1334906098845941</v>
      </c>
      <c r="AA386" s="2">
        <f t="shared" ref="AA386:AA449" ca="1" si="397">T386*Y386</f>
        <v>6574205.9196635289</v>
      </c>
      <c r="AB386" s="2">
        <f t="shared" ref="AB386:AB449" ca="1" si="398">U386*Z386</f>
        <v>7166393.2014945149</v>
      </c>
      <c r="AC386" s="2">
        <f t="shared" ref="AC386:AC449" ca="1" si="399">V386*Z386</f>
        <v>7586358.6472459054</v>
      </c>
      <c r="AD386" s="2">
        <f t="shared" ref="AD386:AD449" ca="1" si="400">W386*Z386</f>
        <v>8030934.9356717365</v>
      </c>
      <c r="AE386" s="2">
        <f t="shared" ref="AE386:AE449" ca="1" si="401">X386*Z386</f>
        <v>8501564.3129931539</v>
      </c>
      <c r="AF386" s="2">
        <f t="shared" ref="AF386:AF449" ca="1" si="402">T386*CapexPct</f>
        <v>1014255.0397931321</v>
      </c>
      <c r="AG386" s="2">
        <f t="shared" ref="AG386:AG449" ca="1" si="403">U386*CapexPct</f>
        <v>1073692.4803460015</v>
      </c>
      <c r="AH386" s="2">
        <f t="shared" ref="AH386:AH449" ca="1" si="404">V386*CapexPct</f>
        <v>1136613.0776995474</v>
      </c>
      <c r="AI386" s="2">
        <f t="shared" ref="AI386:AI449" ca="1" si="405">W386*CapexPct</f>
        <v>1203220.9520377016</v>
      </c>
      <c r="AJ386" s="2">
        <f t="shared" ref="AJ386:AJ449" ca="1" si="406">X386*CapexPct</f>
        <v>1273732.1854088409</v>
      </c>
      <c r="AK386" s="2">
        <f t="shared" ref="AK386:AK449" ca="1" si="407">MAX(T386-BaseRev*(1+N386),0)*WCPct</f>
        <v>0</v>
      </c>
      <c r="AL386" s="2">
        <f t="shared" ref="AL386:AL449" ca="1" si="408">MAX(U386-T386,0)*WCPct</f>
        <v>29718.720276434644</v>
      </c>
      <c r="AM386" s="2">
        <f t="shared" ref="AM386:AM449" ca="1" si="409">MAX(V386-U386,0)*WCPct</f>
        <v>31460.298676772938</v>
      </c>
      <c r="AN386" s="2">
        <f t="shared" ref="AN386:AN449" ca="1" si="410">MAX(W386-V386,0)*WCPct</f>
        <v>33303.937169077173</v>
      </c>
      <c r="AO386" s="2">
        <f t="shared" ref="AO386:AO449" ca="1" si="411">MAX(X386-W386,0)*WCPct</f>
        <v>35255.616685569657</v>
      </c>
      <c r="AP386" s="2">
        <f t="shared" ref="AP386:AP449" ca="1" si="412">R386*DebtRate</f>
        <v>2158724.6628249334</v>
      </c>
      <c r="AQ386" s="2">
        <f t="shared" ref="AQ386:AQ449" ca="1" si="413">MAX(AA386-AF386-AP386,0)*Tax</f>
        <v>884318.81643182063</v>
      </c>
      <c r="AR386" s="2">
        <f t="shared" ref="AR386:AR449" ca="1" si="414">MAX(AB386-AG386-AP386,0)*Tax</f>
        <v>1022833.7751641308</v>
      </c>
      <c r="AS386" s="2">
        <f t="shared" ref="AS386:AS449" ca="1" si="415">MAX(AC386-AH386-AP386,0)*Tax</f>
        <v>1115665.4357475704</v>
      </c>
      <c r="AT386" s="2">
        <f t="shared" ref="AT386:AT449" ca="1" si="416">MAX(AD386-AI386-AP386,0)*Tax</f>
        <v>1213937.2234103666</v>
      </c>
      <c r="AU386" s="2">
        <f t="shared" ref="AU386:AU449" ca="1" si="417">MAX(AE386-AJ386-AP386,0)*Tax</f>
        <v>1317967.9408374387</v>
      </c>
      <c r="AV386" s="2">
        <f t="shared" ref="AV386:AV449" ca="1" si="418">AA386-AF386-AK386-AQ386-AP386</f>
        <v>2516907.4006136432</v>
      </c>
      <c r="AW386" s="2">
        <f t="shared" ref="AW386:AW449" ca="1" si="419">AB386-AG386-AL386-AR386-AP386</f>
        <v>2881423.5628830139</v>
      </c>
      <c r="AX386" s="2">
        <f t="shared" ref="AX386:AX449" ca="1" si="420">AC386-AH386-AM386-AS386-AP386</f>
        <v>3143895.172297081</v>
      </c>
      <c r="AY386" s="2">
        <f t="shared" ref="AY386:AY449" ca="1" si="421">AD386-AI386-AN386-AT386-AP386</f>
        <v>3421748.1602296578</v>
      </c>
      <c r="AZ386" s="2">
        <f t="shared" ref="AZ386:AZ449" ca="1" si="422">AE386-AJ386-AO386-AU386-AP386</f>
        <v>3715883.9072363721</v>
      </c>
      <c r="BA386" s="2">
        <f t="shared" ref="BA386:BA449" ca="1" si="423">AE386*E386</f>
        <v>66324506.327435918</v>
      </c>
      <c r="BB386" s="2">
        <f t="shared" ref="BB386:BB449" ca="1" si="424">BA386*SellCostPct</f>
        <v>1326490.1265487184</v>
      </c>
      <c r="BC386" s="2">
        <f t="shared" ref="BC386:BC449" ca="1" si="425">BA386-R386-BB386</f>
        <v>41012186.613943495</v>
      </c>
      <c r="BD386" s="2">
        <f t="shared" ref="BD386:BD449" ca="1" si="426">-S386-Q386-IntegrationPct*BaseRev</f>
        <v>-17489962.624085125</v>
      </c>
      <c r="BE386" s="2">
        <f t="shared" ref="BE386:BE449" ca="1" si="427">AV386</f>
        <v>2516907.4006136432</v>
      </c>
      <c r="BF386" s="2">
        <f t="shared" ref="BF386:BF449" ca="1" si="428">AW386</f>
        <v>2881423.5628830139</v>
      </c>
      <c r="BG386" s="2">
        <f t="shared" ref="BG386:BG449" ca="1" si="429">AX386</f>
        <v>3143895.172297081</v>
      </c>
      <c r="BH386" s="2">
        <f t="shared" ref="BH386:BH449" ca="1" si="430">AY386</f>
        <v>3421748.1602296578</v>
      </c>
      <c r="BI386" s="2">
        <f t="shared" ref="BI386:BI449" ca="1" si="431">AZ386+BC386</f>
        <v>44728070.52117987</v>
      </c>
      <c r="BJ386" s="2">
        <f t="shared" ref="BJ386:BJ449" ca="1" si="432">IF(MIN(BD386:BI386)*MAX(BD386:BI386)&gt;=0, "", IFERROR(IRR(BD386:BI386,0.12), IFERROR(IRR(BD386:BI386,0.5), IFERROR(IRR(BD386:BI386,-0.5),""))))</f>
        <v>0.3148560029342089</v>
      </c>
      <c r="BK386" s="2">
        <f t="shared" ref="BK386:BK449" ca="1" si="433">NPV(12%,BE386:BI386)+BD386</f>
        <v>16846583.068028633</v>
      </c>
    </row>
    <row r="387" spans="1:63" x14ac:dyDescent="0.3">
      <c r="A387" s="2">
        <v>386</v>
      </c>
      <c r="B387" s="2">
        <f t="shared" ca="1" si="372"/>
        <v>0.50122996609499504</v>
      </c>
      <c r="C387" s="2">
        <f t="shared" ca="1" si="373"/>
        <v>7.0012307234350821</v>
      </c>
      <c r="D387" s="2">
        <f t="shared" ca="1" si="374"/>
        <v>0.42210699547147612</v>
      </c>
      <c r="E387" s="2">
        <f t="shared" ca="1" si="375"/>
        <v>7.4188111835099484</v>
      </c>
      <c r="F387" s="2">
        <f t="shared" ca="1" si="376"/>
        <v>0.99003397422267869</v>
      </c>
      <c r="G387" s="2">
        <f t="shared" ca="1" si="377"/>
        <v>0.10982873487588238</v>
      </c>
      <c r="H387" s="2">
        <f t="shared" ca="1" si="378"/>
        <v>0.10982873487588238</v>
      </c>
      <c r="I387" s="2">
        <f t="shared" ca="1" si="379"/>
        <v>0.27504723451433843</v>
      </c>
      <c r="J387" s="2">
        <f t="shared" ca="1" si="380"/>
        <v>7.0119071386583022E-3</v>
      </c>
      <c r="K387" s="2">
        <f t="shared" ca="1" si="381"/>
        <v>7.0119071386583022E-3</v>
      </c>
      <c r="L387" s="2">
        <f t="shared" ca="1" si="382"/>
        <v>0.46748008684935338</v>
      </c>
      <c r="M387" s="2">
        <f t="shared" ca="1" si="383"/>
        <v>-1.6321163835226874E-3</v>
      </c>
      <c r="N387" s="2">
        <f t="shared" ca="1" si="384"/>
        <v>-1.6321163835226874E-3</v>
      </c>
      <c r="O387" s="2">
        <f t="shared" si="385"/>
        <v>6000000</v>
      </c>
      <c r="P387" s="2">
        <f t="shared" ca="1" si="386"/>
        <v>42007384.340610489</v>
      </c>
      <c r="Q387" s="2">
        <f t="shared" ca="1" si="387"/>
        <v>1050184.6085152624</v>
      </c>
      <c r="R387" s="2">
        <f t="shared" ca="1" si="388"/>
        <v>25204430.604366291</v>
      </c>
      <c r="S387" s="2">
        <f t="shared" ca="1" si="389"/>
        <v>16802953.736244198</v>
      </c>
      <c r="T387" s="2">
        <f t="shared" ca="1" si="390"/>
        <v>49918394.180823863</v>
      </c>
      <c r="U387" s="2">
        <f t="shared" ca="1" si="391"/>
        <v>55400868.260739356</v>
      </c>
      <c r="V387" s="2">
        <f t="shared" ca="1" si="392"/>
        <v>61485475.532841787</v>
      </c>
      <c r="W387" s="2">
        <f t="shared" ca="1" si="393"/>
        <v>68238347.52385582</v>
      </c>
      <c r="X387" s="2">
        <f t="shared" ca="1" si="394"/>
        <v>75732878.902421713</v>
      </c>
      <c r="Y387" s="2">
        <f t="shared" ca="1" si="395"/>
        <v>0.12350595356932914</v>
      </c>
      <c r="Z387" s="2">
        <f t="shared" ca="1" si="396"/>
        <v>0.1249083349970608</v>
      </c>
      <c r="AA387" s="2">
        <f t="shared" ca="1" si="397"/>
        <v>6165218.8739523022</v>
      </c>
      <c r="AB387" s="2">
        <f t="shared" ca="1" si="398"/>
        <v>6920030.2118404647</v>
      </c>
      <c r="AC387" s="2">
        <f t="shared" ca="1" si="399"/>
        <v>7680048.3753097877</v>
      </c>
      <c r="AD387" s="2">
        <f t="shared" ca="1" si="400"/>
        <v>8523538.3721556365</v>
      </c>
      <c r="AE387" s="2">
        <f t="shared" ca="1" si="401"/>
        <v>9459667.8082355298</v>
      </c>
      <c r="AF387" s="2">
        <f t="shared" ca="1" si="402"/>
        <v>998367.88361647725</v>
      </c>
      <c r="AG387" s="2">
        <f t="shared" ca="1" si="403"/>
        <v>1108017.3652147872</v>
      </c>
      <c r="AH387" s="2">
        <f t="shared" ca="1" si="404"/>
        <v>1229709.5106568357</v>
      </c>
      <c r="AI387" s="2">
        <f t="shared" ca="1" si="405"/>
        <v>1364766.9504771165</v>
      </c>
      <c r="AJ387" s="2">
        <f t="shared" ca="1" si="406"/>
        <v>1514657.5780484343</v>
      </c>
      <c r="AK387" s="2">
        <f t="shared" ca="1" si="407"/>
        <v>0</v>
      </c>
      <c r="AL387" s="2">
        <f t="shared" ca="1" si="408"/>
        <v>54824.740799154941</v>
      </c>
      <c r="AM387" s="2">
        <f t="shared" ca="1" si="409"/>
        <v>60846.072721024306</v>
      </c>
      <c r="AN387" s="2">
        <f t="shared" ca="1" si="410"/>
        <v>67528.719910140338</v>
      </c>
      <c r="AO387" s="2">
        <f t="shared" ca="1" si="411"/>
        <v>74945.313785658931</v>
      </c>
      <c r="AP387" s="2">
        <f t="shared" ca="1" si="412"/>
        <v>2268398.7543929662</v>
      </c>
      <c r="AQ387" s="2">
        <f t="shared" ca="1" si="413"/>
        <v>753597.58134514326</v>
      </c>
      <c r="AR387" s="2">
        <f t="shared" ca="1" si="414"/>
        <v>921339.66398050496</v>
      </c>
      <c r="AS387" s="2">
        <f t="shared" ca="1" si="415"/>
        <v>1087304.4286675963</v>
      </c>
      <c r="AT387" s="2">
        <f t="shared" ca="1" si="416"/>
        <v>1271496.8934942442</v>
      </c>
      <c r="AU387" s="2">
        <f t="shared" ca="1" si="417"/>
        <v>1475918.9837064736</v>
      </c>
      <c r="AV387" s="2">
        <f t="shared" ca="1" si="418"/>
        <v>2144854.654597715</v>
      </c>
      <c r="AW387" s="2">
        <f t="shared" ca="1" si="419"/>
        <v>2567449.6874530506</v>
      </c>
      <c r="AX387" s="2">
        <f t="shared" ca="1" si="420"/>
        <v>3033789.6088713654</v>
      </c>
      <c r="AY387" s="2">
        <f t="shared" ca="1" si="421"/>
        <v>3551347.0538811688</v>
      </c>
      <c r="AZ387" s="2">
        <f t="shared" ca="1" si="422"/>
        <v>4125747.178301997</v>
      </c>
      <c r="BA387" s="2">
        <f t="shared" ca="1" si="423"/>
        <v>70179489.328026786</v>
      </c>
      <c r="BB387" s="2">
        <f t="shared" ca="1" si="424"/>
        <v>1403589.7865605357</v>
      </c>
      <c r="BC387" s="2">
        <f t="shared" ca="1" si="425"/>
        <v>43571468.937099963</v>
      </c>
      <c r="BD387" s="2">
        <f t="shared" ca="1" si="426"/>
        <v>-18353138.344759461</v>
      </c>
      <c r="BE387" s="2">
        <f t="shared" ca="1" si="427"/>
        <v>2144854.654597715</v>
      </c>
      <c r="BF387" s="2">
        <f t="shared" ca="1" si="428"/>
        <v>2567449.6874530506</v>
      </c>
      <c r="BG387" s="2">
        <f t="shared" ca="1" si="429"/>
        <v>3033789.6088713654</v>
      </c>
      <c r="BH387" s="2">
        <f t="shared" ca="1" si="430"/>
        <v>3551347.0538811688</v>
      </c>
      <c r="BI387" s="2">
        <f t="shared" ca="1" si="431"/>
        <v>47697216.115401961</v>
      </c>
      <c r="BJ387" s="2">
        <f t="shared" ca="1" si="432"/>
        <v>0.30482276551853404</v>
      </c>
      <c r="BK387" s="2">
        <f t="shared" ca="1" si="433"/>
        <v>17089683.767686818</v>
      </c>
    </row>
    <row r="388" spans="1:63" x14ac:dyDescent="0.3">
      <c r="A388" s="2">
        <v>387</v>
      </c>
      <c r="B388" s="2">
        <f t="shared" ca="1" si="372"/>
        <v>0.87473342504850893</v>
      </c>
      <c r="C388" s="2">
        <f t="shared" ca="1" si="373"/>
        <v>7.4994671340431456</v>
      </c>
      <c r="D388" s="2">
        <f t="shared" ca="1" si="374"/>
        <v>2.8447785560306027E-2</v>
      </c>
      <c r="E388" s="2">
        <f t="shared" ca="1" si="375"/>
        <v>6.7385279252427521</v>
      </c>
      <c r="F388" s="2">
        <f t="shared" ca="1" si="376"/>
        <v>0.2866263658349768</v>
      </c>
      <c r="G388" s="2">
        <f t="shared" ca="1" si="377"/>
        <v>2.3101974401373775E-2</v>
      </c>
      <c r="H388" s="2">
        <f t="shared" ca="1" si="378"/>
        <v>2.3101974401373775E-2</v>
      </c>
      <c r="I388" s="2">
        <f t="shared" ca="1" si="379"/>
        <v>0.82073591550494762</v>
      </c>
      <c r="J388" s="2">
        <f t="shared" ca="1" si="380"/>
        <v>1.4590866267397631E-2</v>
      </c>
      <c r="K388" s="2">
        <f t="shared" ca="1" si="381"/>
        <v>1.4590866267397631E-2</v>
      </c>
      <c r="L388" s="2">
        <f t="shared" ca="1" si="382"/>
        <v>2.4478312378616085E-2</v>
      </c>
      <c r="M388" s="2">
        <f t="shared" ca="1" si="383"/>
        <v>-3.9379384575444071E-2</v>
      </c>
      <c r="N388" s="2">
        <f t="shared" ca="1" si="384"/>
        <v>-3.9379384575444071E-2</v>
      </c>
      <c r="O388" s="2">
        <f t="shared" si="385"/>
        <v>6000000</v>
      </c>
      <c r="P388" s="2">
        <f t="shared" ca="1" si="386"/>
        <v>44996802.804258876</v>
      </c>
      <c r="Q388" s="2">
        <f t="shared" ca="1" si="387"/>
        <v>1124920.0701064719</v>
      </c>
      <c r="R388" s="2">
        <f t="shared" ca="1" si="388"/>
        <v>26998081.682555325</v>
      </c>
      <c r="S388" s="2">
        <f t="shared" ca="1" si="389"/>
        <v>17998721.12170355</v>
      </c>
      <c r="T388" s="2">
        <f t="shared" ca="1" si="390"/>
        <v>48031030.771227792</v>
      </c>
      <c r="U388" s="2">
        <f t="shared" ca="1" si="391"/>
        <v>49140642.414576299</v>
      </c>
      <c r="V388" s="2">
        <f t="shared" ca="1" si="392"/>
        <v>50275888.277704909</v>
      </c>
      <c r="W388" s="2">
        <f t="shared" ca="1" si="393"/>
        <v>51437360.56170278</v>
      </c>
      <c r="X388" s="2">
        <f t="shared" ca="1" si="394"/>
        <v>52625665.148673475</v>
      </c>
      <c r="Y388" s="2">
        <f t="shared" ca="1" si="395"/>
        <v>0.12729543313369882</v>
      </c>
      <c r="Z388" s="2">
        <f t="shared" ca="1" si="396"/>
        <v>0.13021360638717833</v>
      </c>
      <c r="AA388" s="2">
        <f t="shared" ca="1" si="397"/>
        <v>6114130.8658814579</v>
      </c>
      <c r="AB388" s="2">
        <f t="shared" ca="1" si="398"/>
        <v>6398780.2689847182</v>
      </c>
      <c r="AC388" s="2">
        <f t="shared" ca="1" si="399"/>
        <v>6546604.7269588197</v>
      </c>
      <c r="AD388" s="2">
        <f t="shared" ca="1" si="400"/>
        <v>6697844.2217769353</v>
      </c>
      <c r="AE388" s="2">
        <f t="shared" ca="1" si="401"/>
        <v>6852577.647532816</v>
      </c>
      <c r="AF388" s="2">
        <f t="shared" ca="1" si="402"/>
        <v>960620.61542455584</v>
      </c>
      <c r="AG388" s="2">
        <f t="shared" ca="1" si="403"/>
        <v>982812.84829152597</v>
      </c>
      <c r="AH388" s="2">
        <f t="shared" ca="1" si="404"/>
        <v>1005517.7655540982</v>
      </c>
      <c r="AI388" s="2">
        <f t="shared" ca="1" si="405"/>
        <v>1028747.2112340556</v>
      </c>
      <c r="AJ388" s="2">
        <f t="shared" ca="1" si="406"/>
        <v>1052513.3029734695</v>
      </c>
      <c r="AK388" s="2">
        <f t="shared" ca="1" si="407"/>
        <v>0</v>
      </c>
      <c r="AL388" s="2">
        <f t="shared" ca="1" si="408"/>
        <v>11096.116433485076</v>
      </c>
      <c r="AM388" s="2">
        <f t="shared" ca="1" si="409"/>
        <v>11352.458631286099</v>
      </c>
      <c r="AN388" s="2">
        <f t="shared" ca="1" si="410"/>
        <v>11614.722839978711</v>
      </c>
      <c r="AO388" s="2">
        <f t="shared" ca="1" si="411"/>
        <v>11883.045869706944</v>
      </c>
      <c r="AP388" s="2">
        <f t="shared" ca="1" si="412"/>
        <v>2429827.3514299793</v>
      </c>
      <c r="AQ388" s="2">
        <f t="shared" ca="1" si="413"/>
        <v>708157.55374699994</v>
      </c>
      <c r="AR388" s="2">
        <f t="shared" ca="1" si="414"/>
        <v>776396.41800843552</v>
      </c>
      <c r="AS388" s="2">
        <f t="shared" ca="1" si="415"/>
        <v>808927.49859343295</v>
      </c>
      <c r="AT388" s="2">
        <f t="shared" ca="1" si="416"/>
        <v>842210.11136935418</v>
      </c>
      <c r="AU388" s="2">
        <f t="shared" ca="1" si="417"/>
        <v>876261.6182136354</v>
      </c>
      <c r="AV388" s="2">
        <f t="shared" ca="1" si="418"/>
        <v>2015525.3452799227</v>
      </c>
      <c r="AW388" s="2">
        <f t="shared" ca="1" si="419"/>
        <v>2198647.5348212924</v>
      </c>
      <c r="AX388" s="2">
        <f t="shared" ca="1" si="420"/>
        <v>2290979.6527500227</v>
      </c>
      <c r="AY388" s="2">
        <f t="shared" ca="1" si="421"/>
        <v>2385444.8249035673</v>
      </c>
      <c r="AZ388" s="2">
        <f t="shared" ca="1" si="422"/>
        <v>2482092.3290460249</v>
      </c>
      <c r="BA388" s="2">
        <f t="shared" ca="1" si="423"/>
        <v>46176285.83779417</v>
      </c>
      <c r="BB388" s="2">
        <f t="shared" ca="1" si="424"/>
        <v>923525.71675588342</v>
      </c>
      <c r="BC388" s="2">
        <f t="shared" ca="1" si="425"/>
        <v>18254678.438482963</v>
      </c>
      <c r="BD388" s="2">
        <f t="shared" ca="1" si="426"/>
        <v>-19623641.191810023</v>
      </c>
      <c r="BE388" s="2">
        <f t="shared" ca="1" si="427"/>
        <v>2015525.3452799227</v>
      </c>
      <c r="BF388" s="2">
        <f t="shared" ca="1" si="428"/>
        <v>2198647.5348212924</v>
      </c>
      <c r="BG388" s="2">
        <f t="shared" ca="1" si="429"/>
        <v>2290979.6527500227</v>
      </c>
      <c r="BH388" s="2">
        <f t="shared" ca="1" si="430"/>
        <v>2385444.8249035673</v>
      </c>
      <c r="BI388" s="2">
        <f t="shared" ca="1" si="431"/>
        <v>20736770.767528988</v>
      </c>
      <c r="BJ388" s="2">
        <f t="shared" ca="1" si="432"/>
        <v>0.10343187117554264</v>
      </c>
      <c r="BK388" s="2">
        <f t="shared" ca="1" si="433"/>
        <v>-1158048.6264053658</v>
      </c>
    </row>
    <row r="389" spans="1:63" x14ac:dyDescent="0.3">
      <c r="A389" s="2">
        <v>388</v>
      </c>
      <c r="B389" s="2">
        <f t="shared" ca="1" si="372"/>
        <v>9.0792239292480925E-3</v>
      </c>
      <c r="C389" s="2">
        <f t="shared" ca="1" si="373"/>
        <v>6.1347532851491797</v>
      </c>
      <c r="D389" s="2">
        <f t="shared" ca="1" si="374"/>
        <v>0.4720607164070596</v>
      </c>
      <c r="E389" s="2">
        <f t="shared" ca="1" si="375"/>
        <v>7.4716591134827688</v>
      </c>
      <c r="F389" s="2">
        <f t="shared" ca="1" si="376"/>
        <v>0.5082859803987686</v>
      </c>
      <c r="G389" s="2">
        <f t="shared" ca="1" si="377"/>
        <v>4.0623140988612319E-2</v>
      </c>
      <c r="H389" s="2">
        <f t="shared" ca="1" si="378"/>
        <v>4.0623140988612319E-2</v>
      </c>
      <c r="I389" s="2">
        <f t="shared" ca="1" si="379"/>
        <v>0.15746362026683181</v>
      </c>
      <c r="J389" s="2">
        <f t="shared" ca="1" si="380"/>
        <v>4.9753155590426161E-3</v>
      </c>
      <c r="K389" s="2">
        <f t="shared" ca="1" si="381"/>
        <v>4.9753155590426161E-3</v>
      </c>
      <c r="L389" s="2">
        <f t="shared" ca="1" si="382"/>
        <v>0.87865007770936621</v>
      </c>
      <c r="M389" s="2">
        <f t="shared" ca="1" si="383"/>
        <v>2.3365302184765353E-2</v>
      </c>
      <c r="N389" s="2">
        <f t="shared" ca="1" si="384"/>
        <v>2.3365302184765353E-2</v>
      </c>
      <c r="O389" s="2">
        <f t="shared" si="385"/>
        <v>6000000</v>
      </c>
      <c r="P389" s="2">
        <f t="shared" ca="1" si="386"/>
        <v>36808519.710895076</v>
      </c>
      <c r="Q389" s="2">
        <f t="shared" ca="1" si="387"/>
        <v>920212.99277237698</v>
      </c>
      <c r="R389" s="2">
        <f t="shared" ca="1" si="388"/>
        <v>22085111.826537047</v>
      </c>
      <c r="S389" s="2">
        <f t="shared" ca="1" si="389"/>
        <v>14723407.884358032</v>
      </c>
      <c r="T389" s="2">
        <f t="shared" ca="1" si="390"/>
        <v>51168265.109238267</v>
      </c>
      <c r="U389" s="2">
        <f t="shared" ca="1" si="391"/>
        <v>53246880.75691355</v>
      </c>
      <c r="V389" s="2">
        <f t="shared" ca="1" si="392"/>
        <v>55409936.301105484</v>
      </c>
      <c r="W389" s="2">
        <f t="shared" ca="1" si="393"/>
        <v>57660861.955635324</v>
      </c>
      <c r="X389" s="2">
        <f t="shared" ca="1" si="394"/>
        <v>60003227.280384019</v>
      </c>
      <c r="Y389" s="2">
        <f t="shared" ca="1" si="395"/>
        <v>0.12248765777952131</v>
      </c>
      <c r="Z389" s="2">
        <f t="shared" ca="1" si="396"/>
        <v>0.12348272089132983</v>
      </c>
      <c r="AA389" s="2">
        <f t="shared" ca="1" si="397"/>
        <v>6267480.9458721969</v>
      </c>
      <c r="AB389" s="2">
        <f t="shared" ca="1" si="398"/>
        <v>6575069.7148398776</v>
      </c>
      <c r="AC389" s="2">
        <f t="shared" ca="1" si="399"/>
        <v>6842169.6988757737</v>
      </c>
      <c r="AD389" s="2">
        <f t="shared" ca="1" si="400"/>
        <v>7120120.1232212158</v>
      </c>
      <c r="AE389" s="2">
        <f t="shared" ca="1" si="401"/>
        <v>7409361.7668426875</v>
      </c>
      <c r="AF389" s="2">
        <f t="shared" ca="1" si="402"/>
        <v>1023365.3021847653</v>
      </c>
      <c r="AG389" s="2">
        <f t="shared" ca="1" si="403"/>
        <v>1064937.6151382711</v>
      </c>
      <c r="AH389" s="2">
        <f t="shared" ca="1" si="404"/>
        <v>1108198.7260221096</v>
      </c>
      <c r="AI389" s="2">
        <f t="shared" ca="1" si="405"/>
        <v>1153217.2391127066</v>
      </c>
      <c r="AJ389" s="2">
        <f t="shared" ca="1" si="406"/>
        <v>1200064.5456076805</v>
      </c>
      <c r="AK389" s="2">
        <f t="shared" ca="1" si="407"/>
        <v>0</v>
      </c>
      <c r="AL389" s="2">
        <f t="shared" ca="1" si="408"/>
        <v>20786.156476752833</v>
      </c>
      <c r="AM389" s="2">
        <f t="shared" ca="1" si="409"/>
        <v>21630.555441919343</v>
      </c>
      <c r="AN389" s="2">
        <f t="shared" ca="1" si="410"/>
        <v>22509.256545298398</v>
      </c>
      <c r="AO389" s="2">
        <f t="shared" ca="1" si="411"/>
        <v>23423.653247486949</v>
      </c>
      <c r="AP389" s="2">
        <f t="shared" ca="1" si="412"/>
        <v>1987660.0643883341</v>
      </c>
      <c r="AQ389" s="2">
        <f t="shared" ca="1" si="413"/>
        <v>846678.45061776543</v>
      </c>
      <c r="AR389" s="2">
        <f t="shared" ca="1" si="414"/>
        <v>915842.72918145102</v>
      </c>
      <c r="AS389" s="2">
        <f t="shared" ca="1" si="415"/>
        <v>974040.83620098594</v>
      </c>
      <c r="AT389" s="2">
        <f t="shared" ca="1" si="416"/>
        <v>1034603.1331272456</v>
      </c>
      <c r="AU389" s="2">
        <f t="shared" ca="1" si="417"/>
        <v>1097625.6607801351</v>
      </c>
      <c r="AV389" s="2">
        <f t="shared" ca="1" si="418"/>
        <v>2409777.1286813328</v>
      </c>
      <c r="AW389" s="2">
        <f t="shared" ca="1" si="419"/>
        <v>2585843.1496550692</v>
      </c>
      <c r="AX389" s="2">
        <f t="shared" ca="1" si="420"/>
        <v>2750639.5168224247</v>
      </c>
      <c r="AY389" s="2">
        <f t="shared" ca="1" si="421"/>
        <v>2922130.4300476303</v>
      </c>
      <c r="AZ389" s="2">
        <f t="shared" ca="1" si="422"/>
        <v>3100587.8428190509</v>
      </c>
      <c r="BA389" s="2">
        <f t="shared" ca="1" si="423"/>
        <v>55360225.370320953</v>
      </c>
      <c r="BB389" s="2">
        <f t="shared" ca="1" si="424"/>
        <v>1107204.5074064191</v>
      </c>
      <c r="BC389" s="2">
        <f t="shared" ca="1" si="425"/>
        <v>32167909.03637749</v>
      </c>
      <c r="BD389" s="2">
        <f t="shared" ca="1" si="426"/>
        <v>-16143620.877130408</v>
      </c>
      <c r="BE389" s="2">
        <f t="shared" ca="1" si="427"/>
        <v>2409777.1286813328</v>
      </c>
      <c r="BF389" s="2">
        <f t="shared" ca="1" si="428"/>
        <v>2585843.1496550692</v>
      </c>
      <c r="BG389" s="2">
        <f t="shared" ca="1" si="429"/>
        <v>2750639.5168224247</v>
      </c>
      <c r="BH389" s="2">
        <f t="shared" ca="1" si="430"/>
        <v>2922130.4300476303</v>
      </c>
      <c r="BI389" s="2">
        <f t="shared" ca="1" si="431"/>
        <v>35268496.87919654</v>
      </c>
      <c r="BJ389" s="2">
        <f t="shared" ca="1" si="432"/>
        <v>0.27964310767000233</v>
      </c>
      <c r="BK389" s="2">
        <f t="shared" ca="1" si="433"/>
        <v>11896594.054883864</v>
      </c>
    </row>
    <row r="390" spans="1:63" x14ac:dyDescent="0.3">
      <c r="A390" s="2">
        <v>389</v>
      </c>
      <c r="B390" s="2">
        <f t="shared" ca="1" si="372"/>
        <v>0.62442386828939833</v>
      </c>
      <c r="C390" s="2">
        <f t="shared" ca="1" si="373"/>
        <v>7.1333095919411571</v>
      </c>
      <c r="D390" s="2">
        <f t="shared" ca="1" si="374"/>
        <v>0.25841074289733212</v>
      </c>
      <c r="E390" s="2">
        <f t="shared" ca="1" si="375"/>
        <v>7.2189029738390742</v>
      </c>
      <c r="F390" s="2">
        <f t="shared" ca="1" si="376"/>
        <v>3.5993122977894476E-2</v>
      </c>
      <c r="G390" s="2">
        <f t="shared" ca="1" si="377"/>
        <v>-1.3976152441458924E-2</v>
      </c>
      <c r="H390" s="2">
        <f t="shared" ca="1" si="378"/>
        <v>-1.3976152441458924E-2</v>
      </c>
      <c r="I390" s="2">
        <f t="shared" ca="1" si="379"/>
        <v>0.21799872904871587</v>
      </c>
      <c r="J390" s="2">
        <f t="shared" ca="1" si="380"/>
        <v>6.1051506032142218E-3</v>
      </c>
      <c r="K390" s="2">
        <f t="shared" ca="1" si="381"/>
        <v>6.1051506032142218E-3</v>
      </c>
      <c r="L390" s="2">
        <f t="shared" ca="1" si="382"/>
        <v>0.67748271120664416</v>
      </c>
      <c r="M390" s="2">
        <f t="shared" ca="1" si="383"/>
        <v>9.2134224110071456E-3</v>
      </c>
      <c r="N390" s="2">
        <f t="shared" ca="1" si="384"/>
        <v>9.2134224110071456E-3</v>
      </c>
      <c r="O390" s="2">
        <f t="shared" si="385"/>
        <v>6000000</v>
      </c>
      <c r="P390" s="2">
        <f t="shared" ca="1" si="386"/>
        <v>42799857.55164694</v>
      </c>
      <c r="Q390" s="2">
        <f t="shared" ca="1" si="387"/>
        <v>1069996.4387911735</v>
      </c>
      <c r="R390" s="2">
        <f t="shared" ca="1" si="388"/>
        <v>25679914.530988164</v>
      </c>
      <c r="S390" s="2">
        <f t="shared" ca="1" si="389"/>
        <v>17119943.020658776</v>
      </c>
      <c r="T390" s="2">
        <f t="shared" ca="1" si="390"/>
        <v>50460671.120550357</v>
      </c>
      <c r="U390" s="2">
        <f t="shared" ca="1" si="391"/>
        <v>49755425.088671222</v>
      </c>
      <c r="V390" s="2">
        <f t="shared" ca="1" si="392"/>
        <v>49060035.682842366</v>
      </c>
      <c r="W390" s="2">
        <f t="shared" ca="1" si="393"/>
        <v>48374365.145355552</v>
      </c>
      <c r="X390" s="2">
        <f t="shared" ca="1" si="394"/>
        <v>47698277.64382527</v>
      </c>
      <c r="Y390" s="2">
        <f t="shared" ca="1" si="395"/>
        <v>0.12305257530160711</v>
      </c>
      <c r="Z390" s="2">
        <f t="shared" ca="1" si="396"/>
        <v>0.12427360542224995</v>
      </c>
      <c r="AA390" s="2">
        <f t="shared" ca="1" si="397"/>
        <v>6209315.5328311538</v>
      </c>
      <c r="AB390" s="2">
        <f t="shared" ca="1" si="398"/>
        <v>6183286.0650858432</v>
      </c>
      <c r="AC390" s="2">
        <f t="shared" ca="1" si="399"/>
        <v>6096867.5164510552</v>
      </c>
      <c r="AD390" s="2">
        <f t="shared" ca="1" si="400"/>
        <v>6011656.7666257573</v>
      </c>
      <c r="AE390" s="2">
        <f t="shared" ca="1" si="401"/>
        <v>5927636.9352296675</v>
      </c>
      <c r="AF390" s="2">
        <f t="shared" ca="1" si="402"/>
        <v>1009213.4224110071</v>
      </c>
      <c r="AG390" s="2">
        <f t="shared" ca="1" si="403"/>
        <v>995108.50177342445</v>
      </c>
      <c r="AH390" s="2">
        <f t="shared" ca="1" si="404"/>
        <v>981200.71365684737</v>
      </c>
      <c r="AI390" s="2">
        <f t="shared" ca="1" si="405"/>
        <v>967487.30290711112</v>
      </c>
      <c r="AJ390" s="2">
        <f t="shared" ca="1" si="406"/>
        <v>953965.55287650542</v>
      </c>
      <c r="AK390" s="2">
        <f t="shared" ca="1" si="407"/>
        <v>0</v>
      </c>
      <c r="AL390" s="2">
        <f t="shared" ca="1" si="408"/>
        <v>0</v>
      </c>
      <c r="AM390" s="2">
        <f t="shared" ca="1" si="409"/>
        <v>0</v>
      </c>
      <c r="AN390" s="2">
        <f t="shared" ca="1" si="410"/>
        <v>0</v>
      </c>
      <c r="AO390" s="2">
        <f t="shared" ca="1" si="411"/>
        <v>0</v>
      </c>
      <c r="AP390" s="2">
        <f t="shared" ca="1" si="412"/>
        <v>2311192.3077889346</v>
      </c>
      <c r="AQ390" s="2">
        <f t="shared" ca="1" si="413"/>
        <v>751116.54868411529</v>
      </c>
      <c r="AR390" s="2">
        <f t="shared" ca="1" si="414"/>
        <v>748016.16643610597</v>
      </c>
      <c r="AS390" s="2">
        <f t="shared" ca="1" si="415"/>
        <v>729163.36870137102</v>
      </c>
      <c r="AT390" s="2">
        <f t="shared" ca="1" si="416"/>
        <v>710574.06054172502</v>
      </c>
      <c r="AU390" s="2">
        <f t="shared" ca="1" si="417"/>
        <v>692244.55938669923</v>
      </c>
      <c r="AV390" s="2">
        <f t="shared" ca="1" si="418"/>
        <v>2137793.2539470969</v>
      </c>
      <c r="AW390" s="2">
        <f t="shared" ca="1" si="419"/>
        <v>2128969.0890873782</v>
      </c>
      <c r="AX390" s="2">
        <f t="shared" ca="1" si="420"/>
        <v>2075311.1263039019</v>
      </c>
      <c r="AY390" s="2">
        <f t="shared" ca="1" si="421"/>
        <v>2022403.0953879869</v>
      </c>
      <c r="AZ390" s="2">
        <f t="shared" ca="1" si="422"/>
        <v>1970234.5151775284</v>
      </c>
      <c r="BA390" s="2">
        <f t="shared" ca="1" si="423"/>
        <v>42791035.899567783</v>
      </c>
      <c r="BB390" s="2">
        <f t="shared" ca="1" si="424"/>
        <v>855820.71799135569</v>
      </c>
      <c r="BC390" s="2">
        <f t="shared" ca="1" si="425"/>
        <v>16255300.650588263</v>
      </c>
      <c r="BD390" s="2">
        <f t="shared" ca="1" si="426"/>
        <v>-18689939.459449951</v>
      </c>
      <c r="BE390" s="2">
        <f t="shared" ca="1" si="427"/>
        <v>2137793.2539470969</v>
      </c>
      <c r="BF390" s="2">
        <f t="shared" ca="1" si="428"/>
        <v>2128969.0890873782</v>
      </c>
      <c r="BG390" s="2">
        <f t="shared" ca="1" si="429"/>
        <v>2075311.1263039019</v>
      </c>
      <c r="BH390" s="2">
        <f t="shared" ca="1" si="430"/>
        <v>2022403.0953879869</v>
      </c>
      <c r="BI390" s="2">
        <f t="shared" ca="1" si="431"/>
        <v>18225535.165765792</v>
      </c>
      <c r="BJ390" s="2">
        <f t="shared" ca="1" si="432"/>
        <v>8.9188835309863101E-2</v>
      </c>
      <c r="BK390" s="2">
        <f t="shared" ca="1" si="433"/>
        <v>-1979897.0497849248</v>
      </c>
    </row>
    <row r="391" spans="1:63" x14ac:dyDescent="0.3">
      <c r="A391" s="2">
        <v>390</v>
      </c>
      <c r="B391" s="2">
        <f t="shared" ca="1" si="372"/>
        <v>0.56832681386650963</v>
      </c>
      <c r="C391" s="2">
        <f t="shared" ca="1" si="373"/>
        <v>7.0708356591716512</v>
      </c>
      <c r="D391" s="2">
        <f t="shared" ca="1" si="374"/>
        <v>0.61347855455098987</v>
      </c>
      <c r="E391" s="2">
        <f t="shared" ca="1" si="375"/>
        <v>7.6207714228381676</v>
      </c>
      <c r="F391" s="2">
        <f t="shared" ca="1" si="376"/>
        <v>0.65492076483463335</v>
      </c>
      <c r="G391" s="2">
        <f t="shared" ca="1" si="377"/>
        <v>5.1959200546790034E-2</v>
      </c>
      <c r="H391" s="2">
        <f t="shared" ca="1" si="378"/>
        <v>5.1959200546790034E-2</v>
      </c>
      <c r="I391" s="2">
        <f t="shared" ca="1" si="379"/>
        <v>0.27318946857364246</v>
      </c>
      <c r="J391" s="2">
        <f t="shared" ca="1" si="380"/>
        <v>6.9840247264354831E-3</v>
      </c>
      <c r="K391" s="2">
        <f t="shared" ca="1" si="381"/>
        <v>6.9840247264354831E-3</v>
      </c>
      <c r="L391" s="2">
        <f t="shared" ca="1" si="382"/>
        <v>0.12336856905065896</v>
      </c>
      <c r="M391" s="2">
        <f t="shared" ca="1" si="383"/>
        <v>-2.316622028990975E-2</v>
      </c>
      <c r="N391" s="2">
        <f t="shared" ca="1" si="384"/>
        <v>-2.316622028990975E-2</v>
      </c>
      <c r="O391" s="2">
        <f t="shared" si="385"/>
        <v>6000000</v>
      </c>
      <c r="P391" s="2">
        <f t="shared" ca="1" si="386"/>
        <v>42425013.955029905</v>
      </c>
      <c r="Q391" s="2">
        <f t="shared" ca="1" si="387"/>
        <v>1060625.3488757478</v>
      </c>
      <c r="R391" s="2">
        <f t="shared" ca="1" si="388"/>
        <v>25455008.373017941</v>
      </c>
      <c r="S391" s="2">
        <f t="shared" ca="1" si="389"/>
        <v>16970005.582011964</v>
      </c>
      <c r="T391" s="2">
        <f t="shared" ca="1" si="390"/>
        <v>48841688.985504508</v>
      </c>
      <c r="U391" s="2">
        <f t="shared" ca="1" si="391"/>
        <v>51379464.098546274</v>
      </c>
      <c r="V391" s="2">
        <f t="shared" ca="1" si="392"/>
        <v>54049099.977629229</v>
      </c>
      <c r="W391" s="2">
        <f t="shared" ca="1" si="393"/>
        <v>56857448.002740368</v>
      </c>
      <c r="X391" s="2">
        <f t="shared" ca="1" si="394"/>
        <v>59811715.546093434</v>
      </c>
      <c r="Y391" s="2">
        <f t="shared" ca="1" si="395"/>
        <v>0.12349201236321773</v>
      </c>
      <c r="Z391" s="2">
        <f t="shared" ca="1" si="396"/>
        <v>0.12488881730850483</v>
      </c>
      <c r="AA391" s="2">
        <f t="shared" ca="1" si="397"/>
        <v>6031558.4600383583</v>
      </c>
      <c r="AB391" s="2">
        <f t="shared" ca="1" si="398"/>
        <v>6416720.5052122287</v>
      </c>
      <c r="AC391" s="2">
        <f t="shared" ca="1" si="399"/>
        <v>6750128.1727952491</v>
      </c>
      <c r="AD391" s="2">
        <f t="shared" ca="1" si="400"/>
        <v>7100859.4362420551</v>
      </c>
      <c r="AE391" s="2">
        <f t="shared" ca="1" si="401"/>
        <v>7469814.4157443214</v>
      </c>
      <c r="AF391" s="2">
        <f t="shared" ca="1" si="402"/>
        <v>976833.77971009014</v>
      </c>
      <c r="AG391" s="2">
        <f t="shared" ca="1" si="403"/>
        <v>1027589.2819709255</v>
      </c>
      <c r="AH391" s="2">
        <f t="shared" ca="1" si="404"/>
        <v>1080981.9995525847</v>
      </c>
      <c r="AI391" s="2">
        <f t="shared" ca="1" si="405"/>
        <v>1137148.9600548074</v>
      </c>
      <c r="AJ391" s="2">
        <f t="shared" ca="1" si="406"/>
        <v>1196234.3109218688</v>
      </c>
      <c r="AK391" s="2">
        <f t="shared" ca="1" si="407"/>
        <v>0</v>
      </c>
      <c r="AL391" s="2">
        <f t="shared" ca="1" si="408"/>
        <v>25377.751130417659</v>
      </c>
      <c r="AM391" s="2">
        <f t="shared" ca="1" si="409"/>
        <v>26696.358790829556</v>
      </c>
      <c r="AN391" s="2">
        <f t="shared" ca="1" si="410"/>
        <v>28083.480251111388</v>
      </c>
      <c r="AO391" s="2">
        <f t="shared" ca="1" si="411"/>
        <v>29542.675433530658</v>
      </c>
      <c r="AP391" s="2">
        <f t="shared" ca="1" si="412"/>
        <v>2290950.7535716146</v>
      </c>
      <c r="AQ391" s="2">
        <f t="shared" ca="1" si="413"/>
        <v>718581.22095673007</v>
      </c>
      <c r="AR391" s="2">
        <f t="shared" ca="1" si="414"/>
        <v>805526.92211411905</v>
      </c>
      <c r="AS391" s="2">
        <f t="shared" ca="1" si="415"/>
        <v>878330.80911447282</v>
      </c>
      <c r="AT391" s="2">
        <f t="shared" ca="1" si="416"/>
        <v>954917.52788006468</v>
      </c>
      <c r="AU391" s="2">
        <f t="shared" ca="1" si="417"/>
        <v>1035483.631325218</v>
      </c>
      <c r="AV391" s="2">
        <f t="shared" ca="1" si="418"/>
        <v>2045192.7057999242</v>
      </c>
      <c r="AW391" s="2">
        <f t="shared" ca="1" si="419"/>
        <v>2267275.7964251516</v>
      </c>
      <c r="AX391" s="2">
        <f t="shared" ca="1" si="420"/>
        <v>2473168.2517657466</v>
      </c>
      <c r="AY391" s="2">
        <f t="shared" ca="1" si="421"/>
        <v>2689758.7144844569</v>
      </c>
      <c r="AZ391" s="2">
        <f t="shared" ca="1" si="422"/>
        <v>2917603.0444920901</v>
      </c>
      <c r="BA391" s="2">
        <f t="shared" ca="1" si="423"/>
        <v>56925748.233408906</v>
      </c>
      <c r="BB391" s="2">
        <f t="shared" ca="1" si="424"/>
        <v>1138514.9646681782</v>
      </c>
      <c r="BC391" s="2">
        <f t="shared" ca="1" si="425"/>
        <v>30332224.895722788</v>
      </c>
      <c r="BD391" s="2">
        <f t="shared" ca="1" si="426"/>
        <v>-18530630.93088771</v>
      </c>
      <c r="BE391" s="2">
        <f t="shared" ca="1" si="427"/>
        <v>2045192.7057999242</v>
      </c>
      <c r="BF391" s="2">
        <f t="shared" ca="1" si="428"/>
        <v>2267275.7964251516</v>
      </c>
      <c r="BG391" s="2">
        <f t="shared" ca="1" si="429"/>
        <v>2473168.2517657466</v>
      </c>
      <c r="BH391" s="2">
        <f t="shared" ca="1" si="430"/>
        <v>2689758.7144844569</v>
      </c>
      <c r="BI391" s="2">
        <f t="shared" ca="1" si="431"/>
        <v>33249827.94021488</v>
      </c>
      <c r="BJ391" s="2">
        <f t="shared" ca="1" si="432"/>
        <v>0.21278011910731753</v>
      </c>
      <c r="BK391" s="2">
        <f t="shared" ca="1" si="433"/>
        <v>7439480.2906632721</v>
      </c>
    </row>
    <row r="392" spans="1:63" x14ac:dyDescent="0.3">
      <c r="A392" s="2">
        <v>391</v>
      </c>
      <c r="B392" s="2">
        <f t="shared" ca="1" si="372"/>
        <v>0.78536257989614033</v>
      </c>
      <c r="C392" s="2">
        <f t="shared" ca="1" si="373"/>
        <v>7.3448093100419394</v>
      </c>
      <c r="D392" s="2">
        <f t="shared" ca="1" si="374"/>
        <v>0.49705445680937854</v>
      </c>
      <c r="E392" s="2">
        <f t="shared" ca="1" si="375"/>
        <v>7.4970501058716943</v>
      </c>
      <c r="F392" s="2">
        <f t="shared" ca="1" si="376"/>
        <v>0.5303759179425922</v>
      </c>
      <c r="G392" s="2">
        <f t="shared" ca="1" si="377"/>
        <v>4.22864456638921E-2</v>
      </c>
      <c r="H392" s="2">
        <f t="shared" ca="1" si="378"/>
        <v>4.22864456638921E-2</v>
      </c>
      <c r="I392" s="2">
        <f t="shared" ca="1" si="379"/>
        <v>1.5998309197332028E-2</v>
      </c>
      <c r="J392" s="2">
        <f t="shared" ca="1" si="380"/>
        <v>-7.2226431892339488E-4</v>
      </c>
      <c r="K392" s="2">
        <f t="shared" ca="1" si="381"/>
        <v>0</v>
      </c>
      <c r="L392" s="2">
        <f t="shared" ca="1" si="382"/>
        <v>2.4163674302103533E-2</v>
      </c>
      <c r="M392" s="2">
        <f t="shared" ca="1" si="383"/>
        <v>-3.9489571968125428E-2</v>
      </c>
      <c r="N392" s="2">
        <f t="shared" ca="1" si="384"/>
        <v>-3.9489571968125428E-2</v>
      </c>
      <c r="O392" s="2">
        <f t="shared" si="385"/>
        <v>6000000</v>
      </c>
      <c r="P392" s="2">
        <f t="shared" ca="1" si="386"/>
        <v>44068855.860251635</v>
      </c>
      <c r="Q392" s="2">
        <f t="shared" ca="1" si="387"/>
        <v>1101721.3965062909</v>
      </c>
      <c r="R392" s="2">
        <f t="shared" ca="1" si="388"/>
        <v>26441313.516150981</v>
      </c>
      <c r="S392" s="2">
        <f t="shared" ca="1" si="389"/>
        <v>17627542.344100654</v>
      </c>
      <c r="T392" s="2">
        <f t="shared" ca="1" si="390"/>
        <v>48025521.40159373</v>
      </c>
      <c r="U392" s="2">
        <f t="shared" ca="1" si="391"/>
        <v>50056350.00282231</v>
      </c>
      <c r="V392" s="2">
        <f t="shared" ca="1" si="392"/>
        <v>52173055.127349421</v>
      </c>
      <c r="W392" s="2">
        <f t="shared" ca="1" si="393"/>
        <v>54379268.188111328</v>
      </c>
      <c r="X392" s="2">
        <f t="shared" ca="1" si="394"/>
        <v>56678774.157590114</v>
      </c>
      <c r="Y392" s="2">
        <f t="shared" ca="1" si="395"/>
        <v>0.12</v>
      </c>
      <c r="Z392" s="2">
        <f t="shared" ca="1" si="396"/>
        <v>0.12</v>
      </c>
      <c r="AA392" s="2">
        <f t="shared" ca="1" si="397"/>
        <v>5763062.5681912471</v>
      </c>
      <c r="AB392" s="2">
        <f t="shared" ca="1" si="398"/>
        <v>6006762.0003386773</v>
      </c>
      <c r="AC392" s="2">
        <f t="shared" ca="1" si="399"/>
        <v>6260766.6152819302</v>
      </c>
      <c r="AD392" s="2">
        <f t="shared" ca="1" si="400"/>
        <v>6525512.1825733595</v>
      </c>
      <c r="AE392" s="2">
        <f t="shared" ca="1" si="401"/>
        <v>6801452.898910813</v>
      </c>
      <c r="AF392" s="2">
        <f t="shared" ca="1" si="402"/>
        <v>960510.42803187459</v>
      </c>
      <c r="AG392" s="2">
        <f t="shared" ca="1" si="403"/>
        <v>1001127.0000564462</v>
      </c>
      <c r="AH392" s="2">
        <f t="shared" ca="1" si="404"/>
        <v>1043461.1025469884</v>
      </c>
      <c r="AI392" s="2">
        <f t="shared" ca="1" si="405"/>
        <v>1087585.3637622267</v>
      </c>
      <c r="AJ392" s="2">
        <f t="shared" ca="1" si="406"/>
        <v>1133575.4831518023</v>
      </c>
      <c r="AK392" s="2">
        <f t="shared" ca="1" si="407"/>
        <v>0</v>
      </c>
      <c r="AL392" s="2">
        <f t="shared" ca="1" si="408"/>
        <v>20308.2860122858</v>
      </c>
      <c r="AM392" s="2">
        <f t="shared" ca="1" si="409"/>
        <v>21167.051245271115</v>
      </c>
      <c r="AN392" s="2">
        <f t="shared" ca="1" si="410"/>
        <v>22062.130607619063</v>
      </c>
      <c r="AO392" s="2">
        <f t="shared" ca="1" si="411"/>
        <v>22995.059694787862</v>
      </c>
      <c r="AP392" s="2">
        <f t="shared" ca="1" si="412"/>
        <v>2379718.2164535881</v>
      </c>
      <c r="AQ392" s="2">
        <f t="shared" ca="1" si="413"/>
        <v>629936.82016350387</v>
      </c>
      <c r="AR392" s="2">
        <f t="shared" ca="1" si="414"/>
        <v>682738.36379544716</v>
      </c>
      <c r="AS392" s="2">
        <f t="shared" ca="1" si="415"/>
        <v>737772.6970331521</v>
      </c>
      <c r="AT392" s="2">
        <f t="shared" ca="1" si="416"/>
        <v>795134.23661296163</v>
      </c>
      <c r="AU392" s="2">
        <f t="shared" ca="1" si="417"/>
        <v>854921.39181940979</v>
      </c>
      <c r="AV392" s="2">
        <f t="shared" ca="1" si="418"/>
        <v>1792897.1035422804</v>
      </c>
      <c r="AW392" s="2">
        <f t="shared" ca="1" si="419"/>
        <v>1922870.1340209101</v>
      </c>
      <c r="AX392" s="2">
        <f t="shared" ca="1" si="420"/>
        <v>2078647.5480029308</v>
      </c>
      <c r="AY392" s="2">
        <f t="shared" ca="1" si="421"/>
        <v>2241012.2351369639</v>
      </c>
      <c r="AZ392" s="2">
        <f t="shared" ca="1" si="422"/>
        <v>2410242.7477912246</v>
      </c>
      <c r="BA392" s="2">
        <f t="shared" ca="1" si="423"/>
        <v>50990833.175860651</v>
      </c>
      <c r="BB392" s="2">
        <f t="shared" ca="1" si="424"/>
        <v>1019816.6635172131</v>
      </c>
      <c r="BC392" s="2">
        <f t="shared" ca="1" si="425"/>
        <v>23529702.996192455</v>
      </c>
      <c r="BD392" s="2">
        <f t="shared" ca="1" si="426"/>
        <v>-19229263.740606945</v>
      </c>
      <c r="BE392" s="2">
        <f t="shared" ca="1" si="427"/>
        <v>1792897.1035422804</v>
      </c>
      <c r="BF392" s="2">
        <f t="shared" ca="1" si="428"/>
        <v>1922870.1340209101</v>
      </c>
      <c r="BG392" s="2">
        <f t="shared" ca="1" si="429"/>
        <v>2078647.5480029308</v>
      </c>
      <c r="BH392" s="2">
        <f t="shared" ca="1" si="430"/>
        <v>2241012.2351369639</v>
      </c>
      <c r="BI392" s="2">
        <f t="shared" ca="1" si="431"/>
        <v>25939945.743983679</v>
      </c>
      <c r="BJ392" s="2">
        <f t="shared" ca="1" si="432"/>
        <v>0.14035488696022025</v>
      </c>
      <c r="BK392" s="2">
        <f t="shared" ca="1" si="433"/>
        <v>1527203.4500757828</v>
      </c>
    </row>
    <row r="393" spans="1:63" x14ac:dyDescent="0.3">
      <c r="A393" s="2">
        <v>392</v>
      </c>
      <c r="B393" s="2">
        <f t="shared" ca="1" si="372"/>
        <v>0.12709600593675019</v>
      </c>
      <c r="C393" s="2">
        <f t="shared" ca="1" si="373"/>
        <v>6.5041745847159493</v>
      </c>
      <c r="D393" s="2">
        <f t="shared" ca="1" si="374"/>
        <v>0.39590170766120081</v>
      </c>
      <c r="E393" s="2">
        <f t="shared" ca="1" si="375"/>
        <v>7.3898333637948186</v>
      </c>
      <c r="F393" s="2">
        <f t="shared" ca="1" si="376"/>
        <v>0.43154784909733968</v>
      </c>
      <c r="G393" s="2">
        <f t="shared" ca="1" si="377"/>
        <v>3.4826955341106296E-2</v>
      </c>
      <c r="H393" s="2">
        <f t="shared" ca="1" si="378"/>
        <v>3.4826955341106296E-2</v>
      </c>
      <c r="I393" s="2">
        <f t="shared" ca="1" si="379"/>
        <v>0.7299712180449639</v>
      </c>
      <c r="J393" s="2">
        <f t="shared" ca="1" si="380"/>
        <v>1.306362972784292E-2</v>
      </c>
      <c r="K393" s="2">
        <f t="shared" ca="1" si="381"/>
        <v>1.306362972784292E-2</v>
      </c>
      <c r="L393" s="2">
        <f t="shared" ca="1" si="382"/>
        <v>5.5505353477276476E-3</v>
      </c>
      <c r="M393" s="2">
        <f t="shared" ca="1" si="383"/>
        <v>-5.0790021324174026E-2</v>
      </c>
      <c r="N393" s="2">
        <f t="shared" ca="1" si="384"/>
        <v>-0.05</v>
      </c>
      <c r="O393" s="2">
        <f t="shared" si="385"/>
        <v>6000000</v>
      </c>
      <c r="P393" s="2">
        <f t="shared" ca="1" si="386"/>
        <v>39025047.508295693</v>
      </c>
      <c r="Q393" s="2">
        <f t="shared" ca="1" si="387"/>
        <v>975626.18770739238</v>
      </c>
      <c r="R393" s="2">
        <f t="shared" ca="1" si="388"/>
        <v>23415028.504977416</v>
      </c>
      <c r="S393" s="2">
        <f t="shared" ca="1" si="389"/>
        <v>15610019.003318278</v>
      </c>
      <c r="T393" s="2">
        <f t="shared" ca="1" si="390"/>
        <v>47500000</v>
      </c>
      <c r="U393" s="2">
        <f t="shared" ca="1" si="391"/>
        <v>49154280.378702544</v>
      </c>
      <c r="V393" s="2">
        <f t="shared" ca="1" si="392"/>
        <v>50866174.30627583</v>
      </c>
      <c r="W393" s="2">
        <f t="shared" ca="1" si="393"/>
        <v>52637688.287213422</v>
      </c>
      <c r="X393" s="2">
        <f t="shared" ca="1" si="394"/>
        <v>54470898.706451274</v>
      </c>
      <c r="Y393" s="2">
        <f t="shared" ca="1" si="395"/>
        <v>0.12653181486392145</v>
      </c>
      <c r="Z393" s="2">
        <f t="shared" ca="1" si="396"/>
        <v>0.12914454080949003</v>
      </c>
      <c r="AA393" s="2">
        <f t="shared" ca="1" si="397"/>
        <v>6010261.2060362687</v>
      </c>
      <c r="AB393" s="2">
        <f t="shared" ca="1" si="398"/>
        <v>6348006.9683284657</v>
      </c>
      <c r="AC393" s="2">
        <f t="shared" ca="1" si="399"/>
        <v>6569088.7235194724</v>
      </c>
      <c r="AD393" s="2">
        <f t="shared" ca="1" si="400"/>
        <v>6797870.0831252495</v>
      </c>
      <c r="AE393" s="2">
        <f t="shared" ca="1" si="401"/>
        <v>7034619.2009248948</v>
      </c>
      <c r="AF393" s="2">
        <f t="shared" ca="1" si="402"/>
        <v>950000</v>
      </c>
      <c r="AG393" s="2">
        <f t="shared" ca="1" si="403"/>
        <v>983085.6075740509</v>
      </c>
      <c r="AH393" s="2">
        <f t="shared" ca="1" si="404"/>
        <v>1017323.4861255166</v>
      </c>
      <c r="AI393" s="2">
        <f t="shared" ca="1" si="405"/>
        <v>1052753.7657442684</v>
      </c>
      <c r="AJ393" s="2">
        <f t="shared" ca="1" si="406"/>
        <v>1089417.9741290256</v>
      </c>
      <c r="AK393" s="2">
        <f t="shared" ca="1" si="407"/>
        <v>0</v>
      </c>
      <c r="AL393" s="2">
        <f t="shared" ca="1" si="408"/>
        <v>16542.803787025437</v>
      </c>
      <c r="AM393" s="2">
        <f t="shared" ca="1" si="409"/>
        <v>17118.939275732861</v>
      </c>
      <c r="AN393" s="2">
        <f t="shared" ca="1" si="410"/>
        <v>17715.139809375927</v>
      </c>
      <c r="AO393" s="2">
        <f t="shared" ca="1" si="411"/>
        <v>18332.10419237852</v>
      </c>
      <c r="AP393" s="2">
        <f t="shared" ca="1" si="412"/>
        <v>2107352.5654479675</v>
      </c>
      <c r="AQ393" s="2">
        <f t="shared" ca="1" si="413"/>
        <v>767756.24655295839</v>
      </c>
      <c r="AR393" s="2">
        <f t="shared" ca="1" si="414"/>
        <v>846967.88677967619</v>
      </c>
      <c r="AS393" s="2">
        <f t="shared" ca="1" si="415"/>
        <v>895547.29470595694</v>
      </c>
      <c r="AT393" s="2">
        <f t="shared" ca="1" si="416"/>
        <v>945818.57550258364</v>
      </c>
      <c r="AU393" s="2">
        <f t="shared" ca="1" si="417"/>
        <v>997840.65195045446</v>
      </c>
      <c r="AV393" s="2">
        <f t="shared" ca="1" si="418"/>
        <v>2185152.3940353431</v>
      </c>
      <c r="AW393" s="2">
        <f t="shared" ca="1" si="419"/>
        <v>2394058.1047397451</v>
      </c>
      <c r="AX393" s="2">
        <f t="shared" ca="1" si="420"/>
        <v>2531746.4379642978</v>
      </c>
      <c r="AY393" s="2">
        <f t="shared" ca="1" si="421"/>
        <v>2674230.0366210546</v>
      </c>
      <c r="AZ393" s="2">
        <f t="shared" ca="1" si="422"/>
        <v>2821675.9052050682</v>
      </c>
      <c r="BA393" s="2">
        <f t="shared" ca="1" si="423"/>
        <v>51984663.672586434</v>
      </c>
      <c r="BB393" s="2">
        <f t="shared" ca="1" si="424"/>
        <v>1039693.2734517287</v>
      </c>
      <c r="BC393" s="2">
        <f t="shared" ca="1" si="425"/>
        <v>27529941.89415729</v>
      </c>
      <c r="BD393" s="2">
        <f t="shared" ca="1" si="426"/>
        <v>-17085645.191025671</v>
      </c>
      <c r="BE393" s="2">
        <f t="shared" ca="1" si="427"/>
        <v>2185152.3940353431</v>
      </c>
      <c r="BF393" s="2">
        <f t="shared" ca="1" si="428"/>
        <v>2394058.1047397451</v>
      </c>
      <c r="BG393" s="2">
        <f t="shared" ca="1" si="429"/>
        <v>2531746.4379642978</v>
      </c>
      <c r="BH393" s="2">
        <f t="shared" ca="1" si="430"/>
        <v>2674230.0366210546</v>
      </c>
      <c r="BI393" s="2">
        <f t="shared" ca="1" si="431"/>
        <v>30351617.799362358</v>
      </c>
      <c r="BJ393" s="2">
        <f t="shared" ca="1" si="432"/>
        <v>0.22254289113017034</v>
      </c>
      <c r="BK393" s="2">
        <f t="shared" ca="1" si="433"/>
        <v>7497803.8907857873</v>
      </c>
    </row>
    <row r="394" spans="1:63" x14ac:dyDescent="0.3">
      <c r="A394" s="2">
        <v>393</v>
      </c>
      <c r="B394" s="2">
        <f t="shared" ca="1" si="372"/>
        <v>0.90868493062452416</v>
      </c>
      <c r="C394" s="2">
        <f t="shared" ca="1" si="373"/>
        <v>7.5726475239910833</v>
      </c>
      <c r="D394" s="2">
        <f t="shared" ca="1" si="374"/>
        <v>0.14720710975229745</v>
      </c>
      <c r="E394" s="2">
        <f t="shared" ca="1" si="375"/>
        <v>7.042599501939133</v>
      </c>
      <c r="F394" s="2">
        <f t="shared" ca="1" si="376"/>
        <v>0.59266115996206503</v>
      </c>
      <c r="G394" s="2">
        <f t="shared" ca="1" si="377"/>
        <v>4.7031875502531961E-2</v>
      </c>
      <c r="H394" s="2">
        <f t="shared" ca="1" si="378"/>
        <v>4.7031875502531961E-2</v>
      </c>
      <c r="I394" s="2">
        <f t="shared" ca="1" si="379"/>
        <v>0.64071349483250672</v>
      </c>
      <c r="J394" s="2">
        <f t="shared" ca="1" si="380"/>
        <v>1.1801832933593067E-2</v>
      </c>
      <c r="K394" s="2">
        <f t="shared" ca="1" si="381"/>
        <v>1.1801832933593067E-2</v>
      </c>
      <c r="L394" s="2">
        <f t="shared" ca="1" si="382"/>
        <v>0.35793806521543903</v>
      </c>
      <c r="M394" s="2">
        <f t="shared" ca="1" si="383"/>
        <v>-7.2795146639885733E-3</v>
      </c>
      <c r="N394" s="2">
        <f t="shared" ca="1" si="384"/>
        <v>-7.2795146639885733E-3</v>
      </c>
      <c r="O394" s="2">
        <f t="shared" si="385"/>
        <v>6000000</v>
      </c>
      <c r="P394" s="2">
        <f t="shared" ca="1" si="386"/>
        <v>45435885.143946499</v>
      </c>
      <c r="Q394" s="2">
        <f t="shared" ca="1" si="387"/>
        <v>1135897.1285986626</v>
      </c>
      <c r="R394" s="2">
        <f t="shared" ca="1" si="388"/>
        <v>27261531.086367898</v>
      </c>
      <c r="S394" s="2">
        <f t="shared" ca="1" si="389"/>
        <v>18174354.057578601</v>
      </c>
      <c r="T394" s="2">
        <f t="shared" ca="1" si="390"/>
        <v>49636024.266800575</v>
      </c>
      <c r="U394" s="2">
        <f t="shared" ca="1" si="391"/>
        <v>51970499.580557391</v>
      </c>
      <c r="V394" s="2">
        <f t="shared" ca="1" si="392"/>
        <v>54414769.646634549</v>
      </c>
      <c r="W394" s="2">
        <f t="shared" ca="1" si="393"/>
        <v>56973998.318154015</v>
      </c>
      <c r="X394" s="2">
        <f t="shared" ca="1" si="394"/>
        <v>59653592.313934892</v>
      </c>
      <c r="Y394" s="2">
        <f t="shared" ca="1" si="395"/>
        <v>0.12590091646679652</v>
      </c>
      <c r="Z394" s="2">
        <f t="shared" ca="1" si="396"/>
        <v>0.12826128305351514</v>
      </c>
      <c r="AA394" s="2">
        <f t="shared" ca="1" si="397"/>
        <v>6249220.9449583441</v>
      </c>
      <c r="AB394" s="2">
        <f t="shared" ca="1" si="398"/>
        <v>6665802.957134461</v>
      </c>
      <c r="AC394" s="2">
        <f t="shared" ca="1" si="399"/>
        <v>6979308.1719388179</v>
      </c>
      <c r="AD394" s="2">
        <f t="shared" ca="1" si="400"/>
        <v>7307558.1249752473</v>
      </c>
      <c r="AE394" s="2">
        <f t="shared" ca="1" si="401"/>
        <v>7651246.2889365982</v>
      </c>
      <c r="AF394" s="2">
        <f t="shared" ca="1" si="402"/>
        <v>992720.48533601151</v>
      </c>
      <c r="AG394" s="2">
        <f t="shared" ca="1" si="403"/>
        <v>1039409.9916111479</v>
      </c>
      <c r="AH394" s="2">
        <f t="shared" ca="1" si="404"/>
        <v>1088295.3929326909</v>
      </c>
      <c r="AI394" s="2">
        <f t="shared" ca="1" si="405"/>
        <v>1139479.9663630803</v>
      </c>
      <c r="AJ394" s="2">
        <f t="shared" ca="1" si="406"/>
        <v>1193071.846278698</v>
      </c>
      <c r="AK394" s="2">
        <f t="shared" ca="1" si="407"/>
        <v>0</v>
      </c>
      <c r="AL394" s="2">
        <f t="shared" ca="1" si="408"/>
        <v>23344.753137568161</v>
      </c>
      <c r="AM394" s="2">
        <f t="shared" ca="1" si="409"/>
        <v>24442.700660771578</v>
      </c>
      <c r="AN394" s="2">
        <f t="shared" ca="1" si="410"/>
        <v>25592.286715194659</v>
      </c>
      <c r="AO394" s="2">
        <f t="shared" ca="1" si="411"/>
        <v>26795.93995780878</v>
      </c>
      <c r="AP394" s="2">
        <f t="shared" ca="1" si="412"/>
        <v>2453537.7977731107</v>
      </c>
      <c r="AQ394" s="2">
        <f t="shared" ca="1" si="413"/>
        <v>728770.29208079784</v>
      </c>
      <c r="AR394" s="2">
        <f t="shared" ca="1" si="414"/>
        <v>824942.34361505252</v>
      </c>
      <c r="AS394" s="2">
        <f t="shared" ca="1" si="415"/>
        <v>893743.49512058438</v>
      </c>
      <c r="AT394" s="2">
        <f t="shared" ca="1" si="416"/>
        <v>965780.49381815479</v>
      </c>
      <c r="AU394" s="2">
        <f t="shared" ca="1" si="417"/>
        <v>1041205.5276700453</v>
      </c>
      <c r="AV394" s="2">
        <f t="shared" ca="1" si="418"/>
        <v>2074192.369768424</v>
      </c>
      <c r="AW394" s="2">
        <f t="shared" ca="1" si="419"/>
        <v>2324568.0709975818</v>
      </c>
      <c r="AX394" s="2">
        <f t="shared" ca="1" si="420"/>
        <v>2519288.7854516609</v>
      </c>
      <c r="AY394" s="2">
        <f t="shared" ca="1" si="421"/>
        <v>2723167.5803057076</v>
      </c>
      <c r="AZ394" s="2">
        <f t="shared" ca="1" si="422"/>
        <v>2936635.1772569353</v>
      </c>
      <c r="BA394" s="2">
        <f t="shared" ca="1" si="423"/>
        <v>53884663.303678527</v>
      </c>
      <c r="BB394" s="2">
        <f t="shared" ca="1" si="424"/>
        <v>1077693.2660735706</v>
      </c>
      <c r="BC394" s="2">
        <f t="shared" ca="1" si="425"/>
        <v>25545438.95123706</v>
      </c>
      <c r="BD394" s="2">
        <f t="shared" ca="1" si="426"/>
        <v>-19810251.186177265</v>
      </c>
      <c r="BE394" s="2">
        <f t="shared" ca="1" si="427"/>
        <v>2074192.369768424</v>
      </c>
      <c r="BF394" s="2">
        <f t="shared" ca="1" si="428"/>
        <v>2324568.0709975818</v>
      </c>
      <c r="BG394" s="2">
        <f t="shared" ca="1" si="429"/>
        <v>2519288.7854516609</v>
      </c>
      <c r="BH394" s="2">
        <f t="shared" ca="1" si="430"/>
        <v>2723167.5803057076</v>
      </c>
      <c r="BI394" s="2">
        <f t="shared" ca="1" si="431"/>
        <v>28482074.128493994</v>
      </c>
      <c r="BJ394" s="2">
        <f t="shared" ca="1" si="432"/>
        <v>0.16537870877335648</v>
      </c>
      <c r="BK394" s="2">
        <f t="shared" ca="1" si="433"/>
        <v>3580133.7118880674</v>
      </c>
    </row>
    <row r="395" spans="1:63" x14ac:dyDescent="0.3">
      <c r="A395" s="2">
        <v>394</v>
      </c>
      <c r="B395" s="2">
        <f t="shared" ca="1" si="372"/>
        <v>0.62499123857708361</v>
      </c>
      <c r="C395" s="2">
        <f t="shared" ca="1" si="373"/>
        <v>7.1339644794548942</v>
      </c>
      <c r="D395" s="2">
        <f t="shared" ca="1" si="374"/>
        <v>0.33194703382077773</v>
      </c>
      <c r="E395" s="2">
        <f t="shared" ca="1" si="375"/>
        <v>7.314796948718854</v>
      </c>
      <c r="F395" s="2">
        <f t="shared" ca="1" si="376"/>
        <v>0.74906292268431851</v>
      </c>
      <c r="G395" s="2">
        <f t="shared" ca="1" si="377"/>
        <v>6.0146314563080033E-2</v>
      </c>
      <c r="H395" s="2">
        <f t="shared" ca="1" si="378"/>
        <v>6.0146314563080033E-2</v>
      </c>
      <c r="I395" s="2">
        <f t="shared" ca="1" si="379"/>
        <v>0.78382138606818963</v>
      </c>
      <c r="J395" s="2">
        <f t="shared" ca="1" si="380"/>
        <v>1.3925821635989405E-2</v>
      </c>
      <c r="K395" s="2">
        <f t="shared" ca="1" si="381"/>
        <v>1.3925821635989405E-2</v>
      </c>
      <c r="L395" s="2">
        <f t="shared" ca="1" si="382"/>
        <v>0.7147463710456754</v>
      </c>
      <c r="M395" s="2">
        <f t="shared" ca="1" si="383"/>
        <v>1.1346091835141531E-2</v>
      </c>
      <c r="N395" s="2">
        <f t="shared" ca="1" si="384"/>
        <v>1.1346091835141531E-2</v>
      </c>
      <c r="O395" s="2">
        <f t="shared" si="385"/>
        <v>6000000</v>
      </c>
      <c r="P395" s="2">
        <f t="shared" ca="1" si="386"/>
        <v>42803786.876729362</v>
      </c>
      <c r="Q395" s="2">
        <f t="shared" ca="1" si="387"/>
        <v>1070094.6719182341</v>
      </c>
      <c r="R395" s="2">
        <f t="shared" ca="1" si="388"/>
        <v>25682272.126037616</v>
      </c>
      <c r="S395" s="2">
        <f t="shared" ca="1" si="389"/>
        <v>17121514.750691745</v>
      </c>
      <c r="T395" s="2">
        <f t="shared" ca="1" si="390"/>
        <v>50567304.591757081</v>
      </c>
      <c r="U395" s="2">
        <f t="shared" ca="1" si="391"/>
        <v>53608741.600339986</v>
      </c>
      <c r="V395" s="2">
        <f t="shared" ca="1" si="392"/>
        <v>56833109.835964911</v>
      </c>
      <c r="W395" s="2">
        <f t="shared" ca="1" si="393"/>
        <v>60251411.937756933</v>
      </c>
      <c r="X395" s="2">
        <f t="shared" ca="1" si="394"/>
        <v>63875312.313034981</v>
      </c>
      <c r="Y395" s="2">
        <f t="shared" ca="1" si="395"/>
        <v>0.12696291081799471</v>
      </c>
      <c r="Z395" s="2">
        <f t="shared" ca="1" si="396"/>
        <v>0.12974807514519257</v>
      </c>
      <c r="AA395" s="2">
        <f t="shared" ca="1" si="397"/>
        <v>6420172.1831896286</v>
      </c>
      <c r="AB395" s="2">
        <f t="shared" ca="1" si="398"/>
        <v>6955631.0336001236</v>
      </c>
      <c r="AC395" s="2">
        <f t="shared" ca="1" si="399"/>
        <v>7373986.6057317583</v>
      </c>
      <c r="AD395" s="2">
        <f t="shared" ca="1" si="400"/>
        <v>7817504.7237040391</v>
      </c>
      <c r="AE395" s="2">
        <f t="shared" ca="1" si="401"/>
        <v>8287698.8219143068</v>
      </c>
      <c r="AF395" s="2">
        <f t="shared" ca="1" si="402"/>
        <v>1011346.0918351416</v>
      </c>
      <c r="AG395" s="2">
        <f t="shared" ca="1" si="403"/>
        <v>1072174.8320067998</v>
      </c>
      <c r="AH395" s="2">
        <f t="shared" ca="1" si="404"/>
        <v>1136662.1967192981</v>
      </c>
      <c r="AI395" s="2">
        <f t="shared" ca="1" si="405"/>
        <v>1205028.2387551386</v>
      </c>
      <c r="AJ395" s="2">
        <f t="shared" ca="1" si="406"/>
        <v>1277506.2462606996</v>
      </c>
      <c r="AK395" s="2">
        <f t="shared" ca="1" si="407"/>
        <v>0</v>
      </c>
      <c r="AL395" s="2">
        <f t="shared" ca="1" si="408"/>
        <v>30414.37008582905</v>
      </c>
      <c r="AM395" s="2">
        <f t="shared" ca="1" si="409"/>
        <v>32243.682356249243</v>
      </c>
      <c r="AN395" s="2">
        <f t="shared" ca="1" si="410"/>
        <v>34183.021017920226</v>
      </c>
      <c r="AO395" s="2">
        <f t="shared" ca="1" si="411"/>
        <v>36239.003752780482</v>
      </c>
      <c r="AP395" s="2">
        <f t="shared" ca="1" si="412"/>
        <v>2311404.4913433855</v>
      </c>
      <c r="AQ395" s="2">
        <f t="shared" ca="1" si="413"/>
        <v>805329.61600288656</v>
      </c>
      <c r="AR395" s="2">
        <f t="shared" ca="1" si="414"/>
        <v>928733.44466498389</v>
      </c>
      <c r="AS395" s="2">
        <f t="shared" ca="1" si="415"/>
        <v>1020739.1785939594</v>
      </c>
      <c r="AT395" s="2">
        <f t="shared" ca="1" si="416"/>
        <v>1118278.7183374339</v>
      </c>
      <c r="AU395" s="2">
        <f t="shared" ca="1" si="417"/>
        <v>1221684.9019206576</v>
      </c>
      <c r="AV395" s="2">
        <f t="shared" ca="1" si="418"/>
        <v>2292091.9840082154</v>
      </c>
      <c r="AW395" s="2">
        <f t="shared" ca="1" si="419"/>
        <v>2612903.8954991251</v>
      </c>
      <c r="AX395" s="2">
        <f t="shared" ca="1" si="420"/>
        <v>2872937.0567188654</v>
      </c>
      <c r="AY395" s="2">
        <f t="shared" ca="1" si="421"/>
        <v>3148610.2542501604</v>
      </c>
      <c r="AZ395" s="2">
        <f t="shared" ca="1" si="422"/>
        <v>3440864.1786367837</v>
      </c>
      <c r="BA395" s="2">
        <f t="shared" ca="1" si="423"/>
        <v>60622834.054439612</v>
      </c>
      <c r="BB395" s="2">
        <f t="shared" ca="1" si="424"/>
        <v>1212456.6810887922</v>
      </c>
      <c r="BC395" s="2">
        <f t="shared" ca="1" si="425"/>
        <v>33728105.247313201</v>
      </c>
      <c r="BD395" s="2">
        <f t="shared" ca="1" si="426"/>
        <v>-18691609.422609981</v>
      </c>
      <c r="BE395" s="2">
        <f t="shared" ca="1" si="427"/>
        <v>2292091.9840082154</v>
      </c>
      <c r="BF395" s="2">
        <f t="shared" ca="1" si="428"/>
        <v>2612903.8954991251</v>
      </c>
      <c r="BG395" s="2">
        <f t="shared" ca="1" si="429"/>
        <v>2872937.0567188654</v>
      </c>
      <c r="BH395" s="2">
        <f t="shared" ca="1" si="430"/>
        <v>3148610.2542501604</v>
      </c>
      <c r="BI395" s="2">
        <f t="shared" ca="1" si="431"/>
        <v>37168969.425949983</v>
      </c>
      <c r="BJ395" s="2">
        <f t="shared" ca="1" si="432"/>
        <v>0.2459791546280492</v>
      </c>
      <c r="BK395" s="2">
        <f t="shared" ca="1" si="433"/>
        <v>10574462.305796504</v>
      </c>
    </row>
    <row r="396" spans="1:63" x14ac:dyDescent="0.3">
      <c r="A396" s="2">
        <v>395</v>
      </c>
      <c r="B396" s="2">
        <f t="shared" ca="1" si="372"/>
        <v>0.97187980050682099</v>
      </c>
      <c r="C396" s="2">
        <f t="shared" ca="1" si="373"/>
        <v>7.7628494170651106</v>
      </c>
      <c r="D396" s="2">
        <f t="shared" ca="1" si="374"/>
        <v>0.85227228639801267</v>
      </c>
      <c r="E396" s="2">
        <f t="shared" ca="1" si="375"/>
        <v>7.9564418824044898</v>
      </c>
      <c r="F396" s="2">
        <f t="shared" ca="1" si="376"/>
        <v>0.23764148700456611</v>
      </c>
      <c r="G396" s="2">
        <f t="shared" ca="1" si="377"/>
        <v>1.8582706822724716E-2</v>
      </c>
      <c r="H396" s="2">
        <f t="shared" ca="1" si="378"/>
        <v>1.8582706822724716E-2</v>
      </c>
      <c r="I396" s="2">
        <f t="shared" ca="1" si="379"/>
        <v>0.69143335181486432</v>
      </c>
      <c r="J396" s="2">
        <f t="shared" ca="1" si="380"/>
        <v>1.2499586598632716E-2</v>
      </c>
      <c r="K396" s="2">
        <f t="shared" ca="1" si="381"/>
        <v>1.2499586598632716E-2</v>
      </c>
      <c r="L396" s="2">
        <f t="shared" ca="1" si="382"/>
        <v>0.28769669694804123</v>
      </c>
      <c r="M396" s="2">
        <f t="shared" ca="1" si="383"/>
        <v>-1.1202523029000162E-2</v>
      </c>
      <c r="N396" s="2">
        <f t="shared" ca="1" si="384"/>
        <v>-1.1202523029000162E-2</v>
      </c>
      <c r="O396" s="2">
        <f t="shared" si="385"/>
        <v>6000000</v>
      </c>
      <c r="P396" s="2">
        <f t="shared" ca="1" si="386"/>
        <v>46577096.50239066</v>
      </c>
      <c r="Q396" s="2">
        <f t="shared" ca="1" si="387"/>
        <v>1164427.4125597666</v>
      </c>
      <c r="R396" s="2">
        <f t="shared" ca="1" si="388"/>
        <v>27946257.901434395</v>
      </c>
      <c r="S396" s="2">
        <f t="shared" ca="1" si="389"/>
        <v>18630838.600956265</v>
      </c>
      <c r="T396" s="2">
        <f t="shared" ca="1" si="390"/>
        <v>49439873.848549992</v>
      </c>
      <c r="U396" s="2">
        <f t="shared" ca="1" si="391"/>
        <v>50358600.529630087</v>
      </c>
      <c r="V396" s="2">
        <f t="shared" ca="1" si="392"/>
        <v>51294399.63927491</v>
      </c>
      <c r="W396" s="2">
        <f t="shared" ca="1" si="393"/>
        <v>52247588.429419227</v>
      </c>
      <c r="X396" s="2">
        <f t="shared" ca="1" si="394"/>
        <v>53218490.047397509</v>
      </c>
      <c r="Y396" s="2">
        <f t="shared" ca="1" si="395"/>
        <v>0.12624979329931635</v>
      </c>
      <c r="Z396" s="2">
        <f t="shared" ca="1" si="396"/>
        <v>0.12874971061904289</v>
      </c>
      <c r="AA396" s="2">
        <f t="shared" ca="1" si="397"/>
        <v>6241773.8541237125</v>
      </c>
      <c r="AB396" s="2">
        <f t="shared" ca="1" si="398"/>
        <v>6483655.2453698535</v>
      </c>
      <c r="AC396" s="2">
        <f t="shared" ca="1" si="399"/>
        <v>6604139.1099341828</v>
      </c>
      <c r="AD396" s="2">
        <f t="shared" ca="1" si="400"/>
        <v>6726861.8908305792</v>
      </c>
      <c r="AE396" s="2">
        <f t="shared" ca="1" si="401"/>
        <v>6851865.1931848433</v>
      </c>
      <c r="AF396" s="2">
        <f t="shared" ca="1" si="402"/>
        <v>988797.47697099985</v>
      </c>
      <c r="AG396" s="2">
        <f t="shared" ca="1" si="403"/>
        <v>1007172.0105926017</v>
      </c>
      <c r="AH396" s="2">
        <f t="shared" ca="1" si="404"/>
        <v>1025887.9927854983</v>
      </c>
      <c r="AI396" s="2">
        <f t="shared" ca="1" si="405"/>
        <v>1044951.7685883846</v>
      </c>
      <c r="AJ396" s="2">
        <f t="shared" ca="1" si="406"/>
        <v>1064369.8009479502</v>
      </c>
      <c r="AK396" s="2">
        <f t="shared" ca="1" si="407"/>
        <v>0</v>
      </c>
      <c r="AL396" s="2">
        <f t="shared" ca="1" si="408"/>
        <v>9187.2668108009548</v>
      </c>
      <c r="AM396" s="2">
        <f t="shared" ca="1" si="409"/>
        <v>9357.9910964482278</v>
      </c>
      <c r="AN396" s="2">
        <f t="shared" ca="1" si="410"/>
        <v>9531.8879014431695</v>
      </c>
      <c r="AO396" s="2">
        <f t="shared" ca="1" si="411"/>
        <v>9709.0161797828223</v>
      </c>
      <c r="AP396" s="2">
        <f t="shared" ca="1" si="412"/>
        <v>2515163.2111290954</v>
      </c>
      <c r="AQ396" s="2">
        <f t="shared" ca="1" si="413"/>
        <v>711831.42316614056</v>
      </c>
      <c r="AR396" s="2">
        <f t="shared" ca="1" si="414"/>
        <v>769943.20614852058</v>
      </c>
      <c r="AS396" s="2">
        <f t="shared" ca="1" si="415"/>
        <v>796402.85556509311</v>
      </c>
      <c r="AT396" s="2">
        <f t="shared" ca="1" si="416"/>
        <v>823354.19688940584</v>
      </c>
      <c r="AU396" s="2">
        <f t="shared" ca="1" si="417"/>
        <v>850806.36708802741</v>
      </c>
      <c r="AV396" s="2">
        <f t="shared" ca="1" si="418"/>
        <v>2025981.7428574767</v>
      </c>
      <c r="AW396" s="2">
        <f t="shared" ca="1" si="419"/>
        <v>2182189.5506888349</v>
      </c>
      <c r="AX396" s="2">
        <f t="shared" ca="1" si="420"/>
        <v>2257327.0593580473</v>
      </c>
      <c r="AY396" s="2">
        <f t="shared" ca="1" si="421"/>
        <v>2333860.8263222501</v>
      </c>
      <c r="AZ396" s="2">
        <f t="shared" ca="1" si="422"/>
        <v>2411816.7978399871</v>
      </c>
      <c r="BA396" s="2">
        <f t="shared" ca="1" si="423"/>
        <v>54516467.195645414</v>
      </c>
      <c r="BB396" s="2">
        <f t="shared" ca="1" si="424"/>
        <v>1090329.3439129083</v>
      </c>
      <c r="BC396" s="2">
        <f t="shared" ca="1" si="425"/>
        <v>25479879.950298112</v>
      </c>
      <c r="BD396" s="2">
        <f t="shared" ca="1" si="426"/>
        <v>-20295266.013516031</v>
      </c>
      <c r="BE396" s="2">
        <f t="shared" ca="1" si="427"/>
        <v>2025981.7428574767</v>
      </c>
      <c r="BF396" s="2">
        <f t="shared" ca="1" si="428"/>
        <v>2182189.5506888349</v>
      </c>
      <c r="BG396" s="2">
        <f t="shared" ca="1" si="429"/>
        <v>2257327.0593580473</v>
      </c>
      <c r="BH396" s="2">
        <f t="shared" ca="1" si="430"/>
        <v>2333860.8263222501</v>
      </c>
      <c r="BI396" s="2">
        <f t="shared" ca="1" si="431"/>
        <v>27891696.7481381</v>
      </c>
      <c r="BJ396" s="2">
        <f t="shared" ca="1" si="432"/>
        <v>0.14731619711750366</v>
      </c>
      <c r="BK396" s="2">
        <f t="shared" ca="1" si="433"/>
        <v>2169703.7541244775</v>
      </c>
    </row>
    <row r="397" spans="1:63" x14ac:dyDescent="0.3">
      <c r="A397" s="2">
        <v>396</v>
      </c>
      <c r="B397" s="2">
        <f t="shared" ca="1" si="372"/>
        <v>0.55886597995097864</v>
      </c>
      <c r="C397" s="2">
        <f t="shared" ca="1" si="373"/>
        <v>7.06070875650944</v>
      </c>
      <c r="D397" s="2">
        <f t="shared" ca="1" si="374"/>
        <v>0.79326244340262875</v>
      </c>
      <c r="E397" s="2">
        <f t="shared" ca="1" si="375"/>
        <v>7.856979694570426</v>
      </c>
      <c r="F397" s="2">
        <f t="shared" ca="1" si="376"/>
        <v>7.5306954903012313E-2</v>
      </c>
      <c r="G397" s="2">
        <f t="shared" ca="1" si="377"/>
        <v>-3.1209921018482134E-3</v>
      </c>
      <c r="H397" s="2">
        <f t="shared" ca="1" si="378"/>
        <v>-3.1209921018482134E-3</v>
      </c>
      <c r="I397" s="2">
        <f t="shared" ca="1" si="379"/>
        <v>0.28558567306749505</v>
      </c>
      <c r="J397" s="2">
        <f t="shared" ca="1" si="380"/>
        <v>7.1683637995473958E-3</v>
      </c>
      <c r="K397" s="2">
        <f t="shared" ca="1" si="381"/>
        <v>7.1683637995473958E-3</v>
      </c>
      <c r="L397" s="2">
        <f t="shared" ca="1" si="382"/>
        <v>0.21530305971169983</v>
      </c>
      <c r="M397" s="2">
        <f t="shared" ca="1" si="383"/>
        <v>-1.5763097533443113E-2</v>
      </c>
      <c r="N397" s="2">
        <f t="shared" ca="1" si="384"/>
        <v>-1.5763097533443113E-2</v>
      </c>
      <c r="O397" s="2">
        <f t="shared" si="385"/>
        <v>6000000</v>
      </c>
      <c r="P397" s="2">
        <f t="shared" ca="1" si="386"/>
        <v>42364252.539056636</v>
      </c>
      <c r="Q397" s="2">
        <f t="shared" ca="1" si="387"/>
        <v>1059106.313476416</v>
      </c>
      <c r="R397" s="2">
        <f t="shared" ca="1" si="388"/>
        <v>25418551.52343398</v>
      </c>
      <c r="S397" s="2">
        <f t="shared" ca="1" si="389"/>
        <v>16945701.015622657</v>
      </c>
      <c r="T397" s="2">
        <f t="shared" ca="1" si="390"/>
        <v>49211845.123327844</v>
      </c>
      <c r="U397" s="2">
        <f t="shared" ca="1" si="391"/>
        <v>49058255.343380556</v>
      </c>
      <c r="V397" s="2">
        <f t="shared" ca="1" si="392"/>
        <v>48905144.915923409</v>
      </c>
      <c r="W397" s="2">
        <f t="shared" ca="1" si="393"/>
        <v>48752512.34490107</v>
      </c>
      <c r="X397" s="2">
        <f t="shared" ca="1" si="394"/>
        <v>48600356.138927378</v>
      </c>
      <c r="Y397" s="2">
        <f t="shared" ca="1" si="395"/>
        <v>0.12358418189977369</v>
      </c>
      <c r="Z397" s="2">
        <f t="shared" ca="1" si="396"/>
        <v>0.12501785465968318</v>
      </c>
      <c r="AA397" s="2">
        <f t="shared" ca="1" si="397"/>
        <v>6081805.6193448389</v>
      </c>
      <c r="AB397" s="2">
        <f t="shared" ca="1" si="398"/>
        <v>6133157.8363763765</v>
      </c>
      <c r="AC397" s="2">
        <f t="shared" ca="1" si="399"/>
        <v>6114016.2992096562</v>
      </c>
      <c r="AD397" s="2">
        <f t="shared" ca="1" si="400"/>
        <v>6094934.5026292522</v>
      </c>
      <c r="AE397" s="2">
        <f t="shared" ca="1" si="401"/>
        <v>6075912.2601852641</v>
      </c>
      <c r="AF397" s="2">
        <f t="shared" ca="1" si="402"/>
        <v>984236.90246655687</v>
      </c>
      <c r="AG397" s="2">
        <f t="shared" ca="1" si="403"/>
        <v>981165.10686761118</v>
      </c>
      <c r="AH397" s="2">
        <f t="shared" ca="1" si="404"/>
        <v>978102.89831846824</v>
      </c>
      <c r="AI397" s="2">
        <f t="shared" ca="1" si="405"/>
        <v>975050.24689802143</v>
      </c>
      <c r="AJ397" s="2">
        <f t="shared" ca="1" si="406"/>
        <v>972007.12277854758</v>
      </c>
      <c r="AK397" s="2">
        <f t="shared" ca="1" si="407"/>
        <v>0</v>
      </c>
      <c r="AL397" s="2">
        <f t="shared" ca="1" si="408"/>
        <v>0</v>
      </c>
      <c r="AM397" s="2">
        <f t="shared" ca="1" si="409"/>
        <v>0</v>
      </c>
      <c r="AN397" s="2">
        <f t="shared" ca="1" si="410"/>
        <v>0</v>
      </c>
      <c r="AO397" s="2">
        <f t="shared" ca="1" si="411"/>
        <v>0</v>
      </c>
      <c r="AP397" s="2">
        <f t="shared" ca="1" si="412"/>
        <v>2287669.637109058</v>
      </c>
      <c r="AQ397" s="2">
        <f t="shared" ca="1" si="413"/>
        <v>730573.76073999819</v>
      </c>
      <c r="AR397" s="2">
        <f t="shared" ca="1" si="414"/>
        <v>744724.00402392389</v>
      </c>
      <c r="AS397" s="2">
        <f t="shared" ca="1" si="415"/>
        <v>740543.37858335371</v>
      </c>
      <c r="AT397" s="2">
        <f t="shared" ca="1" si="416"/>
        <v>736375.8008417649</v>
      </c>
      <c r="AU397" s="2">
        <f t="shared" ca="1" si="417"/>
        <v>732221.23007739114</v>
      </c>
      <c r="AV397" s="2">
        <f t="shared" ca="1" si="418"/>
        <v>2079325.319029226</v>
      </c>
      <c r="AW397" s="2">
        <f t="shared" ca="1" si="419"/>
        <v>2119599.0883757835</v>
      </c>
      <c r="AX397" s="2">
        <f t="shared" ca="1" si="420"/>
        <v>2107700.3851987757</v>
      </c>
      <c r="AY397" s="2">
        <f t="shared" ca="1" si="421"/>
        <v>2095838.8177804081</v>
      </c>
      <c r="AZ397" s="2">
        <f t="shared" ca="1" si="422"/>
        <v>2084014.2702202667</v>
      </c>
      <c r="BA397" s="2">
        <f t="shared" ca="1" si="423"/>
        <v>47738319.254267126</v>
      </c>
      <c r="BB397" s="2">
        <f t="shared" ca="1" si="424"/>
        <v>954766.38508534257</v>
      </c>
      <c r="BC397" s="2">
        <f t="shared" ca="1" si="425"/>
        <v>21365001.345747802</v>
      </c>
      <c r="BD397" s="2">
        <f t="shared" ca="1" si="426"/>
        <v>-18504807.329099074</v>
      </c>
      <c r="BE397" s="2">
        <f t="shared" ca="1" si="427"/>
        <v>2079325.319029226</v>
      </c>
      <c r="BF397" s="2">
        <f t="shared" ca="1" si="428"/>
        <v>2119599.0883757835</v>
      </c>
      <c r="BG397" s="2">
        <f t="shared" ca="1" si="429"/>
        <v>2107700.3851987757</v>
      </c>
      <c r="BH397" s="2">
        <f t="shared" ca="1" si="430"/>
        <v>2095838.8177804081</v>
      </c>
      <c r="BI397" s="2">
        <f t="shared" ca="1" si="431"/>
        <v>23449015.615968071</v>
      </c>
      <c r="BJ397" s="2">
        <f t="shared" ca="1" si="432"/>
        <v>0.1368766698012267</v>
      </c>
      <c r="BK397" s="2">
        <f t="shared" ca="1" si="433"/>
        <v>1179228.7117161341</v>
      </c>
    </row>
    <row r="398" spans="1:63" x14ac:dyDescent="0.3">
      <c r="A398" s="2">
        <v>397</v>
      </c>
      <c r="B398" s="2">
        <f t="shared" ca="1" si="372"/>
        <v>0.12324357090307392</v>
      </c>
      <c r="C398" s="2">
        <f t="shared" ca="1" si="373"/>
        <v>6.4964747141659362</v>
      </c>
      <c r="D398" s="2">
        <f t="shared" ca="1" si="374"/>
        <v>0.68059773826938341</v>
      </c>
      <c r="E398" s="2">
        <f t="shared" ca="1" si="375"/>
        <v>7.7007475220800163</v>
      </c>
      <c r="F398" s="2">
        <f t="shared" ca="1" si="376"/>
        <v>0.1693756349907336</v>
      </c>
      <c r="G398" s="2">
        <f t="shared" ca="1" si="377"/>
        <v>1.1300935350361439E-2</v>
      </c>
      <c r="H398" s="2">
        <f t="shared" ca="1" si="378"/>
        <v>1.1300935350361439E-2</v>
      </c>
      <c r="I398" s="2">
        <f t="shared" ca="1" si="379"/>
        <v>0.37673212244677945</v>
      </c>
      <c r="J398" s="2">
        <f t="shared" ca="1" si="380"/>
        <v>8.4296261078320636E-3</v>
      </c>
      <c r="K398" s="2">
        <f t="shared" ca="1" si="381"/>
        <v>8.4296261078320636E-3</v>
      </c>
      <c r="L398" s="2">
        <f t="shared" ca="1" si="382"/>
        <v>0.6422562471771015</v>
      </c>
      <c r="M398" s="2">
        <f t="shared" ca="1" si="383"/>
        <v>7.2899241404900828E-3</v>
      </c>
      <c r="N398" s="2">
        <f t="shared" ca="1" si="384"/>
        <v>7.2899241404900828E-3</v>
      </c>
      <c r="O398" s="2">
        <f t="shared" si="385"/>
        <v>6000000</v>
      </c>
      <c r="P398" s="2">
        <f t="shared" ca="1" si="386"/>
        <v>38978848.284995615</v>
      </c>
      <c r="Q398" s="2">
        <f t="shared" ca="1" si="387"/>
        <v>974471.20712489041</v>
      </c>
      <c r="R398" s="2">
        <f t="shared" ca="1" si="388"/>
        <v>23387308.970997367</v>
      </c>
      <c r="S398" s="2">
        <f t="shared" ca="1" si="389"/>
        <v>15591539.313998247</v>
      </c>
      <c r="T398" s="2">
        <f t="shared" ca="1" si="390"/>
        <v>50364496.2070245</v>
      </c>
      <c r="U398" s="2">
        <f t="shared" ca="1" si="391"/>
        <v>50933662.122613609</v>
      </c>
      <c r="V398" s="2">
        <f t="shared" ca="1" si="392"/>
        <v>51509260.14541842</v>
      </c>
      <c r="W398" s="2">
        <f t="shared" ca="1" si="393"/>
        <v>52091362.964266747</v>
      </c>
      <c r="X398" s="2">
        <f t="shared" ca="1" si="394"/>
        <v>52680044.08943814</v>
      </c>
      <c r="Y398" s="2">
        <f t="shared" ca="1" si="395"/>
        <v>0.12421481305391603</v>
      </c>
      <c r="Z398" s="2">
        <f t="shared" ca="1" si="396"/>
        <v>0.12590073827548243</v>
      </c>
      <c r="AA398" s="2">
        <f t="shared" ca="1" si="397"/>
        <v>6256016.4809102109</v>
      </c>
      <c r="AB398" s="2">
        <f t="shared" ca="1" si="398"/>
        <v>6412585.664311029</v>
      </c>
      <c r="AC398" s="2">
        <f t="shared" ca="1" si="399"/>
        <v>6485053.880332062</v>
      </c>
      <c r="AD398" s="2">
        <f t="shared" ca="1" si="400"/>
        <v>6558341.0549773062</v>
      </c>
      <c r="AE398" s="2">
        <f t="shared" ca="1" si="401"/>
        <v>6632456.4432452265</v>
      </c>
      <c r="AF398" s="2">
        <f t="shared" ca="1" si="402"/>
        <v>1007289.92414049</v>
      </c>
      <c r="AG398" s="2">
        <f t="shared" ca="1" si="403"/>
        <v>1018673.2424522722</v>
      </c>
      <c r="AH398" s="2">
        <f t="shared" ca="1" si="404"/>
        <v>1030185.2029083684</v>
      </c>
      <c r="AI398" s="2">
        <f t="shared" ca="1" si="405"/>
        <v>1041827.259285335</v>
      </c>
      <c r="AJ398" s="2">
        <f t="shared" ca="1" si="406"/>
        <v>1053600.8817887628</v>
      </c>
      <c r="AK398" s="2">
        <f t="shared" ca="1" si="407"/>
        <v>0</v>
      </c>
      <c r="AL398" s="2">
        <f t="shared" ca="1" si="408"/>
        <v>5691.6591558910904</v>
      </c>
      <c r="AM398" s="2">
        <f t="shared" ca="1" si="409"/>
        <v>5755.9802280481163</v>
      </c>
      <c r="AN398" s="2">
        <f t="shared" ca="1" si="410"/>
        <v>5821.0281884832684</v>
      </c>
      <c r="AO398" s="2">
        <f t="shared" ca="1" si="411"/>
        <v>5886.8112517139316</v>
      </c>
      <c r="AP398" s="2">
        <f t="shared" ca="1" si="412"/>
        <v>2104857.8073897632</v>
      </c>
      <c r="AQ398" s="2">
        <f t="shared" ca="1" si="413"/>
        <v>817405.87483878911</v>
      </c>
      <c r="AR398" s="2">
        <f t="shared" ca="1" si="414"/>
        <v>855154.19976193842</v>
      </c>
      <c r="AS398" s="2">
        <f t="shared" ca="1" si="415"/>
        <v>871002.82620882185</v>
      </c>
      <c r="AT398" s="2">
        <f t="shared" ca="1" si="416"/>
        <v>887030.55695857399</v>
      </c>
      <c r="AU398" s="2">
        <f t="shared" ca="1" si="417"/>
        <v>903239.41605734231</v>
      </c>
      <c r="AV398" s="2">
        <f t="shared" ca="1" si="418"/>
        <v>2326462.874541169</v>
      </c>
      <c r="AW398" s="2">
        <f t="shared" ca="1" si="419"/>
        <v>2428208.755551164</v>
      </c>
      <c r="AX398" s="2">
        <f t="shared" ca="1" si="420"/>
        <v>2473252.0635970607</v>
      </c>
      <c r="AY398" s="2">
        <f t="shared" ca="1" si="421"/>
        <v>2518804.4031551508</v>
      </c>
      <c r="AZ398" s="2">
        <f t="shared" ca="1" si="422"/>
        <v>2564871.5267576445</v>
      </c>
      <c r="BA398" s="2">
        <f t="shared" ca="1" si="423"/>
        <v>51074872.520624317</v>
      </c>
      <c r="BB398" s="2">
        <f t="shared" ca="1" si="424"/>
        <v>1021497.4504124863</v>
      </c>
      <c r="BC398" s="2">
        <f t="shared" ca="1" si="425"/>
        <v>26666066.099214464</v>
      </c>
      <c r="BD398" s="2">
        <f t="shared" ca="1" si="426"/>
        <v>-17066010.521123137</v>
      </c>
      <c r="BE398" s="2">
        <f t="shared" ca="1" si="427"/>
        <v>2326462.874541169</v>
      </c>
      <c r="BF398" s="2">
        <f t="shared" ca="1" si="428"/>
        <v>2428208.755551164</v>
      </c>
      <c r="BG398" s="2">
        <f t="shared" ca="1" si="429"/>
        <v>2473252.0635970607</v>
      </c>
      <c r="BH398" s="2">
        <f t="shared" ca="1" si="430"/>
        <v>2518804.4031551508</v>
      </c>
      <c r="BI398" s="2">
        <f t="shared" ca="1" si="431"/>
        <v>29230937.625972107</v>
      </c>
      <c r="BJ398" s="2">
        <f t="shared" ca="1" si="432"/>
        <v>0.21620125983124594</v>
      </c>
      <c r="BK398" s="2">
        <f t="shared" ca="1" si="433"/>
        <v>6894518.35505886</v>
      </c>
    </row>
    <row r="399" spans="1:63" x14ac:dyDescent="0.3">
      <c r="A399" s="2">
        <v>398</v>
      </c>
      <c r="B399" s="2">
        <f t="shared" ca="1" si="372"/>
        <v>5.8315776551056464E-2</v>
      </c>
      <c r="C399" s="2">
        <f t="shared" ca="1" si="373"/>
        <v>6.3415136206685068</v>
      </c>
      <c r="D399" s="2">
        <f t="shared" ca="1" si="374"/>
        <v>0.11830564650539821</v>
      </c>
      <c r="E399" s="2">
        <f t="shared" ca="1" si="375"/>
        <v>6.9864270685424446</v>
      </c>
      <c r="F399" s="2">
        <f t="shared" ca="1" si="376"/>
        <v>0.40977700946936435</v>
      </c>
      <c r="G399" s="2">
        <f t="shared" ca="1" si="377"/>
        <v>3.3156441165244126E-2</v>
      </c>
      <c r="H399" s="2">
        <f t="shared" ca="1" si="378"/>
        <v>3.3156441165244126E-2</v>
      </c>
      <c r="I399" s="2">
        <f t="shared" ca="1" si="379"/>
        <v>0.42076349531431856</v>
      </c>
      <c r="J399" s="2">
        <f t="shared" ca="1" si="380"/>
        <v>9.0002967018192014E-3</v>
      </c>
      <c r="K399" s="2">
        <f t="shared" ca="1" si="381"/>
        <v>9.0002967018192014E-3</v>
      </c>
      <c r="L399" s="2">
        <f t="shared" ca="1" si="382"/>
        <v>0.69497562812010383</v>
      </c>
      <c r="M399" s="2">
        <f t="shared" ca="1" si="383"/>
        <v>1.0200077593518483E-2</v>
      </c>
      <c r="N399" s="2">
        <f t="shared" ca="1" si="384"/>
        <v>1.0200077593518483E-2</v>
      </c>
      <c r="O399" s="2">
        <f t="shared" si="385"/>
        <v>6000000</v>
      </c>
      <c r="P399" s="2">
        <f t="shared" ca="1" si="386"/>
        <v>38049081.724011041</v>
      </c>
      <c r="Q399" s="2">
        <f t="shared" ca="1" si="387"/>
        <v>951227.04310027603</v>
      </c>
      <c r="R399" s="2">
        <f t="shared" ca="1" si="388"/>
        <v>22829449.034406625</v>
      </c>
      <c r="S399" s="2">
        <f t="shared" ca="1" si="389"/>
        <v>15219632.689604416</v>
      </c>
      <c r="T399" s="2">
        <f t="shared" ca="1" si="390"/>
        <v>50510003.879675925</v>
      </c>
      <c r="U399" s="2">
        <f t="shared" ca="1" si="391"/>
        <v>52184735.851568647</v>
      </c>
      <c r="V399" s="2">
        <f t="shared" ca="1" si="392"/>
        <v>53914995.975554988</v>
      </c>
      <c r="W399" s="2">
        <f t="shared" ca="1" si="393"/>
        <v>55702625.367542848</v>
      </c>
      <c r="X399" s="2">
        <f t="shared" ca="1" si="394"/>
        <v>57549526.188291416</v>
      </c>
      <c r="Y399" s="2">
        <f t="shared" ca="1" si="395"/>
        <v>0.1245001483509096</v>
      </c>
      <c r="Z399" s="2">
        <f t="shared" ca="1" si="396"/>
        <v>0.12630020769127343</v>
      </c>
      <c r="AA399" s="2">
        <f t="shared" ca="1" si="397"/>
        <v>6288502.976224672</v>
      </c>
      <c r="AB399" s="2">
        <f t="shared" ca="1" si="398"/>
        <v>6590942.9763673628</v>
      </c>
      <c r="AC399" s="2">
        <f t="shared" ca="1" si="399"/>
        <v>6809475.1893867655</v>
      </c>
      <c r="AD399" s="2">
        <f t="shared" ca="1" si="400"/>
        <v>7035253.1528698578</v>
      </c>
      <c r="AE399" s="2">
        <f t="shared" ca="1" si="401"/>
        <v>7268517.1101155849</v>
      </c>
      <c r="AF399" s="2">
        <f t="shared" ca="1" si="402"/>
        <v>1010200.0775935185</v>
      </c>
      <c r="AG399" s="2">
        <f t="shared" ca="1" si="403"/>
        <v>1043694.7170313729</v>
      </c>
      <c r="AH399" s="2">
        <f t="shared" ca="1" si="404"/>
        <v>1078299.9195110998</v>
      </c>
      <c r="AI399" s="2">
        <f t="shared" ca="1" si="405"/>
        <v>1114052.5073508569</v>
      </c>
      <c r="AJ399" s="2">
        <f t="shared" ca="1" si="406"/>
        <v>1150990.5237658282</v>
      </c>
      <c r="AK399" s="2">
        <f t="shared" ca="1" si="407"/>
        <v>0</v>
      </c>
      <c r="AL399" s="2">
        <f t="shared" ca="1" si="408"/>
        <v>16747.319718927221</v>
      </c>
      <c r="AM399" s="2">
        <f t="shared" ca="1" si="409"/>
        <v>17302.601239863412</v>
      </c>
      <c r="AN399" s="2">
        <f t="shared" ca="1" si="410"/>
        <v>17876.293919878601</v>
      </c>
      <c r="AO399" s="2">
        <f t="shared" ca="1" si="411"/>
        <v>18469.008207485676</v>
      </c>
      <c r="AP399" s="2">
        <f t="shared" ca="1" si="412"/>
        <v>2054650.4130965963</v>
      </c>
      <c r="AQ399" s="2">
        <f t="shared" ca="1" si="413"/>
        <v>838149.64623898489</v>
      </c>
      <c r="AR399" s="2">
        <f t="shared" ca="1" si="414"/>
        <v>908075.44002224237</v>
      </c>
      <c r="AS399" s="2">
        <f t="shared" ca="1" si="415"/>
        <v>955896.46276255813</v>
      </c>
      <c r="AT399" s="2">
        <f t="shared" ca="1" si="416"/>
        <v>1005303.0604298253</v>
      </c>
      <c r="AU399" s="2">
        <f t="shared" ca="1" si="417"/>
        <v>1056347.8050458217</v>
      </c>
      <c r="AV399" s="2">
        <f t="shared" ca="1" si="418"/>
        <v>2385502.8392955726</v>
      </c>
      <c r="AW399" s="2">
        <f t="shared" ca="1" si="419"/>
        <v>2567775.0864982242</v>
      </c>
      <c r="AX399" s="2">
        <f t="shared" ca="1" si="420"/>
        <v>2703325.792776648</v>
      </c>
      <c r="AY399" s="2">
        <f t="shared" ca="1" si="421"/>
        <v>2843370.8780727005</v>
      </c>
      <c r="AZ399" s="2">
        <f t="shared" ca="1" si="422"/>
        <v>2988059.3599998523</v>
      </c>
      <c r="BA399" s="2">
        <f t="shared" ca="1" si="423"/>
        <v>50780964.68627543</v>
      </c>
      <c r="BB399" s="2">
        <f t="shared" ca="1" si="424"/>
        <v>1015619.2937255086</v>
      </c>
      <c r="BC399" s="2">
        <f t="shared" ca="1" si="425"/>
        <v>26935896.358143296</v>
      </c>
      <c r="BD399" s="2">
        <f t="shared" ca="1" si="426"/>
        <v>-16670859.732704692</v>
      </c>
      <c r="BE399" s="2">
        <f t="shared" ca="1" si="427"/>
        <v>2385502.8392955726</v>
      </c>
      <c r="BF399" s="2">
        <f t="shared" ca="1" si="428"/>
        <v>2567775.0864982242</v>
      </c>
      <c r="BG399" s="2">
        <f t="shared" ca="1" si="429"/>
        <v>2703325.792776648</v>
      </c>
      <c r="BH399" s="2">
        <f t="shared" ca="1" si="430"/>
        <v>2843370.8780727005</v>
      </c>
      <c r="BI399" s="2">
        <f t="shared" ca="1" si="431"/>
        <v>29923955.71814315</v>
      </c>
      <c r="BJ399" s="2">
        <f t="shared" ca="1" si="432"/>
        <v>0.23532070470200805</v>
      </c>
      <c r="BK399" s="2">
        <f t="shared" ca="1" si="433"/>
        <v>8216911.697687313</v>
      </c>
    </row>
    <row r="400" spans="1:63" x14ac:dyDescent="0.3">
      <c r="A400" s="2">
        <v>399</v>
      </c>
      <c r="B400" s="2">
        <f t="shared" ca="1" si="372"/>
        <v>0.56879702500352403</v>
      </c>
      <c r="C400" s="2">
        <f t="shared" ca="1" si="373"/>
        <v>7.0713418551517719</v>
      </c>
      <c r="D400" s="2">
        <f t="shared" ca="1" si="374"/>
        <v>0.84835328741363558</v>
      </c>
      <c r="E400" s="2">
        <f t="shared" ca="1" si="375"/>
        <v>7.9492791767394948</v>
      </c>
      <c r="F400" s="2">
        <f t="shared" ca="1" si="376"/>
        <v>0.46857110438347249</v>
      </c>
      <c r="G400" s="2">
        <f t="shared" ca="1" si="377"/>
        <v>3.7634133214477151E-2</v>
      </c>
      <c r="H400" s="2">
        <f t="shared" ca="1" si="378"/>
        <v>3.7634133214477151E-2</v>
      </c>
      <c r="I400" s="2">
        <f t="shared" ca="1" si="379"/>
        <v>0.62267454053646731</v>
      </c>
      <c r="J400" s="2">
        <f t="shared" ca="1" si="380"/>
        <v>1.1562563459955509E-2</v>
      </c>
      <c r="K400" s="2">
        <f t="shared" ca="1" si="381"/>
        <v>1.1562563459955509E-2</v>
      </c>
      <c r="L400" s="2">
        <f t="shared" ca="1" si="382"/>
        <v>0.37806654352363522</v>
      </c>
      <c r="M400" s="2">
        <f t="shared" ca="1" si="383"/>
        <v>-6.2112539976548389E-3</v>
      </c>
      <c r="N400" s="2">
        <f t="shared" ca="1" si="384"/>
        <v>-6.2112539976548389E-3</v>
      </c>
      <c r="O400" s="2">
        <f t="shared" si="385"/>
        <v>6000000</v>
      </c>
      <c r="P400" s="2">
        <f t="shared" ca="1" si="386"/>
        <v>42428051.130910635</v>
      </c>
      <c r="Q400" s="2">
        <f t="shared" ca="1" si="387"/>
        <v>1060701.2782727659</v>
      </c>
      <c r="R400" s="2">
        <f t="shared" ca="1" si="388"/>
        <v>25456830.67854638</v>
      </c>
      <c r="S400" s="2">
        <f t="shared" ca="1" si="389"/>
        <v>16971220.452364255</v>
      </c>
      <c r="T400" s="2">
        <f t="shared" ca="1" si="390"/>
        <v>49689437.300117254</v>
      </c>
      <c r="U400" s="2">
        <f t="shared" ca="1" si="391"/>
        <v>51559456.202822275</v>
      </c>
      <c r="V400" s="2">
        <f t="shared" ca="1" si="392"/>
        <v>53499851.646025293</v>
      </c>
      <c r="W400" s="2">
        <f t="shared" ca="1" si="393"/>
        <v>55513272.189826578</v>
      </c>
      <c r="X400" s="2">
        <f t="shared" ca="1" si="394"/>
        <v>57602466.070590042</v>
      </c>
      <c r="Y400" s="2">
        <f t="shared" ca="1" si="395"/>
        <v>0.12578128172997774</v>
      </c>
      <c r="Z400" s="2">
        <f t="shared" ca="1" si="396"/>
        <v>0.12809379442196886</v>
      </c>
      <c r="AA400" s="2">
        <f t="shared" ca="1" si="397"/>
        <v>6250001.1120501133</v>
      </c>
      <c r="AB400" s="2">
        <f t="shared" ca="1" si="398"/>
        <v>6604446.3833528236</v>
      </c>
      <c r="AC400" s="2">
        <f t="shared" ca="1" si="399"/>
        <v>6852998.9983517965</v>
      </c>
      <c r="AD400" s="2">
        <f t="shared" ca="1" si="400"/>
        <v>7110905.675574447</v>
      </c>
      <c r="AE400" s="2">
        <f t="shared" ca="1" si="401"/>
        <v>7378518.447044597</v>
      </c>
      <c r="AF400" s="2">
        <f t="shared" ca="1" si="402"/>
        <v>993788.74600234511</v>
      </c>
      <c r="AG400" s="2">
        <f t="shared" ca="1" si="403"/>
        <v>1031189.1240564456</v>
      </c>
      <c r="AH400" s="2">
        <f t="shared" ca="1" si="404"/>
        <v>1069997.0329205059</v>
      </c>
      <c r="AI400" s="2">
        <f t="shared" ca="1" si="405"/>
        <v>1110265.4437965315</v>
      </c>
      <c r="AJ400" s="2">
        <f t="shared" ca="1" si="406"/>
        <v>1152049.3214118008</v>
      </c>
      <c r="AK400" s="2">
        <f t="shared" ca="1" si="407"/>
        <v>0</v>
      </c>
      <c r="AL400" s="2">
        <f t="shared" ca="1" si="408"/>
        <v>18700.189027050212</v>
      </c>
      <c r="AM400" s="2">
        <f t="shared" ca="1" si="409"/>
        <v>19403.954432030172</v>
      </c>
      <c r="AN400" s="2">
        <f t="shared" ca="1" si="410"/>
        <v>20134.205438012854</v>
      </c>
      <c r="AO400" s="2">
        <f t="shared" ca="1" si="411"/>
        <v>20891.938807634637</v>
      </c>
      <c r="AP400" s="2">
        <f t="shared" ca="1" si="412"/>
        <v>2291114.7610691739</v>
      </c>
      <c r="AQ400" s="2">
        <f t="shared" ca="1" si="413"/>
        <v>770925.37729443447</v>
      </c>
      <c r="AR400" s="2">
        <f t="shared" ca="1" si="414"/>
        <v>853357.04953907314</v>
      </c>
      <c r="AS400" s="2">
        <f t="shared" ca="1" si="415"/>
        <v>907890.67313415033</v>
      </c>
      <c r="AT400" s="2">
        <f t="shared" ca="1" si="416"/>
        <v>964476.62238427287</v>
      </c>
      <c r="AU400" s="2">
        <f t="shared" ca="1" si="417"/>
        <v>1023192.1347865419</v>
      </c>
      <c r="AV400" s="2">
        <f t="shared" ca="1" si="418"/>
        <v>2194172.2276841598</v>
      </c>
      <c r="AW400" s="2">
        <f t="shared" ca="1" si="419"/>
        <v>2410085.2596610803</v>
      </c>
      <c r="AX400" s="2">
        <f t="shared" ca="1" si="420"/>
        <v>2564592.5767959366</v>
      </c>
      <c r="AY400" s="2">
        <f t="shared" ca="1" si="421"/>
        <v>2724914.6428864561</v>
      </c>
      <c r="AZ400" s="2">
        <f t="shared" ca="1" si="422"/>
        <v>2891270.2909694463</v>
      </c>
      <c r="BA400" s="2">
        <f t="shared" ca="1" si="423"/>
        <v>58653903.046279848</v>
      </c>
      <c r="BB400" s="2">
        <f t="shared" ca="1" si="424"/>
        <v>1173078.0609255971</v>
      </c>
      <c r="BC400" s="2">
        <f t="shared" ca="1" si="425"/>
        <v>32023994.306807872</v>
      </c>
      <c r="BD400" s="2">
        <f t="shared" ca="1" si="426"/>
        <v>-18531921.730637021</v>
      </c>
      <c r="BE400" s="2">
        <f t="shared" ca="1" si="427"/>
        <v>2194172.2276841598</v>
      </c>
      <c r="BF400" s="2">
        <f t="shared" ca="1" si="428"/>
        <v>2410085.2596610803</v>
      </c>
      <c r="BG400" s="2">
        <f t="shared" ca="1" si="429"/>
        <v>2564592.5767959366</v>
      </c>
      <c r="BH400" s="2">
        <f t="shared" ca="1" si="430"/>
        <v>2724914.6428864561</v>
      </c>
      <c r="BI400" s="2">
        <f t="shared" ca="1" si="431"/>
        <v>34915264.597777322</v>
      </c>
      <c r="BJ400" s="2">
        <f t="shared" ca="1" si="432"/>
        <v>0.22703105223140096</v>
      </c>
      <c r="BK400" s="2">
        <f t="shared" ca="1" si="433"/>
        <v>8717483.4937036596</v>
      </c>
    </row>
    <row r="401" spans="1:63" x14ac:dyDescent="0.3">
      <c r="A401" s="2">
        <v>400</v>
      </c>
      <c r="B401" s="2">
        <f t="shared" ca="1" si="372"/>
        <v>0.41926511313772996</v>
      </c>
      <c r="C401" s="2">
        <f t="shared" ca="1" si="373"/>
        <v>6.9157129606352967</v>
      </c>
      <c r="D401" s="2">
        <f t="shared" ca="1" si="374"/>
        <v>0.46478530838219123</v>
      </c>
      <c r="E401" s="2">
        <f t="shared" ca="1" si="375"/>
        <v>7.4641424255598245</v>
      </c>
      <c r="F401" s="2">
        <f t="shared" ca="1" si="376"/>
        <v>0.18165530101059624</v>
      </c>
      <c r="G401" s="2">
        <f t="shared" ca="1" si="377"/>
        <v>1.2727753640969897E-2</v>
      </c>
      <c r="H401" s="2">
        <f t="shared" ca="1" si="378"/>
        <v>1.2727753640969897E-2</v>
      </c>
      <c r="I401" s="2">
        <f t="shared" ca="1" si="379"/>
        <v>0.15702468104763501</v>
      </c>
      <c r="J401" s="2">
        <f t="shared" ca="1" si="380"/>
        <v>4.9661921050831127E-3</v>
      </c>
      <c r="K401" s="2">
        <f t="shared" ca="1" si="381"/>
        <v>4.9661921050831127E-3</v>
      </c>
      <c r="L401" s="2">
        <f t="shared" ca="1" si="382"/>
        <v>0.6089794001199782</v>
      </c>
      <c r="M401" s="2">
        <f t="shared" ca="1" si="383"/>
        <v>5.5331997131549985E-3</v>
      </c>
      <c r="N401" s="2">
        <f t="shared" ca="1" si="384"/>
        <v>5.5331997131549985E-3</v>
      </c>
      <c r="O401" s="2">
        <f t="shared" si="385"/>
        <v>6000000</v>
      </c>
      <c r="P401" s="2">
        <f t="shared" ca="1" si="386"/>
        <v>41494277.763811782</v>
      </c>
      <c r="Q401" s="2">
        <f t="shared" ca="1" si="387"/>
        <v>1037356.9440952946</v>
      </c>
      <c r="R401" s="2">
        <f t="shared" ca="1" si="388"/>
        <v>24896566.658287067</v>
      </c>
      <c r="S401" s="2">
        <f t="shared" ca="1" si="389"/>
        <v>16597711.105524713</v>
      </c>
      <c r="T401" s="2">
        <f t="shared" ca="1" si="390"/>
        <v>50276659.985657744</v>
      </c>
      <c r="U401" s="2">
        <f t="shared" ca="1" si="391"/>
        <v>50916568.927846007</v>
      </c>
      <c r="V401" s="2">
        <f t="shared" ca="1" si="392"/>
        <v>51564622.473403096</v>
      </c>
      <c r="W401" s="2">
        <f t="shared" ca="1" si="393"/>
        <v>52220924.284834199</v>
      </c>
      <c r="X401" s="2">
        <f t="shared" ca="1" si="394"/>
        <v>52885579.344035313</v>
      </c>
      <c r="Y401" s="2">
        <f t="shared" ca="1" si="395"/>
        <v>0.12248309605254155</v>
      </c>
      <c r="Z401" s="2">
        <f t="shared" ca="1" si="396"/>
        <v>0.12347633447355817</v>
      </c>
      <c r="AA401" s="2">
        <f t="shared" ca="1" si="397"/>
        <v>6158040.9742242899</v>
      </c>
      <c r="AB401" s="2">
        <f t="shared" ca="1" si="398"/>
        <v>6286991.2951806923</v>
      </c>
      <c r="AC401" s="2">
        <f t="shared" ca="1" si="399"/>
        <v>6367010.571528675</v>
      </c>
      <c r="AD401" s="2">
        <f t="shared" ca="1" si="400"/>
        <v>6448048.3135125441</v>
      </c>
      <c r="AE401" s="2">
        <f t="shared" ca="1" si="401"/>
        <v>6530117.4839120032</v>
      </c>
      <c r="AF401" s="2">
        <f t="shared" ca="1" si="402"/>
        <v>1005533.1997131549</v>
      </c>
      <c r="AG401" s="2">
        <f t="shared" ca="1" si="403"/>
        <v>1018331.3785569202</v>
      </c>
      <c r="AH401" s="2">
        <f t="shared" ca="1" si="404"/>
        <v>1031292.4494680619</v>
      </c>
      <c r="AI401" s="2">
        <f t="shared" ca="1" si="405"/>
        <v>1044418.485696684</v>
      </c>
      <c r="AJ401" s="2">
        <f t="shared" ca="1" si="406"/>
        <v>1057711.5868807063</v>
      </c>
      <c r="AK401" s="2">
        <f t="shared" ca="1" si="407"/>
        <v>0</v>
      </c>
      <c r="AL401" s="2">
        <f t="shared" ca="1" si="408"/>
        <v>6399.0894218826297</v>
      </c>
      <c r="AM401" s="2">
        <f t="shared" ca="1" si="409"/>
        <v>6480.5354555708918</v>
      </c>
      <c r="AN401" s="2">
        <f t="shared" ca="1" si="410"/>
        <v>6563.0181143110249</v>
      </c>
      <c r="AO401" s="2">
        <f t="shared" ca="1" si="411"/>
        <v>6646.5505920111391</v>
      </c>
      <c r="AP401" s="2">
        <f t="shared" ca="1" si="412"/>
        <v>2240690.9992458359</v>
      </c>
      <c r="AQ401" s="2">
        <f t="shared" ca="1" si="413"/>
        <v>757072.36156897782</v>
      </c>
      <c r="AR401" s="2">
        <f t="shared" ca="1" si="414"/>
        <v>787271.91851826338</v>
      </c>
      <c r="AS401" s="2">
        <f t="shared" ca="1" si="415"/>
        <v>804707.051931842</v>
      </c>
      <c r="AT401" s="2">
        <f t="shared" ca="1" si="416"/>
        <v>822364.09542820638</v>
      </c>
      <c r="AU401" s="2">
        <f t="shared" ca="1" si="417"/>
        <v>840245.8734242199</v>
      </c>
      <c r="AV401" s="2">
        <f t="shared" ca="1" si="418"/>
        <v>2154744.4136963212</v>
      </c>
      <c r="AW401" s="2">
        <f t="shared" ca="1" si="419"/>
        <v>2234297.90943779</v>
      </c>
      <c r="AX401" s="2">
        <f t="shared" ca="1" si="420"/>
        <v>2283839.5354273641</v>
      </c>
      <c r="AY401" s="2">
        <f t="shared" ca="1" si="421"/>
        <v>2334011.7150275079</v>
      </c>
      <c r="AZ401" s="2">
        <f t="shared" ca="1" si="422"/>
        <v>2384822.4737692303</v>
      </c>
      <c r="BA401" s="2">
        <f t="shared" ca="1" si="423"/>
        <v>48741726.955557555</v>
      </c>
      <c r="BB401" s="2">
        <f t="shared" ca="1" si="424"/>
        <v>974834.53911115113</v>
      </c>
      <c r="BC401" s="2">
        <f t="shared" ca="1" si="425"/>
        <v>22870325.758159336</v>
      </c>
      <c r="BD401" s="2">
        <f t="shared" ca="1" si="426"/>
        <v>-18135068.049620006</v>
      </c>
      <c r="BE401" s="2">
        <f t="shared" ca="1" si="427"/>
        <v>2154744.4136963212</v>
      </c>
      <c r="BF401" s="2">
        <f t="shared" ca="1" si="428"/>
        <v>2234297.90943779</v>
      </c>
      <c r="BG401" s="2">
        <f t="shared" ca="1" si="429"/>
        <v>2283839.5354273641</v>
      </c>
      <c r="BH401" s="2">
        <f t="shared" ca="1" si="430"/>
        <v>2334011.7150275079</v>
      </c>
      <c r="BI401" s="2">
        <f t="shared" ca="1" si="431"/>
        <v>25255148.231928565</v>
      </c>
      <c r="BJ401" s="2">
        <f t="shared" ca="1" si="432"/>
        <v>0.16248581657114691</v>
      </c>
      <c r="BK401" s="2">
        <f t="shared" ca="1" si="433"/>
        <v>3009327.3677606955</v>
      </c>
    </row>
    <row r="402" spans="1:63" x14ac:dyDescent="0.3">
      <c r="A402" s="2">
        <v>401</v>
      </c>
      <c r="B402" s="2">
        <f t="shared" ca="1" si="372"/>
        <v>0.74213651019387372</v>
      </c>
      <c r="C402" s="2">
        <f t="shared" ca="1" si="373"/>
        <v>7.2818586632060143</v>
      </c>
      <c r="D402" s="2">
        <f t="shared" ca="1" si="374"/>
        <v>0.62162765411891685</v>
      </c>
      <c r="E402" s="2">
        <f t="shared" ca="1" si="375"/>
        <v>7.6300892621871101</v>
      </c>
      <c r="F402" s="2">
        <f t="shared" ca="1" si="376"/>
        <v>0.19466397416585457</v>
      </c>
      <c r="G402" s="2">
        <f t="shared" ca="1" si="377"/>
        <v>1.4174896791600021E-2</v>
      </c>
      <c r="H402" s="2">
        <f t="shared" ca="1" si="378"/>
        <v>1.4174896791600021E-2</v>
      </c>
      <c r="I402" s="2">
        <f t="shared" ca="1" si="379"/>
        <v>0.77900148016968662</v>
      </c>
      <c r="J402" s="2">
        <f t="shared" ca="1" si="380"/>
        <v>1.3844126397427948E-2</v>
      </c>
      <c r="K402" s="2">
        <f t="shared" ca="1" si="381"/>
        <v>1.3844126397427948E-2</v>
      </c>
      <c r="L402" s="2">
        <f t="shared" ca="1" si="382"/>
        <v>0.90816585974693054</v>
      </c>
      <c r="M402" s="2">
        <f t="shared" ca="1" si="383"/>
        <v>2.6590896924240732E-2</v>
      </c>
      <c r="N402" s="2">
        <f t="shared" ca="1" si="384"/>
        <v>2.6590896924240732E-2</v>
      </c>
      <c r="O402" s="2">
        <f t="shared" si="385"/>
        <v>6000000</v>
      </c>
      <c r="P402" s="2">
        <f t="shared" ca="1" si="386"/>
        <v>43691151.979236089</v>
      </c>
      <c r="Q402" s="2">
        <f t="shared" ca="1" si="387"/>
        <v>1092278.7994809023</v>
      </c>
      <c r="R402" s="2">
        <f t="shared" ca="1" si="388"/>
        <v>26214691.187541652</v>
      </c>
      <c r="S402" s="2">
        <f t="shared" ca="1" si="389"/>
        <v>17476460.791694436</v>
      </c>
      <c r="T402" s="2">
        <f t="shared" ca="1" si="390"/>
        <v>51329544.846212037</v>
      </c>
      <c r="U402" s="2">
        <f t="shared" ca="1" si="391"/>
        <v>52057135.846766897</v>
      </c>
      <c r="V402" s="2">
        <f t="shared" ca="1" si="392"/>
        <v>52795040.374661118</v>
      </c>
      <c r="W402" s="2">
        <f t="shared" ca="1" si="393"/>
        <v>53543404.623080291</v>
      </c>
      <c r="X402" s="2">
        <f t="shared" ca="1" si="394"/>
        <v>54302376.857483335</v>
      </c>
      <c r="Y402" s="2">
        <f t="shared" ca="1" si="395"/>
        <v>0.12692206319871396</v>
      </c>
      <c r="Z402" s="2">
        <f t="shared" ca="1" si="396"/>
        <v>0.12969088847819957</v>
      </c>
      <c r="AA402" s="2">
        <f t="shared" ca="1" si="397"/>
        <v>6514851.734932147</v>
      </c>
      <c r="AB402" s="2">
        <f t="shared" ca="1" si="398"/>
        <v>6751336.199597531</v>
      </c>
      <c r="AC402" s="2">
        <f t="shared" ca="1" si="399"/>
        <v>6847035.6934322184</v>
      </c>
      <c r="AD402" s="2">
        <f t="shared" ca="1" si="400"/>
        <v>6944091.7177150212</v>
      </c>
      <c r="AE402" s="2">
        <f t="shared" ca="1" si="401"/>
        <v>7042523.5011250358</v>
      </c>
      <c r="AF402" s="2">
        <f t="shared" ca="1" si="402"/>
        <v>1026590.8969242407</v>
      </c>
      <c r="AG402" s="2">
        <f t="shared" ca="1" si="403"/>
        <v>1041142.716935338</v>
      </c>
      <c r="AH402" s="2">
        <f t="shared" ca="1" si="404"/>
        <v>1055900.8074932224</v>
      </c>
      <c r="AI402" s="2">
        <f t="shared" ca="1" si="405"/>
        <v>1070868.0924616058</v>
      </c>
      <c r="AJ402" s="2">
        <f t="shared" ca="1" si="406"/>
        <v>1086047.5371496668</v>
      </c>
      <c r="AK402" s="2">
        <f t="shared" ca="1" si="407"/>
        <v>0</v>
      </c>
      <c r="AL402" s="2">
        <f t="shared" ca="1" si="408"/>
        <v>7275.9100055485969</v>
      </c>
      <c r="AM402" s="2">
        <f t="shared" ca="1" si="409"/>
        <v>7379.0452789422125</v>
      </c>
      <c r="AN402" s="2">
        <f t="shared" ca="1" si="410"/>
        <v>7483.6424841917305</v>
      </c>
      <c r="AO402" s="2">
        <f t="shared" ca="1" si="411"/>
        <v>7589.7223440304397</v>
      </c>
      <c r="AP402" s="2">
        <f t="shared" ca="1" si="412"/>
        <v>2359322.2068787487</v>
      </c>
      <c r="AQ402" s="2">
        <f t="shared" ca="1" si="413"/>
        <v>813524.04409358103</v>
      </c>
      <c r="AR402" s="2">
        <f t="shared" ca="1" si="414"/>
        <v>871226.53170369565</v>
      </c>
      <c r="AS402" s="2">
        <f t="shared" ca="1" si="415"/>
        <v>892271.29655566439</v>
      </c>
      <c r="AT402" s="2">
        <f t="shared" ca="1" si="416"/>
        <v>913614.36877741339</v>
      </c>
      <c r="AU402" s="2">
        <f t="shared" ca="1" si="417"/>
        <v>935259.97684512136</v>
      </c>
      <c r="AV402" s="2">
        <f t="shared" ca="1" si="418"/>
        <v>2315414.5870355768</v>
      </c>
      <c r="AW402" s="2">
        <f t="shared" ca="1" si="419"/>
        <v>2472368.8340742001</v>
      </c>
      <c r="AX402" s="2">
        <f t="shared" ca="1" si="420"/>
        <v>2532162.3372256411</v>
      </c>
      <c r="AY402" s="2">
        <f t="shared" ca="1" si="421"/>
        <v>2592803.4071130613</v>
      </c>
      <c r="AZ402" s="2">
        <f t="shared" ca="1" si="422"/>
        <v>2654304.0579074686</v>
      </c>
      <c r="BA402" s="2">
        <f t="shared" ca="1" si="423"/>
        <v>53735082.944634505</v>
      </c>
      <c r="BB402" s="2">
        <f t="shared" ca="1" si="424"/>
        <v>1074701.6588926902</v>
      </c>
      <c r="BC402" s="2">
        <f t="shared" ca="1" si="425"/>
        <v>26445690.098200161</v>
      </c>
      <c r="BD402" s="2">
        <f t="shared" ca="1" si="426"/>
        <v>-19068739.59117534</v>
      </c>
      <c r="BE402" s="2">
        <f t="shared" ca="1" si="427"/>
        <v>2315414.5870355768</v>
      </c>
      <c r="BF402" s="2">
        <f t="shared" ca="1" si="428"/>
        <v>2472368.8340742001</v>
      </c>
      <c r="BG402" s="2">
        <f t="shared" ca="1" si="429"/>
        <v>2532162.3372256411</v>
      </c>
      <c r="BH402" s="2">
        <f t="shared" ca="1" si="430"/>
        <v>2592803.4071130613</v>
      </c>
      <c r="BI402" s="2">
        <f t="shared" ca="1" si="431"/>
        <v>29099994.156107631</v>
      </c>
      <c r="BJ402" s="2">
        <f t="shared" ca="1" si="432"/>
        <v>0.18402873836663725</v>
      </c>
      <c r="BK402" s="2">
        <f t="shared" ca="1" si="433"/>
        <v>4931786.9194009081</v>
      </c>
    </row>
    <row r="403" spans="1:63" x14ac:dyDescent="0.3">
      <c r="A403" s="2">
        <v>402</v>
      </c>
      <c r="B403" s="2">
        <f t="shared" ca="1" si="372"/>
        <v>0.9803540492247621</v>
      </c>
      <c r="C403" s="2">
        <f t="shared" ca="1" si="373"/>
        <v>7.8017781506733535</v>
      </c>
      <c r="D403" s="2">
        <f t="shared" ca="1" si="374"/>
        <v>0.36329066165624502</v>
      </c>
      <c r="E403" s="2">
        <f t="shared" ca="1" si="375"/>
        <v>7.3523973975279899</v>
      </c>
      <c r="F403" s="2">
        <f t="shared" ca="1" si="376"/>
        <v>0.91974484765238329</v>
      </c>
      <c r="G403" s="2">
        <f t="shared" ca="1" si="377"/>
        <v>8.2100720471855071E-2</v>
      </c>
      <c r="H403" s="2">
        <f t="shared" ca="1" si="378"/>
        <v>8.2100720471855071E-2</v>
      </c>
      <c r="I403" s="2">
        <f t="shared" ca="1" si="379"/>
        <v>0.14892289937907066</v>
      </c>
      <c r="J403" s="2">
        <f t="shared" ca="1" si="380"/>
        <v>4.7946794896150937E-3</v>
      </c>
      <c r="K403" s="2">
        <f t="shared" ca="1" si="381"/>
        <v>4.7946794896150937E-3</v>
      </c>
      <c r="L403" s="2">
        <f t="shared" ca="1" si="382"/>
        <v>0.74347862152771682</v>
      </c>
      <c r="M403" s="2">
        <f t="shared" ca="1" si="383"/>
        <v>1.3082143570747591E-2</v>
      </c>
      <c r="N403" s="2">
        <f t="shared" ca="1" si="384"/>
        <v>1.3082143570747591E-2</v>
      </c>
      <c r="O403" s="2">
        <f t="shared" si="385"/>
        <v>6000000</v>
      </c>
      <c r="P403" s="2">
        <f t="shared" ca="1" si="386"/>
        <v>46810668.904040121</v>
      </c>
      <c r="Q403" s="2">
        <f t="shared" ca="1" si="387"/>
        <v>1170266.722601003</v>
      </c>
      <c r="R403" s="2">
        <f t="shared" ca="1" si="388"/>
        <v>28086401.342424072</v>
      </c>
      <c r="S403" s="2">
        <f t="shared" ca="1" si="389"/>
        <v>18724267.561616048</v>
      </c>
      <c r="T403" s="2">
        <f t="shared" ca="1" si="390"/>
        <v>50654107.178537376</v>
      </c>
      <c r="U403" s="2">
        <f t="shared" ca="1" si="391"/>
        <v>54812845.872753866</v>
      </c>
      <c r="V403" s="2">
        <f t="shared" ca="1" si="392"/>
        <v>59313020.010019712</v>
      </c>
      <c r="W403" s="2">
        <f t="shared" ca="1" si="393"/>
        <v>64182661.68620389</v>
      </c>
      <c r="X403" s="2">
        <f t="shared" ca="1" si="394"/>
        <v>69452104.452442557</v>
      </c>
      <c r="Y403" s="2">
        <f t="shared" ca="1" si="395"/>
        <v>0.12239733974480754</v>
      </c>
      <c r="Z403" s="2">
        <f t="shared" ca="1" si="396"/>
        <v>0.12335627564273056</v>
      </c>
      <c r="AA403" s="2">
        <f t="shared" ca="1" si="397"/>
        <v>6199927.965801334</v>
      </c>
      <c r="AB403" s="2">
        <f t="shared" ca="1" si="398"/>
        <v>6761508.5242419327</v>
      </c>
      <c r="AC403" s="2">
        <f t="shared" ca="1" si="399"/>
        <v>7316633.2455587853</v>
      </c>
      <c r="AD403" s="2">
        <f t="shared" ca="1" si="400"/>
        <v>7917334.106447489</v>
      </c>
      <c r="AE403" s="2">
        <f t="shared" ca="1" si="401"/>
        <v>8567352.9408032186</v>
      </c>
      <c r="AF403" s="2">
        <f t="shared" ca="1" si="402"/>
        <v>1013082.1435707476</v>
      </c>
      <c r="AG403" s="2">
        <f t="shared" ca="1" si="403"/>
        <v>1096256.9174550774</v>
      </c>
      <c r="AH403" s="2">
        <f t="shared" ca="1" si="404"/>
        <v>1186260.4002003942</v>
      </c>
      <c r="AI403" s="2">
        <f t="shared" ca="1" si="405"/>
        <v>1283653.2337240779</v>
      </c>
      <c r="AJ403" s="2">
        <f t="shared" ca="1" si="406"/>
        <v>1389042.089048851</v>
      </c>
      <c r="AK403" s="2">
        <f t="shared" ca="1" si="407"/>
        <v>0</v>
      </c>
      <c r="AL403" s="2">
        <f t="shared" ca="1" si="408"/>
        <v>41587.3869421649</v>
      </c>
      <c r="AM403" s="2">
        <f t="shared" ca="1" si="409"/>
        <v>45001.741372658464</v>
      </c>
      <c r="AN403" s="2">
        <f t="shared" ca="1" si="410"/>
        <v>48696.416761841778</v>
      </c>
      <c r="AO403" s="2">
        <f t="shared" ca="1" si="411"/>
        <v>52694.427662386675</v>
      </c>
      <c r="AP403" s="2">
        <f t="shared" ca="1" si="412"/>
        <v>2527776.1208181665</v>
      </c>
      <c r="AQ403" s="2">
        <f t="shared" ca="1" si="413"/>
        <v>691358.12236722931</v>
      </c>
      <c r="AR403" s="2">
        <f t="shared" ca="1" si="414"/>
        <v>815743.62635185919</v>
      </c>
      <c r="AS403" s="2">
        <f t="shared" ca="1" si="415"/>
        <v>936675.14838045847</v>
      </c>
      <c r="AT403" s="2">
        <f t="shared" ca="1" si="416"/>
        <v>1067535.2354953636</v>
      </c>
      <c r="AU403" s="2">
        <f t="shared" ca="1" si="417"/>
        <v>1209139.0300434125</v>
      </c>
      <c r="AV403" s="2">
        <f t="shared" ca="1" si="418"/>
        <v>1967711.5790451909</v>
      </c>
      <c r="AW403" s="2">
        <f t="shared" ca="1" si="419"/>
        <v>2280144.4726746646</v>
      </c>
      <c r="AX403" s="2">
        <f t="shared" ca="1" si="420"/>
        <v>2620919.8347871075</v>
      </c>
      <c r="AY403" s="2">
        <f t="shared" ca="1" si="421"/>
        <v>2989673.0996480393</v>
      </c>
      <c r="AZ403" s="2">
        <f t="shared" ca="1" si="422"/>
        <v>3388701.2732304013</v>
      </c>
      <c r="BA403" s="2">
        <f t="shared" ca="1" si="423"/>
        <v>62990583.465665355</v>
      </c>
      <c r="BB403" s="2">
        <f t="shared" ca="1" si="424"/>
        <v>1259811.6693133072</v>
      </c>
      <c r="BC403" s="2">
        <f t="shared" ca="1" si="425"/>
        <v>33644370.453927979</v>
      </c>
      <c r="BD403" s="2">
        <f t="shared" ca="1" si="426"/>
        <v>-20394534.284217052</v>
      </c>
      <c r="BE403" s="2">
        <f t="shared" ca="1" si="427"/>
        <v>1967711.5790451909</v>
      </c>
      <c r="BF403" s="2">
        <f t="shared" ca="1" si="428"/>
        <v>2280144.4726746646</v>
      </c>
      <c r="BG403" s="2">
        <f t="shared" ca="1" si="429"/>
        <v>2620919.8347871075</v>
      </c>
      <c r="BH403" s="2">
        <f t="shared" ca="1" si="430"/>
        <v>2989673.0996480393</v>
      </c>
      <c r="BI403" s="2">
        <f t="shared" ca="1" si="431"/>
        <v>37033071.727158383</v>
      </c>
      <c r="BJ403" s="2">
        <f t="shared" ca="1" si="432"/>
        <v>0.20917347304712797</v>
      </c>
      <c r="BK403" s="2">
        <f t="shared" ca="1" si="433"/>
        <v>7959137.9883578196</v>
      </c>
    </row>
    <row r="404" spans="1:63" x14ac:dyDescent="0.3">
      <c r="A404" s="2">
        <v>403</v>
      </c>
      <c r="B404" s="2">
        <f t="shared" ca="1" si="372"/>
        <v>0.5462506146839361</v>
      </c>
      <c r="C404" s="2">
        <f t="shared" ca="1" si="373"/>
        <v>7.0473727010881291</v>
      </c>
      <c r="D404" s="2">
        <f t="shared" ca="1" si="374"/>
        <v>0.2268770483835415</v>
      </c>
      <c r="E404" s="2">
        <f t="shared" ca="1" si="375"/>
        <v>7.1736127201642521</v>
      </c>
      <c r="F404" s="2">
        <f t="shared" ca="1" si="376"/>
        <v>0.29339742241322653</v>
      </c>
      <c r="G404" s="2">
        <f t="shared" ca="1" si="377"/>
        <v>2.3695403320537094E-2</v>
      </c>
      <c r="H404" s="2">
        <f t="shared" ca="1" si="378"/>
        <v>2.3695403320537094E-2</v>
      </c>
      <c r="I404" s="2">
        <f t="shared" ca="1" si="379"/>
        <v>0.23493890108936044</v>
      </c>
      <c r="J404" s="2">
        <f t="shared" ca="1" si="380"/>
        <v>6.3866105483996391E-3</v>
      </c>
      <c r="K404" s="2">
        <f t="shared" ca="1" si="381"/>
        <v>6.3866105483996391E-3</v>
      </c>
      <c r="L404" s="2">
        <f t="shared" ca="1" si="382"/>
        <v>6.7161745956981656E-2</v>
      </c>
      <c r="M404" s="2">
        <f t="shared" ca="1" si="383"/>
        <v>-2.994536353028809E-2</v>
      </c>
      <c r="N404" s="2">
        <f t="shared" ca="1" si="384"/>
        <v>-2.994536353028809E-2</v>
      </c>
      <c r="O404" s="2">
        <f t="shared" si="385"/>
        <v>6000000</v>
      </c>
      <c r="P404" s="2">
        <f t="shared" ca="1" si="386"/>
        <v>42284236.206528775</v>
      </c>
      <c r="Q404" s="2">
        <f t="shared" ca="1" si="387"/>
        <v>1057105.9051632194</v>
      </c>
      <c r="R404" s="2">
        <f t="shared" ca="1" si="388"/>
        <v>25370541.723917264</v>
      </c>
      <c r="S404" s="2">
        <f t="shared" ca="1" si="389"/>
        <v>16913694.482611511</v>
      </c>
      <c r="T404" s="2">
        <f t="shared" ca="1" si="390"/>
        <v>48502731.823485598</v>
      </c>
      <c r="U404" s="2">
        <f t="shared" ca="1" si="391"/>
        <v>49652023.616190933</v>
      </c>
      <c r="V404" s="2">
        <f t="shared" ca="1" si="392"/>
        <v>50828548.341457404</v>
      </c>
      <c r="W404" s="2">
        <f t="shared" ca="1" si="393"/>
        <v>52032951.29460565</v>
      </c>
      <c r="X404" s="2">
        <f t="shared" ca="1" si="394"/>
        <v>53265893.061489187</v>
      </c>
      <c r="Y404" s="2">
        <f t="shared" ca="1" si="395"/>
        <v>0.12319330527419982</v>
      </c>
      <c r="Z404" s="2">
        <f t="shared" ca="1" si="396"/>
        <v>0.12447062738387975</v>
      </c>
      <c r="AA404" s="2">
        <f t="shared" ca="1" si="397"/>
        <v>5975211.8481633076</v>
      </c>
      <c r="AB404" s="2">
        <f t="shared" ca="1" si="398"/>
        <v>6180218.5303864991</v>
      </c>
      <c r="AC404" s="2">
        <f t="shared" ca="1" si="399"/>
        <v>6326661.3010730632</v>
      </c>
      <c r="AD404" s="2">
        <f t="shared" ca="1" si="400"/>
        <v>6476574.0922744228</v>
      </c>
      <c r="AE404" s="2">
        <f t="shared" ca="1" si="401"/>
        <v>6630039.127526206</v>
      </c>
      <c r="AF404" s="2">
        <f t="shared" ca="1" si="402"/>
        <v>970054.63646971202</v>
      </c>
      <c r="AG404" s="2">
        <f t="shared" ca="1" si="403"/>
        <v>993040.47232381871</v>
      </c>
      <c r="AH404" s="2">
        <f t="shared" ca="1" si="404"/>
        <v>1016570.9668291481</v>
      </c>
      <c r="AI404" s="2">
        <f t="shared" ca="1" si="405"/>
        <v>1040659.025892113</v>
      </c>
      <c r="AJ404" s="2">
        <f t="shared" ca="1" si="406"/>
        <v>1065317.8612297839</v>
      </c>
      <c r="AK404" s="2">
        <f t="shared" ca="1" si="407"/>
        <v>0</v>
      </c>
      <c r="AL404" s="2">
        <f t="shared" ca="1" si="408"/>
        <v>11492.917927053348</v>
      </c>
      <c r="AM404" s="2">
        <f t="shared" ca="1" si="409"/>
        <v>11765.247252664716</v>
      </c>
      <c r="AN404" s="2">
        <f t="shared" ca="1" si="410"/>
        <v>12044.029531482458</v>
      </c>
      <c r="AO404" s="2">
        <f t="shared" ca="1" si="411"/>
        <v>12329.417668835373</v>
      </c>
      <c r="AP404" s="2">
        <f t="shared" ca="1" si="412"/>
        <v>2283348.7551525538</v>
      </c>
      <c r="AQ404" s="2">
        <f t="shared" ca="1" si="413"/>
        <v>707670.19870067097</v>
      </c>
      <c r="AR404" s="2">
        <f t="shared" ca="1" si="414"/>
        <v>754995.6187566329</v>
      </c>
      <c r="AS404" s="2">
        <f t="shared" ca="1" si="415"/>
        <v>786952.81056375394</v>
      </c>
      <c r="AT404" s="2">
        <f t="shared" ca="1" si="416"/>
        <v>819667.24091973645</v>
      </c>
      <c r="AU404" s="2">
        <f t="shared" ca="1" si="417"/>
        <v>853156.85289740574</v>
      </c>
      <c r="AV404" s="2">
        <f t="shared" ca="1" si="418"/>
        <v>2014138.2578403712</v>
      </c>
      <c r="AW404" s="2">
        <f t="shared" ca="1" si="419"/>
        <v>2137340.7662264393</v>
      </c>
      <c r="AX404" s="2">
        <f t="shared" ca="1" si="420"/>
        <v>2228023.5212749424</v>
      </c>
      <c r="AY404" s="2">
        <f t="shared" ca="1" si="421"/>
        <v>2320855.0407785368</v>
      </c>
      <c r="AZ404" s="2">
        <f t="shared" ca="1" si="422"/>
        <v>2415886.2405776274</v>
      </c>
      <c r="BA404" s="2">
        <f t="shared" ca="1" si="423"/>
        <v>47561333.02040869</v>
      </c>
      <c r="BB404" s="2">
        <f t="shared" ca="1" si="424"/>
        <v>951226.6604081738</v>
      </c>
      <c r="BC404" s="2">
        <f t="shared" ca="1" si="425"/>
        <v>21239564.636083253</v>
      </c>
      <c r="BD404" s="2">
        <f t="shared" ca="1" si="426"/>
        <v>-18470800.387774732</v>
      </c>
      <c r="BE404" s="2">
        <f t="shared" ca="1" si="427"/>
        <v>2014138.2578403712</v>
      </c>
      <c r="BF404" s="2">
        <f t="shared" ca="1" si="428"/>
        <v>2137340.7662264393</v>
      </c>
      <c r="BG404" s="2">
        <f t="shared" ca="1" si="429"/>
        <v>2228023.5212749424</v>
      </c>
      <c r="BH404" s="2">
        <f t="shared" ca="1" si="430"/>
        <v>2320855.0407785368</v>
      </c>
      <c r="BI404" s="2">
        <f t="shared" ca="1" si="431"/>
        <v>23655450.87666088</v>
      </c>
      <c r="BJ404" s="2">
        <f t="shared" ca="1" si="432"/>
        <v>0.14156315814133658</v>
      </c>
      <c r="BK404" s="2">
        <f t="shared" ca="1" si="433"/>
        <v>1514958.8969441988</v>
      </c>
    </row>
    <row r="405" spans="1:63" x14ac:dyDescent="0.3">
      <c r="A405" s="2">
        <v>404</v>
      </c>
      <c r="B405" s="2">
        <f t="shared" ca="1" si="372"/>
        <v>0.81054132004683277</v>
      </c>
      <c r="C405" s="2">
        <f t="shared" ca="1" si="373"/>
        <v>7.3844373631332596</v>
      </c>
      <c r="D405" s="2">
        <f t="shared" ca="1" si="374"/>
        <v>0.60666809778514474</v>
      </c>
      <c r="E405" s="2">
        <f t="shared" ca="1" si="375"/>
        <v>7.6130593004999092</v>
      </c>
      <c r="F405" s="2">
        <f t="shared" ca="1" si="376"/>
        <v>0.13464737929139015</v>
      </c>
      <c r="G405" s="2">
        <f t="shared" ca="1" si="377"/>
        <v>6.8593567953212087E-3</v>
      </c>
      <c r="H405" s="2">
        <f t="shared" ca="1" si="378"/>
        <v>6.8593567953212087E-3</v>
      </c>
      <c r="I405" s="2">
        <f t="shared" ca="1" si="379"/>
        <v>0.76670870911178068</v>
      </c>
      <c r="J405" s="2">
        <f t="shared" ca="1" si="380"/>
        <v>1.3640253248843427E-2</v>
      </c>
      <c r="K405" s="2">
        <f t="shared" ca="1" si="381"/>
        <v>1.3640253248843427E-2</v>
      </c>
      <c r="L405" s="2">
        <f t="shared" ca="1" si="382"/>
        <v>0.38953495674387761</v>
      </c>
      <c r="M405" s="2">
        <f t="shared" ca="1" si="383"/>
        <v>-5.6106260441110044E-3</v>
      </c>
      <c r="N405" s="2">
        <f t="shared" ca="1" si="384"/>
        <v>-5.6106260441110044E-3</v>
      </c>
      <c r="O405" s="2">
        <f t="shared" si="385"/>
        <v>6000000</v>
      </c>
      <c r="P405" s="2">
        <f t="shared" ca="1" si="386"/>
        <v>44306624.178799555</v>
      </c>
      <c r="Q405" s="2">
        <f t="shared" ca="1" si="387"/>
        <v>1107665.604469989</v>
      </c>
      <c r="R405" s="2">
        <f t="shared" ca="1" si="388"/>
        <v>26583974.507279731</v>
      </c>
      <c r="S405" s="2">
        <f t="shared" ca="1" si="389"/>
        <v>17722649.671519823</v>
      </c>
      <c r="T405" s="2">
        <f t="shared" ca="1" si="390"/>
        <v>49719468.697794452</v>
      </c>
      <c r="U405" s="2">
        <f t="shared" ca="1" si="391"/>
        <v>50060512.273266427</v>
      </c>
      <c r="V405" s="2">
        <f t="shared" ca="1" si="392"/>
        <v>50403895.188305318</v>
      </c>
      <c r="W405" s="2">
        <f t="shared" ca="1" si="393"/>
        <v>50749633.48927588</v>
      </c>
      <c r="X405" s="2">
        <f t="shared" ca="1" si="394"/>
        <v>51097743.332610607</v>
      </c>
      <c r="Y405" s="2">
        <f t="shared" ca="1" si="395"/>
        <v>0.12682012662442171</v>
      </c>
      <c r="Z405" s="2">
        <f t="shared" ca="1" si="396"/>
        <v>0.12954817727419038</v>
      </c>
      <c r="AA405" s="2">
        <f t="shared" ca="1" si="397"/>
        <v>6305429.315953264</v>
      </c>
      <c r="AB405" s="2">
        <f t="shared" ca="1" si="398"/>
        <v>6485248.1184139019</v>
      </c>
      <c r="AC405" s="2">
        <f t="shared" ca="1" si="399"/>
        <v>6529732.7491642889</v>
      </c>
      <c r="AD405" s="2">
        <f t="shared" ca="1" si="400"/>
        <v>6574522.5158689003</v>
      </c>
      <c r="AE405" s="2">
        <f t="shared" ca="1" si="401"/>
        <v>6619619.5115641188</v>
      </c>
      <c r="AF405" s="2">
        <f t="shared" ca="1" si="402"/>
        <v>994389.37395588902</v>
      </c>
      <c r="AG405" s="2">
        <f t="shared" ca="1" si="403"/>
        <v>1001210.2454653286</v>
      </c>
      <c r="AH405" s="2">
        <f t="shared" ca="1" si="404"/>
        <v>1008077.9037661063</v>
      </c>
      <c r="AI405" s="2">
        <f t="shared" ca="1" si="405"/>
        <v>1014992.6697855176</v>
      </c>
      <c r="AJ405" s="2">
        <f t="shared" ca="1" si="406"/>
        <v>1021954.8666522122</v>
      </c>
      <c r="AK405" s="2">
        <f t="shared" ca="1" si="407"/>
        <v>0</v>
      </c>
      <c r="AL405" s="2">
        <f t="shared" ca="1" si="408"/>
        <v>3410.4357547197492</v>
      </c>
      <c r="AM405" s="2">
        <f t="shared" ca="1" si="409"/>
        <v>3433.8291503889113</v>
      </c>
      <c r="AN405" s="2">
        <f t="shared" ca="1" si="410"/>
        <v>3457.383009705618</v>
      </c>
      <c r="AO405" s="2">
        <f t="shared" ca="1" si="411"/>
        <v>3481.0984333472697</v>
      </c>
      <c r="AP405" s="2">
        <f t="shared" ca="1" si="412"/>
        <v>2392557.7056551757</v>
      </c>
      <c r="AQ405" s="2">
        <f t="shared" ca="1" si="413"/>
        <v>758805.38144897192</v>
      </c>
      <c r="AR405" s="2">
        <f t="shared" ca="1" si="414"/>
        <v>803784.84349628328</v>
      </c>
      <c r="AS405" s="2">
        <f t="shared" ca="1" si="415"/>
        <v>813565.25633318163</v>
      </c>
      <c r="AT405" s="2">
        <f t="shared" ca="1" si="416"/>
        <v>823412.75651133398</v>
      </c>
      <c r="AU405" s="2">
        <f t="shared" ca="1" si="417"/>
        <v>833327.80420675012</v>
      </c>
      <c r="AV405" s="2">
        <f t="shared" ca="1" si="418"/>
        <v>2159676.8548932276</v>
      </c>
      <c r="AW405" s="2">
        <f t="shared" ca="1" si="419"/>
        <v>2284284.8880423936</v>
      </c>
      <c r="AX405" s="2">
        <f t="shared" ca="1" si="420"/>
        <v>2312098.0542594357</v>
      </c>
      <c r="AY405" s="2">
        <f t="shared" ca="1" si="421"/>
        <v>2340102.0009071673</v>
      </c>
      <c r="AZ405" s="2">
        <f t="shared" ca="1" si="422"/>
        <v>2368298.0366166332</v>
      </c>
      <c r="BA405" s="2">
        <f t="shared" ca="1" si="423"/>
        <v>50395555.888283879</v>
      </c>
      <c r="BB405" s="2">
        <f t="shared" ca="1" si="424"/>
        <v>1007911.1177656776</v>
      </c>
      <c r="BC405" s="2">
        <f t="shared" ca="1" si="425"/>
        <v>22803670.263238471</v>
      </c>
      <c r="BD405" s="2">
        <f t="shared" ca="1" si="426"/>
        <v>-19330315.275989812</v>
      </c>
      <c r="BE405" s="2">
        <f t="shared" ca="1" si="427"/>
        <v>2159676.8548932276</v>
      </c>
      <c r="BF405" s="2">
        <f t="shared" ca="1" si="428"/>
        <v>2284284.8880423936</v>
      </c>
      <c r="BG405" s="2">
        <f t="shared" ca="1" si="429"/>
        <v>2312098.0542594357</v>
      </c>
      <c r="BH405" s="2">
        <f t="shared" ca="1" si="430"/>
        <v>2340102.0009071673</v>
      </c>
      <c r="BI405" s="2">
        <f t="shared" ca="1" si="431"/>
        <v>25171968.299855106</v>
      </c>
      <c r="BJ405" s="2">
        <f t="shared" ca="1" si="432"/>
        <v>0.14486341175118866</v>
      </c>
      <c r="BK405" s="2">
        <f t="shared" ca="1" si="433"/>
        <v>1835119.2350471094</v>
      </c>
    </row>
    <row r="406" spans="1:63" x14ac:dyDescent="0.3">
      <c r="A406" s="2">
        <v>405</v>
      </c>
      <c r="B406" s="2">
        <f t="shared" ca="1" si="372"/>
        <v>0.46251763547507663</v>
      </c>
      <c r="C406" s="2">
        <f t="shared" ca="1" si="373"/>
        <v>6.9617875394026232</v>
      </c>
      <c r="D406" s="2">
        <f t="shared" ca="1" si="374"/>
        <v>0.18284201209014384</v>
      </c>
      <c r="E406" s="2">
        <f t="shared" ca="1" si="375"/>
        <v>7.1047181361430196</v>
      </c>
      <c r="F406" s="2">
        <f t="shared" ca="1" si="376"/>
        <v>0.22488367729379743</v>
      </c>
      <c r="G406" s="2">
        <f t="shared" ca="1" si="377"/>
        <v>1.7325911840201734E-2</v>
      </c>
      <c r="H406" s="2">
        <f t="shared" ca="1" si="378"/>
        <v>1.7325911840201734E-2</v>
      </c>
      <c r="I406" s="2">
        <f t="shared" ca="1" si="379"/>
        <v>0.41519001991530691</v>
      </c>
      <c r="J406" s="2">
        <f t="shared" ca="1" si="380"/>
        <v>8.9289291072922883E-3</v>
      </c>
      <c r="K406" s="2">
        <f t="shared" ca="1" si="381"/>
        <v>8.9289291072922883E-3</v>
      </c>
      <c r="L406" s="2">
        <f t="shared" ca="1" si="382"/>
        <v>0.63462181422267916</v>
      </c>
      <c r="M406" s="2">
        <f t="shared" ca="1" si="383"/>
        <v>6.8823912507269078E-3</v>
      </c>
      <c r="N406" s="2">
        <f t="shared" ca="1" si="384"/>
        <v>6.8823912507269078E-3</v>
      </c>
      <c r="O406" s="2">
        <f t="shared" si="385"/>
        <v>6000000</v>
      </c>
      <c r="P406" s="2">
        <f t="shared" ca="1" si="386"/>
        <v>41770725.236415736</v>
      </c>
      <c r="Q406" s="2">
        <f t="shared" ca="1" si="387"/>
        <v>1044268.1309103934</v>
      </c>
      <c r="R406" s="2">
        <f t="shared" ca="1" si="388"/>
        <v>25062435.14184944</v>
      </c>
      <c r="S406" s="2">
        <f t="shared" ca="1" si="389"/>
        <v>16708290.094566295</v>
      </c>
      <c r="T406" s="2">
        <f t="shared" ca="1" si="390"/>
        <v>50344119.562536351</v>
      </c>
      <c r="U406" s="2">
        <f t="shared" ca="1" si="391"/>
        <v>51216377.339749433</v>
      </c>
      <c r="V406" s="2">
        <f t="shared" ca="1" si="392"/>
        <v>52103747.778312445</v>
      </c>
      <c r="W406" s="2">
        <f t="shared" ca="1" si="393"/>
        <v>53006492.718863599</v>
      </c>
      <c r="X406" s="2">
        <f t="shared" ca="1" si="394"/>
        <v>53924878.538668931</v>
      </c>
      <c r="Y406" s="2">
        <f t="shared" ca="1" si="395"/>
        <v>0.12446446455364614</v>
      </c>
      <c r="Z406" s="2">
        <f t="shared" ca="1" si="396"/>
        <v>0.12625025037510459</v>
      </c>
      <c r="AA406" s="2">
        <f t="shared" ca="1" si="397"/>
        <v>6266053.8847758286</v>
      </c>
      <c r="AB406" s="2">
        <f t="shared" ca="1" si="398"/>
        <v>6466080.4624491995</v>
      </c>
      <c r="AC406" s="2">
        <f t="shared" ca="1" si="399"/>
        <v>6578111.2024932457</v>
      </c>
      <c r="AD406" s="2">
        <f t="shared" ca="1" si="400"/>
        <v>6692082.9772626879</v>
      </c>
      <c r="AE406" s="2">
        <f t="shared" ca="1" si="401"/>
        <v>6808029.4169540573</v>
      </c>
      <c r="AF406" s="2">
        <f t="shared" ca="1" si="402"/>
        <v>1006882.391250727</v>
      </c>
      <c r="AG406" s="2">
        <f t="shared" ca="1" si="403"/>
        <v>1024327.5467949887</v>
      </c>
      <c r="AH406" s="2">
        <f t="shared" ca="1" si="404"/>
        <v>1042074.955566249</v>
      </c>
      <c r="AI406" s="2">
        <f t="shared" ca="1" si="405"/>
        <v>1060129.8543772721</v>
      </c>
      <c r="AJ406" s="2">
        <f t="shared" ca="1" si="406"/>
        <v>1078497.5707733787</v>
      </c>
      <c r="AK406" s="2">
        <f t="shared" ca="1" si="407"/>
        <v>0</v>
      </c>
      <c r="AL406" s="2">
        <f t="shared" ca="1" si="408"/>
        <v>8722.5777721308168</v>
      </c>
      <c r="AM406" s="2">
        <f t="shared" ca="1" si="409"/>
        <v>8873.7043856301152</v>
      </c>
      <c r="AN406" s="2">
        <f t="shared" ca="1" si="410"/>
        <v>9027.4494055115429</v>
      </c>
      <c r="AO406" s="2">
        <f t="shared" ca="1" si="411"/>
        <v>9183.8581980533163</v>
      </c>
      <c r="AP406" s="2">
        <f t="shared" ca="1" si="412"/>
        <v>2255619.1627664496</v>
      </c>
      <c r="AQ406" s="2">
        <f t="shared" ca="1" si="413"/>
        <v>780923.6059972496</v>
      </c>
      <c r="AR406" s="2">
        <f t="shared" ca="1" si="414"/>
        <v>828394.77575081785</v>
      </c>
      <c r="AS406" s="2">
        <f t="shared" ca="1" si="415"/>
        <v>852908.44188174233</v>
      </c>
      <c r="AT406" s="2">
        <f t="shared" ca="1" si="416"/>
        <v>877846.82963093114</v>
      </c>
      <c r="AU406" s="2">
        <f t="shared" ca="1" si="417"/>
        <v>903217.29768769955</v>
      </c>
      <c r="AV406" s="2">
        <f t="shared" ca="1" si="418"/>
        <v>2222628.7247614027</v>
      </c>
      <c r="AW406" s="2">
        <f t="shared" ca="1" si="419"/>
        <v>2349016.3993648118</v>
      </c>
      <c r="AX406" s="2">
        <f t="shared" ca="1" si="420"/>
        <v>2418634.9378931751</v>
      </c>
      <c r="AY406" s="2">
        <f t="shared" ca="1" si="421"/>
        <v>2489459.681082523</v>
      </c>
      <c r="AZ406" s="2">
        <f t="shared" ca="1" si="422"/>
        <v>2561511.5275284755</v>
      </c>
      <c r="BA406" s="2">
        <f t="shared" ca="1" si="423"/>
        <v>48369130.070028678</v>
      </c>
      <c r="BB406" s="2">
        <f t="shared" ca="1" si="424"/>
        <v>967382.60140057362</v>
      </c>
      <c r="BC406" s="2">
        <f t="shared" ca="1" si="425"/>
        <v>22339312.326778665</v>
      </c>
      <c r="BD406" s="2">
        <f t="shared" ca="1" si="426"/>
        <v>-18252558.22547669</v>
      </c>
      <c r="BE406" s="2">
        <f t="shared" ca="1" si="427"/>
        <v>2222628.7247614027</v>
      </c>
      <c r="BF406" s="2">
        <f t="shared" ca="1" si="428"/>
        <v>2349016.3993648118</v>
      </c>
      <c r="BG406" s="2">
        <f t="shared" ca="1" si="429"/>
        <v>2418634.9378931751</v>
      </c>
      <c r="BH406" s="2">
        <f t="shared" ca="1" si="430"/>
        <v>2489459.681082523</v>
      </c>
      <c r="BI406" s="2">
        <f t="shared" ca="1" si="431"/>
        <v>24900823.854307141</v>
      </c>
      <c r="BJ406" s="2">
        <f t="shared" ca="1" si="432"/>
        <v>0.16295409813800332</v>
      </c>
      <c r="BK406" s="2">
        <f t="shared" ca="1" si="433"/>
        <v>3037582.5918903984</v>
      </c>
    </row>
    <row r="407" spans="1:63" x14ac:dyDescent="0.3">
      <c r="A407" s="2">
        <v>406</v>
      </c>
      <c r="B407" s="2">
        <f t="shared" ca="1" si="372"/>
        <v>0.78010928188966489</v>
      </c>
      <c r="C407" s="2">
        <f t="shared" ca="1" si="373"/>
        <v>7.3368398110405977</v>
      </c>
      <c r="D407" s="2">
        <f t="shared" ca="1" si="374"/>
        <v>0.67310702935208178</v>
      </c>
      <c r="E407" s="2">
        <f t="shared" ca="1" si="375"/>
        <v>7.69142969304096</v>
      </c>
      <c r="F407" s="2">
        <f t="shared" ca="1" si="376"/>
        <v>7.3318730615816841E-2</v>
      </c>
      <c r="G407" s="2">
        <f t="shared" ca="1" si="377"/>
        <v>-3.5453472751726528E-3</v>
      </c>
      <c r="H407" s="2">
        <f t="shared" ca="1" si="378"/>
        <v>-3.5453472751726528E-3</v>
      </c>
      <c r="I407" s="2">
        <f t="shared" ca="1" si="379"/>
        <v>0.63066754151148807</v>
      </c>
      <c r="J407" s="2">
        <f t="shared" ca="1" si="380"/>
        <v>1.1668109323928855E-2</v>
      </c>
      <c r="K407" s="2">
        <f t="shared" ca="1" si="381"/>
        <v>1.1668109323928855E-2</v>
      </c>
      <c r="L407" s="2">
        <f t="shared" ca="1" si="382"/>
        <v>7.9635516756045077E-2</v>
      </c>
      <c r="M407" s="2">
        <f t="shared" ca="1" si="383"/>
        <v>-2.8150549671284379E-2</v>
      </c>
      <c r="N407" s="2">
        <f t="shared" ca="1" si="384"/>
        <v>-2.8150549671284379E-2</v>
      </c>
      <c r="O407" s="2">
        <f t="shared" si="385"/>
        <v>6000000</v>
      </c>
      <c r="P407" s="2">
        <f t="shared" ca="1" si="386"/>
        <v>44021038.866243586</v>
      </c>
      <c r="Q407" s="2">
        <f t="shared" ca="1" si="387"/>
        <v>1100525.9716560896</v>
      </c>
      <c r="R407" s="2">
        <f t="shared" ca="1" si="388"/>
        <v>26412623.319746152</v>
      </c>
      <c r="S407" s="2">
        <f t="shared" ca="1" si="389"/>
        <v>17608415.546497434</v>
      </c>
      <c r="T407" s="2">
        <f t="shared" ca="1" si="390"/>
        <v>48592472.51643578</v>
      </c>
      <c r="U407" s="2">
        <f t="shared" ca="1" si="391"/>
        <v>48420195.326405734</v>
      </c>
      <c r="V407" s="2">
        <f t="shared" ca="1" si="392"/>
        <v>48248528.918841936</v>
      </c>
      <c r="W407" s="2">
        <f t="shared" ca="1" si="393"/>
        <v>48077471.12830843</v>
      </c>
      <c r="X407" s="2">
        <f t="shared" ca="1" si="394"/>
        <v>47907019.79704649</v>
      </c>
      <c r="Y407" s="2">
        <f t="shared" ca="1" si="395"/>
        <v>0.12583405466196443</v>
      </c>
      <c r="Z407" s="2">
        <f t="shared" ca="1" si="396"/>
        <v>0.12816767652675021</v>
      </c>
      <c r="AA407" s="2">
        <f t="shared" ca="1" si="397"/>
        <v>6114587.8427931843</v>
      </c>
      <c r="AB407" s="2">
        <f t="shared" ca="1" si="398"/>
        <v>6205903.9319568323</v>
      </c>
      <c r="AC407" s="2">
        <f t="shared" ca="1" si="399"/>
        <v>6183901.8473616857</v>
      </c>
      <c r="AD407" s="2">
        <f t="shared" ca="1" si="400"/>
        <v>6161977.7677972075</v>
      </c>
      <c r="AE407" s="2">
        <f t="shared" ca="1" si="401"/>
        <v>6140131.4167084731</v>
      </c>
      <c r="AF407" s="2">
        <f t="shared" ca="1" si="402"/>
        <v>971849.45032871561</v>
      </c>
      <c r="AG407" s="2">
        <f t="shared" ca="1" si="403"/>
        <v>968403.90652811469</v>
      </c>
      <c r="AH407" s="2">
        <f t="shared" ca="1" si="404"/>
        <v>964970.5783768387</v>
      </c>
      <c r="AI407" s="2">
        <f t="shared" ca="1" si="405"/>
        <v>961549.42256616859</v>
      </c>
      <c r="AJ407" s="2">
        <f t="shared" ca="1" si="406"/>
        <v>958140.39594092977</v>
      </c>
      <c r="AK407" s="2">
        <f t="shared" ca="1" si="407"/>
        <v>0</v>
      </c>
      <c r="AL407" s="2">
        <f t="shared" ca="1" si="408"/>
        <v>0</v>
      </c>
      <c r="AM407" s="2">
        <f t="shared" ca="1" si="409"/>
        <v>0</v>
      </c>
      <c r="AN407" s="2">
        <f t="shared" ca="1" si="410"/>
        <v>0</v>
      </c>
      <c r="AO407" s="2">
        <f t="shared" ca="1" si="411"/>
        <v>0</v>
      </c>
      <c r="AP407" s="2">
        <f t="shared" ca="1" si="412"/>
        <v>2377136.0987771535</v>
      </c>
      <c r="AQ407" s="2">
        <f t="shared" ca="1" si="413"/>
        <v>719056.59635870182</v>
      </c>
      <c r="AR407" s="2">
        <f t="shared" ca="1" si="414"/>
        <v>743694.62092940672</v>
      </c>
      <c r="AS407" s="2">
        <f t="shared" ca="1" si="415"/>
        <v>738866.74425400025</v>
      </c>
      <c r="AT407" s="2">
        <f t="shared" ca="1" si="416"/>
        <v>734055.98407801008</v>
      </c>
      <c r="AU407" s="2">
        <f t="shared" ca="1" si="417"/>
        <v>729262.27971750137</v>
      </c>
      <c r="AV407" s="2">
        <f t="shared" ca="1" si="418"/>
        <v>2046545.6973286131</v>
      </c>
      <c r="AW407" s="2">
        <f t="shared" ca="1" si="419"/>
        <v>2116669.3057221575</v>
      </c>
      <c r="AX407" s="2">
        <f t="shared" ca="1" si="420"/>
        <v>2102928.4259536928</v>
      </c>
      <c r="AY407" s="2">
        <f t="shared" ca="1" si="421"/>
        <v>2089236.2623758754</v>
      </c>
      <c r="AZ407" s="2">
        <f t="shared" ca="1" si="422"/>
        <v>2075592.6422728887</v>
      </c>
      <c r="BA407" s="2">
        <f t="shared" ca="1" si="423"/>
        <v>47226389.097645208</v>
      </c>
      <c r="BB407" s="2">
        <f t="shared" ca="1" si="424"/>
        <v>944527.78195290419</v>
      </c>
      <c r="BC407" s="2">
        <f t="shared" ca="1" si="425"/>
        <v>19869237.995946154</v>
      </c>
      <c r="BD407" s="2">
        <f t="shared" ca="1" si="426"/>
        <v>-19208941.518153526</v>
      </c>
      <c r="BE407" s="2">
        <f t="shared" ca="1" si="427"/>
        <v>2046545.6973286131</v>
      </c>
      <c r="BF407" s="2">
        <f t="shared" ca="1" si="428"/>
        <v>2116669.3057221575</v>
      </c>
      <c r="BG407" s="2">
        <f t="shared" ca="1" si="429"/>
        <v>2102928.4259536928</v>
      </c>
      <c r="BH407" s="2">
        <f t="shared" ca="1" si="430"/>
        <v>2089236.2623758754</v>
      </c>
      <c r="BI407" s="2">
        <f t="shared" ca="1" si="431"/>
        <v>21944830.638219044</v>
      </c>
      <c r="BJ407" s="2">
        <f t="shared" ca="1" si="432"/>
        <v>0.11403615929718458</v>
      </c>
      <c r="BK407" s="2">
        <f t="shared" ca="1" si="433"/>
        <v>-417616.18350844458</v>
      </c>
    </row>
    <row r="408" spans="1:63" x14ac:dyDescent="0.3">
      <c r="A408" s="2">
        <v>407</v>
      </c>
      <c r="B408" s="2">
        <f t="shared" ca="1" si="372"/>
        <v>0.15063546337759481</v>
      </c>
      <c r="C408" s="2">
        <f t="shared" ca="1" si="373"/>
        <v>6.5488815234230326</v>
      </c>
      <c r="D408" s="2">
        <f t="shared" ca="1" si="374"/>
        <v>0.35655653073049587</v>
      </c>
      <c r="E408" s="2">
        <f t="shared" ca="1" si="375"/>
        <v>7.3444602189925776</v>
      </c>
      <c r="F408" s="2">
        <f t="shared" ca="1" si="376"/>
        <v>0.30932277903127747</v>
      </c>
      <c r="G408" s="2">
        <f t="shared" ca="1" si="377"/>
        <v>2.5066874245270751E-2</v>
      </c>
      <c r="H408" s="2">
        <f t="shared" ca="1" si="378"/>
        <v>2.5066874245270751E-2</v>
      </c>
      <c r="I408" s="2">
        <f t="shared" ca="1" si="379"/>
        <v>0.65921938207917863</v>
      </c>
      <c r="J408" s="2">
        <f t="shared" ca="1" si="380"/>
        <v>1.2051668079876477E-2</v>
      </c>
      <c r="K408" s="2">
        <f t="shared" ca="1" si="381"/>
        <v>1.2051668079876477E-2</v>
      </c>
      <c r="L408" s="2">
        <f t="shared" ca="1" si="382"/>
        <v>0.39615711844000734</v>
      </c>
      <c r="M408" s="2">
        <f t="shared" ca="1" si="383"/>
        <v>-5.2661329390538839E-3</v>
      </c>
      <c r="N408" s="2">
        <f t="shared" ca="1" si="384"/>
        <v>-5.2661329390538839E-3</v>
      </c>
      <c r="O408" s="2">
        <f t="shared" si="385"/>
        <v>6000000</v>
      </c>
      <c r="P408" s="2">
        <f t="shared" ca="1" si="386"/>
        <v>39293289.140538193</v>
      </c>
      <c r="Q408" s="2">
        <f t="shared" ca="1" si="387"/>
        <v>982332.2285134549</v>
      </c>
      <c r="R408" s="2">
        <f t="shared" ca="1" si="388"/>
        <v>23575973.484322917</v>
      </c>
      <c r="S408" s="2">
        <f t="shared" ca="1" si="389"/>
        <v>15717315.656215278</v>
      </c>
      <c r="T408" s="2">
        <f t="shared" ca="1" si="390"/>
        <v>49736693.353047304</v>
      </c>
      <c r="U408" s="2">
        <f t="shared" ca="1" si="391"/>
        <v>50983436.790703729</v>
      </c>
      <c r="V408" s="2">
        <f t="shared" ca="1" si="392"/>
        <v>52261432.189328007</v>
      </c>
      <c r="W408" s="2">
        <f t="shared" ca="1" si="393"/>
        <v>53571462.937895633</v>
      </c>
      <c r="X408" s="2">
        <f t="shared" ca="1" si="394"/>
        <v>54914332.062495038</v>
      </c>
      <c r="Y408" s="2">
        <f t="shared" ca="1" si="395"/>
        <v>0.12602583403993822</v>
      </c>
      <c r="Z408" s="2">
        <f t="shared" ca="1" si="396"/>
        <v>0.12843616765591354</v>
      </c>
      <c r="AA408" s="2">
        <f t="shared" ca="1" si="397"/>
        <v>6268108.262206438</v>
      </c>
      <c r="AB408" s="2">
        <f t="shared" ca="1" si="398"/>
        <v>6548117.2353254948</v>
      </c>
      <c r="AC408" s="2">
        <f t="shared" ca="1" si="399"/>
        <v>6712258.0666066883</v>
      </c>
      <c r="AD408" s="2">
        <f t="shared" ca="1" si="400"/>
        <v>6880513.3954641223</v>
      </c>
      <c r="AE408" s="2">
        <f t="shared" ca="1" si="401"/>
        <v>7052986.359491121</v>
      </c>
      <c r="AF408" s="2">
        <f t="shared" ca="1" si="402"/>
        <v>994733.86706094607</v>
      </c>
      <c r="AG408" s="2">
        <f t="shared" ca="1" si="403"/>
        <v>1019668.7358140746</v>
      </c>
      <c r="AH408" s="2">
        <f t="shared" ca="1" si="404"/>
        <v>1045228.6437865602</v>
      </c>
      <c r="AI408" s="2">
        <f t="shared" ca="1" si="405"/>
        <v>1071429.2587579128</v>
      </c>
      <c r="AJ408" s="2">
        <f t="shared" ca="1" si="406"/>
        <v>1098286.6412499007</v>
      </c>
      <c r="AK408" s="2">
        <f t="shared" ca="1" si="407"/>
        <v>0</v>
      </c>
      <c r="AL408" s="2">
        <f t="shared" ca="1" si="408"/>
        <v>12467.43437656425</v>
      </c>
      <c r="AM408" s="2">
        <f t="shared" ca="1" si="409"/>
        <v>12779.953986242786</v>
      </c>
      <c r="AN408" s="2">
        <f t="shared" ca="1" si="410"/>
        <v>13100.30748567626</v>
      </c>
      <c r="AO408" s="2">
        <f t="shared" ca="1" si="411"/>
        <v>13428.691245994047</v>
      </c>
      <c r="AP408" s="2">
        <f t="shared" ca="1" si="412"/>
        <v>2121837.6135890624</v>
      </c>
      <c r="AQ408" s="2">
        <f t="shared" ca="1" si="413"/>
        <v>819399.56320467161</v>
      </c>
      <c r="AR408" s="2">
        <f t="shared" ca="1" si="414"/>
        <v>885718.83033981291</v>
      </c>
      <c r="AS408" s="2">
        <f t="shared" ca="1" si="415"/>
        <v>921749.8704000772</v>
      </c>
      <c r="AT408" s="2">
        <f t="shared" ca="1" si="416"/>
        <v>958684.09601045831</v>
      </c>
      <c r="AU408" s="2">
        <f t="shared" ca="1" si="417"/>
        <v>996544.14720956108</v>
      </c>
      <c r="AV408" s="2">
        <f t="shared" ca="1" si="418"/>
        <v>2332137.2183517581</v>
      </c>
      <c r="AW408" s="2">
        <f t="shared" ca="1" si="419"/>
        <v>2508424.6212059809</v>
      </c>
      <c r="AX408" s="2">
        <f t="shared" ca="1" si="420"/>
        <v>2610661.984844747</v>
      </c>
      <c r="AY408" s="2">
        <f t="shared" ca="1" si="421"/>
        <v>2715462.1196210124</v>
      </c>
      <c r="AZ408" s="2">
        <f t="shared" ca="1" si="422"/>
        <v>2822889.266196603</v>
      </c>
      <c r="BA408" s="2">
        <f t="shared" ca="1" si="423"/>
        <v>51800377.742379822</v>
      </c>
      <c r="BB408" s="2">
        <f t="shared" ca="1" si="424"/>
        <v>1036007.5548475964</v>
      </c>
      <c r="BC408" s="2">
        <f t="shared" ca="1" si="425"/>
        <v>27188396.703209307</v>
      </c>
      <c r="BD408" s="2">
        <f t="shared" ca="1" si="426"/>
        <v>-17199647.884728733</v>
      </c>
      <c r="BE408" s="2">
        <f t="shared" ca="1" si="427"/>
        <v>2332137.2183517581</v>
      </c>
      <c r="BF408" s="2">
        <f t="shared" ca="1" si="428"/>
        <v>2508424.6212059809</v>
      </c>
      <c r="BG408" s="2">
        <f t="shared" ca="1" si="429"/>
        <v>2610661.984844747</v>
      </c>
      <c r="BH408" s="2">
        <f t="shared" ca="1" si="430"/>
        <v>2715462.1196210124</v>
      </c>
      <c r="BI408" s="2">
        <f t="shared" ca="1" si="431"/>
        <v>30011285.969405912</v>
      </c>
      <c r="BJ408" s="2">
        <f t="shared" ca="1" si="432"/>
        <v>0.22289170146964588</v>
      </c>
      <c r="BK408" s="2">
        <f t="shared" ca="1" si="433"/>
        <v>7495470.7755874731</v>
      </c>
    </row>
    <row r="409" spans="1:63" x14ac:dyDescent="0.3">
      <c r="A409" s="2">
        <v>408</v>
      </c>
      <c r="B409" s="2">
        <f t="shared" ca="1" si="372"/>
        <v>0.95181346640921438</v>
      </c>
      <c r="C409" s="2">
        <f t="shared" ca="1" si="373"/>
        <v>7.6895598814882788</v>
      </c>
      <c r="D409" s="2">
        <f t="shared" ca="1" si="374"/>
        <v>0.66270204661883081</v>
      </c>
      <c r="E409" s="2">
        <f t="shared" ca="1" si="375"/>
        <v>7.67866212387207</v>
      </c>
      <c r="F409" s="2">
        <f t="shared" ca="1" si="376"/>
        <v>0.94513130742922646</v>
      </c>
      <c r="G409" s="2">
        <f t="shared" ca="1" si="377"/>
        <v>8.7981239008626796E-2</v>
      </c>
      <c r="H409" s="2">
        <f t="shared" ca="1" si="378"/>
        <v>8.7981239008626796E-2</v>
      </c>
      <c r="I409" s="2">
        <f t="shared" ca="1" si="379"/>
        <v>0.57624926111748265</v>
      </c>
      <c r="J409" s="2">
        <f t="shared" ca="1" si="380"/>
        <v>1.0961536645445311E-2</v>
      </c>
      <c r="K409" s="2">
        <f t="shared" ca="1" si="381"/>
        <v>1.0961536645445311E-2</v>
      </c>
      <c r="L409" s="2">
        <f t="shared" ca="1" si="382"/>
        <v>0.79946850358737609</v>
      </c>
      <c r="M409" s="2">
        <f t="shared" ca="1" si="383"/>
        <v>1.6794485756497984E-2</v>
      </c>
      <c r="N409" s="2">
        <f t="shared" ca="1" si="384"/>
        <v>1.6794485756497984E-2</v>
      </c>
      <c r="O409" s="2">
        <f t="shared" si="385"/>
        <v>6000000</v>
      </c>
      <c r="P409" s="2">
        <f t="shared" ca="1" si="386"/>
        <v>46137359.288929671</v>
      </c>
      <c r="Q409" s="2">
        <f t="shared" ca="1" si="387"/>
        <v>1153433.9822232418</v>
      </c>
      <c r="R409" s="2">
        <f t="shared" ca="1" si="388"/>
        <v>27682415.573357802</v>
      </c>
      <c r="S409" s="2">
        <f t="shared" ca="1" si="389"/>
        <v>18454943.715571869</v>
      </c>
      <c r="T409" s="2">
        <f t="shared" ca="1" si="390"/>
        <v>50839724.287824892</v>
      </c>
      <c r="U409" s="2">
        <f t="shared" ca="1" si="391"/>
        <v>55312666.221524701</v>
      </c>
      <c r="V409" s="2">
        <f t="shared" ca="1" si="392"/>
        <v>60179143.128565058</v>
      </c>
      <c r="W409" s="2">
        <f t="shared" ca="1" si="393"/>
        <v>65473778.703493699</v>
      </c>
      <c r="X409" s="2">
        <f t="shared" ca="1" si="394"/>
        <v>71234242.876403719</v>
      </c>
      <c r="Y409" s="2">
        <f t="shared" ca="1" si="395"/>
        <v>0.12548076832272265</v>
      </c>
      <c r="Z409" s="2">
        <f t="shared" ca="1" si="396"/>
        <v>0.12767307565181171</v>
      </c>
      <c r="AA409" s="2">
        <f t="shared" ca="1" si="397"/>
        <v>6379407.6649516504</v>
      </c>
      <c r="AB409" s="2">
        <f t="shared" ca="1" si="398"/>
        <v>7061938.2190041337</v>
      </c>
      <c r="AC409" s="2">
        <f t="shared" ca="1" si="399"/>
        <v>7683256.2933144914</v>
      </c>
      <c r="AD409" s="2">
        <f t="shared" ca="1" si="400"/>
        <v>8359238.7016211301</v>
      </c>
      <c r="AE409" s="2">
        <f t="shared" ca="1" si="401"/>
        <v>9094694.8797586225</v>
      </c>
      <c r="AF409" s="2">
        <f t="shared" ca="1" si="402"/>
        <v>1016794.4857564978</v>
      </c>
      <c r="AG409" s="2">
        <f t="shared" ca="1" si="403"/>
        <v>1106253.3244304941</v>
      </c>
      <c r="AH409" s="2">
        <f t="shared" ca="1" si="404"/>
        <v>1203582.8625713012</v>
      </c>
      <c r="AI409" s="2">
        <f t="shared" ca="1" si="405"/>
        <v>1309475.5740698741</v>
      </c>
      <c r="AJ409" s="2">
        <f t="shared" ca="1" si="406"/>
        <v>1424684.8575280744</v>
      </c>
      <c r="AK409" s="2">
        <f t="shared" ca="1" si="407"/>
        <v>0</v>
      </c>
      <c r="AL409" s="2">
        <f t="shared" ca="1" si="408"/>
        <v>44729.419336998093</v>
      </c>
      <c r="AM409" s="2">
        <f t="shared" ca="1" si="409"/>
        <v>48664.769070403578</v>
      </c>
      <c r="AN409" s="2">
        <f t="shared" ca="1" si="410"/>
        <v>52946.355749286413</v>
      </c>
      <c r="AO409" s="2">
        <f t="shared" ca="1" si="411"/>
        <v>57604.6417291002</v>
      </c>
      <c r="AP409" s="2">
        <f t="shared" ca="1" si="412"/>
        <v>2491417.4016022021</v>
      </c>
      <c r="AQ409" s="2">
        <f t="shared" ca="1" si="413"/>
        <v>746510.9021741671</v>
      </c>
      <c r="AR409" s="2">
        <f t="shared" ca="1" si="414"/>
        <v>900709.54817257391</v>
      </c>
      <c r="AS409" s="2">
        <f t="shared" ca="1" si="415"/>
        <v>1036946.567576657</v>
      </c>
      <c r="AT409" s="2">
        <f t="shared" ca="1" si="416"/>
        <v>1185169.888746754</v>
      </c>
      <c r="AU409" s="2">
        <f t="shared" ca="1" si="417"/>
        <v>1346434.0813633699</v>
      </c>
      <c r="AV409" s="2">
        <f t="shared" ca="1" si="418"/>
        <v>2124684.8754187832</v>
      </c>
      <c r="AW409" s="2">
        <f t="shared" ca="1" si="419"/>
        <v>2518828.5254618665</v>
      </c>
      <c r="AX409" s="2">
        <f t="shared" ca="1" si="420"/>
        <v>2902644.6924939277</v>
      </c>
      <c r="AY409" s="2">
        <f t="shared" ca="1" si="421"/>
        <v>3320229.4814530127</v>
      </c>
      <c r="AZ409" s="2">
        <f t="shared" ca="1" si="422"/>
        <v>3774553.8975358754</v>
      </c>
      <c r="BA409" s="2">
        <f t="shared" ca="1" si="423"/>
        <v>69835089.101375788</v>
      </c>
      <c r="BB409" s="2">
        <f t="shared" ca="1" si="424"/>
        <v>1396701.7820275158</v>
      </c>
      <c r="BC409" s="2">
        <f t="shared" ca="1" si="425"/>
        <v>40755971.74599047</v>
      </c>
      <c r="BD409" s="2">
        <f t="shared" ca="1" si="426"/>
        <v>-20108377.697795112</v>
      </c>
      <c r="BE409" s="2">
        <f t="shared" ca="1" si="427"/>
        <v>2124684.8754187832</v>
      </c>
      <c r="BF409" s="2">
        <f t="shared" ca="1" si="428"/>
        <v>2518828.5254618665</v>
      </c>
      <c r="BG409" s="2">
        <f t="shared" ca="1" si="429"/>
        <v>2902644.6924939277</v>
      </c>
      <c r="BH409" s="2">
        <f t="shared" ca="1" si="430"/>
        <v>3320229.4814530127</v>
      </c>
      <c r="BI409" s="2">
        <f t="shared" ca="1" si="431"/>
        <v>44530525.643526345</v>
      </c>
      <c r="BJ409" s="2">
        <f t="shared" ca="1" si="432"/>
        <v>0.25932537340767525</v>
      </c>
      <c r="BK409" s="2">
        <f t="shared" ca="1" si="433"/>
        <v>13240584.216498453</v>
      </c>
    </row>
    <row r="410" spans="1:63" x14ac:dyDescent="0.3">
      <c r="A410" s="2">
        <v>409</v>
      </c>
      <c r="B410" s="2">
        <f t="shared" ca="1" si="372"/>
        <v>0.39899528456898614</v>
      </c>
      <c r="C410" s="2">
        <f t="shared" ca="1" si="373"/>
        <v>6.8933031787349535</v>
      </c>
      <c r="D410" s="2">
        <f t="shared" ca="1" si="374"/>
        <v>0.97273857451646828</v>
      </c>
      <c r="E410" s="2">
        <f t="shared" ca="1" si="375"/>
        <v>8.2664987131361727</v>
      </c>
      <c r="F410" s="2">
        <f t="shared" ca="1" si="376"/>
        <v>0.87031419917264963</v>
      </c>
      <c r="G410" s="2">
        <f t="shared" ca="1" si="377"/>
        <v>7.3836328956532249E-2</v>
      </c>
      <c r="H410" s="2">
        <f t="shared" ca="1" si="378"/>
        <v>7.3836328956532249E-2</v>
      </c>
      <c r="I410" s="2">
        <f t="shared" ca="1" si="379"/>
        <v>0.91153088312675778</v>
      </c>
      <c r="J410" s="2">
        <f t="shared" ca="1" si="380"/>
        <v>1.6751212124939793E-2</v>
      </c>
      <c r="K410" s="2">
        <f t="shared" ca="1" si="381"/>
        <v>1.6751212124939793E-2</v>
      </c>
      <c r="L410" s="2">
        <f t="shared" ca="1" si="382"/>
        <v>0.52716040904504069</v>
      </c>
      <c r="M410" s="2">
        <f t="shared" ca="1" si="383"/>
        <v>1.3626745539230421E-3</v>
      </c>
      <c r="N410" s="2">
        <f t="shared" ca="1" si="384"/>
        <v>1.3626745539230421E-3</v>
      </c>
      <c r="O410" s="2">
        <f t="shared" si="385"/>
        <v>6000000</v>
      </c>
      <c r="P410" s="2">
        <f t="shared" ca="1" si="386"/>
        <v>41359819.072409719</v>
      </c>
      <c r="Q410" s="2">
        <f t="shared" ca="1" si="387"/>
        <v>1033995.476810243</v>
      </c>
      <c r="R410" s="2">
        <f t="shared" ca="1" si="388"/>
        <v>24815891.443445832</v>
      </c>
      <c r="S410" s="2">
        <f t="shared" ca="1" si="389"/>
        <v>16543927.628963888</v>
      </c>
      <c r="T410" s="2">
        <f t="shared" ca="1" si="390"/>
        <v>50068133.727696151</v>
      </c>
      <c r="U410" s="2">
        <f t="shared" ca="1" si="391"/>
        <v>53764980.91985397</v>
      </c>
      <c r="V410" s="2">
        <f t="shared" ca="1" si="392"/>
        <v>57734789.73739399</v>
      </c>
      <c r="W410" s="2">
        <f t="shared" ca="1" si="393"/>
        <v>61997714.664680436</v>
      </c>
      <c r="X410" s="2">
        <f t="shared" ca="1" si="394"/>
        <v>66575398.319215007</v>
      </c>
      <c r="Y410" s="2">
        <f t="shared" ca="1" si="395"/>
        <v>0.12837560606246989</v>
      </c>
      <c r="Z410" s="2">
        <f t="shared" ca="1" si="396"/>
        <v>0.13172584848745786</v>
      </c>
      <c r="AA410" s="2">
        <f t="shared" ca="1" si="397"/>
        <v>6427527.0117097832</v>
      </c>
      <c r="AB410" s="2">
        <f t="shared" ca="1" si="398"/>
        <v>7082237.7305797469</v>
      </c>
      <c r="AC410" s="2">
        <f t="shared" ca="1" si="399"/>
        <v>7605164.1654031975</v>
      </c>
      <c r="AD410" s="2">
        <f t="shared" ca="1" si="400"/>
        <v>8166701.568488339</v>
      </c>
      <c r="AE410" s="2">
        <f t="shared" ca="1" si="401"/>
        <v>8769700.8319890723</v>
      </c>
      <c r="AF410" s="2">
        <f t="shared" ca="1" si="402"/>
        <v>1001362.6745539231</v>
      </c>
      <c r="AG410" s="2">
        <f t="shared" ca="1" si="403"/>
        <v>1075299.6183970794</v>
      </c>
      <c r="AH410" s="2">
        <f t="shared" ca="1" si="404"/>
        <v>1154695.7947478797</v>
      </c>
      <c r="AI410" s="2">
        <f t="shared" ca="1" si="405"/>
        <v>1239954.2932936088</v>
      </c>
      <c r="AJ410" s="2">
        <f t="shared" ca="1" si="406"/>
        <v>1331507.9663843003</v>
      </c>
      <c r="AK410" s="2">
        <f t="shared" ca="1" si="407"/>
        <v>0</v>
      </c>
      <c r="AL410" s="2">
        <f t="shared" ca="1" si="408"/>
        <v>36968.471921578202</v>
      </c>
      <c r="AM410" s="2">
        <f t="shared" ca="1" si="409"/>
        <v>39698.088175400197</v>
      </c>
      <c r="AN410" s="2">
        <f t="shared" ca="1" si="410"/>
        <v>42629.249272864465</v>
      </c>
      <c r="AO410" s="2">
        <f t="shared" ca="1" si="411"/>
        <v>45776.836545345708</v>
      </c>
      <c r="AP410" s="2">
        <f t="shared" ca="1" si="412"/>
        <v>2233430.2299101246</v>
      </c>
      <c r="AQ410" s="2">
        <f t="shared" ca="1" si="413"/>
        <v>830110.86788389122</v>
      </c>
      <c r="AR410" s="2">
        <f t="shared" ca="1" si="414"/>
        <v>981112.04939086118</v>
      </c>
      <c r="AS410" s="2">
        <f t="shared" ca="1" si="415"/>
        <v>1096429.9165937502</v>
      </c>
      <c r="AT410" s="2">
        <f t="shared" ca="1" si="416"/>
        <v>1220262.4317739978</v>
      </c>
      <c r="AU410" s="2">
        <f t="shared" ca="1" si="417"/>
        <v>1353238.2852806083</v>
      </c>
      <c r="AV410" s="2">
        <f t="shared" ca="1" si="418"/>
        <v>2362623.2393618445</v>
      </c>
      <c r="AW410" s="2">
        <f t="shared" ca="1" si="419"/>
        <v>2755427.360960104</v>
      </c>
      <c r="AX410" s="2">
        <f t="shared" ca="1" si="420"/>
        <v>3080910.1359760431</v>
      </c>
      <c r="AY410" s="2">
        <f t="shared" ca="1" si="421"/>
        <v>3430425.3642377439</v>
      </c>
      <c r="AZ410" s="2">
        <f t="shared" ca="1" si="422"/>
        <v>3805747.5138686937</v>
      </c>
      <c r="BA410" s="2">
        <f t="shared" ca="1" si="423"/>
        <v>72494720.64222689</v>
      </c>
      <c r="BB410" s="2">
        <f t="shared" ca="1" si="424"/>
        <v>1449894.4128445378</v>
      </c>
      <c r="BC410" s="2">
        <f t="shared" ca="1" si="425"/>
        <v>46228934.78593652</v>
      </c>
      <c r="BD410" s="2">
        <f t="shared" ca="1" si="426"/>
        <v>-18077923.105774131</v>
      </c>
      <c r="BE410" s="2">
        <f t="shared" ca="1" si="427"/>
        <v>2362623.2393618445</v>
      </c>
      <c r="BF410" s="2">
        <f t="shared" ca="1" si="428"/>
        <v>2755427.360960104</v>
      </c>
      <c r="BG410" s="2">
        <f t="shared" ca="1" si="429"/>
        <v>3080910.1359760431</v>
      </c>
      <c r="BH410" s="2">
        <f t="shared" ca="1" si="430"/>
        <v>3430425.3642377439</v>
      </c>
      <c r="BI410" s="2">
        <f t="shared" ca="1" si="431"/>
        <v>50034682.299805216</v>
      </c>
      <c r="BJ410" s="2">
        <f t="shared" ca="1" si="432"/>
        <v>0.32435537043968687</v>
      </c>
      <c r="BK410" s="2">
        <f t="shared" ca="1" si="433"/>
        <v>18992222.521489296</v>
      </c>
    </row>
    <row r="411" spans="1:63" x14ac:dyDescent="0.3">
      <c r="A411" s="2">
        <v>410</v>
      </c>
      <c r="B411" s="2">
        <f t="shared" ca="1" si="372"/>
        <v>4.42111689952156E-2</v>
      </c>
      <c r="C411" s="2">
        <f t="shared" ca="1" si="373"/>
        <v>6.297358937969638</v>
      </c>
      <c r="D411" s="2">
        <f t="shared" ca="1" si="374"/>
        <v>0.22440187626243324</v>
      </c>
      <c r="E411" s="2">
        <f t="shared" ca="1" si="375"/>
        <v>7.1699281696755754</v>
      </c>
      <c r="F411" s="2">
        <f t="shared" ca="1" si="376"/>
        <v>0.58301020396657455</v>
      </c>
      <c r="G411" s="2">
        <f t="shared" ca="1" si="377"/>
        <v>4.6288011052774622E-2</v>
      </c>
      <c r="H411" s="2">
        <f t="shared" ca="1" si="378"/>
        <v>4.6288011052774622E-2</v>
      </c>
      <c r="I411" s="2">
        <f t="shared" ca="1" si="379"/>
        <v>0.93892822103951423</v>
      </c>
      <c r="J411" s="2">
        <f t="shared" ca="1" si="380"/>
        <v>1.7729192881701258E-2</v>
      </c>
      <c r="K411" s="2">
        <f t="shared" ca="1" si="381"/>
        <v>1.7729192881701258E-2</v>
      </c>
      <c r="L411" s="2">
        <f t="shared" ca="1" si="382"/>
        <v>0.16937953648304349</v>
      </c>
      <c r="M411" s="2">
        <f t="shared" ca="1" si="383"/>
        <v>-1.9132400687005537E-2</v>
      </c>
      <c r="N411" s="2">
        <f t="shared" ca="1" si="384"/>
        <v>-1.9132400687005537E-2</v>
      </c>
      <c r="O411" s="2">
        <f t="shared" si="385"/>
        <v>6000000</v>
      </c>
      <c r="P411" s="2">
        <f t="shared" ca="1" si="386"/>
        <v>37784153.627817824</v>
      </c>
      <c r="Q411" s="2">
        <f t="shared" ca="1" si="387"/>
        <v>944603.84069544566</v>
      </c>
      <c r="R411" s="2">
        <f t="shared" ca="1" si="388"/>
        <v>22670492.176690694</v>
      </c>
      <c r="S411" s="2">
        <f t="shared" ca="1" si="389"/>
        <v>15113661.451127131</v>
      </c>
      <c r="T411" s="2">
        <f t="shared" ca="1" si="390"/>
        <v>49043379.965649724</v>
      </c>
      <c r="U411" s="2">
        <f t="shared" ca="1" si="391"/>
        <v>51313500.479565144</v>
      </c>
      <c r="V411" s="2">
        <f t="shared" ca="1" si="392"/>
        <v>53688700.35691981</v>
      </c>
      <c r="W411" s="2">
        <f t="shared" ca="1" si="393"/>
        <v>56173843.512450017</v>
      </c>
      <c r="X411" s="2">
        <f t="shared" ca="1" si="394"/>
        <v>58774019.001831137</v>
      </c>
      <c r="Y411" s="2">
        <f t="shared" ca="1" si="395"/>
        <v>0.12886459644085063</v>
      </c>
      <c r="Z411" s="2">
        <f t="shared" ca="1" si="396"/>
        <v>0.13241043501719088</v>
      </c>
      <c r="AA411" s="2">
        <f t="shared" ca="1" si="397"/>
        <v>6319955.3673687503</v>
      </c>
      <c r="AB411" s="2">
        <f t="shared" ca="1" si="398"/>
        <v>6794442.9207540536</v>
      </c>
      <c r="AC411" s="2">
        <f t="shared" ca="1" si="399"/>
        <v>7108944.169767363</v>
      </c>
      <c r="AD411" s="2">
        <f t="shared" ca="1" si="400"/>
        <v>7438003.0560711129</v>
      </c>
      <c r="AE411" s="2">
        <f t="shared" ca="1" si="401"/>
        <v>7782293.4237411041</v>
      </c>
      <c r="AF411" s="2">
        <f t="shared" ca="1" si="402"/>
        <v>980867.59931299451</v>
      </c>
      <c r="AG411" s="2">
        <f t="shared" ca="1" si="403"/>
        <v>1026270.009591303</v>
      </c>
      <c r="AH411" s="2">
        <f t="shared" ca="1" si="404"/>
        <v>1073774.0071383961</v>
      </c>
      <c r="AI411" s="2">
        <f t="shared" ca="1" si="405"/>
        <v>1123476.8702490004</v>
      </c>
      <c r="AJ411" s="2">
        <f t="shared" ca="1" si="406"/>
        <v>1175480.3800366228</v>
      </c>
      <c r="AK411" s="2">
        <f t="shared" ca="1" si="407"/>
        <v>0</v>
      </c>
      <c r="AL411" s="2">
        <f t="shared" ca="1" si="408"/>
        <v>22701.205139154197</v>
      </c>
      <c r="AM411" s="2">
        <f t="shared" ca="1" si="409"/>
        <v>23751.998773546668</v>
      </c>
      <c r="AN411" s="2">
        <f t="shared" ca="1" si="410"/>
        <v>24851.431555302068</v>
      </c>
      <c r="AO411" s="2">
        <f t="shared" ca="1" si="411"/>
        <v>26001.754893811198</v>
      </c>
      <c r="AP411" s="2">
        <f t="shared" ca="1" si="412"/>
        <v>2040344.2959021623</v>
      </c>
      <c r="AQ411" s="2">
        <f t="shared" ca="1" si="413"/>
        <v>857673.30275993433</v>
      </c>
      <c r="AR411" s="2">
        <f t="shared" ca="1" si="414"/>
        <v>969235.43996775302</v>
      </c>
      <c r="AS411" s="2">
        <f t="shared" ca="1" si="415"/>
        <v>1038654.7253489693</v>
      </c>
      <c r="AT411" s="2">
        <f t="shared" ca="1" si="416"/>
        <v>1111287.291379187</v>
      </c>
      <c r="AU411" s="2">
        <f t="shared" ca="1" si="417"/>
        <v>1187281.8744286029</v>
      </c>
      <c r="AV411" s="2">
        <f t="shared" ca="1" si="418"/>
        <v>2441070.1693936591</v>
      </c>
      <c r="AW411" s="2">
        <f t="shared" ca="1" si="419"/>
        <v>2735891.9701536805</v>
      </c>
      <c r="AX411" s="2">
        <f t="shared" ca="1" si="420"/>
        <v>2932419.1426042891</v>
      </c>
      <c r="AY411" s="2">
        <f t="shared" ca="1" si="421"/>
        <v>3138043.166985461</v>
      </c>
      <c r="AZ411" s="2">
        <f t="shared" ca="1" si="422"/>
        <v>3353185.1184799052</v>
      </c>
      <c r="BA411" s="2">
        <f t="shared" ca="1" si="423"/>
        <v>55798484.84356232</v>
      </c>
      <c r="BB411" s="2">
        <f t="shared" ca="1" si="424"/>
        <v>1115969.6968712464</v>
      </c>
      <c r="BC411" s="2">
        <f t="shared" ca="1" si="425"/>
        <v>32012022.970000379</v>
      </c>
      <c r="BD411" s="2">
        <f t="shared" ca="1" si="426"/>
        <v>-16558265.291822577</v>
      </c>
      <c r="BE411" s="2">
        <f t="shared" ca="1" si="427"/>
        <v>2441070.1693936591</v>
      </c>
      <c r="BF411" s="2">
        <f t="shared" ca="1" si="428"/>
        <v>2735891.9701536805</v>
      </c>
      <c r="BG411" s="2">
        <f t="shared" ca="1" si="429"/>
        <v>2932419.1426042891</v>
      </c>
      <c r="BH411" s="2">
        <f t="shared" ca="1" si="430"/>
        <v>3138043.166985461</v>
      </c>
      <c r="BI411" s="2">
        <f t="shared" ca="1" si="431"/>
        <v>35365208.088480286</v>
      </c>
      <c r="BJ411" s="2">
        <f t="shared" ca="1" si="432"/>
        <v>0.27764269264411112</v>
      </c>
      <c r="BK411" s="2">
        <f t="shared" ca="1" si="433"/>
        <v>11950987.988313584</v>
      </c>
    </row>
    <row r="412" spans="1:63" x14ac:dyDescent="0.3">
      <c r="A412" s="2">
        <v>411</v>
      </c>
      <c r="B412" s="2">
        <f t="shared" ca="1" si="372"/>
        <v>0.54315529553394304</v>
      </c>
      <c r="C412" s="2">
        <f t="shared" ca="1" si="373"/>
        <v>7.0441289789243982</v>
      </c>
      <c r="D412" s="2">
        <f t="shared" ca="1" si="374"/>
        <v>4.2802154474944842E-2</v>
      </c>
      <c r="E412" s="2">
        <f t="shared" ca="1" si="375"/>
        <v>6.7925821405176494</v>
      </c>
      <c r="F412" s="2">
        <f t="shared" ca="1" si="376"/>
        <v>0.97982262996846825</v>
      </c>
      <c r="G412" s="2">
        <f t="shared" ca="1" si="377"/>
        <v>0.10150297950418709</v>
      </c>
      <c r="H412" s="2">
        <f t="shared" ca="1" si="378"/>
        <v>0.10150297950418709</v>
      </c>
      <c r="I412" s="2">
        <f t="shared" ca="1" si="379"/>
        <v>0.80068688447010983</v>
      </c>
      <c r="J412" s="2">
        <f t="shared" ca="1" si="380"/>
        <v>1.4220386325756952E-2</v>
      </c>
      <c r="K412" s="2">
        <f t="shared" ca="1" si="381"/>
        <v>1.4220386325756952E-2</v>
      </c>
      <c r="L412" s="2">
        <f t="shared" ca="1" si="382"/>
        <v>0.94370466559428667</v>
      </c>
      <c r="M412" s="2">
        <f t="shared" ca="1" si="383"/>
        <v>3.1733111878343934E-2</v>
      </c>
      <c r="N412" s="2">
        <f t="shared" ca="1" si="384"/>
        <v>3.1733111878343934E-2</v>
      </c>
      <c r="O412" s="2">
        <f t="shared" si="385"/>
        <v>6000000</v>
      </c>
      <c r="P412" s="2">
        <f t="shared" ca="1" si="386"/>
        <v>42264773.873546392</v>
      </c>
      <c r="Q412" s="2">
        <f t="shared" ca="1" si="387"/>
        <v>1056619.3468386598</v>
      </c>
      <c r="R412" s="2">
        <f t="shared" ca="1" si="388"/>
        <v>25358864.324127834</v>
      </c>
      <c r="S412" s="2">
        <f t="shared" ca="1" si="389"/>
        <v>16905909.549418557</v>
      </c>
      <c r="T412" s="2">
        <f t="shared" ca="1" si="390"/>
        <v>51586655.593917198</v>
      </c>
      <c r="U412" s="2">
        <f t="shared" ca="1" si="391"/>
        <v>56822854.839356132</v>
      </c>
      <c r="V412" s="2">
        <f t="shared" ca="1" si="392"/>
        <v>62590543.909484692</v>
      </c>
      <c r="W412" s="2">
        <f t="shared" ca="1" si="393"/>
        <v>68943670.605085045</v>
      </c>
      <c r="X412" s="2">
        <f t="shared" ca="1" si="394"/>
        <v>75941658.589456424</v>
      </c>
      <c r="Y412" s="2">
        <f t="shared" ca="1" si="395"/>
        <v>0.12711019316287847</v>
      </c>
      <c r="Z412" s="2">
        <f t="shared" ca="1" si="396"/>
        <v>0.12995427042802987</v>
      </c>
      <c r="AA412" s="2">
        <f t="shared" ca="1" si="397"/>
        <v>6557189.7571697002</v>
      </c>
      <c r="AB412" s="2">
        <f t="shared" ca="1" si="398"/>
        <v>7384372.6442863727</v>
      </c>
      <c r="AC412" s="2">
        <f t="shared" ca="1" si="399"/>
        <v>8133908.4694506517</v>
      </c>
      <c r="AD412" s="2">
        <f t="shared" ca="1" si="400"/>
        <v>8959524.414114235</v>
      </c>
      <c r="AE412" s="2">
        <f t="shared" ca="1" si="401"/>
        <v>9868942.8370873369</v>
      </c>
      <c r="AF412" s="2">
        <f t="shared" ca="1" si="402"/>
        <v>1031733.111878344</v>
      </c>
      <c r="AG412" s="2">
        <f t="shared" ca="1" si="403"/>
        <v>1136457.0967871228</v>
      </c>
      <c r="AH412" s="2">
        <f t="shared" ca="1" si="404"/>
        <v>1251810.8781896939</v>
      </c>
      <c r="AI412" s="2">
        <f t="shared" ca="1" si="405"/>
        <v>1378873.4121017009</v>
      </c>
      <c r="AJ412" s="2">
        <f t="shared" ca="1" si="406"/>
        <v>1518833.1717891286</v>
      </c>
      <c r="AK412" s="2">
        <f t="shared" ca="1" si="407"/>
        <v>0</v>
      </c>
      <c r="AL412" s="2">
        <f t="shared" ca="1" si="408"/>
        <v>52361.992454389336</v>
      </c>
      <c r="AM412" s="2">
        <f t="shared" ca="1" si="409"/>
        <v>57676.8907012856</v>
      </c>
      <c r="AN412" s="2">
        <f t="shared" ca="1" si="410"/>
        <v>63531.266956003536</v>
      </c>
      <c r="AO412" s="2">
        <f t="shared" ca="1" si="411"/>
        <v>69979.879843713788</v>
      </c>
      <c r="AP412" s="2">
        <f t="shared" ca="1" si="412"/>
        <v>2282297.7891715048</v>
      </c>
      <c r="AQ412" s="2">
        <f t="shared" ca="1" si="413"/>
        <v>843221.30259116145</v>
      </c>
      <c r="AR412" s="2">
        <f t="shared" ca="1" si="414"/>
        <v>1031060.6171652137</v>
      </c>
      <c r="AS412" s="2">
        <f t="shared" ca="1" si="415"/>
        <v>1195947.9485432578</v>
      </c>
      <c r="AT412" s="2">
        <f t="shared" ca="1" si="416"/>
        <v>1377571.8353386677</v>
      </c>
      <c r="AU412" s="2">
        <f t="shared" ca="1" si="417"/>
        <v>1577631.087792943</v>
      </c>
      <c r="AV412" s="2">
        <f t="shared" ca="1" si="418"/>
        <v>2399937.5535286898</v>
      </c>
      <c r="AW412" s="2">
        <f t="shared" ca="1" si="419"/>
        <v>2882195.1487081423</v>
      </c>
      <c r="AX412" s="2">
        <f t="shared" ca="1" si="420"/>
        <v>3346174.9628449092</v>
      </c>
      <c r="AY412" s="2">
        <f t="shared" ca="1" si="421"/>
        <v>3857250.1105463579</v>
      </c>
      <c r="AZ412" s="2">
        <f t="shared" ca="1" si="422"/>
        <v>4420200.9084900469</v>
      </c>
      <c r="BA412" s="2">
        <f t="shared" ca="1" si="423"/>
        <v>67035604.860989027</v>
      </c>
      <c r="BB412" s="2">
        <f t="shared" ca="1" si="424"/>
        <v>1340712.0972197806</v>
      </c>
      <c r="BC412" s="2">
        <f t="shared" ca="1" si="425"/>
        <v>40336028.439641416</v>
      </c>
      <c r="BD412" s="2">
        <f t="shared" ca="1" si="426"/>
        <v>-18462528.896257218</v>
      </c>
      <c r="BE412" s="2">
        <f t="shared" ca="1" si="427"/>
        <v>2399937.5535286898</v>
      </c>
      <c r="BF412" s="2">
        <f t="shared" ca="1" si="428"/>
        <v>2882195.1487081423</v>
      </c>
      <c r="BG412" s="2">
        <f t="shared" ca="1" si="429"/>
        <v>3346174.9628449092</v>
      </c>
      <c r="BH412" s="2">
        <f t="shared" ca="1" si="430"/>
        <v>3857250.1105463579</v>
      </c>
      <c r="BI412" s="2">
        <f t="shared" ca="1" si="431"/>
        <v>44756229.348131463</v>
      </c>
      <c r="BJ412" s="2">
        <f t="shared" ca="1" si="432"/>
        <v>0.30028889707538586</v>
      </c>
      <c r="BK412" s="2">
        <f t="shared" ca="1" si="433"/>
        <v>16206920.732572097</v>
      </c>
    </row>
    <row r="413" spans="1:63" x14ac:dyDescent="0.3">
      <c r="A413" s="2">
        <v>412</v>
      </c>
      <c r="B413" s="2">
        <f t="shared" ca="1" si="372"/>
        <v>0.16433190998723735</v>
      </c>
      <c r="C413" s="2">
        <f t="shared" ca="1" si="373"/>
        <v>6.5732920895795397</v>
      </c>
      <c r="D413" s="2">
        <f t="shared" ca="1" si="374"/>
        <v>0.82382698747725813</v>
      </c>
      <c r="E413" s="2">
        <f t="shared" ca="1" si="375"/>
        <v>7.9064125801152088</v>
      </c>
      <c r="F413" s="2">
        <f t="shared" ca="1" si="376"/>
        <v>0.3618169426972484</v>
      </c>
      <c r="G413" s="2">
        <f t="shared" ca="1" si="377"/>
        <v>2.9391808321386742E-2</v>
      </c>
      <c r="H413" s="2">
        <f t="shared" ca="1" si="378"/>
        <v>2.9391808321386742E-2</v>
      </c>
      <c r="I413" s="2">
        <f t="shared" ca="1" si="379"/>
        <v>0.12066775872658331</v>
      </c>
      <c r="J413" s="2">
        <f t="shared" ca="1" si="380"/>
        <v>4.141724013179993E-3</v>
      </c>
      <c r="K413" s="2">
        <f t="shared" ca="1" si="381"/>
        <v>4.141724013179993E-3</v>
      </c>
      <c r="L413" s="2">
        <f t="shared" ca="1" si="382"/>
        <v>7.8256284382041019E-2</v>
      </c>
      <c r="M413" s="2">
        <f t="shared" ca="1" si="383"/>
        <v>-2.833797248809488E-2</v>
      </c>
      <c r="N413" s="2">
        <f t="shared" ca="1" si="384"/>
        <v>-2.833797248809488E-2</v>
      </c>
      <c r="O413" s="2">
        <f t="shared" si="385"/>
        <v>6000000</v>
      </c>
      <c r="P413" s="2">
        <f t="shared" ca="1" si="386"/>
        <v>39439752.53747724</v>
      </c>
      <c r="Q413" s="2">
        <f t="shared" ca="1" si="387"/>
        <v>985993.813436931</v>
      </c>
      <c r="R413" s="2">
        <f t="shared" ca="1" si="388"/>
        <v>23663851.522486344</v>
      </c>
      <c r="S413" s="2">
        <f t="shared" ca="1" si="389"/>
        <v>15775901.014990896</v>
      </c>
      <c r="T413" s="2">
        <f t="shared" ca="1" si="390"/>
        <v>48583101.375595257</v>
      </c>
      <c r="U413" s="2">
        <f t="shared" ca="1" si="391"/>
        <v>50011046.57888525</v>
      </c>
      <c r="V413" s="2">
        <f t="shared" ca="1" si="392"/>
        <v>51480961.673883788</v>
      </c>
      <c r="W413" s="2">
        <f t="shared" ca="1" si="393"/>
        <v>52994080.231603235</v>
      </c>
      <c r="X413" s="2">
        <f t="shared" ca="1" si="394"/>
        <v>54551672.079938702</v>
      </c>
      <c r="Y413" s="2">
        <f t="shared" ca="1" si="395"/>
        <v>0.12207086200658999</v>
      </c>
      <c r="Z413" s="2">
        <f t="shared" ca="1" si="396"/>
        <v>0.12289920680922599</v>
      </c>
      <c r="AA413" s="2">
        <f t="shared" ca="1" si="397"/>
        <v>5930581.0638724612</v>
      </c>
      <c r="AB413" s="2">
        <f t="shared" ca="1" si="398"/>
        <v>6146317.9562442526</v>
      </c>
      <c r="AC413" s="2">
        <f t="shared" ca="1" si="399"/>
        <v>6326969.3554964811</v>
      </c>
      <c r="AD413" s="2">
        <f t="shared" ca="1" si="400"/>
        <v>6512930.426048521</v>
      </c>
      <c r="AE413" s="2">
        <f t="shared" ca="1" si="401"/>
        <v>6704357.2287414661</v>
      </c>
      <c r="AF413" s="2">
        <f t="shared" ca="1" si="402"/>
        <v>971662.02751190518</v>
      </c>
      <c r="AG413" s="2">
        <f t="shared" ca="1" si="403"/>
        <v>1000220.931577705</v>
      </c>
      <c r="AH413" s="2">
        <f t="shared" ca="1" si="404"/>
        <v>1029619.2334776758</v>
      </c>
      <c r="AI413" s="2">
        <f t="shared" ca="1" si="405"/>
        <v>1059881.6046320647</v>
      </c>
      <c r="AJ413" s="2">
        <f t="shared" ca="1" si="406"/>
        <v>1091033.4415987742</v>
      </c>
      <c r="AK413" s="2">
        <f t="shared" ca="1" si="407"/>
        <v>0</v>
      </c>
      <c r="AL413" s="2">
        <f t="shared" ca="1" si="408"/>
        <v>14279.452032899932</v>
      </c>
      <c r="AM413" s="2">
        <f t="shared" ca="1" si="409"/>
        <v>14699.150949985386</v>
      </c>
      <c r="AN413" s="2">
        <f t="shared" ca="1" si="410"/>
        <v>15131.185577194468</v>
      </c>
      <c r="AO413" s="2">
        <f t="shared" ca="1" si="411"/>
        <v>15575.918483354673</v>
      </c>
      <c r="AP413" s="2">
        <f t="shared" ca="1" si="412"/>
        <v>2129746.6370237707</v>
      </c>
      <c r="AQ413" s="2">
        <f t="shared" ca="1" si="413"/>
        <v>735584.82382756425</v>
      </c>
      <c r="AR413" s="2">
        <f t="shared" ca="1" si="414"/>
        <v>784251.10078712204</v>
      </c>
      <c r="AS413" s="2">
        <f t="shared" ca="1" si="415"/>
        <v>823576.90609870886</v>
      </c>
      <c r="AT413" s="2">
        <f t="shared" ca="1" si="416"/>
        <v>864058.56794209825</v>
      </c>
      <c r="AU413" s="2">
        <f t="shared" ca="1" si="417"/>
        <v>905730.05903091957</v>
      </c>
      <c r="AV413" s="2">
        <f t="shared" ca="1" si="418"/>
        <v>2093587.5755092208</v>
      </c>
      <c r="AW413" s="2">
        <f t="shared" ca="1" si="419"/>
        <v>2217819.8348227558</v>
      </c>
      <c r="AX413" s="2">
        <f t="shared" ca="1" si="420"/>
        <v>2329327.4279463398</v>
      </c>
      <c r="AY413" s="2">
        <f t="shared" ca="1" si="421"/>
        <v>2444112.4308733926</v>
      </c>
      <c r="AZ413" s="2">
        <f t="shared" ca="1" si="422"/>
        <v>2562271.172604647</v>
      </c>
      <c r="BA413" s="2">
        <f t="shared" ca="1" si="423"/>
        <v>53007414.334907867</v>
      </c>
      <c r="BB413" s="2">
        <f t="shared" ca="1" si="424"/>
        <v>1060148.2866981574</v>
      </c>
      <c r="BC413" s="2">
        <f t="shared" ca="1" si="425"/>
        <v>28283414.525723364</v>
      </c>
      <c r="BD413" s="2">
        <f t="shared" ca="1" si="426"/>
        <v>-17261894.828427829</v>
      </c>
      <c r="BE413" s="2">
        <f t="shared" ca="1" si="427"/>
        <v>2093587.5755092208</v>
      </c>
      <c r="BF413" s="2">
        <f t="shared" ca="1" si="428"/>
        <v>2217819.8348227558</v>
      </c>
      <c r="BG413" s="2">
        <f t="shared" ca="1" si="429"/>
        <v>2329327.4279463398</v>
      </c>
      <c r="BH413" s="2">
        <f t="shared" ca="1" si="430"/>
        <v>2444112.4308733926</v>
      </c>
      <c r="BI413" s="2">
        <f t="shared" ca="1" si="431"/>
        <v>30845685.698328011</v>
      </c>
      <c r="BJ413" s="2">
        <f t="shared" ca="1" si="432"/>
        <v>0.21557042769715573</v>
      </c>
      <c r="BK413" s="2">
        <f t="shared" ca="1" si="433"/>
        <v>7089329.5240571275</v>
      </c>
    </row>
    <row r="414" spans="1:63" x14ac:dyDescent="0.3">
      <c r="A414" s="2">
        <v>413</v>
      </c>
      <c r="B414" s="2">
        <f t="shared" ca="1" si="372"/>
        <v>0.3294985735315189</v>
      </c>
      <c r="C414" s="2">
        <f t="shared" ca="1" si="373"/>
        <v>6.8117863925091608</v>
      </c>
      <c r="D414" s="2">
        <f t="shared" ca="1" si="374"/>
        <v>0.16993384015786162</v>
      </c>
      <c r="E414" s="2">
        <f t="shared" ca="1" si="375"/>
        <v>7.0829817152499066</v>
      </c>
      <c r="F414" s="2">
        <f t="shared" ca="1" si="376"/>
        <v>0.88382730448281144</v>
      </c>
      <c r="G414" s="2">
        <f t="shared" ca="1" si="377"/>
        <v>7.5830169749685927E-2</v>
      </c>
      <c r="H414" s="2">
        <f t="shared" ca="1" si="378"/>
        <v>7.5830169749685927E-2</v>
      </c>
      <c r="I414" s="2">
        <f t="shared" ca="1" si="379"/>
        <v>0.26272104104826111</v>
      </c>
      <c r="J414" s="2">
        <f t="shared" ca="1" si="380"/>
        <v>6.8251047761818708E-3</v>
      </c>
      <c r="K414" s="2">
        <f t="shared" ca="1" si="381"/>
        <v>6.8251047761818708E-3</v>
      </c>
      <c r="L414" s="2">
        <f t="shared" ca="1" si="382"/>
        <v>0.69038409214744689</v>
      </c>
      <c r="M414" s="2">
        <f t="shared" ca="1" si="383"/>
        <v>9.9387871617776409E-3</v>
      </c>
      <c r="N414" s="2">
        <f t="shared" ca="1" si="384"/>
        <v>9.9387871617776409E-3</v>
      </c>
      <c r="O414" s="2">
        <f t="shared" si="385"/>
        <v>6000000</v>
      </c>
      <c r="P414" s="2">
        <f t="shared" ca="1" si="386"/>
        <v>40870718.355054967</v>
      </c>
      <c r="Q414" s="2">
        <f t="shared" ca="1" si="387"/>
        <v>1021767.9588763742</v>
      </c>
      <c r="R414" s="2">
        <f t="shared" ca="1" si="388"/>
        <v>24522431.01303298</v>
      </c>
      <c r="S414" s="2">
        <f t="shared" ca="1" si="389"/>
        <v>16348287.342021987</v>
      </c>
      <c r="T414" s="2">
        <f t="shared" ca="1" si="390"/>
        <v>50496939.358088873</v>
      </c>
      <c r="U414" s="2">
        <f t="shared" ca="1" si="391"/>
        <v>54326130.841452345</v>
      </c>
      <c r="V414" s="2">
        <f t="shared" ca="1" si="392"/>
        <v>58445690.565003328</v>
      </c>
      <c r="W414" s="2">
        <f t="shared" ca="1" si="393"/>
        <v>62877637.201685145</v>
      </c>
      <c r="X414" s="2">
        <f t="shared" ca="1" si="394"/>
        <v>67645659.10414809</v>
      </c>
      <c r="Y414" s="2">
        <f t="shared" ca="1" si="395"/>
        <v>0.12341255238809093</v>
      </c>
      <c r="Z414" s="2">
        <f t="shared" ca="1" si="396"/>
        <v>0.1247775733433273</v>
      </c>
      <c r="AA414" s="2">
        <f t="shared" ca="1" si="397"/>
        <v>6231956.1739683934</v>
      </c>
      <c r="AB414" s="2">
        <f t="shared" ca="1" si="398"/>
        <v>6778682.7755285157</v>
      </c>
      <c r="AC414" s="2">
        <f t="shared" ca="1" si="399"/>
        <v>7292711.4410761148</v>
      </c>
      <c r="AD414" s="2">
        <f t="shared" ca="1" si="400"/>
        <v>7845718.9875883935</v>
      </c>
      <c r="AE414" s="2">
        <f t="shared" ca="1" si="401"/>
        <v>8440661.1902255546</v>
      </c>
      <c r="AF414" s="2">
        <f t="shared" ca="1" si="402"/>
        <v>1009938.7871617775</v>
      </c>
      <c r="AG414" s="2">
        <f t="shared" ca="1" si="403"/>
        <v>1086522.616829047</v>
      </c>
      <c r="AH414" s="2">
        <f t="shared" ca="1" si="404"/>
        <v>1168913.8113000665</v>
      </c>
      <c r="AI414" s="2">
        <f t="shared" ca="1" si="405"/>
        <v>1257552.7440337029</v>
      </c>
      <c r="AJ414" s="2">
        <f t="shared" ca="1" si="406"/>
        <v>1352913.1820829618</v>
      </c>
      <c r="AK414" s="2">
        <f t="shared" ca="1" si="407"/>
        <v>0</v>
      </c>
      <c r="AL414" s="2">
        <f t="shared" ca="1" si="408"/>
        <v>38291.914833634721</v>
      </c>
      <c r="AM414" s="2">
        <f t="shared" ca="1" si="409"/>
        <v>41195.597235509827</v>
      </c>
      <c r="AN414" s="2">
        <f t="shared" ca="1" si="410"/>
        <v>44319.466366818175</v>
      </c>
      <c r="AO414" s="2">
        <f t="shared" ca="1" si="411"/>
        <v>47680.219024629441</v>
      </c>
      <c r="AP414" s="2">
        <f t="shared" ca="1" si="412"/>
        <v>2207018.7911729682</v>
      </c>
      <c r="AQ414" s="2">
        <f t="shared" ca="1" si="413"/>
        <v>783899.63486474834</v>
      </c>
      <c r="AR414" s="2">
        <f t="shared" ca="1" si="414"/>
        <v>906136.75555689016</v>
      </c>
      <c r="AS414" s="2">
        <f t="shared" ca="1" si="415"/>
        <v>1018362.4980368009</v>
      </c>
      <c r="AT414" s="2">
        <f t="shared" ca="1" si="416"/>
        <v>1139098.3376192478</v>
      </c>
      <c r="AU414" s="2">
        <f t="shared" ca="1" si="417"/>
        <v>1268989.5964121022</v>
      </c>
      <c r="AV414" s="2">
        <f t="shared" ca="1" si="418"/>
        <v>2231098.9607688989</v>
      </c>
      <c r="AW414" s="2">
        <f t="shared" ca="1" si="419"/>
        <v>2540712.6971359756</v>
      </c>
      <c r="AX414" s="2">
        <f t="shared" ca="1" si="420"/>
        <v>2857220.7433307692</v>
      </c>
      <c r="AY414" s="2">
        <f t="shared" ca="1" si="421"/>
        <v>3197729.6483956566</v>
      </c>
      <c r="AZ414" s="2">
        <f t="shared" ca="1" si="422"/>
        <v>3564059.4015328921</v>
      </c>
      <c r="BA414" s="2">
        <f t="shared" ca="1" si="423"/>
        <v>59785048.874987118</v>
      </c>
      <c r="BB414" s="2">
        <f t="shared" ca="1" si="424"/>
        <v>1195700.9774997423</v>
      </c>
      <c r="BC414" s="2">
        <f t="shared" ca="1" si="425"/>
        <v>34066916.884454392</v>
      </c>
      <c r="BD414" s="2">
        <f t="shared" ca="1" si="426"/>
        <v>-17870055.300898362</v>
      </c>
      <c r="BE414" s="2">
        <f t="shared" ca="1" si="427"/>
        <v>2231098.9607688989</v>
      </c>
      <c r="BF414" s="2">
        <f t="shared" ca="1" si="428"/>
        <v>2540712.6971359756</v>
      </c>
      <c r="BG414" s="2">
        <f t="shared" ca="1" si="429"/>
        <v>2857220.7433307692</v>
      </c>
      <c r="BH414" s="2">
        <f t="shared" ca="1" si="430"/>
        <v>3197729.6483956566</v>
      </c>
      <c r="BI414" s="2">
        <f t="shared" ca="1" si="431"/>
        <v>37630976.285987288</v>
      </c>
      <c r="BJ414" s="2">
        <f t="shared" ca="1" si="432"/>
        <v>0.26081234732652558</v>
      </c>
      <c r="BK414" s="2">
        <f t="shared" ca="1" si="433"/>
        <v>11566192.791149326</v>
      </c>
    </row>
    <row r="415" spans="1:63" x14ac:dyDescent="0.3">
      <c r="A415" s="2">
        <v>414</v>
      </c>
      <c r="B415" s="2">
        <f t="shared" ca="1" si="372"/>
        <v>0.5982894708269324</v>
      </c>
      <c r="C415" s="2">
        <f t="shared" ca="1" si="373"/>
        <v>7.1036624194277387</v>
      </c>
      <c r="D415" s="2">
        <f t="shared" ca="1" si="374"/>
        <v>0.44968390467383146</v>
      </c>
      <c r="E415" s="2">
        <f t="shared" ca="1" si="375"/>
        <v>7.448350045788823</v>
      </c>
      <c r="F415" s="2">
        <f t="shared" ca="1" si="376"/>
        <v>0.76246286612733905</v>
      </c>
      <c r="G415" s="2">
        <f t="shared" ca="1" si="377"/>
        <v>6.1427419268332617E-2</v>
      </c>
      <c r="H415" s="2">
        <f t="shared" ca="1" si="378"/>
        <v>6.1427419268332617E-2</v>
      </c>
      <c r="I415" s="2">
        <f t="shared" ca="1" si="379"/>
        <v>0.69400594871283627</v>
      </c>
      <c r="J415" s="2">
        <f t="shared" ca="1" si="380"/>
        <v>1.253618809415576E-2</v>
      </c>
      <c r="K415" s="2">
        <f t="shared" ca="1" si="381"/>
        <v>1.253618809415576E-2</v>
      </c>
      <c r="L415" s="2">
        <f t="shared" ca="1" si="382"/>
        <v>0.51331184978019373</v>
      </c>
      <c r="M415" s="2">
        <f t="shared" ca="1" si="383"/>
        <v>6.6748107002347621E-4</v>
      </c>
      <c r="N415" s="2">
        <f t="shared" ca="1" si="384"/>
        <v>6.6748107002347621E-4</v>
      </c>
      <c r="O415" s="2">
        <f t="shared" si="385"/>
        <v>6000000</v>
      </c>
      <c r="P415" s="2">
        <f t="shared" ca="1" si="386"/>
        <v>42621974.516566433</v>
      </c>
      <c r="Q415" s="2">
        <f t="shared" ca="1" si="387"/>
        <v>1065549.3629141608</v>
      </c>
      <c r="R415" s="2">
        <f t="shared" ca="1" si="388"/>
        <v>25573184.70993986</v>
      </c>
      <c r="S415" s="2">
        <f t="shared" ca="1" si="389"/>
        <v>17048789.806626573</v>
      </c>
      <c r="T415" s="2">
        <f t="shared" ca="1" si="390"/>
        <v>50033374.053501181</v>
      </c>
      <c r="U415" s="2">
        <f t="shared" ca="1" si="391"/>
        <v>53106795.098894916</v>
      </c>
      <c r="V415" s="2">
        <f t="shared" ca="1" si="392"/>
        <v>56369008.467432164</v>
      </c>
      <c r="W415" s="2">
        <f t="shared" ca="1" si="393"/>
        <v>59831611.184301309</v>
      </c>
      <c r="X415" s="2">
        <f t="shared" ca="1" si="394"/>
        <v>63506912.650019243</v>
      </c>
      <c r="Y415" s="2">
        <f t="shared" ca="1" si="395"/>
        <v>0.12626809404707787</v>
      </c>
      <c r="Z415" s="2">
        <f t="shared" ca="1" si="396"/>
        <v>0.12877533166590902</v>
      </c>
      <c r="AA415" s="2">
        <f t="shared" ca="1" si="397"/>
        <v>6317618.7804801129</v>
      </c>
      <c r="AB415" s="2">
        <f t="shared" ca="1" si="398"/>
        <v>6838845.1525736647</v>
      </c>
      <c r="AC415" s="2">
        <f t="shared" ca="1" si="399"/>
        <v>7258937.7610720107</v>
      </c>
      <c r="AD415" s="2">
        <f t="shared" ca="1" si="400"/>
        <v>7704835.5743641127</v>
      </c>
      <c r="AE415" s="2">
        <f t="shared" ca="1" si="401"/>
        <v>8178123.7395841405</v>
      </c>
      <c r="AF415" s="2">
        <f t="shared" ca="1" si="402"/>
        <v>1000667.4810700236</v>
      </c>
      <c r="AG415" s="2">
        <f t="shared" ca="1" si="403"/>
        <v>1062135.9019778983</v>
      </c>
      <c r="AH415" s="2">
        <f t="shared" ca="1" si="404"/>
        <v>1127380.1693486434</v>
      </c>
      <c r="AI415" s="2">
        <f t="shared" ca="1" si="405"/>
        <v>1196632.2236860262</v>
      </c>
      <c r="AJ415" s="2">
        <f t="shared" ca="1" si="406"/>
        <v>1270138.2530003849</v>
      </c>
      <c r="AK415" s="2">
        <f t="shared" ca="1" si="407"/>
        <v>0</v>
      </c>
      <c r="AL415" s="2">
        <f t="shared" ca="1" si="408"/>
        <v>30734.210453937354</v>
      </c>
      <c r="AM415" s="2">
        <f t="shared" ca="1" si="409"/>
        <v>32622.133685372472</v>
      </c>
      <c r="AN415" s="2">
        <f t="shared" ca="1" si="410"/>
        <v>34626.027168691457</v>
      </c>
      <c r="AO415" s="2">
        <f t="shared" ca="1" si="411"/>
        <v>36753.014657179345</v>
      </c>
      <c r="AP415" s="2">
        <f t="shared" ca="1" si="412"/>
        <v>2301586.6238945872</v>
      </c>
      <c r="AQ415" s="2">
        <f t="shared" ca="1" si="413"/>
        <v>783994.8156340305</v>
      </c>
      <c r="AR415" s="2">
        <f t="shared" ca="1" si="414"/>
        <v>903531.88294230658</v>
      </c>
      <c r="AS415" s="2">
        <f t="shared" ca="1" si="415"/>
        <v>995792.45163548295</v>
      </c>
      <c r="AT415" s="2">
        <f t="shared" ca="1" si="416"/>
        <v>1093720.3489637098</v>
      </c>
      <c r="AU415" s="2">
        <f t="shared" ca="1" si="417"/>
        <v>1197663.7042991838</v>
      </c>
      <c r="AV415" s="2">
        <f t="shared" ca="1" si="418"/>
        <v>2231369.8598814709</v>
      </c>
      <c r="AW415" s="2">
        <f t="shared" ca="1" si="419"/>
        <v>2540856.5333049344</v>
      </c>
      <c r="AX415" s="2">
        <f t="shared" ca="1" si="420"/>
        <v>2801556.3825079249</v>
      </c>
      <c r="AY415" s="2">
        <f t="shared" ca="1" si="421"/>
        <v>3078270.3506510984</v>
      </c>
      <c r="AZ415" s="2">
        <f t="shared" ca="1" si="422"/>
        <v>3371982.1437328057</v>
      </c>
      <c r="BA415" s="2">
        <f t="shared" ca="1" si="423"/>
        <v>60913528.330198191</v>
      </c>
      <c r="BB415" s="2">
        <f t="shared" ca="1" si="424"/>
        <v>1218270.566603964</v>
      </c>
      <c r="BC415" s="2">
        <f t="shared" ca="1" si="425"/>
        <v>34122073.053654365</v>
      </c>
      <c r="BD415" s="2">
        <f t="shared" ca="1" si="426"/>
        <v>-18614339.169540733</v>
      </c>
      <c r="BE415" s="2">
        <f t="shared" ca="1" si="427"/>
        <v>2231369.8598814709</v>
      </c>
      <c r="BF415" s="2">
        <f t="shared" ca="1" si="428"/>
        <v>2540856.5333049344</v>
      </c>
      <c r="BG415" s="2">
        <f t="shared" ca="1" si="429"/>
        <v>2801556.3825079249</v>
      </c>
      <c r="BH415" s="2">
        <f t="shared" ca="1" si="430"/>
        <v>3078270.3506510984</v>
      </c>
      <c r="BI415" s="2">
        <f t="shared" ca="1" si="431"/>
        <v>37494055.197387174</v>
      </c>
      <c r="BJ415" s="2">
        <f t="shared" ca="1" si="432"/>
        <v>0.24637290399875744</v>
      </c>
      <c r="BK415" s="2">
        <f t="shared" ca="1" si="433"/>
        <v>10629033.423350871</v>
      </c>
    </row>
    <row r="416" spans="1:63" x14ac:dyDescent="0.3">
      <c r="A416" s="2">
        <v>415</v>
      </c>
      <c r="B416" s="2">
        <f t="shared" ca="1" si="372"/>
        <v>0.26672506353115244</v>
      </c>
      <c r="C416" s="2">
        <f t="shared" ca="1" si="373"/>
        <v>6.7303767021628662</v>
      </c>
      <c r="D416" s="2">
        <f t="shared" ca="1" si="374"/>
        <v>2.1634209919178637E-2</v>
      </c>
      <c r="E416" s="2">
        <f t="shared" ca="1" si="375"/>
        <v>6.7080106243400976</v>
      </c>
      <c r="F416" s="2">
        <f t="shared" ca="1" si="376"/>
        <v>0.63907448478771733</v>
      </c>
      <c r="G416" s="2">
        <f t="shared" ca="1" si="377"/>
        <v>5.0679580772434861E-2</v>
      </c>
      <c r="H416" s="2">
        <f t="shared" ca="1" si="378"/>
        <v>5.0679580772434861E-2</v>
      </c>
      <c r="I416" s="2">
        <f t="shared" ca="1" si="379"/>
        <v>0.81319901072521139</v>
      </c>
      <c r="J416" s="2">
        <f t="shared" ca="1" si="380"/>
        <v>1.4448732880973241E-2</v>
      </c>
      <c r="K416" s="2">
        <f t="shared" ca="1" si="381"/>
        <v>1.4448732880973241E-2</v>
      </c>
      <c r="L416" s="2">
        <f t="shared" ca="1" si="382"/>
        <v>0.82542046479199815</v>
      </c>
      <c r="M416" s="2">
        <f t="shared" ca="1" si="383"/>
        <v>1.8724433312001978E-2</v>
      </c>
      <c r="N416" s="2">
        <f t="shared" ca="1" si="384"/>
        <v>1.8724433312001978E-2</v>
      </c>
      <c r="O416" s="2">
        <f t="shared" si="385"/>
        <v>6000000</v>
      </c>
      <c r="P416" s="2">
        <f t="shared" ca="1" si="386"/>
        <v>40382260.212977201</v>
      </c>
      <c r="Q416" s="2">
        <f t="shared" ca="1" si="387"/>
        <v>1009556.5053244301</v>
      </c>
      <c r="R416" s="2">
        <f t="shared" ca="1" si="388"/>
        <v>24229356.12778632</v>
      </c>
      <c r="S416" s="2">
        <f t="shared" ca="1" si="389"/>
        <v>16152904.085190881</v>
      </c>
      <c r="T416" s="2">
        <f t="shared" ca="1" si="390"/>
        <v>50936221.665600099</v>
      </c>
      <c r="U416" s="2">
        <f t="shared" ca="1" si="391"/>
        <v>53517648.025744528</v>
      </c>
      <c r="V416" s="2">
        <f t="shared" ca="1" si="392"/>
        <v>56229899.991615988</v>
      </c>
      <c r="W416" s="2">
        <f t="shared" ca="1" si="393"/>
        <v>59079607.750067033</v>
      </c>
      <c r="X416" s="2">
        <f t="shared" ca="1" si="394"/>
        <v>62073737.503040329</v>
      </c>
      <c r="Y416" s="2">
        <f t="shared" ca="1" si="395"/>
        <v>0.12722436644048662</v>
      </c>
      <c r="Z416" s="2">
        <f t="shared" ca="1" si="396"/>
        <v>0.13011411301668127</v>
      </c>
      <c r="AA416" s="2">
        <f t="shared" ca="1" si="397"/>
        <v>6480328.5302781612</v>
      </c>
      <c r="AB416" s="2">
        <f t="shared" ca="1" si="398"/>
        <v>6963401.3036086932</v>
      </c>
      <c r="AC416" s="2">
        <f t="shared" ca="1" si="399"/>
        <v>7316303.562425808</v>
      </c>
      <c r="AD416" s="2">
        <f t="shared" ca="1" si="400"/>
        <v>7687090.7597734202</v>
      </c>
      <c r="AE416" s="2">
        <f t="shared" ca="1" si="401"/>
        <v>8076669.2968383962</v>
      </c>
      <c r="AF416" s="2">
        <f t="shared" ca="1" si="402"/>
        <v>1018724.433312002</v>
      </c>
      <c r="AG416" s="2">
        <f t="shared" ca="1" si="403"/>
        <v>1070352.9605148905</v>
      </c>
      <c r="AH416" s="2">
        <f t="shared" ca="1" si="404"/>
        <v>1124597.9998323198</v>
      </c>
      <c r="AI416" s="2">
        <f t="shared" ca="1" si="405"/>
        <v>1181592.1550013407</v>
      </c>
      <c r="AJ416" s="2">
        <f t="shared" ca="1" si="406"/>
        <v>1241474.7500608065</v>
      </c>
      <c r="AK416" s="2">
        <f t="shared" ca="1" si="407"/>
        <v>0</v>
      </c>
      <c r="AL416" s="2">
        <f t="shared" ca="1" si="408"/>
        <v>25814.263601444291</v>
      </c>
      <c r="AM416" s="2">
        <f t="shared" ca="1" si="409"/>
        <v>27122.519658714609</v>
      </c>
      <c r="AN416" s="2">
        <f t="shared" ca="1" si="410"/>
        <v>28497.077584510447</v>
      </c>
      <c r="AO416" s="2">
        <f t="shared" ca="1" si="411"/>
        <v>29941.297529732958</v>
      </c>
      <c r="AP416" s="2">
        <f t="shared" ca="1" si="412"/>
        <v>2180642.0515007689</v>
      </c>
      <c r="AQ416" s="2">
        <f t="shared" ca="1" si="413"/>
        <v>853050.13182100165</v>
      </c>
      <c r="AR416" s="2">
        <f t="shared" ca="1" si="414"/>
        <v>965225.63581418898</v>
      </c>
      <c r="AS416" s="2">
        <f t="shared" ca="1" si="415"/>
        <v>1042876.5128841071</v>
      </c>
      <c r="AT416" s="2">
        <f t="shared" ca="1" si="416"/>
        <v>1124462.7038505408</v>
      </c>
      <c r="AU416" s="2">
        <f t="shared" ca="1" si="417"/>
        <v>1210183.6487719733</v>
      </c>
      <c r="AV416" s="2">
        <f t="shared" ca="1" si="418"/>
        <v>2427911.9136443888</v>
      </c>
      <c r="AW416" s="2">
        <f t="shared" ca="1" si="419"/>
        <v>2721366.3921774006</v>
      </c>
      <c r="AX416" s="2">
        <f t="shared" ca="1" si="420"/>
        <v>2941064.4785498972</v>
      </c>
      <c r="AY416" s="2">
        <f t="shared" ca="1" si="421"/>
        <v>3171896.7718362589</v>
      </c>
      <c r="AZ416" s="2">
        <f t="shared" ca="1" si="422"/>
        <v>3414427.5489751142</v>
      </c>
      <c r="BA416" s="2">
        <f t="shared" ca="1" si="423"/>
        <v>54178383.452473424</v>
      </c>
      <c r="BB416" s="2">
        <f t="shared" ca="1" si="424"/>
        <v>1083567.6690494686</v>
      </c>
      <c r="BC416" s="2">
        <f t="shared" ca="1" si="425"/>
        <v>28865459.655637637</v>
      </c>
      <c r="BD416" s="2">
        <f t="shared" ca="1" si="426"/>
        <v>-17662460.590515312</v>
      </c>
      <c r="BE416" s="2">
        <f t="shared" ca="1" si="427"/>
        <v>2427911.9136443888</v>
      </c>
      <c r="BF416" s="2">
        <f t="shared" ca="1" si="428"/>
        <v>2721366.3921774006</v>
      </c>
      <c r="BG416" s="2">
        <f t="shared" ca="1" si="429"/>
        <v>2941064.4785498972</v>
      </c>
      <c r="BH416" s="2">
        <f t="shared" ca="1" si="430"/>
        <v>3171896.7718362589</v>
      </c>
      <c r="BI416" s="2">
        <f t="shared" ca="1" si="431"/>
        <v>32279887.204612751</v>
      </c>
      <c r="BJ416" s="2">
        <f t="shared" ca="1" si="432"/>
        <v>0.23930697211827345</v>
      </c>
      <c r="BK416" s="2">
        <f t="shared" ca="1" si="433"/>
        <v>9100438.774404753</v>
      </c>
    </row>
    <row r="417" spans="1:63" x14ac:dyDescent="0.3">
      <c r="A417" s="2">
        <v>416</v>
      </c>
      <c r="B417" s="2">
        <f t="shared" ca="1" si="372"/>
        <v>0.27480067796389529</v>
      </c>
      <c r="C417" s="2">
        <f t="shared" ca="1" si="373"/>
        <v>6.7413510342123972</v>
      </c>
      <c r="D417" s="2">
        <f t="shared" ca="1" si="374"/>
        <v>0.51780369705329587</v>
      </c>
      <c r="E417" s="2">
        <f t="shared" ca="1" si="375"/>
        <v>7.5179650689036528</v>
      </c>
      <c r="F417" s="2">
        <f t="shared" ca="1" si="376"/>
        <v>0.42064487862723388</v>
      </c>
      <c r="G417" s="2">
        <f t="shared" ca="1" si="377"/>
        <v>3.3992680011864729E-2</v>
      </c>
      <c r="H417" s="2">
        <f t="shared" ca="1" si="378"/>
        <v>3.3992680011864729E-2</v>
      </c>
      <c r="I417" s="2">
        <f t="shared" ca="1" si="379"/>
        <v>0.41614147281201552</v>
      </c>
      <c r="J417" s="2">
        <f t="shared" ca="1" si="380"/>
        <v>8.9411273863551407E-3</v>
      </c>
      <c r="K417" s="2">
        <f t="shared" ca="1" si="381"/>
        <v>8.9411273863551407E-3</v>
      </c>
      <c r="L417" s="2">
        <f t="shared" ca="1" si="382"/>
        <v>0.35419902620571497</v>
      </c>
      <c r="M417" s="2">
        <f t="shared" ca="1" si="383"/>
        <v>-7.480168383722223E-3</v>
      </c>
      <c r="N417" s="2">
        <f t="shared" ca="1" si="384"/>
        <v>-7.480168383722223E-3</v>
      </c>
      <c r="O417" s="2">
        <f t="shared" si="385"/>
        <v>6000000</v>
      </c>
      <c r="P417" s="2">
        <f t="shared" ca="1" si="386"/>
        <v>40448106.205274381</v>
      </c>
      <c r="Q417" s="2">
        <f t="shared" ca="1" si="387"/>
        <v>1011202.6551318596</v>
      </c>
      <c r="R417" s="2">
        <f t="shared" ca="1" si="388"/>
        <v>24268863.723164629</v>
      </c>
      <c r="S417" s="2">
        <f t="shared" ca="1" si="389"/>
        <v>16179242.482109753</v>
      </c>
      <c r="T417" s="2">
        <f t="shared" ca="1" si="390"/>
        <v>49625991.580813892</v>
      </c>
      <c r="U417" s="2">
        <f t="shared" ca="1" si="391"/>
        <v>51312912.032891989</v>
      </c>
      <c r="V417" s="2">
        <f t="shared" ca="1" si="392"/>
        <v>53057175.432103045</v>
      </c>
      <c r="W417" s="2">
        <f t="shared" ca="1" si="393"/>
        <v>54860731.018899888</v>
      </c>
      <c r="X417" s="2">
        <f t="shared" ca="1" si="394"/>
        <v>56725594.293642327</v>
      </c>
      <c r="Y417" s="2">
        <f t="shared" ca="1" si="395"/>
        <v>0.12447056369317756</v>
      </c>
      <c r="Z417" s="2">
        <f t="shared" ca="1" si="396"/>
        <v>0.12625878917044858</v>
      </c>
      <c r="AA417" s="2">
        <f t="shared" ca="1" si="397"/>
        <v>6176975.1458967887</v>
      </c>
      <c r="AB417" s="2">
        <f t="shared" ca="1" si="398"/>
        <v>6478706.1420826837</v>
      </c>
      <c r="AC417" s="2">
        <f t="shared" ca="1" si="399"/>
        <v>6698934.7268614024</v>
      </c>
      <c r="AD417" s="2">
        <f t="shared" ca="1" si="400"/>
        <v>6926649.4714519698</v>
      </c>
      <c r="AE417" s="2">
        <f t="shared" ca="1" si="401"/>
        <v>7162104.8504893873</v>
      </c>
      <c r="AF417" s="2">
        <f t="shared" ca="1" si="402"/>
        <v>992519.83161627781</v>
      </c>
      <c r="AG417" s="2">
        <f t="shared" ca="1" si="403"/>
        <v>1026258.2406578398</v>
      </c>
      <c r="AH417" s="2">
        <f t="shared" ca="1" si="404"/>
        <v>1061143.5086420609</v>
      </c>
      <c r="AI417" s="2">
        <f t="shared" ca="1" si="405"/>
        <v>1097214.6203779979</v>
      </c>
      <c r="AJ417" s="2">
        <f t="shared" ca="1" si="406"/>
        <v>1134511.8858728465</v>
      </c>
      <c r="AK417" s="2">
        <f t="shared" ca="1" si="407"/>
        <v>0</v>
      </c>
      <c r="AL417" s="2">
        <f t="shared" ca="1" si="408"/>
        <v>16869.204520780964</v>
      </c>
      <c r="AM417" s="2">
        <f t="shared" ca="1" si="409"/>
        <v>17442.633992110565</v>
      </c>
      <c r="AN417" s="2">
        <f t="shared" ca="1" si="410"/>
        <v>18035.555867968425</v>
      </c>
      <c r="AO417" s="2">
        <f t="shared" ca="1" si="411"/>
        <v>18648.632747424395</v>
      </c>
      <c r="AP417" s="2">
        <f t="shared" ca="1" si="412"/>
        <v>2184197.7350848163</v>
      </c>
      <c r="AQ417" s="2">
        <f t="shared" ca="1" si="413"/>
        <v>780066.97059088061</v>
      </c>
      <c r="AR417" s="2">
        <f t="shared" ca="1" si="414"/>
        <v>849745.04324840719</v>
      </c>
      <c r="AS417" s="2">
        <f t="shared" ca="1" si="415"/>
        <v>897934.30561497668</v>
      </c>
      <c r="AT417" s="2">
        <f t="shared" ca="1" si="416"/>
        <v>947761.6501571805</v>
      </c>
      <c r="AU417" s="2">
        <f t="shared" ca="1" si="417"/>
        <v>999282.75967824843</v>
      </c>
      <c r="AV417" s="2">
        <f t="shared" ca="1" si="418"/>
        <v>2220190.6086048135</v>
      </c>
      <c r="AW417" s="2">
        <f t="shared" ca="1" si="419"/>
        <v>2401635.9185708393</v>
      </c>
      <c r="AX417" s="2">
        <f t="shared" ca="1" si="420"/>
        <v>2538216.5435274378</v>
      </c>
      <c r="AY417" s="2">
        <f t="shared" ca="1" si="421"/>
        <v>2679439.9099640069</v>
      </c>
      <c r="AZ417" s="2">
        <f t="shared" ca="1" si="422"/>
        <v>2825463.8371060514</v>
      </c>
      <c r="BA417" s="2">
        <f t="shared" ca="1" si="423"/>
        <v>53844454.085804634</v>
      </c>
      <c r="BB417" s="2">
        <f t="shared" ca="1" si="424"/>
        <v>1076889.0817160928</v>
      </c>
      <c r="BC417" s="2">
        <f t="shared" ca="1" si="425"/>
        <v>28498701.28092391</v>
      </c>
      <c r="BD417" s="2">
        <f t="shared" ca="1" si="426"/>
        <v>-17690445.137241613</v>
      </c>
      <c r="BE417" s="2">
        <f t="shared" ca="1" si="427"/>
        <v>2220190.6086048135</v>
      </c>
      <c r="BF417" s="2">
        <f t="shared" ca="1" si="428"/>
        <v>2401635.9185708393</v>
      </c>
      <c r="BG417" s="2">
        <f t="shared" ca="1" si="429"/>
        <v>2538216.5435274378</v>
      </c>
      <c r="BH417" s="2">
        <f t="shared" ca="1" si="430"/>
        <v>2679439.9099640069</v>
      </c>
      <c r="BI417" s="2">
        <f t="shared" ca="1" si="431"/>
        <v>31324165.118029963</v>
      </c>
      <c r="BJ417" s="2">
        <f t="shared" ca="1" si="432"/>
        <v>0.21898911625096784</v>
      </c>
      <c r="BK417" s="2">
        <f t="shared" ca="1" si="433"/>
        <v>7490094.7806183994</v>
      </c>
    </row>
    <row r="418" spans="1:63" x14ac:dyDescent="0.3">
      <c r="A418" s="2">
        <v>417</v>
      </c>
      <c r="B418" s="2">
        <f t="shared" ca="1" si="372"/>
        <v>0.37961568470872087</v>
      </c>
      <c r="C418" s="2">
        <f t="shared" ca="1" si="373"/>
        <v>6.8713388373172872</v>
      </c>
      <c r="D418" s="2">
        <f t="shared" ca="1" si="374"/>
        <v>0.14337978743591184</v>
      </c>
      <c r="E418" s="2">
        <f t="shared" ca="1" si="375"/>
        <v>7.0354993696278489</v>
      </c>
      <c r="F418" s="2">
        <f t="shared" ca="1" si="376"/>
        <v>0.46335090995019679</v>
      </c>
      <c r="G418" s="2">
        <f t="shared" ca="1" si="377"/>
        <v>3.7240142740153512E-2</v>
      </c>
      <c r="H418" s="2">
        <f t="shared" ca="1" si="378"/>
        <v>3.7240142740153512E-2</v>
      </c>
      <c r="I418" s="2">
        <f t="shared" ca="1" si="379"/>
        <v>8.7628567004695013E-3</v>
      </c>
      <c r="J418" s="2">
        <f t="shared" ca="1" si="380"/>
        <v>-1.8774451439906997E-3</v>
      </c>
      <c r="K418" s="2">
        <f t="shared" ca="1" si="381"/>
        <v>0</v>
      </c>
      <c r="L418" s="2">
        <f t="shared" ca="1" si="382"/>
        <v>0.18248846160693288</v>
      </c>
      <c r="M418" s="2">
        <f t="shared" ca="1" si="383"/>
        <v>-1.8118448149697954E-2</v>
      </c>
      <c r="N418" s="2">
        <f t="shared" ca="1" si="384"/>
        <v>-1.8118448149697954E-2</v>
      </c>
      <c r="O418" s="2">
        <f t="shared" si="385"/>
        <v>6000000</v>
      </c>
      <c r="P418" s="2">
        <f t="shared" ca="1" si="386"/>
        <v>41228033.02390372</v>
      </c>
      <c r="Q418" s="2">
        <f t="shared" ca="1" si="387"/>
        <v>1030700.8255975931</v>
      </c>
      <c r="R418" s="2">
        <f t="shared" ca="1" si="388"/>
        <v>24736819.814342231</v>
      </c>
      <c r="S418" s="2">
        <f t="shared" ca="1" si="389"/>
        <v>16491213.20956149</v>
      </c>
      <c r="T418" s="2">
        <f t="shared" ca="1" si="390"/>
        <v>49094077.592515104</v>
      </c>
      <c r="U418" s="2">
        <f t="shared" ca="1" si="391"/>
        <v>50922348.049756534</v>
      </c>
      <c r="V418" s="2">
        <f t="shared" ca="1" si="392"/>
        <v>52818703.559793241</v>
      </c>
      <c r="W418" s="2">
        <f t="shared" ca="1" si="393"/>
        <v>54785679.61970979</v>
      </c>
      <c r="X418" s="2">
        <f t="shared" ca="1" si="394"/>
        <v>56825906.148864098</v>
      </c>
      <c r="Y418" s="2">
        <f t="shared" ca="1" si="395"/>
        <v>0.12</v>
      </c>
      <c r="Z418" s="2">
        <f t="shared" ca="1" si="396"/>
        <v>0.12</v>
      </c>
      <c r="AA418" s="2">
        <f t="shared" ca="1" si="397"/>
        <v>5891289.3111018119</v>
      </c>
      <c r="AB418" s="2">
        <f t="shared" ca="1" si="398"/>
        <v>6110681.7659707842</v>
      </c>
      <c r="AC418" s="2">
        <f t="shared" ca="1" si="399"/>
        <v>6338244.4271751884</v>
      </c>
      <c r="AD418" s="2">
        <f t="shared" ca="1" si="400"/>
        <v>6574281.5543651748</v>
      </c>
      <c r="AE418" s="2">
        <f t="shared" ca="1" si="401"/>
        <v>6819108.7378636915</v>
      </c>
      <c r="AF418" s="2">
        <f t="shared" ca="1" si="402"/>
        <v>981881.55185030214</v>
      </c>
      <c r="AG418" s="2">
        <f t="shared" ca="1" si="403"/>
        <v>1018446.9609951307</v>
      </c>
      <c r="AH418" s="2">
        <f t="shared" ca="1" si="404"/>
        <v>1056374.0711958648</v>
      </c>
      <c r="AI418" s="2">
        <f t="shared" ca="1" si="405"/>
        <v>1095713.5923941957</v>
      </c>
      <c r="AJ418" s="2">
        <f t="shared" ca="1" si="406"/>
        <v>1136518.1229772819</v>
      </c>
      <c r="AK418" s="2">
        <f t="shared" ca="1" si="407"/>
        <v>0</v>
      </c>
      <c r="AL418" s="2">
        <f t="shared" ca="1" si="408"/>
        <v>18282.70457241431</v>
      </c>
      <c r="AM418" s="2">
        <f t="shared" ca="1" si="409"/>
        <v>18963.55510036707</v>
      </c>
      <c r="AN418" s="2">
        <f t="shared" ca="1" si="410"/>
        <v>19669.760599165485</v>
      </c>
      <c r="AO418" s="2">
        <f t="shared" ca="1" si="411"/>
        <v>20402.265291543081</v>
      </c>
      <c r="AP418" s="2">
        <f t="shared" ca="1" si="412"/>
        <v>2226313.7832908006</v>
      </c>
      <c r="AQ418" s="2">
        <f t="shared" ca="1" si="413"/>
        <v>697604.43374978437</v>
      </c>
      <c r="AR418" s="2">
        <f t="shared" ca="1" si="414"/>
        <v>745139.46563806164</v>
      </c>
      <c r="AS418" s="2">
        <f t="shared" ca="1" si="415"/>
        <v>794444.70889901591</v>
      </c>
      <c r="AT418" s="2">
        <f t="shared" ca="1" si="416"/>
        <v>845586.08645684645</v>
      </c>
      <c r="AU418" s="2">
        <f t="shared" ca="1" si="417"/>
        <v>898631.97621485835</v>
      </c>
      <c r="AV418" s="2">
        <f t="shared" ca="1" si="418"/>
        <v>1985489.5422109244</v>
      </c>
      <c r="AW418" s="2">
        <f t="shared" ca="1" si="419"/>
        <v>2102498.8514743764</v>
      </c>
      <c r="AX418" s="2">
        <f t="shared" ca="1" si="420"/>
        <v>2242148.3086891398</v>
      </c>
      <c r="AY418" s="2">
        <f t="shared" ca="1" si="421"/>
        <v>2386998.331624167</v>
      </c>
      <c r="AZ418" s="2">
        <f t="shared" ca="1" si="422"/>
        <v>2537242.5900892075</v>
      </c>
      <c r="BA418" s="2">
        <f t="shared" ca="1" si="423"/>
        <v>47975835.226663761</v>
      </c>
      <c r="BB418" s="2">
        <f t="shared" ca="1" si="424"/>
        <v>959516.70453327522</v>
      </c>
      <c r="BC418" s="2">
        <f t="shared" ca="1" si="425"/>
        <v>22279498.707788255</v>
      </c>
      <c r="BD418" s="2">
        <f t="shared" ca="1" si="426"/>
        <v>-18021914.035159081</v>
      </c>
      <c r="BE418" s="2">
        <f t="shared" ca="1" si="427"/>
        <v>1985489.5422109244</v>
      </c>
      <c r="BF418" s="2">
        <f t="shared" ca="1" si="428"/>
        <v>2102498.8514743764</v>
      </c>
      <c r="BG418" s="2">
        <f t="shared" ca="1" si="429"/>
        <v>2242148.3086891398</v>
      </c>
      <c r="BH418" s="2">
        <f t="shared" ca="1" si="430"/>
        <v>2386998.331624167</v>
      </c>
      <c r="BI418" s="2">
        <f t="shared" ca="1" si="431"/>
        <v>24816741.297877461</v>
      </c>
      <c r="BJ418" s="2">
        <f t="shared" ca="1" si="432"/>
        <v>0.15721814598714512</v>
      </c>
      <c r="BK418" s="2">
        <f t="shared" ca="1" si="433"/>
        <v>2621526.6521245427</v>
      </c>
    </row>
    <row r="419" spans="1:63" x14ac:dyDescent="0.3">
      <c r="A419" s="2">
        <v>418</v>
      </c>
      <c r="B419" s="2">
        <f t="shared" ca="1" si="372"/>
        <v>0.27108080055734618</v>
      </c>
      <c r="C419" s="2">
        <f t="shared" ca="1" si="373"/>
        <v>6.7363162371662684</v>
      </c>
      <c r="D419" s="2">
        <f t="shared" ca="1" si="374"/>
        <v>0.26983656192017103</v>
      </c>
      <c r="E419" s="2">
        <f t="shared" ca="1" si="375"/>
        <v>7.2346244781113285</v>
      </c>
      <c r="F419" s="2">
        <f t="shared" ca="1" si="376"/>
        <v>0.31747491341421874</v>
      </c>
      <c r="G419" s="2">
        <f t="shared" ca="1" si="377"/>
        <v>2.5756854072545202E-2</v>
      </c>
      <c r="H419" s="2">
        <f t="shared" ca="1" si="378"/>
        <v>2.5756854072545202E-2</v>
      </c>
      <c r="I419" s="2">
        <f t="shared" ca="1" si="379"/>
        <v>0.46715060585642776</v>
      </c>
      <c r="J419" s="2">
        <f t="shared" ca="1" si="380"/>
        <v>9.5878275587756474E-3</v>
      </c>
      <c r="K419" s="2">
        <f t="shared" ca="1" si="381"/>
        <v>9.5878275587756474E-3</v>
      </c>
      <c r="L419" s="2">
        <f t="shared" ca="1" si="382"/>
        <v>0.30272528004765387</v>
      </c>
      <c r="M419" s="2">
        <f t="shared" ca="1" si="383"/>
        <v>-1.0331566198883139E-2</v>
      </c>
      <c r="N419" s="2">
        <f t="shared" ca="1" si="384"/>
        <v>-1.0331566198883139E-2</v>
      </c>
      <c r="O419" s="2">
        <f t="shared" si="385"/>
        <v>6000000</v>
      </c>
      <c r="P419" s="2">
        <f t="shared" ca="1" si="386"/>
        <v>40417897.422997609</v>
      </c>
      <c r="Q419" s="2">
        <f t="shared" ca="1" si="387"/>
        <v>1010447.4355749403</v>
      </c>
      <c r="R419" s="2">
        <f t="shared" ca="1" si="388"/>
        <v>24250738.453798566</v>
      </c>
      <c r="S419" s="2">
        <f t="shared" ca="1" si="389"/>
        <v>16167158.969199045</v>
      </c>
      <c r="T419" s="2">
        <f t="shared" ca="1" si="390"/>
        <v>49483421.690055847</v>
      </c>
      <c r="U419" s="2">
        <f t="shared" ca="1" si="391"/>
        <v>50757958.961536832</v>
      </c>
      <c r="V419" s="2">
        <f t="shared" ca="1" si="392"/>
        <v>52065324.303529374</v>
      </c>
      <c r="W419" s="2">
        <f t="shared" ca="1" si="393"/>
        <v>53406363.263855122</v>
      </c>
      <c r="X419" s="2">
        <f t="shared" ca="1" si="394"/>
        <v>54781943.16898758</v>
      </c>
      <c r="Y419" s="2">
        <f t="shared" ca="1" si="395"/>
        <v>0.12479391377938782</v>
      </c>
      <c r="Z419" s="2">
        <f t="shared" ca="1" si="396"/>
        <v>0.12671147929114296</v>
      </c>
      <c r="AA419" s="2">
        <f t="shared" ca="1" si="397"/>
        <v>6175229.859897919</v>
      </c>
      <c r="AB419" s="2">
        <f t="shared" ca="1" si="398"/>
        <v>6431616.0658154581</v>
      </c>
      <c r="AC419" s="2">
        <f t="shared" ca="1" si="399"/>
        <v>6597274.2622733042</v>
      </c>
      <c r="AD419" s="2">
        <f t="shared" ca="1" si="400"/>
        <v>6767199.2927232366</v>
      </c>
      <c r="AE419" s="2">
        <f t="shared" ca="1" si="401"/>
        <v>6941501.0573857399</v>
      </c>
      <c r="AF419" s="2">
        <f t="shared" ca="1" si="402"/>
        <v>989668.433801117</v>
      </c>
      <c r="AG419" s="2">
        <f t="shared" ca="1" si="403"/>
        <v>1015159.1792307367</v>
      </c>
      <c r="AH419" s="2">
        <f t="shared" ca="1" si="404"/>
        <v>1041306.4860705875</v>
      </c>
      <c r="AI419" s="2">
        <f t="shared" ca="1" si="405"/>
        <v>1068127.2652771024</v>
      </c>
      <c r="AJ419" s="2">
        <f t="shared" ca="1" si="406"/>
        <v>1095638.8633797516</v>
      </c>
      <c r="AK419" s="2">
        <f t="shared" ca="1" si="407"/>
        <v>0</v>
      </c>
      <c r="AL419" s="2">
        <f t="shared" ca="1" si="408"/>
        <v>12745.37271480985</v>
      </c>
      <c r="AM419" s="2">
        <f t="shared" ca="1" si="409"/>
        <v>13073.653419925422</v>
      </c>
      <c r="AN419" s="2">
        <f t="shared" ca="1" si="410"/>
        <v>13410.389603257478</v>
      </c>
      <c r="AO419" s="2">
        <f t="shared" ca="1" si="411"/>
        <v>13755.799051324577</v>
      </c>
      <c r="AP419" s="2">
        <f t="shared" ca="1" si="412"/>
        <v>2182566.4608418709</v>
      </c>
      <c r="AQ419" s="2">
        <f t="shared" ca="1" si="413"/>
        <v>780778.69096628204</v>
      </c>
      <c r="AR419" s="2">
        <f t="shared" ca="1" si="414"/>
        <v>840811.51069314114</v>
      </c>
      <c r="AS419" s="2">
        <f t="shared" ca="1" si="415"/>
        <v>877084.34199382004</v>
      </c>
      <c r="AT419" s="2">
        <f t="shared" ca="1" si="416"/>
        <v>914291.4473171084</v>
      </c>
      <c r="AU419" s="2">
        <f t="shared" ca="1" si="417"/>
        <v>952456.89062267065</v>
      </c>
      <c r="AV419" s="2">
        <f t="shared" ca="1" si="418"/>
        <v>2222216.2742886487</v>
      </c>
      <c r="AW419" s="2">
        <f t="shared" ca="1" si="419"/>
        <v>2380333.5423348993</v>
      </c>
      <c r="AX419" s="2">
        <f t="shared" ca="1" si="420"/>
        <v>2483243.3199471002</v>
      </c>
      <c r="AY419" s="2">
        <f t="shared" ca="1" si="421"/>
        <v>2588803.7296838975</v>
      </c>
      <c r="AZ419" s="2">
        <f t="shared" ca="1" si="422"/>
        <v>2697083.0434901221</v>
      </c>
      <c r="BA419" s="2">
        <f t="shared" ca="1" si="423"/>
        <v>50219153.464598544</v>
      </c>
      <c r="BB419" s="2">
        <f t="shared" ca="1" si="424"/>
        <v>1004383.0692919709</v>
      </c>
      <c r="BC419" s="2">
        <f t="shared" ca="1" si="425"/>
        <v>24964031.941508006</v>
      </c>
      <c r="BD419" s="2">
        <f t="shared" ca="1" si="426"/>
        <v>-17677606.404773984</v>
      </c>
      <c r="BE419" s="2">
        <f t="shared" ca="1" si="427"/>
        <v>2222216.2742886487</v>
      </c>
      <c r="BF419" s="2">
        <f t="shared" ca="1" si="428"/>
        <v>2380333.5423348993</v>
      </c>
      <c r="BG419" s="2">
        <f t="shared" ca="1" si="429"/>
        <v>2483243.3199471002</v>
      </c>
      <c r="BH419" s="2">
        <f t="shared" ca="1" si="430"/>
        <v>2588803.7296838975</v>
      </c>
      <c r="BI419" s="2">
        <f t="shared" ca="1" si="431"/>
        <v>27661114.984998129</v>
      </c>
      <c r="BJ419" s="2">
        <f t="shared" ca="1" si="432"/>
        <v>0.1937385493315642</v>
      </c>
      <c r="BK419" s="2">
        <f t="shared" ca="1" si="433"/>
        <v>5312517.2140937634</v>
      </c>
    </row>
    <row r="420" spans="1:63" x14ac:dyDescent="0.3">
      <c r="A420" s="2">
        <v>419</v>
      </c>
      <c r="B420" s="2">
        <f t="shared" ca="1" si="372"/>
        <v>0.95099015486258209</v>
      </c>
      <c r="C420" s="2">
        <f t="shared" ca="1" si="373"/>
        <v>7.6869190355916928</v>
      </c>
      <c r="D420" s="2">
        <f t="shared" ca="1" si="374"/>
        <v>0.83964360059472598</v>
      </c>
      <c r="E420" s="2">
        <f t="shared" ca="1" si="375"/>
        <v>7.9336848944178264</v>
      </c>
      <c r="F420" s="2">
        <f t="shared" ca="1" si="376"/>
        <v>0.81418079021015877</v>
      </c>
      <c r="G420" s="2">
        <f t="shared" ca="1" si="377"/>
        <v>6.6802256838618346E-2</v>
      </c>
      <c r="H420" s="2">
        <f t="shared" ca="1" si="378"/>
        <v>6.6802256838618346E-2</v>
      </c>
      <c r="I420" s="2">
        <f t="shared" ca="1" si="379"/>
        <v>0.82106220296271004</v>
      </c>
      <c r="J420" s="2">
        <f t="shared" ca="1" si="380"/>
        <v>1.4597103233481363E-2</v>
      </c>
      <c r="K420" s="2">
        <f t="shared" ca="1" si="381"/>
        <v>1.4597103233481363E-2</v>
      </c>
      <c r="L420" s="2">
        <f t="shared" ca="1" si="382"/>
        <v>0.95642651988974059</v>
      </c>
      <c r="M420" s="2">
        <f t="shared" ca="1" si="383"/>
        <v>3.4212868200162901E-2</v>
      </c>
      <c r="N420" s="2">
        <f t="shared" ca="1" si="384"/>
        <v>3.4212868200162901E-2</v>
      </c>
      <c r="O420" s="2">
        <f t="shared" si="385"/>
        <v>6000000</v>
      </c>
      <c r="P420" s="2">
        <f t="shared" ca="1" si="386"/>
        <v>46121514.213550158</v>
      </c>
      <c r="Q420" s="2">
        <f t="shared" ca="1" si="387"/>
        <v>1153037.8553387539</v>
      </c>
      <c r="R420" s="2">
        <f t="shared" ca="1" si="388"/>
        <v>27672908.528130095</v>
      </c>
      <c r="S420" s="2">
        <f t="shared" ca="1" si="389"/>
        <v>18448605.685420062</v>
      </c>
      <c r="T420" s="2">
        <f t="shared" ca="1" si="390"/>
        <v>51710643.410008147</v>
      </c>
      <c r="U420" s="2">
        <f t="shared" ca="1" si="391"/>
        <v>55165031.092373721</v>
      </c>
      <c r="V420" s="2">
        <f t="shared" ca="1" si="392"/>
        <v>58850179.667916842</v>
      </c>
      <c r="W420" s="2">
        <f t="shared" ca="1" si="393"/>
        <v>62781504.485091858</v>
      </c>
      <c r="X420" s="2">
        <f t="shared" ca="1" si="394"/>
        <v>66975450.672419839</v>
      </c>
      <c r="Y420" s="2">
        <f t="shared" ca="1" si="395"/>
        <v>0.12729855161674067</v>
      </c>
      <c r="Z420" s="2">
        <f t="shared" ca="1" si="396"/>
        <v>0.13021797226343695</v>
      </c>
      <c r="AA420" s="2">
        <f t="shared" ca="1" si="397"/>
        <v>6582690.009263793</v>
      </c>
      <c r="AB420" s="2">
        <f t="shared" ca="1" si="398"/>
        <v>7183478.4886983586</v>
      </c>
      <c r="AC420" s="2">
        <f t="shared" ca="1" si="399"/>
        <v>7663351.0636950769</v>
      </c>
      <c r="AD420" s="2">
        <f t="shared" ca="1" si="400"/>
        <v>8175280.2096965341</v>
      </c>
      <c r="AE420" s="2">
        <f t="shared" ca="1" si="401"/>
        <v>8721407.3779923562</v>
      </c>
      <c r="AF420" s="2">
        <f t="shared" ca="1" si="402"/>
        <v>1034212.868200163</v>
      </c>
      <c r="AG420" s="2">
        <f t="shared" ca="1" si="403"/>
        <v>1103300.6218474745</v>
      </c>
      <c r="AH420" s="2">
        <f t="shared" ca="1" si="404"/>
        <v>1177003.5933583369</v>
      </c>
      <c r="AI420" s="2">
        <f t="shared" ca="1" si="405"/>
        <v>1255630.0897018372</v>
      </c>
      <c r="AJ420" s="2">
        <f t="shared" ca="1" si="406"/>
        <v>1339509.0134483967</v>
      </c>
      <c r="AK420" s="2">
        <f t="shared" ca="1" si="407"/>
        <v>0</v>
      </c>
      <c r="AL420" s="2">
        <f t="shared" ca="1" si="408"/>
        <v>34543.876823655737</v>
      </c>
      <c r="AM420" s="2">
        <f t="shared" ca="1" si="409"/>
        <v>36851.485755431204</v>
      </c>
      <c r="AN420" s="2">
        <f t="shared" ca="1" si="410"/>
        <v>39313.248171750158</v>
      </c>
      <c r="AO420" s="2">
        <f t="shared" ca="1" si="411"/>
        <v>41939.461873279812</v>
      </c>
      <c r="AP420" s="2">
        <f t="shared" ca="1" si="412"/>
        <v>2490561.7675317083</v>
      </c>
      <c r="AQ420" s="2">
        <f t="shared" ca="1" si="413"/>
        <v>795057.99711829959</v>
      </c>
      <c r="AR420" s="2">
        <f t="shared" ca="1" si="414"/>
        <v>933300.18582298583</v>
      </c>
      <c r="AS420" s="2">
        <f t="shared" ca="1" si="415"/>
        <v>1038904.2827293082</v>
      </c>
      <c r="AT420" s="2">
        <f t="shared" ca="1" si="416"/>
        <v>1151562.9716403771</v>
      </c>
      <c r="AU420" s="2">
        <f t="shared" ca="1" si="417"/>
        <v>1271747.5152231855</v>
      </c>
      <c r="AV420" s="2">
        <f t="shared" ca="1" si="418"/>
        <v>2262857.3764136215</v>
      </c>
      <c r="AW420" s="2">
        <f t="shared" ca="1" si="419"/>
        <v>2621772.0366725349</v>
      </c>
      <c r="AX420" s="2">
        <f t="shared" ca="1" si="420"/>
        <v>2920029.934320292</v>
      </c>
      <c r="AY420" s="2">
        <f t="shared" ca="1" si="421"/>
        <v>3238212.1326508611</v>
      </c>
      <c r="AZ420" s="2">
        <f t="shared" ca="1" si="422"/>
        <v>3577649.6199157857</v>
      </c>
      <c r="BA420" s="2">
        <f t="shared" ca="1" si="423"/>
        <v>69192897.972842142</v>
      </c>
      <c r="BB420" s="2">
        <f t="shared" ca="1" si="424"/>
        <v>1383857.9594568429</v>
      </c>
      <c r="BC420" s="2">
        <f t="shared" ca="1" si="425"/>
        <v>40136131.485255197</v>
      </c>
      <c r="BD420" s="2">
        <f t="shared" ca="1" si="426"/>
        <v>-20101643.540758815</v>
      </c>
      <c r="BE420" s="2">
        <f t="shared" ca="1" si="427"/>
        <v>2262857.3764136215</v>
      </c>
      <c r="BF420" s="2">
        <f t="shared" ca="1" si="428"/>
        <v>2621772.0366725349</v>
      </c>
      <c r="BG420" s="2">
        <f t="shared" ca="1" si="429"/>
        <v>2920029.934320292</v>
      </c>
      <c r="BH420" s="2">
        <f t="shared" ca="1" si="430"/>
        <v>3238212.1326508611</v>
      </c>
      <c r="BI420" s="2">
        <f t="shared" ca="1" si="431"/>
        <v>43713781.10517098</v>
      </c>
      <c r="BJ420" s="2">
        <f t="shared" ca="1" si="432"/>
        <v>0.25781881124363726</v>
      </c>
      <c r="BK420" s="2">
        <f t="shared" ca="1" si="433"/>
        <v>12949560.79336971</v>
      </c>
    </row>
    <row r="421" spans="1:63" x14ac:dyDescent="0.3">
      <c r="A421" s="2">
        <v>420</v>
      </c>
      <c r="B421" s="2">
        <f t="shared" ca="1" si="372"/>
        <v>0.11862199909278248</v>
      </c>
      <c r="C421" s="2">
        <f t="shared" ca="1" si="373"/>
        <v>6.4870769941041813</v>
      </c>
      <c r="D421" s="2">
        <f t="shared" ca="1" si="374"/>
        <v>0.10260233229156723</v>
      </c>
      <c r="E421" s="2">
        <f t="shared" ca="1" si="375"/>
        <v>6.9529952147463971</v>
      </c>
      <c r="F421" s="2">
        <f t="shared" ca="1" si="376"/>
        <v>0.11374785971949519</v>
      </c>
      <c r="G421" s="2">
        <f t="shared" ca="1" si="377"/>
        <v>3.7949519725552772E-3</v>
      </c>
      <c r="H421" s="2">
        <f t="shared" ca="1" si="378"/>
        <v>3.7949519725552772E-3</v>
      </c>
      <c r="I421" s="2">
        <f t="shared" ca="1" si="379"/>
        <v>0.28270406673419812</v>
      </c>
      <c r="J421" s="2">
        <f t="shared" ca="1" si="380"/>
        <v>7.1258637362049231E-3</v>
      </c>
      <c r="K421" s="2">
        <f t="shared" ca="1" si="381"/>
        <v>7.1258637362049231E-3</v>
      </c>
      <c r="L421" s="2">
        <f t="shared" ca="1" si="382"/>
        <v>0.32936694023964519</v>
      </c>
      <c r="M421" s="2">
        <f t="shared" ca="1" si="383"/>
        <v>-8.8332380952675874E-3</v>
      </c>
      <c r="N421" s="2">
        <f t="shared" ca="1" si="384"/>
        <v>-8.8332380952675874E-3</v>
      </c>
      <c r="O421" s="2">
        <f t="shared" si="385"/>
        <v>6000000</v>
      </c>
      <c r="P421" s="2">
        <f t="shared" ca="1" si="386"/>
        <v>38922461.96462509</v>
      </c>
      <c r="Q421" s="2">
        <f t="shared" ca="1" si="387"/>
        <v>973061.54911562731</v>
      </c>
      <c r="R421" s="2">
        <f t="shared" ca="1" si="388"/>
        <v>23353477.178775053</v>
      </c>
      <c r="S421" s="2">
        <f t="shared" ca="1" si="389"/>
        <v>15568984.785850037</v>
      </c>
      <c r="T421" s="2">
        <f t="shared" ca="1" si="390"/>
        <v>49558338.095236622</v>
      </c>
      <c r="U421" s="2">
        <f t="shared" ca="1" si="391"/>
        <v>49746409.608147703</v>
      </c>
      <c r="V421" s="2">
        <f t="shared" ca="1" si="392"/>
        <v>49935194.843417689</v>
      </c>
      <c r="W421" s="2">
        <f t="shared" ca="1" si="393"/>
        <v>50124696.509588651</v>
      </c>
      <c r="X421" s="2">
        <f t="shared" ca="1" si="394"/>
        <v>50314917.325481452</v>
      </c>
      <c r="Y421" s="2">
        <f t="shared" ca="1" si="395"/>
        <v>0.12356293186810245</v>
      </c>
      <c r="Z421" s="2">
        <f t="shared" ca="1" si="396"/>
        <v>0.12498810461534345</v>
      </c>
      <c r="AA421" s="2">
        <f t="shared" ca="1" si="397"/>
        <v>6123573.5535581093</v>
      </c>
      <c r="AB421" s="2">
        <f t="shared" ca="1" si="398"/>
        <v>6217709.4483408919</v>
      </c>
      <c r="AC421" s="2">
        <f t="shared" ca="1" si="399"/>
        <v>6241305.3570766486</v>
      </c>
      <c r="AD421" s="2">
        <f t="shared" ca="1" si="400"/>
        <v>6264990.8111528065</v>
      </c>
      <c r="AE421" s="2">
        <f t="shared" ca="1" si="401"/>
        <v>6288766.1503896322</v>
      </c>
      <c r="AF421" s="2">
        <f t="shared" ca="1" si="402"/>
        <v>991166.76190473244</v>
      </c>
      <c r="AG421" s="2">
        <f t="shared" ca="1" si="403"/>
        <v>994928.19216295413</v>
      </c>
      <c r="AH421" s="2">
        <f t="shared" ca="1" si="404"/>
        <v>998703.89686835383</v>
      </c>
      <c r="AI421" s="2">
        <f t="shared" ca="1" si="405"/>
        <v>1002493.930191773</v>
      </c>
      <c r="AJ421" s="2">
        <f t="shared" ca="1" si="406"/>
        <v>1006298.346509629</v>
      </c>
      <c r="AK421" s="2">
        <f t="shared" ca="1" si="407"/>
        <v>0</v>
      </c>
      <c r="AL421" s="2">
        <f t="shared" ca="1" si="408"/>
        <v>1880.7151291108132</v>
      </c>
      <c r="AM421" s="2">
        <f t="shared" ca="1" si="409"/>
        <v>1887.8523526998611</v>
      </c>
      <c r="AN421" s="2">
        <f t="shared" ca="1" si="410"/>
        <v>1895.0166617096215</v>
      </c>
      <c r="AO421" s="2">
        <f t="shared" ca="1" si="411"/>
        <v>1902.2081589280069</v>
      </c>
      <c r="AP421" s="2">
        <f t="shared" ca="1" si="412"/>
        <v>2101812.9460897548</v>
      </c>
      <c r="AQ421" s="2">
        <f t="shared" ca="1" si="413"/>
        <v>787954.39984654181</v>
      </c>
      <c r="AR421" s="2">
        <f t="shared" ca="1" si="414"/>
        <v>811451.76062292757</v>
      </c>
      <c r="AS421" s="2">
        <f t="shared" ca="1" si="415"/>
        <v>816605.01367082051</v>
      </c>
      <c r="AT421" s="2">
        <f t="shared" ca="1" si="416"/>
        <v>821777.8230665325</v>
      </c>
      <c r="AU421" s="2">
        <f t="shared" ca="1" si="417"/>
        <v>826970.26302546461</v>
      </c>
      <c r="AV421" s="2">
        <f t="shared" ca="1" si="418"/>
        <v>2242639.4457170805</v>
      </c>
      <c r="AW421" s="2">
        <f t="shared" ca="1" si="419"/>
        <v>2307635.8343361439</v>
      </c>
      <c r="AX421" s="2">
        <f t="shared" ca="1" si="420"/>
        <v>2322295.6480950192</v>
      </c>
      <c r="AY421" s="2">
        <f t="shared" ca="1" si="421"/>
        <v>2337011.0951430369</v>
      </c>
      <c r="AZ421" s="2">
        <f t="shared" ca="1" si="422"/>
        <v>2351782.386605856</v>
      </c>
      <c r="BA421" s="2">
        <f t="shared" ca="1" si="423"/>
        <v>43725760.950318232</v>
      </c>
      <c r="BB421" s="2">
        <f t="shared" ca="1" si="424"/>
        <v>874515.2190063647</v>
      </c>
      <c r="BC421" s="2">
        <f t="shared" ca="1" si="425"/>
        <v>19497768.552536815</v>
      </c>
      <c r="BD421" s="2">
        <f t="shared" ca="1" si="426"/>
        <v>-17042046.334965665</v>
      </c>
      <c r="BE421" s="2">
        <f t="shared" ca="1" si="427"/>
        <v>2242639.4457170805</v>
      </c>
      <c r="BF421" s="2">
        <f t="shared" ca="1" si="428"/>
        <v>2307635.8343361439</v>
      </c>
      <c r="BG421" s="2">
        <f t="shared" ca="1" si="429"/>
        <v>2322295.6480950192</v>
      </c>
      <c r="BH421" s="2">
        <f t="shared" ca="1" si="430"/>
        <v>2337011.0951430369</v>
      </c>
      <c r="BI421" s="2">
        <f t="shared" ca="1" si="431"/>
        <v>21849550.93914267</v>
      </c>
      <c r="BJ421" s="2">
        <f t="shared" ca="1" si="432"/>
        <v>0.15635425747156861</v>
      </c>
      <c r="BK421" s="2">
        <f t="shared" ca="1" si="433"/>
        <v>2336142.4323003702</v>
      </c>
    </row>
    <row r="422" spans="1:63" x14ac:dyDescent="0.3">
      <c r="A422" s="2">
        <v>421</v>
      </c>
      <c r="B422" s="2">
        <f t="shared" ca="1" si="372"/>
        <v>0.61718179085192826</v>
      </c>
      <c r="C422" s="2">
        <f t="shared" ca="1" si="373"/>
        <v>7.1249934752836737</v>
      </c>
      <c r="D422" s="2">
        <f t="shared" ca="1" si="374"/>
        <v>0.43925935106989367</v>
      </c>
      <c r="E422" s="2">
        <f t="shared" ca="1" si="375"/>
        <v>7.4372932850179749</v>
      </c>
      <c r="F422" s="2">
        <f t="shared" ca="1" si="376"/>
        <v>0.35601401035197089</v>
      </c>
      <c r="G422" s="2">
        <f t="shared" ca="1" si="377"/>
        <v>2.8925986975766066E-2</v>
      </c>
      <c r="H422" s="2">
        <f t="shared" ca="1" si="378"/>
        <v>2.8925986975766066E-2</v>
      </c>
      <c r="I422" s="2">
        <f t="shared" ca="1" si="379"/>
        <v>0.80262065794042692</v>
      </c>
      <c r="J422" s="2">
        <f t="shared" ca="1" si="380"/>
        <v>1.4255096028886388E-2</v>
      </c>
      <c r="K422" s="2">
        <f t="shared" ca="1" si="381"/>
        <v>1.4255096028886388E-2</v>
      </c>
      <c r="L422" s="2">
        <f t="shared" ca="1" si="382"/>
        <v>0.47692920290415364</v>
      </c>
      <c r="M422" s="2">
        <f t="shared" ca="1" si="383"/>
        <v>-1.1572436704001931E-3</v>
      </c>
      <c r="N422" s="2">
        <f t="shared" ca="1" si="384"/>
        <v>-1.1572436704001931E-3</v>
      </c>
      <c r="O422" s="2">
        <f t="shared" si="385"/>
        <v>6000000</v>
      </c>
      <c r="P422" s="2">
        <f t="shared" ca="1" si="386"/>
        <v>42749960.851702042</v>
      </c>
      <c r="Q422" s="2">
        <f t="shared" ca="1" si="387"/>
        <v>1068749.0212925512</v>
      </c>
      <c r="R422" s="2">
        <f t="shared" ca="1" si="388"/>
        <v>25649976.511021223</v>
      </c>
      <c r="S422" s="2">
        <f t="shared" ca="1" si="389"/>
        <v>17099984.340680819</v>
      </c>
      <c r="T422" s="2">
        <f t="shared" ca="1" si="390"/>
        <v>49942137.816479996</v>
      </c>
      <c r="U422" s="2">
        <f t="shared" ca="1" si="391"/>
        <v>51386763.444501415</v>
      </c>
      <c r="V422" s="2">
        <f t="shared" ca="1" si="392"/>
        <v>52873176.294623837</v>
      </c>
      <c r="W422" s="2">
        <f t="shared" ca="1" si="393"/>
        <v>54402585.103489511</v>
      </c>
      <c r="X422" s="2">
        <f t="shared" ca="1" si="394"/>
        <v>55976233.571641058</v>
      </c>
      <c r="Y422" s="2">
        <f t="shared" ca="1" si="395"/>
        <v>0.1271275480144432</v>
      </c>
      <c r="Z422" s="2">
        <f t="shared" ca="1" si="396"/>
        <v>0.12997856722022047</v>
      </c>
      <c r="AA422" s="2">
        <f t="shared" ca="1" si="397"/>
        <v>6349021.5232084999</v>
      </c>
      <c r="AB422" s="2">
        <f t="shared" ca="1" si="398"/>
        <v>6679177.8866006956</v>
      </c>
      <c r="AC422" s="2">
        <f t="shared" ca="1" si="399"/>
        <v>6872379.6991573321</v>
      </c>
      <c r="AD422" s="2">
        <f t="shared" ca="1" si="400"/>
        <v>7071170.0648276759</v>
      </c>
      <c r="AE422" s="2">
        <f t="shared" ca="1" si="401"/>
        <v>7275710.6380263092</v>
      </c>
      <c r="AF422" s="2">
        <f t="shared" ca="1" si="402"/>
        <v>998842.75632959988</v>
      </c>
      <c r="AG422" s="2">
        <f t="shared" ca="1" si="403"/>
        <v>1027735.2688900284</v>
      </c>
      <c r="AH422" s="2">
        <f t="shared" ca="1" si="404"/>
        <v>1057463.5258924768</v>
      </c>
      <c r="AI422" s="2">
        <f t="shared" ca="1" si="405"/>
        <v>1088051.7020697903</v>
      </c>
      <c r="AJ422" s="2">
        <f t="shared" ca="1" si="406"/>
        <v>1119524.6714328211</v>
      </c>
      <c r="AK422" s="2">
        <f t="shared" ca="1" si="407"/>
        <v>0</v>
      </c>
      <c r="AL422" s="2">
        <f t="shared" ca="1" si="408"/>
        <v>14446.256280214191</v>
      </c>
      <c r="AM422" s="2">
        <f t="shared" ca="1" si="409"/>
        <v>14864.128501224221</v>
      </c>
      <c r="AN422" s="2">
        <f t="shared" ca="1" si="410"/>
        <v>15294.088088656739</v>
      </c>
      <c r="AO422" s="2">
        <f t="shared" ca="1" si="411"/>
        <v>15736.484681515471</v>
      </c>
      <c r="AP422" s="2">
        <f t="shared" ca="1" si="412"/>
        <v>2308497.88599191</v>
      </c>
      <c r="AQ422" s="2">
        <f t="shared" ca="1" si="413"/>
        <v>790837.02903061744</v>
      </c>
      <c r="AR422" s="2">
        <f t="shared" ca="1" si="414"/>
        <v>869165.63024687674</v>
      </c>
      <c r="AS422" s="2">
        <f t="shared" ca="1" si="415"/>
        <v>911668.75469096587</v>
      </c>
      <c r="AT422" s="2">
        <f t="shared" ca="1" si="416"/>
        <v>955401.32395915373</v>
      </c>
      <c r="AU422" s="2">
        <f t="shared" ca="1" si="417"/>
        <v>1000398.9009564103</v>
      </c>
      <c r="AV422" s="2">
        <f t="shared" ca="1" si="418"/>
        <v>2250843.8518563728</v>
      </c>
      <c r="AW422" s="2">
        <f t="shared" ca="1" si="419"/>
        <v>2459332.8451916655</v>
      </c>
      <c r="AX422" s="2">
        <f t="shared" ca="1" si="420"/>
        <v>2579885.4040807555</v>
      </c>
      <c r="AY422" s="2">
        <f t="shared" ca="1" si="421"/>
        <v>2703925.064718165</v>
      </c>
      <c r="AZ422" s="2">
        <f t="shared" ca="1" si="422"/>
        <v>2831552.6949636531</v>
      </c>
      <c r="BA422" s="2">
        <f t="shared" ca="1" si="423"/>
        <v>54111593.871926919</v>
      </c>
      <c r="BB422" s="2">
        <f t="shared" ca="1" si="424"/>
        <v>1082231.8774385385</v>
      </c>
      <c r="BC422" s="2">
        <f t="shared" ca="1" si="425"/>
        <v>27379385.483467158</v>
      </c>
      <c r="BD422" s="2">
        <f t="shared" ca="1" si="426"/>
        <v>-18668733.361973371</v>
      </c>
      <c r="BE422" s="2">
        <f t="shared" ca="1" si="427"/>
        <v>2250843.8518563728</v>
      </c>
      <c r="BF422" s="2">
        <f t="shared" ca="1" si="428"/>
        <v>2459332.8451916655</v>
      </c>
      <c r="BG422" s="2">
        <f t="shared" ca="1" si="429"/>
        <v>2579885.4040807555</v>
      </c>
      <c r="BH422" s="2">
        <f t="shared" ca="1" si="430"/>
        <v>2703925.064718165</v>
      </c>
      <c r="BI422" s="2">
        <f t="shared" ca="1" si="431"/>
        <v>30210938.178430811</v>
      </c>
      <c r="BJ422" s="2">
        <f t="shared" ca="1" si="432"/>
        <v>0.19768053078465209</v>
      </c>
      <c r="BK422" s="2">
        <f t="shared" ca="1" si="433"/>
        <v>5998716.1280827299</v>
      </c>
    </row>
    <row r="423" spans="1:63" x14ac:dyDescent="0.3">
      <c r="A423" s="2">
        <v>422</v>
      </c>
      <c r="B423" s="2">
        <f t="shared" ca="1" si="372"/>
        <v>0.99503919448178901</v>
      </c>
      <c r="C423" s="2">
        <f t="shared" ca="1" si="373"/>
        <v>7.9003927159469649</v>
      </c>
      <c r="D423" s="2">
        <f t="shared" ca="1" si="374"/>
        <v>0.49005508923378427</v>
      </c>
      <c r="E423" s="2">
        <f t="shared" ca="1" si="375"/>
        <v>7.49000514062684</v>
      </c>
      <c r="F423" s="2">
        <f t="shared" ca="1" si="376"/>
        <v>0.38004405990149892</v>
      </c>
      <c r="G423" s="2">
        <f t="shared" ca="1" si="377"/>
        <v>3.0839047806849044E-2</v>
      </c>
      <c r="H423" s="2">
        <f t="shared" ca="1" si="378"/>
        <v>3.0839047806849044E-2</v>
      </c>
      <c r="I423" s="2">
        <f t="shared" ca="1" si="379"/>
        <v>0.18755676692835521</v>
      </c>
      <c r="J423" s="2">
        <f t="shared" ca="1" si="380"/>
        <v>5.5653216303826929E-3</v>
      </c>
      <c r="K423" s="2">
        <f t="shared" ca="1" si="381"/>
        <v>5.5653216303826929E-3</v>
      </c>
      <c r="L423" s="2">
        <f t="shared" ca="1" si="382"/>
        <v>0.2513155549072984</v>
      </c>
      <c r="M423" s="2">
        <f t="shared" ca="1" si="383"/>
        <v>-1.3407112675637701E-2</v>
      </c>
      <c r="N423" s="2">
        <f t="shared" ca="1" si="384"/>
        <v>-1.3407112675637701E-2</v>
      </c>
      <c r="O423" s="2">
        <f t="shared" si="385"/>
        <v>6000000</v>
      </c>
      <c r="P423" s="2">
        <f t="shared" ca="1" si="386"/>
        <v>47402356.29568179</v>
      </c>
      <c r="Q423" s="2">
        <f t="shared" ca="1" si="387"/>
        <v>1185058.9073920448</v>
      </c>
      <c r="R423" s="2">
        <f t="shared" ca="1" si="388"/>
        <v>28441413.777409073</v>
      </c>
      <c r="S423" s="2">
        <f t="shared" ca="1" si="389"/>
        <v>18960942.518272717</v>
      </c>
      <c r="T423" s="2">
        <f t="shared" ca="1" si="390"/>
        <v>49329644.36621812</v>
      </c>
      <c r="U423" s="2">
        <f t="shared" ca="1" si="391"/>
        <v>50850923.627122782</v>
      </c>
      <c r="V423" s="2">
        <f t="shared" ca="1" si="392"/>
        <v>52419117.691882052</v>
      </c>
      <c r="W423" s="2">
        <f t="shared" ca="1" si="393"/>
        <v>54035673.368374847</v>
      </c>
      <c r="X423" s="2">
        <f t="shared" ca="1" si="394"/>
        <v>55702082.082657434</v>
      </c>
      <c r="Y423" s="2">
        <f t="shared" ca="1" si="395"/>
        <v>0.12278266081519135</v>
      </c>
      <c r="Z423" s="2">
        <f t="shared" ca="1" si="396"/>
        <v>0.12389572514126788</v>
      </c>
      <c r="AA423" s="2">
        <f t="shared" ca="1" si="397"/>
        <v>6056824.9923513746</v>
      </c>
      <c r="AB423" s="2">
        <f t="shared" ca="1" si="398"/>
        <v>6300212.0568856094</v>
      </c>
      <c r="AC423" s="2">
        <f t="shared" ca="1" si="399"/>
        <v>6494504.597701191</v>
      </c>
      <c r="AD423" s="2">
        <f t="shared" ca="1" si="400"/>
        <v>6694788.9354714993</v>
      </c>
      <c r="AE423" s="2">
        <f t="shared" ca="1" si="401"/>
        <v>6901249.8515092684</v>
      </c>
      <c r="AF423" s="2">
        <f t="shared" ca="1" si="402"/>
        <v>986592.88732436241</v>
      </c>
      <c r="AG423" s="2">
        <f t="shared" ca="1" si="403"/>
        <v>1017018.4725424557</v>
      </c>
      <c r="AH423" s="2">
        <f t="shared" ca="1" si="404"/>
        <v>1048382.3538376411</v>
      </c>
      <c r="AI423" s="2">
        <f t="shared" ca="1" si="405"/>
        <v>1080713.467367497</v>
      </c>
      <c r="AJ423" s="2">
        <f t="shared" ca="1" si="406"/>
        <v>1114041.6416531487</v>
      </c>
      <c r="AK423" s="2">
        <f t="shared" ca="1" si="407"/>
        <v>0</v>
      </c>
      <c r="AL423" s="2">
        <f t="shared" ca="1" si="408"/>
        <v>15212.792609046623</v>
      </c>
      <c r="AM423" s="2">
        <f t="shared" ca="1" si="409"/>
        <v>15681.940647592693</v>
      </c>
      <c r="AN423" s="2">
        <f t="shared" ca="1" si="410"/>
        <v>16165.556764927955</v>
      </c>
      <c r="AO423" s="2">
        <f t="shared" ca="1" si="411"/>
        <v>16664.087142825872</v>
      </c>
      <c r="AP423" s="2">
        <f t="shared" ca="1" si="412"/>
        <v>2559727.2399668163</v>
      </c>
      <c r="AQ423" s="2">
        <f t="shared" ca="1" si="413"/>
        <v>652731.26491565106</v>
      </c>
      <c r="AR423" s="2">
        <f t="shared" ca="1" si="414"/>
        <v>708101.24953784782</v>
      </c>
      <c r="AS423" s="2">
        <f t="shared" ca="1" si="415"/>
        <v>750462.70101315086</v>
      </c>
      <c r="AT423" s="2">
        <f t="shared" ca="1" si="416"/>
        <v>794130.53931566828</v>
      </c>
      <c r="AU423" s="2">
        <f t="shared" ca="1" si="417"/>
        <v>839145.05217121902</v>
      </c>
      <c r="AV423" s="2">
        <f t="shared" ca="1" si="418"/>
        <v>1857773.6001445455</v>
      </c>
      <c r="AW423" s="2">
        <f t="shared" ca="1" si="419"/>
        <v>2000152.3022294436</v>
      </c>
      <c r="AX423" s="2">
        <f t="shared" ca="1" si="420"/>
        <v>2120250.3622359904</v>
      </c>
      <c r="AY423" s="2">
        <f t="shared" ca="1" si="421"/>
        <v>2244052.1320565902</v>
      </c>
      <c r="AZ423" s="2">
        <f t="shared" ca="1" si="422"/>
        <v>2371671.8305752585</v>
      </c>
      <c r="BA423" s="2">
        <f t="shared" ca="1" si="423"/>
        <v>51690396.864554636</v>
      </c>
      <c r="BB423" s="2">
        <f t="shared" ca="1" si="424"/>
        <v>1033807.9372910927</v>
      </c>
      <c r="BC423" s="2">
        <f t="shared" ca="1" si="425"/>
        <v>22215175.14985447</v>
      </c>
      <c r="BD423" s="2">
        <f t="shared" ca="1" si="426"/>
        <v>-20646001.42566476</v>
      </c>
      <c r="BE423" s="2">
        <f t="shared" ca="1" si="427"/>
        <v>1857773.6001445455</v>
      </c>
      <c r="BF423" s="2">
        <f t="shared" ca="1" si="428"/>
        <v>2000152.3022294436</v>
      </c>
      <c r="BG423" s="2">
        <f t="shared" ca="1" si="429"/>
        <v>2120250.3622359904</v>
      </c>
      <c r="BH423" s="2">
        <f t="shared" ca="1" si="430"/>
        <v>2244052.1320565902</v>
      </c>
      <c r="BI423" s="2">
        <f t="shared" ca="1" si="431"/>
        <v>24586846.980429728</v>
      </c>
      <c r="BJ423" s="2">
        <f t="shared" ca="1" si="432"/>
        <v>0.11342678771894477</v>
      </c>
      <c r="BK423" s="2">
        <f t="shared" ca="1" si="433"/>
        <v>-506240.52625413239</v>
      </c>
    </row>
    <row r="424" spans="1:63" x14ac:dyDescent="0.3">
      <c r="A424" s="2">
        <v>423</v>
      </c>
      <c r="B424" s="2">
        <f t="shared" ca="1" si="372"/>
        <v>0.52977364934712967</v>
      </c>
      <c r="C424" s="2">
        <f t="shared" ca="1" si="373"/>
        <v>7.0302305937462553</v>
      </c>
      <c r="D424" s="2">
        <f t="shared" ca="1" si="374"/>
        <v>0.7824420060204561</v>
      </c>
      <c r="E424" s="2">
        <f t="shared" ca="1" si="375"/>
        <v>7.8403667777021173</v>
      </c>
      <c r="F424" s="2">
        <f t="shared" ca="1" si="376"/>
        <v>0.66885706207774265</v>
      </c>
      <c r="G424" s="2">
        <f t="shared" ca="1" si="377"/>
        <v>5.3102780761619894E-2</v>
      </c>
      <c r="H424" s="2">
        <f t="shared" ca="1" si="378"/>
        <v>5.3102780761619894E-2</v>
      </c>
      <c r="I424" s="2">
        <f t="shared" ca="1" si="379"/>
        <v>0.39635095380899943</v>
      </c>
      <c r="J424" s="2">
        <f t="shared" ca="1" si="380"/>
        <v>8.6859816560031552E-3</v>
      </c>
      <c r="K424" s="2">
        <f t="shared" ca="1" si="381"/>
        <v>8.6859816560031552E-3</v>
      </c>
      <c r="L424" s="2">
        <f t="shared" ca="1" si="382"/>
        <v>0.79036769953418817</v>
      </c>
      <c r="M424" s="2">
        <f t="shared" ca="1" si="383"/>
        <v>1.6153954939280228E-2</v>
      </c>
      <c r="N424" s="2">
        <f t="shared" ca="1" si="384"/>
        <v>1.6153954939280228E-2</v>
      </c>
      <c r="O424" s="2">
        <f t="shared" si="385"/>
        <v>6000000</v>
      </c>
      <c r="P424" s="2">
        <f t="shared" ca="1" si="386"/>
        <v>42181383.562477529</v>
      </c>
      <c r="Q424" s="2">
        <f t="shared" ca="1" si="387"/>
        <v>1054534.5890619382</v>
      </c>
      <c r="R424" s="2">
        <f t="shared" ca="1" si="388"/>
        <v>25308830.137486517</v>
      </c>
      <c r="S424" s="2">
        <f t="shared" ca="1" si="389"/>
        <v>16872553.424991012</v>
      </c>
      <c r="T424" s="2">
        <f t="shared" ca="1" si="390"/>
        <v>50807697.746964008</v>
      </c>
      <c r="U424" s="2">
        <f t="shared" ca="1" si="391"/>
        <v>53505727.78142368</v>
      </c>
      <c r="V424" s="2">
        <f t="shared" ca="1" si="392"/>
        <v>56347030.713291533</v>
      </c>
      <c r="W424" s="2">
        <f t="shared" ca="1" si="393"/>
        <v>59339214.731827714</v>
      </c>
      <c r="X424" s="2">
        <f t="shared" ca="1" si="394"/>
        <v>62490292.042298637</v>
      </c>
      <c r="Y424" s="2">
        <f t="shared" ca="1" si="395"/>
        <v>0.12434299082800157</v>
      </c>
      <c r="Z424" s="2">
        <f t="shared" ca="1" si="396"/>
        <v>0.12608018715920222</v>
      </c>
      <c r="AA424" s="2">
        <f t="shared" ca="1" si="397"/>
        <v>6317581.0949426219</v>
      </c>
      <c r="AB424" s="2">
        <f t="shared" ca="1" si="398"/>
        <v>6746012.1727712229</v>
      </c>
      <c r="AC424" s="2">
        <f t="shared" ca="1" si="399"/>
        <v>7104244.1781971119</v>
      </c>
      <c r="AD424" s="2">
        <f t="shared" ca="1" si="400"/>
        <v>7481499.2992689274</v>
      </c>
      <c r="AE424" s="2">
        <f t="shared" ca="1" si="401"/>
        <v>7878787.7163262172</v>
      </c>
      <c r="AF424" s="2">
        <f t="shared" ca="1" si="402"/>
        <v>1016153.9549392802</v>
      </c>
      <c r="AG424" s="2">
        <f t="shared" ca="1" si="403"/>
        <v>1070114.5556284736</v>
      </c>
      <c r="AH424" s="2">
        <f t="shared" ca="1" si="404"/>
        <v>1126940.6142658307</v>
      </c>
      <c r="AI424" s="2">
        <f t="shared" ca="1" si="405"/>
        <v>1186784.2946365543</v>
      </c>
      <c r="AJ424" s="2">
        <f t="shared" ca="1" si="406"/>
        <v>1249805.8408459728</v>
      </c>
      <c r="AK424" s="2">
        <f t="shared" ca="1" si="407"/>
        <v>0</v>
      </c>
      <c r="AL424" s="2">
        <f t="shared" ca="1" si="408"/>
        <v>26980.30034459673</v>
      </c>
      <c r="AM424" s="2">
        <f t="shared" ca="1" si="409"/>
        <v>28413.029318678527</v>
      </c>
      <c r="AN424" s="2">
        <f t="shared" ca="1" si="410"/>
        <v>29921.840185361802</v>
      </c>
      <c r="AO424" s="2">
        <f t="shared" ca="1" si="411"/>
        <v>31510.773104709238</v>
      </c>
      <c r="AP424" s="2">
        <f t="shared" ca="1" si="412"/>
        <v>2277794.7123737866</v>
      </c>
      <c r="AQ424" s="2">
        <f t="shared" ca="1" si="413"/>
        <v>786144.4311836845</v>
      </c>
      <c r="AR424" s="2">
        <f t="shared" ca="1" si="414"/>
        <v>883506.75523993024</v>
      </c>
      <c r="AS424" s="2">
        <f t="shared" ca="1" si="415"/>
        <v>961872.30140494846</v>
      </c>
      <c r="AT424" s="2">
        <f t="shared" ca="1" si="416"/>
        <v>1044399.2759872326</v>
      </c>
      <c r="AU424" s="2">
        <f t="shared" ca="1" si="417"/>
        <v>1131308.662407679</v>
      </c>
      <c r="AV424" s="2">
        <f t="shared" ca="1" si="418"/>
        <v>2237487.996445871</v>
      </c>
      <c r="AW424" s="2">
        <f t="shared" ca="1" si="419"/>
        <v>2487615.8491844358</v>
      </c>
      <c r="AX424" s="2">
        <f t="shared" ca="1" si="420"/>
        <v>2709223.5208338676</v>
      </c>
      <c r="AY424" s="2">
        <f t="shared" ca="1" si="421"/>
        <v>2942599.1760859927</v>
      </c>
      <c r="AZ424" s="2">
        <f t="shared" ca="1" si="422"/>
        <v>3188367.7275940692</v>
      </c>
      <c r="BA424" s="2">
        <f t="shared" ca="1" si="423"/>
        <v>61772585.459651604</v>
      </c>
      <c r="BB424" s="2">
        <f t="shared" ca="1" si="424"/>
        <v>1235451.709193032</v>
      </c>
      <c r="BC424" s="2">
        <f t="shared" ca="1" si="425"/>
        <v>35228303.612972058</v>
      </c>
      <c r="BD424" s="2">
        <f t="shared" ca="1" si="426"/>
        <v>-18427088.01405295</v>
      </c>
      <c r="BE424" s="2">
        <f t="shared" ca="1" si="427"/>
        <v>2237487.996445871</v>
      </c>
      <c r="BF424" s="2">
        <f t="shared" ca="1" si="428"/>
        <v>2487615.8491844358</v>
      </c>
      <c r="BG424" s="2">
        <f t="shared" ca="1" si="429"/>
        <v>2709223.5208338676</v>
      </c>
      <c r="BH424" s="2">
        <f t="shared" ca="1" si="430"/>
        <v>2942599.1760859927</v>
      </c>
      <c r="BI424" s="2">
        <f t="shared" ca="1" si="431"/>
        <v>38416671.340566128</v>
      </c>
      <c r="BJ424" s="2">
        <f t="shared" ca="1" si="432"/>
        <v>0.25221784123306645</v>
      </c>
      <c r="BK424" s="2">
        <f t="shared" ca="1" si="433"/>
        <v>11150879.039194699</v>
      </c>
    </row>
    <row r="425" spans="1:63" x14ac:dyDescent="0.3">
      <c r="A425" s="2">
        <v>424</v>
      </c>
      <c r="B425" s="2">
        <f t="shared" ca="1" si="372"/>
        <v>0.66015294394542845</v>
      </c>
      <c r="C425" s="2">
        <f t="shared" ca="1" si="373"/>
        <v>7.1755643675160909</v>
      </c>
      <c r="D425" s="2">
        <f t="shared" ca="1" si="374"/>
        <v>0.26039518874437972</v>
      </c>
      <c r="E425" s="2">
        <f t="shared" ca="1" si="375"/>
        <v>7.2216580751912636</v>
      </c>
      <c r="F425" s="2">
        <f t="shared" ca="1" si="376"/>
        <v>0.54458425844444336</v>
      </c>
      <c r="G425" s="2">
        <f t="shared" ca="1" si="377"/>
        <v>4.3359694416310782E-2</v>
      </c>
      <c r="H425" s="2">
        <f t="shared" ca="1" si="378"/>
        <v>4.3359694416310782E-2</v>
      </c>
      <c r="I425" s="2">
        <f t="shared" ca="1" si="379"/>
        <v>0.13408436792868605</v>
      </c>
      <c r="J425" s="2">
        <f t="shared" ca="1" si="380"/>
        <v>4.4635519596916209E-3</v>
      </c>
      <c r="K425" s="2">
        <f t="shared" ca="1" si="381"/>
        <v>4.4635519596916209E-3</v>
      </c>
      <c r="L425" s="2">
        <f t="shared" ca="1" si="382"/>
        <v>0.73787476298836974</v>
      </c>
      <c r="M425" s="2">
        <f t="shared" ca="1" si="383"/>
        <v>1.2736142821755503E-2</v>
      </c>
      <c r="N425" s="2">
        <f t="shared" ca="1" si="384"/>
        <v>1.2736142821755503E-2</v>
      </c>
      <c r="O425" s="2">
        <f t="shared" si="385"/>
        <v>6000000</v>
      </c>
      <c r="P425" s="2">
        <f t="shared" ca="1" si="386"/>
        <v>43053386.205096543</v>
      </c>
      <c r="Q425" s="2">
        <f t="shared" ca="1" si="387"/>
        <v>1076334.6551274136</v>
      </c>
      <c r="R425" s="2">
        <f t="shared" ca="1" si="388"/>
        <v>25832031.723057926</v>
      </c>
      <c r="S425" s="2">
        <f t="shared" ca="1" si="389"/>
        <v>17221354.482038617</v>
      </c>
      <c r="T425" s="2">
        <f t="shared" ca="1" si="390"/>
        <v>50636807.141087778</v>
      </c>
      <c r="U425" s="2">
        <f t="shared" ca="1" si="391"/>
        <v>52832403.624943011</v>
      </c>
      <c r="V425" s="2">
        <f t="shared" ca="1" si="392"/>
        <v>55123200.501399733</v>
      </c>
      <c r="W425" s="2">
        <f t="shared" ca="1" si="393"/>
        <v>57513325.630389459</v>
      </c>
      <c r="X425" s="2">
        <f t="shared" ca="1" si="394"/>
        <v>60007085.854588926</v>
      </c>
      <c r="Y425" s="2">
        <f t="shared" ca="1" si="395"/>
        <v>0.1222317759798458</v>
      </c>
      <c r="Z425" s="2">
        <f t="shared" ca="1" si="396"/>
        <v>0.12312448637178414</v>
      </c>
      <c r="AA425" s="2">
        <f t="shared" ca="1" si="397"/>
        <v>6189426.8668040978</v>
      </c>
      <c r="AB425" s="2">
        <f t="shared" ca="1" si="398"/>
        <v>6504962.5601078942</v>
      </c>
      <c r="AC425" s="2">
        <f t="shared" ca="1" si="399"/>
        <v>6787015.748903716</v>
      </c>
      <c r="AD425" s="2">
        <f t="shared" ca="1" si="400"/>
        <v>7081298.6777748698</v>
      </c>
      <c r="AE425" s="2">
        <f t="shared" ca="1" si="401"/>
        <v>7388341.6245138152</v>
      </c>
      <c r="AF425" s="2">
        <f t="shared" ca="1" si="402"/>
        <v>1012736.1428217556</v>
      </c>
      <c r="AG425" s="2">
        <f t="shared" ca="1" si="403"/>
        <v>1056648.0724988603</v>
      </c>
      <c r="AH425" s="2">
        <f t="shared" ca="1" si="404"/>
        <v>1102464.0100279946</v>
      </c>
      <c r="AI425" s="2">
        <f t="shared" ca="1" si="405"/>
        <v>1150266.5126077891</v>
      </c>
      <c r="AJ425" s="2">
        <f t="shared" ca="1" si="406"/>
        <v>1200141.7170917785</v>
      </c>
      <c r="AK425" s="2">
        <f t="shared" ca="1" si="407"/>
        <v>0</v>
      </c>
      <c r="AL425" s="2">
        <f t="shared" ca="1" si="408"/>
        <v>21955.964838552325</v>
      </c>
      <c r="AM425" s="2">
        <f t="shared" ca="1" si="409"/>
        <v>22907.968764567227</v>
      </c>
      <c r="AN425" s="2">
        <f t="shared" ca="1" si="410"/>
        <v>23901.251289897264</v>
      </c>
      <c r="AO425" s="2">
        <f t="shared" ca="1" si="411"/>
        <v>24937.602241994664</v>
      </c>
      <c r="AP425" s="2">
        <f t="shared" ca="1" si="412"/>
        <v>2324882.8550752131</v>
      </c>
      <c r="AQ425" s="2">
        <f t="shared" ca="1" si="413"/>
        <v>741470.0459158537</v>
      </c>
      <c r="AR425" s="2">
        <f t="shared" ca="1" si="414"/>
        <v>812092.22445879353</v>
      </c>
      <c r="AS425" s="2">
        <f t="shared" ca="1" si="415"/>
        <v>873513.90978813218</v>
      </c>
      <c r="AT425" s="2">
        <f t="shared" ca="1" si="416"/>
        <v>937598.82062388549</v>
      </c>
      <c r="AU425" s="2">
        <f t="shared" ca="1" si="417"/>
        <v>1004462.4336101742</v>
      </c>
      <c r="AV425" s="2">
        <f t="shared" ca="1" si="418"/>
        <v>2110337.8229912752</v>
      </c>
      <c r="AW425" s="2">
        <f t="shared" ca="1" si="419"/>
        <v>2289383.4432364758</v>
      </c>
      <c r="AX425" s="2">
        <f t="shared" ca="1" si="420"/>
        <v>2463247.0052478099</v>
      </c>
      <c r="AY425" s="2">
        <f t="shared" ca="1" si="421"/>
        <v>2644649.2381780837</v>
      </c>
      <c r="AZ425" s="2">
        <f t="shared" ca="1" si="422"/>
        <v>2833917.0164946551</v>
      </c>
      <c r="BA425" s="2">
        <f t="shared" ca="1" si="423"/>
        <v>53356076.954941928</v>
      </c>
      <c r="BB425" s="2">
        <f t="shared" ca="1" si="424"/>
        <v>1067121.5390988386</v>
      </c>
      <c r="BC425" s="2">
        <f t="shared" ca="1" si="425"/>
        <v>26456923.692785162</v>
      </c>
      <c r="BD425" s="2">
        <f t="shared" ca="1" si="426"/>
        <v>-18797689.137166031</v>
      </c>
      <c r="BE425" s="2">
        <f t="shared" ca="1" si="427"/>
        <v>2110337.8229912752</v>
      </c>
      <c r="BF425" s="2">
        <f t="shared" ca="1" si="428"/>
        <v>2289383.4432364758</v>
      </c>
      <c r="BG425" s="2">
        <f t="shared" ca="1" si="429"/>
        <v>2463247.0052478099</v>
      </c>
      <c r="BH425" s="2">
        <f t="shared" ca="1" si="430"/>
        <v>2644649.2381780837</v>
      </c>
      <c r="BI425" s="2">
        <f t="shared" ca="1" si="431"/>
        <v>29290840.709279817</v>
      </c>
      <c r="BJ425" s="2">
        <f t="shared" ca="1" si="432"/>
        <v>0.18454969870327886</v>
      </c>
      <c r="BK425" s="2">
        <f t="shared" ca="1" si="433"/>
        <v>4966046.1369917654</v>
      </c>
    </row>
    <row r="426" spans="1:63" x14ac:dyDescent="0.3">
      <c r="A426" s="2">
        <v>425</v>
      </c>
      <c r="B426" s="2">
        <f t="shared" ca="1" si="372"/>
        <v>0.17101250745437124</v>
      </c>
      <c r="C426" s="2">
        <f t="shared" ca="1" si="373"/>
        <v>6.5848290475931766</v>
      </c>
      <c r="D426" s="2">
        <f t="shared" ca="1" si="374"/>
        <v>0.3536563983168366</v>
      </c>
      <c r="E426" s="2">
        <f t="shared" ca="1" si="375"/>
        <v>7.341018903850367</v>
      </c>
      <c r="F426" s="2">
        <f t="shared" ca="1" si="376"/>
        <v>0.77426344944853187</v>
      </c>
      <c r="G426" s="2">
        <f t="shared" ca="1" si="377"/>
        <v>6.2588842434884481E-2</v>
      </c>
      <c r="H426" s="2">
        <f t="shared" ca="1" si="378"/>
        <v>6.2588842434884481E-2</v>
      </c>
      <c r="I426" s="2">
        <f t="shared" ca="1" si="379"/>
        <v>0.53690784784675627</v>
      </c>
      <c r="J426" s="2">
        <f t="shared" ca="1" si="380"/>
        <v>1.0463233108072274E-2</v>
      </c>
      <c r="K426" s="2">
        <f t="shared" ca="1" si="381"/>
        <v>1.0463233108072274E-2</v>
      </c>
      <c r="L426" s="2">
        <f t="shared" ca="1" si="382"/>
        <v>0.24236201058987017</v>
      </c>
      <c r="M426" s="2">
        <f t="shared" ca="1" si="383"/>
        <v>-1.397449635275724E-2</v>
      </c>
      <c r="N426" s="2">
        <f t="shared" ca="1" si="384"/>
        <v>-1.397449635275724E-2</v>
      </c>
      <c r="O426" s="2">
        <f t="shared" si="385"/>
        <v>6000000</v>
      </c>
      <c r="P426" s="2">
        <f t="shared" ca="1" si="386"/>
        <v>39508974.285559058</v>
      </c>
      <c r="Q426" s="2">
        <f t="shared" ca="1" si="387"/>
        <v>987724.35713897645</v>
      </c>
      <c r="R426" s="2">
        <f t="shared" ca="1" si="388"/>
        <v>23705384.571335435</v>
      </c>
      <c r="S426" s="2">
        <f t="shared" ca="1" si="389"/>
        <v>15803589.714223623</v>
      </c>
      <c r="T426" s="2">
        <f t="shared" ca="1" si="390"/>
        <v>49301275.182362139</v>
      </c>
      <c r="U426" s="2">
        <f t="shared" ca="1" si="391"/>
        <v>52386984.926589876</v>
      </c>
      <c r="V426" s="2">
        <f t="shared" ca="1" si="392"/>
        <v>55665825.67179887</v>
      </c>
      <c r="W426" s="2">
        <f t="shared" ca="1" si="393"/>
        <v>59149885.263778828</v>
      </c>
      <c r="X426" s="2">
        <f t="shared" ca="1" si="394"/>
        <v>62852008.11259497</v>
      </c>
      <c r="Y426" s="2">
        <f t="shared" ca="1" si="395"/>
        <v>0.12523161655403614</v>
      </c>
      <c r="Z426" s="2">
        <f t="shared" ca="1" si="396"/>
        <v>0.1273242631756506</v>
      </c>
      <c r="AA426" s="2">
        <f t="shared" ca="1" si="397"/>
        <v>6174078.3892625934</v>
      </c>
      <c r="AB426" s="2">
        <f t="shared" ca="1" si="398"/>
        <v>6670134.2557719704</v>
      </c>
      <c r="AC426" s="2">
        <f t="shared" ca="1" si="399"/>
        <v>7087610.2377260067</v>
      </c>
      <c r="AD426" s="2">
        <f t="shared" ca="1" si="400"/>
        <v>7531215.5581349125</v>
      </c>
      <c r="AE426" s="2">
        <f t="shared" ca="1" si="401"/>
        <v>8002585.622046168</v>
      </c>
      <c r="AF426" s="2">
        <f t="shared" ca="1" si="402"/>
        <v>986025.50364724279</v>
      </c>
      <c r="AG426" s="2">
        <f t="shared" ca="1" si="403"/>
        <v>1047739.6985317975</v>
      </c>
      <c r="AH426" s="2">
        <f t="shared" ca="1" si="404"/>
        <v>1113316.5134359775</v>
      </c>
      <c r="AI426" s="2">
        <f t="shared" ca="1" si="405"/>
        <v>1182997.7052755766</v>
      </c>
      <c r="AJ426" s="2">
        <f t="shared" ca="1" si="406"/>
        <v>1257040.1622518995</v>
      </c>
      <c r="AK426" s="2">
        <f t="shared" ca="1" si="407"/>
        <v>0</v>
      </c>
      <c r="AL426" s="2">
        <f t="shared" ca="1" si="408"/>
        <v>30857.097442277372</v>
      </c>
      <c r="AM426" s="2">
        <f t="shared" ca="1" si="409"/>
        <v>32788.407452089938</v>
      </c>
      <c r="AN426" s="2">
        <f t="shared" ca="1" si="410"/>
        <v>34840.595919799583</v>
      </c>
      <c r="AO426" s="2">
        <f t="shared" ca="1" si="411"/>
        <v>37021.228488161418</v>
      </c>
      <c r="AP426" s="2">
        <f t="shared" ca="1" si="412"/>
        <v>2133484.611420189</v>
      </c>
      <c r="AQ426" s="2">
        <f t="shared" ca="1" si="413"/>
        <v>794187.75129074208</v>
      </c>
      <c r="AR426" s="2">
        <f t="shared" ca="1" si="414"/>
        <v>907116.58591319597</v>
      </c>
      <c r="AS426" s="2">
        <f t="shared" ca="1" si="415"/>
        <v>998610.36934615846</v>
      </c>
      <c r="AT426" s="2">
        <f t="shared" ca="1" si="416"/>
        <v>1095830.6427741782</v>
      </c>
      <c r="AU426" s="2">
        <f t="shared" ca="1" si="417"/>
        <v>1199135.8205772606</v>
      </c>
      <c r="AV426" s="2">
        <f t="shared" ca="1" si="418"/>
        <v>2260380.5229044193</v>
      </c>
      <c r="AW426" s="2">
        <f t="shared" ca="1" si="419"/>
        <v>2550936.2624645103</v>
      </c>
      <c r="AX426" s="2">
        <f t="shared" ca="1" si="420"/>
        <v>2809410.3360715918</v>
      </c>
      <c r="AY426" s="2">
        <f t="shared" ca="1" si="421"/>
        <v>3084062.0027451692</v>
      </c>
      <c r="AZ426" s="2">
        <f t="shared" ca="1" si="422"/>
        <v>3375903.7993086567</v>
      </c>
      <c r="BA426" s="2">
        <f t="shared" ca="1" si="423"/>
        <v>58747132.331122071</v>
      </c>
      <c r="BB426" s="2">
        <f t="shared" ca="1" si="424"/>
        <v>1174942.6466224415</v>
      </c>
      <c r="BC426" s="2">
        <f t="shared" ca="1" si="425"/>
        <v>33866805.113164194</v>
      </c>
      <c r="BD426" s="2">
        <f t="shared" ca="1" si="426"/>
        <v>-17291314.0713626</v>
      </c>
      <c r="BE426" s="2">
        <f t="shared" ca="1" si="427"/>
        <v>2260380.5229044193</v>
      </c>
      <c r="BF426" s="2">
        <f t="shared" ca="1" si="428"/>
        <v>2550936.2624645103</v>
      </c>
      <c r="BG426" s="2">
        <f t="shared" ca="1" si="429"/>
        <v>2809410.3360715918</v>
      </c>
      <c r="BH426" s="2">
        <f t="shared" ca="1" si="430"/>
        <v>3084062.0027451692</v>
      </c>
      <c r="BI426" s="2">
        <f t="shared" ca="1" si="431"/>
        <v>37242708.912472852</v>
      </c>
      <c r="BJ426" s="2">
        <f t="shared" ca="1" si="432"/>
        <v>0.26819175222877334</v>
      </c>
      <c r="BK426" s="2">
        <f t="shared" ca="1" si="433"/>
        <v>11852646.754079442</v>
      </c>
    </row>
    <row r="427" spans="1:63" x14ac:dyDescent="0.3">
      <c r="A427" s="2">
        <v>426</v>
      </c>
      <c r="B427" s="2">
        <f t="shared" ca="1" si="372"/>
        <v>0.48669571361872022</v>
      </c>
      <c r="C427" s="2">
        <f t="shared" ca="1" si="373"/>
        <v>6.9866060141907917</v>
      </c>
      <c r="D427" s="2">
        <f t="shared" ca="1" si="374"/>
        <v>0.26475239739893464</v>
      </c>
      <c r="E427" s="2">
        <f t="shared" ca="1" si="375"/>
        <v>7.2276708011167337</v>
      </c>
      <c r="F427" s="2">
        <f t="shared" ca="1" si="376"/>
        <v>5.3345506813237797E-2</v>
      </c>
      <c r="G427" s="2">
        <f t="shared" ca="1" si="377"/>
        <v>-8.3973882367947006E-3</v>
      </c>
      <c r="H427" s="2">
        <f t="shared" ca="1" si="378"/>
        <v>-8.3973882367947006E-3</v>
      </c>
      <c r="I427" s="2">
        <f t="shared" ca="1" si="379"/>
        <v>0.93215035325272266</v>
      </c>
      <c r="J427" s="2">
        <f t="shared" ca="1" si="380"/>
        <v>1.7459997174243663E-2</v>
      </c>
      <c r="K427" s="2">
        <f t="shared" ca="1" si="381"/>
        <v>1.7459997174243663E-2</v>
      </c>
      <c r="L427" s="2">
        <f t="shared" ca="1" si="382"/>
        <v>0.18846785929033405</v>
      </c>
      <c r="M427" s="2">
        <f t="shared" ca="1" si="383"/>
        <v>-1.7671128199979982E-2</v>
      </c>
      <c r="N427" s="2">
        <f t="shared" ca="1" si="384"/>
        <v>-1.7671128199979982E-2</v>
      </c>
      <c r="O427" s="2">
        <f t="shared" si="385"/>
        <v>6000000</v>
      </c>
      <c r="P427" s="2">
        <f t="shared" ca="1" si="386"/>
        <v>41919636.085144751</v>
      </c>
      <c r="Q427" s="2">
        <f t="shared" ca="1" si="387"/>
        <v>1047990.9021286188</v>
      </c>
      <c r="R427" s="2">
        <f t="shared" ca="1" si="388"/>
        <v>25151781.651086848</v>
      </c>
      <c r="S427" s="2">
        <f t="shared" ca="1" si="389"/>
        <v>16767854.434057901</v>
      </c>
      <c r="T427" s="2">
        <f t="shared" ca="1" si="390"/>
        <v>49116443.590001002</v>
      </c>
      <c r="U427" s="2">
        <f t="shared" ca="1" si="391"/>
        <v>48703993.744365133</v>
      </c>
      <c r="V427" s="2">
        <f t="shared" ca="1" si="392"/>
        <v>48295007.400211282</v>
      </c>
      <c r="W427" s="2">
        <f t="shared" ca="1" si="393"/>
        <v>47889455.473172836</v>
      </c>
      <c r="X427" s="2">
        <f t="shared" ca="1" si="394"/>
        <v>47487309.123115912</v>
      </c>
      <c r="Y427" s="2">
        <f t="shared" ca="1" si="395"/>
        <v>0.12872999858712184</v>
      </c>
      <c r="Z427" s="2">
        <f t="shared" ca="1" si="396"/>
        <v>0.13222199802197057</v>
      </c>
      <c r="AA427" s="2">
        <f t="shared" ca="1" si="397"/>
        <v>6322759.713945278</v>
      </c>
      <c r="AB427" s="2">
        <f t="shared" ca="1" si="398"/>
        <v>6439739.3645295138</v>
      </c>
      <c r="AC427" s="2">
        <f t="shared" ca="1" si="399"/>
        <v>6385662.3729417901</v>
      </c>
      <c r="AD427" s="2">
        <f t="shared" ca="1" si="400"/>
        <v>6332039.4868471064</v>
      </c>
      <c r="AE427" s="2">
        <f t="shared" ca="1" si="401"/>
        <v>6278866.8929453371</v>
      </c>
      <c r="AF427" s="2">
        <f t="shared" ca="1" si="402"/>
        <v>982328.8718000201</v>
      </c>
      <c r="AG427" s="2">
        <f t="shared" ca="1" si="403"/>
        <v>974079.87488730263</v>
      </c>
      <c r="AH427" s="2">
        <f t="shared" ca="1" si="404"/>
        <v>965900.14800422569</v>
      </c>
      <c r="AI427" s="2">
        <f t="shared" ca="1" si="405"/>
        <v>957789.10946345679</v>
      </c>
      <c r="AJ427" s="2">
        <f t="shared" ca="1" si="406"/>
        <v>949746.18246231822</v>
      </c>
      <c r="AK427" s="2">
        <f t="shared" ca="1" si="407"/>
        <v>0</v>
      </c>
      <c r="AL427" s="2">
        <f t="shared" ca="1" si="408"/>
        <v>0</v>
      </c>
      <c r="AM427" s="2">
        <f t="shared" ca="1" si="409"/>
        <v>0</v>
      </c>
      <c r="AN427" s="2">
        <f t="shared" ca="1" si="410"/>
        <v>0</v>
      </c>
      <c r="AO427" s="2">
        <f t="shared" ca="1" si="411"/>
        <v>0</v>
      </c>
      <c r="AP427" s="2">
        <f t="shared" ca="1" si="412"/>
        <v>2263660.3485978162</v>
      </c>
      <c r="AQ427" s="2">
        <f t="shared" ca="1" si="413"/>
        <v>799960.3283223348</v>
      </c>
      <c r="AR427" s="2">
        <f t="shared" ca="1" si="414"/>
        <v>832519.77667154279</v>
      </c>
      <c r="AS427" s="2">
        <f t="shared" ca="1" si="415"/>
        <v>820586.4878483346</v>
      </c>
      <c r="AT427" s="2">
        <f t="shared" ca="1" si="416"/>
        <v>808753.40748431662</v>
      </c>
      <c r="AU427" s="2">
        <f t="shared" ca="1" si="417"/>
        <v>797019.69409015286</v>
      </c>
      <c r="AV427" s="2">
        <f t="shared" ca="1" si="418"/>
        <v>2276810.1652251063</v>
      </c>
      <c r="AW427" s="2">
        <f t="shared" ca="1" si="419"/>
        <v>2369479.3643728523</v>
      </c>
      <c r="AX427" s="2">
        <f t="shared" ca="1" si="420"/>
        <v>2335515.3884914136</v>
      </c>
      <c r="AY427" s="2">
        <f t="shared" ca="1" si="421"/>
        <v>2301836.6213015169</v>
      </c>
      <c r="AZ427" s="2">
        <f t="shared" ca="1" si="422"/>
        <v>2268440.66779505</v>
      </c>
      <c r="BA427" s="2">
        <f t="shared" ca="1" si="423"/>
        <v>45381582.906239562</v>
      </c>
      <c r="BB427" s="2">
        <f t="shared" ca="1" si="424"/>
        <v>907631.65812479123</v>
      </c>
      <c r="BC427" s="2">
        <f t="shared" ca="1" si="425"/>
        <v>19322169.597027924</v>
      </c>
      <c r="BD427" s="2">
        <f t="shared" ca="1" si="426"/>
        <v>-18315845.336186521</v>
      </c>
      <c r="BE427" s="2">
        <f t="shared" ca="1" si="427"/>
        <v>2276810.1652251063</v>
      </c>
      <c r="BF427" s="2">
        <f t="shared" ca="1" si="428"/>
        <v>2369479.3643728523</v>
      </c>
      <c r="BG427" s="2">
        <f t="shared" ca="1" si="429"/>
        <v>2335515.3884914136</v>
      </c>
      <c r="BH427" s="2">
        <f t="shared" ca="1" si="430"/>
        <v>2301836.6213015169</v>
      </c>
      <c r="BI427" s="2">
        <f t="shared" ca="1" si="431"/>
        <v>21590610.264822975</v>
      </c>
      <c r="BJ427" s="2">
        <f t="shared" ca="1" si="432"/>
        <v>0.13463717227763694</v>
      </c>
      <c r="BK427" s="2">
        <f t="shared" ca="1" si="433"/>
        <v>982279.92900406197</v>
      </c>
    </row>
    <row r="428" spans="1:63" x14ac:dyDescent="0.3">
      <c r="A428" s="2">
        <v>427</v>
      </c>
      <c r="B428" s="2">
        <f t="shared" ca="1" si="372"/>
        <v>0.33212648811624224</v>
      </c>
      <c r="C428" s="2">
        <f t="shared" ca="1" si="373"/>
        <v>6.8150171631520928</v>
      </c>
      <c r="D428" s="2">
        <f t="shared" ca="1" si="374"/>
        <v>0.24654744881160529</v>
      </c>
      <c r="E428" s="2">
        <f t="shared" ca="1" si="375"/>
        <v>7.2022071614724608</v>
      </c>
      <c r="F428" s="2">
        <f t="shared" ca="1" si="376"/>
        <v>0.77502186152645214</v>
      </c>
      <c r="G428" s="2">
        <f t="shared" ca="1" si="377"/>
        <v>6.2664637641376725E-2</v>
      </c>
      <c r="H428" s="2">
        <f t="shared" ca="1" si="378"/>
        <v>6.2664637641376725E-2</v>
      </c>
      <c r="I428" s="2">
        <f t="shared" ca="1" si="379"/>
        <v>0.41354236748684881</v>
      </c>
      <c r="J428" s="2">
        <f t="shared" ca="1" si="380"/>
        <v>8.9077899401560114E-3</v>
      </c>
      <c r="K428" s="2">
        <f t="shared" ca="1" si="381"/>
        <v>8.9077899401560114E-3</v>
      </c>
      <c r="L428" s="2">
        <f t="shared" ca="1" si="382"/>
        <v>0.32180497685027043</v>
      </c>
      <c r="M428" s="2">
        <f t="shared" ca="1" si="383"/>
        <v>-9.2531481192492365E-3</v>
      </c>
      <c r="N428" s="2">
        <f t="shared" ca="1" si="384"/>
        <v>-9.2531481192492365E-3</v>
      </c>
      <c r="O428" s="2">
        <f t="shared" si="385"/>
        <v>6000000</v>
      </c>
      <c r="P428" s="2">
        <f t="shared" ca="1" si="386"/>
        <v>40890102.978912555</v>
      </c>
      <c r="Q428" s="2">
        <f t="shared" ca="1" si="387"/>
        <v>1022252.5744728139</v>
      </c>
      <c r="R428" s="2">
        <f t="shared" ca="1" si="388"/>
        <v>24534061.787347533</v>
      </c>
      <c r="S428" s="2">
        <f t="shared" ca="1" si="389"/>
        <v>16356041.191565022</v>
      </c>
      <c r="T428" s="2">
        <f t="shared" ca="1" si="390"/>
        <v>49537342.59403754</v>
      </c>
      <c r="U428" s="2">
        <f t="shared" ca="1" si="391"/>
        <v>52641582.217409633</v>
      </c>
      <c r="V428" s="2">
        <f t="shared" ca="1" si="392"/>
        <v>55940347.891932346</v>
      </c>
      <c r="W428" s="2">
        <f t="shared" ca="1" si="393"/>
        <v>59445829.522112831</v>
      </c>
      <c r="X428" s="2">
        <f t="shared" ca="1" si="394"/>
        <v>63170980.888407081</v>
      </c>
      <c r="Y428" s="2">
        <f t="shared" ca="1" si="395"/>
        <v>0.124453894970078</v>
      </c>
      <c r="Z428" s="2">
        <f t="shared" ca="1" si="396"/>
        <v>0.1262354529581092</v>
      </c>
      <c r="AA428" s="2">
        <f t="shared" ca="1" si="397"/>
        <v>6165115.2322951192</v>
      </c>
      <c r="AB428" s="2">
        <f t="shared" ca="1" si="398"/>
        <v>6645233.9756462518</v>
      </c>
      <c r="AC428" s="2">
        <f t="shared" ca="1" si="399"/>
        <v>7061655.1547722891</v>
      </c>
      <c r="AD428" s="2">
        <f t="shared" ca="1" si="400"/>
        <v>7504171.2161944536</v>
      </c>
      <c r="AE428" s="2">
        <f t="shared" ca="1" si="401"/>
        <v>7974417.3862561276</v>
      </c>
      <c r="AF428" s="2">
        <f t="shared" ca="1" si="402"/>
        <v>990746.85188075085</v>
      </c>
      <c r="AG428" s="2">
        <f t="shared" ca="1" si="403"/>
        <v>1052831.6443481927</v>
      </c>
      <c r="AH428" s="2">
        <f t="shared" ca="1" si="404"/>
        <v>1118806.9578386468</v>
      </c>
      <c r="AI428" s="2">
        <f t="shared" ca="1" si="405"/>
        <v>1188916.5904422568</v>
      </c>
      <c r="AJ428" s="2">
        <f t="shared" ca="1" si="406"/>
        <v>1263419.6177681417</v>
      </c>
      <c r="AK428" s="2">
        <f t="shared" ca="1" si="407"/>
        <v>0</v>
      </c>
      <c r="AL428" s="2">
        <f t="shared" ca="1" si="408"/>
        <v>31042.39623372093</v>
      </c>
      <c r="AM428" s="2">
        <f t="shared" ca="1" si="409"/>
        <v>32987.656745227127</v>
      </c>
      <c r="AN428" s="2">
        <f t="shared" ca="1" si="410"/>
        <v>35054.816301804858</v>
      </c>
      <c r="AO428" s="2">
        <f t="shared" ca="1" si="411"/>
        <v>37251.513662942503</v>
      </c>
      <c r="AP428" s="2">
        <f t="shared" ca="1" si="412"/>
        <v>2208065.5608612779</v>
      </c>
      <c r="AQ428" s="2">
        <f t="shared" ca="1" si="413"/>
        <v>771238.73308380367</v>
      </c>
      <c r="AR428" s="2">
        <f t="shared" ca="1" si="414"/>
        <v>879927.5603135631</v>
      </c>
      <c r="AS428" s="2">
        <f t="shared" ca="1" si="415"/>
        <v>971043.48537881474</v>
      </c>
      <c r="AT428" s="2">
        <f t="shared" ca="1" si="416"/>
        <v>1067869.156871639</v>
      </c>
      <c r="AU428" s="2">
        <f t="shared" ca="1" si="417"/>
        <v>1170762.3739829441</v>
      </c>
      <c r="AV428" s="2">
        <f t="shared" ca="1" si="418"/>
        <v>2195064.0864692875</v>
      </c>
      <c r="AW428" s="2">
        <f t="shared" ca="1" si="419"/>
        <v>2473366.8138894974</v>
      </c>
      <c r="AX428" s="2">
        <f t="shared" ca="1" si="420"/>
        <v>2730751.4939483223</v>
      </c>
      <c r="AY428" s="2">
        <f t="shared" ca="1" si="421"/>
        <v>3004265.0917174746</v>
      </c>
      <c r="AZ428" s="2">
        <f t="shared" ca="1" si="422"/>
        <v>3294918.3199808211</v>
      </c>
      <c r="BA428" s="2">
        <f t="shared" ca="1" si="423"/>
        <v>57433406.007864386</v>
      </c>
      <c r="BB428" s="2">
        <f t="shared" ca="1" si="424"/>
        <v>1148668.1201572877</v>
      </c>
      <c r="BC428" s="2">
        <f t="shared" ca="1" si="425"/>
        <v>31750676.100359567</v>
      </c>
      <c r="BD428" s="2">
        <f t="shared" ca="1" si="426"/>
        <v>-17878293.766037837</v>
      </c>
      <c r="BE428" s="2">
        <f t="shared" ca="1" si="427"/>
        <v>2195064.0864692875</v>
      </c>
      <c r="BF428" s="2">
        <f t="shared" ca="1" si="428"/>
        <v>2473366.8138894974</v>
      </c>
      <c r="BG428" s="2">
        <f t="shared" ca="1" si="429"/>
        <v>2730751.4939483223</v>
      </c>
      <c r="BH428" s="2">
        <f t="shared" ca="1" si="430"/>
        <v>3004265.0917174746</v>
      </c>
      <c r="BI428" s="2">
        <f t="shared" ca="1" si="431"/>
        <v>35045594.420340389</v>
      </c>
      <c r="BJ428" s="2">
        <f t="shared" ca="1" si="432"/>
        <v>0.24265510391554135</v>
      </c>
      <c r="BK428" s="2">
        <f t="shared" ca="1" si="433"/>
        <v>9792108.9654754475</v>
      </c>
    </row>
    <row r="429" spans="1:63" x14ac:dyDescent="0.3">
      <c r="A429" s="2">
        <v>428</v>
      </c>
      <c r="B429" s="2">
        <f t="shared" ca="1" si="372"/>
        <v>0.32529374982357961</v>
      </c>
      <c r="C429" s="2">
        <f t="shared" ca="1" si="373"/>
        <v>6.8065900443516263</v>
      </c>
      <c r="D429" s="2">
        <f t="shared" ca="1" si="374"/>
        <v>0.4990532250066223</v>
      </c>
      <c r="E429" s="2">
        <f t="shared" ca="1" si="375"/>
        <v>7.4990527763903394</v>
      </c>
      <c r="F429" s="2">
        <f t="shared" ca="1" si="376"/>
        <v>0.95006074652658346</v>
      </c>
      <c r="G429" s="2">
        <f t="shared" ca="1" si="377"/>
        <v>8.9363287268166142E-2</v>
      </c>
      <c r="H429" s="2">
        <f t="shared" ca="1" si="378"/>
        <v>8.9363287268166142E-2</v>
      </c>
      <c r="I429" s="2">
        <f t="shared" ca="1" si="379"/>
        <v>0.46914652764448517</v>
      </c>
      <c r="J429" s="2">
        <f t="shared" ca="1" si="380"/>
        <v>9.6129227810762049E-3</v>
      </c>
      <c r="K429" s="2">
        <f t="shared" ca="1" si="381"/>
        <v>9.6129227810762049E-3</v>
      </c>
      <c r="L429" s="2">
        <f t="shared" ca="1" si="382"/>
        <v>0.51729190892526777</v>
      </c>
      <c r="M429" s="2">
        <f t="shared" ca="1" si="383"/>
        <v>8.6715937752209458E-4</v>
      </c>
      <c r="N429" s="2">
        <f t="shared" ca="1" si="384"/>
        <v>8.6715937752209458E-4</v>
      </c>
      <c r="O429" s="2">
        <f t="shared" si="385"/>
        <v>6000000</v>
      </c>
      <c r="P429" s="2">
        <f t="shared" ca="1" si="386"/>
        <v>40839540.266109757</v>
      </c>
      <c r="Q429" s="2">
        <f t="shared" ca="1" si="387"/>
        <v>1020988.506652744</v>
      </c>
      <c r="R429" s="2">
        <f t="shared" ca="1" si="388"/>
        <v>24503724.159665853</v>
      </c>
      <c r="S429" s="2">
        <f t="shared" ca="1" si="389"/>
        <v>16335816.106443904</v>
      </c>
      <c r="T429" s="2">
        <f t="shared" ca="1" si="390"/>
        <v>50043357.968876101</v>
      </c>
      <c r="U429" s="2">
        <f t="shared" ca="1" si="391"/>
        <v>54515396.942912452</v>
      </c>
      <c r="V429" s="2">
        <f t="shared" ca="1" si="392"/>
        <v>59387072.020460047</v>
      </c>
      <c r="W429" s="2">
        <f t="shared" ca="1" si="393"/>
        <v>64694095.997439697</v>
      </c>
      <c r="X429" s="2">
        <f t="shared" ca="1" si="394"/>
        <v>70475373.08261323</v>
      </c>
      <c r="Y429" s="2">
        <f t="shared" ca="1" si="395"/>
        <v>0.1248064613905381</v>
      </c>
      <c r="Z429" s="2">
        <f t="shared" ca="1" si="396"/>
        <v>0.12672904594675333</v>
      </c>
      <c r="AA429" s="2">
        <f t="shared" ca="1" si="397"/>
        <v>6245734.4241954116</v>
      </c>
      <c r="AB429" s="2">
        <f t="shared" ca="1" si="398"/>
        <v>6908684.243983848</v>
      </c>
      <c r="AC429" s="2">
        <f t="shared" ca="1" si="399"/>
        <v>7526066.9787240298</v>
      </c>
      <c r="AD429" s="2">
        <f t="shared" ca="1" si="400"/>
        <v>8198621.064143206</v>
      </c>
      <c r="AE429" s="2">
        <f t="shared" ca="1" si="401"/>
        <v>8931276.7935010754</v>
      </c>
      <c r="AF429" s="2">
        <f t="shared" ca="1" si="402"/>
        <v>1000867.1593775221</v>
      </c>
      <c r="AG429" s="2">
        <f t="shared" ca="1" si="403"/>
        <v>1090307.938858249</v>
      </c>
      <c r="AH429" s="2">
        <f t="shared" ca="1" si="404"/>
        <v>1187741.440409201</v>
      </c>
      <c r="AI429" s="2">
        <f t="shared" ca="1" si="405"/>
        <v>1293881.9199487939</v>
      </c>
      <c r="AJ429" s="2">
        <f t="shared" ca="1" si="406"/>
        <v>1409507.4616522647</v>
      </c>
      <c r="AK429" s="2">
        <f t="shared" ca="1" si="407"/>
        <v>0</v>
      </c>
      <c r="AL429" s="2">
        <f t="shared" ca="1" si="408"/>
        <v>44720.389740363513</v>
      </c>
      <c r="AM429" s="2">
        <f t="shared" ca="1" si="409"/>
        <v>48716.75077547595</v>
      </c>
      <c r="AN429" s="2">
        <f t="shared" ca="1" si="410"/>
        <v>53070.239769796506</v>
      </c>
      <c r="AO429" s="2">
        <f t="shared" ca="1" si="411"/>
        <v>57812.770851735324</v>
      </c>
      <c r="AP429" s="2">
        <f t="shared" ca="1" si="412"/>
        <v>2205335.1743699266</v>
      </c>
      <c r="AQ429" s="2">
        <f t="shared" ca="1" si="413"/>
        <v>790278.34351647052</v>
      </c>
      <c r="AR429" s="2">
        <f t="shared" ca="1" si="414"/>
        <v>939390.69399647485</v>
      </c>
      <c r="AS429" s="2">
        <f t="shared" ca="1" si="415"/>
        <v>1074577.4946256746</v>
      </c>
      <c r="AT429" s="2">
        <f t="shared" ca="1" si="416"/>
        <v>1221845.0321543664</v>
      </c>
      <c r="AU429" s="2">
        <f t="shared" ca="1" si="417"/>
        <v>1382272.8809445098</v>
      </c>
      <c r="AV429" s="2">
        <f t="shared" ca="1" si="418"/>
        <v>2249253.7469314924</v>
      </c>
      <c r="AW429" s="2">
        <f t="shared" ca="1" si="419"/>
        <v>2628930.0470188335</v>
      </c>
      <c r="AX429" s="2">
        <f t="shared" ca="1" si="420"/>
        <v>3009696.1185437515</v>
      </c>
      <c r="AY429" s="2">
        <f t="shared" ca="1" si="421"/>
        <v>3424488.6979003223</v>
      </c>
      <c r="AZ429" s="2">
        <f t="shared" ca="1" si="422"/>
        <v>3876348.5056826388</v>
      </c>
      <c r="BA429" s="2">
        <f t="shared" ca="1" si="423"/>
        <v>66976116.035014845</v>
      </c>
      <c r="BB429" s="2">
        <f t="shared" ca="1" si="424"/>
        <v>1339522.3207002969</v>
      </c>
      <c r="BC429" s="2">
        <f t="shared" ca="1" si="425"/>
        <v>41132869.554648697</v>
      </c>
      <c r="BD429" s="2">
        <f t="shared" ca="1" si="426"/>
        <v>-17856804.613096647</v>
      </c>
      <c r="BE429" s="2">
        <f t="shared" ca="1" si="427"/>
        <v>2249253.7469314924</v>
      </c>
      <c r="BF429" s="2">
        <f t="shared" ca="1" si="428"/>
        <v>2628930.0470188335</v>
      </c>
      <c r="BG429" s="2">
        <f t="shared" ca="1" si="429"/>
        <v>3009696.1185437515</v>
      </c>
      <c r="BH429" s="2">
        <f t="shared" ca="1" si="430"/>
        <v>3424488.6979003223</v>
      </c>
      <c r="BI429" s="2">
        <f t="shared" ca="1" si="431"/>
        <v>45009218.060331337</v>
      </c>
      <c r="BJ429" s="2">
        <f t="shared" ca="1" si="432"/>
        <v>0.30211069461028561</v>
      </c>
      <c r="BK429" s="2">
        <f t="shared" ca="1" si="433"/>
        <v>16105230.407178059</v>
      </c>
    </row>
    <row r="430" spans="1:63" x14ac:dyDescent="0.3">
      <c r="A430" s="2">
        <v>429</v>
      </c>
      <c r="B430" s="2">
        <f t="shared" ca="1" si="372"/>
        <v>9.1916994280641595E-2</v>
      </c>
      <c r="C430" s="2">
        <f t="shared" ca="1" si="373"/>
        <v>6.428758660042317</v>
      </c>
      <c r="D430" s="2">
        <f t="shared" ca="1" si="374"/>
        <v>2.7647300719358281E-2</v>
      </c>
      <c r="E430" s="2">
        <f t="shared" ca="1" si="375"/>
        <v>6.7351480415370633</v>
      </c>
      <c r="F430" s="2">
        <f t="shared" ca="1" si="376"/>
        <v>0.8969508877658191</v>
      </c>
      <c r="G430" s="2">
        <f t="shared" ca="1" si="377"/>
        <v>7.7931018967039939E-2</v>
      </c>
      <c r="H430" s="2">
        <f t="shared" ca="1" si="378"/>
        <v>7.7931018967039939E-2</v>
      </c>
      <c r="I430" s="2">
        <f t="shared" ca="1" si="379"/>
        <v>0.64050085508114574</v>
      </c>
      <c r="J430" s="2">
        <f t="shared" ca="1" si="380"/>
        <v>1.1798989392295473E-2</v>
      </c>
      <c r="K430" s="2">
        <f t="shared" ca="1" si="381"/>
        <v>1.1798989392295473E-2</v>
      </c>
      <c r="L430" s="2">
        <f t="shared" ca="1" si="382"/>
        <v>0.17856142547513132</v>
      </c>
      <c r="M430" s="2">
        <f t="shared" ca="1" si="383"/>
        <v>-1.8417225801973424E-2</v>
      </c>
      <c r="N430" s="2">
        <f t="shared" ca="1" si="384"/>
        <v>-1.8417225801973424E-2</v>
      </c>
      <c r="O430" s="2">
        <f t="shared" si="385"/>
        <v>6000000</v>
      </c>
      <c r="P430" s="2">
        <f t="shared" ca="1" si="386"/>
        <v>38572551.960253902</v>
      </c>
      <c r="Q430" s="2">
        <f t="shared" ca="1" si="387"/>
        <v>964313.79900634754</v>
      </c>
      <c r="R430" s="2">
        <f t="shared" ca="1" si="388"/>
        <v>23143531.176152341</v>
      </c>
      <c r="S430" s="2">
        <f t="shared" ca="1" si="389"/>
        <v>15429020.784101561</v>
      </c>
      <c r="T430" s="2">
        <f t="shared" ca="1" si="390"/>
        <v>49079138.709901325</v>
      </c>
      <c r="U430" s="2">
        <f t="shared" ca="1" si="391"/>
        <v>52903925.999588631</v>
      </c>
      <c r="V430" s="2">
        <f t="shared" ca="1" si="392"/>
        <v>57026782.860093452</v>
      </c>
      <c r="W430" s="2">
        <f t="shared" ca="1" si="393"/>
        <v>61470938.156792663</v>
      </c>
      <c r="X430" s="2">
        <f t="shared" ca="1" si="394"/>
        <v>66261431.004211411</v>
      </c>
      <c r="Y430" s="2">
        <f t="shared" ca="1" si="395"/>
        <v>0.12589949469614772</v>
      </c>
      <c r="Z430" s="2">
        <f t="shared" ca="1" si="396"/>
        <v>0.12825929257460683</v>
      </c>
      <c r="AA430" s="2">
        <f t="shared" ca="1" si="397"/>
        <v>6179038.7636987204</v>
      </c>
      <c r="AB430" s="2">
        <f t="shared" ca="1" si="398"/>
        <v>6785420.1231265878</v>
      </c>
      <c r="AC430" s="2">
        <f t="shared" ca="1" si="399"/>
        <v>7314214.8274413003</v>
      </c>
      <c r="AD430" s="2">
        <f t="shared" ca="1" si="400"/>
        <v>7884219.0418876326</v>
      </c>
      <c r="AE430" s="2">
        <f t="shared" ca="1" si="401"/>
        <v>8498644.2655812763</v>
      </c>
      <c r="AF430" s="2">
        <f t="shared" ca="1" si="402"/>
        <v>981582.77419802651</v>
      </c>
      <c r="AG430" s="2">
        <f t="shared" ca="1" si="403"/>
        <v>1058078.5199917727</v>
      </c>
      <c r="AH430" s="2">
        <f t="shared" ca="1" si="404"/>
        <v>1140535.6572018692</v>
      </c>
      <c r="AI430" s="2">
        <f t="shared" ca="1" si="405"/>
        <v>1229418.7631358532</v>
      </c>
      <c r="AJ430" s="2">
        <f t="shared" ca="1" si="406"/>
        <v>1325228.6200842282</v>
      </c>
      <c r="AK430" s="2">
        <f t="shared" ca="1" si="407"/>
        <v>0</v>
      </c>
      <c r="AL430" s="2">
        <f t="shared" ca="1" si="408"/>
        <v>38247.872896873057</v>
      </c>
      <c r="AM430" s="2">
        <f t="shared" ca="1" si="409"/>
        <v>41228.568605048211</v>
      </c>
      <c r="AN430" s="2">
        <f t="shared" ca="1" si="410"/>
        <v>44441.552966992109</v>
      </c>
      <c r="AO430" s="2">
        <f t="shared" ca="1" si="411"/>
        <v>47904.92847418748</v>
      </c>
      <c r="AP430" s="2">
        <f t="shared" ca="1" si="412"/>
        <v>2082917.8058537105</v>
      </c>
      <c r="AQ430" s="2">
        <f t="shared" ca="1" si="413"/>
        <v>809779.92774821573</v>
      </c>
      <c r="AR430" s="2">
        <f t="shared" ca="1" si="414"/>
        <v>947550.18729308713</v>
      </c>
      <c r="AS430" s="2">
        <f t="shared" ca="1" si="415"/>
        <v>1063597.9547402873</v>
      </c>
      <c r="AT430" s="2">
        <f t="shared" ca="1" si="416"/>
        <v>1188689.4429534979</v>
      </c>
      <c r="AU430" s="2">
        <f t="shared" ca="1" si="417"/>
        <v>1323529.4383072678</v>
      </c>
      <c r="AV430" s="2">
        <f t="shared" ca="1" si="418"/>
        <v>2304758.2558987681</v>
      </c>
      <c r="AW430" s="2">
        <f t="shared" ca="1" si="419"/>
        <v>2658625.7370911436</v>
      </c>
      <c r="AX430" s="2">
        <f t="shared" ca="1" si="420"/>
        <v>2985934.841040385</v>
      </c>
      <c r="AY430" s="2">
        <f t="shared" ca="1" si="421"/>
        <v>3338751.4769775784</v>
      </c>
      <c r="AZ430" s="2">
        <f t="shared" ca="1" si="422"/>
        <v>3719063.4728618823</v>
      </c>
      <c r="BA430" s="2">
        <f t="shared" ca="1" si="423"/>
        <v>57239627.28104993</v>
      </c>
      <c r="BB430" s="2">
        <f t="shared" ca="1" si="424"/>
        <v>1144792.5456209986</v>
      </c>
      <c r="BC430" s="2">
        <f t="shared" ca="1" si="425"/>
        <v>32951303.559276588</v>
      </c>
      <c r="BD430" s="2">
        <f t="shared" ca="1" si="426"/>
        <v>-16893334.583107907</v>
      </c>
      <c r="BE430" s="2">
        <f t="shared" ca="1" si="427"/>
        <v>2304758.2558987681</v>
      </c>
      <c r="BF430" s="2">
        <f t="shared" ca="1" si="428"/>
        <v>2658625.7370911436</v>
      </c>
      <c r="BG430" s="2">
        <f t="shared" ca="1" si="429"/>
        <v>2985934.841040385</v>
      </c>
      <c r="BH430" s="2">
        <f t="shared" ca="1" si="430"/>
        <v>3338751.4769775784</v>
      </c>
      <c r="BI430" s="2">
        <f t="shared" ca="1" si="431"/>
        <v>36670367.032138467</v>
      </c>
      <c r="BJ430" s="2">
        <f t="shared" ca="1" si="432"/>
        <v>0.27755390661551238</v>
      </c>
      <c r="BK430" s="2">
        <f t="shared" ca="1" si="433"/>
        <v>12338842.875662718</v>
      </c>
    </row>
    <row r="431" spans="1:63" x14ac:dyDescent="0.3">
      <c r="A431" s="2">
        <v>430</v>
      </c>
      <c r="B431" s="2">
        <f t="shared" ca="1" si="372"/>
        <v>0.38615360713529612</v>
      </c>
      <c r="C431" s="2">
        <f t="shared" ca="1" si="373"/>
        <v>6.8788101127493881</v>
      </c>
      <c r="D431" s="2">
        <f t="shared" ca="1" si="374"/>
        <v>0.63895214840951764</v>
      </c>
      <c r="E431" s="2">
        <f t="shared" ca="1" si="375"/>
        <v>7.6502378549376511</v>
      </c>
      <c r="F431" s="2">
        <f t="shared" ca="1" si="376"/>
        <v>0.10765434705901211</v>
      </c>
      <c r="G431" s="2">
        <f t="shared" ca="1" si="377"/>
        <v>2.8270183982390534E-3</v>
      </c>
      <c r="H431" s="2">
        <f t="shared" ca="1" si="378"/>
        <v>2.8270183982390534E-3</v>
      </c>
      <c r="I431" s="2">
        <f t="shared" ca="1" si="379"/>
        <v>0.32295072023746063</v>
      </c>
      <c r="J431" s="2">
        <f t="shared" ca="1" si="380"/>
        <v>7.7026830793407268E-3</v>
      </c>
      <c r="K431" s="2">
        <f t="shared" ca="1" si="381"/>
        <v>7.7026830793407268E-3</v>
      </c>
      <c r="L431" s="2">
        <f t="shared" ca="1" si="382"/>
        <v>8.9263586315559751E-2</v>
      </c>
      <c r="M431" s="2">
        <f t="shared" ca="1" si="383"/>
        <v>-2.6906074407189406E-2</v>
      </c>
      <c r="N431" s="2">
        <f t="shared" ca="1" si="384"/>
        <v>-2.6906074407189406E-2</v>
      </c>
      <c r="O431" s="2">
        <f t="shared" si="385"/>
        <v>6000000</v>
      </c>
      <c r="P431" s="2">
        <f t="shared" ca="1" si="386"/>
        <v>41272860.676496327</v>
      </c>
      <c r="Q431" s="2">
        <f t="shared" ca="1" si="387"/>
        <v>1031821.5169124082</v>
      </c>
      <c r="R431" s="2">
        <f t="shared" ca="1" si="388"/>
        <v>24763716.405897796</v>
      </c>
      <c r="S431" s="2">
        <f t="shared" ca="1" si="389"/>
        <v>16509144.270598531</v>
      </c>
      <c r="T431" s="2">
        <f t="shared" ca="1" si="390"/>
        <v>48654696.279640533</v>
      </c>
      <c r="U431" s="2">
        <f t="shared" ca="1" si="391"/>
        <v>48792244.001183808</v>
      </c>
      <c r="V431" s="2">
        <f t="shared" ca="1" si="392"/>
        <v>48930180.572666526</v>
      </c>
      <c r="W431" s="2">
        <f t="shared" ca="1" si="393"/>
        <v>49068507.093374617</v>
      </c>
      <c r="X431" s="2">
        <f t="shared" ca="1" si="394"/>
        <v>49207224.66570171</v>
      </c>
      <c r="Y431" s="2">
        <f t="shared" ca="1" si="395"/>
        <v>0.12385134153967035</v>
      </c>
      <c r="Z431" s="2">
        <f t="shared" ca="1" si="396"/>
        <v>0.12539187815553851</v>
      </c>
      <c r="AA431" s="2">
        <f t="shared" ca="1" si="397"/>
        <v>6025949.4064386878</v>
      </c>
      <c r="AB431" s="2">
        <f t="shared" ca="1" si="398"/>
        <v>6118151.1147317449</v>
      </c>
      <c r="AC431" s="2">
        <f t="shared" ca="1" si="399"/>
        <v>6135447.2404962983</v>
      </c>
      <c r="AD431" s="2">
        <f t="shared" ca="1" si="400"/>
        <v>6152792.2627266068</v>
      </c>
      <c r="AE431" s="2">
        <f t="shared" ca="1" si="401"/>
        <v>6170186.319653878</v>
      </c>
      <c r="AF431" s="2">
        <f t="shared" ca="1" si="402"/>
        <v>973093.92559281073</v>
      </c>
      <c r="AG431" s="2">
        <f t="shared" ca="1" si="403"/>
        <v>975844.8800236762</v>
      </c>
      <c r="AH431" s="2">
        <f t="shared" ca="1" si="404"/>
        <v>978603.61145333049</v>
      </c>
      <c r="AI431" s="2">
        <f t="shared" ca="1" si="405"/>
        <v>981370.14186749235</v>
      </c>
      <c r="AJ431" s="2">
        <f t="shared" ca="1" si="406"/>
        <v>984144.49331403419</v>
      </c>
      <c r="AK431" s="2">
        <f t="shared" ca="1" si="407"/>
        <v>0</v>
      </c>
      <c r="AL431" s="2">
        <f t="shared" ca="1" si="408"/>
        <v>1375.4772154327482</v>
      </c>
      <c r="AM431" s="2">
        <f t="shared" ca="1" si="409"/>
        <v>1379.36571482718</v>
      </c>
      <c r="AN431" s="2">
        <f t="shared" ca="1" si="410"/>
        <v>1383.2652070809156</v>
      </c>
      <c r="AO431" s="2">
        <f t="shared" ca="1" si="411"/>
        <v>1387.1757232709228</v>
      </c>
      <c r="AP431" s="2">
        <f t="shared" ca="1" si="412"/>
        <v>2228734.4765308015</v>
      </c>
      <c r="AQ431" s="2">
        <f t="shared" ca="1" si="413"/>
        <v>734271.46112191968</v>
      </c>
      <c r="AR431" s="2">
        <f t="shared" ca="1" si="414"/>
        <v>757528.65712608956</v>
      </c>
      <c r="AS431" s="2">
        <f t="shared" ca="1" si="415"/>
        <v>761308.37965316337</v>
      </c>
      <c r="AT431" s="2">
        <f t="shared" ca="1" si="416"/>
        <v>765098.7875253614</v>
      </c>
      <c r="AU431" s="2">
        <f t="shared" ca="1" si="417"/>
        <v>768899.91095035104</v>
      </c>
      <c r="AV431" s="2">
        <f t="shared" ca="1" si="418"/>
        <v>2089849.5431931559</v>
      </c>
      <c r="AW431" s="2">
        <f t="shared" ca="1" si="419"/>
        <v>2154667.6238357453</v>
      </c>
      <c r="AX431" s="2">
        <f t="shared" ca="1" si="420"/>
        <v>2165421.4071441758</v>
      </c>
      <c r="AY431" s="2">
        <f t="shared" ca="1" si="421"/>
        <v>2176205.5915958704</v>
      </c>
      <c r="AZ431" s="2">
        <f t="shared" ca="1" si="422"/>
        <v>2187020.2631354202</v>
      </c>
      <c r="BA431" s="2">
        <f t="shared" ca="1" si="423"/>
        <v>47203392.954634525</v>
      </c>
      <c r="BB431" s="2">
        <f t="shared" ca="1" si="424"/>
        <v>944067.85909269052</v>
      </c>
      <c r="BC431" s="2">
        <f t="shared" ca="1" si="425"/>
        <v>21495608.689644039</v>
      </c>
      <c r="BD431" s="2">
        <f t="shared" ca="1" si="426"/>
        <v>-18040965.787510939</v>
      </c>
      <c r="BE431" s="2">
        <f t="shared" ca="1" si="427"/>
        <v>2089849.5431931559</v>
      </c>
      <c r="BF431" s="2">
        <f t="shared" ca="1" si="428"/>
        <v>2154667.6238357453</v>
      </c>
      <c r="BG431" s="2">
        <f t="shared" ca="1" si="429"/>
        <v>2165421.4071441758</v>
      </c>
      <c r="BH431" s="2">
        <f t="shared" ca="1" si="430"/>
        <v>2176205.5915958704</v>
      </c>
      <c r="BI431" s="2">
        <f t="shared" ca="1" si="431"/>
        <v>23682628.952779457</v>
      </c>
      <c r="BJ431" s="2">
        <f t="shared" ca="1" si="432"/>
        <v>0.14762623311877476</v>
      </c>
      <c r="BK431" s="2">
        <f t="shared" ca="1" si="433"/>
        <v>1905141.0059133805</v>
      </c>
    </row>
    <row r="432" spans="1:63" x14ac:dyDescent="0.3">
      <c r="A432" s="2">
        <v>431</v>
      </c>
      <c r="B432" s="2">
        <f t="shared" ca="1" si="372"/>
        <v>0.69345107073479062</v>
      </c>
      <c r="C432" s="2">
        <f t="shared" ca="1" si="373"/>
        <v>7.2169943432321713</v>
      </c>
      <c r="D432" s="2">
        <f t="shared" ca="1" si="374"/>
        <v>0.49395419403775476</v>
      </c>
      <c r="E432" s="2">
        <f t="shared" ca="1" si="375"/>
        <v>7.493935806818282</v>
      </c>
      <c r="F432" s="2">
        <f t="shared" ca="1" si="376"/>
        <v>0.5651688177803631</v>
      </c>
      <c r="G432" s="2">
        <f t="shared" ca="1" si="377"/>
        <v>4.4922621095843628E-2</v>
      </c>
      <c r="H432" s="2">
        <f t="shared" ca="1" si="378"/>
        <v>4.4922621095843628E-2</v>
      </c>
      <c r="I432" s="2">
        <f t="shared" ca="1" si="379"/>
        <v>0.57418642393156827</v>
      </c>
      <c r="J432" s="2">
        <f t="shared" ca="1" si="380"/>
        <v>1.0935213511383421E-2</v>
      </c>
      <c r="K432" s="2">
        <f t="shared" ca="1" si="381"/>
        <v>1.0935213511383421E-2</v>
      </c>
      <c r="L432" s="2">
        <f t="shared" ca="1" si="382"/>
        <v>0.58167348095506688</v>
      </c>
      <c r="M432" s="2">
        <f t="shared" ca="1" si="383"/>
        <v>4.1235301454219274E-3</v>
      </c>
      <c r="N432" s="2">
        <f t="shared" ca="1" si="384"/>
        <v>4.1235301454219274E-3</v>
      </c>
      <c r="O432" s="2">
        <f t="shared" si="385"/>
        <v>6000000</v>
      </c>
      <c r="P432" s="2">
        <f t="shared" ca="1" si="386"/>
        <v>43301966.059393026</v>
      </c>
      <c r="Q432" s="2">
        <f t="shared" ca="1" si="387"/>
        <v>1082549.1514848256</v>
      </c>
      <c r="R432" s="2">
        <f t="shared" ca="1" si="388"/>
        <v>25981179.635635816</v>
      </c>
      <c r="S432" s="2">
        <f t="shared" ca="1" si="389"/>
        <v>17320786.42375721</v>
      </c>
      <c r="T432" s="2">
        <f t="shared" ca="1" si="390"/>
        <v>50206176.507271096</v>
      </c>
      <c r="U432" s="2">
        <f t="shared" ca="1" si="391"/>
        <v>52461569.551178277</v>
      </c>
      <c r="V432" s="2">
        <f t="shared" ca="1" si="392"/>
        <v>54818280.762219101</v>
      </c>
      <c r="W432" s="2">
        <f t="shared" ca="1" si="393"/>
        <v>57280861.618025839</v>
      </c>
      <c r="X432" s="2">
        <f t="shared" ca="1" si="394"/>
        <v>59854068.060535863</v>
      </c>
      <c r="Y432" s="2">
        <f t="shared" ca="1" si="395"/>
        <v>0.12546760675569171</v>
      </c>
      <c r="Z432" s="2">
        <f t="shared" ca="1" si="396"/>
        <v>0.12765464945796839</v>
      </c>
      <c r="AA432" s="2">
        <f t="shared" ca="1" si="397"/>
        <v>6299248.8107211376</v>
      </c>
      <c r="AB432" s="2">
        <f t="shared" ca="1" si="398"/>
        <v>6696963.2710704915</v>
      </c>
      <c r="AC432" s="2">
        <f t="shared" ca="1" si="399"/>
        <v>6997808.4145895718</v>
      </c>
      <c r="AD432" s="2">
        <f t="shared" ca="1" si="400"/>
        <v>7312168.3104994847</v>
      </c>
      <c r="AE432" s="2">
        <f t="shared" ca="1" si="401"/>
        <v>7640650.0769010875</v>
      </c>
      <c r="AF432" s="2">
        <f t="shared" ca="1" si="402"/>
        <v>1004123.530145422</v>
      </c>
      <c r="AG432" s="2">
        <f t="shared" ca="1" si="403"/>
        <v>1049231.3910235655</v>
      </c>
      <c r="AH432" s="2">
        <f t="shared" ca="1" si="404"/>
        <v>1096365.6152443821</v>
      </c>
      <c r="AI432" s="2">
        <f t="shared" ca="1" si="405"/>
        <v>1145617.2323605169</v>
      </c>
      <c r="AJ432" s="2">
        <f t="shared" ca="1" si="406"/>
        <v>1197081.3612107174</v>
      </c>
      <c r="AK432" s="2">
        <f t="shared" ca="1" si="407"/>
        <v>0</v>
      </c>
      <c r="AL432" s="2">
        <f t="shared" ca="1" si="408"/>
        <v>22553.930439071806</v>
      </c>
      <c r="AM432" s="2">
        <f t="shared" ca="1" si="409"/>
        <v>23567.112110408249</v>
      </c>
      <c r="AN432" s="2">
        <f t="shared" ca="1" si="410"/>
        <v>24625.808558067383</v>
      </c>
      <c r="AO432" s="2">
        <f t="shared" ca="1" si="411"/>
        <v>25732.064425100238</v>
      </c>
      <c r="AP432" s="2">
        <f t="shared" ca="1" si="412"/>
        <v>2338306.1672072234</v>
      </c>
      <c r="AQ432" s="2">
        <f t="shared" ca="1" si="413"/>
        <v>768772.96947580809</v>
      </c>
      <c r="AR432" s="2">
        <f t="shared" ca="1" si="414"/>
        <v>860450.68533832277</v>
      </c>
      <c r="AS432" s="2">
        <f t="shared" ca="1" si="415"/>
        <v>926415.52435587125</v>
      </c>
      <c r="AT432" s="2">
        <f t="shared" ca="1" si="416"/>
        <v>995343.67684225366</v>
      </c>
      <c r="AU432" s="2">
        <f t="shared" ca="1" si="417"/>
        <v>1067368.2626056182</v>
      </c>
      <c r="AV432" s="2">
        <f t="shared" ca="1" si="418"/>
        <v>2188046.143892684</v>
      </c>
      <c r="AW432" s="2">
        <f t="shared" ca="1" si="419"/>
        <v>2426421.0970623083</v>
      </c>
      <c r="AX432" s="2">
        <f t="shared" ca="1" si="420"/>
        <v>2613153.9956716867</v>
      </c>
      <c r="AY432" s="2">
        <f t="shared" ca="1" si="421"/>
        <v>2808275.4255314237</v>
      </c>
      <c r="AZ432" s="2">
        <f t="shared" ca="1" si="422"/>
        <v>3012162.221452429</v>
      </c>
      <c r="BA432" s="2">
        <f t="shared" ca="1" si="423"/>
        <v>57258541.198657922</v>
      </c>
      <c r="BB432" s="2">
        <f t="shared" ca="1" si="424"/>
        <v>1145170.8239731584</v>
      </c>
      <c r="BC432" s="2">
        <f t="shared" ca="1" si="425"/>
        <v>30132190.73904895</v>
      </c>
      <c r="BD432" s="2">
        <f t="shared" ca="1" si="426"/>
        <v>-18903335.575242035</v>
      </c>
      <c r="BE432" s="2">
        <f t="shared" ca="1" si="427"/>
        <v>2188046.143892684</v>
      </c>
      <c r="BF432" s="2">
        <f t="shared" ca="1" si="428"/>
        <v>2426421.0970623083</v>
      </c>
      <c r="BG432" s="2">
        <f t="shared" ca="1" si="429"/>
        <v>2613153.9956716867</v>
      </c>
      <c r="BH432" s="2">
        <f t="shared" ca="1" si="430"/>
        <v>2808275.4255314237</v>
      </c>
      <c r="BI432" s="2">
        <f t="shared" ca="1" si="431"/>
        <v>33144352.96050138</v>
      </c>
      <c r="BJ432" s="2">
        <f t="shared" ca="1" si="432"/>
        <v>0.21194591322754275</v>
      </c>
      <c r="BK432" s="2">
        <f t="shared" ca="1" si="433"/>
        <v>7436302.282056056</v>
      </c>
    </row>
    <row r="433" spans="1:63" x14ac:dyDescent="0.3">
      <c r="A433" s="2">
        <v>432</v>
      </c>
      <c r="B433" s="2">
        <f t="shared" ca="1" si="372"/>
        <v>0.4966686768669818</v>
      </c>
      <c r="C433" s="2">
        <f t="shared" ca="1" si="373"/>
        <v>6.9966631094477023</v>
      </c>
      <c r="D433" s="2">
        <f t="shared" ca="1" si="374"/>
        <v>0.46006606275038464</v>
      </c>
      <c r="E433" s="2">
        <f t="shared" ca="1" si="375"/>
        <v>7.4592351773682868</v>
      </c>
      <c r="F433" s="2">
        <f t="shared" ca="1" si="376"/>
        <v>0.74661212837903479</v>
      </c>
      <c r="G433" s="2">
        <f t="shared" ca="1" si="377"/>
        <v>5.9915995736347531E-2</v>
      </c>
      <c r="H433" s="2">
        <f t="shared" ca="1" si="378"/>
        <v>5.9915995736347531E-2</v>
      </c>
      <c r="I433" s="2">
        <f t="shared" ca="1" si="379"/>
        <v>0.51069400035428447</v>
      </c>
      <c r="J433" s="2">
        <f t="shared" ca="1" si="380"/>
        <v>1.0134045473583219E-2</v>
      </c>
      <c r="K433" s="2">
        <f t="shared" ca="1" si="381"/>
        <v>1.0134045473583219E-2</v>
      </c>
      <c r="L433" s="2">
        <f t="shared" ca="1" si="382"/>
        <v>0.39499563510229685</v>
      </c>
      <c r="M433" s="2">
        <f t="shared" ca="1" si="383"/>
        <v>-5.3264389867946141E-3</v>
      </c>
      <c r="N433" s="2">
        <f t="shared" ca="1" si="384"/>
        <v>-5.3264389867946141E-3</v>
      </c>
      <c r="O433" s="2">
        <f t="shared" si="385"/>
        <v>6000000</v>
      </c>
      <c r="P433" s="2">
        <f t="shared" ca="1" si="386"/>
        <v>41979978.656686217</v>
      </c>
      <c r="Q433" s="2">
        <f t="shared" ca="1" si="387"/>
        <v>1049499.4664171555</v>
      </c>
      <c r="R433" s="2">
        <f t="shared" ca="1" si="388"/>
        <v>25187987.194011729</v>
      </c>
      <c r="S433" s="2">
        <f t="shared" ca="1" si="389"/>
        <v>16791991.462674487</v>
      </c>
      <c r="T433" s="2">
        <f t="shared" ca="1" si="390"/>
        <v>49733678.050660267</v>
      </c>
      <c r="U433" s="2">
        <f t="shared" ca="1" si="391"/>
        <v>52713520.892696507</v>
      </c>
      <c r="V433" s="2">
        <f t="shared" ca="1" si="392"/>
        <v>55871903.985751174</v>
      </c>
      <c r="W433" s="2">
        <f t="shared" ca="1" si="393"/>
        <v>59219524.746743061</v>
      </c>
      <c r="X433" s="2">
        <f t="shared" ca="1" si="394"/>
        <v>62767721.538977444</v>
      </c>
      <c r="Y433" s="2">
        <f t="shared" ca="1" si="395"/>
        <v>0.1250670227367916</v>
      </c>
      <c r="Z433" s="2">
        <f t="shared" ca="1" si="396"/>
        <v>0.12709383183150824</v>
      </c>
      <c r="AA433" s="2">
        <f t="shared" ca="1" si="397"/>
        <v>6220043.0435462007</v>
      </c>
      <c r="AB433" s="2">
        <f t="shared" ca="1" si="398"/>
        <v>6699563.3595830658</v>
      </c>
      <c r="AC433" s="2">
        <f t="shared" ca="1" si="399"/>
        <v>7100974.3692712346</v>
      </c>
      <c r="AD433" s="2">
        <f t="shared" ca="1" si="400"/>
        <v>7526436.3193044029</v>
      </c>
      <c r="AE433" s="2">
        <f t="shared" ca="1" si="401"/>
        <v>7977390.2457217369</v>
      </c>
      <c r="AF433" s="2">
        <f t="shared" ca="1" si="402"/>
        <v>994673.56101320533</v>
      </c>
      <c r="AG433" s="2">
        <f t="shared" ca="1" si="403"/>
        <v>1054270.4178539303</v>
      </c>
      <c r="AH433" s="2">
        <f t="shared" ca="1" si="404"/>
        <v>1117438.0797150235</v>
      </c>
      <c r="AI433" s="2">
        <f t="shared" ca="1" si="405"/>
        <v>1184390.4949348613</v>
      </c>
      <c r="AJ433" s="2">
        <f t="shared" ca="1" si="406"/>
        <v>1255354.4307795488</v>
      </c>
      <c r="AK433" s="2">
        <f t="shared" ca="1" si="407"/>
        <v>0</v>
      </c>
      <c r="AL433" s="2">
        <f t="shared" ca="1" si="408"/>
        <v>29798.428420362397</v>
      </c>
      <c r="AM433" s="2">
        <f t="shared" ca="1" si="409"/>
        <v>31583.830930546672</v>
      </c>
      <c r="AN433" s="2">
        <f t="shared" ca="1" si="410"/>
        <v>33476.207609918863</v>
      </c>
      <c r="AO433" s="2">
        <f t="shared" ca="1" si="411"/>
        <v>35481.967922343836</v>
      </c>
      <c r="AP433" s="2">
        <f t="shared" ca="1" si="412"/>
        <v>2266918.8474610555</v>
      </c>
      <c r="AQ433" s="2">
        <f t="shared" ca="1" si="413"/>
        <v>769197.16511870455</v>
      </c>
      <c r="AR433" s="2">
        <f t="shared" ca="1" si="414"/>
        <v>878377.26450970094</v>
      </c>
      <c r="AS433" s="2">
        <f t="shared" ca="1" si="415"/>
        <v>966320.53494474047</v>
      </c>
      <c r="AT433" s="2">
        <f t="shared" ca="1" si="416"/>
        <v>1059533.0139962065</v>
      </c>
      <c r="AU433" s="2">
        <f t="shared" ca="1" si="417"/>
        <v>1158330.4115450946</v>
      </c>
      <c r="AV433" s="2">
        <f t="shared" ca="1" si="418"/>
        <v>2189253.4699532357</v>
      </c>
      <c r="AW433" s="2">
        <f t="shared" ca="1" si="419"/>
        <v>2470198.4013380171</v>
      </c>
      <c r="AX433" s="2">
        <f t="shared" ca="1" si="420"/>
        <v>2718713.0762198684</v>
      </c>
      <c r="AY433" s="2">
        <f t="shared" ca="1" si="421"/>
        <v>2982117.7553023607</v>
      </c>
      <c r="AZ433" s="2">
        <f t="shared" ca="1" si="422"/>
        <v>3261304.5880136942</v>
      </c>
      <c r="BA433" s="2">
        <f t="shared" ca="1" si="423"/>
        <v>59505229.944482222</v>
      </c>
      <c r="BB433" s="2">
        <f t="shared" ca="1" si="424"/>
        <v>1190104.5988896445</v>
      </c>
      <c r="BC433" s="2">
        <f t="shared" ca="1" si="425"/>
        <v>33127138.151580844</v>
      </c>
      <c r="BD433" s="2">
        <f t="shared" ca="1" si="426"/>
        <v>-18341490.929091644</v>
      </c>
      <c r="BE433" s="2">
        <f t="shared" ca="1" si="427"/>
        <v>2189253.4699532357</v>
      </c>
      <c r="BF433" s="2">
        <f t="shared" ca="1" si="428"/>
        <v>2470198.4013380171</v>
      </c>
      <c r="BG433" s="2">
        <f t="shared" ca="1" si="429"/>
        <v>2718713.0762198684</v>
      </c>
      <c r="BH433" s="2">
        <f t="shared" ca="1" si="430"/>
        <v>2982117.7553023607</v>
      </c>
      <c r="BI433" s="2">
        <f t="shared" ca="1" si="431"/>
        <v>36388442.739594541</v>
      </c>
      <c r="BJ433" s="2">
        <f t="shared" ca="1" si="432"/>
        <v>0.24212487325306076</v>
      </c>
      <c r="BK433" s="2">
        <f t="shared" ca="1" si="433"/>
        <v>10060522.371740315</v>
      </c>
    </row>
    <row r="434" spans="1:63" x14ac:dyDescent="0.3">
      <c r="A434" s="2">
        <v>433</v>
      </c>
      <c r="B434" s="2">
        <f t="shared" ca="1" si="372"/>
        <v>0.6902582246004122</v>
      </c>
      <c r="C434" s="2">
        <f t="shared" ca="1" si="373"/>
        <v>7.2129272264909838</v>
      </c>
      <c r="D434" s="2">
        <f t="shared" ca="1" si="374"/>
        <v>0.21232641223886239</v>
      </c>
      <c r="E434" s="2">
        <f t="shared" ca="1" si="375"/>
        <v>7.151653914649275</v>
      </c>
      <c r="F434" s="2">
        <f t="shared" ca="1" si="376"/>
        <v>0.99331767784484037</v>
      </c>
      <c r="G434" s="2">
        <f t="shared" ca="1" si="377"/>
        <v>0.11421705266137627</v>
      </c>
      <c r="H434" s="2">
        <f t="shared" ca="1" si="378"/>
        <v>0.11421705266137627</v>
      </c>
      <c r="I434" s="2">
        <f t="shared" ca="1" si="379"/>
        <v>7.1528154883667372E-2</v>
      </c>
      <c r="J434" s="2">
        <f t="shared" ca="1" si="380"/>
        <v>2.6774803446059561E-3</v>
      </c>
      <c r="K434" s="2">
        <f t="shared" ca="1" si="381"/>
        <v>2.6774803446059561E-3</v>
      </c>
      <c r="L434" s="2">
        <f t="shared" ca="1" si="382"/>
        <v>0.21021198737763624</v>
      </c>
      <c r="M434" s="2">
        <f t="shared" ca="1" si="383"/>
        <v>-1.6113718236198411E-2</v>
      </c>
      <c r="N434" s="2">
        <f t="shared" ca="1" si="384"/>
        <v>-1.6113718236198411E-2</v>
      </c>
      <c r="O434" s="2">
        <f t="shared" si="385"/>
        <v>6000000</v>
      </c>
      <c r="P434" s="2">
        <f t="shared" ca="1" si="386"/>
        <v>43277563.358945906</v>
      </c>
      <c r="Q434" s="2">
        <f t="shared" ca="1" si="387"/>
        <v>1081939.0839736478</v>
      </c>
      <c r="R434" s="2">
        <f t="shared" ca="1" si="388"/>
        <v>25966538.015367541</v>
      </c>
      <c r="S434" s="2">
        <f t="shared" ca="1" si="389"/>
        <v>17311025.343578365</v>
      </c>
      <c r="T434" s="2">
        <f t="shared" ca="1" si="390"/>
        <v>49194314.088190079</v>
      </c>
      <c r="U434" s="2">
        <f t="shared" ca="1" si="391"/>
        <v>54813143.651041165</v>
      </c>
      <c r="V434" s="2">
        <f t="shared" ca="1" si="392"/>
        <v>61073739.365967713</v>
      </c>
      <c r="W434" s="2">
        <f t="shared" ca="1" si="393"/>
        <v>68049401.871357605</v>
      </c>
      <c r="X434" s="2">
        <f t="shared" ca="1" si="394"/>
        <v>75821803.988473609</v>
      </c>
      <c r="Y434" s="2">
        <f t="shared" ca="1" si="395"/>
        <v>0.12133874017230298</v>
      </c>
      <c r="Z434" s="2">
        <f t="shared" ca="1" si="396"/>
        <v>0.12187423624122416</v>
      </c>
      <c r="AA434" s="2">
        <f t="shared" ca="1" si="397"/>
        <v>5969176.0951015595</v>
      </c>
      <c r="AB434" s="2">
        <f t="shared" ca="1" si="398"/>
        <v>6680310.0184511477</v>
      </c>
      <c r="AC434" s="2">
        <f t="shared" ca="1" si="399"/>
        <v>7443315.3396229008</v>
      </c>
      <c r="AD434" s="2">
        <f t="shared" ca="1" si="400"/>
        <v>8293468.8797438387</v>
      </c>
      <c r="AE434" s="2">
        <f t="shared" ca="1" si="401"/>
        <v>9240724.4515270256</v>
      </c>
      <c r="AF434" s="2">
        <f t="shared" ca="1" si="402"/>
        <v>983886.28176380158</v>
      </c>
      <c r="AG434" s="2">
        <f t="shared" ca="1" si="403"/>
        <v>1096262.8730208233</v>
      </c>
      <c r="AH434" s="2">
        <f t="shared" ca="1" si="404"/>
        <v>1221474.7873193542</v>
      </c>
      <c r="AI434" s="2">
        <f t="shared" ca="1" si="405"/>
        <v>1360988.037427152</v>
      </c>
      <c r="AJ434" s="2">
        <f t="shared" ca="1" si="406"/>
        <v>1516436.0797694721</v>
      </c>
      <c r="AK434" s="2">
        <f t="shared" ca="1" si="407"/>
        <v>0</v>
      </c>
      <c r="AL434" s="2">
        <f t="shared" ca="1" si="408"/>
        <v>56188.295628510867</v>
      </c>
      <c r="AM434" s="2">
        <f t="shared" ca="1" si="409"/>
        <v>62605.957149265487</v>
      </c>
      <c r="AN434" s="2">
        <f t="shared" ca="1" si="410"/>
        <v>69756.625053898912</v>
      </c>
      <c r="AO434" s="2">
        <f t="shared" ca="1" si="411"/>
        <v>77724.021171160042</v>
      </c>
      <c r="AP434" s="2">
        <f t="shared" ca="1" si="412"/>
        <v>2336988.4213830787</v>
      </c>
      <c r="AQ434" s="2">
        <f t="shared" ca="1" si="413"/>
        <v>688558.36190821673</v>
      </c>
      <c r="AR434" s="2">
        <f t="shared" ca="1" si="414"/>
        <v>844235.26825228392</v>
      </c>
      <c r="AS434" s="2">
        <f t="shared" ca="1" si="415"/>
        <v>1010061.5540393218</v>
      </c>
      <c r="AT434" s="2">
        <f t="shared" ca="1" si="416"/>
        <v>1194828.029442738</v>
      </c>
      <c r="AU434" s="2">
        <f t="shared" ca="1" si="417"/>
        <v>1400697.9870973635</v>
      </c>
      <c r="AV434" s="2">
        <f t="shared" ca="1" si="418"/>
        <v>1959743.0300464625</v>
      </c>
      <c r="AW434" s="2">
        <f t="shared" ca="1" si="419"/>
        <v>2346635.1601664512</v>
      </c>
      <c r="AX434" s="2">
        <f t="shared" ca="1" si="420"/>
        <v>2812184.6197318812</v>
      </c>
      <c r="AY434" s="2">
        <f t="shared" ca="1" si="421"/>
        <v>3330907.7664369713</v>
      </c>
      <c r="AZ434" s="2">
        <f t="shared" ca="1" si="422"/>
        <v>3908877.9421059513</v>
      </c>
      <c r="BA434" s="2">
        <f t="shared" ca="1" si="423"/>
        <v>66086463.197958529</v>
      </c>
      <c r="BB434" s="2">
        <f t="shared" ca="1" si="424"/>
        <v>1321729.2639591706</v>
      </c>
      <c r="BC434" s="2">
        <f t="shared" ca="1" si="425"/>
        <v>38798195.918631822</v>
      </c>
      <c r="BD434" s="2">
        <f t="shared" ca="1" si="426"/>
        <v>-18892964.427552011</v>
      </c>
      <c r="BE434" s="2">
        <f t="shared" ca="1" si="427"/>
        <v>1959743.0300464625</v>
      </c>
      <c r="BF434" s="2">
        <f t="shared" ca="1" si="428"/>
        <v>2346635.1601664512</v>
      </c>
      <c r="BG434" s="2">
        <f t="shared" ca="1" si="429"/>
        <v>2812184.6197318812</v>
      </c>
      <c r="BH434" s="2">
        <f t="shared" ca="1" si="430"/>
        <v>3330907.7664369713</v>
      </c>
      <c r="BI434" s="2">
        <f t="shared" ca="1" si="431"/>
        <v>42707073.860737771</v>
      </c>
      <c r="BJ434" s="2">
        <f t="shared" ca="1" si="432"/>
        <v>0.26494726449744088</v>
      </c>
      <c r="BK434" s="2">
        <f t="shared" ca="1" si="433"/>
        <v>13079179.523860104</v>
      </c>
    </row>
    <row r="435" spans="1:63" x14ac:dyDescent="0.3">
      <c r="A435" s="2">
        <v>434</v>
      </c>
      <c r="B435" s="2">
        <f t="shared" ca="1" si="372"/>
        <v>0.79409443871822682</v>
      </c>
      <c r="C435" s="2">
        <f t="shared" ca="1" si="373"/>
        <v>7.3582748855128495</v>
      </c>
      <c r="D435" s="2">
        <f t="shared" ca="1" si="374"/>
        <v>0.71043972985049397</v>
      </c>
      <c r="E435" s="2">
        <f t="shared" ca="1" si="375"/>
        <v>7.7390003020375024</v>
      </c>
      <c r="F435" s="2">
        <f t="shared" ca="1" si="376"/>
        <v>0.59451667021791332</v>
      </c>
      <c r="G435" s="2">
        <f t="shared" ca="1" si="377"/>
        <v>4.717537488116632E-2</v>
      </c>
      <c r="H435" s="2">
        <f t="shared" ca="1" si="378"/>
        <v>4.717537488116632E-2</v>
      </c>
      <c r="I435" s="2">
        <f t="shared" ca="1" si="379"/>
        <v>0.29446923095587596</v>
      </c>
      <c r="J435" s="2">
        <f t="shared" ca="1" si="380"/>
        <v>7.2981251217738583E-3</v>
      </c>
      <c r="K435" s="2">
        <f t="shared" ca="1" si="381"/>
        <v>7.2981251217738583E-3</v>
      </c>
      <c r="L435" s="2">
        <f t="shared" ca="1" si="382"/>
        <v>0.249733681276051</v>
      </c>
      <c r="M435" s="2">
        <f t="shared" ca="1" si="383"/>
        <v>-1.3506561126870448E-2</v>
      </c>
      <c r="N435" s="2">
        <f t="shared" ca="1" si="384"/>
        <v>-1.3506561126870448E-2</v>
      </c>
      <c r="O435" s="2">
        <f t="shared" si="385"/>
        <v>6000000</v>
      </c>
      <c r="P435" s="2">
        <f t="shared" ca="1" si="386"/>
        <v>44149649.3130771</v>
      </c>
      <c r="Q435" s="2">
        <f t="shared" ca="1" si="387"/>
        <v>1103741.2328269274</v>
      </c>
      <c r="R435" s="2">
        <f t="shared" ca="1" si="388"/>
        <v>26489789.587846261</v>
      </c>
      <c r="S435" s="2">
        <f t="shared" ca="1" si="389"/>
        <v>17659859.725230839</v>
      </c>
      <c r="T435" s="2">
        <f t="shared" ca="1" si="390"/>
        <v>49324671.943656482</v>
      </c>
      <c r="U435" s="2">
        <f t="shared" ca="1" si="391"/>
        <v>51651581.833489023</v>
      </c>
      <c r="V435" s="2">
        <f t="shared" ca="1" si="392"/>
        <v>54088264.56968911</v>
      </c>
      <c r="W435" s="2">
        <f t="shared" ca="1" si="393"/>
        <v>56639898.727435902</v>
      </c>
      <c r="X435" s="2">
        <f t="shared" ca="1" si="394"/>
        <v>59311907.183133982</v>
      </c>
      <c r="Y435" s="2">
        <f t="shared" ca="1" si="395"/>
        <v>0.12364906256088692</v>
      </c>
      <c r="Z435" s="2">
        <f t="shared" ca="1" si="396"/>
        <v>0.12510868758524168</v>
      </c>
      <c r="AA435" s="2">
        <f t="shared" ca="1" si="397"/>
        <v>6098949.4469564045</v>
      </c>
      <c r="AB435" s="2">
        <f t="shared" ca="1" si="398"/>
        <v>6462061.614889523</v>
      </c>
      <c r="AC435" s="2">
        <f t="shared" ca="1" si="399"/>
        <v>6766911.7940771319</v>
      </c>
      <c r="AD435" s="2">
        <f t="shared" ca="1" si="400"/>
        <v>7086143.3947505066</v>
      </c>
      <c r="AE435" s="2">
        <f t="shared" ca="1" si="401"/>
        <v>7420434.8658595616</v>
      </c>
      <c r="AF435" s="2">
        <f t="shared" ca="1" si="402"/>
        <v>986493.43887312966</v>
      </c>
      <c r="AG435" s="2">
        <f t="shared" ca="1" si="403"/>
        <v>1033031.6366697805</v>
      </c>
      <c r="AH435" s="2">
        <f t="shared" ca="1" si="404"/>
        <v>1081765.2913937822</v>
      </c>
      <c r="AI435" s="2">
        <f t="shared" ca="1" si="405"/>
        <v>1132797.974548718</v>
      </c>
      <c r="AJ435" s="2">
        <f t="shared" ca="1" si="406"/>
        <v>1186238.1436626797</v>
      </c>
      <c r="AK435" s="2">
        <f t="shared" ca="1" si="407"/>
        <v>0</v>
      </c>
      <c r="AL435" s="2">
        <f t="shared" ca="1" si="408"/>
        <v>23269.098898325414</v>
      </c>
      <c r="AM435" s="2">
        <f t="shared" ca="1" si="409"/>
        <v>24366.827362000869</v>
      </c>
      <c r="AN435" s="2">
        <f t="shared" ca="1" si="410"/>
        <v>25516.34157746792</v>
      </c>
      <c r="AO435" s="2">
        <f t="shared" ca="1" si="411"/>
        <v>26720.084556980804</v>
      </c>
      <c r="AP435" s="2">
        <f t="shared" ca="1" si="412"/>
        <v>2384081.0629061633</v>
      </c>
      <c r="AQ435" s="2">
        <f t="shared" ca="1" si="413"/>
        <v>709377.48574604897</v>
      </c>
      <c r="AR435" s="2">
        <f t="shared" ca="1" si="414"/>
        <v>791686.7179815307</v>
      </c>
      <c r="AS435" s="2">
        <f t="shared" ca="1" si="415"/>
        <v>858277.01434206858</v>
      </c>
      <c r="AT435" s="2">
        <f t="shared" ca="1" si="416"/>
        <v>928008.73289686267</v>
      </c>
      <c r="AU435" s="2">
        <f t="shared" ca="1" si="417"/>
        <v>1001030.0714155869</v>
      </c>
      <c r="AV435" s="2">
        <f t="shared" ca="1" si="418"/>
        <v>2018997.459431062</v>
      </c>
      <c r="AW435" s="2">
        <f t="shared" ca="1" si="419"/>
        <v>2229993.0984337241</v>
      </c>
      <c r="AX435" s="2">
        <f t="shared" ca="1" si="420"/>
        <v>2418421.598073117</v>
      </c>
      <c r="AY435" s="2">
        <f t="shared" ca="1" si="421"/>
        <v>2615739.2828212953</v>
      </c>
      <c r="AZ435" s="2">
        <f t="shared" ca="1" si="422"/>
        <v>2822365.503318151</v>
      </c>
      <c r="BA435" s="2">
        <f t="shared" ca="1" si="423"/>
        <v>57426747.668136761</v>
      </c>
      <c r="BB435" s="2">
        <f t="shared" ca="1" si="424"/>
        <v>1148534.9533627352</v>
      </c>
      <c r="BC435" s="2">
        <f t="shared" ca="1" si="425"/>
        <v>29788423.126927763</v>
      </c>
      <c r="BD435" s="2">
        <f t="shared" ca="1" si="426"/>
        <v>-19263600.958057765</v>
      </c>
      <c r="BE435" s="2">
        <f t="shared" ca="1" si="427"/>
        <v>2018997.459431062</v>
      </c>
      <c r="BF435" s="2">
        <f t="shared" ca="1" si="428"/>
        <v>2229993.0984337241</v>
      </c>
      <c r="BG435" s="2">
        <f t="shared" ca="1" si="429"/>
        <v>2418421.598073117</v>
      </c>
      <c r="BH435" s="2">
        <f t="shared" ca="1" si="430"/>
        <v>2615739.2828212953</v>
      </c>
      <c r="BI435" s="2">
        <f t="shared" ca="1" si="431"/>
        <v>32610788.630245913</v>
      </c>
      <c r="BJ435" s="2">
        <f t="shared" ca="1" si="432"/>
        <v>0.19602554486290402</v>
      </c>
      <c r="BK435" s="2">
        <f t="shared" ca="1" si="433"/>
        <v>6204783.7720427662</v>
      </c>
    </row>
    <row r="436" spans="1:63" x14ac:dyDescent="0.3">
      <c r="A436" s="2">
        <v>435</v>
      </c>
      <c r="B436" s="2">
        <f t="shared" ca="1" si="372"/>
        <v>0.36272077757013033</v>
      </c>
      <c r="C436" s="2">
        <f t="shared" ca="1" si="373"/>
        <v>6.8517285689351155</v>
      </c>
      <c r="D436" s="2">
        <f t="shared" ca="1" si="374"/>
        <v>0.83949541425819196</v>
      </c>
      <c r="E436" s="2">
        <f t="shared" ca="1" si="375"/>
        <v>7.93342328720321</v>
      </c>
      <c r="F436" s="2">
        <f t="shared" ca="1" si="376"/>
        <v>0.79900489504258465</v>
      </c>
      <c r="G436" s="2">
        <f t="shared" ca="1" si="377"/>
        <v>6.5142163071504305E-2</v>
      </c>
      <c r="H436" s="2">
        <f t="shared" ca="1" si="378"/>
        <v>6.5142163071504305E-2</v>
      </c>
      <c r="I436" s="2">
        <f t="shared" ca="1" si="379"/>
        <v>0.66295477390683888</v>
      </c>
      <c r="J436" s="2">
        <f t="shared" ca="1" si="380"/>
        <v>1.2102703851350025E-2</v>
      </c>
      <c r="K436" s="2">
        <f t="shared" ca="1" si="381"/>
        <v>1.2102703851350025E-2</v>
      </c>
      <c r="L436" s="2">
        <f t="shared" ca="1" si="382"/>
        <v>0.78899444680504482</v>
      </c>
      <c r="M436" s="2">
        <f t="shared" ca="1" si="383"/>
        <v>1.6058741472941829E-2</v>
      </c>
      <c r="N436" s="2">
        <f t="shared" ca="1" si="384"/>
        <v>1.6058741472941829E-2</v>
      </c>
      <c r="O436" s="2">
        <f t="shared" si="385"/>
        <v>6000000</v>
      </c>
      <c r="P436" s="2">
        <f t="shared" ca="1" si="386"/>
        <v>41110371.413610689</v>
      </c>
      <c r="Q436" s="2">
        <f t="shared" ca="1" si="387"/>
        <v>1027759.2853402672</v>
      </c>
      <c r="R436" s="2">
        <f t="shared" ca="1" si="388"/>
        <v>24666222.848166414</v>
      </c>
      <c r="S436" s="2">
        <f t="shared" ca="1" si="389"/>
        <v>16444148.565444276</v>
      </c>
      <c r="T436" s="2">
        <f t="shared" ca="1" si="390"/>
        <v>50802937.073647089</v>
      </c>
      <c r="U436" s="2">
        <f t="shared" ca="1" si="391"/>
        <v>54112350.28500998</v>
      </c>
      <c r="V436" s="2">
        <f t="shared" ca="1" si="392"/>
        <v>57637345.831458464</v>
      </c>
      <c r="W436" s="2">
        <f t="shared" ca="1" si="393"/>
        <v>61391967.21262002</v>
      </c>
      <c r="X436" s="2">
        <f t="shared" ca="1" si="394"/>
        <v>65391172.752064958</v>
      </c>
      <c r="Y436" s="2">
        <f t="shared" ca="1" si="395"/>
        <v>0.12605135192567501</v>
      </c>
      <c r="Z436" s="2">
        <f t="shared" ca="1" si="396"/>
        <v>0.128471892695945</v>
      </c>
      <c r="AA436" s="2">
        <f t="shared" ca="1" si="397"/>
        <v>6403778.8999282112</v>
      </c>
      <c r="AB436" s="2">
        <f t="shared" ca="1" si="398"/>
        <v>6951916.0593411913</v>
      </c>
      <c r="AC436" s="2">
        <f t="shared" ca="1" si="399"/>
        <v>7404778.9089382049</v>
      </c>
      <c r="AD436" s="2">
        <f t="shared" ca="1" si="400"/>
        <v>7887142.2241326924</v>
      </c>
      <c r="AE436" s="2">
        <f t="shared" ca="1" si="401"/>
        <v>8400927.7290652916</v>
      </c>
      <c r="AF436" s="2">
        <f t="shared" ca="1" si="402"/>
        <v>1016058.7414729418</v>
      </c>
      <c r="AG436" s="2">
        <f t="shared" ca="1" si="403"/>
        <v>1082247.0057001996</v>
      </c>
      <c r="AH436" s="2">
        <f t="shared" ca="1" si="404"/>
        <v>1152746.9166291694</v>
      </c>
      <c r="AI436" s="2">
        <f t="shared" ca="1" si="405"/>
        <v>1227839.3442524003</v>
      </c>
      <c r="AJ436" s="2">
        <f t="shared" ca="1" si="406"/>
        <v>1307823.4550412991</v>
      </c>
      <c r="AK436" s="2">
        <f t="shared" ca="1" si="407"/>
        <v>0</v>
      </c>
      <c r="AL436" s="2">
        <f t="shared" ca="1" si="408"/>
        <v>33094.132113628912</v>
      </c>
      <c r="AM436" s="2">
        <f t="shared" ca="1" si="409"/>
        <v>35249.955464484839</v>
      </c>
      <c r="AN436" s="2">
        <f t="shared" ca="1" si="410"/>
        <v>37546.213811615555</v>
      </c>
      <c r="AO436" s="2">
        <f t="shared" ca="1" si="411"/>
        <v>39992.05539444938</v>
      </c>
      <c r="AP436" s="2">
        <f t="shared" ca="1" si="412"/>
        <v>2219960.056334977</v>
      </c>
      <c r="AQ436" s="2">
        <f t="shared" ca="1" si="413"/>
        <v>823617.62655127607</v>
      </c>
      <c r="AR436" s="2">
        <f t="shared" ca="1" si="414"/>
        <v>948924.33929956378</v>
      </c>
      <c r="AS436" s="2">
        <f t="shared" ca="1" si="415"/>
        <v>1048338.7033532553</v>
      </c>
      <c r="AT436" s="2">
        <f t="shared" ca="1" si="416"/>
        <v>1154229.1341217819</v>
      </c>
      <c r="AU436" s="2">
        <f t="shared" ca="1" si="417"/>
        <v>1267017.4965991441</v>
      </c>
      <c r="AV436" s="2">
        <f t="shared" ca="1" si="418"/>
        <v>2344142.4755690163</v>
      </c>
      <c r="AW436" s="2">
        <f t="shared" ca="1" si="419"/>
        <v>2667690.5258928211</v>
      </c>
      <c r="AX436" s="2">
        <f t="shared" ca="1" si="420"/>
        <v>2948483.2771563185</v>
      </c>
      <c r="AY436" s="2">
        <f t="shared" ca="1" si="421"/>
        <v>3247567.4756119177</v>
      </c>
      <c r="AZ436" s="2">
        <f t="shared" ca="1" si="422"/>
        <v>3566134.6656954223</v>
      </c>
      <c r="BA436" s="2">
        <f t="shared" ca="1" si="423"/>
        <v>66648115.679877765</v>
      </c>
      <c r="BB436" s="2">
        <f t="shared" ca="1" si="424"/>
        <v>1332962.3135975553</v>
      </c>
      <c r="BC436" s="2">
        <f t="shared" ca="1" si="425"/>
        <v>40648930.518113799</v>
      </c>
      <c r="BD436" s="2">
        <f t="shared" ca="1" si="426"/>
        <v>-17971907.850784544</v>
      </c>
      <c r="BE436" s="2">
        <f t="shared" ca="1" si="427"/>
        <v>2344142.4755690163</v>
      </c>
      <c r="BF436" s="2">
        <f t="shared" ca="1" si="428"/>
        <v>2667690.5258928211</v>
      </c>
      <c r="BG436" s="2">
        <f t="shared" ca="1" si="429"/>
        <v>2948483.2771563185</v>
      </c>
      <c r="BH436" s="2">
        <f t="shared" ca="1" si="430"/>
        <v>3247567.4756119177</v>
      </c>
      <c r="BI436" s="2">
        <f t="shared" ca="1" si="431"/>
        <v>44215065.183809221</v>
      </c>
      <c r="BJ436" s="2">
        <f t="shared" ca="1" si="432"/>
        <v>0.29642197499586609</v>
      </c>
      <c r="BK436" s="2">
        <f t="shared" ca="1" si="433"/>
        <v>15499118.468765404</v>
      </c>
    </row>
    <row r="437" spans="1:63" x14ac:dyDescent="0.3">
      <c r="A437" s="2">
        <v>436</v>
      </c>
      <c r="B437" s="2">
        <f t="shared" ca="1" si="372"/>
        <v>0.69236967607303357</v>
      </c>
      <c r="C437" s="2">
        <f t="shared" ca="1" si="373"/>
        <v>7.2156144775342081</v>
      </c>
      <c r="D437" s="2">
        <f t="shared" ca="1" si="374"/>
        <v>5.5706100712731077E-2</v>
      </c>
      <c r="E437" s="2">
        <f t="shared" ca="1" si="375"/>
        <v>6.83378466325681</v>
      </c>
      <c r="F437" s="2">
        <f t="shared" ca="1" si="376"/>
        <v>6.1523584909912277E-2</v>
      </c>
      <c r="G437" s="2">
        <f t="shared" ca="1" si="377"/>
        <v>-6.2632624011932023E-3</v>
      </c>
      <c r="H437" s="2">
        <f t="shared" ca="1" si="378"/>
        <v>-6.2632624011932023E-3</v>
      </c>
      <c r="I437" s="2">
        <f t="shared" ca="1" si="379"/>
        <v>0.87733524612394298</v>
      </c>
      <c r="J437" s="2">
        <f t="shared" ca="1" si="380"/>
        <v>1.5808842558804936E-2</v>
      </c>
      <c r="K437" s="2">
        <f t="shared" ca="1" si="381"/>
        <v>1.5808842558804936E-2</v>
      </c>
      <c r="L437" s="2">
        <f t="shared" ca="1" si="382"/>
        <v>0.31639833942265572</v>
      </c>
      <c r="M437" s="2">
        <f t="shared" ca="1" si="383"/>
        <v>-9.5558843046891356E-3</v>
      </c>
      <c r="N437" s="2">
        <f t="shared" ca="1" si="384"/>
        <v>-9.5558843046891356E-3</v>
      </c>
      <c r="O437" s="2">
        <f t="shared" si="385"/>
        <v>6000000</v>
      </c>
      <c r="P437" s="2">
        <f t="shared" ca="1" si="386"/>
        <v>43293686.865205251</v>
      </c>
      <c r="Q437" s="2">
        <f t="shared" ca="1" si="387"/>
        <v>1082342.1716301313</v>
      </c>
      <c r="R437" s="2">
        <f t="shared" ca="1" si="388"/>
        <v>25976212.11912315</v>
      </c>
      <c r="S437" s="2">
        <f t="shared" ca="1" si="389"/>
        <v>17317474.746082101</v>
      </c>
      <c r="T437" s="2">
        <f t="shared" ca="1" si="390"/>
        <v>49522205.784765542</v>
      </c>
      <c r="U437" s="2">
        <f t="shared" ca="1" si="391"/>
        <v>49212035.215249665</v>
      </c>
      <c r="V437" s="2">
        <f t="shared" ca="1" si="392"/>
        <v>48903807.325399794</v>
      </c>
      <c r="W437" s="2">
        <f t="shared" ca="1" si="393"/>
        <v>48597509.947703421</v>
      </c>
      <c r="X437" s="2">
        <f t="shared" ca="1" si="394"/>
        <v>48293130.990856357</v>
      </c>
      <c r="Y437" s="2">
        <f t="shared" ca="1" si="395"/>
        <v>0.12790442127940246</v>
      </c>
      <c r="Z437" s="2">
        <f t="shared" ca="1" si="396"/>
        <v>0.13106618979116344</v>
      </c>
      <c r="AA437" s="2">
        <f t="shared" ca="1" si="397"/>
        <v>6334109.0713799139</v>
      </c>
      <c r="AB437" s="2">
        <f t="shared" ca="1" si="398"/>
        <v>6450033.9475313313</v>
      </c>
      <c r="AC437" s="2">
        <f t="shared" ca="1" si="399"/>
        <v>6409635.6924213385</v>
      </c>
      <c r="AD437" s="2">
        <f t="shared" ca="1" si="400"/>
        <v>6369490.4621836497</v>
      </c>
      <c r="AE437" s="2">
        <f t="shared" ca="1" si="401"/>
        <v>6329596.6720570959</v>
      </c>
      <c r="AF437" s="2">
        <f t="shared" ca="1" si="402"/>
        <v>990444.11569531087</v>
      </c>
      <c r="AG437" s="2">
        <f t="shared" ca="1" si="403"/>
        <v>984240.70430499327</v>
      </c>
      <c r="AH437" s="2">
        <f t="shared" ca="1" si="404"/>
        <v>978076.1465079959</v>
      </c>
      <c r="AI437" s="2">
        <f t="shared" ca="1" si="405"/>
        <v>971950.19895406847</v>
      </c>
      <c r="AJ437" s="2">
        <f t="shared" ca="1" si="406"/>
        <v>965862.61981712712</v>
      </c>
      <c r="AK437" s="2">
        <f t="shared" ca="1" si="407"/>
        <v>0</v>
      </c>
      <c r="AL437" s="2">
        <f t="shared" ca="1" si="408"/>
        <v>0</v>
      </c>
      <c r="AM437" s="2">
        <f t="shared" ca="1" si="409"/>
        <v>0</v>
      </c>
      <c r="AN437" s="2">
        <f t="shared" ca="1" si="410"/>
        <v>0</v>
      </c>
      <c r="AO437" s="2">
        <f t="shared" ca="1" si="411"/>
        <v>0</v>
      </c>
      <c r="AP437" s="2">
        <f t="shared" ca="1" si="412"/>
        <v>2337859.0907210833</v>
      </c>
      <c r="AQ437" s="2">
        <f t="shared" ca="1" si="413"/>
        <v>781509.52489051514</v>
      </c>
      <c r="AR437" s="2">
        <f t="shared" ca="1" si="414"/>
        <v>813262.87965136627</v>
      </c>
      <c r="AS437" s="2">
        <f t="shared" ca="1" si="415"/>
        <v>804362.11834998743</v>
      </c>
      <c r="AT437" s="2">
        <f t="shared" ca="1" si="416"/>
        <v>795517.10485220957</v>
      </c>
      <c r="AU437" s="2">
        <f t="shared" ca="1" si="417"/>
        <v>786727.4899949102</v>
      </c>
      <c r="AV437" s="2">
        <f t="shared" ca="1" si="418"/>
        <v>2224296.3400730048</v>
      </c>
      <c r="AW437" s="2">
        <f t="shared" ca="1" si="419"/>
        <v>2314671.272853889</v>
      </c>
      <c r="AX437" s="2">
        <f t="shared" ca="1" si="420"/>
        <v>2289338.336842272</v>
      </c>
      <c r="AY437" s="2">
        <f t="shared" ca="1" si="421"/>
        <v>2264164.0676562884</v>
      </c>
      <c r="AZ437" s="2">
        <f t="shared" ca="1" si="422"/>
        <v>2239147.4715239746</v>
      </c>
      <c r="BA437" s="2">
        <f t="shared" ca="1" si="423"/>
        <v>43255100.662105128</v>
      </c>
      <c r="BB437" s="2">
        <f t="shared" ca="1" si="424"/>
        <v>865102.01324210258</v>
      </c>
      <c r="BC437" s="2">
        <f t="shared" ca="1" si="425"/>
        <v>16413786.529739875</v>
      </c>
      <c r="BD437" s="2">
        <f t="shared" ca="1" si="426"/>
        <v>-18899816.917712234</v>
      </c>
      <c r="BE437" s="2">
        <f t="shared" ca="1" si="427"/>
        <v>2224296.3400730048</v>
      </c>
      <c r="BF437" s="2">
        <f t="shared" ca="1" si="428"/>
        <v>2314671.272853889</v>
      </c>
      <c r="BG437" s="2">
        <f t="shared" ca="1" si="429"/>
        <v>2289338.336842272</v>
      </c>
      <c r="BH437" s="2">
        <f t="shared" ca="1" si="430"/>
        <v>2264164.0676562884</v>
      </c>
      <c r="BI437" s="2">
        <f t="shared" ca="1" si="431"/>
        <v>18652934.001263849</v>
      </c>
      <c r="BJ437" s="2">
        <f t="shared" ca="1" si="432"/>
        <v>9.8303794413591161E-2</v>
      </c>
      <c r="BK437" s="2">
        <f t="shared" ca="1" si="433"/>
        <v>-1415997.5789244846</v>
      </c>
    </row>
    <row r="438" spans="1:63" x14ac:dyDescent="0.3">
      <c r="A438" s="2">
        <v>437</v>
      </c>
      <c r="B438" s="2">
        <f t="shared" ca="1" si="372"/>
        <v>8.1480707807174979E-2</v>
      </c>
      <c r="C438" s="2">
        <f t="shared" ca="1" si="373"/>
        <v>6.4036847973535167</v>
      </c>
      <c r="D438" s="2">
        <f t="shared" ca="1" si="374"/>
        <v>0.13688719782286995</v>
      </c>
      <c r="E438" s="2">
        <f t="shared" ca="1" si="375"/>
        <v>7.0232345512728873</v>
      </c>
      <c r="F438" s="2">
        <f t="shared" ca="1" si="376"/>
        <v>0.84988811309320045</v>
      </c>
      <c r="G438" s="2">
        <f t="shared" ca="1" si="377"/>
        <v>7.107860903376112E-2</v>
      </c>
      <c r="H438" s="2">
        <f t="shared" ca="1" si="378"/>
        <v>7.107860903376112E-2</v>
      </c>
      <c r="I438" s="2">
        <f t="shared" ca="1" si="379"/>
        <v>0.41134212822558425</v>
      </c>
      <c r="J438" s="2">
        <f t="shared" ca="1" si="380"/>
        <v>8.8795306128646809E-3</v>
      </c>
      <c r="K438" s="2">
        <f t="shared" ca="1" si="381"/>
        <v>8.8795306128646809E-3</v>
      </c>
      <c r="L438" s="2">
        <f t="shared" ca="1" si="382"/>
        <v>0.31818657709351594</v>
      </c>
      <c r="M438" s="2">
        <f t="shared" ca="1" si="383"/>
        <v>-9.4555156326186166E-3</v>
      </c>
      <c r="N438" s="2">
        <f t="shared" ca="1" si="384"/>
        <v>-9.4555156326186166E-3</v>
      </c>
      <c r="O438" s="2">
        <f t="shared" si="385"/>
        <v>6000000</v>
      </c>
      <c r="P438" s="2">
        <f t="shared" ca="1" si="386"/>
        <v>38422108.784121104</v>
      </c>
      <c r="Q438" s="2">
        <f t="shared" ca="1" si="387"/>
        <v>960552.71960302768</v>
      </c>
      <c r="R438" s="2">
        <f t="shared" ca="1" si="388"/>
        <v>23053265.270472661</v>
      </c>
      <c r="S438" s="2">
        <f t="shared" ca="1" si="389"/>
        <v>15368843.513648443</v>
      </c>
      <c r="T438" s="2">
        <f t="shared" ca="1" si="390"/>
        <v>49527224.218369067</v>
      </c>
      <c r="U438" s="2">
        <f t="shared" ca="1" si="391"/>
        <v>53047550.425113946</v>
      </c>
      <c r="V438" s="2">
        <f t="shared" ca="1" si="392"/>
        <v>56818096.521979354</v>
      </c>
      <c r="W438" s="2">
        <f t="shared" ca="1" si="393"/>
        <v>60856647.790707633</v>
      </c>
      <c r="X438" s="2">
        <f t="shared" ca="1" si="394"/>
        <v>65182253.666128643</v>
      </c>
      <c r="Y438" s="2">
        <f t="shared" ca="1" si="395"/>
        <v>0.12443976530643233</v>
      </c>
      <c r="Z438" s="2">
        <f t="shared" ca="1" si="396"/>
        <v>0.12621567142900528</v>
      </c>
      <c r="AA438" s="2">
        <f t="shared" ca="1" si="397"/>
        <v>6163156.1580128977</v>
      </c>
      <c r="AB438" s="2">
        <f t="shared" ca="1" si="398"/>
        <v>6695432.1945697712</v>
      </c>
      <c r="AC438" s="2">
        <f t="shared" ca="1" si="399"/>
        <v>7171334.2018396538</v>
      </c>
      <c r="AD438" s="2">
        <f t="shared" ca="1" si="400"/>
        <v>7681062.6618226543</v>
      </c>
      <c r="AE438" s="2">
        <f t="shared" ca="1" si="401"/>
        <v>8227021.9117261674</v>
      </c>
      <c r="AF438" s="2">
        <f t="shared" ca="1" si="402"/>
        <v>990544.48436738132</v>
      </c>
      <c r="AG438" s="2">
        <f t="shared" ca="1" si="403"/>
        <v>1060951.0085022789</v>
      </c>
      <c r="AH438" s="2">
        <f t="shared" ca="1" si="404"/>
        <v>1136361.9304395872</v>
      </c>
      <c r="AI438" s="2">
        <f t="shared" ca="1" si="405"/>
        <v>1217132.9558141527</v>
      </c>
      <c r="AJ438" s="2">
        <f t="shared" ca="1" si="406"/>
        <v>1303645.073322573</v>
      </c>
      <c r="AK438" s="2">
        <f t="shared" ca="1" si="407"/>
        <v>0</v>
      </c>
      <c r="AL438" s="2">
        <f t="shared" ca="1" si="408"/>
        <v>35203.262067448799</v>
      </c>
      <c r="AM438" s="2">
        <f t="shared" ca="1" si="409"/>
        <v>37705.460968654079</v>
      </c>
      <c r="AN438" s="2">
        <f t="shared" ca="1" si="410"/>
        <v>40385.51268728279</v>
      </c>
      <c r="AO438" s="2">
        <f t="shared" ca="1" si="411"/>
        <v>43256.058754210098</v>
      </c>
      <c r="AP438" s="2">
        <f t="shared" ca="1" si="412"/>
        <v>2074793.8743425393</v>
      </c>
      <c r="AQ438" s="2">
        <f t="shared" ca="1" si="413"/>
        <v>805432.6278187742</v>
      </c>
      <c r="AR438" s="2">
        <f t="shared" ca="1" si="414"/>
        <v>925518.70104848768</v>
      </c>
      <c r="AS438" s="2">
        <f t="shared" ca="1" si="415"/>
        <v>1029646.383234957</v>
      </c>
      <c r="AT438" s="2">
        <f t="shared" ca="1" si="416"/>
        <v>1141175.3162331502</v>
      </c>
      <c r="AU438" s="2">
        <f t="shared" ca="1" si="417"/>
        <v>1260631.5706558744</v>
      </c>
      <c r="AV438" s="2">
        <f t="shared" ca="1" si="418"/>
        <v>2292385.1714842031</v>
      </c>
      <c r="AW438" s="2">
        <f t="shared" ca="1" si="419"/>
        <v>2598965.3486090163</v>
      </c>
      <c r="AX438" s="2">
        <f t="shared" ca="1" si="420"/>
        <v>2892826.5528539158</v>
      </c>
      <c r="AY438" s="2">
        <f t="shared" ca="1" si="421"/>
        <v>3207575.0027455287</v>
      </c>
      <c r="AZ438" s="2">
        <f t="shared" ca="1" si="422"/>
        <v>3544695.3346509701</v>
      </c>
      <c r="BA438" s="2">
        <f t="shared" ca="1" si="423"/>
        <v>57780304.544514343</v>
      </c>
      <c r="BB438" s="2">
        <f t="shared" ca="1" si="424"/>
        <v>1155606.090890287</v>
      </c>
      <c r="BC438" s="2">
        <f t="shared" ca="1" si="425"/>
        <v>33571433.183151394</v>
      </c>
      <c r="BD438" s="2">
        <f t="shared" ca="1" si="426"/>
        <v>-16829396.233251471</v>
      </c>
      <c r="BE438" s="2">
        <f t="shared" ca="1" si="427"/>
        <v>2292385.1714842031</v>
      </c>
      <c r="BF438" s="2">
        <f t="shared" ca="1" si="428"/>
        <v>2598965.3486090163</v>
      </c>
      <c r="BG438" s="2">
        <f t="shared" ca="1" si="429"/>
        <v>2892826.5528539158</v>
      </c>
      <c r="BH438" s="2">
        <f t="shared" ca="1" si="430"/>
        <v>3207575.0027455287</v>
      </c>
      <c r="BI438" s="2">
        <f t="shared" ca="1" si="431"/>
        <v>37116128.517802365</v>
      </c>
      <c r="BJ438" s="2">
        <f t="shared" ca="1" si="432"/>
        <v>0.27857813543840071</v>
      </c>
      <c r="BK438" s="2">
        <f t="shared" ca="1" si="433"/>
        <v>12447472.309226166</v>
      </c>
    </row>
    <row r="439" spans="1:63" x14ac:dyDescent="0.3">
      <c r="A439" s="2">
        <v>438</v>
      </c>
      <c r="B439" s="2">
        <f t="shared" ca="1" si="372"/>
        <v>0.30585538400216838</v>
      </c>
      <c r="C439" s="2">
        <f t="shared" ca="1" si="373"/>
        <v>6.7821194077660625</v>
      </c>
      <c r="D439" s="2">
        <f t="shared" ca="1" si="374"/>
        <v>3.475108573937491E-2</v>
      </c>
      <c r="E439" s="2">
        <f t="shared" ca="1" si="375"/>
        <v>6.7636326449413078</v>
      </c>
      <c r="F439" s="2">
        <f t="shared" ca="1" si="376"/>
        <v>0.96872047041610754</v>
      </c>
      <c r="G439" s="2">
        <f t="shared" ca="1" si="377"/>
        <v>9.5869374017450729E-2</v>
      </c>
      <c r="H439" s="2">
        <f t="shared" ca="1" si="378"/>
        <v>9.5869374017450729E-2</v>
      </c>
      <c r="I439" s="2">
        <f t="shared" ca="1" si="379"/>
        <v>0.83171098146190481</v>
      </c>
      <c r="J439" s="2">
        <f t="shared" ca="1" si="380"/>
        <v>1.4804742757389995E-2</v>
      </c>
      <c r="K439" s="2">
        <f t="shared" ca="1" si="381"/>
        <v>1.4804742757389995E-2</v>
      </c>
      <c r="L439" s="2">
        <f t="shared" ca="1" si="382"/>
        <v>0.16142854657823524</v>
      </c>
      <c r="M439" s="2">
        <f t="shared" ca="1" si="383"/>
        <v>-1.9772073267201266E-2</v>
      </c>
      <c r="N439" s="2">
        <f t="shared" ca="1" si="384"/>
        <v>-1.9772073267201266E-2</v>
      </c>
      <c r="O439" s="2">
        <f t="shared" si="385"/>
        <v>6000000</v>
      </c>
      <c r="P439" s="2">
        <f t="shared" ca="1" si="386"/>
        <v>40692716.446596377</v>
      </c>
      <c r="Q439" s="2">
        <f t="shared" ca="1" si="387"/>
        <v>1017317.9111649095</v>
      </c>
      <c r="R439" s="2">
        <f t="shared" ca="1" si="388"/>
        <v>24415629.867957827</v>
      </c>
      <c r="S439" s="2">
        <f t="shared" ca="1" si="389"/>
        <v>16277086.578638552</v>
      </c>
      <c r="T439" s="2">
        <f t="shared" ca="1" si="390"/>
        <v>49011396.336639933</v>
      </c>
      <c r="U439" s="2">
        <f t="shared" ca="1" si="391"/>
        <v>53710088.223154783</v>
      </c>
      <c r="V439" s="2">
        <f t="shared" ca="1" si="392"/>
        <v>58859240.759530686</v>
      </c>
      <c r="W439" s="2">
        <f t="shared" ca="1" si="393"/>
        <v>64502039.326289319</v>
      </c>
      <c r="X439" s="2">
        <f t="shared" ca="1" si="394"/>
        <v>70685809.459349662</v>
      </c>
      <c r="Y439" s="2">
        <f t="shared" ca="1" si="395"/>
        <v>0.12740237137869501</v>
      </c>
      <c r="Z439" s="2">
        <f t="shared" ca="1" si="396"/>
        <v>0.130363319930173</v>
      </c>
      <c r="AA439" s="2">
        <f t="shared" ca="1" si="397"/>
        <v>6244168.117869013</v>
      </c>
      <c r="AB439" s="2">
        <f t="shared" ca="1" si="398"/>
        <v>7001825.4145129444</v>
      </c>
      <c r="AC439" s="2">
        <f t="shared" ca="1" si="399"/>
        <v>7673086.0339817777</v>
      </c>
      <c r="AD439" s="2">
        <f t="shared" ca="1" si="400"/>
        <v>8408699.9888416547</v>
      </c>
      <c r="AE439" s="2">
        <f t="shared" ca="1" si="401"/>
        <v>9214836.793072449</v>
      </c>
      <c r="AF439" s="2">
        <f t="shared" ca="1" si="402"/>
        <v>980227.92673279869</v>
      </c>
      <c r="AG439" s="2">
        <f t="shared" ca="1" si="403"/>
        <v>1074201.7644630957</v>
      </c>
      <c r="AH439" s="2">
        <f t="shared" ca="1" si="404"/>
        <v>1177184.8151906137</v>
      </c>
      <c r="AI439" s="2">
        <f t="shared" ca="1" si="405"/>
        <v>1290040.7865257864</v>
      </c>
      <c r="AJ439" s="2">
        <f t="shared" ca="1" si="406"/>
        <v>1413716.1891869933</v>
      </c>
      <c r="AK439" s="2">
        <f t="shared" ca="1" si="407"/>
        <v>0</v>
      </c>
      <c r="AL439" s="2">
        <f t="shared" ca="1" si="408"/>
        <v>46986.918865148502</v>
      </c>
      <c r="AM439" s="2">
        <f t="shared" ca="1" si="409"/>
        <v>51491.525363759029</v>
      </c>
      <c r="AN439" s="2">
        <f t="shared" ca="1" si="410"/>
        <v>56427.985667586327</v>
      </c>
      <c r="AO439" s="2">
        <f t="shared" ca="1" si="411"/>
        <v>61837.701330603435</v>
      </c>
      <c r="AP439" s="2">
        <f t="shared" ca="1" si="412"/>
        <v>2197406.6881162045</v>
      </c>
      <c r="AQ439" s="2">
        <f t="shared" ca="1" si="413"/>
        <v>797298.71078520245</v>
      </c>
      <c r="AR439" s="2">
        <f t="shared" ca="1" si="414"/>
        <v>969856.4101027475</v>
      </c>
      <c r="AS439" s="2">
        <f t="shared" ca="1" si="415"/>
        <v>1117608.5779754897</v>
      </c>
      <c r="AT439" s="2">
        <f t="shared" ca="1" si="416"/>
        <v>1279525.653691913</v>
      </c>
      <c r="AU439" s="2">
        <f t="shared" ca="1" si="417"/>
        <v>1456965.6181000054</v>
      </c>
      <c r="AV439" s="2">
        <f t="shared" ca="1" si="418"/>
        <v>2269234.7922348068</v>
      </c>
      <c r="AW439" s="2">
        <f t="shared" ca="1" si="419"/>
        <v>2713373.6329657477</v>
      </c>
      <c r="AX439" s="2">
        <f t="shared" ca="1" si="420"/>
        <v>3129394.4273357107</v>
      </c>
      <c r="AY439" s="2">
        <f t="shared" ca="1" si="421"/>
        <v>3585298.874840165</v>
      </c>
      <c r="AZ439" s="2">
        <f t="shared" ca="1" si="422"/>
        <v>4084910.5963386432</v>
      </c>
      <c r="BA439" s="2">
        <f t="shared" ca="1" si="423"/>
        <v>62325770.951431088</v>
      </c>
      <c r="BB439" s="2">
        <f t="shared" ca="1" si="424"/>
        <v>1246515.4190286219</v>
      </c>
      <c r="BC439" s="2">
        <f t="shared" ca="1" si="425"/>
        <v>36663625.66444464</v>
      </c>
      <c r="BD439" s="2">
        <f t="shared" ca="1" si="426"/>
        <v>-17794404.489803459</v>
      </c>
      <c r="BE439" s="2">
        <f t="shared" ca="1" si="427"/>
        <v>2269234.7922348068</v>
      </c>
      <c r="BF439" s="2">
        <f t="shared" ca="1" si="428"/>
        <v>2713373.6329657477</v>
      </c>
      <c r="BG439" s="2">
        <f t="shared" ca="1" si="429"/>
        <v>3129394.4273357107</v>
      </c>
      <c r="BH439" s="2">
        <f t="shared" ca="1" si="430"/>
        <v>3585298.874840165</v>
      </c>
      <c r="BI439" s="2">
        <f t="shared" ca="1" si="431"/>
        <v>40748536.260783285</v>
      </c>
      <c r="BJ439" s="2">
        <f t="shared" ca="1" si="432"/>
        <v>0.28561880395188077</v>
      </c>
      <c r="BK439" s="2">
        <f t="shared" ca="1" si="433"/>
        <v>14022560.049003918</v>
      </c>
    </row>
    <row r="440" spans="1:63" x14ac:dyDescent="0.3">
      <c r="A440" s="2">
        <v>439</v>
      </c>
      <c r="B440" s="2">
        <f t="shared" ca="1" si="372"/>
        <v>0.48892958424417376</v>
      </c>
      <c r="C440" s="2">
        <f t="shared" ca="1" si="373"/>
        <v>6.9888676192940835</v>
      </c>
      <c r="D440" s="2">
        <f t="shared" ca="1" si="374"/>
        <v>0.70176850003291913</v>
      </c>
      <c r="E440" s="2">
        <f t="shared" ca="1" si="375"/>
        <v>7.7276898291915597</v>
      </c>
      <c r="F440" s="2">
        <f t="shared" ca="1" si="376"/>
        <v>1.5717244087746551E-2</v>
      </c>
      <c r="G440" s="2">
        <f t="shared" ca="1" si="377"/>
        <v>-2.454586284689219E-2</v>
      </c>
      <c r="H440" s="2">
        <f t="shared" ca="1" si="378"/>
        <v>-0.02</v>
      </c>
      <c r="I440" s="2">
        <f t="shared" ca="1" si="379"/>
        <v>0.89024280496693697</v>
      </c>
      <c r="J440" s="2">
        <f t="shared" ca="1" si="380"/>
        <v>1.6139102077568451E-2</v>
      </c>
      <c r="K440" s="2">
        <f t="shared" ca="1" si="381"/>
        <v>1.6139102077568451E-2</v>
      </c>
      <c r="L440" s="2">
        <f t="shared" ca="1" si="382"/>
        <v>6.2701479552768169E-2</v>
      </c>
      <c r="M440" s="2">
        <f t="shared" ca="1" si="383"/>
        <v>-3.0649686798235012E-2</v>
      </c>
      <c r="N440" s="2">
        <f t="shared" ca="1" si="384"/>
        <v>-3.0649686798235012E-2</v>
      </c>
      <c r="O440" s="2">
        <f t="shared" si="385"/>
        <v>6000000</v>
      </c>
      <c r="P440" s="2">
        <f t="shared" ca="1" si="386"/>
        <v>41933205.7157645</v>
      </c>
      <c r="Q440" s="2">
        <f t="shared" ca="1" si="387"/>
        <v>1048330.1428941125</v>
      </c>
      <c r="R440" s="2">
        <f t="shared" ca="1" si="388"/>
        <v>25159923.4294587</v>
      </c>
      <c r="S440" s="2">
        <f t="shared" ca="1" si="389"/>
        <v>16773282.2863058</v>
      </c>
      <c r="T440" s="2">
        <f t="shared" ca="1" si="390"/>
        <v>48467515.660088249</v>
      </c>
      <c r="U440" s="2">
        <f t="shared" ca="1" si="391"/>
        <v>47498165.346886486</v>
      </c>
      <c r="V440" s="2">
        <f t="shared" ca="1" si="392"/>
        <v>46548202.039948754</v>
      </c>
      <c r="W440" s="2">
        <f t="shared" ca="1" si="393"/>
        <v>45617237.999149777</v>
      </c>
      <c r="X440" s="2">
        <f t="shared" ca="1" si="394"/>
        <v>44704893.239166781</v>
      </c>
      <c r="Y440" s="2">
        <f t="shared" ca="1" si="395"/>
        <v>0.12806955103878423</v>
      </c>
      <c r="Z440" s="2">
        <f t="shared" ca="1" si="396"/>
        <v>0.1312973714542979</v>
      </c>
      <c r="AA440" s="2">
        <f t="shared" ca="1" si="397"/>
        <v>6207212.9705527462</v>
      </c>
      <c r="AB440" s="2">
        <f t="shared" ca="1" si="398"/>
        <v>6236384.2589478157</v>
      </c>
      <c r="AC440" s="2">
        <f t="shared" ca="1" si="399"/>
        <v>6111656.5737688588</v>
      </c>
      <c r="AD440" s="2">
        <f t="shared" ca="1" si="400"/>
        <v>5989423.442293481</v>
      </c>
      <c r="AE440" s="2">
        <f t="shared" ca="1" si="401"/>
        <v>5869634.9734476116</v>
      </c>
      <c r="AF440" s="2">
        <f t="shared" ca="1" si="402"/>
        <v>969350.31320176495</v>
      </c>
      <c r="AG440" s="2">
        <f t="shared" ca="1" si="403"/>
        <v>949963.30693772971</v>
      </c>
      <c r="AH440" s="2">
        <f t="shared" ca="1" si="404"/>
        <v>930964.04079897515</v>
      </c>
      <c r="AI440" s="2">
        <f t="shared" ca="1" si="405"/>
        <v>912344.75998299557</v>
      </c>
      <c r="AJ440" s="2">
        <f t="shared" ca="1" si="406"/>
        <v>894097.86478333559</v>
      </c>
      <c r="AK440" s="2">
        <f t="shared" ca="1" si="407"/>
        <v>0</v>
      </c>
      <c r="AL440" s="2">
        <f t="shared" ca="1" si="408"/>
        <v>0</v>
      </c>
      <c r="AM440" s="2">
        <f t="shared" ca="1" si="409"/>
        <v>0</v>
      </c>
      <c r="AN440" s="2">
        <f t="shared" ca="1" si="410"/>
        <v>0</v>
      </c>
      <c r="AO440" s="2">
        <f t="shared" ca="1" si="411"/>
        <v>0</v>
      </c>
      <c r="AP440" s="2">
        <f t="shared" ca="1" si="412"/>
        <v>2264393.1086512827</v>
      </c>
      <c r="AQ440" s="2">
        <f t="shared" ca="1" si="413"/>
        <v>773102.08266192174</v>
      </c>
      <c r="AR440" s="2">
        <f t="shared" ca="1" si="414"/>
        <v>785727.23927328887</v>
      </c>
      <c r="AS440" s="2">
        <f t="shared" ca="1" si="415"/>
        <v>758237.85032283631</v>
      </c>
      <c r="AT440" s="2">
        <f t="shared" ca="1" si="416"/>
        <v>731298.24915139272</v>
      </c>
      <c r="AU440" s="2">
        <f t="shared" ca="1" si="417"/>
        <v>704897.44000337832</v>
      </c>
      <c r="AV440" s="2">
        <f t="shared" ca="1" si="418"/>
        <v>2200367.4660377768</v>
      </c>
      <c r="AW440" s="2">
        <f t="shared" ca="1" si="419"/>
        <v>2236300.6040855139</v>
      </c>
      <c r="AX440" s="2">
        <f t="shared" ca="1" si="420"/>
        <v>2158061.5739957648</v>
      </c>
      <c r="AY440" s="2">
        <f t="shared" ca="1" si="421"/>
        <v>2081387.3245078097</v>
      </c>
      <c r="AZ440" s="2">
        <f t="shared" ca="1" si="422"/>
        <v>2006246.560009615</v>
      </c>
      <c r="BA440" s="2">
        <f t="shared" ca="1" si="423"/>
        <v>45358718.485378176</v>
      </c>
      <c r="BB440" s="2">
        <f t="shared" ca="1" si="424"/>
        <v>907174.36970756354</v>
      </c>
      <c r="BC440" s="2">
        <f t="shared" ca="1" si="425"/>
        <v>19291620.686211914</v>
      </c>
      <c r="BD440" s="2">
        <f t="shared" ca="1" si="426"/>
        <v>-18321612.429199912</v>
      </c>
      <c r="BE440" s="2">
        <f t="shared" ca="1" si="427"/>
        <v>2200367.4660377768</v>
      </c>
      <c r="BF440" s="2">
        <f t="shared" ca="1" si="428"/>
        <v>2236300.6040855139</v>
      </c>
      <c r="BG440" s="2">
        <f t="shared" ca="1" si="429"/>
        <v>2158061.5739957648</v>
      </c>
      <c r="BH440" s="2">
        <f t="shared" ca="1" si="430"/>
        <v>2081387.3245078097</v>
      </c>
      <c r="BI440" s="2">
        <f t="shared" ca="1" si="431"/>
        <v>21297867.246221527</v>
      </c>
      <c r="BJ440" s="2">
        <f t="shared" ca="1" si="432"/>
        <v>0.12553198690245648</v>
      </c>
      <c r="BK440" s="2">
        <f t="shared" ca="1" si="433"/>
        <v>369573.24956130981</v>
      </c>
    </row>
    <row r="441" spans="1:63" x14ac:dyDescent="0.3">
      <c r="A441" s="2">
        <v>440</v>
      </c>
      <c r="B441" s="2">
        <f t="shared" ca="1" si="372"/>
        <v>0.14178562635108227</v>
      </c>
      <c r="C441" s="2">
        <f t="shared" ca="1" si="373"/>
        <v>6.5325140868579581</v>
      </c>
      <c r="D441" s="2">
        <f t="shared" ca="1" si="374"/>
        <v>0.90352852135825423</v>
      </c>
      <c r="E441" s="2">
        <f t="shared" ca="1" si="375"/>
        <v>8.0607472740170056</v>
      </c>
      <c r="F441" s="2">
        <f t="shared" ca="1" si="376"/>
        <v>0.6264989392945155</v>
      </c>
      <c r="G441" s="2">
        <f t="shared" ca="1" si="377"/>
        <v>4.9677844433555912E-2</v>
      </c>
      <c r="H441" s="2">
        <f t="shared" ca="1" si="378"/>
        <v>4.9677844433555912E-2</v>
      </c>
      <c r="I441" s="2">
        <f t="shared" ca="1" si="379"/>
        <v>0.3250311991957715</v>
      </c>
      <c r="J441" s="2">
        <f t="shared" ca="1" si="380"/>
        <v>7.7316224656510894E-3</v>
      </c>
      <c r="K441" s="2">
        <f t="shared" ca="1" si="381"/>
        <v>7.7316224656510894E-3</v>
      </c>
      <c r="L441" s="2">
        <f t="shared" ca="1" si="382"/>
        <v>0.39671840863296193</v>
      </c>
      <c r="M441" s="2">
        <f t="shared" ca="1" si="383"/>
        <v>-5.2370070512460934E-3</v>
      </c>
      <c r="N441" s="2">
        <f t="shared" ca="1" si="384"/>
        <v>-5.2370070512460934E-3</v>
      </c>
      <c r="O441" s="2">
        <f t="shared" si="385"/>
        <v>6000000</v>
      </c>
      <c r="P441" s="2">
        <f t="shared" ca="1" si="386"/>
        <v>39195084.52114775</v>
      </c>
      <c r="Q441" s="2">
        <f t="shared" ca="1" si="387"/>
        <v>979877.11302869383</v>
      </c>
      <c r="R441" s="2">
        <f t="shared" ca="1" si="388"/>
        <v>23517050.712688651</v>
      </c>
      <c r="S441" s="2">
        <f t="shared" ca="1" si="389"/>
        <v>15678033.808459101</v>
      </c>
      <c r="T441" s="2">
        <f t="shared" ca="1" si="390"/>
        <v>49738149.647437699</v>
      </c>
      <c r="U441" s="2">
        <f t="shared" ca="1" si="391"/>
        <v>52209033.708036035</v>
      </c>
      <c r="V441" s="2">
        <f t="shared" ca="1" si="392"/>
        <v>54802665.962610126</v>
      </c>
      <c r="W441" s="2">
        <f t="shared" ca="1" si="393"/>
        <v>57525144.2768448</v>
      </c>
      <c r="X441" s="2">
        <f t="shared" ca="1" si="394"/>
        <v>60382869.445247754</v>
      </c>
      <c r="Y441" s="2">
        <f t="shared" ca="1" si="395"/>
        <v>0.12386581123282554</v>
      </c>
      <c r="Z441" s="2">
        <f t="shared" ca="1" si="396"/>
        <v>0.12541213572595575</v>
      </c>
      <c r="AA441" s="2">
        <f t="shared" ca="1" si="397"/>
        <v>6160856.2552995468</v>
      </c>
      <c r="AB441" s="2">
        <f t="shared" ca="1" si="398"/>
        <v>6547646.4215132138</v>
      </c>
      <c r="AC441" s="2">
        <f t="shared" ca="1" si="399"/>
        <v>6872919.3818470761</v>
      </c>
      <c r="AD441" s="2">
        <f t="shared" ca="1" si="400"/>
        <v>7214351.2017028462</v>
      </c>
      <c r="AE441" s="2">
        <f t="shared" ca="1" si="401"/>
        <v>7572744.6183900777</v>
      </c>
      <c r="AF441" s="2">
        <f t="shared" ca="1" si="402"/>
        <v>994762.99294875399</v>
      </c>
      <c r="AG441" s="2">
        <f t="shared" ca="1" si="403"/>
        <v>1044180.6741607208</v>
      </c>
      <c r="AH441" s="2">
        <f t="shared" ca="1" si="404"/>
        <v>1096053.3192522025</v>
      </c>
      <c r="AI441" s="2">
        <f t="shared" ca="1" si="405"/>
        <v>1150502.8855368961</v>
      </c>
      <c r="AJ441" s="2">
        <f t="shared" ca="1" si="406"/>
        <v>1207657.388904955</v>
      </c>
      <c r="AK441" s="2">
        <f t="shared" ca="1" si="407"/>
        <v>0</v>
      </c>
      <c r="AL441" s="2">
        <f t="shared" ca="1" si="408"/>
        <v>24708.840605983361</v>
      </c>
      <c r="AM441" s="2">
        <f t="shared" ca="1" si="409"/>
        <v>25936.322545740903</v>
      </c>
      <c r="AN441" s="2">
        <f t="shared" ca="1" si="410"/>
        <v>27224.78314234674</v>
      </c>
      <c r="AO441" s="2">
        <f t="shared" ca="1" si="411"/>
        <v>28577.25168402955</v>
      </c>
      <c r="AP441" s="2">
        <f t="shared" ca="1" si="412"/>
        <v>2116534.5641419785</v>
      </c>
      <c r="AQ441" s="2">
        <f t="shared" ca="1" si="413"/>
        <v>792885.26153429179</v>
      </c>
      <c r="AR441" s="2">
        <f t="shared" ca="1" si="414"/>
        <v>880602.10763473378</v>
      </c>
      <c r="AS441" s="2">
        <f t="shared" ca="1" si="415"/>
        <v>951686.18959775276</v>
      </c>
      <c r="AT441" s="2">
        <f t="shared" ca="1" si="416"/>
        <v>1026301.5755262327</v>
      </c>
      <c r="AU441" s="2">
        <f t="shared" ca="1" si="417"/>
        <v>1104623.6929892176</v>
      </c>
      <c r="AV441" s="2">
        <f t="shared" ca="1" si="418"/>
        <v>2256673.4366745232</v>
      </c>
      <c r="AW441" s="2">
        <f t="shared" ca="1" si="419"/>
        <v>2481620.2349697975</v>
      </c>
      <c r="AX441" s="2">
        <f t="shared" ca="1" si="420"/>
        <v>2682708.9863094017</v>
      </c>
      <c r="AY441" s="2">
        <f t="shared" ca="1" si="421"/>
        <v>2893787.3933553919</v>
      </c>
      <c r="AZ441" s="2">
        <f t="shared" ca="1" si="422"/>
        <v>3115351.7206698963</v>
      </c>
      <c r="BA441" s="2">
        <f t="shared" ca="1" si="423"/>
        <v>61041980.539514765</v>
      </c>
      <c r="BB441" s="2">
        <f t="shared" ca="1" si="424"/>
        <v>1220839.6107902953</v>
      </c>
      <c r="BC441" s="2">
        <f t="shared" ca="1" si="425"/>
        <v>36304090.216035813</v>
      </c>
      <c r="BD441" s="2">
        <f t="shared" ca="1" si="426"/>
        <v>-17157910.921487793</v>
      </c>
      <c r="BE441" s="2">
        <f t="shared" ca="1" si="427"/>
        <v>2256673.4366745232</v>
      </c>
      <c r="BF441" s="2">
        <f t="shared" ca="1" si="428"/>
        <v>2481620.2349697975</v>
      </c>
      <c r="BG441" s="2">
        <f t="shared" ca="1" si="429"/>
        <v>2682708.9863094017</v>
      </c>
      <c r="BH441" s="2">
        <f t="shared" ca="1" si="430"/>
        <v>2893787.3933553919</v>
      </c>
      <c r="BI441" s="2">
        <f t="shared" ca="1" si="431"/>
        <v>39419441.936705709</v>
      </c>
      <c r="BJ441" s="2">
        <f t="shared" ca="1" si="432"/>
        <v>0.27908384772100892</v>
      </c>
      <c r="BK441" s="2">
        <f t="shared" ca="1" si="433"/>
        <v>12951511.996218398</v>
      </c>
    </row>
    <row r="442" spans="1:63" x14ac:dyDescent="0.3">
      <c r="A442" s="2">
        <v>441</v>
      </c>
      <c r="B442" s="2">
        <f t="shared" ca="1" si="372"/>
        <v>1.1144633648629831E-4</v>
      </c>
      <c r="C442" s="2">
        <f t="shared" ca="1" si="373"/>
        <v>6.014929590515905</v>
      </c>
      <c r="D442" s="2">
        <f t="shared" ca="1" si="374"/>
        <v>0.80046503678464909</v>
      </c>
      <c r="E442" s="2">
        <f t="shared" ca="1" si="375"/>
        <v>7.8682801836013834</v>
      </c>
      <c r="F442" s="2">
        <f t="shared" ca="1" si="376"/>
        <v>0.5650133208480228</v>
      </c>
      <c r="G442" s="2">
        <f t="shared" ca="1" si="377"/>
        <v>4.4910769807447001E-2</v>
      </c>
      <c r="H442" s="2">
        <f t="shared" ca="1" si="378"/>
        <v>4.4910769807447001E-2</v>
      </c>
      <c r="I442" s="2">
        <f t="shared" ca="1" si="379"/>
        <v>0.53410846326998085</v>
      </c>
      <c r="J442" s="2">
        <f t="shared" ca="1" si="380"/>
        <v>1.0428008333689351E-2</v>
      </c>
      <c r="K442" s="2">
        <f t="shared" ca="1" si="381"/>
        <v>1.0428008333689351E-2</v>
      </c>
      <c r="L442" s="2">
        <f t="shared" ca="1" si="382"/>
        <v>0.35876191926790779</v>
      </c>
      <c r="M442" s="2">
        <f t="shared" ca="1" si="383"/>
        <v>-7.2354019749753598E-3</v>
      </c>
      <c r="N442" s="2">
        <f t="shared" ca="1" si="384"/>
        <v>-7.2354019749753598E-3</v>
      </c>
      <c r="O442" s="2">
        <f t="shared" si="385"/>
        <v>6000000</v>
      </c>
      <c r="P442" s="2">
        <f t="shared" ca="1" si="386"/>
        <v>36089577.543095432</v>
      </c>
      <c r="Q442" s="2">
        <f t="shared" ca="1" si="387"/>
        <v>902239.43857738585</v>
      </c>
      <c r="R442" s="2">
        <f t="shared" ca="1" si="388"/>
        <v>21653746.525857259</v>
      </c>
      <c r="S442" s="2">
        <f t="shared" ca="1" si="389"/>
        <v>14435831.017238174</v>
      </c>
      <c r="T442" s="2">
        <f t="shared" ca="1" si="390"/>
        <v>49638229.901251227</v>
      </c>
      <c r="U442" s="2">
        <f t="shared" ca="1" si="391"/>
        <v>51867521.017995447</v>
      </c>
      <c r="V442" s="2">
        <f t="shared" ca="1" si="392"/>
        <v>54196931.314917557</v>
      </c>
      <c r="W442" s="2">
        <f t="shared" ca="1" si="393"/>
        <v>56630957.221471831</v>
      </c>
      <c r="X442" s="2">
        <f t="shared" ca="1" si="394"/>
        <v>59174297.105220728</v>
      </c>
      <c r="Y442" s="2">
        <f t="shared" ca="1" si="395"/>
        <v>0.12521400416684467</v>
      </c>
      <c r="Z442" s="2">
        <f t="shared" ca="1" si="396"/>
        <v>0.12729960583358255</v>
      </c>
      <c r="AA442" s="2">
        <f t="shared" ca="1" si="397"/>
        <v>6215401.5256900648</v>
      </c>
      <c r="AB442" s="2">
        <f t="shared" ca="1" si="398"/>
        <v>6602714.9811558789</v>
      </c>
      <c r="AC442" s="2">
        <f t="shared" ca="1" si="399"/>
        <v>6899247.9937787512</v>
      </c>
      <c r="AD442" s="2">
        <f t="shared" ca="1" si="400"/>
        <v>7209098.5322718387</v>
      </c>
      <c r="AE442" s="2">
        <f t="shared" ca="1" si="401"/>
        <v>7532864.6969739031</v>
      </c>
      <c r="AF442" s="2">
        <f t="shared" ca="1" si="402"/>
        <v>992764.59802502452</v>
      </c>
      <c r="AG442" s="2">
        <f t="shared" ca="1" si="403"/>
        <v>1037350.420359909</v>
      </c>
      <c r="AH442" s="2">
        <f t="shared" ca="1" si="404"/>
        <v>1083938.6262983512</v>
      </c>
      <c r="AI442" s="2">
        <f t="shared" ca="1" si="405"/>
        <v>1132619.1444294367</v>
      </c>
      <c r="AJ442" s="2">
        <f t="shared" ca="1" si="406"/>
        <v>1183485.9421044146</v>
      </c>
      <c r="AK442" s="2">
        <f t="shared" ca="1" si="407"/>
        <v>0</v>
      </c>
      <c r="AL442" s="2">
        <f t="shared" ca="1" si="408"/>
        <v>22292.911167442202</v>
      </c>
      <c r="AM442" s="2">
        <f t="shared" ca="1" si="409"/>
        <v>23294.102969221101</v>
      </c>
      <c r="AN442" s="2">
        <f t="shared" ca="1" si="410"/>
        <v>24340.259065542745</v>
      </c>
      <c r="AO442" s="2">
        <f t="shared" ca="1" si="411"/>
        <v>25433.398837488963</v>
      </c>
      <c r="AP442" s="2">
        <f t="shared" ca="1" si="412"/>
        <v>1948837.1873271533</v>
      </c>
      <c r="AQ442" s="2">
        <f t="shared" ca="1" si="413"/>
        <v>851187.93248785066</v>
      </c>
      <c r="AR442" s="2">
        <f t="shared" ca="1" si="414"/>
        <v>940297.11710189248</v>
      </c>
      <c r="AS442" s="2">
        <f t="shared" ca="1" si="415"/>
        <v>1005282.7668398443</v>
      </c>
      <c r="AT442" s="2">
        <f t="shared" ca="1" si="416"/>
        <v>1073186.9721339648</v>
      </c>
      <c r="AU442" s="2">
        <f t="shared" ca="1" si="417"/>
        <v>1144140.8075610073</v>
      </c>
      <c r="AV442" s="2">
        <f t="shared" ca="1" si="418"/>
        <v>2422611.8078500358</v>
      </c>
      <c r="AW442" s="2">
        <f t="shared" ca="1" si="419"/>
        <v>2653937.3451994825</v>
      </c>
      <c r="AX442" s="2">
        <f t="shared" ca="1" si="420"/>
        <v>2837895.310344182</v>
      </c>
      <c r="AY442" s="2">
        <f t="shared" ca="1" si="421"/>
        <v>3030114.9693157421</v>
      </c>
      <c r="AZ442" s="2">
        <f t="shared" ca="1" si="422"/>
        <v>3230967.3611438395</v>
      </c>
      <c r="BA442" s="2">
        <f t="shared" ca="1" si="423"/>
        <v>59270690.020950198</v>
      </c>
      <c r="BB442" s="2">
        <f t="shared" ca="1" si="424"/>
        <v>1185413.8004190039</v>
      </c>
      <c r="BC442" s="2">
        <f t="shared" ca="1" si="425"/>
        <v>36431529.694673941</v>
      </c>
      <c r="BD442" s="2">
        <f t="shared" ca="1" si="426"/>
        <v>-15838070.455815559</v>
      </c>
      <c r="BE442" s="2">
        <f t="shared" ca="1" si="427"/>
        <v>2422611.8078500358</v>
      </c>
      <c r="BF442" s="2">
        <f t="shared" ca="1" si="428"/>
        <v>2653937.3451994825</v>
      </c>
      <c r="BG442" s="2">
        <f t="shared" ca="1" si="429"/>
        <v>2837895.310344182</v>
      </c>
      <c r="BH442" s="2">
        <f t="shared" ca="1" si="430"/>
        <v>3030114.9693157421</v>
      </c>
      <c r="BI442" s="2">
        <f t="shared" ca="1" si="431"/>
        <v>39662497.055817783</v>
      </c>
      <c r="BJ442" s="2">
        <f t="shared" ca="1" si="432"/>
        <v>0.31265999008950218</v>
      </c>
      <c r="BK442" s="2">
        <f t="shared" ca="1" si="433"/>
        <v>14891895.068431875</v>
      </c>
    </row>
    <row r="443" spans="1:63" x14ac:dyDescent="0.3">
      <c r="A443" s="2">
        <v>442</v>
      </c>
      <c r="B443" s="2">
        <f t="shared" ca="1" si="372"/>
        <v>0.42805061045057213</v>
      </c>
      <c r="C443" s="2">
        <f t="shared" ca="1" si="373"/>
        <v>6.9252573808952533</v>
      </c>
      <c r="D443" s="2">
        <f t="shared" ca="1" si="374"/>
        <v>0.5920481365961493</v>
      </c>
      <c r="E443" s="2">
        <f t="shared" ca="1" si="375"/>
        <v>7.5967261064285641</v>
      </c>
      <c r="F443" s="2">
        <f t="shared" ca="1" si="376"/>
        <v>0.19821548901165542</v>
      </c>
      <c r="G443" s="2">
        <f t="shared" ca="1" si="377"/>
        <v>1.4559623313204081E-2</v>
      </c>
      <c r="H443" s="2">
        <f t="shared" ca="1" si="378"/>
        <v>1.4559623313204081E-2</v>
      </c>
      <c r="I443" s="2">
        <f t="shared" ca="1" si="379"/>
        <v>0.14462655181756912</v>
      </c>
      <c r="J443" s="2">
        <f t="shared" ca="1" si="380"/>
        <v>4.7011923635018448E-3</v>
      </c>
      <c r="K443" s="2">
        <f t="shared" ca="1" si="381"/>
        <v>4.7011923635018448E-3</v>
      </c>
      <c r="L443" s="2">
        <f t="shared" ca="1" si="382"/>
        <v>3.3464929271591615E-3</v>
      </c>
      <c r="M443" s="2">
        <f t="shared" ca="1" si="383"/>
        <v>-5.4234919889225436E-2</v>
      </c>
      <c r="N443" s="2">
        <f t="shared" ca="1" si="384"/>
        <v>-0.05</v>
      </c>
      <c r="O443" s="2">
        <f t="shared" si="385"/>
        <v>6000000</v>
      </c>
      <c r="P443" s="2">
        <f t="shared" ca="1" si="386"/>
        <v>41551544.28537152</v>
      </c>
      <c r="Q443" s="2">
        <f t="shared" ca="1" si="387"/>
        <v>1038788.6071342881</v>
      </c>
      <c r="R443" s="2">
        <f t="shared" ca="1" si="388"/>
        <v>24930926.571222913</v>
      </c>
      <c r="S443" s="2">
        <f t="shared" ca="1" si="389"/>
        <v>16620617.714148609</v>
      </c>
      <c r="T443" s="2">
        <f t="shared" ca="1" si="390"/>
        <v>47500000</v>
      </c>
      <c r="U443" s="2">
        <f t="shared" ca="1" si="391"/>
        <v>48191582.107377194</v>
      </c>
      <c r="V443" s="2">
        <f t="shared" ca="1" si="392"/>
        <v>48893233.389727958</v>
      </c>
      <c r="W443" s="2">
        <f t="shared" ca="1" si="393"/>
        <v>49605100.450446971</v>
      </c>
      <c r="X443" s="2">
        <f t="shared" ca="1" si="394"/>
        <v>50327332.027419135</v>
      </c>
      <c r="Y443" s="2">
        <f t="shared" ca="1" si="395"/>
        <v>0.12235059618175091</v>
      </c>
      <c r="Z443" s="2">
        <f t="shared" ca="1" si="396"/>
        <v>0.12329083465445129</v>
      </c>
      <c r="AA443" s="2">
        <f t="shared" ca="1" si="397"/>
        <v>5811653.318633168</v>
      </c>
      <c r="AB443" s="2">
        <f t="shared" ca="1" si="398"/>
        <v>5941580.381337055</v>
      </c>
      <c r="AC443" s="2">
        <f t="shared" ca="1" si="399"/>
        <v>6028087.5535744466</v>
      </c>
      <c r="AD443" s="2">
        <f t="shared" ca="1" si="400"/>
        <v>6115854.2376535041</v>
      </c>
      <c r="AE443" s="2">
        <f t="shared" ca="1" si="401"/>
        <v>6204898.7715922035</v>
      </c>
      <c r="AF443" s="2">
        <f t="shared" ca="1" si="402"/>
        <v>950000</v>
      </c>
      <c r="AG443" s="2">
        <f t="shared" ca="1" si="403"/>
        <v>963831.64214754384</v>
      </c>
      <c r="AH443" s="2">
        <f t="shared" ca="1" si="404"/>
        <v>977864.66779455915</v>
      </c>
      <c r="AI443" s="2">
        <f t="shared" ca="1" si="405"/>
        <v>992102.00900893938</v>
      </c>
      <c r="AJ443" s="2">
        <f t="shared" ca="1" si="406"/>
        <v>1006546.6405483828</v>
      </c>
      <c r="AK443" s="2">
        <f t="shared" ca="1" si="407"/>
        <v>0</v>
      </c>
      <c r="AL443" s="2">
        <f t="shared" ca="1" si="408"/>
        <v>6915.8210737719392</v>
      </c>
      <c r="AM443" s="2">
        <f t="shared" ca="1" si="409"/>
        <v>7016.5128235076372</v>
      </c>
      <c r="AN443" s="2">
        <f t="shared" ca="1" si="410"/>
        <v>7118.6706071901326</v>
      </c>
      <c r="AO443" s="2">
        <f t="shared" ca="1" si="411"/>
        <v>7222.315769721642</v>
      </c>
      <c r="AP443" s="2">
        <f t="shared" ca="1" si="412"/>
        <v>2243783.3914100621</v>
      </c>
      <c r="AQ443" s="2">
        <f t="shared" ca="1" si="413"/>
        <v>680646.18107800756</v>
      </c>
      <c r="AR443" s="2">
        <f t="shared" ca="1" si="414"/>
        <v>710830.99042265676</v>
      </c>
      <c r="AS443" s="2">
        <f t="shared" ca="1" si="415"/>
        <v>729674.26853615465</v>
      </c>
      <c r="AT443" s="2">
        <f t="shared" ca="1" si="416"/>
        <v>748791.89768097072</v>
      </c>
      <c r="AU443" s="2">
        <f t="shared" ca="1" si="417"/>
        <v>768187.87230477727</v>
      </c>
      <c r="AV443" s="2">
        <f t="shared" ca="1" si="418"/>
        <v>1937223.7461450985</v>
      </c>
      <c r="AW443" s="2">
        <f t="shared" ca="1" si="419"/>
        <v>2016218.5362830199</v>
      </c>
      <c r="AX443" s="2">
        <f t="shared" ca="1" si="420"/>
        <v>2069748.713010164</v>
      </c>
      <c r="AY443" s="2">
        <f t="shared" ca="1" si="421"/>
        <v>2124058.2689463412</v>
      </c>
      <c r="AZ443" s="2">
        <f t="shared" ca="1" si="422"/>
        <v>2179158.5515592592</v>
      </c>
      <c r="BA443" s="2">
        <f t="shared" ca="1" si="423"/>
        <v>47136916.48590102</v>
      </c>
      <c r="BB443" s="2">
        <f t="shared" ca="1" si="424"/>
        <v>942738.3297180204</v>
      </c>
      <c r="BC443" s="2">
        <f t="shared" ca="1" si="425"/>
        <v>21263251.584960088</v>
      </c>
      <c r="BD443" s="2">
        <f t="shared" ca="1" si="426"/>
        <v>-18159406.321282897</v>
      </c>
      <c r="BE443" s="2">
        <f t="shared" ca="1" si="427"/>
        <v>1937223.7461450985</v>
      </c>
      <c r="BF443" s="2">
        <f t="shared" ca="1" si="428"/>
        <v>2016218.5362830199</v>
      </c>
      <c r="BG443" s="2">
        <f t="shared" ca="1" si="429"/>
        <v>2069748.713010164</v>
      </c>
      <c r="BH443" s="2">
        <f t="shared" ca="1" si="430"/>
        <v>2124058.2689463412</v>
      </c>
      <c r="BI443" s="2">
        <f t="shared" ca="1" si="431"/>
        <v>23442410.136519346</v>
      </c>
      <c r="BJ443" s="2">
        <f t="shared" ca="1" si="432"/>
        <v>0.13880439299097258</v>
      </c>
      <c r="BK443" s="2">
        <f t="shared" ca="1" si="433"/>
        <v>1302511.566294454</v>
      </c>
    </row>
    <row r="444" spans="1:63" x14ac:dyDescent="0.3">
      <c r="A444" s="2">
        <v>443</v>
      </c>
      <c r="B444" s="2">
        <f t="shared" ca="1" si="372"/>
        <v>0.64862330182328498</v>
      </c>
      <c r="C444" s="2">
        <f t="shared" ca="1" si="373"/>
        <v>7.1616961193257964</v>
      </c>
      <c r="D444" s="2">
        <f t="shared" ca="1" si="374"/>
        <v>0.75095848926829556</v>
      </c>
      <c r="E444" s="2">
        <f t="shared" ca="1" si="375"/>
        <v>7.7942500290730372</v>
      </c>
      <c r="F444" s="2">
        <f t="shared" ca="1" si="376"/>
        <v>0.20955581162116177</v>
      </c>
      <c r="G444" s="2">
        <f t="shared" ca="1" si="377"/>
        <v>1.5761096505566813E-2</v>
      </c>
      <c r="H444" s="2">
        <f t="shared" ca="1" si="378"/>
        <v>1.5761096505566813E-2</v>
      </c>
      <c r="I444" s="2">
        <f t="shared" ca="1" si="379"/>
        <v>0.42540511080570897</v>
      </c>
      <c r="J444" s="2">
        <f t="shared" ca="1" si="380"/>
        <v>9.0595762890489061E-3</v>
      </c>
      <c r="K444" s="2">
        <f t="shared" ca="1" si="381"/>
        <v>9.0595762890489061E-3</v>
      </c>
      <c r="L444" s="2">
        <f t="shared" ca="1" si="382"/>
        <v>0.23399207035031144</v>
      </c>
      <c r="M444" s="2">
        <f t="shared" ca="1" si="383"/>
        <v>-1.4515257788838741E-2</v>
      </c>
      <c r="N444" s="2">
        <f t="shared" ca="1" si="384"/>
        <v>-1.4515257788838741E-2</v>
      </c>
      <c r="O444" s="2">
        <f t="shared" si="385"/>
        <v>6000000</v>
      </c>
      <c r="P444" s="2">
        <f t="shared" ca="1" si="386"/>
        <v>42970176.715954781</v>
      </c>
      <c r="Q444" s="2">
        <f t="shared" ca="1" si="387"/>
        <v>1074254.4178988696</v>
      </c>
      <c r="R444" s="2">
        <f t="shared" ca="1" si="388"/>
        <v>25782106.029572867</v>
      </c>
      <c r="S444" s="2">
        <f t="shared" ca="1" si="389"/>
        <v>17188070.686381914</v>
      </c>
      <c r="T444" s="2">
        <f t="shared" ca="1" si="390"/>
        <v>49274237.110558063</v>
      </c>
      <c r="U444" s="2">
        <f t="shared" ca="1" si="391"/>
        <v>50050853.11689575</v>
      </c>
      <c r="V444" s="2">
        <f t="shared" ca="1" si="392"/>
        <v>50839709.44305709</v>
      </c>
      <c r="W444" s="2">
        <f t="shared" ca="1" si="393"/>
        <v>51640999.009904087</v>
      </c>
      <c r="X444" s="2">
        <f t="shared" ca="1" si="394"/>
        <v>52454917.778943062</v>
      </c>
      <c r="Y444" s="2">
        <f t="shared" ca="1" si="395"/>
        <v>0.12452978814452445</v>
      </c>
      <c r="Z444" s="2">
        <f t="shared" ca="1" si="396"/>
        <v>0.12634170340233422</v>
      </c>
      <c r="AA444" s="2">
        <f t="shared" ca="1" si="397"/>
        <v>6136110.3083608598</v>
      </c>
      <c r="AB444" s="2">
        <f t="shared" ca="1" si="398"/>
        <v>6323510.0395286381</v>
      </c>
      <c r="AC444" s="2">
        <f t="shared" ca="1" si="399"/>
        <v>6423175.4915155694</v>
      </c>
      <c r="AD444" s="2">
        <f t="shared" ca="1" si="400"/>
        <v>6524411.7803095374</v>
      </c>
      <c r="AE444" s="2">
        <f t="shared" ca="1" si="401"/>
        <v>6627243.6640210524</v>
      </c>
      <c r="AF444" s="2">
        <f t="shared" ca="1" si="402"/>
        <v>985484.7422111613</v>
      </c>
      <c r="AG444" s="2">
        <f t="shared" ca="1" si="403"/>
        <v>1001017.0623379151</v>
      </c>
      <c r="AH444" s="2">
        <f t="shared" ca="1" si="404"/>
        <v>1016794.1888611418</v>
      </c>
      <c r="AI444" s="2">
        <f t="shared" ca="1" si="405"/>
        <v>1032819.9801980817</v>
      </c>
      <c r="AJ444" s="2">
        <f t="shared" ca="1" si="406"/>
        <v>1049098.3555788612</v>
      </c>
      <c r="AK444" s="2">
        <f t="shared" ca="1" si="407"/>
        <v>0</v>
      </c>
      <c r="AL444" s="2">
        <f t="shared" ca="1" si="408"/>
        <v>7766.1600633768739</v>
      </c>
      <c r="AM444" s="2">
        <f t="shared" ca="1" si="409"/>
        <v>7888.5632616133989</v>
      </c>
      <c r="AN444" s="2">
        <f t="shared" ca="1" si="410"/>
        <v>8012.895668469966</v>
      </c>
      <c r="AO444" s="2">
        <f t="shared" ca="1" si="411"/>
        <v>8139.1876903897528</v>
      </c>
      <c r="AP444" s="2">
        <f t="shared" ca="1" si="412"/>
        <v>2320389.5426615579</v>
      </c>
      <c r="AQ444" s="2">
        <f t="shared" ca="1" si="413"/>
        <v>735861.36610691657</v>
      </c>
      <c r="AR444" s="2">
        <f t="shared" ca="1" si="414"/>
        <v>780546.89297758287</v>
      </c>
      <c r="AS444" s="2">
        <f t="shared" ca="1" si="415"/>
        <v>802357.85759814607</v>
      </c>
      <c r="AT444" s="2">
        <f t="shared" ca="1" si="416"/>
        <v>824512.5869369735</v>
      </c>
      <c r="AU444" s="2">
        <f t="shared" ca="1" si="417"/>
        <v>847016.49910296465</v>
      </c>
      <c r="AV444" s="2">
        <f t="shared" ca="1" si="418"/>
        <v>2094374.6573812244</v>
      </c>
      <c r="AW444" s="2">
        <f t="shared" ca="1" si="419"/>
        <v>2213790.3814882049</v>
      </c>
      <c r="AX444" s="2">
        <f t="shared" ca="1" si="420"/>
        <v>2275745.3391331099</v>
      </c>
      <c r="AY444" s="2">
        <f t="shared" ca="1" si="421"/>
        <v>2338676.7748444537</v>
      </c>
      <c r="AZ444" s="2">
        <f t="shared" ca="1" si="422"/>
        <v>2402600.078987279</v>
      </c>
      <c r="BA444" s="2">
        <f t="shared" ca="1" si="423"/>
        <v>51654394.12097019</v>
      </c>
      <c r="BB444" s="2">
        <f t="shared" ca="1" si="424"/>
        <v>1033087.8824194038</v>
      </c>
      <c r="BC444" s="2">
        <f t="shared" ca="1" si="425"/>
        <v>24839200.208977919</v>
      </c>
      <c r="BD444" s="2">
        <f t="shared" ca="1" si="426"/>
        <v>-18762325.104280785</v>
      </c>
      <c r="BE444" s="2">
        <f t="shared" ca="1" si="427"/>
        <v>2094374.6573812244</v>
      </c>
      <c r="BF444" s="2">
        <f t="shared" ca="1" si="428"/>
        <v>2213790.3814882049</v>
      </c>
      <c r="BG444" s="2">
        <f t="shared" ca="1" si="429"/>
        <v>2275745.3391331099</v>
      </c>
      <c r="BH444" s="2">
        <f t="shared" ca="1" si="430"/>
        <v>2338676.7748444537</v>
      </c>
      <c r="BI444" s="2">
        <f t="shared" ca="1" si="431"/>
        <v>27241800.287965197</v>
      </c>
      <c r="BJ444" s="2">
        <f t="shared" ca="1" si="432"/>
        <v>0.16604375134430316</v>
      </c>
      <c r="BK444" s="2">
        <f t="shared" ca="1" si="433"/>
        <v>3436303.4396064132</v>
      </c>
    </row>
    <row r="445" spans="1:63" x14ac:dyDescent="0.3">
      <c r="A445" s="2">
        <v>444</v>
      </c>
      <c r="B445" s="2">
        <f t="shared" ca="1" si="372"/>
        <v>0.53203642591463385</v>
      </c>
      <c r="C445" s="2">
        <f t="shared" ca="1" si="373"/>
        <v>7.0325667215922678</v>
      </c>
      <c r="D445" s="2">
        <f t="shared" ca="1" si="374"/>
        <v>0.28229685187003073</v>
      </c>
      <c r="E445" s="2">
        <f t="shared" ca="1" si="375"/>
        <v>7.2513945060619367</v>
      </c>
      <c r="F445" s="2">
        <f t="shared" ca="1" si="376"/>
        <v>0.34422845608292518</v>
      </c>
      <c r="G445" s="2">
        <f t="shared" ca="1" si="377"/>
        <v>2.7971499006567424E-2</v>
      </c>
      <c r="H445" s="2">
        <f t="shared" ca="1" si="378"/>
        <v>2.7971499006567424E-2</v>
      </c>
      <c r="I445" s="2">
        <f t="shared" ca="1" si="379"/>
        <v>0.26283143619375504</v>
      </c>
      <c r="J445" s="2">
        <f t="shared" ca="1" si="380"/>
        <v>6.8267972293770025E-3</v>
      </c>
      <c r="K445" s="2">
        <f t="shared" ca="1" si="381"/>
        <v>6.8267972293770025E-3</v>
      </c>
      <c r="L445" s="2">
        <f t="shared" ca="1" si="382"/>
        <v>0.38942892047518263</v>
      </c>
      <c r="M445" s="2">
        <f t="shared" ca="1" si="383"/>
        <v>-5.6161554723552724E-3</v>
      </c>
      <c r="N445" s="2">
        <f t="shared" ca="1" si="384"/>
        <v>-5.6161554723552724E-3</v>
      </c>
      <c r="O445" s="2">
        <f t="shared" si="385"/>
        <v>6000000</v>
      </c>
      <c r="P445" s="2">
        <f t="shared" ca="1" si="386"/>
        <v>42195400.329553604</v>
      </c>
      <c r="Q445" s="2">
        <f t="shared" ca="1" si="387"/>
        <v>1054885.0082388401</v>
      </c>
      <c r="R445" s="2">
        <f t="shared" ca="1" si="388"/>
        <v>25317240.197732162</v>
      </c>
      <c r="S445" s="2">
        <f t="shared" ca="1" si="389"/>
        <v>16878160.131821442</v>
      </c>
      <c r="T445" s="2">
        <f t="shared" ca="1" si="390"/>
        <v>49719192.226382233</v>
      </c>
      <c r="U445" s="2">
        <f t="shared" ca="1" si="391"/>
        <v>51109912.562349819</v>
      </c>
      <c r="V445" s="2">
        <f t="shared" ca="1" si="392"/>
        <v>52539533.430813335</v>
      </c>
      <c r="W445" s="2">
        <f t="shared" ca="1" si="393"/>
        <v>54009142.937978841</v>
      </c>
      <c r="X445" s="2">
        <f t="shared" ca="1" si="394"/>
        <v>55519859.626014069</v>
      </c>
      <c r="Y445" s="2">
        <f t="shared" ca="1" si="395"/>
        <v>0.1234133986146885</v>
      </c>
      <c r="Z445" s="2">
        <f t="shared" ca="1" si="396"/>
        <v>0.12477875806056389</v>
      </c>
      <c r="AA445" s="2">
        <f t="shared" ca="1" si="397"/>
        <v>6136014.4890348325</v>
      </c>
      <c r="AB445" s="2">
        <f t="shared" ca="1" si="398"/>
        <v>6377431.4141140226</v>
      </c>
      <c r="AC445" s="2">
        <f t="shared" ca="1" si="399"/>
        <v>6555817.7305783657</v>
      </c>
      <c r="AD445" s="2">
        <f t="shared" ca="1" si="400"/>
        <v>6739193.7797164749</v>
      </c>
      <c r="AE445" s="2">
        <f t="shared" ca="1" si="401"/>
        <v>6927699.1318308786</v>
      </c>
      <c r="AF445" s="2">
        <f t="shared" ca="1" si="402"/>
        <v>994383.84452764469</v>
      </c>
      <c r="AG445" s="2">
        <f t="shared" ca="1" si="403"/>
        <v>1022198.2512469963</v>
      </c>
      <c r="AH445" s="2">
        <f t="shared" ca="1" si="404"/>
        <v>1050790.6686162667</v>
      </c>
      <c r="AI445" s="2">
        <f t="shared" ca="1" si="405"/>
        <v>1080182.8587595769</v>
      </c>
      <c r="AJ445" s="2">
        <f t="shared" ca="1" si="406"/>
        <v>1110397.1925202813</v>
      </c>
      <c r="AK445" s="2">
        <f t="shared" ca="1" si="407"/>
        <v>0</v>
      </c>
      <c r="AL445" s="2">
        <f t="shared" ca="1" si="408"/>
        <v>13907.203359675856</v>
      </c>
      <c r="AM445" s="2">
        <f t="shared" ca="1" si="409"/>
        <v>14296.208684635163</v>
      </c>
      <c r="AN445" s="2">
        <f t="shared" ca="1" si="410"/>
        <v>14696.095071655065</v>
      </c>
      <c r="AO445" s="2">
        <f t="shared" ca="1" si="411"/>
        <v>15107.166880352273</v>
      </c>
      <c r="AP445" s="2">
        <f t="shared" ca="1" si="412"/>
        <v>2278551.6177958944</v>
      </c>
      <c r="AQ445" s="2">
        <f t="shared" ca="1" si="413"/>
        <v>744400.54694493616</v>
      </c>
      <c r="AR445" s="2">
        <f t="shared" ca="1" si="414"/>
        <v>799937.2017184943</v>
      </c>
      <c r="AS445" s="2">
        <f t="shared" ca="1" si="415"/>
        <v>838883.61548321322</v>
      </c>
      <c r="AT445" s="2">
        <f t="shared" ca="1" si="416"/>
        <v>878919.41882186104</v>
      </c>
      <c r="AU445" s="2">
        <f t="shared" ca="1" si="417"/>
        <v>920075.08359382278</v>
      </c>
      <c r="AV445" s="2">
        <f t="shared" ca="1" si="418"/>
        <v>2118678.4797663572</v>
      </c>
      <c r="AW445" s="2">
        <f t="shared" ca="1" si="419"/>
        <v>2262837.1399929621</v>
      </c>
      <c r="AX445" s="2">
        <f t="shared" ca="1" si="420"/>
        <v>2373295.6199983559</v>
      </c>
      <c r="AY445" s="2">
        <f t="shared" ca="1" si="421"/>
        <v>2486843.7892674883</v>
      </c>
      <c r="AZ445" s="2">
        <f t="shared" ca="1" si="422"/>
        <v>2603568.0710405274</v>
      </c>
      <c r="BA445" s="2">
        <f t="shared" ca="1" si="423"/>
        <v>50235479.424208485</v>
      </c>
      <c r="BB445" s="2">
        <f t="shared" ca="1" si="424"/>
        <v>1004709.5884841697</v>
      </c>
      <c r="BC445" s="2">
        <f t="shared" ca="1" si="425"/>
        <v>23913529.637992155</v>
      </c>
      <c r="BD445" s="2">
        <f t="shared" ca="1" si="426"/>
        <v>-18433045.140060283</v>
      </c>
      <c r="BE445" s="2">
        <f t="shared" ca="1" si="427"/>
        <v>2118678.4797663572</v>
      </c>
      <c r="BF445" s="2">
        <f t="shared" ca="1" si="428"/>
        <v>2262837.1399929621</v>
      </c>
      <c r="BG445" s="2">
        <f t="shared" ca="1" si="429"/>
        <v>2373295.6199983559</v>
      </c>
      <c r="BH445" s="2">
        <f t="shared" ca="1" si="430"/>
        <v>2486843.7892674883</v>
      </c>
      <c r="BI445" s="2">
        <f t="shared" ca="1" si="431"/>
        <v>26517097.709032681</v>
      </c>
      <c r="BJ445" s="2">
        <f t="shared" ca="1" si="432"/>
        <v>0.1689851567333911</v>
      </c>
      <c r="BK445" s="2">
        <f t="shared" ca="1" si="433"/>
        <v>3578764.4945187308</v>
      </c>
    </row>
    <row r="446" spans="1:63" x14ac:dyDescent="0.3">
      <c r="A446" s="2">
        <v>445</v>
      </c>
      <c r="B446" s="2">
        <f t="shared" ca="1" si="372"/>
        <v>0.75479332033402891</v>
      </c>
      <c r="C446" s="2">
        <f t="shared" ca="1" si="373"/>
        <v>7.2997048055770035</v>
      </c>
      <c r="D446" s="2">
        <f t="shared" ca="1" si="374"/>
        <v>0.89772879859626331</v>
      </c>
      <c r="E446" s="2">
        <f t="shared" ca="1" si="375"/>
        <v>8.0477363569692191</v>
      </c>
      <c r="F446" s="2">
        <f t="shared" ca="1" si="376"/>
        <v>0.57171197298774368</v>
      </c>
      <c r="G446" s="2">
        <f t="shared" ca="1" si="377"/>
        <v>4.5422032079841843E-2</v>
      </c>
      <c r="H446" s="2">
        <f t="shared" ca="1" si="378"/>
        <v>4.5422032079841843E-2</v>
      </c>
      <c r="I446" s="2">
        <f t="shared" ca="1" si="379"/>
        <v>0.45520960951809009</v>
      </c>
      <c r="J446" s="2">
        <f t="shared" ca="1" si="380"/>
        <v>9.4374511212840552E-3</v>
      </c>
      <c r="K446" s="2">
        <f t="shared" ca="1" si="381"/>
        <v>9.4374511212840552E-3</v>
      </c>
      <c r="L446" s="2">
        <f t="shared" ca="1" si="382"/>
        <v>0.66507399072206019</v>
      </c>
      <c r="M446" s="2">
        <f t="shared" ca="1" si="383"/>
        <v>8.5270222547925486E-3</v>
      </c>
      <c r="N446" s="2">
        <f t="shared" ca="1" si="384"/>
        <v>8.5270222547925486E-3</v>
      </c>
      <c r="O446" s="2">
        <f t="shared" si="385"/>
        <v>6000000</v>
      </c>
      <c r="P446" s="2">
        <f t="shared" ca="1" si="386"/>
        <v>43798228.833462022</v>
      </c>
      <c r="Q446" s="2">
        <f t="shared" ca="1" si="387"/>
        <v>1094955.7208365507</v>
      </c>
      <c r="R446" s="2">
        <f t="shared" ca="1" si="388"/>
        <v>26278937.300077211</v>
      </c>
      <c r="S446" s="2">
        <f t="shared" ca="1" si="389"/>
        <v>17519291.533384811</v>
      </c>
      <c r="T446" s="2">
        <f t="shared" ca="1" si="390"/>
        <v>50426351.11273963</v>
      </c>
      <c r="U446" s="2">
        <f t="shared" ca="1" si="391"/>
        <v>52716818.450651854</v>
      </c>
      <c r="V446" s="2">
        <f t="shared" ca="1" si="392"/>
        <v>55111323.469464555</v>
      </c>
      <c r="W446" s="2">
        <f t="shared" ca="1" si="393"/>
        <v>57614591.772057109</v>
      </c>
      <c r="X446" s="2">
        <f t="shared" ca="1" si="394"/>
        <v>60231563.607794471</v>
      </c>
      <c r="Y446" s="2">
        <f t="shared" ca="1" si="395"/>
        <v>0.12471872556064202</v>
      </c>
      <c r="Z446" s="2">
        <f t="shared" ca="1" si="396"/>
        <v>0.12660621578489883</v>
      </c>
      <c r="AA446" s="2">
        <f t="shared" ca="1" si="397"/>
        <v>6289110.2454543496</v>
      </c>
      <c r="AB446" s="2">
        <f t="shared" ca="1" si="398"/>
        <v>6674276.8922565645</v>
      </c>
      <c r="AC446" s="2">
        <f t="shared" ca="1" si="399"/>
        <v>6977436.1113663893</v>
      </c>
      <c r="AD446" s="2">
        <f t="shared" ca="1" si="400"/>
        <v>7294365.4382519191</v>
      </c>
      <c r="AE446" s="2">
        <f t="shared" ca="1" si="401"/>
        <v>7625690.3391902866</v>
      </c>
      <c r="AF446" s="2">
        <f t="shared" ca="1" si="402"/>
        <v>1008527.0222547926</v>
      </c>
      <c r="AG446" s="2">
        <f t="shared" ca="1" si="403"/>
        <v>1054336.3690130371</v>
      </c>
      <c r="AH446" s="2">
        <f t="shared" ca="1" si="404"/>
        <v>1102226.469389291</v>
      </c>
      <c r="AI446" s="2">
        <f t="shared" ca="1" si="405"/>
        <v>1152291.8354411421</v>
      </c>
      <c r="AJ446" s="2">
        <f t="shared" ca="1" si="406"/>
        <v>1204631.2721558895</v>
      </c>
      <c r="AK446" s="2">
        <f t="shared" ca="1" si="407"/>
        <v>0</v>
      </c>
      <c r="AL446" s="2">
        <f t="shared" ca="1" si="408"/>
        <v>22904.673379122243</v>
      </c>
      <c r="AM446" s="2">
        <f t="shared" ca="1" si="409"/>
        <v>23945.05018812701</v>
      </c>
      <c r="AN446" s="2">
        <f t="shared" ca="1" si="410"/>
        <v>25032.683025925533</v>
      </c>
      <c r="AO446" s="2">
        <f t="shared" ca="1" si="411"/>
        <v>26169.718357373626</v>
      </c>
      <c r="AP446" s="2">
        <f t="shared" ca="1" si="412"/>
        <v>2365104.3570069489</v>
      </c>
      <c r="AQ446" s="2">
        <f t="shared" ca="1" si="413"/>
        <v>758024.50521007797</v>
      </c>
      <c r="AR446" s="2">
        <f t="shared" ca="1" si="414"/>
        <v>846257.40322151058</v>
      </c>
      <c r="AS446" s="2">
        <f t="shared" ca="1" si="415"/>
        <v>912627.37409223872</v>
      </c>
      <c r="AT446" s="2">
        <f t="shared" ca="1" si="416"/>
        <v>982012.00390899531</v>
      </c>
      <c r="AU446" s="2">
        <f t="shared" ca="1" si="417"/>
        <v>1054548.2246071366</v>
      </c>
      <c r="AV446" s="2">
        <f t="shared" ca="1" si="418"/>
        <v>2157454.3609825294</v>
      </c>
      <c r="AW446" s="2">
        <f t="shared" ca="1" si="419"/>
        <v>2385674.0896359463</v>
      </c>
      <c r="AX446" s="2">
        <f t="shared" ca="1" si="420"/>
        <v>2573532.860689783</v>
      </c>
      <c r="AY446" s="2">
        <f t="shared" ca="1" si="421"/>
        <v>2769924.5588689069</v>
      </c>
      <c r="AZ446" s="2">
        <f t="shared" ca="1" si="422"/>
        <v>2975236.7670629374</v>
      </c>
      <c r="BA446" s="2">
        <f t="shared" ca="1" si="423"/>
        <v>61369545.389690608</v>
      </c>
      <c r="BB446" s="2">
        <f t="shared" ca="1" si="424"/>
        <v>1227390.9077938122</v>
      </c>
      <c r="BC446" s="2">
        <f t="shared" ca="1" si="425"/>
        <v>33863217.18181958</v>
      </c>
      <c r="BD446" s="2">
        <f t="shared" ca="1" si="426"/>
        <v>-19114247.254221361</v>
      </c>
      <c r="BE446" s="2">
        <f t="shared" ca="1" si="427"/>
        <v>2157454.3609825294</v>
      </c>
      <c r="BF446" s="2">
        <f t="shared" ca="1" si="428"/>
        <v>2385674.0896359463</v>
      </c>
      <c r="BG446" s="2">
        <f t="shared" ca="1" si="429"/>
        <v>2573532.860689783</v>
      </c>
      <c r="BH446" s="2">
        <f t="shared" ca="1" si="430"/>
        <v>2769924.5588689069</v>
      </c>
      <c r="BI446" s="2">
        <f t="shared" ca="1" si="431"/>
        <v>36838453.94888252</v>
      </c>
      <c r="BJ446" s="2">
        <f t="shared" ca="1" si="432"/>
        <v>0.22837604182290838</v>
      </c>
      <c r="BK446" s="2">
        <f t="shared" ca="1" si="433"/>
        <v>9209151.1445253342</v>
      </c>
    </row>
    <row r="447" spans="1:63" x14ac:dyDescent="0.3">
      <c r="A447" s="2">
        <v>446</v>
      </c>
      <c r="B447" s="2">
        <f t="shared" ca="1" si="372"/>
        <v>0.30017737487097751</v>
      </c>
      <c r="C447" s="2">
        <f t="shared" ca="1" si="373"/>
        <v>6.7748256253777068</v>
      </c>
      <c r="D447" s="2">
        <f t="shared" ca="1" si="374"/>
        <v>0.19958175979115178</v>
      </c>
      <c r="E447" s="2">
        <f t="shared" ca="1" si="375"/>
        <v>7.1317938901115641</v>
      </c>
      <c r="F447" s="2">
        <f t="shared" ca="1" si="376"/>
        <v>0.245067968232623</v>
      </c>
      <c r="G447" s="2">
        <f t="shared" ca="1" si="377"/>
        <v>1.9297221045793848E-2</v>
      </c>
      <c r="H447" s="2">
        <f t="shared" ca="1" si="378"/>
        <v>1.9297221045793848E-2</v>
      </c>
      <c r="I447" s="2">
        <f t="shared" ca="1" si="379"/>
        <v>0.64004001650797804</v>
      </c>
      <c r="J447" s="2">
        <f t="shared" ca="1" si="380"/>
        <v>1.1792828788287552E-2</v>
      </c>
      <c r="K447" s="2">
        <f t="shared" ca="1" si="381"/>
        <v>1.1792828788287552E-2</v>
      </c>
      <c r="L447" s="2">
        <f t="shared" ca="1" si="382"/>
        <v>0.96195195677713352</v>
      </c>
      <c r="M447" s="2">
        <f t="shared" ca="1" si="383"/>
        <v>3.5476018334717793E-2</v>
      </c>
      <c r="N447" s="2">
        <f t="shared" ca="1" si="384"/>
        <v>3.5476018334717793E-2</v>
      </c>
      <c r="O447" s="2">
        <f t="shared" si="385"/>
        <v>6000000</v>
      </c>
      <c r="P447" s="2">
        <f t="shared" ca="1" si="386"/>
        <v>40648953.752266243</v>
      </c>
      <c r="Q447" s="2">
        <f t="shared" ca="1" si="387"/>
        <v>1016223.8438066561</v>
      </c>
      <c r="R447" s="2">
        <f t="shared" ca="1" si="388"/>
        <v>24389372.251359746</v>
      </c>
      <c r="S447" s="2">
        <f t="shared" ca="1" si="389"/>
        <v>16259581.500906497</v>
      </c>
      <c r="T447" s="2">
        <f t="shared" ca="1" si="390"/>
        <v>51773800.916735888</v>
      </c>
      <c r="U447" s="2">
        <f t="shared" ca="1" si="391"/>
        <v>52772891.397407062</v>
      </c>
      <c r="V447" s="2">
        <f t="shared" ca="1" si="392"/>
        <v>53791261.547928497</v>
      </c>
      <c r="W447" s="2">
        <f t="shared" ca="1" si="393"/>
        <v>54829283.412350982</v>
      </c>
      <c r="X447" s="2">
        <f t="shared" ca="1" si="394"/>
        <v>55887336.214141592</v>
      </c>
      <c r="Y447" s="2">
        <f t="shared" ca="1" si="395"/>
        <v>0.12589641439414379</v>
      </c>
      <c r="Z447" s="2">
        <f t="shared" ca="1" si="396"/>
        <v>0.12825498015180128</v>
      </c>
      <c r="AA447" s="2">
        <f t="shared" ca="1" si="397"/>
        <v>6518135.8949732827</v>
      </c>
      <c r="AB447" s="2">
        <f t="shared" ca="1" si="398"/>
        <v>6768386.1387276072</v>
      </c>
      <c r="AC447" s="2">
        <f t="shared" ca="1" si="399"/>
        <v>6898997.1821699208</v>
      </c>
      <c r="AD447" s="2">
        <f t="shared" ca="1" si="400"/>
        <v>7032128.6557885623</v>
      </c>
      <c r="AE447" s="2">
        <f t="shared" ca="1" si="401"/>
        <v>7167829.1968817748</v>
      </c>
      <c r="AF447" s="2">
        <f t="shared" ca="1" si="402"/>
        <v>1035476.0183347177</v>
      </c>
      <c r="AG447" s="2">
        <f t="shared" ca="1" si="403"/>
        <v>1055457.8279481414</v>
      </c>
      <c r="AH447" s="2">
        <f t="shared" ca="1" si="404"/>
        <v>1075825.23095857</v>
      </c>
      <c r="AI447" s="2">
        <f t="shared" ca="1" si="405"/>
        <v>1096585.6682470196</v>
      </c>
      <c r="AJ447" s="2">
        <f t="shared" ca="1" si="406"/>
        <v>1117746.7242828319</v>
      </c>
      <c r="AK447" s="2">
        <f t="shared" ca="1" si="407"/>
        <v>0</v>
      </c>
      <c r="AL447" s="2">
        <f t="shared" ca="1" si="408"/>
        <v>9990.9048067117492</v>
      </c>
      <c r="AM447" s="2">
        <f t="shared" ca="1" si="409"/>
        <v>10183.701505214349</v>
      </c>
      <c r="AN447" s="2">
        <f t="shared" ca="1" si="410"/>
        <v>10380.218644224853</v>
      </c>
      <c r="AO447" s="2">
        <f t="shared" ca="1" si="411"/>
        <v>10580.528017906099</v>
      </c>
      <c r="AP447" s="2">
        <f t="shared" ca="1" si="412"/>
        <v>2195043.5026223771</v>
      </c>
      <c r="AQ447" s="2">
        <f t="shared" ca="1" si="413"/>
        <v>854780.25724420894</v>
      </c>
      <c r="AR447" s="2">
        <f t="shared" ca="1" si="414"/>
        <v>914650.05012084299</v>
      </c>
      <c r="AS447" s="2">
        <f t="shared" ca="1" si="415"/>
        <v>943313.39663313318</v>
      </c>
      <c r="AT447" s="2">
        <f t="shared" ca="1" si="416"/>
        <v>972529.86607898294</v>
      </c>
      <c r="AU447" s="2">
        <f t="shared" ca="1" si="417"/>
        <v>1002310.1321939072</v>
      </c>
      <c r="AV447" s="2">
        <f t="shared" ca="1" si="418"/>
        <v>2432836.1167719793</v>
      </c>
      <c r="AW447" s="2">
        <f t="shared" ca="1" si="419"/>
        <v>2593243.8532295339</v>
      </c>
      <c r="AX447" s="2">
        <f t="shared" ca="1" si="420"/>
        <v>2674631.3504506266</v>
      </c>
      <c r="AY447" s="2">
        <f t="shared" ca="1" si="421"/>
        <v>2757589.4001959572</v>
      </c>
      <c r="AZ447" s="2">
        <f t="shared" ca="1" si="422"/>
        <v>2842148.3097647522</v>
      </c>
      <c r="BA447" s="2">
        <f t="shared" ca="1" si="423"/>
        <v>51119480.471684724</v>
      </c>
      <c r="BB447" s="2">
        <f t="shared" ca="1" si="424"/>
        <v>1022389.6094336945</v>
      </c>
      <c r="BC447" s="2">
        <f t="shared" ca="1" si="425"/>
        <v>25707718.610891283</v>
      </c>
      <c r="BD447" s="2">
        <f t="shared" ca="1" si="426"/>
        <v>-17775805.344713151</v>
      </c>
      <c r="BE447" s="2">
        <f t="shared" ca="1" si="427"/>
        <v>2432836.1167719793</v>
      </c>
      <c r="BF447" s="2">
        <f t="shared" ca="1" si="428"/>
        <v>2593243.8532295339</v>
      </c>
      <c r="BG447" s="2">
        <f t="shared" ca="1" si="429"/>
        <v>2674631.3504506266</v>
      </c>
      <c r="BH447" s="2">
        <f t="shared" ca="1" si="430"/>
        <v>2757589.4001959572</v>
      </c>
      <c r="BI447" s="2">
        <f t="shared" ca="1" si="431"/>
        <v>28549866.920656033</v>
      </c>
      <c r="BJ447" s="2">
        <f t="shared" ca="1" si="432"/>
        <v>0.20674262153306455</v>
      </c>
      <c r="BK447" s="2">
        <f t="shared" ca="1" si="433"/>
        <v>6319896.7823865674</v>
      </c>
    </row>
    <row r="448" spans="1:63" x14ac:dyDescent="0.3">
      <c r="A448" s="2">
        <v>447</v>
      </c>
      <c r="B448" s="2">
        <f t="shared" ca="1" si="372"/>
        <v>0.61229754643079293</v>
      </c>
      <c r="C448" s="2">
        <f t="shared" ca="1" si="373"/>
        <v>7.1194292151459857</v>
      </c>
      <c r="D448" s="2">
        <f t="shared" ca="1" si="374"/>
        <v>0.96720476575710912</v>
      </c>
      <c r="E448" s="2">
        <f t="shared" ca="1" si="375"/>
        <v>8.2438936383340273</v>
      </c>
      <c r="F448" s="2">
        <f t="shared" ca="1" si="376"/>
        <v>0.62796621887115389</v>
      </c>
      <c r="G448" s="2">
        <f t="shared" ca="1" si="377"/>
        <v>4.9794148431713398E-2</v>
      </c>
      <c r="H448" s="2">
        <f t="shared" ca="1" si="378"/>
        <v>4.9794148431713398E-2</v>
      </c>
      <c r="I448" s="2">
        <f t="shared" ca="1" si="379"/>
        <v>0.22647432996307326</v>
      </c>
      <c r="J448" s="2">
        <f t="shared" ca="1" si="380"/>
        <v>6.2474587751185813E-3</v>
      </c>
      <c r="K448" s="2">
        <f t="shared" ca="1" si="381"/>
        <v>6.2474587751185813E-3</v>
      </c>
      <c r="L448" s="2">
        <f t="shared" ca="1" si="382"/>
        <v>0.95115264565363233</v>
      </c>
      <c r="M448" s="2">
        <f t="shared" ca="1" si="383"/>
        <v>3.3122677690329734E-2</v>
      </c>
      <c r="N448" s="2">
        <f t="shared" ca="1" si="384"/>
        <v>3.3122677690329734E-2</v>
      </c>
      <c r="O448" s="2">
        <f t="shared" si="385"/>
        <v>6000000</v>
      </c>
      <c r="P448" s="2">
        <f t="shared" ca="1" si="386"/>
        <v>42716575.290875912</v>
      </c>
      <c r="Q448" s="2">
        <f t="shared" ca="1" si="387"/>
        <v>1067914.3822718977</v>
      </c>
      <c r="R448" s="2">
        <f t="shared" ca="1" si="388"/>
        <v>25629945.174525548</v>
      </c>
      <c r="S448" s="2">
        <f t="shared" ca="1" si="389"/>
        <v>17086630.116350364</v>
      </c>
      <c r="T448" s="2">
        <f t="shared" ca="1" si="390"/>
        <v>51656133.884516485</v>
      </c>
      <c r="U448" s="2">
        <f t="shared" ca="1" si="391"/>
        <v>54228307.08257056</v>
      </c>
      <c r="V448" s="2">
        <f t="shared" ca="1" si="392"/>
        <v>56928559.454640619</v>
      </c>
      <c r="W448" s="2">
        <f t="shared" ca="1" si="393"/>
        <v>59763268.594128624</v>
      </c>
      <c r="X448" s="2">
        <f t="shared" ca="1" si="394"/>
        <v>62739129.661269024</v>
      </c>
      <c r="Y448" s="2">
        <f t="shared" ca="1" si="395"/>
        <v>0.12312372938755929</v>
      </c>
      <c r="Z448" s="2">
        <f t="shared" ca="1" si="396"/>
        <v>0.12437322114258301</v>
      </c>
      <c r="AA448" s="2">
        <f t="shared" ca="1" si="397"/>
        <v>6360095.8496047398</v>
      </c>
      <c r="AB448" s="2">
        <f t="shared" ca="1" si="398"/>
        <v>6744549.2289684489</v>
      </c>
      <c r="AC448" s="2">
        <f t="shared" ca="1" si="399"/>
        <v>7080388.3143807026</v>
      </c>
      <c r="AD448" s="2">
        <f t="shared" ca="1" si="400"/>
        <v>7432950.221061145</v>
      </c>
      <c r="AE448" s="2">
        <f t="shared" ca="1" si="401"/>
        <v>7803067.6476542009</v>
      </c>
      <c r="AF448" s="2">
        <f t="shared" ca="1" si="402"/>
        <v>1033122.6776903297</v>
      </c>
      <c r="AG448" s="2">
        <f t="shared" ca="1" si="403"/>
        <v>1084566.1416514113</v>
      </c>
      <c r="AH448" s="2">
        <f t="shared" ca="1" si="404"/>
        <v>1138571.1890928124</v>
      </c>
      <c r="AI448" s="2">
        <f t="shared" ca="1" si="405"/>
        <v>1195265.3718825725</v>
      </c>
      <c r="AJ448" s="2">
        <f t="shared" ca="1" si="406"/>
        <v>1254782.5932253804</v>
      </c>
      <c r="AK448" s="2">
        <f t="shared" ca="1" si="407"/>
        <v>0</v>
      </c>
      <c r="AL448" s="2">
        <f t="shared" ca="1" si="408"/>
        <v>25721.731980540753</v>
      </c>
      <c r="AM448" s="2">
        <f t="shared" ca="1" si="409"/>
        <v>27002.523720700592</v>
      </c>
      <c r="AN448" s="2">
        <f t="shared" ca="1" si="410"/>
        <v>28347.091394880041</v>
      </c>
      <c r="AO448" s="2">
        <f t="shared" ca="1" si="411"/>
        <v>29758.610671404003</v>
      </c>
      <c r="AP448" s="2">
        <f t="shared" ca="1" si="412"/>
        <v>2306695.0657072994</v>
      </c>
      <c r="AQ448" s="2">
        <f t="shared" ca="1" si="413"/>
        <v>785272.30761384871</v>
      </c>
      <c r="AR448" s="2">
        <f t="shared" ca="1" si="414"/>
        <v>871854.88561853196</v>
      </c>
      <c r="AS448" s="2">
        <f t="shared" ca="1" si="415"/>
        <v>945131.73549095367</v>
      </c>
      <c r="AT448" s="2">
        <f t="shared" ca="1" si="416"/>
        <v>1022057.343702531</v>
      </c>
      <c r="AU448" s="2">
        <f t="shared" ca="1" si="417"/>
        <v>1102813.3970675957</v>
      </c>
      <c r="AV448" s="2">
        <f t="shared" ca="1" si="418"/>
        <v>2235005.7985932617</v>
      </c>
      <c r="AW448" s="2">
        <f t="shared" ca="1" si="419"/>
        <v>2455711.4040106651</v>
      </c>
      <c r="AX448" s="2">
        <f t="shared" ca="1" si="420"/>
        <v>2662987.8003689372</v>
      </c>
      <c r="AY448" s="2">
        <f t="shared" ca="1" si="421"/>
        <v>2880585.3483738624</v>
      </c>
      <c r="AZ448" s="2">
        <f t="shared" ca="1" si="422"/>
        <v>3109017.980982522</v>
      </c>
      <c r="BA448" s="2">
        <f t="shared" ca="1" si="423"/>
        <v>64327659.739986531</v>
      </c>
      <c r="BB448" s="2">
        <f t="shared" ca="1" si="424"/>
        <v>1286553.1947997306</v>
      </c>
      <c r="BC448" s="2">
        <f t="shared" ca="1" si="425"/>
        <v>37411161.370661251</v>
      </c>
      <c r="BD448" s="2">
        <f t="shared" ca="1" si="426"/>
        <v>-18654544.498622261</v>
      </c>
      <c r="BE448" s="2">
        <f t="shared" ca="1" si="427"/>
        <v>2235005.7985932617</v>
      </c>
      <c r="BF448" s="2">
        <f t="shared" ca="1" si="428"/>
        <v>2455711.4040106651</v>
      </c>
      <c r="BG448" s="2">
        <f t="shared" ca="1" si="429"/>
        <v>2662987.8003689372</v>
      </c>
      <c r="BH448" s="2">
        <f t="shared" ca="1" si="430"/>
        <v>2880585.3483738624</v>
      </c>
      <c r="BI448" s="2">
        <f t="shared" ca="1" si="431"/>
        <v>40520179.351643771</v>
      </c>
      <c r="BJ448" s="2">
        <f t="shared" ca="1" si="432"/>
        <v>0.25836229726293958</v>
      </c>
      <c r="BK448" s="2">
        <f t="shared" ca="1" si="433"/>
        <v>12017038.633695677</v>
      </c>
    </row>
    <row r="449" spans="1:63" x14ac:dyDescent="0.3">
      <c r="A449" s="2">
        <v>448</v>
      </c>
      <c r="B449" s="2">
        <f t="shared" ca="1" si="372"/>
        <v>2.9578797499990706E-2</v>
      </c>
      <c r="C449" s="2">
        <f t="shared" ca="1" si="373"/>
        <v>6.2432233438631695</v>
      </c>
      <c r="D449" s="2">
        <f t="shared" ca="1" si="374"/>
        <v>0.88610171117868286</v>
      </c>
      <c r="E449" s="2">
        <f t="shared" ca="1" si="375"/>
        <v>8.0227196027044112</v>
      </c>
      <c r="F449" s="2">
        <f t="shared" ca="1" si="376"/>
        <v>0.82588920662243404</v>
      </c>
      <c r="G449" s="2">
        <f t="shared" ca="1" si="377"/>
        <v>6.8141332371570038E-2</v>
      </c>
      <c r="H449" s="2">
        <f t="shared" ca="1" si="378"/>
        <v>6.8141332371570038E-2</v>
      </c>
      <c r="I449" s="2">
        <f t="shared" ca="1" si="379"/>
        <v>0.18955326560119934</v>
      </c>
      <c r="J449" s="2">
        <f t="shared" ca="1" si="380"/>
        <v>5.602281329884406E-3</v>
      </c>
      <c r="K449" s="2">
        <f t="shared" ca="1" si="381"/>
        <v>5.602281329884406E-3</v>
      </c>
      <c r="L449" s="2">
        <f t="shared" ca="1" si="382"/>
        <v>0.95730340318287688</v>
      </c>
      <c r="M449" s="2">
        <f t="shared" ca="1" si="383"/>
        <v>3.4404319126767995E-2</v>
      </c>
      <c r="N449" s="2">
        <f t="shared" ca="1" si="384"/>
        <v>3.4404319126767995E-2</v>
      </c>
      <c r="O449" s="2">
        <f t="shared" si="385"/>
        <v>6000000</v>
      </c>
      <c r="P449" s="2">
        <f t="shared" ca="1" si="386"/>
        <v>37459340.063179016</v>
      </c>
      <c r="Q449" s="2">
        <f t="shared" ca="1" si="387"/>
        <v>936483.50157947547</v>
      </c>
      <c r="R449" s="2">
        <f t="shared" ca="1" si="388"/>
        <v>22475604.03790741</v>
      </c>
      <c r="S449" s="2">
        <f t="shared" ca="1" si="389"/>
        <v>14983736.025271608</v>
      </c>
      <c r="T449" s="2">
        <f t="shared" ca="1" si="390"/>
        <v>51720215.956338398</v>
      </c>
      <c r="U449" s="2">
        <f t="shared" ca="1" si="391"/>
        <v>55244500.382148631</v>
      </c>
      <c r="V449" s="2">
        <f t="shared" ca="1" si="392"/>
        <v>59008934.244389951</v>
      </c>
      <c r="W449" s="2">
        <f t="shared" ca="1" si="393"/>
        <v>63029881.645629048</v>
      </c>
      <c r="X449" s="2">
        <f t="shared" ca="1" si="394"/>
        <v>67324821.760184586</v>
      </c>
      <c r="Y449" s="2">
        <f t="shared" ca="1" si="395"/>
        <v>0.1228011406649422</v>
      </c>
      <c r="Z449" s="2">
        <f t="shared" ca="1" si="396"/>
        <v>0.12392159693091909</v>
      </c>
      <c r="AA449" s="2">
        <f t="shared" ca="1" si="397"/>
        <v>6351301.5148754995</v>
      </c>
      <c r="AB449" s="2">
        <f t="shared" ca="1" si="398"/>
        <v>6845986.709006628</v>
      </c>
      <c r="AC449" s="2">
        <f t="shared" ca="1" si="399"/>
        <v>7312481.3647563998</v>
      </c>
      <c r="AD449" s="2">
        <f t="shared" ca="1" si="400"/>
        <v>7810763.5878931778</v>
      </c>
      <c r="AE449" s="2">
        <f t="shared" ca="1" si="401"/>
        <v>8342999.4256115649</v>
      </c>
      <c r="AF449" s="2">
        <f t="shared" ca="1" si="402"/>
        <v>1034404.319126768</v>
      </c>
      <c r="AG449" s="2">
        <f t="shared" ca="1" si="403"/>
        <v>1104890.0076429727</v>
      </c>
      <c r="AH449" s="2">
        <f t="shared" ca="1" si="404"/>
        <v>1180178.684887799</v>
      </c>
      <c r="AI449" s="2">
        <f t="shared" ca="1" si="405"/>
        <v>1260597.6329125811</v>
      </c>
      <c r="AJ449" s="2">
        <f t="shared" ca="1" si="406"/>
        <v>1346496.4352036917</v>
      </c>
      <c r="AK449" s="2">
        <f t="shared" ca="1" si="407"/>
        <v>0</v>
      </c>
      <c r="AL449" s="2">
        <f t="shared" ca="1" si="408"/>
        <v>35242.844258102326</v>
      </c>
      <c r="AM449" s="2">
        <f t="shared" ca="1" si="409"/>
        <v>37644.338622413205</v>
      </c>
      <c r="AN449" s="2">
        <f t="shared" ca="1" si="410"/>
        <v>40209.474012390972</v>
      </c>
      <c r="AO449" s="2">
        <f t="shared" ca="1" si="411"/>
        <v>42949.401145555377</v>
      </c>
      <c r="AP449" s="2">
        <f t="shared" ca="1" si="412"/>
        <v>2022804.3634116668</v>
      </c>
      <c r="AQ449" s="2">
        <f t="shared" ca="1" si="413"/>
        <v>856464.1364076368</v>
      </c>
      <c r="AR449" s="2">
        <f t="shared" ca="1" si="414"/>
        <v>966756.00786751695</v>
      </c>
      <c r="AS449" s="2">
        <f t="shared" ca="1" si="415"/>
        <v>1068469.562278803</v>
      </c>
      <c r="AT449" s="2">
        <f t="shared" ca="1" si="416"/>
        <v>1177114.0138079219</v>
      </c>
      <c r="AU449" s="2">
        <f t="shared" ca="1" si="417"/>
        <v>1293161.6430190136</v>
      </c>
      <c r="AV449" s="2">
        <f t="shared" ca="1" si="418"/>
        <v>2437628.6959294276</v>
      </c>
      <c r="AW449" s="2">
        <f t="shared" ca="1" si="419"/>
        <v>2716293.4858263684</v>
      </c>
      <c r="AX449" s="2">
        <f t="shared" ca="1" si="420"/>
        <v>3003384.4155557174</v>
      </c>
      <c r="AY449" s="2">
        <f t="shared" ca="1" si="421"/>
        <v>3310038.1037486177</v>
      </c>
      <c r="AZ449" s="2">
        <f t="shared" ca="1" si="422"/>
        <v>3637587.5828316379</v>
      </c>
      <c r="BA449" s="2">
        <f t="shared" ca="1" si="423"/>
        <v>66933545.037205547</v>
      </c>
      <c r="BB449" s="2">
        <f t="shared" ca="1" si="424"/>
        <v>1338670.900744111</v>
      </c>
      <c r="BC449" s="2">
        <f t="shared" ca="1" si="425"/>
        <v>43119270.09855403</v>
      </c>
      <c r="BD449" s="2">
        <f t="shared" ca="1" si="426"/>
        <v>-16420219.526851082</v>
      </c>
      <c r="BE449" s="2">
        <f t="shared" ca="1" si="427"/>
        <v>2437628.6959294276</v>
      </c>
      <c r="BF449" s="2">
        <f t="shared" ca="1" si="428"/>
        <v>2716293.4858263684</v>
      </c>
      <c r="BG449" s="2">
        <f t="shared" ca="1" si="429"/>
        <v>3003384.4155557174</v>
      </c>
      <c r="BH449" s="2">
        <f t="shared" ca="1" si="430"/>
        <v>3310038.1037486177</v>
      </c>
      <c r="BI449" s="2">
        <f t="shared" ca="1" si="431"/>
        <v>46756857.681385666</v>
      </c>
      <c r="BJ449" s="2">
        <f t="shared" ca="1" si="432"/>
        <v>0.34017787718083592</v>
      </c>
      <c r="BK449" s="2">
        <f t="shared" ca="1" si="433"/>
        <v>18694082.698630527</v>
      </c>
    </row>
    <row r="450" spans="1:63" x14ac:dyDescent="0.3">
      <c r="A450" s="2">
        <v>449</v>
      </c>
      <c r="B450" s="2">
        <f t="shared" ref="B450:B513" ca="1" si="434">RAND()</f>
        <v>0.80611954071050596</v>
      </c>
      <c r="C450" s="2">
        <f t="shared" ref="C450:C513" ca="1" si="435">IF(B450&lt;((P_Mode)-(P_Low))/((P_High)-(P_Low)), (P_Low)+SQRT(B450*((P_High)-(P_Low))*((P_Mode)-(P_Low))), (P_High)-SQRT((1-B450)*((P_High)-(P_Low))*((P_High)-(P_Mode))))</f>
        <v>7.377295480521469</v>
      </c>
      <c r="D450" s="2">
        <f t="shared" ref="D450:D513" ca="1" si="436">RAND()</f>
        <v>0.76255194259341019</v>
      </c>
      <c r="E450" s="2">
        <f t="shared" ref="E450:E513" ca="1" si="437">IF(D450&lt;((X_Mode)-(X_Low))/((X_High)-(X_Low)), (X_Low)+SQRT(D450*((X_High)-(X_Low))*((X_Mode)-(X_Low))), (X_High)-SQRT((1-D450)*((X_High)-(X_Low))*((X_High)-(X_Mode))))</f>
        <v>7.8108729327524715</v>
      </c>
      <c r="F450" s="2">
        <f t="shared" ref="F450:F513" ca="1" si="438">RAND()</f>
        <v>0.61839822272301803</v>
      </c>
      <c r="G450" s="2">
        <f t="shared" ref="G450:G513" ca="1" si="439">NORMINV(F450, g_Mean, g_SD)</f>
        <v>4.903829911753943E-2</v>
      </c>
      <c r="H450" s="2">
        <f t="shared" ref="H450:H513" ca="1" si="440">MIN(MAX(G450, g_Min), g_Max)</f>
        <v>4.903829911753943E-2</v>
      </c>
      <c r="I450" s="2">
        <f t="shared" ref="I450:I513" ca="1" si="441">RAND()</f>
        <v>0.76012190723604922</v>
      </c>
      <c r="J450" s="2">
        <f t="shared" ref="J450:J513" ca="1" si="442">NORMINV(I450, syn_Mean, syn_SD)</f>
        <v>1.3533473808705372E-2</v>
      </c>
      <c r="K450" s="2">
        <f t="shared" ref="K450:K513" ca="1" si="443">MIN(MAX(J450, syn_Min), syn_Max)</f>
        <v>1.3533473808705372E-2</v>
      </c>
      <c r="L450" s="2">
        <f t="shared" ref="L450:L513" ca="1" si="444">RAND()</f>
        <v>0.20319659010400137</v>
      </c>
      <c r="M450" s="2">
        <f t="shared" ref="M450:M513" ca="1" si="445">NORMINV(L450, shk_Mean, shk_SD)</f>
        <v>-1.6605151109145788E-2</v>
      </c>
      <c r="N450" s="2">
        <f t="shared" ref="N450:N513" ca="1" si="446">MIN(MAX(M450, shk_Min), shk_Max)</f>
        <v>-1.6605151109145788E-2</v>
      </c>
      <c r="O450" s="2">
        <f t="shared" ref="O450:O513" si="447">BaseRev*BaseMargin</f>
        <v>6000000</v>
      </c>
      <c r="P450" s="2">
        <f t="shared" ref="P450:P513" ca="1" si="448">O450*C450</f>
        <v>44263772.883128814</v>
      </c>
      <c r="Q450" s="2">
        <f t="shared" ref="Q450:Q513" ca="1" si="449">P450*TxnCostPct</f>
        <v>1106594.3220782203</v>
      </c>
      <c r="R450" s="2">
        <f t="shared" ref="R450:R513" ca="1" si="450">P450*DebtPct</f>
        <v>26558263.729877289</v>
      </c>
      <c r="S450" s="2">
        <f t="shared" ref="S450:S513" ca="1" si="451">P450*EqPct</f>
        <v>17705509.153251525</v>
      </c>
      <c r="T450" s="2">
        <f t="shared" ref="T450:T513" ca="1" si="452">BaseRev*(1+N450)</f>
        <v>49169742.444542706</v>
      </c>
      <c r="U450" s="2">
        <f t="shared" ref="U450:U513" ca="1" si="453">T450*(1+H450)</f>
        <v>51580942.982070573</v>
      </c>
      <c r="V450" s="2">
        <f t="shared" ref="V450:V513" ca="1" si="454">U450*(1+H450)</f>
        <v>54110384.692790098</v>
      </c>
      <c r="W450" s="2">
        <f t="shared" ref="W450:W513" ca="1" si="455">V450*(1+H450)</f>
        <v>56763865.922720276</v>
      </c>
      <c r="X450" s="2">
        <f t="shared" ref="X450:X513" ca="1" si="456">W450*(1+H450)</f>
        <v>59547469.358906545</v>
      </c>
      <c r="Y450" s="2">
        <f t="shared" ref="Y450:Y513" ca="1" si="457">BaseMargin + SynReal_Y1*K450</f>
        <v>0.12676673690435269</v>
      </c>
      <c r="Z450" s="2">
        <f t="shared" ref="Z450:Z513" ca="1" si="458">BaseMargin + SynReal_Y2toY5*K450</f>
        <v>0.12947343166609376</v>
      </c>
      <c r="AA450" s="2">
        <f t="shared" ref="AA450:AA513" ca="1" si="459">T450*Y450</f>
        <v>6233087.8041221285</v>
      </c>
      <c r="AB450" s="2">
        <f t="shared" ref="AB450:AB513" ca="1" si="460">U450*Z450</f>
        <v>6678361.696461793</v>
      </c>
      <c r="AC450" s="2">
        <f t="shared" ref="AC450:AC513" ca="1" si="461">V450*Z450</f>
        <v>7005857.1949480046</v>
      </c>
      <c r="AD450" s="2">
        <f t="shared" ref="AD450:AD513" ca="1" si="462">W450*Z450</f>
        <v>7349412.5156486323</v>
      </c>
      <c r="AE450" s="2">
        <f t="shared" ref="AE450:AE513" ca="1" si="463">X450*Z450</f>
        <v>7709815.2049291991</v>
      </c>
      <c r="AF450" s="2">
        <f t="shared" ref="AF450:AF513" ca="1" si="464">T450*CapexPct</f>
        <v>983394.84889085416</v>
      </c>
      <c r="AG450" s="2">
        <f t="shared" ref="AG450:AG513" ca="1" si="465">U450*CapexPct</f>
        <v>1031618.8596414115</v>
      </c>
      <c r="AH450" s="2">
        <f t="shared" ref="AH450:AH513" ca="1" si="466">V450*CapexPct</f>
        <v>1082207.6938558021</v>
      </c>
      <c r="AI450" s="2">
        <f t="shared" ref="AI450:AI513" ca="1" si="467">W450*CapexPct</f>
        <v>1135277.3184544055</v>
      </c>
      <c r="AJ450" s="2">
        <f t="shared" ref="AJ450:AJ513" ca="1" si="468">X450*CapexPct</f>
        <v>1190949.3871781309</v>
      </c>
      <c r="AK450" s="2">
        <f t="shared" ref="AK450:AK513" ca="1" si="469">MAX(T450-BaseRev*(1+N450),0)*WCPct</f>
        <v>0</v>
      </c>
      <c r="AL450" s="2">
        <f t="shared" ref="AL450:AL513" ca="1" si="470">MAX(U450-T450,0)*WCPct</f>
        <v>24112.005375278666</v>
      </c>
      <c r="AM450" s="2">
        <f t="shared" ref="AM450:AM513" ca="1" si="471">MAX(V450-U450,0)*WCPct</f>
        <v>25294.417107195259</v>
      </c>
      <c r="AN450" s="2">
        <f t="shared" ref="AN450:AN513" ca="1" si="472">MAX(W450-V450,0)*WCPct</f>
        <v>26534.812299301775</v>
      </c>
      <c r="AO450" s="2">
        <f t="shared" ref="AO450:AO513" ca="1" si="473">MAX(X450-W450,0)*WCPct</f>
        <v>27836.03436186269</v>
      </c>
      <c r="AP450" s="2">
        <f t="shared" ref="AP450:AP513" ca="1" si="474">R450*DebtRate</f>
        <v>2390243.735688956</v>
      </c>
      <c r="AQ450" s="2">
        <f t="shared" ref="AQ450:AQ513" ca="1" si="475">MAX(AA450-AF450-AP450,0)*Tax</f>
        <v>743456.79708100285</v>
      </c>
      <c r="AR450" s="2">
        <f t="shared" ref="AR450:AR513" ca="1" si="476">MAX(AB450-AG450-AP450,0)*Tax</f>
        <v>846689.76629417075</v>
      </c>
      <c r="AS450" s="2">
        <f t="shared" ref="AS450:AS513" ca="1" si="477">MAX(AC450-AH450-AP450,0)*Tax</f>
        <v>918685.49900484423</v>
      </c>
      <c r="AT450" s="2">
        <f t="shared" ref="AT450:AT513" ca="1" si="478">MAX(AD450-AI450-AP450,0)*Tax</f>
        <v>994211.77999137051</v>
      </c>
      <c r="AU450" s="2">
        <f t="shared" ref="AU450:AU513" ca="1" si="479">MAX(AE450-AJ450-AP450,0)*Tax</f>
        <v>1073441.7413361494</v>
      </c>
      <c r="AV450" s="2">
        <f t="shared" ref="AV450:AV513" ca="1" si="480">AA450-AF450-AK450-AQ450-AP450</f>
        <v>2115992.4224613155</v>
      </c>
      <c r="AW450" s="2">
        <f t="shared" ref="AW450:AW513" ca="1" si="481">AB450-AG450-AL450-AR450-AP450</f>
        <v>2385697.3294619755</v>
      </c>
      <c r="AX450" s="2">
        <f t="shared" ref="AX450:AX513" ca="1" si="482">AC450-AH450-AM450-AS450-AP450</f>
        <v>2589425.8492912068</v>
      </c>
      <c r="AY450" s="2">
        <f t="shared" ref="AY450:AY513" ca="1" si="483">AD450-AI450-AN450-AT450-AP450</f>
        <v>2803144.8692145986</v>
      </c>
      <c r="AZ450" s="2">
        <f t="shared" ref="AZ450:AZ513" ca="1" si="484">AE450-AJ450-AO450-AU450-AP450</f>
        <v>3027344.3063641009</v>
      </c>
      <c r="BA450" s="2">
        <f t="shared" ref="BA450:BA513" ca="1" si="485">AE450*E450</f>
        <v>60220386.900704928</v>
      </c>
      <c r="BB450" s="2">
        <f t="shared" ref="BB450:BB513" ca="1" si="486">BA450*SellCostPct</f>
        <v>1204407.7380140985</v>
      </c>
      <c r="BC450" s="2">
        <f t="shared" ref="BC450:BC513" ca="1" si="487">BA450-R450-BB450</f>
        <v>32457715.432813544</v>
      </c>
      <c r="BD450" s="2">
        <f t="shared" ref="BD450:BD513" ca="1" si="488">-S450-Q450-IntegrationPct*BaseRev</f>
        <v>-19312103.475329746</v>
      </c>
      <c r="BE450" s="2">
        <f t="shared" ref="BE450:BE513" ca="1" si="489">AV450</f>
        <v>2115992.4224613155</v>
      </c>
      <c r="BF450" s="2">
        <f t="shared" ref="BF450:BF513" ca="1" si="490">AW450</f>
        <v>2385697.3294619755</v>
      </c>
      <c r="BG450" s="2">
        <f t="shared" ref="BG450:BG513" ca="1" si="491">AX450</f>
        <v>2589425.8492912068</v>
      </c>
      <c r="BH450" s="2">
        <f t="shared" ref="BH450:BH513" ca="1" si="492">AY450</f>
        <v>2803144.8692145986</v>
      </c>
      <c r="BI450" s="2">
        <f t="shared" ref="BI450:BI513" ca="1" si="493">AZ450+BC450</f>
        <v>35485059.739177644</v>
      </c>
      <c r="BJ450" s="2">
        <f t="shared" ref="BJ450:BJ513" ca="1" si="494">IF(MIN(BD450:BI450)*MAX(BD450:BI450)&gt;=0, "", IFERROR(IRR(BD450:BI450,0.12), IFERROR(IRR(BD450:BI450,0.5), IFERROR(IRR(BD450:BI450,-0.5),""))))</f>
        <v>0.21766160820707525</v>
      </c>
      <c r="BK450" s="2">
        <f t="shared" ref="BK450:BK513" ca="1" si="495">NPV(12%,BE450:BI450)+BD450</f>
        <v>8238766.0642981306</v>
      </c>
    </row>
    <row r="451" spans="1:63" x14ac:dyDescent="0.3">
      <c r="A451" s="2">
        <v>450</v>
      </c>
      <c r="B451" s="2">
        <f t="shared" ca="1" si="434"/>
        <v>0.86291471202877279</v>
      </c>
      <c r="C451" s="2">
        <f t="shared" ca="1" si="435"/>
        <v>7.4763869979245605</v>
      </c>
      <c r="D451" s="2">
        <f t="shared" ca="1" si="436"/>
        <v>0.20682945347341997</v>
      </c>
      <c r="E451" s="2">
        <f t="shared" ca="1" si="437"/>
        <v>7.1431632039745745</v>
      </c>
      <c r="F451" s="2">
        <f t="shared" ca="1" si="438"/>
        <v>0.78950688798799518</v>
      </c>
      <c r="G451" s="2">
        <f t="shared" ca="1" si="439"/>
        <v>6.4141342804911156E-2</v>
      </c>
      <c r="H451" s="2">
        <f t="shared" ca="1" si="440"/>
        <v>6.4141342804911156E-2</v>
      </c>
      <c r="I451" s="2">
        <f t="shared" ca="1" si="441"/>
        <v>0.40856921355365772</v>
      </c>
      <c r="J451" s="2">
        <f t="shared" ca="1" si="442"/>
        <v>8.8438648183449455E-3</v>
      </c>
      <c r="K451" s="2">
        <f t="shared" ca="1" si="443"/>
        <v>8.8438648183449455E-3</v>
      </c>
      <c r="L451" s="2">
        <f t="shared" ca="1" si="444"/>
        <v>0.4485194411318425</v>
      </c>
      <c r="M451" s="2">
        <f t="shared" ca="1" si="445"/>
        <v>-2.5880572630234983E-3</v>
      </c>
      <c r="N451" s="2">
        <f t="shared" ca="1" si="446"/>
        <v>-2.5880572630234983E-3</v>
      </c>
      <c r="O451" s="2">
        <f t="shared" si="447"/>
        <v>6000000</v>
      </c>
      <c r="P451" s="2">
        <f t="shared" ca="1" si="448"/>
        <v>44858321.98754736</v>
      </c>
      <c r="Q451" s="2">
        <f t="shared" ca="1" si="449"/>
        <v>1121458.0496886841</v>
      </c>
      <c r="R451" s="2">
        <f t="shared" ca="1" si="450"/>
        <v>26914993.192528415</v>
      </c>
      <c r="S451" s="2">
        <f t="shared" ca="1" si="451"/>
        <v>17943328.795018945</v>
      </c>
      <c r="T451" s="2">
        <f t="shared" ca="1" si="452"/>
        <v>49870597.13684883</v>
      </c>
      <c r="U451" s="2">
        <f t="shared" ca="1" si="453"/>
        <v>53069364.203689069</v>
      </c>
      <c r="V451" s="2">
        <f t="shared" ca="1" si="454"/>
        <v>56473304.485516571</v>
      </c>
      <c r="W451" s="2">
        <f t="shared" ca="1" si="455"/>
        <v>60095578.067848213</v>
      </c>
      <c r="X451" s="2">
        <f t="shared" ca="1" si="456"/>
        <v>63950189.141757362</v>
      </c>
      <c r="Y451" s="2">
        <f t="shared" ca="1" si="457"/>
        <v>0.12442193240917247</v>
      </c>
      <c r="Z451" s="2">
        <f t="shared" ca="1" si="458"/>
        <v>0.12619070537284147</v>
      </c>
      <c r="AA451" s="2">
        <f t="shared" ca="1" si="459"/>
        <v>6204996.0661660749</v>
      </c>
      <c r="AB451" s="2">
        <f t="shared" ca="1" si="460"/>
        <v>6696860.5025517466</v>
      </c>
      <c r="AC451" s="2">
        <f t="shared" ca="1" si="461"/>
        <v>7126406.1277625877</v>
      </c>
      <c r="AD451" s="2">
        <f t="shared" ca="1" si="462"/>
        <v>7583503.3861704273</v>
      </c>
      <c r="AE451" s="2">
        <f t="shared" ca="1" si="463"/>
        <v>8069919.4765249891</v>
      </c>
      <c r="AF451" s="2">
        <f t="shared" ca="1" si="464"/>
        <v>997411.94273697666</v>
      </c>
      <c r="AG451" s="2">
        <f t="shared" ca="1" si="465"/>
        <v>1061387.2840737815</v>
      </c>
      <c r="AH451" s="2">
        <f t="shared" ca="1" si="466"/>
        <v>1129466.0897103315</v>
      </c>
      <c r="AI451" s="2">
        <f t="shared" ca="1" si="467"/>
        <v>1201911.5613569643</v>
      </c>
      <c r="AJ451" s="2">
        <f t="shared" ca="1" si="468"/>
        <v>1279003.7828351473</v>
      </c>
      <c r="AK451" s="2">
        <f t="shared" ca="1" si="469"/>
        <v>0</v>
      </c>
      <c r="AL451" s="2">
        <f t="shared" ca="1" si="470"/>
        <v>31987.670668402388</v>
      </c>
      <c r="AM451" s="2">
        <f t="shared" ca="1" si="471"/>
        <v>34039.402818275019</v>
      </c>
      <c r="AN451" s="2">
        <f t="shared" ca="1" si="472"/>
        <v>36222.735823316427</v>
      </c>
      <c r="AO451" s="2">
        <f t="shared" ca="1" si="473"/>
        <v>38546.110739091484</v>
      </c>
      <c r="AP451" s="2">
        <f t="shared" ca="1" si="474"/>
        <v>2422349.3873275574</v>
      </c>
      <c r="AQ451" s="2">
        <f t="shared" ca="1" si="475"/>
        <v>724161.03138640057</v>
      </c>
      <c r="AR451" s="2">
        <f t="shared" ca="1" si="476"/>
        <v>835412.19609910611</v>
      </c>
      <c r="AS451" s="2">
        <f t="shared" ca="1" si="477"/>
        <v>929393.56918842171</v>
      </c>
      <c r="AT451" s="2">
        <f t="shared" ca="1" si="478"/>
        <v>1029403.0337463354</v>
      </c>
      <c r="AU451" s="2">
        <f t="shared" ca="1" si="479"/>
        <v>1135827.2396541939</v>
      </c>
      <c r="AV451" s="2">
        <f t="shared" ca="1" si="480"/>
        <v>2061073.7047151402</v>
      </c>
      <c r="AW451" s="2">
        <f t="shared" ca="1" si="481"/>
        <v>2345723.964382899</v>
      </c>
      <c r="AX451" s="2">
        <f t="shared" ca="1" si="482"/>
        <v>2611157.6787180025</v>
      </c>
      <c r="AY451" s="2">
        <f t="shared" ca="1" si="483"/>
        <v>2893616.6679162532</v>
      </c>
      <c r="AZ451" s="2">
        <f t="shared" ca="1" si="484"/>
        <v>3194192.9559689993</v>
      </c>
      <c r="BA451" s="2">
        <f t="shared" ca="1" si="485"/>
        <v>57644751.863751061</v>
      </c>
      <c r="BB451" s="2">
        <f t="shared" ca="1" si="486"/>
        <v>1152895.0372750212</v>
      </c>
      <c r="BC451" s="2">
        <f t="shared" ca="1" si="487"/>
        <v>29576863.633947626</v>
      </c>
      <c r="BD451" s="2">
        <f t="shared" ca="1" si="488"/>
        <v>-19564786.844707631</v>
      </c>
      <c r="BE451" s="2">
        <f t="shared" ca="1" si="489"/>
        <v>2061073.7047151402</v>
      </c>
      <c r="BF451" s="2">
        <f t="shared" ca="1" si="490"/>
        <v>2345723.964382899</v>
      </c>
      <c r="BG451" s="2">
        <f t="shared" ca="1" si="491"/>
        <v>2611157.6787180025</v>
      </c>
      <c r="BH451" s="2">
        <f t="shared" ca="1" si="492"/>
        <v>2893616.6679162532</v>
      </c>
      <c r="BI451" s="2">
        <f t="shared" ca="1" si="493"/>
        <v>32771056.589916624</v>
      </c>
      <c r="BJ451" s="2">
        <f t="shared" ca="1" si="494"/>
        <v>0.19790863969085737</v>
      </c>
      <c r="BK451" s="2">
        <f t="shared" ca="1" si="495"/>
        <v>6438148.0807978548</v>
      </c>
    </row>
    <row r="452" spans="1:63" x14ac:dyDescent="0.3">
      <c r="A452" s="2">
        <v>451</v>
      </c>
      <c r="B452" s="2">
        <f t="shared" ca="1" si="434"/>
        <v>0.40554118097862679</v>
      </c>
      <c r="C452" s="2">
        <f t="shared" ca="1" si="435"/>
        <v>6.9006011114568171</v>
      </c>
      <c r="D452" s="2">
        <f t="shared" ca="1" si="436"/>
        <v>0.17153847431789226</v>
      </c>
      <c r="E452" s="2">
        <f t="shared" ca="1" si="437"/>
        <v>7.0857277086119321</v>
      </c>
      <c r="F452" s="2">
        <f t="shared" ca="1" si="438"/>
        <v>0.93597331190335797</v>
      </c>
      <c r="G452" s="2">
        <f t="shared" ca="1" si="439"/>
        <v>8.5654697257942378E-2</v>
      </c>
      <c r="H452" s="2">
        <f t="shared" ca="1" si="440"/>
        <v>8.5654697257942378E-2</v>
      </c>
      <c r="I452" s="2">
        <f t="shared" ca="1" si="441"/>
        <v>0.24279273852186956</v>
      </c>
      <c r="J452" s="2">
        <f t="shared" ca="1" si="442"/>
        <v>6.513263527817852E-3</v>
      </c>
      <c r="K452" s="2">
        <f t="shared" ca="1" si="443"/>
        <v>6.513263527817852E-3</v>
      </c>
      <c r="L452" s="2">
        <f t="shared" ca="1" si="444"/>
        <v>0.80737460991048604</v>
      </c>
      <c r="M452" s="2">
        <f t="shared" ca="1" si="445"/>
        <v>1.7365245102325309E-2</v>
      </c>
      <c r="N452" s="2">
        <f t="shared" ca="1" si="446"/>
        <v>1.7365245102325309E-2</v>
      </c>
      <c r="O452" s="2">
        <f t="shared" si="447"/>
        <v>6000000</v>
      </c>
      <c r="P452" s="2">
        <f t="shared" ca="1" si="448"/>
        <v>41403606.668740906</v>
      </c>
      <c r="Q452" s="2">
        <f t="shared" ca="1" si="449"/>
        <v>1035090.1667185227</v>
      </c>
      <c r="R452" s="2">
        <f t="shared" ca="1" si="450"/>
        <v>24842164.001244541</v>
      </c>
      <c r="S452" s="2">
        <f t="shared" ca="1" si="451"/>
        <v>16561442.667496363</v>
      </c>
      <c r="T452" s="2">
        <f t="shared" ca="1" si="452"/>
        <v>50868262.255116269</v>
      </c>
      <c r="U452" s="2">
        <f t="shared" ca="1" si="453"/>
        <v>55225367.858615868</v>
      </c>
      <c r="V452" s="2">
        <f t="shared" ca="1" si="454"/>
        <v>59955680.023504116</v>
      </c>
      <c r="W452" s="2">
        <f t="shared" ca="1" si="455"/>
        <v>65091165.644811422</v>
      </c>
      <c r="X452" s="2">
        <f t="shared" ca="1" si="456"/>
        <v>70666529.732284322</v>
      </c>
      <c r="Y452" s="2">
        <f t="shared" ca="1" si="457"/>
        <v>0.12325663176390893</v>
      </c>
      <c r="Z452" s="2">
        <f t="shared" ca="1" si="458"/>
        <v>0.12455928446947249</v>
      </c>
      <c r="AA452" s="2">
        <f t="shared" ca="1" si="459"/>
        <v>6269850.6692488138</v>
      </c>
      <c r="AB452" s="2">
        <f t="shared" ca="1" si="460"/>
        <v>6878832.3050325969</v>
      </c>
      <c r="AC452" s="2">
        <f t="shared" ca="1" si="461"/>
        <v>7468036.6036083186</v>
      </c>
      <c r="AD452" s="2">
        <f t="shared" ca="1" si="462"/>
        <v>8107709.0180016207</v>
      </c>
      <c r="AE452" s="2">
        <f t="shared" ca="1" si="463"/>
        <v>8802172.3793940395</v>
      </c>
      <c r="AF452" s="2">
        <f t="shared" ca="1" si="464"/>
        <v>1017365.2451023255</v>
      </c>
      <c r="AG452" s="2">
        <f t="shared" ca="1" si="465"/>
        <v>1104507.3571723173</v>
      </c>
      <c r="AH452" s="2">
        <f t="shared" ca="1" si="466"/>
        <v>1199113.6004700824</v>
      </c>
      <c r="AI452" s="2">
        <f t="shared" ca="1" si="467"/>
        <v>1301823.3128962284</v>
      </c>
      <c r="AJ452" s="2">
        <f t="shared" ca="1" si="468"/>
        <v>1413330.5946456864</v>
      </c>
      <c r="AK452" s="2">
        <f t="shared" ca="1" si="469"/>
        <v>0</v>
      </c>
      <c r="AL452" s="2">
        <f t="shared" ca="1" si="470"/>
        <v>43571.056034995992</v>
      </c>
      <c r="AM452" s="2">
        <f t="shared" ca="1" si="471"/>
        <v>47303.121648882479</v>
      </c>
      <c r="AN452" s="2">
        <f t="shared" ca="1" si="472"/>
        <v>51354.856213073064</v>
      </c>
      <c r="AO452" s="2">
        <f t="shared" ca="1" si="473"/>
        <v>55753.640874729012</v>
      </c>
      <c r="AP452" s="2">
        <f t="shared" ca="1" si="474"/>
        <v>2235794.7601120085</v>
      </c>
      <c r="AQ452" s="2">
        <f t="shared" ca="1" si="475"/>
        <v>784339.57264896482</v>
      </c>
      <c r="AR452" s="2">
        <f t="shared" ca="1" si="476"/>
        <v>920017.84881455067</v>
      </c>
      <c r="AS452" s="2">
        <f t="shared" ca="1" si="477"/>
        <v>1048613.3431868195</v>
      </c>
      <c r="AT452" s="2">
        <f t="shared" ca="1" si="478"/>
        <v>1188223.6456982798</v>
      </c>
      <c r="AU452" s="2">
        <f t="shared" ca="1" si="479"/>
        <v>1339792.2264054497</v>
      </c>
      <c r="AV452" s="2">
        <f t="shared" ca="1" si="480"/>
        <v>2232351.0913855149</v>
      </c>
      <c r="AW452" s="2">
        <f t="shared" ca="1" si="481"/>
        <v>2574941.2828987245</v>
      </c>
      <c r="AX452" s="2">
        <f t="shared" ca="1" si="482"/>
        <v>2937211.7781905266</v>
      </c>
      <c r="AY452" s="2">
        <f t="shared" ca="1" si="483"/>
        <v>3330512.4430820304</v>
      </c>
      <c r="AZ452" s="2">
        <f t="shared" ca="1" si="484"/>
        <v>3757501.1573561667</v>
      </c>
      <c r="BA452" s="2">
        <f t="shared" ca="1" si="485"/>
        <v>62369796.724650964</v>
      </c>
      <c r="BB452" s="2">
        <f t="shared" ca="1" si="486"/>
        <v>1247395.9344930192</v>
      </c>
      <c r="BC452" s="2">
        <f t="shared" ca="1" si="487"/>
        <v>36280236.788913399</v>
      </c>
      <c r="BD452" s="2">
        <f t="shared" ca="1" si="488"/>
        <v>-18096532.834214885</v>
      </c>
      <c r="BE452" s="2">
        <f t="shared" ca="1" si="489"/>
        <v>2232351.0913855149</v>
      </c>
      <c r="BF452" s="2">
        <f t="shared" ca="1" si="490"/>
        <v>2574941.2828987245</v>
      </c>
      <c r="BG452" s="2">
        <f t="shared" ca="1" si="491"/>
        <v>2937211.7781905266</v>
      </c>
      <c r="BH452" s="2">
        <f t="shared" ca="1" si="492"/>
        <v>3330512.4430820304</v>
      </c>
      <c r="BI452" s="2">
        <f t="shared" ca="1" si="493"/>
        <v>40037737.946269564</v>
      </c>
      <c r="BJ452" s="2">
        <f t="shared" ca="1" si="494"/>
        <v>0.27153698450865305</v>
      </c>
      <c r="BK452" s="2">
        <f t="shared" ca="1" si="495"/>
        <v>12875103.157102618</v>
      </c>
    </row>
    <row r="453" spans="1:63" x14ac:dyDescent="0.3">
      <c r="A453" s="2">
        <v>452</v>
      </c>
      <c r="B453" s="2">
        <f t="shared" ca="1" si="434"/>
        <v>0.79418127919329828</v>
      </c>
      <c r="C453" s="2">
        <f t="shared" ca="1" si="435"/>
        <v>7.3584102232630233</v>
      </c>
      <c r="D453" s="2">
        <f t="shared" ca="1" si="436"/>
        <v>0.51770702087425013</v>
      </c>
      <c r="E453" s="2">
        <f t="shared" ca="1" si="437"/>
        <v>7.5178666290918024</v>
      </c>
      <c r="F453" s="2">
        <f t="shared" ca="1" si="438"/>
        <v>0.33336875731022286</v>
      </c>
      <c r="G453" s="2">
        <f t="shared" ca="1" si="439"/>
        <v>2.7081103731998797E-2</v>
      </c>
      <c r="H453" s="2">
        <f t="shared" ca="1" si="440"/>
        <v>2.7081103731998797E-2</v>
      </c>
      <c r="I453" s="2">
        <f t="shared" ca="1" si="441"/>
        <v>0.46131458324733998</v>
      </c>
      <c r="J453" s="2">
        <f t="shared" ca="1" si="442"/>
        <v>9.5143878373675547E-3</v>
      </c>
      <c r="K453" s="2">
        <f t="shared" ca="1" si="443"/>
        <v>9.5143878373675547E-3</v>
      </c>
      <c r="L453" s="2">
        <f t="shared" ca="1" si="444"/>
        <v>0.52569665705702984</v>
      </c>
      <c r="M453" s="2">
        <f t="shared" ca="1" si="445"/>
        <v>1.2891314350744624E-3</v>
      </c>
      <c r="N453" s="2">
        <f t="shared" ca="1" si="446"/>
        <v>1.2891314350744624E-3</v>
      </c>
      <c r="O453" s="2">
        <f t="shared" si="447"/>
        <v>6000000</v>
      </c>
      <c r="P453" s="2">
        <f t="shared" ca="1" si="448"/>
        <v>44150461.339578137</v>
      </c>
      <c r="Q453" s="2">
        <f t="shared" ca="1" si="449"/>
        <v>1103761.5334894534</v>
      </c>
      <c r="R453" s="2">
        <f t="shared" ca="1" si="450"/>
        <v>26490276.803746883</v>
      </c>
      <c r="S453" s="2">
        <f t="shared" ca="1" si="451"/>
        <v>17660184.535831254</v>
      </c>
      <c r="T453" s="2">
        <f t="shared" ca="1" si="452"/>
        <v>50064456.571753725</v>
      </c>
      <c r="U453" s="2">
        <f t="shared" ca="1" si="453"/>
        <v>51420257.313459545</v>
      </c>
      <c r="V453" s="2">
        <f t="shared" ca="1" si="454"/>
        <v>52812774.635691419</v>
      </c>
      <c r="W453" s="2">
        <f t="shared" ca="1" si="455"/>
        <v>54243002.863975257</v>
      </c>
      <c r="X453" s="2">
        <f t="shared" ca="1" si="456"/>
        <v>55711963.251269683</v>
      </c>
      <c r="Y453" s="2">
        <f t="shared" ca="1" si="457"/>
        <v>0.12475719391868377</v>
      </c>
      <c r="Z453" s="2">
        <f t="shared" ca="1" si="458"/>
        <v>0.12666007148615729</v>
      </c>
      <c r="AA453" s="2">
        <f t="shared" ca="1" si="459"/>
        <v>6245901.1169558018</v>
      </c>
      <c r="AB453" s="2">
        <f t="shared" ca="1" si="460"/>
        <v>6512893.4671593886</v>
      </c>
      <c r="AC453" s="2">
        <f t="shared" ca="1" si="461"/>
        <v>6689269.8107389901</v>
      </c>
      <c r="AD453" s="2">
        <f t="shared" ca="1" si="462"/>
        <v>6870422.6203749413</v>
      </c>
      <c r="AE453" s="2">
        <f t="shared" ca="1" si="463"/>
        <v>7056481.248039986</v>
      </c>
      <c r="AF453" s="2">
        <f t="shared" ca="1" si="464"/>
        <v>1001289.1314350745</v>
      </c>
      <c r="AG453" s="2">
        <f t="shared" ca="1" si="465"/>
        <v>1028405.1462691909</v>
      </c>
      <c r="AH453" s="2">
        <f t="shared" ca="1" si="466"/>
        <v>1056255.4927138283</v>
      </c>
      <c r="AI453" s="2">
        <f t="shared" ca="1" si="467"/>
        <v>1084860.0572795051</v>
      </c>
      <c r="AJ453" s="2">
        <f t="shared" ca="1" si="468"/>
        <v>1114239.2650253936</v>
      </c>
      <c r="AK453" s="2">
        <f t="shared" ca="1" si="469"/>
        <v>0</v>
      </c>
      <c r="AL453" s="2">
        <f t="shared" ca="1" si="470"/>
        <v>13558.007417058199</v>
      </c>
      <c r="AM453" s="2">
        <f t="shared" ca="1" si="471"/>
        <v>13925.173222318739</v>
      </c>
      <c r="AN453" s="2">
        <f t="shared" ca="1" si="472"/>
        <v>14302.282282838374</v>
      </c>
      <c r="AO453" s="2">
        <f t="shared" ca="1" si="473"/>
        <v>14689.603872944266</v>
      </c>
      <c r="AP453" s="2">
        <f t="shared" ca="1" si="474"/>
        <v>2384124.9123372193</v>
      </c>
      <c r="AQ453" s="2">
        <f t="shared" ca="1" si="475"/>
        <v>743726.63902771205</v>
      </c>
      <c r="AR453" s="2">
        <f t="shared" ca="1" si="476"/>
        <v>806094.48622377438</v>
      </c>
      <c r="AS453" s="2">
        <f t="shared" ca="1" si="477"/>
        <v>844711.24547886499</v>
      </c>
      <c r="AT453" s="2">
        <f t="shared" ca="1" si="478"/>
        <v>884373.78919713642</v>
      </c>
      <c r="AU453" s="2">
        <f t="shared" ca="1" si="479"/>
        <v>925110.43837611715</v>
      </c>
      <c r="AV453" s="2">
        <f t="shared" ca="1" si="480"/>
        <v>2116760.4341557957</v>
      </c>
      <c r="AW453" s="2">
        <f t="shared" ca="1" si="481"/>
        <v>2280710.9149121456</v>
      </c>
      <c r="AX453" s="2">
        <f t="shared" ca="1" si="482"/>
        <v>2390252.9869867591</v>
      </c>
      <c r="AY453" s="2">
        <f t="shared" ca="1" si="483"/>
        <v>2502761.5792782418</v>
      </c>
      <c r="AZ453" s="2">
        <f t="shared" ca="1" si="484"/>
        <v>2618317.0284283115</v>
      </c>
      <c r="BA453" s="2">
        <f t="shared" ca="1" si="485"/>
        <v>53049684.893451884</v>
      </c>
      <c r="BB453" s="2">
        <f t="shared" ca="1" si="486"/>
        <v>1060993.6978690377</v>
      </c>
      <c r="BC453" s="2">
        <f t="shared" ca="1" si="487"/>
        <v>25498414.391835965</v>
      </c>
      <c r="BD453" s="2">
        <f t="shared" ca="1" si="488"/>
        <v>-19263946.069320709</v>
      </c>
      <c r="BE453" s="2">
        <f t="shared" ca="1" si="489"/>
        <v>2116760.4341557957</v>
      </c>
      <c r="BF453" s="2">
        <f t="shared" ca="1" si="490"/>
        <v>2280710.9149121456</v>
      </c>
      <c r="BG453" s="2">
        <f t="shared" ca="1" si="491"/>
        <v>2390252.9869867591</v>
      </c>
      <c r="BH453" s="2">
        <f t="shared" ca="1" si="492"/>
        <v>2502761.5792782418</v>
      </c>
      <c r="BI453" s="2">
        <f t="shared" ca="1" si="493"/>
        <v>28116731.420264278</v>
      </c>
      <c r="BJ453" s="2">
        <f t="shared" ca="1" si="494"/>
        <v>0.16799314509118735</v>
      </c>
      <c r="BK453" s="2">
        <f t="shared" ca="1" si="495"/>
        <v>3690260.9777318574</v>
      </c>
    </row>
    <row r="454" spans="1:63" x14ac:dyDescent="0.3">
      <c r="A454" s="2">
        <v>453</v>
      </c>
      <c r="B454" s="2">
        <f t="shared" ca="1" si="434"/>
        <v>0.79976711312685977</v>
      </c>
      <c r="C454" s="2">
        <f t="shared" ca="1" si="435"/>
        <v>7.3671763486197115</v>
      </c>
      <c r="D454" s="2">
        <f t="shared" ca="1" si="436"/>
        <v>0.75133920040584112</v>
      </c>
      <c r="E454" s="2">
        <f t="shared" ca="1" si="437"/>
        <v>7.7947896773385139</v>
      </c>
      <c r="F454" s="2">
        <f t="shared" ca="1" si="438"/>
        <v>0.91366870599295558</v>
      </c>
      <c r="G454" s="2">
        <f t="shared" ca="1" si="439"/>
        <v>8.0910944360907178E-2</v>
      </c>
      <c r="H454" s="2">
        <f t="shared" ca="1" si="440"/>
        <v>8.0910944360907178E-2</v>
      </c>
      <c r="I454" s="2">
        <f t="shared" ca="1" si="441"/>
        <v>0.6899534519072007</v>
      </c>
      <c r="J454" s="2">
        <f t="shared" ca="1" si="442"/>
        <v>1.2478592051008439E-2</v>
      </c>
      <c r="K454" s="2">
        <f t="shared" ca="1" si="443"/>
        <v>1.2478592051008439E-2</v>
      </c>
      <c r="L454" s="2">
        <f t="shared" ca="1" si="444"/>
        <v>0.31963624156566417</v>
      </c>
      <c r="M454" s="2">
        <f t="shared" ca="1" si="445"/>
        <v>-9.3743246350368268E-3</v>
      </c>
      <c r="N454" s="2">
        <f t="shared" ca="1" si="446"/>
        <v>-9.3743246350368268E-3</v>
      </c>
      <c r="O454" s="2">
        <f t="shared" si="447"/>
        <v>6000000</v>
      </c>
      <c r="P454" s="2">
        <f t="shared" ca="1" si="448"/>
        <v>44203058.091718271</v>
      </c>
      <c r="Q454" s="2">
        <f t="shared" ca="1" si="449"/>
        <v>1105076.4522929569</v>
      </c>
      <c r="R454" s="2">
        <f t="shared" ca="1" si="450"/>
        <v>26521834.855030961</v>
      </c>
      <c r="S454" s="2">
        <f t="shared" ca="1" si="451"/>
        <v>17681223.23668731</v>
      </c>
      <c r="T454" s="2">
        <f t="shared" ca="1" si="452"/>
        <v>49531283.768248156</v>
      </c>
      <c r="U454" s="2">
        <f t="shared" ca="1" si="453"/>
        <v>53538906.713345185</v>
      </c>
      <c r="V454" s="2">
        <f t="shared" ca="1" si="454"/>
        <v>57870790.215572454</v>
      </c>
      <c r="W454" s="2">
        <f t="shared" ca="1" si="455"/>
        <v>62553170.502826363</v>
      </c>
      <c r="X454" s="2">
        <f t="shared" ca="1" si="456"/>
        <v>67614406.600978881</v>
      </c>
      <c r="Y454" s="2">
        <f t="shared" ca="1" si="457"/>
        <v>0.12623929602550421</v>
      </c>
      <c r="Z454" s="2">
        <f t="shared" ca="1" si="458"/>
        <v>0.1287350144357059</v>
      </c>
      <c r="AA454" s="2">
        <f t="shared" ca="1" si="459"/>
        <v>6252794.3941431306</v>
      </c>
      <c r="AB454" s="2">
        <f t="shared" ca="1" si="460"/>
        <v>6892331.9286144041</v>
      </c>
      <c r="AC454" s="2">
        <f t="shared" ca="1" si="461"/>
        <v>7449997.0138074271</v>
      </c>
      <c r="AD454" s="2">
        <f t="shared" ca="1" si="462"/>
        <v>8052783.307680524</v>
      </c>
      <c r="AE454" s="2">
        <f t="shared" ca="1" si="463"/>
        <v>8704341.6098387036</v>
      </c>
      <c r="AF454" s="2">
        <f t="shared" ca="1" si="464"/>
        <v>990625.67536496313</v>
      </c>
      <c r="AG454" s="2">
        <f t="shared" ca="1" si="465"/>
        <v>1070778.1342669036</v>
      </c>
      <c r="AH454" s="2">
        <f t="shared" ca="1" si="466"/>
        <v>1157415.8043114492</v>
      </c>
      <c r="AI454" s="2">
        <f t="shared" ca="1" si="467"/>
        <v>1251063.4100565272</v>
      </c>
      <c r="AJ454" s="2">
        <f t="shared" ca="1" si="468"/>
        <v>1352288.1320195775</v>
      </c>
      <c r="AK454" s="2">
        <f t="shared" ca="1" si="469"/>
        <v>0</v>
      </c>
      <c r="AL454" s="2">
        <f t="shared" ca="1" si="470"/>
        <v>40076.229450970292</v>
      </c>
      <c r="AM454" s="2">
        <f t="shared" ca="1" si="471"/>
        <v>43318.835022272695</v>
      </c>
      <c r="AN454" s="2">
        <f t="shared" ca="1" si="472"/>
        <v>46823.80287253909</v>
      </c>
      <c r="AO454" s="2">
        <f t="shared" ca="1" si="473"/>
        <v>50612.360981525184</v>
      </c>
      <c r="AP454" s="2">
        <f t="shared" ca="1" si="474"/>
        <v>2386965.1369527862</v>
      </c>
      <c r="AQ454" s="2">
        <f t="shared" ca="1" si="475"/>
        <v>747552.93127459928</v>
      </c>
      <c r="AR454" s="2">
        <f t="shared" ca="1" si="476"/>
        <v>892993.0509226257</v>
      </c>
      <c r="AS454" s="2">
        <f t="shared" ca="1" si="477"/>
        <v>1015460.17886123</v>
      </c>
      <c r="AT454" s="2">
        <f t="shared" ca="1" si="478"/>
        <v>1147836.2377745151</v>
      </c>
      <c r="AU454" s="2">
        <f t="shared" ca="1" si="479"/>
        <v>1290922.9686252486</v>
      </c>
      <c r="AV454" s="2">
        <f t="shared" ca="1" si="480"/>
        <v>2127650.6505507822</v>
      </c>
      <c r="AW454" s="2">
        <f t="shared" ca="1" si="481"/>
        <v>2501519.3770211185</v>
      </c>
      <c r="AX454" s="2">
        <f t="shared" ca="1" si="482"/>
        <v>2846837.05865969</v>
      </c>
      <c r="AY454" s="2">
        <f t="shared" ca="1" si="483"/>
        <v>3220094.7200241568</v>
      </c>
      <c r="AZ454" s="2">
        <f t="shared" ca="1" si="484"/>
        <v>3623553.0112595665</v>
      </c>
      <c r="BA454" s="2">
        <f t="shared" ca="1" si="485"/>
        <v>67848512.128398836</v>
      </c>
      <c r="BB454" s="2">
        <f t="shared" ca="1" si="486"/>
        <v>1356970.2425679767</v>
      </c>
      <c r="BC454" s="2">
        <f t="shared" ca="1" si="487"/>
        <v>39969707.030799896</v>
      </c>
      <c r="BD454" s="2">
        <f t="shared" ca="1" si="488"/>
        <v>-19286299.688980266</v>
      </c>
      <c r="BE454" s="2">
        <f t="shared" ca="1" si="489"/>
        <v>2127650.6505507822</v>
      </c>
      <c r="BF454" s="2">
        <f t="shared" ca="1" si="490"/>
        <v>2501519.3770211185</v>
      </c>
      <c r="BG454" s="2">
        <f t="shared" ca="1" si="491"/>
        <v>2846837.05865969</v>
      </c>
      <c r="BH454" s="2">
        <f t="shared" ca="1" si="492"/>
        <v>3220094.7200241568</v>
      </c>
      <c r="BI454" s="2">
        <f t="shared" ca="1" si="493"/>
        <v>43593260.042059459</v>
      </c>
      <c r="BJ454" s="2">
        <f t="shared" ca="1" si="494"/>
        <v>0.266251882205081</v>
      </c>
      <c r="BK454" s="2">
        <f t="shared" ca="1" si="495"/>
        <v>13416321.595842663</v>
      </c>
    </row>
    <row r="455" spans="1:63" x14ac:dyDescent="0.3">
      <c r="A455" s="2">
        <v>454</v>
      </c>
      <c r="B455" s="2">
        <f t="shared" ca="1" si="434"/>
        <v>0.97724841070814417</v>
      </c>
      <c r="C455" s="2">
        <f t="shared" ca="1" si="435"/>
        <v>7.7866852593379638</v>
      </c>
      <c r="D455" s="2">
        <f t="shared" ca="1" si="436"/>
        <v>0.6469215042822416</v>
      </c>
      <c r="E455" s="2">
        <f t="shared" ca="1" si="437"/>
        <v>7.6596685228818826</v>
      </c>
      <c r="F455" s="2">
        <f t="shared" ca="1" si="438"/>
        <v>0.53966272980682695</v>
      </c>
      <c r="G455" s="2">
        <f t="shared" ca="1" si="439"/>
        <v>4.2987522132628665E-2</v>
      </c>
      <c r="H455" s="2">
        <f t="shared" ca="1" si="440"/>
        <v>4.2987522132628665E-2</v>
      </c>
      <c r="I455" s="2">
        <f t="shared" ca="1" si="441"/>
        <v>0.29150026140199037</v>
      </c>
      <c r="J455" s="2">
        <f t="shared" ca="1" si="442"/>
        <v>7.254964102541334E-3</v>
      </c>
      <c r="K455" s="2">
        <f t="shared" ca="1" si="443"/>
        <v>7.254964102541334E-3</v>
      </c>
      <c r="L455" s="2">
        <f t="shared" ca="1" si="444"/>
        <v>0.75318318171617249</v>
      </c>
      <c r="M455" s="2">
        <f t="shared" ca="1" si="445"/>
        <v>1.3690819116972426E-2</v>
      </c>
      <c r="N455" s="2">
        <f t="shared" ca="1" si="446"/>
        <v>1.3690819116972426E-2</v>
      </c>
      <c r="O455" s="2">
        <f t="shared" si="447"/>
        <v>6000000</v>
      </c>
      <c r="P455" s="2">
        <f t="shared" ca="1" si="448"/>
        <v>46720111.556027785</v>
      </c>
      <c r="Q455" s="2">
        <f t="shared" ca="1" si="449"/>
        <v>1168002.7889006946</v>
      </c>
      <c r="R455" s="2">
        <f t="shared" ca="1" si="450"/>
        <v>28032066.933616672</v>
      </c>
      <c r="S455" s="2">
        <f t="shared" ca="1" si="451"/>
        <v>18688044.622411113</v>
      </c>
      <c r="T455" s="2">
        <f t="shared" ca="1" si="452"/>
        <v>50684540.955848619</v>
      </c>
      <c r="U455" s="2">
        <f t="shared" ca="1" si="453"/>
        <v>52863343.781970285</v>
      </c>
      <c r="V455" s="2">
        <f t="shared" ca="1" si="454"/>
        <v>55135807.942802489</v>
      </c>
      <c r="W455" s="2">
        <f t="shared" ca="1" si="455"/>
        <v>57505959.707044072</v>
      </c>
      <c r="X455" s="2">
        <f t="shared" ca="1" si="456"/>
        <v>59977998.422708675</v>
      </c>
      <c r="Y455" s="2">
        <f t="shared" ca="1" si="457"/>
        <v>0.12362748205127067</v>
      </c>
      <c r="Z455" s="2">
        <f t="shared" ca="1" si="458"/>
        <v>0.12507847487177892</v>
      </c>
      <c r="AA455" s="2">
        <f t="shared" ca="1" si="459"/>
        <v>6266002.1772960685</v>
      </c>
      <c r="AB455" s="2">
        <f t="shared" ca="1" si="460"/>
        <v>6612066.416871381</v>
      </c>
      <c r="AC455" s="2">
        <f t="shared" ca="1" si="461"/>
        <v>6896302.7683090502</v>
      </c>
      <c r="AD455" s="2">
        <f t="shared" ca="1" si="462"/>
        <v>7192757.7361950427</v>
      </c>
      <c r="AE455" s="2">
        <f t="shared" ca="1" si="463"/>
        <v>7501956.5685743624</v>
      </c>
      <c r="AF455" s="2">
        <f t="shared" ca="1" si="464"/>
        <v>1013690.8191169724</v>
      </c>
      <c r="AG455" s="2">
        <f t="shared" ca="1" si="465"/>
        <v>1057266.8756394058</v>
      </c>
      <c r="AH455" s="2">
        <f t="shared" ca="1" si="466"/>
        <v>1102716.1588560499</v>
      </c>
      <c r="AI455" s="2">
        <f t="shared" ca="1" si="467"/>
        <v>1150119.1941408815</v>
      </c>
      <c r="AJ455" s="2">
        <f t="shared" ca="1" si="468"/>
        <v>1199559.9684541735</v>
      </c>
      <c r="AK455" s="2">
        <f t="shared" ca="1" si="469"/>
        <v>0</v>
      </c>
      <c r="AL455" s="2">
        <f t="shared" ca="1" si="470"/>
        <v>21788.028261216656</v>
      </c>
      <c r="AM455" s="2">
        <f t="shared" ca="1" si="471"/>
        <v>22724.641608322039</v>
      </c>
      <c r="AN455" s="2">
        <f t="shared" ca="1" si="472"/>
        <v>23701.517642415838</v>
      </c>
      <c r="AO455" s="2">
        <f t="shared" ca="1" si="473"/>
        <v>24720.387156646029</v>
      </c>
      <c r="AP455" s="2">
        <f t="shared" ca="1" si="474"/>
        <v>2522886.0240255003</v>
      </c>
      <c r="AQ455" s="2">
        <f t="shared" ca="1" si="475"/>
        <v>709650.586879935</v>
      </c>
      <c r="AR455" s="2">
        <f t="shared" ca="1" si="476"/>
        <v>788297.51447368343</v>
      </c>
      <c r="AS455" s="2">
        <f t="shared" ca="1" si="477"/>
        <v>850382.15221115004</v>
      </c>
      <c r="AT455" s="2">
        <f t="shared" ca="1" si="478"/>
        <v>915135.6546874519</v>
      </c>
      <c r="AU455" s="2">
        <f t="shared" ca="1" si="479"/>
        <v>982672.74978461897</v>
      </c>
      <c r="AV455" s="2">
        <f t="shared" ca="1" si="480"/>
        <v>2019774.7472736607</v>
      </c>
      <c r="AW455" s="2">
        <f t="shared" ca="1" si="481"/>
        <v>2221827.9744715751</v>
      </c>
      <c r="AX455" s="2">
        <f t="shared" ca="1" si="482"/>
        <v>2397593.7916080276</v>
      </c>
      <c r="AY455" s="2">
        <f t="shared" ca="1" si="483"/>
        <v>2580915.345698793</v>
      </c>
      <c r="AZ455" s="2">
        <f t="shared" ca="1" si="484"/>
        <v>2772117.439153424</v>
      </c>
      <c r="BA455" s="2">
        <f t="shared" ca="1" si="485"/>
        <v>57462500.588336021</v>
      </c>
      <c r="BB455" s="2">
        <f t="shared" ca="1" si="486"/>
        <v>1149250.0117667203</v>
      </c>
      <c r="BC455" s="2">
        <f t="shared" ca="1" si="487"/>
        <v>28281183.642952628</v>
      </c>
      <c r="BD455" s="2">
        <f t="shared" ca="1" si="488"/>
        <v>-20356047.411311809</v>
      </c>
      <c r="BE455" s="2">
        <f t="shared" ca="1" si="489"/>
        <v>2019774.7472736607</v>
      </c>
      <c r="BF455" s="2">
        <f t="shared" ca="1" si="490"/>
        <v>2221827.9744715751</v>
      </c>
      <c r="BG455" s="2">
        <f t="shared" ca="1" si="491"/>
        <v>2397593.7916080276</v>
      </c>
      <c r="BH455" s="2">
        <f t="shared" ca="1" si="492"/>
        <v>2580915.345698793</v>
      </c>
      <c r="BI455" s="2">
        <f t="shared" ca="1" si="493"/>
        <v>31053301.082106054</v>
      </c>
      <c r="BJ455" s="2">
        <f t="shared" ca="1" si="494"/>
        <v>0.17042840377877355</v>
      </c>
      <c r="BK455" s="2">
        <f t="shared" ca="1" si="495"/>
        <v>4185805.8138473891</v>
      </c>
    </row>
    <row r="456" spans="1:63" x14ac:dyDescent="0.3">
      <c r="A456" s="2">
        <v>455</v>
      </c>
      <c r="B456" s="2">
        <f t="shared" ca="1" si="434"/>
        <v>0.35108346197510087</v>
      </c>
      <c r="C456" s="2">
        <f t="shared" ca="1" si="435"/>
        <v>6.837954010641516</v>
      </c>
      <c r="D456" s="2">
        <f t="shared" ca="1" si="436"/>
        <v>0.62334440346489306</v>
      </c>
      <c r="E456" s="2">
        <f t="shared" ca="1" si="437"/>
        <v>7.6320649833828496</v>
      </c>
      <c r="F456" s="2">
        <f t="shared" ca="1" si="438"/>
        <v>0.86541031081761755</v>
      </c>
      <c r="G456" s="2">
        <f t="shared" ca="1" si="439"/>
        <v>7.3148629934052356E-2</v>
      </c>
      <c r="H456" s="2">
        <f t="shared" ca="1" si="440"/>
        <v>7.3148629934052356E-2</v>
      </c>
      <c r="I456" s="2">
        <f t="shared" ca="1" si="441"/>
        <v>0.40194450983356456</v>
      </c>
      <c r="J456" s="2">
        <f t="shared" ca="1" si="442"/>
        <v>8.7584141787078896E-3</v>
      </c>
      <c r="K456" s="2">
        <f t="shared" ca="1" si="443"/>
        <v>8.7584141787078896E-3</v>
      </c>
      <c r="L456" s="2">
        <f t="shared" ca="1" si="444"/>
        <v>0.13066677816284</v>
      </c>
      <c r="M456" s="2">
        <f t="shared" ca="1" si="445"/>
        <v>-2.2464895253504119E-2</v>
      </c>
      <c r="N456" s="2">
        <f t="shared" ca="1" si="446"/>
        <v>-2.2464895253504119E-2</v>
      </c>
      <c r="O456" s="2">
        <f t="shared" si="447"/>
        <v>6000000</v>
      </c>
      <c r="P456" s="2">
        <f t="shared" ca="1" si="448"/>
        <v>41027724.063849099</v>
      </c>
      <c r="Q456" s="2">
        <f t="shared" ca="1" si="449"/>
        <v>1025693.1015962275</v>
      </c>
      <c r="R456" s="2">
        <f t="shared" ca="1" si="450"/>
        <v>24616634.438309457</v>
      </c>
      <c r="S456" s="2">
        <f t="shared" ca="1" si="451"/>
        <v>16411089.62553964</v>
      </c>
      <c r="T456" s="2">
        <f t="shared" ca="1" si="452"/>
        <v>48876755.237324789</v>
      </c>
      <c r="U456" s="2">
        <f t="shared" ca="1" si="453"/>
        <v>52452022.918557107</v>
      </c>
      <c r="V456" s="2">
        <f t="shared" ca="1" si="454"/>
        <v>56288816.532319069</v>
      </c>
      <c r="W456" s="2">
        <f t="shared" ca="1" si="455"/>
        <v>60406266.342267439</v>
      </c>
      <c r="X456" s="2">
        <f t="shared" ca="1" si="456"/>
        <v>64824901.964635752</v>
      </c>
      <c r="Y456" s="2">
        <f t="shared" ca="1" si="457"/>
        <v>0.12437920708935395</v>
      </c>
      <c r="Z456" s="2">
        <f t="shared" ca="1" si="458"/>
        <v>0.12613088992509552</v>
      </c>
      <c r="AA456" s="2">
        <f t="shared" ca="1" si="459"/>
        <v>6079252.0615188852</v>
      </c>
      <c r="AB456" s="2">
        <f t="shared" ca="1" si="460"/>
        <v>6615820.3290891144</v>
      </c>
      <c r="AC456" s="2">
        <f t="shared" ca="1" si="461"/>
        <v>7099758.5220518336</v>
      </c>
      <c r="AD456" s="2">
        <f t="shared" ca="1" si="462"/>
        <v>7619096.1308025373</v>
      </c>
      <c r="AE456" s="2">
        <f t="shared" ca="1" si="463"/>
        <v>8176422.5741065806</v>
      </c>
      <c r="AF456" s="2">
        <f t="shared" ca="1" si="464"/>
        <v>977535.10474649584</v>
      </c>
      <c r="AG456" s="2">
        <f t="shared" ca="1" si="465"/>
        <v>1049040.4583711422</v>
      </c>
      <c r="AH456" s="2">
        <f t="shared" ca="1" si="466"/>
        <v>1125776.3306463815</v>
      </c>
      <c r="AI456" s="2">
        <f t="shared" ca="1" si="467"/>
        <v>1208125.3268453488</v>
      </c>
      <c r="AJ456" s="2">
        <f t="shared" ca="1" si="468"/>
        <v>1296498.039292715</v>
      </c>
      <c r="AK456" s="2">
        <f t="shared" ca="1" si="469"/>
        <v>0</v>
      </c>
      <c r="AL456" s="2">
        <f t="shared" ca="1" si="470"/>
        <v>35752.676812323181</v>
      </c>
      <c r="AM456" s="2">
        <f t="shared" ca="1" si="471"/>
        <v>38367.936137619618</v>
      </c>
      <c r="AN456" s="2">
        <f t="shared" ca="1" si="472"/>
        <v>41174.498099483702</v>
      </c>
      <c r="AO456" s="2">
        <f t="shared" ca="1" si="473"/>
        <v>44186.356223683135</v>
      </c>
      <c r="AP456" s="2">
        <f t="shared" ca="1" si="474"/>
        <v>2215497.0994478511</v>
      </c>
      <c r="AQ456" s="2">
        <f t="shared" ca="1" si="475"/>
        <v>750417.16290437989</v>
      </c>
      <c r="AR456" s="2">
        <f t="shared" ca="1" si="476"/>
        <v>871333.52053023165</v>
      </c>
      <c r="AS456" s="2">
        <f t="shared" ca="1" si="477"/>
        <v>977206.12390897621</v>
      </c>
      <c r="AT456" s="2">
        <f t="shared" ca="1" si="478"/>
        <v>1090823.1631724278</v>
      </c>
      <c r="AU456" s="2">
        <f t="shared" ca="1" si="479"/>
        <v>1212751.1331951639</v>
      </c>
      <c r="AV456" s="2">
        <f t="shared" ca="1" si="480"/>
        <v>2135802.6944201579</v>
      </c>
      <c r="AW456" s="2">
        <f t="shared" ca="1" si="481"/>
        <v>2444196.5739275673</v>
      </c>
      <c r="AX456" s="2">
        <f t="shared" ca="1" si="482"/>
        <v>2742911.0319110053</v>
      </c>
      <c r="AY456" s="2">
        <f t="shared" ca="1" si="483"/>
        <v>3063476.0432374263</v>
      </c>
      <c r="AZ456" s="2">
        <f t="shared" ca="1" si="484"/>
        <v>3407489.9459471684</v>
      </c>
      <c r="BA456" s="2">
        <f t="shared" ca="1" si="485"/>
        <v>62402988.417179897</v>
      </c>
      <c r="BB456" s="2">
        <f t="shared" ca="1" si="486"/>
        <v>1248059.7683435979</v>
      </c>
      <c r="BC456" s="2">
        <f t="shared" ca="1" si="487"/>
        <v>36538294.210526839</v>
      </c>
      <c r="BD456" s="2">
        <f t="shared" ca="1" si="488"/>
        <v>-17936782.727135867</v>
      </c>
      <c r="BE456" s="2">
        <f t="shared" ca="1" si="489"/>
        <v>2135802.6944201579</v>
      </c>
      <c r="BF456" s="2">
        <f t="shared" ca="1" si="490"/>
        <v>2444196.5739275673</v>
      </c>
      <c r="BG456" s="2">
        <f t="shared" ca="1" si="491"/>
        <v>2742911.0319110053</v>
      </c>
      <c r="BH456" s="2">
        <f t="shared" ca="1" si="492"/>
        <v>3063476.0432374263</v>
      </c>
      <c r="BI456" s="2">
        <f t="shared" ca="1" si="493"/>
        <v>39945784.156474009</v>
      </c>
      <c r="BJ456" s="2">
        <f t="shared" ca="1" si="494"/>
        <v>0.26773835968612247</v>
      </c>
      <c r="BK456" s="2">
        <f t="shared" ca="1" si="495"/>
        <v>12484237.51396006</v>
      </c>
    </row>
    <row r="457" spans="1:63" x14ac:dyDescent="0.3">
      <c r="A457" s="2">
        <v>456</v>
      </c>
      <c r="B457" s="2">
        <f t="shared" ca="1" si="434"/>
        <v>0.53567780108992691</v>
      </c>
      <c r="C457" s="2">
        <f t="shared" ca="1" si="435"/>
        <v>7.0363380272003333</v>
      </c>
      <c r="D457" s="2">
        <f t="shared" ca="1" si="436"/>
        <v>0.52567782426813425</v>
      </c>
      <c r="E457" s="2">
        <f t="shared" ca="1" si="437"/>
        <v>7.526016246817365</v>
      </c>
      <c r="F457" s="2">
        <f t="shared" ca="1" si="438"/>
        <v>0.72846149546952477</v>
      </c>
      <c r="G457" s="2">
        <f t="shared" ca="1" si="439"/>
        <v>5.8244996878031398E-2</v>
      </c>
      <c r="H457" s="2">
        <f t="shared" ca="1" si="440"/>
        <v>5.8244996878031398E-2</v>
      </c>
      <c r="I457" s="2">
        <f t="shared" ca="1" si="441"/>
        <v>0.1850030726189974</v>
      </c>
      <c r="J457" s="2">
        <f t="shared" ca="1" si="442"/>
        <v>5.517690734576676E-3</v>
      </c>
      <c r="K457" s="2">
        <f t="shared" ca="1" si="443"/>
        <v>5.517690734576676E-3</v>
      </c>
      <c r="L457" s="2">
        <f t="shared" ca="1" si="444"/>
        <v>0.3981018274210224</v>
      </c>
      <c r="M457" s="2">
        <f t="shared" ca="1" si="445"/>
        <v>-5.1652673785176073E-3</v>
      </c>
      <c r="N457" s="2">
        <f t="shared" ca="1" si="446"/>
        <v>-5.1652673785176073E-3</v>
      </c>
      <c r="O457" s="2">
        <f t="shared" si="447"/>
        <v>6000000</v>
      </c>
      <c r="P457" s="2">
        <f t="shared" ca="1" si="448"/>
        <v>42218028.163202003</v>
      </c>
      <c r="Q457" s="2">
        <f t="shared" ca="1" si="449"/>
        <v>1055450.7040800501</v>
      </c>
      <c r="R457" s="2">
        <f t="shared" ca="1" si="450"/>
        <v>25330816.897921201</v>
      </c>
      <c r="S457" s="2">
        <f t="shared" ca="1" si="451"/>
        <v>16887211.265280802</v>
      </c>
      <c r="T457" s="2">
        <f t="shared" ca="1" si="452"/>
        <v>49741736.631074116</v>
      </c>
      <c r="U457" s="2">
        <f t="shared" ca="1" si="453"/>
        <v>52638943.925858885</v>
      </c>
      <c r="V457" s="2">
        <f t="shared" ca="1" si="454"/>
        <v>55704899.050483406</v>
      </c>
      <c r="W457" s="2">
        <f t="shared" ca="1" si="455"/>
        <v>58949430.721769869</v>
      </c>
      <c r="X457" s="2">
        <f t="shared" ca="1" si="456"/>
        <v>62382940.130121082</v>
      </c>
      <c r="Y457" s="2">
        <f t="shared" ca="1" si="457"/>
        <v>0.12275884536728833</v>
      </c>
      <c r="Z457" s="2">
        <f t="shared" ca="1" si="458"/>
        <v>0.12386238351420367</v>
      </c>
      <c r="AA457" s="2">
        <f t="shared" ca="1" si="459"/>
        <v>6106238.1553944089</v>
      </c>
      <c r="AB457" s="2">
        <f t="shared" ca="1" si="460"/>
        <v>6519985.0603273949</v>
      </c>
      <c r="AC457" s="2">
        <f t="shared" ca="1" si="461"/>
        <v>6899741.5698109753</v>
      </c>
      <c r="AD457" s="2">
        <f t="shared" ca="1" si="462"/>
        <v>7301616.9960038401</v>
      </c>
      <c r="AE457" s="2">
        <f t="shared" ca="1" si="463"/>
        <v>7726899.6551406644</v>
      </c>
      <c r="AF457" s="2">
        <f t="shared" ca="1" si="464"/>
        <v>994834.73262148234</v>
      </c>
      <c r="AG457" s="2">
        <f t="shared" ca="1" si="465"/>
        <v>1052778.8785171777</v>
      </c>
      <c r="AH457" s="2">
        <f t="shared" ca="1" si="466"/>
        <v>1114097.9810096682</v>
      </c>
      <c r="AI457" s="2">
        <f t="shared" ca="1" si="467"/>
        <v>1178988.6144353973</v>
      </c>
      <c r="AJ457" s="2">
        <f t="shared" ca="1" si="468"/>
        <v>1247658.8026024217</v>
      </c>
      <c r="AK457" s="2">
        <f t="shared" ca="1" si="469"/>
        <v>0</v>
      </c>
      <c r="AL457" s="2">
        <f t="shared" ca="1" si="470"/>
        <v>28972.072947847693</v>
      </c>
      <c r="AM457" s="2">
        <f t="shared" ca="1" si="471"/>
        <v>30659.551246245206</v>
      </c>
      <c r="AN457" s="2">
        <f t="shared" ca="1" si="472"/>
        <v>32445.316712864638</v>
      </c>
      <c r="AO457" s="2">
        <f t="shared" ca="1" si="473"/>
        <v>34335.094083512129</v>
      </c>
      <c r="AP457" s="2">
        <f t="shared" ca="1" si="474"/>
        <v>2279773.5208129082</v>
      </c>
      <c r="AQ457" s="2">
        <f t="shared" ca="1" si="475"/>
        <v>736223.77450960467</v>
      </c>
      <c r="AR457" s="2">
        <f t="shared" ca="1" si="476"/>
        <v>828732.49185930029</v>
      </c>
      <c r="AS457" s="2">
        <f t="shared" ca="1" si="477"/>
        <v>911526.21767698391</v>
      </c>
      <c r="AT457" s="2">
        <f t="shared" ca="1" si="478"/>
        <v>999142.26379643905</v>
      </c>
      <c r="AU457" s="2">
        <f t="shared" ca="1" si="479"/>
        <v>1091861.506248587</v>
      </c>
      <c r="AV457" s="2">
        <f t="shared" ca="1" si="480"/>
        <v>2095406.1274504131</v>
      </c>
      <c r="AW457" s="2">
        <f t="shared" ca="1" si="481"/>
        <v>2329728.0961901611</v>
      </c>
      <c r="AX457" s="2">
        <f t="shared" ca="1" si="482"/>
        <v>2563684.2990651699</v>
      </c>
      <c r="AY457" s="2">
        <f t="shared" ca="1" si="483"/>
        <v>2811267.2802462308</v>
      </c>
      <c r="AZ457" s="2">
        <f t="shared" ca="1" si="484"/>
        <v>3073270.7313932357</v>
      </c>
      <c r="BA457" s="2">
        <f t="shared" ca="1" si="485"/>
        <v>58152772.342116132</v>
      </c>
      <c r="BB457" s="2">
        <f t="shared" ca="1" si="486"/>
        <v>1163055.4468423226</v>
      </c>
      <c r="BC457" s="2">
        <f t="shared" ca="1" si="487"/>
        <v>31658899.997352608</v>
      </c>
      <c r="BD457" s="2">
        <f t="shared" ca="1" si="488"/>
        <v>-18442661.969360851</v>
      </c>
      <c r="BE457" s="2">
        <f t="shared" ca="1" si="489"/>
        <v>2095406.1274504131</v>
      </c>
      <c r="BF457" s="2">
        <f t="shared" ca="1" si="490"/>
        <v>2329728.0961901611</v>
      </c>
      <c r="BG457" s="2">
        <f t="shared" ca="1" si="491"/>
        <v>2563684.2990651699</v>
      </c>
      <c r="BH457" s="2">
        <f t="shared" ca="1" si="492"/>
        <v>2811267.2802462308</v>
      </c>
      <c r="BI457" s="2">
        <f t="shared" ca="1" si="493"/>
        <v>34732170.72874584</v>
      </c>
      <c r="BJ457" s="2">
        <f t="shared" ca="1" si="494"/>
        <v>0.22586391255420901</v>
      </c>
      <c r="BK457" s="2">
        <f t="shared" ca="1" si="495"/>
        <v>8604838.7877834998</v>
      </c>
    </row>
    <row r="458" spans="1:63" x14ac:dyDescent="0.3">
      <c r="A458" s="2">
        <v>457</v>
      </c>
      <c r="B458" s="2">
        <f t="shared" ca="1" si="434"/>
        <v>0.90036207774038024</v>
      </c>
      <c r="C458" s="2">
        <f t="shared" ca="1" si="435"/>
        <v>7.5535967691433683</v>
      </c>
      <c r="D458" s="2">
        <f t="shared" ca="1" si="436"/>
        <v>0.63081369209578797</v>
      </c>
      <c r="E458" s="2">
        <f t="shared" ca="1" si="437"/>
        <v>7.6407138917633874</v>
      </c>
      <c r="F458" s="2">
        <f t="shared" ca="1" si="438"/>
        <v>0.61933717036339631</v>
      </c>
      <c r="G458" s="2">
        <f t="shared" ca="1" si="439"/>
        <v>4.9112212676451328E-2</v>
      </c>
      <c r="H458" s="2">
        <f t="shared" ca="1" si="440"/>
        <v>4.9112212676451328E-2</v>
      </c>
      <c r="I458" s="2">
        <f t="shared" ca="1" si="441"/>
        <v>0.1488655158245652</v>
      </c>
      <c r="J458" s="2">
        <f t="shared" ca="1" si="442"/>
        <v>4.7934428287382596E-3</v>
      </c>
      <c r="K458" s="2">
        <f t="shared" ca="1" si="443"/>
        <v>4.7934428287382596E-3</v>
      </c>
      <c r="L458" s="2">
        <f t="shared" ca="1" si="444"/>
        <v>0.70185991875040532</v>
      </c>
      <c r="M458" s="2">
        <f t="shared" ca="1" si="445"/>
        <v>1.0595147488953309E-2</v>
      </c>
      <c r="N458" s="2">
        <f t="shared" ca="1" si="446"/>
        <v>1.0595147488953309E-2</v>
      </c>
      <c r="O458" s="2">
        <f t="shared" si="447"/>
        <v>6000000</v>
      </c>
      <c r="P458" s="2">
        <f t="shared" ca="1" si="448"/>
        <v>45321580.614860207</v>
      </c>
      <c r="Q458" s="2">
        <f t="shared" ca="1" si="449"/>
        <v>1133039.5153715052</v>
      </c>
      <c r="R458" s="2">
        <f t="shared" ca="1" si="450"/>
        <v>27192948.368916124</v>
      </c>
      <c r="S458" s="2">
        <f t="shared" ca="1" si="451"/>
        <v>18128632.245944083</v>
      </c>
      <c r="T458" s="2">
        <f t="shared" ca="1" si="452"/>
        <v>50529757.374447674</v>
      </c>
      <c r="U458" s="2">
        <f t="shared" ca="1" si="453"/>
        <v>53011385.565111034</v>
      </c>
      <c r="V458" s="2">
        <f t="shared" ca="1" si="454"/>
        <v>55614892.007258132</v>
      </c>
      <c r="W458" s="2">
        <f t="shared" ca="1" si="455"/>
        <v>58346262.411496468</v>
      </c>
      <c r="X458" s="2">
        <f t="shared" ca="1" si="456"/>
        <v>61211776.459925927</v>
      </c>
      <c r="Y458" s="2">
        <f t="shared" ca="1" si="457"/>
        <v>0.12239672141436912</v>
      </c>
      <c r="Z458" s="2">
        <f t="shared" ca="1" si="458"/>
        <v>0.12335540998011678</v>
      </c>
      <c r="AA458" s="2">
        <f t="shared" ca="1" si="459"/>
        <v>6184676.6364959357</v>
      </c>
      <c r="AB458" s="2">
        <f t="shared" ca="1" si="460"/>
        <v>6539241.1999983164</v>
      </c>
      <c r="AC458" s="2">
        <f t="shared" ca="1" si="461"/>
        <v>6860397.8045552466</v>
      </c>
      <c r="AD458" s="2">
        <f t="shared" ca="1" si="462"/>
        <v>7197327.1205776241</v>
      </c>
      <c r="AE458" s="2">
        <f t="shared" ca="1" si="463"/>
        <v>7550803.780825424</v>
      </c>
      <c r="AF458" s="2">
        <f t="shared" ca="1" si="464"/>
        <v>1010595.1474889535</v>
      </c>
      <c r="AG458" s="2">
        <f t="shared" ca="1" si="465"/>
        <v>1060227.7113022206</v>
      </c>
      <c r="AH458" s="2">
        <f t="shared" ca="1" si="466"/>
        <v>1112297.8401451628</v>
      </c>
      <c r="AI458" s="2">
        <f t="shared" ca="1" si="467"/>
        <v>1166925.2482299295</v>
      </c>
      <c r="AJ458" s="2">
        <f t="shared" ca="1" si="468"/>
        <v>1224235.5291985185</v>
      </c>
      <c r="AK458" s="2">
        <f t="shared" ca="1" si="469"/>
        <v>0</v>
      </c>
      <c r="AL458" s="2">
        <f t="shared" ca="1" si="470"/>
        <v>24816.281906633601</v>
      </c>
      <c r="AM458" s="2">
        <f t="shared" ca="1" si="471"/>
        <v>26035.064421470986</v>
      </c>
      <c r="AN458" s="2">
        <f t="shared" ca="1" si="472"/>
        <v>27313.704042383357</v>
      </c>
      <c r="AO458" s="2">
        <f t="shared" ca="1" si="473"/>
        <v>28655.140484294592</v>
      </c>
      <c r="AP458" s="2">
        <f t="shared" ca="1" si="474"/>
        <v>2447365.353202451</v>
      </c>
      <c r="AQ458" s="2">
        <f t="shared" ca="1" si="475"/>
        <v>708946.19530917809</v>
      </c>
      <c r="AR458" s="2">
        <f t="shared" ca="1" si="476"/>
        <v>788228.51522834762</v>
      </c>
      <c r="AS458" s="2">
        <f t="shared" ca="1" si="477"/>
        <v>858190.9989139844</v>
      </c>
      <c r="AT458" s="2">
        <f t="shared" ca="1" si="478"/>
        <v>931589.49497776339</v>
      </c>
      <c r="AU458" s="2">
        <f t="shared" ca="1" si="479"/>
        <v>1008592.7535903581</v>
      </c>
      <c r="AV458" s="2">
        <f t="shared" ca="1" si="480"/>
        <v>2017769.9404953532</v>
      </c>
      <c r="AW458" s="2">
        <f t="shared" ca="1" si="481"/>
        <v>2218603.338358663</v>
      </c>
      <c r="AX458" s="2">
        <f t="shared" ca="1" si="482"/>
        <v>2416508.5478721764</v>
      </c>
      <c r="AY458" s="2">
        <f t="shared" ca="1" si="483"/>
        <v>2624133.3201250974</v>
      </c>
      <c r="AZ458" s="2">
        <f t="shared" ca="1" si="484"/>
        <v>2841955.0043498008</v>
      </c>
      <c r="BA458" s="2">
        <f t="shared" ca="1" si="485"/>
        <v>57693531.342132322</v>
      </c>
      <c r="BB458" s="2">
        <f t="shared" ca="1" si="486"/>
        <v>1153870.6268426464</v>
      </c>
      <c r="BC458" s="2">
        <f t="shared" ca="1" si="487"/>
        <v>29346712.346373551</v>
      </c>
      <c r="BD458" s="2">
        <f t="shared" ca="1" si="488"/>
        <v>-19761671.761315588</v>
      </c>
      <c r="BE458" s="2">
        <f t="shared" ca="1" si="489"/>
        <v>2017769.9404953532</v>
      </c>
      <c r="BF458" s="2">
        <f t="shared" ca="1" si="490"/>
        <v>2218603.338358663</v>
      </c>
      <c r="BG458" s="2">
        <f t="shared" ca="1" si="491"/>
        <v>2416508.5478721764</v>
      </c>
      <c r="BH458" s="2">
        <f t="shared" ca="1" si="492"/>
        <v>2624133.3201250974</v>
      </c>
      <c r="BI458" s="2">
        <f t="shared" ca="1" si="493"/>
        <v>32188667.350723352</v>
      </c>
      <c r="BJ458" s="2">
        <f t="shared" ca="1" si="494"/>
        <v>0.18613493722938212</v>
      </c>
      <c r="BK458" s="2">
        <f t="shared" ca="1" si="495"/>
        <v>5460987.0634764545</v>
      </c>
    </row>
    <row r="459" spans="1:63" x14ac:dyDescent="0.3">
      <c r="A459" s="2">
        <v>458</v>
      </c>
      <c r="B459" s="2">
        <f t="shared" ca="1" si="434"/>
        <v>0.89827117311991012</v>
      </c>
      <c r="C459" s="2">
        <f t="shared" ca="1" si="435"/>
        <v>7.5489371953262161</v>
      </c>
      <c r="D459" s="2">
        <f t="shared" ca="1" si="436"/>
        <v>0.39658622818535527</v>
      </c>
      <c r="E459" s="2">
        <f t="shared" ca="1" si="437"/>
        <v>7.3906022997784762</v>
      </c>
      <c r="F459" s="2">
        <f t="shared" ca="1" si="438"/>
        <v>0.96961669998522082</v>
      </c>
      <c r="G459" s="2">
        <f t="shared" ca="1" si="439"/>
        <v>9.6255697681500996E-2</v>
      </c>
      <c r="H459" s="2">
        <f t="shared" ca="1" si="440"/>
        <v>9.6255697681500996E-2</v>
      </c>
      <c r="I459" s="2">
        <f t="shared" ca="1" si="441"/>
        <v>1.8272471840202531E-2</v>
      </c>
      <c r="J459" s="2">
        <f t="shared" ca="1" si="442"/>
        <v>-4.5405867856699797E-4</v>
      </c>
      <c r="K459" s="2">
        <f t="shared" ca="1" si="443"/>
        <v>0</v>
      </c>
      <c r="L459" s="2">
        <f t="shared" ca="1" si="444"/>
        <v>7.356157810109798E-2</v>
      </c>
      <c r="M459" s="2">
        <f t="shared" ca="1" si="445"/>
        <v>-2.8995364995961857E-2</v>
      </c>
      <c r="N459" s="2">
        <f t="shared" ca="1" si="446"/>
        <v>-2.8995364995961857E-2</v>
      </c>
      <c r="O459" s="2">
        <f t="shared" si="447"/>
        <v>6000000</v>
      </c>
      <c r="P459" s="2">
        <f t="shared" ca="1" si="448"/>
        <v>45293623.171957299</v>
      </c>
      <c r="Q459" s="2">
        <f t="shared" ca="1" si="449"/>
        <v>1132340.5792989326</v>
      </c>
      <c r="R459" s="2">
        <f t="shared" ca="1" si="450"/>
        <v>27176173.903174378</v>
      </c>
      <c r="S459" s="2">
        <f t="shared" ca="1" si="451"/>
        <v>18117449.268782921</v>
      </c>
      <c r="T459" s="2">
        <f t="shared" ca="1" si="452"/>
        <v>48550231.750201903</v>
      </c>
      <c r="U459" s="2">
        <f t="shared" ca="1" si="453"/>
        <v>53223468.179916151</v>
      </c>
      <c r="V459" s="2">
        <f t="shared" ca="1" si="454"/>
        <v>58346530.242603146</v>
      </c>
      <c r="W459" s="2">
        <f t="shared" ca="1" si="455"/>
        <v>63962716.218399711</v>
      </c>
      <c r="X459" s="2">
        <f t="shared" ca="1" si="456"/>
        <v>70119492.093605638</v>
      </c>
      <c r="Y459" s="2">
        <f t="shared" ca="1" si="457"/>
        <v>0.12</v>
      </c>
      <c r="Z459" s="2">
        <f t="shared" ca="1" si="458"/>
        <v>0.12</v>
      </c>
      <c r="AA459" s="2">
        <f t="shared" ca="1" si="459"/>
        <v>5826027.8100242279</v>
      </c>
      <c r="AB459" s="2">
        <f t="shared" ca="1" si="460"/>
        <v>6386816.1815899378</v>
      </c>
      <c r="AC459" s="2">
        <f t="shared" ca="1" si="461"/>
        <v>7001583.6291123768</v>
      </c>
      <c r="AD459" s="2">
        <f t="shared" ca="1" si="462"/>
        <v>7675525.9462079648</v>
      </c>
      <c r="AE459" s="2">
        <f t="shared" ca="1" si="463"/>
        <v>8414339.051232677</v>
      </c>
      <c r="AF459" s="2">
        <f t="shared" ca="1" si="464"/>
        <v>971004.63500403811</v>
      </c>
      <c r="AG459" s="2">
        <f t="shared" ca="1" si="465"/>
        <v>1064469.363598323</v>
      </c>
      <c r="AH459" s="2">
        <f t="shared" ca="1" si="466"/>
        <v>1166930.6048520629</v>
      </c>
      <c r="AI459" s="2">
        <f t="shared" ca="1" si="467"/>
        <v>1279254.3243679942</v>
      </c>
      <c r="AJ459" s="2">
        <f t="shared" ca="1" si="468"/>
        <v>1402389.8418721128</v>
      </c>
      <c r="AK459" s="2">
        <f t="shared" ca="1" si="469"/>
        <v>0</v>
      </c>
      <c r="AL459" s="2">
        <f t="shared" ca="1" si="470"/>
        <v>46732.364297142478</v>
      </c>
      <c r="AM459" s="2">
        <f t="shared" ca="1" si="471"/>
        <v>51230.620626869946</v>
      </c>
      <c r="AN459" s="2">
        <f t="shared" ca="1" si="472"/>
        <v>56161.859757965656</v>
      </c>
      <c r="AO459" s="2">
        <f t="shared" ca="1" si="473"/>
        <v>61567.758752059264</v>
      </c>
      <c r="AP459" s="2">
        <f t="shared" ca="1" si="474"/>
        <v>2445855.651285694</v>
      </c>
      <c r="AQ459" s="2">
        <f t="shared" ca="1" si="475"/>
        <v>626383.55617096892</v>
      </c>
      <c r="AR459" s="2">
        <f t="shared" ca="1" si="476"/>
        <v>747887.70334353927</v>
      </c>
      <c r="AS459" s="2">
        <f t="shared" ca="1" si="477"/>
        <v>881087.31697340123</v>
      </c>
      <c r="AT459" s="2">
        <f t="shared" ca="1" si="478"/>
        <v>1027108.1523441119</v>
      </c>
      <c r="AU459" s="2">
        <f t="shared" ca="1" si="479"/>
        <v>1187184.3250994664</v>
      </c>
      <c r="AV459" s="2">
        <f t="shared" ca="1" si="480"/>
        <v>1782783.9675635267</v>
      </c>
      <c r="AW459" s="2">
        <f t="shared" ca="1" si="481"/>
        <v>2081871.0990652386</v>
      </c>
      <c r="AX459" s="2">
        <f t="shared" ca="1" si="482"/>
        <v>2456479.4353743494</v>
      </c>
      <c r="AY459" s="2">
        <f t="shared" ca="1" si="483"/>
        <v>2867145.9584521987</v>
      </c>
      <c r="AZ459" s="2">
        <f t="shared" ca="1" si="484"/>
        <v>3317341.4742233446</v>
      </c>
      <c r="BA459" s="2">
        <f t="shared" ca="1" si="485"/>
        <v>62187033.543156065</v>
      </c>
      <c r="BB459" s="2">
        <f t="shared" ca="1" si="486"/>
        <v>1243740.6708631213</v>
      </c>
      <c r="BC459" s="2">
        <f t="shared" ca="1" si="487"/>
        <v>33767118.969118565</v>
      </c>
      <c r="BD459" s="2">
        <f t="shared" ca="1" si="488"/>
        <v>-19749789.848081853</v>
      </c>
      <c r="BE459" s="2">
        <f t="shared" ca="1" si="489"/>
        <v>1782783.9675635267</v>
      </c>
      <c r="BF459" s="2">
        <f t="shared" ca="1" si="490"/>
        <v>2081871.0990652386</v>
      </c>
      <c r="BG459" s="2">
        <f t="shared" ca="1" si="491"/>
        <v>2456479.4353743494</v>
      </c>
      <c r="BH459" s="2">
        <f t="shared" ca="1" si="492"/>
        <v>2867145.9584521987</v>
      </c>
      <c r="BI459" s="2">
        <f t="shared" ca="1" si="493"/>
        <v>37084460.443341911</v>
      </c>
      <c r="BJ459" s="2">
        <f t="shared" ca="1" si="494"/>
        <v>0.2123868889174827</v>
      </c>
      <c r="BK459" s="2">
        <f t="shared" ca="1" si="495"/>
        <v>8114951.8622209504</v>
      </c>
    </row>
    <row r="460" spans="1:63" x14ac:dyDescent="0.3">
      <c r="A460" s="2">
        <v>459</v>
      </c>
      <c r="B460" s="2">
        <f t="shared" ca="1" si="434"/>
        <v>3.9942122424786453E-2</v>
      </c>
      <c r="C460" s="2">
        <f t="shared" ca="1" si="435"/>
        <v>6.2826380102703334</v>
      </c>
      <c r="D460" s="2">
        <f t="shared" ca="1" si="436"/>
        <v>0.14784997366506669</v>
      </c>
      <c r="E460" s="2">
        <f t="shared" ca="1" si="437"/>
        <v>7.043782996543781</v>
      </c>
      <c r="F460" s="2">
        <f t="shared" ca="1" si="438"/>
        <v>0.79926991277549253</v>
      </c>
      <c r="G460" s="2">
        <f t="shared" ca="1" si="439"/>
        <v>6.517048837629251E-2</v>
      </c>
      <c r="H460" s="2">
        <f t="shared" ca="1" si="440"/>
        <v>6.517048837629251E-2</v>
      </c>
      <c r="I460" s="2">
        <f t="shared" ca="1" si="441"/>
        <v>0.98670647077832796</v>
      </c>
      <c r="J460" s="2">
        <f t="shared" ca="1" si="442"/>
        <v>2.1087638052486687E-2</v>
      </c>
      <c r="K460" s="2">
        <f t="shared" ca="1" si="443"/>
        <v>2.1087638052486687E-2</v>
      </c>
      <c r="L460" s="2">
        <f t="shared" ca="1" si="444"/>
        <v>0.85207481568543109</v>
      </c>
      <c r="M460" s="2">
        <f t="shared" ca="1" si="445"/>
        <v>2.0907470470527E-2</v>
      </c>
      <c r="N460" s="2">
        <f t="shared" ca="1" si="446"/>
        <v>2.0907470470527E-2</v>
      </c>
      <c r="O460" s="2">
        <f t="shared" si="447"/>
        <v>6000000</v>
      </c>
      <c r="P460" s="2">
        <f t="shared" ca="1" si="448"/>
        <v>37695828.061622001</v>
      </c>
      <c r="Q460" s="2">
        <f t="shared" ca="1" si="449"/>
        <v>942395.7015405501</v>
      </c>
      <c r="R460" s="2">
        <f t="shared" ca="1" si="450"/>
        <v>22617496.836973201</v>
      </c>
      <c r="S460" s="2">
        <f t="shared" ca="1" si="451"/>
        <v>15078331.224648802</v>
      </c>
      <c r="T460" s="2">
        <f t="shared" ca="1" si="452"/>
        <v>51045373.523526348</v>
      </c>
      <c r="U460" s="2">
        <f t="shared" ca="1" si="453"/>
        <v>54372025.445404828</v>
      </c>
      <c r="V460" s="2">
        <f t="shared" ca="1" si="454"/>
        <v>57915476.897690058</v>
      </c>
      <c r="W460" s="2">
        <f t="shared" ca="1" si="455"/>
        <v>61689856.811658405</v>
      </c>
      <c r="X460" s="2">
        <f t="shared" ca="1" si="456"/>
        <v>65710214.907937735</v>
      </c>
      <c r="Y460" s="2">
        <f t="shared" ca="1" si="457"/>
        <v>0.13054381902624335</v>
      </c>
      <c r="Z460" s="2">
        <f t="shared" ca="1" si="458"/>
        <v>0.13476134663674066</v>
      </c>
      <c r="AA460" s="2">
        <f t="shared" ca="1" si="459"/>
        <v>6663658.0033822171</v>
      </c>
      <c r="AB460" s="2">
        <f t="shared" ca="1" si="460"/>
        <v>7327247.368389884</v>
      </c>
      <c r="AC460" s="2">
        <f t="shared" ca="1" si="461"/>
        <v>7804767.657841756</v>
      </c>
      <c r="AD460" s="2">
        <f t="shared" ca="1" si="462"/>
        <v>8313408.1777667953</v>
      </c>
      <c r="AE460" s="2">
        <f t="shared" ca="1" si="463"/>
        <v>8855197.0487833209</v>
      </c>
      <c r="AF460" s="2">
        <f t="shared" ca="1" si="464"/>
        <v>1020907.470470527</v>
      </c>
      <c r="AG460" s="2">
        <f t="shared" ca="1" si="465"/>
        <v>1087440.5089080965</v>
      </c>
      <c r="AH460" s="2">
        <f t="shared" ca="1" si="466"/>
        <v>1158309.5379538012</v>
      </c>
      <c r="AI460" s="2">
        <f t="shared" ca="1" si="467"/>
        <v>1233797.1362331682</v>
      </c>
      <c r="AJ460" s="2">
        <f t="shared" ca="1" si="468"/>
        <v>1314204.2981587548</v>
      </c>
      <c r="AK460" s="2">
        <f t="shared" ca="1" si="469"/>
        <v>0</v>
      </c>
      <c r="AL460" s="2">
        <f t="shared" ca="1" si="470"/>
        <v>33266.519218784793</v>
      </c>
      <c r="AM460" s="2">
        <f t="shared" ca="1" si="471"/>
        <v>35434.514522852303</v>
      </c>
      <c r="AN460" s="2">
        <f t="shared" ca="1" si="472"/>
        <v>37743.79913968347</v>
      </c>
      <c r="AO460" s="2">
        <f t="shared" ca="1" si="473"/>
        <v>40203.580962793305</v>
      </c>
      <c r="AP460" s="2">
        <f t="shared" ca="1" si="474"/>
        <v>2035574.7153275881</v>
      </c>
      <c r="AQ460" s="2">
        <f t="shared" ca="1" si="475"/>
        <v>937865.71257186658</v>
      </c>
      <c r="AR460" s="2">
        <f t="shared" ca="1" si="476"/>
        <v>1093100.357480092</v>
      </c>
      <c r="AS460" s="2">
        <f t="shared" ca="1" si="477"/>
        <v>1198829.6851856953</v>
      </c>
      <c r="AT460" s="2">
        <f t="shared" ca="1" si="478"/>
        <v>1311449.44481357</v>
      </c>
      <c r="AU460" s="2">
        <f t="shared" ca="1" si="479"/>
        <v>1431408.6891772144</v>
      </c>
      <c r="AV460" s="2">
        <f t="shared" ca="1" si="480"/>
        <v>2669310.1050122352</v>
      </c>
      <c r="AW460" s="2">
        <f t="shared" ca="1" si="481"/>
        <v>3077865.2674553227</v>
      </c>
      <c r="AX460" s="2">
        <f t="shared" ca="1" si="482"/>
        <v>3376619.2048518192</v>
      </c>
      <c r="AY460" s="2">
        <f t="shared" ca="1" si="483"/>
        <v>3694843.0822527856</v>
      </c>
      <c r="AZ460" s="2">
        <f t="shared" ca="1" si="484"/>
        <v>4033805.7651569713</v>
      </c>
      <c r="BA460" s="2">
        <f t="shared" ca="1" si="485"/>
        <v>62374086.403264627</v>
      </c>
      <c r="BB460" s="2">
        <f t="shared" ca="1" si="486"/>
        <v>1247481.7280652926</v>
      </c>
      <c r="BC460" s="2">
        <f t="shared" ca="1" si="487"/>
        <v>38509107.838226132</v>
      </c>
      <c r="BD460" s="2">
        <f t="shared" ca="1" si="488"/>
        <v>-16520726.926189352</v>
      </c>
      <c r="BE460" s="2">
        <f t="shared" ca="1" si="489"/>
        <v>2669310.1050122352</v>
      </c>
      <c r="BF460" s="2">
        <f t="shared" ca="1" si="490"/>
        <v>3077865.2674553227</v>
      </c>
      <c r="BG460" s="2">
        <f t="shared" ca="1" si="491"/>
        <v>3376619.2048518192</v>
      </c>
      <c r="BH460" s="2">
        <f t="shared" ca="1" si="492"/>
        <v>3694843.0822527856</v>
      </c>
      <c r="BI460" s="2">
        <f t="shared" ca="1" si="493"/>
        <v>42542913.603383102</v>
      </c>
      <c r="BJ460" s="2">
        <f t="shared" ca="1" si="494"/>
        <v>0.33132340990033993</v>
      </c>
      <c r="BK460" s="2">
        <f t="shared" ca="1" si="495"/>
        <v>17207783.143831205</v>
      </c>
    </row>
    <row r="461" spans="1:63" x14ac:dyDescent="0.3">
      <c r="A461" s="2">
        <v>460</v>
      </c>
      <c r="B461" s="2">
        <f t="shared" ca="1" si="434"/>
        <v>0.30256826742476584</v>
      </c>
      <c r="C461" s="2">
        <f t="shared" ca="1" si="435"/>
        <v>6.7779052222793803</v>
      </c>
      <c r="D461" s="2">
        <f t="shared" ca="1" si="436"/>
        <v>0.55639140908527929</v>
      </c>
      <c r="E461" s="2">
        <f t="shared" ca="1" si="437"/>
        <v>7.5580779321889517</v>
      </c>
      <c r="F461" s="2">
        <f t="shared" ca="1" si="438"/>
        <v>0.16643006024845186</v>
      </c>
      <c r="G461" s="2">
        <f t="shared" ca="1" si="439"/>
        <v>1.094893028200224E-2</v>
      </c>
      <c r="H461" s="2">
        <f t="shared" ca="1" si="440"/>
        <v>1.094893028200224E-2</v>
      </c>
      <c r="I461" s="2">
        <f t="shared" ca="1" si="441"/>
        <v>0.64924509837577904</v>
      </c>
      <c r="J461" s="2">
        <f t="shared" ca="1" si="442"/>
        <v>1.1916415940128978E-2</v>
      </c>
      <c r="K461" s="2">
        <f t="shared" ca="1" si="443"/>
        <v>1.1916415940128978E-2</v>
      </c>
      <c r="L461" s="2">
        <f t="shared" ca="1" si="444"/>
        <v>0.29949133977437448</v>
      </c>
      <c r="M461" s="2">
        <f t="shared" ca="1" si="445"/>
        <v>-1.0517280684565439E-2</v>
      </c>
      <c r="N461" s="2">
        <f t="shared" ca="1" si="446"/>
        <v>-1.0517280684565439E-2</v>
      </c>
      <c r="O461" s="2">
        <f t="shared" si="447"/>
        <v>6000000</v>
      </c>
      <c r="P461" s="2">
        <f t="shared" ca="1" si="448"/>
        <v>40667431.333676279</v>
      </c>
      <c r="Q461" s="2">
        <f t="shared" ca="1" si="449"/>
        <v>1016685.783341907</v>
      </c>
      <c r="R461" s="2">
        <f t="shared" ca="1" si="450"/>
        <v>24400458.800205767</v>
      </c>
      <c r="S461" s="2">
        <f t="shared" ca="1" si="451"/>
        <v>16266972.533470511</v>
      </c>
      <c r="T461" s="2">
        <f t="shared" ca="1" si="452"/>
        <v>49474135.965771727</v>
      </c>
      <c r="U461" s="2">
        <f t="shared" ca="1" si="453"/>
        <v>50015824.831223264</v>
      </c>
      <c r="V461" s="2">
        <f t="shared" ca="1" si="454"/>
        <v>50563444.610297166</v>
      </c>
      <c r="W461" s="2">
        <f t="shared" ca="1" si="455"/>
        <v>51117060.240153193</v>
      </c>
      <c r="X461" s="2">
        <f t="shared" ca="1" si="456"/>
        <v>51676737.368943542</v>
      </c>
      <c r="Y461" s="2">
        <f t="shared" ca="1" si="457"/>
        <v>0.12595820797006449</v>
      </c>
      <c r="Z461" s="2">
        <f t="shared" ca="1" si="458"/>
        <v>0.12834149115809029</v>
      </c>
      <c r="AA461" s="2">
        <f t="shared" ca="1" si="459"/>
        <v>6231673.5071159229</v>
      </c>
      <c r="AB461" s="2">
        <f t="shared" ca="1" si="460"/>
        <v>6419105.5403410336</v>
      </c>
      <c r="AC461" s="2">
        <f t="shared" ca="1" si="461"/>
        <v>6489387.8793750424</v>
      </c>
      <c r="AD461" s="2">
        <f t="shared" ca="1" si="462"/>
        <v>6560439.7348391898</v>
      </c>
      <c r="AE461" s="2">
        <f t="shared" ca="1" si="463"/>
        <v>6632269.532115222</v>
      </c>
      <c r="AF461" s="2">
        <f t="shared" ca="1" si="464"/>
        <v>989482.71931543457</v>
      </c>
      <c r="AG461" s="2">
        <f t="shared" ca="1" si="465"/>
        <v>1000316.4966244653</v>
      </c>
      <c r="AH461" s="2">
        <f t="shared" ca="1" si="466"/>
        <v>1011268.8922059434</v>
      </c>
      <c r="AI461" s="2">
        <f t="shared" ca="1" si="467"/>
        <v>1022341.2048030639</v>
      </c>
      <c r="AJ461" s="2">
        <f t="shared" ca="1" si="468"/>
        <v>1033534.7473788708</v>
      </c>
      <c r="AK461" s="2">
        <f t="shared" ca="1" si="469"/>
        <v>0</v>
      </c>
      <c r="AL461" s="2">
        <f t="shared" ca="1" si="470"/>
        <v>5416.8886545153709</v>
      </c>
      <c r="AM461" s="2">
        <f t="shared" ca="1" si="471"/>
        <v>5476.1977907390146</v>
      </c>
      <c r="AN461" s="2">
        <f t="shared" ca="1" si="472"/>
        <v>5536.1562985602768</v>
      </c>
      <c r="AO461" s="2">
        <f t="shared" ca="1" si="473"/>
        <v>5596.771287903488</v>
      </c>
      <c r="AP461" s="2">
        <f t="shared" ca="1" si="474"/>
        <v>2196041.2920185188</v>
      </c>
      <c r="AQ461" s="2">
        <f t="shared" ca="1" si="475"/>
        <v>791998.86890331202</v>
      </c>
      <c r="AR461" s="2">
        <f t="shared" ca="1" si="476"/>
        <v>837914.41544149292</v>
      </c>
      <c r="AS461" s="2">
        <f t="shared" ca="1" si="477"/>
        <v>853340.20073915087</v>
      </c>
      <c r="AT461" s="2">
        <f t="shared" ca="1" si="478"/>
        <v>868934.88188457792</v>
      </c>
      <c r="AU461" s="2">
        <f t="shared" ca="1" si="479"/>
        <v>884700.3081066364</v>
      </c>
      <c r="AV461" s="2">
        <f t="shared" ca="1" si="480"/>
        <v>2254150.6268786574</v>
      </c>
      <c r="AW461" s="2">
        <f t="shared" ca="1" si="481"/>
        <v>2379416.447602042</v>
      </c>
      <c r="AX461" s="2">
        <f t="shared" ca="1" si="482"/>
        <v>2423261.2966206903</v>
      </c>
      <c r="AY461" s="2">
        <f t="shared" ca="1" si="483"/>
        <v>2467586.1998344697</v>
      </c>
      <c r="AZ461" s="2">
        <f t="shared" ca="1" si="484"/>
        <v>2512396.4133232925</v>
      </c>
      <c r="BA461" s="2">
        <f t="shared" ca="1" si="485"/>
        <v>50127209.991009206</v>
      </c>
      <c r="BB461" s="2">
        <f t="shared" ca="1" si="486"/>
        <v>1002544.1998201841</v>
      </c>
      <c r="BC461" s="2">
        <f t="shared" ca="1" si="487"/>
        <v>24724206.990983255</v>
      </c>
      <c r="BD461" s="2">
        <f t="shared" ca="1" si="488"/>
        <v>-17783658.316812418</v>
      </c>
      <c r="BE461" s="2">
        <f t="shared" ca="1" si="489"/>
        <v>2254150.6268786574</v>
      </c>
      <c r="BF461" s="2">
        <f t="shared" ca="1" si="490"/>
        <v>2379416.447602042</v>
      </c>
      <c r="BG461" s="2">
        <f t="shared" ca="1" si="491"/>
        <v>2423261.2966206903</v>
      </c>
      <c r="BH461" s="2">
        <f t="shared" ca="1" si="492"/>
        <v>2467586.1998344697</v>
      </c>
      <c r="BI461" s="2">
        <f t="shared" ca="1" si="493"/>
        <v>27236603.404306546</v>
      </c>
      <c r="BJ461" s="2">
        <f t="shared" ca="1" si="494"/>
        <v>0.18789570080280416</v>
      </c>
      <c r="BK461" s="2">
        <f t="shared" ca="1" si="495"/>
        <v>4873637.7920472026</v>
      </c>
    </row>
    <row r="462" spans="1:63" x14ac:dyDescent="0.3">
      <c r="A462" s="2">
        <v>461</v>
      </c>
      <c r="B462" s="2">
        <f t="shared" ca="1" si="434"/>
        <v>0.30687563560598008</v>
      </c>
      <c r="C462" s="2">
        <f t="shared" ca="1" si="435"/>
        <v>6.7834227921192749</v>
      </c>
      <c r="D462" s="2">
        <f t="shared" ca="1" si="436"/>
        <v>0.21234340066990431</v>
      </c>
      <c r="E462" s="2">
        <f t="shared" ca="1" si="437"/>
        <v>7.1516799838416159</v>
      </c>
      <c r="F462" s="2">
        <f t="shared" ca="1" si="438"/>
        <v>0.22584459992093964</v>
      </c>
      <c r="G462" s="2">
        <f t="shared" ca="1" si="439"/>
        <v>1.7421944212135842E-2</v>
      </c>
      <c r="H462" s="2">
        <f t="shared" ca="1" si="440"/>
        <v>1.7421944212135842E-2</v>
      </c>
      <c r="I462" s="2">
        <f t="shared" ca="1" si="441"/>
        <v>0.97511305945239002</v>
      </c>
      <c r="J462" s="2">
        <f t="shared" ca="1" si="442"/>
        <v>1.9809510594432218E-2</v>
      </c>
      <c r="K462" s="2">
        <f t="shared" ca="1" si="443"/>
        <v>1.9809510594432218E-2</v>
      </c>
      <c r="L462" s="2">
        <f t="shared" ca="1" si="444"/>
        <v>0.55800847582495439</v>
      </c>
      <c r="M462" s="2">
        <f t="shared" ca="1" si="445"/>
        <v>2.9184378629026632E-3</v>
      </c>
      <c r="N462" s="2">
        <f t="shared" ca="1" si="446"/>
        <v>2.9184378629026632E-3</v>
      </c>
      <c r="O462" s="2">
        <f t="shared" si="447"/>
        <v>6000000</v>
      </c>
      <c r="P462" s="2">
        <f t="shared" ca="1" si="448"/>
        <v>40700536.752715647</v>
      </c>
      <c r="Q462" s="2">
        <f t="shared" ca="1" si="449"/>
        <v>1017513.4188178913</v>
      </c>
      <c r="R462" s="2">
        <f t="shared" ca="1" si="450"/>
        <v>24420322.051629387</v>
      </c>
      <c r="S462" s="2">
        <f t="shared" ca="1" si="451"/>
        <v>16280214.70108626</v>
      </c>
      <c r="T462" s="2">
        <f t="shared" ca="1" si="452"/>
        <v>50145921.893145129</v>
      </c>
      <c r="U462" s="2">
        <f t="shared" ca="1" si="453"/>
        <v>51019561.346833631</v>
      </c>
      <c r="V462" s="2">
        <f t="shared" ca="1" si="454"/>
        <v>51908421.298345812</v>
      </c>
      <c r="W462" s="2">
        <f t="shared" ca="1" si="455"/>
        <v>52812766.918345645</v>
      </c>
      <c r="X462" s="2">
        <f t="shared" ca="1" si="456"/>
        <v>53732867.997285604</v>
      </c>
      <c r="Y462" s="2">
        <f t="shared" ca="1" si="457"/>
        <v>0.1299047552972161</v>
      </c>
      <c r="Z462" s="2">
        <f t="shared" ca="1" si="458"/>
        <v>0.13386665741610254</v>
      </c>
      <c r="AA462" s="2">
        <f t="shared" ca="1" si="459"/>
        <v>6514193.7126823291</v>
      </c>
      <c r="AB462" s="2">
        <f t="shared" ca="1" si="460"/>
        <v>6829818.1403364046</v>
      </c>
      <c r="AC462" s="2">
        <f t="shared" ca="1" si="461"/>
        <v>6948806.8509563794</v>
      </c>
      <c r="AD462" s="2">
        <f t="shared" ca="1" si="462"/>
        <v>7069868.57625465</v>
      </c>
      <c r="AE462" s="2">
        <f t="shared" ca="1" si="463"/>
        <v>7193039.4321772922</v>
      </c>
      <c r="AF462" s="2">
        <f t="shared" ca="1" si="464"/>
        <v>1002918.4378629026</v>
      </c>
      <c r="AG462" s="2">
        <f t="shared" ca="1" si="465"/>
        <v>1020391.2269366727</v>
      </c>
      <c r="AH462" s="2">
        <f t="shared" ca="1" si="466"/>
        <v>1038168.4259669163</v>
      </c>
      <c r="AI462" s="2">
        <f t="shared" ca="1" si="467"/>
        <v>1056255.3383669129</v>
      </c>
      <c r="AJ462" s="2">
        <f t="shared" ca="1" si="468"/>
        <v>1074657.3599457121</v>
      </c>
      <c r="AK462" s="2">
        <f t="shared" ca="1" si="469"/>
        <v>0</v>
      </c>
      <c r="AL462" s="2">
        <f t="shared" ca="1" si="470"/>
        <v>8736.3945368850236</v>
      </c>
      <c r="AM462" s="2">
        <f t="shared" ca="1" si="471"/>
        <v>8888.5995151218031</v>
      </c>
      <c r="AN462" s="2">
        <f t="shared" ca="1" si="472"/>
        <v>9043.4561999983343</v>
      </c>
      <c r="AO462" s="2">
        <f t="shared" ca="1" si="473"/>
        <v>9201.0107893995937</v>
      </c>
      <c r="AP462" s="2">
        <f t="shared" ca="1" si="474"/>
        <v>2197828.9846466449</v>
      </c>
      <c r="AQ462" s="2">
        <f t="shared" ca="1" si="475"/>
        <v>861496.03544492321</v>
      </c>
      <c r="AR462" s="2">
        <f t="shared" ca="1" si="476"/>
        <v>939015.46147580259</v>
      </c>
      <c r="AS462" s="2">
        <f t="shared" ca="1" si="477"/>
        <v>965330.45448913274</v>
      </c>
      <c r="AT462" s="2">
        <f t="shared" ca="1" si="478"/>
        <v>992103.90584268409</v>
      </c>
      <c r="AU462" s="2">
        <f t="shared" ca="1" si="479"/>
        <v>1019343.8027720831</v>
      </c>
      <c r="AV462" s="2">
        <f t="shared" ca="1" si="480"/>
        <v>2451950.2547278586</v>
      </c>
      <c r="AW462" s="2">
        <f t="shared" ca="1" si="481"/>
        <v>2663846.0727403988</v>
      </c>
      <c r="AX462" s="2">
        <f t="shared" ca="1" si="482"/>
        <v>2738590.3863385641</v>
      </c>
      <c r="AY462" s="2">
        <f t="shared" ca="1" si="483"/>
        <v>2814636.8911984102</v>
      </c>
      <c r="AZ462" s="2">
        <f t="shared" ca="1" si="484"/>
        <v>2892008.2740234514</v>
      </c>
      <c r="BA462" s="2">
        <f t="shared" ca="1" si="485"/>
        <v>51442316.130085804</v>
      </c>
      <c r="BB462" s="2">
        <f t="shared" ca="1" si="486"/>
        <v>1028846.3226017162</v>
      </c>
      <c r="BC462" s="2">
        <f t="shared" ca="1" si="487"/>
        <v>25993147.7558547</v>
      </c>
      <c r="BD462" s="2">
        <f t="shared" ca="1" si="488"/>
        <v>-17797728.119904153</v>
      </c>
      <c r="BE462" s="2">
        <f t="shared" ca="1" si="489"/>
        <v>2451950.2547278586</v>
      </c>
      <c r="BF462" s="2">
        <f t="shared" ca="1" si="490"/>
        <v>2663846.0727403988</v>
      </c>
      <c r="BG462" s="2">
        <f t="shared" ca="1" si="491"/>
        <v>2738590.3863385641</v>
      </c>
      <c r="BH462" s="2">
        <f t="shared" ca="1" si="492"/>
        <v>2814636.8911984102</v>
      </c>
      <c r="BI462" s="2">
        <f t="shared" ca="1" si="493"/>
        <v>28885156.029878151</v>
      </c>
      <c r="BJ462" s="2">
        <f t="shared" ca="1" si="494"/>
        <v>0.21074028010625434</v>
      </c>
      <c r="BK462" s="2">
        <f t="shared" ca="1" si="495"/>
        <v>6643355.3942111209</v>
      </c>
    </row>
    <row r="463" spans="1:63" x14ac:dyDescent="0.3">
      <c r="A463" s="2">
        <v>462</v>
      </c>
      <c r="B463" s="2">
        <f t="shared" ca="1" si="434"/>
        <v>0.45678607020807849</v>
      </c>
      <c r="C463" s="2">
        <f t="shared" ca="1" si="435"/>
        <v>6.9558096779255569</v>
      </c>
      <c r="D463" s="2">
        <f t="shared" ca="1" si="436"/>
        <v>0.9618201336091653</v>
      </c>
      <c r="E463" s="2">
        <f t="shared" ca="1" si="437"/>
        <v>8.2236673512201843</v>
      </c>
      <c r="F463" s="2">
        <f t="shared" ca="1" si="438"/>
        <v>0.11094660000638612</v>
      </c>
      <c r="G463" s="2">
        <f t="shared" ca="1" si="439"/>
        <v>3.3547173079787121E-3</v>
      </c>
      <c r="H463" s="2">
        <f t="shared" ca="1" si="440"/>
        <v>3.3547173079787121E-3</v>
      </c>
      <c r="I463" s="2">
        <f t="shared" ca="1" si="441"/>
        <v>0.17703237444822195</v>
      </c>
      <c r="J463" s="2">
        <f t="shared" ca="1" si="442"/>
        <v>5.3663308565708731E-3</v>
      </c>
      <c r="K463" s="2">
        <f t="shared" ca="1" si="443"/>
        <v>5.3663308565708731E-3</v>
      </c>
      <c r="L463" s="2">
        <f t="shared" ca="1" si="444"/>
        <v>0.61755044736548537</v>
      </c>
      <c r="M463" s="2">
        <f t="shared" ca="1" si="445"/>
        <v>5.9810731426519657E-3</v>
      </c>
      <c r="N463" s="2">
        <f t="shared" ca="1" si="446"/>
        <v>5.9810731426519657E-3</v>
      </c>
      <c r="O463" s="2">
        <f t="shared" si="447"/>
        <v>6000000</v>
      </c>
      <c r="P463" s="2">
        <f t="shared" ca="1" si="448"/>
        <v>41734858.067553341</v>
      </c>
      <c r="Q463" s="2">
        <f t="shared" ca="1" si="449"/>
        <v>1043371.4516888335</v>
      </c>
      <c r="R463" s="2">
        <f t="shared" ca="1" si="450"/>
        <v>25040914.840532005</v>
      </c>
      <c r="S463" s="2">
        <f t="shared" ca="1" si="451"/>
        <v>16693943.227021337</v>
      </c>
      <c r="T463" s="2">
        <f t="shared" ca="1" si="452"/>
        <v>50299053.657132596</v>
      </c>
      <c r="U463" s="2">
        <f t="shared" ca="1" si="453"/>
        <v>50467792.763011128</v>
      </c>
      <c r="V463" s="2">
        <f t="shared" ca="1" si="454"/>
        <v>50637097.940888681</v>
      </c>
      <c r="W463" s="2">
        <f t="shared" ca="1" si="455"/>
        <v>50806971.089776792</v>
      </c>
      <c r="X463" s="2">
        <f t="shared" ca="1" si="456"/>
        <v>50977414.11505764</v>
      </c>
      <c r="Y463" s="2">
        <f t="shared" ca="1" si="457"/>
        <v>0.12268316542828543</v>
      </c>
      <c r="Z463" s="2">
        <f t="shared" ca="1" si="458"/>
        <v>0.12375643159959961</v>
      </c>
      <c r="AA463" s="2">
        <f t="shared" ca="1" si="459"/>
        <v>6170847.1207042038</v>
      </c>
      <c r="AB463" s="2">
        <f t="shared" ca="1" si="460"/>
        <v>6245713.9430583548</v>
      </c>
      <c r="AC463" s="2">
        <f t="shared" ca="1" si="461"/>
        <v>6266666.5477238158</v>
      </c>
      <c r="AD463" s="2">
        <f t="shared" ca="1" si="462"/>
        <v>6287689.4424547963</v>
      </c>
      <c r="AE463" s="2">
        <f t="shared" ca="1" si="463"/>
        <v>6308782.863054594</v>
      </c>
      <c r="AF463" s="2">
        <f t="shared" ca="1" si="464"/>
        <v>1005981.0731426519</v>
      </c>
      <c r="AG463" s="2">
        <f t="shared" ca="1" si="465"/>
        <v>1009355.8552602226</v>
      </c>
      <c r="AH463" s="2">
        <f t="shared" ca="1" si="466"/>
        <v>1012741.9588177736</v>
      </c>
      <c r="AI463" s="2">
        <f t="shared" ca="1" si="467"/>
        <v>1016139.4217955358</v>
      </c>
      <c r="AJ463" s="2">
        <f t="shared" ca="1" si="468"/>
        <v>1019548.2823011528</v>
      </c>
      <c r="AK463" s="2">
        <f t="shared" ca="1" si="469"/>
        <v>0</v>
      </c>
      <c r="AL463" s="2">
        <f t="shared" ca="1" si="470"/>
        <v>1687.3910587853193</v>
      </c>
      <c r="AM463" s="2">
        <f t="shared" ca="1" si="471"/>
        <v>1693.0517787755282</v>
      </c>
      <c r="AN463" s="2">
        <f t="shared" ca="1" si="472"/>
        <v>1698.7314888811111</v>
      </c>
      <c r="AO463" s="2">
        <f t="shared" ca="1" si="473"/>
        <v>1704.4302528084816</v>
      </c>
      <c r="AP463" s="2">
        <f t="shared" ca="1" si="474"/>
        <v>2253682.3356478806</v>
      </c>
      <c r="AQ463" s="2">
        <f t="shared" ca="1" si="475"/>
        <v>756907.76509755466</v>
      </c>
      <c r="AR463" s="2">
        <f t="shared" ca="1" si="476"/>
        <v>775495.69555906556</v>
      </c>
      <c r="AS463" s="2">
        <f t="shared" ca="1" si="477"/>
        <v>780062.98584712204</v>
      </c>
      <c r="AT463" s="2">
        <f t="shared" ca="1" si="478"/>
        <v>784645.59810295876</v>
      </c>
      <c r="AU463" s="2">
        <f t="shared" ca="1" si="479"/>
        <v>789243.58372744569</v>
      </c>
      <c r="AV463" s="2">
        <f t="shared" ca="1" si="480"/>
        <v>2154275.946816117</v>
      </c>
      <c r="AW463" s="2">
        <f t="shared" ca="1" si="481"/>
        <v>2205492.6655324013</v>
      </c>
      <c r="AX463" s="2">
        <f t="shared" ca="1" si="482"/>
        <v>2218486.215632264</v>
      </c>
      <c r="AY463" s="2">
        <f t="shared" ca="1" si="483"/>
        <v>2231523.3554195403</v>
      </c>
      <c r="AZ463" s="2">
        <f t="shared" ca="1" si="484"/>
        <v>2244604.2311253068</v>
      </c>
      <c r="BA463" s="2">
        <f t="shared" ca="1" si="485"/>
        <v>51881331.656839468</v>
      </c>
      <c r="BB463" s="2">
        <f t="shared" ca="1" si="486"/>
        <v>1037626.6331367894</v>
      </c>
      <c r="BC463" s="2">
        <f t="shared" ca="1" si="487"/>
        <v>25802790.183170673</v>
      </c>
      <c r="BD463" s="2">
        <f t="shared" ca="1" si="488"/>
        <v>-18237314.67871017</v>
      </c>
      <c r="BE463" s="2">
        <f t="shared" ca="1" si="489"/>
        <v>2154275.946816117</v>
      </c>
      <c r="BF463" s="2">
        <f t="shared" ca="1" si="490"/>
        <v>2205492.6655324013</v>
      </c>
      <c r="BG463" s="2">
        <f t="shared" ca="1" si="491"/>
        <v>2218486.215632264</v>
      </c>
      <c r="BH463" s="2">
        <f t="shared" ca="1" si="492"/>
        <v>2231523.3554195403</v>
      </c>
      <c r="BI463" s="2">
        <f t="shared" ca="1" si="493"/>
        <v>28047394.414295979</v>
      </c>
      <c r="BJ463" s="2">
        <f t="shared" ca="1" si="494"/>
        <v>0.17895249138137581</v>
      </c>
      <c r="BK463" s="2">
        <f t="shared" ca="1" si="495"/>
        <v>4356444.1647245102</v>
      </c>
    </row>
    <row r="464" spans="1:63" x14ac:dyDescent="0.3">
      <c r="A464" s="2">
        <v>463</v>
      </c>
      <c r="B464" s="2">
        <f t="shared" ca="1" si="434"/>
        <v>0.75326452880984229</v>
      </c>
      <c r="C464" s="2">
        <f t="shared" ca="1" si="435"/>
        <v>7.2975251304279167</v>
      </c>
      <c r="D464" s="2">
        <f t="shared" ca="1" si="436"/>
        <v>0.11743082162747898</v>
      </c>
      <c r="E464" s="2">
        <f t="shared" ca="1" si="437"/>
        <v>6.984625260644715</v>
      </c>
      <c r="F464" s="2">
        <f t="shared" ca="1" si="438"/>
        <v>0.45008999948406136</v>
      </c>
      <c r="G464" s="2">
        <f t="shared" ca="1" si="439"/>
        <v>3.6236981000850918E-2</v>
      </c>
      <c r="H464" s="2">
        <f t="shared" ca="1" si="440"/>
        <v>3.6236981000850918E-2</v>
      </c>
      <c r="I464" s="2">
        <f t="shared" ca="1" si="441"/>
        <v>4.2372254600792081E-2</v>
      </c>
      <c r="J464" s="2">
        <f t="shared" ca="1" si="442"/>
        <v>1.3810153545802013E-3</v>
      </c>
      <c r="K464" s="2">
        <f t="shared" ca="1" si="443"/>
        <v>1.3810153545802013E-3</v>
      </c>
      <c r="L464" s="2">
        <f t="shared" ca="1" si="444"/>
        <v>0.15081652065897788</v>
      </c>
      <c r="M464" s="2">
        <f t="shared" ca="1" si="445"/>
        <v>-2.0658754566378234E-2</v>
      </c>
      <c r="N464" s="2">
        <f t="shared" ca="1" si="446"/>
        <v>-2.0658754566378234E-2</v>
      </c>
      <c r="O464" s="2">
        <f t="shared" si="447"/>
        <v>6000000</v>
      </c>
      <c r="P464" s="2">
        <f t="shared" ca="1" si="448"/>
        <v>43785150.782567501</v>
      </c>
      <c r="Q464" s="2">
        <f t="shared" ca="1" si="449"/>
        <v>1094628.7695641876</v>
      </c>
      <c r="R464" s="2">
        <f t="shared" ca="1" si="450"/>
        <v>26271090.469540499</v>
      </c>
      <c r="S464" s="2">
        <f t="shared" ca="1" si="451"/>
        <v>17514060.313027002</v>
      </c>
      <c r="T464" s="2">
        <f t="shared" ca="1" si="452"/>
        <v>48967062.271681085</v>
      </c>
      <c r="U464" s="2">
        <f t="shared" ca="1" si="453"/>
        <v>50741480.776887476</v>
      </c>
      <c r="V464" s="2">
        <f t="shared" ca="1" si="454"/>
        <v>52580198.851754591</v>
      </c>
      <c r="W464" s="2">
        <f t="shared" ca="1" si="455"/>
        <v>54485546.518566586</v>
      </c>
      <c r="X464" s="2">
        <f t="shared" ca="1" si="456"/>
        <v>56459938.232580863</v>
      </c>
      <c r="Y464" s="2">
        <f t="shared" ca="1" si="457"/>
        <v>0.1206905076772901</v>
      </c>
      <c r="Z464" s="2">
        <f t="shared" ca="1" si="458"/>
        <v>0.12096671074820614</v>
      </c>
      <c r="AA464" s="2">
        <f t="shared" ca="1" si="459"/>
        <v>5909859.6050346689</v>
      </c>
      <c r="AB464" s="2">
        <f t="shared" ca="1" si="460"/>
        <v>6138030.0280734096</v>
      </c>
      <c r="AC464" s="2">
        <f t="shared" ca="1" si="461"/>
        <v>6360453.7055833582</v>
      </c>
      <c r="AD464" s="2">
        <f t="shared" ca="1" si="462"/>
        <v>6590937.3456693739</v>
      </c>
      <c r="AE464" s="2">
        <f t="shared" ca="1" si="463"/>
        <v>6829773.0170421945</v>
      </c>
      <c r="AF464" s="2">
        <f t="shared" ca="1" si="464"/>
        <v>979341.24543362169</v>
      </c>
      <c r="AG464" s="2">
        <f t="shared" ca="1" si="465"/>
        <v>1014829.6155377496</v>
      </c>
      <c r="AH464" s="2">
        <f t="shared" ca="1" si="466"/>
        <v>1051603.9770350917</v>
      </c>
      <c r="AI464" s="2">
        <f t="shared" ca="1" si="467"/>
        <v>1089710.9303713317</v>
      </c>
      <c r="AJ464" s="2">
        <f t="shared" ca="1" si="468"/>
        <v>1129198.7646516173</v>
      </c>
      <c r="AK464" s="2">
        <f t="shared" ca="1" si="469"/>
        <v>0</v>
      </c>
      <c r="AL464" s="2">
        <f t="shared" ca="1" si="470"/>
        <v>17744.185052063913</v>
      </c>
      <c r="AM464" s="2">
        <f t="shared" ca="1" si="471"/>
        <v>18387.180748671144</v>
      </c>
      <c r="AN464" s="2">
        <f t="shared" ca="1" si="472"/>
        <v>19053.476668119951</v>
      </c>
      <c r="AO464" s="2">
        <f t="shared" ca="1" si="473"/>
        <v>19743.91714014277</v>
      </c>
      <c r="AP464" s="2">
        <f t="shared" ca="1" si="474"/>
        <v>2364398.142258645</v>
      </c>
      <c r="AQ464" s="2">
        <f t="shared" ca="1" si="475"/>
        <v>667191.25650902453</v>
      </c>
      <c r="AR464" s="2">
        <f t="shared" ca="1" si="476"/>
        <v>717288.59027202392</v>
      </c>
      <c r="AS464" s="2">
        <f t="shared" ca="1" si="477"/>
        <v>765557.41243530146</v>
      </c>
      <c r="AT464" s="2">
        <f t="shared" ca="1" si="478"/>
        <v>815575.35099024326</v>
      </c>
      <c r="AU464" s="2">
        <f t="shared" ca="1" si="479"/>
        <v>867405.78863430244</v>
      </c>
      <c r="AV464" s="2">
        <f t="shared" ca="1" si="480"/>
        <v>1898928.9608333772</v>
      </c>
      <c r="AW464" s="2">
        <f t="shared" ca="1" si="481"/>
        <v>2023769.4949529264</v>
      </c>
      <c r="AX464" s="2">
        <f t="shared" ca="1" si="482"/>
        <v>2160506.9931056481</v>
      </c>
      <c r="AY464" s="2">
        <f t="shared" ca="1" si="483"/>
        <v>2302199.4453810332</v>
      </c>
      <c r="AZ464" s="2">
        <f t="shared" ca="1" si="484"/>
        <v>2449026.4043574873</v>
      </c>
      <c r="BA464" s="2">
        <f t="shared" ca="1" si="485"/>
        <v>47703405.139302582</v>
      </c>
      <c r="BB464" s="2">
        <f t="shared" ca="1" si="486"/>
        <v>954068.10278605169</v>
      </c>
      <c r="BC464" s="2">
        <f t="shared" ca="1" si="487"/>
        <v>20478246.566976029</v>
      </c>
      <c r="BD464" s="2">
        <f t="shared" ca="1" si="488"/>
        <v>-19108689.082591191</v>
      </c>
      <c r="BE464" s="2">
        <f t="shared" ca="1" si="489"/>
        <v>1898928.9608333772</v>
      </c>
      <c r="BF464" s="2">
        <f t="shared" ca="1" si="490"/>
        <v>2023769.4949529264</v>
      </c>
      <c r="BG464" s="2">
        <f t="shared" ca="1" si="491"/>
        <v>2160506.9931056481</v>
      </c>
      <c r="BH464" s="2">
        <f t="shared" ca="1" si="492"/>
        <v>2302199.4453810332</v>
      </c>
      <c r="BI464" s="2">
        <f t="shared" ca="1" si="493"/>
        <v>22927272.971333519</v>
      </c>
      <c r="BJ464" s="2">
        <f t="shared" ca="1" si="494"/>
        <v>0.12295366645405492</v>
      </c>
      <c r="BK464" s="2">
        <f t="shared" ca="1" si="495"/>
        <v>210565.83773254603</v>
      </c>
    </row>
    <row r="465" spans="1:63" x14ac:dyDescent="0.3">
      <c r="A465" s="2">
        <v>464</v>
      </c>
      <c r="B465" s="2">
        <f t="shared" ca="1" si="434"/>
        <v>0.84698068366207402</v>
      </c>
      <c r="C465" s="2">
        <f t="shared" ca="1" si="435"/>
        <v>7.4467924144809183</v>
      </c>
      <c r="D465" s="2">
        <f t="shared" ca="1" si="436"/>
        <v>0.51563380273402903</v>
      </c>
      <c r="E465" s="2">
        <f t="shared" ca="1" si="437"/>
        <v>7.5157579593758745</v>
      </c>
      <c r="F465" s="2">
        <f t="shared" ca="1" si="438"/>
        <v>0.64734992507584632</v>
      </c>
      <c r="G465" s="2">
        <f t="shared" ca="1" si="439"/>
        <v>5.1345268015050655E-2</v>
      </c>
      <c r="H465" s="2">
        <f t="shared" ca="1" si="440"/>
        <v>5.1345268015050655E-2</v>
      </c>
      <c r="I465" s="2">
        <f t="shared" ca="1" si="441"/>
        <v>8.0979437373073448E-2</v>
      </c>
      <c r="J465" s="2">
        <f t="shared" ca="1" si="442"/>
        <v>3.0074317198007065E-3</v>
      </c>
      <c r="K465" s="2">
        <f t="shared" ca="1" si="443"/>
        <v>3.0074317198007065E-3</v>
      </c>
      <c r="L465" s="2">
        <f t="shared" ca="1" si="444"/>
        <v>0.77694623552704567</v>
      </c>
      <c r="M465" s="2">
        <f t="shared" ca="1" si="445"/>
        <v>1.5238407489993871E-2</v>
      </c>
      <c r="N465" s="2">
        <f t="shared" ca="1" si="446"/>
        <v>1.5238407489993871E-2</v>
      </c>
      <c r="O465" s="2">
        <f t="shared" si="447"/>
        <v>6000000</v>
      </c>
      <c r="P465" s="2">
        <f t="shared" ca="1" si="448"/>
        <v>44680754.48688551</v>
      </c>
      <c r="Q465" s="2">
        <f t="shared" ca="1" si="449"/>
        <v>1117018.8621721377</v>
      </c>
      <c r="R465" s="2">
        <f t="shared" ca="1" si="450"/>
        <v>26808452.692131307</v>
      </c>
      <c r="S465" s="2">
        <f t="shared" ca="1" si="451"/>
        <v>17872301.794754203</v>
      </c>
      <c r="T465" s="2">
        <f t="shared" ca="1" si="452"/>
        <v>50761920.374499694</v>
      </c>
      <c r="U465" s="2">
        <f t="shared" ca="1" si="453"/>
        <v>53368304.781087033</v>
      </c>
      <c r="V465" s="2">
        <f t="shared" ca="1" si="454"/>
        <v>56108514.693580851</v>
      </c>
      <c r="W465" s="2">
        <f t="shared" ca="1" si="455"/>
        <v>58989421.418449163</v>
      </c>
      <c r="X465" s="2">
        <f t="shared" ca="1" si="456"/>
        <v>62018249.0712322</v>
      </c>
      <c r="Y465" s="2">
        <f t="shared" ca="1" si="457"/>
        <v>0.12150371585990034</v>
      </c>
      <c r="Z465" s="2">
        <f t="shared" ca="1" si="458"/>
        <v>0.12210520220386049</v>
      </c>
      <c r="AA465" s="2">
        <f t="shared" ca="1" si="459"/>
        <v>6167761.949686097</v>
      </c>
      <c r="AB465" s="2">
        <f t="shared" ca="1" si="460"/>
        <v>6516547.6465718867</v>
      </c>
      <c r="AC465" s="2">
        <f t="shared" ca="1" si="461"/>
        <v>6851141.5320179677</v>
      </c>
      <c r="AD465" s="2">
        <f t="shared" ca="1" si="462"/>
        <v>7202915.2301884741</v>
      </c>
      <c r="AE465" s="2">
        <f t="shared" ca="1" si="463"/>
        <v>7572750.8431721907</v>
      </c>
      <c r="AF465" s="2">
        <f t="shared" ca="1" si="464"/>
        <v>1015238.4074899938</v>
      </c>
      <c r="AG465" s="2">
        <f t="shared" ca="1" si="465"/>
        <v>1067366.0956217407</v>
      </c>
      <c r="AH465" s="2">
        <f t="shared" ca="1" si="466"/>
        <v>1122170.2938716169</v>
      </c>
      <c r="AI465" s="2">
        <f t="shared" ca="1" si="467"/>
        <v>1179788.4283689833</v>
      </c>
      <c r="AJ465" s="2">
        <f t="shared" ca="1" si="468"/>
        <v>1240364.9814246441</v>
      </c>
      <c r="AK465" s="2">
        <f t="shared" ca="1" si="469"/>
        <v>0</v>
      </c>
      <c r="AL465" s="2">
        <f t="shared" ca="1" si="470"/>
        <v>26063.8440658734</v>
      </c>
      <c r="AM465" s="2">
        <f t="shared" ca="1" si="471"/>
        <v>27402.099124938177</v>
      </c>
      <c r="AN465" s="2">
        <f t="shared" ca="1" si="472"/>
        <v>28809.067248683124</v>
      </c>
      <c r="AO465" s="2">
        <f t="shared" ca="1" si="473"/>
        <v>30288.276527830363</v>
      </c>
      <c r="AP465" s="2">
        <f t="shared" ca="1" si="474"/>
        <v>2412760.7422918174</v>
      </c>
      <c r="AQ465" s="2">
        <f t="shared" ca="1" si="475"/>
        <v>712338.32797511434</v>
      </c>
      <c r="AR465" s="2">
        <f t="shared" ca="1" si="476"/>
        <v>789469.41025116551</v>
      </c>
      <c r="AS465" s="2">
        <f t="shared" ca="1" si="477"/>
        <v>862214.72892217874</v>
      </c>
      <c r="AT465" s="2">
        <f t="shared" ca="1" si="478"/>
        <v>938695.17547719495</v>
      </c>
      <c r="AU465" s="2">
        <f t="shared" ca="1" si="479"/>
        <v>1019102.5310584895</v>
      </c>
      <c r="AV465" s="2">
        <f t="shared" ca="1" si="480"/>
        <v>2027424.4719291721</v>
      </c>
      <c r="AW465" s="2">
        <f t="shared" ca="1" si="481"/>
        <v>2220887.5543412901</v>
      </c>
      <c r="AX465" s="2">
        <f t="shared" ca="1" si="482"/>
        <v>2426593.6678074161</v>
      </c>
      <c r="AY465" s="2">
        <f t="shared" ca="1" si="483"/>
        <v>2642861.8168017948</v>
      </c>
      <c r="AZ465" s="2">
        <f t="shared" ca="1" si="484"/>
        <v>2870234.3118694089</v>
      </c>
      <c r="BA465" s="2">
        <f t="shared" ca="1" si="485"/>
        <v>56914962.423941754</v>
      </c>
      <c r="BB465" s="2">
        <f t="shared" ca="1" si="486"/>
        <v>1138299.2484788352</v>
      </c>
      <c r="BC465" s="2">
        <f t="shared" ca="1" si="487"/>
        <v>28968210.483331613</v>
      </c>
      <c r="BD465" s="2">
        <f t="shared" ca="1" si="488"/>
        <v>-19489320.656926341</v>
      </c>
      <c r="BE465" s="2">
        <f t="shared" ca="1" si="489"/>
        <v>2027424.4719291721</v>
      </c>
      <c r="BF465" s="2">
        <f t="shared" ca="1" si="490"/>
        <v>2220887.5543412901</v>
      </c>
      <c r="BG465" s="2">
        <f t="shared" ca="1" si="491"/>
        <v>2426593.6678074161</v>
      </c>
      <c r="BH465" s="2">
        <f t="shared" ca="1" si="492"/>
        <v>2642861.8168017948</v>
      </c>
      <c r="BI465" s="2">
        <f t="shared" ca="1" si="493"/>
        <v>31838444.795201022</v>
      </c>
      <c r="BJ465" s="2">
        <f t="shared" ca="1" si="494"/>
        <v>0.18828349853344606</v>
      </c>
      <c r="BK465" s="2">
        <f t="shared" ca="1" si="495"/>
        <v>5564134.2521180324</v>
      </c>
    </row>
    <row r="466" spans="1:63" x14ac:dyDescent="0.3">
      <c r="A466" s="2">
        <v>465</v>
      </c>
      <c r="B466" s="2">
        <f t="shared" ca="1" si="434"/>
        <v>0.4067039306119703</v>
      </c>
      <c r="C466" s="2">
        <f t="shared" ca="1" si="435"/>
        <v>6.9018912690695817</v>
      </c>
      <c r="D466" s="2">
        <f t="shared" ca="1" si="436"/>
        <v>0.88096811531916142</v>
      </c>
      <c r="E466" s="2">
        <f t="shared" ca="1" si="437"/>
        <v>8.0120822104476233</v>
      </c>
      <c r="F466" s="2">
        <f t="shared" ca="1" si="438"/>
        <v>0.36722304146865403</v>
      </c>
      <c r="G466" s="2">
        <f t="shared" ca="1" si="439"/>
        <v>2.98234828065259E-2</v>
      </c>
      <c r="H466" s="2">
        <f t="shared" ca="1" si="440"/>
        <v>2.98234828065259E-2</v>
      </c>
      <c r="I466" s="2">
        <f t="shared" ca="1" si="441"/>
        <v>5.8445799613723426E-2</v>
      </c>
      <c r="J466" s="2">
        <f t="shared" ca="1" si="442"/>
        <v>2.1602242411414268E-3</v>
      </c>
      <c r="K466" s="2">
        <f t="shared" ca="1" si="443"/>
        <v>2.1602242411414268E-3</v>
      </c>
      <c r="L466" s="2">
        <f t="shared" ca="1" si="444"/>
        <v>0.19817492609719578</v>
      </c>
      <c r="M466" s="2">
        <f t="shared" ca="1" si="445"/>
        <v>-1.6963164738312525E-2</v>
      </c>
      <c r="N466" s="2">
        <f t="shared" ca="1" si="446"/>
        <v>-1.6963164738312525E-2</v>
      </c>
      <c r="O466" s="2">
        <f t="shared" si="447"/>
        <v>6000000</v>
      </c>
      <c r="P466" s="2">
        <f t="shared" ca="1" si="448"/>
        <v>41411347.614417493</v>
      </c>
      <c r="Q466" s="2">
        <f t="shared" ca="1" si="449"/>
        <v>1035283.6903604374</v>
      </c>
      <c r="R466" s="2">
        <f t="shared" ca="1" si="450"/>
        <v>24846808.568650495</v>
      </c>
      <c r="S466" s="2">
        <f t="shared" ca="1" si="451"/>
        <v>16564539.045766998</v>
      </c>
      <c r="T466" s="2">
        <f t="shared" ca="1" si="452"/>
        <v>49151841.763084374</v>
      </c>
      <c r="U466" s="2">
        <f t="shared" ca="1" si="453"/>
        <v>50617720.8708148</v>
      </c>
      <c r="V466" s="2">
        <f t="shared" ca="1" si="454"/>
        <v>52127317.598911069</v>
      </c>
      <c r="W466" s="2">
        <f t="shared" ca="1" si="455"/>
        <v>53681935.759072505</v>
      </c>
      <c r="X466" s="2">
        <f t="shared" ca="1" si="456"/>
        <v>55282918.047204226</v>
      </c>
      <c r="Y466" s="2">
        <f t="shared" ca="1" si="457"/>
        <v>0.12108011212057071</v>
      </c>
      <c r="Z466" s="2">
        <f t="shared" ca="1" si="458"/>
        <v>0.121512156968799</v>
      </c>
      <c r="AA466" s="2">
        <f t="shared" ca="1" si="459"/>
        <v>5951310.511606806</v>
      </c>
      <c r="AB466" s="2">
        <f t="shared" ca="1" si="460"/>
        <v>6150668.443857301</v>
      </c>
      <c r="AC466" s="2">
        <f t="shared" ca="1" si="461"/>
        <v>6334102.7984413207</v>
      </c>
      <c r="AD466" s="2">
        <f t="shared" ca="1" si="462"/>
        <v>6523007.8043454019</v>
      </c>
      <c r="AE466" s="2">
        <f t="shared" ca="1" si="463"/>
        <v>6717546.6154451305</v>
      </c>
      <c r="AF466" s="2">
        <f t="shared" ca="1" si="464"/>
        <v>983036.83526168752</v>
      </c>
      <c r="AG466" s="2">
        <f t="shared" ca="1" si="465"/>
        <v>1012354.4174162961</v>
      </c>
      <c r="AH466" s="2">
        <f t="shared" ca="1" si="466"/>
        <v>1042546.3519782214</v>
      </c>
      <c r="AI466" s="2">
        <f t="shared" ca="1" si="467"/>
        <v>1073638.7151814501</v>
      </c>
      <c r="AJ466" s="2">
        <f t="shared" ca="1" si="468"/>
        <v>1105658.3609440846</v>
      </c>
      <c r="AK466" s="2">
        <f t="shared" ca="1" si="469"/>
        <v>0</v>
      </c>
      <c r="AL466" s="2">
        <f t="shared" ca="1" si="470"/>
        <v>14658.791077304259</v>
      </c>
      <c r="AM466" s="2">
        <f t="shared" ca="1" si="471"/>
        <v>15095.967280962692</v>
      </c>
      <c r="AN466" s="2">
        <f t="shared" ca="1" si="472"/>
        <v>15546.181601614357</v>
      </c>
      <c r="AO466" s="2">
        <f t="shared" ca="1" si="473"/>
        <v>16009.822881317214</v>
      </c>
      <c r="AP466" s="2">
        <f t="shared" ca="1" si="474"/>
        <v>2236212.7711785445</v>
      </c>
      <c r="AQ466" s="2">
        <f t="shared" ca="1" si="475"/>
        <v>710335.83534330921</v>
      </c>
      <c r="AR466" s="2">
        <f t="shared" ca="1" si="476"/>
        <v>754546.32636823982</v>
      </c>
      <c r="AS466" s="2">
        <f t="shared" ca="1" si="477"/>
        <v>794389.3555739841</v>
      </c>
      <c r="AT466" s="2">
        <f t="shared" ca="1" si="478"/>
        <v>835420.64267620584</v>
      </c>
      <c r="AU466" s="2">
        <f t="shared" ca="1" si="479"/>
        <v>877675.62566385034</v>
      </c>
      <c r="AV466" s="2">
        <f t="shared" ca="1" si="480"/>
        <v>2021725.0698232641</v>
      </c>
      <c r="AW466" s="2">
        <f t="shared" ca="1" si="481"/>
        <v>2132896.1378169162</v>
      </c>
      <c r="AX466" s="2">
        <f t="shared" ca="1" si="482"/>
        <v>2245858.3524296079</v>
      </c>
      <c r="AY466" s="2">
        <f t="shared" ca="1" si="483"/>
        <v>2362189.493707587</v>
      </c>
      <c r="AZ466" s="2">
        <f t="shared" ca="1" si="484"/>
        <v>2481990.034777334</v>
      </c>
      <c r="BA466" s="2">
        <f t="shared" ca="1" si="485"/>
        <v>53821535.735460572</v>
      </c>
      <c r="BB466" s="2">
        <f t="shared" ca="1" si="486"/>
        <v>1076430.7147092114</v>
      </c>
      <c r="BC466" s="2">
        <f t="shared" ca="1" si="487"/>
        <v>27898296.452100866</v>
      </c>
      <c r="BD466" s="2">
        <f t="shared" ca="1" si="488"/>
        <v>-18099822.736127436</v>
      </c>
      <c r="BE466" s="2">
        <f t="shared" ca="1" si="489"/>
        <v>2021725.0698232641</v>
      </c>
      <c r="BF466" s="2">
        <f t="shared" ca="1" si="490"/>
        <v>2132896.1378169162</v>
      </c>
      <c r="BG466" s="2">
        <f t="shared" ca="1" si="491"/>
        <v>2245858.3524296079</v>
      </c>
      <c r="BH466" s="2">
        <f t="shared" ca="1" si="492"/>
        <v>2362189.493707587</v>
      </c>
      <c r="BI466" s="2">
        <f t="shared" ca="1" si="493"/>
        <v>30380286.486878201</v>
      </c>
      <c r="BJ466" s="2">
        <f t="shared" ca="1" si="494"/>
        <v>0.19542324959006852</v>
      </c>
      <c r="BK466" s="2">
        <f t="shared" ca="1" si="495"/>
        <v>5743982.8554723226</v>
      </c>
    </row>
    <row r="467" spans="1:63" x14ac:dyDescent="0.3">
      <c r="A467" s="2">
        <v>466</v>
      </c>
      <c r="B467" s="2">
        <f t="shared" ca="1" si="434"/>
        <v>0.81262602614919133</v>
      </c>
      <c r="C467" s="2">
        <f t="shared" ca="1" si="435"/>
        <v>7.3878333987372251</v>
      </c>
      <c r="D467" s="2">
        <f t="shared" ca="1" si="436"/>
        <v>0.21621170967206149</v>
      </c>
      <c r="E467" s="2">
        <f t="shared" ca="1" si="437"/>
        <v>7.1575890961262383</v>
      </c>
      <c r="F467" s="2">
        <f t="shared" ca="1" si="438"/>
        <v>0.65525317934000427</v>
      </c>
      <c r="G467" s="2">
        <f t="shared" ca="1" si="439"/>
        <v>5.1986269846860444E-2</v>
      </c>
      <c r="H467" s="2">
        <f t="shared" ca="1" si="440"/>
        <v>5.1986269846860444E-2</v>
      </c>
      <c r="I467" s="2">
        <f t="shared" ca="1" si="441"/>
        <v>0.75629444445344129</v>
      </c>
      <c r="J467" s="2">
        <f t="shared" ca="1" si="442"/>
        <v>1.3472161758004765E-2</v>
      </c>
      <c r="K467" s="2">
        <f t="shared" ca="1" si="443"/>
        <v>1.3472161758004765E-2</v>
      </c>
      <c r="L467" s="2">
        <f t="shared" ca="1" si="444"/>
        <v>0.18309403674799307</v>
      </c>
      <c r="M467" s="2">
        <f t="shared" ca="1" si="445"/>
        <v>-1.8072734028808959E-2</v>
      </c>
      <c r="N467" s="2">
        <f t="shared" ca="1" si="446"/>
        <v>-1.8072734028808959E-2</v>
      </c>
      <c r="O467" s="2">
        <f t="shared" si="447"/>
        <v>6000000</v>
      </c>
      <c r="P467" s="2">
        <f t="shared" ca="1" si="448"/>
        <v>44327000.392423354</v>
      </c>
      <c r="Q467" s="2">
        <f t="shared" ca="1" si="449"/>
        <v>1108175.0098105839</v>
      </c>
      <c r="R467" s="2">
        <f t="shared" ca="1" si="450"/>
        <v>26596200.235454012</v>
      </c>
      <c r="S467" s="2">
        <f t="shared" ca="1" si="451"/>
        <v>17730800.156969342</v>
      </c>
      <c r="T467" s="2">
        <f t="shared" ca="1" si="452"/>
        <v>49096363.298559554</v>
      </c>
      <c r="U467" s="2">
        <f t="shared" ca="1" si="453"/>
        <v>51648700.089497969</v>
      </c>
      <c r="V467" s="2">
        <f t="shared" ca="1" si="454"/>
        <v>54333723.349590175</v>
      </c>
      <c r="W467" s="2">
        <f t="shared" ca="1" si="455"/>
        <v>57158330.953426637</v>
      </c>
      <c r="X467" s="2">
        <f t="shared" ca="1" si="456"/>
        <v>60129779.370367631</v>
      </c>
      <c r="Y467" s="2">
        <f t="shared" ca="1" si="457"/>
        <v>0.12673608087900237</v>
      </c>
      <c r="Z467" s="2">
        <f t="shared" ca="1" si="458"/>
        <v>0.12943051323060334</v>
      </c>
      <c r="AA467" s="2">
        <f t="shared" ca="1" si="459"/>
        <v>6222280.6698711272</v>
      </c>
      <c r="AB467" s="2">
        <f t="shared" ca="1" si="460"/>
        <v>6684917.7602772303</v>
      </c>
      <c r="AC467" s="2">
        <f t="shared" ca="1" si="461"/>
        <v>7032441.6988670724</v>
      </c>
      <c r="AD467" s="2">
        <f t="shared" ca="1" si="462"/>
        <v>7398032.1107066907</v>
      </c>
      <c r="AE467" s="2">
        <f t="shared" ca="1" si="463"/>
        <v>7782628.2043496277</v>
      </c>
      <c r="AF467" s="2">
        <f t="shared" ca="1" si="464"/>
        <v>981927.26597119111</v>
      </c>
      <c r="AG467" s="2">
        <f t="shared" ca="1" si="465"/>
        <v>1032974.0017899594</v>
      </c>
      <c r="AH467" s="2">
        <f t="shared" ca="1" si="466"/>
        <v>1086674.4669918036</v>
      </c>
      <c r="AI467" s="2">
        <f t="shared" ca="1" si="467"/>
        <v>1143166.6190685327</v>
      </c>
      <c r="AJ467" s="2">
        <f t="shared" ca="1" si="468"/>
        <v>1202595.5874073526</v>
      </c>
      <c r="AK467" s="2">
        <f t="shared" ca="1" si="469"/>
        <v>0</v>
      </c>
      <c r="AL467" s="2">
        <f t="shared" ca="1" si="470"/>
        <v>25523.367909384146</v>
      </c>
      <c r="AM467" s="2">
        <f t="shared" ca="1" si="471"/>
        <v>26850.232600922063</v>
      </c>
      <c r="AN467" s="2">
        <f t="shared" ca="1" si="472"/>
        <v>28246.076038364619</v>
      </c>
      <c r="AO467" s="2">
        <f t="shared" ca="1" si="473"/>
        <v>29714.484169409945</v>
      </c>
      <c r="AP467" s="2">
        <f t="shared" ca="1" si="474"/>
        <v>2393658.0211908608</v>
      </c>
      <c r="AQ467" s="2">
        <f t="shared" ca="1" si="475"/>
        <v>740140.7995043596</v>
      </c>
      <c r="AR467" s="2">
        <f t="shared" ca="1" si="476"/>
        <v>847154.29169706674</v>
      </c>
      <c r="AS467" s="2">
        <f t="shared" ca="1" si="477"/>
        <v>923548.39477794606</v>
      </c>
      <c r="AT467" s="2">
        <f t="shared" ca="1" si="478"/>
        <v>1003913.9423162972</v>
      </c>
      <c r="AU467" s="2">
        <f t="shared" ca="1" si="479"/>
        <v>1088457.3948953678</v>
      </c>
      <c r="AV467" s="2">
        <f t="shared" ca="1" si="480"/>
        <v>2106554.583204716</v>
      </c>
      <c r="AW467" s="2">
        <f t="shared" ca="1" si="481"/>
        <v>2385608.0776899592</v>
      </c>
      <c r="AX467" s="2">
        <f t="shared" ca="1" si="482"/>
        <v>2601710.58330554</v>
      </c>
      <c r="AY467" s="2">
        <f t="shared" ca="1" si="483"/>
        <v>2829047.452092635</v>
      </c>
      <c r="AZ467" s="2">
        <f t="shared" ca="1" si="484"/>
        <v>3068202.7166866367</v>
      </c>
      <c r="BA467" s="2">
        <f t="shared" ca="1" si="485"/>
        <v>55704854.774657421</v>
      </c>
      <c r="BB467" s="2">
        <f t="shared" ca="1" si="486"/>
        <v>1114097.0954931485</v>
      </c>
      <c r="BC467" s="2">
        <f t="shared" ca="1" si="487"/>
        <v>27994557.44371026</v>
      </c>
      <c r="BD467" s="2">
        <f t="shared" ca="1" si="488"/>
        <v>-19338975.166779928</v>
      </c>
      <c r="BE467" s="2">
        <f t="shared" ca="1" si="489"/>
        <v>2106554.583204716</v>
      </c>
      <c r="BF467" s="2">
        <f t="shared" ca="1" si="490"/>
        <v>2385608.0776899592</v>
      </c>
      <c r="BG467" s="2">
        <f t="shared" ca="1" si="491"/>
        <v>2601710.58330554</v>
      </c>
      <c r="BH467" s="2">
        <f t="shared" ca="1" si="492"/>
        <v>2829047.452092635</v>
      </c>
      <c r="BI467" s="2">
        <f t="shared" ca="1" si="493"/>
        <v>31062760.160396896</v>
      </c>
      <c r="BJ467" s="2">
        <f t="shared" ca="1" si="494"/>
        <v>0.19129530229692659</v>
      </c>
      <c r="BK467" s="2">
        <f t="shared" ca="1" si="495"/>
        <v>5719270.6253725141</v>
      </c>
    </row>
    <row r="468" spans="1:63" x14ac:dyDescent="0.3">
      <c r="A468" s="2">
        <v>467</v>
      </c>
      <c r="B468" s="2">
        <f t="shared" ca="1" si="434"/>
        <v>0.80174775711937418</v>
      </c>
      <c r="C468" s="2">
        <f t="shared" ca="1" si="435"/>
        <v>7.3703139784295262</v>
      </c>
      <c r="D468" s="2">
        <f t="shared" ca="1" si="436"/>
        <v>9.3593361197153002E-2</v>
      </c>
      <c r="E468" s="2">
        <f t="shared" ca="1" si="437"/>
        <v>6.9326508088450849</v>
      </c>
      <c r="F468" s="2">
        <f t="shared" ca="1" si="438"/>
        <v>0.2056580571490354</v>
      </c>
      <c r="G468" s="2">
        <f t="shared" ca="1" si="439"/>
        <v>1.5352607293452628E-2</v>
      </c>
      <c r="H468" s="2">
        <f t="shared" ca="1" si="440"/>
        <v>1.5352607293452628E-2</v>
      </c>
      <c r="I468" s="2">
        <f t="shared" ca="1" si="441"/>
        <v>0.92678134313644933</v>
      </c>
      <c r="J468" s="2">
        <f t="shared" ca="1" si="442"/>
        <v>1.726115629568982E-2</v>
      </c>
      <c r="K468" s="2">
        <f t="shared" ca="1" si="443"/>
        <v>1.726115629568982E-2</v>
      </c>
      <c r="L468" s="2">
        <f t="shared" ca="1" si="444"/>
        <v>0.12545590481263269</v>
      </c>
      <c r="M468" s="2">
        <f t="shared" ca="1" si="445"/>
        <v>-2.2962749802415468E-2</v>
      </c>
      <c r="N468" s="2">
        <f t="shared" ca="1" si="446"/>
        <v>-2.2962749802415468E-2</v>
      </c>
      <c r="O468" s="2">
        <f t="shared" si="447"/>
        <v>6000000</v>
      </c>
      <c r="P468" s="2">
        <f t="shared" ca="1" si="448"/>
        <v>44221883.870577157</v>
      </c>
      <c r="Q468" s="2">
        <f t="shared" ca="1" si="449"/>
        <v>1105547.096764429</v>
      </c>
      <c r="R468" s="2">
        <f t="shared" ca="1" si="450"/>
        <v>26533130.322346292</v>
      </c>
      <c r="S468" s="2">
        <f t="shared" ca="1" si="451"/>
        <v>17688753.548230864</v>
      </c>
      <c r="T468" s="2">
        <f t="shared" ca="1" si="452"/>
        <v>48851862.509879231</v>
      </c>
      <c r="U468" s="2">
        <f t="shared" ca="1" si="453"/>
        <v>49601865.970547147</v>
      </c>
      <c r="V468" s="2">
        <f t="shared" ca="1" si="454"/>
        <v>50363383.939815432</v>
      </c>
      <c r="W468" s="2">
        <f t="shared" ca="1" si="455"/>
        <v>51136593.1954128</v>
      </c>
      <c r="X468" s="2">
        <f t="shared" ca="1" si="456"/>
        <v>51921673.22906702</v>
      </c>
      <c r="Y468" s="2">
        <f t="shared" ca="1" si="457"/>
        <v>0.1286305781478449</v>
      </c>
      <c r="Z468" s="2">
        <f t="shared" ca="1" si="458"/>
        <v>0.13208280940698286</v>
      </c>
      <c r="AA468" s="2">
        <f t="shared" ca="1" si="459"/>
        <v>6283843.3182447953</v>
      </c>
      <c r="AB468" s="2">
        <f t="shared" ca="1" si="460"/>
        <v>6551553.8092184877</v>
      </c>
      <c r="AC468" s="2">
        <f t="shared" ca="1" si="461"/>
        <v>6652137.2420133436</v>
      </c>
      <c r="AD468" s="2">
        <f t="shared" ca="1" si="462"/>
        <v>6754264.8927521259</v>
      </c>
      <c r="AE468" s="2">
        <f t="shared" ca="1" si="463"/>
        <v>6857960.4692065036</v>
      </c>
      <c r="AF468" s="2">
        <f t="shared" ca="1" si="464"/>
        <v>977037.25019758462</v>
      </c>
      <c r="AG468" s="2">
        <f t="shared" ca="1" si="465"/>
        <v>992037.31941094296</v>
      </c>
      <c r="AH468" s="2">
        <f t="shared" ca="1" si="466"/>
        <v>1007267.6787963087</v>
      </c>
      <c r="AI468" s="2">
        <f t="shared" ca="1" si="467"/>
        <v>1022731.8639082561</v>
      </c>
      <c r="AJ468" s="2">
        <f t="shared" ca="1" si="468"/>
        <v>1038433.4645813404</v>
      </c>
      <c r="AK468" s="2">
        <f t="shared" ca="1" si="469"/>
        <v>0</v>
      </c>
      <c r="AL468" s="2">
        <f t="shared" ca="1" si="470"/>
        <v>7500.0346066791562</v>
      </c>
      <c r="AM468" s="2">
        <f t="shared" ca="1" si="471"/>
        <v>7615.1796926828474</v>
      </c>
      <c r="AN468" s="2">
        <f t="shared" ca="1" si="472"/>
        <v>7732.0925559736788</v>
      </c>
      <c r="AO468" s="2">
        <f t="shared" ca="1" si="473"/>
        <v>7850.8003365422046</v>
      </c>
      <c r="AP468" s="2">
        <f t="shared" ca="1" si="474"/>
        <v>2387981.7290111664</v>
      </c>
      <c r="AQ468" s="2">
        <f t="shared" ca="1" si="475"/>
        <v>758894.32814937155</v>
      </c>
      <c r="AR468" s="2">
        <f t="shared" ca="1" si="476"/>
        <v>824599.03780705831</v>
      </c>
      <c r="AS468" s="2">
        <f t="shared" ca="1" si="477"/>
        <v>846790.83689352579</v>
      </c>
      <c r="AT468" s="2">
        <f t="shared" ca="1" si="478"/>
        <v>869323.3379565028</v>
      </c>
      <c r="AU468" s="2">
        <f t="shared" ca="1" si="479"/>
        <v>892201.7716596392</v>
      </c>
      <c r="AV468" s="2">
        <f t="shared" ca="1" si="480"/>
        <v>2159930.0108866724</v>
      </c>
      <c r="AW468" s="2">
        <f t="shared" ca="1" si="481"/>
        <v>2339435.68838264</v>
      </c>
      <c r="AX468" s="2">
        <f t="shared" ca="1" si="482"/>
        <v>2402481.8176196595</v>
      </c>
      <c r="AY468" s="2">
        <f t="shared" ca="1" si="483"/>
        <v>2466495.8693202264</v>
      </c>
      <c r="AZ468" s="2">
        <f t="shared" ca="1" si="484"/>
        <v>2531492.7036178154</v>
      </c>
      <c r="BA468" s="2">
        <f t="shared" ca="1" si="485"/>
        <v>47543845.193872087</v>
      </c>
      <c r="BB468" s="2">
        <f t="shared" ca="1" si="486"/>
        <v>950876.90387744177</v>
      </c>
      <c r="BC468" s="2">
        <f t="shared" ca="1" si="487"/>
        <v>20059837.967648353</v>
      </c>
      <c r="BD468" s="2">
        <f t="shared" ca="1" si="488"/>
        <v>-19294300.644995295</v>
      </c>
      <c r="BE468" s="2">
        <f t="shared" ca="1" si="489"/>
        <v>2159930.0108866724</v>
      </c>
      <c r="BF468" s="2">
        <f t="shared" ca="1" si="490"/>
        <v>2339435.68838264</v>
      </c>
      <c r="BG468" s="2">
        <f t="shared" ca="1" si="491"/>
        <v>2402481.8176196595</v>
      </c>
      <c r="BH468" s="2">
        <f t="shared" ca="1" si="492"/>
        <v>2466495.8693202264</v>
      </c>
      <c r="BI468" s="2">
        <f t="shared" ca="1" si="493"/>
        <v>22591330.671266168</v>
      </c>
      <c r="BJ468" s="2">
        <f t="shared" ca="1" si="494"/>
        <v>0.12839280337431003</v>
      </c>
      <c r="BK468" s="2">
        <f t="shared" ca="1" si="495"/>
        <v>595661.64907146245</v>
      </c>
    </row>
    <row r="469" spans="1:63" x14ac:dyDescent="0.3">
      <c r="A469" s="2">
        <v>468</v>
      </c>
      <c r="B469" s="2">
        <f t="shared" ca="1" si="434"/>
        <v>0.52600683332466369</v>
      </c>
      <c r="C469" s="2">
        <f t="shared" ca="1" si="435"/>
        <v>7.0263541026889333</v>
      </c>
      <c r="D469" s="2">
        <f t="shared" ca="1" si="436"/>
        <v>0.89165452029398673</v>
      </c>
      <c r="E469" s="2">
        <f t="shared" ca="1" si="437"/>
        <v>8.0344992380113371</v>
      </c>
      <c r="F469" s="2">
        <f t="shared" ca="1" si="438"/>
        <v>0.27665176355290344</v>
      </c>
      <c r="G469" s="2">
        <f t="shared" ca="1" si="439"/>
        <v>2.2215485414308025E-2</v>
      </c>
      <c r="H469" s="2">
        <f t="shared" ca="1" si="440"/>
        <v>2.2215485414308025E-2</v>
      </c>
      <c r="I469" s="2">
        <f t="shared" ca="1" si="441"/>
        <v>0.68712447028805057</v>
      </c>
      <c r="J469" s="2">
        <f t="shared" ca="1" si="442"/>
        <v>1.24385797011072E-2</v>
      </c>
      <c r="K469" s="2">
        <f t="shared" ca="1" si="443"/>
        <v>1.24385797011072E-2</v>
      </c>
      <c r="L469" s="2">
        <f t="shared" ca="1" si="444"/>
        <v>0.12101209630235255</v>
      </c>
      <c r="M469" s="2">
        <f t="shared" ca="1" si="445"/>
        <v>-2.3398845854092659E-2</v>
      </c>
      <c r="N469" s="2">
        <f t="shared" ca="1" si="446"/>
        <v>-2.3398845854092659E-2</v>
      </c>
      <c r="O469" s="2">
        <f t="shared" si="447"/>
        <v>6000000</v>
      </c>
      <c r="P469" s="2">
        <f t="shared" ca="1" si="448"/>
        <v>42158124.6161336</v>
      </c>
      <c r="Q469" s="2">
        <f t="shared" ca="1" si="449"/>
        <v>1053953.11540334</v>
      </c>
      <c r="R469" s="2">
        <f t="shared" ca="1" si="450"/>
        <v>25294874.769680161</v>
      </c>
      <c r="S469" s="2">
        <f t="shared" ca="1" si="451"/>
        <v>16863249.846453439</v>
      </c>
      <c r="T469" s="2">
        <f t="shared" ca="1" si="452"/>
        <v>48830057.707295366</v>
      </c>
      <c r="U469" s="2">
        <f t="shared" ca="1" si="453"/>
        <v>49914841.142071605</v>
      </c>
      <c r="V469" s="2">
        <f t="shared" ca="1" si="454"/>
        <v>51023723.567420796</v>
      </c>
      <c r="W469" s="2">
        <f t="shared" ca="1" si="455"/>
        <v>52157240.354116514</v>
      </c>
      <c r="X469" s="2">
        <f t="shared" ca="1" si="456"/>
        <v>53315938.766453944</v>
      </c>
      <c r="Y469" s="2">
        <f t="shared" ca="1" si="457"/>
        <v>0.12621928985055358</v>
      </c>
      <c r="Z469" s="2">
        <f t="shared" ca="1" si="458"/>
        <v>0.12870700579077504</v>
      </c>
      <c r="AA469" s="2">
        <f t="shared" ca="1" si="459"/>
        <v>6163295.2071763715</v>
      </c>
      <c r="AB469" s="2">
        <f t="shared" ca="1" si="460"/>
        <v>6424389.7479182268</v>
      </c>
      <c r="AC469" s="2">
        <f t="shared" ca="1" si="461"/>
        <v>6567110.6846589334</v>
      </c>
      <c r="AD469" s="2">
        <f t="shared" ca="1" si="462"/>
        <v>6713002.23628812</v>
      </c>
      <c r="AE469" s="2">
        <f t="shared" ca="1" si="463"/>
        <v>6862134.8395545958</v>
      </c>
      <c r="AF469" s="2">
        <f t="shared" ca="1" si="464"/>
        <v>976601.15414590738</v>
      </c>
      <c r="AG469" s="2">
        <f t="shared" ca="1" si="465"/>
        <v>998296.82284143206</v>
      </c>
      <c r="AH469" s="2">
        <f t="shared" ca="1" si="466"/>
        <v>1020474.4713484159</v>
      </c>
      <c r="AI469" s="2">
        <f t="shared" ca="1" si="467"/>
        <v>1043144.8070823303</v>
      </c>
      <c r="AJ469" s="2">
        <f t="shared" ca="1" si="468"/>
        <v>1066318.775329079</v>
      </c>
      <c r="AK469" s="2">
        <f t="shared" ca="1" si="469"/>
        <v>0</v>
      </c>
      <c r="AL469" s="2">
        <f t="shared" ca="1" si="470"/>
        <v>10847.834347762391</v>
      </c>
      <c r="AM469" s="2">
        <f t="shared" ca="1" si="471"/>
        <v>11088.824253491908</v>
      </c>
      <c r="AN469" s="2">
        <f t="shared" ca="1" si="472"/>
        <v>11335.167866957188</v>
      </c>
      <c r="AO469" s="2">
        <f t="shared" ca="1" si="473"/>
        <v>11586.984123374299</v>
      </c>
      <c r="AP469" s="2">
        <f t="shared" ca="1" si="474"/>
        <v>2276538.7292712145</v>
      </c>
      <c r="AQ469" s="2">
        <f t="shared" ca="1" si="475"/>
        <v>756640.38417740492</v>
      </c>
      <c r="AR469" s="2">
        <f t="shared" ca="1" si="476"/>
        <v>818884.0909094509</v>
      </c>
      <c r="AS469" s="2">
        <f t="shared" ca="1" si="477"/>
        <v>850225.34585021879</v>
      </c>
      <c r="AT469" s="2">
        <f t="shared" ca="1" si="478"/>
        <v>882262.86198298971</v>
      </c>
      <c r="AU469" s="2">
        <f t="shared" ca="1" si="479"/>
        <v>915012.10708811879</v>
      </c>
      <c r="AV469" s="2">
        <f t="shared" ca="1" si="480"/>
        <v>2153514.939581845</v>
      </c>
      <c r="AW469" s="2">
        <f t="shared" ca="1" si="481"/>
        <v>2319822.2705483669</v>
      </c>
      <c r="AX469" s="2">
        <f t="shared" ca="1" si="482"/>
        <v>2408783.3139355918</v>
      </c>
      <c r="AY469" s="2">
        <f t="shared" ca="1" si="483"/>
        <v>2499720.6700846283</v>
      </c>
      <c r="AZ469" s="2">
        <f t="shared" ca="1" si="484"/>
        <v>2592678.2437428096</v>
      </c>
      <c r="BA469" s="2">
        <f t="shared" ca="1" si="485"/>
        <v>55133817.139532447</v>
      </c>
      <c r="BB469" s="2">
        <f t="shared" ca="1" si="486"/>
        <v>1102676.342790649</v>
      </c>
      <c r="BC469" s="2">
        <f t="shared" ca="1" si="487"/>
        <v>28736266.027061637</v>
      </c>
      <c r="BD469" s="2">
        <f t="shared" ca="1" si="488"/>
        <v>-18417202.961856779</v>
      </c>
      <c r="BE469" s="2">
        <f t="shared" ca="1" si="489"/>
        <v>2153514.939581845</v>
      </c>
      <c r="BF469" s="2">
        <f t="shared" ca="1" si="490"/>
        <v>2319822.2705483669</v>
      </c>
      <c r="BG469" s="2">
        <f t="shared" ca="1" si="491"/>
        <v>2408783.3139355918</v>
      </c>
      <c r="BH469" s="2">
        <f t="shared" ca="1" si="492"/>
        <v>2499720.6700846283</v>
      </c>
      <c r="BI469" s="2">
        <f t="shared" ca="1" si="493"/>
        <v>31328944.270804446</v>
      </c>
      <c r="BJ469" s="2">
        <f t="shared" ca="1" si="494"/>
        <v>0.20279711361270403</v>
      </c>
      <c r="BK469" s="2">
        <f t="shared" ca="1" si="495"/>
        <v>6434952.7467747964</v>
      </c>
    </row>
    <row r="470" spans="1:63" x14ac:dyDescent="0.3">
      <c r="A470" s="2">
        <v>469</v>
      </c>
      <c r="B470" s="2">
        <f t="shared" ca="1" si="434"/>
        <v>0.91585794841440837</v>
      </c>
      <c r="C470" s="2">
        <f t="shared" ca="1" si="435"/>
        <v>7.5897755453764573</v>
      </c>
      <c r="D470" s="2">
        <f t="shared" ca="1" si="436"/>
        <v>0.44700205732139542</v>
      </c>
      <c r="E470" s="2">
        <f t="shared" ca="1" si="437"/>
        <v>7.4455179081555203</v>
      </c>
      <c r="F470" s="2">
        <f t="shared" ca="1" si="438"/>
        <v>0.71526420973861293</v>
      </c>
      <c r="G470" s="2">
        <f t="shared" ca="1" si="439"/>
        <v>5.7064897036249104E-2</v>
      </c>
      <c r="H470" s="2">
        <f t="shared" ca="1" si="440"/>
        <v>5.7064897036249104E-2</v>
      </c>
      <c r="I470" s="2">
        <f t="shared" ca="1" si="441"/>
        <v>0.1029860507631698</v>
      </c>
      <c r="J470" s="2">
        <f t="shared" ca="1" si="442"/>
        <v>3.6764053490426826E-3</v>
      </c>
      <c r="K470" s="2">
        <f t="shared" ca="1" si="443"/>
        <v>3.6764053490426826E-3</v>
      </c>
      <c r="L470" s="2">
        <f t="shared" ca="1" si="444"/>
        <v>0.3104245973707459</v>
      </c>
      <c r="M470" s="2">
        <f t="shared" ca="1" si="445"/>
        <v>-9.8929435328858166E-3</v>
      </c>
      <c r="N470" s="2">
        <f t="shared" ca="1" si="446"/>
        <v>-9.8929435328858166E-3</v>
      </c>
      <c r="O470" s="2">
        <f t="shared" si="447"/>
        <v>6000000</v>
      </c>
      <c r="P470" s="2">
        <f t="shared" ca="1" si="448"/>
        <v>45538653.272258744</v>
      </c>
      <c r="Q470" s="2">
        <f t="shared" ca="1" si="449"/>
        <v>1138466.3318064685</v>
      </c>
      <c r="R470" s="2">
        <f t="shared" ca="1" si="450"/>
        <v>27323191.963355247</v>
      </c>
      <c r="S470" s="2">
        <f t="shared" ca="1" si="451"/>
        <v>18215461.308903497</v>
      </c>
      <c r="T470" s="2">
        <f t="shared" ca="1" si="452"/>
        <v>49505352.823355712</v>
      </c>
      <c r="U470" s="2">
        <f t="shared" ca="1" si="453"/>
        <v>52330370.684963688</v>
      </c>
      <c r="V470" s="2">
        <f t="shared" ca="1" si="454"/>
        <v>55316597.899969891</v>
      </c>
      <c r="W470" s="2">
        <f t="shared" ca="1" si="455"/>
        <v>58473233.863527261</v>
      </c>
      <c r="X470" s="2">
        <f t="shared" ca="1" si="456"/>
        <v>61810002.933325954</v>
      </c>
      <c r="Y470" s="2">
        <f t="shared" ca="1" si="457"/>
        <v>0.12183820267452133</v>
      </c>
      <c r="Z470" s="2">
        <f t="shared" ca="1" si="458"/>
        <v>0.12257348374432987</v>
      </c>
      <c r="AA470" s="2">
        <f t="shared" ca="1" si="459"/>
        <v>6031643.2107656999</v>
      </c>
      <c r="AB470" s="2">
        <f t="shared" ca="1" si="460"/>
        <v>6414315.8404881535</v>
      </c>
      <c r="AC470" s="2">
        <f t="shared" ca="1" si="461"/>
        <v>6780348.113483591</v>
      </c>
      <c r="AD470" s="2">
        <f t="shared" ca="1" si="462"/>
        <v>7167267.9804494577</v>
      </c>
      <c r="AE470" s="2">
        <f t="shared" ca="1" si="463"/>
        <v>7576267.3897850104</v>
      </c>
      <c r="AF470" s="2">
        <f t="shared" ca="1" si="464"/>
        <v>990107.05646711425</v>
      </c>
      <c r="AG470" s="2">
        <f t="shared" ca="1" si="465"/>
        <v>1046607.4136992738</v>
      </c>
      <c r="AH470" s="2">
        <f t="shared" ca="1" si="466"/>
        <v>1106331.9579993978</v>
      </c>
      <c r="AI470" s="2">
        <f t="shared" ca="1" si="467"/>
        <v>1169464.6772705452</v>
      </c>
      <c r="AJ470" s="2">
        <f t="shared" ca="1" si="468"/>
        <v>1236200.0586665191</v>
      </c>
      <c r="AK470" s="2">
        <f t="shared" ca="1" si="469"/>
        <v>0</v>
      </c>
      <c r="AL470" s="2">
        <f t="shared" ca="1" si="470"/>
        <v>28250.178616079764</v>
      </c>
      <c r="AM470" s="2">
        <f t="shared" ca="1" si="471"/>
        <v>29862.272150062025</v>
      </c>
      <c r="AN470" s="2">
        <f t="shared" ca="1" si="472"/>
        <v>31566.359635573699</v>
      </c>
      <c r="AO470" s="2">
        <f t="shared" ca="1" si="473"/>
        <v>33367.690697986931</v>
      </c>
      <c r="AP470" s="2">
        <f t="shared" ca="1" si="474"/>
        <v>2459087.2767019724</v>
      </c>
      <c r="AQ470" s="2">
        <f t="shared" ca="1" si="475"/>
        <v>671436.70817511948</v>
      </c>
      <c r="AR470" s="2">
        <f t="shared" ca="1" si="476"/>
        <v>756241.49902259593</v>
      </c>
      <c r="AS470" s="2">
        <f t="shared" ca="1" si="477"/>
        <v>835881.5084833774</v>
      </c>
      <c r="AT470" s="2">
        <f t="shared" ca="1" si="478"/>
        <v>920066.16688400437</v>
      </c>
      <c r="AU470" s="2">
        <f t="shared" ca="1" si="479"/>
        <v>1009054.814148295</v>
      </c>
      <c r="AV470" s="2">
        <f t="shared" ca="1" si="480"/>
        <v>1911012.1694214935</v>
      </c>
      <c r="AW470" s="2">
        <f t="shared" ca="1" si="481"/>
        <v>2124129.4724482321</v>
      </c>
      <c r="AX470" s="2">
        <f t="shared" ca="1" si="482"/>
        <v>2349185.0981487813</v>
      </c>
      <c r="AY470" s="2">
        <f t="shared" ca="1" si="483"/>
        <v>2587083.4999573617</v>
      </c>
      <c r="AZ470" s="2">
        <f t="shared" ca="1" si="484"/>
        <v>2838557.5495702378</v>
      </c>
      <c r="BA470" s="2">
        <f t="shared" ca="1" si="485"/>
        <v>56409234.527618974</v>
      </c>
      <c r="BB470" s="2">
        <f t="shared" ca="1" si="486"/>
        <v>1128184.6905523795</v>
      </c>
      <c r="BC470" s="2">
        <f t="shared" ca="1" si="487"/>
        <v>27957857.873711348</v>
      </c>
      <c r="BD470" s="2">
        <f t="shared" ca="1" si="488"/>
        <v>-19853927.640709966</v>
      </c>
      <c r="BE470" s="2">
        <f t="shared" ca="1" si="489"/>
        <v>1911012.1694214935</v>
      </c>
      <c r="BF470" s="2">
        <f t="shared" ca="1" si="490"/>
        <v>2124129.4724482321</v>
      </c>
      <c r="BG470" s="2">
        <f t="shared" ca="1" si="491"/>
        <v>2349185.0981487813</v>
      </c>
      <c r="BH470" s="2">
        <f t="shared" ca="1" si="492"/>
        <v>2587083.4999573617</v>
      </c>
      <c r="BI470" s="2">
        <f t="shared" ca="1" si="493"/>
        <v>30796415.423281584</v>
      </c>
      <c r="BJ470" s="2">
        <f t="shared" ca="1" si="494"/>
        <v>0.17312536032376369</v>
      </c>
      <c r="BK470" s="2">
        <f t="shared" ca="1" si="495"/>
        <v>4336631.2923284471</v>
      </c>
    </row>
    <row r="471" spans="1:63" x14ac:dyDescent="0.3">
      <c r="A471" s="2">
        <v>470</v>
      </c>
      <c r="B471" s="2">
        <f t="shared" ca="1" si="434"/>
        <v>9.6079371229222499E-2</v>
      </c>
      <c r="C471" s="2">
        <f t="shared" ca="1" si="435"/>
        <v>6.438359147798292</v>
      </c>
      <c r="D471" s="2">
        <f t="shared" ca="1" si="436"/>
        <v>0.18972098882224842</v>
      </c>
      <c r="E471" s="2">
        <f t="shared" ca="1" si="437"/>
        <v>7.1159886181127838</v>
      </c>
      <c r="F471" s="2">
        <f t="shared" ca="1" si="438"/>
        <v>0.65082657168057501</v>
      </c>
      <c r="G471" s="2">
        <f t="shared" ca="1" si="439"/>
        <v>5.162658997761841E-2</v>
      </c>
      <c r="H471" s="2">
        <f t="shared" ca="1" si="440"/>
        <v>5.162658997761841E-2</v>
      </c>
      <c r="I471" s="2">
        <f t="shared" ca="1" si="441"/>
        <v>0.68244989503072384</v>
      </c>
      <c r="J471" s="2">
        <f t="shared" ca="1" si="442"/>
        <v>1.237280289376165E-2</v>
      </c>
      <c r="K471" s="2">
        <f t="shared" ca="1" si="443"/>
        <v>1.237280289376165E-2</v>
      </c>
      <c r="L471" s="2">
        <f t="shared" ca="1" si="444"/>
        <v>0.15079151670626068</v>
      </c>
      <c r="M471" s="2">
        <f t="shared" ca="1" si="445"/>
        <v>-2.0660891741274019E-2</v>
      </c>
      <c r="N471" s="2">
        <f t="shared" ca="1" si="446"/>
        <v>-2.0660891741274019E-2</v>
      </c>
      <c r="O471" s="2">
        <f t="shared" si="447"/>
        <v>6000000</v>
      </c>
      <c r="P471" s="2">
        <f t="shared" ca="1" si="448"/>
        <v>38630154.886789754</v>
      </c>
      <c r="Q471" s="2">
        <f t="shared" ca="1" si="449"/>
        <v>965753.87216974387</v>
      </c>
      <c r="R471" s="2">
        <f t="shared" ca="1" si="450"/>
        <v>23178092.93207385</v>
      </c>
      <c r="S471" s="2">
        <f t="shared" ca="1" si="451"/>
        <v>15452061.954715902</v>
      </c>
      <c r="T471" s="2">
        <f t="shared" ca="1" si="452"/>
        <v>48966955.4129363</v>
      </c>
      <c r="U471" s="2">
        <f t="shared" ca="1" si="453"/>
        <v>51494952.34249229</v>
      </c>
      <c r="V471" s="2">
        <f t="shared" ca="1" si="454"/>
        <v>54153461.132995144</v>
      </c>
      <c r="W471" s="2">
        <f t="shared" ca="1" si="455"/>
        <v>56949219.666777186</v>
      </c>
      <c r="X471" s="2">
        <f t="shared" ca="1" si="456"/>
        <v>59889313.680059217</v>
      </c>
      <c r="Y471" s="2">
        <f t="shared" ca="1" si="457"/>
        <v>0.12618640144688081</v>
      </c>
      <c r="Z471" s="2">
        <f t="shared" ca="1" si="458"/>
        <v>0.12866096202563315</v>
      </c>
      <c r="AA471" s="2">
        <f t="shared" ca="1" si="459"/>
        <v>6178963.8933682935</v>
      </c>
      <c r="AB471" s="2">
        <f t="shared" ca="1" si="460"/>
        <v>6625390.1078491891</v>
      </c>
      <c r="AC471" s="2">
        <f t="shared" ca="1" si="461"/>
        <v>6967436.4063888891</v>
      </c>
      <c r="AD471" s="2">
        <f t="shared" ca="1" si="462"/>
        <v>7327141.3889366603</v>
      </c>
      <c r="AE471" s="2">
        <f t="shared" ca="1" si="463"/>
        <v>7705416.7131313309</v>
      </c>
      <c r="AF471" s="2">
        <f t="shared" ca="1" si="464"/>
        <v>979339.10825872608</v>
      </c>
      <c r="AG471" s="2">
        <f t="shared" ca="1" si="465"/>
        <v>1029899.0468498458</v>
      </c>
      <c r="AH471" s="2">
        <f t="shared" ca="1" si="466"/>
        <v>1083069.2226599029</v>
      </c>
      <c r="AI471" s="2">
        <f t="shared" ca="1" si="467"/>
        <v>1138984.3933355438</v>
      </c>
      <c r="AJ471" s="2">
        <f t="shared" ca="1" si="468"/>
        <v>1197786.2736011844</v>
      </c>
      <c r="AK471" s="2">
        <f t="shared" ca="1" si="469"/>
        <v>0</v>
      </c>
      <c r="AL471" s="2">
        <f t="shared" ca="1" si="470"/>
        <v>25279.969295559898</v>
      </c>
      <c r="AM471" s="2">
        <f t="shared" ca="1" si="471"/>
        <v>26585.087905028537</v>
      </c>
      <c r="AN471" s="2">
        <f t="shared" ca="1" si="472"/>
        <v>27957.585337820427</v>
      </c>
      <c r="AO471" s="2">
        <f t="shared" ca="1" si="473"/>
        <v>29400.940132820309</v>
      </c>
      <c r="AP471" s="2">
        <f t="shared" ca="1" si="474"/>
        <v>2086028.3638866465</v>
      </c>
      <c r="AQ471" s="2">
        <f t="shared" ca="1" si="475"/>
        <v>809535.06951795949</v>
      </c>
      <c r="AR471" s="2">
        <f t="shared" ca="1" si="476"/>
        <v>912460.30124930118</v>
      </c>
      <c r="AS471" s="2">
        <f t="shared" ca="1" si="477"/>
        <v>987568.09315900842</v>
      </c>
      <c r="AT471" s="2">
        <f t="shared" ca="1" si="478"/>
        <v>1066553.4442457622</v>
      </c>
      <c r="AU471" s="2">
        <f t="shared" ca="1" si="479"/>
        <v>1149616.5396673102</v>
      </c>
      <c r="AV471" s="2">
        <f t="shared" ca="1" si="480"/>
        <v>2304061.3517049612</v>
      </c>
      <c r="AW471" s="2">
        <f t="shared" ca="1" si="481"/>
        <v>2571722.4265678362</v>
      </c>
      <c r="AX471" s="2">
        <f t="shared" ca="1" si="482"/>
        <v>2784185.6387783024</v>
      </c>
      <c r="AY471" s="2">
        <f t="shared" ca="1" si="483"/>
        <v>3007617.6021308876</v>
      </c>
      <c r="AZ471" s="2">
        <f t="shared" ca="1" si="484"/>
        <v>3242584.5958433696</v>
      </c>
      <c r="BA471" s="2">
        <f t="shared" ca="1" si="485"/>
        <v>54831657.628458567</v>
      </c>
      <c r="BB471" s="2">
        <f t="shared" ca="1" si="486"/>
        <v>1096633.1525691713</v>
      </c>
      <c r="BC471" s="2">
        <f t="shared" ca="1" si="487"/>
        <v>30556931.543815546</v>
      </c>
      <c r="BD471" s="2">
        <f t="shared" ca="1" si="488"/>
        <v>-16917815.826885648</v>
      </c>
      <c r="BE471" s="2">
        <f t="shared" ca="1" si="489"/>
        <v>2304061.3517049612</v>
      </c>
      <c r="BF471" s="2">
        <f t="shared" ca="1" si="490"/>
        <v>2571722.4265678362</v>
      </c>
      <c r="BG471" s="2">
        <f t="shared" ca="1" si="491"/>
        <v>2784185.6387783024</v>
      </c>
      <c r="BH471" s="2">
        <f t="shared" ca="1" si="492"/>
        <v>3007617.6021308876</v>
      </c>
      <c r="BI471" s="2">
        <f t="shared" ca="1" si="493"/>
        <v>33799516.139658913</v>
      </c>
      <c r="BJ471" s="2">
        <f t="shared" ca="1" si="494"/>
        <v>0.25552107758212994</v>
      </c>
      <c r="BK471" s="2">
        <f t="shared" ca="1" si="495"/>
        <v>10261420.052733369</v>
      </c>
    </row>
    <row r="472" spans="1:63" x14ac:dyDescent="0.3">
      <c r="A472" s="2">
        <v>471</v>
      </c>
      <c r="B472" s="2">
        <f t="shared" ca="1" si="434"/>
        <v>0.47801608347142877</v>
      </c>
      <c r="C472" s="2">
        <f t="shared" ca="1" si="435"/>
        <v>6.9777689742177635</v>
      </c>
      <c r="D472" s="2">
        <f t="shared" ca="1" si="436"/>
        <v>0.12147165354622869</v>
      </c>
      <c r="E472" s="2">
        <f t="shared" ca="1" si="437"/>
        <v>6.9928927947256456</v>
      </c>
      <c r="F472" s="2">
        <f t="shared" ca="1" si="438"/>
        <v>0.50124006754273887</v>
      </c>
      <c r="G472" s="2">
        <f t="shared" ca="1" si="439"/>
        <v>4.0093251801120409E-2</v>
      </c>
      <c r="H472" s="2">
        <f t="shared" ca="1" si="440"/>
        <v>4.0093251801120409E-2</v>
      </c>
      <c r="I472" s="2">
        <f t="shared" ca="1" si="441"/>
        <v>0.63267813099820769</v>
      </c>
      <c r="J472" s="2">
        <f t="shared" ca="1" si="442"/>
        <v>1.1694774284984336E-2</v>
      </c>
      <c r="K472" s="2">
        <f t="shared" ca="1" si="443"/>
        <v>1.1694774284984336E-2</v>
      </c>
      <c r="L472" s="2">
        <f t="shared" ca="1" si="444"/>
        <v>7.2330570300866537E-2</v>
      </c>
      <c r="M472" s="2">
        <f t="shared" ca="1" si="445"/>
        <v>-2.9173023514015899E-2</v>
      </c>
      <c r="N472" s="2">
        <f t="shared" ca="1" si="446"/>
        <v>-2.9173023514015899E-2</v>
      </c>
      <c r="O472" s="2">
        <f t="shared" si="447"/>
        <v>6000000</v>
      </c>
      <c r="P472" s="2">
        <f t="shared" ca="1" si="448"/>
        <v>41866613.845306583</v>
      </c>
      <c r="Q472" s="2">
        <f t="shared" ca="1" si="449"/>
        <v>1046665.3461326646</v>
      </c>
      <c r="R472" s="2">
        <f t="shared" ca="1" si="450"/>
        <v>25119968.307183947</v>
      </c>
      <c r="S472" s="2">
        <f t="shared" ca="1" si="451"/>
        <v>16746645.538122633</v>
      </c>
      <c r="T472" s="2">
        <f t="shared" ca="1" si="452"/>
        <v>48541348.824299209</v>
      </c>
      <c r="U472" s="2">
        <f t="shared" ca="1" si="453"/>
        <v>50487529.345477857</v>
      </c>
      <c r="V472" s="2">
        <f t="shared" ca="1" si="454"/>
        <v>52511738.572342552</v>
      </c>
      <c r="W472" s="2">
        <f t="shared" ca="1" si="455"/>
        <v>54617104.929438084</v>
      </c>
      <c r="X472" s="2">
        <f t="shared" ca="1" si="456"/>
        <v>56806882.270022258</v>
      </c>
      <c r="Y472" s="2">
        <f t="shared" ca="1" si="457"/>
        <v>0.12584738714249216</v>
      </c>
      <c r="Z472" s="2">
        <f t="shared" ca="1" si="458"/>
        <v>0.12818634199948903</v>
      </c>
      <c r="AA472" s="2">
        <f t="shared" ca="1" si="459"/>
        <v>6108801.9179103393</v>
      </c>
      <c r="AB472" s="2">
        <f t="shared" ca="1" si="460"/>
        <v>6471811.703388663</v>
      </c>
      <c r="AC472" s="2">
        <f t="shared" ca="1" si="461"/>
        <v>6731287.6796220625</v>
      </c>
      <c r="AD472" s="2">
        <f t="shared" ca="1" si="462"/>
        <v>7001166.891506928</v>
      </c>
      <c r="AE472" s="2">
        <f t="shared" ca="1" si="463"/>
        <v>7281866.4385897825</v>
      </c>
      <c r="AF472" s="2">
        <f t="shared" ca="1" si="464"/>
        <v>970826.97648598417</v>
      </c>
      <c r="AG472" s="2">
        <f t="shared" ca="1" si="465"/>
        <v>1009750.5869095571</v>
      </c>
      <c r="AH472" s="2">
        <f t="shared" ca="1" si="466"/>
        <v>1050234.7714468511</v>
      </c>
      <c r="AI472" s="2">
        <f t="shared" ca="1" si="467"/>
        <v>1092342.0985887616</v>
      </c>
      <c r="AJ472" s="2">
        <f t="shared" ca="1" si="468"/>
        <v>1136137.6454004452</v>
      </c>
      <c r="AK472" s="2">
        <f t="shared" ca="1" si="469"/>
        <v>0</v>
      </c>
      <c r="AL472" s="2">
        <f t="shared" ca="1" si="470"/>
        <v>19461.805211786479</v>
      </c>
      <c r="AM472" s="2">
        <f t="shared" ca="1" si="471"/>
        <v>20242.092268646957</v>
      </c>
      <c r="AN472" s="2">
        <f t="shared" ca="1" si="472"/>
        <v>21053.663570955323</v>
      </c>
      <c r="AO472" s="2">
        <f t="shared" ca="1" si="473"/>
        <v>21897.773405841737</v>
      </c>
      <c r="AP472" s="2">
        <f t="shared" ca="1" si="474"/>
        <v>2260797.1476465552</v>
      </c>
      <c r="AQ472" s="2">
        <f t="shared" ca="1" si="475"/>
        <v>748066.22638222796</v>
      </c>
      <c r="AR472" s="2">
        <f t="shared" ca="1" si="476"/>
        <v>832328.63189646334</v>
      </c>
      <c r="AS472" s="2">
        <f t="shared" ca="1" si="477"/>
        <v>889266.49773745064</v>
      </c>
      <c r="AT472" s="2">
        <f t="shared" ca="1" si="478"/>
        <v>948487.18777061882</v>
      </c>
      <c r="AU472" s="2">
        <f t="shared" ca="1" si="479"/>
        <v>1010082.2278411235</v>
      </c>
      <c r="AV472" s="2">
        <f t="shared" ca="1" si="480"/>
        <v>2129111.5673955721</v>
      </c>
      <c r="AW472" s="2">
        <f t="shared" ca="1" si="481"/>
        <v>2349473.5317243016</v>
      </c>
      <c r="AX472" s="2">
        <f t="shared" ca="1" si="482"/>
        <v>2510747.170522559</v>
      </c>
      <c r="AY472" s="2">
        <f t="shared" ca="1" si="483"/>
        <v>2678486.7939300365</v>
      </c>
      <c r="AZ472" s="2">
        <f t="shared" ca="1" si="484"/>
        <v>2852951.6442958177</v>
      </c>
      <c r="BA472" s="2">
        <f t="shared" ca="1" si="485"/>
        <v>50921311.350568987</v>
      </c>
      <c r="BB472" s="2">
        <f t="shared" ca="1" si="486"/>
        <v>1018426.2270113798</v>
      </c>
      <c r="BC472" s="2">
        <f t="shared" ca="1" si="487"/>
        <v>24782916.816373661</v>
      </c>
      <c r="BD472" s="2">
        <f t="shared" ca="1" si="488"/>
        <v>-18293310.884255297</v>
      </c>
      <c r="BE472" s="2">
        <f t="shared" ca="1" si="489"/>
        <v>2129111.5673955721</v>
      </c>
      <c r="BF472" s="2">
        <f t="shared" ca="1" si="490"/>
        <v>2349473.5317243016</v>
      </c>
      <c r="BG472" s="2">
        <f t="shared" ca="1" si="491"/>
        <v>2510747.170522559</v>
      </c>
      <c r="BH472" s="2">
        <f t="shared" ca="1" si="492"/>
        <v>2678486.7939300365</v>
      </c>
      <c r="BI472" s="2">
        <f t="shared" ca="1" si="493"/>
        <v>27635868.46066948</v>
      </c>
      <c r="BJ472" s="2">
        <f t="shared" ca="1" si="494"/>
        <v>0.18295016104156492</v>
      </c>
      <c r="BK472" s="2">
        <f t="shared" ca="1" si="495"/>
        <v>4651328.4708253779</v>
      </c>
    </row>
    <row r="473" spans="1:63" x14ac:dyDescent="0.3">
      <c r="A473" s="2">
        <v>472</v>
      </c>
      <c r="B473" s="2">
        <f t="shared" ca="1" si="434"/>
        <v>0.60488563125061701</v>
      </c>
      <c r="C473" s="2">
        <f t="shared" ca="1" si="435"/>
        <v>7.1110518926850874</v>
      </c>
      <c r="D473" s="2">
        <f t="shared" ca="1" si="436"/>
        <v>0.75378338453186444</v>
      </c>
      <c r="E473" s="2">
        <f t="shared" ca="1" si="437"/>
        <v>7.7982641302197306</v>
      </c>
      <c r="F473" s="2">
        <f t="shared" ca="1" si="438"/>
        <v>0.31582922247858825</v>
      </c>
      <c r="G473" s="2">
        <f t="shared" ca="1" si="439"/>
        <v>2.5618183536605773E-2</v>
      </c>
      <c r="H473" s="2">
        <f t="shared" ca="1" si="440"/>
        <v>2.5618183536605773E-2</v>
      </c>
      <c r="I473" s="2">
        <f t="shared" ca="1" si="441"/>
        <v>0.85521334685975936</v>
      </c>
      <c r="J473" s="2">
        <f t="shared" ca="1" si="442"/>
        <v>1.5295290656596475E-2</v>
      </c>
      <c r="K473" s="2">
        <f t="shared" ca="1" si="443"/>
        <v>1.5295290656596475E-2</v>
      </c>
      <c r="L473" s="2">
        <f t="shared" ca="1" si="444"/>
        <v>9.4309895730414373E-2</v>
      </c>
      <c r="M473" s="2">
        <f t="shared" ca="1" si="445"/>
        <v>-2.6293461965761638E-2</v>
      </c>
      <c r="N473" s="2">
        <f t="shared" ca="1" si="446"/>
        <v>-2.6293461965761638E-2</v>
      </c>
      <c r="O473" s="2">
        <f t="shared" si="447"/>
        <v>6000000</v>
      </c>
      <c r="P473" s="2">
        <f t="shared" ca="1" si="448"/>
        <v>42666311.356110528</v>
      </c>
      <c r="Q473" s="2">
        <f t="shared" ca="1" si="449"/>
        <v>1066657.7839027632</v>
      </c>
      <c r="R473" s="2">
        <f t="shared" ca="1" si="450"/>
        <v>25599786.813666318</v>
      </c>
      <c r="S473" s="2">
        <f t="shared" ca="1" si="451"/>
        <v>17066524.54244421</v>
      </c>
      <c r="T473" s="2">
        <f t="shared" ca="1" si="452"/>
        <v>48685326.901711918</v>
      </c>
      <c r="U473" s="2">
        <f t="shared" ca="1" si="453"/>
        <v>49932556.541819625</v>
      </c>
      <c r="V473" s="2">
        <f t="shared" ca="1" si="454"/>
        <v>51211737.93975991</v>
      </c>
      <c r="W473" s="2">
        <f t="shared" ca="1" si="455"/>
        <v>52523689.64152924</v>
      </c>
      <c r="X473" s="2">
        <f t="shared" ca="1" si="456"/>
        <v>53869251.162785657</v>
      </c>
      <c r="Y473" s="2">
        <f t="shared" ca="1" si="457"/>
        <v>0.12764764532829823</v>
      </c>
      <c r="Z473" s="2">
        <f t="shared" ca="1" si="458"/>
        <v>0.13070670345961752</v>
      </c>
      <c r="AA473" s="2">
        <f t="shared" ca="1" si="459"/>
        <v>6214567.3410419794</v>
      </c>
      <c r="AB473" s="2">
        <f t="shared" ca="1" si="460"/>
        <v>6526519.8608922027</v>
      </c>
      <c r="AC473" s="2">
        <f t="shared" ca="1" si="461"/>
        <v>6693717.4445438422</v>
      </c>
      <c r="AD473" s="2">
        <f t="shared" ca="1" si="462"/>
        <v>6865198.3265803466</v>
      </c>
      <c r="AE473" s="2">
        <f t="shared" ca="1" si="463"/>
        <v>7041072.2373258807</v>
      </c>
      <c r="AF473" s="2">
        <f t="shared" ca="1" si="464"/>
        <v>973706.53803423839</v>
      </c>
      <c r="AG473" s="2">
        <f t="shared" ca="1" si="465"/>
        <v>998651.13083639252</v>
      </c>
      <c r="AH473" s="2">
        <f t="shared" ca="1" si="466"/>
        <v>1024234.7587951982</v>
      </c>
      <c r="AI473" s="2">
        <f t="shared" ca="1" si="467"/>
        <v>1050473.7928305848</v>
      </c>
      <c r="AJ473" s="2">
        <f t="shared" ca="1" si="468"/>
        <v>1077385.0232557131</v>
      </c>
      <c r="AK473" s="2">
        <f t="shared" ca="1" si="469"/>
        <v>0</v>
      </c>
      <c r="AL473" s="2">
        <f t="shared" ca="1" si="470"/>
        <v>12472.296401077063</v>
      </c>
      <c r="AM473" s="2">
        <f t="shared" ca="1" si="471"/>
        <v>12791.813979402856</v>
      </c>
      <c r="AN473" s="2">
        <f t="shared" ca="1" si="472"/>
        <v>13119.517017693297</v>
      </c>
      <c r="AO473" s="2">
        <f t="shared" ca="1" si="473"/>
        <v>13455.615212564171</v>
      </c>
      <c r="AP473" s="2">
        <f t="shared" ca="1" si="474"/>
        <v>2303980.8132299683</v>
      </c>
      <c r="AQ473" s="2">
        <f t="shared" ca="1" si="475"/>
        <v>763588.79734222079</v>
      </c>
      <c r="AR473" s="2">
        <f t="shared" ca="1" si="476"/>
        <v>838210.85837471881</v>
      </c>
      <c r="AS473" s="2">
        <f t="shared" ca="1" si="477"/>
        <v>875030.48685485579</v>
      </c>
      <c r="AT473" s="2">
        <f t="shared" ca="1" si="478"/>
        <v>912793.36733514641</v>
      </c>
      <c r="AU473" s="2">
        <f t="shared" ca="1" si="479"/>
        <v>951523.66421845183</v>
      </c>
      <c r="AV473" s="2">
        <f t="shared" ca="1" si="480"/>
        <v>2173291.1924355519</v>
      </c>
      <c r="AW473" s="2">
        <f t="shared" ca="1" si="481"/>
        <v>2373204.7620500461</v>
      </c>
      <c r="AX473" s="2">
        <f t="shared" ca="1" si="482"/>
        <v>2477679.5716844168</v>
      </c>
      <c r="AY473" s="2">
        <f t="shared" ca="1" si="483"/>
        <v>2584830.8361669541</v>
      </c>
      <c r="AZ473" s="2">
        <f t="shared" ca="1" si="484"/>
        <v>2694727.1214091829</v>
      </c>
      <c r="BA473" s="2">
        <f t="shared" ca="1" si="485"/>
        <v>54908141.066624403</v>
      </c>
      <c r="BB473" s="2">
        <f t="shared" ca="1" si="486"/>
        <v>1098162.821332488</v>
      </c>
      <c r="BC473" s="2">
        <f t="shared" ca="1" si="487"/>
        <v>28210191.431625597</v>
      </c>
      <c r="BD473" s="2">
        <f t="shared" ca="1" si="488"/>
        <v>-18633182.326346975</v>
      </c>
      <c r="BE473" s="2">
        <f t="shared" ca="1" si="489"/>
        <v>2173291.1924355519</v>
      </c>
      <c r="BF473" s="2">
        <f t="shared" ca="1" si="490"/>
        <v>2373204.7620500461</v>
      </c>
      <c r="BG473" s="2">
        <f t="shared" ca="1" si="491"/>
        <v>2477679.5716844168</v>
      </c>
      <c r="BH473" s="2">
        <f t="shared" ca="1" si="492"/>
        <v>2584830.8361669541</v>
      </c>
      <c r="BI473" s="2">
        <f t="shared" ca="1" si="493"/>
        <v>30904918.553034779</v>
      </c>
      <c r="BJ473" s="2">
        <f t="shared" ca="1" si="494"/>
        <v>0.19884743803173888</v>
      </c>
      <c r="BK473" s="2">
        <f t="shared" ca="1" si="495"/>
        <v>6141711.4111349024</v>
      </c>
    </row>
    <row r="474" spans="1:63" x14ac:dyDescent="0.3">
      <c r="A474" s="2">
        <v>473</v>
      </c>
      <c r="B474" s="2">
        <f t="shared" ca="1" si="434"/>
        <v>0.68175115588563251</v>
      </c>
      <c r="C474" s="2">
        <f t="shared" ca="1" si="435"/>
        <v>7.2021919477538878</v>
      </c>
      <c r="D474" s="2">
        <f t="shared" ca="1" si="436"/>
        <v>2.5035556516289081E-2</v>
      </c>
      <c r="E474" s="2">
        <f t="shared" ca="1" si="437"/>
        <v>6.7237657548253935</v>
      </c>
      <c r="F474" s="2">
        <f t="shared" ca="1" si="438"/>
        <v>0.5268916136923989</v>
      </c>
      <c r="G474" s="2">
        <f t="shared" ca="1" si="439"/>
        <v>4.2023752223345555E-2</v>
      </c>
      <c r="H474" s="2">
        <f t="shared" ca="1" si="440"/>
        <v>4.2023752223345555E-2</v>
      </c>
      <c r="I474" s="2">
        <f t="shared" ca="1" si="441"/>
        <v>0.35452438678637033</v>
      </c>
      <c r="J474" s="2">
        <f t="shared" ca="1" si="442"/>
        <v>8.1343303954204849E-3</v>
      </c>
      <c r="K474" s="2">
        <f t="shared" ca="1" si="443"/>
        <v>8.1343303954204849E-3</v>
      </c>
      <c r="L474" s="2">
        <f t="shared" ca="1" si="444"/>
        <v>0.46765052951318564</v>
      </c>
      <c r="M474" s="2">
        <f t="shared" ca="1" si="445"/>
        <v>-1.623543305929411E-3</v>
      </c>
      <c r="N474" s="2">
        <f t="shared" ca="1" si="446"/>
        <v>-1.623543305929411E-3</v>
      </c>
      <c r="O474" s="2">
        <f t="shared" si="447"/>
        <v>6000000</v>
      </c>
      <c r="P474" s="2">
        <f t="shared" ca="1" si="448"/>
        <v>43213151.686523326</v>
      </c>
      <c r="Q474" s="2">
        <f t="shared" ca="1" si="449"/>
        <v>1080328.7921630831</v>
      </c>
      <c r="R474" s="2">
        <f t="shared" ca="1" si="450"/>
        <v>25927891.011913996</v>
      </c>
      <c r="S474" s="2">
        <f t="shared" ca="1" si="451"/>
        <v>17285260.67460933</v>
      </c>
      <c r="T474" s="2">
        <f t="shared" ca="1" si="452"/>
        <v>49918822.834703527</v>
      </c>
      <c r="U474" s="2">
        <f t="shared" ca="1" si="453"/>
        <v>52016599.076790191</v>
      </c>
      <c r="V474" s="2">
        <f t="shared" ca="1" si="454"/>
        <v>54202531.747894324</v>
      </c>
      <c r="W474" s="2">
        <f t="shared" ca="1" si="455"/>
        <v>56480325.511945859</v>
      </c>
      <c r="X474" s="2">
        <f t="shared" ca="1" si="456"/>
        <v>58853840.716753773</v>
      </c>
      <c r="Y474" s="2">
        <f t="shared" ca="1" si="457"/>
        <v>0.12406716519771024</v>
      </c>
      <c r="Z474" s="2">
        <f t="shared" ca="1" si="458"/>
        <v>0.12569403127679432</v>
      </c>
      <c r="AA474" s="2">
        <f t="shared" ca="1" si="459"/>
        <v>6193286.8391083926</v>
      </c>
      <c r="AB474" s="2">
        <f t="shared" ca="1" si="460"/>
        <v>6538176.0312705366</v>
      </c>
      <c r="AC474" s="2">
        <f t="shared" ca="1" si="461"/>
        <v>6812934.7208012668</v>
      </c>
      <c r="AD474" s="2">
        <f t="shared" ca="1" si="462"/>
        <v>7099239.8014220474</v>
      </c>
      <c r="AE474" s="2">
        <f t="shared" ca="1" si="463"/>
        <v>7397576.4958111197</v>
      </c>
      <c r="AF474" s="2">
        <f t="shared" ca="1" si="464"/>
        <v>998376.4566940706</v>
      </c>
      <c r="AG474" s="2">
        <f t="shared" ca="1" si="465"/>
        <v>1040331.9815358039</v>
      </c>
      <c r="AH474" s="2">
        <f t="shared" ca="1" si="466"/>
        <v>1084050.6349578865</v>
      </c>
      <c r="AI474" s="2">
        <f t="shared" ca="1" si="467"/>
        <v>1129606.5102389173</v>
      </c>
      <c r="AJ474" s="2">
        <f t="shared" ca="1" si="468"/>
        <v>1177076.8143350754</v>
      </c>
      <c r="AK474" s="2">
        <f t="shared" ca="1" si="469"/>
        <v>0</v>
      </c>
      <c r="AL474" s="2">
        <f t="shared" ca="1" si="470"/>
        <v>20977.762420866638</v>
      </c>
      <c r="AM474" s="2">
        <f t="shared" ca="1" si="471"/>
        <v>21859.326711041333</v>
      </c>
      <c r="AN474" s="2">
        <f t="shared" ca="1" si="472"/>
        <v>22777.937640515342</v>
      </c>
      <c r="AO474" s="2">
        <f t="shared" ca="1" si="473"/>
        <v>23735.152048079148</v>
      </c>
      <c r="AP474" s="2">
        <f t="shared" ca="1" si="474"/>
        <v>2333510.1910722596</v>
      </c>
      <c r="AQ474" s="2">
        <f t="shared" ca="1" si="475"/>
        <v>743964.04974893632</v>
      </c>
      <c r="AR474" s="2">
        <f t="shared" ca="1" si="476"/>
        <v>822726.80325224309</v>
      </c>
      <c r="AS474" s="2">
        <f t="shared" ca="1" si="477"/>
        <v>882797.21264049143</v>
      </c>
      <c r="AT474" s="2">
        <f t="shared" ca="1" si="478"/>
        <v>945392.00602882635</v>
      </c>
      <c r="AU474" s="2">
        <f t="shared" ca="1" si="479"/>
        <v>1010617.2675049842</v>
      </c>
      <c r="AV474" s="2">
        <f t="shared" ca="1" si="480"/>
        <v>2117436.1415931261</v>
      </c>
      <c r="AW474" s="2">
        <f t="shared" ca="1" si="481"/>
        <v>2320629.2929893634</v>
      </c>
      <c r="AX474" s="2">
        <f t="shared" ca="1" si="482"/>
        <v>2490717.3554195887</v>
      </c>
      <c r="AY474" s="2">
        <f t="shared" ca="1" si="483"/>
        <v>2667953.1564415288</v>
      </c>
      <c r="AZ474" s="2">
        <f t="shared" ca="1" si="484"/>
        <v>2852637.0708507211</v>
      </c>
      <c r="BA474" s="2">
        <f t="shared" ca="1" si="485"/>
        <v>49739571.511236042</v>
      </c>
      <c r="BB474" s="2">
        <f t="shared" ca="1" si="486"/>
        <v>994791.43022472085</v>
      </c>
      <c r="BC474" s="2">
        <f t="shared" ca="1" si="487"/>
        <v>22816889.069097325</v>
      </c>
      <c r="BD474" s="2">
        <f t="shared" ca="1" si="488"/>
        <v>-18865589.466772411</v>
      </c>
      <c r="BE474" s="2">
        <f t="shared" ca="1" si="489"/>
        <v>2117436.1415931261</v>
      </c>
      <c r="BF474" s="2">
        <f t="shared" ca="1" si="490"/>
        <v>2320629.2929893634</v>
      </c>
      <c r="BG474" s="2">
        <f t="shared" ca="1" si="491"/>
        <v>2490717.3554195887</v>
      </c>
      <c r="BH474" s="2">
        <f t="shared" ca="1" si="492"/>
        <v>2667953.1564415288</v>
      </c>
      <c r="BI474" s="2">
        <f t="shared" ca="1" si="493"/>
        <v>25669526.139948048</v>
      </c>
      <c r="BJ474" s="2">
        <f t="shared" ca="1" si="494"/>
        <v>0.15962660508557747</v>
      </c>
      <c r="BK474" s="2">
        <f t="shared" ca="1" si="495"/>
        <v>2908924.3663362041</v>
      </c>
    </row>
    <row r="475" spans="1:63" x14ac:dyDescent="0.3">
      <c r="A475" s="2">
        <v>474</v>
      </c>
      <c r="B475" s="2">
        <f t="shared" ca="1" si="434"/>
        <v>0.73545488374742252</v>
      </c>
      <c r="C475" s="2">
        <f t="shared" ca="1" si="435"/>
        <v>7.2726141103202817</v>
      </c>
      <c r="D475" s="2">
        <f t="shared" ca="1" si="436"/>
        <v>6.3398819962127595E-2</v>
      </c>
      <c r="E475" s="2">
        <f t="shared" ca="1" si="437"/>
        <v>6.8560865624033784</v>
      </c>
      <c r="F475" s="2">
        <f t="shared" ca="1" si="438"/>
        <v>0.76235414806613244</v>
      </c>
      <c r="G475" s="2">
        <f t="shared" ca="1" si="439"/>
        <v>6.1416869671796902E-2</v>
      </c>
      <c r="H475" s="2">
        <f t="shared" ca="1" si="440"/>
        <v>6.1416869671796902E-2</v>
      </c>
      <c r="I475" s="2">
        <f t="shared" ca="1" si="441"/>
        <v>0.26597417296041836</v>
      </c>
      <c r="J475" s="2">
        <f t="shared" ca="1" si="442"/>
        <v>6.8748269719408946E-3</v>
      </c>
      <c r="K475" s="2">
        <f t="shared" ca="1" si="443"/>
        <v>6.8748269719408946E-3</v>
      </c>
      <c r="L475" s="2">
        <f t="shared" ca="1" si="444"/>
        <v>0.12473038925093261</v>
      </c>
      <c r="M475" s="2">
        <f t="shared" ca="1" si="445"/>
        <v>-2.3033201793221249E-2</v>
      </c>
      <c r="N475" s="2">
        <f t="shared" ca="1" si="446"/>
        <v>-2.3033201793221249E-2</v>
      </c>
      <c r="O475" s="2">
        <f t="shared" si="447"/>
        <v>6000000</v>
      </c>
      <c r="P475" s="2">
        <f t="shared" ca="1" si="448"/>
        <v>43635684.661921687</v>
      </c>
      <c r="Q475" s="2">
        <f t="shared" ca="1" si="449"/>
        <v>1090892.1165480423</v>
      </c>
      <c r="R475" s="2">
        <f t="shared" ca="1" si="450"/>
        <v>26181410.797153011</v>
      </c>
      <c r="S475" s="2">
        <f t="shared" ca="1" si="451"/>
        <v>17454273.864768676</v>
      </c>
      <c r="T475" s="2">
        <f t="shared" ca="1" si="452"/>
        <v>48848339.910338938</v>
      </c>
      <c r="U475" s="2">
        <f t="shared" ca="1" si="453"/>
        <v>51848452.036295861</v>
      </c>
      <c r="V475" s="2">
        <f t="shared" ca="1" si="454"/>
        <v>55032821.657693461</v>
      </c>
      <c r="W475" s="2">
        <f t="shared" ca="1" si="455"/>
        <v>58412765.293115266</v>
      </c>
      <c r="X475" s="2">
        <f t="shared" ca="1" si="456"/>
        <v>62000294.486291789</v>
      </c>
      <c r="Y475" s="2">
        <f t="shared" ca="1" si="457"/>
        <v>0.12343741348597044</v>
      </c>
      <c r="Z475" s="2">
        <f t="shared" ca="1" si="458"/>
        <v>0.12481237888035862</v>
      </c>
      <c r="AA475" s="2">
        <f t="shared" ca="1" si="459"/>
        <v>6029712.7316157399</v>
      </c>
      <c r="AB475" s="2">
        <f t="shared" ca="1" si="460"/>
        <v>6471328.6399142602</v>
      </c>
      <c r="AC475" s="2">
        <f t="shared" ca="1" si="461"/>
        <v>6868777.3875952419</v>
      </c>
      <c r="AD475" s="2">
        <f t="shared" ca="1" si="462"/>
        <v>7290636.1932137646</v>
      </c>
      <c r="AE475" s="2">
        <f t="shared" ca="1" si="463"/>
        <v>7738404.2461168598</v>
      </c>
      <c r="AF475" s="2">
        <f t="shared" ca="1" si="464"/>
        <v>976966.79820677883</v>
      </c>
      <c r="AG475" s="2">
        <f t="shared" ca="1" si="465"/>
        <v>1036969.0407259172</v>
      </c>
      <c r="AH475" s="2">
        <f t="shared" ca="1" si="466"/>
        <v>1100656.4331538691</v>
      </c>
      <c r="AI475" s="2">
        <f t="shared" ca="1" si="467"/>
        <v>1168255.3058623055</v>
      </c>
      <c r="AJ475" s="2">
        <f t="shared" ca="1" si="468"/>
        <v>1240005.8897258358</v>
      </c>
      <c r="AK475" s="2">
        <f t="shared" ca="1" si="469"/>
        <v>0</v>
      </c>
      <c r="AL475" s="2">
        <f t="shared" ca="1" si="470"/>
        <v>30001.121259569227</v>
      </c>
      <c r="AM475" s="2">
        <f t="shared" ca="1" si="471"/>
        <v>31843.696213975996</v>
      </c>
      <c r="AN475" s="2">
        <f t="shared" ca="1" si="472"/>
        <v>33799.436354218051</v>
      </c>
      <c r="AO475" s="2">
        <f t="shared" ca="1" si="473"/>
        <v>35875.291931765227</v>
      </c>
      <c r="AP475" s="2">
        <f t="shared" ca="1" si="474"/>
        <v>2356326.9717437709</v>
      </c>
      <c r="AQ475" s="2">
        <f t="shared" ca="1" si="475"/>
        <v>701068.93003294943</v>
      </c>
      <c r="AR475" s="2">
        <f t="shared" ca="1" si="476"/>
        <v>800288.4831355887</v>
      </c>
      <c r="AS475" s="2">
        <f t="shared" ca="1" si="477"/>
        <v>887066.4355013764</v>
      </c>
      <c r="AT475" s="2">
        <f t="shared" ca="1" si="478"/>
        <v>979174.01805799897</v>
      </c>
      <c r="AU475" s="2">
        <f t="shared" ca="1" si="479"/>
        <v>1076938.5600082858</v>
      </c>
      <c r="AV475" s="2">
        <f t="shared" ca="1" si="480"/>
        <v>1995350.0316322399</v>
      </c>
      <c r="AW475" s="2">
        <f t="shared" ca="1" si="481"/>
        <v>2247743.0230494142</v>
      </c>
      <c r="AX475" s="2">
        <f t="shared" ca="1" si="482"/>
        <v>2492883.8509822497</v>
      </c>
      <c r="AY475" s="2">
        <f t="shared" ca="1" si="483"/>
        <v>2753080.4611954708</v>
      </c>
      <c r="AZ475" s="2">
        <f t="shared" ca="1" si="484"/>
        <v>3029257.5327072022</v>
      </c>
      <c r="BA475" s="2">
        <f t="shared" ca="1" si="485"/>
        <v>53055169.36624705</v>
      </c>
      <c r="BB475" s="2">
        <f t="shared" ca="1" si="486"/>
        <v>1061103.3873249411</v>
      </c>
      <c r="BC475" s="2">
        <f t="shared" ca="1" si="487"/>
        <v>25812655.181769099</v>
      </c>
      <c r="BD475" s="2">
        <f t="shared" ca="1" si="488"/>
        <v>-19045165.981316719</v>
      </c>
      <c r="BE475" s="2">
        <f t="shared" ca="1" si="489"/>
        <v>1995350.0316322399</v>
      </c>
      <c r="BF475" s="2">
        <f t="shared" ca="1" si="490"/>
        <v>2247743.0230494142</v>
      </c>
      <c r="BG475" s="2">
        <f t="shared" ca="1" si="491"/>
        <v>2492883.8509822497</v>
      </c>
      <c r="BH475" s="2">
        <f t="shared" ca="1" si="492"/>
        <v>2753080.4611954708</v>
      </c>
      <c r="BI475" s="2">
        <f t="shared" ca="1" si="493"/>
        <v>28841912.714476302</v>
      </c>
      <c r="BJ475" s="2">
        <f t="shared" ca="1" si="494"/>
        <v>0.17706883644125893</v>
      </c>
      <c r="BK475" s="2">
        <f t="shared" ca="1" si="495"/>
        <v>4417977.2573099695</v>
      </c>
    </row>
    <row r="476" spans="1:63" x14ac:dyDescent="0.3">
      <c r="A476" s="2">
        <v>475</v>
      </c>
      <c r="B476" s="2">
        <f t="shared" ca="1" si="434"/>
        <v>4.4321815763294969E-2</v>
      </c>
      <c r="C476" s="2">
        <f t="shared" ca="1" si="435"/>
        <v>6.2977308037919322</v>
      </c>
      <c r="D476" s="2">
        <f t="shared" ca="1" si="436"/>
        <v>0.79993416416058494</v>
      </c>
      <c r="E476" s="2">
        <f t="shared" ca="1" si="437"/>
        <v>7.867440380929331</v>
      </c>
      <c r="F476" s="2">
        <f t="shared" ca="1" si="438"/>
        <v>0.36755909413996424</v>
      </c>
      <c r="G476" s="2">
        <f t="shared" ca="1" si="439"/>
        <v>2.9850246106112366E-2</v>
      </c>
      <c r="H476" s="2">
        <f t="shared" ca="1" si="440"/>
        <v>2.9850246106112366E-2</v>
      </c>
      <c r="I476" s="2">
        <f t="shared" ca="1" si="441"/>
        <v>0.82986097287592275</v>
      </c>
      <c r="J476" s="2">
        <f t="shared" ca="1" si="442"/>
        <v>1.4768079995030565E-2</v>
      </c>
      <c r="K476" s="2">
        <f t="shared" ca="1" si="443"/>
        <v>1.4768079995030565E-2</v>
      </c>
      <c r="L476" s="2">
        <f t="shared" ca="1" si="444"/>
        <v>0.49964128309675981</v>
      </c>
      <c r="M476" s="2">
        <f t="shared" ca="1" si="445"/>
        <v>-1.79834010682818E-5</v>
      </c>
      <c r="N476" s="2">
        <f t="shared" ca="1" si="446"/>
        <v>-1.79834010682818E-5</v>
      </c>
      <c r="O476" s="2">
        <f t="shared" si="447"/>
        <v>6000000</v>
      </c>
      <c r="P476" s="2">
        <f t="shared" ca="1" si="448"/>
        <v>37786384.822751597</v>
      </c>
      <c r="Q476" s="2">
        <f t="shared" ca="1" si="449"/>
        <v>944659.62056879001</v>
      </c>
      <c r="R476" s="2">
        <f t="shared" ca="1" si="450"/>
        <v>22671830.893650956</v>
      </c>
      <c r="S476" s="2">
        <f t="shared" ca="1" si="451"/>
        <v>15114553.92910064</v>
      </c>
      <c r="T476" s="2">
        <f t="shared" ca="1" si="452"/>
        <v>49999100.829946585</v>
      </c>
      <c r="U476" s="2">
        <f t="shared" ca="1" si="453"/>
        <v>51491586.294804811</v>
      </c>
      <c r="V476" s="2">
        <f t="shared" ca="1" si="454"/>
        <v>53028622.818098858</v>
      </c>
      <c r="W476" s="2">
        <f t="shared" ca="1" si="455"/>
        <v>54611540.259887315</v>
      </c>
      <c r="X476" s="2">
        <f t="shared" ca="1" si="456"/>
        <v>56241708.17687881</v>
      </c>
      <c r="Y476" s="2">
        <f t="shared" ca="1" si="457"/>
        <v>0.12738403999751527</v>
      </c>
      <c r="Z476" s="2">
        <f t="shared" ca="1" si="458"/>
        <v>0.13033765599652139</v>
      </c>
      <c r="AA476" s="2">
        <f t="shared" ca="1" si="459"/>
        <v>6369087.4599617142</v>
      </c>
      <c r="AB476" s="2">
        <f t="shared" ca="1" si="460"/>
        <v>6711292.6612074645</v>
      </c>
      <c r="AC476" s="2">
        <f t="shared" ca="1" si="461"/>
        <v>6911626.3988346532</v>
      </c>
      <c r="AD476" s="2">
        <f t="shared" ca="1" si="462"/>
        <v>7117940.1478333715</v>
      </c>
      <c r="AE476" s="2">
        <f t="shared" ca="1" si="463"/>
        <v>7330412.4130147742</v>
      </c>
      <c r="AF476" s="2">
        <f t="shared" ca="1" si="464"/>
        <v>999982.01659893175</v>
      </c>
      <c r="AG476" s="2">
        <f t="shared" ca="1" si="465"/>
        <v>1029831.7258960962</v>
      </c>
      <c r="AH476" s="2">
        <f t="shared" ca="1" si="466"/>
        <v>1060572.4563619772</v>
      </c>
      <c r="AI476" s="2">
        <f t="shared" ca="1" si="467"/>
        <v>1092230.8051977463</v>
      </c>
      <c r="AJ476" s="2">
        <f t="shared" ca="1" si="468"/>
        <v>1124834.1635375763</v>
      </c>
      <c r="AK476" s="2">
        <f t="shared" ca="1" si="469"/>
        <v>0</v>
      </c>
      <c r="AL476" s="2">
        <f t="shared" ca="1" si="470"/>
        <v>14924.854648582264</v>
      </c>
      <c r="AM476" s="2">
        <f t="shared" ca="1" si="471"/>
        <v>15370.365232940465</v>
      </c>
      <c r="AN476" s="2">
        <f t="shared" ca="1" si="472"/>
        <v>15829.174417884573</v>
      </c>
      <c r="AO476" s="2">
        <f t="shared" ca="1" si="473"/>
        <v>16301.679169914947</v>
      </c>
      <c r="AP476" s="2">
        <f t="shared" ca="1" si="474"/>
        <v>2040464.7804285861</v>
      </c>
      <c r="AQ476" s="2">
        <f t="shared" ca="1" si="475"/>
        <v>865446.57236289117</v>
      </c>
      <c r="AR476" s="2">
        <f t="shared" ca="1" si="476"/>
        <v>946659.00026952347</v>
      </c>
      <c r="AS476" s="2">
        <f t="shared" ca="1" si="477"/>
        <v>990753.18213146331</v>
      </c>
      <c r="AT476" s="2">
        <f t="shared" ca="1" si="478"/>
        <v>1036163.5861738302</v>
      </c>
      <c r="AU476" s="2">
        <f t="shared" ca="1" si="479"/>
        <v>1082929.5019526393</v>
      </c>
      <c r="AV476" s="2">
        <f t="shared" ca="1" si="480"/>
        <v>2463194.0905713052</v>
      </c>
      <c r="AW476" s="2">
        <f t="shared" ca="1" si="481"/>
        <v>2679412.2999646761</v>
      </c>
      <c r="AX476" s="2">
        <f t="shared" ca="1" si="482"/>
        <v>2804465.6146796853</v>
      </c>
      <c r="AY476" s="2">
        <f t="shared" ca="1" si="483"/>
        <v>2933251.8016153234</v>
      </c>
      <c r="AZ476" s="2">
        <f t="shared" ca="1" si="484"/>
        <v>3065882.2879260578</v>
      </c>
      <c r="BA476" s="2">
        <f t="shared" ca="1" si="485"/>
        <v>57671582.627018049</v>
      </c>
      <c r="BB476" s="2">
        <f t="shared" ca="1" si="486"/>
        <v>1153431.652540361</v>
      </c>
      <c r="BC476" s="2">
        <f t="shared" ca="1" si="487"/>
        <v>33846320.08082673</v>
      </c>
      <c r="BD476" s="2">
        <f t="shared" ca="1" si="488"/>
        <v>-16559213.54966943</v>
      </c>
      <c r="BE476" s="2">
        <f t="shared" ca="1" si="489"/>
        <v>2463194.0905713052</v>
      </c>
      <c r="BF476" s="2">
        <f t="shared" ca="1" si="490"/>
        <v>2679412.2999646761</v>
      </c>
      <c r="BG476" s="2">
        <f t="shared" ca="1" si="491"/>
        <v>2804465.6146796853</v>
      </c>
      <c r="BH476" s="2">
        <f t="shared" ca="1" si="492"/>
        <v>2933251.8016153234</v>
      </c>
      <c r="BI476" s="2">
        <f t="shared" ca="1" si="493"/>
        <v>36912202.368752785</v>
      </c>
      <c r="BJ476" s="2">
        <f t="shared" ca="1" si="494"/>
        <v>0.28332214527619737</v>
      </c>
      <c r="BK476" s="2">
        <f t="shared" ca="1" si="495"/>
        <v>12581350.675698396</v>
      </c>
    </row>
    <row r="477" spans="1:63" x14ac:dyDescent="0.3">
      <c r="A477" s="2">
        <v>476</v>
      </c>
      <c r="B477" s="2">
        <f t="shared" ca="1" si="434"/>
        <v>9.2493510874196438E-3</v>
      </c>
      <c r="C477" s="2">
        <f t="shared" ca="1" si="435"/>
        <v>6.1360099341035035</v>
      </c>
      <c r="D477" s="2">
        <f t="shared" ca="1" si="436"/>
        <v>0.64850421589280738</v>
      </c>
      <c r="E477" s="2">
        <f t="shared" ca="1" si="437"/>
        <v>7.6615540755574125</v>
      </c>
      <c r="F477" s="2">
        <f t="shared" ca="1" si="438"/>
        <v>0.69211828457069124</v>
      </c>
      <c r="G477" s="2">
        <f t="shared" ca="1" si="439"/>
        <v>5.5055909733068578E-2</v>
      </c>
      <c r="H477" s="2">
        <f t="shared" ca="1" si="440"/>
        <v>5.5055909733068578E-2</v>
      </c>
      <c r="I477" s="2">
        <f t="shared" ca="1" si="441"/>
        <v>0.72496233232760665</v>
      </c>
      <c r="J477" s="2">
        <f t="shared" ca="1" si="442"/>
        <v>1.2988236207464813E-2</v>
      </c>
      <c r="K477" s="2">
        <f t="shared" ca="1" si="443"/>
        <v>1.2988236207464813E-2</v>
      </c>
      <c r="L477" s="2">
        <f t="shared" ca="1" si="444"/>
        <v>0.53095361868741808</v>
      </c>
      <c r="M477" s="2">
        <f t="shared" ca="1" si="445"/>
        <v>1.5533445845173782E-3</v>
      </c>
      <c r="N477" s="2">
        <f t="shared" ca="1" si="446"/>
        <v>1.5533445845173782E-3</v>
      </c>
      <c r="O477" s="2">
        <f t="shared" si="447"/>
        <v>6000000</v>
      </c>
      <c r="P477" s="2">
        <f t="shared" ca="1" si="448"/>
        <v>36816059.604621023</v>
      </c>
      <c r="Q477" s="2">
        <f t="shared" ca="1" si="449"/>
        <v>920401.49011552567</v>
      </c>
      <c r="R477" s="2">
        <f t="shared" ca="1" si="450"/>
        <v>22089635.762772612</v>
      </c>
      <c r="S477" s="2">
        <f t="shared" ca="1" si="451"/>
        <v>14726423.841848411</v>
      </c>
      <c r="T477" s="2">
        <f t="shared" ca="1" si="452"/>
        <v>50077667.229225866</v>
      </c>
      <c r="U477" s="2">
        <f t="shared" ca="1" si="453"/>
        <v>52834738.755840771</v>
      </c>
      <c r="V477" s="2">
        <f t="shared" ca="1" si="454"/>
        <v>55743603.3635526</v>
      </c>
      <c r="W477" s="2">
        <f t="shared" ca="1" si="455"/>
        <v>58812618.158532329</v>
      </c>
      <c r="X477" s="2">
        <f t="shared" ca="1" si="456"/>
        <v>62050600.355033912</v>
      </c>
      <c r="Y477" s="2">
        <f t="shared" ca="1" si="457"/>
        <v>0.1264941181037324</v>
      </c>
      <c r="Z477" s="2">
        <f t="shared" ca="1" si="458"/>
        <v>0.12909176534522537</v>
      </c>
      <c r="AA477" s="2">
        <f t="shared" ca="1" si="459"/>
        <v>6334530.3528531063</v>
      </c>
      <c r="AB477" s="2">
        <f t="shared" ca="1" si="460"/>
        <v>6820529.6975452816</v>
      </c>
      <c r="AC477" s="2">
        <f t="shared" ca="1" si="461"/>
        <v>7196040.164905048</v>
      </c>
      <c r="AD477" s="2">
        <f t="shared" ca="1" si="462"/>
        <v>7592224.7026595958</v>
      </c>
      <c r="AE477" s="2">
        <f t="shared" ca="1" si="463"/>
        <v>8010221.5405623959</v>
      </c>
      <c r="AF477" s="2">
        <f t="shared" ca="1" si="464"/>
        <v>1001553.3445845173</v>
      </c>
      <c r="AG477" s="2">
        <f t="shared" ca="1" si="465"/>
        <v>1056694.7751168155</v>
      </c>
      <c r="AH477" s="2">
        <f t="shared" ca="1" si="466"/>
        <v>1114872.0672710519</v>
      </c>
      <c r="AI477" s="2">
        <f t="shared" ca="1" si="467"/>
        <v>1176252.3631706466</v>
      </c>
      <c r="AJ477" s="2">
        <f t="shared" ca="1" si="468"/>
        <v>1241012.0071006783</v>
      </c>
      <c r="AK477" s="2">
        <f t="shared" ca="1" si="469"/>
        <v>0</v>
      </c>
      <c r="AL477" s="2">
        <f t="shared" ca="1" si="470"/>
        <v>27570.715266149044</v>
      </c>
      <c r="AM477" s="2">
        <f t="shared" ca="1" si="471"/>
        <v>29088.646077118294</v>
      </c>
      <c r="AN477" s="2">
        <f t="shared" ca="1" si="472"/>
        <v>30690.147949797287</v>
      </c>
      <c r="AO477" s="2">
        <f t="shared" ca="1" si="473"/>
        <v>32379.821965015828</v>
      </c>
      <c r="AP477" s="2">
        <f t="shared" ca="1" si="474"/>
        <v>1988067.218649535</v>
      </c>
      <c r="AQ477" s="2">
        <f t="shared" ca="1" si="475"/>
        <v>869676.54530095414</v>
      </c>
      <c r="AR477" s="2">
        <f t="shared" ca="1" si="476"/>
        <v>981699.60298252222</v>
      </c>
      <c r="AS477" s="2">
        <f t="shared" ca="1" si="477"/>
        <v>1064206.22853596</v>
      </c>
      <c r="AT477" s="2">
        <f t="shared" ca="1" si="478"/>
        <v>1151255.3314182479</v>
      </c>
      <c r="AU477" s="2">
        <f t="shared" ca="1" si="479"/>
        <v>1243097.0018511678</v>
      </c>
      <c r="AV477" s="2">
        <f t="shared" ca="1" si="480"/>
        <v>2475233.2443181002</v>
      </c>
      <c r="AW477" s="2">
        <f t="shared" ca="1" si="481"/>
        <v>2766497.3855302599</v>
      </c>
      <c r="AX477" s="2">
        <f t="shared" ca="1" si="482"/>
        <v>2999806.0043713837</v>
      </c>
      <c r="AY477" s="2">
        <f t="shared" ca="1" si="483"/>
        <v>3245959.6414713697</v>
      </c>
      <c r="AZ477" s="2">
        <f t="shared" ca="1" si="484"/>
        <v>3505665.4909959999</v>
      </c>
      <c r="BA477" s="2">
        <f t="shared" ca="1" si="485"/>
        <v>61370745.490213603</v>
      </c>
      <c r="BB477" s="2">
        <f t="shared" ca="1" si="486"/>
        <v>1227414.909804272</v>
      </c>
      <c r="BC477" s="2">
        <f t="shared" ca="1" si="487"/>
        <v>38053694.817636721</v>
      </c>
      <c r="BD477" s="2">
        <f t="shared" ca="1" si="488"/>
        <v>-16146825.331963936</v>
      </c>
      <c r="BE477" s="2">
        <f t="shared" ca="1" si="489"/>
        <v>2475233.2443181002</v>
      </c>
      <c r="BF477" s="2">
        <f t="shared" ca="1" si="490"/>
        <v>2766497.3855302599</v>
      </c>
      <c r="BG477" s="2">
        <f t="shared" ca="1" si="491"/>
        <v>2999806.0043713837</v>
      </c>
      <c r="BH477" s="2">
        <f t="shared" ca="1" si="492"/>
        <v>3245959.6414713697</v>
      </c>
      <c r="BI477" s="2">
        <f t="shared" ca="1" si="493"/>
        <v>41559360.308632724</v>
      </c>
      <c r="BJ477" s="2">
        <f t="shared" ca="1" si="494"/>
        <v>0.32122074070105033</v>
      </c>
      <c r="BK477" s="2">
        <f t="shared" ca="1" si="495"/>
        <v>16048604.969183521</v>
      </c>
    </row>
    <row r="478" spans="1:63" x14ac:dyDescent="0.3">
      <c r="A478" s="2">
        <v>477</v>
      </c>
      <c r="B478" s="2">
        <f t="shared" ca="1" si="434"/>
        <v>0.45809238411603237</v>
      </c>
      <c r="C478" s="2">
        <f t="shared" ca="1" si="435"/>
        <v>6.9571754114226216</v>
      </c>
      <c r="D478" s="2">
        <f t="shared" ca="1" si="436"/>
        <v>0.67685010420393998</v>
      </c>
      <c r="E478" s="2">
        <f t="shared" ca="1" si="437"/>
        <v>7.6960722721586725</v>
      </c>
      <c r="F478" s="2">
        <f t="shared" ca="1" si="438"/>
        <v>8.0781936128392795E-2</v>
      </c>
      <c r="G478" s="2">
        <f t="shared" ca="1" si="439"/>
        <v>-1.9949360176414813E-3</v>
      </c>
      <c r="H478" s="2">
        <f t="shared" ca="1" si="440"/>
        <v>-1.9949360176414813E-3</v>
      </c>
      <c r="I478" s="2">
        <f t="shared" ca="1" si="441"/>
        <v>0.8379514532407325</v>
      </c>
      <c r="J478" s="2">
        <f t="shared" ca="1" si="442"/>
        <v>1.4930367021141476E-2</v>
      </c>
      <c r="K478" s="2">
        <f t="shared" ca="1" si="443"/>
        <v>1.4930367021141476E-2</v>
      </c>
      <c r="L478" s="2">
        <f t="shared" ca="1" si="444"/>
        <v>3.795751597240371E-2</v>
      </c>
      <c r="M478" s="2">
        <f t="shared" ca="1" si="445"/>
        <v>-3.5497923505488832E-2</v>
      </c>
      <c r="N478" s="2">
        <f t="shared" ca="1" si="446"/>
        <v>-3.5497923505488832E-2</v>
      </c>
      <c r="O478" s="2">
        <f t="shared" si="447"/>
        <v>6000000</v>
      </c>
      <c r="P478" s="2">
        <f t="shared" ca="1" si="448"/>
        <v>41743052.468535729</v>
      </c>
      <c r="Q478" s="2">
        <f t="shared" ca="1" si="449"/>
        <v>1043576.3117133933</v>
      </c>
      <c r="R478" s="2">
        <f t="shared" ca="1" si="450"/>
        <v>25045831.481121436</v>
      </c>
      <c r="S478" s="2">
        <f t="shared" ca="1" si="451"/>
        <v>16697220.987414293</v>
      </c>
      <c r="T478" s="2">
        <f t="shared" ca="1" si="452"/>
        <v>48225103.824725553</v>
      </c>
      <c r="U478" s="2">
        <f t="shared" ca="1" si="453"/>
        <v>48128897.828151107</v>
      </c>
      <c r="V478" s="2">
        <f t="shared" ca="1" si="454"/>
        <v>48032883.756384343</v>
      </c>
      <c r="W478" s="2">
        <f t="shared" ca="1" si="455"/>
        <v>47937061.226547547</v>
      </c>
      <c r="X478" s="2">
        <f t="shared" ca="1" si="456"/>
        <v>47841429.856526822</v>
      </c>
      <c r="Y478" s="2">
        <f t="shared" ca="1" si="457"/>
        <v>0.12746518351057073</v>
      </c>
      <c r="Z478" s="2">
        <f t="shared" ca="1" si="458"/>
        <v>0.13045125691479903</v>
      </c>
      <c r="AA478" s="2">
        <f t="shared" ca="1" si="459"/>
        <v>6147021.7088349694</v>
      </c>
      <c r="AB478" s="2">
        <f t="shared" ca="1" si="460"/>
        <v>6278475.2156062527</v>
      </c>
      <c r="AC478" s="2">
        <f t="shared" ca="1" si="461"/>
        <v>6265950.0592627712</v>
      </c>
      <c r="AD478" s="2">
        <f t="shared" ca="1" si="462"/>
        <v>6253449.8898048047</v>
      </c>
      <c r="AE478" s="2">
        <f t="shared" ca="1" si="463"/>
        <v>6240974.6573851174</v>
      </c>
      <c r="AF478" s="2">
        <f t="shared" ca="1" si="464"/>
        <v>964502.0764945111</v>
      </c>
      <c r="AG478" s="2">
        <f t="shared" ca="1" si="465"/>
        <v>962577.9565630221</v>
      </c>
      <c r="AH478" s="2">
        <f t="shared" ca="1" si="466"/>
        <v>960657.67512768693</v>
      </c>
      <c r="AI478" s="2">
        <f t="shared" ca="1" si="467"/>
        <v>958741.224530951</v>
      </c>
      <c r="AJ478" s="2">
        <f t="shared" ca="1" si="468"/>
        <v>956828.59713053645</v>
      </c>
      <c r="AK478" s="2">
        <f t="shared" ca="1" si="469"/>
        <v>0</v>
      </c>
      <c r="AL478" s="2">
        <f t="shared" ca="1" si="470"/>
        <v>0</v>
      </c>
      <c r="AM478" s="2">
        <f t="shared" ca="1" si="471"/>
        <v>0</v>
      </c>
      <c r="AN478" s="2">
        <f t="shared" ca="1" si="472"/>
        <v>0</v>
      </c>
      <c r="AO478" s="2">
        <f t="shared" ca="1" si="473"/>
        <v>0</v>
      </c>
      <c r="AP478" s="2">
        <f t="shared" ca="1" si="474"/>
        <v>2254124.8333009291</v>
      </c>
      <c r="AQ478" s="2">
        <f t="shared" ca="1" si="475"/>
        <v>761382.64775027765</v>
      </c>
      <c r="AR478" s="2">
        <f t="shared" ca="1" si="476"/>
        <v>796060.83069299848</v>
      </c>
      <c r="AS478" s="2">
        <f t="shared" ca="1" si="477"/>
        <v>793303.56321688043</v>
      </c>
      <c r="AT478" s="2">
        <f t="shared" ca="1" si="478"/>
        <v>790551.79631296045</v>
      </c>
      <c r="AU478" s="2">
        <f t="shared" ca="1" si="479"/>
        <v>787805.51900794962</v>
      </c>
      <c r="AV478" s="2">
        <f t="shared" ca="1" si="480"/>
        <v>2167012.1512892512</v>
      </c>
      <c r="AW478" s="2">
        <f t="shared" ca="1" si="481"/>
        <v>2265711.5950493035</v>
      </c>
      <c r="AX478" s="2">
        <f t="shared" ca="1" si="482"/>
        <v>2257863.9876172752</v>
      </c>
      <c r="AY478" s="2">
        <f t="shared" ca="1" si="483"/>
        <v>2250032.0356599637</v>
      </c>
      <c r="AZ478" s="2">
        <f t="shared" ca="1" si="484"/>
        <v>2242215.7079457031</v>
      </c>
      <c r="BA478" s="2">
        <f t="shared" ca="1" si="485"/>
        <v>48030992.011946574</v>
      </c>
      <c r="BB478" s="2">
        <f t="shared" ca="1" si="486"/>
        <v>960619.84023893147</v>
      </c>
      <c r="BC478" s="2">
        <f t="shared" ca="1" si="487"/>
        <v>22024540.690586206</v>
      </c>
      <c r="BD478" s="2">
        <f t="shared" ca="1" si="488"/>
        <v>-18240797.299127687</v>
      </c>
      <c r="BE478" s="2">
        <f t="shared" ca="1" si="489"/>
        <v>2167012.1512892512</v>
      </c>
      <c r="BF478" s="2">
        <f t="shared" ca="1" si="490"/>
        <v>2265711.5950493035</v>
      </c>
      <c r="BG478" s="2">
        <f t="shared" ca="1" si="491"/>
        <v>2257863.9876172752</v>
      </c>
      <c r="BH478" s="2">
        <f t="shared" ca="1" si="492"/>
        <v>2250032.0356599637</v>
      </c>
      <c r="BI478" s="2">
        <f t="shared" ca="1" si="493"/>
        <v>24266756.39853191</v>
      </c>
      <c r="BJ478" s="2">
        <f t="shared" ca="1" si="494"/>
        <v>0.1529663698057826</v>
      </c>
      <c r="BK478" s="2">
        <f t="shared" ca="1" si="495"/>
        <v>2306894.6966740936</v>
      </c>
    </row>
    <row r="479" spans="1:63" x14ac:dyDescent="0.3">
      <c r="A479" s="2">
        <v>478</v>
      </c>
      <c r="B479" s="2">
        <f t="shared" ca="1" si="434"/>
        <v>8.3581136977871617E-2</v>
      </c>
      <c r="C479" s="2">
        <f t="shared" ca="1" si="435"/>
        <v>6.4088548323742103</v>
      </c>
      <c r="D479" s="2">
        <f t="shared" ca="1" si="436"/>
        <v>0.34471308367333076</v>
      </c>
      <c r="E479" s="2">
        <f t="shared" ca="1" si="437"/>
        <v>7.3303169077807953</v>
      </c>
      <c r="F479" s="2">
        <f t="shared" ca="1" si="438"/>
        <v>0.69237496880012361</v>
      </c>
      <c r="G479" s="2">
        <f t="shared" ca="1" si="439"/>
        <v>5.5077806611491462E-2</v>
      </c>
      <c r="H479" s="2">
        <f t="shared" ca="1" si="440"/>
        <v>5.5077806611491462E-2</v>
      </c>
      <c r="I479" s="2">
        <f t="shared" ca="1" si="441"/>
        <v>0.2953772017996692</v>
      </c>
      <c r="J479" s="2">
        <f t="shared" ca="1" si="442"/>
        <v>7.3112843853942473E-3</v>
      </c>
      <c r="K479" s="2">
        <f t="shared" ca="1" si="443"/>
        <v>7.3112843853942473E-3</v>
      </c>
      <c r="L479" s="2">
        <f t="shared" ca="1" si="444"/>
        <v>0.46448767911985422</v>
      </c>
      <c r="M479" s="2">
        <f t="shared" ca="1" si="445"/>
        <v>-1.7826814745070163E-3</v>
      </c>
      <c r="N479" s="2">
        <f t="shared" ca="1" si="446"/>
        <v>-1.7826814745070163E-3</v>
      </c>
      <c r="O479" s="2">
        <f t="shared" si="447"/>
        <v>6000000</v>
      </c>
      <c r="P479" s="2">
        <f t="shared" ca="1" si="448"/>
        <v>38453128.994245261</v>
      </c>
      <c r="Q479" s="2">
        <f t="shared" ca="1" si="449"/>
        <v>961328.22485613159</v>
      </c>
      <c r="R479" s="2">
        <f t="shared" ca="1" si="450"/>
        <v>23071877.396547157</v>
      </c>
      <c r="S479" s="2">
        <f t="shared" ca="1" si="451"/>
        <v>15381251.597698105</v>
      </c>
      <c r="T479" s="2">
        <f t="shared" ca="1" si="452"/>
        <v>49910865.92627465</v>
      </c>
      <c r="U479" s="2">
        <f t="shared" ca="1" si="453"/>
        <v>52659846.947574079</v>
      </c>
      <c r="V479" s="2">
        <f t="shared" ca="1" si="454"/>
        <v>55560235.813943304</v>
      </c>
      <c r="W479" s="2">
        <f t="shared" ca="1" si="455"/>
        <v>58620371.73739253</v>
      </c>
      <c r="X479" s="2">
        <f t="shared" ca="1" si="456"/>
        <v>61849053.235438369</v>
      </c>
      <c r="Y479" s="2">
        <f t="shared" ca="1" si="457"/>
        <v>0.12365564219269712</v>
      </c>
      <c r="Z479" s="2">
        <f t="shared" ca="1" si="458"/>
        <v>0.12511789906977597</v>
      </c>
      <c r="AA479" s="2">
        <f t="shared" ca="1" si="459"/>
        <v>6171760.1785070961</v>
      </c>
      <c r="AB479" s="2">
        <f t="shared" ca="1" si="460"/>
        <v>6588689.4154164232</v>
      </c>
      <c r="AC479" s="2">
        <f t="shared" ca="1" si="461"/>
        <v>6951579.97686191</v>
      </c>
      <c r="AD479" s="2">
        <f t="shared" ca="1" si="462"/>
        <v>7334457.7544718264</v>
      </c>
      <c r="AE479" s="2">
        <f t="shared" ca="1" si="463"/>
        <v>7738423.6002727784</v>
      </c>
      <c r="AF479" s="2">
        <f t="shared" ca="1" si="464"/>
        <v>998217.31852549303</v>
      </c>
      <c r="AG479" s="2">
        <f t="shared" ca="1" si="465"/>
        <v>1053196.9389514816</v>
      </c>
      <c r="AH479" s="2">
        <f t="shared" ca="1" si="466"/>
        <v>1111204.7162788662</v>
      </c>
      <c r="AI479" s="2">
        <f t="shared" ca="1" si="467"/>
        <v>1172407.4347478505</v>
      </c>
      <c r="AJ479" s="2">
        <f t="shared" ca="1" si="468"/>
        <v>1236981.0647087675</v>
      </c>
      <c r="AK479" s="2">
        <f t="shared" ca="1" si="469"/>
        <v>0</v>
      </c>
      <c r="AL479" s="2">
        <f t="shared" ca="1" si="470"/>
        <v>27489.810212994293</v>
      </c>
      <c r="AM479" s="2">
        <f t="shared" ca="1" si="471"/>
        <v>29003.888663692251</v>
      </c>
      <c r="AN479" s="2">
        <f t="shared" ca="1" si="472"/>
        <v>30601.359234492258</v>
      </c>
      <c r="AO479" s="2">
        <f t="shared" ca="1" si="473"/>
        <v>32286.814980458395</v>
      </c>
      <c r="AP479" s="2">
        <f t="shared" ca="1" si="474"/>
        <v>2076468.965689244</v>
      </c>
      <c r="AQ479" s="2">
        <f t="shared" ca="1" si="475"/>
        <v>805239.21251601342</v>
      </c>
      <c r="AR479" s="2">
        <f t="shared" ca="1" si="476"/>
        <v>899346.11280168162</v>
      </c>
      <c r="AS479" s="2">
        <f t="shared" ca="1" si="477"/>
        <v>978615.63667238806</v>
      </c>
      <c r="AT479" s="2">
        <f t="shared" ca="1" si="478"/>
        <v>1062251.1520490304</v>
      </c>
      <c r="AU479" s="2">
        <f t="shared" ca="1" si="479"/>
        <v>1150493.1281674395</v>
      </c>
      <c r="AV479" s="2">
        <f t="shared" ca="1" si="480"/>
        <v>2291834.6817763457</v>
      </c>
      <c r="AW479" s="2">
        <f t="shared" ca="1" si="481"/>
        <v>2532187.5877610231</v>
      </c>
      <c r="AX479" s="2">
        <f t="shared" ca="1" si="482"/>
        <v>2756286.7695577201</v>
      </c>
      <c r="AY479" s="2">
        <f t="shared" ca="1" si="483"/>
        <v>2992728.8427512096</v>
      </c>
      <c r="AZ479" s="2">
        <f t="shared" ca="1" si="484"/>
        <v>3242193.6267268695</v>
      </c>
      <c r="BA479" s="2">
        <f t="shared" ca="1" si="485"/>
        <v>56725097.356649481</v>
      </c>
      <c r="BB479" s="2">
        <f t="shared" ca="1" si="486"/>
        <v>1134501.9471329895</v>
      </c>
      <c r="BC479" s="2">
        <f t="shared" ca="1" si="487"/>
        <v>32518718.01296933</v>
      </c>
      <c r="BD479" s="2">
        <f t="shared" ca="1" si="488"/>
        <v>-16842579.822554238</v>
      </c>
      <c r="BE479" s="2">
        <f t="shared" ca="1" si="489"/>
        <v>2291834.6817763457</v>
      </c>
      <c r="BF479" s="2">
        <f t="shared" ca="1" si="490"/>
        <v>2532187.5877610231</v>
      </c>
      <c r="BG479" s="2">
        <f t="shared" ca="1" si="491"/>
        <v>2756286.7695577201</v>
      </c>
      <c r="BH479" s="2">
        <f t="shared" ca="1" si="492"/>
        <v>2992728.8427512096</v>
      </c>
      <c r="BI479" s="2">
        <f t="shared" ca="1" si="493"/>
        <v>35760911.639696196</v>
      </c>
      <c r="BJ479" s="2">
        <f t="shared" ca="1" si="494"/>
        <v>0.26724108456251416</v>
      </c>
      <c r="BK479" s="2">
        <f t="shared" ca="1" si="495"/>
        <v>11377850.997647323</v>
      </c>
    </row>
    <row r="480" spans="1:63" x14ac:dyDescent="0.3">
      <c r="A480" s="2">
        <v>479</v>
      </c>
      <c r="B480" s="2">
        <f t="shared" ca="1" si="434"/>
        <v>0.16973942595683522</v>
      </c>
      <c r="C480" s="2">
        <f t="shared" ca="1" si="435"/>
        <v>6.5826481373124528</v>
      </c>
      <c r="D480" s="2">
        <f t="shared" ca="1" si="436"/>
        <v>0.11116110847861838</v>
      </c>
      <c r="E480" s="2">
        <f t="shared" ca="1" si="437"/>
        <v>6.9715105692953623</v>
      </c>
      <c r="F480" s="2">
        <f t="shared" ca="1" si="438"/>
        <v>0.88685424009369362</v>
      </c>
      <c r="G480" s="2">
        <f t="shared" ca="1" si="439"/>
        <v>7.6299012822127948E-2</v>
      </c>
      <c r="H480" s="2">
        <f t="shared" ca="1" si="440"/>
        <v>7.6299012822127948E-2</v>
      </c>
      <c r="I480" s="2">
        <f t="shared" ca="1" si="441"/>
        <v>0.52537374740808163</v>
      </c>
      <c r="J480" s="2">
        <f t="shared" ca="1" si="442"/>
        <v>1.0318227476229012E-2</v>
      </c>
      <c r="K480" s="2">
        <f t="shared" ca="1" si="443"/>
        <v>1.0318227476229012E-2</v>
      </c>
      <c r="L480" s="2">
        <f t="shared" ca="1" si="444"/>
        <v>0.17172220303546404</v>
      </c>
      <c r="M480" s="2">
        <f t="shared" ca="1" si="445"/>
        <v>-1.8947630335420559E-2</v>
      </c>
      <c r="N480" s="2">
        <f t="shared" ca="1" si="446"/>
        <v>-1.8947630335420559E-2</v>
      </c>
      <c r="O480" s="2">
        <f t="shared" si="447"/>
        <v>6000000</v>
      </c>
      <c r="P480" s="2">
        <f t="shared" ca="1" si="448"/>
        <v>39495888.823874719</v>
      </c>
      <c r="Q480" s="2">
        <f t="shared" ca="1" si="449"/>
        <v>987397.22059686808</v>
      </c>
      <c r="R480" s="2">
        <f t="shared" ca="1" si="450"/>
        <v>23697533.29432483</v>
      </c>
      <c r="S480" s="2">
        <f t="shared" ca="1" si="451"/>
        <v>15798355.529549889</v>
      </c>
      <c r="T480" s="2">
        <f t="shared" ca="1" si="452"/>
        <v>49052618.483228974</v>
      </c>
      <c r="U480" s="2">
        <f t="shared" ca="1" si="453"/>
        <v>52795284.849839814</v>
      </c>
      <c r="V480" s="2">
        <f t="shared" ca="1" si="454"/>
        <v>56823512.965545639</v>
      </c>
      <c r="W480" s="2">
        <f t="shared" ca="1" si="455"/>
        <v>61159090.909902155</v>
      </c>
      <c r="X480" s="2">
        <f t="shared" ca="1" si="456"/>
        <v>65825469.171426468</v>
      </c>
      <c r="Y480" s="2">
        <f t="shared" ca="1" si="457"/>
        <v>0.1251591137381145</v>
      </c>
      <c r="Z480" s="2">
        <f t="shared" ca="1" si="458"/>
        <v>0.12722275923336029</v>
      </c>
      <c r="AA480" s="2">
        <f t="shared" ca="1" si="459"/>
        <v>6139382.2558947932</v>
      </c>
      <c r="AB480" s="2">
        <f t="shared" ca="1" si="460"/>
        <v>6716761.8131078454</v>
      </c>
      <c r="AC480" s="2">
        <f t="shared" ca="1" si="461"/>
        <v>7229244.1088093398</v>
      </c>
      <c r="AD480" s="2">
        <f t="shared" ca="1" si="462"/>
        <v>7780828.2977616759</v>
      </c>
      <c r="AE480" s="2">
        <f t="shared" ca="1" si="463"/>
        <v>8374497.8158193696</v>
      </c>
      <c r="AF480" s="2">
        <f t="shared" ca="1" si="464"/>
        <v>981052.36966457951</v>
      </c>
      <c r="AG480" s="2">
        <f t="shared" ca="1" si="465"/>
        <v>1055905.6969967964</v>
      </c>
      <c r="AH480" s="2">
        <f t="shared" ca="1" si="466"/>
        <v>1136470.2593109128</v>
      </c>
      <c r="AI480" s="2">
        <f t="shared" ca="1" si="467"/>
        <v>1223181.8181980432</v>
      </c>
      <c r="AJ480" s="2">
        <f t="shared" ca="1" si="468"/>
        <v>1316509.3834285294</v>
      </c>
      <c r="AK480" s="2">
        <f t="shared" ca="1" si="469"/>
        <v>0</v>
      </c>
      <c r="AL480" s="2">
        <f t="shared" ca="1" si="470"/>
        <v>37426.663666108398</v>
      </c>
      <c r="AM480" s="2">
        <f t="shared" ca="1" si="471"/>
        <v>40282.281157058256</v>
      </c>
      <c r="AN480" s="2">
        <f t="shared" ca="1" si="472"/>
        <v>43355.779443565159</v>
      </c>
      <c r="AO480" s="2">
        <f t="shared" ca="1" si="473"/>
        <v>46663.782615243123</v>
      </c>
      <c r="AP480" s="2">
        <f t="shared" ca="1" si="474"/>
        <v>2132777.9964892347</v>
      </c>
      <c r="AQ480" s="2">
        <f t="shared" ca="1" si="475"/>
        <v>786643.49133265449</v>
      </c>
      <c r="AR480" s="2">
        <f t="shared" ca="1" si="476"/>
        <v>917300.31110167189</v>
      </c>
      <c r="AS480" s="2">
        <f t="shared" ca="1" si="477"/>
        <v>1029598.9217823899</v>
      </c>
      <c r="AT480" s="2">
        <f t="shared" ca="1" si="478"/>
        <v>1150465.8055993437</v>
      </c>
      <c r="AU480" s="2">
        <f t="shared" ca="1" si="479"/>
        <v>1280554.7133344177</v>
      </c>
      <c r="AV480" s="2">
        <f t="shared" ca="1" si="480"/>
        <v>2238908.398408324</v>
      </c>
      <c r="AW480" s="2">
        <f t="shared" ca="1" si="481"/>
        <v>2573351.1448540338</v>
      </c>
      <c r="AX480" s="2">
        <f t="shared" ca="1" si="482"/>
        <v>2890114.6500697429</v>
      </c>
      <c r="AY480" s="2">
        <f t="shared" ca="1" si="483"/>
        <v>3231046.8980314895</v>
      </c>
      <c r="AZ480" s="2">
        <f t="shared" ca="1" si="484"/>
        <v>3597991.9399519446</v>
      </c>
      <c r="BA480" s="2">
        <f t="shared" ca="1" si="485"/>
        <v>58382900.035525665</v>
      </c>
      <c r="BB480" s="2">
        <f t="shared" ca="1" si="486"/>
        <v>1167658.0007105132</v>
      </c>
      <c r="BC480" s="2">
        <f t="shared" ca="1" si="487"/>
        <v>33517708.740490321</v>
      </c>
      <c r="BD480" s="2">
        <f t="shared" ca="1" si="488"/>
        <v>-17285752.750146758</v>
      </c>
      <c r="BE480" s="2">
        <f t="shared" ca="1" si="489"/>
        <v>2238908.398408324</v>
      </c>
      <c r="BF480" s="2">
        <f t="shared" ca="1" si="490"/>
        <v>2573351.1448540338</v>
      </c>
      <c r="BG480" s="2">
        <f t="shared" ca="1" si="491"/>
        <v>2890114.6500697429</v>
      </c>
      <c r="BH480" s="2">
        <f t="shared" ca="1" si="492"/>
        <v>3231046.8980314895</v>
      </c>
      <c r="BI480" s="2">
        <f t="shared" ca="1" si="493"/>
        <v>37115700.680442266</v>
      </c>
      <c r="BJ480" s="2">
        <f t="shared" ca="1" si="494"/>
        <v>0.26927360990762161</v>
      </c>
      <c r="BK480" s="2">
        <f t="shared" ca="1" si="495"/>
        <v>11935692.955646202</v>
      </c>
    </row>
    <row r="481" spans="1:63" x14ac:dyDescent="0.3">
      <c r="A481" s="2">
        <v>480</v>
      </c>
      <c r="B481" s="2">
        <f t="shared" ca="1" si="434"/>
        <v>0.27808786915733386</v>
      </c>
      <c r="C481" s="2">
        <f t="shared" ca="1" si="435"/>
        <v>6.7457719077001146</v>
      </c>
      <c r="D481" s="2">
        <f t="shared" ca="1" si="436"/>
        <v>0.58398336602156875</v>
      </c>
      <c r="E481" s="2">
        <f t="shared" ca="1" si="437"/>
        <v>7.5878414238977623</v>
      </c>
      <c r="F481" s="2">
        <f t="shared" ca="1" si="438"/>
        <v>0.21590194524463902</v>
      </c>
      <c r="G481" s="2">
        <f t="shared" ca="1" si="439"/>
        <v>1.6416743233292341E-2</v>
      </c>
      <c r="H481" s="2">
        <f t="shared" ca="1" si="440"/>
        <v>1.6416743233292341E-2</v>
      </c>
      <c r="I481" s="2">
        <f t="shared" ca="1" si="441"/>
        <v>0.64334607104466857</v>
      </c>
      <c r="J481" s="2">
        <f t="shared" ca="1" si="442"/>
        <v>1.1837085904589739E-2</v>
      </c>
      <c r="K481" s="2">
        <f t="shared" ca="1" si="443"/>
        <v>1.1837085904589739E-2</v>
      </c>
      <c r="L481" s="2">
        <f t="shared" ca="1" si="444"/>
        <v>6.9547488595859464E-2</v>
      </c>
      <c r="M481" s="2">
        <f t="shared" ca="1" si="445"/>
        <v>-2.9583393125463538E-2</v>
      </c>
      <c r="N481" s="2">
        <f t="shared" ca="1" si="446"/>
        <v>-2.9583393125463538E-2</v>
      </c>
      <c r="O481" s="2">
        <f t="shared" si="447"/>
        <v>6000000</v>
      </c>
      <c r="P481" s="2">
        <f t="shared" ca="1" si="448"/>
        <v>40474631.446200691</v>
      </c>
      <c r="Q481" s="2">
        <f t="shared" ca="1" si="449"/>
        <v>1011865.7861550173</v>
      </c>
      <c r="R481" s="2">
        <f t="shared" ca="1" si="450"/>
        <v>24284778.867720414</v>
      </c>
      <c r="S481" s="2">
        <f t="shared" ca="1" si="451"/>
        <v>16189852.578480277</v>
      </c>
      <c r="T481" s="2">
        <f t="shared" ca="1" si="452"/>
        <v>48520830.343726821</v>
      </c>
      <c r="U481" s="2">
        <f t="shared" ca="1" si="453"/>
        <v>49317384.356945917</v>
      </c>
      <c r="V481" s="2">
        <f t="shared" ca="1" si="454"/>
        <v>50127015.192871481</v>
      </c>
      <c r="W481" s="2">
        <f t="shared" ca="1" si="455"/>
        <v>50949937.530344188</v>
      </c>
      <c r="X481" s="2">
        <f t="shared" ca="1" si="456"/>
        <v>51786369.572532125</v>
      </c>
      <c r="Y481" s="2">
        <f t="shared" ca="1" si="457"/>
        <v>0.12591854295229488</v>
      </c>
      <c r="Z481" s="2">
        <f t="shared" ca="1" si="458"/>
        <v>0.12828596013321281</v>
      </c>
      <c r="AA481" s="2">
        <f t="shared" ca="1" si="459"/>
        <v>6109672.2597175781</v>
      </c>
      <c r="AB481" s="2">
        <f t="shared" ca="1" si="460"/>
        <v>6326728.0034894971</v>
      </c>
      <c r="AC481" s="2">
        <f t="shared" ca="1" si="461"/>
        <v>6430592.2726296633</v>
      </c>
      <c r="AD481" s="2">
        <f t="shared" ca="1" si="462"/>
        <v>6536161.6548074177</v>
      </c>
      <c r="AE481" s="2">
        <f t="shared" ca="1" si="463"/>
        <v>6643464.1424256805</v>
      </c>
      <c r="AF481" s="2">
        <f t="shared" ca="1" si="464"/>
        <v>970416.60687453649</v>
      </c>
      <c r="AG481" s="2">
        <f t="shared" ca="1" si="465"/>
        <v>986347.68713891832</v>
      </c>
      <c r="AH481" s="2">
        <f t="shared" ca="1" si="466"/>
        <v>1002540.3038574297</v>
      </c>
      <c r="AI481" s="2">
        <f t="shared" ca="1" si="467"/>
        <v>1018998.7506068838</v>
      </c>
      <c r="AJ481" s="2">
        <f t="shared" ca="1" si="468"/>
        <v>1035727.3914506425</v>
      </c>
      <c r="AK481" s="2">
        <f t="shared" ca="1" si="469"/>
        <v>0</v>
      </c>
      <c r="AL481" s="2">
        <f t="shared" ca="1" si="470"/>
        <v>7965.5401321909576</v>
      </c>
      <c r="AM481" s="2">
        <f t="shared" ca="1" si="471"/>
        <v>8096.3083592556422</v>
      </c>
      <c r="AN481" s="2">
        <f t="shared" ca="1" si="472"/>
        <v>8229.2233747270711</v>
      </c>
      <c r="AO481" s="2">
        <f t="shared" ca="1" si="473"/>
        <v>8364.3204218793653</v>
      </c>
      <c r="AP481" s="2">
        <f t="shared" ca="1" si="474"/>
        <v>2185630.0980948373</v>
      </c>
      <c r="AQ481" s="2">
        <f t="shared" ca="1" si="475"/>
        <v>767942.64423453307</v>
      </c>
      <c r="AR481" s="2">
        <f t="shared" ca="1" si="476"/>
        <v>820235.05674649298</v>
      </c>
      <c r="AS481" s="2">
        <f t="shared" ca="1" si="477"/>
        <v>843029.68637612299</v>
      </c>
      <c r="AT481" s="2">
        <f t="shared" ca="1" si="478"/>
        <v>866198.52958748105</v>
      </c>
      <c r="AU481" s="2">
        <f t="shared" ca="1" si="479"/>
        <v>889747.7297488522</v>
      </c>
      <c r="AV481" s="2">
        <f t="shared" ca="1" si="480"/>
        <v>2185682.9105136706</v>
      </c>
      <c r="AW481" s="2">
        <f t="shared" ca="1" si="481"/>
        <v>2326549.6213770579</v>
      </c>
      <c r="AX481" s="2">
        <f t="shared" ca="1" si="482"/>
        <v>2391295.8759420174</v>
      </c>
      <c r="AY481" s="2">
        <f t="shared" ca="1" si="483"/>
        <v>2457105.0531434878</v>
      </c>
      <c r="AZ481" s="2">
        <f t="shared" ca="1" si="484"/>
        <v>2523994.6027094689</v>
      </c>
      <c r="BA481" s="2">
        <f t="shared" ca="1" si="485"/>
        <v>50409552.418076999</v>
      </c>
      <c r="BB481" s="2">
        <f t="shared" ca="1" si="486"/>
        <v>1008191.04836154</v>
      </c>
      <c r="BC481" s="2">
        <f t="shared" ca="1" si="487"/>
        <v>25116582.501995046</v>
      </c>
      <c r="BD481" s="2">
        <f t="shared" ca="1" si="488"/>
        <v>-17701718.364635296</v>
      </c>
      <c r="BE481" s="2">
        <f t="shared" ca="1" si="489"/>
        <v>2185682.9105136706</v>
      </c>
      <c r="BF481" s="2">
        <f t="shared" ca="1" si="490"/>
        <v>2326549.6213770579</v>
      </c>
      <c r="BG481" s="2">
        <f t="shared" ca="1" si="491"/>
        <v>2391295.8759420174</v>
      </c>
      <c r="BH481" s="2">
        <f t="shared" ca="1" si="492"/>
        <v>2457105.0531434878</v>
      </c>
      <c r="BI481" s="2">
        <f t="shared" ca="1" si="493"/>
        <v>27640577.104704514</v>
      </c>
      <c r="BJ481" s="2">
        <f t="shared" ca="1" si="494"/>
        <v>0.19008240237368579</v>
      </c>
      <c r="BK481" s="2">
        <f t="shared" ca="1" si="495"/>
        <v>5052112.957773786</v>
      </c>
    </row>
    <row r="482" spans="1:63" x14ac:dyDescent="0.3">
      <c r="A482" s="2">
        <v>481</v>
      </c>
      <c r="B482" s="2">
        <f t="shared" ca="1" si="434"/>
        <v>5.1371227885094184E-2</v>
      </c>
      <c r="C482" s="2">
        <f t="shared" ca="1" si="435"/>
        <v>6.3205346405151683</v>
      </c>
      <c r="D482" s="2">
        <f t="shared" ca="1" si="436"/>
        <v>0.93599645719860092</v>
      </c>
      <c r="E482" s="2">
        <f t="shared" ca="1" si="437"/>
        <v>8.1422192213061209</v>
      </c>
      <c r="F482" s="2">
        <f t="shared" ca="1" si="438"/>
        <v>0.66630472855074518</v>
      </c>
      <c r="G482" s="2">
        <f t="shared" ca="1" si="439"/>
        <v>5.2891962474739956E-2</v>
      </c>
      <c r="H482" s="2">
        <f t="shared" ca="1" si="440"/>
        <v>5.2891962474739956E-2</v>
      </c>
      <c r="I482" s="2">
        <f t="shared" ca="1" si="441"/>
        <v>0.30146890307481611</v>
      </c>
      <c r="J482" s="2">
        <f t="shared" ca="1" si="442"/>
        <v>7.3990977220359504E-3</v>
      </c>
      <c r="K482" s="2">
        <f t="shared" ca="1" si="443"/>
        <v>7.3990977220359504E-3</v>
      </c>
      <c r="L482" s="2">
        <f t="shared" ca="1" si="444"/>
        <v>0.40612621935766025</v>
      </c>
      <c r="M482" s="2">
        <f t="shared" ca="1" si="445"/>
        <v>-4.7504249222879835E-3</v>
      </c>
      <c r="N482" s="2">
        <f t="shared" ca="1" si="446"/>
        <v>-4.7504249222879835E-3</v>
      </c>
      <c r="O482" s="2">
        <f t="shared" si="447"/>
        <v>6000000</v>
      </c>
      <c r="P482" s="2">
        <f t="shared" ca="1" si="448"/>
        <v>37923207.843091011</v>
      </c>
      <c r="Q482" s="2">
        <f t="shared" ca="1" si="449"/>
        <v>948080.19607727532</v>
      </c>
      <c r="R482" s="2">
        <f t="shared" ca="1" si="450"/>
        <v>22753924.705854606</v>
      </c>
      <c r="S482" s="2">
        <f t="shared" ca="1" si="451"/>
        <v>15169283.137236405</v>
      </c>
      <c r="T482" s="2">
        <f t="shared" ca="1" si="452"/>
        <v>49762478.753885604</v>
      </c>
      <c r="U482" s="2">
        <f t="shared" ca="1" si="453"/>
        <v>52394513.912786163</v>
      </c>
      <c r="V482" s="2">
        <f t="shared" ca="1" si="454"/>
        <v>55165762.576543488</v>
      </c>
      <c r="W482" s="2">
        <f t="shared" ca="1" si="455"/>
        <v>58083588.020632438</v>
      </c>
      <c r="X482" s="2">
        <f t="shared" ca="1" si="456"/>
        <v>61155742.978617981</v>
      </c>
      <c r="Y482" s="2">
        <f t="shared" ca="1" si="457"/>
        <v>0.12369954886101797</v>
      </c>
      <c r="Z482" s="2">
        <f t="shared" ca="1" si="458"/>
        <v>0.12517936840542515</v>
      </c>
      <c r="AA482" s="2">
        <f t="shared" ca="1" si="459"/>
        <v>6155596.1720616408</v>
      </c>
      <c r="AB482" s="2">
        <f t="shared" ca="1" si="460"/>
        <v>6558712.1595118325</v>
      </c>
      <c r="AC482" s="2">
        <f t="shared" ca="1" si="461"/>
        <v>6905615.316935353</v>
      </c>
      <c r="AD482" s="2">
        <f t="shared" ca="1" si="462"/>
        <v>7270866.8631436871</v>
      </c>
      <c r="AE482" s="2">
        <f t="shared" ca="1" si="463"/>
        <v>7655437.2804279123</v>
      </c>
      <c r="AF482" s="2">
        <f t="shared" ca="1" si="464"/>
        <v>995249.57507771207</v>
      </c>
      <c r="AG482" s="2">
        <f t="shared" ca="1" si="465"/>
        <v>1047890.2782557233</v>
      </c>
      <c r="AH482" s="2">
        <f t="shared" ca="1" si="466"/>
        <v>1103315.2515308699</v>
      </c>
      <c r="AI482" s="2">
        <f t="shared" ca="1" si="467"/>
        <v>1161671.7604126488</v>
      </c>
      <c r="AJ482" s="2">
        <f t="shared" ca="1" si="468"/>
        <v>1223114.8595723596</v>
      </c>
      <c r="AK482" s="2">
        <f t="shared" ca="1" si="469"/>
        <v>0</v>
      </c>
      <c r="AL482" s="2">
        <f t="shared" ca="1" si="470"/>
        <v>26320.35158900559</v>
      </c>
      <c r="AM482" s="2">
        <f t="shared" ca="1" si="471"/>
        <v>27712.486637573242</v>
      </c>
      <c r="AN482" s="2">
        <f t="shared" ca="1" si="472"/>
        <v>29178.254440889508</v>
      </c>
      <c r="AO482" s="2">
        <f t="shared" ca="1" si="473"/>
        <v>30721.549579855429</v>
      </c>
      <c r="AP482" s="2">
        <f t="shared" ca="1" si="474"/>
        <v>2047853.2235269144</v>
      </c>
      <c r="AQ482" s="2">
        <f t="shared" ca="1" si="475"/>
        <v>809248.27709882357</v>
      </c>
      <c r="AR482" s="2">
        <f t="shared" ca="1" si="476"/>
        <v>900371.85100959055</v>
      </c>
      <c r="AS482" s="2">
        <f t="shared" ca="1" si="477"/>
        <v>976156.17888816784</v>
      </c>
      <c r="AT482" s="2">
        <f t="shared" ca="1" si="478"/>
        <v>1055948.8885930721</v>
      </c>
      <c r="AU482" s="2">
        <f t="shared" ca="1" si="479"/>
        <v>1139961.991305446</v>
      </c>
      <c r="AV482" s="2">
        <f t="shared" ca="1" si="480"/>
        <v>2303245.0963581903</v>
      </c>
      <c r="AW482" s="2">
        <f t="shared" ca="1" si="481"/>
        <v>2536276.4551305985</v>
      </c>
      <c r="AX482" s="2">
        <f t="shared" ca="1" si="482"/>
        <v>2750578.1763518266</v>
      </c>
      <c r="AY482" s="2">
        <f t="shared" ca="1" si="483"/>
        <v>2976214.7361701615</v>
      </c>
      <c r="AZ482" s="2">
        <f t="shared" ca="1" si="484"/>
        <v>3213785.656443337</v>
      </c>
      <c r="BA482" s="2">
        <f t="shared" ca="1" si="485"/>
        <v>62332248.572203606</v>
      </c>
      <c r="BB482" s="2">
        <f t="shared" ca="1" si="486"/>
        <v>1246644.9714440722</v>
      </c>
      <c r="BC482" s="2">
        <f t="shared" ca="1" si="487"/>
        <v>38331678.894904926</v>
      </c>
      <c r="BD482" s="2">
        <f t="shared" ca="1" si="488"/>
        <v>-16617363.333313681</v>
      </c>
      <c r="BE482" s="2">
        <f t="shared" ca="1" si="489"/>
        <v>2303245.0963581903</v>
      </c>
      <c r="BF482" s="2">
        <f t="shared" ca="1" si="490"/>
        <v>2536276.4551305985</v>
      </c>
      <c r="BG482" s="2">
        <f t="shared" ca="1" si="491"/>
        <v>2750578.1763518266</v>
      </c>
      <c r="BH482" s="2">
        <f t="shared" ca="1" si="492"/>
        <v>2976214.7361701615</v>
      </c>
      <c r="BI482" s="2">
        <f t="shared" ca="1" si="493"/>
        <v>41545464.551348262</v>
      </c>
      <c r="BJ482" s="2">
        <f t="shared" ca="1" si="494"/>
        <v>0.30263872680330661</v>
      </c>
      <c r="BK482" s="2">
        <f t="shared" ca="1" si="495"/>
        <v>14884267.370312262</v>
      </c>
    </row>
    <row r="483" spans="1:63" x14ac:dyDescent="0.3">
      <c r="A483" s="2">
        <v>482</v>
      </c>
      <c r="B483" s="2">
        <f t="shared" ca="1" si="434"/>
        <v>0.93791627272697253</v>
      </c>
      <c r="C483" s="2">
        <f t="shared" ca="1" si="435"/>
        <v>7.647625973508184</v>
      </c>
      <c r="D483" s="2">
        <f t="shared" ca="1" si="436"/>
        <v>8.7889302524875257E-2</v>
      </c>
      <c r="E483" s="2">
        <f t="shared" ca="1" si="437"/>
        <v>6.919259591482116</v>
      </c>
      <c r="F483" s="2">
        <f t="shared" ca="1" si="438"/>
        <v>0.3428521805657907</v>
      </c>
      <c r="G483" s="2">
        <f t="shared" ca="1" si="439"/>
        <v>2.785925786357904E-2</v>
      </c>
      <c r="H483" s="2">
        <f t="shared" ca="1" si="440"/>
        <v>2.785925786357904E-2</v>
      </c>
      <c r="I483" s="2">
        <f t="shared" ca="1" si="441"/>
        <v>0.93451861123019464</v>
      </c>
      <c r="J483" s="2">
        <f t="shared" ca="1" si="442"/>
        <v>1.7551580655749768E-2</v>
      </c>
      <c r="K483" s="2">
        <f t="shared" ca="1" si="443"/>
        <v>1.7551580655749768E-2</v>
      </c>
      <c r="L483" s="2">
        <f t="shared" ca="1" si="444"/>
        <v>0.93038525373593117</v>
      </c>
      <c r="M483" s="2">
        <f t="shared" ca="1" si="445"/>
        <v>2.9573328308927171E-2</v>
      </c>
      <c r="N483" s="2">
        <f t="shared" ca="1" si="446"/>
        <v>2.9573328308927171E-2</v>
      </c>
      <c r="O483" s="2">
        <f t="shared" si="447"/>
        <v>6000000</v>
      </c>
      <c r="P483" s="2">
        <f t="shared" ca="1" si="448"/>
        <v>45885755.841049105</v>
      </c>
      <c r="Q483" s="2">
        <f t="shared" ca="1" si="449"/>
        <v>1147143.8960262276</v>
      </c>
      <c r="R483" s="2">
        <f t="shared" ca="1" si="450"/>
        <v>27531453.504629463</v>
      </c>
      <c r="S483" s="2">
        <f t="shared" ca="1" si="451"/>
        <v>18354302.336419642</v>
      </c>
      <c r="T483" s="2">
        <f t="shared" ca="1" si="452"/>
        <v>51478666.415446363</v>
      </c>
      <c r="U483" s="2">
        <f t="shared" ca="1" si="453"/>
        <v>52912823.857587449</v>
      </c>
      <c r="V483" s="2">
        <f t="shared" ca="1" si="454"/>
        <v>54386935.861726113</v>
      </c>
      <c r="W483" s="2">
        <f t="shared" ca="1" si="455"/>
        <v>55902115.532307871</v>
      </c>
      <c r="X483" s="2">
        <f t="shared" ca="1" si="456"/>
        <v>57459506.984042019</v>
      </c>
      <c r="Y483" s="2">
        <f t="shared" ca="1" si="457"/>
        <v>0.12877579032787487</v>
      </c>
      <c r="Z483" s="2">
        <f t="shared" ca="1" si="458"/>
        <v>0.13228610645902483</v>
      </c>
      <c r="AA483" s="2">
        <f t="shared" ca="1" si="459"/>
        <v>6629205.9526741346</v>
      </c>
      <c r="AB483" s="2">
        <f t="shared" ca="1" si="460"/>
        <v>6999631.4498724425</v>
      </c>
      <c r="AC483" s="2">
        <f t="shared" ca="1" si="461"/>
        <v>7194635.9873844562</v>
      </c>
      <c r="AD483" s="2">
        <f t="shared" ca="1" si="462"/>
        <v>7395073.2065915847</v>
      </c>
      <c r="AE483" s="2">
        <f t="shared" ca="1" si="463"/>
        <v>7601094.4579740632</v>
      </c>
      <c r="AF483" s="2">
        <f t="shared" ca="1" si="464"/>
        <v>1029573.3283089272</v>
      </c>
      <c r="AG483" s="2">
        <f t="shared" ca="1" si="465"/>
        <v>1058256.477151749</v>
      </c>
      <c r="AH483" s="2">
        <f t="shared" ca="1" si="466"/>
        <v>1087738.7172345223</v>
      </c>
      <c r="AI483" s="2">
        <f t="shared" ca="1" si="467"/>
        <v>1118042.3106461575</v>
      </c>
      <c r="AJ483" s="2">
        <f t="shared" ca="1" si="468"/>
        <v>1149190.1396808403</v>
      </c>
      <c r="AK483" s="2">
        <f t="shared" ca="1" si="469"/>
        <v>0</v>
      </c>
      <c r="AL483" s="2">
        <f t="shared" ca="1" si="470"/>
        <v>14341.574421410858</v>
      </c>
      <c r="AM483" s="2">
        <f t="shared" ca="1" si="471"/>
        <v>14741.120041386634</v>
      </c>
      <c r="AN483" s="2">
        <f t="shared" ca="1" si="472"/>
        <v>15151.79670581758</v>
      </c>
      <c r="AO483" s="2">
        <f t="shared" ca="1" si="473"/>
        <v>15573.91451734148</v>
      </c>
      <c r="AP483" s="2">
        <f t="shared" ca="1" si="474"/>
        <v>2477830.8154166518</v>
      </c>
      <c r="AQ483" s="2">
        <f t="shared" ca="1" si="475"/>
        <v>811668.47032662458</v>
      </c>
      <c r="AR483" s="2">
        <f t="shared" ca="1" si="476"/>
        <v>900521.48089905095</v>
      </c>
      <c r="AS483" s="2">
        <f t="shared" ca="1" si="477"/>
        <v>943557.27823065349</v>
      </c>
      <c r="AT483" s="2">
        <f t="shared" ca="1" si="478"/>
        <v>987792.02093748155</v>
      </c>
      <c r="AU483" s="2">
        <f t="shared" ca="1" si="479"/>
        <v>1033259.1107479086</v>
      </c>
      <c r="AV483" s="2">
        <f t="shared" ca="1" si="480"/>
        <v>2310133.3386219312</v>
      </c>
      <c r="AW483" s="2">
        <f t="shared" ca="1" si="481"/>
        <v>2548681.1019835807</v>
      </c>
      <c r="AX483" s="2">
        <f t="shared" ca="1" si="482"/>
        <v>2670768.056461243</v>
      </c>
      <c r="AY483" s="2">
        <f t="shared" ca="1" si="483"/>
        <v>2796256.2628854755</v>
      </c>
      <c r="AZ483" s="2">
        <f t="shared" ca="1" si="484"/>
        <v>2925240.477611322</v>
      </c>
      <c r="BA483" s="2">
        <f t="shared" ca="1" si="485"/>
        <v>52593945.734098591</v>
      </c>
      <c r="BB483" s="2">
        <f t="shared" ca="1" si="486"/>
        <v>1051878.9146819718</v>
      </c>
      <c r="BC483" s="2">
        <f t="shared" ca="1" si="487"/>
        <v>24010613.314787157</v>
      </c>
      <c r="BD483" s="2">
        <f t="shared" ca="1" si="488"/>
        <v>-20001446.23244587</v>
      </c>
      <c r="BE483" s="2">
        <f t="shared" ca="1" si="489"/>
        <v>2310133.3386219312</v>
      </c>
      <c r="BF483" s="2">
        <f t="shared" ca="1" si="490"/>
        <v>2548681.1019835807</v>
      </c>
      <c r="BG483" s="2">
        <f t="shared" ca="1" si="491"/>
        <v>2670768.056461243</v>
      </c>
      <c r="BH483" s="2">
        <f t="shared" ca="1" si="492"/>
        <v>2796256.2628854755</v>
      </c>
      <c r="BI483" s="2">
        <f t="shared" ca="1" si="493"/>
        <v>26935853.792398479</v>
      </c>
      <c r="BJ483" s="2">
        <f t="shared" ca="1" si="494"/>
        <v>0.15948698810300899</v>
      </c>
      <c r="BK483" s="2">
        <f t="shared" ca="1" si="495"/>
        <v>3055163.9697395936</v>
      </c>
    </row>
    <row r="484" spans="1:63" x14ac:dyDescent="0.3">
      <c r="A484" s="2">
        <v>483</v>
      </c>
      <c r="B484" s="2">
        <f t="shared" ca="1" si="434"/>
        <v>0.97812565780314531</v>
      </c>
      <c r="C484" s="2">
        <f t="shared" ca="1" si="435"/>
        <v>7.7908381382906784</v>
      </c>
      <c r="D484" s="2">
        <f t="shared" ca="1" si="436"/>
        <v>0.8972571286308334</v>
      </c>
      <c r="E484" s="2">
        <f t="shared" ca="1" si="437"/>
        <v>8.046694647353096</v>
      </c>
      <c r="F484" s="2">
        <f t="shared" ca="1" si="438"/>
        <v>1.9744042340439805E-2</v>
      </c>
      <c r="G484" s="2">
        <f t="shared" ca="1" si="439"/>
        <v>-2.177192728238337E-2</v>
      </c>
      <c r="H484" s="2">
        <f t="shared" ca="1" si="440"/>
        <v>-0.02</v>
      </c>
      <c r="I484" s="2">
        <f t="shared" ca="1" si="441"/>
        <v>0.74716154103106658</v>
      </c>
      <c r="J484" s="2">
        <f t="shared" ca="1" si="442"/>
        <v>1.3327920923791E-2</v>
      </c>
      <c r="K484" s="2">
        <f t="shared" ca="1" si="443"/>
        <v>1.3327920923791E-2</v>
      </c>
      <c r="L484" s="2">
        <f t="shared" ca="1" si="444"/>
        <v>0.40834262665792198</v>
      </c>
      <c r="M484" s="2">
        <f t="shared" ca="1" si="445"/>
        <v>-4.6362086620781217E-3</v>
      </c>
      <c r="N484" s="2">
        <f t="shared" ca="1" si="446"/>
        <v>-4.6362086620781217E-3</v>
      </c>
      <c r="O484" s="2">
        <f t="shared" si="447"/>
        <v>6000000</v>
      </c>
      <c r="P484" s="2">
        <f t="shared" ca="1" si="448"/>
        <v>46745028.829744071</v>
      </c>
      <c r="Q484" s="2">
        <f t="shared" ca="1" si="449"/>
        <v>1168625.7207436019</v>
      </c>
      <c r="R484" s="2">
        <f t="shared" ca="1" si="450"/>
        <v>28047017.29784644</v>
      </c>
      <c r="S484" s="2">
        <f t="shared" ca="1" si="451"/>
        <v>18698011.531897631</v>
      </c>
      <c r="T484" s="2">
        <f t="shared" ca="1" si="452"/>
        <v>49768189.566896096</v>
      </c>
      <c r="U484" s="2">
        <f t="shared" ca="1" si="453"/>
        <v>48772825.775558174</v>
      </c>
      <c r="V484" s="2">
        <f t="shared" ca="1" si="454"/>
        <v>47797369.260047011</v>
      </c>
      <c r="W484" s="2">
        <f t="shared" ca="1" si="455"/>
        <v>46841421.874846071</v>
      </c>
      <c r="X484" s="2">
        <f t="shared" ca="1" si="456"/>
        <v>45904593.437349148</v>
      </c>
      <c r="Y484" s="2">
        <f t="shared" ca="1" si="457"/>
        <v>0.12666396046189549</v>
      </c>
      <c r="Z484" s="2">
        <f t="shared" ca="1" si="458"/>
        <v>0.12932954464665369</v>
      </c>
      <c r="AA484" s="2">
        <f t="shared" ca="1" si="459"/>
        <v>6303835.9955614461</v>
      </c>
      <c r="AB484" s="2">
        <f t="shared" ca="1" si="460"/>
        <v>6307767.3486835128</v>
      </c>
      <c r="AC484" s="2">
        <f t="shared" ca="1" si="461"/>
        <v>6181612.0017098431</v>
      </c>
      <c r="AD484" s="2">
        <f t="shared" ca="1" si="462"/>
        <v>6057979.7616756456</v>
      </c>
      <c r="AE484" s="2">
        <f t="shared" ca="1" si="463"/>
        <v>5936820.1664421326</v>
      </c>
      <c r="AF484" s="2">
        <f t="shared" ca="1" si="464"/>
        <v>995363.79133792198</v>
      </c>
      <c r="AG484" s="2">
        <f t="shared" ca="1" si="465"/>
        <v>975456.51551116351</v>
      </c>
      <c r="AH484" s="2">
        <f t="shared" ca="1" si="466"/>
        <v>955947.38520094019</v>
      </c>
      <c r="AI484" s="2">
        <f t="shared" ca="1" si="467"/>
        <v>936828.4374969214</v>
      </c>
      <c r="AJ484" s="2">
        <f t="shared" ca="1" si="468"/>
        <v>918091.868746983</v>
      </c>
      <c r="AK484" s="2">
        <f t="shared" ca="1" si="469"/>
        <v>0</v>
      </c>
      <c r="AL484" s="2">
        <f t="shared" ca="1" si="470"/>
        <v>0</v>
      </c>
      <c r="AM484" s="2">
        <f t="shared" ca="1" si="471"/>
        <v>0</v>
      </c>
      <c r="AN484" s="2">
        <f t="shared" ca="1" si="472"/>
        <v>0</v>
      </c>
      <c r="AO484" s="2">
        <f t="shared" ca="1" si="473"/>
        <v>0</v>
      </c>
      <c r="AP484" s="2">
        <f t="shared" ca="1" si="474"/>
        <v>2524231.5568061797</v>
      </c>
      <c r="AQ484" s="2">
        <f t="shared" ca="1" si="475"/>
        <v>723902.56832850946</v>
      </c>
      <c r="AR484" s="2">
        <f t="shared" ca="1" si="476"/>
        <v>730100.6118552041</v>
      </c>
      <c r="AS484" s="2">
        <f t="shared" ca="1" si="477"/>
        <v>702372.59552270803</v>
      </c>
      <c r="AT484" s="2">
        <f t="shared" ca="1" si="478"/>
        <v>675199.13951686164</v>
      </c>
      <c r="AU484" s="2">
        <f t="shared" ca="1" si="479"/>
        <v>648569.15263113216</v>
      </c>
      <c r="AV484" s="2">
        <f t="shared" ca="1" si="480"/>
        <v>2060338.079088835</v>
      </c>
      <c r="AW484" s="2">
        <f t="shared" ca="1" si="481"/>
        <v>2077978.6645109653</v>
      </c>
      <c r="AX484" s="2">
        <f t="shared" ca="1" si="482"/>
        <v>1999060.464180015</v>
      </c>
      <c r="AY484" s="2">
        <f t="shared" ca="1" si="483"/>
        <v>1921720.6278556837</v>
      </c>
      <c r="AZ484" s="2">
        <f t="shared" ca="1" si="484"/>
        <v>1845927.588257838</v>
      </c>
      <c r="BA484" s="2">
        <f t="shared" ca="1" si="485"/>
        <v>47771779.055607826</v>
      </c>
      <c r="BB484" s="2">
        <f t="shared" ca="1" si="486"/>
        <v>955435.58111215651</v>
      </c>
      <c r="BC484" s="2">
        <f t="shared" ca="1" si="487"/>
        <v>18769326.176649228</v>
      </c>
      <c r="BD484" s="2">
        <f t="shared" ca="1" si="488"/>
        <v>-20366637.252641231</v>
      </c>
      <c r="BE484" s="2">
        <f t="shared" ca="1" si="489"/>
        <v>2060338.079088835</v>
      </c>
      <c r="BF484" s="2">
        <f t="shared" ca="1" si="490"/>
        <v>2077978.6645109653</v>
      </c>
      <c r="BG484" s="2">
        <f t="shared" ca="1" si="491"/>
        <v>1999060.464180015</v>
      </c>
      <c r="BH484" s="2">
        <f t="shared" ca="1" si="492"/>
        <v>1921720.6278556837</v>
      </c>
      <c r="BI484" s="2">
        <f t="shared" ca="1" si="493"/>
        <v>20615253.764907066</v>
      </c>
      <c r="BJ484" s="2">
        <f t="shared" ca="1" si="494"/>
        <v>8.447595698609911E-2</v>
      </c>
      <c r="BK484" s="2">
        <f t="shared" ca="1" si="495"/>
        <v>-2528669.2361003719</v>
      </c>
    </row>
    <row r="485" spans="1:63" x14ac:dyDescent="0.3">
      <c r="A485" s="2">
        <v>484</v>
      </c>
      <c r="B485" s="2">
        <f t="shared" ca="1" si="434"/>
        <v>0.76014463351188</v>
      </c>
      <c r="C485" s="2">
        <f t="shared" ca="1" si="435"/>
        <v>7.3073884689263107</v>
      </c>
      <c r="D485" s="2">
        <f t="shared" ca="1" si="436"/>
        <v>0.57567901656889697</v>
      </c>
      <c r="E485" s="2">
        <f t="shared" ca="1" si="437"/>
        <v>7.5787823455544254</v>
      </c>
      <c r="F485" s="2">
        <f t="shared" ca="1" si="438"/>
        <v>0.31385749721544853</v>
      </c>
      <c r="G485" s="2">
        <f t="shared" ca="1" si="439"/>
        <v>2.5451634523785547E-2</v>
      </c>
      <c r="H485" s="2">
        <f t="shared" ca="1" si="440"/>
        <v>2.5451634523785547E-2</v>
      </c>
      <c r="I485" s="2">
        <f t="shared" ca="1" si="441"/>
        <v>0.89640474795953862</v>
      </c>
      <c r="J485" s="2">
        <f t="shared" ca="1" si="442"/>
        <v>1.630664268056313E-2</v>
      </c>
      <c r="K485" s="2">
        <f t="shared" ca="1" si="443"/>
        <v>1.630664268056313E-2</v>
      </c>
      <c r="L485" s="2">
        <f t="shared" ca="1" si="444"/>
        <v>7.4270015765840802E-2</v>
      </c>
      <c r="M485" s="2">
        <f t="shared" ca="1" si="445"/>
        <v>-2.8894152194473856E-2</v>
      </c>
      <c r="N485" s="2">
        <f t="shared" ca="1" si="446"/>
        <v>-2.8894152194473856E-2</v>
      </c>
      <c r="O485" s="2">
        <f t="shared" si="447"/>
        <v>6000000</v>
      </c>
      <c r="P485" s="2">
        <f t="shared" ca="1" si="448"/>
        <v>43844330.813557863</v>
      </c>
      <c r="Q485" s="2">
        <f t="shared" ca="1" si="449"/>
        <v>1096108.2703389467</v>
      </c>
      <c r="R485" s="2">
        <f t="shared" ca="1" si="450"/>
        <v>26306598.488134716</v>
      </c>
      <c r="S485" s="2">
        <f t="shared" ca="1" si="451"/>
        <v>17537732.325423148</v>
      </c>
      <c r="T485" s="2">
        <f t="shared" ca="1" si="452"/>
        <v>48555292.390276305</v>
      </c>
      <c r="U485" s="2">
        <f t="shared" ca="1" si="453"/>
        <v>49791103.946389169</v>
      </c>
      <c r="V485" s="2">
        <f t="shared" ca="1" si="454"/>
        <v>51058368.926568486</v>
      </c>
      <c r="W485" s="2">
        <f t="shared" ca="1" si="455"/>
        <v>52357887.871868119</v>
      </c>
      <c r="X485" s="2">
        <f t="shared" ca="1" si="456"/>
        <v>53690481.698420256</v>
      </c>
      <c r="Y485" s="2">
        <f t="shared" ca="1" si="457"/>
        <v>0.12815332134028157</v>
      </c>
      <c r="Z485" s="2">
        <f t="shared" ca="1" si="458"/>
        <v>0.13141464987639417</v>
      </c>
      <c r="AA485" s="2">
        <f t="shared" ca="1" si="459"/>
        <v>6222521.9884624081</v>
      </c>
      <c r="AB485" s="2">
        <f t="shared" ca="1" si="460"/>
        <v>6543280.4920738805</v>
      </c>
      <c r="AC485" s="2">
        <f t="shared" ca="1" si="461"/>
        <v>6709817.6757447617</v>
      </c>
      <c r="AD485" s="2">
        <f t="shared" ca="1" si="462"/>
        <v>6880593.5029490534</v>
      </c>
      <c r="AE485" s="2">
        <f t="shared" ca="1" si="463"/>
        <v>7055715.8540928476</v>
      </c>
      <c r="AF485" s="2">
        <f t="shared" ca="1" si="464"/>
        <v>971105.84780552611</v>
      </c>
      <c r="AG485" s="2">
        <f t="shared" ca="1" si="465"/>
        <v>995822.07892778341</v>
      </c>
      <c r="AH485" s="2">
        <f t="shared" ca="1" si="466"/>
        <v>1021167.3785313697</v>
      </c>
      <c r="AI485" s="2">
        <f t="shared" ca="1" si="467"/>
        <v>1047157.7574373625</v>
      </c>
      <c r="AJ485" s="2">
        <f t="shared" ca="1" si="468"/>
        <v>1073809.6339684052</v>
      </c>
      <c r="AK485" s="2">
        <f t="shared" ca="1" si="469"/>
        <v>0</v>
      </c>
      <c r="AL485" s="2">
        <f t="shared" ca="1" si="470"/>
        <v>12358.115561128632</v>
      </c>
      <c r="AM485" s="2">
        <f t="shared" ca="1" si="471"/>
        <v>12672.649801793174</v>
      </c>
      <c r="AN485" s="2">
        <f t="shared" ca="1" si="472"/>
        <v>12995.189452996328</v>
      </c>
      <c r="AO485" s="2">
        <f t="shared" ca="1" si="473"/>
        <v>13325.938265521378</v>
      </c>
      <c r="AP485" s="2">
        <f t="shared" ca="1" si="474"/>
        <v>2367593.8639321243</v>
      </c>
      <c r="AQ485" s="2">
        <f t="shared" ca="1" si="475"/>
        <v>749793.79194843699</v>
      </c>
      <c r="AR485" s="2">
        <f t="shared" ca="1" si="476"/>
        <v>826764.78279563296</v>
      </c>
      <c r="AS485" s="2">
        <f t="shared" ca="1" si="477"/>
        <v>863474.67265312967</v>
      </c>
      <c r="AT485" s="2">
        <f t="shared" ca="1" si="478"/>
        <v>901118.88921068737</v>
      </c>
      <c r="AU485" s="2">
        <f t="shared" ca="1" si="479"/>
        <v>939721.21261000261</v>
      </c>
      <c r="AV485" s="2">
        <f t="shared" ca="1" si="480"/>
        <v>2134028.4847763209</v>
      </c>
      <c r="AW485" s="2">
        <f t="shared" ca="1" si="481"/>
        <v>2340741.6508572111</v>
      </c>
      <c r="AX485" s="2">
        <f t="shared" ca="1" si="482"/>
        <v>2444909.1108263452</v>
      </c>
      <c r="AY485" s="2">
        <f t="shared" ca="1" si="483"/>
        <v>2551727.8029158833</v>
      </c>
      <c r="AZ485" s="2">
        <f t="shared" ca="1" si="484"/>
        <v>2661265.2053167941</v>
      </c>
      <c r="BA485" s="2">
        <f t="shared" ca="1" si="485"/>
        <v>53473734.750247337</v>
      </c>
      <c r="BB485" s="2">
        <f t="shared" ca="1" si="486"/>
        <v>1069474.6950049468</v>
      </c>
      <c r="BC485" s="2">
        <f t="shared" ca="1" si="487"/>
        <v>26097661.567107674</v>
      </c>
      <c r="BD485" s="2">
        <f t="shared" ca="1" si="488"/>
        <v>-19133840.595762093</v>
      </c>
      <c r="BE485" s="2">
        <f t="shared" ca="1" si="489"/>
        <v>2134028.4847763209</v>
      </c>
      <c r="BF485" s="2">
        <f t="shared" ca="1" si="490"/>
        <v>2340741.6508572111</v>
      </c>
      <c r="BG485" s="2">
        <f t="shared" ca="1" si="491"/>
        <v>2444909.1108263452</v>
      </c>
      <c r="BH485" s="2">
        <f t="shared" ca="1" si="492"/>
        <v>2551727.8029158833</v>
      </c>
      <c r="BI485" s="2">
        <f t="shared" ca="1" si="493"/>
        <v>28758926.772424467</v>
      </c>
      <c r="BJ485" s="2">
        <f t="shared" ca="1" si="494"/>
        <v>0.17595270631462667</v>
      </c>
      <c r="BK485" s="2">
        <f t="shared" ca="1" si="495"/>
        <v>4318061.4479478672</v>
      </c>
    </row>
    <row r="486" spans="1:63" x14ac:dyDescent="0.3">
      <c r="A486" s="2">
        <v>485</v>
      </c>
      <c r="B486" s="2">
        <f t="shared" ca="1" si="434"/>
        <v>0.52848918167233028</v>
      </c>
      <c r="C486" s="2">
        <f t="shared" ca="1" si="435"/>
        <v>7.0289069886692932</v>
      </c>
      <c r="D486" s="2">
        <f t="shared" ca="1" si="436"/>
        <v>0.13678462289948456</v>
      </c>
      <c r="E486" s="2">
        <f t="shared" ca="1" si="437"/>
        <v>7.023038474492048</v>
      </c>
      <c r="F486" s="2">
        <f t="shared" ca="1" si="438"/>
        <v>0.89777798215993432</v>
      </c>
      <c r="G486" s="2">
        <f t="shared" ca="1" si="439"/>
        <v>7.8069750047077474E-2</v>
      </c>
      <c r="H486" s="2">
        <f t="shared" ca="1" si="440"/>
        <v>7.8069750047077474E-2</v>
      </c>
      <c r="I486" s="2">
        <f t="shared" ca="1" si="441"/>
        <v>0.68277630306992931</v>
      </c>
      <c r="J486" s="2">
        <f t="shared" ca="1" si="442"/>
        <v>1.2377382398002715E-2</v>
      </c>
      <c r="K486" s="2">
        <f t="shared" ca="1" si="443"/>
        <v>1.2377382398002715E-2</v>
      </c>
      <c r="L486" s="2">
        <f t="shared" ca="1" si="444"/>
        <v>0.66823846556280186</v>
      </c>
      <c r="M486" s="2">
        <f t="shared" ca="1" si="445"/>
        <v>8.7010844860847241E-3</v>
      </c>
      <c r="N486" s="2">
        <f t="shared" ca="1" si="446"/>
        <v>8.7010844860847241E-3</v>
      </c>
      <c r="O486" s="2">
        <f t="shared" si="447"/>
        <v>6000000</v>
      </c>
      <c r="P486" s="2">
        <f t="shared" ca="1" si="448"/>
        <v>42173441.932015762</v>
      </c>
      <c r="Q486" s="2">
        <f t="shared" ca="1" si="449"/>
        <v>1054336.0483003941</v>
      </c>
      <c r="R486" s="2">
        <f t="shared" ca="1" si="450"/>
        <v>25304065.159209456</v>
      </c>
      <c r="S486" s="2">
        <f t="shared" ca="1" si="451"/>
        <v>16869376.772806305</v>
      </c>
      <c r="T486" s="2">
        <f t="shared" ca="1" si="452"/>
        <v>50435054.224304229</v>
      </c>
      <c r="U486" s="2">
        <f t="shared" ca="1" si="453"/>
        <v>54372506.301206462</v>
      </c>
      <c r="V486" s="2">
        <f t="shared" ca="1" si="454"/>
        <v>58617354.2775748</v>
      </c>
      <c r="W486" s="2">
        <f t="shared" ca="1" si="455"/>
        <v>63193596.474446051</v>
      </c>
      <c r="X486" s="2">
        <f t="shared" ca="1" si="456"/>
        <v>68127104.755781934</v>
      </c>
      <c r="Y486" s="2">
        <f t="shared" ca="1" si="457"/>
        <v>0.12618869119900136</v>
      </c>
      <c r="Z486" s="2">
        <f t="shared" ca="1" si="458"/>
        <v>0.12866416767860189</v>
      </c>
      <c r="AA486" s="2">
        <f t="shared" ca="1" si="459"/>
        <v>6364333.4831156153</v>
      </c>
      <c r="AB486" s="2">
        <f t="shared" ca="1" si="460"/>
        <v>6995793.2678442663</v>
      </c>
      <c r="AC486" s="2">
        <f t="shared" ca="1" si="461"/>
        <v>7541953.0996458959</v>
      </c>
      <c r="AD486" s="2">
        <f t="shared" ca="1" si="462"/>
        <v>8130751.4930020319</v>
      </c>
      <c r="AE486" s="2">
        <f t="shared" ca="1" si="463"/>
        <v>8765517.2297556028</v>
      </c>
      <c r="AF486" s="2">
        <f t="shared" ca="1" si="464"/>
        <v>1008701.0844860846</v>
      </c>
      <c r="AG486" s="2">
        <f t="shared" ca="1" si="465"/>
        <v>1087450.1260241293</v>
      </c>
      <c r="AH486" s="2">
        <f t="shared" ca="1" si="466"/>
        <v>1172347.0855514961</v>
      </c>
      <c r="AI486" s="2">
        <f t="shared" ca="1" si="467"/>
        <v>1263871.9294889211</v>
      </c>
      <c r="AJ486" s="2">
        <f t="shared" ca="1" si="468"/>
        <v>1362542.0951156388</v>
      </c>
      <c r="AK486" s="2">
        <f t="shared" ca="1" si="469"/>
        <v>0</v>
      </c>
      <c r="AL486" s="2">
        <f t="shared" ca="1" si="470"/>
        <v>39374.520769022332</v>
      </c>
      <c r="AM486" s="2">
        <f t="shared" ca="1" si="471"/>
        <v>42448.479763683383</v>
      </c>
      <c r="AN486" s="2">
        <f t="shared" ca="1" si="472"/>
        <v>45762.421968712508</v>
      </c>
      <c r="AO486" s="2">
        <f t="shared" ca="1" si="473"/>
        <v>49335.082813358829</v>
      </c>
      <c r="AP486" s="2">
        <f t="shared" ca="1" si="474"/>
        <v>2277365.864328851</v>
      </c>
      <c r="AQ486" s="2">
        <f t="shared" ca="1" si="475"/>
        <v>800349.29891817668</v>
      </c>
      <c r="AR486" s="2">
        <f t="shared" ca="1" si="476"/>
        <v>944054.09214773425</v>
      </c>
      <c r="AS486" s="2">
        <f t="shared" ca="1" si="477"/>
        <v>1063982.4389390426</v>
      </c>
      <c r="AT486" s="2">
        <f t="shared" ca="1" si="478"/>
        <v>1193273.5617879077</v>
      </c>
      <c r="AU486" s="2">
        <f t="shared" ca="1" si="479"/>
        <v>1332658.4102808894</v>
      </c>
      <c r="AV486" s="2">
        <f t="shared" ca="1" si="480"/>
        <v>2277917.2353825029</v>
      </c>
      <c r="AW486" s="2">
        <f t="shared" ca="1" si="481"/>
        <v>2647548.664574529</v>
      </c>
      <c r="AX486" s="2">
        <f t="shared" ca="1" si="482"/>
        <v>2985809.231062823</v>
      </c>
      <c r="AY486" s="2">
        <f t="shared" ca="1" si="483"/>
        <v>3350477.7154276399</v>
      </c>
      <c r="AZ486" s="2">
        <f t="shared" ca="1" si="484"/>
        <v>3743615.7772168638</v>
      </c>
      <c r="BA486" s="2">
        <f t="shared" ca="1" si="485"/>
        <v>61560564.753396548</v>
      </c>
      <c r="BB486" s="2">
        <f t="shared" ca="1" si="486"/>
        <v>1231211.2950679311</v>
      </c>
      <c r="BC486" s="2">
        <f t="shared" ca="1" si="487"/>
        <v>35025288.299119167</v>
      </c>
      <c r="BD486" s="2">
        <f t="shared" ca="1" si="488"/>
        <v>-18423712.821106698</v>
      </c>
      <c r="BE486" s="2">
        <f t="shared" ca="1" si="489"/>
        <v>2277917.2353825029</v>
      </c>
      <c r="BF486" s="2">
        <f t="shared" ca="1" si="490"/>
        <v>2647548.664574529</v>
      </c>
      <c r="BG486" s="2">
        <f t="shared" ca="1" si="491"/>
        <v>2985809.231062823</v>
      </c>
      <c r="BH486" s="2">
        <f t="shared" ca="1" si="492"/>
        <v>3350477.7154276399</v>
      </c>
      <c r="BI486" s="2">
        <f t="shared" ca="1" si="493"/>
        <v>38768904.076336034</v>
      </c>
      <c r="BJ486" s="2">
        <f t="shared" ca="1" si="494"/>
        <v>0.2613530524149148</v>
      </c>
      <c r="BK486" s="2">
        <f t="shared" ca="1" si="495"/>
        <v>11973797.972806741</v>
      </c>
    </row>
    <row r="487" spans="1:63" x14ac:dyDescent="0.3">
      <c r="A487" s="2">
        <v>486</v>
      </c>
      <c r="B487" s="2">
        <f t="shared" ca="1" si="434"/>
        <v>1.1986232046670375E-2</v>
      </c>
      <c r="C487" s="2">
        <f t="shared" ca="1" si="435"/>
        <v>6.1548304365857716</v>
      </c>
      <c r="D487" s="2">
        <f t="shared" ca="1" si="436"/>
        <v>0.99411332045332113</v>
      </c>
      <c r="E487" s="2">
        <f t="shared" ca="1" si="437"/>
        <v>8.3914948890910761</v>
      </c>
      <c r="F487" s="2">
        <f t="shared" ca="1" si="438"/>
        <v>0.2712105982101638</v>
      </c>
      <c r="G487" s="2">
        <f t="shared" ca="1" si="439"/>
        <v>2.1725326997664524E-2</v>
      </c>
      <c r="H487" s="2">
        <f t="shared" ca="1" si="440"/>
        <v>2.1725326997664524E-2</v>
      </c>
      <c r="I487" s="2">
        <f t="shared" ca="1" si="441"/>
        <v>0.1247911494059285</v>
      </c>
      <c r="J487" s="2">
        <f t="shared" ca="1" si="442"/>
        <v>4.2431773386899883E-3</v>
      </c>
      <c r="K487" s="2">
        <f t="shared" ca="1" si="443"/>
        <v>4.2431773386899883E-3</v>
      </c>
      <c r="L487" s="2">
        <f t="shared" ca="1" si="444"/>
        <v>0.8507279814769344</v>
      </c>
      <c r="M487" s="2">
        <f t="shared" ca="1" si="445"/>
        <v>2.079121427485171E-2</v>
      </c>
      <c r="N487" s="2">
        <f t="shared" ca="1" si="446"/>
        <v>2.079121427485171E-2</v>
      </c>
      <c r="O487" s="2">
        <f t="shared" si="447"/>
        <v>6000000</v>
      </c>
      <c r="P487" s="2">
        <f t="shared" ca="1" si="448"/>
        <v>36928982.619514629</v>
      </c>
      <c r="Q487" s="2">
        <f t="shared" ca="1" si="449"/>
        <v>923224.56548786582</v>
      </c>
      <c r="R487" s="2">
        <f t="shared" ca="1" si="450"/>
        <v>22157389.571708776</v>
      </c>
      <c r="S487" s="2">
        <f t="shared" ca="1" si="451"/>
        <v>14771593.047805853</v>
      </c>
      <c r="T487" s="2">
        <f t="shared" ca="1" si="452"/>
        <v>51039560.713742584</v>
      </c>
      <c r="U487" s="2">
        <f t="shared" ca="1" si="453"/>
        <v>52148411.860065795</v>
      </c>
      <c r="V487" s="2">
        <f t="shared" ca="1" si="454"/>
        <v>53281353.160134614</v>
      </c>
      <c r="W487" s="2">
        <f t="shared" ca="1" si="455"/>
        <v>54438907.980416581</v>
      </c>
      <c r="X487" s="2">
        <f t="shared" ca="1" si="456"/>
        <v>55621611.057686895</v>
      </c>
      <c r="Y487" s="2">
        <f t="shared" ca="1" si="457"/>
        <v>0.12212158866934499</v>
      </c>
      <c r="Z487" s="2">
        <f t="shared" ca="1" si="458"/>
        <v>0.12297022413708299</v>
      </c>
      <c r="AA487" s="2">
        <f t="shared" ca="1" si="459"/>
        <v>6233032.2393477317</v>
      </c>
      <c r="AB487" s="2">
        <f t="shared" ca="1" si="460"/>
        <v>6412701.894825208</v>
      </c>
      <c r="AC487" s="2">
        <f t="shared" ca="1" si="461"/>
        <v>6552019.9404288279</v>
      </c>
      <c r="AD487" s="2">
        <f t="shared" ca="1" si="462"/>
        <v>6694364.7161298627</v>
      </c>
      <c r="AE487" s="2">
        <f t="shared" ca="1" si="463"/>
        <v>6839801.9786294112</v>
      </c>
      <c r="AF487" s="2">
        <f t="shared" ca="1" si="464"/>
        <v>1020791.2142748517</v>
      </c>
      <c r="AG487" s="2">
        <f t="shared" ca="1" si="465"/>
        <v>1042968.2372013159</v>
      </c>
      <c r="AH487" s="2">
        <f t="shared" ca="1" si="466"/>
        <v>1065627.0632026922</v>
      </c>
      <c r="AI487" s="2">
        <f t="shared" ca="1" si="467"/>
        <v>1088778.1596083317</v>
      </c>
      <c r="AJ487" s="2">
        <f t="shared" ca="1" si="468"/>
        <v>1112432.221153738</v>
      </c>
      <c r="AK487" s="2">
        <f t="shared" ca="1" si="469"/>
        <v>0</v>
      </c>
      <c r="AL487" s="2">
        <f t="shared" ca="1" si="470"/>
        <v>11088.511463232115</v>
      </c>
      <c r="AM487" s="2">
        <f t="shared" ca="1" si="471"/>
        <v>11329.413000688181</v>
      </c>
      <c r="AN487" s="2">
        <f t="shared" ca="1" si="472"/>
        <v>11575.548202819675</v>
      </c>
      <c r="AO487" s="2">
        <f t="shared" ca="1" si="473"/>
        <v>11827.030772703141</v>
      </c>
      <c r="AP487" s="2">
        <f t="shared" ca="1" si="474"/>
        <v>1994165.0614537897</v>
      </c>
      <c r="AQ487" s="2">
        <f t="shared" ca="1" si="475"/>
        <v>836699.75054096361</v>
      </c>
      <c r="AR487" s="2">
        <f t="shared" ca="1" si="476"/>
        <v>877647.83500422665</v>
      </c>
      <c r="AS487" s="2">
        <f t="shared" ca="1" si="477"/>
        <v>907979.23210081004</v>
      </c>
      <c r="AT487" s="2">
        <f t="shared" ca="1" si="478"/>
        <v>938969.5887176129</v>
      </c>
      <c r="AU487" s="2">
        <f t="shared" ca="1" si="479"/>
        <v>970633.22096568986</v>
      </c>
      <c r="AV487" s="2">
        <f t="shared" ca="1" si="480"/>
        <v>2381376.2130781272</v>
      </c>
      <c r="AW487" s="2">
        <f t="shared" ca="1" si="481"/>
        <v>2486832.2497026436</v>
      </c>
      <c r="AX487" s="2">
        <f t="shared" ca="1" si="482"/>
        <v>2572919.1706708483</v>
      </c>
      <c r="AY487" s="2">
        <f t="shared" ca="1" si="483"/>
        <v>2660876.3581473082</v>
      </c>
      <c r="AZ487" s="2">
        <f t="shared" ca="1" si="484"/>
        <v>2750744.444283491</v>
      </c>
      <c r="BA487" s="2">
        <f t="shared" ca="1" si="485"/>
        <v>57396163.346063733</v>
      </c>
      <c r="BB487" s="2">
        <f t="shared" ca="1" si="486"/>
        <v>1147923.2669212746</v>
      </c>
      <c r="BC487" s="2">
        <f t="shared" ca="1" si="487"/>
        <v>34090850.507433683</v>
      </c>
      <c r="BD487" s="2">
        <f t="shared" ca="1" si="488"/>
        <v>-16194817.613293719</v>
      </c>
      <c r="BE487" s="2">
        <f t="shared" ca="1" si="489"/>
        <v>2381376.2130781272</v>
      </c>
      <c r="BF487" s="2">
        <f t="shared" ca="1" si="490"/>
        <v>2486832.2497026436</v>
      </c>
      <c r="BG487" s="2">
        <f t="shared" ca="1" si="491"/>
        <v>2572919.1706708483</v>
      </c>
      <c r="BH487" s="2">
        <f t="shared" ca="1" si="492"/>
        <v>2660876.3581473082</v>
      </c>
      <c r="BI487" s="2">
        <f t="shared" ca="1" si="493"/>
        <v>36841594.951717176</v>
      </c>
      <c r="BJ487" s="2">
        <f t="shared" ca="1" si="494"/>
        <v>0.28241007949544605</v>
      </c>
      <c r="BK487" s="2">
        <f t="shared" ca="1" si="495"/>
        <v>12341197.050360244</v>
      </c>
    </row>
    <row r="488" spans="1:63" x14ac:dyDescent="0.3">
      <c r="A488" s="2">
        <v>487</v>
      </c>
      <c r="B488" s="2">
        <f t="shared" ca="1" si="434"/>
        <v>0.52767446693906328</v>
      </c>
      <c r="C488" s="2">
        <f t="shared" ca="1" si="435"/>
        <v>7.0280683840300942</v>
      </c>
      <c r="D488" s="2">
        <f t="shared" ca="1" si="436"/>
        <v>0.47172618795315502</v>
      </c>
      <c r="E488" s="2">
        <f t="shared" ca="1" si="437"/>
        <v>7.471314766646894</v>
      </c>
      <c r="F488" s="2">
        <f t="shared" ca="1" si="438"/>
        <v>0.37343617068164214</v>
      </c>
      <c r="G488" s="2">
        <f t="shared" ca="1" si="439"/>
        <v>3.0317015140822592E-2</v>
      </c>
      <c r="H488" s="2">
        <f t="shared" ca="1" si="440"/>
        <v>3.0317015140822592E-2</v>
      </c>
      <c r="I488" s="2">
        <f t="shared" ca="1" si="441"/>
        <v>0.85898805680825097</v>
      </c>
      <c r="J488" s="2">
        <f t="shared" ca="1" si="442"/>
        <v>1.5378919812286881E-2</v>
      </c>
      <c r="K488" s="2">
        <f t="shared" ca="1" si="443"/>
        <v>1.5378919812286881E-2</v>
      </c>
      <c r="L488" s="2">
        <f t="shared" ca="1" si="444"/>
        <v>0.78570385047946367</v>
      </c>
      <c r="M488" s="2">
        <f t="shared" ca="1" si="445"/>
        <v>1.5832056505361906E-2</v>
      </c>
      <c r="N488" s="2">
        <f t="shared" ca="1" si="446"/>
        <v>1.5832056505361906E-2</v>
      </c>
      <c r="O488" s="2">
        <f t="shared" si="447"/>
        <v>6000000</v>
      </c>
      <c r="P488" s="2">
        <f t="shared" ca="1" si="448"/>
        <v>42168410.304180562</v>
      </c>
      <c r="Q488" s="2">
        <f t="shared" ca="1" si="449"/>
        <v>1054210.257604514</v>
      </c>
      <c r="R488" s="2">
        <f t="shared" ca="1" si="450"/>
        <v>25301046.182508338</v>
      </c>
      <c r="S488" s="2">
        <f t="shared" ca="1" si="451"/>
        <v>16867364.121672224</v>
      </c>
      <c r="T488" s="2">
        <f t="shared" ca="1" si="452"/>
        <v>50791602.825268097</v>
      </c>
      <c r="U488" s="2">
        <f t="shared" ca="1" si="453"/>
        <v>52331452.617148392</v>
      </c>
      <c r="V488" s="2">
        <f t="shared" ca="1" si="454"/>
        <v>53917986.05848372</v>
      </c>
      <c r="W488" s="2">
        <f t="shared" ca="1" si="455"/>
        <v>55552618.458181426</v>
      </c>
      <c r="X488" s="2">
        <f t="shared" ca="1" si="456"/>
        <v>57236808.03309045</v>
      </c>
      <c r="Y488" s="2">
        <f t="shared" ca="1" si="457"/>
        <v>0.12768945990614344</v>
      </c>
      <c r="Z488" s="2">
        <f t="shared" ca="1" si="458"/>
        <v>0.13076524386860081</v>
      </c>
      <c r="AA488" s="2">
        <f t="shared" ca="1" si="459"/>
        <v>6485552.3325258326</v>
      </c>
      <c r="AB488" s="2">
        <f t="shared" ca="1" si="460"/>
        <v>6843135.1634795377</v>
      </c>
      <c r="AC488" s="2">
        <f t="shared" ca="1" si="461"/>
        <v>7050598.5958414422</v>
      </c>
      <c r="AD488" s="2">
        <f t="shared" ca="1" si="462"/>
        <v>7264351.7002234282</v>
      </c>
      <c r="AE488" s="2">
        <f t="shared" ca="1" si="463"/>
        <v>7484585.160707362</v>
      </c>
      <c r="AF488" s="2">
        <f t="shared" ca="1" si="464"/>
        <v>1015832.0565053619</v>
      </c>
      <c r="AG488" s="2">
        <f t="shared" ca="1" si="465"/>
        <v>1046629.0523429678</v>
      </c>
      <c r="AH488" s="2">
        <f t="shared" ca="1" si="466"/>
        <v>1078359.7211696743</v>
      </c>
      <c r="AI488" s="2">
        <f t="shared" ca="1" si="467"/>
        <v>1111052.3691636284</v>
      </c>
      <c r="AJ488" s="2">
        <f t="shared" ca="1" si="468"/>
        <v>1144736.1606618089</v>
      </c>
      <c r="AK488" s="2">
        <f t="shared" ca="1" si="469"/>
        <v>0</v>
      </c>
      <c r="AL488" s="2">
        <f t="shared" ca="1" si="470"/>
        <v>15398.497918802947</v>
      </c>
      <c r="AM488" s="2">
        <f t="shared" ca="1" si="471"/>
        <v>15865.334413353279</v>
      </c>
      <c r="AN488" s="2">
        <f t="shared" ca="1" si="472"/>
        <v>16346.323996977062</v>
      </c>
      <c r="AO488" s="2">
        <f t="shared" ca="1" si="473"/>
        <v>16841.895749090239</v>
      </c>
      <c r="AP488" s="2">
        <f t="shared" ca="1" si="474"/>
        <v>2277094.1564257503</v>
      </c>
      <c r="AQ488" s="2">
        <f t="shared" ca="1" si="475"/>
        <v>830082.79109462735</v>
      </c>
      <c r="AR488" s="2">
        <f t="shared" ca="1" si="476"/>
        <v>915047.10822481301</v>
      </c>
      <c r="AS488" s="2">
        <f t="shared" ca="1" si="477"/>
        <v>960737.62674396473</v>
      </c>
      <c r="AT488" s="2">
        <f t="shared" ca="1" si="478"/>
        <v>1007813.3454048528</v>
      </c>
      <c r="AU488" s="2">
        <f t="shared" ca="1" si="479"/>
        <v>1056316.2593411487</v>
      </c>
      <c r="AV488" s="2">
        <f t="shared" ca="1" si="480"/>
        <v>2362543.3285000934</v>
      </c>
      <c r="AW488" s="2">
        <f t="shared" ca="1" si="481"/>
        <v>2588966.3485672032</v>
      </c>
      <c r="AX488" s="2">
        <f t="shared" ca="1" si="482"/>
        <v>2718541.7570886998</v>
      </c>
      <c r="AY488" s="2">
        <f t="shared" ca="1" si="483"/>
        <v>2852045.5052322191</v>
      </c>
      <c r="AZ488" s="2">
        <f t="shared" ca="1" si="484"/>
        <v>2989596.6885295636</v>
      </c>
      <c r="BA488" s="2">
        <f t="shared" ca="1" si="485"/>
        <v>55919691.633419126</v>
      </c>
      <c r="BB488" s="2">
        <f t="shared" ca="1" si="486"/>
        <v>1118393.8326683824</v>
      </c>
      <c r="BC488" s="2">
        <f t="shared" ca="1" si="487"/>
        <v>29500251.618242405</v>
      </c>
      <c r="BD488" s="2">
        <f t="shared" ca="1" si="488"/>
        <v>-18421574.379276738</v>
      </c>
      <c r="BE488" s="2">
        <f t="shared" ca="1" si="489"/>
        <v>2362543.3285000934</v>
      </c>
      <c r="BF488" s="2">
        <f t="shared" ca="1" si="490"/>
        <v>2588966.3485672032</v>
      </c>
      <c r="BG488" s="2">
        <f t="shared" ca="1" si="491"/>
        <v>2718541.7570886998</v>
      </c>
      <c r="BH488" s="2">
        <f t="shared" ca="1" si="492"/>
        <v>2852045.5052322191</v>
      </c>
      <c r="BI488" s="2">
        <f t="shared" ca="1" si="493"/>
        <v>32489848.306771968</v>
      </c>
      <c r="BJ488" s="2">
        <f t="shared" ca="1" si="494"/>
        <v>0.22097794747603783</v>
      </c>
      <c r="BK488" s="2">
        <f t="shared" ca="1" si="495"/>
        <v>7934890.7011933438</v>
      </c>
    </row>
    <row r="489" spans="1:63" x14ac:dyDescent="0.3">
      <c r="A489" s="2">
        <v>488</v>
      </c>
      <c r="B489" s="2">
        <f t="shared" ca="1" si="434"/>
        <v>0.86651548313714355</v>
      </c>
      <c r="C489" s="2">
        <f t="shared" ca="1" si="435"/>
        <v>7.483309537802648</v>
      </c>
      <c r="D489" s="2">
        <f t="shared" ca="1" si="436"/>
        <v>0.95814222100059354</v>
      </c>
      <c r="E489" s="2">
        <f t="shared" ca="1" si="437"/>
        <v>8.2106635902641827</v>
      </c>
      <c r="F489" s="2">
        <f t="shared" ca="1" si="438"/>
        <v>0.2556904508874539</v>
      </c>
      <c r="G489" s="2">
        <f t="shared" ca="1" si="439"/>
        <v>2.0299329670838712E-2</v>
      </c>
      <c r="H489" s="2">
        <f t="shared" ca="1" si="440"/>
        <v>2.0299329670838712E-2</v>
      </c>
      <c r="I489" s="2">
        <f t="shared" ca="1" si="441"/>
        <v>0.37858477544335456</v>
      </c>
      <c r="J489" s="2">
        <f t="shared" ca="1" si="442"/>
        <v>8.4540010319249324E-3</v>
      </c>
      <c r="K489" s="2">
        <f t="shared" ca="1" si="443"/>
        <v>8.4540010319249324E-3</v>
      </c>
      <c r="L489" s="2">
        <f t="shared" ca="1" si="444"/>
        <v>0.32550191543434404</v>
      </c>
      <c r="M489" s="2">
        <f t="shared" ca="1" si="445"/>
        <v>-9.0473618053085597E-3</v>
      </c>
      <c r="N489" s="2">
        <f t="shared" ca="1" si="446"/>
        <v>-9.0473618053085597E-3</v>
      </c>
      <c r="O489" s="2">
        <f t="shared" si="447"/>
        <v>6000000</v>
      </c>
      <c r="P489" s="2">
        <f t="shared" ca="1" si="448"/>
        <v>44899857.226815887</v>
      </c>
      <c r="Q489" s="2">
        <f t="shared" ca="1" si="449"/>
        <v>1122496.4306703971</v>
      </c>
      <c r="R489" s="2">
        <f t="shared" ca="1" si="450"/>
        <v>26939914.336089533</v>
      </c>
      <c r="S489" s="2">
        <f t="shared" ca="1" si="451"/>
        <v>17959942.890726354</v>
      </c>
      <c r="T489" s="2">
        <f t="shared" ca="1" si="452"/>
        <v>49547631.909734577</v>
      </c>
      <c r="U489" s="2">
        <f t="shared" ca="1" si="453"/>
        <v>50553415.624279648</v>
      </c>
      <c r="V489" s="2">
        <f t="shared" ca="1" si="454"/>
        <v>51579616.074023828</v>
      </c>
      <c r="W489" s="2">
        <f t="shared" ca="1" si="455"/>
        <v>52626647.705005728</v>
      </c>
      <c r="X489" s="2">
        <f t="shared" ca="1" si="456"/>
        <v>53694933.376240723</v>
      </c>
      <c r="Y489" s="2">
        <f t="shared" ca="1" si="457"/>
        <v>0.12422700051596246</v>
      </c>
      <c r="Z489" s="2">
        <f t="shared" ca="1" si="458"/>
        <v>0.12591780072234746</v>
      </c>
      <c r="AA489" s="2">
        <f t="shared" ca="1" si="459"/>
        <v>6155153.6948153153</v>
      </c>
      <c r="AB489" s="2">
        <f t="shared" ca="1" si="460"/>
        <v>6365574.9144120514</v>
      </c>
      <c r="AC489" s="2">
        <f t="shared" ca="1" si="461"/>
        <v>6494791.8181441221</v>
      </c>
      <c r="AD489" s="2">
        <f t="shared" ca="1" si="462"/>
        <v>6626631.7384040952</v>
      </c>
      <c r="AE489" s="2">
        <f t="shared" ca="1" si="463"/>
        <v>6761147.9206692027</v>
      </c>
      <c r="AF489" s="2">
        <f t="shared" ca="1" si="464"/>
        <v>990952.63819469151</v>
      </c>
      <c r="AG489" s="2">
        <f t="shared" ca="1" si="465"/>
        <v>1011068.312485593</v>
      </c>
      <c r="AH489" s="2">
        <f t="shared" ca="1" si="466"/>
        <v>1031592.3214804765</v>
      </c>
      <c r="AI489" s="2">
        <f t="shared" ca="1" si="467"/>
        <v>1052532.9541001145</v>
      </c>
      <c r="AJ489" s="2">
        <f t="shared" ca="1" si="468"/>
        <v>1073898.6675248144</v>
      </c>
      <c r="AK489" s="2">
        <f t="shared" ca="1" si="469"/>
        <v>0</v>
      </c>
      <c r="AL489" s="2">
        <f t="shared" ca="1" si="470"/>
        <v>10057.837145450712</v>
      </c>
      <c r="AM489" s="2">
        <f t="shared" ca="1" si="471"/>
        <v>10262.004497441798</v>
      </c>
      <c r="AN489" s="2">
        <f t="shared" ca="1" si="472"/>
        <v>10470.316309818998</v>
      </c>
      <c r="AO489" s="2">
        <f t="shared" ca="1" si="473"/>
        <v>10682.856712349951</v>
      </c>
      <c r="AP489" s="2">
        <f t="shared" ca="1" si="474"/>
        <v>2424592.2902480578</v>
      </c>
      <c r="AQ489" s="2">
        <f t="shared" ca="1" si="475"/>
        <v>712298.27925686724</v>
      </c>
      <c r="AR489" s="2">
        <f t="shared" ca="1" si="476"/>
        <v>761777.72103638411</v>
      </c>
      <c r="AS489" s="2">
        <f t="shared" ca="1" si="477"/>
        <v>790037.87366805295</v>
      </c>
      <c r="AT489" s="2">
        <f t="shared" ca="1" si="478"/>
        <v>818871.68845453998</v>
      </c>
      <c r="AU489" s="2">
        <f t="shared" ca="1" si="479"/>
        <v>848290.81035304593</v>
      </c>
      <c r="AV489" s="2">
        <f t="shared" ca="1" si="480"/>
        <v>2027310.4871156989</v>
      </c>
      <c r="AW489" s="2">
        <f t="shared" ca="1" si="481"/>
        <v>2158078.7534965659</v>
      </c>
      <c r="AX489" s="2">
        <f t="shared" ca="1" si="482"/>
        <v>2238307.3282500934</v>
      </c>
      <c r="AY489" s="2">
        <f t="shared" ca="1" si="483"/>
        <v>2320164.4892915646</v>
      </c>
      <c r="AZ489" s="2">
        <f t="shared" ca="1" si="484"/>
        <v>2403683.2958309343</v>
      </c>
      <c r="BA489" s="2">
        <f t="shared" ca="1" si="485"/>
        <v>55513511.06062901</v>
      </c>
      <c r="BB489" s="2">
        <f t="shared" ca="1" si="486"/>
        <v>1110270.2212125803</v>
      </c>
      <c r="BC489" s="2">
        <f t="shared" ca="1" si="487"/>
        <v>27463326.503326897</v>
      </c>
      <c r="BD489" s="2">
        <f t="shared" ca="1" si="488"/>
        <v>-19582439.321396749</v>
      </c>
      <c r="BE489" s="2">
        <f t="shared" ca="1" si="489"/>
        <v>2027310.4871156989</v>
      </c>
      <c r="BF489" s="2">
        <f t="shared" ca="1" si="490"/>
        <v>2158078.7534965659</v>
      </c>
      <c r="BG489" s="2">
        <f t="shared" ca="1" si="491"/>
        <v>2238307.3282500934</v>
      </c>
      <c r="BH489" s="2">
        <f t="shared" ca="1" si="492"/>
        <v>2320164.4892915646</v>
      </c>
      <c r="BI489" s="2">
        <f t="shared" ca="1" si="493"/>
        <v>29867009.799157832</v>
      </c>
      <c r="BJ489" s="2">
        <f t="shared" ca="1" si="494"/>
        <v>0.16978896301988722</v>
      </c>
      <c r="BK489" s="2">
        <f t="shared" ca="1" si="495"/>
        <v>3963099.3800289407</v>
      </c>
    </row>
    <row r="490" spans="1:63" x14ac:dyDescent="0.3">
      <c r="A490" s="2">
        <v>489</v>
      </c>
      <c r="B490" s="2">
        <f t="shared" ca="1" si="434"/>
        <v>0.22617581357119898</v>
      </c>
      <c r="C490" s="2">
        <f t="shared" ca="1" si="435"/>
        <v>6.6725709086352145</v>
      </c>
      <c r="D490" s="2">
        <f t="shared" ca="1" si="436"/>
        <v>0.21703444653015502</v>
      </c>
      <c r="E490" s="2">
        <f t="shared" ca="1" si="437"/>
        <v>7.1588390494349206</v>
      </c>
      <c r="F490" s="2">
        <f t="shared" ca="1" si="438"/>
        <v>0.54190493604795187</v>
      </c>
      <c r="G490" s="2">
        <f t="shared" ca="1" si="439"/>
        <v>4.3157020169822612E-2</v>
      </c>
      <c r="H490" s="2">
        <f t="shared" ca="1" si="440"/>
        <v>4.3157020169822612E-2</v>
      </c>
      <c r="I490" s="2">
        <f t="shared" ca="1" si="441"/>
        <v>0.90584719846256356</v>
      </c>
      <c r="J490" s="2">
        <f t="shared" ca="1" si="442"/>
        <v>1.6578040654956987E-2</v>
      </c>
      <c r="K490" s="2">
        <f t="shared" ca="1" si="443"/>
        <v>1.6578040654956987E-2</v>
      </c>
      <c r="L490" s="2">
        <f t="shared" ca="1" si="444"/>
        <v>0.61422816197557384</v>
      </c>
      <c r="M490" s="2">
        <f t="shared" ca="1" si="445"/>
        <v>5.8071258890921382E-3</v>
      </c>
      <c r="N490" s="2">
        <f t="shared" ca="1" si="446"/>
        <v>5.8071258890921382E-3</v>
      </c>
      <c r="O490" s="2">
        <f t="shared" si="447"/>
        <v>6000000</v>
      </c>
      <c r="P490" s="2">
        <f t="shared" ca="1" si="448"/>
        <v>40035425.451811284</v>
      </c>
      <c r="Q490" s="2">
        <f t="shared" ca="1" si="449"/>
        <v>1000885.6362952822</v>
      </c>
      <c r="R490" s="2">
        <f t="shared" ca="1" si="450"/>
        <v>24021255.271086771</v>
      </c>
      <c r="S490" s="2">
        <f t="shared" ca="1" si="451"/>
        <v>16014170.180724515</v>
      </c>
      <c r="T490" s="2">
        <f t="shared" ca="1" si="452"/>
        <v>50290356.294454604</v>
      </c>
      <c r="U490" s="2">
        <f t="shared" ca="1" si="453"/>
        <v>52460738.215401947</v>
      </c>
      <c r="V490" s="2">
        <f t="shared" ca="1" si="454"/>
        <v>54724787.352687836</v>
      </c>
      <c r="W490" s="2">
        <f t="shared" ca="1" si="455"/>
        <v>57086546.10425704</v>
      </c>
      <c r="X490" s="2">
        <f t="shared" ca="1" si="456"/>
        <v>59550231.325903967</v>
      </c>
      <c r="Y490" s="2">
        <f t="shared" ca="1" si="457"/>
        <v>0.12828902032747849</v>
      </c>
      <c r="Z490" s="2">
        <f t="shared" ca="1" si="458"/>
        <v>0.13160462845846987</v>
      </c>
      <c r="AA490" s="2">
        <f t="shared" ca="1" si="459"/>
        <v>6451700.5409354223</v>
      </c>
      <c r="AB490" s="2">
        <f t="shared" ca="1" si="460"/>
        <v>6904075.9614950251</v>
      </c>
      <c r="AC490" s="2">
        <f t="shared" ca="1" si="461"/>
        <v>7202035.3070192542</v>
      </c>
      <c r="AD490" s="2">
        <f t="shared" ca="1" si="462"/>
        <v>7512853.6900280584</v>
      </c>
      <c r="AE490" s="2">
        <f t="shared" ca="1" si="463"/>
        <v>7837086.0682615256</v>
      </c>
      <c r="AF490" s="2">
        <f t="shared" ca="1" si="464"/>
        <v>1005807.1258890921</v>
      </c>
      <c r="AG490" s="2">
        <f t="shared" ca="1" si="465"/>
        <v>1049214.7643080389</v>
      </c>
      <c r="AH490" s="2">
        <f t="shared" ca="1" si="466"/>
        <v>1094495.7470537568</v>
      </c>
      <c r="AI490" s="2">
        <f t="shared" ca="1" si="467"/>
        <v>1141730.9220851408</v>
      </c>
      <c r="AJ490" s="2">
        <f t="shared" ca="1" si="468"/>
        <v>1191004.6265180793</v>
      </c>
      <c r="AK490" s="2">
        <f t="shared" ca="1" si="469"/>
        <v>0</v>
      </c>
      <c r="AL490" s="2">
        <f t="shared" ca="1" si="470"/>
        <v>21703.819209473433</v>
      </c>
      <c r="AM490" s="2">
        <f t="shared" ca="1" si="471"/>
        <v>22640.491372858884</v>
      </c>
      <c r="AN490" s="2">
        <f t="shared" ca="1" si="472"/>
        <v>23617.587515692041</v>
      </c>
      <c r="AO490" s="2">
        <f t="shared" ca="1" si="473"/>
        <v>24636.852216469273</v>
      </c>
      <c r="AP490" s="2">
        <f t="shared" ca="1" si="474"/>
        <v>2161912.9743978092</v>
      </c>
      <c r="AQ490" s="2">
        <f t="shared" ca="1" si="475"/>
        <v>853834.91456861561</v>
      </c>
      <c r="AR490" s="2">
        <f t="shared" ca="1" si="476"/>
        <v>960166.53792518598</v>
      </c>
      <c r="AS490" s="2">
        <f t="shared" ca="1" si="477"/>
        <v>1025862.9122475989</v>
      </c>
      <c r="AT490" s="2">
        <f t="shared" ca="1" si="478"/>
        <v>1094394.5463217283</v>
      </c>
      <c r="AU490" s="2">
        <f t="shared" ca="1" si="479"/>
        <v>1165883.8015098658</v>
      </c>
      <c r="AV490" s="2">
        <f t="shared" ca="1" si="480"/>
        <v>2430145.5260799052</v>
      </c>
      <c r="AW490" s="2">
        <f t="shared" ca="1" si="481"/>
        <v>2711077.8656545179</v>
      </c>
      <c r="AX490" s="2">
        <f t="shared" ca="1" si="482"/>
        <v>2897123.1819472294</v>
      </c>
      <c r="AY490" s="2">
        <f t="shared" ca="1" si="483"/>
        <v>3091197.6597076878</v>
      </c>
      <c r="AZ490" s="2">
        <f t="shared" ca="1" si="484"/>
        <v>3293647.8136193026</v>
      </c>
      <c r="BA490" s="2">
        <f t="shared" ca="1" si="485"/>
        <v>56104437.779252999</v>
      </c>
      <c r="BB490" s="2">
        <f t="shared" ca="1" si="486"/>
        <v>1122088.75558506</v>
      </c>
      <c r="BC490" s="2">
        <f t="shared" ca="1" si="487"/>
        <v>30961093.752581168</v>
      </c>
      <c r="BD490" s="2">
        <f t="shared" ca="1" si="488"/>
        <v>-17515055.817019798</v>
      </c>
      <c r="BE490" s="2">
        <f t="shared" ca="1" si="489"/>
        <v>2430145.5260799052</v>
      </c>
      <c r="BF490" s="2">
        <f t="shared" ca="1" si="490"/>
        <v>2711077.8656545179</v>
      </c>
      <c r="BG490" s="2">
        <f t="shared" ca="1" si="491"/>
        <v>2897123.1819472294</v>
      </c>
      <c r="BH490" s="2">
        <f t="shared" ca="1" si="492"/>
        <v>3091197.6597076878</v>
      </c>
      <c r="BI490" s="2">
        <f t="shared" ca="1" si="493"/>
        <v>34254741.566200472</v>
      </c>
      <c r="BJ490" s="2">
        <f t="shared" ca="1" si="494"/>
        <v>0.25244498326346654</v>
      </c>
      <c r="BK490" s="2">
        <f t="shared" ca="1" si="495"/>
        <v>10279659.003608495</v>
      </c>
    </row>
    <row r="491" spans="1:63" x14ac:dyDescent="0.3">
      <c r="A491" s="2">
        <v>490</v>
      </c>
      <c r="B491" s="2">
        <f t="shared" ca="1" si="434"/>
        <v>0.24838898734564285</v>
      </c>
      <c r="C491" s="2">
        <f t="shared" ca="1" si="435"/>
        <v>6.704824782971829</v>
      </c>
      <c r="D491" s="2">
        <f t="shared" ca="1" si="436"/>
        <v>0.18864679266551498</v>
      </c>
      <c r="E491" s="2">
        <f t="shared" ca="1" si="437"/>
        <v>7.1142422855283005</v>
      </c>
      <c r="F491" s="2">
        <f t="shared" ca="1" si="438"/>
        <v>0.30905792217952921</v>
      </c>
      <c r="G491" s="2">
        <f t="shared" ca="1" si="439"/>
        <v>2.5044326271701979E-2</v>
      </c>
      <c r="H491" s="2">
        <f t="shared" ca="1" si="440"/>
        <v>2.5044326271701979E-2</v>
      </c>
      <c r="I491" s="2">
        <f t="shared" ca="1" si="441"/>
        <v>0.54013753011046906</v>
      </c>
      <c r="J491" s="2">
        <f t="shared" ca="1" si="442"/>
        <v>1.0503901032355168E-2</v>
      </c>
      <c r="K491" s="2">
        <f t="shared" ca="1" si="443"/>
        <v>1.0503901032355168E-2</v>
      </c>
      <c r="L491" s="2">
        <f t="shared" ca="1" si="444"/>
        <v>0.3475458944810943</v>
      </c>
      <c r="M491" s="2">
        <f t="shared" ca="1" si="445"/>
        <v>-7.8390911925664154E-3</v>
      </c>
      <c r="N491" s="2">
        <f t="shared" ca="1" si="446"/>
        <v>-7.8390911925664154E-3</v>
      </c>
      <c r="O491" s="2">
        <f t="shared" si="447"/>
        <v>6000000</v>
      </c>
      <c r="P491" s="2">
        <f t="shared" ca="1" si="448"/>
        <v>40228948.697830975</v>
      </c>
      <c r="Q491" s="2">
        <f t="shared" ca="1" si="449"/>
        <v>1005723.7174457745</v>
      </c>
      <c r="R491" s="2">
        <f t="shared" ca="1" si="450"/>
        <v>24137369.218698584</v>
      </c>
      <c r="S491" s="2">
        <f t="shared" ca="1" si="451"/>
        <v>16091579.479132392</v>
      </c>
      <c r="T491" s="2">
        <f t="shared" ca="1" si="452"/>
        <v>49608045.440371677</v>
      </c>
      <c r="U491" s="2">
        <f t="shared" ca="1" si="453"/>
        <v>50850445.516081758</v>
      </c>
      <c r="V491" s="2">
        <f t="shared" ca="1" si="454"/>
        <v>52123960.664647914</v>
      </c>
      <c r="W491" s="2">
        <f t="shared" ca="1" si="455"/>
        <v>53429370.142106712</v>
      </c>
      <c r="X491" s="2">
        <f t="shared" ca="1" si="456"/>
        <v>54767472.720437162</v>
      </c>
      <c r="Y491" s="2">
        <f t="shared" ca="1" si="457"/>
        <v>0.12525195051617757</v>
      </c>
      <c r="Z491" s="2">
        <f t="shared" ca="1" si="458"/>
        <v>0.1273527307226486</v>
      </c>
      <c r="AA491" s="2">
        <f t="shared" ca="1" si="459"/>
        <v>6213504.4527017223</v>
      </c>
      <c r="AB491" s="2">
        <f t="shared" ca="1" si="460"/>
        <v>6475943.094936274</v>
      </c>
      <c r="AC491" s="2">
        <f t="shared" ca="1" si="461"/>
        <v>6638128.7267228337</v>
      </c>
      <c r="AD491" s="2">
        <f t="shared" ca="1" si="462"/>
        <v>6804376.188388438</v>
      </c>
      <c r="AE491" s="2">
        <f t="shared" ca="1" si="463"/>
        <v>6974787.2057258375</v>
      </c>
      <c r="AF491" s="2">
        <f t="shared" ca="1" si="464"/>
        <v>992160.90880743356</v>
      </c>
      <c r="AG491" s="2">
        <f t="shared" ca="1" si="465"/>
        <v>1017008.9103216352</v>
      </c>
      <c r="AH491" s="2">
        <f t="shared" ca="1" si="466"/>
        <v>1042479.2132929583</v>
      </c>
      <c r="AI491" s="2">
        <f t="shared" ca="1" si="467"/>
        <v>1068587.4028421342</v>
      </c>
      <c r="AJ491" s="2">
        <f t="shared" ca="1" si="468"/>
        <v>1095349.4544087432</v>
      </c>
      <c r="AK491" s="2">
        <f t="shared" ca="1" si="469"/>
        <v>0</v>
      </c>
      <c r="AL491" s="2">
        <f t="shared" ca="1" si="470"/>
        <v>12424.000757100806</v>
      </c>
      <c r="AM491" s="2">
        <f t="shared" ca="1" si="471"/>
        <v>12735.151485661567</v>
      </c>
      <c r="AN491" s="2">
        <f t="shared" ca="1" si="472"/>
        <v>13054.094774587975</v>
      </c>
      <c r="AO491" s="2">
        <f t="shared" ca="1" si="473"/>
        <v>13381.025783304498</v>
      </c>
      <c r="AP491" s="2">
        <f t="shared" ca="1" si="474"/>
        <v>2172363.2296828725</v>
      </c>
      <c r="AQ491" s="2">
        <f t="shared" ca="1" si="475"/>
        <v>792734.88169496832</v>
      </c>
      <c r="AR491" s="2">
        <f t="shared" ca="1" si="476"/>
        <v>854508.44828225928</v>
      </c>
      <c r="AS491" s="2">
        <f t="shared" ca="1" si="477"/>
        <v>890054.43377422076</v>
      </c>
      <c r="AT491" s="2">
        <f t="shared" ca="1" si="478"/>
        <v>926490.64452449209</v>
      </c>
      <c r="AU491" s="2">
        <f t="shared" ca="1" si="479"/>
        <v>963839.37562489766</v>
      </c>
      <c r="AV491" s="2">
        <f t="shared" ca="1" si="480"/>
        <v>2256245.4325164477</v>
      </c>
      <c r="AW491" s="2">
        <f t="shared" ca="1" si="481"/>
        <v>2419638.5058924058</v>
      </c>
      <c r="AX491" s="2">
        <f t="shared" ca="1" si="482"/>
        <v>2520496.6984871202</v>
      </c>
      <c r="AY491" s="2">
        <f t="shared" ca="1" si="483"/>
        <v>2623880.8165643509</v>
      </c>
      <c r="AZ491" s="2">
        <f t="shared" ca="1" si="484"/>
        <v>2729854.1202260195</v>
      </c>
      <c r="BA491" s="2">
        <f t="shared" ca="1" si="485"/>
        <v>49620326.071536534</v>
      </c>
      <c r="BB491" s="2">
        <f t="shared" ca="1" si="486"/>
        <v>992406.5214307307</v>
      </c>
      <c r="BC491" s="2">
        <f t="shared" ca="1" si="487"/>
        <v>24490550.331407219</v>
      </c>
      <c r="BD491" s="2">
        <f t="shared" ca="1" si="488"/>
        <v>-17597303.196578167</v>
      </c>
      <c r="BE491" s="2">
        <f t="shared" ca="1" si="489"/>
        <v>2256245.4325164477</v>
      </c>
      <c r="BF491" s="2">
        <f t="shared" ca="1" si="490"/>
        <v>2419638.5058924058</v>
      </c>
      <c r="BG491" s="2">
        <f t="shared" ca="1" si="491"/>
        <v>2520496.6984871202</v>
      </c>
      <c r="BH491" s="2">
        <f t="shared" ca="1" si="492"/>
        <v>2623880.8165643509</v>
      </c>
      <c r="BI491" s="2">
        <f t="shared" ca="1" si="493"/>
        <v>27220404.451633237</v>
      </c>
      <c r="BJ491" s="2">
        <f t="shared" ca="1" si="494"/>
        <v>0.19363372093355169</v>
      </c>
      <c r="BK491" s="2">
        <f t="shared" ca="1" si="495"/>
        <v>5253274.6252142005</v>
      </c>
    </row>
    <row r="492" spans="1:63" x14ac:dyDescent="0.3">
      <c r="A492" s="2">
        <v>491</v>
      </c>
      <c r="B492" s="2">
        <f t="shared" ca="1" si="434"/>
        <v>0.47662704992033589</v>
      </c>
      <c r="C492" s="2">
        <f t="shared" ca="1" si="435"/>
        <v>6.976347325412771</v>
      </c>
      <c r="D492" s="2">
        <f t="shared" ca="1" si="436"/>
        <v>0.35317540709490713</v>
      </c>
      <c r="E492" s="2">
        <f t="shared" ca="1" si="437"/>
        <v>7.340446794383686</v>
      </c>
      <c r="F492" s="2">
        <f t="shared" ca="1" si="438"/>
        <v>0.63066253730443489</v>
      </c>
      <c r="G492" s="2">
        <f t="shared" ca="1" si="439"/>
        <v>5.0008258097791705E-2</v>
      </c>
      <c r="H492" s="2">
        <f t="shared" ca="1" si="440"/>
        <v>5.0008258097791705E-2</v>
      </c>
      <c r="I492" s="2">
        <f t="shared" ca="1" si="441"/>
        <v>0.79051161429777284</v>
      </c>
      <c r="J492" s="2">
        <f t="shared" ca="1" si="442"/>
        <v>1.4040988588354966E-2</v>
      </c>
      <c r="K492" s="2">
        <f t="shared" ca="1" si="443"/>
        <v>1.4040988588354966E-2</v>
      </c>
      <c r="L492" s="2">
        <f t="shared" ca="1" si="444"/>
        <v>0.46799160481754687</v>
      </c>
      <c r="M492" s="2">
        <f t="shared" ca="1" si="445"/>
        <v>-1.606388489276072E-3</v>
      </c>
      <c r="N492" s="2">
        <f t="shared" ca="1" si="446"/>
        <v>-1.606388489276072E-3</v>
      </c>
      <c r="O492" s="2">
        <f t="shared" si="447"/>
        <v>6000000</v>
      </c>
      <c r="P492" s="2">
        <f t="shared" ca="1" si="448"/>
        <v>41858083.952476628</v>
      </c>
      <c r="Q492" s="2">
        <f t="shared" ca="1" si="449"/>
        <v>1046452.0988119157</v>
      </c>
      <c r="R492" s="2">
        <f t="shared" ca="1" si="450"/>
        <v>25114850.371485975</v>
      </c>
      <c r="S492" s="2">
        <f t="shared" ca="1" si="451"/>
        <v>16743233.580990652</v>
      </c>
      <c r="T492" s="2">
        <f t="shared" ca="1" si="452"/>
        <v>49919680.575536199</v>
      </c>
      <c r="U492" s="2">
        <f t="shared" ca="1" si="453"/>
        <v>52416076.845916927</v>
      </c>
      <c r="V492" s="2">
        <f t="shared" ca="1" si="454"/>
        <v>55037313.545301221</v>
      </c>
      <c r="W492" s="2">
        <f t="shared" ca="1" si="455"/>
        <v>57789633.726083726</v>
      </c>
      <c r="X492" s="2">
        <f t="shared" ca="1" si="456"/>
        <v>60679592.644834563</v>
      </c>
      <c r="Y492" s="2">
        <f t="shared" ca="1" si="457"/>
        <v>0.12702049429417747</v>
      </c>
      <c r="Z492" s="2">
        <f t="shared" ca="1" si="458"/>
        <v>0.12982869201184846</v>
      </c>
      <c r="AA492" s="2">
        <f t="shared" ca="1" si="459"/>
        <v>6340822.5017120577</v>
      </c>
      <c r="AB492" s="2">
        <f t="shared" ca="1" si="460"/>
        <v>6805110.6972979298</v>
      </c>
      <c r="AC492" s="2">
        <f t="shared" ca="1" si="461"/>
        <v>7145422.429432448</v>
      </c>
      <c r="AD492" s="2">
        <f t="shared" ca="1" si="462"/>
        <v>7502752.5585012548</v>
      </c>
      <c r="AE492" s="2">
        <f t="shared" ca="1" si="463"/>
        <v>7877952.144890652</v>
      </c>
      <c r="AF492" s="2">
        <f t="shared" ca="1" si="464"/>
        <v>998393.61151072395</v>
      </c>
      <c r="AG492" s="2">
        <f t="shared" ca="1" si="465"/>
        <v>1048321.5369183385</v>
      </c>
      <c r="AH492" s="2">
        <f t="shared" ca="1" si="466"/>
        <v>1100746.2709060244</v>
      </c>
      <c r="AI492" s="2">
        <f t="shared" ca="1" si="467"/>
        <v>1155792.6745216746</v>
      </c>
      <c r="AJ492" s="2">
        <f t="shared" ca="1" si="468"/>
        <v>1213591.8528966913</v>
      </c>
      <c r="AK492" s="2">
        <f t="shared" ca="1" si="469"/>
        <v>0</v>
      </c>
      <c r="AL492" s="2">
        <f t="shared" ca="1" si="470"/>
        <v>24963.962703807279</v>
      </c>
      <c r="AM492" s="2">
        <f t="shared" ca="1" si="471"/>
        <v>26212.366993842945</v>
      </c>
      <c r="AN492" s="2">
        <f t="shared" ca="1" si="472"/>
        <v>27523.201807825044</v>
      </c>
      <c r="AO492" s="2">
        <f t="shared" ca="1" si="473"/>
        <v>28899.589187508376</v>
      </c>
      <c r="AP492" s="2">
        <f t="shared" ca="1" si="474"/>
        <v>2260336.5334337377</v>
      </c>
      <c r="AQ492" s="2">
        <f t="shared" ca="1" si="475"/>
        <v>801344.01275957504</v>
      </c>
      <c r="AR492" s="2">
        <f t="shared" ca="1" si="476"/>
        <v>909077.68300592201</v>
      </c>
      <c r="AS492" s="2">
        <f t="shared" ca="1" si="477"/>
        <v>983928.30252409831</v>
      </c>
      <c r="AT492" s="2">
        <f t="shared" ca="1" si="478"/>
        <v>1062522.0711419191</v>
      </c>
      <c r="AU492" s="2">
        <f t="shared" ca="1" si="479"/>
        <v>1145046.1772256582</v>
      </c>
      <c r="AV492" s="2">
        <f t="shared" ca="1" si="480"/>
        <v>2280748.3440080215</v>
      </c>
      <c r="AW492" s="2">
        <f t="shared" ca="1" si="481"/>
        <v>2562410.9812361239</v>
      </c>
      <c r="AX492" s="2">
        <f t="shared" ca="1" si="482"/>
        <v>2774198.9555747448</v>
      </c>
      <c r="AY492" s="2">
        <f t="shared" ca="1" si="483"/>
        <v>2996578.0775960987</v>
      </c>
      <c r="AZ492" s="2">
        <f t="shared" ca="1" si="484"/>
        <v>3230077.9921470559</v>
      </c>
      <c r="BA492" s="2">
        <f t="shared" ca="1" si="485"/>
        <v>57827688.568270668</v>
      </c>
      <c r="BB492" s="2">
        <f t="shared" ca="1" si="486"/>
        <v>1156553.7713654134</v>
      </c>
      <c r="BC492" s="2">
        <f t="shared" ca="1" si="487"/>
        <v>31556284.425419278</v>
      </c>
      <c r="BD492" s="2">
        <f t="shared" ca="1" si="488"/>
        <v>-18289685.679802567</v>
      </c>
      <c r="BE492" s="2">
        <f t="shared" ca="1" si="489"/>
        <v>2280748.3440080215</v>
      </c>
      <c r="BF492" s="2">
        <f t="shared" ca="1" si="490"/>
        <v>2562410.9812361239</v>
      </c>
      <c r="BG492" s="2">
        <f t="shared" ca="1" si="491"/>
        <v>2774198.9555747448</v>
      </c>
      <c r="BH492" s="2">
        <f t="shared" ca="1" si="492"/>
        <v>2996578.0775960987</v>
      </c>
      <c r="BI492" s="2">
        <f t="shared" ca="1" si="493"/>
        <v>34786362.417566337</v>
      </c>
      <c r="BJ492" s="2">
        <f t="shared" ca="1" si="494"/>
        <v>0.23674573296874568</v>
      </c>
      <c r="BK492" s="2">
        <f t="shared" ca="1" si="495"/>
        <v>9407150.9264494628</v>
      </c>
    </row>
    <row r="493" spans="1:63" x14ac:dyDescent="0.3">
      <c r="A493" s="2">
        <v>492</v>
      </c>
      <c r="B493" s="2">
        <f t="shared" ca="1" si="434"/>
        <v>0.8371847603774365</v>
      </c>
      <c r="C493" s="2">
        <f t="shared" ca="1" si="435"/>
        <v>7.4293595884927823</v>
      </c>
      <c r="D493" s="2">
        <f t="shared" ca="1" si="436"/>
        <v>0.92179339052903675</v>
      </c>
      <c r="E493" s="2">
        <f t="shared" ca="1" si="437"/>
        <v>8.1045088889217283</v>
      </c>
      <c r="F493" s="2">
        <f t="shared" ca="1" si="438"/>
        <v>0.37948097662653557</v>
      </c>
      <c r="G493" s="2">
        <f t="shared" ca="1" si="439"/>
        <v>3.0794673604389821E-2</v>
      </c>
      <c r="H493" s="2">
        <f t="shared" ca="1" si="440"/>
        <v>3.0794673604389821E-2</v>
      </c>
      <c r="I493" s="2">
        <f t="shared" ca="1" si="441"/>
        <v>3.6092201807241264E-2</v>
      </c>
      <c r="J493" s="2">
        <f t="shared" ca="1" si="442"/>
        <v>1.0102333425038943E-3</v>
      </c>
      <c r="K493" s="2">
        <f t="shared" ca="1" si="443"/>
        <v>1.0102333425038943E-3</v>
      </c>
      <c r="L493" s="2">
        <f t="shared" ca="1" si="444"/>
        <v>0.84569690232119976</v>
      </c>
      <c r="M493" s="2">
        <f t="shared" ca="1" si="445"/>
        <v>2.0363020264638338E-2</v>
      </c>
      <c r="N493" s="2">
        <f t="shared" ca="1" si="446"/>
        <v>2.0363020264638338E-2</v>
      </c>
      <c r="O493" s="2">
        <f t="shared" si="447"/>
        <v>6000000</v>
      </c>
      <c r="P493" s="2">
        <f t="shared" ca="1" si="448"/>
        <v>44576157.530956693</v>
      </c>
      <c r="Q493" s="2">
        <f t="shared" ca="1" si="449"/>
        <v>1114403.9382739174</v>
      </c>
      <c r="R493" s="2">
        <f t="shared" ca="1" si="450"/>
        <v>26745694.518574014</v>
      </c>
      <c r="S493" s="2">
        <f t="shared" ca="1" si="451"/>
        <v>17830463.012382679</v>
      </c>
      <c r="T493" s="2">
        <f t="shared" ca="1" si="452"/>
        <v>51018151.013231918</v>
      </c>
      <c r="U493" s="2">
        <f t="shared" ca="1" si="453"/>
        <v>52589238.321583867</v>
      </c>
      <c r="V493" s="2">
        <f t="shared" ca="1" si="454"/>
        <v>54208706.750800513</v>
      </c>
      <c r="W493" s="2">
        <f t="shared" ca="1" si="455"/>
        <v>55878046.181707494</v>
      </c>
      <c r="X493" s="2">
        <f t="shared" ca="1" si="456"/>
        <v>57598792.375524193</v>
      </c>
      <c r="Y493" s="2">
        <f t="shared" ca="1" si="457"/>
        <v>0.12050511667125194</v>
      </c>
      <c r="Z493" s="2">
        <f t="shared" ca="1" si="458"/>
        <v>0.12070716333975272</v>
      </c>
      <c r="AA493" s="2">
        <f t="shared" ca="1" si="459"/>
        <v>6147948.2402010625</v>
      </c>
      <c r="AB493" s="2">
        <f t="shared" ca="1" si="460"/>
        <v>6347897.7799966065</v>
      </c>
      <c r="AC493" s="2">
        <f t="shared" ca="1" si="461"/>
        <v>6543379.220205633</v>
      </c>
      <c r="AD493" s="2">
        <f t="shared" ca="1" si="462"/>
        <v>6744880.4475616124</v>
      </c>
      <c r="AE493" s="2">
        <f t="shared" ca="1" si="463"/>
        <v>6952586.8394449018</v>
      </c>
      <c r="AF493" s="2">
        <f t="shared" ca="1" si="464"/>
        <v>1020363.0202646384</v>
      </c>
      <c r="AG493" s="2">
        <f t="shared" ca="1" si="465"/>
        <v>1051784.7664316774</v>
      </c>
      <c r="AH493" s="2">
        <f t="shared" ca="1" si="466"/>
        <v>1084174.1350160104</v>
      </c>
      <c r="AI493" s="2">
        <f t="shared" ca="1" si="467"/>
        <v>1117560.9236341498</v>
      </c>
      <c r="AJ493" s="2">
        <f t="shared" ca="1" si="468"/>
        <v>1151975.8475104838</v>
      </c>
      <c r="AK493" s="2">
        <f t="shared" ca="1" si="469"/>
        <v>0</v>
      </c>
      <c r="AL493" s="2">
        <f t="shared" ca="1" si="470"/>
        <v>15710.873083519489</v>
      </c>
      <c r="AM493" s="2">
        <f t="shared" ca="1" si="471"/>
        <v>16194.684292166457</v>
      </c>
      <c r="AN493" s="2">
        <f t="shared" ca="1" si="472"/>
        <v>16693.394309069812</v>
      </c>
      <c r="AO493" s="2">
        <f t="shared" ca="1" si="473"/>
        <v>17207.461938166991</v>
      </c>
      <c r="AP493" s="2">
        <f t="shared" ca="1" si="474"/>
        <v>2407112.506671661</v>
      </c>
      <c r="AQ493" s="2">
        <f t="shared" ca="1" si="475"/>
        <v>707322.90544883837</v>
      </c>
      <c r="AR493" s="2">
        <f t="shared" ca="1" si="476"/>
        <v>751140.13179224974</v>
      </c>
      <c r="AS493" s="2">
        <f t="shared" ca="1" si="477"/>
        <v>793544.07041467004</v>
      </c>
      <c r="AT493" s="2">
        <f t="shared" ca="1" si="478"/>
        <v>837253.82448650838</v>
      </c>
      <c r="AU493" s="2">
        <f t="shared" ca="1" si="479"/>
        <v>882309.60616831679</v>
      </c>
      <c r="AV493" s="2">
        <f t="shared" ca="1" si="480"/>
        <v>2013149.8078159248</v>
      </c>
      <c r="AW493" s="2">
        <f t="shared" ca="1" si="481"/>
        <v>2122149.5020174985</v>
      </c>
      <c r="AX493" s="2">
        <f t="shared" ca="1" si="482"/>
        <v>2242353.8238111255</v>
      </c>
      <c r="AY493" s="2">
        <f t="shared" ca="1" si="483"/>
        <v>2366259.7984602232</v>
      </c>
      <c r="AZ493" s="2">
        <f t="shared" ca="1" si="484"/>
        <v>2493981.417156273</v>
      </c>
      <c r="BA493" s="2">
        <f t="shared" ca="1" si="485"/>
        <v>56347301.841281429</v>
      </c>
      <c r="BB493" s="2">
        <f t="shared" ca="1" si="486"/>
        <v>1126946.0368256287</v>
      </c>
      <c r="BC493" s="2">
        <f t="shared" ca="1" si="487"/>
        <v>28474661.285881788</v>
      </c>
      <c r="BD493" s="2">
        <f t="shared" ca="1" si="488"/>
        <v>-19444866.950656597</v>
      </c>
      <c r="BE493" s="2">
        <f t="shared" ca="1" si="489"/>
        <v>2013149.8078159248</v>
      </c>
      <c r="BF493" s="2">
        <f t="shared" ca="1" si="490"/>
        <v>2122149.5020174985</v>
      </c>
      <c r="BG493" s="2">
        <f t="shared" ca="1" si="491"/>
        <v>2242353.8238111255</v>
      </c>
      <c r="BH493" s="2">
        <f t="shared" ca="1" si="492"/>
        <v>2366259.7984602232</v>
      </c>
      <c r="BI493" s="2">
        <f t="shared" ca="1" si="493"/>
        <v>30968642.703038059</v>
      </c>
      <c r="BJ493" s="2">
        <f t="shared" ca="1" si="494"/>
        <v>0.1786596026023346</v>
      </c>
      <c r="BK493" s="2">
        <f t="shared" ca="1" si="495"/>
        <v>4716656.4205289334</v>
      </c>
    </row>
    <row r="494" spans="1:63" x14ac:dyDescent="0.3">
      <c r="A494" s="2">
        <v>493</v>
      </c>
      <c r="B494" s="2">
        <f t="shared" ca="1" si="434"/>
        <v>0.49953381947386233</v>
      </c>
      <c r="C494" s="2">
        <f t="shared" ca="1" si="435"/>
        <v>6.9995337107610354</v>
      </c>
      <c r="D494" s="2">
        <f t="shared" ca="1" si="436"/>
        <v>0.95200803650405752</v>
      </c>
      <c r="E494" s="2">
        <f t="shared" ca="1" si="437"/>
        <v>8.1901872710944801</v>
      </c>
      <c r="F494" s="2">
        <f t="shared" ca="1" si="438"/>
        <v>0.4655143030220964</v>
      </c>
      <c r="G494" s="2">
        <f t="shared" ca="1" si="439"/>
        <v>3.7403477172376923E-2</v>
      </c>
      <c r="H494" s="2">
        <f t="shared" ca="1" si="440"/>
        <v>3.7403477172376923E-2</v>
      </c>
      <c r="I494" s="2">
        <f t="shared" ca="1" si="441"/>
        <v>0.60303117717060817</v>
      </c>
      <c r="J494" s="2">
        <f t="shared" ca="1" si="442"/>
        <v>1.1306004100879797E-2</v>
      </c>
      <c r="K494" s="2">
        <f t="shared" ca="1" si="443"/>
        <v>1.1306004100879797E-2</v>
      </c>
      <c r="L494" s="2">
        <f t="shared" ca="1" si="444"/>
        <v>0.61731097350203545</v>
      </c>
      <c r="M494" s="2">
        <f t="shared" ca="1" si="445"/>
        <v>5.968519855377709E-3</v>
      </c>
      <c r="N494" s="2">
        <f t="shared" ca="1" si="446"/>
        <v>5.968519855377709E-3</v>
      </c>
      <c r="O494" s="2">
        <f t="shared" si="447"/>
        <v>6000000</v>
      </c>
      <c r="P494" s="2">
        <f t="shared" ca="1" si="448"/>
        <v>41997202.264566213</v>
      </c>
      <c r="Q494" s="2">
        <f t="shared" ca="1" si="449"/>
        <v>1049930.0566141554</v>
      </c>
      <c r="R494" s="2">
        <f t="shared" ca="1" si="450"/>
        <v>25198321.358739726</v>
      </c>
      <c r="S494" s="2">
        <f t="shared" ca="1" si="451"/>
        <v>16798880.905826487</v>
      </c>
      <c r="T494" s="2">
        <f t="shared" ca="1" si="452"/>
        <v>50298425.992768884</v>
      </c>
      <c r="U494" s="2">
        <f t="shared" ca="1" si="453"/>
        <v>52179762.021195911</v>
      </c>
      <c r="V494" s="2">
        <f t="shared" ca="1" si="454"/>
        <v>54131466.558815777</v>
      </c>
      <c r="W494" s="2">
        <f t="shared" ca="1" si="455"/>
        <v>56156171.632555731</v>
      </c>
      <c r="X494" s="2">
        <f t="shared" ca="1" si="456"/>
        <v>58256607.716302112</v>
      </c>
      <c r="Y494" s="2">
        <f t="shared" ca="1" si="457"/>
        <v>0.12565300205043989</v>
      </c>
      <c r="Z494" s="2">
        <f t="shared" ca="1" si="458"/>
        <v>0.12791420287061586</v>
      </c>
      <c r="AA494" s="2">
        <f t="shared" ca="1" si="459"/>
        <v>6320148.2244032873</v>
      </c>
      <c r="AB494" s="2">
        <f t="shared" ca="1" si="460"/>
        <v>6674532.6649197107</v>
      </c>
      <c r="AC494" s="2">
        <f t="shared" ca="1" si="461"/>
        <v>6924183.3950883197</v>
      </c>
      <c r="AD494" s="2">
        <f t="shared" ca="1" si="462"/>
        <v>7183171.9306438575</v>
      </c>
      <c r="AE494" s="2">
        <f t="shared" ca="1" si="463"/>
        <v>7451847.5379769541</v>
      </c>
      <c r="AF494" s="2">
        <f t="shared" ca="1" si="464"/>
        <v>1005968.5198553777</v>
      </c>
      <c r="AG494" s="2">
        <f t="shared" ca="1" si="465"/>
        <v>1043595.2404239182</v>
      </c>
      <c r="AH494" s="2">
        <f t="shared" ca="1" si="466"/>
        <v>1082629.3311763157</v>
      </c>
      <c r="AI494" s="2">
        <f t="shared" ca="1" si="467"/>
        <v>1123123.4326511147</v>
      </c>
      <c r="AJ494" s="2">
        <f t="shared" ca="1" si="468"/>
        <v>1165132.1543260422</v>
      </c>
      <c r="AK494" s="2">
        <f t="shared" ca="1" si="469"/>
        <v>0</v>
      </c>
      <c r="AL494" s="2">
        <f t="shared" ca="1" si="470"/>
        <v>18813.360284270271</v>
      </c>
      <c r="AM494" s="2">
        <f t="shared" ca="1" si="471"/>
        <v>19517.045376198665</v>
      </c>
      <c r="AN494" s="2">
        <f t="shared" ca="1" si="472"/>
        <v>20247.050737399535</v>
      </c>
      <c r="AO494" s="2">
        <f t="shared" ca="1" si="473"/>
        <v>21004.36083746381</v>
      </c>
      <c r="AP494" s="2">
        <f t="shared" ca="1" si="474"/>
        <v>2267848.9222865752</v>
      </c>
      <c r="AQ494" s="2">
        <f t="shared" ca="1" si="475"/>
        <v>792046.0033879471</v>
      </c>
      <c r="AR494" s="2">
        <f t="shared" ca="1" si="476"/>
        <v>874403.01057439635</v>
      </c>
      <c r="AS494" s="2">
        <f t="shared" ca="1" si="477"/>
        <v>929163.33682261163</v>
      </c>
      <c r="AT494" s="2">
        <f t="shared" ca="1" si="478"/>
        <v>985971.88968360366</v>
      </c>
      <c r="AU494" s="2">
        <f t="shared" ca="1" si="479"/>
        <v>1044905.2799547276</v>
      </c>
      <c r="AV494" s="2">
        <f t="shared" ca="1" si="480"/>
        <v>2254284.7788733882</v>
      </c>
      <c r="AW494" s="2">
        <f t="shared" ca="1" si="481"/>
        <v>2469872.1313505494</v>
      </c>
      <c r="AX494" s="2">
        <f t="shared" ca="1" si="482"/>
        <v>2625024.7594266194</v>
      </c>
      <c r="AY494" s="2">
        <f t="shared" ca="1" si="483"/>
        <v>2785980.6352851647</v>
      </c>
      <c r="AZ494" s="2">
        <f t="shared" ca="1" si="484"/>
        <v>2952956.8205721448</v>
      </c>
      <c r="BA494" s="2">
        <f t="shared" ca="1" si="485"/>
        <v>61032026.851675592</v>
      </c>
      <c r="BB494" s="2">
        <f t="shared" ca="1" si="486"/>
        <v>1220640.5370335118</v>
      </c>
      <c r="BC494" s="2">
        <f t="shared" ca="1" si="487"/>
        <v>34613064.955902353</v>
      </c>
      <c r="BD494" s="2">
        <f t="shared" ca="1" si="488"/>
        <v>-18348810.962440643</v>
      </c>
      <c r="BE494" s="2">
        <f t="shared" ca="1" si="489"/>
        <v>2254284.7788733882</v>
      </c>
      <c r="BF494" s="2">
        <f t="shared" ca="1" si="490"/>
        <v>2469872.1313505494</v>
      </c>
      <c r="BG494" s="2">
        <f t="shared" ca="1" si="491"/>
        <v>2625024.7594266194</v>
      </c>
      <c r="BH494" s="2">
        <f t="shared" ca="1" si="492"/>
        <v>2785980.6352851647</v>
      </c>
      <c r="BI494" s="2">
        <f t="shared" ca="1" si="493"/>
        <v>37566021.776474498</v>
      </c>
      <c r="BJ494" s="2">
        <f t="shared" ca="1" si="494"/>
        <v>0.2471905889716195</v>
      </c>
      <c r="BK494" s="2">
        <f t="shared" ca="1" si="495"/>
        <v>10587861.69792901</v>
      </c>
    </row>
    <row r="495" spans="1:63" x14ac:dyDescent="0.3">
      <c r="A495" s="2">
        <v>494</v>
      </c>
      <c r="B495" s="2">
        <f t="shared" ca="1" si="434"/>
        <v>0.85230994012111871</v>
      </c>
      <c r="C495" s="2">
        <f t="shared" ca="1" si="435"/>
        <v>7.4565111594910505</v>
      </c>
      <c r="D495" s="2">
        <f t="shared" ca="1" si="436"/>
        <v>0.42791135180565065</v>
      </c>
      <c r="E495" s="2">
        <f t="shared" ca="1" si="437"/>
        <v>7.4251068606443802</v>
      </c>
      <c r="F495" s="2">
        <f t="shared" ca="1" si="438"/>
        <v>0.53652861072640434</v>
      </c>
      <c r="G495" s="2">
        <f t="shared" ca="1" si="439"/>
        <v>4.275075906148413E-2</v>
      </c>
      <c r="H495" s="2">
        <f t="shared" ca="1" si="440"/>
        <v>4.275075906148413E-2</v>
      </c>
      <c r="I495" s="2">
        <f t="shared" ca="1" si="441"/>
        <v>0.46728814246001482</v>
      </c>
      <c r="J495" s="2">
        <f t="shared" ca="1" si="442"/>
        <v>9.5895571666846785E-3</v>
      </c>
      <c r="K495" s="2">
        <f t="shared" ca="1" si="443"/>
        <v>9.5895571666846785E-3</v>
      </c>
      <c r="L495" s="2">
        <f t="shared" ca="1" si="444"/>
        <v>0.61393283702747858</v>
      </c>
      <c r="M495" s="2">
        <f t="shared" ca="1" si="445"/>
        <v>5.7916847827329532E-3</v>
      </c>
      <c r="N495" s="2">
        <f t="shared" ca="1" si="446"/>
        <v>5.7916847827329532E-3</v>
      </c>
      <c r="O495" s="2">
        <f t="shared" si="447"/>
        <v>6000000</v>
      </c>
      <c r="P495" s="2">
        <f t="shared" ca="1" si="448"/>
        <v>44739066.956946306</v>
      </c>
      <c r="Q495" s="2">
        <f t="shared" ca="1" si="449"/>
        <v>1118476.6739236577</v>
      </c>
      <c r="R495" s="2">
        <f t="shared" ca="1" si="450"/>
        <v>26843440.174167782</v>
      </c>
      <c r="S495" s="2">
        <f t="shared" ca="1" si="451"/>
        <v>17895626.782778524</v>
      </c>
      <c r="T495" s="2">
        <f t="shared" ca="1" si="452"/>
        <v>50289584.239136651</v>
      </c>
      <c r="U495" s="2">
        <f t="shared" ca="1" si="453"/>
        <v>52439502.138246194</v>
      </c>
      <c r="V495" s="2">
        <f t="shared" ca="1" si="454"/>
        <v>54681330.659462541</v>
      </c>
      <c r="W495" s="2">
        <f t="shared" ca="1" si="455"/>
        <v>57018999.051646575</v>
      </c>
      <c r="X495" s="2">
        <f t="shared" ca="1" si="456"/>
        <v>59456604.542030513</v>
      </c>
      <c r="Y495" s="2">
        <f t="shared" ca="1" si="457"/>
        <v>0.12479477858334234</v>
      </c>
      <c r="Z495" s="2">
        <f t="shared" ca="1" si="458"/>
        <v>0.12671269001667926</v>
      </c>
      <c r="AA495" s="2">
        <f t="shared" ca="1" si="459"/>
        <v>6275877.5301714009</v>
      </c>
      <c r="AB495" s="2">
        <f t="shared" ca="1" si="460"/>
        <v>6644750.3790725786</v>
      </c>
      <c r="AC495" s="2">
        <f t="shared" ca="1" si="461"/>
        <v>6928818.5015520165</v>
      </c>
      <c r="AD495" s="2">
        <f t="shared" ca="1" si="462"/>
        <v>7225030.7518926207</v>
      </c>
      <c r="AE495" s="2">
        <f t="shared" ca="1" si="463"/>
        <v>7533906.3007785967</v>
      </c>
      <c r="AF495" s="2">
        <f t="shared" ca="1" si="464"/>
        <v>1005791.6847827331</v>
      </c>
      <c r="AG495" s="2">
        <f t="shared" ca="1" si="465"/>
        <v>1048790.042764924</v>
      </c>
      <c r="AH495" s="2">
        <f t="shared" ca="1" si="466"/>
        <v>1093626.6131892509</v>
      </c>
      <c r="AI495" s="2">
        <f t="shared" ca="1" si="467"/>
        <v>1140379.9810329315</v>
      </c>
      <c r="AJ495" s="2">
        <f t="shared" ca="1" si="468"/>
        <v>1189132.0908406102</v>
      </c>
      <c r="AK495" s="2">
        <f t="shared" ca="1" si="469"/>
        <v>0</v>
      </c>
      <c r="AL495" s="2">
        <f t="shared" ca="1" si="470"/>
        <v>21499.178991095425</v>
      </c>
      <c r="AM495" s="2">
        <f t="shared" ca="1" si="471"/>
        <v>22418.285212163479</v>
      </c>
      <c r="AN495" s="2">
        <f t="shared" ca="1" si="472"/>
        <v>23376.68392184034</v>
      </c>
      <c r="AO495" s="2">
        <f t="shared" ca="1" si="473"/>
        <v>24376.05490383938</v>
      </c>
      <c r="AP495" s="2">
        <f t="shared" ca="1" si="474"/>
        <v>2415909.6156751001</v>
      </c>
      <c r="AQ495" s="2">
        <f t="shared" ca="1" si="475"/>
        <v>742085.81972552754</v>
      </c>
      <c r="AR495" s="2">
        <f t="shared" ca="1" si="476"/>
        <v>826813.18736446404</v>
      </c>
      <c r="AS495" s="2">
        <f t="shared" ca="1" si="477"/>
        <v>889013.390898793</v>
      </c>
      <c r="AT495" s="2">
        <f t="shared" ca="1" si="478"/>
        <v>953872.70034799329</v>
      </c>
      <c r="AU495" s="2">
        <f t="shared" ca="1" si="479"/>
        <v>1021504.7945083503</v>
      </c>
      <c r="AV495" s="2">
        <f t="shared" ca="1" si="480"/>
        <v>2112090.4099880401</v>
      </c>
      <c r="AW495" s="2">
        <f t="shared" ca="1" si="481"/>
        <v>2331738.3542769952</v>
      </c>
      <c r="AX495" s="2">
        <f t="shared" ca="1" si="482"/>
        <v>2507850.5965767084</v>
      </c>
      <c r="AY495" s="2">
        <f t="shared" ca="1" si="483"/>
        <v>2691491.7709147558</v>
      </c>
      <c r="AZ495" s="2">
        <f t="shared" ca="1" si="484"/>
        <v>2882983.7448506961</v>
      </c>
      <c r="BA495" s="2">
        <f t="shared" ca="1" si="485"/>
        <v>55940059.361363083</v>
      </c>
      <c r="BB495" s="2">
        <f t="shared" ca="1" si="486"/>
        <v>1118801.1872272617</v>
      </c>
      <c r="BC495" s="2">
        <f t="shared" ca="1" si="487"/>
        <v>27977817.999968041</v>
      </c>
      <c r="BD495" s="2">
        <f t="shared" ca="1" si="488"/>
        <v>-19514103.45670218</v>
      </c>
      <c r="BE495" s="2">
        <f t="shared" ca="1" si="489"/>
        <v>2112090.4099880401</v>
      </c>
      <c r="BF495" s="2">
        <f t="shared" ca="1" si="490"/>
        <v>2331738.3542769952</v>
      </c>
      <c r="BG495" s="2">
        <f t="shared" ca="1" si="491"/>
        <v>2507850.5965767084</v>
      </c>
      <c r="BH495" s="2">
        <f t="shared" ca="1" si="492"/>
        <v>2691491.7709147558</v>
      </c>
      <c r="BI495" s="2">
        <f t="shared" ca="1" si="493"/>
        <v>30860801.744818736</v>
      </c>
      <c r="BJ495" s="2">
        <f t="shared" ca="1" si="494"/>
        <v>0.18511960272526151</v>
      </c>
      <c r="BK495" s="2">
        <f t="shared" ca="1" si="495"/>
        <v>5237316.988718316</v>
      </c>
    </row>
    <row r="496" spans="1:63" x14ac:dyDescent="0.3">
      <c r="A496" s="2">
        <v>495</v>
      </c>
      <c r="B496" s="2">
        <f t="shared" ca="1" si="434"/>
        <v>0.44348979610753669</v>
      </c>
      <c r="C496" s="2">
        <f t="shared" ca="1" si="435"/>
        <v>6.9417959397953855</v>
      </c>
      <c r="D496" s="2">
        <f t="shared" ca="1" si="436"/>
        <v>0.16560348281306736</v>
      </c>
      <c r="E496" s="2">
        <f t="shared" ca="1" si="437"/>
        <v>7.0755058345717572</v>
      </c>
      <c r="F496" s="2">
        <f t="shared" ca="1" si="438"/>
        <v>0.64424191607061165</v>
      </c>
      <c r="G496" s="2">
        <f t="shared" ca="1" si="439"/>
        <v>5.109461789181495E-2</v>
      </c>
      <c r="H496" s="2">
        <f t="shared" ca="1" si="440"/>
        <v>5.109461789181495E-2</v>
      </c>
      <c r="I496" s="2">
        <f t="shared" ca="1" si="441"/>
        <v>2.8423682279528073E-2</v>
      </c>
      <c r="J496" s="2">
        <f t="shared" ca="1" si="442"/>
        <v>4.7758714932831688E-4</v>
      </c>
      <c r="K496" s="2">
        <f t="shared" ca="1" si="443"/>
        <v>4.7758714932831688E-4</v>
      </c>
      <c r="L496" s="2">
        <f t="shared" ca="1" si="444"/>
        <v>0.37821955756172609</v>
      </c>
      <c r="M496" s="2">
        <f t="shared" ca="1" si="445"/>
        <v>-6.2032045190309106E-3</v>
      </c>
      <c r="N496" s="2">
        <f t="shared" ca="1" si="446"/>
        <v>-6.2032045190309106E-3</v>
      </c>
      <c r="O496" s="2">
        <f t="shared" si="447"/>
        <v>6000000</v>
      </c>
      <c r="P496" s="2">
        <f t="shared" ca="1" si="448"/>
        <v>41650775.638772316</v>
      </c>
      <c r="Q496" s="2">
        <f t="shared" ca="1" si="449"/>
        <v>1041269.390969308</v>
      </c>
      <c r="R496" s="2">
        <f t="shared" ca="1" si="450"/>
        <v>24990465.383263391</v>
      </c>
      <c r="S496" s="2">
        <f t="shared" ca="1" si="451"/>
        <v>16660310.255508928</v>
      </c>
      <c r="T496" s="2">
        <f t="shared" ca="1" si="452"/>
        <v>49689839.774048455</v>
      </c>
      <c r="U496" s="2">
        <f t="shared" ca="1" si="453"/>
        <v>52228723.150408976</v>
      </c>
      <c r="V496" s="2">
        <f t="shared" ca="1" si="454"/>
        <v>54897329.802756518</v>
      </c>
      <c r="W496" s="2">
        <f t="shared" ca="1" si="455"/>
        <v>57702287.892309308</v>
      </c>
      <c r="X496" s="2">
        <f t="shared" ca="1" si="456"/>
        <v>60650564.243650354</v>
      </c>
      <c r="Y496" s="2">
        <f t="shared" ca="1" si="457"/>
        <v>0.12023879357466416</v>
      </c>
      <c r="Z496" s="2">
        <f t="shared" ca="1" si="458"/>
        <v>0.12033431100452982</v>
      </c>
      <c r="AA496" s="2">
        <f t="shared" ca="1" si="459"/>
        <v>5974646.3873499492</v>
      </c>
      <c r="AB496" s="2">
        <f t="shared" ca="1" si="460"/>
        <v>6284907.4149508001</v>
      </c>
      <c r="AC496" s="2">
        <f t="shared" ca="1" si="461"/>
        <v>6606032.3578031464</v>
      </c>
      <c r="AD496" s="2">
        <f t="shared" ca="1" si="462"/>
        <v>6943565.056906064</v>
      </c>
      <c r="AE496" s="2">
        <f t="shared" ca="1" si="463"/>
        <v>7298343.8602956375</v>
      </c>
      <c r="AF496" s="2">
        <f t="shared" ca="1" si="464"/>
        <v>993796.79548096913</v>
      </c>
      <c r="AG496" s="2">
        <f t="shared" ca="1" si="465"/>
        <v>1044574.4630081796</v>
      </c>
      <c r="AH496" s="2">
        <f t="shared" ca="1" si="466"/>
        <v>1097946.5960551305</v>
      </c>
      <c r="AI496" s="2">
        <f t="shared" ca="1" si="467"/>
        <v>1154045.7578461862</v>
      </c>
      <c r="AJ496" s="2">
        <f t="shared" ca="1" si="468"/>
        <v>1213011.2848730071</v>
      </c>
      <c r="AK496" s="2">
        <f t="shared" ca="1" si="469"/>
        <v>0</v>
      </c>
      <c r="AL496" s="2">
        <f t="shared" ca="1" si="470"/>
        <v>25388.833763605209</v>
      </c>
      <c r="AM496" s="2">
        <f t="shared" ca="1" si="471"/>
        <v>26686.066523475423</v>
      </c>
      <c r="AN496" s="2">
        <f t="shared" ca="1" si="472"/>
        <v>28049.580895527899</v>
      </c>
      <c r="AO496" s="2">
        <f t="shared" ca="1" si="473"/>
        <v>29482.763513410464</v>
      </c>
      <c r="AP496" s="2">
        <f t="shared" ca="1" si="474"/>
        <v>2249141.8844937049</v>
      </c>
      <c r="AQ496" s="2">
        <f t="shared" ca="1" si="475"/>
        <v>710244.00391757151</v>
      </c>
      <c r="AR496" s="2">
        <f t="shared" ca="1" si="476"/>
        <v>777709.6775367182</v>
      </c>
      <c r="AS496" s="2">
        <f t="shared" ca="1" si="477"/>
        <v>847325.40808612085</v>
      </c>
      <c r="AT496" s="2">
        <f t="shared" ca="1" si="478"/>
        <v>920498.12778720504</v>
      </c>
      <c r="AU496" s="2">
        <f t="shared" ca="1" si="479"/>
        <v>997409.57964152074</v>
      </c>
      <c r="AV496" s="2">
        <f t="shared" ca="1" si="480"/>
        <v>2021463.7034577038</v>
      </c>
      <c r="AW496" s="2">
        <f t="shared" ca="1" si="481"/>
        <v>2188092.5561485924</v>
      </c>
      <c r="AX496" s="2">
        <f t="shared" ca="1" si="482"/>
        <v>2384932.4026447143</v>
      </c>
      <c r="AY496" s="2">
        <f t="shared" ca="1" si="483"/>
        <v>2591829.7058834396</v>
      </c>
      <c r="AZ496" s="2">
        <f t="shared" ca="1" si="484"/>
        <v>2809298.3477739943</v>
      </c>
      <c r="BA496" s="2">
        <f t="shared" ca="1" si="485"/>
        <v>51639474.566232748</v>
      </c>
      <c r="BB496" s="2">
        <f t="shared" ca="1" si="486"/>
        <v>1032789.491324655</v>
      </c>
      <c r="BC496" s="2">
        <f t="shared" ca="1" si="487"/>
        <v>25616219.691644702</v>
      </c>
      <c r="BD496" s="2">
        <f t="shared" ca="1" si="488"/>
        <v>-18201579.646478236</v>
      </c>
      <c r="BE496" s="2">
        <f t="shared" ca="1" si="489"/>
        <v>2021463.7034577038</v>
      </c>
      <c r="BF496" s="2">
        <f t="shared" ca="1" si="490"/>
        <v>2188092.5561485924</v>
      </c>
      <c r="BG496" s="2">
        <f t="shared" ca="1" si="491"/>
        <v>2384932.4026447143</v>
      </c>
      <c r="BH496" s="2">
        <f t="shared" ca="1" si="492"/>
        <v>2591829.7058834396</v>
      </c>
      <c r="BI496" s="2">
        <f t="shared" ca="1" si="493"/>
        <v>28425518.039418697</v>
      </c>
      <c r="BJ496" s="2">
        <f t="shared" ca="1" si="494"/>
        <v>0.18461128878088218</v>
      </c>
      <c r="BK496" s="2">
        <f t="shared" ca="1" si="495"/>
        <v>4821737.3835450113</v>
      </c>
    </row>
    <row r="497" spans="1:63" x14ac:dyDescent="0.3">
      <c r="A497" s="2">
        <v>496</v>
      </c>
      <c r="B497" s="2">
        <f t="shared" ca="1" si="434"/>
        <v>0.71205592619777447</v>
      </c>
      <c r="C497" s="2">
        <f t="shared" ca="1" si="435"/>
        <v>7.2411270543730977</v>
      </c>
      <c r="D497" s="2">
        <f t="shared" ca="1" si="436"/>
        <v>0.94387318612593774</v>
      </c>
      <c r="E497" s="2">
        <f t="shared" ca="1" si="437"/>
        <v>8.1649572747422727</v>
      </c>
      <c r="F497" s="2">
        <f t="shared" ca="1" si="438"/>
        <v>0.60688382171369071</v>
      </c>
      <c r="G497" s="2">
        <f t="shared" ca="1" si="439"/>
        <v>4.8136189438237678E-2</v>
      </c>
      <c r="H497" s="2">
        <f t="shared" ca="1" si="440"/>
        <v>4.8136189438237678E-2</v>
      </c>
      <c r="I497" s="2">
        <f t="shared" ca="1" si="441"/>
        <v>4.5776807364861893E-2</v>
      </c>
      <c r="J497" s="2">
        <f t="shared" ca="1" si="442"/>
        <v>1.5637063981918369E-3</v>
      </c>
      <c r="K497" s="2">
        <f t="shared" ca="1" si="443"/>
        <v>1.5637063981918369E-3</v>
      </c>
      <c r="L497" s="2">
        <f t="shared" ca="1" si="444"/>
        <v>0.33887064743075601</v>
      </c>
      <c r="M497" s="2">
        <f t="shared" ca="1" si="445"/>
        <v>-8.3109460483264293E-3</v>
      </c>
      <c r="N497" s="2">
        <f t="shared" ca="1" si="446"/>
        <v>-8.3109460483264293E-3</v>
      </c>
      <c r="O497" s="2">
        <f t="shared" si="447"/>
        <v>6000000</v>
      </c>
      <c r="P497" s="2">
        <f t="shared" ca="1" si="448"/>
        <v>43446762.326238587</v>
      </c>
      <c r="Q497" s="2">
        <f t="shared" ca="1" si="449"/>
        <v>1086169.0581559648</v>
      </c>
      <c r="R497" s="2">
        <f t="shared" ca="1" si="450"/>
        <v>26068057.39574315</v>
      </c>
      <c r="S497" s="2">
        <f t="shared" ca="1" si="451"/>
        <v>17378704.930495437</v>
      </c>
      <c r="T497" s="2">
        <f t="shared" ca="1" si="452"/>
        <v>49584452.697583683</v>
      </c>
      <c r="U497" s="2">
        <f t="shared" ca="1" si="453"/>
        <v>51971259.305825911</v>
      </c>
      <c r="V497" s="2">
        <f t="shared" ca="1" si="454"/>
        <v>54472957.689114921</v>
      </c>
      <c r="W497" s="2">
        <f t="shared" ca="1" si="455"/>
        <v>57095078.299699262</v>
      </c>
      <c r="X497" s="2">
        <f t="shared" ca="1" si="456"/>
        <v>59843417.804724604</v>
      </c>
      <c r="Y497" s="2">
        <f t="shared" ca="1" si="457"/>
        <v>0.12078185319909591</v>
      </c>
      <c r="Z497" s="2">
        <f t="shared" ca="1" si="458"/>
        <v>0.12109459447873427</v>
      </c>
      <c r="AA497" s="2">
        <f t="shared" ca="1" si="459"/>
        <v>5988902.0866770679</v>
      </c>
      <c r="AB497" s="2">
        <f t="shared" ca="1" si="460"/>
        <v>6293438.570188134</v>
      </c>
      <c r="AC497" s="2">
        <f t="shared" ca="1" si="461"/>
        <v>6596380.7214206215</v>
      </c>
      <c r="AD497" s="2">
        <f t="shared" ca="1" si="462"/>
        <v>6913905.353433663</v>
      </c>
      <c r="AE497" s="2">
        <f t="shared" ca="1" si="463"/>
        <v>7246714.411284592</v>
      </c>
      <c r="AF497" s="2">
        <f t="shared" ca="1" si="464"/>
        <v>991689.05395167368</v>
      </c>
      <c r="AG497" s="2">
        <f t="shared" ca="1" si="465"/>
        <v>1039425.1861165182</v>
      </c>
      <c r="AH497" s="2">
        <f t="shared" ca="1" si="466"/>
        <v>1089459.1537822983</v>
      </c>
      <c r="AI497" s="2">
        <f t="shared" ca="1" si="467"/>
        <v>1141901.5659939852</v>
      </c>
      <c r="AJ497" s="2">
        <f t="shared" ca="1" si="468"/>
        <v>1196868.3560944921</v>
      </c>
      <c r="AK497" s="2">
        <f t="shared" ca="1" si="469"/>
        <v>0</v>
      </c>
      <c r="AL497" s="2">
        <f t="shared" ca="1" si="470"/>
        <v>23868.066082422287</v>
      </c>
      <c r="AM497" s="2">
        <f t="shared" ca="1" si="471"/>
        <v>25016.983832890095</v>
      </c>
      <c r="AN497" s="2">
        <f t="shared" ca="1" si="472"/>
        <v>26221.206105843412</v>
      </c>
      <c r="AO497" s="2">
        <f t="shared" ca="1" si="473"/>
        <v>27483.395050253421</v>
      </c>
      <c r="AP497" s="2">
        <f t="shared" ca="1" si="474"/>
        <v>2346125.1656168834</v>
      </c>
      <c r="AQ497" s="2">
        <f t="shared" ca="1" si="475"/>
        <v>689282.8454482127</v>
      </c>
      <c r="AR497" s="2">
        <f t="shared" ca="1" si="476"/>
        <v>756050.9367982304</v>
      </c>
      <c r="AS497" s="2">
        <f t="shared" ca="1" si="477"/>
        <v>821807.06452557421</v>
      </c>
      <c r="AT497" s="2">
        <f t="shared" ca="1" si="478"/>
        <v>890728.44167392654</v>
      </c>
      <c r="AU497" s="2">
        <f t="shared" ca="1" si="479"/>
        <v>962967.43128903618</v>
      </c>
      <c r="AV497" s="2">
        <f t="shared" ca="1" si="480"/>
        <v>1961805.0216602976</v>
      </c>
      <c r="AW497" s="2">
        <f t="shared" ca="1" si="481"/>
        <v>2127969.2155740787</v>
      </c>
      <c r="AX497" s="2">
        <f t="shared" ca="1" si="482"/>
        <v>2313972.3536629747</v>
      </c>
      <c r="AY497" s="2">
        <f t="shared" ca="1" si="483"/>
        <v>2508928.9740430242</v>
      </c>
      <c r="AZ497" s="2">
        <f t="shared" ca="1" si="484"/>
        <v>2713270.0632339264</v>
      </c>
      <c r="BA497" s="2">
        <f t="shared" ca="1" si="485"/>
        <v>59169113.550397798</v>
      </c>
      <c r="BB497" s="2">
        <f t="shared" ca="1" si="486"/>
        <v>1183382.271007956</v>
      </c>
      <c r="BC497" s="2">
        <f t="shared" ca="1" si="487"/>
        <v>31917673.883646693</v>
      </c>
      <c r="BD497" s="2">
        <f t="shared" ca="1" si="488"/>
        <v>-18964873.988651402</v>
      </c>
      <c r="BE497" s="2">
        <f t="shared" ca="1" si="489"/>
        <v>1961805.0216602976</v>
      </c>
      <c r="BF497" s="2">
        <f t="shared" ca="1" si="490"/>
        <v>2127969.2155740787</v>
      </c>
      <c r="BG497" s="2">
        <f t="shared" ca="1" si="491"/>
        <v>2313972.3536629747</v>
      </c>
      <c r="BH497" s="2">
        <f t="shared" ca="1" si="492"/>
        <v>2508928.9740430242</v>
      </c>
      <c r="BI497" s="2">
        <f t="shared" ca="1" si="493"/>
        <v>34630943.946880616</v>
      </c>
      <c r="BJ497" s="2">
        <f t="shared" ca="1" si="494"/>
        <v>0.20906634335687868</v>
      </c>
      <c r="BK497" s="2">
        <f t="shared" ca="1" si="495"/>
        <v>7375178.8382108733</v>
      </c>
    </row>
    <row r="498" spans="1:63" x14ac:dyDescent="0.3">
      <c r="A498" s="2">
        <v>497</v>
      </c>
      <c r="B498" s="2">
        <f t="shared" ca="1" si="434"/>
        <v>0.45378043205210727</v>
      </c>
      <c r="C498" s="2">
        <f t="shared" ca="1" si="435"/>
        <v>6.9526598889972302</v>
      </c>
      <c r="D498" s="2">
        <f t="shared" ca="1" si="436"/>
        <v>0.25783035403177468</v>
      </c>
      <c r="E498" s="2">
        <f t="shared" ca="1" si="437"/>
        <v>7.2180951942908056</v>
      </c>
      <c r="F498" s="2">
        <f t="shared" ca="1" si="438"/>
        <v>0.62886352396646095</v>
      </c>
      <c r="G498" s="2">
        <f t="shared" ca="1" si="439"/>
        <v>4.9865345862883027E-2</v>
      </c>
      <c r="H498" s="2">
        <f t="shared" ca="1" si="440"/>
        <v>4.9865345862883027E-2</v>
      </c>
      <c r="I498" s="2">
        <f t="shared" ca="1" si="441"/>
        <v>8.2566549822462809E-2</v>
      </c>
      <c r="J498" s="2">
        <f t="shared" ca="1" si="442"/>
        <v>3.0599352147497628E-3</v>
      </c>
      <c r="K498" s="2">
        <f t="shared" ca="1" si="443"/>
        <v>3.0599352147497628E-3</v>
      </c>
      <c r="L498" s="2">
        <f t="shared" ca="1" si="444"/>
        <v>0.94128177239021549</v>
      </c>
      <c r="M498" s="2">
        <f t="shared" ca="1" si="445"/>
        <v>3.1312498165427471E-2</v>
      </c>
      <c r="N498" s="2">
        <f t="shared" ca="1" si="446"/>
        <v>3.1312498165427471E-2</v>
      </c>
      <c r="O498" s="2">
        <f t="shared" si="447"/>
        <v>6000000</v>
      </c>
      <c r="P498" s="2">
        <f t="shared" ca="1" si="448"/>
        <v>41715959.333983384</v>
      </c>
      <c r="Q498" s="2">
        <f t="shared" ca="1" si="449"/>
        <v>1042898.9833495846</v>
      </c>
      <c r="R498" s="2">
        <f t="shared" ca="1" si="450"/>
        <v>25029575.600390028</v>
      </c>
      <c r="S498" s="2">
        <f t="shared" ca="1" si="451"/>
        <v>16686383.733593354</v>
      </c>
      <c r="T498" s="2">
        <f t="shared" ca="1" si="452"/>
        <v>51565624.908271365</v>
      </c>
      <c r="U498" s="2">
        <f t="shared" ca="1" si="453"/>
        <v>54136962.628958017</v>
      </c>
      <c r="V498" s="2">
        <f t="shared" ca="1" si="454"/>
        <v>56836520.994416982</v>
      </c>
      <c r="W498" s="2">
        <f t="shared" ca="1" si="455"/>
        <v>59670693.771446601</v>
      </c>
      <c r="X498" s="2">
        <f t="shared" ca="1" si="456"/>
        <v>62646193.554237969</v>
      </c>
      <c r="Y498" s="2">
        <f t="shared" ca="1" si="457"/>
        <v>0.12152996760737488</v>
      </c>
      <c r="Z498" s="2">
        <f t="shared" ca="1" si="458"/>
        <v>0.12214195465032483</v>
      </c>
      <c r="AA498" s="2">
        <f t="shared" ca="1" si="459"/>
        <v>6266768.7247562623</v>
      </c>
      <c r="AB498" s="2">
        <f t="shared" ca="1" si="460"/>
        <v>6612394.4343325207</v>
      </c>
      <c r="AC498" s="2">
        <f t="shared" ca="1" si="461"/>
        <v>6942123.7697823141</v>
      </c>
      <c r="AD498" s="2">
        <f t="shared" ca="1" si="462"/>
        <v>7288295.172585451</v>
      </c>
      <c r="AE498" s="2">
        <f t="shared" ca="1" si="463"/>
        <v>7651728.5321172057</v>
      </c>
      <c r="AF498" s="2">
        <f t="shared" ca="1" si="464"/>
        <v>1031312.4981654274</v>
      </c>
      <c r="AG498" s="2">
        <f t="shared" ca="1" si="465"/>
        <v>1082739.2525791603</v>
      </c>
      <c r="AH498" s="2">
        <f t="shared" ca="1" si="466"/>
        <v>1136730.4198883397</v>
      </c>
      <c r="AI498" s="2">
        <f t="shared" ca="1" si="467"/>
        <v>1193413.875428932</v>
      </c>
      <c r="AJ498" s="2">
        <f t="shared" ca="1" si="468"/>
        <v>1252923.8710847595</v>
      </c>
      <c r="AK498" s="2">
        <f t="shared" ca="1" si="469"/>
        <v>0</v>
      </c>
      <c r="AL498" s="2">
        <f t="shared" ca="1" si="470"/>
        <v>25713.377206866517</v>
      </c>
      <c r="AM498" s="2">
        <f t="shared" ca="1" si="471"/>
        <v>26995.583654589653</v>
      </c>
      <c r="AN498" s="2">
        <f t="shared" ca="1" si="472"/>
        <v>28341.727770296187</v>
      </c>
      <c r="AO498" s="2">
        <f t="shared" ca="1" si="473"/>
        <v>29754.997827913689</v>
      </c>
      <c r="AP498" s="2">
        <f t="shared" ca="1" si="474"/>
        <v>2252661.8040351025</v>
      </c>
      <c r="AQ498" s="2">
        <f t="shared" ca="1" si="475"/>
        <v>775526.5498644904</v>
      </c>
      <c r="AR498" s="2">
        <f t="shared" ca="1" si="476"/>
        <v>852018.27820674714</v>
      </c>
      <c r="AS498" s="2">
        <f t="shared" ca="1" si="477"/>
        <v>923710.20192330668</v>
      </c>
      <c r="AT498" s="2">
        <f t="shared" ca="1" si="478"/>
        <v>998977.0682115684</v>
      </c>
      <c r="AU498" s="2">
        <f t="shared" ca="1" si="479"/>
        <v>1077997.1428193094</v>
      </c>
      <c r="AV498" s="2">
        <f t="shared" ca="1" si="480"/>
        <v>2207267.8726912416</v>
      </c>
      <c r="AW498" s="2">
        <f t="shared" ca="1" si="481"/>
        <v>2399261.7223046445</v>
      </c>
      <c r="AX498" s="2">
        <f t="shared" ca="1" si="482"/>
        <v>2602025.7602809747</v>
      </c>
      <c r="AY498" s="2">
        <f t="shared" ca="1" si="483"/>
        <v>2814900.6971395523</v>
      </c>
      <c r="AZ498" s="2">
        <f t="shared" ca="1" si="484"/>
        <v>3038390.71635012</v>
      </c>
      <c r="BA498" s="2">
        <f t="shared" ca="1" si="485"/>
        <v>55230904.945693046</v>
      </c>
      <c r="BB498" s="2">
        <f t="shared" ca="1" si="486"/>
        <v>1104618.098913861</v>
      </c>
      <c r="BC498" s="2">
        <f t="shared" ca="1" si="487"/>
        <v>29096711.246389158</v>
      </c>
      <c r="BD498" s="2">
        <f t="shared" ca="1" si="488"/>
        <v>-18229282.71694294</v>
      </c>
      <c r="BE498" s="2">
        <f t="shared" ca="1" si="489"/>
        <v>2207267.8726912416</v>
      </c>
      <c r="BF498" s="2">
        <f t="shared" ca="1" si="490"/>
        <v>2399261.7223046445</v>
      </c>
      <c r="BG498" s="2">
        <f t="shared" ca="1" si="491"/>
        <v>2602025.7602809747</v>
      </c>
      <c r="BH498" s="2">
        <f t="shared" ca="1" si="492"/>
        <v>2814900.6971395523</v>
      </c>
      <c r="BI498" s="2">
        <f t="shared" ca="1" si="493"/>
        <v>32135101.962739278</v>
      </c>
      <c r="BJ498" s="2">
        <f t="shared" ca="1" si="494"/>
        <v>0.21648541933433463</v>
      </c>
      <c r="BK498" s="2">
        <f t="shared" ca="1" si="495"/>
        <v>7529479.6123822555</v>
      </c>
    </row>
    <row r="499" spans="1:63" x14ac:dyDescent="0.3">
      <c r="A499" s="2">
        <v>498</v>
      </c>
      <c r="B499" s="2">
        <f t="shared" ca="1" si="434"/>
        <v>0.34048373958518074</v>
      </c>
      <c r="C499" s="2">
        <f t="shared" ca="1" si="435"/>
        <v>6.8252075370295415</v>
      </c>
      <c r="D499" s="2">
        <f t="shared" ca="1" si="436"/>
        <v>0.53318940483869703</v>
      </c>
      <c r="E499" s="2">
        <f t="shared" ca="1" si="437"/>
        <v>7.5337592482602451</v>
      </c>
      <c r="F499" s="2">
        <f t="shared" ca="1" si="438"/>
        <v>0.54708417692284028</v>
      </c>
      <c r="G499" s="2">
        <f t="shared" ca="1" si="439"/>
        <v>4.3548936057954332E-2</v>
      </c>
      <c r="H499" s="2">
        <f t="shared" ca="1" si="440"/>
        <v>4.3548936057954332E-2</v>
      </c>
      <c r="I499" s="2">
        <f t="shared" ca="1" si="441"/>
        <v>0.96229627118861194</v>
      </c>
      <c r="J499" s="2">
        <f t="shared" ca="1" si="442"/>
        <v>1.8889890322417627E-2</v>
      </c>
      <c r="K499" s="2">
        <f t="shared" ca="1" si="443"/>
        <v>1.8889890322417627E-2</v>
      </c>
      <c r="L499" s="2">
        <f t="shared" ca="1" si="444"/>
        <v>0.42415638511869358</v>
      </c>
      <c r="M499" s="2">
        <f t="shared" ca="1" si="445"/>
        <v>-3.8254330205984388E-3</v>
      </c>
      <c r="N499" s="2">
        <f t="shared" ca="1" si="446"/>
        <v>-3.8254330205984388E-3</v>
      </c>
      <c r="O499" s="2">
        <f t="shared" si="447"/>
        <v>6000000</v>
      </c>
      <c r="P499" s="2">
        <f t="shared" ca="1" si="448"/>
        <v>40951245.222177252</v>
      </c>
      <c r="Q499" s="2">
        <f t="shared" ca="1" si="449"/>
        <v>1023781.1305544314</v>
      </c>
      <c r="R499" s="2">
        <f t="shared" ca="1" si="450"/>
        <v>24570747.133306351</v>
      </c>
      <c r="S499" s="2">
        <f t="shared" ca="1" si="451"/>
        <v>16380498.088870902</v>
      </c>
      <c r="T499" s="2">
        <f t="shared" ca="1" si="452"/>
        <v>49808728.348970078</v>
      </c>
      <c r="U499" s="2">
        <f t="shared" ca="1" si="453"/>
        <v>51977845.474967398</v>
      </c>
      <c r="V499" s="2">
        <f t="shared" ca="1" si="454"/>
        <v>54241425.343986988</v>
      </c>
      <c r="W499" s="2">
        <f t="shared" ca="1" si="455"/>
        <v>56603581.707984582</v>
      </c>
      <c r="X499" s="2">
        <f t="shared" ca="1" si="456"/>
        <v>59068607.4684368</v>
      </c>
      <c r="Y499" s="2">
        <f t="shared" ca="1" si="457"/>
        <v>0.1294449451612088</v>
      </c>
      <c r="Z499" s="2">
        <f t="shared" ca="1" si="458"/>
        <v>0.13322292322569235</v>
      </c>
      <c r="AA499" s="2">
        <f t="shared" ca="1" si="459"/>
        <v>6447488.1096819779</v>
      </c>
      <c r="AB499" s="2">
        <f t="shared" ca="1" si="460"/>
        <v>6924640.5171484817</v>
      </c>
      <c r="AC499" s="2">
        <f t="shared" ca="1" si="461"/>
        <v>7226201.244254102</v>
      </c>
      <c r="AD499" s="2">
        <f t="shared" ca="1" si="462"/>
        <v>7540894.6201820336</v>
      </c>
      <c r="AE499" s="2">
        <f t="shared" ca="1" si="463"/>
        <v>7869292.5578161133</v>
      </c>
      <c r="AF499" s="2">
        <f t="shared" ca="1" si="464"/>
        <v>996174.56697940163</v>
      </c>
      <c r="AG499" s="2">
        <f t="shared" ca="1" si="465"/>
        <v>1039556.909499348</v>
      </c>
      <c r="AH499" s="2">
        <f t="shared" ca="1" si="466"/>
        <v>1084828.5068797397</v>
      </c>
      <c r="AI499" s="2">
        <f t="shared" ca="1" si="467"/>
        <v>1132071.6341596916</v>
      </c>
      <c r="AJ499" s="2">
        <f t="shared" ca="1" si="468"/>
        <v>1181372.149368736</v>
      </c>
      <c r="AK499" s="2">
        <f t="shared" ca="1" si="469"/>
        <v>0</v>
      </c>
      <c r="AL499" s="2">
        <f t="shared" ca="1" si="470"/>
        <v>21691.171259973198</v>
      </c>
      <c r="AM499" s="2">
        <f t="shared" ca="1" si="471"/>
        <v>22635.798690195905</v>
      </c>
      <c r="AN499" s="2">
        <f t="shared" ca="1" si="472"/>
        <v>23621.563639975935</v>
      </c>
      <c r="AO499" s="2">
        <f t="shared" ca="1" si="473"/>
        <v>24650.257604522183</v>
      </c>
      <c r="AP499" s="2">
        <f t="shared" ca="1" si="474"/>
        <v>2211367.2419975717</v>
      </c>
      <c r="AQ499" s="2">
        <f t="shared" ca="1" si="475"/>
        <v>842386.03818330122</v>
      </c>
      <c r="AR499" s="2">
        <f t="shared" ca="1" si="476"/>
        <v>955166.25506940612</v>
      </c>
      <c r="AS499" s="2">
        <f t="shared" ca="1" si="477"/>
        <v>1021801.4287979656</v>
      </c>
      <c r="AT499" s="2">
        <f t="shared" ca="1" si="478"/>
        <v>1091338.4934464404</v>
      </c>
      <c r="AU499" s="2">
        <f t="shared" ca="1" si="479"/>
        <v>1163903.8232769496</v>
      </c>
      <c r="AV499" s="2">
        <f t="shared" ca="1" si="480"/>
        <v>2397560.2625217028</v>
      </c>
      <c r="AW499" s="2">
        <f t="shared" ca="1" si="481"/>
        <v>2696858.9393221829</v>
      </c>
      <c r="AX499" s="2">
        <f t="shared" ca="1" si="482"/>
        <v>2885568.2678886289</v>
      </c>
      <c r="AY499" s="2">
        <f t="shared" ca="1" si="483"/>
        <v>3082495.6869383538</v>
      </c>
      <c r="AZ499" s="2">
        <f t="shared" ca="1" si="484"/>
        <v>3287999.085568333</v>
      </c>
      <c r="BA499" s="2">
        <f t="shared" ca="1" si="485"/>
        <v>59285355.584712662</v>
      </c>
      <c r="BB499" s="2">
        <f t="shared" ca="1" si="486"/>
        <v>1185707.1116942533</v>
      </c>
      <c r="BC499" s="2">
        <f t="shared" ca="1" si="487"/>
        <v>33528901.339712061</v>
      </c>
      <c r="BD499" s="2">
        <f t="shared" ca="1" si="488"/>
        <v>-17904279.219425332</v>
      </c>
      <c r="BE499" s="2">
        <f t="shared" ca="1" si="489"/>
        <v>2397560.2625217028</v>
      </c>
      <c r="BF499" s="2">
        <f t="shared" ca="1" si="490"/>
        <v>2696858.9393221829</v>
      </c>
      <c r="BG499" s="2">
        <f t="shared" ca="1" si="491"/>
        <v>2885568.2678886289</v>
      </c>
      <c r="BH499" s="2">
        <f t="shared" ca="1" si="492"/>
        <v>3082495.6869383538</v>
      </c>
      <c r="BI499" s="2">
        <f t="shared" ca="1" si="493"/>
        <v>36816900.425280392</v>
      </c>
      <c r="BJ499" s="2">
        <f t="shared" ca="1" si="494"/>
        <v>0.25923137865835266</v>
      </c>
      <c r="BK499" s="2">
        <f t="shared" ca="1" si="495"/>
        <v>11290089.299520135</v>
      </c>
    </row>
    <row r="500" spans="1:63" x14ac:dyDescent="0.3">
      <c r="A500" s="2">
        <v>499</v>
      </c>
      <c r="B500" s="2">
        <f t="shared" ca="1" si="434"/>
        <v>0.7941570514571783</v>
      </c>
      <c r="C500" s="2">
        <f t="shared" ca="1" si="435"/>
        <v>7.3583724623384343</v>
      </c>
      <c r="D500" s="2">
        <f t="shared" ca="1" si="436"/>
        <v>0.63544292430360927</v>
      </c>
      <c r="E500" s="2">
        <f t="shared" ca="1" si="437"/>
        <v>7.6461181865194803</v>
      </c>
      <c r="F500" s="2">
        <f t="shared" ca="1" si="438"/>
        <v>0.17368907843479198</v>
      </c>
      <c r="G500" s="2">
        <f t="shared" ca="1" si="439"/>
        <v>1.1809391259634008E-2</v>
      </c>
      <c r="H500" s="2">
        <f t="shared" ca="1" si="440"/>
        <v>1.1809391259634008E-2</v>
      </c>
      <c r="I500" s="2">
        <f t="shared" ca="1" si="441"/>
        <v>0.284267401030321</v>
      </c>
      <c r="J500" s="2">
        <f t="shared" ca="1" si="442"/>
        <v>7.1489465174836772E-3</v>
      </c>
      <c r="K500" s="2">
        <f t="shared" ca="1" si="443"/>
        <v>7.1489465174836772E-3</v>
      </c>
      <c r="L500" s="2">
        <f t="shared" ca="1" si="444"/>
        <v>0.7132496692339747</v>
      </c>
      <c r="M500" s="2">
        <f t="shared" ca="1" si="445"/>
        <v>1.125806809824193E-2</v>
      </c>
      <c r="N500" s="2">
        <f t="shared" ca="1" si="446"/>
        <v>1.125806809824193E-2</v>
      </c>
      <c r="O500" s="2">
        <f t="shared" si="447"/>
        <v>6000000</v>
      </c>
      <c r="P500" s="2">
        <f t="shared" ca="1" si="448"/>
        <v>44150234.774030603</v>
      </c>
      <c r="Q500" s="2">
        <f t="shared" ca="1" si="449"/>
        <v>1103755.8693507651</v>
      </c>
      <c r="R500" s="2">
        <f t="shared" ca="1" si="450"/>
        <v>26490140.864418361</v>
      </c>
      <c r="S500" s="2">
        <f t="shared" ca="1" si="451"/>
        <v>17660093.909612242</v>
      </c>
      <c r="T500" s="2">
        <f t="shared" ca="1" si="452"/>
        <v>50562903.404912099</v>
      </c>
      <c r="U500" s="2">
        <f t="shared" ca="1" si="453"/>
        <v>51160020.514443785</v>
      </c>
      <c r="V500" s="2">
        <f t="shared" ca="1" si="454"/>
        <v>51764189.213549756</v>
      </c>
      <c r="W500" s="2">
        <f t="shared" ca="1" si="455"/>
        <v>52375492.777210288</v>
      </c>
      <c r="X500" s="2">
        <f t="shared" ca="1" si="456"/>
        <v>52994015.463832498</v>
      </c>
      <c r="Y500" s="2">
        <f t="shared" ca="1" si="457"/>
        <v>0.12357447325874184</v>
      </c>
      <c r="Z500" s="2">
        <f t="shared" ca="1" si="458"/>
        <v>0.12500426256223857</v>
      </c>
      <c r="AA500" s="2">
        <f t="shared" ca="1" si="459"/>
        <v>6248284.1546946568</v>
      </c>
      <c r="AB500" s="2">
        <f t="shared" ca="1" si="460"/>
        <v>6395220.6370770419</v>
      </c>
      <c r="AC500" s="2">
        <f t="shared" ca="1" si="461"/>
        <v>6470744.2997719711</v>
      </c>
      <c r="AD500" s="2">
        <f t="shared" ca="1" si="462"/>
        <v>6547159.8509490248</v>
      </c>
      <c r="AE500" s="2">
        <f t="shared" ca="1" si="463"/>
        <v>6624477.8232682487</v>
      </c>
      <c r="AF500" s="2">
        <f t="shared" ca="1" si="464"/>
        <v>1011258.068098242</v>
      </c>
      <c r="AG500" s="2">
        <f t="shared" ca="1" si="465"/>
        <v>1023200.4102888757</v>
      </c>
      <c r="AH500" s="2">
        <f t="shared" ca="1" si="466"/>
        <v>1035283.7842709952</v>
      </c>
      <c r="AI500" s="2">
        <f t="shared" ca="1" si="467"/>
        <v>1047509.8555442058</v>
      </c>
      <c r="AJ500" s="2">
        <f t="shared" ca="1" si="468"/>
        <v>1059880.30927665</v>
      </c>
      <c r="AK500" s="2">
        <f t="shared" ca="1" si="469"/>
        <v>0</v>
      </c>
      <c r="AL500" s="2">
        <f t="shared" ca="1" si="470"/>
        <v>5971.1710953168576</v>
      </c>
      <c r="AM500" s="2">
        <f t="shared" ca="1" si="471"/>
        <v>6041.6869910597061</v>
      </c>
      <c r="AN500" s="2">
        <f t="shared" ca="1" si="472"/>
        <v>6113.0356366053229</v>
      </c>
      <c r="AO500" s="2">
        <f t="shared" ca="1" si="473"/>
        <v>6185.2268662220986</v>
      </c>
      <c r="AP500" s="2">
        <f t="shared" ca="1" si="474"/>
        <v>2384112.6777976523</v>
      </c>
      <c r="AQ500" s="2">
        <f t="shared" ca="1" si="475"/>
        <v>741757.48628767813</v>
      </c>
      <c r="AR500" s="2">
        <f t="shared" ca="1" si="476"/>
        <v>776855.96273753361</v>
      </c>
      <c r="AS500" s="2">
        <f t="shared" ca="1" si="477"/>
        <v>793350.43780286412</v>
      </c>
      <c r="AT500" s="2">
        <f t="shared" ca="1" si="478"/>
        <v>810039.70257786335</v>
      </c>
      <c r="AU500" s="2">
        <f t="shared" ca="1" si="479"/>
        <v>826926.05741042621</v>
      </c>
      <c r="AV500" s="2">
        <f t="shared" ca="1" si="480"/>
        <v>2111155.9225110845</v>
      </c>
      <c r="AW500" s="2">
        <f t="shared" ca="1" si="481"/>
        <v>2205080.4151576632</v>
      </c>
      <c r="AX500" s="2">
        <f t="shared" ca="1" si="482"/>
        <v>2251955.7129093991</v>
      </c>
      <c r="AY500" s="2">
        <f t="shared" ca="1" si="483"/>
        <v>2299384.5793926981</v>
      </c>
      <c r="AZ500" s="2">
        <f t="shared" ca="1" si="484"/>
        <v>2347373.5519172982</v>
      </c>
      <c r="BA500" s="2">
        <f t="shared" ca="1" si="485"/>
        <v>50651540.360686339</v>
      </c>
      <c r="BB500" s="2">
        <f t="shared" ca="1" si="486"/>
        <v>1013030.8072137268</v>
      </c>
      <c r="BC500" s="2">
        <f t="shared" ca="1" si="487"/>
        <v>23148368.689054251</v>
      </c>
      <c r="BD500" s="2">
        <f t="shared" ca="1" si="488"/>
        <v>-19263849.778963007</v>
      </c>
      <c r="BE500" s="2">
        <f t="shared" ca="1" si="489"/>
        <v>2111155.9225110845</v>
      </c>
      <c r="BF500" s="2">
        <f t="shared" ca="1" si="490"/>
        <v>2205080.4151576632</v>
      </c>
      <c r="BG500" s="2">
        <f t="shared" ca="1" si="491"/>
        <v>2251955.7129093991</v>
      </c>
      <c r="BH500" s="2">
        <f t="shared" ca="1" si="492"/>
        <v>2299384.5793926981</v>
      </c>
      <c r="BI500" s="2">
        <f t="shared" ca="1" si="493"/>
        <v>25495742.24097155</v>
      </c>
      <c r="BJ500" s="2">
        <f t="shared" ca="1" si="494"/>
        <v>0.14578983945458979</v>
      </c>
      <c r="BK500" s="2">
        <f t="shared" ca="1" si="495"/>
        <v>1910154.3914227076</v>
      </c>
    </row>
    <row r="501" spans="1:63" x14ac:dyDescent="0.3">
      <c r="A501" s="2">
        <v>500</v>
      </c>
      <c r="B501" s="2">
        <f t="shared" ca="1" si="434"/>
        <v>0.88291517126370556</v>
      </c>
      <c r="C501" s="2">
        <f t="shared" ca="1" si="435"/>
        <v>7.5160892050464376</v>
      </c>
      <c r="D501" s="2">
        <f t="shared" ca="1" si="436"/>
        <v>0.69087028612603973</v>
      </c>
      <c r="E501" s="2">
        <f t="shared" ca="1" si="437"/>
        <v>7.7137052538978015</v>
      </c>
      <c r="F501" s="2">
        <f t="shared" ca="1" si="438"/>
        <v>0.4243311803058214</v>
      </c>
      <c r="G501" s="2">
        <f t="shared" ca="1" si="439"/>
        <v>3.4275236950489507E-2</v>
      </c>
      <c r="H501" s="2">
        <f t="shared" ca="1" si="440"/>
        <v>3.4275236950489507E-2</v>
      </c>
      <c r="I501" s="2">
        <f t="shared" ca="1" si="441"/>
        <v>8.6186790381561074E-2</v>
      </c>
      <c r="J501" s="2">
        <f t="shared" ca="1" si="442"/>
        <v>3.1769169390951134E-3</v>
      </c>
      <c r="K501" s="2">
        <f t="shared" ca="1" si="443"/>
        <v>3.1769169390951134E-3</v>
      </c>
      <c r="L501" s="2">
        <f t="shared" ca="1" si="444"/>
        <v>2.3234794732804209E-2</v>
      </c>
      <c r="M501" s="2">
        <f t="shared" ca="1" si="445"/>
        <v>-3.9822055496961585E-2</v>
      </c>
      <c r="N501" s="2">
        <f t="shared" ca="1" si="446"/>
        <v>-3.9822055496961585E-2</v>
      </c>
      <c r="O501" s="2">
        <f t="shared" si="447"/>
        <v>6000000</v>
      </c>
      <c r="P501" s="2">
        <f t="shared" ca="1" si="448"/>
        <v>45096535.230278626</v>
      </c>
      <c r="Q501" s="2">
        <f t="shared" ca="1" si="449"/>
        <v>1127413.3807569656</v>
      </c>
      <c r="R501" s="2">
        <f t="shared" ca="1" si="450"/>
        <v>27057921.138167176</v>
      </c>
      <c r="S501" s="2">
        <f t="shared" ca="1" si="451"/>
        <v>18038614.09211145</v>
      </c>
      <c r="T501" s="2">
        <f t="shared" ca="1" si="452"/>
        <v>48008897.225151919</v>
      </c>
      <c r="U501" s="2">
        <f t="shared" ca="1" si="453"/>
        <v>49654413.553275697</v>
      </c>
      <c r="V501" s="2">
        <f t="shared" ca="1" si="454"/>
        <v>51356330.34345182</v>
      </c>
      <c r="W501" s="2">
        <f t="shared" ca="1" si="455"/>
        <v>53116580.734881245</v>
      </c>
      <c r="X501" s="2">
        <f t="shared" ca="1" si="456"/>
        <v>54937164.125569105</v>
      </c>
      <c r="Y501" s="2">
        <f t="shared" ca="1" si="457"/>
        <v>0.12158845846954755</v>
      </c>
      <c r="Z501" s="2">
        <f t="shared" ca="1" si="458"/>
        <v>0.12222384185736658</v>
      </c>
      <c r="AA501" s="2">
        <f t="shared" ca="1" si="459"/>
        <v>5837327.8064291608</v>
      </c>
      <c r="AB501" s="2">
        <f t="shared" ca="1" si="460"/>
        <v>6068953.1896558488</v>
      </c>
      <c r="AC501" s="2">
        <f t="shared" ca="1" si="461"/>
        <v>6276967.9982727319</v>
      </c>
      <c r="AD501" s="2">
        <f t="shared" ca="1" si="462"/>
        <v>6492112.5637441697</v>
      </c>
      <c r="AE501" s="2">
        <f t="shared" ca="1" si="463"/>
        <v>6714631.2601757506</v>
      </c>
      <c r="AF501" s="2">
        <f t="shared" ca="1" si="464"/>
        <v>960177.94450303842</v>
      </c>
      <c r="AG501" s="2">
        <f t="shared" ca="1" si="465"/>
        <v>993088.27106551395</v>
      </c>
      <c r="AH501" s="2">
        <f t="shared" ca="1" si="466"/>
        <v>1027126.6068690364</v>
      </c>
      <c r="AI501" s="2">
        <f t="shared" ca="1" si="467"/>
        <v>1062331.6146976249</v>
      </c>
      <c r="AJ501" s="2">
        <f t="shared" ca="1" si="468"/>
        <v>1098743.2825113821</v>
      </c>
      <c r="AK501" s="2">
        <f t="shared" ca="1" si="469"/>
        <v>0</v>
      </c>
      <c r="AL501" s="2">
        <f t="shared" ca="1" si="470"/>
        <v>16455.163281237783</v>
      </c>
      <c r="AM501" s="2">
        <f t="shared" ca="1" si="471"/>
        <v>17019.167901761233</v>
      </c>
      <c r="AN501" s="2">
        <f t="shared" ca="1" si="472"/>
        <v>17602.503914294244</v>
      </c>
      <c r="AO501" s="2">
        <f t="shared" ca="1" si="473"/>
        <v>18205.833906878604</v>
      </c>
      <c r="AP501" s="2">
        <f t="shared" ca="1" si="474"/>
        <v>2435212.9024350457</v>
      </c>
      <c r="AQ501" s="2">
        <f t="shared" ca="1" si="475"/>
        <v>634903.60946767998</v>
      </c>
      <c r="AR501" s="2">
        <f t="shared" ca="1" si="476"/>
        <v>686569.52420037531</v>
      </c>
      <c r="AS501" s="2">
        <f t="shared" ca="1" si="477"/>
        <v>731803.40713184897</v>
      </c>
      <c r="AT501" s="2">
        <f t="shared" ca="1" si="478"/>
        <v>778587.69211898977</v>
      </c>
      <c r="AU501" s="2">
        <f t="shared" ca="1" si="479"/>
        <v>826975.51955962391</v>
      </c>
      <c r="AV501" s="2">
        <f t="shared" ca="1" si="480"/>
        <v>1807033.3500233972</v>
      </c>
      <c r="AW501" s="2">
        <f t="shared" ca="1" si="481"/>
        <v>1937627.3286736766</v>
      </c>
      <c r="AX501" s="2">
        <f t="shared" ca="1" si="482"/>
        <v>2065805.9139350401</v>
      </c>
      <c r="AY501" s="2">
        <f t="shared" ca="1" si="483"/>
        <v>2198377.850578215</v>
      </c>
      <c r="AZ501" s="2">
        <f t="shared" ca="1" si="484"/>
        <v>2335493.7217628201</v>
      </c>
      <c r="BA501" s="2">
        <f t="shared" ca="1" si="485"/>
        <v>51794686.429604106</v>
      </c>
      <c r="BB501" s="2">
        <f t="shared" ca="1" si="486"/>
        <v>1035893.7285920822</v>
      </c>
      <c r="BC501" s="2">
        <f t="shared" ca="1" si="487"/>
        <v>23700871.562844846</v>
      </c>
      <c r="BD501" s="2">
        <f t="shared" ca="1" si="488"/>
        <v>-19666027.472868416</v>
      </c>
      <c r="BE501" s="2">
        <f t="shared" ca="1" si="489"/>
        <v>1807033.3500233972</v>
      </c>
      <c r="BF501" s="2">
        <f t="shared" ca="1" si="490"/>
        <v>1937627.3286736766</v>
      </c>
      <c r="BG501" s="2">
        <f t="shared" ca="1" si="491"/>
        <v>2065805.9139350401</v>
      </c>
      <c r="BH501" s="2">
        <f t="shared" ca="1" si="492"/>
        <v>2198377.850578215</v>
      </c>
      <c r="BI501" s="2">
        <f t="shared" ca="1" si="493"/>
        <v>26036365.284607667</v>
      </c>
      <c r="BJ501" s="2">
        <f t="shared" ca="1" si="494"/>
        <v>0.13487341249766049</v>
      </c>
      <c r="BK501" s="2">
        <f t="shared" ca="1" si="495"/>
        <v>1133301.4048233591</v>
      </c>
    </row>
    <row r="502" spans="1:63" x14ac:dyDescent="0.3">
      <c r="A502" s="2">
        <v>501</v>
      </c>
      <c r="B502" s="2">
        <f t="shared" ca="1" si="434"/>
        <v>0.98175053942339863</v>
      </c>
      <c r="C502" s="2">
        <f t="shared" ca="1" si="435"/>
        <v>7.8089530917465488</v>
      </c>
      <c r="D502" s="2">
        <f t="shared" ca="1" si="436"/>
        <v>4.0059884589604966E-3</v>
      </c>
      <c r="E502" s="2">
        <f t="shared" ca="1" si="437"/>
        <v>6.5895096470662295</v>
      </c>
      <c r="F502" s="2">
        <f t="shared" ca="1" si="438"/>
        <v>0.5957823611454155</v>
      </c>
      <c r="G502" s="2">
        <f t="shared" ca="1" si="439"/>
        <v>4.727335354488809E-2</v>
      </c>
      <c r="H502" s="2">
        <f t="shared" ca="1" si="440"/>
        <v>4.727335354488809E-2</v>
      </c>
      <c r="I502" s="2">
        <f t="shared" ca="1" si="441"/>
        <v>0.79110689046051363</v>
      </c>
      <c r="J502" s="2">
        <f t="shared" ca="1" si="442"/>
        <v>1.4051339509708851E-2</v>
      </c>
      <c r="K502" s="2">
        <f t="shared" ca="1" si="443"/>
        <v>1.4051339509708851E-2</v>
      </c>
      <c r="L502" s="2">
        <f t="shared" ca="1" si="444"/>
        <v>0.20517787704406565</v>
      </c>
      <c r="M502" s="2">
        <f t="shared" ca="1" si="445"/>
        <v>-1.6465354819007804E-2</v>
      </c>
      <c r="N502" s="2">
        <f t="shared" ca="1" si="446"/>
        <v>-1.6465354819007804E-2</v>
      </c>
      <c r="O502" s="2">
        <f t="shared" si="447"/>
        <v>6000000</v>
      </c>
      <c r="P502" s="2">
        <f t="shared" ca="1" si="448"/>
        <v>46853718.550479293</v>
      </c>
      <c r="Q502" s="2">
        <f t="shared" ca="1" si="449"/>
        <v>1171342.9637619823</v>
      </c>
      <c r="R502" s="2">
        <f t="shared" ca="1" si="450"/>
        <v>28112231.130287576</v>
      </c>
      <c r="S502" s="2">
        <f t="shared" ca="1" si="451"/>
        <v>18741487.420191716</v>
      </c>
      <c r="T502" s="2">
        <f t="shared" ca="1" si="452"/>
        <v>49176732.259049609</v>
      </c>
      <c r="U502" s="2">
        <f t="shared" ca="1" si="453"/>
        <v>51501481.309313968</v>
      </c>
      <c r="V502" s="2">
        <f t="shared" ca="1" si="454"/>
        <v>53936129.043334618</v>
      </c>
      <c r="W502" s="2">
        <f t="shared" ca="1" si="455"/>
        <v>56485870.740442887</v>
      </c>
      <c r="X502" s="2">
        <f t="shared" ca="1" si="456"/>
        <v>59156147.278246693</v>
      </c>
      <c r="Y502" s="2">
        <f t="shared" ca="1" si="457"/>
        <v>0.12702566975485441</v>
      </c>
      <c r="Z502" s="2">
        <f t="shared" ca="1" si="458"/>
        <v>0.12983593765679619</v>
      </c>
      <c r="AA502" s="2">
        <f t="shared" ca="1" si="459"/>
        <v>6246707.3515609307</v>
      </c>
      <c r="AB502" s="2">
        <f t="shared" ca="1" si="460"/>
        <v>6686743.1165087419</v>
      </c>
      <c r="AC502" s="2">
        <f t="shared" ca="1" si="461"/>
        <v>7002847.8879193077</v>
      </c>
      <c r="AD502" s="2">
        <f t="shared" ca="1" si="462"/>
        <v>7333895.9919459904</v>
      </c>
      <c r="AE502" s="2">
        <f t="shared" ca="1" si="463"/>
        <v>7680593.8500346914</v>
      </c>
      <c r="AF502" s="2">
        <f t="shared" ca="1" si="464"/>
        <v>983534.6451809922</v>
      </c>
      <c r="AG502" s="2">
        <f t="shared" ca="1" si="465"/>
        <v>1030029.6261862793</v>
      </c>
      <c r="AH502" s="2">
        <f t="shared" ca="1" si="466"/>
        <v>1078722.5808666924</v>
      </c>
      <c r="AI502" s="2">
        <f t="shared" ca="1" si="467"/>
        <v>1129717.4148088577</v>
      </c>
      <c r="AJ502" s="2">
        <f t="shared" ca="1" si="468"/>
        <v>1183122.9455649338</v>
      </c>
      <c r="AK502" s="2">
        <f t="shared" ca="1" si="469"/>
        <v>0</v>
      </c>
      <c r="AL502" s="2">
        <f t="shared" ca="1" si="470"/>
        <v>23247.490502643584</v>
      </c>
      <c r="AM502" s="2">
        <f t="shared" ca="1" si="471"/>
        <v>24346.477340206504</v>
      </c>
      <c r="AN502" s="2">
        <f t="shared" ca="1" si="472"/>
        <v>25497.416971082686</v>
      </c>
      <c r="AO502" s="2">
        <f t="shared" ca="1" si="473"/>
        <v>26702.765378038064</v>
      </c>
      <c r="AP502" s="2">
        <f t="shared" ca="1" si="474"/>
        <v>2530100.8017258816</v>
      </c>
      <c r="AQ502" s="2">
        <f t="shared" ca="1" si="475"/>
        <v>710598.69521005487</v>
      </c>
      <c r="AR502" s="2">
        <f t="shared" ca="1" si="476"/>
        <v>812919.29903511098</v>
      </c>
      <c r="AS502" s="2">
        <f t="shared" ca="1" si="477"/>
        <v>882446.3713849507</v>
      </c>
      <c r="AT502" s="2">
        <f t="shared" ca="1" si="478"/>
        <v>955260.22160692536</v>
      </c>
      <c r="AU502" s="2">
        <f t="shared" ca="1" si="479"/>
        <v>1031516.2267134077</v>
      </c>
      <c r="AV502" s="2">
        <f t="shared" ca="1" si="480"/>
        <v>2022473.2094440027</v>
      </c>
      <c r="AW502" s="2">
        <f t="shared" ca="1" si="481"/>
        <v>2290445.8990588258</v>
      </c>
      <c r="AX502" s="2">
        <f t="shared" ca="1" si="482"/>
        <v>2487231.6566015766</v>
      </c>
      <c r="AY502" s="2">
        <f t="shared" ca="1" si="483"/>
        <v>2693320.1368332435</v>
      </c>
      <c r="AZ502" s="2">
        <f t="shared" ca="1" si="484"/>
        <v>2909151.1106524295</v>
      </c>
      <c r="BA502" s="2">
        <f t="shared" ca="1" si="485"/>
        <v>50611347.270001151</v>
      </c>
      <c r="BB502" s="2">
        <f t="shared" ca="1" si="486"/>
        <v>1012226.945400023</v>
      </c>
      <c r="BC502" s="2">
        <f t="shared" ca="1" si="487"/>
        <v>21486889.194313552</v>
      </c>
      <c r="BD502" s="2">
        <f t="shared" ca="1" si="488"/>
        <v>-20412830.383953698</v>
      </c>
      <c r="BE502" s="2">
        <f t="shared" ca="1" si="489"/>
        <v>2022473.2094440027</v>
      </c>
      <c r="BF502" s="2">
        <f t="shared" ca="1" si="490"/>
        <v>2290445.8990588258</v>
      </c>
      <c r="BG502" s="2">
        <f t="shared" ca="1" si="491"/>
        <v>2487231.6566015766</v>
      </c>
      <c r="BH502" s="2">
        <f t="shared" ca="1" si="492"/>
        <v>2693320.1368332435</v>
      </c>
      <c r="BI502" s="2">
        <f t="shared" ca="1" si="493"/>
        <v>24396040.30496598</v>
      </c>
      <c r="BJ502" s="2">
        <f t="shared" ca="1" si="494"/>
        <v>0.12714057838173742</v>
      </c>
      <c r="BK502" s="2">
        <f t="shared" ca="1" si="495"/>
        <v>543863.15995271876</v>
      </c>
    </row>
    <row r="503" spans="1:63" x14ac:dyDescent="0.3">
      <c r="A503" s="2">
        <v>502</v>
      </c>
      <c r="B503" s="2">
        <f t="shared" ca="1" si="434"/>
        <v>0.2899207446180827</v>
      </c>
      <c r="C503" s="2">
        <f t="shared" ca="1" si="435"/>
        <v>6.7614732360603131</v>
      </c>
      <c r="D503" s="2">
        <f t="shared" ca="1" si="436"/>
        <v>0.19489904223791532</v>
      </c>
      <c r="E503" s="2">
        <f t="shared" ca="1" si="437"/>
        <v>7.1243381171094962</v>
      </c>
      <c r="F503" s="2">
        <f t="shared" ca="1" si="438"/>
        <v>0.90215266524277571</v>
      </c>
      <c r="G503" s="2">
        <f t="shared" ca="1" si="439"/>
        <v>7.8817459827414449E-2</v>
      </c>
      <c r="H503" s="2">
        <f t="shared" ca="1" si="440"/>
        <v>7.8817459827414449E-2</v>
      </c>
      <c r="I503" s="2">
        <f t="shared" ca="1" si="441"/>
        <v>6.3154569337030231E-2</v>
      </c>
      <c r="J503" s="2">
        <f t="shared" ca="1" si="442"/>
        <v>2.3559013269842059E-3</v>
      </c>
      <c r="K503" s="2">
        <f t="shared" ca="1" si="443"/>
        <v>2.3559013269842059E-3</v>
      </c>
      <c r="L503" s="2">
        <f t="shared" ca="1" si="444"/>
        <v>0.95120418600984291</v>
      </c>
      <c r="M503" s="2">
        <f t="shared" ca="1" si="445"/>
        <v>3.3132864484038647E-2</v>
      </c>
      <c r="N503" s="2">
        <f t="shared" ca="1" si="446"/>
        <v>3.3132864484038647E-2</v>
      </c>
      <c r="O503" s="2">
        <f t="shared" si="447"/>
        <v>6000000</v>
      </c>
      <c r="P503" s="2">
        <f t="shared" ca="1" si="448"/>
        <v>40568839.416361876</v>
      </c>
      <c r="Q503" s="2">
        <f t="shared" ca="1" si="449"/>
        <v>1014220.985409047</v>
      </c>
      <c r="R503" s="2">
        <f t="shared" ca="1" si="450"/>
        <v>24341303.649817124</v>
      </c>
      <c r="S503" s="2">
        <f t="shared" ca="1" si="451"/>
        <v>16227535.766544752</v>
      </c>
      <c r="T503" s="2">
        <f t="shared" ca="1" si="452"/>
        <v>51656643.22420194</v>
      </c>
      <c r="U503" s="2">
        <f t="shared" ca="1" si="453"/>
        <v>55728088.626344562</v>
      </c>
      <c r="V503" s="2">
        <f t="shared" ca="1" si="454"/>
        <v>60120435.012910068</v>
      </c>
      <c r="W503" s="2">
        <f t="shared" ca="1" si="455"/>
        <v>64858974.984346792</v>
      </c>
      <c r="X503" s="2">
        <f t="shared" ca="1" si="456"/>
        <v>69970994.639622822</v>
      </c>
      <c r="Y503" s="2">
        <f t="shared" ca="1" si="457"/>
        <v>0.1211779506634921</v>
      </c>
      <c r="Z503" s="2">
        <f t="shared" ca="1" si="458"/>
        <v>0.12164913092888895</v>
      </c>
      <c r="AA503" s="2">
        <f t="shared" ca="1" si="459"/>
        <v>6259646.1640639566</v>
      </c>
      <c r="AB503" s="2">
        <f t="shared" ca="1" si="460"/>
        <v>6779273.5497229164</v>
      </c>
      <c r="AC503" s="2">
        <f t="shared" ca="1" si="461"/>
        <v>7313598.670387256</v>
      </c>
      <c r="AD503" s="2">
        <f t="shared" ca="1" si="462"/>
        <v>7890037.9397843359</v>
      </c>
      <c r="AE503" s="2">
        <f t="shared" ca="1" si="463"/>
        <v>8511910.6881400626</v>
      </c>
      <c r="AF503" s="2">
        <f t="shared" ca="1" si="464"/>
        <v>1033132.8644840388</v>
      </c>
      <c r="AG503" s="2">
        <f t="shared" ca="1" si="465"/>
        <v>1114561.7725268912</v>
      </c>
      <c r="AH503" s="2">
        <f t="shared" ca="1" si="466"/>
        <v>1202408.7002582015</v>
      </c>
      <c r="AI503" s="2">
        <f t="shared" ca="1" si="467"/>
        <v>1297179.4996869359</v>
      </c>
      <c r="AJ503" s="2">
        <f t="shared" ca="1" si="468"/>
        <v>1399419.8927924566</v>
      </c>
      <c r="AK503" s="2">
        <f t="shared" ca="1" si="469"/>
        <v>0</v>
      </c>
      <c r="AL503" s="2">
        <f t="shared" ca="1" si="470"/>
        <v>40714.454021426216</v>
      </c>
      <c r="AM503" s="2">
        <f t="shared" ca="1" si="471"/>
        <v>43923.463865655067</v>
      </c>
      <c r="AN503" s="2">
        <f t="shared" ca="1" si="472"/>
        <v>47385.399714367239</v>
      </c>
      <c r="AO503" s="2">
        <f t="shared" ca="1" si="473"/>
        <v>51120.196552760302</v>
      </c>
      <c r="AP503" s="2">
        <f t="shared" ca="1" si="474"/>
        <v>2190717.328483541</v>
      </c>
      <c r="AQ503" s="2">
        <f t="shared" ca="1" si="475"/>
        <v>789306.95248505787</v>
      </c>
      <c r="AR503" s="2">
        <f t="shared" ca="1" si="476"/>
        <v>903238.55666524603</v>
      </c>
      <c r="AS503" s="2">
        <f t="shared" ca="1" si="477"/>
        <v>1019322.8868278334</v>
      </c>
      <c r="AT503" s="2">
        <f t="shared" ca="1" si="478"/>
        <v>1144556.6890196032</v>
      </c>
      <c r="AU503" s="2">
        <f t="shared" ca="1" si="479"/>
        <v>1279661.1013846567</v>
      </c>
      <c r="AV503" s="2">
        <f t="shared" ca="1" si="480"/>
        <v>2246489.0186113189</v>
      </c>
      <c r="AW503" s="2">
        <f t="shared" ca="1" si="481"/>
        <v>2530041.4380258122</v>
      </c>
      <c r="AX503" s="2">
        <f t="shared" ca="1" si="482"/>
        <v>2857226.2909520245</v>
      </c>
      <c r="AY503" s="2">
        <f t="shared" ca="1" si="483"/>
        <v>3210199.0228798888</v>
      </c>
      <c r="AZ503" s="2">
        <f t="shared" ca="1" si="484"/>
        <v>3590992.1689266483</v>
      </c>
      <c r="BA503" s="2">
        <f t="shared" ca="1" si="485"/>
        <v>60641729.764947966</v>
      </c>
      <c r="BB503" s="2">
        <f t="shared" ca="1" si="486"/>
        <v>1212834.5952989594</v>
      </c>
      <c r="BC503" s="2">
        <f t="shared" ca="1" si="487"/>
        <v>35087591.519831881</v>
      </c>
      <c r="BD503" s="2">
        <f t="shared" ca="1" si="488"/>
        <v>-17741756.751953799</v>
      </c>
      <c r="BE503" s="2">
        <f t="shared" ca="1" si="489"/>
        <v>2246489.0186113189</v>
      </c>
      <c r="BF503" s="2">
        <f t="shared" ca="1" si="490"/>
        <v>2530041.4380258122</v>
      </c>
      <c r="BG503" s="2">
        <f t="shared" ca="1" si="491"/>
        <v>2857226.2909520245</v>
      </c>
      <c r="BH503" s="2">
        <f t="shared" ca="1" si="492"/>
        <v>3210199.0228798888</v>
      </c>
      <c r="BI503" s="2">
        <f t="shared" ca="1" si="493"/>
        <v>38678583.68875853</v>
      </c>
      <c r="BJ503" s="2">
        <f t="shared" ca="1" si="494"/>
        <v>0.26880959530318282</v>
      </c>
      <c r="BK503" s="2">
        <f t="shared" ca="1" si="495"/>
        <v>12302094.436919473</v>
      </c>
    </row>
    <row r="504" spans="1:63" x14ac:dyDescent="0.3">
      <c r="A504" s="2">
        <v>503</v>
      </c>
      <c r="B504" s="2">
        <f t="shared" ca="1" si="434"/>
        <v>0.77452106731768888</v>
      </c>
      <c r="C504" s="2">
        <f t="shared" ca="1" si="435"/>
        <v>7.3284660355837374</v>
      </c>
      <c r="D504" s="2">
        <f t="shared" ca="1" si="436"/>
        <v>0.72353941097128194</v>
      </c>
      <c r="E504" s="2">
        <f t="shared" ca="1" si="437"/>
        <v>7.7564133015865355</v>
      </c>
      <c r="F504" s="2">
        <f t="shared" ca="1" si="438"/>
        <v>0.12857309707339859</v>
      </c>
      <c r="G504" s="2">
        <f t="shared" ca="1" si="439"/>
        <v>6.0051375267444126E-3</v>
      </c>
      <c r="H504" s="2">
        <f t="shared" ca="1" si="440"/>
        <v>6.0051375267444126E-3</v>
      </c>
      <c r="I504" s="2">
        <f t="shared" ca="1" si="441"/>
        <v>0.43690281882757154</v>
      </c>
      <c r="J504" s="2">
        <f t="shared" ca="1" si="442"/>
        <v>9.2058679303720029E-3</v>
      </c>
      <c r="K504" s="2">
        <f t="shared" ca="1" si="443"/>
        <v>9.2058679303720029E-3</v>
      </c>
      <c r="L504" s="2">
        <f t="shared" ca="1" si="444"/>
        <v>0.17293665992255314</v>
      </c>
      <c r="M504" s="2">
        <f t="shared" ca="1" si="445"/>
        <v>-1.8852477639292483E-2</v>
      </c>
      <c r="N504" s="2">
        <f t="shared" ca="1" si="446"/>
        <v>-1.8852477639292483E-2</v>
      </c>
      <c r="O504" s="2">
        <f t="shared" si="447"/>
        <v>6000000</v>
      </c>
      <c r="P504" s="2">
        <f t="shared" ca="1" si="448"/>
        <v>43970796.213502422</v>
      </c>
      <c r="Q504" s="2">
        <f t="shared" ca="1" si="449"/>
        <v>1099269.9053375607</v>
      </c>
      <c r="R504" s="2">
        <f t="shared" ca="1" si="450"/>
        <v>26382477.728101451</v>
      </c>
      <c r="S504" s="2">
        <f t="shared" ca="1" si="451"/>
        <v>17588318.485400971</v>
      </c>
      <c r="T504" s="2">
        <f t="shared" ca="1" si="452"/>
        <v>49057376.118035376</v>
      </c>
      <c r="U504" s="2">
        <f t="shared" ca="1" si="453"/>
        <v>49351972.408325411</v>
      </c>
      <c r="V504" s="2">
        <f t="shared" ca="1" si="454"/>
        <v>49648337.789853506</v>
      </c>
      <c r="W504" s="2">
        <f t="shared" ca="1" si="455"/>
        <v>49946482.886255838</v>
      </c>
      <c r="X504" s="2">
        <f t="shared" ca="1" si="456"/>
        <v>50246418.384964995</v>
      </c>
      <c r="Y504" s="2">
        <f t="shared" ca="1" si="457"/>
        <v>0.124602933965186</v>
      </c>
      <c r="Z504" s="2">
        <f t="shared" ca="1" si="458"/>
        <v>0.1264441075512604</v>
      </c>
      <c r="AA504" s="2">
        <f t="shared" ca="1" si="459"/>
        <v>6112692.9969408549</v>
      </c>
      <c r="AB504" s="2">
        <f t="shared" ca="1" si="460"/>
        <v>6240266.1070651338</v>
      </c>
      <c r="AC504" s="2">
        <f t="shared" ca="1" si="461"/>
        <v>6277739.7632415425</v>
      </c>
      <c r="AD504" s="2">
        <f t="shared" ca="1" si="462"/>
        <v>6315438.45387692</v>
      </c>
      <c r="AE504" s="2">
        <f t="shared" ca="1" si="463"/>
        <v>6353363.530334142</v>
      </c>
      <c r="AF504" s="2">
        <f t="shared" ca="1" si="464"/>
        <v>981147.52236070752</v>
      </c>
      <c r="AG504" s="2">
        <f t="shared" ca="1" si="465"/>
        <v>987039.44816650823</v>
      </c>
      <c r="AH504" s="2">
        <f t="shared" ca="1" si="466"/>
        <v>992966.7557970701</v>
      </c>
      <c r="AI504" s="2">
        <f t="shared" ca="1" si="467"/>
        <v>998929.65772511682</v>
      </c>
      <c r="AJ504" s="2">
        <f t="shared" ca="1" si="468"/>
        <v>1004928.3676992999</v>
      </c>
      <c r="AK504" s="2">
        <f t="shared" ca="1" si="469"/>
        <v>0</v>
      </c>
      <c r="AL504" s="2">
        <f t="shared" ca="1" si="470"/>
        <v>2945.9629029003531</v>
      </c>
      <c r="AM504" s="2">
        <f t="shared" ca="1" si="471"/>
        <v>2963.6538152809439</v>
      </c>
      <c r="AN504" s="2">
        <f t="shared" ca="1" si="472"/>
        <v>2981.4509640233218</v>
      </c>
      <c r="AO504" s="2">
        <f t="shared" ca="1" si="473"/>
        <v>2999.3549870915713</v>
      </c>
      <c r="AP504" s="2">
        <f t="shared" ca="1" si="474"/>
        <v>2374422.9955291306</v>
      </c>
      <c r="AQ504" s="2">
        <f t="shared" ca="1" si="475"/>
        <v>716851.84455326432</v>
      </c>
      <c r="AR504" s="2">
        <f t="shared" ca="1" si="476"/>
        <v>748488.95247606875</v>
      </c>
      <c r="AS504" s="2">
        <f t="shared" ca="1" si="477"/>
        <v>756691.00309798878</v>
      </c>
      <c r="AT504" s="2">
        <f t="shared" ca="1" si="478"/>
        <v>764942.30816189479</v>
      </c>
      <c r="AU504" s="2">
        <f t="shared" ca="1" si="479"/>
        <v>773243.16344748507</v>
      </c>
      <c r="AV504" s="2">
        <f t="shared" ca="1" si="480"/>
        <v>2040270.6344977519</v>
      </c>
      <c r="AW504" s="2">
        <f t="shared" ca="1" si="481"/>
        <v>2127368.7479905258</v>
      </c>
      <c r="AX504" s="2">
        <f t="shared" ca="1" si="482"/>
        <v>2150695.3550020722</v>
      </c>
      <c r="AY504" s="2">
        <f t="shared" ca="1" si="483"/>
        <v>2174162.0414967542</v>
      </c>
      <c r="AZ504" s="2">
        <f t="shared" ca="1" si="484"/>
        <v>2197769.6486711348</v>
      </c>
      <c r="BA504" s="2">
        <f t="shared" ca="1" si="485"/>
        <v>49279313.396498531</v>
      </c>
      <c r="BB504" s="2">
        <f t="shared" ca="1" si="486"/>
        <v>985586.26792997064</v>
      </c>
      <c r="BC504" s="2">
        <f t="shared" ca="1" si="487"/>
        <v>21911249.400467109</v>
      </c>
      <c r="BD504" s="2">
        <f t="shared" ca="1" si="488"/>
        <v>-19187588.390738532</v>
      </c>
      <c r="BE504" s="2">
        <f t="shared" ca="1" si="489"/>
        <v>2040270.6344977519</v>
      </c>
      <c r="BF504" s="2">
        <f t="shared" ca="1" si="490"/>
        <v>2127368.7479905258</v>
      </c>
      <c r="BG504" s="2">
        <f t="shared" ca="1" si="491"/>
        <v>2150695.3550020722</v>
      </c>
      <c r="BH504" s="2">
        <f t="shared" ca="1" si="492"/>
        <v>2174162.0414967542</v>
      </c>
      <c r="BI504" s="2">
        <f t="shared" ca="1" si="493"/>
        <v>24109019.049138244</v>
      </c>
      <c r="BJ504" s="2">
        <f t="shared" ca="1" si="494"/>
        <v>0.13273778222079557</v>
      </c>
      <c r="BK504" s="2">
        <f t="shared" ca="1" si="495"/>
        <v>922653.78884547949</v>
      </c>
    </row>
    <row r="505" spans="1:63" x14ac:dyDescent="0.3">
      <c r="A505" s="2">
        <v>504</v>
      </c>
      <c r="B505" s="2">
        <f t="shared" ca="1" si="434"/>
        <v>0.50090914703614331</v>
      </c>
      <c r="C505" s="2">
        <f t="shared" ca="1" si="435"/>
        <v>7.0009095606864644</v>
      </c>
      <c r="D505" s="2">
        <f t="shared" ca="1" si="436"/>
        <v>0.88442986916454702</v>
      </c>
      <c r="E505" s="2">
        <f t="shared" ca="1" si="437"/>
        <v>8.0192295124792849</v>
      </c>
      <c r="F505" s="2">
        <f t="shared" ca="1" si="438"/>
        <v>8.0107462866033874E-2</v>
      </c>
      <c r="G505" s="2">
        <f t="shared" ca="1" si="439"/>
        <v>-2.1304724164002628E-3</v>
      </c>
      <c r="H505" s="2">
        <f t="shared" ca="1" si="440"/>
        <v>-2.1304724164002628E-3</v>
      </c>
      <c r="I505" s="2">
        <f t="shared" ca="1" si="441"/>
        <v>0.37247590699331412</v>
      </c>
      <c r="J505" s="2">
        <f t="shared" ca="1" si="442"/>
        <v>8.3734853529295068E-3</v>
      </c>
      <c r="K505" s="2">
        <f t="shared" ca="1" si="443"/>
        <v>8.3734853529295068E-3</v>
      </c>
      <c r="L505" s="2">
        <f t="shared" ca="1" si="444"/>
        <v>0.93782787769515608</v>
      </c>
      <c r="M505" s="2">
        <f t="shared" ca="1" si="445"/>
        <v>3.0735840694963788E-2</v>
      </c>
      <c r="N505" s="2">
        <f t="shared" ca="1" si="446"/>
        <v>3.0735840694963788E-2</v>
      </c>
      <c r="O505" s="2">
        <f t="shared" si="447"/>
        <v>6000000</v>
      </c>
      <c r="P505" s="2">
        <f t="shared" ca="1" si="448"/>
        <v>42005457.364118785</v>
      </c>
      <c r="Q505" s="2">
        <f t="shared" ca="1" si="449"/>
        <v>1050136.4341029697</v>
      </c>
      <c r="R505" s="2">
        <f t="shared" ca="1" si="450"/>
        <v>25203274.418471269</v>
      </c>
      <c r="S505" s="2">
        <f t="shared" ca="1" si="451"/>
        <v>16802182.945647515</v>
      </c>
      <c r="T505" s="2">
        <f t="shared" ca="1" si="452"/>
        <v>51536792.034748189</v>
      </c>
      <c r="U505" s="2">
        <f t="shared" ca="1" si="453"/>
        <v>51426994.3208884</v>
      </c>
      <c r="V505" s="2">
        <f t="shared" ca="1" si="454"/>
        <v>51317430.528029375</v>
      </c>
      <c r="W505" s="2">
        <f t="shared" ca="1" si="455"/>
        <v>51208100.15780887</v>
      </c>
      <c r="X505" s="2">
        <f t="shared" ca="1" si="456"/>
        <v>51099002.712926395</v>
      </c>
      <c r="Y505" s="2">
        <f t="shared" ca="1" si="457"/>
        <v>0.12418674267646475</v>
      </c>
      <c r="Z505" s="2">
        <f t="shared" ca="1" si="458"/>
        <v>0.12586143974705066</v>
      </c>
      <c r="AA505" s="2">
        <f t="shared" ca="1" si="459"/>
        <v>6400186.3307897514</v>
      </c>
      <c r="AB505" s="2">
        <f t="shared" ca="1" si="460"/>
        <v>6472675.5470904121</v>
      </c>
      <c r="AC505" s="2">
        <f t="shared" ca="1" si="461"/>
        <v>6458885.6903770277</v>
      </c>
      <c r="AD505" s="2">
        <f t="shared" ca="1" si="462"/>
        <v>6445125.2125729965</v>
      </c>
      <c r="AE505" s="2">
        <f t="shared" ca="1" si="463"/>
        <v>6431394.0510873636</v>
      </c>
      <c r="AF505" s="2">
        <f t="shared" ca="1" si="464"/>
        <v>1030735.8406949638</v>
      </c>
      <c r="AG505" s="2">
        <f t="shared" ca="1" si="465"/>
        <v>1028539.8864177681</v>
      </c>
      <c r="AH505" s="2">
        <f t="shared" ca="1" si="466"/>
        <v>1026348.6105605875</v>
      </c>
      <c r="AI505" s="2">
        <f t="shared" ca="1" si="467"/>
        <v>1024162.0031561775</v>
      </c>
      <c r="AJ505" s="2">
        <f t="shared" ca="1" si="468"/>
        <v>1021980.0542585279</v>
      </c>
      <c r="AK505" s="2">
        <f t="shared" ca="1" si="469"/>
        <v>0</v>
      </c>
      <c r="AL505" s="2">
        <f t="shared" ca="1" si="470"/>
        <v>0</v>
      </c>
      <c r="AM505" s="2">
        <f t="shared" ca="1" si="471"/>
        <v>0</v>
      </c>
      <c r="AN505" s="2">
        <f t="shared" ca="1" si="472"/>
        <v>0</v>
      </c>
      <c r="AO505" s="2">
        <f t="shared" ca="1" si="473"/>
        <v>0</v>
      </c>
      <c r="AP505" s="2">
        <f t="shared" ca="1" si="474"/>
        <v>2268294.6976624141</v>
      </c>
      <c r="AQ505" s="2">
        <f t="shared" ca="1" si="475"/>
        <v>806300.50603241706</v>
      </c>
      <c r="AR505" s="2">
        <f t="shared" ca="1" si="476"/>
        <v>825718.65038265986</v>
      </c>
      <c r="AS505" s="2">
        <f t="shared" ca="1" si="477"/>
        <v>822703.01936004683</v>
      </c>
      <c r="AT505" s="2">
        <f t="shared" ca="1" si="478"/>
        <v>819693.81305614521</v>
      </c>
      <c r="AU505" s="2">
        <f t="shared" ca="1" si="479"/>
        <v>816691.01778326964</v>
      </c>
      <c r="AV505" s="2">
        <f t="shared" ca="1" si="480"/>
        <v>2294855.2863999559</v>
      </c>
      <c r="AW505" s="2">
        <f t="shared" ca="1" si="481"/>
        <v>2350122.3126275698</v>
      </c>
      <c r="AX505" s="2">
        <f t="shared" ca="1" si="482"/>
        <v>2341539.3627939792</v>
      </c>
      <c r="AY505" s="2">
        <f t="shared" ca="1" si="483"/>
        <v>2332974.6986982599</v>
      </c>
      <c r="AZ505" s="2">
        <f t="shared" ca="1" si="484"/>
        <v>2324428.2813831521</v>
      </c>
      <c r="BA505" s="2">
        <f t="shared" ca="1" si="485"/>
        <v>51574824.980863489</v>
      </c>
      <c r="BB505" s="2">
        <f t="shared" ca="1" si="486"/>
        <v>1031496.4996172698</v>
      </c>
      <c r="BC505" s="2">
        <f t="shared" ca="1" si="487"/>
        <v>25340054.062774949</v>
      </c>
      <c r="BD505" s="2">
        <f t="shared" ca="1" si="488"/>
        <v>-18352319.379750486</v>
      </c>
      <c r="BE505" s="2">
        <f t="shared" ca="1" si="489"/>
        <v>2294855.2863999559</v>
      </c>
      <c r="BF505" s="2">
        <f t="shared" ca="1" si="490"/>
        <v>2350122.3126275698</v>
      </c>
      <c r="BG505" s="2">
        <f t="shared" ca="1" si="491"/>
        <v>2341539.3627939792</v>
      </c>
      <c r="BH505" s="2">
        <f t="shared" ca="1" si="492"/>
        <v>2332974.6986982599</v>
      </c>
      <c r="BI505" s="2">
        <f t="shared" ca="1" si="493"/>
        <v>27664482.344158102</v>
      </c>
      <c r="BJ505" s="2">
        <f t="shared" ca="1" si="494"/>
        <v>0.18001812880181434</v>
      </c>
      <c r="BK505" s="2">
        <f t="shared" ca="1" si="495"/>
        <v>4417040.970684424</v>
      </c>
    </row>
    <row r="506" spans="1:63" x14ac:dyDescent="0.3">
      <c r="A506" s="2">
        <v>505</v>
      </c>
      <c r="B506" s="2">
        <f t="shared" ca="1" si="434"/>
        <v>0.20974161894502541</v>
      </c>
      <c r="C506" s="2">
        <f t="shared" ca="1" si="435"/>
        <v>6.647675256505952</v>
      </c>
      <c r="D506" s="2">
        <f t="shared" ca="1" si="436"/>
        <v>0.60002607860567692</v>
      </c>
      <c r="E506" s="2">
        <f t="shared" ca="1" si="437"/>
        <v>7.6056019662428556</v>
      </c>
      <c r="F506" s="2">
        <f t="shared" ca="1" si="438"/>
        <v>0.47569394719557123</v>
      </c>
      <c r="G506" s="2">
        <f t="shared" ca="1" si="439"/>
        <v>3.817108055936614E-2</v>
      </c>
      <c r="H506" s="2">
        <f t="shared" ca="1" si="440"/>
        <v>3.817108055936614E-2</v>
      </c>
      <c r="I506" s="2">
        <f t="shared" ca="1" si="441"/>
        <v>0.72622238866689726</v>
      </c>
      <c r="J506" s="2">
        <f t="shared" ca="1" si="442"/>
        <v>1.3007137982202495E-2</v>
      </c>
      <c r="K506" s="2">
        <f t="shared" ca="1" si="443"/>
        <v>1.3007137982202495E-2</v>
      </c>
      <c r="L506" s="2">
        <f t="shared" ca="1" si="444"/>
        <v>0.70571327611767387</v>
      </c>
      <c r="M506" s="2">
        <f t="shared" ca="1" si="445"/>
        <v>1.0818088877055128E-2</v>
      </c>
      <c r="N506" s="2">
        <f t="shared" ca="1" si="446"/>
        <v>1.0818088877055128E-2</v>
      </c>
      <c r="O506" s="2">
        <f t="shared" si="447"/>
        <v>6000000</v>
      </c>
      <c r="P506" s="2">
        <f t="shared" ca="1" si="448"/>
        <v>39886051.539035715</v>
      </c>
      <c r="Q506" s="2">
        <f t="shared" ca="1" si="449"/>
        <v>997151.28847589297</v>
      </c>
      <c r="R506" s="2">
        <f t="shared" ca="1" si="450"/>
        <v>23931630.923421428</v>
      </c>
      <c r="S506" s="2">
        <f t="shared" ca="1" si="451"/>
        <v>15954420.615614288</v>
      </c>
      <c r="T506" s="2">
        <f t="shared" ca="1" si="452"/>
        <v>50540904.443852752</v>
      </c>
      <c r="U506" s="2">
        <f t="shared" ca="1" si="453"/>
        <v>52470105.378922284</v>
      </c>
      <c r="V506" s="2">
        <f t="shared" ca="1" si="454"/>
        <v>54472945.998299561</v>
      </c>
      <c r="W506" s="2">
        <f t="shared" ca="1" si="455"/>
        <v>56552237.208306663</v>
      </c>
      <c r="X506" s="2">
        <f t="shared" ca="1" si="456"/>
        <v>58710897.210597329</v>
      </c>
      <c r="Y506" s="2">
        <f t="shared" ca="1" si="457"/>
        <v>0.12650356899110124</v>
      </c>
      <c r="Z506" s="2">
        <f t="shared" ca="1" si="458"/>
        <v>0.12910499658754174</v>
      </c>
      <c r="AA506" s="2">
        <f t="shared" ca="1" si="459"/>
        <v>6393604.7921855822</v>
      </c>
      <c r="AB506" s="2">
        <f t="shared" ca="1" si="460"/>
        <v>6774152.7758937171</v>
      </c>
      <c r="AC506" s="2">
        <f t="shared" ca="1" si="461"/>
        <v>7032729.5072238101</v>
      </c>
      <c r="AD506" s="2">
        <f t="shared" ca="1" si="462"/>
        <v>7301176.3917962825</v>
      </c>
      <c r="AE506" s="2">
        <f t="shared" ca="1" si="463"/>
        <v>7579870.1840256816</v>
      </c>
      <c r="AF506" s="2">
        <f t="shared" ca="1" si="464"/>
        <v>1010818.0888770551</v>
      </c>
      <c r="AG506" s="2">
        <f t="shared" ca="1" si="465"/>
        <v>1049402.1075784457</v>
      </c>
      <c r="AH506" s="2">
        <f t="shared" ca="1" si="466"/>
        <v>1089458.9199659913</v>
      </c>
      <c r="AI506" s="2">
        <f t="shared" ca="1" si="467"/>
        <v>1131044.7441661332</v>
      </c>
      <c r="AJ506" s="2">
        <f t="shared" ca="1" si="468"/>
        <v>1174217.9442119466</v>
      </c>
      <c r="AK506" s="2">
        <f t="shared" ca="1" si="469"/>
        <v>0</v>
      </c>
      <c r="AL506" s="2">
        <f t="shared" ca="1" si="470"/>
        <v>19292.009350695313</v>
      </c>
      <c r="AM506" s="2">
        <f t="shared" ca="1" si="471"/>
        <v>20028.406193772778</v>
      </c>
      <c r="AN506" s="2">
        <f t="shared" ca="1" si="472"/>
        <v>20792.912100071015</v>
      </c>
      <c r="AO506" s="2">
        <f t="shared" ca="1" si="473"/>
        <v>21586.600022906663</v>
      </c>
      <c r="AP506" s="2">
        <f t="shared" ca="1" si="474"/>
        <v>2153846.7831079285</v>
      </c>
      <c r="AQ506" s="2">
        <f t="shared" ca="1" si="475"/>
        <v>839524.37925215578</v>
      </c>
      <c r="AR506" s="2">
        <f t="shared" ca="1" si="476"/>
        <v>928435.0101539091</v>
      </c>
      <c r="AS506" s="2">
        <f t="shared" ca="1" si="477"/>
        <v>985250.18907897163</v>
      </c>
      <c r="AT506" s="2">
        <f t="shared" ca="1" si="478"/>
        <v>1044234.0647757775</v>
      </c>
      <c r="AU506" s="2">
        <f t="shared" ca="1" si="479"/>
        <v>1105469.4187435098</v>
      </c>
      <c r="AV506" s="2">
        <f t="shared" ca="1" si="480"/>
        <v>2389415.5409484436</v>
      </c>
      <c r="AW506" s="2">
        <f t="shared" ca="1" si="481"/>
        <v>2623176.8657027376</v>
      </c>
      <c r="AX506" s="2">
        <f t="shared" ca="1" si="482"/>
        <v>2784145.2088771467</v>
      </c>
      <c r="AY506" s="2">
        <f t="shared" ca="1" si="483"/>
        <v>2951257.887646372</v>
      </c>
      <c r="AZ506" s="2">
        <f t="shared" ca="1" si="484"/>
        <v>3124749.4379393901</v>
      </c>
      <c r="BA506" s="2">
        <f t="shared" ca="1" si="485"/>
        <v>57649475.575491317</v>
      </c>
      <c r="BB506" s="2">
        <f t="shared" ca="1" si="486"/>
        <v>1152989.5115098264</v>
      </c>
      <c r="BC506" s="2">
        <f t="shared" ca="1" si="487"/>
        <v>32564855.140560061</v>
      </c>
      <c r="BD506" s="2">
        <f t="shared" ca="1" si="488"/>
        <v>-17451571.904090181</v>
      </c>
      <c r="BE506" s="2">
        <f t="shared" ca="1" si="489"/>
        <v>2389415.5409484436</v>
      </c>
      <c r="BF506" s="2">
        <f t="shared" ca="1" si="490"/>
        <v>2623176.8657027376</v>
      </c>
      <c r="BG506" s="2">
        <f t="shared" ca="1" si="491"/>
        <v>2784145.2088771467</v>
      </c>
      <c r="BH506" s="2">
        <f t="shared" ca="1" si="492"/>
        <v>2951257.887646372</v>
      </c>
      <c r="BI506" s="2">
        <f t="shared" ca="1" si="493"/>
        <v>35689604.578499451</v>
      </c>
      <c r="BJ506" s="2">
        <f t="shared" ca="1" si="494"/>
        <v>0.258174419277724</v>
      </c>
      <c r="BK506" s="2">
        <f t="shared" ca="1" si="495"/>
        <v>10881532.782146476</v>
      </c>
    </row>
    <row r="507" spans="1:63" x14ac:dyDescent="0.3">
      <c r="A507" s="2">
        <v>506</v>
      </c>
      <c r="B507" s="2">
        <f t="shared" ca="1" si="434"/>
        <v>0.46338409358500166</v>
      </c>
      <c r="C507" s="2">
        <f t="shared" ca="1" si="435"/>
        <v>6.962688000948388</v>
      </c>
      <c r="D507" s="2">
        <f t="shared" ca="1" si="436"/>
        <v>0.84856200574054752</v>
      </c>
      <c r="E507" s="2">
        <f t="shared" ca="1" si="437"/>
        <v>7.9496582984009798</v>
      </c>
      <c r="F507" s="2">
        <f t="shared" ca="1" si="438"/>
        <v>0.97253569357728431</v>
      </c>
      <c r="G507" s="2">
        <f t="shared" ca="1" si="439"/>
        <v>9.758321422273139E-2</v>
      </c>
      <c r="H507" s="2">
        <f t="shared" ca="1" si="440"/>
        <v>9.758321422273139E-2</v>
      </c>
      <c r="I507" s="2">
        <f t="shared" ca="1" si="441"/>
        <v>0.16939304861144955</v>
      </c>
      <c r="J507" s="2">
        <f t="shared" ca="1" si="442"/>
        <v>5.2171674298933162E-3</v>
      </c>
      <c r="K507" s="2">
        <f t="shared" ca="1" si="443"/>
        <v>5.2171674298933162E-3</v>
      </c>
      <c r="L507" s="2">
        <f t="shared" ca="1" si="444"/>
        <v>0.21674089896317816</v>
      </c>
      <c r="M507" s="2">
        <f t="shared" ca="1" si="445"/>
        <v>-1.5664949603621626E-2</v>
      </c>
      <c r="N507" s="2">
        <f t="shared" ca="1" si="446"/>
        <v>-1.5664949603621626E-2</v>
      </c>
      <c r="O507" s="2">
        <f t="shared" si="447"/>
        <v>6000000</v>
      </c>
      <c r="P507" s="2">
        <f t="shared" ca="1" si="448"/>
        <v>41776128.005690329</v>
      </c>
      <c r="Q507" s="2">
        <f t="shared" ca="1" si="449"/>
        <v>1044403.2001422583</v>
      </c>
      <c r="R507" s="2">
        <f t="shared" ca="1" si="450"/>
        <v>25065676.803414196</v>
      </c>
      <c r="S507" s="2">
        <f t="shared" ca="1" si="451"/>
        <v>16710451.202276133</v>
      </c>
      <c r="T507" s="2">
        <f t="shared" ca="1" si="452"/>
        <v>49216752.519818917</v>
      </c>
      <c r="U507" s="2">
        <f t="shared" ca="1" si="453"/>
        <v>54019481.424307555</v>
      </c>
      <c r="V507" s="2">
        <f t="shared" ca="1" si="454"/>
        <v>59290876.052336611</v>
      </c>
      <c r="W507" s="2">
        <f t="shared" ca="1" si="455"/>
        <v>65076670.311605185</v>
      </c>
      <c r="X507" s="2">
        <f t="shared" ca="1" si="456"/>
        <v>71427060.971524611</v>
      </c>
      <c r="Y507" s="2">
        <f t="shared" ca="1" si="457"/>
        <v>0.12260858371494665</v>
      </c>
      <c r="Z507" s="2">
        <f t="shared" ca="1" si="458"/>
        <v>0.12365201720092532</v>
      </c>
      <c r="AA507" s="2">
        <f t="shared" ca="1" si="459"/>
        <v>6034396.3215040294</v>
      </c>
      <c r="AB507" s="2">
        <f t="shared" ca="1" si="460"/>
        <v>6679617.8462635437</v>
      </c>
      <c r="AC507" s="2">
        <f t="shared" ca="1" si="461"/>
        <v>7331436.4254814582</v>
      </c>
      <c r="AD507" s="2">
        <f t="shared" ca="1" si="462"/>
        <v>8046861.5567495506</v>
      </c>
      <c r="AE507" s="2">
        <f t="shared" ca="1" si="463"/>
        <v>8832100.1718625035</v>
      </c>
      <c r="AF507" s="2">
        <f t="shared" ca="1" si="464"/>
        <v>984335.05039637838</v>
      </c>
      <c r="AG507" s="2">
        <f t="shared" ca="1" si="465"/>
        <v>1080389.6284861511</v>
      </c>
      <c r="AH507" s="2">
        <f t="shared" ca="1" si="466"/>
        <v>1185817.5210467323</v>
      </c>
      <c r="AI507" s="2">
        <f t="shared" ca="1" si="467"/>
        <v>1301533.4062321037</v>
      </c>
      <c r="AJ507" s="2">
        <f t="shared" ca="1" si="468"/>
        <v>1428541.2194304923</v>
      </c>
      <c r="AK507" s="2">
        <f t="shared" ca="1" si="469"/>
        <v>0</v>
      </c>
      <c r="AL507" s="2">
        <f t="shared" ca="1" si="470"/>
        <v>48027.289044886384</v>
      </c>
      <c r="AM507" s="2">
        <f t="shared" ca="1" si="471"/>
        <v>52713.946280290562</v>
      </c>
      <c r="AN507" s="2">
        <f t="shared" ca="1" si="472"/>
        <v>57857.942592685744</v>
      </c>
      <c r="AO507" s="2">
        <f t="shared" ca="1" si="473"/>
        <v>63503.906599194263</v>
      </c>
      <c r="AP507" s="2">
        <f t="shared" ca="1" si="474"/>
        <v>2255910.9123072773</v>
      </c>
      <c r="AQ507" s="2">
        <f t="shared" ca="1" si="475"/>
        <v>726479.0932880973</v>
      </c>
      <c r="AR507" s="2">
        <f t="shared" ca="1" si="476"/>
        <v>869262.49942223006</v>
      </c>
      <c r="AS507" s="2">
        <f t="shared" ca="1" si="477"/>
        <v>1011324.0779531366</v>
      </c>
      <c r="AT507" s="2">
        <f t="shared" ca="1" si="478"/>
        <v>1167248.481934644</v>
      </c>
      <c r="AU507" s="2">
        <f t="shared" ca="1" si="479"/>
        <v>1338388.4904324308</v>
      </c>
      <c r="AV507" s="2">
        <f t="shared" ca="1" si="480"/>
        <v>2067671.2655122764</v>
      </c>
      <c r="AW507" s="2">
        <f t="shared" ca="1" si="481"/>
        <v>2426027.5170029989</v>
      </c>
      <c r="AX507" s="2">
        <f t="shared" ca="1" si="482"/>
        <v>2825669.9678940214</v>
      </c>
      <c r="AY507" s="2">
        <f t="shared" ca="1" si="483"/>
        <v>3264310.8136828393</v>
      </c>
      <c r="AZ507" s="2">
        <f t="shared" ca="1" si="484"/>
        <v>3745755.6430931091</v>
      </c>
      <c r="BA507" s="2">
        <f t="shared" ca="1" si="485"/>
        <v>70212178.423555478</v>
      </c>
      <c r="BB507" s="2">
        <f t="shared" ca="1" si="486"/>
        <v>1404243.5684711095</v>
      </c>
      <c r="BC507" s="2">
        <f t="shared" ca="1" si="487"/>
        <v>43742258.051670171</v>
      </c>
      <c r="BD507" s="2">
        <f t="shared" ca="1" si="488"/>
        <v>-18254854.40241839</v>
      </c>
      <c r="BE507" s="2">
        <f t="shared" ca="1" si="489"/>
        <v>2067671.2655122764</v>
      </c>
      <c r="BF507" s="2">
        <f t="shared" ca="1" si="490"/>
        <v>2426027.5170029989</v>
      </c>
      <c r="BG507" s="2">
        <f t="shared" ca="1" si="491"/>
        <v>2825669.9678940214</v>
      </c>
      <c r="BH507" s="2">
        <f t="shared" ca="1" si="492"/>
        <v>3264310.8136828393</v>
      </c>
      <c r="BI507" s="2">
        <f t="shared" ca="1" si="493"/>
        <v>47488013.69476328</v>
      </c>
      <c r="BJ507" s="2">
        <f t="shared" ca="1" si="494"/>
        <v>0.29983357347010964</v>
      </c>
      <c r="BK507" s="2">
        <f t="shared" ca="1" si="495"/>
        <v>16557053.84015546</v>
      </c>
    </row>
    <row r="508" spans="1:63" x14ac:dyDescent="0.3">
      <c r="A508" s="2">
        <v>507</v>
      </c>
      <c r="B508" s="2">
        <f t="shared" ca="1" si="434"/>
        <v>0.98447237120849129</v>
      </c>
      <c r="C508" s="2">
        <f t="shared" ca="1" si="435"/>
        <v>7.8237749802581442</v>
      </c>
      <c r="D508" s="2">
        <f t="shared" ca="1" si="436"/>
        <v>0.76943129690399059</v>
      </c>
      <c r="E508" s="2">
        <f t="shared" ca="1" si="437"/>
        <v>7.8209290124059052</v>
      </c>
      <c r="F508" s="2">
        <f t="shared" ca="1" si="438"/>
        <v>0.25308458044221938</v>
      </c>
      <c r="G508" s="2">
        <f t="shared" ca="1" si="439"/>
        <v>2.0055565642023418E-2</v>
      </c>
      <c r="H508" s="2">
        <f t="shared" ca="1" si="440"/>
        <v>2.0055565642023418E-2</v>
      </c>
      <c r="I508" s="2">
        <f t="shared" ca="1" si="441"/>
        <v>0.38845394200602212</v>
      </c>
      <c r="J508" s="2">
        <f t="shared" ca="1" si="442"/>
        <v>8.5832456388664907E-3</v>
      </c>
      <c r="K508" s="2">
        <f t="shared" ca="1" si="443"/>
        <v>8.5832456388664907E-3</v>
      </c>
      <c r="L508" s="2">
        <f t="shared" ca="1" si="444"/>
        <v>0.3227458168502001</v>
      </c>
      <c r="M508" s="2">
        <f t="shared" ca="1" si="445"/>
        <v>-9.200685083843755E-3</v>
      </c>
      <c r="N508" s="2">
        <f t="shared" ca="1" si="446"/>
        <v>-9.200685083843755E-3</v>
      </c>
      <c r="O508" s="2">
        <f t="shared" si="447"/>
        <v>6000000</v>
      </c>
      <c r="P508" s="2">
        <f t="shared" ca="1" si="448"/>
        <v>46942649.881548867</v>
      </c>
      <c r="Q508" s="2">
        <f t="shared" ca="1" si="449"/>
        <v>1173566.2470387218</v>
      </c>
      <c r="R508" s="2">
        <f t="shared" ca="1" si="450"/>
        <v>28165589.928929318</v>
      </c>
      <c r="S508" s="2">
        <f t="shared" ca="1" si="451"/>
        <v>18777059.952619549</v>
      </c>
      <c r="T508" s="2">
        <f t="shared" ca="1" si="452"/>
        <v>49539965.745807812</v>
      </c>
      <c r="U508" s="2">
        <f t="shared" ca="1" si="453"/>
        <v>50533517.780726448</v>
      </c>
      <c r="V508" s="2">
        <f t="shared" ca="1" si="454"/>
        <v>51546996.063700162</v>
      </c>
      <c r="W508" s="2">
        <f t="shared" ca="1" si="455"/>
        <v>52580800.226904824</v>
      </c>
      <c r="X508" s="2">
        <f t="shared" ca="1" si="456"/>
        <v>53635337.917365633</v>
      </c>
      <c r="Y508" s="2">
        <f t="shared" ca="1" si="457"/>
        <v>0.12429162281943323</v>
      </c>
      <c r="Z508" s="2">
        <f t="shared" ca="1" si="458"/>
        <v>0.12600827194720654</v>
      </c>
      <c r="AA508" s="2">
        <f t="shared" ca="1" si="459"/>
        <v>6157402.7369655874</v>
      </c>
      <c r="AB508" s="2">
        <f t="shared" ca="1" si="460"/>
        <v>6367641.2509627752</v>
      </c>
      <c r="AC508" s="2">
        <f t="shared" ca="1" si="461"/>
        <v>6495347.8980563153</v>
      </c>
      <c r="AD508" s="2">
        <f t="shared" ca="1" si="462"/>
        <v>6625615.7741935626</v>
      </c>
      <c r="AE508" s="2">
        <f t="shared" ca="1" si="463"/>
        <v>6758496.2462717276</v>
      </c>
      <c r="AF508" s="2">
        <f t="shared" ca="1" si="464"/>
        <v>990799.31491615623</v>
      </c>
      <c r="AG508" s="2">
        <f t="shared" ca="1" si="465"/>
        <v>1010670.355614529</v>
      </c>
      <c r="AH508" s="2">
        <f t="shared" ca="1" si="466"/>
        <v>1030939.9212740032</v>
      </c>
      <c r="AI508" s="2">
        <f t="shared" ca="1" si="467"/>
        <v>1051616.0045380965</v>
      </c>
      <c r="AJ508" s="2">
        <f t="shared" ca="1" si="468"/>
        <v>1072706.7583473127</v>
      </c>
      <c r="AK508" s="2">
        <f t="shared" ca="1" si="469"/>
        <v>0</v>
      </c>
      <c r="AL508" s="2">
        <f t="shared" ca="1" si="470"/>
        <v>9935.5203491863613</v>
      </c>
      <c r="AM508" s="2">
        <f t="shared" ca="1" si="471"/>
        <v>10134.782829737142</v>
      </c>
      <c r="AN508" s="2">
        <f t="shared" ca="1" si="472"/>
        <v>10338.041632046625</v>
      </c>
      <c r="AO508" s="2">
        <f t="shared" ca="1" si="473"/>
        <v>10545.376904608085</v>
      </c>
      <c r="AP508" s="2">
        <f t="shared" ca="1" si="474"/>
        <v>2534903.0936036385</v>
      </c>
      <c r="AQ508" s="2">
        <f t="shared" ca="1" si="475"/>
        <v>684242.08539590612</v>
      </c>
      <c r="AR508" s="2">
        <f t="shared" ca="1" si="476"/>
        <v>733737.62845359801</v>
      </c>
      <c r="AS508" s="2">
        <f t="shared" ca="1" si="477"/>
        <v>761671.26962645503</v>
      </c>
      <c r="AT508" s="2">
        <f t="shared" ca="1" si="478"/>
        <v>790165.13577347517</v>
      </c>
      <c r="AU508" s="2">
        <f t="shared" ca="1" si="479"/>
        <v>819230.46252340183</v>
      </c>
      <c r="AV508" s="2">
        <f t="shared" ca="1" si="480"/>
        <v>1947458.2430498865</v>
      </c>
      <c r="AW508" s="2">
        <f t="shared" ca="1" si="481"/>
        <v>2078394.6529418235</v>
      </c>
      <c r="AX508" s="2">
        <f t="shared" ca="1" si="482"/>
        <v>2157698.8307224805</v>
      </c>
      <c r="AY508" s="2">
        <f t="shared" ca="1" si="483"/>
        <v>2238593.4986463054</v>
      </c>
      <c r="AZ508" s="2">
        <f t="shared" ca="1" si="484"/>
        <v>2321110.5548927668</v>
      </c>
      <c r="BA508" s="2">
        <f t="shared" ca="1" si="485"/>
        <v>52857719.372702964</v>
      </c>
      <c r="BB508" s="2">
        <f t="shared" ca="1" si="486"/>
        <v>1057154.3874540592</v>
      </c>
      <c r="BC508" s="2">
        <f t="shared" ca="1" si="487"/>
        <v>23634975.056319587</v>
      </c>
      <c r="BD508" s="2">
        <f t="shared" ca="1" si="488"/>
        <v>-20450626.199658271</v>
      </c>
      <c r="BE508" s="2">
        <f t="shared" ca="1" si="489"/>
        <v>1947458.2430498865</v>
      </c>
      <c r="BF508" s="2">
        <f t="shared" ca="1" si="490"/>
        <v>2078394.6529418235</v>
      </c>
      <c r="BG508" s="2">
        <f t="shared" ca="1" si="491"/>
        <v>2157698.8307224805</v>
      </c>
      <c r="BH508" s="2">
        <f t="shared" ca="1" si="492"/>
        <v>2238593.4986463054</v>
      </c>
      <c r="BI508" s="2">
        <f t="shared" ca="1" si="493"/>
        <v>25956085.611212354</v>
      </c>
      <c r="BJ508" s="2">
        <f t="shared" ca="1" si="494"/>
        <v>0.1281135553683046</v>
      </c>
      <c r="BK508" s="2">
        <f t="shared" ca="1" si="495"/>
        <v>631713.38768544421</v>
      </c>
    </row>
    <row r="509" spans="1:63" x14ac:dyDescent="0.3">
      <c r="A509" s="2">
        <v>508</v>
      </c>
      <c r="B509" s="2">
        <f t="shared" ca="1" si="434"/>
        <v>0.45139229099700329</v>
      </c>
      <c r="C509" s="2">
        <f t="shared" ca="1" si="435"/>
        <v>6.9501497681913129</v>
      </c>
      <c r="D509" s="2">
        <f t="shared" ca="1" si="436"/>
        <v>3.3733371265100009E-2</v>
      </c>
      <c r="E509" s="2">
        <f t="shared" ca="1" si="437"/>
        <v>6.7597436092191687</v>
      </c>
      <c r="F509" s="2">
        <f t="shared" ca="1" si="438"/>
        <v>0.58898256631706514</v>
      </c>
      <c r="G509" s="2">
        <f t="shared" ca="1" si="439"/>
        <v>4.6747856163310224E-2</v>
      </c>
      <c r="H509" s="2">
        <f t="shared" ca="1" si="440"/>
        <v>4.6747856163310224E-2</v>
      </c>
      <c r="I509" s="2">
        <f t="shared" ca="1" si="441"/>
        <v>0.21323637290791941</v>
      </c>
      <c r="J509" s="2">
        <f t="shared" ca="1" si="442"/>
        <v>6.0237900089427469E-3</v>
      </c>
      <c r="K509" s="2">
        <f t="shared" ca="1" si="443"/>
        <v>6.0237900089427469E-3</v>
      </c>
      <c r="L509" s="2">
        <f t="shared" ca="1" si="444"/>
        <v>0.77102573835169752</v>
      </c>
      <c r="M509" s="2">
        <f t="shared" ca="1" si="445"/>
        <v>1.4844582560897338E-2</v>
      </c>
      <c r="N509" s="2">
        <f t="shared" ca="1" si="446"/>
        <v>1.4844582560897338E-2</v>
      </c>
      <c r="O509" s="2">
        <f t="shared" si="447"/>
        <v>6000000</v>
      </c>
      <c r="P509" s="2">
        <f t="shared" ca="1" si="448"/>
        <v>41700898.609147877</v>
      </c>
      <c r="Q509" s="2">
        <f t="shared" ca="1" si="449"/>
        <v>1042522.4652286969</v>
      </c>
      <c r="R509" s="2">
        <f t="shared" ca="1" si="450"/>
        <v>25020539.165488724</v>
      </c>
      <c r="S509" s="2">
        <f t="shared" ca="1" si="451"/>
        <v>16680359.443659151</v>
      </c>
      <c r="T509" s="2">
        <f t="shared" ca="1" si="452"/>
        <v>50742229.128044866</v>
      </c>
      <c r="U509" s="2">
        <f t="shared" ca="1" si="453"/>
        <v>53114319.55672843</v>
      </c>
      <c r="V509" s="2">
        <f t="shared" ca="1" si="454"/>
        <v>55597300.12757846</v>
      </c>
      <c r="W509" s="2">
        <f t="shared" ca="1" si="455"/>
        <v>58196354.717010878</v>
      </c>
      <c r="X509" s="2">
        <f t="shared" ca="1" si="456"/>
        <v>60916909.536550678</v>
      </c>
      <c r="Y509" s="2">
        <f t="shared" ca="1" si="457"/>
        <v>0.12301189500447136</v>
      </c>
      <c r="Z509" s="2">
        <f t="shared" ca="1" si="458"/>
        <v>0.12421665300625992</v>
      </c>
      <c r="AA509" s="2">
        <f t="shared" ca="1" si="459"/>
        <v>6241897.761791884</v>
      </c>
      <c r="AB509" s="2">
        <f t="shared" ca="1" si="460"/>
        <v>6597683.0020417403</v>
      </c>
      <c r="AC509" s="2">
        <f t="shared" ca="1" si="461"/>
        <v>6906110.5380323036</v>
      </c>
      <c r="AD509" s="2">
        <f t="shared" ca="1" si="462"/>
        <v>7228956.4001121577</v>
      </c>
      <c r="AE509" s="2">
        <f t="shared" ca="1" si="463"/>
        <v>7566894.6141154412</v>
      </c>
      <c r="AF509" s="2">
        <f t="shared" ca="1" si="464"/>
        <v>1014844.5825608973</v>
      </c>
      <c r="AG509" s="2">
        <f t="shared" ca="1" si="465"/>
        <v>1062286.3911345687</v>
      </c>
      <c r="AH509" s="2">
        <f t="shared" ca="1" si="466"/>
        <v>1111946.0025515691</v>
      </c>
      <c r="AI509" s="2">
        <f t="shared" ca="1" si="467"/>
        <v>1163927.0943402175</v>
      </c>
      <c r="AJ509" s="2">
        <f t="shared" ca="1" si="468"/>
        <v>1218338.1907310137</v>
      </c>
      <c r="AK509" s="2">
        <f t="shared" ca="1" si="469"/>
        <v>0</v>
      </c>
      <c r="AL509" s="2">
        <f t="shared" ca="1" si="470"/>
        <v>23720.904286835641</v>
      </c>
      <c r="AM509" s="2">
        <f t="shared" ca="1" si="471"/>
        <v>24829.805708500295</v>
      </c>
      <c r="AN509" s="2">
        <f t="shared" ca="1" si="472"/>
        <v>25990.545894324183</v>
      </c>
      <c r="AO509" s="2">
        <f t="shared" ca="1" si="473"/>
        <v>27205.548195398005</v>
      </c>
      <c r="AP509" s="2">
        <f t="shared" ca="1" si="474"/>
        <v>2251848.5248939851</v>
      </c>
      <c r="AQ509" s="2">
        <f t="shared" ca="1" si="475"/>
        <v>773553.21012762026</v>
      </c>
      <c r="AR509" s="2">
        <f t="shared" ca="1" si="476"/>
        <v>853722.50236342859</v>
      </c>
      <c r="AS509" s="2">
        <f t="shared" ca="1" si="477"/>
        <v>921002.16275255475</v>
      </c>
      <c r="AT509" s="2">
        <f t="shared" ca="1" si="478"/>
        <v>991427.00302826834</v>
      </c>
      <c r="AU509" s="2">
        <f t="shared" ca="1" si="479"/>
        <v>1065144.0536075153</v>
      </c>
      <c r="AV509" s="2">
        <f t="shared" ca="1" si="480"/>
        <v>2201651.444209381</v>
      </c>
      <c r="AW509" s="2">
        <f t="shared" ca="1" si="481"/>
        <v>2406104.6793629229</v>
      </c>
      <c r="AX509" s="2">
        <f t="shared" ca="1" si="482"/>
        <v>2596484.0421256935</v>
      </c>
      <c r="AY509" s="2">
        <f t="shared" ca="1" si="483"/>
        <v>2795763.2319553634</v>
      </c>
      <c r="AZ509" s="2">
        <f t="shared" ca="1" si="484"/>
        <v>3004358.2966875294</v>
      </c>
      <c r="BA509" s="2">
        <f t="shared" ca="1" si="485"/>
        <v>51150267.509401798</v>
      </c>
      <c r="BB509" s="2">
        <f t="shared" ca="1" si="486"/>
        <v>1023005.350188036</v>
      </c>
      <c r="BC509" s="2">
        <f t="shared" ca="1" si="487"/>
        <v>25106722.993725039</v>
      </c>
      <c r="BD509" s="2">
        <f t="shared" ca="1" si="488"/>
        <v>-18222881.908887848</v>
      </c>
      <c r="BE509" s="2">
        <f t="shared" ca="1" si="489"/>
        <v>2201651.444209381</v>
      </c>
      <c r="BF509" s="2">
        <f t="shared" ca="1" si="490"/>
        <v>2406104.6793629229</v>
      </c>
      <c r="BG509" s="2">
        <f t="shared" ca="1" si="491"/>
        <v>2596484.0421256935</v>
      </c>
      <c r="BH509" s="2">
        <f t="shared" ca="1" si="492"/>
        <v>2795763.2319553634</v>
      </c>
      <c r="BI509" s="2">
        <f t="shared" ca="1" si="493"/>
        <v>28111081.290412568</v>
      </c>
      <c r="BJ509" s="2">
        <f t="shared" ca="1" si="494"/>
        <v>0.1906610641007096</v>
      </c>
      <c r="BK509" s="2">
        <f t="shared" ca="1" si="495"/>
        <v>5236876.8275549151</v>
      </c>
    </row>
    <row r="510" spans="1:63" x14ac:dyDescent="0.3">
      <c r="A510" s="2">
        <v>509</v>
      </c>
      <c r="B510" s="2">
        <f t="shared" ca="1" si="434"/>
        <v>0.72613524701671983</v>
      </c>
      <c r="C510" s="2">
        <f t="shared" ca="1" si="435"/>
        <v>7.2599125011415468</v>
      </c>
      <c r="D510" s="2">
        <f t="shared" ca="1" si="436"/>
        <v>0.46313578368654451</v>
      </c>
      <c r="E510" s="2">
        <f t="shared" ca="1" si="437"/>
        <v>7.462430032455913</v>
      </c>
      <c r="F510" s="2">
        <f t="shared" ca="1" si="438"/>
        <v>0.82962834459557178</v>
      </c>
      <c r="G510" s="2">
        <f t="shared" ca="1" si="439"/>
        <v>6.8580927935237401E-2</v>
      </c>
      <c r="H510" s="2">
        <f t="shared" ca="1" si="440"/>
        <v>6.8580927935237401E-2</v>
      </c>
      <c r="I510" s="2">
        <f t="shared" ca="1" si="441"/>
        <v>0.87513931127413624</v>
      </c>
      <c r="J510" s="2">
        <f t="shared" ca="1" si="442"/>
        <v>1.5755131967456242E-2</v>
      </c>
      <c r="K510" s="2">
        <f t="shared" ca="1" si="443"/>
        <v>1.5755131967456242E-2</v>
      </c>
      <c r="L510" s="2">
        <f t="shared" ca="1" si="444"/>
        <v>0.7172273826466975</v>
      </c>
      <c r="M510" s="2">
        <f t="shared" ca="1" si="445"/>
        <v>1.1492491303060634E-2</v>
      </c>
      <c r="N510" s="2">
        <f t="shared" ca="1" si="446"/>
        <v>1.1492491303060634E-2</v>
      </c>
      <c r="O510" s="2">
        <f t="shared" si="447"/>
        <v>6000000</v>
      </c>
      <c r="P510" s="2">
        <f t="shared" ca="1" si="448"/>
        <v>43559475.006849281</v>
      </c>
      <c r="Q510" s="2">
        <f t="shared" ca="1" si="449"/>
        <v>1088986.875171232</v>
      </c>
      <c r="R510" s="2">
        <f t="shared" ca="1" si="450"/>
        <v>26135685.004109569</v>
      </c>
      <c r="S510" s="2">
        <f t="shared" ca="1" si="451"/>
        <v>17423790.002739713</v>
      </c>
      <c r="T510" s="2">
        <f t="shared" ca="1" si="452"/>
        <v>50574624.56515304</v>
      </c>
      <c r="U510" s="2">
        <f t="shared" ca="1" si="453"/>
        <v>54043079.247807488</v>
      </c>
      <c r="V510" s="2">
        <f t="shared" ca="1" si="454"/>
        <v>57749403.771099694</v>
      </c>
      <c r="W510" s="2">
        <f t="shared" ca="1" si="455"/>
        <v>61709911.469428413</v>
      </c>
      <c r="X510" s="2">
        <f t="shared" ca="1" si="456"/>
        <v>65942034.460803166</v>
      </c>
      <c r="Y510" s="2">
        <f t="shared" ca="1" si="457"/>
        <v>0.12787756598372813</v>
      </c>
      <c r="Z510" s="2">
        <f t="shared" ca="1" si="458"/>
        <v>0.13102859237721937</v>
      </c>
      <c r="AA510" s="2">
        <f t="shared" ca="1" si="459"/>
        <v>6467359.8899326352</v>
      </c>
      <c r="AB510" s="2">
        <f t="shared" ca="1" si="460"/>
        <v>7081188.6015707301</v>
      </c>
      <c r="AC510" s="2">
        <f t="shared" ca="1" si="461"/>
        <v>7566823.0867508771</v>
      </c>
      <c r="AD510" s="2">
        <f t="shared" ca="1" si="462"/>
        <v>8085762.8355620299</v>
      </c>
      <c r="AE510" s="2">
        <f t="shared" ca="1" si="463"/>
        <v>8640291.9538891297</v>
      </c>
      <c r="AF510" s="2">
        <f t="shared" ca="1" si="464"/>
        <v>1011492.4913030608</v>
      </c>
      <c r="AG510" s="2">
        <f t="shared" ca="1" si="465"/>
        <v>1080861.5849561498</v>
      </c>
      <c r="AH510" s="2">
        <f t="shared" ca="1" si="466"/>
        <v>1154988.0754219939</v>
      </c>
      <c r="AI510" s="2">
        <f t="shared" ca="1" si="467"/>
        <v>1234198.2293885683</v>
      </c>
      <c r="AJ510" s="2">
        <f t="shared" ca="1" si="468"/>
        <v>1318840.6892160634</v>
      </c>
      <c r="AK510" s="2">
        <f t="shared" ca="1" si="469"/>
        <v>0</v>
      </c>
      <c r="AL510" s="2">
        <f t="shared" ca="1" si="470"/>
        <v>34684.54682654448</v>
      </c>
      <c r="AM510" s="2">
        <f t="shared" ca="1" si="471"/>
        <v>37063.245232922061</v>
      </c>
      <c r="AN510" s="2">
        <f t="shared" ca="1" si="472"/>
        <v>39605.076983287188</v>
      </c>
      <c r="AO510" s="2">
        <f t="shared" ca="1" si="473"/>
        <v>42321.229913747535</v>
      </c>
      <c r="AP510" s="2">
        <f t="shared" ca="1" si="474"/>
        <v>2352211.6503698612</v>
      </c>
      <c r="AQ510" s="2">
        <f t="shared" ca="1" si="475"/>
        <v>806950.49454752542</v>
      </c>
      <c r="AR510" s="2">
        <f t="shared" ca="1" si="476"/>
        <v>948509.99522362708</v>
      </c>
      <c r="AS510" s="2">
        <f t="shared" ca="1" si="477"/>
        <v>1055502.0738493458</v>
      </c>
      <c r="AT510" s="2">
        <f t="shared" ca="1" si="478"/>
        <v>1169831.768508936</v>
      </c>
      <c r="AU510" s="2">
        <f t="shared" ca="1" si="479"/>
        <v>1292002.2997188333</v>
      </c>
      <c r="AV510" s="2">
        <f t="shared" ca="1" si="480"/>
        <v>2296705.2537121875</v>
      </c>
      <c r="AW510" s="2">
        <f t="shared" ca="1" si="481"/>
        <v>2664920.8241945477</v>
      </c>
      <c r="AX510" s="2">
        <f t="shared" ca="1" si="482"/>
        <v>2967058.0418767547</v>
      </c>
      <c r="AY510" s="2">
        <f t="shared" ca="1" si="483"/>
        <v>3289916.1103113769</v>
      </c>
      <c r="AZ510" s="2">
        <f t="shared" ca="1" si="484"/>
        <v>3634916.0846706238</v>
      </c>
      <c r="BA510" s="2">
        <f t="shared" ca="1" si="485"/>
        <v>64477574.16588942</v>
      </c>
      <c r="BB510" s="2">
        <f t="shared" ca="1" si="486"/>
        <v>1289551.4833177885</v>
      </c>
      <c r="BC510" s="2">
        <f t="shared" ca="1" si="487"/>
        <v>37052337.678462066</v>
      </c>
      <c r="BD510" s="2">
        <f t="shared" ca="1" si="488"/>
        <v>-19012776.877910946</v>
      </c>
      <c r="BE510" s="2">
        <f t="shared" ca="1" si="489"/>
        <v>2296705.2537121875</v>
      </c>
      <c r="BF510" s="2">
        <f t="shared" ca="1" si="490"/>
        <v>2664920.8241945477</v>
      </c>
      <c r="BG510" s="2">
        <f t="shared" ca="1" si="491"/>
        <v>2967058.0418767547</v>
      </c>
      <c r="BH510" s="2">
        <f t="shared" ca="1" si="492"/>
        <v>3289916.1103113769</v>
      </c>
      <c r="BI510" s="2">
        <f t="shared" ca="1" si="493"/>
        <v>40687253.763132691</v>
      </c>
      <c r="BJ510" s="2">
        <f t="shared" ca="1" si="494"/>
        <v>0.26142216224683557</v>
      </c>
      <c r="BK510" s="2">
        <f t="shared" ca="1" si="495"/>
        <v>12452046.321610734</v>
      </c>
    </row>
    <row r="511" spans="1:63" x14ac:dyDescent="0.3">
      <c r="A511" s="2">
        <v>510</v>
      </c>
      <c r="B511" s="2">
        <f t="shared" ca="1" si="434"/>
        <v>0.17508590027711246</v>
      </c>
      <c r="C511" s="2">
        <f t="shared" ca="1" si="435"/>
        <v>6.5917531584657789</v>
      </c>
      <c r="D511" s="2">
        <f t="shared" ca="1" si="436"/>
        <v>0.36552900546900857</v>
      </c>
      <c r="E511" s="2">
        <f t="shared" ca="1" si="437"/>
        <v>7.3550193044241849</v>
      </c>
      <c r="F511" s="2">
        <f t="shared" ca="1" si="438"/>
        <v>0.39720641088598641</v>
      </c>
      <c r="G511" s="2">
        <f t="shared" ca="1" si="439"/>
        <v>3.2182460244777535E-2</v>
      </c>
      <c r="H511" s="2">
        <f t="shared" ca="1" si="440"/>
        <v>3.2182460244777535E-2</v>
      </c>
      <c r="I511" s="2">
        <f t="shared" ca="1" si="441"/>
        <v>0.73278300671055796</v>
      </c>
      <c r="J511" s="2">
        <f t="shared" ca="1" si="442"/>
        <v>1.3106258812598496E-2</v>
      </c>
      <c r="K511" s="2">
        <f t="shared" ca="1" si="443"/>
        <v>1.3106258812598496E-2</v>
      </c>
      <c r="L511" s="2">
        <f t="shared" ca="1" si="444"/>
        <v>0.34913359368934915</v>
      </c>
      <c r="M511" s="2">
        <f t="shared" ca="1" si="445"/>
        <v>-7.7532127901753772E-3</v>
      </c>
      <c r="N511" s="2">
        <f t="shared" ca="1" si="446"/>
        <v>-7.7532127901753772E-3</v>
      </c>
      <c r="O511" s="2">
        <f t="shared" si="447"/>
        <v>6000000</v>
      </c>
      <c r="P511" s="2">
        <f t="shared" ca="1" si="448"/>
        <v>39550518.950794674</v>
      </c>
      <c r="Q511" s="2">
        <f t="shared" ca="1" si="449"/>
        <v>988762.97376986686</v>
      </c>
      <c r="R511" s="2">
        <f t="shared" ca="1" si="450"/>
        <v>23730311.370476805</v>
      </c>
      <c r="S511" s="2">
        <f t="shared" ca="1" si="451"/>
        <v>15820207.58031787</v>
      </c>
      <c r="T511" s="2">
        <f t="shared" ca="1" si="452"/>
        <v>49612339.360491231</v>
      </c>
      <c r="U511" s="2">
        <f t="shared" ca="1" si="453"/>
        <v>51208986.499610655</v>
      </c>
      <c r="V511" s="2">
        <f t="shared" ca="1" si="454"/>
        <v>52857017.671809725</v>
      </c>
      <c r="W511" s="2">
        <f t="shared" ca="1" si="455"/>
        <v>54558086.541690245</v>
      </c>
      <c r="X511" s="2">
        <f t="shared" ca="1" si="456"/>
        <v>56313899.992849328</v>
      </c>
      <c r="Y511" s="2">
        <f t="shared" ca="1" si="457"/>
        <v>0.12655312940629923</v>
      </c>
      <c r="Z511" s="2">
        <f t="shared" ca="1" si="458"/>
        <v>0.12917438116881894</v>
      </c>
      <c r="AA511" s="2">
        <f t="shared" ca="1" si="459"/>
        <v>6278596.8032374792</v>
      </c>
      <c r="AB511" s="2">
        <f t="shared" ca="1" si="460"/>
        <v>6614889.1413696101</v>
      </c>
      <c r="AC511" s="2">
        <f t="shared" ca="1" si="461"/>
        <v>6827772.5481853476</v>
      </c>
      <c r="AD511" s="2">
        <f t="shared" ca="1" si="462"/>
        <v>7047507.0667777061</v>
      </c>
      <c r="AE511" s="2">
        <f t="shared" ca="1" si="463"/>
        <v>7274313.1827790691</v>
      </c>
      <c r="AF511" s="2">
        <f t="shared" ca="1" si="464"/>
        <v>992246.78720982466</v>
      </c>
      <c r="AG511" s="2">
        <f t="shared" ca="1" si="465"/>
        <v>1024179.7299922131</v>
      </c>
      <c r="AH511" s="2">
        <f t="shared" ca="1" si="466"/>
        <v>1057140.3534361946</v>
      </c>
      <c r="AI511" s="2">
        <f t="shared" ca="1" si="467"/>
        <v>1091161.7308338049</v>
      </c>
      <c r="AJ511" s="2">
        <f t="shared" ca="1" si="468"/>
        <v>1126277.9998569866</v>
      </c>
      <c r="AK511" s="2">
        <f t="shared" ca="1" si="469"/>
        <v>0</v>
      </c>
      <c r="AL511" s="2">
        <f t="shared" ca="1" si="470"/>
        <v>15966.47139119424</v>
      </c>
      <c r="AM511" s="2">
        <f t="shared" ca="1" si="471"/>
        <v>16480.311721990704</v>
      </c>
      <c r="AN511" s="2">
        <f t="shared" ca="1" si="472"/>
        <v>17010.688698805199</v>
      </c>
      <c r="AO511" s="2">
        <f t="shared" ca="1" si="473"/>
        <v>17558.134511590823</v>
      </c>
      <c r="AP511" s="2">
        <f t="shared" ca="1" si="474"/>
        <v>2135728.0233429126</v>
      </c>
      <c r="AQ511" s="2">
        <f t="shared" ca="1" si="475"/>
        <v>819161.71809803299</v>
      </c>
      <c r="AR511" s="2">
        <f t="shared" ca="1" si="476"/>
        <v>898295.16088896606</v>
      </c>
      <c r="AS511" s="2">
        <f t="shared" ca="1" si="477"/>
        <v>945075.08456562262</v>
      </c>
      <c r="AT511" s="2">
        <f t="shared" ca="1" si="478"/>
        <v>993360.50127625698</v>
      </c>
      <c r="AU511" s="2">
        <f t="shared" ca="1" si="479"/>
        <v>1043199.8614905841</v>
      </c>
      <c r="AV511" s="2">
        <f t="shared" ca="1" si="480"/>
        <v>2331460.2745867088</v>
      </c>
      <c r="AW511" s="2">
        <f t="shared" ca="1" si="481"/>
        <v>2540719.7557543241</v>
      </c>
      <c r="AX511" s="2">
        <f t="shared" ca="1" si="482"/>
        <v>2673348.7751186271</v>
      </c>
      <c r="AY511" s="2">
        <f t="shared" ca="1" si="483"/>
        <v>2810246.122625927</v>
      </c>
      <c r="AZ511" s="2">
        <f t="shared" ca="1" si="484"/>
        <v>2951549.1635769946</v>
      </c>
      <c r="BA511" s="2">
        <f t="shared" ca="1" si="485"/>
        <v>53502713.885767385</v>
      </c>
      <c r="BB511" s="2">
        <f t="shared" ca="1" si="486"/>
        <v>1070054.2777153477</v>
      </c>
      <c r="BC511" s="2">
        <f t="shared" ca="1" si="487"/>
        <v>28702348.237575233</v>
      </c>
      <c r="BD511" s="2">
        <f t="shared" ca="1" si="488"/>
        <v>-17308970.554087736</v>
      </c>
      <c r="BE511" s="2">
        <f t="shared" ca="1" si="489"/>
        <v>2331460.2745867088</v>
      </c>
      <c r="BF511" s="2">
        <f t="shared" ca="1" si="490"/>
        <v>2540719.7557543241</v>
      </c>
      <c r="BG511" s="2">
        <f t="shared" ca="1" si="491"/>
        <v>2673348.7751186271</v>
      </c>
      <c r="BH511" s="2">
        <f t="shared" ca="1" si="492"/>
        <v>2810246.122625927</v>
      </c>
      <c r="BI511" s="2">
        <f t="shared" ca="1" si="493"/>
        <v>31653897.401152227</v>
      </c>
      <c r="BJ511" s="2">
        <f t="shared" ca="1" si="494"/>
        <v>0.233044876296989</v>
      </c>
      <c r="BK511" s="2">
        <f t="shared" ca="1" si="495"/>
        <v>8448207.1821413711</v>
      </c>
    </row>
    <row r="512" spans="1:63" x14ac:dyDescent="0.3">
      <c r="A512" s="2">
        <v>511</v>
      </c>
      <c r="B512" s="2">
        <f t="shared" ca="1" si="434"/>
        <v>0.98634692375006416</v>
      </c>
      <c r="C512" s="2">
        <f t="shared" ca="1" si="435"/>
        <v>7.834754266318698</v>
      </c>
      <c r="D512" s="2">
        <f t="shared" ca="1" si="436"/>
        <v>0.40701348660273928</v>
      </c>
      <c r="E512" s="2">
        <f t="shared" ca="1" si="437"/>
        <v>7.402234433617715</v>
      </c>
      <c r="F512" s="2">
        <f t="shared" ca="1" si="438"/>
        <v>0.90516608444801272</v>
      </c>
      <c r="G512" s="2">
        <f t="shared" ca="1" si="439"/>
        <v>7.9346871594519294E-2</v>
      </c>
      <c r="H512" s="2">
        <f t="shared" ca="1" si="440"/>
        <v>7.9346871594519294E-2</v>
      </c>
      <c r="I512" s="2">
        <f t="shared" ca="1" si="441"/>
        <v>0.1385509885051659</v>
      </c>
      <c r="J512" s="2">
        <f t="shared" ca="1" si="442"/>
        <v>4.5657372239327303E-3</v>
      </c>
      <c r="K512" s="2">
        <f t="shared" ca="1" si="443"/>
        <v>4.5657372239327303E-3</v>
      </c>
      <c r="L512" s="2">
        <f t="shared" ca="1" si="444"/>
        <v>0.49815909528501967</v>
      </c>
      <c r="M512" s="2">
        <f t="shared" ca="1" si="445"/>
        <v>-9.2289603715374062E-5</v>
      </c>
      <c r="N512" s="2">
        <f t="shared" ca="1" si="446"/>
        <v>-9.2289603715374062E-5</v>
      </c>
      <c r="O512" s="2">
        <f t="shared" si="447"/>
        <v>6000000</v>
      </c>
      <c r="P512" s="2">
        <f t="shared" ca="1" si="448"/>
        <v>47008525.597912185</v>
      </c>
      <c r="Q512" s="2">
        <f t="shared" ca="1" si="449"/>
        <v>1175213.1399478046</v>
      </c>
      <c r="R512" s="2">
        <f t="shared" ca="1" si="450"/>
        <v>28205115.358747311</v>
      </c>
      <c r="S512" s="2">
        <f t="shared" ca="1" si="451"/>
        <v>18803410.239164874</v>
      </c>
      <c r="T512" s="2">
        <f t="shared" ca="1" si="452"/>
        <v>49995385.519814231</v>
      </c>
      <c r="U512" s="2">
        <f t="shared" ca="1" si="453"/>
        <v>53962362.954973422</v>
      </c>
      <c r="V512" s="2">
        <f t="shared" ca="1" si="454"/>
        <v>58244107.639298543</v>
      </c>
      <c r="W512" s="2">
        <f t="shared" ca="1" si="455"/>
        <v>62865595.369291328</v>
      </c>
      <c r="X512" s="2">
        <f t="shared" ca="1" si="456"/>
        <v>67853783.692771494</v>
      </c>
      <c r="Y512" s="2">
        <f t="shared" ca="1" si="457"/>
        <v>0.12228286861196636</v>
      </c>
      <c r="Z512" s="2">
        <f t="shared" ca="1" si="458"/>
        <v>0.1231960160567529</v>
      </c>
      <c r="AA512" s="2">
        <f t="shared" ca="1" si="459"/>
        <v>6113579.1587240491</v>
      </c>
      <c r="AB512" s="2">
        <f t="shared" ca="1" si="460"/>
        <v>6647948.1330612339</v>
      </c>
      <c r="AC512" s="2">
        <f t="shared" ca="1" si="461"/>
        <v>7175442.0199422678</v>
      </c>
      <c r="AD512" s="2">
        <f t="shared" ca="1" si="462"/>
        <v>7744790.8965325449</v>
      </c>
      <c r="AE512" s="2">
        <f t="shared" ca="1" si="463"/>
        <v>8359315.8253261149</v>
      </c>
      <c r="AF512" s="2">
        <f t="shared" ca="1" si="464"/>
        <v>999907.71039628459</v>
      </c>
      <c r="AG512" s="2">
        <f t="shared" ca="1" si="465"/>
        <v>1079247.2590994684</v>
      </c>
      <c r="AH512" s="2">
        <f t="shared" ca="1" si="466"/>
        <v>1164882.1527859708</v>
      </c>
      <c r="AI512" s="2">
        <f t="shared" ca="1" si="467"/>
        <v>1257311.9073858266</v>
      </c>
      <c r="AJ512" s="2">
        <f t="shared" ca="1" si="468"/>
        <v>1357075.67385543</v>
      </c>
      <c r="AK512" s="2">
        <f t="shared" ca="1" si="469"/>
        <v>0</v>
      </c>
      <c r="AL512" s="2">
        <f t="shared" ca="1" si="470"/>
        <v>39669.774351591914</v>
      </c>
      <c r="AM512" s="2">
        <f t="shared" ca="1" si="471"/>
        <v>42817.446843251215</v>
      </c>
      <c r="AN512" s="2">
        <f t="shared" ca="1" si="472"/>
        <v>46214.877299927844</v>
      </c>
      <c r="AO512" s="2">
        <f t="shared" ca="1" si="473"/>
        <v>49881.883234801666</v>
      </c>
      <c r="AP512" s="2">
        <f t="shared" ca="1" si="474"/>
        <v>2538460.3822872578</v>
      </c>
      <c r="AQ512" s="2">
        <f t="shared" ca="1" si="475"/>
        <v>669554.87717053189</v>
      </c>
      <c r="AR512" s="2">
        <f t="shared" ca="1" si="476"/>
        <v>787862.52783537202</v>
      </c>
      <c r="AS512" s="2">
        <f t="shared" ca="1" si="477"/>
        <v>902745.86606595025</v>
      </c>
      <c r="AT512" s="2">
        <f t="shared" ca="1" si="478"/>
        <v>1026744.8377834599</v>
      </c>
      <c r="AU512" s="2">
        <f t="shared" ca="1" si="479"/>
        <v>1160582.7399876912</v>
      </c>
      <c r="AV512" s="2">
        <f t="shared" ca="1" si="480"/>
        <v>1905656.188869975</v>
      </c>
      <c r="AW512" s="2">
        <f t="shared" ca="1" si="481"/>
        <v>2202708.1894875434</v>
      </c>
      <c r="AX512" s="2">
        <f t="shared" ca="1" si="482"/>
        <v>2526536.1719598374</v>
      </c>
      <c r="AY512" s="2">
        <f t="shared" ca="1" si="483"/>
        <v>2876058.8917760733</v>
      </c>
      <c r="AZ512" s="2">
        <f t="shared" ca="1" si="484"/>
        <v>3253315.1459609349</v>
      </c>
      <c r="BA512" s="2">
        <f t="shared" ca="1" si="485"/>
        <v>61877615.443714455</v>
      </c>
      <c r="BB512" s="2">
        <f t="shared" ca="1" si="486"/>
        <v>1237552.308874289</v>
      </c>
      <c r="BC512" s="2">
        <f t="shared" ca="1" si="487"/>
        <v>32434947.776092853</v>
      </c>
      <c r="BD512" s="2">
        <f t="shared" ca="1" si="488"/>
        <v>-20478623.37911268</v>
      </c>
      <c r="BE512" s="2">
        <f t="shared" ca="1" si="489"/>
        <v>1905656.188869975</v>
      </c>
      <c r="BF512" s="2">
        <f t="shared" ca="1" si="490"/>
        <v>2202708.1894875434</v>
      </c>
      <c r="BG512" s="2">
        <f t="shared" ca="1" si="491"/>
        <v>2526536.1719598374</v>
      </c>
      <c r="BH512" s="2">
        <f t="shared" ca="1" si="492"/>
        <v>2876058.8917760733</v>
      </c>
      <c r="BI512" s="2">
        <f t="shared" ca="1" si="493"/>
        <v>35688262.922053792</v>
      </c>
      <c r="BJ512" s="2">
        <f t="shared" ca="1" si="494"/>
        <v>0.19765590175534031</v>
      </c>
      <c r="BK512" s="2">
        <f t="shared" ca="1" si="495"/>
        <v>6855445.6224281862</v>
      </c>
    </row>
    <row r="513" spans="1:63" x14ac:dyDescent="0.3">
      <c r="A513" s="2">
        <v>512</v>
      </c>
      <c r="B513" s="2">
        <f t="shared" ca="1" si="434"/>
        <v>0.81789002154162538</v>
      </c>
      <c r="C513" s="2">
        <f t="shared" ca="1" si="435"/>
        <v>7.3964936148500584</v>
      </c>
      <c r="D513" s="2">
        <f t="shared" ca="1" si="436"/>
        <v>1.459194955409604E-2</v>
      </c>
      <c r="E513" s="2">
        <f t="shared" ca="1" si="437"/>
        <v>6.6708329567390088</v>
      </c>
      <c r="F513" s="2">
        <f t="shared" ca="1" si="438"/>
        <v>1.3586053490662997E-2</v>
      </c>
      <c r="G513" s="2">
        <f t="shared" ca="1" si="439"/>
        <v>-2.6271092952840032E-2</v>
      </c>
      <c r="H513" s="2">
        <f t="shared" ca="1" si="440"/>
        <v>-0.02</v>
      </c>
      <c r="I513" s="2">
        <f t="shared" ca="1" si="441"/>
        <v>0.6598016514271976</v>
      </c>
      <c r="J513" s="2">
        <f t="shared" ca="1" si="442"/>
        <v>1.2059609303725821E-2</v>
      </c>
      <c r="K513" s="2">
        <f t="shared" ca="1" si="443"/>
        <v>1.2059609303725821E-2</v>
      </c>
      <c r="L513" s="2">
        <f t="shared" ca="1" si="444"/>
        <v>0.58313686637950002</v>
      </c>
      <c r="M513" s="2">
        <f t="shared" ca="1" si="445"/>
        <v>4.1984985275177709E-3</v>
      </c>
      <c r="N513" s="2">
        <f t="shared" ca="1" si="446"/>
        <v>4.1984985275177709E-3</v>
      </c>
      <c r="O513" s="2">
        <f t="shared" si="447"/>
        <v>6000000</v>
      </c>
      <c r="P513" s="2">
        <f t="shared" ca="1" si="448"/>
        <v>44378961.689100347</v>
      </c>
      <c r="Q513" s="2">
        <f t="shared" ca="1" si="449"/>
        <v>1109474.0422275087</v>
      </c>
      <c r="R513" s="2">
        <f t="shared" ca="1" si="450"/>
        <v>26627377.013460208</v>
      </c>
      <c r="S513" s="2">
        <f t="shared" ca="1" si="451"/>
        <v>17751584.67564014</v>
      </c>
      <c r="T513" s="2">
        <f t="shared" ca="1" si="452"/>
        <v>50209924.926375896</v>
      </c>
      <c r="U513" s="2">
        <f t="shared" ca="1" si="453"/>
        <v>49205726.427848376</v>
      </c>
      <c r="V513" s="2">
        <f t="shared" ca="1" si="454"/>
        <v>48221611.899291411</v>
      </c>
      <c r="W513" s="2">
        <f t="shared" ca="1" si="455"/>
        <v>47257179.661305584</v>
      </c>
      <c r="X513" s="2">
        <f t="shared" ca="1" si="456"/>
        <v>46312036.068079472</v>
      </c>
      <c r="Y513" s="2">
        <f t="shared" ca="1" si="457"/>
        <v>0.12602980465186292</v>
      </c>
      <c r="Z513" s="2">
        <f t="shared" ca="1" si="458"/>
        <v>0.12844172651260807</v>
      </c>
      <c r="AA513" s="2">
        <f t="shared" ca="1" si="459"/>
        <v>6327947.0300558573</v>
      </c>
      <c r="AB513" s="2">
        <f t="shared" ca="1" si="460"/>
        <v>6320068.4566999124</v>
      </c>
      <c r="AC513" s="2">
        <f t="shared" ca="1" si="461"/>
        <v>6193667.0875659147</v>
      </c>
      <c r="AD513" s="2">
        <f t="shared" ca="1" si="462"/>
        <v>6069793.7458145963</v>
      </c>
      <c r="AE513" s="2">
        <f t="shared" ca="1" si="463"/>
        <v>5948397.8708983045</v>
      </c>
      <c r="AF513" s="2">
        <f t="shared" ca="1" si="464"/>
        <v>1004198.4985275179</v>
      </c>
      <c r="AG513" s="2">
        <f t="shared" ca="1" si="465"/>
        <v>984114.5285569675</v>
      </c>
      <c r="AH513" s="2">
        <f t="shared" ca="1" si="466"/>
        <v>964432.23798582819</v>
      </c>
      <c r="AI513" s="2">
        <f t="shared" ca="1" si="467"/>
        <v>945143.59322611173</v>
      </c>
      <c r="AJ513" s="2">
        <f t="shared" ca="1" si="468"/>
        <v>926240.7213615895</v>
      </c>
      <c r="AK513" s="2">
        <f t="shared" ca="1" si="469"/>
        <v>0</v>
      </c>
      <c r="AL513" s="2">
        <f t="shared" ca="1" si="470"/>
        <v>0</v>
      </c>
      <c r="AM513" s="2">
        <f t="shared" ca="1" si="471"/>
        <v>0</v>
      </c>
      <c r="AN513" s="2">
        <f t="shared" ca="1" si="472"/>
        <v>0</v>
      </c>
      <c r="AO513" s="2">
        <f t="shared" ca="1" si="473"/>
        <v>0</v>
      </c>
      <c r="AP513" s="2">
        <f t="shared" ca="1" si="474"/>
        <v>2396463.9312114185</v>
      </c>
      <c r="AQ513" s="2">
        <f t="shared" ca="1" si="475"/>
        <v>761093.99608239951</v>
      </c>
      <c r="AR513" s="2">
        <f t="shared" ca="1" si="476"/>
        <v>764267.39920219698</v>
      </c>
      <c r="AS513" s="2">
        <f t="shared" ca="1" si="477"/>
        <v>736520.43877585384</v>
      </c>
      <c r="AT513" s="2">
        <f t="shared" ca="1" si="478"/>
        <v>709328.41755803733</v>
      </c>
      <c r="AU513" s="2">
        <f t="shared" ca="1" si="479"/>
        <v>682680.2367645771</v>
      </c>
      <c r="AV513" s="2">
        <f t="shared" ca="1" si="480"/>
        <v>2166190.6042345213</v>
      </c>
      <c r="AW513" s="2">
        <f t="shared" ca="1" si="481"/>
        <v>2175222.59772933</v>
      </c>
      <c r="AX513" s="2">
        <f t="shared" ca="1" si="482"/>
        <v>2096250.4795928141</v>
      </c>
      <c r="AY513" s="2">
        <f t="shared" ca="1" si="483"/>
        <v>2018857.8038190287</v>
      </c>
      <c r="AZ513" s="2">
        <f t="shared" ca="1" si="484"/>
        <v>1943012.9815607192</v>
      </c>
      <c r="BA513" s="2">
        <f t="shared" ca="1" si="485"/>
        <v>39680768.556984559</v>
      </c>
      <c r="BB513" s="2">
        <f t="shared" ca="1" si="486"/>
        <v>793615.37113969121</v>
      </c>
      <c r="BC513" s="2">
        <f t="shared" ca="1" si="487"/>
        <v>12259776.172384661</v>
      </c>
      <c r="BD513" s="2">
        <f t="shared" ca="1" si="488"/>
        <v>-19361058.71786765</v>
      </c>
      <c r="BE513" s="2">
        <f t="shared" ca="1" si="489"/>
        <v>2166190.6042345213</v>
      </c>
      <c r="BF513" s="2">
        <f t="shared" ca="1" si="490"/>
        <v>2175222.59772933</v>
      </c>
      <c r="BG513" s="2">
        <f t="shared" ca="1" si="491"/>
        <v>2096250.4795928141</v>
      </c>
      <c r="BH513" s="2">
        <f t="shared" ca="1" si="492"/>
        <v>2018857.8038190287</v>
      </c>
      <c r="BI513" s="2">
        <f t="shared" ca="1" si="493"/>
        <v>14202789.153945379</v>
      </c>
      <c r="BJ513" s="2">
        <f t="shared" ca="1" si="494"/>
        <v>3.9944296812021163E-2</v>
      </c>
      <c r="BK513" s="2">
        <f t="shared" ca="1" si="495"/>
        <v>-4858751.5169097111</v>
      </c>
    </row>
    <row r="514" spans="1:63" x14ac:dyDescent="0.3">
      <c r="A514" s="2">
        <v>513</v>
      </c>
      <c r="B514" s="2">
        <f t="shared" ref="B514:B577" ca="1" si="496">RAND()</f>
        <v>0.84428989992123538</v>
      </c>
      <c r="C514" s="2">
        <f t="shared" ref="C514:C577" ca="1" si="497">IF(B514&lt;((P_Mode)-(P_Low))/((P_High)-(P_Low)), (P_Low)+SQRT(B514*((P_High)-(P_Low))*((P_Mode)-(P_Low))), (P_High)-SQRT((1-B514)*((P_High)-(P_Low))*((P_High)-(P_Mode))))</f>
        <v>7.4419496437080888</v>
      </c>
      <c r="D514" s="2">
        <f t="shared" ref="D514:D577" ca="1" si="498">RAND()</f>
        <v>0.69554757417944635</v>
      </c>
      <c r="E514" s="2">
        <f t="shared" ref="E514:E577" ca="1" si="499">IF(D514&lt;((X_Mode)-(X_Low))/((X_High)-(X_Low)), (X_Low)+SQRT(D514*((X_High)-(X_Low))*((X_Mode)-(X_Low))), (X_High)-SQRT((1-D514)*((X_High)-(X_Low))*((X_High)-(X_Mode))))</f>
        <v>7.7196764442610313</v>
      </c>
      <c r="F514" s="2">
        <f t="shared" ref="F514:F577" ca="1" si="500">RAND()</f>
        <v>0.29573773226947053</v>
      </c>
      <c r="G514" s="2">
        <f t="shared" ref="G514:G577" ca="1" si="501">NORMINV(F514, g_Mean, g_SD)</f>
        <v>2.3899026423164379E-2</v>
      </c>
      <c r="H514" s="2">
        <f t="shared" ref="H514:H577" ca="1" si="502">MIN(MAX(G514, g_Min), g_Max)</f>
        <v>2.3899026423164379E-2</v>
      </c>
      <c r="I514" s="2">
        <f t="shared" ref="I514:I577" ca="1" si="503">RAND()</f>
        <v>0.94638410124431427</v>
      </c>
      <c r="J514" s="2">
        <f t="shared" ref="J514:J577" ca="1" si="504">NORMINV(I514, syn_Mean, syn_SD)</f>
        <v>1.8053805618685172E-2</v>
      </c>
      <c r="K514" s="2">
        <f t="shared" ref="K514:K577" ca="1" si="505">MIN(MAX(J514, syn_Min), syn_Max)</f>
        <v>1.8053805618685172E-2</v>
      </c>
      <c r="L514" s="2">
        <f t="shared" ref="L514:L577" ca="1" si="506">RAND()</f>
        <v>0.66740660720221634</v>
      </c>
      <c r="M514" s="2">
        <f t="shared" ref="M514:M577" ca="1" si="507">NORMINV(L514, shk_Mean, shk_SD)</f>
        <v>8.6552646873433968E-3</v>
      </c>
      <c r="N514" s="2">
        <f t="shared" ref="N514:N577" ca="1" si="508">MIN(MAX(M514, shk_Min), shk_Max)</f>
        <v>8.6552646873433968E-3</v>
      </c>
      <c r="O514" s="2">
        <f t="shared" ref="O514:O577" si="509">BaseRev*BaseMargin</f>
        <v>6000000</v>
      </c>
      <c r="P514" s="2">
        <f t="shared" ref="P514:P577" ca="1" si="510">O514*C514</f>
        <v>44651697.862248532</v>
      </c>
      <c r="Q514" s="2">
        <f t="shared" ref="Q514:Q577" ca="1" si="511">P514*TxnCostPct</f>
        <v>1116292.4465562133</v>
      </c>
      <c r="R514" s="2">
        <f t="shared" ref="R514:R577" ca="1" si="512">P514*DebtPct</f>
        <v>26791018.717349119</v>
      </c>
      <c r="S514" s="2">
        <f t="shared" ref="S514:S577" ca="1" si="513">P514*EqPct</f>
        <v>17860679.144899413</v>
      </c>
      <c r="T514" s="2">
        <f t="shared" ref="T514:T577" ca="1" si="514">BaseRev*(1+N514)</f>
        <v>50432763.234367169</v>
      </c>
      <c r="U514" s="2">
        <f t="shared" ref="U514:U577" ca="1" si="515">T514*(1+H514)</f>
        <v>51638057.175498508</v>
      </c>
      <c r="V514" s="2">
        <f t="shared" ref="V514:V577" ca="1" si="516">U514*(1+H514)</f>
        <v>52872156.468376622</v>
      </c>
      <c r="W514" s="2">
        <f t="shared" ref="W514:W577" ca="1" si="517">V514*(1+H514)</f>
        <v>54135749.532864042</v>
      </c>
      <c r="X514" s="2">
        <f t="shared" ref="X514:X577" ca="1" si="518">W514*(1+H514)</f>
        <v>55429541.24138777</v>
      </c>
      <c r="Y514" s="2">
        <f t="shared" ref="Y514:Y577" ca="1" si="519">BaseMargin + SynReal_Y1*K514</f>
        <v>0.12902690280934259</v>
      </c>
      <c r="Z514" s="2">
        <f t="shared" ref="Z514:Z577" ca="1" si="520">BaseMargin + SynReal_Y2toY5*K514</f>
        <v>0.1326376639330796</v>
      </c>
      <c r="AA514" s="2">
        <f t="shared" ref="AA514:AA577" ca="1" si="521">T514*Y514</f>
        <v>6507183.2402472794</v>
      </c>
      <c r="AB514" s="2">
        <f t="shared" ref="AB514:AB577" ca="1" si="522">U514*Z514</f>
        <v>6849151.2738009207</v>
      </c>
      <c r="AC514" s="2">
        <f t="shared" ref="AC514:AC577" ca="1" si="523">V514*Z514</f>
        <v>7012839.3210697388</v>
      </c>
      <c r="AD514" s="2">
        <f t="shared" ref="AD514:AD577" ca="1" si="524">W514*Z514</f>
        <v>7180439.353305392</v>
      </c>
      <c r="AE514" s="2">
        <f t="shared" ref="AE514:AE577" ca="1" si="525">X514*Z514</f>
        <v>7352044.8631399665</v>
      </c>
      <c r="AF514" s="2">
        <f t="shared" ref="AF514:AF577" ca="1" si="526">T514*CapexPct</f>
        <v>1008655.2646873434</v>
      </c>
      <c r="AG514" s="2">
        <f t="shared" ref="AG514:AG577" ca="1" si="527">U514*CapexPct</f>
        <v>1032761.1435099702</v>
      </c>
      <c r="AH514" s="2">
        <f t="shared" ref="AH514:AH577" ca="1" si="528">V514*CapexPct</f>
        <v>1057443.1293675324</v>
      </c>
      <c r="AI514" s="2">
        <f t="shared" ref="AI514:AI577" ca="1" si="529">W514*CapexPct</f>
        <v>1082714.9906572809</v>
      </c>
      <c r="AJ514" s="2">
        <f t="shared" ref="AJ514:AJ577" ca="1" si="530">X514*CapexPct</f>
        <v>1108590.8248277553</v>
      </c>
      <c r="AK514" s="2">
        <f t="shared" ref="AK514:AK577" ca="1" si="531">MAX(T514-BaseRev*(1+N514),0)*WCPct</f>
        <v>0</v>
      </c>
      <c r="AL514" s="2">
        <f t="shared" ref="AL514:AL577" ca="1" si="532">MAX(U514-T514,0)*WCPct</f>
        <v>12052.939411313386</v>
      </c>
      <c r="AM514" s="2">
        <f t="shared" ref="AM514:AM577" ca="1" si="533">MAX(V514-U514,0)*WCPct</f>
        <v>12340.992928781137</v>
      </c>
      <c r="AN514" s="2">
        <f t="shared" ref="AN514:AN577" ca="1" si="534">MAX(W514-V514,0)*WCPct</f>
        <v>12635.930644874201</v>
      </c>
      <c r="AO514" s="2">
        <f t="shared" ref="AO514:AO577" ca="1" si="535">MAX(X514-W514,0)*WCPct</f>
        <v>12937.917085237279</v>
      </c>
      <c r="AP514" s="2">
        <f t="shared" ref="AP514:AP577" ca="1" si="536">R514*DebtRate</f>
        <v>2411191.6845614207</v>
      </c>
      <c r="AQ514" s="2">
        <f t="shared" ref="AQ514:AQ577" ca="1" si="537">MAX(AA514-AF514-AP514,0)*Tax</f>
        <v>802707.43565961393</v>
      </c>
      <c r="AR514" s="2">
        <f t="shared" ref="AR514:AR577" ca="1" si="538">MAX(AB514-AG514-AP514,0)*Tax</f>
        <v>885351.59588967776</v>
      </c>
      <c r="AS514" s="2">
        <f t="shared" ref="AS514:AS577" ca="1" si="539">MAX(AC514-AH514-AP514,0)*Tax</f>
        <v>921493.1718566044</v>
      </c>
      <c r="AT514" s="2">
        <f t="shared" ref="AT514:AT577" ca="1" si="540">MAX(AD514-AI514-AP514,0)*Tax</f>
        <v>958498.49630253948</v>
      </c>
      <c r="AU514" s="2">
        <f t="shared" ref="AU514:AU577" ca="1" si="541">MAX(AE514-AJ514-AP514,0)*Tax</f>
        <v>996388.21197520569</v>
      </c>
      <c r="AV514" s="2">
        <f t="shared" ref="AV514:AV577" ca="1" si="542">AA514-AF514-AK514-AQ514-AP514</f>
        <v>2284628.8553389008</v>
      </c>
      <c r="AW514" s="2">
        <f t="shared" ref="AW514:AW577" ca="1" si="543">AB514-AG514-AL514-AR514-AP514</f>
        <v>2507793.9104285385</v>
      </c>
      <c r="AX514" s="2">
        <f t="shared" ref="AX514:AX577" ca="1" si="544">AC514-AH514-AM514-AS514-AP514</f>
        <v>2610370.3423553999</v>
      </c>
      <c r="AY514" s="2">
        <f t="shared" ref="AY514:AY577" ca="1" si="545">AD514-AI514-AN514-AT514-AP514</f>
        <v>2715398.2511392762</v>
      </c>
      <c r="AZ514" s="2">
        <f t="shared" ref="AZ514:AZ577" ca="1" si="546">AE514-AJ514-AO514-AU514-AP514</f>
        <v>2822936.2246903484</v>
      </c>
      <c r="BA514" s="2">
        <f t="shared" ref="BA514:BA577" ca="1" si="547">AE514*E514</f>
        <v>56755407.547131918</v>
      </c>
      <c r="BB514" s="2">
        <f t="shared" ref="BB514:BB577" ca="1" si="548">BA514*SellCostPct</f>
        <v>1135108.1509426383</v>
      </c>
      <c r="BC514" s="2">
        <f t="shared" ref="BC514:BC577" ca="1" si="549">BA514-R514-BB514</f>
        <v>28829280.67884016</v>
      </c>
      <c r="BD514" s="2">
        <f t="shared" ref="BD514:BD577" ca="1" si="550">-S514-Q514-IntegrationPct*BaseRev</f>
        <v>-19476971.591455627</v>
      </c>
      <c r="BE514" s="2">
        <f t="shared" ref="BE514:BE577" ca="1" si="551">AV514</f>
        <v>2284628.8553389008</v>
      </c>
      <c r="BF514" s="2">
        <f t="shared" ref="BF514:BF577" ca="1" si="552">AW514</f>
        <v>2507793.9104285385</v>
      </c>
      <c r="BG514" s="2">
        <f t="shared" ref="BG514:BG577" ca="1" si="553">AX514</f>
        <v>2610370.3423553999</v>
      </c>
      <c r="BH514" s="2">
        <f t="shared" ref="BH514:BH577" ca="1" si="554">AY514</f>
        <v>2715398.2511392762</v>
      </c>
      <c r="BI514" s="2">
        <f t="shared" ref="BI514:BI577" ca="1" si="555">AZ514+BC514</f>
        <v>31652216.903530508</v>
      </c>
      <c r="BJ514" s="2">
        <f t="shared" ref="BJ514:BJ577" ca="1" si="556">IF(MIN(BD514:BI514)*MAX(BD514:BI514)&gt;=0, "", IFERROR(IRR(BD514:BI514,0.12), IFERROR(IRR(BD514:BI514,0.5), IFERROR(IRR(BD514:BI514,-0.5),""))))</f>
        <v>0.19560940485000811</v>
      </c>
      <c r="BK514" s="2">
        <f t="shared" ref="BK514:BK577" ca="1" si="557">NPV(12%,BE514:BI514)+BD514</f>
        <v>6106086.1942924</v>
      </c>
    </row>
    <row r="515" spans="1:63" x14ac:dyDescent="0.3">
      <c r="A515" s="2">
        <v>514</v>
      </c>
      <c r="B515" s="2">
        <f t="shared" ca="1" si="496"/>
        <v>0.12522593715173536</v>
      </c>
      <c r="C515" s="2">
        <f t="shared" ca="1" si="497"/>
        <v>6.5004516702974131</v>
      </c>
      <c r="D515" s="2">
        <f t="shared" ca="1" si="498"/>
        <v>0.52410973038190856</v>
      </c>
      <c r="E515" s="2">
        <f t="shared" ca="1" si="499"/>
        <v>7.5244075957469825</v>
      </c>
      <c r="F515" s="2">
        <f t="shared" ca="1" si="500"/>
        <v>0.79045808584775779</v>
      </c>
      <c r="G515" s="2">
        <f t="shared" ca="1" si="501"/>
        <v>6.4240351966626252E-2</v>
      </c>
      <c r="H515" s="2">
        <f t="shared" ca="1" si="502"/>
        <v>6.4240351966626252E-2</v>
      </c>
      <c r="I515" s="2">
        <f t="shared" ca="1" si="503"/>
        <v>7.968456561242776E-2</v>
      </c>
      <c r="J515" s="2">
        <f t="shared" ca="1" si="504"/>
        <v>2.9640175340305509E-3</v>
      </c>
      <c r="K515" s="2">
        <f t="shared" ca="1" si="505"/>
        <v>2.9640175340305509E-3</v>
      </c>
      <c r="L515" s="2">
        <f t="shared" ca="1" si="506"/>
        <v>0.64776322921677254</v>
      </c>
      <c r="M515" s="2">
        <f t="shared" ca="1" si="507"/>
        <v>7.5857726104931059E-3</v>
      </c>
      <c r="N515" s="2">
        <f t="shared" ca="1" si="508"/>
        <v>7.5857726104931059E-3</v>
      </c>
      <c r="O515" s="2">
        <f t="shared" si="509"/>
        <v>6000000</v>
      </c>
      <c r="P515" s="2">
        <f t="shared" ca="1" si="510"/>
        <v>39002710.021784477</v>
      </c>
      <c r="Q515" s="2">
        <f t="shared" ca="1" si="511"/>
        <v>975067.75054461195</v>
      </c>
      <c r="R515" s="2">
        <f t="shared" ca="1" si="512"/>
        <v>23401626.013070684</v>
      </c>
      <c r="S515" s="2">
        <f t="shared" ca="1" si="513"/>
        <v>15601084.008713791</v>
      </c>
      <c r="T515" s="2">
        <f t="shared" ca="1" si="514"/>
        <v>50379288.630524658</v>
      </c>
      <c r="U515" s="2">
        <f t="shared" ca="1" si="515"/>
        <v>53615671.86397782</v>
      </c>
      <c r="V515" s="2">
        <f t="shared" ca="1" si="516"/>
        <v>57059961.495446898</v>
      </c>
      <c r="W515" s="2">
        <f t="shared" ca="1" si="517"/>
        <v>60725513.505116552</v>
      </c>
      <c r="X515" s="2">
        <f t="shared" ca="1" si="518"/>
        <v>64626541.866039366</v>
      </c>
      <c r="Y515" s="2">
        <f t="shared" ca="1" si="519"/>
        <v>0.12148200876701527</v>
      </c>
      <c r="Z515" s="2">
        <f t="shared" ca="1" si="520"/>
        <v>0.12207481227382139</v>
      </c>
      <c r="AA515" s="2">
        <f t="shared" ca="1" si="521"/>
        <v>6120177.1830893895</v>
      </c>
      <c r="AB515" s="2">
        <f t="shared" ca="1" si="522"/>
        <v>6545123.0777298994</v>
      </c>
      <c r="AC515" s="2">
        <f t="shared" ca="1" si="523"/>
        <v>6965584.0879081571</v>
      </c>
      <c r="AD515" s="2">
        <f t="shared" ca="1" si="524"/>
        <v>7413055.6613685088</v>
      </c>
      <c r="AE515" s="2">
        <f t="shared" ca="1" si="525"/>
        <v>7889272.9662030144</v>
      </c>
      <c r="AF515" s="2">
        <f t="shared" ca="1" si="526"/>
        <v>1007585.7726104931</v>
      </c>
      <c r="AG515" s="2">
        <f t="shared" ca="1" si="527"/>
        <v>1072313.4372795564</v>
      </c>
      <c r="AH515" s="2">
        <f t="shared" ca="1" si="528"/>
        <v>1141199.2299089381</v>
      </c>
      <c r="AI515" s="2">
        <f t="shared" ca="1" si="529"/>
        <v>1214510.2701023312</v>
      </c>
      <c r="AJ515" s="2">
        <f t="shared" ca="1" si="530"/>
        <v>1292530.8373207874</v>
      </c>
      <c r="AK515" s="2">
        <f t="shared" ca="1" si="531"/>
        <v>0</v>
      </c>
      <c r="AL515" s="2">
        <f t="shared" ca="1" si="532"/>
        <v>32363.83233453162</v>
      </c>
      <c r="AM515" s="2">
        <f t="shared" ca="1" si="533"/>
        <v>34442.896314690784</v>
      </c>
      <c r="AN515" s="2">
        <f t="shared" ca="1" si="534"/>
        <v>36655.520096696542</v>
      </c>
      <c r="AO515" s="2">
        <f t="shared" ca="1" si="535"/>
        <v>39010.283609228136</v>
      </c>
      <c r="AP515" s="2">
        <f t="shared" ca="1" si="536"/>
        <v>2106146.3411763613</v>
      </c>
      <c r="AQ515" s="2">
        <f t="shared" ca="1" si="537"/>
        <v>781675.71801865916</v>
      </c>
      <c r="AR515" s="2">
        <f t="shared" ca="1" si="538"/>
        <v>875332.45781123545</v>
      </c>
      <c r="AS515" s="2">
        <f t="shared" ca="1" si="539"/>
        <v>966742.01437394298</v>
      </c>
      <c r="AT515" s="2">
        <f t="shared" ca="1" si="540"/>
        <v>1064023.7530233522</v>
      </c>
      <c r="AU515" s="2">
        <f t="shared" ca="1" si="541"/>
        <v>1167554.9048035254</v>
      </c>
      <c r="AV515" s="2">
        <f t="shared" ca="1" si="542"/>
        <v>2224769.3512838758</v>
      </c>
      <c r="AW515" s="2">
        <f t="shared" ca="1" si="543"/>
        <v>2458967.0091282153</v>
      </c>
      <c r="AX515" s="2">
        <f t="shared" ca="1" si="544"/>
        <v>2717053.6061342233</v>
      </c>
      <c r="AY515" s="2">
        <f t="shared" ca="1" si="545"/>
        <v>2991719.7769697667</v>
      </c>
      <c r="AZ515" s="2">
        <f t="shared" ca="1" si="546"/>
        <v>3284030.5992931123</v>
      </c>
      <c r="BA515" s="2">
        <f t="shared" ca="1" si="547"/>
        <v>59362105.43181929</v>
      </c>
      <c r="BB515" s="2">
        <f t="shared" ca="1" si="548"/>
        <v>1187242.1086363858</v>
      </c>
      <c r="BC515" s="2">
        <f t="shared" ca="1" si="549"/>
        <v>34773237.310112216</v>
      </c>
      <c r="BD515" s="2">
        <f t="shared" ca="1" si="550"/>
        <v>-17076151.759258404</v>
      </c>
      <c r="BE515" s="2">
        <f t="shared" ca="1" si="551"/>
        <v>2224769.3512838758</v>
      </c>
      <c r="BF515" s="2">
        <f t="shared" ca="1" si="552"/>
        <v>2458967.0091282153</v>
      </c>
      <c r="BG515" s="2">
        <f t="shared" ca="1" si="553"/>
        <v>2717053.6061342233</v>
      </c>
      <c r="BH515" s="2">
        <f t="shared" ca="1" si="554"/>
        <v>2991719.7769697667</v>
      </c>
      <c r="BI515" s="2">
        <f t="shared" ca="1" si="555"/>
        <v>38057267.909405328</v>
      </c>
      <c r="BJ515" s="2">
        <f t="shared" ca="1" si="556"/>
        <v>0.27353027065328162</v>
      </c>
      <c r="BK515" s="2">
        <f t="shared" ca="1" si="557"/>
        <v>12300475.851978321</v>
      </c>
    </row>
    <row r="516" spans="1:63" x14ac:dyDescent="0.3">
      <c r="A516" s="2">
        <v>515</v>
      </c>
      <c r="B516" s="2">
        <f t="shared" ca="1" si="496"/>
        <v>0.70126819420838471</v>
      </c>
      <c r="C516" s="2">
        <f t="shared" ca="1" si="497"/>
        <v>7.2270422963814704</v>
      </c>
      <c r="D516" s="2">
        <f t="shared" ca="1" si="498"/>
        <v>0.80332348648803631</v>
      </c>
      <c r="E516" s="2">
        <f t="shared" ca="1" si="499"/>
        <v>7.8728213755046115</v>
      </c>
      <c r="F516" s="2">
        <f t="shared" ca="1" si="500"/>
        <v>0.33567043723176371</v>
      </c>
      <c r="G516" s="2">
        <f t="shared" ca="1" si="501"/>
        <v>2.7270746375229631E-2</v>
      </c>
      <c r="H516" s="2">
        <f t="shared" ca="1" si="502"/>
        <v>2.7270746375229631E-2</v>
      </c>
      <c r="I516" s="2">
        <f t="shared" ca="1" si="503"/>
        <v>0.83155527755912562</v>
      </c>
      <c r="J516" s="2">
        <f t="shared" ca="1" si="504"/>
        <v>1.4801647128918826E-2</v>
      </c>
      <c r="K516" s="2">
        <f t="shared" ca="1" si="505"/>
        <v>1.4801647128918826E-2</v>
      </c>
      <c r="L516" s="2">
        <f t="shared" ca="1" si="506"/>
        <v>1.3379925349674027E-2</v>
      </c>
      <c r="M516" s="2">
        <f t="shared" ca="1" si="507"/>
        <v>-4.430006230428972E-2</v>
      </c>
      <c r="N516" s="2">
        <f t="shared" ca="1" si="508"/>
        <v>-4.430006230428972E-2</v>
      </c>
      <c r="O516" s="2">
        <f t="shared" si="509"/>
        <v>6000000</v>
      </c>
      <c r="P516" s="2">
        <f t="shared" ca="1" si="510"/>
        <v>43362253.778288826</v>
      </c>
      <c r="Q516" s="2">
        <f t="shared" ca="1" si="511"/>
        <v>1084056.3444572208</v>
      </c>
      <c r="R516" s="2">
        <f t="shared" ca="1" si="512"/>
        <v>26017352.266973294</v>
      </c>
      <c r="S516" s="2">
        <f t="shared" ca="1" si="513"/>
        <v>17344901.511315532</v>
      </c>
      <c r="T516" s="2">
        <f t="shared" ca="1" si="514"/>
        <v>47784996.884785511</v>
      </c>
      <c r="U516" s="2">
        <f t="shared" ca="1" si="515"/>
        <v>49088129.415371627</v>
      </c>
      <c r="V516" s="2">
        <f t="shared" ca="1" si="516"/>
        <v>50426799.342692673</v>
      </c>
      <c r="W516" s="2">
        <f t="shared" ca="1" si="517"/>
        <v>51801975.798081838</v>
      </c>
      <c r="X516" s="2">
        <f t="shared" ca="1" si="518"/>
        <v>53214654.341807105</v>
      </c>
      <c r="Y516" s="2">
        <f t="shared" ca="1" si="519"/>
        <v>0.12740082356445942</v>
      </c>
      <c r="Z516" s="2">
        <f t="shared" ca="1" si="520"/>
        <v>0.13036115299024317</v>
      </c>
      <c r="AA516" s="2">
        <f t="shared" ca="1" si="521"/>
        <v>6087847.957146802</v>
      </c>
      <c r="AB516" s="2">
        <f t="shared" ca="1" si="522"/>
        <v>6399185.1487221168</v>
      </c>
      <c r="AC516" s="2">
        <f t="shared" ca="1" si="523"/>
        <v>6573695.7039210536</v>
      </c>
      <c r="AD516" s="2">
        <f t="shared" ca="1" si="524"/>
        <v>6752965.2922106208</v>
      </c>
      <c r="AE516" s="2">
        <f t="shared" ca="1" si="525"/>
        <v>6937123.6959752245</v>
      </c>
      <c r="AF516" s="2">
        <f t="shared" ca="1" si="526"/>
        <v>955699.93769571022</v>
      </c>
      <c r="AG516" s="2">
        <f t="shared" ca="1" si="527"/>
        <v>981762.5883074326</v>
      </c>
      <c r="AH516" s="2">
        <f t="shared" ca="1" si="528"/>
        <v>1008535.9868538535</v>
      </c>
      <c r="AI516" s="2">
        <f t="shared" ca="1" si="529"/>
        <v>1036039.5159616368</v>
      </c>
      <c r="AJ516" s="2">
        <f t="shared" ca="1" si="530"/>
        <v>1064293.086836142</v>
      </c>
      <c r="AK516" s="2">
        <f t="shared" ca="1" si="531"/>
        <v>0</v>
      </c>
      <c r="AL516" s="2">
        <f t="shared" ca="1" si="532"/>
        <v>13031.325305861161</v>
      </c>
      <c r="AM516" s="2">
        <f t="shared" ca="1" si="533"/>
        <v>13386.699273210466</v>
      </c>
      <c r="AN516" s="2">
        <f t="shared" ca="1" si="534"/>
        <v>13751.764553891644</v>
      </c>
      <c r="AO516" s="2">
        <f t="shared" ca="1" si="535"/>
        <v>14126.785437252671</v>
      </c>
      <c r="AP516" s="2">
        <f t="shared" ca="1" si="536"/>
        <v>2341561.7040275964</v>
      </c>
      <c r="AQ516" s="2">
        <f t="shared" ca="1" si="537"/>
        <v>725552.44201010885</v>
      </c>
      <c r="AR516" s="2">
        <f t="shared" ca="1" si="538"/>
        <v>799723.82266064279</v>
      </c>
      <c r="AS516" s="2">
        <f t="shared" ca="1" si="539"/>
        <v>838135.48339029693</v>
      </c>
      <c r="AT516" s="2">
        <f t="shared" ca="1" si="540"/>
        <v>877594.65877756081</v>
      </c>
      <c r="AU516" s="2">
        <f t="shared" ca="1" si="541"/>
        <v>918129.91532898659</v>
      </c>
      <c r="AV516" s="2">
        <f t="shared" ca="1" si="542"/>
        <v>2065033.8734133863</v>
      </c>
      <c r="AW516" s="2">
        <f t="shared" ca="1" si="543"/>
        <v>2263105.7084205835</v>
      </c>
      <c r="AX516" s="2">
        <f t="shared" ca="1" si="544"/>
        <v>2372075.8303760965</v>
      </c>
      <c r="AY516" s="2">
        <f t="shared" ca="1" si="545"/>
        <v>2484017.6488899351</v>
      </c>
      <c r="AZ516" s="2">
        <f t="shared" ca="1" si="546"/>
        <v>2599012.2043452472</v>
      </c>
      <c r="BA516" s="2">
        <f t="shared" ca="1" si="547"/>
        <v>54614735.7181933</v>
      </c>
      <c r="BB516" s="2">
        <f t="shared" ca="1" si="548"/>
        <v>1092294.714363866</v>
      </c>
      <c r="BC516" s="2">
        <f t="shared" ca="1" si="549"/>
        <v>27505088.73685614</v>
      </c>
      <c r="BD516" s="2">
        <f t="shared" ca="1" si="550"/>
        <v>-18928957.855772752</v>
      </c>
      <c r="BE516" s="2">
        <f t="shared" ca="1" si="551"/>
        <v>2065033.8734133863</v>
      </c>
      <c r="BF516" s="2">
        <f t="shared" ca="1" si="552"/>
        <v>2263105.7084205835</v>
      </c>
      <c r="BG516" s="2">
        <f t="shared" ca="1" si="553"/>
        <v>2372075.8303760965</v>
      </c>
      <c r="BH516" s="2">
        <f t="shared" ca="1" si="554"/>
        <v>2484017.6488899351</v>
      </c>
      <c r="BI516" s="2">
        <f t="shared" ca="1" si="555"/>
        <v>30104100.941201389</v>
      </c>
      <c r="BJ516" s="2">
        <f t="shared" ca="1" si="556"/>
        <v>0.18491103360401295</v>
      </c>
      <c r="BK516" s="2">
        <f t="shared" ca="1" si="557"/>
        <v>5067866.5899747349</v>
      </c>
    </row>
    <row r="517" spans="1:63" x14ac:dyDescent="0.3">
      <c r="A517" s="2">
        <v>516</v>
      </c>
      <c r="B517" s="2">
        <f t="shared" ca="1" si="496"/>
        <v>0.89033016191628123</v>
      </c>
      <c r="C517" s="2">
        <f t="shared" ca="1" si="497"/>
        <v>7.5316628605721752</v>
      </c>
      <c r="D517" s="2">
        <f t="shared" ca="1" si="498"/>
        <v>0.6393842844771177</v>
      </c>
      <c r="E517" s="2">
        <f t="shared" ca="1" si="499"/>
        <v>7.6507465448726366</v>
      </c>
      <c r="F517" s="2">
        <f t="shared" ca="1" si="500"/>
        <v>0.69784994791898125</v>
      </c>
      <c r="G517" s="2">
        <f t="shared" ca="1" si="501"/>
        <v>5.5546801165798132E-2</v>
      </c>
      <c r="H517" s="2">
        <f t="shared" ca="1" si="502"/>
        <v>5.5546801165798132E-2</v>
      </c>
      <c r="I517" s="2">
        <f t="shared" ca="1" si="503"/>
        <v>0.57067162350151623</v>
      </c>
      <c r="J517" s="2">
        <f t="shared" ca="1" si="504"/>
        <v>1.0890421619280907E-2</v>
      </c>
      <c r="K517" s="2">
        <f t="shared" ca="1" si="505"/>
        <v>1.0890421619280907E-2</v>
      </c>
      <c r="L517" s="2">
        <f t="shared" ca="1" si="506"/>
        <v>0.62052665742555335</v>
      </c>
      <c r="M517" s="2">
        <f t="shared" ca="1" si="507"/>
        <v>6.1372854273494268E-3</v>
      </c>
      <c r="N517" s="2">
        <f t="shared" ca="1" si="508"/>
        <v>6.1372854273494268E-3</v>
      </c>
      <c r="O517" s="2">
        <f t="shared" si="509"/>
        <v>6000000</v>
      </c>
      <c r="P517" s="2">
        <f t="shared" ca="1" si="510"/>
        <v>45189977.163433053</v>
      </c>
      <c r="Q517" s="2">
        <f t="shared" ca="1" si="511"/>
        <v>1129749.4290858263</v>
      </c>
      <c r="R517" s="2">
        <f t="shared" ca="1" si="512"/>
        <v>27113986.298059832</v>
      </c>
      <c r="S517" s="2">
        <f t="shared" ca="1" si="513"/>
        <v>18075990.86537322</v>
      </c>
      <c r="T517" s="2">
        <f t="shared" ca="1" si="514"/>
        <v>50306864.271367468</v>
      </c>
      <c r="U517" s="2">
        <f t="shared" ca="1" si="515"/>
        <v>53101249.658323914</v>
      </c>
      <c r="V517" s="2">
        <f t="shared" ca="1" si="516"/>
        <v>56050854.214750245</v>
      </c>
      <c r="W517" s="2">
        <f t="shared" ca="1" si="517"/>
        <v>59164299.868990123</v>
      </c>
      <c r="X517" s="2">
        <f t="shared" ca="1" si="518"/>
        <v>62450687.469926581</v>
      </c>
      <c r="Y517" s="2">
        <f t="shared" ca="1" si="519"/>
        <v>0.12544521080964044</v>
      </c>
      <c r="Z517" s="2">
        <f t="shared" ca="1" si="520"/>
        <v>0.12762329513349663</v>
      </c>
      <c r="AA517" s="2">
        <f t="shared" ca="1" si="521"/>
        <v>6310755.1936936611</v>
      </c>
      <c r="AB517" s="2">
        <f t="shared" ca="1" si="522"/>
        <v>6776956.4571017595</v>
      </c>
      <c r="AC517" s="2">
        <f t="shared" ca="1" si="523"/>
        <v>7153394.7099336637</v>
      </c>
      <c r="AD517" s="2">
        <f t="shared" ca="1" si="524"/>
        <v>7550742.9035468223</v>
      </c>
      <c r="AE517" s="2">
        <f t="shared" ca="1" si="525"/>
        <v>7970162.5182641996</v>
      </c>
      <c r="AF517" s="2">
        <f t="shared" ca="1" si="526"/>
        <v>1006137.2854273494</v>
      </c>
      <c r="AG517" s="2">
        <f t="shared" ca="1" si="527"/>
        <v>1062024.9931664784</v>
      </c>
      <c r="AH517" s="2">
        <f t="shared" ca="1" si="528"/>
        <v>1121017.0842950048</v>
      </c>
      <c r="AI517" s="2">
        <f t="shared" ca="1" si="529"/>
        <v>1183285.9973798024</v>
      </c>
      <c r="AJ517" s="2">
        <f t="shared" ca="1" si="530"/>
        <v>1249013.7493985316</v>
      </c>
      <c r="AK517" s="2">
        <f t="shared" ca="1" si="531"/>
        <v>0</v>
      </c>
      <c r="AL517" s="2">
        <f t="shared" ca="1" si="532"/>
        <v>27943.85386956446</v>
      </c>
      <c r="AM517" s="2">
        <f t="shared" ca="1" si="533"/>
        <v>29496.045564263313</v>
      </c>
      <c r="AN517" s="2">
        <f t="shared" ca="1" si="534"/>
        <v>31134.456542398781</v>
      </c>
      <c r="AO517" s="2">
        <f t="shared" ca="1" si="535"/>
        <v>32863.876009364576</v>
      </c>
      <c r="AP517" s="2">
        <f t="shared" ca="1" si="536"/>
        <v>2440258.7668253849</v>
      </c>
      <c r="AQ517" s="2">
        <f t="shared" ca="1" si="537"/>
        <v>744733.37677464099</v>
      </c>
      <c r="AR517" s="2">
        <f t="shared" ca="1" si="538"/>
        <v>851414.90124857309</v>
      </c>
      <c r="AS517" s="2">
        <f t="shared" ca="1" si="539"/>
        <v>933950.90329145128</v>
      </c>
      <c r="AT517" s="2">
        <f t="shared" ca="1" si="540"/>
        <v>1021071.5162288252</v>
      </c>
      <c r="AU517" s="2">
        <f t="shared" ca="1" si="541"/>
        <v>1113031.4005304738</v>
      </c>
      <c r="AV517" s="2">
        <f t="shared" ca="1" si="542"/>
        <v>2119625.7646662858</v>
      </c>
      <c r="AW517" s="2">
        <f t="shared" ca="1" si="543"/>
        <v>2395313.9419917581</v>
      </c>
      <c r="AX517" s="2">
        <f t="shared" ca="1" si="544"/>
        <v>2628671.9099575602</v>
      </c>
      <c r="AY517" s="2">
        <f t="shared" ca="1" si="545"/>
        <v>2874992.1665704115</v>
      </c>
      <c r="AZ517" s="2">
        <f t="shared" ca="1" si="546"/>
        <v>3134994.7255004444</v>
      </c>
      <c r="BA517" s="2">
        <f t="shared" ca="1" si="547"/>
        <v>60977693.348683216</v>
      </c>
      <c r="BB517" s="2">
        <f t="shared" ca="1" si="548"/>
        <v>1219553.8669736644</v>
      </c>
      <c r="BC517" s="2">
        <f t="shared" ca="1" si="549"/>
        <v>32644153.183649722</v>
      </c>
      <c r="BD517" s="2">
        <f t="shared" ca="1" si="550"/>
        <v>-19705740.294459045</v>
      </c>
      <c r="BE517" s="2">
        <f t="shared" ca="1" si="551"/>
        <v>2119625.7646662858</v>
      </c>
      <c r="BF517" s="2">
        <f t="shared" ca="1" si="552"/>
        <v>2395313.9419917581</v>
      </c>
      <c r="BG517" s="2">
        <f t="shared" ca="1" si="553"/>
        <v>2628671.9099575602</v>
      </c>
      <c r="BH517" s="2">
        <f t="shared" ca="1" si="554"/>
        <v>2874992.1665704115</v>
      </c>
      <c r="BI517" s="2">
        <f t="shared" ca="1" si="555"/>
        <v>35779147.909150168</v>
      </c>
      <c r="BJ517" s="2">
        <f t="shared" ca="1" si="556"/>
        <v>0.21439709353464176</v>
      </c>
      <c r="BK517" s="2">
        <f t="shared" ca="1" si="557"/>
        <v>8096507.9580729939</v>
      </c>
    </row>
    <row r="518" spans="1:63" x14ac:dyDescent="0.3">
      <c r="A518" s="2">
        <v>517</v>
      </c>
      <c r="B518" s="2">
        <f t="shared" ca="1" si="496"/>
        <v>0.64654203198864679</v>
      </c>
      <c r="C518" s="2">
        <f t="shared" ca="1" si="497"/>
        <v>7.1592170696174273</v>
      </c>
      <c r="D518" s="2">
        <f t="shared" ca="1" si="498"/>
        <v>4.9934616558001688E-3</v>
      </c>
      <c r="E518" s="2">
        <f t="shared" ca="1" si="499"/>
        <v>6.5999345951690422</v>
      </c>
      <c r="F518" s="2">
        <f t="shared" ca="1" si="500"/>
        <v>0.95399959639622567</v>
      </c>
      <c r="G518" s="2">
        <f t="shared" ca="1" si="501"/>
        <v>9.0548097533937472E-2</v>
      </c>
      <c r="H518" s="2">
        <f t="shared" ca="1" si="502"/>
        <v>9.0548097533937472E-2</v>
      </c>
      <c r="I518" s="2">
        <f t="shared" ca="1" si="503"/>
        <v>1.4569849554652681E-2</v>
      </c>
      <c r="J518" s="2">
        <f t="shared" ca="1" si="504"/>
        <v>-9.0795720633157946E-4</v>
      </c>
      <c r="K518" s="2">
        <f t="shared" ca="1" si="505"/>
        <v>0</v>
      </c>
      <c r="L518" s="2">
        <f t="shared" ca="1" si="506"/>
        <v>0.88070855330052866</v>
      </c>
      <c r="M518" s="2">
        <f t="shared" ca="1" si="507"/>
        <v>2.3570724806518777E-2</v>
      </c>
      <c r="N518" s="2">
        <f t="shared" ca="1" si="508"/>
        <v>2.3570724806518777E-2</v>
      </c>
      <c r="O518" s="2">
        <f t="shared" si="509"/>
        <v>6000000</v>
      </c>
      <c r="P518" s="2">
        <f t="shared" ca="1" si="510"/>
        <v>42955302.417704567</v>
      </c>
      <c r="Q518" s="2">
        <f t="shared" ca="1" si="511"/>
        <v>1073882.5604426141</v>
      </c>
      <c r="R518" s="2">
        <f t="shared" ca="1" si="512"/>
        <v>25773181.450622741</v>
      </c>
      <c r="S518" s="2">
        <f t="shared" ca="1" si="513"/>
        <v>17182120.967081826</v>
      </c>
      <c r="T518" s="2">
        <f t="shared" ca="1" si="514"/>
        <v>51178536.240325935</v>
      </c>
      <c r="U518" s="2">
        <f t="shared" ca="1" si="515"/>
        <v>55812655.33145912</v>
      </c>
      <c r="V518" s="2">
        <f t="shared" ca="1" si="516"/>
        <v>60866385.090040118</v>
      </c>
      <c r="W518" s="2">
        <f t="shared" ca="1" si="517"/>
        <v>66377720.463711269</v>
      </c>
      <c r="X518" s="2">
        <f t="shared" ca="1" si="518"/>
        <v>72388096.770339832</v>
      </c>
      <c r="Y518" s="2">
        <f t="shared" ca="1" si="519"/>
        <v>0.12</v>
      </c>
      <c r="Z518" s="2">
        <f t="shared" ca="1" si="520"/>
        <v>0.12</v>
      </c>
      <c r="AA518" s="2">
        <f t="shared" ca="1" si="521"/>
        <v>6141424.3488391116</v>
      </c>
      <c r="AB518" s="2">
        <f t="shared" ca="1" si="522"/>
        <v>6697518.6397750946</v>
      </c>
      <c r="AC518" s="2">
        <f t="shared" ca="1" si="523"/>
        <v>7303966.2108048135</v>
      </c>
      <c r="AD518" s="2">
        <f t="shared" ca="1" si="524"/>
        <v>7965326.4556453517</v>
      </c>
      <c r="AE518" s="2">
        <f t="shared" ca="1" si="525"/>
        <v>8686571.6124407798</v>
      </c>
      <c r="AF518" s="2">
        <f t="shared" ca="1" si="526"/>
        <v>1023570.7248065188</v>
      </c>
      <c r="AG518" s="2">
        <f t="shared" ca="1" si="527"/>
        <v>1116253.1066291824</v>
      </c>
      <c r="AH518" s="2">
        <f t="shared" ca="1" si="528"/>
        <v>1217327.7018008025</v>
      </c>
      <c r="AI518" s="2">
        <f t="shared" ca="1" si="529"/>
        <v>1327554.4092742254</v>
      </c>
      <c r="AJ518" s="2">
        <f t="shared" ca="1" si="530"/>
        <v>1447761.9354067966</v>
      </c>
      <c r="AK518" s="2">
        <f t="shared" ca="1" si="531"/>
        <v>0</v>
      </c>
      <c r="AL518" s="2">
        <f t="shared" ca="1" si="532"/>
        <v>46341.190911331847</v>
      </c>
      <c r="AM518" s="2">
        <f t="shared" ca="1" si="533"/>
        <v>50537.297585809974</v>
      </c>
      <c r="AN518" s="2">
        <f t="shared" ca="1" si="534"/>
        <v>55113.35373671152</v>
      </c>
      <c r="AO518" s="2">
        <f t="shared" ca="1" si="535"/>
        <v>60103.763066285625</v>
      </c>
      <c r="AP518" s="2">
        <f t="shared" ca="1" si="536"/>
        <v>2319586.3305560467</v>
      </c>
      <c r="AQ518" s="2">
        <f t="shared" ca="1" si="537"/>
        <v>727549.49630390189</v>
      </c>
      <c r="AR518" s="2">
        <f t="shared" ca="1" si="538"/>
        <v>848036.59267336503</v>
      </c>
      <c r="AS518" s="2">
        <f t="shared" ca="1" si="539"/>
        <v>979433.56639647076</v>
      </c>
      <c r="AT518" s="2">
        <f t="shared" ca="1" si="540"/>
        <v>1122728.2861119208</v>
      </c>
      <c r="AU518" s="2">
        <f t="shared" ca="1" si="541"/>
        <v>1278998.0700842636</v>
      </c>
      <c r="AV518" s="2">
        <f t="shared" ca="1" si="542"/>
        <v>2070717.7971726437</v>
      </c>
      <c r="AW518" s="2">
        <f t="shared" ca="1" si="543"/>
        <v>2367301.4190051681</v>
      </c>
      <c r="AX518" s="2">
        <f t="shared" ca="1" si="544"/>
        <v>2737081.3144656834</v>
      </c>
      <c r="AY518" s="2">
        <f t="shared" ca="1" si="545"/>
        <v>3140344.0759664471</v>
      </c>
      <c r="AZ518" s="2">
        <f t="shared" ca="1" si="546"/>
        <v>3580121.5133273876</v>
      </c>
      <c r="BA518" s="2">
        <f t="shared" ca="1" si="547"/>
        <v>57330804.49836123</v>
      </c>
      <c r="BB518" s="2">
        <f t="shared" ca="1" si="548"/>
        <v>1146616.0899672245</v>
      </c>
      <c r="BC518" s="2">
        <f t="shared" ca="1" si="549"/>
        <v>30411006.957771264</v>
      </c>
      <c r="BD518" s="2">
        <f t="shared" ca="1" si="550"/>
        <v>-18756003.527524441</v>
      </c>
      <c r="BE518" s="2">
        <f t="shared" ca="1" si="551"/>
        <v>2070717.7971726437</v>
      </c>
      <c r="BF518" s="2">
        <f t="shared" ca="1" si="552"/>
        <v>2367301.4190051681</v>
      </c>
      <c r="BG518" s="2">
        <f t="shared" ca="1" si="553"/>
        <v>2737081.3144656834</v>
      </c>
      <c r="BH518" s="2">
        <f t="shared" ca="1" si="554"/>
        <v>3140344.0759664471</v>
      </c>
      <c r="BI518" s="2">
        <f t="shared" ca="1" si="555"/>
        <v>33991128.471098654</v>
      </c>
      <c r="BJ518" s="2">
        <f t="shared" ca="1" si="556"/>
        <v>0.22052298728431996</v>
      </c>
      <c r="BK518" s="2">
        <f t="shared" ca="1" si="557"/>
        <v>8211474.8457378186</v>
      </c>
    </row>
    <row r="519" spans="1:63" x14ac:dyDescent="0.3">
      <c r="A519" s="2">
        <v>518</v>
      </c>
      <c r="B519" s="2">
        <f t="shared" ca="1" si="496"/>
        <v>0.37949881527839524</v>
      </c>
      <c r="C519" s="2">
        <f t="shared" ca="1" si="497"/>
        <v>6.8712047007200949</v>
      </c>
      <c r="D519" s="2">
        <f t="shared" ca="1" si="498"/>
        <v>0.47827687482658998</v>
      </c>
      <c r="E519" s="2">
        <f t="shared" ca="1" si="499"/>
        <v>7.4780356586818195</v>
      </c>
      <c r="F519" s="2">
        <f t="shared" ca="1" si="500"/>
        <v>0.80071313920846721</v>
      </c>
      <c r="G519" s="2">
        <f t="shared" ca="1" si="501"/>
        <v>6.5325137286593157E-2</v>
      </c>
      <c r="H519" s="2">
        <f t="shared" ca="1" si="502"/>
        <v>6.5325137286593157E-2</v>
      </c>
      <c r="I519" s="2">
        <f t="shared" ca="1" si="503"/>
        <v>0.35300269499841919</v>
      </c>
      <c r="J519" s="2">
        <f t="shared" ca="1" si="504"/>
        <v>8.113868183809634E-3</v>
      </c>
      <c r="K519" s="2">
        <f t="shared" ca="1" si="505"/>
        <v>8.113868183809634E-3</v>
      </c>
      <c r="L519" s="2">
        <f t="shared" ca="1" si="506"/>
        <v>0.94253352664770396</v>
      </c>
      <c r="M519" s="2">
        <f t="shared" ca="1" si="507"/>
        <v>3.1528060933207584E-2</v>
      </c>
      <c r="N519" s="2">
        <f t="shared" ca="1" si="508"/>
        <v>3.1528060933207584E-2</v>
      </c>
      <c r="O519" s="2">
        <f t="shared" si="509"/>
        <v>6000000</v>
      </c>
      <c r="P519" s="2">
        <f t="shared" ca="1" si="510"/>
        <v>41227228.204320572</v>
      </c>
      <c r="Q519" s="2">
        <f t="shared" ca="1" si="511"/>
        <v>1030680.7051080144</v>
      </c>
      <c r="R519" s="2">
        <f t="shared" ca="1" si="512"/>
        <v>24736336.922592342</v>
      </c>
      <c r="S519" s="2">
        <f t="shared" ca="1" si="513"/>
        <v>16490891.28172823</v>
      </c>
      <c r="T519" s="2">
        <f t="shared" ca="1" si="514"/>
        <v>51576403.046660379</v>
      </c>
      <c r="U519" s="2">
        <f t="shared" ca="1" si="515"/>
        <v>54945638.656432122</v>
      </c>
      <c r="V519" s="2">
        <f t="shared" ca="1" si="516"/>
        <v>58534970.044963084</v>
      </c>
      <c r="W519" s="2">
        <f t="shared" ca="1" si="517"/>
        <v>62358774.999216907</v>
      </c>
      <c r="X519" s="2">
        <f t="shared" ca="1" si="518"/>
        <v>66432370.537064515</v>
      </c>
      <c r="Y519" s="2">
        <f t="shared" ca="1" si="519"/>
        <v>0.12405693409190481</v>
      </c>
      <c r="Z519" s="2">
        <f t="shared" ca="1" si="520"/>
        <v>0.12567970772866674</v>
      </c>
      <c r="AA519" s="2">
        <f t="shared" ca="1" si="521"/>
        <v>6398410.4334570654</v>
      </c>
      <c r="AB519" s="2">
        <f t="shared" ca="1" si="522"/>
        <v>6905551.807305322</v>
      </c>
      <c r="AC519" s="2">
        <f t="shared" ca="1" si="523"/>
        <v>7356657.9271572232</v>
      </c>
      <c r="AD519" s="2">
        <f t="shared" ca="1" si="524"/>
        <v>7837232.616219271</v>
      </c>
      <c r="AE519" s="2">
        <f t="shared" ca="1" si="525"/>
        <v>8349200.9128207602</v>
      </c>
      <c r="AF519" s="2">
        <f t="shared" ca="1" si="526"/>
        <v>1031528.0609332076</v>
      </c>
      <c r="AG519" s="2">
        <f t="shared" ca="1" si="527"/>
        <v>1098912.7731286425</v>
      </c>
      <c r="AH519" s="2">
        <f t="shared" ca="1" si="528"/>
        <v>1170699.4008992617</v>
      </c>
      <c r="AI519" s="2">
        <f t="shared" ca="1" si="529"/>
        <v>1247175.4999843382</v>
      </c>
      <c r="AJ519" s="2">
        <f t="shared" ca="1" si="530"/>
        <v>1328647.4107412903</v>
      </c>
      <c r="AK519" s="2">
        <f t="shared" ca="1" si="531"/>
        <v>0</v>
      </c>
      <c r="AL519" s="2">
        <f t="shared" ca="1" si="532"/>
        <v>33692.356097717435</v>
      </c>
      <c r="AM519" s="2">
        <f t="shared" ca="1" si="533"/>
        <v>35893.313885309624</v>
      </c>
      <c r="AN519" s="2">
        <f t="shared" ca="1" si="534"/>
        <v>38238.049542538225</v>
      </c>
      <c r="AO519" s="2">
        <f t="shared" ca="1" si="535"/>
        <v>40735.955378476086</v>
      </c>
      <c r="AP519" s="2">
        <f t="shared" ca="1" si="536"/>
        <v>2226270.3230333105</v>
      </c>
      <c r="AQ519" s="2">
        <f t="shared" ca="1" si="537"/>
        <v>816559.13286754221</v>
      </c>
      <c r="AR519" s="2">
        <f t="shared" ca="1" si="538"/>
        <v>930895.86489727593</v>
      </c>
      <c r="AS519" s="2">
        <f t="shared" ca="1" si="539"/>
        <v>1029518.9328384094</v>
      </c>
      <c r="AT519" s="2">
        <f t="shared" ca="1" si="540"/>
        <v>1134584.5662324219</v>
      </c>
      <c r="AU519" s="2">
        <f t="shared" ca="1" si="541"/>
        <v>1246513.6265520016</v>
      </c>
      <c r="AV519" s="2">
        <f t="shared" ca="1" si="542"/>
        <v>2324052.9166230047</v>
      </c>
      <c r="AW519" s="2">
        <f t="shared" ca="1" si="543"/>
        <v>2615780.4901483748</v>
      </c>
      <c r="AX519" s="2">
        <f t="shared" ca="1" si="544"/>
        <v>2894275.9565009326</v>
      </c>
      <c r="AY519" s="2">
        <f t="shared" ca="1" si="545"/>
        <v>3190964.1774266623</v>
      </c>
      <c r="AZ519" s="2">
        <f t="shared" ca="1" si="546"/>
        <v>3507033.5971156815</v>
      </c>
      <c r="BA519" s="2">
        <f t="shared" ca="1" si="547"/>
        <v>62435622.147572443</v>
      </c>
      <c r="BB519" s="2">
        <f t="shared" ca="1" si="548"/>
        <v>1248712.442951449</v>
      </c>
      <c r="BC519" s="2">
        <f t="shared" ca="1" si="549"/>
        <v>36450572.782028653</v>
      </c>
      <c r="BD519" s="2">
        <f t="shared" ca="1" si="550"/>
        <v>-18021571.986836243</v>
      </c>
      <c r="BE519" s="2">
        <f t="shared" ca="1" si="551"/>
        <v>2324052.9166230047</v>
      </c>
      <c r="BF519" s="2">
        <f t="shared" ca="1" si="552"/>
        <v>2615780.4901483748</v>
      </c>
      <c r="BG519" s="2">
        <f t="shared" ca="1" si="553"/>
        <v>2894275.9565009326</v>
      </c>
      <c r="BH519" s="2">
        <f t="shared" ca="1" si="554"/>
        <v>3190964.1774266623</v>
      </c>
      <c r="BI519" s="2">
        <f t="shared" ca="1" si="555"/>
        <v>39957606.379144333</v>
      </c>
      <c r="BJ519" s="2">
        <f t="shared" ca="1" si="556"/>
        <v>0.27280667877902753</v>
      </c>
      <c r="BK519" s="2">
        <f t="shared" ca="1" si="557"/>
        <v>12899782.281527057</v>
      </c>
    </row>
    <row r="520" spans="1:63" x14ac:dyDescent="0.3">
      <c r="A520" s="2">
        <v>519</v>
      </c>
      <c r="B520" s="2">
        <f t="shared" ca="1" si="496"/>
        <v>2.9019202484809159E-2</v>
      </c>
      <c r="C520" s="2">
        <f t="shared" ca="1" si="497"/>
        <v>6.2409116123594259</v>
      </c>
      <c r="D520" s="2">
        <f t="shared" ca="1" si="498"/>
        <v>0.10328098739051017</v>
      </c>
      <c r="E520" s="2">
        <f t="shared" ca="1" si="499"/>
        <v>6.9544908962575818</v>
      </c>
      <c r="F520" s="2">
        <f t="shared" ca="1" si="500"/>
        <v>0.75348118606773185</v>
      </c>
      <c r="G520" s="2">
        <f t="shared" ca="1" si="501"/>
        <v>6.0564564029792232E-2</v>
      </c>
      <c r="H520" s="2">
        <f t="shared" ca="1" si="502"/>
        <v>6.0564564029792232E-2</v>
      </c>
      <c r="I520" s="2">
        <f t="shared" ca="1" si="503"/>
        <v>0.20385330002534774</v>
      </c>
      <c r="J520" s="2">
        <f t="shared" ca="1" si="504"/>
        <v>5.8603187133343107E-3</v>
      </c>
      <c r="K520" s="2">
        <f t="shared" ca="1" si="505"/>
        <v>5.8603187133343107E-3</v>
      </c>
      <c r="L520" s="2">
        <f t="shared" ca="1" si="506"/>
        <v>0.37973062334849172</v>
      </c>
      <c r="M520" s="2">
        <f t="shared" ca="1" si="507"/>
        <v>-6.1237668785406995E-3</v>
      </c>
      <c r="N520" s="2">
        <f t="shared" ca="1" si="508"/>
        <v>-6.1237668785406995E-3</v>
      </c>
      <c r="O520" s="2">
        <f t="shared" si="509"/>
        <v>6000000</v>
      </c>
      <c r="P520" s="2">
        <f t="shared" ca="1" si="510"/>
        <v>37445469.674156554</v>
      </c>
      <c r="Q520" s="2">
        <f t="shared" ca="1" si="511"/>
        <v>936136.74185391387</v>
      </c>
      <c r="R520" s="2">
        <f t="shared" ca="1" si="512"/>
        <v>22467281.80449393</v>
      </c>
      <c r="S520" s="2">
        <f t="shared" ca="1" si="513"/>
        <v>14978187.869662622</v>
      </c>
      <c r="T520" s="2">
        <f t="shared" ca="1" si="514"/>
        <v>49693811.656072967</v>
      </c>
      <c r="U520" s="2">
        <f t="shared" ca="1" si="515"/>
        <v>52703495.694001637</v>
      </c>
      <c r="V520" s="2">
        <f t="shared" ca="1" si="516"/>
        <v>55895459.93355488</v>
      </c>
      <c r="W520" s="2">
        <f t="shared" ca="1" si="517"/>
        <v>59280744.095675357</v>
      </c>
      <c r="X520" s="2">
        <f t="shared" ca="1" si="518"/>
        <v>62871056.517191619</v>
      </c>
      <c r="Y520" s="2">
        <f t="shared" ca="1" si="519"/>
        <v>0.12293015935666715</v>
      </c>
      <c r="Z520" s="2">
        <f t="shared" ca="1" si="520"/>
        <v>0.12410222309933401</v>
      </c>
      <c r="AA520" s="2">
        <f t="shared" ca="1" si="521"/>
        <v>6108868.1859212536</v>
      </c>
      <c r="AB520" s="2">
        <f t="shared" ca="1" si="522"/>
        <v>6540620.9807317806</v>
      </c>
      <c r="AC520" s="2">
        <f t="shared" ca="1" si="523"/>
        <v>6936750.8389139129</v>
      </c>
      <c r="AD520" s="2">
        <f t="shared" ca="1" si="524"/>
        <v>7356872.1292560305</v>
      </c>
      <c r="AE520" s="2">
        <f t="shared" ca="1" si="525"/>
        <v>7802437.8823873522</v>
      </c>
      <c r="AF520" s="2">
        <f t="shared" ca="1" si="526"/>
        <v>993876.23312145937</v>
      </c>
      <c r="AG520" s="2">
        <f t="shared" ca="1" si="527"/>
        <v>1054069.9138800327</v>
      </c>
      <c r="AH520" s="2">
        <f t="shared" ca="1" si="528"/>
        <v>1117909.1986710976</v>
      </c>
      <c r="AI520" s="2">
        <f t="shared" ca="1" si="529"/>
        <v>1185614.8819135071</v>
      </c>
      <c r="AJ520" s="2">
        <f t="shared" ca="1" si="530"/>
        <v>1257421.1303438323</v>
      </c>
      <c r="AK520" s="2">
        <f t="shared" ca="1" si="531"/>
        <v>0</v>
      </c>
      <c r="AL520" s="2">
        <f t="shared" ca="1" si="532"/>
        <v>30096.840379286707</v>
      </c>
      <c r="AM520" s="2">
        <f t="shared" ca="1" si="533"/>
        <v>31919.642395532432</v>
      </c>
      <c r="AN520" s="2">
        <f t="shared" ca="1" si="534"/>
        <v>33852.841621204767</v>
      </c>
      <c r="AO520" s="2">
        <f t="shared" ca="1" si="535"/>
        <v>35903.124215162621</v>
      </c>
      <c r="AP520" s="2">
        <f t="shared" ca="1" si="536"/>
        <v>2022055.3624044536</v>
      </c>
      <c r="AQ520" s="2">
        <f t="shared" ca="1" si="537"/>
        <v>804163.51350278861</v>
      </c>
      <c r="AR520" s="2">
        <f t="shared" ca="1" si="538"/>
        <v>900768.88315629668</v>
      </c>
      <c r="AS520" s="2">
        <f t="shared" ca="1" si="539"/>
        <v>987164.43223797402</v>
      </c>
      <c r="AT520" s="2">
        <f t="shared" ca="1" si="540"/>
        <v>1078792.4900838982</v>
      </c>
      <c r="AU520" s="2">
        <f t="shared" ca="1" si="541"/>
        <v>1175969.9613061573</v>
      </c>
      <c r="AV520" s="2">
        <f t="shared" ca="1" si="542"/>
        <v>2288773.076892552</v>
      </c>
      <c r="AW520" s="2">
        <f t="shared" ca="1" si="543"/>
        <v>2533629.9809117112</v>
      </c>
      <c r="AX520" s="2">
        <f t="shared" ca="1" si="544"/>
        <v>2777702.2032048544</v>
      </c>
      <c r="AY520" s="2">
        <f t="shared" ca="1" si="545"/>
        <v>3036556.553232966</v>
      </c>
      <c r="AZ520" s="2">
        <f t="shared" ca="1" si="546"/>
        <v>3311088.3041177467</v>
      </c>
      <c r="BA520" s="2">
        <f t="shared" ca="1" si="547"/>
        <v>54261983.221678123</v>
      </c>
      <c r="BB520" s="2">
        <f t="shared" ca="1" si="548"/>
        <v>1085239.6644335624</v>
      </c>
      <c r="BC520" s="2">
        <f t="shared" ca="1" si="549"/>
        <v>30709461.752750631</v>
      </c>
      <c r="BD520" s="2">
        <f t="shared" ca="1" si="550"/>
        <v>-16414324.611516535</v>
      </c>
      <c r="BE520" s="2">
        <f t="shared" ca="1" si="551"/>
        <v>2288773.076892552</v>
      </c>
      <c r="BF520" s="2">
        <f t="shared" ca="1" si="552"/>
        <v>2533629.9809117112</v>
      </c>
      <c r="BG520" s="2">
        <f t="shared" ca="1" si="553"/>
        <v>2777702.2032048544</v>
      </c>
      <c r="BH520" s="2">
        <f t="shared" ca="1" si="554"/>
        <v>3036556.553232966</v>
      </c>
      <c r="BI520" s="2">
        <f t="shared" ca="1" si="555"/>
        <v>34020550.056868374</v>
      </c>
      <c r="BJ520" s="2">
        <f t="shared" ca="1" si="556"/>
        <v>0.26573892069937943</v>
      </c>
      <c r="BK520" s="2">
        <f t="shared" ca="1" si="557"/>
        <v>10860090.984141871</v>
      </c>
    </row>
    <row r="521" spans="1:63" x14ac:dyDescent="0.3">
      <c r="A521" s="2">
        <v>520</v>
      </c>
      <c r="B521" s="2">
        <f t="shared" ca="1" si="496"/>
        <v>0.17234167797192224</v>
      </c>
      <c r="C521" s="2">
        <f t="shared" ca="1" si="497"/>
        <v>6.5870973990266393</v>
      </c>
      <c r="D521" s="2">
        <f t="shared" ca="1" si="498"/>
        <v>0.77749821405278774</v>
      </c>
      <c r="E521" s="2">
        <f t="shared" ca="1" si="499"/>
        <v>7.8329141195509946</v>
      </c>
      <c r="F521" s="2">
        <f t="shared" ca="1" si="500"/>
        <v>0.71676799146660364</v>
      </c>
      <c r="G521" s="2">
        <f t="shared" ca="1" si="501"/>
        <v>5.7198005948589759E-2</v>
      </c>
      <c r="H521" s="2">
        <f t="shared" ca="1" si="502"/>
        <v>5.7198005948589759E-2</v>
      </c>
      <c r="I521" s="2">
        <f t="shared" ca="1" si="503"/>
        <v>0.44763477765167115</v>
      </c>
      <c r="J521" s="2">
        <f t="shared" ca="1" si="504"/>
        <v>9.3418032231650169E-3</v>
      </c>
      <c r="K521" s="2">
        <f t="shared" ca="1" si="505"/>
        <v>9.3418032231650169E-3</v>
      </c>
      <c r="L521" s="2">
        <f t="shared" ca="1" si="506"/>
        <v>1.675284381428066E-2</v>
      </c>
      <c r="M521" s="2">
        <f t="shared" ca="1" si="507"/>
        <v>-4.2519416795905624E-2</v>
      </c>
      <c r="N521" s="2">
        <f t="shared" ca="1" si="508"/>
        <v>-4.2519416795905624E-2</v>
      </c>
      <c r="O521" s="2">
        <f t="shared" si="509"/>
        <v>6000000</v>
      </c>
      <c r="P521" s="2">
        <f t="shared" ca="1" si="510"/>
        <v>39522584.394159839</v>
      </c>
      <c r="Q521" s="2">
        <f t="shared" ca="1" si="511"/>
        <v>988064.60985399596</v>
      </c>
      <c r="R521" s="2">
        <f t="shared" ca="1" si="512"/>
        <v>23713550.636495903</v>
      </c>
      <c r="S521" s="2">
        <f t="shared" ca="1" si="513"/>
        <v>15809033.757663935</v>
      </c>
      <c r="T521" s="2">
        <f t="shared" ca="1" si="514"/>
        <v>47874029.160204716</v>
      </c>
      <c r="U521" s="2">
        <f t="shared" ca="1" si="515"/>
        <v>50612328.164893061</v>
      </c>
      <c r="V521" s="2">
        <f t="shared" ca="1" si="516"/>
        <v>53507252.412340589</v>
      </c>
      <c r="W521" s="2">
        <f t="shared" ca="1" si="517"/>
        <v>56567760.554114334</v>
      </c>
      <c r="X521" s="2">
        <f t="shared" ca="1" si="518"/>
        <v>59803323.658786967</v>
      </c>
      <c r="Y521" s="2">
        <f t="shared" ca="1" si="519"/>
        <v>0.12467090161158251</v>
      </c>
      <c r="Z521" s="2">
        <f t="shared" ca="1" si="520"/>
        <v>0.12653926225621551</v>
      </c>
      <c r="AA521" s="2">
        <f t="shared" ca="1" si="521"/>
        <v>5968498.379181914</v>
      </c>
      <c r="AB521" s="2">
        <f t="shared" ca="1" si="522"/>
        <v>6404446.6670550453</v>
      </c>
      <c r="AC521" s="2">
        <f t="shared" ca="1" si="523"/>
        <v>6770768.245614686</v>
      </c>
      <c r="AD521" s="2">
        <f t="shared" ca="1" si="524"/>
        <v>7158042.6880038762</v>
      </c>
      <c r="AE521" s="2">
        <f t="shared" ca="1" si="525"/>
        <v>7567468.4562525814</v>
      </c>
      <c r="AF521" s="2">
        <f t="shared" ca="1" si="526"/>
        <v>957480.58320409432</v>
      </c>
      <c r="AG521" s="2">
        <f t="shared" ca="1" si="527"/>
        <v>1012246.5632978613</v>
      </c>
      <c r="AH521" s="2">
        <f t="shared" ca="1" si="528"/>
        <v>1070145.0482468118</v>
      </c>
      <c r="AI521" s="2">
        <f t="shared" ca="1" si="529"/>
        <v>1131355.2110822867</v>
      </c>
      <c r="AJ521" s="2">
        <f t="shared" ca="1" si="530"/>
        <v>1196066.4731757394</v>
      </c>
      <c r="AK521" s="2">
        <f t="shared" ca="1" si="531"/>
        <v>0</v>
      </c>
      <c r="AL521" s="2">
        <f t="shared" ca="1" si="532"/>
        <v>27382.990046883449</v>
      </c>
      <c r="AM521" s="2">
        <f t="shared" ca="1" si="533"/>
        <v>28949.242474475279</v>
      </c>
      <c r="AN521" s="2">
        <f t="shared" ca="1" si="534"/>
        <v>30605.081417737456</v>
      </c>
      <c r="AO521" s="2">
        <f t="shared" ca="1" si="535"/>
        <v>32355.631046726332</v>
      </c>
      <c r="AP521" s="2">
        <f t="shared" ca="1" si="536"/>
        <v>2134219.5572846313</v>
      </c>
      <c r="AQ521" s="2">
        <f t="shared" ca="1" si="537"/>
        <v>747967.542060229</v>
      </c>
      <c r="AR521" s="2">
        <f t="shared" ca="1" si="538"/>
        <v>847074.94208286377</v>
      </c>
      <c r="AS521" s="2">
        <f t="shared" ca="1" si="539"/>
        <v>927264.94642164314</v>
      </c>
      <c r="AT521" s="2">
        <f t="shared" ca="1" si="540"/>
        <v>1012041.6591056093</v>
      </c>
      <c r="AU521" s="2">
        <f t="shared" ca="1" si="541"/>
        <v>1101667.430705975</v>
      </c>
      <c r="AV521" s="2">
        <f t="shared" ca="1" si="542"/>
        <v>2128830.6966329594</v>
      </c>
      <c r="AW521" s="2">
        <f t="shared" ca="1" si="543"/>
        <v>2383522.6143428064</v>
      </c>
      <c r="AX521" s="2">
        <f t="shared" ca="1" si="544"/>
        <v>2610189.4511871249</v>
      </c>
      <c r="AY521" s="2">
        <f t="shared" ca="1" si="545"/>
        <v>2849821.179113612</v>
      </c>
      <c r="AZ521" s="2">
        <f t="shared" ca="1" si="546"/>
        <v>3103159.36403951</v>
      </c>
      <c r="BA521" s="2">
        <f t="shared" ca="1" si="547"/>
        <v>59275330.52023761</v>
      </c>
      <c r="BB521" s="2">
        <f t="shared" ca="1" si="548"/>
        <v>1185506.6104047522</v>
      </c>
      <c r="BC521" s="2">
        <f t="shared" ca="1" si="549"/>
        <v>34376273.273336954</v>
      </c>
      <c r="BD521" s="2">
        <f t="shared" ca="1" si="550"/>
        <v>-17297098.367517933</v>
      </c>
      <c r="BE521" s="2">
        <f t="shared" ca="1" si="551"/>
        <v>2128830.6966329594</v>
      </c>
      <c r="BF521" s="2">
        <f t="shared" ca="1" si="552"/>
        <v>2383522.6143428064</v>
      </c>
      <c r="BG521" s="2">
        <f t="shared" ca="1" si="553"/>
        <v>2610189.4511871249</v>
      </c>
      <c r="BH521" s="2">
        <f t="shared" ca="1" si="554"/>
        <v>2849821.179113612</v>
      </c>
      <c r="BI521" s="2">
        <f t="shared" ca="1" si="555"/>
        <v>37479432.637376465</v>
      </c>
      <c r="BJ521" s="2">
        <f t="shared" ca="1" si="556"/>
        <v>0.26229789502645828</v>
      </c>
      <c r="BK521" s="2">
        <f t="shared" ca="1" si="557"/>
        <v>11439603.750560004</v>
      </c>
    </row>
    <row r="522" spans="1:63" x14ac:dyDescent="0.3">
      <c r="A522" s="2">
        <v>521</v>
      </c>
      <c r="B522" s="2">
        <f t="shared" ca="1" si="496"/>
        <v>0.89102306338051285</v>
      </c>
      <c r="C522" s="2">
        <f t="shared" ca="1" si="497"/>
        <v>7.5331446977499619</v>
      </c>
      <c r="D522" s="2">
        <f t="shared" ca="1" si="498"/>
        <v>0.23979006169946981</v>
      </c>
      <c r="E522" s="2">
        <f t="shared" ca="1" si="499"/>
        <v>7.1925172368966273</v>
      </c>
      <c r="F522" s="2">
        <f t="shared" ca="1" si="500"/>
        <v>0.838765994541668</v>
      </c>
      <c r="G522" s="2">
        <f t="shared" ca="1" si="501"/>
        <v>6.9681967098444736E-2</v>
      </c>
      <c r="H522" s="2">
        <f t="shared" ca="1" si="502"/>
        <v>6.9681967098444736E-2</v>
      </c>
      <c r="I522" s="2">
        <f t="shared" ca="1" si="503"/>
        <v>0.99130363221300821</v>
      </c>
      <c r="J522" s="2">
        <f t="shared" ca="1" si="504"/>
        <v>2.1891492960140493E-2</v>
      </c>
      <c r="K522" s="2">
        <f t="shared" ca="1" si="505"/>
        <v>2.1891492960140493E-2</v>
      </c>
      <c r="L522" s="2">
        <f t="shared" ca="1" si="506"/>
        <v>0.47832816070948891</v>
      </c>
      <c r="M522" s="2">
        <f t="shared" ca="1" si="507"/>
        <v>-1.0869998175643493E-3</v>
      </c>
      <c r="N522" s="2">
        <f t="shared" ca="1" si="508"/>
        <v>-1.0869998175643493E-3</v>
      </c>
      <c r="O522" s="2">
        <f t="shared" si="509"/>
        <v>6000000</v>
      </c>
      <c r="P522" s="2">
        <f t="shared" ca="1" si="510"/>
        <v>45198868.186499774</v>
      </c>
      <c r="Q522" s="2">
        <f t="shared" ca="1" si="511"/>
        <v>1129971.7046624944</v>
      </c>
      <c r="R522" s="2">
        <f t="shared" ca="1" si="512"/>
        <v>27119320.911899865</v>
      </c>
      <c r="S522" s="2">
        <f t="shared" ca="1" si="513"/>
        <v>18079547.27459991</v>
      </c>
      <c r="T522" s="2">
        <f t="shared" ca="1" si="514"/>
        <v>49945650.009121783</v>
      </c>
      <c r="U522" s="2">
        <f t="shared" ca="1" si="515"/>
        <v>53425961.149767846</v>
      </c>
      <c r="V522" s="2">
        <f t="shared" ca="1" si="516"/>
        <v>57148787.216808759</v>
      </c>
      <c r="W522" s="2">
        <f t="shared" ca="1" si="517"/>
        <v>61131027.127366446</v>
      </c>
      <c r="X522" s="2">
        <f t="shared" ca="1" si="518"/>
        <v>65390757.348349728</v>
      </c>
      <c r="Y522" s="2">
        <f t="shared" ca="1" si="519"/>
        <v>0.13094574648007024</v>
      </c>
      <c r="Z522" s="2">
        <f t="shared" ca="1" si="520"/>
        <v>0.13532404507209833</v>
      </c>
      <c r="AA522" s="2">
        <f t="shared" ca="1" si="521"/>
        <v>6540170.4238767782</v>
      </c>
      <c r="AB522" s="2">
        <f t="shared" ca="1" si="522"/>
        <v>7229817.1746513583</v>
      </c>
      <c r="AC522" s="2">
        <f t="shared" ca="1" si="523"/>
        <v>7733605.0571431853</v>
      </c>
      <c r="AD522" s="2">
        <f t="shared" ca="1" si="524"/>
        <v>8272497.8702874025</v>
      </c>
      <c r="AE522" s="2">
        <f t="shared" ca="1" si="525"/>
        <v>8848941.7947067246</v>
      </c>
      <c r="AF522" s="2">
        <f t="shared" ca="1" si="526"/>
        <v>998913.00018243573</v>
      </c>
      <c r="AG522" s="2">
        <f t="shared" ca="1" si="527"/>
        <v>1068519.2229953569</v>
      </c>
      <c r="AH522" s="2">
        <f t="shared" ca="1" si="528"/>
        <v>1142975.7443361753</v>
      </c>
      <c r="AI522" s="2">
        <f t="shared" ca="1" si="529"/>
        <v>1222620.5425473289</v>
      </c>
      <c r="AJ522" s="2">
        <f t="shared" ca="1" si="530"/>
        <v>1307815.1469669945</v>
      </c>
      <c r="AK522" s="2">
        <f t="shared" ca="1" si="531"/>
        <v>0</v>
      </c>
      <c r="AL522" s="2">
        <f t="shared" ca="1" si="532"/>
        <v>34803.11140646063</v>
      </c>
      <c r="AM522" s="2">
        <f t="shared" ca="1" si="533"/>
        <v>37228.26067040913</v>
      </c>
      <c r="AN522" s="2">
        <f t="shared" ca="1" si="534"/>
        <v>39822.399105576871</v>
      </c>
      <c r="AO522" s="2">
        <f t="shared" ca="1" si="535"/>
        <v>42597.302209832815</v>
      </c>
      <c r="AP522" s="2">
        <f t="shared" ca="1" si="536"/>
        <v>2440738.882070988</v>
      </c>
      <c r="AQ522" s="2">
        <f t="shared" ca="1" si="537"/>
        <v>806134.82082207222</v>
      </c>
      <c r="AR522" s="2">
        <f t="shared" ca="1" si="538"/>
        <v>967345.35809210362</v>
      </c>
      <c r="AS522" s="2">
        <f t="shared" ca="1" si="539"/>
        <v>1078971.5119913658</v>
      </c>
      <c r="AT522" s="2">
        <f t="shared" ca="1" si="540"/>
        <v>1198375.9958739621</v>
      </c>
      <c r="AU522" s="2">
        <f t="shared" ca="1" si="541"/>
        <v>1326100.8190738731</v>
      </c>
      <c r="AV522" s="2">
        <f t="shared" ca="1" si="542"/>
        <v>2294383.7208012822</v>
      </c>
      <c r="AW522" s="2">
        <f t="shared" ca="1" si="543"/>
        <v>2718410.6000864492</v>
      </c>
      <c r="AX522" s="2">
        <f t="shared" ca="1" si="544"/>
        <v>3033690.6580742472</v>
      </c>
      <c r="AY522" s="2">
        <f t="shared" ca="1" si="545"/>
        <v>3370940.0506895469</v>
      </c>
      <c r="AZ522" s="2">
        <f t="shared" ca="1" si="546"/>
        <v>3731689.6443850365</v>
      </c>
      <c r="BA522" s="2">
        <f t="shared" ca="1" si="547"/>
        <v>63646166.386723094</v>
      </c>
      <c r="BB522" s="2">
        <f t="shared" ca="1" si="548"/>
        <v>1272923.327734462</v>
      </c>
      <c r="BC522" s="2">
        <f t="shared" ca="1" si="549"/>
        <v>35253922.147088766</v>
      </c>
      <c r="BD522" s="2">
        <f t="shared" ca="1" si="550"/>
        <v>-19709518.979262404</v>
      </c>
      <c r="BE522" s="2">
        <f t="shared" ca="1" si="551"/>
        <v>2294383.7208012822</v>
      </c>
      <c r="BF522" s="2">
        <f t="shared" ca="1" si="552"/>
        <v>2718410.6000864492</v>
      </c>
      <c r="BG522" s="2">
        <f t="shared" ca="1" si="553"/>
        <v>3033690.6580742472</v>
      </c>
      <c r="BH522" s="2">
        <f t="shared" ca="1" si="554"/>
        <v>3370940.0506895469</v>
      </c>
      <c r="BI522" s="2">
        <f t="shared" ca="1" si="555"/>
        <v>38985611.791473806</v>
      </c>
      <c r="BJ522" s="2">
        <f t="shared" ca="1" si="556"/>
        <v>0.2433985254907518</v>
      </c>
      <c r="BK522" s="2">
        <f t="shared" ca="1" si="557"/>
        <v>10929235.750296228</v>
      </c>
    </row>
    <row r="523" spans="1:63" x14ac:dyDescent="0.3">
      <c r="A523" s="2">
        <v>522</v>
      </c>
      <c r="B523" s="2">
        <f t="shared" ca="1" si="496"/>
        <v>0.11306587677964852</v>
      </c>
      <c r="C523" s="2">
        <f t="shared" ca="1" si="497"/>
        <v>6.4755331256172353</v>
      </c>
      <c r="D523" s="2">
        <f t="shared" ca="1" si="498"/>
        <v>0.40708177007714141</v>
      </c>
      <c r="E523" s="2">
        <f t="shared" ca="1" si="499"/>
        <v>7.4023101130732618</v>
      </c>
      <c r="F523" s="2">
        <f t="shared" ca="1" si="500"/>
        <v>3.909526484764525E-2</v>
      </c>
      <c r="G523" s="2">
        <f t="shared" ca="1" si="501"/>
        <v>-1.2838487556019851E-2</v>
      </c>
      <c r="H523" s="2">
        <f t="shared" ca="1" si="502"/>
        <v>-1.2838487556019851E-2</v>
      </c>
      <c r="I523" s="2">
        <f t="shared" ca="1" si="503"/>
        <v>0.96156931386626776</v>
      </c>
      <c r="J523" s="2">
        <f t="shared" ca="1" si="504"/>
        <v>1.8845973982650401E-2</v>
      </c>
      <c r="K523" s="2">
        <f t="shared" ca="1" si="505"/>
        <v>1.8845973982650401E-2</v>
      </c>
      <c r="L523" s="2">
        <f t="shared" ca="1" si="506"/>
        <v>0.96826881290036837</v>
      </c>
      <c r="M523" s="2">
        <f t="shared" ca="1" si="507"/>
        <v>3.7118763031771709E-2</v>
      </c>
      <c r="N523" s="2">
        <f t="shared" ca="1" si="508"/>
        <v>3.7118763031771709E-2</v>
      </c>
      <c r="O523" s="2">
        <f t="shared" si="509"/>
        <v>6000000</v>
      </c>
      <c r="P523" s="2">
        <f t="shared" ca="1" si="510"/>
        <v>38853198.753703408</v>
      </c>
      <c r="Q523" s="2">
        <f t="shared" ca="1" si="511"/>
        <v>971329.96884258522</v>
      </c>
      <c r="R523" s="2">
        <f t="shared" ca="1" si="512"/>
        <v>23311919.252222043</v>
      </c>
      <c r="S523" s="2">
        <f t="shared" ca="1" si="513"/>
        <v>15541279.501481364</v>
      </c>
      <c r="T523" s="2">
        <f t="shared" ca="1" si="514"/>
        <v>51855938.151588589</v>
      </c>
      <c r="U523" s="2">
        <f t="shared" ca="1" si="515"/>
        <v>51190186.334923685</v>
      </c>
      <c r="V523" s="2">
        <f t="shared" ca="1" si="516"/>
        <v>50532981.764672428</v>
      </c>
      <c r="W523" s="2">
        <f t="shared" ca="1" si="517"/>
        <v>49884214.707118101</v>
      </c>
      <c r="X523" s="2">
        <f t="shared" ca="1" si="518"/>
        <v>49243776.837358944</v>
      </c>
      <c r="Y523" s="2">
        <f t="shared" ca="1" si="519"/>
        <v>0.12942298699132521</v>
      </c>
      <c r="Z523" s="2">
        <f t="shared" ca="1" si="520"/>
        <v>0.13319218178785527</v>
      </c>
      <c r="AA523" s="2">
        <f t="shared" ca="1" si="521"/>
        <v>6711350.4088160144</v>
      </c>
      <c r="AB523" s="2">
        <f t="shared" ca="1" si="522"/>
        <v>6818132.6040753406</v>
      </c>
      <c r="AC523" s="2">
        <f t="shared" ca="1" si="523"/>
        <v>6730598.0934826257</v>
      </c>
      <c r="AD523" s="2">
        <f t="shared" ca="1" si="524"/>
        <v>6644187.3936148779</v>
      </c>
      <c r="AE523" s="2">
        <f t="shared" ca="1" si="525"/>
        <v>6558886.0764420889</v>
      </c>
      <c r="AF523" s="2">
        <f t="shared" ca="1" si="526"/>
        <v>1037118.7630317718</v>
      </c>
      <c r="AG523" s="2">
        <f t="shared" ca="1" si="527"/>
        <v>1023803.7266984737</v>
      </c>
      <c r="AH523" s="2">
        <f t="shared" ca="1" si="528"/>
        <v>1010659.6352934486</v>
      </c>
      <c r="AI523" s="2">
        <f t="shared" ca="1" si="529"/>
        <v>997684.29414236208</v>
      </c>
      <c r="AJ523" s="2">
        <f t="shared" ca="1" si="530"/>
        <v>984875.53674717888</v>
      </c>
      <c r="AK523" s="2">
        <f t="shared" ca="1" si="531"/>
        <v>0</v>
      </c>
      <c r="AL523" s="2">
        <f t="shared" ca="1" si="532"/>
        <v>0</v>
      </c>
      <c r="AM523" s="2">
        <f t="shared" ca="1" si="533"/>
        <v>0</v>
      </c>
      <c r="AN523" s="2">
        <f t="shared" ca="1" si="534"/>
        <v>0</v>
      </c>
      <c r="AO523" s="2">
        <f t="shared" ca="1" si="535"/>
        <v>0</v>
      </c>
      <c r="AP523" s="2">
        <f t="shared" ca="1" si="536"/>
        <v>2098072.7326999838</v>
      </c>
      <c r="AQ523" s="2">
        <f t="shared" ca="1" si="537"/>
        <v>929801.31740190741</v>
      </c>
      <c r="AR523" s="2">
        <f t="shared" ca="1" si="538"/>
        <v>961026.59761598951</v>
      </c>
      <c r="AS523" s="2">
        <f t="shared" ca="1" si="539"/>
        <v>941685.08862719033</v>
      </c>
      <c r="AT523" s="2">
        <f t="shared" ca="1" si="540"/>
        <v>922591.89536085853</v>
      </c>
      <c r="AU523" s="2">
        <f t="shared" ca="1" si="541"/>
        <v>903743.82981868088</v>
      </c>
      <c r="AV523" s="2">
        <f t="shared" ca="1" si="542"/>
        <v>2646357.5956823518</v>
      </c>
      <c r="AW523" s="2">
        <f t="shared" ca="1" si="543"/>
        <v>2735229.5470608929</v>
      </c>
      <c r="AX523" s="2">
        <f t="shared" ca="1" si="544"/>
        <v>2680180.6368620032</v>
      </c>
      <c r="AY523" s="2">
        <f t="shared" ca="1" si="545"/>
        <v>2625838.4714116743</v>
      </c>
      <c r="AZ523" s="2">
        <f t="shared" ca="1" si="546"/>
        <v>2572193.9771762453</v>
      </c>
      <c r="BA523" s="2">
        <f t="shared" ca="1" si="547"/>
        <v>48550908.734142683</v>
      </c>
      <c r="BB523" s="2">
        <f t="shared" ca="1" si="548"/>
        <v>971018.17468285374</v>
      </c>
      <c r="BC523" s="2">
        <f t="shared" ca="1" si="549"/>
        <v>24267971.307237789</v>
      </c>
      <c r="BD523" s="2">
        <f t="shared" ca="1" si="550"/>
        <v>-17012609.47032395</v>
      </c>
      <c r="BE523" s="2">
        <f t="shared" ca="1" si="551"/>
        <v>2646357.5956823518</v>
      </c>
      <c r="BF523" s="2">
        <f t="shared" ca="1" si="552"/>
        <v>2735229.5470608929</v>
      </c>
      <c r="BG523" s="2">
        <f t="shared" ca="1" si="553"/>
        <v>2680180.6368620032</v>
      </c>
      <c r="BH523" s="2">
        <f t="shared" ca="1" si="554"/>
        <v>2625838.4714116743</v>
      </c>
      <c r="BI523" s="2">
        <f t="shared" ca="1" si="555"/>
        <v>26840165.284414034</v>
      </c>
      <c r="BJ523" s="2">
        <f t="shared" ca="1" si="556"/>
        <v>0.21233071791511438</v>
      </c>
      <c r="BK523" s="2">
        <f t="shared" ca="1" si="557"/>
        <v>6337016.1118948087</v>
      </c>
    </row>
    <row r="524" spans="1:63" x14ac:dyDescent="0.3">
      <c r="A524" s="2">
        <v>523</v>
      </c>
      <c r="B524" s="2">
        <f t="shared" ca="1" si="496"/>
        <v>0.59842573627813223</v>
      </c>
      <c r="C524" s="2">
        <f t="shared" ca="1" si="497"/>
        <v>7.1038144570214623</v>
      </c>
      <c r="D524" s="2">
        <f t="shared" ca="1" si="498"/>
        <v>0.19627290016566057</v>
      </c>
      <c r="E524" s="2">
        <f t="shared" ca="1" si="499"/>
        <v>7.1265347558845571</v>
      </c>
      <c r="F524" s="2">
        <f t="shared" ca="1" si="500"/>
        <v>0.73394905292153012</v>
      </c>
      <c r="G524" s="2">
        <f t="shared" ca="1" si="501"/>
        <v>5.8744019951043114E-2</v>
      </c>
      <c r="H524" s="2">
        <f t="shared" ca="1" si="502"/>
        <v>5.8744019951043114E-2</v>
      </c>
      <c r="I524" s="2">
        <f t="shared" ca="1" si="503"/>
        <v>0.40443380836595655</v>
      </c>
      <c r="J524" s="2">
        <f t="shared" ca="1" si="504"/>
        <v>8.7905643106291793E-3</v>
      </c>
      <c r="K524" s="2">
        <f t="shared" ca="1" si="505"/>
        <v>8.7905643106291793E-3</v>
      </c>
      <c r="L524" s="2">
        <f t="shared" ca="1" si="506"/>
        <v>0.50850523203301778</v>
      </c>
      <c r="M524" s="2">
        <f t="shared" ca="1" si="507"/>
        <v>4.26421407401067E-4</v>
      </c>
      <c r="N524" s="2">
        <f t="shared" ca="1" si="508"/>
        <v>4.26421407401067E-4</v>
      </c>
      <c r="O524" s="2">
        <f t="shared" si="509"/>
        <v>6000000</v>
      </c>
      <c r="P524" s="2">
        <f t="shared" ca="1" si="510"/>
        <v>42622886.742128775</v>
      </c>
      <c r="Q524" s="2">
        <f t="shared" ca="1" si="511"/>
        <v>1065572.1685532194</v>
      </c>
      <c r="R524" s="2">
        <f t="shared" ca="1" si="512"/>
        <v>25573732.045277264</v>
      </c>
      <c r="S524" s="2">
        <f t="shared" ca="1" si="513"/>
        <v>17049154.696851511</v>
      </c>
      <c r="T524" s="2">
        <f t="shared" ca="1" si="514"/>
        <v>50021321.070370048</v>
      </c>
      <c r="U524" s="2">
        <f t="shared" ca="1" si="515"/>
        <v>52959774.553305402</v>
      </c>
      <c r="V524" s="2">
        <f t="shared" ca="1" si="516"/>
        <v>56070844.606267527</v>
      </c>
      <c r="W524" s="2">
        <f t="shared" ca="1" si="517"/>
        <v>59364671.420489945</v>
      </c>
      <c r="X524" s="2">
        <f t="shared" ca="1" si="518"/>
        <v>62851990.862802327</v>
      </c>
      <c r="Y524" s="2">
        <f t="shared" ca="1" si="519"/>
        <v>0.12439528215531459</v>
      </c>
      <c r="Z524" s="2">
        <f t="shared" ca="1" si="520"/>
        <v>0.12615339501744041</v>
      </c>
      <c r="AA524" s="2">
        <f t="shared" ca="1" si="521"/>
        <v>6222416.3483302649</v>
      </c>
      <c r="AB524" s="2">
        <f t="shared" ca="1" si="522"/>
        <v>6681055.3592577251</v>
      </c>
      <c r="AC524" s="2">
        <f t="shared" ca="1" si="523"/>
        <v>7073527.4085759856</v>
      </c>
      <c r="AD524" s="2">
        <f t="shared" ca="1" si="524"/>
        <v>7489054.8437896231</v>
      </c>
      <c r="AE524" s="2">
        <f t="shared" ca="1" si="525"/>
        <v>7928992.0309476573</v>
      </c>
      <c r="AF524" s="2">
        <f t="shared" ca="1" si="526"/>
        <v>1000426.421407401</v>
      </c>
      <c r="AG524" s="2">
        <f t="shared" ca="1" si="527"/>
        <v>1059195.491066108</v>
      </c>
      <c r="AH524" s="2">
        <f t="shared" ca="1" si="528"/>
        <v>1121416.8921253507</v>
      </c>
      <c r="AI524" s="2">
        <f t="shared" ca="1" si="529"/>
        <v>1187293.428409799</v>
      </c>
      <c r="AJ524" s="2">
        <f t="shared" ca="1" si="530"/>
        <v>1257039.8172560465</v>
      </c>
      <c r="AK524" s="2">
        <f t="shared" ca="1" si="531"/>
        <v>0</v>
      </c>
      <c r="AL524" s="2">
        <f t="shared" ca="1" si="532"/>
        <v>29384.534829353543</v>
      </c>
      <c r="AM524" s="2">
        <f t="shared" ca="1" si="533"/>
        <v>31110.700529621245</v>
      </c>
      <c r="AN524" s="2">
        <f t="shared" ca="1" si="534"/>
        <v>32938.26814222418</v>
      </c>
      <c r="AO524" s="2">
        <f t="shared" ca="1" si="535"/>
        <v>34873.194423123823</v>
      </c>
      <c r="AP524" s="2">
        <f t="shared" ca="1" si="536"/>
        <v>2301635.8840749539</v>
      </c>
      <c r="AQ524" s="2">
        <f t="shared" ca="1" si="537"/>
        <v>759292.05114045669</v>
      </c>
      <c r="AR524" s="2">
        <f t="shared" ca="1" si="538"/>
        <v>863258.23587033234</v>
      </c>
      <c r="AS524" s="2">
        <f t="shared" ca="1" si="539"/>
        <v>949123.4044176772</v>
      </c>
      <c r="AT524" s="2">
        <f t="shared" ca="1" si="540"/>
        <v>1040032.6381392663</v>
      </c>
      <c r="AU524" s="2">
        <f t="shared" ca="1" si="541"/>
        <v>1136282.2457003307</v>
      </c>
      <c r="AV524" s="2">
        <f t="shared" ca="1" si="542"/>
        <v>2161061.991707454</v>
      </c>
      <c r="AW524" s="2">
        <f t="shared" ca="1" si="543"/>
        <v>2427581.2134169764</v>
      </c>
      <c r="AX524" s="2">
        <f t="shared" ca="1" si="544"/>
        <v>2670240.5274283835</v>
      </c>
      <c r="AY524" s="2">
        <f t="shared" ca="1" si="545"/>
        <v>2927154.6250233795</v>
      </c>
      <c r="AZ524" s="2">
        <f t="shared" ca="1" si="546"/>
        <v>3199160.8894932023</v>
      </c>
      <c r="BA524" s="2">
        <f t="shared" ca="1" si="547"/>
        <v>56506237.287680164</v>
      </c>
      <c r="BB524" s="2">
        <f t="shared" ca="1" si="548"/>
        <v>1130124.7457536033</v>
      </c>
      <c r="BC524" s="2">
        <f t="shared" ca="1" si="549"/>
        <v>29802380.496649295</v>
      </c>
      <c r="BD524" s="2">
        <f t="shared" ca="1" si="550"/>
        <v>-18614726.865404729</v>
      </c>
      <c r="BE524" s="2">
        <f t="shared" ca="1" si="551"/>
        <v>2161061.991707454</v>
      </c>
      <c r="BF524" s="2">
        <f t="shared" ca="1" si="552"/>
        <v>2427581.2134169764</v>
      </c>
      <c r="BG524" s="2">
        <f t="shared" ca="1" si="553"/>
        <v>2670240.5274283835</v>
      </c>
      <c r="BH524" s="2">
        <f t="shared" ca="1" si="554"/>
        <v>2927154.6250233795</v>
      </c>
      <c r="BI524" s="2">
        <f t="shared" ca="1" si="555"/>
        <v>33001541.386142496</v>
      </c>
      <c r="BJ524" s="2">
        <f t="shared" ca="1" si="556"/>
        <v>0.21664550009347172</v>
      </c>
      <c r="BK524" s="2">
        <f t="shared" ca="1" si="557"/>
        <v>7736890.6600713581</v>
      </c>
    </row>
    <row r="525" spans="1:63" x14ac:dyDescent="0.3">
      <c r="A525" s="2">
        <v>524</v>
      </c>
      <c r="B525" s="2">
        <f t="shared" ca="1" si="496"/>
        <v>1.4740571813975811E-2</v>
      </c>
      <c r="C525" s="2">
        <f t="shared" ca="1" si="497"/>
        <v>6.1717007385771874</v>
      </c>
      <c r="D525" s="2">
        <f t="shared" ca="1" si="498"/>
        <v>0.28920921858157267</v>
      </c>
      <c r="E525" s="2">
        <f t="shared" ca="1" si="499"/>
        <v>7.2605382548979014</v>
      </c>
      <c r="F525" s="2">
        <f t="shared" ca="1" si="500"/>
        <v>0.62354424087856841</v>
      </c>
      <c r="G525" s="2">
        <f t="shared" ca="1" si="501"/>
        <v>4.944407876162471E-2</v>
      </c>
      <c r="H525" s="2">
        <f t="shared" ca="1" si="502"/>
        <v>4.944407876162471E-2</v>
      </c>
      <c r="I525" s="2">
        <f t="shared" ca="1" si="503"/>
        <v>0.89335196942372352</v>
      </c>
      <c r="J525" s="2">
        <f t="shared" ca="1" si="504"/>
        <v>1.6222765608804667E-2</v>
      </c>
      <c r="K525" s="2">
        <f t="shared" ca="1" si="505"/>
        <v>1.6222765608804667E-2</v>
      </c>
      <c r="L525" s="2">
        <f t="shared" ca="1" si="506"/>
        <v>0.7929191268422493</v>
      </c>
      <c r="M525" s="2">
        <f t="shared" ca="1" si="507"/>
        <v>1.633183587464343E-2</v>
      </c>
      <c r="N525" s="2">
        <f t="shared" ca="1" si="508"/>
        <v>1.633183587464343E-2</v>
      </c>
      <c r="O525" s="2">
        <f t="shared" si="509"/>
        <v>6000000</v>
      </c>
      <c r="P525" s="2">
        <f t="shared" ca="1" si="510"/>
        <v>37030204.431463122</v>
      </c>
      <c r="Q525" s="2">
        <f t="shared" ca="1" si="511"/>
        <v>925755.11078657815</v>
      </c>
      <c r="R525" s="2">
        <f t="shared" ca="1" si="512"/>
        <v>22218122.658877872</v>
      </c>
      <c r="S525" s="2">
        <f t="shared" ca="1" si="513"/>
        <v>14812081.77258525</v>
      </c>
      <c r="T525" s="2">
        <f t="shared" ca="1" si="514"/>
        <v>50816591.793732166</v>
      </c>
      <c r="U525" s="2">
        <f t="shared" ca="1" si="515"/>
        <v>53329171.360778786</v>
      </c>
      <c r="V525" s="2">
        <f t="shared" ca="1" si="516"/>
        <v>55965983.109833308</v>
      </c>
      <c r="W525" s="2">
        <f t="shared" ca="1" si="517"/>
        <v>58733169.586687654</v>
      </c>
      <c r="X525" s="2">
        <f t="shared" ca="1" si="518"/>
        <v>61637177.04965169</v>
      </c>
      <c r="Y525" s="2">
        <f t="shared" ca="1" si="519"/>
        <v>0.12811138280440232</v>
      </c>
      <c r="Z525" s="2">
        <f t="shared" ca="1" si="520"/>
        <v>0.13135593592616326</v>
      </c>
      <c r="AA525" s="2">
        <f t="shared" ca="1" si="521"/>
        <v>6510183.8441018714</v>
      </c>
      <c r="AB525" s="2">
        <f t="shared" ca="1" si="522"/>
        <v>7005103.2162618395</v>
      </c>
      <c r="AC525" s="2">
        <f t="shared" ca="1" si="523"/>
        <v>7351464.0914199995</v>
      </c>
      <c r="AD525" s="2">
        <f t="shared" ca="1" si="524"/>
        <v>7714950.4609694248</v>
      </c>
      <c r="AE525" s="2">
        <f t="shared" ca="1" si="525"/>
        <v>8096409.079203628</v>
      </c>
      <c r="AF525" s="2">
        <f t="shared" ca="1" si="526"/>
        <v>1016331.8358746433</v>
      </c>
      <c r="AG525" s="2">
        <f t="shared" ca="1" si="527"/>
        <v>1066583.4272155757</v>
      </c>
      <c r="AH525" s="2">
        <f t="shared" ca="1" si="528"/>
        <v>1119319.6621966662</v>
      </c>
      <c r="AI525" s="2">
        <f t="shared" ca="1" si="529"/>
        <v>1174663.391733753</v>
      </c>
      <c r="AJ525" s="2">
        <f t="shared" ca="1" si="530"/>
        <v>1232743.5409930339</v>
      </c>
      <c r="AK525" s="2">
        <f t="shared" ca="1" si="531"/>
        <v>0</v>
      </c>
      <c r="AL525" s="2">
        <f t="shared" ca="1" si="532"/>
        <v>25125.795670466199</v>
      </c>
      <c r="AM525" s="2">
        <f t="shared" ca="1" si="533"/>
        <v>26368.117490545214</v>
      </c>
      <c r="AN525" s="2">
        <f t="shared" ca="1" si="534"/>
        <v>27671.864768543466</v>
      </c>
      <c r="AO525" s="2">
        <f t="shared" ca="1" si="535"/>
        <v>29040.074629640356</v>
      </c>
      <c r="AP525" s="2">
        <f t="shared" ca="1" si="536"/>
        <v>1999631.0392990084</v>
      </c>
      <c r="AQ525" s="2">
        <f t="shared" ca="1" si="537"/>
        <v>908497.45192133717</v>
      </c>
      <c r="AR525" s="2">
        <f t="shared" ca="1" si="538"/>
        <v>1024111.0749342863</v>
      </c>
      <c r="AS525" s="2">
        <f t="shared" ca="1" si="539"/>
        <v>1100453.4813803246</v>
      </c>
      <c r="AT525" s="2">
        <f t="shared" ca="1" si="540"/>
        <v>1180570.5677835324</v>
      </c>
      <c r="AU525" s="2">
        <f t="shared" ca="1" si="541"/>
        <v>1264648.9697170123</v>
      </c>
      <c r="AV525" s="2">
        <f t="shared" ca="1" si="542"/>
        <v>2585723.5170068825</v>
      </c>
      <c r="AW525" s="2">
        <f t="shared" ca="1" si="543"/>
        <v>2889651.8791425023</v>
      </c>
      <c r="AX525" s="2">
        <f t="shared" ca="1" si="544"/>
        <v>3105691.7910534553</v>
      </c>
      <c r="AY525" s="2">
        <f t="shared" ca="1" si="545"/>
        <v>3332413.5973845869</v>
      </c>
      <c r="AZ525" s="2">
        <f t="shared" ca="1" si="546"/>
        <v>3570345.4545649337</v>
      </c>
      <c r="BA525" s="2">
        <f t="shared" ca="1" si="547"/>
        <v>58784287.846860632</v>
      </c>
      <c r="BB525" s="2">
        <f t="shared" ca="1" si="548"/>
        <v>1175685.7569372128</v>
      </c>
      <c r="BC525" s="2">
        <f t="shared" ca="1" si="549"/>
        <v>35390479.431045547</v>
      </c>
      <c r="BD525" s="2">
        <f t="shared" ca="1" si="550"/>
        <v>-16237836.883371828</v>
      </c>
      <c r="BE525" s="2">
        <f t="shared" ca="1" si="551"/>
        <v>2585723.5170068825</v>
      </c>
      <c r="BF525" s="2">
        <f t="shared" ca="1" si="552"/>
        <v>2889651.8791425023</v>
      </c>
      <c r="BG525" s="2">
        <f t="shared" ca="1" si="553"/>
        <v>3105691.7910534553</v>
      </c>
      <c r="BH525" s="2">
        <f t="shared" ca="1" si="554"/>
        <v>3332413.5973845869</v>
      </c>
      <c r="BI525" s="2">
        <f t="shared" ca="1" si="555"/>
        <v>38960824.885610484</v>
      </c>
      <c r="BJ525" s="2">
        <f t="shared" ca="1" si="556"/>
        <v>0.31064503911263386</v>
      </c>
      <c r="BK525" s="2">
        <f t="shared" ca="1" si="557"/>
        <v>14810255.134120656</v>
      </c>
    </row>
    <row r="526" spans="1:63" x14ac:dyDescent="0.3">
      <c r="A526" s="2">
        <v>525</v>
      </c>
      <c r="B526" s="2">
        <f t="shared" ca="1" si="496"/>
        <v>0.79753816332815686</v>
      </c>
      <c r="C526" s="2">
        <f t="shared" ca="1" si="497"/>
        <v>7.3636638676425124</v>
      </c>
      <c r="D526" s="2">
        <f t="shared" ca="1" si="498"/>
        <v>0.41608966780367529</v>
      </c>
      <c r="E526" s="2">
        <f t="shared" ca="1" si="499"/>
        <v>7.4122386396153974</v>
      </c>
      <c r="F526" s="2">
        <f t="shared" ca="1" si="500"/>
        <v>0.66568174975349503</v>
      </c>
      <c r="G526" s="2">
        <f t="shared" ca="1" si="501"/>
        <v>5.2840602428115405E-2</v>
      </c>
      <c r="H526" s="2">
        <f t="shared" ca="1" si="502"/>
        <v>5.2840602428115405E-2</v>
      </c>
      <c r="I526" s="2">
        <f t="shared" ca="1" si="503"/>
        <v>4.0478283776093416E-2</v>
      </c>
      <c r="J526" s="2">
        <f t="shared" ca="1" si="504"/>
        <v>1.2741869477972123E-3</v>
      </c>
      <c r="K526" s="2">
        <f t="shared" ca="1" si="505"/>
        <v>1.2741869477972123E-3</v>
      </c>
      <c r="L526" s="2">
        <f t="shared" ca="1" si="506"/>
        <v>0.52538969805644531</v>
      </c>
      <c r="M526" s="2">
        <f t="shared" ca="1" si="507"/>
        <v>1.2737111740873217E-3</v>
      </c>
      <c r="N526" s="2">
        <f t="shared" ca="1" si="508"/>
        <v>1.2737111740873217E-3</v>
      </c>
      <c r="O526" s="2">
        <f t="shared" si="509"/>
        <v>6000000</v>
      </c>
      <c r="P526" s="2">
        <f t="shared" ca="1" si="510"/>
        <v>44181983.205855072</v>
      </c>
      <c r="Q526" s="2">
        <f t="shared" ca="1" si="511"/>
        <v>1104549.5801463767</v>
      </c>
      <c r="R526" s="2">
        <f t="shared" ca="1" si="512"/>
        <v>26509189.923513044</v>
      </c>
      <c r="S526" s="2">
        <f t="shared" ca="1" si="513"/>
        <v>17672793.282342028</v>
      </c>
      <c r="T526" s="2">
        <f t="shared" ca="1" si="514"/>
        <v>50063685.558704361</v>
      </c>
      <c r="U526" s="2">
        <f t="shared" ca="1" si="515"/>
        <v>52709080.863398038</v>
      </c>
      <c r="V526" s="2">
        <f t="shared" ca="1" si="516"/>
        <v>55494260.44965224</v>
      </c>
      <c r="W526" s="2">
        <f t="shared" ca="1" si="517"/>
        <v>58426610.603114605</v>
      </c>
      <c r="X526" s="2">
        <f t="shared" ca="1" si="518"/>
        <v>61513907.905216098</v>
      </c>
      <c r="Y526" s="2">
        <f t="shared" ca="1" si="519"/>
        <v>0.1206370934738986</v>
      </c>
      <c r="Z526" s="2">
        <f t="shared" ca="1" si="520"/>
        <v>0.12089193086345805</v>
      </c>
      <c r="AA526" s="2">
        <f t="shared" ca="1" si="521"/>
        <v>6039537.5143932858</v>
      </c>
      <c r="AB526" s="2">
        <f t="shared" ca="1" si="522"/>
        <v>6372102.5596143352</v>
      </c>
      <c r="AC526" s="2">
        <f t="shared" ca="1" si="523"/>
        <v>6708808.2975980928</v>
      </c>
      <c r="AD526" s="2">
        <f t="shared" ca="1" si="524"/>
        <v>7063305.7696179161</v>
      </c>
      <c r="AE526" s="2">
        <f t="shared" ca="1" si="525"/>
        <v>7436535.1016185097</v>
      </c>
      <c r="AF526" s="2">
        <f t="shared" ca="1" si="526"/>
        <v>1001273.7111740872</v>
      </c>
      <c r="AG526" s="2">
        <f t="shared" ca="1" si="527"/>
        <v>1054181.6172679607</v>
      </c>
      <c r="AH526" s="2">
        <f t="shared" ca="1" si="528"/>
        <v>1109885.2089930449</v>
      </c>
      <c r="AI526" s="2">
        <f t="shared" ca="1" si="529"/>
        <v>1168532.212062292</v>
      </c>
      <c r="AJ526" s="2">
        <f t="shared" ca="1" si="530"/>
        <v>1230278.1581043219</v>
      </c>
      <c r="AK526" s="2">
        <f t="shared" ca="1" si="531"/>
        <v>0</v>
      </c>
      <c r="AL526" s="2">
        <f t="shared" ca="1" si="532"/>
        <v>26453.953046936767</v>
      </c>
      <c r="AM526" s="2">
        <f t="shared" ca="1" si="533"/>
        <v>27851.795862542018</v>
      </c>
      <c r="AN526" s="2">
        <f t="shared" ca="1" si="534"/>
        <v>29323.501534623654</v>
      </c>
      <c r="AO526" s="2">
        <f t="shared" ca="1" si="535"/>
        <v>30872.973021014928</v>
      </c>
      <c r="AP526" s="2">
        <f t="shared" ca="1" si="536"/>
        <v>2385827.093116174</v>
      </c>
      <c r="AQ526" s="2">
        <f t="shared" ca="1" si="537"/>
        <v>689633.54462678637</v>
      </c>
      <c r="AR526" s="2">
        <f t="shared" ca="1" si="538"/>
        <v>762344.40079985221</v>
      </c>
      <c r="AS526" s="2">
        <f t="shared" ca="1" si="539"/>
        <v>835404.95882710733</v>
      </c>
      <c r="AT526" s="2">
        <f t="shared" ca="1" si="540"/>
        <v>912326.08075425716</v>
      </c>
      <c r="AU526" s="2">
        <f t="shared" ca="1" si="541"/>
        <v>993311.76110348362</v>
      </c>
      <c r="AV526" s="2">
        <f t="shared" ca="1" si="542"/>
        <v>1962803.1654762379</v>
      </c>
      <c r="AW526" s="2">
        <f t="shared" ca="1" si="543"/>
        <v>2143295.4953834121</v>
      </c>
      <c r="AX526" s="2">
        <f t="shared" ca="1" si="544"/>
        <v>2349839.2407992245</v>
      </c>
      <c r="AY526" s="2">
        <f t="shared" ca="1" si="545"/>
        <v>2567296.8821505695</v>
      </c>
      <c r="AZ526" s="2">
        <f t="shared" ca="1" si="546"/>
        <v>2796245.1162735154</v>
      </c>
      <c r="BA526" s="2">
        <f t="shared" ca="1" si="547"/>
        <v>55121372.825072937</v>
      </c>
      <c r="BB526" s="2">
        <f t="shared" ca="1" si="548"/>
        <v>1102427.4565014588</v>
      </c>
      <c r="BC526" s="2">
        <f t="shared" ca="1" si="549"/>
        <v>27509755.445058435</v>
      </c>
      <c r="BD526" s="2">
        <f t="shared" ca="1" si="550"/>
        <v>-19277342.862488404</v>
      </c>
      <c r="BE526" s="2">
        <f t="shared" ca="1" si="551"/>
        <v>1962803.1654762379</v>
      </c>
      <c r="BF526" s="2">
        <f t="shared" ca="1" si="552"/>
        <v>2143295.4953834121</v>
      </c>
      <c r="BG526" s="2">
        <f t="shared" ca="1" si="553"/>
        <v>2349839.2407992245</v>
      </c>
      <c r="BH526" s="2">
        <f t="shared" ca="1" si="554"/>
        <v>2567296.8821505695</v>
      </c>
      <c r="BI526" s="2">
        <f t="shared" ca="1" si="555"/>
        <v>30306000.56133195</v>
      </c>
      <c r="BJ526" s="2">
        <f t="shared" ca="1" si="556"/>
        <v>0.1789295945157201</v>
      </c>
      <c r="BK526" s="2">
        <f t="shared" ca="1" si="557"/>
        <v>4684353.3568314835</v>
      </c>
    </row>
    <row r="527" spans="1:63" x14ac:dyDescent="0.3">
      <c r="A527" s="2">
        <v>526</v>
      </c>
      <c r="B527" s="2">
        <f t="shared" ca="1" si="496"/>
        <v>0.29822836984135637</v>
      </c>
      <c r="C527" s="2">
        <f t="shared" ca="1" si="497"/>
        <v>6.772306117859177</v>
      </c>
      <c r="D527" s="2">
        <f t="shared" ca="1" si="498"/>
        <v>0.39194287401317918</v>
      </c>
      <c r="E527" s="2">
        <f t="shared" ca="1" si="499"/>
        <v>7.385373225270766</v>
      </c>
      <c r="F527" s="2">
        <f t="shared" ca="1" si="500"/>
        <v>0.59620480676687537</v>
      </c>
      <c r="G527" s="2">
        <f t="shared" ca="1" si="501"/>
        <v>4.7306072794935247E-2</v>
      </c>
      <c r="H527" s="2">
        <f t="shared" ca="1" si="502"/>
        <v>4.7306072794935247E-2</v>
      </c>
      <c r="I527" s="2">
        <f t="shared" ca="1" si="503"/>
        <v>0.49675645994336937</v>
      </c>
      <c r="J527" s="2">
        <f t="shared" ca="1" si="504"/>
        <v>9.9593478060461902E-3</v>
      </c>
      <c r="K527" s="2">
        <f t="shared" ca="1" si="505"/>
        <v>9.9593478060461902E-3</v>
      </c>
      <c r="L527" s="2">
        <f t="shared" ca="1" si="506"/>
        <v>0.9923352828363512</v>
      </c>
      <c r="M527" s="2">
        <f t="shared" ca="1" si="507"/>
        <v>4.8490023211747134E-2</v>
      </c>
      <c r="N527" s="2">
        <f t="shared" ca="1" si="508"/>
        <v>4.8490023211747134E-2</v>
      </c>
      <c r="O527" s="2">
        <f t="shared" si="509"/>
        <v>6000000</v>
      </c>
      <c r="P527" s="2">
        <f t="shared" ca="1" si="510"/>
        <v>40633836.707155064</v>
      </c>
      <c r="Q527" s="2">
        <f t="shared" ca="1" si="511"/>
        <v>1015845.9176788767</v>
      </c>
      <c r="R527" s="2">
        <f t="shared" ca="1" si="512"/>
        <v>24380302.024293039</v>
      </c>
      <c r="S527" s="2">
        <f t="shared" ca="1" si="513"/>
        <v>16253534.682862027</v>
      </c>
      <c r="T527" s="2">
        <f t="shared" ca="1" si="514"/>
        <v>52424501.160587355</v>
      </c>
      <c r="U527" s="2">
        <f t="shared" ca="1" si="515"/>
        <v>54904498.428728268</v>
      </c>
      <c r="V527" s="2">
        <f t="shared" ca="1" si="516"/>
        <v>57501814.628167093</v>
      </c>
      <c r="W527" s="2">
        <f t="shared" ca="1" si="517"/>
        <v>60221999.656808041</v>
      </c>
      <c r="X527" s="2">
        <f t="shared" ca="1" si="518"/>
        <v>63070865.956429571</v>
      </c>
      <c r="Y527" s="2">
        <f t="shared" ca="1" si="519"/>
        <v>0.12497967390302309</v>
      </c>
      <c r="Z527" s="2">
        <f t="shared" ca="1" si="520"/>
        <v>0.12697154346423234</v>
      </c>
      <c r="AA527" s="2">
        <f t="shared" ca="1" si="521"/>
        <v>6551997.059578863</v>
      </c>
      <c r="AB527" s="2">
        <f t="shared" ca="1" si="522"/>
        <v>6971308.9086251473</v>
      </c>
      <c r="AC527" s="2">
        <f t="shared" ca="1" si="523"/>
        <v>7301094.1553325485</v>
      </c>
      <c r="AD527" s="2">
        <f t="shared" ca="1" si="524"/>
        <v>7646480.2469273871</v>
      </c>
      <c r="AE527" s="2">
        <f t="shared" ca="1" si="525"/>
        <v>8008205.1981135691</v>
      </c>
      <c r="AF527" s="2">
        <f t="shared" ca="1" si="526"/>
        <v>1048490.0232117472</v>
      </c>
      <c r="AG527" s="2">
        <f t="shared" ca="1" si="527"/>
        <v>1098089.9685745654</v>
      </c>
      <c r="AH527" s="2">
        <f t="shared" ca="1" si="528"/>
        <v>1150036.2925633418</v>
      </c>
      <c r="AI527" s="2">
        <f t="shared" ca="1" si="529"/>
        <v>1204439.9931361608</v>
      </c>
      <c r="AJ527" s="2">
        <f t="shared" ca="1" si="530"/>
        <v>1261417.3191285913</v>
      </c>
      <c r="AK527" s="2">
        <f t="shared" ca="1" si="531"/>
        <v>0</v>
      </c>
      <c r="AL527" s="2">
        <f t="shared" ca="1" si="532"/>
        <v>24799.972681409123</v>
      </c>
      <c r="AM527" s="2">
        <f t="shared" ca="1" si="533"/>
        <v>25973.161994388254</v>
      </c>
      <c r="AN527" s="2">
        <f t="shared" ca="1" si="534"/>
        <v>27201.850286409484</v>
      </c>
      <c r="AO527" s="2">
        <f t="shared" ca="1" si="535"/>
        <v>28488.662996215298</v>
      </c>
      <c r="AP527" s="2">
        <f t="shared" ca="1" si="536"/>
        <v>2194227.1821863735</v>
      </c>
      <c r="AQ527" s="2">
        <f t="shared" ca="1" si="537"/>
        <v>860412.76208699297</v>
      </c>
      <c r="AR527" s="2">
        <f t="shared" ca="1" si="538"/>
        <v>956537.85704469413</v>
      </c>
      <c r="AS527" s="2">
        <f t="shared" ca="1" si="539"/>
        <v>1028775.9769515367</v>
      </c>
      <c r="AT527" s="2">
        <f t="shared" ca="1" si="540"/>
        <v>1104431.3986172618</v>
      </c>
      <c r="AU527" s="2">
        <f t="shared" ca="1" si="541"/>
        <v>1183665.7811676371</v>
      </c>
      <c r="AV527" s="2">
        <f t="shared" ca="1" si="542"/>
        <v>2448867.092093749</v>
      </c>
      <c r="AW527" s="2">
        <f t="shared" ca="1" si="543"/>
        <v>2697653.9281381052</v>
      </c>
      <c r="AX527" s="2">
        <f t="shared" ca="1" si="544"/>
        <v>2902081.5416369084</v>
      </c>
      <c r="AY527" s="2">
        <f t="shared" ca="1" si="545"/>
        <v>3116179.8227011813</v>
      </c>
      <c r="AZ527" s="2">
        <f t="shared" ca="1" si="546"/>
        <v>3340406.2526347516</v>
      </c>
      <c r="BA527" s="2">
        <f t="shared" ca="1" si="547"/>
        <v>59143584.25262212</v>
      </c>
      <c r="BB527" s="2">
        <f t="shared" ca="1" si="548"/>
        <v>1182871.6850524424</v>
      </c>
      <c r="BC527" s="2">
        <f t="shared" ca="1" si="549"/>
        <v>33580410.543276638</v>
      </c>
      <c r="BD527" s="2">
        <f t="shared" ca="1" si="550"/>
        <v>-17769380.600540902</v>
      </c>
      <c r="BE527" s="2">
        <f t="shared" ca="1" si="551"/>
        <v>2448867.092093749</v>
      </c>
      <c r="BF527" s="2">
        <f t="shared" ca="1" si="552"/>
        <v>2697653.9281381052</v>
      </c>
      <c r="BG527" s="2">
        <f t="shared" ca="1" si="553"/>
        <v>2902081.5416369084</v>
      </c>
      <c r="BH527" s="2">
        <f t="shared" ca="1" si="554"/>
        <v>3116179.8227011813</v>
      </c>
      <c r="BI527" s="2">
        <f t="shared" ca="1" si="555"/>
        <v>36920816.795911387</v>
      </c>
      <c r="BJ527" s="2">
        <f t="shared" ca="1" si="556"/>
        <v>0.26324669390614064</v>
      </c>
      <c r="BK527" s="2">
        <f t="shared" ca="1" si="557"/>
        <v>11563556.986640409</v>
      </c>
    </row>
    <row r="528" spans="1:63" x14ac:dyDescent="0.3">
      <c r="A528" s="2">
        <v>527</v>
      </c>
      <c r="B528" s="2">
        <f t="shared" ca="1" si="496"/>
        <v>0.71664840793871187</v>
      </c>
      <c r="C528" s="2">
        <f t="shared" ca="1" si="497"/>
        <v>7.247203092379773</v>
      </c>
      <c r="D528" s="2">
        <f t="shared" ca="1" si="498"/>
        <v>0.34603737559287051</v>
      </c>
      <c r="E528" s="2">
        <f t="shared" ca="1" si="499"/>
        <v>7.3319103023678345</v>
      </c>
      <c r="F528" s="2">
        <f t="shared" ca="1" si="500"/>
        <v>0.85542329392102257</v>
      </c>
      <c r="G528" s="2">
        <f t="shared" ca="1" si="501"/>
        <v>7.1799418862670009E-2</v>
      </c>
      <c r="H528" s="2">
        <f t="shared" ca="1" si="502"/>
        <v>7.1799418862670009E-2</v>
      </c>
      <c r="I528" s="2">
        <f t="shared" ca="1" si="503"/>
        <v>0.7865097018748971</v>
      </c>
      <c r="J528" s="2">
        <f t="shared" ca="1" si="504"/>
        <v>1.3971845424407669E-2</v>
      </c>
      <c r="K528" s="2">
        <f t="shared" ca="1" si="505"/>
        <v>1.3971845424407669E-2</v>
      </c>
      <c r="L528" s="2">
        <f t="shared" ca="1" si="506"/>
        <v>0.24457863730407758</v>
      </c>
      <c r="M528" s="2">
        <f t="shared" ca="1" si="507"/>
        <v>-1.3832996153330879E-2</v>
      </c>
      <c r="N528" s="2">
        <f t="shared" ca="1" si="508"/>
        <v>-1.3832996153330879E-2</v>
      </c>
      <c r="O528" s="2">
        <f t="shared" si="509"/>
        <v>6000000</v>
      </c>
      <c r="P528" s="2">
        <f t="shared" ca="1" si="510"/>
        <v>43483218.554278634</v>
      </c>
      <c r="Q528" s="2">
        <f t="shared" ca="1" si="511"/>
        <v>1087080.463856966</v>
      </c>
      <c r="R528" s="2">
        <f t="shared" ca="1" si="512"/>
        <v>26089931.132567178</v>
      </c>
      <c r="S528" s="2">
        <f t="shared" ca="1" si="513"/>
        <v>17393287.421711456</v>
      </c>
      <c r="T528" s="2">
        <f t="shared" ca="1" si="514"/>
        <v>49308350.192333452</v>
      </c>
      <c r="U528" s="2">
        <f t="shared" ca="1" si="515"/>
        <v>52848661.081220016</v>
      </c>
      <c r="V528" s="2">
        <f t="shared" ca="1" si="516"/>
        <v>56643164.234521821</v>
      </c>
      <c r="W528" s="2">
        <f t="shared" ca="1" si="517"/>
        <v>60710110.509103268</v>
      </c>
      <c r="X528" s="2">
        <f t="shared" ca="1" si="518"/>
        <v>65069061.162745364</v>
      </c>
      <c r="Y528" s="2">
        <f t="shared" ca="1" si="519"/>
        <v>0.12698592271220382</v>
      </c>
      <c r="Z528" s="2">
        <f t="shared" ca="1" si="520"/>
        <v>0.12978029179708536</v>
      </c>
      <c r="AA528" s="2">
        <f t="shared" ca="1" si="521"/>
        <v>6261466.3465899359</v>
      </c>
      <c r="AB528" s="2">
        <f t="shared" ca="1" si="522"/>
        <v>6858714.6562060025</v>
      </c>
      <c r="AC528" s="2">
        <f t="shared" ca="1" si="523"/>
        <v>7351166.3826664714</v>
      </c>
      <c r="AD528" s="2">
        <f t="shared" ca="1" si="524"/>
        <v>7878975.8569047209</v>
      </c>
      <c r="AE528" s="2">
        <f t="shared" ca="1" si="525"/>
        <v>8444681.7446634881</v>
      </c>
      <c r="AF528" s="2">
        <f t="shared" ca="1" si="526"/>
        <v>986167.0038466691</v>
      </c>
      <c r="AG528" s="2">
        <f t="shared" ca="1" si="527"/>
        <v>1056973.2216244002</v>
      </c>
      <c r="AH528" s="2">
        <f t="shared" ca="1" si="528"/>
        <v>1132863.2846904364</v>
      </c>
      <c r="AI528" s="2">
        <f t="shared" ca="1" si="529"/>
        <v>1214202.2101820654</v>
      </c>
      <c r="AJ528" s="2">
        <f t="shared" ca="1" si="530"/>
        <v>1301381.2232549074</v>
      </c>
      <c r="AK528" s="2">
        <f t="shared" ca="1" si="531"/>
        <v>0</v>
      </c>
      <c r="AL528" s="2">
        <f t="shared" ca="1" si="532"/>
        <v>35403.108888865638</v>
      </c>
      <c r="AM528" s="2">
        <f t="shared" ca="1" si="533"/>
        <v>37945.031533018053</v>
      </c>
      <c r="AN528" s="2">
        <f t="shared" ca="1" si="534"/>
        <v>40669.462745814475</v>
      </c>
      <c r="AO528" s="2">
        <f t="shared" ca="1" si="535"/>
        <v>43589.506536420959</v>
      </c>
      <c r="AP528" s="2">
        <f t="shared" ca="1" si="536"/>
        <v>2348093.8019310459</v>
      </c>
      <c r="AQ528" s="2">
        <f t="shared" ca="1" si="537"/>
        <v>761073.44061117736</v>
      </c>
      <c r="AR528" s="2">
        <f t="shared" ca="1" si="538"/>
        <v>897948.38448914455</v>
      </c>
      <c r="AS528" s="2">
        <f t="shared" ca="1" si="539"/>
        <v>1006254.416971697</v>
      </c>
      <c r="AT528" s="2">
        <f t="shared" ca="1" si="540"/>
        <v>1122336.7596458185</v>
      </c>
      <c r="AU528" s="2">
        <f t="shared" ca="1" si="541"/>
        <v>1246753.747064159</v>
      </c>
      <c r="AV528" s="2">
        <f t="shared" ca="1" si="542"/>
        <v>2166132.1002010433</v>
      </c>
      <c r="AW528" s="2">
        <f t="shared" ca="1" si="543"/>
        <v>2520296.1392725464</v>
      </c>
      <c r="AX528" s="2">
        <f t="shared" ca="1" si="544"/>
        <v>2826009.8475402743</v>
      </c>
      <c r="AY528" s="2">
        <f t="shared" ca="1" si="545"/>
        <v>3153673.6223999765</v>
      </c>
      <c r="AZ528" s="2">
        <f t="shared" ca="1" si="546"/>
        <v>3504863.4658769537</v>
      </c>
      <c r="BA528" s="2">
        <f t="shared" ca="1" si="547"/>
        <v>61915649.083915807</v>
      </c>
      <c r="BB528" s="2">
        <f t="shared" ca="1" si="548"/>
        <v>1238312.9816783161</v>
      </c>
      <c r="BC528" s="2">
        <f t="shared" ca="1" si="549"/>
        <v>34587404.969670318</v>
      </c>
      <c r="BD528" s="2">
        <f t="shared" ca="1" si="550"/>
        <v>-18980367.885568421</v>
      </c>
      <c r="BE528" s="2">
        <f t="shared" ca="1" si="551"/>
        <v>2166132.1002010433</v>
      </c>
      <c r="BF528" s="2">
        <f t="shared" ca="1" si="552"/>
        <v>2520296.1392725464</v>
      </c>
      <c r="BG528" s="2">
        <f t="shared" ca="1" si="553"/>
        <v>2826009.8475402743</v>
      </c>
      <c r="BH528" s="2">
        <f t="shared" ca="1" si="554"/>
        <v>3153673.6223999765</v>
      </c>
      <c r="BI528" s="2">
        <f t="shared" ca="1" si="555"/>
        <v>38092268.43554727</v>
      </c>
      <c r="BJ528" s="2">
        <f t="shared" ca="1" si="556"/>
        <v>0.24337240051370901</v>
      </c>
      <c r="BK528" s="2">
        <f t="shared" ca="1" si="557"/>
        <v>10593133.979912192</v>
      </c>
    </row>
    <row r="529" spans="1:63" x14ac:dyDescent="0.3">
      <c r="A529" s="2">
        <v>528</v>
      </c>
      <c r="B529" s="2">
        <f t="shared" ca="1" si="496"/>
        <v>0.71336785075900078</v>
      </c>
      <c r="C529" s="2">
        <f t="shared" ca="1" si="497"/>
        <v>7.2428578082803741</v>
      </c>
      <c r="D529" s="2">
        <f t="shared" ca="1" si="498"/>
        <v>0.87740339465146999</v>
      </c>
      <c r="E529" s="2">
        <f t="shared" ca="1" si="499"/>
        <v>8.0048301193559332</v>
      </c>
      <c r="F529" s="2">
        <f t="shared" ca="1" si="500"/>
        <v>0.89379581695696342</v>
      </c>
      <c r="G529" s="2">
        <f t="shared" ca="1" si="501"/>
        <v>7.7409110779829926E-2</v>
      </c>
      <c r="H529" s="2">
        <f t="shared" ca="1" si="502"/>
        <v>7.7409110779829926E-2</v>
      </c>
      <c r="I529" s="2">
        <f t="shared" ca="1" si="503"/>
        <v>0.61008112825581973</v>
      </c>
      <c r="J529" s="2">
        <f t="shared" ca="1" si="504"/>
        <v>1.1397652443781383E-2</v>
      </c>
      <c r="K529" s="2">
        <f t="shared" ca="1" si="505"/>
        <v>1.1397652443781383E-2</v>
      </c>
      <c r="L529" s="2">
        <f t="shared" ca="1" si="506"/>
        <v>0.76340439455388887</v>
      </c>
      <c r="M529" s="2">
        <f t="shared" ca="1" si="507"/>
        <v>1.4345928557118127E-2</v>
      </c>
      <c r="N529" s="2">
        <f t="shared" ca="1" si="508"/>
        <v>1.4345928557118127E-2</v>
      </c>
      <c r="O529" s="2">
        <f t="shared" si="509"/>
        <v>6000000</v>
      </c>
      <c r="P529" s="2">
        <f t="shared" ca="1" si="510"/>
        <v>43457146.849682242</v>
      </c>
      <c r="Q529" s="2">
        <f t="shared" ca="1" si="511"/>
        <v>1086428.6712420562</v>
      </c>
      <c r="R529" s="2">
        <f t="shared" ca="1" si="512"/>
        <v>26074288.109809343</v>
      </c>
      <c r="S529" s="2">
        <f t="shared" ca="1" si="513"/>
        <v>17382858.739872899</v>
      </c>
      <c r="T529" s="2">
        <f t="shared" ca="1" si="514"/>
        <v>50717296.427855909</v>
      </c>
      <c r="U529" s="2">
        <f t="shared" ca="1" si="515"/>
        <v>54643277.245493285</v>
      </c>
      <c r="V529" s="2">
        <f t="shared" ca="1" si="516"/>
        <v>58873164.74716264</v>
      </c>
      <c r="W529" s="2">
        <f t="shared" ca="1" si="517"/>
        <v>63430484.079034939</v>
      </c>
      <c r="X529" s="2">
        <f t="shared" ca="1" si="518"/>
        <v>68340581.447927207</v>
      </c>
      <c r="Y529" s="2">
        <f t="shared" ca="1" si="519"/>
        <v>0.12569882622189069</v>
      </c>
      <c r="Z529" s="2">
        <f t="shared" ca="1" si="520"/>
        <v>0.12797835671064697</v>
      </c>
      <c r="AA529" s="2">
        <f t="shared" ca="1" si="521"/>
        <v>6375104.6301291771</v>
      </c>
      <c r="AB529" s="2">
        <f t="shared" ca="1" si="522"/>
        <v>6993156.8271625191</v>
      </c>
      <c r="AC529" s="2">
        <f t="shared" ca="1" si="523"/>
        <v>7534490.8786970666</v>
      </c>
      <c r="AD529" s="2">
        <f t="shared" ca="1" si="524"/>
        <v>8117729.1177957468</v>
      </c>
      <c r="AE529" s="2">
        <f t="shared" ca="1" si="525"/>
        <v>8746115.3103558514</v>
      </c>
      <c r="AF529" s="2">
        <f t="shared" ca="1" si="526"/>
        <v>1014345.9285571182</v>
      </c>
      <c r="AG529" s="2">
        <f t="shared" ca="1" si="527"/>
        <v>1092865.5449098658</v>
      </c>
      <c r="AH529" s="2">
        <f t="shared" ca="1" si="528"/>
        <v>1177463.2949432528</v>
      </c>
      <c r="AI529" s="2">
        <f t="shared" ca="1" si="529"/>
        <v>1268609.6815806988</v>
      </c>
      <c r="AJ529" s="2">
        <f t="shared" ca="1" si="530"/>
        <v>1366811.6289585442</v>
      </c>
      <c r="AK529" s="2">
        <f t="shared" ca="1" si="531"/>
        <v>0</v>
      </c>
      <c r="AL529" s="2">
        <f t="shared" ca="1" si="532"/>
        <v>39259.808176373765</v>
      </c>
      <c r="AM529" s="2">
        <f t="shared" ca="1" si="533"/>
        <v>42298.87501669355</v>
      </c>
      <c r="AN529" s="2">
        <f t="shared" ca="1" si="534"/>
        <v>45573.193318722995</v>
      </c>
      <c r="AO529" s="2">
        <f t="shared" ca="1" si="535"/>
        <v>49100.973688922677</v>
      </c>
      <c r="AP529" s="2">
        <f t="shared" ca="1" si="536"/>
        <v>2346685.9298828407</v>
      </c>
      <c r="AQ529" s="2">
        <f t="shared" ca="1" si="537"/>
        <v>783658.92063919676</v>
      </c>
      <c r="AR529" s="2">
        <f t="shared" ca="1" si="538"/>
        <v>923937.39161615132</v>
      </c>
      <c r="AS529" s="2">
        <f t="shared" ca="1" si="539"/>
        <v>1042688.8300064531</v>
      </c>
      <c r="AT529" s="2">
        <f t="shared" ca="1" si="540"/>
        <v>1170632.7116463741</v>
      </c>
      <c r="AU529" s="2">
        <f t="shared" ca="1" si="541"/>
        <v>1308480.6153937613</v>
      </c>
      <c r="AV529" s="2">
        <f t="shared" ca="1" si="542"/>
        <v>2230413.8510500216</v>
      </c>
      <c r="AW529" s="2">
        <f t="shared" ca="1" si="543"/>
        <v>2590408.1525772871</v>
      </c>
      <c r="AX529" s="2">
        <f t="shared" ca="1" si="544"/>
        <v>2925353.9488478261</v>
      </c>
      <c r="AY529" s="2">
        <f t="shared" ca="1" si="545"/>
        <v>3286227.6013671099</v>
      </c>
      <c r="AZ529" s="2">
        <f t="shared" ca="1" si="546"/>
        <v>3675036.1624317826</v>
      </c>
      <c r="BA529" s="2">
        <f t="shared" ca="1" si="547"/>
        <v>70011167.263696581</v>
      </c>
      <c r="BB529" s="2">
        <f t="shared" ca="1" si="548"/>
        <v>1400223.3452739317</v>
      </c>
      <c r="BC529" s="2">
        <f t="shared" ca="1" si="549"/>
        <v>42536655.808613308</v>
      </c>
      <c r="BD529" s="2">
        <f t="shared" ca="1" si="550"/>
        <v>-18969287.411114953</v>
      </c>
      <c r="BE529" s="2">
        <f t="shared" ca="1" si="551"/>
        <v>2230413.8510500216</v>
      </c>
      <c r="BF529" s="2">
        <f t="shared" ca="1" si="552"/>
        <v>2590408.1525772871</v>
      </c>
      <c r="BG529" s="2">
        <f t="shared" ca="1" si="553"/>
        <v>2925353.9488478261</v>
      </c>
      <c r="BH529" s="2">
        <f t="shared" ca="1" si="554"/>
        <v>3286227.6013671099</v>
      </c>
      <c r="BI529" s="2">
        <f t="shared" ca="1" si="555"/>
        <v>46211691.971045092</v>
      </c>
      <c r="BJ529" s="2">
        <f t="shared" ca="1" si="556"/>
        <v>0.28676134901050787</v>
      </c>
      <c r="BK529" s="2">
        <f t="shared" ca="1" si="557"/>
        <v>15479632.328556567</v>
      </c>
    </row>
    <row r="530" spans="1:63" x14ac:dyDescent="0.3">
      <c r="A530" s="2">
        <v>529</v>
      </c>
      <c r="B530" s="2">
        <f t="shared" ca="1" si="496"/>
        <v>0.73680343810418336</v>
      </c>
      <c r="C530" s="2">
        <f t="shared" ca="1" si="497"/>
        <v>7.2744704528472788</v>
      </c>
      <c r="D530" s="2">
        <f t="shared" ca="1" si="498"/>
        <v>0.84584953509832039</v>
      </c>
      <c r="E530" s="2">
        <f t="shared" ca="1" si="499"/>
        <v>7.944751470237553</v>
      </c>
      <c r="F530" s="2">
        <f t="shared" ca="1" si="500"/>
        <v>0.74038687328745123</v>
      </c>
      <c r="G530" s="2">
        <f t="shared" ca="1" si="501"/>
        <v>5.9336157172923648E-2</v>
      </c>
      <c r="H530" s="2">
        <f t="shared" ca="1" si="502"/>
        <v>5.9336157172923648E-2</v>
      </c>
      <c r="I530" s="2">
        <f t="shared" ca="1" si="503"/>
        <v>0.73870744813116784</v>
      </c>
      <c r="J530" s="2">
        <f t="shared" ca="1" si="504"/>
        <v>1.3196828141152613E-2</v>
      </c>
      <c r="K530" s="2">
        <f t="shared" ca="1" si="505"/>
        <v>1.3196828141152613E-2</v>
      </c>
      <c r="L530" s="2">
        <f t="shared" ca="1" si="506"/>
        <v>0.78882684413395765</v>
      </c>
      <c r="M530" s="2">
        <f t="shared" ca="1" si="507"/>
        <v>1.6047145789555489E-2</v>
      </c>
      <c r="N530" s="2">
        <f t="shared" ca="1" si="508"/>
        <v>1.6047145789555489E-2</v>
      </c>
      <c r="O530" s="2">
        <f t="shared" si="509"/>
        <v>6000000</v>
      </c>
      <c r="P530" s="2">
        <f t="shared" ca="1" si="510"/>
        <v>43646822.71708367</v>
      </c>
      <c r="Q530" s="2">
        <f t="shared" ca="1" si="511"/>
        <v>1091170.5679270918</v>
      </c>
      <c r="R530" s="2">
        <f t="shared" ca="1" si="512"/>
        <v>26188093.630250201</v>
      </c>
      <c r="S530" s="2">
        <f t="shared" ca="1" si="513"/>
        <v>17458729.08683347</v>
      </c>
      <c r="T530" s="2">
        <f t="shared" ca="1" si="514"/>
        <v>50802357.289477773</v>
      </c>
      <c r="U530" s="2">
        <f t="shared" ca="1" si="515"/>
        <v>53816773.946361251</v>
      </c>
      <c r="V530" s="2">
        <f t="shared" ca="1" si="516"/>
        <v>57010054.503782243</v>
      </c>
      <c r="W530" s="2">
        <f t="shared" ca="1" si="517"/>
        <v>60392812.058255605</v>
      </c>
      <c r="X530" s="2">
        <f t="shared" ca="1" si="518"/>
        <v>63976289.446659096</v>
      </c>
      <c r="Y530" s="2">
        <f t="shared" ca="1" si="519"/>
        <v>0.12659841407057632</v>
      </c>
      <c r="Z530" s="2">
        <f t="shared" ca="1" si="520"/>
        <v>0.12923777969880682</v>
      </c>
      <c r="AA530" s="2">
        <f t="shared" ca="1" si="521"/>
        <v>6431497.8638946684</v>
      </c>
      <c r="AB530" s="2">
        <f t="shared" ca="1" si="522"/>
        <v>6955160.3753803214</v>
      </c>
      <c r="AC530" s="2">
        <f t="shared" ca="1" si="523"/>
        <v>7367852.8645767784</v>
      </c>
      <c r="AD530" s="2">
        <f t="shared" ca="1" si="524"/>
        <v>7805032.9401762821</v>
      </c>
      <c r="AE530" s="2">
        <f t="shared" ca="1" si="525"/>
        <v>8268153.6014544275</v>
      </c>
      <c r="AF530" s="2">
        <f t="shared" ca="1" si="526"/>
        <v>1016047.1457895555</v>
      </c>
      <c r="AG530" s="2">
        <f t="shared" ca="1" si="527"/>
        <v>1076335.4789272251</v>
      </c>
      <c r="AH530" s="2">
        <f t="shared" ca="1" si="528"/>
        <v>1140201.0900756449</v>
      </c>
      <c r="AI530" s="2">
        <f t="shared" ca="1" si="529"/>
        <v>1207856.2411651122</v>
      </c>
      <c r="AJ530" s="2">
        <f t="shared" ca="1" si="530"/>
        <v>1279525.7889331819</v>
      </c>
      <c r="AK530" s="2">
        <f t="shared" ca="1" si="531"/>
        <v>0</v>
      </c>
      <c r="AL530" s="2">
        <f t="shared" ca="1" si="532"/>
        <v>30144.166568834782</v>
      </c>
      <c r="AM530" s="2">
        <f t="shared" ca="1" si="533"/>
        <v>31932.805574209913</v>
      </c>
      <c r="AN530" s="2">
        <f t="shared" ca="1" si="534"/>
        <v>33827.575544733627</v>
      </c>
      <c r="AO530" s="2">
        <f t="shared" ca="1" si="535"/>
        <v>35834.773884034905</v>
      </c>
      <c r="AP530" s="2">
        <f t="shared" ca="1" si="536"/>
        <v>2356928.4267225182</v>
      </c>
      <c r="AQ530" s="2">
        <f t="shared" ca="1" si="537"/>
        <v>795215.79575947474</v>
      </c>
      <c r="AR530" s="2">
        <f t="shared" ca="1" si="538"/>
        <v>915693.0821299504</v>
      </c>
      <c r="AS530" s="2">
        <f t="shared" ca="1" si="539"/>
        <v>1006388.0704224401</v>
      </c>
      <c r="AT530" s="2">
        <f t="shared" ca="1" si="540"/>
        <v>1102464.5507950494</v>
      </c>
      <c r="AU530" s="2">
        <f t="shared" ca="1" si="541"/>
        <v>1204241.840307669</v>
      </c>
      <c r="AV530" s="2">
        <f t="shared" ca="1" si="542"/>
        <v>2263306.4956231201</v>
      </c>
      <c r="AW530" s="2">
        <f t="shared" ca="1" si="543"/>
        <v>2576059.2210317934</v>
      </c>
      <c r="AX530" s="2">
        <f t="shared" ca="1" si="544"/>
        <v>2832402.4717819653</v>
      </c>
      <c r="AY530" s="2">
        <f t="shared" ca="1" si="545"/>
        <v>3103956.1459488682</v>
      </c>
      <c r="AZ530" s="2">
        <f t="shared" ca="1" si="546"/>
        <v>3391622.7716070237</v>
      </c>
      <c r="BA530" s="2">
        <f t="shared" ca="1" si="547"/>
        <v>65688425.481304981</v>
      </c>
      <c r="BB530" s="2">
        <f t="shared" ca="1" si="548"/>
        <v>1313768.5096260996</v>
      </c>
      <c r="BC530" s="2">
        <f t="shared" ca="1" si="549"/>
        <v>38186563.341428682</v>
      </c>
      <c r="BD530" s="2">
        <f t="shared" ca="1" si="550"/>
        <v>-19049899.654760562</v>
      </c>
      <c r="BE530" s="2">
        <f t="shared" ca="1" si="551"/>
        <v>2263306.4956231201</v>
      </c>
      <c r="BF530" s="2">
        <f t="shared" ca="1" si="552"/>
        <v>2576059.2210317934</v>
      </c>
      <c r="BG530" s="2">
        <f t="shared" ca="1" si="553"/>
        <v>2832402.4717819653</v>
      </c>
      <c r="BH530" s="2">
        <f t="shared" ca="1" si="554"/>
        <v>3103956.1459488682</v>
      </c>
      <c r="BI530" s="2">
        <f t="shared" ca="1" si="555"/>
        <v>41578186.113035709</v>
      </c>
      <c r="BJ530" s="2">
        <f t="shared" ca="1" si="556"/>
        <v>0.26172440791675022</v>
      </c>
      <c r="BK530" s="2">
        <f t="shared" ca="1" si="557"/>
        <v>12605776.146748055</v>
      </c>
    </row>
    <row r="531" spans="1:63" x14ac:dyDescent="0.3">
      <c r="A531" s="2">
        <v>530</v>
      </c>
      <c r="B531" s="2">
        <f t="shared" ca="1" si="496"/>
        <v>0.8301653222349934</v>
      </c>
      <c r="C531" s="2">
        <f t="shared" ca="1" si="497"/>
        <v>7.4171884047738814</v>
      </c>
      <c r="D531" s="2">
        <f t="shared" ca="1" si="498"/>
        <v>0.17671128172904949</v>
      </c>
      <c r="E531" s="2">
        <f t="shared" ca="1" si="499"/>
        <v>7.0944935352534113</v>
      </c>
      <c r="F531" s="2">
        <f t="shared" ca="1" si="500"/>
        <v>9.6464162374059415E-2</v>
      </c>
      <c r="G531" s="2">
        <f t="shared" ca="1" si="501"/>
        <v>9.4104773966415672E-4</v>
      </c>
      <c r="H531" s="2">
        <f t="shared" ca="1" si="502"/>
        <v>9.4104773966415672E-4</v>
      </c>
      <c r="I531" s="2">
        <f t="shared" ca="1" si="503"/>
        <v>3.8540064090079929E-2</v>
      </c>
      <c r="J531" s="2">
        <f t="shared" ca="1" si="504"/>
        <v>1.1605749172987415E-3</v>
      </c>
      <c r="K531" s="2">
        <f t="shared" ca="1" si="505"/>
        <v>1.1605749172987415E-3</v>
      </c>
      <c r="L531" s="2">
        <f t="shared" ca="1" si="506"/>
        <v>0.59189429563524276</v>
      </c>
      <c r="M531" s="2">
        <f t="shared" ca="1" si="507"/>
        <v>4.6484104995236078E-3</v>
      </c>
      <c r="N531" s="2">
        <f t="shared" ca="1" si="508"/>
        <v>4.6484104995236078E-3</v>
      </c>
      <c r="O531" s="2">
        <f t="shared" si="509"/>
        <v>6000000</v>
      </c>
      <c r="P531" s="2">
        <f t="shared" ca="1" si="510"/>
        <v>44503130.428643286</v>
      </c>
      <c r="Q531" s="2">
        <f t="shared" ca="1" si="511"/>
        <v>1112578.2607160823</v>
      </c>
      <c r="R531" s="2">
        <f t="shared" ca="1" si="512"/>
        <v>26701878.25718597</v>
      </c>
      <c r="S531" s="2">
        <f t="shared" ca="1" si="513"/>
        <v>17801252.171457317</v>
      </c>
      <c r="T531" s="2">
        <f t="shared" ca="1" si="514"/>
        <v>50232420.524976186</v>
      </c>
      <c r="U531" s="2">
        <f t="shared" ca="1" si="515"/>
        <v>50279691.630769074</v>
      </c>
      <c r="V531" s="2">
        <f t="shared" ca="1" si="516"/>
        <v>50327007.220929213</v>
      </c>
      <c r="W531" s="2">
        <f t="shared" ca="1" si="517"/>
        <v>50374367.337318525</v>
      </c>
      <c r="X531" s="2">
        <f t="shared" ca="1" si="518"/>
        <v>50421772.021838315</v>
      </c>
      <c r="Y531" s="2">
        <f t="shared" ca="1" si="519"/>
        <v>0.12058028745864936</v>
      </c>
      <c r="Z531" s="2">
        <f t="shared" ca="1" si="520"/>
        <v>0.12081240244210911</v>
      </c>
      <c r="AA531" s="2">
        <f t="shared" ca="1" si="521"/>
        <v>6057039.7066453872</v>
      </c>
      <c r="AB531" s="2">
        <f t="shared" ca="1" si="522"/>
        <v>6074410.3399616191</v>
      </c>
      <c r="AC531" s="2">
        <f t="shared" ca="1" si="523"/>
        <v>6080126.650081831</v>
      </c>
      <c r="AD531" s="2">
        <f t="shared" ca="1" si="524"/>
        <v>6085848.3395227622</v>
      </c>
      <c r="AE531" s="2">
        <f t="shared" ca="1" si="525"/>
        <v>6091575.4133466082</v>
      </c>
      <c r="AF531" s="2">
        <f t="shared" ca="1" si="526"/>
        <v>1004648.4104995237</v>
      </c>
      <c r="AG531" s="2">
        <f t="shared" ca="1" si="527"/>
        <v>1005593.8326153815</v>
      </c>
      <c r="AH531" s="2">
        <f t="shared" ca="1" si="528"/>
        <v>1006540.1444185843</v>
      </c>
      <c r="AI531" s="2">
        <f t="shared" ca="1" si="529"/>
        <v>1007487.3467463705</v>
      </c>
      <c r="AJ531" s="2">
        <f t="shared" ca="1" si="530"/>
        <v>1008435.4404367664</v>
      </c>
      <c r="AK531" s="2">
        <f t="shared" ca="1" si="531"/>
        <v>0</v>
      </c>
      <c r="AL531" s="2">
        <f t="shared" ca="1" si="532"/>
        <v>472.71105792887511</v>
      </c>
      <c r="AM531" s="2">
        <f t="shared" ca="1" si="533"/>
        <v>473.15590160138908</v>
      </c>
      <c r="AN531" s="2">
        <f t="shared" ca="1" si="534"/>
        <v>473.6011638931185</v>
      </c>
      <c r="AO531" s="2">
        <f t="shared" ca="1" si="535"/>
        <v>474.04684519790112</v>
      </c>
      <c r="AP531" s="2">
        <f t="shared" ca="1" si="536"/>
        <v>2403169.0431467374</v>
      </c>
      <c r="AQ531" s="2">
        <f t="shared" ca="1" si="537"/>
        <v>688797.78577977291</v>
      </c>
      <c r="AR531" s="2">
        <f t="shared" ca="1" si="538"/>
        <v>693068.34069187019</v>
      </c>
      <c r="AS531" s="2">
        <f t="shared" ca="1" si="539"/>
        <v>694308.54025429243</v>
      </c>
      <c r="AT531" s="2">
        <f t="shared" ca="1" si="540"/>
        <v>695549.90690371022</v>
      </c>
      <c r="AU531" s="2">
        <f t="shared" ca="1" si="541"/>
        <v>696792.44173840713</v>
      </c>
      <c r="AV531" s="2">
        <f t="shared" ca="1" si="542"/>
        <v>1960424.4672193532</v>
      </c>
      <c r="AW531" s="2">
        <f t="shared" ca="1" si="543"/>
        <v>1972106.4124497012</v>
      </c>
      <c r="AX531" s="2">
        <f t="shared" ca="1" si="544"/>
        <v>1975635.7663606158</v>
      </c>
      <c r="AY531" s="2">
        <f t="shared" ca="1" si="545"/>
        <v>1979168.4415620514</v>
      </c>
      <c r="AZ531" s="2">
        <f t="shared" ca="1" si="546"/>
        <v>1982704.4411794995</v>
      </c>
      <c r="BA531" s="2">
        <f t="shared" ca="1" si="547"/>
        <v>43216642.38949614</v>
      </c>
      <c r="BB531" s="2">
        <f t="shared" ca="1" si="548"/>
        <v>864332.84778992285</v>
      </c>
      <c r="BC531" s="2">
        <f t="shared" ca="1" si="549"/>
        <v>15650431.284520248</v>
      </c>
      <c r="BD531" s="2">
        <f t="shared" ca="1" si="550"/>
        <v>-19413830.432173397</v>
      </c>
      <c r="BE531" s="2">
        <f t="shared" ca="1" si="551"/>
        <v>1960424.4672193532</v>
      </c>
      <c r="BF531" s="2">
        <f t="shared" ca="1" si="552"/>
        <v>1972106.4124497012</v>
      </c>
      <c r="BG531" s="2">
        <f t="shared" ca="1" si="553"/>
        <v>1975635.7663606158</v>
      </c>
      <c r="BH531" s="2">
        <f t="shared" ca="1" si="554"/>
        <v>1979168.4415620514</v>
      </c>
      <c r="BI531" s="2">
        <f t="shared" ca="1" si="555"/>
        <v>17633135.725699749</v>
      </c>
      <c r="BJ531" s="2">
        <f t="shared" ca="1" si="556"/>
        <v>6.7787174098121517E-2</v>
      </c>
      <c r="BK531" s="2">
        <f t="shared" ca="1" si="557"/>
        <v>-3421769.6842173766</v>
      </c>
    </row>
    <row r="532" spans="1:63" x14ac:dyDescent="0.3">
      <c r="A532" s="2">
        <v>531</v>
      </c>
      <c r="B532" s="2">
        <f t="shared" ca="1" si="496"/>
        <v>0.27467631862467468</v>
      </c>
      <c r="C532" s="2">
        <f t="shared" ca="1" si="497"/>
        <v>6.7411832683279815</v>
      </c>
      <c r="D532" s="2">
        <f t="shared" ca="1" si="498"/>
        <v>0.96893263142596475</v>
      </c>
      <c r="E532" s="2">
        <f t="shared" ca="1" si="499"/>
        <v>8.2507315961697696</v>
      </c>
      <c r="F532" s="2">
        <f t="shared" ca="1" si="500"/>
        <v>0.78805673848215774</v>
      </c>
      <c r="G532" s="2">
        <f t="shared" ca="1" si="501"/>
        <v>6.3990902156737778E-2</v>
      </c>
      <c r="H532" s="2">
        <f t="shared" ca="1" si="502"/>
        <v>6.3990902156737778E-2</v>
      </c>
      <c r="I532" s="2">
        <f t="shared" ca="1" si="503"/>
        <v>1.133420480011349E-2</v>
      </c>
      <c r="J532" s="2">
        <f t="shared" ca="1" si="504"/>
        <v>-1.3948869311385288E-3</v>
      </c>
      <c r="K532" s="2">
        <f t="shared" ca="1" si="505"/>
        <v>0</v>
      </c>
      <c r="L532" s="2">
        <f t="shared" ca="1" si="506"/>
        <v>0.34565192221520524</v>
      </c>
      <c r="M532" s="2">
        <f t="shared" ca="1" si="507"/>
        <v>-7.9417253980123975E-3</v>
      </c>
      <c r="N532" s="2">
        <f t="shared" ca="1" si="508"/>
        <v>-7.9417253980123975E-3</v>
      </c>
      <c r="O532" s="2">
        <f t="shared" si="509"/>
        <v>6000000</v>
      </c>
      <c r="P532" s="2">
        <f t="shared" ca="1" si="510"/>
        <v>40447099.609967887</v>
      </c>
      <c r="Q532" s="2">
        <f t="shared" ca="1" si="511"/>
        <v>1011177.4902491972</v>
      </c>
      <c r="R532" s="2">
        <f t="shared" ca="1" si="512"/>
        <v>24268259.765980732</v>
      </c>
      <c r="S532" s="2">
        <f t="shared" ca="1" si="513"/>
        <v>16178839.843987156</v>
      </c>
      <c r="T532" s="2">
        <f t="shared" ca="1" si="514"/>
        <v>49602913.73009938</v>
      </c>
      <c r="U532" s="2">
        <f t="shared" ca="1" si="515"/>
        <v>52777048.929291271</v>
      </c>
      <c r="V532" s="2">
        <f t="shared" ca="1" si="516"/>
        <v>56154299.903446913</v>
      </c>
      <c r="W532" s="2">
        <f t="shared" ca="1" si="517"/>
        <v>59747664.214248493</v>
      </c>
      <c r="X532" s="2">
        <f t="shared" ca="1" si="518"/>
        <v>63570971.149076089</v>
      </c>
      <c r="Y532" s="2">
        <f t="shared" ca="1" si="519"/>
        <v>0.12</v>
      </c>
      <c r="Z532" s="2">
        <f t="shared" ca="1" si="520"/>
        <v>0.12</v>
      </c>
      <c r="AA532" s="2">
        <f t="shared" ca="1" si="521"/>
        <v>5952349.6476119254</v>
      </c>
      <c r="AB532" s="2">
        <f t="shared" ca="1" si="522"/>
        <v>6333245.8715149518</v>
      </c>
      <c r="AC532" s="2">
        <f t="shared" ca="1" si="523"/>
        <v>6738515.9884136291</v>
      </c>
      <c r="AD532" s="2">
        <f t="shared" ca="1" si="524"/>
        <v>7169719.7057098188</v>
      </c>
      <c r="AE532" s="2">
        <f t="shared" ca="1" si="525"/>
        <v>7628516.5378891304</v>
      </c>
      <c r="AF532" s="2">
        <f t="shared" ca="1" si="526"/>
        <v>992058.27460198756</v>
      </c>
      <c r="AG532" s="2">
        <f t="shared" ca="1" si="527"/>
        <v>1055540.9785858255</v>
      </c>
      <c r="AH532" s="2">
        <f t="shared" ca="1" si="528"/>
        <v>1123085.9980689383</v>
      </c>
      <c r="AI532" s="2">
        <f t="shared" ca="1" si="529"/>
        <v>1194953.2842849698</v>
      </c>
      <c r="AJ532" s="2">
        <f t="shared" ca="1" si="530"/>
        <v>1271419.4229815218</v>
      </c>
      <c r="AK532" s="2">
        <f t="shared" ca="1" si="531"/>
        <v>0</v>
      </c>
      <c r="AL532" s="2">
        <f t="shared" ca="1" si="532"/>
        <v>31741.351991918906</v>
      </c>
      <c r="AM532" s="2">
        <f t="shared" ca="1" si="533"/>
        <v>33772.509741556423</v>
      </c>
      <c r="AN532" s="2">
        <f t="shared" ca="1" si="534"/>
        <v>35933.643108015807</v>
      </c>
      <c r="AO532" s="2">
        <f t="shared" ca="1" si="535"/>
        <v>38233.06934827596</v>
      </c>
      <c r="AP532" s="2">
        <f t="shared" ca="1" si="536"/>
        <v>2184143.3789382656</v>
      </c>
      <c r="AQ532" s="2">
        <f t="shared" ca="1" si="537"/>
        <v>721798.47845863481</v>
      </c>
      <c r="AR532" s="2">
        <f t="shared" ca="1" si="538"/>
        <v>804325.99363762385</v>
      </c>
      <c r="AS532" s="2">
        <f t="shared" ca="1" si="539"/>
        <v>892134.51896567061</v>
      </c>
      <c r="AT532" s="2">
        <f t="shared" ca="1" si="540"/>
        <v>985561.99104651168</v>
      </c>
      <c r="AU532" s="2">
        <f t="shared" ca="1" si="541"/>
        <v>1084967.9713520291</v>
      </c>
      <c r="AV532" s="2">
        <f t="shared" ca="1" si="542"/>
        <v>2054349.5156130376</v>
      </c>
      <c r="AW532" s="2">
        <f t="shared" ca="1" si="543"/>
        <v>2257494.1683613178</v>
      </c>
      <c r="AX532" s="2">
        <f t="shared" ca="1" si="544"/>
        <v>2505379.5826991978</v>
      </c>
      <c r="AY532" s="2">
        <f t="shared" ca="1" si="545"/>
        <v>2769127.4083320559</v>
      </c>
      <c r="AZ532" s="2">
        <f t="shared" ca="1" si="546"/>
        <v>3049752.6952690384</v>
      </c>
      <c r="BA532" s="2">
        <f t="shared" ca="1" si="547"/>
        <v>62940842.43106547</v>
      </c>
      <c r="BB532" s="2">
        <f t="shared" ca="1" si="548"/>
        <v>1258816.8486213095</v>
      </c>
      <c r="BC532" s="2">
        <f t="shared" ca="1" si="549"/>
        <v>37413765.816463426</v>
      </c>
      <c r="BD532" s="2">
        <f t="shared" ca="1" si="550"/>
        <v>-17690017.334236354</v>
      </c>
      <c r="BE532" s="2">
        <f t="shared" ca="1" si="551"/>
        <v>2054349.5156130376</v>
      </c>
      <c r="BF532" s="2">
        <f t="shared" ca="1" si="552"/>
        <v>2257494.1683613178</v>
      </c>
      <c r="BG532" s="2">
        <f t="shared" ca="1" si="553"/>
        <v>2505379.5826991978</v>
      </c>
      <c r="BH532" s="2">
        <f t="shared" ca="1" si="554"/>
        <v>2769127.4083320559</v>
      </c>
      <c r="BI532" s="2">
        <f t="shared" ca="1" si="555"/>
        <v>40463518.511732467</v>
      </c>
      <c r="BJ532" s="2">
        <f t="shared" ca="1" si="556"/>
        <v>0.26763441633417306</v>
      </c>
      <c r="BK532" s="2">
        <f t="shared" ca="1" si="557"/>
        <v>12447081.144393947</v>
      </c>
    </row>
    <row r="533" spans="1:63" x14ac:dyDescent="0.3">
      <c r="A533" s="2">
        <v>532</v>
      </c>
      <c r="B533" s="2">
        <f t="shared" ca="1" si="496"/>
        <v>0.97568200812268147</v>
      </c>
      <c r="C533" s="2">
        <f t="shared" ca="1" si="497"/>
        <v>7.7794643254377265</v>
      </c>
      <c r="D533" s="2">
        <f t="shared" ca="1" si="498"/>
        <v>0.27173220139124621</v>
      </c>
      <c r="E533" s="2">
        <f t="shared" ca="1" si="499"/>
        <v>7.2372003817026229</v>
      </c>
      <c r="F533" s="2">
        <f t="shared" ca="1" si="500"/>
        <v>0.12705561444627678</v>
      </c>
      <c r="G533" s="2">
        <f t="shared" ca="1" si="501"/>
        <v>5.7873902325286178E-3</v>
      </c>
      <c r="H533" s="2">
        <f t="shared" ca="1" si="502"/>
        <v>5.7873902325286178E-3</v>
      </c>
      <c r="I533" s="2">
        <f t="shared" ca="1" si="503"/>
        <v>0.87939155263155244</v>
      </c>
      <c r="J533" s="2">
        <f t="shared" ca="1" si="504"/>
        <v>1.5859752942505086E-2</v>
      </c>
      <c r="K533" s="2">
        <f t="shared" ca="1" si="505"/>
        <v>1.5859752942505086E-2</v>
      </c>
      <c r="L533" s="2">
        <f t="shared" ca="1" si="506"/>
        <v>0.28192319338774308</v>
      </c>
      <c r="M533" s="2">
        <f t="shared" ca="1" si="507"/>
        <v>-1.1542755533383417E-2</v>
      </c>
      <c r="N533" s="2">
        <f t="shared" ca="1" si="508"/>
        <v>-1.1542755533383417E-2</v>
      </c>
      <c r="O533" s="2">
        <f t="shared" si="509"/>
        <v>6000000</v>
      </c>
      <c r="P533" s="2">
        <f t="shared" ca="1" si="510"/>
        <v>46676785.952626362</v>
      </c>
      <c r="Q533" s="2">
        <f t="shared" ca="1" si="511"/>
        <v>1166919.6488156591</v>
      </c>
      <c r="R533" s="2">
        <f t="shared" ca="1" si="512"/>
        <v>28006071.571575817</v>
      </c>
      <c r="S533" s="2">
        <f t="shared" ca="1" si="513"/>
        <v>18670714.381050546</v>
      </c>
      <c r="T533" s="2">
        <f t="shared" ca="1" si="514"/>
        <v>49422862.223330826</v>
      </c>
      <c r="U533" s="2">
        <f t="shared" ca="1" si="515"/>
        <v>49708891.613425747</v>
      </c>
      <c r="V533" s="2">
        <f t="shared" ca="1" si="516"/>
        <v>49996576.367219113</v>
      </c>
      <c r="W533" s="2">
        <f t="shared" ca="1" si="517"/>
        <v>50285926.064946637</v>
      </c>
      <c r="X533" s="2">
        <f t="shared" ca="1" si="518"/>
        <v>50576950.342288569</v>
      </c>
      <c r="Y533" s="2">
        <f t="shared" ca="1" si="519"/>
        <v>0.12792987647125253</v>
      </c>
      <c r="Z533" s="2">
        <f t="shared" ca="1" si="520"/>
        <v>0.13110182705975357</v>
      </c>
      <c r="AA533" s="2">
        <f t="shared" ca="1" si="521"/>
        <v>6322660.6590864463</v>
      </c>
      <c r="AB533" s="2">
        <f t="shared" ca="1" si="522"/>
        <v>6516926.5116353771</v>
      </c>
      <c r="AC533" s="2">
        <f t="shared" ca="1" si="523"/>
        <v>6554642.5084749227</v>
      </c>
      <c r="AD533" s="2">
        <f t="shared" ca="1" si="524"/>
        <v>6592576.7825061884</v>
      </c>
      <c r="AE533" s="2">
        <f t="shared" ca="1" si="525"/>
        <v>6630730.59698446</v>
      </c>
      <c r="AF533" s="2">
        <f t="shared" ca="1" si="526"/>
        <v>988457.24446661654</v>
      </c>
      <c r="AG533" s="2">
        <f t="shared" ca="1" si="527"/>
        <v>994177.8322685149</v>
      </c>
      <c r="AH533" s="2">
        <f t="shared" ca="1" si="528"/>
        <v>999931.52734438225</v>
      </c>
      <c r="AI533" s="2">
        <f t="shared" ca="1" si="529"/>
        <v>1005718.5212989327</v>
      </c>
      <c r="AJ533" s="2">
        <f t="shared" ca="1" si="530"/>
        <v>1011539.0068457715</v>
      </c>
      <c r="AK533" s="2">
        <f t="shared" ca="1" si="531"/>
        <v>0</v>
      </c>
      <c r="AL533" s="2">
        <f t="shared" ca="1" si="532"/>
        <v>2860.2939009492102</v>
      </c>
      <c r="AM533" s="2">
        <f t="shared" ca="1" si="533"/>
        <v>2876.8475379336628</v>
      </c>
      <c r="AN533" s="2">
        <f t="shared" ca="1" si="534"/>
        <v>2893.4969772752374</v>
      </c>
      <c r="AO533" s="2">
        <f t="shared" ca="1" si="535"/>
        <v>2910.2427734193207</v>
      </c>
      <c r="AP533" s="2">
        <f t="shared" ca="1" si="536"/>
        <v>2520546.4414418233</v>
      </c>
      <c r="AQ533" s="2">
        <f t="shared" ca="1" si="537"/>
        <v>731550.81302628166</v>
      </c>
      <c r="AR533" s="2">
        <f t="shared" ca="1" si="538"/>
        <v>780572.58186051017</v>
      </c>
      <c r="AS533" s="2">
        <f t="shared" ca="1" si="539"/>
        <v>788882.78031906649</v>
      </c>
      <c r="AT533" s="2">
        <f t="shared" ca="1" si="540"/>
        <v>797241.07313901244</v>
      </c>
      <c r="AU533" s="2">
        <f t="shared" ca="1" si="541"/>
        <v>805647.73866118502</v>
      </c>
      <c r="AV533" s="2">
        <f t="shared" ca="1" si="542"/>
        <v>2082106.1601517242</v>
      </c>
      <c r="AW533" s="2">
        <f t="shared" ca="1" si="543"/>
        <v>2218769.3621635805</v>
      </c>
      <c r="AX533" s="2">
        <f t="shared" ca="1" si="544"/>
        <v>2242404.9118317165</v>
      </c>
      <c r="AY533" s="2">
        <f t="shared" ca="1" si="545"/>
        <v>2266177.2496491442</v>
      </c>
      <c r="AZ533" s="2">
        <f t="shared" ca="1" si="546"/>
        <v>2290087.1672622613</v>
      </c>
      <c r="BA533" s="2">
        <f t="shared" ca="1" si="547"/>
        <v>47987926.007463194</v>
      </c>
      <c r="BB533" s="2">
        <f t="shared" ca="1" si="548"/>
        <v>959758.5201492639</v>
      </c>
      <c r="BC533" s="2">
        <f t="shared" ca="1" si="549"/>
        <v>19022095.915738113</v>
      </c>
      <c r="BD533" s="2">
        <f t="shared" ca="1" si="550"/>
        <v>-20337634.029866204</v>
      </c>
      <c r="BE533" s="2">
        <f t="shared" ca="1" si="551"/>
        <v>2082106.1601517242</v>
      </c>
      <c r="BF533" s="2">
        <f t="shared" ca="1" si="552"/>
        <v>2218769.3621635805</v>
      </c>
      <c r="BG533" s="2">
        <f t="shared" ca="1" si="553"/>
        <v>2242404.9118317165</v>
      </c>
      <c r="BH533" s="2">
        <f t="shared" ca="1" si="554"/>
        <v>2266177.2496491442</v>
      </c>
      <c r="BI533" s="2">
        <f t="shared" ca="1" si="555"/>
        <v>21312183.083000373</v>
      </c>
      <c r="BJ533" s="2">
        <f t="shared" ca="1" si="556"/>
        <v>9.808243273286088E-2</v>
      </c>
      <c r="BK533" s="2">
        <f t="shared" ca="1" si="557"/>
        <v>-1580420.1512239091</v>
      </c>
    </row>
    <row r="534" spans="1:63" x14ac:dyDescent="0.3">
      <c r="A534" s="2">
        <v>533</v>
      </c>
      <c r="B534" s="2">
        <f t="shared" ca="1" si="496"/>
        <v>5.4794176987646659E-2</v>
      </c>
      <c r="C534" s="2">
        <f t="shared" ca="1" si="497"/>
        <v>6.3310413176255995</v>
      </c>
      <c r="D534" s="2">
        <f t="shared" ca="1" si="498"/>
        <v>0.84111299724660338</v>
      </c>
      <c r="E534" s="2">
        <f t="shared" ca="1" si="499"/>
        <v>7.9362855283862288</v>
      </c>
      <c r="F534" s="2">
        <f t="shared" ca="1" si="500"/>
        <v>0.58626935732112162</v>
      </c>
      <c r="G534" s="2">
        <f t="shared" ca="1" si="501"/>
        <v>4.6538761194616279E-2</v>
      </c>
      <c r="H534" s="2">
        <f t="shared" ca="1" si="502"/>
        <v>4.6538761194616279E-2</v>
      </c>
      <c r="I534" s="2">
        <f t="shared" ca="1" si="503"/>
        <v>0.5895237848106436</v>
      </c>
      <c r="J534" s="2">
        <f t="shared" ca="1" si="504"/>
        <v>1.1131600731497488E-2</v>
      </c>
      <c r="K534" s="2">
        <f t="shared" ca="1" si="505"/>
        <v>1.1131600731497488E-2</v>
      </c>
      <c r="L534" s="2">
        <f t="shared" ca="1" si="506"/>
        <v>0.25402800656919866</v>
      </c>
      <c r="M534" s="2">
        <f t="shared" ca="1" si="507"/>
        <v>-1.3237354020681503E-2</v>
      </c>
      <c r="N534" s="2">
        <f t="shared" ca="1" si="508"/>
        <v>-1.3237354020681503E-2</v>
      </c>
      <c r="O534" s="2">
        <f t="shared" si="509"/>
        <v>6000000</v>
      </c>
      <c r="P534" s="2">
        <f t="shared" ca="1" si="510"/>
        <v>37986247.905753598</v>
      </c>
      <c r="Q534" s="2">
        <f t="shared" ca="1" si="511"/>
        <v>949656.19764383999</v>
      </c>
      <c r="R534" s="2">
        <f t="shared" ca="1" si="512"/>
        <v>22791748.743452158</v>
      </c>
      <c r="S534" s="2">
        <f t="shared" ca="1" si="513"/>
        <v>15194499.16230144</v>
      </c>
      <c r="T534" s="2">
        <f t="shared" ca="1" si="514"/>
        <v>49338132.298965923</v>
      </c>
      <c r="U534" s="2">
        <f t="shared" ca="1" si="515"/>
        <v>51634267.85581588</v>
      </c>
      <c r="V534" s="2">
        <f t="shared" ca="1" si="516"/>
        <v>54037262.71701654</v>
      </c>
      <c r="W534" s="2">
        <f t="shared" ca="1" si="517"/>
        <v>56552089.98221451</v>
      </c>
      <c r="X534" s="2">
        <f t="shared" ca="1" si="518"/>
        <v>59183954.192953236</v>
      </c>
      <c r="Y534" s="2">
        <f t="shared" ca="1" si="519"/>
        <v>0.12556580036574874</v>
      </c>
      <c r="Z534" s="2">
        <f t="shared" ca="1" si="520"/>
        <v>0.12779212051204825</v>
      </c>
      <c r="AA534" s="2">
        <f t="shared" ca="1" si="521"/>
        <v>6195182.0706708552</v>
      </c>
      <c r="AB534" s="2">
        <f t="shared" ca="1" si="522"/>
        <v>6598452.5803818023</v>
      </c>
      <c r="AC534" s="2">
        <f t="shared" ca="1" si="523"/>
        <v>6905536.3892741892</v>
      </c>
      <c r="AD534" s="2">
        <f t="shared" ca="1" si="524"/>
        <v>7226911.4982153531</v>
      </c>
      <c r="AE534" s="2">
        <f t="shared" ca="1" si="525"/>
        <v>7563243.0066054231</v>
      </c>
      <c r="AF534" s="2">
        <f t="shared" ca="1" si="526"/>
        <v>986762.64597931853</v>
      </c>
      <c r="AG534" s="2">
        <f t="shared" ca="1" si="527"/>
        <v>1032685.3571163176</v>
      </c>
      <c r="AH534" s="2">
        <f t="shared" ca="1" si="528"/>
        <v>1080745.2543403308</v>
      </c>
      <c r="AI534" s="2">
        <f t="shared" ca="1" si="529"/>
        <v>1131041.7996442902</v>
      </c>
      <c r="AJ534" s="2">
        <f t="shared" ca="1" si="530"/>
        <v>1183679.0838590648</v>
      </c>
      <c r="AK534" s="2">
        <f t="shared" ca="1" si="531"/>
        <v>0</v>
      </c>
      <c r="AL534" s="2">
        <f t="shared" ca="1" si="532"/>
        <v>22961.355568499566</v>
      </c>
      <c r="AM534" s="2">
        <f t="shared" ca="1" si="533"/>
        <v>24029.948612006607</v>
      </c>
      <c r="AN534" s="2">
        <f t="shared" ca="1" si="534"/>
        <v>25148.2726519797</v>
      </c>
      <c r="AO534" s="2">
        <f t="shared" ca="1" si="535"/>
        <v>26318.642107387259</v>
      </c>
      <c r="AP534" s="2">
        <f t="shared" ca="1" si="536"/>
        <v>2051257.3869106942</v>
      </c>
      <c r="AQ534" s="2">
        <f t="shared" ca="1" si="537"/>
        <v>820862.12982301903</v>
      </c>
      <c r="AR534" s="2">
        <f t="shared" ca="1" si="538"/>
        <v>913772.55745224562</v>
      </c>
      <c r="AS534" s="2">
        <f t="shared" ca="1" si="539"/>
        <v>981118.77448602265</v>
      </c>
      <c r="AT534" s="2">
        <f t="shared" ca="1" si="540"/>
        <v>1051599.2010316958</v>
      </c>
      <c r="AU534" s="2">
        <f t="shared" ca="1" si="541"/>
        <v>1125359.6993172728</v>
      </c>
      <c r="AV534" s="2">
        <f t="shared" ca="1" si="542"/>
        <v>2336299.9079578235</v>
      </c>
      <c r="AW534" s="2">
        <f t="shared" ca="1" si="543"/>
        <v>2577775.9233340458</v>
      </c>
      <c r="AX534" s="2">
        <f t="shared" ca="1" si="544"/>
        <v>2768385.0249251346</v>
      </c>
      <c r="AY534" s="2">
        <f t="shared" ca="1" si="545"/>
        <v>2967864.8379766927</v>
      </c>
      <c r="AZ534" s="2">
        <f t="shared" ca="1" si="546"/>
        <v>3176628.1944110044</v>
      </c>
      <c r="BA534" s="2">
        <f t="shared" ca="1" si="547"/>
        <v>60024056.020990968</v>
      </c>
      <c r="BB534" s="2">
        <f t="shared" ca="1" si="548"/>
        <v>1200481.1204198194</v>
      </c>
      <c r="BC534" s="2">
        <f t="shared" ca="1" si="549"/>
        <v>36031826.157118984</v>
      </c>
      <c r="BD534" s="2">
        <f t="shared" ca="1" si="550"/>
        <v>-16644155.35994528</v>
      </c>
      <c r="BE534" s="2">
        <f t="shared" ca="1" si="551"/>
        <v>2336299.9079578235</v>
      </c>
      <c r="BF534" s="2">
        <f t="shared" ca="1" si="552"/>
        <v>2577775.9233340458</v>
      </c>
      <c r="BG534" s="2">
        <f t="shared" ca="1" si="553"/>
        <v>2768385.0249251346</v>
      </c>
      <c r="BH534" s="2">
        <f t="shared" ca="1" si="554"/>
        <v>2967864.8379766927</v>
      </c>
      <c r="BI534" s="2">
        <f t="shared" ca="1" si="555"/>
        <v>39208454.351529986</v>
      </c>
      <c r="BJ534" s="2">
        <f t="shared" ca="1" si="556"/>
        <v>0.2910083019747487</v>
      </c>
      <c r="BK534" s="2">
        <f t="shared" ca="1" si="557"/>
        <v>13601357.392666923</v>
      </c>
    </row>
    <row r="535" spans="1:63" x14ac:dyDescent="0.3">
      <c r="A535" s="2">
        <v>534</v>
      </c>
      <c r="B535" s="2">
        <f t="shared" ca="1" si="496"/>
        <v>0.48802411187643524</v>
      </c>
      <c r="C535" s="2">
        <f t="shared" ca="1" si="497"/>
        <v>6.9879515290503225</v>
      </c>
      <c r="D535" s="2">
        <f t="shared" ca="1" si="498"/>
        <v>2.8764524518471668E-2</v>
      </c>
      <c r="E535" s="2">
        <f t="shared" ca="1" si="499"/>
        <v>6.7398521399465583</v>
      </c>
      <c r="F535" s="2">
        <f t="shared" ca="1" si="500"/>
        <v>0.43515641459648535</v>
      </c>
      <c r="G535" s="2">
        <f t="shared" ca="1" si="501"/>
        <v>3.5102165802647883E-2</v>
      </c>
      <c r="H535" s="2">
        <f t="shared" ca="1" si="502"/>
        <v>3.5102165802647883E-2</v>
      </c>
      <c r="I535" s="2">
        <f t="shared" ca="1" si="503"/>
        <v>0.83565860180201801</v>
      </c>
      <c r="J535" s="2">
        <f t="shared" ca="1" si="504"/>
        <v>1.4883852371799986E-2</v>
      </c>
      <c r="K535" s="2">
        <f t="shared" ca="1" si="505"/>
        <v>1.4883852371799986E-2</v>
      </c>
      <c r="L535" s="2">
        <f t="shared" ca="1" si="506"/>
        <v>0.70448667648721386</v>
      </c>
      <c r="M535" s="2">
        <f t="shared" ca="1" si="507"/>
        <v>1.0746977611399517E-2</v>
      </c>
      <c r="N535" s="2">
        <f t="shared" ca="1" si="508"/>
        <v>1.0746977611399517E-2</v>
      </c>
      <c r="O535" s="2">
        <f t="shared" si="509"/>
        <v>6000000</v>
      </c>
      <c r="P535" s="2">
        <f t="shared" ca="1" si="510"/>
        <v>41927709.174301937</v>
      </c>
      <c r="Q535" s="2">
        <f t="shared" ca="1" si="511"/>
        <v>1048192.7293575485</v>
      </c>
      <c r="R535" s="2">
        <f t="shared" ca="1" si="512"/>
        <v>25156625.504581161</v>
      </c>
      <c r="S535" s="2">
        <f t="shared" ca="1" si="513"/>
        <v>16771083.669720776</v>
      </c>
      <c r="T535" s="2">
        <f t="shared" ca="1" si="514"/>
        <v>50537348.88056998</v>
      </c>
      <c r="U535" s="2">
        <f t="shared" ca="1" si="515"/>
        <v>52311319.280202001</v>
      </c>
      <c r="V535" s="2">
        <f t="shared" ca="1" si="516"/>
        <v>54147559.882930897</v>
      </c>
      <c r="W535" s="2">
        <f t="shared" ca="1" si="517"/>
        <v>56048256.50775034</v>
      </c>
      <c r="X535" s="2">
        <f t="shared" ca="1" si="518"/>
        <v>58015671.700634725</v>
      </c>
      <c r="Y535" s="2">
        <f t="shared" ca="1" si="519"/>
        <v>0.1274419261859</v>
      </c>
      <c r="Z535" s="2">
        <f t="shared" ca="1" si="520"/>
        <v>0.13041869666025999</v>
      </c>
      <c r="AA535" s="2">
        <f t="shared" ca="1" si="521"/>
        <v>6440577.0856686756</v>
      </c>
      <c r="AB535" s="2">
        <f t="shared" ca="1" si="522"/>
        <v>6822374.0811026748</v>
      </c>
      <c r="AC535" s="2">
        <f t="shared" ca="1" si="523"/>
        <v>7061854.1872652275</v>
      </c>
      <c r="AD535" s="2">
        <f t="shared" ca="1" si="524"/>
        <v>7309740.5638207346</v>
      </c>
      <c r="AE535" s="2">
        <f t="shared" ca="1" si="525"/>
        <v>7566328.28906631</v>
      </c>
      <c r="AF535" s="2">
        <f t="shared" ca="1" si="526"/>
        <v>1010746.9776113996</v>
      </c>
      <c r="AG535" s="2">
        <f t="shared" ca="1" si="527"/>
        <v>1046226.38560404</v>
      </c>
      <c r="AH535" s="2">
        <f t="shared" ca="1" si="528"/>
        <v>1082951.197658618</v>
      </c>
      <c r="AI535" s="2">
        <f t="shared" ca="1" si="529"/>
        <v>1120965.1301550069</v>
      </c>
      <c r="AJ535" s="2">
        <f t="shared" ca="1" si="530"/>
        <v>1160313.4340126945</v>
      </c>
      <c r="AK535" s="2">
        <f t="shared" ca="1" si="531"/>
        <v>0</v>
      </c>
      <c r="AL535" s="2">
        <f t="shared" ca="1" si="532"/>
        <v>17739.703996320219</v>
      </c>
      <c r="AM535" s="2">
        <f t="shared" ca="1" si="533"/>
        <v>18362.406027288958</v>
      </c>
      <c r="AN535" s="2">
        <f t="shared" ca="1" si="534"/>
        <v>19006.966248194425</v>
      </c>
      <c r="AO535" s="2">
        <f t="shared" ca="1" si="535"/>
        <v>19674.151928843858</v>
      </c>
      <c r="AP535" s="2">
        <f t="shared" ca="1" si="536"/>
        <v>2264096.2954123043</v>
      </c>
      <c r="AQ535" s="2">
        <f t="shared" ca="1" si="537"/>
        <v>823090.79128769273</v>
      </c>
      <c r="AR535" s="2">
        <f t="shared" ca="1" si="538"/>
        <v>913133.36402244598</v>
      </c>
      <c r="AS535" s="2">
        <f t="shared" ca="1" si="539"/>
        <v>965849.74049051944</v>
      </c>
      <c r="AT535" s="2">
        <f t="shared" ca="1" si="540"/>
        <v>1020416.5759458903</v>
      </c>
      <c r="AU535" s="2">
        <f t="shared" ca="1" si="541"/>
        <v>1076898.8255067409</v>
      </c>
      <c r="AV535" s="2">
        <f t="shared" ca="1" si="542"/>
        <v>2342643.0213572788</v>
      </c>
      <c r="AW535" s="2">
        <f t="shared" ca="1" si="543"/>
        <v>2581178.3320675646</v>
      </c>
      <c r="AX535" s="2">
        <f t="shared" ca="1" si="544"/>
        <v>2730594.5476764967</v>
      </c>
      <c r="AY535" s="2">
        <f t="shared" ca="1" si="545"/>
        <v>2885255.5960593387</v>
      </c>
      <c r="AZ535" s="2">
        <f t="shared" ca="1" si="546"/>
        <v>3045345.5822057263</v>
      </c>
      <c r="BA535" s="2">
        <f t="shared" ca="1" si="547"/>
        <v>50995933.91060175</v>
      </c>
      <c r="BB535" s="2">
        <f t="shared" ca="1" si="548"/>
        <v>1019918.678212035</v>
      </c>
      <c r="BC535" s="2">
        <f t="shared" ca="1" si="549"/>
        <v>24819389.727808554</v>
      </c>
      <c r="BD535" s="2">
        <f t="shared" ca="1" si="550"/>
        <v>-18319276.399078324</v>
      </c>
      <c r="BE535" s="2">
        <f t="shared" ca="1" si="551"/>
        <v>2342643.0213572788</v>
      </c>
      <c r="BF535" s="2">
        <f t="shared" ca="1" si="552"/>
        <v>2581178.3320675646</v>
      </c>
      <c r="BG535" s="2">
        <f t="shared" ca="1" si="553"/>
        <v>2730594.5476764967</v>
      </c>
      <c r="BH535" s="2">
        <f t="shared" ca="1" si="554"/>
        <v>2885255.5960593387</v>
      </c>
      <c r="BI535" s="2">
        <f t="shared" ca="1" si="555"/>
        <v>27864735.310014281</v>
      </c>
      <c r="BJ535" s="2">
        <f t="shared" ca="1" si="556"/>
        <v>0.1933421188294886</v>
      </c>
      <c r="BK535" s="2">
        <f t="shared" ca="1" si="557"/>
        <v>5418483.2172265463</v>
      </c>
    </row>
    <row r="536" spans="1:63" x14ac:dyDescent="0.3">
      <c r="A536" s="2">
        <v>535</v>
      </c>
      <c r="B536" s="2">
        <f t="shared" ca="1" si="496"/>
        <v>0.23022925805016747</v>
      </c>
      <c r="C536" s="2">
        <f t="shared" ca="1" si="497"/>
        <v>6.6785709366752561</v>
      </c>
      <c r="D536" s="2">
        <f t="shared" ca="1" si="498"/>
        <v>0.7404201290383513</v>
      </c>
      <c r="E536" s="2">
        <f t="shared" ca="1" si="499"/>
        <v>7.7794725946063554</v>
      </c>
      <c r="F536" s="2">
        <f t="shared" ca="1" si="500"/>
        <v>0.40555535132635423</v>
      </c>
      <c r="G536" s="2">
        <f t="shared" ca="1" si="501"/>
        <v>3.2830198082907366E-2</v>
      </c>
      <c r="H536" s="2">
        <f t="shared" ca="1" si="502"/>
        <v>3.2830198082907366E-2</v>
      </c>
      <c r="I536" s="2">
        <f t="shared" ca="1" si="503"/>
        <v>0.31894865137218087</v>
      </c>
      <c r="J536" s="2">
        <f t="shared" ca="1" si="504"/>
        <v>7.6467962533440809E-3</v>
      </c>
      <c r="K536" s="2">
        <f t="shared" ca="1" si="505"/>
        <v>7.6467962533440809E-3</v>
      </c>
      <c r="L536" s="2">
        <f t="shared" ca="1" si="506"/>
        <v>0.94415242764301366</v>
      </c>
      <c r="M536" s="2">
        <f t="shared" ca="1" si="507"/>
        <v>3.1812397866609873E-2</v>
      </c>
      <c r="N536" s="2">
        <f t="shared" ca="1" si="508"/>
        <v>3.1812397866609873E-2</v>
      </c>
      <c r="O536" s="2">
        <f t="shared" si="509"/>
        <v>6000000</v>
      </c>
      <c r="P536" s="2">
        <f t="shared" ca="1" si="510"/>
        <v>40071425.62005154</v>
      </c>
      <c r="Q536" s="2">
        <f t="shared" ca="1" si="511"/>
        <v>1001785.6405012886</v>
      </c>
      <c r="R536" s="2">
        <f t="shared" ca="1" si="512"/>
        <v>24042855.372030925</v>
      </c>
      <c r="S536" s="2">
        <f t="shared" ca="1" si="513"/>
        <v>16028570.248020617</v>
      </c>
      <c r="T536" s="2">
        <f t="shared" ca="1" si="514"/>
        <v>51590619.893330492</v>
      </c>
      <c r="U536" s="2">
        <f t="shared" ca="1" si="515"/>
        <v>53284350.163648508</v>
      </c>
      <c r="V536" s="2">
        <f t="shared" ca="1" si="516"/>
        <v>55033685.934240088</v>
      </c>
      <c r="W536" s="2">
        <f t="shared" ca="1" si="517"/>
        <v>56840452.744693704</v>
      </c>
      <c r="X536" s="2">
        <f t="shared" ca="1" si="518"/>
        <v>58706536.067424133</v>
      </c>
      <c r="Y536" s="2">
        <f t="shared" ca="1" si="519"/>
        <v>0.12382339812667204</v>
      </c>
      <c r="Z536" s="2">
        <f t="shared" ca="1" si="520"/>
        <v>0.12535275737734086</v>
      </c>
      <c r="AA536" s="2">
        <f t="shared" ca="1" si="521"/>
        <v>6388125.8666536678</v>
      </c>
      <c r="AB536" s="2">
        <f t="shared" ca="1" si="522"/>
        <v>6679340.2180731045</v>
      </c>
      <c r="AC536" s="2">
        <f t="shared" ca="1" si="523"/>
        <v>6898624.2804955738</v>
      </c>
      <c r="AD536" s="2">
        <f t="shared" ca="1" si="524"/>
        <v>7125107.4821237987</v>
      </c>
      <c r="AE536" s="2">
        <f t="shared" ca="1" si="525"/>
        <v>7359026.1721239276</v>
      </c>
      <c r="AF536" s="2">
        <f t="shared" ca="1" si="526"/>
        <v>1031812.3978666099</v>
      </c>
      <c r="AG536" s="2">
        <f t="shared" ca="1" si="527"/>
        <v>1065687.0032729702</v>
      </c>
      <c r="AH536" s="2">
        <f t="shared" ca="1" si="528"/>
        <v>1100673.7186848018</v>
      </c>
      <c r="AI536" s="2">
        <f t="shared" ca="1" si="529"/>
        <v>1136809.0548938741</v>
      </c>
      <c r="AJ536" s="2">
        <f t="shared" ca="1" si="530"/>
        <v>1174130.7213484826</v>
      </c>
      <c r="AK536" s="2">
        <f t="shared" ca="1" si="531"/>
        <v>0</v>
      </c>
      <c r="AL536" s="2">
        <f t="shared" ca="1" si="532"/>
        <v>16937.302703180165</v>
      </c>
      <c r="AM536" s="2">
        <f t="shared" ca="1" si="533"/>
        <v>17493.357705915794</v>
      </c>
      <c r="AN536" s="2">
        <f t="shared" ca="1" si="534"/>
        <v>18067.668104536162</v>
      </c>
      <c r="AO536" s="2">
        <f t="shared" ca="1" si="535"/>
        <v>18660.833227304294</v>
      </c>
      <c r="AP536" s="2">
        <f t="shared" ca="1" si="536"/>
        <v>2163856.9834827832</v>
      </c>
      <c r="AQ536" s="2">
        <f t="shared" ca="1" si="537"/>
        <v>830038.6861791116</v>
      </c>
      <c r="AR536" s="2">
        <f t="shared" ca="1" si="538"/>
        <v>896947.02014251135</v>
      </c>
      <c r="AS536" s="2">
        <f t="shared" ca="1" si="539"/>
        <v>944864.33036527713</v>
      </c>
      <c r="AT536" s="2">
        <f t="shared" ca="1" si="540"/>
        <v>994354.77537425666</v>
      </c>
      <c r="AU536" s="2">
        <f t="shared" ca="1" si="541"/>
        <v>1045470.001496092</v>
      </c>
      <c r="AV536" s="2">
        <f t="shared" ca="1" si="542"/>
        <v>2362417.7991251634</v>
      </c>
      <c r="AW536" s="2">
        <f t="shared" ca="1" si="543"/>
        <v>2535911.9084716593</v>
      </c>
      <c r="AX536" s="2">
        <f t="shared" ca="1" si="544"/>
        <v>2671735.8902567965</v>
      </c>
      <c r="AY536" s="2">
        <f t="shared" ca="1" si="545"/>
        <v>2812019.000268348</v>
      </c>
      <c r="AZ536" s="2">
        <f t="shared" ca="1" si="546"/>
        <v>2956907.6325692651</v>
      </c>
      <c r="BA536" s="2">
        <f t="shared" ca="1" si="547"/>
        <v>57249342.42902901</v>
      </c>
      <c r="BB536" s="2">
        <f t="shared" ca="1" si="548"/>
        <v>1144986.8485805802</v>
      </c>
      <c r="BC536" s="2">
        <f t="shared" ca="1" si="549"/>
        <v>32061500.208417505</v>
      </c>
      <c r="BD536" s="2">
        <f t="shared" ca="1" si="550"/>
        <v>-17530355.888521906</v>
      </c>
      <c r="BE536" s="2">
        <f t="shared" ca="1" si="551"/>
        <v>2362417.7991251634</v>
      </c>
      <c r="BF536" s="2">
        <f t="shared" ca="1" si="552"/>
        <v>2535911.9084716593</v>
      </c>
      <c r="BG536" s="2">
        <f t="shared" ca="1" si="553"/>
        <v>2671735.8902567965</v>
      </c>
      <c r="BH536" s="2">
        <f t="shared" ca="1" si="554"/>
        <v>2812019.000268348</v>
      </c>
      <c r="BI536" s="2">
        <f t="shared" ca="1" si="555"/>
        <v>35018407.840986773</v>
      </c>
      <c r="BJ536" s="2">
        <f t="shared" ca="1" si="556"/>
        <v>0.24959889105529376</v>
      </c>
      <c r="BK536" s="2">
        <f t="shared" ca="1" si="557"/>
        <v>10159721.964312222</v>
      </c>
    </row>
    <row r="537" spans="1:63" x14ac:dyDescent="0.3">
      <c r="A537" s="2">
        <v>536</v>
      </c>
      <c r="B537" s="2">
        <f t="shared" ca="1" si="496"/>
        <v>0.75047457492216996</v>
      </c>
      <c r="C537" s="2">
        <f t="shared" ca="1" si="497"/>
        <v>7.2935646879185185</v>
      </c>
      <c r="D537" s="2">
        <f t="shared" ca="1" si="498"/>
        <v>0.1120405019522851</v>
      </c>
      <c r="E537" s="2">
        <f t="shared" ca="1" si="499"/>
        <v>6.973371950906019</v>
      </c>
      <c r="F537" s="2">
        <f t="shared" ca="1" si="500"/>
        <v>0.2475366643182374</v>
      </c>
      <c r="G537" s="2">
        <f t="shared" ca="1" si="501"/>
        <v>1.9532141511884829E-2</v>
      </c>
      <c r="H537" s="2">
        <f t="shared" ca="1" si="502"/>
        <v>1.9532141511884829E-2</v>
      </c>
      <c r="I537" s="2">
        <f t="shared" ca="1" si="503"/>
        <v>0.72153092440096278</v>
      </c>
      <c r="J537" s="2">
        <f t="shared" ca="1" si="504"/>
        <v>1.2936977233208755E-2</v>
      </c>
      <c r="K537" s="2">
        <f t="shared" ca="1" si="505"/>
        <v>1.2936977233208755E-2</v>
      </c>
      <c r="L537" s="2">
        <f t="shared" ca="1" si="506"/>
        <v>0.67426854470750208</v>
      </c>
      <c r="M537" s="2">
        <f t="shared" ca="1" si="507"/>
        <v>9.0346164542138754E-3</v>
      </c>
      <c r="N537" s="2">
        <f t="shared" ca="1" si="508"/>
        <v>9.0346164542138754E-3</v>
      </c>
      <c r="O537" s="2">
        <f t="shared" si="509"/>
        <v>6000000</v>
      </c>
      <c r="P537" s="2">
        <f t="shared" ca="1" si="510"/>
        <v>43761388.127511114</v>
      </c>
      <c r="Q537" s="2">
        <f t="shared" ca="1" si="511"/>
        <v>1094034.7031877779</v>
      </c>
      <c r="R537" s="2">
        <f t="shared" ca="1" si="512"/>
        <v>26256832.876506668</v>
      </c>
      <c r="S537" s="2">
        <f t="shared" ca="1" si="513"/>
        <v>17504555.251004446</v>
      </c>
      <c r="T537" s="2">
        <f t="shared" ca="1" si="514"/>
        <v>50451730.822710693</v>
      </c>
      <c r="U537" s="2">
        <f t="shared" ca="1" si="515"/>
        <v>51437161.168659396</v>
      </c>
      <c r="V537" s="2">
        <f t="shared" ca="1" si="516"/>
        <v>52441839.079575278</v>
      </c>
      <c r="W537" s="2">
        <f t="shared" ca="1" si="517"/>
        <v>53466140.50162103</v>
      </c>
      <c r="X537" s="2">
        <f t="shared" ca="1" si="518"/>
        <v>54510448.723993003</v>
      </c>
      <c r="Y537" s="2">
        <f t="shared" ca="1" si="519"/>
        <v>0.12646848861660437</v>
      </c>
      <c r="Z537" s="2">
        <f t="shared" ca="1" si="520"/>
        <v>0.12905588406324611</v>
      </c>
      <c r="AA537" s="2">
        <f t="shared" ca="1" si="521"/>
        <v>6380554.1452399753</v>
      </c>
      <c r="AB537" s="2">
        <f t="shared" ca="1" si="522"/>
        <v>6638268.3083250122</v>
      </c>
      <c r="AC537" s="2">
        <f t="shared" ca="1" si="523"/>
        <v>6767927.9043170763</v>
      </c>
      <c r="AD537" s="2">
        <f t="shared" ca="1" si="524"/>
        <v>6900120.0298864311</v>
      </c>
      <c r="AE537" s="2">
        <f t="shared" ca="1" si="525"/>
        <v>7034894.1507591633</v>
      </c>
      <c r="AF537" s="2">
        <f t="shared" ca="1" si="526"/>
        <v>1009034.6164542139</v>
      </c>
      <c r="AG537" s="2">
        <f t="shared" ca="1" si="527"/>
        <v>1028743.2233731879</v>
      </c>
      <c r="AH537" s="2">
        <f t="shared" ca="1" si="528"/>
        <v>1048836.7815915055</v>
      </c>
      <c r="AI537" s="2">
        <f t="shared" ca="1" si="529"/>
        <v>1069322.8100324206</v>
      </c>
      <c r="AJ537" s="2">
        <f t="shared" ca="1" si="530"/>
        <v>1090208.9744798602</v>
      </c>
      <c r="AK537" s="2">
        <f t="shared" ca="1" si="531"/>
        <v>0</v>
      </c>
      <c r="AL537" s="2">
        <f t="shared" ca="1" si="532"/>
        <v>9854.3034594870369</v>
      </c>
      <c r="AM537" s="2">
        <f t="shared" ca="1" si="533"/>
        <v>10046.779109158813</v>
      </c>
      <c r="AN537" s="2">
        <f t="shared" ca="1" si="534"/>
        <v>10243.014220457524</v>
      </c>
      <c r="AO537" s="2">
        <f t="shared" ca="1" si="535"/>
        <v>10443.082223719732</v>
      </c>
      <c r="AP537" s="2">
        <f t="shared" ca="1" si="536"/>
        <v>2363114.9588855999</v>
      </c>
      <c r="AQ537" s="2">
        <f t="shared" ca="1" si="537"/>
        <v>782185.18817404204</v>
      </c>
      <c r="AR537" s="2">
        <f t="shared" ca="1" si="538"/>
        <v>844066.63277721847</v>
      </c>
      <c r="AS537" s="2">
        <f t="shared" ca="1" si="539"/>
        <v>872553.80259839236</v>
      </c>
      <c r="AT537" s="2">
        <f t="shared" ca="1" si="540"/>
        <v>901597.38785178668</v>
      </c>
      <c r="AU537" s="2">
        <f t="shared" ca="1" si="541"/>
        <v>931208.25652236282</v>
      </c>
      <c r="AV537" s="2">
        <f t="shared" ca="1" si="542"/>
        <v>2226219.3817261197</v>
      </c>
      <c r="AW537" s="2">
        <f t="shared" ca="1" si="543"/>
        <v>2392489.189829519</v>
      </c>
      <c r="AX537" s="2">
        <f t="shared" ca="1" si="544"/>
        <v>2473375.5821324196</v>
      </c>
      <c r="AY537" s="2">
        <f t="shared" ca="1" si="545"/>
        <v>2555841.8588961661</v>
      </c>
      <c r="AZ537" s="2">
        <f t="shared" ca="1" si="546"/>
        <v>2639918.8786476199</v>
      </c>
      <c r="BA537" s="2">
        <f t="shared" ca="1" si="547"/>
        <v>49056933.548496768</v>
      </c>
      <c r="BB537" s="2">
        <f t="shared" ca="1" si="548"/>
        <v>981138.67096993537</v>
      </c>
      <c r="BC537" s="2">
        <f t="shared" ca="1" si="549"/>
        <v>21818962.001020163</v>
      </c>
      <c r="BD537" s="2">
        <f t="shared" ca="1" si="550"/>
        <v>-19098589.954192225</v>
      </c>
      <c r="BE537" s="2">
        <f t="shared" ca="1" si="551"/>
        <v>2226219.3817261197</v>
      </c>
      <c r="BF537" s="2">
        <f t="shared" ca="1" si="552"/>
        <v>2392489.189829519</v>
      </c>
      <c r="BG537" s="2">
        <f t="shared" ca="1" si="553"/>
        <v>2473375.5821324196</v>
      </c>
      <c r="BH537" s="2">
        <f t="shared" ca="1" si="554"/>
        <v>2555841.8588961661</v>
      </c>
      <c r="BI537" s="2">
        <f t="shared" ca="1" si="555"/>
        <v>24458880.879667781</v>
      </c>
      <c r="BJ537" s="2">
        <f t="shared" ca="1" si="556"/>
        <v>0.14842899104619423</v>
      </c>
      <c r="BK537" s="2">
        <f t="shared" ca="1" si="557"/>
        <v>2059793.1201918758</v>
      </c>
    </row>
    <row r="538" spans="1:63" x14ac:dyDescent="0.3">
      <c r="A538" s="2">
        <v>537</v>
      </c>
      <c r="B538" s="2">
        <f t="shared" ca="1" si="496"/>
        <v>0.37618949611892194</v>
      </c>
      <c r="C538" s="2">
        <f t="shared" ca="1" si="497"/>
        <v>6.8673978281260819</v>
      </c>
      <c r="D538" s="2">
        <f t="shared" ca="1" si="498"/>
        <v>0.41330460448910877</v>
      </c>
      <c r="E538" s="2">
        <f t="shared" ca="1" si="499"/>
        <v>7.4091805150673968</v>
      </c>
      <c r="F538" s="2">
        <f t="shared" ca="1" si="500"/>
        <v>0.58282288163907547</v>
      </c>
      <c r="G538" s="2">
        <f t="shared" ca="1" si="501"/>
        <v>4.6273612505157706E-2</v>
      </c>
      <c r="H538" s="2">
        <f t="shared" ca="1" si="502"/>
        <v>4.6273612505157706E-2</v>
      </c>
      <c r="I538" s="2">
        <f t="shared" ca="1" si="503"/>
        <v>0.83140615168294352</v>
      </c>
      <c r="J538" s="2">
        <f t="shared" ca="1" si="504"/>
        <v>1.4798684006115899E-2</v>
      </c>
      <c r="K538" s="2">
        <f t="shared" ca="1" si="505"/>
        <v>1.4798684006115899E-2</v>
      </c>
      <c r="L538" s="2">
        <f t="shared" ca="1" si="506"/>
        <v>0.21368153390111744</v>
      </c>
      <c r="M538" s="2">
        <f t="shared" ca="1" si="507"/>
        <v>-1.5874241542056661E-2</v>
      </c>
      <c r="N538" s="2">
        <f t="shared" ca="1" si="508"/>
        <v>-1.5874241542056661E-2</v>
      </c>
      <c r="O538" s="2">
        <f t="shared" si="509"/>
        <v>6000000</v>
      </c>
      <c r="P538" s="2">
        <f t="shared" ca="1" si="510"/>
        <v>41204386.968756489</v>
      </c>
      <c r="Q538" s="2">
        <f t="shared" ca="1" si="511"/>
        <v>1030109.6742189123</v>
      </c>
      <c r="R538" s="2">
        <f t="shared" ca="1" si="512"/>
        <v>24722632.181253891</v>
      </c>
      <c r="S538" s="2">
        <f t="shared" ca="1" si="513"/>
        <v>16481754.787502596</v>
      </c>
      <c r="T538" s="2">
        <f t="shared" ca="1" si="514"/>
        <v>49206287.922897168</v>
      </c>
      <c r="U538" s="2">
        <f t="shared" ca="1" si="515"/>
        <v>51483240.623058535</v>
      </c>
      <c r="V538" s="2">
        <f t="shared" ca="1" si="516"/>
        <v>53865556.150159739</v>
      </c>
      <c r="W538" s="2">
        <f t="shared" ca="1" si="517"/>
        <v>56358110.022827044</v>
      </c>
      <c r="X538" s="2">
        <f t="shared" ca="1" si="518"/>
        <v>58966003.367546387</v>
      </c>
      <c r="Y538" s="2">
        <f t="shared" ca="1" si="519"/>
        <v>0.12739934200305794</v>
      </c>
      <c r="Z538" s="2">
        <f t="shared" ca="1" si="520"/>
        <v>0.13035907880428113</v>
      </c>
      <c r="AA538" s="2">
        <f t="shared" ca="1" si="521"/>
        <v>6268848.7037901161</v>
      </c>
      <c r="AB538" s="2">
        <f t="shared" ca="1" si="522"/>
        <v>6711307.8214810556</v>
      </c>
      <c r="AC538" s="2">
        <f t="shared" ca="1" si="523"/>
        <v>7021864.2790151034</v>
      </c>
      <c r="AD538" s="2">
        <f t="shared" ca="1" si="524"/>
        <v>7346791.3057260569</v>
      </c>
      <c r="AE538" s="2">
        <f t="shared" ca="1" si="525"/>
        <v>7686753.8797634859</v>
      </c>
      <c r="AF538" s="2">
        <f t="shared" ca="1" si="526"/>
        <v>984125.75845794333</v>
      </c>
      <c r="AG538" s="2">
        <f t="shared" ca="1" si="527"/>
        <v>1029664.8124611707</v>
      </c>
      <c r="AH538" s="2">
        <f t="shared" ca="1" si="528"/>
        <v>1077311.1230031948</v>
      </c>
      <c r="AI538" s="2">
        <f t="shared" ca="1" si="529"/>
        <v>1127162.2004565408</v>
      </c>
      <c r="AJ538" s="2">
        <f t="shared" ca="1" si="530"/>
        <v>1179320.0673509277</v>
      </c>
      <c r="AK538" s="2">
        <f t="shared" ca="1" si="531"/>
        <v>0</v>
      </c>
      <c r="AL538" s="2">
        <f t="shared" ca="1" si="532"/>
        <v>22769.527001613678</v>
      </c>
      <c r="AM538" s="2">
        <f t="shared" ca="1" si="533"/>
        <v>23823.155271012038</v>
      </c>
      <c r="AN538" s="2">
        <f t="shared" ca="1" si="534"/>
        <v>24925.538726673054</v>
      </c>
      <c r="AO538" s="2">
        <f t="shared" ca="1" si="535"/>
        <v>26078.933447193431</v>
      </c>
      <c r="AP538" s="2">
        <f t="shared" ca="1" si="536"/>
        <v>2225036.8963128501</v>
      </c>
      <c r="AQ538" s="2">
        <f t="shared" ca="1" si="537"/>
        <v>795518.37274502404</v>
      </c>
      <c r="AR538" s="2">
        <f t="shared" ca="1" si="538"/>
        <v>898717.58930382913</v>
      </c>
      <c r="AS538" s="2">
        <f t="shared" ca="1" si="539"/>
        <v>967074.22752175515</v>
      </c>
      <c r="AT538" s="2">
        <f t="shared" ca="1" si="540"/>
        <v>1038593.9743287332</v>
      </c>
      <c r="AU538" s="2">
        <f t="shared" ca="1" si="541"/>
        <v>1113423.1981859242</v>
      </c>
      <c r="AV538" s="2">
        <f t="shared" ca="1" si="542"/>
        <v>2264167.6762742992</v>
      </c>
      <c r="AW538" s="2">
        <f t="shared" ca="1" si="543"/>
        <v>2535118.9964015926</v>
      </c>
      <c r="AX538" s="2">
        <f t="shared" ca="1" si="544"/>
        <v>2728618.8769062911</v>
      </c>
      <c r="AY538" s="2">
        <f t="shared" ca="1" si="545"/>
        <v>2931072.6959012593</v>
      </c>
      <c r="AZ538" s="2">
        <f t="shared" ca="1" si="546"/>
        <v>3142894.7844665903</v>
      </c>
      <c r="BA538" s="2">
        <f t="shared" ca="1" si="547"/>
        <v>56952547.070062332</v>
      </c>
      <c r="BB538" s="2">
        <f t="shared" ca="1" si="548"/>
        <v>1139050.9414012467</v>
      </c>
      <c r="BC538" s="2">
        <f t="shared" ca="1" si="549"/>
        <v>31090863.947407193</v>
      </c>
      <c r="BD538" s="2">
        <f t="shared" ca="1" si="550"/>
        <v>-18011864.46172151</v>
      </c>
      <c r="BE538" s="2">
        <f t="shared" ca="1" si="551"/>
        <v>2264167.6762742992</v>
      </c>
      <c r="BF538" s="2">
        <f t="shared" ca="1" si="552"/>
        <v>2535118.9964015926</v>
      </c>
      <c r="BG538" s="2">
        <f t="shared" ca="1" si="553"/>
        <v>2728618.8769062911</v>
      </c>
      <c r="BH538" s="2">
        <f t="shared" ca="1" si="554"/>
        <v>2931072.6959012593</v>
      </c>
      <c r="BI538" s="2">
        <f t="shared" ca="1" si="555"/>
        <v>34233758.73187378</v>
      </c>
      <c r="BJ538" s="2">
        <f t="shared" ca="1" si="556"/>
        <v>0.23680427660986703</v>
      </c>
      <c r="BK538" s="2">
        <f t="shared" ca="1" si="557"/>
        <v>9260775.9478739202</v>
      </c>
    </row>
    <row r="539" spans="1:63" x14ac:dyDescent="0.3">
      <c r="A539" s="2">
        <v>538</v>
      </c>
      <c r="B539" s="2">
        <f t="shared" ca="1" si="496"/>
        <v>0.71054834763140617</v>
      </c>
      <c r="C539" s="2">
        <f t="shared" ca="1" si="497"/>
        <v>7.2391430458113772</v>
      </c>
      <c r="D539" s="2">
        <f t="shared" ca="1" si="498"/>
        <v>0.16764720522075072</v>
      </c>
      <c r="E539" s="2">
        <f t="shared" ca="1" si="499"/>
        <v>7.0790461211695499</v>
      </c>
      <c r="F539" s="2">
        <f t="shared" ca="1" si="500"/>
        <v>7.1385836717219764E-2</v>
      </c>
      <c r="G539" s="2">
        <f t="shared" ca="1" si="501"/>
        <v>-3.9664172321987531E-3</v>
      </c>
      <c r="H539" s="2">
        <f t="shared" ca="1" si="502"/>
        <v>-3.9664172321987531E-3</v>
      </c>
      <c r="I539" s="2">
        <f t="shared" ca="1" si="503"/>
        <v>0.43651583102681057</v>
      </c>
      <c r="J539" s="2">
        <f t="shared" ca="1" si="504"/>
        <v>9.2009558113139572E-3</v>
      </c>
      <c r="K539" s="2">
        <f t="shared" ca="1" si="505"/>
        <v>9.2009558113139572E-3</v>
      </c>
      <c r="L539" s="2">
        <f t="shared" ca="1" si="506"/>
        <v>2.6519073834336271E-2</v>
      </c>
      <c r="M539" s="2">
        <f t="shared" ca="1" si="507"/>
        <v>-3.8692203956731668E-2</v>
      </c>
      <c r="N539" s="2">
        <f t="shared" ca="1" si="508"/>
        <v>-3.8692203956731668E-2</v>
      </c>
      <c r="O539" s="2">
        <f t="shared" si="509"/>
        <v>6000000</v>
      </c>
      <c r="P539" s="2">
        <f t="shared" ca="1" si="510"/>
        <v>43434858.274868265</v>
      </c>
      <c r="Q539" s="2">
        <f t="shared" ca="1" si="511"/>
        <v>1085871.4568717068</v>
      </c>
      <c r="R539" s="2">
        <f t="shared" ca="1" si="512"/>
        <v>26060914.964920957</v>
      </c>
      <c r="S539" s="2">
        <f t="shared" ca="1" si="513"/>
        <v>17373943.309947308</v>
      </c>
      <c r="T539" s="2">
        <f t="shared" ca="1" si="514"/>
        <v>48065389.802163415</v>
      </c>
      <c r="U539" s="2">
        <f t="shared" ca="1" si="515"/>
        <v>47874742.411779769</v>
      </c>
      <c r="V539" s="2">
        <f t="shared" ca="1" si="516"/>
        <v>47684851.20849061</v>
      </c>
      <c r="W539" s="2">
        <f t="shared" ca="1" si="517"/>
        <v>47495713.192942418</v>
      </c>
      <c r="X539" s="2">
        <f t="shared" ca="1" si="518"/>
        <v>47307325.377678365</v>
      </c>
      <c r="Y539" s="2">
        <f t="shared" ca="1" si="519"/>
        <v>0.12460047790565698</v>
      </c>
      <c r="Z539" s="2">
        <f t="shared" ca="1" si="520"/>
        <v>0.12644066906791976</v>
      </c>
      <c r="AA539" s="2">
        <f t="shared" ca="1" si="521"/>
        <v>5988970.5400712527</v>
      </c>
      <c r="AB539" s="2">
        <f t="shared" ca="1" si="522"/>
        <v>6053314.4619997488</v>
      </c>
      <c r="AC539" s="2">
        <f t="shared" ca="1" si="523"/>
        <v>6029304.4912057547</v>
      </c>
      <c r="AD539" s="2">
        <f t="shared" ca="1" si="524"/>
        <v>6005389.7539736629</v>
      </c>
      <c r="AE539" s="2">
        <f t="shared" ca="1" si="525"/>
        <v>5981569.872567432</v>
      </c>
      <c r="AF539" s="2">
        <f t="shared" ca="1" si="526"/>
        <v>961307.79604326829</v>
      </c>
      <c r="AG539" s="2">
        <f t="shared" ca="1" si="527"/>
        <v>957494.84823559539</v>
      </c>
      <c r="AH539" s="2">
        <f t="shared" ca="1" si="528"/>
        <v>953697.02416981221</v>
      </c>
      <c r="AI539" s="2">
        <f t="shared" ca="1" si="529"/>
        <v>949914.26385884837</v>
      </c>
      <c r="AJ539" s="2">
        <f t="shared" ca="1" si="530"/>
        <v>946146.50755356729</v>
      </c>
      <c r="AK539" s="2">
        <f t="shared" ca="1" si="531"/>
        <v>0</v>
      </c>
      <c r="AL539" s="2">
        <f t="shared" ca="1" si="532"/>
        <v>0</v>
      </c>
      <c r="AM539" s="2">
        <f t="shared" ca="1" si="533"/>
        <v>0</v>
      </c>
      <c r="AN539" s="2">
        <f t="shared" ca="1" si="534"/>
        <v>0</v>
      </c>
      <c r="AO539" s="2">
        <f t="shared" ca="1" si="535"/>
        <v>0</v>
      </c>
      <c r="AP539" s="2">
        <f t="shared" ca="1" si="536"/>
        <v>2345482.3468428859</v>
      </c>
      <c r="AQ539" s="2">
        <f t="shared" ca="1" si="537"/>
        <v>697366.90326812561</v>
      </c>
      <c r="AR539" s="2">
        <f t="shared" ca="1" si="538"/>
        <v>715087.68939952971</v>
      </c>
      <c r="AS539" s="2">
        <f t="shared" ca="1" si="539"/>
        <v>709832.53125019476</v>
      </c>
      <c r="AT539" s="2">
        <f t="shared" ca="1" si="540"/>
        <v>704598.21725070151</v>
      </c>
      <c r="AU539" s="2">
        <f t="shared" ca="1" si="541"/>
        <v>699384.66472445452</v>
      </c>
      <c r="AV539" s="2">
        <f t="shared" ca="1" si="542"/>
        <v>1984813.4939169725</v>
      </c>
      <c r="AW539" s="2">
        <f t="shared" ca="1" si="543"/>
        <v>2035249.5775217386</v>
      </c>
      <c r="AX539" s="2">
        <f t="shared" ca="1" si="544"/>
        <v>2020292.5889428621</v>
      </c>
      <c r="AY539" s="2">
        <f t="shared" ca="1" si="545"/>
        <v>2005394.9260212267</v>
      </c>
      <c r="AZ539" s="2">
        <f t="shared" ca="1" si="546"/>
        <v>1990556.3534465246</v>
      </c>
      <c r="BA539" s="2">
        <f t="shared" ca="1" si="547"/>
        <v>42343809.004903115</v>
      </c>
      <c r="BB539" s="2">
        <f t="shared" ca="1" si="548"/>
        <v>846876.18009806238</v>
      </c>
      <c r="BC539" s="2">
        <f t="shared" ca="1" si="549"/>
        <v>15436017.859884096</v>
      </c>
      <c r="BD539" s="2">
        <f t="shared" ca="1" si="550"/>
        <v>-18959814.766819015</v>
      </c>
      <c r="BE539" s="2">
        <f t="shared" ca="1" si="551"/>
        <v>1984813.4939169725</v>
      </c>
      <c r="BF539" s="2">
        <f t="shared" ca="1" si="552"/>
        <v>2035249.5775217386</v>
      </c>
      <c r="BG539" s="2">
        <f t="shared" ca="1" si="553"/>
        <v>2020292.5889428621</v>
      </c>
      <c r="BH539" s="2">
        <f t="shared" ca="1" si="554"/>
        <v>2005394.9260212267</v>
      </c>
      <c r="BI539" s="2">
        <f t="shared" ca="1" si="555"/>
        <v>17426574.213330619</v>
      </c>
      <c r="BJ539" s="2">
        <f t="shared" ca="1" si="556"/>
        <v>7.3805281144151857E-2</v>
      </c>
      <c r="BK539" s="2">
        <f t="shared" ca="1" si="557"/>
        <v>-2964396.0577892046</v>
      </c>
    </row>
    <row r="540" spans="1:63" x14ac:dyDescent="0.3">
      <c r="A540" s="2">
        <v>539</v>
      </c>
      <c r="B540" s="2">
        <f t="shared" ca="1" si="496"/>
        <v>0.7270048090871164</v>
      </c>
      <c r="C540" s="2">
        <f t="shared" ca="1" si="497"/>
        <v>7.261088380233625</v>
      </c>
      <c r="D540" s="2">
        <f t="shared" ca="1" si="498"/>
        <v>0.24888597686229674</v>
      </c>
      <c r="E540" s="2">
        <f t="shared" ca="1" si="499"/>
        <v>7.2055295555287486</v>
      </c>
      <c r="F540" s="2">
        <f t="shared" ca="1" si="500"/>
        <v>0.6510773506994727</v>
      </c>
      <c r="G540" s="2">
        <f t="shared" ca="1" si="501"/>
        <v>5.1646921710238207E-2</v>
      </c>
      <c r="H540" s="2">
        <f t="shared" ca="1" si="502"/>
        <v>5.1646921710238207E-2</v>
      </c>
      <c r="I540" s="2">
        <f t="shared" ca="1" si="503"/>
        <v>0.7944419706286443</v>
      </c>
      <c r="J540" s="2">
        <f t="shared" ca="1" si="504"/>
        <v>1.4109655964198699E-2</v>
      </c>
      <c r="K540" s="2">
        <f t="shared" ca="1" si="505"/>
        <v>1.4109655964198699E-2</v>
      </c>
      <c r="L540" s="2">
        <f t="shared" ca="1" si="506"/>
        <v>0.42861320117207535</v>
      </c>
      <c r="M540" s="2">
        <f t="shared" ca="1" si="507"/>
        <v>-3.598119042056942E-3</v>
      </c>
      <c r="N540" s="2">
        <f t="shared" ca="1" si="508"/>
        <v>-3.598119042056942E-3</v>
      </c>
      <c r="O540" s="2">
        <f t="shared" si="509"/>
        <v>6000000</v>
      </c>
      <c r="P540" s="2">
        <f t="shared" ca="1" si="510"/>
        <v>43566530.281401753</v>
      </c>
      <c r="Q540" s="2">
        <f t="shared" ca="1" si="511"/>
        <v>1089163.2570350438</v>
      </c>
      <c r="R540" s="2">
        <f t="shared" ca="1" si="512"/>
        <v>26139918.168841053</v>
      </c>
      <c r="S540" s="2">
        <f t="shared" ca="1" si="513"/>
        <v>17426612.112560701</v>
      </c>
      <c r="T540" s="2">
        <f t="shared" ca="1" si="514"/>
        <v>49820094.047897153</v>
      </c>
      <c r="U540" s="2">
        <f t="shared" ca="1" si="515"/>
        <v>52393148.544785604</v>
      </c>
      <c r="V540" s="2">
        <f t="shared" ca="1" si="516"/>
        <v>55099093.385831028</v>
      </c>
      <c r="W540" s="2">
        <f t="shared" ca="1" si="517"/>
        <v>57944791.948234148</v>
      </c>
      <c r="X540" s="2">
        <f t="shared" ca="1" si="518"/>
        <v>60937462.081500642</v>
      </c>
      <c r="Y540" s="2">
        <f t="shared" ca="1" si="519"/>
        <v>0.12705482798209936</v>
      </c>
      <c r="Z540" s="2">
        <f t="shared" ca="1" si="520"/>
        <v>0.12987675917493907</v>
      </c>
      <c r="AA540" s="2">
        <f t="shared" ca="1" si="521"/>
        <v>6329883.4793075845</v>
      </c>
      <c r="AB540" s="2">
        <f t="shared" ca="1" si="522"/>
        <v>6804652.3359679291</v>
      </c>
      <c r="AC540" s="2">
        <f t="shared" ca="1" si="523"/>
        <v>7156091.6824290548</v>
      </c>
      <c r="AD540" s="2">
        <f t="shared" ca="1" si="524"/>
        <v>7525681.7893027551</v>
      </c>
      <c r="AE540" s="2">
        <f t="shared" ca="1" si="525"/>
        <v>7914360.0874910401</v>
      </c>
      <c r="AF540" s="2">
        <f t="shared" ca="1" si="526"/>
        <v>996401.88095794304</v>
      </c>
      <c r="AG540" s="2">
        <f t="shared" ca="1" si="527"/>
        <v>1047862.9708957121</v>
      </c>
      <c r="AH540" s="2">
        <f t="shared" ca="1" si="528"/>
        <v>1101981.8677166207</v>
      </c>
      <c r="AI540" s="2">
        <f t="shared" ca="1" si="529"/>
        <v>1158895.838964683</v>
      </c>
      <c r="AJ540" s="2">
        <f t="shared" ca="1" si="530"/>
        <v>1218749.2416300129</v>
      </c>
      <c r="AK540" s="2">
        <f t="shared" ca="1" si="531"/>
        <v>0</v>
      </c>
      <c r="AL540" s="2">
        <f t="shared" ca="1" si="532"/>
        <v>25730.544968884515</v>
      </c>
      <c r="AM540" s="2">
        <f t="shared" ca="1" si="533"/>
        <v>27059.448410454243</v>
      </c>
      <c r="AN540" s="2">
        <f t="shared" ca="1" si="534"/>
        <v>28456.9856240312</v>
      </c>
      <c r="AO540" s="2">
        <f t="shared" ca="1" si="535"/>
        <v>29926.701332664936</v>
      </c>
      <c r="AP540" s="2">
        <f t="shared" ca="1" si="536"/>
        <v>2352592.6351956949</v>
      </c>
      <c r="AQ540" s="2">
        <f t="shared" ca="1" si="537"/>
        <v>775031.13042002602</v>
      </c>
      <c r="AR540" s="2">
        <f t="shared" ca="1" si="538"/>
        <v>885091.14976789569</v>
      </c>
      <c r="AS540" s="2">
        <f t="shared" ca="1" si="539"/>
        <v>962394.46667435218</v>
      </c>
      <c r="AT540" s="2">
        <f t="shared" ca="1" si="540"/>
        <v>1043690.2619370181</v>
      </c>
      <c r="AU540" s="2">
        <f t="shared" ca="1" si="541"/>
        <v>1129184.7347729865</v>
      </c>
      <c r="AV540" s="2">
        <f t="shared" ca="1" si="542"/>
        <v>2205857.8327339198</v>
      </c>
      <c r="AW540" s="2">
        <f t="shared" ca="1" si="543"/>
        <v>2493375.0351397414</v>
      </c>
      <c r="AX540" s="2">
        <f t="shared" ca="1" si="544"/>
        <v>2712063.2644319329</v>
      </c>
      <c r="AY540" s="2">
        <f t="shared" ca="1" si="545"/>
        <v>2942046.0675813276</v>
      </c>
      <c r="AZ540" s="2">
        <f t="shared" ca="1" si="546"/>
        <v>3183906.7745596804</v>
      </c>
      <c r="BA540" s="2">
        <f t="shared" ca="1" si="547"/>
        <v>57027155.523513779</v>
      </c>
      <c r="BB540" s="2">
        <f t="shared" ca="1" si="548"/>
        <v>1140543.1104702756</v>
      </c>
      <c r="BC540" s="2">
        <f t="shared" ca="1" si="549"/>
        <v>29746694.24420245</v>
      </c>
      <c r="BD540" s="2">
        <f t="shared" ca="1" si="550"/>
        <v>-19015775.369595744</v>
      </c>
      <c r="BE540" s="2">
        <f t="shared" ca="1" si="551"/>
        <v>2205857.8327339198</v>
      </c>
      <c r="BF540" s="2">
        <f t="shared" ca="1" si="552"/>
        <v>2493375.0351397414</v>
      </c>
      <c r="BG540" s="2">
        <f t="shared" ca="1" si="553"/>
        <v>2712063.2644319329</v>
      </c>
      <c r="BH540" s="2">
        <f t="shared" ca="1" si="554"/>
        <v>2942046.0675813276</v>
      </c>
      <c r="BI540" s="2">
        <f t="shared" ca="1" si="555"/>
        <v>32930601.01876213</v>
      </c>
      <c r="BJ540" s="2">
        <f t="shared" ca="1" si="556"/>
        <v>0.211692834034654</v>
      </c>
      <c r="BK540" s="2">
        <f t="shared" ca="1" si="557"/>
        <v>7427267.7838307545</v>
      </c>
    </row>
    <row r="541" spans="1:63" x14ac:dyDescent="0.3">
      <c r="A541" s="2">
        <v>540</v>
      </c>
      <c r="B541" s="2">
        <f t="shared" ca="1" si="496"/>
        <v>0.78170208786174278</v>
      </c>
      <c r="C541" s="2">
        <f t="shared" ca="1" si="497"/>
        <v>7.3392460183422923</v>
      </c>
      <c r="D541" s="2">
        <f t="shared" ca="1" si="498"/>
        <v>0.19197475525662877</v>
      </c>
      <c r="E541" s="2">
        <f t="shared" ca="1" si="499"/>
        <v>7.1196365955245522</v>
      </c>
      <c r="F541" s="2">
        <f t="shared" ca="1" si="500"/>
        <v>0.99054218705278319</v>
      </c>
      <c r="G541" s="2">
        <f t="shared" ca="1" si="501"/>
        <v>0.11041568839516169</v>
      </c>
      <c r="H541" s="2">
        <f t="shared" ca="1" si="502"/>
        <v>0.11041568839516169</v>
      </c>
      <c r="I541" s="2">
        <f t="shared" ca="1" si="503"/>
        <v>0.68616569646047487</v>
      </c>
      <c r="J541" s="2">
        <f t="shared" ca="1" si="504"/>
        <v>1.2425054545971067E-2</v>
      </c>
      <c r="K541" s="2">
        <f t="shared" ca="1" si="505"/>
        <v>1.2425054545971067E-2</v>
      </c>
      <c r="L541" s="2">
        <f t="shared" ca="1" si="506"/>
        <v>0.25838509217578831</v>
      </c>
      <c r="M541" s="2">
        <f t="shared" ca="1" si="507"/>
        <v>-1.2966641758031564E-2</v>
      </c>
      <c r="N541" s="2">
        <f t="shared" ca="1" si="508"/>
        <v>-1.2966641758031564E-2</v>
      </c>
      <c r="O541" s="2">
        <f t="shared" si="509"/>
        <v>6000000</v>
      </c>
      <c r="P541" s="2">
        <f t="shared" ca="1" si="510"/>
        <v>44035476.110053755</v>
      </c>
      <c r="Q541" s="2">
        <f t="shared" ca="1" si="511"/>
        <v>1100886.902751344</v>
      </c>
      <c r="R541" s="2">
        <f t="shared" ca="1" si="512"/>
        <v>26421285.666032251</v>
      </c>
      <c r="S541" s="2">
        <f t="shared" ca="1" si="513"/>
        <v>17614190.444021504</v>
      </c>
      <c r="T541" s="2">
        <f t="shared" ca="1" si="514"/>
        <v>49351667.912098423</v>
      </c>
      <c r="U541" s="2">
        <f t="shared" ca="1" si="515"/>
        <v>54800866.298062183</v>
      </c>
      <c r="V541" s="2">
        <f t="shared" ca="1" si="516"/>
        <v>60851741.675013937</v>
      </c>
      <c r="W541" s="2">
        <f t="shared" ca="1" si="517"/>
        <v>67570728.622105151</v>
      </c>
      <c r="X541" s="2">
        <f t="shared" ca="1" si="518"/>
        <v>75031597.138277546</v>
      </c>
      <c r="Y541" s="2">
        <f t="shared" ca="1" si="519"/>
        <v>0.12621252727298554</v>
      </c>
      <c r="Z541" s="2">
        <f t="shared" ca="1" si="520"/>
        <v>0.12869753818217974</v>
      </c>
      <c r="AA541" s="2">
        <f t="shared" ca="1" si="521"/>
        <v>6228798.7323230477</v>
      </c>
      <c r="AB541" s="2">
        <f t="shared" ca="1" si="522"/>
        <v>7052736.5828113845</v>
      </c>
      <c r="AC541" s="2">
        <f t="shared" ca="1" si="523"/>
        <v>7831469.3476722445</v>
      </c>
      <c r="AD541" s="2">
        <f t="shared" ca="1" si="524"/>
        <v>8696186.4268410839</v>
      </c>
      <c r="AE541" s="2">
        <f t="shared" ca="1" si="525"/>
        <v>9656381.8375734035</v>
      </c>
      <c r="AF541" s="2">
        <f t="shared" ca="1" si="526"/>
        <v>987033.35824196844</v>
      </c>
      <c r="AG541" s="2">
        <f t="shared" ca="1" si="527"/>
        <v>1096017.3259612436</v>
      </c>
      <c r="AH541" s="2">
        <f t="shared" ca="1" si="528"/>
        <v>1217034.8335002789</v>
      </c>
      <c r="AI541" s="2">
        <f t="shared" ca="1" si="529"/>
        <v>1351414.5724421029</v>
      </c>
      <c r="AJ541" s="2">
        <f t="shared" ca="1" si="530"/>
        <v>1500631.9427655509</v>
      </c>
      <c r="AK541" s="2">
        <f t="shared" ca="1" si="531"/>
        <v>0</v>
      </c>
      <c r="AL541" s="2">
        <f t="shared" ca="1" si="532"/>
        <v>54491.983859637607</v>
      </c>
      <c r="AM541" s="2">
        <f t="shared" ca="1" si="533"/>
        <v>60508.753769517542</v>
      </c>
      <c r="AN541" s="2">
        <f t="shared" ca="1" si="534"/>
        <v>67189.869470912148</v>
      </c>
      <c r="AO541" s="2">
        <f t="shared" ca="1" si="535"/>
        <v>74608.685161723944</v>
      </c>
      <c r="AP541" s="2">
        <f t="shared" ca="1" si="536"/>
        <v>2377915.7099429024</v>
      </c>
      <c r="AQ541" s="2">
        <f t="shared" ca="1" si="537"/>
        <v>744600.91267592588</v>
      </c>
      <c r="AR541" s="2">
        <f t="shared" ca="1" si="538"/>
        <v>930488.92219588207</v>
      </c>
      <c r="AS541" s="2">
        <f t="shared" ca="1" si="539"/>
        <v>1101494.8890995565</v>
      </c>
      <c r="AT541" s="2">
        <f t="shared" ca="1" si="540"/>
        <v>1291382.5975585803</v>
      </c>
      <c r="AU541" s="2">
        <f t="shared" ca="1" si="541"/>
        <v>1502236.8880648871</v>
      </c>
      <c r="AV541" s="2">
        <f t="shared" ca="1" si="542"/>
        <v>2119248.7514622509</v>
      </c>
      <c r="AW541" s="2">
        <f t="shared" ca="1" si="543"/>
        <v>2593822.6408517184</v>
      </c>
      <c r="AX541" s="2">
        <f t="shared" ca="1" si="544"/>
        <v>3074515.1613599891</v>
      </c>
      <c r="AY541" s="2">
        <f t="shared" ca="1" si="545"/>
        <v>3608283.6774265859</v>
      </c>
      <c r="AZ541" s="2">
        <f t="shared" ca="1" si="546"/>
        <v>4200988.6116383392</v>
      </c>
      <c r="BA541" s="2">
        <f t="shared" ca="1" si="547"/>
        <v>68749929.511146232</v>
      </c>
      <c r="BB541" s="2">
        <f t="shared" ca="1" si="548"/>
        <v>1374998.5902229247</v>
      </c>
      <c r="BC541" s="2">
        <f t="shared" ca="1" si="549"/>
        <v>40953645.254891053</v>
      </c>
      <c r="BD541" s="2">
        <f t="shared" ca="1" si="550"/>
        <v>-19215077.34677285</v>
      </c>
      <c r="BE541" s="2">
        <f t="shared" ca="1" si="551"/>
        <v>2119248.7514622509</v>
      </c>
      <c r="BF541" s="2">
        <f t="shared" ca="1" si="552"/>
        <v>2593822.6408517184</v>
      </c>
      <c r="BG541" s="2">
        <f t="shared" ca="1" si="553"/>
        <v>3074515.1613599891</v>
      </c>
      <c r="BH541" s="2">
        <f t="shared" ca="1" si="554"/>
        <v>3608283.6774265859</v>
      </c>
      <c r="BI541" s="2">
        <f t="shared" ca="1" si="555"/>
        <v>45154633.86652939</v>
      </c>
      <c r="BJ541" s="2">
        <f t="shared" ca="1" si="556"/>
        <v>0.27961286520240036</v>
      </c>
      <c r="BK541" s="2">
        <f t="shared" ca="1" si="557"/>
        <v>14848349.155687414</v>
      </c>
    </row>
    <row r="542" spans="1:63" x14ac:dyDescent="0.3">
      <c r="A542" s="2">
        <v>541</v>
      </c>
      <c r="B542" s="2">
        <f t="shared" ca="1" si="496"/>
        <v>0.74507598419446852</v>
      </c>
      <c r="C542" s="2">
        <f t="shared" ca="1" si="497"/>
        <v>7.2859635642272425</v>
      </c>
      <c r="D542" s="2">
        <f t="shared" ca="1" si="498"/>
        <v>0.42737110075172025</v>
      </c>
      <c r="E542" s="2">
        <f t="shared" ca="1" si="499"/>
        <v>7.4245226884741342</v>
      </c>
      <c r="F542" s="2">
        <f t="shared" ca="1" si="500"/>
        <v>0.84876517203469104</v>
      </c>
      <c r="G542" s="2">
        <f t="shared" ca="1" si="501"/>
        <v>7.0934552959312822E-2</v>
      </c>
      <c r="H542" s="2">
        <f t="shared" ca="1" si="502"/>
        <v>7.0934552959312822E-2</v>
      </c>
      <c r="I542" s="2">
        <f t="shared" ca="1" si="503"/>
        <v>0.74214668331999867</v>
      </c>
      <c r="J542" s="2">
        <f t="shared" ca="1" si="504"/>
        <v>1.3249888445223384E-2</v>
      </c>
      <c r="K542" s="2">
        <f t="shared" ca="1" si="505"/>
        <v>1.3249888445223384E-2</v>
      </c>
      <c r="L542" s="2">
        <f t="shared" ca="1" si="506"/>
        <v>0.22344862222683137</v>
      </c>
      <c r="M542" s="2">
        <f t="shared" ca="1" si="507"/>
        <v>-1.5211959004489999E-2</v>
      </c>
      <c r="N542" s="2">
        <f t="shared" ca="1" si="508"/>
        <v>-1.5211959004489999E-2</v>
      </c>
      <c r="O542" s="2">
        <f t="shared" si="509"/>
        <v>6000000</v>
      </c>
      <c r="P542" s="2">
        <f t="shared" ca="1" si="510"/>
        <v>43715781.385363452</v>
      </c>
      <c r="Q542" s="2">
        <f t="shared" ca="1" si="511"/>
        <v>1092894.5346340863</v>
      </c>
      <c r="R542" s="2">
        <f t="shared" ca="1" si="512"/>
        <v>26229468.831218071</v>
      </c>
      <c r="S542" s="2">
        <f t="shared" ca="1" si="513"/>
        <v>17486312.554145381</v>
      </c>
      <c r="T542" s="2">
        <f t="shared" ca="1" si="514"/>
        <v>49239402.049775496</v>
      </c>
      <c r="U542" s="2">
        <f t="shared" ca="1" si="515"/>
        <v>52732177.022160195</v>
      </c>
      <c r="V542" s="2">
        <f t="shared" ca="1" si="516"/>
        <v>56472710.425798476</v>
      </c>
      <c r="W542" s="2">
        <f t="shared" ca="1" si="517"/>
        <v>60478576.894253217</v>
      </c>
      <c r="X542" s="2">
        <f t="shared" ca="1" si="518"/>
        <v>64768597.709862493</v>
      </c>
      <c r="Y542" s="2">
        <f t="shared" ca="1" si="519"/>
        <v>0.1266249442226117</v>
      </c>
      <c r="Z542" s="2">
        <f t="shared" ca="1" si="520"/>
        <v>0.12927492191165638</v>
      </c>
      <c r="AA542" s="2">
        <f t="shared" ca="1" si="521"/>
        <v>6234936.538107574</v>
      </c>
      <c r="AB542" s="2">
        <f t="shared" ca="1" si="522"/>
        <v>6816948.0667714002</v>
      </c>
      <c r="AC542" s="2">
        <f t="shared" ca="1" si="523"/>
        <v>7300505.2304346813</v>
      </c>
      <c r="AD542" s="2">
        <f t="shared" ca="1" si="524"/>
        <v>7818363.3053326905</v>
      </c>
      <c r="AE542" s="2">
        <f t="shared" ca="1" si="525"/>
        <v>8372955.41126996</v>
      </c>
      <c r="AF542" s="2">
        <f t="shared" ca="1" si="526"/>
        <v>984788.04099550995</v>
      </c>
      <c r="AG542" s="2">
        <f t="shared" ca="1" si="527"/>
        <v>1054643.5404432039</v>
      </c>
      <c r="AH542" s="2">
        <f t="shared" ca="1" si="528"/>
        <v>1129454.2085159696</v>
      </c>
      <c r="AI542" s="2">
        <f t="shared" ca="1" si="529"/>
        <v>1209571.5378850643</v>
      </c>
      <c r="AJ542" s="2">
        <f t="shared" ca="1" si="530"/>
        <v>1295371.9541972498</v>
      </c>
      <c r="AK542" s="2">
        <f t="shared" ca="1" si="531"/>
        <v>0</v>
      </c>
      <c r="AL542" s="2">
        <f t="shared" ca="1" si="532"/>
        <v>34927.749723846988</v>
      </c>
      <c r="AM542" s="2">
        <f t="shared" ca="1" si="533"/>
        <v>37405.33403638281</v>
      </c>
      <c r="AN542" s="2">
        <f t="shared" ca="1" si="534"/>
        <v>40058.66468454741</v>
      </c>
      <c r="AO542" s="2">
        <f t="shared" ca="1" si="535"/>
        <v>42900.208156092762</v>
      </c>
      <c r="AP542" s="2">
        <f t="shared" ca="1" si="536"/>
        <v>2360652.1948096263</v>
      </c>
      <c r="AQ542" s="2">
        <f t="shared" ca="1" si="537"/>
        <v>751269.03859863372</v>
      </c>
      <c r="AR542" s="2">
        <f t="shared" ca="1" si="538"/>
        <v>884429.60619482829</v>
      </c>
      <c r="AS542" s="2">
        <f t="shared" ca="1" si="539"/>
        <v>990703.69504836237</v>
      </c>
      <c r="AT542" s="2">
        <f t="shared" ca="1" si="540"/>
        <v>1104516.2888858798</v>
      </c>
      <c r="AU542" s="2">
        <f t="shared" ca="1" si="541"/>
        <v>1226402.1281884019</v>
      </c>
      <c r="AV542" s="2">
        <f t="shared" ca="1" si="542"/>
        <v>2138227.263703804</v>
      </c>
      <c r="AW542" s="2">
        <f t="shared" ca="1" si="543"/>
        <v>2482294.9755998948</v>
      </c>
      <c r="AX542" s="2">
        <f t="shared" ca="1" si="544"/>
        <v>2782289.798024341</v>
      </c>
      <c r="AY542" s="2">
        <f t="shared" ca="1" si="545"/>
        <v>3103564.6190675725</v>
      </c>
      <c r="AZ542" s="2">
        <f t="shared" ca="1" si="546"/>
        <v>3447628.9259185889</v>
      </c>
      <c r="BA542" s="2">
        <f t="shared" ca="1" si="547"/>
        <v>62165197.420556091</v>
      </c>
      <c r="BB542" s="2">
        <f t="shared" ca="1" si="548"/>
        <v>1243303.9484111217</v>
      </c>
      <c r="BC542" s="2">
        <f t="shared" ca="1" si="549"/>
        <v>34692424.640926898</v>
      </c>
      <c r="BD542" s="2">
        <f t="shared" ca="1" si="550"/>
        <v>-19079207.088779468</v>
      </c>
      <c r="BE542" s="2">
        <f t="shared" ca="1" si="551"/>
        <v>2138227.263703804</v>
      </c>
      <c r="BF542" s="2">
        <f t="shared" ca="1" si="552"/>
        <v>2482294.9755998948</v>
      </c>
      <c r="BG542" s="2">
        <f t="shared" ca="1" si="553"/>
        <v>2782289.798024341</v>
      </c>
      <c r="BH542" s="2">
        <f t="shared" ca="1" si="554"/>
        <v>3103564.6190675725</v>
      </c>
      <c r="BI542" s="2">
        <f t="shared" ca="1" si="555"/>
        <v>38140053.566845484</v>
      </c>
      <c r="BJ542" s="2">
        <f t="shared" ca="1" si="556"/>
        <v>0.24064615262556743</v>
      </c>
      <c r="BK542" s="2">
        <f t="shared" ca="1" si="557"/>
        <v>10403235.770709865</v>
      </c>
    </row>
    <row r="543" spans="1:63" x14ac:dyDescent="0.3">
      <c r="A543" s="2">
        <v>542</v>
      </c>
      <c r="B543" s="2">
        <f t="shared" ca="1" si="496"/>
        <v>0.16478559969346074</v>
      </c>
      <c r="C543" s="2">
        <f t="shared" ca="1" si="497"/>
        <v>6.5740829203058748</v>
      </c>
      <c r="D543" s="2">
        <f t="shared" ca="1" si="498"/>
        <v>0.47598694367381555</v>
      </c>
      <c r="E543" s="2">
        <f t="shared" ca="1" si="499"/>
        <v>7.4756914918905624</v>
      </c>
      <c r="F543" s="2">
        <f t="shared" ca="1" si="500"/>
        <v>0.54956218633181042</v>
      </c>
      <c r="G543" s="2">
        <f t="shared" ca="1" si="501"/>
        <v>4.3736658651988551E-2</v>
      </c>
      <c r="H543" s="2">
        <f t="shared" ca="1" si="502"/>
        <v>4.3736658651988551E-2</v>
      </c>
      <c r="I543" s="2">
        <f t="shared" ca="1" si="503"/>
        <v>0.89458550041725138</v>
      </c>
      <c r="J543" s="2">
        <f t="shared" ca="1" si="504"/>
        <v>1.625644579647963E-2</v>
      </c>
      <c r="K543" s="2">
        <f t="shared" ca="1" si="505"/>
        <v>1.625644579647963E-2</v>
      </c>
      <c r="L543" s="2">
        <f t="shared" ca="1" si="506"/>
        <v>0.16474165179034506</v>
      </c>
      <c r="M543" s="2">
        <f t="shared" ca="1" si="507"/>
        <v>-1.9503103080273511E-2</v>
      </c>
      <c r="N543" s="2">
        <f t="shared" ca="1" si="508"/>
        <v>-1.9503103080273511E-2</v>
      </c>
      <c r="O543" s="2">
        <f t="shared" si="509"/>
        <v>6000000</v>
      </c>
      <c r="P543" s="2">
        <f t="shared" ca="1" si="510"/>
        <v>39444497.521835253</v>
      </c>
      <c r="Q543" s="2">
        <f t="shared" ca="1" si="511"/>
        <v>986112.43804588134</v>
      </c>
      <c r="R543" s="2">
        <f t="shared" ca="1" si="512"/>
        <v>23666698.513101149</v>
      </c>
      <c r="S543" s="2">
        <f t="shared" ca="1" si="513"/>
        <v>15777799.008734101</v>
      </c>
      <c r="T543" s="2">
        <f t="shared" ca="1" si="514"/>
        <v>49024844.845986329</v>
      </c>
      <c r="U543" s="2">
        <f t="shared" ca="1" si="515"/>
        <v>51169027.750481933</v>
      </c>
      <c r="V543" s="2">
        <f t="shared" ca="1" si="516"/>
        <v>53406990.050758891</v>
      </c>
      <c r="W543" s="2">
        <f t="shared" ca="1" si="517"/>
        <v>55742833.344239078</v>
      </c>
      <c r="X543" s="2">
        <f t="shared" ca="1" si="518"/>
        <v>58180838.618510745</v>
      </c>
      <c r="Y543" s="2">
        <f t="shared" ca="1" si="519"/>
        <v>0.1281282228982398</v>
      </c>
      <c r="Z543" s="2">
        <f t="shared" ca="1" si="520"/>
        <v>0.13137951205753573</v>
      </c>
      <c r="AA543" s="2">
        <f t="shared" ca="1" si="521"/>
        <v>6281466.2479781592</v>
      </c>
      <c r="AB543" s="2">
        <f t="shared" ca="1" si="522"/>
        <v>6722561.8983168211</v>
      </c>
      <c r="AC543" s="2">
        <f t="shared" ca="1" si="523"/>
        <v>7016584.2933303686</v>
      </c>
      <c r="AD543" s="2">
        <f t="shared" ca="1" si="524"/>
        <v>7323466.2454706626</v>
      </c>
      <c r="AE543" s="2">
        <f t="shared" ca="1" si="525"/>
        <v>7643770.1887981733</v>
      </c>
      <c r="AF543" s="2">
        <f t="shared" ca="1" si="526"/>
        <v>980496.89691972663</v>
      </c>
      <c r="AG543" s="2">
        <f t="shared" ca="1" si="527"/>
        <v>1023380.5550096387</v>
      </c>
      <c r="AH543" s="2">
        <f t="shared" ca="1" si="528"/>
        <v>1068139.8010151777</v>
      </c>
      <c r="AI543" s="2">
        <f t="shared" ca="1" si="529"/>
        <v>1114856.6668847816</v>
      </c>
      <c r="AJ543" s="2">
        <f t="shared" ca="1" si="530"/>
        <v>1163616.772370215</v>
      </c>
      <c r="AK543" s="2">
        <f t="shared" ca="1" si="531"/>
        <v>0</v>
      </c>
      <c r="AL543" s="2">
        <f t="shared" ca="1" si="532"/>
        <v>21441.829044956045</v>
      </c>
      <c r="AM543" s="2">
        <f t="shared" ca="1" si="533"/>
        <v>22379.623002769575</v>
      </c>
      <c r="AN543" s="2">
        <f t="shared" ca="1" si="534"/>
        <v>23358.432934801876</v>
      </c>
      <c r="AO543" s="2">
        <f t="shared" ca="1" si="535"/>
        <v>24380.052742716671</v>
      </c>
      <c r="AP543" s="2">
        <f t="shared" ca="1" si="536"/>
        <v>2130002.8661791035</v>
      </c>
      <c r="AQ543" s="2">
        <f t="shared" ca="1" si="537"/>
        <v>824451.28606862563</v>
      </c>
      <c r="AR543" s="2">
        <f t="shared" ca="1" si="538"/>
        <v>927986.4040533005</v>
      </c>
      <c r="AS543" s="2">
        <f t="shared" ca="1" si="539"/>
        <v>992794.8227953827</v>
      </c>
      <c r="AT543" s="2">
        <f t="shared" ca="1" si="540"/>
        <v>1060437.7452257622</v>
      </c>
      <c r="AU543" s="2">
        <f t="shared" ca="1" si="541"/>
        <v>1131039.1430647026</v>
      </c>
      <c r="AV543" s="2">
        <f t="shared" ca="1" si="542"/>
        <v>2346515.1988107036</v>
      </c>
      <c r="AW543" s="2">
        <f t="shared" ca="1" si="543"/>
        <v>2619750.2440298223</v>
      </c>
      <c r="AX543" s="2">
        <f t="shared" ca="1" si="544"/>
        <v>2803267.1803379352</v>
      </c>
      <c r="AY543" s="2">
        <f t="shared" ca="1" si="545"/>
        <v>2994810.5342462133</v>
      </c>
      <c r="AZ543" s="2">
        <f t="shared" ca="1" si="546"/>
        <v>3194731.3544414355</v>
      </c>
      <c r="BA543" s="2">
        <f t="shared" ca="1" si="547"/>
        <v>57142467.766365223</v>
      </c>
      <c r="BB543" s="2">
        <f t="shared" ca="1" si="548"/>
        <v>1142849.3553273045</v>
      </c>
      <c r="BC543" s="2">
        <f t="shared" ca="1" si="549"/>
        <v>32332919.897936769</v>
      </c>
      <c r="BD543" s="2">
        <f t="shared" ca="1" si="550"/>
        <v>-17263911.446779981</v>
      </c>
      <c r="BE543" s="2">
        <f t="shared" ca="1" si="551"/>
        <v>2346515.1988107036</v>
      </c>
      <c r="BF543" s="2">
        <f t="shared" ca="1" si="552"/>
        <v>2619750.2440298223</v>
      </c>
      <c r="BG543" s="2">
        <f t="shared" ca="1" si="553"/>
        <v>2803267.1803379352</v>
      </c>
      <c r="BH543" s="2">
        <f t="shared" ca="1" si="554"/>
        <v>2994810.5342462133</v>
      </c>
      <c r="BI543" s="2">
        <f t="shared" ca="1" si="555"/>
        <v>35527651.252378203</v>
      </c>
      <c r="BJ543" s="2">
        <f t="shared" ca="1" si="556"/>
        <v>0.26045192981947829</v>
      </c>
      <c r="BK543" s="2">
        <f t="shared" ca="1" si="557"/>
        <v>10977550.149977122</v>
      </c>
    </row>
    <row r="544" spans="1:63" x14ac:dyDescent="0.3">
      <c r="A544" s="2">
        <v>543</v>
      </c>
      <c r="B544" s="2">
        <f t="shared" ca="1" si="496"/>
        <v>0.88223065579305848</v>
      </c>
      <c r="C544" s="2">
        <f t="shared" ca="1" si="497"/>
        <v>7.5146767176264024</v>
      </c>
      <c r="D544" s="2">
        <f t="shared" ca="1" si="498"/>
        <v>5.3135192399575981E-2</v>
      </c>
      <c r="E544" s="2">
        <f t="shared" ca="1" si="499"/>
        <v>6.825991387614998</v>
      </c>
      <c r="F544" s="2">
        <f t="shared" ca="1" si="500"/>
        <v>0.68532723130047335</v>
      </c>
      <c r="G544" s="2">
        <f t="shared" ca="1" si="501"/>
        <v>5.4479446491841999E-2</v>
      </c>
      <c r="H544" s="2">
        <f t="shared" ca="1" si="502"/>
        <v>5.4479446491841999E-2</v>
      </c>
      <c r="I544" s="2">
        <f t="shared" ca="1" si="503"/>
        <v>0.51197996652187339</v>
      </c>
      <c r="J544" s="2">
        <f t="shared" ca="1" si="504"/>
        <v>1.0150169187230121E-2</v>
      </c>
      <c r="K544" s="2">
        <f t="shared" ca="1" si="505"/>
        <v>1.0150169187230121E-2</v>
      </c>
      <c r="L544" s="2">
        <f t="shared" ca="1" si="506"/>
        <v>0.51985984622759873</v>
      </c>
      <c r="M544" s="2">
        <f t="shared" ca="1" si="507"/>
        <v>9.9603662059755908E-4</v>
      </c>
      <c r="N544" s="2">
        <f t="shared" ca="1" si="508"/>
        <v>9.9603662059755908E-4</v>
      </c>
      <c r="O544" s="2">
        <f t="shared" si="509"/>
        <v>6000000</v>
      </c>
      <c r="P544" s="2">
        <f t="shared" ca="1" si="510"/>
        <v>45088060.305758417</v>
      </c>
      <c r="Q544" s="2">
        <f t="shared" ca="1" si="511"/>
        <v>1127201.5076439604</v>
      </c>
      <c r="R544" s="2">
        <f t="shared" ca="1" si="512"/>
        <v>27052836.18345505</v>
      </c>
      <c r="S544" s="2">
        <f t="shared" ca="1" si="513"/>
        <v>18035224.122303367</v>
      </c>
      <c r="T544" s="2">
        <f t="shared" ca="1" si="514"/>
        <v>50049801.831029885</v>
      </c>
      <c r="U544" s="2">
        <f t="shared" ca="1" si="515"/>
        <v>52776487.331810765</v>
      </c>
      <c r="V544" s="2">
        <f t="shared" ca="1" si="516"/>
        <v>55651721.149431519</v>
      </c>
      <c r="W544" s="2">
        <f t="shared" ca="1" si="517"/>
        <v>58683596.113970876</v>
      </c>
      <c r="X544" s="2">
        <f t="shared" ca="1" si="518"/>
        <v>61880645.948410809</v>
      </c>
      <c r="Y544" s="2">
        <f t="shared" ca="1" si="519"/>
        <v>0.12507508459361505</v>
      </c>
      <c r="Z544" s="2">
        <f t="shared" ca="1" si="520"/>
        <v>0.12710511843106109</v>
      </c>
      <c r="AA544" s="2">
        <f t="shared" ca="1" si="521"/>
        <v>6259983.1979097323</v>
      </c>
      <c r="AB544" s="2">
        <f t="shared" ca="1" si="522"/>
        <v>6708161.6726852031</v>
      </c>
      <c r="AC544" s="2">
        <f t="shared" ca="1" si="523"/>
        <v>7073618.6075908802</v>
      </c>
      <c r="AD544" s="2">
        <f t="shared" ca="1" si="524"/>
        <v>7458985.4340268243</v>
      </c>
      <c r="AE544" s="2">
        <f t="shared" ca="1" si="525"/>
        <v>7865346.8318633167</v>
      </c>
      <c r="AF544" s="2">
        <f t="shared" ca="1" si="526"/>
        <v>1000996.0366205977</v>
      </c>
      <c r="AG544" s="2">
        <f t="shared" ca="1" si="527"/>
        <v>1055529.7466362154</v>
      </c>
      <c r="AH544" s="2">
        <f t="shared" ca="1" si="528"/>
        <v>1113034.4229886304</v>
      </c>
      <c r="AI544" s="2">
        <f t="shared" ca="1" si="529"/>
        <v>1173671.9222794175</v>
      </c>
      <c r="AJ544" s="2">
        <f t="shared" ca="1" si="530"/>
        <v>1237612.9189682163</v>
      </c>
      <c r="AK544" s="2">
        <f t="shared" ca="1" si="531"/>
        <v>0</v>
      </c>
      <c r="AL544" s="2">
        <f t="shared" ca="1" si="532"/>
        <v>27266.855007808805</v>
      </c>
      <c r="AM544" s="2">
        <f t="shared" ca="1" si="533"/>
        <v>28752.338176207544</v>
      </c>
      <c r="AN544" s="2">
        <f t="shared" ca="1" si="534"/>
        <v>30318.749645393567</v>
      </c>
      <c r="AO544" s="2">
        <f t="shared" ca="1" si="535"/>
        <v>31970.498344399333</v>
      </c>
      <c r="AP544" s="2">
        <f t="shared" ca="1" si="536"/>
        <v>2434755.2565109544</v>
      </c>
      <c r="AQ544" s="2">
        <f t="shared" ca="1" si="537"/>
        <v>734300.29524232703</v>
      </c>
      <c r="AR544" s="2">
        <f t="shared" ca="1" si="538"/>
        <v>836647.93407988863</v>
      </c>
      <c r="AS544" s="2">
        <f t="shared" ca="1" si="539"/>
        <v>916715.52130373672</v>
      </c>
      <c r="AT544" s="2">
        <f t="shared" ca="1" si="540"/>
        <v>1001145.1463614777</v>
      </c>
      <c r="AU544" s="2">
        <f t="shared" ca="1" si="541"/>
        <v>1090174.4506598779</v>
      </c>
      <c r="AV544" s="2">
        <f t="shared" ca="1" si="542"/>
        <v>2089931.6095358534</v>
      </c>
      <c r="AW544" s="2">
        <f t="shared" ca="1" si="543"/>
        <v>2353961.8804503363</v>
      </c>
      <c r="AX544" s="2">
        <f t="shared" ca="1" si="544"/>
        <v>2580361.0686113508</v>
      </c>
      <c r="AY544" s="2">
        <f t="shared" ca="1" si="545"/>
        <v>2819094.3592295814</v>
      </c>
      <c r="AZ544" s="2">
        <f t="shared" ca="1" si="546"/>
        <v>3070833.7073798692</v>
      </c>
      <c r="BA544" s="2">
        <f t="shared" ca="1" si="547"/>
        <v>53688789.734903909</v>
      </c>
      <c r="BB544" s="2">
        <f t="shared" ca="1" si="548"/>
        <v>1073775.7946980782</v>
      </c>
      <c r="BC544" s="2">
        <f t="shared" ca="1" si="549"/>
        <v>25562177.756750781</v>
      </c>
      <c r="BD544" s="2">
        <f t="shared" ca="1" si="550"/>
        <v>-19662425.629947327</v>
      </c>
      <c r="BE544" s="2">
        <f t="shared" ca="1" si="551"/>
        <v>2089931.6095358534</v>
      </c>
      <c r="BF544" s="2">
        <f t="shared" ca="1" si="552"/>
        <v>2353961.8804503363</v>
      </c>
      <c r="BG544" s="2">
        <f t="shared" ca="1" si="553"/>
        <v>2580361.0686113508</v>
      </c>
      <c r="BH544" s="2">
        <f t="shared" ca="1" si="554"/>
        <v>2819094.3592295814</v>
      </c>
      <c r="BI544" s="2">
        <f t="shared" ca="1" si="555"/>
        <v>28633011.464130651</v>
      </c>
      <c r="BJ544" s="2">
        <f t="shared" ca="1" si="556"/>
        <v>0.17027031751555133</v>
      </c>
      <c r="BK544" s="2">
        <f t="shared" ca="1" si="557"/>
        <v>3955523.8705231845</v>
      </c>
    </row>
    <row r="545" spans="1:63" x14ac:dyDescent="0.3">
      <c r="A545" s="2">
        <v>544</v>
      </c>
      <c r="B545" s="2">
        <f t="shared" ca="1" si="496"/>
        <v>0.19935556668799759</v>
      </c>
      <c r="C545" s="2">
        <f t="shared" ca="1" si="497"/>
        <v>6.6314357713782099</v>
      </c>
      <c r="D545" s="2">
        <f t="shared" ca="1" si="498"/>
        <v>0.69053912204573398</v>
      </c>
      <c r="E545" s="2">
        <f t="shared" ca="1" si="499"/>
        <v>7.7132841962255165</v>
      </c>
      <c r="F545" s="2">
        <f t="shared" ca="1" si="500"/>
        <v>0.8239600654135546</v>
      </c>
      <c r="G545" s="2">
        <f t="shared" ca="1" si="501"/>
        <v>6.7916877949751278E-2</v>
      </c>
      <c r="H545" s="2">
        <f t="shared" ca="1" si="502"/>
        <v>6.7916877949751278E-2</v>
      </c>
      <c r="I545" s="2">
        <f t="shared" ca="1" si="503"/>
        <v>0.10033587789337128</v>
      </c>
      <c r="J545" s="2">
        <f t="shared" ca="1" si="504"/>
        <v>3.6017997236848466E-3</v>
      </c>
      <c r="K545" s="2">
        <f t="shared" ca="1" si="505"/>
        <v>3.6017997236848466E-3</v>
      </c>
      <c r="L545" s="2">
        <f t="shared" ca="1" si="506"/>
        <v>7.8987498843119175E-2</v>
      </c>
      <c r="M545" s="2">
        <f t="shared" ca="1" si="507"/>
        <v>-2.8238299512058977E-2</v>
      </c>
      <c r="N545" s="2">
        <f t="shared" ca="1" si="508"/>
        <v>-2.8238299512058977E-2</v>
      </c>
      <c r="O545" s="2">
        <f t="shared" si="509"/>
        <v>6000000</v>
      </c>
      <c r="P545" s="2">
        <f t="shared" ca="1" si="510"/>
        <v>39788614.628269263</v>
      </c>
      <c r="Q545" s="2">
        <f t="shared" ca="1" si="511"/>
        <v>994715.36570673157</v>
      </c>
      <c r="R545" s="2">
        <f t="shared" ca="1" si="512"/>
        <v>23873168.776961558</v>
      </c>
      <c r="S545" s="2">
        <f t="shared" ca="1" si="513"/>
        <v>15915445.851307705</v>
      </c>
      <c r="T545" s="2">
        <f t="shared" ca="1" si="514"/>
        <v>48588085.024397045</v>
      </c>
      <c r="U545" s="2">
        <f t="shared" ca="1" si="515"/>
        <v>51888036.064811155</v>
      </c>
      <c r="V545" s="2">
        <f t="shared" ca="1" si="516"/>
        <v>55412109.477277227</v>
      </c>
      <c r="W545" s="2">
        <f t="shared" ca="1" si="517"/>
        <v>59175526.953583717</v>
      </c>
      <c r="X545" s="2">
        <f t="shared" ca="1" si="518"/>
        <v>63194543.995302476</v>
      </c>
      <c r="Y545" s="2">
        <f t="shared" ca="1" si="519"/>
        <v>0.12180089986184242</v>
      </c>
      <c r="Z545" s="2">
        <f t="shared" ca="1" si="520"/>
        <v>0.12252125980657939</v>
      </c>
      <c r="AA545" s="2">
        <f t="shared" ca="1" si="521"/>
        <v>5918072.4785352703</v>
      </c>
      <c r="AB545" s="2">
        <f t="shared" ca="1" si="522"/>
        <v>6357387.5475498894</v>
      </c>
      <c r="AC545" s="2">
        <f t="shared" ca="1" si="523"/>
        <v>6789161.4616961032</v>
      </c>
      <c r="AD545" s="2">
        <f t="shared" ca="1" si="524"/>
        <v>7250260.112071272</v>
      </c>
      <c r="AE545" s="2">
        <f t="shared" ca="1" si="525"/>
        <v>7742675.1432067668</v>
      </c>
      <c r="AF545" s="2">
        <f t="shared" ca="1" si="526"/>
        <v>971761.70048794092</v>
      </c>
      <c r="AG545" s="2">
        <f t="shared" ca="1" si="527"/>
        <v>1037760.7212962231</v>
      </c>
      <c r="AH545" s="2">
        <f t="shared" ca="1" si="528"/>
        <v>1108242.1895455446</v>
      </c>
      <c r="AI545" s="2">
        <f t="shared" ca="1" si="529"/>
        <v>1183510.5390716745</v>
      </c>
      <c r="AJ545" s="2">
        <f t="shared" ca="1" si="530"/>
        <v>1263890.8799060495</v>
      </c>
      <c r="AK545" s="2">
        <f t="shared" ca="1" si="531"/>
        <v>0</v>
      </c>
      <c r="AL545" s="2">
        <f t="shared" ca="1" si="532"/>
        <v>32999.510404141096</v>
      </c>
      <c r="AM545" s="2">
        <f t="shared" ca="1" si="533"/>
        <v>35240.734124660717</v>
      </c>
      <c r="AN545" s="2">
        <f t="shared" ca="1" si="534"/>
        <v>37634.174763064904</v>
      </c>
      <c r="AO545" s="2">
        <f t="shared" ca="1" si="535"/>
        <v>40190.17041718759</v>
      </c>
      <c r="AP545" s="2">
        <f t="shared" ca="1" si="536"/>
        <v>2148585.18992654</v>
      </c>
      <c r="AQ545" s="2">
        <f t="shared" ca="1" si="537"/>
        <v>727408.65291140531</v>
      </c>
      <c r="AR545" s="2">
        <f t="shared" ca="1" si="538"/>
        <v>824470.82544505293</v>
      </c>
      <c r="AS545" s="2">
        <f t="shared" ca="1" si="539"/>
        <v>918406.86137824482</v>
      </c>
      <c r="AT545" s="2">
        <f t="shared" ca="1" si="540"/>
        <v>1018722.739598995</v>
      </c>
      <c r="AU545" s="2">
        <f t="shared" ca="1" si="541"/>
        <v>1125851.7590772859</v>
      </c>
      <c r="AV545" s="2">
        <f t="shared" ca="1" si="542"/>
        <v>2070316.9352093847</v>
      </c>
      <c r="AW545" s="2">
        <f t="shared" ca="1" si="543"/>
        <v>2313571.3004779327</v>
      </c>
      <c r="AX545" s="2">
        <f t="shared" ca="1" si="544"/>
        <v>2578686.4867211129</v>
      </c>
      <c r="AY545" s="2">
        <f t="shared" ca="1" si="545"/>
        <v>2861807.4687109976</v>
      </c>
      <c r="AZ545" s="2">
        <f t="shared" ca="1" si="546"/>
        <v>3164157.1438797028</v>
      </c>
      <c r="BA545" s="2">
        <f t="shared" ca="1" si="547"/>
        <v>59721453.818604894</v>
      </c>
      <c r="BB545" s="2">
        <f t="shared" ca="1" si="548"/>
        <v>1194429.0763720979</v>
      </c>
      <c r="BC545" s="2">
        <f t="shared" ca="1" si="549"/>
        <v>34653855.965271242</v>
      </c>
      <c r="BD545" s="2">
        <f t="shared" ca="1" si="550"/>
        <v>-17410161.217014436</v>
      </c>
      <c r="BE545" s="2">
        <f t="shared" ca="1" si="551"/>
        <v>2070316.9352093847</v>
      </c>
      <c r="BF545" s="2">
        <f t="shared" ca="1" si="552"/>
        <v>2313571.3004779327</v>
      </c>
      <c r="BG545" s="2">
        <f t="shared" ca="1" si="553"/>
        <v>2578686.4867211129</v>
      </c>
      <c r="BH545" s="2">
        <f t="shared" ca="1" si="554"/>
        <v>2861807.4687109976</v>
      </c>
      <c r="BI545" s="2">
        <f t="shared" ca="1" si="555"/>
        <v>37818013.109150946</v>
      </c>
      <c r="BJ545" s="2">
        <f t="shared" ca="1" si="556"/>
        <v>0.26039908039585558</v>
      </c>
      <c r="BK545" s="2">
        <f t="shared" ca="1" si="557"/>
        <v>11395845.680465668</v>
      </c>
    </row>
    <row r="546" spans="1:63" x14ac:dyDescent="0.3">
      <c r="A546" s="2">
        <v>545</v>
      </c>
      <c r="B546" s="2">
        <f t="shared" ca="1" si="496"/>
        <v>0.90589467767905985</v>
      </c>
      <c r="C546" s="2">
        <f t="shared" ca="1" si="497"/>
        <v>7.5661674924099387</v>
      </c>
      <c r="D546" s="2">
        <f t="shared" ca="1" si="498"/>
        <v>0.42658435957605456</v>
      </c>
      <c r="E546" s="2">
        <f t="shared" ca="1" si="499"/>
        <v>7.4236713263667493</v>
      </c>
      <c r="F546" s="2">
        <f t="shared" ca="1" si="500"/>
        <v>0.75613690104290998</v>
      </c>
      <c r="G546" s="2">
        <f t="shared" ca="1" si="501"/>
        <v>6.0817895734286656E-2</v>
      </c>
      <c r="H546" s="2">
        <f t="shared" ca="1" si="502"/>
        <v>6.0817895734286656E-2</v>
      </c>
      <c r="I546" s="2">
        <f t="shared" ca="1" si="503"/>
        <v>0.23749131599049178</v>
      </c>
      <c r="J546" s="2">
        <f t="shared" ca="1" si="504"/>
        <v>6.4280223234992363E-3</v>
      </c>
      <c r="K546" s="2">
        <f t="shared" ca="1" si="505"/>
        <v>6.4280223234992363E-3</v>
      </c>
      <c r="L546" s="2">
        <f t="shared" ca="1" si="506"/>
        <v>0.76155666773899955</v>
      </c>
      <c r="M546" s="2">
        <f t="shared" ca="1" si="507"/>
        <v>1.4226377279912919E-2</v>
      </c>
      <c r="N546" s="2">
        <f t="shared" ca="1" si="508"/>
        <v>1.4226377279912919E-2</v>
      </c>
      <c r="O546" s="2">
        <f t="shared" si="509"/>
        <v>6000000</v>
      </c>
      <c r="P546" s="2">
        <f t="shared" ca="1" si="510"/>
        <v>45397004.95445963</v>
      </c>
      <c r="Q546" s="2">
        <f t="shared" ca="1" si="511"/>
        <v>1134925.1238614907</v>
      </c>
      <c r="R546" s="2">
        <f t="shared" ca="1" si="512"/>
        <v>27238202.972675778</v>
      </c>
      <c r="S546" s="2">
        <f t="shared" ca="1" si="513"/>
        <v>18158801.981783852</v>
      </c>
      <c r="T546" s="2">
        <f t="shared" ca="1" si="514"/>
        <v>50711318.863995649</v>
      </c>
      <c r="U546" s="2">
        <f t="shared" ca="1" si="515"/>
        <v>53795474.567214303</v>
      </c>
      <c r="V546" s="2">
        <f t="shared" ca="1" si="516"/>
        <v>57067202.130419612</v>
      </c>
      <c r="W546" s="2">
        <f t="shared" ca="1" si="517"/>
        <v>60537909.279434934</v>
      </c>
      <c r="X546" s="2">
        <f t="shared" ca="1" si="518"/>
        <v>64219697.533963315</v>
      </c>
      <c r="Y546" s="2">
        <f t="shared" ca="1" si="519"/>
        <v>0.12321401116174961</v>
      </c>
      <c r="Z546" s="2">
        <f t="shared" ca="1" si="520"/>
        <v>0.12449961562644946</v>
      </c>
      <c r="AA546" s="2">
        <f t="shared" ca="1" si="521"/>
        <v>6248345.0085354038</v>
      </c>
      <c r="AB546" s="2">
        <f t="shared" ca="1" si="522"/>
        <v>6697515.9060606183</v>
      </c>
      <c r="AC546" s="2">
        <f t="shared" ca="1" si="523"/>
        <v>7104844.7301141396</v>
      </c>
      <c r="AD546" s="2">
        <f t="shared" ca="1" si="524"/>
        <v>7536946.4361185171</v>
      </c>
      <c r="AE546" s="2">
        <f t="shared" ca="1" si="525"/>
        <v>7995327.6586252768</v>
      </c>
      <c r="AF546" s="2">
        <f t="shared" ca="1" si="526"/>
        <v>1014226.3772799131</v>
      </c>
      <c r="AG546" s="2">
        <f t="shared" ca="1" si="527"/>
        <v>1075909.4913442861</v>
      </c>
      <c r="AH546" s="2">
        <f t="shared" ca="1" si="528"/>
        <v>1141344.0426083922</v>
      </c>
      <c r="AI546" s="2">
        <f t="shared" ca="1" si="529"/>
        <v>1210758.1855886986</v>
      </c>
      <c r="AJ546" s="2">
        <f t="shared" ca="1" si="530"/>
        <v>1284393.9506792664</v>
      </c>
      <c r="AK546" s="2">
        <f t="shared" ca="1" si="531"/>
        <v>0</v>
      </c>
      <c r="AL546" s="2">
        <f t="shared" ca="1" si="532"/>
        <v>30841.557032186538</v>
      </c>
      <c r="AM546" s="2">
        <f t="shared" ca="1" si="533"/>
        <v>32717.275632053093</v>
      </c>
      <c r="AN546" s="2">
        <f t="shared" ca="1" si="534"/>
        <v>34707.071490153226</v>
      </c>
      <c r="AO546" s="2">
        <f t="shared" ca="1" si="535"/>
        <v>36817.882545283814</v>
      </c>
      <c r="AP546" s="2">
        <f t="shared" ca="1" si="536"/>
        <v>2451438.2675408199</v>
      </c>
      <c r="AQ546" s="2">
        <f t="shared" ca="1" si="537"/>
        <v>723496.89456581441</v>
      </c>
      <c r="AR546" s="2">
        <f t="shared" ca="1" si="538"/>
        <v>824243.71826563322</v>
      </c>
      <c r="AS546" s="2">
        <f t="shared" ca="1" si="539"/>
        <v>913136.22919088113</v>
      </c>
      <c r="AT546" s="2">
        <f t="shared" ca="1" si="540"/>
        <v>1007434.9955771395</v>
      </c>
      <c r="AU546" s="2">
        <f t="shared" ca="1" si="541"/>
        <v>1107468.8145053494</v>
      </c>
      <c r="AV546" s="2">
        <f t="shared" ca="1" si="542"/>
        <v>2059183.4691488566</v>
      </c>
      <c r="AW546" s="2">
        <f t="shared" ca="1" si="543"/>
        <v>2315082.8718776926</v>
      </c>
      <c r="AX546" s="2">
        <f t="shared" ca="1" si="544"/>
        <v>2566208.9151419932</v>
      </c>
      <c r="AY546" s="2">
        <f t="shared" ca="1" si="545"/>
        <v>2832607.9159217048</v>
      </c>
      <c r="AZ546" s="2">
        <f t="shared" ca="1" si="546"/>
        <v>3115208.7433545571</v>
      </c>
      <c r="BA546" s="2">
        <f t="shared" ca="1" si="547"/>
        <v>59354684.684243463</v>
      </c>
      <c r="BB546" s="2">
        <f t="shared" ca="1" si="548"/>
        <v>1187093.6936848692</v>
      </c>
      <c r="BC546" s="2">
        <f t="shared" ca="1" si="549"/>
        <v>30929388.017882816</v>
      </c>
      <c r="BD546" s="2">
        <f t="shared" ca="1" si="550"/>
        <v>-19793727.105645344</v>
      </c>
      <c r="BE546" s="2">
        <f t="shared" ca="1" si="551"/>
        <v>2059183.4691488566</v>
      </c>
      <c r="BF546" s="2">
        <f t="shared" ca="1" si="552"/>
        <v>2315082.8718776926</v>
      </c>
      <c r="BG546" s="2">
        <f t="shared" ca="1" si="553"/>
        <v>2566208.9151419932</v>
      </c>
      <c r="BH546" s="2">
        <f t="shared" ca="1" si="554"/>
        <v>2832607.9159217048</v>
      </c>
      <c r="BI546" s="2">
        <f t="shared" ca="1" si="555"/>
        <v>34044596.761237375</v>
      </c>
      <c r="BJ546" s="2">
        <f t="shared" ca="1" si="556"/>
        <v>0.2009073946847042</v>
      </c>
      <c r="BK546" s="2">
        <f t="shared" ca="1" si="557"/>
        <v>6834968.3063198514</v>
      </c>
    </row>
    <row r="547" spans="1:63" x14ac:dyDescent="0.3">
      <c r="A547" s="2">
        <v>546</v>
      </c>
      <c r="B547" s="2">
        <f t="shared" ca="1" si="496"/>
        <v>1.4975414872576032E-2</v>
      </c>
      <c r="C547" s="2">
        <f t="shared" ca="1" si="497"/>
        <v>6.1730630802486539</v>
      </c>
      <c r="D547" s="2">
        <f t="shared" ca="1" si="498"/>
        <v>0.57094709060077076</v>
      </c>
      <c r="E547" s="2">
        <f t="shared" ca="1" si="499"/>
        <v>7.5736599874784325</v>
      </c>
      <c r="F547" s="2">
        <f t="shared" ca="1" si="500"/>
        <v>0.38403717151606886</v>
      </c>
      <c r="G547" s="2">
        <f t="shared" ca="1" si="501"/>
        <v>3.1153159873238807E-2</v>
      </c>
      <c r="H547" s="2">
        <f t="shared" ca="1" si="502"/>
        <v>3.1153159873238807E-2</v>
      </c>
      <c r="I547" s="2">
        <f t="shared" ca="1" si="503"/>
        <v>0.31827432868197403</v>
      </c>
      <c r="J547" s="2">
        <f t="shared" ca="1" si="504"/>
        <v>7.6373508671450088E-3</v>
      </c>
      <c r="K547" s="2">
        <f t="shared" ca="1" si="505"/>
        <v>7.6373508671450088E-3</v>
      </c>
      <c r="L547" s="2">
        <f t="shared" ca="1" si="506"/>
        <v>0.31158864819062926</v>
      </c>
      <c r="M547" s="2">
        <f t="shared" ca="1" si="507"/>
        <v>-9.8270459654558294E-3</v>
      </c>
      <c r="N547" s="2">
        <f t="shared" ca="1" si="508"/>
        <v>-9.8270459654558294E-3</v>
      </c>
      <c r="O547" s="2">
        <f t="shared" si="509"/>
        <v>6000000</v>
      </c>
      <c r="P547" s="2">
        <f t="shared" ca="1" si="510"/>
        <v>37038378.481491923</v>
      </c>
      <c r="Q547" s="2">
        <f t="shared" ca="1" si="511"/>
        <v>925959.46203729813</v>
      </c>
      <c r="R547" s="2">
        <f t="shared" ca="1" si="512"/>
        <v>22223027.088895153</v>
      </c>
      <c r="S547" s="2">
        <f t="shared" ca="1" si="513"/>
        <v>14815351.39259677</v>
      </c>
      <c r="T547" s="2">
        <f t="shared" ca="1" si="514"/>
        <v>49508647.701727211</v>
      </c>
      <c r="U547" s="2">
        <f t="shared" ca="1" si="515"/>
        <v>51050998.51868698</v>
      </c>
      <c r="V547" s="2">
        <f t="shared" ca="1" si="516"/>
        <v>52641398.437228113</v>
      </c>
      <c r="W547" s="2">
        <f t="shared" ca="1" si="517"/>
        <v>54281344.338693947</v>
      </c>
      <c r="X547" s="2">
        <f t="shared" ca="1" si="518"/>
        <v>55972379.737011611</v>
      </c>
      <c r="Y547" s="2">
        <f t="shared" ca="1" si="519"/>
        <v>0.1238186754335725</v>
      </c>
      <c r="Z547" s="2">
        <f t="shared" ca="1" si="520"/>
        <v>0.1253461456070015</v>
      </c>
      <c r="AA547" s="2">
        <f t="shared" ca="1" si="521"/>
        <v>6130095.1809352469</v>
      </c>
      <c r="AB547" s="2">
        <f t="shared" ca="1" si="522"/>
        <v>6399045.8937061559</v>
      </c>
      <c r="AC547" s="2">
        <f t="shared" ca="1" si="523"/>
        <v>6598396.393468976</v>
      </c>
      <c r="AD547" s="2">
        <f t="shared" ca="1" si="524"/>
        <v>6803957.2912217174</v>
      </c>
      <c r="AE547" s="2">
        <f t="shared" ca="1" si="525"/>
        <v>7015922.060485838</v>
      </c>
      <c r="AF547" s="2">
        <f t="shared" ca="1" si="526"/>
        <v>990172.95403454429</v>
      </c>
      <c r="AG547" s="2">
        <f t="shared" ca="1" si="527"/>
        <v>1021019.9703737396</v>
      </c>
      <c r="AH547" s="2">
        <f t="shared" ca="1" si="528"/>
        <v>1052827.9687445622</v>
      </c>
      <c r="AI547" s="2">
        <f t="shared" ca="1" si="529"/>
        <v>1085626.8867738789</v>
      </c>
      <c r="AJ547" s="2">
        <f t="shared" ca="1" si="530"/>
        <v>1119447.5947402322</v>
      </c>
      <c r="AK547" s="2">
        <f t="shared" ca="1" si="531"/>
        <v>0</v>
      </c>
      <c r="AL547" s="2">
        <f t="shared" ca="1" si="532"/>
        <v>15423.508169597686</v>
      </c>
      <c r="AM547" s="2">
        <f t="shared" ca="1" si="533"/>
        <v>15903.999185411334</v>
      </c>
      <c r="AN547" s="2">
        <f t="shared" ca="1" si="534"/>
        <v>16399.459014658332</v>
      </c>
      <c r="AO547" s="2">
        <f t="shared" ca="1" si="535"/>
        <v>16910.35398317665</v>
      </c>
      <c r="AP547" s="2">
        <f t="shared" ca="1" si="536"/>
        <v>2000072.4380005638</v>
      </c>
      <c r="AQ547" s="2">
        <f t="shared" ca="1" si="537"/>
        <v>816360.94511403609</v>
      </c>
      <c r="AR547" s="2">
        <f t="shared" ca="1" si="538"/>
        <v>878267.90618628182</v>
      </c>
      <c r="AS547" s="2">
        <f t="shared" ca="1" si="539"/>
        <v>921828.95654820115</v>
      </c>
      <c r="AT547" s="2">
        <f t="shared" ca="1" si="540"/>
        <v>966747.07127629162</v>
      </c>
      <c r="AU547" s="2">
        <f t="shared" ca="1" si="541"/>
        <v>1013064.5272137109</v>
      </c>
      <c r="AV547" s="2">
        <f t="shared" ca="1" si="542"/>
        <v>2323488.8437861027</v>
      </c>
      <c r="AW547" s="2">
        <f t="shared" ca="1" si="543"/>
        <v>2484262.0709759733</v>
      </c>
      <c r="AX547" s="2">
        <f t="shared" ca="1" si="544"/>
        <v>2607763.0309902383</v>
      </c>
      <c r="AY547" s="2">
        <f t="shared" ca="1" si="545"/>
        <v>2735111.436156326</v>
      </c>
      <c r="AZ547" s="2">
        <f t="shared" ca="1" si="546"/>
        <v>2866427.1465481538</v>
      </c>
      <c r="BA547" s="2">
        <f t="shared" ca="1" si="547"/>
        <v>53136208.184768833</v>
      </c>
      <c r="BB547" s="2">
        <f t="shared" ca="1" si="548"/>
        <v>1062724.1636953766</v>
      </c>
      <c r="BC547" s="2">
        <f t="shared" ca="1" si="549"/>
        <v>29850456.932178304</v>
      </c>
      <c r="BD547" s="2">
        <f t="shared" ca="1" si="550"/>
        <v>-16241310.854634069</v>
      </c>
      <c r="BE547" s="2">
        <f t="shared" ca="1" si="551"/>
        <v>2323488.8437861027</v>
      </c>
      <c r="BF547" s="2">
        <f t="shared" ca="1" si="552"/>
        <v>2484262.0709759733</v>
      </c>
      <c r="BG547" s="2">
        <f t="shared" ca="1" si="553"/>
        <v>2607763.0309902383</v>
      </c>
      <c r="BH547" s="2">
        <f t="shared" ca="1" si="554"/>
        <v>2735111.436156326</v>
      </c>
      <c r="BI547" s="2">
        <f t="shared" ca="1" si="555"/>
        <v>32716884.078726456</v>
      </c>
      <c r="BJ547" s="2">
        <f t="shared" ca="1" si="556"/>
        <v>0.25725777611772638</v>
      </c>
      <c r="BK547" s="2">
        <f t="shared" ca="1" si="557"/>
        <v>9972476.9113711789</v>
      </c>
    </row>
    <row r="548" spans="1:63" x14ac:dyDescent="0.3">
      <c r="A548" s="2">
        <v>547</v>
      </c>
      <c r="B548" s="2">
        <f t="shared" ca="1" si="496"/>
        <v>6.4855906655102102E-2</v>
      </c>
      <c r="C548" s="2">
        <f t="shared" ca="1" si="497"/>
        <v>6.3601552627828788</v>
      </c>
      <c r="D548" s="2">
        <f t="shared" ca="1" si="498"/>
        <v>0.52247140324034891</v>
      </c>
      <c r="E548" s="2">
        <f t="shared" ca="1" si="499"/>
        <v>7.5227297234033452</v>
      </c>
      <c r="F548" s="2">
        <f t="shared" ca="1" si="500"/>
        <v>0.6883030913337369</v>
      </c>
      <c r="G548" s="2">
        <f t="shared" ca="1" si="501"/>
        <v>5.473138406400304E-2</v>
      </c>
      <c r="H548" s="2">
        <f t="shared" ca="1" si="502"/>
        <v>5.473138406400304E-2</v>
      </c>
      <c r="I548" s="2">
        <f t="shared" ca="1" si="503"/>
        <v>0.27544224451653587</v>
      </c>
      <c r="J548" s="2">
        <f t="shared" ca="1" si="504"/>
        <v>7.0178236848258821E-3</v>
      </c>
      <c r="K548" s="2">
        <f t="shared" ca="1" si="505"/>
        <v>7.0178236848258821E-3</v>
      </c>
      <c r="L548" s="2">
        <f t="shared" ca="1" si="506"/>
        <v>0.29541823465878925</v>
      </c>
      <c r="M548" s="2">
        <f t="shared" ca="1" si="507"/>
        <v>-1.0752485455078687E-2</v>
      </c>
      <c r="N548" s="2">
        <f t="shared" ca="1" si="508"/>
        <v>-1.0752485455078687E-2</v>
      </c>
      <c r="O548" s="2">
        <f t="shared" si="509"/>
        <v>6000000</v>
      </c>
      <c r="P548" s="2">
        <f t="shared" ca="1" si="510"/>
        <v>38160931.576697275</v>
      </c>
      <c r="Q548" s="2">
        <f t="shared" ca="1" si="511"/>
        <v>954023.28941743192</v>
      </c>
      <c r="R548" s="2">
        <f t="shared" ca="1" si="512"/>
        <v>22896558.946018364</v>
      </c>
      <c r="S548" s="2">
        <f t="shared" ca="1" si="513"/>
        <v>15264372.630678911</v>
      </c>
      <c r="T548" s="2">
        <f t="shared" ca="1" si="514"/>
        <v>49462375.727246068</v>
      </c>
      <c r="U548" s="2">
        <f t="shared" ca="1" si="515"/>
        <v>52169520.009892002</v>
      </c>
      <c r="V548" s="2">
        <f t="shared" ca="1" si="516"/>
        <v>55024830.045988098</v>
      </c>
      <c r="W548" s="2">
        <f t="shared" ca="1" si="517"/>
        <v>58036415.152291574</v>
      </c>
      <c r="X548" s="2">
        <f t="shared" ca="1" si="518"/>
        <v>61212828.479689576</v>
      </c>
      <c r="Y548" s="2">
        <f t="shared" ca="1" si="519"/>
        <v>0.12350891184241293</v>
      </c>
      <c r="Z548" s="2">
        <f t="shared" ca="1" si="520"/>
        <v>0.12491247657937811</v>
      </c>
      <c r="AA548" s="2">
        <f t="shared" ca="1" si="521"/>
        <v>6109044.2032127399</v>
      </c>
      <c r="AB548" s="2">
        <f t="shared" ca="1" si="522"/>
        <v>6516623.9463930326</v>
      </c>
      <c r="AC548" s="2">
        <f t="shared" ca="1" si="523"/>
        <v>6873287.7944037495</v>
      </c>
      <c r="AD548" s="2">
        <f t="shared" ca="1" si="524"/>
        <v>7249472.3484616857</v>
      </c>
      <c r="AE548" s="2">
        <f t="shared" ca="1" si="525"/>
        <v>7646246.0038267132</v>
      </c>
      <c r="AF548" s="2">
        <f t="shared" ca="1" si="526"/>
        <v>989247.51454492135</v>
      </c>
      <c r="AG548" s="2">
        <f t="shared" ca="1" si="527"/>
        <v>1043390.4001978401</v>
      </c>
      <c r="AH548" s="2">
        <f t="shared" ca="1" si="528"/>
        <v>1100496.6009197619</v>
      </c>
      <c r="AI548" s="2">
        <f t="shared" ca="1" si="529"/>
        <v>1160728.3030458314</v>
      </c>
      <c r="AJ548" s="2">
        <f t="shared" ca="1" si="530"/>
        <v>1224256.5695937916</v>
      </c>
      <c r="AK548" s="2">
        <f t="shared" ca="1" si="531"/>
        <v>0</v>
      </c>
      <c r="AL548" s="2">
        <f t="shared" ca="1" si="532"/>
        <v>27071.442826459333</v>
      </c>
      <c r="AM548" s="2">
        <f t="shared" ca="1" si="533"/>
        <v>28553.100360960962</v>
      </c>
      <c r="AN548" s="2">
        <f t="shared" ca="1" si="534"/>
        <v>30115.851063034759</v>
      </c>
      <c r="AO548" s="2">
        <f t="shared" ca="1" si="535"/>
        <v>31764.133273980024</v>
      </c>
      <c r="AP548" s="2">
        <f t="shared" ca="1" si="536"/>
        <v>2060690.3051416527</v>
      </c>
      <c r="AQ548" s="2">
        <f t="shared" ca="1" si="537"/>
        <v>795367.65971680323</v>
      </c>
      <c r="AR548" s="2">
        <f t="shared" ca="1" si="538"/>
        <v>887261.24267392023</v>
      </c>
      <c r="AS548" s="2">
        <f t="shared" ca="1" si="539"/>
        <v>965146.23096900713</v>
      </c>
      <c r="AT548" s="2">
        <f t="shared" ca="1" si="540"/>
        <v>1047293.9724712924</v>
      </c>
      <c r="AU548" s="2">
        <f t="shared" ca="1" si="541"/>
        <v>1133937.7735637298</v>
      </c>
      <c r="AV548" s="2">
        <f t="shared" ca="1" si="542"/>
        <v>2263738.7238093624</v>
      </c>
      <c r="AW548" s="2">
        <f t="shared" ca="1" si="543"/>
        <v>2498210.5555531597</v>
      </c>
      <c r="AX548" s="2">
        <f t="shared" ca="1" si="544"/>
        <v>2718401.5570123671</v>
      </c>
      <c r="AY548" s="2">
        <f t="shared" ca="1" si="545"/>
        <v>2950643.9167398745</v>
      </c>
      <c r="AZ548" s="2">
        <f t="shared" ca="1" si="546"/>
        <v>3195597.2222535592</v>
      </c>
      <c r="BA548" s="2">
        <f t="shared" ca="1" si="547"/>
        <v>57520642.085441262</v>
      </c>
      <c r="BB548" s="2">
        <f t="shared" ca="1" si="548"/>
        <v>1150412.8417088252</v>
      </c>
      <c r="BC548" s="2">
        <f t="shared" ca="1" si="549"/>
        <v>33473670.297714069</v>
      </c>
      <c r="BD548" s="2">
        <f t="shared" ca="1" si="550"/>
        <v>-16718395.920096343</v>
      </c>
      <c r="BE548" s="2">
        <f t="shared" ca="1" si="551"/>
        <v>2263738.7238093624</v>
      </c>
      <c r="BF548" s="2">
        <f t="shared" ca="1" si="552"/>
        <v>2498210.5555531597</v>
      </c>
      <c r="BG548" s="2">
        <f t="shared" ca="1" si="553"/>
        <v>2718401.5570123671</v>
      </c>
      <c r="BH548" s="2">
        <f t="shared" ca="1" si="554"/>
        <v>2950643.9167398745</v>
      </c>
      <c r="BI548" s="2">
        <f t="shared" ca="1" si="555"/>
        <v>36669267.519967631</v>
      </c>
      <c r="BJ548" s="2">
        <f t="shared" ca="1" si="556"/>
        <v>0.27321711729212739</v>
      </c>
      <c r="BK548" s="2">
        <f t="shared" ca="1" si="557"/>
        <v>11911576.78502891</v>
      </c>
    </row>
    <row r="549" spans="1:63" x14ac:dyDescent="0.3">
      <c r="A549" s="2">
        <v>548</v>
      </c>
      <c r="B549" s="2">
        <f t="shared" ca="1" si="496"/>
        <v>6.6673251205015438E-2</v>
      </c>
      <c r="C549" s="2">
        <f t="shared" ca="1" si="497"/>
        <v>6.3651664037257962</v>
      </c>
      <c r="D549" s="2">
        <f t="shared" ca="1" si="498"/>
        <v>9.6680725696166037E-2</v>
      </c>
      <c r="E549" s="2">
        <f t="shared" ca="1" si="499"/>
        <v>6.9397288384815488</v>
      </c>
      <c r="F549" s="2">
        <f t="shared" ca="1" si="500"/>
        <v>0.29407118953569689</v>
      </c>
      <c r="G549" s="2">
        <f t="shared" ca="1" si="501"/>
        <v>2.3754102331565941E-2</v>
      </c>
      <c r="H549" s="2">
        <f t="shared" ca="1" si="502"/>
        <v>2.3754102331565941E-2</v>
      </c>
      <c r="I549" s="2">
        <f t="shared" ca="1" si="503"/>
        <v>0.20770071385114885</v>
      </c>
      <c r="J549" s="2">
        <f t="shared" ca="1" si="504"/>
        <v>5.9278741801816219E-3</v>
      </c>
      <c r="K549" s="2">
        <f t="shared" ca="1" si="505"/>
        <v>5.9278741801816219E-3</v>
      </c>
      <c r="L549" s="2">
        <f t="shared" ca="1" si="506"/>
        <v>0.38694750211486306</v>
      </c>
      <c r="M549" s="2">
        <f t="shared" ca="1" si="507"/>
        <v>-5.7456765640260714E-3</v>
      </c>
      <c r="N549" s="2">
        <f t="shared" ca="1" si="508"/>
        <v>-5.7456765640260714E-3</v>
      </c>
      <c r="O549" s="2">
        <f t="shared" si="509"/>
        <v>6000000</v>
      </c>
      <c r="P549" s="2">
        <f t="shared" ca="1" si="510"/>
        <v>38190998.42235478</v>
      </c>
      <c r="Q549" s="2">
        <f t="shared" ca="1" si="511"/>
        <v>954774.96055886953</v>
      </c>
      <c r="R549" s="2">
        <f t="shared" ca="1" si="512"/>
        <v>22914599.053412866</v>
      </c>
      <c r="S549" s="2">
        <f t="shared" ca="1" si="513"/>
        <v>15276399.368941912</v>
      </c>
      <c r="T549" s="2">
        <f t="shared" ca="1" si="514"/>
        <v>49712716.171798699</v>
      </c>
      <c r="U549" s="2">
        <f t="shared" ca="1" si="515"/>
        <v>50893597.118923701</v>
      </c>
      <c r="V549" s="2">
        <f t="shared" ca="1" si="516"/>
        <v>52102528.832908101</v>
      </c>
      <c r="W549" s="2">
        <f t="shared" ca="1" si="517"/>
        <v>53340177.634538367</v>
      </c>
      <c r="X549" s="2">
        <f t="shared" ca="1" si="518"/>
        <v>54607225.672453098</v>
      </c>
      <c r="Y549" s="2">
        <f t="shared" ca="1" si="519"/>
        <v>0.12296393709009081</v>
      </c>
      <c r="Z549" s="2">
        <f t="shared" ca="1" si="520"/>
        <v>0.12414951192612714</v>
      </c>
      <c r="AA549" s="2">
        <f t="shared" ca="1" si="521"/>
        <v>6112871.3039265946</v>
      </c>
      <c r="AB549" s="2">
        <f t="shared" ca="1" si="522"/>
        <v>6318415.2424793281</v>
      </c>
      <c r="AC549" s="2">
        <f t="shared" ca="1" si="523"/>
        <v>6468503.5247225072</v>
      </c>
      <c r="AD549" s="2">
        <f t="shared" ca="1" si="524"/>
        <v>6622157.019380861</v>
      </c>
      <c r="AE549" s="2">
        <f t="shared" ca="1" si="525"/>
        <v>6779460.4148749318</v>
      </c>
      <c r="AF549" s="2">
        <f t="shared" ca="1" si="526"/>
        <v>994254.32343597396</v>
      </c>
      <c r="AG549" s="2">
        <f t="shared" ca="1" si="527"/>
        <v>1017871.9423784741</v>
      </c>
      <c r="AH549" s="2">
        <f t="shared" ca="1" si="528"/>
        <v>1042050.5766581621</v>
      </c>
      <c r="AI549" s="2">
        <f t="shared" ca="1" si="529"/>
        <v>1066803.5526907675</v>
      </c>
      <c r="AJ549" s="2">
        <f t="shared" ca="1" si="530"/>
        <v>1092144.5134490619</v>
      </c>
      <c r="AK549" s="2">
        <f t="shared" ca="1" si="531"/>
        <v>0</v>
      </c>
      <c r="AL549" s="2">
        <f t="shared" ca="1" si="532"/>
        <v>11808.809471250028</v>
      </c>
      <c r="AM549" s="2">
        <f t="shared" ca="1" si="533"/>
        <v>12089.317139844001</v>
      </c>
      <c r="AN549" s="2">
        <f t="shared" ca="1" si="534"/>
        <v>12376.488016302661</v>
      </c>
      <c r="AO549" s="2">
        <f t="shared" ca="1" si="535"/>
        <v>12670.480379147306</v>
      </c>
      <c r="AP549" s="2">
        <f t="shared" ca="1" si="536"/>
        <v>2062313.9148071578</v>
      </c>
      <c r="AQ549" s="2">
        <f t="shared" ca="1" si="537"/>
        <v>794638.79707770026</v>
      </c>
      <c r="AR549" s="2">
        <f t="shared" ca="1" si="538"/>
        <v>841939.64017636096</v>
      </c>
      <c r="AS549" s="2">
        <f t="shared" ca="1" si="539"/>
        <v>874676.14864686877</v>
      </c>
      <c r="AT549" s="2">
        <f t="shared" ca="1" si="540"/>
        <v>908190.28348956327</v>
      </c>
      <c r="AU549" s="2">
        <f t="shared" ca="1" si="541"/>
        <v>942500.51652086526</v>
      </c>
      <c r="AV549" s="2">
        <f t="shared" ca="1" si="542"/>
        <v>2261664.2686057622</v>
      </c>
      <c r="AW549" s="2">
        <f t="shared" ca="1" si="543"/>
        <v>2384480.9356460851</v>
      </c>
      <c r="AX549" s="2">
        <f t="shared" ca="1" si="544"/>
        <v>2477373.5674704742</v>
      </c>
      <c r="AY549" s="2">
        <f t="shared" ca="1" si="545"/>
        <v>2572472.7803770695</v>
      </c>
      <c r="AZ549" s="2">
        <f t="shared" ca="1" si="546"/>
        <v>2669830.9897186998</v>
      </c>
      <c r="BA549" s="2">
        <f t="shared" ca="1" si="547"/>
        <v>47047616.95045165</v>
      </c>
      <c r="BB549" s="2">
        <f t="shared" ca="1" si="548"/>
        <v>940952.33900903305</v>
      </c>
      <c r="BC549" s="2">
        <f t="shared" ca="1" si="549"/>
        <v>23192065.558029752</v>
      </c>
      <c r="BD549" s="2">
        <f t="shared" ca="1" si="550"/>
        <v>-16731174.329500781</v>
      </c>
      <c r="BE549" s="2">
        <f t="shared" ca="1" si="551"/>
        <v>2261664.2686057622</v>
      </c>
      <c r="BF549" s="2">
        <f t="shared" ca="1" si="552"/>
        <v>2384480.9356460851</v>
      </c>
      <c r="BG549" s="2">
        <f t="shared" ca="1" si="553"/>
        <v>2477373.5674704742</v>
      </c>
      <c r="BH549" s="2">
        <f t="shared" ca="1" si="554"/>
        <v>2572472.7803770695</v>
      </c>
      <c r="BI549" s="2">
        <f t="shared" ca="1" si="555"/>
        <v>25861896.547748454</v>
      </c>
      <c r="BJ549" s="2">
        <f t="shared" ca="1" si="556"/>
        <v>0.19778930203694411</v>
      </c>
      <c r="BK549" s="2">
        <f t="shared" ca="1" si="557"/>
        <v>5261995.5414259303</v>
      </c>
    </row>
    <row r="550" spans="1:63" x14ac:dyDescent="0.3">
      <c r="A550" s="2">
        <v>549</v>
      </c>
      <c r="B550" s="2">
        <f t="shared" ca="1" si="496"/>
        <v>0.25812854982567524</v>
      </c>
      <c r="C550" s="2">
        <f t="shared" ca="1" si="497"/>
        <v>6.7185103337122927</v>
      </c>
      <c r="D550" s="2">
        <f t="shared" ca="1" si="498"/>
        <v>0.34141528890657846</v>
      </c>
      <c r="E550" s="2">
        <f t="shared" ca="1" si="499"/>
        <v>7.3263356326657814</v>
      </c>
      <c r="F550" s="2">
        <f t="shared" ca="1" si="500"/>
        <v>0.14450961322252065</v>
      </c>
      <c r="G550" s="2">
        <f t="shared" ca="1" si="501"/>
        <v>8.1917313446423362E-3</v>
      </c>
      <c r="H550" s="2">
        <f t="shared" ca="1" si="502"/>
        <v>8.1917313446423362E-3</v>
      </c>
      <c r="I550" s="2">
        <f t="shared" ca="1" si="503"/>
        <v>0.50471140409651227</v>
      </c>
      <c r="J550" s="2">
        <f t="shared" ca="1" si="504"/>
        <v>1.0059050066260837E-2</v>
      </c>
      <c r="K550" s="2">
        <f t="shared" ca="1" si="505"/>
        <v>1.0059050066260837E-2</v>
      </c>
      <c r="L550" s="2">
        <f t="shared" ca="1" si="506"/>
        <v>2.8152020949360756E-2</v>
      </c>
      <c r="M550" s="2">
        <f t="shared" ca="1" si="507"/>
        <v>-3.8173498177509077E-2</v>
      </c>
      <c r="N550" s="2">
        <f t="shared" ca="1" si="508"/>
        <v>-3.8173498177509077E-2</v>
      </c>
      <c r="O550" s="2">
        <f t="shared" si="509"/>
        <v>6000000</v>
      </c>
      <c r="P550" s="2">
        <f t="shared" ca="1" si="510"/>
        <v>40311062.002273753</v>
      </c>
      <c r="Q550" s="2">
        <f t="shared" ca="1" si="511"/>
        <v>1007776.5500568439</v>
      </c>
      <c r="R550" s="2">
        <f t="shared" ca="1" si="512"/>
        <v>24186637.201364253</v>
      </c>
      <c r="S550" s="2">
        <f t="shared" ca="1" si="513"/>
        <v>16124424.800909502</v>
      </c>
      <c r="T550" s="2">
        <f t="shared" ca="1" si="514"/>
        <v>48091325.09112455</v>
      </c>
      <c r="U550" s="2">
        <f t="shared" ca="1" si="515"/>
        <v>48485276.306278892</v>
      </c>
      <c r="V550" s="2">
        <f t="shared" ca="1" si="516"/>
        <v>48882454.663950674</v>
      </c>
      <c r="W550" s="2">
        <f t="shared" ca="1" si="517"/>
        <v>49282886.60002441</v>
      </c>
      <c r="X550" s="2">
        <f t="shared" ca="1" si="518"/>
        <v>49686598.766940281</v>
      </c>
      <c r="Y550" s="2">
        <f t="shared" ca="1" si="519"/>
        <v>0.12502952503313042</v>
      </c>
      <c r="Z550" s="2">
        <f t="shared" ca="1" si="520"/>
        <v>0.12704133504638257</v>
      </c>
      <c r="AA550" s="2">
        <f t="shared" ca="1" si="521"/>
        <v>6012835.5343571696</v>
      </c>
      <c r="AB550" s="2">
        <f t="shared" ca="1" si="522"/>
        <v>6159634.2320424113</v>
      </c>
      <c r="AC550" s="2">
        <f t="shared" ca="1" si="523"/>
        <v>6210092.3008525642</v>
      </c>
      <c r="AD550" s="2">
        <f t="shared" ca="1" si="524"/>
        <v>6260963.7086065793</v>
      </c>
      <c r="AE550" s="2">
        <f t="shared" ca="1" si="525"/>
        <v>6312251.8412660388</v>
      </c>
      <c r="AF550" s="2">
        <f t="shared" ca="1" si="526"/>
        <v>961826.50182249106</v>
      </c>
      <c r="AG550" s="2">
        <f t="shared" ca="1" si="527"/>
        <v>969705.52612557786</v>
      </c>
      <c r="AH550" s="2">
        <f t="shared" ca="1" si="528"/>
        <v>977649.09327901353</v>
      </c>
      <c r="AI550" s="2">
        <f t="shared" ca="1" si="529"/>
        <v>985657.73200048821</v>
      </c>
      <c r="AJ550" s="2">
        <f t="shared" ca="1" si="530"/>
        <v>993731.97533880558</v>
      </c>
      <c r="AK550" s="2">
        <f t="shared" ca="1" si="531"/>
        <v>0</v>
      </c>
      <c r="AL550" s="2">
        <f t="shared" ca="1" si="532"/>
        <v>3939.5121515434234</v>
      </c>
      <c r="AM550" s="2">
        <f t="shared" ca="1" si="533"/>
        <v>3971.783576717824</v>
      </c>
      <c r="AN550" s="2">
        <f t="shared" ca="1" si="534"/>
        <v>4004.3193607373537</v>
      </c>
      <c r="AO550" s="2">
        <f t="shared" ca="1" si="535"/>
        <v>4037.1216691587119</v>
      </c>
      <c r="AP550" s="2">
        <f t="shared" ca="1" si="536"/>
        <v>2176797.3481227825</v>
      </c>
      <c r="AQ550" s="2">
        <f t="shared" ca="1" si="537"/>
        <v>747295.03794709302</v>
      </c>
      <c r="AR550" s="2">
        <f t="shared" ca="1" si="538"/>
        <v>783414.15302645322</v>
      </c>
      <c r="AS550" s="2">
        <f t="shared" ca="1" si="539"/>
        <v>794467.92345719971</v>
      </c>
      <c r="AT550" s="2">
        <f t="shared" ca="1" si="540"/>
        <v>805612.24340566038</v>
      </c>
      <c r="AU550" s="2">
        <f t="shared" ca="1" si="541"/>
        <v>816847.85462915723</v>
      </c>
      <c r="AV550" s="2">
        <f t="shared" ca="1" si="542"/>
        <v>2126916.6464648028</v>
      </c>
      <c r="AW550" s="2">
        <f t="shared" ca="1" si="543"/>
        <v>2225777.6926160543</v>
      </c>
      <c r="AX550" s="2">
        <f t="shared" ca="1" si="544"/>
        <v>2257206.1524168509</v>
      </c>
      <c r="AY550" s="2">
        <f t="shared" ca="1" si="545"/>
        <v>2288892.0657169106</v>
      </c>
      <c r="AZ550" s="2">
        <f t="shared" ca="1" si="546"/>
        <v>2320837.5415061354</v>
      </c>
      <c r="BA550" s="2">
        <f t="shared" ca="1" si="547"/>
        <v>46245675.587027565</v>
      </c>
      <c r="BB550" s="2">
        <f t="shared" ca="1" si="548"/>
        <v>924913.51174055133</v>
      </c>
      <c r="BC550" s="2">
        <f t="shared" ca="1" si="549"/>
        <v>21134124.873922762</v>
      </c>
      <c r="BD550" s="2">
        <f t="shared" ca="1" si="550"/>
        <v>-17632201.350966346</v>
      </c>
      <c r="BE550" s="2">
        <f t="shared" ca="1" si="551"/>
        <v>2126916.6464648028</v>
      </c>
      <c r="BF550" s="2">
        <f t="shared" ca="1" si="552"/>
        <v>2225777.6926160543</v>
      </c>
      <c r="BG550" s="2">
        <f t="shared" ca="1" si="553"/>
        <v>2257206.1524168509</v>
      </c>
      <c r="BH550" s="2">
        <f t="shared" ca="1" si="554"/>
        <v>2288892.0657169106</v>
      </c>
      <c r="BI550" s="2">
        <f t="shared" ca="1" si="555"/>
        <v>23454962.415428896</v>
      </c>
      <c r="BJ550" s="2">
        <f t="shared" ca="1" si="556"/>
        <v>0.15564319922205283</v>
      </c>
      <c r="BK550" s="2">
        <f t="shared" ca="1" si="557"/>
        <v>2411450.3346331045</v>
      </c>
    </row>
    <row r="551" spans="1:63" x14ac:dyDescent="0.3">
      <c r="A551" s="2">
        <v>550</v>
      </c>
      <c r="B551" s="2">
        <f t="shared" ca="1" si="496"/>
        <v>0.43417175794320961</v>
      </c>
      <c r="C551" s="2">
        <f t="shared" ca="1" si="497"/>
        <v>6.9318495135409037</v>
      </c>
      <c r="D551" s="2">
        <f t="shared" ca="1" si="498"/>
        <v>0.63377206493429483</v>
      </c>
      <c r="E551" s="2">
        <f t="shared" ca="1" si="499"/>
        <v>7.6441636429016295</v>
      </c>
      <c r="F551" s="2">
        <f t="shared" ca="1" si="500"/>
        <v>0.75890229698825229</v>
      </c>
      <c r="G551" s="2">
        <f t="shared" ca="1" si="501"/>
        <v>6.1083277599015384E-2</v>
      </c>
      <c r="H551" s="2">
        <f t="shared" ca="1" si="502"/>
        <v>6.1083277599015384E-2</v>
      </c>
      <c r="I551" s="2">
        <f t="shared" ca="1" si="503"/>
        <v>0.24418867689763668</v>
      </c>
      <c r="J551" s="2">
        <f t="shared" ca="1" si="504"/>
        <v>6.5355401853344104E-3</v>
      </c>
      <c r="K551" s="2">
        <f t="shared" ca="1" si="505"/>
        <v>6.5355401853344104E-3</v>
      </c>
      <c r="L551" s="2">
        <f t="shared" ca="1" si="506"/>
        <v>0.45759653569533609</v>
      </c>
      <c r="M551" s="2">
        <f t="shared" ca="1" si="507"/>
        <v>-2.1298130518105315E-3</v>
      </c>
      <c r="N551" s="2">
        <f t="shared" ca="1" si="508"/>
        <v>-2.1298130518105315E-3</v>
      </c>
      <c r="O551" s="2">
        <f t="shared" si="509"/>
        <v>6000000</v>
      </c>
      <c r="P551" s="2">
        <f t="shared" ca="1" si="510"/>
        <v>41591097.081245422</v>
      </c>
      <c r="Q551" s="2">
        <f t="shared" ca="1" si="511"/>
        <v>1039777.4270311357</v>
      </c>
      <c r="R551" s="2">
        <f t="shared" ca="1" si="512"/>
        <v>24954658.248747252</v>
      </c>
      <c r="S551" s="2">
        <f t="shared" ca="1" si="513"/>
        <v>16636438.83249817</v>
      </c>
      <c r="T551" s="2">
        <f t="shared" ca="1" si="514"/>
        <v>49893509.347409479</v>
      </c>
      <c r="U551" s="2">
        <f t="shared" ca="1" si="515"/>
        <v>52941168.429266356</v>
      </c>
      <c r="V551" s="2">
        <f t="shared" ca="1" si="516"/>
        <v>56174988.516847461</v>
      </c>
      <c r="W551" s="2">
        <f t="shared" ca="1" si="517"/>
        <v>59606340.93454355</v>
      </c>
      <c r="X551" s="2">
        <f t="shared" ca="1" si="518"/>
        <v>63247291.604509823</v>
      </c>
      <c r="Y551" s="2">
        <f t="shared" ca="1" si="519"/>
        <v>0.12326777009266721</v>
      </c>
      <c r="Z551" s="2">
        <f t="shared" ca="1" si="520"/>
        <v>0.12457487812973408</v>
      </c>
      <c r="AA551" s="2">
        <f t="shared" ca="1" si="521"/>
        <v>6150261.6393528143</v>
      </c>
      <c r="AB551" s="2">
        <f t="shared" ca="1" si="522"/>
        <v>6595139.6051215818</v>
      </c>
      <c r="AC551" s="2">
        <f t="shared" ca="1" si="523"/>
        <v>6997992.3484254843</v>
      </c>
      <c r="AD551" s="2">
        <f t="shared" ca="1" si="524"/>
        <v>7425452.6576801427</v>
      </c>
      <c r="AE551" s="2">
        <f t="shared" ca="1" si="525"/>
        <v>7879023.6436675647</v>
      </c>
      <c r="AF551" s="2">
        <f t="shared" ca="1" si="526"/>
        <v>997870.18694818963</v>
      </c>
      <c r="AG551" s="2">
        <f t="shared" ca="1" si="527"/>
        <v>1058823.3685853272</v>
      </c>
      <c r="AH551" s="2">
        <f t="shared" ca="1" si="528"/>
        <v>1123499.7703369493</v>
      </c>
      <c r="AI551" s="2">
        <f t="shared" ca="1" si="529"/>
        <v>1192126.8186908711</v>
      </c>
      <c r="AJ551" s="2">
        <f t="shared" ca="1" si="530"/>
        <v>1264945.8320901964</v>
      </c>
      <c r="AK551" s="2">
        <f t="shared" ca="1" si="531"/>
        <v>0</v>
      </c>
      <c r="AL551" s="2">
        <f t="shared" ca="1" si="532"/>
        <v>30476.590818568766</v>
      </c>
      <c r="AM551" s="2">
        <f t="shared" ca="1" si="533"/>
        <v>32338.200875811057</v>
      </c>
      <c r="AN551" s="2">
        <f t="shared" ca="1" si="534"/>
        <v>34313.524176960884</v>
      </c>
      <c r="AO551" s="2">
        <f t="shared" ca="1" si="535"/>
        <v>36409.506699662728</v>
      </c>
      <c r="AP551" s="2">
        <f t="shared" ca="1" si="536"/>
        <v>2245919.2423872524</v>
      </c>
      <c r="AQ551" s="2">
        <f t="shared" ca="1" si="537"/>
        <v>755682.7746045168</v>
      </c>
      <c r="AR551" s="2">
        <f t="shared" ca="1" si="538"/>
        <v>855503.21847874078</v>
      </c>
      <c r="AS551" s="2">
        <f t="shared" ca="1" si="539"/>
        <v>943429.0672823335</v>
      </c>
      <c r="AT551" s="2">
        <f t="shared" ca="1" si="540"/>
        <v>1036725.7151165251</v>
      </c>
      <c r="AU551" s="2">
        <f t="shared" ca="1" si="541"/>
        <v>1135721.2279894303</v>
      </c>
      <c r="AV551" s="2">
        <f t="shared" ca="1" si="542"/>
        <v>2150789.4354128554</v>
      </c>
      <c r="AW551" s="2">
        <f t="shared" ca="1" si="543"/>
        <v>2404417.1848516925</v>
      </c>
      <c r="AX551" s="2">
        <f t="shared" ca="1" si="544"/>
        <v>2652806.0675431374</v>
      </c>
      <c r="AY551" s="2">
        <f t="shared" ca="1" si="545"/>
        <v>2916367.3573085335</v>
      </c>
      <c r="AZ551" s="2">
        <f t="shared" ca="1" si="546"/>
        <v>3196027.8345010229</v>
      </c>
      <c r="BA551" s="2">
        <f t="shared" ca="1" si="547"/>
        <v>60228546.078485921</v>
      </c>
      <c r="BB551" s="2">
        <f t="shared" ca="1" si="548"/>
        <v>1204570.9215697185</v>
      </c>
      <c r="BC551" s="2">
        <f t="shared" ca="1" si="549"/>
        <v>34069316.908168949</v>
      </c>
      <c r="BD551" s="2">
        <f t="shared" ca="1" si="550"/>
        <v>-18176216.259529307</v>
      </c>
      <c r="BE551" s="2">
        <f t="shared" ca="1" si="551"/>
        <v>2150789.4354128554</v>
      </c>
      <c r="BF551" s="2">
        <f t="shared" ca="1" si="552"/>
        <v>2404417.1848516925</v>
      </c>
      <c r="BG551" s="2">
        <f t="shared" ca="1" si="553"/>
        <v>2652806.0675431374</v>
      </c>
      <c r="BH551" s="2">
        <f t="shared" ca="1" si="554"/>
        <v>2916367.3573085335</v>
      </c>
      <c r="BI551" s="2">
        <f t="shared" ca="1" si="555"/>
        <v>37265344.74266997</v>
      </c>
      <c r="BJ551" s="2">
        <f t="shared" ca="1" si="556"/>
        <v>0.24745676914902637</v>
      </c>
      <c r="BK551" s="2">
        <f t="shared" ca="1" si="557"/>
        <v>10547894.64310189</v>
      </c>
    </row>
    <row r="552" spans="1:63" x14ac:dyDescent="0.3">
      <c r="A552" s="2">
        <v>551</v>
      </c>
      <c r="B552" s="2">
        <f t="shared" ca="1" si="496"/>
        <v>0.12778853560425563</v>
      </c>
      <c r="C552" s="2">
        <f t="shared" ca="1" si="497"/>
        <v>6.5055463096576922</v>
      </c>
      <c r="D552" s="2">
        <f t="shared" ca="1" si="498"/>
        <v>0.87549992475293781</v>
      </c>
      <c r="E552" s="2">
        <f t="shared" ca="1" si="499"/>
        <v>8.0010008512090174</v>
      </c>
      <c r="F552" s="2">
        <f t="shared" ca="1" si="500"/>
        <v>0.10202237823101901</v>
      </c>
      <c r="G552" s="2">
        <f t="shared" ca="1" si="501"/>
        <v>1.8966415781004817E-3</v>
      </c>
      <c r="H552" s="2">
        <f t="shared" ca="1" si="502"/>
        <v>1.8966415781004817E-3</v>
      </c>
      <c r="I552" s="2">
        <f t="shared" ca="1" si="503"/>
        <v>0.47929132067408353</v>
      </c>
      <c r="J552" s="2">
        <f t="shared" ca="1" si="504"/>
        <v>9.7403385253159499E-3</v>
      </c>
      <c r="K552" s="2">
        <f t="shared" ca="1" si="505"/>
        <v>9.7403385253159499E-3</v>
      </c>
      <c r="L552" s="2">
        <f t="shared" ca="1" si="506"/>
        <v>0.89252845361524791</v>
      </c>
      <c r="M552" s="2">
        <f t="shared" ca="1" si="507"/>
        <v>2.4801746707241872E-2</v>
      </c>
      <c r="N552" s="2">
        <f t="shared" ca="1" si="508"/>
        <v>2.4801746707241872E-2</v>
      </c>
      <c r="O552" s="2">
        <f t="shared" si="509"/>
        <v>6000000</v>
      </c>
      <c r="P552" s="2">
        <f t="shared" ca="1" si="510"/>
        <v>39033277.85794615</v>
      </c>
      <c r="Q552" s="2">
        <f t="shared" ca="1" si="511"/>
        <v>975831.94644865382</v>
      </c>
      <c r="R552" s="2">
        <f t="shared" ca="1" si="512"/>
        <v>23419966.714767691</v>
      </c>
      <c r="S552" s="2">
        <f t="shared" ca="1" si="513"/>
        <v>15613311.143178461</v>
      </c>
      <c r="T552" s="2">
        <f t="shared" ca="1" si="514"/>
        <v>51240087.335362092</v>
      </c>
      <c r="U552" s="2">
        <f t="shared" ca="1" si="515"/>
        <v>51337271.415467843</v>
      </c>
      <c r="V552" s="2">
        <f t="shared" ca="1" si="516"/>
        <v>51434639.818940654</v>
      </c>
      <c r="W552" s="2">
        <f t="shared" ca="1" si="517"/>
        <v>51532192.895375885</v>
      </c>
      <c r="X552" s="2">
        <f t="shared" ca="1" si="518"/>
        <v>51629930.995031953</v>
      </c>
      <c r="Y552" s="2">
        <f t="shared" ca="1" si="519"/>
        <v>0.12487016926265797</v>
      </c>
      <c r="Z552" s="2">
        <f t="shared" ca="1" si="520"/>
        <v>0.12681823696772115</v>
      </c>
      <c r="AA552" s="2">
        <f t="shared" ca="1" si="521"/>
        <v>6398358.3786000414</v>
      </c>
      <c r="AB552" s="2">
        <f t="shared" ca="1" si="522"/>
        <v>6510502.2516430188</v>
      </c>
      <c r="AC552" s="2">
        <f t="shared" ca="1" si="523"/>
        <v>6522850.3409078019</v>
      </c>
      <c r="AD552" s="2">
        <f t="shared" ca="1" si="524"/>
        <v>6535221.8500720952</v>
      </c>
      <c r="AE552" s="2">
        <f t="shared" ca="1" si="525"/>
        <v>6547616.8235550532</v>
      </c>
      <c r="AF552" s="2">
        <f t="shared" ca="1" si="526"/>
        <v>1024801.7467072419</v>
      </c>
      <c r="AG552" s="2">
        <f t="shared" ca="1" si="527"/>
        <v>1026745.4283093569</v>
      </c>
      <c r="AH552" s="2">
        <f t="shared" ca="1" si="528"/>
        <v>1028692.7963788131</v>
      </c>
      <c r="AI552" s="2">
        <f t="shared" ca="1" si="529"/>
        <v>1030643.8579075177</v>
      </c>
      <c r="AJ552" s="2">
        <f t="shared" ca="1" si="530"/>
        <v>1032598.6199006391</v>
      </c>
      <c r="AK552" s="2">
        <f t="shared" ca="1" si="531"/>
        <v>0</v>
      </c>
      <c r="AL552" s="2">
        <f t="shared" ca="1" si="532"/>
        <v>971.84080105751752</v>
      </c>
      <c r="AM552" s="2">
        <f t="shared" ca="1" si="533"/>
        <v>973.68403472810985</v>
      </c>
      <c r="AN552" s="2">
        <f t="shared" ca="1" si="534"/>
        <v>975.53076435230673</v>
      </c>
      <c r="AO552" s="2">
        <f t="shared" ca="1" si="535"/>
        <v>977.38099656067789</v>
      </c>
      <c r="AP552" s="2">
        <f t="shared" ca="1" si="536"/>
        <v>2107797.0043290919</v>
      </c>
      <c r="AQ552" s="2">
        <f t="shared" ca="1" si="537"/>
        <v>849097.50316656404</v>
      </c>
      <c r="AR552" s="2">
        <f t="shared" ca="1" si="538"/>
        <v>877749.55294118822</v>
      </c>
      <c r="AS552" s="2">
        <f t="shared" ca="1" si="539"/>
        <v>880453.74045197328</v>
      </c>
      <c r="AT552" s="2">
        <f t="shared" ca="1" si="540"/>
        <v>883163.05683722626</v>
      </c>
      <c r="AU552" s="2">
        <f t="shared" ca="1" si="541"/>
        <v>885877.51182458375</v>
      </c>
      <c r="AV552" s="2">
        <f t="shared" ca="1" si="542"/>
        <v>2416662.1243971437</v>
      </c>
      <c r="AW552" s="2">
        <f t="shared" ca="1" si="543"/>
        <v>2497238.4252623245</v>
      </c>
      <c r="AX552" s="2">
        <f t="shared" ca="1" si="544"/>
        <v>2504933.1157131959</v>
      </c>
      <c r="AY552" s="2">
        <f t="shared" ca="1" si="545"/>
        <v>2512642.4002339067</v>
      </c>
      <c r="AZ552" s="2">
        <f t="shared" ca="1" si="546"/>
        <v>2520366.3065041779</v>
      </c>
      <c r="BA552" s="2">
        <f t="shared" ca="1" si="547"/>
        <v>52387487.778654464</v>
      </c>
      <c r="BB552" s="2">
        <f t="shared" ca="1" si="548"/>
        <v>1047749.7555730894</v>
      </c>
      <c r="BC552" s="2">
        <f t="shared" ca="1" si="549"/>
        <v>27919771.308313683</v>
      </c>
      <c r="BD552" s="2">
        <f t="shared" ca="1" si="550"/>
        <v>-17089143.089627117</v>
      </c>
      <c r="BE552" s="2">
        <f t="shared" ca="1" si="551"/>
        <v>2416662.1243971437</v>
      </c>
      <c r="BF552" s="2">
        <f t="shared" ca="1" si="552"/>
        <v>2497238.4252623245</v>
      </c>
      <c r="BG552" s="2">
        <f t="shared" ca="1" si="553"/>
        <v>2504933.1157131959</v>
      </c>
      <c r="BH552" s="2">
        <f t="shared" ca="1" si="554"/>
        <v>2512642.4002339067</v>
      </c>
      <c r="BI552" s="2">
        <f t="shared" ca="1" si="555"/>
        <v>30440137.614817861</v>
      </c>
      <c r="BJ552" s="2">
        <f t="shared" ca="1" si="556"/>
        <v>0.22608662858540973</v>
      </c>
      <c r="BK552" s="2">
        <f t="shared" ca="1" si="557"/>
        <v>7711717.2916085348</v>
      </c>
    </row>
    <row r="553" spans="1:63" x14ac:dyDescent="0.3">
      <c r="A553" s="2">
        <v>552</v>
      </c>
      <c r="B553" s="2">
        <f t="shared" ca="1" si="496"/>
        <v>0.75945930116030369</v>
      </c>
      <c r="C553" s="2">
        <f t="shared" ca="1" si="497"/>
        <v>7.3063996844872454</v>
      </c>
      <c r="D553" s="2">
        <f t="shared" ca="1" si="498"/>
        <v>0.35367827098743221</v>
      </c>
      <c r="E553" s="2">
        <f t="shared" ca="1" si="499"/>
        <v>7.3410449107954134</v>
      </c>
      <c r="F553" s="2">
        <f t="shared" ca="1" si="500"/>
        <v>4.5757147365965034E-2</v>
      </c>
      <c r="G553" s="2">
        <f t="shared" ca="1" si="501"/>
        <v>-1.0623899987440219E-2</v>
      </c>
      <c r="H553" s="2">
        <f t="shared" ca="1" si="502"/>
        <v>-1.0623899987440219E-2</v>
      </c>
      <c r="I553" s="2">
        <f t="shared" ca="1" si="503"/>
        <v>0.72025396130092156</v>
      </c>
      <c r="J553" s="2">
        <f t="shared" ca="1" si="504"/>
        <v>1.2917980554194047E-2</v>
      </c>
      <c r="K553" s="2">
        <f t="shared" ca="1" si="505"/>
        <v>1.2917980554194047E-2</v>
      </c>
      <c r="L553" s="2">
        <f t="shared" ca="1" si="506"/>
        <v>0.67768591995572502</v>
      </c>
      <c r="M553" s="2">
        <f t="shared" ca="1" si="507"/>
        <v>9.2247516710903237E-3</v>
      </c>
      <c r="N553" s="2">
        <f t="shared" ca="1" si="508"/>
        <v>9.2247516710903237E-3</v>
      </c>
      <c r="O553" s="2">
        <f t="shared" si="509"/>
        <v>6000000</v>
      </c>
      <c r="P553" s="2">
        <f t="shared" ca="1" si="510"/>
        <v>43838398.106923476</v>
      </c>
      <c r="Q553" s="2">
        <f t="shared" ca="1" si="511"/>
        <v>1095959.9526730869</v>
      </c>
      <c r="R553" s="2">
        <f t="shared" ca="1" si="512"/>
        <v>26303038.864154086</v>
      </c>
      <c r="S553" s="2">
        <f t="shared" ca="1" si="513"/>
        <v>17535359.24276939</v>
      </c>
      <c r="T553" s="2">
        <f t="shared" ca="1" si="514"/>
        <v>50461237.583554521</v>
      </c>
      <c r="U553" s="2">
        <f t="shared" ca="1" si="515"/>
        <v>49925142.442224383</v>
      </c>
      <c r="V553" s="2">
        <f t="shared" ca="1" si="516"/>
        <v>49394742.722059488</v>
      </c>
      <c r="W553" s="2">
        <f t="shared" ca="1" si="517"/>
        <v>48869977.915474989</v>
      </c>
      <c r="X553" s="2">
        <f t="shared" ca="1" si="518"/>
        <v>48350788.157712571</v>
      </c>
      <c r="Y553" s="2">
        <f t="shared" ca="1" si="519"/>
        <v>0.12645899027709701</v>
      </c>
      <c r="Z553" s="2">
        <f t="shared" ca="1" si="520"/>
        <v>0.12904258638793584</v>
      </c>
      <c r="AA553" s="2">
        <f t="shared" ca="1" si="521"/>
        <v>6381277.1529490035</v>
      </c>
      <c r="AB553" s="2">
        <f t="shared" ca="1" si="522"/>
        <v>6442469.5065307422</v>
      </c>
      <c r="AC553" s="2">
        <f t="shared" ca="1" si="523"/>
        <v>6374025.3548212266</v>
      </c>
      <c r="AD553" s="2">
        <f t="shared" ca="1" si="524"/>
        <v>6306308.3469341975</v>
      </c>
      <c r="AE553" s="2">
        <f t="shared" ca="1" si="525"/>
        <v>6239310.7577664098</v>
      </c>
      <c r="AF553" s="2">
        <f t="shared" ca="1" si="526"/>
        <v>1009224.7516710905</v>
      </c>
      <c r="AG553" s="2">
        <f t="shared" ca="1" si="527"/>
        <v>998502.84884448769</v>
      </c>
      <c r="AH553" s="2">
        <f t="shared" ca="1" si="528"/>
        <v>987894.85444118979</v>
      </c>
      <c r="AI553" s="2">
        <f t="shared" ca="1" si="529"/>
        <v>977399.55830949976</v>
      </c>
      <c r="AJ553" s="2">
        <f t="shared" ca="1" si="530"/>
        <v>967015.7631542515</v>
      </c>
      <c r="AK553" s="2">
        <f t="shared" ca="1" si="531"/>
        <v>0</v>
      </c>
      <c r="AL553" s="2">
        <f t="shared" ca="1" si="532"/>
        <v>0</v>
      </c>
      <c r="AM553" s="2">
        <f t="shared" ca="1" si="533"/>
        <v>0</v>
      </c>
      <c r="AN553" s="2">
        <f t="shared" ca="1" si="534"/>
        <v>0</v>
      </c>
      <c r="AO553" s="2">
        <f t="shared" ca="1" si="535"/>
        <v>0</v>
      </c>
      <c r="AP553" s="2">
        <f t="shared" ca="1" si="536"/>
        <v>2367273.4977738676</v>
      </c>
      <c r="AQ553" s="2">
        <f t="shared" ca="1" si="537"/>
        <v>781242.51491105184</v>
      </c>
      <c r="AR553" s="2">
        <f t="shared" ca="1" si="538"/>
        <v>799940.22157722048</v>
      </c>
      <c r="AS553" s="2">
        <f t="shared" ca="1" si="539"/>
        <v>784902.82067760394</v>
      </c>
      <c r="AT553" s="2">
        <f t="shared" ca="1" si="540"/>
        <v>770025.17562121572</v>
      </c>
      <c r="AU553" s="2">
        <f t="shared" ca="1" si="541"/>
        <v>755305.58917795564</v>
      </c>
      <c r="AV553" s="2">
        <f t="shared" ca="1" si="542"/>
        <v>2223536.3885929934</v>
      </c>
      <c r="AW553" s="2">
        <f t="shared" ca="1" si="543"/>
        <v>2276752.9383351658</v>
      </c>
      <c r="AX553" s="2">
        <f t="shared" ca="1" si="544"/>
        <v>2233954.1819285653</v>
      </c>
      <c r="AY553" s="2">
        <f t="shared" ca="1" si="545"/>
        <v>2191610.1152296136</v>
      </c>
      <c r="AZ553" s="2">
        <f t="shared" ca="1" si="546"/>
        <v>2149715.9076603348</v>
      </c>
      <c r="BA553" s="2">
        <f t="shared" ca="1" si="547"/>
        <v>45803060.485172175</v>
      </c>
      <c r="BB553" s="2">
        <f t="shared" ca="1" si="548"/>
        <v>916061.20970344357</v>
      </c>
      <c r="BC553" s="2">
        <f t="shared" ca="1" si="549"/>
        <v>18583960.411314644</v>
      </c>
      <c r="BD553" s="2">
        <f t="shared" ca="1" si="550"/>
        <v>-19131319.195442475</v>
      </c>
      <c r="BE553" s="2">
        <f t="shared" ca="1" si="551"/>
        <v>2223536.3885929934</v>
      </c>
      <c r="BF553" s="2">
        <f t="shared" ca="1" si="552"/>
        <v>2276752.9383351658</v>
      </c>
      <c r="BG553" s="2">
        <f t="shared" ca="1" si="553"/>
        <v>2233954.1819285653</v>
      </c>
      <c r="BH553" s="2">
        <f t="shared" ca="1" si="554"/>
        <v>2191610.1152296136</v>
      </c>
      <c r="BI553" s="2">
        <f t="shared" ca="1" si="555"/>
        <v>20733676.318974979</v>
      </c>
      <c r="BJ553" s="2">
        <f t="shared" ca="1" si="556"/>
        <v>0.1114485599416577</v>
      </c>
      <c r="BK553" s="2">
        <f t="shared" ca="1" si="557"/>
        <v>-583268.27392396703</v>
      </c>
    </row>
    <row r="554" spans="1:63" x14ac:dyDescent="0.3">
      <c r="A554" s="2">
        <v>553</v>
      </c>
      <c r="B554" s="2">
        <f t="shared" ca="1" si="496"/>
        <v>0.83313156933118326</v>
      </c>
      <c r="C554" s="2">
        <f t="shared" ca="1" si="497"/>
        <v>7.4223003710078794</v>
      </c>
      <c r="D554" s="2">
        <f t="shared" ca="1" si="498"/>
        <v>0.59644788623591449</v>
      </c>
      <c r="E554" s="2">
        <f t="shared" ca="1" si="499"/>
        <v>7.6016102029028989</v>
      </c>
      <c r="F554" s="2">
        <f t="shared" ca="1" si="500"/>
        <v>0.52960341084031937</v>
      </c>
      <c r="G554" s="2">
        <f t="shared" ca="1" si="501"/>
        <v>4.222818933027167E-2</v>
      </c>
      <c r="H554" s="2">
        <f t="shared" ca="1" si="502"/>
        <v>4.222818933027167E-2</v>
      </c>
      <c r="I554" s="2">
        <f t="shared" ca="1" si="503"/>
        <v>0.44648649475969271</v>
      </c>
      <c r="J554" s="2">
        <f t="shared" ca="1" si="504"/>
        <v>9.3272835989385659E-3</v>
      </c>
      <c r="K554" s="2">
        <f t="shared" ca="1" si="505"/>
        <v>9.3272835989385659E-3</v>
      </c>
      <c r="L554" s="2">
        <f t="shared" ca="1" si="506"/>
        <v>0.8638821418075997</v>
      </c>
      <c r="M554" s="2">
        <f t="shared" ca="1" si="507"/>
        <v>2.1958569794973209E-2</v>
      </c>
      <c r="N554" s="2">
        <f t="shared" ca="1" si="508"/>
        <v>2.1958569794973209E-2</v>
      </c>
      <c r="O554" s="2">
        <f t="shared" si="509"/>
        <v>6000000</v>
      </c>
      <c r="P554" s="2">
        <f t="shared" ca="1" si="510"/>
        <v>44533802.226047277</v>
      </c>
      <c r="Q554" s="2">
        <f t="shared" ca="1" si="511"/>
        <v>1113345.0556511821</v>
      </c>
      <c r="R554" s="2">
        <f t="shared" ca="1" si="512"/>
        <v>26720281.335628364</v>
      </c>
      <c r="S554" s="2">
        <f t="shared" ca="1" si="513"/>
        <v>17813520.890418913</v>
      </c>
      <c r="T554" s="2">
        <f t="shared" ca="1" si="514"/>
        <v>51097928.489748657</v>
      </c>
      <c r="U554" s="2">
        <f t="shared" ca="1" si="515"/>
        <v>53255701.48839844</v>
      </c>
      <c r="V554" s="2">
        <f t="shared" ca="1" si="516"/>
        <v>55504593.33376696</v>
      </c>
      <c r="W554" s="2">
        <f t="shared" ca="1" si="517"/>
        <v>57848451.809765004</v>
      </c>
      <c r="X554" s="2">
        <f t="shared" ca="1" si="518"/>
        <v>60291287.185250856</v>
      </c>
      <c r="Y554" s="2">
        <f t="shared" ca="1" si="519"/>
        <v>0.12466364179946927</v>
      </c>
      <c r="Z554" s="2">
        <f t="shared" ca="1" si="520"/>
        <v>0.12652909851925698</v>
      </c>
      <c r="AA554" s="2">
        <f t="shared" ca="1" si="521"/>
        <v>6370053.8539409228</v>
      </c>
      <c r="AB554" s="2">
        <f t="shared" ca="1" si="522"/>
        <v>6738395.9003377063</v>
      </c>
      <c r="AC554" s="2">
        <f t="shared" ca="1" si="523"/>
        <v>7022946.1581994938</v>
      </c>
      <c r="AD554" s="2">
        <f t="shared" ca="1" si="524"/>
        <v>7319512.4582242453</v>
      </c>
      <c r="AE554" s="2">
        <f t="shared" ca="1" si="525"/>
        <v>7628602.2161154216</v>
      </c>
      <c r="AF554" s="2">
        <f t="shared" ca="1" si="526"/>
        <v>1021958.5697949731</v>
      </c>
      <c r="AG554" s="2">
        <f t="shared" ca="1" si="527"/>
        <v>1065114.0297679689</v>
      </c>
      <c r="AH554" s="2">
        <f t="shared" ca="1" si="528"/>
        <v>1110091.8666753392</v>
      </c>
      <c r="AI554" s="2">
        <f t="shared" ca="1" si="529"/>
        <v>1156969.0361953001</v>
      </c>
      <c r="AJ554" s="2">
        <f t="shared" ca="1" si="530"/>
        <v>1205825.7437050173</v>
      </c>
      <c r="AK554" s="2">
        <f t="shared" ca="1" si="531"/>
        <v>0</v>
      </c>
      <c r="AL554" s="2">
        <f t="shared" ca="1" si="532"/>
        <v>21577.729986497834</v>
      </c>
      <c r="AM554" s="2">
        <f t="shared" ca="1" si="533"/>
        <v>22488.918453685194</v>
      </c>
      <c r="AN554" s="2">
        <f t="shared" ca="1" si="534"/>
        <v>23438.58475998044</v>
      </c>
      <c r="AO554" s="2">
        <f t="shared" ca="1" si="535"/>
        <v>24428.353754858523</v>
      </c>
      <c r="AP554" s="2">
        <f t="shared" ca="1" si="536"/>
        <v>2404825.3202065527</v>
      </c>
      <c r="AQ554" s="2">
        <f t="shared" ca="1" si="537"/>
        <v>765250.19062424311</v>
      </c>
      <c r="AR554" s="2">
        <f t="shared" ca="1" si="538"/>
        <v>849798.70309442806</v>
      </c>
      <c r="AS554" s="2">
        <f t="shared" ca="1" si="539"/>
        <v>912087.53254257666</v>
      </c>
      <c r="AT554" s="2">
        <f t="shared" ca="1" si="540"/>
        <v>977006.70647382224</v>
      </c>
      <c r="AU554" s="2">
        <f t="shared" ca="1" si="541"/>
        <v>1044667.2995730015</v>
      </c>
      <c r="AV554" s="2">
        <f t="shared" ca="1" si="542"/>
        <v>2178019.773315154</v>
      </c>
      <c r="AW554" s="2">
        <f t="shared" ca="1" si="543"/>
        <v>2397080.1172822583</v>
      </c>
      <c r="AX554" s="2">
        <f t="shared" ca="1" si="544"/>
        <v>2573452.5203213403</v>
      </c>
      <c r="AY554" s="2">
        <f t="shared" ca="1" si="545"/>
        <v>2757272.8105885908</v>
      </c>
      <c r="AZ554" s="2">
        <f t="shared" ca="1" si="546"/>
        <v>2948855.4988759914</v>
      </c>
      <c r="BA554" s="2">
        <f t="shared" ca="1" si="547"/>
        <v>57989660.439910658</v>
      </c>
      <c r="BB554" s="2">
        <f t="shared" ca="1" si="548"/>
        <v>1159793.2087982132</v>
      </c>
      <c r="BC554" s="2">
        <f t="shared" ca="1" si="549"/>
        <v>30109585.895484079</v>
      </c>
      <c r="BD554" s="2">
        <f t="shared" ca="1" si="550"/>
        <v>-19426865.946070094</v>
      </c>
      <c r="BE554" s="2">
        <f t="shared" ca="1" si="551"/>
        <v>2178019.773315154</v>
      </c>
      <c r="BF554" s="2">
        <f t="shared" ca="1" si="552"/>
        <v>2397080.1172822583</v>
      </c>
      <c r="BG554" s="2">
        <f t="shared" ca="1" si="553"/>
        <v>2573452.5203213403</v>
      </c>
      <c r="BH554" s="2">
        <f t="shared" ca="1" si="554"/>
        <v>2757272.8105885908</v>
      </c>
      <c r="BI554" s="2">
        <f t="shared" ca="1" si="555"/>
        <v>33058441.394360069</v>
      </c>
      <c r="BJ554" s="2">
        <f t="shared" ca="1" si="556"/>
        <v>0.20233137400698453</v>
      </c>
      <c r="BK554" s="2">
        <f t="shared" ca="1" si="557"/>
        <v>6771009.0055479705</v>
      </c>
    </row>
    <row r="555" spans="1:63" x14ac:dyDescent="0.3">
      <c r="A555" s="2">
        <v>554</v>
      </c>
      <c r="B555" s="2">
        <f t="shared" ca="1" si="496"/>
        <v>0.98627634736338521</v>
      </c>
      <c r="C555" s="2">
        <f t="shared" ca="1" si="497"/>
        <v>7.8343277172450696</v>
      </c>
      <c r="D555" s="2">
        <f t="shared" ca="1" si="498"/>
        <v>0.67237358358310206</v>
      </c>
      <c r="E555" s="2">
        <f t="shared" ca="1" si="499"/>
        <v>7.6905231116123227</v>
      </c>
      <c r="F555" s="2">
        <f t="shared" ca="1" si="500"/>
        <v>0.86089049110617022</v>
      </c>
      <c r="G555" s="2">
        <f t="shared" ca="1" si="501"/>
        <v>7.2529865517152126E-2</v>
      </c>
      <c r="H555" s="2">
        <f t="shared" ca="1" si="502"/>
        <v>7.2529865517152126E-2</v>
      </c>
      <c r="I555" s="2">
        <f t="shared" ca="1" si="503"/>
        <v>0.22298609097498656</v>
      </c>
      <c r="J555" s="2">
        <f t="shared" ca="1" si="504"/>
        <v>6.1892642269128191E-3</v>
      </c>
      <c r="K555" s="2">
        <f t="shared" ca="1" si="505"/>
        <v>6.1892642269128191E-3</v>
      </c>
      <c r="L555" s="2">
        <f t="shared" ca="1" si="506"/>
        <v>7.3215811226096772E-2</v>
      </c>
      <c r="M555" s="2">
        <f t="shared" ca="1" si="507"/>
        <v>-2.9045034692460305E-2</v>
      </c>
      <c r="N555" s="2">
        <f t="shared" ca="1" si="508"/>
        <v>-2.9045034692460305E-2</v>
      </c>
      <c r="O555" s="2">
        <f t="shared" si="509"/>
        <v>6000000</v>
      </c>
      <c r="P555" s="2">
        <f t="shared" ca="1" si="510"/>
        <v>47005966.303470418</v>
      </c>
      <c r="Q555" s="2">
        <f t="shared" ca="1" si="511"/>
        <v>1175149.1575867606</v>
      </c>
      <c r="R555" s="2">
        <f t="shared" ca="1" si="512"/>
        <v>28203579.782082248</v>
      </c>
      <c r="S555" s="2">
        <f t="shared" ca="1" si="513"/>
        <v>18802386.521388169</v>
      </c>
      <c r="T555" s="2">
        <f t="shared" ca="1" si="514"/>
        <v>48547748.265376985</v>
      </c>
      <c r="U555" s="2">
        <f t="shared" ca="1" si="515"/>
        <v>52068909.918225326</v>
      </c>
      <c r="V555" s="2">
        <f t="shared" ca="1" si="516"/>
        <v>55845460.952218913</v>
      </c>
      <c r="W555" s="2">
        <f t="shared" ca="1" si="517"/>
        <v>59895924.724826716</v>
      </c>
      <c r="X555" s="2">
        <f t="shared" ca="1" si="518"/>
        <v>64240168.090143859</v>
      </c>
      <c r="Y555" s="2">
        <f t="shared" ca="1" si="519"/>
        <v>0.12309463211345641</v>
      </c>
      <c r="Z555" s="2">
        <f t="shared" ca="1" si="520"/>
        <v>0.12433248495883897</v>
      </c>
      <c r="AA555" s="2">
        <f t="shared" ca="1" si="521"/>
        <v>5975967.2126632715</v>
      </c>
      <c r="AB555" s="2">
        <f t="shared" ca="1" si="522"/>
        <v>6473856.9592308914</v>
      </c>
      <c r="AC555" s="2">
        <f t="shared" ca="1" si="523"/>
        <v>6943404.9338611867</v>
      </c>
      <c r="AD555" s="2">
        <f t="shared" ca="1" si="524"/>
        <v>7447009.1599452691</v>
      </c>
      <c r="AE555" s="2">
        <f t="shared" ca="1" si="525"/>
        <v>7987139.7328210985</v>
      </c>
      <c r="AF555" s="2">
        <f t="shared" ca="1" si="526"/>
        <v>970954.96530753968</v>
      </c>
      <c r="AG555" s="2">
        <f t="shared" ca="1" si="527"/>
        <v>1041378.1983645066</v>
      </c>
      <c r="AH555" s="2">
        <f t="shared" ca="1" si="528"/>
        <v>1116909.2190443783</v>
      </c>
      <c r="AI555" s="2">
        <f t="shared" ca="1" si="529"/>
        <v>1197918.4944965343</v>
      </c>
      <c r="AJ555" s="2">
        <f t="shared" ca="1" si="530"/>
        <v>1284803.3618028772</v>
      </c>
      <c r="AK555" s="2">
        <f t="shared" ca="1" si="531"/>
        <v>0</v>
      </c>
      <c r="AL555" s="2">
        <f t="shared" ca="1" si="532"/>
        <v>35211.616528483406</v>
      </c>
      <c r="AM555" s="2">
        <f t="shared" ca="1" si="533"/>
        <v>37765.51033993587</v>
      </c>
      <c r="AN555" s="2">
        <f t="shared" ca="1" si="534"/>
        <v>40504.637726078035</v>
      </c>
      <c r="AO555" s="2">
        <f t="shared" ca="1" si="535"/>
        <v>43442.433653171436</v>
      </c>
      <c r="AP555" s="2">
        <f t="shared" ca="1" si="536"/>
        <v>2538322.1803874024</v>
      </c>
      <c r="AQ555" s="2">
        <f t="shared" ca="1" si="537"/>
        <v>641339.41741176578</v>
      </c>
      <c r="AR555" s="2">
        <f t="shared" ca="1" si="538"/>
        <v>752480.71092453552</v>
      </c>
      <c r="AS555" s="2">
        <f t="shared" ca="1" si="539"/>
        <v>854925.11895164568</v>
      </c>
      <c r="AT555" s="2">
        <f t="shared" ca="1" si="540"/>
        <v>964799.80611594638</v>
      </c>
      <c r="AU555" s="2">
        <f t="shared" ca="1" si="541"/>
        <v>1082643.6895640129</v>
      </c>
      <c r="AV555" s="2">
        <f t="shared" ca="1" si="542"/>
        <v>1825350.6495565637</v>
      </c>
      <c r="AW555" s="2">
        <f t="shared" ca="1" si="543"/>
        <v>2106464.2530259634</v>
      </c>
      <c r="AX555" s="2">
        <f t="shared" ca="1" si="544"/>
        <v>2395482.9051378244</v>
      </c>
      <c r="AY555" s="2">
        <f t="shared" ca="1" si="545"/>
        <v>2705464.0412193076</v>
      </c>
      <c r="AZ555" s="2">
        <f t="shared" ca="1" si="546"/>
        <v>3037928.0674136351</v>
      </c>
      <c r="BA555" s="2">
        <f t="shared" ca="1" si="547"/>
        <v>61425282.710937731</v>
      </c>
      <c r="BB555" s="2">
        <f t="shared" ca="1" si="548"/>
        <v>1228505.6542187547</v>
      </c>
      <c r="BC555" s="2">
        <f t="shared" ca="1" si="549"/>
        <v>31993197.274636727</v>
      </c>
      <c r="BD555" s="2">
        <f t="shared" ca="1" si="550"/>
        <v>-20477535.67897493</v>
      </c>
      <c r="BE555" s="2">
        <f t="shared" ca="1" si="551"/>
        <v>1825350.6495565637</v>
      </c>
      <c r="BF555" s="2">
        <f t="shared" ca="1" si="552"/>
        <v>2106464.2530259634</v>
      </c>
      <c r="BG555" s="2">
        <f t="shared" ca="1" si="553"/>
        <v>2395482.9051378244</v>
      </c>
      <c r="BH555" s="2">
        <f t="shared" ca="1" si="554"/>
        <v>2705464.0412193076</v>
      </c>
      <c r="BI555" s="2">
        <f t="shared" ca="1" si="555"/>
        <v>35031125.342050359</v>
      </c>
      <c r="BJ555" s="2">
        <f t="shared" ca="1" si="556"/>
        <v>0.18992258552594166</v>
      </c>
      <c r="BK555" s="2">
        <f t="shared" ca="1" si="557"/>
        <v>6133532.1221375763</v>
      </c>
    </row>
    <row r="556" spans="1:63" x14ac:dyDescent="0.3">
      <c r="A556" s="2">
        <v>555</v>
      </c>
      <c r="B556" s="2">
        <f t="shared" ca="1" si="496"/>
        <v>3.1379853717410144E-2</v>
      </c>
      <c r="C556" s="2">
        <f t="shared" ca="1" si="497"/>
        <v>6.250518876404195</v>
      </c>
      <c r="D556" s="2">
        <f t="shared" ca="1" si="498"/>
        <v>0.25475426578180216</v>
      </c>
      <c r="E556" s="2">
        <f t="shared" ca="1" si="499"/>
        <v>7.213798663184237</v>
      </c>
      <c r="F556" s="2">
        <f t="shared" ca="1" si="500"/>
        <v>0.88003702576183684</v>
      </c>
      <c r="G556" s="2">
        <f t="shared" ca="1" si="501"/>
        <v>7.5255157106202314E-2</v>
      </c>
      <c r="H556" s="2">
        <f t="shared" ca="1" si="502"/>
        <v>7.5255157106202314E-2</v>
      </c>
      <c r="I556" s="2">
        <f t="shared" ca="1" si="503"/>
        <v>0.86204752897301951</v>
      </c>
      <c r="J556" s="2">
        <f t="shared" ca="1" si="504"/>
        <v>1.544782347525904E-2</v>
      </c>
      <c r="K556" s="2">
        <f t="shared" ca="1" si="505"/>
        <v>1.544782347525904E-2</v>
      </c>
      <c r="L556" s="2">
        <f t="shared" ca="1" si="506"/>
        <v>9.5663003139355829E-2</v>
      </c>
      <c r="M556" s="2">
        <f t="shared" ca="1" si="507"/>
        <v>-2.6133329678058172E-2</v>
      </c>
      <c r="N556" s="2">
        <f t="shared" ca="1" si="508"/>
        <v>-2.6133329678058172E-2</v>
      </c>
      <c r="O556" s="2">
        <f t="shared" si="509"/>
        <v>6000000</v>
      </c>
      <c r="P556" s="2">
        <f t="shared" ca="1" si="510"/>
        <v>37503113.258425169</v>
      </c>
      <c r="Q556" s="2">
        <f t="shared" ca="1" si="511"/>
        <v>937577.83146062924</v>
      </c>
      <c r="R556" s="2">
        <f t="shared" ca="1" si="512"/>
        <v>22501867.955055099</v>
      </c>
      <c r="S556" s="2">
        <f t="shared" ca="1" si="513"/>
        <v>15001245.303370068</v>
      </c>
      <c r="T556" s="2">
        <f t="shared" ca="1" si="514"/>
        <v>48693333.516097091</v>
      </c>
      <c r="U556" s="2">
        <f t="shared" ca="1" si="515"/>
        <v>52357757.979875684</v>
      </c>
      <c r="V556" s="2">
        <f t="shared" ca="1" si="516"/>
        <v>56297949.282379746</v>
      </c>
      <c r="W556" s="2">
        <f t="shared" ca="1" si="517"/>
        <v>60534660.300382249</v>
      </c>
      <c r="X556" s="2">
        <f t="shared" ca="1" si="518"/>
        <v>65090205.671658106</v>
      </c>
      <c r="Y556" s="2">
        <f t="shared" ca="1" si="519"/>
        <v>0.12772391173762951</v>
      </c>
      <c r="Z556" s="2">
        <f t="shared" ca="1" si="520"/>
        <v>0.13081347643268132</v>
      </c>
      <c r="AA556" s="2">
        <f t="shared" ca="1" si="521"/>
        <v>6219303.032220942</v>
      </c>
      <c r="AB556" s="2">
        <f t="shared" ca="1" si="522"/>
        <v>6849100.3395685004</v>
      </c>
      <c r="AC556" s="2">
        <f t="shared" ca="1" si="523"/>
        <v>7364530.4616588708</v>
      </c>
      <c r="AD556" s="2">
        <f t="shared" ca="1" si="524"/>
        <v>7918749.3585644225</v>
      </c>
      <c r="AE556" s="2">
        <f t="shared" ca="1" si="525"/>
        <v>8514676.0856278278</v>
      </c>
      <c r="AF556" s="2">
        <f t="shared" ca="1" si="526"/>
        <v>973866.67032194184</v>
      </c>
      <c r="AG556" s="2">
        <f t="shared" ca="1" si="527"/>
        <v>1047155.1595975137</v>
      </c>
      <c r="AH556" s="2">
        <f t="shared" ca="1" si="528"/>
        <v>1125958.985647595</v>
      </c>
      <c r="AI556" s="2">
        <f t="shared" ca="1" si="529"/>
        <v>1210693.206007645</v>
      </c>
      <c r="AJ556" s="2">
        <f t="shared" ca="1" si="530"/>
        <v>1301804.1134331622</v>
      </c>
      <c r="AK556" s="2">
        <f t="shared" ca="1" si="531"/>
        <v>0</v>
      </c>
      <c r="AL556" s="2">
        <f t="shared" ca="1" si="532"/>
        <v>36644.244637785931</v>
      </c>
      <c r="AM556" s="2">
        <f t="shared" ca="1" si="533"/>
        <v>39401.913025040631</v>
      </c>
      <c r="AN556" s="2">
        <f t="shared" ca="1" si="534"/>
        <v>42367.110180025025</v>
      </c>
      <c r="AO556" s="2">
        <f t="shared" ca="1" si="535"/>
        <v>45555.453712758572</v>
      </c>
      <c r="AP556" s="2">
        <f t="shared" ca="1" si="536"/>
        <v>2025168.1159549588</v>
      </c>
      <c r="AQ556" s="2">
        <f t="shared" ca="1" si="537"/>
        <v>837269.74394545064</v>
      </c>
      <c r="AR556" s="2">
        <f t="shared" ca="1" si="538"/>
        <v>981962.03664416738</v>
      </c>
      <c r="AS556" s="2">
        <f t="shared" ca="1" si="539"/>
        <v>1095484.8736146425</v>
      </c>
      <c r="AT556" s="2">
        <f t="shared" ca="1" si="540"/>
        <v>1217550.8895164728</v>
      </c>
      <c r="AU556" s="2">
        <f t="shared" ca="1" si="541"/>
        <v>1348803.0026223238</v>
      </c>
      <c r="AV556" s="2">
        <f t="shared" ca="1" si="542"/>
        <v>2382998.5019985903</v>
      </c>
      <c r="AW556" s="2">
        <f t="shared" ca="1" si="543"/>
        <v>2758170.7827340756</v>
      </c>
      <c r="AX556" s="2">
        <f t="shared" ca="1" si="544"/>
        <v>3078516.5734166345</v>
      </c>
      <c r="AY556" s="2">
        <f t="shared" ca="1" si="545"/>
        <v>3422970.0369053204</v>
      </c>
      <c r="AZ556" s="2">
        <f t="shared" ca="1" si="546"/>
        <v>3793345.3999046246</v>
      </c>
      <c r="BA556" s="2">
        <f t="shared" ca="1" si="547"/>
        <v>61423158.963948816</v>
      </c>
      <c r="BB556" s="2">
        <f t="shared" ca="1" si="548"/>
        <v>1228463.1792789763</v>
      </c>
      <c r="BC556" s="2">
        <f t="shared" ca="1" si="549"/>
        <v>37692827.829614736</v>
      </c>
      <c r="BD556" s="2">
        <f t="shared" ca="1" si="550"/>
        <v>-16438823.134830697</v>
      </c>
      <c r="BE556" s="2">
        <f t="shared" ca="1" si="551"/>
        <v>2382998.5019985903</v>
      </c>
      <c r="BF556" s="2">
        <f t="shared" ca="1" si="552"/>
        <v>2758170.7827340756</v>
      </c>
      <c r="BG556" s="2">
        <f t="shared" ca="1" si="553"/>
        <v>3078516.5734166345</v>
      </c>
      <c r="BH556" s="2">
        <f t="shared" ca="1" si="554"/>
        <v>3422970.0369053204</v>
      </c>
      <c r="BI556" s="2">
        <f t="shared" ca="1" si="555"/>
        <v>41486173.22951936</v>
      </c>
      <c r="BJ556" s="2">
        <f t="shared" ca="1" si="556"/>
        <v>0.31534618907033374</v>
      </c>
      <c r="BK556" s="2">
        <f t="shared" ca="1" si="557"/>
        <v>15794606.421571186</v>
      </c>
    </row>
    <row r="557" spans="1:63" x14ac:dyDescent="0.3">
      <c r="A557" s="2">
        <v>556</v>
      </c>
      <c r="B557" s="2">
        <f t="shared" ca="1" si="496"/>
        <v>0.61672120202421365</v>
      </c>
      <c r="C557" s="2">
        <f t="shared" ca="1" si="497"/>
        <v>7.1244672502118656</v>
      </c>
      <c r="D557" s="2">
        <f t="shared" ca="1" si="498"/>
        <v>0.43658824722025158</v>
      </c>
      <c r="E557" s="2">
        <f t="shared" ca="1" si="499"/>
        <v>7.4344391336200033</v>
      </c>
      <c r="F557" s="2">
        <f t="shared" ca="1" si="500"/>
        <v>0.44862528265985502</v>
      </c>
      <c r="G557" s="2">
        <f t="shared" ca="1" si="501"/>
        <v>3.6125940045859568E-2</v>
      </c>
      <c r="H557" s="2">
        <f t="shared" ca="1" si="502"/>
        <v>3.6125940045859568E-2</v>
      </c>
      <c r="I557" s="2">
        <f t="shared" ca="1" si="503"/>
        <v>0.27436681099672777</v>
      </c>
      <c r="J557" s="2">
        <f t="shared" ca="1" si="504"/>
        <v>7.0017057806075218E-3</v>
      </c>
      <c r="K557" s="2">
        <f t="shared" ca="1" si="505"/>
        <v>7.0017057806075218E-3</v>
      </c>
      <c r="L557" s="2">
        <f t="shared" ca="1" si="506"/>
        <v>0.25097335728867476</v>
      </c>
      <c r="M557" s="2">
        <f t="shared" ca="1" si="507"/>
        <v>-1.3428597621611416E-2</v>
      </c>
      <c r="N557" s="2">
        <f t="shared" ca="1" si="508"/>
        <v>-1.3428597621611416E-2</v>
      </c>
      <c r="O557" s="2">
        <f t="shared" si="509"/>
        <v>6000000</v>
      </c>
      <c r="P557" s="2">
        <f t="shared" ca="1" si="510"/>
        <v>42746803.501271196</v>
      </c>
      <c r="Q557" s="2">
        <f t="shared" ca="1" si="511"/>
        <v>1068670.0875317799</v>
      </c>
      <c r="R557" s="2">
        <f t="shared" ca="1" si="512"/>
        <v>25648082.100762717</v>
      </c>
      <c r="S557" s="2">
        <f t="shared" ca="1" si="513"/>
        <v>17098721.400508478</v>
      </c>
      <c r="T557" s="2">
        <f t="shared" ca="1" si="514"/>
        <v>49328570.118919432</v>
      </c>
      <c r="U557" s="2">
        <f t="shared" ca="1" si="515"/>
        <v>51110611.085583493</v>
      </c>
      <c r="V557" s="2">
        <f t="shared" ca="1" si="516"/>
        <v>52957029.95736853</v>
      </c>
      <c r="W557" s="2">
        <f t="shared" ca="1" si="517"/>
        <v>54870152.446615212</v>
      </c>
      <c r="X557" s="2">
        <f t="shared" ca="1" si="518"/>
        <v>56852388.284208804</v>
      </c>
      <c r="Y557" s="2">
        <f t="shared" ca="1" si="519"/>
        <v>0.12350085289030376</v>
      </c>
      <c r="Z557" s="2">
        <f t="shared" ca="1" si="520"/>
        <v>0.12490119404642526</v>
      </c>
      <c r="AA557" s="2">
        <f t="shared" ca="1" si="521"/>
        <v>6092120.4815457026</v>
      </c>
      <c r="AB557" s="2">
        <f t="shared" ca="1" si="522"/>
        <v>6383776.3530318383</v>
      </c>
      <c r="AC557" s="2">
        <f t="shared" ca="1" si="523"/>
        <v>6614396.2748276424</v>
      </c>
      <c r="AD557" s="2">
        <f t="shared" ca="1" si="524"/>
        <v>6853347.5580916218</v>
      </c>
      <c r="AE557" s="2">
        <f t="shared" ca="1" si="525"/>
        <v>7100931.1810886776</v>
      </c>
      <c r="AF557" s="2">
        <f t="shared" ca="1" si="526"/>
        <v>986571.40237838868</v>
      </c>
      <c r="AG557" s="2">
        <f t="shared" ca="1" si="527"/>
        <v>1022212.2217116699</v>
      </c>
      <c r="AH557" s="2">
        <f t="shared" ca="1" si="528"/>
        <v>1059140.5991473706</v>
      </c>
      <c r="AI557" s="2">
        <f t="shared" ca="1" si="529"/>
        <v>1097403.0489323041</v>
      </c>
      <c r="AJ557" s="2">
        <f t="shared" ca="1" si="530"/>
        <v>1137047.765684176</v>
      </c>
      <c r="AK557" s="2">
        <f t="shared" ca="1" si="531"/>
        <v>0</v>
      </c>
      <c r="AL557" s="2">
        <f t="shared" ca="1" si="532"/>
        <v>17820.409666640611</v>
      </c>
      <c r="AM557" s="2">
        <f t="shared" ca="1" si="533"/>
        <v>18464.188717850371</v>
      </c>
      <c r="AN557" s="2">
        <f t="shared" ca="1" si="534"/>
        <v>19131.224892466813</v>
      </c>
      <c r="AO557" s="2">
        <f t="shared" ca="1" si="535"/>
        <v>19822.358375935928</v>
      </c>
      <c r="AP557" s="2">
        <f t="shared" ca="1" si="536"/>
        <v>2308327.3890686445</v>
      </c>
      <c r="AQ557" s="2">
        <f t="shared" ca="1" si="537"/>
        <v>727277.63942565408</v>
      </c>
      <c r="AR557" s="2">
        <f t="shared" ca="1" si="538"/>
        <v>793841.55298539624</v>
      </c>
      <c r="AS557" s="2">
        <f t="shared" ca="1" si="539"/>
        <v>844201.35451902321</v>
      </c>
      <c r="AT557" s="2">
        <f t="shared" ca="1" si="540"/>
        <v>896380.45122357493</v>
      </c>
      <c r="AU557" s="2">
        <f t="shared" ca="1" si="541"/>
        <v>950444.56684732286</v>
      </c>
      <c r="AV557" s="2">
        <f t="shared" ca="1" si="542"/>
        <v>2069944.0506730154</v>
      </c>
      <c r="AW557" s="2">
        <f t="shared" ca="1" si="543"/>
        <v>2241574.7795994869</v>
      </c>
      <c r="AX557" s="2">
        <f t="shared" ca="1" si="544"/>
        <v>2384262.7433747537</v>
      </c>
      <c r="AY557" s="2">
        <f t="shared" ca="1" si="545"/>
        <v>2532105.4439746309</v>
      </c>
      <c r="AZ557" s="2">
        <f t="shared" ca="1" si="546"/>
        <v>2685289.1011125986</v>
      </c>
      <c r="BA557" s="2">
        <f t="shared" ca="1" si="547"/>
        <v>52791440.657828175</v>
      </c>
      <c r="BB557" s="2">
        <f t="shared" ca="1" si="548"/>
        <v>1055828.8131565636</v>
      </c>
      <c r="BC557" s="2">
        <f t="shared" ca="1" si="549"/>
        <v>26087529.743908893</v>
      </c>
      <c r="BD557" s="2">
        <f t="shared" ca="1" si="550"/>
        <v>-18667391.488040257</v>
      </c>
      <c r="BE557" s="2">
        <f t="shared" ca="1" si="551"/>
        <v>2069944.0506730154</v>
      </c>
      <c r="BF557" s="2">
        <f t="shared" ca="1" si="552"/>
        <v>2241574.7795994869</v>
      </c>
      <c r="BG557" s="2">
        <f t="shared" ca="1" si="553"/>
        <v>2384262.7433747537</v>
      </c>
      <c r="BH557" s="2">
        <f t="shared" ca="1" si="554"/>
        <v>2532105.4439746309</v>
      </c>
      <c r="BI557" s="2">
        <f t="shared" ca="1" si="555"/>
        <v>28772818.845021494</v>
      </c>
      <c r="BJ557" s="2">
        <f t="shared" ca="1" si="556"/>
        <v>0.18046825666298805</v>
      </c>
      <c r="BK557" s="2">
        <f t="shared" ca="1" si="557"/>
        <v>4600482.5730834156</v>
      </c>
    </row>
    <row r="558" spans="1:63" x14ac:dyDescent="0.3">
      <c r="A558" s="2">
        <v>557</v>
      </c>
      <c r="B558" s="2">
        <f t="shared" ca="1" si="496"/>
        <v>2.3855542483722569E-2</v>
      </c>
      <c r="C558" s="2">
        <f t="shared" ca="1" si="497"/>
        <v>6.2184286724938946</v>
      </c>
      <c r="D558" s="2">
        <f t="shared" ca="1" si="498"/>
        <v>0.73460684460728398</v>
      </c>
      <c r="E558" s="2">
        <f t="shared" ca="1" si="499"/>
        <v>7.7714491707605902</v>
      </c>
      <c r="F558" s="2">
        <f t="shared" ca="1" si="500"/>
        <v>0.49428554133279656</v>
      </c>
      <c r="G558" s="2">
        <f t="shared" ca="1" si="501"/>
        <v>3.9570264594014103E-2</v>
      </c>
      <c r="H558" s="2">
        <f t="shared" ca="1" si="502"/>
        <v>3.9570264594014103E-2</v>
      </c>
      <c r="I558" s="2">
        <f t="shared" ca="1" si="503"/>
        <v>0.36837556172120867</v>
      </c>
      <c r="J558" s="2">
        <f t="shared" ca="1" si="504"/>
        <v>8.3192060249964034E-3</v>
      </c>
      <c r="K558" s="2">
        <f t="shared" ca="1" si="505"/>
        <v>8.3192060249964034E-3</v>
      </c>
      <c r="L558" s="2">
        <f t="shared" ca="1" si="506"/>
        <v>0.33391768175935455</v>
      </c>
      <c r="M558" s="2">
        <f t="shared" ca="1" si="507"/>
        <v>-8.5824146943428263E-3</v>
      </c>
      <c r="N558" s="2">
        <f t="shared" ca="1" si="508"/>
        <v>-8.5824146943428263E-3</v>
      </c>
      <c r="O558" s="2">
        <f t="shared" si="509"/>
        <v>6000000</v>
      </c>
      <c r="P558" s="2">
        <f t="shared" ca="1" si="510"/>
        <v>37310572.034963369</v>
      </c>
      <c r="Q558" s="2">
        <f t="shared" ca="1" si="511"/>
        <v>932764.30087408423</v>
      </c>
      <c r="R558" s="2">
        <f t="shared" ca="1" si="512"/>
        <v>22386343.220978022</v>
      </c>
      <c r="S558" s="2">
        <f t="shared" ca="1" si="513"/>
        <v>14924228.813985348</v>
      </c>
      <c r="T558" s="2">
        <f t="shared" ca="1" si="514"/>
        <v>49570879.265282854</v>
      </c>
      <c r="U558" s="2">
        <f t="shared" ca="1" si="515"/>
        <v>51532412.073968023</v>
      </c>
      <c r="V558" s="2">
        <f t="shared" ca="1" si="516"/>
        <v>53571563.254902706</v>
      </c>
      <c r="W558" s="2">
        <f t="shared" ca="1" si="517"/>
        <v>55691404.187614173</v>
      </c>
      <c r="X558" s="2">
        <f t="shared" ca="1" si="518"/>
        <v>57895127.786930256</v>
      </c>
      <c r="Y558" s="2">
        <f t="shared" ca="1" si="519"/>
        <v>0.1241596030124982</v>
      </c>
      <c r="Z558" s="2">
        <f t="shared" ca="1" si="520"/>
        <v>0.12582344421749747</v>
      </c>
      <c r="AA558" s="2">
        <f t="shared" ca="1" si="521"/>
        <v>6154700.6905579977</v>
      </c>
      <c r="AB558" s="2">
        <f t="shared" ca="1" si="522"/>
        <v>6483985.5759820091</v>
      </c>
      <c r="AC558" s="2">
        <f t="shared" ca="1" si="523"/>
        <v>6740558.6008473877</v>
      </c>
      <c r="AD558" s="2">
        <f t="shared" ca="1" si="524"/>
        <v>7007284.288194377</v>
      </c>
      <c r="AE558" s="2">
        <f t="shared" ca="1" si="525"/>
        <v>7284564.3815637073</v>
      </c>
      <c r="AF558" s="2">
        <f t="shared" ca="1" si="526"/>
        <v>991417.58530565712</v>
      </c>
      <c r="AG558" s="2">
        <f t="shared" ca="1" si="527"/>
        <v>1030648.2414793605</v>
      </c>
      <c r="AH558" s="2">
        <f t="shared" ca="1" si="528"/>
        <v>1071431.2650980542</v>
      </c>
      <c r="AI558" s="2">
        <f t="shared" ca="1" si="529"/>
        <v>1113828.0837522834</v>
      </c>
      <c r="AJ558" s="2">
        <f t="shared" ca="1" si="530"/>
        <v>1157902.5557386051</v>
      </c>
      <c r="AK558" s="2">
        <f t="shared" ca="1" si="531"/>
        <v>0</v>
      </c>
      <c r="AL558" s="2">
        <f t="shared" ca="1" si="532"/>
        <v>19615.328086851685</v>
      </c>
      <c r="AM558" s="2">
        <f t="shared" ca="1" si="533"/>
        <v>20391.511809346826</v>
      </c>
      <c r="AN558" s="2">
        <f t="shared" ca="1" si="534"/>
        <v>21198.40932711467</v>
      </c>
      <c r="AO558" s="2">
        <f t="shared" ca="1" si="535"/>
        <v>22037.23599316083</v>
      </c>
      <c r="AP558" s="2">
        <f t="shared" ca="1" si="536"/>
        <v>2014770.8898880219</v>
      </c>
      <c r="AQ558" s="2">
        <f t="shared" ca="1" si="537"/>
        <v>818613.17599472275</v>
      </c>
      <c r="AR558" s="2">
        <f t="shared" ca="1" si="538"/>
        <v>894027.27559980296</v>
      </c>
      <c r="AS558" s="2">
        <f t="shared" ca="1" si="539"/>
        <v>950132.67592394107</v>
      </c>
      <c r="AT558" s="2">
        <f t="shared" ca="1" si="540"/>
        <v>1008458.1817840585</v>
      </c>
      <c r="AU558" s="2">
        <f t="shared" ca="1" si="541"/>
        <v>1069091.643343641</v>
      </c>
      <c r="AV558" s="2">
        <f t="shared" ca="1" si="542"/>
        <v>2329899.0393695952</v>
      </c>
      <c r="AW558" s="2">
        <f t="shared" ca="1" si="543"/>
        <v>2524923.8409279715</v>
      </c>
      <c r="AX558" s="2">
        <f t="shared" ca="1" si="544"/>
        <v>2683832.2581280237</v>
      </c>
      <c r="AY558" s="2">
        <f t="shared" ca="1" si="545"/>
        <v>2849028.7234428972</v>
      </c>
      <c r="AZ558" s="2">
        <f t="shared" ca="1" si="546"/>
        <v>3020762.0566002782</v>
      </c>
      <c r="BA558" s="2">
        <f t="shared" ca="1" si="547"/>
        <v>56611621.822455406</v>
      </c>
      <c r="BB558" s="2">
        <f t="shared" ca="1" si="548"/>
        <v>1132232.4364491082</v>
      </c>
      <c r="BC558" s="2">
        <f t="shared" ca="1" si="549"/>
        <v>33093046.165028278</v>
      </c>
      <c r="BD558" s="2">
        <f t="shared" ca="1" si="550"/>
        <v>-16356993.114859432</v>
      </c>
      <c r="BE558" s="2">
        <f t="shared" ca="1" si="551"/>
        <v>2329899.0393695952</v>
      </c>
      <c r="BF558" s="2">
        <f t="shared" ca="1" si="552"/>
        <v>2524923.8409279715</v>
      </c>
      <c r="BG558" s="2">
        <f t="shared" ca="1" si="553"/>
        <v>2683832.2581280237</v>
      </c>
      <c r="BH558" s="2">
        <f t="shared" ca="1" si="554"/>
        <v>2849028.7234428972</v>
      </c>
      <c r="BI558" s="2">
        <f t="shared" ca="1" si="555"/>
        <v>36113808.221628554</v>
      </c>
      <c r="BJ558" s="2">
        <f t="shared" ca="1" si="556"/>
        <v>0.27720337574546705</v>
      </c>
      <c r="BK558" s="2">
        <f t="shared" ca="1" si="557"/>
        <v>11948980.408493865</v>
      </c>
    </row>
    <row r="559" spans="1:63" x14ac:dyDescent="0.3">
      <c r="A559" s="2">
        <v>558</v>
      </c>
      <c r="B559" s="2">
        <f t="shared" ca="1" si="496"/>
        <v>0.68511096318192033</v>
      </c>
      <c r="C559" s="2">
        <f t="shared" ca="1" si="497"/>
        <v>7.2064144194630551</v>
      </c>
      <c r="D559" s="2">
        <f t="shared" ca="1" si="498"/>
        <v>0.81389665078179008</v>
      </c>
      <c r="E559" s="2">
        <f t="shared" ca="1" si="499"/>
        <v>7.8899125485338848</v>
      </c>
      <c r="F559" s="2">
        <f t="shared" ca="1" si="500"/>
        <v>0.98246780697526581</v>
      </c>
      <c r="G559" s="2">
        <f t="shared" ca="1" si="501"/>
        <v>0.10322842192431964</v>
      </c>
      <c r="H559" s="2">
        <f t="shared" ca="1" si="502"/>
        <v>0.10322842192431964</v>
      </c>
      <c r="I559" s="2">
        <f t="shared" ca="1" si="503"/>
        <v>0.78893397750246197</v>
      </c>
      <c r="J559" s="2">
        <f t="shared" ca="1" si="504"/>
        <v>1.401363931213857E-2</v>
      </c>
      <c r="K559" s="2">
        <f t="shared" ca="1" si="505"/>
        <v>1.401363931213857E-2</v>
      </c>
      <c r="L559" s="2">
        <f t="shared" ca="1" si="506"/>
        <v>0.31659011267471426</v>
      </c>
      <c r="M559" s="2">
        <f t="shared" ca="1" si="507"/>
        <v>-9.5451091368036287E-3</v>
      </c>
      <c r="N559" s="2">
        <f t="shared" ca="1" si="508"/>
        <v>-9.5451091368036287E-3</v>
      </c>
      <c r="O559" s="2">
        <f t="shared" si="509"/>
        <v>6000000</v>
      </c>
      <c r="P559" s="2">
        <f t="shared" ca="1" si="510"/>
        <v>43238486.516778328</v>
      </c>
      <c r="Q559" s="2">
        <f t="shared" ca="1" si="511"/>
        <v>1080962.1629194582</v>
      </c>
      <c r="R559" s="2">
        <f t="shared" ca="1" si="512"/>
        <v>25943091.910066996</v>
      </c>
      <c r="S559" s="2">
        <f t="shared" ca="1" si="513"/>
        <v>17295394.606711332</v>
      </c>
      <c r="T559" s="2">
        <f t="shared" ca="1" si="514"/>
        <v>49522744.54315982</v>
      </c>
      <c r="U559" s="2">
        <f t="shared" ca="1" si="515"/>
        <v>54634899.311711416</v>
      </c>
      <c r="V559" s="2">
        <f t="shared" ca="1" si="516"/>
        <v>60274773.749653481</v>
      </c>
      <c r="W559" s="2">
        <f t="shared" ca="1" si="517"/>
        <v>66496843.52567561</v>
      </c>
      <c r="X559" s="2">
        <f t="shared" ca="1" si="518"/>
        <v>73361207.745779514</v>
      </c>
      <c r="Y559" s="2">
        <f t="shared" ca="1" si="519"/>
        <v>0.12700681965606928</v>
      </c>
      <c r="Z559" s="2">
        <f t="shared" ca="1" si="520"/>
        <v>0.12980954751849699</v>
      </c>
      <c r="AA559" s="2">
        <f t="shared" ca="1" si="521"/>
        <v>6289726.2850666884</v>
      </c>
      <c r="AB559" s="2">
        <f t="shared" ca="1" si="522"/>
        <v>7092131.5583719015</v>
      </c>
      <c r="AC559" s="2">
        <f t="shared" ca="1" si="523"/>
        <v>7824241.1072222991</v>
      </c>
      <c r="AD559" s="2">
        <f t="shared" ca="1" si="524"/>
        <v>8631925.1694762465</v>
      </c>
      <c r="AE559" s="2">
        <f t="shared" ca="1" si="525"/>
        <v>9522985.1828900948</v>
      </c>
      <c r="AF559" s="2">
        <f t="shared" ca="1" si="526"/>
        <v>990454.89086319646</v>
      </c>
      <c r="AG559" s="2">
        <f t="shared" ca="1" si="527"/>
        <v>1092697.9862342284</v>
      </c>
      <c r="AH559" s="2">
        <f t="shared" ca="1" si="528"/>
        <v>1205495.4749930697</v>
      </c>
      <c r="AI559" s="2">
        <f t="shared" ca="1" si="529"/>
        <v>1329936.8705135123</v>
      </c>
      <c r="AJ559" s="2">
        <f t="shared" ca="1" si="530"/>
        <v>1467224.1549155903</v>
      </c>
      <c r="AK559" s="2">
        <f t="shared" ca="1" si="531"/>
        <v>0</v>
      </c>
      <c r="AL559" s="2">
        <f t="shared" ca="1" si="532"/>
        <v>51121.547685515958</v>
      </c>
      <c r="AM559" s="2">
        <f t="shared" ca="1" si="533"/>
        <v>56398.744379420656</v>
      </c>
      <c r="AN559" s="2">
        <f t="shared" ca="1" si="534"/>
        <v>62220.697760221286</v>
      </c>
      <c r="AO559" s="2">
        <f t="shared" ca="1" si="535"/>
        <v>68643.642201039052</v>
      </c>
      <c r="AP559" s="2">
        <f t="shared" ca="1" si="536"/>
        <v>2334878.2719060294</v>
      </c>
      <c r="AQ559" s="2">
        <f t="shared" ca="1" si="537"/>
        <v>770742.21179734019</v>
      </c>
      <c r="AR559" s="2">
        <f t="shared" ca="1" si="538"/>
        <v>952784.37806022749</v>
      </c>
      <c r="AS559" s="2">
        <f t="shared" ca="1" si="539"/>
        <v>1113805.513684032</v>
      </c>
      <c r="AT559" s="2">
        <f t="shared" ca="1" si="540"/>
        <v>1291448.6070347433</v>
      </c>
      <c r="AU559" s="2">
        <f t="shared" ca="1" si="541"/>
        <v>1487429.5165778038</v>
      </c>
      <c r="AV559" s="2">
        <f t="shared" ca="1" si="542"/>
        <v>2193650.9105001222</v>
      </c>
      <c r="AW559" s="2">
        <f t="shared" ca="1" si="543"/>
        <v>2660649.3744859006</v>
      </c>
      <c r="AX559" s="2">
        <f t="shared" ca="1" si="544"/>
        <v>3113663.1022597477</v>
      </c>
      <c r="AY559" s="2">
        <f t="shared" ca="1" si="545"/>
        <v>3613440.7222617399</v>
      </c>
      <c r="AZ559" s="2">
        <f t="shared" ca="1" si="546"/>
        <v>4164809.597289633</v>
      </c>
      <c r="BA559" s="2">
        <f t="shared" ca="1" si="547"/>
        <v>75135520.293986812</v>
      </c>
      <c r="BB559" s="2">
        <f t="shared" ca="1" si="548"/>
        <v>1502710.4058797362</v>
      </c>
      <c r="BC559" s="2">
        <f t="shared" ca="1" si="549"/>
        <v>47689717.978040084</v>
      </c>
      <c r="BD559" s="2">
        <f t="shared" ca="1" si="550"/>
        <v>-18876356.76963079</v>
      </c>
      <c r="BE559" s="2">
        <f t="shared" ca="1" si="551"/>
        <v>2193650.9105001222</v>
      </c>
      <c r="BF559" s="2">
        <f t="shared" ca="1" si="552"/>
        <v>2660649.3744859006</v>
      </c>
      <c r="BG559" s="2">
        <f t="shared" ca="1" si="553"/>
        <v>3113663.1022597477</v>
      </c>
      <c r="BH559" s="2">
        <f t="shared" ca="1" si="554"/>
        <v>3613440.7222617399</v>
      </c>
      <c r="BI559" s="2">
        <f t="shared" ca="1" si="555"/>
        <v>51854527.575329721</v>
      </c>
      <c r="BJ559" s="2">
        <f t="shared" ca="1" si="556"/>
        <v>0.31658295109752488</v>
      </c>
      <c r="BK559" s="2">
        <f t="shared" ca="1" si="557"/>
        <v>19139615.842012636</v>
      </c>
    </row>
    <row r="560" spans="1:63" x14ac:dyDescent="0.3">
      <c r="A560" s="2">
        <v>559</v>
      </c>
      <c r="B560" s="2">
        <f t="shared" ca="1" si="496"/>
        <v>0.7159350361992376</v>
      </c>
      <c r="C560" s="2">
        <f t="shared" ca="1" si="497"/>
        <v>7.2462560596585037</v>
      </c>
      <c r="D560" s="2">
        <f t="shared" ca="1" si="498"/>
        <v>0.61756672205879792</v>
      </c>
      <c r="E560" s="2">
        <f t="shared" ca="1" si="499"/>
        <v>7.6254335040247634</v>
      </c>
      <c r="F560" s="2">
        <f t="shared" ca="1" si="500"/>
        <v>0.17059705526890589</v>
      </c>
      <c r="G560" s="2">
        <f t="shared" ca="1" si="501"/>
        <v>1.144574500490882E-2</v>
      </c>
      <c r="H560" s="2">
        <f t="shared" ca="1" si="502"/>
        <v>1.144574500490882E-2</v>
      </c>
      <c r="I560" s="2">
        <f t="shared" ca="1" si="503"/>
        <v>0.39546539511623691</v>
      </c>
      <c r="J560" s="2">
        <f t="shared" ca="1" si="504"/>
        <v>8.6744893740627309E-3</v>
      </c>
      <c r="K560" s="2">
        <f t="shared" ca="1" si="505"/>
        <v>8.6744893740627309E-3</v>
      </c>
      <c r="L560" s="2">
        <f t="shared" ca="1" si="506"/>
        <v>0.6942659707709975</v>
      </c>
      <c r="M560" s="2">
        <f t="shared" ca="1" si="507"/>
        <v>1.0159580344420405E-2</v>
      </c>
      <c r="N560" s="2">
        <f t="shared" ca="1" si="508"/>
        <v>1.0159580344420405E-2</v>
      </c>
      <c r="O560" s="2">
        <f t="shared" si="509"/>
        <v>6000000</v>
      </c>
      <c r="P560" s="2">
        <f t="shared" ca="1" si="510"/>
        <v>43477536.357951023</v>
      </c>
      <c r="Q560" s="2">
        <f t="shared" ca="1" si="511"/>
        <v>1086938.4089487756</v>
      </c>
      <c r="R560" s="2">
        <f t="shared" ca="1" si="512"/>
        <v>26086521.814770613</v>
      </c>
      <c r="S560" s="2">
        <f t="shared" ca="1" si="513"/>
        <v>17391014.54318041</v>
      </c>
      <c r="T560" s="2">
        <f t="shared" ca="1" si="514"/>
        <v>50507979.017221019</v>
      </c>
      <c r="U560" s="2">
        <f t="shared" ca="1" si="515"/>
        <v>51086080.465765417</v>
      </c>
      <c r="V560" s="2">
        <f t="shared" ca="1" si="516"/>
        <v>51670798.716076821</v>
      </c>
      <c r="W560" s="2">
        <f t="shared" ca="1" si="517"/>
        <v>52262209.502381004</v>
      </c>
      <c r="X560" s="2">
        <f t="shared" ca="1" si="518"/>
        <v>52860389.425738379</v>
      </c>
      <c r="Y560" s="2">
        <f t="shared" ca="1" si="519"/>
        <v>0.12433724468703136</v>
      </c>
      <c r="Z560" s="2">
        <f t="shared" ca="1" si="520"/>
        <v>0.1260721425618439</v>
      </c>
      <c r="AA560" s="2">
        <f t="shared" ca="1" si="521"/>
        <v>6280022.9457116555</v>
      </c>
      <c r="AB560" s="2">
        <f t="shared" ca="1" si="522"/>
        <v>6440531.619405807</v>
      </c>
      <c r="AC560" s="2">
        <f t="shared" ca="1" si="523"/>
        <v>6514248.3020175779</v>
      </c>
      <c r="AD560" s="2">
        <f t="shared" ca="1" si="524"/>
        <v>6588808.7269811314</v>
      </c>
      <c r="AE560" s="2">
        <f t="shared" ca="1" si="525"/>
        <v>6664222.5515562752</v>
      </c>
      <c r="AF560" s="2">
        <f t="shared" ca="1" si="526"/>
        <v>1010159.5803444204</v>
      </c>
      <c r="AG560" s="2">
        <f t="shared" ca="1" si="527"/>
        <v>1021721.6093153084</v>
      </c>
      <c r="AH560" s="2">
        <f t="shared" ca="1" si="528"/>
        <v>1033415.9743215365</v>
      </c>
      <c r="AI560" s="2">
        <f t="shared" ca="1" si="529"/>
        <v>1045244.1900476201</v>
      </c>
      <c r="AJ560" s="2">
        <f t="shared" ca="1" si="530"/>
        <v>1057207.7885147675</v>
      </c>
      <c r="AK560" s="2">
        <f t="shared" ca="1" si="531"/>
        <v>0</v>
      </c>
      <c r="AL560" s="2">
        <f t="shared" ca="1" si="532"/>
        <v>5781.0144854439795</v>
      </c>
      <c r="AM560" s="2">
        <f t="shared" ca="1" si="533"/>
        <v>5847.1825031140452</v>
      </c>
      <c r="AN560" s="2">
        <f t="shared" ca="1" si="534"/>
        <v>5914.1078630418333</v>
      </c>
      <c r="AO560" s="2">
        <f t="shared" ca="1" si="535"/>
        <v>5981.7992335737499</v>
      </c>
      <c r="AP560" s="2">
        <f t="shared" ca="1" si="536"/>
        <v>2347786.9633293552</v>
      </c>
      <c r="AQ560" s="2">
        <f t="shared" ca="1" si="537"/>
        <v>759739.86452984891</v>
      </c>
      <c r="AR560" s="2">
        <f t="shared" ca="1" si="538"/>
        <v>798465.99215789721</v>
      </c>
      <c r="AS560" s="2">
        <f t="shared" ca="1" si="539"/>
        <v>814591.79473533842</v>
      </c>
      <c r="AT560" s="2">
        <f t="shared" ca="1" si="540"/>
        <v>830902.16913708067</v>
      </c>
      <c r="AU560" s="2">
        <f t="shared" ca="1" si="541"/>
        <v>847399.22792515962</v>
      </c>
      <c r="AV560" s="2">
        <f t="shared" ca="1" si="542"/>
        <v>2162336.5375080314</v>
      </c>
      <c r="AW560" s="2">
        <f t="shared" ca="1" si="543"/>
        <v>2266776.0401178021</v>
      </c>
      <c r="AX560" s="2">
        <f t="shared" ca="1" si="544"/>
        <v>2312606.387128233</v>
      </c>
      <c r="AY560" s="2">
        <f t="shared" ca="1" si="545"/>
        <v>2358961.2966040345</v>
      </c>
      <c r="AZ560" s="2">
        <f t="shared" ca="1" si="546"/>
        <v>2405846.7725534188</v>
      </c>
      <c r="BA560" s="2">
        <f t="shared" ca="1" si="547"/>
        <v>50817585.922914617</v>
      </c>
      <c r="BB560" s="2">
        <f t="shared" ca="1" si="548"/>
        <v>1016351.7184582923</v>
      </c>
      <c r="BC560" s="2">
        <f t="shared" ca="1" si="549"/>
        <v>23714712.389685713</v>
      </c>
      <c r="BD560" s="2">
        <f t="shared" ca="1" si="550"/>
        <v>-18977952.952129185</v>
      </c>
      <c r="BE560" s="2">
        <f t="shared" ca="1" si="551"/>
        <v>2162336.5375080314</v>
      </c>
      <c r="BF560" s="2">
        <f t="shared" ca="1" si="552"/>
        <v>2266776.0401178021</v>
      </c>
      <c r="BG560" s="2">
        <f t="shared" ca="1" si="553"/>
        <v>2312606.387128233</v>
      </c>
      <c r="BH560" s="2">
        <f t="shared" ca="1" si="554"/>
        <v>2358961.2966040345</v>
      </c>
      <c r="BI560" s="2">
        <f t="shared" ca="1" si="555"/>
        <v>26120559.162239131</v>
      </c>
      <c r="BJ560" s="2">
        <f t="shared" ca="1" si="556"/>
        <v>0.15688499341631523</v>
      </c>
      <c r="BK560" s="2">
        <f t="shared" ca="1" si="557"/>
        <v>2726501.5042222701</v>
      </c>
    </row>
    <row r="561" spans="1:63" x14ac:dyDescent="0.3">
      <c r="A561" s="2">
        <v>560</v>
      </c>
      <c r="B561" s="2">
        <f t="shared" ca="1" si="496"/>
        <v>6.1355134028723946E-2</v>
      </c>
      <c r="C561" s="2">
        <f t="shared" ca="1" si="497"/>
        <v>6.3503002541498477</v>
      </c>
      <c r="D561" s="2">
        <f t="shared" ca="1" si="498"/>
        <v>0.80360556805424066</v>
      </c>
      <c r="E561" s="2">
        <f t="shared" ca="1" si="499"/>
        <v>7.8732712996108134</v>
      </c>
      <c r="F561" s="2">
        <f t="shared" ca="1" si="500"/>
        <v>0.38395851884803345</v>
      </c>
      <c r="G561" s="2">
        <f t="shared" ca="1" si="501"/>
        <v>3.114698224763858E-2</v>
      </c>
      <c r="H561" s="2">
        <f t="shared" ca="1" si="502"/>
        <v>3.114698224763858E-2</v>
      </c>
      <c r="I561" s="2">
        <f t="shared" ca="1" si="503"/>
        <v>0.76226975270396913</v>
      </c>
      <c r="J561" s="2">
        <f t="shared" ca="1" si="504"/>
        <v>1.3568113680861069E-2</v>
      </c>
      <c r="K561" s="2">
        <f t="shared" ca="1" si="505"/>
        <v>1.3568113680861069E-2</v>
      </c>
      <c r="L561" s="2">
        <f t="shared" ca="1" si="506"/>
        <v>0.47178407574430614</v>
      </c>
      <c r="M561" s="2">
        <f t="shared" ca="1" si="507"/>
        <v>-1.4157180591648636E-3</v>
      </c>
      <c r="N561" s="2">
        <f t="shared" ca="1" si="508"/>
        <v>-1.4157180591648636E-3</v>
      </c>
      <c r="O561" s="2">
        <f t="shared" si="509"/>
        <v>6000000</v>
      </c>
      <c r="P561" s="2">
        <f t="shared" ca="1" si="510"/>
        <v>38101801.524899088</v>
      </c>
      <c r="Q561" s="2">
        <f t="shared" ca="1" si="511"/>
        <v>952545.03812247724</v>
      </c>
      <c r="R561" s="2">
        <f t="shared" ca="1" si="512"/>
        <v>22861080.914939452</v>
      </c>
      <c r="S561" s="2">
        <f t="shared" ca="1" si="513"/>
        <v>15240720.609959636</v>
      </c>
      <c r="T561" s="2">
        <f t="shared" ca="1" si="514"/>
        <v>49929214.097041756</v>
      </c>
      <c r="U561" s="2">
        <f t="shared" ca="1" si="515"/>
        <v>51484358.442160867</v>
      </c>
      <c r="V561" s="2">
        <f t="shared" ca="1" si="516"/>
        <v>53087940.840589918</v>
      </c>
      <c r="W561" s="2">
        <f t="shared" ca="1" si="517"/>
        <v>54741469.991515465</v>
      </c>
      <c r="X561" s="2">
        <f t="shared" ca="1" si="518"/>
        <v>56446501.585550845</v>
      </c>
      <c r="Y561" s="2">
        <f t="shared" ca="1" si="519"/>
        <v>0.12678405684043054</v>
      </c>
      <c r="Z561" s="2">
        <f t="shared" ca="1" si="520"/>
        <v>0.12949767957660274</v>
      </c>
      <c r="AA561" s="2">
        <f t="shared" ca="1" si="521"/>
        <v>6330228.3180773677</v>
      </c>
      <c r="AB561" s="2">
        <f t="shared" ca="1" si="522"/>
        <v>6667104.9527499108</v>
      </c>
      <c r="AC561" s="2">
        <f t="shared" ca="1" si="523"/>
        <v>6874765.1523563555</v>
      </c>
      <c r="AD561" s="2">
        <f t="shared" ca="1" si="524"/>
        <v>7088893.3405134846</v>
      </c>
      <c r="AE561" s="2">
        <f t="shared" ca="1" si="525"/>
        <v>7309690.9755458618</v>
      </c>
      <c r="AF561" s="2">
        <f t="shared" ca="1" si="526"/>
        <v>998584.28194083518</v>
      </c>
      <c r="AG561" s="2">
        <f t="shared" ca="1" si="527"/>
        <v>1029687.1688432173</v>
      </c>
      <c r="AH561" s="2">
        <f t="shared" ca="1" si="528"/>
        <v>1061758.8168117984</v>
      </c>
      <c r="AI561" s="2">
        <f t="shared" ca="1" si="529"/>
        <v>1094829.3998303092</v>
      </c>
      <c r="AJ561" s="2">
        <f t="shared" ca="1" si="530"/>
        <v>1128930.031711017</v>
      </c>
      <c r="AK561" s="2">
        <f t="shared" ca="1" si="531"/>
        <v>0</v>
      </c>
      <c r="AL561" s="2">
        <f t="shared" ca="1" si="532"/>
        <v>15551.443451191113</v>
      </c>
      <c r="AM561" s="2">
        <f t="shared" ca="1" si="533"/>
        <v>16035.823984290511</v>
      </c>
      <c r="AN561" s="2">
        <f t="shared" ca="1" si="534"/>
        <v>16535.291509255469</v>
      </c>
      <c r="AO561" s="2">
        <f t="shared" ca="1" si="535"/>
        <v>17050.315940353797</v>
      </c>
      <c r="AP561" s="2">
        <f t="shared" ca="1" si="536"/>
        <v>2057497.2823445506</v>
      </c>
      <c r="AQ561" s="2">
        <f t="shared" ca="1" si="537"/>
        <v>851278.15598591522</v>
      </c>
      <c r="AR561" s="2">
        <f t="shared" ca="1" si="538"/>
        <v>930779.33040615718</v>
      </c>
      <c r="AS561" s="2">
        <f t="shared" ca="1" si="539"/>
        <v>976432.35383200168</v>
      </c>
      <c r="AT561" s="2">
        <f t="shared" ca="1" si="540"/>
        <v>1023507.3311680423</v>
      </c>
      <c r="AU561" s="2">
        <f t="shared" ca="1" si="541"/>
        <v>1072048.5519874764</v>
      </c>
      <c r="AV561" s="2">
        <f t="shared" ca="1" si="542"/>
        <v>2422868.5978060663</v>
      </c>
      <c r="AW561" s="2">
        <f t="shared" ca="1" si="543"/>
        <v>2633589.7277047941</v>
      </c>
      <c r="AX561" s="2">
        <f t="shared" ca="1" si="544"/>
        <v>2763040.8753837142</v>
      </c>
      <c r="AY561" s="2">
        <f t="shared" ca="1" si="545"/>
        <v>2896524.0356613258</v>
      </c>
      <c r="AZ561" s="2">
        <f t="shared" ca="1" si="546"/>
        <v>3034164.7935624635</v>
      </c>
      <c r="BA561" s="2">
        <f t="shared" ca="1" si="547"/>
        <v>57551180.166789405</v>
      </c>
      <c r="BB561" s="2">
        <f t="shared" ca="1" si="548"/>
        <v>1151023.6033357882</v>
      </c>
      <c r="BC561" s="2">
        <f t="shared" ca="1" si="549"/>
        <v>33539075.648514163</v>
      </c>
      <c r="BD561" s="2">
        <f t="shared" ca="1" si="550"/>
        <v>-16693265.648082113</v>
      </c>
      <c r="BE561" s="2">
        <f t="shared" ca="1" si="551"/>
        <v>2422868.5978060663</v>
      </c>
      <c r="BF561" s="2">
        <f t="shared" ca="1" si="552"/>
        <v>2633589.7277047941</v>
      </c>
      <c r="BG561" s="2">
        <f t="shared" ca="1" si="553"/>
        <v>2763040.8753837142</v>
      </c>
      <c r="BH561" s="2">
        <f t="shared" ca="1" si="554"/>
        <v>2896524.0356613258</v>
      </c>
      <c r="BI561" s="2">
        <f t="shared" ca="1" si="555"/>
        <v>36573240.442076623</v>
      </c>
      <c r="BJ561" s="2">
        <f t="shared" ca="1" si="556"/>
        <v>0.27709296959309171</v>
      </c>
      <c r="BK561" s="2">
        <f t="shared" ca="1" si="557"/>
        <v>12129601.628264768</v>
      </c>
    </row>
    <row r="562" spans="1:63" x14ac:dyDescent="0.3">
      <c r="A562" s="2">
        <v>561</v>
      </c>
      <c r="B562" s="2">
        <f t="shared" ca="1" si="496"/>
        <v>0.67488087163069355</v>
      </c>
      <c r="C562" s="2">
        <f t="shared" ca="1" si="497"/>
        <v>7.193626478151339</v>
      </c>
      <c r="D562" s="2">
        <f t="shared" ca="1" si="498"/>
        <v>0.22934942193645946</v>
      </c>
      <c r="E562" s="2">
        <f t="shared" ca="1" si="499"/>
        <v>7.1772730940122447</v>
      </c>
      <c r="F562" s="2">
        <f t="shared" ca="1" si="500"/>
        <v>0.40006828563675445</v>
      </c>
      <c r="G562" s="2">
        <f t="shared" ca="1" si="501"/>
        <v>3.2404889255708356E-2</v>
      </c>
      <c r="H562" s="2">
        <f t="shared" ca="1" si="502"/>
        <v>3.2404889255708356E-2</v>
      </c>
      <c r="I562" s="2">
        <f t="shared" ca="1" si="503"/>
        <v>0.73787682778424757</v>
      </c>
      <c r="J562" s="2">
        <f t="shared" ca="1" si="504"/>
        <v>1.3184067400837119E-2</v>
      </c>
      <c r="K562" s="2">
        <f t="shared" ca="1" si="505"/>
        <v>1.3184067400837119E-2</v>
      </c>
      <c r="L562" s="2">
        <f t="shared" ca="1" si="506"/>
        <v>0.56253834115587031</v>
      </c>
      <c r="M562" s="2">
        <f t="shared" ca="1" si="507"/>
        <v>3.1481597786269804E-3</v>
      </c>
      <c r="N562" s="2">
        <f t="shared" ca="1" si="508"/>
        <v>3.1481597786269804E-3</v>
      </c>
      <c r="O562" s="2">
        <f t="shared" si="509"/>
        <v>6000000</v>
      </c>
      <c r="P562" s="2">
        <f t="shared" ca="1" si="510"/>
        <v>43161758.868908033</v>
      </c>
      <c r="Q562" s="2">
        <f t="shared" ca="1" si="511"/>
        <v>1079043.9717227009</v>
      </c>
      <c r="R562" s="2">
        <f t="shared" ca="1" si="512"/>
        <v>25897055.321344819</v>
      </c>
      <c r="S562" s="2">
        <f t="shared" ca="1" si="513"/>
        <v>17264703.547563214</v>
      </c>
      <c r="T562" s="2">
        <f t="shared" ca="1" si="514"/>
        <v>50157407.988931343</v>
      </c>
      <c r="U562" s="2">
        <f t="shared" ca="1" si="515"/>
        <v>51782753.240166038</v>
      </c>
      <c r="V562" s="2">
        <f t="shared" ca="1" si="516"/>
        <v>53460767.624269284</v>
      </c>
      <c r="W562" s="2">
        <f t="shared" ca="1" si="517"/>
        <v>55193157.878658883</v>
      </c>
      <c r="X562" s="2">
        <f t="shared" ca="1" si="518"/>
        <v>56981686.047389649</v>
      </c>
      <c r="Y562" s="2">
        <f t="shared" ca="1" si="519"/>
        <v>0.12659203370041855</v>
      </c>
      <c r="Z562" s="2">
        <f t="shared" ca="1" si="520"/>
        <v>0.12922884718058597</v>
      </c>
      <c r="AA562" s="2">
        <f t="shared" ca="1" si="521"/>
        <v>6349528.282460439</v>
      </c>
      <c r="AB562" s="2">
        <f t="shared" ca="1" si="522"/>
        <v>6691825.5050634099</v>
      </c>
      <c r="AC562" s="2">
        <f t="shared" ca="1" si="523"/>
        <v>6908673.3694735132</v>
      </c>
      <c r="AD562" s="2">
        <f t="shared" ca="1" si="524"/>
        <v>7132548.1649151631</v>
      </c>
      <c r="AE562" s="2">
        <f t="shared" ca="1" si="525"/>
        <v>7363677.5983102452</v>
      </c>
      <c r="AF562" s="2">
        <f t="shared" ca="1" si="526"/>
        <v>1003148.1597786269</v>
      </c>
      <c r="AG562" s="2">
        <f t="shared" ca="1" si="527"/>
        <v>1035655.0648033208</v>
      </c>
      <c r="AH562" s="2">
        <f t="shared" ca="1" si="528"/>
        <v>1069215.3524853857</v>
      </c>
      <c r="AI562" s="2">
        <f t="shared" ca="1" si="529"/>
        <v>1103863.1575731777</v>
      </c>
      <c r="AJ562" s="2">
        <f t="shared" ca="1" si="530"/>
        <v>1139633.720947793</v>
      </c>
      <c r="AK562" s="2">
        <f t="shared" ca="1" si="531"/>
        <v>0</v>
      </c>
      <c r="AL562" s="2">
        <f t="shared" ca="1" si="532"/>
        <v>16253.452512346954</v>
      </c>
      <c r="AM562" s="2">
        <f t="shared" ca="1" si="533"/>
        <v>16780.143841032459</v>
      </c>
      <c r="AN562" s="2">
        <f t="shared" ca="1" si="534"/>
        <v>17323.902543895991</v>
      </c>
      <c r="AO562" s="2">
        <f t="shared" ca="1" si="535"/>
        <v>17885.281687307655</v>
      </c>
      <c r="AP562" s="2">
        <f t="shared" ca="1" si="536"/>
        <v>2330734.9789210334</v>
      </c>
      <c r="AQ562" s="2">
        <f t="shared" ca="1" si="537"/>
        <v>784067.73737780261</v>
      </c>
      <c r="AR562" s="2">
        <f t="shared" ca="1" si="538"/>
        <v>864613.21994815452</v>
      </c>
      <c r="AS562" s="2">
        <f t="shared" ca="1" si="539"/>
        <v>912267.98989744449</v>
      </c>
      <c r="AT562" s="2">
        <f t="shared" ca="1" si="540"/>
        <v>961467.00738944754</v>
      </c>
      <c r="AU562" s="2">
        <f t="shared" ca="1" si="541"/>
        <v>1012260.313594769</v>
      </c>
      <c r="AV562" s="2">
        <f t="shared" ca="1" si="542"/>
        <v>2231577.4063829761</v>
      </c>
      <c r="AW562" s="2">
        <f t="shared" ca="1" si="543"/>
        <v>2444568.7888785535</v>
      </c>
      <c r="AX562" s="2">
        <f t="shared" ca="1" si="544"/>
        <v>2579674.9043286163</v>
      </c>
      <c r="AY562" s="2">
        <f t="shared" ca="1" si="545"/>
        <v>2719159.1184876086</v>
      </c>
      <c r="AZ562" s="2">
        <f t="shared" ca="1" si="546"/>
        <v>2863163.3031593421</v>
      </c>
      <c r="BA562" s="2">
        <f t="shared" ca="1" si="547"/>
        <v>52851125.099332832</v>
      </c>
      <c r="BB562" s="2">
        <f t="shared" ca="1" si="548"/>
        <v>1057022.5019866566</v>
      </c>
      <c r="BC562" s="2">
        <f t="shared" ca="1" si="549"/>
        <v>25897047.276001357</v>
      </c>
      <c r="BD562" s="2">
        <f t="shared" ca="1" si="550"/>
        <v>-18843747.519285914</v>
      </c>
      <c r="BE562" s="2">
        <f t="shared" ca="1" si="551"/>
        <v>2231577.4063829761</v>
      </c>
      <c r="BF562" s="2">
        <f t="shared" ca="1" si="552"/>
        <v>2444568.7888785535</v>
      </c>
      <c r="BG562" s="2">
        <f t="shared" ca="1" si="553"/>
        <v>2579674.9043286163</v>
      </c>
      <c r="BH562" s="2">
        <f t="shared" ca="1" si="554"/>
        <v>2719159.1184876086</v>
      </c>
      <c r="BI562" s="2">
        <f t="shared" ca="1" si="555"/>
        <v>28760210.579160698</v>
      </c>
      <c r="BJ562" s="2">
        <f t="shared" ca="1" si="556"/>
        <v>0.18527600511923503</v>
      </c>
      <c r="BK562" s="2">
        <f t="shared" ca="1" si="557"/>
        <v>4981079.8588652648</v>
      </c>
    </row>
    <row r="563" spans="1:63" x14ac:dyDescent="0.3">
      <c r="A563" s="2">
        <v>562</v>
      </c>
      <c r="B563" s="2">
        <f t="shared" ca="1" si="496"/>
        <v>0.73893119044066169</v>
      </c>
      <c r="C563" s="2">
        <f t="shared" ca="1" si="497"/>
        <v>7.2774090928342119</v>
      </c>
      <c r="D563" s="2">
        <f t="shared" ca="1" si="498"/>
        <v>0.84221676861125061</v>
      </c>
      <c r="E563" s="2">
        <f t="shared" ca="1" si="499"/>
        <v>7.9382469735039258</v>
      </c>
      <c r="F563" s="2">
        <f t="shared" ca="1" si="500"/>
        <v>3.7249487082540944E-2</v>
      </c>
      <c r="G563" s="2">
        <f t="shared" ca="1" si="501"/>
        <v>-1.3506101958199575E-2</v>
      </c>
      <c r="H563" s="2">
        <f t="shared" ca="1" si="502"/>
        <v>-1.3506101958199575E-2</v>
      </c>
      <c r="I563" s="2">
        <f t="shared" ca="1" si="503"/>
        <v>0.83252359706351453</v>
      </c>
      <c r="J563" s="2">
        <f t="shared" ca="1" si="504"/>
        <v>1.4820928765028753E-2</v>
      </c>
      <c r="K563" s="2">
        <f t="shared" ca="1" si="505"/>
        <v>1.4820928765028753E-2</v>
      </c>
      <c r="L563" s="2">
        <f t="shared" ca="1" si="506"/>
        <v>0.63026539814169258</v>
      </c>
      <c r="M563" s="2">
        <f t="shared" ca="1" si="507"/>
        <v>6.6511268276288919E-3</v>
      </c>
      <c r="N563" s="2">
        <f t="shared" ca="1" si="508"/>
        <v>6.6511268276288919E-3</v>
      </c>
      <c r="O563" s="2">
        <f t="shared" si="509"/>
        <v>6000000</v>
      </c>
      <c r="P563" s="2">
        <f t="shared" ca="1" si="510"/>
        <v>43664454.557005271</v>
      </c>
      <c r="Q563" s="2">
        <f t="shared" ca="1" si="511"/>
        <v>1091611.3639251317</v>
      </c>
      <c r="R563" s="2">
        <f t="shared" ca="1" si="512"/>
        <v>26198672.734203164</v>
      </c>
      <c r="S563" s="2">
        <f t="shared" ca="1" si="513"/>
        <v>17465781.822802108</v>
      </c>
      <c r="T563" s="2">
        <f t="shared" ca="1" si="514"/>
        <v>50332556.341381438</v>
      </c>
      <c r="U563" s="2">
        <f t="shared" ca="1" si="515"/>
        <v>49652759.703617916</v>
      </c>
      <c r="V563" s="2">
        <f t="shared" ca="1" si="516"/>
        <v>48982144.468554869</v>
      </c>
      <c r="W563" s="2">
        <f t="shared" ca="1" si="517"/>
        <v>48320586.631231308</v>
      </c>
      <c r="X563" s="2">
        <f t="shared" ca="1" si="518"/>
        <v>47667963.861509882</v>
      </c>
      <c r="Y563" s="2">
        <f t="shared" ca="1" si="519"/>
        <v>0.12741046438251438</v>
      </c>
      <c r="Z563" s="2">
        <f t="shared" ca="1" si="520"/>
        <v>0.13037465013552013</v>
      </c>
      <c r="AA563" s="2">
        <f t="shared" ca="1" si="521"/>
        <v>6412894.3770144777</v>
      </c>
      <c r="AB563" s="2">
        <f t="shared" ca="1" si="522"/>
        <v>6473461.1746222377</v>
      </c>
      <c r="AC563" s="2">
        <f t="shared" ca="1" si="523"/>
        <v>6386029.947975344</v>
      </c>
      <c r="AD563" s="2">
        <f t="shared" ca="1" si="524"/>
        <v>6299779.5763898734</v>
      </c>
      <c r="AE563" s="2">
        <f t="shared" ca="1" si="525"/>
        <v>6214694.1111169681</v>
      </c>
      <c r="AF563" s="2">
        <f t="shared" ca="1" si="526"/>
        <v>1006651.1268276288</v>
      </c>
      <c r="AG563" s="2">
        <f t="shared" ca="1" si="527"/>
        <v>993055.19407235831</v>
      </c>
      <c r="AH563" s="2">
        <f t="shared" ca="1" si="528"/>
        <v>979642.88937109744</v>
      </c>
      <c r="AI563" s="2">
        <f t="shared" ca="1" si="529"/>
        <v>966411.73262462614</v>
      </c>
      <c r="AJ563" s="2">
        <f t="shared" ca="1" si="530"/>
        <v>953359.27723019768</v>
      </c>
      <c r="AK563" s="2">
        <f t="shared" ca="1" si="531"/>
        <v>0</v>
      </c>
      <c r="AL563" s="2">
        <f t="shared" ca="1" si="532"/>
        <v>0</v>
      </c>
      <c r="AM563" s="2">
        <f t="shared" ca="1" si="533"/>
        <v>0</v>
      </c>
      <c r="AN563" s="2">
        <f t="shared" ca="1" si="534"/>
        <v>0</v>
      </c>
      <c r="AO563" s="2">
        <f t="shared" ca="1" si="535"/>
        <v>0</v>
      </c>
      <c r="AP563" s="2">
        <f t="shared" ca="1" si="536"/>
        <v>2357880.5460782847</v>
      </c>
      <c r="AQ563" s="2">
        <f t="shared" ca="1" si="537"/>
        <v>792574.30306822679</v>
      </c>
      <c r="AR563" s="2">
        <f t="shared" ca="1" si="538"/>
        <v>811856.61296261463</v>
      </c>
      <c r="AS563" s="2">
        <f t="shared" ca="1" si="539"/>
        <v>792611.69325675024</v>
      </c>
      <c r="AT563" s="2">
        <f t="shared" ca="1" si="540"/>
        <v>773626.69739861041</v>
      </c>
      <c r="AU563" s="2">
        <f t="shared" ca="1" si="541"/>
        <v>754898.11483020638</v>
      </c>
      <c r="AV563" s="2">
        <f t="shared" ca="1" si="542"/>
        <v>2255788.4010403375</v>
      </c>
      <c r="AW563" s="2">
        <f t="shared" ca="1" si="543"/>
        <v>2310668.8215089799</v>
      </c>
      <c r="AX563" s="2">
        <f t="shared" ca="1" si="544"/>
        <v>2255894.8192692124</v>
      </c>
      <c r="AY563" s="2">
        <f t="shared" ca="1" si="545"/>
        <v>2201860.6002883525</v>
      </c>
      <c r="AZ563" s="2">
        <f t="shared" ca="1" si="546"/>
        <v>2148556.1729782796</v>
      </c>
      <c r="BA563" s="2">
        <f t="shared" ca="1" si="547"/>
        <v>49333776.718826942</v>
      </c>
      <c r="BB563" s="2">
        <f t="shared" ca="1" si="548"/>
        <v>986675.53437653882</v>
      </c>
      <c r="BC563" s="2">
        <f t="shared" ca="1" si="549"/>
        <v>22148428.450247239</v>
      </c>
      <c r="BD563" s="2">
        <f t="shared" ca="1" si="550"/>
        <v>-19057393.186727241</v>
      </c>
      <c r="BE563" s="2">
        <f t="shared" ca="1" si="551"/>
        <v>2255788.4010403375</v>
      </c>
      <c r="BF563" s="2">
        <f t="shared" ca="1" si="552"/>
        <v>2310668.8215089799</v>
      </c>
      <c r="BG563" s="2">
        <f t="shared" ca="1" si="553"/>
        <v>2255894.8192692124</v>
      </c>
      <c r="BH563" s="2">
        <f t="shared" ca="1" si="554"/>
        <v>2201860.6002883525</v>
      </c>
      <c r="BI563" s="2">
        <f t="shared" ca="1" si="555"/>
        <v>24296984.623225518</v>
      </c>
      <c r="BJ563" s="2">
        <f t="shared" ca="1" si="556"/>
        <v>0.14211590996025492</v>
      </c>
      <c r="BK563" s="2">
        <f t="shared" ca="1" si="557"/>
        <v>1590539.8167819083</v>
      </c>
    </row>
    <row r="564" spans="1:63" x14ac:dyDescent="0.3">
      <c r="A564" s="2">
        <v>563</v>
      </c>
      <c r="B564" s="2">
        <f t="shared" ca="1" si="496"/>
        <v>2.8510035342321771E-2</v>
      </c>
      <c r="C564" s="2">
        <f t="shared" ca="1" si="497"/>
        <v>6.2387887574502692</v>
      </c>
      <c r="D564" s="2">
        <f t="shared" ca="1" si="498"/>
        <v>0.55222916895980245</v>
      </c>
      <c r="E564" s="2">
        <f t="shared" ca="1" si="499"/>
        <v>7.5536693695750969</v>
      </c>
      <c r="F564" s="2">
        <f t="shared" ca="1" si="500"/>
        <v>0.67229086417283568</v>
      </c>
      <c r="G564" s="2">
        <f t="shared" ca="1" si="501"/>
        <v>5.3387433440326426E-2</v>
      </c>
      <c r="H564" s="2">
        <f t="shared" ca="1" si="502"/>
        <v>5.3387433440326426E-2</v>
      </c>
      <c r="I564" s="2">
        <f t="shared" ca="1" si="503"/>
        <v>0.36363268851467989</v>
      </c>
      <c r="J564" s="2">
        <f t="shared" ca="1" si="504"/>
        <v>8.2561725733793397E-3</v>
      </c>
      <c r="K564" s="2">
        <f t="shared" ca="1" si="505"/>
        <v>8.2561725733793397E-3</v>
      </c>
      <c r="L564" s="2">
        <f t="shared" ca="1" si="506"/>
        <v>0.85971890403162898</v>
      </c>
      <c r="M564" s="2">
        <f t="shared" ca="1" si="507"/>
        <v>2.158114567945019E-2</v>
      </c>
      <c r="N564" s="2">
        <f t="shared" ca="1" si="508"/>
        <v>2.158114567945019E-2</v>
      </c>
      <c r="O564" s="2">
        <f t="shared" si="509"/>
        <v>6000000</v>
      </c>
      <c r="P564" s="2">
        <f t="shared" ca="1" si="510"/>
        <v>37432732.544701613</v>
      </c>
      <c r="Q564" s="2">
        <f t="shared" ca="1" si="511"/>
        <v>935818.31361754041</v>
      </c>
      <c r="R564" s="2">
        <f t="shared" ca="1" si="512"/>
        <v>22459639.526820969</v>
      </c>
      <c r="S564" s="2">
        <f t="shared" ca="1" si="513"/>
        <v>14973093.017880647</v>
      </c>
      <c r="T564" s="2">
        <f t="shared" ca="1" si="514"/>
        <v>51079057.283972509</v>
      </c>
      <c r="U564" s="2">
        <f t="shared" ca="1" si="515"/>
        <v>53806037.054915212</v>
      </c>
      <c r="V564" s="2">
        <f t="shared" ca="1" si="516"/>
        <v>56678603.276872233</v>
      </c>
      <c r="W564" s="2">
        <f t="shared" ca="1" si="517"/>
        <v>59704528.43680691</v>
      </c>
      <c r="X564" s="2">
        <f t="shared" ca="1" si="518"/>
        <v>62891999.974813014</v>
      </c>
      <c r="Y564" s="2">
        <f t="shared" ca="1" si="519"/>
        <v>0.12412808628668967</v>
      </c>
      <c r="Z564" s="2">
        <f t="shared" ca="1" si="520"/>
        <v>0.12577932080136553</v>
      </c>
      <c r="AA564" s="2">
        <f t="shared" ca="1" si="521"/>
        <v>6340345.6299877046</v>
      </c>
      <c r="AB564" s="2">
        <f t="shared" ca="1" si="522"/>
        <v>6767686.7957803411</v>
      </c>
      <c r="AC564" s="2">
        <f t="shared" ca="1" si="523"/>
        <v>7128996.2241350403</v>
      </c>
      <c r="AD564" s="2">
        <f t="shared" ca="1" si="524"/>
        <v>7509595.0355473869</v>
      </c>
      <c r="AE564" s="2">
        <f t="shared" ca="1" si="525"/>
        <v>7910513.040671479</v>
      </c>
      <c r="AF564" s="2">
        <f t="shared" ca="1" si="526"/>
        <v>1021581.1456794502</v>
      </c>
      <c r="AG564" s="2">
        <f t="shared" ca="1" si="527"/>
        <v>1076120.7410983043</v>
      </c>
      <c r="AH564" s="2">
        <f t="shared" ca="1" si="528"/>
        <v>1133572.0655374448</v>
      </c>
      <c r="AI564" s="2">
        <f t="shared" ca="1" si="529"/>
        <v>1194090.5687361383</v>
      </c>
      <c r="AJ564" s="2">
        <f t="shared" ca="1" si="530"/>
        <v>1257839.9994962604</v>
      </c>
      <c r="AK564" s="2">
        <f t="shared" ca="1" si="531"/>
        <v>0</v>
      </c>
      <c r="AL564" s="2">
        <f t="shared" ca="1" si="532"/>
        <v>27269.797709427028</v>
      </c>
      <c r="AM564" s="2">
        <f t="shared" ca="1" si="533"/>
        <v>28725.662219570204</v>
      </c>
      <c r="AN564" s="2">
        <f t="shared" ca="1" si="534"/>
        <v>30259.251599346771</v>
      </c>
      <c r="AO564" s="2">
        <f t="shared" ca="1" si="535"/>
        <v>31874.715380061047</v>
      </c>
      <c r="AP564" s="2">
        <f t="shared" ca="1" si="536"/>
        <v>2021367.5574138872</v>
      </c>
      <c r="AQ564" s="2">
        <f t="shared" ca="1" si="537"/>
        <v>857323.20099253533</v>
      </c>
      <c r="AR564" s="2">
        <f t="shared" ca="1" si="538"/>
        <v>954251.60928971891</v>
      </c>
      <c r="AS564" s="2">
        <f t="shared" ca="1" si="539"/>
        <v>1033254.7163077643</v>
      </c>
      <c r="AT564" s="2">
        <f t="shared" ca="1" si="540"/>
        <v>1116475.5964433141</v>
      </c>
      <c r="AU564" s="2">
        <f t="shared" ca="1" si="541"/>
        <v>1204139.4257779461</v>
      </c>
      <c r="AV564" s="2">
        <f t="shared" ca="1" si="542"/>
        <v>2440073.7259018309</v>
      </c>
      <c r="AW564" s="2">
        <f t="shared" ca="1" si="543"/>
        <v>2688677.090269004</v>
      </c>
      <c r="AX564" s="2">
        <f t="shared" ca="1" si="544"/>
        <v>2912076.2226563748</v>
      </c>
      <c r="AY564" s="2">
        <f t="shared" ca="1" si="545"/>
        <v>3147402.0613547005</v>
      </c>
      <c r="AZ564" s="2">
        <f t="shared" ca="1" si="546"/>
        <v>3395291.342603324</v>
      </c>
      <c r="BA564" s="2">
        <f t="shared" ca="1" si="547"/>
        <v>59753400.052944511</v>
      </c>
      <c r="BB564" s="2">
        <f t="shared" ca="1" si="548"/>
        <v>1195068.0010588903</v>
      </c>
      <c r="BC564" s="2">
        <f t="shared" ca="1" si="549"/>
        <v>36098692.525064647</v>
      </c>
      <c r="BD564" s="2">
        <f t="shared" ca="1" si="550"/>
        <v>-16408911.331498187</v>
      </c>
      <c r="BE564" s="2">
        <f t="shared" ca="1" si="551"/>
        <v>2440073.7259018309</v>
      </c>
      <c r="BF564" s="2">
        <f t="shared" ca="1" si="552"/>
        <v>2688677.090269004</v>
      </c>
      <c r="BG564" s="2">
        <f t="shared" ca="1" si="553"/>
        <v>2912076.2226563748</v>
      </c>
      <c r="BH564" s="2">
        <f t="shared" ca="1" si="554"/>
        <v>3147402.0613547005</v>
      </c>
      <c r="BI564" s="2">
        <f t="shared" ca="1" si="555"/>
        <v>39493983.867667973</v>
      </c>
      <c r="BJ564" s="2">
        <f t="shared" ca="1" si="556"/>
        <v>0.30241921722907383</v>
      </c>
      <c r="BK564" s="2">
        <f t="shared" ca="1" si="557"/>
        <v>14396059.170090798</v>
      </c>
    </row>
    <row r="565" spans="1:63" x14ac:dyDescent="0.3">
      <c r="A565" s="2">
        <v>564</v>
      </c>
      <c r="B565" s="2">
        <f t="shared" ca="1" si="496"/>
        <v>0.26927901843260471</v>
      </c>
      <c r="C565" s="2">
        <f t="shared" ca="1" si="497"/>
        <v>6.7338651353383732</v>
      </c>
      <c r="D565" s="2">
        <f t="shared" ca="1" si="498"/>
        <v>3.0634842205705115E-2</v>
      </c>
      <c r="E565" s="2">
        <f t="shared" ca="1" si="499"/>
        <v>6.74752713873717</v>
      </c>
      <c r="F565" s="2">
        <f t="shared" ca="1" si="500"/>
        <v>0.5066776258071729</v>
      </c>
      <c r="G565" s="2">
        <f t="shared" ca="1" si="501"/>
        <v>4.050217321998241E-2</v>
      </c>
      <c r="H565" s="2">
        <f t="shared" ca="1" si="502"/>
        <v>4.050217321998241E-2</v>
      </c>
      <c r="I565" s="2">
        <f t="shared" ca="1" si="503"/>
        <v>0.13394327166777475</v>
      </c>
      <c r="J565" s="2">
        <f t="shared" ca="1" si="504"/>
        <v>4.4602862721525591E-3</v>
      </c>
      <c r="K565" s="2">
        <f t="shared" ca="1" si="505"/>
        <v>4.4602862721525591E-3</v>
      </c>
      <c r="L565" s="2">
        <f t="shared" ca="1" si="506"/>
        <v>0.16755436909135435</v>
      </c>
      <c r="M565" s="2">
        <f t="shared" ca="1" si="507"/>
        <v>-1.9277494453065532E-2</v>
      </c>
      <c r="N565" s="2">
        <f t="shared" ca="1" si="508"/>
        <v>-1.9277494453065532E-2</v>
      </c>
      <c r="O565" s="2">
        <f t="shared" si="509"/>
        <v>6000000</v>
      </c>
      <c r="P565" s="2">
        <f t="shared" ca="1" si="510"/>
        <v>40403190.812030241</v>
      </c>
      <c r="Q565" s="2">
        <f t="shared" ca="1" si="511"/>
        <v>1010079.7703007561</v>
      </c>
      <c r="R565" s="2">
        <f t="shared" ca="1" si="512"/>
        <v>24241914.487218145</v>
      </c>
      <c r="S565" s="2">
        <f t="shared" ca="1" si="513"/>
        <v>16161276.324812097</v>
      </c>
      <c r="T565" s="2">
        <f t="shared" ca="1" si="514"/>
        <v>49036125.277346723</v>
      </c>
      <c r="U565" s="2">
        <f t="shared" ca="1" si="515"/>
        <v>51022194.917366579</v>
      </c>
      <c r="V565" s="2">
        <f t="shared" ca="1" si="516"/>
        <v>53088704.693973467</v>
      </c>
      <c r="W565" s="2">
        <f t="shared" ca="1" si="517"/>
        <v>55238912.607513271</v>
      </c>
      <c r="X565" s="2">
        <f t="shared" ca="1" si="518"/>
        <v>57476208.61442624</v>
      </c>
      <c r="Y565" s="2">
        <f t="shared" ca="1" si="519"/>
        <v>0.12223014313607627</v>
      </c>
      <c r="Z565" s="2">
        <f t="shared" ca="1" si="520"/>
        <v>0.12312220039050678</v>
      </c>
      <c r="AA565" s="2">
        <f t="shared" ca="1" si="521"/>
        <v>5993692.611488658</v>
      </c>
      <c r="AB565" s="2">
        <f t="shared" ca="1" si="522"/>
        <v>6281964.906979505</v>
      </c>
      <c r="AC565" s="2">
        <f t="shared" ca="1" si="523"/>
        <v>6536398.1378038395</v>
      </c>
      <c r="AD565" s="2">
        <f t="shared" ca="1" si="524"/>
        <v>6801136.46741594</v>
      </c>
      <c r="AE565" s="2">
        <f t="shared" ca="1" si="525"/>
        <v>7076597.27471196</v>
      </c>
      <c r="AF565" s="2">
        <f t="shared" ca="1" si="526"/>
        <v>980722.50554693444</v>
      </c>
      <c r="AG565" s="2">
        <f t="shared" ca="1" si="527"/>
        <v>1020443.8983473316</v>
      </c>
      <c r="AH565" s="2">
        <f t="shared" ca="1" si="528"/>
        <v>1061774.0938794694</v>
      </c>
      <c r="AI565" s="2">
        <f t="shared" ca="1" si="529"/>
        <v>1104778.2521502655</v>
      </c>
      <c r="AJ565" s="2">
        <f t="shared" ca="1" si="530"/>
        <v>1149524.1722885249</v>
      </c>
      <c r="AK565" s="2">
        <f t="shared" ca="1" si="531"/>
        <v>0</v>
      </c>
      <c r="AL565" s="2">
        <f t="shared" ca="1" si="532"/>
        <v>19860.696400198565</v>
      </c>
      <c r="AM565" s="2">
        <f t="shared" ca="1" si="533"/>
        <v>20665.097766068877</v>
      </c>
      <c r="AN565" s="2">
        <f t="shared" ca="1" si="534"/>
        <v>21502.079135398046</v>
      </c>
      <c r="AO565" s="2">
        <f t="shared" ca="1" si="535"/>
        <v>22372.960069129691</v>
      </c>
      <c r="AP565" s="2">
        <f t="shared" ca="1" si="536"/>
        <v>2181772.3038496329</v>
      </c>
      <c r="AQ565" s="2">
        <f t="shared" ca="1" si="537"/>
        <v>736111.42854394368</v>
      </c>
      <c r="AR565" s="2">
        <f t="shared" ca="1" si="538"/>
        <v>800734.6632434607</v>
      </c>
      <c r="AS565" s="2">
        <f t="shared" ca="1" si="539"/>
        <v>856141.45241943165</v>
      </c>
      <c r="AT565" s="2">
        <f t="shared" ca="1" si="540"/>
        <v>913792.33696817083</v>
      </c>
      <c r="AU565" s="2">
        <f t="shared" ca="1" si="541"/>
        <v>973778.20762918866</v>
      </c>
      <c r="AV565" s="2">
        <f t="shared" ca="1" si="542"/>
        <v>2095086.3735481473</v>
      </c>
      <c r="AW565" s="2">
        <f t="shared" ca="1" si="543"/>
        <v>2259153.3451388823</v>
      </c>
      <c r="AX565" s="2">
        <f t="shared" ca="1" si="544"/>
        <v>2416045.1898892364</v>
      </c>
      <c r="AY565" s="2">
        <f t="shared" ca="1" si="545"/>
        <v>2579291.4953124728</v>
      </c>
      <c r="AZ565" s="2">
        <f t="shared" ca="1" si="546"/>
        <v>2749149.6308754841</v>
      </c>
      <c r="BA565" s="2">
        <f t="shared" ca="1" si="547"/>
        <v>47749532.161032446</v>
      </c>
      <c r="BB565" s="2">
        <f t="shared" ca="1" si="548"/>
        <v>954990.64322064898</v>
      </c>
      <c r="BC565" s="2">
        <f t="shared" ca="1" si="549"/>
        <v>22552627.030593652</v>
      </c>
      <c r="BD565" s="2">
        <f t="shared" ca="1" si="550"/>
        <v>-17671356.095112853</v>
      </c>
      <c r="BE565" s="2">
        <f t="shared" ca="1" si="551"/>
        <v>2095086.3735481473</v>
      </c>
      <c r="BF565" s="2">
        <f t="shared" ca="1" si="552"/>
        <v>2259153.3451388823</v>
      </c>
      <c r="BG565" s="2">
        <f t="shared" ca="1" si="553"/>
        <v>2416045.1898892364</v>
      </c>
      <c r="BH565" s="2">
        <f t="shared" ca="1" si="554"/>
        <v>2579291.4953124728</v>
      </c>
      <c r="BI565" s="2">
        <f t="shared" ca="1" si="555"/>
        <v>25301776.661469135</v>
      </c>
      <c r="BJ565" s="2">
        <f t="shared" ca="1" si="556"/>
        <v>0.17315686131000629</v>
      </c>
      <c r="BK565" s="2">
        <f t="shared" ca="1" si="557"/>
        <v>3716027.1474522315</v>
      </c>
    </row>
    <row r="566" spans="1:63" x14ac:dyDescent="0.3">
      <c r="A566" s="2">
        <v>565</v>
      </c>
      <c r="B566" s="2">
        <f t="shared" ca="1" si="496"/>
        <v>0.65998757518764017</v>
      </c>
      <c r="C566" s="2">
        <f t="shared" ca="1" si="497"/>
        <v>7.1753638077159607</v>
      </c>
      <c r="D566" s="2">
        <f t="shared" ca="1" si="498"/>
        <v>0.27000515357747168</v>
      </c>
      <c r="E566" s="2">
        <f t="shared" ca="1" si="499"/>
        <v>7.2348539359321302</v>
      </c>
      <c r="F566" s="2">
        <f t="shared" ca="1" si="500"/>
        <v>0.81788199709717657</v>
      </c>
      <c r="G566" s="2">
        <f t="shared" ca="1" si="501"/>
        <v>6.7219690514573507E-2</v>
      </c>
      <c r="H566" s="2">
        <f t="shared" ca="1" si="502"/>
        <v>6.7219690514573507E-2</v>
      </c>
      <c r="I566" s="2">
        <f t="shared" ca="1" si="503"/>
        <v>7.4816929567454338E-2</v>
      </c>
      <c r="J566" s="2">
        <f t="shared" ca="1" si="504"/>
        <v>2.7958702295979299E-3</v>
      </c>
      <c r="K566" s="2">
        <f t="shared" ca="1" si="505"/>
        <v>2.7958702295979299E-3</v>
      </c>
      <c r="L566" s="2">
        <f t="shared" ca="1" si="506"/>
        <v>0.35807877387715514</v>
      </c>
      <c r="M566" s="2">
        <f t="shared" ca="1" si="507"/>
        <v>-7.2719780149192352E-3</v>
      </c>
      <c r="N566" s="2">
        <f t="shared" ca="1" si="508"/>
        <v>-7.2719780149192352E-3</v>
      </c>
      <c r="O566" s="2">
        <f t="shared" si="509"/>
        <v>6000000</v>
      </c>
      <c r="P566" s="2">
        <f t="shared" ca="1" si="510"/>
        <v>43052182.846295767</v>
      </c>
      <c r="Q566" s="2">
        <f t="shared" ca="1" si="511"/>
        <v>1076304.5711573942</v>
      </c>
      <c r="R566" s="2">
        <f t="shared" ca="1" si="512"/>
        <v>25831309.707777459</v>
      </c>
      <c r="S566" s="2">
        <f t="shared" ca="1" si="513"/>
        <v>17220873.138518307</v>
      </c>
      <c r="T566" s="2">
        <f t="shared" ca="1" si="514"/>
        <v>49636401.099254042</v>
      </c>
      <c r="U566" s="2">
        <f t="shared" ca="1" si="515"/>
        <v>52972944.619403131</v>
      </c>
      <c r="V566" s="2">
        <f t="shared" ca="1" si="516"/>
        <v>56533769.562365048</v>
      </c>
      <c r="W566" s="2">
        <f t="shared" ca="1" si="517"/>
        <v>60333952.055969439</v>
      </c>
      <c r="X566" s="2">
        <f t="shared" ca="1" si="518"/>
        <v>64389581.640692815</v>
      </c>
      <c r="Y566" s="2">
        <f t="shared" ca="1" si="519"/>
        <v>0.12139793511479896</v>
      </c>
      <c r="Z566" s="2">
        <f t="shared" ca="1" si="520"/>
        <v>0.12195710916071854</v>
      </c>
      <c r="AA566" s="2">
        <f t="shared" ca="1" si="521"/>
        <v>6025756.5999793783</v>
      </c>
      <c r="AB566" s="2">
        <f t="shared" ca="1" si="522"/>
        <v>6460427.1895132456</v>
      </c>
      <c r="AC566" s="2">
        <f t="shared" ca="1" si="523"/>
        <v>6894695.1057842616</v>
      </c>
      <c r="AD566" s="2">
        <f t="shared" ca="1" si="524"/>
        <v>7358154.3769874237</v>
      </c>
      <c r="AE566" s="2">
        <f t="shared" ca="1" si="525"/>
        <v>7852767.2369669722</v>
      </c>
      <c r="AF566" s="2">
        <f t="shared" ca="1" si="526"/>
        <v>992728.02198508091</v>
      </c>
      <c r="AG566" s="2">
        <f t="shared" ca="1" si="527"/>
        <v>1059458.8923880626</v>
      </c>
      <c r="AH566" s="2">
        <f t="shared" ca="1" si="528"/>
        <v>1130675.3912473009</v>
      </c>
      <c r="AI566" s="2">
        <f t="shared" ca="1" si="529"/>
        <v>1206679.0411193888</v>
      </c>
      <c r="AJ566" s="2">
        <f t="shared" ca="1" si="530"/>
        <v>1287791.6328138562</v>
      </c>
      <c r="AK566" s="2">
        <f t="shared" ca="1" si="531"/>
        <v>0</v>
      </c>
      <c r="AL566" s="2">
        <f t="shared" ca="1" si="532"/>
        <v>33365.435201490895</v>
      </c>
      <c r="AM566" s="2">
        <f t="shared" ca="1" si="533"/>
        <v>35608.249429619165</v>
      </c>
      <c r="AN566" s="2">
        <f t="shared" ca="1" si="534"/>
        <v>38001.824936043922</v>
      </c>
      <c r="AO566" s="2">
        <f t="shared" ca="1" si="535"/>
        <v>40556.295847233756</v>
      </c>
      <c r="AP566" s="2">
        <f t="shared" ca="1" si="536"/>
        <v>2324817.873699971</v>
      </c>
      <c r="AQ566" s="2">
        <f t="shared" ca="1" si="537"/>
        <v>704134.78311652481</v>
      </c>
      <c r="AR566" s="2">
        <f t="shared" ca="1" si="538"/>
        <v>799799.11009055516</v>
      </c>
      <c r="AS566" s="2">
        <f t="shared" ca="1" si="539"/>
        <v>894192.47861761751</v>
      </c>
      <c r="AT566" s="2">
        <f t="shared" ca="1" si="540"/>
        <v>994930.94016369653</v>
      </c>
      <c r="AU566" s="2">
        <f t="shared" ca="1" si="541"/>
        <v>1102441.0099178178</v>
      </c>
      <c r="AV566" s="2">
        <f t="shared" ca="1" si="542"/>
        <v>2004075.9211778012</v>
      </c>
      <c r="AW566" s="2">
        <f t="shared" ca="1" si="543"/>
        <v>2242985.8781331661</v>
      </c>
      <c r="AX566" s="2">
        <f t="shared" ca="1" si="544"/>
        <v>2509401.1127897534</v>
      </c>
      <c r="AY566" s="2">
        <f t="shared" ca="1" si="545"/>
        <v>2793724.6970683238</v>
      </c>
      <c r="AZ566" s="2">
        <f t="shared" ca="1" si="546"/>
        <v>3097160.4246880938</v>
      </c>
      <c r="BA566" s="2">
        <f t="shared" ca="1" si="547"/>
        <v>56813623.952329375</v>
      </c>
      <c r="BB566" s="2">
        <f t="shared" ca="1" si="548"/>
        <v>1136272.4790465876</v>
      </c>
      <c r="BC566" s="2">
        <f t="shared" ca="1" si="549"/>
        <v>29846041.765505329</v>
      </c>
      <c r="BD566" s="2">
        <f t="shared" ca="1" si="550"/>
        <v>-18797177.709675703</v>
      </c>
      <c r="BE566" s="2">
        <f t="shared" ca="1" si="551"/>
        <v>2004075.9211778012</v>
      </c>
      <c r="BF566" s="2">
        <f t="shared" ca="1" si="552"/>
        <v>2242985.8781331661</v>
      </c>
      <c r="BG566" s="2">
        <f t="shared" ca="1" si="553"/>
        <v>2509401.1127897534</v>
      </c>
      <c r="BH566" s="2">
        <f t="shared" ca="1" si="554"/>
        <v>2793724.6970683238</v>
      </c>
      <c r="BI566" s="2">
        <f t="shared" ca="1" si="555"/>
        <v>32943202.190193422</v>
      </c>
      <c r="BJ566" s="2">
        <f t="shared" ca="1" si="556"/>
        <v>0.20708991039271041</v>
      </c>
      <c r="BK566" s="2">
        <f t="shared" ca="1" si="557"/>
        <v>7034732.7339383066</v>
      </c>
    </row>
    <row r="567" spans="1:63" x14ac:dyDescent="0.3">
      <c r="A567" s="2">
        <v>566</v>
      </c>
      <c r="B567" s="2">
        <f t="shared" ca="1" si="496"/>
        <v>0.89604701313320878</v>
      </c>
      <c r="C567" s="2">
        <f t="shared" ca="1" si="497"/>
        <v>7.544032924726376</v>
      </c>
      <c r="D567" s="2">
        <f t="shared" ca="1" si="498"/>
        <v>0.61754605464225576</v>
      </c>
      <c r="E567" s="2">
        <f t="shared" ca="1" si="499"/>
        <v>7.6254098727315247</v>
      </c>
      <c r="F567" s="2">
        <f t="shared" ca="1" si="500"/>
        <v>0.1297693760257389</v>
      </c>
      <c r="G567" s="2">
        <f t="shared" ca="1" si="501"/>
        <v>6.1755403800491174E-3</v>
      </c>
      <c r="H567" s="2">
        <f t="shared" ca="1" si="502"/>
        <v>6.1755403800491174E-3</v>
      </c>
      <c r="I567" s="2">
        <f t="shared" ca="1" si="503"/>
        <v>1.3155453281073148E-2</v>
      </c>
      <c r="J567" s="2">
        <f t="shared" ca="1" si="504"/>
        <v>-1.1079588506537359E-3</v>
      </c>
      <c r="K567" s="2">
        <f t="shared" ca="1" si="505"/>
        <v>0</v>
      </c>
      <c r="L567" s="2">
        <f t="shared" ca="1" si="506"/>
        <v>0.98181242471106545</v>
      </c>
      <c r="M567" s="2">
        <f t="shared" ca="1" si="507"/>
        <v>4.1854177488366957E-2</v>
      </c>
      <c r="N567" s="2">
        <f t="shared" ca="1" si="508"/>
        <v>4.1854177488366957E-2</v>
      </c>
      <c r="O567" s="2">
        <f t="shared" si="509"/>
        <v>6000000</v>
      </c>
      <c r="P567" s="2">
        <f t="shared" ca="1" si="510"/>
        <v>45264197.548358254</v>
      </c>
      <c r="Q567" s="2">
        <f t="shared" ca="1" si="511"/>
        <v>1131604.9387089564</v>
      </c>
      <c r="R567" s="2">
        <f t="shared" ca="1" si="512"/>
        <v>27158518.529014952</v>
      </c>
      <c r="S567" s="2">
        <f t="shared" ca="1" si="513"/>
        <v>18105679.019343302</v>
      </c>
      <c r="T567" s="2">
        <f t="shared" ca="1" si="514"/>
        <v>52092708.874418348</v>
      </c>
      <c r="U567" s="2">
        <f t="shared" ca="1" si="515"/>
        <v>52414409.501578465</v>
      </c>
      <c r="V567" s="2">
        <f t="shared" ca="1" si="516"/>
        <v>52738096.803951897</v>
      </c>
      <c r="W567" s="2">
        <f t="shared" ca="1" si="517"/>
        <v>53063783.050331645</v>
      </c>
      <c r="X567" s="2">
        <f t="shared" ca="1" si="518"/>
        <v>53391480.58527714</v>
      </c>
      <c r="Y567" s="2">
        <f t="shared" ca="1" si="519"/>
        <v>0.12</v>
      </c>
      <c r="Z567" s="2">
        <f t="shared" ca="1" si="520"/>
        <v>0.12</v>
      </c>
      <c r="AA567" s="2">
        <f t="shared" ca="1" si="521"/>
        <v>6251125.0649302015</v>
      </c>
      <c r="AB567" s="2">
        <f t="shared" ca="1" si="522"/>
        <v>6289729.1401894158</v>
      </c>
      <c r="AC567" s="2">
        <f t="shared" ca="1" si="523"/>
        <v>6328571.616474227</v>
      </c>
      <c r="AD567" s="2">
        <f t="shared" ca="1" si="524"/>
        <v>6367653.9660397973</v>
      </c>
      <c r="AE567" s="2">
        <f t="shared" ca="1" si="525"/>
        <v>6406977.6702332562</v>
      </c>
      <c r="AF567" s="2">
        <f t="shared" ca="1" si="526"/>
        <v>1041854.177488367</v>
      </c>
      <c r="AG567" s="2">
        <f t="shared" ca="1" si="527"/>
        <v>1048288.1900315693</v>
      </c>
      <c r="AH567" s="2">
        <f t="shared" ca="1" si="528"/>
        <v>1054761.9360790378</v>
      </c>
      <c r="AI567" s="2">
        <f t="shared" ca="1" si="529"/>
        <v>1061275.661006633</v>
      </c>
      <c r="AJ567" s="2">
        <f t="shared" ca="1" si="530"/>
        <v>1067829.6117055428</v>
      </c>
      <c r="AK567" s="2">
        <f t="shared" ca="1" si="531"/>
        <v>0</v>
      </c>
      <c r="AL567" s="2">
        <f t="shared" ca="1" si="532"/>
        <v>3217.0062716011703</v>
      </c>
      <c r="AM567" s="2">
        <f t="shared" ca="1" si="533"/>
        <v>3236.8730237343161</v>
      </c>
      <c r="AN567" s="2">
        <f t="shared" ca="1" si="534"/>
        <v>3256.8624637974799</v>
      </c>
      <c r="AO567" s="2">
        <f t="shared" ca="1" si="535"/>
        <v>3276.9753494549545</v>
      </c>
      <c r="AP567" s="2">
        <f t="shared" ca="1" si="536"/>
        <v>2444266.6676113456</v>
      </c>
      <c r="AQ567" s="2">
        <f t="shared" ca="1" si="537"/>
        <v>718901.0971559271</v>
      </c>
      <c r="AR567" s="2">
        <f t="shared" ca="1" si="538"/>
        <v>727265.31346209021</v>
      </c>
      <c r="AS567" s="2">
        <f t="shared" ca="1" si="539"/>
        <v>735681.18332379952</v>
      </c>
      <c r="AT567" s="2">
        <f t="shared" ca="1" si="540"/>
        <v>744149.02572967287</v>
      </c>
      <c r="AU567" s="2">
        <f t="shared" ca="1" si="541"/>
        <v>752669.1616382557</v>
      </c>
      <c r="AV567" s="2">
        <f t="shared" ca="1" si="542"/>
        <v>2046103.122674562</v>
      </c>
      <c r="AW567" s="2">
        <f t="shared" ca="1" si="543"/>
        <v>2066691.9628128093</v>
      </c>
      <c r="AX567" s="2">
        <f t="shared" ca="1" si="544"/>
        <v>2090624.95643631</v>
      </c>
      <c r="AY567" s="2">
        <f t="shared" ca="1" si="545"/>
        <v>2114705.749228348</v>
      </c>
      <c r="AZ567" s="2">
        <f t="shared" ca="1" si="546"/>
        <v>2138935.2539286576</v>
      </c>
      <c r="BA567" s="2">
        <f t="shared" ca="1" si="547"/>
        <v>48855830.780967094</v>
      </c>
      <c r="BB567" s="2">
        <f t="shared" ca="1" si="548"/>
        <v>977116.61561934184</v>
      </c>
      <c r="BC567" s="2">
        <f t="shared" ca="1" si="549"/>
        <v>20720195.636332799</v>
      </c>
      <c r="BD567" s="2">
        <f t="shared" ca="1" si="550"/>
        <v>-19737283.958052259</v>
      </c>
      <c r="BE567" s="2">
        <f t="shared" ca="1" si="551"/>
        <v>2046103.122674562</v>
      </c>
      <c r="BF567" s="2">
        <f t="shared" ca="1" si="552"/>
        <v>2066691.9628128093</v>
      </c>
      <c r="BG567" s="2">
        <f t="shared" ca="1" si="553"/>
        <v>2090624.95643631</v>
      </c>
      <c r="BH567" s="2">
        <f t="shared" ca="1" si="554"/>
        <v>2114705.749228348</v>
      </c>
      <c r="BI567" s="2">
        <f t="shared" ca="1" si="555"/>
        <v>22859130.890261456</v>
      </c>
      <c r="BJ567" s="2">
        <f t="shared" ca="1" si="556"/>
        <v>0.11364790609423525</v>
      </c>
      <c r="BK567" s="2">
        <f t="shared" ca="1" si="557"/>
        <v>-459967.94117235392</v>
      </c>
    </row>
    <row r="568" spans="1:63" x14ac:dyDescent="0.3">
      <c r="A568" s="2">
        <v>567</v>
      </c>
      <c r="B568" s="2">
        <f t="shared" ca="1" si="496"/>
        <v>0.83185022403311548</v>
      </c>
      <c r="C568" s="2">
        <f t="shared" ca="1" si="497"/>
        <v>7.420086599625626</v>
      </c>
      <c r="D568" s="2">
        <f t="shared" ca="1" si="498"/>
        <v>0.27828195329804284</v>
      </c>
      <c r="E568" s="2">
        <f t="shared" ca="1" si="499"/>
        <v>7.24603210828763</v>
      </c>
      <c r="F568" s="2">
        <f t="shared" ca="1" si="500"/>
        <v>0.99735851673246678</v>
      </c>
      <c r="G568" s="2">
        <f t="shared" ca="1" si="501"/>
        <v>0.12367761055196153</v>
      </c>
      <c r="H568" s="2">
        <f t="shared" ca="1" si="502"/>
        <v>0.12</v>
      </c>
      <c r="I568" s="2">
        <f t="shared" ca="1" si="503"/>
        <v>0.84337661388641094</v>
      </c>
      <c r="J568" s="2">
        <f t="shared" ca="1" si="504"/>
        <v>1.504216359395379E-2</v>
      </c>
      <c r="K568" s="2">
        <f t="shared" ca="1" si="505"/>
        <v>1.504216359395379E-2</v>
      </c>
      <c r="L568" s="2">
        <f t="shared" ca="1" si="506"/>
        <v>0.49881512707679421</v>
      </c>
      <c r="M568" s="2">
        <f t="shared" ca="1" si="507"/>
        <v>-5.9400806753399193E-5</v>
      </c>
      <c r="N568" s="2">
        <f t="shared" ca="1" si="508"/>
        <v>-5.9400806753399193E-5</v>
      </c>
      <c r="O568" s="2">
        <f t="shared" si="509"/>
        <v>6000000</v>
      </c>
      <c r="P568" s="2">
        <f t="shared" ca="1" si="510"/>
        <v>44520519.597753756</v>
      </c>
      <c r="Q568" s="2">
        <f t="shared" ca="1" si="511"/>
        <v>1113012.989943844</v>
      </c>
      <c r="R568" s="2">
        <f t="shared" ca="1" si="512"/>
        <v>26712311.758652251</v>
      </c>
      <c r="S568" s="2">
        <f t="shared" ca="1" si="513"/>
        <v>17808207.839101505</v>
      </c>
      <c r="T568" s="2">
        <f t="shared" ca="1" si="514"/>
        <v>49997029.959662333</v>
      </c>
      <c r="U568" s="2">
        <f t="shared" ca="1" si="515"/>
        <v>55996673.554821819</v>
      </c>
      <c r="V568" s="2">
        <f t="shared" ca="1" si="516"/>
        <v>62716274.381400444</v>
      </c>
      <c r="W568" s="2">
        <f t="shared" ca="1" si="517"/>
        <v>70242227.307168499</v>
      </c>
      <c r="X568" s="2">
        <f t="shared" ca="1" si="518"/>
        <v>78671294.584028721</v>
      </c>
      <c r="Y568" s="2">
        <f t="shared" ca="1" si="519"/>
        <v>0.12752108179697688</v>
      </c>
      <c r="Z568" s="2">
        <f t="shared" ca="1" si="520"/>
        <v>0.13052951451576764</v>
      </c>
      <c r="AA568" s="2">
        <f t="shared" ca="1" si="521"/>
        <v>6375675.3470920045</v>
      </c>
      <c r="AB568" s="2">
        <f t="shared" ca="1" si="522"/>
        <v>7309218.6136088166</v>
      </c>
      <c r="AC568" s="2">
        <f t="shared" ca="1" si="523"/>
        <v>8186324.8472418748</v>
      </c>
      <c r="AD568" s="2">
        <f t="shared" ca="1" si="524"/>
        <v>9168683.8289109003</v>
      </c>
      <c r="AE568" s="2">
        <f t="shared" ca="1" si="525"/>
        <v>10268925.888380209</v>
      </c>
      <c r="AF568" s="2">
        <f t="shared" ca="1" si="526"/>
        <v>999940.59919324669</v>
      </c>
      <c r="AG568" s="2">
        <f t="shared" ca="1" si="527"/>
        <v>1119933.4710964365</v>
      </c>
      <c r="AH568" s="2">
        <f t="shared" ca="1" si="528"/>
        <v>1254325.4876280089</v>
      </c>
      <c r="AI568" s="2">
        <f t="shared" ca="1" si="529"/>
        <v>1404844.54614337</v>
      </c>
      <c r="AJ568" s="2">
        <f t="shared" ca="1" si="530"/>
        <v>1573425.8916805745</v>
      </c>
      <c r="AK568" s="2">
        <f t="shared" ca="1" si="531"/>
        <v>0</v>
      </c>
      <c r="AL568" s="2">
        <f t="shared" ca="1" si="532"/>
        <v>59996.43595159486</v>
      </c>
      <c r="AM568" s="2">
        <f t="shared" ca="1" si="533"/>
        <v>67196.008265786251</v>
      </c>
      <c r="AN568" s="2">
        <f t="shared" ca="1" si="534"/>
        <v>75259.529257680551</v>
      </c>
      <c r="AO568" s="2">
        <f t="shared" ca="1" si="535"/>
        <v>84290.67276860222</v>
      </c>
      <c r="AP568" s="2">
        <f t="shared" ca="1" si="536"/>
        <v>2404108.0582787027</v>
      </c>
      <c r="AQ568" s="2">
        <f t="shared" ca="1" si="537"/>
        <v>772622.9393012143</v>
      </c>
      <c r="AR568" s="2">
        <f t="shared" ca="1" si="538"/>
        <v>984146.04190075619</v>
      </c>
      <c r="AS568" s="2">
        <f t="shared" ca="1" si="539"/>
        <v>1177251.7383471425</v>
      </c>
      <c r="AT568" s="2">
        <f t="shared" ca="1" si="540"/>
        <v>1393530.1183670955</v>
      </c>
      <c r="AU568" s="2">
        <f t="shared" ca="1" si="541"/>
        <v>1635761.9039894426</v>
      </c>
      <c r="AV568" s="2">
        <f t="shared" ca="1" si="542"/>
        <v>2199003.7503188406</v>
      </c>
      <c r="AW568" s="2">
        <f t="shared" ca="1" si="543"/>
        <v>2741034.6063813264</v>
      </c>
      <c r="AX568" s="2">
        <f t="shared" ca="1" si="544"/>
        <v>3283443.5547222341</v>
      </c>
      <c r="AY568" s="2">
        <f t="shared" ca="1" si="545"/>
        <v>3890941.5768640521</v>
      </c>
      <c r="AZ568" s="2">
        <f t="shared" ca="1" si="546"/>
        <v>4571339.361662887</v>
      </c>
      <c r="BA568" s="2">
        <f t="shared" ca="1" si="547"/>
        <v>74408966.704829067</v>
      </c>
      <c r="BB568" s="2">
        <f t="shared" ca="1" si="548"/>
        <v>1488179.3340965814</v>
      </c>
      <c r="BC568" s="2">
        <f t="shared" ca="1" si="549"/>
        <v>46208475.612080231</v>
      </c>
      <c r="BD568" s="2">
        <f t="shared" ca="1" si="550"/>
        <v>-19421220.829045348</v>
      </c>
      <c r="BE568" s="2">
        <f t="shared" ca="1" si="551"/>
        <v>2199003.7503188406</v>
      </c>
      <c r="BF568" s="2">
        <f t="shared" ca="1" si="552"/>
        <v>2741034.6063813264</v>
      </c>
      <c r="BG568" s="2">
        <f t="shared" ca="1" si="553"/>
        <v>3283443.5547222341</v>
      </c>
      <c r="BH568" s="2">
        <f t="shared" ca="1" si="554"/>
        <v>3890941.5768640521</v>
      </c>
      <c r="BI568" s="2">
        <f t="shared" ca="1" si="555"/>
        <v>50779814.973743118</v>
      </c>
      <c r="BJ568" s="2">
        <f t="shared" ca="1" si="556"/>
        <v>0.306742518414167</v>
      </c>
      <c r="BK568" s="2">
        <f t="shared" ca="1" si="557"/>
        <v>18350996.108658075</v>
      </c>
    </row>
    <row r="569" spans="1:63" x14ac:dyDescent="0.3">
      <c r="A569" s="2">
        <v>568</v>
      </c>
      <c r="B569" s="2">
        <f t="shared" ca="1" si="496"/>
        <v>0.14608440627619035</v>
      </c>
      <c r="C569" s="2">
        <f t="shared" ca="1" si="497"/>
        <v>6.5405264216968311</v>
      </c>
      <c r="D569" s="2">
        <f t="shared" ca="1" si="498"/>
        <v>0.6923227666278905</v>
      </c>
      <c r="E569" s="2">
        <f t="shared" ca="1" si="499"/>
        <v>7.7155546757458371</v>
      </c>
      <c r="F569" s="2">
        <f t="shared" ca="1" si="500"/>
        <v>0.36897430459577274</v>
      </c>
      <c r="G569" s="2">
        <f t="shared" ca="1" si="501"/>
        <v>2.9962865435303826E-2</v>
      </c>
      <c r="H569" s="2">
        <f t="shared" ca="1" si="502"/>
        <v>2.9962865435303826E-2</v>
      </c>
      <c r="I569" s="2">
        <f t="shared" ca="1" si="503"/>
        <v>0.24048112127184407</v>
      </c>
      <c r="J569" s="2">
        <f t="shared" ca="1" si="504"/>
        <v>6.4762211864650317E-3</v>
      </c>
      <c r="K569" s="2">
        <f t="shared" ca="1" si="505"/>
        <v>6.4762211864650317E-3</v>
      </c>
      <c r="L569" s="2">
        <f t="shared" ca="1" si="506"/>
        <v>0.42666278710533045</v>
      </c>
      <c r="M569" s="2">
        <f t="shared" ca="1" si="507"/>
        <v>-3.6975383969583067E-3</v>
      </c>
      <c r="N569" s="2">
        <f t="shared" ca="1" si="508"/>
        <v>-3.6975383969583067E-3</v>
      </c>
      <c r="O569" s="2">
        <f t="shared" si="509"/>
        <v>6000000</v>
      </c>
      <c r="P569" s="2">
        <f t="shared" ca="1" si="510"/>
        <v>39243158.530180983</v>
      </c>
      <c r="Q569" s="2">
        <f t="shared" ca="1" si="511"/>
        <v>981078.96325452463</v>
      </c>
      <c r="R569" s="2">
        <f t="shared" ca="1" si="512"/>
        <v>23545895.118108589</v>
      </c>
      <c r="S569" s="2">
        <f t="shared" ca="1" si="513"/>
        <v>15697263.412072394</v>
      </c>
      <c r="T569" s="2">
        <f t="shared" ca="1" si="514"/>
        <v>49815123.080152087</v>
      </c>
      <c r="U569" s="2">
        <f t="shared" ca="1" si="515"/>
        <v>51307726.909645788</v>
      </c>
      <c r="V569" s="2">
        <f t="shared" ca="1" si="516"/>
        <v>52845053.426830828</v>
      </c>
      <c r="W569" s="2">
        <f t="shared" ca="1" si="517"/>
        <v>54428442.651580408</v>
      </c>
      <c r="X569" s="2">
        <f t="shared" ca="1" si="518"/>
        <v>56059274.754602864</v>
      </c>
      <c r="Y569" s="2">
        <f t="shared" ca="1" si="519"/>
        <v>0.12323811059323252</v>
      </c>
      <c r="Z569" s="2">
        <f t="shared" ca="1" si="520"/>
        <v>0.12453335483052552</v>
      </c>
      <c r="AA569" s="2">
        <f t="shared" ca="1" si="521"/>
        <v>6139121.6473672725</v>
      </c>
      <c r="AB569" s="2">
        <f t="shared" ca="1" si="522"/>
        <v>6389523.3607866215</v>
      </c>
      <c r="AC569" s="2">
        <f t="shared" ca="1" si="523"/>
        <v>6580971.7894416023</v>
      </c>
      <c r="AD569" s="2">
        <f t="shared" ca="1" si="524"/>
        <v>6778156.5616021724</v>
      </c>
      <c r="AE569" s="2">
        <f t="shared" ca="1" si="525"/>
        <v>6981249.5545568801</v>
      </c>
      <c r="AF569" s="2">
        <f t="shared" ca="1" si="526"/>
        <v>996302.46160304174</v>
      </c>
      <c r="AG569" s="2">
        <f t="shared" ca="1" si="527"/>
        <v>1026154.5381929158</v>
      </c>
      <c r="AH569" s="2">
        <f t="shared" ca="1" si="528"/>
        <v>1056901.0685366166</v>
      </c>
      <c r="AI569" s="2">
        <f t="shared" ca="1" si="529"/>
        <v>1088568.8530316083</v>
      </c>
      <c r="AJ569" s="2">
        <f t="shared" ca="1" si="530"/>
        <v>1121185.4950920574</v>
      </c>
      <c r="AK569" s="2">
        <f t="shared" ca="1" si="531"/>
        <v>0</v>
      </c>
      <c r="AL569" s="2">
        <f t="shared" ca="1" si="532"/>
        <v>14926.038294937014</v>
      </c>
      <c r="AM569" s="2">
        <f t="shared" ca="1" si="533"/>
        <v>15373.265171850398</v>
      </c>
      <c r="AN569" s="2">
        <f t="shared" ca="1" si="534"/>
        <v>15833.8922474958</v>
      </c>
      <c r="AO569" s="2">
        <f t="shared" ca="1" si="535"/>
        <v>16308.321030224562</v>
      </c>
      <c r="AP569" s="2">
        <f t="shared" ca="1" si="536"/>
        <v>2119130.560629773</v>
      </c>
      <c r="AQ569" s="2">
        <f t="shared" ca="1" si="537"/>
        <v>786159.04253495904</v>
      </c>
      <c r="AR569" s="2">
        <f t="shared" ca="1" si="538"/>
        <v>843501.94811062259</v>
      </c>
      <c r="AS569" s="2">
        <f t="shared" ca="1" si="539"/>
        <v>885284.44167155528</v>
      </c>
      <c r="AT569" s="2">
        <f t="shared" ca="1" si="540"/>
        <v>928318.85846460576</v>
      </c>
      <c r="AU569" s="2">
        <f t="shared" ca="1" si="541"/>
        <v>972642.70969711291</v>
      </c>
      <c r="AV569" s="2">
        <f t="shared" ca="1" si="542"/>
        <v>2237529.5825994993</v>
      </c>
      <c r="AW569" s="2">
        <f t="shared" ca="1" si="543"/>
        <v>2385810.275558373</v>
      </c>
      <c r="AX569" s="2">
        <f t="shared" ca="1" si="544"/>
        <v>2504282.4534318075</v>
      </c>
      <c r="AY569" s="2">
        <f t="shared" ca="1" si="545"/>
        <v>2626304.3972286889</v>
      </c>
      <c r="AZ569" s="2">
        <f t="shared" ca="1" si="546"/>
        <v>2751982.4681077125</v>
      </c>
      <c r="BA569" s="2">
        <f t="shared" ca="1" si="547"/>
        <v>53864212.643209882</v>
      </c>
      <c r="BB569" s="2">
        <f t="shared" ca="1" si="548"/>
        <v>1077284.2528641976</v>
      </c>
      <c r="BC569" s="2">
        <f t="shared" ca="1" si="549"/>
        <v>29241033.272237096</v>
      </c>
      <c r="BD569" s="2">
        <f t="shared" ca="1" si="550"/>
        <v>-17178342.375326917</v>
      </c>
      <c r="BE569" s="2">
        <f t="shared" ca="1" si="551"/>
        <v>2237529.5825994993</v>
      </c>
      <c r="BF569" s="2">
        <f t="shared" ca="1" si="552"/>
        <v>2385810.275558373</v>
      </c>
      <c r="BG569" s="2">
        <f t="shared" ca="1" si="553"/>
        <v>2504282.4534318075</v>
      </c>
      <c r="BH569" s="2">
        <f t="shared" ca="1" si="554"/>
        <v>2626304.3972286889</v>
      </c>
      <c r="BI569" s="2">
        <f t="shared" ca="1" si="555"/>
        <v>31993015.740344808</v>
      </c>
      <c r="BJ569" s="2">
        <f t="shared" ca="1" si="556"/>
        <v>0.23131233589539058</v>
      </c>
      <c r="BK569" s="2">
        <f t="shared" ca="1" si="557"/>
        <v>8326664.2751555629</v>
      </c>
    </row>
    <row r="570" spans="1:63" x14ac:dyDescent="0.3">
      <c r="A570" s="2">
        <v>569</v>
      </c>
      <c r="B570" s="2">
        <f t="shared" ca="1" si="496"/>
        <v>0.78395799403782729</v>
      </c>
      <c r="C570" s="2">
        <f t="shared" ca="1" si="497"/>
        <v>7.3426690240644783</v>
      </c>
      <c r="D570" s="2">
        <f t="shared" ca="1" si="498"/>
        <v>0.25733202898026231</v>
      </c>
      <c r="E570" s="2">
        <f t="shared" ca="1" si="499"/>
        <v>7.2174009046276177</v>
      </c>
      <c r="F570" s="2">
        <f t="shared" ca="1" si="500"/>
        <v>0.46693978581571915</v>
      </c>
      <c r="G570" s="2">
        <f t="shared" ca="1" si="501"/>
        <v>3.7511057622842126E-2</v>
      </c>
      <c r="H570" s="2">
        <f t="shared" ca="1" si="502"/>
        <v>3.7511057622842126E-2</v>
      </c>
      <c r="I570" s="2">
        <f t="shared" ca="1" si="503"/>
        <v>0.77327608658949687</v>
      </c>
      <c r="J570" s="2">
        <f t="shared" ca="1" si="504"/>
        <v>1.3748396920876951E-2</v>
      </c>
      <c r="K570" s="2">
        <f t="shared" ca="1" si="505"/>
        <v>1.3748396920876951E-2</v>
      </c>
      <c r="L570" s="2">
        <f t="shared" ca="1" si="506"/>
        <v>0.20592237141625769</v>
      </c>
      <c r="M570" s="2">
        <f t="shared" ca="1" si="507"/>
        <v>-1.6413032147531394E-2</v>
      </c>
      <c r="N570" s="2">
        <f t="shared" ca="1" si="508"/>
        <v>-1.6413032147531394E-2</v>
      </c>
      <c r="O570" s="2">
        <f t="shared" si="509"/>
        <v>6000000</v>
      </c>
      <c r="P570" s="2">
        <f t="shared" ca="1" si="510"/>
        <v>44056014.144386873</v>
      </c>
      <c r="Q570" s="2">
        <f t="shared" ca="1" si="511"/>
        <v>1101400.3536096718</v>
      </c>
      <c r="R570" s="2">
        <f t="shared" ca="1" si="512"/>
        <v>26433608.486632124</v>
      </c>
      <c r="S570" s="2">
        <f t="shared" ca="1" si="513"/>
        <v>17622405.657754749</v>
      </c>
      <c r="T570" s="2">
        <f t="shared" ca="1" si="514"/>
        <v>49179348.392623432</v>
      </c>
      <c r="U570" s="2">
        <f t="shared" ca="1" si="515"/>
        <v>51024117.76403296</v>
      </c>
      <c r="V570" s="2">
        <f t="shared" ca="1" si="516"/>
        <v>52938086.385634281</v>
      </c>
      <c r="W570" s="2">
        <f t="shared" ca="1" si="517"/>
        <v>54923849.994488806</v>
      </c>
      <c r="X570" s="2">
        <f t="shared" ca="1" si="518"/>
        <v>56984101.696500413</v>
      </c>
      <c r="Y570" s="2">
        <f t="shared" ca="1" si="519"/>
        <v>0.12687419846043846</v>
      </c>
      <c r="Z570" s="2">
        <f t="shared" ca="1" si="520"/>
        <v>0.12962387784461385</v>
      </c>
      <c r="AA570" s="2">
        <f t="shared" ca="1" si="521"/>
        <v>6239590.4081207504</v>
      </c>
      <c r="AB570" s="2">
        <f t="shared" ca="1" si="522"/>
        <v>6613944.0081741996</v>
      </c>
      <c r="AC570" s="2">
        <f t="shared" ca="1" si="523"/>
        <v>6862040.0429790737</v>
      </c>
      <c r="AD570" s="2">
        <f t="shared" ca="1" si="524"/>
        <v>7119442.4224415123</v>
      </c>
      <c r="AE570" s="2">
        <f t="shared" ca="1" si="525"/>
        <v>7386500.2373922225</v>
      </c>
      <c r="AF570" s="2">
        <f t="shared" ca="1" si="526"/>
        <v>983586.9678524686</v>
      </c>
      <c r="AG570" s="2">
        <f t="shared" ca="1" si="527"/>
        <v>1020482.3552806593</v>
      </c>
      <c r="AH570" s="2">
        <f t="shared" ca="1" si="528"/>
        <v>1058761.7277126857</v>
      </c>
      <c r="AI570" s="2">
        <f t="shared" ca="1" si="529"/>
        <v>1098476.9998897761</v>
      </c>
      <c r="AJ570" s="2">
        <f t="shared" ca="1" si="530"/>
        <v>1139682.0339300083</v>
      </c>
      <c r="AK570" s="2">
        <f t="shared" ca="1" si="531"/>
        <v>0</v>
      </c>
      <c r="AL570" s="2">
        <f t="shared" ca="1" si="532"/>
        <v>18447.69371409528</v>
      </c>
      <c r="AM570" s="2">
        <f t="shared" ca="1" si="533"/>
        <v>19139.686216013208</v>
      </c>
      <c r="AN570" s="2">
        <f t="shared" ca="1" si="534"/>
        <v>19857.636088545249</v>
      </c>
      <c r="AO570" s="2">
        <f t="shared" ca="1" si="535"/>
        <v>20602.517020116076</v>
      </c>
      <c r="AP570" s="2">
        <f t="shared" ca="1" si="536"/>
        <v>2379024.7637968911</v>
      </c>
      <c r="AQ570" s="2">
        <f t="shared" ca="1" si="537"/>
        <v>748014.45588256163</v>
      </c>
      <c r="AR570" s="2">
        <f t="shared" ca="1" si="538"/>
        <v>835753.59116512886</v>
      </c>
      <c r="AS570" s="2">
        <f t="shared" ca="1" si="539"/>
        <v>890305.9233820691</v>
      </c>
      <c r="AT570" s="2">
        <f t="shared" ca="1" si="540"/>
        <v>946904.57127625972</v>
      </c>
      <c r="AU570" s="2">
        <f t="shared" ca="1" si="541"/>
        <v>1005626.2943129841</v>
      </c>
      <c r="AV570" s="2">
        <f t="shared" ca="1" si="542"/>
        <v>2128964.2205888294</v>
      </c>
      <c r="AW570" s="2">
        <f t="shared" ca="1" si="543"/>
        <v>2360235.604217425</v>
      </c>
      <c r="AX570" s="2">
        <f t="shared" ca="1" si="544"/>
        <v>2514807.941871414</v>
      </c>
      <c r="AY570" s="2">
        <f t="shared" ca="1" si="545"/>
        <v>2675178.4513900401</v>
      </c>
      <c r="AZ570" s="2">
        <f t="shared" ca="1" si="546"/>
        <v>2841564.6283322237</v>
      </c>
      <c r="BA570" s="2">
        <f t="shared" ca="1" si="547"/>
        <v>53311333.495386742</v>
      </c>
      <c r="BB570" s="2">
        <f t="shared" ca="1" si="548"/>
        <v>1066226.669907735</v>
      </c>
      <c r="BC570" s="2">
        <f t="shared" ca="1" si="549"/>
        <v>25811498.338846885</v>
      </c>
      <c r="BD570" s="2">
        <f t="shared" ca="1" si="550"/>
        <v>-19223806.011364423</v>
      </c>
      <c r="BE570" s="2">
        <f t="shared" ca="1" si="551"/>
        <v>2128964.2205888294</v>
      </c>
      <c r="BF570" s="2">
        <f t="shared" ca="1" si="552"/>
        <v>2360235.604217425</v>
      </c>
      <c r="BG570" s="2">
        <f t="shared" ca="1" si="553"/>
        <v>2514807.941871414</v>
      </c>
      <c r="BH570" s="2">
        <f t="shared" ca="1" si="554"/>
        <v>2675178.4513900401</v>
      </c>
      <c r="BI570" s="2">
        <f t="shared" ca="1" si="555"/>
        <v>28653062.967179108</v>
      </c>
      <c r="BJ570" s="2">
        <f t="shared" ca="1" si="556"/>
        <v>0.17566010459758252</v>
      </c>
      <c r="BK570" s="2">
        <f t="shared" ca="1" si="557"/>
        <v>4307252.5881949216</v>
      </c>
    </row>
    <row r="571" spans="1:63" x14ac:dyDescent="0.3">
      <c r="A571" s="2">
        <v>570</v>
      </c>
      <c r="B571" s="2">
        <f t="shared" ca="1" si="496"/>
        <v>0.38489335354354604</v>
      </c>
      <c r="C571" s="2">
        <f t="shared" ca="1" si="497"/>
        <v>6.8773748954050902</v>
      </c>
      <c r="D571" s="2">
        <f t="shared" ca="1" si="498"/>
        <v>0.8552699334194982</v>
      </c>
      <c r="E571" s="2">
        <f t="shared" ca="1" si="499"/>
        <v>7.9619850065648698</v>
      </c>
      <c r="F571" s="2">
        <f t="shared" ca="1" si="500"/>
        <v>3.4597671531794938E-2</v>
      </c>
      <c r="G571" s="2">
        <f t="shared" ca="1" si="501"/>
        <v>-1.4514265899139733E-2</v>
      </c>
      <c r="H571" s="2">
        <f t="shared" ca="1" si="502"/>
        <v>-1.4514265899139733E-2</v>
      </c>
      <c r="I571" s="2">
        <f t="shared" ca="1" si="503"/>
        <v>0.1246867744134128</v>
      </c>
      <c r="J571" s="2">
        <f t="shared" ca="1" si="504"/>
        <v>4.2406384568394739E-3</v>
      </c>
      <c r="K571" s="2">
        <f t="shared" ca="1" si="505"/>
        <v>4.2406384568394739E-3</v>
      </c>
      <c r="L571" s="2">
        <f t="shared" ca="1" si="506"/>
        <v>0.78045183323858836</v>
      </c>
      <c r="M571" s="2">
        <f t="shared" ca="1" si="507"/>
        <v>1.5474401914966325E-2</v>
      </c>
      <c r="N571" s="2">
        <f t="shared" ca="1" si="508"/>
        <v>1.5474401914966325E-2</v>
      </c>
      <c r="O571" s="2">
        <f t="shared" si="509"/>
        <v>6000000</v>
      </c>
      <c r="P571" s="2">
        <f t="shared" ca="1" si="510"/>
        <v>41264249.372430541</v>
      </c>
      <c r="Q571" s="2">
        <f t="shared" ca="1" si="511"/>
        <v>1031606.2343107635</v>
      </c>
      <c r="R571" s="2">
        <f t="shared" ca="1" si="512"/>
        <v>24758549.623458322</v>
      </c>
      <c r="S571" s="2">
        <f t="shared" ca="1" si="513"/>
        <v>16505699.748972217</v>
      </c>
      <c r="T571" s="2">
        <f t="shared" ca="1" si="514"/>
        <v>50773720.09574832</v>
      </c>
      <c r="U571" s="2">
        <f t="shared" ca="1" si="515"/>
        <v>50036776.821590133</v>
      </c>
      <c r="V571" s="2">
        <f t="shared" ca="1" si="516"/>
        <v>49310529.73806566</v>
      </c>
      <c r="W571" s="2">
        <f t="shared" ca="1" si="517"/>
        <v>48594823.597819939</v>
      </c>
      <c r="X571" s="2">
        <f t="shared" ca="1" si="518"/>
        <v>47889505.406799391</v>
      </c>
      <c r="Y571" s="2">
        <f t="shared" ca="1" si="519"/>
        <v>0.12212031922841973</v>
      </c>
      <c r="Z571" s="2">
        <f t="shared" ca="1" si="520"/>
        <v>0.12296844691978763</v>
      </c>
      <c r="AA571" s="2">
        <f t="shared" ca="1" si="521"/>
        <v>6200502.9065072145</v>
      </c>
      <c r="AB571" s="2">
        <f t="shared" ca="1" si="522"/>
        <v>6152944.7346229665</v>
      </c>
      <c r="AC571" s="2">
        <f t="shared" ca="1" si="523"/>
        <v>6063639.2586819362</v>
      </c>
      <c r="AD571" s="2">
        <f t="shared" ca="1" si="524"/>
        <v>5975629.9861649647</v>
      </c>
      <c r="AE571" s="2">
        <f t="shared" ca="1" si="525"/>
        <v>5888898.1036308939</v>
      </c>
      <c r="AF571" s="2">
        <f t="shared" ca="1" si="526"/>
        <v>1015474.4019149664</v>
      </c>
      <c r="AG571" s="2">
        <f t="shared" ca="1" si="527"/>
        <v>1000735.5364318027</v>
      </c>
      <c r="AH571" s="2">
        <f t="shared" ca="1" si="528"/>
        <v>986210.59476131317</v>
      </c>
      <c r="AI571" s="2">
        <f t="shared" ca="1" si="529"/>
        <v>971896.4719563988</v>
      </c>
      <c r="AJ571" s="2">
        <f t="shared" ca="1" si="530"/>
        <v>957790.10813598789</v>
      </c>
      <c r="AK571" s="2">
        <f t="shared" ca="1" si="531"/>
        <v>0</v>
      </c>
      <c r="AL571" s="2">
        <f t="shared" ca="1" si="532"/>
        <v>0</v>
      </c>
      <c r="AM571" s="2">
        <f t="shared" ca="1" si="533"/>
        <v>0</v>
      </c>
      <c r="AN571" s="2">
        <f t="shared" ca="1" si="534"/>
        <v>0</v>
      </c>
      <c r="AO571" s="2">
        <f t="shared" ca="1" si="535"/>
        <v>0</v>
      </c>
      <c r="AP571" s="2">
        <f t="shared" ca="1" si="536"/>
        <v>2228269.4661112488</v>
      </c>
      <c r="AQ571" s="2">
        <f t="shared" ca="1" si="537"/>
        <v>768757.35000505985</v>
      </c>
      <c r="AR571" s="2">
        <f t="shared" ca="1" si="538"/>
        <v>760224.33034077799</v>
      </c>
      <c r="AS571" s="2">
        <f t="shared" ca="1" si="539"/>
        <v>740781.39143043733</v>
      </c>
      <c r="AT571" s="2">
        <f t="shared" ca="1" si="540"/>
        <v>721620.65250530257</v>
      </c>
      <c r="AU571" s="2">
        <f t="shared" ca="1" si="541"/>
        <v>702738.01763975085</v>
      </c>
      <c r="AV571" s="2">
        <f t="shared" ca="1" si="542"/>
        <v>2188001.6884759399</v>
      </c>
      <c r="AW571" s="2">
        <f t="shared" ca="1" si="543"/>
        <v>2163715.4017391368</v>
      </c>
      <c r="AX571" s="2">
        <f t="shared" ca="1" si="544"/>
        <v>2108377.8063789369</v>
      </c>
      <c r="AY571" s="2">
        <f t="shared" ca="1" si="545"/>
        <v>2053843.3955920148</v>
      </c>
      <c r="AZ571" s="2">
        <f t="shared" ca="1" si="546"/>
        <v>2000100.5117439064</v>
      </c>
      <c r="BA571" s="2">
        <f t="shared" ca="1" si="547"/>
        <v>46887318.406297475</v>
      </c>
      <c r="BB571" s="2">
        <f t="shared" ca="1" si="548"/>
        <v>937746.36812594952</v>
      </c>
      <c r="BC571" s="2">
        <f t="shared" ca="1" si="549"/>
        <v>21191022.414713204</v>
      </c>
      <c r="BD571" s="2">
        <f t="shared" ca="1" si="550"/>
        <v>-18037305.98328298</v>
      </c>
      <c r="BE571" s="2">
        <f t="shared" ca="1" si="551"/>
        <v>2188001.6884759399</v>
      </c>
      <c r="BF571" s="2">
        <f t="shared" ca="1" si="552"/>
        <v>2163715.4017391368</v>
      </c>
      <c r="BG571" s="2">
        <f t="shared" ca="1" si="553"/>
        <v>2108377.8063789369</v>
      </c>
      <c r="BH571" s="2">
        <f t="shared" ca="1" si="554"/>
        <v>2053843.3955920148</v>
      </c>
      <c r="BI571" s="2">
        <f t="shared" ca="1" si="555"/>
        <v>23191122.926457111</v>
      </c>
      <c r="BJ571" s="2">
        <f t="shared" ca="1" si="556"/>
        <v>0.14355714129071817</v>
      </c>
      <c r="BK571" s="2">
        <f t="shared" ca="1" si="557"/>
        <v>1606389.8722484</v>
      </c>
    </row>
    <row r="572" spans="1:63" x14ac:dyDescent="0.3">
      <c r="A572" s="2">
        <v>571</v>
      </c>
      <c r="B572" s="2">
        <f t="shared" ca="1" si="496"/>
        <v>0.2596266174945604</v>
      </c>
      <c r="C572" s="2">
        <f t="shared" ca="1" si="497"/>
        <v>6.7205922806893792</v>
      </c>
      <c r="D572" s="2">
        <f t="shared" ca="1" si="498"/>
        <v>0.1291942861568216</v>
      </c>
      <c r="E572" s="2">
        <f t="shared" ca="1" si="499"/>
        <v>7.0083193605536218</v>
      </c>
      <c r="F572" s="2">
        <f t="shared" ca="1" si="500"/>
        <v>0.20803399423965407</v>
      </c>
      <c r="G572" s="2">
        <f t="shared" ca="1" si="501"/>
        <v>1.5602146776049E-2</v>
      </c>
      <c r="H572" s="2">
        <f t="shared" ca="1" si="502"/>
        <v>1.5602146776049E-2</v>
      </c>
      <c r="I572" s="2">
        <f t="shared" ca="1" si="503"/>
        <v>0.93539195482127324</v>
      </c>
      <c r="J572" s="2">
        <f t="shared" ca="1" si="504"/>
        <v>1.7586002099266983E-2</v>
      </c>
      <c r="K572" s="2">
        <f t="shared" ca="1" si="505"/>
        <v>1.7586002099266983E-2</v>
      </c>
      <c r="L572" s="2">
        <f t="shared" ca="1" si="506"/>
        <v>0.70009307319188441</v>
      </c>
      <c r="M572" s="2">
        <f t="shared" ca="1" si="507"/>
        <v>1.0493364392984489E-2</v>
      </c>
      <c r="N572" s="2">
        <f t="shared" ca="1" si="508"/>
        <v>1.0493364392984489E-2</v>
      </c>
      <c r="O572" s="2">
        <f t="shared" si="509"/>
        <v>6000000</v>
      </c>
      <c r="P572" s="2">
        <f t="shared" ca="1" si="510"/>
        <v>40323553.684136271</v>
      </c>
      <c r="Q572" s="2">
        <f t="shared" ca="1" si="511"/>
        <v>1008088.8421034068</v>
      </c>
      <c r="R572" s="2">
        <f t="shared" ca="1" si="512"/>
        <v>24194132.210481763</v>
      </c>
      <c r="S572" s="2">
        <f t="shared" ca="1" si="513"/>
        <v>16129421.473654509</v>
      </c>
      <c r="T572" s="2">
        <f t="shared" ca="1" si="514"/>
        <v>50524668.219649225</v>
      </c>
      <c r="U572" s="2">
        <f t="shared" ca="1" si="515"/>
        <v>51312961.509023368</v>
      </c>
      <c r="V572" s="2">
        <f t="shared" ca="1" si="516"/>
        <v>52113553.866000906</v>
      </c>
      <c r="W572" s="2">
        <f t="shared" ca="1" si="517"/>
        <v>52926637.182439789</v>
      </c>
      <c r="X572" s="2">
        <f t="shared" ca="1" si="518"/>
        <v>53752406.344122909</v>
      </c>
      <c r="Y572" s="2">
        <f t="shared" ca="1" si="519"/>
        <v>0.12879300104963348</v>
      </c>
      <c r="Z572" s="2">
        <f t="shared" ca="1" si="520"/>
        <v>0.13231020146948688</v>
      </c>
      <c r="AA572" s="2">
        <f t="shared" ca="1" si="521"/>
        <v>6507223.6470456664</v>
      </c>
      <c r="AB572" s="2">
        <f t="shared" ca="1" si="522"/>
        <v>6789228.2752549071</v>
      </c>
      <c r="AC572" s="2">
        <f t="shared" ca="1" si="523"/>
        <v>6895154.8113015369</v>
      </c>
      <c r="AD572" s="2">
        <f t="shared" ca="1" si="524"/>
        <v>7002734.0287110442</v>
      </c>
      <c r="AE572" s="2">
        <f t="shared" ca="1" si="525"/>
        <v>7111991.7128606271</v>
      </c>
      <c r="AF572" s="2">
        <f t="shared" ca="1" si="526"/>
        <v>1010493.3643929845</v>
      </c>
      <c r="AG572" s="2">
        <f t="shared" ca="1" si="527"/>
        <v>1026259.2301804674</v>
      </c>
      <c r="AH572" s="2">
        <f t="shared" ca="1" si="528"/>
        <v>1042271.0773200181</v>
      </c>
      <c r="AI572" s="2">
        <f t="shared" ca="1" si="529"/>
        <v>1058532.7436487959</v>
      </c>
      <c r="AJ572" s="2">
        <f t="shared" ca="1" si="530"/>
        <v>1075048.1268824581</v>
      </c>
      <c r="AK572" s="2">
        <f t="shared" ca="1" si="531"/>
        <v>0</v>
      </c>
      <c r="AL572" s="2">
        <f t="shared" ca="1" si="532"/>
        <v>7882.9328937414293</v>
      </c>
      <c r="AM572" s="2">
        <f t="shared" ca="1" si="533"/>
        <v>8005.9235697753729</v>
      </c>
      <c r="AN572" s="2">
        <f t="shared" ca="1" si="534"/>
        <v>8130.8331643888359</v>
      </c>
      <c r="AO572" s="2">
        <f t="shared" ca="1" si="535"/>
        <v>8257.6916168311982</v>
      </c>
      <c r="AP572" s="2">
        <f t="shared" ca="1" si="536"/>
        <v>2177471.8989433586</v>
      </c>
      <c r="AQ572" s="2">
        <f t="shared" ca="1" si="537"/>
        <v>863007.17976442399</v>
      </c>
      <c r="AR572" s="2">
        <f t="shared" ca="1" si="538"/>
        <v>932229.25799408113</v>
      </c>
      <c r="AS572" s="2">
        <f t="shared" ca="1" si="539"/>
        <v>955607.07710992172</v>
      </c>
      <c r="AT572" s="2">
        <f t="shared" ca="1" si="540"/>
        <v>979349.64039091126</v>
      </c>
      <c r="AU572" s="2">
        <f t="shared" ca="1" si="541"/>
        <v>1003462.6386290507</v>
      </c>
      <c r="AV572" s="2">
        <f t="shared" ca="1" si="542"/>
        <v>2456251.2039448996</v>
      </c>
      <c r="AW572" s="2">
        <f t="shared" ca="1" si="543"/>
        <v>2645384.9552432583</v>
      </c>
      <c r="AX572" s="2">
        <f t="shared" ca="1" si="544"/>
        <v>2711798.8343584635</v>
      </c>
      <c r="AY572" s="2">
        <f t="shared" ca="1" si="545"/>
        <v>2779248.9125635889</v>
      </c>
      <c r="AZ572" s="2">
        <f t="shared" ca="1" si="546"/>
        <v>2847751.3567889282</v>
      </c>
      <c r="BA572" s="2">
        <f t="shared" ca="1" si="547"/>
        <v>49843109.213338047</v>
      </c>
      <c r="BB572" s="2">
        <f t="shared" ca="1" si="548"/>
        <v>996862.18426676095</v>
      </c>
      <c r="BC572" s="2">
        <f t="shared" ca="1" si="549"/>
        <v>24652114.818589523</v>
      </c>
      <c r="BD572" s="2">
        <f t="shared" ca="1" si="550"/>
        <v>-17637510.315757915</v>
      </c>
      <c r="BE572" s="2">
        <f t="shared" ca="1" si="551"/>
        <v>2456251.2039448996</v>
      </c>
      <c r="BF572" s="2">
        <f t="shared" ca="1" si="552"/>
        <v>2645384.9552432583</v>
      </c>
      <c r="BG572" s="2">
        <f t="shared" ca="1" si="553"/>
        <v>2711798.8343584635</v>
      </c>
      <c r="BH572" s="2">
        <f t="shared" ca="1" si="554"/>
        <v>2779248.9125635889</v>
      </c>
      <c r="BI572" s="2">
        <f t="shared" ca="1" si="555"/>
        <v>27499866.175378453</v>
      </c>
      <c r="BJ572" s="2">
        <f t="shared" ca="1" si="556"/>
        <v>0.20353573067059116</v>
      </c>
      <c r="BK572" s="2">
        <f t="shared" ca="1" si="557"/>
        <v>5965086.1776594184</v>
      </c>
    </row>
    <row r="573" spans="1:63" x14ac:dyDescent="0.3">
      <c r="A573" s="2">
        <v>572</v>
      </c>
      <c r="B573" s="2">
        <f t="shared" ca="1" si="496"/>
        <v>0.97749723114061171</v>
      </c>
      <c r="C573" s="2">
        <f t="shared" ca="1" si="497"/>
        <v>7.7878549135172426</v>
      </c>
      <c r="D573" s="2">
        <f t="shared" ca="1" si="498"/>
        <v>0.14987348971787307</v>
      </c>
      <c r="E573" s="2">
        <f t="shared" ca="1" si="499"/>
        <v>7.0474915336658146</v>
      </c>
      <c r="F573" s="2">
        <f t="shared" ca="1" si="500"/>
        <v>0.37739649366914629</v>
      </c>
      <c r="G573" s="2">
        <f t="shared" ca="1" si="501"/>
        <v>3.0630228086575027E-2</v>
      </c>
      <c r="H573" s="2">
        <f t="shared" ca="1" si="502"/>
        <v>3.0630228086575027E-2</v>
      </c>
      <c r="I573" s="2">
        <f t="shared" ca="1" si="503"/>
        <v>0.80325114077514126</v>
      </c>
      <c r="J573" s="2">
        <f t="shared" ca="1" si="504"/>
        <v>1.4266457086323316E-2</v>
      </c>
      <c r="K573" s="2">
        <f t="shared" ca="1" si="505"/>
        <v>1.4266457086323316E-2</v>
      </c>
      <c r="L573" s="2">
        <f t="shared" ca="1" si="506"/>
        <v>0.82686444573198681</v>
      </c>
      <c r="M573" s="2">
        <f t="shared" ca="1" si="507"/>
        <v>1.8836934909680688E-2</v>
      </c>
      <c r="N573" s="2">
        <f t="shared" ca="1" si="508"/>
        <v>1.8836934909680688E-2</v>
      </c>
      <c r="O573" s="2">
        <f t="shared" si="509"/>
        <v>6000000</v>
      </c>
      <c r="P573" s="2">
        <f t="shared" ca="1" si="510"/>
        <v>46727129.481103458</v>
      </c>
      <c r="Q573" s="2">
        <f t="shared" ca="1" si="511"/>
        <v>1168178.2370275864</v>
      </c>
      <c r="R573" s="2">
        <f t="shared" ca="1" si="512"/>
        <v>28036277.688662075</v>
      </c>
      <c r="S573" s="2">
        <f t="shared" ca="1" si="513"/>
        <v>18690851.792441383</v>
      </c>
      <c r="T573" s="2">
        <f t="shared" ca="1" si="514"/>
        <v>50941846.745484032</v>
      </c>
      <c r="U573" s="2">
        <f t="shared" ca="1" si="515"/>
        <v>52502207.130449563</v>
      </c>
      <c r="V573" s="2">
        <f t="shared" ca="1" si="516"/>
        <v>54110361.709903844</v>
      </c>
      <c r="W573" s="2">
        <f t="shared" ca="1" si="517"/>
        <v>55767774.43092528</v>
      </c>
      <c r="X573" s="2">
        <f t="shared" ca="1" si="518"/>
        <v>57475954.081625193</v>
      </c>
      <c r="Y573" s="2">
        <f t="shared" ca="1" si="519"/>
        <v>0.12713322854316164</v>
      </c>
      <c r="Z573" s="2">
        <f t="shared" ca="1" si="520"/>
        <v>0.12998651996042632</v>
      </c>
      <c r="AA573" s="2">
        <f t="shared" ca="1" si="521"/>
        <v>6476401.4447043361</v>
      </c>
      <c r="AB573" s="2">
        <f t="shared" ca="1" si="522"/>
        <v>6824579.1951286187</v>
      </c>
      <c r="AC573" s="2">
        <f t="shared" ca="1" si="523"/>
        <v>7033617.6124703037</v>
      </c>
      <c r="AD573" s="2">
        <f t="shared" ca="1" si="524"/>
        <v>7249058.9242140213</v>
      </c>
      <c r="AE573" s="2">
        <f t="shared" ca="1" si="525"/>
        <v>7471099.2524757199</v>
      </c>
      <c r="AF573" s="2">
        <f t="shared" ca="1" si="526"/>
        <v>1018836.9349096806</v>
      </c>
      <c r="AG573" s="2">
        <f t="shared" ca="1" si="527"/>
        <v>1050044.1426089914</v>
      </c>
      <c r="AH573" s="2">
        <f t="shared" ca="1" si="528"/>
        <v>1082207.2341980769</v>
      </c>
      <c r="AI573" s="2">
        <f t="shared" ca="1" si="529"/>
        <v>1115355.4886185057</v>
      </c>
      <c r="AJ573" s="2">
        <f t="shared" ca="1" si="530"/>
        <v>1149519.081632504</v>
      </c>
      <c r="AK573" s="2">
        <f t="shared" ca="1" si="531"/>
        <v>0</v>
      </c>
      <c r="AL573" s="2">
        <f t="shared" ca="1" si="532"/>
        <v>15603.603849655316</v>
      </c>
      <c r="AM573" s="2">
        <f t="shared" ca="1" si="533"/>
        <v>16081.545794542804</v>
      </c>
      <c r="AN573" s="2">
        <f t="shared" ca="1" si="534"/>
        <v>16574.127210214363</v>
      </c>
      <c r="AO573" s="2">
        <f t="shared" ca="1" si="535"/>
        <v>17081.796506999137</v>
      </c>
      <c r="AP573" s="2">
        <f t="shared" ca="1" si="536"/>
        <v>2523264.9919795864</v>
      </c>
      <c r="AQ573" s="2">
        <f t="shared" ca="1" si="537"/>
        <v>762917.87463191792</v>
      </c>
      <c r="AR573" s="2">
        <f t="shared" ca="1" si="538"/>
        <v>845330.21574041061</v>
      </c>
      <c r="AS573" s="2">
        <f t="shared" ca="1" si="539"/>
        <v>891317.8004360866</v>
      </c>
      <c r="AT573" s="2">
        <f t="shared" ca="1" si="540"/>
        <v>938713.9953401417</v>
      </c>
      <c r="AU573" s="2">
        <f t="shared" ca="1" si="541"/>
        <v>987561.94650454365</v>
      </c>
      <c r="AV573" s="2">
        <f t="shared" ca="1" si="542"/>
        <v>2171381.6431831508</v>
      </c>
      <c r="AW573" s="2">
        <f t="shared" ca="1" si="543"/>
        <v>2390336.2409499749</v>
      </c>
      <c r="AX573" s="2">
        <f t="shared" ca="1" si="544"/>
        <v>2520746.0400620108</v>
      </c>
      <c r="AY573" s="2">
        <f t="shared" ca="1" si="545"/>
        <v>2655150.3210655735</v>
      </c>
      <c r="AZ573" s="2">
        <f t="shared" ca="1" si="546"/>
        <v>2793671.4358520866</v>
      </c>
      <c r="BA573" s="2">
        <f t="shared" ca="1" si="547"/>
        <v>52652508.72899963</v>
      </c>
      <c r="BB573" s="2">
        <f t="shared" ca="1" si="548"/>
        <v>1053050.1745799927</v>
      </c>
      <c r="BC573" s="2">
        <f t="shared" ca="1" si="549"/>
        <v>23563180.865757562</v>
      </c>
      <c r="BD573" s="2">
        <f t="shared" ca="1" si="550"/>
        <v>-20359030.029468969</v>
      </c>
      <c r="BE573" s="2">
        <f t="shared" ca="1" si="551"/>
        <v>2171381.6431831508</v>
      </c>
      <c r="BF573" s="2">
        <f t="shared" ca="1" si="552"/>
        <v>2390336.2409499749</v>
      </c>
      <c r="BG573" s="2">
        <f t="shared" ca="1" si="553"/>
        <v>2520746.0400620108</v>
      </c>
      <c r="BH573" s="2">
        <f t="shared" ca="1" si="554"/>
        <v>2655150.3210655735</v>
      </c>
      <c r="BI573" s="2">
        <f t="shared" ca="1" si="555"/>
        <v>26356852.30160965</v>
      </c>
      <c r="BJ573" s="2">
        <f t="shared" ca="1" si="556"/>
        <v>0.1446896439024199</v>
      </c>
      <c r="BK573" s="2">
        <f t="shared" ca="1" si="557"/>
        <v>1922464.0962210894</v>
      </c>
    </row>
    <row r="574" spans="1:63" x14ac:dyDescent="0.3">
      <c r="A574" s="2">
        <v>573</v>
      </c>
      <c r="B574" s="2">
        <f t="shared" ca="1" si="496"/>
        <v>0.28178121926066568</v>
      </c>
      <c r="C574" s="2">
        <f t="shared" ca="1" si="497"/>
        <v>6.7507079582110023</v>
      </c>
      <c r="D574" s="2">
        <f t="shared" ca="1" si="498"/>
        <v>0.36491578500770483</v>
      </c>
      <c r="E574" s="2">
        <f t="shared" ca="1" si="499"/>
        <v>7.3543018026525573</v>
      </c>
      <c r="F574" s="2">
        <f t="shared" ca="1" si="500"/>
        <v>0.58654633440264736</v>
      </c>
      <c r="G574" s="2">
        <f t="shared" ca="1" si="501"/>
        <v>4.6560091865175242E-2</v>
      </c>
      <c r="H574" s="2">
        <f t="shared" ca="1" si="502"/>
        <v>4.6560091865175242E-2</v>
      </c>
      <c r="I574" s="2">
        <f t="shared" ca="1" si="503"/>
        <v>3.844997887503887E-2</v>
      </c>
      <c r="J574" s="2">
        <f t="shared" ca="1" si="504"/>
        <v>1.1551822542135489E-3</v>
      </c>
      <c r="K574" s="2">
        <f t="shared" ca="1" si="505"/>
        <v>1.1551822542135489E-3</v>
      </c>
      <c r="L574" s="2">
        <f t="shared" ca="1" si="506"/>
        <v>0.10116078418975849</v>
      </c>
      <c r="M574" s="2">
        <f t="shared" ca="1" si="507"/>
        <v>-2.5499303508016213E-2</v>
      </c>
      <c r="N574" s="2">
        <f t="shared" ca="1" si="508"/>
        <v>-2.5499303508016213E-2</v>
      </c>
      <c r="O574" s="2">
        <f t="shared" si="509"/>
        <v>6000000</v>
      </c>
      <c r="P574" s="2">
        <f t="shared" ca="1" si="510"/>
        <v>40504247.749266014</v>
      </c>
      <c r="Q574" s="2">
        <f t="shared" ca="1" si="511"/>
        <v>1012606.1937316504</v>
      </c>
      <c r="R574" s="2">
        <f t="shared" ca="1" si="512"/>
        <v>24302548.649559606</v>
      </c>
      <c r="S574" s="2">
        <f t="shared" ca="1" si="513"/>
        <v>16201699.099706406</v>
      </c>
      <c r="T574" s="2">
        <f t="shared" ca="1" si="514"/>
        <v>48725034.824599192</v>
      </c>
      <c r="U574" s="2">
        <f t="shared" ca="1" si="515"/>
        <v>50993676.922166392</v>
      </c>
      <c r="V574" s="2">
        <f t="shared" ca="1" si="516"/>
        <v>53367947.20420552</v>
      </c>
      <c r="W574" s="2">
        <f t="shared" ca="1" si="517"/>
        <v>55852763.728689149</v>
      </c>
      <c r="X574" s="2">
        <f t="shared" ca="1" si="518"/>
        <v>58453273.53882084</v>
      </c>
      <c r="Y574" s="2">
        <f t="shared" ca="1" si="519"/>
        <v>0.12057759112710677</v>
      </c>
      <c r="Z574" s="2">
        <f t="shared" ca="1" si="520"/>
        <v>0.12080862757794948</v>
      </c>
      <c r="AA574" s="2">
        <f t="shared" ca="1" si="521"/>
        <v>5875147.3267345596</v>
      </c>
      <c r="AB574" s="2">
        <f t="shared" ca="1" si="522"/>
        <v>6160476.1241202764</v>
      </c>
      <c r="AC574" s="2">
        <f t="shared" ca="1" si="523"/>
        <v>6447308.4583925353</v>
      </c>
      <c r="AD574" s="2">
        <f t="shared" ca="1" si="524"/>
        <v>6747495.732498412</v>
      </c>
      <c r="AE574" s="2">
        <f t="shared" ca="1" si="525"/>
        <v>7061659.753663416</v>
      </c>
      <c r="AF574" s="2">
        <f t="shared" ca="1" si="526"/>
        <v>974500.69649198384</v>
      </c>
      <c r="AG574" s="2">
        <f t="shared" ca="1" si="527"/>
        <v>1019873.5384433279</v>
      </c>
      <c r="AH574" s="2">
        <f t="shared" ca="1" si="528"/>
        <v>1067358.9440841104</v>
      </c>
      <c r="AI574" s="2">
        <f t="shared" ca="1" si="529"/>
        <v>1117055.2745737829</v>
      </c>
      <c r="AJ574" s="2">
        <f t="shared" ca="1" si="530"/>
        <v>1169065.4707764168</v>
      </c>
      <c r="AK574" s="2">
        <f t="shared" ca="1" si="531"/>
        <v>0</v>
      </c>
      <c r="AL574" s="2">
        <f t="shared" ca="1" si="532"/>
        <v>22686.420975672008</v>
      </c>
      <c r="AM574" s="2">
        <f t="shared" ca="1" si="533"/>
        <v>23742.702820391281</v>
      </c>
      <c r="AN574" s="2">
        <f t="shared" ca="1" si="534"/>
        <v>24848.165244836287</v>
      </c>
      <c r="AO574" s="2">
        <f t="shared" ca="1" si="535"/>
        <v>26005.098101316915</v>
      </c>
      <c r="AP574" s="2">
        <f t="shared" ca="1" si="536"/>
        <v>2187229.3784603644</v>
      </c>
      <c r="AQ574" s="2">
        <f t="shared" ca="1" si="537"/>
        <v>705488.48546337499</v>
      </c>
      <c r="AR574" s="2">
        <f t="shared" ca="1" si="538"/>
        <v>767877.03387631185</v>
      </c>
      <c r="AS574" s="2">
        <f t="shared" ca="1" si="539"/>
        <v>830107.23532049567</v>
      </c>
      <c r="AT574" s="2">
        <f t="shared" ca="1" si="540"/>
        <v>895234.88066070876</v>
      </c>
      <c r="AU574" s="2">
        <f t="shared" ca="1" si="541"/>
        <v>963394.8751509249</v>
      </c>
      <c r="AV574" s="2">
        <f t="shared" ca="1" si="542"/>
        <v>2007928.7663188362</v>
      </c>
      <c r="AW574" s="2">
        <f t="shared" ca="1" si="543"/>
        <v>2162809.7523646001</v>
      </c>
      <c r="AX574" s="2">
        <f t="shared" ca="1" si="544"/>
        <v>2338870.1977071734</v>
      </c>
      <c r="AY574" s="2">
        <f t="shared" ca="1" si="545"/>
        <v>2523128.0335587189</v>
      </c>
      <c r="AZ574" s="2">
        <f t="shared" ca="1" si="546"/>
        <v>2715964.9311743928</v>
      </c>
      <c r="BA574" s="2">
        <f t="shared" ca="1" si="547"/>
        <v>51933577.056085877</v>
      </c>
      <c r="BB574" s="2">
        <f t="shared" ca="1" si="548"/>
        <v>1038671.5411217175</v>
      </c>
      <c r="BC574" s="2">
        <f t="shared" ca="1" si="549"/>
        <v>26592356.865404554</v>
      </c>
      <c r="BD574" s="2">
        <f t="shared" ca="1" si="550"/>
        <v>-17714305.293438055</v>
      </c>
      <c r="BE574" s="2">
        <f t="shared" ca="1" si="551"/>
        <v>2007928.7663188362</v>
      </c>
      <c r="BF574" s="2">
        <f t="shared" ca="1" si="552"/>
        <v>2162809.7523646001</v>
      </c>
      <c r="BG574" s="2">
        <f t="shared" ca="1" si="553"/>
        <v>2338870.1977071734</v>
      </c>
      <c r="BH574" s="2">
        <f t="shared" ca="1" si="554"/>
        <v>2523128.0335587189</v>
      </c>
      <c r="BI574" s="2">
        <f t="shared" ca="1" si="555"/>
        <v>29308321.796578947</v>
      </c>
      <c r="BJ574" s="2">
        <f t="shared" ca="1" si="556"/>
        <v>0.19687100933579038</v>
      </c>
      <c r="BK574" s="2">
        <f t="shared" ca="1" si="557"/>
        <v>5701250.9126164317</v>
      </c>
    </row>
    <row r="575" spans="1:63" x14ac:dyDescent="0.3">
      <c r="A575" s="2">
        <v>574</v>
      </c>
      <c r="B575" s="2">
        <f t="shared" ca="1" si="496"/>
        <v>0.18002864629573867</v>
      </c>
      <c r="C575" s="2">
        <f t="shared" ca="1" si="497"/>
        <v>6.6000477419268213</v>
      </c>
      <c r="D575" s="2">
        <f t="shared" ca="1" si="498"/>
        <v>9.6090242760420996E-2</v>
      </c>
      <c r="E575" s="2">
        <f t="shared" ca="1" si="499"/>
        <v>6.9383839476085338</v>
      </c>
      <c r="F575" s="2">
        <f t="shared" ca="1" si="500"/>
        <v>1.3860226499614159E-2</v>
      </c>
      <c r="G575" s="2">
        <f t="shared" ca="1" si="501"/>
        <v>-2.6036600042245776E-2</v>
      </c>
      <c r="H575" s="2">
        <f t="shared" ca="1" si="502"/>
        <v>-0.02</v>
      </c>
      <c r="I575" s="2">
        <f t="shared" ca="1" si="503"/>
        <v>0.3295878631483361</v>
      </c>
      <c r="J575" s="2">
        <f t="shared" ca="1" si="504"/>
        <v>7.7947425852713179E-3</v>
      </c>
      <c r="K575" s="2">
        <f t="shared" ca="1" si="505"/>
        <v>7.7947425852713179E-3</v>
      </c>
      <c r="L575" s="2">
        <f t="shared" ca="1" si="506"/>
        <v>0.84344390440180994</v>
      </c>
      <c r="M575" s="2">
        <f t="shared" ca="1" si="507"/>
        <v>2.0174264341148489E-2</v>
      </c>
      <c r="N575" s="2">
        <f t="shared" ca="1" si="508"/>
        <v>2.0174264341148489E-2</v>
      </c>
      <c r="O575" s="2">
        <f t="shared" si="509"/>
        <v>6000000</v>
      </c>
      <c r="P575" s="2">
        <f t="shared" ca="1" si="510"/>
        <v>39600286.451560929</v>
      </c>
      <c r="Q575" s="2">
        <f t="shared" ca="1" si="511"/>
        <v>990007.16128902324</v>
      </c>
      <c r="R575" s="2">
        <f t="shared" ca="1" si="512"/>
        <v>23760171.870936558</v>
      </c>
      <c r="S575" s="2">
        <f t="shared" ca="1" si="513"/>
        <v>15840114.580624372</v>
      </c>
      <c r="T575" s="2">
        <f t="shared" ca="1" si="514"/>
        <v>51008713.217057422</v>
      </c>
      <c r="U575" s="2">
        <f t="shared" ca="1" si="515"/>
        <v>49988538.952716276</v>
      </c>
      <c r="V575" s="2">
        <f t="shared" ca="1" si="516"/>
        <v>48988768.173661947</v>
      </c>
      <c r="W575" s="2">
        <f t="shared" ca="1" si="517"/>
        <v>48008992.810188711</v>
      </c>
      <c r="X575" s="2">
        <f t="shared" ca="1" si="518"/>
        <v>47048812.953984939</v>
      </c>
      <c r="Y575" s="2">
        <f t="shared" ca="1" si="519"/>
        <v>0.12389737129263566</v>
      </c>
      <c r="Z575" s="2">
        <f t="shared" ca="1" si="520"/>
        <v>0.12545631980968991</v>
      </c>
      <c r="AA575" s="2">
        <f t="shared" ca="1" si="521"/>
        <v>6319845.480613335</v>
      </c>
      <c r="AB575" s="2">
        <f t="shared" ca="1" si="522"/>
        <v>6271378.1296711145</v>
      </c>
      <c r="AC575" s="2">
        <f t="shared" ca="1" si="523"/>
        <v>6145950.5670776917</v>
      </c>
      <c r="AD575" s="2">
        <f t="shared" ca="1" si="524"/>
        <v>6023031.5557361385</v>
      </c>
      <c r="AE575" s="2">
        <f t="shared" ca="1" si="525"/>
        <v>5902570.9246214163</v>
      </c>
      <c r="AF575" s="2">
        <f t="shared" ca="1" si="526"/>
        <v>1020174.2643411484</v>
      </c>
      <c r="AG575" s="2">
        <f t="shared" ca="1" si="527"/>
        <v>999770.77905432554</v>
      </c>
      <c r="AH575" s="2">
        <f t="shared" ca="1" si="528"/>
        <v>979775.36347323901</v>
      </c>
      <c r="AI575" s="2">
        <f t="shared" ca="1" si="529"/>
        <v>960179.85620377422</v>
      </c>
      <c r="AJ575" s="2">
        <f t="shared" ca="1" si="530"/>
        <v>940976.25907969882</v>
      </c>
      <c r="AK575" s="2">
        <f t="shared" ca="1" si="531"/>
        <v>0</v>
      </c>
      <c r="AL575" s="2">
        <f t="shared" ca="1" si="532"/>
        <v>0</v>
      </c>
      <c r="AM575" s="2">
        <f t="shared" ca="1" si="533"/>
        <v>0</v>
      </c>
      <c r="AN575" s="2">
        <f t="shared" ca="1" si="534"/>
        <v>0</v>
      </c>
      <c r="AO575" s="2">
        <f t="shared" ca="1" si="535"/>
        <v>0</v>
      </c>
      <c r="AP575" s="2">
        <f t="shared" ca="1" si="536"/>
        <v>2138415.4683842901</v>
      </c>
      <c r="AQ575" s="2">
        <f t="shared" ca="1" si="537"/>
        <v>821926.49445085309</v>
      </c>
      <c r="AR575" s="2">
        <f t="shared" ca="1" si="538"/>
        <v>814629.88938044966</v>
      </c>
      <c r="AS575" s="2">
        <f t="shared" ca="1" si="539"/>
        <v>787217.53115724225</v>
      </c>
      <c r="AT575" s="2">
        <f t="shared" ca="1" si="540"/>
        <v>760353.42009849939</v>
      </c>
      <c r="AU575" s="2">
        <f t="shared" ca="1" si="541"/>
        <v>734026.59126093122</v>
      </c>
      <c r="AV575" s="2">
        <f t="shared" ca="1" si="542"/>
        <v>2339329.2534370432</v>
      </c>
      <c r="AW575" s="2">
        <f t="shared" ca="1" si="543"/>
        <v>2318561.9928520489</v>
      </c>
      <c r="AX575" s="2">
        <f t="shared" ca="1" si="544"/>
        <v>2240542.2040629201</v>
      </c>
      <c r="AY575" s="2">
        <f t="shared" ca="1" si="545"/>
        <v>2164082.811049575</v>
      </c>
      <c r="AZ575" s="2">
        <f t="shared" ca="1" si="546"/>
        <v>2089152.6058964962</v>
      </c>
      <c r="BA575" s="2">
        <f t="shared" ca="1" si="547"/>
        <v>40954303.353014097</v>
      </c>
      <c r="BB575" s="2">
        <f t="shared" ca="1" si="548"/>
        <v>819086.06706028199</v>
      </c>
      <c r="BC575" s="2">
        <f t="shared" ca="1" si="549"/>
        <v>16375045.415017257</v>
      </c>
      <c r="BD575" s="2">
        <f t="shared" ca="1" si="550"/>
        <v>-17330121.741913393</v>
      </c>
      <c r="BE575" s="2">
        <f t="shared" ca="1" si="551"/>
        <v>2339329.2534370432</v>
      </c>
      <c r="BF575" s="2">
        <f t="shared" ca="1" si="552"/>
        <v>2318561.9928520489</v>
      </c>
      <c r="BG575" s="2">
        <f t="shared" ca="1" si="553"/>
        <v>2240542.2040629201</v>
      </c>
      <c r="BH575" s="2">
        <f t="shared" ca="1" si="554"/>
        <v>2164082.811049575</v>
      </c>
      <c r="BI575" s="2">
        <f t="shared" ca="1" si="555"/>
        <v>18464198.020913754</v>
      </c>
      <c r="BJ575" s="2">
        <f t="shared" ca="1" si="556"/>
        <v>0.12088668062120433</v>
      </c>
      <c r="BK575" s="2">
        <f t="shared" ca="1" si="557"/>
        <v>54077.778140816838</v>
      </c>
    </row>
    <row r="576" spans="1:63" x14ac:dyDescent="0.3">
      <c r="A576" s="2">
        <v>575</v>
      </c>
      <c r="B576" s="2">
        <f t="shared" ca="1" si="496"/>
        <v>0.92318482205732788</v>
      </c>
      <c r="C576" s="2">
        <f t="shared" ca="1" si="497"/>
        <v>7.6080429157607377</v>
      </c>
      <c r="D576" s="2">
        <f t="shared" ca="1" si="498"/>
        <v>6.4784754555013202E-2</v>
      </c>
      <c r="E576" s="2">
        <f t="shared" ca="1" si="499"/>
        <v>6.859957649050588</v>
      </c>
      <c r="F576" s="2">
        <f t="shared" ca="1" si="500"/>
        <v>0.54354038150590855</v>
      </c>
      <c r="G576" s="2">
        <f t="shared" ca="1" si="501"/>
        <v>4.3280713827088473E-2</v>
      </c>
      <c r="H576" s="2">
        <f t="shared" ca="1" si="502"/>
        <v>4.3280713827088473E-2</v>
      </c>
      <c r="I576" s="2">
        <f t="shared" ca="1" si="503"/>
        <v>0.72165645528439437</v>
      </c>
      <c r="J576" s="2">
        <f t="shared" ca="1" si="504"/>
        <v>1.2938846973486717E-2</v>
      </c>
      <c r="K576" s="2">
        <f t="shared" ca="1" si="505"/>
        <v>1.2938846973486717E-2</v>
      </c>
      <c r="L576" s="2">
        <f t="shared" ca="1" si="506"/>
        <v>0.26293043826033324</v>
      </c>
      <c r="M576" s="2">
        <f t="shared" ca="1" si="507"/>
        <v>-1.2686741169461715E-2</v>
      </c>
      <c r="N576" s="2">
        <f t="shared" ca="1" si="508"/>
        <v>-1.2686741169461715E-2</v>
      </c>
      <c r="O576" s="2">
        <f t="shared" si="509"/>
        <v>6000000</v>
      </c>
      <c r="P576" s="2">
        <f t="shared" ca="1" si="510"/>
        <v>45648257.494564429</v>
      </c>
      <c r="Q576" s="2">
        <f t="shared" ca="1" si="511"/>
        <v>1141206.4373641107</v>
      </c>
      <c r="R576" s="2">
        <f t="shared" ca="1" si="512"/>
        <v>27388954.496738657</v>
      </c>
      <c r="S576" s="2">
        <f t="shared" ca="1" si="513"/>
        <v>18259302.997825772</v>
      </c>
      <c r="T576" s="2">
        <f t="shared" ca="1" si="514"/>
        <v>49365662.94152692</v>
      </c>
      <c r="U576" s="2">
        <f t="shared" ca="1" si="515"/>
        <v>51502244.072183654</v>
      </c>
      <c r="V576" s="2">
        <f t="shared" ca="1" si="516"/>
        <v>53731297.959324703</v>
      </c>
      <c r="W576" s="2">
        <f t="shared" ca="1" si="517"/>
        <v>56056826.889860265</v>
      </c>
      <c r="X576" s="2">
        <f t="shared" ca="1" si="518"/>
        <v>58483006.372534946</v>
      </c>
      <c r="Y576" s="2">
        <f t="shared" ca="1" si="519"/>
        <v>0.12646942348674337</v>
      </c>
      <c r="Z576" s="2">
        <f t="shared" ca="1" si="520"/>
        <v>0.12905719288144069</v>
      </c>
      <c r="AA576" s="2">
        <f t="shared" ca="1" si="521"/>
        <v>6243246.9322558008</v>
      </c>
      <c r="AB576" s="2">
        <f t="shared" ca="1" si="522"/>
        <v>6646735.0470508412</v>
      </c>
      <c r="AC576" s="2">
        <f t="shared" ca="1" si="523"/>
        <v>6934410.4845067281</v>
      </c>
      <c r="AD576" s="2">
        <f t="shared" ca="1" si="524"/>
        <v>7234536.7202462265</v>
      </c>
      <c r="AE576" s="2">
        <f t="shared" ca="1" si="525"/>
        <v>7547652.6337067671</v>
      </c>
      <c r="AF576" s="2">
        <f t="shared" ca="1" si="526"/>
        <v>987313.25883053837</v>
      </c>
      <c r="AG576" s="2">
        <f t="shared" ca="1" si="527"/>
        <v>1030044.881443673</v>
      </c>
      <c r="AH576" s="2">
        <f t="shared" ca="1" si="528"/>
        <v>1074625.9591864941</v>
      </c>
      <c r="AI576" s="2">
        <f t="shared" ca="1" si="529"/>
        <v>1121136.5377972054</v>
      </c>
      <c r="AJ576" s="2">
        <f t="shared" ca="1" si="530"/>
        <v>1169660.127450699</v>
      </c>
      <c r="AK576" s="2">
        <f t="shared" ca="1" si="531"/>
        <v>0</v>
      </c>
      <c r="AL576" s="2">
        <f t="shared" ca="1" si="532"/>
        <v>21365.811306567342</v>
      </c>
      <c r="AM576" s="2">
        <f t="shared" ca="1" si="533"/>
        <v>22290.538871410488</v>
      </c>
      <c r="AN576" s="2">
        <f t="shared" ca="1" si="534"/>
        <v>23255.289305355625</v>
      </c>
      <c r="AO576" s="2">
        <f t="shared" ca="1" si="535"/>
        <v>24261.794826746805</v>
      </c>
      <c r="AP576" s="2">
        <f t="shared" ca="1" si="536"/>
        <v>2465005.9047064791</v>
      </c>
      <c r="AQ576" s="2">
        <f t="shared" ca="1" si="537"/>
        <v>725641.21986688382</v>
      </c>
      <c r="AR576" s="2">
        <f t="shared" ca="1" si="538"/>
        <v>819437.90783417923</v>
      </c>
      <c r="AS576" s="2">
        <f t="shared" ca="1" si="539"/>
        <v>882642.4413595763</v>
      </c>
      <c r="AT576" s="2">
        <f t="shared" ca="1" si="540"/>
        <v>948582.51221306098</v>
      </c>
      <c r="AU576" s="2">
        <f t="shared" ca="1" si="541"/>
        <v>1017376.5164028932</v>
      </c>
      <c r="AV576" s="2">
        <f t="shared" ca="1" si="542"/>
        <v>2065286.5488518998</v>
      </c>
      <c r="AW576" s="2">
        <f t="shared" ca="1" si="543"/>
        <v>2310880.5417599427</v>
      </c>
      <c r="AX576" s="2">
        <f t="shared" ca="1" si="544"/>
        <v>2489845.6403827677</v>
      </c>
      <c r="AY576" s="2">
        <f t="shared" ca="1" si="545"/>
        <v>2676556.4762241263</v>
      </c>
      <c r="AZ576" s="2">
        <f t="shared" ca="1" si="546"/>
        <v>2871348.2903199485</v>
      </c>
      <c r="BA576" s="2">
        <f t="shared" ca="1" si="547"/>
        <v>51776577.416973554</v>
      </c>
      <c r="BB576" s="2">
        <f t="shared" ca="1" si="548"/>
        <v>1035531.5483394711</v>
      </c>
      <c r="BC576" s="2">
        <f t="shared" ca="1" si="549"/>
        <v>23352091.371895425</v>
      </c>
      <c r="BD576" s="2">
        <f t="shared" ca="1" si="550"/>
        <v>-19900509.43518988</v>
      </c>
      <c r="BE576" s="2">
        <f t="shared" ca="1" si="551"/>
        <v>2065286.5488518998</v>
      </c>
      <c r="BF576" s="2">
        <f t="shared" ca="1" si="552"/>
        <v>2310880.5417599427</v>
      </c>
      <c r="BG576" s="2">
        <f t="shared" ca="1" si="553"/>
        <v>2489845.6403827677</v>
      </c>
      <c r="BH576" s="2">
        <f t="shared" ca="1" si="554"/>
        <v>2676556.4762241263</v>
      </c>
      <c r="BI576" s="2">
        <f t="shared" ca="1" si="555"/>
        <v>26223439.662215374</v>
      </c>
      <c r="BJ576" s="2">
        <f t="shared" ca="1" si="556"/>
        <v>0.14786491528692336</v>
      </c>
      <c r="BK576" s="2">
        <f t="shared" ca="1" si="557"/>
        <v>2138823.1207401492</v>
      </c>
    </row>
    <row r="577" spans="1:63" x14ac:dyDescent="0.3">
      <c r="A577" s="2">
        <v>576</v>
      </c>
      <c r="B577" s="2">
        <f t="shared" ca="1" si="496"/>
        <v>0.7152287148756038</v>
      </c>
      <c r="C577" s="2">
        <f t="shared" ca="1" si="497"/>
        <v>7.2453195575286236</v>
      </c>
      <c r="D577" s="2">
        <f t="shared" ca="1" si="498"/>
        <v>0.8385034634189239</v>
      </c>
      <c r="E577" s="2">
        <f t="shared" ca="1" si="499"/>
        <v>7.9316752045158045</v>
      </c>
      <c r="F577" s="2">
        <f t="shared" ca="1" si="500"/>
        <v>0.80708193988798616</v>
      </c>
      <c r="G577" s="2">
        <f t="shared" ca="1" si="501"/>
        <v>6.6015798258242636E-2</v>
      </c>
      <c r="H577" s="2">
        <f t="shared" ca="1" si="502"/>
        <v>6.6015798258242636E-2</v>
      </c>
      <c r="I577" s="2">
        <f t="shared" ca="1" si="503"/>
        <v>0.64956508840582583</v>
      </c>
      <c r="J577" s="2">
        <f t="shared" ca="1" si="504"/>
        <v>1.1920732805735362E-2</v>
      </c>
      <c r="K577" s="2">
        <f t="shared" ca="1" si="505"/>
        <v>1.1920732805735362E-2</v>
      </c>
      <c r="L577" s="2">
        <f t="shared" ca="1" si="506"/>
        <v>0.16767483775296943</v>
      </c>
      <c r="M577" s="2">
        <f t="shared" ca="1" si="507"/>
        <v>-1.9267886406575018E-2</v>
      </c>
      <c r="N577" s="2">
        <f t="shared" ca="1" si="508"/>
        <v>-1.9267886406575018E-2</v>
      </c>
      <c r="O577" s="2">
        <f t="shared" si="509"/>
        <v>6000000</v>
      </c>
      <c r="P577" s="2">
        <f t="shared" ca="1" si="510"/>
        <v>43471917.345171742</v>
      </c>
      <c r="Q577" s="2">
        <f t="shared" ca="1" si="511"/>
        <v>1086797.9336292937</v>
      </c>
      <c r="R577" s="2">
        <f t="shared" ca="1" si="512"/>
        <v>26083150.407103043</v>
      </c>
      <c r="S577" s="2">
        <f t="shared" ca="1" si="513"/>
        <v>17388766.938068699</v>
      </c>
      <c r="T577" s="2">
        <f t="shared" ca="1" si="514"/>
        <v>49036605.67967125</v>
      </c>
      <c r="U577" s="2">
        <f t="shared" ca="1" si="515"/>
        <v>52273796.347489417</v>
      </c>
      <c r="V577" s="2">
        <f t="shared" ca="1" si="516"/>
        <v>55724692.741357736</v>
      </c>
      <c r="W577" s="2">
        <f t="shared" ca="1" si="517"/>
        <v>59403402.815373763</v>
      </c>
      <c r="X577" s="2">
        <f t="shared" ca="1" si="518"/>
        <v>63324965.871486597</v>
      </c>
      <c r="Y577" s="2">
        <f t="shared" ca="1" si="519"/>
        <v>0.12596036640286767</v>
      </c>
      <c r="Z577" s="2">
        <f t="shared" ca="1" si="520"/>
        <v>0.12834451296401475</v>
      </c>
      <c r="AA577" s="2">
        <f t="shared" ca="1" si="521"/>
        <v>6176668.818564333</v>
      </c>
      <c r="AB577" s="2">
        <f t="shared" ca="1" si="522"/>
        <v>6709054.9329986228</v>
      </c>
      <c r="AC577" s="2">
        <f t="shared" ca="1" si="523"/>
        <v>7151958.5499589266</v>
      </c>
      <c r="AD577" s="2">
        <f t="shared" ca="1" si="524"/>
        <v>7624100.802744328</v>
      </c>
      <c r="AE577" s="2">
        <f t="shared" ca="1" si="525"/>
        <v>8127411.9032388031</v>
      </c>
      <c r="AF577" s="2">
        <f t="shared" ca="1" si="526"/>
        <v>980732.11359342502</v>
      </c>
      <c r="AG577" s="2">
        <f t="shared" ca="1" si="527"/>
        <v>1045475.9269497884</v>
      </c>
      <c r="AH577" s="2">
        <f t="shared" ca="1" si="528"/>
        <v>1114493.8548271547</v>
      </c>
      <c r="AI577" s="2">
        <f t="shared" ca="1" si="529"/>
        <v>1188068.0563074753</v>
      </c>
      <c r="AJ577" s="2">
        <f t="shared" ca="1" si="530"/>
        <v>1266499.3174297321</v>
      </c>
      <c r="AK577" s="2">
        <f t="shared" ca="1" si="531"/>
        <v>0</v>
      </c>
      <c r="AL577" s="2">
        <f t="shared" ca="1" si="532"/>
        <v>32371.906678181665</v>
      </c>
      <c r="AM577" s="2">
        <f t="shared" ca="1" si="533"/>
        <v>34508.963938683199</v>
      </c>
      <c r="AN577" s="2">
        <f t="shared" ca="1" si="534"/>
        <v>36787.100740160269</v>
      </c>
      <c r="AO577" s="2">
        <f t="shared" ca="1" si="535"/>
        <v>39215.630561128331</v>
      </c>
      <c r="AP577" s="2">
        <f t="shared" ca="1" si="536"/>
        <v>2347483.5366392736</v>
      </c>
      <c r="AQ577" s="2">
        <f t="shared" ca="1" si="537"/>
        <v>740597.82376622502</v>
      </c>
      <c r="AR577" s="2">
        <f t="shared" ca="1" si="538"/>
        <v>862184.82204648573</v>
      </c>
      <c r="AS577" s="2">
        <f t="shared" ca="1" si="539"/>
        <v>959395.10120804969</v>
      </c>
      <c r="AT577" s="2">
        <f t="shared" ca="1" si="540"/>
        <v>1063022.7945473706</v>
      </c>
      <c r="AU577" s="2">
        <f t="shared" ca="1" si="541"/>
        <v>1173491.5527841474</v>
      </c>
      <c r="AV577" s="2">
        <f t="shared" ca="1" si="542"/>
        <v>2107855.3445654097</v>
      </c>
      <c r="AW577" s="2">
        <f t="shared" ca="1" si="543"/>
        <v>2421538.7406848925</v>
      </c>
      <c r="AX577" s="2">
        <f t="shared" ca="1" si="544"/>
        <v>2696077.0933457655</v>
      </c>
      <c r="AY577" s="2">
        <f t="shared" ca="1" si="545"/>
        <v>2988739.3145100488</v>
      </c>
      <c r="AZ577" s="2">
        <f t="shared" ca="1" si="546"/>
        <v>3300721.8658245211</v>
      </c>
      <c r="BA577" s="2">
        <f t="shared" ca="1" si="547"/>
        <v>64463991.469805822</v>
      </c>
      <c r="BB577" s="2">
        <f t="shared" ca="1" si="548"/>
        <v>1289279.8293961165</v>
      </c>
      <c r="BC577" s="2">
        <f t="shared" ca="1" si="549"/>
        <v>37091561.233306661</v>
      </c>
      <c r="BD577" s="2">
        <f t="shared" ca="1" si="550"/>
        <v>-18975564.871697992</v>
      </c>
      <c r="BE577" s="2">
        <f t="shared" ca="1" si="551"/>
        <v>2107855.3445654097</v>
      </c>
      <c r="BF577" s="2">
        <f t="shared" ca="1" si="552"/>
        <v>2421538.7406848925</v>
      </c>
      <c r="BG577" s="2">
        <f t="shared" ca="1" si="553"/>
        <v>2696077.0933457655</v>
      </c>
      <c r="BH577" s="2">
        <f t="shared" ca="1" si="554"/>
        <v>2988739.3145100488</v>
      </c>
      <c r="BI577" s="2">
        <f t="shared" ca="1" si="555"/>
        <v>40392283.099131182</v>
      </c>
      <c r="BJ577" s="2">
        <f t="shared" ca="1" si="556"/>
        <v>0.25158098434036757</v>
      </c>
      <c r="BK577" s="2">
        <f t="shared" ca="1" si="557"/>
        <v>11574963.169005066</v>
      </c>
    </row>
    <row r="578" spans="1:63" x14ac:dyDescent="0.3">
      <c r="A578" s="2">
        <v>577</v>
      </c>
      <c r="B578" s="2">
        <f t="shared" ref="B578:B641" ca="1" si="558">RAND()</f>
        <v>0.30451515786255512</v>
      </c>
      <c r="C578" s="2">
        <f t="shared" ref="C578:C641" ca="1" si="559">IF(B578&lt;((P_Mode)-(P_Low))/((P_High)-(P_Low)), (P_Low)+SQRT(B578*((P_High)-(P_Low))*((P_Mode)-(P_Low))), (P_High)-SQRT((1-B578)*((P_High)-(P_Low))*((P_High)-(P_Mode))))</f>
        <v>6.780403943945128</v>
      </c>
      <c r="D578" s="2">
        <f t="shared" ref="D578:D641" ca="1" si="560">RAND()</f>
        <v>0.45352849979858711</v>
      </c>
      <c r="E578" s="2">
        <f t="shared" ref="E578:E641" ca="1" si="561">IF(D578&lt;((X_Mode)-(X_Low))/((X_High)-(X_Low)), (X_Low)+SQRT(D578*((X_High)-(X_Low))*((X_Mode)-(X_Low))), (X_High)-SQRT((1-D578)*((X_High)-(X_Low))*((X_High)-(X_Mode))))</f>
        <v>7.4523954008693938</v>
      </c>
      <c r="F578" s="2">
        <f t="shared" ref="F578:F641" ca="1" si="562">RAND()</f>
        <v>0.18263699831514202</v>
      </c>
      <c r="G578" s="2">
        <f t="shared" ref="G578:G641" ca="1" si="563">NORMINV(F578, g_Mean, g_SD)</f>
        <v>1.2839160188155039E-2</v>
      </c>
      <c r="H578" s="2">
        <f t="shared" ref="H578:H641" ca="1" si="564">MIN(MAX(G578, g_Min), g_Max)</f>
        <v>1.2839160188155039E-2</v>
      </c>
      <c r="I578" s="2">
        <f t="shared" ref="I578:I641" ca="1" si="565">RAND()</f>
        <v>0.46402723293811143</v>
      </c>
      <c r="J578" s="2">
        <f t="shared" ref="J578:J641" ca="1" si="566">NORMINV(I578, syn_Mean, syn_SD)</f>
        <v>9.5485355238521408E-3</v>
      </c>
      <c r="K578" s="2">
        <f t="shared" ref="K578:K641" ca="1" si="567">MIN(MAX(J578, syn_Min), syn_Max)</f>
        <v>9.5485355238521408E-3</v>
      </c>
      <c r="L578" s="2">
        <f t="shared" ref="L578:L641" ca="1" si="568">RAND()</f>
        <v>0.35968435223108008</v>
      </c>
      <c r="M578" s="2">
        <f t="shared" ref="M578:M641" ca="1" si="569">NORMINV(L578, shk_Mean, shk_SD)</f>
        <v>-7.1860526696764975E-3</v>
      </c>
      <c r="N578" s="2">
        <f t="shared" ref="N578:N641" ca="1" si="570">MIN(MAX(M578, shk_Min), shk_Max)</f>
        <v>-7.1860526696764975E-3</v>
      </c>
      <c r="O578" s="2">
        <f t="shared" ref="O578:O641" si="571">BaseRev*BaseMargin</f>
        <v>6000000</v>
      </c>
      <c r="P578" s="2">
        <f t="shared" ref="P578:P641" ca="1" si="572">O578*C578</f>
        <v>40682423.663670771</v>
      </c>
      <c r="Q578" s="2">
        <f t="shared" ref="Q578:Q641" ca="1" si="573">P578*TxnCostPct</f>
        <v>1017060.5915917694</v>
      </c>
      <c r="R578" s="2">
        <f t="shared" ref="R578:R641" ca="1" si="574">P578*DebtPct</f>
        <v>24409454.198202461</v>
      </c>
      <c r="S578" s="2">
        <f t="shared" ref="S578:S641" ca="1" si="575">P578*EqPct</f>
        <v>16272969.46546831</v>
      </c>
      <c r="T578" s="2">
        <f t="shared" ref="T578:T641" ca="1" si="576">BaseRev*(1+N578)</f>
        <v>49640697.366516173</v>
      </c>
      <c r="U578" s="2">
        <f t="shared" ref="U578:U641" ca="1" si="577">T578*(1+H578)</f>
        <v>50278042.231856599</v>
      </c>
      <c r="V578" s="2">
        <f t="shared" ref="V578:V641" ca="1" si="578">U578*(1+H578)</f>
        <v>50923570.070018232</v>
      </c>
      <c r="W578" s="2">
        <f t="shared" ref="W578:W641" ca="1" si="579">V578*(1+H578)</f>
        <v>51577385.94349993</v>
      </c>
      <c r="X578" s="2">
        <f t="shared" ref="X578:X641" ca="1" si="580">W578*(1+H578)</f>
        <v>52239596.26371482</v>
      </c>
      <c r="Y578" s="2">
        <f t="shared" ref="Y578:Y641" ca="1" si="581">BaseMargin + SynReal_Y1*K578</f>
        <v>0.12477426776192607</v>
      </c>
      <c r="Z578" s="2">
        <f t="shared" ref="Z578:Z641" ca="1" si="582">BaseMargin + SynReal_Y2toY5*K578</f>
        <v>0.1266839748666965</v>
      </c>
      <c r="AA578" s="2">
        <f t="shared" ref="AA578:AA641" ca="1" si="583">T578*Y578</f>
        <v>6193881.6650984278</v>
      </c>
      <c r="AB578" s="2">
        <f t="shared" ref="AB578:AB641" ca="1" si="584">U578*Z578</f>
        <v>6369422.2384472266</v>
      </c>
      <c r="AC578" s="2">
        <f t="shared" ref="AC578:AC641" ca="1" si="585">V578*Z578</f>
        <v>6451200.2708726479</v>
      </c>
      <c r="AD578" s="2">
        <f t="shared" ref="AD578:AD641" ca="1" si="586">W578*Z578</f>
        <v>6534028.2645562505</v>
      </c>
      <c r="AE578" s="2">
        <f t="shared" ref="AE578:AE641" ca="1" si="587">X578*Z578</f>
        <v>6617919.7001188202</v>
      </c>
      <c r="AF578" s="2">
        <f t="shared" ref="AF578:AF641" ca="1" si="588">T578*CapexPct</f>
        <v>992813.94733032351</v>
      </c>
      <c r="AG578" s="2">
        <f t="shared" ref="AG578:AG641" ca="1" si="589">U578*CapexPct</f>
        <v>1005560.844637132</v>
      </c>
      <c r="AH578" s="2">
        <f t="shared" ref="AH578:AH641" ca="1" si="590">V578*CapexPct</f>
        <v>1018471.4014003647</v>
      </c>
      <c r="AI578" s="2">
        <f t="shared" ref="AI578:AI641" ca="1" si="591">W578*CapexPct</f>
        <v>1031547.7188699986</v>
      </c>
      <c r="AJ578" s="2">
        <f t="shared" ref="AJ578:AJ641" ca="1" si="592">X578*CapexPct</f>
        <v>1044791.9252742964</v>
      </c>
      <c r="AK578" s="2">
        <f t="shared" ref="AK578:AK641" ca="1" si="593">MAX(T578-BaseRev*(1+N578),0)*WCPct</f>
        <v>0</v>
      </c>
      <c r="AL578" s="2">
        <f t="shared" ref="AL578:AL641" ca="1" si="594">MAX(U578-T578,0)*WCPct</f>
        <v>6373.4486534042662</v>
      </c>
      <c r="AM578" s="2">
        <f t="shared" ref="AM578:AM641" ca="1" si="595">MAX(V578-U578,0)*WCPct</f>
        <v>6455.2783816163246</v>
      </c>
      <c r="AN578" s="2">
        <f t="shared" ref="AN578:AN641" ca="1" si="596">MAX(W578-V578,0)*WCPct</f>
        <v>6538.1587348169833</v>
      </c>
      <c r="AO578" s="2">
        <f t="shared" ref="AO578:AO641" ca="1" si="597">MAX(X578-W578,0)*WCPct</f>
        <v>6622.1032021489</v>
      </c>
      <c r="AP578" s="2">
        <f t="shared" ref="AP578:AP641" ca="1" si="598">R578*DebtRate</f>
        <v>2196850.8778382214</v>
      </c>
      <c r="AQ578" s="2">
        <f t="shared" ref="AQ578:AQ641" ca="1" si="599">MAX(AA578-AF578-AP578,0)*Tax</f>
        <v>781096.37838176975</v>
      </c>
      <c r="AR578" s="2">
        <f t="shared" ref="AR578:AR641" ca="1" si="600">MAX(AB578-AG578-AP578,0)*Tax</f>
        <v>823422.73415268702</v>
      </c>
      <c r="AS578" s="2">
        <f t="shared" ref="AS578:AS641" ca="1" si="601">MAX(AC578-AH578-AP578,0)*Tax</f>
        <v>841328.27782485599</v>
      </c>
      <c r="AT578" s="2">
        <f t="shared" ref="AT578:AT641" ca="1" si="602">MAX(AD578-AI578-AP578,0)*Tax</f>
        <v>859463.7136404881</v>
      </c>
      <c r="AU578" s="2">
        <f t="shared" ref="AU578:AU641" ca="1" si="603">MAX(AE578-AJ578-AP578,0)*Tax</f>
        <v>877831.99322163861</v>
      </c>
      <c r="AV578" s="2">
        <f t="shared" ref="AV578:AV641" ca="1" si="604">AA578-AF578-AK578-AQ578-AP578</f>
        <v>2223120.4615481133</v>
      </c>
      <c r="AW578" s="2">
        <f t="shared" ref="AW578:AW641" ca="1" si="605">AB578-AG578-AL578-AR578-AP578</f>
        <v>2337214.3331657816</v>
      </c>
      <c r="AX578" s="2">
        <f t="shared" ref="AX578:AX641" ca="1" si="606">AC578-AH578-AM578-AS578-AP578</f>
        <v>2388094.4354275893</v>
      </c>
      <c r="AY578" s="2">
        <f t="shared" ref="AY578:AY641" ca="1" si="607">AD578-AI578-AN578-AT578-AP578</f>
        <v>2439627.7954727262</v>
      </c>
      <c r="AZ578" s="2">
        <f t="shared" ref="AZ578:AZ641" ca="1" si="608">AE578-AJ578-AO578-AU578-AP578</f>
        <v>2491822.8005825141</v>
      </c>
      <c r="BA578" s="2">
        <f t="shared" ref="BA578:BA641" ca="1" si="609">AE578*E578</f>
        <v>49319354.336488456</v>
      </c>
      <c r="BB578" s="2">
        <f t="shared" ref="BB578:BB641" ca="1" si="610">BA578*SellCostPct</f>
        <v>986387.08672976913</v>
      </c>
      <c r="BC578" s="2">
        <f t="shared" ref="BC578:BC641" ca="1" si="611">BA578-R578-BB578</f>
        <v>23923513.051556226</v>
      </c>
      <c r="BD578" s="2">
        <f t="shared" ref="BD578:BD641" ca="1" si="612">-S578-Q578-IntegrationPct*BaseRev</f>
        <v>-17790030.057060078</v>
      </c>
      <c r="BE578" s="2">
        <f t="shared" ref="BE578:BE641" ca="1" si="613">AV578</f>
        <v>2223120.4615481133</v>
      </c>
      <c r="BF578" s="2">
        <f t="shared" ref="BF578:BF641" ca="1" si="614">AW578</f>
        <v>2337214.3331657816</v>
      </c>
      <c r="BG578" s="2">
        <f t="shared" ref="BG578:BG641" ca="1" si="615">AX578</f>
        <v>2388094.4354275893</v>
      </c>
      <c r="BH578" s="2">
        <f t="shared" ref="BH578:BH641" ca="1" si="616">AY578</f>
        <v>2439627.7954727262</v>
      </c>
      <c r="BI578" s="2">
        <f t="shared" ref="BI578:BI641" ca="1" si="617">AZ578+BC578</f>
        <v>26415335.852138739</v>
      </c>
      <c r="BJ578" s="2">
        <f t="shared" ref="BJ578:BJ641" ca="1" si="618">IF(MIN(BD578:BI578)*MAX(BD578:BI578)&gt;=0, "", IFERROR(IRR(BD578:BI578,0.12), IFERROR(IRR(BD578:BI578,0.5), IFERROR(IRR(BD578:BI578,-0.5),""))))</f>
        <v>0.1805013263153985</v>
      </c>
      <c r="BK578" s="2">
        <f t="shared" ref="BK578:BK641" ca="1" si="619">NPV(12%,BE578:BI578)+BD578</f>
        <v>4297108.8663714603</v>
      </c>
    </row>
    <row r="579" spans="1:63" x14ac:dyDescent="0.3">
      <c r="A579" s="2">
        <v>578</v>
      </c>
      <c r="B579" s="2">
        <f t="shared" ca="1" si="558"/>
        <v>0.71730194487546939</v>
      </c>
      <c r="C579" s="2">
        <f t="shared" ca="1" si="559"/>
        <v>7.2480717386285702</v>
      </c>
      <c r="D579" s="2">
        <f t="shared" ca="1" si="560"/>
        <v>0.94575585469628132</v>
      </c>
      <c r="E579" s="2">
        <f t="shared" ca="1" si="561"/>
        <v>8.1706243928165936</v>
      </c>
      <c r="F579" s="2">
        <f t="shared" ca="1" si="562"/>
        <v>0.74946414527432459</v>
      </c>
      <c r="G579" s="2">
        <f t="shared" ca="1" si="563"/>
        <v>6.0184133352911284E-2</v>
      </c>
      <c r="H579" s="2">
        <f t="shared" ca="1" si="564"/>
        <v>6.0184133352911284E-2</v>
      </c>
      <c r="I579" s="2">
        <f t="shared" ca="1" si="565"/>
        <v>0.67517257802000774</v>
      </c>
      <c r="J579" s="2">
        <f t="shared" ca="1" si="566"/>
        <v>1.2271208697715068E-2</v>
      </c>
      <c r="K579" s="2">
        <f t="shared" ca="1" si="567"/>
        <v>1.2271208697715068E-2</v>
      </c>
      <c r="L579" s="2">
        <f t="shared" ca="1" si="568"/>
        <v>0.79280772775594266</v>
      </c>
      <c r="M579" s="2">
        <f t="shared" ca="1" si="569"/>
        <v>1.6324042401156102E-2</v>
      </c>
      <c r="N579" s="2">
        <f t="shared" ca="1" si="570"/>
        <v>1.6324042401156102E-2</v>
      </c>
      <c r="O579" s="2">
        <f t="shared" si="571"/>
        <v>6000000</v>
      </c>
      <c r="P579" s="2">
        <f t="shared" ca="1" si="572"/>
        <v>43488430.43177142</v>
      </c>
      <c r="Q579" s="2">
        <f t="shared" ca="1" si="573"/>
        <v>1087210.7607942855</v>
      </c>
      <c r="R579" s="2">
        <f t="shared" ca="1" si="574"/>
        <v>26093058.259062853</v>
      </c>
      <c r="S579" s="2">
        <f t="shared" ca="1" si="575"/>
        <v>17395372.172708567</v>
      </c>
      <c r="T579" s="2">
        <f t="shared" ca="1" si="576"/>
        <v>50816202.120057806</v>
      </c>
      <c r="U579" s="2">
        <f t="shared" ca="1" si="577"/>
        <v>53874531.204939865</v>
      </c>
      <c r="V579" s="2">
        <f t="shared" ca="1" si="578"/>
        <v>57116923.175303549</v>
      </c>
      <c r="W579" s="2">
        <f t="shared" ca="1" si="579"/>
        <v>60554455.696394011</v>
      </c>
      <c r="X579" s="2">
        <f t="shared" ca="1" si="580"/>
        <v>64198873.133138753</v>
      </c>
      <c r="Y579" s="2">
        <f t="shared" ca="1" si="581"/>
        <v>0.12613560434885754</v>
      </c>
      <c r="Z579" s="2">
        <f t="shared" ca="1" si="582"/>
        <v>0.12858984608840054</v>
      </c>
      <c r="AA579" s="2">
        <f t="shared" ca="1" si="583"/>
        <v>6409732.3651271872</v>
      </c>
      <c r="AB579" s="2">
        <f t="shared" ca="1" si="584"/>
        <v>6927717.6757279495</v>
      </c>
      <c r="AC579" s="2">
        <f t="shared" ca="1" si="585"/>
        <v>7344656.3601552816</v>
      </c>
      <c r="AD579" s="2">
        <f t="shared" ca="1" si="586"/>
        <v>7786688.1379661756</v>
      </c>
      <c r="AE579" s="2">
        <f t="shared" ca="1" si="587"/>
        <v>8255323.2152390648</v>
      </c>
      <c r="AF579" s="2">
        <f t="shared" ca="1" si="588"/>
        <v>1016324.0424011562</v>
      </c>
      <c r="AG579" s="2">
        <f t="shared" ca="1" si="589"/>
        <v>1077490.6240987973</v>
      </c>
      <c r="AH579" s="2">
        <f t="shared" ca="1" si="590"/>
        <v>1142338.4635060709</v>
      </c>
      <c r="AI579" s="2">
        <f t="shared" ca="1" si="591"/>
        <v>1211089.1139278803</v>
      </c>
      <c r="AJ579" s="2">
        <f t="shared" ca="1" si="592"/>
        <v>1283977.4626627751</v>
      </c>
      <c r="AK579" s="2">
        <f t="shared" ca="1" si="593"/>
        <v>0</v>
      </c>
      <c r="AL579" s="2">
        <f t="shared" ca="1" si="594"/>
        <v>30583.290848820583</v>
      </c>
      <c r="AM579" s="2">
        <f t="shared" ca="1" si="595"/>
        <v>32423.919703636842</v>
      </c>
      <c r="AN579" s="2">
        <f t="shared" ca="1" si="596"/>
        <v>34375.32521090463</v>
      </c>
      <c r="AO579" s="2">
        <f t="shared" ca="1" si="597"/>
        <v>36444.17436744742</v>
      </c>
      <c r="AP579" s="2">
        <f t="shared" ca="1" si="598"/>
        <v>2348375.2433156567</v>
      </c>
      <c r="AQ579" s="2">
        <f t="shared" ca="1" si="599"/>
        <v>791708.60064669733</v>
      </c>
      <c r="AR579" s="2">
        <f t="shared" ca="1" si="600"/>
        <v>910481.47016150889</v>
      </c>
      <c r="AS579" s="2">
        <f t="shared" ca="1" si="601"/>
        <v>1002025.0898667241</v>
      </c>
      <c r="AT579" s="2">
        <f t="shared" ca="1" si="602"/>
        <v>1099078.182987886</v>
      </c>
      <c r="AU579" s="2">
        <f t="shared" ca="1" si="603"/>
        <v>1201972.3324077646</v>
      </c>
      <c r="AV579" s="2">
        <f t="shared" ca="1" si="604"/>
        <v>2253324.4787636772</v>
      </c>
      <c r="AW579" s="2">
        <f t="shared" ca="1" si="605"/>
        <v>2560787.0473031662</v>
      </c>
      <c r="AX579" s="2">
        <f t="shared" ca="1" si="606"/>
        <v>2819493.6437631929</v>
      </c>
      <c r="AY579" s="2">
        <f t="shared" ca="1" si="607"/>
        <v>3093770.2725238474</v>
      </c>
      <c r="AZ579" s="2">
        <f t="shared" ca="1" si="608"/>
        <v>3384554.0024854215</v>
      </c>
      <c r="BA579" s="2">
        <f t="shared" ca="1" si="609"/>
        <v>67451145.233017415</v>
      </c>
      <c r="BB579" s="2">
        <f t="shared" ca="1" si="610"/>
        <v>1349022.9046603483</v>
      </c>
      <c r="BC579" s="2">
        <f t="shared" ca="1" si="611"/>
        <v>40009064.069294207</v>
      </c>
      <c r="BD579" s="2">
        <f t="shared" ca="1" si="612"/>
        <v>-18982582.933502853</v>
      </c>
      <c r="BE579" s="2">
        <f t="shared" ca="1" si="613"/>
        <v>2253324.4787636772</v>
      </c>
      <c r="BF579" s="2">
        <f t="shared" ca="1" si="614"/>
        <v>2560787.0473031662</v>
      </c>
      <c r="BG579" s="2">
        <f t="shared" ca="1" si="615"/>
        <v>2819493.6437631929</v>
      </c>
      <c r="BH579" s="2">
        <f t="shared" ca="1" si="616"/>
        <v>3093770.2725238474</v>
      </c>
      <c r="BI579" s="2">
        <f t="shared" ca="1" si="617"/>
        <v>43393618.071779631</v>
      </c>
      <c r="BJ579" s="2">
        <f t="shared" ca="1" si="618"/>
        <v>0.27127166213348164</v>
      </c>
      <c r="BK579" s="2">
        <f t="shared" ca="1" si="619"/>
        <v>13666468.762168329</v>
      </c>
    </row>
    <row r="580" spans="1:63" x14ac:dyDescent="0.3">
      <c r="A580" s="2">
        <v>579</v>
      </c>
      <c r="B580" s="2">
        <f t="shared" ca="1" si="558"/>
        <v>0.25988546599607287</v>
      </c>
      <c r="C580" s="2">
        <f t="shared" ca="1" si="559"/>
        <v>6.7209514075110377</v>
      </c>
      <c r="D580" s="2">
        <f t="shared" ca="1" si="560"/>
        <v>0.41260170783233452</v>
      </c>
      <c r="E580" s="2">
        <f t="shared" ca="1" si="561"/>
        <v>7.4084070759657639</v>
      </c>
      <c r="F580" s="2">
        <f t="shared" ca="1" si="562"/>
        <v>0.47152306815098544</v>
      </c>
      <c r="G580" s="2">
        <f t="shared" ca="1" si="563"/>
        <v>3.7856745747872775E-2</v>
      </c>
      <c r="H580" s="2">
        <f t="shared" ca="1" si="564"/>
        <v>3.7856745747872775E-2</v>
      </c>
      <c r="I580" s="2">
        <f t="shared" ca="1" si="565"/>
        <v>0.50694053027652064</v>
      </c>
      <c r="J580" s="2">
        <f t="shared" ca="1" si="566"/>
        <v>1.0086991035624149E-2</v>
      </c>
      <c r="K580" s="2">
        <f t="shared" ca="1" si="567"/>
        <v>1.0086991035624149E-2</v>
      </c>
      <c r="L580" s="2">
        <f t="shared" ca="1" si="568"/>
        <v>0.90822155009638383</v>
      </c>
      <c r="M580" s="2">
        <f t="shared" ca="1" si="569"/>
        <v>2.6597655362260254E-2</v>
      </c>
      <c r="N580" s="2">
        <f t="shared" ca="1" si="570"/>
        <v>2.6597655362260254E-2</v>
      </c>
      <c r="O580" s="2">
        <f t="shared" si="571"/>
        <v>6000000</v>
      </c>
      <c r="P580" s="2">
        <f t="shared" ca="1" si="572"/>
        <v>40325708.445066229</v>
      </c>
      <c r="Q580" s="2">
        <f t="shared" ca="1" si="573"/>
        <v>1008142.7111266558</v>
      </c>
      <c r="R580" s="2">
        <f t="shared" ca="1" si="574"/>
        <v>24195425.067039736</v>
      </c>
      <c r="S580" s="2">
        <f t="shared" ca="1" si="575"/>
        <v>16130283.378026493</v>
      </c>
      <c r="T580" s="2">
        <f t="shared" ca="1" si="576"/>
        <v>51329882.76811301</v>
      </c>
      <c r="U580" s="2">
        <f t="shared" ca="1" si="577"/>
        <v>53273065.089333571</v>
      </c>
      <c r="V580" s="2">
        <f t="shared" ca="1" si="578"/>
        <v>55289809.969630346</v>
      </c>
      <c r="W580" s="2">
        <f t="shared" ca="1" si="579"/>
        <v>57382902.248098835</v>
      </c>
      <c r="X580" s="2">
        <f t="shared" ca="1" si="580"/>
        <v>59555232.188780144</v>
      </c>
      <c r="Y580" s="2">
        <f t="shared" ca="1" si="581"/>
        <v>0.12504349551781208</v>
      </c>
      <c r="Z580" s="2">
        <f t="shared" ca="1" si="582"/>
        <v>0.1270608937249369</v>
      </c>
      <c r="AA580" s="2">
        <f t="shared" ca="1" si="583"/>
        <v>6418467.9658443583</v>
      </c>
      <c r="AB580" s="2">
        <f t="shared" ca="1" si="584"/>
        <v>6768923.2617174592</v>
      </c>
      <c r="AC580" s="2">
        <f t="shared" ca="1" si="585"/>
        <v>7025172.6686231578</v>
      </c>
      <c r="AD580" s="2">
        <f t="shared" ca="1" si="586"/>
        <v>7291122.844174129</v>
      </c>
      <c r="AE580" s="2">
        <f t="shared" ca="1" si="587"/>
        <v>7567141.0279025352</v>
      </c>
      <c r="AF580" s="2">
        <f t="shared" ca="1" si="588"/>
        <v>1026597.6553622602</v>
      </c>
      <c r="AG580" s="2">
        <f t="shared" ca="1" si="589"/>
        <v>1065461.3017866714</v>
      </c>
      <c r="AH580" s="2">
        <f t="shared" ca="1" si="590"/>
        <v>1105796.199392607</v>
      </c>
      <c r="AI580" s="2">
        <f t="shared" ca="1" si="591"/>
        <v>1147658.0449619768</v>
      </c>
      <c r="AJ580" s="2">
        <f t="shared" ca="1" si="592"/>
        <v>1191104.6437756028</v>
      </c>
      <c r="AK580" s="2">
        <f t="shared" ca="1" si="593"/>
        <v>0</v>
      </c>
      <c r="AL580" s="2">
        <f t="shared" ca="1" si="594"/>
        <v>19431.823212205618</v>
      </c>
      <c r="AM580" s="2">
        <f t="shared" ca="1" si="595"/>
        <v>20167.448802967741</v>
      </c>
      <c r="AN580" s="2">
        <f t="shared" ca="1" si="596"/>
        <v>20930.922784684895</v>
      </c>
      <c r="AO580" s="2">
        <f t="shared" ca="1" si="597"/>
        <v>21723.299406813087</v>
      </c>
      <c r="AP580" s="2">
        <f t="shared" ca="1" si="598"/>
        <v>2177588.2560335761</v>
      </c>
      <c r="AQ580" s="2">
        <f t="shared" ca="1" si="599"/>
        <v>835713.33415661566</v>
      </c>
      <c r="AR580" s="2">
        <f t="shared" ca="1" si="600"/>
        <v>916727.16301327513</v>
      </c>
      <c r="AS580" s="2">
        <f t="shared" ca="1" si="601"/>
        <v>972864.93543121358</v>
      </c>
      <c r="AT580" s="2">
        <f t="shared" ca="1" si="602"/>
        <v>1031127.9012264299</v>
      </c>
      <c r="AU580" s="2">
        <f t="shared" ca="1" si="603"/>
        <v>1091596.5133042727</v>
      </c>
      <c r="AV580" s="2">
        <f t="shared" ca="1" si="604"/>
        <v>2378568.720291906</v>
      </c>
      <c r="AW580" s="2">
        <f t="shared" ca="1" si="605"/>
        <v>2589714.7176717315</v>
      </c>
      <c r="AX580" s="2">
        <f t="shared" ca="1" si="606"/>
        <v>2748755.8289627945</v>
      </c>
      <c r="AY580" s="2">
        <f t="shared" ca="1" si="607"/>
        <v>2913817.7191674607</v>
      </c>
      <c r="AZ580" s="2">
        <f t="shared" ca="1" si="608"/>
        <v>3085128.3153822701</v>
      </c>
      <c r="BA580" s="2">
        <f t="shared" ca="1" si="609"/>
        <v>56060461.135943986</v>
      </c>
      <c r="BB580" s="2">
        <f t="shared" ca="1" si="610"/>
        <v>1121209.2227188798</v>
      </c>
      <c r="BC580" s="2">
        <f t="shared" ca="1" si="611"/>
        <v>30743826.846185371</v>
      </c>
      <c r="BD580" s="2">
        <f t="shared" ca="1" si="612"/>
        <v>-17638426.089153148</v>
      </c>
      <c r="BE580" s="2">
        <f t="shared" ca="1" si="613"/>
        <v>2378568.720291906</v>
      </c>
      <c r="BF580" s="2">
        <f t="shared" ca="1" si="614"/>
        <v>2589714.7176717315</v>
      </c>
      <c r="BG580" s="2">
        <f t="shared" ca="1" si="615"/>
        <v>2748755.8289627945</v>
      </c>
      <c r="BH580" s="2">
        <f t="shared" ca="1" si="616"/>
        <v>2913817.7191674607</v>
      </c>
      <c r="BI580" s="2">
        <f t="shared" ca="1" si="617"/>
        <v>33828955.161567643</v>
      </c>
      <c r="BJ580" s="2">
        <f t="shared" ca="1" si="618"/>
        <v>0.243067974514112</v>
      </c>
      <c r="BK580" s="2">
        <f t="shared" ca="1" si="619"/>
        <v>9553552.3024664745</v>
      </c>
    </row>
    <row r="581" spans="1:63" x14ac:dyDescent="0.3">
      <c r="A581" s="2">
        <v>580</v>
      </c>
      <c r="B581" s="2">
        <f t="shared" ca="1" si="558"/>
        <v>0.16367351496656213</v>
      </c>
      <c r="C581" s="2">
        <f t="shared" ca="1" si="559"/>
        <v>6.5721424909348407</v>
      </c>
      <c r="D581" s="2">
        <f t="shared" ca="1" si="560"/>
        <v>6.5061208916521007E-2</v>
      </c>
      <c r="E581" s="2">
        <f t="shared" ca="1" si="561"/>
        <v>6.8607248505898113</v>
      </c>
      <c r="F581" s="2">
        <f t="shared" ca="1" si="562"/>
        <v>0.59312311168225618</v>
      </c>
      <c r="G581" s="2">
        <f t="shared" ca="1" si="563"/>
        <v>4.7067586241943765E-2</v>
      </c>
      <c r="H581" s="2">
        <f t="shared" ca="1" si="564"/>
        <v>4.7067586241943765E-2</v>
      </c>
      <c r="I581" s="2">
        <f t="shared" ca="1" si="565"/>
        <v>0.45119010109211932</v>
      </c>
      <c r="J581" s="2">
        <f t="shared" ca="1" si="566"/>
        <v>9.3867243855185745E-3</v>
      </c>
      <c r="K581" s="2">
        <f t="shared" ca="1" si="567"/>
        <v>9.3867243855185745E-3</v>
      </c>
      <c r="L581" s="2">
        <f t="shared" ca="1" si="568"/>
        <v>0.38278443490124303</v>
      </c>
      <c r="M581" s="2">
        <f t="shared" ca="1" si="569"/>
        <v>-5.9635191752662464E-3</v>
      </c>
      <c r="N581" s="2">
        <f t="shared" ca="1" si="570"/>
        <v>-5.9635191752662464E-3</v>
      </c>
      <c r="O581" s="2">
        <f t="shared" si="571"/>
        <v>6000000</v>
      </c>
      <c r="P581" s="2">
        <f t="shared" ca="1" si="572"/>
        <v>39432854.945609041</v>
      </c>
      <c r="Q581" s="2">
        <f t="shared" ca="1" si="573"/>
        <v>985821.37364022608</v>
      </c>
      <c r="R581" s="2">
        <f t="shared" ca="1" si="574"/>
        <v>23659712.967365425</v>
      </c>
      <c r="S581" s="2">
        <f t="shared" ca="1" si="575"/>
        <v>15773141.978243617</v>
      </c>
      <c r="T581" s="2">
        <f t="shared" ca="1" si="576"/>
        <v>49701824.041236684</v>
      </c>
      <c r="U581" s="2">
        <f t="shared" ca="1" si="577"/>
        <v>52041168.930679508</v>
      </c>
      <c r="V581" s="2">
        <f t="shared" ca="1" si="578"/>
        <v>54490621.137455836</v>
      </c>
      <c r="W581" s="2">
        <f t="shared" ca="1" si="579"/>
        <v>57055363.147220127</v>
      </c>
      <c r="X581" s="2">
        <f t="shared" ca="1" si="580"/>
        <v>59740821.372717336</v>
      </c>
      <c r="Y581" s="2">
        <f t="shared" ca="1" si="581"/>
        <v>0.12469336219275928</v>
      </c>
      <c r="Z581" s="2">
        <f t="shared" ca="1" si="582"/>
        <v>0.12657070706986301</v>
      </c>
      <c r="AA581" s="2">
        <f t="shared" ca="1" si="583"/>
        <v>6197487.5468147164</v>
      </c>
      <c r="AB581" s="2">
        <f t="shared" ca="1" si="584"/>
        <v>6586887.5482982919</v>
      </c>
      <c r="AC581" s="2">
        <f t="shared" ca="1" si="585"/>
        <v>6896916.446043808</v>
      </c>
      <c r="AD581" s="2">
        <f t="shared" ca="1" si="586"/>
        <v>7221537.6556714559</v>
      </c>
      <c r="AE581" s="2">
        <f t="shared" ca="1" si="587"/>
        <v>7561438.0020792177</v>
      </c>
      <c r="AF581" s="2">
        <f t="shared" ca="1" si="588"/>
        <v>994036.48082473374</v>
      </c>
      <c r="AG581" s="2">
        <f t="shared" ca="1" si="589"/>
        <v>1040823.3786135901</v>
      </c>
      <c r="AH581" s="2">
        <f t="shared" ca="1" si="590"/>
        <v>1089812.4227491168</v>
      </c>
      <c r="AI581" s="2">
        <f t="shared" ca="1" si="591"/>
        <v>1141107.2629444026</v>
      </c>
      <c r="AJ581" s="2">
        <f t="shared" ca="1" si="592"/>
        <v>1194816.4274543468</v>
      </c>
      <c r="AK581" s="2">
        <f t="shared" ca="1" si="593"/>
        <v>0</v>
      </c>
      <c r="AL581" s="2">
        <f t="shared" ca="1" si="594"/>
        <v>23393.448894428238</v>
      </c>
      <c r="AM581" s="2">
        <f t="shared" ca="1" si="595"/>
        <v>24494.522067763286</v>
      </c>
      <c r="AN581" s="2">
        <f t="shared" ca="1" si="596"/>
        <v>25647.420097642913</v>
      </c>
      <c r="AO581" s="2">
        <f t="shared" ca="1" si="597"/>
        <v>26854.582254972087</v>
      </c>
      <c r="AP581" s="2">
        <f t="shared" ca="1" si="598"/>
        <v>2129374.1670628884</v>
      </c>
      <c r="AQ581" s="2">
        <f t="shared" ca="1" si="599"/>
        <v>799259.99372104451</v>
      </c>
      <c r="AR581" s="2">
        <f t="shared" ca="1" si="600"/>
        <v>888339.40068167145</v>
      </c>
      <c r="AS581" s="2">
        <f t="shared" ca="1" si="601"/>
        <v>956209.76262026874</v>
      </c>
      <c r="AT581" s="2">
        <f t="shared" ca="1" si="602"/>
        <v>1027274.6186726828</v>
      </c>
      <c r="AU581" s="2">
        <f t="shared" ca="1" si="603"/>
        <v>1101684.3259661153</v>
      </c>
      <c r="AV581" s="2">
        <f t="shared" ca="1" si="604"/>
        <v>2274816.9052060493</v>
      </c>
      <c r="AW581" s="2">
        <f t="shared" ca="1" si="605"/>
        <v>2504957.1530457134</v>
      </c>
      <c r="AX581" s="2">
        <f t="shared" ca="1" si="606"/>
        <v>2697025.5715437713</v>
      </c>
      <c r="AY581" s="2">
        <f t="shared" ca="1" si="607"/>
        <v>2898134.1868938389</v>
      </c>
      <c r="AZ581" s="2">
        <f t="shared" ca="1" si="608"/>
        <v>3108708.4993408951</v>
      </c>
      <c r="BA581" s="2">
        <f t="shared" ca="1" si="609"/>
        <v>51876945.607059062</v>
      </c>
      <c r="BB581" s="2">
        <f t="shared" ca="1" si="610"/>
        <v>1037538.9121411813</v>
      </c>
      <c r="BC581" s="2">
        <f t="shared" ca="1" si="611"/>
        <v>27179693.727552455</v>
      </c>
      <c r="BD581" s="2">
        <f t="shared" ca="1" si="612"/>
        <v>-17258963.351883844</v>
      </c>
      <c r="BE581" s="2">
        <f t="shared" ca="1" si="613"/>
        <v>2274816.9052060493</v>
      </c>
      <c r="BF581" s="2">
        <f t="shared" ca="1" si="614"/>
        <v>2504957.1530457134</v>
      </c>
      <c r="BG581" s="2">
        <f t="shared" ca="1" si="615"/>
        <v>2697025.5715437713</v>
      </c>
      <c r="BH581" s="2">
        <f t="shared" ca="1" si="616"/>
        <v>2898134.1868938389</v>
      </c>
      <c r="BI581" s="2">
        <f t="shared" ca="1" si="617"/>
        <v>30288402.22689335</v>
      </c>
      <c r="BJ581" s="2">
        <f t="shared" ca="1" si="618"/>
        <v>0.22502266111262381</v>
      </c>
      <c r="BK581" s="2">
        <f t="shared" ca="1" si="619"/>
        <v>7717018.7159901932</v>
      </c>
    </row>
    <row r="582" spans="1:63" x14ac:dyDescent="0.3">
      <c r="A582" s="2">
        <v>581</v>
      </c>
      <c r="B582" s="2">
        <f t="shared" ca="1" si="558"/>
        <v>0.22360970757537857</v>
      </c>
      <c r="C582" s="2">
        <f t="shared" ca="1" si="559"/>
        <v>6.6687446561661314</v>
      </c>
      <c r="D582" s="2">
        <f t="shared" ca="1" si="560"/>
        <v>0.55618630625463539</v>
      </c>
      <c r="E582" s="2">
        <f t="shared" ca="1" si="561"/>
        <v>7.5578602080950361</v>
      </c>
      <c r="F582" s="2">
        <f t="shared" ca="1" si="562"/>
        <v>0.45789053149706194</v>
      </c>
      <c r="G582" s="2">
        <f t="shared" ca="1" si="563"/>
        <v>3.6827513404773159E-2</v>
      </c>
      <c r="H582" s="2">
        <f t="shared" ca="1" si="564"/>
        <v>3.6827513404773159E-2</v>
      </c>
      <c r="I582" s="2">
        <f t="shared" ca="1" si="565"/>
        <v>0.55297870458307585</v>
      </c>
      <c r="J582" s="2">
        <f t="shared" ca="1" si="566"/>
        <v>1.0665953340732E-2</v>
      </c>
      <c r="K582" s="2">
        <f t="shared" ca="1" si="567"/>
        <v>1.0665953340732E-2</v>
      </c>
      <c r="L582" s="2">
        <f t="shared" ca="1" si="568"/>
        <v>0.17644760794485304</v>
      </c>
      <c r="M582" s="2">
        <f t="shared" ca="1" si="569"/>
        <v>-1.8579763449584119E-2</v>
      </c>
      <c r="N582" s="2">
        <f t="shared" ca="1" si="570"/>
        <v>-1.8579763449584119E-2</v>
      </c>
      <c r="O582" s="2">
        <f t="shared" si="571"/>
        <v>6000000</v>
      </c>
      <c r="P582" s="2">
        <f t="shared" ca="1" si="572"/>
        <v>40012467.936996788</v>
      </c>
      <c r="Q582" s="2">
        <f t="shared" ca="1" si="573"/>
        <v>1000311.6984249197</v>
      </c>
      <c r="R582" s="2">
        <f t="shared" ca="1" si="574"/>
        <v>24007480.762198072</v>
      </c>
      <c r="S582" s="2">
        <f t="shared" ca="1" si="575"/>
        <v>16004987.174798716</v>
      </c>
      <c r="T582" s="2">
        <f t="shared" ca="1" si="576"/>
        <v>49071011.827520795</v>
      </c>
      <c r="U582" s="2">
        <f t="shared" ca="1" si="577"/>
        <v>50878175.173384599</v>
      </c>
      <c r="V582" s="2">
        <f t="shared" ca="1" si="578"/>
        <v>52751891.851592816</v>
      </c>
      <c r="W582" s="2">
        <f t="shared" ca="1" si="579"/>
        <v>54694612.855884492</v>
      </c>
      <c r="X582" s="2">
        <f t="shared" ca="1" si="580"/>
        <v>56708879.444003455</v>
      </c>
      <c r="Y582" s="2">
        <f t="shared" ca="1" si="581"/>
        <v>0.125332976670366</v>
      </c>
      <c r="Z582" s="2">
        <f t="shared" ca="1" si="582"/>
        <v>0.1274661673385124</v>
      </c>
      <c r="AA582" s="2">
        <f t="shared" ca="1" si="583"/>
        <v>6150215.9805699177</v>
      </c>
      <c r="AB582" s="2">
        <f t="shared" ca="1" si="584"/>
        <v>6485245.9905287884</v>
      </c>
      <c r="AC582" s="2">
        <f t="shared" ca="1" si="585"/>
        <v>6724081.4741782388</v>
      </c>
      <c r="AD582" s="2">
        <f t="shared" ca="1" si="586"/>
        <v>6971712.674803325</v>
      </c>
      <c r="AE582" s="2">
        <f t="shared" ca="1" si="587"/>
        <v>7228463.516788871</v>
      </c>
      <c r="AF582" s="2">
        <f t="shared" ca="1" si="588"/>
        <v>981420.23655041587</v>
      </c>
      <c r="AG582" s="2">
        <f t="shared" ca="1" si="589"/>
        <v>1017563.5034676921</v>
      </c>
      <c r="AH582" s="2">
        <f t="shared" ca="1" si="590"/>
        <v>1055037.8370318564</v>
      </c>
      <c r="AI582" s="2">
        <f t="shared" ca="1" si="591"/>
        <v>1093892.2571176898</v>
      </c>
      <c r="AJ582" s="2">
        <f t="shared" ca="1" si="592"/>
        <v>1134177.5888800691</v>
      </c>
      <c r="AK582" s="2">
        <f t="shared" ca="1" si="593"/>
        <v>0</v>
      </c>
      <c r="AL582" s="2">
        <f t="shared" ca="1" si="594"/>
        <v>18071.633458638044</v>
      </c>
      <c r="AM582" s="2">
        <f t="shared" ca="1" si="595"/>
        <v>18737.166782082171</v>
      </c>
      <c r="AN582" s="2">
        <f t="shared" ca="1" si="596"/>
        <v>19427.210042916759</v>
      </c>
      <c r="AO582" s="2">
        <f t="shared" ca="1" si="597"/>
        <v>20142.66588118963</v>
      </c>
      <c r="AP582" s="2">
        <f t="shared" ca="1" si="598"/>
        <v>2160673.2685978264</v>
      </c>
      <c r="AQ582" s="2">
        <f t="shared" ca="1" si="599"/>
        <v>782111.8436096356</v>
      </c>
      <c r="AR582" s="2">
        <f t="shared" ca="1" si="600"/>
        <v>859822.39680045028</v>
      </c>
      <c r="AS582" s="2">
        <f t="shared" ca="1" si="601"/>
        <v>912176.2958226247</v>
      </c>
      <c r="AT582" s="2">
        <f t="shared" ca="1" si="602"/>
        <v>966458.2587628304</v>
      </c>
      <c r="AU582" s="2">
        <f t="shared" ca="1" si="603"/>
        <v>1022739.2914208538</v>
      </c>
      <c r="AV582" s="2">
        <f t="shared" ca="1" si="604"/>
        <v>2226010.6318120398</v>
      </c>
      <c r="AW582" s="2">
        <f t="shared" ca="1" si="605"/>
        <v>2429115.1882041823</v>
      </c>
      <c r="AX582" s="2">
        <f t="shared" ca="1" si="606"/>
        <v>2577456.9059438491</v>
      </c>
      <c r="AY582" s="2">
        <f t="shared" ca="1" si="607"/>
        <v>2731261.6802820619</v>
      </c>
      <c r="AZ582" s="2">
        <f t="shared" ca="1" si="608"/>
        <v>2890730.7020089328</v>
      </c>
      <c r="BA582" s="2">
        <f t="shared" ca="1" si="609"/>
        <v>54631716.779205315</v>
      </c>
      <c r="BB582" s="2">
        <f t="shared" ca="1" si="610"/>
        <v>1092634.3355841064</v>
      </c>
      <c r="BC582" s="2">
        <f t="shared" ca="1" si="611"/>
        <v>29531601.681423135</v>
      </c>
      <c r="BD582" s="2">
        <f t="shared" ca="1" si="612"/>
        <v>-17505298.873223636</v>
      </c>
      <c r="BE582" s="2">
        <f t="shared" ca="1" si="613"/>
        <v>2226010.6318120398</v>
      </c>
      <c r="BF582" s="2">
        <f t="shared" ca="1" si="614"/>
        <v>2429115.1882041823</v>
      </c>
      <c r="BG582" s="2">
        <f t="shared" ca="1" si="615"/>
        <v>2577456.9059438491</v>
      </c>
      <c r="BH582" s="2">
        <f t="shared" ca="1" si="616"/>
        <v>2731261.6802820619</v>
      </c>
      <c r="BI582" s="2">
        <f t="shared" ca="1" si="617"/>
        <v>32422332.383432068</v>
      </c>
      <c r="BJ582" s="2">
        <f t="shared" ca="1" si="618"/>
        <v>0.23008401374043785</v>
      </c>
      <c r="BK582" s="2">
        <f t="shared" ca="1" si="619"/>
        <v>8386337.58467713</v>
      </c>
    </row>
    <row r="583" spans="1:63" x14ac:dyDescent="0.3">
      <c r="A583" s="2">
        <v>582</v>
      </c>
      <c r="B583" s="2">
        <f t="shared" ca="1" si="558"/>
        <v>0.95223450014187139</v>
      </c>
      <c r="C583" s="2">
        <f t="shared" ca="1" si="559"/>
        <v>7.6909191048992884</v>
      </c>
      <c r="D583" s="2">
        <f t="shared" ca="1" si="560"/>
        <v>0.46291077293375538</v>
      </c>
      <c r="E583" s="2">
        <f t="shared" ca="1" si="561"/>
        <v>7.4621962096513945</v>
      </c>
      <c r="F583" s="2">
        <f t="shared" ca="1" si="562"/>
        <v>0.65058574516393053</v>
      </c>
      <c r="G583" s="2">
        <f t="shared" ca="1" si="563"/>
        <v>5.1607070162471111E-2</v>
      </c>
      <c r="H583" s="2">
        <f t="shared" ca="1" si="564"/>
        <v>5.1607070162471111E-2</v>
      </c>
      <c r="I583" s="2">
        <f t="shared" ca="1" si="565"/>
        <v>0.2421190851870878</v>
      </c>
      <c r="J583" s="2">
        <f t="shared" ca="1" si="566"/>
        <v>6.502488453791198E-3</v>
      </c>
      <c r="K583" s="2">
        <f t="shared" ca="1" si="567"/>
        <v>6.502488453791198E-3</v>
      </c>
      <c r="L583" s="2">
        <f t="shared" ca="1" si="568"/>
        <v>0.26850827146565459</v>
      </c>
      <c r="M583" s="2">
        <f t="shared" ca="1" si="569"/>
        <v>-1.234661637820135E-2</v>
      </c>
      <c r="N583" s="2">
        <f t="shared" ca="1" si="570"/>
        <v>-1.234661637820135E-2</v>
      </c>
      <c r="O583" s="2">
        <f t="shared" si="571"/>
        <v>6000000</v>
      </c>
      <c r="P583" s="2">
        <f t="shared" ca="1" si="572"/>
        <v>46145514.629395731</v>
      </c>
      <c r="Q583" s="2">
        <f t="shared" ca="1" si="573"/>
        <v>1153637.8657348934</v>
      </c>
      <c r="R583" s="2">
        <f t="shared" ca="1" si="574"/>
        <v>27687308.777637437</v>
      </c>
      <c r="S583" s="2">
        <f t="shared" ca="1" si="575"/>
        <v>18458205.851758294</v>
      </c>
      <c r="T583" s="2">
        <f t="shared" ca="1" si="576"/>
        <v>49382669.18108993</v>
      </c>
      <c r="U583" s="2">
        <f t="shared" ca="1" si="577"/>
        <v>51931164.054328538</v>
      </c>
      <c r="V583" s="2">
        <f t="shared" ca="1" si="578"/>
        <v>54611179.28129907</v>
      </c>
      <c r="W583" s="2">
        <f t="shared" ca="1" si="579"/>
        <v>57429502.242124356</v>
      </c>
      <c r="X583" s="2">
        <f t="shared" ca="1" si="580"/>
        <v>60393270.593729459</v>
      </c>
      <c r="Y583" s="2">
        <f t="shared" ca="1" si="581"/>
        <v>0.1232512442268956</v>
      </c>
      <c r="Z583" s="2">
        <f t="shared" ca="1" si="582"/>
        <v>0.12455174191765384</v>
      </c>
      <c r="AA583" s="2">
        <f t="shared" ca="1" si="583"/>
        <v>6086475.4198145056</v>
      </c>
      <c r="AB583" s="2">
        <f t="shared" ca="1" si="584"/>
        <v>6468116.9427780695</v>
      </c>
      <c r="AC583" s="2">
        <f t="shared" ca="1" si="585"/>
        <v>6801917.5076630861</v>
      </c>
      <c r="AD583" s="2">
        <f t="shared" ca="1" si="586"/>
        <v>7152944.541720395</v>
      </c>
      <c r="AE583" s="2">
        <f t="shared" ca="1" si="587"/>
        <v>7522087.0525532244</v>
      </c>
      <c r="AF583" s="2">
        <f t="shared" ca="1" si="588"/>
        <v>987653.3836217986</v>
      </c>
      <c r="AG583" s="2">
        <f t="shared" ca="1" si="589"/>
        <v>1038623.2810865708</v>
      </c>
      <c r="AH583" s="2">
        <f t="shared" ca="1" si="590"/>
        <v>1092223.5856259814</v>
      </c>
      <c r="AI583" s="2">
        <f t="shared" ca="1" si="591"/>
        <v>1148590.0448424872</v>
      </c>
      <c r="AJ583" s="2">
        <f t="shared" ca="1" si="592"/>
        <v>1207865.4118745893</v>
      </c>
      <c r="AK583" s="2">
        <f t="shared" ca="1" si="593"/>
        <v>0</v>
      </c>
      <c r="AL583" s="2">
        <f t="shared" ca="1" si="594"/>
        <v>25484.948732386081</v>
      </c>
      <c r="AM583" s="2">
        <f t="shared" ca="1" si="595"/>
        <v>26800.152269705311</v>
      </c>
      <c r="AN583" s="2">
        <f t="shared" ca="1" si="596"/>
        <v>28183.22960825287</v>
      </c>
      <c r="AO583" s="2">
        <f t="shared" ca="1" si="597"/>
        <v>29637.683516051024</v>
      </c>
      <c r="AP583" s="2">
        <f t="shared" ca="1" si="598"/>
        <v>2491857.7899873694</v>
      </c>
      <c r="AQ583" s="2">
        <f t="shared" ca="1" si="599"/>
        <v>677810.70401338779</v>
      </c>
      <c r="AR583" s="2">
        <f t="shared" ca="1" si="600"/>
        <v>763785.3266430737</v>
      </c>
      <c r="AS583" s="2">
        <f t="shared" ca="1" si="601"/>
        <v>836637.39433293103</v>
      </c>
      <c r="AT583" s="2">
        <f t="shared" ca="1" si="602"/>
        <v>913249.14379153994</v>
      </c>
      <c r="AU583" s="2">
        <f t="shared" ca="1" si="603"/>
        <v>993814.6011797291</v>
      </c>
      <c r="AV583" s="2">
        <f t="shared" ca="1" si="604"/>
        <v>1929153.5421919497</v>
      </c>
      <c r="AW583" s="2">
        <f t="shared" ca="1" si="605"/>
        <v>2148365.5963286692</v>
      </c>
      <c r="AX583" s="2">
        <f t="shared" ca="1" si="606"/>
        <v>2354398.5854470981</v>
      </c>
      <c r="AY583" s="2">
        <f t="shared" ca="1" si="607"/>
        <v>2571064.3334907461</v>
      </c>
      <c r="AZ583" s="2">
        <f t="shared" ca="1" si="608"/>
        <v>2798911.5659954855</v>
      </c>
      <c r="BA583" s="2">
        <f t="shared" ca="1" si="609"/>
        <v>56131289.492230497</v>
      </c>
      <c r="BB583" s="2">
        <f t="shared" ca="1" si="610"/>
        <v>1122625.78984461</v>
      </c>
      <c r="BC583" s="2">
        <f t="shared" ca="1" si="611"/>
        <v>27321354.924748451</v>
      </c>
      <c r="BD583" s="2">
        <f t="shared" ca="1" si="612"/>
        <v>-20111843.717493188</v>
      </c>
      <c r="BE583" s="2">
        <f t="shared" ca="1" si="613"/>
        <v>1929153.5421919497</v>
      </c>
      <c r="BF583" s="2">
        <f t="shared" ca="1" si="614"/>
        <v>2148365.5963286692</v>
      </c>
      <c r="BG583" s="2">
        <f t="shared" ca="1" si="615"/>
        <v>2354398.5854470981</v>
      </c>
      <c r="BH583" s="2">
        <f t="shared" ca="1" si="616"/>
        <v>2571064.3334907461</v>
      </c>
      <c r="BI583" s="2">
        <f t="shared" ca="1" si="617"/>
        <v>30120266.490743935</v>
      </c>
      <c r="BJ583" s="2">
        <f t="shared" ca="1" si="618"/>
        <v>0.16564913814810378</v>
      </c>
      <c r="BK583" s="2">
        <f t="shared" ca="1" si="619"/>
        <v>3724099.0839809477</v>
      </c>
    </row>
    <row r="584" spans="1:63" x14ac:dyDescent="0.3">
      <c r="A584" s="2">
        <v>583</v>
      </c>
      <c r="B584" s="2">
        <f t="shared" ca="1" si="558"/>
        <v>0.27858487217198735</v>
      </c>
      <c r="C584" s="2">
        <f t="shared" ca="1" si="559"/>
        <v>6.746438037846394</v>
      </c>
      <c r="D584" s="2">
        <f t="shared" ca="1" si="560"/>
        <v>0.5522067248672381</v>
      </c>
      <c r="E584" s="2">
        <f t="shared" ca="1" si="561"/>
        <v>7.5536456529050424</v>
      </c>
      <c r="F584" s="2">
        <f t="shared" ca="1" si="562"/>
        <v>0.42833853259675903</v>
      </c>
      <c r="G584" s="2">
        <f t="shared" ca="1" si="563"/>
        <v>3.458182837644893E-2</v>
      </c>
      <c r="H584" s="2">
        <f t="shared" ca="1" si="564"/>
        <v>3.458182837644893E-2</v>
      </c>
      <c r="I584" s="2">
        <f t="shared" ca="1" si="565"/>
        <v>6.3685891717818022E-2</v>
      </c>
      <c r="J584" s="2">
        <f t="shared" ca="1" si="566"/>
        <v>2.3772581487681689E-3</v>
      </c>
      <c r="K584" s="2">
        <f t="shared" ca="1" si="567"/>
        <v>2.3772581487681689E-3</v>
      </c>
      <c r="L584" s="2">
        <f t="shared" ca="1" si="568"/>
        <v>0.98499701692354957</v>
      </c>
      <c r="M584" s="2">
        <f t="shared" ca="1" si="569"/>
        <v>4.3400232274387544E-2</v>
      </c>
      <c r="N584" s="2">
        <f t="shared" ca="1" si="570"/>
        <v>4.3400232274387544E-2</v>
      </c>
      <c r="O584" s="2">
        <f t="shared" si="571"/>
        <v>6000000</v>
      </c>
      <c r="P584" s="2">
        <f t="shared" ca="1" si="572"/>
        <v>40478628.227078363</v>
      </c>
      <c r="Q584" s="2">
        <f t="shared" ca="1" si="573"/>
        <v>1011965.7056769591</v>
      </c>
      <c r="R584" s="2">
        <f t="shared" ca="1" si="574"/>
        <v>24287176.936247017</v>
      </c>
      <c r="S584" s="2">
        <f t="shared" ca="1" si="575"/>
        <v>16191451.290831346</v>
      </c>
      <c r="T584" s="2">
        <f t="shared" ca="1" si="576"/>
        <v>52170011.613719381</v>
      </c>
      <c r="U584" s="2">
        <f t="shared" ca="1" si="577"/>
        <v>53974146.001742378</v>
      </c>
      <c r="V584" s="2">
        <f t="shared" ca="1" si="578"/>
        <v>55840670.655540034</v>
      </c>
      <c r="W584" s="2">
        <f t="shared" ca="1" si="579"/>
        <v>57771743.14457573</v>
      </c>
      <c r="X584" s="2">
        <f t="shared" ca="1" si="580"/>
        <v>59769595.651009738</v>
      </c>
      <c r="Y584" s="2">
        <f t="shared" ca="1" si="581"/>
        <v>0.12118862907438407</v>
      </c>
      <c r="Z584" s="2">
        <f t="shared" ca="1" si="582"/>
        <v>0.12166408070413771</v>
      </c>
      <c r="AA584" s="2">
        <f t="shared" ca="1" si="583"/>
        <v>6322412.1862613475</v>
      </c>
      <c r="AB584" s="2">
        <f t="shared" ca="1" si="584"/>
        <v>6566714.8550928961</v>
      </c>
      <c r="AC584" s="2">
        <f t="shared" ca="1" si="585"/>
        <v>6793803.8612087974</v>
      </c>
      <c r="AD584" s="2">
        <f t="shared" ca="1" si="586"/>
        <v>7028746.0203603767</v>
      </c>
      <c r="AE584" s="2">
        <f t="shared" ca="1" si="587"/>
        <v>7271812.9089381276</v>
      </c>
      <c r="AF584" s="2">
        <f t="shared" ca="1" si="588"/>
        <v>1043400.2322743876</v>
      </c>
      <c r="AG584" s="2">
        <f t="shared" ca="1" si="589"/>
        <v>1079482.9200348477</v>
      </c>
      <c r="AH584" s="2">
        <f t="shared" ca="1" si="590"/>
        <v>1116813.4131108008</v>
      </c>
      <c r="AI584" s="2">
        <f t="shared" ca="1" si="591"/>
        <v>1155434.8628915146</v>
      </c>
      <c r="AJ584" s="2">
        <f t="shared" ca="1" si="592"/>
        <v>1195391.9130201947</v>
      </c>
      <c r="AK584" s="2">
        <f t="shared" ca="1" si="593"/>
        <v>0</v>
      </c>
      <c r="AL584" s="2">
        <f t="shared" ca="1" si="594"/>
        <v>18041.343880229964</v>
      </c>
      <c r="AM584" s="2">
        <f t="shared" ca="1" si="595"/>
        <v>18665.246537976564</v>
      </c>
      <c r="AN584" s="2">
        <f t="shared" ca="1" si="596"/>
        <v>19310.72489035696</v>
      </c>
      <c r="AO584" s="2">
        <f t="shared" ca="1" si="597"/>
        <v>19978.525064340087</v>
      </c>
      <c r="AP584" s="2">
        <f t="shared" ca="1" si="598"/>
        <v>2185845.9242622317</v>
      </c>
      <c r="AQ584" s="2">
        <f t="shared" ca="1" si="599"/>
        <v>804223.16772842931</v>
      </c>
      <c r="AR584" s="2">
        <f t="shared" ca="1" si="600"/>
        <v>858360.36280691228</v>
      </c>
      <c r="AS584" s="2">
        <f t="shared" ca="1" si="601"/>
        <v>907697.57619729883</v>
      </c>
      <c r="AT584" s="2">
        <f t="shared" ca="1" si="602"/>
        <v>958740.96063372388</v>
      </c>
      <c r="AU584" s="2">
        <f t="shared" ca="1" si="603"/>
        <v>1011549.5186304824</v>
      </c>
      <c r="AV584" s="2">
        <f t="shared" ca="1" si="604"/>
        <v>2288942.8619962982</v>
      </c>
      <c r="AW584" s="2">
        <f t="shared" ca="1" si="605"/>
        <v>2424984.3041086742</v>
      </c>
      <c r="AX584" s="2">
        <f t="shared" ca="1" si="606"/>
        <v>2564781.7011004887</v>
      </c>
      <c r="AY584" s="2">
        <f t="shared" ca="1" si="607"/>
        <v>2709413.5476825493</v>
      </c>
      <c r="AZ584" s="2">
        <f t="shared" ca="1" si="608"/>
        <v>2859047.0279608793</v>
      </c>
      <c r="BA584" s="2">
        <f t="shared" ca="1" si="609"/>
        <v>54928697.968339257</v>
      </c>
      <c r="BB584" s="2">
        <f t="shared" ca="1" si="610"/>
        <v>1098573.9593667851</v>
      </c>
      <c r="BC584" s="2">
        <f t="shared" ca="1" si="611"/>
        <v>29542947.072725456</v>
      </c>
      <c r="BD584" s="2">
        <f t="shared" ca="1" si="612"/>
        <v>-17703416.996508304</v>
      </c>
      <c r="BE584" s="2">
        <f t="shared" ca="1" si="613"/>
        <v>2288942.8619962982</v>
      </c>
      <c r="BF584" s="2">
        <f t="shared" ca="1" si="614"/>
        <v>2424984.3041086742</v>
      </c>
      <c r="BG584" s="2">
        <f t="shared" ca="1" si="615"/>
        <v>2564781.7011004887</v>
      </c>
      <c r="BH584" s="2">
        <f t="shared" ca="1" si="616"/>
        <v>2709413.5476825493</v>
      </c>
      <c r="BI584" s="2">
        <f t="shared" ca="1" si="617"/>
        <v>32401994.100686334</v>
      </c>
      <c r="BJ584" s="2">
        <f t="shared" ca="1" si="618"/>
        <v>0.22712157384197873</v>
      </c>
      <c r="BK584" s="2">
        <f t="shared" ca="1" si="619"/>
        <v>8206668.505598601</v>
      </c>
    </row>
    <row r="585" spans="1:63" x14ac:dyDescent="0.3">
      <c r="A585" s="2">
        <v>584</v>
      </c>
      <c r="B585" s="2">
        <f t="shared" ca="1" si="558"/>
        <v>0.90444348600574398</v>
      </c>
      <c r="C585" s="2">
        <f t="shared" ca="1" si="559"/>
        <v>7.5628352393107239</v>
      </c>
      <c r="D585" s="2">
        <f t="shared" ca="1" si="560"/>
        <v>0.96702479006759878</v>
      </c>
      <c r="E585" s="2">
        <f t="shared" ca="1" si="561"/>
        <v>8.2431918617629059</v>
      </c>
      <c r="F585" s="2">
        <f t="shared" ca="1" si="562"/>
        <v>0.19549874612633233</v>
      </c>
      <c r="G585" s="2">
        <f t="shared" ca="1" si="563"/>
        <v>1.4265705717327749E-2</v>
      </c>
      <c r="H585" s="2">
        <f t="shared" ca="1" si="564"/>
        <v>1.4265705717327749E-2</v>
      </c>
      <c r="I585" s="2">
        <f t="shared" ca="1" si="565"/>
        <v>2.1671334717021762E-2</v>
      </c>
      <c r="J585" s="2">
        <f t="shared" ca="1" si="566"/>
        <v>-1.019635289915468E-4</v>
      </c>
      <c r="K585" s="2">
        <f t="shared" ca="1" si="567"/>
        <v>0</v>
      </c>
      <c r="L585" s="2">
        <f t="shared" ca="1" si="568"/>
        <v>0.82534024879243517</v>
      </c>
      <c r="M585" s="2">
        <f t="shared" ca="1" si="569"/>
        <v>1.8718200995062852E-2</v>
      </c>
      <c r="N585" s="2">
        <f t="shared" ca="1" si="570"/>
        <v>1.8718200995062852E-2</v>
      </c>
      <c r="O585" s="2">
        <f t="shared" si="571"/>
        <v>6000000</v>
      </c>
      <c r="P585" s="2">
        <f t="shared" ca="1" si="572"/>
        <v>45377011.435864344</v>
      </c>
      <c r="Q585" s="2">
        <f t="shared" ca="1" si="573"/>
        <v>1134425.2858966086</v>
      </c>
      <c r="R585" s="2">
        <f t="shared" ca="1" si="574"/>
        <v>27226206.861518607</v>
      </c>
      <c r="S585" s="2">
        <f t="shared" ca="1" si="575"/>
        <v>18150804.574345738</v>
      </c>
      <c r="T585" s="2">
        <f t="shared" ca="1" si="576"/>
        <v>50935910.049753144</v>
      </c>
      <c r="U585" s="2">
        <f t="shared" ca="1" si="577"/>
        <v>51662546.752967194</v>
      </c>
      <c r="V585" s="2">
        <f t="shared" ca="1" si="578"/>
        <v>52399549.441552706</v>
      </c>
      <c r="W585" s="2">
        <f t="shared" ca="1" si="579"/>
        <v>53147065.993606456</v>
      </c>
      <c r="X585" s="2">
        <f t="shared" ca="1" si="580"/>
        <v>53905246.396810636</v>
      </c>
      <c r="Y585" s="2">
        <f t="shared" ca="1" si="581"/>
        <v>0.12</v>
      </c>
      <c r="Z585" s="2">
        <f t="shared" ca="1" si="582"/>
        <v>0.12</v>
      </c>
      <c r="AA585" s="2">
        <f t="shared" ca="1" si="583"/>
        <v>6112309.2059703767</v>
      </c>
      <c r="AB585" s="2">
        <f t="shared" ca="1" si="584"/>
        <v>6199505.6103560627</v>
      </c>
      <c r="AC585" s="2">
        <f t="shared" ca="1" si="585"/>
        <v>6287945.9329863247</v>
      </c>
      <c r="AD585" s="2">
        <f t="shared" ca="1" si="586"/>
        <v>6377647.9192327745</v>
      </c>
      <c r="AE585" s="2">
        <f t="shared" ca="1" si="587"/>
        <v>6468629.5676172758</v>
      </c>
      <c r="AF585" s="2">
        <f t="shared" ca="1" si="588"/>
        <v>1018718.2009950629</v>
      </c>
      <c r="AG585" s="2">
        <f t="shared" ca="1" si="589"/>
        <v>1033250.9350593439</v>
      </c>
      <c r="AH585" s="2">
        <f t="shared" ca="1" si="590"/>
        <v>1047990.9888310542</v>
      </c>
      <c r="AI585" s="2">
        <f t="shared" ca="1" si="591"/>
        <v>1062941.3198721292</v>
      </c>
      <c r="AJ585" s="2">
        <f t="shared" ca="1" si="592"/>
        <v>1078104.9279362126</v>
      </c>
      <c r="AK585" s="2">
        <f t="shared" ca="1" si="593"/>
        <v>0</v>
      </c>
      <c r="AL585" s="2">
        <f t="shared" ca="1" si="594"/>
        <v>7266.3670321404934</v>
      </c>
      <c r="AM585" s="2">
        <f t="shared" ca="1" si="595"/>
        <v>7370.0268858551235</v>
      </c>
      <c r="AN585" s="2">
        <f t="shared" ca="1" si="596"/>
        <v>7475.1655205374955</v>
      </c>
      <c r="AO585" s="2">
        <f t="shared" ca="1" si="597"/>
        <v>7581.8040320418031</v>
      </c>
      <c r="AP585" s="2">
        <f t="shared" ca="1" si="598"/>
        <v>2450358.6175366747</v>
      </c>
      <c r="AQ585" s="2">
        <f t="shared" ca="1" si="599"/>
        <v>687240.42073404603</v>
      </c>
      <c r="AR585" s="2">
        <f t="shared" ca="1" si="600"/>
        <v>706132.97501761129</v>
      </c>
      <c r="AS585" s="2">
        <f t="shared" ca="1" si="601"/>
        <v>725295.04492083483</v>
      </c>
      <c r="AT585" s="2">
        <f t="shared" ca="1" si="602"/>
        <v>744730.47527423222</v>
      </c>
      <c r="AU585" s="2">
        <f t="shared" ca="1" si="603"/>
        <v>764443.16575754108</v>
      </c>
      <c r="AV585" s="2">
        <f t="shared" ca="1" si="604"/>
        <v>1955991.9667045926</v>
      </c>
      <c r="AW585" s="2">
        <f t="shared" ca="1" si="605"/>
        <v>2002496.7157102921</v>
      </c>
      <c r="AX585" s="2">
        <f t="shared" ca="1" si="606"/>
        <v>2056931.2548119058</v>
      </c>
      <c r="AY585" s="2">
        <f t="shared" ca="1" si="607"/>
        <v>2112142.3410292002</v>
      </c>
      <c r="AZ585" s="2">
        <f t="shared" ca="1" si="608"/>
        <v>2168141.0523548056</v>
      </c>
      <c r="BA585" s="2">
        <f t="shared" ca="1" si="609"/>
        <v>53322154.60854163</v>
      </c>
      <c r="BB585" s="2">
        <f t="shared" ca="1" si="610"/>
        <v>1066443.0921708327</v>
      </c>
      <c r="BC585" s="2">
        <f t="shared" ca="1" si="611"/>
        <v>25029504.654852189</v>
      </c>
      <c r="BD585" s="2">
        <f t="shared" ca="1" si="612"/>
        <v>-19785229.860242344</v>
      </c>
      <c r="BE585" s="2">
        <f t="shared" ca="1" si="613"/>
        <v>1955991.9667045926</v>
      </c>
      <c r="BF585" s="2">
        <f t="shared" ca="1" si="614"/>
        <v>2002496.7157102921</v>
      </c>
      <c r="BG585" s="2">
        <f t="shared" ca="1" si="615"/>
        <v>2056931.2548119058</v>
      </c>
      <c r="BH585" s="2">
        <f t="shared" ca="1" si="616"/>
        <v>2112142.3410292002</v>
      </c>
      <c r="BI585" s="2">
        <f t="shared" ca="1" si="617"/>
        <v>27197645.707206994</v>
      </c>
      <c r="BJ585" s="2">
        <f t="shared" ca="1" si="618"/>
        <v>0.14320492345742442</v>
      </c>
      <c r="BK585" s="2">
        <f t="shared" ca="1" si="619"/>
        <v>1796631.9269437604</v>
      </c>
    </row>
    <row r="586" spans="1:63" x14ac:dyDescent="0.3">
      <c r="A586" s="2">
        <v>585</v>
      </c>
      <c r="B586" s="2">
        <f t="shared" ca="1" si="558"/>
        <v>0.30453252801119535</v>
      </c>
      <c r="C586" s="2">
        <f t="shared" ca="1" si="559"/>
        <v>6.7804262015222134</v>
      </c>
      <c r="D586" s="2">
        <f t="shared" ca="1" si="560"/>
        <v>0.41635262474916079</v>
      </c>
      <c r="E586" s="2">
        <f t="shared" ca="1" si="561"/>
        <v>7.4125268486451903</v>
      </c>
      <c r="F586" s="2">
        <f t="shared" ca="1" si="562"/>
        <v>3.5409455845847315E-3</v>
      </c>
      <c r="G586" s="2">
        <f t="shared" ca="1" si="563"/>
        <v>-4.0789061764642871E-2</v>
      </c>
      <c r="H586" s="2">
        <f t="shared" ca="1" si="564"/>
        <v>-0.02</v>
      </c>
      <c r="I586" s="2">
        <f t="shared" ca="1" si="565"/>
        <v>0.19199767018025249</v>
      </c>
      <c r="J586" s="2">
        <f t="shared" ca="1" si="566"/>
        <v>5.6472081959383922E-3</v>
      </c>
      <c r="K586" s="2">
        <f t="shared" ca="1" si="567"/>
        <v>5.6472081959383922E-3</v>
      </c>
      <c r="L586" s="2">
        <f t="shared" ca="1" si="568"/>
        <v>0.86309351149461511</v>
      </c>
      <c r="M586" s="2">
        <f t="shared" ca="1" si="569"/>
        <v>2.1886476621520753E-2</v>
      </c>
      <c r="N586" s="2">
        <f t="shared" ca="1" si="570"/>
        <v>2.1886476621520753E-2</v>
      </c>
      <c r="O586" s="2">
        <f t="shared" si="571"/>
        <v>6000000</v>
      </c>
      <c r="P586" s="2">
        <f t="shared" ca="1" si="572"/>
        <v>40682557.209133282</v>
      </c>
      <c r="Q586" s="2">
        <f t="shared" ca="1" si="573"/>
        <v>1017063.9302283321</v>
      </c>
      <c r="R586" s="2">
        <f t="shared" ca="1" si="574"/>
        <v>24409534.325479969</v>
      </c>
      <c r="S586" s="2">
        <f t="shared" ca="1" si="575"/>
        <v>16273022.883653313</v>
      </c>
      <c r="T586" s="2">
        <f t="shared" ca="1" si="576"/>
        <v>51094323.831076041</v>
      </c>
      <c r="U586" s="2">
        <f t="shared" ca="1" si="577"/>
        <v>50072437.354454517</v>
      </c>
      <c r="V586" s="2">
        <f t="shared" ca="1" si="578"/>
        <v>49070988.607365429</v>
      </c>
      <c r="W586" s="2">
        <f t="shared" ca="1" si="579"/>
        <v>48089568.835218117</v>
      </c>
      <c r="X586" s="2">
        <f t="shared" ca="1" si="580"/>
        <v>47127777.458513752</v>
      </c>
      <c r="Y586" s="2">
        <f t="shared" ca="1" si="581"/>
        <v>0.12282360409796919</v>
      </c>
      <c r="Z586" s="2">
        <f t="shared" ca="1" si="582"/>
        <v>0.12395304573715688</v>
      </c>
      <c r="AA586" s="2">
        <f t="shared" ca="1" si="583"/>
        <v>6275589.0018815165</v>
      </c>
      <c r="AB586" s="2">
        <f t="shared" ca="1" si="584"/>
        <v>6206631.117567623</v>
      </c>
      <c r="AC586" s="2">
        <f t="shared" ca="1" si="585"/>
        <v>6082498.4952162709</v>
      </c>
      <c r="AD586" s="2">
        <f t="shared" ca="1" si="586"/>
        <v>5960848.525311945</v>
      </c>
      <c r="AE586" s="2">
        <f t="shared" ca="1" si="587"/>
        <v>5841631.5548057063</v>
      </c>
      <c r="AF586" s="2">
        <f t="shared" ca="1" si="588"/>
        <v>1021886.4766215208</v>
      </c>
      <c r="AG586" s="2">
        <f t="shared" ca="1" si="589"/>
        <v>1001448.7470890904</v>
      </c>
      <c r="AH586" s="2">
        <f t="shared" ca="1" si="590"/>
        <v>981419.77214730857</v>
      </c>
      <c r="AI586" s="2">
        <f t="shared" ca="1" si="591"/>
        <v>961791.37670436234</v>
      </c>
      <c r="AJ586" s="2">
        <f t="shared" ca="1" si="592"/>
        <v>942555.5491702751</v>
      </c>
      <c r="AK586" s="2">
        <f t="shared" ca="1" si="593"/>
        <v>0</v>
      </c>
      <c r="AL586" s="2">
        <f t="shared" ca="1" si="594"/>
        <v>0</v>
      </c>
      <c r="AM586" s="2">
        <f t="shared" ca="1" si="595"/>
        <v>0</v>
      </c>
      <c r="AN586" s="2">
        <f t="shared" ca="1" si="596"/>
        <v>0</v>
      </c>
      <c r="AO586" s="2">
        <f t="shared" ca="1" si="597"/>
        <v>0</v>
      </c>
      <c r="AP586" s="2">
        <f t="shared" ca="1" si="598"/>
        <v>2196858.0892931973</v>
      </c>
      <c r="AQ586" s="2">
        <f t="shared" ca="1" si="599"/>
        <v>794779.55335136771</v>
      </c>
      <c r="AR586" s="2">
        <f t="shared" ca="1" si="600"/>
        <v>782164.31310818717</v>
      </c>
      <c r="AS586" s="2">
        <f t="shared" ca="1" si="601"/>
        <v>755097.36478169879</v>
      </c>
      <c r="AT586" s="2">
        <f t="shared" ca="1" si="602"/>
        <v>728571.75542174024</v>
      </c>
      <c r="AU586" s="2">
        <f t="shared" ca="1" si="603"/>
        <v>702576.65824898076</v>
      </c>
      <c r="AV586" s="2">
        <f t="shared" ca="1" si="604"/>
        <v>2262064.8826154307</v>
      </c>
      <c r="AW586" s="2">
        <f t="shared" ca="1" si="605"/>
        <v>2226159.9680771478</v>
      </c>
      <c r="AX586" s="2">
        <f t="shared" ca="1" si="606"/>
        <v>2149123.2689940655</v>
      </c>
      <c r="AY586" s="2">
        <f t="shared" ca="1" si="607"/>
        <v>2073627.3038926455</v>
      </c>
      <c r="AZ586" s="2">
        <f t="shared" ca="1" si="608"/>
        <v>1999641.2580932532</v>
      </c>
      <c r="BA586" s="2">
        <f t="shared" ca="1" si="609"/>
        <v>43301250.739890248</v>
      </c>
      <c r="BB586" s="2">
        <f t="shared" ca="1" si="610"/>
        <v>866025.01479780499</v>
      </c>
      <c r="BC586" s="2">
        <f t="shared" ca="1" si="611"/>
        <v>18025691.399612471</v>
      </c>
      <c r="BD586" s="2">
        <f t="shared" ca="1" si="612"/>
        <v>-17790086.813881643</v>
      </c>
      <c r="BE586" s="2">
        <f t="shared" ca="1" si="613"/>
        <v>2262064.8826154307</v>
      </c>
      <c r="BF586" s="2">
        <f t="shared" ca="1" si="614"/>
        <v>2226159.9680771478</v>
      </c>
      <c r="BG586" s="2">
        <f t="shared" ca="1" si="615"/>
        <v>2149123.2689940655</v>
      </c>
      <c r="BH586" s="2">
        <f t="shared" ca="1" si="616"/>
        <v>2073627.3038926455</v>
      </c>
      <c r="BI586" s="2">
        <f t="shared" ca="1" si="617"/>
        <v>20025332.657705724</v>
      </c>
      <c r="BJ586" s="2">
        <f t="shared" ca="1" si="618"/>
        <v>0.12335676684448504</v>
      </c>
      <c r="BK586" s="2">
        <f t="shared" ca="1" si="619"/>
        <v>214737.74833286926</v>
      </c>
    </row>
    <row r="587" spans="1:63" x14ac:dyDescent="0.3">
      <c r="A587" s="2">
        <v>586</v>
      </c>
      <c r="B587" s="2">
        <f t="shared" ca="1" si="558"/>
        <v>0.79793186968406005</v>
      </c>
      <c r="C587" s="2">
        <f t="shared" ca="1" si="559"/>
        <v>7.3642828768769242</v>
      </c>
      <c r="D587" s="2">
        <f t="shared" ca="1" si="560"/>
        <v>0.95351510680536045</v>
      </c>
      <c r="E587" s="2">
        <f t="shared" ca="1" si="561"/>
        <v>8.195090527550752</v>
      </c>
      <c r="F587" s="2">
        <f t="shared" ca="1" si="562"/>
        <v>0.78178351145892022</v>
      </c>
      <c r="G587" s="2">
        <f t="shared" ca="1" si="563"/>
        <v>6.3346923253111198E-2</v>
      </c>
      <c r="H587" s="2">
        <f t="shared" ca="1" si="564"/>
        <v>6.3346923253111198E-2</v>
      </c>
      <c r="I587" s="2">
        <f t="shared" ca="1" si="565"/>
        <v>0.53927435517525202</v>
      </c>
      <c r="J587" s="2">
        <f t="shared" ca="1" si="566"/>
        <v>1.0493028843102326E-2</v>
      </c>
      <c r="K587" s="2">
        <f t="shared" ca="1" si="567"/>
        <v>1.0493028843102326E-2</v>
      </c>
      <c r="L587" s="2">
        <f t="shared" ca="1" si="568"/>
        <v>0.57922933847910185</v>
      </c>
      <c r="M587" s="2">
        <f t="shared" ca="1" si="569"/>
        <v>3.998446679883241E-3</v>
      </c>
      <c r="N587" s="2">
        <f t="shared" ca="1" si="570"/>
        <v>3.998446679883241E-3</v>
      </c>
      <c r="O587" s="2">
        <f t="shared" si="571"/>
        <v>6000000</v>
      </c>
      <c r="P587" s="2">
        <f t="shared" ca="1" si="572"/>
        <v>44185697.261261545</v>
      </c>
      <c r="Q587" s="2">
        <f t="shared" ca="1" si="573"/>
        <v>1104642.4315315387</v>
      </c>
      <c r="R587" s="2">
        <f t="shared" ca="1" si="574"/>
        <v>26511418.356756926</v>
      </c>
      <c r="S587" s="2">
        <f t="shared" ca="1" si="575"/>
        <v>17674278.90450462</v>
      </c>
      <c r="T587" s="2">
        <f t="shared" ca="1" si="576"/>
        <v>50199922.333994165</v>
      </c>
      <c r="U587" s="2">
        <f t="shared" ca="1" si="577"/>
        <v>53379932.961397834</v>
      </c>
      <c r="V587" s="2">
        <f t="shared" ca="1" si="578"/>
        <v>56761387.477959722</v>
      </c>
      <c r="W587" s="2">
        <f t="shared" ca="1" si="579"/>
        <v>60357046.734266147</v>
      </c>
      <c r="X587" s="2">
        <f t="shared" ca="1" si="580"/>
        <v>64180479.941526152</v>
      </c>
      <c r="Y587" s="2">
        <f t="shared" ca="1" si="581"/>
        <v>0.12524651442155116</v>
      </c>
      <c r="Z587" s="2">
        <f t="shared" ca="1" si="582"/>
        <v>0.12734512019017163</v>
      </c>
      <c r="AA587" s="2">
        <f t="shared" ca="1" si="583"/>
        <v>6287365.2965653483</v>
      </c>
      <c r="AB587" s="2">
        <f t="shared" ca="1" si="584"/>
        <v>6797673.9787125112</v>
      </c>
      <c r="AC587" s="2">
        <f t="shared" ca="1" si="585"/>
        <v>7228285.7105416842</v>
      </c>
      <c r="AD587" s="2">
        <f t="shared" ca="1" si="586"/>
        <v>7686175.3706989288</v>
      </c>
      <c r="AE587" s="2">
        <f t="shared" ca="1" si="587"/>
        <v>8173070.9320165478</v>
      </c>
      <c r="AF587" s="2">
        <f t="shared" ca="1" si="588"/>
        <v>1003998.4466798833</v>
      </c>
      <c r="AG587" s="2">
        <f t="shared" ca="1" si="589"/>
        <v>1067598.6592279568</v>
      </c>
      <c r="AH587" s="2">
        <f t="shared" ca="1" si="590"/>
        <v>1135227.7495591945</v>
      </c>
      <c r="AI587" s="2">
        <f t="shared" ca="1" si="591"/>
        <v>1207140.9346853229</v>
      </c>
      <c r="AJ587" s="2">
        <f t="shared" ca="1" si="592"/>
        <v>1283609.598830523</v>
      </c>
      <c r="AK587" s="2">
        <f t="shared" ca="1" si="593"/>
        <v>0</v>
      </c>
      <c r="AL587" s="2">
        <f t="shared" ca="1" si="594"/>
        <v>31800.106274036691</v>
      </c>
      <c r="AM587" s="2">
        <f t="shared" ca="1" si="595"/>
        <v>33814.545165618882</v>
      </c>
      <c r="AN587" s="2">
        <f t="shared" ca="1" si="596"/>
        <v>35956.592563064245</v>
      </c>
      <c r="AO587" s="2">
        <f t="shared" ca="1" si="597"/>
        <v>38234.332072600053</v>
      </c>
      <c r="AP587" s="2">
        <f t="shared" ca="1" si="598"/>
        <v>2386027.6521081231</v>
      </c>
      <c r="AQ587" s="2">
        <f t="shared" ca="1" si="599"/>
        <v>753308.19142210879</v>
      </c>
      <c r="AR587" s="2">
        <f t="shared" ca="1" si="600"/>
        <v>869452.39351787209</v>
      </c>
      <c r="AS587" s="2">
        <f t="shared" ca="1" si="601"/>
        <v>963827.88030733529</v>
      </c>
      <c r="AT587" s="2">
        <f t="shared" ca="1" si="602"/>
        <v>1064181.7638154256</v>
      </c>
      <c r="AU587" s="2">
        <f t="shared" ca="1" si="603"/>
        <v>1170892.7570802544</v>
      </c>
      <c r="AV587" s="2">
        <f t="shared" ca="1" si="604"/>
        <v>2144031.006355233</v>
      </c>
      <c r="AW587" s="2">
        <f t="shared" ca="1" si="605"/>
        <v>2442795.1675845222</v>
      </c>
      <c r="AX587" s="2">
        <f t="shared" ca="1" si="606"/>
        <v>2709387.8834014121</v>
      </c>
      <c r="AY587" s="2">
        <f t="shared" ca="1" si="607"/>
        <v>2992868.4275269932</v>
      </c>
      <c r="AZ587" s="2">
        <f t="shared" ca="1" si="608"/>
        <v>3294306.5919250478</v>
      </c>
      <c r="BA587" s="2">
        <f t="shared" ca="1" si="609"/>
        <v>66979056.175969206</v>
      </c>
      <c r="BB587" s="2">
        <f t="shared" ca="1" si="610"/>
        <v>1339581.1235193841</v>
      </c>
      <c r="BC587" s="2">
        <f t="shared" ca="1" si="611"/>
        <v>39128056.695692897</v>
      </c>
      <c r="BD587" s="2">
        <f t="shared" ca="1" si="612"/>
        <v>-19278921.336036157</v>
      </c>
      <c r="BE587" s="2">
        <f t="shared" ca="1" si="613"/>
        <v>2144031.006355233</v>
      </c>
      <c r="BF587" s="2">
        <f t="shared" ca="1" si="614"/>
        <v>2442795.1675845222</v>
      </c>
      <c r="BG587" s="2">
        <f t="shared" ca="1" si="615"/>
        <v>2709387.8834014121</v>
      </c>
      <c r="BH587" s="2">
        <f t="shared" ca="1" si="616"/>
        <v>2992868.4275269932</v>
      </c>
      <c r="BI587" s="2">
        <f t="shared" ca="1" si="617"/>
        <v>42422363.287617944</v>
      </c>
      <c r="BJ587" s="2">
        <f t="shared" ca="1" si="618"/>
        <v>0.25783553678710325</v>
      </c>
      <c r="BK587" s="2">
        <f t="shared" ca="1" si="619"/>
        <v>12484872.397700634</v>
      </c>
    </row>
    <row r="588" spans="1:63" x14ac:dyDescent="0.3">
      <c r="A588" s="2">
        <v>587</v>
      </c>
      <c r="B588" s="2">
        <f t="shared" ca="1" si="558"/>
        <v>0.80611516734444111</v>
      </c>
      <c r="C588" s="2">
        <f t="shared" ca="1" si="559"/>
        <v>7.3772884573808533</v>
      </c>
      <c r="D588" s="2">
        <f t="shared" ca="1" si="560"/>
        <v>0.46206144924337655</v>
      </c>
      <c r="E588" s="2">
        <f t="shared" ca="1" si="561"/>
        <v>7.4613131115753877</v>
      </c>
      <c r="F588" s="2">
        <f t="shared" ca="1" si="562"/>
        <v>0.76921715980686967</v>
      </c>
      <c r="G588" s="2">
        <f t="shared" ca="1" si="563"/>
        <v>6.2088135459309447E-2</v>
      </c>
      <c r="H588" s="2">
        <f t="shared" ca="1" si="564"/>
        <v>6.2088135459309447E-2</v>
      </c>
      <c r="I588" s="2">
        <f t="shared" ca="1" si="565"/>
        <v>0.31416993206114607</v>
      </c>
      <c r="J588" s="2">
        <f t="shared" ca="1" si="566"/>
        <v>7.5796758770179402E-3</v>
      </c>
      <c r="K588" s="2">
        <f t="shared" ca="1" si="567"/>
        <v>7.5796758770179402E-3</v>
      </c>
      <c r="L588" s="2">
        <f t="shared" ca="1" si="568"/>
        <v>0.42667925399574114</v>
      </c>
      <c r="M588" s="2">
        <f t="shared" ca="1" si="569"/>
        <v>-3.6966986434664889E-3</v>
      </c>
      <c r="N588" s="2">
        <f t="shared" ca="1" si="570"/>
        <v>-3.6966986434664889E-3</v>
      </c>
      <c r="O588" s="2">
        <f t="shared" si="571"/>
        <v>6000000</v>
      </c>
      <c r="P588" s="2">
        <f t="shared" ca="1" si="572"/>
        <v>44263730.744285122</v>
      </c>
      <c r="Q588" s="2">
        <f t="shared" ca="1" si="573"/>
        <v>1106593.2686071282</v>
      </c>
      <c r="R588" s="2">
        <f t="shared" ca="1" si="574"/>
        <v>26558238.446571071</v>
      </c>
      <c r="S588" s="2">
        <f t="shared" ca="1" si="575"/>
        <v>17705492.297714051</v>
      </c>
      <c r="T588" s="2">
        <f t="shared" ca="1" si="576"/>
        <v>49815165.067826681</v>
      </c>
      <c r="U588" s="2">
        <f t="shared" ca="1" si="577"/>
        <v>52908095.784485765</v>
      </c>
      <c r="V588" s="2">
        <f t="shared" ca="1" si="578"/>
        <v>56193060.802447036</v>
      </c>
      <c r="W588" s="2">
        <f t="shared" ca="1" si="579"/>
        <v>59681983.173422582</v>
      </c>
      <c r="X588" s="2">
        <f t="shared" ca="1" si="580"/>
        <v>63387526.229174271</v>
      </c>
      <c r="Y588" s="2">
        <f t="shared" ca="1" si="581"/>
        <v>0.12378983793850896</v>
      </c>
      <c r="Z588" s="2">
        <f t="shared" ca="1" si="582"/>
        <v>0.12530577311391256</v>
      </c>
      <c r="AA588" s="2">
        <f t="shared" ca="1" si="583"/>
        <v>6166611.2106263377</v>
      </c>
      <c r="AB588" s="2">
        <f t="shared" ca="1" si="584"/>
        <v>6629689.8462599264</v>
      </c>
      <c r="AC588" s="2">
        <f t="shared" ca="1" si="585"/>
        <v>7041314.9274877217</v>
      </c>
      <c r="AD588" s="2">
        <f t="shared" ca="1" si="586"/>
        <v>7478497.0425172374</v>
      </c>
      <c r="AE588" s="2">
        <f t="shared" ca="1" si="587"/>
        <v>7942822.9799250923</v>
      </c>
      <c r="AF588" s="2">
        <f t="shared" ca="1" si="588"/>
        <v>996303.30135653366</v>
      </c>
      <c r="AG588" s="2">
        <f t="shared" ca="1" si="589"/>
        <v>1058161.9156897154</v>
      </c>
      <c r="AH588" s="2">
        <f t="shared" ca="1" si="590"/>
        <v>1123861.2160489408</v>
      </c>
      <c r="AI588" s="2">
        <f t="shared" ca="1" si="591"/>
        <v>1193639.6634684517</v>
      </c>
      <c r="AJ588" s="2">
        <f t="shared" ca="1" si="592"/>
        <v>1267750.5245834854</v>
      </c>
      <c r="AK588" s="2">
        <f t="shared" ca="1" si="593"/>
        <v>0</v>
      </c>
      <c r="AL588" s="2">
        <f t="shared" ca="1" si="594"/>
        <v>30929.307166590839</v>
      </c>
      <c r="AM588" s="2">
        <f t="shared" ca="1" si="595"/>
        <v>32849.650179612712</v>
      </c>
      <c r="AN588" s="2">
        <f t="shared" ca="1" si="596"/>
        <v>34889.223709755468</v>
      </c>
      <c r="AO588" s="2">
        <f t="shared" ca="1" si="597"/>
        <v>37055.430557516891</v>
      </c>
      <c r="AP588" s="2">
        <f t="shared" ca="1" si="598"/>
        <v>2390241.4601913961</v>
      </c>
      <c r="AQ588" s="2">
        <f t="shared" ca="1" si="599"/>
        <v>722817.27676038607</v>
      </c>
      <c r="AR588" s="2">
        <f t="shared" ca="1" si="600"/>
        <v>827134.48229849199</v>
      </c>
      <c r="AS588" s="2">
        <f t="shared" ca="1" si="601"/>
        <v>917075.18532431999</v>
      </c>
      <c r="AT588" s="2">
        <f t="shared" ca="1" si="602"/>
        <v>1012600.1389029212</v>
      </c>
      <c r="AU588" s="2">
        <f t="shared" ca="1" si="603"/>
        <v>1114056.0587390549</v>
      </c>
      <c r="AV588" s="2">
        <f t="shared" ca="1" si="604"/>
        <v>2057249.1723180218</v>
      </c>
      <c r="AW588" s="2">
        <f t="shared" ca="1" si="605"/>
        <v>2323222.6809137324</v>
      </c>
      <c r="AX588" s="2">
        <f t="shared" ca="1" si="606"/>
        <v>2577287.4157434525</v>
      </c>
      <c r="AY588" s="2">
        <f t="shared" ca="1" si="607"/>
        <v>2847126.5562447123</v>
      </c>
      <c r="AZ588" s="2">
        <f t="shared" ca="1" si="608"/>
        <v>3133719.505853639</v>
      </c>
      <c r="BA588" s="2">
        <f t="shared" ca="1" si="609"/>
        <v>59263889.24303738</v>
      </c>
      <c r="BB588" s="2">
        <f t="shared" ca="1" si="610"/>
        <v>1185277.7848607476</v>
      </c>
      <c r="BC588" s="2">
        <f t="shared" ca="1" si="611"/>
        <v>31520373.011605561</v>
      </c>
      <c r="BD588" s="2">
        <f t="shared" ca="1" si="612"/>
        <v>-19312085.566321179</v>
      </c>
      <c r="BE588" s="2">
        <f t="shared" ca="1" si="613"/>
        <v>2057249.1723180218</v>
      </c>
      <c r="BF588" s="2">
        <f t="shared" ca="1" si="614"/>
        <v>2323222.6809137324</v>
      </c>
      <c r="BG588" s="2">
        <f t="shared" ca="1" si="615"/>
        <v>2577287.4157434525</v>
      </c>
      <c r="BH588" s="2">
        <f t="shared" ca="1" si="616"/>
        <v>2847126.5562447123</v>
      </c>
      <c r="BI588" s="2">
        <f t="shared" ca="1" si="617"/>
        <v>34654092.517459199</v>
      </c>
      <c r="BJ588" s="2">
        <f t="shared" ca="1" si="618"/>
        <v>0.21177097320165306</v>
      </c>
      <c r="BK588" s="2">
        <f t="shared" ca="1" si="619"/>
        <v>7684328.3776595779</v>
      </c>
    </row>
    <row r="589" spans="1:63" x14ac:dyDescent="0.3">
      <c r="A589" s="2">
        <v>588</v>
      </c>
      <c r="B589" s="2">
        <f t="shared" ca="1" si="558"/>
        <v>0.22974047496258265</v>
      </c>
      <c r="C589" s="2">
        <f t="shared" ca="1" si="559"/>
        <v>6.6778502415173762</v>
      </c>
      <c r="D589" s="2">
        <f t="shared" ca="1" si="560"/>
        <v>0.77941438859078838</v>
      </c>
      <c r="E589" s="2">
        <f t="shared" ca="1" si="561"/>
        <v>7.8357927862342782</v>
      </c>
      <c r="F589" s="2">
        <f t="shared" ca="1" si="562"/>
        <v>0.55012574963593353</v>
      </c>
      <c r="G589" s="2">
        <f t="shared" ca="1" si="563"/>
        <v>4.377937177995754E-2</v>
      </c>
      <c r="H589" s="2">
        <f t="shared" ca="1" si="564"/>
        <v>4.377937177995754E-2</v>
      </c>
      <c r="I589" s="2">
        <f t="shared" ca="1" si="565"/>
        <v>0.55431128910467697</v>
      </c>
      <c r="J589" s="2">
        <f t="shared" ca="1" si="566"/>
        <v>1.0682807424614764E-2</v>
      </c>
      <c r="K589" s="2">
        <f t="shared" ca="1" si="567"/>
        <v>1.0682807424614764E-2</v>
      </c>
      <c r="L589" s="2">
        <f t="shared" ca="1" si="568"/>
        <v>0.41106945660407557</v>
      </c>
      <c r="M589" s="2">
        <f t="shared" ca="1" si="569"/>
        <v>-4.4958959575791893E-3</v>
      </c>
      <c r="N589" s="2">
        <f t="shared" ca="1" si="570"/>
        <v>-4.4958959575791893E-3</v>
      </c>
      <c r="O589" s="2">
        <f t="shared" si="571"/>
        <v>6000000</v>
      </c>
      <c r="P589" s="2">
        <f t="shared" ca="1" si="572"/>
        <v>40067101.449104257</v>
      </c>
      <c r="Q589" s="2">
        <f t="shared" ca="1" si="573"/>
        <v>1001677.5362276065</v>
      </c>
      <c r="R589" s="2">
        <f t="shared" ca="1" si="574"/>
        <v>24040260.869462553</v>
      </c>
      <c r="S589" s="2">
        <f t="shared" ca="1" si="575"/>
        <v>16026840.579641704</v>
      </c>
      <c r="T589" s="2">
        <f t="shared" ca="1" si="576"/>
        <v>49775205.202121042</v>
      </c>
      <c r="U589" s="2">
        <f t="shared" ca="1" si="577"/>
        <v>51954332.416088372</v>
      </c>
      <c r="V589" s="2">
        <f t="shared" ca="1" si="578"/>
        <v>54228860.450511806</v>
      </c>
      <c r="W589" s="2">
        <f t="shared" ca="1" si="579"/>
        <v>56602965.893378198</v>
      </c>
      <c r="X589" s="2">
        <f t="shared" ca="1" si="580"/>
        <v>59081008.18107266</v>
      </c>
      <c r="Y589" s="2">
        <f t="shared" ca="1" si="581"/>
        <v>0.12534140371230737</v>
      </c>
      <c r="Z589" s="2">
        <f t="shared" ca="1" si="582"/>
        <v>0.12747796519723034</v>
      </c>
      <c r="AA589" s="2">
        <f t="shared" ca="1" si="583"/>
        <v>6238894.0901019955</v>
      </c>
      <c r="AB589" s="2">
        <f t="shared" ca="1" si="584"/>
        <v>6623032.5795834493</v>
      </c>
      <c r="AC589" s="2">
        <f t="shared" ca="1" si="585"/>
        <v>6912984.7851958051</v>
      </c>
      <c r="AD589" s="2">
        <f t="shared" ca="1" si="586"/>
        <v>7215630.9162160819</v>
      </c>
      <c r="AE589" s="2">
        <f t="shared" ca="1" si="587"/>
        <v>7531526.7047240613</v>
      </c>
      <c r="AF589" s="2">
        <f t="shared" ca="1" si="588"/>
        <v>995504.10404242086</v>
      </c>
      <c r="AG589" s="2">
        <f t="shared" ca="1" si="589"/>
        <v>1039086.6483217675</v>
      </c>
      <c r="AH589" s="2">
        <f t="shared" ca="1" si="590"/>
        <v>1084577.2090102362</v>
      </c>
      <c r="AI589" s="2">
        <f t="shared" ca="1" si="591"/>
        <v>1132059.317867564</v>
      </c>
      <c r="AJ589" s="2">
        <f t="shared" ca="1" si="592"/>
        <v>1181620.1636214533</v>
      </c>
      <c r="AK589" s="2">
        <f t="shared" ca="1" si="593"/>
        <v>0</v>
      </c>
      <c r="AL589" s="2">
        <f t="shared" ca="1" si="594"/>
        <v>21791.272139673307</v>
      </c>
      <c r="AM589" s="2">
        <f t="shared" ca="1" si="595"/>
        <v>22745.280344234332</v>
      </c>
      <c r="AN589" s="2">
        <f t="shared" ca="1" si="596"/>
        <v>23741.054428663923</v>
      </c>
      <c r="AO589" s="2">
        <f t="shared" ca="1" si="597"/>
        <v>24780.422876944616</v>
      </c>
      <c r="AP589" s="2">
        <f t="shared" ca="1" si="598"/>
        <v>2163623.4782516295</v>
      </c>
      <c r="AQ589" s="2">
        <f t="shared" ca="1" si="599"/>
        <v>800739.29203006567</v>
      </c>
      <c r="AR589" s="2">
        <f t="shared" ca="1" si="600"/>
        <v>889283.8377826137</v>
      </c>
      <c r="AS589" s="2">
        <f t="shared" ca="1" si="601"/>
        <v>952843.86546282435</v>
      </c>
      <c r="AT589" s="2">
        <f t="shared" ca="1" si="602"/>
        <v>1019186.5112251911</v>
      </c>
      <c r="AU589" s="2">
        <f t="shared" ca="1" si="603"/>
        <v>1088433.5963412544</v>
      </c>
      <c r="AV589" s="2">
        <f t="shared" ca="1" si="604"/>
        <v>2279027.2157778796</v>
      </c>
      <c r="AW589" s="2">
        <f t="shared" ca="1" si="605"/>
        <v>2509247.3430877654</v>
      </c>
      <c r="AX589" s="2">
        <f t="shared" ca="1" si="606"/>
        <v>2689194.9521268802</v>
      </c>
      <c r="AY589" s="2">
        <f t="shared" ca="1" si="607"/>
        <v>2877020.5544430334</v>
      </c>
      <c r="AZ589" s="2">
        <f t="shared" ca="1" si="608"/>
        <v>3073069.0436327793</v>
      </c>
      <c r="BA589" s="2">
        <f t="shared" ca="1" si="609"/>
        <v>59015482.622207627</v>
      </c>
      <c r="BB589" s="2">
        <f t="shared" ca="1" si="610"/>
        <v>1180309.6524441526</v>
      </c>
      <c r="BC589" s="2">
        <f t="shared" ca="1" si="611"/>
        <v>33794912.100300923</v>
      </c>
      <c r="BD589" s="2">
        <f t="shared" ca="1" si="612"/>
        <v>-17528518.11586931</v>
      </c>
      <c r="BE589" s="2">
        <f t="shared" ca="1" si="613"/>
        <v>2279027.2157778796</v>
      </c>
      <c r="BF589" s="2">
        <f t="shared" ca="1" si="614"/>
        <v>2509247.3430877654</v>
      </c>
      <c r="BG589" s="2">
        <f t="shared" ca="1" si="615"/>
        <v>2689194.9521268802</v>
      </c>
      <c r="BH589" s="2">
        <f t="shared" ca="1" si="616"/>
        <v>2877020.5544430334</v>
      </c>
      <c r="BI589" s="2">
        <f t="shared" ca="1" si="617"/>
        <v>36867981.143933699</v>
      </c>
      <c r="BJ589" s="2">
        <f t="shared" ca="1" si="618"/>
        <v>0.25922044169396408</v>
      </c>
      <c r="BK589" s="2">
        <f t="shared" ca="1" si="619"/>
        <v>11169081.272603709</v>
      </c>
    </row>
    <row r="590" spans="1:63" x14ac:dyDescent="0.3">
      <c r="A590" s="2">
        <v>589</v>
      </c>
      <c r="B590" s="2">
        <f t="shared" ca="1" si="558"/>
        <v>0.39981045583361075</v>
      </c>
      <c r="C590" s="2">
        <f t="shared" ca="1" si="559"/>
        <v>6.8942152490688251</v>
      </c>
      <c r="D590" s="2">
        <f t="shared" ca="1" si="560"/>
        <v>4.6331513848590022E-2</v>
      </c>
      <c r="E590" s="2">
        <f t="shared" ca="1" si="561"/>
        <v>6.8044060244101292</v>
      </c>
      <c r="F590" s="2">
        <f t="shared" ca="1" si="562"/>
        <v>0.26883584146653228</v>
      </c>
      <c r="G590" s="2">
        <f t="shared" ca="1" si="563"/>
        <v>2.1509869958498969E-2</v>
      </c>
      <c r="H590" s="2">
        <f t="shared" ca="1" si="564"/>
        <v>2.1509869958498969E-2</v>
      </c>
      <c r="I590" s="2">
        <f t="shared" ca="1" si="565"/>
        <v>0.85016076848739941</v>
      </c>
      <c r="J590" s="2">
        <f t="shared" ca="1" si="566"/>
        <v>1.5185615798441583E-2</v>
      </c>
      <c r="K590" s="2">
        <f t="shared" ca="1" si="567"/>
        <v>1.5185615798441583E-2</v>
      </c>
      <c r="L590" s="2">
        <f t="shared" ca="1" si="568"/>
        <v>0.28548879924895476</v>
      </c>
      <c r="M590" s="2">
        <f t="shared" ca="1" si="569"/>
        <v>-1.1332246527203721E-2</v>
      </c>
      <c r="N590" s="2">
        <f t="shared" ca="1" si="570"/>
        <v>-1.1332246527203721E-2</v>
      </c>
      <c r="O590" s="2">
        <f t="shared" si="571"/>
        <v>6000000</v>
      </c>
      <c r="P590" s="2">
        <f t="shared" ca="1" si="572"/>
        <v>41365291.494412951</v>
      </c>
      <c r="Q590" s="2">
        <f t="shared" ca="1" si="573"/>
        <v>1034132.2873603238</v>
      </c>
      <c r="R590" s="2">
        <f t="shared" ca="1" si="574"/>
        <v>24819174.89664777</v>
      </c>
      <c r="S590" s="2">
        <f t="shared" ca="1" si="575"/>
        <v>16546116.597765181</v>
      </c>
      <c r="T590" s="2">
        <f t="shared" ca="1" si="576"/>
        <v>49433387.673639812</v>
      </c>
      <c r="U590" s="2">
        <f t="shared" ca="1" si="577"/>
        <v>50496693.414107874</v>
      </c>
      <c r="V590" s="2">
        <f t="shared" ca="1" si="578"/>
        <v>51582870.722779527</v>
      </c>
      <c r="W590" s="2">
        <f t="shared" ca="1" si="579"/>
        <v>52692411.564112581</v>
      </c>
      <c r="X590" s="2">
        <f t="shared" ca="1" si="580"/>
        <v>53825818.484656356</v>
      </c>
      <c r="Y590" s="2">
        <f t="shared" ca="1" si="581"/>
        <v>0.12759280789922078</v>
      </c>
      <c r="Z590" s="2">
        <f t="shared" ca="1" si="582"/>
        <v>0.1306299310589091</v>
      </c>
      <c r="AA590" s="2">
        <f t="shared" ca="1" si="583"/>
        <v>6307344.7372504333</v>
      </c>
      <c r="AB590" s="2">
        <f t="shared" ca="1" si="584"/>
        <v>6596379.5793877812</v>
      </c>
      <c r="AC590" s="2">
        <f t="shared" ca="1" si="585"/>
        <v>6738266.84633731</v>
      </c>
      <c r="AD590" s="2">
        <f t="shared" ca="1" si="586"/>
        <v>6883206.0899476912</v>
      </c>
      <c r="AE590" s="2">
        <f t="shared" ca="1" si="587"/>
        <v>7031262.9578400152</v>
      </c>
      <c r="AF590" s="2">
        <f t="shared" ca="1" si="588"/>
        <v>988667.75347279629</v>
      </c>
      <c r="AG590" s="2">
        <f t="shared" ca="1" si="589"/>
        <v>1009933.8682821575</v>
      </c>
      <c r="AH590" s="2">
        <f t="shared" ca="1" si="590"/>
        <v>1031657.4144555905</v>
      </c>
      <c r="AI590" s="2">
        <f t="shared" ca="1" si="591"/>
        <v>1053848.2312822517</v>
      </c>
      <c r="AJ590" s="2">
        <f t="shared" ca="1" si="592"/>
        <v>1076516.3696931272</v>
      </c>
      <c r="AK590" s="2">
        <f t="shared" ca="1" si="593"/>
        <v>0</v>
      </c>
      <c r="AL590" s="2">
        <f t="shared" ca="1" si="594"/>
        <v>10633.057404680625</v>
      </c>
      <c r="AM590" s="2">
        <f t="shared" ca="1" si="595"/>
        <v>10861.773086716534</v>
      </c>
      <c r="AN590" s="2">
        <f t="shared" ca="1" si="596"/>
        <v>11095.40841333054</v>
      </c>
      <c r="AO590" s="2">
        <f t="shared" ca="1" si="597"/>
        <v>11334.06920543775</v>
      </c>
      <c r="AP590" s="2">
        <f t="shared" ca="1" si="598"/>
        <v>2233725.7406982994</v>
      </c>
      <c r="AQ590" s="2">
        <f t="shared" ca="1" si="599"/>
        <v>802087.3232006277</v>
      </c>
      <c r="AR590" s="2">
        <f t="shared" ca="1" si="600"/>
        <v>871707.19230590446</v>
      </c>
      <c r="AS590" s="2">
        <f t="shared" ca="1" si="601"/>
        <v>902949.75970768917</v>
      </c>
      <c r="AT590" s="2">
        <f t="shared" ca="1" si="602"/>
        <v>934864.35067145643</v>
      </c>
      <c r="AU590" s="2">
        <f t="shared" ca="1" si="603"/>
        <v>967465.42033663299</v>
      </c>
      <c r="AV590" s="2">
        <f t="shared" ca="1" si="604"/>
        <v>2282863.9198787091</v>
      </c>
      <c r="AW590" s="2">
        <f t="shared" ca="1" si="605"/>
        <v>2470379.7206967399</v>
      </c>
      <c r="AX590" s="2">
        <f t="shared" ca="1" si="606"/>
        <v>2559072.1583890142</v>
      </c>
      <c r="AY590" s="2">
        <f t="shared" ca="1" si="607"/>
        <v>2649672.3588823536</v>
      </c>
      <c r="AZ590" s="2">
        <f t="shared" ca="1" si="608"/>
        <v>2742221.3579065176</v>
      </c>
      <c r="BA590" s="2">
        <f t="shared" ca="1" si="609"/>
        <v>47843568.029538386</v>
      </c>
      <c r="BB590" s="2">
        <f t="shared" ca="1" si="610"/>
        <v>956871.3605907677</v>
      </c>
      <c r="BC590" s="2">
        <f t="shared" ca="1" si="611"/>
        <v>22067521.772299848</v>
      </c>
      <c r="BD590" s="2">
        <f t="shared" ca="1" si="612"/>
        <v>-18080248.885125507</v>
      </c>
      <c r="BE590" s="2">
        <f t="shared" ca="1" si="613"/>
        <v>2282863.9198787091</v>
      </c>
      <c r="BF590" s="2">
        <f t="shared" ca="1" si="614"/>
        <v>2470379.7206967399</v>
      </c>
      <c r="BG590" s="2">
        <f t="shared" ca="1" si="615"/>
        <v>2559072.1583890142</v>
      </c>
      <c r="BH590" s="2">
        <f t="shared" ca="1" si="616"/>
        <v>2649672.3588823536</v>
      </c>
      <c r="BI590" s="2">
        <f t="shared" ca="1" si="617"/>
        <v>24809743.130206365</v>
      </c>
      <c r="BJ590" s="2">
        <f t="shared" ca="1" si="618"/>
        <v>0.17005432992290759</v>
      </c>
      <c r="BK590" s="2">
        <f t="shared" ca="1" si="619"/>
        <v>3510520.297023654</v>
      </c>
    </row>
    <row r="591" spans="1:63" x14ac:dyDescent="0.3">
      <c r="A591" s="2">
        <v>590</v>
      </c>
      <c r="B591" s="2">
        <f t="shared" ca="1" si="558"/>
        <v>7.9933029771677377E-2</v>
      </c>
      <c r="C591" s="2">
        <f t="shared" ca="1" si="559"/>
        <v>6.3998325393753674</v>
      </c>
      <c r="D591" s="2">
        <f t="shared" ca="1" si="560"/>
        <v>0.22876852396332203</v>
      </c>
      <c r="E591" s="2">
        <f t="shared" ca="1" si="561"/>
        <v>7.1764148489844413</v>
      </c>
      <c r="F591" s="2">
        <f t="shared" ca="1" si="562"/>
        <v>5.9479539856542085E-2</v>
      </c>
      <c r="G591" s="2">
        <f t="shared" ca="1" si="563"/>
        <v>-6.7747284722933163E-3</v>
      </c>
      <c r="H591" s="2">
        <f t="shared" ca="1" si="564"/>
        <v>-6.7747284722933163E-3</v>
      </c>
      <c r="I591" s="2">
        <f t="shared" ca="1" si="565"/>
        <v>0.85251361945691062</v>
      </c>
      <c r="J591" s="2">
        <f t="shared" ca="1" si="566"/>
        <v>1.5236375020155568E-2</v>
      </c>
      <c r="K591" s="2">
        <f t="shared" ca="1" si="567"/>
        <v>1.5236375020155568E-2</v>
      </c>
      <c r="L591" s="2">
        <f t="shared" ca="1" si="568"/>
        <v>0.81245870880283588</v>
      </c>
      <c r="M591" s="2">
        <f t="shared" ca="1" si="569"/>
        <v>1.7739863225027672E-2</v>
      </c>
      <c r="N591" s="2">
        <f t="shared" ca="1" si="570"/>
        <v>1.7739863225027672E-2</v>
      </c>
      <c r="O591" s="2">
        <f t="shared" si="571"/>
        <v>6000000</v>
      </c>
      <c r="P591" s="2">
        <f t="shared" ca="1" si="572"/>
        <v>38398995.236252204</v>
      </c>
      <c r="Q591" s="2">
        <f t="shared" ca="1" si="573"/>
        <v>959974.88090630516</v>
      </c>
      <c r="R591" s="2">
        <f t="shared" ca="1" si="574"/>
        <v>23039397.141751323</v>
      </c>
      <c r="S591" s="2">
        <f t="shared" ca="1" si="575"/>
        <v>15359598.094500883</v>
      </c>
      <c r="T591" s="2">
        <f t="shared" ca="1" si="576"/>
        <v>50886993.161251381</v>
      </c>
      <c r="U591" s="2">
        <f t="shared" ca="1" si="577"/>
        <v>50542247.599812455</v>
      </c>
      <c r="V591" s="2">
        <f t="shared" ca="1" si="578"/>
        <v>50199837.595944308</v>
      </c>
      <c r="W591" s="2">
        <f t="shared" ca="1" si="579"/>
        <v>49859747.326878563</v>
      </c>
      <c r="X591" s="2">
        <f t="shared" ca="1" si="580"/>
        <v>49521961.077041805</v>
      </c>
      <c r="Y591" s="2">
        <f t="shared" ca="1" si="581"/>
        <v>0.12761818751007778</v>
      </c>
      <c r="Z591" s="2">
        <f t="shared" ca="1" si="582"/>
        <v>0.1306654625141089</v>
      </c>
      <c r="AA591" s="2">
        <f t="shared" ca="1" si="583"/>
        <v>6494105.8350766245</v>
      </c>
      <c r="AB591" s="2">
        <f t="shared" ca="1" si="584"/>
        <v>6604126.1591321053</v>
      </c>
      <c r="AC591" s="2">
        <f t="shared" ca="1" si="585"/>
        <v>6559384.9976072162</v>
      </c>
      <c r="AD591" s="2">
        <f t="shared" ca="1" si="586"/>
        <v>6514946.9453031924</v>
      </c>
      <c r="AE591" s="2">
        <f t="shared" ca="1" si="587"/>
        <v>6470809.9487373661</v>
      </c>
      <c r="AF591" s="2">
        <f t="shared" ca="1" si="588"/>
        <v>1017739.8632250277</v>
      </c>
      <c r="AG591" s="2">
        <f t="shared" ca="1" si="589"/>
        <v>1010844.9519962491</v>
      </c>
      <c r="AH591" s="2">
        <f t="shared" ca="1" si="590"/>
        <v>1003996.7519188862</v>
      </c>
      <c r="AI591" s="2">
        <f t="shared" ca="1" si="591"/>
        <v>997194.94653757126</v>
      </c>
      <c r="AJ591" s="2">
        <f t="shared" ca="1" si="592"/>
        <v>990439.22154083615</v>
      </c>
      <c r="AK591" s="2">
        <f t="shared" ca="1" si="593"/>
        <v>0</v>
      </c>
      <c r="AL591" s="2">
        <f t="shared" ca="1" si="594"/>
        <v>0</v>
      </c>
      <c r="AM591" s="2">
        <f t="shared" ca="1" si="595"/>
        <v>0</v>
      </c>
      <c r="AN591" s="2">
        <f t="shared" ca="1" si="596"/>
        <v>0</v>
      </c>
      <c r="AO591" s="2">
        <f t="shared" ca="1" si="597"/>
        <v>0</v>
      </c>
      <c r="AP591" s="2">
        <f t="shared" ca="1" si="598"/>
        <v>2073545.7427576189</v>
      </c>
      <c r="AQ591" s="2">
        <f t="shared" ca="1" si="599"/>
        <v>884733.25956443418</v>
      </c>
      <c r="AR591" s="2">
        <f t="shared" ca="1" si="600"/>
        <v>915131.22073834168</v>
      </c>
      <c r="AS591" s="2">
        <f t="shared" ca="1" si="601"/>
        <v>905279.05076198501</v>
      </c>
      <c r="AT591" s="2">
        <f t="shared" ca="1" si="602"/>
        <v>895493.6265620807</v>
      </c>
      <c r="AU591" s="2">
        <f t="shared" ca="1" si="603"/>
        <v>885774.49595411681</v>
      </c>
      <c r="AV591" s="2">
        <f t="shared" ca="1" si="604"/>
        <v>2518086.9695295435</v>
      </c>
      <c r="AW591" s="2">
        <f t="shared" ca="1" si="605"/>
        <v>2604604.2436398952</v>
      </c>
      <c r="AX591" s="2">
        <f t="shared" ca="1" si="606"/>
        <v>2576563.4521687268</v>
      </c>
      <c r="AY591" s="2">
        <f t="shared" ca="1" si="607"/>
        <v>2548712.6294459221</v>
      </c>
      <c r="AZ591" s="2">
        <f t="shared" ca="1" si="608"/>
        <v>2521050.4884847938</v>
      </c>
      <c r="BA591" s="2">
        <f t="shared" ca="1" si="609"/>
        <v>46437216.601075083</v>
      </c>
      <c r="BB591" s="2">
        <f t="shared" ca="1" si="610"/>
        <v>928744.33202150173</v>
      </c>
      <c r="BC591" s="2">
        <f t="shared" ca="1" si="611"/>
        <v>22469075.127302259</v>
      </c>
      <c r="BD591" s="2">
        <f t="shared" ca="1" si="612"/>
        <v>-16819572.975407187</v>
      </c>
      <c r="BE591" s="2">
        <f t="shared" ca="1" si="613"/>
        <v>2518086.9695295435</v>
      </c>
      <c r="BF591" s="2">
        <f t="shared" ca="1" si="614"/>
        <v>2604604.2436398952</v>
      </c>
      <c r="BG591" s="2">
        <f t="shared" ca="1" si="615"/>
        <v>2576563.4521687268</v>
      </c>
      <c r="BH591" s="2">
        <f t="shared" ca="1" si="616"/>
        <v>2548712.6294459221</v>
      </c>
      <c r="BI591" s="2">
        <f t="shared" ca="1" si="617"/>
        <v>24990125.615787052</v>
      </c>
      <c r="BJ591" s="2">
        <f t="shared" ca="1" si="618"/>
        <v>0.19727517914525095</v>
      </c>
      <c r="BK591" s="2">
        <f t="shared" ca="1" si="619"/>
        <v>5138861.8454879858</v>
      </c>
    </row>
    <row r="592" spans="1:63" x14ac:dyDescent="0.3">
      <c r="A592" s="2">
        <v>591</v>
      </c>
      <c r="B592" s="2">
        <f t="shared" ca="1" si="558"/>
        <v>7.7696686480024924E-2</v>
      </c>
      <c r="C592" s="2">
        <f t="shared" ca="1" si="559"/>
        <v>6.3941996612886038</v>
      </c>
      <c r="D592" s="2">
        <f t="shared" ca="1" si="560"/>
        <v>0.3880433787551214</v>
      </c>
      <c r="E592" s="2">
        <f t="shared" ca="1" si="561"/>
        <v>7.380957863640619</v>
      </c>
      <c r="F592" s="2">
        <f t="shared" ca="1" si="562"/>
        <v>0.22149184492829244</v>
      </c>
      <c r="G592" s="2">
        <f t="shared" ca="1" si="563"/>
        <v>1.6985063640685763E-2</v>
      </c>
      <c r="H592" s="2">
        <f t="shared" ca="1" si="564"/>
        <v>1.6985063640685763E-2</v>
      </c>
      <c r="I592" s="2">
        <f t="shared" ca="1" si="565"/>
        <v>0.88485033014880032</v>
      </c>
      <c r="J592" s="2">
        <f t="shared" ca="1" si="566"/>
        <v>1.5997940638332452E-2</v>
      </c>
      <c r="K592" s="2">
        <f t="shared" ca="1" si="567"/>
        <v>1.5997940638332452E-2</v>
      </c>
      <c r="L592" s="2">
        <f t="shared" ca="1" si="568"/>
        <v>0.98096818795209917</v>
      </c>
      <c r="M592" s="2">
        <f t="shared" ca="1" si="569"/>
        <v>4.1483378726424602E-2</v>
      </c>
      <c r="N592" s="2">
        <f t="shared" ca="1" si="570"/>
        <v>4.1483378726424602E-2</v>
      </c>
      <c r="O592" s="2">
        <f t="shared" si="571"/>
        <v>6000000</v>
      </c>
      <c r="P592" s="2">
        <f t="shared" ca="1" si="572"/>
        <v>38365197.967731625</v>
      </c>
      <c r="Q592" s="2">
        <f t="shared" ca="1" si="573"/>
        <v>959129.94919329067</v>
      </c>
      <c r="R592" s="2">
        <f t="shared" ca="1" si="574"/>
        <v>23019118.780638974</v>
      </c>
      <c r="S592" s="2">
        <f t="shared" ca="1" si="575"/>
        <v>15346079.187092651</v>
      </c>
      <c r="T592" s="2">
        <f t="shared" ca="1" si="576"/>
        <v>52074168.936321229</v>
      </c>
      <c r="U592" s="2">
        <f t="shared" ca="1" si="577"/>
        <v>52958652.009740472</v>
      </c>
      <c r="V592" s="2">
        <f t="shared" ca="1" si="578"/>
        <v>53858158.084450848</v>
      </c>
      <c r="W592" s="2">
        <f t="shared" ca="1" si="579"/>
        <v>54772942.327085368</v>
      </c>
      <c r="X592" s="2">
        <f t="shared" ca="1" si="580"/>
        <v>55703264.238298528</v>
      </c>
      <c r="Y592" s="2">
        <f t="shared" ca="1" si="581"/>
        <v>0.12799897031916621</v>
      </c>
      <c r="Z592" s="2">
        <f t="shared" ca="1" si="582"/>
        <v>0.1311985584468327</v>
      </c>
      <c r="AA592" s="2">
        <f t="shared" ca="1" si="583"/>
        <v>6665440.0040754285</v>
      </c>
      <c r="AB592" s="2">
        <f t="shared" ca="1" si="584"/>
        <v>6948098.8009654097</v>
      </c>
      <c r="AC592" s="2">
        <f t="shared" ca="1" si="585"/>
        <v>7066112.7012815801</v>
      </c>
      <c r="AD592" s="2">
        <f t="shared" ca="1" si="586"/>
        <v>7186131.0752051063</v>
      </c>
      <c r="AE592" s="2">
        <f t="shared" ca="1" si="587"/>
        <v>7308187.9688477749</v>
      </c>
      <c r="AF592" s="2">
        <f t="shared" ca="1" si="588"/>
        <v>1041483.3787264246</v>
      </c>
      <c r="AG592" s="2">
        <f t="shared" ca="1" si="589"/>
        <v>1059173.0401948094</v>
      </c>
      <c r="AH592" s="2">
        <f t="shared" ca="1" si="590"/>
        <v>1077163.161689017</v>
      </c>
      <c r="AI592" s="2">
        <f t="shared" ca="1" si="591"/>
        <v>1095458.8465417074</v>
      </c>
      <c r="AJ592" s="2">
        <f t="shared" ca="1" si="592"/>
        <v>1114065.2847659707</v>
      </c>
      <c r="AK592" s="2">
        <f t="shared" ca="1" si="593"/>
        <v>0</v>
      </c>
      <c r="AL592" s="2">
        <f t="shared" ca="1" si="594"/>
        <v>8844.8307341924319</v>
      </c>
      <c r="AM592" s="2">
        <f t="shared" ca="1" si="595"/>
        <v>8995.0607471037656</v>
      </c>
      <c r="AN592" s="2">
        <f t="shared" ca="1" si="596"/>
        <v>9147.8424263451998</v>
      </c>
      <c r="AO592" s="2">
        <f t="shared" ca="1" si="597"/>
        <v>9303.2191121315955</v>
      </c>
      <c r="AP592" s="2">
        <f t="shared" ca="1" si="598"/>
        <v>2071720.6902575076</v>
      </c>
      <c r="AQ592" s="2">
        <f t="shared" ca="1" si="599"/>
        <v>923581.34312378906</v>
      </c>
      <c r="AR592" s="2">
        <f t="shared" ca="1" si="600"/>
        <v>992473.31833340414</v>
      </c>
      <c r="AS592" s="2">
        <f t="shared" ca="1" si="601"/>
        <v>1018479.5008271146</v>
      </c>
      <c r="AT592" s="2">
        <f t="shared" ca="1" si="602"/>
        <v>1044927.3999855318</v>
      </c>
      <c r="AU592" s="2">
        <f t="shared" ca="1" si="603"/>
        <v>1071824.5183943172</v>
      </c>
      <c r="AV592" s="2">
        <f t="shared" ca="1" si="604"/>
        <v>2628654.5919677075</v>
      </c>
      <c r="AW592" s="2">
        <f t="shared" ca="1" si="605"/>
        <v>2815886.9214454964</v>
      </c>
      <c r="AX592" s="2">
        <f t="shared" ca="1" si="606"/>
        <v>2889754.2877608379</v>
      </c>
      <c r="AY592" s="2">
        <f t="shared" ca="1" si="607"/>
        <v>2964876.2959940145</v>
      </c>
      <c r="AZ592" s="2">
        <f t="shared" ca="1" si="608"/>
        <v>3041274.2563178474</v>
      </c>
      <c r="BA592" s="2">
        <f t="shared" ca="1" si="609"/>
        <v>53941427.457630746</v>
      </c>
      <c r="BB592" s="2">
        <f t="shared" ca="1" si="610"/>
        <v>1078828.549152615</v>
      </c>
      <c r="BC592" s="2">
        <f t="shared" ca="1" si="611"/>
        <v>29843480.127839155</v>
      </c>
      <c r="BD592" s="2">
        <f t="shared" ca="1" si="612"/>
        <v>-16805209.136285942</v>
      </c>
      <c r="BE592" s="2">
        <f t="shared" ca="1" si="613"/>
        <v>2628654.5919677075</v>
      </c>
      <c r="BF592" s="2">
        <f t="shared" ca="1" si="614"/>
        <v>2815886.9214454964</v>
      </c>
      <c r="BG592" s="2">
        <f t="shared" ca="1" si="615"/>
        <v>2889754.2877608379</v>
      </c>
      <c r="BH592" s="2">
        <f t="shared" ca="1" si="616"/>
        <v>2964876.2959940145</v>
      </c>
      <c r="BI592" s="2">
        <f t="shared" ca="1" si="617"/>
        <v>32884754.384157002</v>
      </c>
      <c r="BJ592" s="2">
        <f t="shared" ca="1" si="618"/>
        <v>0.26057769320345048</v>
      </c>
      <c r="BK592" s="2">
        <f t="shared" ca="1" si="619"/>
        <v>10387406.996590044</v>
      </c>
    </row>
    <row r="593" spans="1:63" x14ac:dyDescent="0.3">
      <c r="A593" s="2">
        <v>592</v>
      </c>
      <c r="B593" s="2">
        <f t="shared" ca="1" si="558"/>
        <v>4.7746402011896505E-2</v>
      </c>
      <c r="C593" s="2">
        <f t="shared" ca="1" si="559"/>
        <v>6.309019099771831</v>
      </c>
      <c r="D593" s="2">
        <f t="shared" ca="1" si="560"/>
        <v>0.25823376496250383</v>
      </c>
      <c r="E593" s="2">
        <f t="shared" ca="1" si="561"/>
        <v>7.2186567538992499</v>
      </c>
      <c r="F593" s="2">
        <f t="shared" ca="1" si="562"/>
        <v>0.57276213657448993</v>
      </c>
      <c r="G593" s="2">
        <f t="shared" ca="1" si="563"/>
        <v>4.5502323066243598E-2</v>
      </c>
      <c r="H593" s="2">
        <f t="shared" ca="1" si="564"/>
        <v>4.5502323066243598E-2</v>
      </c>
      <c r="I593" s="2">
        <f t="shared" ca="1" si="565"/>
        <v>0.62870995320852563</v>
      </c>
      <c r="J593" s="2">
        <f t="shared" ca="1" si="566"/>
        <v>1.1642192788443383E-2</v>
      </c>
      <c r="K593" s="2">
        <f t="shared" ca="1" si="567"/>
        <v>1.1642192788443383E-2</v>
      </c>
      <c r="L593" s="2">
        <f t="shared" ca="1" si="568"/>
        <v>0.72544614226126225</v>
      </c>
      <c r="M593" s="2">
        <f t="shared" ca="1" si="569"/>
        <v>1.1981954595814382E-2</v>
      </c>
      <c r="N593" s="2">
        <f t="shared" ca="1" si="570"/>
        <v>1.1981954595814382E-2</v>
      </c>
      <c r="O593" s="2">
        <f t="shared" si="571"/>
        <v>6000000</v>
      </c>
      <c r="P593" s="2">
        <f t="shared" ca="1" si="572"/>
        <v>37854114.598630987</v>
      </c>
      <c r="Q593" s="2">
        <f t="shared" ca="1" si="573"/>
        <v>946352.8649657747</v>
      </c>
      <c r="R593" s="2">
        <f t="shared" ca="1" si="574"/>
        <v>22712468.75917859</v>
      </c>
      <c r="S593" s="2">
        <f t="shared" ca="1" si="575"/>
        <v>15141645.839452395</v>
      </c>
      <c r="T593" s="2">
        <f t="shared" ca="1" si="576"/>
        <v>50599097.729790717</v>
      </c>
      <c r="U593" s="2">
        <f t="shared" ca="1" si="577"/>
        <v>52901474.221552089</v>
      </c>
      <c r="V593" s="2">
        <f t="shared" ca="1" si="578"/>
        <v>55308614.192261711</v>
      </c>
      <c r="W593" s="2">
        <f t="shared" ca="1" si="579"/>
        <v>57825284.623584233</v>
      </c>
      <c r="X593" s="2">
        <f t="shared" ca="1" si="580"/>
        <v>60456469.405924059</v>
      </c>
      <c r="Y593" s="2">
        <f t="shared" ca="1" si="581"/>
        <v>0.12582109639422168</v>
      </c>
      <c r="Z593" s="2">
        <f t="shared" ca="1" si="582"/>
        <v>0.12814953495191037</v>
      </c>
      <c r="AA593" s="2">
        <f t="shared" ca="1" si="583"/>
        <v>6366433.9529206408</v>
      </c>
      <c r="AB593" s="2">
        <f t="shared" ca="1" si="584"/>
        <v>6779299.3197623743</v>
      </c>
      <c r="AC593" s="2">
        <f t="shared" ca="1" si="585"/>
        <v>7087773.1875729682</v>
      </c>
      <c r="AD593" s="2">
        <f t="shared" ca="1" si="586"/>
        <v>7410283.3329741731</v>
      </c>
      <c r="AE593" s="2">
        <f t="shared" ca="1" si="587"/>
        <v>7747468.439203565</v>
      </c>
      <c r="AF593" s="2">
        <f t="shared" ca="1" si="588"/>
        <v>1011981.9545958143</v>
      </c>
      <c r="AG593" s="2">
        <f t="shared" ca="1" si="589"/>
        <v>1058029.4844310419</v>
      </c>
      <c r="AH593" s="2">
        <f t="shared" ca="1" si="590"/>
        <v>1106172.2838452342</v>
      </c>
      <c r="AI593" s="2">
        <f t="shared" ca="1" si="591"/>
        <v>1156505.6924716847</v>
      </c>
      <c r="AJ593" s="2">
        <f t="shared" ca="1" si="592"/>
        <v>1209129.3881184813</v>
      </c>
      <c r="AK593" s="2">
        <f t="shared" ca="1" si="593"/>
        <v>0</v>
      </c>
      <c r="AL593" s="2">
        <f t="shared" ca="1" si="594"/>
        <v>23023.764917613717</v>
      </c>
      <c r="AM593" s="2">
        <f t="shared" ca="1" si="595"/>
        <v>24071.399707096218</v>
      </c>
      <c r="AN593" s="2">
        <f t="shared" ca="1" si="596"/>
        <v>25166.704313225226</v>
      </c>
      <c r="AO593" s="2">
        <f t="shared" ca="1" si="597"/>
        <v>26311.847823398264</v>
      </c>
      <c r="AP593" s="2">
        <f t="shared" ca="1" si="598"/>
        <v>2044122.1883260731</v>
      </c>
      <c r="AQ593" s="2">
        <f t="shared" ca="1" si="599"/>
        <v>860685.75059967593</v>
      </c>
      <c r="AR593" s="2">
        <f t="shared" ca="1" si="600"/>
        <v>956058.38822136738</v>
      </c>
      <c r="AS593" s="2">
        <f t="shared" ca="1" si="601"/>
        <v>1023744.4660044321</v>
      </c>
      <c r="AT593" s="2">
        <f t="shared" ca="1" si="602"/>
        <v>1094510.417565868</v>
      </c>
      <c r="AU593" s="2">
        <f t="shared" ca="1" si="603"/>
        <v>1168496.3843173429</v>
      </c>
      <c r="AV593" s="2">
        <f t="shared" ca="1" si="604"/>
        <v>2449644.0593990777</v>
      </c>
      <c r="AW593" s="2">
        <f t="shared" ca="1" si="605"/>
        <v>2698065.4938662779</v>
      </c>
      <c r="AX593" s="2">
        <f t="shared" ca="1" si="606"/>
        <v>2889662.8496901328</v>
      </c>
      <c r="AY593" s="2">
        <f t="shared" ca="1" si="607"/>
        <v>3089978.330297322</v>
      </c>
      <c r="AZ593" s="2">
        <f t="shared" ca="1" si="608"/>
        <v>3299408.6306182696</v>
      </c>
      <c r="BA593" s="2">
        <f t="shared" ca="1" si="609"/>
        <v>55926315.374278091</v>
      </c>
      <c r="BB593" s="2">
        <f t="shared" ca="1" si="610"/>
        <v>1118526.3074855618</v>
      </c>
      <c r="BC593" s="2">
        <f t="shared" ca="1" si="611"/>
        <v>32095320.307613939</v>
      </c>
      <c r="BD593" s="2">
        <f t="shared" ca="1" si="612"/>
        <v>-16587998.704418169</v>
      </c>
      <c r="BE593" s="2">
        <f t="shared" ca="1" si="613"/>
        <v>2449644.0593990777</v>
      </c>
      <c r="BF593" s="2">
        <f t="shared" ca="1" si="614"/>
        <v>2698065.4938662779</v>
      </c>
      <c r="BG593" s="2">
        <f t="shared" ca="1" si="615"/>
        <v>2889662.8496901328</v>
      </c>
      <c r="BH593" s="2">
        <f t="shared" ca="1" si="616"/>
        <v>3089978.330297322</v>
      </c>
      <c r="BI593" s="2">
        <f t="shared" ca="1" si="617"/>
        <v>35394728.938232206</v>
      </c>
      <c r="BJ593" s="2">
        <f t="shared" ca="1" si="618"/>
        <v>0.27617495282053683</v>
      </c>
      <c r="BK593" s="2">
        <f t="shared" ca="1" si="619"/>
        <v>11854526.564881714</v>
      </c>
    </row>
    <row r="594" spans="1:63" x14ac:dyDescent="0.3">
      <c r="A594" s="2">
        <v>593</v>
      </c>
      <c r="B594" s="2">
        <f t="shared" ca="1" si="558"/>
        <v>0.20167154918013719</v>
      </c>
      <c r="C594" s="2">
        <f t="shared" ca="1" si="559"/>
        <v>6.635092984026965</v>
      </c>
      <c r="D594" s="2">
        <f t="shared" ca="1" si="560"/>
        <v>0.2742403233172005</v>
      </c>
      <c r="E594" s="2">
        <f t="shared" ca="1" si="561"/>
        <v>7.2405947924704854</v>
      </c>
      <c r="F594" s="2">
        <f t="shared" ca="1" si="562"/>
        <v>0.4567352375107574</v>
      </c>
      <c r="G594" s="2">
        <f t="shared" ca="1" si="563"/>
        <v>3.6740135918442253E-2</v>
      </c>
      <c r="H594" s="2">
        <f t="shared" ca="1" si="564"/>
        <v>3.6740135918442253E-2</v>
      </c>
      <c r="I594" s="2">
        <f t="shared" ca="1" si="565"/>
        <v>0.67330167296973598</v>
      </c>
      <c r="J594" s="2">
        <f t="shared" ca="1" si="566"/>
        <v>1.2245242611761013E-2</v>
      </c>
      <c r="K594" s="2">
        <f t="shared" ca="1" si="567"/>
        <v>1.2245242611761013E-2</v>
      </c>
      <c r="L594" s="2">
        <f t="shared" ca="1" si="568"/>
        <v>0.65557683529666888</v>
      </c>
      <c r="M594" s="2">
        <f t="shared" ca="1" si="569"/>
        <v>8.0084235314617034E-3</v>
      </c>
      <c r="N594" s="2">
        <f t="shared" ca="1" si="570"/>
        <v>8.0084235314617034E-3</v>
      </c>
      <c r="O594" s="2">
        <f t="shared" si="571"/>
        <v>6000000</v>
      </c>
      <c r="P594" s="2">
        <f t="shared" ca="1" si="572"/>
        <v>39810557.904161789</v>
      </c>
      <c r="Q594" s="2">
        <f t="shared" ca="1" si="573"/>
        <v>995263.94760404481</v>
      </c>
      <c r="R594" s="2">
        <f t="shared" ca="1" si="574"/>
        <v>23886334.742497072</v>
      </c>
      <c r="S594" s="2">
        <f t="shared" ca="1" si="575"/>
        <v>15924223.161664717</v>
      </c>
      <c r="T594" s="2">
        <f t="shared" ca="1" si="576"/>
        <v>50400421.176573083</v>
      </c>
      <c r="U594" s="2">
        <f t="shared" ca="1" si="577"/>
        <v>52252139.500947118</v>
      </c>
      <c r="V594" s="2">
        <f t="shared" ca="1" si="578"/>
        <v>54171890.208241321</v>
      </c>
      <c r="W594" s="2">
        <f t="shared" ca="1" si="579"/>
        <v>56162172.817451037</v>
      </c>
      <c r="X594" s="2">
        <f t="shared" ca="1" si="580"/>
        <v>58225578.68023923</v>
      </c>
      <c r="Y594" s="2">
        <f t="shared" ca="1" si="581"/>
        <v>0.12612262130588051</v>
      </c>
      <c r="Z594" s="2">
        <f t="shared" ca="1" si="582"/>
        <v>0.1285716698282327</v>
      </c>
      <c r="AA594" s="2">
        <f t="shared" ca="1" si="583"/>
        <v>6356633.2337098075</v>
      </c>
      <c r="AB594" s="2">
        <f t="shared" ca="1" si="584"/>
        <v>6718144.827734529</v>
      </c>
      <c r="AC594" s="2">
        <f t="shared" ca="1" si="585"/>
        <v>6964970.3818252757</v>
      </c>
      <c r="AD594" s="2">
        <f t="shared" ca="1" si="586"/>
        <v>7220864.3403214607</v>
      </c>
      <c r="AE594" s="2">
        <f t="shared" ca="1" si="587"/>
        <v>7486159.8776335036</v>
      </c>
      <c r="AF594" s="2">
        <f t="shared" ca="1" si="588"/>
        <v>1008008.4235314616</v>
      </c>
      <c r="AG594" s="2">
        <f t="shared" ca="1" si="589"/>
        <v>1045042.7900189423</v>
      </c>
      <c r="AH594" s="2">
        <f t="shared" ca="1" si="590"/>
        <v>1083437.8041648264</v>
      </c>
      <c r="AI594" s="2">
        <f t="shared" ca="1" si="591"/>
        <v>1123243.4563490208</v>
      </c>
      <c r="AJ594" s="2">
        <f t="shared" ca="1" si="592"/>
        <v>1164511.5736047847</v>
      </c>
      <c r="AK594" s="2">
        <f t="shared" ca="1" si="593"/>
        <v>0</v>
      </c>
      <c r="AL594" s="2">
        <f t="shared" ca="1" si="594"/>
        <v>18517.18324374035</v>
      </c>
      <c r="AM594" s="2">
        <f t="shared" ca="1" si="595"/>
        <v>19197.507072942033</v>
      </c>
      <c r="AN594" s="2">
        <f t="shared" ca="1" si="596"/>
        <v>19902.826092097162</v>
      </c>
      <c r="AO594" s="2">
        <f t="shared" ca="1" si="597"/>
        <v>20634.058627881928</v>
      </c>
      <c r="AP594" s="2">
        <f t="shared" ca="1" si="598"/>
        <v>2149770.1268247366</v>
      </c>
      <c r="AQ594" s="2">
        <f t="shared" ca="1" si="599"/>
        <v>831702.21767193847</v>
      </c>
      <c r="AR594" s="2">
        <f t="shared" ca="1" si="600"/>
        <v>916066.29683162109</v>
      </c>
      <c r="AS594" s="2">
        <f t="shared" ca="1" si="601"/>
        <v>970258.2372172852</v>
      </c>
      <c r="AT594" s="2">
        <f t="shared" ca="1" si="602"/>
        <v>1026441.1968584029</v>
      </c>
      <c r="AU594" s="2">
        <f t="shared" ca="1" si="603"/>
        <v>1084688.3260730354</v>
      </c>
      <c r="AV594" s="2">
        <f t="shared" ca="1" si="604"/>
        <v>2367152.4656816712</v>
      </c>
      <c r="AW594" s="2">
        <f t="shared" ca="1" si="605"/>
        <v>2588748.430815489</v>
      </c>
      <c r="AX594" s="2">
        <f t="shared" ca="1" si="606"/>
        <v>2742306.7065454852</v>
      </c>
      <c r="AY594" s="2">
        <f t="shared" ca="1" si="607"/>
        <v>2901506.7341972031</v>
      </c>
      <c r="AZ594" s="2">
        <f t="shared" ca="1" si="608"/>
        <v>3066555.7925030645</v>
      </c>
      <c r="BA594" s="2">
        <f t="shared" ca="1" si="609"/>
        <v>54204250.225594632</v>
      </c>
      <c r="BB594" s="2">
        <f t="shared" ca="1" si="610"/>
        <v>1084085.0045118926</v>
      </c>
      <c r="BC594" s="2">
        <f t="shared" ca="1" si="611"/>
        <v>29233830.478585668</v>
      </c>
      <c r="BD594" s="2">
        <f t="shared" ca="1" si="612"/>
        <v>-17419487.109268762</v>
      </c>
      <c r="BE594" s="2">
        <f t="shared" ca="1" si="613"/>
        <v>2367152.4656816712</v>
      </c>
      <c r="BF594" s="2">
        <f t="shared" ca="1" si="614"/>
        <v>2588748.430815489</v>
      </c>
      <c r="BG594" s="2">
        <f t="shared" ca="1" si="615"/>
        <v>2742306.7065454852</v>
      </c>
      <c r="BH594" s="2">
        <f t="shared" ca="1" si="616"/>
        <v>2901506.7341972031</v>
      </c>
      <c r="BI594" s="2">
        <f t="shared" ca="1" si="617"/>
        <v>32300386.271088734</v>
      </c>
      <c r="BJ594" s="2">
        <f t="shared" ca="1" si="618"/>
        <v>0.23745954988817286</v>
      </c>
      <c r="BK594" s="2">
        <f t="shared" ca="1" si="619"/>
        <v>8881762.6291740276</v>
      </c>
    </row>
    <row r="595" spans="1:63" x14ac:dyDescent="0.3">
      <c r="A595" s="2">
        <v>594</v>
      </c>
      <c r="B595" s="2">
        <f t="shared" ca="1" si="558"/>
        <v>0.82500543133996018</v>
      </c>
      <c r="C595" s="2">
        <f t="shared" ca="1" si="559"/>
        <v>7.408401202401425</v>
      </c>
      <c r="D595" s="2">
        <f t="shared" ca="1" si="560"/>
        <v>0.51060208709650101</v>
      </c>
      <c r="E595" s="2">
        <f t="shared" ca="1" si="561"/>
        <v>7.5106588930975331</v>
      </c>
      <c r="F595" s="2">
        <f t="shared" ca="1" si="562"/>
        <v>0.3443851777266469</v>
      </c>
      <c r="G595" s="2">
        <f t="shared" ca="1" si="563"/>
        <v>2.7984269624414727E-2</v>
      </c>
      <c r="H595" s="2">
        <f t="shared" ca="1" si="564"/>
        <v>2.7984269624414727E-2</v>
      </c>
      <c r="I595" s="2">
        <f t="shared" ca="1" si="565"/>
        <v>0.39892056792334607</v>
      </c>
      <c r="J595" s="2">
        <f t="shared" ca="1" si="566"/>
        <v>8.7192896355100281E-3</v>
      </c>
      <c r="K595" s="2">
        <f t="shared" ca="1" si="567"/>
        <v>8.7192896355100281E-3</v>
      </c>
      <c r="L595" s="2">
        <f t="shared" ca="1" si="568"/>
        <v>0.82071004281026982</v>
      </c>
      <c r="M595" s="2">
        <f t="shared" ca="1" si="569"/>
        <v>1.836148807192545E-2</v>
      </c>
      <c r="N595" s="2">
        <f t="shared" ca="1" si="570"/>
        <v>1.836148807192545E-2</v>
      </c>
      <c r="O595" s="2">
        <f t="shared" si="571"/>
        <v>6000000</v>
      </c>
      <c r="P595" s="2">
        <f t="shared" ca="1" si="572"/>
        <v>44450407.214408547</v>
      </c>
      <c r="Q595" s="2">
        <f t="shared" ca="1" si="573"/>
        <v>1111260.1803602136</v>
      </c>
      <c r="R595" s="2">
        <f t="shared" ca="1" si="574"/>
        <v>26670244.328645129</v>
      </c>
      <c r="S595" s="2">
        <f t="shared" ca="1" si="575"/>
        <v>17780162.885763418</v>
      </c>
      <c r="T595" s="2">
        <f t="shared" ca="1" si="576"/>
        <v>50918074.403596267</v>
      </c>
      <c r="U595" s="2">
        <f t="shared" ca="1" si="577"/>
        <v>52342979.526462518</v>
      </c>
      <c r="V595" s="2">
        <f t="shared" ca="1" si="578"/>
        <v>53807759.578476265</v>
      </c>
      <c r="W595" s="2">
        <f t="shared" ca="1" si="579"/>
        <v>55313530.430406034</v>
      </c>
      <c r="X595" s="2">
        <f t="shared" ca="1" si="580"/>
        <v>56861439.17984879</v>
      </c>
      <c r="Y595" s="2">
        <f t="shared" ca="1" si="581"/>
        <v>0.12435964481775501</v>
      </c>
      <c r="Z595" s="2">
        <f t="shared" ca="1" si="582"/>
        <v>0.12610350274485702</v>
      </c>
      <c r="AA595" s="2">
        <f t="shared" ca="1" si="583"/>
        <v>6332153.6476352541</v>
      </c>
      <c r="AB595" s="2">
        <f t="shared" ca="1" si="584"/>
        <v>6600633.0623892611</v>
      </c>
      <c r="AC595" s="2">
        <f t="shared" ca="1" si="585"/>
        <v>6785346.9576989878</v>
      </c>
      <c r="AD595" s="2">
        <f t="shared" ca="1" si="586"/>
        <v>6975229.9364584396</v>
      </c>
      <c r="AE595" s="2">
        <f t="shared" ca="1" si="587"/>
        <v>7170426.6516925823</v>
      </c>
      <c r="AF595" s="2">
        <f t="shared" ca="1" si="588"/>
        <v>1018361.4880719254</v>
      </c>
      <c r="AG595" s="2">
        <f t="shared" ca="1" si="589"/>
        <v>1046859.5905292503</v>
      </c>
      <c r="AH595" s="2">
        <f t="shared" ca="1" si="590"/>
        <v>1076155.1915695253</v>
      </c>
      <c r="AI595" s="2">
        <f t="shared" ca="1" si="591"/>
        <v>1106270.6086081206</v>
      </c>
      <c r="AJ595" s="2">
        <f t="shared" ca="1" si="592"/>
        <v>1137228.7835969757</v>
      </c>
      <c r="AK595" s="2">
        <f t="shared" ca="1" si="593"/>
        <v>0</v>
      </c>
      <c r="AL595" s="2">
        <f t="shared" ca="1" si="594"/>
        <v>14249.051228662505</v>
      </c>
      <c r="AM595" s="2">
        <f t="shared" ca="1" si="595"/>
        <v>14647.800520137474</v>
      </c>
      <c r="AN595" s="2">
        <f t="shared" ca="1" si="596"/>
        <v>15057.70851929769</v>
      </c>
      <c r="AO595" s="2">
        <f t="shared" ca="1" si="597"/>
        <v>15479.087494427562</v>
      </c>
      <c r="AP595" s="2">
        <f t="shared" ca="1" si="598"/>
        <v>2400321.9895780613</v>
      </c>
      <c r="AQ595" s="2">
        <f t="shared" ca="1" si="599"/>
        <v>757502.24419616966</v>
      </c>
      <c r="AR595" s="2">
        <f t="shared" ca="1" si="600"/>
        <v>819897.38539330696</v>
      </c>
      <c r="AS595" s="2">
        <f t="shared" ca="1" si="601"/>
        <v>860306.14190336422</v>
      </c>
      <c r="AT595" s="2">
        <f t="shared" ca="1" si="602"/>
        <v>901845.70795078715</v>
      </c>
      <c r="AU595" s="2">
        <f t="shared" ca="1" si="603"/>
        <v>944547.72841456183</v>
      </c>
      <c r="AV595" s="2">
        <f t="shared" ca="1" si="604"/>
        <v>2155967.9257890978</v>
      </c>
      <c r="AW595" s="2">
        <f t="shared" ca="1" si="605"/>
        <v>2319305.0456599803</v>
      </c>
      <c r="AX595" s="2">
        <f t="shared" ca="1" si="606"/>
        <v>2433915.8341278988</v>
      </c>
      <c r="AY595" s="2">
        <f t="shared" ca="1" si="607"/>
        <v>2551733.9218021738</v>
      </c>
      <c r="AZ595" s="2">
        <f t="shared" ca="1" si="608"/>
        <v>2672849.0626085564</v>
      </c>
      <c r="BA595" s="2">
        <f t="shared" ca="1" si="609"/>
        <v>53854628.698838457</v>
      </c>
      <c r="BB595" s="2">
        <f t="shared" ca="1" si="610"/>
        <v>1077092.5739767691</v>
      </c>
      <c r="BC595" s="2">
        <f t="shared" ca="1" si="611"/>
        <v>26107291.796216559</v>
      </c>
      <c r="BD595" s="2">
        <f t="shared" ca="1" si="612"/>
        <v>-19391423.066123631</v>
      </c>
      <c r="BE595" s="2">
        <f t="shared" ca="1" si="613"/>
        <v>2155967.9257890978</v>
      </c>
      <c r="BF595" s="2">
        <f t="shared" ca="1" si="614"/>
        <v>2319305.0456599803</v>
      </c>
      <c r="BG595" s="2">
        <f t="shared" ca="1" si="615"/>
        <v>2433915.8341278988</v>
      </c>
      <c r="BH595" s="2">
        <f t="shared" ca="1" si="616"/>
        <v>2551733.9218021738</v>
      </c>
      <c r="BI595" s="2">
        <f t="shared" ca="1" si="617"/>
        <v>28780140.858825114</v>
      </c>
      <c r="BJ595" s="2">
        <f t="shared" ca="1" si="618"/>
        <v>0.17223861128376994</v>
      </c>
      <c r="BK595" s="2">
        <f t="shared" ca="1" si="619"/>
        <v>4067195.1675795875</v>
      </c>
    </row>
    <row r="596" spans="1:63" x14ac:dyDescent="0.3">
      <c r="A596" s="2">
        <v>595</v>
      </c>
      <c r="B596" s="2">
        <f t="shared" ca="1" si="558"/>
        <v>0.38486824612162862</v>
      </c>
      <c r="C596" s="2">
        <f t="shared" ca="1" si="559"/>
        <v>6.8773462784119266</v>
      </c>
      <c r="D596" s="2">
        <f t="shared" ca="1" si="560"/>
        <v>0.79040777680463326</v>
      </c>
      <c r="E596" s="2">
        <f t="shared" ca="1" si="561"/>
        <v>7.8525554491767391</v>
      </c>
      <c r="F596" s="2">
        <f t="shared" ca="1" si="562"/>
        <v>0.65344849440622321</v>
      </c>
      <c r="G596" s="2">
        <f t="shared" ca="1" si="563"/>
        <v>5.1839426701748237E-2</v>
      </c>
      <c r="H596" s="2">
        <f t="shared" ca="1" si="564"/>
        <v>5.1839426701748237E-2</v>
      </c>
      <c r="I596" s="2">
        <f t="shared" ca="1" si="565"/>
        <v>0.28075998427053761</v>
      </c>
      <c r="J596" s="2">
        <f t="shared" ca="1" si="566"/>
        <v>7.0970734004314924E-3</v>
      </c>
      <c r="K596" s="2">
        <f t="shared" ca="1" si="567"/>
        <v>7.0970734004314924E-3</v>
      </c>
      <c r="L596" s="2">
        <f t="shared" ca="1" si="568"/>
        <v>0.57074943120780131</v>
      </c>
      <c r="M596" s="2">
        <f t="shared" ca="1" si="569"/>
        <v>3.5656495934642358E-3</v>
      </c>
      <c r="N596" s="2">
        <f t="shared" ca="1" si="570"/>
        <v>3.5656495934642358E-3</v>
      </c>
      <c r="O596" s="2">
        <f t="shared" si="571"/>
        <v>6000000</v>
      </c>
      <c r="P596" s="2">
        <f t="shared" ca="1" si="572"/>
        <v>41264077.670471556</v>
      </c>
      <c r="Q596" s="2">
        <f t="shared" ca="1" si="573"/>
        <v>1031601.9417617889</v>
      </c>
      <c r="R596" s="2">
        <f t="shared" ca="1" si="574"/>
        <v>24758446.602282934</v>
      </c>
      <c r="S596" s="2">
        <f t="shared" ca="1" si="575"/>
        <v>16505631.068188623</v>
      </c>
      <c r="T596" s="2">
        <f t="shared" ca="1" si="576"/>
        <v>50178282.479673207</v>
      </c>
      <c r="U596" s="2">
        <f t="shared" ca="1" si="577"/>
        <v>52779495.876297846</v>
      </c>
      <c r="V596" s="2">
        <f t="shared" ca="1" si="578"/>
        <v>55515554.68413242</v>
      </c>
      <c r="W596" s="2">
        <f t="shared" ca="1" si="579"/>
        <v>58393449.211987406</v>
      </c>
      <c r="X596" s="2">
        <f t="shared" ca="1" si="580"/>
        <v>61420532.142274491</v>
      </c>
      <c r="Y596" s="2">
        <f t="shared" ca="1" si="581"/>
        <v>0.12354853670021575</v>
      </c>
      <c r="Z596" s="2">
        <f t="shared" ca="1" si="582"/>
        <v>0.12496795138030203</v>
      </c>
      <c r="AA596" s="2">
        <f t="shared" ca="1" si="583"/>
        <v>6199453.3744936977</v>
      </c>
      <c r="AB596" s="2">
        <f t="shared" ca="1" si="584"/>
        <v>6595745.4745460413</v>
      </c>
      <c r="AC596" s="2">
        <f t="shared" ca="1" si="585"/>
        <v>6937665.1386171589</v>
      </c>
      <c r="AD596" s="2">
        <f t="shared" ca="1" si="586"/>
        <v>7297309.7220517779</v>
      </c>
      <c r="AE596" s="2">
        <f t="shared" ca="1" si="587"/>
        <v>7675598.0745080374</v>
      </c>
      <c r="AF596" s="2">
        <f t="shared" ca="1" si="588"/>
        <v>1003565.6495934641</v>
      </c>
      <c r="AG596" s="2">
        <f t="shared" ca="1" si="589"/>
        <v>1055589.9175259569</v>
      </c>
      <c r="AH596" s="2">
        <f t="shared" ca="1" si="590"/>
        <v>1110311.0936826484</v>
      </c>
      <c r="AI596" s="2">
        <f t="shared" ca="1" si="591"/>
        <v>1167868.9842397482</v>
      </c>
      <c r="AJ596" s="2">
        <f t="shared" ca="1" si="592"/>
        <v>1228410.6428454898</v>
      </c>
      <c r="AK596" s="2">
        <f t="shared" ca="1" si="593"/>
        <v>0</v>
      </c>
      <c r="AL596" s="2">
        <f t="shared" ca="1" si="594"/>
        <v>26012.133966246398</v>
      </c>
      <c r="AM596" s="2">
        <f t="shared" ca="1" si="595"/>
        <v>27360.588078345732</v>
      </c>
      <c r="AN596" s="2">
        <f t="shared" ca="1" si="596"/>
        <v>28778.945278549865</v>
      </c>
      <c r="AO596" s="2">
        <f t="shared" ca="1" si="597"/>
        <v>30270.829302870854</v>
      </c>
      <c r="AP596" s="2">
        <f t="shared" ca="1" si="598"/>
        <v>2228260.1942054639</v>
      </c>
      <c r="AQ596" s="2">
        <f t="shared" ca="1" si="599"/>
        <v>771583.15798064019</v>
      </c>
      <c r="AR596" s="2">
        <f t="shared" ca="1" si="600"/>
        <v>861092.79433180147</v>
      </c>
      <c r="AS596" s="2">
        <f t="shared" ca="1" si="601"/>
        <v>935764.40118955204</v>
      </c>
      <c r="AT596" s="2">
        <f t="shared" ca="1" si="602"/>
        <v>1014306.941337707</v>
      </c>
      <c r="AU596" s="2">
        <f t="shared" ca="1" si="603"/>
        <v>1096921.0817388417</v>
      </c>
      <c r="AV596" s="2">
        <f t="shared" ca="1" si="604"/>
        <v>2196044.3727141293</v>
      </c>
      <c r="AW596" s="2">
        <f t="shared" ca="1" si="605"/>
        <v>2424790.4345165733</v>
      </c>
      <c r="AX596" s="2">
        <f t="shared" ca="1" si="606"/>
        <v>2635968.8614611486</v>
      </c>
      <c r="AY596" s="2">
        <f t="shared" ca="1" si="607"/>
        <v>2858094.6569903092</v>
      </c>
      <c r="AZ596" s="2">
        <f t="shared" ca="1" si="608"/>
        <v>3091735.3264153711</v>
      </c>
      <c r="BA596" s="2">
        <f t="shared" ca="1" si="609"/>
        <v>60273059.485668577</v>
      </c>
      <c r="BB596" s="2">
        <f t="shared" ca="1" si="610"/>
        <v>1205461.1897133717</v>
      </c>
      <c r="BC596" s="2">
        <f t="shared" ca="1" si="611"/>
        <v>34309151.69367227</v>
      </c>
      <c r="BD596" s="2">
        <f t="shared" ca="1" si="612"/>
        <v>-18037233.009950411</v>
      </c>
      <c r="BE596" s="2">
        <f t="shared" ca="1" si="613"/>
        <v>2196044.3727141293</v>
      </c>
      <c r="BF596" s="2">
        <f t="shared" ca="1" si="614"/>
        <v>2424790.4345165733</v>
      </c>
      <c r="BG596" s="2">
        <f t="shared" ca="1" si="615"/>
        <v>2635968.8614611486</v>
      </c>
      <c r="BH596" s="2">
        <f t="shared" ca="1" si="616"/>
        <v>2858094.6569903092</v>
      </c>
      <c r="BI596" s="2">
        <f t="shared" ca="1" si="617"/>
        <v>37400887.020087644</v>
      </c>
      <c r="BJ596" s="2">
        <f t="shared" ca="1" si="618"/>
        <v>0.25079081702456274</v>
      </c>
      <c r="BK596" s="2">
        <f t="shared" ca="1" si="619"/>
        <v>10771418.099643268</v>
      </c>
    </row>
    <row r="597" spans="1:63" x14ac:dyDescent="0.3">
      <c r="A597" s="2">
        <v>596</v>
      </c>
      <c r="B597" s="2">
        <f t="shared" ca="1" si="558"/>
        <v>0.23327707513477391</v>
      </c>
      <c r="C597" s="2">
        <f t="shared" ca="1" si="559"/>
        <v>6.6830476925292608</v>
      </c>
      <c r="D597" s="2">
        <f t="shared" ca="1" si="560"/>
        <v>0.62586457353137193</v>
      </c>
      <c r="E597" s="2">
        <f t="shared" ca="1" si="561"/>
        <v>7.634973495818044</v>
      </c>
      <c r="F597" s="2">
        <f t="shared" ca="1" si="562"/>
        <v>0.58348510173120904</v>
      </c>
      <c r="G597" s="2">
        <f t="shared" ca="1" si="563"/>
        <v>4.6324520612114714E-2</v>
      </c>
      <c r="H597" s="2">
        <f t="shared" ca="1" si="564"/>
        <v>4.6324520612114714E-2</v>
      </c>
      <c r="I597" s="2">
        <f t="shared" ca="1" si="565"/>
        <v>5.4176188948660609E-2</v>
      </c>
      <c r="J597" s="2">
        <f t="shared" ca="1" si="566"/>
        <v>1.9717851375129596E-3</v>
      </c>
      <c r="K597" s="2">
        <f t="shared" ca="1" si="567"/>
        <v>1.9717851375129596E-3</v>
      </c>
      <c r="L597" s="2">
        <f t="shared" ca="1" si="568"/>
        <v>4.2203579074768793E-2</v>
      </c>
      <c r="M597" s="2">
        <f t="shared" ca="1" si="569"/>
        <v>-3.4513359998464811E-2</v>
      </c>
      <c r="N597" s="2">
        <f t="shared" ca="1" si="570"/>
        <v>-3.4513359998464811E-2</v>
      </c>
      <c r="O597" s="2">
        <f t="shared" si="571"/>
        <v>6000000</v>
      </c>
      <c r="P597" s="2">
        <f t="shared" ca="1" si="572"/>
        <v>40098286.155175567</v>
      </c>
      <c r="Q597" s="2">
        <f t="shared" ca="1" si="573"/>
        <v>1002457.1538793892</v>
      </c>
      <c r="R597" s="2">
        <f t="shared" ca="1" si="574"/>
        <v>24058971.69310534</v>
      </c>
      <c r="S597" s="2">
        <f t="shared" ca="1" si="575"/>
        <v>16039314.462070227</v>
      </c>
      <c r="T597" s="2">
        <f t="shared" ca="1" si="576"/>
        <v>48274332.000076756</v>
      </c>
      <c r="U597" s="2">
        <f t="shared" ca="1" si="577"/>
        <v>50510617.287850387</v>
      </c>
      <c r="V597" s="2">
        <f t="shared" ca="1" si="578"/>
        <v>52850497.419532053</v>
      </c>
      <c r="W597" s="2">
        <f t="shared" ca="1" si="579"/>
        <v>55298771.376603685</v>
      </c>
      <c r="X597" s="2">
        <f t="shared" ca="1" si="580"/>
        <v>57860460.451063789</v>
      </c>
      <c r="Y597" s="2">
        <f t="shared" ca="1" si="581"/>
        <v>0.12098589256875647</v>
      </c>
      <c r="Z597" s="2">
        <f t="shared" ca="1" si="582"/>
        <v>0.12138024959625907</v>
      </c>
      <c r="AA597" s="2">
        <f t="shared" ca="1" si="583"/>
        <v>5840513.1451897686</v>
      </c>
      <c r="AB597" s="2">
        <f t="shared" ca="1" si="584"/>
        <v>6130991.3336603986</v>
      </c>
      <c r="AC597" s="2">
        <f t="shared" ca="1" si="585"/>
        <v>6415006.5680692466</v>
      </c>
      <c r="AD597" s="2">
        <f t="shared" ca="1" si="586"/>
        <v>6712178.6720586214</v>
      </c>
      <c r="AE597" s="2">
        <f t="shared" ca="1" si="587"/>
        <v>7023117.1313045993</v>
      </c>
      <c r="AF597" s="2">
        <f t="shared" ca="1" si="588"/>
        <v>965486.64000153518</v>
      </c>
      <c r="AG597" s="2">
        <f t="shared" ca="1" si="589"/>
        <v>1010212.3457570077</v>
      </c>
      <c r="AH597" s="2">
        <f t="shared" ca="1" si="590"/>
        <v>1057009.948390641</v>
      </c>
      <c r="AI597" s="2">
        <f t="shared" ca="1" si="591"/>
        <v>1105975.4275320738</v>
      </c>
      <c r="AJ597" s="2">
        <f t="shared" ca="1" si="592"/>
        <v>1157209.2090212759</v>
      </c>
      <c r="AK597" s="2">
        <f t="shared" ca="1" si="593"/>
        <v>0</v>
      </c>
      <c r="AL597" s="2">
        <f t="shared" ca="1" si="594"/>
        <v>22362.852877736317</v>
      </c>
      <c r="AM597" s="2">
        <f t="shared" ca="1" si="595"/>
        <v>23398.801316816658</v>
      </c>
      <c r="AN597" s="2">
        <f t="shared" ca="1" si="596"/>
        <v>24482.739570716323</v>
      </c>
      <c r="AO597" s="2">
        <f t="shared" ca="1" si="597"/>
        <v>25616.890744601042</v>
      </c>
      <c r="AP597" s="2">
        <f t="shared" ca="1" si="598"/>
        <v>2165307.4523794805</v>
      </c>
      <c r="AQ597" s="2">
        <f t="shared" ca="1" si="599"/>
        <v>704526.95373027574</v>
      </c>
      <c r="AR597" s="2">
        <f t="shared" ca="1" si="600"/>
        <v>768422.59923621675</v>
      </c>
      <c r="AS597" s="2">
        <f t="shared" ca="1" si="601"/>
        <v>830099.18349777255</v>
      </c>
      <c r="AT597" s="2">
        <f t="shared" ca="1" si="602"/>
        <v>894632.90595823748</v>
      </c>
      <c r="AU597" s="2">
        <f t="shared" ca="1" si="603"/>
        <v>962156.12217499921</v>
      </c>
      <c r="AV597" s="2">
        <f t="shared" ca="1" si="604"/>
        <v>2005192.0990784769</v>
      </c>
      <c r="AW597" s="2">
        <f t="shared" ca="1" si="605"/>
        <v>2164686.0834099581</v>
      </c>
      <c r="AX597" s="2">
        <f t="shared" ca="1" si="606"/>
        <v>2339191.182484536</v>
      </c>
      <c r="AY597" s="2">
        <f t="shared" ca="1" si="607"/>
        <v>2521780.1466181134</v>
      </c>
      <c r="AZ597" s="2">
        <f t="shared" ca="1" si="608"/>
        <v>2712827.456984242</v>
      </c>
      <c r="BA597" s="2">
        <f t="shared" ca="1" si="609"/>
        <v>53621313.155536272</v>
      </c>
      <c r="BB597" s="2">
        <f t="shared" ca="1" si="610"/>
        <v>1072426.2631107254</v>
      </c>
      <c r="BC597" s="2">
        <f t="shared" ca="1" si="611"/>
        <v>28489915.199320205</v>
      </c>
      <c r="BD597" s="2">
        <f t="shared" ca="1" si="612"/>
        <v>-17541771.615949616</v>
      </c>
      <c r="BE597" s="2">
        <f t="shared" ca="1" si="613"/>
        <v>2005192.0990784769</v>
      </c>
      <c r="BF597" s="2">
        <f t="shared" ca="1" si="614"/>
        <v>2164686.0834099581</v>
      </c>
      <c r="BG597" s="2">
        <f t="shared" ca="1" si="615"/>
        <v>2339191.182484536</v>
      </c>
      <c r="BH597" s="2">
        <f t="shared" ca="1" si="616"/>
        <v>2521780.1466181134</v>
      </c>
      <c r="BI597" s="2">
        <f t="shared" ca="1" si="617"/>
        <v>31202742.656304445</v>
      </c>
      <c r="BJ597" s="2">
        <f t="shared" ca="1" si="618"/>
        <v>0.21199931225209423</v>
      </c>
      <c r="BK597" s="2">
        <f t="shared" ca="1" si="619"/>
        <v>6947154.0727810562</v>
      </c>
    </row>
    <row r="598" spans="1:63" x14ac:dyDescent="0.3">
      <c r="A598" s="2">
        <v>597</v>
      </c>
      <c r="B598" s="2">
        <f t="shared" ca="1" si="558"/>
        <v>0.6759439797660628</v>
      </c>
      <c r="C598" s="2">
        <f t="shared" ca="1" si="559"/>
        <v>7.1949459394128406</v>
      </c>
      <c r="D598" s="2">
        <f t="shared" ca="1" si="560"/>
        <v>0.54321367248270802</v>
      </c>
      <c r="E598" s="2">
        <f t="shared" ca="1" si="561"/>
        <v>7.5441900528689905</v>
      </c>
      <c r="F598" s="2">
        <f t="shared" ca="1" si="562"/>
        <v>0.98223788916503529</v>
      </c>
      <c r="G598" s="2">
        <f t="shared" ca="1" si="563"/>
        <v>0.10306995370607314</v>
      </c>
      <c r="H598" s="2">
        <f t="shared" ca="1" si="564"/>
        <v>0.10306995370607314</v>
      </c>
      <c r="I598" s="2">
        <f t="shared" ca="1" si="565"/>
        <v>0.45226815998975023</v>
      </c>
      <c r="J598" s="2">
        <f t="shared" ca="1" si="566"/>
        <v>9.4003356126169824E-3</v>
      </c>
      <c r="K598" s="2">
        <f t="shared" ca="1" si="567"/>
        <v>9.4003356126169824E-3</v>
      </c>
      <c r="L598" s="2">
        <f t="shared" ca="1" si="568"/>
        <v>0.94363439857808395</v>
      </c>
      <c r="M598" s="2">
        <f t="shared" ca="1" si="569"/>
        <v>3.172071475705248E-2</v>
      </c>
      <c r="N598" s="2">
        <f t="shared" ca="1" si="570"/>
        <v>3.172071475705248E-2</v>
      </c>
      <c r="O598" s="2">
        <f t="shared" si="571"/>
        <v>6000000</v>
      </c>
      <c r="P598" s="2">
        <f t="shared" ca="1" si="572"/>
        <v>43169675.636477046</v>
      </c>
      <c r="Q598" s="2">
        <f t="shared" ca="1" si="573"/>
        <v>1079241.8909119263</v>
      </c>
      <c r="R598" s="2">
        <f t="shared" ca="1" si="574"/>
        <v>25901805.381886225</v>
      </c>
      <c r="S598" s="2">
        <f t="shared" ca="1" si="575"/>
        <v>17267870.254590821</v>
      </c>
      <c r="T598" s="2">
        <f t="shared" ca="1" si="576"/>
        <v>51586035.737852618</v>
      </c>
      <c r="U598" s="2">
        <f t="shared" ca="1" si="577"/>
        <v>56903006.053232916</v>
      </c>
      <c r="V598" s="2">
        <f t="shared" ca="1" si="578"/>
        <v>62767996.252876028</v>
      </c>
      <c r="W598" s="2">
        <f t="shared" ca="1" si="579"/>
        <v>69237490.720882922</v>
      </c>
      <c r="X598" s="2">
        <f t="shared" ca="1" si="580"/>
        <v>76373795.684208989</v>
      </c>
      <c r="Y598" s="2">
        <f t="shared" ca="1" si="581"/>
        <v>0.12470016780630849</v>
      </c>
      <c r="Z598" s="2">
        <f t="shared" ca="1" si="582"/>
        <v>0.12658023492883189</v>
      </c>
      <c r="AA598" s="2">
        <f t="shared" ca="1" si="583"/>
        <v>6432787.3129724488</v>
      </c>
      <c r="AB598" s="2">
        <f t="shared" ca="1" si="584"/>
        <v>7202795.8743749652</v>
      </c>
      <c r="AC598" s="2">
        <f t="shared" ca="1" si="585"/>
        <v>7945187.7117010877</v>
      </c>
      <c r="AD598" s="2">
        <f t="shared" ca="1" si="586"/>
        <v>8764097.8413321786</v>
      </c>
      <c r="AE598" s="2">
        <f t="shared" ca="1" si="587"/>
        <v>9667413.0001137815</v>
      </c>
      <c r="AF598" s="2">
        <f t="shared" ca="1" si="588"/>
        <v>1031720.7147570524</v>
      </c>
      <c r="AG598" s="2">
        <f t="shared" ca="1" si="589"/>
        <v>1138060.1210646583</v>
      </c>
      <c r="AH598" s="2">
        <f t="shared" ca="1" si="590"/>
        <v>1255359.9250575206</v>
      </c>
      <c r="AI598" s="2">
        <f t="shared" ca="1" si="591"/>
        <v>1384749.8144176584</v>
      </c>
      <c r="AJ598" s="2">
        <f t="shared" ca="1" si="592"/>
        <v>1527475.9136841798</v>
      </c>
      <c r="AK598" s="2">
        <f t="shared" ca="1" si="593"/>
        <v>0</v>
      </c>
      <c r="AL598" s="2">
        <f t="shared" ca="1" si="594"/>
        <v>53169.703153802977</v>
      </c>
      <c r="AM598" s="2">
        <f t="shared" ca="1" si="595"/>
        <v>58649.90199643113</v>
      </c>
      <c r="AN598" s="2">
        <f t="shared" ca="1" si="596"/>
        <v>64694.94468006894</v>
      </c>
      <c r="AO598" s="2">
        <f t="shared" ca="1" si="597"/>
        <v>71363.049633260671</v>
      </c>
      <c r="AP598" s="2">
        <f t="shared" ca="1" si="598"/>
        <v>2331162.4843697604</v>
      </c>
      <c r="AQ598" s="2">
        <f t="shared" ca="1" si="599"/>
        <v>798175.06959986547</v>
      </c>
      <c r="AR598" s="2">
        <f t="shared" ca="1" si="600"/>
        <v>970729.04992454208</v>
      </c>
      <c r="AS598" s="2">
        <f t="shared" ca="1" si="601"/>
        <v>1133252.9785911897</v>
      </c>
      <c r="AT598" s="2">
        <f t="shared" ca="1" si="602"/>
        <v>1312528.2410616376</v>
      </c>
      <c r="AU598" s="2">
        <f t="shared" ca="1" si="603"/>
        <v>1510281.3965355589</v>
      </c>
      <c r="AV598" s="2">
        <f t="shared" ca="1" si="604"/>
        <v>2271729.0442457702</v>
      </c>
      <c r="AW598" s="2">
        <f t="shared" ca="1" si="605"/>
        <v>2709674.5158622013</v>
      </c>
      <c r="AX598" s="2">
        <f t="shared" ca="1" si="606"/>
        <v>3166762.4216861855</v>
      </c>
      <c r="AY598" s="2">
        <f t="shared" ca="1" si="607"/>
        <v>3670962.356803054</v>
      </c>
      <c r="AZ598" s="2">
        <f t="shared" ca="1" si="608"/>
        <v>4227130.1558910217</v>
      </c>
      <c r="BA598" s="2">
        <f t="shared" ca="1" si="609"/>
        <v>72932800.992434755</v>
      </c>
      <c r="BB598" s="2">
        <f t="shared" ca="1" si="610"/>
        <v>1458656.019848695</v>
      </c>
      <c r="BC598" s="2">
        <f t="shared" ca="1" si="611"/>
        <v>45572339.590699829</v>
      </c>
      <c r="BD598" s="2">
        <f t="shared" ca="1" si="612"/>
        <v>-18847112.145502746</v>
      </c>
      <c r="BE598" s="2">
        <f t="shared" ca="1" si="613"/>
        <v>2271729.0442457702</v>
      </c>
      <c r="BF598" s="2">
        <f t="shared" ca="1" si="614"/>
        <v>2709674.5158622013</v>
      </c>
      <c r="BG598" s="2">
        <f t="shared" ca="1" si="615"/>
        <v>3166762.4216861855</v>
      </c>
      <c r="BH598" s="2">
        <f t="shared" ca="1" si="616"/>
        <v>3670962.356803054</v>
      </c>
      <c r="BI598" s="2">
        <f t="shared" ca="1" si="617"/>
        <v>49799469.746590853</v>
      </c>
      <c r="BJ598" s="2">
        <f t="shared" ca="1" si="618"/>
        <v>0.31049077748399201</v>
      </c>
      <c r="BK598" s="2">
        <f t="shared" ca="1" si="619"/>
        <v>18185911.711416975</v>
      </c>
    </row>
    <row r="599" spans="1:63" x14ac:dyDescent="0.3">
      <c r="A599" s="2">
        <v>598</v>
      </c>
      <c r="B599" s="2">
        <f t="shared" ca="1" si="558"/>
        <v>0.60775305807908364</v>
      </c>
      <c r="C599" s="2">
        <f t="shared" ca="1" si="559"/>
        <v>7.1142834065899905</v>
      </c>
      <c r="D599" s="2">
        <f t="shared" ca="1" si="560"/>
        <v>0.82519028594707367</v>
      </c>
      <c r="E599" s="2">
        <f t="shared" ca="1" si="561"/>
        <v>7.9087137511273813</v>
      </c>
      <c r="F599" s="2">
        <f t="shared" ca="1" si="562"/>
        <v>0.81098530697400761</v>
      </c>
      <c r="G599" s="2">
        <f t="shared" ca="1" si="563"/>
        <v>6.6445990820981612E-2</v>
      </c>
      <c r="H599" s="2">
        <f t="shared" ca="1" si="564"/>
        <v>6.6445990820981612E-2</v>
      </c>
      <c r="I599" s="2">
        <f t="shared" ca="1" si="565"/>
        <v>0.87993600240471082</v>
      </c>
      <c r="J599" s="2">
        <f t="shared" ca="1" si="566"/>
        <v>1.5873334644790522E-2</v>
      </c>
      <c r="K599" s="2">
        <f t="shared" ca="1" si="567"/>
        <v>1.5873334644790522E-2</v>
      </c>
      <c r="L599" s="2">
        <f t="shared" ca="1" si="568"/>
        <v>0.60006315528638554</v>
      </c>
      <c r="M599" s="2">
        <f t="shared" ca="1" si="569"/>
        <v>5.0702115238289496E-3</v>
      </c>
      <c r="N599" s="2">
        <f t="shared" ca="1" si="570"/>
        <v>5.0702115238289496E-3</v>
      </c>
      <c r="O599" s="2">
        <f t="shared" si="571"/>
        <v>6000000</v>
      </c>
      <c r="P599" s="2">
        <f t="shared" ca="1" si="572"/>
        <v>42685700.439539939</v>
      </c>
      <c r="Q599" s="2">
        <f t="shared" ca="1" si="573"/>
        <v>1067142.5109884986</v>
      </c>
      <c r="R599" s="2">
        <f t="shared" ca="1" si="574"/>
        <v>25611420.263723962</v>
      </c>
      <c r="S599" s="2">
        <f t="shared" ca="1" si="575"/>
        <v>17074280.175815977</v>
      </c>
      <c r="T599" s="2">
        <f t="shared" ca="1" si="576"/>
        <v>50253510.576191448</v>
      </c>
      <c r="U599" s="2">
        <f t="shared" ca="1" si="577"/>
        <v>53592654.878659166</v>
      </c>
      <c r="V599" s="2">
        <f t="shared" ca="1" si="578"/>
        <v>57153671.932798587</v>
      </c>
      <c r="W599" s="2">
        <f t="shared" ca="1" si="579"/>
        <v>60951304.293430716</v>
      </c>
      <c r="X599" s="2">
        <f t="shared" ca="1" si="580"/>
        <v>65001274.099038869</v>
      </c>
      <c r="Y599" s="2">
        <f t="shared" ca="1" si="581"/>
        <v>0.12793666732239525</v>
      </c>
      <c r="Z599" s="2">
        <f t="shared" ca="1" si="582"/>
        <v>0.13111133425135335</v>
      </c>
      <c r="AA599" s="2">
        <f t="shared" ca="1" si="583"/>
        <v>6429266.664368677</v>
      </c>
      <c r="AB599" s="2">
        <f t="shared" ca="1" si="584"/>
        <v>7026604.4872133052</v>
      </c>
      <c r="AC599" s="2">
        <f t="shared" ca="1" si="585"/>
        <v>7493494.1844733479</v>
      </c>
      <c r="AD599" s="2">
        <f t="shared" ca="1" si="586"/>
        <v>7991406.8302719435</v>
      </c>
      <c r="AE599" s="2">
        <f t="shared" ca="1" si="587"/>
        <v>8522403.7751629222</v>
      </c>
      <c r="AF599" s="2">
        <f t="shared" ca="1" si="588"/>
        <v>1005070.211523829</v>
      </c>
      <c r="AG599" s="2">
        <f t="shared" ca="1" si="589"/>
        <v>1071853.0975731832</v>
      </c>
      <c r="AH599" s="2">
        <f t="shared" ca="1" si="590"/>
        <v>1143073.4386559718</v>
      </c>
      <c r="AI599" s="2">
        <f t="shared" ca="1" si="591"/>
        <v>1219026.0858686143</v>
      </c>
      <c r="AJ599" s="2">
        <f t="shared" ca="1" si="592"/>
        <v>1300025.4819807773</v>
      </c>
      <c r="AK599" s="2">
        <f t="shared" ca="1" si="593"/>
        <v>0</v>
      </c>
      <c r="AL599" s="2">
        <f t="shared" ca="1" si="594"/>
        <v>33391.443024677188</v>
      </c>
      <c r="AM599" s="2">
        <f t="shared" ca="1" si="595"/>
        <v>35610.170541394204</v>
      </c>
      <c r="AN599" s="2">
        <f t="shared" ca="1" si="596"/>
        <v>37976.32360632129</v>
      </c>
      <c r="AO599" s="2">
        <f t="shared" ca="1" si="597"/>
        <v>40499.698056081535</v>
      </c>
      <c r="AP599" s="2">
        <f t="shared" ca="1" si="598"/>
        <v>2305027.8237351566</v>
      </c>
      <c r="AQ599" s="2">
        <f t="shared" ca="1" si="599"/>
        <v>810983.84356851981</v>
      </c>
      <c r="AR599" s="2">
        <f t="shared" ca="1" si="600"/>
        <v>948928.127135291</v>
      </c>
      <c r="AS599" s="2">
        <f t="shared" ca="1" si="601"/>
        <v>1051802.1597413772</v>
      </c>
      <c r="AT599" s="2">
        <f t="shared" ca="1" si="602"/>
        <v>1161511.7593737247</v>
      </c>
      <c r="AU599" s="2">
        <f t="shared" ca="1" si="603"/>
        <v>1278511.1220562172</v>
      </c>
      <c r="AV599" s="2">
        <f t="shared" ca="1" si="604"/>
        <v>2308184.7855411717</v>
      </c>
      <c r="AW599" s="2">
        <f t="shared" ca="1" si="605"/>
        <v>2667403.9957449972</v>
      </c>
      <c r="AX599" s="2">
        <f t="shared" ca="1" si="606"/>
        <v>2957980.5917994478</v>
      </c>
      <c r="AY599" s="2">
        <f t="shared" ca="1" si="607"/>
        <v>3267864.8376881261</v>
      </c>
      <c r="AZ599" s="2">
        <f t="shared" ca="1" si="608"/>
        <v>3598339.6493346901</v>
      </c>
      <c r="BA599" s="2">
        <f t="shared" ca="1" si="609"/>
        <v>67401251.929290906</v>
      </c>
      <c r="BB599" s="2">
        <f t="shared" ca="1" si="610"/>
        <v>1348025.0385858181</v>
      </c>
      <c r="BC599" s="2">
        <f t="shared" ca="1" si="611"/>
        <v>40441806.626981124</v>
      </c>
      <c r="BD599" s="2">
        <f t="shared" ca="1" si="612"/>
        <v>-18641422.686804477</v>
      </c>
      <c r="BE599" s="2">
        <f t="shared" ca="1" si="613"/>
        <v>2308184.7855411717</v>
      </c>
      <c r="BF599" s="2">
        <f t="shared" ca="1" si="614"/>
        <v>2667403.9957449972</v>
      </c>
      <c r="BG599" s="2">
        <f t="shared" ca="1" si="615"/>
        <v>2957980.5917994478</v>
      </c>
      <c r="BH599" s="2">
        <f t="shared" ca="1" si="616"/>
        <v>3267864.8376881261</v>
      </c>
      <c r="BI599" s="2">
        <f t="shared" ca="1" si="617"/>
        <v>44040146.276315816</v>
      </c>
      <c r="BJ599" s="2">
        <f t="shared" ca="1" si="618"/>
        <v>0.28387895540467434</v>
      </c>
      <c r="BK599" s="2">
        <f t="shared" ca="1" si="619"/>
        <v>14717675.788112774</v>
      </c>
    </row>
    <row r="600" spans="1:63" x14ac:dyDescent="0.3">
      <c r="A600" s="2">
        <v>599</v>
      </c>
      <c r="B600" s="2">
        <f t="shared" ca="1" si="558"/>
        <v>0.46637447387209752</v>
      </c>
      <c r="C600" s="2">
        <f t="shared" ca="1" si="559"/>
        <v>6.9657892874453493</v>
      </c>
      <c r="D600" s="2">
        <f t="shared" ca="1" si="560"/>
        <v>0.52817073045958818</v>
      </c>
      <c r="E600" s="2">
        <f t="shared" ca="1" si="561"/>
        <v>7.5285791133186279</v>
      </c>
      <c r="F600" s="2">
        <f t="shared" ca="1" si="562"/>
        <v>0.30445313455314416</v>
      </c>
      <c r="G600" s="2">
        <f t="shared" ca="1" si="563"/>
        <v>2.4650940734627331E-2</v>
      </c>
      <c r="H600" s="2">
        <f t="shared" ca="1" si="564"/>
        <v>2.4650940734627331E-2</v>
      </c>
      <c r="I600" s="2">
        <f t="shared" ca="1" si="565"/>
        <v>0.67849762788622714</v>
      </c>
      <c r="J600" s="2">
        <f t="shared" ca="1" si="566"/>
        <v>1.2317508865358397E-2</v>
      </c>
      <c r="K600" s="2">
        <f t="shared" ca="1" si="567"/>
        <v>1.2317508865358397E-2</v>
      </c>
      <c r="L600" s="2">
        <f t="shared" ca="1" si="568"/>
        <v>0.44307979819881482</v>
      </c>
      <c r="M600" s="2">
        <f t="shared" ca="1" si="569"/>
        <v>-2.8633069537984798E-3</v>
      </c>
      <c r="N600" s="2">
        <f t="shared" ca="1" si="570"/>
        <v>-2.8633069537984798E-3</v>
      </c>
      <c r="O600" s="2">
        <f t="shared" si="571"/>
        <v>6000000</v>
      </c>
      <c r="P600" s="2">
        <f t="shared" ca="1" si="572"/>
        <v>41794735.724672094</v>
      </c>
      <c r="Q600" s="2">
        <f t="shared" ca="1" si="573"/>
        <v>1044868.3931168024</v>
      </c>
      <c r="R600" s="2">
        <f t="shared" ca="1" si="574"/>
        <v>25076841.434803255</v>
      </c>
      <c r="S600" s="2">
        <f t="shared" ca="1" si="575"/>
        <v>16717894.289868839</v>
      </c>
      <c r="T600" s="2">
        <f t="shared" ca="1" si="576"/>
        <v>49856834.652310081</v>
      </c>
      <c r="U600" s="2">
        <f t="shared" ca="1" si="577"/>
        <v>51085852.528540291</v>
      </c>
      <c r="V600" s="2">
        <f t="shared" ca="1" si="578"/>
        <v>52345166.851599254</v>
      </c>
      <c r="W600" s="2">
        <f t="shared" ca="1" si="579"/>
        <v>53635524.457402207</v>
      </c>
      <c r="X600" s="2">
        <f t="shared" ca="1" si="580"/>
        <v>54957690.592072286</v>
      </c>
      <c r="Y600" s="2">
        <f t="shared" ca="1" si="581"/>
        <v>0.12615875443267918</v>
      </c>
      <c r="Z600" s="2">
        <f t="shared" ca="1" si="582"/>
        <v>0.12862225620575088</v>
      </c>
      <c r="AA600" s="2">
        <f t="shared" ca="1" si="583"/>
        <v>6289876.1596914772</v>
      </c>
      <c r="AB600" s="2">
        <f t="shared" ca="1" si="584"/>
        <v>6570777.6124151153</v>
      </c>
      <c r="AC600" s="2">
        <f t="shared" ca="1" si="585"/>
        <v>6732753.4619191773</v>
      </c>
      <c r="AD600" s="2">
        <f t="shared" ca="1" si="586"/>
        <v>6898722.1684898045</v>
      </c>
      <c r="AE600" s="2">
        <f t="shared" ca="1" si="587"/>
        <v>7068782.159809906</v>
      </c>
      <c r="AF600" s="2">
        <f t="shared" ca="1" si="588"/>
        <v>997136.6930462016</v>
      </c>
      <c r="AG600" s="2">
        <f t="shared" ca="1" si="589"/>
        <v>1021717.0505708058</v>
      </c>
      <c r="AH600" s="2">
        <f t="shared" ca="1" si="590"/>
        <v>1046903.3370319851</v>
      </c>
      <c r="AI600" s="2">
        <f t="shared" ca="1" si="591"/>
        <v>1072710.4891480443</v>
      </c>
      <c r="AJ600" s="2">
        <f t="shared" ca="1" si="592"/>
        <v>1099153.8118414457</v>
      </c>
      <c r="AK600" s="2">
        <f t="shared" ca="1" si="593"/>
        <v>0</v>
      </c>
      <c r="AL600" s="2">
        <f t="shared" ca="1" si="594"/>
        <v>12290.178762302101</v>
      </c>
      <c r="AM600" s="2">
        <f t="shared" ca="1" si="595"/>
        <v>12593.143230589629</v>
      </c>
      <c r="AN600" s="2">
        <f t="shared" ca="1" si="596"/>
        <v>12903.576058029532</v>
      </c>
      <c r="AO600" s="2">
        <f t="shared" ca="1" si="597"/>
        <v>13221.661346700788</v>
      </c>
      <c r="AP600" s="2">
        <f t="shared" ca="1" si="598"/>
        <v>2256915.7291322928</v>
      </c>
      <c r="AQ600" s="2">
        <f t="shared" ca="1" si="599"/>
        <v>789314.17175337544</v>
      </c>
      <c r="AR600" s="2">
        <f t="shared" ca="1" si="600"/>
        <v>855957.65650512441</v>
      </c>
      <c r="AS600" s="2">
        <f t="shared" ca="1" si="601"/>
        <v>891522.94289627403</v>
      </c>
      <c r="AT600" s="2">
        <f t="shared" ca="1" si="602"/>
        <v>927964.94705446158</v>
      </c>
      <c r="AU600" s="2">
        <f t="shared" ca="1" si="603"/>
        <v>965305.28089740349</v>
      </c>
      <c r="AV600" s="2">
        <f t="shared" ca="1" si="604"/>
        <v>2246509.5657596067</v>
      </c>
      <c r="AW600" s="2">
        <f t="shared" ca="1" si="605"/>
        <v>2423896.9974445906</v>
      </c>
      <c r="AX600" s="2">
        <f t="shared" ca="1" si="606"/>
        <v>2524818.3096280359</v>
      </c>
      <c r="AY600" s="2">
        <f t="shared" ca="1" si="607"/>
        <v>2628227.4270969769</v>
      </c>
      <c r="AZ600" s="2">
        <f t="shared" ca="1" si="608"/>
        <v>2734185.6765920632</v>
      </c>
      <c r="BA600" s="2">
        <f t="shared" ca="1" si="609"/>
        <v>53217885.724944197</v>
      </c>
      <c r="BB600" s="2">
        <f t="shared" ca="1" si="610"/>
        <v>1064357.714498884</v>
      </c>
      <c r="BC600" s="2">
        <f t="shared" ca="1" si="611"/>
        <v>27076686.575642057</v>
      </c>
      <c r="BD600" s="2">
        <f t="shared" ca="1" si="612"/>
        <v>-18262762.682985641</v>
      </c>
      <c r="BE600" s="2">
        <f t="shared" ca="1" si="613"/>
        <v>2246509.5657596067</v>
      </c>
      <c r="BF600" s="2">
        <f t="shared" ca="1" si="614"/>
        <v>2423896.9974445906</v>
      </c>
      <c r="BG600" s="2">
        <f t="shared" ca="1" si="615"/>
        <v>2524818.3096280359</v>
      </c>
      <c r="BH600" s="2">
        <f t="shared" ca="1" si="616"/>
        <v>2628227.4270969769</v>
      </c>
      <c r="BI600" s="2">
        <f t="shared" ca="1" si="617"/>
        <v>29810872.25223412</v>
      </c>
      <c r="BJ600" s="2">
        <f t="shared" ca="1" si="618"/>
        <v>0.20002419460244014</v>
      </c>
      <c r="BK600" s="2">
        <f t="shared" ca="1" si="619"/>
        <v>6058256.6299813166</v>
      </c>
    </row>
    <row r="601" spans="1:63" x14ac:dyDescent="0.3">
      <c r="A601" s="2">
        <v>600</v>
      </c>
      <c r="B601" s="2">
        <f t="shared" ca="1" si="558"/>
        <v>0.65178015599721029</v>
      </c>
      <c r="C601" s="2">
        <f t="shared" ca="1" si="559"/>
        <v>7.165470379192219</v>
      </c>
      <c r="D601" s="2">
        <f t="shared" ca="1" si="560"/>
        <v>0.17044476896304916</v>
      </c>
      <c r="E601" s="2">
        <f t="shared" ca="1" si="561"/>
        <v>7.0838574637067664</v>
      </c>
      <c r="F601" s="2">
        <f t="shared" ca="1" si="562"/>
        <v>0.2683507403967007</v>
      </c>
      <c r="G601" s="2">
        <f t="shared" ca="1" si="563"/>
        <v>2.146574049816689E-2</v>
      </c>
      <c r="H601" s="2">
        <f t="shared" ca="1" si="564"/>
        <v>2.146574049816689E-2</v>
      </c>
      <c r="I601" s="2">
        <f t="shared" ca="1" si="565"/>
        <v>0.95824242003041971</v>
      </c>
      <c r="J601" s="2">
        <f t="shared" ca="1" si="566"/>
        <v>1.865322333252763E-2</v>
      </c>
      <c r="K601" s="2">
        <f t="shared" ca="1" si="567"/>
        <v>1.865322333252763E-2</v>
      </c>
      <c r="L601" s="2">
        <f t="shared" ca="1" si="568"/>
        <v>0.31674644392663531</v>
      </c>
      <c r="M601" s="2">
        <f t="shared" ca="1" si="569"/>
        <v>-9.5363273988640258E-3</v>
      </c>
      <c r="N601" s="2">
        <f t="shared" ca="1" si="570"/>
        <v>-9.5363273988640258E-3</v>
      </c>
      <c r="O601" s="2">
        <f t="shared" si="571"/>
        <v>6000000</v>
      </c>
      <c r="P601" s="2">
        <f t="shared" ca="1" si="572"/>
        <v>42992822.275153317</v>
      </c>
      <c r="Q601" s="2">
        <f t="shared" ca="1" si="573"/>
        <v>1074820.5568788329</v>
      </c>
      <c r="R601" s="2">
        <f t="shared" ca="1" si="574"/>
        <v>25795693.365091991</v>
      </c>
      <c r="S601" s="2">
        <f t="shared" ca="1" si="575"/>
        <v>17197128.910061326</v>
      </c>
      <c r="T601" s="2">
        <f t="shared" ca="1" si="576"/>
        <v>49523183.630056798</v>
      </c>
      <c r="U601" s="2">
        <f t="shared" ca="1" si="577"/>
        <v>50586235.438502662</v>
      </c>
      <c r="V601" s="2">
        <f t="shared" ca="1" si="578"/>
        <v>51672106.441204734</v>
      </c>
      <c r="W601" s="2">
        <f t="shared" ca="1" si="579"/>
        <v>52781286.469065294</v>
      </c>
      <c r="X601" s="2">
        <f t="shared" ca="1" si="580"/>
        <v>53914275.867569655</v>
      </c>
      <c r="Y601" s="2">
        <f t="shared" ca="1" si="581"/>
        <v>0.1293266116662638</v>
      </c>
      <c r="Z601" s="2">
        <f t="shared" ca="1" si="582"/>
        <v>0.13305725633276932</v>
      </c>
      <c r="AA601" s="2">
        <f t="shared" ca="1" si="583"/>
        <v>6404665.5378014278</v>
      </c>
      <c r="AB601" s="2">
        <f t="shared" ca="1" si="584"/>
        <v>6730865.6956506679</v>
      </c>
      <c r="AC601" s="2">
        <f t="shared" ca="1" si="585"/>
        <v>6875348.7120015193</v>
      </c>
      <c r="AD601" s="2">
        <f t="shared" ca="1" si="586"/>
        <v>7022933.1632877495</v>
      </c>
      <c r="AE601" s="2">
        <f t="shared" ca="1" si="587"/>
        <v>7173685.6241068551</v>
      </c>
      <c r="AF601" s="2">
        <f t="shared" ca="1" si="588"/>
        <v>990463.67260113603</v>
      </c>
      <c r="AG601" s="2">
        <f t="shared" ca="1" si="589"/>
        <v>1011724.7087700532</v>
      </c>
      <c r="AH601" s="2">
        <f t="shared" ca="1" si="590"/>
        <v>1033442.1288240947</v>
      </c>
      <c r="AI601" s="2">
        <f t="shared" ca="1" si="591"/>
        <v>1055625.7293813059</v>
      </c>
      <c r="AJ601" s="2">
        <f t="shared" ca="1" si="592"/>
        <v>1078285.5173513931</v>
      </c>
      <c r="AK601" s="2">
        <f t="shared" ca="1" si="593"/>
        <v>0</v>
      </c>
      <c r="AL601" s="2">
        <f t="shared" ca="1" si="594"/>
        <v>10630.518084458634</v>
      </c>
      <c r="AM601" s="2">
        <f t="shared" ca="1" si="595"/>
        <v>10858.710027020723</v>
      </c>
      <c r="AN601" s="2">
        <f t="shared" ca="1" si="596"/>
        <v>11091.800278605595</v>
      </c>
      <c r="AO601" s="2">
        <f t="shared" ca="1" si="597"/>
        <v>11329.893985043615</v>
      </c>
      <c r="AP601" s="2">
        <f t="shared" ca="1" si="598"/>
        <v>2321612.4028582792</v>
      </c>
      <c r="AQ601" s="2">
        <f t="shared" ca="1" si="599"/>
        <v>804073.26020892325</v>
      </c>
      <c r="AR601" s="2">
        <f t="shared" ca="1" si="600"/>
        <v>883357.43184580724</v>
      </c>
      <c r="AS601" s="2">
        <f t="shared" ca="1" si="601"/>
        <v>915276.48688297789</v>
      </c>
      <c r="AT601" s="2">
        <f t="shared" ca="1" si="602"/>
        <v>947880.70807252277</v>
      </c>
      <c r="AU601" s="2">
        <f t="shared" ca="1" si="603"/>
        <v>981184.80301326746</v>
      </c>
      <c r="AV601" s="2">
        <f t="shared" ca="1" si="604"/>
        <v>2288516.2021330888</v>
      </c>
      <c r="AW601" s="2">
        <f t="shared" ca="1" si="605"/>
        <v>2503540.6340920688</v>
      </c>
      <c r="AX601" s="2">
        <f t="shared" ca="1" si="606"/>
        <v>2594158.9834091472</v>
      </c>
      <c r="AY601" s="2">
        <f t="shared" ca="1" si="607"/>
        <v>2686722.5226970357</v>
      </c>
      <c r="AZ601" s="2">
        <f t="shared" ca="1" si="608"/>
        <v>2781273.0068988712</v>
      </c>
      <c r="BA601" s="2">
        <f t="shared" ca="1" si="609"/>
        <v>50817366.450615279</v>
      </c>
      <c r="BB601" s="2">
        <f t="shared" ca="1" si="610"/>
        <v>1016347.3290123056</v>
      </c>
      <c r="BC601" s="2">
        <f t="shared" ca="1" si="611"/>
        <v>24005325.756510984</v>
      </c>
      <c r="BD601" s="2">
        <f t="shared" ca="1" si="612"/>
        <v>-18771949.466940157</v>
      </c>
      <c r="BE601" s="2">
        <f t="shared" ca="1" si="613"/>
        <v>2288516.2021330888</v>
      </c>
      <c r="BF601" s="2">
        <f t="shared" ca="1" si="614"/>
        <v>2503540.6340920688</v>
      </c>
      <c r="BG601" s="2">
        <f t="shared" ca="1" si="615"/>
        <v>2594158.9834091472</v>
      </c>
      <c r="BH601" s="2">
        <f t="shared" ca="1" si="616"/>
        <v>2686722.5226970357</v>
      </c>
      <c r="BI601" s="2">
        <f t="shared" ca="1" si="617"/>
        <v>26786598.763409857</v>
      </c>
      <c r="BJ601" s="2">
        <f t="shared" ca="1" si="618"/>
        <v>0.17434429252792238</v>
      </c>
      <c r="BK601" s="2">
        <f t="shared" ca="1" si="619"/>
        <v>4020543.2070041895</v>
      </c>
    </row>
    <row r="602" spans="1:63" x14ac:dyDescent="0.3">
      <c r="A602" s="2">
        <v>601</v>
      </c>
      <c r="B602" s="2">
        <f t="shared" ca="1" si="558"/>
        <v>0.21778905492036005</v>
      </c>
      <c r="C602" s="2">
        <f t="shared" ca="1" si="559"/>
        <v>6.6599834163376528</v>
      </c>
      <c r="D602" s="2">
        <f t="shared" ca="1" si="560"/>
        <v>0.40159692811663783</v>
      </c>
      <c r="E602" s="2">
        <f t="shared" ca="1" si="561"/>
        <v>7.3962108324681619</v>
      </c>
      <c r="F602" s="2">
        <f t="shared" ca="1" si="562"/>
        <v>0.15483216237525044</v>
      </c>
      <c r="G602" s="2">
        <f t="shared" ca="1" si="563"/>
        <v>9.5222009850402453E-3</v>
      </c>
      <c r="H602" s="2">
        <f t="shared" ca="1" si="564"/>
        <v>9.5222009850402453E-3</v>
      </c>
      <c r="I602" s="2">
        <f t="shared" ca="1" si="565"/>
        <v>0.98527162943815394</v>
      </c>
      <c r="J602" s="2">
        <f t="shared" ca="1" si="566"/>
        <v>2.0886597239641976E-2</v>
      </c>
      <c r="K602" s="2">
        <f t="shared" ca="1" si="567"/>
        <v>2.0886597239641976E-2</v>
      </c>
      <c r="L602" s="2">
        <f t="shared" ca="1" si="568"/>
        <v>0.66965188571361811</v>
      </c>
      <c r="M602" s="2">
        <f t="shared" ca="1" si="569"/>
        <v>8.7790424386558884E-3</v>
      </c>
      <c r="N602" s="2">
        <f t="shared" ca="1" si="570"/>
        <v>8.7790424386558884E-3</v>
      </c>
      <c r="O602" s="2">
        <f t="shared" si="571"/>
        <v>6000000</v>
      </c>
      <c r="P602" s="2">
        <f t="shared" ca="1" si="572"/>
        <v>39959900.498025917</v>
      </c>
      <c r="Q602" s="2">
        <f t="shared" ca="1" si="573"/>
        <v>998997.51245064801</v>
      </c>
      <c r="R602" s="2">
        <f t="shared" ca="1" si="574"/>
        <v>23975940.298815548</v>
      </c>
      <c r="S602" s="2">
        <f t="shared" ca="1" si="575"/>
        <v>15983960.199210368</v>
      </c>
      <c r="T602" s="2">
        <f t="shared" ca="1" si="576"/>
        <v>50438952.12193279</v>
      </c>
      <c r="U602" s="2">
        <f t="shared" ca="1" si="577"/>
        <v>50919241.961512655</v>
      </c>
      <c r="V602" s="2">
        <f t="shared" ca="1" si="578"/>
        <v>51404105.21747607</v>
      </c>
      <c r="W602" s="2">
        <f t="shared" ca="1" si="579"/>
        <v>51893585.438813031</v>
      </c>
      <c r="X602" s="2">
        <f t="shared" ca="1" si="580"/>
        <v>52387726.589195766</v>
      </c>
      <c r="Y602" s="2">
        <f t="shared" ca="1" si="581"/>
        <v>0.13044329861982099</v>
      </c>
      <c r="Z602" s="2">
        <f t="shared" ca="1" si="582"/>
        <v>0.13462061806774939</v>
      </c>
      <c r="AA602" s="2">
        <f t="shared" ca="1" si="583"/>
        <v>6579423.2937121326</v>
      </c>
      <c r="AB602" s="2">
        <f t="shared" ca="1" si="584"/>
        <v>6854779.824400113</v>
      </c>
      <c r="AC602" s="2">
        <f t="shared" ca="1" si="585"/>
        <v>6920052.4155962495</v>
      </c>
      <c r="AD602" s="2">
        <f t="shared" ca="1" si="586"/>
        <v>6985946.5455245702</v>
      </c>
      <c r="AE602" s="2">
        <f t="shared" ca="1" si="587"/>
        <v>7052468.1326018022</v>
      </c>
      <c r="AF602" s="2">
        <f t="shared" ca="1" si="588"/>
        <v>1008779.0424386559</v>
      </c>
      <c r="AG602" s="2">
        <f t="shared" ca="1" si="589"/>
        <v>1018384.8392302531</v>
      </c>
      <c r="AH602" s="2">
        <f t="shared" ca="1" si="590"/>
        <v>1028082.1043495215</v>
      </c>
      <c r="AI602" s="2">
        <f t="shared" ca="1" si="591"/>
        <v>1037871.7087762606</v>
      </c>
      <c r="AJ602" s="2">
        <f t="shared" ca="1" si="592"/>
        <v>1047754.5317839154</v>
      </c>
      <c r="AK602" s="2">
        <f t="shared" ca="1" si="593"/>
        <v>0</v>
      </c>
      <c r="AL602" s="2">
        <f t="shared" ca="1" si="594"/>
        <v>4802.8983957986538</v>
      </c>
      <c r="AM602" s="2">
        <f t="shared" ca="1" si="595"/>
        <v>4848.6325596341494</v>
      </c>
      <c r="AN602" s="2">
        <f t="shared" ca="1" si="596"/>
        <v>4894.8022133696077</v>
      </c>
      <c r="AO602" s="2">
        <f t="shared" ca="1" si="597"/>
        <v>4941.4115038273485</v>
      </c>
      <c r="AP602" s="2">
        <f t="shared" ca="1" si="598"/>
        <v>2157834.6268933993</v>
      </c>
      <c r="AQ602" s="2">
        <f t="shared" ca="1" si="599"/>
        <v>887330.50233882014</v>
      </c>
      <c r="AR602" s="2">
        <f t="shared" ca="1" si="600"/>
        <v>956425.69315187971</v>
      </c>
      <c r="AS602" s="2">
        <f t="shared" ca="1" si="601"/>
        <v>970875.27793186565</v>
      </c>
      <c r="AT602" s="2">
        <f t="shared" ca="1" si="602"/>
        <v>985462.45456227672</v>
      </c>
      <c r="AU602" s="2">
        <f t="shared" ca="1" si="603"/>
        <v>1000188.5332203669</v>
      </c>
      <c r="AV602" s="2">
        <f t="shared" ca="1" si="604"/>
        <v>2525479.1220412571</v>
      </c>
      <c r="AW602" s="2">
        <f t="shared" ca="1" si="605"/>
        <v>2717331.7667287812</v>
      </c>
      <c r="AX602" s="2">
        <f t="shared" ca="1" si="606"/>
        <v>2758411.7738618301</v>
      </c>
      <c r="AY602" s="2">
        <f t="shared" ca="1" si="607"/>
        <v>2799882.9530792637</v>
      </c>
      <c r="AZ602" s="2">
        <f t="shared" ca="1" si="608"/>
        <v>2841749.0292002941</v>
      </c>
      <c r="BA602" s="2">
        <f t="shared" ca="1" si="609"/>
        <v>52161541.197985962</v>
      </c>
      <c r="BB602" s="2">
        <f t="shared" ca="1" si="610"/>
        <v>1043230.8239597193</v>
      </c>
      <c r="BC602" s="2">
        <f t="shared" ca="1" si="611"/>
        <v>27142370.075210694</v>
      </c>
      <c r="BD602" s="2">
        <f t="shared" ca="1" si="612"/>
        <v>-17482957.711661015</v>
      </c>
      <c r="BE602" s="2">
        <f t="shared" ca="1" si="613"/>
        <v>2525479.1220412571</v>
      </c>
      <c r="BF602" s="2">
        <f t="shared" ca="1" si="614"/>
        <v>2717331.7667287812</v>
      </c>
      <c r="BG602" s="2">
        <f t="shared" ca="1" si="615"/>
        <v>2758411.7738618301</v>
      </c>
      <c r="BH602" s="2">
        <f t="shared" ca="1" si="616"/>
        <v>2799882.9530792637</v>
      </c>
      <c r="BI602" s="2">
        <f t="shared" ca="1" si="617"/>
        <v>29984119.104410987</v>
      </c>
      <c r="BJ602" s="2">
        <f t="shared" ca="1" si="618"/>
        <v>0.22505107021584503</v>
      </c>
      <c r="BK602" s="2">
        <f t="shared" ca="1" si="619"/>
        <v>7694728.2842792757</v>
      </c>
    </row>
    <row r="603" spans="1:63" x14ac:dyDescent="0.3">
      <c r="A603" s="2">
        <v>602</v>
      </c>
      <c r="B603" s="2">
        <f t="shared" ca="1" si="558"/>
        <v>0.29257908105226882</v>
      </c>
      <c r="C603" s="2">
        <f t="shared" ca="1" si="559"/>
        <v>6.7649563138536326</v>
      </c>
      <c r="D603" s="2">
        <f t="shared" ca="1" si="560"/>
        <v>0.57561259099134465</v>
      </c>
      <c r="E603" s="2">
        <f t="shared" ca="1" si="561"/>
        <v>7.5787102420968147</v>
      </c>
      <c r="F603" s="2">
        <f t="shared" ca="1" si="562"/>
        <v>0.43454675387140362</v>
      </c>
      <c r="G603" s="2">
        <f t="shared" ca="1" si="563"/>
        <v>3.5055699044243716E-2</v>
      </c>
      <c r="H603" s="2">
        <f t="shared" ca="1" si="564"/>
        <v>3.5055699044243716E-2</v>
      </c>
      <c r="I603" s="2">
        <f t="shared" ca="1" si="565"/>
        <v>0.94249400394617866</v>
      </c>
      <c r="J603" s="2">
        <f t="shared" ca="1" si="566"/>
        <v>1.7880299656688543E-2</v>
      </c>
      <c r="K603" s="2">
        <f t="shared" ca="1" si="567"/>
        <v>1.7880299656688543E-2</v>
      </c>
      <c r="L603" s="2">
        <f t="shared" ca="1" si="568"/>
        <v>0.55107852941084412</v>
      </c>
      <c r="M603" s="2">
        <f t="shared" ca="1" si="569"/>
        <v>2.5677343724245824E-3</v>
      </c>
      <c r="N603" s="2">
        <f t="shared" ca="1" si="570"/>
        <v>2.5677343724245824E-3</v>
      </c>
      <c r="O603" s="2">
        <f t="shared" si="571"/>
        <v>6000000</v>
      </c>
      <c r="P603" s="2">
        <f t="shared" ca="1" si="572"/>
        <v>40589737.883121796</v>
      </c>
      <c r="Q603" s="2">
        <f t="shared" ca="1" si="573"/>
        <v>1014743.447078045</v>
      </c>
      <c r="R603" s="2">
        <f t="shared" ca="1" si="574"/>
        <v>24353842.729873076</v>
      </c>
      <c r="S603" s="2">
        <f t="shared" ca="1" si="575"/>
        <v>16235895.15324872</v>
      </c>
      <c r="T603" s="2">
        <f t="shared" ca="1" si="576"/>
        <v>50128386.718621232</v>
      </c>
      <c r="U603" s="2">
        <f t="shared" ca="1" si="577"/>
        <v>51885672.357002676</v>
      </c>
      <c r="V603" s="2">
        <f t="shared" ca="1" si="578"/>
        <v>53704560.871857993</v>
      </c>
      <c r="W603" s="2">
        <f t="shared" ca="1" si="579"/>
        <v>55587211.79508511</v>
      </c>
      <c r="X603" s="2">
        <f t="shared" ca="1" si="580"/>
        <v>57535860.362482242</v>
      </c>
      <c r="Y603" s="2">
        <f t="shared" ca="1" si="581"/>
        <v>0.12894014982834426</v>
      </c>
      <c r="Z603" s="2">
        <f t="shared" ca="1" si="582"/>
        <v>0.13251620975968198</v>
      </c>
      <c r="AA603" s="2">
        <f t="shared" ca="1" si="583"/>
        <v>6463561.6941522043</v>
      </c>
      <c r="AB603" s="2">
        <f t="shared" ca="1" si="584"/>
        <v>6875692.6415826995</v>
      </c>
      <c r="AC603" s="2">
        <f t="shared" ca="1" si="585"/>
        <v>7116724.8535467433</v>
      </c>
      <c r="AD603" s="2">
        <f t="shared" ca="1" si="586"/>
        <v>7366206.6181933666</v>
      </c>
      <c r="AE603" s="2">
        <f t="shared" ca="1" si="587"/>
        <v>7624434.1404984687</v>
      </c>
      <c r="AF603" s="2">
        <f t="shared" ca="1" si="588"/>
        <v>1002567.7343724247</v>
      </c>
      <c r="AG603" s="2">
        <f t="shared" ca="1" si="589"/>
        <v>1037713.4471400535</v>
      </c>
      <c r="AH603" s="2">
        <f t="shared" ca="1" si="590"/>
        <v>1074091.21743716</v>
      </c>
      <c r="AI603" s="2">
        <f t="shared" ca="1" si="591"/>
        <v>1111744.2359017022</v>
      </c>
      <c r="AJ603" s="2">
        <f t="shared" ca="1" si="592"/>
        <v>1150717.2072496449</v>
      </c>
      <c r="AK603" s="2">
        <f t="shared" ca="1" si="593"/>
        <v>0</v>
      </c>
      <c r="AL603" s="2">
        <f t="shared" ca="1" si="594"/>
        <v>17572.85638381444</v>
      </c>
      <c r="AM603" s="2">
        <f t="shared" ca="1" si="595"/>
        <v>18188.885148553178</v>
      </c>
      <c r="AN603" s="2">
        <f t="shared" ca="1" si="596"/>
        <v>18826.509232271164</v>
      </c>
      <c r="AO603" s="2">
        <f t="shared" ca="1" si="597"/>
        <v>19486.485673971325</v>
      </c>
      <c r="AP603" s="2">
        <f t="shared" ca="1" si="598"/>
        <v>2191845.8456885768</v>
      </c>
      <c r="AQ603" s="2">
        <f t="shared" ca="1" si="599"/>
        <v>849978.5096637127</v>
      </c>
      <c r="AR603" s="2">
        <f t="shared" ca="1" si="600"/>
        <v>947994.67067605793</v>
      </c>
      <c r="AS603" s="2">
        <f t="shared" ca="1" si="601"/>
        <v>1001204.8255094617</v>
      </c>
      <c r="AT603" s="2">
        <f t="shared" ca="1" si="602"/>
        <v>1056280.2995168029</v>
      </c>
      <c r="AU603" s="2">
        <f t="shared" ca="1" si="603"/>
        <v>1113286.4827656641</v>
      </c>
      <c r="AV603" s="2">
        <f t="shared" ca="1" si="604"/>
        <v>2419169.6044274895</v>
      </c>
      <c r="AW603" s="2">
        <f t="shared" ca="1" si="605"/>
        <v>2680565.8216941962</v>
      </c>
      <c r="AX603" s="2">
        <f t="shared" ca="1" si="606"/>
        <v>2831394.0797629915</v>
      </c>
      <c r="AY603" s="2">
        <f t="shared" ca="1" si="607"/>
        <v>2987509.7278540134</v>
      </c>
      <c r="AZ603" s="2">
        <f t="shared" ca="1" si="608"/>
        <v>3149098.1191206109</v>
      </c>
      <c r="BA603" s="2">
        <f t="shared" ca="1" si="609"/>
        <v>57783377.110788368</v>
      </c>
      <c r="BB603" s="2">
        <f t="shared" ca="1" si="610"/>
        <v>1155667.5422157673</v>
      </c>
      <c r="BC603" s="2">
        <f t="shared" ca="1" si="611"/>
        <v>32273866.838699523</v>
      </c>
      <c r="BD603" s="2">
        <f t="shared" ca="1" si="612"/>
        <v>-17750638.600326765</v>
      </c>
      <c r="BE603" s="2">
        <f t="shared" ca="1" si="613"/>
        <v>2419169.6044274895</v>
      </c>
      <c r="BF603" s="2">
        <f t="shared" ca="1" si="614"/>
        <v>2680565.8216941962</v>
      </c>
      <c r="BG603" s="2">
        <f t="shared" ca="1" si="615"/>
        <v>2831394.0797629915</v>
      </c>
      <c r="BH603" s="2">
        <f t="shared" ca="1" si="616"/>
        <v>2987509.7278540134</v>
      </c>
      <c r="BI603" s="2">
        <f t="shared" ca="1" si="617"/>
        <v>35422964.957820132</v>
      </c>
      <c r="BJ603" s="2">
        <f t="shared" ca="1" si="618"/>
        <v>0.25313638195612098</v>
      </c>
      <c r="BK603" s="2">
        <f t="shared" ca="1" si="619"/>
        <v>10560153.369654983</v>
      </c>
    </row>
    <row r="604" spans="1:63" x14ac:dyDescent="0.3">
      <c r="A604" s="2">
        <v>603</v>
      </c>
      <c r="B604" s="2">
        <f t="shared" ca="1" si="558"/>
        <v>0.42881430894936845</v>
      </c>
      <c r="C604" s="2">
        <f t="shared" ca="1" si="559"/>
        <v>6.926082403406272</v>
      </c>
      <c r="D604" s="2">
        <f t="shared" ca="1" si="560"/>
        <v>0.4101576803108673</v>
      </c>
      <c r="E604" s="2">
        <f t="shared" ca="1" si="561"/>
        <v>7.4057126258486932</v>
      </c>
      <c r="F604" s="2">
        <f t="shared" ca="1" si="562"/>
        <v>0.24293744786876548</v>
      </c>
      <c r="G604" s="2">
        <f t="shared" ca="1" si="563"/>
        <v>1.9093456230681555E-2</v>
      </c>
      <c r="H604" s="2">
        <f t="shared" ca="1" si="564"/>
        <v>1.9093456230681555E-2</v>
      </c>
      <c r="I604" s="2">
        <f t="shared" ca="1" si="565"/>
        <v>0.4882434526723507</v>
      </c>
      <c r="J604" s="2">
        <f t="shared" ca="1" si="566"/>
        <v>9.8526321968870761E-3</v>
      </c>
      <c r="K604" s="2">
        <f t="shared" ca="1" si="567"/>
        <v>9.8526321968870761E-3</v>
      </c>
      <c r="L604" s="2">
        <f t="shared" ca="1" si="568"/>
        <v>0.76793110321442848</v>
      </c>
      <c r="M604" s="2">
        <f t="shared" ca="1" si="569"/>
        <v>1.4641008410733248E-2</v>
      </c>
      <c r="N604" s="2">
        <f t="shared" ca="1" si="570"/>
        <v>1.4641008410733248E-2</v>
      </c>
      <c r="O604" s="2">
        <f t="shared" si="571"/>
        <v>6000000</v>
      </c>
      <c r="P604" s="2">
        <f t="shared" ca="1" si="572"/>
        <v>41556494.420437634</v>
      </c>
      <c r="Q604" s="2">
        <f t="shared" ca="1" si="573"/>
        <v>1038912.3605109409</v>
      </c>
      <c r="R604" s="2">
        <f t="shared" ca="1" si="574"/>
        <v>24933896.65226258</v>
      </c>
      <c r="S604" s="2">
        <f t="shared" ca="1" si="575"/>
        <v>16622597.768175054</v>
      </c>
      <c r="T604" s="2">
        <f t="shared" ca="1" si="576"/>
        <v>50732050.420536667</v>
      </c>
      <c r="U604" s="2">
        <f t="shared" ca="1" si="577"/>
        <v>51700700.604733907</v>
      </c>
      <c r="V604" s="2">
        <f t="shared" ca="1" si="578"/>
        <v>52687845.668825962</v>
      </c>
      <c r="W604" s="2">
        <f t="shared" ca="1" si="579"/>
        <v>53693838.743992589</v>
      </c>
      <c r="X604" s="2">
        <f t="shared" ca="1" si="580"/>
        <v>54719039.70390828</v>
      </c>
      <c r="Y604" s="2">
        <f t="shared" ca="1" si="581"/>
        <v>0.12492631609844354</v>
      </c>
      <c r="Z604" s="2">
        <f t="shared" ca="1" si="582"/>
        <v>0.12689684253782094</v>
      </c>
      <c r="AA604" s="2">
        <f t="shared" ca="1" si="583"/>
        <v>6337768.1671581389</v>
      </c>
      <c r="AB604" s="2">
        <f t="shared" ca="1" si="584"/>
        <v>6560655.6637339424</v>
      </c>
      <c r="AC604" s="2">
        <f t="shared" ca="1" si="585"/>
        <v>6685921.255494019</v>
      </c>
      <c r="AD604" s="2">
        <f t="shared" ca="1" si="586"/>
        <v>6813578.6003475767</v>
      </c>
      <c r="AE604" s="2">
        <f t="shared" ca="1" si="587"/>
        <v>6943673.3651276212</v>
      </c>
      <c r="AF604" s="2">
        <f t="shared" ca="1" si="588"/>
        <v>1014641.0084107333</v>
      </c>
      <c r="AG604" s="2">
        <f t="shared" ca="1" si="589"/>
        <v>1034014.0120946781</v>
      </c>
      <c r="AH604" s="2">
        <f t="shared" ca="1" si="590"/>
        <v>1053756.9133765192</v>
      </c>
      <c r="AI604" s="2">
        <f t="shared" ca="1" si="591"/>
        <v>1073876.7748798518</v>
      </c>
      <c r="AJ604" s="2">
        <f t="shared" ca="1" si="592"/>
        <v>1094380.7940781657</v>
      </c>
      <c r="AK604" s="2">
        <f t="shared" ca="1" si="593"/>
        <v>0</v>
      </c>
      <c r="AL604" s="2">
        <f t="shared" ca="1" si="594"/>
        <v>9686.5018419723965</v>
      </c>
      <c r="AM604" s="2">
        <f t="shared" ca="1" si="595"/>
        <v>9871.4506409205496</v>
      </c>
      <c r="AN604" s="2">
        <f t="shared" ca="1" si="596"/>
        <v>10059.930751666278</v>
      </c>
      <c r="AO604" s="2">
        <f t="shared" ca="1" si="597"/>
        <v>10252.009599156901</v>
      </c>
      <c r="AP604" s="2">
        <f t="shared" ca="1" si="598"/>
        <v>2244050.6987036322</v>
      </c>
      <c r="AQ604" s="2">
        <f t="shared" ca="1" si="599"/>
        <v>800559.8796113811</v>
      </c>
      <c r="AR604" s="2">
        <f t="shared" ca="1" si="600"/>
        <v>853473.64776326437</v>
      </c>
      <c r="AS604" s="2">
        <f t="shared" ca="1" si="601"/>
        <v>880909.54728760559</v>
      </c>
      <c r="AT604" s="2">
        <f t="shared" ca="1" si="602"/>
        <v>908869.29295866401</v>
      </c>
      <c r="AU604" s="2">
        <f t="shared" ca="1" si="603"/>
        <v>937362.88680991414</v>
      </c>
      <c r="AV604" s="2">
        <f t="shared" ca="1" si="604"/>
        <v>2278516.5804323922</v>
      </c>
      <c r="AW604" s="2">
        <f t="shared" ca="1" si="605"/>
        <v>2419430.8033303949</v>
      </c>
      <c r="AX604" s="2">
        <f t="shared" ca="1" si="606"/>
        <v>2497332.6454853411</v>
      </c>
      <c r="AY604" s="2">
        <f t="shared" ca="1" si="607"/>
        <v>2576721.9030537619</v>
      </c>
      <c r="AZ604" s="2">
        <f t="shared" ca="1" si="608"/>
        <v>2657626.9759367523</v>
      </c>
      <c r="BA604" s="2">
        <f t="shared" ca="1" si="609"/>
        <v>51422849.509894907</v>
      </c>
      <c r="BB604" s="2">
        <f t="shared" ca="1" si="610"/>
        <v>1028456.9901978981</v>
      </c>
      <c r="BC604" s="2">
        <f t="shared" ca="1" si="611"/>
        <v>25460495.867434431</v>
      </c>
      <c r="BD604" s="2">
        <f t="shared" ca="1" si="612"/>
        <v>-18161510.128685996</v>
      </c>
      <c r="BE604" s="2">
        <f t="shared" ca="1" si="613"/>
        <v>2278516.5804323922</v>
      </c>
      <c r="BF604" s="2">
        <f t="shared" ca="1" si="614"/>
        <v>2419430.8033303949</v>
      </c>
      <c r="BG604" s="2">
        <f t="shared" ca="1" si="615"/>
        <v>2497332.6454853411</v>
      </c>
      <c r="BH604" s="2">
        <f t="shared" ca="1" si="616"/>
        <v>2576721.9030537619</v>
      </c>
      <c r="BI604" s="2">
        <f t="shared" ca="1" si="617"/>
        <v>28118122.843371183</v>
      </c>
      <c r="BJ604" s="2">
        <f t="shared" ca="1" si="618"/>
        <v>0.19018536441235812</v>
      </c>
      <c r="BK604" s="2">
        <f t="shared" ca="1" si="619"/>
        <v>5171718.5342567042</v>
      </c>
    </row>
    <row r="605" spans="1:63" x14ac:dyDescent="0.3">
      <c r="A605" s="2">
        <v>604</v>
      </c>
      <c r="B605" s="2">
        <f t="shared" ca="1" si="558"/>
        <v>0.44019843086941146</v>
      </c>
      <c r="C605" s="2">
        <f t="shared" ca="1" si="559"/>
        <v>6.9382946561389032</v>
      </c>
      <c r="D605" s="2">
        <f t="shared" ca="1" si="560"/>
        <v>0.59945019386968534</v>
      </c>
      <c r="E605" s="2">
        <f t="shared" ca="1" si="561"/>
        <v>7.604958318143435</v>
      </c>
      <c r="F605" s="2">
        <f t="shared" ca="1" si="562"/>
        <v>0.25645767075205583</v>
      </c>
      <c r="G605" s="2">
        <f t="shared" ca="1" si="563"/>
        <v>2.0370850758628063E-2</v>
      </c>
      <c r="H605" s="2">
        <f t="shared" ca="1" si="564"/>
        <v>2.0370850758628063E-2</v>
      </c>
      <c r="I605" s="2">
        <f t="shared" ca="1" si="565"/>
        <v>0.88749351512281138</v>
      </c>
      <c r="J605" s="2">
        <f t="shared" ca="1" si="566"/>
        <v>1.6066528430585109E-2</v>
      </c>
      <c r="K605" s="2">
        <f t="shared" ca="1" si="567"/>
        <v>1.6066528430585109E-2</v>
      </c>
      <c r="L605" s="2">
        <f t="shared" ca="1" si="568"/>
        <v>0.70754918371575759</v>
      </c>
      <c r="M605" s="2">
        <f t="shared" ca="1" si="569"/>
        <v>1.0924780828618641E-2</v>
      </c>
      <c r="N605" s="2">
        <f t="shared" ca="1" si="570"/>
        <v>1.0924780828618641E-2</v>
      </c>
      <c r="O605" s="2">
        <f t="shared" si="571"/>
        <v>6000000</v>
      </c>
      <c r="P605" s="2">
        <f t="shared" ca="1" si="572"/>
        <v>41629767.936833419</v>
      </c>
      <c r="Q605" s="2">
        <f t="shared" ca="1" si="573"/>
        <v>1040744.1984208355</v>
      </c>
      <c r="R605" s="2">
        <f t="shared" ca="1" si="574"/>
        <v>24977860.762100052</v>
      </c>
      <c r="S605" s="2">
        <f t="shared" ca="1" si="575"/>
        <v>16651907.174733369</v>
      </c>
      <c r="T605" s="2">
        <f t="shared" ca="1" si="576"/>
        <v>50546239.041430928</v>
      </c>
      <c r="U605" s="2">
        <f t="shared" ca="1" si="577"/>
        <v>51575908.933353856</v>
      </c>
      <c r="V605" s="2">
        <f t="shared" ca="1" si="578"/>
        <v>52626554.076975793</v>
      </c>
      <c r="W605" s="2">
        <f t="shared" ca="1" si="579"/>
        <v>53698601.756018735</v>
      </c>
      <c r="X605" s="2">
        <f t="shared" ca="1" si="580"/>
        <v>54792487.95833759</v>
      </c>
      <c r="Y605" s="2">
        <f t="shared" ca="1" si="581"/>
        <v>0.12803326421529254</v>
      </c>
      <c r="Z605" s="2">
        <f t="shared" ca="1" si="582"/>
        <v>0.13124656990140957</v>
      </c>
      <c r="AA605" s="2">
        <f t="shared" ca="1" si="583"/>
        <v>6471599.9782808609</v>
      </c>
      <c r="AB605" s="2">
        <f t="shared" ca="1" si="584"/>
        <v>6769161.1370501611</v>
      </c>
      <c r="AC605" s="2">
        <f t="shared" ca="1" si="585"/>
        <v>6907054.7083341135</v>
      </c>
      <c r="AD605" s="2">
        <f t="shared" ca="1" si="586"/>
        <v>7047757.2889792677</v>
      </c>
      <c r="AE605" s="2">
        <f t="shared" ca="1" si="587"/>
        <v>7191326.1008960968</v>
      </c>
      <c r="AF605" s="2">
        <f t="shared" ca="1" si="588"/>
        <v>1010924.7808286186</v>
      </c>
      <c r="AG605" s="2">
        <f t="shared" ca="1" si="589"/>
        <v>1031518.1786670771</v>
      </c>
      <c r="AH605" s="2">
        <f t="shared" ca="1" si="590"/>
        <v>1052531.0815395159</v>
      </c>
      <c r="AI605" s="2">
        <f t="shared" ca="1" si="591"/>
        <v>1073972.0351203748</v>
      </c>
      <c r="AJ605" s="2">
        <f t="shared" ca="1" si="592"/>
        <v>1095849.7591667518</v>
      </c>
      <c r="AK605" s="2">
        <f t="shared" ca="1" si="593"/>
        <v>0</v>
      </c>
      <c r="AL605" s="2">
        <f t="shared" ca="1" si="594"/>
        <v>10296.698919229284</v>
      </c>
      <c r="AM605" s="2">
        <f t="shared" ca="1" si="595"/>
        <v>10506.451436219364</v>
      </c>
      <c r="AN605" s="2">
        <f t="shared" ca="1" si="596"/>
        <v>10720.476790429428</v>
      </c>
      <c r="AO605" s="2">
        <f t="shared" ca="1" si="597"/>
        <v>10938.862023188547</v>
      </c>
      <c r="AP605" s="2">
        <f t="shared" ca="1" si="598"/>
        <v>2248007.4685890046</v>
      </c>
      <c r="AQ605" s="2">
        <f t="shared" ca="1" si="599"/>
        <v>835293.60950444185</v>
      </c>
      <c r="AR605" s="2">
        <f t="shared" ca="1" si="600"/>
        <v>907305.2273464608</v>
      </c>
      <c r="AS605" s="2">
        <f t="shared" ca="1" si="601"/>
        <v>937694.2011334541</v>
      </c>
      <c r="AT605" s="2">
        <f t="shared" ca="1" si="602"/>
        <v>968702.22417017107</v>
      </c>
      <c r="AU605" s="2">
        <f t="shared" ca="1" si="603"/>
        <v>1000341.9070164885</v>
      </c>
      <c r="AV605" s="2">
        <f t="shared" ca="1" si="604"/>
        <v>2377374.1193587962</v>
      </c>
      <c r="AW605" s="2">
        <f t="shared" ca="1" si="605"/>
        <v>2572033.5635283901</v>
      </c>
      <c r="AX605" s="2">
        <f t="shared" ca="1" si="606"/>
        <v>2658315.5056359186</v>
      </c>
      <c r="AY605" s="2">
        <f t="shared" ca="1" si="607"/>
        <v>2746355.0843092888</v>
      </c>
      <c r="AZ605" s="2">
        <f t="shared" ca="1" si="608"/>
        <v>2836188.1041006627</v>
      </c>
      <c r="BA605" s="2">
        <f t="shared" ca="1" si="609"/>
        <v>54689735.249491766</v>
      </c>
      <c r="BB605" s="2">
        <f t="shared" ca="1" si="610"/>
        <v>1093794.7049898354</v>
      </c>
      <c r="BC605" s="2">
        <f t="shared" ca="1" si="611"/>
        <v>28618079.782401878</v>
      </c>
      <c r="BD605" s="2">
        <f t="shared" ca="1" si="612"/>
        <v>-18192651.373154204</v>
      </c>
      <c r="BE605" s="2">
        <f t="shared" ca="1" si="613"/>
        <v>2377374.1193587962</v>
      </c>
      <c r="BF605" s="2">
        <f t="shared" ca="1" si="614"/>
        <v>2572033.5635283901</v>
      </c>
      <c r="BG605" s="2">
        <f t="shared" ca="1" si="615"/>
        <v>2658315.5056359186</v>
      </c>
      <c r="BH605" s="2">
        <f t="shared" ca="1" si="616"/>
        <v>2746355.0843092888</v>
      </c>
      <c r="BI605" s="2">
        <f t="shared" ca="1" si="617"/>
        <v>31454267.886502542</v>
      </c>
      <c r="BJ605" s="2">
        <f t="shared" ca="1" si="618"/>
        <v>0.2171053988807552</v>
      </c>
      <c r="BK605" s="2">
        <f t="shared" ca="1" si="619"/>
        <v>7465904.6011935622</v>
      </c>
    </row>
    <row r="606" spans="1:63" x14ac:dyDescent="0.3">
      <c r="A606" s="2">
        <v>605</v>
      </c>
      <c r="B606" s="2">
        <f t="shared" ca="1" si="558"/>
        <v>0.80102771338117806</v>
      </c>
      <c r="C606" s="2">
        <f t="shared" ca="1" si="559"/>
        <v>7.3691715183683888</v>
      </c>
      <c r="D606" s="2">
        <f t="shared" ca="1" si="560"/>
        <v>0.19892615694566773</v>
      </c>
      <c r="E606" s="2">
        <f t="shared" ca="1" si="561"/>
        <v>7.1307553518531055</v>
      </c>
      <c r="F606" s="2">
        <f t="shared" ca="1" si="562"/>
        <v>0.87162714362198324</v>
      </c>
      <c r="G606" s="2">
        <f t="shared" ca="1" si="563"/>
        <v>7.4023492891464926E-2</v>
      </c>
      <c r="H606" s="2">
        <f t="shared" ca="1" si="564"/>
        <v>7.4023492891464926E-2</v>
      </c>
      <c r="I606" s="2">
        <f t="shared" ca="1" si="565"/>
        <v>0.79523045822223937</v>
      </c>
      <c r="J606" s="2">
        <f t="shared" ca="1" si="566"/>
        <v>1.4123525077351725E-2</v>
      </c>
      <c r="K606" s="2">
        <f t="shared" ca="1" si="567"/>
        <v>1.4123525077351725E-2</v>
      </c>
      <c r="L606" s="2">
        <f t="shared" ca="1" si="568"/>
        <v>0.60542233719039296</v>
      </c>
      <c r="M606" s="2">
        <f t="shared" ca="1" si="569"/>
        <v>5.3481525940444865E-3</v>
      </c>
      <c r="N606" s="2">
        <f t="shared" ca="1" si="570"/>
        <v>5.3481525940444865E-3</v>
      </c>
      <c r="O606" s="2">
        <f t="shared" si="571"/>
        <v>6000000</v>
      </c>
      <c r="P606" s="2">
        <f t="shared" ca="1" si="572"/>
        <v>44215029.110210329</v>
      </c>
      <c r="Q606" s="2">
        <f t="shared" ca="1" si="573"/>
        <v>1105375.7277552583</v>
      </c>
      <c r="R606" s="2">
        <f t="shared" ca="1" si="574"/>
        <v>26529017.466126196</v>
      </c>
      <c r="S606" s="2">
        <f t="shared" ca="1" si="575"/>
        <v>17686011.644084133</v>
      </c>
      <c r="T606" s="2">
        <f t="shared" ca="1" si="576"/>
        <v>50267407.629702218</v>
      </c>
      <c r="U606" s="2">
        <f t="shared" ca="1" si="577"/>
        <v>53988376.721051849</v>
      </c>
      <c r="V606" s="2">
        <f t="shared" ca="1" si="578"/>
        <v>57984784.941484362</v>
      </c>
      <c r="W606" s="2">
        <f t="shared" ca="1" si="579"/>
        <v>62277021.257413454</v>
      </c>
      <c r="X606" s="2">
        <f t="shared" ca="1" si="580"/>
        <v>66886983.897763208</v>
      </c>
      <c r="Y606" s="2">
        <f t="shared" ca="1" si="581"/>
        <v>0.12706176253867585</v>
      </c>
      <c r="Z606" s="2">
        <f t="shared" ca="1" si="582"/>
        <v>0.12988646755414621</v>
      </c>
      <c r="AA606" s="2">
        <f t="shared" ca="1" si="583"/>
        <v>6387065.4116800455</v>
      </c>
      <c r="AB606" s="2">
        <f t="shared" ca="1" si="584"/>
        <v>7012359.5412799232</v>
      </c>
      <c r="AC606" s="2">
        <f t="shared" ca="1" si="585"/>
        <v>7531438.887936254</v>
      </c>
      <c r="AD606" s="2">
        <f t="shared" ca="1" si="586"/>
        <v>8088942.3009199062</v>
      </c>
      <c r="AE606" s="2">
        <f t="shared" ca="1" si="587"/>
        <v>8687714.0638315212</v>
      </c>
      <c r="AF606" s="2">
        <f t="shared" ca="1" si="588"/>
        <v>1005348.1525940443</v>
      </c>
      <c r="AG606" s="2">
        <f t="shared" ca="1" si="589"/>
        <v>1079767.534421037</v>
      </c>
      <c r="AH606" s="2">
        <f t="shared" ca="1" si="590"/>
        <v>1159695.6988296872</v>
      </c>
      <c r="AI606" s="2">
        <f t="shared" ca="1" si="591"/>
        <v>1245540.4251482692</v>
      </c>
      <c r="AJ606" s="2">
        <f t="shared" ca="1" si="592"/>
        <v>1337739.6779552642</v>
      </c>
      <c r="AK606" s="2">
        <f t="shared" ca="1" si="593"/>
        <v>0</v>
      </c>
      <c r="AL606" s="2">
        <f t="shared" ca="1" si="594"/>
        <v>37209.690913496313</v>
      </c>
      <c r="AM606" s="2">
        <f t="shared" ca="1" si="595"/>
        <v>39964.082204325125</v>
      </c>
      <c r="AN606" s="2">
        <f t="shared" ca="1" si="596"/>
        <v>42922.363159290922</v>
      </c>
      <c r="AO606" s="2">
        <f t="shared" ca="1" si="597"/>
        <v>46099.626403497532</v>
      </c>
      <c r="AP606" s="2">
        <f t="shared" ca="1" si="598"/>
        <v>2387611.5719513576</v>
      </c>
      <c r="AQ606" s="2">
        <f t="shared" ca="1" si="599"/>
        <v>778467.47865500744</v>
      </c>
      <c r="AR606" s="2">
        <f t="shared" ca="1" si="600"/>
        <v>921694.91307595745</v>
      </c>
      <c r="AS606" s="2">
        <f t="shared" ca="1" si="601"/>
        <v>1035874.2204603545</v>
      </c>
      <c r="AT606" s="2">
        <f t="shared" ca="1" si="602"/>
        <v>1158505.4789932726</v>
      </c>
      <c r="AU606" s="2">
        <f t="shared" ca="1" si="603"/>
        <v>1290214.3316204739</v>
      </c>
      <c r="AV606" s="2">
        <f t="shared" ca="1" si="604"/>
        <v>2215638.2084796363</v>
      </c>
      <c r="AW606" s="2">
        <f t="shared" ca="1" si="605"/>
        <v>2586075.8309180746</v>
      </c>
      <c r="AX606" s="2">
        <f t="shared" ca="1" si="606"/>
        <v>2908293.3144905297</v>
      </c>
      <c r="AY606" s="2">
        <f t="shared" ca="1" si="607"/>
        <v>3254362.4616677165</v>
      </c>
      <c r="AZ606" s="2">
        <f t="shared" ca="1" si="608"/>
        <v>3626048.8559009284</v>
      </c>
      <c r="BA606" s="2">
        <f t="shared" ca="1" si="609"/>
        <v>61949963.556036115</v>
      </c>
      <c r="BB606" s="2">
        <f t="shared" ca="1" si="610"/>
        <v>1238999.2711207224</v>
      </c>
      <c r="BC606" s="2">
        <f t="shared" ca="1" si="611"/>
        <v>34181946.818789199</v>
      </c>
      <c r="BD606" s="2">
        <f t="shared" ca="1" si="612"/>
        <v>-19291387.371839393</v>
      </c>
      <c r="BE606" s="2">
        <f t="shared" ca="1" si="613"/>
        <v>2215638.2084796363</v>
      </c>
      <c r="BF606" s="2">
        <f t="shared" ca="1" si="614"/>
        <v>2586075.8309180746</v>
      </c>
      <c r="BG606" s="2">
        <f t="shared" ca="1" si="615"/>
        <v>2908293.3144905297</v>
      </c>
      <c r="BH606" s="2">
        <f t="shared" ca="1" si="616"/>
        <v>3254362.4616677165</v>
      </c>
      <c r="BI606" s="2">
        <f t="shared" ca="1" si="617"/>
        <v>37807995.674690127</v>
      </c>
      <c r="BJ606" s="2">
        <f t="shared" ca="1" si="618"/>
        <v>0.2396235860046716</v>
      </c>
      <c r="BK606" s="2">
        <f t="shared" ca="1" si="619"/>
        <v>10340008.868765265</v>
      </c>
    </row>
    <row r="607" spans="1:63" x14ac:dyDescent="0.3">
      <c r="A607" s="2">
        <v>606</v>
      </c>
      <c r="B607" s="2">
        <f t="shared" ca="1" si="558"/>
        <v>0.42024911075356608</v>
      </c>
      <c r="C607" s="2">
        <f t="shared" ca="1" si="559"/>
        <v>6.916786900815632</v>
      </c>
      <c r="D607" s="2">
        <f t="shared" ca="1" si="560"/>
        <v>0.67436990989861545</v>
      </c>
      <c r="E607" s="2">
        <f t="shared" ca="1" si="561"/>
        <v>7.6929930730143834</v>
      </c>
      <c r="F607" s="2">
        <f t="shared" ca="1" si="562"/>
        <v>0.389038260000094</v>
      </c>
      <c r="G607" s="2">
        <f t="shared" ca="1" si="563"/>
        <v>3.1545203820424181E-2</v>
      </c>
      <c r="H607" s="2">
        <f t="shared" ca="1" si="564"/>
        <v>3.1545203820424181E-2</v>
      </c>
      <c r="I607" s="2">
        <f t="shared" ca="1" si="565"/>
        <v>0.62976982880444532</v>
      </c>
      <c r="J607" s="2">
        <f t="shared" ca="1" si="566"/>
        <v>1.165621897256899E-2</v>
      </c>
      <c r="K607" s="2">
        <f t="shared" ca="1" si="567"/>
        <v>1.165621897256899E-2</v>
      </c>
      <c r="L607" s="2">
        <f t="shared" ca="1" si="568"/>
        <v>0.54857490412858001</v>
      </c>
      <c r="M607" s="2">
        <f t="shared" ca="1" si="569"/>
        <v>2.4412330464343187E-3</v>
      </c>
      <c r="N607" s="2">
        <f t="shared" ca="1" si="570"/>
        <v>2.4412330464343187E-3</v>
      </c>
      <c r="O607" s="2">
        <f t="shared" si="571"/>
        <v>6000000</v>
      </c>
      <c r="P607" s="2">
        <f t="shared" ca="1" si="572"/>
        <v>41500721.404893793</v>
      </c>
      <c r="Q607" s="2">
        <f t="shared" ca="1" si="573"/>
        <v>1037518.0351223449</v>
      </c>
      <c r="R607" s="2">
        <f t="shared" ca="1" si="574"/>
        <v>24900432.842936274</v>
      </c>
      <c r="S607" s="2">
        <f t="shared" ca="1" si="575"/>
        <v>16600288.561957518</v>
      </c>
      <c r="T607" s="2">
        <f t="shared" ca="1" si="576"/>
        <v>50122061.652321711</v>
      </c>
      <c r="U607" s="2">
        <f t="shared" ca="1" si="577"/>
        <v>51703172.303044073</v>
      </c>
      <c r="V607" s="2">
        <f t="shared" ca="1" si="578"/>
        <v>53334159.411506109</v>
      </c>
      <c r="W607" s="2">
        <f t="shared" ca="1" si="579"/>
        <v>55016596.340733066</v>
      </c>
      <c r="X607" s="2">
        <f t="shared" ca="1" si="580"/>
        <v>56752106.085807495</v>
      </c>
      <c r="Y607" s="2">
        <f t="shared" ca="1" si="581"/>
        <v>0.12582810948628448</v>
      </c>
      <c r="Z607" s="2">
        <f t="shared" ca="1" si="582"/>
        <v>0.12815935328079828</v>
      </c>
      <c r="AA607" s="2">
        <f t="shared" ca="1" si="583"/>
        <v>6306764.2612666367</v>
      </c>
      <c r="AB607" s="2">
        <f t="shared" ca="1" si="584"/>
        <v>6626245.1249238104</v>
      </c>
      <c r="AC607" s="2">
        <f t="shared" ca="1" si="585"/>
        <v>6835271.3779536234</v>
      </c>
      <c r="AD607" s="2">
        <f t="shared" ca="1" si="586"/>
        <v>7050891.4067390831</v>
      </c>
      <c r="AE607" s="2">
        <f t="shared" ca="1" si="587"/>
        <v>7273313.2132803444</v>
      </c>
      <c r="AF607" s="2">
        <f t="shared" ca="1" si="588"/>
        <v>1002441.2330464342</v>
      </c>
      <c r="AG607" s="2">
        <f t="shared" ca="1" si="589"/>
        <v>1034063.4460608815</v>
      </c>
      <c r="AH607" s="2">
        <f t="shared" ca="1" si="590"/>
        <v>1066683.1882301222</v>
      </c>
      <c r="AI607" s="2">
        <f t="shared" ca="1" si="591"/>
        <v>1100331.9268146614</v>
      </c>
      <c r="AJ607" s="2">
        <f t="shared" ca="1" si="592"/>
        <v>1135042.1217161498</v>
      </c>
      <c r="AK607" s="2">
        <f t="shared" ca="1" si="593"/>
        <v>0</v>
      </c>
      <c r="AL607" s="2">
        <f t="shared" ca="1" si="594"/>
        <v>15811.106507223622</v>
      </c>
      <c r="AM607" s="2">
        <f t="shared" ca="1" si="595"/>
        <v>16309.871084620358</v>
      </c>
      <c r="AN607" s="2">
        <f t="shared" ca="1" si="596"/>
        <v>16824.369292269574</v>
      </c>
      <c r="AO607" s="2">
        <f t="shared" ca="1" si="597"/>
        <v>17355.097450744288</v>
      </c>
      <c r="AP607" s="2">
        <f t="shared" ca="1" si="598"/>
        <v>2241038.9558642646</v>
      </c>
      <c r="AQ607" s="2">
        <f t="shared" ca="1" si="599"/>
        <v>796453.85881254391</v>
      </c>
      <c r="AR607" s="2">
        <f t="shared" ca="1" si="600"/>
        <v>871297.10797965282</v>
      </c>
      <c r="AS607" s="2">
        <f t="shared" ca="1" si="601"/>
        <v>917162.80080340151</v>
      </c>
      <c r="AT607" s="2">
        <f t="shared" ca="1" si="602"/>
        <v>964475.33625564084</v>
      </c>
      <c r="AU607" s="2">
        <f t="shared" ca="1" si="603"/>
        <v>1013280.3552819818</v>
      </c>
      <c r="AV607" s="2">
        <f t="shared" ca="1" si="604"/>
        <v>2266830.2135433946</v>
      </c>
      <c r="AW607" s="2">
        <f t="shared" ca="1" si="605"/>
        <v>2464034.5085117882</v>
      </c>
      <c r="AX607" s="2">
        <f t="shared" ca="1" si="606"/>
        <v>2594076.5619712146</v>
      </c>
      <c r="AY607" s="2">
        <f t="shared" ca="1" si="607"/>
        <v>2728220.8185122469</v>
      </c>
      <c r="AZ607" s="2">
        <f t="shared" ca="1" si="608"/>
        <v>2866596.6829672037</v>
      </c>
      <c r="BA607" s="2">
        <f t="shared" ca="1" si="609"/>
        <v>55953548.167629674</v>
      </c>
      <c r="BB607" s="2">
        <f t="shared" ca="1" si="610"/>
        <v>1119070.9633525936</v>
      </c>
      <c r="BC607" s="2">
        <f t="shared" ca="1" si="611"/>
        <v>29934044.361340806</v>
      </c>
      <c r="BD607" s="2">
        <f t="shared" ca="1" si="612"/>
        <v>-18137806.597079862</v>
      </c>
      <c r="BE607" s="2">
        <f t="shared" ca="1" si="613"/>
        <v>2266830.2135433946</v>
      </c>
      <c r="BF607" s="2">
        <f t="shared" ca="1" si="614"/>
        <v>2464034.5085117882</v>
      </c>
      <c r="BG607" s="2">
        <f t="shared" ca="1" si="615"/>
        <v>2594076.5619712146</v>
      </c>
      <c r="BH607" s="2">
        <f t="shared" ca="1" si="616"/>
        <v>2728220.8185122469</v>
      </c>
      <c r="BI607" s="2">
        <f t="shared" ca="1" si="617"/>
        <v>32800641.04430801</v>
      </c>
      <c r="BJ607" s="2">
        <f t="shared" ca="1" si="618"/>
        <v>0.22281438818939869</v>
      </c>
      <c r="BK607" s="2">
        <f t="shared" ca="1" si="619"/>
        <v>8042672.8984846883</v>
      </c>
    </row>
    <row r="608" spans="1:63" x14ac:dyDescent="0.3">
      <c r="A608" s="2">
        <v>607</v>
      </c>
      <c r="B608" s="2">
        <f t="shared" ca="1" si="558"/>
        <v>0.11544177744192186</v>
      </c>
      <c r="C608" s="2">
        <f t="shared" ca="1" si="559"/>
        <v>6.4805034389927334</v>
      </c>
      <c r="D608" s="2">
        <f t="shared" ca="1" si="560"/>
        <v>0.96201814256094631</v>
      </c>
      <c r="E608" s="2">
        <f t="shared" ca="1" si="561"/>
        <v>8.2243848428004966</v>
      </c>
      <c r="F608" s="2">
        <f t="shared" ca="1" si="562"/>
        <v>0.35693516444314377</v>
      </c>
      <c r="G608" s="2">
        <f t="shared" ca="1" si="563"/>
        <v>2.9000106784187483E-2</v>
      </c>
      <c r="H608" s="2">
        <f t="shared" ca="1" si="564"/>
        <v>2.9000106784187483E-2</v>
      </c>
      <c r="I608" s="2">
        <f t="shared" ca="1" si="565"/>
        <v>0.46178556800487236</v>
      </c>
      <c r="J608" s="2">
        <f t="shared" ca="1" si="566"/>
        <v>9.5203183218937233E-3</v>
      </c>
      <c r="K608" s="2">
        <f t="shared" ca="1" si="567"/>
        <v>9.5203183218937233E-3</v>
      </c>
      <c r="L608" s="2">
        <f t="shared" ca="1" si="568"/>
        <v>0.38954520985870777</v>
      </c>
      <c r="M608" s="2">
        <f t="shared" ca="1" si="569"/>
        <v>-5.6100914020338569E-3</v>
      </c>
      <c r="N608" s="2">
        <f t="shared" ca="1" si="570"/>
        <v>-5.6100914020338569E-3</v>
      </c>
      <c r="O608" s="2">
        <f t="shared" si="571"/>
        <v>6000000</v>
      </c>
      <c r="P608" s="2">
        <f t="shared" ca="1" si="572"/>
        <v>38883020.633956403</v>
      </c>
      <c r="Q608" s="2">
        <f t="shared" ca="1" si="573"/>
        <v>972075.51584891009</v>
      </c>
      <c r="R608" s="2">
        <f t="shared" ca="1" si="574"/>
        <v>23329812.380373839</v>
      </c>
      <c r="S608" s="2">
        <f t="shared" ca="1" si="575"/>
        <v>15553208.253582561</v>
      </c>
      <c r="T608" s="2">
        <f t="shared" ca="1" si="576"/>
        <v>49719495.429898307</v>
      </c>
      <c r="U608" s="2">
        <f t="shared" ca="1" si="577"/>
        <v>51161366.106621273</v>
      </c>
      <c r="V608" s="2">
        <f t="shared" ca="1" si="578"/>
        <v>52645051.186938196</v>
      </c>
      <c r="W608" s="2">
        <f t="shared" ca="1" si="579"/>
        <v>54171763.293018416</v>
      </c>
      <c r="X608" s="2">
        <f t="shared" ca="1" si="580"/>
        <v>55742750.213203676</v>
      </c>
      <c r="Y608" s="2">
        <f t="shared" ca="1" si="581"/>
        <v>0.12476015916094686</v>
      </c>
      <c r="Z608" s="2">
        <f t="shared" ca="1" si="582"/>
        <v>0.12666422282532561</v>
      </c>
      <c r="AA608" s="2">
        <f t="shared" ca="1" si="583"/>
        <v>6203012.1632360825</v>
      </c>
      <c r="AB608" s="2">
        <f t="shared" ca="1" si="584"/>
        <v>6480314.6765771378</v>
      </c>
      <c r="AC608" s="2">
        <f t="shared" ca="1" si="585"/>
        <v>6668244.4941930119</v>
      </c>
      <c r="AD608" s="2">
        <f t="shared" ca="1" si="586"/>
        <v>6861624.2965876786</v>
      </c>
      <c r="AE608" s="2">
        <f t="shared" ca="1" si="587"/>
        <v>7060612.1339016967</v>
      </c>
      <c r="AF608" s="2">
        <f t="shared" ca="1" si="588"/>
        <v>994389.90859796619</v>
      </c>
      <c r="AG608" s="2">
        <f t="shared" ca="1" si="589"/>
        <v>1023227.3221324255</v>
      </c>
      <c r="AH608" s="2">
        <f t="shared" ca="1" si="590"/>
        <v>1052901.023738764</v>
      </c>
      <c r="AI608" s="2">
        <f t="shared" ca="1" si="591"/>
        <v>1083435.2658603683</v>
      </c>
      <c r="AJ608" s="2">
        <f t="shared" ca="1" si="592"/>
        <v>1114855.0042640734</v>
      </c>
      <c r="AK608" s="2">
        <f t="shared" ca="1" si="593"/>
        <v>0</v>
      </c>
      <c r="AL608" s="2">
        <f t="shared" ca="1" si="594"/>
        <v>14418.706767229662</v>
      </c>
      <c r="AM608" s="2">
        <f t="shared" ca="1" si="595"/>
        <v>14836.850803169236</v>
      </c>
      <c r="AN608" s="2">
        <f t="shared" ca="1" si="596"/>
        <v>15267.121060802192</v>
      </c>
      <c r="AO608" s="2">
        <f t="shared" ca="1" si="597"/>
        <v>15709.869201852605</v>
      </c>
      <c r="AP608" s="2">
        <f t="shared" ca="1" si="598"/>
        <v>2099683.1142336456</v>
      </c>
      <c r="AQ608" s="2">
        <f t="shared" ca="1" si="599"/>
        <v>808324.1765051625</v>
      </c>
      <c r="AR608" s="2">
        <f t="shared" ca="1" si="600"/>
        <v>872925.10245487734</v>
      </c>
      <c r="AS608" s="2">
        <f t="shared" ca="1" si="601"/>
        <v>914071.69261735654</v>
      </c>
      <c r="AT608" s="2">
        <f t="shared" ca="1" si="602"/>
        <v>956411.53828835278</v>
      </c>
      <c r="AU608" s="2">
        <f t="shared" ca="1" si="603"/>
        <v>999979.24400503421</v>
      </c>
      <c r="AV608" s="2">
        <f t="shared" ca="1" si="604"/>
        <v>2300614.9638993088</v>
      </c>
      <c r="AW608" s="2">
        <f t="shared" ca="1" si="605"/>
        <v>2470060.43098896</v>
      </c>
      <c r="AX608" s="2">
        <f t="shared" ca="1" si="606"/>
        <v>2586751.8128000759</v>
      </c>
      <c r="AY608" s="2">
        <f t="shared" ca="1" si="607"/>
        <v>2706827.2571445089</v>
      </c>
      <c r="AZ608" s="2">
        <f t="shared" ca="1" si="608"/>
        <v>2830384.90219709</v>
      </c>
      <c r="BA608" s="2">
        <f t="shared" ca="1" si="609"/>
        <v>58069191.414954387</v>
      </c>
      <c r="BB608" s="2">
        <f t="shared" ca="1" si="610"/>
        <v>1161383.8282990877</v>
      </c>
      <c r="BC608" s="2">
        <f t="shared" ca="1" si="611"/>
        <v>33577995.206281453</v>
      </c>
      <c r="BD608" s="2">
        <f t="shared" ca="1" si="612"/>
        <v>-17025283.769431472</v>
      </c>
      <c r="BE608" s="2">
        <f t="shared" ca="1" si="613"/>
        <v>2300614.9638993088</v>
      </c>
      <c r="BF608" s="2">
        <f t="shared" ca="1" si="614"/>
        <v>2470060.43098896</v>
      </c>
      <c r="BG608" s="2">
        <f t="shared" ca="1" si="615"/>
        <v>2586751.8128000759</v>
      </c>
      <c r="BH608" s="2">
        <f t="shared" ca="1" si="616"/>
        <v>2706827.2571445089</v>
      </c>
      <c r="BI608" s="2">
        <f t="shared" ca="1" si="617"/>
        <v>36408380.108478546</v>
      </c>
      <c r="BJ608" s="2">
        <f t="shared" ca="1" si="618"/>
        <v>0.26338562837847213</v>
      </c>
      <c r="BK608" s="2">
        <f t="shared" ca="1" si="619"/>
        <v>11218482.936957981</v>
      </c>
    </row>
    <row r="609" spans="1:63" x14ac:dyDescent="0.3">
      <c r="A609" s="2">
        <v>608</v>
      </c>
      <c r="B609" s="2">
        <f t="shared" ca="1" si="558"/>
        <v>0.2817093837274901</v>
      </c>
      <c r="C609" s="2">
        <f t="shared" ca="1" si="559"/>
        <v>6.7506122617270385</v>
      </c>
      <c r="D609" s="2">
        <f t="shared" ca="1" si="560"/>
        <v>0.30997957470328863</v>
      </c>
      <c r="E609" s="2">
        <f t="shared" ca="1" si="561"/>
        <v>7.287374846821117</v>
      </c>
      <c r="F609" s="2">
        <f t="shared" ca="1" si="562"/>
        <v>0.43274118823577779</v>
      </c>
      <c r="G609" s="2">
        <f t="shared" ca="1" si="563"/>
        <v>3.4918013463131385E-2</v>
      </c>
      <c r="H609" s="2">
        <f t="shared" ca="1" si="564"/>
        <v>3.4918013463131385E-2</v>
      </c>
      <c r="I609" s="2">
        <f t="shared" ca="1" si="565"/>
        <v>0.95285846996251744</v>
      </c>
      <c r="J609" s="2">
        <f t="shared" ca="1" si="566"/>
        <v>1.8366123742463734E-2</v>
      </c>
      <c r="K609" s="2">
        <f t="shared" ca="1" si="567"/>
        <v>1.8366123742463734E-2</v>
      </c>
      <c r="L609" s="2">
        <f t="shared" ca="1" si="568"/>
        <v>0.80023420336307782</v>
      </c>
      <c r="M609" s="2">
        <f t="shared" ca="1" si="569"/>
        <v>1.6849161653090562E-2</v>
      </c>
      <c r="N609" s="2">
        <f t="shared" ca="1" si="570"/>
        <v>1.6849161653090562E-2</v>
      </c>
      <c r="O609" s="2">
        <f t="shared" si="571"/>
        <v>6000000</v>
      </c>
      <c r="P609" s="2">
        <f t="shared" ca="1" si="572"/>
        <v>40503673.570362233</v>
      </c>
      <c r="Q609" s="2">
        <f t="shared" ca="1" si="573"/>
        <v>1012591.8392590559</v>
      </c>
      <c r="R609" s="2">
        <f t="shared" ca="1" si="574"/>
        <v>24302204.142217338</v>
      </c>
      <c r="S609" s="2">
        <f t="shared" ca="1" si="575"/>
        <v>16201469.428144895</v>
      </c>
      <c r="T609" s="2">
        <f t="shared" ca="1" si="576"/>
        <v>50842458.082654528</v>
      </c>
      <c r="U609" s="2">
        <f t="shared" ca="1" si="577"/>
        <v>52617775.718483344</v>
      </c>
      <c r="V609" s="2">
        <f t="shared" ca="1" si="578"/>
        <v>54455083.919421367</v>
      </c>
      <c r="W609" s="2">
        <f t="shared" ca="1" si="579"/>
        <v>56356547.272855669</v>
      </c>
      <c r="X609" s="2">
        <f t="shared" ca="1" si="580"/>
        <v>58324405.949264839</v>
      </c>
      <c r="Y609" s="2">
        <f t="shared" ca="1" si="581"/>
        <v>0.12918306187123185</v>
      </c>
      <c r="Z609" s="2">
        <f t="shared" ca="1" si="582"/>
        <v>0.1328562866197246</v>
      </c>
      <c r="AA609" s="2">
        <f t="shared" ca="1" si="583"/>
        <v>6567984.4081770722</v>
      </c>
      <c r="AB609" s="2">
        <f t="shared" ca="1" si="584"/>
        <v>6990602.292147208</v>
      </c>
      <c r="AC609" s="2">
        <f t="shared" ca="1" si="585"/>
        <v>7234700.2370998012</v>
      </c>
      <c r="AD609" s="2">
        <f t="shared" ca="1" si="586"/>
        <v>7487321.5973805711</v>
      </c>
      <c r="AE609" s="2">
        <f t="shared" ca="1" si="587"/>
        <v>7748763.9937207</v>
      </c>
      <c r="AF609" s="2">
        <f t="shared" ca="1" si="588"/>
        <v>1016849.1616530906</v>
      </c>
      <c r="AG609" s="2">
        <f t="shared" ca="1" si="589"/>
        <v>1052355.5143696668</v>
      </c>
      <c r="AH609" s="2">
        <f t="shared" ca="1" si="590"/>
        <v>1089101.6783884275</v>
      </c>
      <c r="AI609" s="2">
        <f t="shared" ca="1" si="591"/>
        <v>1127130.9454571134</v>
      </c>
      <c r="AJ609" s="2">
        <f t="shared" ca="1" si="592"/>
        <v>1166488.1189852969</v>
      </c>
      <c r="AK609" s="2">
        <f t="shared" ca="1" si="593"/>
        <v>0</v>
      </c>
      <c r="AL609" s="2">
        <f t="shared" ca="1" si="594"/>
        <v>17753.176358288154</v>
      </c>
      <c r="AM609" s="2">
        <f t="shared" ca="1" si="595"/>
        <v>18373.082009380236</v>
      </c>
      <c r="AN609" s="2">
        <f t="shared" ca="1" si="596"/>
        <v>19014.633534343018</v>
      </c>
      <c r="AO609" s="2">
        <f t="shared" ca="1" si="597"/>
        <v>19678.586764091702</v>
      </c>
      <c r="AP609" s="2">
        <f t="shared" ca="1" si="598"/>
        <v>2187198.3727995604</v>
      </c>
      <c r="AQ609" s="2">
        <f t="shared" ca="1" si="599"/>
        <v>874623.58716834965</v>
      </c>
      <c r="AR609" s="2">
        <f t="shared" ca="1" si="600"/>
        <v>975272.58529427508</v>
      </c>
      <c r="AS609" s="2">
        <f t="shared" ca="1" si="601"/>
        <v>1029184.0483370717</v>
      </c>
      <c r="AT609" s="2">
        <f t="shared" ca="1" si="602"/>
        <v>1084977.9925722133</v>
      </c>
      <c r="AU609" s="2">
        <f t="shared" ca="1" si="603"/>
        <v>1142720.150503319</v>
      </c>
      <c r="AV609" s="2">
        <f t="shared" ca="1" si="604"/>
        <v>2489313.2865560716</v>
      </c>
      <c r="AW609" s="2">
        <f t="shared" ca="1" si="605"/>
        <v>2758022.6433254182</v>
      </c>
      <c r="AX609" s="2">
        <f t="shared" ca="1" si="606"/>
        <v>2910843.0555653609</v>
      </c>
      <c r="AY609" s="2">
        <f t="shared" ca="1" si="607"/>
        <v>3068999.6530173402</v>
      </c>
      <c r="AZ609" s="2">
        <f t="shared" ca="1" si="608"/>
        <v>3232678.7646684321</v>
      </c>
      <c r="BA609" s="2">
        <f t="shared" ca="1" si="609"/>
        <v>56468147.82179337</v>
      </c>
      <c r="BB609" s="2">
        <f t="shared" ca="1" si="610"/>
        <v>1129362.9564358674</v>
      </c>
      <c r="BC609" s="2">
        <f t="shared" ca="1" si="611"/>
        <v>31036580.723140165</v>
      </c>
      <c r="BD609" s="2">
        <f t="shared" ca="1" si="612"/>
        <v>-17714061.267403949</v>
      </c>
      <c r="BE609" s="2">
        <f t="shared" ca="1" si="613"/>
        <v>2489313.2865560716</v>
      </c>
      <c r="BF609" s="2">
        <f t="shared" ca="1" si="614"/>
        <v>2758022.6433254182</v>
      </c>
      <c r="BG609" s="2">
        <f t="shared" ca="1" si="615"/>
        <v>2910843.0555653609</v>
      </c>
      <c r="BH609" s="2">
        <f t="shared" ca="1" si="616"/>
        <v>3068999.6530173402</v>
      </c>
      <c r="BI609" s="2">
        <f t="shared" ca="1" si="617"/>
        <v>34269259.4878086</v>
      </c>
      <c r="BJ609" s="2">
        <f t="shared" ca="1" si="618"/>
        <v>0.25033904400179052</v>
      </c>
      <c r="BK609" s="2">
        <f t="shared" ca="1" si="619"/>
        <v>10174802.159231868</v>
      </c>
    </row>
    <row r="610" spans="1:63" x14ac:dyDescent="0.3">
      <c r="A610" s="2">
        <v>609</v>
      </c>
      <c r="B610" s="2">
        <f t="shared" ca="1" si="558"/>
        <v>0.68722224941826016</v>
      </c>
      <c r="C610" s="2">
        <f t="shared" ca="1" si="559"/>
        <v>7.2090793332049792</v>
      </c>
      <c r="D610" s="2">
        <f t="shared" ca="1" si="560"/>
        <v>0.86745084036235354</v>
      </c>
      <c r="E610" s="2">
        <f t="shared" ca="1" si="561"/>
        <v>7.9851230056845681</v>
      </c>
      <c r="F610" s="2">
        <f t="shared" ca="1" si="562"/>
        <v>0.80407286409695689</v>
      </c>
      <c r="G610" s="2">
        <f t="shared" ca="1" si="563"/>
        <v>6.5687784236979532E-2</v>
      </c>
      <c r="H610" s="2">
        <f t="shared" ca="1" si="564"/>
        <v>6.5687784236979532E-2</v>
      </c>
      <c r="I610" s="2">
        <f t="shared" ca="1" si="565"/>
        <v>0.50781426767642668</v>
      </c>
      <c r="J610" s="2">
        <f t="shared" ca="1" si="566"/>
        <v>1.0097943584939184E-2</v>
      </c>
      <c r="K610" s="2">
        <f t="shared" ca="1" si="567"/>
        <v>1.0097943584939184E-2</v>
      </c>
      <c r="L610" s="2">
        <f t="shared" ca="1" si="568"/>
        <v>1.6420940342683488E-2</v>
      </c>
      <c r="M610" s="2">
        <f t="shared" ca="1" si="569"/>
        <v>-4.268021992808943E-2</v>
      </c>
      <c r="N610" s="2">
        <f t="shared" ca="1" si="570"/>
        <v>-4.268021992808943E-2</v>
      </c>
      <c r="O610" s="2">
        <f t="shared" si="571"/>
        <v>6000000</v>
      </c>
      <c r="P610" s="2">
        <f t="shared" ca="1" si="572"/>
        <v>43254475.999229878</v>
      </c>
      <c r="Q610" s="2">
        <f t="shared" ca="1" si="573"/>
        <v>1081361.8999807469</v>
      </c>
      <c r="R610" s="2">
        <f t="shared" ca="1" si="574"/>
        <v>25952685.599537928</v>
      </c>
      <c r="S610" s="2">
        <f t="shared" ca="1" si="575"/>
        <v>17301790.399691951</v>
      </c>
      <c r="T610" s="2">
        <f t="shared" ca="1" si="576"/>
        <v>47865989.003595524</v>
      </c>
      <c r="U610" s="2">
        <f t="shared" ca="1" si="577"/>
        <v>51010199.761553347</v>
      </c>
      <c r="V610" s="2">
        <f t="shared" ca="1" si="578"/>
        <v>54360946.757375494</v>
      </c>
      <c r="W610" s="2">
        <f t="shared" ca="1" si="579"/>
        <v>57931796.898891911</v>
      </c>
      <c r="X610" s="2">
        <f t="shared" ca="1" si="580"/>
        <v>61737208.274046846</v>
      </c>
      <c r="Y610" s="2">
        <f t="shared" ca="1" si="581"/>
        <v>0.1250489717924696</v>
      </c>
      <c r="Z610" s="2">
        <f t="shared" ca="1" si="582"/>
        <v>0.12706856050945742</v>
      </c>
      <c r="AA610" s="2">
        <f t="shared" ca="1" si="583"/>
        <v>5985592.7087292764</v>
      </c>
      <c r="AB610" s="2">
        <f t="shared" ca="1" si="584"/>
        <v>6481792.655000452</v>
      </c>
      <c r="AC610" s="2">
        <f t="shared" ca="1" si="585"/>
        <v>6907567.2523909612</v>
      </c>
      <c r="AD610" s="2">
        <f t="shared" ca="1" si="586"/>
        <v>7361310.0396684445</v>
      </c>
      <c r="AE610" s="2">
        <f t="shared" ca="1" si="587"/>
        <v>7844858.185255697</v>
      </c>
      <c r="AF610" s="2">
        <f t="shared" ca="1" si="588"/>
        <v>957319.78007191047</v>
      </c>
      <c r="AG610" s="2">
        <f t="shared" ca="1" si="589"/>
        <v>1020203.9952310669</v>
      </c>
      <c r="AH610" s="2">
        <f t="shared" ca="1" si="590"/>
        <v>1087218.9351475099</v>
      </c>
      <c r="AI610" s="2">
        <f t="shared" ca="1" si="591"/>
        <v>1158635.9379778383</v>
      </c>
      <c r="AJ610" s="2">
        <f t="shared" ca="1" si="592"/>
        <v>1234744.1654809369</v>
      </c>
      <c r="AK610" s="2">
        <f t="shared" ca="1" si="593"/>
        <v>0</v>
      </c>
      <c r="AL610" s="2">
        <f t="shared" ca="1" si="594"/>
        <v>31442.107579578238</v>
      </c>
      <c r="AM610" s="2">
        <f t="shared" ca="1" si="595"/>
        <v>33507.469958221467</v>
      </c>
      <c r="AN610" s="2">
        <f t="shared" ca="1" si="596"/>
        <v>35708.501415164174</v>
      </c>
      <c r="AO610" s="2">
        <f t="shared" ca="1" si="597"/>
        <v>38054.113751549346</v>
      </c>
      <c r="AP610" s="2">
        <f t="shared" ca="1" si="598"/>
        <v>2335741.7039584136</v>
      </c>
      <c r="AQ610" s="2">
        <f t="shared" ca="1" si="599"/>
        <v>700058.11842172768</v>
      </c>
      <c r="AR610" s="2">
        <f t="shared" ca="1" si="600"/>
        <v>812720.20851085265</v>
      </c>
      <c r="AS610" s="2">
        <f t="shared" ca="1" si="601"/>
        <v>905997.71945410979</v>
      </c>
      <c r="AT610" s="2">
        <f t="shared" ca="1" si="602"/>
        <v>1005402.4234103701</v>
      </c>
      <c r="AU610" s="2">
        <f t="shared" ca="1" si="603"/>
        <v>1111336.8021122501</v>
      </c>
      <c r="AV610" s="2">
        <f t="shared" ca="1" si="604"/>
        <v>1992473.1062772246</v>
      </c>
      <c r="AW610" s="2">
        <f t="shared" ca="1" si="605"/>
        <v>2281684.6397205405</v>
      </c>
      <c r="AX610" s="2">
        <f t="shared" ca="1" si="606"/>
        <v>2545101.4238727065</v>
      </c>
      <c r="AY610" s="2">
        <f t="shared" ca="1" si="607"/>
        <v>2825821.4729066584</v>
      </c>
      <c r="AZ610" s="2">
        <f t="shared" ca="1" si="608"/>
        <v>3124981.3999525467</v>
      </c>
      <c r="BA610" s="2">
        <f t="shared" ca="1" si="609"/>
        <v>62642157.571418159</v>
      </c>
      <c r="BB610" s="2">
        <f t="shared" ca="1" si="610"/>
        <v>1252843.1514283633</v>
      </c>
      <c r="BC610" s="2">
        <f t="shared" ca="1" si="611"/>
        <v>35436628.820451863</v>
      </c>
      <c r="BD610" s="2">
        <f t="shared" ca="1" si="612"/>
        <v>-18883152.299672697</v>
      </c>
      <c r="BE610" s="2">
        <f t="shared" ca="1" si="613"/>
        <v>1992473.1062772246</v>
      </c>
      <c r="BF610" s="2">
        <f t="shared" ca="1" si="614"/>
        <v>2281684.6397205405</v>
      </c>
      <c r="BG610" s="2">
        <f t="shared" ca="1" si="615"/>
        <v>2545101.4238727065</v>
      </c>
      <c r="BH610" s="2">
        <f t="shared" ca="1" si="616"/>
        <v>2825821.4729066584</v>
      </c>
      <c r="BI610" s="2">
        <f t="shared" ca="1" si="617"/>
        <v>38561610.220404409</v>
      </c>
      <c r="BJ610" s="2">
        <f t="shared" ca="1" si="618"/>
        <v>0.23830459609898358</v>
      </c>
      <c r="BK610" s="2">
        <f t="shared" ca="1" si="619"/>
        <v>10203093.363886505</v>
      </c>
    </row>
    <row r="611" spans="1:63" x14ac:dyDescent="0.3">
      <c r="A611" s="2">
        <v>610</v>
      </c>
      <c r="B611" s="2">
        <f t="shared" ca="1" si="558"/>
        <v>0.55897573024913449</v>
      </c>
      <c r="C611" s="2">
        <f t="shared" ca="1" si="559"/>
        <v>7.0608256075138485</v>
      </c>
      <c r="D611" s="2">
        <f t="shared" ca="1" si="560"/>
        <v>0.42528440557469704</v>
      </c>
      <c r="E611" s="2">
        <f t="shared" ca="1" si="561"/>
        <v>7.4222628752960809</v>
      </c>
      <c r="F611" s="2">
        <f t="shared" ca="1" si="562"/>
        <v>0.50291123350569267</v>
      </c>
      <c r="G611" s="2">
        <f t="shared" ca="1" si="563"/>
        <v>4.0218923349610518E-2</v>
      </c>
      <c r="H611" s="2">
        <f t="shared" ca="1" si="564"/>
        <v>4.0218923349610518E-2</v>
      </c>
      <c r="I611" s="2">
        <f t="shared" ca="1" si="565"/>
        <v>0.52298868584902236</v>
      </c>
      <c r="J611" s="2">
        <f t="shared" ca="1" si="566"/>
        <v>1.0288280087683862E-2</v>
      </c>
      <c r="K611" s="2">
        <f t="shared" ca="1" si="567"/>
        <v>1.0288280087683862E-2</v>
      </c>
      <c r="L611" s="2">
        <f t="shared" ca="1" si="568"/>
        <v>0.81742088950715308</v>
      </c>
      <c r="M611" s="2">
        <f t="shared" ca="1" si="569"/>
        <v>1.8111599155711255E-2</v>
      </c>
      <c r="N611" s="2">
        <f t="shared" ca="1" si="570"/>
        <v>1.8111599155711255E-2</v>
      </c>
      <c r="O611" s="2">
        <f t="shared" si="571"/>
        <v>6000000</v>
      </c>
      <c r="P611" s="2">
        <f t="shared" ca="1" si="572"/>
        <v>42364953.645083092</v>
      </c>
      <c r="Q611" s="2">
        <f t="shared" ca="1" si="573"/>
        <v>1059123.8411270774</v>
      </c>
      <c r="R611" s="2">
        <f t="shared" ca="1" si="574"/>
        <v>25418972.187049855</v>
      </c>
      <c r="S611" s="2">
        <f t="shared" ca="1" si="575"/>
        <v>16945981.458033238</v>
      </c>
      <c r="T611" s="2">
        <f t="shared" ca="1" si="576"/>
        <v>50905579.957785562</v>
      </c>
      <c r="U611" s="2">
        <f t="shared" ca="1" si="577"/>
        <v>52952947.576175205</v>
      </c>
      <c r="V611" s="2">
        <f t="shared" ca="1" si="578"/>
        <v>55082658.115877338</v>
      </c>
      <c r="W611" s="2">
        <f t="shared" ca="1" si="579"/>
        <v>57298023.320532605</v>
      </c>
      <c r="X611" s="2">
        <f t="shared" ca="1" si="580"/>
        <v>59602488.128545299</v>
      </c>
      <c r="Y611" s="2">
        <f t="shared" ca="1" si="581"/>
        <v>0.12514414004384192</v>
      </c>
      <c r="Z611" s="2">
        <f t="shared" ca="1" si="582"/>
        <v>0.12720179606137869</v>
      </c>
      <c r="AA611" s="2">
        <f t="shared" ca="1" si="583"/>
        <v>6370535.0272501083</v>
      </c>
      <c r="AB611" s="2">
        <f t="shared" ca="1" si="584"/>
        <v>6735710.0384335155</v>
      </c>
      <c r="AC611" s="2">
        <f t="shared" ca="1" si="585"/>
        <v>7006613.0441744747</v>
      </c>
      <c r="AD611" s="2">
        <f t="shared" ca="1" si="586"/>
        <v>7288411.4771385081</v>
      </c>
      <c r="AE611" s="2">
        <f t="shared" ca="1" si="587"/>
        <v>7581543.5396779636</v>
      </c>
      <c r="AF611" s="2">
        <f t="shared" ca="1" si="588"/>
        <v>1018111.5991557112</v>
      </c>
      <c r="AG611" s="2">
        <f t="shared" ca="1" si="589"/>
        <v>1059058.9515235042</v>
      </c>
      <c r="AH611" s="2">
        <f t="shared" ca="1" si="590"/>
        <v>1101653.1623175468</v>
      </c>
      <c r="AI611" s="2">
        <f t="shared" ca="1" si="591"/>
        <v>1145960.466410652</v>
      </c>
      <c r="AJ611" s="2">
        <f t="shared" ca="1" si="592"/>
        <v>1192049.762570906</v>
      </c>
      <c r="AK611" s="2">
        <f t="shared" ca="1" si="593"/>
        <v>0</v>
      </c>
      <c r="AL611" s="2">
        <f t="shared" ca="1" si="594"/>
        <v>20473.676183896438</v>
      </c>
      <c r="AM611" s="2">
        <f t="shared" ca="1" si="595"/>
        <v>21297.105397021325</v>
      </c>
      <c r="AN611" s="2">
        <f t="shared" ca="1" si="596"/>
        <v>22153.652046552674</v>
      </c>
      <c r="AO611" s="2">
        <f t="shared" ca="1" si="597"/>
        <v>23044.648080126943</v>
      </c>
      <c r="AP611" s="2">
        <f t="shared" ca="1" si="598"/>
        <v>2287707.4968344867</v>
      </c>
      <c r="AQ611" s="2">
        <f t="shared" ca="1" si="599"/>
        <v>796826.14212757675</v>
      </c>
      <c r="AR611" s="2">
        <f t="shared" ca="1" si="600"/>
        <v>881125.33341963636</v>
      </c>
      <c r="AS611" s="2">
        <f t="shared" ca="1" si="601"/>
        <v>940485.62010583468</v>
      </c>
      <c r="AT611" s="2">
        <f t="shared" ca="1" si="602"/>
        <v>1002233.3136122761</v>
      </c>
      <c r="AU611" s="2">
        <f t="shared" ca="1" si="603"/>
        <v>1066464.4328708686</v>
      </c>
      <c r="AV611" s="2">
        <f t="shared" ca="1" si="604"/>
        <v>2267889.7891323343</v>
      </c>
      <c r="AW611" s="2">
        <f t="shared" ca="1" si="605"/>
        <v>2487344.5804719925</v>
      </c>
      <c r="AX611" s="2">
        <f t="shared" ca="1" si="606"/>
        <v>2655469.6595195848</v>
      </c>
      <c r="AY611" s="2">
        <f t="shared" ca="1" si="607"/>
        <v>2830356.548234541</v>
      </c>
      <c r="AZ611" s="2">
        <f t="shared" ca="1" si="608"/>
        <v>3012277.1993215755</v>
      </c>
      <c r="BA611" s="2">
        <f t="shared" ca="1" si="609"/>
        <v>56272209.151992589</v>
      </c>
      <c r="BB611" s="2">
        <f t="shared" ca="1" si="610"/>
        <v>1125444.1830398517</v>
      </c>
      <c r="BC611" s="2">
        <f t="shared" ca="1" si="611"/>
        <v>29727792.781902883</v>
      </c>
      <c r="BD611" s="2">
        <f t="shared" ca="1" si="612"/>
        <v>-18505105.299160317</v>
      </c>
      <c r="BE611" s="2">
        <f t="shared" ca="1" si="613"/>
        <v>2267889.7891323343</v>
      </c>
      <c r="BF611" s="2">
        <f t="shared" ca="1" si="614"/>
        <v>2487344.5804719925</v>
      </c>
      <c r="BG611" s="2">
        <f t="shared" ca="1" si="615"/>
        <v>2655469.6595195848</v>
      </c>
      <c r="BH611" s="2">
        <f t="shared" ca="1" si="616"/>
        <v>2830356.548234541</v>
      </c>
      <c r="BI611" s="2">
        <f t="shared" ca="1" si="617"/>
        <v>32740069.981224459</v>
      </c>
      <c r="BJ611" s="2">
        <f t="shared" ca="1" si="618"/>
        <v>0.21804397999796343</v>
      </c>
      <c r="BK611" s="2">
        <f t="shared" ca="1" si="619"/>
        <v>7769140.7416927256</v>
      </c>
    </row>
    <row r="612" spans="1:63" x14ac:dyDescent="0.3">
      <c r="A612" s="2">
        <v>611</v>
      </c>
      <c r="B612" s="2">
        <f t="shared" ca="1" si="558"/>
        <v>0.70965893431129901</v>
      </c>
      <c r="C612" s="2">
        <f t="shared" ca="1" si="559"/>
        <v>7.2379749798219208</v>
      </c>
      <c r="D612" s="2">
        <f t="shared" ca="1" si="560"/>
        <v>0.82519911568519622</v>
      </c>
      <c r="E612" s="2">
        <f t="shared" ca="1" si="561"/>
        <v>7.9087286844183904</v>
      </c>
      <c r="F612" s="2">
        <f t="shared" ca="1" si="562"/>
        <v>0.43887910981844735</v>
      </c>
      <c r="G612" s="2">
        <f t="shared" ca="1" si="563"/>
        <v>3.5385649429227117E-2</v>
      </c>
      <c r="H612" s="2">
        <f t="shared" ca="1" si="564"/>
        <v>3.5385649429227117E-2</v>
      </c>
      <c r="I612" s="2">
        <f t="shared" ca="1" si="565"/>
        <v>0.14324538323404201</v>
      </c>
      <c r="J612" s="2">
        <f t="shared" ca="1" si="566"/>
        <v>4.67074239255368E-3</v>
      </c>
      <c r="K612" s="2">
        <f t="shared" ca="1" si="567"/>
        <v>4.67074239255368E-3</v>
      </c>
      <c r="L612" s="2">
        <f t="shared" ca="1" si="568"/>
        <v>0.37238282943209311</v>
      </c>
      <c r="M612" s="2">
        <f t="shared" ca="1" si="569"/>
        <v>-6.5109785447605316E-3</v>
      </c>
      <c r="N612" s="2">
        <f t="shared" ca="1" si="570"/>
        <v>-6.5109785447605316E-3</v>
      </c>
      <c r="O612" s="2">
        <f t="shared" si="571"/>
        <v>6000000</v>
      </c>
      <c r="P612" s="2">
        <f t="shared" ca="1" si="572"/>
        <v>43427849.878931522</v>
      </c>
      <c r="Q612" s="2">
        <f t="shared" ca="1" si="573"/>
        <v>1085696.246973288</v>
      </c>
      <c r="R612" s="2">
        <f t="shared" ca="1" si="574"/>
        <v>26056709.927358914</v>
      </c>
      <c r="S612" s="2">
        <f t="shared" ca="1" si="575"/>
        <v>17371139.951572608</v>
      </c>
      <c r="T612" s="2">
        <f t="shared" ca="1" si="576"/>
        <v>49674451.072761968</v>
      </c>
      <c r="U612" s="2">
        <f t="shared" ca="1" si="577"/>
        <v>51432213.784012012</v>
      </c>
      <c r="V612" s="2">
        <f t="shared" ca="1" si="578"/>
        <v>53252176.070342124</v>
      </c>
      <c r="W612" s="2">
        <f t="shared" ca="1" si="579"/>
        <v>55136538.904110722</v>
      </c>
      <c r="X612" s="2">
        <f t="shared" ca="1" si="580"/>
        <v>57087581.140512526</v>
      </c>
      <c r="Y612" s="2">
        <f t="shared" ca="1" si="581"/>
        <v>0.12233537119627684</v>
      </c>
      <c r="Z612" s="2">
        <f t="shared" ca="1" si="582"/>
        <v>0.12326951967478757</v>
      </c>
      <c r="AA612" s="2">
        <f t="shared" ca="1" si="583"/>
        <v>6076942.4109576279</v>
      </c>
      <c r="AB612" s="2">
        <f t="shared" ca="1" si="584"/>
        <v>6340024.2889661491</v>
      </c>
      <c r="AC612" s="2">
        <f t="shared" ca="1" si="585"/>
        <v>6564370.1658282904</v>
      </c>
      <c r="AD612" s="2">
        <f t="shared" ca="1" si="586"/>
        <v>6796654.6672399668</v>
      </c>
      <c r="AE612" s="2">
        <f t="shared" ca="1" si="587"/>
        <v>7037158.7065864401</v>
      </c>
      <c r="AF612" s="2">
        <f t="shared" ca="1" si="588"/>
        <v>993489.02145523939</v>
      </c>
      <c r="AG612" s="2">
        <f t="shared" ca="1" si="589"/>
        <v>1028644.2756802402</v>
      </c>
      <c r="AH612" s="2">
        <f t="shared" ca="1" si="590"/>
        <v>1065043.5214068424</v>
      </c>
      <c r="AI612" s="2">
        <f t="shared" ca="1" si="591"/>
        <v>1102730.7780822145</v>
      </c>
      <c r="AJ612" s="2">
        <f t="shared" ca="1" si="592"/>
        <v>1141751.6228102506</v>
      </c>
      <c r="AK612" s="2">
        <f t="shared" ca="1" si="593"/>
        <v>0</v>
      </c>
      <c r="AL612" s="2">
        <f t="shared" ca="1" si="594"/>
        <v>17577.627112500446</v>
      </c>
      <c r="AM612" s="2">
        <f t="shared" ca="1" si="595"/>
        <v>18199.622863301112</v>
      </c>
      <c r="AN612" s="2">
        <f t="shared" ca="1" si="596"/>
        <v>18843.628337685986</v>
      </c>
      <c r="AO612" s="2">
        <f t="shared" ca="1" si="597"/>
        <v>19510.422364018039</v>
      </c>
      <c r="AP612" s="2">
        <f t="shared" ca="1" si="598"/>
        <v>2345103.8934623022</v>
      </c>
      <c r="AQ612" s="2">
        <f t="shared" ca="1" si="599"/>
        <v>711970.86897042242</v>
      </c>
      <c r="AR612" s="2">
        <f t="shared" ca="1" si="600"/>
        <v>771231.79115413781</v>
      </c>
      <c r="AS612" s="2">
        <f t="shared" ca="1" si="601"/>
        <v>820097.91524937795</v>
      </c>
      <c r="AT612" s="2">
        <f t="shared" ca="1" si="602"/>
        <v>870693.19888081716</v>
      </c>
      <c r="AU612" s="2">
        <f t="shared" ca="1" si="603"/>
        <v>923078.82948161056</v>
      </c>
      <c r="AV612" s="2">
        <f t="shared" ca="1" si="604"/>
        <v>2026378.6270696642</v>
      </c>
      <c r="AW612" s="2">
        <f t="shared" ca="1" si="605"/>
        <v>2177466.7015569685</v>
      </c>
      <c r="AX612" s="2">
        <f t="shared" ca="1" si="606"/>
        <v>2315925.2128464673</v>
      </c>
      <c r="AY612" s="2">
        <f t="shared" ca="1" si="607"/>
        <v>2459283.1684769476</v>
      </c>
      <c r="AZ612" s="2">
        <f t="shared" ca="1" si="608"/>
        <v>2607713.9384682588</v>
      </c>
      <c r="BA612" s="2">
        <f t="shared" ca="1" si="609"/>
        <v>55654978.919584796</v>
      </c>
      <c r="BB612" s="2">
        <f t="shared" ca="1" si="610"/>
        <v>1113099.5783916959</v>
      </c>
      <c r="BC612" s="2">
        <f t="shared" ca="1" si="611"/>
        <v>28485169.413834184</v>
      </c>
      <c r="BD612" s="2">
        <f t="shared" ca="1" si="612"/>
        <v>-18956836.198545896</v>
      </c>
      <c r="BE612" s="2">
        <f t="shared" ca="1" si="613"/>
        <v>2026378.6270696642</v>
      </c>
      <c r="BF612" s="2">
        <f t="shared" ca="1" si="614"/>
        <v>2177466.7015569685</v>
      </c>
      <c r="BG612" s="2">
        <f t="shared" ca="1" si="615"/>
        <v>2315925.2128464673</v>
      </c>
      <c r="BH612" s="2">
        <f t="shared" ca="1" si="616"/>
        <v>2459283.1684769476</v>
      </c>
      <c r="BI612" s="2">
        <f t="shared" ca="1" si="617"/>
        <v>31092883.352302443</v>
      </c>
      <c r="BJ612" s="2">
        <f t="shared" ca="1" si="618"/>
        <v>0.18870447663699386</v>
      </c>
      <c r="BK612" s="2">
        <f t="shared" ca="1" si="619"/>
        <v>5442579.327041883</v>
      </c>
    </row>
    <row r="613" spans="1:63" x14ac:dyDescent="0.3">
      <c r="A613" s="2">
        <v>612</v>
      </c>
      <c r="B613" s="2">
        <f t="shared" ca="1" si="558"/>
        <v>0.28432361925049754</v>
      </c>
      <c r="C613" s="2">
        <f t="shared" ca="1" si="559"/>
        <v>6.7540870231617802</v>
      </c>
      <c r="D613" s="2">
        <f t="shared" ca="1" si="560"/>
        <v>0.21240368302358204</v>
      </c>
      <c r="E613" s="2">
        <f t="shared" ca="1" si="561"/>
        <v>7.1517724802775611</v>
      </c>
      <c r="F613" s="2">
        <f t="shared" ca="1" si="562"/>
        <v>0.80948513069604289</v>
      </c>
      <c r="G613" s="2">
        <f t="shared" ca="1" si="563"/>
        <v>6.6280016288707597E-2</v>
      </c>
      <c r="H613" s="2">
        <f t="shared" ca="1" si="564"/>
        <v>6.6280016288707597E-2</v>
      </c>
      <c r="I613" s="2">
        <f t="shared" ca="1" si="565"/>
        <v>0.15037868446971525</v>
      </c>
      <c r="J613" s="2">
        <f t="shared" ca="1" si="566"/>
        <v>4.8259469712251144E-3</v>
      </c>
      <c r="K613" s="2">
        <f t="shared" ca="1" si="567"/>
        <v>4.8259469712251144E-3</v>
      </c>
      <c r="L613" s="2">
        <f t="shared" ca="1" si="568"/>
        <v>0.3329527888637267</v>
      </c>
      <c r="M613" s="2">
        <f t="shared" ca="1" si="569"/>
        <v>-8.6354827612437502E-3</v>
      </c>
      <c r="N613" s="2">
        <f t="shared" ca="1" si="570"/>
        <v>-8.6354827612437502E-3</v>
      </c>
      <c r="O613" s="2">
        <f t="shared" si="571"/>
        <v>6000000</v>
      </c>
      <c r="P613" s="2">
        <f t="shared" ca="1" si="572"/>
        <v>40524522.138970681</v>
      </c>
      <c r="Q613" s="2">
        <f t="shared" ca="1" si="573"/>
        <v>1013113.053474267</v>
      </c>
      <c r="R613" s="2">
        <f t="shared" ca="1" si="574"/>
        <v>24314713.283382408</v>
      </c>
      <c r="S613" s="2">
        <f t="shared" ca="1" si="575"/>
        <v>16209808.855588272</v>
      </c>
      <c r="T613" s="2">
        <f t="shared" ca="1" si="576"/>
        <v>49568225.861937813</v>
      </c>
      <c r="U613" s="2">
        <f t="shared" ca="1" si="577"/>
        <v>52853608.679469392</v>
      </c>
      <c r="V613" s="2">
        <f t="shared" ca="1" si="578"/>
        <v>56356746.723661602</v>
      </c>
      <c r="W613" s="2">
        <f t="shared" ca="1" si="579"/>
        <v>60092072.814484462</v>
      </c>
      <c r="X613" s="2">
        <f t="shared" ca="1" si="580"/>
        <v>64074976.379450694</v>
      </c>
      <c r="Y613" s="2">
        <f t="shared" ca="1" si="581"/>
        <v>0.12241297348561256</v>
      </c>
      <c r="Z613" s="2">
        <f t="shared" ca="1" si="582"/>
        <v>0.12337816287985758</v>
      </c>
      <c r="AA613" s="2">
        <f t="shared" ca="1" si="583"/>
        <v>6067793.9181662481</v>
      </c>
      <c r="AB613" s="2">
        <f t="shared" ca="1" si="584"/>
        <v>6520981.1404438289</v>
      </c>
      <c r="AC613" s="2">
        <f t="shared" ca="1" si="585"/>
        <v>6953191.8766508009</v>
      </c>
      <c r="AD613" s="2">
        <f t="shared" ca="1" si="586"/>
        <v>7414049.5474937251</v>
      </c>
      <c r="AE613" s="2">
        <f t="shared" ca="1" si="587"/>
        <v>7905452.8722668942</v>
      </c>
      <c r="AF613" s="2">
        <f t="shared" ca="1" si="588"/>
        <v>991364.51723875629</v>
      </c>
      <c r="AG613" s="2">
        <f t="shared" ca="1" si="589"/>
        <v>1057072.1735893879</v>
      </c>
      <c r="AH613" s="2">
        <f t="shared" ca="1" si="590"/>
        <v>1127134.9344732321</v>
      </c>
      <c r="AI613" s="2">
        <f t="shared" ca="1" si="591"/>
        <v>1201841.4562896893</v>
      </c>
      <c r="AJ613" s="2">
        <f t="shared" ca="1" si="592"/>
        <v>1281499.5275890138</v>
      </c>
      <c r="AK613" s="2">
        <f t="shared" ca="1" si="593"/>
        <v>0</v>
      </c>
      <c r="AL613" s="2">
        <f t="shared" ca="1" si="594"/>
        <v>32853.828175315786</v>
      </c>
      <c r="AM613" s="2">
        <f t="shared" ca="1" si="595"/>
        <v>35031.380441922098</v>
      </c>
      <c r="AN613" s="2">
        <f t="shared" ca="1" si="596"/>
        <v>37353.260908228607</v>
      </c>
      <c r="AO613" s="2">
        <f t="shared" ca="1" si="597"/>
        <v>39829.035649662314</v>
      </c>
      <c r="AP613" s="2">
        <f t="shared" ca="1" si="598"/>
        <v>2188324.1955044167</v>
      </c>
      <c r="AQ613" s="2">
        <f t="shared" ca="1" si="599"/>
        <v>750907.35340999952</v>
      </c>
      <c r="AR613" s="2">
        <f t="shared" ca="1" si="600"/>
        <v>851652.04055100633</v>
      </c>
      <c r="AS613" s="2">
        <f t="shared" ca="1" si="601"/>
        <v>945810.5141350195</v>
      </c>
      <c r="AT613" s="2">
        <f t="shared" ca="1" si="602"/>
        <v>1046209.812881901</v>
      </c>
      <c r="AU613" s="2">
        <f t="shared" ca="1" si="603"/>
        <v>1153263.5787851005</v>
      </c>
      <c r="AV613" s="2">
        <f t="shared" ca="1" si="604"/>
        <v>2137197.8520130748</v>
      </c>
      <c r="AW613" s="2">
        <f t="shared" ca="1" si="605"/>
        <v>2391078.9026237028</v>
      </c>
      <c r="AX613" s="2">
        <f t="shared" ca="1" si="606"/>
        <v>2656890.8520962102</v>
      </c>
      <c r="AY613" s="2">
        <f t="shared" ca="1" si="607"/>
        <v>2940320.82190949</v>
      </c>
      <c r="AZ613" s="2">
        <f t="shared" ca="1" si="608"/>
        <v>3242536.5347387018</v>
      </c>
      <c r="BA613" s="2">
        <f t="shared" ca="1" si="609"/>
        <v>56538000.296009578</v>
      </c>
      <c r="BB613" s="2">
        <f t="shared" ca="1" si="610"/>
        <v>1130760.0059201915</v>
      </c>
      <c r="BC613" s="2">
        <f t="shared" ca="1" si="611"/>
        <v>31092527.006706979</v>
      </c>
      <c r="BD613" s="2">
        <f t="shared" ca="1" si="612"/>
        <v>-17722921.909062538</v>
      </c>
      <c r="BE613" s="2">
        <f t="shared" ca="1" si="613"/>
        <v>2137197.8520130748</v>
      </c>
      <c r="BF613" s="2">
        <f t="shared" ca="1" si="614"/>
        <v>2391078.9026237028</v>
      </c>
      <c r="BG613" s="2">
        <f t="shared" ca="1" si="615"/>
        <v>2656890.8520962102</v>
      </c>
      <c r="BH613" s="2">
        <f t="shared" ca="1" si="616"/>
        <v>2940320.82190949</v>
      </c>
      <c r="BI613" s="2">
        <f t="shared" ca="1" si="617"/>
        <v>34335063.54144568</v>
      </c>
      <c r="BJ613" s="2">
        <f t="shared" ca="1" si="618"/>
        <v>0.23837940493824727</v>
      </c>
      <c r="BK613" s="2">
        <f t="shared" ca="1" si="619"/>
        <v>9333830.5346919931</v>
      </c>
    </row>
    <row r="614" spans="1:63" x14ac:dyDescent="0.3">
      <c r="A614" s="2">
        <v>613</v>
      </c>
      <c r="B614" s="2">
        <f t="shared" ca="1" si="558"/>
        <v>7.1847007025175658E-2</v>
      </c>
      <c r="C614" s="2">
        <f t="shared" ca="1" si="559"/>
        <v>6.3790699329284131</v>
      </c>
      <c r="D614" s="2">
        <f t="shared" ca="1" si="560"/>
        <v>0.91260189061260188</v>
      </c>
      <c r="E614" s="2">
        <f t="shared" ca="1" si="561"/>
        <v>8.081913622830406</v>
      </c>
      <c r="F614" s="2">
        <f t="shared" ca="1" si="562"/>
        <v>0.88821190316729148</v>
      </c>
      <c r="G614" s="2">
        <f t="shared" ca="1" si="563"/>
        <v>7.6512209617877608E-2</v>
      </c>
      <c r="H614" s="2">
        <f t="shared" ca="1" si="564"/>
        <v>7.6512209617877608E-2</v>
      </c>
      <c r="I614" s="2">
        <f t="shared" ca="1" si="565"/>
        <v>0.179274353291759</v>
      </c>
      <c r="J614" s="2">
        <f t="shared" ca="1" si="566"/>
        <v>5.4093299041161292E-3</v>
      </c>
      <c r="K614" s="2">
        <f t="shared" ca="1" si="567"/>
        <v>5.4093299041161292E-3</v>
      </c>
      <c r="L614" s="2">
        <f t="shared" ca="1" si="568"/>
        <v>0.8671106284163782</v>
      </c>
      <c r="M614" s="2">
        <f t="shared" ca="1" si="569"/>
        <v>2.2256725948857893E-2</v>
      </c>
      <c r="N614" s="2">
        <f t="shared" ca="1" si="570"/>
        <v>2.2256725948857893E-2</v>
      </c>
      <c r="O614" s="2">
        <f t="shared" si="571"/>
        <v>6000000</v>
      </c>
      <c r="P614" s="2">
        <f t="shared" ca="1" si="572"/>
        <v>38274419.597570479</v>
      </c>
      <c r="Q614" s="2">
        <f t="shared" ca="1" si="573"/>
        <v>956860.48993926204</v>
      </c>
      <c r="R614" s="2">
        <f t="shared" ca="1" si="574"/>
        <v>22964651.758542288</v>
      </c>
      <c r="S614" s="2">
        <f t="shared" ca="1" si="575"/>
        <v>15309767.839028193</v>
      </c>
      <c r="T614" s="2">
        <f t="shared" ca="1" si="576"/>
        <v>51112836.297442898</v>
      </c>
      <c r="U614" s="2">
        <f t="shared" ca="1" si="577"/>
        <v>55023592.342397116</v>
      </c>
      <c r="V614" s="2">
        <f t="shared" ca="1" si="578"/>
        <v>59233568.973627254</v>
      </c>
      <c r="W614" s="2">
        <f t="shared" ca="1" si="579"/>
        <v>63765660.219352439</v>
      </c>
      <c r="X614" s="2">
        <f t="shared" ca="1" si="580"/>
        <v>68644511.780477896</v>
      </c>
      <c r="Y614" s="2">
        <f t="shared" ca="1" si="581"/>
        <v>0.12270466495205806</v>
      </c>
      <c r="Z614" s="2">
        <f t="shared" ca="1" si="582"/>
        <v>0.12378653093288129</v>
      </c>
      <c r="AA614" s="2">
        <f t="shared" ca="1" si="583"/>
        <v>6271783.4526271224</v>
      </c>
      <c r="AB614" s="2">
        <f t="shared" ca="1" si="584"/>
        <v>6811179.6155303912</v>
      </c>
      <c r="AC614" s="2">
        <f t="shared" ca="1" si="585"/>
        <v>7332318.0180188678</v>
      </c>
      <c r="AD614" s="2">
        <f t="shared" ca="1" si="586"/>
        <v>7893329.8711984688</v>
      </c>
      <c r="AE614" s="2">
        <f t="shared" ca="1" si="587"/>
        <v>8497265.9808866605</v>
      </c>
      <c r="AF614" s="2">
        <f t="shared" ca="1" si="588"/>
        <v>1022256.725948858</v>
      </c>
      <c r="AG614" s="2">
        <f t="shared" ca="1" si="589"/>
        <v>1100471.8468479423</v>
      </c>
      <c r="AH614" s="2">
        <f t="shared" ca="1" si="590"/>
        <v>1184671.3794725451</v>
      </c>
      <c r="AI614" s="2">
        <f t="shared" ca="1" si="591"/>
        <v>1275313.2043870487</v>
      </c>
      <c r="AJ614" s="2">
        <f t="shared" ca="1" si="592"/>
        <v>1372890.2356095579</v>
      </c>
      <c r="AK614" s="2">
        <f t="shared" ca="1" si="593"/>
        <v>0</v>
      </c>
      <c r="AL614" s="2">
        <f t="shared" ca="1" si="594"/>
        <v>39107.560449542179</v>
      </c>
      <c r="AM614" s="2">
        <f t="shared" ca="1" si="595"/>
        <v>42099.766312301384</v>
      </c>
      <c r="AN614" s="2">
        <f t="shared" ca="1" si="596"/>
        <v>45320.912457251849</v>
      </c>
      <c r="AO614" s="2">
        <f t="shared" ca="1" si="597"/>
        <v>48788.515611254574</v>
      </c>
      <c r="AP614" s="2">
        <f t="shared" ca="1" si="598"/>
        <v>2066818.6582688058</v>
      </c>
      <c r="AQ614" s="2">
        <f t="shared" ca="1" si="599"/>
        <v>827504.09778645926</v>
      </c>
      <c r="AR614" s="2">
        <f t="shared" ca="1" si="600"/>
        <v>947411.16870754736</v>
      </c>
      <c r="AS614" s="2">
        <f t="shared" ca="1" si="601"/>
        <v>1061015.2748721545</v>
      </c>
      <c r="AT614" s="2">
        <f t="shared" ca="1" si="602"/>
        <v>1183311.4822210798</v>
      </c>
      <c r="AU614" s="2">
        <f t="shared" ca="1" si="603"/>
        <v>1314964.8426221574</v>
      </c>
      <c r="AV614" s="2">
        <f t="shared" ca="1" si="604"/>
        <v>2355203.9706229996</v>
      </c>
      <c r="AW614" s="2">
        <f t="shared" ca="1" si="605"/>
        <v>2657370.3812565533</v>
      </c>
      <c r="AX614" s="2">
        <f t="shared" ca="1" si="606"/>
        <v>2977712.9390930608</v>
      </c>
      <c r="AY614" s="2">
        <f t="shared" ca="1" si="607"/>
        <v>3322565.6138642821</v>
      </c>
      <c r="AZ614" s="2">
        <f t="shared" ca="1" si="608"/>
        <v>3693803.7287748856</v>
      </c>
      <c r="BA614" s="2">
        <f t="shared" ca="1" si="609"/>
        <v>68674169.68774128</v>
      </c>
      <c r="BB614" s="2">
        <f t="shared" ca="1" si="610"/>
        <v>1373483.3937548257</v>
      </c>
      <c r="BC614" s="2">
        <f t="shared" ca="1" si="611"/>
        <v>44336034.53544417</v>
      </c>
      <c r="BD614" s="2">
        <f t="shared" ca="1" si="612"/>
        <v>-16766628.328967454</v>
      </c>
      <c r="BE614" s="2">
        <f t="shared" ca="1" si="613"/>
        <v>2355203.9706229996</v>
      </c>
      <c r="BF614" s="2">
        <f t="shared" ca="1" si="614"/>
        <v>2657370.3812565533</v>
      </c>
      <c r="BG614" s="2">
        <f t="shared" ca="1" si="615"/>
        <v>2977712.9390930608</v>
      </c>
      <c r="BH614" s="2">
        <f t="shared" ca="1" si="616"/>
        <v>3322565.6138642821</v>
      </c>
      <c r="BI614" s="2">
        <f t="shared" ca="1" si="617"/>
        <v>48029838.264219053</v>
      </c>
      <c r="BJ614" s="2">
        <f t="shared" ca="1" si="618"/>
        <v>0.33718450843285797</v>
      </c>
      <c r="BK614" s="2">
        <f t="shared" ca="1" si="619"/>
        <v>18939119.632352471</v>
      </c>
    </row>
    <row r="615" spans="1:63" x14ac:dyDescent="0.3">
      <c r="A615" s="2">
        <v>614</v>
      </c>
      <c r="B615" s="2">
        <f t="shared" ca="1" si="558"/>
        <v>0.50135497774980986</v>
      </c>
      <c r="C615" s="2">
        <f t="shared" ca="1" si="559"/>
        <v>7.0013558969781178</v>
      </c>
      <c r="D615" s="2">
        <f t="shared" ca="1" si="560"/>
        <v>0.19135647361807895</v>
      </c>
      <c r="E615" s="2">
        <f t="shared" ca="1" si="561"/>
        <v>7.1186379775249478</v>
      </c>
      <c r="F615" s="2">
        <f t="shared" ca="1" si="562"/>
        <v>0.96827290920134645</v>
      </c>
      <c r="G615" s="2">
        <f t="shared" ca="1" si="563"/>
        <v>9.5679868762093251E-2</v>
      </c>
      <c r="H615" s="2">
        <f t="shared" ca="1" si="564"/>
        <v>9.5679868762093251E-2</v>
      </c>
      <c r="I615" s="2">
        <f t="shared" ca="1" si="565"/>
        <v>0.45472667397403488</v>
      </c>
      <c r="J615" s="2">
        <f t="shared" ca="1" si="566"/>
        <v>9.4313595724743945E-3</v>
      </c>
      <c r="K615" s="2">
        <f t="shared" ca="1" si="567"/>
        <v>9.4313595724743945E-3</v>
      </c>
      <c r="L615" s="2">
        <f t="shared" ca="1" si="568"/>
        <v>0.18968070305695062</v>
      </c>
      <c r="M615" s="2">
        <f t="shared" ca="1" si="569"/>
        <v>-1.758147069985657E-2</v>
      </c>
      <c r="N615" s="2">
        <f t="shared" ca="1" si="570"/>
        <v>-1.758147069985657E-2</v>
      </c>
      <c r="O615" s="2">
        <f t="shared" si="571"/>
        <v>6000000</v>
      </c>
      <c r="P615" s="2">
        <f t="shared" ca="1" si="572"/>
        <v>42008135.381868705</v>
      </c>
      <c r="Q615" s="2">
        <f t="shared" ca="1" si="573"/>
        <v>1050203.3845467176</v>
      </c>
      <c r="R615" s="2">
        <f t="shared" ca="1" si="574"/>
        <v>25204881.229121223</v>
      </c>
      <c r="S615" s="2">
        <f t="shared" ca="1" si="575"/>
        <v>16803254.152747482</v>
      </c>
      <c r="T615" s="2">
        <f t="shared" ca="1" si="576"/>
        <v>49120926.465007171</v>
      </c>
      <c r="U615" s="2">
        <f t="shared" ca="1" si="577"/>
        <v>53820810.262651488</v>
      </c>
      <c r="V615" s="2">
        <f t="shared" ca="1" si="578"/>
        <v>58970378.325251505</v>
      </c>
      <c r="W615" s="2">
        <f t="shared" ca="1" si="579"/>
        <v>64612656.384262554</v>
      </c>
      <c r="X615" s="2">
        <f t="shared" ca="1" si="580"/>
        <v>70794786.867479026</v>
      </c>
      <c r="Y615" s="2">
        <f t="shared" ca="1" si="581"/>
        <v>0.1247156797862372</v>
      </c>
      <c r="Z615" s="2">
        <f t="shared" ca="1" si="582"/>
        <v>0.12660195170073207</v>
      </c>
      <c r="AA615" s="2">
        <f t="shared" ca="1" si="583"/>
        <v>6126149.735813139</v>
      </c>
      <c r="AB615" s="2">
        <f t="shared" ca="1" si="584"/>
        <v>6813819.6213664692</v>
      </c>
      <c r="AC615" s="2">
        <f t="shared" ca="1" si="585"/>
        <v>7465764.9885073882</v>
      </c>
      <c r="AD615" s="2">
        <f t="shared" ca="1" si="586"/>
        <v>8180088.4028164055</v>
      </c>
      <c r="AE615" s="2">
        <f t="shared" ca="1" si="587"/>
        <v>8962758.1876602005</v>
      </c>
      <c r="AF615" s="2">
        <f t="shared" ca="1" si="588"/>
        <v>982418.52930014348</v>
      </c>
      <c r="AG615" s="2">
        <f t="shared" ca="1" si="589"/>
        <v>1076416.2052530297</v>
      </c>
      <c r="AH615" s="2">
        <f t="shared" ca="1" si="590"/>
        <v>1179407.56650503</v>
      </c>
      <c r="AI615" s="2">
        <f t="shared" ca="1" si="591"/>
        <v>1292253.1276852512</v>
      </c>
      <c r="AJ615" s="2">
        <f t="shared" ca="1" si="592"/>
        <v>1415895.7373495805</v>
      </c>
      <c r="AK615" s="2">
        <f t="shared" ca="1" si="593"/>
        <v>0</v>
      </c>
      <c r="AL615" s="2">
        <f t="shared" ca="1" si="594"/>
        <v>46998.837976443174</v>
      </c>
      <c r="AM615" s="2">
        <f t="shared" ca="1" si="595"/>
        <v>51495.680626000169</v>
      </c>
      <c r="AN615" s="2">
        <f t="shared" ca="1" si="596"/>
        <v>56422.780590110495</v>
      </c>
      <c r="AO615" s="2">
        <f t="shared" ca="1" si="597"/>
        <v>61821.304832164722</v>
      </c>
      <c r="AP615" s="2">
        <f t="shared" ca="1" si="598"/>
        <v>2268439.31062091</v>
      </c>
      <c r="AQ615" s="2">
        <f t="shared" ca="1" si="599"/>
        <v>747575.89293194213</v>
      </c>
      <c r="AR615" s="2">
        <f t="shared" ca="1" si="600"/>
        <v>901930.66742805776</v>
      </c>
      <c r="AS615" s="2">
        <f t="shared" ca="1" si="601"/>
        <v>1044658.7089591766</v>
      </c>
      <c r="AT615" s="2">
        <f t="shared" ca="1" si="602"/>
        <v>1201042.9507726638</v>
      </c>
      <c r="AU615" s="2">
        <f t="shared" ca="1" si="603"/>
        <v>1372390.0163193247</v>
      </c>
      <c r="AV615" s="2">
        <f t="shared" ca="1" si="604"/>
        <v>2127716.0029601431</v>
      </c>
      <c r="AW615" s="2">
        <f t="shared" ca="1" si="605"/>
        <v>2520034.6000880287</v>
      </c>
      <c r="AX615" s="2">
        <f t="shared" ca="1" si="606"/>
        <v>2921763.7217962719</v>
      </c>
      <c r="AY615" s="2">
        <f t="shared" ca="1" si="607"/>
        <v>3361930.2331474707</v>
      </c>
      <c r="AZ615" s="2">
        <f t="shared" ca="1" si="608"/>
        <v>3844211.8185382201</v>
      </c>
      <c r="BA615" s="2">
        <f t="shared" ca="1" si="609"/>
        <v>63802630.818050578</v>
      </c>
      <c r="BB615" s="2">
        <f t="shared" ca="1" si="610"/>
        <v>1276052.6163610115</v>
      </c>
      <c r="BC615" s="2">
        <f t="shared" ca="1" si="611"/>
        <v>37321696.972568341</v>
      </c>
      <c r="BD615" s="2">
        <f t="shared" ca="1" si="612"/>
        <v>-18353457.537294202</v>
      </c>
      <c r="BE615" s="2">
        <f t="shared" ca="1" si="613"/>
        <v>2127716.0029601431</v>
      </c>
      <c r="BF615" s="2">
        <f t="shared" ca="1" si="614"/>
        <v>2520034.6000880287</v>
      </c>
      <c r="BG615" s="2">
        <f t="shared" ca="1" si="615"/>
        <v>2921763.7217962719</v>
      </c>
      <c r="BH615" s="2">
        <f t="shared" ca="1" si="616"/>
        <v>3361930.2331474707</v>
      </c>
      <c r="BI615" s="2">
        <f t="shared" ca="1" si="617"/>
        <v>41165908.791106559</v>
      </c>
      <c r="BJ615" s="2">
        <f t="shared" ca="1" si="618"/>
        <v>0.27104882257121599</v>
      </c>
      <c r="BK615" s="2">
        <f t="shared" ca="1" si="619"/>
        <v>13130108.383916724</v>
      </c>
    </row>
    <row r="616" spans="1:63" x14ac:dyDescent="0.3">
      <c r="A616" s="2">
        <v>615</v>
      </c>
      <c r="B616" s="2">
        <f t="shared" ca="1" si="558"/>
        <v>0.99815022834029654</v>
      </c>
      <c r="C616" s="2">
        <f t="shared" ca="1" si="559"/>
        <v>7.9391761287042089</v>
      </c>
      <c r="D616" s="2">
        <f t="shared" ca="1" si="560"/>
        <v>0.26219467343917335</v>
      </c>
      <c r="E616" s="2">
        <f t="shared" ca="1" si="561"/>
        <v>7.2241473240151803</v>
      </c>
      <c r="F616" s="2">
        <f t="shared" ca="1" si="562"/>
        <v>0.82116111362480226</v>
      </c>
      <c r="G616" s="2">
        <f t="shared" ca="1" si="563"/>
        <v>6.7593971910371045E-2</v>
      </c>
      <c r="H616" s="2">
        <f t="shared" ca="1" si="564"/>
        <v>6.7593971910371045E-2</v>
      </c>
      <c r="I616" s="2">
        <f t="shared" ca="1" si="565"/>
        <v>0.60774121016704397</v>
      </c>
      <c r="J616" s="2">
        <f t="shared" ca="1" si="566"/>
        <v>1.1367183272910395E-2</v>
      </c>
      <c r="K616" s="2">
        <f t="shared" ca="1" si="567"/>
        <v>1.1367183272910395E-2</v>
      </c>
      <c r="L616" s="2">
        <f t="shared" ca="1" si="568"/>
        <v>0.58333602671080198</v>
      </c>
      <c r="M616" s="2">
        <f t="shared" ca="1" si="569"/>
        <v>4.2087059338016108E-3</v>
      </c>
      <c r="N616" s="2">
        <f t="shared" ca="1" si="570"/>
        <v>4.2087059338016108E-3</v>
      </c>
      <c r="O616" s="2">
        <f t="shared" si="571"/>
        <v>6000000</v>
      </c>
      <c r="P616" s="2">
        <f t="shared" ca="1" si="572"/>
        <v>47635056.772225253</v>
      </c>
      <c r="Q616" s="2">
        <f t="shared" ca="1" si="573"/>
        <v>1190876.4193056314</v>
      </c>
      <c r="R616" s="2">
        <f t="shared" ca="1" si="574"/>
        <v>28581034.06333515</v>
      </c>
      <c r="S616" s="2">
        <f t="shared" ca="1" si="575"/>
        <v>19054022.708890103</v>
      </c>
      <c r="T616" s="2">
        <f t="shared" ca="1" si="576"/>
        <v>50210435.296690084</v>
      </c>
      <c r="U616" s="2">
        <f t="shared" ca="1" si="577"/>
        <v>53604358.049742058</v>
      </c>
      <c r="V616" s="2">
        <f t="shared" ca="1" si="578"/>
        <v>57227689.522029795</v>
      </c>
      <c r="W616" s="2">
        <f t="shared" ca="1" si="579"/>
        <v>61095936.360077314</v>
      </c>
      <c r="X616" s="2">
        <f t="shared" ca="1" si="580"/>
        <v>65225653.366238199</v>
      </c>
      <c r="Y616" s="2">
        <f t="shared" ca="1" si="581"/>
        <v>0.12568359163645521</v>
      </c>
      <c r="Z616" s="2">
        <f t="shared" ca="1" si="582"/>
        <v>0.12795702829103728</v>
      </c>
      <c r="AA616" s="2">
        <f t="shared" ca="1" si="583"/>
        <v>6310627.8457178529</v>
      </c>
      <c r="AB616" s="2">
        <f t="shared" ca="1" si="584"/>
        <v>6859054.3594937362</v>
      </c>
      <c r="AC616" s="2">
        <f t="shared" ca="1" si="585"/>
        <v>7322685.0872010645</v>
      </c>
      <c r="AD616" s="2">
        <f t="shared" ca="1" si="586"/>
        <v>7817654.4572938262</v>
      </c>
      <c r="AE616" s="2">
        <f t="shared" ca="1" si="587"/>
        <v>8346080.7730851322</v>
      </c>
      <c r="AF616" s="2">
        <f t="shared" ca="1" si="588"/>
        <v>1004208.7059338017</v>
      </c>
      <c r="AG616" s="2">
        <f t="shared" ca="1" si="589"/>
        <v>1072087.1609948413</v>
      </c>
      <c r="AH616" s="2">
        <f t="shared" ca="1" si="590"/>
        <v>1144553.7904405959</v>
      </c>
      <c r="AI616" s="2">
        <f t="shared" ca="1" si="591"/>
        <v>1221918.7272015463</v>
      </c>
      <c r="AJ616" s="2">
        <f t="shared" ca="1" si="592"/>
        <v>1304513.0673247641</v>
      </c>
      <c r="AK616" s="2">
        <f t="shared" ca="1" si="593"/>
        <v>0</v>
      </c>
      <c r="AL616" s="2">
        <f t="shared" ca="1" si="594"/>
        <v>33939.22753051974</v>
      </c>
      <c r="AM616" s="2">
        <f t="shared" ca="1" si="595"/>
        <v>36233.314722877367</v>
      </c>
      <c r="AN616" s="2">
        <f t="shared" ca="1" si="596"/>
        <v>38682.468380475191</v>
      </c>
      <c r="AO616" s="2">
        <f t="shared" ca="1" si="597"/>
        <v>41297.170061608849</v>
      </c>
      <c r="AP616" s="2">
        <f t="shared" ca="1" si="598"/>
        <v>2572293.0657001636</v>
      </c>
      <c r="AQ616" s="2">
        <f t="shared" ca="1" si="599"/>
        <v>710872.77926181082</v>
      </c>
      <c r="AR616" s="2">
        <f t="shared" ca="1" si="600"/>
        <v>835815.27452767035</v>
      </c>
      <c r="AS616" s="2">
        <f t="shared" ca="1" si="601"/>
        <v>937517.94007567933</v>
      </c>
      <c r="AT616" s="2">
        <f t="shared" ca="1" si="602"/>
        <v>1046095.0927419502</v>
      </c>
      <c r="AU616" s="2">
        <f t="shared" ca="1" si="603"/>
        <v>1162011.4064156534</v>
      </c>
      <c r="AV616" s="2">
        <f t="shared" ca="1" si="604"/>
        <v>2023253.2948220768</v>
      </c>
      <c r="AW616" s="2">
        <f t="shared" ca="1" si="605"/>
        <v>2344919.6307405424</v>
      </c>
      <c r="AX616" s="2">
        <f t="shared" ca="1" si="606"/>
        <v>2632086.9762617485</v>
      </c>
      <c r="AY616" s="2">
        <f t="shared" ca="1" si="607"/>
        <v>2938665.1032696902</v>
      </c>
      <c r="AZ616" s="2">
        <f t="shared" ca="1" si="608"/>
        <v>3265966.0635829424</v>
      </c>
      <c r="BA616" s="2">
        <f t="shared" ca="1" si="609"/>
        <v>60293317.082897507</v>
      </c>
      <c r="BB616" s="2">
        <f t="shared" ca="1" si="610"/>
        <v>1205866.3416579501</v>
      </c>
      <c r="BC616" s="2">
        <f t="shared" ca="1" si="611"/>
        <v>30506416.677904405</v>
      </c>
      <c r="BD616" s="2">
        <f t="shared" ca="1" si="612"/>
        <v>-20744899.128195733</v>
      </c>
      <c r="BE616" s="2">
        <f t="shared" ca="1" si="613"/>
        <v>2023253.2948220768</v>
      </c>
      <c r="BF616" s="2">
        <f t="shared" ca="1" si="614"/>
        <v>2344919.6307405424</v>
      </c>
      <c r="BG616" s="2">
        <f t="shared" ca="1" si="615"/>
        <v>2632086.9762617485</v>
      </c>
      <c r="BH616" s="2">
        <f t="shared" ca="1" si="616"/>
        <v>2938665.1032696902</v>
      </c>
      <c r="BI616" s="2">
        <f t="shared" ca="1" si="617"/>
        <v>33772382.741487347</v>
      </c>
      <c r="BJ616" s="2">
        <f t="shared" ca="1" si="618"/>
        <v>0.18713623608181562</v>
      </c>
      <c r="BK616" s="2">
        <f t="shared" ca="1" si="619"/>
        <v>5835331.8697335422</v>
      </c>
    </row>
    <row r="617" spans="1:63" x14ac:dyDescent="0.3">
      <c r="A617" s="2">
        <v>616</v>
      </c>
      <c r="B617" s="2">
        <f t="shared" ca="1" si="558"/>
        <v>0.14634043280286246</v>
      </c>
      <c r="C617" s="2">
        <f t="shared" ca="1" si="559"/>
        <v>6.5409998757908587</v>
      </c>
      <c r="D617" s="2">
        <f t="shared" ca="1" si="560"/>
        <v>9.4539268678503707E-2</v>
      </c>
      <c r="E617" s="2">
        <f t="shared" ca="1" si="561"/>
        <v>6.9348316195460118</v>
      </c>
      <c r="F617" s="2">
        <f t="shared" ca="1" si="562"/>
        <v>0.14637664306996934</v>
      </c>
      <c r="G617" s="2">
        <f t="shared" ca="1" si="563"/>
        <v>8.4369747564199335E-3</v>
      </c>
      <c r="H617" s="2">
        <f t="shared" ca="1" si="564"/>
        <v>8.4369747564199335E-3</v>
      </c>
      <c r="I617" s="2">
        <f t="shared" ca="1" si="565"/>
        <v>0.34214757954752273</v>
      </c>
      <c r="J617" s="2">
        <f t="shared" ca="1" si="566"/>
        <v>7.9669548167596096E-3</v>
      </c>
      <c r="K617" s="2">
        <f t="shared" ca="1" si="567"/>
        <v>7.9669548167596096E-3</v>
      </c>
      <c r="L617" s="2">
        <f t="shared" ca="1" si="568"/>
        <v>5.9510700002927575E-2</v>
      </c>
      <c r="M617" s="2">
        <f t="shared" ca="1" si="569"/>
        <v>-3.1177885970723424E-2</v>
      </c>
      <c r="N617" s="2">
        <f t="shared" ca="1" si="570"/>
        <v>-3.1177885970723424E-2</v>
      </c>
      <c r="O617" s="2">
        <f t="shared" si="571"/>
        <v>6000000</v>
      </c>
      <c r="P617" s="2">
        <f t="shared" ca="1" si="572"/>
        <v>39245999.254745156</v>
      </c>
      <c r="Q617" s="2">
        <f t="shared" ca="1" si="573"/>
        <v>981149.98136862891</v>
      </c>
      <c r="R617" s="2">
        <f t="shared" ca="1" si="574"/>
        <v>23547599.552847091</v>
      </c>
      <c r="S617" s="2">
        <f t="shared" ca="1" si="575"/>
        <v>15698399.701898063</v>
      </c>
      <c r="T617" s="2">
        <f t="shared" ca="1" si="576"/>
        <v>48441105.701463826</v>
      </c>
      <c r="U617" s="2">
        <f t="shared" ca="1" si="577"/>
        <v>48849802.087440148</v>
      </c>
      <c r="V617" s="2">
        <f t="shared" ca="1" si="578"/>
        <v>49261946.634507991</v>
      </c>
      <c r="W617" s="2">
        <f t="shared" ca="1" si="579"/>
        <v>49677568.434715442</v>
      </c>
      <c r="X617" s="2">
        <f t="shared" ca="1" si="580"/>
        <v>50096696.82555946</v>
      </c>
      <c r="Y617" s="2">
        <f t="shared" ca="1" si="581"/>
        <v>0.1239834774083798</v>
      </c>
      <c r="Z617" s="2">
        <f t="shared" ca="1" si="582"/>
        <v>0.12557686837173171</v>
      </c>
      <c r="AA617" s="2">
        <f t="shared" ca="1" si="583"/>
        <v>6005896.7343743779</v>
      </c>
      <c r="AB617" s="2">
        <f t="shared" ca="1" si="584"/>
        <v>6134405.1667196164</v>
      </c>
      <c r="AC617" s="2">
        <f t="shared" ca="1" si="585"/>
        <v>6186160.9882568819</v>
      </c>
      <c r="AD617" s="2">
        <f t="shared" ca="1" si="586"/>
        <v>6238353.4723539548</v>
      </c>
      <c r="AE617" s="2">
        <f t="shared" ca="1" si="587"/>
        <v>6290986.3031218303</v>
      </c>
      <c r="AF617" s="2">
        <f t="shared" ca="1" si="588"/>
        <v>968822.11402927653</v>
      </c>
      <c r="AG617" s="2">
        <f t="shared" ca="1" si="589"/>
        <v>976996.04174880299</v>
      </c>
      <c r="AH617" s="2">
        <f t="shared" ca="1" si="590"/>
        <v>985238.93269015988</v>
      </c>
      <c r="AI617" s="2">
        <f t="shared" ca="1" si="591"/>
        <v>993551.36869430891</v>
      </c>
      <c r="AJ617" s="2">
        <f t="shared" ca="1" si="592"/>
        <v>1001933.9365111892</v>
      </c>
      <c r="AK617" s="2">
        <f t="shared" ca="1" si="593"/>
        <v>0</v>
      </c>
      <c r="AL617" s="2">
        <f t="shared" ca="1" si="594"/>
        <v>4086.9638597632202</v>
      </c>
      <c r="AM617" s="2">
        <f t="shared" ca="1" si="595"/>
        <v>4121.4454706784336</v>
      </c>
      <c r="AN617" s="2">
        <f t="shared" ca="1" si="596"/>
        <v>4156.21800207451</v>
      </c>
      <c r="AO617" s="2">
        <f t="shared" ca="1" si="597"/>
        <v>4191.283908440173</v>
      </c>
      <c r="AP617" s="2">
        <f t="shared" ca="1" si="598"/>
        <v>2119283.9597562379</v>
      </c>
      <c r="AQ617" s="2">
        <f t="shared" ca="1" si="599"/>
        <v>758625.57175310457</v>
      </c>
      <c r="AR617" s="2">
        <f t="shared" ca="1" si="600"/>
        <v>789912.5429557896</v>
      </c>
      <c r="AS617" s="2">
        <f t="shared" ca="1" si="601"/>
        <v>801225.90491072601</v>
      </c>
      <c r="AT617" s="2">
        <f t="shared" ca="1" si="602"/>
        <v>812634.71741488599</v>
      </c>
      <c r="AU617" s="2">
        <f t="shared" ca="1" si="603"/>
        <v>824139.78578214475</v>
      </c>
      <c r="AV617" s="2">
        <f t="shared" ca="1" si="604"/>
        <v>2159165.0888357596</v>
      </c>
      <c r="AW617" s="2">
        <f t="shared" ca="1" si="605"/>
        <v>2244125.6583990226</v>
      </c>
      <c r="AX617" s="2">
        <f t="shared" ca="1" si="606"/>
        <v>2276290.7454290804</v>
      </c>
      <c r="AY617" s="2">
        <f t="shared" ca="1" si="607"/>
        <v>2308727.2084864476</v>
      </c>
      <c r="AZ617" s="2">
        <f t="shared" ca="1" si="608"/>
        <v>2341437.3371638185</v>
      </c>
      <c r="BA617" s="2">
        <f t="shared" ca="1" si="609"/>
        <v>43626930.733020142</v>
      </c>
      <c r="BB617" s="2">
        <f t="shared" ca="1" si="610"/>
        <v>872538.61466040288</v>
      </c>
      <c r="BC617" s="2">
        <f t="shared" ca="1" si="611"/>
        <v>19206792.565512646</v>
      </c>
      <c r="BD617" s="2">
        <f t="shared" ca="1" si="612"/>
        <v>-17179549.683266692</v>
      </c>
      <c r="BE617" s="2">
        <f t="shared" ca="1" si="613"/>
        <v>2159165.0888357596</v>
      </c>
      <c r="BF617" s="2">
        <f t="shared" ca="1" si="614"/>
        <v>2244125.6583990226</v>
      </c>
      <c r="BG617" s="2">
        <f t="shared" ca="1" si="615"/>
        <v>2276290.7454290804</v>
      </c>
      <c r="BH617" s="2">
        <f t="shared" ca="1" si="616"/>
        <v>2308727.2084864476</v>
      </c>
      <c r="BI617" s="2">
        <f t="shared" ca="1" si="617"/>
        <v>21548229.902676463</v>
      </c>
      <c r="BJ617" s="2">
        <f t="shared" ca="1" si="618"/>
        <v>0.14874440502045072</v>
      </c>
      <c r="BK617" s="2">
        <f t="shared" ca="1" si="619"/>
        <v>1851780.5341912881</v>
      </c>
    </row>
    <row r="618" spans="1:63" x14ac:dyDescent="0.3">
      <c r="A618" s="2">
        <v>617</v>
      </c>
      <c r="B618" s="2">
        <f t="shared" ca="1" si="558"/>
        <v>0.77656473314371677</v>
      </c>
      <c r="C618" s="2">
        <f t="shared" ca="1" si="559"/>
        <v>7.3315162427458942</v>
      </c>
      <c r="D618" s="2">
        <f t="shared" ca="1" si="560"/>
        <v>0.91775202860923866</v>
      </c>
      <c r="E618" s="2">
        <f t="shared" ca="1" si="561"/>
        <v>8.0944190058921368</v>
      </c>
      <c r="F618" s="2">
        <f t="shared" ca="1" si="562"/>
        <v>0.86363306877977808</v>
      </c>
      <c r="G618" s="2">
        <f t="shared" ca="1" si="563"/>
        <v>7.2903654728478595E-2</v>
      </c>
      <c r="H618" s="2">
        <f t="shared" ca="1" si="564"/>
        <v>7.2903654728478595E-2</v>
      </c>
      <c r="I618" s="2">
        <f t="shared" ca="1" si="565"/>
        <v>0.37043607670235446</v>
      </c>
      <c r="J618" s="2">
        <f t="shared" ca="1" si="566"/>
        <v>8.3465069570227094E-3</v>
      </c>
      <c r="K618" s="2">
        <f t="shared" ca="1" si="567"/>
        <v>8.3465069570227094E-3</v>
      </c>
      <c r="L618" s="2">
        <f t="shared" ca="1" si="568"/>
        <v>0.64140237648563692</v>
      </c>
      <c r="M618" s="2">
        <f t="shared" ca="1" si="569"/>
        <v>7.2441962599676868E-3</v>
      </c>
      <c r="N618" s="2">
        <f t="shared" ca="1" si="570"/>
        <v>7.2441962599676868E-3</v>
      </c>
      <c r="O618" s="2">
        <f t="shared" si="571"/>
        <v>6000000</v>
      </c>
      <c r="P618" s="2">
        <f t="shared" ca="1" si="572"/>
        <v>43989097.456475362</v>
      </c>
      <c r="Q618" s="2">
        <f t="shared" ca="1" si="573"/>
        <v>1099727.4364118841</v>
      </c>
      <c r="R618" s="2">
        <f t="shared" ca="1" si="574"/>
        <v>26393458.473885216</v>
      </c>
      <c r="S618" s="2">
        <f t="shared" ca="1" si="575"/>
        <v>17595638.982590146</v>
      </c>
      <c r="T618" s="2">
        <f t="shared" ca="1" si="576"/>
        <v>50362209.812998384</v>
      </c>
      <c r="U618" s="2">
        <f t="shared" ca="1" si="577"/>
        <v>54033798.968568422</v>
      </c>
      <c r="V618" s="2">
        <f t="shared" ca="1" si="578"/>
        <v>57973060.392240964</v>
      </c>
      <c r="W618" s="2">
        <f t="shared" ca="1" si="579"/>
        <v>62199508.370630145</v>
      </c>
      <c r="X618" s="2">
        <f t="shared" ca="1" si="580"/>
        <v>66734079.853163689</v>
      </c>
      <c r="Y618" s="2">
        <f t="shared" ca="1" si="581"/>
        <v>0.12417325347851135</v>
      </c>
      <c r="Z618" s="2">
        <f t="shared" ca="1" si="582"/>
        <v>0.12584255486991588</v>
      </c>
      <c r="AA618" s="2">
        <f t="shared" ca="1" si="583"/>
        <v>6253639.4448474199</v>
      </c>
      <c r="AB618" s="2">
        <f t="shared" ca="1" si="584"/>
        <v>6799751.3115320755</v>
      </c>
      <c r="AC618" s="2">
        <f t="shared" ca="1" si="585"/>
        <v>7295478.0333875306</v>
      </c>
      <c r="AD618" s="2">
        <f t="shared" ca="1" si="586"/>
        <v>7827345.0450128168</v>
      </c>
      <c r="AE618" s="2">
        <f t="shared" ca="1" si="587"/>
        <v>8397987.1056150999</v>
      </c>
      <c r="AF618" s="2">
        <f t="shared" ca="1" si="588"/>
        <v>1007244.1962599677</v>
      </c>
      <c r="AG618" s="2">
        <f t="shared" ca="1" si="589"/>
        <v>1080675.9793713684</v>
      </c>
      <c r="AH618" s="2">
        <f t="shared" ca="1" si="590"/>
        <v>1159461.2078448194</v>
      </c>
      <c r="AI618" s="2">
        <f t="shared" ca="1" si="591"/>
        <v>1243990.167412603</v>
      </c>
      <c r="AJ618" s="2">
        <f t="shared" ca="1" si="592"/>
        <v>1334681.5970632739</v>
      </c>
      <c r="AK618" s="2">
        <f t="shared" ca="1" si="593"/>
        <v>0</v>
      </c>
      <c r="AL618" s="2">
        <f t="shared" ca="1" si="594"/>
        <v>36715.891555700378</v>
      </c>
      <c r="AM618" s="2">
        <f t="shared" ca="1" si="595"/>
        <v>39392.614236725422</v>
      </c>
      <c r="AN618" s="2">
        <f t="shared" ca="1" si="596"/>
        <v>42264.479783891809</v>
      </c>
      <c r="AO618" s="2">
        <f t="shared" ca="1" si="597"/>
        <v>45345.714825335446</v>
      </c>
      <c r="AP618" s="2">
        <f t="shared" ca="1" si="598"/>
        <v>2375411.2626496693</v>
      </c>
      <c r="AQ618" s="2">
        <f t="shared" ca="1" si="599"/>
        <v>746455.83634382347</v>
      </c>
      <c r="AR618" s="2">
        <f t="shared" ca="1" si="600"/>
        <v>869352.65807286999</v>
      </c>
      <c r="AS618" s="2">
        <f t="shared" ca="1" si="601"/>
        <v>977757.4463521908</v>
      </c>
      <c r="AT618" s="2">
        <f t="shared" ca="1" si="602"/>
        <v>1094065.3398871415</v>
      </c>
      <c r="AU618" s="2">
        <f t="shared" ca="1" si="603"/>
        <v>1218852.5039345608</v>
      </c>
      <c r="AV618" s="2">
        <f t="shared" ca="1" si="604"/>
        <v>2124528.1495939596</v>
      </c>
      <c r="AW618" s="2">
        <f t="shared" ca="1" si="605"/>
        <v>2437595.5198824676</v>
      </c>
      <c r="AX618" s="2">
        <f t="shared" ca="1" si="606"/>
        <v>2743455.5023041246</v>
      </c>
      <c r="AY618" s="2">
        <f t="shared" ca="1" si="607"/>
        <v>3071613.7952795113</v>
      </c>
      <c r="AZ618" s="2">
        <f t="shared" ca="1" si="608"/>
        <v>3423696.0271422593</v>
      </c>
      <c r="BA618" s="2">
        <f t="shared" ca="1" si="609"/>
        <v>67976826.438927963</v>
      </c>
      <c r="BB618" s="2">
        <f t="shared" ca="1" si="610"/>
        <v>1359536.5287785593</v>
      </c>
      <c r="BC618" s="2">
        <f t="shared" ca="1" si="611"/>
        <v>40223831.436264187</v>
      </c>
      <c r="BD618" s="2">
        <f t="shared" ca="1" si="612"/>
        <v>-19195366.41900203</v>
      </c>
      <c r="BE618" s="2">
        <f t="shared" ca="1" si="613"/>
        <v>2124528.1495939596</v>
      </c>
      <c r="BF618" s="2">
        <f t="shared" ca="1" si="614"/>
        <v>2437595.5198824676</v>
      </c>
      <c r="BG618" s="2">
        <f t="shared" ca="1" si="615"/>
        <v>2743455.5023041246</v>
      </c>
      <c r="BH618" s="2">
        <f t="shared" ca="1" si="616"/>
        <v>3071613.7952795113</v>
      </c>
      <c r="BI618" s="2">
        <f t="shared" ca="1" si="617"/>
        <v>43647527.463406444</v>
      </c>
      <c r="BJ618" s="2">
        <f t="shared" ca="1" si="618"/>
        <v>0.26557093243254482</v>
      </c>
      <c r="BK618" s="2">
        <f t="shared" ca="1" si="619"/>
        <v>13316352.741484925</v>
      </c>
    </row>
    <row r="619" spans="1:63" x14ac:dyDescent="0.3">
      <c r="A619" s="2">
        <v>618</v>
      </c>
      <c r="B619" s="2">
        <f t="shared" ca="1" si="558"/>
        <v>0.12056064451957582</v>
      </c>
      <c r="C619" s="2">
        <f t="shared" ca="1" si="559"/>
        <v>6.4910410258208078</v>
      </c>
      <c r="D619" s="2">
        <f t="shared" ca="1" si="560"/>
        <v>0.56470344247529836</v>
      </c>
      <c r="E619" s="2">
        <f t="shared" ca="1" si="561"/>
        <v>7.5669442058218577</v>
      </c>
      <c r="F619" s="2">
        <f t="shared" ca="1" si="562"/>
        <v>9.3532868443698902E-2</v>
      </c>
      <c r="G619" s="2">
        <f t="shared" ca="1" si="563"/>
        <v>4.2072162234645799E-4</v>
      </c>
      <c r="H619" s="2">
        <f t="shared" ca="1" si="564"/>
        <v>4.2072162234645799E-4</v>
      </c>
      <c r="I619" s="2">
        <f t="shared" ca="1" si="565"/>
        <v>0.9104980079489573</v>
      </c>
      <c r="J619" s="2">
        <f t="shared" ca="1" si="566"/>
        <v>1.6719140445209717E-2</v>
      </c>
      <c r="K619" s="2">
        <f t="shared" ca="1" si="567"/>
        <v>1.6719140445209717E-2</v>
      </c>
      <c r="L619" s="2">
        <f t="shared" ca="1" si="568"/>
        <v>0.31219184742741213</v>
      </c>
      <c r="M619" s="2">
        <f t="shared" ca="1" si="569"/>
        <v>-9.7929404835853471E-3</v>
      </c>
      <c r="N619" s="2">
        <f t="shared" ca="1" si="570"/>
        <v>-9.7929404835853471E-3</v>
      </c>
      <c r="O619" s="2">
        <f t="shared" si="571"/>
        <v>6000000</v>
      </c>
      <c r="P619" s="2">
        <f t="shared" ca="1" si="572"/>
        <v>38946246.154924847</v>
      </c>
      <c r="Q619" s="2">
        <f t="shared" ca="1" si="573"/>
        <v>973656.15387312125</v>
      </c>
      <c r="R619" s="2">
        <f t="shared" ca="1" si="574"/>
        <v>23367747.692954909</v>
      </c>
      <c r="S619" s="2">
        <f t="shared" ca="1" si="575"/>
        <v>15578498.46196994</v>
      </c>
      <c r="T619" s="2">
        <f t="shared" ca="1" si="576"/>
        <v>49510352.975820735</v>
      </c>
      <c r="U619" s="2">
        <f t="shared" ca="1" si="577"/>
        <v>49531183.051847667</v>
      </c>
      <c r="V619" s="2">
        <f t="shared" ca="1" si="578"/>
        <v>49552021.891537979</v>
      </c>
      <c r="W619" s="2">
        <f t="shared" ca="1" si="579"/>
        <v>49572869.498578735</v>
      </c>
      <c r="X619" s="2">
        <f t="shared" ca="1" si="580"/>
        <v>49593725.876658544</v>
      </c>
      <c r="Y619" s="2">
        <f t="shared" ca="1" si="581"/>
        <v>0.12835957022260486</v>
      </c>
      <c r="Z619" s="2">
        <f t="shared" ca="1" si="582"/>
        <v>0.13170339831164679</v>
      </c>
      <c r="AA619" s="2">
        <f t="shared" ca="1" si="583"/>
        <v>6355127.6295458153</v>
      </c>
      <c r="AB619" s="2">
        <f t="shared" ca="1" si="584"/>
        <v>6523425.1303245826</v>
      </c>
      <c r="AC619" s="2">
        <f t="shared" ca="1" si="585"/>
        <v>6526169.6763286684</v>
      </c>
      <c r="AD619" s="2">
        <f t="shared" ca="1" si="586"/>
        <v>6528915.3770226017</v>
      </c>
      <c r="AE619" s="2">
        <f t="shared" ca="1" si="587"/>
        <v>6531662.2328921845</v>
      </c>
      <c r="AF619" s="2">
        <f t="shared" ca="1" si="588"/>
        <v>990207.05951641477</v>
      </c>
      <c r="AG619" s="2">
        <f t="shared" ca="1" si="589"/>
        <v>990623.66103695333</v>
      </c>
      <c r="AH619" s="2">
        <f t="shared" ca="1" si="590"/>
        <v>991040.43783075956</v>
      </c>
      <c r="AI619" s="2">
        <f t="shared" ca="1" si="591"/>
        <v>991457.38997157477</v>
      </c>
      <c r="AJ619" s="2">
        <f t="shared" ca="1" si="592"/>
        <v>991874.51753317087</v>
      </c>
      <c r="AK619" s="2">
        <f t="shared" ca="1" si="593"/>
        <v>0</v>
      </c>
      <c r="AL619" s="2">
        <f t="shared" ca="1" si="594"/>
        <v>208.30076026931405</v>
      </c>
      <c r="AM619" s="2">
        <f t="shared" ca="1" si="595"/>
        <v>208.38839690312744</v>
      </c>
      <c r="AN619" s="2">
        <f t="shared" ca="1" si="596"/>
        <v>208.47607040755452</v>
      </c>
      <c r="AO619" s="2">
        <f t="shared" ca="1" si="597"/>
        <v>208.56378079809249</v>
      </c>
      <c r="AP619" s="2">
        <f t="shared" ca="1" si="598"/>
        <v>2103097.2923659417</v>
      </c>
      <c r="AQ619" s="2">
        <f t="shared" ca="1" si="599"/>
        <v>848074.05219249928</v>
      </c>
      <c r="AR619" s="2">
        <f t="shared" ca="1" si="600"/>
        <v>891723.08599963877</v>
      </c>
      <c r="AS619" s="2">
        <f t="shared" ca="1" si="601"/>
        <v>892328.30599431158</v>
      </c>
      <c r="AT619" s="2">
        <f t="shared" ca="1" si="602"/>
        <v>892933.7806181222</v>
      </c>
      <c r="AU619" s="2">
        <f t="shared" ca="1" si="603"/>
        <v>893539.50997819868</v>
      </c>
      <c r="AV619" s="2">
        <f t="shared" ca="1" si="604"/>
        <v>2413749.2254709597</v>
      </c>
      <c r="AW619" s="2">
        <f t="shared" ca="1" si="605"/>
        <v>2537772.7901617796</v>
      </c>
      <c r="AX619" s="2">
        <f t="shared" ca="1" si="606"/>
        <v>2539495.2517407532</v>
      </c>
      <c r="AY619" s="2">
        <f t="shared" ca="1" si="607"/>
        <v>2541218.4379965556</v>
      </c>
      <c r="AZ619" s="2">
        <f t="shared" ca="1" si="608"/>
        <v>2542942.3492340758</v>
      </c>
      <c r="BA619" s="2">
        <f t="shared" ca="1" si="609"/>
        <v>49424723.68756897</v>
      </c>
      <c r="BB619" s="2">
        <f t="shared" ca="1" si="610"/>
        <v>988494.47375137941</v>
      </c>
      <c r="BC619" s="2">
        <f t="shared" ca="1" si="611"/>
        <v>25068481.52086268</v>
      </c>
      <c r="BD619" s="2">
        <f t="shared" ca="1" si="612"/>
        <v>-17052154.615843061</v>
      </c>
      <c r="BE619" s="2">
        <f t="shared" ca="1" si="613"/>
        <v>2413749.2254709597</v>
      </c>
      <c r="BF619" s="2">
        <f t="shared" ca="1" si="614"/>
        <v>2537772.7901617796</v>
      </c>
      <c r="BG619" s="2">
        <f t="shared" ca="1" si="615"/>
        <v>2539495.2517407532</v>
      </c>
      <c r="BH619" s="2">
        <f t="shared" ca="1" si="616"/>
        <v>2541218.4379965556</v>
      </c>
      <c r="BI619" s="2">
        <f t="shared" ca="1" si="617"/>
        <v>27611423.870096754</v>
      </c>
      <c r="BJ619" s="2">
        <f t="shared" ca="1" si="618"/>
        <v>0.20893762119474379</v>
      </c>
      <c r="BK619" s="2">
        <f t="shared" ca="1" si="619"/>
        <v>6216091.7987671085</v>
      </c>
    </row>
    <row r="620" spans="1:63" x14ac:dyDescent="0.3">
      <c r="A620" s="2">
        <v>619</v>
      </c>
      <c r="B620" s="2">
        <f t="shared" ca="1" si="558"/>
        <v>5.0386940923914825E-2</v>
      </c>
      <c r="C620" s="2">
        <f t="shared" ca="1" si="559"/>
        <v>6.3174490224395559</v>
      </c>
      <c r="D620" s="2">
        <f t="shared" ca="1" si="560"/>
        <v>0.66454879565845293</v>
      </c>
      <c r="E620" s="2">
        <f t="shared" ca="1" si="561"/>
        <v>7.6809136744621513</v>
      </c>
      <c r="F620" s="2">
        <f t="shared" ca="1" si="562"/>
        <v>0.46213608691378782</v>
      </c>
      <c r="G620" s="2">
        <f t="shared" ca="1" si="563"/>
        <v>3.7148389010922926E-2</v>
      </c>
      <c r="H620" s="2">
        <f t="shared" ca="1" si="564"/>
        <v>3.7148389010922926E-2</v>
      </c>
      <c r="I620" s="2">
        <f t="shared" ca="1" si="565"/>
        <v>0.8870083300290601</v>
      </c>
      <c r="J620" s="2">
        <f t="shared" ca="1" si="566"/>
        <v>1.6053852946771415E-2</v>
      </c>
      <c r="K620" s="2">
        <f t="shared" ca="1" si="567"/>
        <v>1.6053852946771415E-2</v>
      </c>
      <c r="L620" s="2">
        <f t="shared" ca="1" si="568"/>
        <v>0.49658382363825615</v>
      </c>
      <c r="M620" s="2">
        <f t="shared" ca="1" si="569"/>
        <v>-1.7126377824399654E-4</v>
      </c>
      <c r="N620" s="2">
        <f t="shared" ca="1" si="570"/>
        <v>-1.7126377824399654E-4</v>
      </c>
      <c r="O620" s="2">
        <f t="shared" si="571"/>
        <v>6000000</v>
      </c>
      <c r="P620" s="2">
        <f t="shared" ca="1" si="572"/>
        <v>37904694.134637333</v>
      </c>
      <c r="Q620" s="2">
        <f t="shared" ca="1" si="573"/>
        <v>947617.35336593341</v>
      </c>
      <c r="R620" s="2">
        <f t="shared" ca="1" si="574"/>
        <v>22742816.480782401</v>
      </c>
      <c r="S620" s="2">
        <f t="shared" ca="1" si="575"/>
        <v>15161877.653854934</v>
      </c>
      <c r="T620" s="2">
        <f t="shared" ca="1" si="576"/>
        <v>49991436.811087802</v>
      </c>
      <c r="U620" s="2">
        <f t="shared" ca="1" si="577"/>
        <v>51848538.152961068</v>
      </c>
      <c r="V620" s="2">
        <f t="shared" ca="1" si="578"/>
        <v>53774627.817914948</v>
      </c>
      <c r="W620" s="2">
        <f t="shared" ca="1" si="579"/>
        <v>55772268.611012451</v>
      </c>
      <c r="X620" s="2">
        <f t="shared" ca="1" si="580"/>
        <v>57844118.541396029</v>
      </c>
      <c r="Y620" s="2">
        <f t="shared" ca="1" si="581"/>
        <v>0.1280269264733857</v>
      </c>
      <c r="Z620" s="2">
        <f t="shared" ca="1" si="582"/>
        <v>0.13123769706273999</v>
      </c>
      <c r="AA620" s="2">
        <f t="shared" ca="1" si="583"/>
        <v>6400250.0049120458</v>
      </c>
      <c r="AB620" s="2">
        <f t="shared" ca="1" si="584"/>
        <v>6804482.7432642216</v>
      </c>
      <c r="AC620" s="2">
        <f t="shared" ca="1" si="585"/>
        <v>7057258.3152291132</v>
      </c>
      <c r="AD620" s="2">
        <f t="shared" ca="1" si="586"/>
        <v>7319424.0924738152</v>
      </c>
      <c r="AE620" s="2">
        <f t="shared" ca="1" si="587"/>
        <v>7591328.9059969541</v>
      </c>
      <c r="AF620" s="2">
        <f t="shared" ca="1" si="588"/>
        <v>999828.73622175609</v>
      </c>
      <c r="AG620" s="2">
        <f t="shared" ca="1" si="589"/>
        <v>1036970.7630592213</v>
      </c>
      <c r="AH620" s="2">
        <f t="shared" ca="1" si="590"/>
        <v>1075492.556358299</v>
      </c>
      <c r="AI620" s="2">
        <f t="shared" ca="1" si="591"/>
        <v>1115445.3722202491</v>
      </c>
      <c r="AJ620" s="2">
        <f t="shared" ca="1" si="592"/>
        <v>1156882.3708279205</v>
      </c>
      <c r="AK620" s="2">
        <f t="shared" ca="1" si="593"/>
        <v>0</v>
      </c>
      <c r="AL620" s="2">
        <f t="shared" ca="1" si="594"/>
        <v>18571.013418732658</v>
      </c>
      <c r="AM620" s="2">
        <f t="shared" ca="1" si="595"/>
        <v>19260.896649538801</v>
      </c>
      <c r="AN620" s="2">
        <f t="shared" ca="1" si="596"/>
        <v>19976.407930975034</v>
      </c>
      <c r="AO620" s="2">
        <f t="shared" ca="1" si="597"/>
        <v>20718.499303835779</v>
      </c>
      <c r="AP620" s="2">
        <f t="shared" ca="1" si="598"/>
        <v>2046853.483270416</v>
      </c>
      <c r="AQ620" s="2">
        <f t="shared" ca="1" si="599"/>
        <v>871927.6242091672</v>
      </c>
      <c r="AR620" s="2">
        <f t="shared" ca="1" si="600"/>
        <v>967371.20920299191</v>
      </c>
      <c r="AS620" s="2">
        <f t="shared" ca="1" si="601"/>
        <v>1023077.1916561035</v>
      </c>
      <c r="AT620" s="2">
        <f t="shared" ca="1" si="602"/>
        <v>1080852.5616156191</v>
      </c>
      <c r="AU620" s="2">
        <f t="shared" ca="1" si="603"/>
        <v>1140774.1934936405</v>
      </c>
      <c r="AV620" s="2">
        <f t="shared" ca="1" si="604"/>
        <v>2481640.1612107065</v>
      </c>
      <c r="AW620" s="2">
        <f t="shared" ca="1" si="605"/>
        <v>2734716.2743128603</v>
      </c>
      <c r="AX620" s="2">
        <f t="shared" ca="1" si="606"/>
        <v>2892574.1872947561</v>
      </c>
      <c r="AY620" s="2">
        <f t="shared" ca="1" si="607"/>
        <v>3056296.2674365565</v>
      </c>
      <c r="AZ620" s="2">
        <f t="shared" ca="1" si="608"/>
        <v>3226100.3591011409</v>
      </c>
      <c r="BA620" s="2">
        <f t="shared" ca="1" si="609"/>
        <v>58308342.001411811</v>
      </c>
      <c r="BB620" s="2">
        <f t="shared" ca="1" si="610"/>
        <v>1166166.8400282362</v>
      </c>
      <c r="BC620" s="2">
        <f t="shared" ca="1" si="611"/>
        <v>34399358.680601172</v>
      </c>
      <c r="BD620" s="2">
        <f t="shared" ca="1" si="612"/>
        <v>-16609495.007220868</v>
      </c>
      <c r="BE620" s="2">
        <f t="shared" ca="1" si="613"/>
        <v>2481640.1612107065</v>
      </c>
      <c r="BF620" s="2">
        <f t="shared" ca="1" si="614"/>
        <v>2734716.2743128603</v>
      </c>
      <c r="BG620" s="2">
        <f t="shared" ca="1" si="615"/>
        <v>2892574.1872947561</v>
      </c>
      <c r="BH620" s="2">
        <f t="shared" ca="1" si="616"/>
        <v>3056296.2674365565</v>
      </c>
      <c r="BI620" s="2">
        <f t="shared" ca="1" si="617"/>
        <v>37625459.039702311</v>
      </c>
      <c r="BJ620" s="2">
        <f t="shared" ca="1" si="618"/>
        <v>0.28886085271847617</v>
      </c>
      <c r="BK620" s="2">
        <f t="shared" ca="1" si="619"/>
        <v>13137258.82807431</v>
      </c>
    </row>
    <row r="621" spans="1:63" x14ac:dyDescent="0.3">
      <c r="A621" s="2">
        <v>620</v>
      </c>
      <c r="B621" s="2">
        <f t="shared" ca="1" si="558"/>
        <v>0.58862176816067135</v>
      </c>
      <c r="C621" s="2">
        <f t="shared" ca="1" si="559"/>
        <v>7.0929407606563633</v>
      </c>
      <c r="D621" s="2">
        <f t="shared" ca="1" si="560"/>
        <v>0.34525705250466787</v>
      </c>
      <c r="E621" s="2">
        <f t="shared" ca="1" si="561"/>
        <v>7.3309717835217603</v>
      </c>
      <c r="F621" s="2">
        <f t="shared" ca="1" si="562"/>
        <v>0.27356604370051507</v>
      </c>
      <c r="G621" s="2">
        <f t="shared" ca="1" si="563"/>
        <v>2.1938104820174397E-2</v>
      </c>
      <c r="H621" s="2">
        <f t="shared" ca="1" si="564"/>
        <v>2.1938104820174397E-2</v>
      </c>
      <c r="I621" s="2">
        <f t="shared" ca="1" si="565"/>
        <v>0.34643228873807386</v>
      </c>
      <c r="J621" s="2">
        <f t="shared" ca="1" si="566"/>
        <v>8.0251469458861632E-3</v>
      </c>
      <c r="K621" s="2">
        <f t="shared" ca="1" si="567"/>
        <v>8.0251469458861632E-3</v>
      </c>
      <c r="L621" s="2">
        <f t="shared" ca="1" si="568"/>
        <v>0.2979420396807958</v>
      </c>
      <c r="M621" s="2">
        <f t="shared" ca="1" si="569"/>
        <v>-1.0606573189930357E-2</v>
      </c>
      <c r="N621" s="2">
        <f t="shared" ca="1" si="570"/>
        <v>-1.0606573189930357E-2</v>
      </c>
      <c r="O621" s="2">
        <f t="shared" si="571"/>
        <v>6000000</v>
      </c>
      <c r="P621" s="2">
        <f t="shared" ca="1" si="572"/>
        <v>42557644.563938178</v>
      </c>
      <c r="Q621" s="2">
        <f t="shared" ca="1" si="573"/>
        <v>1063941.1140984546</v>
      </c>
      <c r="R621" s="2">
        <f t="shared" ca="1" si="574"/>
        <v>25534586.738362905</v>
      </c>
      <c r="S621" s="2">
        <f t="shared" ca="1" si="575"/>
        <v>17023057.825575273</v>
      </c>
      <c r="T621" s="2">
        <f t="shared" ca="1" si="576"/>
        <v>49469671.340503484</v>
      </c>
      <c r="U621" s="2">
        <f t="shared" ca="1" si="577"/>
        <v>50554942.175791025</v>
      </c>
      <c r="V621" s="2">
        <f t="shared" ca="1" si="578"/>
        <v>51664021.796421379</v>
      </c>
      <c r="W621" s="2">
        <f t="shared" ca="1" si="579"/>
        <v>52797432.522023045</v>
      </c>
      <c r="X621" s="2">
        <f t="shared" ca="1" si="580"/>
        <v>53955708.130927265</v>
      </c>
      <c r="Y621" s="2">
        <f t="shared" ca="1" si="581"/>
        <v>0.12401257347294307</v>
      </c>
      <c r="Z621" s="2">
        <f t="shared" ca="1" si="582"/>
        <v>0.12561760286212031</v>
      </c>
      <c r="AA621" s="2">
        <f t="shared" ca="1" si="583"/>
        <v>6134861.2517965343</v>
      </c>
      <c r="AB621" s="2">
        <f t="shared" ca="1" si="584"/>
        <v>6350590.6489559738</v>
      </c>
      <c r="AC621" s="2">
        <f t="shared" ca="1" si="585"/>
        <v>6489910.5722827883</v>
      </c>
      <c r="AD621" s="2">
        <f t="shared" ca="1" si="586"/>
        <v>6632286.9106910862</v>
      </c>
      <c r="AE621" s="2">
        <f t="shared" ca="1" si="587"/>
        <v>6777786.716135297</v>
      </c>
      <c r="AF621" s="2">
        <f t="shared" ca="1" si="588"/>
        <v>989393.42681006971</v>
      </c>
      <c r="AG621" s="2">
        <f t="shared" ca="1" si="589"/>
        <v>1011098.8435158206</v>
      </c>
      <c r="AH621" s="2">
        <f t="shared" ca="1" si="590"/>
        <v>1033280.4359284276</v>
      </c>
      <c r="AI621" s="2">
        <f t="shared" ca="1" si="591"/>
        <v>1055948.650440461</v>
      </c>
      <c r="AJ621" s="2">
        <f t="shared" ca="1" si="592"/>
        <v>1079114.1626185453</v>
      </c>
      <c r="AK621" s="2">
        <f t="shared" ca="1" si="593"/>
        <v>0</v>
      </c>
      <c r="AL621" s="2">
        <f t="shared" ca="1" si="594"/>
        <v>10852.708352875412</v>
      </c>
      <c r="AM621" s="2">
        <f t="shared" ca="1" si="595"/>
        <v>11090.796206303537</v>
      </c>
      <c r="AN621" s="2">
        <f t="shared" ca="1" si="596"/>
        <v>11334.107256016658</v>
      </c>
      <c r="AO621" s="2">
        <f t="shared" ca="1" si="597"/>
        <v>11582.756089042201</v>
      </c>
      <c r="AP621" s="2">
        <f t="shared" ca="1" si="598"/>
        <v>2298112.8064526613</v>
      </c>
      <c r="AQ621" s="2">
        <f t="shared" ca="1" si="599"/>
        <v>740312.30481878878</v>
      </c>
      <c r="AR621" s="2">
        <f t="shared" ca="1" si="600"/>
        <v>790758.53973674786</v>
      </c>
      <c r="AS621" s="2">
        <f t="shared" ca="1" si="601"/>
        <v>821214.50577444187</v>
      </c>
      <c r="AT621" s="2">
        <f t="shared" ca="1" si="602"/>
        <v>852338.6179874707</v>
      </c>
      <c r="AU621" s="2">
        <f t="shared" ca="1" si="603"/>
        <v>884145.53423666337</v>
      </c>
      <c r="AV621" s="2">
        <f t="shared" ca="1" si="604"/>
        <v>2107042.7137150145</v>
      </c>
      <c r="AW621" s="2">
        <f t="shared" ca="1" si="605"/>
        <v>2239767.750897869</v>
      </c>
      <c r="AX621" s="2">
        <f t="shared" ca="1" si="606"/>
        <v>2326212.0279209535</v>
      </c>
      <c r="AY621" s="2">
        <f t="shared" ca="1" si="607"/>
        <v>2414552.7285544765</v>
      </c>
      <c r="AZ621" s="2">
        <f t="shared" ca="1" si="608"/>
        <v>2504831.4567383849</v>
      </c>
      <c r="BA621" s="2">
        <f t="shared" ca="1" si="609"/>
        <v>49687763.170716472</v>
      </c>
      <c r="BB621" s="2">
        <f t="shared" ca="1" si="610"/>
        <v>993755.2634143295</v>
      </c>
      <c r="BC621" s="2">
        <f t="shared" ca="1" si="611"/>
        <v>23159421.168939237</v>
      </c>
      <c r="BD621" s="2">
        <f t="shared" ca="1" si="612"/>
        <v>-18586998.939673729</v>
      </c>
      <c r="BE621" s="2">
        <f t="shared" ca="1" si="613"/>
        <v>2107042.7137150145</v>
      </c>
      <c r="BF621" s="2">
        <f t="shared" ca="1" si="614"/>
        <v>2239767.750897869</v>
      </c>
      <c r="BG621" s="2">
        <f t="shared" ca="1" si="615"/>
        <v>2326212.0279209535</v>
      </c>
      <c r="BH621" s="2">
        <f t="shared" ca="1" si="616"/>
        <v>2414552.7285544765</v>
      </c>
      <c r="BI621" s="2">
        <f t="shared" ca="1" si="617"/>
        <v>25664252.625677623</v>
      </c>
      <c r="BJ621" s="2">
        <f t="shared" ca="1" si="618"/>
        <v>0.15903902895646893</v>
      </c>
      <c r="BK621" s="2">
        <f t="shared" ca="1" si="619"/>
        <v>2832648.1914380714</v>
      </c>
    </row>
    <row r="622" spans="1:63" x14ac:dyDescent="0.3">
      <c r="A622" s="2">
        <v>621</v>
      </c>
      <c r="B622" s="2">
        <f t="shared" ca="1" si="558"/>
        <v>0.67026868486330959</v>
      </c>
      <c r="C622" s="2">
        <f t="shared" ca="1" si="559"/>
        <v>7.1879269550875486</v>
      </c>
      <c r="D622" s="2">
        <f t="shared" ca="1" si="560"/>
        <v>3.6231945057226933E-2</v>
      </c>
      <c r="E622" s="2">
        <f t="shared" ca="1" si="561"/>
        <v>6.769191177631166</v>
      </c>
      <c r="F622" s="2">
        <f t="shared" ca="1" si="562"/>
        <v>0.51089903646208867</v>
      </c>
      <c r="G622" s="2">
        <f t="shared" ca="1" si="563"/>
        <v>4.0819696969470999E-2</v>
      </c>
      <c r="H622" s="2">
        <f t="shared" ca="1" si="564"/>
        <v>4.0819696969470999E-2</v>
      </c>
      <c r="I622" s="2">
        <f t="shared" ca="1" si="565"/>
        <v>0.91168247030298866</v>
      </c>
      <c r="J622" s="2">
        <f t="shared" ca="1" si="566"/>
        <v>1.6755942469957548E-2</v>
      </c>
      <c r="K622" s="2">
        <f t="shared" ca="1" si="567"/>
        <v>1.6755942469957548E-2</v>
      </c>
      <c r="L622" s="2">
        <f t="shared" ca="1" si="568"/>
        <v>0.8336905306375596</v>
      </c>
      <c r="M622" s="2">
        <f t="shared" ca="1" si="569"/>
        <v>1.9377043955395589E-2</v>
      </c>
      <c r="N622" s="2">
        <f t="shared" ca="1" si="570"/>
        <v>1.9377043955395589E-2</v>
      </c>
      <c r="O622" s="2">
        <f t="shared" si="571"/>
        <v>6000000</v>
      </c>
      <c r="P622" s="2">
        <f t="shared" ca="1" si="572"/>
        <v>43127561.730525292</v>
      </c>
      <c r="Q622" s="2">
        <f t="shared" ca="1" si="573"/>
        <v>1078189.0432631325</v>
      </c>
      <c r="R622" s="2">
        <f t="shared" ca="1" si="574"/>
        <v>25876537.038315173</v>
      </c>
      <c r="S622" s="2">
        <f t="shared" ca="1" si="575"/>
        <v>17251024.692210119</v>
      </c>
      <c r="T622" s="2">
        <f t="shared" ca="1" si="576"/>
        <v>50968852.197769776</v>
      </c>
      <c r="U622" s="2">
        <f t="shared" ca="1" si="577"/>
        <v>53049385.299364492</v>
      </c>
      <c r="V622" s="2">
        <f t="shared" ca="1" si="578"/>
        <v>55214845.131701261</v>
      </c>
      <c r="W622" s="2">
        <f t="shared" ca="1" si="579"/>
        <v>57468698.378193572</v>
      </c>
      <c r="X622" s="2">
        <f t="shared" ca="1" si="580"/>
        <v>59814553.231221363</v>
      </c>
      <c r="Y622" s="2">
        <f t="shared" ca="1" si="581"/>
        <v>0.12837797123497877</v>
      </c>
      <c r="Z622" s="2">
        <f t="shared" ca="1" si="582"/>
        <v>0.13172915972897029</v>
      </c>
      <c r="AA622" s="2">
        <f t="shared" ca="1" si="583"/>
        <v>6543277.8413251722</v>
      </c>
      <c r="AB622" s="2">
        <f t="shared" ca="1" si="584"/>
        <v>6988150.9496236732</v>
      </c>
      <c r="AC622" s="2">
        <f t="shared" ca="1" si="585"/>
        <v>7273405.153764233</v>
      </c>
      <c r="AD622" s="2">
        <f t="shared" ca="1" si="586"/>
        <v>7570303.3480770765</v>
      </c>
      <c r="AE622" s="2">
        <f t="shared" ca="1" si="587"/>
        <v>7879320.836712555</v>
      </c>
      <c r="AF622" s="2">
        <f t="shared" ca="1" si="588"/>
        <v>1019377.0439553956</v>
      </c>
      <c r="AG622" s="2">
        <f t="shared" ca="1" si="589"/>
        <v>1060987.7059872898</v>
      </c>
      <c r="AH622" s="2">
        <f t="shared" ca="1" si="590"/>
        <v>1104296.9026340253</v>
      </c>
      <c r="AI622" s="2">
        <f t="shared" ca="1" si="591"/>
        <v>1149373.9675638715</v>
      </c>
      <c r="AJ622" s="2">
        <f t="shared" ca="1" si="592"/>
        <v>1196291.0646244274</v>
      </c>
      <c r="AK622" s="2">
        <f t="shared" ca="1" si="593"/>
        <v>0</v>
      </c>
      <c r="AL622" s="2">
        <f t="shared" ca="1" si="594"/>
        <v>20805.331015947162</v>
      </c>
      <c r="AM622" s="2">
        <f t="shared" ca="1" si="595"/>
        <v>21654.598323367685</v>
      </c>
      <c r="AN622" s="2">
        <f t="shared" ca="1" si="596"/>
        <v>22538.532464923115</v>
      </c>
      <c r="AO622" s="2">
        <f t="shared" ca="1" si="597"/>
        <v>23458.548530277909</v>
      </c>
      <c r="AP622" s="2">
        <f t="shared" ca="1" si="598"/>
        <v>2328888.3334483653</v>
      </c>
      <c r="AQ622" s="2">
        <f t="shared" ca="1" si="599"/>
        <v>830703.24061956687</v>
      </c>
      <c r="AR622" s="2">
        <f t="shared" ca="1" si="600"/>
        <v>935551.47664888483</v>
      </c>
      <c r="AS622" s="2">
        <f t="shared" ca="1" si="601"/>
        <v>998457.17859727901</v>
      </c>
      <c r="AT622" s="2">
        <f t="shared" ca="1" si="602"/>
        <v>1063930.6722368584</v>
      </c>
      <c r="AU622" s="2">
        <f t="shared" ca="1" si="603"/>
        <v>1132076.7740463382</v>
      </c>
      <c r="AV622" s="2">
        <f t="shared" ca="1" si="604"/>
        <v>2364309.2233018437</v>
      </c>
      <c r="AW622" s="2">
        <f t="shared" ca="1" si="605"/>
        <v>2641918.1025231862</v>
      </c>
      <c r="AX622" s="2">
        <f t="shared" ca="1" si="606"/>
        <v>2820108.1407611957</v>
      </c>
      <c r="AY622" s="2">
        <f t="shared" ca="1" si="607"/>
        <v>3005571.8423630577</v>
      </c>
      <c r="AZ622" s="2">
        <f t="shared" ca="1" si="608"/>
        <v>3198606.1160631459</v>
      </c>
      <c r="BA622" s="2">
        <f t="shared" ca="1" si="609"/>
        <v>53336629.093600042</v>
      </c>
      <c r="BB622" s="2">
        <f t="shared" ca="1" si="610"/>
        <v>1066732.5818720008</v>
      </c>
      <c r="BC622" s="2">
        <f t="shared" ca="1" si="611"/>
        <v>26393359.473412868</v>
      </c>
      <c r="BD622" s="2">
        <f t="shared" ca="1" si="612"/>
        <v>-18829213.735473253</v>
      </c>
      <c r="BE622" s="2">
        <f t="shared" ca="1" si="613"/>
        <v>2364309.2233018437</v>
      </c>
      <c r="BF622" s="2">
        <f t="shared" ca="1" si="614"/>
        <v>2641918.1025231862</v>
      </c>
      <c r="BG622" s="2">
        <f t="shared" ca="1" si="615"/>
        <v>2820108.1407611957</v>
      </c>
      <c r="BH622" s="2">
        <f t="shared" ca="1" si="616"/>
        <v>3005571.8423630577</v>
      </c>
      <c r="BI622" s="2">
        <f t="shared" ca="1" si="617"/>
        <v>29591965.589476012</v>
      </c>
      <c r="BJ622" s="2">
        <f t="shared" ca="1" si="618"/>
        <v>0.19920210628148038</v>
      </c>
      <c r="BK622" s="2">
        <f t="shared" ca="1" si="619"/>
        <v>6096566.0808247291</v>
      </c>
    </row>
    <row r="623" spans="1:63" x14ac:dyDescent="0.3">
      <c r="A623" s="2">
        <v>622</v>
      </c>
      <c r="B623" s="2">
        <f t="shared" ca="1" si="558"/>
        <v>0.99059649545129413</v>
      </c>
      <c r="C623" s="2">
        <f t="shared" ca="1" si="559"/>
        <v>7.8628613508254812</v>
      </c>
      <c r="D623" s="2">
        <f t="shared" ca="1" si="560"/>
        <v>0.84790530156047206</v>
      </c>
      <c r="E623" s="2">
        <f t="shared" ca="1" si="561"/>
        <v>7.9484663229873842</v>
      </c>
      <c r="F623" s="2">
        <f t="shared" ca="1" si="562"/>
        <v>7.9591621014919234E-2</v>
      </c>
      <c r="G623" s="2">
        <f t="shared" ca="1" si="563"/>
        <v>-2.2347149182127407E-3</v>
      </c>
      <c r="H623" s="2">
        <f t="shared" ca="1" si="564"/>
        <v>-2.2347149182127407E-3</v>
      </c>
      <c r="I623" s="2">
        <f t="shared" ca="1" si="565"/>
        <v>0.4150666523380494</v>
      </c>
      <c r="J623" s="2">
        <f t="shared" ca="1" si="566"/>
        <v>8.927346984850041E-3</v>
      </c>
      <c r="K623" s="2">
        <f t="shared" ca="1" si="567"/>
        <v>8.927346984850041E-3</v>
      </c>
      <c r="L623" s="2">
        <f t="shared" ca="1" si="568"/>
        <v>0.63168311318170867</v>
      </c>
      <c r="M623" s="2">
        <f t="shared" ca="1" si="569"/>
        <v>6.726288489913709E-3</v>
      </c>
      <c r="N623" s="2">
        <f t="shared" ca="1" si="570"/>
        <v>6.726288489913709E-3</v>
      </c>
      <c r="O623" s="2">
        <f t="shared" si="571"/>
        <v>6000000</v>
      </c>
      <c r="P623" s="2">
        <f t="shared" ca="1" si="572"/>
        <v>47177168.104952887</v>
      </c>
      <c r="Q623" s="2">
        <f t="shared" ca="1" si="573"/>
        <v>1179429.2026238223</v>
      </c>
      <c r="R623" s="2">
        <f t="shared" ca="1" si="574"/>
        <v>28306300.862971731</v>
      </c>
      <c r="S623" s="2">
        <f t="shared" ca="1" si="575"/>
        <v>18870867.241981156</v>
      </c>
      <c r="T623" s="2">
        <f t="shared" ca="1" si="576"/>
        <v>50336314.42449569</v>
      </c>
      <c r="U623" s="2">
        <f t="shared" ca="1" si="577"/>
        <v>50223827.111723423</v>
      </c>
      <c r="V623" s="2">
        <f t="shared" ca="1" si="578"/>
        <v>50111591.176027119</v>
      </c>
      <c r="W623" s="2">
        <f t="shared" ca="1" si="579"/>
        <v>49999606.055650674</v>
      </c>
      <c r="X623" s="2">
        <f t="shared" ca="1" si="580"/>
        <v>49887871.190093353</v>
      </c>
      <c r="Y623" s="2">
        <f t="shared" ca="1" si="581"/>
        <v>0.12446367349242501</v>
      </c>
      <c r="Z623" s="2">
        <f t="shared" ca="1" si="582"/>
        <v>0.12624914288939501</v>
      </c>
      <c r="AA623" s="2">
        <f t="shared" ca="1" si="583"/>
        <v>6265042.6033424754</v>
      </c>
      <c r="AB623" s="2">
        <f t="shared" ca="1" si="584"/>
        <v>6340715.1254802411</v>
      </c>
      <c r="AC623" s="2">
        <f t="shared" ca="1" si="585"/>
        <v>6326545.4347971939</v>
      </c>
      <c r="AD623" s="2">
        <f t="shared" ca="1" si="586"/>
        <v>6312407.4093333017</v>
      </c>
      <c r="AE623" s="2">
        <f t="shared" ca="1" si="587"/>
        <v>6298300.9783258289</v>
      </c>
      <c r="AF623" s="2">
        <f t="shared" ca="1" si="588"/>
        <v>1006726.2884899138</v>
      </c>
      <c r="AG623" s="2">
        <f t="shared" ca="1" si="589"/>
        <v>1004476.5422344685</v>
      </c>
      <c r="AH623" s="2">
        <f t="shared" ca="1" si="590"/>
        <v>1002231.8235205424</v>
      </c>
      <c r="AI623" s="2">
        <f t="shared" ca="1" si="591"/>
        <v>999992.12111301348</v>
      </c>
      <c r="AJ623" s="2">
        <f t="shared" ca="1" si="592"/>
        <v>997757.42380186706</v>
      </c>
      <c r="AK623" s="2">
        <f t="shared" ca="1" si="593"/>
        <v>0</v>
      </c>
      <c r="AL623" s="2">
        <f t="shared" ca="1" si="594"/>
        <v>0</v>
      </c>
      <c r="AM623" s="2">
        <f t="shared" ca="1" si="595"/>
        <v>0</v>
      </c>
      <c r="AN623" s="2">
        <f t="shared" ca="1" si="596"/>
        <v>0</v>
      </c>
      <c r="AO623" s="2">
        <f t="shared" ca="1" si="597"/>
        <v>0</v>
      </c>
      <c r="AP623" s="2">
        <f t="shared" ca="1" si="598"/>
        <v>2547567.0776674557</v>
      </c>
      <c r="AQ623" s="2">
        <f t="shared" ca="1" si="599"/>
        <v>704794.80166812765</v>
      </c>
      <c r="AR623" s="2">
        <f t="shared" ca="1" si="600"/>
        <v>725054.59145036247</v>
      </c>
      <c r="AS623" s="2">
        <f t="shared" ca="1" si="601"/>
        <v>721954.09873839095</v>
      </c>
      <c r="AT623" s="2">
        <f t="shared" ca="1" si="602"/>
        <v>718860.5347437365</v>
      </c>
      <c r="AU623" s="2">
        <f t="shared" ca="1" si="603"/>
        <v>715773.88398269156</v>
      </c>
      <c r="AV623" s="2">
        <f t="shared" ca="1" si="604"/>
        <v>2005954.4355169781</v>
      </c>
      <c r="AW623" s="2">
        <f t="shared" ca="1" si="605"/>
        <v>2063616.9141279547</v>
      </c>
      <c r="AX623" s="2">
        <f t="shared" ca="1" si="606"/>
        <v>2054792.4348708051</v>
      </c>
      <c r="AY623" s="2">
        <f t="shared" ca="1" si="607"/>
        <v>2045987.6758090961</v>
      </c>
      <c r="AZ623" s="2">
        <f t="shared" ca="1" si="608"/>
        <v>2037202.5928738141</v>
      </c>
      <c r="BA623" s="2">
        <f t="shared" ca="1" si="609"/>
        <v>50061833.218261346</v>
      </c>
      <c r="BB623" s="2">
        <f t="shared" ca="1" si="610"/>
        <v>1001236.664365227</v>
      </c>
      <c r="BC623" s="2">
        <f t="shared" ca="1" si="611"/>
        <v>20754295.690924387</v>
      </c>
      <c r="BD623" s="2">
        <f t="shared" ca="1" si="612"/>
        <v>-20550296.444604978</v>
      </c>
      <c r="BE623" s="2">
        <f t="shared" ca="1" si="613"/>
        <v>2005954.4355169781</v>
      </c>
      <c r="BF623" s="2">
        <f t="shared" ca="1" si="614"/>
        <v>2063616.9141279547</v>
      </c>
      <c r="BG623" s="2">
        <f t="shared" ca="1" si="615"/>
        <v>2054792.4348708051</v>
      </c>
      <c r="BH623" s="2">
        <f t="shared" ca="1" si="616"/>
        <v>2045987.6758090961</v>
      </c>
      <c r="BI623" s="2">
        <f t="shared" ca="1" si="617"/>
        <v>22791498.283798203</v>
      </c>
      <c r="BJ623" s="2">
        <f t="shared" ca="1" si="618"/>
        <v>0.10091730979990632</v>
      </c>
      <c r="BK623" s="2">
        <f t="shared" ca="1" si="619"/>
        <v>-1418831.8960950524</v>
      </c>
    </row>
    <row r="624" spans="1:63" x14ac:dyDescent="0.3">
      <c r="A624" s="2">
        <v>623</v>
      </c>
      <c r="B624" s="2">
        <f t="shared" ca="1" si="558"/>
        <v>0.97812605182044221</v>
      </c>
      <c r="C624" s="2">
        <f t="shared" ca="1" si="559"/>
        <v>7.7908400220904692</v>
      </c>
      <c r="D624" s="2">
        <f t="shared" ca="1" si="560"/>
        <v>0.67896533593797004</v>
      </c>
      <c r="E624" s="2">
        <f t="shared" ca="1" si="561"/>
        <v>7.6987077136749287</v>
      </c>
      <c r="F624" s="2">
        <f t="shared" ca="1" si="562"/>
        <v>0.84039784342582813</v>
      </c>
      <c r="G624" s="2">
        <f t="shared" ca="1" si="563"/>
        <v>6.98828299857297E-2</v>
      </c>
      <c r="H624" s="2">
        <f t="shared" ca="1" si="564"/>
        <v>6.98828299857297E-2</v>
      </c>
      <c r="I624" s="2">
        <f t="shared" ca="1" si="565"/>
        <v>0.58372997659248471</v>
      </c>
      <c r="J624" s="2">
        <f t="shared" ca="1" si="566"/>
        <v>1.1057224991568667E-2</v>
      </c>
      <c r="K624" s="2">
        <f t="shared" ca="1" si="567"/>
        <v>1.1057224991568667E-2</v>
      </c>
      <c r="L624" s="2">
        <f t="shared" ca="1" si="568"/>
        <v>0.74265461976620262</v>
      </c>
      <c r="M624" s="2">
        <f t="shared" ca="1" si="569"/>
        <v>1.3031023289323125E-2</v>
      </c>
      <c r="N624" s="2">
        <f t="shared" ca="1" si="570"/>
        <v>1.3031023289323125E-2</v>
      </c>
      <c r="O624" s="2">
        <f t="shared" si="571"/>
        <v>6000000</v>
      </c>
      <c r="P624" s="2">
        <f t="shared" ca="1" si="572"/>
        <v>46745040.132542819</v>
      </c>
      <c r="Q624" s="2">
        <f t="shared" ca="1" si="573"/>
        <v>1168626.0033135705</v>
      </c>
      <c r="R624" s="2">
        <f t="shared" ca="1" si="574"/>
        <v>28047024.079525691</v>
      </c>
      <c r="S624" s="2">
        <f t="shared" ca="1" si="575"/>
        <v>18698016.053017128</v>
      </c>
      <c r="T624" s="2">
        <f t="shared" ca="1" si="576"/>
        <v>50651551.164466158</v>
      </c>
      <c r="U624" s="2">
        <f t="shared" ca="1" si="577"/>
        <v>54191224.903006032</v>
      </c>
      <c r="V624" s="2">
        <f t="shared" ca="1" si="578"/>
        <v>57978261.059621245</v>
      </c>
      <c r="W624" s="2">
        <f t="shared" ca="1" si="579"/>
        <v>62029946.020119011</v>
      </c>
      <c r="X624" s="2">
        <f t="shared" ca="1" si="580"/>
        <v>66364774.191866979</v>
      </c>
      <c r="Y624" s="2">
        <f t="shared" ca="1" si="581"/>
        <v>0.12552861249578434</v>
      </c>
      <c r="Z624" s="2">
        <f t="shared" ca="1" si="582"/>
        <v>0.12774005749409806</v>
      </c>
      <c r="AA624" s="2">
        <f t="shared" ca="1" si="583"/>
        <v>6358218.938434666</v>
      </c>
      <c r="AB624" s="2">
        <f t="shared" ca="1" si="584"/>
        <v>6922390.1847855886</v>
      </c>
      <c r="AC624" s="2">
        <f t="shared" ca="1" si="585"/>
        <v>7406146.4011638444</v>
      </c>
      <c r="AD624" s="2">
        <f t="shared" ca="1" si="586"/>
        <v>7923708.8709658012</v>
      </c>
      <c r="AE624" s="2">
        <f t="shared" ca="1" si="587"/>
        <v>8477440.070851922</v>
      </c>
      <c r="AF624" s="2">
        <f t="shared" ca="1" si="588"/>
        <v>1013031.0232893232</v>
      </c>
      <c r="AG624" s="2">
        <f t="shared" ca="1" si="589"/>
        <v>1083824.4980601207</v>
      </c>
      <c r="AH624" s="2">
        <f t="shared" ca="1" si="590"/>
        <v>1159565.2211924249</v>
      </c>
      <c r="AI624" s="2">
        <f t="shared" ca="1" si="591"/>
        <v>1240598.9204023802</v>
      </c>
      <c r="AJ624" s="2">
        <f t="shared" ca="1" si="592"/>
        <v>1327295.4838373396</v>
      </c>
      <c r="AK624" s="2">
        <f t="shared" ca="1" si="593"/>
        <v>0</v>
      </c>
      <c r="AL624" s="2">
        <f t="shared" ca="1" si="594"/>
        <v>35396.737385398745</v>
      </c>
      <c r="AM624" s="2">
        <f t="shared" ca="1" si="595"/>
        <v>37870.361566152125</v>
      </c>
      <c r="AN624" s="2">
        <f t="shared" ca="1" si="596"/>
        <v>40516.849604977666</v>
      </c>
      <c r="AO624" s="2">
        <f t="shared" ca="1" si="597"/>
        <v>43348.28171747968</v>
      </c>
      <c r="AP624" s="2">
        <f t="shared" ca="1" si="598"/>
        <v>2524232.1671573119</v>
      </c>
      <c r="AQ624" s="2">
        <f t="shared" ca="1" si="599"/>
        <v>733448.4944768881</v>
      </c>
      <c r="AR624" s="2">
        <f t="shared" ca="1" si="600"/>
        <v>861726.71508772043</v>
      </c>
      <c r="AS624" s="2">
        <f t="shared" ca="1" si="601"/>
        <v>967810.74333166797</v>
      </c>
      <c r="AT624" s="2">
        <f t="shared" ca="1" si="602"/>
        <v>1081308.2236855885</v>
      </c>
      <c r="AU624" s="2">
        <f t="shared" ca="1" si="603"/>
        <v>1202737.2291628902</v>
      </c>
      <c r="AV624" s="2">
        <f t="shared" ca="1" si="604"/>
        <v>2087507.2535111429</v>
      </c>
      <c r="AW624" s="2">
        <f t="shared" ca="1" si="605"/>
        <v>2417210.0670950366</v>
      </c>
      <c r="AX624" s="2">
        <f t="shared" ca="1" si="606"/>
        <v>2716667.907916287</v>
      </c>
      <c r="AY624" s="2">
        <f t="shared" ca="1" si="607"/>
        <v>3037052.7101155436</v>
      </c>
      <c r="AZ624" s="2">
        <f t="shared" ca="1" si="608"/>
        <v>3379826.9089769004</v>
      </c>
      <c r="BA624" s="2">
        <f t="shared" ca="1" si="609"/>
        <v>65265333.265684627</v>
      </c>
      <c r="BB624" s="2">
        <f t="shared" ca="1" si="610"/>
        <v>1305306.6653136925</v>
      </c>
      <c r="BC624" s="2">
        <f t="shared" ca="1" si="611"/>
        <v>35913002.520845249</v>
      </c>
      <c r="BD624" s="2">
        <f t="shared" ca="1" si="612"/>
        <v>-20366642.056330699</v>
      </c>
      <c r="BE624" s="2">
        <f t="shared" ca="1" si="613"/>
        <v>2087507.2535111429</v>
      </c>
      <c r="BF624" s="2">
        <f t="shared" ca="1" si="614"/>
        <v>2417210.0670950366</v>
      </c>
      <c r="BG624" s="2">
        <f t="shared" ca="1" si="615"/>
        <v>2716667.907916287</v>
      </c>
      <c r="BH624" s="2">
        <f t="shared" ca="1" si="616"/>
        <v>3037052.7101155436</v>
      </c>
      <c r="BI624" s="2">
        <f t="shared" ca="1" si="617"/>
        <v>39292829.429822147</v>
      </c>
      <c r="BJ624" s="2">
        <f t="shared" ca="1" si="618"/>
        <v>0.22526799509242501</v>
      </c>
      <c r="BK624" s="2">
        <f t="shared" ca="1" si="619"/>
        <v>9583767.8866970986</v>
      </c>
    </row>
    <row r="625" spans="1:63" x14ac:dyDescent="0.3">
      <c r="A625" s="2">
        <v>624</v>
      </c>
      <c r="B625" s="2">
        <f t="shared" ca="1" si="558"/>
        <v>0.96420395735052011</v>
      </c>
      <c r="C625" s="2">
        <f t="shared" ca="1" si="559"/>
        <v>7.7324330265167998</v>
      </c>
      <c r="D625" s="2">
        <f t="shared" ca="1" si="560"/>
        <v>0.27480564588179945</v>
      </c>
      <c r="E625" s="2">
        <f t="shared" ca="1" si="561"/>
        <v>7.2413577353502143</v>
      </c>
      <c r="F625" s="2">
        <f t="shared" ca="1" si="562"/>
        <v>0.91629951978439694</v>
      </c>
      <c r="G625" s="2">
        <f t="shared" ca="1" si="563"/>
        <v>8.1418099751943848E-2</v>
      </c>
      <c r="H625" s="2">
        <f t="shared" ca="1" si="564"/>
        <v>8.1418099751943848E-2</v>
      </c>
      <c r="I625" s="2">
        <f t="shared" ca="1" si="565"/>
        <v>0.6229391924144948</v>
      </c>
      <c r="J625" s="2">
        <f t="shared" ca="1" si="566"/>
        <v>1.1566046750788804E-2</v>
      </c>
      <c r="K625" s="2">
        <f t="shared" ca="1" si="567"/>
        <v>1.1566046750788804E-2</v>
      </c>
      <c r="L625" s="2">
        <f t="shared" ca="1" si="568"/>
        <v>0.41856655939924436</v>
      </c>
      <c r="M625" s="2">
        <f t="shared" ca="1" si="569"/>
        <v>-4.1112385754105149E-3</v>
      </c>
      <c r="N625" s="2">
        <f t="shared" ca="1" si="570"/>
        <v>-4.1112385754105149E-3</v>
      </c>
      <c r="O625" s="2">
        <f t="shared" si="571"/>
        <v>6000000</v>
      </c>
      <c r="P625" s="2">
        <f t="shared" ca="1" si="572"/>
        <v>46394598.159100801</v>
      </c>
      <c r="Q625" s="2">
        <f t="shared" ca="1" si="573"/>
        <v>1159864.9539775201</v>
      </c>
      <c r="R625" s="2">
        <f t="shared" ca="1" si="574"/>
        <v>27836758.895460479</v>
      </c>
      <c r="S625" s="2">
        <f t="shared" ca="1" si="575"/>
        <v>18557839.263640322</v>
      </c>
      <c r="T625" s="2">
        <f t="shared" ca="1" si="576"/>
        <v>49794438.071229473</v>
      </c>
      <c r="U625" s="2">
        <f t="shared" ca="1" si="577"/>
        <v>53848606.597204819</v>
      </c>
      <c r="V625" s="2">
        <f t="shared" ca="1" si="578"/>
        <v>58232857.820639223</v>
      </c>
      <c r="W625" s="2">
        <f t="shared" ca="1" si="579"/>
        <v>62974066.447520785</v>
      </c>
      <c r="X625" s="2">
        <f t="shared" ca="1" si="580"/>
        <v>68101295.271330565</v>
      </c>
      <c r="Y625" s="2">
        <f t="shared" ca="1" si="581"/>
        <v>0.1257830233753944</v>
      </c>
      <c r="Z625" s="2">
        <f t="shared" ca="1" si="582"/>
        <v>0.12809623272555215</v>
      </c>
      <c r="AA625" s="2">
        <f t="shared" ca="1" si="583"/>
        <v>6263294.9678780856</v>
      </c>
      <c r="AB625" s="2">
        <f t="shared" ca="1" si="584"/>
        <v>6897803.6426222511</v>
      </c>
      <c r="AC625" s="2">
        <f t="shared" ca="1" si="585"/>
        <v>7459409.7076665917</v>
      </c>
      <c r="AD625" s="2">
        <f t="shared" ca="1" si="586"/>
        <v>8066740.6713360073</v>
      </c>
      <c r="AE625" s="2">
        <f t="shared" ca="1" si="587"/>
        <v>8723519.3679879047</v>
      </c>
      <c r="AF625" s="2">
        <f t="shared" ca="1" si="588"/>
        <v>995888.76142458944</v>
      </c>
      <c r="AG625" s="2">
        <f t="shared" ca="1" si="589"/>
        <v>1076972.1319440964</v>
      </c>
      <c r="AH625" s="2">
        <f t="shared" ca="1" si="590"/>
        <v>1164657.1564127845</v>
      </c>
      <c r="AI625" s="2">
        <f t="shared" ca="1" si="591"/>
        <v>1259481.3289504158</v>
      </c>
      <c r="AJ625" s="2">
        <f t="shared" ca="1" si="592"/>
        <v>1362025.9054266114</v>
      </c>
      <c r="AK625" s="2">
        <f t="shared" ca="1" si="593"/>
        <v>0</v>
      </c>
      <c r="AL625" s="2">
        <f t="shared" ca="1" si="594"/>
        <v>40541.685259753467</v>
      </c>
      <c r="AM625" s="2">
        <f t="shared" ca="1" si="595"/>
        <v>43842.512234344038</v>
      </c>
      <c r="AN625" s="2">
        <f t="shared" ca="1" si="596"/>
        <v>47412.086268815619</v>
      </c>
      <c r="AO625" s="2">
        <f t="shared" ca="1" si="597"/>
        <v>51272.288238097804</v>
      </c>
      <c r="AP625" s="2">
        <f t="shared" ca="1" si="598"/>
        <v>2505308.3005914432</v>
      </c>
      <c r="AQ625" s="2">
        <f t="shared" ca="1" si="599"/>
        <v>718145.45552413387</v>
      </c>
      <c r="AR625" s="2">
        <f t="shared" ca="1" si="600"/>
        <v>862036.03462254489</v>
      </c>
      <c r="AS625" s="2">
        <f t="shared" ca="1" si="601"/>
        <v>985255.50517221459</v>
      </c>
      <c r="AT625" s="2">
        <f t="shared" ca="1" si="602"/>
        <v>1118507.2708664788</v>
      </c>
      <c r="AU625" s="2">
        <f t="shared" ca="1" si="603"/>
        <v>1262608.142112161</v>
      </c>
      <c r="AV625" s="2">
        <f t="shared" ca="1" si="604"/>
        <v>2043952.4503379199</v>
      </c>
      <c r="AW625" s="2">
        <f t="shared" ca="1" si="605"/>
        <v>2412945.490204412</v>
      </c>
      <c r="AX625" s="2">
        <f t="shared" ca="1" si="606"/>
        <v>2760346.233255805</v>
      </c>
      <c r="AY625" s="2">
        <f t="shared" ca="1" si="607"/>
        <v>3136031.6846588547</v>
      </c>
      <c r="AZ625" s="2">
        <f t="shared" ca="1" si="608"/>
        <v>3542304.7316195914</v>
      </c>
      <c r="BA625" s="2">
        <f t="shared" ca="1" si="609"/>
        <v>63170124.454856627</v>
      </c>
      <c r="BB625" s="2">
        <f t="shared" ca="1" si="610"/>
        <v>1263402.4890971326</v>
      </c>
      <c r="BC625" s="2">
        <f t="shared" ca="1" si="611"/>
        <v>34069963.070299014</v>
      </c>
      <c r="BD625" s="2">
        <f t="shared" ca="1" si="612"/>
        <v>-20217704.217617843</v>
      </c>
      <c r="BE625" s="2">
        <f t="shared" ca="1" si="613"/>
        <v>2043952.4503379199</v>
      </c>
      <c r="BF625" s="2">
        <f t="shared" ca="1" si="614"/>
        <v>2412945.490204412</v>
      </c>
      <c r="BG625" s="2">
        <f t="shared" ca="1" si="615"/>
        <v>2760346.233255805</v>
      </c>
      <c r="BH625" s="2">
        <f t="shared" ca="1" si="616"/>
        <v>3136031.6846588547</v>
      </c>
      <c r="BI625" s="2">
        <f t="shared" ca="1" si="617"/>
        <v>37612267.801918603</v>
      </c>
      <c r="BJ625" s="2">
        <f t="shared" ca="1" si="618"/>
        <v>0.21900995096596665</v>
      </c>
      <c r="BK625" s="2">
        <f t="shared" ca="1" si="619"/>
        <v>8830814.3102793023</v>
      </c>
    </row>
    <row r="626" spans="1:63" x14ac:dyDescent="0.3">
      <c r="A626" s="2">
        <v>625</v>
      </c>
      <c r="B626" s="2">
        <f t="shared" ca="1" si="558"/>
        <v>7.1902472304982257E-2</v>
      </c>
      <c r="C626" s="2">
        <f t="shared" ca="1" si="559"/>
        <v>6.3792162240858961</v>
      </c>
      <c r="D626" s="2">
        <f t="shared" ca="1" si="560"/>
        <v>0.69803294256188964</v>
      </c>
      <c r="E626" s="2">
        <f t="shared" ca="1" si="561"/>
        <v>7.722868019654177</v>
      </c>
      <c r="F626" s="2">
        <f t="shared" ca="1" si="562"/>
        <v>0.12151688284490747</v>
      </c>
      <c r="G626" s="2">
        <f t="shared" ca="1" si="563"/>
        <v>4.9768773162540206E-3</v>
      </c>
      <c r="H626" s="2">
        <f t="shared" ca="1" si="564"/>
        <v>4.9768773162540206E-3</v>
      </c>
      <c r="I626" s="2">
        <f t="shared" ca="1" si="565"/>
        <v>0.50771003033230766</v>
      </c>
      <c r="J626" s="2">
        <f t="shared" ca="1" si="566"/>
        <v>1.009663691622602E-2</v>
      </c>
      <c r="K626" s="2">
        <f t="shared" ca="1" si="567"/>
        <v>1.009663691622602E-2</v>
      </c>
      <c r="L626" s="2">
        <f t="shared" ca="1" si="568"/>
        <v>0.38862677059718542</v>
      </c>
      <c r="M626" s="2">
        <f t="shared" ca="1" si="569"/>
        <v>-5.6579987839047753E-3</v>
      </c>
      <c r="N626" s="2">
        <f t="shared" ca="1" si="570"/>
        <v>-5.6579987839047753E-3</v>
      </c>
      <c r="O626" s="2">
        <f t="shared" si="571"/>
        <v>6000000</v>
      </c>
      <c r="P626" s="2">
        <f t="shared" ca="1" si="572"/>
        <v>38275297.344515376</v>
      </c>
      <c r="Q626" s="2">
        <f t="shared" ca="1" si="573"/>
        <v>956882.43361288449</v>
      </c>
      <c r="R626" s="2">
        <f t="shared" ca="1" si="574"/>
        <v>22965178.406709224</v>
      </c>
      <c r="S626" s="2">
        <f t="shared" ca="1" si="575"/>
        <v>15310118.937806152</v>
      </c>
      <c r="T626" s="2">
        <f t="shared" ca="1" si="576"/>
        <v>49717100.060804762</v>
      </c>
      <c r="U626" s="2">
        <f t="shared" ca="1" si="577"/>
        <v>49964535.968327306</v>
      </c>
      <c r="V626" s="2">
        <f t="shared" ca="1" si="578"/>
        <v>50213203.334005229</v>
      </c>
      <c r="W626" s="2">
        <f t="shared" ca="1" si="579"/>
        <v>50463108.286654688</v>
      </c>
      <c r="X626" s="2">
        <f t="shared" ca="1" si="580"/>
        <v>50714256.985594206</v>
      </c>
      <c r="Y626" s="2">
        <f t="shared" ca="1" si="581"/>
        <v>0.12504831845811301</v>
      </c>
      <c r="Z626" s="2">
        <f t="shared" ca="1" si="582"/>
        <v>0.12706764584135821</v>
      </c>
      <c r="AA626" s="2">
        <f t="shared" ca="1" si="583"/>
        <v>6217039.7612173837</v>
      </c>
      <c r="AB626" s="2">
        <f t="shared" ca="1" si="584"/>
        <v>6348875.9610512182</v>
      </c>
      <c r="AC626" s="2">
        <f t="shared" ca="1" si="585"/>
        <v>6380473.5378054837</v>
      </c>
      <c r="AD626" s="2">
        <f t="shared" ca="1" si="586"/>
        <v>6412228.3718227465</v>
      </c>
      <c r="AE626" s="2">
        <f t="shared" ca="1" si="587"/>
        <v>6444141.2457531113</v>
      </c>
      <c r="AF626" s="2">
        <f t="shared" ca="1" si="588"/>
        <v>994342.00121609529</v>
      </c>
      <c r="AG626" s="2">
        <f t="shared" ca="1" si="589"/>
        <v>999290.71936654614</v>
      </c>
      <c r="AH626" s="2">
        <f t="shared" ca="1" si="590"/>
        <v>1004264.0666801046</v>
      </c>
      <c r="AI626" s="2">
        <f t="shared" ca="1" si="591"/>
        <v>1009262.1657330937</v>
      </c>
      <c r="AJ626" s="2">
        <f t="shared" ca="1" si="592"/>
        <v>1014285.1397118841</v>
      </c>
      <c r="AK626" s="2">
        <f t="shared" ca="1" si="593"/>
        <v>0</v>
      </c>
      <c r="AL626" s="2">
        <f t="shared" ca="1" si="594"/>
        <v>2474.3590752254427</v>
      </c>
      <c r="AM626" s="2">
        <f t="shared" ca="1" si="595"/>
        <v>2486.6736567792295</v>
      </c>
      <c r="AN626" s="2">
        <f t="shared" ca="1" si="596"/>
        <v>2499.0495264945926</v>
      </c>
      <c r="AO626" s="2">
        <f t="shared" ca="1" si="597"/>
        <v>2511.4869893951713</v>
      </c>
      <c r="AP626" s="2">
        <f t="shared" ca="1" si="598"/>
        <v>2066866.0566038301</v>
      </c>
      <c r="AQ626" s="2">
        <f t="shared" ca="1" si="599"/>
        <v>820516.24288333918</v>
      </c>
      <c r="AR626" s="2">
        <f t="shared" ca="1" si="600"/>
        <v>853506.98812101898</v>
      </c>
      <c r="AS626" s="2">
        <f t="shared" ca="1" si="601"/>
        <v>860429.28777560277</v>
      </c>
      <c r="AT626" s="2">
        <f t="shared" ca="1" si="602"/>
        <v>867386.03886631399</v>
      </c>
      <c r="AU626" s="2">
        <f t="shared" ca="1" si="603"/>
        <v>874377.41285372328</v>
      </c>
      <c r="AV626" s="2">
        <f t="shared" ca="1" si="604"/>
        <v>2335315.4605141189</v>
      </c>
      <c r="AW626" s="2">
        <f t="shared" ca="1" si="605"/>
        <v>2426737.8378845975</v>
      </c>
      <c r="AX626" s="2">
        <f t="shared" ca="1" si="606"/>
        <v>2446427.4530891664</v>
      </c>
      <c r="AY626" s="2">
        <f t="shared" ca="1" si="607"/>
        <v>2466215.0610930137</v>
      </c>
      <c r="AZ626" s="2">
        <f t="shared" ca="1" si="608"/>
        <v>2486101.149594279</v>
      </c>
      <c r="BA626" s="2">
        <f t="shared" ca="1" si="609"/>
        <v>49767252.340961128</v>
      </c>
      <c r="BB626" s="2">
        <f t="shared" ca="1" si="610"/>
        <v>995345.04681922263</v>
      </c>
      <c r="BC626" s="2">
        <f t="shared" ca="1" si="611"/>
        <v>25806728.887432683</v>
      </c>
      <c r="BD626" s="2">
        <f t="shared" ca="1" si="612"/>
        <v>-16767001.371419037</v>
      </c>
      <c r="BE626" s="2">
        <f t="shared" ca="1" si="613"/>
        <v>2335315.4605141189</v>
      </c>
      <c r="BF626" s="2">
        <f t="shared" ca="1" si="614"/>
        <v>2426737.8378845975</v>
      </c>
      <c r="BG626" s="2">
        <f t="shared" ca="1" si="615"/>
        <v>2446427.4530891664</v>
      </c>
      <c r="BH626" s="2">
        <f t="shared" ca="1" si="616"/>
        <v>2466215.0610930137</v>
      </c>
      <c r="BI626" s="2">
        <f t="shared" ca="1" si="617"/>
        <v>28292830.037026964</v>
      </c>
      <c r="BJ626" s="2">
        <f t="shared" ca="1" si="618"/>
        <v>0.21464088637468004</v>
      </c>
      <c r="BK626" s="2">
        <f t="shared" ca="1" si="619"/>
        <v>6615436.8477758821</v>
      </c>
    </row>
    <row r="627" spans="1:63" x14ac:dyDescent="0.3">
      <c r="A627" s="2">
        <v>626</v>
      </c>
      <c r="B627" s="2">
        <f t="shared" ca="1" si="558"/>
        <v>0.460126965942522</v>
      </c>
      <c r="C627" s="2">
        <f t="shared" ca="1" si="559"/>
        <v>6.9592986666753189</v>
      </c>
      <c r="D627" s="2">
        <f t="shared" ca="1" si="560"/>
        <v>0.61711272086062174</v>
      </c>
      <c r="E627" s="2">
        <f t="shared" ca="1" si="561"/>
        <v>7.6249145422995781</v>
      </c>
      <c r="F627" s="2">
        <f t="shared" ca="1" si="562"/>
        <v>0.78270837227481227</v>
      </c>
      <c r="G627" s="2">
        <f t="shared" ca="1" si="563"/>
        <v>6.3441184436278691E-2</v>
      </c>
      <c r="H627" s="2">
        <f t="shared" ca="1" si="564"/>
        <v>6.3441184436278691E-2</v>
      </c>
      <c r="I627" s="2">
        <f t="shared" ca="1" si="565"/>
        <v>0.50329695470274538</v>
      </c>
      <c r="J627" s="2">
        <f t="shared" ca="1" si="566"/>
        <v>1.0041321669758517E-2</v>
      </c>
      <c r="K627" s="2">
        <f t="shared" ca="1" si="567"/>
        <v>1.0041321669758517E-2</v>
      </c>
      <c r="L627" s="2">
        <f t="shared" ca="1" si="568"/>
        <v>0.53080753154360938</v>
      </c>
      <c r="M627" s="2">
        <f t="shared" ca="1" si="569"/>
        <v>1.5459988434002284E-3</v>
      </c>
      <c r="N627" s="2">
        <f t="shared" ca="1" si="570"/>
        <v>1.5459988434002284E-3</v>
      </c>
      <c r="O627" s="2">
        <f t="shared" si="571"/>
        <v>6000000</v>
      </c>
      <c r="P627" s="2">
        <f t="shared" ca="1" si="572"/>
        <v>41755792.000051916</v>
      </c>
      <c r="Q627" s="2">
        <f t="shared" ca="1" si="573"/>
        <v>1043894.800001298</v>
      </c>
      <c r="R627" s="2">
        <f t="shared" ca="1" si="574"/>
        <v>25053475.20003115</v>
      </c>
      <c r="S627" s="2">
        <f t="shared" ca="1" si="575"/>
        <v>16702316.800020767</v>
      </c>
      <c r="T627" s="2">
        <f t="shared" ca="1" si="576"/>
        <v>50077299.942170009</v>
      </c>
      <c r="U627" s="2">
        <f t="shared" ca="1" si="577"/>
        <v>53254263.163872071</v>
      </c>
      <c r="V627" s="2">
        <f t="shared" ca="1" si="578"/>
        <v>56632776.695269406</v>
      </c>
      <c r="W627" s="2">
        <f t="shared" ca="1" si="579"/>
        <v>60225627.12673258</v>
      </c>
      <c r="X627" s="2">
        <f t="shared" ca="1" si="580"/>
        <v>64046412.245070174</v>
      </c>
      <c r="Y627" s="2">
        <f t="shared" ca="1" si="581"/>
        <v>0.12502066083487925</v>
      </c>
      <c r="Z627" s="2">
        <f t="shared" ca="1" si="582"/>
        <v>0.12702892516883096</v>
      </c>
      <c r="AA627" s="2">
        <f t="shared" ca="1" si="583"/>
        <v>6260697.131596555</v>
      </c>
      <c r="AB627" s="2">
        <f t="shared" ca="1" si="584"/>
        <v>6764831.8103647362</v>
      </c>
      <c r="AC627" s="2">
        <f t="shared" ca="1" si="585"/>
        <v>7194000.7529264912</v>
      </c>
      <c r="AD627" s="2">
        <f t="shared" ca="1" si="586"/>
        <v>7650396.6815276295</v>
      </c>
      <c r="AE627" s="2">
        <f t="shared" ca="1" si="587"/>
        <v>8135746.9084111182</v>
      </c>
      <c r="AF627" s="2">
        <f t="shared" ca="1" si="588"/>
        <v>1001545.9988434002</v>
      </c>
      <c r="AG627" s="2">
        <f t="shared" ca="1" si="589"/>
        <v>1065085.2632774415</v>
      </c>
      <c r="AH627" s="2">
        <f t="shared" ca="1" si="590"/>
        <v>1132655.5339053881</v>
      </c>
      <c r="AI627" s="2">
        <f t="shared" ca="1" si="591"/>
        <v>1204512.5425346517</v>
      </c>
      <c r="AJ627" s="2">
        <f t="shared" ca="1" si="592"/>
        <v>1280928.2449014036</v>
      </c>
      <c r="AK627" s="2">
        <f t="shared" ca="1" si="593"/>
        <v>0</v>
      </c>
      <c r="AL627" s="2">
        <f t="shared" ca="1" si="594"/>
        <v>31769.632217020615</v>
      </c>
      <c r="AM627" s="2">
        <f t="shared" ca="1" si="595"/>
        <v>33785.135313973355</v>
      </c>
      <c r="AN627" s="2">
        <f t="shared" ca="1" si="596"/>
        <v>35928.504314631748</v>
      </c>
      <c r="AO627" s="2">
        <f t="shared" ca="1" si="597"/>
        <v>38207.85118337594</v>
      </c>
      <c r="AP627" s="2">
        <f t="shared" ca="1" si="598"/>
        <v>2254812.7680028034</v>
      </c>
      <c r="AQ627" s="2">
        <f t="shared" ca="1" si="599"/>
        <v>781127.9748350915</v>
      </c>
      <c r="AR627" s="2">
        <f t="shared" ca="1" si="600"/>
        <v>895682.78256196785</v>
      </c>
      <c r="AS627" s="2">
        <f t="shared" ca="1" si="601"/>
        <v>989698.43726475805</v>
      </c>
      <c r="AT627" s="2">
        <f t="shared" ca="1" si="602"/>
        <v>1089678.5564574455</v>
      </c>
      <c r="AU627" s="2">
        <f t="shared" ca="1" si="603"/>
        <v>1196001.5328317969</v>
      </c>
      <c r="AV627" s="2">
        <f t="shared" ca="1" si="604"/>
        <v>2223210.3899152605</v>
      </c>
      <c r="AW627" s="2">
        <f t="shared" ca="1" si="605"/>
        <v>2517481.3643055027</v>
      </c>
      <c r="AX627" s="2">
        <f t="shared" ca="1" si="606"/>
        <v>2783048.878439568</v>
      </c>
      <c r="AY627" s="2">
        <f t="shared" ca="1" si="607"/>
        <v>3065464.3102180967</v>
      </c>
      <c r="AZ627" s="2">
        <f t="shared" ca="1" si="608"/>
        <v>3365796.5114917373</v>
      </c>
      <c r="BA627" s="2">
        <f t="shared" ca="1" si="609"/>
        <v>62034374.914412767</v>
      </c>
      <c r="BB627" s="2">
        <f t="shared" ca="1" si="610"/>
        <v>1240687.4982882554</v>
      </c>
      <c r="BC627" s="2">
        <f t="shared" ca="1" si="611"/>
        <v>35740212.216093361</v>
      </c>
      <c r="BD627" s="2">
        <f t="shared" ca="1" si="612"/>
        <v>-18246211.600022066</v>
      </c>
      <c r="BE627" s="2">
        <f t="shared" ca="1" si="613"/>
        <v>2223210.3899152605</v>
      </c>
      <c r="BF627" s="2">
        <f t="shared" ca="1" si="614"/>
        <v>2517481.3643055027</v>
      </c>
      <c r="BG627" s="2">
        <f t="shared" ca="1" si="615"/>
        <v>2783048.878439568</v>
      </c>
      <c r="BH627" s="2">
        <f t="shared" ca="1" si="616"/>
        <v>3065464.3102180967</v>
      </c>
      <c r="BI627" s="2">
        <f t="shared" ca="1" si="617"/>
        <v>39106008.7275851</v>
      </c>
      <c r="BJ627" s="2">
        <f t="shared" ca="1" si="618"/>
        <v>0.26042082345323037</v>
      </c>
      <c r="BK627" s="2">
        <f t="shared" ca="1" si="619"/>
        <v>11864595.187379781</v>
      </c>
    </row>
    <row r="628" spans="1:63" x14ac:dyDescent="0.3">
      <c r="A628" s="2">
        <v>627</v>
      </c>
      <c r="B628" s="2">
        <f t="shared" ca="1" si="558"/>
        <v>0.579491825498616</v>
      </c>
      <c r="C628" s="2">
        <f t="shared" ca="1" si="559"/>
        <v>7.0829305647865217</v>
      </c>
      <c r="D628" s="2">
        <f t="shared" ca="1" si="560"/>
        <v>0.51443304589235395</v>
      </c>
      <c r="E628" s="2">
        <f t="shared" ca="1" si="561"/>
        <v>7.514538733274974</v>
      </c>
      <c r="F628" s="2">
        <f t="shared" ca="1" si="562"/>
        <v>0.2268381954532277</v>
      </c>
      <c r="G628" s="2">
        <f t="shared" ca="1" si="563"/>
        <v>1.7520999158372911E-2</v>
      </c>
      <c r="H628" s="2">
        <f t="shared" ca="1" si="564"/>
        <v>1.7520999158372911E-2</v>
      </c>
      <c r="I628" s="2">
        <f t="shared" ca="1" si="565"/>
        <v>0.14425636105208139</v>
      </c>
      <c r="J628" s="2">
        <f t="shared" ca="1" si="566"/>
        <v>4.6930502478285119E-3</v>
      </c>
      <c r="K628" s="2">
        <f t="shared" ca="1" si="567"/>
        <v>4.6930502478285119E-3</v>
      </c>
      <c r="L628" s="2">
        <f t="shared" ca="1" si="568"/>
        <v>0.3050965429437269</v>
      </c>
      <c r="M628" s="2">
        <f t="shared" ca="1" si="569"/>
        <v>-1.0195957177371023E-2</v>
      </c>
      <c r="N628" s="2">
        <f t="shared" ca="1" si="570"/>
        <v>-1.0195957177371023E-2</v>
      </c>
      <c r="O628" s="2">
        <f t="shared" si="571"/>
        <v>6000000</v>
      </c>
      <c r="P628" s="2">
        <f t="shared" ca="1" si="572"/>
        <v>42497583.388719134</v>
      </c>
      <c r="Q628" s="2">
        <f t="shared" ca="1" si="573"/>
        <v>1062439.5847179785</v>
      </c>
      <c r="R628" s="2">
        <f t="shared" ca="1" si="574"/>
        <v>25498550.033231478</v>
      </c>
      <c r="S628" s="2">
        <f t="shared" ca="1" si="575"/>
        <v>16999033.355487656</v>
      </c>
      <c r="T628" s="2">
        <f t="shared" ca="1" si="576"/>
        <v>49490202.141131453</v>
      </c>
      <c r="U628" s="2">
        <f t="shared" ca="1" si="577"/>
        <v>50357319.931193925</v>
      </c>
      <c r="V628" s="2">
        <f t="shared" ca="1" si="578"/>
        <v>51239630.491326287</v>
      </c>
      <c r="W628" s="2">
        <f t="shared" ca="1" si="579"/>
        <v>52137400.014040157</v>
      </c>
      <c r="X628" s="2">
        <f t="shared" ca="1" si="580"/>
        <v>53050899.355805904</v>
      </c>
      <c r="Y628" s="2">
        <f t="shared" ca="1" si="581"/>
        <v>0.12234652512391425</v>
      </c>
      <c r="Z628" s="2">
        <f t="shared" ca="1" si="582"/>
        <v>0.12328513517347996</v>
      </c>
      <c r="AA628" s="2">
        <f t="shared" ca="1" si="583"/>
        <v>6054954.2596475342</v>
      </c>
      <c r="AB628" s="2">
        <f t="shared" ca="1" si="584"/>
        <v>6208308.9946914194</v>
      </c>
      <c r="AC628" s="2">
        <f t="shared" ca="1" si="585"/>
        <v>6317084.7713623261</v>
      </c>
      <c r="AD628" s="2">
        <f t="shared" ca="1" si="586"/>
        <v>6427766.4083247362</v>
      </c>
      <c r="AE628" s="2">
        <f t="shared" ca="1" si="587"/>
        <v>6540387.2981552118</v>
      </c>
      <c r="AF628" s="2">
        <f t="shared" ca="1" si="588"/>
        <v>989804.0428226291</v>
      </c>
      <c r="AG628" s="2">
        <f t="shared" ca="1" si="589"/>
        <v>1007146.3986238785</v>
      </c>
      <c r="AH628" s="2">
        <f t="shared" ca="1" si="590"/>
        <v>1024792.6098265258</v>
      </c>
      <c r="AI628" s="2">
        <f t="shared" ca="1" si="591"/>
        <v>1042748.0002808032</v>
      </c>
      <c r="AJ628" s="2">
        <f t="shared" ca="1" si="592"/>
        <v>1061017.9871161182</v>
      </c>
      <c r="AK628" s="2">
        <f t="shared" ca="1" si="593"/>
        <v>0</v>
      </c>
      <c r="AL628" s="2">
        <f t="shared" ca="1" si="594"/>
        <v>8671.1779006247216</v>
      </c>
      <c r="AM628" s="2">
        <f t="shared" ca="1" si="595"/>
        <v>8823.1056013236193</v>
      </c>
      <c r="AN628" s="2">
        <f t="shared" ca="1" si="596"/>
        <v>8977.6952271386981</v>
      </c>
      <c r="AO628" s="2">
        <f t="shared" ca="1" si="597"/>
        <v>9134.9934176574643</v>
      </c>
      <c r="AP628" s="2">
        <f t="shared" ca="1" si="598"/>
        <v>2294869.502990833</v>
      </c>
      <c r="AQ628" s="2">
        <f t="shared" ca="1" si="599"/>
        <v>720272.98559685878</v>
      </c>
      <c r="AR628" s="2">
        <f t="shared" ca="1" si="600"/>
        <v>755636.20419994416</v>
      </c>
      <c r="AS628" s="2">
        <f t="shared" ca="1" si="601"/>
        <v>779329.89122169151</v>
      </c>
      <c r="AT628" s="2">
        <f t="shared" ca="1" si="602"/>
        <v>803438.71531380608</v>
      </c>
      <c r="AU628" s="2">
        <f t="shared" ca="1" si="603"/>
        <v>827969.95009254781</v>
      </c>
      <c r="AV628" s="2">
        <f t="shared" ca="1" si="604"/>
        <v>2050007.7282372131</v>
      </c>
      <c r="AW628" s="2">
        <f t="shared" ca="1" si="605"/>
        <v>2141985.7109761401</v>
      </c>
      <c r="AX628" s="2">
        <f t="shared" ca="1" si="606"/>
        <v>2209269.6617219518</v>
      </c>
      <c r="AY628" s="2">
        <f t="shared" ca="1" si="607"/>
        <v>2277732.4945121552</v>
      </c>
      <c r="AZ628" s="2">
        <f t="shared" ca="1" si="608"/>
        <v>2347394.8645380554</v>
      </c>
      <c r="BA628" s="2">
        <f t="shared" ca="1" si="609"/>
        <v>49147993.682606995</v>
      </c>
      <c r="BB628" s="2">
        <f t="shared" ca="1" si="610"/>
        <v>982959.87365213991</v>
      </c>
      <c r="BC628" s="2">
        <f t="shared" ca="1" si="611"/>
        <v>22666483.775723375</v>
      </c>
      <c r="BD628" s="2">
        <f t="shared" ca="1" si="612"/>
        <v>-18561472.940205634</v>
      </c>
      <c r="BE628" s="2">
        <f t="shared" ca="1" si="613"/>
        <v>2050007.7282372131</v>
      </c>
      <c r="BF628" s="2">
        <f t="shared" ca="1" si="614"/>
        <v>2141985.7109761401</v>
      </c>
      <c r="BG628" s="2">
        <f t="shared" ca="1" si="615"/>
        <v>2209269.6617219518</v>
      </c>
      <c r="BH628" s="2">
        <f t="shared" ca="1" si="616"/>
        <v>2277732.4945121552</v>
      </c>
      <c r="BI628" s="2">
        <f t="shared" ca="1" si="617"/>
        <v>25013878.64026143</v>
      </c>
      <c r="BJ628" s="2">
        <f t="shared" ca="1" si="618"/>
        <v>0.15048053397337857</v>
      </c>
      <c r="BK628" s="2">
        <f t="shared" ca="1" si="619"/>
        <v>2190070.1889651343</v>
      </c>
    </row>
    <row r="629" spans="1:63" x14ac:dyDescent="0.3">
      <c r="A629" s="2">
        <v>628</v>
      </c>
      <c r="B629" s="2">
        <f t="shared" ca="1" si="558"/>
        <v>5.7415782026459583E-2</v>
      </c>
      <c r="C629" s="2">
        <f t="shared" ca="1" si="559"/>
        <v>6.3388680628989977</v>
      </c>
      <c r="D629" s="2">
        <f t="shared" ca="1" si="560"/>
        <v>0.3634403722492171</v>
      </c>
      <c r="E629" s="2">
        <f t="shared" ca="1" si="561"/>
        <v>7.352573014174407</v>
      </c>
      <c r="F629" s="2">
        <f t="shared" ca="1" si="562"/>
        <v>0.7110157962702971</v>
      </c>
      <c r="G629" s="2">
        <f t="shared" ca="1" si="563"/>
        <v>5.6690640681144239E-2</v>
      </c>
      <c r="H629" s="2">
        <f t="shared" ca="1" si="564"/>
        <v>5.6690640681144239E-2</v>
      </c>
      <c r="I629" s="2">
        <f t="shared" ca="1" si="565"/>
        <v>0.32524306659954239</v>
      </c>
      <c r="J629" s="2">
        <f t="shared" ca="1" si="566"/>
        <v>7.7345652584791848E-3</v>
      </c>
      <c r="K629" s="2">
        <f t="shared" ca="1" si="567"/>
        <v>7.7345652584791848E-3</v>
      </c>
      <c r="L629" s="2">
        <f t="shared" ca="1" si="568"/>
        <v>0.47528953201749158</v>
      </c>
      <c r="M629" s="2">
        <f t="shared" ca="1" si="569"/>
        <v>-1.2395923407847213E-3</v>
      </c>
      <c r="N629" s="2">
        <f t="shared" ca="1" si="570"/>
        <v>-1.2395923407847213E-3</v>
      </c>
      <c r="O629" s="2">
        <f t="shared" si="571"/>
        <v>6000000</v>
      </c>
      <c r="P629" s="2">
        <f t="shared" ca="1" si="572"/>
        <v>38033208.377393983</v>
      </c>
      <c r="Q629" s="2">
        <f t="shared" ca="1" si="573"/>
        <v>950830.20943484968</v>
      </c>
      <c r="R629" s="2">
        <f t="shared" ca="1" si="574"/>
        <v>22819925.026436388</v>
      </c>
      <c r="S629" s="2">
        <f t="shared" ca="1" si="575"/>
        <v>15213283.350957595</v>
      </c>
      <c r="T629" s="2">
        <f t="shared" ca="1" si="576"/>
        <v>49938020.382960759</v>
      </c>
      <c r="U629" s="2">
        <f t="shared" ca="1" si="577"/>
        <v>52769038.752818845</v>
      </c>
      <c r="V629" s="2">
        <f t="shared" ca="1" si="578"/>
        <v>55760549.367844276</v>
      </c>
      <c r="W629" s="2">
        <f t="shared" ca="1" si="579"/>
        <v>58921650.636239938</v>
      </c>
      <c r="X629" s="2">
        <f t="shared" ca="1" si="580"/>
        <v>62261956.760798931</v>
      </c>
      <c r="Y629" s="2">
        <f t="shared" ca="1" si="581"/>
        <v>0.12386728262923959</v>
      </c>
      <c r="Z629" s="2">
        <f t="shared" ca="1" si="582"/>
        <v>0.12541419568093543</v>
      </c>
      <c r="AA629" s="2">
        <f t="shared" ca="1" si="583"/>
        <v>6185686.884720928</v>
      </c>
      <c r="AB629" s="2">
        <f t="shared" ca="1" si="584"/>
        <v>6617986.5520408871</v>
      </c>
      <c r="AC629" s="2">
        <f t="shared" ca="1" si="585"/>
        <v>6993164.4496952826</v>
      </c>
      <c r="AD629" s="2">
        <f t="shared" ca="1" si="586"/>
        <v>7389611.4227371085</v>
      </c>
      <c r="AE629" s="2">
        <f t="shared" ca="1" si="587"/>
        <v>7808533.2286767773</v>
      </c>
      <c r="AF629" s="2">
        <f t="shared" ca="1" si="588"/>
        <v>998760.40765921515</v>
      </c>
      <c r="AG629" s="2">
        <f t="shared" ca="1" si="589"/>
        <v>1055380.7750563768</v>
      </c>
      <c r="AH629" s="2">
        <f t="shared" ca="1" si="590"/>
        <v>1115210.9873568856</v>
      </c>
      <c r="AI629" s="2">
        <f t="shared" ca="1" si="591"/>
        <v>1178433.0127247989</v>
      </c>
      <c r="AJ629" s="2">
        <f t="shared" ca="1" si="592"/>
        <v>1245239.1352159786</v>
      </c>
      <c r="AK629" s="2">
        <f t="shared" ca="1" si="593"/>
        <v>0</v>
      </c>
      <c r="AL629" s="2">
        <f t="shared" ca="1" si="594"/>
        <v>28310.183698580862</v>
      </c>
      <c r="AM629" s="2">
        <f t="shared" ca="1" si="595"/>
        <v>29915.106150254309</v>
      </c>
      <c r="AN629" s="2">
        <f t="shared" ca="1" si="596"/>
        <v>31611.012683956626</v>
      </c>
      <c r="AO629" s="2">
        <f t="shared" ca="1" si="597"/>
        <v>33403.061245589925</v>
      </c>
      <c r="AP629" s="2">
        <f t="shared" ca="1" si="598"/>
        <v>2053793.2523792749</v>
      </c>
      <c r="AQ629" s="2">
        <f t="shared" ca="1" si="599"/>
        <v>814614.63841743395</v>
      </c>
      <c r="AR629" s="2">
        <f t="shared" ca="1" si="600"/>
        <v>912291.25639736117</v>
      </c>
      <c r="AS629" s="2">
        <f t="shared" ca="1" si="601"/>
        <v>994281.65458937187</v>
      </c>
      <c r="AT629" s="2">
        <f t="shared" ca="1" si="602"/>
        <v>1080920.140984589</v>
      </c>
      <c r="AU629" s="2">
        <f t="shared" ca="1" si="603"/>
        <v>1172470.2186811962</v>
      </c>
      <c r="AV629" s="2">
        <f t="shared" ca="1" si="604"/>
        <v>2318518.5862650042</v>
      </c>
      <c r="AW629" s="2">
        <f t="shared" ca="1" si="605"/>
        <v>2568211.0845092935</v>
      </c>
      <c r="AX629" s="2">
        <f t="shared" ca="1" si="606"/>
        <v>2799963.449219496</v>
      </c>
      <c r="AY629" s="2">
        <f t="shared" ca="1" si="607"/>
        <v>3044854.0039644884</v>
      </c>
      <c r="AZ629" s="2">
        <f t="shared" ca="1" si="608"/>
        <v>3303627.5611547371</v>
      </c>
      <c r="BA629" s="2">
        <f t="shared" ca="1" si="609"/>
        <v>57412810.697453029</v>
      </c>
      <c r="BB629" s="2">
        <f t="shared" ca="1" si="610"/>
        <v>1148256.2139490605</v>
      </c>
      <c r="BC629" s="2">
        <f t="shared" ca="1" si="611"/>
        <v>33444629.457067579</v>
      </c>
      <c r="BD629" s="2">
        <f t="shared" ca="1" si="612"/>
        <v>-16664113.560392445</v>
      </c>
      <c r="BE629" s="2">
        <f t="shared" ca="1" si="613"/>
        <v>2318518.5862650042</v>
      </c>
      <c r="BF629" s="2">
        <f t="shared" ca="1" si="614"/>
        <v>2568211.0845092935</v>
      </c>
      <c r="BG629" s="2">
        <f t="shared" ca="1" si="615"/>
        <v>2799963.449219496</v>
      </c>
      <c r="BH629" s="2">
        <f t="shared" ca="1" si="616"/>
        <v>3044854.0039644884</v>
      </c>
      <c r="BI629" s="2">
        <f t="shared" ca="1" si="617"/>
        <v>36748257.018222317</v>
      </c>
      <c r="BJ629" s="2">
        <f t="shared" ca="1" si="618"/>
        <v>0.27770464363176472</v>
      </c>
      <c r="BK629" s="2">
        <f t="shared" ca="1" si="619"/>
        <v>12233320.849396328</v>
      </c>
    </row>
    <row r="630" spans="1:63" x14ac:dyDescent="0.3">
      <c r="A630" s="2">
        <v>629</v>
      </c>
      <c r="B630" s="2">
        <f t="shared" ca="1" si="558"/>
        <v>0.88924646661567686</v>
      </c>
      <c r="C630" s="2">
        <f t="shared" ca="1" si="559"/>
        <v>7.5293546273799707</v>
      </c>
      <c r="D630" s="2">
        <f t="shared" ca="1" si="560"/>
        <v>0.73623502225018445</v>
      </c>
      <c r="E630" s="2">
        <f t="shared" ca="1" si="561"/>
        <v>7.7736874257596593</v>
      </c>
      <c r="F630" s="2">
        <f t="shared" ca="1" si="562"/>
        <v>0.48362760969792506</v>
      </c>
      <c r="G630" s="2">
        <f t="shared" ca="1" si="563"/>
        <v>3.8768469300627807E-2</v>
      </c>
      <c r="H630" s="2">
        <f t="shared" ca="1" si="564"/>
        <v>3.8768469300627807E-2</v>
      </c>
      <c r="I630" s="2">
        <f t="shared" ca="1" si="565"/>
        <v>0.47585155620879016</v>
      </c>
      <c r="J630" s="2">
        <f t="shared" ca="1" si="566"/>
        <v>9.6971590796343966E-3</v>
      </c>
      <c r="K630" s="2">
        <f t="shared" ca="1" si="567"/>
        <v>9.6971590796343966E-3</v>
      </c>
      <c r="L630" s="2">
        <f t="shared" ca="1" si="568"/>
        <v>0.93307453997875267</v>
      </c>
      <c r="M630" s="2">
        <f t="shared" ca="1" si="569"/>
        <v>2.9981751072806723E-2</v>
      </c>
      <c r="N630" s="2">
        <f t="shared" ca="1" si="570"/>
        <v>2.9981751072806723E-2</v>
      </c>
      <c r="O630" s="2">
        <f t="shared" si="571"/>
        <v>6000000</v>
      </c>
      <c r="P630" s="2">
        <f t="shared" ca="1" si="572"/>
        <v>45176127.764279827</v>
      </c>
      <c r="Q630" s="2">
        <f t="shared" ca="1" si="573"/>
        <v>1129403.1941069958</v>
      </c>
      <c r="R630" s="2">
        <f t="shared" ca="1" si="574"/>
        <v>27105676.658567894</v>
      </c>
      <c r="S630" s="2">
        <f t="shared" ca="1" si="575"/>
        <v>18070451.105711933</v>
      </c>
      <c r="T630" s="2">
        <f t="shared" ca="1" si="576"/>
        <v>51499087.553640336</v>
      </c>
      <c r="U630" s="2">
        <f t="shared" ca="1" si="577"/>
        <v>53495628.348473988</v>
      </c>
      <c r="V630" s="2">
        <f t="shared" ca="1" si="578"/>
        <v>55569571.973819599</v>
      </c>
      <c r="W630" s="2">
        <f t="shared" ca="1" si="579"/>
        <v>57723919.218935654</v>
      </c>
      <c r="X630" s="2">
        <f t="shared" ca="1" si="580"/>
        <v>59961787.20908688</v>
      </c>
      <c r="Y630" s="2">
        <f t="shared" ca="1" si="581"/>
        <v>0.12484857953981719</v>
      </c>
      <c r="Z630" s="2">
        <f t="shared" ca="1" si="582"/>
        <v>0.12678801135574408</v>
      </c>
      <c r="AA630" s="2">
        <f t="shared" ca="1" si="583"/>
        <v>6429587.928668675</v>
      </c>
      <c r="AB630" s="2">
        <f t="shared" ca="1" si="584"/>
        <v>6782604.3345289845</v>
      </c>
      <c r="AC630" s="2">
        <f t="shared" ca="1" si="585"/>
        <v>7045555.5224504769</v>
      </c>
      <c r="AD630" s="2">
        <f t="shared" ca="1" si="586"/>
        <v>7318700.9254284678</v>
      </c>
      <c r="AE630" s="2">
        <f t="shared" ca="1" si="587"/>
        <v>7602435.7575764172</v>
      </c>
      <c r="AF630" s="2">
        <f t="shared" ca="1" si="588"/>
        <v>1029981.7510728068</v>
      </c>
      <c r="AG630" s="2">
        <f t="shared" ca="1" si="589"/>
        <v>1069912.5669694799</v>
      </c>
      <c r="AH630" s="2">
        <f t="shared" ca="1" si="590"/>
        <v>1111391.439476392</v>
      </c>
      <c r="AI630" s="2">
        <f t="shared" ca="1" si="591"/>
        <v>1154478.3843787131</v>
      </c>
      <c r="AJ630" s="2">
        <f t="shared" ca="1" si="592"/>
        <v>1199235.7441817375</v>
      </c>
      <c r="AK630" s="2">
        <f t="shared" ca="1" si="593"/>
        <v>0</v>
      </c>
      <c r="AL630" s="2">
        <f t="shared" ca="1" si="594"/>
        <v>19965.407948336528</v>
      </c>
      <c r="AM630" s="2">
        <f t="shared" ca="1" si="595"/>
        <v>20739.436253456101</v>
      </c>
      <c r="AN630" s="2">
        <f t="shared" ca="1" si="596"/>
        <v>21543.472451160549</v>
      </c>
      <c r="AO630" s="2">
        <f t="shared" ca="1" si="597"/>
        <v>22378.679901512267</v>
      </c>
      <c r="AP630" s="2">
        <f t="shared" ca="1" si="598"/>
        <v>2439510.8992711105</v>
      </c>
      <c r="AQ630" s="2">
        <f t="shared" ca="1" si="599"/>
        <v>769624.77236443711</v>
      </c>
      <c r="AR630" s="2">
        <f t="shared" ca="1" si="600"/>
        <v>851027.02575498237</v>
      </c>
      <c r="AS630" s="2">
        <f t="shared" ca="1" si="601"/>
        <v>908609.82776277326</v>
      </c>
      <c r="AT630" s="2">
        <f t="shared" ca="1" si="602"/>
        <v>968425.02686244738</v>
      </c>
      <c r="AU630" s="2">
        <f t="shared" ca="1" si="603"/>
        <v>1030559.169672128</v>
      </c>
      <c r="AV630" s="2">
        <f t="shared" ca="1" si="604"/>
        <v>2190470.5059603206</v>
      </c>
      <c r="AW630" s="2">
        <f t="shared" ca="1" si="605"/>
        <v>2402188.4345850744</v>
      </c>
      <c r="AX630" s="2">
        <f t="shared" ca="1" si="606"/>
        <v>2565303.9196867445</v>
      </c>
      <c r="AY630" s="2">
        <f t="shared" ca="1" si="607"/>
        <v>2734743.1424650359</v>
      </c>
      <c r="AZ630" s="2">
        <f t="shared" ca="1" si="608"/>
        <v>2910751.2645499292</v>
      </c>
      <c r="BA630" s="2">
        <f t="shared" ca="1" si="609"/>
        <v>59098959.253817402</v>
      </c>
      <c r="BB630" s="2">
        <f t="shared" ca="1" si="610"/>
        <v>1181979.185076348</v>
      </c>
      <c r="BC630" s="2">
        <f t="shared" ca="1" si="611"/>
        <v>30811303.410173159</v>
      </c>
      <c r="BD630" s="2">
        <f t="shared" ca="1" si="612"/>
        <v>-19699854.299818929</v>
      </c>
      <c r="BE630" s="2">
        <f t="shared" ca="1" si="613"/>
        <v>2190470.5059603206</v>
      </c>
      <c r="BF630" s="2">
        <f t="shared" ca="1" si="614"/>
        <v>2402188.4345850744</v>
      </c>
      <c r="BG630" s="2">
        <f t="shared" ca="1" si="615"/>
        <v>2565303.9196867445</v>
      </c>
      <c r="BH630" s="2">
        <f t="shared" ca="1" si="616"/>
        <v>2734743.1424650359</v>
      </c>
      <c r="BI630" s="2">
        <f t="shared" ca="1" si="617"/>
        <v>33722054.674723089</v>
      </c>
      <c r="BJ630" s="2">
        <f t="shared" ca="1" si="618"/>
        <v>0.20217800416128595</v>
      </c>
      <c r="BK630" s="2">
        <f t="shared" ca="1" si="619"/>
        <v>6869643.669371061</v>
      </c>
    </row>
    <row r="631" spans="1:63" x14ac:dyDescent="0.3">
      <c r="A631" s="2">
        <v>630</v>
      </c>
      <c r="B631" s="2">
        <f t="shared" ca="1" si="558"/>
        <v>0.96004636401343235</v>
      </c>
      <c r="C631" s="2">
        <f t="shared" ca="1" si="559"/>
        <v>7.7173212565948131</v>
      </c>
      <c r="D631" s="2">
        <f t="shared" ca="1" si="560"/>
        <v>0.66465203083394264</v>
      </c>
      <c r="E631" s="2">
        <f t="shared" ca="1" si="561"/>
        <v>7.681039721151194</v>
      </c>
      <c r="F631" s="2">
        <f t="shared" ca="1" si="562"/>
        <v>0.17831641010234489</v>
      </c>
      <c r="G631" s="2">
        <f t="shared" ca="1" si="563"/>
        <v>1.2345994982280117E-2</v>
      </c>
      <c r="H631" s="2">
        <f t="shared" ca="1" si="564"/>
        <v>1.2345994982280117E-2</v>
      </c>
      <c r="I631" s="2">
        <f t="shared" ca="1" si="565"/>
        <v>0.21319812707634467</v>
      </c>
      <c r="J631" s="2">
        <f t="shared" ca="1" si="566"/>
        <v>6.0231323619904529E-3</v>
      </c>
      <c r="K631" s="2">
        <f t="shared" ca="1" si="567"/>
        <v>6.0231323619904529E-3</v>
      </c>
      <c r="L631" s="2">
        <f t="shared" ca="1" si="568"/>
        <v>0.11670095946838432</v>
      </c>
      <c r="M631" s="2">
        <f t="shared" ca="1" si="569"/>
        <v>-2.3832826243959354E-2</v>
      </c>
      <c r="N631" s="2">
        <f t="shared" ca="1" si="570"/>
        <v>-2.3832826243959354E-2</v>
      </c>
      <c r="O631" s="2">
        <f t="shared" si="571"/>
        <v>6000000</v>
      </c>
      <c r="P631" s="2">
        <f t="shared" ca="1" si="572"/>
        <v>46303927.539568879</v>
      </c>
      <c r="Q631" s="2">
        <f t="shared" ca="1" si="573"/>
        <v>1157598.188489222</v>
      </c>
      <c r="R631" s="2">
        <f t="shared" ca="1" si="574"/>
        <v>27782356.523741327</v>
      </c>
      <c r="S631" s="2">
        <f t="shared" ca="1" si="575"/>
        <v>18521571.015827551</v>
      </c>
      <c r="T631" s="2">
        <f t="shared" ca="1" si="576"/>
        <v>48808358.687802032</v>
      </c>
      <c r="U631" s="2">
        <f t="shared" ca="1" si="577"/>
        <v>49410946.439254969</v>
      </c>
      <c r="V631" s="2">
        <f t="shared" ca="1" si="578"/>
        <v>50020973.736063726</v>
      </c>
      <c r="W631" s="2">
        <f t="shared" ca="1" si="579"/>
        <v>50638532.426817939</v>
      </c>
      <c r="X631" s="2">
        <f t="shared" ca="1" si="580"/>
        <v>51263715.494069465</v>
      </c>
      <c r="Y631" s="2">
        <f t="shared" ca="1" si="581"/>
        <v>0.12301156618099522</v>
      </c>
      <c r="Z631" s="2">
        <f t="shared" ca="1" si="582"/>
        <v>0.12421619265339331</v>
      </c>
      <c r="AA631" s="2">
        <f t="shared" ca="1" si="583"/>
        <v>6003992.6449103123</v>
      </c>
      <c r="AB631" s="2">
        <f t="shared" ca="1" si="584"/>
        <v>6137639.6420849934</v>
      </c>
      <c r="AC631" s="2">
        <f t="shared" ca="1" si="585"/>
        <v>6213414.9103092188</v>
      </c>
      <c r="AD631" s="2">
        <f t="shared" ca="1" si="586"/>
        <v>6290125.6996147214</v>
      </c>
      <c r="AE631" s="2">
        <f t="shared" ca="1" si="587"/>
        <v>6367783.5599400764</v>
      </c>
      <c r="AF631" s="2">
        <f t="shared" ca="1" si="588"/>
        <v>976167.17375604063</v>
      </c>
      <c r="AG631" s="2">
        <f t="shared" ca="1" si="589"/>
        <v>988218.92878509942</v>
      </c>
      <c r="AH631" s="2">
        <f t="shared" ca="1" si="590"/>
        <v>1000419.4747212746</v>
      </c>
      <c r="AI631" s="2">
        <f t="shared" ca="1" si="591"/>
        <v>1012770.6485363588</v>
      </c>
      <c r="AJ631" s="2">
        <f t="shared" ca="1" si="592"/>
        <v>1025274.3098813893</v>
      </c>
      <c r="AK631" s="2">
        <f t="shared" ca="1" si="593"/>
        <v>0</v>
      </c>
      <c r="AL631" s="2">
        <f t="shared" ca="1" si="594"/>
        <v>6025.8775145293775</v>
      </c>
      <c r="AM631" s="2">
        <f t="shared" ca="1" si="595"/>
        <v>6100.2729680875691</v>
      </c>
      <c r="AN631" s="2">
        <f t="shared" ca="1" si="596"/>
        <v>6175.5869075421242</v>
      </c>
      <c r="AO631" s="2">
        <f t="shared" ca="1" si="597"/>
        <v>6251.8306725152579</v>
      </c>
      <c r="AP631" s="2">
        <f t="shared" ca="1" si="598"/>
        <v>2500412.0871367194</v>
      </c>
      <c r="AQ631" s="2">
        <f t="shared" ca="1" si="599"/>
        <v>657127.47984456364</v>
      </c>
      <c r="AR631" s="2">
        <f t="shared" ca="1" si="600"/>
        <v>688742.2428024254</v>
      </c>
      <c r="AS631" s="2">
        <f t="shared" ca="1" si="601"/>
        <v>705271.67059731856</v>
      </c>
      <c r="AT631" s="2">
        <f t="shared" ca="1" si="602"/>
        <v>722005.17062482715</v>
      </c>
      <c r="AU631" s="2">
        <f t="shared" ca="1" si="603"/>
        <v>738945.26235971169</v>
      </c>
      <c r="AV631" s="2">
        <f t="shared" ca="1" si="604"/>
        <v>1870285.9041729886</v>
      </c>
      <c r="AW631" s="2">
        <f t="shared" ca="1" si="605"/>
        <v>1954240.5058462201</v>
      </c>
      <c r="AX631" s="2">
        <f t="shared" ca="1" si="606"/>
        <v>2001211.4048858192</v>
      </c>
      <c r="AY631" s="2">
        <f t="shared" ca="1" si="607"/>
        <v>2048762.2064092737</v>
      </c>
      <c r="AZ631" s="2">
        <f t="shared" ca="1" si="608"/>
        <v>2096900.069889741</v>
      </c>
      <c r="BA631" s="2">
        <f t="shared" ca="1" si="609"/>
        <v>48911198.459593281</v>
      </c>
      <c r="BB631" s="2">
        <f t="shared" ca="1" si="610"/>
        <v>978223.96919186565</v>
      </c>
      <c r="BC631" s="2">
        <f t="shared" ca="1" si="611"/>
        <v>20150617.96666009</v>
      </c>
      <c r="BD631" s="2">
        <f t="shared" ca="1" si="612"/>
        <v>-20179169.204316773</v>
      </c>
      <c r="BE631" s="2">
        <f t="shared" ca="1" si="613"/>
        <v>1870285.9041729886</v>
      </c>
      <c r="BF631" s="2">
        <f t="shared" ca="1" si="614"/>
        <v>1954240.5058462201</v>
      </c>
      <c r="BG631" s="2">
        <f t="shared" ca="1" si="615"/>
        <v>2001211.4048858192</v>
      </c>
      <c r="BH631" s="2">
        <f t="shared" ca="1" si="616"/>
        <v>2048762.2064092737</v>
      </c>
      <c r="BI631" s="2">
        <f t="shared" ca="1" si="617"/>
        <v>22247518.036549829</v>
      </c>
      <c r="BJ631" s="2">
        <f t="shared" ca="1" si="618"/>
        <v>9.8086823562291592E-2</v>
      </c>
      <c r="BK631" s="2">
        <f t="shared" ca="1" si="619"/>
        <v>-1601075.131823469</v>
      </c>
    </row>
    <row r="632" spans="1:63" x14ac:dyDescent="0.3">
      <c r="A632" s="2">
        <v>631</v>
      </c>
      <c r="B632" s="2">
        <f t="shared" ca="1" si="558"/>
        <v>5.215547421042821E-2</v>
      </c>
      <c r="C632" s="2">
        <f t="shared" ca="1" si="559"/>
        <v>6.3229720551701902</v>
      </c>
      <c r="D632" s="2">
        <f t="shared" ca="1" si="560"/>
        <v>0.36138050133433341</v>
      </c>
      <c r="E632" s="2">
        <f t="shared" ca="1" si="561"/>
        <v>7.3501535171183301</v>
      </c>
      <c r="F632" s="2">
        <f t="shared" ca="1" si="562"/>
        <v>0.78896104353175533</v>
      </c>
      <c r="G632" s="2">
        <f t="shared" ca="1" si="563"/>
        <v>6.4084645027590786E-2</v>
      </c>
      <c r="H632" s="2">
        <f t="shared" ca="1" si="564"/>
        <v>6.4084645027590786E-2</v>
      </c>
      <c r="I632" s="2">
        <f t="shared" ca="1" si="565"/>
        <v>0.18524290247961805</v>
      </c>
      <c r="J632" s="2">
        <f t="shared" ca="1" si="566"/>
        <v>5.5221812630739733E-3</v>
      </c>
      <c r="K632" s="2">
        <f t="shared" ca="1" si="567"/>
        <v>5.5221812630739733E-3</v>
      </c>
      <c r="L632" s="2">
        <f t="shared" ca="1" si="568"/>
        <v>0.62045123482626452</v>
      </c>
      <c r="M632" s="2">
        <f t="shared" ca="1" si="569"/>
        <v>6.133322135617957E-3</v>
      </c>
      <c r="N632" s="2">
        <f t="shared" ca="1" si="570"/>
        <v>6.133322135617957E-3</v>
      </c>
      <c r="O632" s="2">
        <f t="shared" si="571"/>
        <v>6000000</v>
      </c>
      <c r="P632" s="2">
        <f t="shared" ca="1" si="572"/>
        <v>37937832.331021145</v>
      </c>
      <c r="Q632" s="2">
        <f t="shared" ca="1" si="573"/>
        <v>948445.80827552872</v>
      </c>
      <c r="R632" s="2">
        <f t="shared" ca="1" si="574"/>
        <v>22762699.398612686</v>
      </c>
      <c r="S632" s="2">
        <f t="shared" ca="1" si="575"/>
        <v>15175132.932408459</v>
      </c>
      <c r="T632" s="2">
        <f t="shared" ca="1" si="576"/>
        <v>50306666.106780894</v>
      </c>
      <c r="U632" s="2">
        <f t="shared" ca="1" si="577"/>
        <v>53530550.946755476</v>
      </c>
      <c r="V632" s="2">
        <f t="shared" ca="1" si="578"/>
        <v>56961037.302309662</v>
      </c>
      <c r="W632" s="2">
        <f t="shared" ca="1" si="579"/>
        <v>60611365.158231527</v>
      </c>
      <c r="X632" s="2">
        <f t="shared" ca="1" si="580"/>
        <v>64495622.979034476</v>
      </c>
      <c r="Y632" s="2">
        <f t="shared" ca="1" si="581"/>
        <v>0.12276109063153698</v>
      </c>
      <c r="Z632" s="2">
        <f t="shared" ca="1" si="582"/>
        <v>0.12386552688415178</v>
      </c>
      <c r="AA632" s="2">
        <f t="shared" ca="1" si="583"/>
        <v>6175701.1973049985</v>
      </c>
      <c r="AB632" s="2">
        <f t="shared" ca="1" si="584"/>
        <v>6630589.897418797</v>
      </c>
      <c r="AC632" s="2">
        <f t="shared" ca="1" si="585"/>
        <v>7055508.8973184098</v>
      </c>
      <c r="AD632" s="2">
        <f t="shared" ca="1" si="586"/>
        <v>7507658.6804920677</v>
      </c>
      <c r="AE632" s="2">
        <f t="shared" ca="1" si="587"/>
        <v>7988784.3220197121</v>
      </c>
      <c r="AF632" s="2">
        <f t="shared" ca="1" si="588"/>
        <v>1006133.322135618</v>
      </c>
      <c r="AG632" s="2">
        <f t="shared" ca="1" si="589"/>
        <v>1070611.0189351095</v>
      </c>
      <c r="AH632" s="2">
        <f t="shared" ca="1" si="590"/>
        <v>1139220.7460461932</v>
      </c>
      <c r="AI632" s="2">
        <f t="shared" ca="1" si="591"/>
        <v>1212227.3031646307</v>
      </c>
      <c r="AJ632" s="2">
        <f t="shared" ca="1" si="592"/>
        <v>1289912.4595806894</v>
      </c>
      <c r="AK632" s="2">
        <f t="shared" ca="1" si="593"/>
        <v>0</v>
      </c>
      <c r="AL632" s="2">
        <f t="shared" ca="1" si="594"/>
        <v>32238.848399745824</v>
      </c>
      <c r="AM632" s="2">
        <f t="shared" ca="1" si="595"/>
        <v>34304.863555541859</v>
      </c>
      <c r="AN632" s="2">
        <f t="shared" ca="1" si="596"/>
        <v>36503.278559218648</v>
      </c>
      <c r="AO632" s="2">
        <f t="shared" ca="1" si="597"/>
        <v>38842.578208029496</v>
      </c>
      <c r="AP632" s="2">
        <f t="shared" ca="1" si="598"/>
        <v>2048642.9458751415</v>
      </c>
      <c r="AQ632" s="2">
        <f t="shared" ca="1" si="599"/>
        <v>811440.48161650216</v>
      </c>
      <c r="AR632" s="2">
        <f t="shared" ca="1" si="600"/>
        <v>912947.34247822198</v>
      </c>
      <c r="AS632" s="2">
        <f t="shared" ca="1" si="601"/>
        <v>1005587.7534032395</v>
      </c>
      <c r="AT632" s="2">
        <f t="shared" ca="1" si="602"/>
        <v>1104164.9921775968</v>
      </c>
      <c r="AU632" s="2">
        <f t="shared" ca="1" si="603"/>
        <v>1209059.518306609</v>
      </c>
      <c r="AV632" s="2">
        <f t="shared" ca="1" si="604"/>
        <v>2309484.4476777371</v>
      </c>
      <c r="AW632" s="2">
        <f t="shared" ca="1" si="605"/>
        <v>2566149.7417305773</v>
      </c>
      <c r="AX632" s="2">
        <f t="shared" ca="1" si="606"/>
        <v>2827752.588438293</v>
      </c>
      <c r="AY632" s="2">
        <f t="shared" ca="1" si="607"/>
        <v>3106120.1607154794</v>
      </c>
      <c r="AZ632" s="2">
        <f t="shared" ca="1" si="608"/>
        <v>3402326.8200492421</v>
      </c>
      <c r="BA632" s="2">
        <f t="shared" ca="1" si="609"/>
        <v>58718791.181992963</v>
      </c>
      <c r="BB632" s="2">
        <f t="shared" ca="1" si="610"/>
        <v>1174375.8236398592</v>
      </c>
      <c r="BC632" s="2">
        <f t="shared" ca="1" si="611"/>
        <v>34781715.959740415</v>
      </c>
      <c r="BD632" s="2">
        <f t="shared" ca="1" si="612"/>
        <v>-16623578.740683988</v>
      </c>
      <c r="BE632" s="2">
        <f t="shared" ca="1" si="613"/>
        <v>2309484.4476777371</v>
      </c>
      <c r="BF632" s="2">
        <f t="shared" ca="1" si="614"/>
        <v>2566149.7417305773</v>
      </c>
      <c r="BG632" s="2">
        <f t="shared" ca="1" si="615"/>
        <v>2827752.588438293</v>
      </c>
      <c r="BH632" s="2">
        <f t="shared" ca="1" si="616"/>
        <v>3106120.1607154794</v>
      </c>
      <c r="BI632" s="2">
        <f t="shared" ca="1" si="617"/>
        <v>38184042.779789656</v>
      </c>
      <c r="BJ632" s="2">
        <f t="shared" ca="1" si="618"/>
        <v>0.28686404120941789</v>
      </c>
      <c r="BK632" s="2">
        <f t="shared" ca="1" si="619"/>
        <v>13137565.094875861</v>
      </c>
    </row>
    <row r="633" spans="1:63" x14ac:dyDescent="0.3">
      <c r="A633" s="2">
        <v>632</v>
      </c>
      <c r="B633" s="2">
        <f t="shared" ca="1" si="558"/>
        <v>0.23239038547036905</v>
      </c>
      <c r="C633" s="2">
        <f t="shared" ca="1" si="559"/>
        <v>6.6817483193530718</v>
      </c>
      <c r="D633" s="2">
        <f t="shared" ca="1" si="560"/>
        <v>0.99892543894294417</v>
      </c>
      <c r="E633" s="2">
        <f t="shared" ca="1" si="561"/>
        <v>8.4536413749760442</v>
      </c>
      <c r="F633" s="2">
        <f t="shared" ca="1" si="562"/>
        <v>0.9978556382598277</v>
      </c>
      <c r="G633" s="2">
        <f t="shared" ca="1" si="563"/>
        <v>0.12568317062954837</v>
      </c>
      <c r="H633" s="2">
        <f t="shared" ca="1" si="564"/>
        <v>0.12</v>
      </c>
      <c r="I633" s="2">
        <f t="shared" ca="1" si="565"/>
        <v>0.89191987249397331</v>
      </c>
      <c r="J633" s="2">
        <f t="shared" ca="1" si="566"/>
        <v>1.6184014637130574E-2</v>
      </c>
      <c r="K633" s="2">
        <f t="shared" ca="1" si="567"/>
        <v>1.6184014637130574E-2</v>
      </c>
      <c r="L633" s="2">
        <f t="shared" ca="1" si="568"/>
        <v>0.86596941305703568</v>
      </c>
      <c r="M633" s="2">
        <f t="shared" ca="1" si="569"/>
        <v>2.2150770112695031E-2</v>
      </c>
      <c r="N633" s="2">
        <f t="shared" ca="1" si="570"/>
        <v>2.2150770112695031E-2</v>
      </c>
      <c r="O633" s="2">
        <f t="shared" si="571"/>
        <v>6000000</v>
      </c>
      <c r="P633" s="2">
        <f t="shared" ca="1" si="572"/>
        <v>40090489.916118428</v>
      </c>
      <c r="Q633" s="2">
        <f t="shared" ca="1" si="573"/>
        <v>1002262.2479029607</v>
      </c>
      <c r="R633" s="2">
        <f t="shared" ca="1" si="574"/>
        <v>24054293.949671056</v>
      </c>
      <c r="S633" s="2">
        <f t="shared" ca="1" si="575"/>
        <v>16036195.966447372</v>
      </c>
      <c r="T633" s="2">
        <f t="shared" ca="1" si="576"/>
        <v>51107538.505634755</v>
      </c>
      <c r="U633" s="2">
        <f t="shared" ca="1" si="577"/>
        <v>57240443.12631093</v>
      </c>
      <c r="V633" s="2">
        <f t="shared" ca="1" si="578"/>
        <v>64109296.301468246</v>
      </c>
      <c r="W633" s="2">
        <f t="shared" ca="1" si="579"/>
        <v>71802411.857644439</v>
      </c>
      <c r="X633" s="2">
        <f t="shared" ca="1" si="580"/>
        <v>80418701.280561775</v>
      </c>
      <c r="Y633" s="2">
        <f t="shared" ca="1" si="581"/>
        <v>0.12809200731856529</v>
      </c>
      <c r="Z633" s="2">
        <f t="shared" ca="1" si="582"/>
        <v>0.13132881024599138</v>
      </c>
      <c r="AA633" s="2">
        <f t="shared" ca="1" si="583"/>
        <v>6546467.1962976241</v>
      </c>
      <c r="AB633" s="2">
        <f t="shared" ca="1" si="584"/>
        <v>7517319.29373175</v>
      </c>
      <c r="AC633" s="2">
        <f t="shared" ca="1" si="585"/>
        <v>8419397.6089795604</v>
      </c>
      <c r="AD633" s="2">
        <f t="shared" ca="1" si="586"/>
        <v>9429725.3220571075</v>
      </c>
      <c r="AE633" s="2">
        <f t="shared" ca="1" si="587"/>
        <v>10561292.360703962</v>
      </c>
      <c r="AF633" s="2">
        <f t="shared" ca="1" si="588"/>
        <v>1022150.7701126952</v>
      </c>
      <c r="AG633" s="2">
        <f t="shared" ca="1" si="589"/>
        <v>1144808.8625262186</v>
      </c>
      <c r="AH633" s="2">
        <f t="shared" ca="1" si="590"/>
        <v>1282185.926029365</v>
      </c>
      <c r="AI633" s="2">
        <f t="shared" ca="1" si="591"/>
        <v>1436048.2371528889</v>
      </c>
      <c r="AJ633" s="2">
        <f t="shared" ca="1" si="592"/>
        <v>1608374.0256112355</v>
      </c>
      <c r="AK633" s="2">
        <f t="shared" ca="1" si="593"/>
        <v>0</v>
      </c>
      <c r="AL633" s="2">
        <f t="shared" ca="1" si="594"/>
        <v>61329.046206761748</v>
      </c>
      <c r="AM633" s="2">
        <f t="shared" ca="1" si="595"/>
        <v>68688.531751573159</v>
      </c>
      <c r="AN633" s="2">
        <f t="shared" ca="1" si="596"/>
        <v>76931.155561761931</v>
      </c>
      <c r="AO633" s="2">
        <f t="shared" ca="1" si="597"/>
        <v>86162.894229173369</v>
      </c>
      <c r="AP633" s="2">
        <f t="shared" ca="1" si="598"/>
        <v>2164886.4554703948</v>
      </c>
      <c r="AQ633" s="2">
        <f t="shared" ca="1" si="599"/>
        <v>873451.79238577886</v>
      </c>
      <c r="AR633" s="2">
        <f t="shared" ca="1" si="600"/>
        <v>1093982.2336911357</v>
      </c>
      <c r="AS633" s="2">
        <f t="shared" ca="1" si="601"/>
        <v>1292804.5591447481</v>
      </c>
      <c r="AT633" s="2">
        <f t="shared" ca="1" si="602"/>
        <v>1515485.5636527943</v>
      </c>
      <c r="AU633" s="2">
        <f t="shared" ca="1" si="603"/>
        <v>1764888.2887018067</v>
      </c>
      <c r="AV633" s="2">
        <f t="shared" ca="1" si="604"/>
        <v>2485978.1783287558</v>
      </c>
      <c r="AW633" s="2">
        <f t="shared" ca="1" si="605"/>
        <v>3052312.6958372393</v>
      </c>
      <c r="AX633" s="2">
        <f t="shared" ca="1" si="606"/>
        <v>3610832.1365834787</v>
      </c>
      <c r="AY633" s="2">
        <f t="shared" ca="1" si="607"/>
        <v>4236373.910219267</v>
      </c>
      <c r="AZ633" s="2">
        <f t="shared" ca="1" si="608"/>
        <v>4936980.6966913529</v>
      </c>
      <c r="BA633" s="2">
        <f t="shared" ca="1" si="609"/>
        <v>89281378.073665425</v>
      </c>
      <c r="BB633" s="2">
        <f t="shared" ca="1" si="610"/>
        <v>1785627.5614733086</v>
      </c>
      <c r="BC633" s="2">
        <f t="shared" ca="1" si="611"/>
        <v>63441456.562521055</v>
      </c>
      <c r="BD633" s="2">
        <f t="shared" ca="1" si="612"/>
        <v>-17538458.214350332</v>
      </c>
      <c r="BE633" s="2">
        <f t="shared" ca="1" si="613"/>
        <v>2485978.1783287558</v>
      </c>
      <c r="BF633" s="2">
        <f t="shared" ca="1" si="614"/>
        <v>3052312.6958372393</v>
      </c>
      <c r="BG633" s="2">
        <f t="shared" ca="1" si="615"/>
        <v>3610832.1365834787</v>
      </c>
      <c r="BH633" s="2">
        <f t="shared" ca="1" si="616"/>
        <v>4236373.910219267</v>
      </c>
      <c r="BI633" s="2">
        <f t="shared" ca="1" si="617"/>
        <v>68378437.259212404</v>
      </c>
      <c r="BJ633" s="2">
        <f t="shared" ca="1" si="618"/>
        <v>0.41749437136001277</v>
      </c>
      <c r="BK633" s="2">
        <f t="shared" ca="1" si="619"/>
        <v>31176623.005413514</v>
      </c>
    </row>
    <row r="634" spans="1:63" x14ac:dyDescent="0.3">
      <c r="A634" s="2">
        <v>633</v>
      </c>
      <c r="B634" s="2">
        <f t="shared" ca="1" si="558"/>
        <v>0.52505207008751975</v>
      </c>
      <c r="C634" s="2">
        <f t="shared" ca="1" si="559"/>
        <v>7.0253739897658383</v>
      </c>
      <c r="D634" s="2">
        <f t="shared" ca="1" si="560"/>
        <v>0.94046940876483853</v>
      </c>
      <c r="E634" s="2">
        <f t="shared" ca="1" si="561"/>
        <v>8.1549475656217982</v>
      </c>
      <c r="F634" s="2">
        <f t="shared" ca="1" si="562"/>
        <v>0.9969415914319284</v>
      </c>
      <c r="G634" s="2">
        <f t="shared" ca="1" si="563"/>
        <v>0.12224358029301949</v>
      </c>
      <c r="H634" s="2">
        <f t="shared" ca="1" si="564"/>
        <v>0.12</v>
      </c>
      <c r="I634" s="2">
        <f t="shared" ca="1" si="565"/>
        <v>0.44587254947832533</v>
      </c>
      <c r="J634" s="2">
        <f t="shared" ca="1" si="566"/>
        <v>9.3195181614307721E-3</v>
      </c>
      <c r="K634" s="2">
        <f t="shared" ca="1" si="567"/>
        <v>9.3195181614307721E-3</v>
      </c>
      <c r="L634" s="2">
        <f t="shared" ca="1" si="568"/>
        <v>0.73191185192100272</v>
      </c>
      <c r="M634" s="2">
        <f t="shared" ca="1" si="569"/>
        <v>1.23721094400279E-2</v>
      </c>
      <c r="N634" s="2">
        <f t="shared" ca="1" si="570"/>
        <v>1.23721094400279E-2</v>
      </c>
      <c r="O634" s="2">
        <f t="shared" si="571"/>
        <v>6000000</v>
      </c>
      <c r="P634" s="2">
        <f t="shared" ca="1" si="572"/>
        <v>42152243.938595027</v>
      </c>
      <c r="Q634" s="2">
        <f t="shared" ca="1" si="573"/>
        <v>1053806.0984648757</v>
      </c>
      <c r="R634" s="2">
        <f t="shared" ca="1" si="574"/>
        <v>25291346.363157015</v>
      </c>
      <c r="S634" s="2">
        <f t="shared" ca="1" si="575"/>
        <v>16860897.575438011</v>
      </c>
      <c r="T634" s="2">
        <f t="shared" ca="1" si="576"/>
        <v>50618605.472001396</v>
      </c>
      <c r="U634" s="2">
        <f t="shared" ca="1" si="577"/>
        <v>56692838.128641568</v>
      </c>
      <c r="V634" s="2">
        <f t="shared" ca="1" si="578"/>
        <v>63495978.704078563</v>
      </c>
      <c r="W634" s="2">
        <f t="shared" ca="1" si="579"/>
        <v>71115496.148567989</v>
      </c>
      <c r="X634" s="2">
        <f t="shared" ca="1" si="580"/>
        <v>79649355.686396152</v>
      </c>
      <c r="Y634" s="2">
        <f t="shared" ca="1" si="581"/>
        <v>0.12465975908071539</v>
      </c>
      <c r="Z634" s="2">
        <f t="shared" ca="1" si="582"/>
        <v>0.12652366271300153</v>
      </c>
      <c r="AA634" s="2">
        <f t="shared" ca="1" si="583"/>
        <v>6310103.163141476</v>
      </c>
      <c r="AB634" s="2">
        <f t="shared" ca="1" si="584"/>
        <v>7172985.5296310382</v>
      </c>
      <c r="AC634" s="2">
        <f t="shared" ca="1" si="585"/>
        <v>8033743.7931867642</v>
      </c>
      <c r="AD634" s="2">
        <f t="shared" ca="1" si="586"/>
        <v>8997793.0483691748</v>
      </c>
      <c r="AE634" s="2">
        <f t="shared" ca="1" si="587"/>
        <v>10077528.214173477</v>
      </c>
      <c r="AF634" s="2">
        <f t="shared" ca="1" si="588"/>
        <v>1012372.109440028</v>
      </c>
      <c r="AG634" s="2">
        <f t="shared" ca="1" si="589"/>
        <v>1133856.7625728315</v>
      </c>
      <c r="AH634" s="2">
        <f t="shared" ca="1" si="590"/>
        <v>1269919.5740815713</v>
      </c>
      <c r="AI634" s="2">
        <f t="shared" ca="1" si="591"/>
        <v>1422309.9229713599</v>
      </c>
      <c r="AJ634" s="2">
        <f t="shared" ca="1" si="592"/>
        <v>1592987.113727923</v>
      </c>
      <c r="AK634" s="2">
        <f t="shared" ca="1" si="593"/>
        <v>0</v>
      </c>
      <c r="AL634" s="2">
        <f t="shared" ca="1" si="594"/>
        <v>60742.326566401724</v>
      </c>
      <c r="AM634" s="2">
        <f t="shared" ca="1" si="595"/>
        <v>68031.405754369945</v>
      </c>
      <c r="AN634" s="2">
        <f t="shared" ca="1" si="596"/>
        <v>76195.174444894277</v>
      </c>
      <c r="AO634" s="2">
        <f t="shared" ca="1" si="597"/>
        <v>85338.595378281621</v>
      </c>
      <c r="AP634" s="2">
        <f t="shared" ca="1" si="598"/>
        <v>2276221.1726841312</v>
      </c>
      <c r="AQ634" s="2">
        <f t="shared" ca="1" si="599"/>
        <v>785592.56906450249</v>
      </c>
      <c r="AR634" s="2">
        <f t="shared" ca="1" si="600"/>
        <v>978355.97453725967</v>
      </c>
      <c r="AS634" s="2">
        <f t="shared" ca="1" si="601"/>
        <v>1166776.7920694761</v>
      </c>
      <c r="AT634" s="2">
        <f t="shared" ca="1" si="602"/>
        <v>1377808.1077055577</v>
      </c>
      <c r="AU634" s="2">
        <f t="shared" ca="1" si="603"/>
        <v>1614163.1812179699</v>
      </c>
      <c r="AV634" s="2">
        <f t="shared" ca="1" si="604"/>
        <v>2235917.3119528145</v>
      </c>
      <c r="AW634" s="2">
        <f t="shared" ca="1" si="605"/>
        <v>2723809.2932704138</v>
      </c>
      <c r="AX634" s="2">
        <f t="shared" ca="1" si="606"/>
        <v>3252794.8485972164</v>
      </c>
      <c r="AY634" s="2">
        <f t="shared" ca="1" si="607"/>
        <v>3845258.6705632312</v>
      </c>
      <c r="AZ634" s="2">
        <f t="shared" ca="1" si="608"/>
        <v>4508818.1511651706</v>
      </c>
      <c r="BA634" s="2">
        <f t="shared" ca="1" si="609"/>
        <v>82181714.17765899</v>
      </c>
      <c r="BB634" s="2">
        <f t="shared" ca="1" si="610"/>
        <v>1643634.2835531798</v>
      </c>
      <c r="BC634" s="2">
        <f t="shared" ca="1" si="611"/>
        <v>55246733.530948788</v>
      </c>
      <c r="BD634" s="2">
        <f t="shared" ca="1" si="612"/>
        <v>-18414703.673902888</v>
      </c>
      <c r="BE634" s="2">
        <f t="shared" ca="1" si="613"/>
        <v>2235917.3119528145</v>
      </c>
      <c r="BF634" s="2">
        <f t="shared" ca="1" si="614"/>
        <v>2723809.2932704138</v>
      </c>
      <c r="BG634" s="2">
        <f t="shared" ca="1" si="615"/>
        <v>3252794.8485972164</v>
      </c>
      <c r="BH634" s="2">
        <f t="shared" ca="1" si="616"/>
        <v>3845258.6705632312</v>
      </c>
      <c r="BI634" s="2">
        <f t="shared" ca="1" si="617"/>
        <v>59755551.68211396</v>
      </c>
      <c r="BJ634" s="2">
        <f t="shared" ca="1" si="618"/>
        <v>0.35934264965475538</v>
      </c>
      <c r="BK634" s="2">
        <f t="shared" ca="1" si="619"/>
        <v>24418966.488542613</v>
      </c>
    </row>
    <row r="635" spans="1:63" x14ac:dyDescent="0.3">
      <c r="A635" s="2">
        <v>634</v>
      </c>
      <c r="B635" s="2">
        <f t="shared" ca="1" si="558"/>
        <v>0.99600525745023416</v>
      </c>
      <c r="C635" s="2">
        <f t="shared" ca="1" si="559"/>
        <v>7.9106160803078556</v>
      </c>
      <c r="D635" s="2">
        <f t="shared" ca="1" si="560"/>
        <v>0.59954669454337495</v>
      </c>
      <c r="E635" s="2">
        <f t="shared" ca="1" si="561"/>
        <v>7.6050661415985816</v>
      </c>
      <c r="F635" s="2">
        <f t="shared" ca="1" si="562"/>
        <v>0.54737955407982564</v>
      </c>
      <c r="G635" s="2">
        <f t="shared" ca="1" si="563"/>
        <v>4.3571305035376998E-2</v>
      </c>
      <c r="H635" s="2">
        <f t="shared" ca="1" si="564"/>
        <v>4.3571305035376998E-2</v>
      </c>
      <c r="I635" s="2">
        <f t="shared" ca="1" si="565"/>
        <v>0.47286908847126918</v>
      </c>
      <c r="J635" s="2">
        <f t="shared" ca="1" si="566"/>
        <v>9.6597019162262803E-3</v>
      </c>
      <c r="K635" s="2">
        <f t="shared" ca="1" si="567"/>
        <v>9.6597019162262803E-3</v>
      </c>
      <c r="L635" s="2">
        <f t="shared" ca="1" si="568"/>
        <v>0.64166575824914207</v>
      </c>
      <c r="M635" s="2">
        <f t="shared" ca="1" si="569"/>
        <v>7.2582972614528068E-3</v>
      </c>
      <c r="N635" s="2">
        <f t="shared" ca="1" si="570"/>
        <v>7.2582972614528068E-3</v>
      </c>
      <c r="O635" s="2">
        <f t="shared" si="571"/>
        <v>6000000</v>
      </c>
      <c r="P635" s="2">
        <f t="shared" ca="1" si="572"/>
        <v>47463696.48184713</v>
      </c>
      <c r="Q635" s="2">
        <f t="shared" ca="1" si="573"/>
        <v>1186592.4120461782</v>
      </c>
      <c r="R635" s="2">
        <f t="shared" ca="1" si="574"/>
        <v>28478217.889108278</v>
      </c>
      <c r="S635" s="2">
        <f t="shared" ca="1" si="575"/>
        <v>18985478.592738852</v>
      </c>
      <c r="T635" s="2">
        <f t="shared" ca="1" si="576"/>
        <v>50362914.863072641</v>
      </c>
      <c r="U635" s="2">
        <f t="shared" ca="1" si="577"/>
        <v>52557292.789042301</v>
      </c>
      <c r="V635" s="2">
        <f t="shared" ca="1" si="578"/>
        <v>54847282.624987282</v>
      </c>
      <c r="W635" s="2">
        <f t="shared" ca="1" si="579"/>
        <v>57237050.306602135</v>
      </c>
      <c r="X635" s="2">
        <f t="shared" ca="1" si="580"/>
        <v>59730943.284836315</v>
      </c>
      <c r="Y635" s="2">
        <f t="shared" ca="1" si="581"/>
        <v>0.12482985095811314</v>
      </c>
      <c r="Z635" s="2">
        <f t="shared" ca="1" si="582"/>
        <v>0.1267617913413584</v>
      </c>
      <c r="AA635" s="2">
        <f t="shared" ca="1" si="583"/>
        <v>6286795.1561734984</v>
      </c>
      <c r="AB635" s="2">
        <f t="shared" ca="1" si="584"/>
        <v>6662256.5819912609</v>
      </c>
      <c r="AC635" s="2">
        <f t="shared" ca="1" si="585"/>
        <v>6952539.7957491502</v>
      </c>
      <c r="AD635" s="2">
        <f t="shared" ca="1" si="586"/>
        <v>7255471.027960334</v>
      </c>
      <c r="AE635" s="2">
        <f t="shared" ca="1" si="587"/>
        <v>7571601.369294934</v>
      </c>
      <c r="AF635" s="2">
        <f t="shared" ca="1" si="588"/>
        <v>1007258.2972614529</v>
      </c>
      <c r="AG635" s="2">
        <f t="shared" ca="1" si="589"/>
        <v>1051145.855780846</v>
      </c>
      <c r="AH635" s="2">
        <f t="shared" ca="1" si="590"/>
        <v>1096945.6524997456</v>
      </c>
      <c r="AI635" s="2">
        <f t="shared" ca="1" si="591"/>
        <v>1144741.0061320427</v>
      </c>
      <c r="AJ635" s="2">
        <f t="shared" ca="1" si="592"/>
        <v>1194618.8656967264</v>
      </c>
      <c r="AK635" s="2">
        <f t="shared" ca="1" si="593"/>
        <v>0</v>
      </c>
      <c r="AL635" s="2">
        <f t="shared" ca="1" si="594"/>
        <v>21943.779259696603</v>
      </c>
      <c r="AM635" s="2">
        <f t="shared" ca="1" si="595"/>
        <v>22899.898359449806</v>
      </c>
      <c r="AN635" s="2">
        <f t="shared" ca="1" si="596"/>
        <v>23897.676816148534</v>
      </c>
      <c r="AO635" s="2">
        <f t="shared" ca="1" si="597"/>
        <v>24938.929782341795</v>
      </c>
      <c r="AP635" s="2">
        <f t="shared" ca="1" si="598"/>
        <v>2563039.6100197448</v>
      </c>
      <c r="AQ635" s="2">
        <f t="shared" ca="1" si="599"/>
        <v>706289.28471199807</v>
      </c>
      <c r="AR635" s="2">
        <f t="shared" ca="1" si="600"/>
        <v>792498.49020957435</v>
      </c>
      <c r="AS635" s="2">
        <f t="shared" ca="1" si="601"/>
        <v>856064.17863971158</v>
      </c>
      <c r="AT635" s="2">
        <f t="shared" ca="1" si="602"/>
        <v>922399.50707022205</v>
      </c>
      <c r="AU635" s="2">
        <f t="shared" ca="1" si="603"/>
        <v>991625.15233040031</v>
      </c>
      <c r="AV635" s="2">
        <f t="shared" ca="1" si="604"/>
        <v>2010207.9641803023</v>
      </c>
      <c r="AW635" s="2">
        <f t="shared" ca="1" si="605"/>
        <v>2233628.8467214</v>
      </c>
      <c r="AX635" s="2">
        <f t="shared" ca="1" si="606"/>
        <v>2413590.4562304984</v>
      </c>
      <c r="AY635" s="2">
        <f t="shared" ca="1" si="607"/>
        <v>2601393.2279221755</v>
      </c>
      <c r="AZ635" s="2">
        <f t="shared" ca="1" si="608"/>
        <v>2797378.8114657202</v>
      </c>
      <c r="BA635" s="2">
        <f t="shared" ca="1" si="609"/>
        <v>57582529.211306363</v>
      </c>
      <c r="BB635" s="2">
        <f t="shared" ca="1" si="610"/>
        <v>1151650.5842261272</v>
      </c>
      <c r="BC635" s="2">
        <f t="shared" ca="1" si="611"/>
        <v>27952660.737971958</v>
      </c>
      <c r="BD635" s="2">
        <f t="shared" ca="1" si="612"/>
        <v>-20672071.004785031</v>
      </c>
      <c r="BE635" s="2">
        <f t="shared" ca="1" si="613"/>
        <v>2010207.9641803023</v>
      </c>
      <c r="BF635" s="2">
        <f t="shared" ca="1" si="614"/>
        <v>2233628.8467214</v>
      </c>
      <c r="BG635" s="2">
        <f t="shared" ca="1" si="615"/>
        <v>2413590.4562304984</v>
      </c>
      <c r="BH635" s="2">
        <f t="shared" ca="1" si="616"/>
        <v>2601393.2279221755</v>
      </c>
      <c r="BI635" s="2">
        <f t="shared" ca="1" si="617"/>
        <v>30750039.549437679</v>
      </c>
      <c r="BJ635" s="2">
        <f t="shared" ca="1" si="618"/>
        <v>0.16455598859864029</v>
      </c>
      <c r="BK635" s="2">
        <f t="shared" ca="1" si="619"/>
        <v>3722969.4691895731</v>
      </c>
    </row>
    <row r="636" spans="1:63" x14ac:dyDescent="0.3">
      <c r="A636" s="2">
        <v>635</v>
      </c>
      <c r="B636" s="2">
        <f t="shared" ca="1" si="558"/>
        <v>0.22247786074188269</v>
      </c>
      <c r="C636" s="2">
        <f t="shared" ca="1" si="559"/>
        <v>6.6670500142296421</v>
      </c>
      <c r="D636" s="2">
        <f t="shared" ca="1" si="560"/>
        <v>0.70017140845732762</v>
      </c>
      <c r="E636" s="2">
        <f t="shared" ca="1" si="561"/>
        <v>7.7256246497431977</v>
      </c>
      <c r="F636" s="2">
        <f t="shared" ca="1" si="562"/>
        <v>0.21426006354415483</v>
      </c>
      <c r="G636" s="2">
        <f t="shared" ca="1" si="563"/>
        <v>1.6248202942604355E-2</v>
      </c>
      <c r="H636" s="2">
        <f t="shared" ca="1" si="564"/>
        <v>1.6248202942604355E-2</v>
      </c>
      <c r="I636" s="2">
        <f t="shared" ca="1" si="565"/>
        <v>0.33035141131680845</v>
      </c>
      <c r="J636" s="2">
        <f t="shared" ca="1" si="566"/>
        <v>7.8052848914188355E-3</v>
      </c>
      <c r="K636" s="2">
        <f t="shared" ca="1" si="567"/>
        <v>7.8052848914188355E-3</v>
      </c>
      <c r="L636" s="2">
        <f t="shared" ca="1" si="568"/>
        <v>3.1889745043753859E-3</v>
      </c>
      <c r="M636" s="2">
        <f t="shared" ca="1" si="569"/>
        <v>-5.4553802601684208E-2</v>
      </c>
      <c r="N636" s="2">
        <f t="shared" ca="1" si="570"/>
        <v>-0.05</v>
      </c>
      <c r="O636" s="2">
        <f t="shared" si="571"/>
        <v>6000000</v>
      </c>
      <c r="P636" s="2">
        <f t="shared" ca="1" si="572"/>
        <v>40002300.08537785</v>
      </c>
      <c r="Q636" s="2">
        <f t="shared" ca="1" si="573"/>
        <v>1000057.5021344463</v>
      </c>
      <c r="R636" s="2">
        <f t="shared" ca="1" si="574"/>
        <v>24001380.051226709</v>
      </c>
      <c r="S636" s="2">
        <f t="shared" ca="1" si="575"/>
        <v>16000920.034151141</v>
      </c>
      <c r="T636" s="2">
        <f t="shared" ca="1" si="576"/>
        <v>47500000</v>
      </c>
      <c r="U636" s="2">
        <f t="shared" ca="1" si="577"/>
        <v>48271789.639773704</v>
      </c>
      <c r="V636" s="2">
        <f t="shared" ca="1" si="578"/>
        <v>49056119.474243455</v>
      </c>
      <c r="W636" s="2">
        <f t="shared" ca="1" si="579"/>
        <v>49853193.259037606</v>
      </c>
      <c r="X636" s="2">
        <f t="shared" ca="1" si="580"/>
        <v>50663218.06044732</v>
      </c>
      <c r="Y636" s="2">
        <f t="shared" ca="1" si="581"/>
        <v>0.12390264244570941</v>
      </c>
      <c r="Z636" s="2">
        <f t="shared" ca="1" si="582"/>
        <v>0.12546369942399319</v>
      </c>
      <c r="AA636" s="2">
        <f t="shared" ca="1" si="583"/>
        <v>5885375.5161711965</v>
      </c>
      <c r="AB636" s="2">
        <f t="shared" ca="1" si="584"/>
        <v>6056357.3060227958</v>
      </c>
      <c r="AC636" s="2">
        <f t="shared" ca="1" si="585"/>
        <v>6154762.2286239797</v>
      </c>
      <c r="AD636" s="2">
        <f t="shared" ca="1" si="586"/>
        <v>6254766.0543781379</v>
      </c>
      <c r="AE636" s="2">
        <f t="shared" ca="1" si="587"/>
        <v>6356394.7625881853</v>
      </c>
      <c r="AF636" s="2">
        <f t="shared" ca="1" si="588"/>
        <v>950000</v>
      </c>
      <c r="AG636" s="2">
        <f t="shared" ca="1" si="589"/>
        <v>965435.79279547406</v>
      </c>
      <c r="AH636" s="2">
        <f t="shared" ca="1" si="590"/>
        <v>981122.38948486908</v>
      </c>
      <c r="AI636" s="2">
        <f t="shared" ca="1" si="591"/>
        <v>997063.86518075212</v>
      </c>
      <c r="AJ636" s="2">
        <f t="shared" ca="1" si="592"/>
        <v>1013264.3612089464</v>
      </c>
      <c r="AK636" s="2">
        <f t="shared" ca="1" si="593"/>
        <v>0</v>
      </c>
      <c r="AL636" s="2">
        <f t="shared" ca="1" si="594"/>
        <v>7717.8963977370413</v>
      </c>
      <c r="AM636" s="2">
        <f t="shared" ca="1" si="595"/>
        <v>7843.2983446975049</v>
      </c>
      <c r="AN636" s="2">
        <f t="shared" ca="1" si="596"/>
        <v>7970.7378479415183</v>
      </c>
      <c r="AO636" s="2">
        <f t="shared" ca="1" si="597"/>
        <v>8100.2480140971393</v>
      </c>
      <c r="AP636" s="2">
        <f t="shared" ca="1" si="598"/>
        <v>2160124.2046104036</v>
      </c>
      <c r="AQ636" s="2">
        <f t="shared" ca="1" si="599"/>
        <v>721565.34100580611</v>
      </c>
      <c r="AR636" s="2">
        <f t="shared" ca="1" si="600"/>
        <v>762007.30024039885</v>
      </c>
      <c r="AS636" s="2">
        <f t="shared" ca="1" si="601"/>
        <v>783514.0649774638</v>
      </c>
      <c r="AT636" s="2">
        <f t="shared" ca="1" si="602"/>
        <v>805370.27599261538</v>
      </c>
      <c r="AU636" s="2">
        <f t="shared" ca="1" si="603"/>
        <v>827581.61115989718</v>
      </c>
      <c r="AV636" s="2">
        <f t="shared" ca="1" si="604"/>
        <v>2053685.970554987</v>
      </c>
      <c r="AW636" s="2">
        <f t="shared" ca="1" si="605"/>
        <v>2161072.1119787823</v>
      </c>
      <c r="AX636" s="2">
        <f t="shared" ca="1" si="606"/>
        <v>2222158.2712065447</v>
      </c>
      <c r="AY636" s="2">
        <f t="shared" ca="1" si="607"/>
        <v>2284236.970746425</v>
      </c>
      <c r="AZ636" s="2">
        <f t="shared" ca="1" si="608"/>
        <v>2347324.3375948407</v>
      </c>
      <c r="BA636" s="2">
        <f t="shared" ca="1" si="609"/>
        <v>49107120.061349846</v>
      </c>
      <c r="BB636" s="2">
        <f t="shared" ca="1" si="610"/>
        <v>982142.40122699691</v>
      </c>
      <c r="BC636" s="2">
        <f t="shared" ca="1" si="611"/>
        <v>24123597.60889614</v>
      </c>
      <c r="BD636" s="2">
        <f t="shared" ca="1" si="612"/>
        <v>-17500977.536285587</v>
      </c>
      <c r="BE636" s="2">
        <f t="shared" ca="1" si="613"/>
        <v>2053685.970554987</v>
      </c>
      <c r="BF636" s="2">
        <f t="shared" ca="1" si="614"/>
        <v>2161072.1119787823</v>
      </c>
      <c r="BG636" s="2">
        <f t="shared" ca="1" si="615"/>
        <v>2222158.2712065447</v>
      </c>
      <c r="BH636" s="2">
        <f t="shared" ca="1" si="616"/>
        <v>2284236.970746425</v>
      </c>
      <c r="BI636" s="2">
        <f t="shared" ca="1" si="617"/>
        <v>26470921.946490981</v>
      </c>
      <c r="BJ636" s="2">
        <f t="shared" ca="1" si="618"/>
        <v>0.17823782732823057</v>
      </c>
      <c r="BK636" s="2">
        <f t="shared" ca="1" si="619"/>
        <v>4109138.3716255687</v>
      </c>
    </row>
    <row r="637" spans="1:63" x14ac:dyDescent="0.3">
      <c r="A637" s="2">
        <v>636</v>
      </c>
      <c r="B637" s="2">
        <f t="shared" ca="1" si="558"/>
        <v>0.36445495602285372</v>
      </c>
      <c r="C637" s="2">
        <f t="shared" ca="1" si="559"/>
        <v>6.853762210481178</v>
      </c>
      <c r="D637" s="2">
        <f t="shared" ca="1" si="560"/>
        <v>0.64882555194161806</v>
      </c>
      <c r="E637" s="2">
        <f t="shared" ca="1" si="561"/>
        <v>7.6619374151551902</v>
      </c>
      <c r="F637" s="2">
        <f t="shared" ca="1" si="562"/>
        <v>0.82593971860206439</v>
      </c>
      <c r="G637" s="2">
        <f t="shared" ca="1" si="563"/>
        <v>6.8147230570523229E-2</v>
      </c>
      <c r="H637" s="2">
        <f t="shared" ca="1" si="564"/>
        <v>6.8147230570523229E-2</v>
      </c>
      <c r="I637" s="2">
        <f t="shared" ca="1" si="565"/>
        <v>0.54403026114911668</v>
      </c>
      <c r="J637" s="2">
        <f t="shared" ca="1" si="566"/>
        <v>1.0552962609919673E-2</v>
      </c>
      <c r="K637" s="2">
        <f t="shared" ca="1" si="567"/>
        <v>1.0552962609919673E-2</v>
      </c>
      <c r="L637" s="2">
        <f t="shared" ca="1" si="568"/>
        <v>0.46619261350861418</v>
      </c>
      <c r="M637" s="2">
        <f t="shared" ca="1" si="569"/>
        <v>-1.6968846708409482E-3</v>
      </c>
      <c r="N637" s="2">
        <f t="shared" ca="1" si="570"/>
        <v>-1.6968846708409482E-3</v>
      </c>
      <c r="O637" s="2">
        <f t="shared" si="571"/>
        <v>6000000</v>
      </c>
      <c r="P637" s="2">
        <f t="shared" ca="1" si="572"/>
        <v>41122573.262887068</v>
      </c>
      <c r="Q637" s="2">
        <f t="shared" ca="1" si="573"/>
        <v>1028064.3315721768</v>
      </c>
      <c r="R637" s="2">
        <f t="shared" ca="1" si="574"/>
        <v>24673543.957732242</v>
      </c>
      <c r="S637" s="2">
        <f t="shared" ca="1" si="575"/>
        <v>16449029.305154828</v>
      </c>
      <c r="T637" s="2">
        <f t="shared" ca="1" si="576"/>
        <v>49915155.766457953</v>
      </c>
      <c r="U637" s="2">
        <f t="shared" ca="1" si="577"/>
        <v>53316735.395438351</v>
      </c>
      <c r="V637" s="2">
        <f t="shared" ca="1" si="578"/>
        <v>56950123.255698867</v>
      </c>
      <c r="W637" s="2">
        <f t="shared" ca="1" si="579"/>
        <v>60831116.436224699</v>
      </c>
      <c r="X637" s="2">
        <f t="shared" ca="1" si="580"/>
        <v>64976588.553866453</v>
      </c>
      <c r="Y637" s="2">
        <f t="shared" ca="1" si="581"/>
        <v>0.12527648130495983</v>
      </c>
      <c r="Z637" s="2">
        <f t="shared" ca="1" si="582"/>
        <v>0.12738707382694375</v>
      </c>
      <c r="AA637" s="2">
        <f t="shared" ca="1" si="583"/>
        <v>6253195.0782108279</v>
      </c>
      <c r="AB637" s="2">
        <f t="shared" ca="1" si="584"/>
        <v>6791862.9080303302</v>
      </c>
      <c r="AC637" s="2">
        <f t="shared" ca="1" si="585"/>
        <v>7254709.5556272576</v>
      </c>
      <c r="AD637" s="2">
        <f t="shared" ca="1" si="586"/>
        <v>7749097.9204367669</v>
      </c>
      <c r="AE637" s="2">
        <f t="shared" ca="1" si="587"/>
        <v>8277177.483134334</v>
      </c>
      <c r="AF637" s="2">
        <f t="shared" ca="1" si="588"/>
        <v>998303.11532915907</v>
      </c>
      <c r="AG637" s="2">
        <f t="shared" ca="1" si="589"/>
        <v>1066334.707908767</v>
      </c>
      <c r="AH637" s="2">
        <f t="shared" ca="1" si="590"/>
        <v>1139002.4651139774</v>
      </c>
      <c r="AI637" s="2">
        <f t="shared" ca="1" si="591"/>
        <v>1216622.328724494</v>
      </c>
      <c r="AJ637" s="2">
        <f t="shared" ca="1" si="592"/>
        <v>1299531.7710773291</v>
      </c>
      <c r="AK637" s="2">
        <f t="shared" ca="1" si="593"/>
        <v>0</v>
      </c>
      <c r="AL637" s="2">
        <f t="shared" ca="1" si="594"/>
        <v>34015.796289803984</v>
      </c>
      <c r="AM637" s="2">
        <f t="shared" ca="1" si="595"/>
        <v>36333.878602605168</v>
      </c>
      <c r="AN637" s="2">
        <f t="shared" ca="1" si="596"/>
        <v>38809.931805258318</v>
      </c>
      <c r="AO637" s="2">
        <f t="shared" ca="1" si="597"/>
        <v>41454.721176417544</v>
      </c>
      <c r="AP637" s="2">
        <f t="shared" ca="1" si="598"/>
        <v>2220618.9561959016</v>
      </c>
      <c r="AQ637" s="2">
        <f t="shared" ca="1" si="599"/>
        <v>788910.98173829936</v>
      </c>
      <c r="AR637" s="2">
        <f t="shared" ca="1" si="600"/>
        <v>911276.40342067194</v>
      </c>
      <c r="AS637" s="2">
        <f t="shared" ca="1" si="601"/>
        <v>1012722.9149225183</v>
      </c>
      <c r="AT637" s="2">
        <f t="shared" ca="1" si="602"/>
        <v>1121082.7252342566</v>
      </c>
      <c r="AU637" s="2">
        <f t="shared" ca="1" si="603"/>
        <v>1236826.9565238869</v>
      </c>
      <c r="AV637" s="2">
        <f t="shared" ca="1" si="604"/>
        <v>2245362.0249474677</v>
      </c>
      <c r="AW637" s="2">
        <f t="shared" ca="1" si="605"/>
        <v>2559617.0442151851</v>
      </c>
      <c r="AX637" s="2">
        <f t="shared" ca="1" si="606"/>
        <v>2846031.3407922541</v>
      </c>
      <c r="AY637" s="2">
        <f t="shared" ca="1" si="607"/>
        <v>3151963.9784768564</v>
      </c>
      <c r="AZ637" s="2">
        <f t="shared" ca="1" si="608"/>
        <v>3478745.0781607986</v>
      </c>
      <c r="BA637" s="2">
        <f t="shared" ca="1" si="609"/>
        <v>63419215.849907026</v>
      </c>
      <c r="BB637" s="2">
        <f t="shared" ca="1" si="610"/>
        <v>1268384.3169981407</v>
      </c>
      <c r="BC637" s="2">
        <f t="shared" ca="1" si="611"/>
        <v>37477287.575176641</v>
      </c>
      <c r="BD637" s="2">
        <f t="shared" ca="1" si="612"/>
        <v>-17977093.636727005</v>
      </c>
      <c r="BE637" s="2">
        <f t="shared" ca="1" si="613"/>
        <v>2245362.0249474677</v>
      </c>
      <c r="BF637" s="2">
        <f t="shared" ca="1" si="614"/>
        <v>2559617.0442151851</v>
      </c>
      <c r="BG637" s="2">
        <f t="shared" ca="1" si="615"/>
        <v>2846031.3407922541</v>
      </c>
      <c r="BH637" s="2">
        <f t="shared" ca="1" si="616"/>
        <v>3151963.9784768564</v>
      </c>
      <c r="BI637" s="2">
        <f t="shared" ca="1" si="617"/>
        <v>40956032.653337441</v>
      </c>
      <c r="BJ637" s="2">
        <f t="shared" ca="1" si="618"/>
        <v>0.27636669819287363</v>
      </c>
      <c r="BK637" s="2">
        <f t="shared" ca="1" si="619"/>
        <v>13336636.737099342</v>
      </c>
    </row>
    <row r="638" spans="1:63" x14ac:dyDescent="0.3">
      <c r="A638" s="2">
        <v>637</v>
      </c>
      <c r="B638" s="2">
        <f t="shared" ca="1" si="558"/>
        <v>0.10669751794802484</v>
      </c>
      <c r="C638" s="2">
        <f t="shared" ca="1" si="559"/>
        <v>6.4619470055060964</v>
      </c>
      <c r="D638" s="2">
        <f t="shared" ca="1" si="560"/>
        <v>0.82632650380470463</v>
      </c>
      <c r="E638" s="2">
        <f t="shared" ca="1" si="561"/>
        <v>7.9106384875218003</v>
      </c>
      <c r="F638" s="2">
        <f t="shared" ca="1" si="562"/>
        <v>0.28841052237839326</v>
      </c>
      <c r="G638" s="2">
        <f t="shared" ca="1" si="563"/>
        <v>2.3258974614657105E-2</v>
      </c>
      <c r="H638" s="2">
        <f t="shared" ca="1" si="564"/>
        <v>2.3258974614657105E-2</v>
      </c>
      <c r="I638" s="2">
        <f t="shared" ca="1" si="565"/>
        <v>0.85235566742481661</v>
      </c>
      <c r="J638" s="2">
        <f t="shared" ca="1" si="566"/>
        <v>1.5232950551074211E-2</v>
      </c>
      <c r="K638" s="2">
        <f t="shared" ca="1" si="567"/>
        <v>1.5232950551074211E-2</v>
      </c>
      <c r="L638" s="2">
        <f t="shared" ca="1" si="568"/>
        <v>7.753958104699854E-2</v>
      </c>
      <c r="M638" s="2">
        <f t="shared" ca="1" si="569"/>
        <v>-2.8436355224034125E-2</v>
      </c>
      <c r="N638" s="2">
        <f t="shared" ca="1" si="570"/>
        <v>-2.8436355224034125E-2</v>
      </c>
      <c r="O638" s="2">
        <f t="shared" si="571"/>
        <v>6000000</v>
      </c>
      <c r="P638" s="2">
        <f t="shared" ca="1" si="572"/>
        <v>38771682.033036575</v>
      </c>
      <c r="Q638" s="2">
        <f t="shared" ca="1" si="573"/>
        <v>969292.05082591437</v>
      </c>
      <c r="R638" s="2">
        <f t="shared" ca="1" si="574"/>
        <v>23263009.219821945</v>
      </c>
      <c r="S638" s="2">
        <f t="shared" ca="1" si="575"/>
        <v>15508672.81321463</v>
      </c>
      <c r="T638" s="2">
        <f t="shared" ca="1" si="576"/>
        <v>48578182.238798298</v>
      </c>
      <c r="U638" s="2">
        <f t="shared" ca="1" si="577"/>
        <v>49708060.946316697</v>
      </c>
      <c r="V638" s="2">
        <f t="shared" ca="1" si="578"/>
        <v>50864219.474010907</v>
      </c>
      <c r="W638" s="2">
        <f t="shared" ca="1" si="579"/>
        <v>52047269.063551277</v>
      </c>
      <c r="X638" s="2">
        <f t="shared" ca="1" si="580"/>
        <v>53257835.173462652</v>
      </c>
      <c r="Y638" s="2">
        <f t="shared" ca="1" si="581"/>
        <v>0.1276164752755371</v>
      </c>
      <c r="Z638" s="2">
        <f t="shared" ca="1" si="582"/>
        <v>0.13066306538575195</v>
      </c>
      <c r="AA638" s="2">
        <f t="shared" ca="1" si="583"/>
        <v>6199376.3926081387</v>
      </c>
      <c r="AB638" s="2">
        <f t="shared" ca="1" si="584"/>
        <v>6495007.617627522</v>
      </c>
      <c r="AC638" s="2">
        <f t="shared" ca="1" si="585"/>
        <v>6646074.8349279249</v>
      </c>
      <c r="AD638" s="2">
        <f t="shared" ca="1" si="586"/>
        <v>6800655.7208006252</v>
      </c>
      <c r="AE638" s="2">
        <f t="shared" ca="1" si="587"/>
        <v>6958831.9995737504</v>
      </c>
      <c r="AF638" s="2">
        <f t="shared" ca="1" si="588"/>
        <v>971563.64477596595</v>
      </c>
      <c r="AG638" s="2">
        <f t="shared" ca="1" si="589"/>
        <v>994161.21892633394</v>
      </c>
      <c r="AH638" s="2">
        <f t="shared" ca="1" si="590"/>
        <v>1017284.3894802182</v>
      </c>
      <c r="AI638" s="2">
        <f t="shared" ca="1" si="591"/>
        <v>1040945.3812710255</v>
      </c>
      <c r="AJ638" s="2">
        <f t="shared" ca="1" si="592"/>
        <v>1065156.7034692531</v>
      </c>
      <c r="AK638" s="2">
        <f t="shared" ca="1" si="593"/>
        <v>0</v>
      </c>
      <c r="AL638" s="2">
        <f t="shared" ca="1" si="594"/>
        <v>11298.787075183987</v>
      </c>
      <c r="AM638" s="2">
        <f t="shared" ca="1" si="595"/>
        <v>11561.585276942104</v>
      </c>
      <c r="AN638" s="2">
        <f t="shared" ca="1" si="596"/>
        <v>11830.495895403697</v>
      </c>
      <c r="AO638" s="2">
        <f t="shared" ca="1" si="597"/>
        <v>12105.661099113748</v>
      </c>
      <c r="AP638" s="2">
        <f t="shared" ca="1" si="598"/>
        <v>2093670.8297839749</v>
      </c>
      <c r="AQ638" s="2">
        <f t="shared" ca="1" si="599"/>
        <v>814876.89869253139</v>
      </c>
      <c r="AR638" s="2">
        <f t="shared" ca="1" si="600"/>
        <v>885865.64791847544</v>
      </c>
      <c r="AS638" s="2">
        <f t="shared" ca="1" si="601"/>
        <v>919131.10007257026</v>
      </c>
      <c r="AT638" s="2">
        <f t="shared" ca="1" si="602"/>
        <v>953170.2725338625</v>
      </c>
      <c r="AU638" s="2">
        <f t="shared" ca="1" si="603"/>
        <v>988001.16124333581</v>
      </c>
      <c r="AV638" s="2">
        <f t="shared" ca="1" si="604"/>
        <v>2319265.0193556659</v>
      </c>
      <c r="AW638" s="2">
        <f t="shared" ca="1" si="605"/>
        <v>2510011.1339235529</v>
      </c>
      <c r="AX638" s="2">
        <f t="shared" ca="1" si="606"/>
        <v>2604426.9303142196</v>
      </c>
      <c r="AY638" s="2">
        <f t="shared" ca="1" si="607"/>
        <v>2701038.7413163586</v>
      </c>
      <c r="AZ638" s="2">
        <f t="shared" ca="1" si="608"/>
        <v>2799897.6439780733</v>
      </c>
      <c r="BA638" s="2">
        <f t="shared" ca="1" si="609"/>
        <v>55048804.2440264</v>
      </c>
      <c r="BB638" s="2">
        <f t="shared" ca="1" si="610"/>
        <v>1100976.084880528</v>
      </c>
      <c r="BC638" s="2">
        <f t="shared" ca="1" si="611"/>
        <v>30684818.939323928</v>
      </c>
      <c r="BD638" s="2">
        <f t="shared" ca="1" si="612"/>
        <v>-16977964.864040546</v>
      </c>
      <c r="BE638" s="2">
        <f t="shared" ca="1" si="613"/>
        <v>2319265.0193556659</v>
      </c>
      <c r="BF638" s="2">
        <f t="shared" ca="1" si="614"/>
        <v>2510011.1339235529</v>
      </c>
      <c r="BG638" s="2">
        <f t="shared" ca="1" si="615"/>
        <v>2604426.9303142196</v>
      </c>
      <c r="BH638" s="2">
        <f t="shared" ca="1" si="616"/>
        <v>2701038.7413163586</v>
      </c>
      <c r="BI638" s="2">
        <f t="shared" ca="1" si="617"/>
        <v>33484716.583302002</v>
      </c>
      <c r="BJ638" s="2">
        <f t="shared" ca="1" si="618"/>
        <v>0.24810507084363054</v>
      </c>
      <c r="BK638" s="2">
        <f t="shared" ca="1" si="619"/>
        <v>9664239.0251594633</v>
      </c>
    </row>
    <row r="639" spans="1:63" x14ac:dyDescent="0.3">
      <c r="A639" s="2">
        <v>638</v>
      </c>
      <c r="B639" s="2">
        <f t="shared" ca="1" si="558"/>
        <v>0.5958459536980526</v>
      </c>
      <c r="C639" s="2">
        <f t="shared" ca="1" si="559"/>
        <v>7.1009404399018408</v>
      </c>
      <c r="D639" s="2">
        <f t="shared" ca="1" si="560"/>
        <v>0.23482743694020647</v>
      </c>
      <c r="E639" s="2">
        <f t="shared" ca="1" si="561"/>
        <v>7.1853137047224527</v>
      </c>
      <c r="F639" s="2">
        <f t="shared" ca="1" si="562"/>
        <v>0.75860667151259054</v>
      </c>
      <c r="G639" s="2">
        <f t="shared" ca="1" si="563"/>
        <v>6.1054829312821524E-2</v>
      </c>
      <c r="H639" s="2">
        <f t="shared" ca="1" si="564"/>
        <v>6.1054829312821524E-2</v>
      </c>
      <c r="I639" s="2">
        <f t="shared" ca="1" si="565"/>
        <v>0.76883603096708653</v>
      </c>
      <c r="J639" s="2">
        <f t="shared" ca="1" si="566"/>
        <v>1.3675094874818623E-2</v>
      </c>
      <c r="K639" s="2">
        <f t="shared" ca="1" si="567"/>
        <v>1.3675094874818623E-2</v>
      </c>
      <c r="L639" s="2">
        <f t="shared" ca="1" si="568"/>
        <v>0.61916422128487181</v>
      </c>
      <c r="M639" s="2">
        <f t="shared" ca="1" si="569"/>
        <v>6.0657293702151872E-3</v>
      </c>
      <c r="N639" s="2">
        <f t="shared" ca="1" si="570"/>
        <v>6.0657293702151872E-3</v>
      </c>
      <c r="O639" s="2">
        <f t="shared" si="571"/>
        <v>6000000</v>
      </c>
      <c r="P639" s="2">
        <f t="shared" ca="1" si="572"/>
        <v>42605642.639411047</v>
      </c>
      <c r="Q639" s="2">
        <f t="shared" ca="1" si="573"/>
        <v>1065141.0659852761</v>
      </c>
      <c r="R639" s="2">
        <f t="shared" ca="1" si="574"/>
        <v>25563385.583646629</v>
      </c>
      <c r="S639" s="2">
        <f t="shared" ca="1" si="575"/>
        <v>17042257.055764418</v>
      </c>
      <c r="T639" s="2">
        <f t="shared" ca="1" si="576"/>
        <v>50303286.468510754</v>
      </c>
      <c r="U639" s="2">
        <f t="shared" ca="1" si="577"/>
        <v>53374545.037719637</v>
      </c>
      <c r="V639" s="2">
        <f t="shared" ca="1" si="578"/>
        <v>56633318.774647109</v>
      </c>
      <c r="W639" s="2">
        <f t="shared" ca="1" si="579"/>
        <v>60091056.385851793</v>
      </c>
      <c r="X639" s="2">
        <f t="shared" ca="1" si="580"/>
        <v>63759905.576717101</v>
      </c>
      <c r="Y639" s="2">
        <f t="shared" ca="1" si="581"/>
        <v>0.1268375474374093</v>
      </c>
      <c r="Z639" s="2">
        <f t="shared" ca="1" si="582"/>
        <v>0.12957256641237302</v>
      </c>
      <c r="AA639" s="2">
        <f t="shared" ca="1" si="583"/>
        <v>6380345.4837073218</v>
      </c>
      <c r="AB639" s="2">
        <f t="shared" ca="1" si="584"/>
        <v>6915876.781630123</v>
      </c>
      <c r="AC639" s="2">
        <f t="shared" ca="1" si="585"/>
        <v>7338124.4580810545</v>
      </c>
      <c r="AD639" s="2">
        <f t="shared" ca="1" si="586"/>
        <v>7786152.3943454335</v>
      </c>
      <c r="AE639" s="2">
        <f t="shared" ca="1" si="587"/>
        <v>8261534.5997858094</v>
      </c>
      <c r="AF639" s="2">
        <f t="shared" ca="1" si="588"/>
        <v>1006065.7293702151</v>
      </c>
      <c r="AG639" s="2">
        <f t="shared" ca="1" si="589"/>
        <v>1067490.9007543928</v>
      </c>
      <c r="AH639" s="2">
        <f t="shared" ca="1" si="590"/>
        <v>1132666.3754929423</v>
      </c>
      <c r="AI639" s="2">
        <f t="shared" ca="1" si="591"/>
        <v>1201821.1277170358</v>
      </c>
      <c r="AJ639" s="2">
        <f t="shared" ca="1" si="592"/>
        <v>1275198.1115343419</v>
      </c>
      <c r="AK639" s="2">
        <f t="shared" ca="1" si="593"/>
        <v>0</v>
      </c>
      <c r="AL639" s="2">
        <f t="shared" ca="1" si="594"/>
        <v>30712.585692088829</v>
      </c>
      <c r="AM639" s="2">
        <f t="shared" ca="1" si="595"/>
        <v>32587.737369274721</v>
      </c>
      <c r="AN639" s="2">
        <f t="shared" ca="1" si="596"/>
        <v>34577.376112046841</v>
      </c>
      <c r="AO639" s="2">
        <f t="shared" ca="1" si="597"/>
        <v>36688.491908653079</v>
      </c>
      <c r="AP639" s="2">
        <f t="shared" ca="1" si="598"/>
        <v>2300704.7025281964</v>
      </c>
      <c r="AQ639" s="2">
        <f t="shared" ca="1" si="599"/>
        <v>799129.51347031677</v>
      </c>
      <c r="AR639" s="2">
        <f t="shared" ca="1" si="600"/>
        <v>922397.10637035873</v>
      </c>
      <c r="AS639" s="2">
        <f t="shared" ca="1" si="601"/>
        <v>1015235.8788155781</v>
      </c>
      <c r="AT639" s="2">
        <f t="shared" ca="1" si="602"/>
        <v>1113742.9066660523</v>
      </c>
      <c r="AU639" s="2">
        <f t="shared" ca="1" si="603"/>
        <v>1218264.2642880504</v>
      </c>
      <c r="AV639" s="2">
        <f t="shared" ca="1" si="604"/>
        <v>2274445.5383385932</v>
      </c>
      <c r="AW639" s="2">
        <f t="shared" ca="1" si="605"/>
        <v>2594571.4862850858</v>
      </c>
      <c r="AX639" s="2">
        <f t="shared" ca="1" si="606"/>
        <v>2856929.7638750626</v>
      </c>
      <c r="AY639" s="2">
        <f t="shared" ca="1" si="607"/>
        <v>3135306.2813221021</v>
      </c>
      <c r="AZ639" s="2">
        <f t="shared" ca="1" si="608"/>
        <v>3430679.029526568</v>
      </c>
      <c r="BA639" s="2">
        <f t="shared" ca="1" si="609"/>
        <v>59361717.781879701</v>
      </c>
      <c r="BB639" s="2">
        <f t="shared" ca="1" si="610"/>
        <v>1187234.3556375941</v>
      </c>
      <c r="BC639" s="2">
        <f t="shared" ca="1" si="611"/>
        <v>32611097.842595473</v>
      </c>
      <c r="BD639" s="2">
        <f t="shared" ca="1" si="612"/>
        <v>-18607398.121749695</v>
      </c>
      <c r="BE639" s="2">
        <f t="shared" ca="1" si="613"/>
        <v>2274445.5383385932</v>
      </c>
      <c r="BF639" s="2">
        <f t="shared" ca="1" si="614"/>
        <v>2594571.4862850858</v>
      </c>
      <c r="BG639" s="2">
        <f t="shared" ca="1" si="615"/>
        <v>2856929.7638750626</v>
      </c>
      <c r="BH639" s="2">
        <f t="shared" ca="1" si="616"/>
        <v>3135306.2813221021</v>
      </c>
      <c r="BI639" s="2">
        <f t="shared" ca="1" si="617"/>
        <v>36041776.872122042</v>
      </c>
      <c r="BJ639" s="2">
        <f t="shared" ca="1" si="618"/>
        <v>0.24053492119136632</v>
      </c>
      <c r="BK639" s="2">
        <f t="shared" ca="1" si="619"/>
        <v>9968855.450422857</v>
      </c>
    </row>
    <row r="640" spans="1:63" x14ac:dyDescent="0.3">
      <c r="A640" s="2">
        <v>639</v>
      </c>
      <c r="B640" s="2">
        <f t="shared" ca="1" si="558"/>
        <v>0.37065713732346972</v>
      </c>
      <c r="C640" s="2">
        <f t="shared" ca="1" si="559"/>
        <v>6.8609960944434878</v>
      </c>
      <c r="D640" s="2">
        <f t="shared" ca="1" si="560"/>
        <v>0.96842934913130108</v>
      </c>
      <c r="E640" s="2">
        <f t="shared" ca="1" si="561"/>
        <v>8.2487206698962332</v>
      </c>
      <c r="F640" s="2">
        <f t="shared" ca="1" si="562"/>
        <v>3.9024963133191481E-2</v>
      </c>
      <c r="G640" s="2">
        <f t="shared" ca="1" si="563"/>
        <v>-1.2863439907779599E-2</v>
      </c>
      <c r="H640" s="2">
        <f t="shared" ca="1" si="564"/>
        <v>-1.2863439907779599E-2</v>
      </c>
      <c r="I640" s="2">
        <f t="shared" ca="1" si="565"/>
        <v>0.76163700295878767</v>
      </c>
      <c r="J640" s="2">
        <f t="shared" ca="1" si="566"/>
        <v>1.3557891131805368E-2</v>
      </c>
      <c r="K640" s="2">
        <f t="shared" ca="1" si="567"/>
        <v>1.3557891131805368E-2</v>
      </c>
      <c r="L640" s="2">
        <f t="shared" ca="1" si="568"/>
        <v>0.55327901210775265</v>
      </c>
      <c r="M640" s="2">
        <f t="shared" ca="1" si="569"/>
        <v>2.6790034509580336E-3</v>
      </c>
      <c r="N640" s="2">
        <f t="shared" ca="1" si="570"/>
        <v>2.6790034509580336E-3</v>
      </c>
      <c r="O640" s="2">
        <f t="shared" si="571"/>
        <v>6000000</v>
      </c>
      <c r="P640" s="2">
        <f t="shared" ca="1" si="572"/>
        <v>41165976.566660926</v>
      </c>
      <c r="Q640" s="2">
        <f t="shared" ca="1" si="573"/>
        <v>1029149.4141665231</v>
      </c>
      <c r="R640" s="2">
        <f t="shared" ca="1" si="574"/>
        <v>24699585.939996555</v>
      </c>
      <c r="S640" s="2">
        <f t="shared" ca="1" si="575"/>
        <v>16466390.62666437</v>
      </c>
      <c r="T640" s="2">
        <f t="shared" ca="1" si="576"/>
        <v>50133950.172547907</v>
      </c>
      <c r="U640" s="2">
        <f t="shared" ca="1" si="577"/>
        <v>49489055.117163718</v>
      </c>
      <c r="V640" s="2">
        <f t="shared" ca="1" si="578"/>
        <v>48852455.630571291</v>
      </c>
      <c r="W640" s="2">
        <f t="shared" ca="1" si="579"/>
        <v>48224045.00321997</v>
      </c>
      <c r="X640" s="2">
        <f t="shared" ca="1" si="580"/>
        <v>47603717.898210987</v>
      </c>
      <c r="Y640" s="2">
        <f t="shared" ca="1" si="581"/>
        <v>0.12677894556590269</v>
      </c>
      <c r="Z640" s="2">
        <f t="shared" ca="1" si="582"/>
        <v>0.12949052379226375</v>
      </c>
      <c r="AA640" s="2">
        <f t="shared" ca="1" si="583"/>
        <v>6355929.339929129</v>
      </c>
      <c r="AB640" s="2">
        <f t="shared" ca="1" si="584"/>
        <v>6408363.6691057403</v>
      </c>
      <c r="AC640" s="2">
        <f t="shared" ca="1" si="585"/>
        <v>6325930.0681410013</v>
      </c>
      <c r="AD640" s="2">
        <f t="shared" ca="1" si="586"/>
        <v>6244556.8468486536</v>
      </c>
      <c r="AE640" s="2">
        <f t="shared" ca="1" si="587"/>
        <v>6164230.3650985016</v>
      </c>
      <c r="AF640" s="2">
        <f t="shared" ca="1" si="588"/>
        <v>1002679.0034509582</v>
      </c>
      <c r="AG640" s="2">
        <f t="shared" ca="1" si="589"/>
        <v>989781.1023432744</v>
      </c>
      <c r="AH640" s="2">
        <f t="shared" ca="1" si="590"/>
        <v>977049.11261142581</v>
      </c>
      <c r="AI640" s="2">
        <f t="shared" ca="1" si="591"/>
        <v>964480.90006439947</v>
      </c>
      <c r="AJ640" s="2">
        <f t="shared" ca="1" si="592"/>
        <v>952074.35796421976</v>
      </c>
      <c r="AK640" s="2">
        <f t="shared" ca="1" si="593"/>
        <v>0</v>
      </c>
      <c r="AL640" s="2">
        <f t="shared" ca="1" si="594"/>
        <v>0</v>
      </c>
      <c r="AM640" s="2">
        <f t="shared" ca="1" si="595"/>
        <v>0</v>
      </c>
      <c r="AN640" s="2">
        <f t="shared" ca="1" si="596"/>
        <v>0</v>
      </c>
      <c r="AO640" s="2">
        <f t="shared" ca="1" si="597"/>
        <v>0</v>
      </c>
      <c r="AP640" s="2">
        <f t="shared" ca="1" si="598"/>
        <v>2222962.73459969</v>
      </c>
      <c r="AQ640" s="2">
        <f t="shared" ca="1" si="599"/>
        <v>813874.77648840507</v>
      </c>
      <c r="AR640" s="2">
        <f t="shared" ca="1" si="600"/>
        <v>830861.15636232181</v>
      </c>
      <c r="AS640" s="2">
        <f t="shared" ca="1" si="601"/>
        <v>812738.73744177015</v>
      </c>
      <c r="AT640" s="2">
        <f t="shared" ca="1" si="602"/>
        <v>794849.43516798667</v>
      </c>
      <c r="AU640" s="2">
        <f t="shared" ca="1" si="603"/>
        <v>777190.25085899397</v>
      </c>
      <c r="AV640" s="2">
        <f t="shared" ca="1" si="604"/>
        <v>2316412.8253900763</v>
      </c>
      <c r="AW640" s="2">
        <f t="shared" ca="1" si="605"/>
        <v>2364758.6758004539</v>
      </c>
      <c r="AX640" s="2">
        <f t="shared" ca="1" si="606"/>
        <v>2313179.4834881155</v>
      </c>
      <c r="AY640" s="2">
        <f t="shared" ca="1" si="607"/>
        <v>2262263.7770165773</v>
      </c>
      <c r="AZ640" s="2">
        <f t="shared" ca="1" si="608"/>
        <v>2212003.0216755979</v>
      </c>
      <c r="BA640" s="2">
        <f t="shared" ca="1" si="609"/>
        <v>50847014.426590011</v>
      </c>
      <c r="BB640" s="2">
        <f t="shared" ca="1" si="610"/>
        <v>1016940.2885318003</v>
      </c>
      <c r="BC640" s="2">
        <f t="shared" ca="1" si="611"/>
        <v>25130488.198061656</v>
      </c>
      <c r="BD640" s="2">
        <f t="shared" ca="1" si="612"/>
        <v>-17995540.040830895</v>
      </c>
      <c r="BE640" s="2">
        <f t="shared" ca="1" si="613"/>
        <v>2316412.8253900763</v>
      </c>
      <c r="BF640" s="2">
        <f t="shared" ca="1" si="614"/>
        <v>2364758.6758004539</v>
      </c>
      <c r="BG640" s="2">
        <f t="shared" ca="1" si="615"/>
        <v>2313179.4834881155</v>
      </c>
      <c r="BH640" s="2">
        <f t="shared" ca="1" si="616"/>
        <v>2262263.7770165773</v>
      </c>
      <c r="BI640" s="2">
        <f t="shared" ca="1" si="617"/>
        <v>27342491.219737254</v>
      </c>
      <c r="BJ640" s="2">
        <f t="shared" ca="1" si="618"/>
        <v>0.18308735449535107</v>
      </c>
      <c r="BK640" s="2">
        <f t="shared" ca="1" si="619"/>
        <v>4556905.6490957253</v>
      </c>
    </row>
    <row r="641" spans="1:63" x14ac:dyDescent="0.3">
      <c r="A641" s="2">
        <v>640</v>
      </c>
      <c r="B641" s="2">
        <f t="shared" ca="1" si="558"/>
        <v>0.58377074661315564</v>
      </c>
      <c r="C641" s="2">
        <f t="shared" ca="1" si="559"/>
        <v>7.0876083588865528</v>
      </c>
      <c r="D641" s="2">
        <f t="shared" ca="1" si="560"/>
        <v>0.7009513443521137</v>
      </c>
      <c r="E641" s="2">
        <f t="shared" ca="1" si="561"/>
        <v>7.7266324862681568</v>
      </c>
      <c r="F641" s="2">
        <f t="shared" ca="1" si="562"/>
        <v>0.35559701922808429</v>
      </c>
      <c r="G641" s="2">
        <f t="shared" ca="1" si="563"/>
        <v>2.8892411960275522E-2</v>
      </c>
      <c r="H641" s="2">
        <f t="shared" ca="1" si="564"/>
        <v>2.8892411960275522E-2</v>
      </c>
      <c r="I641" s="2">
        <f t="shared" ca="1" si="565"/>
        <v>0.3914191105221001</v>
      </c>
      <c r="J641" s="2">
        <f t="shared" ca="1" si="566"/>
        <v>8.6218887674835466E-3</v>
      </c>
      <c r="K641" s="2">
        <f t="shared" ca="1" si="567"/>
        <v>8.6218887674835466E-3</v>
      </c>
      <c r="L641" s="2">
        <f t="shared" ca="1" si="568"/>
        <v>0.64670593077511618</v>
      </c>
      <c r="M641" s="2">
        <f t="shared" ca="1" si="569"/>
        <v>7.5288450690097278E-3</v>
      </c>
      <c r="N641" s="2">
        <f t="shared" ca="1" si="570"/>
        <v>7.5288450690097278E-3</v>
      </c>
      <c r="O641" s="2">
        <f t="shared" si="571"/>
        <v>6000000</v>
      </c>
      <c r="P641" s="2">
        <f t="shared" ca="1" si="572"/>
        <v>42525650.153319314</v>
      </c>
      <c r="Q641" s="2">
        <f t="shared" ca="1" si="573"/>
        <v>1063141.2538329829</v>
      </c>
      <c r="R641" s="2">
        <f t="shared" ca="1" si="574"/>
        <v>25515390.091991588</v>
      </c>
      <c r="S641" s="2">
        <f t="shared" ca="1" si="575"/>
        <v>17010260.061327726</v>
      </c>
      <c r="T641" s="2">
        <f t="shared" ca="1" si="576"/>
        <v>50376442.253450483</v>
      </c>
      <c r="U641" s="2">
        <f t="shared" ca="1" si="577"/>
        <v>51831939.176130205</v>
      </c>
      <c r="V641" s="2">
        <f t="shared" ca="1" si="578"/>
        <v>53329488.915506907</v>
      </c>
      <c r="W641" s="2">
        <f t="shared" ca="1" si="579"/>
        <v>54870306.478884682</v>
      </c>
      <c r="X641" s="2">
        <f t="shared" ca="1" si="580"/>
        <v>56455641.978059195</v>
      </c>
      <c r="Y641" s="2">
        <f t="shared" ca="1" si="581"/>
        <v>0.12431094438374177</v>
      </c>
      <c r="Z641" s="2">
        <f t="shared" ca="1" si="582"/>
        <v>0.12603532213723848</v>
      </c>
      <c r="AA641" s="2">
        <f t="shared" ca="1" si="583"/>
        <v>6262343.111219462</v>
      </c>
      <c r="AB641" s="2">
        <f t="shared" ca="1" si="584"/>
        <v>6532655.1510613216</v>
      </c>
      <c r="AC641" s="2">
        <f t="shared" ca="1" si="585"/>
        <v>6721399.3148802016</v>
      </c>
      <c r="AD641" s="2">
        <f t="shared" ca="1" si="586"/>
        <v>6915596.7528352346</v>
      </c>
      <c r="AE641" s="2">
        <f t="shared" ca="1" si="587"/>
        <v>7115405.023169294</v>
      </c>
      <c r="AF641" s="2">
        <f t="shared" ca="1" si="588"/>
        <v>1007528.8450690097</v>
      </c>
      <c r="AG641" s="2">
        <f t="shared" ca="1" si="589"/>
        <v>1036638.7835226041</v>
      </c>
      <c r="AH641" s="2">
        <f t="shared" ca="1" si="590"/>
        <v>1066589.7783101383</v>
      </c>
      <c r="AI641" s="2">
        <f t="shared" ca="1" si="591"/>
        <v>1097406.1295776938</v>
      </c>
      <c r="AJ641" s="2">
        <f t="shared" ca="1" si="592"/>
        <v>1129112.8395611839</v>
      </c>
      <c r="AK641" s="2">
        <f t="shared" ca="1" si="593"/>
        <v>0</v>
      </c>
      <c r="AL641" s="2">
        <f t="shared" ca="1" si="594"/>
        <v>14554.969226797224</v>
      </c>
      <c r="AM641" s="2">
        <f t="shared" ca="1" si="595"/>
        <v>14975.497393767015</v>
      </c>
      <c r="AN641" s="2">
        <f t="shared" ca="1" si="596"/>
        <v>15408.175633777753</v>
      </c>
      <c r="AO641" s="2">
        <f t="shared" ca="1" si="597"/>
        <v>15853.354991745129</v>
      </c>
      <c r="AP641" s="2">
        <f t="shared" ca="1" si="598"/>
        <v>2296385.1082792426</v>
      </c>
      <c r="AQ641" s="2">
        <f t="shared" ca="1" si="599"/>
        <v>769191.58104651456</v>
      </c>
      <c r="AR641" s="2">
        <f t="shared" ca="1" si="600"/>
        <v>831904.1274074635</v>
      </c>
      <c r="AS641" s="2">
        <f t="shared" ca="1" si="601"/>
        <v>873190.35135561333</v>
      </c>
      <c r="AT641" s="2">
        <f t="shared" ca="1" si="602"/>
        <v>915669.43389435764</v>
      </c>
      <c r="AU641" s="2">
        <f t="shared" ca="1" si="603"/>
        <v>959375.83958550554</v>
      </c>
      <c r="AV641" s="2">
        <f t="shared" ca="1" si="604"/>
        <v>2189237.5768246953</v>
      </c>
      <c r="AW641" s="2">
        <f t="shared" ca="1" si="605"/>
        <v>2353172.1626252146</v>
      </c>
      <c r="AX641" s="2">
        <f t="shared" ca="1" si="606"/>
        <v>2470258.5795414397</v>
      </c>
      <c r="AY641" s="2">
        <f t="shared" ca="1" si="607"/>
        <v>2590727.9054501629</v>
      </c>
      <c r="AZ641" s="2">
        <f t="shared" ca="1" si="608"/>
        <v>2714677.8807516168</v>
      </c>
      <c r="BA641" s="2">
        <f t="shared" ca="1" si="609"/>
        <v>54978119.604975492</v>
      </c>
      <c r="BB641" s="2">
        <f t="shared" ca="1" si="610"/>
        <v>1099562.3920995099</v>
      </c>
      <c r="BC641" s="2">
        <f t="shared" ca="1" si="611"/>
        <v>28363167.120884392</v>
      </c>
      <c r="BD641" s="2">
        <f t="shared" ca="1" si="612"/>
        <v>-18573401.315160707</v>
      </c>
      <c r="BE641" s="2">
        <f t="shared" ca="1" si="613"/>
        <v>2189237.5768246953</v>
      </c>
      <c r="BF641" s="2">
        <f t="shared" ca="1" si="614"/>
        <v>2353172.1626252146</v>
      </c>
      <c r="BG641" s="2">
        <f t="shared" ca="1" si="615"/>
        <v>2470258.5795414397</v>
      </c>
      <c r="BH641" s="2">
        <f t="shared" ca="1" si="616"/>
        <v>2590727.9054501629</v>
      </c>
      <c r="BI641" s="2">
        <f t="shared" ca="1" si="617"/>
        <v>31077845.00163601</v>
      </c>
      <c r="BJ641" s="2">
        <f t="shared" ca="1" si="618"/>
        <v>0.20083781604333262</v>
      </c>
      <c r="BK641" s="2">
        <f t="shared" ca="1" si="619"/>
        <v>6296349.0894257762</v>
      </c>
    </row>
    <row r="642" spans="1:63" x14ac:dyDescent="0.3">
      <c r="A642" s="2">
        <v>641</v>
      </c>
      <c r="B642" s="2">
        <f t="shared" ref="B642:B705" ca="1" si="620">RAND()</f>
        <v>0.53738740641584781</v>
      </c>
      <c r="C642" s="2">
        <f t="shared" ref="C642:C705" ca="1" si="621">IF(B642&lt;((P_Mode)-(P_Low))/((P_High)-(P_Low)), (P_Low)+SQRT(B642*((P_High)-(P_Low))*((P_Mode)-(P_Low))), (P_High)-SQRT((1-B642)*((P_High)-(P_Low))*((P_High)-(P_Mode))))</f>
        <v>7.0381137348062897</v>
      </c>
      <c r="D642" s="2">
        <f t="shared" ref="D642:D705" ca="1" si="622">RAND()</f>
        <v>0.13230892508785186</v>
      </c>
      <c r="E642" s="2">
        <f t="shared" ref="E642:E705" ca="1" si="623">IF(D642&lt;((X_Mode)-(X_Low))/((X_High)-(X_Low)), (X_Low)+SQRT(D642*((X_High)-(X_Low))*((X_Mode)-(X_Low))), (X_High)-SQRT((1-D642)*((X_High)-(X_Low))*((X_High)-(X_Mode))))</f>
        <v>7.0144101964149854</v>
      </c>
      <c r="F642" s="2">
        <f t="shared" ref="F642:F705" ca="1" si="624">RAND()</f>
        <v>0.53058729686262796</v>
      </c>
      <c r="G642" s="2">
        <f t="shared" ref="G642:G705" ca="1" si="625">NORMINV(F642, g_Mean, g_SD)</f>
        <v>4.2302387671890582E-2</v>
      </c>
      <c r="H642" s="2">
        <f t="shared" ref="H642:H705" ca="1" si="626">MIN(MAX(G642, g_Min), g_Max)</f>
        <v>4.2302387671890582E-2</v>
      </c>
      <c r="I642" s="2">
        <f t="shared" ref="I642:I705" ca="1" si="627">RAND()</f>
        <v>9.6312118824100401E-2</v>
      </c>
      <c r="J642" s="2">
        <f t="shared" ref="J642:J705" ca="1" si="628">NORMINV(I642, syn_Mean, syn_SD)</f>
        <v>3.4857245340361685E-3</v>
      </c>
      <c r="K642" s="2">
        <f t="shared" ref="K642:K705" ca="1" si="629">MIN(MAX(J642, syn_Min), syn_Max)</f>
        <v>3.4857245340361685E-3</v>
      </c>
      <c r="L642" s="2">
        <f t="shared" ref="L642:L705" ca="1" si="630">RAND()</f>
        <v>0.31166154186513184</v>
      </c>
      <c r="M642" s="2">
        <f t="shared" ref="M642:M705" ca="1" si="631">NORMINV(L642, shk_Mean, shk_SD)</f>
        <v>-9.8229229685857841E-3</v>
      </c>
      <c r="N642" s="2">
        <f t="shared" ref="N642:N705" ca="1" si="632">MIN(MAX(M642, shk_Min), shk_Max)</f>
        <v>-9.8229229685857841E-3</v>
      </c>
      <c r="O642" s="2">
        <f t="shared" ref="O642:O705" si="633">BaseRev*BaseMargin</f>
        <v>6000000</v>
      </c>
      <c r="P642" s="2">
        <f t="shared" ref="P642:P705" ca="1" si="634">O642*C642</f>
        <v>42228682.408837736</v>
      </c>
      <c r="Q642" s="2">
        <f t="shared" ref="Q642:Q705" ca="1" si="635">P642*TxnCostPct</f>
        <v>1055717.0602209435</v>
      </c>
      <c r="R642" s="2">
        <f t="shared" ref="R642:R705" ca="1" si="636">P642*DebtPct</f>
        <v>25337209.445302639</v>
      </c>
      <c r="S642" s="2">
        <f t="shared" ref="S642:S705" ca="1" si="637">P642*EqPct</f>
        <v>16891472.963535096</v>
      </c>
      <c r="T642" s="2">
        <f t="shared" ref="T642:T705" ca="1" si="638">BaseRev*(1+N642)</f>
        <v>49508853.851570711</v>
      </c>
      <c r="U642" s="2">
        <f t="shared" ref="U642:U705" ca="1" si="639">T642*(1+H642)</f>
        <v>51603196.580390833</v>
      </c>
      <c r="V642" s="2">
        <f t="shared" ref="V642:V705" ca="1" si="640">U642*(1+H642)</f>
        <v>53786135.007243305</v>
      </c>
      <c r="W642" s="2">
        <f t="shared" ref="W642:W705" ca="1" si="641">V642*(1+H642)</f>
        <v>56061416.94169236</v>
      </c>
      <c r="X642" s="2">
        <f t="shared" ref="X642:X705" ca="1" si="642">W642*(1+H642)</f>
        <v>58432948.734595329</v>
      </c>
      <c r="Y642" s="2">
        <f t="shared" ref="Y642:Y705" ca="1" si="643">BaseMargin + SynReal_Y1*K642</f>
        <v>0.12174286226701808</v>
      </c>
      <c r="Z642" s="2">
        <f t="shared" ref="Z642:Z705" ca="1" si="644">BaseMargin + SynReal_Y2toY5*K642</f>
        <v>0.12244000717382532</v>
      </c>
      <c r="AA642" s="2">
        <f t="shared" ref="AA642:AA705" ca="1" si="645">T642*Y642</f>
        <v>6027349.5754497005</v>
      </c>
      <c r="AB642" s="2">
        <f t="shared" ref="AB642:AB705" ca="1" si="646">U642*Z642</f>
        <v>6318295.759495372</v>
      </c>
      <c r="AC642" s="2">
        <f t="shared" ref="AC642:AC705" ca="1" si="647">V642*Z642</f>
        <v>6585574.7561392076</v>
      </c>
      <c r="AD642" s="2">
        <f t="shared" ref="AD642:AD705" ca="1" si="648">W642*Z642</f>
        <v>6864160.2925156252</v>
      </c>
      <c r="AE642" s="2">
        <f t="shared" ref="AE642:AE705" ca="1" si="649">X642*Z642</f>
        <v>7154530.6622516187</v>
      </c>
      <c r="AF642" s="2">
        <f t="shared" ref="AF642:AF705" ca="1" si="650">T642*CapexPct</f>
        <v>990177.07703141426</v>
      </c>
      <c r="AG642" s="2">
        <f t="shared" ref="AG642:AG705" ca="1" si="651">U642*CapexPct</f>
        <v>1032063.9316078167</v>
      </c>
      <c r="AH642" s="2">
        <f t="shared" ref="AH642:AH705" ca="1" si="652">V642*CapexPct</f>
        <v>1075722.700144866</v>
      </c>
      <c r="AI642" s="2">
        <f t="shared" ref="AI642:AI705" ca="1" si="653">W642*CapexPct</f>
        <v>1121228.3388338473</v>
      </c>
      <c r="AJ642" s="2">
        <f t="shared" ref="AJ642:AJ705" ca="1" si="654">X642*CapexPct</f>
        <v>1168658.9746919067</v>
      </c>
      <c r="AK642" s="2">
        <f t="shared" ref="AK642:AK705" ca="1" si="655">MAX(T642-BaseRev*(1+N642),0)*WCPct</f>
        <v>0</v>
      </c>
      <c r="AL642" s="2">
        <f t="shared" ref="AL642:AL705" ca="1" si="656">MAX(U642-T642,0)*WCPct</f>
        <v>20943.427288201226</v>
      </c>
      <c r="AM642" s="2">
        <f t="shared" ref="AM642:AM705" ca="1" si="657">MAX(V642-U642,0)*WCPct</f>
        <v>21829.384268524722</v>
      </c>
      <c r="AN642" s="2">
        <f t="shared" ref="AN642:AN705" ca="1" si="658">MAX(W642-V642,0)*WCPct</f>
        <v>22752.819344490545</v>
      </c>
      <c r="AO642" s="2">
        <f t="shared" ref="AO642:AO705" ca="1" si="659">MAX(X642-W642,0)*WCPct</f>
        <v>23715.31792902969</v>
      </c>
      <c r="AP642" s="2">
        <f t="shared" ref="AP642:AP705" ca="1" si="660">R642*DebtRate</f>
        <v>2280348.8500772375</v>
      </c>
      <c r="AQ642" s="2">
        <f t="shared" ref="AQ642:AQ705" ca="1" si="661">MAX(AA642-AF642-AP642,0)*Tax</f>
        <v>716774.14856867271</v>
      </c>
      <c r="AR642" s="2">
        <f t="shared" ref="AR642:AR705" ca="1" si="662">MAX(AB642-AG642-AP642,0)*Tax</f>
        <v>781529.57423068269</v>
      </c>
      <c r="AS642" s="2">
        <f t="shared" ref="AS642:AS705" ca="1" si="663">MAX(AC642-AH642-AP642,0)*Tax</f>
        <v>839670.83353844704</v>
      </c>
      <c r="AT642" s="2">
        <f t="shared" ref="AT642:AT705" ca="1" si="664">MAX(AD642-AI642-AP642,0)*Tax</f>
        <v>900271.60693718062</v>
      </c>
      <c r="AU642" s="2">
        <f t="shared" ref="AU642:AU705" ca="1" si="665">MAX(AE642-AJ642-AP642,0)*Tax</f>
        <v>963435.93774544331</v>
      </c>
      <c r="AV642" s="2">
        <f t="shared" ref="AV642:AV705" ca="1" si="666">AA642-AF642-AK642-AQ642-AP642</f>
        <v>2040049.4997723759</v>
      </c>
      <c r="AW642" s="2">
        <f t="shared" ref="AW642:AW705" ca="1" si="667">AB642-AG642-AL642-AR642-AP642</f>
        <v>2203409.9762914334</v>
      </c>
      <c r="AX642" s="2">
        <f t="shared" ref="AX642:AX705" ca="1" si="668">AC642-AH642-AM642-AS642-AP642</f>
        <v>2368002.9881101311</v>
      </c>
      <c r="AY642" s="2">
        <f t="shared" ref="AY642:AY705" ca="1" si="669">AD642-AI642-AN642-AT642-AP642</f>
        <v>2539558.6773228697</v>
      </c>
      <c r="AZ642" s="2">
        <f t="shared" ref="AZ642:AZ705" ca="1" si="670">AE642-AJ642-AO642-AU642-AP642</f>
        <v>2718371.5818080013</v>
      </c>
      <c r="BA642" s="2">
        <f t="shared" ref="BA642:BA705" ca="1" si="671">AE642*E642</f>
        <v>50184812.827861413</v>
      </c>
      <c r="BB642" s="2">
        <f t="shared" ref="BB642:BB705" ca="1" si="672">BA642*SellCostPct</f>
        <v>1003696.2565572283</v>
      </c>
      <c r="BC642" s="2">
        <f t="shared" ref="BC642:BC705" ca="1" si="673">BA642-R642-BB642</f>
        <v>23843907.126001544</v>
      </c>
      <c r="BD642" s="2">
        <f t="shared" ref="BD642:BD705" ca="1" si="674">-S642-Q642-IntegrationPct*BaseRev</f>
        <v>-18447190.023756038</v>
      </c>
      <c r="BE642" s="2">
        <f t="shared" ref="BE642:BE705" ca="1" si="675">AV642</f>
        <v>2040049.4997723759</v>
      </c>
      <c r="BF642" s="2">
        <f t="shared" ref="BF642:BF705" ca="1" si="676">AW642</f>
        <v>2203409.9762914334</v>
      </c>
      <c r="BG642" s="2">
        <f t="shared" ref="BG642:BG705" ca="1" si="677">AX642</f>
        <v>2368002.9881101311</v>
      </c>
      <c r="BH642" s="2">
        <f t="shared" ref="BH642:BH705" ca="1" si="678">AY642</f>
        <v>2539558.6773228697</v>
      </c>
      <c r="BI642" s="2">
        <f t="shared" ref="BI642:BI705" ca="1" si="679">AZ642+BC642</f>
        <v>26562278.707809545</v>
      </c>
      <c r="BJ642" s="2">
        <f t="shared" ref="BJ642:BJ705" ca="1" si="680">IF(MIN(BD642:BI642)*MAX(BD642:BI642)&gt;=0, "", IFERROR(IRR(BD642:BI642,0.12), IFERROR(IRR(BD642:BI642,0.5), IFERROR(IRR(BD642:BI642,-0.5),""))))</f>
        <v>0.16776437897012575</v>
      </c>
      <c r="BK642" s="2">
        <f t="shared" ref="BK642:BK705" ca="1" si="681">NPV(12%,BE642:BI642)+BD642</f>
        <v>3502411.1789341718</v>
      </c>
    </row>
    <row r="643" spans="1:63" x14ac:dyDescent="0.3">
      <c r="A643" s="2">
        <v>642</v>
      </c>
      <c r="B643" s="2">
        <f t="shared" ca="1" si="620"/>
        <v>0.26757290611827278</v>
      </c>
      <c r="C643" s="2">
        <f t="shared" ca="1" si="621"/>
        <v>6.7315366103186811</v>
      </c>
      <c r="D643" s="2">
        <f t="shared" ca="1" si="622"/>
        <v>0.79304296317878342</v>
      </c>
      <c r="E643" s="2">
        <f t="shared" ca="1" si="623"/>
        <v>7.8566384580638715</v>
      </c>
      <c r="F643" s="2">
        <f t="shared" ca="1" si="624"/>
        <v>1.9575884807667698E-2</v>
      </c>
      <c r="G643" s="2">
        <f t="shared" ca="1" si="625"/>
        <v>-2.1877646062451933E-2</v>
      </c>
      <c r="H643" s="2">
        <f t="shared" ca="1" si="626"/>
        <v>-0.02</v>
      </c>
      <c r="I643" s="2">
        <f t="shared" ca="1" si="627"/>
        <v>0.39419905473139405</v>
      </c>
      <c r="J643" s="2">
        <f t="shared" ca="1" si="628"/>
        <v>8.6580433306349056E-3</v>
      </c>
      <c r="K643" s="2">
        <f t="shared" ca="1" si="629"/>
        <v>8.6580433306349056E-3</v>
      </c>
      <c r="L643" s="2">
        <f t="shared" ca="1" si="630"/>
        <v>9.998404064478239E-2</v>
      </c>
      <c r="M643" s="2">
        <f t="shared" ca="1" si="631"/>
        <v>-2.5632850164107903E-2</v>
      </c>
      <c r="N643" s="2">
        <f t="shared" ca="1" si="632"/>
        <v>-2.5632850164107903E-2</v>
      </c>
      <c r="O643" s="2">
        <f t="shared" si="633"/>
        <v>6000000</v>
      </c>
      <c r="P643" s="2">
        <f t="shared" ca="1" si="634"/>
        <v>40389219.661912084</v>
      </c>
      <c r="Q643" s="2">
        <f t="shared" ca="1" si="635"/>
        <v>1009730.4915478021</v>
      </c>
      <c r="R643" s="2">
        <f t="shared" ca="1" si="636"/>
        <v>24233531.797147248</v>
      </c>
      <c r="S643" s="2">
        <f t="shared" ca="1" si="637"/>
        <v>16155687.864764834</v>
      </c>
      <c r="T643" s="2">
        <f t="shared" ca="1" si="638"/>
        <v>48718357.491794609</v>
      </c>
      <c r="U643" s="2">
        <f t="shared" ca="1" si="639"/>
        <v>47743990.341958717</v>
      </c>
      <c r="V643" s="2">
        <f t="shared" ca="1" si="640"/>
        <v>46789110.535119541</v>
      </c>
      <c r="W643" s="2">
        <f t="shared" ca="1" si="641"/>
        <v>45853328.324417152</v>
      </c>
      <c r="X643" s="2">
        <f t="shared" ca="1" si="642"/>
        <v>44936261.757928811</v>
      </c>
      <c r="Y643" s="2">
        <f t="shared" ca="1" si="643"/>
        <v>0.12432902166531745</v>
      </c>
      <c r="Z643" s="2">
        <f t="shared" ca="1" si="644"/>
        <v>0.12606063033144443</v>
      </c>
      <c r="AA643" s="2">
        <f t="shared" ca="1" si="645"/>
        <v>6057105.7240960123</v>
      </c>
      <c r="AB643" s="2">
        <f t="shared" ca="1" si="646"/>
        <v>6018637.5170457112</v>
      </c>
      <c r="AC643" s="2">
        <f t="shared" ca="1" si="647"/>
        <v>5898264.7667047968</v>
      </c>
      <c r="AD643" s="2">
        <f t="shared" ca="1" si="648"/>
        <v>5780299.4713707007</v>
      </c>
      <c r="AE643" s="2">
        <f t="shared" ca="1" si="649"/>
        <v>5664693.481943287</v>
      </c>
      <c r="AF643" s="2">
        <f t="shared" ca="1" si="650"/>
        <v>974367.14983589214</v>
      </c>
      <c r="AG643" s="2">
        <f t="shared" ca="1" si="651"/>
        <v>954879.80683917436</v>
      </c>
      <c r="AH643" s="2">
        <f t="shared" ca="1" si="652"/>
        <v>935782.21070239088</v>
      </c>
      <c r="AI643" s="2">
        <f t="shared" ca="1" si="653"/>
        <v>917066.56648834306</v>
      </c>
      <c r="AJ643" s="2">
        <f t="shared" ca="1" si="654"/>
        <v>898725.23515857628</v>
      </c>
      <c r="AK643" s="2">
        <f t="shared" ca="1" si="655"/>
        <v>0</v>
      </c>
      <c r="AL643" s="2">
        <f t="shared" ca="1" si="656"/>
        <v>0</v>
      </c>
      <c r="AM643" s="2">
        <f t="shared" ca="1" si="657"/>
        <v>0</v>
      </c>
      <c r="AN643" s="2">
        <f t="shared" ca="1" si="658"/>
        <v>0</v>
      </c>
      <c r="AO643" s="2">
        <f t="shared" ca="1" si="659"/>
        <v>0</v>
      </c>
      <c r="AP643" s="2">
        <f t="shared" ca="1" si="660"/>
        <v>2181017.8617432523</v>
      </c>
      <c r="AQ643" s="2">
        <f t="shared" ca="1" si="661"/>
        <v>754447.38525438576</v>
      </c>
      <c r="AR643" s="2">
        <f t="shared" ca="1" si="662"/>
        <v>749512.36060045392</v>
      </c>
      <c r="AS643" s="2">
        <f t="shared" ca="1" si="663"/>
        <v>723180.82050738006</v>
      </c>
      <c r="AT643" s="2">
        <f t="shared" ca="1" si="664"/>
        <v>697375.91121616738</v>
      </c>
      <c r="AU643" s="2">
        <f t="shared" ca="1" si="665"/>
        <v>672087.10011077917</v>
      </c>
      <c r="AV643" s="2">
        <f t="shared" ca="1" si="666"/>
        <v>2147273.3272624821</v>
      </c>
      <c r="AW643" s="2">
        <f t="shared" ca="1" si="667"/>
        <v>2133227.4878628305</v>
      </c>
      <c r="AX643" s="2">
        <f t="shared" ca="1" si="668"/>
        <v>2058283.873751774</v>
      </c>
      <c r="AY643" s="2">
        <f t="shared" ca="1" si="669"/>
        <v>1984839.1319229379</v>
      </c>
      <c r="AZ643" s="2">
        <f t="shared" ca="1" si="670"/>
        <v>1912863.284930679</v>
      </c>
      <c r="BA643" s="2">
        <f t="shared" ca="1" si="671"/>
        <v>44505448.663379371</v>
      </c>
      <c r="BB643" s="2">
        <f t="shared" ca="1" si="672"/>
        <v>890108.97326758748</v>
      </c>
      <c r="BC643" s="2">
        <f t="shared" ca="1" si="673"/>
        <v>19381807.892964534</v>
      </c>
      <c r="BD643" s="2">
        <f t="shared" ca="1" si="674"/>
        <v>-17665418.356312636</v>
      </c>
      <c r="BE643" s="2">
        <f t="shared" ca="1" si="675"/>
        <v>2147273.3272624821</v>
      </c>
      <c r="BF643" s="2">
        <f t="shared" ca="1" si="676"/>
        <v>2133227.4878628305</v>
      </c>
      <c r="BG643" s="2">
        <f t="shared" ca="1" si="677"/>
        <v>2058283.873751774</v>
      </c>
      <c r="BH643" s="2">
        <f t="shared" ca="1" si="678"/>
        <v>1984839.1319229379</v>
      </c>
      <c r="BI643" s="2">
        <f t="shared" ca="1" si="679"/>
        <v>21294671.177895214</v>
      </c>
      <c r="BJ643" s="2">
        <f t="shared" ca="1" si="680"/>
        <v>0.13168492760918227</v>
      </c>
      <c r="BK643" s="2">
        <f t="shared" ca="1" si="681"/>
        <v>762001.1311744079</v>
      </c>
    </row>
    <row r="644" spans="1:63" x14ac:dyDescent="0.3">
      <c r="A644" s="2">
        <v>643</v>
      </c>
      <c r="B644" s="2">
        <f t="shared" ca="1" si="620"/>
        <v>0.41453136098139365</v>
      </c>
      <c r="C644" s="2">
        <f t="shared" ca="1" si="621"/>
        <v>6.9105288144604691</v>
      </c>
      <c r="D644" s="2">
        <f t="shared" ca="1" si="622"/>
        <v>0.42086156317770118</v>
      </c>
      <c r="E644" s="2">
        <f t="shared" ca="1" si="623"/>
        <v>7.4174546998928079</v>
      </c>
      <c r="F644" s="2">
        <f t="shared" ca="1" si="624"/>
        <v>0.81653183933910845</v>
      </c>
      <c r="G644" s="2">
        <f t="shared" ca="1" si="625"/>
        <v>6.7066808505687289E-2</v>
      </c>
      <c r="H644" s="2">
        <f t="shared" ca="1" si="626"/>
        <v>6.7066808505687289E-2</v>
      </c>
      <c r="I644" s="2">
        <f t="shared" ca="1" si="627"/>
        <v>0.86928966250376261</v>
      </c>
      <c r="J644" s="2">
        <f t="shared" ca="1" si="628"/>
        <v>1.5615198016918387E-2</v>
      </c>
      <c r="K644" s="2">
        <f t="shared" ca="1" si="629"/>
        <v>1.5615198016918387E-2</v>
      </c>
      <c r="L644" s="2">
        <f t="shared" ca="1" si="630"/>
        <v>0.90373884411171734</v>
      </c>
      <c r="M644" s="2">
        <f t="shared" ca="1" si="631"/>
        <v>2.6063072923094847E-2</v>
      </c>
      <c r="N644" s="2">
        <f t="shared" ca="1" si="632"/>
        <v>2.6063072923094847E-2</v>
      </c>
      <c r="O644" s="2">
        <f t="shared" si="633"/>
        <v>6000000</v>
      </c>
      <c r="P644" s="2">
        <f t="shared" ca="1" si="634"/>
        <v>41463172.886762813</v>
      </c>
      <c r="Q644" s="2">
        <f t="shared" ca="1" si="635"/>
        <v>1036579.3221690704</v>
      </c>
      <c r="R644" s="2">
        <f t="shared" ca="1" si="636"/>
        <v>24877903.732057687</v>
      </c>
      <c r="S644" s="2">
        <f t="shared" ca="1" si="637"/>
        <v>16585269.154705126</v>
      </c>
      <c r="T644" s="2">
        <f t="shared" ca="1" si="638"/>
        <v>51303153.646154739</v>
      </c>
      <c r="U644" s="2">
        <f t="shared" ca="1" si="639"/>
        <v>54743892.427479252</v>
      </c>
      <c r="V644" s="2">
        <f t="shared" ca="1" si="640"/>
        <v>58415390.577768952</v>
      </c>
      <c r="W644" s="2">
        <f t="shared" ca="1" si="641"/>
        <v>62333124.391433112</v>
      </c>
      <c r="X644" s="2">
        <f t="shared" ca="1" si="642"/>
        <v>66513608.10855455</v>
      </c>
      <c r="Y644" s="2">
        <f t="shared" ca="1" si="643"/>
        <v>0.1278075990084592</v>
      </c>
      <c r="Z644" s="2">
        <f t="shared" ca="1" si="644"/>
        <v>0.13093063861184287</v>
      </c>
      <c r="AA644" s="2">
        <f t="shared" ca="1" si="645"/>
        <v>6556932.8890771167</v>
      </c>
      <c r="AB644" s="2">
        <f t="shared" ca="1" si="646"/>
        <v>7167652.7956278874</v>
      </c>
      <c r="AC644" s="2">
        <f t="shared" ca="1" si="647"/>
        <v>7648364.3931075176</v>
      </c>
      <c r="AD644" s="2">
        <f t="shared" ca="1" si="648"/>
        <v>8161315.7832417767</v>
      </c>
      <c r="AE644" s="2">
        <f t="shared" ca="1" si="649"/>
        <v>8708669.1860308964</v>
      </c>
      <c r="AF644" s="2">
        <f t="shared" ca="1" si="650"/>
        <v>1026063.0729230948</v>
      </c>
      <c r="AG644" s="2">
        <f t="shared" ca="1" si="651"/>
        <v>1094877.8485495851</v>
      </c>
      <c r="AH644" s="2">
        <f t="shared" ca="1" si="652"/>
        <v>1168307.8115553791</v>
      </c>
      <c r="AI644" s="2">
        <f t="shared" ca="1" si="653"/>
        <v>1246662.4878286624</v>
      </c>
      <c r="AJ644" s="2">
        <f t="shared" ca="1" si="654"/>
        <v>1330272.162171091</v>
      </c>
      <c r="AK644" s="2">
        <f t="shared" ca="1" si="655"/>
        <v>0</v>
      </c>
      <c r="AL644" s="2">
        <f t="shared" ca="1" si="656"/>
        <v>34407.387813245135</v>
      </c>
      <c r="AM644" s="2">
        <f t="shared" ca="1" si="657"/>
        <v>36714.981502896997</v>
      </c>
      <c r="AN644" s="2">
        <f t="shared" ca="1" si="658"/>
        <v>39177.338136641607</v>
      </c>
      <c r="AO644" s="2">
        <f t="shared" ca="1" si="659"/>
        <v>41804.837171214371</v>
      </c>
      <c r="AP644" s="2">
        <f t="shared" ca="1" si="660"/>
        <v>2239011.3358851918</v>
      </c>
      <c r="AQ644" s="2">
        <f t="shared" ca="1" si="661"/>
        <v>855883.20486989582</v>
      </c>
      <c r="AR644" s="2">
        <f t="shared" ca="1" si="662"/>
        <v>996778.53891020885</v>
      </c>
      <c r="AS644" s="2">
        <f t="shared" ca="1" si="663"/>
        <v>1102671.7638734062</v>
      </c>
      <c r="AT644" s="2">
        <f t="shared" ca="1" si="664"/>
        <v>1215666.90947726</v>
      </c>
      <c r="AU644" s="2">
        <f t="shared" ca="1" si="665"/>
        <v>1336240.2788733994</v>
      </c>
      <c r="AV644" s="2">
        <f t="shared" ca="1" si="666"/>
        <v>2435975.2753989338</v>
      </c>
      <c r="AW644" s="2">
        <f t="shared" ca="1" si="667"/>
        <v>2802577.6844696566</v>
      </c>
      <c r="AX644" s="2">
        <f t="shared" ca="1" si="668"/>
        <v>3101658.500290643</v>
      </c>
      <c r="AY644" s="2">
        <f t="shared" ca="1" si="669"/>
        <v>3420797.7119140211</v>
      </c>
      <c r="AZ644" s="2">
        <f t="shared" ca="1" si="670"/>
        <v>3761340.5719300001</v>
      </c>
      <c r="BA644" s="2">
        <f t="shared" ca="1" si="671"/>
        <v>64596159.183736548</v>
      </c>
      <c r="BB644" s="2">
        <f t="shared" ca="1" si="672"/>
        <v>1291923.1836747311</v>
      </c>
      <c r="BC644" s="2">
        <f t="shared" ca="1" si="673"/>
        <v>38426332.268004127</v>
      </c>
      <c r="BD644" s="2">
        <f t="shared" ca="1" si="674"/>
        <v>-18121848.476874195</v>
      </c>
      <c r="BE644" s="2">
        <f t="shared" ca="1" si="675"/>
        <v>2435975.2753989338</v>
      </c>
      <c r="BF644" s="2">
        <f t="shared" ca="1" si="676"/>
        <v>2802577.6844696566</v>
      </c>
      <c r="BG644" s="2">
        <f t="shared" ca="1" si="677"/>
        <v>3101658.500290643</v>
      </c>
      <c r="BH644" s="2">
        <f t="shared" ca="1" si="678"/>
        <v>3420797.7119140211</v>
      </c>
      <c r="BI644" s="2">
        <f t="shared" ca="1" si="679"/>
        <v>42187672.839934126</v>
      </c>
      <c r="BJ644" s="2">
        <f t="shared" ca="1" si="680"/>
        <v>0.28895816096711946</v>
      </c>
      <c r="BK644" s="2">
        <f t="shared" ca="1" si="681"/>
        <v>14607423.813114919</v>
      </c>
    </row>
    <row r="645" spans="1:63" x14ac:dyDescent="0.3">
      <c r="A645" s="2">
        <v>644</v>
      </c>
      <c r="B645" s="2">
        <f t="shared" ca="1" si="620"/>
        <v>0.43387684245193192</v>
      </c>
      <c r="C645" s="2">
        <f t="shared" ca="1" si="621"/>
        <v>6.9315329757468938</v>
      </c>
      <c r="D645" s="2">
        <f t="shared" ca="1" si="622"/>
        <v>1.6065085960054848E-2</v>
      </c>
      <c r="E645" s="2">
        <f t="shared" ca="1" si="623"/>
        <v>6.6792489105130342</v>
      </c>
      <c r="F645" s="2">
        <f t="shared" ca="1" si="624"/>
        <v>0.6808261891855395</v>
      </c>
      <c r="G645" s="2">
        <f t="shared" ca="1" si="625"/>
        <v>5.4100310558364458E-2</v>
      </c>
      <c r="H645" s="2">
        <f t="shared" ca="1" si="626"/>
        <v>5.4100310558364458E-2</v>
      </c>
      <c r="I645" s="2">
        <f t="shared" ca="1" si="627"/>
        <v>0.32028687033033143</v>
      </c>
      <c r="J645" s="2">
        <f t="shared" ca="1" si="628"/>
        <v>7.6655161803001644E-3</v>
      </c>
      <c r="K645" s="2">
        <f t="shared" ca="1" si="629"/>
        <v>7.6655161803001644E-3</v>
      </c>
      <c r="L645" s="2">
        <f t="shared" ca="1" si="630"/>
        <v>0.74130215093308827</v>
      </c>
      <c r="M645" s="2">
        <f t="shared" ca="1" si="631"/>
        <v>1.2947301368644781E-2</v>
      </c>
      <c r="N645" s="2">
        <f t="shared" ca="1" si="632"/>
        <v>1.2947301368644781E-2</v>
      </c>
      <c r="O645" s="2">
        <f t="shared" si="633"/>
        <v>6000000</v>
      </c>
      <c r="P645" s="2">
        <f t="shared" ca="1" si="634"/>
        <v>41589197.854481362</v>
      </c>
      <c r="Q645" s="2">
        <f t="shared" ca="1" si="635"/>
        <v>1039729.9463620341</v>
      </c>
      <c r="R645" s="2">
        <f t="shared" ca="1" si="636"/>
        <v>24953518.712688815</v>
      </c>
      <c r="S645" s="2">
        <f t="shared" ca="1" si="637"/>
        <v>16635679.141792545</v>
      </c>
      <c r="T645" s="2">
        <f t="shared" ca="1" si="638"/>
        <v>50647365.068432234</v>
      </c>
      <c r="U645" s="2">
        <f t="shared" ca="1" si="639"/>
        <v>53387403.247597277</v>
      </c>
      <c r="V645" s="2">
        <f t="shared" ca="1" si="640"/>
        <v>56275678.343196921</v>
      </c>
      <c r="W645" s="2">
        <f t="shared" ca="1" si="641"/>
        <v>59320210.018446498</v>
      </c>
      <c r="X645" s="2">
        <f t="shared" ca="1" si="642"/>
        <v>62529451.802831851</v>
      </c>
      <c r="Y645" s="2">
        <f t="shared" ca="1" si="643"/>
        <v>0.12383275809015008</v>
      </c>
      <c r="Z645" s="2">
        <f t="shared" ca="1" si="644"/>
        <v>0.12536586132621011</v>
      </c>
      <c r="AA645" s="2">
        <f t="shared" ca="1" si="645"/>
        <v>6271802.9064226868</v>
      </c>
      <c r="AB645" s="2">
        <f t="shared" ca="1" si="646"/>
        <v>6692957.7921047397</v>
      </c>
      <c r="AC645" s="2">
        <f t="shared" ca="1" si="647"/>
        <v>7055048.8872116311</v>
      </c>
      <c r="AD645" s="2">
        <f t="shared" ca="1" si="648"/>
        <v>7436729.2230142234</v>
      </c>
      <c r="AE645" s="2">
        <f t="shared" ca="1" si="649"/>
        <v>7839058.5835177563</v>
      </c>
      <c r="AF645" s="2">
        <f t="shared" ca="1" si="650"/>
        <v>1012947.3013686447</v>
      </c>
      <c r="AG645" s="2">
        <f t="shared" ca="1" si="651"/>
        <v>1067748.0649519456</v>
      </c>
      <c r="AH645" s="2">
        <f t="shared" ca="1" si="652"/>
        <v>1125513.5668639385</v>
      </c>
      <c r="AI645" s="2">
        <f t="shared" ca="1" si="653"/>
        <v>1186404.2003689299</v>
      </c>
      <c r="AJ645" s="2">
        <f t="shared" ca="1" si="654"/>
        <v>1250589.0360566371</v>
      </c>
      <c r="AK645" s="2">
        <f t="shared" ca="1" si="655"/>
        <v>0</v>
      </c>
      <c r="AL645" s="2">
        <f t="shared" ca="1" si="656"/>
        <v>27400.38179165043</v>
      </c>
      <c r="AM645" s="2">
        <f t="shared" ca="1" si="657"/>
        <v>28882.750955996438</v>
      </c>
      <c r="AN645" s="2">
        <f t="shared" ca="1" si="658"/>
        <v>30445.316752495768</v>
      </c>
      <c r="AO645" s="2">
        <f t="shared" ca="1" si="659"/>
        <v>32092.417843853535</v>
      </c>
      <c r="AP645" s="2">
        <f t="shared" ca="1" si="660"/>
        <v>2245816.6841419931</v>
      </c>
      <c r="AQ645" s="2">
        <f t="shared" ca="1" si="661"/>
        <v>783390.11943713285</v>
      </c>
      <c r="AR645" s="2">
        <f t="shared" ca="1" si="662"/>
        <v>878642.19118280848</v>
      </c>
      <c r="AS645" s="2">
        <f t="shared" ca="1" si="663"/>
        <v>957766.84541348193</v>
      </c>
      <c r="AT645" s="2">
        <f t="shared" ca="1" si="664"/>
        <v>1041172.1680108582</v>
      </c>
      <c r="AU645" s="2">
        <f t="shared" ca="1" si="665"/>
        <v>1129089.744462973</v>
      </c>
      <c r="AV645" s="2">
        <f t="shared" ca="1" si="666"/>
        <v>2229648.8014749163</v>
      </c>
      <c r="AW645" s="2">
        <f t="shared" ca="1" si="667"/>
        <v>2473350.4700363432</v>
      </c>
      <c r="AX645" s="2">
        <f t="shared" ca="1" si="668"/>
        <v>2697069.0398362218</v>
      </c>
      <c r="AY645" s="2">
        <f t="shared" ca="1" si="669"/>
        <v>2932890.8537399466</v>
      </c>
      <c r="AZ645" s="2">
        <f t="shared" ca="1" si="670"/>
        <v>3181470.7010123008</v>
      </c>
      <c r="BA645" s="2">
        <f t="shared" ca="1" si="671"/>
        <v>52359023.503408819</v>
      </c>
      <c r="BB645" s="2">
        <f t="shared" ca="1" si="672"/>
        <v>1047180.4700681764</v>
      </c>
      <c r="BC645" s="2">
        <f t="shared" ca="1" si="673"/>
        <v>26358324.320651829</v>
      </c>
      <c r="BD645" s="2">
        <f t="shared" ca="1" si="674"/>
        <v>-18175409.08815458</v>
      </c>
      <c r="BE645" s="2">
        <f t="shared" ca="1" si="675"/>
        <v>2229648.8014749163</v>
      </c>
      <c r="BF645" s="2">
        <f t="shared" ca="1" si="676"/>
        <v>2473350.4700363432</v>
      </c>
      <c r="BG645" s="2">
        <f t="shared" ca="1" si="677"/>
        <v>2697069.0398362218</v>
      </c>
      <c r="BH645" s="2">
        <f t="shared" ca="1" si="678"/>
        <v>2932890.8537399466</v>
      </c>
      <c r="BI645" s="2">
        <f t="shared" ca="1" si="679"/>
        <v>29539795.021664131</v>
      </c>
      <c r="BJ645" s="2">
        <f t="shared" ca="1" si="680"/>
        <v>0.20398614397528925</v>
      </c>
      <c r="BK645" s="2">
        <f t="shared" ca="1" si="681"/>
        <v>6332387.2588553019</v>
      </c>
    </row>
    <row r="646" spans="1:63" x14ac:dyDescent="0.3">
      <c r="A646" s="2">
        <v>645</v>
      </c>
      <c r="B646" s="2">
        <f t="shared" ca="1" si="620"/>
        <v>7.4397752589244415E-2</v>
      </c>
      <c r="C646" s="2">
        <f t="shared" ca="1" si="621"/>
        <v>6.3857402042547404</v>
      </c>
      <c r="D646" s="2">
        <f t="shared" ca="1" si="622"/>
        <v>0.39432930892658535</v>
      </c>
      <c r="E646" s="2">
        <f t="shared" ca="1" si="623"/>
        <v>7.3880645347344815</v>
      </c>
      <c r="F646" s="2">
        <f t="shared" ca="1" si="624"/>
        <v>0.44013676219167652</v>
      </c>
      <c r="G646" s="2">
        <f t="shared" ca="1" si="625"/>
        <v>3.5481325491719458E-2</v>
      </c>
      <c r="H646" s="2">
        <f t="shared" ca="1" si="626"/>
        <v>3.5481325491719458E-2</v>
      </c>
      <c r="I646" s="2">
        <f t="shared" ca="1" si="627"/>
        <v>6.6491607596257385E-2</v>
      </c>
      <c r="J646" s="2">
        <f t="shared" ca="1" si="628"/>
        <v>2.487794239599125E-3</v>
      </c>
      <c r="K646" s="2">
        <f t="shared" ca="1" si="629"/>
        <v>2.487794239599125E-3</v>
      </c>
      <c r="L646" s="2">
        <f t="shared" ca="1" si="630"/>
        <v>7.4773673750237357E-2</v>
      </c>
      <c r="M646" s="2">
        <f t="shared" ca="1" si="631"/>
        <v>-2.8822643339425986E-2</v>
      </c>
      <c r="N646" s="2">
        <f t="shared" ca="1" si="632"/>
        <v>-2.8822643339425986E-2</v>
      </c>
      <c r="O646" s="2">
        <f t="shared" si="633"/>
        <v>6000000</v>
      </c>
      <c r="P646" s="2">
        <f t="shared" ca="1" si="634"/>
        <v>38314441.225528441</v>
      </c>
      <c r="Q646" s="2">
        <f t="shared" ca="1" si="635"/>
        <v>957861.03063821106</v>
      </c>
      <c r="R646" s="2">
        <f t="shared" ca="1" si="636"/>
        <v>22988664.735317063</v>
      </c>
      <c r="S646" s="2">
        <f t="shared" ca="1" si="637"/>
        <v>15325776.490211377</v>
      </c>
      <c r="T646" s="2">
        <f t="shared" ca="1" si="638"/>
        <v>48558867.833028704</v>
      </c>
      <c r="U646" s="2">
        <f t="shared" ca="1" si="639"/>
        <v>50281800.828121781</v>
      </c>
      <c r="V646" s="2">
        <f t="shared" ca="1" si="640"/>
        <v>52065865.769614182</v>
      </c>
      <c r="W646" s="2">
        <f t="shared" ca="1" si="641"/>
        <v>53913231.699994035</v>
      </c>
      <c r="X646" s="2">
        <f t="shared" ca="1" si="642"/>
        <v>55826144.62225201</v>
      </c>
      <c r="Y646" s="2">
        <f t="shared" ca="1" si="643"/>
        <v>0.12124389711979956</v>
      </c>
      <c r="Z646" s="2">
        <f t="shared" ca="1" si="644"/>
        <v>0.12174145596771939</v>
      </c>
      <c r="AA646" s="2">
        <f t="shared" ca="1" si="645"/>
        <v>5887466.3758016769</v>
      </c>
      <c r="AB646" s="2">
        <f t="shared" ca="1" si="646"/>
        <v>6121379.6414944241</v>
      </c>
      <c r="AC646" s="2">
        <f t="shared" ca="1" si="647"/>
        <v>6338574.3050126731</v>
      </c>
      <c r="AD646" s="2">
        <f t="shared" ca="1" si="648"/>
        <v>6563475.3230822766</v>
      </c>
      <c r="AE646" s="2">
        <f t="shared" ca="1" si="649"/>
        <v>6796356.1273774272</v>
      </c>
      <c r="AF646" s="2">
        <f t="shared" ca="1" si="650"/>
        <v>971177.35666057409</v>
      </c>
      <c r="AG646" s="2">
        <f t="shared" ca="1" si="651"/>
        <v>1005636.0165624357</v>
      </c>
      <c r="AH646" s="2">
        <f t="shared" ca="1" si="652"/>
        <v>1041317.3153922837</v>
      </c>
      <c r="AI646" s="2">
        <f t="shared" ca="1" si="653"/>
        <v>1078264.6339998806</v>
      </c>
      <c r="AJ646" s="2">
        <f t="shared" ca="1" si="654"/>
        <v>1116522.8924450402</v>
      </c>
      <c r="AK646" s="2">
        <f t="shared" ca="1" si="655"/>
        <v>0</v>
      </c>
      <c r="AL646" s="2">
        <f t="shared" ca="1" si="656"/>
        <v>17229.329950930776</v>
      </c>
      <c r="AM646" s="2">
        <f t="shared" ca="1" si="657"/>
        <v>17840.64941492401</v>
      </c>
      <c r="AN646" s="2">
        <f t="shared" ca="1" si="658"/>
        <v>18473.659303798526</v>
      </c>
      <c r="AO646" s="2">
        <f t="shared" ca="1" si="659"/>
        <v>19129.129222579748</v>
      </c>
      <c r="AP646" s="2">
        <f t="shared" ca="1" si="660"/>
        <v>2068979.8261785356</v>
      </c>
      <c r="AQ646" s="2">
        <f t="shared" ca="1" si="661"/>
        <v>740300.39017026755</v>
      </c>
      <c r="AR646" s="2">
        <f t="shared" ca="1" si="662"/>
        <v>792158.58767589764</v>
      </c>
      <c r="AS646" s="2">
        <f t="shared" ca="1" si="663"/>
        <v>839352.06249488192</v>
      </c>
      <c r="AT646" s="2">
        <f t="shared" ca="1" si="664"/>
        <v>888220.02435500373</v>
      </c>
      <c r="AU646" s="2">
        <f t="shared" ca="1" si="665"/>
        <v>938821.88627600146</v>
      </c>
      <c r="AV646" s="2">
        <f t="shared" ca="1" si="666"/>
        <v>2107008.8027922995</v>
      </c>
      <c r="AW646" s="2">
        <f t="shared" ca="1" si="667"/>
        <v>2237375.8811266245</v>
      </c>
      <c r="AX646" s="2">
        <f t="shared" ca="1" si="668"/>
        <v>2371084.4515320472</v>
      </c>
      <c r="AY646" s="2">
        <f t="shared" ca="1" si="669"/>
        <v>2509537.1792450584</v>
      </c>
      <c r="AZ646" s="2">
        <f t="shared" ca="1" si="670"/>
        <v>2652902.393255271</v>
      </c>
      <c r="BA646" s="2">
        <f t="shared" ca="1" si="671"/>
        <v>50211917.670102552</v>
      </c>
      <c r="BB646" s="2">
        <f t="shared" ca="1" si="672"/>
        <v>1004238.353402051</v>
      </c>
      <c r="BC646" s="2">
        <f t="shared" ca="1" si="673"/>
        <v>26219014.581383437</v>
      </c>
      <c r="BD646" s="2">
        <f t="shared" ca="1" si="674"/>
        <v>-16783637.520849586</v>
      </c>
      <c r="BE646" s="2">
        <f t="shared" ca="1" si="675"/>
        <v>2107008.8027922995</v>
      </c>
      <c r="BF646" s="2">
        <f t="shared" ca="1" si="676"/>
        <v>2237375.8811266245</v>
      </c>
      <c r="BG646" s="2">
        <f t="shared" ca="1" si="677"/>
        <v>2371084.4515320472</v>
      </c>
      <c r="BH646" s="2">
        <f t="shared" ca="1" si="678"/>
        <v>2509537.1792450584</v>
      </c>
      <c r="BI646" s="2">
        <f t="shared" ca="1" si="679"/>
        <v>28871916.974638708</v>
      </c>
      <c r="BJ646" s="2">
        <f t="shared" ca="1" si="680"/>
        <v>0.21222227604172117</v>
      </c>
      <c r="BK646" s="2">
        <f t="shared" ca="1" si="681"/>
        <v>6546491.0848258585</v>
      </c>
    </row>
    <row r="647" spans="1:63" x14ac:dyDescent="0.3">
      <c r="A647" s="2">
        <v>646</v>
      </c>
      <c r="B647" s="2">
        <f t="shared" ca="1" si="620"/>
        <v>0.39677332890299288</v>
      </c>
      <c r="C647" s="2">
        <f t="shared" ca="1" si="621"/>
        <v>6.8908123583594838</v>
      </c>
      <c r="D647" s="2">
        <f t="shared" ca="1" si="622"/>
        <v>0.29925286841242316</v>
      </c>
      <c r="E647" s="2">
        <f t="shared" ca="1" si="623"/>
        <v>7.2736315252268655</v>
      </c>
      <c r="F647" s="2">
        <f t="shared" ca="1" si="624"/>
        <v>0.47539201608759973</v>
      </c>
      <c r="G647" s="2">
        <f t="shared" ca="1" si="625"/>
        <v>3.8148332928089099E-2</v>
      </c>
      <c r="H647" s="2">
        <f t="shared" ca="1" si="626"/>
        <v>3.8148332928089099E-2</v>
      </c>
      <c r="I647" s="2">
        <f t="shared" ca="1" si="627"/>
        <v>0.45254040290345354</v>
      </c>
      <c r="J647" s="2">
        <f t="shared" ca="1" si="628"/>
        <v>9.40377215797371E-3</v>
      </c>
      <c r="K647" s="2">
        <f t="shared" ca="1" si="629"/>
        <v>9.40377215797371E-3</v>
      </c>
      <c r="L647" s="2">
        <f t="shared" ca="1" si="630"/>
        <v>0.40054686495272851</v>
      </c>
      <c r="M647" s="2">
        <f t="shared" ca="1" si="631"/>
        <v>-5.0386372784693547E-3</v>
      </c>
      <c r="N647" s="2">
        <f t="shared" ca="1" si="632"/>
        <v>-5.0386372784693547E-3</v>
      </c>
      <c r="O647" s="2">
        <f t="shared" si="633"/>
        <v>6000000</v>
      </c>
      <c r="P647" s="2">
        <f t="shared" ca="1" si="634"/>
        <v>41344874.1501569</v>
      </c>
      <c r="Q647" s="2">
        <f t="shared" ca="1" si="635"/>
        <v>1033621.8537539225</v>
      </c>
      <c r="R647" s="2">
        <f t="shared" ca="1" si="636"/>
        <v>24806924.49009414</v>
      </c>
      <c r="S647" s="2">
        <f t="shared" ca="1" si="637"/>
        <v>16537949.66006276</v>
      </c>
      <c r="T647" s="2">
        <f t="shared" ca="1" si="638"/>
        <v>49748068.136076532</v>
      </c>
      <c r="U647" s="2">
        <f t="shared" ca="1" si="639"/>
        <v>51645874.001860842</v>
      </c>
      <c r="V647" s="2">
        <f t="shared" ca="1" si="640"/>
        <v>53616077.997645974</v>
      </c>
      <c r="W647" s="2">
        <f t="shared" ca="1" si="641"/>
        <v>55661441.991398573</v>
      </c>
      <c r="X647" s="2">
        <f t="shared" ca="1" si="642"/>
        <v>57784833.211743966</v>
      </c>
      <c r="Y647" s="2">
        <f t="shared" ca="1" si="643"/>
        <v>0.12470188607898686</v>
      </c>
      <c r="Z647" s="2">
        <f t="shared" ca="1" si="644"/>
        <v>0.1265826405105816</v>
      </c>
      <c r="AA647" s="2">
        <f t="shared" ca="1" si="645"/>
        <v>6203677.9253546922</v>
      </c>
      <c r="AB647" s="2">
        <f t="shared" ca="1" si="646"/>
        <v>6537471.1026323438</v>
      </c>
      <c r="AC647" s="2">
        <f t="shared" ca="1" si="647"/>
        <v>6786864.7267633239</v>
      </c>
      <c r="AD647" s="2">
        <f t="shared" ca="1" si="648"/>
        <v>7045772.3018977968</v>
      </c>
      <c r="AE647" s="2">
        <f t="shared" ca="1" si="649"/>
        <v>7314556.7694061026</v>
      </c>
      <c r="AF647" s="2">
        <f t="shared" ca="1" si="650"/>
        <v>994961.36272153072</v>
      </c>
      <c r="AG647" s="2">
        <f t="shared" ca="1" si="651"/>
        <v>1032917.4800372169</v>
      </c>
      <c r="AH647" s="2">
        <f t="shared" ca="1" si="652"/>
        <v>1072321.5599529196</v>
      </c>
      <c r="AI647" s="2">
        <f t="shared" ca="1" si="653"/>
        <v>1113228.8398279715</v>
      </c>
      <c r="AJ647" s="2">
        <f t="shared" ca="1" si="654"/>
        <v>1155696.6642348794</v>
      </c>
      <c r="AK647" s="2">
        <f t="shared" ca="1" si="655"/>
        <v>0</v>
      </c>
      <c r="AL647" s="2">
        <f t="shared" ca="1" si="656"/>
        <v>18978.058657843099</v>
      </c>
      <c r="AM647" s="2">
        <f t="shared" ca="1" si="657"/>
        <v>19702.039957851321</v>
      </c>
      <c r="AN647" s="2">
        <f t="shared" ca="1" si="658"/>
        <v>20453.63993752599</v>
      </c>
      <c r="AO647" s="2">
        <f t="shared" ca="1" si="659"/>
        <v>21233.912203453929</v>
      </c>
      <c r="AP647" s="2">
        <f t="shared" ca="1" si="660"/>
        <v>2232623.2041084724</v>
      </c>
      <c r="AQ647" s="2">
        <f t="shared" ca="1" si="661"/>
        <v>773784.27321641915</v>
      </c>
      <c r="AR647" s="2">
        <f t="shared" ca="1" si="662"/>
        <v>850701.90880653018</v>
      </c>
      <c r="AS647" s="2">
        <f t="shared" ca="1" si="663"/>
        <v>905299.19030250236</v>
      </c>
      <c r="AT647" s="2">
        <f t="shared" ca="1" si="664"/>
        <v>961979.26706995175</v>
      </c>
      <c r="AU647" s="2">
        <f t="shared" ca="1" si="665"/>
        <v>1020821.5942763152</v>
      </c>
      <c r="AV647" s="2">
        <f t="shared" ca="1" si="666"/>
        <v>2202309.0853082701</v>
      </c>
      <c r="AW647" s="2">
        <f t="shared" ca="1" si="667"/>
        <v>2402250.4510222818</v>
      </c>
      <c r="AX647" s="2">
        <f t="shared" ca="1" si="668"/>
        <v>2556918.7324415785</v>
      </c>
      <c r="AY647" s="2">
        <f t="shared" ca="1" si="669"/>
        <v>2717487.3509538756</v>
      </c>
      <c r="AZ647" s="2">
        <f t="shared" ca="1" si="670"/>
        <v>2884181.3945829817</v>
      </c>
      <c r="BA647" s="2">
        <f t="shared" ca="1" si="671"/>
        <v>53203390.711013801</v>
      </c>
      <c r="BB647" s="2">
        <f t="shared" ca="1" si="672"/>
        <v>1064067.814220276</v>
      </c>
      <c r="BC647" s="2">
        <f t="shared" ca="1" si="673"/>
        <v>27332398.406699385</v>
      </c>
      <c r="BD647" s="2">
        <f t="shared" ca="1" si="674"/>
        <v>-18071571.513816684</v>
      </c>
      <c r="BE647" s="2">
        <f t="shared" ca="1" si="675"/>
        <v>2202309.0853082701</v>
      </c>
      <c r="BF647" s="2">
        <f t="shared" ca="1" si="676"/>
        <v>2402250.4510222818</v>
      </c>
      <c r="BG647" s="2">
        <f t="shared" ca="1" si="677"/>
        <v>2556918.7324415785</v>
      </c>
      <c r="BH647" s="2">
        <f t="shared" ca="1" si="678"/>
        <v>2717487.3509538756</v>
      </c>
      <c r="BI647" s="2">
        <f t="shared" ca="1" si="679"/>
        <v>30216579.801282369</v>
      </c>
      <c r="BJ647" s="2">
        <f t="shared" ca="1" si="680"/>
        <v>0.2058835066339455</v>
      </c>
      <c r="BK647" s="2">
        <f t="shared" ca="1" si="681"/>
        <v>6502510.6912745722</v>
      </c>
    </row>
    <row r="648" spans="1:63" x14ac:dyDescent="0.3">
      <c r="A648" s="2">
        <v>647</v>
      </c>
      <c r="B648" s="2">
        <f t="shared" ca="1" si="620"/>
        <v>0.5925440279617159</v>
      </c>
      <c r="C648" s="2">
        <f t="shared" ca="1" si="621"/>
        <v>7.0972752667193788</v>
      </c>
      <c r="D648" s="2">
        <f t="shared" ca="1" si="622"/>
        <v>0.87763629258948228</v>
      </c>
      <c r="E648" s="2">
        <f t="shared" ca="1" si="623"/>
        <v>8.005300682413008</v>
      </c>
      <c r="F648" s="2">
        <f t="shared" ca="1" si="624"/>
        <v>0.43742994010910552</v>
      </c>
      <c r="G648" s="2">
        <f t="shared" ca="1" si="625"/>
        <v>3.5275345371086959E-2</v>
      </c>
      <c r="H648" s="2">
        <f t="shared" ca="1" si="626"/>
        <v>3.5275345371086959E-2</v>
      </c>
      <c r="I648" s="2">
        <f t="shared" ca="1" si="627"/>
        <v>0.92316113769685137</v>
      </c>
      <c r="J648" s="2">
        <f t="shared" ca="1" si="628"/>
        <v>1.713330339797486E-2</v>
      </c>
      <c r="K648" s="2">
        <f t="shared" ca="1" si="629"/>
        <v>1.713330339797486E-2</v>
      </c>
      <c r="L648" s="2">
        <f t="shared" ca="1" si="630"/>
        <v>9.8146564723957996E-2</v>
      </c>
      <c r="M648" s="2">
        <f t="shared" ca="1" si="631"/>
        <v>-2.584369743540961E-2</v>
      </c>
      <c r="N648" s="2">
        <f t="shared" ca="1" si="632"/>
        <v>-2.584369743540961E-2</v>
      </c>
      <c r="O648" s="2">
        <f t="shared" si="633"/>
        <v>6000000</v>
      </c>
      <c r="P648" s="2">
        <f t="shared" ca="1" si="634"/>
        <v>42583651.600316271</v>
      </c>
      <c r="Q648" s="2">
        <f t="shared" ca="1" si="635"/>
        <v>1064591.2900079067</v>
      </c>
      <c r="R648" s="2">
        <f t="shared" ca="1" si="636"/>
        <v>25550190.960189763</v>
      </c>
      <c r="S648" s="2">
        <f t="shared" ca="1" si="637"/>
        <v>17033460.640126508</v>
      </c>
      <c r="T648" s="2">
        <f t="shared" ca="1" si="638"/>
        <v>48707815.128229521</v>
      </c>
      <c r="U648" s="2">
        <f t="shared" ca="1" si="639"/>
        <v>50426000.129148871</v>
      </c>
      <c r="V648" s="2">
        <f t="shared" ca="1" si="640"/>
        <v>52204794.699387074</v>
      </c>
      <c r="W648" s="2">
        <f t="shared" ca="1" si="641"/>
        <v>54046336.862434648</v>
      </c>
      <c r="X648" s="2">
        <f t="shared" ca="1" si="642"/>
        <v>55952840.061299138</v>
      </c>
      <c r="Y648" s="2">
        <f t="shared" ca="1" si="643"/>
        <v>0.12856665169898743</v>
      </c>
      <c r="Z648" s="2">
        <f t="shared" ca="1" si="644"/>
        <v>0.13199331237858239</v>
      </c>
      <c r="AA648" s="2">
        <f t="shared" ca="1" si="645"/>
        <v>6262200.7026097551</v>
      </c>
      <c r="AB648" s="2">
        <f t="shared" ca="1" si="646"/>
        <v>6655894.7870491827</v>
      </c>
      <c r="AC648" s="2">
        <f t="shared" ca="1" si="647"/>
        <v>6890683.7744159605</v>
      </c>
      <c r="AD648" s="2">
        <f t="shared" ca="1" si="648"/>
        <v>7133755.0244014291</v>
      </c>
      <c r="AE648" s="2">
        <f t="shared" ca="1" si="649"/>
        <v>7385400.6966799162</v>
      </c>
      <c r="AF648" s="2">
        <f t="shared" ca="1" si="650"/>
        <v>974156.30256459047</v>
      </c>
      <c r="AG648" s="2">
        <f t="shared" ca="1" si="651"/>
        <v>1008520.0025829774</v>
      </c>
      <c r="AH648" s="2">
        <f t="shared" ca="1" si="652"/>
        <v>1044095.8939877414</v>
      </c>
      <c r="AI648" s="2">
        <f t="shared" ca="1" si="653"/>
        <v>1080926.7372486929</v>
      </c>
      <c r="AJ648" s="2">
        <f t="shared" ca="1" si="654"/>
        <v>1119056.8012259828</v>
      </c>
      <c r="AK648" s="2">
        <f t="shared" ca="1" si="655"/>
        <v>0</v>
      </c>
      <c r="AL648" s="2">
        <f t="shared" ca="1" si="656"/>
        <v>17181.850009193495</v>
      </c>
      <c r="AM648" s="2">
        <f t="shared" ca="1" si="657"/>
        <v>17787.945702382029</v>
      </c>
      <c r="AN648" s="2">
        <f t="shared" ca="1" si="658"/>
        <v>18415.421630475746</v>
      </c>
      <c r="AO648" s="2">
        <f t="shared" ca="1" si="659"/>
        <v>19065.0319886449</v>
      </c>
      <c r="AP648" s="2">
        <f t="shared" ca="1" si="660"/>
        <v>2299517.1864170786</v>
      </c>
      <c r="AQ648" s="2">
        <f t="shared" ca="1" si="661"/>
        <v>777017.07554330246</v>
      </c>
      <c r="AR648" s="2">
        <f t="shared" ca="1" si="662"/>
        <v>870442.97549277288</v>
      </c>
      <c r="AS648" s="2">
        <f t="shared" ca="1" si="663"/>
        <v>922238.38044289663</v>
      </c>
      <c r="AT648" s="2">
        <f t="shared" ca="1" si="664"/>
        <v>975860.88619127113</v>
      </c>
      <c r="AU648" s="2">
        <f t="shared" ca="1" si="665"/>
        <v>1031374.9443495823</v>
      </c>
      <c r="AV648" s="2">
        <f t="shared" ca="1" si="666"/>
        <v>2211510.1380847842</v>
      </c>
      <c r="AW648" s="2">
        <f t="shared" ca="1" si="667"/>
        <v>2460232.7725471603</v>
      </c>
      <c r="AX648" s="2">
        <f t="shared" ca="1" si="668"/>
        <v>2607044.3678658614</v>
      </c>
      <c r="AY648" s="2">
        <f t="shared" ca="1" si="669"/>
        <v>2759034.7929139109</v>
      </c>
      <c r="AZ648" s="2">
        <f t="shared" ca="1" si="670"/>
        <v>2916386.7326986277</v>
      </c>
      <c r="BA648" s="2">
        <f t="shared" ca="1" si="671"/>
        <v>59122353.237025239</v>
      </c>
      <c r="BB648" s="2">
        <f t="shared" ca="1" si="672"/>
        <v>1182447.0647405048</v>
      </c>
      <c r="BC648" s="2">
        <f t="shared" ca="1" si="673"/>
        <v>32389715.212094966</v>
      </c>
      <c r="BD648" s="2">
        <f t="shared" ca="1" si="674"/>
        <v>-18598051.930134416</v>
      </c>
      <c r="BE648" s="2">
        <f t="shared" ca="1" si="675"/>
        <v>2211510.1380847842</v>
      </c>
      <c r="BF648" s="2">
        <f t="shared" ca="1" si="676"/>
        <v>2460232.7725471603</v>
      </c>
      <c r="BG648" s="2">
        <f t="shared" ca="1" si="677"/>
        <v>2607044.3678658614</v>
      </c>
      <c r="BH648" s="2">
        <f t="shared" ca="1" si="678"/>
        <v>2759034.7929139109</v>
      </c>
      <c r="BI648" s="2">
        <f t="shared" ca="1" si="679"/>
        <v>35306101.944793597</v>
      </c>
      <c r="BJ648" s="2">
        <f t="shared" ca="1" si="680"/>
        <v>0.22957209482085683</v>
      </c>
      <c r="BK648" s="2">
        <f t="shared" ca="1" si="681"/>
        <v>8980482.7870599255</v>
      </c>
    </row>
    <row r="649" spans="1:63" x14ac:dyDescent="0.3">
      <c r="A649" s="2">
        <v>648</v>
      </c>
      <c r="B649" s="2">
        <f t="shared" ca="1" si="620"/>
        <v>0.39124296390523494</v>
      </c>
      <c r="C649" s="2">
        <f t="shared" ca="1" si="621"/>
        <v>6.8845823465401459</v>
      </c>
      <c r="D649" s="2">
        <f t="shared" ca="1" si="622"/>
        <v>0.69794696315305849</v>
      </c>
      <c r="E649" s="2">
        <f t="shared" ca="1" si="623"/>
        <v>7.7227573907113154</v>
      </c>
      <c r="F649" s="2">
        <f t="shared" ca="1" si="624"/>
        <v>0.76690885737666958</v>
      </c>
      <c r="G649" s="2">
        <f t="shared" ca="1" si="625"/>
        <v>6.186114256665888E-2</v>
      </c>
      <c r="H649" s="2">
        <f t="shared" ca="1" si="626"/>
        <v>6.186114256665888E-2</v>
      </c>
      <c r="I649" s="2">
        <f t="shared" ca="1" si="627"/>
        <v>0.73693967644112846</v>
      </c>
      <c r="J649" s="2">
        <f t="shared" ca="1" si="628"/>
        <v>1.3169694886788378E-2</v>
      </c>
      <c r="K649" s="2">
        <f t="shared" ca="1" si="629"/>
        <v>1.3169694886788378E-2</v>
      </c>
      <c r="L649" s="2">
        <f t="shared" ca="1" si="630"/>
        <v>6.6104799289347649E-2</v>
      </c>
      <c r="M649" s="2">
        <f t="shared" ca="1" si="631"/>
        <v>-3.0108908448490849E-2</v>
      </c>
      <c r="N649" s="2">
        <f t="shared" ca="1" si="632"/>
        <v>-3.0108908448490849E-2</v>
      </c>
      <c r="O649" s="2">
        <f t="shared" si="633"/>
        <v>6000000</v>
      </c>
      <c r="P649" s="2">
        <f t="shared" ca="1" si="634"/>
        <v>41307494.079240873</v>
      </c>
      <c r="Q649" s="2">
        <f t="shared" ca="1" si="635"/>
        <v>1032687.3519810219</v>
      </c>
      <c r="R649" s="2">
        <f t="shared" ca="1" si="636"/>
        <v>24784496.447544523</v>
      </c>
      <c r="S649" s="2">
        <f t="shared" ca="1" si="637"/>
        <v>16522997.631696351</v>
      </c>
      <c r="T649" s="2">
        <f t="shared" ca="1" si="638"/>
        <v>48494554.577575453</v>
      </c>
      <c r="U649" s="2">
        <f t="shared" ca="1" si="639"/>
        <v>51494483.132005468</v>
      </c>
      <c r="V649" s="2">
        <f t="shared" ca="1" si="640"/>
        <v>54679990.694430865</v>
      </c>
      <c r="W649" s="2">
        <f t="shared" ca="1" si="641"/>
        <v>58062557.394322634</v>
      </c>
      <c r="X649" s="2">
        <f t="shared" ca="1" si="642"/>
        <v>61654373.535077639</v>
      </c>
      <c r="Y649" s="2">
        <f t="shared" ca="1" si="643"/>
        <v>0.12658484744339418</v>
      </c>
      <c r="Z649" s="2">
        <f t="shared" ca="1" si="644"/>
        <v>0.12921878642075185</v>
      </c>
      <c r="AA649" s="2">
        <f t="shared" ca="1" si="645"/>
        <v>6138675.7930377414</v>
      </c>
      <c r="AB649" s="2">
        <f t="shared" ca="1" si="646"/>
        <v>6654054.6176816234</v>
      </c>
      <c r="AC649" s="2">
        <f t="shared" ca="1" si="647"/>
        <v>7065682.0390323605</v>
      </c>
      <c r="AD649" s="2">
        <f t="shared" ca="1" si="648"/>
        <v>7502773.2029796224</v>
      </c>
      <c r="AE649" s="2">
        <f t="shared" ca="1" si="649"/>
        <v>7966903.3257344523</v>
      </c>
      <c r="AF649" s="2">
        <f t="shared" ca="1" si="650"/>
        <v>969891.0915515091</v>
      </c>
      <c r="AG649" s="2">
        <f t="shared" ca="1" si="651"/>
        <v>1029889.6626401094</v>
      </c>
      <c r="AH649" s="2">
        <f t="shared" ca="1" si="652"/>
        <v>1093599.8138886173</v>
      </c>
      <c r="AI649" s="2">
        <f t="shared" ca="1" si="653"/>
        <v>1161251.1478864527</v>
      </c>
      <c r="AJ649" s="2">
        <f t="shared" ca="1" si="654"/>
        <v>1233087.4707015527</v>
      </c>
      <c r="AK649" s="2">
        <f t="shared" ca="1" si="655"/>
        <v>0</v>
      </c>
      <c r="AL649" s="2">
        <f t="shared" ca="1" si="656"/>
        <v>29999.285544300154</v>
      </c>
      <c r="AM649" s="2">
        <f t="shared" ca="1" si="657"/>
        <v>31855.075624253976</v>
      </c>
      <c r="AN649" s="2">
        <f t="shared" ca="1" si="658"/>
        <v>33825.666998917688</v>
      </c>
      <c r="AO649" s="2">
        <f t="shared" ca="1" si="659"/>
        <v>35918.161407550055</v>
      </c>
      <c r="AP649" s="2">
        <f t="shared" ca="1" si="660"/>
        <v>2230604.6802790072</v>
      </c>
      <c r="AQ649" s="2">
        <f t="shared" ca="1" si="661"/>
        <v>763926.8055138787</v>
      </c>
      <c r="AR649" s="2">
        <f t="shared" ca="1" si="662"/>
        <v>882325.67143825174</v>
      </c>
      <c r="AS649" s="2">
        <f t="shared" ca="1" si="663"/>
        <v>972784.16166483157</v>
      </c>
      <c r="AT649" s="2">
        <f t="shared" ca="1" si="664"/>
        <v>1068838.5174516821</v>
      </c>
      <c r="AU649" s="2">
        <f t="shared" ca="1" si="665"/>
        <v>1170834.905436012</v>
      </c>
      <c r="AV649" s="2">
        <f t="shared" ca="1" si="666"/>
        <v>2174253.2156933472</v>
      </c>
      <c r="AW649" s="2">
        <f t="shared" ca="1" si="667"/>
        <v>2481235.3177799545</v>
      </c>
      <c r="AX649" s="2">
        <f t="shared" ca="1" si="668"/>
        <v>2736838.3075756514</v>
      </c>
      <c r="AY649" s="2">
        <f t="shared" ca="1" si="669"/>
        <v>3008253.1903635627</v>
      </c>
      <c r="AZ649" s="2">
        <f t="shared" ca="1" si="670"/>
        <v>3296458.1079103304</v>
      </c>
      <c r="BA649" s="2">
        <f t="shared" ca="1" si="671"/>
        <v>61526461.539898299</v>
      </c>
      <c r="BB649" s="2">
        <f t="shared" ca="1" si="672"/>
        <v>1230529.230797966</v>
      </c>
      <c r="BC649" s="2">
        <f t="shared" ca="1" si="673"/>
        <v>35511435.861555807</v>
      </c>
      <c r="BD649" s="2">
        <f t="shared" ca="1" si="674"/>
        <v>-18055684.983677372</v>
      </c>
      <c r="BE649" s="2">
        <f t="shared" ca="1" si="675"/>
        <v>2174253.2156933472</v>
      </c>
      <c r="BF649" s="2">
        <f t="shared" ca="1" si="676"/>
        <v>2481235.3177799545</v>
      </c>
      <c r="BG649" s="2">
        <f t="shared" ca="1" si="677"/>
        <v>2736838.3075756514</v>
      </c>
      <c r="BH649" s="2">
        <f t="shared" ca="1" si="678"/>
        <v>3008253.1903635627</v>
      </c>
      <c r="BI649" s="2">
        <f t="shared" ca="1" si="679"/>
        <v>38807893.969466135</v>
      </c>
      <c r="BJ649" s="2">
        <f t="shared" ca="1" si="680"/>
        <v>0.26024222393425744</v>
      </c>
      <c r="BK649" s="2">
        <f t="shared" ca="1" si="681"/>
        <v>11744106.122273527</v>
      </c>
    </row>
    <row r="650" spans="1:63" x14ac:dyDescent="0.3">
      <c r="A650" s="2">
        <v>649</v>
      </c>
      <c r="B650" s="2">
        <f t="shared" ca="1" si="620"/>
        <v>0.37913170702846521</v>
      </c>
      <c r="C650" s="2">
        <f t="shared" ca="1" si="621"/>
        <v>6.8707832187501836</v>
      </c>
      <c r="D650" s="2">
        <f t="shared" ca="1" si="622"/>
        <v>0.77384183753935376</v>
      </c>
      <c r="E650" s="2">
        <f t="shared" ca="1" si="623"/>
        <v>7.8274553361141788</v>
      </c>
      <c r="F650" s="2">
        <f t="shared" ca="1" si="624"/>
        <v>4.5416876950717167E-2</v>
      </c>
      <c r="G650" s="2">
        <f t="shared" ca="1" si="625"/>
        <v>-1.0730478891686289E-2</v>
      </c>
      <c r="H650" s="2">
        <f t="shared" ca="1" si="626"/>
        <v>-1.0730478891686289E-2</v>
      </c>
      <c r="I650" s="2">
        <f t="shared" ca="1" si="627"/>
        <v>0.51878919637205623</v>
      </c>
      <c r="J650" s="2">
        <f t="shared" ca="1" si="628"/>
        <v>1.0235574780972451E-2</v>
      </c>
      <c r="K650" s="2">
        <f t="shared" ca="1" si="629"/>
        <v>1.0235574780972451E-2</v>
      </c>
      <c r="L650" s="2">
        <f t="shared" ca="1" si="630"/>
        <v>0.62437807183376981</v>
      </c>
      <c r="M650" s="2">
        <f t="shared" ca="1" si="631"/>
        <v>6.339993303021511E-3</v>
      </c>
      <c r="N650" s="2">
        <f t="shared" ca="1" si="632"/>
        <v>6.339993303021511E-3</v>
      </c>
      <c r="O650" s="2">
        <f t="shared" si="633"/>
        <v>6000000</v>
      </c>
      <c r="P650" s="2">
        <f t="shared" ca="1" si="634"/>
        <v>41224699.312501103</v>
      </c>
      <c r="Q650" s="2">
        <f t="shared" ca="1" si="635"/>
        <v>1030617.4828125276</v>
      </c>
      <c r="R650" s="2">
        <f t="shared" ca="1" si="636"/>
        <v>24734819.587500662</v>
      </c>
      <c r="S650" s="2">
        <f t="shared" ca="1" si="637"/>
        <v>16489879.725000441</v>
      </c>
      <c r="T650" s="2">
        <f t="shared" ca="1" si="638"/>
        <v>50316999.665151075</v>
      </c>
      <c r="U650" s="2">
        <f t="shared" ca="1" si="639"/>
        <v>49777074.162351184</v>
      </c>
      <c r="V650" s="2">
        <f t="shared" ca="1" si="640"/>
        <v>49242942.318762168</v>
      </c>
      <c r="W650" s="2">
        <f t="shared" ca="1" si="641"/>
        <v>48714541.965646163</v>
      </c>
      <c r="X650" s="2">
        <f t="shared" ca="1" si="642"/>
        <v>48191811.601365626</v>
      </c>
      <c r="Y650" s="2">
        <f t="shared" ca="1" si="643"/>
        <v>0.12511778739048623</v>
      </c>
      <c r="Z650" s="2">
        <f t="shared" ca="1" si="644"/>
        <v>0.12716490234668071</v>
      </c>
      <c r="AA650" s="2">
        <f t="shared" ca="1" si="645"/>
        <v>6295551.6662315391</v>
      </c>
      <c r="AB650" s="2">
        <f t="shared" ca="1" si="646"/>
        <v>6329896.7749588713</v>
      </c>
      <c r="AC650" s="2">
        <f t="shared" ca="1" si="647"/>
        <v>6261973.9512286223</v>
      </c>
      <c r="AD650" s="2">
        <f t="shared" ca="1" si="648"/>
        <v>6194779.9719246738</v>
      </c>
      <c r="AE650" s="2">
        <f t="shared" ca="1" si="649"/>
        <v>6128307.016197294</v>
      </c>
      <c r="AF650" s="2">
        <f t="shared" ca="1" si="650"/>
        <v>1006339.9933030215</v>
      </c>
      <c r="AG650" s="2">
        <f t="shared" ca="1" si="651"/>
        <v>995541.48324702366</v>
      </c>
      <c r="AH650" s="2">
        <f t="shared" ca="1" si="652"/>
        <v>984858.84637524339</v>
      </c>
      <c r="AI650" s="2">
        <f t="shared" ca="1" si="653"/>
        <v>974290.83931292326</v>
      </c>
      <c r="AJ650" s="2">
        <f t="shared" ca="1" si="654"/>
        <v>963836.23202731251</v>
      </c>
      <c r="AK650" s="2">
        <f t="shared" ca="1" si="655"/>
        <v>0</v>
      </c>
      <c r="AL650" s="2">
        <f t="shared" ca="1" si="656"/>
        <v>0</v>
      </c>
      <c r="AM650" s="2">
        <f t="shared" ca="1" si="657"/>
        <v>0</v>
      </c>
      <c r="AN650" s="2">
        <f t="shared" ca="1" si="658"/>
        <v>0</v>
      </c>
      <c r="AO650" s="2">
        <f t="shared" ca="1" si="659"/>
        <v>0</v>
      </c>
      <c r="AP650" s="2">
        <f t="shared" ca="1" si="660"/>
        <v>2226133.7628750596</v>
      </c>
      <c r="AQ650" s="2">
        <f t="shared" ca="1" si="661"/>
        <v>796400.25661389914</v>
      </c>
      <c r="AR650" s="2">
        <f t="shared" ca="1" si="662"/>
        <v>808137.59749756486</v>
      </c>
      <c r="AS650" s="2">
        <f t="shared" ca="1" si="663"/>
        <v>793255.148914363</v>
      </c>
      <c r="AT650" s="2">
        <f t="shared" ca="1" si="664"/>
        <v>778532.39613153972</v>
      </c>
      <c r="AU650" s="2">
        <f t="shared" ca="1" si="665"/>
        <v>763967.62553667964</v>
      </c>
      <c r="AV650" s="2">
        <f t="shared" ca="1" si="666"/>
        <v>2266677.653439559</v>
      </c>
      <c r="AW650" s="2">
        <f t="shared" ca="1" si="667"/>
        <v>2300083.9313392229</v>
      </c>
      <c r="AX650" s="2">
        <f t="shared" ca="1" si="668"/>
        <v>2257726.1930639558</v>
      </c>
      <c r="AY650" s="2">
        <f t="shared" ca="1" si="669"/>
        <v>2215822.9736051513</v>
      </c>
      <c r="AZ650" s="2">
        <f t="shared" ca="1" si="670"/>
        <v>2174369.3957582423</v>
      </c>
      <c r="BA650" s="2">
        <f t="shared" ca="1" si="671"/>
        <v>47969049.455279469</v>
      </c>
      <c r="BB650" s="2">
        <f t="shared" ca="1" si="672"/>
        <v>959380.98910558945</v>
      </c>
      <c r="BC650" s="2">
        <f t="shared" ca="1" si="673"/>
        <v>22274848.878673218</v>
      </c>
      <c r="BD650" s="2">
        <f t="shared" ca="1" si="674"/>
        <v>-18020497.207812969</v>
      </c>
      <c r="BE650" s="2">
        <f t="shared" ca="1" si="675"/>
        <v>2266677.653439559</v>
      </c>
      <c r="BF650" s="2">
        <f t="shared" ca="1" si="676"/>
        <v>2300083.9313392229</v>
      </c>
      <c r="BG650" s="2">
        <f t="shared" ca="1" si="677"/>
        <v>2257726.1930639558</v>
      </c>
      <c r="BH650" s="2">
        <f t="shared" ca="1" si="678"/>
        <v>2215822.9736051513</v>
      </c>
      <c r="BI650" s="2">
        <f t="shared" ca="1" si="679"/>
        <v>24449218.27443146</v>
      </c>
      <c r="BJ650" s="2">
        <f t="shared" ca="1" si="680"/>
        <v>0.1592632167327559</v>
      </c>
      <c r="BK650" s="2">
        <f t="shared" ca="1" si="681"/>
        <v>2725278.4712353945</v>
      </c>
    </row>
    <row r="651" spans="1:63" x14ac:dyDescent="0.3">
      <c r="A651" s="2">
        <v>650</v>
      </c>
      <c r="B651" s="2">
        <f t="shared" ca="1" si="620"/>
        <v>0.59664267081621258</v>
      </c>
      <c r="C651" s="2">
        <f t="shared" ca="1" si="621"/>
        <v>7.1018270442907028</v>
      </c>
      <c r="D651" s="2">
        <f t="shared" ca="1" si="622"/>
        <v>0.31366421340311368</v>
      </c>
      <c r="E651" s="2">
        <f t="shared" ca="1" si="623"/>
        <v>7.2920406724444318</v>
      </c>
      <c r="F651" s="2">
        <f t="shared" ca="1" si="624"/>
        <v>0.36283262462330312</v>
      </c>
      <c r="G651" s="2">
        <f t="shared" ca="1" si="625"/>
        <v>2.9473075086003005E-2</v>
      </c>
      <c r="H651" s="2">
        <f t="shared" ca="1" si="626"/>
        <v>2.9473075086003005E-2</v>
      </c>
      <c r="I651" s="2">
        <f t="shared" ca="1" si="627"/>
        <v>0.97306537450856889</v>
      </c>
      <c r="J651" s="2">
        <f t="shared" ca="1" si="628"/>
        <v>1.9639432270861054E-2</v>
      </c>
      <c r="K651" s="2">
        <f t="shared" ca="1" si="629"/>
        <v>1.9639432270861054E-2</v>
      </c>
      <c r="L651" s="2">
        <f t="shared" ca="1" si="630"/>
        <v>0.95189725993229857</v>
      </c>
      <c r="M651" s="2">
        <f t="shared" ca="1" si="631"/>
        <v>3.327069107068762E-2</v>
      </c>
      <c r="N651" s="2">
        <f t="shared" ca="1" si="632"/>
        <v>3.327069107068762E-2</v>
      </c>
      <c r="O651" s="2">
        <f t="shared" si="633"/>
        <v>6000000</v>
      </c>
      <c r="P651" s="2">
        <f t="shared" ca="1" si="634"/>
        <v>42610962.265744217</v>
      </c>
      <c r="Q651" s="2">
        <f t="shared" ca="1" si="635"/>
        <v>1065274.0566436055</v>
      </c>
      <c r="R651" s="2">
        <f t="shared" ca="1" si="636"/>
        <v>25566577.359446529</v>
      </c>
      <c r="S651" s="2">
        <f t="shared" ca="1" si="637"/>
        <v>17044384.906297687</v>
      </c>
      <c r="T651" s="2">
        <f t="shared" ca="1" si="638"/>
        <v>51663534.553534389</v>
      </c>
      <c r="U651" s="2">
        <f t="shared" ca="1" si="639"/>
        <v>53186217.78663902</v>
      </c>
      <c r="V651" s="2">
        <f t="shared" ca="1" si="640"/>
        <v>54753779.177005142</v>
      </c>
      <c r="W651" s="2">
        <f t="shared" ca="1" si="641"/>
        <v>56367541.421931446</v>
      </c>
      <c r="X651" s="2">
        <f t="shared" ca="1" si="642"/>
        <v>58028866.20267342</v>
      </c>
      <c r="Y651" s="2">
        <f t="shared" ca="1" si="643"/>
        <v>0.12981971613543053</v>
      </c>
      <c r="Z651" s="2">
        <f t="shared" ca="1" si="644"/>
        <v>0.13374760258960272</v>
      </c>
      <c r="AA651" s="2">
        <f t="shared" ca="1" si="645"/>
        <v>6706945.390292841</v>
      </c>
      <c r="AB651" s="2">
        <f t="shared" ca="1" si="646"/>
        <v>7113529.1197714554</v>
      </c>
      <c r="AC651" s="2">
        <f t="shared" ca="1" si="647"/>
        <v>7323186.697644948</v>
      </c>
      <c r="AD651" s="2">
        <f t="shared" ca="1" si="648"/>
        <v>7539023.5290534571</v>
      </c>
      <c r="AE651" s="2">
        <f t="shared" ca="1" si="649"/>
        <v>7761221.7356003933</v>
      </c>
      <c r="AF651" s="2">
        <f t="shared" ca="1" si="650"/>
        <v>1033270.6910706878</v>
      </c>
      <c r="AG651" s="2">
        <f t="shared" ca="1" si="651"/>
        <v>1063724.3557327804</v>
      </c>
      <c r="AH651" s="2">
        <f t="shared" ca="1" si="652"/>
        <v>1095075.5835401029</v>
      </c>
      <c r="AI651" s="2">
        <f t="shared" ca="1" si="653"/>
        <v>1127350.8284386289</v>
      </c>
      <c r="AJ651" s="2">
        <f t="shared" ca="1" si="654"/>
        <v>1160577.3240534684</v>
      </c>
      <c r="AK651" s="2">
        <f t="shared" ca="1" si="655"/>
        <v>0</v>
      </c>
      <c r="AL651" s="2">
        <f t="shared" ca="1" si="656"/>
        <v>15226.832331046313</v>
      </c>
      <c r="AM651" s="2">
        <f t="shared" ca="1" si="657"/>
        <v>15675.613903661222</v>
      </c>
      <c r="AN651" s="2">
        <f t="shared" ca="1" si="658"/>
        <v>16137.622449263037</v>
      </c>
      <c r="AO651" s="2">
        <f t="shared" ca="1" si="659"/>
        <v>16613.247807419746</v>
      </c>
      <c r="AP651" s="2">
        <f t="shared" ca="1" si="660"/>
        <v>2300991.9623501874</v>
      </c>
      <c r="AQ651" s="2">
        <f t="shared" ca="1" si="661"/>
        <v>876897.51158671116</v>
      </c>
      <c r="AR651" s="2">
        <f t="shared" ca="1" si="662"/>
        <v>974691.3284390067</v>
      </c>
      <c r="AS651" s="2">
        <f t="shared" ca="1" si="663"/>
        <v>1021050.979456211</v>
      </c>
      <c r="AT651" s="2">
        <f t="shared" ca="1" si="664"/>
        <v>1068776.9919488067</v>
      </c>
      <c r="AU651" s="2">
        <f t="shared" ca="1" si="665"/>
        <v>1117909.6367911517</v>
      </c>
      <c r="AV651" s="2">
        <f t="shared" ca="1" si="666"/>
        <v>2495785.2252852549</v>
      </c>
      <c r="AW651" s="2">
        <f t="shared" ca="1" si="667"/>
        <v>2758894.6409184341</v>
      </c>
      <c r="AX651" s="2">
        <f t="shared" ca="1" si="668"/>
        <v>2890392.5583947846</v>
      </c>
      <c r="AY651" s="2">
        <f t="shared" ca="1" si="669"/>
        <v>3025766.1238665716</v>
      </c>
      <c r="AZ651" s="2">
        <f t="shared" ca="1" si="670"/>
        <v>3165129.5645981659</v>
      </c>
      <c r="BA651" s="2">
        <f t="shared" ca="1" si="671"/>
        <v>56595144.563857831</v>
      </c>
      <c r="BB651" s="2">
        <f t="shared" ca="1" si="672"/>
        <v>1131902.8912771565</v>
      </c>
      <c r="BC651" s="2">
        <f t="shared" ca="1" si="673"/>
        <v>29896664.313134145</v>
      </c>
      <c r="BD651" s="2">
        <f t="shared" ca="1" si="674"/>
        <v>-18609658.962941293</v>
      </c>
      <c r="BE651" s="2">
        <f t="shared" ca="1" si="675"/>
        <v>2495785.2252852549</v>
      </c>
      <c r="BF651" s="2">
        <f t="shared" ca="1" si="676"/>
        <v>2758894.6409184341</v>
      </c>
      <c r="BG651" s="2">
        <f t="shared" ca="1" si="677"/>
        <v>2890392.5583947846</v>
      </c>
      <c r="BH651" s="2">
        <f t="shared" ca="1" si="678"/>
        <v>3025766.1238665716</v>
      </c>
      <c r="BI651" s="2">
        <f t="shared" ca="1" si="679"/>
        <v>33061793.87773231</v>
      </c>
      <c r="BJ651" s="2">
        <f t="shared" ca="1" si="680"/>
        <v>0.22772524295363583</v>
      </c>
      <c r="BK651" s="2">
        <f t="shared" ca="1" si="681"/>
        <v>8558497.7677329369</v>
      </c>
    </row>
    <row r="652" spans="1:63" x14ac:dyDescent="0.3">
      <c r="A652" s="2">
        <v>651</v>
      </c>
      <c r="B652" s="2">
        <f t="shared" ca="1" si="620"/>
        <v>0.13973757646610863</v>
      </c>
      <c r="C652" s="2">
        <f t="shared" ca="1" si="621"/>
        <v>6.5286540957301069</v>
      </c>
      <c r="D652" s="2">
        <f t="shared" ca="1" si="622"/>
        <v>0.32310056950866861</v>
      </c>
      <c r="E652" s="2">
        <f t="shared" ca="1" si="623"/>
        <v>7.3038663688806347</v>
      </c>
      <c r="F652" s="2">
        <f t="shared" ca="1" si="624"/>
        <v>0.5217020314267331</v>
      </c>
      <c r="G652" s="2">
        <f t="shared" ca="1" si="625"/>
        <v>4.1632773500691424E-2</v>
      </c>
      <c r="H652" s="2">
        <f t="shared" ca="1" si="626"/>
        <v>4.1632773500691424E-2</v>
      </c>
      <c r="I652" s="2">
        <f t="shared" ca="1" si="627"/>
        <v>0.33551874611743659</v>
      </c>
      <c r="J652" s="2">
        <f t="shared" ca="1" si="628"/>
        <v>7.8763772991876854E-3</v>
      </c>
      <c r="K652" s="2">
        <f t="shared" ca="1" si="629"/>
        <v>7.8763772991876854E-3</v>
      </c>
      <c r="L652" s="2">
        <f t="shared" ca="1" si="630"/>
        <v>0.4718303297202856</v>
      </c>
      <c r="M652" s="2">
        <f t="shared" ca="1" si="631"/>
        <v>-1.4133934215422466E-3</v>
      </c>
      <c r="N652" s="2">
        <f t="shared" ca="1" si="632"/>
        <v>-1.4133934215422466E-3</v>
      </c>
      <c r="O652" s="2">
        <f t="shared" si="633"/>
        <v>6000000</v>
      </c>
      <c r="P652" s="2">
        <f t="shared" ca="1" si="634"/>
        <v>39171924.574380644</v>
      </c>
      <c r="Q652" s="2">
        <f t="shared" ca="1" si="635"/>
        <v>979298.11435951618</v>
      </c>
      <c r="R652" s="2">
        <f t="shared" ca="1" si="636"/>
        <v>23503154.744628385</v>
      </c>
      <c r="S652" s="2">
        <f t="shared" ca="1" si="637"/>
        <v>15668769.829752259</v>
      </c>
      <c r="T652" s="2">
        <f t="shared" ca="1" si="638"/>
        <v>49929330.32892289</v>
      </c>
      <c r="U652" s="2">
        <f t="shared" ca="1" si="639"/>
        <v>52008026.829548135</v>
      </c>
      <c r="V652" s="2">
        <f t="shared" ca="1" si="640"/>
        <v>54173265.230760597</v>
      </c>
      <c r="W652" s="2">
        <f t="shared" ca="1" si="641"/>
        <v>56428648.51190573</v>
      </c>
      <c r="X652" s="2">
        <f t="shared" ca="1" si="642"/>
        <v>58777929.654352024</v>
      </c>
      <c r="Y652" s="2">
        <f t="shared" ca="1" si="643"/>
        <v>0.12393818864959384</v>
      </c>
      <c r="Z652" s="2">
        <f t="shared" ca="1" si="644"/>
        <v>0.12551346410943137</v>
      </c>
      <c r="AA652" s="2">
        <f t="shared" ca="1" si="645"/>
        <v>6188150.7614539322</v>
      </c>
      <c r="AB652" s="2">
        <f t="shared" ca="1" si="646"/>
        <v>6527707.6088728337</v>
      </c>
      <c r="AC652" s="2">
        <f t="shared" ca="1" si="647"/>
        <v>6799474.1812317763</v>
      </c>
      <c r="AD652" s="2">
        <f t="shared" ca="1" si="648"/>
        <v>7082555.1497427979</v>
      </c>
      <c r="AE652" s="2">
        <f t="shared" ca="1" si="649"/>
        <v>7377421.5640981952</v>
      </c>
      <c r="AF652" s="2">
        <f t="shared" ca="1" si="650"/>
        <v>998586.60657845787</v>
      </c>
      <c r="AG652" s="2">
        <f t="shared" ca="1" si="651"/>
        <v>1040160.5365909628</v>
      </c>
      <c r="AH652" s="2">
        <f t="shared" ca="1" si="652"/>
        <v>1083465.3046152119</v>
      </c>
      <c r="AI652" s="2">
        <f t="shared" ca="1" si="653"/>
        <v>1128572.9702381147</v>
      </c>
      <c r="AJ652" s="2">
        <f t="shared" ca="1" si="654"/>
        <v>1175558.5930870406</v>
      </c>
      <c r="AK652" s="2">
        <f t="shared" ca="1" si="655"/>
        <v>0</v>
      </c>
      <c r="AL652" s="2">
        <f t="shared" ca="1" si="656"/>
        <v>20786.965006252452</v>
      </c>
      <c r="AM652" s="2">
        <f t="shared" ca="1" si="657"/>
        <v>21652.384012124614</v>
      </c>
      <c r="AN652" s="2">
        <f t="shared" ca="1" si="658"/>
        <v>22553.832811451332</v>
      </c>
      <c r="AO652" s="2">
        <f t="shared" ca="1" si="659"/>
        <v>23492.811424462943</v>
      </c>
      <c r="AP652" s="2">
        <f t="shared" ca="1" si="660"/>
        <v>2115283.9270165544</v>
      </c>
      <c r="AQ652" s="2">
        <f t="shared" ca="1" si="661"/>
        <v>799312.85924331914</v>
      </c>
      <c r="AR652" s="2">
        <f t="shared" ca="1" si="662"/>
        <v>876788.41776898236</v>
      </c>
      <c r="AS652" s="2">
        <f t="shared" ca="1" si="663"/>
        <v>936188.48689600267</v>
      </c>
      <c r="AT652" s="2">
        <f t="shared" ca="1" si="664"/>
        <v>998061.54564691358</v>
      </c>
      <c r="AU652" s="2">
        <f t="shared" ca="1" si="665"/>
        <v>1062510.5514385961</v>
      </c>
      <c r="AV652" s="2">
        <f t="shared" ca="1" si="666"/>
        <v>2274967.3686156003</v>
      </c>
      <c r="AW652" s="2">
        <f t="shared" ca="1" si="667"/>
        <v>2474687.7624900816</v>
      </c>
      <c r="AX652" s="2">
        <f t="shared" ca="1" si="668"/>
        <v>2642884.078691883</v>
      </c>
      <c r="AY652" s="2">
        <f t="shared" ca="1" si="669"/>
        <v>2818082.874029764</v>
      </c>
      <c r="AZ652" s="2">
        <f t="shared" ca="1" si="670"/>
        <v>3000575.6811315408</v>
      </c>
      <c r="BA652" s="2">
        <f t="shared" ca="1" si="671"/>
        <v>53883701.25107158</v>
      </c>
      <c r="BB652" s="2">
        <f t="shared" ca="1" si="672"/>
        <v>1077674.0250214315</v>
      </c>
      <c r="BC652" s="2">
        <f t="shared" ca="1" si="673"/>
        <v>29302872.481421765</v>
      </c>
      <c r="BD652" s="2">
        <f t="shared" ca="1" si="674"/>
        <v>-17148067.944111776</v>
      </c>
      <c r="BE652" s="2">
        <f t="shared" ca="1" si="675"/>
        <v>2274967.3686156003</v>
      </c>
      <c r="BF652" s="2">
        <f t="shared" ca="1" si="676"/>
        <v>2474687.7624900816</v>
      </c>
      <c r="BG652" s="2">
        <f t="shared" ca="1" si="677"/>
        <v>2642884.078691883</v>
      </c>
      <c r="BH652" s="2">
        <f t="shared" ca="1" si="678"/>
        <v>2818082.874029764</v>
      </c>
      <c r="BI652" s="2">
        <f t="shared" ca="1" si="679"/>
        <v>32303448.162553307</v>
      </c>
      <c r="BJ652" s="2">
        <f t="shared" ca="1" si="680"/>
        <v>0.23808957758246074</v>
      </c>
      <c r="BK652" s="2">
        <f t="shared" ca="1" si="681"/>
        <v>8857898.1709398776</v>
      </c>
    </row>
    <row r="653" spans="1:63" x14ac:dyDescent="0.3">
      <c r="A653" s="2">
        <v>652</v>
      </c>
      <c r="B653" s="2">
        <f t="shared" ca="1" si="620"/>
        <v>0.66128836806631131</v>
      </c>
      <c r="C653" s="2">
        <f t="shared" ca="1" si="621"/>
        <v>7.1769427335431768</v>
      </c>
      <c r="D653" s="2">
        <f t="shared" ca="1" si="622"/>
        <v>0.65759760280429735</v>
      </c>
      <c r="E653" s="2">
        <f t="shared" ca="1" si="623"/>
        <v>7.672470668561286</v>
      </c>
      <c r="F653" s="2">
        <f t="shared" ca="1" si="624"/>
        <v>0.75062607252524338</v>
      </c>
      <c r="G653" s="2">
        <f t="shared" ca="1" si="625"/>
        <v>6.0293836823078019E-2</v>
      </c>
      <c r="H653" s="2">
        <f t="shared" ca="1" si="626"/>
        <v>6.0293836823078019E-2</v>
      </c>
      <c r="I653" s="2">
        <f t="shared" ca="1" si="627"/>
        <v>0.8432346619079274</v>
      </c>
      <c r="J653" s="2">
        <f t="shared" ca="1" si="628"/>
        <v>1.5039206283927617E-2</v>
      </c>
      <c r="K653" s="2">
        <f t="shared" ca="1" si="629"/>
        <v>1.5039206283927617E-2</v>
      </c>
      <c r="L653" s="2">
        <f t="shared" ca="1" si="630"/>
        <v>0.27895974292166936</v>
      </c>
      <c r="M653" s="2">
        <f t="shared" ca="1" si="631"/>
        <v>-1.1718691374271631E-2</v>
      </c>
      <c r="N653" s="2">
        <f t="shared" ca="1" si="632"/>
        <v>-1.1718691374271631E-2</v>
      </c>
      <c r="O653" s="2">
        <f t="shared" si="633"/>
        <v>6000000</v>
      </c>
      <c r="P653" s="2">
        <f t="shared" ca="1" si="634"/>
        <v>43061656.401259057</v>
      </c>
      <c r="Q653" s="2">
        <f t="shared" ca="1" si="635"/>
        <v>1076541.4100314765</v>
      </c>
      <c r="R653" s="2">
        <f t="shared" ca="1" si="636"/>
        <v>25836993.840755433</v>
      </c>
      <c r="S653" s="2">
        <f t="shared" ca="1" si="637"/>
        <v>17224662.560503624</v>
      </c>
      <c r="T653" s="2">
        <f t="shared" ca="1" si="638"/>
        <v>49414065.431286417</v>
      </c>
      <c r="U653" s="2">
        <f t="shared" ca="1" si="639"/>
        <v>52393429.029165305</v>
      </c>
      <c r="V653" s="2">
        <f t="shared" ca="1" si="640"/>
        <v>55552429.889651321</v>
      </c>
      <c r="W653" s="2">
        <f t="shared" ca="1" si="641"/>
        <v>58901899.032543443</v>
      </c>
      <c r="X653" s="2">
        <f t="shared" ca="1" si="642"/>
        <v>62453320.521381035</v>
      </c>
      <c r="Y653" s="2">
        <f t="shared" ca="1" si="643"/>
        <v>0.12751960314196381</v>
      </c>
      <c r="Z653" s="2">
        <f t="shared" ca="1" si="644"/>
        <v>0.13052744439874933</v>
      </c>
      <c r="AA653" s="2">
        <f t="shared" ca="1" si="645"/>
        <v>6301262.0134286769</v>
      </c>
      <c r="AB653" s="2">
        <f t="shared" ca="1" si="646"/>
        <v>6838780.3944641938</v>
      </c>
      <c r="AC653" s="2">
        <f t="shared" ca="1" si="647"/>
        <v>7251116.7036368828</v>
      </c>
      <c r="AD653" s="2">
        <f t="shared" ca="1" si="648"/>
        <v>7688314.3509510616</v>
      </c>
      <c r="AE653" s="2">
        <f t="shared" ca="1" si="649"/>
        <v>8151872.3218718339</v>
      </c>
      <c r="AF653" s="2">
        <f t="shared" ca="1" si="650"/>
        <v>988281.30862572836</v>
      </c>
      <c r="AG653" s="2">
        <f t="shared" ca="1" si="651"/>
        <v>1047868.5805833061</v>
      </c>
      <c r="AH653" s="2">
        <f t="shared" ca="1" si="652"/>
        <v>1111048.5977930264</v>
      </c>
      <c r="AI653" s="2">
        <f t="shared" ca="1" si="653"/>
        <v>1178037.980650869</v>
      </c>
      <c r="AJ653" s="2">
        <f t="shared" ca="1" si="654"/>
        <v>1249066.4104276206</v>
      </c>
      <c r="AK653" s="2">
        <f t="shared" ca="1" si="655"/>
        <v>0</v>
      </c>
      <c r="AL653" s="2">
        <f t="shared" ca="1" si="656"/>
        <v>29793.635978788883</v>
      </c>
      <c r="AM653" s="2">
        <f t="shared" ca="1" si="657"/>
        <v>31590.008604860159</v>
      </c>
      <c r="AN653" s="2">
        <f t="shared" ca="1" si="658"/>
        <v>33494.691428921222</v>
      </c>
      <c r="AO653" s="2">
        <f t="shared" ca="1" si="659"/>
        <v>35514.214888375922</v>
      </c>
      <c r="AP653" s="2">
        <f t="shared" ca="1" si="660"/>
        <v>2325329.4456679891</v>
      </c>
      <c r="AQ653" s="2">
        <f t="shared" ca="1" si="661"/>
        <v>776789.32737508963</v>
      </c>
      <c r="AR653" s="2">
        <f t="shared" ca="1" si="662"/>
        <v>901051.41573535372</v>
      </c>
      <c r="AS653" s="2">
        <f t="shared" ca="1" si="663"/>
        <v>991832.05164572562</v>
      </c>
      <c r="AT653" s="2">
        <f t="shared" ca="1" si="664"/>
        <v>1088086.200404373</v>
      </c>
      <c r="AU653" s="2">
        <f t="shared" ca="1" si="665"/>
        <v>1190143.8811018183</v>
      </c>
      <c r="AV653" s="2">
        <f t="shared" ca="1" si="666"/>
        <v>2210861.9317598701</v>
      </c>
      <c r="AW653" s="2">
        <f t="shared" ca="1" si="667"/>
        <v>2534737.3164987559</v>
      </c>
      <c r="AX653" s="2">
        <f t="shared" ca="1" si="668"/>
        <v>2791316.5999252819</v>
      </c>
      <c r="AY653" s="2">
        <f t="shared" ca="1" si="669"/>
        <v>3063366.0327989091</v>
      </c>
      <c r="AZ653" s="2">
        <f t="shared" ca="1" si="670"/>
        <v>3351818.3697860301</v>
      </c>
      <c r="BA653" s="2">
        <f t="shared" ca="1" si="671"/>
        <v>62545001.283418231</v>
      </c>
      <c r="BB653" s="2">
        <f t="shared" ca="1" si="672"/>
        <v>1250900.0256683647</v>
      </c>
      <c r="BC653" s="2">
        <f t="shared" ca="1" si="673"/>
        <v>35457107.41699443</v>
      </c>
      <c r="BD653" s="2">
        <f t="shared" ca="1" si="674"/>
        <v>-18801203.9705351</v>
      </c>
      <c r="BE653" s="2">
        <f t="shared" ca="1" si="675"/>
        <v>2210861.9317598701</v>
      </c>
      <c r="BF653" s="2">
        <f t="shared" ca="1" si="676"/>
        <v>2534737.3164987559</v>
      </c>
      <c r="BG653" s="2">
        <f t="shared" ca="1" si="677"/>
        <v>2791316.5999252819</v>
      </c>
      <c r="BH653" s="2">
        <f t="shared" ca="1" si="678"/>
        <v>3063366.0327989091</v>
      </c>
      <c r="BI653" s="2">
        <f t="shared" ca="1" si="679"/>
        <v>38808925.786780462</v>
      </c>
      <c r="BJ653" s="2">
        <f t="shared" ca="1" si="680"/>
        <v>0.24984818384209917</v>
      </c>
      <c r="BK653" s="2">
        <f t="shared" ca="1" si="681"/>
        <v>11148312.215865351</v>
      </c>
    </row>
    <row r="654" spans="1:63" x14ac:dyDescent="0.3">
      <c r="A654" s="2">
        <v>653</v>
      </c>
      <c r="B654" s="2">
        <f t="shared" ca="1" si="620"/>
        <v>3.7438883501408227E-2</v>
      </c>
      <c r="C654" s="2">
        <f t="shared" ca="1" si="621"/>
        <v>6.2736380218515269</v>
      </c>
      <c r="D654" s="2">
        <f t="shared" ca="1" si="622"/>
        <v>0.18334327694274066</v>
      </c>
      <c r="E654" s="2">
        <f t="shared" ca="1" si="623"/>
        <v>7.1055464919273179</v>
      </c>
      <c r="F654" s="2">
        <f t="shared" ca="1" si="624"/>
        <v>0.33724485239051272</v>
      </c>
      <c r="G654" s="2">
        <f t="shared" ca="1" si="625"/>
        <v>2.7400174576256351E-2</v>
      </c>
      <c r="H654" s="2">
        <f t="shared" ca="1" si="626"/>
        <v>2.7400174576256351E-2</v>
      </c>
      <c r="I654" s="2">
        <f t="shared" ca="1" si="627"/>
        <v>0.2553370608808424</v>
      </c>
      <c r="J654" s="2">
        <f t="shared" ca="1" si="628"/>
        <v>6.7110580971866968E-3</v>
      </c>
      <c r="K654" s="2">
        <f t="shared" ca="1" si="629"/>
        <v>6.7110580971866968E-3</v>
      </c>
      <c r="L654" s="2">
        <f t="shared" ca="1" si="630"/>
        <v>3.1839450834047378E-2</v>
      </c>
      <c r="M654" s="2">
        <f t="shared" ca="1" si="631"/>
        <v>-3.7088427142080382E-2</v>
      </c>
      <c r="N654" s="2">
        <f t="shared" ca="1" si="632"/>
        <v>-3.7088427142080382E-2</v>
      </c>
      <c r="O654" s="2">
        <f t="shared" si="633"/>
        <v>6000000</v>
      </c>
      <c r="P654" s="2">
        <f t="shared" ca="1" si="634"/>
        <v>37641828.131109163</v>
      </c>
      <c r="Q654" s="2">
        <f t="shared" ca="1" si="635"/>
        <v>941045.7032777291</v>
      </c>
      <c r="R654" s="2">
        <f t="shared" ca="1" si="636"/>
        <v>22585096.878665496</v>
      </c>
      <c r="S654" s="2">
        <f t="shared" ca="1" si="637"/>
        <v>15056731.252443666</v>
      </c>
      <c r="T654" s="2">
        <f t="shared" ca="1" si="638"/>
        <v>48145578.642895982</v>
      </c>
      <c r="U654" s="2">
        <f t="shared" ca="1" si="639"/>
        <v>49464775.902786218</v>
      </c>
      <c r="V654" s="2">
        <f t="shared" ca="1" si="640"/>
        <v>50820119.397897959</v>
      </c>
      <c r="W654" s="2">
        <f t="shared" ca="1" si="641"/>
        <v>52212599.54138656</v>
      </c>
      <c r="X654" s="2">
        <f t="shared" ca="1" si="642"/>
        <v>53643233.883900717</v>
      </c>
      <c r="Y654" s="2">
        <f t="shared" ca="1" si="643"/>
        <v>0.12335552904859334</v>
      </c>
      <c r="Z654" s="2">
        <f t="shared" ca="1" si="644"/>
        <v>0.12469774066803069</v>
      </c>
      <c r="AA654" s="2">
        <f t="shared" ca="1" si="645"/>
        <v>5939023.3248450905</v>
      </c>
      <c r="AB654" s="2">
        <f t="shared" ca="1" si="646"/>
        <v>6168145.7977278894</v>
      </c>
      <c r="AC654" s="2">
        <f t="shared" ca="1" si="647"/>
        <v>6337154.0693974355</v>
      </c>
      <c r="AD654" s="2">
        <f t="shared" ca="1" si="648"/>
        <v>6510793.197215559</v>
      </c>
      <c r="AE654" s="2">
        <f t="shared" ca="1" si="649"/>
        <v>6689190.0674491683</v>
      </c>
      <c r="AF654" s="2">
        <f t="shared" ca="1" si="650"/>
        <v>962911.57285791961</v>
      </c>
      <c r="AG654" s="2">
        <f t="shared" ca="1" si="651"/>
        <v>989295.51805572433</v>
      </c>
      <c r="AH654" s="2">
        <f t="shared" ca="1" si="652"/>
        <v>1016402.3879579592</v>
      </c>
      <c r="AI654" s="2">
        <f t="shared" ca="1" si="653"/>
        <v>1044251.9908277312</v>
      </c>
      <c r="AJ654" s="2">
        <f t="shared" ca="1" si="654"/>
        <v>1072864.6776780144</v>
      </c>
      <c r="AK654" s="2">
        <f t="shared" ca="1" si="655"/>
        <v>0</v>
      </c>
      <c r="AL654" s="2">
        <f t="shared" ca="1" si="656"/>
        <v>13191.972598902359</v>
      </c>
      <c r="AM654" s="2">
        <f t="shared" ca="1" si="657"/>
        <v>13553.434951117411</v>
      </c>
      <c r="AN654" s="2">
        <f t="shared" ca="1" si="658"/>
        <v>13924.801434886009</v>
      </c>
      <c r="AO654" s="2">
        <f t="shared" ca="1" si="659"/>
        <v>14306.343425141573</v>
      </c>
      <c r="AP654" s="2">
        <f t="shared" ca="1" si="660"/>
        <v>2032658.7190798945</v>
      </c>
      <c r="AQ654" s="2">
        <f t="shared" ca="1" si="661"/>
        <v>765297.78855589172</v>
      </c>
      <c r="AR654" s="2">
        <f t="shared" ca="1" si="662"/>
        <v>818009.80575399043</v>
      </c>
      <c r="AS654" s="2">
        <f t="shared" ca="1" si="663"/>
        <v>854904.17021349119</v>
      </c>
      <c r="AT654" s="2">
        <f t="shared" ca="1" si="664"/>
        <v>892809.44670006272</v>
      </c>
      <c r="AU654" s="2">
        <f t="shared" ca="1" si="665"/>
        <v>931753.3343797276</v>
      </c>
      <c r="AV654" s="2">
        <f t="shared" ca="1" si="666"/>
        <v>2178155.2443513838</v>
      </c>
      <c r="AW654" s="2">
        <f t="shared" ca="1" si="667"/>
        <v>2314989.7822393789</v>
      </c>
      <c r="AX654" s="2">
        <f t="shared" ca="1" si="668"/>
        <v>2419635.3571949736</v>
      </c>
      <c r="AY654" s="2">
        <f t="shared" ca="1" si="669"/>
        <v>2527148.2391729853</v>
      </c>
      <c r="AZ654" s="2">
        <f t="shared" ca="1" si="670"/>
        <v>2637606.9928863901</v>
      </c>
      <c r="BA654" s="2">
        <f t="shared" ca="1" si="671"/>
        <v>47530351.017598495</v>
      </c>
      <c r="BB654" s="2">
        <f t="shared" ca="1" si="672"/>
        <v>950607.02035196987</v>
      </c>
      <c r="BC654" s="2">
        <f t="shared" ca="1" si="673"/>
        <v>23994647.118581031</v>
      </c>
      <c r="BD654" s="2">
        <f t="shared" ca="1" si="674"/>
        <v>-16497776.955721395</v>
      </c>
      <c r="BE654" s="2">
        <f t="shared" ca="1" si="675"/>
        <v>2178155.2443513838</v>
      </c>
      <c r="BF654" s="2">
        <f t="shared" ca="1" si="676"/>
        <v>2314989.7822393789</v>
      </c>
      <c r="BG654" s="2">
        <f t="shared" ca="1" si="677"/>
        <v>2419635.3571949736</v>
      </c>
      <c r="BH654" s="2">
        <f t="shared" ca="1" si="678"/>
        <v>2527148.2391729853</v>
      </c>
      <c r="BI654" s="2">
        <f t="shared" ca="1" si="679"/>
        <v>26632254.111467421</v>
      </c>
      <c r="BJ654" s="2">
        <f t="shared" ca="1" si="680"/>
        <v>0.20442587298436155</v>
      </c>
      <c r="BK654" s="2">
        <f t="shared" ca="1" si="681"/>
        <v>5732653.4515782762</v>
      </c>
    </row>
    <row r="655" spans="1:63" x14ac:dyDescent="0.3">
      <c r="A655" s="2">
        <v>654</v>
      </c>
      <c r="B655" s="2">
        <f t="shared" ca="1" si="620"/>
        <v>0.38562089291392887</v>
      </c>
      <c r="C655" s="2">
        <f t="shared" ca="1" si="621"/>
        <v>6.8782037268355545</v>
      </c>
      <c r="D655" s="2">
        <f t="shared" ca="1" si="622"/>
        <v>0.72861343064231732</v>
      </c>
      <c r="E655" s="2">
        <f t="shared" ca="1" si="623"/>
        <v>7.7632686115582112</v>
      </c>
      <c r="F655" s="2">
        <f t="shared" ca="1" si="624"/>
        <v>0.87302708155269837</v>
      </c>
      <c r="G655" s="2">
        <f t="shared" ca="1" si="625"/>
        <v>7.4224527860419498E-2</v>
      </c>
      <c r="H655" s="2">
        <f t="shared" ca="1" si="626"/>
        <v>7.4224527860419498E-2</v>
      </c>
      <c r="I655" s="2">
        <f t="shared" ca="1" si="627"/>
        <v>0.36698386577749342</v>
      </c>
      <c r="J655" s="2">
        <f t="shared" ca="1" si="628"/>
        <v>8.3007383124910315E-3</v>
      </c>
      <c r="K655" s="2">
        <f t="shared" ca="1" si="629"/>
        <v>8.3007383124910315E-3</v>
      </c>
      <c r="L655" s="2">
        <f t="shared" ca="1" si="630"/>
        <v>0.435070233242288</v>
      </c>
      <c r="M655" s="2">
        <f t="shared" ca="1" si="631"/>
        <v>-3.2696013339302121E-3</v>
      </c>
      <c r="N655" s="2">
        <f t="shared" ca="1" si="632"/>
        <v>-3.2696013339302121E-3</v>
      </c>
      <c r="O655" s="2">
        <f t="shared" si="633"/>
        <v>6000000</v>
      </c>
      <c r="P655" s="2">
        <f t="shared" ca="1" si="634"/>
        <v>41269222.361013331</v>
      </c>
      <c r="Q655" s="2">
        <f t="shared" ca="1" si="635"/>
        <v>1031730.5590253333</v>
      </c>
      <c r="R655" s="2">
        <f t="shared" ca="1" si="636"/>
        <v>24761533.416607998</v>
      </c>
      <c r="S655" s="2">
        <f t="shared" ca="1" si="637"/>
        <v>16507688.944405332</v>
      </c>
      <c r="T655" s="2">
        <f t="shared" ca="1" si="638"/>
        <v>49836519.93330349</v>
      </c>
      <c r="U655" s="2">
        <f t="shared" ca="1" si="639"/>
        <v>53535612.095559321</v>
      </c>
      <c r="V655" s="2">
        <f t="shared" ca="1" si="640"/>
        <v>57509267.62707077</v>
      </c>
      <c r="W655" s="2">
        <f t="shared" ca="1" si="641"/>
        <v>61777865.864288598</v>
      </c>
      <c r="X655" s="2">
        <f t="shared" ca="1" si="642"/>
        <v>66363298.790289745</v>
      </c>
      <c r="Y655" s="2">
        <f t="shared" ca="1" si="643"/>
        <v>0.12415036915624551</v>
      </c>
      <c r="Z655" s="2">
        <f t="shared" ca="1" si="644"/>
        <v>0.12581051681874372</v>
      </c>
      <c r="AA655" s="2">
        <f t="shared" ca="1" si="645"/>
        <v>6187222.3471822161</v>
      </c>
      <c r="AB655" s="2">
        <f t="shared" ca="1" si="646"/>
        <v>6735343.0259501059</v>
      </c>
      <c r="AC655" s="2">
        <f t="shared" ca="1" si="647"/>
        <v>7235270.6820292212</v>
      </c>
      <c r="AD655" s="2">
        <f t="shared" ca="1" si="648"/>
        <v>7772305.2323451741</v>
      </c>
      <c r="AE655" s="2">
        <f t="shared" ca="1" si="649"/>
        <v>8349200.9186030626</v>
      </c>
      <c r="AF655" s="2">
        <f t="shared" ca="1" si="650"/>
        <v>996730.39866606984</v>
      </c>
      <c r="AG655" s="2">
        <f t="shared" ca="1" si="651"/>
        <v>1070712.2419111864</v>
      </c>
      <c r="AH655" s="2">
        <f t="shared" ca="1" si="652"/>
        <v>1150185.3525414155</v>
      </c>
      <c r="AI655" s="2">
        <f t="shared" ca="1" si="653"/>
        <v>1235557.3172857719</v>
      </c>
      <c r="AJ655" s="2">
        <f t="shared" ca="1" si="654"/>
        <v>1327265.9758057948</v>
      </c>
      <c r="AK655" s="2">
        <f t="shared" ca="1" si="655"/>
        <v>0</v>
      </c>
      <c r="AL655" s="2">
        <f t="shared" ca="1" si="656"/>
        <v>36990.921622558315</v>
      </c>
      <c r="AM655" s="2">
        <f t="shared" ca="1" si="657"/>
        <v>39736.555315114485</v>
      </c>
      <c r="AN655" s="2">
        <f t="shared" ca="1" si="658"/>
        <v>42685.982372178289</v>
      </c>
      <c r="AO655" s="2">
        <f t="shared" ca="1" si="659"/>
        <v>45854.329260011466</v>
      </c>
      <c r="AP655" s="2">
        <f t="shared" ca="1" si="660"/>
        <v>2228538.0074947197</v>
      </c>
      <c r="AQ655" s="2">
        <f t="shared" ca="1" si="661"/>
        <v>770108.02466557093</v>
      </c>
      <c r="AR655" s="2">
        <f t="shared" ca="1" si="662"/>
        <v>893384.12190149212</v>
      </c>
      <c r="AS655" s="2">
        <f t="shared" ca="1" si="663"/>
        <v>1002702.3037182025</v>
      </c>
      <c r="AT655" s="2">
        <f t="shared" ca="1" si="664"/>
        <v>1120134.5759668176</v>
      </c>
      <c r="AU655" s="2">
        <f t="shared" ca="1" si="665"/>
        <v>1246283.2031786626</v>
      </c>
      <c r="AV655" s="2">
        <f t="shared" ca="1" si="666"/>
        <v>2191845.9163558558</v>
      </c>
      <c r="AW655" s="2">
        <f t="shared" ca="1" si="667"/>
        <v>2505717.7330201492</v>
      </c>
      <c r="AX655" s="2">
        <f t="shared" ca="1" si="668"/>
        <v>2814108.4629597692</v>
      </c>
      <c r="AY655" s="2">
        <f t="shared" ca="1" si="669"/>
        <v>3145389.3492256869</v>
      </c>
      <c r="AZ655" s="2">
        <f t="shared" ca="1" si="670"/>
        <v>3501259.4028638741</v>
      </c>
      <c r="BA655" s="2">
        <f t="shared" ca="1" si="671"/>
        <v>64817089.422984138</v>
      </c>
      <c r="BB655" s="2">
        <f t="shared" ca="1" si="672"/>
        <v>1296341.7884596828</v>
      </c>
      <c r="BC655" s="2">
        <f t="shared" ca="1" si="673"/>
        <v>38759214.217916459</v>
      </c>
      <c r="BD655" s="2">
        <f t="shared" ca="1" si="674"/>
        <v>-18039419.503430665</v>
      </c>
      <c r="BE655" s="2">
        <f t="shared" ca="1" si="675"/>
        <v>2191845.9163558558</v>
      </c>
      <c r="BF655" s="2">
        <f t="shared" ca="1" si="676"/>
        <v>2505717.7330201492</v>
      </c>
      <c r="BG655" s="2">
        <f t="shared" ca="1" si="677"/>
        <v>2814108.4629597692</v>
      </c>
      <c r="BH655" s="2">
        <f t="shared" ca="1" si="678"/>
        <v>3145389.3492256869</v>
      </c>
      <c r="BI655" s="2">
        <f t="shared" ca="1" si="679"/>
        <v>42260473.620780334</v>
      </c>
      <c r="BJ655" s="2">
        <f t="shared" ca="1" si="680"/>
        <v>0.28026246065243332</v>
      </c>
      <c r="BK655" s="2">
        <f t="shared" ca="1" si="681"/>
        <v>13896834.896677043</v>
      </c>
    </row>
    <row r="656" spans="1:63" x14ac:dyDescent="0.3">
      <c r="A656" s="2">
        <v>655</v>
      </c>
      <c r="B656" s="2">
        <f t="shared" ca="1" si="620"/>
        <v>0.61528450545925162</v>
      </c>
      <c r="C656" s="2">
        <f t="shared" ca="1" si="621"/>
        <v>7.1228278452427389</v>
      </c>
      <c r="D656" s="2">
        <f t="shared" ca="1" si="622"/>
        <v>0.14195358893209453</v>
      </c>
      <c r="E656" s="2">
        <f t="shared" ca="1" si="623"/>
        <v>7.0328294078447522</v>
      </c>
      <c r="F656" s="2">
        <f t="shared" ca="1" si="624"/>
        <v>0.16131087878836214</v>
      </c>
      <c r="G656" s="2">
        <f t="shared" ca="1" si="625"/>
        <v>1.0327462365546686E-2</v>
      </c>
      <c r="H656" s="2">
        <f t="shared" ca="1" si="626"/>
        <v>1.0327462365546686E-2</v>
      </c>
      <c r="I656" s="2">
        <f t="shared" ca="1" si="627"/>
        <v>0.93366140129069441</v>
      </c>
      <c r="J656" s="2">
        <f t="shared" ca="1" si="628"/>
        <v>1.7518139611965616E-2</v>
      </c>
      <c r="K656" s="2">
        <f t="shared" ca="1" si="629"/>
        <v>1.7518139611965616E-2</v>
      </c>
      <c r="L656" s="2">
        <f t="shared" ca="1" si="630"/>
        <v>0.45644070460815522</v>
      </c>
      <c r="M656" s="2">
        <f t="shared" ca="1" si="631"/>
        <v>-2.1880964422534717E-3</v>
      </c>
      <c r="N656" s="2">
        <f t="shared" ca="1" si="632"/>
        <v>-2.1880964422534717E-3</v>
      </c>
      <c r="O656" s="2">
        <f t="shared" si="633"/>
        <v>6000000</v>
      </c>
      <c r="P656" s="2">
        <f t="shared" ca="1" si="634"/>
        <v>42736967.071456432</v>
      </c>
      <c r="Q656" s="2">
        <f t="shared" ca="1" si="635"/>
        <v>1068424.1767864109</v>
      </c>
      <c r="R656" s="2">
        <f t="shared" ca="1" si="636"/>
        <v>25642180.242873859</v>
      </c>
      <c r="S656" s="2">
        <f t="shared" ca="1" si="637"/>
        <v>17094786.828582574</v>
      </c>
      <c r="T656" s="2">
        <f t="shared" ca="1" si="638"/>
        <v>49890595.177887328</v>
      </c>
      <c r="U656" s="2">
        <f t="shared" ca="1" si="639"/>
        <v>50405838.421981685</v>
      </c>
      <c r="V656" s="2">
        <f t="shared" ca="1" si="640"/>
        <v>50926402.821288526</v>
      </c>
      <c r="W656" s="2">
        <f t="shared" ca="1" si="641"/>
        <v>51452343.329838052</v>
      </c>
      <c r="X656" s="2">
        <f t="shared" ca="1" si="642"/>
        <v>51983715.469196141</v>
      </c>
      <c r="Y656" s="2">
        <f t="shared" ca="1" si="643"/>
        <v>0.12875906980598281</v>
      </c>
      <c r="Z656" s="2">
        <f t="shared" ca="1" si="644"/>
        <v>0.13226269772837593</v>
      </c>
      <c r="AA656" s="2">
        <f t="shared" ca="1" si="645"/>
        <v>6423866.6271716235</v>
      </c>
      <c r="AB656" s="2">
        <f t="shared" ca="1" si="646"/>
        <v>6666812.1709519215</v>
      </c>
      <c r="AC656" s="2">
        <f t="shared" ca="1" si="647"/>
        <v>6735663.4227455957</v>
      </c>
      <c r="AD656" s="2">
        <f t="shared" ca="1" si="648"/>
        <v>6805225.7332509896</v>
      </c>
      <c r="AE656" s="2">
        <f t="shared" ca="1" si="649"/>
        <v>6875506.4459001888</v>
      </c>
      <c r="AF656" s="2">
        <f t="shared" ca="1" si="650"/>
        <v>997811.90355774655</v>
      </c>
      <c r="AG656" s="2">
        <f t="shared" ca="1" si="651"/>
        <v>1008116.7684396338</v>
      </c>
      <c r="AH656" s="2">
        <f t="shared" ca="1" si="652"/>
        <v>1018528.0564257705</v>
      </c>
      <c r="AI656" s="2">
        <f t="shared" ca="1" si="653"/>
        <v>1029046.866596761</v>
      </c>
      <c r="AJ656" s="2">
        <f t="shared" ca="1" si="654"/>
        <v>1039674.3093839228</v>
      </c>
      <c r="AK656" s="2">
        <f t="shared" ca="1" si="655"/>
        <v>0</v>
      </c>
      <c r="AL656" s="2">
        <f t="shared" ca="1" si="656"/>
        <v>5152.4324409435694</v>
      </c>
      <c r="AM656" s="2">
        <f t="shared" ca="1" si="657"/>
        <v>5205.6439930684119</v>
      </c>
      <c r="AN656" s="2">
        <f t="shared" ca="1" si="658"/>
        <v>5259.4050854952638</v>
      </c>
      <c r="AO656" s="2">
        <f t="shared" ca="1" si="659"/>
        <v>5313.7213935808841</v>
      </c>
      <c r="AP656" s="2">
        <f t="shared" ca="1" si="660"/>
        <v>2307796.2218586472</v>
      </c>
      <c r="AQ656" s="2">
        <f t="shared" ca="1" si="661"/>
        <v>810747.21045635978</v>
      </c>
      <c r="AR656" s="2">
        <f t="shared" ca="1" si="662"/>
        <v>871233.78696994658</v>
      </c>
      <c r="AS656" s="2">
        <f t="shared" ca="1" si="663"/>
        <v>886428.17755990627</v>
      </c>
      <c r="AT656" s="2">
        <f t="shared" ca="1" si="664"/>
        <v>901779.48764685111</v>
      </c>
      <c r="AU656" s="2">
        <f t="shared" ca="1" si="665"/>
        <v>917289.33781098085</v>
      </c>
      <c r="AV656" s="2">
        <f t="shared" ca="1" si="666"/>
        <v>2307511.2912988695</v>
      </c>
      <c r="AW656" s="2">
        <f t="shared" ca="1" si="667"/>
        <v>2474512.9612427498</v>
      </c>
      <c r="AX656" s="2">
        <f t="shared" ca="1" si="668"/>
        <v>2517705.3229082027</v>
      </c>
      <c r="AY656" s="2">
        <f t="shared" ca="1" si="669"/>
        <v>2561343.7520632348</v>
      </c>
      <c r="AZ656" s="2">
        <f t="shared" ca="1" si="670"/>
        <v>2605432.8554530567</v>
      </c>
      <c r="BA656" s="2">
        <f t="shared" ca="1" si="671"/>
        <v>48354263.926553003</v>
      </c>
      <c r="BB656" s="2">
        <f t="shared" ca="1" si="672"/>
        <v>967085.27853106009</v>
      </c>
      <c r="BC656" s="2">
        <f t="shared" ca="1" si="673"/>
        <v>21744998.405148085</v>
      </c>
      <c r="BD656" s="2">
        <f t="shared" ca="1" si="674"/>
        <v>-18663211.005368985</v>
      </c>
      <c r="BE656" s="2">
        <f t="shared" ca="1" si="675"/>
        <v>2307511.2912988695</v>
      </c>
      <c r="BF656" s="2">
        <f t="shared" ca="1" si="676"/>
        <v>2474512.9612427498</v>
      </c>
      <c r="BG656" s="2">
        <f t="shared" ca="1" si="677"/>
        <v>2517705.3229082027</v>
      </c>
      <c r="BH656" s="2">
        <f t="shared" ca="1" si="678"/>
        <v>2561343.7520632348</v>
      </c>
      <c r="BI656" s="2">
        <f t="shared" ca="1" si="679"/>
        <v>24350431.260601141</v>
      </c>
      <c r="BJ656" s="2">
        <f t="shared" ca="1" si="680"/>
        <v>0.15668007410931151</v>
      </c>
      <c r="BK656" s="2">
        <f t="shared" ca="1" si="681"/>
        <v>2606655.3396150656</v>
      </c>
    </row>
    <row r="657" spans="1:63" x14ac:dyDescent="0.3">
      <c r="A657" s="2">
        <v>656</v>
      </c>
      <c r="B657" s="2">
        <f t="shared" ca="1" si="620"/>
        <v>0.28645065003694181</v>
      </c>
      <c r="C657" s="2">
        <f t="shared" ca="1" si="621"/>
        <v>6.756902437619198</v>
      </c>
      <c r="D657" s="2">
        <f t="shared" ca="1" si="622"/>
        <v>0.61469606359879847</v>
      </c>
      <c r="E657" s="2">
        <f t="shared" ca="1" si="623"/>
        <v>7.6221572619185123</v>
      </c>
      <c r="F657" s="2">
        <f t="shared" ca="1" si="624"/>
        <v>0.32958418051227523</v>
      </c>
      <c r="G657" s="2">
        <f t="shared" ca="1" si="625"/>
        <v>2.676815029243601E-2</v>
      </c>
      <c r="H657" s="2">
        <f t="shared" ca="1" si="626"/>
        <v>2.676815029243601E-2</v>
      </c>
      <c r="I657" s="2">
        <f t="shared" ca="1" si="627"/>
        <v>3.4389968101081192E-2</v>
      </c>
      <c r="J657" s="2">
        <f t="shared" ca="1" si="628"/>
        <v>9.0068714844563844E-4</v>
      </c>
      <c r="K657" s="2">
        <f t="shared" ca="1" si="629"/>
        <v>9.0068714844563844E-4</v>
      </c>
      <c r="L657" s="2">
        <f t="shared" ca="1" si="630"/>
        <v>0.60099319378909677</v>
      </c>
      <c r="M657" s="2">
        <f t="shared" ca="1" si="631"/>
        <v>5.1183740625351951E-3</v>
      </c>
      <c r="N657" s="2">
        <f t="shared" ca="1" si="632"/>
        <v>5.1183740625351951E-3</v>
      </c>
      <c r="O657" s="2">
        <f t="shared" si="633"/>
        <v>6000000</v>
      </c>
      <c r="P657" s="2">
        <f t="shared" ca="1" si="634"/>
        <v>40541414.625715189</v>
      </c>
      <c r="Q657" s="2">
        <f t="shared" ca="1" si="635"/>
        <v>1013535.3656428797</v>
      </c>
      <c r="R657" s="2">
        <f t="shared" ca="1" si="636"/>
        <v>24324848.775429111</v>
      </c>
      <c r="S657" s="2">
        <f t="shared" ca="1" si="637"/>
        <v>16216565.850286076</v>
      </c>
      <c r="T657" s="2">
        <f t="shared" ca="1" si="638"/>
        <v>50255918.703126758</v>
      </c>
      <c r="U657" s="2">
        <f t="shared" ca="1" si="639"/>
        <v>51601176.688056499</v>
      </c>
      <c r="V657" s="2">
        <f t="shared" ca="1" si="640"/>
        <v>52982444.740908936</v>
      </c>
      <c r="W657" s="2">
        <f t="shared" ca="1" si="641"/>
        <v>54400686.784594268</v>
      </c>
      <c r="X657" s="2">
        <f t="shared" ca="1" si="642"/>
        <v>55856892.54445602</v>
      </c>
      <c r="Y657" s="2">
        <f t="shared" ca="1" si="643"/>
        <v>0.12045034357422281</v>
      </c>
      <c r="Z657" s="2">
        <f t="shared" ca="1" si="644"/>
        <v>0.12063048100391194</v>
      </c>
      <c r="AA657" s="2">
        <f t="shared" ca="1" si="645"/>
        <v>6053342.6744298283</v>
      </c>
      <c r="AB657" s="2">
        <f t="shared" ca="1" si="646"/>
        <v>6224674.7642481029</v>
      </c>
      <c r="AC657" s="2">
        <f t="shared" ca="1" si="647"/>
        <v>6391297.7938590292</v>
      </c>
      <c r="AD657" s="2">
        <f t="shared" ca="1" si="648"/>
        <v>6562381.0137687624</v>
      </c>
      <c r="AE657" s="2">
        <f t="shared" ca="1" si="649"/>
        <v>6738043.8150215521</v>
      </c>
      <c r="AF657" s="2">
        <f t="shared" ca="1" si="650"/>
        <v>1005118.3740625352</v>
      </c>
      <c r="AG657" s="2">
        <f t="shared" ca="1" si="651"/>
        <v>1032023.5337611299</v>
      </c>
      <c r="AH657" s="2">
        <f t="shared" ca="1" si="652"/>
        <v>1059648.8948181788</v>
      </c>
      <c r="AI657" s="2">
        <f t="shared" ca="1" si="653"/>
        <v>1088013.7356918855</v>
      </c>
      <c r="AJ657" s="2">
        <f t="shared" ca="1" si="654"/>
        <v>1117137.8508891205</v>
      </c>
      <c r="AK657" s="2">
        <f t="shared" ca="1" si="655"/>
        <v>0</v>
      </c>
      <c r="AL657" s="2">
        <f t="shared" ca="1" si="656"/>
        <v>13452.579849297405</v>
      </c>
      <c r="AM657" s="2">
        <f t="shared" ca="1" si="657"/>
        <v>13812.68052852437</v>
      </c>
      <c r="AN657" s="2">
        <f t="shared" ca="1" si="658"/>
        <v>14182.420436853319</v>
      </c>
      <c r="AO657" s="2">
        <f t="shared" ca="1" si="659"/>
        <v>14562.057598617524</v>
      </c>
      <c r="AP657" s="2">
        <f t="shared" ca="1" si="660"/>
        <v>2189236.3897886197</v>
      </c>
      <c r="AQ657" s="2">
        <f t="shared" ca="1" si="661"/>
        <v>743336.8567504551</v>
      </c>
      <c r="AR657" s="2">
        <f t="shared" ca="1" si="662"/>
        <v>780887.85858157196</v>
      </c>
      <c r="AS657" s="2">
        <f t="shared" ca="1" si="663"/>
        <v>817027.2524055799</v>
      </c>
      <c r="AT657" s="2">
        <f t="shared" ca="1" si="664"/>
        <v>854134.03095494688</v>
      </c>
      <c r="AU657" s="2">
        <f t="shared" ca="1" si="665"/>
        <v>892234.08932939125</v>
      </c>
      <c r="AV657" s="2">
        <f t="shared" ca="1" si="666"/>
        <v>2115651.0538282185</v>
      </c>
      <c r="AW657" s="2">
        <f t="shared" ca="1" si="667"/>
        <v>2209074.4022674845</v>
      </c>
      <c r="AX657" s="2">
        <f t="shared" ca="1" si="668"/>
        <v>2311572.5763181257</v>
      </c>
      <c r="AY657" s="2">
        <f t="shared" ca="1" si="669"/>
        <v>2416814.4368964569</v>
      </c>
      <c r="AZ657" s="2">
        <f t="shared" ca="1" si="670"/>
        <v>2524873.4274158035</v>
      </c>
      <c r="BA657" s="2">
        <f t="shared" ca="1" si="671"/>
        <v>51358429.595791638</v>
      </c>
      <c r="BB657" s="2">
        <f t="shared" ca="1" si="672"/>
        <v>1027168.5919158328</v>
      </c>
      <c r="BC657" s="2">
        <f t="shared" ca="1" si="673"/>
        <v>26006412.228446692</v>
      </c>
      <c r="BD657" s="2">
        <f t="shared" ca="1" si="674"/>
        <v>-17730101.215928957</v>
      </c>
      <c r="BE657" s="2">
        <f t="shared" ca="1" si="675"/>
        <v>2115651.0538282185</v>
      </c>
      <c r="BF657" s="2">
        <f t="shared" ca="1" si="676"/>
        <v>2209074.4022674845</v>
      </c>
      <c r="BG657" s="2">
        <f t="shared" ca="1" si="677"/>
        <v>2311572.5763181257</v>
      </c>
      <c r="BH657" s="2">
        <f t="shared" ca="1" si="678"/>
        <v>2416814.4368964569</v>
      </c>
      <c r="BI657" s="2">
        <f t="shared" ca="1" si="679"/>
        <v>28531285.655862495</v>
      </c>
      <c r="BJ657" s="2">
        <f t="shared" ca="1" si="680"/>
        <v>0.19228604505392544</v>
      </c>
      <c r="BK657" s="2">
        <f t="shared" ca="1" si="681"/>
        <v>5290612.2051402442</v>
      </c>
    </row>
    <row r="658" spans="1:63" x14ac:dyDescent="0.3">
      <c r="A658" s="2">
        <v>657</v>
      </c>
      <c r="B658" s="2">
        <f t="shared" ca="1" si="620"/>
        <v>0.44179205412493761</v>
      </c>
      <c r="C658" s="2">
        <f t="shared" ca="1" si="621"/>
        <v>6.939991546903415</v>
      </c>
      <c r="D658" s="2">
        <f t="shared" ca="1" si="622"/>
        <v>0.12453751287083559</v>
      </c>
      <c r="E658" s="2">
        <f t="shared" ca="1" si="623"/>
        <v>6.9990741685778488</v>
      </c>
      <c r="F658" s="2">
        <f t="shared" ca="1" si="624"/>
        <v>3.0748473976644708E-2</v>
      </c>
      <c r="G658" s="2">
        <f t="shared" ca="1" si="625"/>
        <v>-1.609716369561455E-2</v>
      </c>
      <c r="H658" s="2">
        <f t="shared" ca="1" si="626"/>
        <v>-1.609716369561455E-2</v>
      </c>
      <c r="I658" s="2">
        <f t="shared" ca="1" si="627"/>
        <v>0.43661185437629935</v>
      </c>
      <c r="J658" s="2">
        <f t="shared" ca="1" si="628"/>
        <v>9.2021747280160455E-3</v>
      </c>
      <c r="K658" s="2">
        <f t="shared" ca="1" si="629"/>
        <v>9.2021747280160455E-3</v>
      </c>
      <c r="L658" s="2">
        <f t="shared" ca="1" si="630"/>
        <v>0.10697051350544684</v>
      </c>
      <c r="M658" s="2">
        <f t="shared" ca="1" si="631"/>
        <v>-2.4856027972586826E-2</v>
      </c>
      <c r="N658" s="2">
        <f t="shared" ca="1" si="632"/>
        <v>-2.4856027972586826E-2</v>
      </c>
      <c r="O658" s="2">
        <f t="shared" si="633"/>
        <v>6000000</v>
      </c>
      <c r="P658" s="2">
        <f t="shared" ca="1" si="634"/>
        <v>41639949.281420492</v>
      </c>
      <c r="Q658" s="2">
        <f t="shared" ca="1" si="635"/>
        <v>1040998.7320355123</v>
      </c>
      <c r="R658" s="2">
        <f t="shared" ca="1" si="636"/>
        <v>24983969.568852294</v>
      </c>
      <c r="S658" s="2">
        <f t="shared" ca="1" si="637"/>
        <v>16655979.712568197</v>
      </c>
      <c r="T658" s="2">
        <f t="shared" ca="1" si="638"/>
        <v>48757198.601370662</v>
      </c>
      <c r="U658" s="2">
        <f t="shared" ca="1" si="639"/>
        <v>47972345.994144812</v>
      </c>
      <c r="V658" s="2">
        <f t="shared" ca="1" si="640"/>
        <v>47200127.287814409</v>
      </c>
      <c r="W658" s="2">
        <f t="shared" ca="1" si="641"/>
        <v>46440339.112408616</v>
      </c>
      <c r="X658" s="2">
        <f t="shared" ca="1" si="642"/>
        <v>45692781.371636324</v>
      </c>
      <c r="Y658" s="2">
        <f t="shared" ca="1" si="643"/>
        <v>0.12460108736400802</v>
      </c>
      <c r="Z658" s="2">
        <f t="shared" ca="1" si="644"/>
        <v>0.12644152230961123</v>
      </c>
      <c r="AA658" s="2">
        <f t="shared" ca="1" si="645"/>
        <v>6075199.9625536753</v>
      </c>
      <c r="AB658" s="2">
        <f t="shared" ca="1" si="646"/>
        <v>6065696.4562630504</v>
      </c>
      <c r="AC658" s="2">
        <f t="shared" ca="1" si="647"/>
        <v>5968055.9474786753</v>
      </c>
      <c r="AD658" s="2">
        <f t="shared" ca="1" si="648"/>
        <v>5871987.1739475252</v>
      </c>
      <c r="AE658" s="2">
        <f t="shared" ca="1" si="649"/>
        <v>5777464.8351899423</v>
      </c>
      <c r="AF658" s="2">
        <f t="shared" ca="1" si="650"/>
        <v>975143.97202741331</v>
      </c>
      <c r="AG658" s="2">
        <f t="shared" ca="1" si="651"/>
        <v>959446.91988289624</v>
      </c>
      <c r="AH658" s="2">
        <f t="shared" ca="1" si="652"/>
        <v>944002.54575628822</v>
      </c>
      <c r="AI658" s="2">
        <f t="shared" ca="1" si="653"/>
        <v>928806.78224817233</v>
      </c>
      <c r="AJ658" s="2">
        <f t="shared" ca="1" si="654"/>
        <v>913855.62743272644</v>
      </c>
      <c r="AK658" s="2">
        <f t="shared" ca="1" si="655"/>
        <v>0</v>
      </c>
      <c r="AL658" s="2">
        <f t="shared" ca="1" si="656"/>
        <v>0</v>
      </c>
      <c r="AM658" s="2">
        <f t="shared" ca="1" si="657"/>
        <v>0</v>
      </c>
      <c r="AN658" s="2">
        <f t="shared" ca="1" si="658"/>
        <v>0</v>
      </c>
      <c r="AO658" s="2">
        <f t="shared" ca="1" si="659"/>
        <v>0</v>
      </c>
      <c r="AP658" s="2">
        <f t="shared" ca="1" si="660"/>
        <v>2248557.2611967064</v>
      </c>
      <c r="AQ658" s="2">
        <f t="shared" ca="1" si="661"/>
        <v>741389.66962568439</v>
      </c>
      <c r="AR658" s="2">
        <f t="shared" ca="1" si="662"/>
        <v>742999.99154769641</v>
      </c>
      <c r="AS658" s="2">
        <f t="shared" ca="1" si="663"/>
        <v>721628.99653667712</v>
      </c>
      <c r="AT658" s="2">
        <f t="shared" ca="1" si="664"/>
        <v>700602.01393068815</v>
      </c>
      <c r="AU658" s="2">
        <f t="shared" ca="1" si="665"/>
        <v>679913.50610573252</v>
      </c>
      <c r="AV658" s="2">
        <f t="shared" ca="1" si="666"/>
        <v>2110109.0597038707</v>
      </c>
      <c r="AW658" s="2">
        <f t="shared" ca="1" si="667"/>
        <v>2114692.2836357513</v>
      </c>
      <c r="AX658" s="2">
        <f t="shared" ca="1" si="668"/>
        <v>2053867.1439890042</v>
      </c>
      <c r="AY658" s="2">
        <f t="shared" ca="1" si="669"/>
        <v>1994021.1165719591</v>
      </c>
      <c r="AZ658" s="2">
        <f t="shared" ca="1" si="670"/>
        <v>1935138.4404547769</v>
      </c>
      <c r="BA658" s="2">
        <f t="shared" ca="1" si="671"/>
        <v>40436904.887844801</v>
      </c>
      <c r="BB658" s="2">
        <f t="shared" ca="1" si="672"/>
        <v>808738.09775689605</v>
      </c>
      <c r="BC658" s="2">
        <f t="shared" ca="1" si="673"/>
        <v>14644197.221235611</v>
      </c>
      <c r="BD658" s="2">
        <f t="shared" ca="1" si="674"/>
        <v>-18196978.444603711</v>
      </c>
      <c r="BE658" s="2">
        <f t="shared" ca="1" si="675"/>
        <v>2110109.0597038707</v>
      </c>
      <c r="BF658" s="2">
        <f t="shared" ca="1" si="676"/>
        <v>2114692.2836357513</v>
      </c>
      <c r="BG658" s="2">
        <f t="shared" ca="1" si="677"/>
        <v>2053867.1439890042</v>
      </c>
      <c r="BH658" s="2">
        <f t="shared" ca="1" si="678"/>
        <v>1994021.1165719591</v>
      </c>
      <c r="BI658" s="2">
        <f t="shared" ca="1" si="679"/>
        <v>16579335.661690388</v>
      </c>
      <c r="BJ658" s="2">
        <f t="shared" ca="1" si="680"/>
        <v>7.9252388918544137E-2</v>
      </c>
      <c r="BK658" s="2">
        <f t="shared" ca="1" si="681"/>
        <v>-2490433.9195777345</v>
      </c>
    </row>
    <row r="659" spans="1:63" x14ac:dyDescent="0.3">
      <c r="A659" s="2">
        <v>658</v>
      </c>
      <c r="B659" s="2">
        <f t="shared" ca="1" si="620"/>
        <v>1.969890254489215E-2</v>
      </c>
      <c r="C659" s="2">
        <f t="shared" ca="1" si="621"/>
        <v>6.1984888034368293</v>
      </c>
      <c r="D659" s="2">
        <f t="shared" ca="1" si="622"/>
        <v>0.7270088041463918</v>
      </c>
      <c r="E659" s="2">
        <f t="shared" ca="1" si="623"/>
        <v>7.7610937869342171</v>
      </c>
      <c r="F659" s="2">
        <f t="shared" ca="1" si="624"/>
        <v>9.023311414664914E-2</v>
      </c>
      <c r="G659" s="2">
        <f t="shared" ca="1" si="625"/>
        <v>-1.7962694287600861E-4</v>
      </c>
      <c r="H659" s="2">
        <f t="shared" ca="1" si="626"/>
        <v>-1.7962694287600861E-4</v>
      </c>
      <c r="I659" s="2">
        <f t="shared" ca="1" si="627"/>
        <v>0.92398354687538098</v>
      </c>
      <c r="J659" s="2">
        <f t="shared" ca="1" si="628"/>
        <v>1.7161938332994984E-2</v>
      </c>
      <c r="K659" s="2">
        <f t="shared" ca="1" si="629"/>
        <v>1.7161938332994984E-2</v>
      </c>
      <c r="L659" s="2">
        <f t="shared" ca="1" si="630"/>
        <v>0.98307555594151363</v>
      </c>
      <c r="M659" s="2">
        <f t="shared" ca="1" si="631"/>
        <v>4.2437344811639584E-2</v>
      </c>
      <c r="N659" s="2">
        <f t="shared" ca="1" si="632"/>
        <v>4.2437344811639584E-2</v>
      </c>
      <c r="O659" s="2">
        <f t="shared" si="633"/>
        <v>6000000</v>
      </c>
      <c r="P659" s="2">
        <f t="shared" ca="1" si="634"/>
        <v>37190932.820620976</v>
      </c>
      <c r="Q659" s="2">
        <f t="shared" ca="1" si="635"/>
        <v>929773.32051552448</v>
      </c>
      <c r="R659" s="2">
        <f t="shared" ca="1" si="636"/>
        <v>22314559.692372587</v>
      </c>
      <c r="S659" s="2">
        <f t="shared" ca="1" si="637"/>
        <v>14876373.128248392</v>
      </c>
      <c r="T659" s="2">
        <f t="shared" ca="1" si="638"/>
        <v>52121867.240581974</v>
      </c>
      <c r="U659" s="2">
        <f t="shared" ca="1" si="639"/>
        <v>52112504.748912558</v>
      </c>
      <c r="V659" s="2">
        <f t="shared" ca="1" si="640"/>
        <v>52103143.9389989</v>
      </c>
      <c r="W659" s="2">
        <f t="shared" ca="1" si="641"/>
        <v>52093784.81053891</v>
      </c>
      <c r="X659" s="2">
        <f t="shared" ca="1" si="642"/>
        <v>52084427.363230556</v>
      </c>
      <c r="Y659" s="2">
        <f t="shared" ca="1" si="643"/>
        <v>0.1285809691664975</v>
      </c>
      <c r="Z659" s="2">
        <f t="shared" ca="1" si="644"/>
        <v>0.13201335683309648</v>
      </c>
      <c r="AA659" s="2">
        <f t="shared" ca="1" si="645"/>
        <v>6701880.2045615474</v>
      </c>
      <c r="AB659" s="2">
        <f t="shared" ca="1" si="646"/>
        <v>6879546.6848846283</v>
      </c>
      <c r="AC659" s="2">
        <f t="shared" ca="1" si="647"/>
        <v>6878310.9329452496</v>
      </c>
      <c r="AD659" s="2">
        <f t="shared" ca="1" si="648"/>
        <v>6877075.402980214</v>
      </c>
      <c r="AE659" s="2">
        <f t="shared" ca="1" si="649"/>
        <v>6875840.0949496496</v>
      </c>
      <c r="AF659" s="2">
        <f t="shared" ca="1" si="650"/>
        <v>1042437.3448116395</v>
      </c>
      <c r="AG659" s="2">
        <f t="shared" ca="1" si="651"/>
        <v>1042250.0949782511</v>
      </c>
      <c r="AH659" s="2">
        <f t="shared" ca="1" si="652"/>
        <v>1042062.878779978</v>
      </c>
      <c r="AI659" s="2">
        <f t="shared" ca="1" si="653"/>
        <v>1041875.6962107782</v>
      </c>
      <c r="AJ659" s="2">
        <f t="shared" ca="1" si="654"/>
        <v>1041688.5472646111</v>
      </c>
      <c r="AK659" s="2">
        <f t="shared" ca="1" si="655"/>
        <v>0</v>
      </c>
      <c r="AL659" s="2">
        <f t="shared" ca="1" si="656"/>
        <v>0</v>
      </c>
      <c r="AM659" s="2">
        <f t="shared" ca="1" si="657"/>
        <v>0</v>
      </c>
      <c r="AN659" s="2">
        <f t="shared" ca="1" si="658"/>
        <v>0</v>
      </c>
      <c r="AO659" s="2">
        <f t="shared" ca="1" si="659"/>
        <v>0</v>
      </c>
      <c r="AP659" s="2">
        <f t="shared" ca="1" si="660"/>
        <v>2008310.3723135327</v>
      </c>
      <c r="AQ659" s="2">
        <f t="shared" ca="1" si="661"/>
        <v>949294.44673345739</v>
      </c>
      <c r="AR659" s="2">
        <f t="shared" ca="1" si="662"/>
        <v>995536.41657413938</v>
      </c>
      <c r="AS659" s="2">
        <f t="shared" ca="1" si="663"/>
        <v>995263.79728145222</v>
      </c>
      <c r="AT659" s="2">
        <f t="shared" ca="1" si="664"/>
        <v>994991.22695853468</v>
      </c>
      <c r="AU659" s="2">
        <f t="shared" ca="1" si="665"/>
        <v>994718.70559659146</v>
      </c>
      <c r="AV659" s="2">
        <f t="shared" ca="1" si="666"/>
        <v>2701838.0407029176</v>
      </c>
      <c r="AW659" s="2">
        <f t="shared" ca="1" si="667"/>
        <v>2833449.8010187047</v>
      </c>
      <c r="AX659" s="2">
        <f t="shared" ca="1" si="668"/>
        <v>2832673.8845702866</v>
      </c>
      <c r="AY659" s="2">
        <f t="shared" ca="1" si="669"/>
        <v>2831898.107497368</v>
      </c>
      <c r="AZ659" s="2">
        <f t="shared" ca="1" si="670"/>
        <v>2831122.469774914</v>
      </c>
      <c r="BA659" s="2">
        <f t="shared" ca="1" si="671"/>
        <v>53364039.840866901</v>
      </c>
      <c r="BB659" s="2">
        <f t="shared" ca="1" si="672"/>
        <v>1067280.7968173381</v>
      </c>
      <c r="BC659" s="2">
        <f t="shared" ca="1" si="673"/>
        <v>29982199.351676978</v>
      </c>
      <c r="BD659" s="2">
        <f t="shared" ca="1" si="674"/>
        <v>-16306146.448763916</v>
      </c>
      <c r="BE659" s="2">
        <f t="shared" ca="1" si="675"/>
        <v>2701838.0407029176</v>
      </c>
      <c r="BF659" s="2">
        <f t="shared" ca="1" si="676"/>
        <v>2833449.8010187047</v>
      </c>
      <c r="BG659" s="2">
        <f t="shared" ca="1" si="677"/>
        <v>2832673.8845702866</v>
      </c>
      <c r="BH659" s="2">
        <f t="shared" ca="1" si="678"/>
        <v>2831898.107497368</v>
      </c>
      <c r="BI659" s="2">
        <f t="shared" ca="1" si="679"/>
        <v>32813321.821451891</v>
      </c>
      <c r="BJ659" s="2">
        <f t="shared" ca="1" si="680"/>
        <v>0.2696296547911774</v>
      </c>
      <c r="BK659" s="2">
        <f t="shared" ca="1" si="681"/>
        <v>10800141.568319065</v>
      </c>
    </row>
    <row r="660" spans="1:63" x14ac:dyDescent="0.3">
      <c r="A660" s="2">
        <v>659</v>
      </c>
      <c r="B660" s="2">
        <f t="shared" ca="1" si="620"/>
        <v>0.88241862664042137</v>
      </c>
      <c r="C660" s="2">
        <f t="shared" ca="1" si="621"/>
        <v>7.515064182886892</v>
      </c>
      <c r="D660" s="2">
        <f t="shared" ca="1" si="622"/>
        <v>0.29876225231593623</v>
      </c>
      <c r="E660" s="2">
        <f t="shared" ca="1" si="623"/>
        <v>7.2729970922531813</v>
      </c>
      <c r="F660" s="2">
        <f t="shared" ca="1" si="624"/>
        <v>0.27489681085631268</v>
      </c>
      <c r="G660" s="2">
        <f t="shared" ca="1" si="625"/>
        <v>2.2057917761150299E-2</v>
      </c>
      <c r="H660" s="2">
        <f t="shared" ca="1" si="626"/>
        <v>2.2057917761150299E-2</v>
      </c>
      <c r="I660" s="2">
        <f t="shared" ca="1" si="627"/>
        <v>0.70803364960923065</v>
      </c>
      <c r="J660" s="2">
        <f t="shared" ca="1" si="628"/>
        <v>1.2738246720363014E-2</v>
      </c>
      <c r="K660" s="2">
        <f t="shared" ca="1" si="629"/>
        <v>1.2738246720363014E-2</v>
      </c>
      <c r="L660" s="2">
        <f t="shared" ca="1" si="630"/>
        <v>0.57893110310495688</v>
      </c>
      <c r="M660" s="2">
        <f t="shared" ca="1" si="631"/>
        <v>3.9831947371952283E-3</v>
      </c>
      <c r="N660" s="2">
        <f t="shared" ca="1" si="632"/>
        <v>3.9831947371952283E-3</v>
      </c>
      <c r="O660" s="2">
        <f t="shared" si="633"/>
        <v>6000000</v>
      </c>
      <c r="P660" s="2">
        <f t="shared" ca="1" si="634"/>
        <v>45090385.097321354</v>
      </c>
      <c r="Q660" s="2">
        <f t="shared" ca="1" si="635"/>
        <v>1127259.6274330339</v>
      </c>
      <c r="R660" s="2">
        <f t="shared" ca="1" si="636"/>
        <v>27054231.058392812</v>
      </c>
      <c r="S660" s="2">
        <f t="shared" ca="1" si="637"/>
        <v>18036154.038928542</v>
      </c>
      <c r="T660" s="2">
        <f t="shared" ca="1" si="638"/>
        <v>50199159.736859769</v>
      </c>
      <c r="U660" s="2">
        <f t="shared" ca="1" si="639"/>
        <v>51306448.67401427</v>
      </c>
      <c r="V660" s="2">
        <f t="shared" ca="1" si="640"/>
        <v>52438162.099482358</v>
      </c>
      <c r="W660" s="2">
        <f t="shared" ca="1" si="641"/>
        <v>53594838.766618617</v>
      </c>
      <c r="X660" s="2">
        <f t="shared" ca="1" si="642"/>
        <v>54777029.312554806</v>
      </c>
      <c r="Y660" s="2">
        <f t="shared" ca="1" si="643"/>
        <v>0.1263691233601815</v>
      </c>
      <c r="Z660" s="2">
        <f t="shared" ca="1" si="644"/>
        <v>0.12891677270425411</v>
      </c>
      <c r="AA660" s="2">
        <f t="shared" ca="1" si="645"/>
        <v>6343623.8093646886</v>
      </c>
      <c r="AB660" s="2">
        <f t="shared" ca="1" si="646"/>
        <v>6614261.7819703771</v>
      </c>
      <c r="AC660" s="2">
        <f t="shared" ca="1" si="647"/>
        <v>6760158.6244077999</v>
      </c>
      <c r="AD660" s="2">
        <f t="shared" ca="1" si="648"/>
        <v>6909273.6473973189</v>
      </c>
      <c r="AE660" s="2">
        <f t="shared" ca="1" si="649"/>
        <v>7061677.8373008929</v>
      </c>
      <c r="AF660" s="2">
        <f t="shared" ca="1" si="650"/>
        <v>1003983.1947371954</v>
      </c>
      <c r="AG660" s="2">
        <f t="shared" ca="1" si="651"/>
        <v>1026128.9734802854</v>
      </c>
      <c r="AH660" s="2">
        <f t="shared" ca="1" si="652"/>
        <v>1048763.2419896473</v>
      </c>
      <c r="AI660" s="2">
        <f t="shared" ca="1" si="653"/>
        <v>1071896.7753323724</v>
      </c>
      <c r="AJ660" s="2">
        <f t="shared" ca="1" si="654"/>
        <v>1095540.5862510961</v>
      </c>
      <c r="AK660" s="2">
        <f t="shared" ca="1" si="655"/>
        <v>0</v>
      </c>
      <c r="AL660" s="2">
        <f t="shared" ca="1" si="656"/>
        <v>11072.889371545018</v>
      </c>
      <c r="AM660" s="2">
        <f t="shared" ca="1" si="657"/>
        <v>11317.134254680872</v>
      </c>
      <c r="AN660" s="2">
        <f t="shared" ca="1" si="658"/>
        <v>11566.766671362593</v>
      </c>
      <c r="AO660" s="2">
        <f t="shared" ca="1" si="659"/>
        <v>11821.905459361897</v>
      </c>
      <c r="AP660" s="2">
        <f t="shared" ca="1" si="660"/>
        <v>2434880.7952553527</v>
      </c>
      <c r="AQ660" s="2">
        <f t="shared" ca="1" si="661"/>
        <v>755237.55303675658</v>
      </c>
      <c r="AR660" s="2">
        <f t="shared" ca="1" si="662"/>
        <v>819845.52344103227</v>
      </c>
      <c r="AS660" s="2">
        <f t="shared" ca="1" si="663"/>
        <v>851893.79266232811</v>
      </c>
      <c r="AT660" s="2">
        <f t="shared" ca="1" si="664"/>
        <v>884648.97997049429</v>
      </c>
      <c r="AU660" s="2">
        <f t="shared" ca="1" si="665"/>
        <v>918126.6785065555</v>
      </c>
      <c r="AV660" s="2">
        <f t="shared" ca="1" si="666"/>
        <v>2149522.266335384</v>
      </c>
      <c r="AW660" s="2">
        <f t="shared" ca="1" si="667"/>
        <v>2322333.6004221616</v>
      </c>
      <c r="AX660" s="2">
        <f t="shared" ca="1" si="668"/>
        <v>2413303.6602457911</v>
      </c>
      <c r="AY660" s="2">
        <f t="shared" ca="1" si="669"/>
        <v>2506280.3301677369</v>
      </c>
      <c r="AZ660" s="2">
        <f t="shared" ca="1" si="670"/>
        <v>2601307.8718285272</v>
      </c>
      <c r="BA660" s="2">
        <f t="shared" ca="1" si="671"/>
        <v>51359562.377118126</v>
      </c>
      <c r="BB660" s="2">
        <f t="shared" ca="1" si="672"/>
        <v>1027191.2475423625</v>
      </c>
      <c r="BC660" s="2">
        <f t="shared" ca="1" si="673"/>
        <v>23278140.071182951</v>
      </c>
      <c r="BD660" s="2">
        <f t="shared" ca="1" si="674"/>
        <v>-19663413.666361578</v>
      </c>
      <c r="BE660" s="2">
        <f t="shared" ca="1" si="675"/>
        <v>2149522.266335384</v>
      </c>
      <c r="BF660" s="2">
        <f t="shared" ca="1" si="676"/>
        <v>2322333.6004221616</v>
      </c>
      <c r="BG660" s="2">
        <f t="shared" ca="1" si="677"/>
        <v>2413303.6602457911</v>
      </c>
      <c r="BH660" s="2">
        <f t="shared" ca="1" si="678"/>
        <v>2506280.3301677369</v>
      </c>
      <c r="BI660" s="2">
        <f t="shared" ca="1" si="679"/>
        <v>25879447.943011478</v>
      </c>
      <c r="BJ660" s="2">
        <f t="shared" ca="1" si="680"/>
        <v>0.14783455725385619</v>
      </c>
      <c r="BK660" s="2">
        <f t="shared" ca="1" si="681"/>
        <v>2102374.8815009668</v>
      </c>
    </row>
    <row r="661" spans="1:63" x14ac:dyDescent="0.3">
      <c r="A661" s="2">
        <v>660</v>
      </c>
      <c r="B661" s="2">
        <f t="shared" ca="1" si="620"/>
        <v>0.12056010205993783</v>
      </c>
      <c r="C661" s="2">
        <f t="shared" ca="1" si="621"/>
        <v>6.4910399211060907</v>
      </c>
      <c r="D661" s="2">
        <f t="shared" ca="1" si="622"/>
        <v>0.68851491258670527</v>
      </c>
      <c r="E661" s="2">
        <f t="shared" ca="1" si="623"/>
        <v>7.7107154031487823</v>
      </c>
      <c r="F661" s="2">
        <f t="shared" ca="1" si="624"/>
        <v>0.48857874229791454</v>
      </c>
      <c r="G661" s="2">
        <f t="shared" ca="1" si="625"/>
        <v>3.9141017219117148E-2</v>
      </c>
      <c r="H661" s="2">
        <f t="shared" ca="1" si="626"/>
        <v>3.9141017219117148E-2</v>
      </c>
      <c r="I661" s="2">
        <f t="shared" ca="1" si="627"/>
        <v>0.6183079382338631</v>
      </c>
      <c r="J661" s="2">
        <f t="shared" ca="1" si="628"/>
        <v>1.1505199143100803E-2</v>
      </c>
      <c r="K661" s="2">
        <f t="shared" ca="1" si="629"/>
        <v>1.1505199143100803E-2</v>
      </c>
      <c r="L661" s="2">
        <f t="shared" ca="1" si="630"/>
        <v>0.78897284951301094</v>
      </c>
      <c r="M661" s="2">
        <f t="shared" ca="1" si="631"/>
        <v>1.6057246949424543E-2</v>
      </c>
      <c r="N661" s="2">
        <f t="shared" ca="1" si="632"/>
        <v>1.6057246949424543E-2</v>
      </c>
      <c r="O661" s="2">
        <f t="shared" si="633"/>
        <v>6000000</v>
      </c>
      <c r="P661" s="2">
        <f t="shared" ca="1" si="634"/>
        <v>38946239.526636541</v>
      </c>
      <c r="Q661" s="2">
        <f t="shared" ca="1" si="635"/>
        <v>973655.98816591362</v>
      </c>
      <c r="R661" s="2">
        <f t="shared" ca="1" si="636"/>
        <v>23367743.715981923</v>
      </c>
      <c r="S661" s="2">
        <f t="shared" ca="1" si="637"/>
        <v>15578495.810654618</v>
      </c>
      <c r="T661" s="2">
        <f t="shared" ca="1" si="638"/>
        <v>50802862.347471222</v>
      </c>
      <c r="U661" s="2">
        <f t="shared" ca="1" si="639"/>
        <v>52791338.057394028</v>
      </c>
      <c r="V661" s="2">
        <f t="shared" ca="1" si="640"/>
        <v>54857644.729318723</v>
      </c>
      <c r="W661" s="2">
        <f t="shared" ca="1" si="641"/>
        <v>57004828.746269196</v>
      </c>
      <c r="X661" s="2">
        <f t="shared" ca="1" si="642"/>
        <v>59236055.72979974</v>
      </c>
      <c r="Y661" s="2">
        <f t="shared" ca="1" si="643"/>
        <v>0.12575259957155038</v>
      </c>
      <c r="Z661" s="2">
        <f t="shared" ca="1" si="644"/>
        <v>0.12805363940017056</v>
      </c>
      <c r="AA661" s="2">
        <f t="shared" ca="1" si="645"/>
        <v>6388592.005870143</v>
      </c>
      <c r="AB661" s="2">
        <f t="shared" ca="1" si="646"/>
        <v>6760122.9670540355</v>
      </c>
      <c r="AC661" s="2">
        <f t="shared" ca="1" si="647"/>
        <v>7024721.0565108471</v>
      </c>
      <c r="AD661" s="2">
        <f t="shared" ca="1" si="648"/>
        <v>7299675.7843432324</v>
      </c>
      <c r="AE661" s="2">
        <f t="shared" ca="1" si="649"/>
        <v>7585392.5199121833</v>
      </c>
      <c r="AF661" s="2">
        <f t="shared" ca="1" si="650"/>
        <v>1016057.2469494245</v>
      </c>
      <c r="AG661" s="2">
        <f t="shared" ca="1" si="651"/>
        <v>1055826.7611478805</v>
      </c>
      <c r="AH661" s="2">
        <f t="shared" ca="1" si="652"/>
        <v>1097152.8945863745</v>
      </c>
      <c r="AI661" s="2">
        <f t="shared" ca="1" si="653"/>
        <v>1140096.574925384</v>
      </c>
      <c r="AJ661" s="2">
        <f t="shared" ca="1" si="654"/>
        <v>1184721.1145959948</v>
      </c>
      <c r="AK661" s="2">
        <f t="shared" ca="1" si="655"/>
        <v>0</v>
      </c>
      <c r="AL661" s="2">
        <f t="shared" ca="1" si="656"/>
        <v>19884.757099228056</v>
      </c>
      <c r="AM661" s="2">
        <f t="shared" ca="1" si="657"/>
        <v>20663.066719246955</v>
      </c>
      <c r="AN661" s="2">
        <f t="shared" ca="1" si="658"/>
        <v>21471.840169504732</v>
      </c>
      <c r="AO661" s="2">
        <f t="shared" ca="1" si="659"/>
        <v>22312.269835305437</v>
      </c>
      <c r="AP661" s="2">
        <f t="shared" ca="1" si="660"/>
        <v>2103096.934438373</v>
      </c>
      <c r="AQ661" s="2">
        <f t="shared" ca="1" si="661"/>
        <v>850053.83436540968</v>
      </c>
      <c r="AR661" s="2">
        <f t="shared" ca="1" si="662"/>
        <v>936311.81058162323</v>
      </c>
      <c r="AS661" s="2">
        <f t="shared" ca="1" si="663"/>
        <v>994362.51914638584</v>
      </c>
      <c r="AT661" s="2">
        <f t="shared" ca="1" si="664"/>
        <v>1054685.3914946634</v>
      </c>
      <c r="AU661" s="2">
        <f t="shared" ca="1" si="665"/>
        <v>1117369.3624282321</v>
      </c>
      <c r="AV661" s="2">
        <f t="shared" ca="1" si="666"/>
        <v>2419383.9901169352</v>
      </c>
      <c r="AW661" s="2">
        <f t="shared" ca="1" si="667"/>
        <v>2645002.7037869301</v>
      </c>
      <c r="AX661" s="2">
        <f t="shared" ca="1" si="668"/>
        <v>2809445.6416204665</v>
      </c>
      <c r="AY661" s="2">
        <f t="shared" ca="1" si="669"/>
        <v>2980325.0433153072</v>
      </c>
      <c r="AZ661" s="2">
        <f t="shared" ca="1" si="670"/>
        <v>3157892.8386142785</v>
      </c>
      <c r="BA661" s="2">
        <f t="shared" ca="1" si="671"/>
        <v>58488802.942216426</v>
      </c>
      <c r="BB661" s="2">
        <f t="shared" ca="1" si="672"/>
        <v>1169776.0588443286</v>
      </c>
      <c r="BC661" s="2">
        <f t="shared" ca="1" si="673"/>
        <v>33951283.167390175</v>
      </c>
      <c r="BD661" s="2">
        <f t="shared" ca="1" si="674"/>
        <v>-17052151.798820533</v>
      </c>
      <c r="BE661" s="2">
        <f t="shared" ca="1" si="675"/>
        <v>2419383.9901169352</v>
      </c>
      <c r="BF661" s="2">
        <f t="shared" ca="1" si="676"/>
        <v>2645002.7037869301</v>
      </c>
      <c r="BG661" s="2">
        <f t="shared" ca="1" si="677"/>
        <v>2809445.6416204665</v>
      </c>
      <c r="BH661" s="2">
        <f t="shared" ca="1" si="678"/>
        <v>2980325.0433153072</v>
      </c>
      <c r="BI661" s="2">
        <f t="shared" ca="1" si="679"/>
        <v>37109176.006004453</v>
      </c>
      <c r="BJ661" s="2">
        <f t="shared" ca="1" si="680"/>
        <v>0.27443261462514168</v>
      </c>
      <c r="BK661" s="2">
        <f t="shared" ca="1" si="681"/>
        <v>12167093.858590074</v>
      </c>
    </row>
    <row r="662" spans="1:63" x14ac:dyDescent="0.3">
      <c r="A662" s="2">
        <v>661</v>
      </c>
      <c r="B662" s="2">
        <f t="shared" ca="1" si="620"/>
        <v>0.94634237696492463</v>
      </c>
      <c r="C662" s="2">
        <f t="shared" ca="1" si="621"/>
        <v>7.6724099420462357</v>
      </c>
      <c r="D662" s="2">
        <f t="shared" ca="1" si="622"/>
        <v>0.7178034353179803</v>
      </c>
      <c r="E662" s="2">
        <f t="shared" ca="1" si="623"/>
        <v>7.7487389738818875</v>
      </c>
      <c r="F662" s="2">
        <f t="shared" ca="1" si="624"/>
        <v>0.32173850614961796</v>
      </c>
      <c r="G662" s="2">
        <f t="shared" ca="1" si="625"/>
        <v>2.6114714413866622E-2</v>
      </c>
      <c r="H662" s="2">
        <f t="shared" ca="1" si="626"/>
        <v>2.6114714413866622E-2</v>
      </c>
      <c r="I662" s="2">
        <f t="shared" ca="1" si="627"/>
        <v>0.76216365211562298</v>
      </c>
      <c r="J662" s="2">
        <f t="shared" ca="1" si="628"/>
        <v>1.3566398505922197E-2</v>
      </c>
      <c r="K662" s="2">
        <f t="shared" ca="1" si="629"/>
        <v>1.3566398505922197E-2</v>
      </c>
      <c r="L662" s="2">
        <f t="shared" ca="1" si="630"/>
        <v>6.9240259341801336E-2</v>
      </c>
      <c r="M662" s="2">
        <f t="shared" ca="1" si="631"/>
        <v>-2.9629464198116861E-2</v>
      </c>
      <c r="N662" s="2">
        <f t="shared" ca="1" si="632"/>
        <v>-2.9629464198116861E-2</v>
      </c>
      <c r="O662" s="2">
        <f t="shared" si="633"/>
        <v>6000000</v>
      </c>
      <c r="P662" s="2">
        <f t="shared" ca="1" si="634"/>
        <v>46034459.652277417</v>
      </c>
      <c r="Q662" s="2">
        <f t="shared" ca="1" si="635"/>
        <v>1150861.4913069354</v>
      </c>
      <c r="R662" s="2">
        <f t="shared" ca="1" si="636"/>
        <v>27620675.79136645</v>
      </c>
      <c r="S662" s="2">
        <f t="shared" ca="1" si="637"/>
        <v>18413783.860910967</v>
      </c>
      <c r="T662" s="2">
        <f t="shared" ca="1" si="638"/>
        <v>48518526.79009416</v>
      </c>
      <c r="U662" s="2">
        <f t="shared" ca="1" si="639"/>
        <v>49785574.260999009</v>
      </c>
      <c r="V662" s="2">
        <f t="shared" ca="1" si="640"/>
        <v>51085710.31475535</v>
      </c>
      <c r="W662" s="2">
        <f t="shared" ca="1" si="641"/>
        <v>52419799.05025471</v>
      </c>
      <c r="X662" s="2">
        <f t="shared" ca="1" si="642"/>
        <v>53788727.132084392</v>
      </c>
      <c r="Y662" s="2">
        <f t="shared" ca="1" si="643"/>
        <v>0.12678319925296108</v>
      </c>
      <c r="Z662" s="2">
        <f t="shared" ca="1" si="644"/>
        <v>0.12949647895414554</v>
      </c>
      <c r="AA662" s="2">
        <f t="shared" ca="1" si="645"/>
        <v>6151334.0494886385</v>
      </c>
      <c r="AB662" s="2">
        <f t="shared" ca="1" si="646"/>
        <v>6447056.5695095081</v>
      </c>
      <c r="AC662" s="2">
        <f t="shared" ca="1" si="647"/>
        <v>6615419.610632292</v>
      </c>
      <c r="AD662" s="2">
        <f t="shared" ca="1" si="648"/>
        <v>6788179.4044918474</v>
      </c>
      <c r="AE662" s="2">
        <f t="shared" ca="1" si="649"/>
        <v>6965450.7710302435</v>
      </c>
      <c r="AF662" s="2">
        <f t="shared" ca="1" si="650"/>
        <v>970370.5358018832</v>
      </c>
      <c r="AG662" s="2">
        <f t="shared" ca="1" si="651"/>
        <v>995711.48521998024</v>
      </c>
      <c r="AH662" s="2">
        <f t="shared" ca="1" si="652"/>
        <v>1021714.206295107</v>
      </c>
      <c r="AI662" s="2">
        <f t="shared" ca="1" si="653"/>
        <v>1048395.9810050942</v>
      </c>
      <c r="AJ662" s="2">
        <f t="shared" ca="1" si="654"/>
        <v>1075774.5426416879</v>
      </c>
      <c r="AK662" s="2">
        <f t="shared" ca="1" si="655"/>
        <v>0</v>
      </c>
      <c r="AL662" s="2">
        <f t="shared" ca="1" si="656"/>
        <v>12670.474709048494</v>
      </c>
      <c r="AM662" s="2">
        <f t="shared" ca="1" si="657"/>
        <v>13001.360537563414</v>
      </c>
      <c r="AN662" s="2">
        <f t="shared" ca="1" si="658"/>
        <v>13340.887354993596</v>
      </c>
      <c r="AO662" s="2">
        <f t="shared" ca="1" si="659"/>
        <v>13689.28081829682</v>
      </c>
      <c r="AP662" s="2">
        <f t="shared" ca="1" si="660"/>
        <v>2485860.8212229805</v>
      </c>
      <c r="AQ662" s="2">
        <f t="shared" ca="1" si="661"/>
        <v>700726.70004058152</v>
      </c>
      <c r="AR662" s="2">
        <f t="shared" ca="1" si="662"/>
        <v>771025.90839730226</v>
      </c>
      <c r="AS662" s="2">
        <f t="shared" ca="1" si="663"/>
        <v>808039.59160969302</v>
      </c>
      <c r="AT662" s="2">
        <f t="shared" ca="1" si="664"/>
        <v>846019.87658858101</v>
      </c>
      <c r="AU662" s="2">
        <f t="shared" ca="1" si="665"/>
        <v>884992.00586304953</v>
      </c>
      <c r="AV662" s="2">
        <f t="shared" ca="1" si="666"/>
        <v>1994375.9924231935</v>
      </c>
      <c r="AW662" s="2">
        <f t="shared" ca="1" si="667"/>
        <v>2181787.8799601961</v>
      </c>
      <c r="AX662" s="2">
        <f t="shared" ca="1" si="668"/>
        <v>2286803.6309669474</v>
      </c>
      <c r="AY662" s="2">
        <f t="shared" ca="1" si="669"/>
        <v>2394561.8383201985</v>
      </c>
      <c r="AZ662" s="2">
        <f t="shared" ca="1" si="670"/>
        <v>2505134.1204842282</v>
      </c>
      <c r="BA662" s="2">
        <f t="shared" ca="1" si="671"/>
        <v>53973459.860137694</v>
      </c>
      <c r="BB662" s="2">
        <f t="shared" ca="1" si="672"/>
        <v>1079469.197202754</v>
      </c>
      <c r="BC662" s="2">
        <f t="shared" ca="1" si="673"/>
        <v>25273314.87156849</v>
      </c>
      <c r="BD662" s="2">
        <f t="shared" ca="1" si="674"/>
        <v>-20064645.352217901</v>
      </c>
      <c r="BE662" s="2">
        <f t="shared" ca="1" si="675"/>
        <v>1994375.9924231935</v>
      </c>
      <c r="BF662" s="2">
        <f t="shared" ca="1" si="676"/>
        <v>2181787.8799601961</v>
      </c>
      <c r="BG662" s="2">
        <f t="shared" ca="1" si="677"/>
        <v>2286803.6309669474</v>
      </c>
      <c r="BH662" s="2">
        <f t="shared" ca="1" si="678"/>
        <v>2394561.8383201985</v>
      </c>
      <c r="BI662" s="2">
        <f t="shared" ca="1" si="679"/>
        <v>27778448.992052719</v>
      </c>
      <c r="BJ662" s="2">
        <f t="shared" ca="1" si="680"/>
        <v>0.15003895015730584</v>
      </c>
      <c r="BK662" s="2">
        <f t="shared" ca="1" si="681"/>
        <v>2367082.3997402526</v>
      </c>
    </row>
    <row r="663" spans="1:63" x14ac:dyDescent="0.3">
      <c r="A663" s="2">
        <v>662</v>
      </c>
      <c r="B663" s="2">
        <f t="shared" ca="1" si="620"/>
        <v>9.7463723180043482E-2</v>
      </c>
      <c r="C663" s="2">
        <f t="shared" ca="1" si="621"/>
        <v>6.4415058848532905</v>
      </c>
      <c r="D663" s="2">
        <f t="shared" ca="1" si="622"/>
        <v>0.96149469658438835</v>
      </c>
      <c r="E663" s="2">
        <f t="shared" ca="1" si="623"/>
        <v>8.222492149964685</v>
      </c>
      <c r="F663" s="2">
        <f t="shared" ca="1" si="624"/>
        <v>0.42769260863566438</v>
      </c>
      <c r="G663" s="2">
        <f t="shared" ca="1" si="625"/>
        <v>3.4532449599212423E-2</v>
      </c>
      <c r="H663" s="2">
        <f t="shared" ca="1" si="626"/>
        <v>3.4532449599212423E-2</v>
      </c>
      <c r="I663" s="2">
        <f t="shared" ca="1" si="627"/>
        <v>0.11036810347714154</v>
      </c>
      <c r="J663" s="2">
        <f t="shared" ca="1" si="628"/>
        <v>3.8771358080647855E-3</v>
      </c>
      <c r="K663" s="2">
        <f t="shared" ca="1" si="629"/>
        <v>3.8771358080647855E-3</v>
      </c>
      <c r="L663" s="2">
        <f t="shared" ca="1" si="630"/>
        <v>4.5434201061393509E-2</v>
      </c>
      <c r="M663" s="2">
        <f t="shared" ca="1" si="631"/>
        <v>-3.3816691452185542E-2</v>
      </c>
      <c r="N663" s="2">
        <f t="shared" ca="1" si="632"/>
        <v>-3.3816691452185542E-2</v>
      </c>
      <c r="O663" s="2">
        <f t="shared" si="633"/>
        <v>6000000</v>
      </c>
      <c r="P663" s="2">
        <f t="shared" ca="1" si="634"/>
        <v>38649035.309119746</v>
      </c>
      <c r="Q663" s="2">
        <f t="shared" ca="1" si="635"/>
        <v>966225.88272799365</v>
      </c>
      <c r="R663" s="2">
        <f t="shared" ca="1" si="636"/>
        <v>23189421.185471848</v>
      </c>
      <c r="S663" s="2">
        <f t="shared" ca="1" si="637"/>
        <v>15459614.123647898</v>
      </c>
      <c r="T663" s="2">
        <f t="shared" ca="1" si="638"/>
        <v>48309165.427390724</v>
      </c>
      <c r="U663" s="2">
        <f t="shared" ca="1" si="639"/>
        <v>49977399.247692116</v>
      </c>
      <c r="V663" s="2">
        <f t="shared" ca="1" si="640"/>
        <v>51703241.268312767</v>
      </c>
      <c r="W663" s="2">
        <f t="shared" ca="1" si="641"/>
        <v>53488680.841526702</v>
      </c>
      <c r="X663" s="2">
        <f t="shared" ca="1" si="642"/>
        <v>55335776.016815089</v>
      </c>
      <c r="Y663" s="2">
        <f t="shared" ca="1" si="643"/>
        <v>0.12193856790403239</v>
      </c>
      <c r="Z663" s="2">
        <f t="shared" ca="1" si="644"/>
        <v>0.12271399506564534</v>
      </c>
      <c r="AA663" s="2">
        <f t="shared" ca="1" si="645"/>
        <v>5890750.4488550173</v>
      </c>
      <c r="AB663" s="2">
        <f t="shared" ca="1" si="646"/>
        <v>6132926.3246750776</v>
      </c>
      <c r="AC663" s="2">
        <f t="shared" ca="1" si="647"/>
        <v>6344711.2938776035</v>
      </c>
      <c r="AD663" s="2">
        <f t="shared" ca="1" si="648"/>
        <v>6563809.7168549867</v>
      </c>
      <c r="AE663" s="2">
        <f t="shared" ca="1" si="649"/>
        <v>6790474.1450811028</v>
      </c>
      <c r="AF663" s="2">
        <f t="shared" ca="1" si="650"/>
        <v>966183.30854781449</v>
      </c>
      <c r="AG663" s="2">
        <f t="shared" ca="1" si="651"/>
        <v>999547.98495384236</v>
      </c>
      <c r="AH663" s="2">
        <f t="shared" ca="1" si="652"/>
        <v>1034064.8253662554</v>
      </c>
      <c r="AI663" s="2">
        <f t="shared" ca="1" si="653"/>
        <v>1069773.6168305341</v>
      </c>
      <c r="AJ663" s="2">
        <f t="shared" ca="1" si="654"/>
        <v>1106715.5203363018</v>
      </c>
      <c r="AK663" s="2">
        <f t="shared" ca="1" si="655"/>
        <v>0</v>
      </c>
      <c r="AL663" s="2">
        <f t="shared" ca="1" si="656"/>
        <v>16682.338203013911</v>
      </c>
      <c r="AM663" s="2">
        <f t="shared" ca="1" si="657"/>
        <v>17258.420206206516</v>
      </c>
      <c r="AN663" s="2">
        <f t="shared" ca="1" si="658"/>
        <v>17854.39573213935</v>
      </c>
      <c r="AO663" s="2">
        <f t="shared" ca="1" si="659"/>
        <v>18470.951752883866</v>
      </c>
      <c r="AP663" s="2">
        <f t="shared" ca="1" si="660"/>
        <v>2087047.9066924662</v>
      </c>
      <c r="AQ663" s="2">
        <f t="shared" ca="1" si="661"/>
        <v>737755.00073983159</v>
      </c>
      <c r="AR663" s="2">
        <f t="shared" ca="1" si="662"/>
        <v>792045.91258748004</v>
      </c>
      <c r="AS663" s="2">
        <f t="shared" ca="1" si="663"/>
        <v>838135.62607290945</v>
      </c>
      <c r="AT663" s="2">
        <f t="shared" ca="1" si="664"/>
        <v>885816.9302663164</v>
      </c>
      <c r="AU663" s="2">
        <f t="shared" ca="1" si="665"/>
        <v>935144.78669360699</v>
      </c>
      <c r="AV663" s="2">
        <f t="shared" ca="1" si="666"/>
        <v>2099764.2328749052</v>
      </c>
      <c r="AW663" s="2">
        <f t="shared" ca="1" si="667"/>
        <v>2237602.1822382757</v>
      </c>
      <c r="AX663" s="2">
        <f t="shared" ca="1" si="668"/>
        <v>2368204.5155397658</v>
      </c>
      <c r="AY663" s="2">
        <f t="shared" ca="1" si="669"/>
        <v>2503316.8673335309</v>
      </c>
      <c r="AZ663" s="2">
        <f t="shared" ca="1" si="670"/>
        <v>2643094.9796058438</v>
      </c>
      <c r="BA663" s="2">
        <f t="shared" ca="1" si="671"/>
        <v>55834620.352467522</v>
      </c>
      <c r="BB663" s="2">
        <f t="shared" ca="1" si="672"/>
        <v>1116692.4070493504</v>
      </c>
      <c r="BC663" s="2">
        <f t="shared" ca="1" si="673"/>
        <v>31528506.759946324</v>
      </c>
      <c r="BD663" s="2">
        <f t="shared" ca="1" si="674"/>
        <v>-16925840.006375894</v>
      </c>
      <c r="BE663" s="2">
        <f t="shared" ca="1" si="675"/>
        <v>2099764.2328749052</v>
      </c>
      <c r="BF663" s="2">
        <f t="shared" ca="1" si="676"/>
        <v>2237602.1822382757</v>
      </c>
      <c r="BG663" s="2">
        <f t="shared" ca="1" si="677"/>
        <v>2368204.5155397658</v>
      </c>
      <c r="BH663" s="2">
        <f t="shared" ca="1" si="678"/>
        <v>2503316.8673335309</v>
      </c>
      <c r="BI663" s="2">
        <f t="shared" ca="1" si="679"/>
        <v>34171601.73955217</v>
      </c>
      <c r="BJ663" s="2">
        <f t="shared" ca="1" si="680"/>
        <v>0.24317141325588443</v>
      </c>
      <c r="BK663" s="2">
        <f t="shared" ca="1" si="681"/>
        <v>9399181.0993898064</v>
      </c>
    </row>
    <row r="664" spans="1:63" x14ac:dyDescent="0.3">
      <c r="A664" s="2">
        <v>663</v>
      </c>
      <c r="B664" s="2">
        <f t="shared" ca="1" si="620"/>
        <v>0.77130099111650841</v>
      </c>
      <c r="C664" s="2">
        <f t="shared" ca="1" si="621"/>
        <v>7.3236879287141301</v>
      </c>
      <c r="D664" s="2">
        <f t="shared" ca="1" si="622"/>
        <v>0.65216680552365192</v>
      </c>
      <c r="E664" s="2">
        <f t="shared" ca="1" si="623"/>
        <v>7.6659338221983244</v>
      </c>
      <c r="F664" s="2">
        <f t="shared" ca="1" si="624"/>
        <v>0.19391849489635726</v>
      </c>
      <c r="G664" s="2">
        <f t="shared" ca="1" si="625"/>
        <v>1.4093600914042971E-2</v>
      </c>
      <c r="H664" s="2">
        <f t="shared" ca="1" si="626"/>
        <v>1.4093600914042971E-2</v>
      </c>
      <c r="I664" s="2">
        <f t="shared" ca="1" si="627"/>
        <v>0.55938074402644034</v>
      </c>
      <c r="J664" s="2">
        <f t="shared" ca="1" si="628"/>
        <v>1.0746996830179644E-2</v>
      </c>
      <c r="K664" s="2">
        <f t="shared" ca="1" si="629"/>
        <v>1.0746996830179644E-2</v>
      </c>
      <c r="L664" s="2">
        <f t="shared" ca="1" si="630"/>
        <v>0.4184193169849344</v>
      </c>
      <c r="M664" s="2">
        <f t="shared" ca="1" si="631"/>
        <v>-4.1187781250904025E-3</v>
      </c>
      <c r="N664" s="2">
        <f t="shared" ca="1" si="632"/>
        <v>-4.1187781250904025E-3</v>
      </c>
      <c r="O664" s="2">
        <f t="shared" si="633"/>
        <v>6000000</v>
      </c>
      <c r="P664" s="2">
        <f t="shared" ca="1" si="634"/>
        <v>43942127.57228478</v>
      </c>
      <c r="Q664" s="2">
        <f t="shared" ca="1" si="635"/>
        <v>1098553.1893071195</v>
      </c>
      <c r="R664" s="2">
        <f t="shared" ca="1" si="636"/>
        <v>26365276.543370869</v>
      </c>
      <c r="S664" s="2">
        <f t="shared" ca="1" si="637"/>
        <v>17576851.028913911</v>
      </c>
      <c r="T664" s="2">
        <f t="shared" ca="1" si="638"/>
        <v>49794061.093745477</v>
      </c>
      <c r="U664" s="2">
        <f t="shared" ca="1" si="639"/>
        <v>50495838.718690194</v>
      </c>
      <c r="V664" s="2">
        <f t="shared" ca="1" si="640"/>
        <v>51207506.91741129</v>
      </c>
      <c r="W664" s="2">
        <f t="shared" ca="1" si="641"/>
        <v>51929205.083708376</v>
      </c>
      <c r="X664" s="2">
        <f t="shared" ca="1" si="642"/>
        <v>52661074.575941645</v>
      </c>
      <c r="Y664" s="2">
        <f t="shared" ca="1" si="643"/>
        <v>0.12537349841508982</v>
      </c>
      <c r="Z664" s="2">
        <f t="shared" ca="1" si="644"/>
        <v>0.12752289778112574</v>
      </c>
      <c r="AA664" s="2">
        <f t="shared" ca="1" si="645"/>
        <v>6242855.6396175846</v>
      </c>
      <c r="AB664" s="2">
        <f t="shared" ca="1" si="646"/>
        <v>6439375.679295741</v>
      </c>
      <c r="AC664" s="2">
        <f t="shared" ca="1" si="647"/>
        <v>6530129.6702553295</v>
      </c>
      <c r="AD664" s="2">
        <f t="shared" ca="1" si="648"/>
        <v>6622162.7117448589</v>
      </c>
      <c r="AE664" s="2">
        <f t="shared" ca="1" si="649"/>
        <v>6715492.8301920462</v>
      </c>
      <c r="AF664" s="2">
        <f t="shared" ca="1" si="650"/>
        <v>995881.22187490959</v>
      </c>
      <c r="AG664" s="2">
        <f t="shared" ca="1" si="651"/>
        <v>1009916.7743738039</v>
      </c>
      <c r="AH664" s="2">
        <f t="shared" ca="1" si="652"/>
        <v>1024150.1383482259</v>
      </c>
      <c r="AI664" s="2">
        <f t="shared" ca="1" si="653"/>
        <v>1038584.1016741676</v>
      </c>
      <c r="AJ664" s="2">
        <f t="shared" ca="1" si="654"/>
        <v>1053221.491518833</v>
      </c>
      <c r="AK664" s="2">
        <f t="shared" ca="1" si="655"/>
        <v>0</v>
      </c>
      <c r="AL664" s="2">
        <f t="shared" ca="1" si="656"/>
        <v>7017.7762494471672</v>
      </c>
      <c r="AM664" s="2">
        <f t="shared" ca="1" si="657"/>
        <v>7116.6819872109591</v>
      </c>
      <c r="AN664" s="2">
        <f t="shared" ca="1" si="658"/>
        <v>7216.9816629708557</v>
      </c>
      <c r="AO664" s="2">
        <f t="shared" ca="1" si="659"/>
        <v>7318.6949223326892</v>
      </c>
      <c r="AP664" s="2">
        <f t="shared" ca="1" si="660"/>
        <v>2372874.888903378</v>
      </c>
      <c r="AQ664" s="2">
        <f t="shared" ca="1" si="661"/>
        <v>747265.87749821728</v>
      </c>
      <c r="AR664" s="2">
        <f t="shared" ca="1" si="662"/>
        <v>794711.84416482528</v>
      </c>
      <c r="AS664" s="2">
        <f t="shared" ca="1" si="663"/>
        <v>814607.20718096872</v>
      </c>
      <c r="AT664" s="2">
        <f t="shared" ca="1" si="664"/>
        <v>834782.96750350157</v>
      </c>
      <c r="AU664" s="2">
        <f t="shared" ca="1" si="665"/>
        <v>855243.07694015722</v>
      </c>
      <c r="AV664" s="2">
        <f t="shared" ca="1" si="666"/>
        <v>2126833.6513410802</v>
      </c>
      <c r="AW664" s="2">
        <f t="shared" ca="1" si="667"/>
        <v>2254854.3956042868</v>
      </c>
      <c r="AX664" s="2">
        <f t="shared" ca="1" si="668"/>
        <v>2311380.7538355463</v>
      </c>
      <c r="AY664" s="2">
        <f t="shared" ca="1" si="669"/>
        <v>2368703.7720008413</v>
      </c>
      <c r="AZ664" s="2">
        <f t="shared" ca="1" si="670"/>
        <v>2426834.6779073454</v>
      </c>
      <c r="BA664" s="2">
        <f t="shared" ca="1" si="671"/>
        <v>51480523.619699553</v>
      </c>
      <c r="BB664" s="2">
        <f t="shared" ca="1" si="672"/>
        <v>1029610.4723939911</v>
      </c>
      <c r="BC664" s="2">
        <f t="shared" ca="1" si="673"/>
        <v>24085636.603934694</v>
      </c>
      <c r="BD664" s="2">
        <f t="shared" ca="1" si="674"/>
        <v>-19175404.218221031</v>
      </c>
      <c r="BE664" s="2">
        <f t="shared" ca="1" si="675"/>
        <v>2126833.6513410802</v>
      </c>
      <c r="BF664" s="2">
        <f t="shared" ca="1" si="676"/>
        <v>2254854.3956042868</v>
      </c>
      <c r="BG664" s="2">
        <f t="shared" ca="1" si="677"/>
        <v>2311380.7538355463</v>
      </c>
      <c r="BH664" s="2">
        <f t="shared" ca="1" si="678"/>
        <v>2368703.7720008413</v>
      </c>
      <c r="BI664" s="2">
        <f t="shared" ca="1" si="679"/>
        <v>26512471.281842038</v>
      </c>
      <c r="BJ664" s="2">
        <f t="shared" ca="1" si="680"/>
        <v>0.15625172857245717</v>
      </c>
      <c r="BK664" s="2">
        <f t="shared" ca="1" si="681"/>
        <v>2715547.9700262845</v>
      </c>
    </row>
    <row r="665" spans="1:63" x14ac:dyDescent="0.3">
      <c r="A665" s="2">
        <v>664</v>
      </c>
      <c r="B665" s="2">
        <f t="shared" ca="1" si="620"/>
        <v>0.87284110287385008</v>
      </c>
      <c r="C665" s="2">
        <f t="shared" ca="1" si="621"/>
        <v>7.4957006898157603</v>
      </c>
      <c r="D665" s="2">
        <f t="shared" ca="1" si="622"/>
        <v>0.80376992276471537</v>
      </c>
      <c r="E665" s="2">
        <f t="shared" ca="1" si="623"/>
        <v>7.8735335966944682</v>
      </c>
      <c r="F665" s="2">
        <f t="shared" ca="1" si="624"/>
        <v>0.67670847503197706</v>
      </c>
      <c r="G665" s="2">
        <f t="shared" ca="1" si="625"/>
        <v>5.3755426546974724E-2</v>
      </c>
      <c r="H665" s="2">
        <f t="shared" ca="1" si="626"/>
        <v>5.3755426546974724E-2</v>
      </c>
      <c r="I665" s="2">
        <f t="shared" ca="1" si="627"/>
        <v>0.91805874468038184</v>
      </c>
      <c r="J665" s="2">
        <f t="shared" ca="1" si="628"/>
        <v>1.6960658662543218E-2</v>
      </c>
      <c r="K665" s="2">
        <f t="shared" ca="1" si="629"/>
        <v>1.6960658662543218E-2</v>
      </c>
      <c r="L665" s="2">
        <f t="shared" ca="1" si="630"/>
        <v>0.74040225959401496</v>
      </c>
      <c r="M665" s="2">
        <f t="shared" ca="1" si="631"/>
        <v>1.2891720894962056E-2</v>
      </c>
      <c r="N665" s="2">
        <f t="shared" ca="1" si="632"/>
        <v>1.2891720894962056E-2</v>
      </c>
      <c r="O665" s="2">
        <f t="shared" si="633"/>
        <v>6000000</v>
      </c>
      <c r="P665" s="2">
        <f t="shared" ca="1" si="634"/>
        <v>44974204.138894565</v>
      </c>
      <c r="Q665" s="2">
        <f t="shared" ca="1" si="635"/>
        <v>1124355.1034723641</v>
      </c>
      <c r="R665" s="2">
        <f t="shared" ca="1" si="636"/>
        <v>26984522.483336739</v>
      </c>
      <c r="S665" s="2">
        <f t="shared" ca="1" si="637"/>
        <v>17989681.655557826</v>
      </c>
      <c r="T665" s="2">
        <f t="shared" ca="1" si="638"/>
        <v>50644586.044748105</v>
      </c>
      <c r="U665" s="2">
        <f t="shared" ca="1" si="639"/>
        <v>53367007.369878501</v>
      </c>
      <c r="V665" s="2">
        <f t="shared" ca="1" si="640"/>
        <v>56235773.614581861</v>
      </c>
      <c r="W665" s="2">
        <f t="shared" ca="1" si="641"/>
        <v>59258751.612432808</v>
      </c>
      <c r="X665" s="2">
        <f t="shared" ca="1" si="642"/>
        <v>62444231.082000352</v>
      </c>
      <c r="Y665" s="2">
        <f t="shared" ca="1" si="643"/>
        <v>0.1284803293312716</v>
      </c>
      <c r="Z665" s="2">
        <f t="shared" ca="1" si="644"/>
        <v>0.13187246106378026</v>
      </c>
      <c r="AA665" s="2">
        <f t="shared" ca="1" si="645"/>
        <v>6506833.0938751586</v>
      </c>
      <c r="AB665" s="2">
        <f t="shared" ca="1" si="646"/>
        <v>7037638.6014747769</v>
      </c>
      <c r="AC665" s="2">
        <f t="shared" ca="1" si="647"/>
        <v>7415949.8663805071</v>
      </c>
      <c r="AD665" s="2">
        <f t="shared" ca="1" si="648"/>
        <v>7814597.4146987712</v>
      </c>
      <c r="AE665" s="2">
        <f t="shared" ca="1" si="649"/>
        <v>8234674.4320187885</v>
      </c>
      <c r="AF665" s="2">
        <f t="shared" ca="1" si="650"/>
        <v>1012891.7208949621</v>
      </c>
      <c r="AG665" s="2">
        <f t="shared" ca="1" si="651"/>
        <v>1067340.1473975701</v>
      </c>
      <c r="AH665" s="2">
        <f t="shared" ca="1" si="652"/>
        <v>1124715.4722916372</v>
      </c>
      <c r="AI665" s="2">
        <f t="shared" ca="1" si="653"/>
        <v>1185175.0322486563</v>
      </c>
      <c r="AJ665" s="2">
        <f t="shared" ca="1" si="654"/>
        <v>1248884.621640007</v>
      </c>
      <c r="AK665" s="2">
        <f t="shared" ca="1" si="655"/>
        <v>0</v>
      </c>
      <c r="AL665" s="2">
        <f t="shared" ca="1" si="656"/>
        <v>27224.213251303958</v>
      </c>
      <c r="AM665" s="2">
        <f t="shared" ca="1" si="657"/>
        <v>28687.662447033599</v>
      </c>
      <c r="AN665" s="2">
        <f t="shared" ca="1" si="658"/>
        <v>30229.779978509472</v>
      </c>
      <c r="AO665" s="2">
        <f t="shared" ca="1" si="659"/>
        <v>31854.794695675449</v>
      </c>
      <c r="AP665" s="2">
        <f t="shared" ca="1" si="660"/>
        <v>2428607.0235003065</v>
      </c>
      <c r="AQ665" s="2">
        <f t="shared" ca="1" si="661"/>
        <v>796986.93086477125</v>
      </c>
      <c r="AR665" s="2">
        <f t="shared" ca="1" si="662"/>
        <v>920839.77194999403</v>
      </c>
      <c r="AS665" s="2">
        <f t="shared" ca="1" si="663"/>
        <v>1004283.1163530265</v>
      </c>
      <c r="AT665" s="2">
        <f t="shared" ca="1" si="664"/>
        <v>1092211.9933269501</v>
      </c>
      <c r="AU665" s="2">
        <f t="shared" ca="1" si="665"/>
        <v>1184867.5245884035</v>
      </c>
      <c r="AV665" s="2">
        <f t="shared" ca="1" si="666"/>
        <v>2268347.4186151186</v>
      </c>
      <c r="AW665" s="2">
        <f t="shared" ca="1" si="667"/>
        <v>2593627.4453756018</v>
      </c>
      <c r="AX665" s="2">
        <f t="shared" ca="1" si="668"/>
        <v>2829656.5917885033</v>
      </c>
      <c r="AY665" s="2">
        <f t="shared" ca="1" si="669"/>
        <v>3078373.5856443495</v>
      </c>
      <c r="AZ665" s="2">
        <f t="shared" ca="1" si="670"/>
        <v>3340460.4675943963</v>
      </c>
      <c r="BA665" s="2">
        <f t="shared" ca="1" si="671"/>
        <v>64835985.798340872</v>
      </c>
      <c r="BB665" s="2">
        <f t="shared" ca="1" si="672"/>
        <v>1296719.7159668175</v>
      </c>
      <c r="BC665" s="2">
        <f t="shared" ca="1" si="673"/>
        <v>36554743.599037312</v>
      </c>
      <c r="BD665" s="2">
        <f t="shared" ca="1" si="674"/>
        <v>-19614036.759030189</v>
      </c>
      <c r="BE665" s="2">
        <f t="shared" ca="1" si="675"/>
        <v>2268347.4186151186</v>
      </c>
      <c r="BF665" s="2">
        <f t="shared" ca="1" si="676"/>
        <v>2593627.4453756018</v>
      </c>
      <c r="BG665" s="2">
        <f t="shared" ca="1" si="677"/>
        <v>2829656.5917885033</v>
      </c>
      <c r="BH665" s="2">
        <f t="shared" ca="1" si="678"/>
        <v>3078373.5856443495</v>
      </c>
      <c r="BI665" s="2">
        <f t="shared" ca="1" si="679"/>
        <v>39895204.066631705</v>
      </c>
      <c r="BJ665" s="2">
        <f t="shared" ca="1" si="680"/>
        <v>0.24448479141667567</v>
      </c>
      <c r="BK665" s="2">
        <f t="shared" ca="1" si="681"/>
        <v>11086963.293935262</v>
      </c>
    </row>
    <row r="666" spans="1:63" x14ac:dyDescent="0.3">
      <c r="A666" s="2">
        <v>665</v>
      </c>
      <c r="B666" s="2">
        <f t="shared" ca="1" si="620"/>
        <v>0.601697128278047</v>
      </c>
      <c r="C666" s="2">
        <f t="shared" ca="1" si="621"/>
        <v>7.1074722730111368</v>
      </c>
      <c r="D666" s="2">
        <f t="shared" ca="1" si="622"/>
        <v>0.34513920592927361</v>
      </c>
      <c r="E666" s="2">
        <f t="shared" ca="1" si="623"/>
        <v>7.330829953635849</v>
      </c>
      <c r="F666" s="2">
        <f t="shared" ca="1" si="624"/>
        <v>0.90799899303215692</v>
      </c>
      <c r="G666" s="2">
        <f t="shared" ca="1" si="625"/>
        <v>7.9855996847812638E-2</v>
      </c>
      <c r="H666" s="2">
        <f t="shared" ca="1" si="626"/>
        <v>7.9855996847812638E-2</v>
      </c>
      <c r="I666" s="2">
        <f t="shared" ca="1" si="627"/>
        <v>0.88797013850738005</v>
      </c>
      <c r="J666" s="2">
        <f t="shared" ca="1" si="628"/>
        <v>1.6079018316636714E-2</v>
      </c>
      <c r="K666" s="2">
        <f t="shared" ca="1" si="629"/>
        <v>1.6079018316636714E-2</v>
      </c>
      <c r="L666" s="2">
        <f t="shared" ca="1" si="630"/>
        <v>0.55675707028718013</v>
      </c>
      <c r="M666" s="2">
        <f t="shared" ca="1" si="631"/>
        <v>2.8550447541543385E-3</v>
      </c>
      <c r="N666" s="2">
        <f t="shared" ca="1" si="632"/>
        <v>2.8550447541543385E-3</v>
      </c>
      <c r="O666" s="2">
        <f t="shared" si="633"/>
        <v>6000000</v>
      </c>
      <c r="P666" s="2">
        <f t="shared" ca="1" si="634"/>
        <v>42644833.638066821</v>
      </c>
      <c r="Q666" s="2">
        <f t="shared" ca="1" si="635"/>
        <v>1066120.8409516707</v>
      </c>
      <c r="R666" s="2">
        <f t="shared" ca="1" si="636"/>
        <v>25586900.18284009</v>
      </c>
      <c r="S666" s="2">
        <f t="shared" ca="1" si="637"/>
        <v>17057933.455226731</v>
      </c>
      <c r="T666" s="2">
        <f t="shared" ca="1" si="638"/>
        <v>50142752.237707719</v>
      </c>
      <c r="U666" s="2">
        <f t="shared" ca="1" si="639"/>
        <v>54146951.702342749</v>
      </c>
      <c r="V666" s="2">
        <f t="shared" ca="1" si="640"/>
        <v>58470910.506803691</v>
      </c>
      <c r="W666" s="2">
        <f t="shared" ca="1" si="641"/>
        <v>63140163.351923734</v>
      </c>
      <c r="X666" s="2">
        <f t="shared" ca="1" si="642"/>
        <v>68182284.037525326</v>
      </c>
      <c r="Y666" s="2">
        <f t="shared" ca="1" si="643"/>
        <v>0.12803950915831835</v>
      </c>
      <c r="Z666" s="2">
        <f t="shared" ca="1" si="644"/>
        <v>0.13125531282164571</v>
      </c>
      <c r="AA666" s="2">
        <f t="shared" ca="1" si="645"/>
        <v>6420253.3843632657</v>
      </c>
      <c r="AB666" s="2">
        <f t="shared" ca="1" si="646"/>
        <v>7107075.0840295395</v>
      </c>
      <c r="AC666" s="2">
        <f t="shared" ca="1" si="647"/>
        <v>7674617.6495369691</v>
      </c>
      <c r="AD666" s="2">
        <f t="shared" ca="1" si="648"/>
        <v>8287481.8923665602</v>
      </c>
      <c r="AE666" s="2">
        <f t="shared" ca="1" si="649"/>
        <v>8949287.0202396866</v>
      </c>
      <c r="AF666" s="2">
        <f t="shared" ca="1" si="650"/>
        <v>1002855.0447541544</v>
      </c>
      <c r="AG666" s="2">
        <f t="shared" ca="1" si="651"/>
        <v>1082939.0340468551</v>
      </c>
      <c r="AH666" s="2">
        <f t="shared" ca="1" si="652"/>
        <v>1169418.2101360739</v>
      </c>
      <c r="AI666" s="2">
        <f t="shared" ca="1" si="653"/>
        <v>1262803.2670384748</v>
      </c>
      <c r="AJ666" s="2">
        <f t="shared" ca="1" si="654"/>
        <v>1363645.6807505065</v>
      </c>
      <c r="AK666" s="2">
        <f t="shared" ca="1" si="655"/>
        <v>0</v>
      </c>
      <c r="AL666" s="2">
        <f t="shared" ca="1" si="656"/>
        <v>40041.994646350293</v>
      </c>
      <c r="AM666" s="2">
        <f t="shared" ca="1" si="657"/>
        <v>43239.588044609431</v>
      </c>
      <c r="AN666" s="2">
        <f t="shared" ca="1" si="658"/>
        <v>46692.528451200429</v>
      </c>
      <c r="AO666" s="2">
        <f t="shared" ca="1" si="659"/>
        <v>50421.206856015924</v>
      </c>
      <c r="AP666" s="2">
        <f t="shared" ca="1" si="660"/>
        <v>2302821.016455608</v>
      </c>
      <c r="AQ666" s="2">
        <f t="shared" ca="1" si="661"/>
        <v>809790.10401991103</v>
      </c>
      <c r="AR666" s="2">
        <f t="shared" ca="1" si="662"/>
        <v>967541.90871703997</v>
      </c>
      <c r="AS666" s="2">
        <f t="shared" ca="1" si="663"/>
        <v>1092618.3899657747</v>
      </c>
      <c r="AT666" s="2">
        <f t="shared" ca="1" si="664"/>
        <v>1227682.9783068441</v>
      </c>
      <c r="AU666" s="2">
        <f t="shared" ca="1" si="665"/>
        <v>1373533.2839887291</v>
      </c>
      <c r="AV666" s="2">
        <f t="shared" ca="1" si="666"/>
        <v>2304787.2191335927</v>
      </c>
      <c r="AW666" s="2">
        <f t="shared" ca="1" si="667"/>
        <v>2713731.1301636868</v>
      </c>
      <c r="AX666" s="2">
        <f t="shared" ca="1" si="668"/>
        <v>3066520.4449349032</v>
      </c>
      <c r="AY666" s="2">
        <f t="shared" ca="1" si="669"/>
        <v>3447482.102114433</v>
      </c>
      <c r="AZ666" s="2">
        <f t="shared" ca="1" si="670"/>
        <v>3858865.8321888275</v>
      </c>
      <c r="BA666" s="2">
        <f t="shared" ca="1" si="671"/>
        <v>65605701.351657607</v>
      </c>
      <c r="BB666" s="2">
        <f t="shared" ca="1" si="672"/>
        <v>1312114.0270331521</v>
      </c>
      <c r="BC666" s="2">
        <f t="shared" ca="1" si="673"/>
        <v>38706687.14178437</v>
      </c>
      <c r="BD666" s="2">
        <f t="shared" ca="1" si="674"/>
        <v>-18624054.296178401</v>
      </c>
      <c r="BE666" s="2">
        <f t="shared" ca="1" si="675"/>
        <v>2304787.2191335927</v>
      </c>
      <c r="BF666" s="2">
        <f t="shared" ca="1" si="676"/>
        <v>2713731.1301636868</v>
      </c>
      <c r="BG666" s="2">
        <f t="shared" ca="1" si="677"/>
        <v>3066520.4449349032</v>
      </c>
      <c r="BH666" s="2">
        <f t="shared" ca="1" si="678"/>
        <v>3447482.102114433</v>
      </c>
      <c r="BI666" s="2">
        <f t="shared" ca="1" si="679"/>
        <v>42565552.9739732</v>
      </c>
      <c r="BJ666" s="2">
        <f t="shared" ca="1" si="680"/>
        <v>0.279459328800159</v>
      </c>
      <c r="BK666" s="2">
        <f t="shared" ca="1" si="681"/>
        <v>14123625.046513528</v>
      </c>
    </row>
    <row r="667" spans="1:63" x14ac:dyDescent="0.3">
      <c r="A667" s="2">
        <v>666</v>
      </c>
      <c r="B667" s="2">
        <f t="shared" ca="1" si="620"/>
        <v>0.55091141533230914</v>
      </c>
      <c r="C667" s="2">
        <f t="shared" ca="1" si="621"/>
        <v>7.0522779050083395</v>
      </c>
      <c r="D667" s="2">
        <f t="shared" ca="1" si="622"/>
        <v>0.27275180488435935</v>
      </c>
      <c r="E667" s="2">
        <f t="shared" ca="1" si="623"/>
        <v>7.2385821618267796</v>
      </c>
      <c r="F667" s="2">
        <f t="shared" ca="1" si="624"/>
        <v>5.3301342688796827E-2</v>
      </c>
      <c r="G667" s="2">
        <f t="shared" ca="1" si="625"/>
        <v>-8.4095939409001147E-3</v>
      </c>
      <c r="H667" s="2">
        <f t="shared" ca="1" si="626"/>
        <v>-8.4095939409001147E-3</v>
      </c>
      <c r="I667" s="2">
        <f t="shared" ca="1" si="627"/>
        <v>0.96539780821077448</v>
      </c>
      <c r="J667" s="2">
        <f t="shared" ca="1" si="628"/>
        <v>1.9085415711883075E-2</v>
      </c>
      <c r="K667" s="2">
        <f t="shared" ca="1" si="629"/>
        <v>1.9085415711883075E-2</v>
      </c>
      <c r="L667" s="2">
        <f t="shared" ca="1" si="630"/>
        <v>0.99170742173344584</v>
      </c>
      <c r="M667" s="2">
        <f t="shared" ca="1" si="631"/>
        <v>4.7915549152892208E-2</v>
      </c>
      <c r="N667" s="2">
        <f t="shared" ca="1" si="632"/>
        <v>4.7915549152892208E-2</v>
      </c>
      <c r="O667" s="2">
        <f t="shared" si="633"/>
        <v>6000000</v>
      </c>
      <c r="P667" s="2">
        <f t="shared" ca="1" si="634"/>
        <v>42313667.430050038</v>
      </c>
      <c r="Q667" s="2">
        <f t="shared" ca="1" si="635"/>
        <v>1057841.6857512509</v>
      </c>
      <c r="R667" s="2">
        <f t="shared" ca="1" si="636"/>
        <v>25388200.458030023</v>
      </c>
      <c r="S667" s="2">
        <f t="shared" ca="1" si="637"/>
        <v>16925466.972020015</v>
      </c>
      <c r="T667" s="2">
        <f t="shared" ca="1" si="638"/>
        <v>52395777.457644612</v>
      </c>
      <c r="U667" s="2">
        <f t="shared" ca="1" si="639"/>
        <v>51955150.245008051</v>
      </c>
      <c r="V667" s="2">
        <f t="shared" ca="1" si="640"/>
        <v>51518228.528309077</v>
      </c>
      <c r="W667" s="2">
        <f t="shared" ca="1" si="641"/>
        <v>51084981.145831503</v>
      </c>
      <c r="X667" s="2">
        <f t="shared" ca="1" si="642"/>
        <v>50655377.197916523</v>
      </c>
      <c r="Y667" s="2">
        <f t="shared" ca="1" si="643"/>
        <v>0.12954270785594152</v>
      </c>
      <c r="Z667" s="2">
        <f t="shared" ca="1" si="644"/>
        <v>0.13335979099831816</v>
      </c>
      <c r="AA667" s="2">
        <f t="shared" ca="1" si="645"/>
        <v>6787490.8920805817</v>
      </c>
      <c r="AB667" s="2">
        <f t="shared" ca="1" si="646"/>
        <v>6928727.9779604925</v>
      </c>
      <c r="AC667" s="2">
        <f t="shared" ca="1" si="647"/>
        <v>6870460.1891388902</v>
      </c>
      <c r="AD667" s="2">
        <f t="shared" ca="1" si="648"/>
        <v>6812682.408761113</v>
      </c>
      <c r="AE667" s="2">
        <f t="shared" ca="1" si="649"/>
        <v>6755390.5160551183</v>
      </c>
      <c r="AF667" s="2">
        <f t="shared" ca="1" si="650"/>
        <v>1047915.5491528922</v>
      </c>
      <c r="AG667" s="2">
        <f t="shared" ca="1" si="651"/>
        <v>1039103.0049001611</v>
      </c>
      <c r="AH667" s="2">
        <f t="shared" ca="1" si="652"/>
        <v>1030364.5705661816</v>
      </c>
      <c r="AI667" s="2">
        <f t="shared" ca="1" si="653"/>
        <v>1021699.6229166301</v>
      </c>
      <c r="AJ667" s="2">
        <f t="shared" ca="1" si="654"/>
        <v>1013107.5439583305</v>
      </c>
      <c r="AK667" s="2">
        <f t="shared" ca="1" si="655"/>
        <v>0</v>
      </c>
      <c r="AL667" s="2">
        <f t="shared" ca="1" si="656"/>
        <v>0</v>
      </c>
      <c r="AM667" s="2">
        <f t="shared" ca="1" si="657"/>
        <v>0</v>
      </c>
      <c r="AN667" s="2">
        <f t="shared" ca="1" si="658"/>
        <v>0</v>
      </c>
      <c r="AO667" s="2">
        <f t="shared" ca="1" si="659"/>
        <v>0</v>
      </c>
      <c r="AP667" s="2">
        <f t="shared" ca="1" si="660"/>
        <v>2284938.0412227018</v>
      </c>
      <c r="AQ667" s="2">
        <f t="shared" ca="1" si="661"/>
        <v>898205.69844329683</v>
      </c>
      <c r="AR667" s="2">
        <f t="shared" ca="1" si="662"/>
        <v>937218.60227778368</v>
      </c>
      <c r="AS667" s="2">
        <f t="shared" ca="1" si="663"/>
        <v>924340.97011100175</v>
      </c>
      <c r="AT667" s="2">
        <f t="shared" ca="1" si="664"/>
        <v>911571.63360166305</v>
      </c>
      <c r="AU667" s="2">
        <f t="shared" ca="1" si="665"/>
        <v>898909.6820272624</v>
      </c>
      <c r="AV667" s="2">
        <f t="shared" ca="1" si="666"/>
        <v>2556431.6032616915</v>
      </c>
      <c r="AW667" s="2">
        <f t="shared" ca="1" si="667"/>
        <v>2667468.3295598458</v>
      </c>
      <c r="AX667" s="2">
        <f t="shared" ca="1" si="668"/>
        <v>2630816.6072390052</v>
      </c>
      <c r="AY667" s="2">
        <f t="shared" ca="1" si="669"/>
        <v>2594473.111020118</v>
      </c>
      <c r="AZ667" s="2">
        <f t="shared" ca="1" si="670"/>
        <v>2558435.2488468233</v>
      </c>
      <c r="BA667" s="2">
        <f t="shared" ca="1" si="671"/>
        <v>48899449.285690382</v>
      </c>
      <c r="BB667" s="2">
        <f t="shared" ca="1" si="672"/>
        <v>977988.98571380763</v>
      </c>
      <c r="BC667" s="2">
        <f t="shared" ca="1" si="673"/>
        <v>22533259.841946553</v>
      </c>
      <c r="BD667" s="2">
        <f t="shared" ca="1" si="674"/>
        <v>-18483308.657771267</v>
      </c>
      <c r="BE667" s="2">
        <f t="shared" ca="1" si="675"/>
        <v>2556431.6032616915</v>
      </c>
      <c r="BF667" s="2">
        <f t="shared" ca="1" si="676"/>
        <v>2667468.3295598458</v>
      </c>
      <c r="BG667" s="2">
        <f t="shared" ca="1" si="677"/>
        <v>2630816.6072390052</v>
      </c>
      <c r="BH667" s="2">
        <f t="shared" ca="1" si="678"/>
        <v>2594473.111020118</v>
      </c>
      <c r="BI667" s="2">
        <f t="shared" ca="1" si="679"/>
        <v>25091695.090793379</v>
      </c>
      <c r="BJ667" s="2">
        <f t="shared" ca="1" si="680"/>
        <v>0.17194448361431158</v>
      </c>
      <c r="BK667" s="2">
        <f t="shared" ca="1" si="681"/>
        <v>3684808.4929724485</v>
      </c>
    </row>
    <row r="668" spans="1:63" x14ac:dyDescent="0.3">
      <c r="A668" s="2">
        <v>667</v>
      </c>
      <c r="B668" s="2">
        <f t="shared" ca="1" si="620"/>
        <v>9.1580920628225981E-2</v>
      </c>
      <c r="C668" s="2">
        <f t="shared" ca="1" si="621"/>
        <v>6.4279741128344705</v>
      </c>
      <c r="D668" s="2">
        <f t="shared" ca="1" si="622"/>
        <v>7.9435733064362357E-2</v>
      </c>
      <c r="E668" s="2">
        <f t="shared" ca="1" si="623"/>
        <v>6.8985868363716047</v>
      </c>
      <c r="F668" s="2">
        <f t="shared" ca="1" si="624"/>
        <v>0.40142423481573231</v>
      </c>
      <c r="G668" s="2">
        <f t="shared" ca="1" si="625"/>
        <v>3.2510129228546611E-2</v>
      </c>
      <c r="H668" s="2">
        <f t="shared" ca="1" si="626"/>
        <v>3.2510129228546611E-2</v>
      </c>
      <c r="I668" s="2">
        <f t="shared" ca="1" si="627"/>
        <v>3.3681575151260579E-2</v>
      </c>
      <c r="J668" s="2">
        <f t="shared" ca="1" si="628"/>
        <v>8.5378289336913819E-4</v>
      </c>
      <c r="K668" s="2">
        <f t="shared" ca="1" si="629"/>
        <v>8.5378289336913819E-4</v>
      </c>
      <c r="L668" s="2">
        <f t="shared" ca="1" si="630"/>
        <v>0.83863697635097267</v>
      </c>
      <c r="M668" s="2">
        <f t="shared" ca="1" si="631"/>
        <v>1.9777428727434151E-2</v>
      </c>
      <c r="N668" s="2">
        <f t="shared" ca="1" si="632"/>
        <v>1.9777428727434151E-2</v>
      </c>
      <c r="O668" s="2">
        <f t="shared" si="633"/>
        <v>6000000</v>
      </c>
      <c r="P668" s="2">
        <f t="shared" ca="1" si="634"/>
        <v>38567844.677006826</v>
      </c>
      <c r="Q668" s="2">
        <f t="shared" ca="1" si="635"/>
        <v>964196.11692517065</v>
      </c>
      <c r="R668" s="2">
        <f t="shared" ca="1" si="636"/>
        <v>23140706.806204095</v>
      </c>
      <c r="S668" s="2">
        <f t="shared" ca="1" si="637"/>
        <v>15427137.87080273</v>
      </c>
      <c r="T668" s="2">
        <f t="shared" ca="1" si="638"/>
        <v>50988871.436371706</v>
      </c>
      <c r="U668" s="2">
        <f t="shared" ca="1" si="639"/>
        <v>52646526.235985897</v>
      </c>
      <c r="V668" s="2">
        <f t="shared" ca="1" si="640"/>
        <v>54358071.607351869</v>
      </c>
      <c r="W668" s="2">
        <f t="shared" ca="1" si="641"/>
        <v>56125259.53992147</v>
      </c>
      <c r="X668" s="2">
        <f t="shared" ca="1" si="642"/>
        <v>57949898.980550036</v>
      </c>
      <c r="Y668" s="2">
        <f t="shared" ca="1" si="643"/>
        <v>0.12042689144668456</v>
      </c>
      <c r="Z668" s="2">
        <f t="shared" ca="1" si="644"/>
        <v>0.1205976480253584</v>
      </c>
      <c r="AA668" s="2">
        <f t="shared" ca="1" si="645"/>
        <v>6140431.2854568902</v>
      </c>
      <c r="AB668" s="2">
        <f t="shared" ca="1" si="646"/>
        <v>6349047.2407652242</v>
      </c>
      <c r="AC668" s="2">
        <f t="shared" ca="1" si="647"/>
        <v>6555455.5870406488</v>
      </c>
      <c r="AD668" s="2">
        <f t="shared" ca="1" si="648"/>
        <v>6768574.2953273384</v>
      </c>
      <c r="AE668" s="2">
        <f t="shared" ca="1" si="649"/>
        <v>6988621.5203614486</v>
      </c>
      <c r="AF668" s="2">
        <f t="shared" ca="1" si="650"/>
        <v>1019777.4287274341</v>
      </c>
      <c r="AG668" s="2">
        <f t="shared" ca="1" si="651"/>
        <v>1052930.5247197179</v>
      </c>
      <c r="AH668" s="2">
        <f t="shared" ca="1" si="652"/>
        <v>1087161.4321470375</v>
      </c>
      <c r="AI668" s="2">
        <f t="shared" ca="1" si="653"/>
        <v>1122505.1907984295</v>
      </c>
      <c r="AJ668" s="2">
        <f t="shared" ca="1" si="654"/>
        <v>1158997.9796110007</v>
      </c>
      <c r="AK668" s="2">
        <f t="shared" ca="1" si="655"/>
        <v>0</v>
      </c>
      <c r="AL668" s="2">
        <f t="shared" ca="1" si="656"/>
        <v>16576.547996141911</v>
      </c>
      <c r="AM668" s="2">
        <f t="shared" ca="1" si="657"/>
        <v>17115.453713659717</v>
      </c>
      <c r="AN668" s="2">
        <f t="shared" ca="1" si="658"/>
        <v>17671.879325696005</v>
      </c>
      <c r="AO668" s="2">
        <f t="shared" ca="1" si="659"/>
        <v>18246.394406285657</v>
      </c>
      <c r="AP668" s="2">
        <f t="shared" ca="1" si="660"/>
        <v>2082663.6125583686</v>
      </c>
      <c r="AQ668" s="2">
        <f t="shared" ca="1" si="661"/>
        <v>789877.46348448284</v>
      </c>
      <c r="AR668" s="2">
        <f t="shared" ca="1" si="662"/>
        <v>835497.80690665578</v>
      </c>
      <c r="AS668" s="2">
        <f t="shared" ca="1" si="663"/>
        <v>880263.94100716314</v>
      </c>
      <c r="AT668" s="2">
        <f t="shared" ca="1" si="664"/>
        <v>926485.42791234038</v>
      </c>
      <c r="AU668" s="2">
        <f t="shared" ca="1" si="665"/>
        <v>974209.58132994059</v>
      </c>
      <c r="AV668" s="2">
        <f t="shared" ca="1" si="666"/>
        <v>2248112.7806866048</v>
      </c>
      <c r="AW668" s="2">
        <f t="shared" ca="1" si="667"/>
        <v>2361378.7485843403</v>
      </c>
      <c r="AX668" s="2">
        <f t="shared" ca="1" si="668"/>
        <v>2488251.1476144195</v>
      </c>
      <c r="AY668" s="2">
        <f t="shared" ca="1" si="669"/>
        <v>2619248.1847325033</v>
      </c>
      <c r="AZ668" s="2">
        <f t="shared" ca="1" si="670"/>
        <v>2754503.9524558522</v>
      </c>
      <c r="BA668" s="2">
        <f t="shared" ca="1" si="671"/>
        <v>48211612.424748801</v>
      </c>
      <c r="BB668" s="2">
        <f t="shared" ca="1" si="672"/>
        <v>964232.24849497608</v>
      </c>
      <c r="BC668" s="2">
        <f t="shared" ca="1" si="673"/>
        <v>24106673.37004973</v>
      </c>
      <c r="BD668" s="2">
        <f t="shared" ca="1" si="674"/>
        <v>-16891333.987727903</v>
      </c>
      <c r="BE668" s="2">
        <f t="shared" ca="1" si="675"/>
        <v>2248112.7806866048</v>
      </c>
      <c r="BF668" s="2">
        <f t="shared" ca="1" si="676"/>
        <v>2361378.7485843403</v>
      </c>
      <c r="BG668" s="2">
        <f t="shared" ca="1" si="677"/>
        <v>2488251.1476144195</v>
      </c>
      <c r="BH668" s="2">
        <f t="shared" ca="1" si="678"/>
        <v>2619248.1847325033</v>
      </c>
      <c r="BI668" s="2">
        <f t="shared" ca="1" si="679"/>
        <v>26861177.322505582</v>
      </c>
      <c r="BJ668" s="2">
        <f t="shared" ca="1" si="680"/>
        <v>0.20211148916517785</v>
      </c>
      <c r="BK668" s="2">
        <f t="shared" ca="1" si="681"/>
        <v>5675807.2281137109</v>
      </c>
    </row>
    <row r="669" spans="1:63" x14ac:dyDescent="0.3">
      <c r="A669" s="2">
        <v>668</v>
      </c>
      <c r="B669" s="2">
        <f t="shared" ca="1" si="620"/>
        <v>0.35014674547398383</v>
      </c>
      <c r="C669" s="2">
        <f t="shared" ca="1" si="621"/>
        <v>6.8368354025422011</v>
      </c>
      <c r="D669" s="2">
        <f t="shared" ca="1" si="622"/>
        <v>0.50231004521644829</v>
      </c>
      <c r="E669" s="2">
        <f t="shared" ca="1" si="623"/>
        <v>7.5023127195523118</v>
      </c>
      <c r="F669" s="2">
        <f t="shared" ca="1" si="624"/>
        <v>0.9831532704963285</v>
      </c>
      <c r="G669" s="2">
        <f t="shared" ca="1" si="625"/>
        <v>0.1037116376376242</v>
      </c>
      <c r="H669" s="2">
        <f t="shared" ca="1" si="626"/>
        <v>0.1037116376376242</v>
      </c>
      <c r="I669" s="2">
        <f t="shared" ca="1" si="627"/>
        <v>0.29797531403895372</v>
      </c>
      <c r="J669" s="2">
        <f t="shared" ca="1" si="628"/>
        <v>7.3488366910967207E-3</v>
      </c>
      <c r="K669" s="2">
        <f t="shared" ca="1" si="629"/>
        <v>7.3488366910967207E-3</v>
      </c>
      <c r="L669" s="2">
        <f t="shared" ca="1" si="630"/>
        <v>0.97856703459832028</v>
      </c>
      <c r="M669" s="2">
        <f t="shared" ca="1" si="631"/>
        <v>4.0500279196799785E-2</v>
      </c>
      <c r="N669" s="2">
        <f t="shared" ca="1" si="632"/>
        <v>4.0500279196799785E-2</v>
      </c>
      <c r="O669" s="2">
        <f t="shared" si="633"/>
        <v>6000000</v>
      </c>
      <c r="P669" s="2">
        <f t="shared" ca="1" si="634"/>
        <v>41021012.415253207</v>
      </c>
      <c r="Q669" s="2">
        <f t="shared" ca="1" si="635"/>
        <v>1025525.3103813302</v>
      </c>
      <c r="R669" s="2">
        <f t="shared" ca="1" si="636"/>
        <v>24612607.449151922</v>
      </c>
      <c r="S669" s="2">
        <f t="shared" ca="1" si="637"/>
        <v>16408404.966101283</v>
      </c>
      <c r="T669" s="2">
        <f t="shared" ca="1" si="638"/>
        <v>52025013.959839992</v>
      </c>
      <c r="U669" s="2">
        <f t="shared" ca="1" si="639"/>
        <v>57420613.355735257</v>
      </c>
      <c r="V669" s="2">
        <f t="shared" ca="1" si="640"/>
        <v>63375799.20101539</v>
      </c>
      <c r="W669" s="2">
        <f t="shared" ca="1" si="641"/>
        <v>69948607.122745931</v>
      </c>
      <c r="X669" s="2">
        <f t="shared" ca="1" si="642"/>
        <v>77203091.717916697</v>
      </c>
      <c r="Y669" s="2">
        <f t="shared" ca="1" si="643"/>
        <v>0.12367441834554836</v>
      </c>
      <c r="Z669" s="2">
        <f t="shared" ca="1" si="644"/>
        <v>0.1251441856837677</v>
      </c>
      <c r="AA669" s="2">
        <f t="shared" ca="1" si="645"/>
        <v>6434163.3409022447</v>
      </c>
      <c r="AB669" s="2">
        <f t="shared" ca="1" si="646"/>
        <v>7185855.8998659644</v>
      </c>
      <c r="AC669" s="2">
        <f t="shared" ca="1" si="647"/>
        <v>7931112.7830690471</v>
      </c>
      <c r="AD669" s="2">
        <f t="shared" ca="1" si="648"/>
        <v>8753661.4780898336</v>
      </c>
      <c r="AE669" s="2">
        <f t="shared" ca="1" si="649"/>
        <v>9661518.0453079157</v>
      </c>
      <c r="AF669" s="2">
        <f t="shared" ca="1" si="650"/>
        <v>1040500.2791967998</v>
      </c>
      <c r="AG669" s="2">
        <f t="shared" ca="1" si="651"/>
        <v>1148412.2671147052</v>
      </c>
      <c r="AH669" s="2">
        <f t="shared" ca="1" si="652"/>
        <v>1267515.9840203079</v>
      </c>
      <c r="AI669" s="2">
        <f t="shared" ca="1" si="653"/>
        <v>1398972.1424549187</v>
      </c>
      <c r="AJ669" s="2">
        <f t="shared" ca="1" si="654"/>
        <v>1544061.8343583341</v>
      </c>
      <c r="AK669" s="2">
        <f t="shared" ca="1" si="655"/>
        <v>0</v>
      </c>
      <c r="AL669" s="2">
        <f t="shared" ca="1" si="656"/>
        <v>53955.993958952655</v>
      </c>
      <c r="AM669" s="2">
        <f t="shared" ca="1" si="657"/>
        <v>59551.858452801331</v>
      </c>
      <c r="AN669" s="2">
        <f t="shared" ca="1" si="658"/>
        <v>65728.079217305407</v>
      </c>
      <c r="AO669" s="2">
        <f t="shared" ca="1" si="659"/>
        <v>72544.84595170767</v>
      </c>
      <c r="AP669" s="2">
        <f t="shared" ca="1" si="660"/>
        <v>2215134.670423673</v>
      </c>
      <c r="AQ669" s="2">
        <f t="shared" ca="1" si="661"/>
        <v>826417.3817332607</v>
      </c>
      <c r="AR669" s="2">
        <f t="shared" ca="1" si="662"/>
        <v>993800.33020517242</v>
      </c>
      <c r="AS669" s="2">
        <f t="shared" ca="1" si="663"/>
        <v>1156600.1534425174</v>
      </c>
      <c r="AT669" s="2">
        <f t="shared" ca="1" si="664"/>
        <v>1336284.2129549228</v>
      </c>
      <c r="AU669" s="2">
        <f t="shared" ca="1" si="665"/>
        <v>1534603.600536736</v>
      </c>
      <c r="AV669" s="2">
        <f t="shared" ca="1" si="666"/>
        <v>2352111.0095485109</v>
      </c>
      <c r="AW669" s="2">
        <f t="shared" ca="1" si="667"/>
        <v>2774552.6381634609</v>
      </c>
      <c r="AX669" s="2">
        <f t="shared" ca="1" si="668"/>
        <v>3232310.116729748</v>
      </c>
      <c r="AY669" s="2">
        <f t="shared" ca="1" si="669"/>
        <v>3737542.3730390142</v>
      </c>
      <c r="AZ669" s="2">
        <f t="shared" ca="1" si="670"/>
        <v>4295173.0940374639</v>
      </c>
      <c r="BA669" s="2">
        <f t="shared" ca="1" si="671"/>
        <v>72483729.721497759</v>
      </c>
      <c r="BB669" s="2">
        <f t="shared" ca="1" si="672"/>
        <v>1449674.5944299551</v>
      </c>
      <c r="BC669" s="2">
        <f t="shared" ca="1" si="673"/>
        <v>46421447.677915886</v>
      </c>
      <c r="BD669" s="2">
        <f t="shared" ca="1" si="674"/>
        <v>-17933930.276482612</v>
      </c>
      <c r="BE669" s="2">
        <f t="shared" ca="1" si="675"/>
        <v>2352111.0095485109</v>
      </c>
      <c r="BF669" s="2">
        <f t="shared" ca="1" si="676"/>
        <v>2774552.6381634609</v>
      </c>
      <c r="BG669" s="2">
        <f t="shared" ca="1" si="677"/>
        <v>3232310.116729748</v>
      </c>
      <c r="BH669" s="2">
        <f t="shared" ca="1" si="678"/>
        <v>3737542.3730390142</v>
      </c>
      <c r="BI669" s="2">
        <f t="shared" ca="1" si="679"/>
        <v>50716620.771953352</v>
      </c>
      <c r="BJ669" s="2">
        <f t="shared" ca="1" si="680"/>
        <v>0.3328347485770955</v>
      </c>
      <c r="BK669" s="2">
        <f t="shared" ca="1" si="681"/>
        <v>19831968.115340807</v>
      </c>
    </row>
    <row r="670" spans="1:63" x14ac:dyDescent="0.3">
      <c r="A670" s="2">
        <v>669</v>
      </c>
      <c r="B670" s="2">
        <f t="shared" ca="1" si="620"/>
        <v>0.60912224882477162</v>
      </c>
      <c r="C670" s="2">
        <f t="shared" ca="1" si="621"/>
        <v>7.1158306144462724</v>
      </c>
      <c r="D670" s="2">
        <f t="shared" ca="1" si="622"/>
        <v>0.72990500550565285</v>
      </c>
      <c r="E670" s="2">
        <f t="shared" ca="1" si="623"/>
        <v>7.7650238174003903</v>
      </c>
      <c r="F670" s="2">
        <f t="shared" ca="1" si="624"/>
        <v>0.68359640580006953</v>
      </c>
      <c r="G670" s="2">
        <f t="shared" ca="1" si="625"/>
        <v>5.4333383526183408E-2</v>
      </c>
      <c r="H670" s="2">
        <f t="shared" ca="1" si="626"/>
        <v>5.4333383526183408E-2</v>
      </c>
      <c r="I670" s="2">
        <f t="shared" ca="1" si="627"/>
        <v>0.27488270654285107</v>
      </c>
      <c r="J670" s="2">
        <f t="shared" ca="1" si="628"/>
        <v>7.0094415683952718E-3</v>
      </c>
      <c r="K670" s="2">
        <f t="shared" ca="1" si="629"/>
        <v>7.0094415683952718E-3</v>
      </c>
      <c r="L670" s="2">
        <f t="shared" ca="1" si="630"/>
        <v>1.7342177329232822E-2</v>
      </c>
      <c r="M670" s="2">
        <f t="shared" ca="1" si="631"/>
        <v>-4.2240488432931739E-2</v>
      </c>
      <c r="N670" s="2">
        <f t="shared" ca="1" si="632"/>
        <v>-4.2240488432931739E-2</v>
      </c>
      <c r="O670" s="2">
        <f t="shared" si="633"/>
        <v>6000000</v>
      </c>
      <c r="P670" s="2">
        <f t="shared" ca="1" si="634"/>
        <v>42694983.686677635</v>
      </c>
      <c r="Q670" s="2">
        <f t="shared" ca="1" si="635"/>
        <v>1067374.5921669409</v>
      </c>
      <c r="R670" s="2">
        <f t="shared" ca="1" si="636"/>
        <v>25616990.21200658</v>
      </c>
      <c r="S670" s="2">
        <f t="shared" ca="1" si="637"/>
        <v>17077993.474671055</v>
      </c>
      <c r="T670" s="2">
        <f t="shared" ca="1" si="638"/>
        <v>47887975.578353412</v>
      </c>
      <c r="U670" s="2">
        <f t="shared" ca="1" si="639"/>
        <v>50489891.321744598</v>
      </c>
      <c r="V670" s="2">
        <f t="shared" ca="1" si="640"/>
        <v>53233177.951124266</v>
      </c>
      <c r="W670" s="2">
        <f t="shared" ca="1" si="641"/>
        <v>56125516.625060275</v>
      </c>
      <c r="X670" s="2">
        <f t="shared" ca="1" si="642"/>
        <v>59175005.845454857</v>
      </c>
      <c r="Y670" s="2">
        <f t="shared" ca="1" si="643"/>
        <v>0.12350472078419764</v>
      </c>
      <c r="Z670" s="2">
        <f t="shared" ca="1" si="644"/>
        <v>0.12490660909787668</v>
      </c>
      <c r="AA670" s="2">
        <f t="shared" ca="1" si="645"/>
        <v>5914391.0527250133</v>
      </c>
      <c r="AB670" s="2">
        <f t="shared" ca="1" si="646"/>
        <v>6306521.1187194288</v>
      </c>
      <c r="AC670" s="2">
        <f t="shared" ca="1" si="647"/>
        <v>6649175.7493787864</v>
      </c>
      <c r="AD670" s="2">
        <f t="shared" ca="1" si="648"/>
        <v>7010447.9655027827</v>
      </c>
      <c r="AE670" s="2">
        <f t="shared" ca="1" si="649"/>
        <v>7391349.3235027976</v>
      </c>
      <c r="AF670" s="2">
        <f t="shared" ca="1" si="650"/>
        <v>957759.51156706829</v>
      </c>
      <c r="AG670" s="2">
        <f t="shared" ca="1" si="651"/>
        <v>1009797.826434892</v>
      </c>
      <c r="AH670" s="2">
        <f t="shared" ca="1" si="652"/>
        <v>1064663.5590224853</v>
      </c>
      <c r="AI670" s="2">
        <f t="shared" ca="1" si="653"/>
        <v>1122510.3325012056</v>
      </c>
      <c r="AJ670" s="2">
        <f t="shared" ca="1" si="654"/>
        <v>1183500.1169090972</v>
      </c>
      <c r="AK670" s="2">
        <f t="shared" ca="1" si="655"/>
        <v>0</v>
      </c>
      <c r="AL670" s="2">
        <f t="shared" ca="1" si="656"/>
        <v>26019.15743391186</v>
      </c>
      <c r="AM670" s="2">
        <f t="shared" ca="1" si="657"/>
        <v>27432.866293796673</v>
      </c>
      <c r="AN670" s="2">
        <f t="shared" ca="1" si="658"/>
        <v>28923.386739360096</v>
      </c>
      <c r="AO670" s="2">
        <f t="shared" ca="1" si="659"/>
        <v>30494.892203945816</v>
      </c>
      <c r="AP670" s="2">
        <f t="shared" ca="1" si="660"/>
        <v>2305529.1190805919</v>
      </c>
      <c r="AQ670" s="2">
        <f t="shared" ca="1" si="661"/>
        <v>689286.62974011188</v>
      </c>
      <c r="AR670" s="2">
        <f t="shared" ca="1" si="662"/>
        <v>777710.48503302573</v>
      </c>
      <c r="AS670" s="2">
        <f t="shared" ca="1" si="663"/>
        <v>852535.59853168437</v>
      </c>
      <c r="AT670" s="2">
        <f t="shared" ca="1" si="664"/>
        <v>931426.21361945616</v>
      </c>
      <c r="AU670" s="2">
        <f t="shared" ca="1" si="665"/>
        <v>1014603.2227534082</v>
      </c>
      <c r="AV670" s="2">
        <f t="shared" ca="1" si="666"/>
        <v>1961815.7923372416</v>
      </c>
      <c r="AW670" s="2">
        <f t="shared" ca="1" si="667"/>
        <v>2187464.530737007</v>
      </c>
      <c r="AX670" s="2">
        <f t="shared" ca="1" si="668"/>
        <v>2399014.606450228</v>
      </c>
      <c r="AY670" s="2">
        <f t="shared" ca="1" si="669"/>
        <v>2622058.9135621693</v>
      </c>
      <c r="AZ670" s="2">
        <f t="shared" ca="1" si="670"/>
        <v>2857221.9725557547</v>
      </c>
      <c r="BA670" s="2">
        <f t="shared" ca="1" si="671"/>
        <v>57394003.539725482</v>
      </c>
      <c r="BB670" s="2">
        <f t="shared" ca="1" si="672"/>
        <v>1147880.0707945097</v>
      </c>
      <c r="BC670" s="2">
        <f t="shared" ca="1" si="673"/>
        <v>30629133.256924391</v>
      </c>
      <c r="BD670" s="2">
        <f t="shared" ca="1" si="674"/>
        <v>-18645368.066837996</v>
      </c>
      <c r="BE670" s="2">
        <f t="shared" ca="1" si="675"/>
        <v>1961815.7923372416</v>
      </c>
      <c r="BF670" s="2">
        <f t="shared" ca="1" si="676"/>
        <v>2187464.530737007</v>
      </c>
      <c r="BG670" s="2">
        <f t="shared" ca="1" si="677"/>
        <v>2399014.606450228</v>
      </c>
      <c r="BH670" s="2">
        <f t="shared" ca="1" si="678"/>
        <v>2622058.9135621693</v>
      </c>
      <c r="BI670" s="2">
        <f t="shared" ca="1" si="679"/>
        <v>33486355.229480147</v>
      </c>
      <c r="BJ670" s="2">
        <f t="shared" ca="1" si="680"/>
        <v>0.20934834597623087</v>
      </c>
      <c r="BK670" s="2">
        <f t="shared" ca="1" si="681"/>
        <v>7225080.8182222247</v>
      </c>
    </row>
    <row r="671" spans="1:63" x14ac:dyDescent="0.3">
      <c r="A671" s="2">
        <v>670</v>
      </c>
      <c r="B671" s="2">
        <f t="shared" ca="1" si="620"/>
        <v>0.98250763099636584</v>
      </c>
      <c r="C671" s="2">
        <f t="shared" ca="1" si="621"/>
        <v>7.8129579245002123</v>
      </c>
      <c r="D671" s="2">
        <f t="shared" ca="1" si="622"/>
        <v>0.91781237918121861</v>
      </c>
      <c r="E671" s="2">
        <f t="shared" ca="1" si="623"/>
        <v>8.0945678334942297</v>
      </c>
      <c r="F671" s="2">
        <f t="shared" ca="1" si="624"/>
        <v>0.83732652521286488</v>
      </c>
      <c r="G671" s="2">
        <f t="shared" ca="1" si="625"/>
        <v>6.9505882202504837E-2</v>
      </c>
      <c r="H671" s="2">
        <f t="shared" ca="1" si="626"/>
        <v>6.9505882202504837E-2</v>
      </c>
      <c r="I671" s="2">
        <f t="shared" ca="1" si="627"/>
        <v>0.83286118323021252</v>
      </c>
      <c r="J671" s="2">
        <f t="shared" ca="1" si="628"/>
        <v>1.4827667815519228E-2</v>
      </c>
      <c r="K671" s="2">
        <f t="shared" ca="1" si="629"/>
        <v>1.4827667815519228E-2</v>
      </c>
      <c r="L671" s="2">
        <f t="shared" ca="1" si="630"/>
        <v>0.28646621536798211</v>
      </c>
      <c r="M671" s="2">
        <f t="shared" ca="1" si="631"/>
        <v>-1.1274760625506261E-2</v>
      </c>
      <c r="N671" s="2">
        <f t="shared" ca="1" si="632"/>
        <v>-1.1274760625506261E-2</v>
      </c>
      <c r="O671" s="2">
        <f t="shared" si="633"/>
        <v>6000000</v>
      </c>
      <c r="P671" s="2">
        <f t="shared" ca="1" si="634"/>
        <v>46877747.547001272</v>
      </c>
      <c r="Q671" s="2">
        <f t="shared" ca="1" si="635"/>
        <v>1171943.6886750318</v>
      </c>
      <c r="R671" s="2">
        <f t="shared" ca="1" si="636"/>
        <v>28126648.528200764</v>
      </c>
      <c r="S671" s="2">
        <f t="shared" ca="1" si="637"/>
        <v>18751099.018800508</v>
      </c>
      <c r="T671" s="2">
        <f t="shared" ca="1" si="638"/>
        <v>49436261.96872469</v>
      </c>
      <c r="U671" s="2">
        <f t="shared" ca="1" si="639"/>
        <v>52872372.969655037</v>
      </c>
      <c r="V671" s="2">
        <f t="shared" ca="1" si="640"/>
        <v>56547313.897050776</v>
      </c>
      <c r="W671" s="2">
        <f t="shared" ca="1" si="641"/>
        <v>60477684.835647248</v>
      </c>
      <c r="X671" s="2">
        <f t="shared" ca="1" si="642"/>
        <v>64681239.673713952</v>
      </c>
      <c r="Y671" s="2">
        <f t="shared" ca="1" si="643"/>
        <v>0.12741383390775962</v>
      </c>
      <c r="Z671" s="2">
        <f t="shared" ca="1" si="644"/>
        <v>0.13037936747086346</v>
      </c>
      <c r="AA671" s="2">
        <f t="shared" ca="1" si="645"/>
        <v>6298863.6715035811</v>
      </c>
      <c r="AB671" s="2">
        <f t="shared" ca="1" si="646"/>
        <v>6893466.5444672024</v>
      </c>
      <c r="AC671" s="2">
        <f t="shared" ca="1" si="647"/>
        <v>7372603.0180738466</v>
      </c>
      <c r="AD671" s="2">
        <f t="shared" ca="1" si="648"/>
        <v>7885042.2949739192</v>
      </c>
      <c r="AE671" s="2">
        <f t="shared" ca="1" si="649"/>
        <v>8433099.1158901434</v>
      </c>
      <c r="AF671" s="2">
        <f t="shared" ca="1" si="650"/>
        <v>988725.23937449383</v>
      </c>
      <c r="AG671" s="2">
        <f t="shared" ca="1" si="651"/>
        <v>1057447.4593931008</v>
      </c>
      <c r="AH671" s="2">
        <f t="shared" ca="1" si="652"/>
        <v>1130946.2779410155</v>
      </c>
      <c r="AI671" s="2">
        <f t="shared" ca="1" si="653"/>
        <v>1209553.6967129449</v>
      </c>
      <c r="AJ671" s="2">
        <f t="shared" ca="1" si="654"/>
        <v>1293624.7934742791</v>
      </c>
      <c r="AK671" s="2">
        <f t="shared" ca="1" si="655"/>
        <v>0</v>
      </c>
      <c r="AL671" s="2">
        <f t="shared" ca="1" si="656"/>
        <v>34361.110009303469</v>
      </c>
      <c r="AM671" s="2">
        <f t="shared" ca="1" si="657"/>
        <v>36749.40927395739</v>
      </c>
      <c r="AN671" s="2">
        <f t="shared" ca="1" si="658"/>
        <v>39303.709385964721</v>
      </c>
      <c r="AO671" s="2">
        <f t="shared" ca="1" si="659"/>
        <v>42035.548380667045</v>
      </c>
      <c r="AP671" s="2">
        <f t="shared" ca="1" si="660"/>
        <v>2531398.3675380689</v>
      </c>
      <c r="AQ671" s="2">
        <f t="shared" ca="1" si="661"/>
        <v>722472.41679366468</v>
      </c>
      <c r="AR671" s="2">
        <f t="shared" ca="1" si="662"/>
        <v>859201.38655936858</v>
      </c>
      <c r="AS671" s="2">
        <f t="shared" ca="1" si="663"/>
        <v>964667.17687463819</v>
      </c>
      <c r="AT671" s="2">
        <f t="shared" ca="1" si="664"/>
        <v>1077463.4599879554</v>
      </c>
      <c r="AU671" s="2">
        <f t="shared" ca="1" si="665"/>
        <v>1198099.7482682269</v>
      </c>
      <c r="AV671" s="2">
        <f t="shared" ca="1" si="666"/>
        <v>2056267.6477973531</v>
      </c>
      <c r="AW671" s="2">
        <f t="shared" ca="1" si="667"/>
        <v>2411058.2209673612</v>
      </c>
      <c r="AX671" s="2">
        <f t="shared" ca="1" si="668"/>
        <v>2708841.7864461658</v>
      </c>
      <c r="AY671" s="2">
        <f t="shared" ca="1" si="669"/>
        <v>3027323.0613489854</v>
      </c>
      <c r="AZ671" s="2">
        <f t="shared" ca="1" si="670"/>
        <v>3367940.6582289007</v>
      </c>
      <c r="BA671" s="2">
        <f t="shared" ca="1" si="671"/>
        <v>68262292.840152979</v>
      </c>
      <c r="BB671" s="2">
        <f t="shared" ca="1" si="672"/>
        <v>1365245.8568030596</v>
      </c>
      <c r="BC671" s="2">
        <f t="shared" ca="1" si="673"/>
        <v>38770398.455149159</v>
      </c>
      <c r="BD671" s="2">
        <f t="shared" ca="1" si="674"/>
        <v>-20423042.707475539</v>
      </c>
      <c r="BE671" s="2">
        <f t="shared" ca="1" si="675"/>
        <v>2056267.6477973531</v>
      </c>
      <c r="BF671" s="2">
        <f t="shared" ca="1" si="676"/>
        <v>2411058.2209673612</v>
      </c>
      <c r="BG671" s="2">
        <f t="shared" ca="1" si="677"/>
        <v>2708841.7864461658</v>
      </c>
      <c r="BH671" s="2">
        <f t="shared" ca="1" si="678"/>
        <v>3027323.0613489854</v>
      </c>
      <c r="BI671" s="2">
        <f t="shared" ca="1" si="679"/>
        <v>42138339.113378063</v>
      </c>
      <c r="BJ671" s="2">
        <f t="shared" ca="1" si="680"/>
        <v>0.23825245361976499</v>
      </c>
      <c r="BK671" s="2">
        <f t="shared" ca="1" si="681"/>
        <v>11097435.28267191</v>
      </c>
    </row>
    <row r="672" spans="1:63" x14ac:dyDescent="0.3">
      <c r="A672" s="2">
        <v>671</v>
      </c>
      <c r="B672" s="2">
        <f t="shared" ca="1" si="620"/>
        <v>0.73708040281066967</v>
      </c>
      <c r="C672" s="2">
        <f t="shared" ca="1" si="621"/>
        <v>7.274852294784945</v>
      </c>
      <c r="D672" s="2">
        <f t="shared" ca="1" si="622"/>
        <v>0.38617497795862221</v>
      </c>
      <c r="E672" s="2">
        <f t="shared" ca="1" si="623"/>
        <v>7.3788344303207767</v>
      </c>
      <c r="F672" s="2">
        <f t="shared" ca="1" si="624"/>
        <v>0.44399140236399826</v>
      </c>
      <c r="G672" s="2">
        <f t="shared" ca="1" si="625"/>
        <v>3.5774285911005357E-2</v>
      </c>
      <c r="H672" s="2">
        <f t="shared" ca="1" si="626"/>
        <v>3.5774285911005357E-2</v>
      </c>
      <c r="I672" s="2">
        <f t="shared" ca="1" si="627"/>
        <v>0.86612213039786023</v>
      </c>
      <c r="J672" s="2">
        <f t="shared" ca="1" si="628"/>
        <v>1.5541228267277043E-2</v>
      </c>
      <c r="K672" s="2">
        <f t="shared" ca="1" si="629"/>
        <v>1.5541228267277043E-2</v>
      </c>
      <c r="L672" s="2">
        <f t="shared" ca="1" si="630"/>
        <v>0.45839287418633912</v>
      </c>
      <c r="M672" s="2">
        <f t="shared" ca="1" si="631"/>
        <v>-2.0896678155391743E-3</v>
      </c>
      <c r="N672" s="2">
        <f t="shared" ca="1" si="632"/>
        <v>-2.0896678155391743E-3</v>
      </c>
      <c r="O672" s="2">
        <f t="shared" si="633"/>
        <v>6000000</v>
      </c>
      <c r="P672" s="2">
        <f t="shared" ca="1" si="634"/>
        <v>43649113.768709667</v>
      </c>
      <c r="Q672" s="2">
        <f t="shared" ca="1" si="635"/>
        <v>1091227.8442177416</v>
      </c>
      <c r="R672" s="2">
        <f t="shared" ca="1" si="636"/>
        <v>26189468.261225801</v>
      </c>
      <c r="S672" s="2">
        <f t="shared" ca="1" si="637"/>
        <v>17459645.507483866</v>
      </c>
      <c r="T672" s="2">
        <f t="shared" ca="1" si="638"/>
        <v>49895516.609223038</v>
      </c>
      <c r="U672" s="2">
        <f t="shared" ca="1" si="639"/>
        <v>51680493.086078696</v>
      </c>
      <c r="V672" s="2">
        <f t="shared" ca="1" si="640"/>
        <v>53529325.821761809</v>
      </c>
      <c r="W672" s="2">
        <f t="shared" ca="1" si="641"/>
        <v>55444299.228332877</v>
      </c>
      <c r="X672" s="2">
        <f t="shared" ca="1" si="642"/>
        <v>57427779.441062585</v>
      </c>
      <c r="Y672" s="2">
        <f t="shared" ca="1" si="643"/>
        <v>0.12777061413363852</v>
      </c>
      <c r="Z672" s="2">
        <f t="shared" ca="1" si="644"/>
        <v>0.13087885978709393</v>
      </c>
      <c r="AA672" s="2">
        <f t="shared" ca="1" si="645"/>
        <v>6375180.7996755885</v>
      </c>
      <c r="AB672" s="2">
        <f t="shared" ca="1" si="646"/>
        <v>6763884.0083407713</v>
      </c>
      <c r="AC672" s="2">
        <f t="shared" ca="1" si="647"/>
        <v>7005857.1287240302</v>
      </c>
      <c r="AD672" s="2">
        <f t="shared" ca="1" si="648"/>
        <v>7256486.6646986585</v>
      </c>
      <c r="AE672" s="2">
        <f t="shared" ca="1" si="649"/>
        <v>7516082.2933509853</v>
      </c>
      <c r="AF672" s="2">
        <f t="shared" ca="1" si="650"/>
        <v>997910.33218446083</v>
      </c>
      <c r="AG672" s="2">
        <f t="shared" ca="1" si="651"/>
        <v>1033609.861721574</v>
      </c>
      <c r="AH672" s="2">
        <f t="shared" ca="1" si="652"/>
        <v>1070586.5164352362</v>
      </c>
      <c r="AI672" s="2">
        <f t="shared" ca="1" si="653"/>
        <v>1108885.9845666576</v>
      </c>
      <c r="AJ672" s="2">
        <f t="shared" ca="1" si="654"/>
        <v>1148555.5888212516</v>
      </c>
      <c r="AK672" s="2">
        <f t="shared" ca="1" si="655"/>
        <v>0</v>
      </c>
      <c r="AL672" s="2">
        <f t="shared" ca="1" si="656"/>
        <v>17849.764768556579</v>
      </c>
      <c r="AM672" s="2">
        <f t="shared" ca="1" si="657"/>
        <v>18488.327356831134</v>
      </c>
      <c r="AN672" s="2">
        <f t="shared" ca="1" si="658"/>
        <v>19149.73406571068</v>
      </c>
      <c r="AO672" s="2">
        <f t="shared" ca="1" si="659"/>
        <v>19834.802127297073</v>
      </c>
      <c r="AP672" s="2">
        <f t="shared" ca="1" si="660"/>
        <v>2357052.1435103221</v>
      </c>
      <c r="AQ672" s="2">
        <f t="shared" ca="1" si="661"/>
        <v>785256.76423500944</v>
      </c>
      <c r="AR672" s="2">
        <f t="shared" ca="1" si="662"/>
        <v>877037.72080830752</v>
      </c>
      <c r="AS672" s="2">
        <f t="shared" ca="1" si="663"/>
        <v>930336.80188240262</v>
      </c>
      <c r="AT672" s="2">
        <f t="shared" ca="1" si="664"/>
        <v>985542.61952163652</v>
      </c>
      <c r="AU672" s="2">
        <f t="shared" ca="1" si="665"/>
        <v>1042723.385865047</v>
      </c>
      <c r="AV672" s="2">
        <f t="shared" ca="1" si="666"/>
        <v>2234961.559745796</v>
      </c>
      <c r="AW672" s="2">
        <f t="shared" ca="1" si="667"/>
        <v>2478334.5175320106</v>
      </c>
      <c r="AX672" s="2">
        <f t="shared" ca="1" si="668"/>
        <v>2629393.3395392373</v>
      </c>
      <c r="AY672" s="2">
        <f t="shared" ca="1" si="669"/>
        <v>2785856.1830343315</v>
      </c>
      <c r="AZ672" s="2">
        <f t="shared" ca="1" si="670"/>
        <v>2947916.3730270676</v>
      </c>
      <c r="BA672" s="2">
        <f t="shared" ca="1" si="671"/>
        <v>55459926.807302594</v>
      </c>
      <c r="BB672" s="2">
        <f t="shared" ca="1" si="672"/>
        <v>1109198.5361460519</v>
      </c>
      <c r="BC672" s="2">
        <f t="shared" ca="1" si="673"/>
        <v>28161260.009930741</v>
      </c>
      <c r="BD672" s="2">
        <f t="shared" ca="1" si="674"/>
        <v>-19050873.351701606</v>
      </c>
      <c r="BE672" s="2">
        <f t="shared" ca="1" si="675"/>
        <v>2234961.559745796</v>
      </c>
      <c r="BF672" s="2">
        <f t="shared" ca="1" si="676"/>
        <v>2478334.5175320106</v>
      </c>
      <c r="BG672" s="2">
        <f t="shared" ca="1" si="677"/>
        <v>2629393.3395392373</v>
      </c>
      <c r="BH672" s="2">
        <f t="shared" ca="1" si="678"/>
        <v>2785856.1830343315</v>
      </c>
      <c r="BI672" s="2">
        <f t="shared" ca="1" si="679"/>
        <v>31109176.382957809</v>
      </c>
      <c r="BJ672" s="2">
        <f t="shared" ca="1" si="680"/>
        <v>0.19846016375371778</v>
      </c>
      <c r="BK672" s="2">
        <f t="shared" ca="1" si="681"/>
        <v>6214535.494775869</v>
      </c>
    </row>
    <row r="673" spans="1:63" x14ac:dyDescent="0.3">
      <c r="A673" s="2">
        <v>672</v>
      </c>
      <c r="B673" s="2">
        <f t="shared" ca="1" si="620"/>
        <v>0.40313167827578111</v>
      </c>
      <c r="C673" s="2">
        <f t="shared" ca="1" si="621"/>
        <v>6.8979216873155265</v>
      </c>
      <c r="D673" s="2">
        <f t="shared" ca="1" si="622"/>
        <v>0.87006037368579714</v>
      </c>
      <c r="E673" s="2">
        <f t="shared" ca="1" si="623"/>
        <v>7.9902164649300591</v>
      </c>
      <c r="F673" s="2">
        <f t="shared" ca="1" si="624"/>
        <v>0.55943845771673317</v>
      </c>
      <c r="G673" s="2">
        <f t="shared" ca="1" si="625"/>
        <v>4.4486369738171494E-2</v>
      </c>
      <c r="H673" s="2">
        <f t="shared" ca="1" si="626"/>
        <v>4.4486369738171494E-2</v>
      </c>
      <c r="I673" s="2">
        <f t="shared" ca="1" si="627"/>
        <v>0.67398347641421552</v>
      </c>
      <c r="J673" s="2">
        <f t="shared" ca="1" si="628"/>
        <v>1.2254698238964259E-2</v>
      </c>
      <c r="K673" s="2">
        <f t="shared" ca="1" si="629"/>
        <v>1.2254698238964259E-2</v>
      </c>
      <c r="L673" s="2">
        <f t="shared" ca="1" si="630"/>
        <v>0.90998270319259233</v>
      </c>
      <c r="M673" s="2">
        <f t="shared" ca="1" si="631"/>
        <v>2.6812970554261909E-2</v>
      </c>
      <c r="N673" s="2">
        <f t="shared" ca="1" si="632"/>
        <v>2.6812970554261909E-2</v>
      </c>
      <c r="O673" s="2">
        <f t="shared" si="633"/>
        <v>6000000</v>
      </c>
      <c r="P673" s="2">
        <f t="shared" ca="1" si="634"/>
        <v>41387530.123893157</v>
      </c>
      <c r="Q673" s="2">
        <f t="shared" ca="1" si="635"/>
        <v>1034688.2530973289</v>
      </c>
      <c r="R673" s="2">
        <f t="shared" ca="1" si="636"/>
        <v>24832518.074335892</v>
      </c>
      <c r="S673" s="2">
        <f t="shared" ca="1" si="637"/>
        <v>16555012.049557263</v>
      </c>
      <c r="T673" s="2">
        <f t="shared" ca="1" si="638"/>
        <v>51340648.527713098</v>
      </c>
      <c r="U673" s="2">
        <f t="shared" ca="1" si="639"/>
        <v>53624607.600714453</v>
      </c>
      <c r="V673" s="2">
        <f t="shared" ca="1" si="640"/>
        <v>56010171.721504197</v>
      </c>
      <c r="W673" s="2">
        <f t="shared" ca="1" si="641"/>
        <v>58501860.92980551</v>
      </c>
      <c r="X673" s="2">
        <f t="shared" ca="1" si="642"/>
        <v>61104396.345499925</v>
      </c>
      <c r="Y673" s="2">
        <f t="shared" ca="1" si="643"/>
        <v>0.12612734911948212</v>
      </c>
      <c r="Z673" s="2">
        <f t="shared" ca="1" si="644"/>
        <v>0.12857828876727498</v>
      </c>
      <c r="AA673" s="2">
        <f t="shared" ca="1" si="645"/>
        <v>6475459.9008754957</v>
      </c>
      <c r="AB673" s="2">
        <f t="shared" ca="1" si="646"/>
        <v>6894960.2811164716</v>
      </c>
      <c r="AC673" s="2">
        <f t="shared" ca="1" si="647"/>
        <v>7201692.0335122254</v>
      </c>
      <c r="AD673" s="2">
        <f t="shared" ca="1" si="648"/>
        <v>7522069.1680554943</v>
      </c>
      <c r="AE673" s="2">
        <f t="shared" ca="1" si="649"/>
        <v>7856698.7182617113</v>
      </c>
      <c r="AF673" s="2">
        <f t="shared" ca="1" si="650"/>
        <v>1026812.9705542619</v>
      </c>
      <c r="AG673" s="2">
        <f t="shared" ca="1" si="651"/>
        <v>1072492.1520142891</v>
      </c>
      <c r="AH673" s="2">
        <f t="shared" ca="1" si="652"/>
        <v>1120203.434430084</v>
      </c>
      <c r="AI673" s="2">
        <f t="shared" ca="1" si="653"/>
        <v>1170037.2185961101</v>
      </c>
      <c r="AJ673" s="2">
        <f t="shared" ca="1" si="654"/>
        <v>1222087.9269099985</v>
      </c>
      <c r="AK673" s="2">
        <f t="shared" ca="1" si="655"/>
        <v>0</v>
      </c>
      <c r="AL673" s="2">
        <f t="shared" ca="1" si="656"/>
        <v>22839.590730013551</v>
      </c>
      <c r="AM673" s="2">
        <f t="shared" ca="1" si="657"/>
        <v>23855.641207897439</v>
      </c>
      <c r="AN673" s="2">
        <f t="shared" ca="1" si="658"/>
        <v>24916.892083013132</v>
      </c>
      <c r="AO673" s="2">
        <f t="shared" ca="1" si="659"/>
        <v>26025.354156944155</v>
      </c>
      <c r="AP673" s="2">
        <f t="shared" ca="1" si="660"/>
        <v>2234926.6266902303</v>
      </c>
      <c r="AQ673" s="2">
        <f t="shared" ca="1" si="661"/>
        <v>835567.27894406079</v>
      </c>
      <c r="AR673" s="2">
        <f t="shared" ca="1" si="662"/>
        <v>932760.79062710761</v>
      </c>
      <c r="AS673" s="2">
        <f t="shared" ca="1" si="663"/>
        <v>1000106.1128218969</v>
      </c>
      <c r="AT673" s="2">
        <f t="shared" ca="1" si="664"/>
        <v>1070447.3839199801</v>
      </c>
      <c r="AU673" s="2">
        <f t="shared" ca="1" si="665"/>
        <v>1143917.8828119857</v>
      </c>
      <c r="AV673" s="2">
        <f t="shared" ca="1" si="666"/>
        <v>2378153.0246869419</v>
      </c>
      <c r="AW673" s="2">
        <f t="shared" ca="1" si="667"/>
        <v>2631941.121054831</v>
      </c>
      <c r="AX673" s="2">
        <f t="shared" ca="1" si="668"/>
        <v>2822600.2183621172</v>
      </c>
      <c r="AY673" s="2">
        <f t="shared" ca="1" si="669"/>
        <v>3021741.0467661601</v>
      </c>
      <c r="AZ673" s="2">
        <f t="shared" ca="1" si="670"/>
        <v>3229740.927692553</v>
      </c>
      <c r="BA673" s="2">
        <f t="shared" ca="1" si="671"/>
        <v>62776723.45864962</v>
      </c>
      <c r="BB673" s="2">
        <f t="shared" ca="1" si="672"/>
        <v>1255534.4691729925</v>
      </c>
      <c r="BC673" s="2">
        <f t="shared" ca="1" si="673"/>
        <v>36688670.915140741</v>
      </c>
      <c r="BD673" s="2">
        <f t="shared" ca="1" si="674"/>
        <v>-18089700.30265459</v>
      </c>
      <c r="BE673" s="2">
        <f t="shared" ca="1" si="675"/>
        <v>2378153.0246869419</v>
      </c>
      <c r="BF673" s="2">
        <f t="shared" ca="1" si="676"/>
        <v>2631941.121054831</v>
      </c>
      <c r="BG673" s="2">
        <f t="shared" ca="1" si="677"/>
        <v>2822600.2183621172</v>
      </c>
      <c r="BH673" s="2">
        <f t="shared" ca="1" si="678"/>
        <v>3021741.0467661601</v>
      </c>
      <c r="BI673" s="2">
        <f t="shared" ca="1" si="679"/>
        <v>39918411.842833295</v>
      </c>
      <c r="BJ673" s="2">
        <f t="shared" ca="1" si="680"/>
        <v>0.2706268201473141</v>
      </c>
      <c r="BK673" s="2">
        <f t="shared" ca="1" si="681"/>
        <v>12712039.023664936</v>
      </c>
    </row>
    <row r="674" spans="1:63" x14ac:dyDescent="0.3">
      <c r="A674" s="2">
        <v>673</v>
      </c>
      <c r="B674" s="2">
        <f t="shared" ca="1" si="620"/>
        <v>0.71333166075415955</v>
      </c>
      <c r="C674" s="2">
        <f t="shared" ca="1" si="621"/>
        <v>7.2428100116274114</v>
      </c>
      <c r="D674" s="2">
        <f t="shared" ca="1" si="622"/>
        <v>0.18840701279969918</v>
      </c>
      <c r="E674" s="2">
        <f t="shared" ca="1" si="623"/>
        <v>7.1138517944906559</v>
      </c>
      <c r="F674" s="2">
        <f t="shared" ca="1" si="624"/>
        <v>0.32198364079181707</v>
      </c>
      <c r="G674" s="2">
        <f t="shared" ca="1" si="625"/>
        <v>2.6135229116507588E-2</v>
      </c>
      <c r="H674" s="2">
        <f t="shared" ca="1" si="626"/>
        <v>2.6135229116507588E-2</v>
      </c>
      <c r="I674" s="2">
        <f t="shared" ca="1" si="627"/>
        <v>0.69384530480024675</v>
      </c>
      <c r="J674" s="2">
        <f t="shared" ca="1" si="628"/>
        <v>1.2533898578571439E-2</v>
      </c>
      <c r="K674" s="2">
        <f t="shared" ca="1" si="629"/>
        <v>1.2533898578571439E-2</v>
      </c>
      <c r="L674" s="2">
        <f t="shared" ca="1" si="630"/>
        <v>0.14054455117706344</v>
      </c>
      <c r="M674" s="2">
        <f t="shared" ca="1" si="631"/>
        <v>-2.1557519768567027E-2</v>
      </c>
      <c r="N674" s="2">
        <f t="shared" ca="1" si="632"/>
        <v>-2.1557519768567027E-2</v>
      </c>
      <c r="O674" s="2">
        <f t="shared" si="633"/>
        <v>6000000</v>
      </c>
      <c r="P674" s="2">
        <f t="shared" ca="1" si="634"/>
        <v>43456860.069764465</v>
      </c>
      <c r="Q674" s="2">
        <f t="shared" ca="1" si="635"/>
        <v>1086421.5017441118</v>
      </c>
      <c r="R674" s="2">
        <f t="shared" ca="1" si="636"/>
        <v>26074116.041858677</v>
      </c>
      <c r="S674" s="2">
        <f t="shared" ca="1" si="637"/>
        <v>17382744.027905788</v>
      </c>
      <c r="T674" s="2">
        <f t="shared" ca="1" si="638"/>
        <v>48922124.011571646</v>
      </c>
      <c r="U674" s="2">
        <f t="shared" ca="1" si="639"/>
        <v>50200714.931480266</v>
      </c>
      <c r="V674" s="2">
        <f t="shared" ca="1" si="640"/>
        <v>51512722.118026987</v>
      </c>
      <c r="W674" s="2">
        <f t="shared" ca="1" si="641"/>
        <v>52859018.912996612</v>
      </c>
      <c r="X674" s="2">
        <f t="shared" ca="1" si="642"/>
        <v>54240501.483161584</v>
      </c>
      <c r="Y674" s="2">
        <f t="shared" ca="1" si="643"/>
        <v>0.12626694928928572</v>
      </c>
      <c r="Z674" s="2">
        <f t="shared" ca="1" si="644"/>
        <v>0.128773729005</v>
      </c>
      <c r="AA674" s="2">
        <f t="shared" ca="1" si="645"/>
        <v>6177247.3516932642</v>
      </c>
      <c r="AB674" s="2">
        <f t="shared" ca="1" si="646"/>
        <v>6464533.2604436968</v>
      </c>
      <c r="AC674" s="2">
        <f t="shared" ca="1" si="647"/>
        <v>6633485.3183366768</v>
      </c>
      <c r="AD674" s="2">
        <f t="shared" ca="1" si="648"/>
        <v>6806852.9769723956</v>
      </c>
      <c r="AE674" s="2">
        <f t="shared" ca="1" si="649"/>
        <v>6984751.6390879508</v>
      </c>
      <c r="AF674" s="2">
        <f t="shared" ca="1" si="650"/>
        <v>978442.48023143294</v>
      </c>
      <c r="AG674" s="2">
        <f t="shared" ca="1" si="651"/>
        <v>1004014.2986296053</v>
      </c>
      <c r="AH674" s="2">
        <f t="shared" ca="1" si="652"/>
        <v>1030254.4423605398</v>
      </c>
      <c r="AI674" s="2">
        <f t="shared" ca="1" si="653"/>
        <v>1057180.3782599322</v>
      </c>
      <c r="AJ674" s="2">
        <f t="shared" ca="1" si="654"/>
        <v>1084810.0296632317</v>
      </c>
      <c r="AK674" s="2">
        <f t="shared" ca="1" si="655"/>
        <v>0</v>
      </c>
      <c r="AL674" s="2">
        <f t="shared" ca="1" si="656"/>
        <v>12785.909199086205</v>
      </c>
      <c r="AM674" s="2">
        <f t="shared" ca="1" si="657"/>
        <v>13120.071865467205</v>
      </c>
      <c r="AN674" s="2">
        <f t="shared" ca="1" si="658"/>
        <v>13462.967949696258</v>
      </c>
      <c r="AO674" s="2">
        <f t="shared" ca="1" si="659"/>
        <v>13814.82570164971</v>
      </c>
      <c r="AP674" s="2">
        <f t="shared" ca="1" si="660"/>
        <v>2346670.4437672808</v>
      </c>
      <c r="AQ674" s="2">
        <f t="shared" ca="1" si="661"/>
        <v>741554.95120058313</v>
      </c>
      <c r="AR674" s="2">
        <f t="shared" ca="1" si="662"/>
        <v>809600.61469217087</v>
      </c>
      <c r="AS674" s="2">
        <f t="shared" ca="1" si="663"/>
        <v>846705.71237430256</v>
      </c>
      <c r="AT674" s="2">
        <f t="shared" ca="1" si="664"/>
        <v>884780.5602857474</v>
      </c>
      <c r="AU674" s="2">
        <f t="shared" ca="1" si="665"/>
        <v>923850.50307093409</v>
      </c>
      <c r="AV674" s="2">
        <f t="shared" ca="1" si="666"/>
        <v>2110579.4764939672</v>
      </c>
      <c r="AW674" s="2">
        <f t="shared" ca="1" si="667"/>
        <v>2291461.9941555536</v>
      </c>
      <c r="AX674" s="2">
        <f t="shared" ca="1" si="668"/>
        <v>2396734.6479690862</v>
      </c>
      <c r="AY674" s="2">
        <f t="shared" ca="1" si="669"/>
        <v>2504758.6267097392</v>
      </c>
      <c r="AZ674" s="2">
        <f t="shared" ca="1" si="670"/>
        <v>2615605.8368848558</v>
      </c>
      <c r="BA674" s="2">
        <f t="shared" ca="1" si="671"/>
        <v>49688487.981797367</v>
      </c>
      <c r="BB674" s="2">
        <f t="shared" ca="1" si="672"/>
        <v>993769.75963594741</v>
      </c>
      <c r="BC674" s="2">
        <f t="shared" ca="1" si="673"/>
        <v>22620602.180302743</v>
      </c>
      <c r="BD674" s="2">
        <f t="shared" ca="1" si="674"/>
        <v>-18969165.529649898</v>
      </c>
      <c r="BE674" s="2">
        <f t="shared" ca="1" si="675"/>
        <v>2110579.4764939672</v>
      </c>
      <c r="BF674" s="2">
        <f t="shared" ca="1" si="676"/>
        <v>2291461.9941555536</v>
      </c>
      <c r="BG674" s="2">
        <f t="shared" ca="1" si="677"/>
        <v>2396734.6479690862</v>
      </c>
      <c r="BH674" s="2">
        <f t="shared" ca="1" si="678"/>
        <v>2504758.6267097392</v>
      </c>
      <c r="BI674" s="2">
        <f t="shared" ca="1" si="679"/>
        <v>25236208.017187599</v>
      </c>
      <c r="BJ674" s="2">
        <f t="shared" ca="1" si="680"/>
        <v>0.15226351073270705</v>
      </c>
      <c r="BK674" s="2">
        <f t="shared" ca="1" si="681"/>
        <v>2359489.8403292708</v>
      </c>
    </row>
    <row r="675" spans="1:63" x14ac:dyDescent="0.3">
      <c r="A675" s="2">
        <v>674</v>
      </c>
      <c r="B675" s="2">
        <f t="shared" ca="1" si="620"/>
        <v>1.0614594333367089E-2</v>
      </c>
      <c r="C675" s="2">
        <f t="shared" ca="1" si="621"/>
        <v>6.1457023976011866</v>
      </c>
      <c r="D675" s="2">
        <f t="shared" ca="1" si="622"/>
        <v>0.12639340148965172</v>
      </c>
      <c r="E675" s="2">
        <f t="shared" ca="1" si="623"/>
        <v>7.0027790796953502</v>
      </c>
      <c r="F675" s="2">
        <f t="shared" ca="1" si="624"/>
        <v>2.8630288982574692E-2</v>
      </c>
      <c r="G675" s="2">
        <f t="shared" ca="1" si="625"/>
        <v>-1.7039492976600512E-2</v>
      </c>
      <c r="H675" s="2">
        <f t="shared" ca="1" si="626"/>
        <v>-1.7039492976600512E-2</v>
      </c>
      <c r="I675" s="2">
        <f t="shared" ca="1" si="627"/>
        <v>0.98270453925139134</v>
      </c>
      <c r="J675" s="2">
        <f t="shared" ca="1" si="628"/>
        <v>2.056557527005215E-2</v>
      </c>
      <c r="K675" s="2">
        <f t="shared" ca="1" si="629"/>
        <v>2.056557527005215E-2</v>
      </c>
      <c r="L675" s="2">
        <f t="shared" ca="1" si="630"/>
        <v>0.57823374692586993</v>
      </c>
      <c r="M675" s="2">
        <f t="shared" ca="1" si="631"/>
        <v>3.9475405309138166E-3</v>
      </c>
      <c r="N675" s="2">
        <f t="shared" ca="1" si="632"/>
        <v>3.9475405309138166E-3</v>
      </c>
      <c r="O675" s="2">
        <f t="shared" si="633"/>
        <v>6000000</v>
      </c>
      <c r="P675" s="2">
        <f t="shared" ca="1" si="634"/>
        <v>36874214.385607123</v>
      </c>
      <c r="Q675" s="2">
        <f t="shared" ca="1" si="635"/>
        <v>921855.35964017815</v>
      </c>
      <c r="R675" s="2">
        <f t="shared" ca="1" si="636"/>
        <v>22124528.631364275</v>
      </c>
      <c r="S675" s="2">
        <f t="shared" ca="1" si="637"/>
        <v>14749685.75424285</v>
      </c>
      <c r="T675" s="2">
        <f t="shared" ca="1" si="638"/>
        <v>50197377.026545689</v>
      </c>
      <c r="U675" s="2">
        <f t="shared" ca="1" si="639"/>
        <v>49342039.173258096</v>
      </c>
      <c r="V675" s="2">
        <f t="shared" ca="1" si="640"/>
        <v>48501275.843314223</v>
      </c>
      <c r="W675" s="2">
        <f t="shared" ca="1" si="641"/>
        <v>47674838.694225907</v>
      </c>
      <c r="X675" s="2">
        <f t="shared" ca="1" si="642"/>
        <v>46862483.615135089</v>
      </c>
      <c r="Y675" s="2">
        <f t="shared" ca="1" si="643"/>
        <v>0.13028278763502607</v>
      </c>
      <c r="Z675" s="2">
        <f t="shared" ca="1" si="644"/>
        <v>0.13439590268903651</v>
      </c>
      <c r="AA675" s="2">
        <f t="shared" ca="1" si="645"/>
        <v>6539854.2109847879</v>
      </c>
      <c r="AB675" s="2">
        <f t="shared" ca="1" si="646"/>
        <v>6631367.8952078223</v>
      </c>
      <c r="AC675" s="2">
        <f t="shared" ca="1" si="647"/>
        <v>6518372.7485321751</v>
      </c>
      <c r="AD675" s="2">
        <f t="shared" ca="1" si="648"/>
        <v>6407302.9818646973</v>
      </c>
      <c r="AE675" s="2">
        <f t="shared" ca="1" si="649"/>
        <v>6298125.7877062634</v>
      </c>
      <c r="AF675" s="2">
        <f t="shared" ca="1" si="650"/>
        <v>1003947.5405309137</v>
      </c>
      <c r="AG675" s="2">
        <f t="shared" ca="1" si="651"/>
        <v>986840.78346516192</v>
      </c>
      <c r="AH675" s="2">
        <f t="shared" ca="1" si="652"/>
        <v>970025.51686628442</v>
      </c>
      <c r="AI675" s="2">
        <f t="shared" ca="1" si="653"/>
        <v>953496.77388451819</v>
      </c>
      <c r="AJ675" s="2">
        <f t="shared" ca="1" si="654"/>
        <v>937249.67230270174</v>
      </c>
      <c r="AK675" s="2">
        <f t="shared" ca="1" si="655"/>
        <v>0</v>
      </c>
      <c r="AL675" s="2">
        <f t="shared" ca="1" si="656"/>
        <v>0</v>
      </c>
      <c r="AM675" s="2">
        <f t="shared" ca="1" si="657"/>
        <v>0</v>
      </c>
      <c r="AN675" s="2">
        <f t="shared" ca="1" si="658"/>
        <v>0</v>
      </c>
      <c r="AO675" s="2">
        <f t="shared" ca="1" si="659"/>
        <v>0</v>
      </c>
      <c r="AP675" s="2">
        <f t="shared" ca="1" si="660"/>
        <v>1991207.5768227847</v>
      </c>
      <c r="AQ675" s="2">
        <f t="shared" ca="1" si="661"/>
        <v>921621.76434408338</v>
      </c>
      <c r="AR675" s="2">
        <f t="shared" ca="1" si="662"/>
        <v>949863.07907916768</v>
      </c>
      <c r="AS675" s="2">
        <f t="shared" ca="1" si="663"/>
        <v>924856.31025920762</v>
      </c>
      <c r="AT675" s="2">
        <f t="shared" ca="1" si="664"/>
        <v>900275.64410092263</v>
      </c>
      <c r="AU675" s="2">
        <f t="shared" ca="1" si="665"/>
        <v>876113.82003100205</v>
      </c>
      <c r="AV675" s="2">
        <f t="shared" ca="1" si="666"/>
        <v>2623077.3292870065</v>
      </c>
      <c r="AW675" s="2">
        <f t="shared" ca="1" si="667"/>
        <v>2703456.4558407078</v>
      </c>
      <c r="AX675" s="2">
        <f t="shared" ca="1" si="668"/>
        <v>2632283.3445838979</v>
      </c>
      <c r="AY675" s="2">
        <f t="shared" ca="1" si="669"/>
        <v>2562322.9870564723</v>
      </c>
      <c r="AZ675" s="2">
        <f t="shared" ca="1" si="670"/>
        <v>2493554.718549775</v>
      </c>
      <c r="BA675" s="2">
        <f t="shared" ca="1" si="671"/>
        <v>44104383.507439218</v>
      </c>
      <c r="BB675" s="2">
        <f t="shared" ca="1" si="672"/>
        <v>882087.67014878441</v>
      </c>
      <c r="BC675" s="2">
        <f t="shared" ca="1" si="673"/>
        <v>21097767.205926158</v>
      </c>
      <c r="BD675" s="2">
        <f t="shared" ca="1" si="674"/>
        <v>-16171541.113883028</v>
      </c>
      <c r="BE675" s="2">
        <f t="shared" ca="1" si="675"/>
        <v>2623077.3292870065</v>
      </c>
      <c r="BF675" s="2">
        <f t="shared" ca="1" si="676"/>
        <v>2703456.4558407078</v>
      </c>
      <c r="BG675" s="2">
        <f t="shared" ca="1" si="677"/>
        <v>2632283.3445838979</v>
      </c>
      <c r="BH675" s="2">
        <f t="shared" ca="1" si="678"/>
        <v>2562322.9870564723</v>
      </c>
      <c r="BI675" s="2">
        <f t="shared" ca="1" si="679"/>
        <v>23591321.924475931</v>
      </c>
      <c r="BJ675" s="2">
        <f t="shared" ca="1" si="680"/>
        <v>0.2025264228283461</v>
      </c>
      <c r="BK675" s="2">
        <f t="shared" ca="1" si="681"/>
        <v>5214030.6448198315</v>
      </c>
    </row>
    <row r="676" spans="1:63" x14ac:dyDescent="0.3">
      <c r="A676" s="2">
        <v>675</v>
      </c>
      <c r="B676" s="2">
        <f t="shared" ca="1" si="620"/>
        <v>0.69020326795353593</v>
      </c>
      <c r="C676" s="2">
        <f t="shared" ca="1" si="621"/>
        <v>7.2128574054893688</v>
      </c>
      <c r="D676" s="2">
        <f t="shared" ca="1" si="622"/>
        <v>0.5782665002944446</v>
      </c>
      <c r="E676" s="2">
        <f t="shared" ca="1" si="623"/>
        <v>7.5815954053843644</v>
      </c>
      <c r="F676" s="2">
        <f t="shared" ca="1" si="624"/>
        <v>0.58310013798973415</v>
      </c>
      <c r="G676" s="2">
        <f t="shared" ca="1" si="625"/>
        <v>4.6294924354055939E-2</v>
      </c>
      <c r="H676" s="2">
        <f t="shared" ca="1" si="626"/>
        <v>4.6294924354055939E-2</v>
      </c>
      <c r="I676" s="2">
        <f t="shared" ca="1" si="627"/>
        <v>0.86955272716904652</v>
      </c>
      <c r="J676" s="2">
        <f t="shared" ca="1" si="628"/>
        <v>1.5621396634671939E-2</v>
      </c>
      <c r="K676" s="2">
        <f t="shared" ca="1" si="629"/>
        <v>1.5621396634671939E-2</v>
      </c>
      <c r="L676" s="2">
        <f t="shared" ca="1" si="630"/>
        <v>0.14437143218496662</v>
      </c>
      <c r="M676" s="2">
        <f t="shared" ca="1" si="631"/>
        <v>-2.1217669310062751E-2</v>
      </c>
      <c r="N676" s="2">
        <f t="shared" ca="1" si="632"/>
        <v>-2.1217669310062751E-2</v>
      </c>
      <c r="O676" s="2">
        <f t="shared" si="633"/>
        <v>6000000</v>
      </c>
      <c r="P676" s="2">
        <f t="shared" ca="1" si="634"/>
        <v>43277144.432936214</v>
      </c>
      <c r="Q676" s="2">
        <f t="shared" ca="1" si="635"/>
        <v>1081928.6108234054</v>
      </c>
      <c r="R676" s="2">
        <f t="shared" ca="1" si="636"/>
        <v>25966286.659761727</v>
      </c>
      <c r="S676" s="2">
        <f t="shared" ca="1" si="637"/>
        <v>17310857.773174487</v>
      </c>
      <c r="T676" s="2">
        <f t="shared" ca="1" si="638"/>
        <v>48939116.534496866</v>
      </c>
      <c r="U676" s="2">
        <f t="shared" ca="1" si="639"/>
        <v>51204749.232415728</v>
      </c>
      <c r="V676" s="2">
        <f t="shared" ca="1" si="640"/>
        <v>53575269.224698819</v>
      </c>
      <c r="W676" s="2">
        <f t="shared" ca="1" si="641"/>
        <v>56055532.260704435</v>
      </c>
      <c r="X676" s="2">
        <f t="shared" ca="1" si="642"/>
        <v>58650618.886340097</v>
      </c>
      <c r="Y676" s="2">
        <f t="shared" ca="1" si="643"/>
        <v>0.12781069831733596</v>
      </c>
      <c r="Z676" s="2">
        <f t="shared" ca="1" si="644"/>
        <v>0.13093497764427034</v>
      </c>
      <c r="AA676" s="2">
        <f t="shared" ca="1" si="645"/>
        <v>6254942.6593075274</v>
      </c>
      <c r="AB676" s="2">
        <f t="shared" ca="1" si="646"/>
        <v>6704492.6960268226</v>
      </c>
      <c r="AC676" s="2">
        <f t="shared" ca="1" si="647"/>
        <v>7014876.6782217044</v>
      </c>
      <c r="AD676" s="2">
        <f t="shared" ca="1" si="648"/>
        <v>7339629.8633930096</v>
      </c>
      <c r="AE676" s="2">
        <f t="shared" ca="1" si="649"/>
        <v>7679417.4727055607</v>
      </c>
      <c r="AF676" s="2">
        <f t="shared" ca="1" si="650"/>
        <v>978782.33068993734</v>
      </c>
      <c r="AG676" s="2">
        <f t="shared" ca="1" si="651"/>
        <v>1024094.9846483145</v>
      </c>
      <c r="AH676" s="2">
        <f t="shared" ca="1" si="652"/>
        <v>1071505.3844939764</v>
      </c>
      <c r="AI676" s="2">
        <f t="shared" ca="1" si="653"/>
        <v>1121110.6452140887</v>
      </c>
      <c r="AJ676" s="2">
        <f t="shared" ca="1" si="654"/>
        <v>1173012.3777268019</v>
      </c>
      <c r="AK676" s="2">
        <f t="shared" ca="1" si="655"/>
        <v>0</v>
      </c>
      <c r="AL676" s="2">
        <f t="shared" ca="1" si="656"/>
        <v>22656.326979188623</v>
      </c>
      <c r="AM676" s="2">
        <f t="shared" ca="1" si="657"/>
        <v>23705.199922830911</v>
      </c>
      <c r="AN676" s="2">
        <f t="shared" ca="1" si="658"/>
        <v>24802.630360056162</v>
      </c>
      <c r="AO676" s="2">
        <f t="shared" ca="1" si="659"/>
        <v>25950.866256356614</v>
      </c>
      <c r="AP676" s="2">
        <f t="shared" ca="1" si="660"/>
        <v>2336965.7993785553</v>
      </c>
      <c r="AQ676" s="2">
        <f t="shared" ca="1" si="661"/>
        <v>764190.57760214899</v>
      </c>
      <c r="AR676" s="2">
        <f t="shared" ca="1" si="662"/>
        <v>869292.29711998778</v>
      </c>
      <c r="AS676" s="2">
        <f t="shared" ca="1" si="663"/>
        <v>937665.42853078479</v>
      </c>
      <c r="AT676" s="2">
        <f t="shared" ca="1" si="664"/>
        <v>1009203.8888880949</v>
      </c>
      <c r="AU676" s="2">
        <f t="shared" ca="1" si="665"/>
        <v>1084054.2168560531</v>
      </c>
      <c r="AV676" s="2">
        <f t="shared" ca="1" si="666"/>
        <v>2175003.9516368853</v>
      </c>
      <c r="AW676" s="2">
        <f t="shared" ca="1" si="667"/>
        <v>2451483.2879007766</v>
      </c>
      <c r="AX676" s="2">
        <f t="shared" ca="1" si="668"/>
        <v>2645034.8658955563</v>
      </c>
      <c r="AY676" s="2">
        <f t="shared" ca="1" si="669"/>
        <v>2847546.8995522149</v>
      </c>
      <c r="AZ676" s="2">
        <f t="shared" ca="1" si="670"/>
        <v>3059434.2124877945</v>
      </c>
      <c r="BA676" s="2">
        <f t="shared" ca="1" si="671"/>
        <v>58222236.227092884</v>
      </c>
      <c r="BB676" s="2">
        <f t="shared" ca="1" si="672"/>
        <v>1164444.7245418576</v>
      </c>
      <c r="BC676" s="2">
        <f t="shared" ca="1" si="673"/>
        <v>31091504.8427893</v>
      </c>
      <c r="BD676" s="2">
        <f t="shared" ca="1" si="674"/>
        <v>-18892786.383997891</v>
      </c>
      <c r="BE676" s="2">
        <f t="shared" ca="1" si="675"/>
        <v>2175003.9516368853</v>
      </c>
      <c r="BF676" s="2">
        <f t="shared" ca="1" si="676"/>
        <v>2451483.2879007766</v>
      </c>
      <c r="BG676" s="2">
        <f t="shared" ca="1" si="677"/>
        <v>2645034.8658955563</v>
      </c>
      <c r="BH676" s="2">
        <f t="shared" ca="1" si="678"/>
        <v>2847546.8995522149</v>
      </c>
      <c r="BI676" s="2">
        <f t="shared" ca="1" si="679"/>
        <v>34150939.055277094</v>
      </c>
      <c r="BJ676" s="2">
        <f t="shared" ca="1" si="680"/>
        <v>0.21866911013607626</v>
      </c>
      <c r="BK676" s="2">
        <f t="shared" ca="1" si="681"/>
        <v>8073999.9720634557</v>
      </c>
    </row>
    <row r="677" spans="1:63" x14ac:dyDescent="0.3">
      <c r="A677" s="2">
        <v>676</v>
      </c>
      <c r="B677" s="2">
        <f t="shared" ca="1" si="620"/>
        <v>0.35037571531878142</v>
      </c>
      <c r="C677" s="2">
        <f t="shared" ca="1" si="621"/>
        <v>6.8371089717817881</v>
      </c>
      <c r="D677" s="2">
        <f t="shared" ca="1" si="622"/>
        <v>0.78041786517466805</v>
      </c>
      <c r="E677" s="2">
        <f t="shared" ca="1" si="623"/>
        <v>7.8373052967989985</v>
      </c>
      <c r="F677" s="2">
        <f t="shared" ca="1" si="624"/>
        <v>0.51145748285304182</v>
      </c>
      <c r="G677" s="2">
        <f t="shared" ca="1" si="625"/>
        <v>4.0861707990940729E-2</v>
      </c>
      <c r="H677" s="2">
        <f t="shared" ca="1" si="626"/>
        <v>4.0861707990940729E-2</v>
      </c>
      <c r="I677" s="2">
        <f t="shared" ca="1" si="627"/>
        <v>0.30135813568319214</v>
      </c>
      <c r="J677" s="2">
        <f t="shared" ca="1" si="628"/>
        <v>7.3975082051087621E-3</v>
      </c>
      <c r="K677" s="2">
        <f t="shared" ca="1" si="629"/>
        <v>7.3975082051087621E-3</v>
      </c>
      <c r="L677" s="2">
        <f t="shared" ca="1" si="630"/>
        <v>0.82143565358424897</v>
      </c>
      <c r="M677" s="2">
        <f t="shared" ca="1" si="631"/>
        <v>1.841700204419781E-2</v>
      </c>
      <c r="N677" s="2">
        <f t="shared" ca="1" si="632"/>
        <v>1.841700204419781E-2</v>
      </c>
      <c r="O677" s="2">
        <f t="shared" si="633"/>
        <v>6000000</v>
      </c>
      <c r="P677" s="2">
        <f t="shared" ca="1" si="634"/>
        <v>41022653.830690727</v>
      </c>
      <c r="Q677" s="2">
        <f t="shared" ca="1" si="635"/>
        <v>1025566.3457672682</v>
      </c>
      <c r="R677" s="2">
        <f t="shared" ca="1" si="636"/>
        <v>24613592.298414435</v>
      </c>
      <c r="S677" s="2">
        <f t="shared" ca="1" si="637"/>
        <v>16409061.532276291</v>
      </c>
      <c r="T677" s="2">
        <f t="shared" ca="1" si="638"/>
        <v>50920850.102209888</v>
      </c>
      <c r="U677" s="2">
        <f t="shared" ca="1" si="639"/>
        <v>53001563.009736858</v>
      </c>
      <c r="V677" s="2">
        <f t="shared" ca="1" si="640"/>
        <v>55167297.400504172</v>
      </c>
      <c r="W677" s="2">
        <f t="shared" ca="1" si="641"/>
        <v>57421527.397532962</v>
      </c>
      <c r="X677" s="2">
        <f t="shared" ca="1" si="642"/>
        <v>59767869.082444757</v>
      </c>
      <c r="Y677" s="2">
        <f t="shared" ca="1" si="643"/>
        <v>0.12369875410255438</v>
      </c>
      <c r="Z677" s="2">
        <f t="shared" ca="1" si="644"/>
        <v>0.12517825574357613</v>
      </c>
      <c r="AA677" s="2">
        <f t="shared" ca="1" si="645"/>
        <v>6298845.7154862918</v>
      </c>
      <c r="AB677" s="2">
        <f t="shared" ca="1" si="646"/>
        <v>6634643.2092421055</v>
      </c>
      <c r="AC677" s="2">
        <f t="shared" ca="1" si="647"/>
        <v>6905746.0626822338</v>
      </c>
      <c r="AD677" s="2">
        <f t="shared" ca="1" si="648"/>
        <v>7187926.641755145</v>
      </c>
      <c r="AE677" s="2">
        <f t="shared" ca="1" si="649"/>
        <v>7481637.6012508469</v>
      </c>
      <c r="AF677" s="2">
        <f t="shared" ca="1" si="650"/>
        <v>1018417.0020441978</v>
      </c>
      <c r="AG677" s="2">
        <f t="shared" ca="1" si="651"/>
        <v>1060031.2601947372</v>
      </c>
      <c r="AH677" s="2">
        <f t="shared" ca="1" si="652"/>
        <v>1103345.9480100835</v>
      </c>
      <c r="AI677" s="2">
        <f t="shared" ca="1" si="653"/>
        <v>1148430.5479506592</v>
      </c>
      <c r="AJ677" s="2">
        <f t="shared" ca="1" si="654"/>
        <v>1195357.3816488951</v>
      </c>
      <c r="AK677" s="2">
        <f t="shared" ca="1" si="655"/>
        <v>0</v>
      </c>
      <c r="AL677" s="2">
        <f t="shared" ca="1" si="656"/>
        <v>20807.129075269699</v>
      </c>
      <c r="AM677" s="2">
        <f t="shared" ca="1" si="657"/>
        <v>21657.343907673137</v>
      </c>
      <c r="AN677" s="2">
        <f t="shared" ca="1" si="658"/>
        <v>22542.299970287906</v>
      </c>
      <c r="AO677" s="2">
        <f t="shared" ca="1" si="659"/>
        <v>23463.416849117952</v>
      </c>
      <c r="AP677" s="2">
        <f t="shared" ca="1" si="660"/>
        <v>2215223.3068572991</v>
      </c>
      <c r="AQ677" s="2">
        <f t="shared" ca="1" si="661"/>
        <v>796953.40571204666</v>
      </c>
      <c r="AR677" s="2">
        <f t="shared" ca="1" si="662"/>
        <v>873441.04696941795</v>
      </c>
      <c r="AS677" s="2">
        <f t="shared" ca="1" si="663"/>
        <v>932665.97003186145</v>
      </c>
      <c r="AT677" s="2">
        <f t="shared" ca="1" si="664"/>
        <v>994310.92460626864</v>
      </c>
      <c r="AU677" s="2">
        <f t="shared" ca="1" si="665"/>
        <v>1058474.7973136096</v>
      </c>
      <c r="AV677" s="2">
        <f t="shared" ca="1" si="666"/>
        <v>2268252.000872748</v>
      </c>
      <c r="AW677" s="2">
        <f t="shared" ca="1" si="667"/>
        <v>2465140.4661453813</v>
      </c>
      <c r="AX677" s="2">
        <f t="shared" ca="1" si="668"/>
        <v>2632853.4938753173</v>
      </c>
      <c r="AY677" s="2">
        <f t="shared" ca="1" si="669"/>
        <v>2807419.5623706309</v>
      </c>
      <c r="AZ677" s="2">
        <f t="shared" ca="1" si="670"/>
        <v>2989118.6985819247</v>
      </c>
      <c r="BA677" s="2">
        <f t="shared" ca="1" si="671"/>
        <v>58635878.001013815</v>
      </c>
      <c r="BB677" s="2">
        <f t="shared" ca="1" si="672"/>
        <v>1172717.5600202763</v>
      </c>
      <c r="BC677" s="2">
        <f t="shared" ca="1" si="673"/>
        <v>32849568.142579101</v>
      </c>
      <c r="BD677" s="2">
        <f t="shared" ca="1" si="674"/>
        <v>-17934627.878043558</v>
      </c>
      <c r="BE677" s="2">
        <f t="shared" ca="1" si="675"/>
        <v>2268252.000872748</v>
      </c>
      <c r="BF677" s="2">
        <f t="shared" ca="1" si="676"/>
        <v>2465140.4661453813</v>
      </c>
      <c r="BG677" s="2">
        <f t="shared" ca="1" si="677"/>
        <v>2632853.4938753173</v>
      </c>
      <c r="BH677" s="2">
        <f t="shared" ca="1" si="678"/>
        <v>2807419.5623706309</v>
      </c>
      <c r="BI677" s="2">
        <f t="shared" ca="1" si="679"/>
        <v>35838686.841161028</v>
      </c>
      <c r="BJ677" s="2">
        <f t="shared" ca="1" si="680"/>
        <v>0.24486177970792</v>
      </c>
      <c r="BK677" s="2">
        <f t="shared" ca="1" si="681"/>
        <v>10049804.394894481</v>
      </c>
    </row>
    <row r="678" spans="1:63" x14ac:dyDescent="0.3">
      <c r="A678" s="2">
        <v>677</v>
      </c>
      <c r="B678" s="2">
        <f t="shared" ca="1" si="620"/>
        <v>0.58625373277030812</v>
      </c>
      <c r="C678" s="2">
        <f t="shared" ca="1" si="621"/>
        <v>7.0903338335084767</v>
      </c>
      <c r="D678" s="2">
        <f t="shared" ca="1" si="622"/>
        <v>0.62724279710193342</v>
      </c>
      <c r="E678" s="2">
        <f t="shared" ca="1" si="623"/>
        <v>7.6365682390622096</v>
      </c>
      <c r="F678" s="2">
        <f t="shared" ca="1" si="624"/>
        <v>0.39469569086528555</v>
      </c>
      <c r="G678" s="2">
        <f t="shared" ca="1" si="625"/>
        <v>3.1986969379025156E-2</v>
      </c>
      <c r="H678" s="2">
        <f t="shared" ca="1" si="626"/>
        <v>3.1986969379025156E-2</v>
      </c>
      <c r="I678" s="2">
        <f t="shared" ca="1" si="627"/>
        <v>8.5871258570212827E-2</v>
      </c>
      <c r="J678" s="2">
        <f t="shared" ca="1" si="628"/>
        <v>3.1668692627041207E-3</v>
      </c>
      <c r="K678" s="2">
        <f t="shared" ca="1" si="629"/>
        <v>3.1668692627041207E-3</v>
      </c>
      <c r="L678" s="2">
        <f t="shared" ca="1" si="630"/>
        <v>0.1807660536061968</v>
      </c>
      <c r="M678" s="2">
        <f t="shared" ca="1" si="631"/>
        <v>-1.8248991323532374E-2</v>
      </c>
      <c r="N678" s="2">
        <f t="shared" ca="1" si="632"/>
        <v>-1.8248991323532374E-2</v>
      </c>
      <c r="O678" s="2">
        <f t="shared" si="633"/>
        <v>6000000</v>
      </c>
      <c r="P678" s="2">
        <f t="shared" ca="1" si="634"/>
        <v>42542003.00105086</v>
      </c>
      <c r="Q678" s="2">
        <f t="shared" ca="1" si="635"/>
        <v>1063550.0750262716</v>
      </c>
      <c r="R678" s="2">
        <f t="shared" ca="1" si="636"/>
        <v>25525201.800630514</v>
      </c>
      <c r="S678" s="2">
        <f t="shared" ca="1" si="637"/>
        <v>17016801.200420346</v>
      </c>
      <c r="T678" s="2">
        <f t="shared" ca="1" si="638"/>
        <v>49087550.433823377</v>
      </c>
      <c r="U678" s="2">
        <f t="shared" ca="1" si="639"/>
        <v>50657712.406441435</v>
      </c>
      <c r="V678" s="2">
        <f t="shared" ca="1" si="640"/>
        <v>52278099.101997741</v>
      </c>
      <c r="W678" s="2">
        <f t="shared" ca="1" si="641"/>
        <v>53950317.057166986</v>
      </c>
      <c r="X678" s="2">
        <f t="shared" ca="1" si="642"/>
        <v>55676024.196863286</v>
      </c>
      <c r="Y678" s="2">
        <f t="shared" ca="1" si="643"/>
        <v>0.12158343463135206</v>
      </c>
      <c r="Z678" s="2">
        <f t="shared" ca="1" si="644"/>
        <v>0.12221680848389288</v>
      </c>
      <c r="AA678" s="2">
        <f t="shared" ca="1" si="645"/>
        <v>5968232.9793839622</v>
      </c>
      <c r="AB678" s="2">
        <f t="shared" ca="1" si="646"/>
        <v>6191223.9354101773</v>
      </c>
      <c r="AC678" s="2">
        <f t="shared" ca="1" si="647"/>
        <v>6389262.42585083</v>
      </c>
      <c r="AD678" s="2">
        <f t="shared" ca="1" si="648"/>
        <v>6593635.5674210768</v>
      </c>
      <c r="AE678" s="2">
        <f t="shared" ca="1" si="649"/>
        <v>6804545.9864126258</v>
      </c>
      <c r="AF678" s="2">
        <f t="shared" ca="1" si="650"/>
        <v>981751.00867646758</v>
      </c>
      <c r="AG678" s="2">
        <f t="shared" ca="1" si="651"/>
        <v>1013154.2481288287</v>
      </c>
      <c r="AH678" s="2">
        <f t="shared" ca="1" si="652"/>
        <v>1045561.9820399549</v>
      </c>
      <c r="AI678" s="2">
        <f t="shared" ca="1" si="653"/>
        <v>1079006.3411433396</v>
      </c>
      <c r="AJ678" s="2">
        <f t="shared" ca="1" si="654"/>
        <v>1113520.4839372658</v>
      </c>
      <c r="AK678" s="2">
        <f t="shared" ca="1" si="655"/>
        <v>0</v>
      </c>
      <c r="AL678" s="2">
        <f t="shared" ca="1" si="656"/>
        <v>15701.619726180583</v>
      </c>
      <c r="AM678" s="2">
        <f t="shared" ca="1" si="657"/>
        <v>16203.866955563053</v>
      </c>
      <c r="AN678" s="2">
        <f t="shared" ca="1" si="658"/>
        <v>16722.179551692458</v>
      </c>
      <c r="AO678" s="2">
        <f t="shared" ca="1" si="659"/>
        <v>17257.071396963001</v>
      </c>
      <c r="AP678" s="2">
        <f t="shared" ca="1" si="660"/>
        <v>2297268.162056746</v>
      </c>
      <c r="AQ678" s="2">
        <f t="shared" ca="1" si="661"/>
        <v>699195.59024919476</v>
      </c>
      <c r="AR678" s="2">
        <f t="shared" ca="1" si="662"/>
        <v>749008.39655839675</v>
      </c>
      <c r="AS678" s="2">
        <f t="shared" ca="1" si="663"/>
        <v>792072.3932560737</v>
      </c>
      <c r="AT678" s="2">
        <f t="shared" ca="1" si="664"/>
        <v>836513.87669745763</v>
      </c>
      <c r="AU678" s="2">
        <f t="shared" ca="1" si="665"/>
        <v>882376.90850883978</v>
      </c>
      <c r="AV678" s="2">
        <f t="shared" ca="1" si="666"/>
        <v>1990018.218401554</v>
      </c>
      <c r="AW678" s="2">
        <f t="shared" ca="1" si="667"/>
        <v>2116091.5089400252</v>
      </c>
      <c r="AX678" s="2">
        <f t="shared" ca="1" si="668"/>
        <v>2238156.0215424923</v>
      </c>
      <c r="AY678" s="2">
        <f t="shared" ca="1" si="669"/>
        <v>2364125.0079718409</v>
      </c>
      <c r="AZ678" s="2">
        <f t="shared" ca="1" si="670"/>
        <v>2494123.3605128117</v>
      </c>
      <c r="BA678" s="2">
        <f t="shared" ca="1" si="671"/>
        <v>51963379.76107689</v>
      </c>
      <c r="BB678" s="2">
        <f t="shared" ca="1" si="672"/>
        <v>1039267.5952215379</v>
      </c>
      <c r="BC678" s="2">
        <f t="shared" ca="1" si="673"/>
        <v>25398910.365224838</v>
      </c>
      <c r="BD678" s="2">
        <f t="shared" ca="1" si="674"/>
        <v>-18580351.275446616</v>
      </c>
      <c r="BE678" s="2">
        <f t="shared" ca="1" si="675"/>
        <v>1990018.218401554</v>
      </c>
      <c r="BF678" s="2">
        <f t="shared" ca="1" si="676"/>
        <v>2116091.5089400252</v>
      </c>
      <c r="BG678" s="2">
        <f t="shared" ca="1" si="677"/>
        <v>2238156.0215424923</v>
      </c>
      <c r="BH678" s="2">
        <f t="shared" ca="1" si="678"/>
        <v>2364125.0079718409</v>
      </c>
      <c r="BI678" s="2">
        <f t="shared" ca="1" si="679"/>
        <v>27893033.72573765</v>
      </c>
      <c r="BJ678" s="2">
        <f t="shared" ca="1" si="680"/>
        <v>0.1707204938507596</v>
      </c>
      <c r="BK678" s="2">
        <f t="shared" ca="1" si="681"/>
        <v>3806161.7538155653</v>
      </c>
    </row>
    <row r="679" spans="1:63" x14ac:dyDescent="0.3">
      <c r="A679" s="2">
        <v>678</v>
      </c>
      <c r="B679" s="2">
        <f t="shared" ca="1" si="620"/>
        <v>0.37759492626285618</v>
      </c>
      <c r="C679" s="2">
        <f t="shared" ca="1" si="621"/>
        <v>6.8690166008343638</v>
      </c>
      <c r="D679" s="2">
        <f t="shared" ca="1" si="622"/>
        <v>0.91058795208549825</v>
      </c>
      <c r="E679" s="2">
        <f t="shared" ca="1" si="623"/>
        <v>8.0771240183824542</v>
      </c>
      <c r="F679" s="2">
        <f t="shared" ca="1" si="624"/>
        <v>0.12029653244270777</v>
      </c>
      <c r="G679" s="2">
        <f t="shared" ca="1" si="625"/>
        <v>4.7948284351303216E-3</v>
      </c>
      <c r="H679" s="2">
        <f t="shared" ca="1" si="626"/>
        <v>4.7948284351303216E-3</v>
      </c>
      <c r="I679" s="2">
        <f t="shared" ca="1" si="627"/>
        <v>0.36326710138471874</v>
      </c>
      <c r="J679" s="2">
        <f t="shared" ca="1" si="628"/>
        <v>8.251302473282934E-3</v>
      </c>
      <c r="K679" s="2">
        <f t="shared" ca="1" si="629"/>
        <v>8.251302473282934E-3</v>
      </c>
      <c r="L679" s="2">
        <f t="shared" ca="1" si="630"/>
        <v>0.51006848065123522</v>
      </c>
      <c r="M679" s="2">
        <f t="shared" ca="1" si="631"/>
        <v>5.0481236225450156E-4</v>
      </c>
      <c r="N679" s="2">
        <f t="shared" ca="1" si="632"/>
        <v>5.0481236225450156E-4</v>
      </c>
      <c r="O679" s="2">
        <f t="shared" si="633"/>
        <v>6000000</v>
      </c>
      <c r="P679" s="2">
        <f t="shared" ca="1" si="634"/>
        <v>41214099.605006181</v>
      </c>
      <c r="Q679" s="2">
        <f t="shared" ca="1" si="635"/>
        <v>1030352.4901251546</v>
      </c>
      <c r="R679" s="2">
        <f t="shared" ca="1" si="636"/>
        <v>24728459.763003707</v>
      </c>
      <c r="S679" s="2">
        <f t="shared" ca="1" si="637"/>
        <v>16485639.842002474</v>
      </c>
      <c r="T679" s="2">
        <f t="shared" ca="1" si="638"/>
        <v>50025240.618112721</v>
      </c>
      <c r="U679" s="2">
        <f t="shared" ca="1" si="639"/>
        <v>50265103.064302683</v>
      </c>
      <c r="V679" s="2">
        <f t="shared" ca="1" si="640"/>
        <v>50506115.609770156</v>
      </c>
      <c r="W679" s="2">
        <f t="shared" ca="1" si="641"/>
        <v>50748283.769043855</v>
      </c>
      <c r="X679" s="2">
        <f t="shared" ca="1" si="642"/>
        <v>50991613.083093725</v>
      </c>
      <c r="Y679" s="2">
        <f t="shared" ca="1" si="643"/>
        <v>0.12412565123664146</v>
      </c>
      <c r="Z679" s="2">
        <f t="shared" ca="1" si="644"/>
        <v>0.12577591173129804</v>
      </c>
      <c r="AA679" s="2">
        <f t="shared" ca="1" si="645"/>
        <v>6209415.5699929297</v>
      </c>
      <c r="AB679" s="2">
        <f t="shared" ca="1" si="646"/>
        <v>6322139.1661803331</v>
      </c>
      <c r="AC679" s="2">
        <f t="shared" ca="1" si="647"/>
        <v>6352452.7388251852</v>
      </c>
      <c r="AD679" s="2">
        <f t="shared" ca="1" si="648"/>
        <v>6382911.6598501252</v>
      </c>
      <c r="AE679" s="2">
        <f t="shared" ca="1" si="649"/>
        <v>6413516.6261756988</v>
      </c>
      <c r="AF679" s="2">
        <f t="shared" ca="1" si="650"/>
        <v>1000504.8123622545</v>
      </c>
      <c r="AG679" s="2">
        <f t="shared" ca="1" si="651"/>
        <v>1005302.0612860536</v>
      </c>
      <c r="AH679" s="2">
        <f t="shared" ca="1" si="652"/>
        <v>1010122.3121954032</v>
      </c>
      <c r="AI679" s="2">
        <f t="shared" ca="1" si="653"/>
        <v>1014965.6753808771</v>
      </c>
      <c r="AJ679" s="2">
        <f t="shared" ca="1" si="654"/>
        <v>1019832.2616618745</v>
      </c>
      <c r="AK679" s="2">
        <f t="shared" ca="1" si="655"/>
        <v>0</v>
      </c>
      <c r="AL679" s="2">
        <f t="shared" ca="1" si="656"/>
        <v>2398.6244618996234</v>
      </c>
      <c r="AM679" s="2">
        <f t="shared" ca="1" si="657"/>
        <v>2410.1254546747359</v>
      </c>
      <c r="AN679" s="2">
        <f t="shared" ca="1" si="658"/>
        <v>2421.6815927369894</v>
      </c>
      <c r="AO679" s="2">
        <f t="shared" ca="1" si="659"/>
        <v>2433.293140498698</v>
      </c>
      <c r="AP679" s="2">
        <f t="shared" ca="1" si="660"/>
        <v>2225561.3786703334</v>
      </c>
      <c r="AQ679" s="2">
        <f t="shared" ca="1" si="661"/>
        <v>775670.83852968889</v>
      </c>
      <c r="AR679" s="2">
        <f t="shared" ca="1" si="662"/>
        <v>803731.68881822599</v>
      </c>
      <c r="AS679" s="2">
        <f t="shared" ca="1" si="663"/>
        <v>810359.95246945659</v>
      </c>
      <c r="AT679" s="2">
        <f t="shared" ca="1" si="664"/>
        <v>817019.99750771781</v>
      </c>
      <c r="AU679" s="2">
        <f t="shared" ca="1" si="665"/>
        <v>823711.97631930781</v>
      </c>
      <c r="AV679" s="2">
        <f t="shared" ca="1" si="666"/>
        <v>2207678.5404306524</v>
      </c>
      <c r="AW679" s="2">
        <f t="shared" ca="1" si="667"/>
        <v>2285145.4129438209</v>
      </c>
      <c r="AX679" s="2">
        <f t="shared" ca="1" si="668"/>
        <v>2303998.9700353169</v>
      </c>
      <c r="AY679" s="2">
        <f t="shared" ca="1" si="669"/>
        <v>2322942.9266984598</v>
      </c>
      <c r="AZ679" s="2">
        <f t="shared" ca="1" si="670"/>
        <v>2341977.7163836849</v>
      </c>
      <c r="BA679" s="2">
        <f t="shared" ca="1" si="671"/>
        <v>51802769.183578938</v>
      </c>
      <c r="BB679" s="2">
        <f t="shared" ca="1" si="672"/>
        <v>1036055.3836715788</v>
      </c>
      <c r="BC679" s="2">
        <f t="shared" ca="1" si="673"/>
        <v>26038254.036903653</v>
      </c>
      <c r="BD679" s="2">
        <f t="shared" ca="1" si="674"/>
        <v>-18015992.332127627</v>
      </c>
      <c r="BE679" s="2">
        <f t="shared" ca="1" si="675"/>
        <v>2207678.5404306524</v>
      </c>
      <c r="BF679" s="2">
        <f t="shared" ca="1" si="676"/>
        <v>2285145.4129438209</v>
      </c>
      <c r="BG679" s="2">
        <f t="shared" ca="1" si="677"/>
        <v>2303998.9700353169</v>
      </c>
      <c r="BH679" s="2">
        <f t="shared" ca="1" si="678"/>
        <v>2322942.9266984598</v>
      </c>
      <c r="BI679" s="2">
        <f t="shared" ca="1" si="679"/>
        <v>28380231.753287338</v>
      </c>
      <c r="BJ679" s="2">
        <f t="shared" ca="1" si="680"/>
        <v>0.18791891591918009</v>
      </c>
      <c r="BK679" s="2">
        <f t="shared" ca="1" si="681"/>
        <v>4996772.0055469871</v>
      </c>
    </row>
    <row r="680" spans="1:63" x14ac:dyDescent="0.3">
      <c r="A680" s="2">
        <v>679</v>
      </c>
      <c r="B680" s="2">
        <f t="shared" ca="1" si="620"/>
        <v>0.88571991073058121</v>
      </c>
      <c r="C680" s="2">
        <f t="shared" ca="1" si="621"/>
        <v>7.5219203219767259</v>
      </c>
      <c r="D680" s="2">
        <f t="shared" ca="1" si="622"/>
        <v>0.88744643222740294</v>
      </c>
      <c r="E680" s="2">
        <f t="shared" ca="1" si="623"/>
        <v>8.0255454336343739</v>
      </c>
      <c r="F680" s="2">
        <f t="shared" ca="1" si="624"/>
        <v>0.47708110506771795</v>
      </c>
      <c r="G680" s="2">
        <f t="shared" ca="1" si="625"/>
        <v>3.8275576374248436E-2</v>
      </c>
      <c r="H680" s="2">
        <f t="shared" ca="1" si="626"/>
        <v>3.8275576374248436E-2</v>
      </c>
      <c r="I680" s="2">
        <f t="shared" ca="1" si="627"/>
        <v>0.63928738013571185</v>
      </c>
      <c r="J680" s="2">
        <f t="shared" ca="1" si="628"/>
        <v>1.1782773203630217E-2</v>
      </c>
      <c r="K680" s="2">
        <f t="shared" ca="1" si="629"/>
        <v>1.1782773203630217E-2</v>
      </c>
      <c r="L680" s="2">
        <f t="shared" ca="1" si="630"/>
        <v>9.4804830038415E-2</v>
      </c>
      <c r="M680" s="2">
        <f t="shared" ca="1" si="631"/>
        <v>-2.6234694255518894E-2</v>
      </c>
      <c r="N680" s="2">
        <f t="shared" ca="1" si="632"/>
        <v>-2.6234694255518894E-2</v>
      </c>
      <c r="O680" s="2">
        <f t="shared" si="633"/>
        <v>6000000</v>
      </c>
      <c r="P680" s="2">
        <f t="shared" ca="1" si="634"/>
        <v>45131521.931860358</v>
      </c>
      <c r="Q680" s="2">
        <f t="shared" ca="1" si="635"/>
        <v>1128288.0482965091</v>
      </c>
      <c r="R680" s="2">
        <f t="shared" ca="1" si="636"/>
        <v>27078913.159116212</v>
      </c>
      <c r="S680" s="2">
        <f t="shared" ca="1" si="637"/>
        <v>18052608.772744145</v>
      </c>
      <c r="T680" s="2">
        <f t="shared" ca="1" si="638"/>
        <v>48688265.287224054</v>
      </c>
      <c r="U680" s="2">
        <f t="shared" ca="1" si="639"/>
        <v>50551836.703754865</v>
      </c>
      <c r="V680" s="2">
        <f t="shared" ca="1" si="640"/>
        <v>52486737.39036797</v>
      </c>
      <c r="W680" s="2">
        <f t="shared" ca="1" si="641"/>
        <v>54495697.515988119</v>
      </c>
      <c r="X680" s="2">
        <f t="shared" ca="1" si="642"/>
        <v>56581551.748329259</v>
      </c>
      <c r="Y680" s="2">
        <f t="shared" ca="1" si="643"/>
        <v>0.12589138660181509</v>
      </c>
      <c r="Z680" s="2">
        <f t="shared" ca="1" si="644"/>
        <v>0.12824794124254116</v>
      </c>
      <c r="AA680" s="2">
        <f t="shared" ca="1" si="645"/>
        <v>6129433.2282456569</v>
      </c>
      <c r="AB680" s="2">
        <f t="shared" ca="1" si="646"/>
        <v>6483168.9832856897</v>
      </c>
      <c r="AC680" s="2">
        <f t="shared" ca="1" si="647"/>
        <v>6731316.0128525998</v>
      </c>
      <c r="AD680" s="2">
        <f t="shared" ca="1" si="648"/>
        <v>6988961.01300174</v>
      </c>
      <c r="AE680" s="2">
        <f t="shared" ca="1" si="649"/>
        <v>7256467.5240315329</v>
      </c>
      <c r="AF680" s="2">
        <f t="shared" ca="1" si="650"/>
        <v>973765.30574448116</v>
      </c>
      <c r="AG680" s="2">
        <f t="shared" ca="1" si="651"/>
        <v>1011036.7340750974</v>
      </c>
      <c r="AH680" s="2">
        <f t="shared" ca="1" si="652"/>
        <v>1049734.7478073593</v>
      </c>
      <c r="AI680" s="2">
        <f t="shared" ca="1" si="653"/>
        <v>1089913.9503197623</v>
      </c>
      <c r="AJ680" s="2">
        <f t="shared" ca="1" si="654"/>
        <v>1131631.0349665852</v>
      </c>
      <c r="AK680" s="2">
        <f t="shared" ca="1" si="655"/>
        <v>0</v>
      </c>
      <c r="AL680" s="2">
        <f t="shared" ca="1" si="656"/>
        <v>18635.714165308102</v>
      </c>
      <c r="AM680" s="2">
        <f t="shared" ca="1" si="657"/>
        <v>19349.006866131054</v>
      </c>
      <c r="AN680" s="2">
        <f t="shared" ca="1" si="658"/>
        <v>20089.601256201491</v>
      </c>
      <c r="AO680" s="2">
        <f t="shared" ca="1" si="659"/>
        <v>20858.542323411406</v>
      </c>
      <c r="AP680" s="2">
        <f t="shared" ca="1" si="660"/>
        <v>2437102.1843204591</v>
      </c>
      <c r="AQ680" s="2">
        <f t="shared" ca="1" si="661"/>
        <v>706827.09192698635</v>
      </c>
      <c r="AR680" s="2">
        <f t="shared" ca="1" si="662"/>
        <v>789107.81687143468</v>
      </c>
      <c r="AS680" s="2">
        <f t="shared" ca="1" si="663"/>
        <v>843564.56098844321</v>
      </c>
      <c r="AT680" s="2">
        <f t="shared" ca="1" si="664"/>
        <v>900105.66837399488</v>
      </c>
      <c r="AU680" s="2">
        <f t="shared" ca="1" si="665"/>
        <v>958810.91923356708</v>
      </c>
      <c r="AV680" s="2">
        <f t="shared" ca="1" si="666"/>
        <v>2011738.6462537302</v>
      </c>
      <c r="AW680" s="2">
        <f t="shared" ca="1" si="667"/>
        <v>2227286.5338533903</v>
      </c>
      <c r="AX680" s="2">
        <f t="shared" ca="1" si="668"/>
        <v>2381565.5128702074</v>
      </c>
      <c r="AY680" s="2">
        <f t="shared" ca="1" si="669"/>
        <v>2541749.6087313229</v>
      </c>
      <c r="AZ680" s="2">
        <f t="shared" ca="1" si="670"/>
        <v>2708064.84318751</v>
      </c>
      <c r="BA680" s="2">
        <f t="shared" ca="1" si="671"/>
        <v>58237109.801807404</v>
      </c>
      <c r="BB680" s="2">
        <f t="shared" ca="1" si="672"/>
        <v>1164742.1960361481</v>
      </c>
      <c r="BC680" s="2">
        <f t="shared" ca="1" si="673"/>
        <v>29993454.446655042</v>
      </c>
      <c r="BD680" s="2">
        <f t="shared" ca="1" si="674"/>
        <v>-19680896.821040653</v>
      </c>
      <c r="BE680" s="2">
        <f t="shared" ca="1" si="675"/>
        <v>2011738.6462537302</v>
      </c>
      <c r="BF680" s="2">
        <f t="shared" ca="1" si="676"/>
        <v>2227286.5338533903</v>
      </c>
      <c r="BG680" s="2">
        <f t="shared" ca="1" si="677"/>
        <v>2381565.5128702074</v>
      </c>
      <c r="BH680" s="2">
        <f t="shared" ca="1" si="678"/>
        <v>2541749.6087313229</v>
      </c>
      <c r="BI680" s="2">
        <f t="shared" ca="1" si="679"/>
        <v>32701519.289842553</v>
      </c>
      <c r="BJ680" s="2">
        <f t="shared" ca="1" si="680"/>
        <v>0.18952220298464506</v>
      </c>
      <c r="BK680" s="2">
        <f t="shared" ca="1" si="681"/>
        <v>5757076.9730867743</v>
      </c>
    </row>
    <row r="681" spans="1:63" x14ac:dyDescent="0.3">
      <c r="A681" s="2">
        <v>680</v>
      </c>
      <c r="B681" s="2">
        <f t="shared" ca="1" si="620"/>
        <v>0.24416571357212824</v>
      </c>
      <c r="C681" s="2">
        <f t="shared" ca="1" si="621"/>
        <v>6.6988071458880887</v>
      </c>
      <c r="D681" s="2">
        <f t="shared" ca="1" si="622"/>
        <v>2.338688642270792E-2</v>
      </c>
      <c r="E681" s="2">
        <f t="shared" ca="1" si="623"/>
        <v>6.716272450500326</v>
      </c>
      <c r="F681" s="2">
        <f t="shared" ca="1" si="624"/>
        <v>0.44821372662474623</v>
      </c>
      <c r="G681" s="2">
        <f t="shared" ca="1" si="625"/>
        <v>3.6094730277398498E-2</v>
      </c>
      <c r="H681" s="2">
        <f t="shared" ca="1" si="626"/>
        <v>3.6094730277398498E-2</v>
      </c>
      <c r="I681" s="2">
        <f t="shared" ca="1" si="627"/>
        <v>0.40417034788615469</v>
      </c>
      <c r="J681" s="2">
        <f t="shared" ca="1" si="628"/>
        <v>8.7871640177800588E-3</v>
      </c>
      <c r="K681" s="2">
        <f t="shared" ca="1" si="629"/>
        <v>8.7871640177800588E-3</v>
      </c>
      <c r="L681" s="2">
        <f t="shared" ca="1" si="630"/>
        <v>0.48028922938198815</v>
      </c>
      <c r="M681" s="2">
        <f t="shared" ca="1" si="631"/>
        <v>-9.8855387360138555E-4</v>
      </c>
      <c r="N681" s="2">
        <f t="shared" ca="1" si="632"/>
        <v>-9.8855387360138555E-4</v>
      </c>
      <c r="O681" s="2">
        <f t="shared" si="633"/>
        <v>6000000</v>
      </c>
      <c r="P681" s="2">
        <f t="shared" ca="1" si="634"/>
        <v>40192842.875328533</v>
      </c>
      <c r="Q681" s="2">
        <f t="shared" ca="1" si="635"/>
        <v>1004821.0718832134</v>
      </c>
      <c r="R681" s="2">
        <f t="shared" ca="1" si="636"/>
        <v>24115705.725197118</v>
      </c>
      <c r="S681" s="2">
        <f t="shared" ca="1" si="637"/>
        <v>16077137.150131414</v>
      </c>
      <c r="T681" s="2">
        <f t="shared" ca="1" si="638"/>
        <v>49950572.30631993</v>
      </c>
      <c r="U681" s="2">
        <f t="shared" ca="1" si="639"/>
        <v>51753524.740918234</v>
      </c>
      <c r="V681" s="2">
        <f t="shared" ca="1" si="640"/>
        <v>53621554.25734634</v>
      </c>
      <c r="W681" s="2">
        <f t="shared" ca="1" si="641"/>
        <v>55557009.795320138</v>
      </c>
      <c r="X681" s="2">
        <f t="shared" ca="1" si="642"/>
        <v>57562325.078901</v>
      </c>
      <c r="Y681" s="2">
        <f t="shared" ca="1" si="643"/>
        <v>0.12439358200889003</v>
      </c>
      <c r="Z681" s="2">
        <f t="shared" ca="1" si="644"/>
        <v>0.12615101481244603</v>
      </c>
      <c r="AA681" s="2">
        <f t="shared" ca="1" si="645"/>
        <v>6213530.612577199</v>
      </c>
      <c r="AB681" s="2">
        <f t="shared" ca="1" si="646"/>
        <v>6528759.6661878685</v>
      </c>
      <c r="AC681" s="2">
        <f t="shared" ca="1" si="647"/>
        <v>6764413.4853848768</v>
      </c>
      <c r="AD681" s="2">
        <f t="shared" ca="1" si="648"/>
        <v>7008573.16562464</v>
      </c>
      <c r="AE681" s="2">
        <f t="shared" ca="1" si="649"/>
        <v>7261545.7236672742</v>
      </c>
      <c r="AF681" s="2">
        <f t="shared" ca="1" si="650"/>
        <v>999011.44612639863</v>
      </c>
      <c r="AG681" s="2">
        <f t="shared" ca="1" si="651"/>
        <v>1035070.4948183647</v>
      </c>
      <c r="AH681" s="2">
        <f t="shared" ca="1" si="652"/>
        <v>1072431.0851469268</v>
      </c>
      <c r="AI681" s="2">
        <f t="shared" ca="1" si="653"/>
        <v>1111140.1959064028</v>
      </c>
      <c r="AJ681" s="2">
        <f t="shared" ca="1" si="654"/>
        <v>1151246.5015780199</v>
      </c>
      <c r="AK681" s="2">
        <f t="shared" ca="1" si="655"/>
        <v>0</v>
      </c>
      <c r="AL681" s="2">
        <f t="shared" ca="1" si="656"/>
        <v>18029.524345983045</v>
      </c>
      <c r="AM681" s="2">
        <f t="shared" ca="1" si="657"/>
        <v>18680.295164281055</v>
      </c>
      <c r="AN681" s="2">
        <f t="shared" ca="1" si="658"/>
        <v>19354.555379737987</v>
      </c>
      <c r="AO681" s="2">
        <f t="shared" ca="1" si="659"/>
        <v>20053.152835808622</v>
      </c>
      <c r="AP681" s="2">
        <f t="shared" ca="1" si="660"/>
        <v>2170413.5152677405</v>
      </c>
      <c r="AQ681" s="2">
        <f t="shared" ca="1" si="661"/>
        <v>791467.46930759563</v>
      </c>
      <c r="AR681" s="2">
        <f t="shared" ca="1" si="662"/>
        <v>864051.67058645864</v>
      </c>
      <c r="AS681" s="2">
        <f t="shared" ca="1" si="663"/>
        <v>915607.9100922544</v>
      </c>
      <c r="AT681" s="2">
        <f t="shared" ca="1" si="664"/>
        <v>969025.05815712921</v>
      </c>
      <c r="AU681" s="2">
        <f t="shared" ca="1" si="665"/>
        <v>1024370.2837735936</v>
      </c>
      <c r="AV681" s="2">
        <f t="shared" ca="1" si="666"/>
        <v>2252638.181875464</v>
      </c>
      <c r="AW681" s="2">
        <f t="shared" ca="1" si="667"/>
        <v>2441194.4611693225</v>
      </c>
      <c r="AX681" s="2">
        <f t="shared" ca="1" si="668"/>
        <v>2587280.6797136734</v>
      </c>
      <c r="AY681" s="2">
        <f t="shared" ca="1" si="669"/>
        <v>2738639.8409136296</v>
      </c>
      <c r="AZ681" s="2">
        <f t="shared" ca="1" si="670"/>
        <v>2895462.2702121115</v>
      </c>
      <c r="BA681" s="2">
        <f t="shared" ca="1" si="671"/>
        <v>48770519.491914965</v>
      </c>
      <c r="BB681" s="2">
        <f t="shared" ca="1" si="672"/>
        <v>975410.38983829936</v>
      </c>
      <c r="BC681" s="2">
        <f t="shared" ca="1" si="673"/>
        <v>23679403.376879547</v>
      </c>
      <c r="BD681" s="2">
        <f t="shared" ca="1" si="674"/>
        <v>-17581958.222014628</v>
      </c>
      <c r="BE681" s="2">
        <f t="shared" ca="1" si="675"/>
        <v>2252638.181875464</v>
      </c>
      <c r="BF681" s="2">
        <f t="shared" ca="1" si="676"/>
        <v>2441194.4611693225</v>
      </c>
      <c r="BG681" s="2">
        <f t="shared" ca="1" si="677"/>
        <v>2587280.6797136734</v>
      </c>
      <c r="BH681" s="2">
        <f t="shared" ca="1" si="678"/>
        <v>2738639.8409136296</v>
      </c>
      <c r="BI681" s="2">
        <f t="shared" ca="1" si="679"/>
        <v>26574865.647091657</v>
      </c>
      <c r="BJ681" s="2">
        <f t="shared" ca="1" si="680"/>
        <v>0.19121011526602949</v>
      </c>
      <c r="BK681" s="2">
        <f t="shared" ca="1" si="681"/>
        <v>5036754.0150844753</v>
      </c>
    </row>
    <row r="682" spans="1:63" x14ac:dyDescent="0.3">
      <c r="A682" s="2">
        <v>681</v>
      </c>
      <c r="B682" s="2">
        <f t="shared" ca="1" si="620"/>
        <v>0.12174853564010069</v>
      </c>
      <c r="C682" s="2">
        <f t="shared" ca="1" si="621"/>
        <v>6.4934542240980431</v>
      </c>
      <c r="D682" s="2">
        <f t="shared" ca="1" si="622"/>
        <v>0.24757395827461537</v>
      </c>
      <c r="E682" s="2">
        <f t="shared" ca="1" si="623"/>
        <v>7.2036674758358741</v>
      </c>
      <c r="F682" s="2">
        <f t="shared" ca="1" si="624"/>
        <v>0.53307128793983805</v>
      </c>
      <c r="G682" s="2">
        <f t="shared" ca="1" si="625"/>
        <v>4.248977798263931E-2</v>
      </c>
      <c r="H682" s="2">
        <f t="shared" ca="1" si="626"/>
        <v>4.248977798263931E-2</v>
      </c>
      <c r="I682" s="2">
        <f t="shared" ca="1" si="627"/>
        <v>0.95187396290037352</v>
      </c>
      <c r="J682" s="2">
        <f t="shared" ca="1" si="628"/>
        <v>1.8316508110236024E-2</v>
      </c>
      <c r="K682" s="2">
        <f t="shared" ca="1" si="629"/>
        <v>1.8316508110236024E-2</v>
      </c>
      <c r="L682" s="2">
        <f t="shared" ca="1" si="630"/>
        <v>0.53803683078918196</v>
      </c>
      <c r="M682" s="2">
        <f t="shared" ca="1" si="631"/>
        <v>1.9097822320914878E-3</v>
      </c>
      <c r="N682" s="2">
        <f t="shared" ca="1" si="632"/>
        <v>1.9097822320914878E-3</v>
      </c>
      <c r="O682" s="2">
        <f t="shared" si="633"/>
        <v>6000000</v>
      </c>
      <c r="P682" s="2">
        <f t="shared" ca="1" si="634"/>
        <v>38960725.344588257</v>
      </c>
      <c r="Q682" s="2">
        <f t="shared" ca="1" si="635"/>
        <v>974018.13361470646</v>
      </c>
      <c r="R682" s="2">
        <f t="shared" ca="1" si="636"/>
        <v>23376435.206752952</v>
      </c>
      <c r="S682" s="2">
        <f t="shared" ca="1" si="637"/>
        <v>15584290.137835303</v>
      </c>
      <c r="T682" s="2">
        <f t="shared" ca="1" si="638"/>
        <v>50095489.111604571</v>
      </c>
      <c r="U682" s="2">
        <f t="shared" ca="1" si="639"/>
        <v>52224035.32188838</v>
      </c>
      <c r="V682" s="2">
        <f t="shared" ca="1" si="640"/>
        <v>54443022.988072939</v>
      </c>
      <c r="W682" s="2">
        <f t="shared" ca="1" si="641"/>
        <v>56756294.947539896</v>
      </c>
      <c r="X682" s="2">
        <f t="shared" ca="1" si="642"/>
        <v>59167857.318978064</v>
      </c>
      <c r="Y682" s="2">
        <f t="shared" ca="1" si="643"/>
        <v>0.12915825405511799</v>
      </c>
      <c r="Z682" s="2">
        <f t="shared" ca="1" si="644"/>
        <v>0.13282155567716522</v>
      </c>
      <c r="AA682" s="2">
        <f t="shared" ca="1" si="645"/>
        <v>6470245.9096920202</v>
      </c>
      <c r="AB682" s="2">
        <f t="shared" ca="1" si="646"/>
        <v>6936477.6151924403</v>
      </c>
      <c r="AC682" s="2">
        <f t="shared" ca="1" si="647"/>
        <v>7231207.0090435157</v>
      </c>
      <c r="AD682" s="2">
        <f t="shared" ca="1" si="648"/>
        <v>7538459.389404281</v>
      </c>
      <c r="AE682" s="2">
        <f t="shared" ca="1" si="649"/>
        <v>7858766.8551912121</v>
      </c>
      <c r="AF682" s="2">
        <f t="shared" ca="1" si="650"/>
        <v>1001909.7822320914</v>
      </c>
      <c r="AG682" s="2">
        <f t="shared" ca="1" si="651"/>
        <v>1044480.7064377676</v>
      </c>
      <c r="AH682" s="2">
        <f t="shared" ca="1" si="652"/>
        <v>1088860.4597614589</v>
      </c>
      <c r="AI682" s="2">
        <f t="shared" ca="1" si="653"/>
        <v>1135125.898950798</v>
      </c>
      <c r="AJ682" s="2">
        <f t="shared" ca="1" si="654"/>
        <v>1183357.1463795614</v>
      </c>
      <c r="AK682" s="2">
        <f t="shared" ca="1" si="655"/>
        <v>0</v>
      </c>
      <c r="AL682" s="2">
        <f t="shared" ca="1" si="656"/>
        <v>21285.462102838086</v>
      </c>
      <c r="AM682" s="2">
        <f t="shared" ca="1" si="657"/>
        <v>22189.876661845596</v>
      </c>
      <c r="AN682" s="2">
        <f t="shared" ca="1" si="658"/>
        <v>23132.719594669565</v>
      </c>
      <c r="AO682" s="2">
        <f t="shared" ca="1" si="659"/>
        <v>24115.62371438168</v>
      </c>
      <c r="AP682" s="2">
        <f t="shared" ca="1" si="660"/>
        <v>2103879.1686077658</v>
      </c>
      <c r="AQ682" s="2">
        <f t="shared" ca="1" si="661"/>
        <v>874758.80930156226</v>
      </c>
      <c r="AR682" s="2">
        <f t="shared" ca="1" si="662"/>
        <v>984910.61243819585</v>
      </c>
      <c r="AS682" s="2">
        <f t="shared" ca="1" si="663"/>
        <v>1050001.5189753158</v>
      </c>
      <c r="AT682" s="2">
        <f t="shared" ca="1" si="664"/>
        <v>1117858.1236798866</v>
      </c>
      <c r="AU682" s="2">
        <f t="shared" ca="1" si="665"/>
        <v>1188597.9404530101</v>
      </c>
      <c r="AV682" s="2">
        <f t="shared" ca="1" si="666"/>
        <v>2489698.1495506</v>
      </c>
      <c r="AW682" s="2">
        <f t="shared" ca="1" si="667"/>
        <v>2781921.6656058729</v>
      </c>
      <c r="AX682" s="2">
        <f t="shared" ca="1" si="668"/>
        <v>2966275.9850371303</v>
      </c>
      <c r="AY682" s="2">
        <f t="shared" ca="1" si="669"/>
        <v>3158463.4785711616</v>
      </c>
      <c r="AZ682" s="2">
        <f t="shared" ca="1" si="670"/>
        <v>3358816.9760364927</v>
      </c>
      <c r="BA682" s="2">
        <f t="shared" ca="1" si="671"/>
        <v>56611943.19491791</v>
      </c>
      <c r="BB682" s="2">
        <f t="shared" ca="1" si="672"/>
        <v>1132238.8638983583</v>
      </c>
      <c r="BC682" s="2">
        <f t="shared" ca="1" si="673"/>
        <v>32103269.124266598</v>
      </c>
      <c r="BD682" s="2">
        <f t="shared" ca="1" si="674"/>
        <v>-17058308.271450009</v>
      </c>
      <c r="BE682" s="2">
        <f t="shared" ca="1" si="675"/>
        <v>2489698.1495506</v>
      </c>
      <c r="BF682" s="2">
        <f t="shared" ca="1" si="676"/>
        <v>2781921.6656058729</v>
      </c>
      <c r="BG682" s="2">
        <f t="shared" ca="1" si="677"/>
        <v>2966275.9850371303</v>
      </c>
      <c r="BH682" s="2">
        <f t="shared" ca="1" si="678"/>
        <v>3158463.4785711616</v>
      </c>
      <c r="BI682" s="2">
        <f t="shared" ca="1" si="679"/>
        <v>35462086.100303091</v>
      </c>
      <c r="BJ682" s="2">
        <f t="shared" ca="1" si="680"/>
        <v>0.27042279696951965</v>
      </c>
      <c r="BK682" s="2">
        <f t="shared" ca="1" si="681"/>
        <v>11623104.734025296</v>
      </c>
    </row>
    <row r="683" spans="1:63" x14ac:dyDescent="0.3">
      <c r="A683" s="2">
        <v>682</v>
      </c>
      <c r="B683" s="2">
        <f t="shared" ca="1" si="620"/>
        <v>0.55031004116844418</v>
      </c>
      <c r="C683" s="2">
        <f t="shared" ca="1" si="621"/>
        <v>7.0516435703475659</v>
      </c>
      <c r="D683" s="2">
        <f t="shared" ca="1" si="622"/>
        <v>0.66675898621931329</v>
      </c>
      <c r="E683" s="2">
        <f t="shared" ca="1" si="623"/>
        <v>7.6836164948007752</v>
      </c>
      <c r="F683" s="2">
        <f t="shared" ca="1" si="624"/>
        <v>0.18564833332329156</v>
      </c>
      <c r="G683" s="2">
        <f t="shared" ca="1" si="625"/>
        <v>1.3178585623618913E-2</v>
      </c>
      <c r="H683" s="2">
        <f t="shared" ca="1" si="626"/>
        <v>1.3178585623618913E-2</v>
      </c>
      <c r="I683" s="2">
        <f t="shared" ca="1" si="627"/>
        <v>0.49714611347428872</v>
      </c>
      <c r="J683" s="2">
        <f t="shared" ca="1" si="628"/>
        <v>9.9642315316354462E-3</v>
      </c>
      <c r="K683" s="2">
        <f t="shared" ca="1" si="629"/>
        <v>9.9642315316354462E-3</v>
      </c>
      <c r="L683" s="2">
        <f t="shared" ca="1" si="630"/>
        <v>0.12336444791469492</v>
      </c>
      <c r="M683" s="2">
        <f t="shared" ca="1" si="631"/>
        <v>-2.3166624386347378E-2</v>
      </c>
      <c r="N683" s="2">
        <f t="shared" ca="1" si="632"/>
        <v>-2.3166624386347378E-2</v>
      </c>
      <c r="O683" s="2">
        <f t="shared" si="633"/>
        <v>6000000</v>
      </c>
      <c r="P683" s="2">
        <f t="shared" ca="1" si="634"/>
        <v>42309861.422085397</v>
      </c>
      <c r="Q683" s="2">
        <f t="shared" ca="1" si="635"/>
        <v>1057746.535552135</v>
      </c>
      <c r="R683" s="2">
        <f t="shared" ca="1" si="636"/>
        <v>25385916.853251237</v>
      </c>
      <c r="S683" s="2">
        <f t="shared" ca="1" si="637"/>
        <v>16923944.56883416</v>
      </c>
      <c r="T683" s="2">
        <f t="shared" ca="1" si="638"/>
        <v>48841668.780682631</v>
      </c>
      <c r="U683" s="2">
        <f t="shared" ca="1" si="639"/>
        <v>49485332.894709289</v>
      </c>
      <c r="V683" s="2">
        <f t="shared" ca="1" si="640"/>
        <v>50137479.5913755</v>
      </c>
      <c r="W683" s="2">
        <f t="shared" ca="1" si="641"/>
        <v>50798220.659122884</v>
      </c>
      <c r="X683" s="2">
        <f t="shared" ca="1" si="642"/>
        <v>51467669.359606616</v>
      </c>
      <c r="Y683" s="2">
        <f t="shared" ca="1" si="643"/>
        <v>0.12498211576581772</v>
      </c>
      <c r="Z683" s="2">
        <f t="shared" ca="1" si="644"/>
        <v>0.12697496207214481</v>
      </c>
      <c r="AA683" s="2">
        <f t="shared" ca="1" si="645"/>
        <v>6104335.1017430015</v>
      </c>
      <c r="AB683" s="2">
        <f t="shared" ca="1" si="646"/>
        <v>6283398.2674331721</v>
      </c>
      <c r="AC683" s="2">
        <f t="shared" ca="1" si="647"/>
        <v>6366204.5695078392</v>
      </c>
      <c r="AD683" s="2">
        <f t="shared" ca="1" si="648"/>
        <v>6450102.141524571</v>
      </c>
      <c r="AE683" s="2">
        <f t="shared" ca="1" si="649"/>
        <v>6535105.3648777399</v>
      </c>
      <c r="AF683" s="2">
        <f t="shared" ca="1" si="650"/>
        <v>976833.37561365264</v>
      </c>
      <c r="AG683" s="2">
        <f t="shared" ca="1" si="651"/>
        <v>989706.65789418574</v>
      </c>
      <c r="AH683" s="2">
        <f t="shared" ca="1" si="652"/>
        <v>1002749.59182751</v>
      </c>
      <c r="AI683" s="2">
        <f t="shared" ca="1" si="653"/>
        <v>1015964.4131824577</v>
      </c>
      <c r="AJ683" s="2">
        <f t="shared" ca="1" si="654"/>
        <v>1029353.3871921323</v>
      </c>
      <c r="AK683" s="2">
        <f t="shared" ca="1" si="655"/>
        <v>0</v>
      </c>
      <c r="AL683" s="2">
        <f t="shared" ca="1" si="656"/>
        <v>6436.6411402665826</v>
      </c>
      <c r="AM683" s="2">
        <f t="shared" ca="1" si="657"/>
        <v>6521.4669666621094</v>
      </c>
      <c r="AN683" s="2">
        <f t="shared" ca="1" si="658"/>
        <v>6607.410677473843</v>
      </c>
      <c r="AO683" s="2">
        <f t="shared" ca="1" si="659"/>
        <v>6694.4870048373195</v>
      </c>
      <c r="AP683" s="2">
        <f t="shared" ca="1" si="660"/>
        <v>2284732.5167926112</v>
      </c>
      <c r="AQ683" s="2">
        <f t="shared" ca="1" si="661"/>
        <v>739119.99442755198</v>
      </c>
      <c r="AR683" s="2">
        <f t="shared" ca="1" si="662"/>
        <v>782329.36411405751</v>
      </c>
      <c r="AS683" s="2">
        <f t="shared" ca="1" si="663"/>
        <v>800467.83983080671</v>
      </c>
      <c r="AT683" s="2">
        <f t="shared" ca="1" si="664"/>
        <v>818845.35500287055</v>
      </c>
      <c r="AU683" s="2">
        <f t="shared" ca="1" si="665"/>
        <v>837465.05983217922</v>
      </c>
      <c r="AV683" s="2">
        <f t="shared" ca="1" si="666"/>
        <v>2103649.2149091857</v>
      </c>
      <c r="AW683" s="2">
        <f t="shared" ca="1" si="667"/>
        <v>2220193.0874920515</v>
      </c>
      <c r="AX683" s="2">
        <f t="shared" ca="1" si="668"/>
        <v>2271733.154090249</v>
      </c>
      <c r="AY683" s="2">
        <f t="shared" ca="1" si="669"/>
        <v>2323952.4458691571</v>
      </c>
      <c r="AZ683" s="2">
        <f t="shared" ca="1" si="670"/>
        <v>2376859.9140559807</v>
      </c>
      <c r="BA683" s="2">
        <f t="shared" ca="1" si="671"/>
        <v>50213243.376835644</v>
      </c>
      <c r="BB683" s="2">
        <f t="shared" ca="1" si="672"/>
        <v>1004264.8675367129</v>
      </c>
      <c r="BC683" s="2">
        <f t="shared" ca="1" si="673"/>
        <v>23823061.656047694</v>
      </c>
      <c r="BD683" s="2">
        <f t="shared" ca="1" si="674"/>
        <v>-18481691.104386296</v>
      </c>
      <c r="BE683" s="2">
        <f t="shared" ca="1" si="675"/>
        <v>2103649.2149091857</v>
      </c>
      <c r="BF683" s="2">
        <f t="shared" ca="1" si="676"/>
        <v>2220193.0874920515</v>
      </c>
      <c r="BG683" s="2">
        <f t="shared" ca="1" si="677"/>
        <v>2271733.154090249</v>
      </c>
      <c r="BH683" s="2">
        <f t="shared" ca="1" si="678"/>
        <v>2323952.4458691571</v>
      </c>
      <c r="BI683" s="2">
        <f t="shared" ca="1" si="679"/>
        <v>26199921.570103675</v>
      </c>
      <c r="BJ683" s="2">
        <f t="shared" ca="1" si="680"/>
        <v>0.1629560591262913</v>
      </c>
      <c r="BK683" s="2">
        <f t="shared" ca="1" si="681"/>
        <v>3126919.1562260538</v>
      </c>
    </row>
    <row r="684" spans="1:63" x14ac:dyDescent="0.3">
      <c r="A684" s="2">
        <v>683</v>
      </c>
      <c r="B684" s="2">
        <f t="shared" ca="1" si="620"/>
        <v>0.4414430938796764</v>
      </c>
      <c r="C684" s="2">
        <f t="shared" ca="1" si="621"/>
        <v>6.9396202359247869</v>
      </c>
      <c r="D684" s="2">
        <f t="shared" ca="1" si="622"/>
        <v>0.41500368067814275</v>
      </c>
      <c r="E684" s="2">
        <f t="shared" ca="1" si="623"/>
        <v>7.4110473979745981</v>
      </c>
      <c r="F684" s="2">
        <f t="shared" ca="1" si="624"/>
        <v>0.79841873429193944</v>
      </c>
      <c r="G684" s="2">
        <f t="shared" ca="1" si="625"/>
        <v>6.5079593207211031E-2</v>
      </c>
      <c r="H684" s="2">
        <f t="shared" ca="1" si="626"/>
        <v>6.5079593207211031E-2</v>
      </c>
      <c r="I684" s="2">
        <f t="shared" ca="1" si="627"/>
        <v>0.13726574445361162</v>
      </c>
      <c r="J684" s="2">
        <f t="shared" ca="1" si="628"/>
        <v>4.5365677254624835E-3</v>
      </c>
      <c r="K684" s="2">
        <f t="shared" ca="1" si="629"/>
        <v>4.5365677254624835E-3</v>
      </c>
      <c r="L684" s="2">
        <f t="shared" ca="1" si="630"/>
        <v>0.6287553272579437</v>
      </c>
      <c r="M684" s="2">
        <f t="shared" ca="1" si="631"/>
        <v>6.5711719766149155E-3</v>
      </c>
      <c r="N684" s="2">
        <f t="shared" ca="1" si="632"/>
        <v>6.5711719766149155E-3</v>
      </c>
      <c r="O684" s="2">
        <f t="shared" si="633"/>
        <v>6000000</v>
      </c>
      <c r="P684" s="2">
        <f t="shared" ca="1" si="634"/>
        <v>41637721.415548719</v>
      </c>
      <c r="Q684" s="2">
        <f t="shared" ca="1" si="635"/>
        <v>1040943.035388718</v>
      </c>
      <c r="R684" s="2">
        <f t="shared" ca="1" si="636"/>
        <v>24982632.849329229</v>
      </c>
      <c r="S684" s="2">
        <f t="shared" ca="1" si="637"/>
        <v>16655088.566219488</v>
      </c>
      <c r="T684" s="2">
        <f t="shared" ca="1" si="638"/>
        <v>50328558.598830745</v>
      </c>
      <c r="U684" s="2">
        <f t="shared" ca="1" si="639"/>
        <v>53603920.719147928</v>
      </c>
      <c r="V684" s="2">
        <f t="shared" ca="1" si="640"/>
        <v>57092442.073861666</v>
      </c>
      <c r="W684" s="2">
        <f t="shared" ca="1" si="641"/>
        <v>60807994.979234844</v>
      </c>
      <c r="X684" s="2">
        <f t="shared" ca="1" si="642"/>
        <v>64765354.556229576</v>
      </c>
      <c r="Y684" s="2">
        <f t="shared" ca="1" si="643"/>
        <v>0.12226828386273124</v>
      </c>
      <c r="Z684" s="2">
        <f t="shared" ca="1" si="644"/>
        <v>0.12317559740782373</v>
      </c>
      <c r="AA684" s="2">
        <f t="shared" ca="1" si="645"/>
        <v>6153586.4891639408</v>
      </c>
      <c r="AB684" s="2">
        <f t="shared" ca="1" si="646"/>
        <v>6602694.9579826659</v>
      </c>
      <c r="AC684" s="2">
        <f t="shared" ca="1" si="647"/>
        <v>7032395.6599194817</v>
      </c>
      <c r="AD684" s="2">
        <f t="shared" ca="1" si="648"/>
        <v>7490061.1087391982</v>
      </c>
      <c r="AE684" s="2">
        <f t="shared" ca="1" si="649"/>
        <v>7977511.2387930965</v>
      </c>
      <c r="AF684" s="2">
        <f t="shared" ca="1" si="650"/>
        <v>1006571.1719766149</v>
      </c>
      <c r="AG684" s="2">
        <f t="shared" ca="1" si="651"/>
        <v>1072078.4143829586</v>
      </c>
      <c r="AH684" s="2">
        <f t="shared" ca="1" si="652"/>
        <v>1141848.8414772335</v>
      </c>
      <c r="AI684" s="2">
        <f t="shared" ca="1" si="653"/>
        <v>1216159.8995846969</v>
      </c>
      <c r="AJ684" s="2">
        <f t="shared" ca="1" si="654"/>
        <v>1295307.0911245917</v>
      </c>
      <c r="AK684" s="2">
        <f t="shared" ca="1" si="655"/>
        <v>0</v>
      </c>
      <c r="AL684" s="2">
        <f t="shared" ca="1" si="656"/>
        <v>32753.621203171835</v>
      </c>
      <c r="AM684" s="2">
        <f t="shared" ca="1" si="657"/>
        <v>34885.213547137377</v>
      </c>
      <c r="AN684" s="2">
        <f t="shared" ca="1" si="658"/>
        <v>37155.529053731785</v>
      </c>
      <c r="AO684" s="2">
        <f t="shared" ca="1" si="659"/>
        <v>39573.595769947322</v>
      </c>
      <c r="AP684" s="2">
        <f t="shared" ca="1" si="660"/>
        <v>2248436.9564396306</v>
      </c>
      <c r="AQ684" s="2">
        <f t="shared" ca="1" si="661"/>
        <v>753630.37379440083</v>
      </c>
      <c r="AR684" s="2">
        <f t="shared" ca="1" si="662"/>
        <v>853366.69266161986</v>
      </c>
      <c r="AS684" s="2">
        <f t="shared" ca="1" si="663"/>
        <v>946948.56412068056</v>
      </c>
      <c r="AT684" s="2">
        <f t="shared" ca="1" si="664"/>
        <v>1046620.7057058665</v>
      </c>
      <c r="AU684" s="2">
        <f t="shared" ca="1" si="665"/>
        <v>1152779.4697195073</v>
      </c>
      <c r="AV684" s="2">
        <f t="shared" ca="1" si="666"/>
        <v>2144947.9869532944</v>
      </c>
      <c r="AW684" s="2">
        <f t="shared" ca="1" si="667"/>
        <v>2396059.2732952847</v>
      </c>
      <c r="AX684" s="2">
        <f t="shared" ca="1" si="668"/>
        <v>2660276.0843347986</v>
      </c>
      <c r="AY684" s="2">
        <f t="shared" ca="1" si="669"/>
        <v>2941688.0179552729</v>
      </c>
      <c r="AZ684" s="2">
        <f t="shared" ca="1" si="670"/>
        <v>3241414.1257394203</v>
      </c>
      <c r="BA684" s="2">
        <f t="shared" ca="1" si="671"/>
        <v>59121713.908570692</v>
      </c>
      <c r="BB684" s="2">
        <f t="shared" ca="1" si="672"/>
        <v>1182434.2781714138</v>
      </c>
      <c r="BC684" s="2">
        <f t="shared" ca="1" si="673"/>
        <v>32956646.781070046</v>
      </c>
      <c r="BD684" s="2">
        <f t="shared" ca="1" si="674"/>
        <v>-18196031.601608206</v>
      </c>
      <c r="BE684" s="2">
        <f t="shared" ca="1" si="675"/>
        <v>2144947.9869532944</v>
      </c>
      <c r="BF684" s="2">
        <f t="shared" ca="1" si="676"/>
        <v>2396059.2732952847</v>
      </c>
      <c r="BG684" s="2">
        <f t="shared" ca="1" si="677"/>
        <v>2660276.0843347986</v>
      </c>
      <c r="BH684" s="2">
        <f t="shared" ca="1" si="678"/>
        <v>2941688.0179552729</v>
      </c>
      <c r="BI684" s="2">
        <f t="shared" ca="1" si="679"/>
        <v>36198060.906809464</v>
      </c>
      <c r="BJ684" s="2">
        <f t="shared" ca="1" si="680"/>
        <v>0.24129791993516037</v>
      </c>
      <c r="BK684" s="2">
        <f t="shared" ca="1" si="681"/>
        <v>9932004.0829790421</v>
      </c>
    </row>
    <row r="685" spans="1:63" x14ac:dyDescent="0.3">
      <c r="A685" s="2">
        <v>684</v>
      </c>
      <c r="B685" s="2">
        <f t="shared" ca="1" si="620"/>
        <v>0.13483555331568986</v>
      </c>
      <c r="C685" s="2">
        <f t="shared" ca="1" si="621"/>
        <v>6.51929866804314</v>
      </c>
      <c r="D685" s="2">
        <f t="shared" ca="1" si="622"/>
        <v>0.38947748261259207</v>
      </c>
      <c r="E685" s="2">
        <f t="shared" ca="1" si="623"/>
        <v>7.382584253896014</v>
      </c>
      <c r="F685" s="2">
        <f t="shared" ca="1" si="624"/>
        <v>0.69609738377212127</v>
      </c>
      <c r="G685" s="2">
        <f t="shared" ca="1" si="625"/>
        <v>5.5396265650001122E-2</v>
      </c>
      <c r="H685" s="2">
        <f t="shared" ca="1" si="626"/>
        <v>5.5396265650001122E-2</v>
      </c>
      <c r="I685" s="2">
        <f t="shared" ca="1" si="627"/>
        <v>0.9929488078173393</v>
      </c>
      <c r="J685" s="2">
        <f t="shared" ca="1" si="628"/>
        <v>2.2273224158831657E-2</v>
      </c>
      <c r="K685" s="2">
        <f t="shared" ca="1" si="629"/>
        <v>2.2273224158831657E-2</v>
      </c>
      <c r="L685" s="2">
        <f t="shared" ca="1" si="630"/>
        <v>0.5735161327446725</v>
      </c>
      <c r="M685" s="2">
        <f t="shared" ca="1" si="631"/>
        <v>3.7066631005315048E-3</v>
      </c>
      <c r="N685" s="2">
        <f t="shared" ca="1" si="632"/>
        <v>3.7066631005315048E-3</v>
      </c>
      <c r="O685" s="2">
        <f t="shared" si="633"/>
        <v>6000000</v>
      </c>
      <c r="P685" s="2">
        <f t="shared" ca="1" si="634"/>
        <v>39115792.008258842</v>
      </c>
      <c r="Q685" s="2">
        <f t="shared" ca="1" si="635"/>
        <v>977894.80020647112</v>
      </c>
      <c r="R685" s="2">
        <f t="shared" ca="1" si="636"/>
        <v>23469475.204955306</v>
      </c>
      <c r="S685" s="2">
        <f t="shared" ca="1" si="637"/>
        <v>15646316.803303538</v>
      </c>
      <c r="T685" s="2">
        <f t="shared" ca="1" si="638"/>
        <v>50185333.155026577</v>
      </c>
      <c r="U685" s="2">
        <f t="shared" ca="1" si="639"/>
        <v>52965413.202216238</v>
      </c>
      <c r="V685" s="2">
        <f t="shared" ca="1" si="640"/>
        <v>55899499.302228287</v>
      </c>
      <c r="W685" s="2">
        <f t="shared" ca="1" si="641"/>
        <v>58996122.815276578</v>
      </c>
      <c r="X685" s="2">
        <f t="shared" ca="1" si="642"/>
        <v>62264287.707071729</v>
      </c>
      <c r="Y685" s="2">
        <f t="shared" ca="1" si="643"/>
        <v>0.13113661207941582</v>
      </c>
      <c r="Z685" s="2">
        <f t="shared" ca="1" si="644"/>
        <v>0.13559125691118215</v>
      </c>
      <c r="AA685" s="2">
        <f t="shared" ca="1" si="645"/>
        <v>6581134.5660269652</v>
      </c>
      <c r="AB685" s="2">
        <f t="shared" ca="1" si="646"/>
        <v>7181646.9489086205</v>
      </c>
      <c r="AC685" s="2">
        <f t="shared" ca="1" si="647"/>
        <v>7579483.3710948834</v>
      </c>
      <c r="AD685" s="2">
        <f t="shared" ca="1" si="648"/>
        <v>7999358.4454098213</v>
      </c>
      <c r="AE685" s="2">
        <f t="shared" ca="1" si="649"/>
        <v>8442493.0308813229</v>
      </c>
      <c r="AF685" s="2">
        <f t="shared" ca="1" si="650"/>
        <v>1003706.6631005316</v>
      </c>
      <c r="AG685" s="2">
        <f t="shared" ca="1" si="651"/>
        <v>1059308.2640443249</v>
      </c>
      <c r="AH685" s="2">
        <f t="shared" ca="1" si="652"/>
        <v>1117989.9860445657</v>
      </c>
      <c r="AI685" s="2">
        <f t="shared" ca="1" si="653"/>
        <v>1179922.4563055316</v>
      </c>
      <c r="AJ685" s="2">
        <f t="shared" ca="1" si="654"/>
        <v>1245285.7541414346</v>
      </c>
      <c r="AK685" s="2">
        <f t="shared" ca="1" si="655"/>
        <v>0</v>
      </c>
      <c r="AL685" s="2">
        <f t="shared" ca="1" si="656"/>
        <v>27800.800471896604</v>
      </c>
      <c r="AM685" s="2">
        <f t="shared" ca="1" si="657"/>
        <v>29340.861000120491</v>
      </c>
      <c r="AN685" s="2">
        <f t="shared" ca="1" si="658"/>
        <v>30966.235130482914</v>
      </c>
      <c r="AO685" s="2">
        <f t="shared" ca="1" si="659"/>
        <v>32681.648917951508</v>
      </c>
      <c r="AP685" s="2">
        <f t="shared" ca="1" si="660"/>
        <v>2112252.7684459775</v>
      </c>
      <c r="AQ685" s="2">
        <f t="shared" ca="1" si="661"/>
        <v>900945.53496491874</v>
      </c>
      <c r="AR685" s="2">
        <f t="shared" ca="1" si="662"/>
        <v>1042622.3382687628</v>
      </c>
      <c r="AS685" s="2">
        <f t="shared" ca="1" si="663"/>
        <v>1130802.5603171282</v>
      </c>
      <c r="AT685" s="2">
        <f t="shared" ca="1" si="664"/>
        <v>1223867.637371161</v>
      </c>
      <c r="AU685" s="2">
        <f t="shared" ca="1" si="665"/>
        <v>1322088.1721564166</v>
      </c>
      <c r="AV685" s="2">
        <f t="shared" ca="1" si="666"/>
        <v>2564229.5995155373</v>
      </c>
      <c r="AW685" s="2">
        <f t="shared" ca="1" si="667"/>
        <v>2939662.7776776594</v>
      </c>
      <c r="AX685" s="2">
        <f t="shared" ca="1" si="668"/>
        <v>3189097.1952870912</v>
      </c>
      <c r="AY685" s="2">
        <f t="shared" ca="1" si="669"/>
        <v>3452349.3481566678</v>
      </c>
      <c r="AZ685" s="2">
        <f t="shared" ca="1" si="670"/>
        <v>3730184.687219542</v>
      </c>
      <c r="BA685" s="2">
        <f t="shared" ca="1" si="671"/>
        <v>62327416.113411292</v>
      </c>
      <c r="BB685" s="2">
        <f t="shared" ca="1" si="672"/>
        <v>1246548.322268226</v>
      </c>
      <c r="BC685" s="2">
        <f t="shared" ca="1" si="673"/>
        <v>37611392.586187758</v>
      </c>
      <c r="BD685" s="2">
        <f t="shared" ca="1" si="674"/>
        <v>-17124211.603510007</v>
      </c>
      <c r="BE685" s="2">
        <f t="shared" ca="1" si="675"/>
        <v>2564229.5995155373</v>
      </c>
      <c r="BF685" s="2">
        <f t="shared" ca="1" si="676"/>
        <v>2939662.7776776594</v>
      </c>
      <c r="BG685" s="2">
        <f t="shared" ca="1" si="677"/>
        <v>3189097.1952870912</v>
      </c>
      <c r="BH685" s="2">
        <f t="shared" ca="1" si="678"/>
        <v>3452349.3481566678</v>
      </c>
      <c r="BI685" s="2">
        <f t="shared" ca="1" si="679"/>
        <v>41341577.273407303</v>
      </c>
      <c r="BJ685" s="2">
        <f t="shared" ca="1" si="680"/>
        <v>0.30718129047933007</v>
      </c>
      <c r="BK685" s="2">
        <f t="shared" ca="1" si="681"/>
        <v>15431048.297154609</v>
      </c>
    </row>
    <row r="686" spans="1:63" x14ac:dyDescent="0.3">
      <c r="A686" s="2">
        <v>685</v>
      </c>
      <c r="B686" s="2">
        <f t="shared" ca="1" si="620"/>
        <v>0.28015246491236812</v>
      </c>
      <c r="C686" s="2">
        <f t="shared" ca="1" si="621"/>
        <v>6.7485351894364998</v>
      </c>
      <c r="D686" s="2">
        <f t="shared" ca="1" si="622"/>
        <v>0.43859295928505593</v>
      </c>
      <c r="E686" s="2">
        <f t="shared" ca="1" si="623"/>
        <v>7.4365820404909071</v>
      </c>
      <c r="F686" s="2">
        <f t="shared" ca="1" si="624"/>
        <v>0.83008296424214056</v>
      </c>
      <c r="G686" s="2">
        <f t="shared" ca="1" si="625"/>
        <v>6.863479470911496E-2</v>
      </c>
      <c r="H686" s="2">
        <f t="shared" ca="1" si="626"/>
        <v>6.863479470911496E-2</v>
      </c>
      <c r="I686" s="2">
        <f t="shared" ca="1" si="627"/>
        <v>0.77761265130391832</v>
      </c>
      <c r="J686" s="2">
        <f t="shared" ca="1" si="628"/>
        <v>1.3820776528885883E-2</v>
      </c>
      <c r="K686" s="2">
        <f t="shared" ca="1" si="629"/>
        <v>1.3820776528885883E-2</v>
      </c>
      <c r="L686" s="2">
        <f t="shared" ca="1" si="630"/>
        <v>0.3905281278480186</v>
      </c>
      <c r="M686" s="2">
        <f t="shared" ca="1" si="631"/>
        <v>-5.5588563246308075E-3</v>
      </c>
      <c r="N686" s="2">
        <f t="shared" ca="1" si="632"/>
        <v>-5.5588563246308075E-3</v>
      </c>
      <c r="O686" s="2">
        <f t="shared" si="633"/>
        <v>6000000</v>
      </c>
      <c r="P686" s="2">
        <f t="shared" ca="1" si="634"/>
        <v>40491211.136619002</v>
      </c>
      <c r="Q686" s="2">
        <f t="shared" ca="1" si="635"/>
        <v>1012280.278415475</v>
      </c>
      <c r="R686" s="2">
        <f t="shared" ca="1" si="636"/>
        <v>24294726.681971401</v>
      </c>
      <c r="S686" s="2">
        <f t="shared" ca="1" si="637"/>
        <v>16196484.454647601</v>
      </c>
      <c r="T686" s="2">
        <f t="shared" ca="1" si="638"/>
        <v>49722057.183768459</v>
      </c>
      <c r="U686" s="2">
        <f t="shared" ca="1" si="639"/>
        <v>53134720.371091284</v>
      </c>
      <c r="V686" s="2">
        <f t="shared" ca="1" si="640"/>
        <v>56781610.995687366</v>
      </c>
      <c r="W686" s="2">
        <f t="shared" ca="1" si="641"/>
        <v>60678805.2096292</v>
      </c>
      <c r="X686" s="2">
        <f t="shared" ca="1" si="642"/>
        <v>64843482.548386484</v>
      </c>
      <c r="Y686" s="2">
        <f t="shared" ca="1" si="643"/>
        <v>0.12691038826444292</v>
      </c>
      <c r="Z686" s="2">
        <f t="shared" ca="1" si="644"/>
        <v>0.12967454357022012</v>
      </c>
      <c r="AA686" s="2">
        <f t="shared" ca="1" si="645"/>
        <v>6310245.5824988885</v>
      </c>
      <c r="AB686" s="2">
        <f t="shared" ca="1" si="646"/>
        <v>6890220.6118525397</v>
      </c>
      <c r="AC686" s="2">
        <f t="shared" ca="1" si="647"/>
        <v>7363129.4890475515</v>
      </c>
      <c r="AD686" s="2">
        <f t="shared" ca="1" si="648"/>
        <v>7868496.3699449617</v>
      </c>
      <c r="AE686" s="2">
        <f t="shared" ca="1" si="649"/>
        <v>8408549.0029655509</v>
      </c>
      <c r="AF686" s="2">
        <f t="shared" ca="1" si="650"/>
        <v>994441.14367536921</v>
      </c>
      <c r="AG686" s="2">
        <f t="shared" ca="1" si="651"/>
        <v>1062694.4074218257</v>
      </c>
      <c r="AH686" s="2">
        <f t="shared" ca="1" si="652"/>
        <v>1135632.2199137474</v>
      </c>
      <c r="AI686" s="2">
        <f t="shared" ca="1" si="653"/>
        <v>1213576.1041925841</v>
      </c>
      <c r="AJ686" s="2">
        <f t="shared" ca="1" si="654"/>
        <v>1296869.6509677297</v>
      </c>
      <c r="AK686" s="2">
        <f t="shared" ca="1" si="655"/>
        <v>0</v>
      </c>
      <c r="AL686" s="2">
        <f t="shared" ca="1" si="656"/>
        <v>34126.631873228253</v>
      </c>
      <c r="AM686" s="2">
        <f t="shared" ca="1" si="657"/>
        <v>36468.906245960818</v>
      </c>
      <c r="AN686" s="2">
        <f t="shared" ca="1" si="658"/>
        <v>38971.942139418352</v>
      </c>
      <c r="AO686" s="2">
        <f t="shared" ca="1" si="659"/>
        <v>41646.773387572837</v>
      </c>
      <c r="AP686" s="2">
        <f t="shared" ca="1" si="660"/>
        <v>2186525.401377426</v>
      </c>
      <c r="AQ686" s="2">
        <f t="shared" ca="1" si="661"/>
        <v>813612.5497359843</v>
      </c>
      <c r="AR686" s="2">
        <f t="shared" ca="1" si="662"/>
        <v>946660.20879385492</v>
      </c>
      <c r="AS686" s="2">
        <f t="shared" ca="1" si="663"/>
        <v>1050652.6856166583</v>
      </c>
      <c r="AT686" s="2">
        <f t="shared" ca="1" si="664"/>
        <v>1161782.6647374877</v>
      </c>
      <c r="AU686" s="2">
        <f t="shared" ca="1" si="665"/>
        <v>1280540.0271613025</v>
      </c>
      <c r="AV686" s="2">
        <f t="shared" ca="1" si="666"/>
        <v>2315666.4877101094</v>
      </c>
      <c r="AW686" s="2">
        <f t="shared" ca="1" si="667"/>
        <v>2660213.9623862044</v>
      </c>
      <c r="AX686" s="2">
        <f t="shared" ca="1" si="668"/>
        <v>2953850.2758937594</v>
      </c>
      <c r="AY686" s="2">
        <f t="shared" ca="1" si="669"/>
        <v>3267640.257498045</v>
      </c>
      <c r="AZ686" s="2">
        <f t="shared" ca="1" si="670"/>
        <v>3602967.150071519</v>
      </c>
      <c r="BA686" s="2">
        <f t="shared" ca="1" si="671"/>
        <v>62530864.50204134</v>
      </c>
      <c r="BB686" s="2">
        <f t="shared" ca="1" si="672"/>
        <v>1250617.2900408269</v>
      </c>
      <c r="BC686" s="2">
        <f t="shared" ca="1" si="673"/>
        <v>36985520.530029111</v>
      </c>
      <c r="BD686" s="2">
        <f t="shared" ca="1" si="674"/>
        <v>-17708764.733063076</v>
      </c>
      <c r="BE686" s="2">
        <f t="shared" ca="1" si="675"/>
        <v>2315666.4877101094</v>
      </c>
      <c r="BF686" s="2">
        <f t="shared" ca="1" si="676"/>
        <v>2660213.9623862044</v>
      </c>
      <c r="BG686" s="2">
        <f t="shared" ca="1" si="677"/>
        <v>2953850.2758937594</v>
      </c>
      <c r="BH686" s="2">
        <f t="shared" ca="1" si="678"/>
        <v>3267640.257498045</v>
      </c>
      <c r="BI686" s="2">
        <f t="shared" ca="1" si="679"/>
        <v>40588487.680100627</v>
      </c>
      <c r="BJ686" s="2">
        <f t="shared" ca="1" si="680"/>
        <v>0.28286074786666537</v>
      </c>
      <c r="BK686" s="2">
        <f t="shared" ca="1" si="681"/>
        <v>13689635.596189227</v>
      </c>
    </row>
    <row r="687" spans="1:63" x14ac:dyDescent="0.3">
      <c r="A687" s="2">
        <v>686</v>
      </c>
      <c r="B687" s="2">
        <f t="shared" ca="1" si="620"/>
        <v>0.34825147547442981</v>
      </c>
      <c r="C687" s="2">
        <f t="shared" ca="1" si="621"/>
        <v>6.8345675233010565</v>
      </c>
      <c r="D687" s="2">
        <f t="shared" ca="1" si="622"/>
        <v>0.16803367185578122</v>
      </c>
      <c r="E687" s="2">
        <f t="shared" ca="1" si="623"/>
        <v>7.0797131564071689</v>
      </c>
      <c r="F687" s="2">
        <f t="shared" ca="1" si="624"/>
        <v>0.28675201635629777</v>
      </c>
      <c r="G687" s="2">
        <f t="shared" ca="1" si="625"/>
        <v>2.3113046366819167E-2</v>
      </c>
      <c r="H687" s="2">
        <f t="shared" ca="1" si="626"/>
        <v>2.3113046366819167E-2</v>
      </c>
      <c r="I687" s="2">
        <f t="shared" ca="1" si="627"/>
        <v>0.33390337798320768</v>
      </c>
      <c r="J687" s="2">
        <f t="shared" ca="1" si="628"/>
        <v>7.8541997638543418E-3</v>
      </c>
      <c r="K687" s="2">
        <f t="shared" ca="1" si="629"/>
        <v>7.8541997638543418E-3</v>
      </c>
      <c r="L687" s="2">
        <f t="shared" ca="1" si="630"/>
        <v>0.56034046290342099</v>
      </c>
      <c r="M687" s="2">
        <f t="shared" ca="1" si="631"/>
        <v>3.0366493359523456E-3</v>
      </c>
      <c r="N687" s="2">
        <f t="shared" ca="1" si="632"/>
        <v>3.0366493359523456E-3</v>
      </c>
      <c r="O687" s="2">
        <f t="shared" si="633"/>
        <v>6000000</v>
      </c>
      <c r="P687" s="2">
        <f t="shared" ca="1" si="634"/>
        <v>41007405.139806338</v>
      </c>
      <c r="Q687" s="2">
        <f t="shared" ca="1" si="635"/>
        <v>1025185.1284951585</v>
      </c>
      <c r="R687" s="2">
        <f t="shared" ca="1" si="636"/>
        <v>24604443.083883803</v>
      </c>
      <c r="S687" s="2">
        <f t="shared" ca="1" si="637"/>
        <v>16402962.055922536</v>
      </c>
      <c r="T687" s="2">
        <f t="shared" ca="1" si="638"/>
        <v>50151832.46679762</v>
      </c>
      <c r="U687" s="2">
        <f t="shared" ca="1" si="639"/>
        <v>51310994.095983662</v>
      </c>
      <c r="V687" s="2">
        <f t="shared" ca="1" si="640"/>
        <v>52496947.481651716</v>
      </c>
      <c r="W687" s="2">
        <f t="shared" ca="1" si="641"/>
        <v>53710311.862911604</v>
      </c>
      <c r="X687" s="2">
        <f t="shared" ca="1" si="642"/>
        <v>54951720.791375399</v>
      </c>
      <c r="Y687" s="2">
        <f t="shared" ca="1" si="643"/>
        <v>0.12392709988192717</v>
      </c>
      <c r="Z687" s="2">
        <f t="shared" ca="1" si="644"/>
        <v>0.12549793983469804</v>
      </c>
      <c r="AA687" s="2">
        <f t="shared" ca="1" si="645"/>
        <v>6215171.1513745068</v>
      </c>
      <c r="AB687" s="2">
        <f t="shared" ca="1" si="646"/>
        <v>6439424.0499163037</v>
      </c>
      <c r="AC687" s="2">
        <f t="shared" ca="1" si="647"/>
        <v>6588258.7565576294</v>
      </c>
      <c r="AD687" s="2">
        <f t="shared" ca="1" si="648"/>
        <v>6740533.4866745491</v>
      </c>
      <c r="AE687" s="2">
        <f t="shared" ca="1" si="649"/>
        <v>6896327.7496891553</v>
      </c>
      <c r="AF687" s="2">
        <f t="shared" ca="1" si="650"/>
        <v>1003036.6493359525</v>
      </c>
      <c r="AG687" s="2">
        <f t="shared" ca="1" si="651"/>
        <v>1026219.8819196733</v>
      </c>
      <c r="AH687" s="2">
        <f t="shared" ca="1" si="652"/>
        <v>1049938.9496330344</v>
      </c>
      <c r="AI687" s="2">
        <f t="shared" ca="1" si="653"/>
        <v>1074206.2372582322</v>
      </c>
      <c r="AJ687" s="2">
        <f t="shared" ca="1" si="654"/>
        <v>1099034.4158275081</v>
      </c>
      <c r="AK687" s="2">
        <f t="shared" ca="1" si="655"/>
        <v>0</v>
      </c>
      <c r="AL687" s="2">
        <f t="shared" ca="1" si="656"/>
        <v>11591.616291860417</v>
      </c>
      <c r="AM687" s="2">
        <f t="shared" ca="1" si="657"/>
        <v>11859.533856680542</v>
      </c>
      <c r="AN687" s="2">
        <f t="shared" ca="1" si="658"/>
        <v>12133.643812598884</v>
      </c>
      <c r="AO687" s="2">
        <f t="shared" ca="1" si="659"/>
        <v>12414.089284637943</v>
      </c>
      <c r="AP687" s="2">
        <f t="shared" ca="1" si="660"/>
        <v>2214399.8775495421</v>
      </c>
      <c r="AQ687" s="2">
        <f t="shared" ca="1" si="661"/>
        <v>779411.00236714317</v>
      </c>
      <c r="AR687" s="2">
        <f t="shared" ca="1" si="662"/>
        <v>831689.11551624292</v>
      </c>
      <c r="AS687" s="2">
        <f t="shared" ca="1" si="663"/>
        <v>864219.18163751368</v>
      </c>
      <c r="AT687" s="2">
        <f t="shared" ca="1" si="664"/>
        <v>897501.11668536148</v>
      </c>
      <c r="AU687" s="2">
        <f t="shared" ca="1" si="665"/>
        <v>931552.29864114732</v>
      </c>
      <c r="AV687" s="2">
        <f t="shared" ca="1" si="666"/>
        <v>2218323.6221218687</v>
      </c>
      <c r="AW687" s="2">
        <f t="shared" ca="1" si="667"/>
        <v>2355523.5586389853</v>
      </c>
      <c r="AX687" s="2">
        <f t="shared" ca="1" si="668"/>
        <v>2447841.2138808584</v>
      </c>
      <c r="AY687" s="2">
        <f t="shared" ca="1" si="669"/>
        <v>2542292.6113688145</v>
      </c>
      <c r="AZ687" s="2">
        <f t="shared" ca="1" si="670"/>
        <v>2638927.06838632</v>
      </c>
      <c r="BA687" s="2">
        <f t="shared" ca="1" si="671"/>
        <v>48824022.300370157</v>
      </c>
      <c r="BB687" s="2">
        <f t="shared" ca="1" si="672"/>
        <v>976480.4460074032</v>
      </c>
      <c r="BC687" s="2">
        <f t="shared" ca="1" si="673"/>
        <v>23243098.770478949</v>
      </c>
      <c r="BD687" s="2">
        <f t="shared" ca="1" si="674"/>
        <v>-17928147.184417695</v>
      </c>
      <c r="BE687" s="2">
        <f t="shared" ca="1" si="675"/>
        <v>2218323.6221218687</v>
      </c>
      <c r="BF687" s="2">
        <f t="shared" ca="1" si="676"/>
        <v>2355523.5586389853</v>
      </c>
      <c r="BG687" s="2">
        <f t="shared" ca="1" si="677"/>
        <v>2447841.2138808584</v>
      </c>
      <c r="BH687" s="2">
        <f t="shared" ca="1" si="678"/>
        <v>2542292.6113688145</v>
      </c>
      <c r="BI687" s="2">
        <f t="shared" ca="1" si="679"/>
        <v>25882025.838865269</v>
      </c>
      <c r="BJ687" s="2">
        <f t="shared" ca="1" si="680"/>
        <v>0.17604374310418303</v>
      </c>
      <c r="BK687" s="2">
        <f t="shared" ca="1" si="681"/>
        <v>3974462.3484555036</v>
      </c>
    </row>
    <row r="688" spans="1:63" x14ac:dyDescent="0.3">
      <c r="A688" s="2">
        <v>687</v>
      </c>
      <c r="B688" s="2">
        <f t="shared" ca="1" si="620"/>
        <v>0.7957673970887259</v>
      </c>
      <c r="C688" s="2">
        <f t="shared" ca="1" si="621"/>
        <v>7.360887172854004</v>
      </c>
      <c r="D688" s="2">
        <f t="shared" ca="1" si="622"/>
        <v>0.92603536508462914</v>
      </c>
      <c r="E688" s="2">
        <f t="shared" ca="1" si="623"/>
        <v>8.1153842569125096</v>
      </c>
      <c r="F688" s="2">
        <f t="shared" ca="1" si="624"/>
        <v>0.60875714459415808</v>
      </c>
      <c r="G688" s="2">
        <f t="shared" ca="1" si="625"/>
        <v>4.8282435576003598E-2</v>
      </c>
      <c r="H688" s="2">
        <f t="shared" ca="1" si="626"/>
        <v>4.8282435576003598E-2</v>
      </c>
      <c r="I688" s="2">
        <f t="shared" ca="1" si="627"/>
        <v>0.52178095162378413</v>
      </c>
      <c r="J688" s="2">
        <f t="shared" ca="1" si="628"/>
        <v>1.0273119506167014E-2</v>
      </c>
      <c r="K688" s="2">
        <f t="shared" ca="1" si="629"/>
        <v>1.0273119506167014E-2</v>
      </c>
      <c r="L688" s="2">
        <f t="shared" ca="1" si="630"/>
        <v>0.71675142951752024</v>
      </c>
      <c r="M688" s="2">
        <f t="shared" ca="1" si="631"/>
        <v>1.1464358739090217E-2</v>
      </c>
      <c r="N688" s="2">
        <f t="shared" ca="1" si="632"/>
        <v>1.1464358739090217E-2</v>
      </c>
      <c r="O688" s="2">
        <f t="shared" si="633"/>
        <v>6000000</v>
      </c>
      <c r="P688" s="2">
        <f t="shared" ca="1" si="634"/>
        <v>44165323.037124023</v>
      </c>
      <c r="Q688" s="2">
        <f t="shared" ca="1" si="635"/>
        <v>1104133.0759281006</v>
      </c>
      <c r="R688" s="2">
        <f t="shared" ca="1" si="636"/>
        <v>26499193.822274413</v>
      </c>
      <c r="S688" s="2">
        <f t="shared" ca="1" si="637"/>
        <v>17666129.21484961</v>
      </c>
      <c r="T688" s="2">
        <f t="shared" ca="1" si="638"/>
        <v>50573217.936954506</v>
      </c>
      <c r="U688" s="2">
        <f t="shared" ca="1" si="639"/>
        <v>53015016.073866703</v>
      </c>
      <c r="V688" s="2">
        <f t="shared" ca="1" si="640"/>
        <v>55574710.172013968</v>
      </c>
      <c r="W688" s="2">
        <f t="shared" ca="1" si="641"/>
        <v>58257992.535549305</v>
      </c>
      <c r="X688" s="2">
        <f t="shared" ca="1" si="642"/>
        <v>61070830.306934267</v>
      </c>
      <c r="Y688" s="2">
        <f t="shared" ca="1" si="643"/>
        <v>0.12513655975308349</v>
      </c>
      <c r="Z688" s="2">
        <f t="shared" ca="1" si="644"/>
        <v>0.12719118365431689</v>
      </c>
      <c r="AA688" s="2">
        <f t="shared" ca="1" si="645"/>
        <v>6328558.5082734218</v>
      </c>
      <c r="AB688" s="2">
        <f t="shared" ca="1" si="646"/>
        <v>6743042.6458877418</v>
      </c>
      <c r="AC688" s="2">
        <f t="shared" ca="1" si="647"/>
        <v>7068613.1680240622</v>
      </c>
      <c r="AD688" s="2">
        <f t="shared" ca="1" si="648"/>
        <v>7409903.0279208738</v>
      </c>
      <c r="AE688" s="2">
        <f t="shared" ca="1" si="649"/>
        <v>7767671.1934908982</v>
      </c>
      <c r="AF688" s="2">
        <f t="shared" ca="1" si="650"/>
        <v>1011464.3587390902</v>
      </c>
      <c r="AG688" s="2">
        <f t="shared" ca="1" si="651"/>
        <v>1060300.321477334</v>
      </c>
      <c r="AH688" s="2">
        <f t="shared" ca="1" si="652"/>
        <v>1111494.2034402795</v>
      </c>
      <c r="AI688" s="2">
        <f t="shared" ca="1" si="653"/>
        <v>1165159.8507109862</v>
      </c>
      <c r="AJ688" s="2">
        <f t="shared" ca="1" si="654"/>
        <v>1221416.6061386855</v>
      </c>
      <c r="AK688" s="2">
        <f t="shared" ca="1" si="655"/>
        <v>0</v>
      </c>
      <c r="AL688" s="2">
        <f t="shared" ca="1" si="656"/>
        <v>24417.981369121968</v>
      </c>
      <c r="AM688" s="2">
        <f t="shared" ca="1" si="657"/>
        <v>25596.940981472657</v>
      </c>
      <c r="AN688" s="2">
        <f t="shared" ca="1" si="658"/>
        <v>26832.823635353372</v>
      </c>
      <c r="AO688" s="2">
        <f t="shared" ca="1" si="659"/>
        <v>28128.377713849619</v>
      </c>
      <c r="AP688" s="2">
        <f t="shared" ca="1" si="660"/>
        <v>2384927.4440046973</v>
      </c>
      <c r="AQ688" s="2">
        <f t="shared" ca="1" si="661"/>
        <v>762363.34343770496</v>
      </c>
      <c r="AR688" s="2">
        <f t="shared" ca="1" si="662"/>
        <v>857431.86890548479</v>
      </c>
      <c r="AS688" s="2">
        <f t="shared" ca="1" si="663"/>
        <v>928769.7953505622</v>
      </c>
      <c r="AT688" s="2">
        <f t="shared" ca="1" si="664"/>
        <v>1003552.0906333495</v>
      </c>
      <c r="AU688" s="2">
        <f t="shared" ca="1" si="665"/>
        <v>1081945.0572703539</v>
      </c>
      <c r="AV688" s="2">
        <f t="shared" ca="1" si="666"/>
        <v>2169803.3620919292</v>
      </c>
      <c r="AW688" s="2">
        <f t="shared" ca="1" si="667"/>
        <v>2415965.0301311039</v>
      </c>
      <c r="AX688" s="2">
        <f t="shared" ca="1" si="668"/>
        <v>2617824.7842470505</v>
      </c>
      <c r="AY688" s="2">
        <f t="shared" ca="1" si="669"/>
        <v>2829430.8189364872</v>
      </c>
      <c r="AZ688" s="2">
        <f t="shared" ca="1" si="670"/>
        <v>3051253.7083633118</v>
      </c>
      <c r="BA688" s="2">
        <f t="shared" ca="1" si="671"/>
        <v>63037636.516528837</v>
      </c>
      <c r="BB688" s="2">
        <f t="shared" ca="1" si="672"/>
        <v>1260752.7303305769</v>
      </c>
      <c r="BC688" s="2">
        <f t="shared" ca="1" si="673"/>
        <v>35277689.963923849</v>
      </c>
      <c r="BD688" s="2">
        <f t="shared" ca="1" si="674"/>
        <v>-19270262.290777709</v>
      </c>
      <c r="BE688" s="2">
        <f t="shared" ca="1" si="675"/>
        <v>2169803.3620919292</v>
      </c>
      <c r="BF688" s="2">
        <f t="shared" ca="1" si="676"/>
        <v>2415965.0301311039</v>
      </c>
      <c r="BG688" s="2">
        <f t="shared" ca="1" si="677"/>
        <v>2617824.7842470505</v>
      </c>
      <c r="BH688" s="2">
        <f t="shared" ca="1" si="678"/>
        <v>2829430.8189364872</v>
      </c>
      <c r="BI688" s="2">
        <f t="shared" ca="1" si="679"/>
        <v>38328943.672287159</v>
      </c>
      <c r="BJ688" s="2">
        <f t="shared" ca="1" si="680"/>
        <v>0.23527292713728687</v>
      </c>
      <c r="BK688" s="2">
        <f t="shared" ca="1" si="681"/>
        <v>10003397.07173397</v>
      </c>
    </row>
    <row r="689" spans="1:63" x14ac:dyDescent="0.3">
      <c r="A689" s="2">
        <v>688</v>
      </c>
      <c r="B689" s="2">
        <f t="shared" ca="1" si="620"/>
        <v>0.39912901019740699</v>
      </c>
      <c r="C689" s="2">
        <f t="shared" ca="1" si="621"/>
        <v>6.8934528641147299</v>
      </c>
      <c r="D689" s="2">
        <f t="shared" ca="1" si="622"/>
        <v>3.1903770530367082E-3</v>
      </c>
      <c r="E689" s="2">
        <f t="shared" ca="1" si="623"/>
        <v>6.5798796225959624</v>
      </c>
      <c r="F689" s="2">
        <f t="shared" ca="1" si="624"/>
        <v>0.98969591363459208</v>
      </c>
      <c r="G689" s="2">
        <f t="shared" ca="1" si="625"/>
        <v>0.10945260923048378</v>
      </c>
      <c r="H689" s="2">
        <f t="shared" ca="1" si="626"/>
        <v>0.10945260923048378</v>
      </c>
      <c r="I689" s="2">
        <f t="shared" ca="1" si="627"/>
        <v>0.51179020805912523</v>
      </c>
      <c r="J689" s="2">
        <f t="shared" ca="1" si="628"/>
        <v>1.0147789861623893E-2</v>
      </c>
      <c r="K689" s="2">
        <f t="shared" ca="1" si="629"/>
        <v>1.0147789861623893E-2</v>
      </c>
      <c r="L689" s="2">
        <f t="shared" ca="1" si="630"/>
        <v>0.97921761365067406</v>
      </c>
      <c r="M689" s="2">
        <f t="shared" ca="1" si="631"/>
        <v>4.0757032696191367E-2</v>
      </c>
      <c r="N689" s="2">
        <f t="shared" ca="1" si="632"/>
        <v>4.0757032696191367E-2</v>
      </c>
      <c r="O689" s="2">
        <f t="shared" si="633"/>
        <v>6000000</v>
      </c>
      <c r="P689" s="2">
        <f t="shared" ca="1" si="634"/>
        <v>41360717.184688382</v>
      </c>
      <c r="Q689" s="2">
        <f t="shared" ca="1" si="635"/>
        <v>1034017.9296172096</v>
      </c>
      <c r="R689" s="2">
        <f t="shared" ca="1" si="636"/>
        <v>24816430.310813028</v>
      </c>
      <c r="S689" s="2">
        <f t="shared" ca="1" si="637"/>
        <v>16544286.873875353</v>
      </c>
      <c r="T689" s="2">
        <f t="shared" ca="1" si="638"/>
        <v>52037851.634809576</v>
      </c>
      <c r="U689" s="2">
        <f t="shared" ca="1" si="639"/>
        <v>57733530.274988279</v>
      </c>
      <c r="V689" s="2">
        <f t="shared" ca="1" si="640"/>
        <v>64052615.803672872</v>
      </c>
      <c r="W689" s="2">
        <f t="shared" ca="1" si="641"/>
        <v>71063341.731422588</v>
      </c>
      <c r="X689" s="2">
        <f t="shared" ca="1" si="642"/>
        <v>78841409.904564306</v>
      </c>
      <c r="Y689" s="2">
        <f t="shared" ca="1" si="643"/>
        <v>0.12507389493081195</v>
      </c>
      <c r="Z689" s="2">
        <f t="shared" ca="1" si="644"/>
        <v>0.12710345290313671</v>
      </c>
      <c r="AA689" s="2">
        <f t="shared" ca="1" si="645"/>
        <v>6508576.7877973532</v>
      </c>
      <c r="AB689" s="2">
        <f t="shared" ca="1" si="646"/>
        <v>7338131.0462387903</v>
      </c>
      <c r="AC689" s="2">
        <f t="shared" ca="1" si="647"/>
        <v>8141308.6361248447</v>
      </c>
      <c r="AD689" s="2">
        <f t="shared" ca="1" si="648"/>
        <v>9032396.108899381</v>
      </c>
      <c r="AE689" s="2">
        <f t="shared" ca="1" si="649"/>
        <v>10021015.430621685</v>
      </c>
      <c r="AF689" s="2">
        <f t="shared" ca="1" si="650"/>
        <v>1040757.0326961916</v>
      </c>
      <c r="AG689" s="2">
        <f t="shared" ca="1" si="651"/>
        <v>1154670.6054997656</v>
      </c>
      <c r="AH689" s="2">
        <f t="shared" ca="1" si="652"/>
        <v>1281052.3160734575</v>
      </c>
      <c r="AI689" s="2">
        <f t="shared" ca="1" si="653"/>
        <v>1421266.8346284518</v>
      </c>
      <c r="AJ689" s="2">
        <f t="shared" ca="1" si="654"/>
        <v>1576828.1980912862</v>
      </c>
      <c r="AK689" s="2">
        <f t="shared" ca="1" si="655"/>
        <v>0</v>
      </c>
      <c r="AL689" s="2">
        <f t="shared" ca="1" si="656"/>
        <v>56956.786401787031</v>
      </c>
      <c r="AM689" s="2">
        <f t="shared" ca="1" si="657"/>
        <v>63190.855286845937</v>
      </c>
      <c r="AN689" s="2">
        <f t="shared" ca="1" si="658"/>
        <v>70107.259277497156</v>
      </c>
      <c r="AO689" s="2">
        <f t="shared" ca="1" si="659"/>
        <v>77780.681731417179</v>
      </c>
      <c r="AP689" s="2">
        <f t="shared" ca="1" si="660"/>
        <v>2233478.7279731724</v>
      </c>
      <c r="AQ689" s="2">
        <f t="shared" ca="1" si="661"/>
        <v>840928.66705327737</v>
      </c>
      <c r="AR689" s="2">
        <f t="shared" ca="1" si="662"/>
        <v>1026995.2453191215</v>
      </c>
      <c r="AS689" s="2">
        <f t="shared" ca="1" si="663"/>
        <v>1202962.1739403359</v>
      </c>
      <c r="AT689" s="2">
        <f t="shared" ca="1" si="664"/>
        <v>1398189.1420374168</v>
      </c>
      <c r="AU689" s="2">
        <f t="shared" ca="1" si="665"/>
        <v>1614784.2111848793</v>
      </c>
      <c r="AV689" s="2">
        <f t="shared" ca="1" si="666"/>
        <v>2393412.360074712</v>
      </c>
      <c r="AW689" s="2">
        <f t="shared" ca="1" si="667"/>
        <v>2866029.6810449436</v>
      </c>
      <c r="AX689" s="2">
        <f t="shared" ca="1" si="668"/>
        <v>3360624.5628510322</v>
      </c>
      <c r="AY689" s="2">
        <f t="shared" ca="1" si="669"/>
        <v>3909354.1449828427</v>
      </c>
      <c r="AZ689" s="2">
        <f t="shared" ca="1" si="670"/>
        <v>4518143.611640932</v>
      </c>
      <c r="BA689" s="2">
        <f t="shared" ca="1" si="671"/>
        <v>65937075.229667328</v>
      </c>
      <c r="BB689" s="2">
        <f t="shared" ca="1" si="672"/>
        <v>1318741.5045933465</v>
      </c>
      <c r="BC689" s="2">
        <f t="shared" ca="1" si="673"/>
        <v>39801903.414260946</v>
      </c>
      <c r="BD689" s="2">
        <f t="shared" ca="1" si="674"/>
        <v>-18078304.803492565</v>
      </c>
      <c r="BE689" s="2">
        <f t="shared" ca="1" si="675"/>
        <v>2393412.360074712</v>
      </c>
      <c r="BF689" s="2">
        <f t="shared" ca="1" si="676"/>
        <v>2866029.6810449436</v>
      </c>
      <c r="BG689" s="2">
        <f t="shared" ca="1" si="677"/>
        <v>3360624.5628510322</v>
      </c>
      <c r="BH689" s="2">
        <f t="shared" ca="1" si="678"/>
        <v>3909354.1449828427</v>
      </c>
      <c r="BI689" s="2">
        <f t="shared" ca="1" si="679"/>
        <v>44320047.025901876</v>
      </c>
      <c r="BJ689" s="2">
        <f t="shared" ca="1" si="680"/>
        <v>0.30514932582758569</v>
      </c>
      <c r="BK689" s="2">
        <f t="shared" ca="1" si="681"/>
        <v>16368328.179996599</v>
      </c>
    </row>
    <row r="690" spans="1:63" x14ac:dyDescent="0.3">
      <c r="A690" s="2">
        <v>689</v>
      </c>
      <c r="B690" s="2">
        <f t="shared" ca="1" si="620"/>
        <v>0.18611496822992579</v>
      </c>
      <c r="C690" s="2">
        <f t="shared" ca="1" si="621"/>
        <v>6.6101064959987328</v>
      </c>
      <c r="D690" s="2">
        <f t="shared" ca="1" si="622"/>
        <v>0.54869425313903486</v>
      </c>
      <c r="E690" s="2">
        <f t="shared" ca="1" si="623"/>
        <v>7.5499413209059503</v>
      </c>
      <c r="F690" s="2">
        <f t="shared" ca="1" si="624"/>
        <v>0.70421478860281828</v>
      </c>
      <c r="G690" s="2">
        <f t="shared" ca="1" si="625"/>
        <v>5.6096850264002421E-2</v>
      </c>
      <c r="H690" s="2">
        <f t="shared" ca="1" si="626"/>
        <v>5.6096850264002421E-2</v>
      </c>
      <c r="I690" s="2">
        <f t="shared" ca="1" si="627"/>
        <v>0.32252090740798289</v>
      </c>
      <c r="J690" s="2">
        <f t="shared" ca="1" si="628"/>
        <v>7.6966948266470898E-3</v>
      </c>
      <c r="K690" s="2">
        <f t="shared" ca="1" si="629"/>
        <v>7.6966948266470898E-3</v>
      </c>
      <c r="L690" s="2">
        <f t="shared" ca="1" si="630"/>
        <v>0.16236102255190399</v>
      </c>
      <c r="M690" s="2">
        <f t="shared" ca="1" si="631"/>
        <v>-1.9696011216908196E-2</v>
      </c>
      <c r="N690" s="2">
        <f t="shared" ca="1" si="632"/>
        <v>-1.9696011216908196E-2</v>
      </c>
      <c r="O690" s="2">
        <f t="shared" si="633"/>
        <v>6000000</v>
      </c>
      <c r="P690" s="2">
        <f t="shared" ca="1" si="634"/>
        <v>39660638.975992396</v>
      </c>
      <c r="Q690" s="2">
        <f t="shared" ca="1" si="635"/>
        <v>991515.97439980996</v>
      </c>
      <c r="R690" s="2">
        <f t="shared" ca="1" si="636"/>
        <v>23796383.385595437</v>
      </c>
      <c r="S690" s="2">
        <f t="shared" ca="1" si="637"/>
        <v>15864255.590396959</v>
      </c>
      <c r="T690" s="2">
        <f t="shared" ca="1" si="638"/>
        <v>49015199.439154588</v>
      </c>
      <c r="U690" s="2">
        <f t="shared" ca="1" si="639"/>
        <v>51764797.742753059</v>
      </c>
      <c r="V690" s="2">
        <f t="shared" ca="1" si="640"/>
        <v>54668639.850674652</v>
      </c>
      <c r="W690" s="2">
        <f t="shared" ca="1" si="641"/>
        <v>57735378.354514629</v>
      </c>
      <c r="X690" s="2">
        <f t="shared" ca="1" si="642"/>
        <v>60974151.229003362</v>
      </c>
      <c r="Y690" s="2">
        <f t="shared" ca="1" si="643"/>
        <v>0.12384834741332354</v>
      </c>
      <c r="Z690" s="2">
        <f t="shared" ca="1" si="644"/>
        <v>0.12538768637865297</v>
      </c>
      <c r="AA690" s="2">
        <f t="shared" ca="1" si="645"/>
        <v>6070451.4486737587</v>
      </c>
      <c r="AB690" s="2">
        <f t="shared" ca="1" si="646"/>
        <v>6490668.2248227233</v>
      </c>
      <c r="AC690" s="2">
        <f t="shared" ca="1" si="647"/>
        <v>6854774.2683439227</v>
      </c>
      <c r="AD690" s="2">
        <f t="shared" ca="1" si="648"/>
        <v>7239305.5140687497</v>
      </c>
      <c r="AE690" s="2">
        <f t="shared" ca="1" si="649"/>
        <v>7645407.7515068315</v>
      </c>
      <c r="AF690" s="2">
        <f t="shared" ca="1" si="650"/>
        <v>980303.98878309177</v>
      </c>
      <c r="AG690" s="2">
        <f t="shared" ca="1" si="651"/>
        <v>1035295.9548550613</v>
      </c>
      <c r="AH690" s="2">
        <f t="shared" ca="1" si="652"/>
        <v>1093372.797013493</v>
      </c>
      <c r="AI690" s="2">
        <f t="shared" ca="1" si="653"/>
        <v>1154707.5670902927</v>
      </c>
      <c r="AJ690" s="2">
        <f t="shared" ca="1" si="654"/>
        <v>1219483.0245800673</v>
      </c>
      <c r="AK690" s="2">
        <f t="shared" ca="1" si="655"/>
        <v>0</v>
      </c>
      <c r="AL690" s="2">
        <f t="shared" ca="1" si="656"/>
        <v>27495.983035984711</v>
      </c>
      <c r="AM690" s="2">
        <f t="shared" ca="1" si="657"/>
        <v>29038.421079215928</v>
      </c>
      <c r="AN690" s="2">
        <f t="shared" ca="1" si="658"/>
        <v>30667.385038399771</v>
      </c>
      <c r="AO690" s="2">
        <f t="shared" ca="1" si="659"/>
        <v>32387.728744887339</v>
      </c>
      <c r="AP690" s="2">
        <f t="shared" ca="1" si="660"/>
        <v>2141674.5047035892</v>
      </c>
      <c r="AQ690" s="2">
        <f t="shared" ca="1" si="661"/>
        <v>766602.96834864037</v>
      </c>
      <c r="AR690" s="2">
        <f t="shared" ca="1" si="662"/>
        <v>861561.41896865901</v>
      </c>
      <c r="AS690" s="2">
        <f t="shared" ca="1" si="663"/>
        <v>941129.01132297853</v>
      </c>
      <c r="AT690" s="2">
        <f t="shared" ca="1" si="664"/>
        <v>1025160.0949914657</v>
      </c>
      <c r="AU690" s="2">
        <f t="shared" ca="1" si="665"/>
        <v>1113905.0577780257</v>
      </c>
      <c r="AV690" s="2">
        <f t="shared" ca="1" si="666"/>
        <v>2181869.9868384381</v>
      </c>
      <c r="AW690" s="2">
        <f t="shared" ca="1" si="667"/>
        <v>2424640.3632594296</v>
      </c>
      <c r="AX690" s="2">
        <f t="shared" ca="1" si="668"/>
        <v>2649559.5342246457</v>
      </c>
      <c r="AY690" s="2">
        <f t="shared" ca="1" si="669"/>
        <v>2887095.9622450019</v>
      </c>
      <c r="AZ690" s="2">
        <f t="shared" ca="1" si="670"/>
        <v>3137957.4357002615</v>
      </c>
      <c r="BA690" s="2">
        <f t="shared" ca="1" si="671"/>
        <v>57722379.898276076</v>
      </c>
      <c r="BB690" s="2">
        <f t="shared" ca="1" si="672"/>
        <v>1154447.5979655215</v>
      </c>
      <c r="BC690" s="2">
        <f t="shared" ca="1" si="673"/>
        <v>32771548.914715115</v>
      </c>
      <c r="BD690" s="2">
        <f t="shared" ca="1" si="674"/>
        <v>-17355771.564796768</v>
      </c>
      <c r="BE690" s="2">
        <f t="shared" ca="1" si="675"/>
        <v>2181869.9868384381</v>
      </c>
      <c r="BF690" s="2">
        <f t="shared" ca="1" si="676"/>
        <v>2424640.3632594296</v>
      </c>
      <c r="BG690" s="2">
        <f t="shared" ca="1" si="677"/>
        <v>2649559.5342246457</v>
      </c>
      <c r="BH690" s="2">
        <f t="shared" ca="1" si="678"/>
        <v>2887095.9622450019</v>
      </c>
      <c r="BI690" s="2">
        <f t="shared" ca="1" si="679"/>
        <v>35909506.350415379</v>
      </c>
      <c r="BJ690" s="2">
        <f t="shared" ca="1" si="680"/>
        <v>0.25430862424238465</v>
      </c>
      <c r="BK690" s="2">
        <f t="shared" ca="1" si="681"/>
        <v>10621959.189377408</v>
      </c>
    </row>
    <row r="691" spans="1:63" x14ac:dyDescent="0.3">
      <c r="A691" s="2">
        <v>690</v>
      </c>
      <c r="B691" s="2">
        <f t="shared" ca="1" si="620"/>
        <v>0.72572596504220255</v>
      </c>
      <c r="C691" s="2">
        <f t="shared" ca="1" si="621"/>
        <v>7.2593596892447758</v>
      </c>
      <c r="D691" s="2">
        <f t="shared" ca="1" si="622"/>
        <v>0.91153335927946877</v>
      </c>
      <c r="E691" s="2">
        <f t="shared" ca="1" si="623"/>
        <v>8.0793656202340767</v>
      </c>
      <c r="F691" s="2">
        <f t="shared" ca="1" si="624"/>
        <v>1.0167440870516575E-2</v>
      </c>
      <c r="G691" s="2">
        <f t="shared" ca="1" si="625"/>
        <v>-2.9603325391141959E-2</v>
      </c>
      <c r="H691" s="2">
        <f t="shared" ca="1" si="626"/>
        <v>-0.02</v>
      </c>
      <c r="I691" s="2">
        <f t="shared" ca="1" si="627"/>
        <v>8.7377409428529229E-2</v>
      </c>
      <c r="J691" s="2">
        <f t="shared" ca="1" si="628"/>
        <v>3.2145846763331999E-3</v>
      </c>
      <c r="K691" s="2">
        <f t="shared" ca="1" si="629"/>
        <v>3.2145846763331999E-3</v>
      </c>
      <c r="L691" s="2">
        <f t="shared" ca="1" si="630"/>
        <v>0.92708829845410934</v>
      </c>
      <c r="M691" s="2">
        <f t="shared" ca="1" si="631"/>
        <v>2.908886884878318E-2</v>
      </c>
      <c r="N691" s="2">
        <f t="shared" ca="1" si="632"/>
        <v>2.908886884878318E-2</v>
      </c>
      <c r="O691" s="2">
        <f t="shared" si="633"/>
        <v>6000000</v>
      </c>
      <c r="P691" s="2">
        <f t="shared" ca="1" si="634"/>
        <v>43556158.135468654</v>
      </c>
      <c r="Q691" s="2">
        <f t="shared" ca="1" si="635"/>
        <v>1088903.9533867163</v>
      </c>
      <c r="R691" s="2">
        <f t="shared" ca="1" si="636"/>
        <v>26133694.881281193</v>
      </c>
      <c r="S691" s="2">
        <f t="shared" ca="1" si="637"/>
        <v>17422463.254187461</v>
      </c>
      <c r="T691" s="2">
        <f t="shared" ca="1" si="638"/>
        <v>51454443.442439154</v>
      </c>
      <c r="U691" s="2">
        <f t="shared" ca="1" si="639"/>
        <v>50425354.573590368</v>
      </c>
      <c r="V691" s="2">
        <f t="shared" ca="1" si="640"/>
        <v>49416847.482118562</v>
      </c>
      <c r="W691" s="2">
        <f t="shared" ca="1" si="641"/>
        <v>48428510.532476187</v>
      </c>
      <c r="X691" s="2">
        <f t="shared" ca="1" si="642"/>
        <v>47459940.321826659</v>
      </c>
      <c r="Y691" s="2">
        <f t="shared" ca="1" si="643"/>
        <v>0.1216072923381666</v>
      </c>
      <c r="Z691" s="2">
        <f t="shared" ca="1" si="644"/>
        <v>0.12225020927343323</v>
      </c>
      <c r="AA691" s="2">
        <f t="shared" ca="1" si="645"/>
        <v>6257235.5458023576</v>
      </c>
      <c r="AB691" s="2">
        <f t="shared" ca="1" si="646"/>
        <v>6164510.1493084962</v>
      </c>
      <c r="AC691" s="2">
        <f t="shared" ca="1" si="647"/>
        <v>6041219.9463223265</v>
      </c>
      <c r="AD691" s="2">
        <f t="shared" ca="1" si="648"/>
        <v>5920395.5473958794</v>
      </c>
      <c r="AE691" s="2">
        <f t="shared" ca="1" si="649"/>
        <v>5801987.6364479614</v>
      </c>
      <c r="AF691" s="2">
        <f t="shared" ca="1" si="650"/>
        <v>1029088.8688487831</v>
      </c>
      <c r="AG691" s="2">
        <f t="shared" ca="1" si="651"/>
        <v>1008507.0914718073</v>
      </c>
      <c r="AH691" s="2">
        <f t="shared" ca="1" si="652"/>
        <v>988336.94964237127</v>
      </c>
      <c r="AI691" s="2">
        <f t="shared" ca="1" si="653"/>
        <v>968570.21064952377</v>
      </c>
      <c r="AJ691" s="2">
        <f t="shared" ca="1" si="654"/>
        <v>949198.80643653322</v>
      </c>
      <c r="AK691" s="2">
        <f t="shared" ca="1" si="655"/>
        <v>0</v>
      </c>
      <c r="AL691" s="2">
        <f t="shared" ca="1" si="656"/>
        <v>0</v>
      </c>
      <c r="AM691" s="2">
        <f t="shared" ca="1" si="657"/>
        <v>0</v>
      </c>
      <c r="AN691" s="2">
        <f t="shared" ca="1" si="658"/>
        <v>0</v>
      </c>
      <c r="AO691" s="2">
        <f t="shared" ca="1" si="659"/>
        <v>0</v>
      </c>
      <c r="AP691" s="2">
        <f t="shared" ca="1" si="660"/>
        <v>2352032.5393153075</v>
      </c>
      <c r="AQ691" s="2">
        <f t="shared" ca="1" si="661"/>
        <v>747789.67578594945</v>
      </c>
      <c r="AR691" s="2">
        <f t="shared" ca="1" si="662"/>
        <v>729032.33481555921</v>
      </c>
      <c r="AS691" s="2">
        <f t="shared" ca="1" si="663"/>
        <v>702221.11891480838</v>
      </c>
      <c r="AT691" s="2">
        <f t="shared" ca="1" si="664"/>
        <v>675946.12733207247</v>
      </c>
      <c r="AU691" s="2">
        <f t="shared" ca="1" si="665"/>
        <v>650196.63558099139</v>
      </c>
      <c r="AV691" s="2">
        <f t="shared" ca="1" si="666"/>
        <v>2128324.4618523177</v>
      </c>
      <c r="AW691" s="2">
        <f t="shared" ca="1" si="667"/>
        <v>2074938.1837058226</v>
      </c>
      <c r="AX691" s="2">
        <f t="shared" ca="1" si="668"/>
        <v>1998629.3384498395</v>
      </c>
      <c r="AY691" s="2">
        <f t="shared" ca="1" si="669"/>
        <v>1923846.6700989753</v>
      </c>
      <c r="AZ691" s="2">
        <f t="shared" ca="1" si="670"/>
        <v>1850559.6551151294</v>
      </c>
      <c r="BA691" s="2">
        <f t="shared" ca="1" si="671"/>
        <v>46876379.438940831</v>
      </c>
      <c r="BB691" s="2">
        <f t="shared" ca="1" si="672"/>
        <v>937527.58877881663</v>
      </c>
      <c r="BC691" s="2">
        <f t="shared" ca="1" si="673"/>
        <v>19805156.968880821</v>
      </c>
      <c r="BD691" s="2">
        <f t="shared" ca="1" si="674"/>
        <v>-19011367.207574178</v>
      </c>
      <c r="BE691" s="2">
        <f t="shared" ca="1" si="675"/>
        <v>2128324.4618523177</v>
      </c>
      <c r="BF691" s="2">
        <f t="shared" ca="1" si="676"/>
        <v>2074938.1837058226</v>
      </c>
      <c r="BG691" s="2">
        <f t="shared" ca="1" si="677"/>
        <v>1998629.3384498395</v>
      </c>
      <c r="BH691" s="2">
        <f t="shared" ca="1" si="678"/>
        <v>1923846.6700989753</v>
      </c>
      <c r="BI691" s="2">
        <f t="shared" ca="1" si="679"/>
        <v>21655716.623995952</v>
      </c>
      <c r="BJ691" s="2">
        <f t="shared" ca="1" si="680"/>
        <v>0.1124088909466765</v>
      </c>
      <c r="BK691" s="2">
        <f t="shared" ca="1" si="681"/>
        <v>-523690.07612179965</v>
      </c>
    </row>
    <row r="692" spans="1:63" x14ac:dyDescent="0.3">
      <c r="A692" s="2">
        <v>691</v>
      </c>
      <c r="B692" s="2">
        <f t="shared" ca="1" si="620"/>
        <v>0.58824179937587984</v>
      </c>
      <c r="C692" s="2">
        <f t="shared" ca="1" si="621"/>
        <v>7.0925219555007182</v>
      </c>
      <c r="D692" s="2">
        <f t="shared" ca="1" si="622"/>
        <v>0.78951203462387909</v>
      </c>
      <c r="E692" s="2">
        <f t="shared" ca="1" si="623"/>
        <v>7.8511734201250372</v>
      </c>
      <c r="F692" s="2">
        <f t="shared" ca="1" si="624"/>
        <v>0.28288136297526723</v>
      </c>
      <c r="G692" s="2">
        <f t="shared" ca="1" si="625"/>
        <v>2.2770907628225808E-2</v>
      </c>
      <c r="H692" s="2">
        <f t="shared" ca="1" si="626"/>
        <v>2.2770907628225808E-2</v>
      </c>
      <c r="I692" s="2">
        <f t="shared" ca="1" si="627"/>
        <v>0.1327100972917622</v>
      </c>
      <c r="J692" s="2">
        <f t="shared" ca="1" si="628"/>
        <v>4.4316431335024433E-3</v>
      </c>
      <c r="K692" s="2">
        <f t="shared" ca="1" si="629"/>
        <v>4.4316431335024433E-3</v>
      </c>
      <c r="L692" s="2">
        <f t="shared" ca="1" si="630"/>
        <v>0.52371049013827886</v>
      </c>
      <c r="M692" s="2">
        <f t="shared" ca="1" si="631"/>
        <v>1.1893683600917625E-3</v>
      </c>
      <c r="N692" s="2">
        <f t="shared" ca="1" si="632"/>
        <v>1.1893683600917625E-3</v>
      </c>
      <c r="O692" s="2">
        <f t="shared" si="633"/>
        <v>6000000</v>
      </c>
      <c r="P692" s="2">
        <f t="shared" ca="1" si="634"/>
        <v>42555131.733004309</v>
      </c>
      <c r="Q692" s="2">
        <f t="shared" ca="1" si="635"/>
        <v>1063878.2933251078</v>
      </c>
      <c r="R692" s="2">
        <f t="shared" ca="1" si="636"/>
        <v>25533079.039802585</v>
      </c>
      <c r="S692" s="2">
        <f t="shared" ca="1" si="637"/>
        <v>17022052.693201724</v>
      </c>
      <c r="T692" s="2">
        <f t="shared" ca="1" si="638"/>
        <v>50059468.418004595</v>
      </c>
      <c r="U692" s="2">
        <f t="shared" ca="1" si="639"/>
        <v>51199367.949269064</v>
      </c>
      <c r="V692" s="2">
        <f t="shared" ca="1" si="640"/>
        <v>52365224.027465418</v>
      </c>
      <c r="W692" s="2">
        <f t="shared" ca="1" si="641"/>
        <v>53557627.706726186</v>
      </c>
      <c r="X692" s="2">
        <f t="shared" ca="1" si="642"/>
        <v>54777183.500022955</v>
      </c>
      <c r="Y692" s="2">
        <f t="shared" ca="1" si="643"/>
        <v>0.12221582156675122</v>
      </c>
      <c r="Z692" s="2">
        <f t="shared" ca="1" si="644"/>
        <v>0.12310215019345171</v>
      </c>
      <c r="AA692" s="2">
        <f t="shared" ca="1" si="645"/>
        <v>6118059.0599012673</v>
      </c>
      <c r="AB692" s="2">
        <f t="shared" ca="1" si="646"/>
        <v>6302752.2831007177</v>
      </c>
      <c r="AC692" s="2">
        <f t="shared" ca="1" si="647"/>
        <v>6446271.6731427936</v>
      </c>
      <c r="AD692" s="2">
        <f t="shared" ca="1" si="648"/>
        <v>6593059.1299583772</v>
      </c>
      <c r="AE692" s="2">
        <f t="shared" ca="1" si="649"/>
        <v>6743189.0703940904</v>
      </c>
      <c r="AF692" s="2">
        <f t="shared" ca="1" si="650"/>
        <v>1001189.3683600919</v>
      </c>
      <c r="AG692" s="2">
        <f t="shared" ca="1" si="651"/>
        <v>1023987.3589853813</v>
      </c>
      <c r="AH692" s="2">
        <f t="shared" ca="1" si="652"/>
        <v>1047304.4805493084</v>
      </c>
      <c r="AI692" s="2">
        <f t="shared" ca="1" si="653"/>
        <v>1071152.5541345237</v>
      </c>
      <c r="AJ692" s="2">
        <f t="shared" ca="1" si="654"/>
        <v>1095543.6700004591</v>
      </c>
      <c r="AK692" s="2">
        <f t="shared" ca="1" si="655"/>
        <v>0</v>
      </c>
      <c r="AL692" s="2">
        <f t="shared" ca="1" si="656"/>
        <v>11398.995312644691</v>
      </c>
      <c r="AM692" s="2">
        <f t="shared" ca="1" si="657"/>
        <v>11658.560781963542</v>
      </c>
      <c r="AN692" s="2">
        <f t="shared" ca="1" si="658"/>
        <v>11924.03679260768</v>
      </c>
      <c r="AO692" s="2">
        <f t="shared" ca="1" si="659"/>
        <v>12195.557932967693</v>
      </c>
      <c r="AP692" s="2">
        <f t="shared" ca="1" si="660"/>
        <v>2297977.1135822325</v>
      </c>
      <c r="AQ692" s="2">
        <f t="shared" ca="1" si="661"/>
        <v>732912.07026932517</v>
      </c>
      <c r="AR692" s="2">
        <f t="shared" ca="1" si="662"/>
        <v>775004.8307386071</v>
      </c>
      <c r="AS692" s="2">
        <f t="shared" ca="1" si="663"/>
        <v>806257.42054292571</v>
      </c>
      <c r="AT692" s="2">
        <f t="shared" ca="1" si="664"/>
        <v>838221.66018282156</v>
      </c>
      <c r="AU692" s="2">
        <f t="shared" ca="1" si="665"/>
        <v>870913.75457096368</v>
      </c>
      <c r="AV692" s="2">
        <f t="shared" ca="1" si="666"/>
        <v>2085980.507689618</v>
      </c>
      <c r="AW692" s="2">
        <f t="shared" ca="1" si="667"/>
        <v>2194383.984481852</v>
      </c>
      <c r="AX692" s="2">
        <f t="shared" ca="1" si="668"/>
        <v>2283074.0976863638</v>
      </c>
      <c r="AY692" s="2">
        <f t="shared" ca="1" si="669"/>
        <v>2373783.7652661917</v>
      </c>
      <c r="AZ692" s="2">
        <f t="shared" ca="1" si="670"/>
        <v>2466558.9743074677</v>
      </c>
      <c r="BA692" s="2">
        <f t="shared" ca="1" si="671"/>
        <v>52941946.796355739</v>
      </c>
      <c r="BB692" s="2">
        <f t="shared" ca="1" si="672"/>
        <v>1058838.9359271149</v>
      </c>
      <c r="BC692" s="2">
        <f t="shared" ca="1" si="673"/>
        <v>26350028.820626039</v>
      </c>
      <c r="BD692" s="2">
        <f t="shared" ca="1" si="674"/>
        <v>-18585930.986526832</v>
      </c>
      <c r="BE692" s="2">
        <f t="shared" ca="1" si="675"/>
        <v>2085980.507689618</v>
      </c>
      <c r="BF692" s="2">
        <f t="shared" ca="1" si="676"/>
        <v>2194383.984481852</v>
      </c>
      <c r="BG692" s="2">
        <f t="shared" ca="1" si="677"/>
        <v>2283074.0976863638</v>
      </c>
      <c r="BH692" s="2">
        <f t="shared" ca="1" si="678"/>
        <v>2373783.7652661917</v>
      </c>
      <c r="BI692" s="2">
        <f t="shared" ca="1" si="679"/>
        <v>28816587.794933505</v>
      </c>
      <c r="BJ692" s="2">
        <f t="shared" ca="1" si="680"/>
        <v>0.17950596094502758</v>
      </c>
      <c r="BK692" s="2">
        <f t="shared" ca="1" si="681"/>
        <v>4510836.4361457713</v>
      </c>
    </row>
    <row r="693" spans="1:63" x14ac:dyDescent="0.3">
      <c r="A693" s="2">
        <v>692</v>
      </c>
      <c r="B693" s="2">
        <f t="shared" ca="1" si="620"/>
        <v>0.55914944811864198</v>
      </c>
      <c r="C693" s="2">
        <f t="shared" ca="1" si="621"/>
        <v>7.0610105944353174</v>
      </c>
      <c r="D693" s="2">
        <f t="shared" ca="1" si="622"/>
        <v>0.56404367698209745</v>
      </c>
      <c r="E693" s="2">
        <f t="shared" ca="1" si="623"/>
        <v>7.5662373716860341</v>
      </c>
      <c r="F693" s="2">
        <f t="shared" ca="1" si="624"/>
        <v>0.35723722405168346</v>
      </c>
      <c r="G693" s="2">
        <f t="shared" ca="1" si="625"/>
        <v>2.9024397096397855E-2</v>
      </c>
      <c r="H693" s="2">
        <f t="shared" ca="1" si="626"/>
        <v>2.9024397096397855E-2</v>
      </c>
      <c r="I693" s="2">
        <f t="shared" ca="1" si="627"/>
        <v>0.28882492343512334</v>
      </c>
      <c r="J693" s="2">
        <f t="shared" ca="1" si="628"/>
        <v>7.2158958228454523E-3</v>
      </c>
      <c r="K693" s="2">
        <f t="shared" ca="1" si="629"/>
        <v>7.2158958228454523E-3</v>
      </c>
      <c r="L693" s="2">
        <f t="shared" ca="1" si="630"/>
        <v>0.73316917722159469</v>
      </c>
      <c r="M693" s="2">
        <f t="shared" ca="1" si="631"/>
        <v>1.2448524349322102E-2</v>
      </c>
      <c r="N693" s="2">
        <f t="shared" ca="1" si="632"/>
        <v>1.2448524349322102E-2</v>
      </c>
      <c r="O693" s="2">
        <f t="shared" si="633"/>
        <v>6000000</v>
      </c>
      <c r="P693" s="2">
        <f t="shared" ca="1" si="634"/>
        <v>42366063.566611901</v>
      </c>
      <c r="Q693" s="2">
        <f t="shared" ca="1" si="635"/>
        <v>1059151.5891652976</v>
      </c>
      <c r="R693" s="2">
        <f t="shared" ca="1" si="636"/>
        <v>25419638.13996714</v>
      </c>
      <c r="S693" s="2">
        <f t="shared" ca="1" si="637"/>
        <v>16946425.426644761</v>
      </c>
      <c r="T693" s="2">
        <f t="shared" ca="1" si="638"/>
        <v>50622426.217466109</v>
      </c>
      <c r="U693" s="2">
        <f t="shared" ca="1" si="639"/>
        <v>52091711.617984951</v>
      </c>
      <c r="V693" s="2">
        <f t="shared" ca="1" si="640"/>
        <v>53603642.141416393</v>
      </c>
      <c r="W693" s="2">
        <f t="shared" ca="1" si="641"/>
        <v>55159455.536742076</v>
      </c>
      <c r="X693" s="2">
        <f t="shared" ca="1" si="642"/>
        <v>56760425.477861583</v>
      </c>
      <c r="Y693" s="2">
        <f t="shared" ca="1" si="643"/>
        <v>0.12360794791142272</v>
      </c>
      <c r="Z693" s="2">
        <f t="shared" ca="1" si="644"/>
        <v>0.12505112707599181</v>
      </c>
      <c r="AA693" s="2">
        <f t="shared" ca="1" si="645"/>
        <v>6257334.2230383912</v>
      </c>
      <c r="AB693" s="2">
        <f t="shared" ca="1" si="646"/>
        <v>6514127.2491465546</v>
      </c>
      <c r="AC693" s="2">
        <f t="shared" ca="1" si="647"/>
        <v>6703195.8651622506</v>
      </c>
      <c r="AD693" s="2">
        <f t="shared" ca="1" si="648"/>
        <v>6897752.0837676534</v>
      </c>
      <c r="AE693" s="2">
        <f t="shared" ca="1" si="649"/>
        <v>7097955.179319432</v>
      </c>
      <c r="AF693" s="2">
        <f t="shared" ca="1" si="650"/>
        <v>1012448.5243493222</v>
      </c>
      <c r="AG693" s="2">
        <f t="shared" ca="1" si="651"/>
        <v>1041834.2323596991</v>
      </c>
      <c r="AH693" s="2">
        <f t="shared" ca="1" si="652"/>
        <v>1072072.8428283278</v>
      </c>
      <c r="AI693" s="2">
        <f t="shared" ca="1" si="653"/>
        <v>1103189.1107348416</v>
      </c>
      <c r="AJ693" s="2">
        <f t="shared" ca="1" si="654"/>
        <v>1135208.5095572318</v>
      </c>
      <c r="AK693" s="2">
        <f t="shared" ca="1" si="655"/>
        <v>0</v>
      </c>
      <c r="AL693" s="2">
        <f t="shared" ca="1" si="656"/>
        <v>14692.854005188421</v>
      </c>
      <c r="AM693" s="2">
        <f t="shared" ca="1" si="657"/>
        <v>15119.305234314426</v>
      </c>
      <c r="AN693" s="2">
        <f t="shared" ca="1" si="658"/>
        <v>15558.133953256831</v>
      </c>
      <c r="AO693" s="2">
        <f t="shared" ca="1" si="659"/>
        <v>16009.69941119507</v>
      </c>
      <c r="AP693" s="2">
        <f t="shared" ca="1" si="660"/>
        <v>2287767.4325970425</v>
      </c>
      <c r="AQ693" s="2">
        <f t="shared" ca="1" si="661"/>
        <v>768850.74918392685</v>
      </c>
      <c r="AR693" s="2">
        <f t="shared" ca="1" si="662"/>
        <v>827976.65188935143</v>
      </c>
      <c r="AS693" s="2">
        <f t="shared" ca="1" si="663"/>
        <v>869272.45333158888</v>
      </c>
      <c r="AT693" s="2">
        <f t="shared" ca="1" si="664"/>
        <v>911766.84051330003</v>
      </c>
      <c r="AU693" s="2">
        <f t="shared" ca="1" si="665"/>
        <v>955494.60166294093</v>
      </c>
      <c r="AV693" s="2">
        <f t="shared" ca="1" si="666"/>
        <v>2188267.5169080994</v>
      </c>
      <c r="AW693" s="2">
        <f t="shared" ca="1" si="667"/>
        <v>2341856.0782952732</v>
      </c>
      <c r="AX693" s="2">
        <f t="shared" ca="1" si="668"/>
        <v>2458963.8311709766</v>
      </c>
      <c r="AY693" s="2">
        <f t="shared" ca="1" si="669"/>
        <v>2579470.5659692124</v>
      </c>
      <c r="AZ693" s="2">
        <f t="shared" ca="1" si="670"/>
        <v>2703474.9360910212</v>
      </c>
      <c r="BA693" s="2">
        <f t="shared" ca="1" si="671"/>
        <v>53704813.740319133</v>
      </c>
      <c r="BB693" s="2">
        <f t="shared" ca="1" si="672"/>
        <v>1074096.2748063826</v>
      </c>
      <c r="BC693" s="2">
        <f t="shared" ca="1" si="673"/>
        <v>27211079.325545609</v>
      </c>
      <c r="BD693" s="2">
        <f t="shared" ca="1" si="674"/>
        <v>-18505577.015810058</v>
      </c>
      <c r="BE693" s="2">
        <f t="shared" ca="1" si="675"/>
        <v>2188267.5169080994</v>
      </c>
      <c r="BF693" s="2">
        <f t="shared" ca="1" si="676"/>
        <v>2341856.0782952732</v>
      </c>
      <c r="BG693" s="2">
        <f t="shared" ca="1" si="677"/>
        <v>2458963.8311709766</v>
      </c>
      <c r="BH693" s="2">
        <f t="shared" ca="1" si="678"/>
        <v>2579470.5659692124</v>
      </c>
      <c r="BI693" s="2">
        <f t="shared" ca="1" si="679"/>
        <v>29914554.26163663</v>
      </c>
      <c r="BJ693" s="2">
        <f t="shared" ca="1" si="680"/>
        <v>0.19416686241165548</v>
      </c>
      <c r="BK693" s="2">
        <f t="shared" ca="1" si="681"/>
        <v>5679010.1222717986</v>
      </c>
    </row>
    <row r="694" spans="1:63" x14ac:dyDescent="0.3">
      <c r="A694" s="2">
        <v>693</v>
      </c>
      <c r="B694" s="2">
        <f t="shared" ca="1" si="620"/>
        <v>0.2250654487467264</v>
      </c>
      <c r="C694" s="2">
        <f t="shared" ca="1" si="621"/>
        <v>6.670917951387092</v>
      </c>
      <c r="D694" s="2">
        <f t="shared" ca="1" si="622"/>
        <v>0.92017869046419942</v>
      </c>
      <c r="E694" s="2">
        <f t="shared" ca="1" si="623"/>
        <v>8.1004469758948119</v>
      </c>
      <c r="F694" s="2">
        <f t="shared" ca="1" si="624"/>
        <v>0.78911135651776709</v>
      </c>
      <c r="G694" s="2">
        <f t="shared" ca="1" si="625"/>
        <v>6.4100249699403825E-2</v>
      </c>
      <c r="H694" s="2">
        <f t="shared" ca="1" si="626"/>
        <v>6.4100249699403825E-2</v>
      </c>
      <c r="I694" s="2">
        <f t="shared" ca="1" si="627"/>
        <v>0.61977418601006029</v>
      </c>
      <c r="J694" s="2">
        <f t="shared" ca="1" si="628"/>
        <v>1.1524438867921363E-2</v>
      </c>
      <c r="K694" s="2">
        <f t="shared" ca="1" si="629"/>
        <v>1.1524438867921363E-2</v>
      </c>
      <c r="L694" s="2">
        <f t="shared" ca="1" si="630"/>
        <v>0.76444452062295631</v>
      </c>
      <c r="M694" s="2">
        <f t="shared" ca="1" si="631"/>
        <v>1.4413452506255382E-2</v>
      </c>
      <c r="N694" s="2">
        <f t="shared" ca="1" si="632"/>
        <v>1.4413452506255382E-2</v>
      </c>
      <c r="O694" s="2">
        <f t="shared" si="633"/>
        <v>6000000</v>
      </c>
      <c r="P694" s="2">
        <f t="shared" ca="1" si="634"/>
        <v>40025507.708322555</v>
      </c>
      <c r="Q694" s="2">
        <f t="shared" ca="1" si="635"/>
        <v>1000637.6927080639</v>
      </c>
      <c r="R694" s="2">
        <f t="shared" ca="1" si="636"/>
        <v>24015304.624993533</v>
      </c>
      <c r="S694" s="2">
        <f t="shared" ca="1" si="637"/>
        <v>16010203.083329022</v>
      </c>
      <c r="T694" s="2">
        <f t="shared" ca="1" si="638"/>
        <v>50720672.625312768</v>
      </c>
      <c r="U694" s="2">
        <f t="shared" ca="1" si="639"/>
        <v>53971880.405517034</v>
      </c>
      <c r="V694" s="2">
        <f t="shared" ca="1" si="640"/>
        <v>57431491.416257039</v>
      </c>
      <c r="W694" s="2">
        <f t="shared" ca="1" si="641"/>
        <v>61112864.356648281</v>
      </c>
      <c r="X694" s="2">
        <f t="shared" ca="1" si="642"/>
        <v>65030214.221755236</v>
      </c>
      <c r="Y694" s="2">
        <f t="shared" ca="1" si="643"/>
        <v>0.12576221943396068</v>
      </c>
      <c r="Z694" s="2">
        <f t="shared" ca="1" si="644"/>
        <v>0.12806710720754494</v>
      </c>
      <c r="AA694" s="2">
        <f t="shared" ca="1" si="645"/>
        <v>6378744.3605426671</v>
      </c>
      <c r="AB694" s="2">
        <f t="shared" ca="1" si="646"/>
        <v>6912022.5940861441</v>
      </c>
      <c r="AC694" s="2">
        <f t="shared" ca="1" si="647"/>
        <v>7355084.9682949875</v>
      </c>
      <c r="AD694" s="2">
        <f t="shared" ca="1" si="648"/>
        <v>7826547.7513230275</v>
      </c>
      <c r="AE694" s="2">
        <f t="shared" ca="1" si="649"/>
        <v>8328231.4164671414</v>
      </c>
      <c r="AF694" s="2">
        <f t="shared" ca="1" si="650"/>
        <v>1014413.4525062554</v>
      </c>
      <c r="AG694" s="2">
        <f t="shared" ca="1" si="651"/>
        <v>1079437.6081103408</v>
      </c>
      <c r="AH694" s="2">
        <f t="shared" ca="1" si="652"/>
        <v>1148629.8283251408</v>
      </c>
      <c r="AI694" s="2">
        <f t="shared" ca="1" si="653"/>
        <v>1222257.2871329656</v>
      </c>
      <c r="AJ694" s="2">
        <f t="shared" ca="1" si="654"/>
        <v>1300604.2844351048</v>
      </c>
      <c r="AK694" s="2">
        <f t="shared" ca="1" si="655"/>
        <v>0</v>
      </c>
      <c r="AL694" s="2">
        <f t="shared" ca="1" si="656"/>
        <v>32512.077802042662</v>
      </c>
      <c r="AM694" s="2">
        <f t="shared" ca="1" si="657"/>
        <v>34596.110107400047</v>
      </c>
      <c r="AN694" s="2">
        <f t="shared" ca="1" si="658"/>
        <v>36813.729403912424</v>
      </c>
      <c r="AO694" s="2">
        <f t="shared" ca="1" si="659"/>
        <v>39173.498651069553</v>
      </c>
      <c r="AP694" s="2">
        <f t="shared" ca="1" si="660"/>
        <v>2161377.4162494177</v>
      </c>
      <c r="AQ694" s="2">
        <f t="shared" ca="1" si="661"/>
        <v>832767.90786461846</v>
      </c>
      <c r="AR694" s="2">
        <f t="shared" ca="1" si="662"/>
        <v>954513.96812886046</v>
      </c>
      <c r="AS694" s="2">
        <f t="shared" ca="1" si="663"/>
        <v>1051720.2081673115</v>
      </c>
      <c r="AT694" s="2">
        <f t="shared" ca="1" si="664"/>
        <v>1155157.3924645677</v>
      </c>
      <c r="AU694" s="2">
        <f t="shared" ca="1" si="665"/>
        <v>1265224.9261034811</v>
      </c>
      <c r="AV694" s="2">
        <f t="shared" ca="1" si="666"/>
        <v>2370185.5839223759</v>
      </c>
      <c r="AW694" s="2">
        <f t="shared" ca="1" si="667"/>
        <v>2684181.5237954827</v>
      </c>
      <c r="AX694" s="2">
        <f t="shared" ca="1" si="668"/>
        <v>2958761.4054457163</v>
      </c>
      <c r="AY694" s="2">
        <f t="shared" ca="1" si="669"/>
        <v>3250941.9260721644</v>
      </c>
      <c r="AZ694" s="2">
        <f t="shared" ca="1" si="670"/>
        <v>3561851.2910280684</v>
      </c>
      <c r="BA694" s="2">
        <f t="shared" ca="1" si="671"/>
        <v>67462396.992073417</v>
      </c>
      <c r="BB694" s="2">
        <f t="shared" ca="1" si="672"/>
        <v>1349247.9398414684</v>
      </c>
      <c r="BC694" s="2">
        <f t="shared" ca="1" si="673"/>
        <v>42097844.427238412</v>
      </c>
      <c r="BD694" s="2">
        <f t="shared" ca="1" si="674"/>
        <v>-17510840.776037086</v>
      </c>
      <c r="BE694" s="2">
        <f t="shared" ca="1" si="675"/>
        <v>2370185.5839223759</v>
      </c>
      <c r="BF694" s="2">
        <f t="shared" ca="1" si="676"/>
        <v>2684181.5237954827</v>
      </c>
      <c r="BG694" s="2">
        <f t="shared" ca="1" si="677"/>
        <v>2958761.4054457163</v>
      </c>
      <c r="BH694" s="2">
        <f t="shared" ca="1" si="678"/>
        <v>3250941.9260721644</v>
      </c>
      <c r="BI694" s="2">
        <f t="shared" ca="1" si="679"/>
        <v>45659695.71826648</v>
      </c>
      <c r="BJ694" s="2">
        <f t="shared" ca="1" si="680"/>
        <v>0.31213912862100801</v>
      </c>
      <c r="BK694" s="2">
        <f t="shared" ca="1" si="681"/>
        <v>16825767.296206284</v>
      </c>
    </row>
    <row r="695" spans="1:63" x14ac:dyDescent="0.3">
      <c r="A695" s="2">
        <v>694</v>
      </c>
      <c r="B695" s="2">
        <f t="shared" ca="1" si="620"/>
        <v>0.78151271574137415</v>
      </c>
      <c r="C695" s="2">
        <f t="shared" ca="1" si="621"/>
        <v>7.3389594804270679</v>
      </c>
      <c r="D695" s="2">
        <f t="shared" ca="1" si="622"/>
        <v>0.28847900353902522</v>
      </c>
      <c r="E695" s="2">
        <f t="shared" ca="1" si="623"/>
        <v>7.2595775188076921</v>
      </c>
      <c r="F695" s="2">
        <f t="shared" ca="1" si="624"/>
        <v>0.40863065108106134</v>
      </c>
      <c r="G695" s="2">
        <f t="shared" ca="1" si="625"/>
        <v>3.306793402744531E-2</v>
      </c>
      <c r="H695" s="2">
        <f t="shared" ca="1" si="626"/>
        <v>3.306793402744531E-2</v>
      </c>
      <c r="I695" s="2">
        <f t="shared" ca="1" si="627"/>
        <v>0.99199508031250005</v>
      </c>
      <c r="J695" s="2">
        <f t="shared" ca="1" si="628"/>
        <v>2.2043455818651199E-2</v>
      </c>
      <c r="K695" s="2">
        <f t="shared" ca="1" si="629"/>
        <v>2.2043455818651199E-2</v>
      </c>
      <c r="L695" s="2">
        <f t="shared" ca="1" si="630"/>
        <v>0.67739532213195042</v>
      </c>
      <c r="M695" s="2">
        <f t="shared" ca="1" si="631"/>
        <v>9.2085512191157869E-3</v>
      </c>
      <c r="N695" s="2">
        <f t="shared" ca="1" si="632"/>
        <v>9.2085512191157869E-3</v>
      </c>
      <c r="O695" s="2">
        <f t="shared" si="633"/>
        <v>6000000</v>
      </c>
      <c r="P695" s="2">
        <f t="shared" ca="1" si="634"/>
        <v>44033756.882562406</v>
      </c>
      <c r="Q695" s="2">
        <f t="shared" ca="1" si="635"/>
        <v>1100843.9220640601</v>
      </c>
      <c r="R695" s="2">
        <f t="shared" ca="1" si="636"/>
        <v>26420254.129537445</v>
      </c>
      <c r="S695" s="2">
        <f t="shared" ca="1" si="637"/>
        <v>17613502.753024962</v>
      </c>
      <c r="T695" s="2">
        <f t="shared" ca="1" si="638"/>
        <v>50460427.560955793</v>
      </c>
      <c r="U695" s="2">
        <f t="shared" ca="1" si="639"/>
        <v>52129049.650538161</v>
      </c>
      <c r="V695" s="2">
        <f t="shared" ca="1" si="640"/>
        <v>53852849.625295579</v>
      </c>
      <c r="W695" s="2">
        <f t="shared" ca="1" si="641"/>
        <v>55633652.103894785</v>
      </c>
      <c r="X695" s="2">
        <f t="shared" ca="1" si="642"/>
        <v>57473342.041372225</v>
      </c>
      <c r="Y695" s="2">
        <f t="shared" ca="1" si="643"/>
        <v>0.13102172790932559</v>
      </c>
      <c r="Z695" s="2">
        <f t="shared" ca="1" si="644"/>
        <v>0.13543041907305584</v>
      </c>
      <c r="AA695" s="2">
        <f t="shared" ca="1" si="645"/>
        <v>6611412.4100797838</v>
      </c>
      <c r="AB695" s="2">
        <f t="shared" ca="1" si="646"/>
        <v>7059859.0400525182</v>
      </c>
      <c r="AC695" s="2">
        <f t="shared" ca="1" si="647"/>
        <v>7293313.9930320382</v>
      </c>
      <c r="AD695" s="2">
        <f t="shared" ca="1" si="648"/>
        <v>7534488.8189950651</v>
      </c>
      <c r="AE695" s="2">
        <f t="shared" ca="1" si="649"/>
        <v>7783638.7981921183</v>
      </c>
      <c r="AF695" s="2">
        <f t="shared" ca="1" si="650"/>
        <v>1009208.5512191158</v>
      </c>
      <c r="AG695" s="2">
        <f t="shared" ca="1" si="651"/>
        <v>1042580.9930107632</v>
      </c>
      <c r="AH695" s="2">
        <f t="shared" ca="1" si="652"/>
        <v>1077056.9925059115</v>
      </c>
      <c r="AI695" s="2">
        <f t="shared" ca="1" si="653"/>
        <v>1112673.0420778957</v>
      </c>
      <c r="AJ695" s="2">
        <f t="shared" ca="1" si="654"/>
        <v>1149466.8408274446</v>
      </c>
      <c r="AK695" s="2">
        <f t="shared" ca="1" si="655"/>
        <v>0</v>
      </c>
      <c r="AL695" s="2">
        <f t="shared" ca="1" si="656"/>
        <v>16686.220895823688</v>
      </c>
      <c r="AM695" s="2">
        <f t="shared" ca="1" si="657"/>
        <v>17237.99974757418</v>
      </c>
      <c r="AN695" s="2">
        <f t="shared" ca="1" si="658"/>
        <v>17808.024785992056</v>
      </c>
      <c r="AO695" s="2">
        <f t="shared" ca="1" si="659"/>
        <v>18396.899374774395</v>
      </c>
      <c r="AP695" s="2">
        <f t="shared" ca="1" si="660"/>
        <v>2377822.8716583699</v>
      </c>
      <c r="AQ695" s="2">
        <f t="shared" ca="1" si="661"/>
        <v>838339.05667259754</v>
      </c>
      <c r="AR695" s="2">
        <f t="shared" ca="1" si="662"/>
        <v>946258.34559968021</v>
      </c>
      <c r="AS695" s="2">
        <f t="shared" ca="1" si="663"/>
        <v>997992.87350561679</v>
      </c>
      <c r="AT695" s="2">
        <f t="shared" ca="1" si="664"/>
        <v>1051438.1553672878</v>
      </c>
      <c r="AU695" s="2">
        <f t="shared" ca="1" si="665"/>
        <v>1106650.7622836391</v>
      </c>
      <c r="AV695" s="2">
        <f t="shared" ca="1" si="666"/>
        <v>2386041.9305297006</v>
      </c>
      <c r="AW695" s="2">
        <f t="shared" ca="1" si="667"/>
        <v>2676510.608887881</v>
      </c>
      <c r="AX695" s="2">
        <f t="shared" ca="1" si="668"/>
        <v>2823203.2556145657</v>
      </c>
      <c r="AY695" s="2">
        <f t="shared" ca="1" si="669"/>
        <v>2974746.7251055194</v>
      </c>
      <c r="AZ695" s="2">
        <f t="shared" ca="1" si="670"/>
        <v>3131301.4240478901</v>
      </c>
      <c r="BA695" s="2">
        <f t="shared" ca="1" si="671"/>
        <v>56505929.233874828</v>
      </c>
      <c r="BB695" s="2">
        <f t="shared" ca="1" si="672"/>
        <v>1130118.5846774967</v>
      </c>
      <c r="BC695" s="2">
        <f t="shared" ca="1" si="673"/>
        <v>28955556.519659888</v>
      </c>
      <c r="BD695" s="2">
        <f t="shared" ca="1" si="674"/>
        <v>-19214346.67508902</v>
      </c>
      <c r="BE695" s="2">
        <f t="shared" ca="1" si="675"/>
        <v>2386041.9305297006</v>
      </c>
      <c r="BF695" s="2">
        <f t="shared" ca="1" si="676"/>
        <v>2676510.608887881</v>
      </c>
      <c r="BG695" s="2">
        <f t="shared" ca="1" si="677"/>
        <v>2823203.2556145657</v>
      </c>
      <c r="BH695" s="2">
        <f t="shared" ca="1" si="678"/>
        <v>2974746.7251055194</v>
      </c>
      <c r="BI695" s="2">
        <f t="shared" ca="1" si="679"/>
        <v>32086857.943707779</v>
      </c>
      <c r="BJ695" s="2">
        <f t="shared" ca="1" si="680"/>
        <v>0.20903680687777726</v>
      </c>
      <c r="BK695" s="2">
        <f t="shared" ca="1" si="681"/>
        <v>7156696.3246233873</v>
      </c>
    </row>
    <row r="696" spans="1:63" x14ac:dyDescent="0.3">
      <c r="A696" s="2">
        <v>695</v>
      </c>
      <c r="B696" s="2">
        <f t="shared" ca="1" si="620"/>
        <v>0.77969524401535384</v>
      </c>
      <c r="C696" s="2">
        <f t="shared" ca="1" si="621"/>
        <v>7.3362157639945851</v>
      </c>
      <c r="D696" s="2">
        <f t="shared" ca="1" si="622"/>
        <v>0.79140672530130107</v>
      </c>
      <c r="E696" s="2">
        <f t="shared" ca="1" si="623"/>
        <v>7.8541002017360606</v>
      </c>
      <c r="F696" s="2">
        <f t="shared" ca="1" si="624"/>
        <v>0.92689037180142031</v>
      </c>
      <c r="G696" s="2">
        <f t="shared" ca="1" si="625"/>
        <v>8.3590485971811804E-2</v>
      </c>
      <c r="H696" s="2">
        <f t="shared" ca="1" si="626"/>
        <v>8.3590485971811804E-2</v>
      </c>
      <c r="I696" s="2">
        <f t="shared" ca="1" si="627"/>
        <v>0.20212508113041061</v>
      </c>
      <c r="J696" s="2">
        <f t="shared" ca="1" si="628"/>
        <v>5.8297265153844594E-3</v>
      </c>
      <c r="K696" s="2">
        <f t="shared" ca="1" si="629"/>
        <v>5.8297265153844594E-3</v>
      </c>
      <c r="L696" s="2">
        <f t="shared" ca="1" si="630"/>
        <v>0.48415542940886591</v>
      </c>
      <c r="M696" s="2">
        <f t="shared" ca="1" si="631"/>
        <v>-7.945379168291766E-4</v>
      </c>
      <c r="N696" s="2">
        <f t="shared" ca="1" si="632"/>
        <v>-7.945379168291766E-4</v>
      </c>
      <c r="O696" s="2">
        <f t="shared" si="633"/>
        <v>6000000</v>
      </c>
      <c r="P696" s="2">
        <f t="shared" ca="1" si="634"/>
        <v>44017294.583967507</v>
      </c>
      <c r="Q696" s="2">
        <f t="shared" ca="1" si="635"/>
        <v>1100432.3645991876</v>
      </c>
      <c r="R696" s="2">
        <f t="shared" ca="1" si="636"/>
        <v>26410376.750380505</v>
      </c>
      <c r="S696" s="2">
        <f t="shared" ca="1" si="637"/>
        <v>17606917.833587002</v>
      </c>
      <c r="T696" s="2">
        <f t="shared" ca="1" si="638"/>
        <v>49960273.104158543</v>
      </c>
      <c r="U696" s="2">
        <f t="shared" ca="1" si="639"/>
        <v>54136476.612219594</v>
      </c>
      <c r="V696" s="2">
        <f t="shared" ca="1" si="640"/>
        <v>58661771.001036651</v>
      </c>
      <c r="W696" s="2">
        <f t="shared" ca="1" si="641"/>
        <v>63565336.946980439</v>
      </c>
      <c r="X696" s="2">
        <f t="shared" ca="1" si="642"/>
        <v>68878794.353340492</v>
      </c>
      <c r="Y696" s="2">
        <f t="shared" ca="1" si="643"/>
        <v>0.12291486325769223</v>
      </c>
      <c r="Z696" s="2">
        <f t="shared" ca="1" si="644"/>
        <v>0.12408080856076911</v>
      </c>
      <c r="AA696" s="2">
        <f t="shared" ca="1" si="645"/>
        <v>6140860.1369146062</v>
      </c>
      <c r="AB696" s="2">
        <f t="shared" ca="1" si="646"/>
        <v>6717297.7906753737</v>
      </c>
      <c r="AC696" s="2">
        <f t="shared" ca="1" si="647"/>
        <v>7278799.9774153056</v>
      </c>
      <c r="AD696" s="2">
        <f t="shared" ca="1" si="648"/>
        <v>7887238.4048190638</v>
      </c>
      <c r="AE696" s="2">
        <f t="shared" ca="1" si="649"/>
        <v>8546536.4960534256</v>
      </c>
      <c r="AF696" s="2">
        <f t="shared" ca="1" si="650"/>
        <v>999205.46208317089</v>
      </c>
      <c r="AG696" s="2">
        <f t="shared" ca="1" si="651"/>
        <v>1082729.532244392</v>
      </c>
      <c r="AH696" s="2">
        <f t="shared" ca="1" si="652"/>
        <v>1173235.420020733</v>
      </c>
      <c r="AI696" s="2">
        <f t="shared" ca="1" si="653"/>
        <v>1271306.7389396089</v>
      </c>
      <c r="AJ696" s="2">
        <f t="shared" ca="1" si="654"/>
        <v>1377575.8870668099</v>
      </c>
      <c r="AK696" s="2">
        <f t="shared" ca="1" si="655"/>
        <v>0</v>
      </c>
      <c r="AL696" s="2">
        <f t="shared" ca="1" si="656"/>
        <v>41762.035080610513</v>
      </c>
      <c r="AM696" s="2">
        <f t="shared" ca="1" si="657"/>
        <v>45252.943888170572</v>
      </c>
      <c r="AN696" s="2">
        <f t="shared" ca="1" si="658"/>
        <v>49035.659459437877</v>
      </c>
      <c r="AO696" s="2">
        <f t="shared" ca="1" si="659"/>
        <v>53134.574063600528</v>
      </c>
      <c r="AP696" s="2">
        <f t="shared" ca="1" si="660"/>
        <v>2376933.9075342454</v>
      </c>
      <c r="AQ696" s="2">
        <f t="shared" ca="1" si="661"/>
        <v>718827.3994972693</v>
      </c>
      <c r="AR696" s="2">
        <f t="shared" ca="1" si="662"/>
        <v>846984.93123315158</v>
      </c>
      <c r="AS696" s="2">
        <f t="shared" ca="1" si="663"/>
        <v>969443.9689636851</v>
      </c>
      <c r="AT696" s="2">
        <f t="shared" ca="1" si="664"/>
        <v>1102139.4171697544</v>
      </c>
      <c r="AU696" s="2">
        <f t="shared" ca="1" si="665"/>
        <v>1245926.9423776164</v>
      </c>
      <c r="AV696" s="2">
        <f t="shared" ca="1" si="666"/>
        <v>2045893.36779992</v>
      </c>
      <c r="AW696" s="2">
        <f t="shared" ca="1" si="667"/>
        <v>2368887.384582974</v>
      </c>
      <c r="AX696" s="2">
        <f t="shared" ca="1" si="668"/>
        <v>2713933.737008471</v>
      </c>
      <c r="AY696" s="2">
        <f t="shared" ca="1" si="669"/>
        <v>3087822.6817160165</v>
      </c>
      <c r="AZ696" s="2">
        <f t="shared" ca="1" si="670"/>
        <v>3492965.1850111531</v>
      </c>
      <c r="BA696" s="2">
        <f t="shared" ca="1" si="671"/>
        <v>67125354.017797813</v>
      </c>
      <c r="BB696" s="2">
        <f t="shared" ca="1" si="672"/>
        <v>1342507.0803559562</v>
      </c>
      <c r="BC696" s="2">
        <f t="shared" ca="1" si="673"/>
        <v>39372470.187061355</v>
      </c>
      <c r="BD696" s="2">
        <f t="shared" ca="1" si="674"/>
        <v>-19207350.198186189</v>
      </c>
      <c r="BE696" s="2">
        <f t="shared" ca="1" si="675"/>
        <v>2045893.36779992</v>
      </c>
      <c r="BF696" s="2">
        <f t="shared" ca="1" si="676"/>
        <v>2368887.384582974</v>
      </c>
      <c r="BG696" s="2">
        <f t="shared" ca="1" si="677"/>
        <v>2713933.737008471</v>
      </c>
      <c r="BH696" s="2">
        <f t="shared" ca="1" si="678"/>
        <v>3087822.6817160165</v>
      </c>
      <c r="BI696" s="2">
        <f t="shared" ca="1" si="679"/>
        <v>42865435.37207251</v>
      </c>
      <c r="BJ696" s="2">
        <f t="shared" ca="1" si="680"/>
        <v>0.25981104425731338</v>
      </c>
      <c r="BK696" s="2">
        <f t="shared" ca="1" si="681"/>
        <v>12724893.605575427</v>
      </c>
    </row>
    <row r="697" spans="1:63" x14ac:dyDescent="0.3">
      <c r="A697" s="2">
        <v>696</v>
      </c>
      <c r="B697" s="2">
        <f t="shared" ca="1" si="620"/>
        <v>0.47891591116425847</v>
      </c>
      <c r="C697" s="2">
        <f t="shared" ca="1" si="621"/>
        <v>6.9786888281412622</v>
      </c>
      <c r="D697" s="2">
        <f t="shared" ca="1" si="622"/>
        <v>0.13031369268646276</v>
      </c>
      <c r="E697" s="2">
        <f t="shared" ca="1" si="623"/>
        <v>7.0105167826555022</v>
      </c>
      <c r="F697" s="2">
        <f t="shared" ca="1" si="624"/>
        <v>0.71075072794237681</v>
      </c>
      <c r="G697" s="2">
        <f t="shared" ca="1" si="625"/>
        <v>5.6667376429622343E-2</v>
      </c>
      <c r="H697" s="2">
        <f t="shared" ca="1" si="626"/>
        <v>5.6667376429622343E-2</v>
      </c>
      <c r="I697" s="2">
        <f t="shared" ca="1" si="627"/>
        <v>0.15006449103152353</v>
      </c>
      <c r="J697" s="2">
        <f t="shared" ca="1" si="628"/>
        <v>4.8192158396484705E-3</v>
      </c>
      <c r="K697" s="2">
        <f t="shared" ca="1" si="629"/>
        <v>4.8192158396484705E-3</v>
      </c>
      <c r="L697" s="2">
        <f t="shared" ca="1" si="630"/>
        <v>0.39170399144184198</v>
      </c>
      <c r="M697" s="2">
        <f t="shared" ca="1" si="631"/>
        <v>-5.4976117215243692E-3</v>
      </c>
      <c r="N697" s="2">
        <f t="shared" ca="1" si="632"/>
        <v>-5.4976117215243692E-3</v>
      </c>
      <c r="O697" s="2">
        <f t="shared" si="633"/>
        <v>6000000</v>
      </c>
      <c r="P697" s="2">
        <f t="shared" ca="1" si="634"/>
        <v>41872132.968847573</v>
      </c>
      <c r="Q697" s="2">
        <f t="shared" ca="1" si="635"/>
        <v>1046803.3242211894</v>
      </c>
      <c r="R697" s="2">
        <f t="shared" ca="1" si="636"/>
        <v>25123279.781308543</v>
      </c>
      <c r="S697" s="2">
        <f t="shared" ca="1" si="637"/>
        <v>16748853.18753903</v>
      </c>
      <c r="T697" s="2">
        <f t="shared" ca="1" si="638"/>
        <v>49725119.413923778</v>
      </c>
      <c r="U697" s="2">
        <f t="shared" ca="1" si="639"/>
        <v>52542911.473760523</v>
      </c>
      <c r="V697" s="2">
        <f t="shared" ca="1" si="640"/>
        <v>55520380.416952439</v>
      </c>
      <c r="W697" s="2">
        <f t="shared" ca="1" si="641"/>
        <v>58666574.713555716</v>
      </c>
      <c r="X697" s="2">
        <f t="shared" ca="1" si="642"/>
        <v>61991055.586685345</v>
      </c>
      <c r="Y697" s="2">
        <f t="shared" ca="1" si="643"/>
        <v>0.12240960791982423</v>
      </c>
      <c r="Z697" s="2">
        <f t="shared" ca="1" si="644"/>
        <v>0.12337345108775392</v>
      </c>
      <c r="AA697" s="2">
        <f t="shared" ca="1" si="645"/>
        <v>6086832.3712248495</v>
      </c>
      <c r="AB697" s="2">
        <f t="shared" ca="1" si="646"/>
        <v>6482400.3187161786</v>
      </c>
      <c r="AC697" s="2">
        <f t="shared" ca="1" si="647"/>
        <v>6849740.9377443725</v>
      </c>
      <c r="AD697" s="2">
        <f t="shared" ca="1" si="648"/>
        <v>7237897.7859089272</v>
      </c>
      <c r="AE697" s="2">
        <f t="shared" ca="1" si="649"/>
        <v>7648050.4643021589</v>
      </c>
      <c r="AF697" s="2">
        <f t="shared" ca="1" si="650"/>
        <v>994502.38827847561</v>
      </c>
      <c r="AG697" s="2">
        <f t="shared" ca="1" si="651"/>
        <v>1050858.2294752104</v>
      </c>
      <c r="AH697" s="2">
        <f t="shared" ca="1" si="652"/>
        <v>1110407.6083390487</v>
      </c>
      <c r="AI697" s="2">
        <f t="shared" ca="1" si="653"/>
        <v>1173331.4942711142</v>
      </c>
      <c r="AJ697" s="2">
        <f t="shared" ca="1" si="654"/>
        <v>1239821.1117337069</v>
      </c>
      <c r="AK697" s="2">
        <f t="shared" ca="1" si="655"/>
        <v>0</v>
      </c>
      <c r="AL697" s="2">
        <f t="shared" ca="1" si="656"/>
        <v>28177.920598367455</v>
      </c>
      <c r="AM697" s="2">
        <f t="shared" ca="1" si="657"/>
        <v>29774.68943191916</v>
      </c>
      <c r="AN697" s="2">
        <f t="shared" ca="1" si="658"/>
        <v>31461.942966032773</v>
      </c>
      <c r="AO697" s="2">
        <f t="shared" ca="1" si="659"/>
        <v>33244.808731296289</v>
      </c>
      <c r="AP697" s="2">
        <f t="shared" ca="1" si="660"/>
        <v>2261095.1803177688</v>
      </c>
      <c r="AQ697" s="2">
        <f t="shared" ca="1" si="661"/>
        <v>736121.04868343729</v>
      </c>
      <c r="AR697" s="2">
        <f t="shared" ca="1" si="662"/>
        <v>824316.19632003189</v>
      </c>
      <c r="AS697" s="2">
        <f t="shared" ca="1" si="663"/>
        <v>904341.91876276431</v>
      </c>
      <c r="AT697" s="2">
        <f t="shared" ca="1" si="664"/>
        <v>988902.4889432115</v>
      </c>
      <c r="AU697" s="2">
        <f t="shared" ca="1" si="665"/>
        <v>1078254.8847851777</v>
      </c>
      <c r="AV697" s="2">
        <f t="shared" ca="1" si="666"/>
        <v>2095113.7539451672</v>
      </c>
      <c r="AW697" s="2">
        <f t="shared" ca="1" si="667"/>
        <v>2317952.7920048004</v>
      </c>
      <c r="AX697" s="2">
        <f t="shared" ca="1" si="668"/>
        <v>2544121.540892872</v>
      </c>
      <c r="AY697" s="2">
        <f t="shared" ca="1" si="669"/>
        <v>2783106.6794107994</v>
      </c>
      <c r="AZ697" s="2">
        <f t="shared" ca="1" si="670"/>
        <v>3035634.4787342101</v>
      </c>
      <c r="BA697" s="2">
        <f t="shared" ca="1" si="671"/>
        <v>53616786.134586491</v>
      </c>
      <c r="BB697" s="2">
        <f t="shared" ca="1" si="672"/>
        <v>1072335.7226917299</v>
      </c>
      <c r="BC697" s="2">
        <f t="shared" ca="1" si="673"/>
        <v>27421170.630586218</v>
      </c>
      <c r="BD697" s="2">
        <f t="shared" ca="1" si="674"/>
        <v>-18295656.51176022</v>
      </c>
      <c r="BE697" s="2">
        <f t="shared" ca="1" si="675"/>
        <v>2095113.7539451672</v>
      </c>
      <c r="BF697" s="2">
        <f t="shared" ca="1" si="676"/>
        <v>2317952.7920048004</v>
      </c>
      <c r="BG697" s="2">
        <f t="shared" ca="1" si="677"/>
        <v>2544121.540892872</v>
      </c>
      <c r="BH697" s="2">
        <f t="shared" ca="1" si="678"/>
        <v>2783106.6794107994</v>
      </c>
      <c r="BI697" s="2">
        <f t="shared" ca="1" si="679"/>
        <v>30456805.109320428</v>
      </c>
      <c r="BJ697" s="2">
        <f t="shared" ca="1" si="680"/>
        <v>0.20181391130880622</v>
      </c>
      <c r="BK697" s="2">
        <f t="shared" ca="1" si="681"/>
        <v>6284417.7709413059</v>
      </c>
    </row>
    <row r="698" spans="1:63" x14ac:dyDescent="0.3">
      <c r="A698" s="2">
        <v>697</v>
      </c>
      <c r="B698" s="2">
        <f t="shared" ca="1" si="620"/>
        <v>0.63180629367385599</v>
      </c>
      <c r="C698" s="2">
        <f t="shared" ca="1" si="621"/>
        <v>7.1418698160230649</v>
      </c>
      <c r="D698" s="2">
        <f t="shared" ca="1" si="622"/>
        <v>0.22141827613650011</v>
      </c>
      <c r="E698" s="2">
        <f t="shared" ca="1" si="623"/>
        <v>7.165459654879994</v>
      </c>
      <c r="F698" s="2">
        <f t="shared" ca="1" si="624"/>
        <v>0.20819305416198297</v>
      </c>
      <c r="G698" s="2">
        <f t="shared" ca="1" si="625"/>
        <v>1.5618792168007642E-2</v>
      </c>
      <c r="H698" s="2">
        <f t="shared" ca="1" si="626"/>
        <v>1.5618792168007642E-2</v>
      </c>
      <c r="I698" s="2">
        <f t="shared" ca="1" si="627"/>
        <v>0.65460463938114688</v>
      </c>
      <c r="J698" s="2">
        <f t="shared" ca="1" si="628"/>
        <v>1.1988911122119595E-2</v>
      </c>
      <c r="K698" s="2">
        <f t="shared" ca="1" si="629"/>
        <v>1.1988911122119595E-2</v>
      </c>
      <c r="L698" s="2">
        <f t="shared" ca="1" si="630"/>
        <v>0.76269206793484634</v>
      </c>
      <c r="M698" s="2">
        <f t="shared" ca="1" si="631"/>
        <v>1.4299779231118923E-2</v>
      </c>
      <c r="N698" s="2">
        <f t="shared" ca="1" si="632"/>
        <v>1.4299779231118923E-2</v>
      </c>
      <c r="O698" s="2">
        <f t="shared" si="633"/>
        <v>6000000</v>
      </c>
      <c r="P698" s="2">
        <f t="shared" ca="1" si="634"/>
        <v>42851218.896138392</v>
      </c>
      <c r="Q698" s="2">
        <f t="shared" ca="1" si="635"/>
        <v>1071280.4724034599</v>
      </c>
      <c r="R698" s="2">
        <f t="shared" ca="1" si="636"/>
        <v>25710731.337683033</v>
      </c>
      <c r="S698" s="2">
        <f t="shared" ca="1" si="637"/>
        <v>17140487.558455359</v>
      </c>
      <c r="T698" s="2">
        <f t="shared" ca="1" si="638"/>
        <v>50714988.96155595</v>
      </c>
      <c r="U698" s="2">
        <f t="shared" ca="1" si="639"/>
        <v>51507095.83394929</v>
      </c>
      <c r="V698" s="2">
        <f t="shared" ca="1" si="640"/>
        <v>52311574.458957389</v>
      </c>
      <c r="W698" s="2">
        <f t="shared" ca="1" si="641"/>
        <v>53128618.068413094</v>
      </c>
      <c r="X698" s="2">
        <f t="shared" ca="1" si="642"/>
        <v>53958422.912197091</v>
      </c>
      <c r="Y698" s="2">
        <f t="shared" ca="1" si="643"/>
        <v>0.12599445556105979</v>
      </c>
      <c r="Z698" s="2">
        <f t="shared" ca="1" si="644"/>
        <v>0.1283922377854837</v>
      </c>
      <c r="AA698" s="2">
        <f t="shared" ca="1" si="645"/>
        <v>6389807.422996399</v>
      </c>
      <c r="AB698" s="2">
        <f t="shared" ca="1" si="646"/>
        <v>6613111.2959521143</v>
      </c>
      <c r="AC698" s="2">
        <f t="shared" ca="1" si="647"/>
        <v>6716400.1068674931</v>
      </c>
      <c r="AD698" s="2">
        <f t="shared" ca="1" si="648"/>
        <v>6821302.1642538393</v>
      </c>
      <c r="AE698" s="2">
        <f t="shared" ca="1" si="649"/>
        <v>6927842.6650725007</v>
      </c>
      <c r="AF698" s="2">
        <f t="shared" ca="1" si="650"/>
        <v>1014299.7792311191</v>
      </c>
      <c r="AG698" s="2">
        <f t="shared" ca="1" si="651"/>
        <v>1030141.9166789858</v>
      </c>
      <c r="AH698" s="2">
        <f t="shared" ca="1" si="652"/>
        <v>1046231.4891791478</v>
      </c>
      <c r="AI698" s="2">
        <f t="shared" ca="1" si="653"/>
        <v>1062572.361368262</v>
      </c>
      <c r="AJ698" s="2">
        <f t="shared" ca="1" si="654"/>
        <v>1079168.4582439419</v>
      </c>
      <c r="AK698" s="2">
        <f t="shared" ca="1" si="655"/>
        <v>0</v>
      </c>
      <c r="AL698" s="2">
        <f t="shared" ca="1" si="656"/>
        <v>7921.0687239333993</v>
      </c>
      <c r="AM698" s="2">
        <f t="shared" ca="1" si="657"/>
        <v>8044.7862500809879</v>
      </c>
      <c r="AN698" s="2">
        <f t="shared" ca="1" si="658"/>
        <v>8170.436094557047</v>
      </c>
      <c r="AO698" s="2">
        <f t="shared" ca="1" si="659"/>
        <v>8298.0484378399706</v>
      </c>
      <c r="AP698" s="2">
        <f t="shared" ca="1" si="660"/>
        <v>2313965.8203914729</v>
      </c>
      <c r="AQ698" s="2">
        <f t="shared" ca="1" si="661"/>
        <v>796000.87407718983</v>
      </c>
      <c r="AR698" s="2">
        <f t="shared" ca="1" si="662"/>
        <v>849940.92530923057</v>
      </c>
      <c r="AS698" s="2">
        <f t="shared" ca="1" si="663"/>
        <v>872612.72729718697</v>
      </c>
      <c r="AT698" s="2">
        <f t="shared" ca="1" si="664"/>
        <v>895638.6354484671</v>
      </c>
      <c r="AU698" s="2">
        <f t="shared" ca="1" si="665"/>
        <v>919024.18047364242</v>
      </c>
      <c r="AV698" s="2">
        <f t="shared" ca="1" si="666"/>
        <v>2265540.9492966174</v>
      </c>
      <c r="AW698" s="2">
        <f t="shared" ca="1" si="667"/>
        <v>2411141.5648484915</v>
      </c>
      <c r="AX698" s="2">
        <f t="shared" ca="1" si="668"/>
        <v>2475545.2837496051</v>
      </c>
      <c r="AY698" s="2">
        <f t="shared" ca="1" si="669"/>
        <v>2540954.9109510803</v>
      </c>
      <c r="AZ698" s="2">
        <f t="shared" ca="1" si="670"/>
        <v>2607386.1575256032</v>
      </c>
      <c r="BA698" s="2">
        <f t="shared" ca="1" si="671"/>
        <v>49641177.111933298</v>
      </c>
      <c r="BB698" s="2">
        <f t="shared" ca="1" si="672"/>
        <v>992823.54223866598</v>
      </c>
      <c r="BC698" s="2">
        <f t="shared" ca="1" si="673"/>
        <v>22937622.232011598</v>
      </c>
      <c r="BD698" s="2">
        <f t="shared" ca="1" si="674"/>
        <v>-18711768.030858818</v>
      </c>
      <c r="BE698" s="2">
        <f t="shared" ca="1" si="675"/>
        <v>2265540.9492966174</v>
      </c>
      <c r="BF698" s="2">
        <f t="shared" ca="1" si="676"/>
        <v>2411141.5648484915</v>
      </c>
      <c r="BG698" s="2">
        <f t="shared" ca="1" si="677"/>
        <v>2475545.2837496051</v>
      </c>
      <c r="BH698" s="2">
        <f t="shared" ca="1" si="678"/>
        <v>2540954.9109510803</v>
      </c>
      <c r="BI698" s="2">
        <f t="shared" ca="1" si="679"/>
        <v>25545008.3895372</v>
      </c>
      <c r="BJ698" s="2">
        <f t="shared" ca="1" si="680"/>
        <v>0.1628128885590745</v>
      </c>
      <c r="BK698" s="2">
        <f t="shared" ca="1" si="681"/>
        <v>3104974.489203915</v>
      </c>
    </row>
    <row r="699" spans="1:63" x14ac:dyDescent="0.3">
      <c r="A699" s="2">
        <v>698</v>
      </c>
      <c r="B699" s="2">
        <f t="shared" ca="1" si="620"/>
        <v>0.19332436422632404</v>
      </c>
      <c r="C699" s="2">
        <f t="shared" ca="1" si="621"/>
        <v>6.6218108462005532</v>
      </c>
      <c r="D699" s="2">
        <f t="shared" ca="1" si="622"/>
        <v>1.9165150557174826E-2</v>
      </c>
      <c r="E699" s="2">
        <f t="shared" ca="1" si="623"/>
        <v>6.6957812583327367</v>
      </c>
      <c r="F699" s="2">
        <f t="shared" ca="1" si="624"/>
        <v>0.53530197504068844</v>
      </c>
      <c r="G699" s="2">
        <f t="shared" ca="1" si="625"/>
        <v>4.2658141860688233E-2</v>
      </c>
      <c r="H699" s="2">
        <f t="shared" ca="1" si="626"/>
        <v>4.2658141860688233E-2</v>
      </c>
      <c r="I699" s="2">
        <f t="shared" ca="1" si="627"/>
        <v>8.5300006551542018E-2</v>
      </c>
      <c r="J699" s="2">
        <f t="shared" ca="1" si="628"/>
        <v>3.1486080009847763E-3</v>
      </c>
      <c r="K699" s="2">
        <f t="shared" ca="1" si="629"/>
        <v>3.1486080009847763E-3</v>
      </c>
      <c r="L699" s="2">
        <f t="shared" ca="1" si="630"/>
        <v>0.19318292839268658</v>
      </c>
      <c r="M699" s="2">
        <f t="shared" ca="1" si="631"/>
        <v>-1.7324533901197293E-2</v>
      </c>
      <c r="N699" s="2">
        <f t="shared" ca="1" si="632"/>
        <v>-1.7324533901197293E-2</v>
      </c>
      <c r="O699" s="2">
        <f t="shared" si="633"/>
        <v>6000000</v>
      </c>
      <c r="P699" s="2">
        <f t="shared" ca="1" si="634"/>
        <v>39730865.077203318</v>
      </c>
      <c r="Q699" s="2">
        <f t="shared" ca="1" si="635"/>
        <v>993271.62693008303</v>
      </c>
      <c r="R699" s="2">
        <f t="shared" ca="1" si="636"/>
        <v>23838519.046321992</v>
      </c>
      <c r="S699" s="2">
        <f t="shared" ca="1" si="637"/>
        <v>15892346.030881329</v>
      </c>
      <c r="T699" s="2">
        <f t="shared" ca="1" si="638"/>
        <v>49133773.304940134</v>
      </c>
      <c r="U699" s="2">
        <f t="shared" ca="1" si="639"/>
        <v>51229728.776733167</v>
      </c>
      <c r="V699" s="2">
        <f t="shared" ca="1" si="640"/>
        <v>53415093.814375632</v>
      </c>
      <c r="W699" s="2">
        <f t="shared" ca="1" si="641"/>
        <v>55693682.463811234</v>
      </c>
      <c r="X699" s="2">
        <f t="shared" ca="1" si="642"/>
        <v>58069471.471096613</v>
      </c>
      <c r="Y699" s="2">
        <f t="shared" ca="1" si="643"/>
        <v>0.12157430400049238</v>
      </c>
      <c r="Z699" s="2">
        <f t="shared" ca="1" si="644"/>
        <v>0.12220402560068934</v>
      </c>
      <c r="AA699" s="2">
        <f t="shared" ca="1" si="645"/>
        <v>5973404.2924660686</v>
      </c>
      <c r="AB699" s="2">
        <f t="shared" ca="1" si="646"/>
        <v>6260479.0869482709</v>
      </c>
      <c r="AC699" s="2">
        <f t="shared" ca="1" si="647"/>
        <v>6527539.4919551825</v>
      </c>
      <c r="AD699" s="2">
        <f t="shared" ca="1" si="648"/>
        <v>6805992.1976042511</v>
      </c>
      <c r="AE699" s="2">
        <f t="shared" ca="1" si="649"/>
        <v>7096323.1782723898</v>
      </c>
      <c r="AF699" s="2">
        <f t="shared" ca="1" si="650"/>
        <v>982675.46609880275</v>
      </c>
      <c r="AG699" s="2">
        <f t="shared" ca="1" si="651"/>
        <v>1024594.5755346634</v>
      </c>
      <c r="AH699" s="2">
        <f t="shared" ca="1" si="652"/>
        <v>1068301.8762875127</v>
      </c>
      <c r="AI699" s="2">
        <f t="shared" ca="1" si="653"/>
        <v>1113873.6492762247</v>
      </c>
      <c r="AJ699" s="2">
        <f t="shared" ca="1" si="654"/>
        <v>1161389.4294219322</v>
      </c>
      <c r="AK699" s="2">
        <f t="shared" ca="1" si="655"/>
        <v>0</v>
      </c>
      <c r="AL699" s="2">
        <f t="shared" ca="1" si="656"/>
        <v>20959.554717930332</v>
      </c>
      <c r="AM699" s="2">
        <f t="shared" ca="1" si="657"/>
        <v>21853.650376424641</v>
      </c>
      <c r="AN699" s="2">
        <f t="shared" ca="1" si="658"/>
        <v>22785.886494356022</v>
      </c>
      <c r="AO699" s="2">
        <f t="shared" ca="1" si="659"/>
        <v>23757.890072853788</v>
      </c>
      <c r="AP699" s="2">
        <f t="shared" ca="1" si="660"/>
        <v>2145466.7141689793</v>
      </c>
      <c r="AQ699" s="2">
        <f t="shared" ca="1" si="661"/>
        <v>739768.14917155448</v>
      </c>
      <c r="AR699" s="2">
        <f t="shared" ca="1" si="662"/>
        <v>803508.62728360342</v>
      </c>
      <c r="AS699" s="2">
        <f t="shared" ca="1" si="663"/>
        <v>861580.43438965967</v>
      </c>
      <c r="AT699" s="2">
        <f t="shared" ca="1" si="664"/>
        <v>922129.47688135225</v>
      </c>
      <c r="AU699" s="2">
        <f t="shared" ca="1" si="665"/>
        <v>985261.4290171843</v>
      </c>
      <c r="AV699" s="2">
        <f t="shared" ca="1" si="666"/>
        <v>2105493.9630267317</v>
      </c>
      <c r="AW699" s="2">
        <f t="shared" ca="1" si="667"/>
        <v>2265949.6152430954</v>
      </c>
      <c r="AX699" s="2">
        <f t="shared" ca="1" si="668"/>
        <v>2430336.8167326073</v>
      </c>
      <c r="AY699" s="2">
        <f t="shared" ca="1" si="669"/>
        <v>2601736.4707833384</v>
      </c>
      <c r="AZ699" s="2">
        <f t="shared" ca="1" si="670"/>
        <v>2780447.7155914395</v>
      </c>
      <c r="BA699" s="2">
        <f t="shared" ca="1" si="671"/>
        <v>47515427.74014847</v>
      </c>
      <c r="BB699" s="2">
        <f t="shared" ca="1" si="672"/>
        <v>950308.55480296945</v>
      </c>
      <c r="BC699" s="2">
        <f t="shared" ca="1" si="673"/>
        <v>22726600.139023509</v>
      </c>
      <c r="BD699" s="2">
        <f t="shared" ca="1" si="674"/>
        <v>-17385617.657811411</v>
      </c>
      <c r="BE699" s="2">
        <f t="shared" ca="1" si="675"/>
        <v>2105493.9630267317</v>
      </c>
      <c r="BF699" s="2">
        <f t="shared" ca="1" si="676"/>
        <v>2265949.6152430954</v>
      </c>
      <c r="BG699" s="2">
        <f t="shared" ca="1" si="677"/>
        <v>2430336.8167326073</v>
      </c>
      <c r="BH699" s="2">
        <f t="shared" ca="1" si="678"/>
        <v>2601736.4707833384</v>
      </c>
      <c r="BI699" s="2">
        <f t="shared" ca="1" si="679"/>
        <v>25507047.854614947</v>
      </c>
      <c r="BJ699" s="2">
        <f t="shared" ca="1" si="680"/>
        <v>0.17994249541106089</v>
      </c>
      <c r="BK699" s="2">
        <f t="shared" ca="1" si="681"/>
        <v>4157389.0933504701</v>
      </c>
    </row>
    <row r="700" spans="1:63" x14ac:dyDescent="0.3">
      <c r="A700" s="2">
        <v>699</v>
      </c>
      <c r="B700" s="2">
        <f t="shared" ca="1" si="620"/>
        <v>0.90743304058934326</v>
      </c>
      <c r="C700" s="2">
        <f t="shared" ca="1" si="621"/>
        <v>7.5697280873432318</v>
      </c>
      <c r="D700" s="2">
        <f t="shared" ca="1" si="622"/>
        <v>3.8566986968793238E-3</v>
      </c>
      <c r="E700" s="2">
        <f t="shared" ca="1" si="623"/>
        <v>6.5878259494327196</v>
      </c>
      <c r="F700" s="2">
        <f t="shared" ca="1" si="624"/>
        <v>0.63519819394696109</v>
      </c>
      <c r="G700" s="2">
        <f t="shared" ca="1" si="625"/>
        <v>5.0369585922189139E-2</v>
      </c>
      <c r="H700" s="2">
        <f t="shared" ca="1" si="626"/>
        <v>5.0369585922189139E-2</v>
      </c>
      <c r="I700" s="2">
        <f t="shared" ca="1" si="627"/>
        <v>0.31509817066061729</v>
      </c>
      <c r="J700" s="2">
        <f t="shared" ca="1" si="628"/>
        <v>7.5927474213651636E-3</v>
      </c>
      <c r="K700" s="2">
        <f t="shared" ca="1" si="629"/>
        <v>7.5927474213651636E-3</v>
      </c>
      <c r="L700" s="2">
        <f t="shared" ca="1" si="630"/>
        <v>0.5527779080204539</v>
      </c>
      <c r="M700" s="2">
        <f t="shared" ca="1" si="631"/>
        <v>2.6536575737988437E-3</v>
      </c>
      <c r="N700" s="2">
        <f t="shared" ca="1" si="632"/>
        <v>2.6536575737988437E-3</v>
      </c>
      <c r="O700" s="2">
        <f t="shared" si="633"/>
        <v>6000000</v>
      </c>
      <c r="P700" s="2">
        <f t="shared" ca="1" si="634"/>
        <v>45418368.524059393</v>
      </c>
      <c r="Q700" s="2">
        <f t="shared" ca="1" si="635"/>
        <v>1135459.2131014848</v>
      </c>
      <c r="R700" s="2">
        <f t="shared" ca="1" si="636"/>
        <v>27251021.114435636</v>
      </c>
      <c r="S700" s="2">
        <f t="shared" ca="1" si="637"/>
        <v>18167347.409623757</v>
      </c>
      <c r="T700" s="2">
        <f t="shared" ca="1" si="638"/>
        <v>50132682.878689937</v>
      </c>
      <c r="U700" s="2">
        <f t="shared" ca="1" si="639"/>
        <v>52657845.356457971</v>
      </c>
      <c r="V700" s="2">
        <f t="shared" ca="1" si="640"/>
        <v>55310199.222617425</v>
      </c>
      <c r="W700" s="2">
        <f t="shared" ca="1" si="641"/>
        <v>58096151.054734454</v>
      </c>
      <c r="X700" s="2">
        <f t="shared" ca="1" si="642"/>
        <v>61022430.127034381</v>
      </c>
      <c r="Y700" s="2">
        <f t="shared" ca="1" si="643"/>
        <v>0.12379637371068258</v>
      </c>
      <c r="Z700" s="2">
        <f t="shared" ca="1" si="644"/>
        <v>0.1253149231949556</v>
      </c>
      <c r="AA700" s="2">
        <f t="shared" ca="1" si="645"/>
        <v>6206244.3447694378</v>
      </c>
      <c r="AB700" s="2">
        <f t="shared" ca="1" si="646"/>
        <v>6598813.8464563806</v>
      </c>
      <c r="AC700" s="2">
        <f t="shared" ca="1" si="647"/>
        <v>6931193.3674799958</v>
      </c>
      <c r="AD700" s="2">
        <f t="shared" ca="1" si="648"/>
        <v>7280314.7073465865</v>
      </c>
      <c r="AE700" s="2">
        <f t="shared" ca="1" si="649"/>
        <v>7647021.144538858</v>
      </c>
      <c r="AF700" s="2">
        <f t="shared" ca="1" si="650"/>
        <v>1002653.6575737988</v>
      </c>
      <c r="AG700" s="2">
        <f t="shared" ca="1" si="651"/>
        <v>1053156.9071291594</v>
      </c>
      <c r="AH700" s="2">
        <f t="shared" ca="1" si="652"/>
        <v>1106203.9844523484</v>
      </c>
      <c r="AI700" s="2">
        <f t="shared" ca="1" si="653"/>
        <v>1161923.0210946891</v>
      </c>
      <c r="AJ700" s="2">
        <f t="shared" ca="1" si="654"/>
        <v>1220448.6025406877</v>
      </c>
      <c r="AK700" s="2">
        <f t="shared" ca="1" si="655"/>
        <v>0</v>
      </c>
      <c r="AL700" s="2">
        <f t="shared" ca="1" si="656"/>
        <v>25251.624777680339</v>
      </c>
      <c r="AM700" s="2">
        <f t="shared" ca="1" si="657"/>
        <v>26523.538661594539</v>
      </c>
      <c r="AN700" s="2">
        <f t="shared" ca="1" si="658"/>
        <v>27859.518321170286</v>
      </c>
      <c r="AO700" s="2">
        <f t="shared" ca="1" si="659"/>
        <v>29262.790722999274</v>
      </c>
      <c r="AP700" s="2">
        <f t="shared" ca="1" si="660"/>
        <v>2452591.9002992073</v>
      </c>
      <c r="AQ700" s="2">
        <f t="shared" ca="1" si="661"/>
        <v>715259.68459307228</v>
      </c>
      <c r="AR700" s="2">
        <f t="shared" ca="1" si="662"/>
        <v>804196.91014728369</v>
      </c>
      <c r="AS700" s="2">
        <f t="shared" ca="1" si="663"/>
        <v>876823.34550939454</v>
      </c>
      <c r="AT700" s="2">
        <f t="shared" ca="1" si="664"/>
        <v>953107.94434769941</v>
      </c>
      <c r="AU700" s="2">
        <f t="shared" ca="1" si="665"/>
        <v>1033234.9668417304</v>
      </c>
      <c r="AV700" s="2">
        <f t="shared" ca="1" si="666"/>
        <v>2035739.1023033597</v>
      </c>
      <c r="AW700" s="2">
        <f t="shared" ca="1" si="667"/>
        <v>2263616.5041030506</v>
      </c>
      <c r="AX700" s="2">
        <f t="shared" ca="1" si="668"/>
        <v>2469050.5985574508</v>
      </c>
      <c r="AY700" s="2">
        <f t="shared" ca="1" si="669"/>
        <v>2684832.3232838204</v>
      </c>
      <c r="AZ700" s="2">
        <f t="shared" ca="1" si="670"/>
        <v>2911482.884134233</v>
      </c>
      <c r="BA700" s="2">
        <f t="shared" ca="1" si="671"/>
        <v>50377244.331853785</v>
      </c>
      <c r="BB700" s="2">
        <f t="shared" ca="1" si="672"/>
        <v>1007544.8866370757</v>
      </c>
      <c r="BC700" s="2">
        <f t="shared" ca="1" si="673"/>
        <v>22118678.330781072</v>
      </c>
      <c r="BD700" s="2">
        <f t="shared" ca="1" si="674"/>
        <v>-19802806.622725241</v>
      </c>
      <c r="BE700" s="2">
        <f t="shared" ca="1" si="675"/>
        <v>2035739.1023033597</v>
      </c>
      <c r="BF700" s="2">
        <f t="shared" ca="1" si="676"/>
        <v>2263616.5041030506</v>
      </c>
      <c r="BG700" s="2">
        <f t="shared" ca="1" si="677"/>
        <v>2469050.5985574508</v>
      </c>
      <c r="BH700" s="2">
        <f t="shared" ca="1" si="678"/>
        <v>2684832.3232838204</v>
      </c>
      <c r="BI700" s="2">
        <f t="shared" ca="1" si="679"/>
        <v>25030161.214915305</v>
      </c>
      <c r="BJ700" s="2">
        <f t="shared" ca="1" si="680"/>
        <v>0.13973154524585452</v>
      </c>
      <c r="BK700" s="2">
        <f t="shared" ca="1" si="681"/>
        <v>1485825.3961009048</v>
      </c>
    </row>
    <row r="701" spans="1:63" x14ac:dyDescent="0.3">
      <c r="A701" s="2">
        <v>700</v>
      </c>
      <c r="B701" s="2">
        <f t="shared" ca="1" si="620"/>
        <v>8.3857206429923337E-2</v>
      </c>
      <c r="C701" s="2">
        <f t="shared" ca="1" si="621"/>
        <v>6.4095295018186684</v>
      </c>
      <c r="D701" s="2">
        <f t="shared" ca="1" si="622"/>
        <v>0.81385098923866062</v>
      </c>
      <c r="E701" s="2">
        <f t="shared" ca="1" si="623"/>
        <v>7.8898377088653557</v>
      </c>
      <c r="F701" s="2">
        <f t="shared" ca="1" si="624"/>
        <v>0.82498675673225652</v>
      </c>
      <c r="G701" s="2">
        <f t="shared" ca="1" si="625"/>
        <v>6.803613751186717E-2</v>
      </c>
      <c r="H701" s="2">
        <f t="shared" ca="1" si="626"/>
        <v>6.803613751186717E-2</v>
      </c>
      <c r="I701" s="2">
        <f t="shared" ca="1" si="627"/>
        <v>0.68118967312898182</v>
      </c>
      <c r="J701" s="2">
        <f t="shared" ca="1" si="628"/>
        <v>1.2355140602746366E-2</v>
      </c>
      <c r="K701" s="2">
        <f t="shared" ca="1" si="629"/>
        <v>1.2355140602746366E-2</v>
      </c>
      <c r="L701" s="2">
        <f t="shared" ca="1" si="630"/>
        <v>0.76486082478551032</v>
      </c>
      <c r="M701" s="2">
        <f t="shared" ca="1" si="631"/>
        <v>1.4440524620846442E-2</v>
      </c>
      <c r="N701" s="2">
        <f t="shared" ca="1" si="632"/>
        <v>1.4440524620846442E-2</v>
      </c>
      <c r="O701" s="2">
        <f t="shared" si="633"/>
        <v>6000000</v>
      </c>
      <c r="P701" s="2">
        <f t="shared" ca="1" si="634"/>
        <v>38457177.010912009</v>
      </c>
      <c r="Q701" s="2">
        <f t="shared" ca="1" si="635"/>
        <v>961429.42527280026</v>
      </c>
      <c r="R701" s="2">
        <f t="shared" ca="1" si="636"/>
        <v>23074306.206547204</v>
      </c>
      <c r="S701" s="2">
        <f t="shared" ca="1" si="637"/>
        <v>15382870.804364804</v>
      </c>
      <c r="T701" s="2">
        <f t="shared" ca="1" si="638"/>
        <v>50722026.231042325</v>
      </c>
      <c r="U701" s="2">
        <f t="shared" ca="1" si="639"/>
        <v>54172956.982578054</v>
      </c>
      <c r="V701" s="2">
        <f t="shared" ca="1" si="640"/>
        <v>57858675.7332692</v>
      </c>
      <c r="W701" s="2">
        <f t="shared" ca="1" si="641"/>
        <v>61795156.551712438</v>
      </c>
      <c r="X701" s="2">
        <f t="shared" ca="1" si="642"/>
        <v>65999460.320432112</v>
      </c>
      <c r="Y701" s="2">
        <f t="shared" ca="1" si="643"/>
        <v>0.12617757030137317</v>
      </c>
      <c r="Z701" s="2">
        <f t="shared" ca="1" si="644"/>
        <v>0.12864859842192244</v>
      </c>
      <c r="AA701" s="2">
        <f t="shared" ca="1" si="645"/>
        <v>6399982.0305954367</v>
      </c>
      <c r="AB701" s="2">
        <f t="shared" ca="1" si="646"/>
        <v>6969274.9881797638</v>
      </c>
      <c r="AC701" s="2">
        <f t="shared" ca="1" si="647"/>
        <v>7443437.5396335786</v>
      </c>
      <c r="AD701" s="2">
        <f t="shared" ca="1" si="648"/>
        <v>7949860.2796410834</v>
      </c>
      <c r="AE701" s="2">
        <f t="shared" ca="1" si="649"/>
        <v>8490738.0668268763</v>
      </c>
      <c r="AF701" s="2">
        <f t="shared" ca="1" si="650"/>
        <v>1014440.5246208465</v>
      </c>
      <c r="AG701" s="2">
        <f t="shared" ca="1" si="651"/>
        <v>1083459.1396515612</v>
      </c>
      <c r="AH701" s="2">
        <f t="shared" ca="1" si="652"/>
        <v>1157173.5146653841</v>
      </c>
      <c r="AI701" s="2">
        <f t="shared" ca="1" si="653"/>
        <v>1235903.1310342487</v>
      </c>
      <c r="AJ701" s="2">
        <f t="shared" ca="1" si="654"/>
        <v>1319989.2064086422</v>
      </c>
      <c r="AK701" s="2">
        <f t="shared" ca="1" si="655"/>
        <v>0</v>
      </c>
      <c r="AL701" s="2">
        <f t="shared" ca="1" si="656"/>
        <v>34509.307515357286</v>
      </c>
      <c r="AM701" s="2">
        <f t="shared" ca="1" si="657"/>
        <v>36857.187506911454</v>
      </c>
      <c r="AN701" s="2">
        <f t="shared" ca="1" si="658"/>
        <v>39364.80818443239</v>
      </c>
      <c r="AO701" s="2">
        <f t="shared" ca="1" si="659"/>
        <v>42043.037687196731</v>
      </c>
      <c r="AP701" s="2">
        <f t="shared" ca="1" si="660"/>
        <v>2076687.5585892482</v>
      </c>
      <c r="AQ701" s="2">
        <f t="shared" ca="1" si="661"/>
        <v>860302.02632018889</v>
      </c>
      <c r="AR701" s="2">
        <f t="shared" ca="1" si="662"/>
        <v>990373.35538412828</v>
      </c>
      <c r="AS701" s="2">
        <f t="shared" ca="1" si="663"/>
        <v>1094489.8812585261</v>
      </c>
      <c r="AT701" s="2">
        <f t="shared" ca="1" si="664"/>
        <v>1205690.0934045727</v>
      </c>
      <c r="AU701" s="2">
        <f t="shared" ca="1" si="665"/>
        <v>1324455.9384755364</v>
      </c>
      <c r="AV701" s="2">
        <f t="shared" ca="1" si="666"/>
        <v>2448551.9210651526</v>
      </c>
      <c r="AW701" s="2">
        <f t="shared" ca="1" si="667"/>
        <v>2784245.6270394688</v>
      </c>
      <c r="AX701" s="2">
        <f t="shared" ca="1" si="668"/>
        <v>3078229.3976135096</v>
      </c>
      <c r="AY701" s="2">
        <f t="shared" ca="1" si="669"/>
        <v>3392214.6884285817</v>
      </c>
      <c r="AZ701" s="2">
        <f t="shared" ca="1" si="670"/>
        <v>3727562.3256662535</v>
      </c>
      <c r="BA701" s="2">
        <f t="shared" ca="1" si="671"/>
        <v>66990545.375749223</v>
      </c>
      <c r="BB701" s="2">
        <f t="shared" ca="1" si="672"/>
        <v>1339810.9075149845</v>
      </c>
      <c r="BC701" s="2">
        <f t="shared" ca="1" si="673"/>
        <v>42576428.261687033</v>
      </c>
      <c r="BD701" s="2">
        <f t="shared" ca="1" si="674"/>
        <v>-16844300.229637604</v>
      </c>
      <c r="BE701" s="2">
        <f t="shared" ca="1" si="675"/>
        <v>2448551.9210651526</v>
      </c>
      <c r="BF701" s="2">
        <f t="shared" ca="1" si="676"/>
        <v>2784245.6270394688</v>
      </c>
      <c r="BG701" s="2">
        <f t="shared" ca="1" si="677"/>
        <v>3078229.3976135096</v>
      </c>
      <c r="BH701" s="2">
        <f t="shared" ca="1" si="678"/>
        <v>3392214.6884285817</v>
      </c>
      <c r="BI701" s="2">
        <f t="shared" ca="1" si="679"/>
        <v>46303990.587353289</v>
      </c>
      <c r="BJ701" s="2">
        <f t="shared" ca="1" si="680"/>
        <v>0.3317400307661984</v>
      </c>
      <c r="BK701" s="2">
        <f t="shared" ca="1" si="681"/>
        <v>18182454.840208191</v>
      </c>
    </row>
    <row r="702" spans="1:63" x14ac:dyDescent="0.3">
      <c r="A702" s="2">
        <v>701</v>
      </c>
      <c r="B702" s="2">
        <f t="shared" ca="1" si="620"/>
        <v>0.42966752759928362</v>
      </c>
      <c r="C702" s="2">
        <f t="shared" ca="1" si="621"/>
        <v>6.9270032660128908</v>
      </c>
      <c r="D702" s="2">
        <f t="shared" ca="1" si="622"/>
        <v>0.18310943602632257</v>
      </c>
      <c r="E702" s="2">
        <f t="shared" ca="1" si="623"/>
        <v>7.105160203625986</v>
      </c>
      <c r="F702" s="2">
        <f t="shared" ca="1" si="624"/>
        <v>0.57786088115038825</v>
      </c>
      <c r="G702" s="2">
        <f t="shared" ca="1" si="625"/>
        <v>4.589272288093274E-2</v>
      </c>
      <c r="H702" s="2">
        <f t="shared" ca="1" si="626"/>
        <v>4.589272288093274E-2</v>
      </c>
      <c r="I702" s="2">
        <f t="shared" ca="1" si="627"/>
        <v>0.35627917082413252</v>
      </c>
      <c r="J702" s="2">
        <f t="shared" ca="1" si="628"/>
        <v>8.1578882960765611E-3</v>
      </c>
      <c r="K702" s="2">
        <f t="shared" ca="1" si="629"/>
        <v>8.1578882960765611E-3</v>
      </c>
      <c r="L702" s="2">
        <f t="shared" ca="1" si="630"/>
        <v>0.98818857763667367</v>
      </c>
      <c r="M702" s="2">
        <f t="shared" ca="1" si="631"/>
        <v>4.5264168303328509E-2</v>
      </c>
      <c r="N702" s="2">
        <f t="shared" ca="1" si="632"/>
        <v>4.5264168303328509E-2</v>
      </c>
      <c r="O702" s="2">
        <f t="shared" si="633"/>
        <v>6000000</v>
      </c>
      <c r="P702" s="2">
        <f t="shared" ca="1" si="634"/>
        <v>41562019.596077345</v>
      </c>
      <c r="Q702" s="2">
        <f t="shared" ca="1" si="635"/>
        <v>1039050.4899019337</v>
      </c>
      <c r="R702" s="2">
        <f t="shared" ca="1" si="636"/>
        <v>24937211.757646408</v>
      </c>
      <c r="S702" s="2">
        <f t="shared" ca="1" si="637"/>
        <v>16624807.838430939</v>
      </c>
      <c r="T702" s="2">
        <f t="shared" ca="1" si="638"/>
        <v>52263208.41516643</v>
      </c>
      <c r="U702" s="2">
        <f t="shared" ca="1" si="639"/>
        <v>54661709.355832092</v>
      </c>
      <c r="V702" s="2">
        <f t="shared" ca="1" si="640"/>
        <v>57170284.035497382</v>
      </c>
      <c r="W702" s="2">
        <f t="shared" ca="1" si="641"/>
        <v>59793984.037762672</v>
      </c>
      <c r="X702" s="2">
        <f t="shared" ca="1" si="642"/>
        <v>62538092.777154624</v>
      </c>
      <c r="Y702" s="2">
        <f t="shared" ca="1" si="643"/>
        <v>0.12407894414803827</v>
      </c>
      <c r="Z702" s="2">
        <f t="shared" ca="1" si="644"/>
        <v>0.12571052180725359</v>
      </c>
      <c r="AA702" s="2">
        <f t="shared" ca="1" si="645"/>
        <v>6484763.7179427193</v>
      </c>
      <c r="AB702" s="2">
        <f t="shared" ca="1" si="646"/>
        <v>6871552.005998088</v>
      </c>
      <c r="AC702" s="2">
        <f t="shared" ca="1" si="647"/>
        <v>7186906.2379712751</v>
      </c>
      <c r="AD702" s="2">
        <f t="shared" ca="1" si="648"/>
        <v>7516732.9343217369</v>
      </c>
      <c r="AE702" s="2">
        <f t="shared" ca="1" si="649"/>
        <v>7861696.2758465447</v>
      </c>
      <c r="AF702" s="2">
        <f t="shared" ca="1" si="650"/>
        <v>1045264.1683033287</v>
      </c>
      <c r="AG702" s="2">
        <f t="shared" ca="1" si="651"/>
        <v>1093234.1871166418</v>
      </c>
      <c r="AH702" s="2">
        <f t="shared" ca="1" si="652"/>
        <v>1143405.6807099476</v>
      </c>
      <c r="AI702" s="2">
        <f t="shared" ca="1" si="653"/>
        <v>1195879.6807552534</v>
      </c>
      <c r="AJ702" s="2">
        <f t="shared" ca="1" si="654"/>
        <v>1250761.8555430926</v>
      </c>
      <c r="AK702" s="2">
        <f t="shared" ca="1" si="655"/>
        <v>0</v>
      </c>
      <c r="AL702" s="2">
        <f t="shared" ca="1" si="656"/>
        <v>23985.009406656623</v>
      </c>
      <c r="AM702" s="2">
        <f t="shared" ca="1" si="657"/>
        <v>25085.7467966529</v>
      </c>
      <c r="AN702" s="2">
        <f t="shared" ca="1" si="658"/>
        <v>26237.000022652894</v>
      </c>
      <c r="AO702" s="2">
        <f t="shared" ca="1" si="659"/>
        <v>27441.08739391953</v>
      </c>
      <c r="AP702" s="2">
        <f t="shared" ca="1" si="660"/>
        <v>2244349.0581881767</v>
      </c>
      <c r="AQ702" s="2">
        <f t="shared" ca="1" si="661"/>
        <v>830739.12777731568</v>
      </c>
      <c r="AR702" s="2">
        <f t="shared" ca="1" si="662"/>
        <v>918831.87778025016</v>
      </c>
      <c r="AS702" s="2">
        <f t="shared" ca="1" si="663"/>
        <v>987779.38975901913</v>
      </c>
      <c r="AT702" s="2">
        <f t="shared" ca="1" si="664"/>
        <v>1059891.0907983596</v>
      </c>
      <c r="AU702" s="2">
        <f t="shared" ca="1" si="665"/>
        <v>1135312.1941499715</v>
      </c>
      <c r="AV702" s="2">
        <f t="shared" ca="1" si="666"/>
        <v>2364411.3636738984</v>
      </c>
      <c r="AW702" s="2">
        <f t="shared" ca="1" si="667"/>
        <v>2591151.8735063625</v>
      </c>
      <c r="AX702" s="2">
        <f t="shared" ca="1" si="668"/>
        <v>2786286.3625174789</v>
      </c>
      <c r="AY702" s="2">
        <f t="shared" ca="1" si="669"/>
        <v>2990376.1045572944</v>
      </c>
      <c r="AZ702" s="2">
        <f t="shared" ca="1" si="670"/>
        <v>3203832.0805713842</v>
      </c>
      <c r="BA702" s="2">
        <f t="shared" ca="1" si="671"/>
        <v>55858611.512139492</v>
      </c>
      <c r="BB702" s="2">
        <f t="shared" ca="1" si="672"/>
        <v>1117172.23024279</v>
      </c>
      <c r="BC702" s="2">
        <f t="shared" ca="1" si="673"/>
        <v>29804227.524250295</v>
      </c>
      <c r="BD702" s="2">
        <f t="shared" ca="1" si="674"/>
        <v>-18163858.328332871</v>
      </c>
      <c r="BE702" s="2">
        <f t="shared" ca="1" si="675"/>
        <v>2364411.3636738984</v>
      </c>
      <c r="BF702" s="2">
        <f t="shared" ca="1" si="676"/>
        <v>2591151.8735063625</v>
      </c>
      <c r="BG702" s="2">
        <f t="shared" ca="1" si="677"/>
        <v>2786286.3625174789</v>
      </c>
      <c r="BH702" s="2">
        <f t="shared" ca="1" si="678"/>
        <v>2990376.1045572944</v>
      </c>
      <c r="BI702" s="2">
        <f t="shared" ca="1" si="679"/>
        <v>33008059.604821678</v>
      </c>
      <c r="BJ702" s="2">
        <f t="shared" ca="1" si="680"/>
        <v>0.22999046643643895</v>
      </c>
      <c r="BK702" s="2">
        <f t="shared" ca="1" si="681"/>
        <v>8626194.8039439581</v>
      </c>
    </row>
    <row r="703" spans="1:63" x14ac:dyDescent="0.3">
      <c r="A703" s="2">
        <v>702</v>
      </c>
      <c r="B703" s="2">
        <f t="shared" ca="1" si="620"/>
        <v>0.96725931424475087</v>
      </c>
      <c r="C703" s="2">
        <f t="shared" ca="1" si="621"/>
        <v>7.7441067185123877</v>
      </c>
      <c r="D703" s="2">
        <f t="shared" ca="1" si="622"/>
        <v>0.84379482012581197</v>
      </c>
      <c r="E703" s="2">
        <f t="shared" ca="1" si="623"/>
        <v>7.9410631880539837</v>
      </c>
      <c r="F703" s="2">
        <f t="shared" ca="1" si="624"/>
        <v>0.33703626214317772</v>
      </c>
      <c r="G703" s="2">
        <f t="shared" ca="1" si="625"/>
        <v>2.7383040487574964E-2</v>
      </c>
      <c r="H703" s="2">
        <f t="shared" ca="1" si="626"/>
        <v>2.7383040487574964E-2</v>
      </c>
      <c r="I703" s="2">
        <f t="shared" ca="1" si="627"/>
        <v>0.4908909010756427</v>
      </c>
      <c r="J703" s="2">
        <f t="shared" ca="1" si="628"/>
        <v>9.8858244535167013E-3</v>
      </c>
      <c r="K703" s="2">
        <f t="shared" ca="1" si="629"/>
        <v>9.8858244535167013E-3</v>
      </c>
      <c r="L703" s="2">
        <f t="shared" ca="1" si="630"/>
        <v>8.3292947310516174E-2</v>
      </c>
      <c r="M703" s="2">
        <f t="shared" ca="1" si="631"/>
        <v>-2.7665151949135658E-2</v>
      </c>
      <c r="N703" s="2">
        <f t="shared" ca="1" si="632"/>
        <v>-2.7665151949135658E-2</v>
      </c>
      <c r="O703" s="2">
        <f t="shared" si="633"/>
        <v>6000000</v>
      </c>
      <c r="P703" s="2">
        <f t="shared" ca="1" si="634"/>
        <v>46464640.311074324</v>
      </c>
      <c r="Q703" s="2">
        <f t="shared" ca="1" si="635"/>
        <v>1161616.0077768581</v>
      </c>
      <c r="R703" s="2">
        <f t="shared" ca="1" si="636"/>
        <v>27878784.186644595</v>
      </c>
      <c r="S703" s="2">
        <f t="shared" ca="1" si="637"/>
        <v>18585856.124429729</v>
      </c>
      <c r="T703" s="2">
        <f t="shared" ca="1" si="638"/>
        <v>48616742.402543217</v>
      </c>
      <c r="U703" s="2">
        <f t="shared" ca="1" si="639"/>
        <v>49948016.628126062</v>
      </c>
      <c r="V703" s="2">
        <f t="shared" ca="1" si="640"/>
        <v>51315745.189728111</v>
      </c>
      <c r="W703" s="2">
        <f t="shared" ca="1" si="641"/>
        <v>52720926.317908518</v>
      </c>
      <c r="X703" s="2">
        <f t="shared" ca="1" si="642"/>
        <v>54164585.577814266</v>
      </c>
      <c r="Y703" s="2">
        <f t="shared" ca="1" si="643"/>
        <v>0.12494291222675835</v>
      </c>
      <c r="Z703" s="2">
        <f t="shared" ca="1" si="644"/>
        <v>0.1269200771174617</v>
      </c>
      <c r="AA703" s="2">
        <f t="shared" ca="1" si="645"/>
        <v>6074317.3787518777</v>
      </c>
      <c r="AB703" s="2">
        <f t="shared" ca="1" si="646"/>
        <v>6339406.1223060191</v>
      </c>
      <c r="AC703" s="2">
        <f t="shared" ca="1" si="647"/>
        <v>6512998.3368203063</v>
      </c>
      <c r="AD703" s="2">
        <f t="shared" ca="1" si="648"/>
        <v>6691344.0339729656</v>
      </c>
      <c r="AE703" s="2">
        <f t="shared" ca="1" si="649"/>
        <v>6874573.3785715401</v>
      </c>
      <c r="AF703" s="2">
        <f t="shared" ca="1" si="650"/>
        <v>972334.84805086441</v>
      </c>
      <c r="AG703" s="2">
        <f t="shared" ca="1" si="651"/>
        <v>998960.33256252122</v>
      </c>
      <c r="AH703" s="2">
        <f t="shared" ca="1" si="652"/>
        <v>1026314.9037945622</v>
      </c>
      <c r="AI703" s="2">
        <f t="shared" ca="1" si="653"/>
        <v>1054418.5263581704</v>
      </c>
      <c r="AJ703" s="2">
        <f t="shared" ca="1" si="654"/>
        <v>1083291.7115562854</v>
      </c>
      <c r="AK703" s="2">
        <f t="shared" ca="1" si="655"/>
        <v>0</v>
      </c>
      <c r="AL703" s="2">
        <f t="shared" ca="1" si="656"/>
        <v>13312.742255828456</v>
      </c>
      <c r="AM703" s="2">
        <f t="shared" ca="1" si="657"/>
        <v>13677.285616020486</v>
      </c>
      <c r="AN703" s="2">
        <f t="shared" ca="1" si="658"/>
        <v>14051.81128180407</v>
      </c>
      <c r="AO703" s="2">
        <f t="shared" ca="1" si="659"/>
        <v>14436.592599057481</v>
      </c>
      <c r="AP703" s="2">
        <f t="shared" ca="1" si="660"/>
        <v>2509090.5767980134</v>
      </c>
      <c r="AQ703" s="2">
        <f t="shared" ca="1" si="661"/>
        <v>674151.90801478003</v>
      </c>
      <c r="AR703" s="2">
        <f t="shared" ca="1" si="662"/>
        <v>736152.35536582605</v>
      </c>
      <c r="AS703" s="2">
        <f t="shared" ca="1" si="663"/>
        <v>774174.14261920995</v>
      </c>
      <c r="AT703" s="2">
        <f t="shared" ca="1" si="664"/>
        <v>813237.08201236324</v>
      </c>
      <c r="AU703" s="2">
        <f t="shared" ca="1" si="665"/>
        <v>853369.68345648271</v>
      </c>
      <c r="AV703" s="2">
        <f t="shared" ca="1" si="666"/>
        <v>1918740.04588822</v>
      </c>
      <c r="AW703" s="2">
        <f t="shared" ca="1" si="667"/>
        <v>2081890.1153238304</v>
      </c>
      <c r="AX703" s="2">
        <f t="shared" ca="1" si="668"/>
        <v>2189741.4279924994</v>
      </c>
      <c r="AY703" s="2">
        <f t="shared" ca="1" si="669"/>
        <v>2300546.0375226149</v>
      </c>
      <c r="AZ703" s="2">
        <f t="shared" ca="1" si="670"/>
        <v>2414384.8141617011</v>
      </c>
      <c r="BA703" s="2">
        <f t="shared" ca="1" si="671"/>
        <v>54591421.590150364</v>
      </c>
      <c r="BB703" s="2">
        <f t="shared" ca="1" si="672"/>
        <v>1091828.4318030074</v>
      </c>
      <c r="BC703" s="2">
        <f t="shared" ca="1" si="673"/>
        <v>25620808.971702762</v>
      </c>
      <c r="BD703" s="2">
        <f t="shared" ca="1" si="674"/>
        <v>-20247472.132206585</v>
      </c>
      <c r="BE703" s="2">
        <f t="shared" ca="1" si="675"/>
        <v>1918740.04588822</v>
      </c>
      <c r="BF703" s="2">
        <f t="shared" ca="1" si="676"/>
        <v>2081890.1153238304</v>
      </c>
      <c r="BG703" s="2">
        <f t="shared" ca="1" si="677"/>
        <v>2189741.4279924994</v>
      </c>
      <c r="BH703" s="2">
        <f t="shared" ca="1" si="678"/>
        <v>2300546.0375226149</v>
      </c>
      <c r="BI703" s="2">
        <f t="shared" ca="1" si="679"/>
        <v>28035193.785864465</v>
      </c>
      <c r="BJ703" s="2">
        <f t="shared" ca="1" si="680"/>
        <v>0.14578779124942898</v>
      </c>
      <c r="BK703" s="2">
        <f t="shared" ca="1" si="681"/>
        <v>2053933.8294075988</v>
      </c>
    </row>
    <row r="704" spans="1:63" x14ac:dyDescent="0.3">
      <c r="A704" s="2">
        <v>703</v>
      </c>
      <c r="B704" s="2">
        <f t="shared" ca="1" si="620"/>
        <v>0.2271506041856507</v>
      </c>
      <c r="C704" s="2">
        <f t="shared" ca="1" si="621"/>
        <v>6.6740187003127591</v>
      </c>
      <c r="D704" s="2">
        <f t="shared" ca="1" si="622"/>
        <v>0.44304025456827201</v>
      </c>
      <c r="E704" s="2">
        <f t="shared" ca="1" si="623"/>
        <v>7.4413184950570894</v>
      </c>
      <c r="F704" s="2">
        <f t="shared" ca="1" si="624"/>
        <v>0.9233921300316037</v>
      </c>
      <c r="G704" s="2">
        <f t="shared" ca="1" si="625"/>
        <v>8.2847935185766552E-2</v>
      </c>
      <c r="H704" s="2">
        <f t="shared" ca="1" si="626"/>
        <v>8.2847935185766552E-2</v>
      </c>
      <c r="I704" s="2">
        <f t="shared" ca="1" si="627"/>
        <v>0.29688577608058264</v>
      </c>
      <c r="J704" s="2">
        <f t="shared" ca="1" si="628"/>
        <v>7.3331071732989864E-3</v>
      </c>
      <c r="K704" s="2">
        <f t="shared" ca="1" si="629"/>
        <v>7.3331071732989864E-3</v>
      </c>
      <c r="L704" s="2">
        <f t="shared" ca="1" si="630"/>
        <v>0.82579232596407637</v>
      </c>
      <c r="M704" s="2">
        <f t="shared" ca="1" si="631"/>
        <v>1.8753348548519098E-2</v>
      </c>
      <c r="N704" s="2">
        <f t="shared" ca="1" si="632"/>
        <v>1.8753348548519098E-2</v>
      </c>
      <c r="O704" s="2">
        <f t="shared" si="633"/>
        <v>6000000</v>
      </c>
      <c r="P704" s="2">
        <f t="shared" ca="1" si="634"/>
        <v>40044112.201876558</v>
      </c>
      <c r="Q704" s="2">
        <f t="shared" ca="1" si="635"/>
        <v>1001102.805046914</v>
      </c>
      <c r="R704" s="2">
        <f t="shared" ca="1" si="636"/>
        <v>24026467.321125936</v>
      </c>
      <c r="S704" s="2">
        <f t="shared" ca="1" si="637"/>
        <v>16017644.880750624</v>
      </c>
      <c r="T704" s="2">
        <f t="shared" ca="1" si="638"/>
        <v>50937667.427425958</v>
      </c>
      <c r="U704" s="2">
        <f t="shared" ca="1" si="639"/>
        <v>55157747.996967472</v>
      </c>
      <c r="V704" s="2">
        <f t="shared" ca="1" si="640"/>
        <v>59727453.528013073</v>
      </c>
      <c r="W704" s="2">
        <f t="shared" ca="1" si="641"/>
        <v>64675749.726712778</v>
      </c>
      <c r="X704" s="2">
        <f t="shared" ca="1" si="642"/>
        <v>70034002.048162341</v>
      </c>
      <c r="Y704" s="2">
        <f t="shared" ca="1" si="643"/>
        <v>0.12366655358664949</v>
      </c>
      <c r="Z704" s="2">
        <f t="shared" ca="1" si="644"/>
        <v>0.12513317502130927</v>
      </c>
      <c r="AA704" s="2">
        <f t="shared" ca="1" si="645"/>
        <v>6299285.7784927022</v>
      </c>
      <c r="AB704" s="2">
        <f t="shared" ca="1" si="646"/>
        <v>6902064.1338858018</v>
      </c>
      <c r="AC704" s="2">
        <f t="shared" ca="1" si="647"/>
        <v>7473885.8958979761</v>
      </c>
      <c r="AD704" s="2">
        <f t="shared" ca="1" si="648"/>
        <v>8093081.9101871457</v>
      </c>
      <c r="AE704" s="2">
        <f t="shared" ca="1" si="649"/>
        <v>8763577.0357354302</v>
      </c>
      <c r="AF704" s="2">
        <f t="shared" ca="1" si="650"/>
        <v>1018753.3485485192</v>
      </c>
      <c r="AG704" s="2">
        <f t="shared" ca="1" si="651"/>
        <v>1103154.9599393494</v>
      </c>
      <c r="AH704" s="2">
        <f t="shared" ca="1" si="652"/>
        <v>1194549.0705602614</v>
      </c>
      <c r="AI704" s="2">
        <f t="shared" ca="1" si="653"/>
        <v>1293514.9945342557</v>
      </c>
      <c r="AJ704" s="2">
        <f t="shared" ca="1" si="654"/>
        <v>1400680.040963247</v>
      </c>
      <c r="AK704" s="2">
        <f t="shared" ca="1" si="655"/>
        <v>0</v>
      </c>
      <c r="AL704" s="2">
        <f t="shared" ca="1" si="656"/>
        <v>42200.80569541514</v>
      </c>
      <c r="AM704" s="2">
        <f t="shared" ca="1" si="657"/>
        <v>45697.055310456009</v>
      </c>
      <c r="AN704" s="2">
        <f t="shared" ca="1" si="658"/>
        <v>49482.961986997056</v>
      </c>
      <c r="AO704" s="2">
        <f t="shared" ca="1" si="659"/>
        <v>53582.523214495632</v>
      </c>
      <c r="AP704" s="2">
        <f t="shared" ca="1" si="660"/>
        <v>2162382.0589013342</v>
      </c>
      <c r="AQ704" s="2">
        <f t="shared" ca="1" si="661"/>
        <v>810719.09647114063</v>
      </c>
      <c r="AR704" s="2">
        <f t="shared" ca="1" si="662"/>
        <v>945497.04991173081</v>
      </c>
      <c r="AS704" s="2">
        <f t="shared" ca="1" si="663"/>
        <v>1070408.239273459</v>
      </c>
      <c r="AT704" s="2">
        <f t="shared" ca="1" si="664"/>
        <v>1205668.0627554045</v>
      </c>
      <c r="AU704" s="2">
        <f t="shared" ca="1" si="665"/>
        <v>1352133.8833264208</v>
      </c>
      <c r="AV704" s="2">
        <f t="shared" ca="1" si="666"/>
        <v>2307431.2745717075</v>
      </c>
      <c r="AW704" s="2">
        <f t="shared" ca="1" si="667"/>
        <v>2648829.2594379717</v>
      </c>
      <c r="AX704" s="2">
        <f t="shared" ca="1" si="668"/>
        <v>3000849.4718524655</v>
      </c>
      <c r="AY704" s="2">
        <f t="shared" ca="1" si="669"/>
        <v>3382033.8320091534</v>
      </c>
      <c r="AZ704" s="2">
        <f t="shared" ca="1" si="670"/>
        <v>3794798.5293299323</v>
      </c>
      <c r="BA704" s="2">
        <f t="shared" ca="1" si="671"/>
        <v>65212567.878875643</v>
      </c>
      <c r="BB704" s="2">
        <f t="shared" ca="1" si="672"/>
        <v>1304251.357577513</v>
      </c>
      <c r="BC704" s="2">
        <f t="shared" ca="1" si="673"/>
        <v>39881849.200172193</v>
      </c>
      <c r="BD704" s="2">
        <f t="shared" ca="1" si="674"/>
        <v>-17518747.685797539</v>
      </c>
      <c r="BE704" s="2">
        <f t="shared" ca="1" si="675"/>
        <v>2307431.2745717075</v>
      </c>
      <c r="BF704" s="2">
        <f t="shared" ca="1" si="676"/>
        <v>2648829.2594379717</v>
      </c>
      <c r="BG704" s="2">
        <f t="shared" ca="1" si="677"/>
        <v>3000849.4718524655</v>
      </c>
      <c r="BH704" s="2">
        <f t="shared" ca="1" si="678"/>
        <v>3382033.8320091534</v>
      </c>
      <c r="BI704" s="2">
        <f t="shared" ca="1" si="679"/>
        <v>43676647.729502127</v>
      </c>
      <c r="BJ704" s="2">
        <f t="shared" ca="1" si="680"/>
        <v>0.30246707083461932</v>
      </c>
      <c r="BK704" s="2">
        <f t="shared" ca="1" si="681"/>
        <v>15721681.189882487</v>
      </c>
    </row>
    <row r="705" spans="1:63" x14ac:dyDescent="0.3">
      <c r="A705" s="2">
        <v>704</v>
      </c>
      <c r="B705" s="2">
        <f t="shared" ca="1" si="620"/>
        <v>0.57786925353220853</v>
      </c>
      <c r="C705" s="2">
        <f t="shared" ca="1" si="621"/>
        <v>7.0811629671505489</v>
      </c>
      <c r="D705" s="2">
        <f t="shared" ca="1" si="622"/>
        <v>8.2177104242842192E-2</v>
      </c>
      <c r="E705" s="2">
        <f t="shared" ca="1" si="623"/>
        <v>6.9054062265008822</v>
      </c>
      <c r="F705" s="2">
        <f t="shared" ca="1" si="624"/>
        <v>0.53855884632060569</v>
      </c>
      <c r="G705" s="2">
        <f t="shared" ca="1" si="625"/>
        <v>4.2904110176617008E-2</v>
      </c>
      <c r="H705" s="2">
        <f t="shared" ca="1" si="626"/>
        <v>4.2904110176617008E-2</v>
      </c>
      <c r="I705" s="2">
        <f t="shared" ca="1" si="627"/>
        <v>0.78888829494286083</v>
      </c>
      <c r="J705" s="2">
        <f t="shared" ca="1" si="628"/>
        <v>1.4012849167804854E-2</v>
      </c>
      <c r="K705" s="2">
        <f t="shared" ca="1" si="629"/>
        <v>1.4012849167804854E-2</v>
      </c>
      <c r="L705" s="2">
        <f t="shared" ca="1" si="630"/>
        <v>0.25125347521040398</v>
      </c>
      <c r="M705" s="2">
        <f t="shared" ca="1" si="631"/>
        <v>-1.3411009212467436E-2</v>
      </c>
      <c r="N705" s="2">
        <f t="shared" ca="1" si="632"/>
        <v>-1.3411009212467436E-2</v>
      </c>
      <c r="O705" s="2">
        <f t="shared" si="633"/>
        <v>6000000</v>
      </c>
      <c r="P705" s="2">
        <f t="shared" ca="1" si="634"/>
        <v>42486977.802903295</v>
      </c>
      <c r="Q705" s="2">
        <f t="shared" ca="1" si="635"/>
        <v>1062174.4450725825</v>
      </c>
      <c r="R705" s="2">
        <f t="shared" ca="1" si="636"/>
        <v>25492186.681741975</v>
      </c>
      <c r="S705" s="2">
        <f t="shared" ca="1" si="637"/>
        <v>16994791.121161319</v>
      </c>
      <c r="T705" s="2">
        <f t="shared" ca="1" si="638"/>
        <v>49329449.539376631</v>
      </c>
      <c r="U705" s="2">
        <f t="shared" ca="1" si="639"/>
        <v>51445885.677365914</v>
      </c>
      <c r="V705" s="2">
        <f t="shared" ca="1" si="640"/>
        <v>53653125.62460126</v>
      </c>
      <c r="W705" s="2">
        <f t="shared" ca="1" si="641"/>
        <v>55955065.237719022</v>
      </c>
      <c r="X705" s="2">
        <f t="shared" ca="1" si="642"/>
        <v>58355767.521617912</v>
      </c>
      <c r="Y705" s="2">
        <f t="shared" ca="1" si="643"/>
        <v>0.12700642458390243</v>
      </c>
      <c r="Z705" s="2">
        <f t="shared" ca="1" si="644"/>
        <v>0.12980899441746338</v>
      </c>
      <c r="AA705" s="2">
        <f t="shared" ca="1" si="645"/>
        <v>6265157.0126882587</v>
      </c>
      <c r="AB705" s="2">
        <f t="shared" ca="1" si="646"/>
        <v>6678138.6866946509</v>
      </c>
      <c r="AC705" s="2">
        <f t="shared" ca="1" si="647"/>
        <v>6964658.2846833263</v>
      </c>
      <c r="AD705" s="2">
        <f t="shared" ca="1" si="648"/>
        <v>7263470.7510718675</v>
      </c>
      <c r="AE705" s="2">
        <f t="shared" ca="1" si="649"/>
        <v>7575103.5004404904</v>
      </c>
      <c r="AF705" s="2">
        <f t="shared" ca="1" si="650"/>
        <v>986588.99078753265</v>
      </c>
      <c r="AG705" s="2">
        <f t="shared" ca="1" si="651"/>
        <v>1028917.7135473184</v>
      </c>
      <c r="AH705" s="2">
        <f t="shared" ca="1" si="652"/>
        <v>1073062.5124920253</v>
      </c>
      <c r="AI705" s="2">
        <f t="shared" ca="1" si="653"/>
        <v>1119101.3047543804</v>
      </c>
      <c r="AJ705" s="2">
        <f t="shared" ca="1" si="654"/>
        <v>1167115.3504323582</v>
      </c>
      <c r="AK705" s="2">
        <f t="shared" ca="1" si="655"/>
        <v>0</v>
      </c>
      <c r="AL705" s="2">
        <f t="shared" ca="1" si="656"/>
        <v>21164.361379892827</v>
      </c>
      <c r="AM705" s="2">
        <f t="shared" ca="1" si="657"/>
        <v>22072.39947235346</v>
      </c>
      <c r="AN705" s="2">
        <f t="shared" ca="1" si="658"/>
        <v>23019.396131177618</v>
      </c>
      <c r="AO705" s="2">
        <f t="shared" ca="1" si="659"/>
        <v>24007.022838988902</v>
      </c>
      <c r="AP705" s="2">
        <f t="shared" ca="1" si="660"/>
        <v>2294296.8013567775</v>
      </c>
      <c r="AQ705" s="2">
        <f t="shared" ca="1" si="661"/>
        <v>775910.51734142681</v>
      </c>
      <c r="AR705" s="2">
        <f t="shared" ca="1" si="662"/>
        <v>872280.2846655444</v>
      </c>
      <c r="AS705" s="2">
        <f t="shared" ca="1" si="663"/>
        <v>935297.73241697613</v>
      </c>
      <c r="AT705" s="2">
        <f t="shared" ca="1" si="664"/>
        <v>1001018.8876897846</v>
      </c>
      <c r="AU705" s="2">
        <f t="shared" ca="1" si="665"/>
        <v>1069559.7506493523</v>
      </c>
      <c r="AV705" s="2">
        <f t="shared" ca="1" si="666"/>
        <v>2208360.7032025224</v>
      </c>
      <c r="AW705" s="2">
        <f t="shared" ca="1" si="667"/>
        <v>2461479.525745118</v>
      </c>
      <c r="AX705" s="2">
        <f t="shared" ca="1" si="668"/>
        <v>2639928.8389451941</v>
      </c>
      <c r="AY705" s="2">
        <f t="shared" ca="1" si="669"/>
        <v>2826034.3611397482</v>
      </c>
      <c r="AZ705" s="2">
        <f t="shared" ca="1" si="670"/>
        <v>3020124.5751630133</v>
      </c>
      <c r="BA705" s="2">
        <f t="shared" ca="1" si="671"/>
        <v>52309166.878330395</v>
      </c>
      <c r="BB705" s="2">
        <f t="shared" ca="1" si="672"/>
        <v>1046183.3375666079</v>
      </c>
      <c r="BC705" s="2">
        <f t="shared" ca="1" si="673"/>
        <v>25770796.859021813</v>
      </c>
      <c r="BD705" s="2">
        <f t="shared" ca="1" si="674"/>
        <v>-18556965.566233903</v>
      </c>
      <c r="BE705" s="2">
        <f t="shared" ca="1" si="675"/>
        <v>2208360.7032025224</v>
      </c>
      <c r="BF705" s="2">
        <f t="shared" ca="1" si="676"/>
        <v>2461479.525745118</v>
      </c>
      <c r="BG705" s="2">
        <f t="shared" ca="1" si="677"/>
        <v>2639928.8389451941</v>
      </c>
      <c r="BH705" s="2">
        <f t="shared" ca="1" si="678"/>
        <v>2826034.3611397482</v>
      </c>
      <c r="BI705" s="2">
        <f t="shared" ca="1" si="679"/>
        <v>28790921.434184827</v>
      </c>
      <c r="BJ705" s="2">
        <f t="shared" ca="1" si="680"/>
        <v>0.19121954408055397</v>
      </c>
      <c r="BK705" s="2">
        <f t="shared" ca="1" si="681"/>
        <v>5388848.6217991449</v>
      </c>
    </row>
    <row r="706" spans="1:63" x14ac:dyDescent="0.3">
      <c r="A706" s="2">
        <v>705</v>
      </c>
      <c r="B706" s="2">
        <f t="shared" ref="B706:B769" ca="1" si="682">RAND()</f>
        <v>0.28798129614646839</v>
      </c>
      <c r="C706" s="2">
        <f t="shared" ref="C706:C769" ca="1" si="683">IF(B706&lt;((P_Mode)-(P_Low))/((P_High)-(P_Low)), (P_Low)+SQRT(B706*((P_High)-(P_Low))*((P_Mode)-(P_Low))), (P_High)-SQRT((1-B706)*((P_High)-(P_Low))*((P_High)-(P_Mode))))</f>
        <v>6.758921993549361</v>
      </c>
      <c r="D706" s="2">
        <f t="shared" ref="D706:D769" ca="1" si="684">RAND()</f>
        <v>0.94410167741567785</v>
      </c>
      <c r="E706" s="2">
        <f t="shared" ref="E706:E769" ca="1" si="685">IF(D706&lt;((X_Mode)-(X_Low))/((X_High)-(X_Low)), (X_Low)+SQRT(D706*((X_High)-(X_Low))*((X_Mode)-(X_Low))), (X_High)-SQRT((1-D706)*((X_High)-(X_Low))*((X_High)-(X_Mode))))</f>
        <v>8.1656399468108596</v>
      </c>
      <c r="F706" s="2">
        <f t="shared" ref="F706:F769" ca="1" si="686">RAND()</f>
        <v>0.97447153460301039</v>
      </c>
      <c r="G706" s="2">
        <f t="shared" ref="G706:G769" ca="1" si="687">NORMINV(F706, g_Mean, g_SD)</f>
        <v>9.8530028999838815E-2</v>
      </c>
      <c r="H706" s="2">
        <f t="shared" ref="H706:H769" ca="1" si="688">MIN(MAX(G706, g_Min), g_Max)</f>
        <v>9.8530028999838815E-2</v>
      </c>
      <c r="I706" s="2">
        <f t="shared" ref="I706:I769" ca="1" si="689">RAND()</f>
        <v>0.46277367011310999</v>
      </c>
      <c r="J706" s="2">
        <f t="shared" ref="J706:J769" ca="1" si="690">NORMINV(I706, syn_Mean, syn_SD)</f>
        <v>9.532757994702136E-3</v>
      </c>
      <c r="K706" s="2">
        <f t="shared" ref="K706:K769" ca="1" si="691">MIN(MAX(J706, syn_Min), syn_Max)</f>
        <v>9.532757994702136E-3</v>
      </c>
      <c r="L706" s="2">
        <f t="shared" ref="L706:L769" ca="1" si="692">RAND()</f>
        <v>2.4315310406081148E-2</v>
      </c>
      <c r="M706" s="2">
        <f t="shared" ref="M706:M769" ca="1" si="693">NORMINV(L706, shk_Mean, shk_SD)</f>
        <v>-3.9436319010028358E-2</v>
      </c>
      <c r="N706" s="2">
        <f t="shared" ref="N706:N769" ca="1" si="694">MIN(MAX(M706, shk_Min), shk_Max)</f>
        <v>-3.9436319010028358E-2</v>
      </c>
      <c r="O706" s="2">
        <f t="shared" ref="O706:O769" si="695">BaseRev*BaseMargin</f>
        <v>6000000</v>
      </c>
      <c r="P706" s="2">
        <f t="shared" ref="P706:P769" ca="1" si="696">O706*C706</f>
        <v>40553531.961296163</v>
      </c>
      <c r="Q706" s="2">
        <f t="shared" ref="Q706:Q769" ca="1" si="697">P706*TxnCostPct</f>
        <v>1013838.2990324041</v>
      </c>
      <c r="R706" s="2">
        <f t="shared" ref="R706:R769" ca="1" si="698">P706*DebtPct</f>
        <v>24332119.176777698</v>
      </c>
      <c r="S706" s="2">
        <f t="shared" ref="S706:S769" ca="1" si="699">P706*EqPct</f>
        <v>16221412.784518465</v>
      </c>
      <c r="T706" s="2">
        <f t="shared" ref="T706:T769" ca="1" si="700">BaseRev*(1+N706)</f>
        <v>48028184.049498588</v>
      </c>
      <c r="U706" s="2">
        <f t="shared" ref="U706:U769" ca="1" si="701">T706*(1+H706)</f>
        <v>52760402.416705281</v>
      </c>
      <c r="V706" s="2">
        <f t="shared" ref="V706:V769" ca="1" si="702">U706*(1+H706)</f>
        <v>57958886.396866418</v>
      </c>
      <c r="W706" s="2">
        <f t="shared" ref="W706:W769" ca="1" si="703">V706*(1+H706)</f>
        <v>63669577.154348023</v>
      </c>
      <c r="X706" s="2">
        <f t="shared" ref="X706:X769" ca="1" si="704">W706*(1+H706)</f>
        <v>69942942.437773407</v>
      </c>
      <c r="Y706" s="2">
        <f t="shared" ref="Y706:Y769" ca="1" si="705">BaseMargin + SynReal_Y1*K706</f>
        <v>0.12476637899735106</v>
      </c>
      <c r="Z706" s="2">
        <f t="shared" ref="Z706:Z769" ca="1" si="706">BaseMargin + SynReal_Y2toY5*K706</f>
        <v>0.12667293059629148</v>
      </c>
      <c r="AA706" s="2">
        <f t="shared" ref="AA706:AA769" ca="1" si="707">T706*Y706</f>
        <v>5992302.6136742719</v>
      </c>
      <c r="AB706" s="2">
        <f t="shared" ref="AB706:AB769" ca="1" si="708">U706*Z706</f>
        <v>6683314.793563717</v>
      </c>
      <c r="AC706" s="2">
        <f t="shared" ref="AC706:AC769" ca="1" si="709">V706*Z706</f>
        <v>7341821.9939886024</v>
      </c>
      <c r="AD706" s="2">
        <f t="shared" ref="AD706:AD769" ca="1" si="710">W706*Z706</f>
        <v>8065211.9279679526</v>
      </c>
      <c r="AE706" s="2">
        <f t="shared" ref="AE706:AE769" ca="1" si="711">X706*Z706</f>
        <v>8859877.4931204803</v>
      </c>
      <c r="AF706" s="2">
        <f t="shared" ref="AF706:AF769" ca="1" si="712">T706*CapexPct</f>
        <v>960563.68098997173</v>
      </c>
      <c r="AG706" s="2">
        <f t="shared" ref="AG706:AG769" ca="1" si="713">U706*CapexPct</f>
        <v>1055208.0483341056</v>
      </c>
      <c r="AH706" s="2">
        <f t="shared" ref="AH706:AH769" ca="1" si="714">V706*CapexPct</f>
        <v>1159177.7279373284</v>
      </c>
      <c r="AI706" s="2">
        <f t="shared" ref="AI706:AI769" ca="1" si="715">W706*CapexPct</f>
        <v>1273391.5430869604</v>
      </c>
      <c r="AJ706" s="2">
        <f t="shared" ref="AJ706:AJ769" ca="1" si="716">X706*CapexPct</f>
        <v>1398858.8487554681</v>
      </c>
      <c r="AK706" s="2">
        <f t="shared" ref="AK706:AK769" ca="1" si="717">MAX(T706-BaseRev*(1+N706),0)*WCPct</f>
        <v>0</v>
      </c>
      <c r="AL706" s="2">
        <f t="shared" ref="AL706:AL769" ca="1" si="718">MAX(U706-T706,0)*WCPct</f>
        <v>47322.183672066931</v>
      </c>
      <c r="AM706" s="2">
        <f t="shared" ref="AM706:AM769" ca="1" si="719">MAX(V706-U706,0)*WCPct</f>
        <v>51984.839801611379</v>
      </c>
      <c r="AN706" s="2">
        <f t="shared" ref="AN706:AN769" ca="1" si="720">MAX(W706-V706,0)*WCPct</f>
        <v>57106.907574816047</v>
      </c>
      <c r="AO706" s="2">
        <f t="shared" ref="AO706:AO769" ca="1" si="721">MAX(X706-W706,0)*WCPct</f>
        <v>62733.652834253837</v>
      </c>
      <c r="AP706" s="2">
        <f t="shared" ref="AP706:AP769" ca="1" si="722">R706*DebtRate</f>
        <v>2189890.7259099926</v>
      </c>
      <c r="AQ706" s="2">
        <f t="shared" ref="AQ706:AQ769" ca="1" si="723">MAX(AA706-AF706-AP706,0)*Tax</f>
        <v>738880.53376132005</v>
      </c>
      <c r="AR706" s="2">
        <f t="shared" ref="AR706:AR769" ca="1" si="724">MAX(AB706-AG706-AP706,0)*Tax</f>
        <v>893936.16502310091</v>
      </c>
      <c r="AS706" s="2">
        <f t="shared" ref="AS706:AS769" ca="1" si="725">MAX(AC706-AH706-AP706,0)*Tax</f>
        <v>1038115.9204367332</v>
      </c>
      <c r="AT706" s="2">
        <f t="shared" ref="AT706:AT769" ca="1" si="726">MAX(AD706-AI706-AP706,0)*Tax</f>
        <v>1196501.7113324597</v>
      </c>
      <c r="AU706" s="2">
        <f t="shared" ref="AU706:AU769" ca="1" si="727">MAX(AE706-AJ706-AP706,0)*Tax</f>
        <v>1370493.2587983052</v>
      </c>
      <c r="AV706" s="2">
        <f t="shared" ref="AV706:AV769" ca="1" si="728">AA706-AF706-AK706-AQ706-AP706</f>
        <v>2102967.6730129882</v>
      </c>
      <c r="AW706" s="2">
        <f t="shared" ref="AW706:AW769" ca="1" si="729">AB706-AG706-AL706-AR706-AP706</f>
        <v>2496957.6706244512</v>
      </c>
      <c r="AX706" s="2">
        <f t="shared" ref="AX706:AX769" ca="1" si="730">AC706-AH706-AM706-AS706-AP706</f>
        <v>2902652.7799029364</v>
      </c>
      <c r="AY706" s="2">
        <f t="shared" ref="AY706:AY769" ca="1" si="731">AD706-AI706-AN706-AT706-AP706</f>
        <v>3348321.0400637235</v>
      </c>
      <c r="AZ706" s="2">
        <f t="shared" ref="AZ706:AZ769" ca="1" si="732">AE706-AJ706-AO706-AU706-AP706</f>
        <v>3837901.0068224617</v>
      </c>
      <c r="BA706" s="2">
        <f t="shared" ref="BA706:BA769" ca="1" si="733">AE706*E706</f>
        <v>72346569.581675053</v>
      </c>
      <c r="BB706" s="2">
        <f t="shared" ref="BB706:BB769" ca="1" si="734">BA706*SellCostPct</f>
        <v>1446931.391633501</v>
      </c>
      <c r="BC706" s="2">
        <f t="shared" ref="BC706:BC769" ca="1" si="735">BA706-R706-BB706</f>
        <v>46567519.013263851</v>
      </c>
      <c r="BD706" s="2">
        <f t="shared" ref="BD706:BD769" ca="1" si="736">-S706-Q706-IntegrationPct*BaseRev</f>
        <v>-17735251.08355087</v>
      </c>
      <c r="BE706" s="2">
        <f t="shared" ref="BE706:BE769" ca="1" si="737">AV706</f>
        <v>2102967.6730129882</v>
      </c>
      <c r="BF706" s="2">
        <f t="shared" ref="BF706:BF769" ca="1" si="738">AW706</f>
        <v>2496957.6706244512</v>
      </c>
      <c r="BG706" s="2">
        <f t="shared" ref="BG706:BG769" ca="1" si="739">AX706</f>
        <v>2902652.7799029364</v>
      </c>
      <c r="BH706" s="2">
        <f t="shared" ref="BH706:BH769" ca="1" si="740">AY706</f>
        <v>3348321.0400637235</v>
      </c>
      <c r="BI706" s="2">
        <f t="shared" ref="BI706:BI769" ca="1" si="741">AZ706+BC706</f>
        <v>50405420.020086311</v>
      </c>
      <c r="BJ706" s="2">
        <f t="shared" ref="BJ706:BJ769" ca="1" si="742">IF(MIN(BD706:BI706)*MAX(BD706:BI706)&gt;=0, "", IFERROR(IRR(BD706:BI706,0.12), IFERROR(IRR(BD706:BI706,0.5), IFERROR(IRR(BD706:BI706,-0.5),""))))</f>
        <v>0.32412072692286387</v>
      </c>
      <c r="BK706" s="2">
        <f t="shared" ref="BK706:BK769" ca="1" si="743">NPV(12%,BE706:BI706)+BD706</f>
        <v>18928316.453454569</v>
      </c>
    </row>
    <row r="707" spans="1:63" x14ac:dyDescent="0.3">
      <c r="A707" s="2">
        <v>706</v>
      </c>
      <c r="B707" s="2">
        <f t="shared" ca="1" si="682"/>
        <v>0.97727278122734851</v>
      </c>
      <c r="C707" s="2">
        <f t="shared" ca="1" si="683"/>
        <v>7.7867995367141454</v>
      </c>
      <c r="D707" s="2">
        <f t="shared" ca="1" si="684"/>
        <v>4.5632703468710956E-2</v>
      </c>
      <c r="E707" s="2">
        <f t="shared" ca="1" si="685"/>
        <v>6.8021016500077778</v>
      </c>
      <c r="F707" s="2">
        <f t="shared" ca="1" si="686"/>
        <v>0.49328898597916537</v>
      </c>
      <c r="G707" s="2">
        <f t="shared" ca="1" si="687"/>
        <v>3.9495315671264776E-2</v>
      </c>
      <c r="H707" s="2">
        <f t="shared" ca="1" si="688"/>
        <v>3.9495315671264776E-2</v>
      </c>
      <c r="I707" s="2">
        <f t="shared" ca="1" si="689"/>
        <v>0.7999783944654294</v>
      </c>
      <c r="J707" s="2">
        <f t="shared" ca="1" si="690"/>
        <v>1.4207720314800247E-2</v>
      </c>
      <c r="K707" s="2">
        <f t="shared" ca="1" si="691"/>
        <v>1.4207720314800247E-2</v>
      </c>
      <c r="L707" s="2">
        <f t="shared" ca="1" si="692"/>
        <v>0.11505238582121546</v>
      </c>
      <c r="M707" s="2">
        <f t="shared" ca="1" si="693"/>
        <v>-2.4001780284755091E-2</v>
      </c>
      <c r="N707" s="2">
        <f t="shared" ca="1" si="694"/>
        <v>-2.4001780284755091E-2</v>
      </c>
      <c r="O707" s="2">
        <f t="shared" si="695"/>
        <v>6000000</v>
      </c>
      <c r="P707" s="2">
        <f t="shared" ca="1" si="696"/>
        <v>46720797.220284872</v>
      </c>
      <c r="Q707" s="2">
        <f t="shared" ca="1" si="697"/>
        <v>1168019.9305071218</v>
      </c>
      <c r="R707" s="2">
        <f t="shared" ca="1" si="698"/>
        <v>28032478.332170922</v>
      </c>
      <c r="S707" s="2">
        <f t="shared" ca="1" si="699"/>
        <v>18688318.888113949</v>
      </c>
      <c r="T707" s="2">
        <f t="shared" ca="1" si="700"/>
        <v>48799910.985762246</v>
      </c>
      <c r="U707" s="2">
        <f t="shared" ca="1" si="701"/>
        <v>50727278.874874547</v>
      </c>
      <c r="V707" s="2">
        <f t="shared" ca="1" si="702"/>
        <v>52730768.767182</v>
      </c>
      <c r="W707" s="2">
        <f t="shared" ca="1" si="703"/>
        <v>54813387.12523032</v>
      </c>
      <c r="X707" s="2">
        <f t="shared" ca="1" si="704"/>
        <v>56978259.152752534</v>
      </c>
      <c r="Y707" s="2">
        <f t="shared" ca="1" si="705"/>
        <v>0.12710386015740011</v>
      </c>
      <c r="Z707" s="2">
        <f t="shared" ca="1" si="706"/>
        <v>0.12994540422036016</v>
      </c>
      <c r="AA707" s="2">
        <f t="shared" ca="1" si="707"/>
        <v>6202657.0616278974</v>
      </c>
      <c r="AB707" s="2">
        <f t="shared" ca="1" si="708"/>
        <v>6591776.7583945096</v>
      </c>
      <c r="AC707" s="2">
        <f t="shared" ca="1" si="709"/>
        <v>6852121.062301808</v>
      </c>
      <c r="AD707" s="2">
        <f t="shared" ca="1" si="710"/>
        <v>7122747.7466751393</v>
      </c>
      <c r="AE707" s="2">
        <f t="shared" ca="1" si="711"/>
        <v>7404062.9173768638</v>
      </c>
      <c r="AF707" s="2">
        <f t="shared" ca="1" si="712"/>
        <v>975998.21971524495</v>
      </c>
      <c r="AG707" s="2">
        <f t="shared" ca="1" si="713"/>
        <v>1014545.5774974909</v>
      </c>
      <c r="AH707" s="2">
        <f t="shared" ca="1" si="714"/>
        <v>1054615.3753436401</v>
      </c>
      <c r="AI707" s="2">
        <f t="shared" ca="1" si="715"/>
        <v>1096267.7425046065</v>
      </c>
      <c r="AJ707" s="2">
        <f t="shared" ca="1" si="716"/>
        <v>1139565.1830550507</v>
      </c>
      <c r="AK707" s="2">
        <f t="shared" ca="1" si="717"/>
        <v>0</v>
      </c>
      <c r="AL707" s="2">
        <f t="shared" ca="1" si="718"/>
        <v>19273.678891123011</v>
      </c>
      <c r="AM707" s="2">
        <f t="shared" ca="1" si="719"/>
        <v>20034.898923074528</v>
      </c>
      <c r="AN707" s="2">
        <f t="shared" ca="1" si="720"/>
        <v>20826.183580483197</v>
      </c>
      <c r="AO707" s="2">
        <f t="shared" ca="1" si="721"/>
        <v>21648.720275222138</v>
      </c>
      <c r="AP707" s="2">
        <f t="shared" ca="1" si="722"/>
        <v>2522923.049895383</v>
      </c>
      <c r="AQ707" s="2">
        <f t="shared" ca="1" si="723"/>
        <v>702971.30592449009</v>
      </c>
      <c r="AR707" s="2">
        <f t="shared" ca="1" si="724"/>
        <v>794120.11406042532</v>
      </c>
      <c r="AS707" s="2">
        <f t="shared" ca="1" si="725"/>
        <v>851391.48563632404</v>
      </c>
      <c r="AT707" s="2">
        <f t="shared" ca="1" si="726"/>
        <v>910924.80811153911</v>
      </c>
      <c r="AU707" s="2">
        <f t="shared" ca="1" si="727"/>
        <v>972809.41795087187</v>
      </c>
      <c r="AV707" s="2">
        <f t="shared" ca="1" si="728"/>
        <v>2000764.4860927793</v>
      </c>
      <c r="AW707" s="2">
        <f t="shared" ca="1" si="729"/>
        <v>2240914.3380500874</v>
      </c>
      <c r="AX707" s="2">
        <f t="shared" ca="1" si="730"/>
        <v>2403156.2525033862</v>
      </c>
      <c r="AY707" s="2">
        <f t="shared" ca="1" si="731"/>
        <v>2571805.9625831279</v>
      </c>
      <c r="AZ707" s="2">
        <f t="shared" ca="1" si="732"/>
        <v>2747116.5462003355</v>
      </c>
      <c r="BA707" s="2">
        <f t="shared" ca="1" si="733"/>
        <v>50363188.587050565</v>
      </c>
      <c r="BB707" s="2">
        <f t="shared" ca="1" si="734"/>
        <v>1007263.7717410113</v>
      </c>
      <c r="BC707" s="2">
        <f t="shared" ca="1" si="735"/>
        <v>21323446.483138632</v>
      </c>
      <c r="BD707" s="2">
        <f t="shared" ca="1" si="736"/>
        <v>-20356338.818621073</v>
      </c>
      <c r="BE707" s="2">
        <f t="shared" ca="1" si="737"/>
        <v>2000764.4860927793</v>
      </c>
      <c r="BF707" s="2">
        <f t="shared" ca="1" si="738"/>
        <v>2240914.3380500874</v>
      </c>
      <c r="BG707" s="2">
        <f t="shared" ca="1" si="739"/>
        <v>2403156.2525033862</v>
      </c>
      <c r="BH707" s="2">
        <f t="shared" ca="1" si="740"/>
        <v>2571805.9625831279</v>
      </c>
      <c r="BI707" s="2">
        <f t="shared" ca="1" si="741"/>
        <v>24070563.029338967</v>
      </c>
      <c r="BJ707" s="2">
        <f t="shared" ca="1" si="742"/>
        <v>0.12290541063644422</v>
      </c>
      <c r="BK707" s="2">
        <f t="shared" ca="1" si="743"/>
        <v>219733.46579788625</v>
      </c>
    </row>
    <row r="708" spans="1:63" x14ac:dyDescent="0.3">
      <c r="A708" s="2">
        <v>707</v>
      </c>
      <c r="B708" s="2">
        <f t="shared" ca="1" si="682"/>
        <v>0.13604250234966375</v>
      </c>
      <c r="C708" s="2">
        <f t="shared" ca="1" si="683"/>
        <v>6.5216176805854333</v>
      </c>
      <c r="D708" s="2">
        <f t="shared" ca="1" si="684"/>
        <v>0.97859986407023902</v>
      </c>
      <c r="E708" s="2">
        <f t="shared" ca="1" si="685"/>
        <v>8.2931177343039728</v>
      </c>
      <c r="F708" s="2">
        <f t="shared" ca="1" si="686"/>
        <v>6.0113823981586822E-3</v>
      </c>
      <c r="G708" s="2">
        <f t="shared" ca="1" si="687"/>
        <v>-3.5344263510895167E-2</v>
      </c>
      <c r="H708" s="2">
        <f t="shared" ca="1" si="688"/>
        <v>-0.02</v>
      </c>
      <c r="I708" s="2">
        <f t="shared" ca="1" si="689"/>
        <v>0.93968348910693655</v>
      </c>
      <c r="J708" s="2">
        <f t="shared" ca="1" si="690"/>
        <v>1.7760610273419835E-2</v>
      </c>
      <c r="K708" s="2">
        <f t="shared" ca="1" si="691"/>
        <v>1.7760610273419835E-2</v>
      </c>
      <c r="L708" s="2">
        <f t="shared" ca="1" si="692"/>
        <v>0.7428417981886104</v>
      </c>
      <c r="M708" s="2">
        <f t="shared" ca="1" si="693"/>
        <v>1.3042628176988414E-2</v>
      </c>
      <c r="N708" s="2">
        <f t="shared" ca="1" si="694"/>
        <v>1.3042628176988414E-2</v>
      </c>
      <c r="O708" s="2">
        <f t="shared" si="695"/>
        <v>6000000</v>
      </c>
      <c r="P708" s="2">
        <f t="shared" ca="1" si="696"/>
        <v>39129706.083512597</v>
      </c>
      <c r="Q708" s="2">
        <f t="shared" ca="1" si="697"/>
        <v>978242.65208781499</v>
      </c>
      <c r="R708" s="2">
        <f t="shared" ca="1" si="698"/>
        <v>23477823.650107559</v>
      </c>
      <c r="S708" s="2">
        <f t="shared" ca="1" si="699"/>
        <v>15651882.43340504</v>
      </c>
      <c r="T708" s="2">
        <f t="shared" ca="1" si="700"/>
        <v>50652131.408849418</v>
      </c>
      <c r="U708" s="2">
        <f t="shared" ca="1" si="701"/>
        <v>49639088.780672431</v>
      </c>
      <c r="V708" s="2">
        <f t="shared" ca="1" si="702"/>
        <v>48646307.005058981</v>
      </c>
      <c r="W708" s="2">
        <f t="shared" ca="1" si="703"/>
        <v>47673380.864957802</v>
      </c>
      <c r="X708" s="2">
        <f t="shared" ca="1" si="704"/>
        <v>46719913.247658648</v>
      </c>
      <c r="Y708" s="2">
        <f t="shared" ca="1" si="705"/>
        <v>0.12888030513670992</v>
      </c>
      <c r="Z708" s="2">
        <f t="shared" ca="1" si="706"/>
        <v>0.13243242719139389</v>
      </c>
      <c r="AA708" s="2">
        <f t="shared" ca="1" si="707"/>
        <v>6528062.1517972415</v>
      </c>
      <c r="AB708" s="2">
        <f t="shared" ca="1" si="708"/>
        <v>6573825.0107935388</v>
      </c>
      <c r="AC708" s="2">
        <f t="shared" ca="1" si="709"/>
        <v>6442348.5105776684</v>
      </c>
      <c r="AD708" s="2">
        <f t="shared" ca="1" si="710"/>
        <v>6313501.540366115</v>
      </c>
      <c r="AE708" s="2">
        <f t="shared" ca="1" si="711"/>
        <v>6187231.5095587932</v>
      </c>
      <c r="AF708" s="2">
        <f t="shared" ca="1" si="712"/>
        <v>1013042.6281769883</v>
      </c>
      <c r="AG708" s="2">
        <f t="shared" ca="1" si="713"/>
        <v>992781.77561344858</v>
      </c>
      <c r="AH708" s="2">
        <f t="shared" ca="1" si="714"/>
        <v>972926.1401011796</v>
      </c>
      <c r="AI708" s="2">
        <f t="shared" ca="1" si="715"/>
        <v>953467.61729915603</v>
      </c>
      <c r="AJ708" s="2">
        <f t="shared" ca="1" si="716"/>
        <v>934398.264953173</v>
      </c>
      <c r="AK708" s="2">
        <f t="shared" ca="1" si="717"/>
        <v>0</v>
      </c>
      <c r="AL708" s="2">
        <f t="shared" ca="1" si="718"/>
        <v>0</v>
      </c>
      <c r="AM708" s="2">
        <f t="shared" ca="1" si="719"/>
        <v>0</v>
      </c>
      <c r="AN708" s="2">
        <f t="shared" ca="1" si="720"/>
        <v>0</v>
      </c>
      <c r="AO708" s="2">
        <f t="shared" ca="1" si="721"/>
        <v>0</v>
      </c>
      <c r="AP708" s="2">
        <f t="shared" ca="1" si="722"/>
        <v>2113004.1285096803</v>
      </c>
      <c r="AQ708" s="2">
        <f t="shared" ca="1" si="723"/>
        <v>884524.00272874907</v>
      </c>
      <c r="AR708" s="2">
        <f t="shared" ca="1" si="724"/>
        <v>901690.16773430665</v>
      </c>
      <c r="AS708" s="2">
        <f t="shared" ca="1" si="725"/>
        <v>872668.74291137024</v>
      </c>
      <c r="AT708" s="2">
        <f t="shared" ca="1" si="726"/>
        <v>844227.74658489239</v>
      </c>
      <c r="AU708" s="2">
        <f t="shared" ca="1" si="727"/>
        <v>816355.57018494443</v>
      </c>
      <c r="AV708" s="2">
        <f t="shared" ca="1" si="728"/>
        <v>2517491.3923818241</v>
      </c>
      <c r="AW708" s="2">
        <f t="shared" ca="1" si="729"/>
        <v>2566348.9389361036</v>
      </c>
      <c r="AX708" s="2">
        <f t="shared" ca="1" si="730"/>
        <v>2483749.4990554382</v>
      </c>
      <c r="AY708" s="2">
        <f t="shared" ca="1" si="731"/>
        <v>2402802.0479723862</v>
      </c>
      <c r="AZ708" s="2">
        <f t="shared" ca="1" si="732"/>
        <v>2323473.5459109959</v>
      </c>
      <c r="BA708" s="2">
        <f t="shared" ca="1" si="733"/>
        <v>51311439.358166367</v>
      </c>
      <c r="BB708" s="2">
        <f t="shared" ca="1" si="734"/>
        <v>1026228.7871633273</v>
      </c>
      <c r="BC708" s="2">
        <f t="shared" ca="1" si="735"/>
        <v>26807386.92089548</v>
      </c>
      <c r="BD708" s="2">
        <f t="shared" ca="1" si="736"/>
        <v>-17130125.085492857</v>
      </c>
      <c r="BE708" s="2">
        <f t="shared" ca="1" si="737"/>
        <v>2517491.3923818241</v>
      </c>
      <c r="BF708" s="2">
        <f t="shared" ca="1" si="738"/>
        <v>2566348.9389361036</v>
      </c>
      <c r="BG708" s="2">
        <f t="shared" ca="1" si="739"/>
        <v>2483749.4990554382</v>
      </c>
      <c r="BH708" s="2">
        <f t="shared" ca="1" si="740"/>
        <v>2402802.0479723862</v>
      </c>
      <c r="BI708" s="2">
        <f t="shared" ca="1" si="741"/>
        <v>29130860.466806475</v>
      </c>
      <c r="BJ708" s="2">
        <f t="shared" ca="1" si="742"/>
        <v>0.218003436182298</v>
      </c>
      <c r="BK708" s="2">
        <f t="shared" ca="1" si="743"/>
        <v>6988053.281372007</v>
      </c>
    </row>
    <row r="709" spans="1:63" x14ac:dyDescent="0.3">
      <c r="A709" s="2">
        <v>708</v>
      </c>
      <c r="B709" s="2">
        <f t="shared" ca="1" si="682"/>
        <v>5.096385307959117E-2</v>
      </c>
      <c r="C709" s="2">
        <f t="shared" ca="1" si="683"/>
        <v>6.319261187993753</v>
      </c>
      <c r="D709" s="2">
        <f t="shared" ca="1" si="684"/>
        <v>0.24527778213699614</v>
      </c>
      <c r="E709" s="2">
        <f t="shared" ca="1" si="685"/>
        <v>7.2003967192056173</v>
      </c>
      <c r="F709" s="2">
        <f t="shared" ca="1" si="686"/>
        <v>0.85547313606689612</v>
      </c>
      <c r="G709" s="2">
        <f t="shared" ca="1" si="687"/>
        <v>7.1805992959322454E-2</v>
      </c>
      <c r="H709" s="2">
        <f t="shared" ca="1" si="688"/>
        <v>7.1805992959322454E-2</v>
      </c>
      <c r="I709" s="2">
        <f t="shared" ca="1" si="689"/>
        <v>0.41374553397616731</v>
      </c>
      <c r="J709" s="2">
        <f t="shared" ca="1" si="690"/>
        <v>8.9103975877061169E-3</v>
      </c>
      <c r="K709" s="2">
        <f t="shared" ca="1" si="691"/>
        <v>8.9103975877061169E-3</v>
      </c>
      <c r="L709" s="2">
        <f t="shared" ca="1" si="692"/>
        <v>0.67723422580726023</v>
      </c>
      <c r="M709" s="2">
        <f t="shared" ca="1" si="693"/>
        <v>9.1995729110013538E-3</v>
      </c>
      <c r="N709" s="2">
        <f t="shared" ca="1" si="694"/>
        <v>9.1995729110013538E-3</v>
      </c>
      <c r="O709" s="2">
        <f t="shared" si="695"/>
        <v>6000000</v>
      </c>
      <c r="P709" s="2">
        <f t="shared" ca="1" si="696"/>
        <v>37915567.127962515</v>
      </c>
      <c r="Q709" s="2">
        <f t="shared" ca="1" si="697"/>
        <v>947889.17819906294</v>
      </c>
      <c r="R709" s="2">
        <f t="shared" ca="1" si="698"/>
        <v>22749340.27677751</v>
      </c>
      <c r="S709" s="2">
        <f t="shared" ca="1" si="699"/>
        <v>15166226.851185007</v>
      </c>
      <c r="T709" s="2">
        <f t="shared" ca="1" si="700"/>
        <v>50459978.645550065</v>
      </c>
      <c r="U709" s="2">
        <f t="shared" ca="1" si="701"/>
        <v>54083307.516899996</v>
      </c>
      <c r="V709" s="2">
        <f t="shared" ca="1" si="702"/>
        <v>57966813.11567539</v>
      </c>
      <c r="W709" s="2">
        <f t="shared" ca="1" si="703"/>
        <v>62129177.690133937</v>
      </c>
      <c r="X709" s="2">
        <f t="shared" ca="1" si="704"/>
        <v>66590424.985920183</v>
      </c>
      <c r="Y709" s="2">
        <f t="shared" ca="1" si="705"/>
        <v>0.12445519879385306</v>
      </c>
      <c r="Z709" s="2">
        <f t="shared" ca="1" si="706"/>
        <v>0.12623727831139428</v>
      </c>
      <c r="AA709" s="2">
        <f t="shared" ca="1" si="707"/>
        <v>6280006.6734655136</v>
      </c>
      <c r="AB709" s="2">
        <f t="shared" ca="1" si="708"/>
        <v>6827329.5430116272</v>
      </c>
      <c r="AC709" s="2">
        <f t="shared" ca="1" si="709"/>
        <v>7317572.7201080946</v>
      </c>
      <c r="AD709" s="2">
        <f t="shared" ca="1" si="710"/>
        <v>7843018.295327506</v>
      </c>
      <c r="AE709" s="2">
        <f t="shared" ca="1" si="711"/>
        <v>8406194.0118216295</v>
      </c>
      <c r="AF709" s="2">
        <f t="shared" ca="1" si="712"/>
        <v>1009199.5729110013</v>
      </c>
      <c r="AG709" s="2">
        <f t="shared" ca="1" si="713"/>
        <v>1081666.1503379999</v>
      </c>
      <c r="AH709" s="2">
        <f t="shared" ca="1" si="714"/>
        <v>1159336.2623135077</v>
      </c>
      <c r="AI709" s="2">
        <f t="shared" ca="1" si="715"/>
        <v>1242583.5538026788</v>
      </c>
      <c r="AJ709" s="2">
        <f t="shared" ca="1" si="716"/>
        <v>1331808.4997184037</v>
      </c>
      <c r="AK709" s="2">
        <f t="shared" ca="1" si="717"/>
        <v>0</v>
      </c>
      <c r="AL709" s="2">
        <f t="shared" ca="1" si="718"/>
        <v>36233.288713499307</v>
      </c>
      <c r="AM709" s="2">
        <f t="shared" ca="1" si="719"/>
        <v>38835.055987753942</v>
      </c>
      <c r="AN709" s="2">
        <f t="shared" ca="1" si="720"/>
        <v>41623.645744585468</v>
      </c>
      <c r="AO709" s="2">
        <f t="shared" ca="1" si="721"/>
        <v>44612.472957862468</v>
      </c>
      <c r="AP709" s="2">
        <f t="shared" ca="1" si="722"/>
        <v>2047440.6249099758</v>
      </c>
      <c r="AQ709" s="2">
        <f t="shared" ca="1" si="723"/>
        <v>838075.28366757976</v>
      </c>
      <c r="AR709" s="2">
        <f t="shared" ca="1" si="724"/>
        <v>961537.91961854952</v>
      </c>
      <c r="AS709" s="2">
        <f t="shared" ca="1" si="725"/>
        <v>1068806.916549999</v>
      </c>
      <c r="AT709" s="2">
        <f t="shared" ca="1" si="726"/>
        <v>1183778.4703198613</v>
      </c>
      <c r="AU709" s="2">
        <f t="shared" ca="1" si="727"/>
        <v>1307005.6706702451</v>
      </c>
      <c r="AV709" s="2">
        <f t="shared" ca="1" si="728"/>
        <v>2385291.191976958</v>
      </c>
      <c r="AW709" s="2">
        <f t="shared" ca="1" si="729"/>
        <v>2700451.5594316032</v>
      </c>
      <c r="AX709" s="2">
        <f t="shared" ca="1" si="730"/>
        <v>3003153.8603468584</v>
      </c>
      <c r="AY709" s="2">
        <f t="shared" ca="1" si="731"/>
        <v>3327592.0005504042</v>
      </c>
      <c r="AZ709" s="2">
        <f t="shared" ca="1" si="732"/>
        <v>3675326.7435651431</v>
      </c>
      <c r="BA709" s="2">
        <f t="shared" ca="1" si="733"/>
        <v>60527931.783726364</v>
      </c>
      <c r="BB709" s="2">
        <f t="shared" ca="1" si="734"/>
        <v>1210558.6356745274</v>
      </c>
      <c r="BC709" s="2">
        <f t="shared" ca="1" si="735"/>
        <v>36568032.87127433</v>
      </c>
      <c r="BD709" s="2">
        <f t="shared" ca="1" si="736"/>
        <v>-16614116.029384069</v>
      </c>
      <c r="BE709" s="2">
        <f t="shared" ca="1" si="737"/>
        <v>2385291.191976958</v>
      </c>
      <c r="BF709" s="2">
        <f t="shared" ca="1" si="738"/>
        <v>2700451.5594316032</v>
      </c>
      <c r="BG709" s="2">
        <f t="shared" ca="1" si="739"/>
        <v>3003153.8603468584</v>
      </c>
      <c r="BH709" s="2">
        <f t="shared" ca="1" si="740"/>
        <v>3327592.0005504042</v>
      </c>
      <c r="BI709" s="2">
        <f t="shared" ca="1" si="741"/>
        <v>40243359.614839472</v>
      </c>
      <c r="BJ709" s="2">
        <f t="shared" ca="1" si="742"/>
        <v>0.30364895312789786</v>
      </c>
      <c r="BK709" s="2">
        <f t="shared" ca="1" si="743"/>
        <v>14755885.181614552</v>
      </c>
    </row>
    <row r="710" spans="1:63" x14ac:dyDescent="0.3">
      <c r="A710" s="2">
        <v>709</v>
      </c>
      <c r="B710" s="2">
        <f t="shared" ca="1" si="682"/>
        <v>0.22552408495611642</v>
      </c>
      <c r="C710" s="2">
        <f t="shared" ca="1" si="683"/>
        <v>6.6716011985637254</v>
      </c>
      <c r="D710" s="2">
        <f t="shared" ca="1" si="684"/>
        <v>0.37205666027271134</v>
      </c>
      <c r="E710" s="2">
        <f t="shared" ca="1" si="685"/>
        <v>7.3626200325435427</v>
      </c>
      <c r="F710" s="2">
        <f t="shared" ca="1" si="686"/>
        <v>0.61275672873910292</v>
      </c>
      <c r="G710" s="2">
        <f t="shared" ca="1" si="687"/>
        <v>4.8595338898373183E-2</v>
      </c>
      <c r="H710" s="2">
        <f t="shared" ca="1" si="688"/>
        <v>4.8595338898373183E-2</v>
      </c>
      <c r="I710" s="2">
        <f t="shared" ca="1" si="689"/>
        <v>0.26903598469070089</v>
      </c>
      <c r="J710" s="2">
        <f t="shared" ca="1" si="690"/>
        <v>6.9213442090116945E-3</v>
      </c>
      <c r="K710" s="2">
        <f t="shared" ca="1" si="691"/>
        <v>6.9213442090116945E-3</v>
      </c>
      <c r="L710" s="2">
        <f t="shared" ca="1" si="692"/>
        <v>0.25200347803825907</v>
      </c>
      <c r="M710" s="2">
        <f t="shared" ca="1" si="693"/>
        <v>-1.3363968017980263E-2</v>
      </c>
      <c r="N710" s="2">
        <f t="shared" ca="1" si="694"/>
        <v>-1.3363968017980263E-2</v>
      </c>
      <c r="O710" s="2">
        <f t="shared" si="695"/>
        <v>6000000</v>
      </c>
      <c r="P710" s="2">
        <f t="shared" ca="1" si="696"/>
        <v>40029607.191382349</v>
      </c>
      <c r="Q710" s="2">
        <f t="shared" ca="1" si="697"/>
        <v>1000740.1797845587</v>
      </c>
      <c r="R710" s="2">
        <f t="shared" ca="1" si="698"/>
        <v>24017764.314829409</v>
      </c>
      <c r="S710" s="2">
        <f t="shared" ca="1" si="699"/>
        <v>16011842.876552939</v>
      </c>
      <c r="T710" s="2">
        <f t="shared" ca="1" si="700"/>
        <v>49331801.599100992</v>
      </c>
      <c r="U710" s="2">
        <f t="shared" ca="1" si="701"/>
        <v>51729097.216276608</v>
      </c>
      <c r="V710" s="2">
        <f t="shared" ca="1" si="702"/>
        <v>54242890.226408459</v>
      </c>
      <c r="W710" s="2">
        <f t="shared" ca="1" si="703"/>
        <v>56878841.85978803</v>
      </c>
      <c r="X710" s="2">
        <f t="shared" ca="1" si="704"/>
        <v>59642888.456111401</v>
      </c>
      <c r="Y710" s="2">
        <f t="shared" ca="1" si="705"/>
        <v>0.12346067210450584</v>
      </c>
      <c r="Z710" s="2">
        <f t="shared" ca="1" si="706"/>
        <v>0.12484494094630819</v>
      </c>
      <c r="AA710" s="2">
        <f t="shared" ca="1" si="707"/>
        <v>6090537.3815511446</v>
      </c>
      <c r="AB710" s="2">
        <f t="shared" ca="1" si="708"/>
        <v>6458116.087171888</v>
      </c>
      <c r="AC710" s="2">
        <f t="shared" ca="1" si="709"/>
        <v>6771950.4270730419</v>
      </c>
      <c r="AD710" s="2">
        <f t="shared" ca="1" si="710"/>
        <v>7101035.6530796392</v>
      </c>
      <c r="AE710" s="2">
        <f t="shared" ca="1" si="711"/>
        <v>7446112.887170474</v>
      </c>
      <c r="AF710" s="2">
        <f t="shared" ca="1" si="712"/>
        <v>986636.03198201989</v>
      </c>
      <c r="AG710" s="2">
        <f t="shared" ca="1" si="713"/>
        <v>1034581.9443255322</v>
      </c>
      <c r="AH710" s="2">
        <f t="shared" ca="1" si="714"/>
        <v>1084857.8045281691</v>
      </c>
      <c r="AI710" s="2">
        <f t="shared" ca="1" si="715"/>
        <v>1137576.8371957606</v>
      </c>
      <c r="AJ710" s="2">
        <f t="shared" ca="1" si="716"/>
        <v>1192857.769122228</v>
      </c>
      <c r="AK710" s="2">
        <f t="shared" ca="1" si="717"/>
        <v>0</v>
      </c>
      <c r="AL710" s="2">
        <f t="shared" ca="1" si="718"/>
        <v>23972.956171756163</v>
      </c>
      <c r="AM710" s="2">
        <f t="shared" ca="1" si="719"/>
        <v>25137.93010131851</v>
      </c>
      <c r="AN710" s="2">
        <f t="shared" ca="1" si="720"/>
        <v>26359.516333795713</v>
      </c>
      <c r="AO710" s="2">
        <f t="shared" ca="1" si="721"/>
        <v>27640.46596323371</v>
      </c>
      <c r="AP710" s="2">
        <f t="shared" ca="1" si="722"/>
        <v>2161598.7883346467</v>
      </c>
      <c r="AQ710" s="2">
        <f t="shared" ca="1" si="723"/>
        <v>764998.66592096444</v>
      </c>
      <c r="AR710" s="2">
        <f t="shared" ca="1" si="724"/>
        <v>848103.19217304443</v>
      </c>
      <c r="AS710" s="2">
        <f t="shared" ca="1" si="725"/>
        <v>916628.3968946588</v>
      </c>
      <c r="AT710" s="2">
        <f t="shared" ca="1" si="726"/>
        <v>988483.60716280027</v>
      </c>
      <c r="AU710" s="2">
        <f t="shared" ca="1" si="727"/>
        <v>1063830.6457255359</v>
      </c>
      <c r="AV710" s="2">
        <f t="shared" ca="1" si="728"/>
        <v>2177303.8953135139</v>
      </c>
      <c r="AW710" s="2">
        <f t="shared" ca="1" si="729"/>
        <v>2389859.2061669086</v>
      </c>
      <c r="AX710" s="2">
        <f t="shared" ca="1" si="730"/>
        <v>2583727.5072142486</v>
      </c>
      <c r="AY710" s="2">
        <f t="shared" ca="1" si="731"/>
        <v>2787016.9040526352</v>
      </c>
      <c r="AZ710" s="2">
        <f t="shared" ca="1" si="732"/>
        <v>3000185.2180248299</v>
      </c>
      <c r="BA710" s="2">
        <f t="shared" ca="1" si="733"/>
        <v>54822899.907661967</v>
      </c>
      <c r="BB710" s="2">
        <f t="shared" ca="1" si="734"/>
        <v>1096457.9981532393</v>
      </c>
      <c r="BC710" s="2">
        <f t="shared" ca="1" si="735"/>
        <v>29708677.594679318</v>
      </c>
      <c r="BD710" s="2">
        <f t="shared" ca="1" si="736"/>
        <v>-17512583.056337498</v>
      </c>
      <c r="BE710" s="2">
        <f t="shared" ca="1" si="737"/>
        <v>2177303.8953135139</v>
      </c>
      <c r="BF710" s="2">
        <f t="shared" ca="1" si="738"/>
        <v>2389859.2061669086</v>
      </c>
      <c r="BG710" s="2">
        <f t="shared" ca="1" si="739"/>
        <v>2583727.5072142486</v>
      </c>
      <c r="BH710" s="2">
        <f t="shared" ca="1" si="740"/>
        <v>2787016.9040526352</v>
      </c>
      <c r="BI710" s="2">
        <f t="shared" ca="1" si="741"/>
        <v>32708862.81270415</v>
      </c>
      <c r="BJ710" s="2">
        <f t="shared" ca="1" si="742"/>
        <v>0.23105332762966957</v>
      </c>
      <c r="BK710" s="2">
        <f t="shared" ca="1" si="743"/>
        <v>8506752.4187853821</v>
      </c>
    </row>
    <row r="711" spans="1:63" x14ac:dyDescent="0.3">
      <c r="A711" s="2">
        <v>710</v>
      </c>
      <c r="B711" s="2">
        <f t="shared" ca="1" si="682"/>
        <v>0.99508001060245221</v>
      </c>
      <c r="C711" s="2">
        <f t="shared" ca="1" si="683"/>
        <v>7.9008033327419938</v>
      </c>
      <c r="D711" s="2">
        <f t="shared" ca="1" si="684"/>
        <v>0.47346047893726306</v>
      </c>
      <c r="E711" s="2">
        <f t="shared" ca="1" si="685"/>
        <v>7.4730986372791435</v>
      </c>
      <c r="F711" s="2">
        <f t="shared" ca="1" si="686"/>
        <v>9.9503885028850658E-2</v>
      </c>
      <c r="G711" s="2">
        <f t="shared" ca="1" si="687"/>
        <v>1.4684921445360585E-3</v>
      </c>
      <c r="H711" s="2">
        <f t="shared" ca="1" si="688"/>
        <v>1.4684921445360585E-3</v>
      </c>
      <c r="I711" s="2">
        <f t="shared" ca="1" si="689"/>
        <v>0.38984376849284996</v>
      </c>
      <c r="J711" s="2">
        <f t="shared" ca="1" si="690"/>
        <v>8.6013687474296649E-3</v>
      </c>
      <c r="K711" s="2">
        <f t="shared" ca="1" si="691"/>
        <v>8.6013687474296649E-3</v>
      </c>
      <c r="L711" s="2">
        <f t="shared" ca="1" si="692"/>
        <v>0.51679450770909507</v>
      </c>
      <c r="M711" s="2">
        <f t="shared" ca="1" si="693"/>
        <v>8.4220059746659961E-4</v>
      </c>
      <c r="N711" s="2">
        <f t="shared" ca="1" si="694"/>
        <v>8.4220059746659961E-4</v>
      </c>
      <c r="O711" s="2">
        <f t="shared" si="695"/>
        <v>6000000</v>
      </c>
      <c r="P711" s="2">
        <f t="shared" ca="1" si="696"/>
        <v>47404819.996451959</v>
      </c>
      <c r="Q711" s="2">
        <f t="shared" ca="1" si="697"/>
        <v>1185120.499911299</v>
      </c>
      <c r="R711" s="2">
        <f t="shared" ca="1" si="698"/>
        <v>28442891.997871175</v>
      </c>
      <c r="S711" s="2">
        <f t="shared" ca="1" si="699"/>
        <v>18961927.998580784</v>
      </c>
      <c r="T711" s="2">
        <f t="shared" ca="1" si="700"/>
        <v>50042110.029873334</v>
      </c>
      <c r="U711" s="2">
        <f t="shared" ca="1" si="701"/>
        <v>50115596.475348212</v>
      </c>
      <c r="V711" s="2">
        <f t="shared" ca="1" si="702"/>
        <v>50189190.835091002</v>
      </c>
      <c r="W711" s="2">
        <f t="shared" ca="1" si="703"/>
        <v>50262893.267572954</v>
      </c>
      <c r="X711" s="2">
        <f t="shared" ca="1" si="704"/>
        <v>50336703.931498036</v>
      </c>
      <c r="Y711" s="2">
        <f t="shared" ca="1" si="705"/>
        <v>0.12430068437371483</v>
      </c>
      <c r="Z711" s="2">
        <f t="shared" ca="1" si="706"/>
        <v>0.12602095812320077</v>
      </c>
      <c r="AA711" s="2">
        <f t="shared" ca="1" si="707"/>
        <v>6220268.5242179949</v>
      </c>
      <c r="AB711" s="2">
        <f t="shared" ca="1" si="708"/>
        <v>6315615.4847390847</v>
      </c>
      <c r="AC711" s="2">
        <f t="shared" ca="1" si="709"/>
        <v>6324889.9164663348</v>
      </c>
      <c r="AD711" s="2">
        <f t="shared" ca="1" si="710"/>
        <v>6334177.9676237209</v>
      </c>
      <c r="AE711" s="2">
        <f t="shared" ca="1" si="711"/>
        <v>6343479.6582112694</v>
      </c>
      <c r="AF711" s="2">
        <f t="shared" ca="1" si="712"/>
        <v>1000842.2005974667</v>
      </c>
      <c r="AG711" s="2">
        <f t="shared" ca="1" si="713"/>
        <v>1002311.9295069643</v>
      </c>
      <c r="AH711" s="2">
        <f t="shared" ca="1" si="714"/>
        <v>1003783.8167018201</v>
      </c>
      <c r="AI711" s="2">
        <f t="shared" ca="1" si="715"/>
        <v>1005257.8653514591</v>
      </c>
      <c r="AJ711" s="2">
        <f t="shared" ca="1" si="716"/>
        <v>1006734.0786299608</v>
      </c>
      <c r="AK711" s="2">
        <f t="shared" ca="1" si="717"/>
        <v>0</v>
      </c>
      <c r="AL711" s="2">
        <f t="shared" ca="1" si="718"/>
        <v>734.86445474877951</v>
      </c>
      <c r="AM711" s="2">
        <f t="shared" ca="1" si="719"/>
        <v>735.94359742790459</v>
      </c>
      <c r="AN711" s="2">
        <f t="shared" ca="1" si="720"/>
        <v>737.02432481952007</v>
      </c>
      <c r="AO711" s="2">
        <f t="shared" ca="1" si="721"/>
        <v>738.10663925081496</v>
      </c>
      <c r="AP711" s="2">
        <f t="shared" ca="1" si="722"/>
        <v>2559860.2798084058</v>
      </c>
      <c r="AQ711" s="2">
        <f t="shared" ca="1" si="723"/>
        <v>691487.17139115185</v>
      </c>
      <c r="AR711" s="2">
        <f t="shared" ca="1" si="724"/>
        <v>715895.25161016593</v>
      </c>
      <c r="AS711" s="2">
        <f t="shared" ca="1" si="725"/>
        <v>717923.91318858834</v>
      </c>
      <c r="AT711" s="2">
        <f t="shared" ca="1" si="726"/>
        <v>719955.55384060263</v>
      </c>
      <c r="AU711" s="2">
        <f t="shared" ca="1" si="727"/>
        <v>721990.17794095492</v>
      </c>
      <c r="AV711" s="2">
        <f t="shared" ca="1" si="728"/>
        <v>1968078.8724209704</v>
      </c>
      <c r="AW711" s="2">
        <f t="shared" ca="1" si="729"/>
        <v>2036813.1593587995</v>
      </c>
      <c r="AX711" s="2">
        <f t="shared" ca="1" si="730"/>
        <v>2042585.9631700926</v>
      </c>
      <c r="AY711" s="2">
        <f t="shared" ca="1" si="731"/>
        <v>2048367.2442984339</v>
      </c>
      <c r="AZ711" s="2">
        <f t="shared" ca="1" si="732"/>
        <v>2054157.0151926968</v>
      </c>
      <c r="BA711" s="2">
        <f t="shared" ca="1" si="733"/>
        <v>47405449.189386606</v>
      </c>
      <c r="BB711" s="2">
        <f t="shared" ca="1" si="734"/>
        <v>948108.9837877322</v>
      </c>
      <c r="BC711" s="2">
        <f t="shared" ca="1" si="735"/>
        <v>18014448.2077277</v>
      </c>
      <c r="BD711" s="2">
        <f t="shared" ca="1" si="736"/>
        <v>-20647048.498492084</v>
      </c>
      <c r="BE711" s="2">
        <f t="shared" ca="1" si="737"/>
        <v>1968078.8724209704</v>
      </c>
      <c r="BF711" s="2">
        <f t="shared" ca="1" si="738"/>
        <v>2036813.1593587995</v>
      </c>
      <c r="BG711" s="2">
        <f t="shared" ca="1" si="739"/>
        <v>2042585.9631700926</v>
      </c>
      <c r="BH711" s="2">
        <f t="shared" ca="1" si="740"/>
        <v>2048367.2442984339</v>
      </c>
      <c r="BI711" s="2">
        <f t="shared" ca="1" si="741"/>
        <v>20068605.222920395</v>
      </c>
      <c r="BJ711" s="2">
        <f t="shared" ca="1" si="742"/>
        <v>7.6289857092701752E-2</v>
      </c>
      <c r="BK711" s="2">
        <f t="shared" ca="1" si="743"/>
        <v>-3122987.9208796844</v>
      </c>
    </row>
    <row r="712" spans="1:63" x14ac:dyDescent="0.3">
      <c r="A712" s="2">
        <v>711</v>
      </c>
      <c r="B712" s="2">
        <f t="shared" ca="1" si="682"/>
        <v>0.18579207951203913</v>
      </c>
      <c r="C712" s="2">
        <f t="shared" ca="1" si="683"/>
        <v>6.6095770328876231</v>
      </c>
      <c r="D712" s="2">
        <f t="shared" ca="1" si="684"/>
        <v>0.6365320181076588</v>
      </c>
      <c r="E712" s="2">
        <f t="shared" ca="1" si="685"/>
        <v>7.6473946025360373</v>
      </c>
      <c r="F712" s="2">
        <f t="shared" ca="1" si="686"/>
        <v>0.8081504066754811</v>
      </c>
      <c r="G712" s="2">
        <f t="shared" ca="1" si="687"/>
        <v>6.6133020192713568E-2</v>
      </c>
      <c r="H712" s="2">
        <f t="shared" ca="1" si="688"/>
        <v>6.6133020192713568E-2</v>
      </c>
      <c r="I712" s="2">
        <f t="shared" ca="1" si="689"/>
        <v>0.6138782735671604</v>
      </c>
      <c r="J712" s="2">
        <f t="shared" ca="1" si="690"/>
        <v>1.1447208075655795E-2</v>
      </c>
      <c r="K712" s="2">
        <f t="shared" ca="1" si="691"/>
        <v>1.1447208075655795E-2</v>
      </c>
      <c r="L712" s="2">
        <f t="shared" ca="1" si="692"/>
        <v>0.30650588101484388</v>
      </c>
      <c r="M712" s="2">
        <f t="shared" ca="1" si="693"/>
        <v>-1.0115581146653563E-2</v>
      </c>
      <c r="N712" s="2">
        <f t="shared" ca="1" si="694"/>
        <v>-1.0115581146653563E-2</v>
      </c>
      <c r="O712" s="2">
        <f t="shared" si="695"/>
        <v>6000000</v>
      </c>
      <c r="P712" s="2">
        <f t="shared" ca="1" si="696"/>
        <v>39657462.197325736</v>
      </c>
      <c r="Q712" s="2">
        <f t="shared" ca="1" si="697"/>
        <v>991436.55493314343</v>
      </c>
      <c r="R712" s="2">
        <f t="shared" ca="1" si="698"/>
        <v>23794477.31839544</v>
      </c>
      <c r="S712" s="2">
        <f t="shared" ca="1" si="699"/>
        <v>15862984.878930295</v>
      </c>
      <c r="T712" s="2">
        <f t="shared" ca="1" si="700"/>
        <v>49494220.94266732</v>
      </c>
      <c r="U712" s="2">
        <f t="shared" ca="1" si="701"/>
        <v>52767423.255691364</v>
      </c>
      <c r="V712" s="2">
        <f t="shared" ca="1" si="702"/>
        <v>56257092.32337746</v>
      </c>
      <c r="W712" s="2">
        <f t="shared" ca="1" si="703"/>
        <v>59977543.745982729</v>
      </c>
      <c r="X712" s="2">
        <f t="shared" ca="1" si="704"/>
        <v>63944039.857645161</v>
      </c>
      <c r="Y712" s="2">
        <f t="shared" ca="1" si="705"/>
        <v>0.1257236040378279</v>
      </c>
      <c r="Z712" s="2">
        <f t="shared" ca="1" si="706"/>
        <v>0.12801304565295904</v>
      </c>
      <c r="AA712" s="2">
        <f t="shared" ca="1" si="707"/>
        <v>6222591.835956675</v>
      </c>
      <c r="AB712" s="2">
        <f t="shared" ca="1" si="708"/>
        <v>6754918.5622198312</v>
      </c>
      <c r="AC712" s="2">
        <f t="shared" ca="1" si="709"/>
        <v>7201641.7278952505</v>
      </c>
      <c r="AD712" s="2">
        <f t="shared" ca="1" si="710"/>
        <v>7677908.0457068346</v>
      </c>
      <c r="AE712" s="2">
        <f t="shared" ca="1" si="711"/>
        <v>8185671.2935313629</v>
      </c>
      <c r="AF712" s="2">
        <f t="shared" ca="1" si="712"/>
        <v>989884.41885334637</v>
      </c>
      <c r="AG712" s="2">
        <f t="shared" ca="1" si="713"/>
        <v>1055348.4651138273</v>
      </c>
      <c r="AH712" s="2">
        <f t="shared" ca="1" si="714"/>
        <v>1125141.8464675492</v>
      </c>
      <c r="AI712" s="2">
        <f t="shared" ca="1" si="715"/>
        <v>1199550.8749196546</v>
      </c>
      <c r="AJ712" s="2">
        <f t="shared" ca="1" si="716"/>
        <v>1278880.7971529032</v>
      </c>
      <c r="AK712" s="2">
        <f t="shared" ca="1" si="717"/>
        <v>0</v>
      </c>
      <c r="AL712" s="2">
        <f t="shared" ca="1" si="718"/>
        <v>32732.023130240443</v>
      </c>
      <c r="AM712" s="2">
        <f t="shared" ca="1" si="719"/>
        <v>34896.690676860962</v>
      </c>
      <c r="AN712" s="2">
        <f t="shared" ca="1" si="720"/>
        <v>37204.514226052685</v>
      </c>
      <c r="AO712" s="2">
        <f t="shared" ca="1" si="721"/>
        <v>39664.961116624327</v>
      </c>
      <c r="AP712" s="2">
        <f t="shared" ca="1" si="722"/>
        <v>2141502.9586555893</v>
      </c>
      <c r="AQ712" s="2">
        <f t="shared" ca="1" si="723"/>
        <v>803713.15919641231</v>
      </c>
      <c r="AR712" s="2">
        <f t="shared" ca="1" si="724"/>
        <v>925097.4559971079</v>
      </c>
      <c r="AS712" s="2">
        <f t="shared" ca="1" si="725"/>
        <v>1023099.1999207493</v>
      </c>
      <c r="AT712" s="2">
        <f t="shared" ca="1" si="726"/>
        <v>1127582.0951542135</v>
      </c>
      <c r="AU712" s="2">
        <f t="shared" ca="1" si="727"/>
        <v>1238974.7598079464</v>
      </c>
      <c r="AV712" s="2">
        <f t="shared" ca="1" si="728"/>
        <v>2287491.2992513273</v>
      </c>
      <c r="AW712" s="2">
        <f t="shared" ca="1" si="729"/>
        <v>2600237.6593230665</v>
      </c>
      <c r="AX712" s="2">
        <f t="shared" ca="1" si="730"/>
        <v>2877001.0321745025</v>
      </c>
      <c r="AY712" s="2">
        <f t="shared" ca="1" si="731"/>
        <v>3172067.602751324</v>
      </c>
      <c r="AZ712" s="2">
        <f t="shared" ca="1" si="732"/>
        <v>3486647.8167983005</v>
      </c>
      <c r="BA712" s="2">
        <f t="shared" ca="1" si="733"/>
        <v>62599058.468285926</v>
      </c>
      <c r="BB712" s="2">
        <f t="shared" ca="1" si="734"/>
        <v>1251981.1693657185</v>
      </c>
      <c r="BC712" s="2">
        <f t="shared" ca="1" si="735"/>
        <v>37552599.980524763</v>
      </c>
      <c r="BD712" s="2">
        <f t="shared" ca="1" si="736"/>
        <v>-17354421.433863439</v>
      </c>
      <c r="BE712" s="2">
        <f t="shared" ca="1" si="737"/>
        <v>2287491.2992513273</v>
      </c>
      <c r="BF712" s="2">
        <f t="shared" ca="1" si="738"/>
        <v>2600237.6593230665</v>
      </c>
      <c r="BG712" s="2">
        <f t="shared" ca="1" si="739"/>
        <v>2877001.0321745025</v>
      </c>
      <c r="BH712" s="2">
        <f t="shared" ca="1" si="740"/>
        <v>3172067.602751324</v>
      </c>
      <c r="BI712" s="2">
        <f t="shared" ca="1" si="741"/>
        <v>41039247.797323063</v>
      </c>
      <c r="BJ712" s="2">
        <f t="shared" ca="1" si="742"/>
        <v>0.2891871528479657</v>
      </c>
      <c r="BK712" s="2">
        <f t="shared" ca="1" si="743"/>
        <v>14111345.207889434</v>
      </c>
    </row>
    <row r="713" spans="1:63" x14ac:dyDescent="0.3">
      <c r="A713" s="2">
        <v>712</v>
      </c>
      <c r="B713" s="2">
        <f t="shared" ca="1" si="682"/>
        <v>0.40719151426449229</v>
      </c>
      <c r="C713" s="2">
        <f t="shared" ca="1" si="683"/>
        <v>6.9024317306749499</v>
      </c>
      <c r="D713" s="2">
        <f t="shared" ca="1" si="684"/>
        <v>0.11187896736569336</v>
      </c>
      <c r="E713" s="2">
        <f t="shared" ca="1" si="685"/>
        <v>6.9730305854079484</v>
      </c>
      <c r="F713" s="2">
        <f t="shared" ca="1" si="686"/>
        <v>0.71063990982855052</v>
      </c>
      <c r="G713" s="2">
        <f t="shared" ca="1" si="687"/>
        <v>5.6657653227570826E-2</v>
      </c>
      <c r="H713" s="2">
        <f t="shared" ca="1" si="688"/>
        <v>5.6657653227570826E-2</v>
      </c>
      <c r="I713" s="2">
        <f t="shared" ca="1" si="689"/>
        <v>0.7988653306000465</v>
      </c>
      <c r="J713" s="2">
        <f t="shared" ca="1" si="690"/>
        <v>1.4187875886666396E-2</v>
      </c>
      <c r="K713" s="2">
        <f t="shared" ca="1" si="691"/>
        <v>1.4187875886666396E-2</v>
      </c>
      <c r="L713" s="2">
        <f t="shared" ca="1" si="692"/>
        <v>0.91977600147407945</v>
      </c>
      <c r="M713" s="2">
        <f t="shared" ca="1" si="693"/>
        <v>2.8071328627823532E-2</v>
      </c>
      <c r="N713" s="2">
        <f t="shared" ca="1" si="694"/>
        <v>2.8071328627823532E-2</v>
      </c>
      <c r="O713" s="2">
        <f t="shared" si="695"/>
        <v>6000000</v>
      </c>
      <c r="P713" s="2">
        <f t="shared" ca="1" si="696"/>
        <v>41414590.384049699</v>
      </c>
      <c r="Q713" s="2">
        <f t="shared" ca="1" si="697"/>
        <v>1035364.7596012425</v>
      </c>
      <c r="R713" s="2">
        <f t="shared" ca="1" si="698"/>
        <v>24848754.230429817</v>
      </c>
      <c r="S713" s="2">
        <f t="shared" ca="1" si="699"/>
        <v>16565836.15361988</v>
      </c>
      <c r="T713" s="2">
        <f t="shared" ca="1" si="700"/>
        <v>51403566.43139118</v>
      </c>
      <c r="U713" s="2">
        <f t="shared" ca="1" si="701"/>
        <v>54315971.872921348</v>
      </c>
      <c r="V713" s="2">
        <f t="shared" ca="1" si="702"/>
        <v>57393387.372015819</v>
      </c>
      <c r="W713" s="2">
        <f t="shared" ca="1" si="703"/>
        <v>60645162.01129514</v>
      </c>
      <c r="X713" s="2">
        <f t="shared" ca="1" si="704"/>
        <v>64081174.570460953</v>
      </c>
      <c r="Y713" s="2">
        <f t="shared" ca="1" si="705"/>
        <v>0.12709393794333318</v>
      </c>
      <c r="Z713" s="2">
        <f t="shared" ca="1" si="706"/>
        <v>0.12993151312066648</v>
      </c>
      <c r="AA713" s="2">
        <f t="shared" ca="1" si="707"/>
        <v>6533081.6820972348</v>
      </c>
      <c r="AB713" s="2">
        <f t="shared" ca="1" si="708"/>
        <v>7057356.412068231</v>
      </c>
      <c r="AC713" s="2">
        <f t="shared" ca="1" si="709"/>
        <v>7457209.6643665666</v>
      </c>
      <c r="AD713" s="2">
        <f t="shared" ca="1" si="710"/>
        <v>7879717.6635755384</v>
      </c>
      <c r="AE713" s="2">
        <f t="shared" ca="1" si="711"/>
        <v>8326163.9744895659</v>
      </c>
      <c r="AF713" s="2">
        <f t="shared" ca="1" si="712"/>
        <v>1028071.3286278236</v>
      </c>
      <c r="AG713" s="2">
        <f t="shared" ca="1" si="713"/>
        <v>1086319.4374584269</v>
      </c>
      <c r="AH713" s="2">
        <f t="shared" ca="1" si="714"/>
        <v>1147867.7474403165</v>
      </c>
      <c r="AI713" s="2">
        <f t="shared" ca="1" si="715"/>
        <v>1212903.2402259028</v>
      </c>
      <c r="AJ713" s="2">
        <f t="shared" ca="1" si="716"/>
        <v>1281623.4914092191</v>
      </c>
      <c r="AK713" s="2">
        <f t="shared" ca="1" si="717"/>
        <v>0</v>
      </c>
      <c r="AL713" s="2">
        <f t="shared" ca="1" si="718"/>
        <v>29124.054415301682</v>
      </c>
      <c r="AM713" s="2">
        <f t="shared" ca="1" si="719"/>
        <v>30774.154990944713</v>
      </c>
      <c r="AN713" s="2">
        <f t="shared" ca="1" si="720"/>
        <v>32517.746392793208</v>
      </c>
      <c r="AO713" s="2">
        <f t="shared" ca="1" si="721"/>
        <v>34360.125591658129</v>
      </c>
      <c r="AP713" s="2">
        <f t="shared" ca="1" si="722"/>
        <v>2236387.8807386835</v>
      </c>
      <c r="AQ713" s="2">
        <f t="shared" ca="1" si="723"/>
        <v>849841.84290998918</v>
      </c>
      <c r="AR713" s="2">
        <f t="shared" ca="1" si="724"/>
        <v>971008.76440649142</v>
      </c>
      <c r="AS713" s="2">
        <f t="shared" ca="1" si="725"/>
        <v>1058968.0494087674</v>
      </c>
      <c r="AT713" s="2">
        <f t="shared" ca="1" si="726"/>
        <v>1151910.9010788477</v>
      </c>
      <c r="AU713" s="2">
        <f t="shared" ca="1" si="727"/>
        <v>1250119.6766088326</v>
      </c>
      <c r="AV713" s="2">
        <f t="shared" ca="1" si="728"/>
        <v>2418780.6298207385</v>
      </c>
      <c r="AW713" s="2">
        <f t="shared" ca="1" si="729"/>
        <v>2734516.2750493283</v>
      </c>
      <c r="AX713" s="2">
        <f t="shared" ca="1" si="730"/>
        <v>2983211.831787854</v>
      </c>
      <c r="AY713" s="2">
        <f t="shared" ca="1" si="731"/>
        <v>3245997.8951393119</v>
      </c>
      <c r="AZ713" s="2">
        <f t="shared" ca="1" si="732"/>
        <v>3523672.8001411729</v>
      </c>
      <c r="BA713" s="2">
        <f t="shared" ca="1" si="733"/>
        <v>58058596.05323755</v>
      </c>
      <c r="BB713" s="2">
        <f t="shared" ca="1" si="734"/>
        <v>1161171.921064751</v>
      </c>
      <c r="BC713" s="2">
        <f t="shared" ca="1" si="735"/>
        <v>32048669.901742984</v>
      </c>
      <c r="BD713" s="2">
        <f t="shared" ca="1" si="736"/>
        <v>-18101200.913221121</v>
      </c>
      <c r="BE713" s="2">
        <f t="shared" ca="1" si="737"/>
        <v>2418780.6298207385</v>
      </c>
      <c r="BF713" s="2">
        <f t="shared" ca="1" si="738"/>
        <v>2734516.2750493283</v>
      </c>
      <c r="BG713" s="2">
        <f t="shared" ca="1" si="739"/>
        <v>2983211.831787854</v>
      </c>
      <c r="BH713" s="2">
        <f t="shared" ca="1" si="740"/>
        <v>3245997.8951393119</v>
      </c>
      <c r="BI713" s="2">
        <f t="shared" ca="1" si="741"/>
        <v>35572342.701884158</v>
      </c>
      <c r="BJ713" s="2">
        <f t="shared" ca="1" si="742"/>
        <v>0.2516569233257695</v>
      </c>
      <c r="BK713" s="2">
        <f t="shared" ca="1" si="743"/>
        <v>10609348.453261275</v>
      </c>
    </row>
    <row r="714" spans="1:63" x14ac:dyDescent="0.3">
      <c r="A714" s="2">
        <v>713</v>
      </c>
      <c r="B714" s="2">
        <f t="shared" ca="1" si="682"/>
        <v>0.29963786190684427</v>
      </c>
      <c r="C714" s="2">
        <f t="shared" ca="1" si="683"/>
        <v>6.7741290097998448</v>
      </c>
      <c r="D714" s="2">
        <f t="shared" ca="1" si="684"/>
        <v>0.74824626140066941</v>
      </c>
      <c r="E714" s="2">
        <f t="shared" ca="1" si="685"/>
        <v>7.7904173922659457</v>
      </c>
      <c r="F714" s="2">
        <f t="shared" ca="1" si="686"/>
        <v>0.63818135231228335</v>
      </c>
      <c r="G714" s="2">
        <f t="shared" ca="1" si="687"/>
        <v>5.0608055193797297E-2</v>
      </c>
      <c r="H714" s="2">
        <f t="shared" ca="1" si="688"/>
        <v>5.0608055193797297E-2</v>
      </c>
      <c r="I714" s="2">
        <f t="shared" ca="1" si="689"/>
        <v>0.81203744070254513</v>
      </c>
      <c r="J714" s="2">
        <f t="shared" ca="1" si="690"/>
        <v>1.4427146656484979E-2</v>
      </c>
      <c r="K714" s="2">
        <f t="shared" ca="1" si="691"/>
        <v>1.4427146656484979E-2</v>
      </c>
      <c r="L714" s="2">
        <f t="shared" ca="1" si="692"/>
        <v>0.21237350249920284</v>
      </c>
      <c r="M714" s="2">
        <f t="shared" ca="1" si="693"/>
        <v>-1.5964256196306318E-2</v>
      </c>
      <c r="N714" s="2">
        <f t="shared" ca="1" si="694"/>
        <v>-1.5964256196306318E-2</v>
      </c>
      <c r="O714" s="2">
        <f t="shared" si="695"/>
        <v>6000000</v>
      </c>
      <c r="P714" s="2">
        <f t="shared" ca="1" si="696"/>
        <v>40644774.058799066</v>
      </c>
      <c r="Q714" s="2">
        <f t="shared" ca="1" si="697"/>
        <v>1016119.3514699767</v>
      </c>
      <c r="R714" s="2">
        <f t="shared" ca="1" si="698"/>
        <v>24386864.43527944</v>
      </c>
      <c r="S714" s="2">
        <f t="shared" ca="1" si="699"/>
        <v>16257909.623519627</v>
      </c>
      <c r="T714" s="2">
        <f t="shared" ca="1" si="700"/>
        <v>49201787.190184683</v>
      </c>
      <c r="U714" s="2">
        <f t="shared" ca="1" si="701"/>
        <v>51691793.951939017</v>
      </c>
      <c r="V714" s="2">
        <f t="shared" ca="1" si="702"/>
        <v>54307815.113325141</v>
      </c>
      <c r="W714" s="2">
        <f t="shared" ca="1" si="703"/>
        <v>57056228.018034838</v>
      </c>
      <c r="X714" s="2">
        <f t="shared" ca="1" si="704"/>
        <v>59943732.754721425</v>
      </c>
      <c r="Y714" s="2">
        <f t="shared" ca="1" si="705"/>
        <v>0.12721357332824249</v>
      </c>
      <c r="Z714" s="2">
        <f t="shared" ca="1" si="706"/>
        <v>0.13009900265953947</v>
      </c>
      <c r="AA714" s="2">
        <f t="shared" ca="1" si="707"/>
        <v>6259135.1625991408</v>
      </c>
      <c r="AB714" s="2">
        <f t="shared" ca="1" si="708"/>
        <v>6725050.8388296803</v>
      </c>
      <c r="AC714" s="2">
        <f t="shared" ca="1" si="709"/>
        <v>7065392.5828622654</v>
      </c>
      <c r="AD714" s="2">
        <f t="shared" ca="1" si="710"/>
        <v>7422958.3606616044</v>
      </c>
      <c r="AE714" s="2">
        <f t="shared" ca="1" si="711"/>
        <v>7798619.8470792258</v>
      </c>
      <c r="AF714" s="2">
        <f t="shared" ca="1" si="712"/>
        <v>984035.74380369368</v>
      </c>
      <c r="AG714" s="2">
        <f t="shared" ca="1" si="713"/>
        <v>1033835.8790387803</v>
      </c>
      <c r="AH714" s="2">
        <f t="shared" ca="1" si="714"/>
        <v>1086156.3022665028</v>
      </c>
      <c r="AI714" s="2">
        <f t="shared" ca="1" si="715"/>
        <v>1141124.5603606969</v>
      </c>
      <c r="AJ714" s="2">
        <f t="shared" ca="1" si="716"/>
        <v>1198874.6550944285</v>
      </c>
      <c r="AK714" s="2">
        <f t="shared" ca="1" si="717"/>
        <v>0</v>
      </c>
      <c r="AL714" s="2">
        <f t="shared" ca="1" si="718"/>
        <v>24900.06761754334</v>
      </c>
      <c r="AM714" s="2">
        <f t="shared" ca="1" si="719"/>
        <v>26160.211613861247</v>
      </c>
      <c r="AN714" s="2">
        <f t="shared" ca="1" si="720"/>
        <v>27484.129047096969</v>
      </c>
      <c r="AO714" s="2">
        <f t="shared" ca="1" si="721"/>
        <v>28875.047366865874</v>
      </c>
      <c r="AP714" s="2">
        <f t="shared" ca="1" si="722"/>
        <v>2194817.7991751498</v>
      </c>
      <c r="AQ714" s="2">
        <f t="shared" ca="1" si="723"/>
        <v>800873.22110127728</v>
      </c>
      <c r="AR714" s="2">
        <f t="shared" ca="1" si="724"/>
        <v>909063.26176009513</v>
      </c>
      <c r="AS714" s="2">
        <f t="shared" ca="1" si="725"/>
        <v>983948.80516935943</v>
      </c>
      <c r="AT714" s="2">
        <f t="shared" ca="1" si="726"/>
        <v>1062624.1602926969</v>
      </c>
      <c r="AU714" s="2">
        <f t="shared" ca="1" si="727"/>
        <v>1145281.1221305083</v>
      </c>
      <c r="AV714" s="2">
        <f t="shared" ca="1" si="728"/>
        <v>2279408.3985190196</v>
      </c>
      <c r="AW714" s="2">
        <f t="shared" ca="1" si="729"/>
        <v>2562433.8312381124</v>
      </c>
      <c r="AX714" s="2">
        <f t="shared" ca="1" si="730"/>
        <v>2774309.4646373922</v>
      </c>
      <c r="AY714" s="2">
        <f t="shared" ca="1" si="731"/>
        <v>2996907.7117859637</v>
      </c>
      <c r="AZ714" s="2">
        <f t="shared" ca="1" si="732"/>
        <v>3230771.2233122727</v>
      </c>
      <c r="BA714" s="2">
        <f t="shared" ca="1" si="733"/>
        <v>60754503.692356393</v>
      </c>
      <c r="BB714" s="2">
        <f t="shared" ca="1" si="734"/>
        <v>1215090.0738471278</v>
      </c>
      <c r="BC714" s="2">
        <f t="shared" ca="1" si="735"/>
        <v>35152549.183229819</v>
      </c>
      <c r="BD714" s="2">
        <f t="shared" ca="1" si="736"/>
        <v>-17774028.974989604</v>
      </c>
      <c r="BE714" s="2">
        <f t="shared" ca="1" si="737"/>
        <v>2279408.3985190196</v>
      </c>
      <c r="BF714" s="2">
        <f t="shared" ca="1" si="738"/>
        <v>2562433.8312381124</v>
      </c>
      <c r="BG714" s="2">
        <f t="shared" ca="1" si="739"/>
        <v>2774309.4646373922</v>
      </c>
      <c r="BH714" s="2">
        <f t="shared" ca="1" si="740"/>
        <v>2996907.7117859637</v>
      </c>
      <c r="BI714" s="2">
        <f t="shared" ca="1" si="741"/>
        <v>38383320.406542093</v>
      </c>
      <c r="BJ714" s="2">
        <f t="shared" ca="1" si="742"/>
        <v>0.26533356351383675</v>
      </c>
      <c r="BK714" s="2">
        <f t="shared" ca="1" si="743"/>
        <v>11962928.175734542</v>
      </c>
    </row>
    <row r="715" spans="1:63" x14ac:dyDescent="0.3">
      <c r="A715" s="2">
        <v>714</v>
      </c>
      <c r="B715" s="2">
        <f t="shared" ca="1" si="682"/>
        <v>0.85884357871158856</v>
      </c>
      <c r="C715" s="2">
        <f t="shared" ca="1" si="683"/>
        <v>7.468668801427186</v>
      </c>
      <c r="D715" s="2">
        <f t="shared" ca="1" si="684"/>
        <v>0.55122218250927546</v>
      </c>
      <c r="E715" s="2">
        <f t="shared" ca="1" si="685"/>
        <v>7.5526058713600506</v>
      </c>
      <c r="F715" s="2">
        <f t="shared" ca="1" si="686"/>
        <v>0.38218246576174109</v>
      </c>
      <c r="G715" s="2">
        <f t="shared" ca="1" si="687"/>
        <v>3.1007384962058356E-2</v>
      </c>
      <c r="H715" s="2">
        <f t="shared" ca="1" si="688"/>
        <v>3.1007384962058356E-2</v>
      </c>
      <c r="I715" s="2">
        <f t="shared" ca="1" si="689"/>
        <v>0.13921552355046118</v>
      </c>
      <c r="J715" s="2">
        <f t="shared" ca="1" si="690"/>
        <v>4.5807470151772991E-3</v>
      </c>
      <c r="K715" s="2">
        <f t="shared" ca="1" si="691"/>
        <v>4.5807470151772991E-3</v>
      </c>
      <c r="L715" s="2">
        <f t="shared" ca="1" si="692"/>
        <v>0.42002140328806203</v>
      </c>
      <c r="M715" s="2">
        <f t="shared" ca="1" si="693"/>
        <v>-4.0367744944842911E-3</v>
      </c>
      <c r="N715" s="2">
        <f t="shared" ca="1" si="694"/>
        <v>-4.0367744944842911E-3</v>
      </c>
      <c r="O715" s="2">
        <f t="shared" si="695"/>
        <v>6000000</v>
      </c>
      <c r="P715" s="2">
        <f t="shared" ca="1" si="696"/>
        <v>44812012.808563113</v>
      </c>
      <c r="Q715" s="2">
        <f t="shared" ca="1" si="697"/>
        <v>1120300.3202140778</v>
      </c>
      <c r="R715" s="2">
        <f t="shared" ca="1" si="698"/>
        <v>26887207.685137868</v>
      </c>
      <c r="S715" s="2">
        <f t="shared" ca="1" si="699"/>
        <v>17924805.123425245</v>
      </c>
      <c r="T715" s="2">
        <f t="shared" ca="1" si="700"/>
        <v>49798161.275275789</v>
      </c>
      <c r="U715" s="2">
        <f t="shared" ca="1" si="701"/>
        <v>51342272.032340936</v>
      </c>
      <c r="V715" s="2">
        <f t="shared" ca="1" si="702"/>
        <v>52934261.626074456</v>
      </c>
      <c r="W715" s="2">
        <f t="shared" ca="1" si="703"/>
        <v>54575614.653996468</v>
      </c>
      <c r="X715" s="2">
        <f t="shared" ca="1" si="704"/>
        <v>56267861.747113898</v>
      </c>
      <c r="Y715" s="2">
        <f t="shared" ca="1" si="705"/>
        <v>0.12229037350758865</v>
      </c>
      <c r="Z715" s="2">
        <f t="shared" ca="1" si="706"/>
        <v>0.1232065229106241</v>
      </c>
      <c r="AA715" s="2">
        <f t="shared" ca="1" si="707"/>
        <v>6089835.7423446132</v>
      </c>
      <c r="AB715" s="2">
        <f t="shared" ca="1" si="708"/>
        <v>6325702.815436109</v>
      </c>
      <c r="AC715" s="2">
        <f t="shared" ca="1" si="709"/>
        <v>6521846.3177899132</v>
      </c>
      <c r="AD715" s="2">
        <f t="shared" ca="1" si="710"/>
        <v>6724071.7172290087</v>
      </c>
      <c r="AE715" s="2">
        <f t="shared" ca="1" si="711"/>
        <v>6932567.5974776177</v>
      </c>
      <c r="AF715" s="2">
        <f t="shared" ca="1" si="712"/>
        <v>995963.22550551582</v>
      </c>
      <c r="AG715" s="2">
        <f t="shared" ca="1" si="713"/>
        <v>1026845.4406468187</v>
      </c>
      <c r="AH715" s="2">
        <f t="shared" ca="1" si="714"/>
        <v>1058685.232521489</v>
      </c>
      <c r="AI715" s="2">
        <f t="shared" ca="1" si="715"/>
        <v>1091512.2930799294</v>
      </c>
      <c r="AJ715" s="2">
        <f t="shared" ca="1" si="716"/>
        <v>1125357.2349422779</v>
      </c>
      <c r="AK715" s="2">
        <f t="shared" ca="1" si="717"/>
        <v>0</v>
      </c>
      <c r="AL715" s="2">
        <f t="shared" ca="1" si="718"/>
        <v>15441.107570651471</v>
      </c>
      <c r="AM715" s="2">
        <f t="shared" ca="1" si="719"/>
        <v>15919.895937335194</v>
      </c>
      <c r="AN715" s="2">
        <f t="shared" ca="1" si="720"/>
        <v>16413.530279220118</v>
      </c>
      <c r="AO715" s="2">
        <f t="shared" ca="1" si="721"/>
        <v>16922.47093117431</v>
      </c>
      <c r="AP715" s="2">
        <f t="shared" ca="1" si="722"/>
        <v>2419848.6916624079</v>
      </c>
      <c r="AQ715" s="2">
        <f t="shared" ca="1" si="723"/>
        <v>695246.19454593922</v>
      </c>
      <c r="AR715" s="2">
        <f t="shared" ca="1" si="724"/>
        <v>748542.2576129894</v>
      </c>
      <c r="AS715" s="2">
        <f t="shared" ca="1" si="725"/>
        <v>791261.22233756422</v>
      </c>
      <c r="AT715" s="2">
        <f t="shared" ca="1" si="726"/>
        <v>835304.79044653452</v>
      </c>
      <c r="AU715" s="2">
        <f t="shared" ca="1" si="727"/>
        <v>880714.03442696226</v>
      </c>
      <c r="AV715" s="2">
        <f t="shared" ca="1" si="728"/>
        <v>1978777.6306307497</v>
      </c>
      <c r="AW715" s="2">
        <f t="shared" ca="1" si="729"/>
        <v>2115025.317943241</v>
      </c>
      <c r="AX715" s="2">
        <f t="shared" ca="1" si="730"/>
        <v>2236131.2753311167</v>
      </c>
      <c r="AY715" s="2">
        <f t="shared" ca="1" si="731"/>
        <v>2360992.4117609165</v>
      </c>
      <c r="AZ715" s="2">
        <f t="shared" ca="1" si="732"/>
        <v>2489725.1655147956</v>
      </c>
      <c r="BA715" s="2">
        <f t="shared" ca="1" si="733"/>
        <v>52358950.740309894</v>
      </c>
      <c r="BB715" s="2">
        <f t="shared" ca="1" si="734"/>
        <v>1047179.014806198</v>
      </c>
      <c r="BC715" s="2">
        <f t="shared" ca="1" si="735"/>
        <v>24424564.04036583</v>
      </c>
      <c r="BD715" s="2">
        <f t="shared" ca="1" si="736"/>
        <v>-19545105.443639323</v>
      </c>
      <c r="BE715" s="2">
        <f t="shared" ca="1" si="737"/>
        <v>1978777.6306307497</v>
      </c>
      <c r="BF715" s="2">
        <f t="shared" ca="1" si="738"/>
        <v>2115025.317943241</v>
      </c>
      <c r="BG715" s="2">
        <f t="shared" ca="1" si="739"/>
        <v>2236131.2753311167</v>
      </c>
      <c r="BH715" s="2">
        <f t="shared" ca="1" si="740"/>
        <v>2360992.4117609165</v>
      </c>
      <c r="BI715" s="2">
        <f t="shared" ca="1" si="741"/>
        <v>26914289.205880627</v>
      </c>
      <c r="BJ715" s="2">
        <f t="shared" ca="1" si="742"/>
        <v>0.14966486146481661</v>
      </c>
      <c r="BK715" s="2">
        <f t="shared" ca="1" si="743"/>
        <v>2271723.4642680883</v>
      </c>
    </row>
    <row r="716" spans="1:63" x14ac:dyDescent="0.3">
      <c r="A716" s="2">
        <v>715</v>
      </c>
      <c r="B716" s="2">
        <f t="shared" ca="1" si="682"/>
        <v>9.8633752586973378E-2</v>
      </c>
      <c r="C716" s="2">
        <f t="shared" ca="1" si="683"/>
        <v>6.4441480667231898</v>
      </c>
      <c r="D716" s="2">
        <f t="shared" ca="1" si="684"/>
        <v>0.25865887219007999</v>
      </c>
      <c r="E716" s="2">
        <f t="shared" ca="1" si="685"/>
        <v>7.219248040928969</v>
      </c>
      <c r="F716" s="2">
        <f t="shared" ca="1" si="686"/>
        <v>9.1914337730467643E-2</v>
      </c>
      <c r="G716" s="2">
        <f t="shared" ca="1" si="687"/>
        <v>1.2824545674963717E-4</v>
      </c>
      <c r="H716" s="2">
        <f t="shared" ca="1" si="688"/>
        <v>1.2824545674963717E-4</v>
      </c>
      <c r="I716" s="2">
        <f t="shared" ca="1" si="689"/>
        <v>0.94960631775898618</v>
      </c>
      <c r="J716" s="2">
        <f t="shared" ca="1" si="690"/>
        <v>1.8205242100538303E-2</v>
      </c>
      <c r="K716" s="2">
        <f t="shared" ca="1" si="691"/>
        <v>1.8205242100538303E-2</v>
      </c>
      <c r="L716" s="2">
        <f t="shared" ca="1" si="692"/>
        <v>0.29154425746876822</v>
      </c>
      <c r="M716" s="2">
        <f t="shared" ca="1" si="693"/>
        <v>-1.0977579291173146E-2</v>
      </c>
      <c r="N716" s="2">
        <f t="shared" ca="1" si="694"/>
        <v>-1.0977579291173146E-2</v>
      </c>
      <c r="O716" s="2">
        <f t="shared" si="695"/>
        <v>6000000</v>
      </c>
      <c r="P716" s="2">
        <f t="shared" ca="1" si="696"/>
        <v>38664888.400339141</v>
      </c>
      <c r="Q716" s="2">
        <f t="shared" ca="1" si="697"/>
        <v>966622.21000847861</v>
      </c>
      <c r="R716" s="2">
        <f t="shared" ca="1" si="698"/>
        <v>23198933.040203486</v>
      </c>
      <c r="S716" s="2">
        <f t="shared" ca="1" si="699"/>
        <v>15465955.360135658</v>
      </c>
      <c r="T716" s="2">
        <f t="shared" ca="1" si="700"/>
        <v>49451121.035441339</v>
      </c>
      <c r="U716" s="2">
        <f t="shared" ca="1" si="701"/>
        <v>49457462.917045318</v>
      </c>
      <c r="V716" s="2">
        <f t="shared" ca="1" si="702"/>
        <v>49463805.611966796</v>
      </c>
      <c r="W716" s="2">
        <f t="shared" ca="1" si="703"/>
        <v>49470149.120310083</v>
      </c>
      <c r="X716" s="2">
        <f t="shared" ca="1" si="704"/>
        <v>49476493.442179494</v>
      </c>
      <c r="Y716" s="2">
        <f t="shared" ca="1" si="705"/>
        <v>0.12910262105026915</v>
      </c>
      <c r="Z716" s="2">
        <f t="shared" ca="1" si="706"/>
        <v>0.1327436694703768</v>
      </c>
      <c r="AA716" s="2">
        <f t="shared" ca="1" si="707"/>
        <v>6384269.3395495769</v>
      </c>
      <c r="AB716" s="2">
        <f t="shared" ca="1" si="708"/>
        <v>6565165.1103036813</v>
      </c>
      <c r="AC716" s="2">
        <f t="shared" ca="1" si="709"/>
        <v>6566007.0629018899</v>
      </c>
      <c r="AD716" s="2">
        <f t="shared" ca="1" si="710"/>
        <v>6566849.1234766934</v>
      </c>
      <c r="AE716" s="2">
        <f t="shared" ca="1" si="711"/>
        <v>6567691.2920419397</v>
      </c>
      <c r="AF716" s="2">
        <f t="shared" ca="1" si="712"/>
        <v>989022.42070882674</v>
      </c>
      <c r="AG716" s="2">
        <f t="shared" ca="1" si="713"/>
        <v>989149.25834090635</v>
      </c>
      <c r="AH716" s="2">
        <f t="shared" ca="1" si="714"/>
        <v>989276.1122393359</v>
      </c>
      <c r="AI716" s="2">
        <f t="shared" ca="1" si="715"/>
        <v>989402.98240620166</v>
      </c>
      <c r="AJ716" s="2">
        <f t="shared" ca="1" si="716"/>
        <v>989529.86884358991</v>
      </c>
      <c r="AK716" s="2">
        <f t="shared" ca="1" si="717"/>
        <v>0</v>
      </c>
      <c r="AL716" s="2">
        <f t="shared" ca="1" si="718"/>
        <v>63.418816039785746</v>
      </c>
      <c r="AM716" s="2">
        <f t="shared" ca="1" si="719"/>
        <v>63.426949214786291</v>
      </c>
      <c r="AN716" s="2">
        <f t="shared" ca="1" si="720"/>
        <v>63.435083432868126</v>
      </c>
      <c r="AO716" s="2">
        <f t="shared" ca="1" si="721"/>
        <v>63.443218694105745</v>
      </c>
      <c r="AP716" s="2">
        <f t="shared" ca="1" si="722"/>
        <v>2087903.9736183137</v>
      </c>
      <c r="AQ716" s="2">
        <f t="shared" ca="1" si="723"/>
        <v>859909.16575783351</v>
      </c>
      <c r="AR716" s="2">
        <f t="shared" ca="1" si="724"/>
        <v>906909.08836955996</v>
      </c>
      <c r="AS716" s="2">
        <f t="shared" ca="1" si="725"/>
        <v>907095.01403150253</v>
      </c>
      <c r="AT716" s="2">
        <f t="shared" ca="1" si="726"/>
        <v>907280.96353756625</v>
      </c>
      <c r="AU716" s="2">
        <f t="shared" ca="1" si="727"/>
        <v>907466.93689080945</v>
      </c>
      <c r="AV716" s="2">
        <f t="shared" ca="1" si="728"/>
        <v>2447433.7794646025</v>
      </c>
      <c r="AW716" s="2">
        <f t="shared" ca="1" si="729"/>
        <v>2581139.3711588625</v>
      </c>
      <c r="AX716" s="2">
        <f t="shared" ca="1" si="730"/>
        <v>2581668.536063523</v>
      </c>
      <c r="AY716" s="2">
        <f t="shared" ca="1" si="731"/>
        <v>2582197.7688311785</v>
      </c>
      <c r="AZ716" s="2">
        <f t="shared" ca="1" si="732"/>
        <v>2582727.0694705322</v>
      </c>
      <c r="BA716" s="2">
        <f t="shared" ca="1" si="733"/>
        <v>47413792.493500024</v>
      </c>
      <c r="BB716" s="2">
        <f t="shared" ca="1" si="734"/>
        <v>948275.8498700005</v>
      </c>
      <c r="BC716" s="2">
        <f t="shared" ca="1" si="735"/>
        <v>23266583.603426538</v>
      </c>
      <c r="BD716" s="2">
        <f t="shared" ca="1" si="736"/>
        <v>-16932577.570144136</v>
      </c>
      <c r="BE716" s="2">
        <f t="shared" ca="1" si="737"/>
        <v>2447433.7794646025</v>
      </c>
      <c r="BF716" s="2">
        <f t="shared" ca="1" si="738"/>
        <v>2581139.3711588625</v>
      </c>
      <c r="BG716" s="2">
        <f t="shared" ca="1" si="739"/>
        <v>2581668.536063523</v>
      </c>
      <c r="BH716" s="2">
        <f t="shared" ca="1" si="740"/>
        <v>2582197.7688311785</v>
      </c>
      <c r="BI716" s="2">
        <f t="shared" ca="1" si="741"/>
        <v>25849310.672897071</v>
      </c>
      <c r="BJ716" s="2">
        <f t="shared" ca="1" si="742"/>
        <v>0.20048320518202201</v>
      </c>
      <c r="BK716" s="2">
        <f t="shared" ca="1" si="743"/>
        <v>5456506.7774098478</v>
      </c>
    </row>
    <row r="717" spans="1:63" x14ac:dyDescent="0.3">
      <c r="A717" s="2">
        <v>716</v>
      </c>
      <c r="B717" s="2">
        <f t="shared" ca="1" si="682"/>
        <v>0.7640543094659048</v>
      </c>
      <c r="C717" s="2">
        <f t="shared" ca="1" si="683"/>
        <v>7.3130564935395412</v>
      </c>
      <c r="D717" s="2">
        <f t="shared" ca="1" si="684"/>
        <v>0.27189695239692635</v>
      </c>
      <c r="E717" s="2">
        <f t="shared" ca="1" si="685"/>
        <v>7.2374238298250555</v>
      </c>
      <c r="F717" s="2">
        <f t="shared" ca="1" si="686"/>
        <v>5.5768313715116369E-2</v>
      </c>
      <c r="G717" s="2">
        <f t="shared" ca="1" si="687"/>
        <v>-7.7397267845434742E-3</v>
      </c>
      <c r="H717" s="2">
        <f t="shared" ca="1" si="688"/>
        <v>-7.7397267845434742E-3</v>
      </c>
      <c r="I717" s="2">
        <f t="shared" ca="1" si="689"/>
        <v>0.3244796378687157</v>
      </c>
      <c r="J717" s="2">
        <f t="shared" ca="1" si="690"/>
        <v>7.7239577069197173E-3</v>
      </c>
      <c r="K717" s="2">
        <f t="shared" ca="1" si="691"/>
        <v>7.7239577069197173E-3</v>
      </c>
      <c r="L717" s="2">
        <f t="shared" ca="1" si="692"/>
        <v>0.33607197725880611</v>
      </c>
      <c r="M717" s="2">
        <f t="shared" ca="1" si="693"/>
        <v>-8.4641478269332458E-3</v>
      </c>
      <c r="N717" s="2">
        <f t="shared" ca="1" si="694"/>
        <v>-8.4641478269332458E-3</v>
      </c>
      <c r="O717" s="2">
        <f t="shared" si="695"/>
        <v>6000000</v>
      </c>
      <c r="P717" s="2">
        <f t="shared" ca="1" si="696"/>
        <v>43878338.961237244</v>
      </c>
      <c r="Q717" s="2">
        <f t="shared" ca="1" si="697"/>
        <v>1096958.4740309312</v>
      </c>
      <c r="R717" s="2">
        <f t="shared" ca="1" si="698"/>
        <v>26327003.376742344</v>
      </c>
      <c r="S717" s="2">
        <f t="shared" ca="1" si="699"/>
        <v>17551335.5844949</v>
      </c>
      <c r="T717" s="2">
        <f t="shared" ca="1" si="700"/>
        <v>49576792.608653337</v>
      </c>
      <c r="U717" s="2">
        <f t="shared" ca="1" si="701"/>
        <v>49193081.779008389</v>
      </c>
      <c r="V717" s="2">
        <f t="shared" ca="1" si="702"/>
        <v>48812340.766349159</v>
      </c>
      <c r="W717" s="2">
        <f t="shared" ca="1" si="703"/>
        <v>48434546.585103579</v>
      </c>
      <c r="X717" s="2">
        <f t="shared" ca="1" si="704"/>
        <v>48059676.427601635</v>
      </c>
      <c r="Y717" s="2">
        <f t="shared" ca="1" si="705"/>
        <v>0.12386197885345986</v>
      </c>
      <c r="Z717" s="2">
        <f t="shared" ca="1" si="706"/>
        <v>0.1254067703948438</v>
      </c>
      <c r="AA717" s="2">
        <f t="shared" ca="1" si="707"/>
        <v>6140679.6377153844</v>
      </c>
      <c r="AB717" s="2">
        <f t="shared" ca="1" si="708"/>
        <v>6169145.5116748791</v>
      </c>
      <c r="AC717" s="2">
        <f t="shared" ca="1" si="709"/>
        <v>6121398.0109204231</v>
      </c>
      <c r="AD717" s="2">
        <f t="shared" ca="1" si="710"/>
        <v>6074020.0627764501</v>
      </c>
      <c r="AE717" s="2">
        <f t="shared" ca="1" si="711"/>
        <v>6027008.8070067251</v>
      </c>
      <c r="AF717" s="2">
        <f t="shared" ca="1" si="712"/>
        <v>991535.8521730667</v>
      </c>
      <c r="AG717" s="2">
        <f t="shared" ca="1" si="713"/>
        <v>983861.63558016776</v>
      </c>
      <c r="AH717" s="2">
        <f t="shared" ca="1" si="714"/>
        <v>976246.81532698323</v>
      </c>
      <c r="AI717" s="2">
        <f t="shared" ca="1" si="715"/>
        <v>968690.93170207157</v>
      </c>
      <c r="AJ717" s="2">
        <f t="shared" ca="1" si="716"/>
        <v>961193.52855203277</v>
      </c>
      <c r="AK717" s="2">
        <f t="shared" ca="1" si="717"/>
        <v>0</v>
      </c>
      <c r="AL717" s="2">
        <f t="shared" ca="1" si="718"/>
        <v>0</v>
      </c>
      <c r="AM717" s="2">
        <f t="shared" ca="1" si="719"/>
        <v>0</v>
      </c>
      <c r="AN717" s="2">
        <f t="shared" ca="1" si="720"/>
        <v>0</v>
      </c>
      <c r="AO717" s="2">
        <f t="shared" ca="1" si="721"/>
        <v>0</v>
      </c>
      <c r="AP717" s="2">
        <f t="shared" ca="1" si="722"/>
        <v>2369430.3039068109</v>
      </c>
      <c r="AQ717" s="2">
        <f t="shared" ca="1" si="723"/>
        <v>722725.50522523175</v>
      </c>
      <c r="AR717" s="2">
        <f t="shared" ca="1" si="724"/>
        <v>732121.92876885401</v>
      </c>
      <c r="AS717" s="2">
        <f t="shared" ca="1" si="725"/>
        <v>721687.4318385236</v>
      </c>
      <c r="AT717" s="2">
        <f t="shared" ca="1" si="726"/>
        <v>711333.69506356749</v>
      </c>
      <c r="AU717" s="2">
        <f t="shared" ca="1" si="727"/>
        <v>701060.09338244912</v>
      </c>
      <c r="AV717" s="2">
        <f t="shared" ca="1" si="728"/>
        <v>2056987.9764102749</v>
      </c>
      <c r="AW717" s="2">
        <f t="shared" ca="1" si="729"/>
        <v>2083731.6434190464</v>
      </c>
      <c r="AX717" s="2">
        <f t="shared" ca="1" si="730"/>
        <v>2054033.4598481054</v>
      </c>
      <c r="AY717" s="2">
        <f t="shared" ca="1" si="731"/>
        <v>2024565.1321039996</v>
      </c>
      <c r="AZ717" s="2">
        <f t="shared" ca="1" si="732"/>
        <v>1995324.8811654323</v>
      </c>
      <c r="BA717" s="2">
        <f t="shared" ca="1" si="733"/>
        <v>43620017.162395954</v>
      </c>
      <c r="BB717" s="2">
        <f t="shared" ca="1" si="734"/>
        <v>872400.34324791911</v>
      </c>
      <c r="BC717" s="2">
        <f t="shared" ca="1" si="735"/>
        <v>16420613.442405691</v>
      </c>
      <c r="BD717" s="2">
        <f t="shared" ca="1" si="736"/>
        <v>-19148294.058525831</v>
      </c>
      <c r="BE717" s="2">
        <f t="shared" ca="1" si="737"/>
        <v>2056987.9764102749</v>
      </c>
      <c r="BF717" s="2">
        <f t="shared" ca="1" si="738"/>
        <v>2083731.6434190464</v>
      </c>
      <c r="BG717" s="2">
        <f t="shared" ca="1" si="739"/>
        <v>2054033.4598481054</v>
      </c>
      <c r="BH717" s="2">
        <f t="shared" ca="1" si="740"/>
        <v>2024565.1321039996</v>
      </c>
      <c r="BI717" s="2">
        <f t="shared" ca="1" si="741"/>
        <v>18415938.323571123</v>
      </c>
      <c r="BJ717" s="2">
        <f t="shared" ca="1" si="742"/>
        <v>8.2685213195835772E-2</v>
      </c>
      <c r="BK717" s="2">
        <f t="shared" ca="1" si="743"/>
        <v>-2452193.376944175</v>
      </c>
    </row>
    <row r="718" spans="1:63" x14ac:dyDescent="0.3">
      <c r="A718" s="2">
        <v>717</v>
      </c>
      <c r="B718" s="2">
        <f t="shared" ca="1" si="682"/>
        <v>6.0008391893022539E-2</v>
      </c>
      <c r="C718" s="2">
        <f t="shared" ca="1" si="683"/>
        <v>6.346434385975245</v>
      </c>
      <c r="D718" s="2">
        <f t="shared" ca="1" si="684"/>
        <v>0.27198011059701444</v>
      </c>
      <c r="E718" s="2">
        <f t="shared" ca="1" si="685"/>
        <v>7.2375365897323531</v>
      </c>
      <c r="F718" s="2">
        <f t="shared" ca="1" si="686"/>
        <v>0.20190774414942636</v>
      </c>
      <c r="G718" s="2">
        <f t="shared" ca="1" si="687"/>
        <v>1.4955209545749776E-2</v>
      </c>
      <c r="H718" s="2">
        <f t="shared" ca="1" si="688"/>
        <v>1.4955209545749776E-2</v>
      </c>
      <c r="I718" s="2">
        <f t="shared" ca="1" si="689"/>
        <v>0.39961002166611104</v>
      </c>
      <c r="J718" s="2">
        <f t="shared" ca="1" si="690"/>
        <v>8.7282167839040758E-3</v>
      </c>
      <c r="K718" s="2">
        <f t="shared" ca="1" si="691"/>
        <v>8.7282167839040758E-3</v>
      </c>
      <c r="L718" s="2">
        <f t="shared" ca="1" si="692"/>
        <v>0.99862760286448782</v>
      </c>
      <c r="M718" s="2">
        <f t="shared" ca="1" si="693"/>
        <v>5.9899231270798568E-2</v>
      </c>
      <c r="N718" s="2">
        <f t="shared" ca="1" si="694"/>
        <v>0.05</v>
      </c>
      <c r="O718" s="2">
        <f t="shared" si="695"/>
        <v>6000000</v>
      </c>
      <c r="P718" s="2">
        <f t="shared" ca="1" si="696"/>
        <v>38078606.315851472</v>
      </c>
      <c r="Q718" s="2">
        <f t="shared" ca="1" si="697"/>
        <v>951965.15789628681</v>
      </c>
      <c r="R718" s="2">
        <f t="shared" ca="1" si="698"/>
        <v>22847163.789510883</v>
      </c>
      <c r="S718" s="2">
        <f t="shared" ca="1" si="699"/>
        <v>15231442.526340589</v>
      </c>
      <c r="T718" s="2">
        <f t="shared" ca="1" si="700"/>
        <v>52500000</v>
      </c>
      <c r="U718" s="2">
        <f t="shared" ca="1" si="701"/>
        <v>53285148.50115186</v>
      </c>
      <c r="V718" s="2">
        <f t="shared" ca="1" si="702"/>
        <v>54082039.062662974</v>
      </c>
      <c r="W718" s="2">
        <f t="shared" ca="1" si="703"/>
        <v>54890847.289506517</v>
      </c>
      <c r="X718" s="2">
        <f t="shared" ca="1" si="704"/>
        <v>55711751.412864834</v>
      </c>
      <c r="Y718" s="2">
        <f t="shared" ca="1" si="705"/>
        <v>0.12436410839195203</v>
      </c>
      <c r="Z718" s="2">
        <f t="shared" ca="1" si="706"/>
        <v>0.12610975174873285</v>
      </c>
      <c r="AA718" s="2">
        <f t="shared" ca="1" si="707"/>
        <v>6529115.6905774819</v>
      </c>
      <c r="AB718" s="2">
        <f t="shared" ca="1" si="708"/>
        <v>6719776.8493746249</v>
      </c>
      <c r="AC718" s="2">
        <f t="shared" ca="1" si="709"/>
        <v>6820272.5202577002</v>
      </c>
      <c r="AD718" s="2">
        <f t="shared" ca="1" si="710"/>
        <v>6922271.1249572719</v>
      </c>
      <c r="AE718" s="2">
        <f t="shared" ca="1" si="711"/>
        <v>7025795.1401635008</v>
      </c>
      <c r="AF718" s="2">
        <f t="shared" ca="1" si="712"/>
        <v>1050000</v>
      </c>
      <c r="AG718" s="2">
        <f t="shared" ca="1" si="713"/>
        <v>1065702.9700230372</v>
      </c>
      <c r="AH718" s="2">
        <f t="shared" ca="1" si="714"/>
        <v>1081640.7812532594</v>
      </c>
      <c r="AI718" s="2">
        <f t="shared" ca="1" si="715"/>
        <v>1097816.9457901304</v>
      </c>
      <c r="AJ718" s="2">
        <f t="shared" ca="1" si="716"/>
        <v>1114235.0282572967</v>
      </c>
      <c r="AK718" s="2">
        <f t="shared" ca="1" si="717"/>
        <v>0</v>
      </c>
      <c r="AL718" s="2">
        <f t="shared" ca="1" si="718"/>
        <v>7851.4850115185982</v>
      </c>
      <c r="AM718" s="2">
        <f t="shared" ca="1" si="719"/>
        <v>7968.9056151111427</v>
      </c>
      <c r="AN718" s="2">
        <f t="shared" ca="1" si="720"/>
        <v>8088.0822684354334</v>
      </c>
      <c r="AO718" s="2">
        <f t="shared" ca="1" si="721"/>
        <v>8209.0412335831679</v>
      </c>
      <c r="AP718" s="2">
        <f t="shared" ca="1" si="722"/>
        <v>2056244.7410559794</v>
      </c>
      <c r="AQ718" s="2">
        <f t="shared" ca="1" si="723"/>
        <v>889946.44687559071</v>
      </c>
      <c r="AR718" s="2">
        <f t="shared" ca="1" si="724"/>
        <v>935435.57595685823</v>
      </c>
      <c r="AS718" s="2">
        <f t="shared" ca="1" si="725"/>
        <v>957420.61946659989</v>
      </c>
      <c r="AT718" s="2">
        <f t="shared" ca="1" si="726"/>
        <v>979734.45390890213</v>
      </c>
      <c r="AU718" s="2">
        <f t="shared" ca="1" si="727"/>
        <v>1002381.9964210585</v>
      </c>
      <c r="AV718" s="2">
        <f t="shared" ca="1" si="728"/>
        <v>2532924.5026459116</v>
      </c>
      <c r="AW718" s="2">
        <f t="shared" ca="1" si="729"/>
        <v>2654542.0773272319</v>
      </c>
      <c r="AX718" s="2">
        <f t="shared" ca="1" si="730"/>
        <v>2716997.4728667503</v>
      </c>
      <c r="AY718" s="2">
        <f t="shared" ca="1" si="731"/>
        <v>2780386.9019338237</v>
      </c>
      <c r="AZ718" s="2">
        <f t="shared" ca="1" si="732"/>
        <v>2844724.333195583</v>
      </c>
      <c r="BA718" s="2">
        <f t="shared" ca="1" si="733"/>
        <v>50849449.398897082</v>
      </c>
      <c r="BB718" s="2">
        <f t="shared" ca="1" si="734"/>
        <v>1016988.9879779416</v>
      </c>
      <c r="BC718" s="2">
        <f t="shared" ca="1" si="735"/>
        <v>26985296.621408258</v>
      </c>
      <c r="BD718" s="2">
        <f t="shared" ca="1" si="736"/>
        <v>-16683407.684236877</v>
      </c>
      <c r="BE718" s="2">
        <f t="shared" ca="1" si="737"/>
        <v>2532924.5026459116</v>
      </c>
      <c r="BF718" s="2">
        <f t="shared" ca="1" si="738"/>
        <v>2654542.0773272319</v>
      </c>
      <c r="BG718" s="2">
        <f t="shared" ca="1" si="739"/>
        <v>2716997.4728667503</v>
      </c>
      <c r="BH718" s="2">
        <f t="shared" ca="1" si="740"/>
        <v>2780386.9019338237</v>
      </c>
      <c r="BI718" s="2">
        <f t="shared" ca="1" si="741"/>
        <v>29830020.95460384</v>
      </c>
      <c r="BJ718" s="2">
        <f t="shared" ca="1" si="742"/>
        <v>0.23739674446192649</v>
      </c>
      <c r="BK718" s="2">
        <f t="shared" ca="1" si="743"/>
        <v>8321563.013990473</v>
      </c>
    </row>
    <row r="719" spans="1:63" x14ac:dyDescent="0.3">
      <c r="A719" s="2">
        <v>718</v>
      </c>
      <c r="B719" s="2">
        <f t="shared" ca="1" si="682"/>
        <v>0.97259347670940199</v>
      </c>
      <c r="C719" s="2">
        <f t="shared" ca="1" si="683"/>
        <v>7.7658781373275962</v>
      </c>
      <c r="D719" s="2">
        <f t="shared" ca="1" si="684"/>
        <v>0.18710161007648074</v>
      </c>
      <c r="E719" s="2">
        <f t="shared" ca="1" si="685"/>
        <v>7.1117215217343279</v>
      </c>
      <c r="F719" s="2">
        <f t="shared" ca="1" si="686"/>
        <v>0.96184282349304406</v>
      </c>
      <c r="G719" s="2">
        <f t="shared" ca="1" si="687"/>
        <v>9.3174501175781743E-2</v>
      </c>
      <c r="H719" s="2">
        <f t="shared" ca="1" si="688"/>
        <v>9.3174501175781743E-2</v>
      </c>
      <c r="I719" s="2">
        <f t="shared" ca="1" si="689"/>
        <v>0.79613605219007166</v>
      </c>
      <c r="J719" s="2">
        <f t="shared" ca="1" si="690"/>
        <v>1.4139493284787434E-2</v>
      </c>
      <c r="K719" s="2">
        <f t="shared" ca="1" si="691"/>
        <v>1.4139493284787434E-2</v>
      </c>
      <c r="L719" s="2">
        <f t="shared" ca="1" si="692"/>
        <v>0.4240226382131399</v>
      </c>
      <c r="M719" s="2">
        <f t="shared" ca="1" si="693"/>
        <v>-3.8322620999791191E-3</v>
      </c>
      <c r="N719" s="2">
        <f t="shared" ca="1" si="694"/>
        <v>-3.8322620999791191E-3</v>
      </c>
      <c r="O719" s="2">
        <f t="shared" si="695"/>
        <v>6000000</v>
      </c>
      <c r="P719" s="2">
        <f t="shared" ca="1" si="696"/>
        <v>46595268.823965579</v>
      </c>
      <c r="Q719" s="2">
        <f t="shared" ca="1" si="697"/>
        <v>1164881.7205991396</v>
      </c>
      <c r="R719" s="2">
        <f t="shared" ca="1" si="698"/>
        <v>27957161.294379346</v>
      </c>
      <c r="S719" s="2">
        <f t="shared" ca="1" si="699"/>
        <v>18638107.529586233</v>
      </c>
      <c r="T719" s="2">
        <f t="shared" ca="1" si="700"/>
        <v>49808386.895001046</v>
      </c>
      <c r="U719" s="2">
        <f t="shared" ca="1" si="701"/>
        <v>54449258.498313107</v>
      </c>
      <c r="V719" s="2">
        <f t="shared" ca="1" si="702"/>
        <v>59522540.998284616</v>
      </c>
      <c r="W719" s="2">
        <f t="shared" ca="1" si="703"/>
        <v>65068524.064514793</v>
      </c>
      <c r="X719" s="2">
        <f t="shared" ca="1" si="704"/>
        <v>71131251.336470306</v>
      </c>
      <c r="Y719" s="2">
        <f t="shared" ca="1" si="705"/>
        <v>0.1270697466423937</v>
      </c>
      <c r="Z719" s="2">
        <f t="shared" ca="1" si="706"/>
        <v>0.12989764529935119</v>
      </c>
      <c r="AA719" s="2">
        <f t="shared" ca="1" si="707"/>
        <v>6329139.1034141062</v>
      </c>
      <c r="AB719" s="2">
        <f t="shared" ca="1" si="708"/>
        <v>7072830.4672265593</v>
      </c>
      <c r="AC719" s="2">
        <f t="shared" ca="1" si="709"/>
        <v>7731837.9179112641</v>
      </c>
      <c r="AD719" s="2">
        <f t="shared" ca="1" si="710"/>
        <v>8452248.059084639</v>
      </c>
      <c r="AE719" s="2">
        <f t="shared" ca="1" si="711"/>
        <v>9239782.0558038205</v>
      </c>
      <c r="AF719" s="2">
        <f t="shared" ca="1" si="712"/>
        <v>996167.7379000209</v>
      </c>
      <c r="AG719" s="2">
        <f t="shared" ca="1" si="713"/>
        <v>1088985.1699662621</v>
      </c>
      <c r="AH719" s="2">
        <f t="shared" ca="1" si="714"/>
        <v>1190450.8199656922</v>
      </c>
      <c r="AI719" s="2">
        <f t="shared" ca="1" si="715"/>
        <v>1301370.481290296</v>
      </c>
      <c r="AJ719" s="2">
        <f t="shared" ca="1" si="716"/>
        <v>1422625.0267294061</v>
      </c>
      <c r="AK719" s="2">
        <f t="shared" ca="1" si="717"/>
        <v>0</v>
      </c>
      <c r="AL719" s="2">
        <f t="shared" ca="1" si="718"/>
        <v>46408.716033120603</v>
      </c>
      <c r="AM719" s="2">
        <f t="shared" ca="1" si="719"/>
        <v>50732.824999715092</v>
      </c>
      <c r="AN719" s="2">
        <f t="shared" ca="1" si="720"/>
        <v>55459.830662301778</v>
      </c>
      <c r="AO719" s="2">
        <f t="shared" ca="1" si="721"/>
        <v>60627.272719555127</v>
      </c>
      <c r="AP719" s="2">
        <f t="shared" ca="1" si="722"/>
        <v>2516144.516494141</v>
      </c>
      <c r="AQ719" s="2">
        <f t="shared" ca="1" si="723"/>
        <v>732374.98074518563</v>
      </c>
      <c r="AR719" s="2">
        <f t="shared" ca="1" si="724"/>
        <v>901602.20299920067</v>
      </c>
      <c r="AS719" s="2">
        <f t="shared" ca="1" si="725"/>
        <v>1046563.0711773721</v>
      </c>
      <c r="AT719" s="2">
        <f t="shared" ca="1" si="726"/>
        <v>1205030.5959380525</v>
      </c>
      <c r="AU719" s="2">
        <f t="shared" ca="1" si="727"/>
        <v>1378263.2532708712</v>
      </c>
      <c r="AV719" s="2">
        <f t="shared" ca="1" si="728"/>
        <v>2084451.8682747586</v>
      </c>
      <c r="AW719" s="2">
        <f t="shared" ca="1" si="729"/>
        <v>2519689.8617338352</v>
      </c>
      <c r="AX719" s="2">
        <f t="shared" ca="1" si="730"/>
        <v>2927946.6852743439</v>
      </c>
      <c r="AY719" s="2">
        <f t="shared" ca="1" si="731"/>
        <v>3374242.6346998485</v>
      </c>
      <c r="AZ719" s="2">
        <f t="shared" ca="1" si="732"/>
        <v>3862121.9865898471</v>
      </c>
      <c r="BA719" s="2">
        <f t="shared" ca="1" si="733"/>
        <v>65710756.902394682</v>
      </c>
      <c r="BB719" s="2">
        <f t="shared" ca="1" si="734"/>
        <v>1314215.1380478938</v>
      </c>
      <c r="BC719" s="2">
        <f t="shared" ca="1" si="735"/>
        <v>36439380.46996744</v>
      </c>
      <c r="BD719" s="2">
        <f t="shared" ca="1" si="736"/>
        <v>-20302989.250185374</v>
      </c>
      <c r="BE719" s="2">
        <f t="shared" ca="1" si="737"/>
        <v>2084451.8682747586</v>
      </c>
      <c r="BF719" s="2">
        <f t="shared" ca="1" si="738"/>
        <v>2519689.8617338352</v>
      </c>
      <c r="BG719" s="2">
        <f t="shared" ca="1" si="739"/>
        <v>2927946.6852743439</v>
      </c>
      <c r="BH719" s="2">
        <f t="shared" ca="1" si="740"/>
        <v>3374242.6346998485</v>
      </c>
      <c r="BI719" s="2">
        <f t="shared" ca="1" si="741"/>
        <v>40301502.456557289</v>
      </c>
      <c r="BJ719" s="2">
        <f t="shared" ca="1" si="742"/>
        <v>0.23600368481132383</v>
      </c>
      <c r="BK719" s="2">
        <f t="shared" ca="1" si="743"/>
        <v>10663411.452612083</v>
      </c>
    </row>
    <row r="720" spans="1:63" x14ac:dyDescent="0.3">
      <c r="A720" s="2">
        <v>719</v>
      </c>
      <c r="B720" s="2">
        <f t="shared" ca="1" si="682"/>
        <v>0.32983166977511624</v>
      </c>
      <c r="C720" s="2">
        <f t="shared" ca="1" si="683"/>
        <v>6.8121966138505083</v>
      </c>
      <c r="D720" s="2">
        <f t="shared" ca="1" si="684"/>
        <v>0.16168218016905389</v>
      </c>
      <c r="E720" s="2">
        <f t="shared" ca="1" si="685"/>
        <v>7.0686513521817282</v>
      </c>
      <c r="F720" s="2">
        <f t="shared" ca="1" si="686"/>
        <v>0.77549667055847415</v>
      </c>
      <c r="G720" s="2">
        <f t="shared" ca="1" si="687"/>
        <v>6.2712163459321887E-2</v>
      </c>
      <c r="H720" s="2">
        <f t="shared" ca="1" si="688"/>
        <v>6.2712163459321887E-2</v>
      </c>
      <c r="I720" s="2">
        <f t="shared" ca="1" si="689"/>
        <v>0.18081343279788809</v>
      </c>
      <c r="J720" s="2">
        <f t="shared" ca="1" si="690"/>
        <v>5.4386524974788329E-3</v>
      </c>
      <c r="K720" s="2">
        <f t="shared" ca="1" si="691"/>
        <v>5.4386524974788329E-3</v>
      </c>
      <c r="L720" s="2">
        <f t="shared" ca="1" si="692"/>
        <v>0.42596702150127952</v>
      </c>
      <c r="M720" s="2">
        <f t="shared" ca="1" si="693"/>
        <v>-3.7330259719291388E-3</v>
      </c>
      <c r="N720" s="2">
        <f t="shared" ca="1" si="694"/>
        <v>-3.7330259719291388E-3</v>
      </c>
      <c r="O720" s="2">
        <f t="shared" si="695"/>
        <v>6000000</v>
      </c>
      <c r="P720" s="2">
        <f t="shared" ca="1" si="696"/>
        <v>40873179.683103047</v>
      </c>
      <c r="Q720" s="2">
        <f t="shared" ca="1" si="697"/>
        <v>1021829.4920775762</v>
      </c>
      <c r="R720" s="2">
        <f t="shared" ca="1" si="698"/>
        <v>24523907.809861828</v>
      </c>
      <c r="S720" s="2">
        <f t="shared" ca="1" si="699"/>
        <v>16349271.87324122</v>
      </c>
      <c r="T720" s="2">
        <f t="shared" ca="1" si="700"/>
        <v>49813348.701403543</v>
      </c>
      <c r="U720" s="2">
        <f t="shared" ca="1" si="701"/>
        <v>52937251.567622162</v>
      </c>
      <c r="V720" s="2">
        <f t="shared" ca="1" si="702"/>
        <v>56257061.14101813</v>
      </c>
      <c r="W720" s="2">
        <f t="shared" ca="1" si="703"/>
        <v>59785063.155034728</v>
      </c>
      <c r="X720" s="2">
        <f t="shared" ca="1" si="704"/>
        <v>63534313.808039151</v>
      </c>
      <c r="Y720" s="2">
        <f t="shared" ca="1" si="705"/>
        <v>0.12271932624873941</v>
      </c>
      <c r="Z720" s="2">
        <f t="shared" ca="1" si="706"/>
        <v>0.12380705674823518</v>
      </c>
      <c r="AA720" s="2">
        <f t="shared" ca="1" si="707"/>
        <v>6113060.5908297608</v>
      </c>
      <c r="AB720" s="2">
        <f t="shared" ca="1" si="708"/>
        <v>6554005.3089281991</v>
      </c>
      <c r="AC720" s="2">
        <f t="shared" ca="1" si="709"/>
        <v>6965021.1611749679</v>
      </c>
      <c r="AD720" s="2">
        <f t="shared" ca="1" si="710"/>
        <v>7401812.7067322088</v>
      </c>
      <c r="AE720" s="2">
        <f t="shared" ca="1" si="711"/>
        <v>7865996.395092085</v>
      </c>
      <c r="AF720" s="2">
        <f t="shared" ca="1" si="712"/>
        <v>996266.97402807092</v>
      </c>
      <c r="AG720" s="2">
        <f t="shared" ca="1" si="713"/>
        <v>1058745.0313524432</v>
      </c>
      <c r="AH720" s="2">
        <f t="shared" ca="1" si="714"/>
        <v>1125141.2228203625</v>
      </c>
      <c r="AI720" s="2">
        <f t="shared" ca="1" si="715"/>
        <v>1195701.2631006946</v>
      </c>
      <c r="AJ720" s="2">
        <f t="shared" ca="1" si="716"/>
        <v>1270686.2761607831</v>
      </c>
      <c r="AK720" s="2">
        <f t="shared" ca="1" si="717"/>
        <v>0</v>
      </c>
      <c r="AL720" s="2">
        <f t="shared" ca="1" si="718"/>
        <v>31239.028662186192</v>
      </c>
      <c r="AM720" s="2">
        <f t="shared" ca="1" si="719"/>
        <v>33198.095733959679</v>
      </c>
      <c r="AN720" s="2">
        <f t="shared" ca="1" si="720"/>
        <v>35280.020140165987</v>
      </c>
      <c r="AO720" s="2">
        <f t="shared" ca="1" si="721"/>
        <v>37492.506530044229</v>
      </c>
      <c r="AP720" s="2">
        <f t="shared" ca="1" si="722"/>
        <v>2207151.7028875644</v>
      </c>
      <c r="AQ720" s="2">
        <f t="shared" ca="1" si="723"/>
        <v>756506.8976176728</v>
      </c>
      <c r="AR720" s="2">
        <f t="shared" ca="1" si="724"/>
        <v>854908.22941892967</v>
      </c>
      <c r="AS720" s="2">
        <f t="shared" ca="1" si="725"/>
        <v>944509.3412214308</v>
      </c>
      <c r="AT720" s="2">
        <f t="shared" ca="1" si="726"/>
        <v>1039729.5325934269</v>
      </c>
      <c r="AU720" s="2">
        <f t="shared" ca="1" si="727"/>
        <v>1140921.1881713718</v>
      </c>
      <c r="AV720" s="2">
        <f t="shared" ca="1" si="728"/>
        <v>2153135.0162964533</v>
      </c>
      <c r="AW720" s="2">
        <f t="shared" ca="1" si="729"/>
        <v>2401961.3166070753</v>
      </c>
      <c r="AX720" s="2">
        <f t="shared" ca="1" si="730"/>
        <v>2655020.7985116509</v>
      </c>
      <c r="AY720" s="2">
        <f t="shared" ca="1" si="731"/>
        <v>2923950.1880103559</v>
      </c>
      <c r="AZ720" s="2">
        <f t="shared" ca="1" si="732"/>
        <v>3209744.721342321</v>
      </c>
      <c r="BA720" s="2">
        <f t="shared" ca="1" si="733"/>
        <v>55601986.054424264</v>
      </c>
      <c r="BB720" s="2">
        <f t="shared" ca="1" si="734"/>
        <v>1112039.7210884853</v>
      </c>
      <c r="BC720" s="2">
        <f t="shared" ca="1" si="735"/>
        <v>29966038.523473952</v>
      </c>
      <c r="BD720" s="2">
        <f t="shared" ca="1" si="736"/>
        <v>-17871101.365318798</v>
      </c>
      <c r="BE720" s="2">
        <f t="shared" ca="1" si="737"/>
        <v>2153135.0162964533</v>
      </c>
      <c r="BF720" s="2">
        <f t="shared" ca="1" si="738"/>
        <v>2401961.3166070753</v>
      </c>
      <c r="BG720" s="2">
        <f t="shared" ca="1" si="739"/>
        <v>2655020.7985116509</v>
      </c>
      <c r="BH720" s="2">
        <f t="shared" ca="1" si="740"/>
        <v>2923950.1880103559</v>
      </c>
      <c r="BI720" s="2">
        <f t="shared" ca="1" si="741"/>
        <v>33175783.244816273</v>
      </c>
      <c r="BJ720" s="2">
        <f t="shared" ca="1" si="742"/>
        <v>0.22925186879251003</v>
      </c>
      <c r="BK720" s="2">
        <f t="shared" ca="1" si="743"/>
        <v>8539014.4085889235</v>
      </c>
    </row>
    <row r="721" spans="1:63" x14ac:dyDescent="0.3">
      <c r="A721" s="2">
        <v>720</v>
      </c>
      <c r="B721" s="2">
        <f t="shared" ca="1" si="682"/>
        <v>1.3106534473325882E-2</v>
      </c>
      <c r="C721" s="2">
        <f t="shared" ca="1" si="683"/>
        <v>6.1619045056403676</v>
      </c>
      <c r="D721" s="2">
        <f t="shared" ca="1" si="684"/>
        <v>2.2874403687482836E-3</v>
      </c>
      <c r="E721" s="2">
        <f t="shared" ca="1" si="685"/>
        <v>6.567637864672804</v>
      </c>
      <c r="F721" s="2">
        <f t="shared" ca="1" si="686"/>
        <v>0.90975378336245205</v>
      </c>
      <c r="G721" s="2">
        <f t="shared" ca="1" si="687"/>
        <v>8.0177211169914719E-2</v>
      </c>
      <c r="H721" s="2">
        <f t="shared" ca="1" si="688"/>
        <v>8.0177211169914719E-2</v>
      </c>
      <c r="I721" s="2">
        <f t="shared" ca="1" si="689"/>
        <v>0.99190349645243947</v>
      </c>
      <c r="J721" s="2">
        <f t="shared" ca="1" si="690"/>
        <v>2.2022680465202858E-2</v>
      </c>
      <c r="K721" s="2">
        <f t="shared" ca="1" si="691"/>
        <v>2.2022680465202858E-2</v>
      </c>
      <c r="L721" s="2">
        <f t="shared" ca="1" si="692"/>
        <v>3.0265523131446037E-2</v>
      </c>
      <c r="M721" s="2">
        <f t="shared" ca="1" si="693"/>
        <v>-3.753811009746346E-2</v>
      </c>
      <c r="N721" s="2">
        <f t="shared" ca="1" si="694"/>
        <v>-3.753811009746346E-2</v>
      </c>
      <c r="O721" s="2">
        <f t="shared" si="695"/>
        <v>6000000</v>
      </c>
      <c r="P721" s="2">
        <f t="shared" ca="1" si="696"/>
        <v>36971427.033842206</v>
      </c>
      <c r="Q721" s="2">
        <f t="shared" ca="1" si="697"/>
        <v>924285.67584605515</v>
      </c>
      <c r="R721" s="2">
        <f t="shared" ca="1" si="698"/>
        <v>22182856.220305324</v>
      </c>
      <c r="S721" s="2">
        <f t="shared" ca="1" si="699"/>
        <v>14788570.813536882</v>
      </c>
      <c r="T721" s="2">
        <f t="shared" ca="1" si="700"/>
        <v>48123094.495126829</v>
      </c>
      <c r="U721" s="2">
        <f t="shared" ca="1" si="701"/>
        <v>51981470.004612379</v>
      </c>
      <c r="V721" s="2">
        <f t="shared" ca="1" si="702"/>
        <v>56149199.30209478</v>
      </c>
      <c r="W721" s="2">
        <f t="shared" ca="1" si="703"/>
        <v>60651085.51156047</v>
      </c>
      <c r="X721" s="2">
        <f t="shared" ca="1" si="704"/>
        <v>65513920.402305417</v>
      </c>
      <c r="Y721" s="2">
        <f t="shared" ca="1" si="705"/>
        <v>0.13101134023260141</v>
      </c>
      <c r="Z721" s="2">
        <f t="shared" ca="1" si="706"/>
        <v>0.135415876325642</v>
      </c>
      <c r="AA721" s="2">
        <f t="shared" ca="1" si="707"/>
        <v>6304671.1059466889</v>
      </c>
      <c r="AB721" s="2">
        <f t="shared" ca="1" si="708"/>
        <v>7039116.3133696597</v>
      </c>
      <c r="AC721" s="2">
        <f t="shared" ca="1" si="709"/>
        <v>7603493.0284762913</v>
      </c>
      <c r="AD721" s="2">
        <f t="shared" ca="1" si="710"/>
        <v>8213119.8946494106</v>
      </c>
      <c r="AE721" s="2">
        <f t="shared" ca="1" si="711"/>
        <v>8871624.9428065456</v>
      </c>
      <c r="AF721" s="2">
        <f t="shared" ca="1" si="712"/>
        <v>962461.88990253664</v>
      </c>
      <c r="AG721" s="2">
        <f t="shared" ca="1" si="713"/>
        <v>1039629.4000922476</v>
      </c>
      <c r="AH721" s="2">
        <f t="shared" ca="1" si="714"/>
        <v>1122983.9860418956</v>
      </c>
      <c r="AI721" s="2">
        <f t="shared" ca="1" si="715"/>
        <v>1213021.7102312094</v>
      </c>
      <c r="AJ721" s="2">
        <f t="shared" ca="1" si="716"/>
        <v>1310278.4080461084</v>
      </c>
      <c r="AK721" s="2">
        <f t="shared" ca="1" si="717"/>
        <v>0</v>
      </c>
      <c r="AL721" s="2">
        <f t="shared" ca="1" si="718"/>
        <v>38583.7550948555</v>
      </c>
      <c r="AM721" s="2">
        <f t="shared" ca="1" si="719"/>
        <v>41677.292974824013</v>
      </c>
      <c r="AN721" s="2">
        <f t="shared" ca="1" si="720"/>
        <v>45018.862094656899</v>
      </c>
      <c r="AO721" s="2">
        <f t="shared" ca="1" si="721"/>
        <v>48628.348907449472</v>
      </c>
      <c r="AP721" s="2">
        <f t="shared" ca="1" si="722"/>
        <v>1996457.0598274791</v>
      </c>
      <c r="AQ721" s="2">
        <f t="shared" ca="1" si="723"/>
        <v>869895.56061633502</v>
      </c>
      <c r="AR721" s="2">
        <f t="shared" ca="1" si="724"/>
        <v>1040787.7618969826</v>
      </c>
      <c r="AS721" s="2">
        <f t="shared" ca="1" si="725"/>
        <v>1165853.5154777986</v>
      </c>
      <c r="AT721" s="2">
        <f t="shared" ca="1" si="726"/>
        <v>1300946.6923935879</v>
      </c>
      <c r="AU721" s="2">
        <f t="shared" ca="1" si="727"/>
        <v>1446871.263482569</v>
      </c>
      <c r="AV721" s="2">
        <f t="shared" ca="1" si="728"/>
        <v>2475856.5956003382</v>
      </c>
      <c r="AW721" s="2">
        <f t="shared" ca="1" si="729"/>
        <v>2923658.3364580949</v>
      </c>
      <c r="AX721" s="2">
        <f t="shared" ca="1" si="730"/>
        <v>3276521.1741542942</v>
      </c>
      <c r="AY721" s="2">
        <f t="shared" ca="1" si="731"/>
        <v>3657675.5701024779</v>
      </c>
      <c r="AZ721" s="2">
        <f t="shared" ca="1" si="732"/>
        <v>4069389.8625429398</v>
      </c>
      <c r="BA721" s="2">
        <f t="shared" ca="1" si="733"/>
        <v>58265619.895551965</v>
      </c>
      <c r="BB721" s="2">
        <f t="shared" ca="1" si="734"/>
        <v>1165312.3979110394</v>
      </c>
      <c r="BC721" s="2">
        <f t="shared" ca="1" si="735"/>
        <v>34917451.277335599</v>
      </c>
      <c r="BD721" s="2">
        <f t="shared" ca="1" si="736"/>
        <v>-16212856.489382938</v>
      </c>
      <c r="BE721" s="2">
        <f t="shared" ca="1" si="737"/>
        <v>2475856.5956003382</v>
      </c>
      <c r="BF721" s="2">
        <f t="shared" ca="1" si="738"/>
        <v>2923658.3364580949</v>
      </c>
      <c r="BG721" s="2">
        <f t="shared" ca="1" si="739"/>
        <v>3276521.1741542942</v>
      </c>
      <c r="BH721" s="2">
        <f t="shared" ca="1" si="740"/>
        <v>3657675.5701024779</v>
      </c>
      <c r="BI721" s="2">
        <f t="shared" ca="1" si="741"/>
        <v>38986841.139878541</v>
      </c>
      <c r="BJ721" s="2">
        <f t="shared" ca="1" si="742"/>
        <v>0.31376524948388118</v>
      </c>
      <c r="BK721" s="2">
        <f t="shared" ca="1" si="743"/>
        <v>15107314.968011245</v>
      </c>
    </row>
    <row r="722" spans="1:63" x14ac:dyDescent="0.3">
      <c r="A722" s="2">
        <v>721</v>
      </c>
      <c r="B722" s="2">
        <f t="shared" ca="1" si="682"/>
        <v>0.91094556434924323</v>
      </c>
      <c r="C722" s="2">
        <f t="shared" ca="1" si="683"/>
        <v>7.5779705326620981</v>
      </c>
      <c r="D722" s="2">
        <f t="shared" ca="1" si="684"/>
        <v>0.22373810217929857</v>
      </c>
      <c r="E722" s="2">
        <f t="shared" ca="1" si="685"/>
        <v>7.1689366220791007</v>
      </c>
      <c r="F722" s="2">
        <f t="shared" ca="1" si="686"/>
        <v>0.54106662228184432</v>
      </c>
      <c r="G722" s="2">
        <f t="shared" ca="1" si="687"/>
        <v>4.3093636911587893E-2</v>
      </c>
      <c r="H722" s="2">
        <f t="shared" ca="1" si="688"/>
        <v>4.3093636911587893E-2</v>
      </c>
      <c r="I722" s="2">
        <f t="shared" ca="1" si="689"/>
        <v>0.34992571849713772</v>
      </c>
      <c r="J722" s="2">
        <f t="shared" ca="1" si="690"/>
        <v>8.0723949064450233E-3</v>
      </c>
      <c r="K722" s="2">
        <f t="shared" ca="1" si="691"/>
        <v>8.0723949064450233E-3</v>
      </c>
      <c r="L722" s="2">
        <f t="shared" ca="1" si="692"/>
        <v>0.4064762680240801</v>
      </c>
      <c r="M722" s="2">
        <f t="shared" ca="1" si="693"/>
        <v>-4.7323759481420532E-3</v>
      </c>
      <c r="N722" s="2">
        <f t="shared" ca="1" si="694"/>
        <v>-4.7323759481420532E-3</v>
      </c>
      <c r="O722" s="2">
        <f t="shared" si="695"/>
        <v>6000000</v>
      </c>
      <c r="P722" s="2">
        <f t="shared" ca="1" si="696"/>
        <v>45467823.195972592</v>
      </c>
      <c r="Q722" s="2">
        <f t="shared" ca="1" si="697"/>
        <v>1136695.5798993148</v>
      </c>
      <c r="R722" s="2">
        <f t="shared" ca="1" si="698"/>
        <v>27280693.917583555</v>
      </c>
      <c r="S722" s="2">
        <f t="shared" ca="1" si="699"/>
        <v>18187129.278389037</v>
      </c>
      <c r="T722" s="2">
        <f t="shared" ca="1" si="700"/>
        <v>49763381.202592902</v>
      </c>
      <c r="U722" s="2">
        <f t="shared" ca="1" si="701"/>
        <v>51907866.283630379</v>
      </c>
      <c r="V722" s="2">
        <f t="shared" ca="1" si="702"/>
        <v>54144765.026112407</v>
      </c>
      <c r="W722" s="2">
        <f t="shared" ca="1" si="703"/>
        <v>56478059.870810941</v>
      </c>
      <c r="X722" s="2">
        <f t="shared" ca="1" si="704"/>
        <v>58911904.876354598</v>
      </c>
      <c r="Y722" s="2">
        <f t="shared" ca="1" si="705"/>
        <v>0.1240361974532225</v>
      </c>
      <c r="Z722" s="2">
        <f t="shared" ca="1" si="706"/>
        <v>0.1256506764345115</v>
      </c>
      <c r="AA722" s="2">
        <f t="shared" ca="1" si="707"/>
        <v>6172460.5767847942</v>
      </c>
      <c r="AB722" s="2">
        <f t="shared" ca="1" si="708"/>
        <v>6522258.5108103296</v>
      </c>
      <c r="AC722" s="2">
        <f t="shared" ca="1" si="709"/>
        <v>6803326.3509187046</v>
      </c>
      <c r="AD722" s="2">
        <f t="shared" ca="1" si="710"/>
        <v>7096506.4264762336</v>
      </c>
      <c r="AE722" s="2">
        <f t="shared" ca="1" si="711"/>
        <v>7402320.6977595519</v>
      </c>
      <c r="AF722" s="2">
        <f t="shared" ca="1" si="712"/>
        <v>995267.62405185809</v>
      </c>
      <c r="AG722" s="2">
        <f t="shared" ca="1" si="713"/>
        <v>1038157.3256726076</v>
      </c>
      <c r="AH722" s="2">
        <f t="shared" ca="1" si="714"/>
        <v>1082895.3005222483</v>
      </c>
      <c r="AI722" s="2">
        <f t="shared" ca="1" si="715"/>
        <v>1129561.1974162189</v>
      </c>
      <c r="AJ722" s="2">
        <f t="shared" ca="1" si="716"/>
        <v>1178238.0975270921</v>
      </c>
      <c r="AK722" s="2">
        <f t="shared" ca="1" si="717"/>
        <v>0</v>
      </c>
      <c r="AL722" s="2">
        <f t="shared" ca="1" si="718"/>
        <v>21444.850810374766</v>
      </c>
      <c r="AM722" s="2">
        <f t="shared" ca="1" si="719"/>
        <v>22368.98742482029</v>
      </c>
      <c r="AN722" s="2">
        <f t="shared" ca="1" si="720"/>
        <v>23332.948446985334</v>
      </c>
      <c r="AO722" s="2">
        <f t="shared" ca="1" si="721"/>
        <v>24338.450055436566</v>
      </c>
      <c r="AP722" s="2">
        <f t="shared" ca="1" si="722"/>
        <v>2455262.45258252</v>
      </c>
      <c r="AQ722" s="2">
        <f t="shared" ca="1" si="723"/>
        <v>707701.93003910827</v>
      </c>
      <c r="AR722" s="2">
        <f t="shared" ca="1" si="724"/>
        <v>787498.0704643525</v>
      </c>
      <c r="AS722" s="2">
        <f t="shared" ca="1" si="725"/>
        <v>848943.83543162351</v>
      </c>
      <c r="AT722" s="2">
        <f t="shared" ca="1" si="726"/>
        <v>913037.52188414871</v>
      </c>
      <c r="AU722" s="2">
        <f t="shared" ca="1" si="727"/>
        <v>979893.23838898435</v>
      </c>
      <c r="AV722" s="2">
        <f t="shared" ca="1" si="728"/>
        <v>2014228.5701113078</v>
      </c>
      <c r="AW722" s="2">
        <f t="shared" ca="1" si="729"/>
        <v>2219895.8112804745</v>
      </c>
      <c r="AX722" s="2">
        <f t="shared" ca="1" si="730"/>
        <v>2393855.7749574925</v>
      </c>
      <c r="AY722" s="2">
        <f t="shared" ca="1" si="731"/>
        <v>2575312.3061463605</v>
      </c>
      <c r="AZ722" s="2">
        <f t="shared" ca="1" si="732"/>
        <v>2764588.4592055189</v>
      </c>
      <c r="BA722" s="2">
        <f t="shared" ca="1" si="733"/>
        <v>53066767.938542575</v>
      </c>
      <c r="BB722" s="2">
        <f t="shared" ca="1" si="734"/>
        <v>1061335.3587708515</v>
      </c>
      <c r="BC722" s="2">
        <f t="shared" ca="1" si="735"/>
        <v>24724738.662188169</v>
      </c>
      <c r="BD722" s="2">
        <f t="shared" ca="1" si="736"/>
        <v>-19823824.858288351</v>
      </c>
      <c r="BE722" s="2">
        <f t="shared" ca="1" si="737"/>
        <v>2014228.5701113078</v>
      </c>
      <c r="BF722" s="2">
        <f t="shared" ca="1" si="738"/>
        <v>2219895.8112804745</v>
      </c>
      <c r="BG722" s="2">
        <f t="shared" ca="1" si="739"/>
        <v>2393855.7749574925</v>
      </c>
      <c r="BH722" s="2">
        <f t="shared" ca="1" si="740"/>
        <v>2575312.3061463605</v>
      </c>
      <c r="BI722" s="2">
        <f t="shared" ca="1" si="741"/>
        <v>27489327.121393688</v>
      </c>
      <c r="BJ722" s="2">
        <f t="shared" ca="1" si="742"/>
        <v>0.15442173518551772</v>
      </c>
      <c r="BK722" s="2">
        <f t="shared" ca="1" si="743"/>
        <v>2683020.0965720974</v>
      </c>
    </row>
    <row r="723" spans="1:63" x14ac:dyDescent="0.3">
      <c r="A723" s="2">
        <v>722</v>
      </c>
      <c r="B723" s="2">
        <f t="shared" ca="1" si="682"/>
        <v>0.15095104631783363</v>
      </c>
      <c r="C723" s="2">
        <f t="shared" ca="1" si="683"/>
        <v>6.5494561789948929</v>
      </c>
      <c r="D723" s="2">
        <f t="shared" ca="1" si="684"/>
        <v>0.18713424149872571</v>
      </c>
      <c r="E723" s="2">
        <f t="shared" ca="1" si="685"/>
        <v>7.1117748629990052</v>
      </c>
      <c r="F723" s="2">
        <f t="shared" ca="1" si="686"/>
        <v>0.60013301248106432</v>
      </c>
      <c r="G723" s="2">
        <f t="shared" ca="1" si="687"/>
        <v>4.7610742136835374E-2</v>
      </c>
      <c r="H723" s="2">
        <f t="shared" ca="1" si="688"/>
        <v>4.7610742136835374E-2</v>
      </c>
      <c r="I723" s="2">
        <f t="shared" ca="1" si="689"/>
        <v>0.44797423180861806</v>
      </c>
      <c r="J723" s="2">
        <f t="shared" ca="1" si="690"/>
        <v>9.3460944306846851E-3</v>
      </c>
      <c r="K723" s="2">
        <f t="shared" ca="1" si="691"/>
        <v>9.3460944306846851E-3</v>
      </c>
      <c r="L723" s="2">
        <f t="shared" ca="1" si="692"/>
        <v>0.22023319557714172</v>
      </c>
      <c r="M723" s="2">
        <f t="shared" ca="1" si="693"/>
        <v>-1.5428117592003614E-2</v>
      </c>
      <c r="N723" s="2">
        <f t="shared" ca="1" si="694"/>
        <v>-1.5428117592003614E-2</v>
      </c>
      <c r="O723" s="2">
        <f t="shared" si="695"/>
        <v>6000000</v>
      </c>
      <c r="P723" s="2">
        <f t="shared" ca="1" si="696"/>
        <v>39296737.073969357</v>
      </c>
      <c r="Q723" s="2">
        <f t="shared" ca="1" si="697"/>
        <v>982418.42684923392</v>
      </c>
      <c r="R723" s="2">
        <f t="shared" ca="1" si="698"/>
        <v>23578042.244381614</v>
      </c>
      <c r="S723" s="2">
        <f t="shared" ca="1" si="699"/>
        <v>15718694.829587743</v>
      </c>
      <c r="T723" s="2">
        <f t="shared" ca="1" si="700"/>
        <v>49228594.120399818</v>
      </c>
      <c r="U723" s="2">
        <f t="shared" ca="1" si="701"/>
        <v>51572404.02082511</v>
      </c>
      <c r="V723" s="2">
        <f t="shared" ca="1" si="702"/>
        <v>54027804.450037308</v>
      </c>
      <c r="W723" s="2">
        <f t="shared" ca="1" si="703"/>
        <v>56600108.315927409</v>
      </c>
      <c r="X723" s="2">
        <f t="shared" ca="1" si="704"/>
        <v>59294881.477873988</v>
      </c>
      <c r="Y723" s="2">
        <f t="shared" ca="1" si="705"/>
        <v>0.12467304721534234</v>
      </c>
      <c r="Z723" s="2">
        <f t="shared" ca="1" si="706"/>
        <v>0.12654226610147928</v>
      </c>
      <c r="AA723" s="2">
        <f t="shared" ca="1" si="707"/>
        <v>6137478.8391175307</v>
      </c>
      <c r="AB723" s="2">
        <f t="shared" ca="1" si="708"/>
        <v>6526088.8730962509</v>
      </c>
      <c r="AC723" s="2">
        <f t="shared" ca="1" si="709"/>
        <v>6836800.8075953079</v>
      </c>
      <c r="AD723" s="2">
        <f t="shared" ca="1" si="710"/>
        <v>7162305.967886637</v>
      </c>
      <c r="AE723" s="2">
        <f t="shared" ca="1" si="711"/>
        <v>7503308.6704288051</v>
      </c>
      <c r="AF723" s="2">
        <f t="shared" ca="1" si="712"/>
        <v>984571.88240799634</v>
      </c>
      <c r="AG723" s="2">
        <f t="shared" ca="1" si="713"/>
        <v>1031448.0804165022</v>
      </c>
      <c r="AH723" s="2">
        <f t="shared" ca="1" si="714"/>
        <v>1080556.0890007461</v>
      </c>
      <c r="AI723" s="2">
        <f t="shared" ca="1" si="715"/>
        <v>1132002.1663185481</v>
      </c>
      <c r="AJ723" s="2">
        <f t="shared" ca="1" si="716"/>
        <v>1185897.6295574799</v>
      </c>
      <c r="AK723" s="2">
        <f t="shared" ca="1" si="717"/>
        <v>0</v>
      </c>
      <c r="AL723" s="2">
        <f t="shared" ca="1" si="718"/>
        <v>23438.099004252927</v>
      </c>
      <c r="AM723" s="2">
        <f t="shared" ca="1" si="719"/>
        <v>24554.004292121976</v>
      </c>
      <c r="AN723" s="2">
        <f t="shared" ca="1" si="720"/>
        <v>25723.038658901005</v>
      </c>
      <c r="AO723" s="2">
        <f t="shared" ca="1" si="721"/>
        <v>26947.731619465798</v>
      </c>
      <c r="AP723" s="2">
        <f t="shared" ca="1" si="722"/>
        <v>2122023.8019943452</v>
      </c>
      <c r="AQ723" s="2">
        <f t="shared" ca="1" si="723"/>
        <v>788029.6202259491</v>
      </c>
      <c r="AR723" s="2">
        <f t="shared" ca="1" si="724"/>
        <v>876880.41757820488</v>
      </c>
      <c r="AS723" s="2">
        <f t="shared" ca="1" si="725"/>
        <v>944897.4383160565</v>
      </c>
      <c r="AT723" s="2">
        <f t="shared" ca="1" si="726"/>
        <v>1016152.7998891735</v>
      </c>
      <c r="AU723" s="2">
        <f t="shared" ca="1" si="727"/>
        <v>1090800.6821080148</v>
      </c>
      <c r="AV723" s="2">
        <f t="shared" ca="1" si="728"/>
        <v>2242853.5344892396</v>
      </c>
      <c r="AW723" s="2">
        <f t="shared" ca="1" si="729"/>
        <v>2472298.474102946</v>
      </c>
      <c r="AX723" s="2">
        <f t="shared" ca="1" si="730"/>
        <v>2664769.4739920385</v>
      </c>
      <c r="AY723" s="2">
        <f t="shared" ca="1" si="731"/>
        <v>2866404.1610256694</v>
      </c>
      <c r="AZ723" s="2">
        <f t="shared" ca="1" si="732"/>
        <v>3077638.8251494989</v>
      </c>
      <c r="BA723" s="2">
        <f t="shared" ca="1" si="733"/>
        <v>53361841.991678059</v>
      </c>
      <c r="BB723" s="2">
        <f t="shared" ca="1" si="734"/>
        <v>1067236.8398335611</v>
      </c>
      <c r="BC723" s="2">
        <f t="shared" ca="1" si="735"/>
        <v>28716562.907462884</v>
      </c>
      <c r="BD723" s="2">
        <f t="shared" ca="1" si="736"/>
        <v>-17201113.256436978</v>
      </c>
      <c r="BE723" s="2">
        <f t="shared" ca="1" si="737"/>
        <v>2242853.5344892396</v>
      </c>
      <c r="BF723" s="2">
        <f t="shared" ca="1" si="738"/>
        <v>2472298.474102946</v>
      </c>
      <c r="BG723" s="2">
        <f t="shared" ca="1" si="739"/>
        <v>2664769.4739920385</v>
      </c>
      <c r="BH723" s="2">
        <f t="shared" ca="1" si="740"/>
        <v>2866404.1610256694</v>
      </c>
      <c r="BI723" s="2">
        <f t="shared" ca="1" si="741"/>
        <v>31794201.732612383</v>
      </c>
      <c r="BJ723" s="2">
        <f t="shared" ca="1" si="742"/>
        <v>0.23410214178521382</v>
      </c>
      <c r="BK723" s="2">
        <f t="shared" ca="1" si="743"/>
        <v>8531601.6093771234</v>
      </c>
    </row>
    <row r="724" spans="1:63" x14ac:dyDescent="0.3">
      <c r="A724" s="2">
        <v>723</v>
      </c>
      <c r="B724" s="2">
        <f t="shared" ca="1" si="682"/>
        <v>0.2655514956374061</v>
      </c>
      <c r="C724" s="2">
        <f t="shared" ca="1" si="683"/>
        <v>6.7287681327245394</v>
      </c>
      <c r="D724" s="2">
        <f t="shared" ca="1" si="684"/>
        <v>0.77688867634011882</v>
      </c>
      <c r="E724" s="2">
        <f t="shared" ca="1" si="685"/>
        <v>7.8320010124859749</v>
      </c>
      <c r="F724" s="2">
        <f t="shared" ca="1" si="686"/>
        <v>8.8804732038139322E-2</v>
      </c>
      <c r="G724" s="2">
        <f t="shared" ca="1" si="687"/>
        <v>-4.4456329169600267E-4</v>
      </c>
      <c r="H724" s="2">
        <f t="shared" ca="1" si="688"/>
        <v>-4.4456329169600267E-4</v>
      </c>
      <c r="I724" s="2">
        <f t="shared" ca="1" si="689"/>
        <v>0.59917455153107768</v>
      </c>
      <c r="J724" s="2">
        <f t="shared" ca="1" si="690"/>
        <v>1.1256055540007862E-2</v>
      </c>
      <c r="K724" s="2">
        <f t="shared" ca="1" si="691"/>
        <v>1.1256055540007862E-2</v>
      </c>
      <c r="L724" s="2">
        <f t="shared" ca="1" si="692"/>
        <v>0.96468354475145512</v>
      </c>
      <c r="M724" s="2">
        <f t="shared" ca="1" si="693"/>
        <v>3.6156606755577178E-2</v>
      </c>
      <c r="N724" s="2">
        <f t="shared" ca="1" si="694"/>
        <v>3.6156606755577178E-2</v>
      </c>
      <c r="O724" s="2">
        <f t="shared" si="695"/>
        <v>6000000</v>
      </c>
      <c r="P724" s="2">
        <f t="shared" ca="1" si="696"/>
        <v>40372608.796347238</v>
      </c>
      <c r="Q724" s="2">
        <f t="shared" ca="1" si="697"/>
        <v>1009315.219908681</v>
      </c>
      <c r="R724" s="2">
        <f t="shared" ca="1" si="698"/>
        <v>24223565.277808342</v>
      </c>
      <c r="S724" s="2">
        <f t="shared" ca="1" si="699"/>
        <v>16149043.518538896</v>
      </c>
      <c r="T724" s="2">
        <f t="shared" ca="1" si="700"/>
        <v>51807830.337778859</v>
      </c>
      <c r="U724" s="2">
        <f t="shared" ca="1" si="701"/>
        <v>51784798.478188269</v>
      </c>
      <c r="V724" s="2">
        <f t="shared" ca="1" si="702"/>
        <v>51761776.857716992</v>
      </c>
      <c r="W724" s="2">
        <f t="shared" ca="1" si="703"/>
        <v>51738765.471813098</v>
      </c>
      <c r="X724" s="2">
        <f t="shared" ca="1" si="704"/>
        <v>51715764.315926664</v>
      </c>
      <c r="Y724" s="2">
        <f t="shared" ca="1" si="705"/>
        <v>0.12562802777000392</v>
      </c>
      <c r="Z724" s="2">
        <f t="shared" ca="1" si="706"/>
        <v>0.12787923887800551</v>
      </c>
      <c r="AA724" s="2">
        <f t="shared" ca="1" si="707"/>
        <v>6508515.5483781341</v>
      </c>
      <c r="AB724" s="2">
        <f t="shared" ca="1" si="708"/>
        <v>6622200.6148416139</v>
      </c>
      <c r="AC724" s="2">
        <f t="shared" ca="1" si="709"/>
        <v>6619256.6275380086</v>
      </c>
      <c r="AD724" s="2">
        <f t="shared" ca="1" si="710"/>
        <v>6616313.9490230903</v>
      </c>
      <c r="AE724" s="2">
        <f t="shared" ca="1" si="711"/>
        <v>6613372.5787150189</v>
      </c>
      <c r="AF724" s="2">
        <f t="shared" ca="1" si="712"/>
        <v>1036156.6067555771</v>
      </c>
      <c r="AG724" s="2">
        <f t="shared" ca="1" si="713"/>
        <v>1035695.9695637655</v>
      </c>
      <c r="AH724" s="2">
        <f t="shared" ca="1" si="714"/>
        <v>1035235.5371543398</v>
      </c>
      <c r="AI724" s="2">
        <f t="shared" ca="1" si="715"/>
        <v>1034775.309436262</v>
      </c>
      <c r="AJ724" s="2">
        <f t="shared" ca="1" si="716"/>
        <v>1034315.2863185332</v>
      </c>
      <c r="AK724" s="2">
        <f t="shared" ca="1" si="717"/>
        <v>0</v>
      </c>
      <c r="AL724" s="2">
        <f t="shared" ca="1" si="718"/>
        <v>0</v>
      </c>
      <c r="AM724" s="2">
        <f t="shared" ca="1" si="719"/>
        <v>0</v>
      </c>
      <c r="AN724" s="2">
        <f t="shared" ca="1" si="720"/>
        <v>0</v>
      </c>
      <c r="AO724" s="2">
        <f t="shared" ca="1" si="721"/>
        <v>0</v>
      </c>
      <c r="AP724" s="2">
        <f t="shared" ca="1" si="722"/>
        <v>2180120.8750027507</v>
      </c>
      <c r="AQ724" s="2">
        <f t="shared" ca="1" si="723"/>
        <v>855981.89732114971</v>
      </c>
      <c r="AR724" s="2">
        <f t="shared" ca="1" si="724"/>
        <v>885659.78027152549</v>
      </c>
      <c r="AS724" s="2">
        <f t="shared" ca="1" si="725"/>
        <v>885014.05599903862</v>
      </c>
      <c r="AT724" s="2">
        <f t="shared" ca="1" si="726"/>
        <v>884368.6187918603</v>
      </c>
      <c r="AU724" s="2">
        <f t="shared" ca="1" si="727"/>
        <v>883723.46852237114</v>
      </c>
      <c r="AV724" s="2">
        <f t="shared" ca="1" si="728"/>
        <v>2436256.1692986568</v>
      </c>
      <c r="AW724" s="2">
        <f t="shared" ca="1" si="729"/>
        <v>2520723.9900035723</v>
      </c>
      <c r="AX724" s="2">
        <f t="shared" ca="1" si="730"/>
        <v>2518886.159381879</v>
      </c>
      <c r="AY724" s="2">
        <f t="shared" ca="1" si="731"/>
        <v>2517049.1457922175</v>
      </c>
      <c r="AZ724" s="2">
        <f t="shared" ca="1" si="732"/>
        <v>2515212.9488713644</v>
      </c>
      <c r="BA724" s="2">
        <f t="shared" ca="1" si="733"/>
        <v>51795940.732443012</v>
      </c>
      <c r="BB724" s="2">
        <f t="shared" ca="1" si="734"/>
        <v>1035918.8146488603</v>
      </c>
      <c r="BC724" s="2">
        <f t="shared" ca="1" si="735"/>
        <v>26536456.639985811</v>
      </c>
      <c r="BD724" s="2">
        <f t="shared" ca="1" si="736"/>
        <v>-17658358.738447577</v>
      </c>
      <c r="BE724" s="2">
        <f t="shared" ca="1" si="737"/>
        <v>2436256.1692986568</v>
      </c>
      <c r="BF724" s="2">
        <f t="shared" ca="1" si="738"/>
        <v>2520723.9900035723</v>
      </c>
      <c r="BG724" s="2">
        <f t="shared" ca="1" si="739"/>
        <v>2518886.159381879</v>
      </c>
      <c r="BH724" s="2">
        <f t="shared" ca="1" si="740"/>
        <v>2517049.1457922175</v>
      </c>
      <c r="BI724" s="2">
        <f t="shared" ca="1" si="741"/>
        <v>29051669.588857174</v>
      </c>
      <c r="BJ724" s="2">
        <f t="shared" ca="1" si="742"/>
        <v>0.20783739410496049</v>
      </c>
      <c r="BK724" s="2">
        <f t="shared" ca="1" si="743"/>
        <v>6403596.8952712081</v>
      </c>
    </row>
    <row r="725" spans="1:63" x14ac:dyDescent="0.3">
      <c r="A725" s="2">
        <v>724</v>
      </c>
      <c r="B725" s="2">
        <f t="shared" ca="1" si="682"/>
        <v>0.34509058246073598</v>
      </c>
      <c r="C725" s="2">
        <f t="shared" ca="1" si="683"/>
        <v>6.8307714276029667</v>
      </c>
      <c r="D725" s="2">
        <f t="shared" ca="1" si="684"/>
        <v>0.31426285358922801</v>
      </c>
      <c r="E725" s="2">
        <f t="shared" ca="1" si="685"/>
        <v>7.2927961321666848</v>
      </c>
      <c r="F725" s="2">
        <f t="shared" ca="1" si="686"/>
        <v>0.79335167608807278</v>
      </c>
      <c r="G725" s="2">
        <f t="shared" ca="1" si="687"/>
        <v>6.4543180804210329E-2</v>
      </c>
      <c r="H725" s="2">
        <f t="shared" ca="1" si="688"/>
        <v>6.4543180804210329E-2</v>
      </c>
      <c r="I725" s="2">
        <f t="shared" ca="1" si="689"/>
        <v>0.59650816053799949</v>
      </c>
      <c r="J725" s="2">
        <f t="shared" ca="1" si="690"/>
        <v>1.1221595584194902E-2</v>
      </c>
      <c r="K725" s="2">
        <f t="shared" ca="1" si="691"/>
        <v>1.1221595584194902E-2</v>
      </c>
      <c r="L725" s="2">
        <f t="shared" ca="1" si="692"/>
        <v>0.5221729174336629</v>
      </c>
      <c r="M725" s="2">
        <f t="shared" ca="1" si="693"/>
        <v>1.1121581461750261E-3</v>
      </c>
      <c r="N725" s="2">
        <f t="shared" ca="1" si="694"/>
        <v>1.1121581461750261E-3</v>
      </c>
      <c r="O725" s="2">
        <f t="shared" si="695"/>
        <v>6000000</v>
      </c>
      <c r="P725" s="2">
        <f t="shared" ca="1" si="696"/>
        <v>40984628.5656178</v>
      </c>
      <c r="Q725" s="2">
        <f t="shared" ca="1" si="697"/>
        <v>1024615.714140445</v>
      </c>
      <c r="R725" s="2">
        <f t="shared" ca="1" si="698"/>
        <v>24590777.13937068</v>
      </c>
      <c r="S725" s="2">
        <f t="shared" ca="1" si="699"/>
        <v>16393851.42624712</v>
      </c>
      <c r="T725" s="2">
        <f t="shared" ca="1" si="700"/>
        <v>50055607.90730875</v>
      </c>
      <c r="U725" s="2">
        <f t="shared" ca="1" si="701"/>
        <v>53286356.058734834</v>
      </c>
      <c r="V725" s="2">
        <f t="shared" ca="1" si="702"/>
        <v>56725626.972231284</v>
      </c>
      <c r="W725" s="2">
        <f t="shared" ca="1" si="703"/>
        <v>60386879.370132193</v>
      </c>
      <c r="X725" s="2">
        <f t="shared" ca="1" si="704"/>
        <v>64284440.643520668</v>
      </c>
      <c r="Y725" s="2">
        <f t="shared" ca="1" si="705"/>
        <v>0.12561079779209744</v>
      </c>
      <c r="Z725" s="2">
        <f t="shared" ca="1" si="706"/>
        <v>0.12785511690893642</v>
      </c>
      <c r="AA725" s="2">
        <f t="shared" ca="1" si="707"/>
        <v>6287524.8432054734</v>
      </c>
      <c r="AB725" s="2">
        <f t="shared" ca="1" si="708"/>
        <v>6812933.2835407546</v>
      </c>
      <c r="AC725" s="2">
        <f t="shared" ca="1" si="709"/>
        <v>7252661.6682673478</v>
      </c>
      <c r="AD725" s="2">
        <f t="shared" ca="1" si="710"/>
        <v>7720771.5216340926</v>
      </c>
      <c r="AE725" s="2">
        <f t="shared" ca="1" si="711"/>
        <v>8219094.6739029186</v>
      </c>
      <c r="AF725" s="2">
        <f t="shared" ca="1" si="712"/>
        <v>1001112.158146175</v>
      </c>
      <c r="AG725" s="2">
        <f t="shared" ca="1" si="713"/>
        <v>1065727.1211746966</v>
      </c>
      <c r="AH725" s="2">
        <f t="shared" ca="1" si="714"/>
        <v>1134512.5394446256</v>
      </c>
      <c r="AI725" s="2">
        <f t="shared" ca="1" si="715"/>
        <v>1207737.5874026439</v>
      </c>
      <c r="AJ725" s="2">
        <f t="shared" ca="1" si="716"/>
        <v>1285688.8128704133</v>
      </c>
      <c r="AK725" s="2">
        <f t="shared" ca="1" si="717"/>
        <v>0</v>
      </c>
      <c r="AL725" s="2">
        <f t="shared" ca="1" si="718"/>
        <v>32307.481514260846</v>
      </c>
      <c r="AM725" s="2">
        <f t="shared" ca="1" si="719"/>
        <v>34392.709134964498</v>
      </c>
      <c r="AN725" s="2">
        <f t="shared" ca="1" si="720"/>
        <v>36612.523979009093</v>
      </c>
      <c r="AO725" s="2">
        <f t="shared" ca="1" si="721"/>
        <v>38975.612733884751</v>
      </c>
      <c r="AP725" s="2">
        <f t="shared" ca="1" si="722"/>
        <v>2213169.9425433613</v>
      </c>
      <c r="AQ725" s="2">
        <f t="shared" ca="1" si="723"/>
        <v>799043.11305414373</v>
      </c>
      <c r="AR725" s="2">
        <f t="shared" ca="1" si="724"/>
        <v>918849.41715390107</v>
      </c>
      <c r="AS725" s="2">
        <f t="shared" ca="1" si="725"/>
        <v>1015294.5884326339</v>
      </c>
      <c r="AT725" s="2">
        <f t="shared" ca="1" si="726"/>
        <v>1117964.6378389029</v>
      </c>
      <c r="AU725" s="2">
        <f t="shared" ca="1" si="727"/>
        <v>1227261.3388071775</v>
      </c>
      <c r="AV725" s="2">
        <f t="shared" ca="1" si="728"/>
        <v>2274199.6294617932</v>
      </c>
      <c r="AW725" s="2">
        <f t="shared" ca="1" si="729"/>
        <v>2582879.3211545339</v>
      </c>
      <c r="AX725" s="2">
        <f t="shared" ca="1" si="730"/>
        <v>2855291.8887117626</v>
      </c>
      <c r="AY725" s="2">
        <f t="shared" ca="1" si="731"/>
        <v>3145286.8298701756</v>
      </c>
      <c r="AZ725" s="2">
        <f t="shared" ca="1" si="732"/>
        <v>3453998.9669480817</v>
      </c>
      <c r="BA725" s="2">
        <f t="shared" ca="1" si="733"/>
        <v>59940181.847751006</v>
      </c>
      <c r="BB725" s="2">
        <f t="shared" ca="1" si="734"/>
        <v>1198803.6369550203</v>
      </c>
      <c r="BC725" s="2">
        <f t="shared" ca="1" si="735"/>
        <v>34150601.071425304</v>
      </c>
      <c r="BD725" s="2">
        <f t="shared" ca="1" si="736"/>
        <v>-17918467.140387565</v>
      </c>
      <c r="BE725" s="2">
        <f t="shared" ca="1" si="737"/>
        <v>2274199.6294617932</v>
      </c>
      <c r="BF725" s="2">
        <f t="shared" ca="1" si="738"/>
        <v>2582879.3211545339</v>
      </c>
      <c r="BG725" s="2">
        <f t="shared" ca="1" si="739"/>
        <v>2855291.8887117626</v>
      </c>
      <c r="BH725" s="2">
        <f t="shared" ca="1" si="740"/>
        <v>3145286.8298701756</v>
      </c>
      <c r="BI725" s="2">
        <f t="shared" ca="1" si="741"/>
        <v>37604600.038373388</v>
      </c>
      <c r="BJ725" s="2">
        <f t="shared" ca="1" si="742"/>
        <v>0.26050826281194817</v>
      </c>
      <c r="BK725" s="2">
        <f t="shared" ca="1" si="743"/>
        <v>11540210.794945717</v>
      </c>
    </row>
    <row r="726" spans="1:63" x14ac:dyDescent="0.3">
      <c r="A726" s="2">
        <v>725</v>
      </c>
      <c r="B726" s="2">
        <f t="shared" ca="1" si="682"/>
        <v>0.59229233767608147</v>
      </c>
      <c r="C726" s="2">
        <f t="shared" ca="1" si="683"/>
        <v>7.0969964979869475</v>
      </c>
      <c r="D726" s="2">
        <f t="shared" ca="1" si="684"/>
        <v>0.8383689138327256</v>
      </c>
      <c r="E726" s="2">
        <f t="shared" ca="1" si="685"/>
        <v>7.9314385061098944</v>
      </c>
      <c r="F726" s="2">
        <f t="shared" ca="1" si="686"/>
        <v>0.48819869018397744</v>
      </c>
      <c r="G726" s="2">
        <f t="shared" ca="1" si="687"/>
        <v>3.9112425625812519E-2</v>
      </c>
      <c r="H726" s="2">
        <f t="shared" ca="1" si="688"/>
        <v>3.9112425625812519E-2</v>
      </c>
      <c r="I726" s="2">
        <f t="shared" ca="1" si="689"/>
        <v>0.29780232439815468</v>
      </c>
      <c r="J726" s="2">
        <f t="shared" ca="1" si="690"/>
        <v>7.3463410177162739E-3</v>
      </c>
      <c r="K726" s="2">
        <f t="shared" ca="1" si="691"/>
        <v>7.3463410177162739E-3</v>
      </c>
      <c r="L726" s="2">
        <f t="shared" ca="1" si="692"/>
        <v>0.86470526636897616</v>
      </c>
      <c r="M726" s="2">
        <f t="shared" ca="1" si="693"/>
        <v>2.2034121856849227E-2</v>
      </c>
      <c r="N726" s="2">
        <f t="shared" ca="1" si="694"/>
        <v>2.2034121856849227E-2</v>
      </c>
      <c r="O726" s="2">
        <f t="shared" si="695"/>
        <v>6000000</v>
      </c>
      <c r="P726" s="2">
        <f t="shared" ca="1" si="696"/>
        <v>42581978.987921685</v>
      </c>
      <c r="Q726" s="2">
        <f t="shared" ca="1" si="697"/>
        <v>1064549.4746980423</v>
      </c>
      <c r="R726" s="2">
        <f t="shared" ca="1" si="698"/>
        <v>25549187.392753009</v>
      </c>
      <c r="S726" s="2">
        <f t="shared" ca="1" si="699"/>
        <v>17032791.595168676</v>
      </c>
      <c r="T726" s="2">
        <f t="shared" ca="1" si="700"/>
        <v>51101706.09284246</v>
      </c>
      <c r="U726" s="2">
        <f t="shared" ca="1" si="701"/>
        <v>53100417.771750897</v>
      </c>
      <c r="V726" s="2">
        <f t="shared" ca="1" si="702"/>
        <v>55177303.91254808</v>
      </c>
      <c r="W726" s="2">
        <f t="shared" ca="1" si="703"/>
        <v>57335422.108060479</v>
      </c>
      <c r="X726" s="2">
        <f t="shared" ca="1" si="704"/>
        <v>59577949.540986568</v>
      </c>
      <c r="Y726" s="2">
        <f t="shared" ca="1" si="705"/>
        <v>0.12367317050885814</v>
      </c>
      <c r="Z726" s="2">
        <f t="shared" ca="1" si="706"/>
        <v>0.12514243871240138</v>
      </c>
      <c r="AA726" s="2">
        <f t="shared" ca="1" si="707"/>
        <v>6319910.0109136598</v>
      </c>
      <c r="AB726" s="2">
        <f t="shared" ca="1" si="708"/>
        <v>6645115.7766042454</v>
      </c>
      <c r="AC726" s="2">
        <f t="shared" ca="1" si="709"/>
        <v>6905022.3731915932</v>
      </c>
      <c r="AD726" s="2">
        <f t="shared" ca="1" si="710"/>
        <v>7175094.5472076219</v>
      </c>
      <c r="AE726" s="2">
        <f t="shared" ca="1" si="711"/>
        <v>7455729.8990434539</v>
      </c>
      <c r="AF726" s="2">
        <f t="shared" ca="1" si="712"/>
        <v>1022034.1218568492</v>
      </c>
      <c r="AG726" s="2">
        <f t="shared" ca="1" si="713"/>
        <v>1062008.355435018</v>
      </c>
      <c r="AH726" s="2">
        <f t="shared" ca="1" si="714"/>
        <v>1103546.0782509616</v>
      </c>
      <c r="AI726" s="2">
        <f t="shared" ca="1" si="715"/>
        <v>1146708.4421612096</v>
      </c>
      <c r="AJ726" s="2">
        <f t="shared" ca="1" si="716"/>
        <v>1191558.9908197315</v>
      </c>
      <c r="AK726" s="2">
        <f t="shared" ca="1" si="717"/>
        <v>0</v>
      </c>
      <c r="AL726" s="2">
        <f t="shared" ca="1" si="718"/>
        <v>19987.116789084375</v>
      </c>
      <c r="AM726" s="2">
        <f t="shared" ca="1" si="719"/>
        <v>20768.861407971828</v>
      </c>
      <c r="AN726" s="2">
        <f t="shared" ca="1" si="720"/>
        <v>21581.18195512399</v>
      </c>
      <c r="AO726" s="2">
        <f t="shared" ca="1" si="721"/>
        <v>22425.274329260887</v>
      </c>
      <c r="AP726" s="2">
        <f t="shared" ca="1" si="722"/>
        <v>2299426.8653477705</v>
      </c>
      <c r="AQ726" s="2">
        <f t="shared" ca="1" si="723"/>
        <v>779596.74616435054</v>
      </c>
      <c r="AR726" s="2">
        <f t="shared" ca="1" si="724"/>
        <v>853756.94451357867</v>
      </c>
      <c r="AS726" s="2">
        <f t="shared" ca="1" si="725"/>
        <v>910532.85169414396</v>
      </c>
      <c r="AT726" s="2">
        <f t="shared" ca="1" si="726"/>
        <v>969529.4023216468</v>
      </c>
      <c r="AU726" s="2">
        <f t="shared" ca="1" si="727"/>
        <v>1030833.4511477475</v>
      </c>
      <c r="AV726" s="2">
        <f t="shared" ca="1" si="728"/>
        <v>2218852.2775446898</v>
      </c>
      <c r="AW726" s="2">
        <f t="shared" ca="1" si="729"/>
        <v>2409936.4945187937</v>
      </c>
      <c r="AX726" s="2">
        <f t="shared" ca="1" si="730"/>
        <v>2570747.7164907451</v>
      </c>
      <c r="AY726" s="2">
        <f t="shared" ca="1" si="731"/>
        <v>2737848.6554218703</v>
      </c>
      <c r="AZ726" s="2">
        <f t="shared" ca="1" si="732"/>
        <v>2911485.3173989435</v>
      </c>
      <c r="BA726" s="2">
        <f t="shared" ca="1" si="733"/>
        <v>59134663.212428086</v>
      </c>
      <c r="BB726" s="2">
        <f t="shared" ca="1" si="734"/>
        <v>1182693.2642485618</v>
      </c>
      <c r="BC726" s="2">
        <f t="shared" ca="1" si="735"/>
        <v>32402782.555426512</v>
      </c>
      <c r="BD726" s="2">
        <f t="shared" ca="1" si="736"/>
        <v>-18597341.069866717</v>
      </c>
      <c r="BE726" s="2">
        <f t="shared" ca="1" si="737"/>
        <v>2218852.2775446898</v>
      </c>
      <c r="BF726" s="2">
        <f t="shared" ca="1" si="738"/>
        <v>2409936.4945187937</v>
      </c>
      <c r="BG726" s="2">
        <f t="shared" ca="1" si="739"/>
        <v>2570747.7164907451</v>
      </c>
      <c r="BH726" s="2">
        <f t="shared" ca="1" si="740"/>
        <v>2737848.6554218703</v>
      </c>
      <c r="BI726" s="2">
        <f t="shared" ca="1" si="741"/>
        <v>35314267.872825459</v>
      </c>
      <c r="BJ726" s="2">
        <f t="shared" ca="1" si="742"/>
        <v>0.22873314074893081</v>
      </c>
      <c r="BK726" s="2">
        <f t="shared" ca="1" si="743"/>
        <v>8912987.3980492428</v>
      </c>
    </row>
    <row r="727" spans="1:63" x14ac:dyDescent="0.3">
      <c r="A727" s="2">
        <v>726</v>
      </c>
      <c r="B727" s="2">
        <f t="shared" ca="1" si="682"/>
        <v>0.15701225438611943</v>
      </c>
      <c r="C727" s="2">
        <f t="shared" ca="1" si="683"/>
        <v>6.5603788975079622</v>
      </c>
      <c r="D727" s="2">
        <f t="shared" ca="1" si="684"/>
        <v>0.22640521010667836</v>
      </c>
      <c r="E727" s="2">
        <f t="shared" ca="1" si="685"/>
        <v>7.172911896323253</v>
      </c>
      <c r="F727" s="2">
        <f t="shared" ca="1" si="686"/>
        <v>0.25400498391022086</v>
      </c>
      <c r="G727" s="2">
        <f t="shared" ca="1" si="687"/>
        <v>2.0141813695234531E-2</v>
      </c>
      <c r="H727" s="2">
        <f t="shared" ca="1" si="688"/>
        <v>2.0141813695234531E-2</v>
      </c>
      <c r="I727" s="2">
        <f t="shared" ca="1" si="689"/>
        <v>0.7380249702011179</v>
      </c>
      <c r="J727" s="2">
        <f t="shared" ca="1" si="690"/>
        <v>1.3186341777054109E-2</v>
      </c>
      <c r="K727" s="2">
        <f t="shared" ca="1" si="691"/>
        <v>1.3186341777054109E-2</v>
      </c>
      <c r="L727" s="2">
        <f t="shared" ca="1" si="692"/>
        <v>0.24107270467564768</v>
      </c>
      <c r="M727" s="2">
        <f t="shared" ca="1" si="693"/>
        <v>-1.4057122719324912E-2</v>
      </c>
      <c r="N727" s="2">
        <f t="shared" ca="1" si="694"/>
        <v>-1.4057122719324912E-2</v>
      </c>
      <c r="O727" s="2">
        <f t="shared" si="695"/>
        <v>6000000</v>
      </c>
      <c r="P727" s="2">
        <f t="shared" ca="1" si="696"/>
        <v>39362273.385047771</v>
      </c>
      <c r="Q727" s="2">
        <f t="shared" ca="1" si="697"/>
        <v>984056.83462619432</v>
      </c>
      <c r="R727" s="2">
        <f t="shared" ca="1" si="698"/>
        <v>23617364.031028662</v>
      </c>
      <c r="S727" s="2">
        <f t="shared" ca="1" si="699"/>
        <v>15744909.354019109</v>
      </c>
      <c r="T727" s="2">
        <f t="shared" ca="1" si="700"/>
        <v>49297143.864033751</v>
      </c>
      <c r="U727" s="2">
        <f t="shared" ca="1" si="701"/>
        <v>50290077.751450293</v>
      </c>
      <c r="V727" s="2">
        <f t="shared" ca="1" si="702"/>
        <v>51303011.128238864</v>
      </c>
      <c r="W727" s="2">
        <f t="shared" ca="1" si="703"/>
        <v>52336346.820388392</v>
      </c>
      <c r="X727" s="2">
        <f t="shared" ca="1" si="704"/>
        <v>53390495.767533831</v>
      </c>
      <c r="Y727" s="2">
        <f t="shared" ca="1" si="705"/>
        <v>0.12659317088852706</v>
      </c>
      <c r="Z727" s="2">
        <f t="shared" ca="1" si="706"/>
        <v>0.12923043924393787</v>
      </c>
      <c r="AA727" s="2">
        <f t="shared" ca="1" si="707"/>
        <v>6240681.7574959276</v>
      </c>
      <c r="AB727" s="2">
        <f t="shared" ca="1" si="708"/>
        <v>6499008.8374317084</v>
      </c>
      <c r="AC727" s="2">
        <f t="shared" ca="1" si="709"/>
        <v>6629910.6626389408</v>
      </c>
      <c r="AD727" s="2">
        <f t="shared" ca="1" si="710"/>
        <v>6763449.0880218633</v>
      </c>
      <c r="AE727" s="2">
        <f t="shared" ca="1" si="711"/>
        <v>6899677.2194900028</v>
      </c>
      <c r="AF727" s="2">
        <f t="shared" ca="1" si="712"/>
        <v>985942.87728067499</v>
      </c>
      <c r="AG727" s="2">
        <f t="shared" ca="1" si="713"/>
        <v>1005801.5550290059</v>
      </c>
      <c r="AH727" s="2">
        <f t="shared" ca="1" si="714"/>
        <v>1026060.2225647774</v>
      </c>
      <c r="AI727" s="2">
        <f t="shared" ca="1" si="715"/>
        <v>1046726.9364077678</v>
      </c>
      <c r="AJ727" s="2">
        <f t="shared" ca="1" si="716"/>
        <v>1067809.9153506767</v>
      </c>
      <c r="AK727" s="2">
        <f t="shared" ca="1" si="717"/>
        <v>0</v>
      </c>
      <c r="AL727" s="2">
        <f t="shared" ca="1" si="718"/>
        <v>9929.3388741654162</v>
      </c>
      <c r="AM727" s="2">
        <f t="shared" ca="1" si="719"/>
        <v>10129.333767885715</v>
      </c>
      <c r="AN727" s="2">
        <f t="shared" ca="1" si="720"/>
        <v>10333.356921495273</v>
      </c>
      <c r="AO727" s="2">
        <f t="shared" ca="1" si="721"/>
        <v>10541.489471454397</v>
      </c>
      <c r="AP727" s="2">
        <f t="shared" ca="1" si="722"/>
        <v>2125562.7627925794</v>
      </c>
      <c r="AQ727" s="2">
        <f t="shared" ca="1" si="723"/>
        <v>813585.79052989511</v>
      </c>
      <c r="AR727" s="2">
        <f t="shared" ca="1" si="724"/>
        <v>875587.57509863202</v>
      </c>
      <c r="AS727" s="2">
        <f t="shared" ca="1" si="725"/>
        <v>904354.79609321186</v>
      </c>
      <c r="AT727" s="2">
        <f t="shared" ca="1" si="726"/>
        <v>933701.44109359407</v>
      </c>
      <c r="AU727" s="2">
        <f t="shared" ca="1" si="727"/>
        <v>963639.18075015419</v>
      </c>
      <c r="AV727" s="2">
        <f t="shared" ca="1" si="728"/>
        <v>2315590.3268927787</v>
      </c>
      <c r="AW727" s="2">
        <f t="shared" ca="1" si="729"/>
        <v>2482127.6056373264</v>
      </c>
      <c r="AX727" s="2">
        <f t="shared" ca="1" si="730"/>
        <v>2563803.5474204873</v>
      </c>
      <c r="AY727" s="2">
        <f t="shared" ca="1" si="731"/>
        <v>2647124.5908064269</v>
      </c>
      <c r="AZ727" s="2">
        <f t="shared" ca="1" si="732"/>
        <v>2732123.8711251388</v>
      </c>
      <c r="BA727" s="2">
        <f t="shared" ca="1" si="733"/>
        <v>49490776.808470383</v>
      </c>
      <c r="BB727" s="2">
        <f t="shared" ca="1" si="734"/>
        <v>989815.53616940766</v>
      </c>
      <c r="BC727" s="2">
        <f t="shared" ca="1" si="735"/>
        <v>24883597.241272315</v>
      </c>
      <c r="BD727" s="2">
        <f t="shared" ca="1" si="736"/>
        <v>-17228966.188645303</v>
      </c>
      <c r="BE727" s="2">
        <f t="shared" ca="1" si="737"/>
        <v>2315590.3268927787</v>
      </c>
      <c r="BF727" s="2">
        <f t="shared" ca="1" si="738"/>
        <v>2482127.6056373264</v>
      </c>
      <c r="BG727" s="2">
        <f t="shared" ca="1" si="739"/>
        <v>2563803.5474204873</v>
      </c>
      <c r="BH727" s="2">
        <f t="shared" ca="1" si="740"/>
        <v>2647124.5908064269</v>
      </c>
      <c r="BI727" s="2">
        <f t="shared" ca="1" si="741"/>
        <v>27615721.112397455</v>
      </c>
      <c r="BJ727" s="2">
        <f t="shared" ca="1" si="742"/>
        <v>0.20487306065619304</v>
      </c>
      <c r="BK727" s="2">
        <f t="shared" ca="1" si="743"/>
        <v>5994324.1619510204</v>
      </c>
    </row>
    <row r="728" spans="1:63" x14ac:dyDescent="0.3">
      <c r="A728" s="2">
        <v>727</v>
      </c>
      <c r="B728" s="2">
        <f t="shared" ca="1" si="682"/>
        <v>0.62859781327496678</v>
      </c>
      <c r="C728" s="2">
        <f t="shared" ca="1" si="683"/>
        <v>7.138139005726523</v>
      </c>
      <c r="D728" s="2">
        <f t="shared" ca="1" si="684"/>
        <v>0.80355416837048232</v>
      </c>
      <c r="E728" s="2">
        <f t="shared" ca="1" si="685"/>
        <v>7.8731892923226061</v>
      </c>
      <c r="F728" s="2">
        <f t="shared" ca="1" si="686"/>
        <v>0.1320866448534268</v>
      </c>
      <c r="G728" s="2">
        <f t="shared" ca="1" si="687"/>
        <v>6.5025539057239484E-3</v>
      </c>
      <c r="H728" s="2">
        <f t="shared" ca="1" si="688"/>
        <v>6.5025539057239484E-3</v>
      </c>
      <c r="I728" s="2">
        <f t="shared" ca="1" si="689"/>
        <v>2.4974949047540829E-2</v>
      </c>
      <c r="J728" s="2">
        <f t="shared" ca="1" si="690"/>
        <v>1.9803605713667773E-4</v>
      </c>
      <c r="K728" s="2">
        <f t="shared" ca="1" si="691"/>
        <v>1.9803605713667773E-4</v>
      </c>
      <c r="L728" s="2">
        <f t="shared" ca="1" si="692"/>
        <v>0.56425610884920818</v>
      </c>
      <c r="M728" s="2">
        <f t="shared" ca="1" si="693"/>
        <v>3.2353795827207051E-3</v>
      </c>
      <c r="N728" s="2">
        <f t="shared" ca="1" si="694"/>
        <v>3.2353795827207051E-3</v>
      </c>
      <c r="O728" s="2">
        <f t="shared" si="695"/>
        <v>6000000</v>
      </c>
      <c r="P728" s="2">
        <f t="shared" ca="1" si="696"/>
        <v>42828834.034359135</v>
      </c>
      <c r="Q728" s="2">
        <f t="shared" ca="1" si="697"/>
        <v>1070720.8508589785</v>
      </c>
      <c r="R728" s="2">
        <f t="shared" ca="1" si="698"/>
        <v>25697300.420615479</v>
      </c>
      <c r="S728" s="2">
        <f t="shared" ca="1" si="699"/>
        <v>17131533.613743655</v>
      </c>
      <c r="T728" s="2">
        <f t="shared" ca="1" si="700"/>
        <v>50161768.979136035</v>
      </c>
      <c r="U728" s="2">
        <f t="shared" ca="1" si="701"/>
        <v>50487948.585929342</v>
      </c>
      <c r="V728" s="2">
        <f t="shared" ca="1" si="702"/>
        <v>50816249.19319877</v>
      </c>
      <c r="W728" s="2">
        <f t="shared" ca="1" si="703"/>
        <v>51146684.592864245</v>
      </c>
      <c r="X728" s="2">
        <f t="shared" ca="1" si="704"/>
        <v>51479268.666528404</v>
      </c>
      <c r="Y728" s="2">
        <f t="shared" ca="1" si="705"/>
        <v>0.12009901802856833</v>
      </c>
      <c r="Z728" s="2">
        <f t="shared" ca="1" si="706"/>
        <v>0.12013862523999567</v>
      </c>
      <c r="AA728" s="2">
        <f t="shared" ca="1" si="707"/>
        <v>6024379.1969701387</v>
      </c>
      <c r="AB728" s="2">
        <f t="shared" ca="1" si="708"/>
        <v>6065552.7343011349</v>
      </c>
      <c r="AC728" s="2">
        <f t="shared" ca="1" si="709"/>
        <v>6104994.3179239398</v>
      </c>
      <c r="AD728" s="2">
        <f t="shared" ca="1" si="710"/>
        <v>6144692.3725703787</v>
      </c>
      <c r="AE728" s="2">
        <f t="shared" ca="1" si="711"/>
        <v>6184648.5659571076</v>
      </c>
      <c r="AF728" s="2">
        <f t="shared" ca="1" si="712"/>
        <v>1003235.3795827207</v>
      </c>
      <c r="AG728" s="2">
        <f t="shared" ca="1" si="713"/>
        <v>1009758.9717185869</v>
      </c>
      <c r="AH728" s="2">
        <f t="shared" ca="1" si="714"/>
        <v>1016324.9838639754</v>
      </c>
      <c r="AI728" s="2">
        <f t="shared" ca="1" si="715"/>
        <v>1022933.691857285</v>
      </c>
      <c r="AJ728" s="2">
        <f t="shared" ca="1" si="716"/>
        <v>1029585.3733305681</v>
      </c>
      <c r="AK728" s="2">
        <f t="shared" ca="1" si="717"/>
        <v>0</v>
      </c>
      <c r="AL728" s="2">
        <f t="shared" ca="1" si="718"/>
        <v>3261.7960679330677</v>
      </c>
      <c r="AM728" s="2">
        <f t="shared" ca="1" si="719"/>
        <v>3283.0060726942866</v>
      </c>
      <c r="AN728" s="2">
        <f t="shared" ca="1" si="720"/>
        <v>3304.3539966547492</v>
      </c>
      <c r="AO728" s="2">
        <f t="shared" ca="1" si="721"/>
        <v>3325.8407366415859</v>
      </c>
      <c r="AP728" s="2">
        <f t="shared" ca="1" si="722"/>
        <v>2312757.0378553933</v>
      </c>
      <c r="AQ728" s="2">
        <f t="shared" ca="1" si="723"/>
        <v>704180.56267832639</v>
      </c>
      <c r="AR728" s="2">
        <f t="shared" ca="1" si="724"/>
        <v>713189.54842906026</v>
      </c>
      <c r="AS728" s="2">
        <f t="shared" ca="1" si="725"/>
        <v>721737.19701318862</v>
      </c>
      <c r="AT728" s="2">
        <f t="shared" ca="1" si="726"/>
        <v>730340.42714300216</v>
      </c>
      <c r="AU728" s="2">
        <f t="shared" ca="1" si="727"/>
        <v>738999.60024049808</v>
      </c>
      <c r="AV728" s="2">
        <f t="shared" ca="1" si="728"/>
        <v>2004206.2168536978</v>
      </c>
      <c r="AW728" s="2">
        <f t="shared" ca="1" si="729"/>
        <v>2026585.3802301614</v>
      </c>
      <c r="AX728" s="2">
        <f t="shared" ca="1" si="730"/>
        <v>2050892.093118689</v>
      </c>
      <c r="AY728" s="2">
        <f t="shared" ca="1" si="731"/>
        <v>2075356.8617180437</v>
      </c>
      <c r="AZ728" s="2">
        <f t="shared" ca="1" si="732"/>
        <v>2099980.713794007</v>
      </c>
      <c r="BA728" s="2">
        <f t="shared" ca="1" si="733"/>
        <v>48692908.866271861</v>
      </c>
      <c r="BB728" s="2">
        <f t="shared" ca="1" si="734"/>
        <v>973858.17732543719</v>
      </c>
      <c r="BC728" s="2">
        <f t="shared" ca="1" si="735"/>
        <v>22021750.268330943</v>
      </c>
      <c r="BD728" s="2">
        <f t="shared" ca="1" si="736"/>
        <v>-18702254.464602634</v>
      </c>
      <c r="BE728" s="2">
        <f t="shared" ca="1" si="737"/>
        <v>2004206.2168536978</v>
      </c>
      <c r="BF728" s="2">
        <f t="shared" ca="1" si="738"/>
        <v>2026585.3802301614</v>
      </c>
      <c r="BG728" s="2">
        <f t="shared" ca="1" si="739"/>
        <v>2050892.093118689</v>
      </c>
      <c r="BH728" s="2">
        <f t="shared" ca="1" si="740"/>
        <v>2075356.8617180437</v>
      </c>
      <c r="BI728" s="2">
        <f t="shared" ca="1" si="741"/>
        <v>24121730.982124951</v>
      </c>
      <c r="BJ728" s="2">
        <f t="shared" ca="1" si="742"/>
        <v>0.13640530200119771</v>
      </c>
      <c r="BK728" s="2">
        <f t="shared" ca="1" si="743"/>
        <v>1168826.0820467658</v>
      </c>
    </row>
    <row r="729" spans="1:63" x14ac:dyDescent="0.3">
      <c r="A729" s="2">
        <v>728</v>
      </c>
      <c r="B729" s="2">
        <f t="shared" ca="1" si="682"/>
        <v>0.24250605439769324</v>
      </c>
      <c r="C729" s="2">
        <f t="shared" ca="1" si="683"/>
        <v>6.6964281074133831</v>
      </c>
      <c r="D729" s="2">
        <f t="shared" ca="1" si="684"/>
        <v>0.29562161801324394</v>
      </c>
      <c r="E729" s="2">
        <f t="shared" ca="1" si="685"/>
        <v>7.2689234266339451</v>
      </c>
      <c r="F729" s="2">
        <f t="shared" ca="1" si="686"/>
        <v>0.59176955760856786</v>
      </c>
      <c r="G729" s="2">
        <f t="shared" ca="1" si="687"/>
        <v>4.6962979145660673E-2</v>
      </c>
      <c r="H729" s="2">
        <f t="shared" ca="1" si="688"/>
        <v>4.6962979145660673E-2</v>
      </c>
      <c r="I729" s="2">
        <f t="shared" ca="1" si="689"/>
        <v>0.68187554870253519</v>
      </c>
      <c r="J729" s="2">
        <f t="shared" ca="1" si="690"/>
        <v>1.2364749642895136E-2</v>
      </c>
      <c r="K729" s="2">
        <f t="shared" ca="1" si="691"/>
        <v>1.2364749642895136E-2</v>
      </c>
      <c r="L729" s="2">
        <f t="shared" ca="1" si="692"/>
        <v>0.54425242812726893</v>
      </c>
      <c r="M729" s="2">
        <f t="shared" ca="1" si="693"/>
        <v>2.2230569083294084E-3</v>
      </c>
      <c r="N729" s="2">
        <f t="shared" ca="1" si="694"/>
        <v>2.2230569083294084E-3</v>
      </c>
      <c r="O729" s="2">
        <f t="shared" si="695"/>
        <v>6000000</v>
      </c>
      <c r="P729" s="2">
        <f t="shared" ca="1" si="696"/>
        <v>40178568.644480295</v>
      </c>
      <c r="Q729" s="2">
        <f t="shared" ca="1" si="697"/>
        <v>1004464.2161120074</v>
      </c>
      <c r="R729" s="2">
        <f t="shared" ca="1" si="698"/>
        <v>24107141.186688177</v>
      </c>
      <c r="S729" s="2">
        <f t="shared" ca="1" si="699"/>
        <v>16071427.457792118</v>
      </c>
      <c r="T729" s="2">
        <f t="shared" ca="1" si="700"/>
        <v>50111152.845416471</v>
      </c>
      <c r="U729" s="2">
        <f t="shared" ca="1" si="701"/>
        <v>52464521.871460781</v>
      </c>
      <c r="V729" s="2">
        <f t="shared" ca="1" si="702"/>
        <v>54928412.117997251</v>
      </c>
      <c r="W729" s="2">
        <f t="shared" ca="1" si="703"/>
        <v>57508013.990799017</v>
      </c>
      <c r="X729" s="2">
        <f t="shared" ca="1" si="704"/>
        <v>60208761.652557276</v>
      </c>
      <c r="Y729" s="2">
        <f t="shared" ca="1" si="705"/>
        <v>0.12618237482144756</v>
      </c>
      <c r="Z729" s="2">
        <f t="shared" ca="1" si="706"/>
        <v>0.12865532475002658</v>
      </c>
      <c r="AA729" s="2">
        <f t="shared" ca="1" si="707"/>
        <v>6323144.27107519</v>
      </c>
      <c r="AB729" s="2">
        <f t="shared" ca="1" si="708"/>
        <v>6749840.0992276594</v>
      </c>
      <c r="AC729" s="2">
        <f t="shared" ca="1" si="709"/>
        <v>7066832.6990442323</v>
      </c>
      <c r="AD729" s="2">
        <f t="shared" ca="1" si="710"/>
        <v>7398712.2157153198</v>
      </c>
      <c r="AE729" s="2">
        <f t="shared" ca="1" si="711"/>
        <v>7746177.7832067041</v>
      </c>
      <c r="AF729" s="2">
        <f t="shared" ca="1" si="712"/>
        <v>1002223.0569083295</v>
      </c>
      <c r="AG729" s="2">
        <f t="shared" ca="1" si="713"/>
        <v>1049290.4374292155</v>
      </c>
      <c r="AH729" s="2">
        <f t="shared" ca="1" si="714"/>
        <v>1098568.2423599451</v>
      </c>
      <c r="AI729" s="2">
        <f t="shared" ca="1" si="715"/>
        <v>1150160.2798159805</v>
      </c>
      <c r="AJ729" s="2">
        <f t="shared" ca="1" si="716"/>
        <v>1204175.2330511454</v>
      </c>
      <c r="AK729" s="2">
        <f t="shared" ca="1" si="717"/>
        <v>0</v>
      </c>
      <c r="AL729" s="2">
        <f t="shared" ca="1" si="718"/>
        <v>23533.690260443091</v>
      </c>
      <c r="AM729" s="2">
        <f t="shared" ca="1" si="719"/>
        <v>24638.90246536471</v>
      </c>
      <c r="AN729" s="2">
        <f t="shared" ca="1" si="720"/>
        <v>25796.018728017658</v>
      </c>
      <c r="AO729" s="2">
        <f t="shared" ca="1" si="721"/>
        <v>27007.47661758259</v>
      </c>
      <c r="AP729" s="2">
        <f t="shared" ca="1" si="722"/>
        <v>2169642.706801936</v>
      </c>
      <c r="AQ729" s="2">
        <f t="shared" ca="1" si="723"/>
        <v>819332.4119148805</v>
      </c>
      <c r="AR729" s="2">
        <f t="shared" ca="1" si="724"/>
        <v>918035.80829909199</v>
      </c>
      <c r="AS729" s="2">
        <f t="shared" ca="1" si="725"/>
        <v>987641.65496941144</v>
      </c>
      <c r="AT729" s="2">
        <f t="shared" ca="1" si="726"/>
        <v>1060516.3995653249</v>
      </c>
      <c r="AU729" s="2">
        <f t="shared" ca="1" si="727"/>
        <v>1136813.5592719419</v>
      </c>
      <c r="AV729" s="2">
        <f t="shared" ca="1" si="728"/>
        <v>2331946.0954500446</v>
      </c>
      <c r="AW729" s="2">
        <f t="shared" ca="1" si="729"/>
        <v>2589337.4564369731</v>
      </c>
      <c r="AX729" s="2">
        <f t="shared" ca="1" si="730"/>
        <v>2786341.1924475748</v>
      </c>
      <c r="AY729" s="2">
        <f t="shared" ca="1" si="731"/>
        <v>2992596.8108040607</v>
      </c>
      <c r="AZ729" s="2">
        <f t="shared" ca="1" si="732"/>
        <v>3208538.8074640986</v>
      </c>
      <c r="BA729" s="2">
        <f t="shared" ca="1" si="733"/>
        <v>56306373.15522261</v>
      </c>
      <c r="BB729" s="2">
        <f t="shared" ca="1" si="734"/>
        <v>1126127.4631044522</v>
      </c>
      <c r="BC729" s="2">
        <f t="shared" ca="1" si="735"/>
        <v>31073104.505429979</v>
      </c>
      <c r="BD729" s="2">
        <f t="shared" ca="1" si="736"/>
        <v>-17575891.673904125</v>
      </c>
      <c r="BE729" s="2">
        <f t="shared" ca="1" si="737"/>
        <v>2331946.0954500446</v>
      </c>
      <c r="BF729" s="2">
        <f t="shared" ca="1" si="738"/>
        <v>2589337.4564369731</v>
      </c>
      <c r="BG729" s="2">
        <f t="shared" ca="1" si="739"/>
        <v>2786341.1924475748</v>
      </c>
      <c r="BH729" s="2">
        <f t="shared" ca="1" si="740"/>
        <v>2992596.8108040607</v>
      </c>
      <c r="BI729" s="2">
        <f t="shared" ca="1" si="741"/>
        <v>34281643.312894076</v>
      </c>
      <c r="BJ729" s="2">
        <f t="shared" ca="1" si="742"/>
        <v>0.24705302877250679</v>
      </c>
      <c r="BK729" s="2">
        <f t="shared" ca="1" si="743"/>
        <v>9907844.0943590552</v>
      </c>
    </row>
    <row r="730" spans="1:63" x14ac:dyDescent="0.3">
      <c r="A730" s="2">
        <v>729</v>
      </c>
      <c r="B730" s="2">
        <f t="shared" ca="1" si="682"/>
        <v>0.40988861868991322</v>
      </c>
      <c r="C730" s="2">
        <f t="shared" ca="1" si="683"/>
        <v>6.905415505378512</v>
      </c>
      <c r="D730" s="2">
        <f t="shared" ca="1" si="684"/>
        <v>0.33450092608965409</v>
      </c>
      <c r="E730" s="2">
        <f t="shared" ca="1" si="685"/>
        <v>7.3179253341102157</v>
      </c>
      <c r="F730" s="2">
        <f t="shared" ca="1" si="686"/>
        <v>0.77625713699048926</v>
      </c>
      <c r="G730" s="2">
        <f t="shared" ca="1" si="687"/>
        <v>6.2788401044016021E-2</v>
      </c>
      <c r="H730" s="2">
        <f t="shared" ca="1" si="688"/>
        <v>6.2788401044016021E-2</v>
      </c>
      <c r="I730" s="2">
        <f t="shared" ca="1" si="689"/>
        <v>2.6803337073363687E-2</v>
      </c>
      <c r="J730" s="2">
        <f t="shared" ca="1" si="690"/>
        <v>3.4999339785359712E-4</v>
      </c>
      <c r="K730" s="2">
        <f t="shared" ca="1" si="691"/>
        <v>3.4999339785359712E-4</v>
      </c>
      <c r="L730" s="2">
        <f t="shared" ca="1" si="692"/>
        <v>0.40160540603678685</v>
      </c>
      <c r="M730" s="2">
        <f t="shared" ca="1" si="693"/>
        <v>-4.983877628933423E-3</v>
      </c>
      <c r="N730" s="2">
        <f t="shared" ca="1" si="694"/>
        <v>-4.983877628933423E-3</v>
      </c>
      <c r="O730" s="2">
        <f t="shared" si="695"/>
        <v>6000000</v>
      </c>
      <c r="P730" s="2">
        <f t="shared" ca="1" si="696"/>
        <v>41432493.032271072</v>
      </c>
      <c r="Q730" s="2">
        <f t="shared" ca="1" si="697"/>
        <v>1035812.3258067769</v>
      </c>
      <c r="R730" s="2">
        <f t="shared" ca="1" si="698"/>
        <v>24859495.819362644</v>
      </c>
      <c r="S730" s="2">
        <f t="shared" ca="1" si="699"/>
        <v>16572997.21290843</v>
      </c>
      <c r="T730" s="2">
        <f t="shared" ca="1" si="700"/>
        <v>49750806.118553333</v>
      </c>
      <c r="U730" s="2">
        <f t="shared" ca="1" si="701"/>
        <v>52874579.685388148</v>
      </c>
      <c r="V730" s="2">
        <f t="shared" ca="1" si="702"/>
        <v>56194489.999708086</v>
      </c>
      <c r="W730" s="2">
        <f t="shared" ca="1" si="703"/>
        <v>59722852.174273707</v>
      </c>
      <c r="X730" s="2">
        <f t="shared" ca="1" si="704"/>
        <v>63472754.568084493</v>
      </c>
      <c r="Y730" s="2">
        <f t="shared" ca="1" si="705"/>
        <v>0.1201749966989268</v>
      </c>
      <c r="Z730" s="2">
        <f t="shared" ca="1" si="706"/>
        <v>0.12024499537849752</v>
      </c>
      <c r="AA730" s="2">
        <f t="shared" ca="1" si="707"/>
        <v>5978802.9610660942</v>
      </c>
      <c r="AB730" s="2">
        <f t="shared" ca="1" si="708"/>
        <v>6357903.5899094967</v>
      </c>
      <c r="AC730" s="2">
        <f t="shared" ca="1" si="709"/>
        <v>6757106.1903119236</v>
      </c>
      <c r="AD730" s="2">
        <f t="shared" ca="1" si="710"/>
        <v>7181374.0836862326</v>
      </c>
      <c r="AE730" s="2">
        <f t="shared" ca="1" si="711"/>
        <v>7632281.0796998274</v>
      </c>
      <c r="AF730" s="2">
        <f t="shared" ca="1" si="712"/>
        <v>995016.12237106671</v>
      </c>
      <c r="AG730" s="2">
        <f t="shared" ca="1" si="713"/>
        <v>1057491.5937077629</v>
      </c>
      <c r="AH730" s="2">
        <f t="shared" ca="1" si="714"/>
        <v>1123889.7999941618</v>
      </c>
      <c r="AI730" s="2">
        <f t="shared" ca="1" si="715"/>
        <v>1194457.0434854741</v>
      </c>
      <c r="AJ730" s="2">
        <f t="shared" ca="1" si="716"/>
        <v>1269455.0913616898</v>
      </c>
      <c r="AK730" s="2">
        <f t="shared" ca="1" si="717"/>
        <v>0</v>
      </c>
      <c r="AL730" s="2">
        <f t="shared" ca="1" si="718"/>
        <v>31237.735668348148</v>
      </c>
      <c r="AM730" s="2">
        <f t="shared" ca="1" si="719"/>
        <v>33199.103143199383</v>
      </c>
      <c r="AN730" s="2">
        <f t="shared" ca="1" si="720"/>
        <v>35283.621745656208</v>
      </c>
      <c r="AO730" s="2">
        <f t="shared" ca="1" si="721"/>
        <v>37499.023938107865</v>
      </c>
      <c r="AP730" s="2">
        <f t="shared" ca="1" si="722"/>
        <v>2237354.6237426377</v>
      </c>
      <c r="AQ730" s="2">
        <f t="shared" ca="1" si="723"/>
        <v>714072.37588762143</v>
      </c>
      <c r="AR730" s="2">
        <f t="shared" ca="1" si="724"/>
        <v>796394.91683936503</v>
      </c>
      <c r="AS730" s="2">
        <f t="shared" ca="1" si="725"/>
        <v>882924.0593095324</v>
      </c>
      <c r="AT730" s="2">
        <f t="shared" ca="1" si="726"/>
        <v>974886.22827911156</v>
      </c>
      <c r="AU730" s="2">
        <f t="shared" ca="1" si="727"/>
        <v>1072622.5547948298</v>
      </c>
      <c r="AV730" s="2">
        <f t="shared" ca="1" si="728"/>
        <v>2032359.839064769</v>
      </c>
      <c r="AW730" s="2">
        <f t="shared" ca="1" si="729"/>
        <v>2235424.7199513833</v>
      </c>
      <c r="AX730" s="2">
        <f t="shared" ca="1" si="730"/>
        <v>2479738.6041223933</v>
      </c>
      <c r="AY730" s="2">
        <f t="shared" ca="1" si="731"/>
        <v>2739392.5664333529</v>
      </c>
      <c r="AZ730" s="2">
        <f t="shared" ca="1" si="732"/>
        <v>3015349.7858625618</v>
      </c>
      <c r="BA730" s="2">
        <f t="shared" ca="1" si="733"/>
        <v>55852463.070185438</v>
      </c>
      <c r="BB730" s="2">
        <f t="shared" ca="1" si="734"/>
        <v>1117049.2614037087</v>
      </c>
      <c r="BC730" s="2">
        <f t="shared" ca="1" si="735"/>
        <v>29875917.989419084</v>
      </c>
      <c r="BD730" s="2">
        <f t="shared" ca="1" si="736"/>
        <v>-18108809.538715206</v>
      </c>
      <c r="BE730" s="2">
        <f t="shared" ca="1" si="737"/>
        <v>2032359.839064769</v>
      </c>
      <c r="BF730" s="2">
        <f t="shared" ca="1" si="738"/>
        <v>2235424.7199513833</v>
      </c>
      <c r="BG730" s="2">
        <f t="shared" ca="1" si="739"/>
        <v>2479738.6041223933</v>
      </c>
      <c r="BH730" s="2">
        <f t="shared" ca="1" si="740"/>
        <v>2739392.5664333529</v>
      </c>
      <c r="BI730" s="2">
        <f t="shared" ca="1" si="741"/>
        <v>32891267.775281645</v>
      </c>
      <c r="BJ730" s="2">
        <f t="shared" ca="1" si="742"/>
        <v>0.21725012168338087</v>
      </c>
      <c r="BK730" s="2">
        <f t="shared" ca="1" si="743"/>
        <v>7657215.4732186794</v>
      </c>
    </row>
    <row r="731" spans="1:63" x14ac:dyDescent="0.3">
      <c r="A731" s="2">
        <v>730</v>
      </c>
      <c r="B731" s="2">
        <f t="shared" ca="1" si="682"/>
        <v>0.46199174467223658</v>
      </c>
      <c r="C731" s="2">
        <f t="shared" ca="1" si="683"/>
        <v>6.9612405990928981</v>
      </c>
      <c r="D731" s="2">
        <f t="shared" ca="1" si="684"/>
        <v>0.73223711736675945</v>
      </c>
      <c r="E731" s="2">
        <f t="shared" ca="1" si="685"/>
        <v>7.7682037406036564</v>
      </c>
      <c r="F731" s="2">
        <f t="shared" ca="1" si="686"/>
        <v>0.12327093826148106</v>
      </c>
      <c r="G731" s="2">
        <f t="shared" ca="1" si="687"/>
        <v>5.2363060249857804E-3</v>
      </c>
      <c r="H731" s="2">
        <f t="shared" ca="1" si="688"/>
        <v>5.2363060249857804E-3</v>
      </c>
      <c r="I731" s="2">
        <f t="shared" ca="1" si="689"/>
        <v>0.15303709476776528</v>
      </c>
      <c r="J731" s="2">
        <f t="shared" ca="1" si="690"/>
        <v>4.8825284573746196E-3</v>
      </c>
      <c r="K731" s="2">
        <f t="shared" ca="1" si="691"/>
        <v>4.8825284573746196E-3</v>
      </c>
      <c r="L731" s="2">
        <f t="shared" ca="1" si="692"/>
        <v>0.85533391301722417</v>
      </c>
      <c r="M731" s="2">
        <f t="shared" ca="1" si="693"/>
        <v>2.119175566146396E-2</v>
      </c>
      <c r="N731" s="2">
        <f t="shared" ca="1" si="694"/>
        <v>2.119175566146396E-2</v>
      </c>
      <c r="O731" s="2">
        <f t="shared" si="695"/>
        <v>6000000</v>
      </c>
      <c r="P731" s="2">
        <f t="shared" ca="1" si="696"/>
        <v>41767443.59455739</v>
      </c>
      <c r="Q731" s="2">
        <f t="shared" ca="1" si="697"/>
        <v>1044186.0898639348</v>
      </c>
      <c r="R731" s="2">
        <f t="shared" ca="1" si="698"/>
        <v>25060466.156734433</v>
      </c>
      <c r="S731" s="2">
        <f t="shared" ca="1" si="699"/>
        <v>16706977.437822957</v>
      </c>
      <c r="T731" s="2">
        <f t="shared" ca="1" si="700"/>
        <v>51059587.783073202</v>
      </c>
      <c r="U731" s="2">
        <f t="shared" ca="1" si="701"/>
        <v>51326951.410214998</v>
      </c>
      <c r="V731" s="2">
        <f t="shared" ca="1" si="702"/>
        <v>51595715.035128459</v>
      </c>
      <c r="W731" s="2">
        <f t="shared" ca="1" si="703"/>
        <v>51865885.988630354</v>
      </c>
      <c r="X731" s="2">
        <f t="shared" ca="1" si="704"/>
        <v>52137471.639923848</v>
      </c>
      <c r="Y731" s="2">
        <f t="shared" ca="1" si="705"/>
        <v>0.1224412642286873</v>
      </c>
      <c r="Z731" s="2">
        <f t="shared" ca="1" si="706"/>
        <v>0.12341776992016223</v>
      </c>
      <c r="AA731" s="2">
        <f t="shared" ca="1" si="707"/>
        <v>6251800.4791551195</v>
      </c>
      <c r="AB731" s="2">
        <f t="shared" ca="1" si="708"/>
        <v>6334657.8798492616</v>
      </c>
      <c r="AC731" s="2">
        <f t="shared" ca="1" si="709"/>
        <v>6367828.0870717391</v>
      </c>
      <c r="AD731" s="2">
        <f t="shared" ca="1" si="710"/>
        <v>6401171.983650147</v>
      </c>
      <c r="AE731" s="2">
        <f t="shared" ca="1" si="711"/>
        <v>6434690.4790751049</v>
      </c>
      <c r="AF731" s="2">
        <f t="shared" ca="1" si="712"/>
        <v>1021191.7556614641</v>
      </c>
      <c r="AG731" s="2">
        <f t="shared" ca="1" si="713"/>
        <v>1026539.0282043</v>
      </c>
      <c r="AH731" s="2">
        <f t="shared" ca="1" si="714"/>
        <v>1031914.3007025692</v>
      </c>
      <c r="AI731" s="2">
        <f t="shared" ca="1" si="715"/>
        <v>1037317.7197726071</v>
      </c>
      <c r="AJ731" s="2">
        <f t="shared" ca="1" si="716"/>
        <v>1042749.432798477</v>
      </c>
      <c r="AK731" s="2">
        <f t="shared" ca="1" si="717"/>
        <v>0</v>
      </c>
      <c r="AL731" s="2">
        <f t="shared" ca="1" si="718"/>
        <v>2673.6362714179604</v>
      </c>
      <c r="AM731" s="2">
        <f t="shared" ca="1" si="719"/>
        <v>2687.6362491346149</v>
      </c>
      <c r="AN731" s="2">
        <f t="shared" ca="1" si="720"/>
        <v>2701.7095350189506</v>
      </c>
      <c r="AO731" s="2">
        <f t="shared" ca="1" si="721"/>
        <v>2715.8565129349381</v>
      </c>
      <c r="AP731" s="2">
        <f t="shared" ca="1" si="722"/>
        <v>2255441.954106099</v>
      </c>
      <c r="AQ731" s="2">
        <f t="shared" ca="1" si="723"/>
        <v>773543.36004076467</v>
      </c>
      <c r="AR731" s="2">
        <f t="shared" ca="1" si="724"/>
        <v>793695.99336010416</v>
      </c>
      <c r="AS731" s="2">
        <f t="shared" ca="1" si="725"/>
        <v>800922.67638839851</v>
      </c>
      <c r="AT731" s="2">
        <f t="shared" ca="1" si="726"/>
        <v>808187.20054057462</v>
      </c>
      <c r="AU731" s="2">
        <f t="shared" ca="1" si="727"/>
        <v>815489.76396433753</v>
      </c>
      <c r="AV731" s="2">
        <f t="shared" ca="1" si="728"/>
        <v>2201623.4093467919</v>
      </c>
      <c r="AW731" s="2">
        <f t="shared" ca="1" si="729"/>
        <v>2256307.2679073401</v>
      </c>
      <c r="AX731" s="2">
        <f t="shared" ca="1" si="730"/>
        <v>2276861.519625538</v>
      </c>
      <c r="AY731" s="2">
        <f t="shared" ca="1" si="731"/>
        <v>2297523.3996958481</v>
      </c>
      <c r="AZ731" s="2">
        <f t="shared" ca="1" si="732"/>
        <v>2318293.4716932569</v>
      </c>
      <c r="BA731" s="2">
        <f t="shared" ca="1" si="733"/>
        <v>49985986.649177961</v>
      </c>
      <c r="BB731" s="2">
        <f t="shared" ca="1" si="734"/>
        <v>999719.73298355925</v>
      </c>
      <c r="BC731" s="2">
        <f t="shared" ca="1" si="735"/>
        <v>23925800.759459969</v>
      </c>
      <c r="BD731" s="2">
        <f t="shared" ca="1" si="736"/>
        <v>-18251163.52768689</v>
      </c>
      <c r="BE731" s="2">
        <f t="shared" ca="1" si="737"/>
        <v>2201623.4093467919</v>
      </c>
      <c r="BF731" s="2">
        <f t="shared" ca="1" si="738"/>
        <v>2256307.2679073401</v>
      </c>
      <c r="BG731" s="2">
        <f t="shared" ca="1" si="739"/>
        <v>2276861.519625538</v>
      </c>
      <c r="BH731" s="2">
        <f t="shared" ca="1" si="740"/>
        <v>2297523.3996958481</v>
      </c>
      <c r="BI731" s="2">
        <f t="shared" ca="1" si="741"/>
        <v>26244094.231153227</v>
      </c>
      <c r="BJ731" s="2">
        <f t="shared" ca="1" si="742"/>
        <v>0.16837791159707738</v>
      </c>
      <c r="BK731" s="2">
        <f t="shared" ca="1" si="743"/>
        <v>3485632.5825861134</v>
      </c>
    </row>
    <row r="732" spans="1:63" x14ac:dyDescent="0.3">
      <c r="A732" s="2">
        <v>731</v>
      </c>
      <c r="B732" s="2">
        <f t="shared" ca="1" si="682"/>
        <v>0.71092107932980364</v>
      </c>
      <c r="C732" s="2">
        <f t="shared" ca="1" si="683"/>
        <v>7.2396330876870083</v>
      </c>
      <c r="D732" s="2">
        <f t="shared" ca="1" si="684"/>
        <v>0.3033633374161645</v>
      </c>
      <c r="E732" s="2">
        <f t="shared" ca="1" si="685"/>
        <v>7.278926617103517</v>
      </c>
      <c r="F732" s="2">
        <f t="shared" ca="1" si="686"/>
        <v>0.82322947367951593</v>
      </c>
      <c r="G732" s="2">
        <f t="shared" ca="1" si="687"/>
        <v>6.783228103436563E-2</v>
      </c>
      <c r="H732" s="2">
        <f t="shared" ca="1" si="688"/>
        <v>6.783228103436563E-2</v>
      </c>
      <c r="I732" s="2">
        <f t="shared" ca="1" si="689"/>
        <v>0.66718161236025686</v>
      </c>
      <c r="J732" s="2">
        <f t="shared" ca="1" si="690"/>
        <v>1.2160719875344504E-2</v>
      </c>
      <c r="K732" s="2">
        <f t="shared" ca="1" si="691"/>
        <v>1.2160719875344504E-2</v>
      </c>
      <c r="L732" s="2">
        <f t="shared" ca="1" si="692"/>
        <v>0.53107516609310634</v>
      </c>
      <c r="M732" s="2">
        <f t="shared" ca="1" si="693"/>
        <v>1.5594565467156216E-3</v>
      </c>
      <c r="N732" s="2">
        <f t="shared" ca="1" si="694"/>
        <v>1.5594565467156216E-3</v>
      </c>
      <c r="O732" s="2">
        <f t="shared" si="695"/>
        <v>6000000</v>
      </c>
      <c r="P732" s="2">
        <f t="shared" ca="1" si="696"/>
        <v>43437798.526122048</v>
      </c>
      <c r="Q732" s="2">
        <f t="shared" ca="1" si="697"/>
        <v>1085944.9631530512</v>
      </c>
      <c r="R732" s="2">
        <f t="shared" ca="1" si="698"/>
        <v>26062679.115673229</v>
      </c>
      <c r="S732" s="2">
        <f t="shared" ca="1" si="699"/>
        <v>17375119.410448819</v>
      </c>
      <c r="T732" s="2">
        <f t="shared" ca="1" si="700"/>
        <v>50077972.827335782</v>
      </c>
      <c r="U732" s="2">
        <f t="shared" ca="1" si="701"/>
        <v>53474875.953790948</v>
      </c>
      <c r="V732" s="2">
        <f t="shared" ca="1" si="702"/>
        <v>57102198.767766342</v>
      </c>
      <c r="W732" s="2">
        <f t="shared" ca="1" si="703"/>
        <v>60975571.16226168</v>
      </c>
      <c r="X732" s="2">
        <f t="shared" ca="1" si="704"/>
        <v>65111683.241571181</v>
      </c>
      <c r="Y732" s="2">
        <f t="shared" ca="1" si="705"/>
        <v>0.12608035993767225</v>
      </c>
      <c r="Z732" s="2">
        <f t="shared" ca="1" si="706"/>
        <v>0.12851250391274116</v>
      </c>
      <c r="AA732" s="2">
        <f t="shared" ca="1" si="707"/>
        <v>6313848.8390194662</v>
      </c>
      <c r="AB732" s="2">
        <f t="shared" ca="1" si="708"/>
        <v>6872190.2052449072</v>
      </c>
      <c r="AC732" s="2">
        <f t="shared" ca="1" si="709"/>
        <v>7338346.5425686957</v>
      </c>
      <c r="AD732" s="2">
        <f t="shared" ca="1" si="710"/>
        <v>7836123.3275717814</v>
      </c>
      <c r="AE732" s="2">
        <f t="shared" ca="1" si="711"/>
        <v>8367665.4473475795</v>
      </c>
      <c r="AF732" s="2">
        <f t="shared" ca="1" si="712"/>
        <v>1001559.4565467157</v>
      </c>
      <c r="AG732" s="2">
        <f t="shared" ca="1" si="713"/>
        <v>1069497.5190758191</v>
      </c>
      <c r="AH732" s="2">
        <f t="shared" ca="1" si="714"/>
        <v>1142043.9753553269</v>
      </c>
      <c r="AI732" s="2">
        <f t="shared" ca="1" si="715"/>
        <v>1219511.4232452337</v>
      </c>
      <c r="AJ732" s="2">
        <f t="shared" ca="1" si="716"/>
        <v>1302233.6648314237</v>
      </c>
      <c r="AK732" s="2">
        <f t="shared" ca="1" si="717"/>
        <v>0</v>
      </c>
      <c r="AL732" s="2">
        <f t="shared" ca="1" si="718"/>
        <v>33969.031264551653</v>
      </c>
      <c r="AM732" s="2">
        <f t="shared" ca="1" si="719"/>
        <v>36273.228139753941</v>
      </c>
      <c r="AN732" s="2">
        <f t="shared" ca="1" si="720"/>
        <v>38733.723944953381</v>
      </c>
      <c r="AO732" s="2">
        <f t="shared" ca="1" si="721"/>
        <v>41361.120793095011</v>
      </c>
      <c r="AP732" s="2">
        <f t="shared" ca="1" si="722"/>
        <v>2345641.1204105904</v>
      </c>
      <c r="AQ732" s="2">
        <f t="shared" ca="1" si="723"/>
        <v>771328.54813616176</v>
      </c>
      <c r="AR732" s="2">
        <f t="shared" ca="1" si="724"/>
        <v>898833.40709720936</v>
      </c>
      <c r="AS732" s="2">
        <f t="shared" ca="1" si="725"/>
        <v>1001171.9761687224</v>
      </c>
      <c r="AT732" s="2">
        <f t="shared" ca="1" si="726"/>
        <v>1110452.4038181489</v>
      </c>
      <c r="AU732" s="2">
        <f t="shared" ca="1" si="727"/>
        <v>1227145.5721474469</v>
      </c>
      <c r="AV732" s="2">
        <f t="shared" ca="1" si="728"/>
        <v>2195319.7139259987</v>
      </c>
      <c r="AW732" s="2">
        <f t="shared" ca="1" si="729"/>
        <v>2524249.1273967363</v>
      </c>
      <c r="AX732" s="2">
        <f t="shared" ca="1" si="730"/>
        <v>2813216.2424943009</v>
      </c>
      <c r="AY732" s="2">
        <f t="shared" ca="1" si="731"/>
        <v>3121784.6561528547</v>
      </c>
      <c r="AZ732" s="2">
        <f t="shared" ca="1" si="732"/>
        <v>3451283.9691650234</v>
      </c>
      <c r="BA732" s="2">
        <f t="shared" ca="1" si="733"/>
        <v>60907622.747715704</v>
      </c>
      <c r="BB732" s="2">
        <f t="shared" ca="1" si="734"/>
        <v>1218152.454954314</v>
      </c>
      <c r="BC732" s="2">
        <f t="shared" ca="1" si="735"/>
        <v>33626791.177088164</v>
      </c>
      <c r="BD732" s="2">
        <f t="shared" ca="1" si="736"/>
        <v>-18961064.373601869</v>
      </c>
      <c r="BE732" s="2">
        <f t="shared" ca="1" si="737"/>
        <v>2195319.7139259987</v>
      </c>
      <c r="BF732" s="2">
        <f t="shared" ca="1" si="738"/>
        <v>2524249.1273967363</v>
      </c>
      <c r="BG732" s="2">
        <f t="shared" ca="1" si="739"/>
        <v>2813216.2424943009</v>
      </c>
      <c r="BH732" s="2">
        <f t="shared" ca="1" si="740"/>
        <v>3121784.6561528547</v>
      </c>
      <c r="BI732" s="2">
        <f t="shared" ca="1" si="741"/>
        <v>37078075.146253183</v>
      </c>
      <c r="BJ732" s="2">
        <f t="shared" ca="1" si="742"/>
        <v>0.23833045738468361</v>
      </c>
      <c r="BK732" s="2">
        <f t="shared" ca="1" si="743"/>
        <v>10036796.40004988</v>
      </c>
    </row>
    <row r="733" spans="1:63" x14ac:dyDescent="0.3">
      <c r="A733" s="2">
        <v>732</v>
      </c>
      <c r="B733" s="2">
        <f t="shared" ca="1" si="682"/>
        <v>0.51091769408884546</v>
      </c>
      <c r="C733" s="2">
        <f t="shared" ca="1" si="683"/>
        <v>7.0109779518017259</v>
      </c>
      <c r="D733" s="2">
        <f t="shared" ca="1" si="684"/>
        <v>0.17349556631563823</v>
      </c>
      <c r="E733" s="2">
        <f t="shared" ca="1" si="685"/>
        <v>7.0890595323320698</v>
      </c>
      <c r="F733" s="2">
        <f t="shared" ca="1" si="686"/>
        <v>0.58427966337148707</v>
      </c>
      <c r="G733" s="2">
        <f t="shared" ca="1" si="687"/>
        <v>4.6385626520864483E-2</v>
      </c>
      <c r="H733" s="2">
        <f t="shared" ca="1" si="688"/>
        <v>4.6385626520864483E-2</v>
      </c>
      <c r="I733" s="2">
        <f t="shared" ca="1" si="689"/>
        <v>0.82522859217720279</v>
      </c>
      <c r="J733" s="2">
        <f t="shared" ca="1" si="690"/>
        <v>1.467738223740955E-2</v>
      </c>
      <c r="K733" s="2">
        <f t="shared" ca="1" si="691"/>
        <v>1.467738223740955E-2</v>
      </c>
      <c r="L733" s="2">
        <f t="shared" ca="1" si="692"/>
        <v>0.71065799970519561</v>
      </c>
      <c r="M733" s="2">
        <f t="shared" ca="1" si="693"/>
        <v>1.1106160211471176E-2</v>
      </c>
      <c r="N733" s="2">
        <f t="shared" ca="1" si="694"/>
        <v>1.1106160211471176E-2</v>
      </c>
      <c r="O733" s="2">
        <f t="shared" si="695"/>
        <v>6000000</v>
      </c>
      <c r="P733" s="2">
        <f t="shared" ca="1" si="696"/>
        <v>42065867.710810356</v>
      </c>
      <c r="Q733" s="2">
        <f t="shared" ca="1" si="697"/>
        <v>1051646.692770259</v>
      </c>
      <c r="R733" s="2">
        <f t="shared" ca="1" si="698"/>
        <v>25239520.626486212</v>
      </c>
      <c r="S733" s="2">
        <f t="shared" ca="1" si="699"/>
        <v>16826347.084324144</v>
      </c>
      <c r="T733" s="2">
        <f t="shared" ca="1" si="700"/>
        <v>50555308.010573566</v>
      </c>
      <c r="U733" s="2">
        <f t="shared" ca="1" si="701"/>
        <v>52900347.6465993</v>
      </c>
      <c r="V733" s="2">
        <f t="shared" ca="1" si="702"/>
        <v>55354163.415358342</v>
      </c>
      <c r="W733" s="2">
        <f t="shared" ca="1" si="703"/>
        <v>57921800.965918049</v>
      </c>
      <c r="X733" s="2">
        <f t="shared" ca="1" si="704"/>
        <v>60608539.992938966</v>
      </c>
      <c r="Y733" s="2">
        <f t="shared" ca="1" si="705"/>
        <v>0.12733869111870477</v>
      </c>
      <c r="Z733" s="2">
        <f t="shared" ca="1" si="706"/>
        <v>0.13027416756618668</v>
      </c>
      <c r="AA733" s="2">
        <f t="shared" ca="1" si="707"/>
        <v>6437646.7511694087</v>
      </c>
      <c r="AB733" s="2">
        <f t="shared" ca="1" si="708"/>
        <v>6891548.7536226064</v>
      </c>
      <c r="AC733" s="2">
        <f t="shared" ca="1" si="709"/>
        <v>7211217.5602584733</v>
      </c>
      <c r="AD733" s="2">
        <f t="shared" ca="1" si="710"/>
        <v>7545714.404769321</v>
      </c>
      <c r="AE733" s="2">
        <f t="shared" ca="1" si="711"/>
        <v>7895727.0949820578</v>
      </c>
      <c r="AF733" s="2">
        <f t="shared" ca="1" si="712"/>
        <v>1011106.1602114714</v>
      </c>
      <c r="AG733" s="2">
        <f t="shared" ca="1" si="713"/>
        <v>1058006.952931986</v>
      </c>
      <c r="AH733" s="2">
        <f t="shared" ca="1" si="714"/>
        <v>1107083.2683071669</v>
      </c>
      <c r="AI733" s="2">
        <f t="shared" ca="1" si="715"/>
        <v>1158436.0193183611</v>
      </c>
      <c r="AJ733" s="2">
        <f t="shared" ca="1" si="716"/>
        <v>1212170.7998587794</v>
      </c>
      <c r="AK733" s="2">
        <f t="shared" ca="1" si="717"/>
        <v>0</v>
      </c>
      <c r="AL733" s="2">
        <f t="shared" ca="1" si="718"/>
        <v>23450.396360257342</v>
      </c>
      <c r="AM733" s="2">
        <f t="shared" ca="1" si="719"/>
        <v>24538.157687590421</v>
      </c>
      <c r="AN733" s="2">
        <f t="shared" ca="1" si="720"/>
        <v>25676.375505597069</v>
      </c>
      <c r="AO733" s="2">
        <f t="shared" ca="1" si="721"/>
        <v>26867.390270209165</v>
      </c>
      <c r="AP733" s="2">
        <f t="shared" ca="1" si="722"/>
        <v>2271556.8563837591</v>
      </c>
      <c r="AQ733" s="2">
        <f t="shared" ca="1" si="723"/>
        <v>820295.77098928648</v>
      </c>
      <c r="AR733" s="2">
        <f t="shared" ca="1" si="724"/>
        <v>926116.0855197839</v>
      </c>
      <c r="AS733" s="2">
        <f t="shared" ca="1" si="725"/>
        <v>996470.13324756233</v>
      </c>
      <c r="AT733" s="2">
        <f t="shared" ca="1" si="726"/>
        <v>1070087.5975574723</v>
      </c>
      <c r="AU733" s="2">
        <f t="shared" ca="1" si="727"/>
        <v>1147119.8540722751</v>
      </c>
      <c r="AV733" s="2">
        <f t="shared" ca="1" si="728"/>
        <v>2334687.963584892</v>
      </c>
      <c r="AW733" s="2">
        <f t="shared" ca="1" si="729"/>
        <v>2612418.4624268194</v>
      </c>
      <c r="AX733" s="2">
        <f t="shared" ca="1" si="730"/>
        <v>2811569.144632394</v>
      </c>
      <c r="AY733" s="2">
        <f t="shared" ca="1" si="731"/>
        <v>3019957.5560041317</v>
      </c>
      <c r="AZ733" s="2">
        <f t="shared" ca="1" si="732"/>
        <v>3238012.1943970346</v>
      </c>
      <c r="BA733" s="2">
        <f t="shared" ca="1" si="733"/>
        <v>55973279.42737516</v>
      </c>
      <c r="BB733" s="2">
        <f t="shared" ca="1" si="734"/>
        <v>1119465.5885475031</v>
      </c>
      <c r="BC733" s="2">
        <f t="shared" ca="1" si="735"/>
        <v>29614293.212341446</v>
      </c>
      <c r="BD733" s="2">
        <f t="shared" ca="1" si="736"/>
        <v>-18377993.777094401</v>
      </c>
      <c r="BE733" s="2">
        <f t="shared" ca="1" si="737"/>
        <v>2334687.963584892</v>
      </c>
      <c r="BF733" s="2">
        <f t="shared" ca="1" si="738"/>
        <v>2612418.4624268194</v>
      </c>
      <c r="BG733" s="2">
        <f t="shared" ca="1" si="739"/>
        <v>2811569.144632394</v>
      </c>
      <c r="BH733" s="2">
        <f t="shared" ca="1" si="740"/>
        <v>3019957.5560041317</v>
      </c>
      <c r="BI733" s="2">
        <f t="shared" ca="1" si="741"/>
        <v>32852305.406738482</v>
      </c>
      <c r="BJ733" s="2">
        <f t="shared" ca="1" si="742"/>
        <v>0.22579630955624252</v>
      </c>
      <c r="BK733" s="2">
        <f t="shared" ca="1" si="743"/>
        <v>8350890.4168025069</v>
      </c>
    </row>
    <row r="734" spans="1:63" x14ac:dyDescent="0.3">
      <c r="A734" s="2">
        <v>733</v>
      </c>
      <c r="B734" s="2">
        <f t="shared" ca="1" si="682"/>
        <v>0.85585236623106176</v>
      </c>
      <c r="C734" s="2">
        <f t="shared" ca="1" si="683"/>
        <v>7.4630686565883151</v>
      </c>
      <c r="D734" s="2">
        <f t="shared" ca="1" si="684"/>
        <v>0.49495709811158151</v>
      </c>
      <c r="E734" s="2">
        <f t="shared" ca="1" si="685"/>
        <v>7.4949443181521076</v>
      </c>
      <c r="F734" s="2">
        <f t="shared" ca="1" si="686"/>
        <v>0.15547837261918929</v>
      </c>
      <c r="G734" s="2">
        <f t="shared" ca="1" si="687"/>
        <v>9.6035040147455265E-3</v>
      </c>
      <c r="H734" s="2">
        <f t="shared" ca="1" si="688"/>
        <v>9.6035040147455265E-3</v>
      </c>
      <c r="I734" s="2">
        <f t="shared" ca="1" si="689"/>
        <v>0.79907060633558757</v>
      </c>
      <c r="J734" s="2">
        <f t="shared" ca="1" si="690"/>
        <v>1.419153070933513E-2</v>
      </c>
      <c r="K734" s="2">
        <f t="shared" ca="1" si="691"/>
        <v>1.419153070933513E-2</v>
      </c>
      <c r="L734" s="2">
        <f t="shared" ca="1" si="692"/>
        <v>1.1277100644938698E-2</v>
      </c>
      <c r="M734" s="2">
        <f t="shared" ca="1" si="693"/>
        <v>-4.5618055305823815E-2</v>
      </c>
      <c r="N734" s="2">
        <f t="shared" ca="1" si="694"/>
        <v>-4.5618055305823815E-2</v>
      </c>
      <c r="O734" s="2">
        <f t="shared" si="695"/>
        <v>6000000</v>
      </c>
      <c r="P734" s="2">
        <f t="shared" ca="1" si="696"/>
        <v>44778411.939529888</v>
      </c>
      <c r="Q734" s="2">
        <f t="shared" ca="1" si="697"/>
        <v>1119460.2984882472</v>
      </c>
      <c r="R734" s="2">
        <f t="shared" ca="1" si="698"/>
        <v>26867047.163717933</v>
      </c>
      <c r="S734" s="2">
        <f t="shared" ca="1" si="699"/>
        <v>17911364.775811955</v>
      </c>
      <c r="T734" s="2">
        <f t="shared" ca="1" si="700"/>
        <v>47719097.234708808</v>
      </c>
      <c r="U734" s="2">
        <f t="shared" ca="1" si="701"/>
        <v>48177367.776582368</v>
      </c>
      <c r="V734" s="2">
        <f t="shared" ca="1" si="702"/>
        <v>48640039.321444646</v>
      </c>
      <c r="W734" s="2">
        <f t="shared" ca="1" si="703"/>
        <v>49107154.134345517</v>
      </c>
      <c r="X734" s="2">
        <f t="shared" ca="1" si="704"/>
        <v>49578754.886227429</v>
      </c>
      <c r="Y734" s="2">
        <f t="shared" ca="1" si="705"/>
        <v>0.12709576535466757</v>
      </c>
      <c r="Z734" s="2">
        <f t="shared" ca="1" si="706"/>
        <v>0.12993407149653458</v>
      </c>
      <c r="AA734" s="2">
        <f t="shared" ca="1" si="707"/>
        <v>6064895.1850791173</v>
      </c>
      <c r="AB734" s="2">
        <f t="shared" ca="1" si="708"/>
        <v>6259881.5491972947</v>
      </c>
      <c r="AC734" s="2">
        <f t="shared" ca="1" si="709"/>
        <v>6319998.3467868418</v>
      </c>
      <c r="AD734" s="2">
        <f t="shared" ca="1" si="710"/>
        <v>6380692.4762833938</v>
      </c>
      <c r="AE734" s="2">
        <f t="shared" ca="1" si="711"/>
        <v>6441969.4820962381</v>
      </c>
      <c r="AF734" s="2">
        <f t="shared" ca="1" si="712"/>
        <v>954381.9446941762</v>
      </c>
      <c r="AG734" s="2">
        <f t="shared" ca="1" si="713"/>
        <v>963547.35553164734</v>
      </c>
      <c r="AH734" s="2">
        <f t="shared" ca="1" si="714"/>
        <v>972800.78642889298</v>
      </c>
      <c r="AI734" s="2">
        <f t="shared" ca="1" si="715"/>
        <v>982143.08268691041</v>
      </c>
      <c r="AJ734" s="2">
        <f t="shared" ca="1" si="716"/>
        <v>991575.09772454854</v>
      </c>
      <c r="AK734" s="2">
        <f t="shared" ca="1" si="717"/>
        <v>0</v>
      </c>
      <c r="AL734" s="2">
        <f t="shared" ca="1" si="718"/>
        <v>4582.7054187355934</v>
      </c>
      <c r="AM734" s="2">
        <f t="shared" ca="1" si="719"/>
        <v>4626.7154486227782</v>
      </c>
      <c r="AN734" s="2">
        <f t="shared" ca="1" si="720"/>
        <v>4671.1481290087104</v>
      </c>
      <c r="AO734" s="2">
        <f t="shared" ca="1" si="721"/>
        <v>4716.007518819124</v>
      </c>
      <c r="AP734" s="2">
        <f t="shared" ca="1" si="722"/>
        <v>2418034.2447346137</v>
      </c>
      <c r="AQ734" s="2">
        <f t="shared" ca="1" si="723"/>
        <v>700044.53886908514</v>
      </c>
      <c r="AR734" s="2">
        <f t="shared" ca="1" si="724"/>
        <v>748357.98672206886</v>
      </c>
      <c r="AS734" s="2">
        <f t="shared" ca="1" si="725"/>
        <v>761582.46206206712</v>
      </c>
      <c r="AT734" s="2">
        <f t="shared" ca="1" si="726"/>
        <v>774933.93870408612</v>
      </c>
      <c r="AU734" s="2">
        <f t="shared" ca="1" si="727"/>
        <v>788413.63630563975</v>
      </c>
      <c r="AV734" s="2">
        <f t="shared" ca="1" si="728"/>
        <v>1992434.4567812425</v>
      </c>
      <c r="AW734" s="2">
        <f t="shared" ca="1" si="729"/>
        <v>2125359.2567902296</v>
      </c>
      <c r="AX734" s="2">
        <f t="shared" ca="1" si="730"/>
        <v>2162954.1381126451</v>
      </c>
      <c r="AY734" s="2">
        <f t="shared" ca="1" si="731"/>
        <v>2200910.0620287745</v>
      </c>
      <c r="AZ734" s="2">
        <f t="shared" ca="1" si="732"/>
        <v>2239230.4958126168</v>
      </c>
      <c r="BA734" s="2">
        <f t="shared" ca="1" si="733"/>
        <v>48282202.567546472</v>
      </c>
      <c r="BB734" s="2">
        <f t="shared" ca="1" si="734"/>
        <v>965644.05135092943</v>
      </c>
      <c r="BC734" s="2">
        <f t="shared" ca="1" si="735"/>
        <v>20449511.35247761</v>
      </c>
      <c r="BD734" s="2">
        <f t="shared" ca="1" si="736"/>
        <v>-19530825.074300203</v>
      </c>
      <c r="BE734" s="2">
        <f t="shared" ca="1" si="737"/>
        <v>1992434.4567812425</v>
      </c>
      <c r="BF734" s="2">
        <f t="shared" ca="1" si="738"/>
        <v>2125359.2567902296</v>
      </c>
      <c r="BG734" s="2">
        <f t="shared" ca="1" si="739"/>
        <v>2162954.1381126451</v>
      </c>
      <c r="BH734" s="2">
        <f t="shared" ca="1" si="740"/>
        <v>2200910.0620287745</v>
      </c>
      <c r="BI734" s="2">
        <f t="shared" ca="1" si="741"/>
        <v>22688741.848290227</v>
      </c>
      <c r="BJ734" s="2">
        <f t="shared" ca="1" si="742"/>
        <v>0.11658758825415338</v>
      </c>
      <c r="BK734" s="2">
        <f t="shared" ca="1" si="743"/>
        <v>-245074.7377952598</v>
      </c>
    </row>
    <row r="735" spans="1:63" x14ac:dyDescent="0.3">
      <c r="A735" s="2">
        <v>734</v>
      </c>
      <c r="B735" s="2">
        <f t="shared" ca="1" si="682"/>
        <v>0.9248167251557512</v>
      </c>
      <c r="C735" s="2">
        <f t="shared" ca="1" si="683"/>
        <v>7.6122287405073736</v>
      </c>
      <c r="D735" s="2">
        <f t="shared" ca="1" si="684"/>
        <v>0.18558604391098288</v>
      </c>
      <c r="E735" s="2">
        <f t="shared" ca="1" si="685"/>
        <v>7.1092389414851667</v>
      </c>
      <c r="F735" s="2">
        <f t="shared" ca="1" si="686"/>
        <v>0.81166956012334368</v>
      </c>
      <c r="G735" s="2">
        <f t="shared" ca="1" si="687"/>
        <v>6.6521963660042649E-2</v>
      </c>
      <c r="H735" s="2">
        <f t="shared" ca="1" si="688"/>
        <v>6.6521963660042649E-2</v>
      </c>
      <c r="I735" s="2">
        <f t="shared" ca="1" si="689"/>
        <v>0.80320012149928433</v>
      </c>
      <c r="J735" s="2">
        <f t="shared" ca="1" si="690"/>
        <v>1.4265536919876682E-2</v>
      </c>
      <c r="K735" s="2">
        <f t="shared" ca="1" si="691"/>
        <v>1.4265536919876682E-2</v>
      </c>
      <c r="L735" s="2">
        <f t="shared" ca="1" si="692"/>
        <v>0.96788879603447364</v>
      </c>
      <c r="M735" s="2">
        <f t="shared" ca="1" si="693"/>
        <v>3.7012654572750957E-2</v>
      </c>
      <c r="N735" s="2">
        <f t="shared" ca="1" si="694"/>
        <v>3.7012654572750957E-2</v>
      </c>
      <c r="O735" s="2">
        <f t="shared" si="695"/>
        <v>6000000</v>
      </c>
      <c r="P735" s="2">
        <f t="shared" ca="1" si="696"/>
        <v>45673372.443044245</v>
      </c>
      <c r="Q735" s="2">
        <f t="shared" ca="1" si="697"/>
        <v>1141834.3110761063</v>
      </c>
      <c r="R735" s="2">
        <f t="shared" ca="1" si="698"/>
        <v>27404023.465826545</v>
      </c>
      <c r="S735" s="2">
        <f t="shared" ca="1" si="699"/>
        <v>18269348.9772177</v>
      </c>
      <c r="T735" s="2">
        <f t="shared" ca="1" si="700"/>
        <v>51850632.728637546</v>
      </c>
      <c r="U735" s="2">
        <f t="shared" ca="1" si="701"/>
        <v>55299838.634762198</v>
      </c>
      <c r="V735" s="2">
        <f t="shared" ca="1" si="702"/>
        <v>58978492.490830071</v>
      </c>
      <c r="W735" s="2">
        <f t="shared" ca="1" si="703"/>
        <v>62901857.625029169</v>
      </c>
      <c r="X735" s="2">
        <f t="shared" ca="1" si="704"/>
        <v>67086212.712110542</v>
      </c>
      <c r="Y735" s="2">
        <f t="shared" ca="1" si="705"/>
        <v>0.12713276845993834</v>
      </c>
      <c r="Z735" s="2">
        <f t="shared" ca="1" si="706"/>
        <v>0.12998587584391366</v>
      </c>
      <c r="AA735" s="2">
        <f t="shared" ca="1" si="707"/>
        <v>6591914.4851911785</v>
      </c>
      <c r="AB735" s="2">
        <f t="shared" ca="1" si="708"/>
        <v>7188197.9589666594</v>
      </c>
      <c r="AC735" s="2">
        <f t="shared" ca="1" si="709"/>
        <v>7666371.0023742318</v>
      </c>
      <c r="AD735" s="2">
        <f t="shared" ca="1" si="710"/>
        <v>8176353.0555985756</v>
      </c>
      <c r="AE735" s="2">
        <f t="shared" ca="1" si="711"/>
        <v>8720260.1164347827</v>
      </c>
      <c r="AF735" s="2">
        <f t="shared" ca="1" si="712"/>
        <v>1037012.6545727509</v>
      </c>
      <c r="AG735" s="2">
        <f t="shared" ca="1" si="713"/>
        <v>1105996.7726952441</v>
      </c>
      <c r="AH735" s="2">
        <f t="shared" ca="1" si="714"/>
        <v>1179569.8498166015</v>
      </c>
      <c r="AI735" s="2">
        <f t="shared" ca="1" si="715"/>
        <v>1258037.1525005833</v>
      </c>
      <c r="AJ735" s="2">
        <f t="shared" ca="1" si="716"/>
        <v>1341724.2542422109</v>
      </c>
      <c r="AK735" s="2">
        <f t="shared" ca="1" si="717"/>
        <v>0</v>
      </c>
      <c r="AL735" s="2">
        <f t="shared" ca="1" si="718"/>
        <v>34492.059061246517</v>
      </c>
      <c r="AM735" s="2">
        <f t="shared" ca="1" si="719"/>
        <v>36786.538560678739</v>
      </c>
      <c r="AN735" s="2">
        <f t="shared" ca="1" si="720"/>
        <v>39233.651341990975</v>
      </c>
      <c r="AO735" s="2">
        <f t="shared" ca="1" si="721"/>
        <v>41843.550870813728</v>
      </c>
      <c r="AP735" s="2">
        <f t="shared" ca="1" si="722"/>
        <v>2466362.1119243889</v>
      </c>
      <c r="AQ735" s="2">
        <f t="shared" ca="1" si="723"/>
        <v>803020.32686045021</v>
      </c>
      <c r="AR735" s="2">
        <f t="shared" ca="1" si="724"/>
        <v>940118.15933022683</v>
      </c>
      <c r="AS735" s="2">
        <f t="shared" ca="1" si="725"/>
        <v>1045314.1505646427</v>
      </c>
      <c r="AT735" s="2">
        <f t="shared" ca="1" si="726"/>
        <v>1157507.985705137</v>
      </c>
      <c r="AU735" s="2">
        <f t="shared" ca="1" si="727"/>
        <v>1277165.1750697277</v>
      </c>
      <c r="AV735" s="2">
        <f t="shared" ca="1" si="728"/>
        <v>2285519.3918335889</v>
      </c>
      <c r="AW735" s="2">
        <f t="shared" ca="1" si="729"/>
        <v>2641228.8559555528</v>
      </c>
      <c r="AX735" s="2">
        <f t="shared" ca="1" si="730"/>
        <v>2938338.3515079194</v>
      </c>
      <c r="AY735" s="2">
        <f t="shared" ca="1" si="731"/>
        <v>3255212.154126476</v>
      </c>
      <c r="AZ735" s="2">
        <f t="shared" ca="1" si="732"/>
        <v>3593165.0243276418</v>
      </c>
      <c r="BA735" s="2">
        <f t="shared" ca="1" si="733"/>
        <v>61994412.79963813</v>
      </c>
      <c r="BB735" s="2">
        <f t="shared" ca="1" si="734"/>
        <v>1239888.2559927625</v>
      </c>
      <c r="BC735" s="2">
        <f t="shared" ca="1" si="735"/>
        <v>33350501.077818818</v>
      </c>
      <c r="BD735" s="2">
        <f t="shared" ca="1" si="736"/>
        <v>-19911183.288293805</v>
      </c>
      <c r="BE735" s="2">
        <f t="shared" ca="1" si="737"/>
        <v>2285519.3918335889</v>
      </c>
      <c r="BF735" s="2">
        <f t="shared" ca="1" si="738"/>
        <v>2641228.8559555528</v>
      </c>
      <c r="BG735" s="2">
        <f t="shared" ca="1" si="739"/>
        <v>2938338.3515079194</v>
      </c>
      <c r="BH735" s="2">
        <f t="shared" ca="1" si="740"/>
        <v>3255212.154126476</v>
      </c>
      <c r="BI735" s="2">
        <f t="shared" ca="1" si="741"/>
        <v>36943666.102146462</v>
      </c>
      <c r="BJ735" s="2">
        <f t="shared" ca="1" si="742"/>
        <v>0.22724284901584513</v>
      </c>
      <c r="BK735" s="2">
        <f t="shared" ca="1" si="743"/>
        <v>9358056.1670674048</v>
      </c>
    </row>
    <row r="736" spans="1:63" x14ac:dyDescent="0.3">
      <c r="A736" s="2">
        <v>735</v>
      </c>
      <c r="B736" s="2">
        <f t="shared" ca="1" si="682"/>
        <v>0.45213575144583307</v>
      </c>
      <c r="C736" s="2">
        <f t="shared" ca="1" si="683"/>
        <v>6.9509319128579428</v>
      </c>
      <c r="D736" s="2">
        <f t="shared" ca="1" si="684"/>
        <v>0.29451138992803783</v>
      </c>
      <c r="E736" s="2">
        <f t="shared" ca="1" si="685"/>
        <v>7.2674781950362339</v>
      </c>
      <c r="F736" s="2">
        <f t="shared" ca="1" si="686"/>
        <v>0.2874746007215816</v>
      </c>
      <c r="G736" s="2">
        <f t="shared" ca="1" si="687"/>
        <v>2.3176673876102137E-2</v>
      </c>
      <c r="H736" s="2">
        <f t="shared" ca="1" si="688"/>
        <v>2.3176673876102137E-2</v>
      </c>
      <c r="I736" s="2">
        <f t="shared" ca="1" si="689"/>
        <v>0.36114604872184264</v>
      </c>
      <c r="J736" s="2">
        <f t="shared" ca="1" si="690"/>
        <v>8.2230143419914359E-3</v>
      </c>
      <c r="K736" s="2">
        <f t="shared" ca="1" si="691"/>
        <v>8.2230143419914359E-3</v>
      </c>
      <c r="L736" s="2">
        <f t="shared" ca="1" si="692"/>
        <v>0.14642558451399501</v>
      </c>
      <c r="M736" s="2">
        <f t="shared" ca="1" si="693"/>
        <v>-2.1037749935927913E-2</v>
      </c>
      <c r="N736" s="2">
        <f t="shared" ca="1" si="694"/>
        <v>-2.1037749935927913E-2</v>
      </c>
      <c r="O736" s="2">
        <f t="shared" si="695"/>
        <v>6000000</v>
      </c>
      <c r="P736" s="2">
        <f t="shared" ca="1" si="696"/>
        <v>41705591.477147654</v>
      </c>
      <c r="Q736" s="2">
        <f t="shared" ca="1" si="697"/>
        <v>1042639.7869286914</v>
      </c>
      <c r="R736" s="2">
        <f t="shared" ca="1" si="698"/>
        <v>25023354.886288591</v>
      </c>
      <c r="S736" s="2">
        <f t="shared" ca="1" si="699"/>
        <v>16682236.590859063</v>
      </c>
      <c r="T736" s="2">
        <f t="shared" ca="1" si="700"/>
        <v>48948112.503203608</v>
      </c>
      <c r="U736" s="2">
        <f t="shared" ca="1" si="701"/>
        <v>50082566.943541117</v>
      </c>
      <c r="V736" s="2">
        <f t="shared" ca="1" si="702"/>
        <v>51243314.264469624</v>
      </c>
      <c r="W736" s="2">
        <f t="shared" ca="1" si="703"/>
        <v>52430963.847507849</v>
      </c>
      <c r="X736" s="2">
        <f t="shared" ca="1" si="704"/>
        <v>53646139.197611243</v>
      </c>
      <c r="Y736" s="2">
        <f t="shared" ca="1" si="705"/>
        <v>0.12411150717099571</v>
      </c>
      <c r="Z736" s="2">
        <f t="shared" ca="1" si="706"/>
        <v>0.12575611003939399</v>
      </c>
      <c r="AA736" s="2">
        <f t="shared" ca="1" si="707"/>
        <v>6075024.01594806</v>
      </c>
      <c r="AB736" s="2">
        <f t="shared" ca="1" si="708"/>
        <v>6298188.7996072732</v>
      </c>
      <c r="AC736" s="2">
        <f t="shared" ca="1" si="709"/>
        <v>6444159.8674258897</v>
      </c>
      <c r="AD736" s="2">
        <f t="shared" ca="1" si="710"/>
        <v>6593514.059078685</v>
      </c>
      <c r="AE736" s="2">
        <f t="shared" ca="1" si="711"/>
        <v>6746329.7841234468</v>
      </c>
      <c r="AF736" s="2">
        <f t="shared" ca="1" si="712"/>
        <v>978962.2500640722</v>
      </c>
      <c r="AG736" s="2">
        <f t="shared" ca="1" si="713"/>
        <v>1001651.3388708223</v>
      </c>
      <c r="AH736" s="2">
        <f t="shared" ca="1" si="714"/>
        <v>1024866.2852893925</v>
      </c>
      <c r="AI736" s="2">
        <f t="shared" ca="1" si="715"/>
        <v>1048619.276950157</v>
      </c>
      <c r="AJ736" s="2">
        <f t="shared" ca="1" si="716"/>
        <v>1072922.7839522248</v>
      </c>
      <c r="AK736" s="2">
        <f t="shared" ca="1" si="717"/>
        <v>0</v>
      </c>
      <c r="AL736" s="2">
        <f t="shared" ca="1" si="718"/>
        <v>11344.54440337509</v>
      </c>
      <c r="AM736" s="2">
        <f t="shared" ca="1" si="719"/>
        <v>11607.473209285066</v>
      </c>
      <c r="AN736" s="2">
        <f t="shared" ca="1" si="720"/>
        <v>11876.495830382259</v>
      </c>
      <c r="AO736" s="2">
        <f t="shared" ca="1" si="721"/>
        <v>12151.753501033932</v>
      </c>
      <c r="AP736" s="2">
        <f t="shared" ca="1" si="722"/>
        <v>2252101.939765973</v>
      </c>
      <c r="AQ736" s="2">
        <f t="shared" ca="1" si="723"/>
        <v>739429.55479068391</v>
      </c>
      <c r="AR736" s="2">
        <f t="shared" ca="1" si="724"/>
        <v>791553.23545232427</v>
      </c>
      <c r="AS736" s="2">
        <f t="shared" ca="1" si="725"/>
        <v>823469.82701633626</v>
      </c>
      <c r="AT736" s="2">
        <f t="shared" ca="1" si="726"/>
        <v>856126.13901426422</v>
      </c>
      <c r="AU736" s="2">
        <f t="shared" ca="1" si="727"/>
        <v>889539.31570536469</v>
      </c>
      <c r="AV736" s="2">
        <f t="shared" ca="1" si="728"/>
        <v>2104530.2713273307</v>
      </c>
      <c r="AW736" s="2">
        <f t="shared" ca="1" si="729"/>
        <v>2241537.7411147784</v>
      </c>
      <c r="AX736" s="2">
        <f t="shared" ca="1" si="730"/>
        <v>2332114.3421449028</v>
      </c>
      <c r="AY736" s="2">
        <f t="shared" ca="1" si="731"/>
        <v>2424790.207517908</v>
      </c>
      <c r="AZ736" s="2">
        <f t="shared" ca="1" si="732"/>
        <v>2519613.9911988499</v>
      </c>
      <c r="BA736" s="2">
        <f t="shared" ca="1" si="733"/>
        <v>49028804.602640651</v>
      </c>
      <c r="BB736" s="2">
        <f t="shared" ca="1" si="734"/>
        <v>980576.09205281304</v>
      </c>
      <c r="BC736" s="2">
        <f t="shared" ca="1" si="735"/>
        <v>23024873.624299247</v>
      </c>
      <c r="BD736" s="2">
        <f t="shared" ca="1" si="736"/>
        <v>-18224876.377787754</v>
      </c>
      <c r="BE736" s="2">
        <f t="shared" ca="1" si="737"/>
        <v>2104530.2713273307</v>
      </c>
      <c r="BF736" s="2">
        <f t="shared" ca="1" si="738"/>
        <v>2241537.7411147784</v>
      </c>
      <c r="BG736" s="2">
        <f t="shared" ca="1" si="739"/>
        <v>2332114.3421449028</v>
      </c>
      <c r="BH736" s="2">
        <f t="shared" ca="1" si="740"/>
        <v>2424790.207517908</v>
      </c>
      <c r="BI736" s="2">
        <f t="shared" ca="1" si="741"/>
        <v>25544487.615498096</v>
      </c>
      <c r="BJ736" s="2">
        <f t="shared" ca="1" si="742"/>
        <v>0.16387016464580539</v>
      </c>
      <c r="BK736" s="2">
        <f t="shared" ca="1" si="743"/>
        <v>3136687.8970446996</v>
      </c>
    </row>
    <row r="737" spans="1:63" x14ac:dyDescent="0.3">
      <c r="A737" s="2">
        <v>736</v>
      </c>
      <c r="B737" s="2">
        <f t="shared" ca="1" si="682"/>
        <v>0.52269411354986806</v>
      </c>
      <c r="C737" s="2">
        <f t="shared" ca="1" si="683"/>
        <v>7.0229576401709783</v>
      </c>
      <c r="D737" s="2">
        <f t="shared" ca="1" si="684"/>
        <v>0.43672048131185426</v>
      </c>
      <c r="E737" s="2">
        <f t="shared" ca="1" si="685"/>
        <v>7.4345806346290875</v>
      </c>
      <c r="F737" s="2">
        <f t="shared" ca="1" si="686"/>
        <v>0.48735511454082658</v>
      </c>
      <c r="G737" s="2">
        <f t="shared" ca="1" si="687"/>
        <v>3.9048959906156443E-2</v>
      </c>
      <c r="H737" s="2">
        <f t="shared" ca="1" si="688"/>
        <v>3.9048959906156443E-2</v>
      </c>
      <c r="I737" s="2">
        <f t="shared" ca="1" si="689"/>
        <v>0.33906985266478928</v>
      </c>
      <c r="J737" s="2">
        <f t="shared" ca="1" si="690"/>
        <v>7.9249849888004941E-3</v>
      </c>
      <c r="K737" s="2">
        <f t="shared" ca="1" si="691"/>
        <v>7.9249849888004941E-3</v>
      </c>
      <c r="L737" s="2">
        <f t="shared" ca="1" si="692"/>
        <v>0.98330643816727181</v>
      </c>
      <c r="M737" s="2">
        <f t="shared" ca="1" si="693"/>
        <v>4.2547936999231366E-2</v>
      </c>
      <c r="N737" s="2">
        <f t="shared" ca="1" si="694"/>
        <v>4.2547936999231366E-2</v>
      </c>
      <c r="O737" s="2">
        <f t="shared" si="695"/>
        <v>6000000</v>
      </c>
      <c r="P737" s="2">
        <f t="shared" ca="1" si="696"/>
        <v>42137745.841025867</v>
      </c>
      <c r="Q737" s="2">
        <f t="shared" ca="1" si="697"/>
        <v>1053443.6460256467</v>
      </c>
      <c r="R737" s="2">
        <f t="shared" ca="1" si="698"/>
        <v>25282647.504615519</v>
      </c>
      <c r="S737" s="2">
        <f t="shared" ca="1" si="699"/>
        <v>16855098.336410347</v>
      </c>
      <c r="T737" s="2">
        <f t="shared" ca="1" si="700"/>
        <v>52127396.849961571</v>
      </c>
      <c r="U737" s="2">
        <f t="shared" ca="1" si="701"/>
        <v>54162917.479568034</v>
      </c>
      <c r="V737" s="2">
        <f t="shared" ca="1" si="702"/>
        <v>56277923.072628148</v>
      </c>
      <c r="W737" s="2">
        <f t="shared" ca="1" si="703"/>
        <v>58475517.434292965</v>
      </c>
      <c r="X737" s="2">
        <f t="shared" ca="1" si="704"/>
        <v>60758925.570076428</v>
      </c>
      <c r="Y737" s="2">
        <f t="shared" ca="1" si="705"/>
        <v>0.12396249249440024</v>
      </c>
      <c r="Z737" s="2">
        <f t="shared" ca="1" si="706"/>
        <v>0.12554748949216035</v>
      </c>
      <c r="AA737" s="2">
        <f t="shared" ca="1" si="707"/>
        <v>6461842.040765984</v>
      </c>
      <c r="AB737" s="2">
        <f t="shared" ca="1" si="708"/>
        <v>6800018.3131308164</v>
      </c>
      <c r="AC737" s="2">
        <f t="shared" ca="1" si="709"/>
        <v>7065551.9556013914</v>
      </c>
      <c r="AD737" s="2">
        <f t="shared" ca="1" si="710"/>
        <v>7341454.4106305353</v>
      </c>
      <c r="AE737" s="2">
        <f t="shared" ca="1" si="711"/>
        <v>7628130.5695641236</v>
      </c>
      <c r="AF737" s="2">
        <f t="shared" ca="1" si="712"/>
        <v>1042547.9369992315</v>
      </c>
      <c r="AG737" s="2">
        <f t="shared" ca="1" si="713"/>
        <v>1083258.3495913607</v>
      </c>
      <c r="AH737" s="2">
        <f t="shared" ca="1" si="714"/>
        <v>1125558.4614525631</v>
      </c>
      <c r="AI737" s="2">
        <f t="shared" ca="1" si="715"/>
        <v>1169510.3486858592</v>
      </c>
      <c r="AJ737" s="2">
        <f t="shared" ca="1" si="716"/>
        <v>1215178.5114015285</v>
      </c>
      <c r="AK737" s="2">
        <f t="shared" ca="1" si="717"/>
        <v>0</v>
      </c>
      <c r="AL737" s="2">
        <f t="shared" ca="1" si="718"/>
        <v>20355.206296064629</v>
      </c>
      <c r="AM737" s="2">
        <f t="shared" ca="1" si="719"/>
        <v>21150.055930601135</v>
      </c>
      <c r="AN737" s="2">
        <f t="shared" ca="1" si="720"/>
        <v>21975.943616648168</v>
      </c>
      <c r="AO737" s="2">
        <f t="shared" ca="1" si="721"/>
        <v>22834.081357834639</v>
      </c>
      <c r="AP737" s="2">
        <f t="shared" ca="1" si="722"/>
        <v>2275438.2754153968</v>
      </c>
      <c r="AQ737" s="2">
        <f t="shared" ca="1" si="723"/>
        <v>817402.51537135243</v>
      </c>
      <c r="AR737" s="2">
        <f t="shared" ca="1" si="724"/>
        <v>894743.63891225541</v>
      </c>
      <c r="AS737" s="2">
        <f t="shared" ca="1" si="725"/>
        <v>952784.35687069222</v>
      </c>
      <c r="AT737" s="2">
        <f t="shared" ca="1" si="726"/>
        <v>1013091.5044976128</v>
      </c>
      <c r="AU737" s="2">
        <f t="shared" ca="1" si="727"/>
        <v>1075753.5835142715</v>
      </c>
      <c r="AV737" s="2">
        <f t="shared" ca="1" si="728"/>
        <v>2326453.3129800032</v>
      </c>
      <c r="AW737" s="2">
        <f t="shared" ca="1" si="729"/>
        <v>2526222.8429157394</v>
      </c>
      <c r="AX737" s="2">
        <f t="shared" ca="1" si="730"/>
        <v>2690620.8059321376</v>
      </c>
      <c r="AY737" s="2">
        <f t="shared" ca="1" si="731"/>
        <v>2861438.3384150187</v>
      </c>
      <c r="AZ737" s="2">
        <f t="shared" ca="1" si="732"/>
        <v>3038926.1178750922</v>
      </c>
      <c r="BA737" s="2">
        <f t="shared" ca="1" si="733"/>
        <v>56711951.810903586</v>
      </c>
      <c r="BB737" s="2">
        <f t="shared" ca="1" si="734"/>
        <v>1134239.0362180718</v>
      </c>
      <c r="BC737" s="2">
        <f t="shared" ca="1" si="735"/>
        <v>30295065.270069994</v>
      </c>
      <c r="BD737" s="2">
        <f t="shared" ca="1" si="736"/>
        <v>-18408541.982435994</v>
      </c>
      <c r="BE737" s="2">
        <f t="shared" ca="1" si="737"/>
        <v>2326453.3129800032</v>
      </c>
      <c r="BF737" s="2">
        <f t="shared" ca="1" si="738"/>
        <v>2526222.8429157394</v>
      </c>
      <c r="BG737" s="2">
        <f t="shared" ca="1" si="739"/>
        <v>2690620.8059321376</v>
      </c>
      <c r="BH737" s="2">
        <f t="shared" ca="1" si="740"/>
        <v>2861438.3384150187</v>
      </c>
      <c r="BI737" s="2">
        <f t="shared" ca="1" si="741"/>
        <v>33333991.387945086</v>
      </c>
      <c r="BJ737" s="2">
        <f t="shared" ca="1" si="742"/>
        <v>0.22487467641414272</v>
      </c>
      <c r="BK737" s="2">
        <f t="shared" ca="1" si="743"/>
        <v>8330766.3194180913</v>
      </c>
    </row>
    <row r="738" spans="1:63" x14ac:dyDescent="0.3">
      <c r="A738" s="2">
        <v>737</v>
      </c>
      <c r="B738" s="2">
        <f t="shared" ca="1" si="682"/>
        <v>8.6997549152567077E-2</v>
      </c>
      <c r="C738" s="2">
        <f t="shared" ca="1" si="683"/>
        <v>6.4171271967938965</v>
      </c>
      <c r="D738" s="2">
        <f t="shared" ca="1" si="684"/>
        <v>0.10209917785978773</v>
      </c>
      <c r="E738" s="2">
        <f t="shared" ca="1" si="685"/>
        <v>6.9518831217467358</v>
      </c>
      <c r="F738" s="2">
        <f t="shared" ca="1" si="686"/>
        <v>9.1870081016398597E-2</v>
      </c>
      <c r="G738" s="2">
        <f t="shared" ca="1" si="687"/>
        <v>1.2019471449548763E-4</v>
      </c>
      <c r="H738" s="2">
        <f t="shared" ca="1" si="688"/>
        <v>1.2019471449548763E-4</v>
      </c>
      <c r="I738" s="2">
        <f t="shared" ca="1" si="689"/>
        <v>0.91383758459573161</v>
      </c>
      <c r="J738" s="2">
        <f t="shared" ca="1" si="690"/>
        <v>1.6823858266724723E-2</v>
      </c>
      <c r="K738" s="2">
        <f t="shared" ca="1" si="691"/>
        <v>1.6823858266724723E-2</v>
      </c>
      <c r="L738" s="2">
        <f t="shared" ca="1" si="692"/>
        <v>0.93104975757758401</v>
      </c>
      <c r="M738" s="2">
        <f t="shared" ca="1" si="693"/>
        <v>2.9673098896831604E-2</v>
      </c>
      <c r="N738" s="2">
        <f t="shared" ca="1" si="694"/>
        <v>2.9673098896831604E-2</v>
      </c>
      <c r="O738" s="2">
        <f t="shared" si="695"/>
        <v>6000000</v>
      </c>
      <c r="P738" s="2">
        <f t="shared" ca="1" si="696"/>
        <v>38502763.180763379</v>
      </c>
      <c r="Q738" s="2">
        <f t="shared" ca="1" si="697"/>
        <v>962569.07951908454</v>
      </c>
      <c r="R738" s="2">
        <f t="shared" ca="1" si="698"/>
        <v>23101657.908458028</v>
      </c>
      <c r="S738" s="2">
        <f t="shared" ca="1" si="699"/>
        <v>15401105.272305353</v>
      </c>
      <c r="T738" s="2">
        <f t="shared" ca="1" si="700"/>
        <v>51483654.944841586</v>
      </c>
      <c r="U738" s="2">
        <f t="shared" ca="1" si="701"/>
        <v>51489843.00804887</v>
      </c>
      <c r="V738" s="2">
        <f t="shared" ca="1" si="702"/>
        <v>51496031.815028645</v>
      </c>
      <c r="W738" s="2">
        <f t="shared" ca="1" si="703"/>
        <v>51502221.365870304</v>
      </c>
      <c r="X738" s="2">
        <f t="shared" ca="1" si="704"/>
        <v>51508411.660663262</v>
      </c>
      <c r="Y738" s="2">
        <f t="shared" ca="1" si="705"/>
        <v>0.12841192913336236</v>
      </c>
      <c r="Z738" s="2">
        <f t="shared" ca="1" si="706"/>
        <v>0.13177670078670731</v>
      </c>
      <c r="AA738" s="2">
        <f t="shared" ca="1" si="707"/>
        <v>6611115.4503034782</v>
      </c>
      <c r="AB738" s="2">
        <f t="shared" ca="1" si="708"/>
        <v>6785161.6356261894</v>
      </c>
      <c r="AC738" s="2">
        <f t="shared" ca="1" si="709"/>
        <v>6785977.17619179</v>
      </c>
      <c r="AD738" s="2">
        <f t="shared" ca="1" si="710"/>
        <v>6786792.8147810549</v>
      </c>
      <c r="AE738" s="2">
        <f t="shared" ca="1" si="711"/>
        <v>6787608.5514057679</v>
      </c>
      <c r="AF738" s="2">
        <f t="shared" ca="1" si="712"/>
        <v>1029673.0988968317</v>
      </c>
      <c r="AG738" s="2">
        <f t="shared" ca="1" si="713"/>
        <v>1029796.8601609775</v>
      </c>
      <c r="AH738" s="2">
        <f t="shared" ca="1" si="714"/>
        <v>1029920.6363005729</v>
      </c>
      <c r="AI738" s="2">
        <f t="shared" ca="1" si="715"/>
        <v>1030044.4273174062</v>
      </c>
      <c r="AJ738" s="2">
        <f t="shared" ca="1" si="716"/>
        <v>1030168.2332132653</v>
      </c>
      <c r="AK738" s="2">
        <f t="shared" ca="1" si="717"/>
        <v>0</v>
      </c>
      <c r="AL738" s="2">
        <f t="shared" ca="1" si="718"/>
        <v>61.880632072836164</v>
      </c>
      <c r="AM738" s="2">
        <f t="shared" ca="1" si="719"/>
        <v>61.888069797754291</v>
      </c>
      <c r="AN738" s="2">
        <f t="shared" ca="1" si="720"/>
        <v>61.895508416593074</v>
      </c>
      <c r="AO738" s="2">
        <f t="shared" ca="1" si="721"/>
        <v>61.902947929576044</v>
      </c>
      <c r="AP738" s="2">
        <f t="shared" ca="1" si="722"/>
        <v>2079149.2117612225</v>
      </c>
      <c r="AQ738" s="2">
        <f t="shared" ca="1" si="723"/>
        <v>910596.21630781039</v>
      </c>
      <c r="AR738" s="2">
        <f t="shared" ca="1" si="724"/>
        <v>955816.04656303732</v>
      </c>
      <c r="AS738" s="2">
        <f t="shared" ca="1" si="725"/>
        <v>955995.90531379869</v>
      </c>
      <c r="AT738" s="2">
        <f t="shared" ca="1" si="726"/>
        <v>956175.78568263096</v>
      </c>
      <c r="AU738" s="2">
        <f t="shared" ca="1" si="727"/>
        <v>956355.68767213286</v>
      </c>
      <c r="AV738" s="2">
        <f t="shared" ca="1" si="728"/>
        <v>2591696.9233376142</v>
      </c>
      <c r="AW738" s="2">
        <f t="shared" ca="1" si="729"/>
        <v>2720337.6365088793</v>
      </c>
      <c r="AX738" s="2">
        <f t="shared" ca="1" si="730"/>
        <v>2720849.5347463982</v>
      </c>
      <c r="AY738" s="2">
        <f t="shared" ca="1" si="731"/>
        <v>2721361.4945113789</v>
      </c>
      <c r="AZ738" s="2">
        <f t="shared" ca="1" si="732"/>
        <v>2721873.5158112179</v>
      </c>
      <c r="BA738" s="2">
        <f t="shared" ca="1" si="733"/>
        <v>47186661.325541571</v>
      </c>
      <c r="BB738" s="2">
        <f t="shared" ca="1" si="734"/>
        <v>943733.22651083139</v>
      </c>
      <c r="BC738" s="2">
        <f t="shared" ca="1" si="735"/>
        <v>23141270.190572713</v>
      </c>
      <c r="BD738" s="2">
        <f t="shared" ca="1" si="736"/>
        <v>-16863674.351824436</v>
      </c>
      <c r="BE738" s="2">
        <f t="shared" ca="1" si="737"/>
        <v>2591696.9233376142</v>
      </c>
      <c r="BF738" s="2">
        <f t="shared" ca="1" si="738"/>
        <v>2720337.6365088793</v>
      </c>
      <c r="BG738" s="2">
        <f t="shared" ca="1" si="739"/>
        <v>2720849.5347463982</v>
      </c>
      <c r="BH738" s="2">
        <f t="shared" ca="1" si="740"/>
        <v>2721361.4945113789</v>
      </c>
      <c r="BI738" s="2">
        <f t="shared" ca="1" si="741"/>
        <v>25863143.706383929</v>
      </c>
      <c r="BJ738" s="2">
        <f t="shared" ca="1" si="742"/>
        <v>0.20839615522114174</v>
      </c>
      <c r="BK738" s="2">
        <f t="shared" ca="1" si="743"/>
        <v>5960540.9630481973</v>
      </c>
    </row>
    <row r="739" spans="1:63" x14ac:dyDescent="0.3">
      <c r="A739" s="2">
        <v>738</v>
      </c>
      <c r="B739" s="2">
        <f t="shared" ca="1" si="682"/>
        <v>4.1835277658007319E-2</v>
      </c>
      <c r="C739" s="2">
        <f t="shared" ca="1" si="683"/>
        <v>6.2892586304952971</v>
      </c>
      <c r="D739" s="2">
        <f t="shared" ca="1" si="684"/>
        <v>0.54165857727331568</v>
      </c>
      <c r="E739" s="2">
        <f t="shared" ca="1" si="685"/>
        <v>7.542564443185146</v>
      </c>
      <c r="F739" s="2">
        <f t="shared" ca="1" si="686"/>
        <v>0.86898417184738619</v>
      </c>
      <c r="G739" s="2">
        <f t="shared" ca="1" si="687"/>
        <v>7.3648063145436371E-2</v>
      </c>
      <c r="H739" s="2">
        <f t="shared" ca="1" si="688"/>
        <v>7.3648063145436371E-2</v>
      </c>
      <c r="I739" s="2">
        <f t="shared" ca="1" si="689"/>
        <v>0.27617739506601258</v>
      </c>
      <c r="J739" s="2">
        <f t="shared" ca="1" si="690"/>
        <v>7.0288238317920129E-3</v>
      </c>
      <c r="K739" s="2">
        <f t="shared" ca="1" si="691"/>
        <v>7.0288238317920129E-3</v>
      </c>
      <c r="L739" s="2">
        <f t="shared" ca="1" si="692"/>
        <v>0.89443481149869497</v>
      </c>
      <c r="M739" s="2">
        <f t="shared" ca="1" si="693"/>
        <v>2.5009264723124775E-2</v>
      </c>
      <c r="N739" s="2">
        <f t="shared" ca="1" si="694"/>
        <v>2.5009264723124775E-2</v>
      </c>
      <c r="O739" s="2">
        <f t="shared" si="695"/>
        <v>6000000</v>
      </c>
      <c r="P739" s="2">
        <f t="shared" ca="1" si="696"/>
        <v>37735551.782971784</v>
      </c>
      <c r="Q739" s="2">
        <f t="shared" ca="1" si="697"/>
        <v>943388.7945742947</v>
      </c>
      <c r="R739" s="2">
        <f t="shared" ca="1" si="698"/>
        <v>22641331.069783069</v>
      </c>
      <c r="S739" s="2">
        <f t="shared" ca="1" si="699"/>
        <v>15094220.713188715</v>
      </c>
      <c r="T739" s="2">
        <f t="shared" ca="1" si="700"/>
        <v>51250463.23615624</v>
      </c>
      <c r="U739" s="2">
        <f t="shared" ca="1" si="701"/>
        <v>55024960.588805541</v>
      </c>
      <c r="V739" s="2">
        <f t="shared" ca="1" si="702"/>
        <v>59077442.360825039</v>
      </c>
      <c r="W739" s="2">
        <f t="shared" ca="1" si="703"/>
        <v>63428381.56628596</v>
      </c>
      <c r="X739" s="2">
        <f t="shared" ca="1" si="704"/>
        <v>68099759.017092615</v>
      </c>
      <c r="Y739" s="2">
        <f t="shared" ca="1" si="705"/>
        <v>0.123514411915896</v>
      </c>
      <c r="Z739" s="2">
        <f t="shared" ca="1" si="706"/>
        <v>0.1249201766822544</v>
      </c>
      <c r="AA739" s="2">
        <f t="shared" ca="1" si="707"/>
        <v>6330170.8270310862</v>
      </c>
      <c r="AB739" s="2">
        <f t="shared" ca="1" si="708"/>
        <v>6873727.7986876732</v>
      </c>
      <c r="AC739" s="2">
        <f t="shared" ca="1" si="709"/>
        <v>7379964.537649964</v>
      </c>
      <c r="AD739" s="2">
        <f t="shared" ca="1" si="710"/>
        <v>7923484.6319298903</v>
      </c>
      <c r="AE739" s="2">
        <f t="shared" ca="1" si="711"/>
        <v>8507033.9284341559</v>
      </c>
      <c r="AF739" s="2">
        <f t="shared" ca="1" si="712"/>
        <v>1025009.2647231248</v>
      </c>
      <c r="AG739" s="2">
        <f t="shared" ca="1" si="713"/>
        <v>1100499.2117761108</v>
      </c>
      <c r="AH739" s="2">
        <f t="shared" ca="1" si="714"/>
        <v>1181548.8472165009</v>
      </c>
      <c r="AI739" s="2">
        <f t="shared" ca="1" si="715"/>
        <v>1268567.6313257192</v>
      </c>
      <c r="AJ739" s="2">
        <f t="shared" ca="1" si="716"/>
        <v>1361995.1803418524</v>
      </c>
      <c r="AK739" s="2">
        <f t="shared" ca="1" si="717"/>
        <v>0</v>
      </c>
      <c r="AL739" s="2">
        <f t="shared" ca="1" si="718"/>
        <v>37744.973526493013</v>
      </c>
      <c r="AM739" s="2">
        <f t="shared" ca="1" si="719"/>
        <v>40524.81772019498</v>
      </c>
      <c r="AN739" s="2">
        <f t="shared" ca="1" si="720"/>
        <v>43509.392054609212</v>
      </c>
      <c r="AO739" s="2">
        <f t="shared" ca="1" si="721"/>
        <v>46713.774508066548</v>
      </c>
      <c r="AP739" s="2">
        <f t="shared" ca="1" si="722"/>
        <v>2037719.7962804763</v>
      </c>
      <c r="AQ739" s="2">
        <f t="shared" ca="1" si="723"/>
        <v>849534.85916714615</v>
      </c>
      <c r="AR739" s="2">
        <f t="shared" ca="1" si="724"/>
        <v>971232.28556408256</v>
      </c>
      <c r="AS739" s="2">
        <f t="shared" ca="1" si="725"/>
        <v>1081780.9324797767</v>
      </c>
      <c r="AT739" s="2">
        <f t="shared" ca="1" si="726"/>
        <v>1200471.2731241607</v>
      </c>
      <c r="AU739" s="2">
        <f t="shared" ca="1" si="727"/>
        <v>1327902.927471075</v>
      </c>
      <c r="AV739" s="2">
        <f t="shared" ca="1" si="728"/>
        <v>2417906.9068603385</v>
      </c>
      <c r="AW739" s="2">
        <f t="shared" ca="1" si="729"/>
        <v>2726531.5315405112</v>
      </c>
      <c r="AX739" s="2">
        <f t="shared" ca="1" si="730"/>
        <v>3038390.1439530151</v>
      </c>
      <c r="AY739" s="2">
        <f t="shared" ca="1" si="731"/>
        <v>3373216.5391449248</v>
      </c>
      <c r="AZ739" s="2">
        <f t="shared" ca="1" si="732"/>
        <v>3732702.2498326851</v>
      </c>
      <c r="BA739" s="2">
        <f t="shared" ca="1" si="733"/>
        <v>64164851.625577115</v>
      </c>
      <c r="BB739" s="2">
        <f t="shared" ca="1" si="734"/>
        <v>1283297.0325115423</v>
      </c>
      <c r="BC739" s="2">
        <f t="shared" ca="1" si="735"/>
        <v>40240223.523282506</v>
      </c>
      <c r="BD739" s="2">
        <f t="shared" ca="1" si="736"/>
        <v>-16537609.50776301</v>
      </c>
      <c r="BE739" s="2">
        <f t="shared" ca="1" si="737"/>
        <v>2417906.9068603385</v>
      </c>
      <c r="BF739" s="2">
        <f t="shared" ca="1" si="738"/>
        <v>2726531.5315405112</v>
      </c>
      <c r="BG739" s="2">
        <f t="shared" ca="1" si="739"/>
        <v>3038390.1439530151</v>
      </c>
      <c r="BH739" s="2">
        <f t="shared" ca="1" si="740"/>
        <v>3373216.5391449248</v>
      </c>
      <c r="BI739" s="2">
        <f t="shared" ca="1" si="741"/>
        <v>43972925.773115188</v>
      </c>
      <c r="BJ739" s="2">
        <f t="shared" ca="1" si="742"/>
        <v>0.325160116256481</v>
      </c>
      <c r="BK739" s="2">
        <f t="shared" ca="1" si="743"/>
        <v>17052635.379488345</v>
      </c>
    </row>
    <row r="740" spans="1:63" x14ac:dyDescent="0.3">
      <c r="A740" s="2">
        <v>739</v>
      </c>
      <c r="B740" s="2">
        <f t="shared" ca="1" si="682"/>
        <v>0.38577103584445793</v>
      </c>
      <c r="C740" s="2">
        <f t="shared" ca="1" si="683"/>
        <v>6.8783746761427702</v>
      </c>
      <c r="D740" s="2">
        <f t="shared" ca="1" si="684"/>
        <v>0.59516747972450423</v>
      </c>
      <c r="E740" s="2">
        <f t="shared" ca="1" si="685"/>
        <v>7.6001861078250723</v>
      </c>
      <c r="F740" s="2">
        <f t="shared" ca="1" si="686"/>
        <v>0.78213448631522597</v>
      </c>
      <c r="G740" s="2">
        <f t="shared" ca="1" si="687"/>
        <v>6.3382667188307151E-2</v>
      </c>
      <c r="H740" s="2">
        <f t="shared" ca="1" si="688"/>
        <v>6.3382667188307151E-2</v>
      </c>
      <c r="I740" s="2">
        <f t="shared" ca="1" si="689"/>
        <v>0.17330050978286871</v>
      </c>
      <c r="J740" s="2">
        <f t="shared" ca="1" si="690"/>
        <v>5.2939867556720047E-3</v>
      </c>
      <c r="K740" s="2">
        <f t="shared" ca="1" si="691"/>
        <v>5.2939867556720047E-3</v>
      </c>
      <c r="L740" s="2">
        <f t="shared" ca="1" si="692"/>
        <v>0.7096332256817679</v>
      </c>
      <c r="M740" s="2">
        <f t="shared" ca="1" si="693"/>
        <v>1.1046271000036096E-2</v>
      </c>
      <c r="N740" s="2">
        <f t="shared" ca="1" si="694"/>
        <v>1.1046271000036096E-2</v>
      </c>
      <c r="O740" s="2">
        <f t="shared" si="695"/>
        <v>6000000</v>
      </c>
      <c r="P740" s="2">
        <f t="shared" ca="1" si="696"/>
        <v>41270248.056856625</v>
      </c>
      <c r="Q740" s="2">
        <f t="shared" ca="1" si="697"/>
        <v>1031756.2014214157</v>
      </c>
      <c r="R740" s="2">
        <f t="shared" ca="1" si="698"/>
        <v>24762148.834113974</v>
      </c>
      <c r="S740" s="2">
        <f t="shared" ca="1" si="699"/>
        <v>16508099.222742651</v>
      </c>
      <c r="T740" s="2">
        <f t="shared" ca="1" si="700"/>
        <v>50552313.550001808</v>
      </c>
      <c r="U740" s="2">
        <f t="shared" ca="1" si="701"/>
        <v>53756454.015340522</v>
      </c>
      <c r="V740" s="2">
        <f t="shared" ca="1" si="702"/>
        <v>57163681.449418388</v>
      </c>
      <c r="W740" s="2">
        <f t="shared" ca="1" si="703"/>
        <v>60786868.045985281</v>
      </c>
      <c r="X740" s="2">
        <f t="shared" ca="1" si="704"/>
        <v>64639701.872763507</v>
      </c>
      <c r="Y740" s="2">
        <f t="shared" ca="1" si="705"/>
        <v>0.12264699337783599</v>
      </c>
      <c r="Z740" s="2">
        <f t="shared" ca="1" si="706"/>
        <v>0.12370579072897039</v>
      </c>
      <c r="AA740" s="2">
        <f t="shared" ca="1" si="707"/>
        <v>6200089.2652013609</v>
      </c>
      <c r="AB740" s="2">
        <f t="shared" ca="1" si="708"/>
        <v>6649984.6507532345</v>
      </c>
      <c r="AC740" s="2">
        <f t="shared" ca="1" si="709"/>
        <v>7071478.4146792777</v>
      </c>
      <c r="AD740" s="2">
        <f t="shared" ca="1" si="710"/>
        <v>7519687.5775661925</v>
      </c>
      <c r="AE740" s="2">
        <f t="shared" ca="1" si="711"/>
        <v>7996305.4326551184</v>
      </c>
      <c r="AF740" s="2">
        <f t="shared" ca="1" si="712"/>
        <v>1011046.2710000362</v>
      </c>
      <c r="AG740" s="2">
        <f t="shared" ca="1" si="713"/>
        <v>1075129.0803068106</v>
      </c>
      <c r="AH740" s="2">
        <f t="shared" ca="1" si="714"/>
        <v>1143273.6289883677</v>
      </c>
      <c r="AI740" s="2">
        <f t="shared" ca="1" si="715"/>
        <v>1215737.3609197056</v>
      </c>
      <c r="AJ740" s="2">
        <f t="shared" ca="1" si="716"/>
        <v>1292794.0374552701</v>
      </c>
      <c r="AK740" s="2">
        <f t="shared" ca="1" si="717"/>
        <v>0</v>
      </c>
      <c r="AL740" s="2">
        <f t="shared" ca="1" si="718"/>
        <v>32041.404653387144</v>
      </c>
      <c r="AM740" s="2">
        <f t="shared" ca="1" si="719"/>
        <v>34072.274340778662</v>
      </c>
      <c r="AN740" s="2">
        <f t="shared" ca="1" si="720"/>
        <v>36231.865965668934</v>
      </c>
      <c r="AO740" s="2">
        <f t="shared" ca="1" si="721"/>
        <v>38528.338267782259</v>
      </c>
      <c r="AP740" s="2">
        <f t="shared" ca="1" si="722"/>
        <v>2228593.3950702576</v>
      </c>
      <c r="AQ740" s="2">
        <f t="shared" ca="1" si="723"/>
        <v>769716.89577407751</v>
      </c>
      <c r="AR740" s="2">
        <f t="shared" ca="1" si="724"/>
        <v>870028.16559780331</v>
      </c>
      <c r="AS740" s="2">
        <f t="shared" ca="1" si="725"/>
        <v>961898.96156136971</v>
      </c>
      <c r="AT740" s="2">
        <f t="shared" ca="1" si="726"/>
        <v>1059592.7736098196</v>
      </c>
      <c r="AU740" s="2">
        <f t="shared" ca="1" si="727"/>
        <v>1163478.6800336936</v>
      </c>
      <c r="AV740" s="2">
        <f t="shared" ca="1" si="728"/>
        <v>2190732.7033569897</v>
      </c>
      <c r="AW740" s="2">
        <f t="shared" ca="1" si="729"/>
        <v>2444192.6051249765</v>
      </c>
      <c r="AX740" s="2">
        <f t="shared" ca="1" si="730"/>
        <v>2703640.1547185043</v>
      </c>
      <c r="AY740" s="2">
        <f t="shared" ca="1" si="731"/>
        <v>2979532.1820007404</v>
      </c>
      <c r="AZ740" s="2">
        <f t="shared" ca="1" si="732"/>
        <v>3272910.9818281149</v>
      </c>
      <c r="BA740" s="2">
        <f t="shared" ca="1" si="733"/>
        <v>60773409.463191584</v>
      </c>
      <c r="BB740" s="2">
        <f t="shared" ca="1" si="734"/>
        <v>1215468.1892638316</v>
      </c>
      <c r="BC740" s="2">
        <f t="shared" ca="1" si="735"/>
        <v>34795792.439813785</v>
      </c>
      <c r="BD740" s="2">
        <f t="shared" ca="1" si="736"/>
        <v>-18039855.424164068</v>
      </c>
      <c r="BE740" s="2">
        <f t="shared" ca="1" si="737"/>
        <v>2190732.7033569897</v>
      </c>
      <c r="BF740" s="2">
        <f t="shared" ca="1" si="738"/>
        <v>2444192.6051249765</v>
      </c>
      <c r="BG740" s="2">
        <f t="shared" ca="1" si="739"/>
        <v>2703640.1547185043</v>
      </c>
      <c r="BH740" s="2">
        <f t="shared" ca="1" si="740"/>
        <v>2979532.1820007404</v>
      </c>
      <c r="BI740" s="2">
        <f t="shared" ca="1" si="741"/>
        <v>38068703.421641901</v>
      </c>
      <c r="BJ740" s="2">
        <f t="shared" ca="1" si="742"/>
        <v>0.25591159746552683</v>
      </c>
      <c r="BK740" s="2">
        <f t="shared" ca="1" si="743"/>
        <v>11283800.208480496</v>
      </c>
    </row>
    <row r="741" spans="1:63" x14ac:dyDescent="0.3">
      <c r="A741" s="2">
        <v>740</v>
      </c>
      <c r="B741" s="2">
        <f t="shared" ca="1" si="682"/>
        <v>0.26406465287677816</v>
      </c>
      <c r="C741" s="2">
        <f t="shared" ca="1" si="683"/>
        <v>6.7267250551298998</v>
      </c>
      <c r="D741" s="2">
        <f t="shared" ca="1" si="684"/>
        <v>0.8770672798858028</v>
      </c>
      <c r="E741" s="2">
        <f t="shared" ca="1" si="685"/>
        <v>8.0041517971915255</v>
      </c>
      <c r="F741" s="2">
        <f t="shared" ca="1" si="686"/>
        <v>0.35282093974257001</v>
      </c>
      <c r="G741" s="2">
        <f t="shared" ca="1" si="687"/>
        <v>2.8668532070475074E-2</v>
      </c>
      <c r="H741" s="2">
        <f t="shared" ca="1" si="688"/>
        <v>2.8668532070475074E-2</v>
      </c>
      <c r="I741" s="2">
        <f t="shared" ca="1" si="689"/>
        <v>0.88311876920210397</v>
      </c>
      <c r="J741" s="2">
        <f t="shared" ca="1" si="690"/>
        <v>1.5953613523614959E-2</v>
      </c>
      <c r="K741" s="2">
        <f t="shared" ca="1" si="691"/>
        <v>1.5953613523614959E-2</v>
      </c>
      <c r="L741" s="2">
        <f t="shared" ca="1" si="692"/>
        <v>0.74622891761178101</v>
      </c>
      <c r="M741" s="2">
        <f t="shared" ca="1" si="693"/>
        <v>1.3253392590917493E-2</v>
      </c>
      <c r="N741" s="2">
        <f t="shared" ca="1" si="694"/>
        <v>1.3253392590917493E-2</v>
      </c>
      <c r="O741" s="2">
        <f t="shared" si="695"/>
        <v>6000000</v>
      </c>
      <c r="P741" s="2">
        <f t="shared" ca="1" si="696"/>
        <v>40360350.330779396</v>
      </c>
      <c r="Q741" s="2">
        <f t="shared" ca="1" si="697"/>
        <v>1009008.758269485</v>
      </c>
      <c r="R741" s="2">
        <f t="shared" ca="1" si="698"/>
        <v>24216210.198467638</v>
      </c>
      <c r="S741" s="2">
        <f t="shared" ca="1" si="699"/>
        <v>16144140.13231176</v>
      </c>
      <c r="T741" s="2">
        <f t="shared" ca="1" si="700"/>
        <v>50662669.629545875</v>
      </c>
      <c r="U741" s="2">
        <f t="shared" ca="1" si="701"/>
        <v>52115093.9985964</v>
      </c>
      <c r="V741" s="2">
        <f t="shared" ca="1" si="702"/>
        <v>53609157.242250986</v>
      </c>
      <c r="W741" s="2">
        <f t="shared" ca="1" si="703"/>
        <v>55146053.0859216</v>
      </c>
      <c r="X741" s="2">
        <f t="shared" ca="1" si="704"/>
        <v>56727009.47737547</v>
      </c>
      <c r="Y741" s="2">
        <f t="shared" ca="1" si="705"/>
        <v>0.12797680676180748</v>
      </c>
      <c r="Z741" s="2">
        <f t="shared" ca="1" si="706"/>
        <v>0.13116752946653046</v>
      </c>
      <c r="AA741" s="2">
        <f t="shared" ca="1" si="707"/>
        <v>6483646.6812176844</v>
      </c>
      <c r="AB741" s="2">
        <f t="shared" ca="1" si="708"/>
        <v>6835808.1277118977</v>
      </c>
      <c r="AC741" s="2">
        <f t="shared" ca="1" si="709"/>
        <v>7031780.7122488208</v>
      </c>
      <c r="AD741" s="2">
        <f t="shared" ca="1" si="710"/>
        <v>7233371.543110474</v>
      </c>
      <c r="AE741" s="2">
        <f t="shared" ca="1" si="711"/>
        <v>7440741.6871717991</v>
      </c>
      <c r="AF741" s="2">
        <f t="shared" ca="1" si="712"/>
        <v>1013253.3925909175</v>
      </c>
      <c r="AG741" s="2">
        <f t="shared" ca="1" si="713"/>
        <v>1042301.8799719281</v>
      </c>
      <c r="AH741" s="2">
        <f t="shared" ca="1" si="714"/>
        <v>1072183.1448450198</v>
      </c>
      <c r="AI741" s="2">
        <f t="shared" ca="1" si="715"/>
        <v>1102921.061718432</v>
      </c>
      <c r="AJ741" s="2">
        <f t="shared" ca="1" si="716"/>
        <v>1134540.1895475094</v>
      </c>
      <c r="AK741" s="2">
        <f t="shared" ca="1" si="717"/>
        <v>0</v>
      </c>
      <c r="AL741" s="2">
        <f t="shared" ca="1" si="718"/>
        <v>14524.243690505251</v>
      </c>
      <c r="AM741" s="2">
        <f t="shared" ca="1" si="719"/>
        <v>14940.632436545864</v>
      </c>
      <c r="AN741" s="2">
        <f t="shared" ca="1" si="720"/>
        <v>15368.958436706142</v>
      </c>
      <c r="AO741" s="2">
        <f t="shared" ca="1" si="721"/>
        <v>15809.563914538698</v>
      </c>
      <c r="AP741" s="2">
        <f t="shared" ca="1" si="722"/>
        <v>2179458.9178620875</v>
      </c>
      <c r="AQ741" s="2">
        <f t="shared" ca="1" si="723"/>
        <v>855642.93639881664</v>
      </c>
      <c r="AR741" s="2">
        <f t="shared" ca="1" si="724"/>
        <v>939652.30576824944</v>
      </c>
      <c r="AS741" s="2">
        <f t="shared" ca="1" si="725"/>
        <v>982836.04888084554</v>
      </c>
      <c r="AT741" s="2">
        <f t="shared" ca="1" si="726"/>
        <v>1027257.8065177882</v>
      </c>
      <c r="AU741" s="2">
        <f t="shared" ca="1" si="727"/>
        <v>1072953.0707381724</v>
      </c>
      <c r="AV741" s="2">
        <f t="shared" ca="1" si="728"/>
        <v>2435291.434365863</v>
      </c>
      <c r="AW741" s="2">
        <f t="shared" ca="1" si="729"/>
        <v>2659870.7804191271</v>
      </c>
      <c r="AX741" s="2">
        <f t="shared" ca="1" si="730"/>
        <v>2782361.9682243224</v>
      </c>
      <c r="AY741" s="2">
        <f t="shared" ca="1" si="731"/>
        <v>2908364.79857546</v>
      </c>
      <c r="AZ741" s="2">
        <f t="shared" ca="1" si="732"/>
        <v>3037979.9451094912</v>
      </c>
      <c r="BA741" s="2">
        <f t="shared" ca="1" si="733"/>
        <v>59556825.947814062</v>
      </c>
      <c r="BB741" s="2">
        <f t="shared" ca="1" si="734"/>
        <v>1191136.5189562812</v>
      </c>
      <c r="BC741" s="2">
        <f t="shared" ca="1" si="735"/>
        <v>34149479.230390139</v>
      </c>
      <c r="BD741" s="2">
        <f t="shared" ca="1" si="736"/>
        <v>-17653148.890581243</v>
      </c>
      <c r="BE741" s="2">
        <f t="shared" ca="1" si="737"/>
        <v>2435291.434365863</v>
      </c>
      <c r="BF741" s="2">
        <f t="shared" ca="1" si="738"/>
        <v>2659870.7804191271</v>
      </c>
      <c r="BG741" s="2">
        <f t="shared" ca="1" si="739"/>
        <v>2782361.9682243224</v>
      </c>
      <c r="BH741" s="2">
        <f t="shared" ca="1" si="740"/>
        <v>2908364.79857546</v>
      </c>
      <c r="BI741" s="2">
        <f t="shared" ca="1" si="741"/>
        <v>37187459.175499633</v>
      </c>
      <c r="BJ741" s="2">
        <f t="shared" ca="1" si="742"/>
        <v>0.26366424699482782</v>
      </c>
      <c r="BK741" s="2">
        <f t="shared" ca="1" si="743"/>
        <v>11571562.894215889</v>
      </c>
    </row>
    <row r="742" spans="1:63" x14ac:dyDescent="0.3">
      <c r="A742" s="2">
        <v>741</v>
      </c>
      <c r="B742" s="2">
        <f t="shared" ca="1" si="682"/>
        <v>8.1000904307684918E-2</v>
      </c>
      <c r="C742" s="2">
        <f t="shared" ca="1" si="683"/>
        <v>6.4024944827141983</v>
      </c>
      <c r="D742" s="2">
        <f t="shared" ca="1" si="684"/>
        <v>0.72327213013494474</v>
      </c>
      <c r="E742" s="2">
        <f t="shared" ca="1" si="685"/>
        <v>7.7560539403087674</v>
      </c>
      <c r="F742" s="2">
        <f t="shared" ca="1" si="686"/>
        <v>0.45188698691508067</v>
      </c>
      <c r="G742" s="2">
        <f t="shared" ca="1" si="687"/>
        <v>3.6373141337363711E-2</v>
      </c>
      <c r="H742" s="2">
        <f t="shared" ca="1" si="688"/>
        <v>3.6373141337363711E-2</v>
      </c>
      <c r="I742" s="2">
        <f t="shared" ca="1" si="689"/>
        <v>0.68794636137882803</v>
      </c>
      <c r="J742" s="2">
        <f t="shared" ca="1" si="690"/>
        <v>1.2450188107031027E-2</v>
      </c>
      <c r="K742" s="2">
        <f t="shared" ca="1" si="691"/>
        <v>1.2450188107031027E-2</v>
      </c>
      <c r="L742" s="2">
        <f t="shared" ca="1" si="692"/>
        <v>0.63118054745984553</v>
      </c>
      <c r="M742" s="2">
        <f t="shared" ca="1" si="693"/>
        <v>6.6996336212692721E-3</v>
      </c>
      <c r="N742" s="2">
        <f t="shared" ca="1" si="694"/>
        <v>6.6996336212692721E-3</v>
      </c>
      <c r="O742" s="2">
        <f t="shared" si="695"/>
        <v>6000000</v>
      </c>
      <c r="P742" s="2">
        <f t="shared" ca="1" si="696"/>
        <v>38414966.896285191</v>
      </c>
      <c r="Q742" s="2">
        <f t="shared" ca="1" si="697"/>
        <v>960374.17240712978</v>
      </c>
      <c r="R742" s="2">
        <f t="shared" ca="1" si="698"/>
        <v>23048980.137771115</v>
      </c>
      <c r="S742" s="2">
        <f t="shared" ca="1" si="699"/>
        <v>15365986.758514076</v>
      </c>
      <c r="T742" s="2">
        <f t="shared" ca="1" si="700"/>
        <v>50334981.681063458</v>
      </c>
      <c r="U742" s="2">
        <f t="shared" ca="1" si="701"/>
        <v>52165823.083962396</v>
      </c>
      <c r="V742" s="2">
        <f t="shared" ca="1" si="702"/>
        <v>54063257.939975277</v>
      </c>
      <c r="W742" s="2">
        <f t="shared" ca="1" si="703"/>
        <v>56029708.462184355</v>
      </c>
      <c r="X742" s="2">
        <f t="shared" ca="1" si="704"/>
        <v>58067684.967170678</v>
      </c>
      <c r="Y742" s="2">
        <f t="shared" ca="1" si="705"/>
        <v>0.12622509405351551</v>
      </c>
      <c r="Z742" s="2">
        <f t="shared" ca="1" si="706"/>
        <v>0.12871513167492171</v>
      </c>
      <c r="AA742" s="2">
        <f t="shared" ca="1" si="707"/>
        <v>6353537.7968742149</v>
      </c>
      <c r="AB742" s="2">
        <f t="shared" ca="1" si="708"/>
        <v>6714530.7871828908</v>
      </c>
      <c r="AC742" s="2">
        <f t="shared" ca="1" si="709"/>
        <v>6958759.3645191742</v>
      </c>
      <c r="AD742" s="2">
        <f t="shared" ca="1" si="710"/>
        <v>7211871.3024175344</v>
      </c>
      <c r="AE742" s="2">
        <f t="shared" ca="1" si="711"/>
        <v>7474189.7166072456</v>
      </c>
      <c r="AF742" s="2">
        <f t="shared" ca="1" si="712"/>
        <v>1006699.6336212691</v>
      </c>
      <c r="AG742" s="2">
        <f t="shared" ca="1" si="713"/>
        <v>1043316.4616792479</v>
      </c>
      <c r="AH742" s="2">
        <f t="shared" ca="1" si="714"/>
        <v>1081265.1587995056</v>
      </c>
      <c r="AI742" s="2">
        <f t="shared" ca="1" si="715"/>
        <v>1120594.1692436871</v>
      </c>
      <c r="AJ742" s="2">
        <f t="shared" ca="1" si="716"/>
        <v>1161353.6993434136</v>
      </c>
      <c r="AK742" s="2">
        <f t="shared" ca="1" si="717"/>
        <v>0</v>
      </c>
      <c r="AL742" s="2">
        <f t="shared" ca="1" si="718"/>
        <v>18308.414028989377</v>
      </c>
      <c r="AM742" s="2">
        <f t="shared" ca="1" si="719"/>
        <v>18974.348560128808</v>
      </c>
      <c r="AN742" s="2">
        <f t="shared" ca="1" si="720"/>
        <v>19664.505222090782</v>
      </c>
      <c r="AO742" s="2">
        <f t="shared" ca="1" si="721"/>
        <v>20379.765049863236</v>
      </c>
      <c r="AP742" s="2">
        <f t="shared" ca="1" si="722"/>
        <v>2074408.2123994003</v>
      </c>
      <c r="AQ742" s="2">
        <f t="shared" ca="1" si="723"/>
        <v>850831.78722192196</v>
      </c>
      <c r="AR742" s="2">
        <f t="shared" ca="1" si="724"/>
        <v>935169.58940710302</v>
      </c>
      <c r="AS742" s="2">
        <f t="shared" ca="1" si="725"/>
        <v>988802.35826326977</v>
      </c>
      <c r="AT742" s="2">
        <f t="shared" ca="1" si="726"/>
        <v>1044385.9194013564</v>
      </c>
      <c r="AU742" s="2">
        <f t="shared" ca="1" si="727"/>
        <v>1101991.229264752</v>
      </c>
      <c r="AV742" s="2">
        <f t="shared" ca="1" si="728"/>
        <v>2421598.1636316241</v>
      </c>
      <c r="AW742" s="2">
        <f t="shared" ca="1" si="729"/>
        <v>2643328.1096681501</v>
      </c>
      <c r="AX742" s="2">
        <f t="shared" ca="1" si="730"/>
        <v>2795309.2864968698</v>
      </c>
      <c r="AY742" s="2">
        <f t="shared" ca="1" si="731"/>
        <v>2952818.4961510007</v>
      </c>
      <c r="AZ742" s="2">
        <f t="shared" ca="1" si="732"/>
        <v>3116056.8105498157</v>
      </c>
      <c r="BA742" s="2">
        <f t="shared" ca="1" si="733"/>
        <v>57970218.602106899</v>
      </c>
      <c r="BB742" s="2">
        <f t="shared" ca="1" si="734"/>
        <v>1159404.3720421379</v>
      </c>
      <c r="BC742" s="2">
        <f t="shared" ca="1" si="735"/>
        <v>33761834.09229365</v>
      </c>
      <c r="BD742" s="2">
        <f t="shared" ca="1" si="736"/>
        <v>-16826360.930921204</v>
      </c>
      <c r="BE742" s="2">
        <f t="shared" ca="1" si="737"/>
        <v>2421598.1636316241</v>
      </c>
      <c r="BF742" s="2">
        <f t="shared" ca="1" si="738"/>
        <v>2643328.1096681501</v>
      </c>
      <c r="BG742" s="2">
        <f t="shared" ca="1" si="739"/>
        <v>2795309.2864968698</v>
      </c>
      <c r="BH742" s="2">
        <f t="shared" ca="1" si="740"/>
        <v>2952818.4961510007</v>
      </c>
      <c r="BI742" s="2">
        <f t="shared" ca="1" si="741"/>
        <v>36877890.902843468</v>
      </c>
      <c r="BJ742" s="2">
        <f t="shared" ca="1" si="742"/>
        <v>0.27705938180896883</v>
      </c>
      <c r="BK742" s="2">
        <f t="shared" ca="1" si="743"/>
        <v>12234746.42573699</v>
      </c>
    </row>
    <row r="743" spans="1:63" x14ac:dyDescent="0.3">
      <c r="A743" s="2">
        <v>742</v>
      </c>
      <c r="B743" s="2">
        <f t="shared" ca="1" si="682"/>
        <v>0.97937887474241614</v>
      </c>
      <c r="C743" s="2">
        <f t="shared" ca="1" si="683"/>
        <v>7.7969181186930561</v>
      </c>
      <c r="D743" s="2">
        <f t="shared" ca="1" si="684"/>
        <v>0.3172158186030708</v>
      </c>
      <c r="E743" s="2">
        <f t="shared" ca="1" si="685"/>
        <v>7.2965121701556992</v>
      </c>
      <c r="F743" s="2">
        <f t="shared" ca="1" si="686"/>
        <v>0.60163666384852865</v>
      </c>
      <c r="G743" s="2">
        <f t="shared" ca="1" si="687"/>
        <v>4.7727570798870397E-2</v>
      </c>
      <c r="H743" s="2">
        <f t="shared" ca="1" si="688"/>
        <v>4.7727570798870397E-2</v>
      </c>
      <c r="I743" s="2">
        <f t="shared" ca="1" si="689"/>
        <v>0.69928233357991287</v>
      </c>
      <c r="J743" s="2">
        <f t="shared" ca="1" si="690"/>
        <v>1.2611687722554478E-2</v>
      </c>
      <c r="K743" s="2">
        <f t="shared" ca="1" si="691"/>
        <v>1.2611687722554478E-2</v>
      </c>
      <c r="L743" s="2">
        <f t="shared" ca="1" si="692"/>
        <v>0.18557004532587384</v>
      </c>
      <c r="M743" s="2">
        <f t="shared" ca="1" si="693"/>
        <v>-1.7886796775001108E-2</v>
      </c>
      <c r="N743" s="2">
        <f t="shared" ca="1" si="694"/>
        <v>-1.7886796775001108E-2</v>
      </c>
      <c r="O743" s="2">
        <f t="shared" si="695"/>
        <v>6000000</v>
      </c>
      <c r="P743" s="2">
        <f t="shared" ca="1" si="696"/>
        <v>46781508.712158337</v>
      </c>
      <c r="Q743" s="2">
        <f t="shared" ca="1" si="697"/>
        <v>1169537.7178039586</v>
      </c>
      <c r="R743" s="2">
        <f t="shared" ca="1" si="698"/>
        <v>28068905.227295</v>
      </c>
      <c r="S743" s="2">
        <f t="shared" ca="1" si="699"/>
        <v>18712603.484863337</v>
      </c>
      <c r="T743" s="2">
        <f t="shared" ca="1" si="700"/>
        <v>49105660.161249943</v>
      </c>
      <c r="U743" s="2">
        <f t="shared" ca="1" si="701"/>
        <v>51449354.033221275</v>
      </c>
      <c r="V743" s="2">
        <f t="shared" ca="1" si="702"/>
        <v>53904906.720397994</v>
      </c>
      <c r="W743" s="2">
        <f t="shared" ca="1" si="703"/>
        <v>56477656.972302295</v>
      </c>
      <c r="X743" s="2">
        <f t="shared" ca="1" si="704"/>
        <v>59173198.344002172</v>
      </c>
      <c r="Y743" s="2">
        <f t="shared" ca="1" si="705"/>
        <v>0.12630584386127724</v>
      </c>
      <c r="Z743" s="2">
        <f t="shared" ca="1" si="706"/>
        <v>0.12882818140578814</v>
      </c>
      <c r="AA743" s="2">
        <f t="shared" ca="1" si="707"/>
        <v>6202331.8450317774</v>
      </c>
      <c r="AB743" s="2">
        <f t="shared" ca="1" si="708"/>
        <v>6628126.714602448</v>
      </c>
      <c r="AC743" s="2">
        <f t="shared" ca="1" si="709"/>
        <v>6944471.1016375208</v>
      </c>
      <c r="AD743" s="2">
        <f t="shared" ca="1" si="710"/>
        <v>7275913.8378016353</v>
      </c>
      <c r="AE743" s="2">
        <f t="shared" ca="1" si="711"/>
        <v>7623175.5306217941</v>
      </c>
      <c r="AF743" s="2">
        <f t="shared" ca="1" si="712"/>
        <v>982113.2032249989</v>
      </c>
      <c r="AG743" s="2">
        <f t="shared" ca="1" si="713"/>
        <v>1028987.0806644255</v>
      </c>
      <c r="AH743" s="2">
        <f t="shared" ca="1" si="714"/>
        <v>1078098.1344079599</v>
      </c>
      <c r="AI743" s="2">
        <f t="shared" ca="1" si="715"/>
        <v>1129553.139446046</v>
      </c>
      <c r="AJ743" s="2">
        <f t="shared" ca="1" si="716"/>
        <v>1183463.9668800435</v>
      </c>
      <c r="AK743" s="2">
        <f t="shared" ca="1" si="717"/>
        <v>0</v>
      </c>
      <c r="AL743" s="2">
        <f t="shared" ca="1" si="718"/>
        <v>23436.938719713315</v>
      </c>
      <c r="AM743" s="2">
        <f t="shared" ca="1" si="719"/>
        <v>24555.526871767193</v>
      </c>
      <c r="AN743" s="2">
        <f t="shared" ca="1" si="720"/>
        <v>25727.502519043013</v>
      </c>
      <c r="AO743" s="2">
        <f t="shared" ca="1" si="721"/>
        <v>26955.41371699877</v>
      </c>
      <c r="AP743" s="2">
        <f t="shared" ca="1" si="722"/>
        <v>2526201.4704565499</v>
      </c>
      <c r="AQ743" s="2">
        <f t="shared" ca="1" si="723"/>
        <v>700444.46455105941</v>
      </c>
      <c r="AR743" s="2">
        <f t="shared" ca="1" si="724"/>
        <v>798963.92250518303</v>
      </c>
      <c r="AS743" s="2">
        <f t="shared" ca="1" si="725"/>
        <v>868444.58916098287</v>
      </c>
      <c r="AT743" s="2">
        <f t="shared" ca="1" si="726"/>
        <v>941241.39925375022</v>
      </c>
      <c r="AU743" s="2">
        <f t="shared" ca="1" si="727"/>
        <v>1017512.6242541523</v>
      </c>
      <c r="AV743" s="2">
        <f t="shared" ca="1" si="728"/>
        <v>1993572.7067991691</v>
      </c>
      <c r="AW743" s="2">
        <f t="shared" ca="1" si="729"/>
        <v>2250537.3022565767</v>
      </c>
      <c r="AX743" s="2">
        <f t="shared" ca="1" si="730"/>
        <v>2447171.3807402616</v>
      </c>
      <c r="AY743" s="2">
        <f t="shared" ca="1" si="731"/>
        <v>2653190.3261262458</v>
      </c>
      <c r="AZ743" s="2">
        <f t="shared" ca="1" si="732"/>
        <v>2869042.0553140501</v>
      </c>
      <c r="BA743" s="2">
        <f t="shared" ca="1" si="733"/>
        <v>55622593.034415051</v>
      </c>
      <c r="BB743" s="2">
        <f t="shared" ca="1" si="734"/>
        <v>1112451.860688301</v>
      </c>
      <c r="BC743" s="2">
        <f t="shared" ca="1" si="735"/>
        <v>26441235.946431749</v>
      </c>
      <c r="BD743" s="2">
        <f t="shared" ca="1" si="736"/>
        <v>-20382141.202667296</v>
      </c>
      <c r="BE743" s="2">
        <f t="shared" ca="1" si="737"/>
        <v>1993572.7067991691</v>
      </c>
      <c r="BF743" s="2">
        <f t="shared" ca="1" si="738"/>
        <v>2250537.3022565767</v>
      </c>
      <c r="BG743" s="2">
        <f t="shared" ca="1" si="739"/>
        <v>2447171.3807402616</v>
      </c>
      <c r="BH743" s="2">
        <f t="shared" ca="1" si="740"/>
        <v>2653190.3261262458</v>
      </c>
      <c r="BI743" s="2">
        <f t="shared" ca="1" si="741"/>
        <v>29310278.001745798</v>
      </c>
      <c r="BJ743" s="2">
        <f t="shared" ca="1" si="742"/>
        <v>0.15996073851946813</v>
      </c>
      <c r="BK743" s="2">
        <f t="shared" ca="1" si="743"/>
        <v>3251386.543258395</v>
      </c>
    </row>
    <row r="744" spans="1:63" x14ac:dyDescent="0.3">
      <c r="A744" s="2">
        <v>743</v>
      </c>
      <c r="B744" s="2">
        <f t="shared" ca="1" si="682"/>
        <v>0.3621027970832934</v>
      </c>
      <c r="C744" s="2">
        <f t="shared" ca="1" si="683"/>
        <v>6.8510026992710342</v>
      </c>
      <c r="D744" s="2">
        <f t="shared" ca="1" si="684"/>
        <v>0.79591092605268998</v>
      </c>
      <c r="E744" s="2">
        <f t="shared" ca="1" si="685"/>
        <v>7.8611117876383849</v>
      </c>
      <c r="F744" s="2">
        <f t="shared" ca="1" si="686"/>
        <v>0.91681198540356845</v>
      </c>
      <c r="G744" s="2">
        <f t="shared" ca="1" si="687"/>
        <v>8.1518278203696351E-2</v>
      </c>
      <c r="H744" s="2">
        <f t="shared" ca="1" si="688"/>
        <v>8.1518278203696351E-2</v>
      </c>
      <c r="I744" s="2">
        <f t="shared" ca="1" si="689"/>
        <v>0.3304931453433656</v>
      </c>
      <c r="J744" s="2">
        <f t="shared" ca="1" si="690"/>
        <v>7.8072407378901882E-3</v>
      </c>
      <c r="K744" s="2">
        <f t="shared" ca="1" si="691"/>
        <v>7.8072407378901882E-3</v>
      </c>
      <c r="L744" s="2">
        <f t="shared" ca="1" si="692"/>
        <v>0.53405729469884367</v>
      </c>
      <c r="M744" s="2">
        <f t="shared" ca="1" si="693"/>
        <v>1.7094587214730159E-3</v>
      </c>
      <c r="N744" s="2">
        <f t="shared" ca="1" si="694"/>
        <v>1.7094587214730159E-3</v>
      </c>
      <c r="O744" s="2">
        <f t="shared" si="695"/>
        <v>6000000</v>
      </c>
      <c r="P744" s="2">
        <f t="shared" ca="1" si="696"/>
        <v>41106016.195626207</v>
      </c>
      <c r="Q744" s="2">
        <f t="shared" ca="1" si="697"/>
        <v>1027650.4048906552</v>
      </c>
      <c r="R744" s="2">
        <f t="shared" ca="1" si="698"/>
        <v>24663609.717375722</v>
      </c>
      <c r="S744" s="2">
        <f t="shared" ca="1" si="699"/>
        <v>16442406.478250483</v>
      </c>
      <c r="T744" s="2">
        <f t="shared" ca="1" si="700"/>
        <v>50085472.936073646</v>
      </c>
      <c r="U744" s="2">
        <f t="shared" ca="1" si="701"/>
        <v>54168354.452840202</v>
      </c>
      <c r="V744" s="2">
        <f t="shared" ca="1" si="702"/>
        <v>58584065.440963261</v>
      </c>
      <c r="W744" s="2">
        <f t="shared" ca="1" si="703"/>
        <v>63359737.585883252</v>
      </c>
      <c r="X744" s="2">
        <f t="shared" ca="1" si="704"/>
        <v>68524714.301322475</v>
      </c>
      <c r="Y744" s="2">
        <f t="shared" ca="1" si="705"/>
        <v>0.12390362036894509</v>
      </c>
      <c r="Z744" s="2">
        <f t="shared" ca="1" si="706"/>
        <v>0.12546506851652311</v>
      </c>
      <c r="AA744" s="2">
        <f t="shared" ca="1" si="707"/>
        <v>6205771.4246703424</v>
      </c>
      <c r="AB744" s="2">
        <f t="shared" ca="1" si="708"/>
        <v>6796236.3028529063</v>
      </c>
      <c r="AC744" s="2">
        <f t="shared" ca="1" si="709"/>
        <v>7350253.7845269293</v>
      </c>
      <c r="AD744" s="2">
        <f t="shared" ca="1" si="710"/>
        <v>7949433.8174017668</v>
      </c>
      <c r="AE744" s="2">
        <f t="shared" ca="1" si="711"/>
        <v>8597457.9748905953</v>
      </c>
      <c r="AF744" s="2">
        <f t="shared" ca="1" si="712"/>
        <v>1001709.4587214729</v>
      </c>
      <c r="AG744" s="2">
        <f t="shared" ca="1" si="713"/>
        <v>1083367.0890568041</v>
      </c>
      <c r="AH744" s="2">
        <f t="shared" ca="1" si="714"/>
        <v>1171681.3088192653</v>
      </c>
      <c r="AI744" s="2">
        <f t="shared" ca="1" si="715"/>
        <v>1267194.751717665</v>
      </c>
      <c r="AJ744" s="2">
        <f t="shared" ca="1" si="716"/>
        <v>1370494.2860264496</v>
      </c>
      <c r="AK744" s="2">
        <f t="shared" ca="1" si="717"/>
        <v>0</v>
      </c>
      <c r="AL744" s="2">
        <f t="shared" ca="1" si="718"/>
        <v>40828.815167665554</v>
      </c>
      <c r="AM744" s="2">
        <f t="shared" ca="1" si="719"/>
        <v>44157.109881230594</v>
      </c>
      <c r="AN744" s="2">
        <f t="shared" ca="1" si="720"/>
        <v>47756.721449199918</v>
      </c>
      <c r="AO744" s="2">
        <f t="shared" ca="1" si="721"/>
        <v>51649.767154392226</v>
      </c>
      <c r="AP744" s="2">
        <f t="shared" ca="1" si="722"/>
        <v>2219724.8745638151</v>
      </c>
      <c r="AQ744" s="2">
        <f t="shared" ca="1" si="723"/>
        <v>775927.64376011421</v>
      </c>
      <c r="AR744" s="2">
        <f t="shared" ca="1" si="724"/>
        <v>908217.52820039471</v>
      </c>
      <c r="AS744" s="2">
        <f t="shared" ca="1" si="725"/>
        <v>1029300.3762974008</v>
      </c>
      <c r="AT744" s="2">
        <f t="shared" ca="1" si="726"/>
        <v>1160253.6896912744</v>
      </c>
      <c r="AU744" s="2">
        <f t="shared" ca="1" si="727"/>
        <v>1301882.091718086</v>
      </c>
      <c r="AV744" s="2">
        <f t="shared" ca="1" si="728"/>
        <v>2208409.4476249404</v>
      </c>
      <c r="AW744" s="2">
        <f t="shared" ca="1" si="729"/>
        <v>2544097.9958642274</v>
      </c>
      <c r="AX744" s="2">
        <f t="shared" ca="1" si="730"/>
        <v>2885390.1149652172</v>
      </c>
      <c r="AY744" s="2">
        <f t="shared" ca="1" si="731"/>
        <v>3254503.779979812</v>
      </c>
      <c r="AZ744" s="2">
        <f t="shared" ca="1" si="732"/>
        <v>3653706.9554278525</v>
      </c>
      <c r="BA744" s="2">
        <f t="shared" ca="1" si="733"/>
        <v>67585578.230138093</v>
      </c>
      <c r="BB744" s="2">
        <f t="shared" ca="1" si="734"/>
        <v>1351711.564602762</v>
      </c>
      <c r="BC744" s="2">
        <f t="shared" ca="1" si="735"/>
        <v>41570256.948159605</v>
      </c>
      <c r="BD744" s="2">
        <f t="shared" ca="1" si="736"/>
        <v>-17970056.883141138</v>
      </c>
      <c r="BE744" s="2">
        <f t="shared" ca="1" si="737"/>
        <v>2208409.4476249404</v>
      </c>
      <c r="BF744" s="2">
        <f t="shared" ca="1" si="738"/>
        <v>2544097.9958642274</v>
      </c>
      <c r="BG744" s="2">
        <f t="shared" ca="1" si="739"/>
        <v>2885390.1149652172</v>
      </c>
      <c r="BH744" s="2">
        <f t="shared" ca="1" si="740"/>
        <v>3254503.779979812</v>
      </c>
      <c r="BI744" s="2">
        <f t="shared" ca="1" si="741"/>
        <v>45223963.903587461</v>
      </c>
      <c r="BJ744" s="2">
        <f t="shared" ca="1" si="742"/>
        <v>0.29767957922539634</v>
      </c>
      <c r="BK744" s="2">
        <f t="shared" ca="1" si="743"/>
        <v>15813227.933143161</v>
      </c>
    </row>
    <row r="745" spans="1:63" x14ac:dyDescent="0.3">
      <c r="A745" s="2">
        <v>744</v>
      </c>
      <c r="B745" s="2">
        <f t="shared" ca="1" si="682"/>
        <v>0.12438729089763889</v>
      </c>
      <c r="C745" s="2">
        <f t="shared" ca="1" si="683"/>
        <v>6.4987730764538902</v>
      </c>
      <c r="D745" s="2">
        <f t="shared" ca="1" si="684"/>
        <v>0.73402221173951776</v>
      </c>
      <c r="E745" s="2">
        <f t="shared" ca="1" si="685"/>
        <v>7.7706471522500484</v>
      </c>
      <c r="F745" s="2">
        <f t="shared" ca="1" si="686"/>
        <v>0.43434727637085002</v>
      </c>
      <c r="G745" s="2">
        <f t="shared" ca="1" si="687"/>
        <v>3.504049281638498E-2</v>
      </c>
      <c r="H745" s="2">
        <f t="shared" ca="1" si="688"/>
        <v>3.504049281638498E-2</v>
      </c>
      <c r="I745" s="2">
        <f t="shared" ca="1" si="689"/>
        <v>0.99997005894677315</v>
      </c>
      <c r="J745" s="2">
        <f t="shared" ca="1" si="690"/>
        <v>3.0066374496275437E-2</v>
      </c>
      <c r="K745" s="2">
        <f t="shared" ca="1" si="691"/>
        <v>0.03</v>
      </c>
      <c r="L745" s="2">
        <f t="shared" ca="1" si="692"/>
        <v>0.54887285829201038</v>
      </c>
      <c r="M745" s="2">
        <f t="shared" ca="1" si="693"/>
        <v>2.4562826361650232E-3</v>
      </c>
      <c r="N745" s="2">
        <f t="shared" ca="1" si="694"/>
        <v>2.4562826361650232E-3</v>
      </c>
      <c r="O745" s="2">
        <f t="shared" si="695"/>
        <v>6000000</v>
      </c>
      <c r="P745" s="2">
        <f t="shared" ca="1" si="696"/>
        <v>38992638.458723344</v>
      </c>
      <c r="Q745" s="2">
        <f t="shared" ca="1" si="697"/>
        <v>974815.96146808367</v>
      </c>
      <c r="R745" s="2">
        <f t="shared" ca="1" si="698"/>
        <v>23395583.075234007</v>
      </c>
      <c r="S745" s="2">
        <f t="shared" ca="1" si="699"/>
        <v>15597055.383489339</v>
      </c>
      <c r="T745" s="2">
        <f t="shared" ca="1" si="700"/>
        <v>50122814.131808244</v>
      </c>
      <c r="U745" s="2">
        <f t="shared" ca="1" si="701"/>
        <v>51879142.240330867</v>
      </c>
      <c r="V745" s="2">
        <f t="shared" ca="1" si="702"/>
        <v>53697012.951323397</v>
      </c>
      <c r="W745" s="2">
        <f t="shared" ca="1" si="703"/>
        <v>55578582.747905575</v>
      </c>
      <c r="X745" s="2">
        <f t="shared" ca="1" si="704"/>
        <v>57526083.677428417</v>
      </c>
      <c r="Y745" s="2">
        <f t="shared" ca="1" si="705"/>
        <v>0.13500000000000001</v>
      </c>
      <c r="Z745" s="2">
        <f t="shared" ca="1" si="706"/>
        <v>0.14099999999999999</v>
      </c>
      <c r="AA745" s="2">
        <f t="shared" ca="1" si="707"/>
        <v>6766579.9077941133</v>
      </c>
      <c r="AB745" s="2">
        <f t="shared" ca="1" si="708"/>
        <v>7314959.0558866514</v>
      </c>
      <c r="AC745" s="2">
        <f t="shared" ca="1" si="709"/>
        <v>7571278.8261365984</v>
      </c>
      <c r="AD745" s="2">
        <f t="shared" ca="1" si="710"/>
        <v>7836580.1674546851</v>
      </c>
      <c r="AE745" s="2">
        <f t="shared" ca="1" si="711"/>
        <v>8111177.798517406</v>
      </c>
      <c r="AF745" s="2">
        <f t="shared" ca="1" si="712"/>
        <v>1002456.2826361649</v>
      </c>
      <c r="AG745" s="2">
        <f t="shared" ca="1" si="713"/>
        <v>1037582.8448066174</v>
      </c>
      <c r="AH745" s="2">
        <f t="shared" ca="1" si="714"/>
        <v>1073940.259026468</v>
      </c>
      <c r="AI745" s="2">
        <f t="shared" ca="1" si="715"/>
        <v>1111571.6549581115</v>
      </c>
      <c r="AJ745" s="2">
        <f t="shared" ca="1" si="716"/>
        <v>1150521.6735485683</v>
      </c>
      <c r="AK745" s="2">
        <f t="shared" ca="1" si="717"/>
        <v>0</v>
      </c>
      <c r="AL745" s="2">
        <f t="shared" ca="1" si="718"/>
        <v>17563.281085226237</v>
      </c>
      <c r="AM745" s="2">
        <f t="shared" ca="1" si="719"/>
        <v>18178.707109925301</v>
      </c>
      <c r="AN745" s="2">
        <f t="shared" ca="1" si="720"/>
        <v>18815.697965821772</v>
      </c>
      <c r="AO745" s="2">
        <f t="shared" ca="1" si="721"/>
        <v>19475.009295228421</v>
      </c>
      <c r="AP745" s="2">
        <f t="shared" ca="1" si="722"/>
        <v>2105602.4767710604</v>
      </c>
      <c r="AQ745" s="2">
        <f t="shared" ca="1" si="723"/>
        <v>951215.49858059094</v>
      </c>
      <c r="AR745" s="2">
        <f t="shared" ca="1" si="724"/>
        <v>1084661.1709203334</v>
      </c>
      <c r="AS745" s="2">
        <f t="shared" ca="1" si="725"/>
        <v>1141851.3834881582</v>
      </c>
      <c r="AT745" s="2">
        <f t="shared" ca="1" si="726"/>
        <v>1201045.5692886335</v>
      </c>
      <c r="AU745" s="2">
        <f t="shared" ca="1" si="727"/>
        <v>1262313.9485314223</v>
      </c>
      <c r="AV745" s="2">
        <f t="shared" ca="1" si="728"/>
        <v>2707305.6498062974</v>
      </c>
      <c r="AW745" s="2">
        <f t="shared" ca="1" si="729"/>
        <v>3069549.2823034134</v>
      </c>
      <c r="AX745" s="2">
        <f t="shared" ca="1" si="730"/>
        <v>3231705.9997409862</v>
      </c>
      <c r="AY745" s="2">
        <f t="shared" ca="1" si="731"/>
        <v>3399544.7684710575</v>
      </c>
      <c r="AZ745" s="2">
        <f t="shared" ca="1" si="732"/>
        <v>3573264.6903711259</v>
      </c>
      <c r="BA745" s="2">
        <f t="shared" ca="1" si="733"/>
        <v>63029100.661443099</v>
      </c>
      <c r="BB745" s="2">
        <f t="shared" ca="1" si="734"/>
        <v>1260582.0132288621</v>
      </c>
      <c r="BC745" s="2">
        <f t="shared" ca="1" si="735"/>
        <v>38372935.572980225</v>
      </c>
      <c r="BD745" s="2">
        <f t="shared" ca="1" si="736"/>
        <v>-17071871.344957422</v>
      </c>
      <c r="BE745" s="2">
        <f t="shared" ca="1" si="737"/>
        <v>2707305.6498062974</v>
      </c>
      <c r="BF745" s="2">
        <f t="shared" ca="1" si="738"/>
        <v>3069549.2823034134</v>
      </c>
      <c r="BG745" s="2">
        <f t="shared" ca="1" si="739"/>
        <v>3231705.9997409862</v>
      </c>
      <c r="BH745" s="2">
        <f t="shared" ca="1" si="740"/>
        <v>3399544.7684710575</v>
      </c>
      <c r="BI745" s="2">
        <f t="shared" ca="1" si="741"/>
        <v>41946200.263351351</v>
      </c>
      <c r="BJ745" s="2">
        <f t="shared" ca="1" si="742"/>
        <v>0.31476011554103334</v>
      </c>
      <c r="BK745" s="2">
        <f t="shared" ca="1" si="743"/>
        <v>16054528.91790482</v>
      </c>
    </row>
    <row r="746" spans="1:63" x14ac:dyDescent="0.3">
      <c r="A746" s="2">
        <v>745</v>
      </c>
      <c r="B746" s="2">
        <f t="shared" ca="1" si="682"/>
        <v>0.63951063912836115</v>
      </c>
      <c r="C746" s="2">
        <f t="shared" ca="1" si="683"/>
        <v>7.1508953411131948</v>
      </c>
      <c r="D746" s="2">
        <f t="shared" ca="1" si="684"/>
        <v>0.83933392857377986</v>
      </c>
      <c r="E746" s="2">
        <f t="shared" ca="1" si="685"/>
        <v>7.9331383388758416</v>
      </c>
      <c r="F746" s="2">
        <f t="shared" ca="1" si="686"/>
        <v>0.45857540401614516</v>
      </c>
      <c r="G746" s="2">
        <f t="shared" ca="1" si="687"/>
        <v>3.6879299105356519E-2</v>
      </c>
      <c r="H746" s="2">
        <f t="shared" ca="1" si="688"/>
        <v>3.6879299105356519E-2</v>
      </c>
      <c r="I746" s="2">
        <f t="shared" ca="1" si="689"/>
        <v>0.89785430986749115</v>
      </c>
      <c r="J746" s="2">
        <f t="shared" ca="1" si="690"/>
        <v>1.6347098968160265E-2</v>
      </c>
      <c r="K746" s="2">
        <f t="shared" ca="1" si="691"/>
        <v>1.6347098968160265E-2</v>
      </c>
      <c r="L746" s="2">
        <f t="shared" ca="1" si="692"/>
        <v>0.70578135901206851</v>
      </c>
      <c r="M746" s="2">
        <f t="shared" ca="1" si="693"/>
        <v>1.0822039936548462E-2</v>
      </c>
      <c r="N746" s="2">
        <f t="shared" ca="1" si="694"/>
        <v>1.0822039936548462E-2</v>
      </c>
      <c r="O746" s="2">
        <f t="shared" si="695"/>
        <v>6000000</v>
      </c>
      <c r="P746" s="2">
        <f t="shared" ca="1" si="696"/>
        <v>42905372.046679169</v>
      </c>
      <c r="Q746" s="2">
        <f t="shared" ca="1" si="697"/>
        <v>1072634.3011669794</v>
      </c>
      <c r="R746" s="2">
        <f t="shared" ca="1" si="698"/>
        <v>25743223.228007499</v>
      </c>
      <c r="S746" s="2">
        <f t="shared" ca="1" si="699"/>
        <v>17162148.81867167</v>
      </c>
      <c r="T746" s="2">
        <f t="shared" ca="1" si="700"/>
        <v>50541101.996827424</v>
      </c>
      <c r="U746" s="2">
        <f t="shared" ca="1" si="701"/>
        <v>52405022.414482757</v>
      </c>
      <c r="V746" s="2">
        <f t="shared" ca="1" si="702"/>
        <v>54337682.910729386</v>
      </c>
      <c r="W746" s="2">
        <f t="shared" ca="1" si="703"/>
        <v>56341618.571486197</v>
      </c>
      <c r="X746" s="2">
        <f t="shared" ca="1" si="704"/>
        <v>58419457.974863954</v>
      </c>
      <c r="Y746" s="2">
        <f t="shared" ca="1" si="705"/>
        <v>0.12817354948408013</v>
      </c>
      <c r="Z746" s="2">
        <f t="shared" ca="1" si="706"/>
        <v>0.13144296927771218</v>
      </c>
      <c r="AA746" s="2">
        <f t="shared" ca="1" si="707"/>
        <v>6478032.4377703015</v>
      </c>
      <c r="AB746" s="2">
        <f t="shared" ca="1" si="708"/>
        <v>6888271.7512246752</v>
      </c>
      <c r="AC746" s="2">
        <f t="shared" ca="1" si="709"/>
        <v>7142306.3854570687</v>
      </c>
      <c r="AD746" s="2">
        <f t="shared" ca="1" si="710"/>
        <v>7405709.6389484378</v>
      </c>
      <c r="AE746" s="2">
        <f t="shared" ca="1" si="711"/>
        <v>7678827.0198106403</v>
      </c>
      <c r="AF746" s="2">
        <f t="shared" ca="1" si="712"/>
        <v>1010822.0399365484</v>
      </c>
      <c r="AG746" s="2">
        <f t="shared" ca="1" si="713"/>
        <v>1048100.4482896551</v>
      </c>
      <c r="AH746" s="2">
        <f t="shared" ca="1" si="714"/>
        <v>1086753.6582145877</v>
      </c>
      <c r="AI746" s="2">
        <f t="shared" ca="1" si="715"/>
        <v>1126832.3714297239</v>
      </c>
      <c r="AJ746" s="2">
        <f t="shared" ca="1" si="716"/>
        <v>1168389.1594972792</v>
      </c>
      <c r="AK746" s="2">
        <f t="shared" ca="1" si="717"/>
        <v>0</v>
      </c>
      <c r="AL746" s="2">
        <f t="shared" ca="1" si="718"/>
        <v>18639.204176553339</v>
      </c>
      <c r="AM746" s="2">
        <f t="shared" ca="1" si="719"/>
        <v>19326.604962466285</v>
      </c>
      <c r="AN746" s="2">
        <f t="shared" ca="1" si="720"/>
        <v>20039.356607568116</v>
      </c>
      <c r="AO746" s="2">
        <f t="shared" ca="1" si="721"/>
        <v>20778.394033777564</v>
      </c>
      <c r="AP746" s="2">
        <f t="shared" ca="1" si="722"/>
        <v>2316890.0905206748</v>
      </c>
      <c r="AQ746" s="2">
        <f t="shared" ca="1" si="723"/>
        <v>819083.27990140044</v>
      </c>
      <c r="AR746" s="2">
        <f t="shared" ca="1" si="724"/>
        <v>916053.11522772978</v>
      </c>
      <c r="AS746" s="2">
        <f t="shared" ca="1" si="725"/>
        <v>972052.28554766963</v>
      </c>
      <c r="AT746" s="2">
        <f t="shared" ca="1" si="726"/>
        <v>1030116.6660194902</v>
      </c>
      <c r="AU746" s="2">
        <f t="shared" ca="1" si="727"/>
        <v>1090322.4201460986</v>
      </c>
      <c r="AV746" s="2">
        <f t="shared" ca="1" si="728"/>
        <v>2331237.0274116783</v>
      </c>
      <c r="AW746" s="2">
        <f t="shared" ca="1" si="729"/>
        <v>2588588.8930100617</v>
      </c>
      <c r="AX746" s="2">
        <f t="shared" ca="1" si="730"/>
        <v>2747283.7462116699</v>
      </c>
      <c r="AY746" s="2">
        <f t="shared" ca="1" si="731"/>
        <v>2911831.1543709808</v>
      </c>
      <c r="AZ746" s="2">
        <f t="shared" ca="1" si="732"/>
        <v>3082446.9556128108</v>
      </c>
      <c r="BA746" s="2">
        <f t="shared" ca="1" si="733"/>
        <v>60917197.028455511</v>
      </c>
      <c r="BB746" s="2">
        <f t="shared" ca="1" si="734"/>
        <v>1218343.9405691102</v>
      </c>
      <c r="BC746" s="2">
        <f t="shared" ca="1" si="735"/>
        <v>33955629.859878905</v>
      </c>
      <c r="BD746" s="2">
        <f t="shared" ca="1" si="736"/>
        <v>-18734783.119838648</v>
      </c>
      <c r="BE746" s="2">
        <f t="shared" ca="1" si="737"/>
        <v>2331237.0274116783</v>
      </c>
      <c r="BF746" s="2">
        <f t="shared" ca="1" si="738"/>
        <v>2588588.8930100617</v>
      </c>
      <c r="BG746" s="2">
        <f t="shared" ca="1" si="739"/>
        <v>2747283.7462116699</v>
      </c>
      <c r="BH746" s="2">
        <f t="shared" ca="1" si="740"/>
        <v>2911831.1543709808</v>
      </c>
      <c r="BI746" s="2">
        <f t="shared" ca="1" si="741"/>
        <v>37038076.815491714</v>
      </c>
      <c r="BJ746" s="2">
        <f t="shared" ca="1" si="742"/>
        <v>0.2421706015899745</v>
      </c>
      <c r="BK746" s="2">
        <f t="shared" ca="1" si="743"/>
        <v>10232668.843618989</v>
      </c>
    </row>
    <row r="747" spans="1:63" x14ac:dyDescent="0.3">
      <c r="A747" s="2">
        <v>746</v>
      </c>
      <c r="B747" s="2">
        <f t="shared" ca="1" si="682"/>
        <v>0.68960722263393137</v>
      </c>
      <c r="C747" s="2">
        <f t="shared" ca="1" si="683"/>
        <v>7.2121005427517177</v>
      </c>
      <c r="D747" s="2">
        <f t="shared" ca="1" si="684"/>
        <v>0.87275986446769283</v>
      </c>
      <c r="E747" s="2">
        <f t="shared" ca="1" si="685"/>
        <v>7.9955396238904246</v>
      </c>
      <c r="F747" s="2">
        <f t="shared" ca="1" si="686"/>
        <v>0.59910212917091688</v>
      </c>
      <c r="G747" s="2">
        <f t="shared" ca="1" si="687"/>
        <v>4.7530712711464022E-2</v>
      </c>
      <c r="H747" s="2">
        <f t="shared" ca="1" si="688"/>
        <v>4.7530712711464022E-2</v>
      </c>
      <c r="I747" s="2">
        <f t="shared" ca="1" si="689"/>
        <v>7.0394235018441775E-2</v>
      </c>
      <c r="J747" s="2">
        <f t="shared" ca="1" si="690"/>
        <v>2.6356940734590497E-3</v>
      </c>
      <c r="K747" s="2">
        <f t="shared" ca="1" si="691"/>
        <v>2.6356940734590497E-3</v>
      </c>
      <c r="L747" s="2">
        <f t="shared" ca="1" si="692"/>
        <v>0.56534817454176356</v>
      </c>
      <c r="M747" s="2">
        <f t="shared" ca="1" si="693"/>
        <v>3.2908612194267285E-3</v>
      </c>
      <c r="N747" s="2">
        <f t="shared" ca="1" si="694"/>
        <v>3.2908612194267285E-3</v>
      </c>
      <c r="O747" s="2">
        <f t="shared" si="695"/>
        <v>6000000</v>
      </c>
      <c r="P747" s="2">
        <f t="shared" ca="1" si="696"/>
        <v>43272603.25651031</v>
      </c>
      <c r="Q747" s="2">
        <f t="shared" ca="1" si="697"/>
        <v>1081815.0814127577</v>
      </c>
      <c r="R747" s="2">
        <f t="shared" ca="1" si="698"/>
        <v>25963561.953906186</v>
      </c>
      <c r="S747" s="2">
        <f t="shared" ca="1" si="699"/>
        <v>17309041.302604124</v>
      </c>
      <c r="T747" s="2">
        <f t="shared" ca="1" si="700"/>
        <v>50164543.060971335</v>
      </c>
      <c r="U747" s="2">
        <f t="shared" ca="1" si="701"/>
        <v>52548899.545504227</v>
      </c>
      <c r="V747" s="2">
        <f t="shared" ca="1" si="702"/>
        <v>55046586.193105169</v>
      </c>
      <c r="W747" s="2">
        <f t="shared" ca="1" si="703"/>
        <v>57662989.66719649</v>
      </c>
      <c r="X747" s="2">
        <f t="shared" ca="1" si="704"/>
        <v>60403752.663152121</v>
      </c>
      <c r="Y747" s="2">
        <f t="shared" ca="1" si="705"/>
        <v>0.12131784703672951</v>
      </c>
      <c r="Z747" s="2">
        <f t="shared" ca="1" si="706"/>
        <v>0.12184498585142133</v>
      </c>
      <c r="AA747" s="2">
        <f t="shared" ca="1" si="707"/>
        <v>6085854.3617383512</v>
      </c>
      <c r="AB747" s="2">
        <f t="shared" ca="1" si="708"/>
        <v>6402819.9216297232</v>
      </c>
      <c r="AC747" s="2">
        <f t="shared" ca="1" si="709"/>
        <v>6707150.5158679439</v>
      </c>
      <c r="AD747" s="2">
        <f t="shared" ca="1" si="710"/>
        <v>7025946.1601502104</v>
      </c>
      <c r="AE747" s="2">
        <f t="shared" ca="1" si="711"/>
        <v>7359894.3886145232</v>
      </c>
      <c r="AF747" s="2">
        <f t="shared" ca="1" si="712"/>
        <v>1003290.8612194267</v>
      </c>
      <c r="AG747" s="2">
        <f t="shared" ca="1" si="713"/>
        <v>1050977.9909100845</v>
      </c>
      <c r="AH747" s="2">
        <f t="shared" ca="1" si="714"/>
        <v>1100931.7238621034</v>
      </c>
      <c r="AI747" s="2">
        <f t="shared" ca="1" si="715"/>
        <v>1153259.7933439298</v>
      </c>
      <c r="AJ747" s="2">
        <f t="shared" ca="1" si="716"/>
        <v>1208075.0532630424</v>
      </c>
      <c r="AK747" s="2">
        <f t="shared" ca="1" si="717"/>
        <v>0</v>
      </c>
      <c r="AL747" s="2">
        <f t="shared" ca="1" si="718"/>
        <v>23843.564845328929</v>
      </c>
      <c r="AM747" s="2">
        <f t="shared" ca="1" si="719"/>
        <v>24976.866476009414</v>
      </c>
      <c r="AN747" s="2">
        <f t="shared" ca="1" si="720"/>
        <v>26164.034740913212</v>
      </c>
      <c r="AO747" s="2">
        <f t="shared" ca="1" si="721"/>
        <v>27407.62995955631</v>
      </c>
      <c r="AP747" s="2">
        <f t="shared" ca="1" si="722"/>
        <v>2336720.5758515568</v>
      </c>
      <c r="AQ747" s="2">
        <f t="shared" ca="1" si="723"/>
        <v>713919.16041351564</v>
      </c>
      <c r="AR747" s="2">
        <f t="shared" ca="1" si="724"/>
        <v>783931.55226570123</v>
      </c>
      <c r="AS747" s="2">
        <f t="shared" ca="1" si="725"/>
        <v>850069.53620011383</v>
      </c>
      <c r="AT747" s="2">
        <f t="shared" ca="1" si="726"/>
        <v>919351.10564822832</v>
      </c>
      <c r="AU747" s="2">
        <f t="shared" ca="1" si="727"/>
        <v>991925.67746998032</v>
      </c>
      <c r="AV747" s="2">
        <f t="shared" ca="1" si="728"/>
        <v>2031923.764253852</v>
      </c>
      <c r="AW747" s="2">
        <f t="shared" ca="1" si="729"/>
        <v>2207346.2377570514</v>
      </c>
      <c r="AX747" s="2">
        <f t="shared" ca="1" si="730"/>
        <v>2394451.8134781606</v>
      </c>
      <c r="AY747" s="2">
        <f t="shared" ca="1" si="731"/>
        <v>2590450.6505655823</v>
      </c>
      <c r="AZ747" s="2">
        <f t="shared" ca="1" si="732"/>
        <v>2795765.452070388</v>
      </c>
      <c r="BA747" s="2">
        <f t="shared" ca="1" si="733"/>
        <v>58846327.211816214</v>
      </c>
      <c r="BB747" s="2">
        <f t="shared" ca="1" si="734"/>
        <v>1176926.5442363243</v>
      </c>
      <c r="BC747" s="2">
        <f t="shared" ca="1" si="735"/>
        <v>31705838.713673703</v>
      </c>
      <c r="BD747" s="2">
        <f t="shared" ca="1" si="736"/>
        <v>-18890856.384016883</v>
      </c>
      <c r="BE747" s="2">
        <f t="shared" ca="1" si="737"/>
        <v>2031923.764253852</v>
      </c>
      <c r="BF747" s="2">
        <f t="shared" ca="1" si="738"/>
        <v>2207346.2377570514</v>
      </c>
      <c r="BG747" s="2">
        <f t="shared" ca="1" si="739"/>
        <v>2394451.8134781606</v>
      </c>
      <c r="BH747" s="2">
        <f t="shared" ca="1" si="740"/>
        <v>2590450.6505655823</v>
      </c>
      <c r="BI747" s="2">
        <f t="shared" ca="1" si="741"/>
        <v>34501604.165744089</v>
      </c>
      <c r="BJ747" s="2">
        <f t="shared" ca="1" si="742"/>
        <v>0.21240033845185091</v>
      </c>
      <c r="BK747" s="2">
        <f t="shared" ca="1" si="743"/>
        <v>7610782.6628541723</v>
      </c>
    </row>
    <row r="748" spans="1:63" x14ac:dyDescent="0.3">
      <c r="A748" s="2">
        <v>747</v>
      </c>
      <c r="B748" s="2">
        <f t="shared" ca="1" si="682"/>
        <v>0.25832797570680088</v>
      </c>
      <c r="C748" s="2">
        <f t="shared" ca="1" si="683"/>
        <v>6.718787834770179</v>
      </c>
      <c r="D748" s="2">
        <f t="shared" ca="1" si="684"/>
        <v>0.32897731211668269</v>
      </c>
      <c r="E748" s="2">
        <f t="shared" ca="1" si="685"/>
        <v>7.3111440218810504</v>
      </c>
      <c r="F748" s="2">
        <f t="shared" ca="1" si="686"/>
        <v>0.66637356067699083</v>
      </c>
      <c r="G748" s="2">
        <f t="shared" ca="1" si="687"/>
        <v>5.2897639496289423E-2</v>
      </c>
      <c r="H748" s="2">
        <f t="shared" ca="1" si="688"/>
        <v>5.2897639496289423E-2</v>
      </c>
      <c r="I748" s="2">
        <f t="shared" ca="1" si="689"/>
        <v>0.86964399870514553</v>
      </c>
      <c r="J748" s="2">
        <f t="shared" ca="1" si="690"/>
        <v>1.5623549294455145E-2</v>
      </c>
      <c r="K748" s="2">
        <f t="shared" ca="1" si="691"/>
        <v>1.5623549294455145E-2</v>
      </c>
      <c r="L748" s="2">
        <f t="shared" ca="1" si="692"/>
        <v>0.76768383426782894</v>
      </c>
      <c r="M748" s="2">
        <f t="shared" ca="1" si="693"/>
        <v>1.4624807869710146E-2</v>
      </c>
      <c r="N748" s="2">
        <f t="shared" ca="1" si="694"/>
        <v>1.4624807869710146E-2</v>
      </c>
      <c r="O748" s="2">
        <f t="shared" si="695"/>
        <v>6000000</v>
      </c>
      <c r="P748" s="2">
        <f t="shared" ca="1" si="696"/>
        <v>40312727.008621074</v>
      </c>
      <c r="Q748" s="2">
        <f t="shared" ca="1" si="697"/>
        <v>1007818.1752155269</v>
      </c>
      <c r="R748" s="2">
        <f t="shared" ca="1" si="698"/>
        <v>24187636.205172643</v>
      </c>
      <c r="S748" s="2">
        <f t="shared" ca="1" si="699"/>
        <v>16125090.803448431</v>
      </c>
      <c r="T748" s="2">
        <f t="shared" ca="1" si="700"/>
        <v>50731240.393485509</v>
      </c>
      <c r="U748" s="2">
        <f t="shared" ca="1" si="701"/>
        <v>53414803.259019703</v>
      </c>
      <c r="V748" s="2">
        <f t="shared" ca="1" si="702"/>
        <v>56240320.265580557</v>
      </c>
      <c r="W748" s="2">
        <f t="shared" ca="1" si="703"/>
        <v>59215300.4521451</v>
      </c>
      <c r="X748" s="2">
        <f t="shared" ca="1" si="704"/>
        <v>62347650.06812714</v>
      </c>
      <c r="Y748" s="2">
        <f t="shared" ca="1" si="705"/>
        <v>0.12781177464722757</v>
      </c>
      <c r="Z748" s="2">
        <f t="shared" ca="1" si="706"/>
        <v>0.13093648450611858</v>
      </c>
      <c r="AA748" s="2">
        <f t="shared" ca="1" si="707"/>
        <v>6484049.8647464979</v>
      </c>
      <c r="AB748" s="2">
        <f t="shared" ca="1" si="708"/>
        <v>6993946.5593220061</v>
      </c>
      <c r="AC748" s="2">
        <f t="shared" ca="1" si="709"/>
        <v>7363909.8230733359</v>
      </c>
      <c r="AD748" s="2">
        <f t="shared" ca="1" si="710"/>
        <v>7753443.2701774538</v>
      </c>
      <c r="AE748" s="2">
        <f t="shared" ca="1" si="711"/>
        <v>8163582.1171382321</v>
      </c>
      <c r="AF748" s="2">
        <f t="shared" ca="1" si="712"/>
        <v>1014624.8078697101</v>
      </c>
      <c r="AG748" s="2">
        <f t="shared" ca="1" si="713"/>
        <v>1068296.0651803941</v>
      </c>
      <c r="AH748" s="2">
        <f t="shared" ca="1" si="714"/>
        <v>1124806.4053116112</v>
      </c>
      <c r="AI748" s="2">
        <f t="shared" ca="1" si="715"/>
        <v>1184306.0090429019</v>
      </c>
      <c r="AJ748" s="2">
        <f t="shared" ca="1" si="716"/>
        <v>1246953.0013625429</v>
      </c>
      <c r="AK748" s="2">
        <f t="shared" ca="1" si="717"/>
        <v>0</v>
      </c>
      <c r="AL748" s="2">
        <f t="shared" ca="1" si="718"/>
        <v>26835.628655341938</v>
      </c>
      <c r="AM748" s="2">
        <f t="shared" ca="1" si="719"/>
        <v>28255.170065608545</v>
      </c>
      <c r="AN748" s="2">
        <f t="shared" ca="1" si="720"/>
        <v>29749.801865645422</v>
      </c>
      <c r="AO748" s="2">
        <f t="shared" ca="1" si="721"/>
        <v>31323.49615982041</v>
      </c>
      <c r="AP748" s="2">
        <f t="shared" ca="1" si="722"/>
        <v>2176887.2584655378</v>
      </c>
      <c r="AQ748" s="2">
        <f t="shared" ca="1" si="723"/>
        <v>856059.82758692501</v>
      </c>
      <c r="AR748" s="2">
        <f t="shared" ca="1" si="724"/>
        <v>974678.44127577939</v>
      </c>
      <c r="AS748" s="2">
        <f t="shared" ca="1" si="725"/>
        <v>1056176.2014170086</v>
      </c>
      <c r="AT748" s="2">
        <f t="shared" ca="1" si="726"/>
        <v>1141985.0006939436</v>
      </c>
      <c r="AU748" s="2">
        <f t="shared" ca="1" si="727"/>
        <v>1232332.8829006394</v>
      </c>
      <c r="AV748" s="2">
        <f t="shared" ca="1" si="728"/>
        <v>2436477.9708243255</v>
      </c>
      <c r="AW748" s="2">
        <f t="shared" ca="1" si="729"/>
        <v>2747249.1657449529</v>
      </c>
      <c r="AX748" s="2">
        <f t="shared" ca="1" si="730"/>
        <v>2977784.7878135694</v>
      </c>
      <c r="AY748" s="2">
        <f t="shared" ca="1" si="731"/>
        <v>3220515.200109425</v>
      </c>
      <c r="AZ748" s="2">
        <f t="shared" ca="1" si="732"/>
        <v>3476085.4782496914</v>
      </c>
      <c r="BA748" s="2">
        <f t="shared" ca="1" si="733"/>
        <v>59685124.592850238</v>
      </c>
      <c r="BB748" s="2">
        <f t="shared" ca="1" si="734"/>
        <v>1193702.4918570048</v>
      </c>
      <c r="BC748" s="2">
        <f t="shared" ca="1" si="735"/>
        <v>34303785.895820588</v>
      </c>
      <c r="BD748" s="2">
        <f t="shared" ca="1" si="736"/>
        <v>-17632908.978663959</v>
      </c>
      <c r="BE748" s="2">
        <f t="shared" ca="1" si="737"/>
        <v>2436477.9708243255</v>
      </c>
      <c r="BF748" s="2">
        <f t="shared" ca="1" si="738"/>
        <v>2747249.1657449529</v>
      </c>
      <c r="BG748" s="2">
        <f t="shared" ca="1" si="739"/>
        <v>2977784.7878135694</v>
      </c>
      <c r="BH748" s="2">
        <f t="shared" ca="1" si="740"/>
        <v>3220515.200109425</v>
      </c>
      <c r="BI748" s="2">
        <f t="shared" ca="1" si="741"/>
        <v>37779871.374070279</v>
      </c>
      <c r="BJ748" s="2">
        <f t="shared" ca="1" si="742"/>
        <v>0.27205570131843237</v>
      </c>
      <c r="BK748" s="2">
        <f t="shared" ca="1" si="743"/>
        <v>12336145.644933488</v>
      </c>
    </row>
    <row r="749" spans="1:63" x14ac:dyDescent="0.3">
      <c r="A749" s="2">
        <v>748</v>
      </c>
      <c r="B749" s="2">
        <f t="shared" ca="1" si="682"/>
        <v>0.36300704234329484</v>
      </c>
      <c r="C749" s="2">
        <f t="shared" ca="1" si="683"/>
        <v>6.8520646012401816</v>
      </c>
      <c r="D749" s="2">
        <f t="shared" ca="1" si="684"/>
        <v>0.46132212062324263</v>
      </c>
      <c r="E749" s="2">
        <f t="shared" ca="1" si="685"/>
        <v>7.460543721673556</v>
      </c>
      <c r="F749" s="2">
        <f t="shared" ca="1" si="686"/>
        <v>0.65091016875258012</v>
      </c>
      <c r="G749" s="2">
        <f t="shared" ca="1" si="687"/>
        <v>5.1633366957633937E-2</v>
      </c>
      <c r="H749" s="2">
        <f t="shared" ca="1" si="688"/>
        <v>5.1633366957633937E-2</v>
      </c>
      <c r="I749" s="2">
        <f t="shared" ca="1" si="689"/>
        <v>0.31528907975555587</v>
      </c>
      <c r="J749" s="2">
        <f t="shared" ca="1" si="690"/>
        <v>7.5954337798373409E-3</v>
      </c>
      <c r="K749" s="2">
        <f t="shared" ca="1" si="691"/>
        <v>7.5954337798373409E-3</v>
      </c>
      <c r="L749" s="2">
        <f t="shared" ca="1" si="692"/>
        <v>0.16176302874338788</v>
      </c>
      <c r="M749" s="2">
        <f t="shared" ca="1" si="693"/>
        <v>-1.9744756715890974E-2</v>
      </c>
      <c r="N749" s="2">
        <f t="shared" ca="1" si="694"/>
        <v>-1.9744756715890974E-2</v>
      </c>
      <c r="O749" s="2">
        <f t="shared" si="695"/>
        <v>6000000</v>
      </c>
      <c r="P749" s="2">
        <f t="shared" ca="1" si="696"/>
        <v>41112387.60744109</v>
      </c>
      <c r="Q749" s="2">
        <f t="shared" ca="1" si="697"/>
        <v>1027809.6901860273</v>
      </c>
      <c r="R749" s="2">
        <f t="shared" ca="1" si="698"/>
        <v>24667432.564464655</v>
      </c>
      <c r="S749" s="2">
        <f t="shared" ca="1" si="699"/>
        <v>16444955.042976437</v>
      </c>
      <c r="T749" s="2">
        <f t="shared" ca="1" si="700"/>
        <v>49012762.164205454</v>
      </c>
      <c r="U749" s="2">
        <f t="shared" ca="1" si="701"/>
        <v>51543456.098637111</v>
      </c>
      <c r="V749" s="2">
        <f t="shared" ca="1" si="702"/>
        <v>54204818.281642735</v>
      </c>
      <c r="W749" s="2">
        <f t="shared" ca="1" si="703"/>
        <v>57003595.554850653</v>
      </c>
      <c r="X749" s="2">
        <f t="shared" ca="1" si="704"/>
        <v>59946883.122038804</v>
      </c>
      <c r="Y749" s="2">
        <f t="shared" ca="1" si="705"/>
        <v>0.12379771688991867</v>
      </c>
      <c r="Z749" s="2">
        <f t="shared" ca="1" si="706"/>
        <v>0.12531680364588613</v>
      </c>
      <c r="AA749" s="2">
        <f t="shared" ca="1" si="707"/>
        <v>6067668.0543972244</v>
      </c>
      <c r="AB749" s="2">
        <f t="shared" ca="1" si="708"/>
        <v>6459261.1671432583</v>
      </c>
      <c r="AC749" s="2">
        <f t="shared" ca="1" si="709"/>
        <v>6792774.5692615611</v>
      </c>
      <c r="AD749" s="2">
        <f t="shared" ca="1" si="710"/>
        <v>7143508.3912567263</v>
      </c>
      <c r="AE749" s="2">
        <f t="shared" ca="1" si="711"/>
        <v>7512351.7813874222</v>
      </c>
      <c r="AF749" s="2">
        <f t="shared" ca="1" si="712"/>
        <v>980255.24328410905</v>
      </c>
      <c r="AG749" s="2">
        <f t="shared" ca="1" si="713"/>
        <v>1030869.1219727423</v>
      </c>
      <c r="AH749" s="2">
        <f t="shared" ca="1" si="714"/>
        <v>1084096.3656328546</v>
      </c>
      <c r="AI749" s="2">
        <f t="shared" ca="1" si="715"/>
        <v>1140071.9110970132</v>
      </c>
      <c r="AJ749" s="2">
        <f t="shared" ca="1" si="716"/>
        <v>1198937.6624407761</v>
      </c>
      <c r="AK749" s="2">
        <f t="shared" ca="1" si="717"/>
        <v>0</v>
      </c>
      <c r="AL749" s="2">
        <f t="shared" ca="1" si="718"/>
        <v>25306.939344316572</v>
      </c>
      <c r="AM749" s="2">
        <f t="shared" ca="1" si="719"/>
        <v>26613.621830056236</v>
      </c>
      <c r="AN749" s="2">
        <f t="shared" ca="1" si="720"/>
        <v>27987.772732079178</v>
      </c>
      <c r="AO749" s="2">
        <f t="shared" ca="1" si="721"/>
        <v>29432.875671881513</v>
      </c>
      <c r="AP749" s="2">
        <f t="shared" ca="1" si="722"/>
        <v>2220068.9308018191</v>
      </c>
      <c r="AQ749" s="2">
        <f t="shared" ca="1" si="723"/>
        <v>745509.40888093703</v>
      </c>
      <c r="AR749" s="2">
        <f t="shared" ca="1" si="724"/>
        <v>834164.00973586121</v>
      </c>
      <c r="AS749" s="2">
        <f t="shared" ca="1" si="725"/>
        <v>907038.41093499085</v>
      </c>
      <c r="AT749" s="2">
        <f t="shared" ca="1" si="726"/>
        <v>983675.56283305248</v>
      </c>
      <c r="AU749" s="2">
        <f t="shared" ca="1" si="727"/>
        <v>1064269.7489176551</v>
      </c>
      <c r="AV749" s="2">
        <f t="shared" ca="1" si="728"/>
        <v>2121834.4714303594</v>
      </c>
      <c r="AW749" s="2">
        <f t="shared" ca="1" si="729"/>
        <v>2348852.1652885191</v>
      </c>
      <c r="AX749" s="2">
        <f t="shared" ca="1" si="730"/>
        <v>2554957.24006184</v>
      </c>
      <c r="AY749" s="2">
        <f t="shared" ca="1" si="731"/>
        <v>2771704.2137927627</v>
      </c>
      <c r="AZ749" s="2">
        <f t="shared" ca="1" si="732"/>
        <v>2999642.5635552909</v>
      </c>
      <c r="BA749" s="2">
        <f t="shared" ca="1" si="733"/>
        <v>56046228.917633086</v>
      </c>
      <c r="BB749" s="2">
        <f t="shared" ca="1" si="734"/>
        <v>1120924.5783526618</v>
      </c>
      <c r="BC749" s="2">
        <f t="shared" ca="1" si="735"/>
        <v>30257871.774815768</v>
      </c>
      <c r="BD749" s="2">
        <f t="shared" ca="1" si="736"/>
        <v>-17972764.733162463</v>
      </c>
      <c r="BE749" s="2">
        <f t="shared" ca="1" si="737"/>
        <v>2121834.4714303594</v>
      </c>
      <c r="BF749" s="2">
        <f t="shared" ca="1" si="738"/>
        <v>2348852.1652885191</v>
      </c>
      <c r="BG749" s="2">
        <f t="shared" ca="1" si="739"/>
        <v>2554957.24006184</v>
      </c>
      <c r="BH749" s="2">
        <f t="shared" ca="1" si="740"/>
        <v>2771704.2137927627</v>
      </c>
      <c r="BI749" s="2">
        <f t="shared" ca="1" si="741"/>
        <v>33257514.338371061</v>
      </c>
      <c r="BJ749" s="2">
        <f t="shared" ca="1" si="742"/>
        <v>0.22502442626948627</v>
      </c>
      <c r="BK749" s="2">
        <f t="shared" ca="1" si="743"/>
        <v>8245463.9194332585</v>
      </c>
    </row>
    <row r="750" spans="1:63" x14ac:dyDescent="0.3">
      <c r="A750" s="2">
        <v>749</v>
      </c>
      <c r="B750" s="2">
        <f t="shared" ca="1" si="682"/>
        <v>0.87843296020272499</v>
      </c>
      <c r="C750" s="2">
        <f t="shared" ca="1" si="683"/>
        <v>7.5069137199287024</v>
      </c>
      <c r="D750" s="2">
        <f t="shared" ca="1" si="684"/>
        <v>0.90433318257802209</v>
      </c>
      <c r="E750" s="2">
        <f t="shared" ca="1" si="685"/>
        <v>8.0625829966222664</v>
      </c>
      <c r="F750" s="2">
        <f t="shared" ca="1" si="686"/>
        <v>0.43018536269248886</v>
      </c>
      <c r="G750" s="2">
        <f t="shared" ca="1" si="687"/>
        <v>3.47229320308741E-2</v>
      </c>
      <c r="H750" s="2">
        <f t="shared" ca="1" si="688"/>
        <v>3.47229320308741E-2</v>
      </c>
      <c r="I750" s="2">
        <f t="shared" ca="1" si="689"/>
        <v>0.15014787899831483</v>
      </c>
      <c r="J750" s="2">
        <f t="shared" ca="1" si="690"/>
        <v>4.8210032189825933E-3</v>
      </c>
      <c r="K750" s="2">
        <f t="shared" ca="1" si="691"/>
        <v>4.8210032189825933E-3</v>
      </c>
      <c r="L750" s="2">
        <f t="shared" ca="1" si="692"/>
        <v>0.62489560608921868</v>
      </c>
      <c r="M750" s="2">
        <f t="shared" ca="1" si="693"/>
        <v>6.3672814436721891E-3</v>
      </c>
      <c r="N750" s="2">
        <f t="shared" ca="1" si="694"/>
        <v>6.3672814436721891E-3</v>
      </c>
      <c r="O750" s="2">
        <f t="shared" si="695"/>
        <v>6000000</v>
      </c>
      <c r="P750" s="2">
        <f t="shared" ca="1" si="696"/>
        <v>45041482.319572218</v>
      </c>
      <c r="Q750" s="2">
        <f t="shared" ca="1" si="697"/>
        <v>1126037.0579893056</v>
      </c>
      <c r="R750" s="2">
        <f t="shared" ca="1" si="698"/>
        <v>27024889.391743328</v>
      </c>
      <c r="S750" s="2">
        <f t="shared" ca="1" si="699"/>
        <v>18016592.927828889</v>
      </c>
      <c r="T750" s="2">
        <f t="shared" ca="1" si="700"/>
        <v>50318364.072183609</v>
      </c>
      <c r="U750" s="2">
        <f t="shared" ca="1" si="701"/>
        <v>52065565.207766823</v>
      </c>
      <c r="V750" s="2">
        <f t="shared" ca="1" si="702"/>
        <v>53873434.28962516</v>
      </c>
      <c r="W750" s="2">
        <f t="shared" ca="1" si="703"/>
        <v>55744077.886733584</v>
      </c>
      <c r="X750" s="2">
        <f t="shared" ca="1" si="704"/>
        <v>57679675.714318387</v>
      </c>
      <c r="Y750" s="2">
        <f t="shared" ca="1" si="705"/>
        <v>0.1224105016094913</v>
      </c>
      <c r="Z750" s="2">
        <f t="shared" ca="1" si="706"/>
        <v>0.12337470225328781</v>
      </c>
      <c r="AA750" s="2">
        <f t="shared" ca="1" si="707"/>
        <v>6159496.1862450009</v>
      </c>
      <c r="AB750" s="2">
        <f t="shared" ca="1" si="708"/>
        <v>6423573.6051573725</v>
      </c>
      <c r="AC750" s="2">
        <f t="shared" ca="1" si="709"/>
        <v>6646618.9148445698</v>
      </c>
      <c r="AD750" s="2">
        <f t="shared" ca="1" si="710"/>
        <v>6877409.0116598411</v>
      </c>
      <c r="AE750" s="2">
        <f t="shared" ca="1" si="711"/>
        <v>7116212.8173202267</v>
      </c>
      <c r="AF750" s="2">
        <f t="shared" ca="1" si="712"/>
        <v>1006367.2814436723</v>
      </c>
      <c r="AG750" s="2">
        <f t="shared" ca="1" si="713"/>
        <v>1041311.3041553365</v>
      </c>
      <c r="AH750" s="2">
        <f t="shared" ca="1" si="714"/>
        <v>1077468.6857925032</v>
      </c>
      <c r="AI750" s="2">
        <f t="shared" ca="1" si="715"/>
        <v>1114881.5577346717</v>
      </c>
      <c r="AJ750" s="2">
        <f t="shared" ca="1" si="716"/>
        <v>1153593.5142863677</v>
      </c>
      <c r="AK750" s="2">
        <f t="shared" ca="1" si="717"/>
        <v>0</v>
      </c>
      <c r="AL750" s="2">
        <f t="shared" ca="1" si="718"/>
        <v>17472.011355832146</v>
      </c>
      <c r="AM750" s="2">
        <f t="shared" ca="1" si="719"/>
        <v>18078.690818583371</v>
      </c>
      <c r="AN750" s="2">
        <f t="shared" ca="1" si="720"/>
        <v>18706.435971084236</v>
      </c>
      <c r="AO750" s="2">
        <f t="shared" ca="1" si="721"/>
        <v>19355.978275848032</v>
      </c>
      <c r="AP750" s="2">
        <f t="shared" ca="1" si="722"/>
        <v>2432240.0452568997</v>
      </c>
      <c r="AQ750" s="2">
        <f t="shared" ca="1" si="723"/>
        <v>707431.10348155152</v>
      </c>
      <c r="AR750" s="2">
        <f t="shared" ca="1" si="724"/>
        <v>767005.78649373539</v>
      </c>
      <c r="AS750" s="2">
        <f t="shared" ca="1" si="725"/>
        <v>815596.64778674347</v>
      </c>
      <c r="AT750" s="2">
        <f t="shared" ca="1" si="726"/>
        <v>865874.72625375004</v>
      </c>
      <c r="AU750" s="2">
        <f t="shared" ca="1" si="727"/>
        <v>917898.60702200932</v>
      </c>
      <c r="AV750" s="2">
        <f t="shared" ca="1" si="728"/>
        <v>2013457.7560628774</v>
      </c>
      <c r="AW750" s="2">
        <f t="shared" ca="1" si="729"/>
        <v>2165544.4578955686</v>
      </c>
      <c r="AX750" s="2">
        <f t="shared" ca="1" si="730"/>
        <v>2303234.8451898396</v>
      </c>
      <c r="AY750" s="2">
        <f t="shared" ca="1" si="731"/>
        <v>2445706.2464434355</v>
      </c>
      <c r="AZ750" s="2">
        <f t="shared" ca="1" si="732"/>
        <v>2593124.6724791024</v>
      </c>
      <c r="BA750" s="2">
        <f t="shared" ca="1" si="733"/>
        <v>57375056.461271495</v>
      </c>
      <c r="BB750" s="2">
        <f t="shared" ca="1" si="734"/>
        <v>1147501.1292254298</v>
      </c>
      <c r="BC750" s="2">
        <f t="shared" ca="1" si="735"/>
        <v>29202665.940302737</v>
      </c>
      <c r="BD750" s="2">
        <f t="shared" ca="1" si="736"/>
        <v>-19642629.985818196</v>
      </c>
      <c r="BE750" s="2">
        <f t="shared" ca="1" si="737"/>
        <v>2013457.7560628774</v>
      </c>
      <c r="BF750" s="2">
        <f t="shared" ca="1" si="738"/>
        <v>2165544.4578955686</v>
      </c>
      <c r="BG750" s="2">
        <f t="shared" ca="1" si="739"/>
        <v>2303234.8451898396</v>
      </c>
      <c r="BH750" s="2">
        <f t="shared" ca="1" si="740"/>
        <v>2445706.2464434355</v>
      </c>
      <c r="BI750" s="2">
        <f t="shared" ca="1" si="741"/>
        <v>31795790.612781838</v>
      </c>
      <c r="BJ750" s="2">
        <f t="shared" ca="1" si="742"/>
        <v>0.18256421652763821</v>
      </c>
      <c r="BK750" s="2">
        <f t="shared" ca="1" si="743"/>
        <v>5116932.0323844254</v>
      </c>
    </row>
    <row r="751" spans="1:63" x14ac:dyDescent="0.3">
      <c r="A751" s="2">
        <v>750</v>
      </c>
      <c r="B751" s="2">
        <f t="shared" ca="1" si="682"/>
        <v>0.21980107230079138</v>
      </c>
      <c r="C751" s="2">
        <f t="shared" ca="1" si="683"/>
        <v>6.6630249954576239</v>
      </c>
      <c r="D751" s="2">
        <f t="shared" ca="1" si="684"/>
        <v>0.92191526124143786</v>
      </c>
      <c r="E751" s="2">
        <f t="shared" ca="1" si="685"/>
        <v>8.1048171593842611</v>
      </c>
      <c r="F751" s="2">
        <f t="shared" ca="1" si="686"/>
        <v>0.46072531904179304</v>
      </c>
      <c r="G751" s="2">
        <f t="shared" ca="1" si="687"/>
        <v>3.7041802323491427E-2</v>
      </c>
      <c r="H751" s="2">
        <f t="shared" ca="1" si="688"/>
        <v>3.7041802323491427E-2</v>
      </c>
      <c r="I751" s="2">
        <f t="shared" ca="1" si="689"/>
        <v>0.43637462318202636</v>
      </c>
      <c r="J751" s="2">
        <f t="shared" ca="1" si="690"/>
        <v>9.19916323807962E-3</v>
      </c>
      <c r="K751" s="2">
        <f t="shared" ca="1" si="691"/>
        <v>9.19916323807962E-3</v>
      </c>
      <c r="L751" s="2">
        <f t="shared" ca="1" si="692"/>
        <v>0.89033183532725535</v>
      </c>
      <c r="M751" s="2">
        <f t="shared" ca="1" si="693"/>
        <v>2.4565895625758137E-2</v>
      </c>
      <c r="N751" s="2">
        <f t="shared" ca="1" si="694"/>
        <v>2.4565895625758137E-2</v>
      </c>
      <c r="O751" s="2">
        <f t="shared" si="695"/>
        <v>6000000</v>
      </c>
      <c r="P751" s="2">
        <f t="shared" ca="1" si="696"/>
        <v>39978149.972745746</v>
      </c>
      <c r="Q751" s="2">
        <f t="shared" ca="1" si="697"/>
        <v>999453.74931864371</v>
      </c>
      <c r="R751" s="2">
        <f t="shared" ca="1" si="698"/>
        <v>23986889.983647447</v>
      </c>
      <c r="S751" s="2">
        <f t="shared" ca="1" si="699"/>
        <v>15991259.989098299</v>
      </c>
      <c r="T751" s="2">
        <f t="shared" ca="1" si="700"/>
        <v>51228294.781287909</v>
      </c>
      <c r="U751" s="2">
        <f t="shared" ca="1" si="701"/>
        <v>53125883.14994593</v>
      </c>
      <c r="V751" s="2">
        <f t="shared" ca="1" si="702"/>
        <v>55093761.611847132</v>
      </c>
      <c r="W751" s="2">
        <f t="shared" ca="1" si="703"/>
        <v>57134533.838730738</v>
      </c>
      <c r="X751" s="2">
        <f t="shared" ca="1" si="704"/>
        <v>59250899.947029836</v>
      </c>
      <c r="Y751" s="2">
        <f t="shared" ca="1" si="705"/>
        <v>0.12459958161903981</v>
      </c>
      <c r="Z751" s="2">
        <f t="shared" ca="1" si="706"/>
        <v>0.12643941426665573</v>
      </c>
      <c r="AA751" s="2">
        <f t="shared" ca="1" si="707"/>
        <v>6383024.0968053136</v>
      </c>
      <c r="AB751" s="2">
        <f t="shared" ca="1" si="708"/>
        <v>6717205.547877958</v>
      </c>
      <c r="AC751" s="2">
        <f t="shared" ca="1" si="709"/>
        <v>6966022.9479487138</v>
      </c>
      <c r="AD751" s="2">
        <f t="shared" ca="1" si="710"/>
        <v>7224056.9929675357</v>
      </c>
      <c r="AE751" s="2">
        <f t="shared" ca="1" si="711"/>
        <v>7491649.0840746751</v>
      </c>
      <c r="AF751" s="2">
        <f t="shared" ca="1" si="712"/>
        <v>1024565.8956257582</v>
      </c>
      <c r="AG751" s="2">
        <f t="shared" ca="1" si="713"/>
        <v>1062517.6629989187</v>
      </c>
      <c r="AH751" s="2">
        <f t="shared" ca="1" si="714"/>
        <v>1101875.2322369427</v>
      </c>
      <c r="AI751" s="2">
        <f t="shared" ca="1" si="715"/>
        <v>1142690.6767746147</v>
      </c>
      <c r="AJ751" s="2">
        <f t="shared" ca="1" si="716"/>
        <v>1185017.9989405968</v>
      </c>
      <c r="AK751" s="2">
        <f t="shared" ca="1" si="717"/>
        <v>0</v>
      </c>
      <c r="AL751" s="2">
        <f t="shared" ca="1" si="718"/>
        <v>18975.883686580211</v>
      </c>
      <c r="AM751" s="2">
        <f t="shared" ca="1" si="719"/>
        <v>19678.784619012029</v>
      </c>
      <c r="AN751" s="2">
        <f t="shared" ca="1" si="720"/>
        <v>20407.722268836053</v>
      </c>
      <c r="AO751" s="2">
        <f t="shared" ca="1" si="721"/>
        <v>21163.661082990988</v>
      </c>
      <c r="AP751" s="2">
        <f t="shared" ca="1" si="722"/>
        <v>2158820.0985282701</v>
      </c>
      <c r="AQ751" s="2">
        <f t="shared" ca="1" si="723"/>
        <v>831905.9066893342</v>
      </c>
      <c r="AR751" s="2">
        <f t="shared" ca="1" si="724"/>
        <v>908925.62445120013</v>
      </c>
      <c r="AS751" s="2">
        <f t="shared" ca="1" si="725"/>
        <v>963385.18046771013</v>
      </c>
      <c r="AT751" s="2">
        <f t="shared" ca="1" si="726"/>
        <v>1019862.0165928093</v>
      </c>
      <c r="AU751" s="2">
        <f t="shared" ca="1" si="727"/>
        <v>1078430.85651751</v>
      </c>
      <c r="AV751" s="2">
        <f t="shared" ca="1" si="728"/>
        <v>2367732.1959619517</v>
      </c>
      <c r="AW751" s="2">
        <f t="shared" ca="1" si="729"/>
        <v>2567966.2782129892</v>
      </c>
      <c r="AX751" s="2">
        <f t="shared" ca="1" si="730"/>
        <v>2722263.6520967786</v>
      </c>
      <c r="AY751" s="2">
        <f t="shared" ca="1" si="731"/>
        <v>2882276.4788030065</v>
      </c>
      <c r="AZ751" s="2">
        <f t="shared" ca="1" si="732"/>
        <v>3048216.4690053067</v>
      </c>
      <c r="BA751" s="2">
        <f t="shared" ca="1" si="733"/>
        <v>60718446.048693806</v>
      </c>
      <c r="BB751" s="2">
        <f t="shared" ca="1" si="734"/>
        <v>1214368.9209738763</v>
      </c>
      <c r="BC751" s="2">
        <f t="shared" ca="1" si="735"/>
        <v>35517187.14407248</v>
      </c>
      <c r="BD751" s="2">
        <f t="shared" ca="1" si="736"/>
        <v>-17490713.738416944</v>
      </c>
      <c r="BE751" s="2">
        <f t="shared" ca="1" si="737"/>
        <v>2367732.1959619517</v>
      </c>
      <c r="BF751" s="2">
        <f t="shared" ca="1" si="738"/>
        <v>2567966.2782129892</v>
      </c>
      <c r="BG751" s="2">
        <f t="shared" ca="1" si="739"/>
        <v>2722263.6520967786</v>
      </c>
      <c r="BH751" s="2">
        <f t="shared" ca="1" si="740"/>
        <v>2882276.4788030065</v>
      </c>
      <c r="BI751" s="2">
        <f t="shared" ca="1" si="741"/>
        <v>38565403.61307779</v>
      </c>
      <c r="BJ751" s="2">
        <f t="shared" ca="1" si="742"/>
        <v>0.27134112771917041</v>
      </c>
      <c r="BK751" s="2">
        <f t="shared" ca="1" si="743"/>
        <v>12322937.877700035</v>
      </c>
    </row>
    <row r="752" spans="1:63" x14ac:dyDescent="0.3">
      <c r="A752" s="2">
        <v>751</v>
      </c>
      <c r="B752" s="2">
        <f t="shared" ca="1" si="682"/>
        <v>0.65302857097450606</v>
      </c>
      <c r="C752" s="2">
        <f t="shared" ca="1" si="683"/>
        <v>7.1669676728655798</v>
      </c>
      <c r="D752" s="2">
        <f t="shared" ca="1" si="684"/>
        <v>0.78597495671168172</v>
      </c>
      <c r="E752" s="2">
        <f t="shared" ca="1" si="685"/>
        <v>7.8457446319848518</v>
      </c>
      <c r="F752" s="2">
        <f t="shared" ca="1" si="686"/>
        <v>0.10331267762121887</v>
      </c>
      <c r="G752" s="2">
        <f t="shared" ca="1" si="687"/>
        <v>2.1130196387729103E-3</v>
      </c>
      <c r="H752" s="2">
        <f t="shared" ca="1" si="688"/>
        <v>2.1130196387729103E-3</v>
      </c>
      <c r="I752" s="2">
        <f t="shared" ca="1" si="689"/>
        <v>0.57192553167611782</v>
      </c>
      <c r="J752" s="2">
        <f t="shared" ca="1" si="690"/>
        <v>1.0906392782231784E-2</v>
      </c>
      <c r="K752" s="2">
        <f t="shared" ca="1" si="691"/>
        <v>1.0906392782231784E-2</v>
      </c>
      <c r="L752" s="2">
        <f t="shared" ca="1" si="692"/>
        <v>0.95424565895792812</v>
      </c>
      <c r="M752" s="2">
        <f t="shared" ca="1" si="693"/>
        <v>3.3749850913046289E-2</v>
      </c>
      <c r="N752" s="2">
        <f t="shared" ca="1" si="694"/>
        <v>3.3749850913046289E-2</v>
      </c>
      <c r="O752" s="2">
        <f t="shared" si="695"/>
        <v>6000000</v>
      </c>
      <c r="P752" s="2">
        <f t="shared" ca="1" si="696"/>
        <v>43001806.037193477</v>
      </c>
      <c r="Q752" s="2">
        <f t="shared" ca="1" si="697"/>
        <v>1075045.150929837</v>
      </c>
      <c r="R752" s="2">
        <f t="shared" ca="1" si="698"/>
        <v>25801083.622316085</v>
      </c>
      <c r="S752" s="2">
        <f t="shared" ca="1" si="699"/>
        <v>17200722.414877392</v>
      </c>
      <c r="T752" s="2">
        <f t="shared" ca="1" si="700"/>
        <v>51687492.545652315</v>
      </c>
      <c r="U752" s="2">
        <f t="shared" ca="1" si="701"/>
        <v>51796709.232480206</v>
      </c>
      <c r="V752" s="2">
        <f t="shared" ca="1" si="702"/>
        <v>51906156.696312241</v>
      </c>
      <c r="W752" s="2">
        <f t="shared" ca="1" si="703"/>
        <v>52015835.424784772</v>
      </c>
      <c r="X752" s="2">
        <f t="shared" ca="1" si="704"/>
        <v>52125745.906564519</v>
      </c>
      <c r="Y752" s="2">
        <f t="shared" ca="1" si="705"/>
        <v>0.12545319639111588</v>
      </c>
      <c r="Z752" s="2">
        <f t="shared" ca="1" si="706"/>
        <v>0.12763447494756225</v>
      </c>
      <c r="AA752" s="2">
        <f t="shared" ca="1" si="707"/>
        <v>6484361.1532940576</v>
      </c>
      <c r="AB752" s="2">
        <f t="shared" ca="1" si="708"/>
        <v>6611045.7868991606</v>
      </c>
      <c r="AC752" s="2">
        <f t="shared" ca="1" si="709"/>
        <v>6625015.0564797055</v>
      </c>
      <c r="AD752" s="2">
        <f t="shared" ca="1" si="710"/>
        <v>6639013.8434012132</v>
      </c>
      <c r="AE752" s="2">
        <f t="shared" ca="1" si="711"/>
        <v>6653042.2100344049</v>
      </c>
      <c r="AF752" s="2">
        <f t="shared" ca="1" si="712"/>
        <v>1033749.8509130463</v>
      </c>
      <c r="AG752" s="2">
        <f t="shared" ca="1" si="713"/>
        <v>1035934.1846496041</v>
      </c>
      <c r="AH752" s="2">
        <f t="shared" ca="1" si="714"/>
        <v>1038123.1339262448</v>
      </c>
      <c r="AI752" s="2">
        <f t="shared" ca="1" si="715"/>
        <v>1040316.7084956955</v>
      </c>
      <c r="AJ752" s="2">
        <f t="shared" ca="1" si="716"/>
        <v>1042514.9181312904</v>
      </c>
      <c r="AK752" s="2">
        <f t="shared" ca="1" si="717"/>
        <v>0</v>
      </c>
      <c r="AL752" s="2">
        <f t="shared" ca="1" si="718"/>
        <v>1092.1668682789057</v>
      </c>
      <c r="AM752" s="2">
        <f t="shared" ca="1" si="719"/>
        <v>1094.4746383203567</v>
      </c>
      <c r="AN752" s="2">
        <f t="shared" ca="1" si="720"/>
        <v>1096.7872847253084</v>
      </c>
      <c r="AO752" s="2">
        <f t="shared" ca="1" si="721"/>
        <v>1099.1048177974671</v>
      </c>
      <c r="AP752" s="2">
        <f t="shared" ca="1" si="722"/>
        <v>2322097.5260084476</v>
      </c>
      <c r="AQ752" s="2">
        <f t="shared" ca="1" si="723"/>
        <v>813413.58185686672</v>
      </c>
      <c r="AR752" s="2">
        <f t="shared" ca="1" si="724"/>
        <v>845783.65982268821</v>
      </c>
      <c r="AS752" s="2">
        <f t="shared" ca="1" si="725"/>
        <v>848846.54310170352</v>
      </c>
      <c r="AT752" s="2">
        <f t="shared" ca="1" si="726"/>
        <v>851915.89831323829</v>
      </c>
      <c r="AU752" s="2">
        <f t="shared" ca="1" si="727"/>
        <v>854991.73913261353</v>
      </c>
      <c r="AV752" s="2">
        <f t="shared" ca="1" si="728"/>
        <v>2315100.1945156977</v>
      </c>
      <c r="AW752" s="2">
        <f t="shared" ca="1" si="729"/>
        <v>2406138.2495501414</v>
      </c>
      <c r="AX752" s="2">
        <f t="shared" ca="1" si="730"/>
        <v>2414853.3788049892</v>
      </c>
      <c r="AY752" s="2">
        <f t="shared" ca="1" si="731"/>
        <v>2423586.9232991068</v>
      </c>
      <c r="AZ752" s="2">
        <f t="shared" ca="1" si="732"/>
        <v>2432338.9219442559</v>
      </c>
      <c r="BA752" s="2">
        <f t="shared" ca="1" si="733"/>
        <v>52198070.20574607</v>
      </c>
      <c r="BB752" s="2">
        <f t="shared" ca="1" si="734"/>
        <v>1043961.4041149215</v>
      </c>
      <c r="BC752" s="2">
        <f t="shared" ca="1" si="735"/>
        <v>25353025.179315064</v>
      </c>
      <c r="BD752" s="2">
        <f t="shared" ca="1" si="736"/>
        <v>-18775767.565807231</v>
      </c>
      <c r="BE752" s="2">
        <f t="shared" ca="1" si="737"/>
        <v>2315100.1945156977</v>
      </c>
      <c r="BF752" s="2">
        <f t="shared" ca="1" si="738"/>
        <v>2406138.2495501414</v>
      </c>
      <c r="BG752" s="2">
        <f t="shared" ca="1" si="739"/>
        <v>2414853.3788049892</v>
      </c>
      <c r="BH752" s="2">
        <f t="shared" ca="1" si="740"/>
        <v>2423586.9232991068</v>
      </c>
      <c r="BI752" s="2">
        <f t="shared" ca="1" si="741"/>
        <v>27785364.101259321</v>
      </c>
      <c r="BJ752" s="2">
        <f t="shared" ca="1" si="742"/>
        <v>0.17658067369360664</v>
      </c>
      <c r="BK752" s="2">
        <f t="shared" ca="1" si="743"/>
        <v>4234684.8880937845</v>
      </c>
    </row>
    <row r="753" spans="1:63" x14ac:dyDescent="0.3">
      <c r="A753" s="2">
        <v>752</v>
      </c>
      <c r="B753" s="2">
        <f t="shared" ca="1" si="682"/>
        <v>0.95260061080474845</v>
      </c>
      <c r="C753" s="2">
        <f t="shared" ca="1" si="683"/>
        <v>7.6921058974411771</v>
      </c>
      <c r="D753" s="2">
        <f t="shared" ca="1" si="684"/>
        <v>0.91194024384566297</v>
      </c>
      <c r="E753" s="2">
        <f t="shared" ca="1" si="685"/>
        <v>8.0803340467601945</v>
      </c>
      <c r="F753" s="2">
        <f t="shared" ca="1" si="686"/>
        <v>0.54977084671440946</v>
      </c>
      <c r="G753" s="2">
        <f t="shared" ca="1" si="687"/>
        <v>4.3752472380986319E-2</v>
      </c>
      <c r="H753" s="2">
        <f t="shared" ca="1" si="688"/>
        <v>4.3752472380986319E-2</v>
      </c>
      <c r="I753" s="2">
        <f t="shared" ca="1" si="689"/>
        <v>0.82806787427273643</v>
      </c>
      <c r="J753" s="2">
        <f t="shared" ca="1" si="690"/>
        <v>1.4732788065811938E-2</v>
      </c>
      <c r="K753" s="2">
        <f t="shared" ca="1" si="691"/>
        <v>1.4732788065811938E-2</v>
      </c>
      <c r="L753" s="2">
        <f t="shared" ca="1" si="692"/>
        <v>0.58350410088118199</v>
      </c>
      <c r="M753" s="2">
        <f t="shared" ca="1" si="693"/>
        <v>4.2173209587023554E-3</v>
      </c>
      <c r="N753" s="2">
        <f t="shared" ca="1" si="694"/>
        <v>4.2173209587023554E-3</v>
      </c>
      <c r="O753" s="2">
        <f t="shared" si="695"/>
        <v>6000000</v>
      </c>
      <c r="P753" s="2">
        <f t="shared" ca="1" si="696"/>
        <v>46152635.384647064</v>
      </c>
      <c r="Q753" s="2">
        <f t="shared" ca="1" si="697"/>
        <v>1153815.8846161766</v>
      </c>
      <c r="R753" s="2">
        <f t="shared" ca="1" si="698"/>
        <v>27691581.230788238</v>
      </c>
      <c r="S753" s="2">
        <f t="shared" ca="1" si="699"/>
        <v>18461054.153858826</v>
      </c>
      <c r="T753" s="2">
        <f t="shared" ca="1" si="700"/>
        <v>50210866.047935121</v>
      </c>
      <c r="U753" s="2">
        <f t="shared" ca="1" si="701"/>
        <v>52407715.577922806</v>
      </c>
      <c r="V753" s="2">
        <f t="shared" ca="1" si="702"/>
        <v>54700682.706296459</v>
      </c>
      <c r="W753" s="2">
        <f t="shared" ca="1" si="703"/>
        <v>57093972.815624788</v>
      </c>
      <c r="X753" s="2">
        <f t="shared" ca="1" si="704"/>
        <v>59591975.284361199</v>
      </c>
      <c r="Y753" s="2">
        <f t="shared" ca="1" si="705"/>
        <v>0.12736639403290598</v>
      </c>
      <c r="Z753" s="2">
        <f t="shared" ca="1" si="706"/>
        <v>0.13031295164606835</v>
      </c>
      <c r="AA753" s="2">
        <f t="shared" ca="1" si="707"/>
        <v>6395176.9497947656</v>
      </c>
      <c r="AB753" s="2">
        <f t="shared" ca="1" si="708"/>
        <v>6829404.1059867572</v>
      </c>
      <c r="AC753" s="2">
        <f t="shared" ca="1" si="709"/>
        <v>7128207.4205125375</v>
      </c>
      <c r="AD753" s="2">
        <f t="shared" ca="1" si="710"/>
        <v>7440084.1188044539</v>
      </c>
      <c r="AE753" s="2">
        <f t="shared" ca="1" si="711"/>
        <v>7765606.1937246611</v>
      </c>
      <c r="AF753" s="2">
        <f t="shared" ca="1" si="712"/>
        <v>1004217.3209587025</v>
      </c>
      <c r="AG753" s="2">
        <f t="shared" ca="1" si="713"/>
        <v>1048154.3115584562</v>
      </c>
      <c r="AH753" s="2">
        <f t="shared" ca="1" si="714"/>
        <v>1094013.6541259291</v>
      </c>
      <c r="AI753" s="2">
        <f t="shared" ca="1" si="715"/>
        <v>1141879.4563124957</v>
      </c>
      <c r="AJ753" s="2">
        <f t="shared" ca="1" si="716"/>
        <v>1191839.505687224</v>
      </c>
      <c r="AK753" s="2">
        <f t="shared" ca="1" si="717"/>
        <v>0</v>
      </c>
      <c r="AL753" s="2">
        <f t="shared" ca="1" si="718"/>
        <v>21968.495299876853</v>
      </c>
      <c r="AM753" s="2">
        <f t="shared" ca="1" si="719"/>
        <v>22929.671283736527</v>
      </c>
      <c r="AN753" s="2">
        <f t="shared" ca="1" si="720"/>
        <v>23932.901093283297</v>
      </c>
      <c r="AO753" s="2">
        <f t="shared" ca="1" si="721"/>
        <v>24980.024687364101</v>
      </c>
      <c r="AP753" s="2">
        <f t="shared" ca="1" si="722"/>
        <v>2492242.3107709414</v>
      </c>
      <c r="AQ753" s="2">
        <f t="shared" ca="1" si="723"/>
        <v>753666.50269693159</v>
      </c>
      <c r="AR753" s="2">
        <f t="shared" ca="1" si="724"/>
        <v>855141.94575091358</v>
      </c>
      <c r="AS753" s="2">
        <f t="shared" ca="1" si="725"/>
        <v>920907.37846007349</v>
      </c>
      <c r="AT753" s="2">
        <f t="shared" ca="1" si="726"/>
        <v>989550.21144746454</v>
      </c>
      <c r="AU753" s="2">
        <f t="shared" ca="1" si="727"/>
        <v>1061196.3380892889</v>
      </c>
      <c r="AV753" s="2">
        <f t="shared" ca="1" si="728"/>
        <v>2145050.8153681899</v>
      </c>
      <c r="AW753" s="2">
        <f t="shared" ca="1" si="729"/>
        <v>2411897.0426065694</v>
      </c>
      <c r="AX753" s="2">
        <f t="shared" ca="1" si="730"/>
        <v>2598114.4058718565</v>
      </c>
      <c r="AY753" s="2">
        <f t="shared" ca="1" si="731"/>
        <v>2792479.2391802692</v>
      </c>
      <c r="AZ753" s="2">
        <f t="shared" ca="1" si="732"/>
        <v>2995348.014489843</v>
      </c>
      <c r="BA753" s="2">
        <f t="shared" ca="1" si="733"/>
        <v>62748692.120885223</v>
      </c>
      <c r="BB753" s="2">
        <f t="shared" ca="1" si="734"/>
        <v>1254973.8424177044</v>
      </c>
      <c r="BC753" s="2">
        <f t="shared" ca="1" si="735"/>
        <v>33802137.047679283</v>
      </c>
      <c r="BD753" s="2">
        <f t="shared" ca="1" si="736"/>
        <v>-20114870.038475003</v>
      </c>
      <c r="BE753" s="2">
        <f t="shared" ca="1" si="737"/>
        <v>2145050.8153681899</v>
      </c>
      <c r="BF753" s="2">
        <f t="shared" ca="1" si="738"/>
        <v>2411897.0426065694</v>
      </c>
      <c r="BG753" s="2">
        <f t="shared" ca="1" si="739"/>
        <v>2598114.4058718565</v>
      </c>
      <c r="BH753" s="2">
        <f t="shared" ca="1" si="740"/>
        <v>2792479.2391802692</v>
      </c>
      <c r="BI753" s="2">
        <f t="shared" ca="1" si="741"/>
        <v>36797485.062169127</v>
      </c>
      <c r="BJ753" s="2">
        <f t="shared" ca="1" si="742"/>
        <v>0.21372889910793647</v>
      </c>
      <c r="BK753" s="2">
        <f t="shared" ca="1" si="743"/>
        <v>8226942.2623744346</v>
      </c>
    </row>
    <row r="754" spans="1:63" x14ac:dyDescent="0.3">
      <c r="A754" s="2">
        <v>753</v>
      </c>
      <c r="B754" s="2">
        <f t="shared" ca="1" si="682"/>
        <v>7.1268779819713912E-2</v>
      </c>
      <c r="C754" s="2">
        <f t="shared" ca="1" si="683"/>
        <v>6.3775414674435487</v>
      </c>
      <c r="D754" s="2">
        <f t="shared" ca="1" si="684"/>
        <v>0.70680534394255845</v>
      </c>
      <c r="E754" s="2">
        <f t="shared" ca="1" si="685"/>
        <v>7.7342393898124016</v>
      </c>
      <c r="F754" s="2">
        <f t="shared" ca="1" si="686"/>
        <v>0.93848239433987046</v>
      </c>
      <c r="G754" s="2">
        <f t="shared" ca="1" si="687"/>
        <v>8.6264739032555854E-2</v>
      </c>
      <c r="H754" s="2">
        <f t="shared" ca="1" si="688"/>
        <v>8.6264739032555854E-2</v>
      </c>
      <c r="I754" s="2">
        <f t="shared" ca="1" si="689"/>
        <v>0.99914988655536485</v>
      </c>
      <c r="J754" s="2">
        <f t="shared" ca="1" si="690"/>
        <v>2.5690708261350129E-2</v>
      </c>
      <c r="K754" s="2">
        <f t="shared" ca="1" si="691"/>
        <v>2.5690708261350129E-2</v>
      </c>
      <c r="L754" s="2">
        <f t="shared" ca="1" si="692"/>
        <v>0.95563163625488978</v>
      </c>
      <c r="M754" s="2">
        <f t="shared" ca="1" si="693"/>
        <v>3.4041988949228261E-2</v>
      </c>
      <c r="N754" s="2">
        <f t="shared" ca="1" si="694"/>
        <v>3.4041988949228261E-2</v>
      </c>
      <c r="O754" s="2">
        <f t="shared" si="695"/>
        <v>6000000</v>
      </c>
      <c r="P754" s="2">
        <f t="shared" ca="1" si="696"/>
        <v>38265248.804661289</v>
      </c>
      <c r="Q754" s="2">
        <f t="shared" ca="1" si="697"/>
        <v>956631.22011653229</v>
      </c>
      <c r="R754" s="2">
        <f t="shared" ca="1" si="698"/>
        <v>22959149.282796774</v>
      </c>
      <c r="S754" s="2">
        <f t="shared" ca="1" si="699"/>
        <v>15306099.521864517</v>
      </c>
      <c r="T754" s="2">
        <f t="shared" ca="1" si="700"/>
        <v>51702099.447461411</v>
      </c>
      <c r="U754" s="2">
        <f t="shared" ca="1" si="701"/>
        <v>56162167.563731924</v>
      </c>
      <c r="V754" s="2">
        <f t="shared" ca="1" si="702"/>
        <v>61006982.292119935</v>
      </c>
      <c r="W754" s="2">
        <f t="shared" ca="1" si="703"/>
        <v>66269733.698713422</v>
      </c>
      <c r="X754" s="2">
        <f t="shared" ca="1" si="704"/>
        <v>71986474.98198992</v>
      </c>
      <c r="Y754" s="2">
        <f t="shared" ca="1" si="705"/>
        <v>0.13284535413067505</v>
      </c>
      <c r="Z754" s="2">
        <f t="shared" ca="1" si="706"/>
        <v>0.13798349578294508</v>
      </c>
      <c r="AA754" s="2">
        <f t="shared" ca="1" si="707"/>
        <v>6868383.7103973897</v>
      </c>
      <c r="AB754" s="2">
        <f t="shared" ca="1" si="708"/>
        <v>7749452.2111912593</v>
      </c>
      <c r="AC754" s="2">
        <f t="shared" ca="1" si="709"/>
        <v>8417956.6838349365</v>
      </c>
      <c r="AD754" s="2">
        <f t="shared" ca="1" si="710"/>
        <v>9144129.5203533173</v>
      </c>
      <c r="AE754" s="2">
        <f t="shared" ca="1" si="711"/>
        <v>9932945.4671064876</v>
      </c>
      <c r="AF754" s="2">
        <f t="shared" ca="1" si="712"/>
        <v>1034041.9889492282</v>
      </c>
      <c r="AG754" s="2">
        <f t="shared" ca="1" si="713"/>
        <v>1123243.3512746384</v>
      </c>
      <c r="AH754" s="2">
        <f t="shared" ca="1" si="714"/>
        <v>1220139.6458423987</v>
      </c>
      <c r="AI754" s="2">
        <f t="shared" ca="1" si="715"/>
        <v>1325394.6739742684</v>
      </c>
      <c r="AJ754" s="2">
        <f t="shared" ca="1" si="716"/>
        <v>1439729.4996397984</v>
      </c>
      <c r="AK754" s="2">
        <f t="shared" ca="1" si="717"/>
        <v>0</v>
      </c>
      <c r="AL754" s="2">
        <f t="shared" ca="1" si="718"/>
        <v>44600.681162705121</v>
      </c>
      <c r="AM754" s="2">
        <f t="shared" ca="1" si="719"/>
        <v>48448.147283880113</v>
      </c>
      <c r="AN754" s="2">
        <f t="shared" ca="1" si="720"/>
        <v>52627.514065934869</v>
      </c>
      <c r="AO754" s="2">
        <f t="shared" ca="1" si="721"/>
        <v>57167.412832764981</v>
      </c>
      <c r="AP754" s="2">
        <f t="shared" ca="1" si="722"/>
        <v>2066323.4354517097</v>
      </c>
      <c r="AQ754" s="2">
        <f t="shared" ca="1" si="723"/>
        <v>979684.75435907755</v>
      </c>
      <c r="AR754" s="2">
        <f t="shared" ca="1" si="724"/>
        <v>1185570.210360877</v>
      </c>
      <c r="AS754" s="2">
        <f t="shared" ca="1" si="725"/>
        <v>1334188.3366606154</v>
      </c>
      <c r="AT754" s="2">
        <f t="shared" ca="1" si="726"/>
        <v>1495626.9668411084</v>
      </c>
      <c r="AU754" s="2">
        <f t="shared" ca="1" si="727"/>
        <v>1670992.0583238949</v>
      </c>
      <c r="AV754" s="2">
        <f t="shared" ca="1" si="728"/>
        <v>2788333.5316373743</v>
      </c>
      <c r="AW754" s="2">
        <f t="shared" ca="1" si="729"/>
        <v>3329714.5329413293</v>
      </c>
      <c r="AX754" s="2">
        <f t="shared" ca="1" si="730"/>
        <v>3748857.1185963331</v>
      </c>
      <c r="AY754" s="2">
        <f t="shared" ca="1" si="731"/>
        <v>4204156.930020296</v>
      </c>
      <c r="AZ754" s="2">
        <f t="shared" ca="1" si="732"/>
        <v>4698733.0608583204</v>
      </c>
      <c r="BA754" s="2">
        <f t="shared" ca="1" si="733"/>
        <v>76823778.088553548</v>
      </c>
      <c r="BB754" s="2">
        <f t="shared" ca="1" si="734"/>
        <v>1536475.5617710711</v>
      </c>
      <c r="BC754" s="2">
        <f t="shared" ca="1" si="735"/>
        <v>52328153.243985705</v>
      </c>
      <c r="BD754" s="2">
        <f t="shared" ca="1" si="736"/>
        <v>-16762730.741981048</v>
      </c>
      <c r="BE754" s="2">
        <f t="shared" ca="1" si="737"/>
        <v>2788333.5316373743</v>
      </c>
      <c r="BF754" s="2">
        <f t="shared" ca="1" si="738"/>
        <v>3329714.5329413293</v>
      </c>
      <c r="BG754" s="2">
        <f t="shared" ca="1" si="739"/>
        <v>3748857.1185963331</v>
      </c>
      <c r="BH754" s="2">
        <f t="shared" ca="1" si="740"/>
        <v>4204156.930020296</v>
      </c>
      <c r="BI754" s="2">
        <f t="shared" ca="1" si="741"/>
        <v>57026886.304844022</v>
      </c>
      <c r="BJ754" s="2">
        <f t="shared" ca="1" si="742"/>
        <v>0.39982443443552662</v>
      </c>
      <c r="BK754" s="2">
        <f t="shared" ca="1" si="743"/>
        <v>26080047.777813051</v>
      </c>
    </row>
    <row r="755" spans="1:63" x14ac:dyDescent="0.3">
      <c r="A755" s="2">
        <v>754</v>
      </c>
      <c r="B755" s="2">
        <f t="shared" ca="1" si="682"/>
        <v>0.27578852998894299</v>
      </c>
      <c r="C755" s="2">
        <f t="shared" ca="1" si="683"/>
        <v>6.7426823412320278</v>
      </c>
      <c r="D755" s="2">
        <f t="shared" ca="1" si="684"/>
        <v>0.25089423173313419</v>
      </c>
      <c r="E755" s="2">
        <f t="shared" ca="1" si="685"/>
        <v>7.2083702869730413</v>
      </c>
      <c r="F755" s="2">
        <f t="shared" ca="1" si="686"/>
        <v>0.91457631534173833</v>
      </c>
      <c r="G755" s="2">
        <f t="shared" ca="1" si="687"/>
        <v>8.1084583721770243E-2</v>
      </c>
      <c r="H755" s="2">
        <f t="shared" ca="1" si="688"/>
        <v>8.1084583721770243E-2</v>
      </c>
      <c r="I755" s="2">
        <f t="shared" ca="1" si="689"/>
        <v>0.76365062234203585</v>
      </c>
      <c r="J755" s="2">
        <f t="shared" ca="1" si="690"/>
        <v>1.3590474656040909E-2</v>
      </c>
      <c r="K755" s="2">
        <f t="shared" ca="1" si="691"/>
        <v>1.3590474656040909E-2</v>
      </c>
      <c r="L755" s="2">
        <f t="shared" ca="1" si="692"/>
        <v>6.2283049692764103E-2</v>
      </c>
      <c r="M755" s="2">
        <f t="shared" ca="1" si="693"/>
        <v>-3.071773980955424E-2</v>
      </c>
      <c r="N755" s="2">
        <f t="shared" ca="1" si="694"/>
        <v>-3.071773980955424E-2</v>
      </c>
      <c r="O755" s="2">
        <f t="shared" si="695"/>
        <v>6000000</v>
      </c>
      <c r="P755" s="2">
        <f t="shared" ca="1" si="696"/>
        <v>40456094.047392167</v>
      </c>
      <c r="Q755" s="2">
        <f t="shared" ca="1" si="697"/>
        <v>1011402.3511848042</v>
      </c>
      <c r="R755" s="2">
        <f t="shared" ca="1" si="698"/>
        <v>24273656.4284353</v>
      </c>
      <c r="S755" s="2">
        <f t="shared" ca="1" si="699"/>
        <v>16182437.618956868</v>
      </c>
      <c r="T755" s="2">
        <f t="shared" ca="1" si="700"/>
        <v>48464113.009522289</v>
      </c>
      <c r="U755" s="2">
        <f t="shared" ca="1" si="701"/>
        <v>52393805.438344233</v>
      </c>
      <c r="V755" s="2">
        <f t="shared" ca="1" si="702"/>
        <v>56642135.341911793</v>
      </c>
      <c r="W755" s="2">
        <f t="shared" ca="1" si="703"/>
        <v>61234939.30722288</v>
      </c>
      <c r="X755" s="2">
        <f t="shared" ca="1" si="704"/>
        <v>66200148.870176911</v>
      </c>
      <c r="Y755" s="2">
        <f t="shared" ca="1" si="705"/>
        <v>0.12679523732802045</v>
      </c>
      <c r="Z755" s="2">
        <f t="shared" ca="1" si="706"/>
        <v>0.12951333225922862</v>
      </c>
      <c r="AA755" s="2">
        <f t="shared" ca="1" si="707"/>
        <v>6145018.7109343819</v>
      </c>
      <c r="AB755" s="2">
        <f t="shared" ca="1" si="708"/>
        <v>6785696.3320616558</v>
      </c>
      <c r="AC755" s="2">
        <f t="shared" ca="1" si="709"/>
        <v>7335911.6944092177</v>
      </c>
      <c r="AD755" s="2">
        <f t="shared" ca="1" si="710"/>
        <v>7930741.0403700555</v>
      </c>
      <c r="AE755" s="2">
        <f t="shared" ca="1" si="711"/>
        <v>8573801.8762336206</v>
      </c>
      <c r="AF755" s="2">
        <f t="shared" ca="1" si="712"/>
        <v>969282.26019044581</v>
      </c>
      <c r="AG755" s="2">
        <f t="shared" ca="1" si="713"/>
        <v>1047876.1087668847</v>
      </c>
      <c r="AH755" s="2">
        <f t="shared" ca="1" si="714"/>
        <v>1132842.706838236</v>
      </c>
      <c r="AI755" s="2">
        <f t="shared" ca="1" si="715"/>
        <v>1224698.7861444575</v>
      </c>
      <c r="AJ755" s="2">
        <f t="shared" ca="1" si="716"/>
        <v>1324002.9774035383</v>
      </c>
      <c r="AK755" s="2">
        <f t="shared" ca="1" si="717"/>
        <v>0</v>
      </c>
      <c r="AL755" s="2">
        <f t="shared" ca="1" si="718"/>
        <v>39296.924288219438</v>
      </c>
      <c r="AM755" s="2">
        <f t="shared" ca="1" si="719"/>
        <v>42483.299035675598</v>
      </c>
      <c r="AN755" s="2">
        <f t="shared" ca="1" si="720"/>
        <v>45928.039653110878</v>
      </c>
      <c r="AO755" s="2">
        <f t="shared" ca="1" si="721"/>
        <v>49652.095629540308</v>
      </c>
      <c r="AP755" s="2">
        <f t="shared" ca="1" si="722"/>
        <v>2184629.078559177</v>
      </c>
      <c r="AQ755" s="2">
        <f t="shared" ca="1" si="723"/>
        <v>777687.91676803736</v>
      </c>
      <c r="AR755" s="2">
        <f t="shared" ca="1" si="724"/>
        <v>923829.69763125456</v>
      </c>
      <c r="AS755" s="2">
        <f t="shared" ca="1" si="725"/>
        <v>1044794.3763430692</v>
      </c>
      <c r="AT755" s="2">
        <f t="shared" ca="1" si="726"/>
        <v>1175567.4256732694</v>
      </c>
      <c r="AU755" s="2">
        <f t="shared" ca="1" si="727"/>
        <v>1316944.1532704355</v>
      </c>
      <c r="AV755" s="2">
        <f t="shared" ca="1" si="728"/>
        <v>2213419.4554167213</v>
      </c>
      <c r="AW755" s="2">
        <f t="shared" ca="1" si="729"/>
        <v>2590064.5228161197</v>
      </c>
      <c r="AX755" s="2">
        <f t="shared" ca="1" si="730"/>
        <v>2931162.2336330591</v>
      </c>
      <c r="AY755" s="2">
        <f t="shared" ca="1" si="731"/>
        <v>3299917.7103400398</v>
      </c>
      <c r="AZ755" s="2">
        <f t="shared" ca="1" si="732"/>
        <v>3698573.5713709295</v>
      </c>
      <c r="BA755" s="2">
        <f t="shared" ca="1" si="733"/>
        <v>61803138.691036142</v>
      </c>
      <c r="BB755" s="2">
        <f t="shared" ca="1" si="734"/>
        <v>1236062.7738207229</v>
      </c>
      <c r="BC755" s="2">
        <f t="shared" ca="1" si="735"/>
        <v>36293419.488780119</v>
      </c>
      <c r="BD755" s="2">
        <f t="shared" ca="1" si="736"/>
        <v>-17693839.970141672</v>
      </c>
      <c r="BE755" s="2">
        <f t="shared" ca="1" si="737"/>
        <v>2213419.4554167213</v>
      </c>
      <c r="BF755" s="2">
        <f t="shared" ca="1" si="738"/>
        <v>2590064.5228161197</v>
      </c>
      <c r="BG755" s="2">
        <f t="shared" ca="1" si="739"/>
        <v>2931162.2336330591</v>
      </c>
      <c r="BH755" s="2">
        <f t="shared" ca="1" si="740"/>
        <v>3299917.7103400398</v>
      </c>
      <c r="BI755" s="2">
        <f t="shared" ca="1" si="741"/>
        <v>39991993.060151048</v>
      </c>
      <c r="BJ755" s="2">
        <f t="shared" ca="1" si="742"/>
        <v>0.27792532698977612</v>
      </c>
      <c r="BK755" s="2">
        <f t="shared" ca="1" si="743"/>
        <v>13223242.600064799</v>
      </c>
    </row>
    <row r="756" spans="1:63" x14ac:dyDescent="0.3">
      <c r="A756" s="2">
        <v>755</v>
      </c>
      <c r="B756" s="2">
        <f t="shared" ca="1" si="682"/>
        <v>0.94556549424071124</v>
      </c>
      <c r="C756" s="2">
        <f t="shared" ca="1" si="683"/>
        <v>7.6700469555852262</v>
      </c>
      <c r="D756" s="2">
        <f t="shared" ca="1" si="684"/>
        <v>0.34298683814941566</v>
      </c>
      <c r="E756" s="2">
        <f t="shared" ca="1" si="685"/>
        <v>7.3282352783471802</v>
      </c>
      <c r="F756" s="2">
        <f t="shared" ca="1" si="686"/>
        <v>0.1757247165957958</v>
      </c>
      <c r="G756" s="2">
        <f t="shared" ca="1" si="687"/>
        <v>1.2046553602264712E-2</v>
      </c>
      <c r="H756" s="2">
        <f t="shared" ca="1" si="688"/>
        <v>1.2046553602264712E-2</v>
      </c>
      <c r="I756" s="2">
        <f t="shared" ca="1" si="689"/>
        <v>0.56770811159274748</v>
      </c>
      <c r="J756" s="2">
        <f t="shared" ca="1" si="690"/>
        <v>1.0852710827103575E-2</v>
      </c>
      <c r="K756" s="2">
        <f t="shared" ca="1" si="691"/>
        <v>1.0852710827103575E-2</v>
      </c>
      <c r="L756" s="2">
        <f t="shared" ca="1" si="692"/>
        <v>0.66983145648205444</v>
      </c>
      <c r="M756" s="2">
        <f t="shared" ca="1" si="693"/>
        <v>8.7889562931776806E-3</v>
      </c>
      <c r="N756" s="2">
        <f t="shared" ca="1" si="694"/>
        <v>8.7889562931776806E-3</v>
      </c>
      <c r="O756" s="2">
        <f t="shared" si="695"/>
        <v>6000000</v>
      </c>
      <c r="P756" s="2">
        <f t="shared" ca="1" si="696"/>
        <v>46020281.733511358</v>
      </c>
      <c r="Q756" s="2">
        <f t="shared" ca="1" si="697"/>
        <v>1150507.043337784</v>
      </c>
      <c r="R756" s="2">
        <f t="shared" ca="1" si="698"/>
        <v>27612169.040106814</v>
      </c>
      <c r="S756" s="2">
        <f t="shared" ca="1" si="699"/>
        <v>18408112.693404544</v>
      </c>
      <c r="T756" s="2">
        <f t="shared" ca="1" si="700"/>
        <v>50439447.814658888</v>
      </c>
      <c r="U756" s="2">
        <f t="shared" ca="1" si="701"/>
        <v>51047069.326426812</v>
      </c>
      <c r="V756" s="2">
        <f t="shared" ca="1" si="702"/>
        <v>51662010.583306134</v>
      </c>
      <c r="W756" s="2">
        <f t="shared" ca="1" si="703"/>
        <v>52284359.7629987</v>
      </c>
      <c r="X756" s="2">
        <f t="shared" ca="1" si="704"/>
        <v>52914206.105443753</v>
      </c>
      <c r="Y756" s="2">
        <f t="shared" ca="1" si="705"/>
        <v>0.12542635541355179</v>
      </c>
      <c r="Z756" s="2">
        <f t="shared" ca="1" si="706"/>
        <v>0.1275968975789725</v>
      </c>
      <c r="AA756" s="2">
        <f t="shared" ca="1" si="707"/>
        <v>6326436.1084647039</v>
      </c>
      <c r="AB756" s="2">
        <f t="shared" ca="1" si="708"/>
        <v>6513447.6765507907</v>
      </c>
      <c r="AC756" s="2">
        <f t="shared" ca="1" si="709"/>
        <v>6591912.2731219055</v>
      </c>
      <c r="AD756" s="2">
        <f t="shared" ca="1" si="710"/>
        <v>6671322.0976614961</v>
      </c>
      <c r="AE756" s="2">
        <f t="shared" ca="1" si="711"/>
        <v>6751688.5369089479</v>
      </c>
      <c r="AF756" s="2">
        <f t="shared" ca="1" si="712"/>
        <v>1008788.9562931778</v>
      </c>
      <c r="AG756" s="2">
        <f t="shared" ca="1" si="713"/>
        <v>1020941.3865285362</v>
      </c>
      <c r="AH756" s="2">
        <f t="shared" ca="1" si="714"/>
        <v>1033240.2116661227</v>
      </c>
      <c r="AI756" s="2">
        <f t="shared" ca="1" si="715"/>
        <v>1045687.195259974</v>
      </c>
      <c r="AJ756" s="2">
        <f t="shared" ca="1" si="716"/>
        <v>1058284.1221088751</v>
      </c>
      <c r="AK756" s="2">
        <f t="shared" ca="1" si="717"/>
        <v>0</v>
      </c>
      <c r="AL756" s="2">
        <f t="shared" ca="1" si="718"/>
        <v>6076.2151176792386</v>
      </c>
      <c r="AM756" s="2">
        <f t="shared" ca="1" si="719"/>
        <v>6149.4125687932228</v>
      </c>
      <c r="AN756" s="2">
        <f t="shared" ca="1" si="720"/>
        <v>6223.4917969256639</v>
      </c>
      <c r="AO756" s="2">
        <f t="shared" ca="1" si="721"/>
        <v>6298.4634244505314</v>
      </c>
      <c r="AP756" s="2">
        <f t="shared" ca="1" si="722"/>
        <v>2485095.213609613</v>
      </c>
      <c r="AQ756" s="2">
        <f t="shared" ca="1" si="723"/>
        <v>736463.50402609748</v>
      </c>
      <c r="AR756" s="2">
        <f t="shared" ca="1" si="724"/>
        <v>781926.87986728665</v>
      </c>
      <c r="AS756" s="2">
        <f t="shared" ca="1" si="725"/>
        <v>799129.98044000415</v>
      </c>
      <c r="AT756" s="2">
        <f t="shared" ca="1" si="726"/>
        <v>816540.31908589636</v>
      </c>
      <c r="AU756" s="2">
        <f t="shared" ca="1" si="727"/>
        <v>834160.39230951958</v>
      </c>
      <c r="AV756" s="2">
        <f t="shared" ca="1" si="728"/>
        <v>2096088.4345358158</v>
      </c>
      <c r="AW756" s="2">
        <f t="shared" ca="1" si="729"/>
        <v>2219407.9814276756</v>
      </c>
      <c r="AX756" s="2">
        <f t="shared" ca="1" si="730"/>
        <v>2268297.4548373721</v>
      </c>
      <c r="AY756" s="2">
        <f t="shared" ca="1" si="731"/>
        <v>2317775.8779090871</v>
      </c>
      <c r="AZ756" s="2">
        <f t="shared" ca="1" si="732"/>
        <v>2367850.3454564898</v>
      </c>
      <c r="BA756" s="2">
        <f t="shared" ca="1" si="733"/>
        <v>49477962.124588408</v>
      </c>
      <c r="BB756" s="2">
        <f t="shared" ca="1" si="734"/>
        <v>989559.24249176821</v>
      </c>
      <c r="BC756" s="2">
        <f t="shared" ca="1" si="735"/>
        <v>20876233.841989826</v>
      </c>
      <c r="BD756" s="2">
        <f t="shared" ca="1" si="736"/>
        <v>-20058619.736742329</v>
      </c>
      <c r="BE756" s="2">
        <f t="shared" ca="1" si="737"/>
        <v>2096088.4345358158</v>
      </c>
      <c r="BF756" s="2">
        <f t="shared" ca="1" si="738"/>
        <v>2219407.9814276756</v>
      </c>
      <c r="BG756" s="2">
        <f t="shared" ca="1" si="739"/>
        <v>2268297.4548373721</v>
      </c>
      <c r="BH756" s="2">
        <f t="shared" ca="1" si="740"/>
        <v>2317775.8779090871</v>
      </c>
      <c r="BI756" s="2">
        <f t="shared" ca="1" si="741"/>
        <v>23244084.187446315</v>
      </c>
      <c r="BJ756" s="2">
        <f t="shared" ca="1" si="742"/>
        <v>0.11808578450775942</v>
      </c>
      <c r="BK756" s="2">
        <f t="shared" ca="1" si="743"/>
        <v>-140978.35016316921</v>
      </c>
    </row>
    <row r="757" spans="1:63" x14ac:dyDescent="0.3">
      <c r="A757" s="2">
        <v>756</v>
      </c>
      <c r="B757" s="2">
        <f t="shared" ca="1" si="682"/>
        <v>6.0100859255787897E-2</v>
      </c>
      <c r="C757" s="2">
        <f t="shared" ca="1" si="683"/>
        <v>6.3467011948516703</v>
      </c>
      <c r="D757" s="2">
        <f t="shared" ca="1" si="684"/>
        <v>0.84190127485260757</v>
      </c>
      <c r="E757" s="2">
        <f t="shared" ca="1" si="685"/>
        <v>7.9376856303678656</v>
      </c>
      <c r="F757" s="2">
        <f t="shared" ca="1" si="686"/>
        <v>0.88145599035928712</v>
      </c>
      <c r="G757" s="2">
        <f t="shared" ca="1" si="687"/>
        <v>7.5468899127627651E-2</v>
      </c>
      <c r="H757" s="2">
        <f t="shared" ca="1" si="688"/>
        <v>7.5468899127627651E-2</v>
      </c>
      <c r="I757" s="2">
        <f t="shared" ca="1" si="689"/>
        <v>9.2198886950464964E-2</v>
      </c>
      <c r="J757" s="2">
        <f t="shared" ca="1" si="690"/>
        <v>3.363323230668026E-3</v>
      </c>
      <c r="K757" s="2">
        <f t="shared" ca="1" si="691"/>
        <v>3.363323230668026E-3</v>
      </c>
      <c r="L757" s="2">
        <f t="shared" ca="1" si="692"/>
        <v>0.53844076112750827</v>
      </c>
      <c r="M757" s="2">
        <f t="shared" ca="1" si="693"/>
        <v>1.9301258202294692E-3</v>
      </c>
      <c r="N757" s="2">
        <f t="shared" ca="1" si="694"/>
        <v>1.9301258202294692E-3</v>
      </c>
      <c r="O757" s="2">
        <f t="shared" si="695"/>
        <v>6000000</v>
      </c>
      <c r="P757" s="2">
        <f t="shared" ca="1" si="696"/>
        <v>38080207.169110022</v>
      </c>
      <c r="Q757" s="2">
        <f t="shared" ca="1" si="697"/>
        <v>952005.17922775063</v>
      </c>
      <c r="R757" s="2">
        <f t="shared" ca="1" si="698"/>
        <v>22848124.301466014</v>
      </c>
      <c r="S757" s="2">
        <f t="shared" ca="1" si="699"/>
        <v>15232082.86764401</v>
      </c>
      <c r="T757" s="2">
        <f t="shared" ca="1" si="700"/>
        <v>50096506.291011475</v>
      </c>
      <c r="U757" s="2">
        <f t="shared" ca="1" si="701"/>
        <v>53877234.470934376</v>
      </c>
      <c r="V757" s="2">
        <f t="shared" ca="1" si="702"/>
        <v>57943290.044496864</v>
      </c>
      <c r="W757" s="2">
        <f t="shared" ca="1" si="703"/>
        <v>62316206.355987862</v>
      </c>
      <c r="X757" s="2">
        <f t="shared" ca="1" si="704"/>
        <v>67019141.847484335</v>
      </c>
      <c r="Y757" s="2">
        <f t="shared" ca="1" si="705"/>
        <v>0.121681661615334</v>
      </c>
      <c r="Z757" s="2">
        <f t="shared" ca="1" si="706"/>
        <v>0.12235432626146761</v>
      </c>
      <c r="AA757" s="2">
        <f t="shared" ca="1" si="707"/>
        <v>6095826.1266133096</v>
      </c>
      <c r="AB757" s="2">
        <f t="shared" ca="1" si="708"/>
        <v>6592112.7245222935</v>
      </c>
      <c r="AC757" s="2">
        <f t="shared" ca="1" si="709"/>
        <v>7089612.2147672176</v>
      </c>
      <c r="AD757" s="2">
        <f t="shared" ca="1" si="710"/>
        <v>7624657.4438574808</v>
      </c>
      <c r="AE757" s="2">
        <f t="shared" ca="1" si="711"/>
        <v>8200081.9473706754</v>
      </c>
      <c r="AF757" s="2">
        <f t="shared" ca="1" si="712"/>
        <v>1001930.1258202295</v>
      </c>
      <c r="AG757" s="2">
        <f t="shared" ca="1" si="713"/>
        <v>1077544.6894186875</v>
      </c>
      <c r="AH757" s="2">
        <f t="shared" ca="1" si="714"/>
        <v>1158865.8008899372</v>
      </c>
      <c r="AI757" s="2">
        <f t="shared" ca="1" si="715"/>
        <v>1246324.1271197572</v>
      </c>
      <c r="AJ757" s="2">
        <f t="shared" ca="1" si="716"/>
        <v>1340382.8369496868</v>
      </c>
      <c r="AK757" s="2">
        <f t="shared" ca="1" si="717"/>
        <v>0</v>
      </c>
      <c r="AL757" s="2">
        <f t="shared" ca="1" si="718"/>
        <v>37807.281799229015</v>
      </c>
      <c r="AM757" s="2">
        <f t="shared" ca="1" si="719"/>
        <v>40660.555735624883</v>
      </c>
      <c r="AN757" s="2">
        <f t="shared" ca="1" si="720"/>
        <v>43729.163114909978</v>
      </c>
      <c r="AO757" s="2">
        <f t="shared" ca="1" si="721"/>
        <v>47029.354914964737</v>
      </c>
      <c r="AP757" s="2">
        <f t="shared" ca="1" si="722"/>
        <v>2056331.1871319413</v>
      </c>
      <c r="AQ757" s="2">
        <f t="shared" ca="1" si="723"/>
        <v>789766.85155189608</v>
      </c>
      <c r="AR757" s="2">
        <f t="shared" ca="1" si="724"/>
        <v>899141.58047263289</v>
      </c>
      <c r="AS757" s="2">
        <f t="shared" ca="1" si="725"/>
        <v>1007347.9589537882</v>
      </c>
      <c r="AT757" s="2">
        <f t="shared" ca="1" si="726"/>
        <v>1123720.5536975034</v>
      </c>
      <c r="AU757" s="2">
        <f t="shared" ca="1" si="727"/>
        <v>1248875.6600551524</v>
      </c>
      <c r="AV757" s="2">
        <f t="shared" ca="1" si="728"/>
        <v>2247797.9621092426</v>
      </c>
      <c r="AW757" s="2">
        <f t="shared" ca="1" si="729"/>
        <v>2521287.9856998026</v>
      </c>
      <c r="AX757" s="2">
        <f t="shared" ca="1" si="730"/>
        <v>2826406.7120559253</v>
      </c>
      <c r="AY757" s="2">
        <f t="shared" ca="1" si="731"/>
        <v>3154552.412793369</v>
      </c>
      <c r="AZ757" s="2">
        <f t="shared" ca="1" si="732"/>
        <v>3507462.9083189303</v>
      </c>
      <c r="BA757" s="2">
        <f t="shared" ca="1" si="733"/>
        <v>65089672.64148315</v>
      </c>
      <c r="BB757" s="2">
        <f t="shared" ca="1" si="734"/>
        <v>1301793.4528296629</v>
      </c>
      <c r="BC757" s="2">
        <f t="shared" ca="1" si="735"/>
        <v>40939754.887187473</v>
      </c>
      <c r="BD757" s="2">
        <f t="shared" ca="1" si="736"/>
        <v>-16684088.046871761</v>
      </c>
      <c r="BE757" s="2">
        <f t="shared" ca="1" si="737"/>
        <v>2247797.9621092426</v>
      </c>
      <c r="BF757" s="2">
        <f t="shared" ca="1" si="738"/>
        <v>2521287.9856998026</v>
      </c>
      <c r="BG757" s="2">
        <f t="shared" ca="1" si="739"/>
        <v>2826406.7120559253</v>
      </c>
      <c r="BH757" s="2">
        <f t="shared" ca="1" si="740"/>
        <v>3154552.412793369</v>
      </c>
      <c r="BI757" s="2">
        <f t="shared" ca="1" si="741"/>
        <v>44447217.795506403</v>
      </c>
      <c r="BJ757" s="2">
        <f t="shared" ca="1" si="742"/>
        <v>0.31661956977547723</v>
      </c>
      <c r="BK757" s="2">
        <f t="shared" ca="1" si="743"/>
        <v>16569930.361718418</v>
      </c>
    </row>
    <row r="758" spans="1:63" x14ac:dyDescent="0.3">
      <c r="A758" s="2">
        <v>757</v>
      </c>
      <c r="B758" s="2">
        <f t="shared" ca="1" si="682"/>
        <v>0.93409427661986189</v>
      </c>
      <c r="C758" s="2">
        <f t="shared" ca="1" si="683"/>
        <v>7.6369415380957548</v>
      </c>
      <c r="D758" s="2">
        <f t="shared" ca="1" si="684"/>
        <v>0.73238000360022304</v>
      </c>
      <c r="E758" s="2">
        <f t="shared" ca="1" si="685"/>
        <v>7.7683990207773403</v>
      </c>
      <c r="F758" s="2">
        <f t="shared" ca="1" si="686"/>
        <v>0.81122709999046272</v>
      </c>
      <c r="G758" s="2">
        <f t="shared" ca="1" si="687"/>
        <v>6.6472817776531551E-2</v>
      </c>
      <c r="H758" s="2">
        <f t="shared" ca="1" si="688"/>
        <v>6.6472817776531551E-2</v>
      </c>
      <c r="I758" s="2">
        <f t="shared" ca="1" si="689"/>
        <v>0.2800870321745853</v>
      </c>
      <c r="J758" s="2">
        <f t="shared" ca="1" si="690"/>
        <v>7.0870850896613746E-3</v>
      </c>
      <c r="K758" s="2">
        <f t="shared" ca="1" si="691"/>
        <v>7.0870850896613746E-3</v>
      </c>
      <c r="L758" s="2">
        <f t="shared" ca="1" si="692"/>
        <v>0.22588765890409379</v>
      </c>
      <c r="M758" s="2">
        <f t="shared" ca="1" si="693"/>
        <v>-1.5049171994423094E-2</v>
      </c>
      <c r="N758" s="2">
        <f t="shared" ca="1" si="694"/>
        <v>-1.5049171994423094E-2</v>
      </c>
      <c r="O758" s="2">
        <f t="shared" si="695"/>
        <v>6000000</v>
      </c>
      <c r="P758" s="2">
        <f t="shared" ca="1" si="696"/>
        <v>45821649.228574529</v>
      </c>
      <c r="Q758" s="2">
        <f t="shared" ca="1" si="697"/>
        <v>1145541.2307143633</v>
      </c>
      <c r="R758" s="2">
        <f t="shared" ca="1" si="698"/>
        <v>27492989.537144717</v>
      </c>
      <c r="S758" s="2">
        <f t="shared" ca="1" si="699"/>
        <v>18328659.691429812</v>
      </c>
      <c r="T758" s="2">
        <f t="shared" ca="1" si="700"/>
        <v>49247541.400278844</v>
      </c>
      <c r="U758" s="2">
        <f t="shared" ca="1" si="701"/>
        <v>52521164.245721772</v>
      </c>
      <c r="V758" s="2">
        <f t="shared" ca="1" si="702"/>
        <v>56012394.026038915</v>
      </c>
      <c r="W758" s="2">
        <f t="shared" ca="1" si="703"/>
        <v>59735695.68735908</v>
      </c>
      <c r="X758" s="2">
        <f t="shared" ca="1" si="704"/>
        <v>63706495.701539233</v>
      </c>
      <c r="Y758" s="2">
        <f t="shared" ca="1" si="705"/>
        <v>0.12354354254483069</v>
      </c>
      <c r="Z758" s="2">
        <f t="shared" ca="1" si="706"/>
        <v>0.12496095956276296</v>
      </c>
      <c r="AA758" s="2">
        <f t="shared" ca="1" si="707"/>
        <v>6084215.7262136601</v>
      </c>
      <c r="AB758" s="2">
        <f t="shared" ca="1" si="708"/>
        <v>6563095.0814988697</v>
      </c>
      <c r="AC758" s="2">
        <f t="shared" ca="1" si="709"/>
        <v>6999362.5049013942</v>
      </c>
      <c r="AD758" s="2">
        <f t="shared" ca="1" si="710"/>
        <v>7464629.8532415917</v>
      </c>
      <c r="AE758" s="2">
        <f t="shared" ca="1" si="711"/>
        <v>7960824.8332453761</v>
      </c>
      <c r="AF758" s="2">
        <f t="shared" ca="1" si="712"/>
        <v>984950.82800557686</v>
      </c>
      <c r="AG758" s="2">
        <f t="shared" ca="1" si="713"/>
        <v>1050423.2849144354</v>
      </c>
      <c r="AH758" s="2">
        <f t="shared" ca="1" si="714"/>
        <v>1120247.8805207782</v>
      </c>
      <c r="AI758" s="2">
        <f t="shared" ca="1" si="715"/>
        <v>1194713.9137471817</v>
      </c>
      <c r="AJ758" s="2">
        <f t="shared" ca="1" si="716"/>
        <v>1274129.9140307847</v>
      </c>
      <c r="AK758" s="2">
        <f t="shared" ca="1" si="717"/>
        <v>0</v>
      </c>
      <c r="AL758" s="2">
        <f t="shared" ca="1" si="718"/>
        <v>32736.228454429285</v>
      </c>
      <c r="AM758" s="2">
        <f t="shared" ca="1" si="719"/>
        <v>34912.29780317143</v>
      </c>
      <c r="AN758" s="2">
        <f t="shared" ca="1" si="720"/>
        <v>37233.016613201646</v>
      </c>
      <c r="AO758" s="2">
        <f t="shared" ca="1" si="721"/>
        <v>39708.000141801538</v>
      </c>
      <c r="AP758" s="2">
        <f t="shared" ca="1" si="722"/>
        <v>2474369.0583430245</v>
      </c>
      <c r="AQ758" s="2">
        <f t="shared" ca="1" si="723"/>
        <v>682472.91836491541</v>
      </c>
      <c r="AR758" s="2">
        <f t="shared" ca="1" si="724"/>
        <v>789958.71194276668</v>
      </c>
      <c r="AS758" s="2">
        <f t="shared" ca="1" si="725"/>
        <v>885233.847169774</v>
      </c>
      <c r="AT758" s="2">
        <f t="shared" ca="1" si="726"/>
        <v>986842.18909936037</v>
      </c>
      <c r="AU758" s="2">
        <f t="shared" ca="1" si="727"/>
        <v>1095204.7238266072</v>
      </c>
      <c r="AV758" s="2">
        <f t="shared" ca="1" si="728"/>
        <v>1942422.9215001441</v>
      </c>
      <c r="AW758" s="2">
        <f t="shared" ca="1" si="729"/>
        <v>2215607.7978442139</v>
      </c>
      <c r="AX758" s="2">
        <f t="shared" ca="1" si="730"/>
        <v>2484599.4210646474</v>
      </c>
      <c r="AY758" s="2">
        <f t="shared" ca="1" si="731"/>
        <v>2771471.6754388246</v>
      </c>
      <c r="AZ758" s="2">
        <f t="shared" ca="1" si="732"/>
        <v>3077413.1369031579</v>
      </c>
      <c r="BA758" s="2">
        <f t="shared" ca="1" si="733"/>
        <v>61842863.839163311</v>
      </c>
      <c r="BB758" s="2">
        <f t="shared" ca="1" si="734"/>
        <v>1236857.2767832663</v>
      </c>
      <c r="BC758" s="2">
        <f t="shared" ca="1" si="735"/>
        <v>33113017.025235333</v>
      </c>
      <c r="BD758" s="2">
        <f t="shared" ca="1" si="736"/>
        <v>-19974200.922144175</v>
      </c>
      <c r="BE758" s="2">
        <f t="shared" ca="1" si="737"/>
        <v>1942422.9215001441</v>
      </c>
      <c r="BF758" s="2">
        <f t="shared" ca="1" si="738"/>
        <v>2215607.7978442139</v>
      </c>
      <c r="BG758" s="2">
        <f t="shared" ca="1" si="739"/>
        <v>2484599.4210646474</v>
      </c>
      <c r="BH758" s="2">
        <f t="shared" ca="1" si="740"/>
        <v>2771471.6754388246</v>
      </c>
      <c r="BI758" s="2">
        <f t="shared" ca="1" si="741"/>
        <v>36190430.162138492</v>
      </c>
      <c r="BJ758" s="2">
        <f t="shared" ca="1" si="742"/>
        <v>0.20702778626511442</v>
      </c>
      <c r="BK758" s="2">
        <f t="shared" ca="1" si="743"/>
        <v>7591605.3684389219</v>
      </c>
    </row>
    <row r="759" spans="1:63" x14ac:dyDescent="0.3">
      <c r="A759" s="2">
        <v>758</v>
      </c>
      <c r="B759" s="2">
        <f t="shared" ca="1" si="682"/>
        <v>3.5240030446546777E-2</v>
      </c>
      <c r="C759" s="2">
        <f t="shared" ca="1" si="683"/>
        <v>6.2654808107812947</v>
      </c>
      <c r="D759" s="2">
        <f t="shared" ca="1" si="684"/>
        <v>0.90345393955019759</v>
      </c>
      <c r="E759" s="2">
        <f t="shared" ca="1" si="685"/>
        <v>8.0605775143445602</v>
      </c>
      <c r="F759" s="2">
        <f t="shared" ca="1" si="686"/>
        <v>0.71895692725510185</v>
      </c>
      <c r="G759" s="2">
        <f t="shared" ca="1" si="687"/>
        <v>5.7392369873425921E-2</v>
      </c>
      <c r="H759" s="2">
        <f t="shared" ca="1" si="688"/>
        <v>5.7392369873425921E-2</v>
      </c>
      <c r="I759" s="2">
        <f t="shared" ca="1" si="689"/>
        <v>0.56483773883310839</v>
      </c>
      <c r="J759" s="2">
        <f t="shared" ca="1" si="690"/>
        <v>1.0816231440663782E-2</v>
      </c>
      <c r="K759" s="2">
        <f t="shared" ca="1" si="691"/>
        <v>1.0816231440663782E-2</v>
      </c>
      <c r="L759" s="2">
        <f t="shared" ca="1" si="692"/>
        <v>0.15270046281681371</v>
      </c>
      <c r="M759" s="2">
        <f t="shared" ca="1" si="693"/>
        <v>-2.0498400475270774E-2</v>
      </c>
      <c r="N759" s="2">
        <f t="shared" ca="1" si="694"/>
        <v>-2.0498400475270774E-2</v>
      </c>
      <c r="O759" s="2">
        <f t="shared" si="695"/>
        <v>6000000</v>
      </c>
      <c r="P759" s="2">
        <f t="shared" ca="1" si="696"/>
        <v>37592884.864687771</v>
      </c>
      <c r="Q759" s="2">
        <f t="shared" ca="1" si="697"/>
        <v>939822.12161719427</v>
      </c>
      <c r="R759" s="2">
        <f t="shared" ca="1" si="698"/>
        <v>22555730.918812662</v>
      </c>
      <c r="S759" s="2">
        <f t="shared" ca="1" si="699"/>
        <v>15037153.945875108</v>
      </c>
      <c r="T759" s="2">
        <f t="shared" ca="1" si="700"/>
        <v>48975079.976236463</v>
      </c>
      <c r="U759" s="2">
        <f t="shared" ca="1" si="701"/>
        <v>51785875.880813248</v>
      </c>
      <c r="V759" s="2">
        <f t="shared" ca="1" si="702"/>
        <v>54757990.023584209</v>
      </c>
      <c r="W759" s="2">
        <f t="shared" ca="1" si="703"/>
        <v>57900680.840543129</v>
      </c>
      <c r="X759" s="2">
        <f t="shared" ca="1" si="704"/>
        <v>61223738.131266773</v>
      </c>
      <c r="Y759" s="2">
        <f t="shared" ca="1" si="705"/>
        <v>0.12540811572033189</v>
      </c>
      <c r="Z759" s="2">
        <f t="shared" ca="1" si="706"/>
        <v>0.12757136200846464</v>
      </c>
      <c r="AA759" s="2">
        <f t="shared" ca="1" si="707"/>
        <v>6141872.4970723717</v>
      </c>
      <c r="AB759" s="2">
        <f t="shared" ca="1" si="708"/>
        <v>6606394.7189166443</v>
      </c>
      <c r="AC759" s="2">
        <f t="shared" ca="1" si="709"/>
        <v>6985551.3681545565</v>
      </c>
      <c r="AD759" s="2">
        <f t="shared" ca="1" si="710"/>
        <v>7386468.7160454998</v>
      </c>
      <c r="AE759" s="2">
        <f t="shared" ca="1" si="711"/>
        <v>7810395.6606552741</v>
      </c>
      <c r="AF759" s="2">
        <f t="shared" ca="1" si="712"/>
        <v>979501.5995247293</v>
      </c>
      <c r="AG759" s="2">
        <f t="shared" ca="1" si="713"/>
        <v>1035717.517616265</v>
      </c>
      <c r="AH759" s="2">
        <f t="shared" ca="1" si="714"/>
        <v>1095159.8004716842</v>
      </c>
      <c r="AI759" s="2">
        <f t="shared" ca="1" si="715"/>
        <v>1158013.6168108627</v>
      </c>
      <c r="AJ759" s="2">
        <f t="shared" ca="1" si="716"/>
        <v>1224474.7626253355</v>
      </c>
      <c r="AK759" s="2">
        <f t="shared" ca="1" si="717"/>
        <v>0</v>
      </c>
      <c r="AL759" s="2">
        <f t="shared" ca="1" si="718"/>
        <v>28107.959045767861</v>
      </c>
      <c r="AM759" s="2">
        <f t="shared" ca="1" si="719"/>
        <v>29721.141427709608</v>
      </c>
      <c r="AN759" s="2">
        <f t="shared" ca="1" si="720"/>
        <v>31426.908169589191</v>
      </c>
      <c r="AO759" s="2">
        <f t="shared" ca="1" si="721"/>
        <v>33230.572907236441</v>
      </c>
      <c r="AP759" s="2">
        <f t="shared" ca="1" si="722"/>
        <v>2030015.7826931395</v>
      </c>
      <c r="AQ759" s="2">
        <f t="shared" ca="1" si="723"/>
        <v>814412.32986217097</v>
      </c>
      <c r="AR759" s="2">
        <f t="shared" ca="1" si="724"/>
        <v>920571.96883788228</v>
      </c>
      <c r="AS759" s="2">
        <f t="shared" ca="1" si="725"/>
        <v>1003697.7040973307</v>
      </c>
      <c r="AT759" s="2">
        <f t="shared" ca="1" si="726"/>
        <v>1091594.2223007893</v>
      </c>
      <c r="AU759" s="2">
        <f t="shared" ca="1" si="727"/>
        <v>1184535.3299875678</v>
      </c>
      <c r="AV759" s="2">
        <f t="shared" ca="1" si="728"/>
        <v>2317942.7849923326</v>
      </c>
      <c r="AW759" s="2">
        <f t="shared" ca="1" si="729"/>
        <v>2591981.4907235894</v>
      </c>
      <c r="AX759" s="2">
        <f t="shared" ca="1" si="730"/>
        <v>2826956.939464693</v>
      </c>
      <c r="AY759" s="2">
        <f t="shared" ca="1" si="731"/>
        <v>3075418.1860711193</v>
      </c>
      <c r="AZ759" s="2">
        <f t="shared" ca="1" si="732"/>
        <v>3338139.2124419948</v>
      </c>
      <c r="BA759" s="2">
        <f t="shared" ca="1" si="733"/>
        <v>62956299.640412226</v>
      </c>
      <c r="BB759" s="2">
        <f t="shared" ca="1" si="734"/>
        <v>1259125.9928082447</v>
      </c>
      <c r="BC759" s="2">
        <f t="shared" ca="1" si="735"/>
        <v>39141442.728791319</v>
      </c>
      <c r="BD759" s="2">
        <f t="shared" ca="1" si="736"/>
        <v>-16476976.067492303</v>
      </c>
      <c r="BE759" s="2">
        <f t="shared" ca="1" si="737"/>
        <v>2317942.7849923326</v>
      </c>
      <c r="BF759" s="2">
        <f t="shared" ca="1" si="738"/>
        <v>2591981.4907235894</v>
      </c>
      <c r="BG759" s="2">
        <f t="shared" ca="1" si="739"/>
        <v>2826956.939464693</v>
      </c>
      <c r="BH759" s="2">
        <f t="shared" ca="1" si="740"/>
        <v>3075418.1860711193</v>
      </c>
      <c r="BI759" s="2">
        <f t="shared" ca="1" si="741"/>
        <v>42479581.941233315</v>
      </c>
      <c r="BJ759" s="2">
        <f t="shared" ca="1" si="742"/>
        <v>0.31224323795529396</v>
      </c>
      <c r="BK759" s="2">
        <f t="shared" ca="1" si="743"/>
        <v>15729639.059940506</v>
      </c>
    </row>
    <row r="760" spans="1:63" x14ac:dyDescent="0.3">
      <c r="A760" s="2">
        <v>759</v>
      </c>
      <c r="B760" s="2">
        <f t="shared" ca="1" si="682"/>
        <v>0.91664568087003762</v>
      </c>
      <c r="C760" s="2">
        <f t="shared" ca="1" si="683"/>
        <v>7.5917003082784351</v>
      </c>
      <c r="D760" s="2">
        <f t="shared" ca="1" si="684"/>
        <v>0.71274194383883427</v>
      </c>
      <c r="E760" s="2">
        <f t="shared" ca="1" si="685"/>
        <v>7.7420315888360971</v>
      </c>
      <c r="F760" s="2">
        <f t="shared" ca="1" si="686"/>
        <v>0.93303468676422563</v>
      </c>
      <c r="G760" s="2">
        <f t="shared" ca="1" si="687"/>
        <v>8.4963410202930134E-2</v>
      </c>
      <c r="H760" s="2">
        <f t="shared" ca="1" si="688"/>
        <v>8.4963410202930134E-2</v>
      </c>
      <c r="I760" s="2">
        <f t="shared" ca="1" si="689"/>
        <v>0.40373405921487771</v>
      </c>
      <c r="J760" s="2">
        <f t="shared" ca="1" si="690"/>
        <v>8.781531922547511E-3</v>
      </c>
      <c r="K760" s="2">
        <f t="shared" ca="1" si="691"/>
        <v>8.781531922547511E-3</v>
      </c>
      <c r="L760" s="2">
        <f t="shared" ca="1" si="692"/>
        <v>0.47414023719294418</v>
      </c>
      <c r="M760" s="2">
        <f t="shared" ca="1" si="693"/>
        <v>-1.2973254569442242E-3</v>
      </c>
      <c r="N760" s="2">
        <f t="shared" ca="1" si="694"/>
        <v>-1.2973254569442242E-3</v>
      </c>
      <c r="O760" s="2">
        <f t="shared" si="695"/>
        <v>6000000</v>
      </c>
      <c r="P760" s="2">
        <f t="shared" ca="1" si="696"/>
        <v>45550201.849670611</v>
      </c>
      <c r="Q760" s="2">
        <f t="shared" ca="1" si="697"/>
        <v>1138755.0462417654</v>
      </c>
      <c r="R760" s="2">
        <f t="shared" ca="1" si="698"/>
        <v>27330121.109802365</v>
      </c>
      <c r="S760" s="2">
        <f t="shared" ca="1" si="699"/>
        <v>18220080.739868246</v>
      </c>
      <c r="T760" s="2">
        <f t="shared" ca="1" si="700"/>
        <v>49935133.727152787</v>
      </c>
      <c r="U760" s="2">
        <f t="shared" ca="1" si="701"/>
        <v>54177792.977551043</v>
      </c>
      <c r="V760" s="2">
        <f t="shared" ca="1" si="702"/>
        <v>58780923.026192144</v>
      </c>
      <c r="W760" s="2">
        <f t="shared" ca="1" si="703"/>
        <v>63775150.701373369</v>
      </c>
      <c r="X760" s="2">
        <f t="shared" ca="1" si="704"/>
        <v>69193704.991167843</v>
      </c>
      <c r="Y760" s="2">
        <f t="shared" ca="1" si="705"/>
        <v>0.12439076596127376</v>
      </c>
      <c r="Z760" s="2">
        <f t="shared" ca="1" si="706"/>
        <v>0.12614707234578326</v>
      </c>
      <c r="AA760" s="2">
        <f t="shared" ca="1" si="707"/>
        <v>6211469.5326991696</v>
      </c>
      <c r="AB760" s="2">
        <f t="shared" ca="1" si="708"/>
        <v>6834369.9702739995</v>
      </c>
      <c r="AC760" s="2">
        <f t="shared" ca="1" si="709"/>
        <v>7415041.3495369777</v>
      </c>
      <c r="AD760" s="2">
        <f t="shared" ca="1" si="710"/>
        <v>8045048.5493893763</v>
      </c>
      <c r="AE760" s="2">
        <f t="shared" ca="1" si="711"/>
        <v>8728583.309393635</v>
      </c>
      <c r="AF760" s="2">
        <f t="shared" ca="1" si="712"/>
        <v>998702.67454305571</v>
      </c>
      <c r="AG760" s="2">
        <f t="shared" ca="1" si="713"/>
        <v>1083555.8595510209</v>
      </c>
      <c r="AH760" s="2">
        <f t="shared" ca="1" si="714"/>
        <v>1175618.4605238428</v>
      </c>
      <c r="AI760" s="2">
        <f t="shared" ca="1" si="715"/>
        <v>1275503.0140274675</v>
      </c>
      <c r="AJ760" s="2">
        <f t="shared" ca="1" si="716"/>
        <v>1383874.0998233568</v>
      </c>
      <c r="AK760" s="2">
        <f t="shared" ca="1" si="717"/>
        <v>0</v>
      </c>
      <c r="AL760" s="2">
        <f t="shared" ca="1" si="718"/>
        <v>42426.59250398256</v>
      </c>
      <c r="AM760" s="2">
        <f t="shared" ca="1" si="719"/>
        <v>46031.300486411004</v>
      </c>
      <c r="AN760" s="2">
        <f t="shared" ca="1" si="720"/>
        <v>49942.276751812249</v>
      </c>
      <c r="AO760" s="2">
        <f t="shared" ca="1" si="721"/>
        <v>54185.542897944746</v>
      </c>
      <c r="AP760" s="2">
        <f t="shared" ca="1" si="722"/>
        <v>2459710.8998822127</v>
      </c>
      <c r="AQ760" s="2">
        <f t="shared" ca="1" si="723"/>
        <v>715794.54915121431</v>
      </c>
      <c r="AR760" s="2">
        <f t="shared" ca="1" si="724"/>
        <v>855686.83481859916</v>
      </c>
      <c r="AS760" s="2">
        <f t="shared" ca="1" si="725"/>
        <v>982725.11717403983</v>
      </c>
      <c r="AT760" s="2">
        <f t="shared" ca="1" si="726"/>
        <v>1120557.005224721</v>
      </c>
      <c r="AU760" s="2">
        <f t="shared" ca="1" si="727"/>
        <v>1270099.5605188969</v>
      </c>
      <c r="AV760" s="2">
        <f t="shared" ca="1" si="728"/>
        <v>2037261.4091226864</v>
      </c>
      <c r="AW760" s="2">
        <f t="shared" ca="1" si="729"/>
        <v>2392989.7835181844</v>
      </c>
      <c r="AX760" s="2">
        <f t="shared" ca="1" si="730"/>
        <v>2750955.5714704716</v>
      </c>
      <c r="AY760" s="2">
        <f t="shared" ca="1" si="731"/>
        <v>3139335.3535031616</v>
      </c>
      <c r="AZ760" s="2">
        <f t="shared" ca="1" si="732"/>
        <v>3560713.2062712242</v>
      </c>
      <c r="BA760" s="2">
        <f t="shared" ca="1" si="733"/>
        <v>67576967.707113042</v>
      </c>
      <c r="BB760" s="2">
        <f t="shared" ca="1" si="734"/>
        <v>1351539.354142261</v>
      </c>
      <c r="BC760" s="2">
        <f t="shared" ca="1" si="735"/>
        <v>38895307.243168414</v>
      </c>
      <c r="BD760" s="2">
        <f t="shared" ca="1" si="736"/>
        <v>-19858835.78611001</v>
      </c>
      <c r="BE760" s="2">
        <f t="shared" ca="1" si="737"/>
        <v>2037261.4091226864</v>
      </c>
      <c r="BF760" s="2">
        <f t="shared" ca="1" si="738"/>
        <v>2392989.7835181844</v>
      </c>
      <c r="BG760" s="2">
        <f t="shared" ca="1" si="739"/>
        <v>2750955.5714704716</v>
      </c>
      <c r="BH760" s="2">
        <f t="shared" ca="1" si="740"/>
        <v>3139335.3535031616</v>
      </c>
      <c r="BI760" s="2">
        <f t="shared" ca="1" si="741"/>
        <v>42456020.449439637</v>
      </c>
      <c r="BJ760" s="2">
        <f t="shared" ca="1" si="742"/>
        <v>0.24864144630834106</v>
      </c>
      <c r="BK760" s="2">
        <f t="shared" ca="1" si="743"/>
        <v>11911690.819016922</v>
      </c>
    </row>
    <row r="761" spans="1:63" x14ac:dyDescent="0.3">
      <c r="A761" s="2">
        <v>760</v>
      </c>
      <c r="B761" s="2">
        <f t="shared" ca="1" si="682"/>
        <v>0.2845189475886154</v>
      </c>
      <c r="C761" s="2">
        <f t="shared" ca="1" si="683"/>
        <v>6.7543460049454964</v>
      </c>
      <c r="D761" s="2">
        <f t="shared" ca="1" si="684"/>
        <v>0.15834450520333654</v>
      </c>
      <c r="E761" s="2">
        <f t="shared" ca="1" si="685"/>
        <v>7.0627512864549251</v>
      </c>
      <c r="F761" s="2">
        <f t="shared" ca="1" si="686"/>
        <v>0.35171097634011894</v>
      </c>
      <c r="G761" s="2">
        <f t="shared" ca="1" si="687"/>
        <v>2.8578841687002015E-2</v>
      </c>
      <c r="H761" s="2">
        <f t="shared" ca="1" si="688"/>
        <v>2.8578841687002015E-2</v>
      </c>
      <c r="I761" s="2">
        <f t="shared" ca="1" si="689"/>
        <v>0.19137496230380158</v>
      </c>
      <c r="J761" s="2">
        <f t="shared" ca="1" si="690"/>
        <v>5.6357966145027093E-3</v>
      </c>
      <c r="K761" s="2">
        <f t="shared" ca="1" si="691"/>
        <v>5.6357966145027093E-3</v>
      </c>
      <c r="L761" s="2">
        <f t="shared" ca="1" si="692"/>
        <v>0.57576421716083548</v>
      </c>
      <c r="M761" s="2">
        <f t="shared" ca="1" si="693"/>
        <v>3.8213792063375657E-3</v>
      </c>
      <c r="N761" s="2">
        <f t="shared" ca="1" si="694"/>
        <v>3.8213792063375657E-3</v>
      </c>
      <c r="O761" s="2">
        <f t="shared" si="695"/>
        <v>6000000</v>
      </c>
      <c r="P761" s="2">
        <f t="shared" ca="1" si="696"/>
        <v>40526076.02967298</v>
      </c>
      <c r="Q761" s="2">
        <f t="shared" ca="1" si="697"/>
        <v>1013151.9007418245</v>
      </c>
      <c r="R761" s="2">
        <f t="shared" ca="1" si="698"/>
        <v>24315645.617803786</v>
      </c>
      <c r="S761" s="2">
        <f t="shared" ca="1" si="699"/>
        <v>16210430.411869192</v>
      </c>
      <c r="T761" s="2">
        <f t="shared" ca="1" si="700"/>
        <v>50191068.960316874</v>
      </c>
      <c r="U761" s="2">
        <f t="shared" ca="1" si="701"/>
        <v>51625471.574235171</v>
      </c>
      <c r="V761" s="2">
        <f t="shared" ca="1" si="702"/>
        <v>53100867.753372066</v>
      </c>
      <c r="W761" s="2">
        <f t="shared" ca="1" si="703"/>
        <v>54618429.046338119</v>
      </c>
      <c r="X761" s="2">
        <f t="shared" ca="1" si="704"/>
        <v>56179360.48324617</v>
      </c>
      <c r="Y761" s="2">
        <f t="shared" ca="1" si="705"/>
        <v>0.12281789830725134</v>
      </c>
      <c r="Z761" s="2">
        <f t="shared" ca="1" si="706"/>
        <v>0.12394505763015189</v>
      </c>
      <c r="AA761" s="2">
        <f t="shared" ca="1" si="707"/>
        <v>6164361.603500437</v>
      </c>
      <c r="AB761" s="2">
        <f t="shared" ca="1" si="708"/>
        <v>6398722.0494523467</v>
      </c>
      <c r="AC761" s="2">
        <f t="shared" ca="1" si="709"/>
        <v>6581590.1139027746</v>
      </c>
      <c r="AD761" s="2">
        <f t="shared" ca="1" si="710"/>
        <v>6769684.3358167401</v>
      </c>
      <c r="AE761" s="2">
        <f t="shared" ca="1" si="711"/>
        <v>6963154.072721024</v>
      </c>
      <c r="AF761" s="2">
        <f t="shared" ca="1" si="712"/>
        <v>1003821.3792063375</v>
      </c>
      <c r="AG761" s="2">
        <f t="shared" ca="1" si="713"/>
        <v>1032509.4314847034</v>
      </c>
      <c r="AH761" s="2">
        <f t="shared" ca="1" si="714"/>
        <v>1062017.3550674412</v>
      </c>
      <c r="AI761" s="2">
        <f t="shared" ca="1" si="715"/>
        <v>1092368.5809267624</v>
      </c>
      <c r="AJ761" s="2">
        <f t="shared" ca="1" si="716"/>
        <v>1123587.2096649234</v>
      </c>
      <c r="AK761" s="2">
        <f t="shared" ca="1" si="717"/>
        <v>0</v>
      </c>
      <c r="AL761" s="2">
        <f t="shared" ca="1" si="718"/>
        <v>14344.02613918297</v>
      </c>
      <c r="AM761" s="2">
        <f t="shared" ca="1" si="719"/>
        <v>14753.961791368947</v>
      </c>
      <c r="AN761" s="2">
        <f t="shared" ca="1" si="720"/>
        <v>15175.612929660529</v>
      </c>
      <c r="AO761" s="2">
        <f t="shared" ca="1" si="721"/>
        <v>15609.314369080514</v>
      </c>
      <c r="AP761" s="2">
        <f t="shared" ca="1" si="722"/>
        <v>2188408.1056023408</v>
      </c>
      <c r="AQ761" s="2">
        <f t="shared" ca="1" si="723"/>
        <v>772754.3508598574</v>
      </c>
      <c r="AR761" s="2">
        <f t="shared" ca="1" si="724"/>
        <v>826229.17321497854</v>
      </c>
      <c r="AS761" s="2">
        <f t="shared" ca="1" si="725"/>
        <v>866102.80984057812</v>
      </c>
      <c r="AT761" s="2">
        <f t="shared" ca="1" si="726"/>
        <v>907115.98881478573</v>
      </c>
      <c r="AU761" s="2">
        <f t="shared" ca="1" si="727"/>
        <v>949301.27693797764</v>
      </c>
      <c r="AV761" s="2">
        <f t="shared" ca="1" si="728"/>
        <v>2199377.767831902</v>
      </c>
      <c r="AW761" s="2">
        <f t="shared" ca="1" si="729"/>
        <v>2337231.3130111406</v>
      </c>
      <c r="AX761" s="2">
        <f t="shared" ca="1" si="730"/>
        <v>2450307.8816010449</v>
      </c>
      <c r="AY761" s="2">
        <f t="shared" ca="1" si="731"/>
        <v>2566616.0475431904</v>
      </c>
      <c r="AZ761" s="2">
        <f t="shared" ca="1" si="732"/>
        <v>2686248.1661467021</v>
      </c>
      <c r="BA761" s="2">
        <f t="shared" ca="1" si="733"/>
        <v>49179025.384894267</v>
      </c>
      <c r="BB761" s="2">
        <f t="shared" ca="1" si="734"/>
        <v>983580.50769788539</v>
      </c>
      <c r="BC761" s="2">
        <f t="shared" ca="1" si="735"/>
        <v>23879799.259392597</v>
      </c>
      <c r="BD761" s="2">
        <f t="shared" ca="1" si="736"/>
        <v>-17723582.312611017</v>
      </c>
      <c r="BE761" s="2">
        <f t="shared" ca="1" si="737"/>
        <v>2199377.767831902</v>
      </c>
      <c r="BF761" s="2">
        <f t="shared" ca="1" si="738"/>
        <v>2337231.3130111406</v>
      </c>
      <c r="BG761" s="2">
        <f t="shared" ca="1" si="739"/>
        <v>2450307.8816010449</v>
      </c>
      <c r="BH761" s="2">
        <f t="shared" ca="1" si="740"/>
        <v>2566616.0475431904</v>
      </c>
      <c r="BI761" s="2">
        <f t="shared" ca="1" si="741"/>
        <v>26566047.4255393</v>
      </c>
      <c r="BJ761" s="2">
        <f t="shared" ca="1" si="742"/>
        <v>0.18401604683977113</v>
      </c>
      <c r="BK761" s="2">
        <f t="shared" ca="1" si="743"/>
        <v>4552874.7396596558</v>
      </c>
    </row>
    <row r="762" spans="1:63" x14ac:dyDescent="0.3">
      <c r="A762" s="2">
        <v>761</v>
      </c>
      <c r="B762" s="2">
        <f t="shared" ca="1" si="682"/>
        <v>0.52577928243514538</v>
      </c>
      <c r="C762" s="2">
        <f t="shared" ca="1" si="683"/>
        <v>7.0261204206218775</v>
      </c>
      <c r="D762" s="2">
        <f t="shared" ca="1" si="684"/>
        <v>0.70578401493188336</v>
      </c>
      <c r="E762" s="2">
        <f t="shared" ca="1" si="685"/>
        <v>7.7329068047908169</v>
      </c>
      <c r="F762" s="2">
        <f t="shared" ca="1" si="686"/>
        <v>5.6727570506528435E-3</v>
      </c>
      <c r="G762" s="2">
        <f t="shared" ca="1" si="687"/>
        <v>-3.5956183943924809E-2</v>
      </c>
      <c r="H762" s="2">
        <f t="shared" ca="1" si="688"/>
        <v>-0.02</v>
      </c>
      <c r="I762" s="2">
        <f t="shared" ca="1" si="689"/>
        <v>0.13578903090048744</v>
      </c>
      <c r="J762" s="2">
        <f t="shared" ca="1" si="690"/>
        <v>4.5028214498785534E-3</v>
      </c>
      <c r="K762" s="2">
        <f t="shared" ca="1" si="691"/>
        <v>4.5028214498785534E-3</v>
      </c>
      <c r="L762" s="2">
        <f t="shared" ca="1" si="692"/>
        <v>0.14960572995180488</v>
      </c>
      <c r="M762" s="2">
        <f t="shared" ca="1" si="693"/>
        <v>-2.0762517353529041E-2</v>
      </c>
      <c r="N762" s="2">
        <f t="shared" ca="1" si="694"/>
        <v>-2.0762517353529041E-2</v>
      </c>
      <c r="O762" s="2">
        <f t="shared" si="695"/>
        <v>6000000</v>
      </c>
      <c r="P762" s="2">
        <f t="shared" ca="1" si="696"/>
        <v>42156722.523731261</v>
      </c>
      <c r="Q762" s="2">
        <f t="shared" ca="1" si="697"/>
        <v>1053918.0630932816</v>
      </c>
      <c r="R762" s="2">
        <f t="shared" ca="1" si="698"/>
        <v>25294033.514238756</v>
      </c>
      <c r="S762" s="2">
        <f t="shared" ca="1" si="699"/>
        <v>16862689.009492505</v>
      </c>
      <c r="T762" s="2">
        <f t="shared" ca="1" si="700"/>
        <v>48961874.132323548</v>
      </c>
      <c r="U762" s="2">
        <f t="shared" ca="1" si="701"/>
        <v>47982636.649677075</v>
      </c>
      <c r="V762" s="2">
        <f t="shared" ca="1" si="702"/>
        <v>47022983.916683532</v>
      </c>
      <c r="W762" s="2">
        <f t="shared" ca="1" si="703"/>
        <v>46082524.238349862</v>
      </c>
      <c r="X762" s="2">
        <f t="shared" ca="1" si="704"/>
        <v>45160873.753582865</v>
      </c>
      <c r="Y762" s="2">
        <f t="shared" ca="1" si="705"/>
        <v>0.12225141072493927</v>
      </c>
      <c r="Z762" s="2">
        <f t="shared" ca="1" si="706"/>
        <v>0.12315197501491498</v>
      </c>
      <c r="AA762" s="2">
        <f t="shared" ca="1" si="707"/>
        <v>5985658.1844134657</v>
      </c>
      <c r="AB762" s="2">
        <f t="shared" ca="1" si="708"/>
        <v>5909156.4698307747</v>
      </c>
      <c r="AC762" s="2">
        <f t="shared" ca="1" si="709"/>
        <v>5790973.3404341592</v>
      </c>
      <c r="AD762" s="2">
        <f t="shared" ca="1" si="710"/>
        <v>5675153.8736254759</v>
      </c>
      <c r="AE762" s="2">
        <f t="shared" ca="1" si="711"/>
        <v>5561650.796152967</v>
      </c>
      <c r="AF762" s="2">
        <f t="shared" ca="1" si="712"/>
        <v>979237.48264647101</v>
      </c>
      <c r="AG762" s="2">
        <f t="shared" ca="1" si="713"/>
        <v>959652.73299354152</v>
      </c>
      <c r="AH762" s="2">
        <f t="shared" ca="1" si="714"/>
        <v>940459.67833367072</v>
      </c>
      <c r="AI762" s="2">
        <f t="shared" ca="1" si="715"/>
        <v>921650.48476699728</v>
      </c>
      <c r="AJ762" s="2">
        <f t="shared" ca="1" si="716"/>
        <v>903217.47507165733</v>
      </c>
      <c r="AK762" s="2">
        <f t="shared" ca="1" si="717"/>
        <v>0</v>
      </c>
      <c r="AL762" s="2">
        <f t="shared" ca="1" si="718"/>
        <v>0</v>
      </c>
      <c r="AM762" s="2">
        <f t="shared" ca="1" si="719"/>
        <v>0</v>
      </c>
      <c r="AN762" s="2">
        <f t="shared" ca="1" si="720"/>
        <v>0</v>
      </c>
      <c r="AO762" s="2">
        <f t="shared" ca="1" si="721"/>
        <v>0</v>
      </c>
      <c r="AP762" s="2">
        <f t="shared" ca="1" si="722"/>
        <v>2276463.0162814879</v>
      </c>
      <c r="AQ762" s="2">
        <f t="shared" ca="1" si="723"/>
        <v>709788.99822623178</v>
      </c>
      <c r="AR762" s="2">
        <f t="shared" ca="1" si="724"/>
        <v>694990.58734449383</v>
      </c>
      <c r="AS762" s="2">
        <f t="shared" ca="1" si="725"/>
        <v>669253.16791294015</v>
      </c>
      <c r="AT762" s="2">
        <f t="shared" ca="1" si="726"/>
        <v>644030.49687001761</v>
      </c>
      <c r="AU762" s="2">
        <f t="shared" ca="1" si="727"/>
        <v>619312.27924795367</v>
      </c>
      <c r="AV762" s="2">
        <f t="shared" ca="1" si="728"/>
        <v>2020168.687259275</v>
      </c>
      <c r="AW762" s="2">
        <f t="shared" ca="1" si="729"/>
        <v>1978050.1332112518</v>
      </c>
      <c r="AX762" s="2">
        <f t="shared" ca="1" si="730"/>
        <v>1904797.4779060604</v>
      </c>
      <c r="AY762" s="2">
        <f t="shared" ca="1" si="731"/>
        <v>1833009.875706973</v>
      </c>
      <c r="AZ762" s="2">
        <f t="shared" ca="1" si="732"/>
        <v>1762658.0255518681</v>
      </c>
      <c r="BA762" s="2">
        <f t="shared" ca="1" si="733"/>
        <v>43007727.287441544</v>
      </c>
      <c r="BB762" s="2">
        <f t="shared" ca="1" si="734"/>
        <v>860154.54574883089</v>
      </c>
      <c r="BC762" s="2">
        <f t="shared" ca="1" si="735"/>
        <v>16853539.227453958</v>
      </c>
      <c r="BD762" s="2">
        <f t="shared" ca="1" si="736"/>
        <v>-18416607.072585788</v>
      </c>
      <c r="BE762" s="2">
        <f t="shared" ca="1" si="737"/>
        <v>2020168.687259275</v>
      </c>
      <c r="BF762" s="2">
        <f t="shared" ca="1" si="738"/>
        <v>1978050.1332112518</v>
      </c>
      <c r="BG762" s="2">
        <f t="shared" ca="1" si="739"/>
        <v>1904797.4779060604</v>
      </c>
      <c r="BH762" s="2">
        <f t="shared" ca="1" si="740"/>
        <v>1833009.875706973</v>
      </c>
      <c r="BI762" s="2">
        <f t="shared" ca="1" si="741"/>
        <v>18616197.253005825</v>
      </c>
      <c r="BJ762" s="2">
        <f t="shared" ca="1" si="742"/>
        <v>8.9570449784915018E-2</v>
      </c>
      <c r="BK762" s="2">
        <f t="shared" ca="1" si="743"/>
        <v>-1951957.1672299895</v>
      </c>
    </row>
    <row r="763" spans="1:63" x14ac:dyDescent="0.3">
      <c r="A763" s="2">
        <v>762</v>
      </c>
      <c r="B763" s="2">
        <f t="shared" ca="1" si="682"/>
        <v>0.77637621230729603</v>
      </c>
      <c r="C763" s="2">
        <f t="shared" ca="1" si="683"/>
        <v>7.3312342896160061</v>
      </c>
      <c r="D763" s="2">
        <f t="shared" ca="1" si="684"/>
        <v>0.49063733724597491</v>
      </c>
      <c r="E763" s="2">
        <f t="shared" ca="1" si="685"/>
        <v>7.4905930922896395</v>
      </c>
      <c r="F763" s="2">
        <f t="shared" ca="1" si="686"/>
        <v>0.65003160858938169</v>
      </c>
      <c r="G763" s="2">
        <f t="shared" ca="1" si="687"/>
        <v>5.1562174132135492E-2</v>
      </c>
      <c r="H763" s="2">
        <f t="shared" ca="1" si="688"/>
        <v>5.1562174132135492E-2</v>
      </c>
      <c r="I763" s="2">
        <f t="shared" ca="1" si="689"/>
        <v>0.9367110544791476</v>
      </c>
      <c r="J763" s="2">
        <f t="shared" ca="1" si="690"/>
        <v>1.763868416745653E-2</v>
      </c>
      <c r="K763" s="2">
        <f t="shared" ca="1" si="691"/>
        <v>1.763868416745653E-2</v>
      </c>
      <c r="L763" s="2">
        <f t="shared" ca="1" si="692"/>
        <v>7.4543971380339302E-2</v>
      </c>
      <c r="M763" s="2">
        <f t="shared" ca="1" si="693"/>
        <v>-2.8855210501030123E-2</v>
      </c>
      <c r="N763" s="2">
        <f t="shared" ca="1" si="694"/>
        <v>-2.8855210501030123E-2</v>
      </c>
      <c r="O763" s="2">
        <f t="shared" si="695"/>
        <v>6000000</v>
      </c>
      <c r="P763" s="2">
        <f t="shared" ca="1" si="696"/>
        <v>43987405.737696037</v>
      </c>
      <c r="Q763" s="2">
        <f t="shared" ca="1" si="697"/>
        <v>1099685.143442401</v>
      </c>
      <c r="R763" s="2">
        <f t="shared" ca="1" si="698"/>
        <v>26392443.442617621</v>
      </c>
      <c r="S763" s="2">
        <f t="shared" ca="1" si="699"/>
        <v>17594962.295078415</v>
      </c>
      <c r="T763" s="2">
        <f t="shared" ca="1" si="700"/>
        <v>48557239.474948496</v>
      </c>
      <c r="U763" s="2">
        <f t="shared" ca="1" si="701"/>
        <v>51060956.312131591</v>
      </c>
      <c r="V763" s="2">
        <f t="shared" ca="1" si="702"/>
        <v>53693770.232851081</v>
      </c>
      <c r="W763" s="2">
        <f t="shared" ca="1" si="703"/>
        <v>56462337.763408221</v>
      </c>
      <c r="X763" s="2">
        <f t="shared" ca="1" si="704"/>
        <v>59373658.655072525</v>
      </c>
      <c r="Y763" s="2">
        <f t="shared" ca="1" si="705"/>
        <v>0.12881934208372825</v>
      </c>
      <c r="Z763" s="2">
        <f t="shared" ca="1" si="706"/>
        <v>0.13234707891721956</v>
      </c>
      <c r="AA763" s="2">
        <f t="shared" ca="1" si="707"/>
        <v>6255111.642564903</v>
      </c>
      <c r="AB763" s="2">
        <f t="shared" ca="1" si="708"/>
        <v>6757768.4146303795</v>
      </c>
      <c r="AC763" s="2">
        <f t="shared" ca="1" si="709"/>
        <v>7106213.6463701967</v>
      </c>
      <c r="AD763" s="2">
        <f t="shared" ca="1" si="710"/>
        <v>7472625.4718244942</v>
      </c>
      <c r="AE763" s="2">
        <f t="shared" ca="1" si="711"/>
        <v>7857930.2876269398</v>
      </c>
      <c r="AF763" s="2">
        <f t="shared" ca="1" si="712"/>
        <v>971144.78949896991</v>
      </c>
      <c r="AG763" s="2">
        <f t="shared" ca="1" si="713"/>
        <v>1021219.1262426318</v>
      </c>
      <c r="AH763" s="2">
        <f t="shared" ca="1" si="714"/>
        <v>1073875.4046570216</v>
      </c>
      <c r="AI763" s="2">
        <f t="shared" ca="1" si="715"/>
        <v>1129246.7552681644</v>
      </c>
      <c r="AJ763" s="2">
        <f t="shared" ca="1" si="716"/>
        <v>1187473.1731014505</v>
      </c>
      <c r="AK763" s="2">
        <f t="shared" ca="1" si="717"/>
        <v>0</v>
      </c>
      <c r="AL763" s="2">
        <f t="shared" ca="1" si="718"/>
        <v>25037.168371830954</v>
      </c>
      <c r="AM763" s="2">
        <f t="shared" ca="1" si="719"/>
        <v>26328.139207194894</v>
      </c>
      <c r="AN763" s="2">
        <f t="shared" ca="1" si="720"/>
        <v>27685.675305571407</v>
      </c>
      <c r="AO763" s="2">
        <f t="shared" ca="1" si="721"/>
        <v>29113.208916643038</v>
      </c>
      <c r="AP763" s="2">
        <f t="shared" ca="1" si="722"/>
        <v>2375319.9098355859</v>
      </c>
      <c r="AQ763" s="2">
        <f t="shared" ca="1" si="723"/>
        <v>756248.20523989026</v>
      </c>
      <c r="AR763" s="2">
        <f t="shared" ca="1" si="724"/>
        <v>873919.63842356205</v>
      </c>
      <c r="AS763" s="2">
        <f t="shared" ca="1" si="725"/>
        <v>950824.76628817338</v>
      </c>
      <c r="AT763" s="2">
        <f t="shared" ca="1" si="726"/>
        <v>1031695.2897473933</v>
      </c>
      <c r="AU763" s="2">
        <f t="shared" ca="1" si="727"/>
        <v>1116735.6732193748</v>
      </c>
      <c r="AV763" s="2">
        <f t="shared" ca="1" si="728"/>
        <v>2152398.7379904571</v>
      </c>
      <c r="AW763" s="2">
        <f t="shared" ca="1" si="729"/>
        <v>2462272.5717567685</v>
      </c>
      <c r="AX763" s="2">
        <f t="shared" ca="1" si="730"/>
        <v>2679865.4263822217</v>
      </c>
      <c r="AY763" s="2">
        <f t="shared" ca="1" si="731"/>
        <v>2908677.8416677783</v>
      </c>
      <c r="AZ763" s="2">
        <f t="shared" ca="1" si="732"/>
        <v>3149288.3225538866</v>
      </c>
      <c r="BA763" s="2">
        <f t="shared" ca="1" si="733"/>
        <v>58860558.332191899</v>
      </c>
      <c r="BB763" s="2">
        <f t="shared" ca="1" si="734"/>
        <v>1177211.1666438379</v>
      </c>
      <c r="BC763" s="2">
        <f t="shared" ca="1" si="735"/>
        <v>31290903.722930439</v>
      </c>
      <c r="BD763" s="2">
        <f t="shared" ca="1" si="736"/>
        <v>-19194647.438520815</v>
      </c>
      <c r="BE763" s="2">
        <f t="shared" ca="1" si="737"/>
        <v>2152398.7379904571</v>
      </c>
      <c r="BF763" s="2">
        <f t="shared" ca="1" si="738"/>
        <v>2462272.5717567685</v>
      </c>
      <c r="BG763" s="2">
        <f t="shared" ca="1" si="739"/>
        <v>2679865.4263822217</v>
      </c>
      <c r="BH763" s="2">
        <f t="shared" ca="1" si="740"/>
        <v>2908677.8416677783</v>
      </c>
      <c r="BI763" s="2">
        <f t="shared" ca="1" si="741"/>
        <v>34440192.045484327</v>
      </c>
      <c r="BJ763" s="2">
        <f t="shared" ca="1" si="742"/>
        <v>0.21623230328301757</v>
      </c>
      <c r="BK763" s="2">
        <f t="shared" ca="1" si="743"/>
        <v>7988328.2806831934</v>
      </c>
    </row>
    <row r="764" spans="1:63" x14ac:dyDescent="0.3">
      <c r="A764" s="2">
        <v>763</v>
      </c>
      <c r="B764" s="2">
        <f t="shared" ca="1" si="682"/>
        <v>0.95869784932881263</v>
      </c>
      <c r="C764" s="2">
        <f t="shared" ca="1" si="683"/>
        <v>7.712590359691303</v>
      </c>
      <c r="D764" s="2">
        <f t="shared" ca="1" si="684"/>
        <v>0.43540677901022407</v>
      </c>
      <c r="E764" s="2">
        <f t="shared" ca="1" si="685"/>
        <v>7.4331739162773722</v>
      </c>
      <c r="F764" s="2">
        <f t="shared" ca="1" si="686"/>
        <v>0.91201090640570825</v>
      </c>
      <c r="G764" s="2">
        <f t="shared" ca="1" si="687"/>
        <v>8.0597273565584576E-2</v>
      </c>
      <c r="H764" s="2">
        <f t="shared" ca="1" si="688"/>
        <v>8.0597273565584576E-2</v>
      </c>
      <c r="I764" s="2">
        <f t="shared" ca="1" si="689"/>
        <v>0.15294120050096993</v>
      </c>
      <c r="J764" s="2">
        <f t="shared" ca="1" si="690"/>
        <v>4.8804988438084134E-3</v>
      </c>
      <c r="K764" s="2">
        <f t="shared" ca="1" si="691"/>
        <v>4.8804988438084134E-3</v>
      </c>
      <c r="L764" s="2">
        <f t="shared" ca="1" si="692"/>
        <v>0.36884744609859321</v>
      </c>
      <c r="M764" s="2">
        <f t="shared" ca="1" si="693"/>
        <v>-6.6981492609929161E-3</v>
      </c>
      <c r="N764" s="2">
        <f t="shared" ca="1" si="694"/>
        <v>-6.6981492609929161E-3</v>
      </c>
      <c r="O764" s="2">
        <f t="shared" si="695"/>
        <v>6000000</v>
      </c>
      <c r="P764" s="2">
        <f t="shared" ca="1" si="696"/>
        <v>46275542.158147819</v>
      </c>
      <c r="Q764" s="2">
        <f t="shared" ca="1" si="697"/>
        <v>1156888.5539536956</v>
      </c>
      <c r="R764" s="2">
        <f t="shared" ca="1" si="698"/>
        <v>27765325.29488869</v>
      </c>
      <c r="S764" s="2">
        <f t="shared" ca="1" si="699"/>
        <v>18510216.863259129</v>
      </c>
      <c r="T764" s="2">
        <f t="shared" ca="1" si="700"/>
        <v>49665092.536950357</v>
      </c>
      <c r="U764" s="2">
        <f t="shared" ca="1" si="701"/>
        <v>53667963.586811021</v>
      </c>
      <c r="V764" s="2">
        <f t="shared" ca="1" si="702"/>
        <v>57993455.129725061</v>
      </c>
      <c r="W764" s="2">
        <f t="shared" ca="1" si="703"/>
        <v>62667569.497828968</v>
      </c>
      <c r="X764" s="2">
        <f t="shared" ca="1" si="704"/>
        <v>67718404.740335777</v>
      </c>
      <c r="Y764" s="2">
        <f t="shared" ca="1" si="705"/>
        <v>0.12244024942190421</v>
      </c>
      <c r="Z764" s="2">
        <f t="shared" ca="1" si="706"/>
        <v>0.12341634919066588</v>
      </c>
      <c r="AA764" s="2">
        <f t="shared" ca="1" si="707"/>
        <v>6081006.3177861553</v>
      </c>
      <c r="AB764" s="2">
        <f t="shared" ca="1" si="708"/>
        <v>6623504.1343818102</v>
      </c>
      <c r="AC764" s="2">
        <f t="shared" ca="1" si="709"/>
        <v>7157340.5090633612</v>
      </c>
      <c r="AD764" s="2">
        <f t="shared" ca="1" si="710"/>
        <v>7734202.6400743816</v>
      </c>
      <c r="AE764" s="2">
        <f t="shared" ca="1" si="711"/>
        <v>8357558.2860681238</v>
      </c>
      <c r="AF764" s="2">
        <f t="shared" ca="1" si="712"/>
        <v>993301.85073900712</v>
      </c>
      <c r="AG764" s="2">
        <f t="shared" ca="1" si="713"/>
        <v>1073359.2717362205</v>
      </c>
      <c r="AH764" s="2">
        <f t="shared" ca="1" si="714"/>
        <v>1159869.1025945013</v>
      </c>
      <c r="AI764" s="2">
        <f t="shared" ca="1" si="715"/>
        <v>1253351.3899565793</v>
      </c>
      <c r="AJ764" s="2">
        <f t="shared" ca="1" si="716"/>
        <v>1354368.0948067156</v>
      </c>
      <c r="AK764" s="2">
        <f t="shared" ca="1" si="717"/>
        <v>0</v>
      </c>
      <c r="AL764" s="2">
        <f t="shared" ca="1" si="718"/>
        <v>40028.710498606641</v>
      </c>
      <c r="AM764" s="2">
        <f t="shared" ca="1" si="719"/>
        <v>43254.915429140405</v>
      </c>
      <c r="AN764" s="2">
        <f t="shared" ca="1" si="720"/>
        <v>46741.143681039066</v>
      </c>
      <c r="AO764" s="2">
        <f t="shared" ca="1" si="721"/>
        <v>50508.352425068093</v>
      </c>
      <c r="AP764" s="2">
        <f t="shared" ca="1" si="722"/>
        <v>2498879.2765399818</v>
      </c>
      <c r="AQ764" s="2">
        <f t="shared" ca="1" si="723"/>
        <v>673094.5495318633</v>
      </c>
      <c r="AR764" s="2">
        <f t="shared" ca="1" si="724"/>
        <v>793329.05238745804</v>
      </c>
      <c r="AS764" s="2">
        <f t="shared" ca="1" si="725"/>
        <v>909633.95378150837</v>
      </c>
      <c r="AT764" s="2">
        <f t="shared" ca="1" si="726"/>
        <v>1035312.7131302333</v>
      </c>
      <c r="AU764" s="2">
        <f t="shared" ca="1" si="727"/>
        <v>1171120.8378275707</v>
      </c>
      <c r="AV764" s="2">
        <f t="shared" ca="1" si="728"/>
        <v>1915730.6409753035</v>
      </c>
      <c r="AW764" s="2">
        <f t="shared" ca="1" si="729"/>
        <v>2217907.8232195429</v>
      </c>
      <c r="AX764" s="2">
        <f t="shared" ca="1" si="730"/>
        <v>2545703.2607182297</v>
      </c>
      <c r="AY764" s="2">
        <f t="shared" ca="1" si="731"/>
        <v>2899918.1167665473</v>
      </c>
      <c r="AZ764" s="2">
        <f t="shared" ca="1" si="732"/>
        <v>3282681.7244687877</v>
      </c>
      <c r="BA764" s="2">
        <f t="shared" ca="1" si="733"/>
        <v>62123184.255769402</v>
      </c>
      <c r="BB764" s="2">
        <f t="shared" ca="1" si="734"/>
        <v>1242463.6851153881</v>
      </c>
      <c r="BC764" s="2">
        <f t="shared" ca="1" si="735"/>
        <v>33115395.275765322</v>
      </c>
      <c r="BD764" s="2">
        <f t="shared" ca="1" si="736"/>
        <v>-20167105.417212825</v>
      </c>
      <c r="BE764" s="2">
        <f t="shared" ca="1" si="737"/>
        <v>1915730.6409753035</v>
      </c>
      <c r="BF764" s="2">
        <f t="shared" ca="1" si="738"/>
        <v>2217907.8232195429</v>
      </c>
      <c r="BG764" s="2">
        <f t="shared" ca="1" si="739"/>
        <v>2545703.2607182297</v>
      </c>
      <c r="BH764" s="2">
        <f t="shared" ca="1" si="740"/>
        <v>2899918.1167665473</v>
      </c>
      <c r="BI764" s="2">
        <f t="shared" ca="1" si="741"/>
        <v>36398077.000234112</v>
      </c>
      <c r="BJ764" s="2">
        <f t="shared" ca="1" si="742"/>
        <v>0.20650406069076133</v>
      </c>
      <c r="BK764" s="2">
        <f t="shared" ca="1" si="743"/>
        <v>7619648.9803339653</v>
      </c>
    </row>
    <row r="765" spans="1:63" x14ac:dyDescent="0.3">
      <c r="A765" s="2">
        <v>764</v>
      </c>
      <c r="B765" s="2">
        <f t="shared" ca="1" si="682"/>
        <v>8.9631581052786014E-2</v>
      </c>
      <c r="C765" s="2">
        <f t="shared" ca="1" si="683"/>
        <v>6.4233948064225306</v>
      </c>
      <c r="D765" s="2">
        <f t="shared" ca="1" si="684"/>
        <v>0.49826742860519191</v>
      </c>
      <c r="E765" s="2">
        <f t="shared" ca="1" si="685"/>
        <v>7.498265925097308</v>
      </c>
      <c r="F765" s="2">
        <f t="shared" ca="1" si="686"/>
        <v>0.23515527726962393</v>
      </c>
      <c r="G765" s="2">
        <f t="shared" ca="1" si="687"/>
        <v>1.8340784472872081E-2</v>
      </c>
      <c r="H765" s="2">
        <f t="shared" ca="1" si="688"/>
        <v>1.8340784472872081E-2</v>
      </c>
      <c r="I765" s="2">
        <f t="shared" ca="1" si="689"/>
        <v>0.68596640970227873</v>
      </c>
      <c r="J765" s="2">
        <f t="shared" ca="1" si="690"/>
        <v>1.2422245492598542E-2</v>
      </c>
      <c r="K765" s="2">
        <f t="shared" ca="1" si="691"/>
        <v>1.2422245492598542E-2</v>
      </c>
      <c r="L765" s="2">
        <f t="shared" ca="1" si="692"/>
        <v>0.1544566846422416</v>
      </c>
      <c r="M765" s="2">
        <f t="shared" ca="1" si="693"/>
        <v>-2.0350095188980934E-2</v>
      </c>
      <c r="N765" s="2">
        <f t="shared" ca="1" si="694"/>
        <v>-2.0350095188980934E-2</v>
      </c>
      <c r="O765" s="2">
        <f t="shared" si="695"/>
        <v>6000000</v>
      </c>
      <c r="P765" s="2">
        <f t="shared" ca="1" si="696"/>
        <v>38540368.838535182</v>
      </c>
      <c r="Q765" s="2">
        <f t="shared" ca="1" si="697"/>
        <v>963509.2209633796</v>
      </c>
      <c r="R765" s="2">
        <f t="shared" ca="1" si="698"/>
        <v>23124221.303121109</v>
      </c>
      <c r="S765" s="2">
        <f t="shared" ca="1" si="699"/>
        <v>15416147.535414074</v>
      </c>
      <c r="T765" s="2">
        <f t="shared" ca="1" si="700"/>
        <v>48982495.240550958</v>
      </c>
      <c r="U765" s="2">
        <f t="shared" ca="1" si="701"/>
        <v>49880872.628701381</v>
      </c>
      <c r="V765" s="2">
        <f t="shared" ca="1" si="702"/>
        <v>50795726.962903172</v>
      </c>
      <c r="W765" s="2">
        <f t="shared" ca="1" si="703"/>
        <v>51727360.443272635</v>
      </c>
      <c r="X765" s="2">
        <f t="shared" ca="1" si="704"/>
        <v>52676080.812513262</v>
      </c>
      <c r="Y765" s="2">
        <f t="shared" ca="1" si="705"/>
        <v>0.12621112274629925</v>
      </c>
      <c r="Z765" s="2">
        <f t="shared" ca="1" si="706"/>
        <v>0.12869557184481897</v>
      </c>
      <c r="AA765" s="2">
        <f t="shared" ca="1" si="707"/>
        <v>6182135.7192251962</v>
      </c>
      <c r="AB765" s="2">
        <f t="shared" ca="1" si="708"/>
        <v>6419447.4270693026</v>
      </c>
      <c r="AC765" s="2">
        <f t="shared" ca="1" si="709"/>
        <v>6537185.1287641134</v>
      </c>
      <c r="AD765" s="2">
        <f t="shared" ca="1" si="710"/>
        <v>6657082.2322700405</v>
      </c>
      <c r="AE765" s="2">
        <f t="shared" ca="1" si="711"/>
        <v>6779178.342710291</v>
      </c>
      <c r="AF765" s="2">
        <f t="shared" ca="1" si="712"/>
        <v>979649.90481101919</v>
      </c>
      <c r="AG765" s="2">
        <f t="shared" ca="1" si="713"/>
        <v>997617.4525740277</v>
      </c>
      <c r="AH765" s="2">
        <f t="shared" ca="1" si="714"/>
        <v>1015914.5392580634</v>
      </c>
      <c r="AI765" s="2">
        <f t="shared" ca="1" si="715"/>
        <v>1034547.2088654527</v>
      </c>
      <c r="AJ765" s="2">
        <f t="shared" ca="1" si="716"/>
        <v>1053521.6162502652</v>
      </c>
      <c r="AK765" s="2">
        <f t="shared" ca="1" si="717"/>
        <v>0</v>
      </c>
      <c r="AL765" s="2">
        <f t="shared" ca="1" si="718"/>
        <v>8983.7738815042376</v>
      </c>
      <c r="AM765" s="2">
        <f t="shared" ca="1" si="719"/>
        <v>9148.5433420179033</v>
      </c>
      <c r="AN765" s="2">
        <f t="shared" ca="1" si="720"/>
        <v>9316.3348036946354</v>
      </c>
      <c r="AO765" s="2">
        <f t="shared" ca="1" si="721"/>
        <v>9487.2036924062668</v>
      </c>
      <c r="AP765" s="2">
        <f t="shared" ca="1" si="722"/>
        <v>2081179.9172808996</v>
      </c>
      <c r="AQ765" s="2">
        <f t="shared" ca="1" si="723"/>
        <v>811539.53325465228</v>
      </c>
      <c r="AR765" s="2">
        <f t="shared" ca="1" si="724"/>
        <v>868569.01487573772</v>
      </c>
      <c r="AS765" s="2">
        <f t="shared" ca="1" si="725"/>
        <v>894423.57477853913</v>
      </c>
      <c r="AT765" s="2">
        <f t="shared" ca="1" si="726"/>
        <v>920752.32759215904</v>
      </c>
      <c r="AU765" s="2">
        <f t="shared" ca="1" si="727"/>
        <v>947563.97038657288</v>
      </c>
      <c r="AV765" s="2">
        <f t="shared" ca="1" si="728"/>
        <v>2309766.3638786254</v>
      </c>
      <c r="AW765" s="2">
        <f t="shared" ca="1" si="729"/>
        <v>2463097.2684571333</v>
      </c>
      <c r="AX765" s="2">
        <f t="shared" ca="1" si="730"/>
        <v>2536518.5541045936</v>
      </c>
      <c r="AY765" s="2">
        <f t="shared" ca="1" si="731"/>
        <v>2611286.4437278351</v>
      </c>
      <c r="AZ765" s="2">
        <f t="shared" ca="1" si="732"/>
        <v>2687425.6351001468</v>
      </c>
      <c r="BA765" s="2">
        <f t="shared" ca="1" si="733"/>
        <v>50832081.967302218</v>
      </c>
      <c r="BB765" s="2">
        <f t="shared" ca="1" si="734"/>
        <v>1016641.6393460444</v>
      </c>
      <c r="BC765" s="2">
        <f t="shared" ca="1" si="735"/>
        <v>26691219.024835065</v>
      </c>
      <c r="BD765" s="2">
        <f t="shared" ca="1" si="736"/>
        <v>-16879656.756377451</v>
      </c>
      <c r="BE765" s="2">
        <f t="shared" ca="1" si="737"/>
        <v>2309766.3638786254</v>
      </c>
      <c r="BF765" s="2">
        <f t="shared" ca="1" si="738"/>
        <v>2463097.2684571333</v>
      </c>
      <c r="BG765" s="2">
        <f t="shared" ca="1" si="739"/>
        <v>2536518.5541045936</v>
      </c>
      <c r="BH765" s="2">
        <f t="shared" ca="1" si="740"/>
        <v>2611286.4437278351</v>
      </c>
      <c r="BI765" s="2">
        <f t="shared" ca="1" si="741"/>
        <v>29378644.659935214</v>
      </c>
      <c r="BJ765" s="2">
        <f t="shared" ca="1" si="742"/>
        <v>0.2220436173189988</v>
      </c>
      <c r="BK765" s="2">
        <f t="shared" ca="1" si="743"/>
        <v>7281396.2147368528</v>
      </c>
    </row>
    <row r="766" spans="1:63" x14ac:dyDescent="0.3">
      <c r="A766" s="2">
        <v>765</v>
      </c>
      <c r="B766" s="2">
        <f t="shared" ca="1" si="682"/>
        <v>0.37560062768280789</v>
      </c>
      <c r="C766" s="2">
        <f t="shared" ca="1" si="683"/>
        <v>6.8667186714070585</v>
      </c>
      <c r="D766" s="2">
        <f t="shared" ca="1" si="684"/>
        <v>0.25937965307565902</v>
      </c>
      <c r="E766" s="2">
        <f t="shared" ca="1" si="685"/>
        <v>7.2202494749399806</v>
      </c>
      <c r="F766" s="2">
        <f t="shared" ca="1" si="686"/>
        <v>0.3959383247839956</v>
      </c>
      <c r="G766" s="2">
        <f t="shared" ca="1" si="687"/>
        <v>3.208376593783889E-2</v>
      </c>
      <c r="H766" s="2">
        <f t="shared" ca="1" si="688"/>
        <v>3.208376593783889E-2</v>
      </c>
      <c r="I766" s="2">
        <f t="shared" ca="1" si="689"/>
        <v>0.20572707097863441</v>
      </c>
      <c r="J766" s="2">
        <f t="shared" ca="1" si="690"/>
        <v>5.8933132801383672E-3</v>
      </c>
      <c r="K766" s="2">
        <f t="shared" ca="1" si="691"/>
        <v>5.8933132801383672E-3</v>
      </c>
      <c r="L766" s="2">
        <f t="shared" ca="1" si="692"/>
        <v>0.900310617231453</v>
      </c>
      <c r="M766" s="2">
        <f t="shared" ca="1" si="693"/>
        <v>2.5666469847699807E-2</v>
      </c>
      <c r="N766" s="2">
        <f t="shared" ca="1" si="694"/>
        <v>2.5666469847699807E-2</v>
      </c>
      <c r="O766" s="2">
        <f t="shared" si="695"/>
        <v>6000000</v>
      </c>
      <c r="P766" s="2">
        <f t="shared" ca="1" si="696"/>
        <v>41200312.028442353</v>
      </c>
      <c r="Q766" s="2">
        <f t="shared" ca="1" si="697"/>
        <v>1030007.8007110589</v>
      </c>
      <c r="R766" s="2">
        <f t="shared" ca="1" si="698"/>
        <v>24720187.217065413</v>
      </c>
      <c r="S766" s="2">
        <f t="shared" ca="1" si="699"/>
        <v>16480124.811376942</v>
      </c>
      <c r="T766" s="2">
        <f t="shared" ca="1" si="700"/>
        <v>51283323.492384993</v>
      </c>
      <c r="U766" s="2">
        <f t="shared" ca="1" si="701"/>
        <v>52928685.639829144</v>
      </c>
      <c r="V766" s="2">
        <f t="shared" ca="1" si="702"/>
        <v>54626837.201294869</v>
      </c>
      <c r="W766" s="2">
        <f t="shared" ca="1" si="703"/>
        <v>56379471.859985642</v>
      </c>
      <c r="X766" s="2">
        <f t="shared" ca="1" si="704"/>
        <v>58188337.638840392</v>
      </c>
      <c r="Y766" s="2">
        <f t="shared" ca="1" si="705"/>
        <v>0.12294665664006918</v>
      </c>
      <c r="Z766" s="2">
        <f t="shared" ca="1" si="706"/>
        <v>0.12412531929609685</v>
      </c>
      <c r="AA766" s="2">
        <f t="shared" ca="1" si="707"/>
        <v>6305113.1647798512</v>
      </c>
      <c r="AB766" s="2">
        <f t="shared" ca="1" si="708"/>
        <v>6569790.0049665291</v>
      </c>
      <c r="AC766" s="2">
        <f t="shared" ca="1" si="709"/>
        <v>6780573.6097466275</v>
      </c>
      <c r="AD766" s="2">
        <f t="shared" ca="1" si="710"/>
        <v>6998119.9463660251</v>
      </c>
      <c r="AE766" s="2">
        <f t="shared" ca="1" si="711"/>
        <v>7222645.988730154</v>
      </c>
      <c r="AF766" s="2">
        <f t="shared" ca="1" si="712"/>
        <v>1025666.4698476999</v>
      </c>
      <c r="AG766" s="2">
        <f t="shared" ca="1" si="713"/>
        <v>1058573.7127965828</v>
      </c>
      <c r="AH766" s="2">
        <f t="shared" ca="1" si="714"/>
        <v>1092536.7440258975</v>
      </c>
      <c r="AI766" s="2">
        <f t="shared" ca="1" si="715"/>
        <v>1127589.437199713</v>
      </c>
      <c r="AJ766" s="2">
        <f t="shared" ca="1" si="716"/>
        <v>1163766.7527768079</v>
      </c>
      <c r="AK766" s="2">
        <f t="shared" ca="1" si="717"/>
        <v>0</v>
      </c>
      <c r="AL766" s="2">
        <f t="shared" ca="1" si="718"/>
        <v>16453.621474441512</v>
      </c>
      <c r="AM766" s="2">
        <f t="shared" ca="1" si="719"/>
        <v>16981.515614657252</v>
      </c>
      <c r="AN766" s="2">
        <f t="shared" ca="1" si="720"/>
        <v>17526.34658690773</v>
      </c>
      <c r="AO766" s="2">
        <f t="shared" ca="1" si="721"/>
        <v>18088.657788547502</v>
      </c>
      <c r="AP766" s="2">
        <f t="shared" ca="1" si="722"/>
        <v>2224816.8495358871</v>
      </c>
      <c r="AQ766" s="2">
        <f t="shared" ca="1" si="723"/>
        <v>794203.75980302878</v>
      </c>
      <c r="AR766" s="2">
        <f t="shared" ca="1" si="724"/>
        <v>854463.85508485534</v>
      </c>
      <c r="AS766" s="2">
        <f t="shared" ca="1" si="725"/>
        <v>900437.20420805924</v>
      </c>
      <c r="AT766" s="2">
        <f t="shared" ca="1" si="726"/>
        <v>947885.55150391057</v>
      </c>
      <c r="AU766" s="2">
        <f t="shared" ca="1" si="727"/>
        <v>996856.22046853928</v>
      </c>
      <c r="AV766" s="2">
        <f t="shared" ca="1" si="728"/>
        <v>2260426.0855932357</v>
      </c>
      <c r="AW766" s="2">
        <f t="shared" ca="1" si="729"/>
        <v>2415481.9660747629</v>
      </c>
      <c r="AX766" s="2">
        <f t="shared" ca="1" si="730"/>
        <v>2545801.2963621262</v>
      </c>
      <c r="AY766" s="2">
        <f t="shared" ca="1" si="731"/>
        <v>2680301.7615396073</v>
      </c>
      <c r="AZ766" s="2">
        <f t="shared" ca="1" si="732"/>
        <v>2819117.5081603723</v>
      </c>
      <c r="BA766" s="2">
        <f t="shared" ca="1" si="733"/>
        <v>52149305.907806255</v>
      </c>
      <c r="BB766" s="2">
        <f t="shared" ca="1" si="734"/>
        <v>1042986.1181561251</v>
      </c>
      <c r="BC766" s="2">
        <f t="shared" ca="1" si="735"/>
        <v>26386132.572584718</v>
      </c>
      <c r="BD766" s="2">
        <f t="shared" ca="1" si="736"/>
        <v>-18010132.612088002</v>
      </c>
      <c r="BE766" s="2">
        <f t="shared" ca="1" si="737"/>
        <v>2260426.0855932357</v>
      </c>
      <c r="BF766" s="2">
        <f t="shared" ca="1" si="738"/>
        <v>2415481.9660747629</v>
      </c>
      <c r="BG766" s="2">
        <f t="shared" ca="1" si="739"/>
        <v>2545801.2963621262</v>
      </c>
      <c r="BH766" s="2">
        <f t="shared" ca="1" si="740"/>
        <v>2680301.7615396073</v>
      </c>
      <c r="BI766" s="2">
        <f t="shared" ca="1" si="741"/>
        <v>29205250.08074509</v>
      </c>
      <c r="BJ766" s="2">
        <f t="shared" ca="1" si="742"/>
        <v>0.20087930177259761</v>
      </c>
      <c r="BK766" s="2">
        <f t="shared" ca="1" si="743"/>
        <v>6020986.9254638478</v>
      </c>
    </row>
    <row r="767" spans="1:63" x14ac:dyDescent="0.3">
      <c r="A767" s="2">
        <v>766</v>
      </c>
      <c r="B767" s="2">
        <f t="shared" ca="1" si="682"/>
        <v>0.54991300529646714</v>
      </c>
      <c r="C767" s="2">
        <f t="shared" ca="1" si="683"/>
        <v>7.0512250059117987</v>
      </c>
      <c r="D767" s="2">
        <f t="shared" ca="1" si="684"/>
        <v>0.66765759223180399</v>
      </c>
      <c r="E767" s="2">
        <f t="shared" ca="1" si="685"/>
        <v>7.6847179533827621</v>
      </c>
      <c r="F767" s="2">
        <f t="shared" ca="1" si="686"/>
        <v>0.2006850283967837</v>
      </c>
      <c r="G767" s="2">
        <f t="shared" ca="1" si="687"/>
        <v>1.4824693468625305E-2</v>
      </c>
      <c r="H767" s="2">
        <f t="shared" ca="1" si="688"/>
        <v>1.4824693468625305E-2</v>
      </c>
      <c r="I767" s="2">
        <f t="shared" ca="1" si="689"/>
        <v>0.45229538981640038</v>
      </c>
      <c r="J767" s="2">
        <f t="shared" ca="1" si="690"/>
        <v>9.4006793497482498E-3</v>
      </c>
      <c r="K767" s="2">
        <f t="shared" ca="1" si="691"/>
        <v>9.4006793497482498E-3</v>
      </c>
      <c r="L767" s="2">
        <f t="shared" ca="1" si="692"/>
        <v>0.39940868899496318</v>
      </c>
      <c r="M767" s="2">
        <f t="shared" ca="1" si="693"/>
        <v>-5.0975587231580658E-3</v>
      </c>
      <c r="N767" s="2">
        <f t="shared" ca="1" si="694"/>
        <v>-5.0975587231580658E-3</v>
      </c>
      <c r="O767" s="2">
        <f t="shared" si="695"/>
        <v>6000000</v>
      </c>
      <c r="P767" s="2">
        <f t="shared" ca="1" si="696"/>
        <v>42307350.035470791</v>
      </c>
      <c r="Q767" s="2">
        <f t="shared" ca="1" si="697"/>
        <v>1057683.7508867697</v>
      </c>
      <c r="R767" s="2">
        <f t="shared" ca="1" si="698"/>
        <v>25384410.021282475</v>
      </c>
      <c r="S767" s="2">
        <f t="shared" ca="1" si="699"/>
        <v>16922940.014188316</v>
      </c>
      <c r="T767" s="2">
        <f t="shared" ca="1" si="700"/>
        <v>49745122.063842095</v>
      </c>
      <c r="U767" s="2">
        <f t="shared" ca="1" si="701"/>
        <v>50482578.249997906</v>
      </c>
      <c r="V767" s="2">
        <f t="shared" ca="1" si="702"/>
        <v>51230966.998060018</v>
      </c>
      <c r="W767" s="2">
        <f t="shared" ca="1" si="703"/>
        <v>51990450.379907519</v>
      </c>
      <c r="X767" s="2">
        <f t="shared" ca="1" si="704"/>
        <v>52761192.870085426</v>
      </c>
      <c r="Y767" s="2">
        <f t="shared" ca="1" si="705"/>
        <v>0.12470033967487412</v>
      </c>
      <c r="Z767" s="2">
        <f t="shared" ca="1" si="706"/>
        <v>0.12658047554482377</v>
      </c>
      <c r="AA767" s="2">
        <f t="shared" ca="1" si="707"/>
        <v>6203233.6185291847</v>
      </c>
      <c r="AB767" s="2">
        <f t="shared" ca="1" si="708"/>
        <v>6390108.7616135124</v>
      </c>
      <c r="AC767" s="2">
        <f t="shared" ca="1" si="709"/>
        <v>6484840.1652356097</v>
      </c>
      <c r="AD767" s="2">
        <f t="shared" ca="1" si="710"/>
        <v>6580975.9328782568</v>
      </c>
      <c r="AE767" s="2">
        <f t="shared" ca="1" si="711"/>
        <v>6678536.8838075781</v>
      </c>
      <c r="AF767" s="2">
        <f t="shared" ca="1" si="712"/>
        <v>994902.44127684191</v>
      </c>
      <c r="AG767" s="2">
        <f t="shared" ca="1" si="713"/>
        <v>1009651.5649999582</v>
      </c>
      <c r="AH767" s="2">
        <f t="shared" ca="1" si="714"/>
        <v>1024619.3399612004</v>
      </c>
      <c r="AI767" s="2">
        <f t="shared" ca="1" si="715"/>
        <v>1039809.0075981504</v>
      </c>
      <c r="AJ767" s="2">
        <f t="shared" ca="1" si="716"/>
        <v>1055223.8574017086</v>
      </c>
      <c r="AK767" s="2">
        <f t="shared" ca="1" si="717"/>
        <v>0</v>
      </c>
      <c r="AL767" s="2">
        <f t="shared" ca="1" si="718"/>
        <v>7374.5618615581097</v>
      </c>
      <c r="AM767" s="2">
        <f t="shared" ca="1" si="719"/>
        <v>7483.8874806211143</v>
      </c>
      <c r="AN767" s="2">
        <f t="shared" ca="1" si="720"/>
        <v>7594.8338184750082</v>
      </c>
      <c r="AO767" s="2">
        <f t="shared" ca="1" si="721"/>
        <v>7707.4249017790708</v>
      </c>
      <c r="AP767" s="2">
        <f t="shared" ca="1" si="722"/>
        <v>2284596.9019154226</v>
      </c>
      <c r="AQ767" s="2">
        <f t="shared" ca="1" si="723"/>
        <v>760170.91158759932</v>
      </c>
      <c r="AR767" s="2">
        <f t="shared" ca="1" si="724"/>
        <v>804923.67662151414</v>
      </c>
      <c r="AS767" s="2">
        <f t="shared" ca="1" si="725"/>
        <v>825662.22007333662</v>
      </c>
      <c r="AT767" s="2">
        <f t="shared" ca="1" si="726"/>
        <v>846708.2060748178</v>
      </c>
      <c r="AU767" s="2">
        <f t="shared" ca="1" si="727"/>
        <v>868066.19236751611</v>
      </c>
      <c r="AV767" s="2">
        <f t="shared" ca="1" si="728"/>
        <v>2163563.3637493206</v>
      </c>
      <c r="AW767" s="2">
        <f t="shared" ca="1" si="729"/>
        <v>2283562.056215059</v>
      </c>
      <c r="AX767" s="2">
        <f t="shared" ca="1" si="730"/>
        <v>2342477.8158050291</v>
      </c>
      <c r="AY767" s="2">
        <f t="shared" ca="1" si="731"/>
        <v>2402266.9834713908</v>
      </c>
      <c r="AZ767" s="2">
        <f t="shared" ca="1" si="732"/>
        <v>2462942.5072211511</v>
      </c>
      <c r="BA767" s="2">
        <f t="shared" ca="1" si="733"/>
        <v>51322672.293325059</v>
      </c>
      <c r="BB767" s="2">
        <f t="shared" ca="1" si="734"/>
        <v>1026453.4458665012</v>
      </c>
      <c r="BC767" s="2">
        <f t="shared" ca="1" si="735"/>
        <v>24911808.826176081</v>
      </c>
      <c r="BD767" s="2">
        <f t="shared" ca="1" si="736"/>
        <v>-18480623.765075084</v>
      </c>
      <c r="BE767" s="2">
        <f t="shared" ca="1" si="737"/>
        <v>2163563.3637493206</v>
      </c>
      <c r="BF767" s="2">
        <f t="shared" ca="1" si="738"/>
        <v>2283562.056215059</v>
      </c>
      <c r="BG767" s="2">
        <f t="shared" ca="1" si="739"/>
        <v>2342477.8158050291</v>
      </c>
      <c r="BH767" s="2">
        <f t="shared" ca="1" si="740"/>
        <v>2402266.9834713908</v>
      </c>
      <c r="BI767" s="2">
        <f t="shared" ca="1" si="741"/>
        <v>27374751.333397232</v>
      </c>
      <c r="BJ767" s="2">
        <f t="shared" ca="1" si="742"/>
        <v>0.17409324408738036</v>
      </c>
      <c r="BK767" s="2">
        <f t="shared" ca="1" si="743"/>
        <v>3998753.5410653353</v>
      </c>
    </row>
    <row r="768" spans="1:63" x14ac:dyDescent="0.3">
      <c r="A768" s="2">
        <v>767</v>
      </c>
      <c r="B768" s="2">
        <f t="shared" ca="1" si="682"/>
        <v>0.74909271804485478</v>
      </c>
      <c r="C768" s="2">
        <f t="shared" ca="1" si="683"/>
        <v>7.2916112903847985</v>
      </c>
      <c r="D768" s="2">
        <f t="shared" ca="1" si="684"/>
        <v>0.39152438523026789</v>
      </c>
      <c r="E768" s="2">
        <f t="shared" ca="1" si="685"/>
        <v>7.3849004296871685</v>
      </c>
      <c r="F768" s="2">
        <f t="shared" ca="1" si="686"/>
        <v>0.26387009484883939</v>
      </c>
      <c r="G768" s="2">
        <f t="shared" ca="1" si="687"/>
        <v>2.1056218093944434E-2</v>
      </c>
      <c r="H768" s="2">
        <f t="shared" ca="1" si="688"/>
        <v>2.1056218093944434E-2</v>
      </c>
      <c r="I768" s="2">
        <f t="shared" ca="1" si="689"/>
        <v>0.67234437680409076</v>
      </c>
      <c r="J768" s="2">
        <f t="shared" ca="1" si="690"/>
        <v>1.2231979829033334E-2</v>
      </c>
      <c r="K768" s="2">
        <f t="shared" ca="1" si="691"/>
        <v>1.2231979829033334E-2</v>
      </c>
      <c r="L768" s="2">
        <f t="shared" ca="1" si="692"/>
        <v>0.66486896268468354</v>
      </c>
      <c r="M768" s="2">
        <f t="shared" ca="1" si="693"/>
        <v>8.5157670577123406E-3</v>
      </c>
      <c r="N768" s="2">
        <f t="shared" ca="1" si="694"/>
        <v>8.5157670577123406E-3</v>
      </c>
      <c r="O768" s="2">
        <f t="shared" si="695"/>
        <v>6000000</v>
      </c>
      <c r="P768" s="2">
        <f t="shared" ca="1" si="696"/>
        <v>43749667.742308788</v>
      </c>
      <c r="Q768" s="2">
        <f t="shared" ca="1" si="697"/>
        <v>1093741.6935577197</v>
      </c>
      <c r="R768" s="2">
        <f t="shared" ca="1" si="698"/>
        <v>26249800.645385273</v>
      </c>
      <c r="S768" s="2">
        <f t="shared" ca="1" si="699"/>
        <v>17499867.096923515</v>
      </c>
      <c r="T768" s="2">
        <f t="shared" ca="1" si="700"/>
        <v>50425788.352885611</v>
      </c>
      <c r="U768" s="2">
        <f t="shared" ca="1" si="701"/>
        <v>51487564.750003055</v>
      </c>
      <c r="V768" s="2">
        <f t="shared" ca="1" si="702"/>
        <v>52571698.142505206</v>
      </c>
      <c r="W768" s="2">
        <f t="shared" ca="1" si="703"/>
        <v>53678659.284162812</v>
      </c>
      <c r="X768" s="2">
        <f t="shared" ca="1" si="704"/>
        <v>54808928.841040678</v>
      </c>
      <c r="Y768" s="2">
        <f t="shared" ca="1" si="705"/>
        <v>0.12611598991451667</v>
      </c>
      <c r="Z768" s="2">
        <f t="shared" ca="1" si="706"/>
        <v>0.12856238588032332</v>
      </c>
      <c r="AA768" s="2">
        <f t="shared" ca="1" si="707"/>
        <v>6359498.2153440742</v>
      </c>
      <c r="AB768" s="2">
        <f t="shared" ca="1" si="708"/>
        <v>6619364.167428025</v>
      </c>
      <c r="AC768" s="2">
        <f t="shared" ca="1" si="709"/>
        <v>6758742.9429806313</v>
      </c>
      <c r="AD768" s="2">
        <f t="shared" ca="1" si="710"/>
        <v>6901056.5084289387</v>
      </c>
      <c r="AE768" s="2">
        <f t="shared" ca="1" si="711"/>
        <v>7046366.6593490532</v>
      </c>
      <c r="AF768" s="2">
        <f t="shared" ca="1" si="712"/>
        <v>1008515.7670577123</v>
      </c>
      <c r="AG768" s="2">
        <f t="shared" ca="1" si="713"/>
        <v>1029751.2950000612</v>
      </c>
      <c r="AH768" s="2">
        <f t="shared" ca="1" si="714"/>
        <v>1051433.9628501041</v>
      </c>
      <c r="AI768" s="2">
        <f t="shared" ca="1" si="715"/>
        <v>1073573.1856832562</v>
      </c>
      <c r="AJ768" s="2">
        <f t="shared" ca="1" si="716"/>
        <v>1096178.5768208136</v>
      </c>
      <c r="AK768" s="2">
        <f t="shared" ca="1" si="717"/>
        <v>0</v>
      </c>
      <c r="AL768" s="2">
        <f t="shared" ca="1" si="718"/>
        <v>10617.763971174434</v>
      </c>
      <c r="AM768" s="2">
        <f t="shared" ca="1" si="719"/>
        <v>10841.333925021514</v>
      </c>
      <c r="AN768" s="2">
        <f t="shared" ca="1" si="720"/>
        <v>11069.611416576057</v>
      </c>
      <c r="AO768" s="2">
        <f t="shared" ca="1" si="721"/>
        <v>11302.695568778665</v>
      </c>
      <c r="AP768" s="2">
        <f t="shared" ca="1" si="722"/>
        <v>2362482.0580846746</v>
      </c>
      <c r="AQ768" s="2">
        <f t="shared" ca="1" si="723"/>
        <v>777010.10145243874</v>
      </c>
      <c r="AR768" s="2">
        <f t="shared" ca="1" si="724"/>
        <v>839054.0117292552</v>
      </c>
      <c r="AS768" s="2">
        <f t="shared" ca="1" si="725"/>
        <v>869654.99973192171</v>
      </c>
      <c r="AT768" s="2">
        <f t="shared" ca="1" si="726"/>
        <v>900900.32881186216</v>
      </c>
      <c r="AU768" s="2">
        <f t="shared" ca="1" si="727"/>
        <v>932803.5663553268</v>
      </c>
      <c r="AV768" s="2">
        <f t="shared" ca="1" si="728"/>
        <v>2211490.2887492483</v>
      </c>
      <c r="AW768" s="2">
        <f t="shared" ca="1" si="729"/>
        <v>2377459.0386428596</v>
      </c>
      <c r="AX768" s="2">
        <f t="shared" ca="1" si="730"/>
        <v>2464330.5883889091</v>
      </c>
      <c r="AY768" s="2">
        <f t="shared" ca="1" si="731"/>
        <v>2553031.3244325691</v>
      </c>
      <c r="AZ768" s="2">
        <f t="shared" ca="1" si="732"/>
        <v>2643599.7625194588</v>
      </c>
      <c r="BA768" s="2">
        <f t="shared" ca="1" si="733"/>
        <v>52036716.170360163</v>
      </c>
      <c r="BB768" s="2">
        <f t="shared" ca="1" si="734"/>
        <v>1040734.3234072033</v>
      </c>
      <c r="BC768" s="2">
        <f t="shared" ca="1" si="735"/>
        <v>24746181.201567687</v>
      </c>
      <c r="BD768" s="2">
        <f t="shared" ca="1" si="736"/>
        <v>-19093608.790481236</v>
      </c>
      <c r="BE768" s="2">
        <f t="shared" ca="1" si="737"/>
        <v>2211490.2887492483</v>
      </c>
      <c r="BF768" s="2">
        <f t="shared" ca="1" si="738"/>
        <v>2377459.0386428596</v>
      </c>
      <c r="BG768" s="2">
        <f t="shared" ca="1" si="739"/>
        <v>2464330.5883889091</v>
      </c>
      <c r="BH768" s="2">
        <f t="shared" ca="1" si="740"/>
        <v>2553031.3244325691</v>
      </c>
      <c r="BI768" s="2">
        <f t="shared" ca="1" si="741"/>
        <v>27389780.964087147</v>
      </c>
      <c r="BJ768" s="2">
        <f t="shared" ca="1" si="742"/>
        <v>0.16890912568221683</v>
      </c>
      <c r="BK768" s="2">
        <f t="shared" ca="1" si="743"/>
        <v>3694488.5895036198</v>
      </c>
    </row>
    <row r="769" spans="1:63" x14ac:dyDescent="0.3">
      <c r="A769" s="2">
        <v>768</v>
      </c>
      <c r="B769" s="2">
        <f t="shared" ca="1" si="682"/>
        <v>2.7208868578047052E-2</v>
      </c>
      <c r="C769" s="2">
        <f t="shared" ca="1" si="683"/>
        <v>6.2332760964095852</v>
      </c>
      <c r="D769" s="2">
        <f t="shared" ca="1" si="684"/>
        <v>8.9806261302739498E-3</v>
      </c>
      <c r="E769" s="2">
        <f t="shared" ca="1" si="685"/>
        <v>6.6340195965541904</v>
      </c>
      <c r="F769" s="2">
        <f t="shared" ca="1" si="686"/>
        <v>0.18124693666629077</v>
      </c>
      <c r="G769" s="2">
        <f t="shared" ca="1" si="687"/>
        <v>1.2681300079924941E-2</v>
      </c>
      <c r="H769" s="2">
        <f t="shared" ca="1" si="688"/>
        <v>1.2681300079924941E-2</v>
      </c>
      <c r="I769" s="2">
        <f t="shared" ca="1" si="689"/>
        <v>0.5202355984747995</v>
      </c>
      <c r="J769" s="2">
        <f t="shared" ca="1" si="690"/>
        <v>1.0253724466360008E-2</v>
      </c>
      <c r="K769" s="2">
        <f t="shared" ca="1" si="691"/>
        <v>1.0253724466360008E-2</v>
      </c>
      <c r="L769" s="2">
        <f t="shared" ca="1" si="692"/>
        <v>0.24088805383247758</v>
      </c>
      <c r="M769" s="2">
        <f t="shared" ca="1" si="693"/>
        <v>-1.4068975872668857E-2</v>
      </c>
      <c r="N769" s="2">
        <f t="shared" ca="1" si="694"/>
        <v>-1.4068975872668857E-2</v>
      </c>
      <c r="O769" s="2">
        <f t="shared" si="695"/>
        <v>6000000</v>
      </c>
      <c r="P769" s="2">
        <f t="shared" ca="1" si="696"/>
        <v>37399656.578457512</v>
      </c>
      <c r="Q769" s="2">
        <f t="shared" ca="1" si="697"/>
        <v>934991.41446143785</v>
      </c>
      <c r="R769" s="2">
        <f t="shared" ca="1" si="698"/>
        <v>22439793.947074506</v>
      </c>
      <c r="S769" s="2">
        <f t="shared" ca="1" si="699"/>
        <v>14959862.631383006</v>
      </c>
      <c r="T769" s="2">
        <f t="shared" ca="1" si="700"/>
        <v>49296551.206366554</v>
      </c>
      <c r="U769" s="2">
        <f t="shared" ca="1" si="701"/>
        <v>49921695.56511987</v>
      </c>
      <c r="V769" s="2">
        <f t="shared" ca="1" si="702"/>
        <v>50554767.567079812</v>
      </c>
      <c r="W769" s="2">
        <f t="shared" ca="1" si="703"/>
        <v>51195867.745068803</v>
      </c>
      <c r="X769" s="2">
        <f t="shared" ca="1" si="704"/>
        <v>51845097.906796165</v>
      </c>
      <c r="Y769" s="2">
        <f t="shared" ca="1" si="705"/>
        <v>0.12512686223318001</v>
      </c>
      <c r="Z769" s="2">
        <f t="shared" ca="1" si="706"/>
        <v>0.12717760712645201</v>
      </c>
      <c r="AA769" s="2">
        <f t="shared" ca="1" si="707"/>
        <v>6168322.7713699313</v>
      </c>
      <c r="AB769" s="2">
        <f t="shared" ca="1" si="708"/>
        <v>6348921.7856671568</v>
      </c>
      <c r="AC769" s="2">
        <f t="shared" ca="1" si="709"/>
        <v>6429434.3680151748</v>
      </c>
      <c r="AD769" s="2">
        <f t="shared" ca="1" si="710"/>
        <v>6510967.9545801571</v>
      </c>
      <c r="AE769" s="2">
        <f t="shared" ca="1" si="711"/>
        <v>6593535.4930229625</v>
      </c>
      <c r="AF769" s="2">
        <f t="shared" ca="1" si="712"/>
        <v>985931.0241273311</v>
      </c>
      <c r="AG769" s="2">
        <f t="shared" ca="1" si="713"/>
        <v>998433.91130239738</v>
      </c>
      <c r="AH769" s="2">
        <f t="shared" ca="1" si="714"/>
        <v>1011095.3513415962</v>
      </c>
      <c r="AI769" s="2">
        <f t="shared" ca="1" si="715"/>
        <v>1023917.3549013761</v>
      </c>
      <c r="AJ769" s="2">
        <f t="shared" ca="1" si="716"/>
        <v>1036901.9581359234</v>
      </c>
      <c r="AK769" s="2">
        <f t="shared" ca="1" si="717"/>
        <v>0</v>
      </c>
      <c r="AL769" s="2">
        <f t="shared" ca="1" si="718"/>
        <v>6251.443587533161</v>
      </c>
      <c r="AM769" s="2">
        <f t="shared" ca="1" si="719"/>
        <v>6330.7200195994228</v>
      </c>
      <c r="AN769" s="2">
        <f t="shared" ca="1" si="720"/>
        <v>6411.0017798899116</v>
      </c>
      <c r="AO769" s="2">
        <f t="shared" ca="1" si="721"/>
        <v>6492.3016172736143</v>
      </c>
      <c r="AP769" s="2">
        <f t="shared" ca="1" si="722"/>
        <v>2019581.4552367055</v>
      </c>
      <c r="AQ769" s="2">
        <f t="shared" ca="1" si="723"/>
        <v>822330.67592153256</v>
      </c>
      <c r="AR769" s="2">
        <f t="shared" ca="1" si="724"/>
        <v>866035.66897329409</v>
      </c>
      <c r="AS769" s="2">
        <f t="shared" ca="1" si="725"/>
        <v>883676.96597358712</v>
      </c>
      <c r="AT769" s="2">
        <f t="shared" ca="1" si="726"/>
        <v>901541.97755493969</v>
      </c>
      <c r="AU769" s="2">
        <f t="shared" ca="1" si="727"/>
        <v>919633.54070908681</v>
      </c>
      <c r="AV769" s="2">
        <f t="shared" ca="1" si="728"/>
        <v>2340479.6160843619</v>
      </c>
      <c r="AW769" s="2">
        <f t="shared" ca="1" si="729"/>
        <v>2458619.306567227</v>
      </c>
      <c r="AX769" s="2">
        <f t="shared" ca="1" si="730"/>
        <v>2508749.8754436872</v>
      </c>
      <c r="AY769" s="2">
        <f t="shared" ca="1" si="731"/>
        <v>2559516.165107246</v>
      </c>
      <c r="AZ769" s="2">
        <f t="shared" ca="1" si="732"/>
        <v>2610926.2373239729</v>
      </c>
      <c r="BA769" s="2">
        <f t="shared" ca="1" si="733"/>
        <v>43741643.671289928</v>
      </c>
      <c r="BB769" s="2">
        <f t="shared" ca="1" si="734"/>
        <v>874832.87342579861</v>
      </c>
      <c r="BC769" s="2">
        <f t="shared" ca="1" si="735"/>
        <v>20427016.850789621</v>
      </c>
      <c r="BD769" s="2">
        <f t="shared" ca="1" si="736"/>
        <v>-16394854.045844443</v>
      </c>
      <c r="BE769" s="2">
        <f t="shared" ca="1" si="737"/>
        <v>2340479.6160843619</v>
      </c>
      <c r="BF769" s="2">
        <f t="shared" ca="1" si="738"/>
        <v>2458619.306567227</v>
      </c>
      <c r="BG769" s="2">
        <f t="shared" ca="1" si="739"/>
        <v>2508749.8754436872</v>
      </c>
      <c r="BH769" s="2">
        <f t="shared" ca="1" si="740"/>
        <v>2559516.165107246</v>
      </c>
      <c r="BI769" s="2">
        <f t="shared" ca="1" si="741"/>
        <v>23037943.088113595</v>
      </c>
      <c r="BJ769" s="2">
        <f t="shared" ca="1" si="742"/>
        <v>0.1849306563903903</v>
      </c>
      <c r="BK769" s="2">
        <f t="shared" ca="1" si="743"/>
        <v>4139501.1671647169</v>
      </c>
    </row>
    <row r="770" spans="1:63" x14ac:dyDescent="0.3">
      <c r="A770" s="2">
        <v>769</v>
      </c>
      <c r="B770" s="2">
        <f t="shared" ref="B770:B833" ca="1" si="744">RAND()</f>
        <v>0.5577624742819729</v>
      </c>
      <c r="C770" s="2">
        <f t="shared" ref="C770:C833" ca="1" si="745">IF(B770&lt;((P_Mode)-(P_Low))/((P_High)-(P_Low)), (P_Low)+SQRT(B770*((P_High)-(P_Low))*((P_Mode)-(P_Low))), (P_High)-SQRT((1-B770)*((P_High)-(P_Low))*((P_High)-(P_Mode))))</f>
        <v>7.0595346622888995</v>
      </c>
      <c r="D770" s="2">
        <f t="shared" ref="D770:D833" ca="1" si="746">RAND()</f>
        <v>0.45182858889438349</v>
      </c>
      <c r="E770" s="2">
        <f t="shared" ref="E770:E833" ca="1" si="747">IF(D770&lt;((X_Mode)-(X_Low))/((X_High)-(X_Low)), (X_Low)+SQRT(D770*((X_High)-(X_Low))*((X_Mode)-(X_Low))), (X_High)-SQRT((1-D770)*((X_High)-(X_Low))*((X_High)-(X_Mode))))</f>
        <v>7.4506088458397421</v>
      </c>
      <c r="F770" s="2">
        <f t="shared" ref="F770:F833" ca="1" si="748">RAND()</f>
        <v>0.64485752379288019</v>
      </c>
      <c r="G770" s="2">
        <f t="shared" ref="G770:G833" ca="1" si="749">NORMINV(F770, g_Mean, g_SD)</f>
        <v>5.1144202490836815E-2</v>
      </c>
      <c r="H770" s="2">
        <f t="shared" ref="H770:H833" ca="1" si="750">MIN(MAX(G770, g_Min), g_Max)</f>
        <v>5.1144202490836815E-2</v>
      </c>
      <c r="I770" s="2">
        <f t="shared" ref="I770:I833" ca="1" si="751">RAND()</f>
        <v>0.50681752731642571</v>
      </c>
      <c r="J770" s="2">
        <f t="shared" ref="J770:J833" ca="1" si="752">NORMINV(I770, syn_Mean, syn_SD)</f>
        <v>1.0085449192908557E-2</v>
      </c>
      <c r="K770" s="2">
        <f t="shared" ref="K770:K833" ca="1" si="753">MIN(MAX(J770, syn_Min), syn_Max)</f>
        <v>1.0085449192908557E-2</v>
      </c>
      <c r="L770" s="2">
        <f t="shared" ref="L770:L833" ca="1" si="754">RAND()</f>
        <v>0.66424329494782774</v>
      </c>
      <c r="M770" s="2">
        <f t="shared" ref="M770:M833" ca="1" si="755">NORMINV(L770, shk_Mean, shk_SD)</f>
        <v>8.4814371168938502E-3</v>
      </c>
      <c r="N770" s="2">
        <f t="shared" ref="N770:N833" ca="1" si="756">MIN(MAX(M770, shk_Min), shk_Max)</f>
        <v>8.4814371168938502E-3</v>
      </c>
      <c r="O770" s="2">
        <f t="shared" ref="O770:O833" si="757">BaseRev*BaseMargin</f>
        <v>6000000</v>
      </c>
      <c r="P770" s="2">
        <f t="shared" ref="P770:P833" ca="1" si="758">O770*C770</f>
        <v>42357207.973733395</v>
      </c>
      <c r="Q770" s="2">
        <f t="shared" ref="Q770:Q833" ca="1" si="759">P770*TxnCostPct</f>
        <v>1058930.1993433349</v>
      </c>
      <c r="R770" s="2">
        <f t="shared" ref="R770:R833" ca="1" si="760">P770*DebtPct</f>
        <v>25414324.784240037</v>
      </c>
      <c r="S770" s="2">
        <f t="shared" ref="S770:S833" ca="1" si="761">P770*EqPct</f>
        <v>16942883.189493358</v>
      </c>
      <c r="T770" s="2">
        <f t="shared" ref="T770:T833" ca="1" si="762">BaseRev*(1+N770)</f>
        <v>50424071.855844684</v>
      </c>
      <c r="U770" s="2">
        <f t="shared" ref="U770:U833" ca="1" si="763">T770*(1+H770)</f>
        <v>53002970.797252513</v>
      </c>
      <c r="V770" s="2">
        <f t="shared" ref="V770:V833" ca="1" si="764">U770*(1+H770)</f>
        <v>55713765.468323112</v>
      </c>
      <c r="W770" s="2">
        <f t="shared" ref="W770:W833" ca="1" si="765">V770*(1+H770)</f>
        <v>58563201.570962019</v>
      </c>
      <c r="X770" s="2">
        <f t="shared" ref="X770:X833" ca="1" si="766">W770*(1+H770)</f>
        <v>61558369.810618997</v>
      </c>
      <c r="Y770" s="2">
        <f t="shared" ref="Y770:Y833" ca="1" si="767">BaseMargin + SynReal_Y1*K770</f>
        <v>0.12504272459645427</v>
      </c>
      <c r="Z770" s="2">
        <f t="shared" ref="Z770:Z833" ca="1" si="768">BaseMargin + SynReal_Y2toY5*K770</f>
        <v>0.12705981443503597</v>
      </c>
      <c r="AA770" s="2">
        <f t="shared" ref="AA770:AA833" ca="1" si="769">T770*Y770</f>
        <v>6305163.3301022071</v>
      </c>
      <c r="AB770" s="2">
        <f t="shared" ref="AB770:AB833" ca="1" si="770">U770*Z770</f>
        <v>6734547.6340045352</v>
      </c>
      <c r="AC770" s="2">
        <f t="shared" ref="AC770:AC833" ca="1" si="771">V770*Z770</f>
        <v>7078980.7018822497</v>
      </c>
      <c r="AD770" s="2">
        <f t="shared" ref="AD770:AD833" ca="1" si="772">W770*Z770</f>
        <v>7441029.5243280409</v>
      </c>
      <c r="AE770" s="2">
        <f t="shared" ref="AE770:AE833" ca="1" si="773">X770*Z770</f>
        <v>7821595.0450605704</v>
      </c>
      <c r="AF770" s="2">
        <f t="shared" ref="AF770:AF833" ca="1" si="774">T770*CapexPct</f>
        <v>1008481.4371168937</v>
      </c>
      <c r="AG770" s="2">
        <f t="shared" ref="AG770:AG833" ca="1" si="775">U770*CapexPct</f>
        <v>1060059.4159450503</v>
      </c>
      <c r="AH770" s="2">
        <f t="shared" ref="AH770:AH833" ca="1" si="776">V770*CapexPct</f>
        <v>1114275.3093664623</v>
      </c>
      <c r="AI770" s="2">
        <f t="shared" ref="AI770:AI833" ca="1" si="777">W770*CapexPct</f>
        <v>1171264.0314192404</v>
      </c>
      <c r="AJ770" s="2">
        <f t="shared" ref="AJ770:AJ833" ca="1" si="778">X770*CapexPct</f>
        <v>1231167.3962123799</v>
      </c>
      <c r="AK770" s="2">
        <f t="shared" ref="AK770:AK833" ca="1" si="779">MAX(T770-BaseRev*(1+N770),0)*WCPct</f>
        <v>0</v>
      </c>
      <c r="AL770" s="2">
        <f t="shared" ref="AL770:AL833" ca="1" si="780">MAX(U770-T770,0)*WCPct</f>
        <v>25788.989414078296</v>
      </c>
      <c r="AM770" s="2">
        <f t="shared" ref="AM770:AM833" ca="1" si="781">MAX(V770-U770,0)*WCPct</f>
        <v>27107.946710705983</v>
      </c>
      <c r="AN770" s="2">
        <f t="shared" ref="AN770:AN833" ca="1" si="782">MAX(W770-V770,0)*WCPct</f>
        <v>28494.361026389077</v>
      </c>
      <c r="AO770" s="2">
        <f t="shared" ref="AO770:AO833" ca="1" si="783">MAX(X770-W770,0)*WCPct</f>
        <v>29951.682396569773</v>
      </c>
      <c r="AP770" s="2">
        <f t="shared" ref="AP770:AP833" ca="1" si="784">R770*DebtRate</f>
        <v>2287289.2305816035</v>
      </c>
      <c r="AQ770" s="2">
        <f t="shared" ref="AQ770:AQ833" ca="1" si="785">MAX(AA770-AF770-AP770,0)*Tax</f>
        <v>782442.09222496452</v>
      </c>
      <c r="AR770" s="2">
        <f t="shared" ref="AR770:AR833" ca="1" si="786">MAX(AB770-AG770-AP770,0)*Tax</f>
        <v>880671.73674424924</v>
      </c>
      <c r="AS770" s="2">
        <f t="shared" ref="AS770:AS833" ca="1" si="787">MAX(AC770-AH770-AP770,0)*Tax</f>
        <v>956128.20210288803</v>
      </c>
      <c r="AT770" s="2">
        <f t="shared" ref="AT770:AT833" ca="1" si="788">MAX(AD770-AI770-AP770,0)*Tax</f>
        <v>1035443.8282050712</v>
      </c>
      <c r="AU770" s="2">
        <f t="shared" ref="AU770:AU833" ca="1" si="789">MAX(AE770-AJ770-AP770,0)*Tax</f>
        <v>1118815.9887493127</v>
      </c>
      <c r="AV770" s="2">
        <f t="shared" ref="AV770:AV833" ca="1" si="790">AA770-AF770-AK770-AQ770-AP770</f>
        <v>2226950.5701787448</v>
      </c>
      <c r="AW770" s="2">
        <f t="shared" ref="AW770:AW833" ca="1" si="791">AB770-AG770-AL770-AR770-AP770</f>
        <v>2480738.2613195539</v>
      </c>
      <c r="AX770" s="2">
        <f t="shared" ref="AX770:AX833" ca="1" si="792">AC770-AH770-AM770-AS770-AP770</f>
        <v>2694180.0131205902</v>
      </c>
      <c r="AY770" s="2">
        <f t="shared" ref="AY770:AY833" ca="1" si="793">AD770-AI770-AN770-AT770-AP770</f>
        <v>2918538.0730957356</v>
      </c>
      <c r="AZ770" s="2">
        <f t="shared" ref="AZ770:AZ833" ca="1" si="794">AE770-AJ770-AO770-AU770-AP770</f>
        <v>3154370.747120705</v>
      </c>
      <c r="BA770" s="2">
        <f t="shared" ref="BA770:BA833" ca="1" si="795">AE770*E770</f>
        <v>58275645.231304578</v>
      </c>
      <c r="BB770" s="2">
        <f t="shared" ref="BB770:BB833" ca="1" si="796">BA770*SellCostPct</f>
        <v>1165512.9046260917</v>
      </c>
      <c r="BC770" s="2">
        <f t="shared" ref="BC770:BC833" ca="1" si="797">BA770-R770-BB770</f>
        <v>31695807.542438451</v>
      </c>
      <c r="BD770" s="2">
        <f t="shared" ref="BD770:BD833" ca="1" si="798">-S770-Q770-IntegrationPct*BaseRev</f>
        <v>-18501813.388836693</v>
      </c>
      <c r="BE770" s="2">
        <f t="shared" ref="BE770:BE833" ca="1" si="799">AV770</f>
        <v>2226950.5701787448</v>
      </c>
      <c r="BF770" s="2">
        <f t="shared" ref="BF770:BF833" ca="1" si="800">AW770</f>
        <v>2480738.2613195539</v>
      </c>
      <c r="BG770" s="2">
        <f t="shared" ref="BG770:BG833" ca="1" si="801">AX770</f>
        <v>2694180.0131205902</v>
      </c>
      <c r="BH770" s="2">
        <f t="shared" ref="BH770:BH833" ca="1" si="802">AY770</f>
        <v>2918538.0730957356</v>
      </c>
      <c r="BI770" s="2">
        <f t="shared" ref="BI770:BI833" ca="1" si="803">AZ770+BC770</f>
        <v>34850178.289559156</v>
      </c>
      <c r="BJ770" s="2">
        <f t="shared" ref="BJ770:BJ833" ca="1" si="804">IF(MIN(BD770:BI770)*MAX(BD770:BI770)&gt;=0, "", IFERROR(IRR(BD770:BI770,0.12), IFERROR(IRR(BD770:BI770,0.5), IFERROR(IRR(BD770:BI770,-0.5),""))))</f>
        <v>0.23080899981657255</v>
      </c>
      <c r="BK770" s="2">
        <f t="shared" ref="BK770:BK833" ca="1" si="805">NPV(12%,BE770:BI770)+BD770</f>
        <v>9011539.6017028876</v>
      </c>
    </row>
    <row r="771" spans="1:63" x14ac:dyDescent="0.3">
      <c r="A771" s="2">
        <v>770</v>
      </c>
      <c r="B771" s="2">
        <f t="shared" ca="1" si="744"/>
        <v>0.73445922886368575</v>
      </c>
      <c r="C771" s="2">
        <f t="shared" ca="1" si="745"/>
        <v>7.2712465833544044</v>
      </c>
      <c r="D771" s="2">
        <f t="shared" ca="1" si="746"/>
        <v>0.98713635828097845</v>
      </c>
      <c r="E771" s="2">
        <f t="shared" ca="1" si="747"/>
        <v>8.3396027324483271</v>
      </c>
      <c r="F771" s="2">
        <f t="shared" ca="1" si="748"/>
        <v>0.68201676943307288</v>
      </c>
      <c r="G771" s="2">
        <f t="shared" ca="1" si="749"/>
        <v>5.4200375278728029E-2</v>
      </c>
      <c r="H771" s="2">
        <f t="shared" ca="1" si="750"/>
        <v>5.4200375278728029E-2</v>
      </c>
      <c r="I771" s="2">
        <f t="shared" ca="1" si="751"/>
        <v>0.84446852655301496</v>
      </c>
      <c r="J771" s="2">
        <f t="shared" ca="1" si="752"/>
        <v>1.5064970836874282E-2</v>
      </c>
      <c r="K771" s="2">
        <f t="shared" ca="1" si="753"/>
        <v>1.5064970836874282E-2</v>
      </c>
      <c r="L771" s="2">
        <f t="shared" ca="1" si="754"/>
        <v>9.1333656566814136E-2</v>
      </c>
      <c r="M771" s="2">
        <f t="shared" ca="1" si="755"/>
        <v>-2.6651743686043949E-2</v>
      </c>
      <c r="N771" s="2">
        <f t="shared" ca="1" si="756"/>
        <v>-2.6651743686043949E-2</v>
      </c>
      <c r="O771" s="2">
        <f t="shared" si="757"/>
        <v>6000000</v>
      </c>
      <c r="P771" s="2">
        <f t="shared" ca="1" si="758"/>
        <v>43627479.500126429</v>
      </c>
      <c r="Q771" s="2">
        <f t="shared" ca="1" si="759"/>
        <v>1090686.9875031607</v>
      </c>
      <c r="R771" s="2">
        <f t="shared" ca="1" si="760"/>
        <v>26176487.700075857</v>
      </c>
      <c r="S771" s="2">
        <f t="shared" ca="1" si="761"/>
        <v>17450991.800050572</v>
      </c>
      <c r="T771" s="2">
        <f t="shared" ca="1" si="762"/>
        <v>48667412.815697804</v>
      </c>
      <c r="U771" s="2">
        <f t="shared" ca="1" si="763"/>
        <v>51305204.85415341</v>
      </c>
      <c r="V771" s="2">
        <f t="shared" ca="1" si="764"/>
        <v>54085966.211000547</v>
      </c>
      <c r="W771" s="2">
        <f t="shared" ca="1" si="765"/>
        <v>57017445.876949385</v>
      </c>
      <c r="X771" s="2">
        <f t="shared" ca="1" si="766"/>
        <v>60107812.840914607</v>
      </c>
      <c r="Y771" s="2">
        <f t="shared" ca="1" si="767"/>
        <v>0.12753248541843715</v>
      </c>
      <c r="Z771" s="2">
        <f t="shared" ca="1" si="768"/>
        <v>0.130545479585812</v>
      </c>
      <c r="AA771" s="2">
        <f t="shared" ca="1" si="769"/>
        <v>6206676.1152710412</v>
      </c>
      <c r="AB771" s="2">
        <f t="shared" ca="1" si="770"/>
        <v>6697662.5729337865</v>
      </c>
      <c r="AC771" s="2">
        <f t="shared" ca="1" si="771"/>
        <v>7060678.3978770897</v>
      </c>
      <c r="AD771" s="2">
        <f t="shared" ca="1" si="772"/>
        <v>7443369.8167644367</v>
      </c>
      <c r="AE771" s="2">
        <f t="shared" ca="1" si="773"/>
        <v>7846803.2541714264</v>
      </c>
      <c r="AF771" s="2">
        <f t="shared" ca="1" si="774"/>
        <v>973348.25631395611</v>
      </c>
      <c r="AG771" s="2">
        <f t="shared" ca="1" si="775"/>
        <v>1026104.0970830682</v>
      </c>
      <c r="AH771" s="2">
        <f t="shared" ca="1" si="776"/>
        <v>1081719.324220011</v>
      </c>
      <c r="AI771" s="2">
        <f t="shared" ca="1" si="777"/>
        <v>1140348.9175389877</v>
      </c>
      <c r="AJ771" s="2">
        <f t="shared" ca="1" si="778"/>
        <v>1202156.2568182922</v>
      </c>
      <c r="AK771" s="2">
        <f t="shared" ca="1" si="779"/>
        <v>0</v>
      </c>
      <c r="AL771" s="2">
        <f t="shared" ca="1" si="780"/>
        <v>26377.920384556055</v>
      </c>
      <c r="AM771" s="2">
        <f t="shared" ca="1" si="781"/>
        <v>27807.613568471374</v>
      </c>
      <c r="AN771" s="2">
        <f t="shared" ca="1" si="782"/>
        <v>29314.79665948838</v>
      </c>
      <c r="AO771" s="2">
        <f t="shared" ca="1" si="783"/>
        <v>30903.669639652224</v>
      </c>
      <c r="AP771" s="2">
        <f t="shared" ca="1" si="784"/>
        <v>2355883.8930068272</v>
      </c>
      <c r="AQ771" s="2">
        <f t="shared" ca="1" si="785"/>
        <v>748135.43114706699</v>
      </c>
      <c r="AR771" s="2">
        <f t="shared" ca="1" si="786"/>
        <v>862075.39153941162</v>
      </c>
      <c r="AS771" s="2">
        <f t="shared" ca="1" si="787"/>
        <v>941999.54696906544</v>
      </c>
      <c r="AT771" s="2">
        <f t="shared" ca="1" si="788"/>
        <v>1026255.6216168418</v>
      </c>
      <c r="AU771" s="2">
        <f t="shared" ca="1" si="789"/>
        <v>1115078.4071300398</v>
      </c>
      <c r="AV771" s="2">
        <f t="shared" ca="1" si="790"/>
        <v>2129308.5348031907</v>
      </c>
      <c r="AW771" s="2">
        <f t="shared" ca="1" si="791"/>
        <v>2427221.2709199232</v>
      </c>
      <c r="AX771" s="2">
        <f t="shared" ca="1" si="792"/>
        <v>2653268.0201127143</v>
      </c>
      <c r="AY771" s="2">
        <f t="shared" ca="1" si="793"/>
        <v>2891566.5879422915</v>
      </c>
      <c r="AZ771" s="2">
        <f t="shared" ca="1" si="794"/>
        <v>3142781.0275766146</v>
      </c>
      <c r="BA771" s="2">
        <f t="shared" ca="1" si="795"/>
        <v>65439221.859472454</v>
      </c>
      <c r="BB771" s="2">
        <f t="shared" ca="1" si="796"/>
        <v>1308784.4371894491</v>
      </c>
      <c r="BC771" s="2">
        <f t="shared" ca="1" si="797"/>
        <v>37953949.722207144</v>
      </c>
      <c r="BD771" s="2">
        <f t="shared" ca="1" si="798"/>
        <v>-19041678.787553731</v>
      </c>
      <c r="BE771" s="2">
        <f t="shared" ca="1" si="799"/>
        <v>2129308.5348031907</v>
      </c>
      <c r="BF771" s="2">
        <f t="shared" ca="1" si="800"/>
        <v>2427221.2709199232</v>
      </c>
      <c r="BG771" s="2">
        <f t="shared" ca="1" si="801"/>
        <v>2653268.0201127143</v>
      </c>
      <c r="BH771" s="2">
        <f t="shared" ca="1" si="802"/>
        <v>2891566.5879422915</v>
      </c>
      <c r="BI771" s="2">
        <f t="shared" ca="1" si="803"/>
        <v>41096730.749783762</v>
      </c>
      <c r="BJ771" s="2">
        <f t="shared" ca="1" si="804"/>
        <v>0.25349572011393318</v>
      </c>
      <c r="BK771" s="2">
        <f t="shared" ca="1" si="805"/>
        <v>11840030.80381453</v>
      </c>
    </row>
    <row r="772" spans="1:63" x14ac:dyDescent="0.3">
      <c r="A772" s="2">
        <v>771</v>
      </c>
      <c r="B772" s="2">
        <f t="shared" ca="1" si="744"/>
        <v>0.80904828221518621</v>
      </c>
      <c r="C772" s="2">
        <f t="shared" ca="1" si="745"/>
        <v>7.3820166381126207</v>
      </c>
      <c r="D772" s="2">
        <f t="shared" ca="1" si="746"/>
        <v>0.33907879338382074</v>
      </c>
      <c r="E772" s="2">
        <f t="shared" ca="1" si="747"/>
        <v>7.3235032402897033</v>
      </c>
      <c r="F772" s="2">
        <f t="shared" ca="1" si="748"/>
        <v>0.96516457415499235</v>
      </c>
      <c r="G772" s="2">
        <f t="shared" ca="1" si="749"/>
        <v>9.4421339543778446E-2</v>
      </c>
      <c r="H772" s="2">
        <f t="shared" ca="1" si="750"/>
        <v>9.4421339543778446E-2</v>
      </c>
      <c r="I772" s="2">
        <f t="shared" ca="1" si="751"/>
        <v>1.1763903349957472E-2</v>
      </c>
      <c r="J772" s="2">
        <f t="shared" ca="1" si="752"/>
        <v>-1.3237678004869042E-3</v>
      </c>
      <c r="K772" s="2">
        <f t="shared" ca="1" si="753"/>
        <v>0</v>
      </c>
      <c r="L772" s="2">
        <f t="shared" ca="1" si="754"/>
        <v>0.44456841643800149</v>
      </c>
      <c r="M772" s="2">
        <f t="shared" ca="1" si="755"/>
        <v>-2.7879301285436728E-3</v>
      </c>
      <c r="N772" s="2">
        <f t="shared" ca="1" si="756"/>
        <v>-2.7879301285436728E-3</v>
      </c>
      <c r="O772" s="2">
        <f t="shared" si="757"/>
        <v>6000000</v>
      </c>
      <c r="P772" s="2">
        <f t="shared" ca="1" si="758"/>
        <v>44292099.828675725</v>
      </c>
      <c r="Q772" s="2">
        <f t="shared" ca="1" si="759"/>
        <v>1107302.4957168931</v>
      </c>
      <c r="R772" s="2">
        <f t="shared" ca="1" si="760"/>
        <v>26575259.897205435</v>
      </c>
      <c r="S772" s="2">
        <f t="shared" ca="1" si="761"/>
        <v>17716839.93147029</v>
      </c>
      <c r="T772" s="2">
        <f t="shared" ca="1" si="762"/>
        <v>49860603.493572816</v>
      </c>
      <c r="U772" s="2">
        <f t="shared" ca="1" si="763"/>
        <v>54568508.465897165</v>
      </c>
      <c r="V772" s="2">
        <f t="shared" ca="1" si="764"/>
        <v>59720940.132153191</v>
      </c>
      <c r="W772" s="2">
        <f t="shared" ca="1" si="765"/>
        <v>65359871.298244894</v>
      </c>
      <c r="X772" s="2">
        <f t="shared" ca="1" si="766"/>
        <v>71531237.898634136</v>
      </c>
      <c r="Y772" s="2">
        <f t="shared" ca="1" si="767"/>
        <v>0.12</v>
      </c>
      <c r="Z772" s="2">
        <f t="shared" ca="1" si="768"/>
        <v>0.12</v>
      </c>
      <c r="AA772" s="2">
        <f t="shared" ca="1" si="769"/>
        <v>5983272.4192287382</v>
      </c>
      <c r="AB772" s="2">
        <f t="shared" ca="1" si="770"/>
        <v>6548221.0159076592</v>
      </c>
      <c r="AC772" s="2">
        <f t="shared" ca="1" si="771"/>
        <v>7166512.8158583827</v>
      </c>
      <c r="AD772" s="2">
        <f t="shared" ca="1" si="772"/>
        <v>7843184.5557893869</v>
      </c>
      <c r="AE772" s="2">
        <f t="shared" ca="1" si="773"/>
        <v>8583748.5478360951</v>
      </c>
      <c r="AF772" s="2">
        <f t="shared" ca="1" si="774"/>
        <v>997212.06987145636</v>
      </c>
      <c r="AG772" s="2">
        <f t="shared" ca="1" si="775"/>
        <v>1091370.1693179433</v>
      </c>
      <c r="AH772" s="2">
        <f t="shared" ca="1" si="776"/>
        <v>1194418.8026430639</v>
      </c>
      <c r="AI772" s="2">
        <f t="shared" ca="1" si="777"/>
        <v>1307197.425964898</v>
      </c>
      <c r="AJ772" s="2">
        <f t="shared" ca="1" si="778"/>
        <v>1430624.7579726828</v>
      </c>
      <c r="AK772" s="2">
        <f t="shared" ca="1" si="779"/>
        <v>0</v>
      </c>
      <c r="AL772" s="2">
        <f t="shared" ca="1" si="780"/>
        <v>47079.049723243494</v>
      </c>
      <c r="AM772" s="2">
        <f t="shared" ca="1" si="781"/>
        <v>51524.316662560253</v>
      </c>
      <c r="AN772" s="2">
        <f t="shared" ca="1" si="782"/>
        <v>56389.311660917032</v>
      </c>
      <c r="AO772" s="2">
        <f t="shared" ca="1" si="783"/>
        <v>61713.666003892424</v>
      </c>
      <c r="AP772" s="2">
        <f t="shared" ca="1" si="784"/>
        <v>2391773.3907484892</v>
      </c>
      <c r="AQ772" s="2">
        <f t="shared" ca="1" si="785"/>
        <v>674514.60923828615</v>
      </c>
      <c r="AR772" s="2">
        <f t="shared" ca="1" si="786"/>
        <v>796920.138518719</v>
      </c>
      <c r="AS772" s="2">
        <f t="shared" ca="1" si="787"/>
        <v>930883.36184137559</v>
      </c>
      <c r="AT772" s="2">
        <f t="shared" ca="1" si="788"/>
        <v>1077495.5721597602</v>
      </c>
      <c r="AU772" s="2">
        <f t="shared" ca="1" si="789"/>
        <v>1237951.1037698803</v>
      </c>
      <c r="AV772" s="2">
        <f t="shared" ca="1" si="790"/>
        <v>1919772.3493705061</v>
      </c>
      <c r="AW772" s="2">
        <f t="shared" ca="1" si="791"/>
        <v>2221078.2675992646</v>
      </c>
      <c r="AX772" s="2">
        <f t="shared" ca="1" si="792"/>
        <v>2597912.943962893</v>
      </c>
      <c r="AY772" s="2">
        <f t="shared" ca="1" si="793"/>
        <v>3010328.855255323</v>
      </c>
      <c r="AZ772" s="2">
        <f t="shared" ca="1" si="794"/>
        <v>3461685.6293411502</v>
      </c>
      <c r="BA772" s="2">
        <f t="shared" ca="1" si="795"/>
        <v>62863110.303909682</v>
      </c>
      <c r="BB772" s="2">
        <f t="shared" ca="1" si="796"/>
        <v>1257262.2060781936</v>
      </c>
      <c r="BC772" s="2">
        <f t="shared" ca="1" si="797"/>
        <v>35030588.200626053</v>
      </c>
      <c r="BD772" s="2">
        <f t="shared" ca="1" si="798"/>
        <v>-19324142.427187182</v>
      </c>
      <c r="BE772" s="2">
        <f t="shared" ca="1" si="799"/>
        <v>1919772.3493705061</v>
      </c>
      <c r="BF772" s="2">
        <f t="shared" ca="1" si="800"/>
        <v>2221078.2675992646</v>
      </c>
      <c r="BG772" s="2">
        <f t="shared" ca="1" si="801"/>
        <v>2597912.943962893</v>
      </c>
      <c r="BH772" s="2">
        <f t="shared" ca="1" si="802"/>
        <v>3010328.855255323</v>
      </c>
      <c r="BI772" s="2">
        <f t="shared" ca="1" si="803"/>
        <v>38492273.829967201</v>
      </c>
      <c r="BJ772" s="2">
        <f t="shared" ca="1" si="804"/>
        <v>0.23132694086153194</v>
      </c>
      <c r="BK772" s="2">
        <f t="shared" ca="1" si="805"/>
        <v>9764381.4614073336</v>
      </c>
    </row>
    <row r="773" spans="1:63" x14ac:dyDescent="0.3">
      <c r="A773" s="2">
        <v>772</v>
      </c>
      <c r="B773" s="2">
        <f t="shared" ca="1" si="744"/>
        <v>0.3761301616584285</v>
      </c>
      <c r="C773" s="2">
        <f t="shared" ca="1" si="745"/>
        <v>6.8673294202993791</v>
      </c>
      <c r="D773" s="2">
        <f t="shared" ca="1" si="746"/>
        <v>0.37753247467353279</v>
      </c>
      <c r="E773" s="2">
        <f t="shared" ca="1" si="747"/>
        <v>7.3689447331948479</v>
      </c>
      <c r="F773" s="2">
        <f t="shared" ca="1" si="748"/>
        <v>0.87501767060805913</v>
      </c>
      <c r="G773" s="2">
        <f t="shared" ca="1" si="749"/>
        <v>7.4513056758991975E-2</v>
      </c>
      <c r="H773" s="2">
        <f t="shared" ca="1" si="750"/>
        <v>7.4513056758991975E-2</v>
      </c>
      <c r="I773" s="2">
        <f t="shared" ca="1" si="751"/>
        <v>0.7356738259586818</v>
      </c>
      <c r="J773" s="2">
        <f t="shared" ca="1" si="752"/>
        <v>1.3150322781640827E-2</v>
      </c>
      <c r="K773" s="2">
        <f t="shared" ca="1" si="753"/>
        <v>1.3150322781640827E-2</v>
      </c>
      <c r="L773" s="2">
        <f t="shared" ca="1" si="754"/>
        <v>0.28479903211558155</v>
      </c>
      <c r="M773" s="2">
        <f t="shared" ca="1" si="755"/>
        <v>-1.1372870990729035E-2</v>
      </c>
      <c r="N773" s="2">
        <f t="shared" ca="1" si="756"/>
        <v>-1.1372870990729035E-2</v>
      </c>
      <c r="O773" s="2">
        <f t="shared" si="757"/>
        <v>6000000</v>
      </c>
      <c r="P773" s="2">
        <f t="shared" ca="1" si="758"/>
        <v>41203976.521796271</v>
      </c>
      <c r="Q773" s="2">
        <f t="shared" ca="1" si="759"/>
        <v>1030099.4130449068</v>
      </c>
      <c r="R773" s="2">
        <f t="shared" ca="1" si="760"/>
        <v>24722385.91307776</v>
      </c>
      <c r="S773" s="2">
        <f t="shared" ca="1" si="761"/>
        <v>16481590.608718509</v>
      </c>
      <c r="T773" s="2">
        <f t="shared" ca="1" si="762"/>
        <v>49431356.450463548</v>
      </c>
      <c r="U773" s="2">
        <f t="shared" ca="1" si="763"/>
        <v>53114637.919330902</v>
      </c>
      <c r="V773" s="2">
        <f t="shared" ca="1" si="764"/>
        <v>57072371.949347317</v>
      </c>
      <c r="W773" s="2">
        <f t="shared" ca="1" si="765"/>
        <v>61325008.83977934</v>
      </c>
      <c r="X773" s="2">
        <f t="shared" ca="1" si="766"/>
        <v>65894522.704203501</v>
      </c>
      <c r="Y773" s="2">
        <f t="shared" ca="1" si="767"/>
        <v>0.12657516139082042</v>
      </c>
      <c r="Z773" s="2">
        <f t="shared" ca="1" si="768"/>
        <v>0.12920522594714856</v>
      </c>
      <c r="AA773" s="2">
        <f t="shared" ca="1" si="769"/>
        <v>6256781.9204845959</v>
      </c>
      <c r="AB773" s="2">
        <f t="shared" ca="1" si="770"/>
        <v>6862688.7934681335</v>
      </c>
      <c r="AC773" s="2">
        <f t="shared" ca="1" si="771"/>
        <v>7374048.7130551236</v>
      </c>
      <c r="AD773" s="2">
        <f t="shared" ca="1" si="772"/>
        <v>7923511.6233545728</v>
      </c>
      <c r="AE773" s="2">
        <f t="shared" ca="1" si="773"/>
        <v>8513916.6946761236</v>
      </c>
      <c r="AF773" s="2">
        <f t="shared" ca="1" si="774"/>
        <v>988627.12900927104</v>
      </c>
      <c r="AG773" s="2">
        <f t="shared" ca="1" si="775"/>
        <v>1062292.758386618</v>
      </c>
      <c r="AH773" s="2">
        <f t="shared" ca="1" si="776"/>
        <v>1141447.4389869464</v>
      </c>
      <c r="AI773" s="2">
        <f t="shared" ca="1" si="777"/>
        <v>1226500.1767955867</v>
      </c>
      <c r="AJ773" s="2">
        <f t="shared" ca="1" si="778"/>
        <v>1317890.4540840702</v>
      </c>
      <c r="AK773" s="2">
        <f t="shared" ca="1" si="779"/>
        <v>0</v>
      </c>
      <c r="AL773" s="2">
        <f t="shared" ca="1" si="780"/>
        <v>36832.814688673541</v>
      </c>
      <c r="AM773" s="2">
        <f t="shared" ca="1" si="781"/>
        <v>39577.340300164149</v>
      </c>
      <c r="AN773" s="2">
        <f t="shared" ca="1" si="782"/>
        <v>42526.368904320225</v>
      </c>
      <c r="AO773" s="2">
        <f t="shared" ca="1" si="783"/>
        <v>45695.138644241619</v>
      </c>
      <c r="AP773" s="2">
        <f t="shared" ca="1" si="784"/>
        <v>2225014.7321769982</v>
      </c>
      <c r="AQ773" s="2">
        <f t="shared" ca="1" si="785"/>
        <v>791216.41541756503</v>
      </c>
      <c r="AR773" s="2">
        <f t="shared" ca="1" si="786"/>
        <v>929599.13875517447</v>
      </c>
      <c r="AS773" s="2">
        <f t="shared" ca="1" si="787"/>
        <v>1041972.5008917064</v>
      </c>
      <c r="AT773" s="2">
        <f t="shared" ca="1" si="788"/>
        <v>1162719.1457393167</v>
      </c>
      <c r="AU773" s="2">
        <f t="shared" ca="1" si="789"/>
        <v>1292462.9921879142</v>
      </c>
      <c r="AV773" s="2">
        <f t="shared" ca="1" si="790"/>
        <v>2251923.6438807617</v>
      </c>
      <c r="AW773" s="2">
        <f t="shared" ca="1" si="791"/>
        <v>2608949.3494606693</v>
      </c>
      <c r="AX773" s="2">
        <f t="shared" ca="1" si="792"/>
        <v>2926036.7006993075</v>
      </c>
      <c r="AY773" s="2">
        <f t="shared" ca="1" si="793"/>
        <v>3266751.1997383502</v>
      </c>
      <c r="AZ773" s="2">
        <f t="shared" ca="1" si="794"/>
        <v>3632853.3775828988</v>
      </c>
      <c r="BA773" s="2">
        <f t="shared" ca="1" si="795"/>
        <v>62738581.586093307</v>
      </c>
      <c r="BB773" s="2">
        <f t="shared" ca="1" si="796"/>
        <v>1254771.6317218661</v>
      </c>
      <c r="BC773" s="2">
        <f t="shared" ca="1" si="797"/>
        <v>36761424.041293681</v>
      </c>
      <c r="BD773" s="2">
        <f t="shared" ca="1" si="798"/>
        <v>-18011690.021763414</v>
      </c>
      <c r="BE773" s="2">
        <f t="shared" ca="1" si="799"/>
        <v>2251923.6438807617</v>
      </c>
      <c r="BF773" s="2">
        <f t="shared" ca="1" si="800"/>
        <v>2608949.3494606693</v>
      </c>
      <c r="BG773" s="2">
        <f t="shared" ca="1" si="801"/>
        <v>2926036.7006993075</v>
      </c>
      <c r="BH773" s="2">
        <f t="shared" ca="1" si="802"/>
        <v>3266751.1997383502</v>
      </c>
      <c r="BI773" s="2">
        <f t="shared" ca="1" si="803"/>
        <v>40394277.418876581</v>
      </c>
      <c r="BJ773" s="2">
        <f t="shared" ca="1" si="804"/>
        <v>0.27492965164841898</v>
      </c>
      <c r="BK773" s="2">
        <f t="shared" ca="1" si="805"/>
        <v>13158366.934912398</v>
      </c>
    </row>
    <row r="774" spans="1:63" x14ac:dyDescent="0.3">
      <c r="A774" s="2">
        <v>773</v>
      </c>
      <c r="B774" s="2">
        <f t="shared" ca="1" si="744"/>
        <v>0.12102114882838788</v>
      </c>
      <c r="C774" s="2">
        <f t="shared" ca="1" si="745"/>
        <v>6.4919779442787817</v>
      </c>
      <c r="D774" s="2">
        <f t="shared" ca="1" si="746"/>
        <v>0.72943563692650293</v>
      </c>
      <c r="E774" s="2">
        <f t="shared" ca="1" si="747"/>
        <v>7.7643854772049465</v>
      </c>
      <c r="F774" s="2">
        <f t="shared" ca="1" si="748"/>
        <v>0.38601005593551019</v>
      </c>
      <c r="G774" s="2">
        <f t="shared" ca="1" si="749"/>
        <v>3.1307994455999182E-2</v>
      </c>
      <c r="H774" s="2">
        <f t="shared" ca="1" si="750"/>
        <v>3.1307994455999182E-2</v>
      </c>
      <c r="I774" s="2">
        <f t="shared" ca="1" si="751"/>
        <v>0.54877982374777745</v>
      </c>
      <c r="J774" s="2">
        <f t="shared" ca="1" si="752"/>
        <v>1.0612895833959003E-2</v>
      </c>
      <c r="K774" s="2">
        <f t="shared" ca="1" si="753"/>
        <v>1.0612895833959003E-2</v>
      </c>
      <c r="L774" s="2">
        <f t="shared" ca="1" si="754"/>
        <v>0.20024432093092104</v>
      </c>
      <c r="M774" s="2">
        <f t="shared" ca="1" si="755"/>
        <v>-1.6814977207077805E-2</v>
      </c>
      <c r="N774" s="2">
        <f t="shared" ca="1" si="756"/>
        <v>-1.6814977207077805E-2</v>
      </c>
      <c r="O774" s="2">
        <f t="shared" si="757"/>
        <v>6000000</v>
      </c>
      <c r="P774" s="2">
        <f t="shared" ca="1" si="758"/>
        <v>38951867.66567269</v>
      </c>
      <c r="Q774" s="2">
        <f t="shared" ca="1" si="759"/>
        <v>973796.69164181734</v>
      </c>
      <c r="R774" s="2">
        <f t="shared" ca="1" si="760"/>
        <v>23371120.599403612</v>
      </c>
      <c r="S774" s="2">
        <f t="shared" ca="1" si="761"/>
        <v>15580747.066269077</v>
      </c>
      <c r="T774" s="2">
        <f t="shared" ca="1" si="762"/>
        <v>49159251.139646113</v>
      </c>
      <c r="U774" s="2">
        <f t="shared" ca="1" si="763"/>
        <v>50698328.701787218</v>
      </c>
      <c r="V774" s="2">
        <f t="shared" ca="1" si="764"/>
        <v>52285591.695711188</v>
      </c>
      <c r="W774" s="2">
        <f t="shared" ca="1" si="765"/>
        <v>53922548.710649148</v>
      </c>
      <c r="X774" s="2">
        <f t="shared" ca="1" si="766"/>
        <v>55610755.566735491</v>
      </c>
      <c r="Y774" s="2">
        <f t="shared" ca="1" si="767"/>
        <v>0.12530644791697951</v>
      </c>
      <c r="Z774" s="2">
        <f t="shared" ca="1" si="768"/>
        <v>0.1274290270837713</v>
      </c>
      <c r="AA774" s="2">
        <f t="shared" ca="1" si="769"/>
        <v>6159971.1425677808</v>
      </c>
      <c r="AB774" s="2">
        <f t="shared" ca="1" si="770"/>
        <v>6460438.7012419831</v>
      </c>
      <c r="AC774" s="2">
        <f t="shared" ca="1" si="771"/>
        <v>6662702.080283789</v>
      </c>
      <c r="AD774" s="2">
        <f t="shared" ca="1" si="772"/>
        <v>6871297.9200752871</v>
      </c>
      <c r="AE774" s="2">
        <f t="shared" ca="1" si="773"/>
        <v>7086424.4772625221</v>
      </c>
      <c r="AF774" s="2">
        <f t="shared" ca="1" si="774"/>
        <v>983185.02279292233</v>
      </c>
      <c r="AG774" s="2">
        <f t="shared" ca="1" si="775"/>
        <v>1013966.5740357444</v>
      </c>
      <c r="AH774" s="2">
        <f t="shared" ca="1" si="776"/>
        <v>1045711.8339142238</v>
      </c>
      <c r="AI774" s="2">
        <f t="shared" ca="1" si="777"/>
        <v>1078450.9742129829</v>
      </c>
      <c r="AJ774" s="2">
        <f t="shared" ca="1" si="778"/>
        <v>1112215.1113347099</v>
      </c>
      <c r="AK774" s="2">
        <f t="shared" ca="1" si="779"/>
        <v>0</v>
      </c>
      <c r="AL774" s="2">
        <f t="shared" ca="1" si="780"/>
        <v>15390.775621411056</v>
      </c>
      <c r="AM774" s="2">
        <f t="shared" ca="1" si="781"/>
        <v>15872.629939239696</v>
      </c>
      <c r="AN774" s="2">
        <f t="shared" ca="1" si="782"/>
        <v>16369.570149379597</v>
      </c>
      <c r="AO774" s="2">
        <f t="shared" ca="1" si="783"/>
        <v>16882.068560863434</v>
      </c>
      <c r="AP774" s="2">
        <f t="shared" ca="1" si="784"/>
        <v>2103400.8539463249</v>
      </c>
      <c r="AQ774" s="2">
        <f t="shared" ca="1" si="785"/>
        <v>799080.1691154188</v>
      </c>
      <c r="AR774" s="2">
        <f t="shared" ca="1" si="786"/>
        <v>869198.53104757762</v>
      </c>
      <c r="AS774" s="2">
        <f t="shared" ca="1" si="787"/>
        <v>913533.24203004246</v>
      </c>
      <c r="AT774" s="2">
        <f t="shared" ca="1" si="788"/>
        <v>959255.98389815469</v>
      </c>
      <c r="AU774" s="2">
        <f t="shared" ca="1" si="789"/>
        <v>1006410.2131151865</v>
      </c>
      <c r="AV774" s="2">
        <f t="shared" ca="1" si="790"/>
        <v>2274305.096713115</v>
      </c>
      <c r="AW774" s="2">
        <f t="shared" ca="1" si="791"/>
        <v>2458481.9665909247</v>
      </c>
      <c r="AX774" s="2">
        <f t="shared" ca="1" si="792"/>
        <v>2584183.5204539583</v>
      </c>
      <c r="AY774" s="2">
        <f t="shared" ca="1" si="793"/>
        <v>2713820.5378684453</v>
      </c>
      <c r="AZ774" s="2">
        <f t="shared" ca="1" si="794"/>
        <v>2847516.2303054365</v>
      </c>
      <c r="BA774" s="2">
        <f t="shared" ca="1" si="795"/>
        <v>55021731.296566784</v>
      </c>
      <c r="BB774" s="2">
        <f t="shared" ca="1" si="796"/>
        <v>1100434.6259313356</v>
      </c>
      <c r="BC774" s="2">
        <f t="shared" ca="1" si="797"/>
        <v>30550176.071231835</v>
      </c>
      <c r="BD774" s="2">
        <f t="shared" ca="1" si="798"/>
        <v>-17054543.757910892</v>
      </c>
      <c r="BE774" s="2">
        <f t="shared" ca="1" si="799"/>
        <v>2274305.096713115</v>
      </c>
      <c r="BF774" s="2">
        <f t="shared" ca="1" si="800"/>
        <v>2458481.9665909247</v>
      </c>
      <c r="BG774" s="2">
        <f t="shared" ca="1" si="801"/>
        <v>2584183.5204539583</v>
      </c>
      <c r="BH774" s="2">
        <f t="shared" ca="1" si="802"/>
        <v>2713820.5378684453</v>
      </c>
      <c r="BI774" s="2">
        <f t="shared" ca="1" si="803"/>
        <v>33397692.301537272</v>
      </c>
      <c r="BJ774" s="2">
        <f t="shared" ca="1" si="804"/>
        <v>0.24486064344408676</v>
      </c>
      <c r="BK774" s="2">
        <f t="shared" ca="1" si="805"/>
        <v>9450772.8954260238</v>
      </c>
    </row>
    <row r="775" spans="1:63" x14ac:dyDescent="0.3">
      <c r="A775" s="2">
        <v>774</v>
      </c>
      <c r="B775" s="2">
        <f t="shared" ca="1" si="744"/>
        <v>0.8788438130859908</v>
      </c>
      <c r="C775" s="2">
        <f t="shared" ca="1" si="745"/>
        <v>7.5077476522879563</v>
      </c>
      <c r="D775" s="2">
        <f t="shared" ca="1" si="746"/>
        <v>0.57559726120826271</v>
      </c>
      <c r="E775" s="2">
        <f t="shared" ca="1" si="747"/>
        <v>7.5786936027664442</v>
      </c>
      <c r="F775" s="2">
        <f t="shared" ca="1" si="748"/>
        <v>0.24084435100344037</v>
      </c>
      <c r="G775" s="2">
        <f t="shared" ca="1" si="749"/>
        <v>1.8892327031733137E-2</v>
      </c>
      <c r="H775" s="2">
        <f t="shared" ca="1" si="750"/>
        <v>1.8892327031733137E-2</v>
      </c>
      <c r="I775" s="2">
        <f t="shared" ca="1" si="751"/>
        <v>0.97687425018841234</v>
      </c>
      <c r="J775" s="2">
        <f t="shared" ca="1" si="752"/>
        <v>1.9965454256261755E-2</v>
      </c>
      <c r="K775" s="2">
        <f t="shared" ca="1" si="753"/>
        <v>1.9965454256261755E-2</v>
      </c>
      <c r="L775" s="2">
        <f t="shared" ca="1" si="754"/>
        <v>0.32430346497293594</v>
      </c>
      <c r="M775" s="2">
        <f t="shared" ca="1" si="755"/>
        <v>-9.1139664083294946E-3</v>
      </c>
      <c r="N775" s="2">
        <f t="shared" ca="1" si="756"/>
        <v>-9.1139664083294946E-3</v>
      </c>
      <c r="O775" s="2">
        <f t="shared" si="757"/>
        <v>6000000</v>
      </c>
      <c r="P775" s="2">
        <f t="shared" ca="1" si="758"/>
        <v>45046485.913727738</v>
      </c>
      <c r="Q775" s="2">
        <f t="shared" ca="1" si="759"/>
        <v>1126162.1478431935</v>
      </c>
      <c r="R775" s="2">
        <f t="shared" ca="1" si="760"/>
        <v>27027891.548236642</v>
      </c>
      <c r="S775" s="2">
        <f t="shared" ca="1" si="761"/>
        <v>18018594.365491096</v>
      </c>
      <c r="T775" s="2">
        <f t="shared" ca="1" si="762"/>
        <v>49544301.679583527</v>
      </c>
      <c r="U775" s="2">
        <f t="shared" ca="1" si="763"/>
        <v>50480308.829473063</v>
      </c>
      <c r="V775" s="2">
        <f t="shared" ca="1" si="764"/>
        <v>51433999.332542352</v>
      </c>
      <c r="W775" s="2">
        <f t="shared" ca="1" si="765"/>
        <v>52405707.268482685</v>
      </c>
      <c r="X775" s="2">
        <f t="shared" ca="1" si="766"/>
        <v>53395773.028528139</v>
      </c>
      <c r="Y775" s="2">
        <f t="shared" ca="1" si="767"/>
        <v>0.12998272712813086</v>
      </c>
      <c r="Z775" s="2">
        <f t="shared" ca="1" si="768"/>
        <v>0.13397581797938321</v>
      </c>
      <c r="AA775" s="2">
        <f t="shared" ca="1" si="769"/>
        <v>6439903.4459711006</v>
      </c>
      <c r="AB775" s="2">
        <f t="shared" ca="1" si="770"/>
        <v>6763140.6672805343</v>
      </c>
      <c r="AC775" s="2">
        <f t="shared" ca="1" si="771"/>
        <v>6890912.1325284122</v>
      </c>
      <c r="AD775" s="2">
        <f t="shared" ca="1" si="772"/>
        <v>7021097.4980830755</v>
      </c>
      <c r="AE775" s="2">
        <f t="shared" ca="1" si="773"/>
        <v>7153742.3681385452</v>
      </c>
      <c r="AF775" s="2">
        <f t="shared" ca="1" si="774"/>
        <v>990886.03359167057</v>
      </c>
      <c r="AG775" s="2">
        <f t="shared" ca="1" si="775"/>
        <v>1009606.1765894613</v>
      </c>
      <c r="AH775" s="2">
        <f t="shared" ca="1" si="776"/>
        <v>1028679.986650847</v>
      </c>
      <c r="AI775" s="2">
        <f t="shared" ca="1" si="777"/>
        <v>1048114.1453696537</v>
      </c>
      <c r="AJ775" s="2">
        <f t="shared" ca="1" si="778"/>
        <v>1067915.4605705629</v>
      </c>
      <c r="AK775" s="2">
        <f t="shared" ca="1" si="779"/>
        <v>0</v>
      </c>
      <c r="AL775" s="2">
        <f t="shared" ca="1" si="780"/>
        <v>9360.0714988953623</v>
      </c>
      <c r="AM775" s="2">
        <f t="shared" ca="1" si="781"/>
        <v>9536.9050306928912</v>
      </c>
      <c r="AN775" s="2">
        <f t="shared" ca="1" si="782"/>
        <v>9717.0793594033275</v>
      </c>
      <c r="AO775" s="2">
        <f t="shared" ca="1" si="783"/>
        <v>9900.6576004545386</v>
      </c>
      <c r="AP775" s="2">
        <f t="shared" ca="1" si="784"/>
        <v>2432510.2393412977</v>
      </c>
      <c r="AQ775" s="2">
        <f t="shared" ca="1" si="785"/>
        <v>784291.86498991435</v>
      </c>
      <c r="AR775" s="2">
        <f t="shared" ca="1" si="786"/>
        <v>863466.30535094172</v>
      </c>
      <c r="AS775" s="2">
        <f t="shared" ca="1" si="787"/>
        <v>891727.69569942961</v>
      </c>
      <c r="AT775" s="2">
        <f t="shared" ca="1" si="788"/>
        <v>920523.00947675237</v>
      </c>
      <c r="AU775" s="2">
        <f t="shared" ca="1" si="789"/>
        <v>949862.33373893809</v>
      </c>
      <c r="AV775" s="2">
        <f t="shared" ca="1" si="790"/>
        <v>2232215.308048218</v>
      </c>
      <c r="AW775" s="2">
        <f t="shared" ca="1" si="791"/>
        <v>2448197.8744999389</v>
      </c>
      <c r="AX775" s="2">
        <f t="shared" ca="1" si="792"/>
        <v>2528457.3058061455</v>
      </c>
      <c r="AY775" s="2">
        <f t="shared" ca="1" si="793"/>
        <v>2610233.0245359694</v>
      </c>
      <c r="AZ775" s="2">
        <f t="shared" ca="1" si="794"/>
        <v>2693553.6768872919</v>
      </c>
      <c r="BA775" s="2">
        <f t="shared" ca="1" si="795"/>
        <v>54216021.521250866</v>
      </c>
      <c r="BB775" s="2">
        <f t="shared" ca="1" si="796"/>
        <v>1084320.4304250174</v>
      </c>
      <c r="BC775" s="2">
        <f t="shared" ca="1" si="797"/>
        <v>26103809.542589206</v>
      </c>
      <c r="BD775" s="2">
        <f t="shared" ca="1" si="798"/>
        <v>-19644756.513334289</v>
      </c>
      <c r="BE775" s="2">
        <f t="shared" ca="1" si="799"/>
        <v>2232215.308048218</v>
      </c>
      <c r="BF775" s="2">
        <f t="shared" ca="1" si="800"/>
        <v>2448197.8744999389</v>
      </c>
      <c r="BG775" s="2">
        <f t="shared" ca="1" si="801"/>
        <v>2528457.3058061455</v>
      </c>
      <c r="BH775" s="2">
        <f t="shared" ca="1" si="802"/>
        <v>2610233.0245359694</v>
      </c>
      <c r="BI775" s="2">
        <f t="shared" ca="1" si="803"/>
        <v>28797363.219476499</v>
      </c>
      <c r="BJ775" s="2">
        <f t="shared" ca="1" si="804"/>
        <v>0.17228160778353208</v>
      </c>
      <c r="BK775" s="2">
        <f t="shared" ca="1" si="805"/>
        <v>4098934.733704634</v>
      </c>
    </row>
    <row r="776" spans="1:63" x14ac:dyDescent="0.3">
      <c r="A776" s="2">
        <v>775</v>
      </c>
      <c r="B776" s="2">
        <f t="shared" ca="1" si="744"/>
        <v>0.4849715382538563</v>
      </c>
      <c r="C776" s="2">
        <f t="shared" ca="1" si="745"/>
        <v>6.9848568812308276</v>
      </c>
      <c r="D776" s="2">
        <f t="shared" ca="1" si="746"/>
        <v>0.44049099987624807</v>
      </c>
      <c r="E776" s="2">
        <f t="shared" ca="1" si="747"/>
        <v>7.4386064136540382</v>
      </c>
      <c r="F776" s="2">
        <f t="shared" ca="1" si="748"/>
        <v>0.92226967081608291</v>
      </c>
      <c r="G776" s="2">
        <f t="shared" ca="1" si="749"/>
        <v>8.2615155735762891E-2</v>
      </c>
      <c r="H776" s="2">
        <f t="shared" ca="1" si="750"/>
        <v>8.2615155735762891E-2</v>
      </c>
      <c r="I776" s="2">
        <f t="shared" ca="1" si="751"/>
        <v>0.74118492293036953</v>
      </c>
      <c r="J776" s="2">
        <f t="shared" ca="1" si="752"/>
        <v>1.3235013823631136E-2</v>
      </c>
      <c r="K776" s="2">
        <f t="shared" ca="1" si="753"/>
        <v>1.3235013823631136E-2</v>
      </c>
      <c r="L776" s="2">
        <f t="shared" ca="1" si="754"/>
        <v>0.82838342716522406</v>
      </c>
      <c r="M776" s="2">
        <f t="shared" ca="1" si="755"/>
        <v>1.8955926739997374E-2</v>
      </c>
      <c r="N776" s="2">
        <f t="shared" ca="1" si="756"/>
        <v>1.8955926739997374E-2</v>
      </c>
      <c r="O776" s="2">
        <f t="shared" si="757"/>
        <v>6000000</v>
      </c>
      <c r="P776" s="2">
        <f t="shared" ca="1" si="758"/>
        <v>41909141.287384965</v>
      </c>
      <c r="Q776" s="2">
        <f t="shared" ca="1" si="759"/>
        <v>1047728.5321846241</v>
      </c>
      <c r="R776" s="2">
        <f t="shared" ca="1" si="760"/>
        <v>25145484.772430979</v>
      </c>
      <c r="S776" s="2">
        <f t="shared" ca="1" si="761"/>
        <v>16763656.514953986</v>
      </c>
      <c r="T776" s="2">
        <f t="shared" ca="1" si="762"/>
        <v>50947796.336999871</v>
      </c>
      <c r="U776" s="2">
        <f t="shared" ca="1" si="763"/>
        <v>55156856.465775043</v>
      </c>
      <c r="V776" s="2">
        <f t="shared" ca="1" si="764"/>
        <v>59713648.752590165</v>
      </c>
      <c r="W776" s="2">
        <f t="shared" ca="1" si="765"/>
        <v>64646901.143836044</v>
      </c>
      <c r="X776" s="2">
        <f t="shared" ca="1" si="766"/>
        <v>69987714.949668527</v>
      </c>
      <c r="Y776" s="2">
        <f t="shared" ca="1" si="767"/>
        <v>0.12661750691181556</v>
      </c>
      <c r="Z776" s="2">
        <f t="shared" ca="1" si="768"/>
        <v>0.12926450967654179</v>
      </c>
      <c r="AA776" s="2">
        <f t="shared" ca="1" si="769"/>
        <v>6450882.9548418522</v>
      </c>
      <c r="AB776" s="2">
        <f t="shared" ca="1" si="770"/>
        <v>7129824.0063478053</v>
      </c>
      <c r="AC776" s="2">
        <f t="shared" ca="1" si="771"/>
        <v>7718855.5270008091</v>
      </c>
      <c r="AD776" s="2">
        <f t="shared" ca="1" si="772"/>
        <v>8356549.9784658346</v>
      </c>
      <c r="AE776" s="2">
        <f t="shared" ca="1" si="773"/>
        <v>9046927.6563504767</v>
      </c>
      <c r="AF776" s="2">
        <f t="shared" ca="1" si="774"/>
        <v>1018955.9267399975</v>
      </c>
      <c r="AG776" s="2">
        <f t="shared" ca="1" si="775"/>
        <v>1103137.1293155008</v>
      </c>
      <c r="AH776" s="2">
        <f t="shared" ca="1" si="776"/>
        <v>1194272.9750518033</v>
      </c>
      <c r="AI776" s="2">
        <f t="shared" ca="1" si="777"/>
        <v>1292938.0228767209</v>
      </c>
      <c r="AJ776" s="2">
        <f t="shared" ca="1" si="778"/>
        <v>1399754.2989933705</v>
      </c>
      <c r="AK776" s="2">
        <f t="shared" ca="1" si="779"/>
        <v>0</v>
      </c>
      <c r="AL776" s="2">
        <f t="shared" ca="1" si="780"/>
        <v>42090.601287751721</v>
      </c>
      <c r="AM776" s="2">
        <f t="shared" ca="1" si="781"/>
        <v>45567.922868151218</v>
      </c>
      <c r="AN776" s="2">
        <f t="shared" ca="1" si="782"/>
        <v>49332.523912458797</v>
      </c>
      <c r="AO776" s="2">
        <f t="shared" ca="1" si="783"/>
        <v>53408.138058324832</v>
      </c>
      <c r="AP776" s="2">
        <f t="shared" ca="1" si="784"/>
        <v>2263093.6295187878</v>
      </c>
      <c r="AQ776" s="2">
        <f t="shared" ca="1" si="785"/>
        <v>823896.68363159744</v>
      </c>
      <c r="AR776" s="2">
        <f t="shared" ca="1" si="786"/>
        <v>978534.24435351428</v>
      </c>
      <c r="AS776" s="2">
        <f t="shared" ca="1" si="787"/>
        <v>1107987.1198318566</v>
      </c>
      <c r="AT776" s="2">
        <f t="shared" ca="1" si="788"/>
        <v>1248134.7647782846</v>
      </c>
      <c r="AU776" s="2">
        <f t="shared" ca="1" si="789"/>
        <v>1399860.729237963</v>
      </c>
      <c r="AV776" s="2">
        <f t="shared" ca="1" si="790"/>
        <v>2344936.71495147</v>
      </c>
      <c r="AW776" s="2">
        <f t="shared" ca="1" si="791"/>
        <v>2742968.4018722507</v>
      </c>
      <c r="AX776" s="2">
        <f t="shared" ca="1" si="792"/>
        <v>3107933.8797302102</v>
      </c>
      <c r="AY776" s="2">
        <f t="shared" ca="1" si="793"/>
        <v>3503051.0373795829</v>
      </c>
      <c r="AZ776" s="2">
        <f t="shared" ca="1" si="794"/>
        <v>3930810.8605420296</v>
      </c>
      <c r="BA776" s="2">
        <f t="shared" ca="1" si="795"/>
        <v>67296534.088392749</v>
      </c>
      <c r="BB776" s="2">
        <f t="shared" ca="1" si="796"/>
        <v>1345930.6817678551</v>
      </c>
      <c r="BC776" s="2">
        <f t="shared" ca="1" si="797"/>
        <v>40805118.634193912</v>
      </c>
      <c r="BD776" s="2">
        <f t="shared" ca="1" si="798"/>
        <v>-18311385.047138609</v>
      </c>
      <c r="BE776" s="2">
        <f t="shared" ca="1" si="799"/>
        <v>2344936.71495147</v>
      </c>
      <c r="BF776" s="2">
        <f t="shared" ca="1" si="800"/>
        <v>2742968.4018722507</v>
      </c>
      <c r="BG776" s="2">
        <f t="shared" ca="1" si="801"/>
        <v>3107933.8797302102</v>
      </c>
      <c r="BH776" s="2">
        <f t="shared" ca="1" si="802"/>
        <v>3503051.0373795829</v>
      </c>
      <c r="BI776" s="2">
        <f t="shared" ca="1" si="803"/>
        <v>44735929.494735941</v>
      </c>
      <c r="BJ776" s="2">
        <f t="shared" ca="1" si="804"/>
        <v>0.29662459335502178</v>
      </c>
      <c r="BK776" s="2">
        <f t="shared" ca="1" si="805"/>
        <v>15791772.086420774</v>
      </c>
    </row>
    <row r="777" spans="1:63" x14ac:dyDescent="0.3">
      <c r="A777" s="2">
        <v>776</v>
      </c>
      <c r="B777" s="2">
        <f t="shared" ca="1" si="744"/>
        <v>0.97246238199145218</v>
      </c>
      <c r="C777" s="2">
        <f t="shared" ca="1" si="745"/>
        <v>7.7653188630991075</v>
      </c>
      <c r="D777" s="2">
        <f t="shared" ca="1" si="746"/>
        <v>0.15910335508881435</v>
      </c>
      <c r="E777" s="2">
        <f t="shared" ca="1" si="747"/>
        <v>7.0640981387822768</v>
      </c>
      <c r="F777" s="2">
        <f t="shared" ca="1" si="748"/>
        <v>0.90604374750040184</v>
      </c>
      <c r="G777" s="2">
        <f t="shared" ca="1" si="749"/>
        <v>7.9503388696064853E-2</v>
      </c>
      <c r="H777" s="2">
        <f t="shared" ca="1" si="750"/>
        <v>7.9503388696064853E-2</v>
      </c>
      <c r="I777" s="2">
        <f t="shared" ca="1" si="751"/>
        <v>0.63875657197292268</v>
      </c>
      <c r="J777" s="2">
        <f t="shared" ca="1" si="752"/>
        <v>1.177568568662227E-2</v>
      </c>
      <c r="K777" s="2">
        <f t="shared" ca="1" si="753"/>
        <v>1.177568568662227E-2</v>
      </c>
      <c r="L777" s="2">
        <f t="shared" ca="1" si="754"/>
        <v>0.43710738334309396</v>
      </c>
      <c r="M777" s="2">
        <f t="shared" ca="1" si="755"/>
        <v>-3.1661431933609264E-3</v>
      </c>
      <c r="N777" s="2">
        <f t="shared" ca="1" si="756"/>
        <v>-3.1661431933609264E-3</v>
      </c>
      <c r="O777" s="2">
        <f t="shared" si="757"/>
        <v>6000000</v>
      </c>
      <c r="P777" s="2">
        <f t="shared" ca="1" si="758"/>
        <v>46591913.178594641</v>
      </c>
      <c r="Q777" s="2">
        <f t="shared" ca="1" si="759"/>
        <v>1164797.8294648661</v>
      </c>
      <c r="R777" s="2">
        <f t="shared" ca="1" si="760"/>
        <v>27955147.907156784</v>
      </c>
      <c r="S777" s="2">
        <f t="shared" ca="1" si="761"/>
        <v>18636765.271437857</v>
      </c>
      <c r="T777" s="2">
        <f t="shared" ca="1" si="762"/>
        <v>49841692.840331949</v>
      </c>
      <c r="U777" s="2">
        <f t="shared" ca="1" si="763"/>
        <v>53804276.31948673</v>
      </c>
      <c r="V777" s="2">
        <f t="shared" ca="1" si="764"/>
        <v>58081898.613225356</v>
      </c>
      <c r="W777" s="2">
        <f t="shared" ca="1" si="765"/>
        <v>62699606.374878034</v>
      </c>
      <c r="X777" s="2">
        <f t="shared" ca="1" si="766"/>
        <v>67684437.551590219</v>
      </c>
      <c r="Y777" s="2">
        <f t="shared" ca="1" si="767"/>
        <v>0.12588784284331114</v>
      </c>
      <c r="Z777" s="2">
        <f t="shared" ca="1" si="768"/>
        <v>0.12824297998063558</v>
      </c>
      <c r="AA777" s="2">
        <f t="shared" ca="1" si="769"/>
        <v>6274463.1953282943</v>
      </c>
      <c r="AB777" s="2">
        <f t="shared" ca="1" si="770"/>
        <v>6900020.7309125215</v>
      </c>
      <c r="AC777" s="2">
        <f t="shared" ca="1" si="771"/>
        <v>7448595.7610931648</v>
      </c>
      <c r="AD777" s="2">
        <f t="shared" ca="1" si="772"/>
        <v>8040784.3651272142</v>
      </c>
      <c r="AE777" s="2">
        <f t="shared" ca="1" si="773"/>
        <v>8680053.9699291643</v>
      </c>
      <c r="AF777" s="2">
        <f t="shared" ca="1" si="774"/>
        <v>996833.856806639</v>
      </c>
      <c r="AG777" s="2">
        <f t="shared" ca="1" si="775"/>
        <v>1076085.5263897346</v>
      </c>
      <c r="AH777" s="2">
        <f t="shared" ca="1" si="776"/>
        <v>1161637.9722645071</v>
      </c>
      <c r="AI777" s="2">
        <f t="shared" ca="1" si="777"/>
        <v>1253992.1274975608</v>
      </c>
      <c r="AJ777" s="2">
        <f t="shared" ca="1" si="778"/>
        <v>1353688.7510318044</v>
      </c>
      <c r="AK777" s="2">
        <f t="shared" ca="1" si="779"/>
        <v>0</v>
      </c>
      <c r="AL777" s="2">
        <f t="shared" ca="1" si="780"/>
        <v>39625.834791547808</v>
      </c>
      <c r="AM777" s="2">
        <f t="shared" ca="1" si="781"/>
        <v>42776.222937386257</v>
      </c>
      <c r="AN777" s="2">
        <f t="shared" ca="1" si="782"/>
        <v>46177.077616526782</v>
      </c>
      <c r="AO777" s="2">
        <f t="shared" ca="1" si="783"/>
        <v>49848.31176712185</v>
      </c>
      <c r="AP777" s="2">
        <f t="shared" ca="1" si="784"/>
        <v>2515963.3116441104</v>
      </c>
      <c r="AQ777" s="2">
        <f t="shared" ca="1" si="785"/>
        <v>718033.16698816174</v>
      </c>
      <c r="AR777" s="2">
        <f t="shared" ca="1" si="786"/>
        <v>860072.69214845588</v>
      </c>
      <c r="AS777" s="2">
        <f t="shared" ca="1" si="787"/>
        <v>980458.56406798237</v>
      </c>
      <c r="AT777" s="2">
        <f t="shared" ca="1" si="788"/>
        <v>1110415.5207562412</v>
      </c>
      <c r="AU777" s="2">
        <f t="shared" ca="1" si="789"/>
        <v>1250704.4958858446</v>
      </c>
      <c r="AV777" s="2">
        <f t="shared" ca="1" si="790"/>
        <v>2043632.8598893839</v>
      </c>
      <c r="AW777" s="2">
        <f t="shared" ca="1" si="791"/>
        <v>2408273.3659386733</v>
      </c>
      <c r="AX777" s="2">
        <f t="shared" ca="1" si="792"/>
        <v>2747759.690179179</v>
      </c>
      <c r="AY777" s="2">
        <f t="shared" ca="1" si="793"/>
        <v>3114236.3276127758</v>
      </c>
      <c r="AZ777" s="2">
        <f t="shared" ca="1" si="794"/>
        <v>3509849.099600283</v>
      </c>
      <c r="BA777" s="2">
        <f t="shared" ca="1" si="795"/>
        <v>61316753.093506321</v>
      </c>
      <c r="BB777" s="2">
        <f t="shared" ca="1" si="796"/>
        <v>1226335.0618701265</v>
      </c>
      <c r="BC777" s="2">
        <f t="shared" ca="1" si="797"/>
        <v>32135270.124479409</v>
      </c>
      <c r="BD777" s="2">
        <f t="shared" ca="1" si="798"/>
        <v>-20301563.100902725</v>
      </c>
      <c r="BE777" s="2">
        <f t="shared" ca="1" si="799"/>
        <v>2043632.8598893839</v>
      </c>
      <c r="BF777" s="2">
        <f t="shared" ca="1" si="800"/>
        <v>2408273.3659386733</v>
      </c>
      <c r="BG777" s="2">
        <f t="shared" ca="1" si="801"/>
        <v>2747759.690179179</v>
      </c>
      <c r="BH777" s="2">
        <f t="shared" ca="1" si="802"/>
        <v>3114236.3276127758</v>
      </c>
      <c r="BI777" s="2">
        <f t="shared" ca="1" si="803"/>
        <v>35645119.224079691</v>
      </c>
      <c r="BJ777" s="2">
        <f t="shared" ca="1" si="804"/>
        <v>0.20684378021514704</v>
      </c>
      <c r="BK777" s="2">
        <f t="shared" ca="1" si="805"/>
        <v>7603922.361087136</v>
      </c>
    </row>
    <row r="778" spans="1:63" x14ac:dyDescent="0.3">
      <c r="A778" s="2">
        <v>777</v>
      </c>
      <c r="B778" s="2">
        <f t="shared" ca="1" si="744"/>
        <v>0.99922878563302708</v>
      </c>
      <c r="C778" s="2">
        <f t="shared" ca="1" si="745"/>
        <v>7.9607262335146496</v>
      </c>
      <c r="D778" s="2">
        <f t="shared" ca="1" si="746"/>
        <v>6.4813116137734106E-2</v>
      </c>
      <c r="E778" s="2">
        <f t="shared" ca="1" si="747"/>
        <v>6.8600364318724818</v>
      </c>
      <c r="F778" s="2">
        <f t="shared" ca="1" si="748"/>
        <v>6.2989542428908529E-2</v>
      </c>
      <c r="G778" s="2">
        <f t="shared" ca="1" si="749"/>
        <v>-5.9045629769711658E-3</v>
      </c>
      <c r="H778" s="2">
        <f t="shared" ca="1" si="750"/>
        <v>-5.9045629769711658E-3</v>
      </c>
      <c r="I778" s="2">
        <f t="shared" ca="1" si="751"/>
        <v>0.60805601333481796</v>
      </c>
      <c r="J778" s="2">
        <f t="shared" ca="1" si="752"/>
        <v>1.1371279493181587E-2</v>
      </c>
      <c r="K778" s="2">
        <f t="shared" ca="1" si="753"/>
        <v>1.1371279493181587E-2</v>
      </c>
      <c r="L778" s="2">
        <f t="shared" ca="1" si="754"/>
        <v>0.20584526788486612</v>
      </c>
      <c r="M778" s="2">
        <f t="shared" ca="1" si="755"/>
        <v>-1.6418445725395987E-2</v>
      </c>
      <c r="N778" s="2">
        <f t="shared" ca="1" si="756"/>
        <v>-1.6418445725395987E-2</v>
      </c>
      <c r="O778" s="2">
        <f t="shared" si="757"/>
        <v>6000000</v>
      </c>
      <c r="P778" s="2">
        <f t="shared" ca="1" si="758"/>
        <v>47764357.401087895</v>
      </c>
      <c r="Q778" s="2">
        <f t="shared" ca="1" si="759"/>
        <v>1194108.9350271975</v>
      </c>
      <c r="R778" s="2">
        <f t="shared" ca="1" si="760"/>
        <v>28658614.440652736</v>
      </c>
      <c r="S778" s="2">
        <f t="shared" ca="1" si="761"/>
        <v>19105742.96043516</v>
      </c>
      <c r="T778" s="2">
        <f t="shared" ca="1" si="762"/>
        <v>49179077.713730201</v>
      </c>
      <c r="U778" s="2">
        <f t="shared" ca="1" si="763"/>
        <v>48888696.752220124</v>
      </c>
      <c r="V778" s="2">
        <f t="shared" ca="1" si="764"/>
        <v>48600030.363384597</v>
      </c>
      <c r="W778" s="2">
        <f t="shared" ca="1" si="765"/>
        <v>48313068.423421279</v>
      </c>
      <c r="X778" s="2">
        <f t="shared" ca="1" si="766"/>
        <v>48027800.868304469</v>
      </c>
      <c r="Y778" s="2">
        <f t="shared" ca="1" si="767"/>
        <v>0.12568563974659078</v>
      </c>
      <c r="Z778" s="2">
        <f t="shared" ca="1" si="768"/>
        <v>0.12795989564522711</v>
      </c>
      <c r="AA778" s="2">
        <f t="shared" ca="1" si="769"/>
        <v>6181103.8445974849</v>
      </c>
      <c r="AB778" s="2">
        <f t="shared" ca="1" si="770"/>
        <v>6255792.5346452408</v>
      </c>
      <c r="AC778" s="2">
        <f t="shared" ca="1" si="771"/>
        <v>6218854.8136535622</v>
      </c>
      <c r="AD778" s="2">
        <f t="shared" ca="1" si="772"/>
        <v>6182135.1937617036</v>
      </c>
      <c r="AE778" s="2">
        <f t="shared" ca="1" si="773"/>
        <v>6145632.387177988</v>
      </c>
      <c r="AF778" s="2">
        <f t="shared" ca="1" si="774"/>
        <v>983581.55427460407</v>
      </c>
      <c r="AG778" s="2">
        <f t="shared" ca="1" si="775"/>
        <v>977773.93504440249</v>
      </c>
      <c r="AH778" s="2">
        <f t="shared" ca="1" si="776"/>
        <v>972000.60726769199</v>
      </c>
      <c r="AI778" s="2">
        <f t="shared" ca="1" si="777"/>
        <v>966261.36846842559</v>
      </c>
      <c r="AJ778" s="2">
        <f t="shared" ca="1" si="778"/>
        <v>960556.01736608939</v>
      </c>
      <c r="AK778" s="2">
        <f t="shared" ca="1" si="779"/>
        <v>0</v>
      </c>
      <c r="AL778" s="2">
        <f t="shared" ca="1" si="780"/>
        <v>0</v>
      </c>
      <c r="AM778" s="2">
        <f t="shared" ca="1" si="781"/>
        <v>0</v>
      </c>
      <c r="AN778" s="2">
        <f t="shared" ca="1" si="782"/>
        <v>0</v>
      </c>
      <c r="AO778" s="2">
        <f t="shared" ca="1" si="783"/>
        <v>0</v>
      </c>
      <c r="AP778" s="2">
        <f t="shared" ca="1" si="784"/>
        <v>2579275.299658746</v>
      </c>
      <c r="AQ778" s="2">
        <f t="shared" ca="1" si="785"/>
        <v>680744.2175726752</v>
      </c>
      <c r="AR778" s="2">
        <f t="shared" ca="1" si="786"/>
        <v>701673.25798494404</v>
      </c>
      <c r="AS778" s="2">
        <f t="shared" ca="1" si="787"/>
        <v>693570.5157490524</v>
      </c>
      <c r="AT778" s="2">
        <f t="shared" ca="1" si="788"/>
        <v>685515.61666497844</v>
      </c>
      <c r="AU778" s="2">
        <f t="shared" ca="1" si="789"/>
        <v>677508.27823981957</v>
      </c>
      <c r="AV778" s="2">
        <f t="shared" ca="1" si="790"/>
        <v>1937502.7730914601</v>
      </c>
      <c r="AW778" s="2">
        <f t="shared" ca="1" si="791"/>
        <v>1997070.0419571488</v>
      </c>
      <c r="AX778" s="2">
        <f t="shared" ca="1" si="792"/>
        <v>1974008.3909780723</v>
      </c>
      <c r="AY778" s="2">
        <f t="shared" ca="1" si="793"/>
        <v>1951082.9089695537</v>
      </c>
      <c r="AZ778" s="2">
        <f t="shared" ca="1" si="794"/>
        <v>1928292.7919133329</v>
      </c>
      <c r="BA778" s="2">
        <f t="shared" ca="1" si="795"/>
        <v>42159262.072936445</v>
      </c>
      <c r="BB778" s="2">
        <f t="shared" ca="1" si="796"/>
        <v>843185.24145872891</v>
      </c>
      <c r="BC778" s="2">
        <f t="shared" ca="1" si="797"/>
        <v>12657462.390824981</v>
      </c>
      <c r="BD778" s="2">
        <f t="shared" ca="1" si="798"/>
        <v>-20799851.895462357</v>
      </c>
      <c r="BE778" s="2">
        <f t="shared" ca="1" si="799"/>
        <v>1937502.7730914601</v>
      </c>
      <c r="BF778" s="2">
        <f t="shared" ca="1" si="800"/>
        <v>1997070.0419571488</v>
      </c>
      <c r="BG778" s="2">
        <f t="shared" ca="1" si="801"/>
        <v>1974008.3909780723</v>
      </c>
      <c r="BH778" s="2">
        <f t="shared" ca="1" si="802"/>
        <v>1951082.9089695537</v>
      </c>
      <c r="BI778" s="2">
        <f t="shared" ca="1" si="803"/>
        <v>14585755.182738313</v>
      </c>
      <c r="BJ778" s="2">
        <f t="shared" ca="1" si="804"/>
        <v>1.8709406714569221E-2</v>
      </c>
      <c r="BK778" s="2">
        <f t="shared" ca="1" si="805"/>
        <v>-6556528.8502578996</v>
      </c>
    </row>
    <row r="779" spans="1:63" x14ac:dyDescent="0.3">
      <c r="A779" s="2">
        <v>778</v>
      </c>
      <c r="B779" s="2">
        <f t="shared" ca="1" si="744"/>
        <v>0.25344145866306744</v>
      </c>
      <c r="C779" s="2">
        <f t="shared" ca="1" si="745"/>
        <v>6.7119571035716508</v>
      </c>
      <c r="D779" s="2">
        <f t="shared" ca="1" si="746"/>
        <v>0.64031090492757681</v>
      </c>
      <c r="E779" s="2">
        <f t="shared" ca="1" si="747"/>
        <v>7.6518383466904165</v>
      </c>
      <c r="F779" s="2">
        <f t="shared" ca="1" si="748"/>
        <v>0.81270980553916283</v>
      </c>
      <c r="G779" s="2">
        <f t="shared" ca="1" si="749"/>
        <v>6.663778942832603E-2</v>
      </c>
      <c r="H779" s="2">
        <f t="shared" ca="1" si="750"/>
        <v>6.663778942832603E-2</v>
      </c>
      <c r="I779" s="2">
        <f t="shared" ca="1" si="751"/>
        <v>0.51304825126572906</v>
      </c>
      <c r="J779" s="2">
        <f t="shared" ca="1" si="752"/>
        <v>1.016356474588587E-2</v>
      </c>
      <c r="K779" s="2">
        <f t="shared" ca="1" si="753"/>
        <v>1.016356474588587E-2</v>
      </c>
      <c r="L779" s="2">
        <f t="shared" ca="1" si="754"/>
        <v>0.20804246885910049</v>
      </c>
      <c r="M779" s="2">
        <f t="shared" ca="1" si="755"/>
        <v>-1.6264644118541564E-2</v>
      </c>
      <c r="N779" s="2">
        <f t="shared" ca="1" si="756"/>
        <v>-1.6264644118541564E-2</v>
      </c>
      <c r="O779" s="2">
        <f t="shared" si="757"/>
        <v>6000000</v>
      </c>
      <c r="P779" s="2">
        <f t="shared" ca="1" si="758"/>
        <v>40271742.621429905</v>
      </c>
      <c r="Q779" s="2">
        <f t="shared" ca="1" si="759"/>
        <v>1006793.5655357477</v>
      </c>
      <c r="R779" s="2">
        <f t="shared" ca="1" si="760"/>
        <v>24163045.572857942</v>
      </c>
      <c r="S779" s="2">
        <f t="shared" ca="1" si="761"/>
        <v>16108697.048571963</v>
      </c>
      <c r="T779" s="2">
        <f t="shared" ca="1" si="762"/>
        <v>49186767.794072919</v>
      </c>
      <c r="U779" s="2">
        <f t="shared" ca="1" si="763"/>
        <v>52464465.268994324</v>
      </c>
      <c r="V779" s="2">
        <f t="shared" ca="1" si="764"/>
        <v>55960581.258059293</v>
      </c>
      <c r="W779" s="2">
        <f t="shared" ca="1" si="765"/>
        <v>59689670.688220583</v>
      </c>
      <c r="X779" s="2">
        <f t="shared" ca="1" si="766"/>
        <v>63667258.394588351</v>
      </c>
      <c r="Y779" s="2">
        <f t="shared" ca="1" si="767"/>
        <v>0.12508178237294293</v>
      </c>
      <c r="Z779" s="2">
        <f t="shared" ca="1" si="768"/>
        <v>0.1271144953221201</v>
      </c>
      <c r="AA779" s="2">
        <f t="shared" ca="1" si="769"/>
        <v>6152368.5848467071</v>
      </c>
      <c r="AB779" s="2">
        <f t="shared" ca="1" si="770"/>
        <v>6668994.0250131115</v>
      </c>
      <c r="AC779" s="2">
        <f t="shared" ca="1" si="771"/>
        <v>7113401.0445507001</v>
      </c>
      <c r="AD779" s="2">
        <f t="shared" ca="1" si="772"/>
        <v>7587422.3654767051</v>
      </c>
      <c r="AE779" s="2">
        <f t="shared" ca="1" si="773"/>
        <v>8093031.4193711132</v>
      </c>
      <c r="AF779" s="2">
        <f t="shared" ca="1" si="774"/>
        <v>983735.35588145838</v>
      </c>
      <c r="AG779" s="2">
        <f t="shared" ca="1" si="775"/>
        <v>1049289.3053798864</v>
      </c>
      <c r="AH779" s="2">
        <f t="shared" ca="1" si="776"/>
        <v>1119211.6251611859</v>
      </c>
      <c r="AI779" s="2">
        <f t="shared" ca="1" si="777"/>
        <v>1193793.4137644116</v>
      </c>
      <c r="AJ779" s="2">
        <f t="shared" ca="1" si="778"/>
        <v>1273345.1678917671</v>
      </c>
      <c r="AK779" s="2">
        <f t="shared" ca="1" si="779"/>
        <v>0</v>
      </c>
      <c r="AL779" s="2">
        <f t="shared" ca="1" si="780"/>
        <v>32776.974749214052</v>
      </c>
      <c r="AM779" s="2">
        <f t="shared" ca="1" si="781"/>
        <v>34961.159890649695</v>
      </c>
      <c r="AN779" s="2">
        <f t="shared" ca="1" si="782"/>
        <v>37290.894301612898</v>
      </c>
      <c r="AO779" s="2">
        <f t="shared" ca="1" si="783"/>
        <v>39775.877063677683</v>
      </c>
      <c r="AP779" s="2">
        <f t="shared" ca="1" si="784"/>
        <v>2174674.1015572147</v>
      </c>
      <c r="AQ779" s="2">
        <f t="shared" ca="1" si="785"/>
        <v>778429.37312608887</v>
      </c>
      <c r="AR779" s="2">
        <f t="shared" ca="1" si="786"/>
        <v>895707.9606997628</v>
      </c>
      <c r="AS779" s="2">
        <f t="shared" ca="1" si="787"/>
        <v>993073.98263639794</v>
      </c>
      <c r="AT779" s="2">
        <f t="shared" ca="1" si="788"/>
        <v>1096928.2610403206</v>
      </c>
      <c r="AU779" s="2">
        <f t="shared" ca="1" si="789"/>
        <v>1207703.1589797542</v>
      </c>
      <c r="AV779" s="2">
        <f t="shared" ca="1" si="790"/>
        <v>2215529.7542819455</v>
      </c>
      <c r="AW779" s="2">
        <f t="shared" ca="1" si="791"/>
        <v>2516545.6826270334</v>
      </c>
      <c r="AX779" s="2">
        <f t="shared" ca="1" si="792"/>
        <v>2791480.175305252</v>
      </c>
      <c r="AY779" s="2">
        <f t="shared" ca="1" si="793"/>
        <v>3084735.6948131453</v>
      </c>
      <c r="AZ779" s="2">
        <f t="shared" ca="1" si="794"/>
        <v>3397533.1138787</v>
      </c>
      <c r="BA779" s="2">
        <f t="shared" ca="1" si="795"/>
        <v>61926568.155714251</v>
      </c>
      <c r="BB779" s="2">
        <f t="shared" ca="1" si="796"/>
        <v>1238531.363114285</v>
      </c>
      <c r="BC779" s="2">
        <f t="shared" ca="1" si="797"/>
        <v>36524991.21974203</v>
      </c>
      <c r="BD779" s="2">
        <f t="shared" ca="1" si="798"/>
        <v>-17615490.614107709</v>
      </c>
      <c r="BE779" s="2">
        <f t="shared" ca="1" si="799"/>
        <v>2215529.7542819455</v>
      </c>
      <c r="BF779" s="2">
        <f t="shared" ca="1" si="800"/>
        <v>2516545.6826270334</v>
      </c>
      <c r="BG779" s="2">
        <f t="shared" ca="1" si="801"/>
        <v>2791480.175305252</v>
      </c>
      <c r="BH779" s="2">
        <f t="shared" ca="1" si="802"/>
        <v>3084735.6948131453</v>
      </c>
      <c r="BI779" s="2">
        <f t="shared" ca="1" si="803"/>
        <v>39922524.333620727</v>
      </c>
      <c r="BJ779" s="2">
        <f t="shared" ca="1" si="804"/>
        <v>0.27557734555764779</v>
      </c>
      <c r="BK779" s="2">
        <f t="shared" ca="1" si="805"/>
        <v>12969273.970058285</v>
      </c>
    </row>
    <row r="780" spans="1:63" x14ac:dyDescent="0.3">
      <c r="A780" s="2">
        <v>779</v>
      </c>
      <c r="B780" s="2">
        <f t="shared" ca="1" si="744"/>
        <v>0.33597517948893141</v>
      </c>
      <c r="C780" s="2">
        <f t="shared" ca="1" si="745"/>
        <v>6.8197257827943822</v>
      </c>
      <c r="D780" s="2">
        <f t="shared" ca="1" si="746"/>
        <v>0.2170121711904982</v>
      </c>
      <c r="E780" s="2">
        <f t="shared" ca="1" si="747"/>
        <v>7.1588052385804142</v>
      </c>
      <c r="F780" s="2">
        <f t="shared" ca="1" si="748"/>
        <v>0.11865438495337377</v>
      </c>
      <c r="G780" s="2">
        <f t="shared" ca="1" si="749"/>
        <v>4.547791560080873E-3</v>
      </c>
      <c r="H780" s="2">
        <f t="shared" ca="1" si="750"/>
        <v>4.547791560080873E-3</v>
      </c>
      <c r="I780" s="2">
        <f t="shared" ca="1" si="751"/>
        <v>6.5505046630270347E-2</v>
      </c>
      <c r="J780" s="2">
        <f t="shared" ca="1" si="752"/>
        <v>2.449346813096602E-3</v>
      </c>
      <c r="K780" s="2">
        <f t="shared" ca="1" si="753"/>
        <v>2.449346813096602E-3</v>
      </c>
      <c r="L780" s="2">
        <f t="shared" ca="1" si="754"/>
        <v>0.99374376230996475</v>
      </c>
      <c r="M780" s="2">
        <f t="shared" ca="1" si="755"/>
        <v>4.9947036025954759E-2</v>
      </c>
      <c r="N780" s="2">
        <f t="shared" ca="1" si="756"/>
        <v>4.9947036025954759E-2</v>
      </c>
      <c r="O780" s="2">
        <f t="shared" si="757"/>
        <v>6000000</v>
      </c>
      <c r="P780" s="2">
        <f t="shared" ca="1" si="758"/>
        <v>40918354.696766295</v>
      </c>
      <c r="Q780" s="2">
        <f t="shared" ca="1" si="759"/>
        <v>1022958.8674191574</v>
      </c>
      <c r="R780" s="2">
        <f t="shared" ca="1" si="760"/>
        <v>24551012.818059776</v>
      </c>
      <c r="S780" s="2">
        <f t="shared" ca="1" si="761"/>
        <v>16367341.878706519</v>
      </c>
      <c r="T780" s="2">
        <f t="shared" ca="1" si="762"/>
        <v>52497351.801297739</v>
      </c>
      <c r="U780" s="2">
        <f t="shared" ca="1" si="763"/>
        <v>52736098.814746276</v>
      </c>
      <c r="V780" s="2">
        <f t="shared" ca="1" si="764"/>
        <v>52975931.59984757</v>
      </c>
      <c r="W780" s="2">
        <f t="shared" ca="1" si="765"/>
        <v>53216855.094464779</v>
      </c>
      <c r="X780" s="2">
        <f t="shared" ca="1" si="766"/>
        <v>53458874.258917436</v>
      </c>
      <c r="Y780" s="2">
        <f t="shared" ca="1" si="767"/>
        <v>0.1212246734065483</v>
      </c>
      <c r="Z780" s="2">
        <f t="shared" ca="1" si="768"/>
        <v>0.12171454276916761</v>
      </c>
      <c r="AA780" s="2">
        <f t="shared" ca="1" si="769"/>
        <v>6363974.3268209882</v>
      </c>
      <c r="AB780" s="2">
        <f t="shared" ca="1" si="770"/>
        <v>6418750.1546664853</v>
      </c>
      <c r="AC780" s="2">
        <f t="shared" ca="1" si="771"/>
        <v>6447941.2924461449</v>
      </c>
      <c r="AD780" s="2">
        <f t="shared" ca="1" si="772"/>
        <v>6477265.1854358288</v>
      </c>
      <c r="AE780" s="2">
        <f t="shared" ca="1" si="773"/>
        <v>6506722.4373785602</v>
      </c>
      <c r="AF780" s="2">
        <f t="shared" ca="1" si="774"/>
        <v>1049947.0360259549</v>
      </c>
      <c r="AG780" s="2">
        <f t="shared" ca="1" si="775"/>
        <v>1054721.9762949254</v>
      </c>
      <c r="AH780" s="2">
        <f t="shared" ca="1" si="776"/>
        <v>1059518.6319969515</v>
      </c>
      <c r="AI780" s="2">
        <f t="shared" ca="1" si="777"/>
        <v>1064337.1018892955</v>
      </c>
      <c r="AJ780" s="2">
        <f t="shared" ca="1" si="778"/>
        <v>1069177.4851783488</v>
      </c>
      <c r="AK780" s="2">
        <f t="shared" ca="1" si="779"/>
        <v>0</v>
      </c>
      <c r="AL780" s="2">
        <f t="shared" ca="1" si="780"/>
        <v>2387.4701344853638</v>
      </c>
      <c r="AM780" s="2">
        <f t="shared" ca="1" si="781"/>
        <v>2398.3278510129453</v>
      </c>
      <c r="AN780" s="2">
        <f t="shared" ca="1" si="782"/>
        <v>2409.2349461720883</v>
      </c>
      <c r="AO780" s="2">
        <f t="shared" ca="1" si="783"/>
        <v>2420.1916445265711</v>
      </c>
      <c r="AP780" s="2">
        <f t="shared" ca="1" si="784"/>
        <v>2209591.1536253798</v>
      </c>
      <c r="AQ780" s="2">
        <f t="shared" ca="1" si="785"/>
        <v>807153.39566411008</v>
      </c>
      <c r="AR780" s="2">
        <f t="shared" ca="1" si="786"/>
        <v>820153.62643400684</v>
      </c>
      <c r="AS780" s="2">
        <f t="shared" ca="1" si="787"/>
        <v>826496.19177419168</v>
      </c>
      <c r="AT780" s="2">
        <f t="shared" ca="1" si="788"/>
        <v>832867.60177949991</v>
      </c>
      <c r="AU780" s="2">
        <f t="shared" ca="1" si="789"/>
        <v>839267.98762945633</v>
      </c>
      <c r="AV780" s="2">
        <f t="shared" ca="1" si="790"/>
        <v>2297282.7415055442</v>
      </c>
      <c r="AW780" s="2">
        <f t="shared" ca="1" si="791"/>
        <v>2331895.9281776878</v>
      </c>
      <c r="AX780" s="2">
        <f t="shared" ca="1" si="792"/>
        <v>2349936.9871986094</v>
      </c>
      <c r="AY780" s="2">
        <f t="shared" ca="1" si="793"/>
        <v>2368060.0931954817</v>
      </c>
      <c r="AZ780" s="2">
        <f t="shared" ca="1" si="794"/>
        <v>2386265.6193008483</v>
      </c>
      <c r="BA780" s="2">
        <f t="shared" ca="1" si="795"/>
        <v>46580358.670694359</v>
      </c>
      <c r="BB780" s="2">
        <f t="shared" ca="1" si="796"/>
        <v>931607.17341388715</v>
      </c>
      <c r="BC780" s="2">
        <f t="shared" ca="1" si="797"/>
        <v>21097738.679220695</v>
      </c>
      <c r="BD780" s="2">
        <f t="shared" ca="1" si="798"/>
        <v>-17890300.746125676</v>
      </c>
      <c r="BE780" s="2">
        <f t="shared" ca="1" si="799"/>
        <v>2297282.7415055442</v>
      </c>
      <c r="BF780" s="2">
        <f t="shared" ca="1" si="800"/>
        <v>2331895.9281776878</v>
      </c>
      <c r="BG780" s="2">
        <f t="shared" ca="1" si="801"/>
        <v>2349936.9871986094</v>
      </c>
      <c r="BH780" s="2">
        <f t="shared" ca="1" si="802"/>
        <v>2368060.0931954817</v>
      </c>
      <c r="BI780" s="2">
        <f t="shared" ca="1" si="803"/>
        <v>23484004.298521545</v>
      </c>
      <c r="BJ780" s="2">
        <f t="shared" ca="1" si="804"/>
        <v>0.15704344616661148</v>
      </c>
      <c r="BK780" s="2">
        <f t="shared" ca="1" si="805"/>
        <v>2522856.1656804271</v>
      </c>
    </row>
    <row r="781" spans="1:63" x14ac:dyDescent="0.3">
      <c r="A781" s="2">
        <v>780</v>
      </c>
      <c r="B781" s="2">
        <f t="shared" ca="1" si="744"/>
        <v>0.43151118681850431</v>
      </c>
      <c r="C781" s="2">
        <f t="shared" ca="1" si="745"/>
        <v>6.9289899749927386</v>
      </c>
      <c r="D781" s="2">
        <f t="shared" ca="1" si="746"/>
        <v>0.63750916378747458</v>
      </c>
      <c r="E781" s="2">
        <f t="shared" ca="1" si="747"/>
        <v>7.648541444094282</v>
      </c>
      <c r="F781" s="2">
        <f t="shared" ca="1" si="748"/>
        <v>0.71228168161828842</v>
      </c>
      <c r="G781" s="2">
        <f t="shared" ca="1" si="749"/>
        <v>5.6801882519361496E-2</v>
      </c>
      <c r="H781" s="2">
        <f t="shared" ca="1" si="750"/>
        <v>5.6801882519361496E-2</v>
      </c>
      <c r="I781" s="2">
        <f t="shared" ca="1" si="751"/>
        <v>0.78941311078597987</v>
      </c>
      <c r="J781" s="2">
        <f t="shared" ca="1" si="752"/>
        <v>1.4021932646500077E-2</v>
      </c>
      <c r="K781" s="2">
        <f t="shared" ca="1" si="753"/>
        <v>1.4021932646500077E-2</v>
      </c>
      <c r="L781" s="2">
        <f t="shared" ca="1" si="754"/>
        <v>0.96375617460998741</v>
      </c>
      <c r="M781" s="2">
        <f t="shared" ca="1" si="755"/>
        <v>3.5920863495376536E-2</v>
      </c>
      <c r="N781" s="2">
        <f t="shared" ca="1" si="756"/>
        <v>3.5920863495376536E-2</v>
      </c>
      <c r="O781" s="2">
        <f t="shared" si="757"/>
        <v>6000000</v>
      </c>
      <c r="P781" s="2">
        <f t="shared" ca="1" si="758"/>
        <v>41573939.84995643</v>
      </c>
      <c r="Q781" s="2">
        <f t="shared" ca="1" si="759"/>
        <v>1039348.4962489108</v>
      </c>
      <c r="R781" s="2">
        <f t="shared" ca="1" si="760"/>
        <v>24944363.909973856</v>
      </c>
      <c r="S781" s="2">
        <f t="shared" ca="1" si="761"/>
        <v>16629575.939982573</v>
      </c>
      <c r="T781" s="2">
        <f t="shared" ca="1" si="762"/>
        <v>51796043.174768828</v>
      </c>
      <c r="U781" s="2">
        <f t="shared" ca="1" si="763"/>
        <v>54738155.934149824</v>
      </c>
      <c r="V781" s="2">
        <f t="shared" ca="1" si="764"/>
        <v>57847386.236847892</v>
      </c>
      <c r="W781" s="2">
        <f t="shared" ca="1" si="765"/>
        <v>61133226.673925452</v>
      </c>
      <c r="X781" s="2">
        <f t="shared" ca="1" si="766"/>
        <v>64605709.03348726</v>
      </c>
      <c r="Y781" s="2">
        <f t="shared" ca="1" si="767"/>
        <v>0.12701096632325004</v>
      </c>
      <c r="Z781" s="2">
        <f t="shared" ca="1" si="768"/>
        <v>0.12981535285255005</v>
      </c>
      <c r="AA781" s="2">
        <f t="shared" ca="1" si="769"/>
        <v>6578665.4953481685</v>
      </c>
      <c r="AB781" s="2">
        <f t="shared" ca="1" si="770"/>
        <v>7105853.027089566</v>
      </c>
      <c r="AC781" s="2">
        <f t="shared" ca="1" si="771"/>
        <v>7509478.855934157</v>
      </c>
      <c r="AD781" s="2">
        <f t="shared" ca="1" si="772"/>
        <v>7936031.3916905578</v>
      </c>
      <c r="AE781" s="2">
        <f t="shared" ca="1" si="773"/>
        <v>8386812.9144713292</v>
      </c>
      <c r="AF781" s="2">
        <f t="shared" ca="1" si="774"/>
        <v>1035920.8634953765</v>
      </c>
      <c r="AG781" s="2">
        <f t="shared" ca="1" si="775"/>
        <v>1094763.1186829966</v>
      </c>
      <c r="AH781" s="2">
        <f t="shared" ca="1" si="776"/>
        <v>1156947.7247369578</v>
      </c>
      <c r="AI781" s="2">
        <f t="shared" ca="1" si="777"/>
        <v>1222664.5334785092</v>
      </c>
      <c r="AJ781" s="2">
        <f t="shared" ca="1" si="778"/>
        <v>1292114.1806697452</v>
      </c>
      <c r="AK781" s="2">
        <f t="shared" ca="1" si="779"/>
        <v>0</v>
      </c>
      <c r="AL781" s="2">
        <f t="shared" ca="1" si="780"/>
        <v>29421.127593809964</v>
      </c>
      <c r="AM781" s="2">
        <f t="shared" ca="1" si="781"/>
        <v>31092.303026980684</v>
      </c>
      <c r="AN781" s="2">
        <f t="shared" ca="1" si="782"/>
        <v>32858.404370775599</v>
      </c>
      <c r="AO781" s="2">
        <f t="shared" ca="1" si="783"/>
        <v>34724.823595618087</v>
      </c>
      <c r="AP781" s="2">
        <f t="shared" ca="1" si="784"/>
        <v>2244992.751897647</v>
      </c>
      <c r="AQ781" s="2">
        <f t="shared" ca="1" si="785"/>
        <v>857415.48878833768</v>
      </c>
      <c r="AR781" s="2">
        <f t="shared" ca="1" si="786"/>
        <v>979185.26069231995</v>
      </c>
      <c r="AS781" s="2">
        <f t="shared" ca="1" si="787"/>
        <v>1067959.9786178835</v>
      </c>
      <c r="AT781" s="2">
        <f t="shared" ca="1" si="788"/>
        <v>1161777.2676417443</v>
      </c>
      <c r="AU781" s="2">
        <f t="shared" ca="1" si="789"/>
        <v>1260923.5552950236</v>
      </c>
      <c r="AV781" s="2">
        <f t="shared" ca="1" si="790"/>
        <v>2440336.3911668072</v>
      </c>
      <c r="AW781" s="2">
        <f t="shared" ca="1" si="791"/>
        <v>2757490.768222793</v>
      </c>
      <c r="AX781" s="2">
        <f t="shared" ca="1" si="792"/>
        <v>3008486.0976546882</v>
      </c>
      <c r="AY781" s="2">
        <f t="shared" ca="1" si="793"/>
        <v>3273738.4343018811</v>
      </c>
      <c r="AZ781" s="2">
        <f t="shared" ca="1" si="794"/>
        <v>3554057.6030132947</v>
      </c>
      <c r="BA781" s="2">
        <f t="shared" ca="1" si="795"/>
        <v>64146886.160199113</v>
      </c>
      <c r="BB781" s="2">
        <f t="shared" ca="1" si="796"/>
        <v>1282937.7232039822</v>
      </c>
      <c r="BC781" s="2">
        <f t="shared" ca="1" si="797"/>
        <v>37919584.527021281</v>
      </c>
      <c r="BD781" s="2">
        <f t="shared" ca="1" si="798"/>
        <v>-18168924.436231483</v>
      </c>
      <c r="BE781" s="2">
        <f t="shared" ca="1" si="799"/>
        <v>2440336.3911668072</v>
      </c>
      <c r="BF781" s="2">
        <f t="shared" ca="1" si="800"/>
        <v>2757490.768222793</v>
      </c>
      <c r="BG781" s="2">
        <f t="shared" ca="1" si="801"/>
        <v>3008486.0976546882</v>
      </c>
      <c r="BH781" s="2">
        <f t="shared" ca="1" si="802"/>
        <v>3273738.4343018811</v>
      </c>
      <c r="BI781" s="2">
        <f t="shared" ca="1" si="803"/>
        <v>41473642.130034573</v>
      </c>
      <c r="BJ781" s="2">
        <f t="shared" ca="1" si="804"/>
        <v>0.28249745105998314</v>
      </c>
      <c r="BK781" s="2">
        <f t="shared" ca="1" si="805"/>
        <v>13963361.387570068</v>
      </c>
    </row>
    <row r="782" spans="1:63" x14ac:dyDescent="0.3">
      <c r="A782" s="2">
        <v>781</v>
      </c>
      <c r="B782" s="2">
        <f t="shared" ca="1" si="744"/>
        <v>0.36804341662927553</v>
      </c>
      <c r="C782" s="2">
        <f t="shared" ca="1" si="745"/>
        <v>6.8579550298579477</v>
      </c>
      <c r="D782" s="2">
        <f t="shared" ca="1" si="746"/>
        <v>0.8697422807968338</v>
      </c>
      <c r="E782" s="2">
        <f t="shared" ca="1" si="747"/>
        <v>7.9895928699495542</v>
      </c>
      <c r="F782" s="2">
        <f t="shared" ca="1" si="748"/>
        <v>0.79071090785965459</v>
      </c>
      <c r="G782" s="2">
        <f t="shared" ca="1" si="749"/>
        <v>6.4266712368259829E-2</v>
      </c>
      <c r="H782" s="2">
        <f t="shared" ca="1" si="750"/>
        <v>6.4266712368259829E-2</v>
      </c>
      <c r="I782" s="2">
        <f t="shared" ca="1" si="751"/>
        <v>0.43136226486769957</v>
      </c>
      <c r="J782" s="2">
        <f t="shared" ca="1" si="752"/>
        <v>9.1354650025974125E-3</v>
      </c>
      <c r="K782" s="2">
        <f t="shared" ca="1" si="753"/>
        <v>9.1354650025974125E-3</v>
      </c>
      <c r="L782" s="2">
        <f t="shared" ca="1" si="754"/>
        <v>6.0448646599986167E-2</v>
      </c>
      <c r="M782" s="2">
        <f t="shared" ca="1" si="755"/>
        <v>-3.102036644220045E-2</v>
      </c>
      <c r="N782" s="2">
        <f t="shared" ca="1" si="756"/>
        <v>-3.102036644220045E-2</v>
      </c>
      <c r="O782" s="2">
        <f t="shared" si="757"/>
        <v>6000000</v>
      </c>
      <c r="P782" s="2">
        <f t="shared" ca="1" si="758"/>
        <v>41147730.179147683</v>
      </c>
      <c r="Q782" s="2">
        <f t="shared" ca="1" si="759"/>
        <v>1028693.2544786921</v>
      </c>
      <c r="R782" s="2">
        <f t="shared" ca="1" si="760"/>
        <v>24688638.10748861</v>
      </c>
      <c r="S782" s="2">
        <f t="shared" ca="1" si="761"/>
        <v>16459092.071659073</v>
      </c>
      <c r="T782" s="2">
        <f t="shared" ca="1" si="762"/>
        <v>48448981.67788998</v>
      </c>
      <c r="U782" s="2">
        <f t="shared" ca="1" si="763"/>
        <v>51562638.447918028</v>
      </c>
      <c r="V782" s="2">
        <f t="shared" ca="1" si="764"/>
        <v>54876399.701998957</v>
      </c>
      <c r="W782" s="2">
        <f t="shared" ca="1" si="765"/>
        <v>58403125.497452982</v>
      </c>
      <c r="X782" s="2">
        <f t="shared" ca="1" si="766"/>
        <v>62156502.365205176</v>
      </c>
      <c r="Y782" s="2">
        <f t="shared" ca="1" si="767"/>
        <v>0.1245677325012987</v>
      </c>
      <c r="Z782" s="2">
        <f t="shared" ca="1" si="768"/>
        <v>0.12639482550181819</v>
      </c>
      <c r="AA782" s="2">
        <f t="shared" ca="1" si="769"/>
        <v>6035179.7896117205</v>
      </c>
      <c r="AB782" s="2">
        <f t="shared" ca="1" si="770"/>
        <v>6517250.6890379405</v>
      </c>
      <c r="AC782" s="2">
        <f t="shared" ca="1" si="771"/>
        <v>6936092.9645021856</v>
      </c>
      <c r="AD782" s="2">
        <f t="shared" ca="1" si="772"/>
        <v>7381852.8560113581</v>
      </c>
      <c r="AE782" s="2">
        <f t="shared" ca="1" si="773"/>
        <v>7856260.2702534581</v>
      </c>
      <c r="AF782" s="2">
        <f t="shared" ca="1" si="774"/>
        <v>968979.63355779962</v>
      </c>
      <c r="AG782" s="2">
        <f t="shared" ca="1" si="775"/>
        <v>1031252.7689583605</v>
      </c>
      <c r="AH782" s="2">
        <f t="shared" ca="1" si="776"/>
        <v>1097527.9940399791</v>
      </c>
      <c r="AI782" s="2">
        <f t="shared" ca="1" si="777"/>
        <v>1168062.5099490597</v>
      </c>
      <c r="AJ782" s="2">
        <f t="shared" ca="1" si="778"/>
        <v>1243130.0473041036</v>
      </c>
      <c r="AK782" s="2">
        <f t="shared" ca="1" si="779"/>
        <v>0</v>
      </c>
      <c r="AL782" s="2">
        <f t="shared" ca="1" si="780"/>
        <v>31136.567700280473</v>
      </c>
      <c r="AM782" s="2">
        <f t="shared" ca="1" si="781"/>
        <v>33137.612540809292</v>
      </c>
      <c r="AN782" s="2">
        <f t="shared" ca="1" si="782"/>
        <v>35267.257954540255</v>
      </c>
      <c r="AO782" s="2">
        <f t="shared" ca="1" si="783"/>
        <v>37533.768677521948</v>
      </c>
      <c r="AP782" s="2">
        <f t="shared" ca="1" si="784"/>
        <v>2221977.4296739749</v>
      </c>
      <c r="AQ782" s="2">
        <f t="shared" ca="1" si="785"/>
        <v>739497.9088587861</v>
      </c>
      <c r="AR782" s="2">
        <f t="shared" ca="1" si="786"/>
        <v>848645.32750545722</v>
      </c>
      <c r="AS782" s="2">
        <f t="shared" ca="1" si="787"/>
        <v>940312.76060494035</v>
      </c>
      <c r="AT782" s="2">
        <f t="shared" ca="1" si="788"/>
        <v>1037871.3582609643</v>
      </c>
      <c r="AU782" s="2">
        <f t="shared" ca="1" si="789"/>
        <v>1141699.7262515984</v>
      </c>
      <c r="AV782" s="2">
        <f t="shared" ca="1" si="790"/>
        <v>2104724.81752116</v>
      </c>
      <c r="AW782" s="2">
        <f t="shared" ca="1" si="791"/>
        <v>2384238.5951998667</v>
      </c>
      <c r="AX782" s="2">
        <f t="shared" ca="1" si="792"/>
        <v>2643137.1676424821</v>
      </c>
      <c r="AY782" s="2">
        <f t="shared" ca="1" si="793"/>
        <v>2918674.3001728193</v>
      </c>
      <c r="AZ782" s="2">
        <f t="shared" ca="1" si="794"/>
        <v>3211919.2983462592</v>
      </c>
      <c r="BA782" s="2">
        <f t="shared" ca="1" si="795"/>
        <v>62768321.039684989</v>
      </c>
      <c r="BB782" s="2">
        <f t="shared" ca="1" si="796"/>
        <v>1255366.4207936998</v>
      </c>
      <c r="BC782" s="2">
        <f t="shared" ca="1" si="797"/>
        <v>36824316.511402681</v>
      </c>
      <c r="BD782" s="2">
        <f t="shared" ca="1" si="798"/>
        <v>-17987785.326137766</v>
      </c>
      <c r="BE782" s="2">
        <f t="shared" ca="1" si="799"/>
        <v>2104724.81752116</v>
      </c>
      <c r="BF782" s="2">
        <f t="shared" ca="1" si="800"/>
        <v>2384238.5951998667</v>
      </c>
      <c r="BG782" s="2">
        <f t="shared" ca="1" si="801"/>
        <v>2643137.1676424821</v>
      </c>
      <c r="BH782" s="2">
        <f t="shared" ca="1" si="802"/>
        <v>2918674.3001728193</v>
      </c>
      <c r="BI782" s="2">
        <f t="shared" ca="1" si="803"/>
        <v>40036235.80974894</v>
      </c>
      <c r="BJ782" s="2">
        <f t="shared" ca="1" si="804"/>
        <v>0.264510200318399</v>
      </c>
      <c r="BK782" s="2">
        <f t="shared" ca="1" si="805"/>
        <v>12245972.182907898</v>
      </c>
    </row>
    <row r="783" spans="1:63" x14ac:dyDescent="0.3">
      <c r="A783" s="2">
        <v>782</v>
      </c>
      <c r="B783" s="2">
        <f t="shared" ca="1" si="744"/>
        <v>9.2679290816670923E-2</v>
      </c>
      <c r="C783" s="2">
        <f t="shared" ca="1" si="745"/>
        <v>6.4305329042400148</v>
      </c>
      <c r="D783" s="2">
        <f t="shared" ca="1" si="746"/>
        <v>0.34399167252645158</v>
      </c>
      <c r="E783" s="2">
        <f t="shared" ca="1" si="747"/>
        <v>7.3294476144114844</v>
      </c>
      <c r="F783" s="2">
        <f t="shared" ca="1" si="748"/>
        <v>2.483796157011442E-2</v>
      </c>
      <c r="G783" s="2">
        <f t="shared" ca="1" si="749"/>
        <v>-1.8882321180735885E-2</v>
      </c>
      <c r="H783" s="2">
        <f t="shared" ca="1" si="750"/>
        <v>-1.8882321180735885E-2</v>
      </c>
      <c r="I783" s="2">
        <f t="shared" ca="1" si="751"/>
        <v>0.26706895769846883</v>
      </c>
      <c r="J783" s="2">
        <f t="shared" ca="1" si="752"/>
        <v>6.8914906014260766E-3</v>
      </c>
      <c r="K783" s="2">
        <f t="shared" ca="1" si="753"/>
        <v>6.8914906014260766E-3</v>
      </c>
      <c r="L783" s="2">
        <f t="shared" ca="1" si="754"/>
        <v>0.12381665123298013</v>
      </c>
      <c r="M783" s="2">
        <f t="shared" ca="1" si="755"/>
        <v>-2.3122340043603324E-2</v>
      </c>
      <c r="N783" s="2">
        <f t="shared" ca="1" si="756"/>
        <v>-2.3122340043603324E-2</v>
      </c>
      <c r="O783" s="2">
        <f t="shared" si="757"/>
        <v>6000000</v>
      </c>
      <c r="P783" s="2">
        <f t="shared" ca="1" si="758"/>
        <v>38583197.425440088</v>
      </c>
      <c r="Q783" s="2">
        <f t="shared" ca="1" si="759"/>
        <v>964579.93563600222</v>
      </c>
      <c r="R783" s="2">
        <f t="shared" ca="1" si="760"/>
        <v>23149918.455264051</v>
      </c>
      <c r="S783" s="2">
        <f t="shared" ca="1" si="761"/>
        <v>15433278.970176036</v>
      </c>
      <c r="T783" s="2">
        <f t="shared" ca="1" si="762"/>
        <v>48843882.997819833</v>
      </c>
      <c r="U783" s="2">
        <f t="shared" ca="1" si="763"/>
        <v>47921597.111340716</v>
      </c>
      <c r="V783" s="2">
        <f t="shared" ca="1" si="764"/>
        <v>47016726.123190559</v>
      </c>
      <c r="W783" s="2">
        <f t="shared" ca="1" si="765"/>
        <v>46128941.199665785</v>
      </c>
      <c r="X783" s="2">
        <f t="shared" ca="1" si="766"/>
        <v>45257919.716206416</v>
      </c>
      <c r="Y783" s="2">
        <f t="shared" ca="1" si="767"/>
        <v>0.12344574530071303</v>
      </c>
      <c r="Z783" s="2">
        <f t="shared" ca="1" si="768"/>
        <v>0.12482404342099825</v>
      </c>
      <c r="AA783" s="2">
        <f t="shared" ca="1" si="769"/>
        <v>6029569.5400466947</v>
      </c>
      <c r="AB783" s="2">
        <f t="shared" ca="1" si="770"/>
        <v>5981767.5186295779</v>
      </c>
      <c r="AC783" s="2">
        <f t="shared" ca="1" si="771"/>
        <v>5868817.8631143207</v>
      </c>
      <c r="AD783" s="2">
        <f t="shared" ca="1" si="772"/>
        <v>5758000.9592717569</v>
      </c>
      <c r="AE783" s="2">
        <f t="shared" ca="1" si="773"/>
        <v>5649276.5357998023</v>
      </c>
      <c r="AF783" s="2">
        <f t="shared" ca="1" si="774"/>
        <v>976877.65995639667</v>
      </c>
      <c r="AG783" s="2">
        <f t="shared" ca="1" si="775"/>
        <v>958431.94222681434</v>
      </c>
      <c r="AH783" s="2">
        <f t="shared" ca="1" si="776"/>
        <v>940334.52246381121</v>
      </c>
      <c r="AI783" s="2">
        <f t="shared" ca="1" si="777"/>
        <v>922578.82399331569</v>
      </c>
      <c r="AJ783" s="2">
        <f t="shared" ca="1" si="778"/>
        <v>905158.3943241284</v>
      </c>
      <c r="AK783" s="2">
        <f t="shared" ca="1" si="779"/>
        <v>0</v>
      </c>
      <c r="AL783" s="2">
        <f t="shared" ca="1" si="780"/>
        <v>0</v>
      </c>
      <c r="AM783" s="2">
        <f t="shared" ca="1" si="781"/>
        <v>0</v>
      </c>
      <c r="AN783" s="2">
        <f t="shared" ca="1" si="782"/>
        <v>0</v>
      </c>
      <c r="AO783" s="2">
        <f t="shared" ca="1" si="783"/>
        <v>0</v>
      </c>
      <c r="AP783" s="2">
        <f t="shared" ca="1" si="784"/>
        <v>2083492.6609737645</v>
      </c>
      <c r="AQ783" s="2">
        <f t="shared" ca="1" si="785"/>
        <v>771991.79697029875</v>
      </c>
      <c r="AR783" s="2">
        <f t="shared" ca="1" si="786"/>
        <v>764359.15801153984</v>
      </c>
      <c r="AS783" s="2">
        <f t="shared" ca="1" si="787"/>
        <v>739697.57671595365</v>
      </c>
      <c r="AT783" s="2">
        <f t="shared" ca="1" si="788"/>
        <v>715501.66331921588</v>
      </c>
      <c r="AU783" s="2">
        <f t="shared" ca="1" si="789"/>
        <v>691762.62493049644</v>
      </c>
      <c r="AV783" s="2">
        <f t="shared" ca="1" si="790"/>
        <v>2197207.4221462351</v>
      </c>
      <c r="AW783" s="2">
        <f t="shared" ca="1" si="791"/>
        <v>2175483.7574174595</v>
      </c>
      <c r="AX783" s="2">
        <f t="shared" ca="1" si="792"/>
        <v>2105293.102960791</v>
      </c>
      <c r="AY783" s="2">
        <f t="shared" ca="1" si="793"/>
        <v>2036427.8109854604</v>
      </c>
      <c r="AZ783" s="2">
        <f t="shared" ca="1" si="794"/>
        <v>1968862.8555714129</v>
      </c>
      <c r="BA783" s="2">
        <f t="shared" ca="1" si="795"/>
        <v>41406076.428468637</v>
      </c>
      <c r="BB783" s="2">
        <f t="shared" ca="1" si="796"/>
        <v>828121.52856937272</v>
      </c>
      <c r="BC783" s="2">
        <f t="shared" ca="1" si="797"/>
        <v>17428036.444635212</v>
      </c>
      <c r="BD783" s="2">
        <f t="shared" ca="1" si="798"/>
        <v>-16897858.90581204</v>
      </c>
      <c r="BE783" s="2">
        <f t="shared" ca="1" si="799"/>
        <v>2197207.4221462351</v>
      </c>
      <c r="BF783" s="2">
        <f t="shared" ca="1" si="800"/>
        <v>2175483.7574174595</v>
      </c>
      <c r="BG783" s="2">
        <f t="shared" ca="1" si="801"/>
        <v>2105293.102960791</v>
      </c>
      <c r="BH783" s="2">
        <f t="shared" ca="1" si="802"/>
        <v>2036427.8109854604</v>
      </c>
      <c r="BI783" s="2">
        <f t="shared" ca="1" si="803"/>
        <v>19396899.300206624</v>
      </c>
      <c r="BJ783" s="2">
        <f t="shared" ca="1" si="804"/>
        <v>0.12976878074868625</v>
      </c>
      <c r="BK783" s="2">
        <f t="shared" ca="1" si="805"/>
        <v>597230.08391431719</v>
      </c>
    </row>
    <row r="784" spans="1:63" x14ac:dyDescent="0.3">
      <c r="A784" s="2">
        <v>783</v>
      </c>
      <c r="B784" s="2">
        <f t="shared" ca="1" si="744"/>
        <v>0.64212524361741574</v>
      </c>
      <c r="C784" s="2">
        <f t="shared" ca="1" si="745"/>
        <v>7.1539801936330516</v>
      </c>
      <c r="D784" s="2">
        <f t="shared" ca="1" si="746"/>
        <v>7.2426942467820332E-2</v>
      </c>
      <c r="E784" s="2">
        <f t="shared" ca="1" si="747"/>
        <v>6.8805967484564743</v>
      </c>
      <c r="F784" s="2">
        <f t="shared" ca="1" si="748"/>
        <v>2.0415272879323321E-2</v>
      </c>
      <c r="G784" s="2">
        <f t="shared" ca="1" si="749"/>
        <v>-2.1357400018332591E-2</v>
      </c>
      <c r="H784" s="2">
        <f t="shared" ca="1" si="750"/>
        <v>-0.02</v>
      </c>
      <c r="I784" s="2">
        <f t="shared" ca="1" si="751"/>
        <v>6.3376855581841252E-2</v>
      </c>
      <c r="J784" s="2">
        <f t="shared" ca="1" si="752"/>
        <v>2.3648532076523355E-3</v>
      </c>
      <c r="K784" s="2">
        <f t="shared" ca="1" si="753"/>
        <v>2.3648532076523355E-3</v>
      </c>
      <c r="L784" s="2">
        <f t="shared" ca="1" si="754"/>
        <v>9.10439319309575E-2</v>
      </c>
      <c r="M784" s="2">
        <f t="shared" ca="1" si="755"/>
        <v>-2.6687080251816403E-2</v>
      </c>
      <c r="N784" s="2">
        <f t="shared" ca="1" si="756"/>
        <v>-2.6687080251816403E-2</v>
      </c>
      <c r="O784" s="2">
        <f t="shared" si="757"/>
        <v>6000000</v>
      </c>
      <c r="P784" s="2">
        <f t="shared" ca="1" si="758"/>
        <v>42923881.161798313</v>
      </c>
      <c r="Q784" s="2">
        <f t="shared" ca="1" si="759"/>
        <v>1073097.0290449578</v>
      </c>
      <c r="R784" s="2">
        <f t="shared" ca="1" si="760"/>
        <v>25754328.697078988</v>
      </c>
      <c r="S784" s="2">
        <f t="shared" ca="1" si="761"/>
        <v>17169552.464719325</v>
      </c>
      <c r="T784" s="2">
        <f t="shared" ca="1" si="762"/>
        <v>48665645.987409182</v>
      </c>
      <c r="U784" s="2">
        <f t="shared" ca="1" si="763"/>
        <v>47692333.067660995</v>
      </c>
      <c r="V784" s="2">
        <f t="shared" ca="1" si="764"/>
        <v>46738486.406307772</v>
      </c>
      <c r="W784" s="2">
        <f t="shared" ca="1" si="765"/>
        <v>45803716.678181618</v>
      </c>
      <c r="X784" s="2">
        <f t="shared" ca="1" si="766"/>
        <v>44887642.344617985</v>
      </c>
      <c r="Y784" s="2">
        <f t="shared" ca="1" si="767"/>
        <v>0.12118242660382617</v>
      </c>
      <c r="Z784" s="2">
        <f t="shared" ca="1" si="768"/>
        <v>0.12165539724535664</v>
      </c>
      <c r="AA784" s="2">
        <f t="shared" ca="1" si="769"/>
        <v>5897421.0729970001</v>
      </c>
      <c r="AB784" s="2">
        <f t="shared" ca="1" si="770"/>
        <v>5802029.7249041563</v>
      </c>
      <c r="AC784" s="2">
        <f t="shared" ca="1" si="771"/>
        <v>5685989.1304060733</v>
      </c>
      <c r="AD784" s="2">
        <f t="shared" ca="1" si="772"/>
        <v>5572269.3477979517</v>
      </c>
      <c r="AE784" s="2">
        <f t="shared" ca="1" si="773"/>
        <v>5460823.9608419929</v>
      </c>
      <c r="AF784" s="2">
        <f t="shared" ca="1" si="774"/>
        <v>973312.91974818369</v>
      </c>
      <c r="AG784" s="2">
        <f t="shared" ca="1" si="775"/>
        <v>953846.66135321988</v>
      </c>
      <c r="AH784" s="2">
        <f t="shared" ca="1" si="776"/>
        <v>934769.72812615545</v>
      </c>
      <c r="AI784" s="2">
        <f t="shared" ca="1" si="777"/>
        <v>916074.33356363233</v>
      </c>
      <c r="AJ784" s="2">
        <f t="shared" ca="1" si="778"/>
        <v>897752.84689235967</v>
      </c>
      <c r="AK784" s="2">
        <f t="shared" ca="1" si="779"/>
        <v>0</v>
      </c>
      <c r="AL784" s="2">
        <f t="shared" ca="1" si="780"/>
        <v>0</v>
      </c>
      <c r="AM784" s="2">
        <f t="shared" ca="1" si="781"/>
        <v>0</v>
      </c>
      <c r="AN784" s="2">
        <f t="shared" ca="1" si="782"/>
        <v>0</v>
      </c>
      <c r="AO784" s="2">
        <f t="shared" ca="1" si="783"/>
        <v>0</v>
      </c>
      <c r="AP784" s="2">
        <f t="shared" ca="1" si="784"/>
        <v>2317889.5827371087</v>
      </c>
      <c r="AQ784" s="2">
        <f t="shared" ca="1" si="785"/>
        <v>677616.82833304408</v>
      </c>
      <c r="AR784" s="2">
        <f t="shared" ca="1" si="786"/>
        <v>657876.30501159513</v>
      </c>
      <c r="AS784" s="2">
        <f t="shared" ca="1" si="787"/>
        <v>632665.75308113045</v>
      </c>
      <c r="AT784" s="2">
        <f t="shared" ca="1" si="788"/>
        <v>607959.41218927479</v>
      </c>
      <c r="AU784" s="2">
        <f t="shared" ca="1" si="789"/>
        <v>583747.19811525638</v>
      </c>
      <c r="AV784" s="2">
        <f t="shared" ca="1" si="790"/>
        <v>1928601.7421786636</v>
      </c>
      <c r="AW784" s="2">
        <f t="shared" ca="1" si="791"/>
        <v>1872417.1758022322</v>
      </c>
      <c r="AX784" s="2">
        <f t="shared" ca="1" si="792"/>
        <v>1800664.0664616791</v>
      </c>
      <c r="AY784" s="2">
        <f t="shared" ca="1" si="793"/>
        <v>1730346.0193079356</v>
      </c>
      <c r="AZ784" s="2">
        <f t="shared" ca="1" si="794"/>
        <v>1661434.3330972679</v>
      </c>
      <c r="BA784" s="2">
        <f t="shared" ca="1" si="795"/>
        <v>37573727.58886262</v>
      </c>
      <c r="BB784" s="2">
        <f t="shared" ca="1" si="796"/>
        <v>751474.55177725246</v>
      </c>
      <c r="BC784" s="2">
        <f t="shared" ca="1" si="797"/>
        <v>11067924.340006379</v>
      </c>
      <c r="BD784" s="2">
        <f t="shared" ca="1" si="798"/>
        <v>-18742649.493764281</v>
      </c>
      <c r="BE784" s="2">
        <f t="shared" ca="1" si="799"/>
        <v>1928601.7421786636</v>
      </c>
      <c r="BF784" s="2">
        <f t="shared" ca="1" si="800"/>
        <v>1872417.1758022322</v>
      </c>
      <c r="BG784" s="2">
        <f t="shared" ca="1" si="801"/>
        <v>1800664.0664616791</v>
      </c>
      <c r="BH784" s="2">
        <f t="shared" ca="1" si="802"/>
        <v>1730346.0193079356</v>
      </c>
      <c r="BI784" s="2">
        <f t="shared" ca="1" si="803"/>
        <v>12729358.673103647</v>
      </c>
      <c r="BJ784" s="2">
        <f t="shared" ca="1" si="804"/>
        <v>1.6917570116689928E-2</v>
      </c>
      <c r="BK784" s="2">
        <f t="shared" ca="1" si="805"/>
        <v>-5923680.8839481119</v>
      </c>
    </row>
    <row r="785" spans="1:63" x14ac:dyDescent="0.3">
      <c r="A785" s="2">
        <v>784</v>
      </c>
      <c r="B785" s="2">
        <f t="shared" ca="1" si="744"/>
        <v>1.196937230069095E-2</v>
      </c>
      <c r="C785" s="2">
        <f t="shared" ca="1" si="745"/>
        <v>6.1547215065896852</v>
      </c>
      <c r="D785" s="2">
        <f t="shared" ca="1" si="746"/>
        <v>0.58449577005803932</v>
      </c>
      <c r="E785" s="2">
        <f t="shared" ca="1" si="747"/>
        <v>7.588403345835494</v>
      </c>
      <c r="F785" s="2">
        <f t="shared" ca="1" si="748"/>
        <v>0.76271948517668797</v>
      </c>
      <c r="G785" s="2">
        <f t="shared" ca="1" si="749"/>
        <v>6.1452331143054345E-2</v>
      </c>
      <c r="H785" s="2">
        <f t="shared" ca="1" si="750"/>
        <v>6.1452331143054345E-2</v>
      </c>
      <c r="I785" s="2">
        <f t="shared" ca="1" si="751"/>
        <v>0.91934535263782813</v>
      </c>
      <c r="J785" s="2">
        <f t="shared" ca="1" si="752"/>
        <v>1.7003408211103035E-2</v>
      </c>
      <c r="K785" s="2">
        <f t="shared" ca="1" si="753"/>
        <v>1.7003408211103035E-2</v>
      </c>
      <c r="L785" s="2">
        <f t="shared" ca="1" si="754"/>
        <v>0.95140398006416882</v>
      </c>
      <c r="M785" s="2">
        <f t="shared" ca="1" si="755"/>
        <v>3.3172434634839099E-2</v>
      </c>
      <c r="N785" s="2">
        <f t="shared" ca="1" si="756"/>
        <v>3.3172434634839099E-2</v>
      </c>
      <c r="O785" s="2">
        <f t="shared" si="757"/>
        <v>6000000</v>
      </c>
      <c r="P785" s="2">
        <f t="shared" ca="1" si="758"/>
        <v>36928329.039538108</v>
      </c>
      <c r="Q785" s="2">
        <f t="shared" ca="1" si="759"/>
        <v>923208.22598845279</v>
      </c>
      <c r="R785" s="2">
        <f t="shared" ca="1" si="760"/>
        <v>22156997.423722863</v>
      </c>
      <c r="S785" s="2">
        <f t="shared" ca="1" si="761"/>
        <v>14771331.615815245</v>
      </c>
      <c r="T785" s="2">
        <f t="shared" ca="1" si="762"/>
        <v>51658621.731741957</v>
      </c>
      <c r="U785" s="2">
        <f t="shared" ca="1" si="763"/>
        <v>54833164.460794747</v>
      </c>
      <c r="V785" s="2">
        <f t="shared" ca="1" si="764"/>
        <v>58202790.240861066</v>
      </c>
      <c r="W785" s="2">
        <f t="shared" ca="1" si="765"/>
        <v>61779487.38019219</v>
      </c>
      <c r="X785" s="2">
        <f t="shared" ca="1" si="766"/>
        <v>65575980.896527909</v>
      </c>
      <c r="Y785" s="2">
        <f t="shared" ca="1" si="767"/>
        <v>0.12850170410555151</v>
      </c>
      <c r="Z785" s="2">
        <f t="shared" ca="1" si="768"/>
        <v>0.13190238574777213</v>
      </c>
      <c r="AA785" s="2">
        <f t="shared" ca="1" si="769"/>
        <v>6638220.9242729181</v>
      </c>
      <c r="AB785" s="2">
        <f t="shared" ca="1" si="770"/>
        <v>7232625.210478778</v>
      </c>
      <c r="AC785" s="2">
        <f t="shared" ca="1" si="771"/>
        <v>7677086.8899467234</v>
      </c>
      <c r="AD785" s="2">
        <f t="shared" ca="1" si="772"/>
        <v>8148861.7757217307</v>
      </c>
      <c r="AE785" s="2">
        <f t="shared" ca="1" si="773"/>
        <v>8649628.3280023597</v>
      </c>
      <c r="AF785" s="2">
        <f t="shared" ca="1" si="774"/>
        <v>1033172.4346348392</v>
      </c>
      <c r="AG785" s="2">
        <f t="shared" ca="1" si="775"/>
        <v>1096663.2892158949</v>
      </c>
      <c r="AH785" s="2">
        <f t="shared" ca="1" si="776"/>
        <v>1164055.8048172214</v>
      </c>
      <c r="AI785" s="2">
        <f t="shared" ca="1" si="777"/>
        <v>1235589.7476038439</v>
      </c>
      <c r="AJ785" s="2">
        <f t="shared" ca="1" si="778"/>
        <v>1311519.6179305583</v>
      </c>
      <c r="AK785" s="2">
        <f t="shared" ca="1" si="779"/>
        <v>0</v>
      </c>
      <c r="AL785" s="2">
        <f t="shared" ca="1" si="780"/>
        <v>31745.427290527896</v>
      </c>
      <c r="AM785" s="2">
        <f t="shared" ca="1" si="781"/>
        <v>33696.257800663188</v>
      </c>
      <c r="AN785" s="2">
        <f t="shared" ca="1" si="782"/>
        <v>35766.971393311251</v>
      </c>
      <c r="AO785" s="2">
        <f t="shared" ca="1" si="783"/>
        <v>37964.935163357186</v>
      </c>
      <c r="AP785" s="2">
        <f t="shared" ca="1" si="784"/>
        <v>1994129.7681350575</v>
      </c>
      <c r="AQ785" s="2">
        <f t="shared" ca="1" si="785"/>
        <v>938838.86759078549</v>
      </c>
      <c r="AR785" s="2">
        <f t="shared" ca="1" si="786"/>
        <v>1076876.3598132345</v>
      </c>
      <c r="AS785" s="2">
        <f t="shared" ca="1" si="787"/>
        <v>1174914.3424185556</v>
      </c>
      <c r="AT785" s="2">
        <f t="shared" ca="1" si="788"/>
        <v>1278976.9875955356</v>
      </c>
      <c r="AU785" s="2">
        <f t="shared" ca="1" si="789"/>
        <v>1389434.5249035533</v>
      </c>
      <c r="AV785" s="2">
        <f t="shared" ca="1" si="790"/>
        <v>2672079.8539122362</v>
      </c>
      <c r="AW785" s="2">
        <f t="shared" ca="1" si="791"/>
        <v>3033210.366024062</v>
      </c>
      <c r="AX785" s="2">
        <f t="shared" ca="1" si="792"/>
        <v>3310290.7167752255</v>
      </c>
      <c r="AY785" s="2">
        <f t="shared" ca="1" si="793"/>
        <v>3604398.3009939818</v>
      </c>
      <c r="AZ785" s="2">
        <f t="shared" ca="1" si="794"/>
        <v>3916579.4818698326</v>
      </c>
      <c r="BA785" s="2">
        <f t="shared" ca="1" si="795"/>
        <v>65636868.54444658</v>
      </c>
      <c r="BB785" s="2">
        <f t="shared" ca="1" si="796"/>
        <v>1312737.3708889317</v>
      </c>
      <c r="BC785" s="2">
        <f t="shared" ca="1" si="797"/>
        <v>42167133.749834783</v>
      </c>
      <c r="BD785" s="2">
        <f t="shared" ca="1" si="798"/>
        <v>-16194539.841803698</v>
      </c>
      <c r="BE785" s="2">
        <f t="shared" ca="1" si="799"/>
        <v>2672079.8539122362</v>
      </c>
      <c r="BF785" s="2">
        <f t="shared" ca="1" si="800"/>
        <v>3033210.366024062</v>
      </c>
      <c r="BG785" s="2">
        <f t="shared" ca="1" si="801"/>
        <v>3310290.7167752255</v>
      </c>
      <c r="BH785" s="2">
        <f t="shared" ca="1" si="802"/>
        <v>3604398.3009939818</v>
      </c>
      <c r="BI785" s="2">
        <f t="shared" ca="1" si="803"/>
        <v>46083713.231704615</v>
      </c>
      <c r="BJ785" s="2">
        <f t="shared" ca="1" si="804"/>
        <v>0.35327896698093264</v>
      </c>
      <c r="BK785" s="2">
        <f t="shared" ca="1" si="805"/>
        <v>19405298.802842967</v>
      </c>
    </row>
    <row r="786" spans="1:63" x14ac:dyDescent="0.3">
      <c r="A786" s="2">
        <v>785</v>
      </c>
      <c r="B786" s="2">
        <f t="shared" ca="1" si="744"/>
        <v>0.18145947868733414</v>
      </c>
      <c r="C786" s="2">
        <f t="shared" ca="1" si="745"/>
        <v>6.6024275536316948</v>
      </c>
      <c r="D786" s="2">
        <f t="shared" ca="1" si="746"/>
        <v>0.87464507384643309</v>
      </c>
      <c r="E786" s="2">
        <f t="shared" ca="1" si="747"/>
        <v>7.9992906508690558</v>
      </c>
      <c r="F786" s="2">
        <f t="shared" ca="1" si="748"/>
        <v>0.51359270070482066</v>
      </c>
      <c r="G786" s="2">
        <f t="shared" ca="1" si="749"/>
        <v>4.1022353286332379E-2</v>
      </c>
      <c r="H786" s="2">
        <f t="shared" ca="1" si="750"/>
        <v>4.1022353286332379E-2</v>
      </c>
      <c r="I786" s="2">
        <f t="shared" ca="1" si="751"/>
        <v>9.5012837465746625E-3</v>
      </c>
      <c r="J786" s="2">
        <f t="shared" ca="1" si="752"/>
        <v>-1.7274029979180757E-3</v>
      </c>
      <c r="K786" s="2">
        <f t="shared" ca="1" si="753"/>
        <v>0</v>
      </c>
      <c r="L786" s="2">
        <f t="shared" ca="1" si="754"/>
        <v>0.79483246338953861</v>
      </c>
      <c r="M786" s="2">
        <f t="shared" ca="1" si="755"/>
        <v>1.6466082332445481E-2</v>
      </c>
      <c r="N786" s="2">
        <f t="shared" ca="1" si="756"/>
        <v>1.6466082332445481E-2</v>
      </c>
      <c r="O786" s="2">
        <f t="shared" si="757"/>
        <v>6000000</v>
      </c>
      <c r="P786" s="2">
        <f t="shared" ca="1" si="758"/>
        <v>39614565.321790166</v>
      </c>
      <c r="Q786" s="2">
        <f t="shared" ca="1" si="759"/>
        <v>990364.13304475415</v>
      </c>
      <c r="R786" s="2">
        <f t="shared" ca="1" si="760"/>
        <v>23768739.1930741</v>
      </c>
      <c r="S786" s="2">
        <f t="shared" ca="1" si="761"/>
        <v>15845826.128716066</v>
      </c>
      <c r="T786" s="2">
        <f t="shared" ca="1" si="762"/>
        <v>50823304.116622269</v>
      </c>
      <c r="U786" s="2">
        <f t="shared" ca="1" si="763"/>
        <v>52908195.653273053</v>
      </c>
      <c r="V786" s="2">
        <f t="shared" ca="1" si="764"/>
        <v>55078614.347104013</v>
      </c>
      <c r="W786" s="2">
        <f t="shared" ca="1" si="765"/>
        <v>57338068.723372564</v>
      </c>
      <c r="X786" s="2">
        <f t="shared" ca="1" si="766"/>
        <v>59690211.235298753</v>
      </c>
      <c r="Y786" s="2">
        <f t="shared" ca="1" si="767"/>
        <v>0.12</v>
      </c>
      <c r="Z786" s="2">
        <f t="shared" ca="1" si="768"/>
        <v>0.12</v>
      </c>
      <c r="AA786" s="2">
        <f t="shared" ca="1" si="769"/>
        <v>6098796.4939946719</v>
      </c>
      <c r="AB786" s="2">
        <f t="shared" ca="1" si="770"/>
        <v>6348983.4783927659</v>
      </c>
      <c r="AC786" s="2">
        <f t="shared" ca="1" si="771"/>
        <v>6609433.7216524817</v>
      </c>
      <c r="AD786" s="2">
        <f t="shared" ca="1" si="772"/>
        <v>6880568.2468047077</v>
      </c>
      <c r="AE786" s="2">
        <f t="shared" ca="1" si="773"/>
        <v>7162825.3482358502</v>
      </c>
      <c r="AF786" s="2">
        <f t="shared" ca="1" si="774"/>
        <v>1016466.0823324454</v>
      </c>
      <c r="AG786" s="2">
        <f t="shared" ca="1" si="775"/>
        <v>1058163.913065461</v>
      </c>
      <c r="AH786" s="2">
        <f t="shared" ca="1" si="776"/>
        <v>1101572.2869420804</v>
      </c>
      <c r="AI786" s="2">
        <f t="shared" ca="1" si="777"/>
        <v>1146761.3744674514</v>
      </c>
      <c r="AJ786" s="2">
        <f t="shared" ca="1" si="778"/>
        <v>1193804.224705975</v>
      </c>
      <c r="AK786" s="2">
        <f t="shared" ca="1" si="779"/>
        <v>0</v>
      </c>
      <c r="AL786" s="2">
        <f t="shared" ca="1" si="780"/>
        <v>20848.915366507845</v>
      </c>
      <c r="AM786" s="2">
        <f t="shared" ca="1" si="781"/>
        <v>21704.186938309595</v>
      </c>
      <c r="AN786" s="2">
        <f t="shared" ca="1" si="782"/>
        <v>22594.543762685509</v>
      </c>
      <c r="AO786" s="2">
        <f t="shared" ca="1" si="783"/>
        <v>23521.42511926189</v>
      </c>
      <c r="AP786" s="2">
        <f t="shared" ca="1" si="784"/>
        <v>2139186.527376669</v>
      </c>
      <c r="AQ786" s="2">
        <f t="shared" ca="1" si="785"/>
        <v>765217.40991424501</v>
      </c>
      <c r="AR786" s="2">
        <f t="shared" ca="1" si="786"/>
        <v>819424.58986716543</v>
      </c>
      <c r="AS786" s="2">
        <f t="shared" ca="1" si="787"/>
        <v>875855.47590677033</v>
      </c>
      <c r="AT786" s="2">
        <f t="shared" ca="1" si="788"/>
        <v>934601.28968975286</v>
      </c>
      <c r="AU786" s="2">
        <f t="shared" ca="1" si="789"/>
        <v>995756.99499983375</v>
      </c>
      <c r="AV786" s="2">
        <f t="shared" ca="1" si="790"/>
        <v>2177926.4743713127</v>
      </c>
      <c r="AW786" s="2">
        <f t="shared" ca="1" si="791"/>
        <v>2311359.532716963</v>
      </c>
      <c r="AX786" s="2">
        <f t="shared" ca="1" si="792"/>
        <v>2471115.2444886514</v>
      </c>
      <c r="AY786" s="2">
        <f t="shared" ca="1" si="793"/>
        <v>2637424.5115081486</v>
      </c>
      <c r="AZ786" s="2">
        <f t="shared" ca="1" si="794"/>
        <v>2810556.1760341111</v>
      </c>
      <c r="BA786" s="2">
        <f t="shared" ca="1" si="795"/>
        <v>57297521.841950923</v>
      </c>
      <c r="BB786" s="2">
        <f t="shared" ca="1" si="796"/>
        <v>1145950.4368390185</v>
      </c>
      <c r="BC786" s="2">
        <f t="shared" ca="1" si="797"/>
        <v>32382832.212037805</v>
      </c>
      <c r="BD786" s="2">
        <f t="shared" ca="1" si="798"/>
        <v>-17336190.26176082</v>
      </c>
      <c r="BE786" s="2">
        <f t="shared" ca="1" si="799"/>
        <v>2177926.4743713127</v>
      </c>
      <c r="BF786" s="2">
        <f t="shared" ca="1" si="800"/>
        <v>2311359.532716963</v>
      </c>
      <c r="BG786" s="2">
        <f t="shared" ca="1" si="801"/>
        <v>2471115.2444886514</v>
      </c>
      <c r="BH786" s="2">
        <f t="shared" ca="1" si="802"/>
        <v>2637424.5115081486</v>
      </c>
      <c r="BI786" s="2">
        <f t="shared" ca="1" si="803"/>
        <v>35193388.388071917</v>
      </c>
      <c r="BJ786" s="2">
        <f t="shared" ca="1" si="804"/>
        <v>0.24583734898991461</v>
      </c>
      <c r="BK786" s="2">
        <f t="shared" ca="1" si="805"/>
        <v>9855684.3095166236</v>
      </c>
    </row>
    <row r="787" spans="1:63" x14ac:dyDescent="0.3">
      <c r="A787" s="2">
        <v>786</v>
      </c>
      <c r="B787" s="2">
        <f t="shared" ca="1" si="744"/>
        <v>0.63639477302547076</v>
      </c>
      <c r="C787" s="2">
        <f t="shared" ca="1" si="745"/>
        <v>7.1472336463315065</v>
      </c>
      <c r="D787" s="2">
        <f t="shared" ca="1" si="746"/>
        <v>0.79668170617916467</v>
      </c>
      <c r="E787" s="2">
        <f t="shared" ca="1" si="747"/>
        <v>7.8623193686164914</v>
      </c>
      <c r="F787" s="2">
        <f t="shared" ca="1" si="748"/>
        <v>4.0801294992955595E-2</v>
      </c>
      <c r="G787" s="2">
        <f t="shared" ca="1" si="749"/>
        <v>-1.224386661211227E-2</v>
      </c>
      <c r="H787" s="2">
        <f t="shared" ca="1" si="750"/>
        <v>-1.224386661211227E-2</v>
      </c>
      <c r="I787" s="2">
        <f t="shared" ca="1" si="751"/>
        <v>0.77329460392216043</v>
      </c>
      <c r="J787" s="2">
        <f t="shared" ca="1" si="752"/>
        <v>1.3748704310561756E-2</v>
      </c>
      <c r="K787" s="2">
        <f t="shared" ca="1" si="753"/>
        <v>1.3748704310561756E-2</v>
      </c>
      <c r="L787" s="2">
        <f t="shared" ca="1" si="754"/>
        <v>0.6630421655196701</v>
      </c>
      <c r="M787" s="2">
        <f t="shared" ca="1" si="755"/>
        <v>8.4156018718413942E-3</v>
      </c>
      <c r="N787" s="2">
        <f t="shared" ca="1" si="756"/>
        <v>8.4156018718413942E-3</v>
      </c>
      <c r="O787" s="2">
        <f t="shared" si="757"/>
        <v>6000000</v>
      </c>
      <c r="P787" s="2">
        <f t="shared" ca="1" si="758"/>
        <v>42883401.877989039</v>
      </c>
      <c r="Q787" s="2">
        <f t="shared" ca="1" si="759"/>
        <v>1072085.0469497261</v>
      </c>
      <c r="R787" s="2">
        <f t="shared" ca="1" si="760"/>
        <v>25730041.126793422</v>
      </c>
      <c r="S787" s="2">
        <f t="shared" ca="1" si="761"/>
        <v>17153360.751195617</v>
      </c>
      <c r="T787" s="2">
        <f t="shared" ca="1" si="762"/>
        <v>50420780.093592063</v>
      </c>
      <c r="U787" s="2">
        <f t="shared" ca="1" si="763"/>
        <v>49803434.787647471</v>
      </c>
      <c r="V787" s="2">
        <f t="shared" ca="1" si="764"/>
        <v>49193648.175282478</v>
      </c>
      <c r="W787" s="2">
        <f t="shared" ca="1" si="765"/>
        <v>48591327.708861135</v>
      </c>
      <c r="X787" s="2">
        <f t="shared" ca="1" si="766"/>
        <v>47996381.973888405</v>
      </c>
      <c r="Y787" s="2">
        <f t="shared" ca="1" si="767"/>
        <v>0.12687435215528087</v>
      </c>
      <c r="Z787" s="2">
        <f t="shared" ca="1" si="768"/>
        <v>0.12962409301739322</v>
      </c>
      <c r="AA787" s="2">
        <f t="shared" ca="1" si="769"/>
        <v>6397103.8095383747</v>
      </c>
      <c r="AB787" s="2">
        <f t="shared" ca="1" si="770"/>
        <v>6455725.0634996928</v>
      </c>
      <c r="AC787" s="2">
        <f t="shared" ca="1" si="771"/>
        <v>6376682.0269377325</v>
      </c>
      <c r="AD787" s="2">
        <f t="shared" ca="1" si="772"/>
        <v>6298606.7827720521</v>
      </c>
      <c r="AE787" s="2">
        <f t="shared" ca="1" si="773"/>
        <v>6221487.4814816462</v>
      </c>
      <c r="AF787" s="2">
        <f t="shared" ca="1" si="774"/>
        <v>1008415.6018718412</v>
      </c>
      <c r="AG787" s="2">
        <f t="shared" ca="1" si="775"/>
        <v>996068.69575294945</v>
      </c>
      <c r="AH787" s="2">
        <f t="shared" ca="1" si="776"/>
        <v>983872.96350564959</v>
      </c>
      <c r="AI787" s="2">
        <f t="shared" ca="1" si="777"/>
        <v>971826.55417722277</v>
      </c>
      <c r="AJ787" s="2">
        <f t="shared" ca="1" si="778"/>
        <v>959927.6394777681</v>
      </c>
      <c r="AK787" s="2">
        <f t="shared" ca="1" si="779"/>
        <v>0</v>
      </c>
      <c r="AL787" s="2">
        <f t="shared" ca="1" si="780"/>
        <v>0</v>
      </c>
      <c r="AM787" s="2">
        <f t="shared" ca="1" si="781"/>
        <v>0</v>
      </c>
      <c r="AN787" s="2">
        <f t="shared" ca="1" si="782"/>
        <v>0</v>
      </c>
      <c r="AO787" s="2">
        <f t="shared" ca="1" si="783"/>
        <v>0</v>
      </c>
      <c r="AP787" s="2">
        <f t="shared" ca="1" si="784"/>
        <v>2315703.7014114079</v>
      </c>
      <c r="AQ787" s="2">
        <f t="shared" ca="1" si="785"/>
        <v>798975.97162633261</v>
      </c>
      <c r="AR787" s="2">
        <f t="shared" ca="1" si="786"/>
        <v>817427.6932471873</v>
      </c>
      <c r="AS787" s="2">
        <f t="shared" ca="1" si="787"/>
        <v>800047.39412537543</v>
      </c>
      <c r="AT787" s="2">
        <f t="shared" ca="1" si="788"/>
        <v>782879.89706768957</v>
      </c>
      <c r="AU787" s="2">
        <f t="shared" ca="1" si="789"/>
        <v>765922.59655404231</v>
      </c>
      <c r="AV787" s="2">
        <f t="shared" ca="1" si="790"/>
        <v>2274008.5346287922</v>
      </c>
      <c r="AW787" s="2">
        <f t="shared" ca="1" si="791"/>
        <v>2326524.9730881485</v>
      </c>
      <c r="AX787" s="2">
        <f t="shared" ca="1" si="792"/>
        <v>2277057.9678952987</v>
      </c>
      <c r="AY787" s="2">
        <f t="shared" ca="1" si="793"/>
        <v>2228196.6301157321</v>
      </c>
      <c r="AZ787" s="2">
        <f t="shared" ca="1" si="794"/>
        <v>2179933.5440384275</v>
      </c>
      <c r="BA787" s="2">
        <f t="shared" ca="1" si="795"/>
        <v>48915321.52725818</v>
      </c>
      <c r="BB787" s="2">
        <f t="shared" ca="1" si="796"/>
        <v>978306.43054516357</v>
      </c>
      <c r="BC787" s="2">
        <f t="shared" ca="1" si="797"/>
        <v>22206973.969919596</v>
      </c>
      <c r="BD787" s="2">
        <f t="shared" ca="1" si="798"/>
        <v>-18725445.798145343</v>
      </c>
      <c r="BE787" s="2">
        <f t="shared" ca="1" si="799"/>
        <v>2274008.5346287922</v>
      </c>
      <c r="BF787" s="2">
        <f t="shared" ca="1" si="800"/>
        <v>2326524.9730881485</v>
      </c>
      <c r="BG787" s="2">
        <f t="shared" ca="1" si="801"/>
        <v>2277057.9678952987</v>
      </c>
      <c r="BH787" s="2">
        <f t="shared" ca="1" si="802"/>
        <v>2228196.6301157321</v>
      </c>
      <c r="BI787" s="2">
        <f t="shared" ca="1" si="803"/>
        <v>24386907.513958022</v>
      </c>
      <c r="BJ787" s="2">
        <f t="shared" ca="1" si="804"/>
        <v>0.14859097619895967</v>
      </c>
      <c r="BK787" s="2">
        <f t="shared" ca="1" si="805"/>
        <v>2034220.8061302714</v>
      </c>
    </row>
    <row r="788" spans="1:63" x14ac:dyDescent="0.3">
      <c r="A788" s="2">
        <v>787</v>
      </c>
      <c r="B788" s="2">
        <f t="shared" ca="1" si="744"/>
        <v>0.3305327487065044</v>
      </c>
      <c r="C788" s="2">
        <f t="shared" ca="1" si="745"/>
        <v>6.8130593443365672</v>
      </c>
      <c r="D788" s="2">
        <f t="shared" ca="1" si="746"/>
        <v>0.41834080310958521</v>
      </c>
      <c r="E788" s="2">
        <f t="shared" ca="1" si="747"/>
        <v>7.4147030153110736</v>
      </c>
      <c r="F788" s="2">
        <f t="shared" ca="1" si="748"/>
        <v>0.45900971121139555</v>
      </c>
      <c r="G788" s="2">
        <f t="shared" ca="1" si="749"/>
        <v>3.6912133823829511E-2</v>
      </c>
      <c r="H788" s="2">
        <f t="shared" ca="1" si="750"/>
        <v>3.6912133823829511E-2</v>
      </c>
      <c r="I788" s="2">
        <f t="shared" ca="1" si="751"/>
        <v>0.77562974754561265</v>
      </c>
      <c r="J788" s="2">
        <f t="shared" ca="1" si="752"/>
        <v>1.3787582329062464E-2</v>
      </c>
      <c r="K788" s="2">
        <f t="shared" ca="1" si="753"/>
        <v>1.3787582329062464E-2</v>
      </c>
      <c r="L788" s="2">
        <f t="shared" ca="1" si="754"/>
        <v>0.4512994507963638</v>
      </c>
      <c r="M788" s="2">
        <f t="shared" ca="1" si="755"/>
        <v>-2.4475791784819281E-3</v>
      </c>
      <c r="N788" s="2">
        <f t="shared" ca="1" si="756"/>
        <v>-2.4475791784819281E-3</v>
      </c>
      <c r="O788" s="2">
        <f t="shared" si="757"/>
        <v>6000000</v>
      </c>
      <c r="P788" s="2">
        <f t="shared" ca="1" si="758"/>
        <v>40878356.066019401</v>
      </c>
      <c r="Q788" s="2">
        <f t="shared" ca="1" si="759"/>
        <v>1021958.9016504851</v>
      </c>
      <c r="R788" s="2">
        <f t="shared" ca="1" si="760"/>
        <v>24527013.639611639</v>
      </c>
      <c r="S788" s="2">
        <f t="shared" ca="1" si="761"/>
        <v>16351342.426407762</v>
      </c>
      <c r="T788" s="2">
        <f t="shared" ca="1" si="762"/>
        <v>49877621.0410759</v>
      </c>
      <c r="U788" s="2">
        <f t="shared" ca="1" si="763"/>
        <v>51718710.463758342</v>
      </c>
      <c r="V788" s="2">
        <f t="shared" ca="1" si="764"/>
        <v>53627758.425592475</v>
      </c>
      <c r="W788" s="2">
        <f t="shared" ca="1" si="765"/>
        <v>55607273.421269938</v>
      </c>
      <c r="X788" s="2">
        <f t="shared" ca="1" si="766"/>
        <v>57659856.539374128</v>
      </c>
      <c r="Y788" s="2">
        <f t="shared" ca="1" si="767"/>
        <v>0.12689379116453123</v>
      </c>
      <c r="Z788" s="2">
        <f t="shared" ca="1" si="768"/>
        <v>0.12965130763034372</v>
      </c>
      <c r="AA788" s="2">
        <f t="shared" ca="1" si="769"/>
        <v>6329160.4281699136</v>
      </c>
      <c r="AB788" s="2">
        <f t="shared" ca="1" si="770"/>
        <v>6705398.4405814093</v>
      </c>
      <c r="AC788" s="2">
        <f t="shared" ca="1" si="771"/>
        <v>6952909.0051622475</v>
      </c>
      <c r="AD788" s="2">
        <f t="shared" ca="1" si="772"/>
        <v>7209555.7128257044</v>
      </c>
      <c r="AE788" s="2">
        <f t="shared" ca="1" si="773"/>
        <v>7475675.7981078811</v>
      </c>
      <c r="AF788" s="2">
        <f t="shared" ca="1" si="774"/>
        <v>997552.42082151806</v>
      </c>
      <c r="AG788" s="2">
        <f t="shared" ca="1" si="775"/>
        <v>1034374.2092751669</v>
      </c>
      <c r="AH788" s="2">
        <f t="shared" ca="1" si="776"/>
        <v>1072555.1685118496</v>
      </c>
      <c r="AI788" s="2">
        <f t="shared" ca="1" si="777"/>
        <v>1112145.4684253987</v>
      </c>
      <c r="AJ788" s="2">
        <f t="shared" ca="1" si="778"/>
        <v>1153197.1307874825</v>
      </c>
      <c r="AK788" s="2">
        <f t="shared" ca="1" si="779"/>
        <v>0</v>
      </c>
      <c r="AL788" s="2">
        <f t="shared" ca="1" si="780"/>
        <v>18410.894226824417</v>
      </c>
      <c r="AM788" s="2">
        <f t="shared" ca="1" si="781"/>
        <v>19090.479618341327</v>
      </c>
      <c r="AN788" s="2">
        <f t="shared" ca="1" si="782"/>
        <v>19795.149956774636</v>
      </c>
      <c r="AO788" s="2">
        <f t="shared" ca="1" si="783"/>
        <v>20525.831181041896</v>
      </c>
      <c r="AP788" s="2">
        <f t="shared" ca="1" si="784"/>
        <v>2207431.2275650473</v>
      </c>
      <c r="AQ788" s="2">
        <f t="shared" ca="1" si="785"/>
        <v>812285.96274367068</v>
      </c>
      <c r="AR788" s="2">
        <f t="shared" ca="1" si="786"/>
        <v>900534.18097271083</v>
      </c>
      <c r="AS788" s="2">
        <f t="shared" ca="1" si="787"/>
        <v>954959.87836219114</v>
      </c>
      <c r="AT788" s="2">
        <f t="shared" ca="1" si="788"/>
        <v>1011394.5443771672</v>
      </c>
      <c r="AU788" s="2">
        <f t="shared" ca="1" si="789"/>
        <v>1069912.3343363914</v>
      </c>
      <c r="AV788" s="2">
        <f t="shared" ca="1" si="790"/>
        <v>2311890.8170396779</v>
      </c>
      <c r="AW788" s="2">
        <f t="shared" ca="1" si="791"/>
        <v>2544647.9285416594</v>
      </c>
      <c r="AX788" s="2">
        <f t="shared" ca="1" si="792"/>
        <v>2698872.2511048177</v>
      </c>
      <c r="AY788" s="2">
        <f t="shared" ca="1" si="793"/>
        <v>2858789.3225013157</v>
      </c>
      <c r="AZ788" s="2">
        <f t="shared" ca="1" si="794"/>
        <v>3024609.2742379177</v>
      </c>
      <c r="BA788" s="2">
        <f t="shared" ca="1" si="795"/>
        <v>55429915.881718524</v>
      </c>
      <c r="BB788" s="2">
        <f t="shared" ca="1" si="796"/>
        <v>1108598.3176343704</v>
      </c>
      <c r="BC788" s="2">
        <f t="shared" ca="1" si="797"/>
        <v>29794303.924472515</v>
      </c>
      <c r="BD788" s="2">
        <f t="shared" ca="1" si="798"/>
        <v>-17873301.328058247</v>
      </c>
      <c r="BE788" s="2">
        <f t="shared" ca="1" si="799"/>
        <v>2311890.8170396779</v>
      </c>
      <c r="BF788" s="2">
        <f t="shared" ca="1" si="800"/>
        <v>2544647.9285416594</v>
      </c>
      <c r="BG788" s="2">
        <f t="shared" ca="1" si="801"/>
        <v>2698872.2511048177</v>
      </c>
      <c r="BH788" s="2">
        <f t="shared" ca="1" si="802"/>
        <v>2858789.3225013157</v>
      </c>
      <c r="BI788" s="2">
        <f t="shared" ca="1" si="803"/>
        <v>32818913.198710434</v>
      </c>
      <c r="BJ788" s="2">
        <f t="shared" ca="1" si="804"/>
        <v>0.23075907971654974</v>
      </c>
      <c r="BK788" s="2">
        <f t="shared" ca="1" si="805"/>
        <v>8579613.6315520629</v>
      </c>
    </row>
    <row r="789" spans="1:63" x14ac:dyDescent="0.3">
      <c r="A789" s="2">
        <v>788</v>
      </c>
      <c r="B789" s="2">
        <f t="shared" ca="1" si="744"/>
        <v>0.7014000994170535</v>
      </c>
      <c r="C789" s="2">
        <f t="shared" ca="1" si="745"/>
        <v>7.2272129651929369</v>
      </c>
      <c r="D789" s="2">
        <f t="shared" ca="1" si="746"/>
        <v>0.77957676639749773</v>
      </c>
      <c r="E789" s="2">
        <f t="shared" ca="1" si="747"/>
        <v>7.8360372998390613</v>
      </c>
      <c r="F789" s="2">
        <f t="shared" ca="1" si="748"/>
        <v>5.7418853432617434E-2</v>
      </c>
      <c r="G789" s="2">
        <f t="shared" ca="1" si="749"/>
        <v>-7.3045011333748022E-3</v>
      </c>
      <c r="H789" s="2">
        <f t="shared" ca="1" si="750"/>
        <v>-7.3045011333748022E-3</v>
      </c>
      <c r="I789" s="2">
        <f t="shared" ca="1" si="751"/>
        <v>0.22021798948081139</v>
      </c>
      <c r="J789" s="2">
        <f t="shared" ca="1" si="752"/>
        <v>6.1427139743547099E-3</v>
      </c>
      <c r="K789" s="2">
        <f t="shared" ca="1" si="753"/>
        <v>6.1427139743547099E-3</v>
      </c>
      <c r="L789" s="2">
        <f t="shared" ca="1" si="754"/>
        <v>0.45247036474398072</v>
      </c>
      <c r="M789" s="2">
        <f t="shared" ca="1" si="755"/>
        <v>-2.3884476506852098E-3</v>
      </c>
      <c r="N789" s="2">
        <f t="shared" ca="1" si="756"/>
        <v>-2.3884476506852098E-3</v>
      </c>
      <c r="O789" s="2">
        <f t="shared" si="757"/>
        <v>6000000</v>
      </c>
      <c r="P789" s="2">
        <f t="shared" ca="1" si="758"/>
        <v>43363277.791157618</v>
      </c>
      <c r="Q789" s="2">
        <f t="shared" ca="1" si="759"/>
        <v>1084081.9447789404</v>
      </c>
      <c r="R789" s="2">
        <f t="shared" ca="1" si="760"/>
        <v>26017966.674694572</v>
      </c>
      <c r="S789" s="2">
        <f t="shared" ca="1" si="761"/>
        <v>17345311.116463047</v>
      </c>
      <c r="T789" s="2">
        <f t="shared" ca="1" si="762"/>
        <v>49880577.617465734</v>
      </c>
      <c r="U789" s="2">
        <f t="shared" ca="1" si="763"/>
        <v>49516224.881725565</v>
      </c>
      <c r="V789" s="2">
        <f t="shared" ca="1" si="764"/>
        <v>49154533.56095656</v>
      </c>
      <c r="W789" s="2">
        <f t="shared" ca="1" si="765"/>
        <v>48795484.214850046</v>
      </c>
      <c r="X789" s="2">
        <f t="shared" ca="1" si="766"/>
        <v>48439057.545099102</v>
      </c>
      <c r="Y789" s="2">
        <f t="shared" ca="1" si="767"/>
        <v>0.12307135698717735</v>
      </c>
      <c r="Z789" s="2">
        <f t="shared" ca="1" si="768"/>
        <v>0.12429989978204829</v>
      </c>
      <c r="AA789" s="2">
        <f t="shared" ca="1" si="769"/>
        <v>6138870.3746857336</v>
      </c>
      <c r="AB789" s="2">
        <f t="shared" ca="1" si="770"/>
        <v>6154861.7903838539</v>
      </c>
      <c r="AC789" s="2">
        <f t="shared" ca="1" si="771"/>
        <v>6109903.5954602296</v>
      </c>
      <c r="AD789" s="2">
        <f t="shared" ca="1" si="772"/>
        <v>6065273.7977223797</v>
      </c>
      <c r="AE789" s="2">
        <f t="shared" ca="1" si="773"/>
        <v>6020969.9983926881</v>
      </c>
      <c r="AF789" s="2">
        <f t="shared" ca="1" si="774"/>
        <v>997611.55234931468</v>
      </c>
      <c r="AG789" s="2">
        <f t="shared" ca="1" si="775"/>
        <v>990324.49763451132</v>
      </c>
      <c r="AH789" s="2">
        <f t="shared" ca="1" si="776"/>
        <v>983090.67121913121</v>
      </c>
      <c r="AI789" s="2">
        <f t="shared" ca="1" si="777"/>
        <v>975909.68429700099</v>
      </c>
      <c r="AJ789" s="2">
        <f t="shared" ca="1" si="778"/>
        <v>968781.1509019821</v>
      </c>
      <c r="AK789" s="2">
        <f t="shared" ca="1" si="779"/>
        <v>0</v>
      </c>
      <c r="AL789" s="2">
        <f t="shared" ca="1" si="780"/>
        <v>0</v>
      </c>
      <c r="AM789" s="2">
        <f t="shared" ca="1" si="781"/>
        <v>0</v>
      </c>
      <c r="AN789" s="2">
        <f t="shared" ca="1" si="782"/>
        <v>0</v>
      </c>
      <c r="AO789" s="2">
        <f t="shared" ca="1" si="783"/>
        <v>0</v>
      </c>
      <c r="AP789" s="2">
        <f t="shared" ca="1" si="784"/>
        <v>2341617.0007225112</v>
      </c>
      <c r="AQ789" s="2">
        <f t="shared" ca="1" si="785"/>
        <v>727906.87361961592</v>
      </c>
      <c r="AR789" s="2">
        <f t="shared" ca="1" si="786"/>
        <v>733959.27592697612</v>
      </c>
      <c r="AS789" s="2">
        <f t="shared" ca="1" si="787"/>
        <v>724150.94011483272</v>
      </c>
      <c r="AT789" s="2">
        <f t="shared" ca="1" si="788"/>
        <v>714414.24930274556</v>
      </c>
      <c r="AU789" s="2">
        <f t="shared" ca="1" si="789"/>
        <v>704748.6801597306</v>
      </c>
      <c r="AV789" s="2">
        <f t="shared" ca="1" si="790"/>
        <v>2071734.9479942913</v>
      </c>
      <c r="AW789" s="2">
        <f t="shared" ca="1" si="791"/>
        <v>2088961.0160998548</v>
      </c>
      <c r="AX789" s="2">
        <f t="shared" ca="1" si="792"/>
        <v>2061044.9834037549</v>
      </c>
      <c r="AY789" s="2">
        <f t="shared" ca="1" si="793"/>
        <v>2033332.8634001217</v>
      </c>
      <c r="AZ789" s="2">
        <f t="shared" ca="1" si="794"/>
        <v>2005823.1666084635</v>
      </c>
      <c r="BA789" s="2">
        <f t="shared" ca="1" si="795"/>
        <v>47180545.48861704</v>
      </c>
      <c r="BB789" s="2">
        <f t="shared" ca="1" si="796"/>
        <v>943610.90977234079</v>
      </c>
      <c r="BC789" s="2">
        <f t="shared" ca="1" si="797"/>
        <v>20218967.904150128</v>
      </c>
      <c r="BD789" s="2">
        <f t="shared" ca="1" si="798"/>
        <v>-18929393.061241988</v>
      </c>
      <c r="BE789" s="2">
        <f t="shared" ca="1" si="799"/>
        <v>2071734.9479942913</v>
      </c>
      <c r="BF789" s="2">
        <f t="shared" ca="1" si="800"/>
        <v>2088961.0160998548</v>
      </c>
      <c r="BG789" s="2">
        <f t="shared" ca="1" si="801"/>
        <v>2061044.9834037549</v>
      </c>
      <c r="BH789" s="2">
        <f t="shared" ca="1" si="802"/>
        <v>2033332.8634001217</v>
      </c>
      <c r="BI789" s="2">
        <f t="shared" ca="1" si="803"/>
        <v>22224791.070758592</v>
      </c>
      <c r="BJ789" s="2">
        <f t="shared" ca="1" si="804"/>
        <v>0.1193654904134489</v>
      </c>
      <c r="BK789" s="2">
        <f t="shared" ca="1" si="805"/>
        <v>-44148.56291045621</v>
      </c>
    </row>
    <row r="790" spans="1:63" x14ac:dyDescent="0.3">
      <c r="A790" s="2">
        <v>789</v>
      </c>
      <c r="B790" s="2">
        <f t="shared" ca="1" si="744"/>
        <v>0.96444622963087845</v>
      </c>
      <c r="C790" s="2">
        <f t="shared" ca="1" si="745"/>
        <v>7.7333400278664923</v>
      </c>
      <c r="D790" s="2">
        <f t="shared" ca="1" si="746"/>
        <v>0.11424477683543699</v>
      </c>
      <c r="E790" s="2">
        <f t="shared" ca="1" si="747"/>
        <v>6.9780058092438564</v>
      </c>
      <c r="F790" s="2">
        <f t="shared" ca="1" si="748"/>
        <v>0.51654897133599675</v>
      </c>
      <c r="G790" s="2">
        <f t="shared" ca="1" si="749"/>
        <v>4.1244820704271323E-2</v>
      </c>
      <c r="H790" s="2">
        <f t="shared" ca="1" si="750"/>
        <v>4.1244820704271323E-2</v>
      </c>
      <c r="I790" s="2">
        <f t="shared" ca="1" si="751"/>
        <v>1.912662808969956E-3</v>
      </c>
      <c r="J790" s="2">
        <f t="shared" ca="1" si="752"/>
        <v>-4.4610894063870452E-3</v>
      </c>
      <c r="K790" s="2">
        <f t="shared" ca="1" si="753"/>
        <v>0</v>
      </c>
      <c r="L790" s="2">
        <f t="shared" ca="1" si="754"/>
        <v>0.23166072540632576</v>
      </c>
      <c r="M790" s="2">
        <f t="shared" ca="1" si="755"/>
        <v>-1.4667771980767763E-2</v>
      </c>
      <c r="N790" s="2">
        <f t="shared" ca="1" si="756"/>
        <v>-1.4667771980767763E-2</v>
      </c>
      <c r="O790" s="2">
        <f t="shared" si="757"/>
        <v>6000000</v>
      </c>
      <c r="P790" s="2">
        <f t="shared" ca="1" si="758"/>
        <v>46400040.167198956</v>
      </c>
      <c r="Q790" s="2">
        <f t="shared" ca="1" si="759"/>
        <v>1160001.0041799739</v>
      </c>
      <c r="R790" s="2">
        <f t="shared" ca="1" si="760"/>
        <v>27840024.100319374</v>
      </c>
      <c r="S790" s="2">
        <f t="shared" ca="1" si="761"/>
        <v>18560016.066879582</v>
      </c>
      <c r="T790" s="2">
        <f t="shared" ca="1" si="762"/>
        <v>49266611.400961615</v>
      </c>
      <c r="U790" s="2">
        <f t="shared" ca="1" si="763"/>
        <v>51298603.954901285</v>
      </c>
      <c r="V790" s="2">
        <f t="shared" ca="1" si="764"/>
        <v>53414405.677400611</v>
      </c>
      <c r="W790" s="2">
        <f t="shared" ca="1" si="765"/>
        <v>55617473.262590207</v>
      </c>
      <c r="X790" s="2">
        <f t="shared" ca="1" si="766"/>
        <v>57911405.975330338</v>
      </c>
      <c r="Y790" s="2">
        <f t="shared" ca="1" si="767"/>
        <v>0.12</v>
      </c>
      <c r="Z790" s="2">
        <f t="shared" ca="1" si="768"/>
        <v>0.12</v>
      </c>
      <c r="AA790" s="2">
        <f t="shared" ca="1" si="769"/>
        <v>5911993.3681153934</v>
      </c>
      <c r="AB790" s="2">
        <f t="shared" ca="1" si="770"/>
        <v>6155832.4745881539</v>
      </c>
      <c r="AC790" s="2">
        <f t="shared" ca="1" si="771"/>
        <v>6409728.6812880728</v>
      </c>
      <c r="AD790" s="2">
        <f t="shared" ca="1" si="772"/>
        <v>6674096.791510825</v>
      </c>
      <c r="AE790" s="2">
        <f t="shared" ca="1" si="773"/>
        <v>6949368.7170396401</v>
      </c>
      <c r="AF790" s="2">
        <f t="shared" ca="1" si="774"/>
        <v>985332.22801923228</v>
      </c>
      <c r="AG790" s="2">
        <f t="shared" ca="1" si="775"/>
        <v>1025972.0790980257</v>
      </c>
      <c r="AH790" s="2">
        <f t="shared" ca="1" si="776"/>
        <v>1068288.1135480122</v>
      </c>
      <c r="AI790" s="2">
        <f t="shared" ca="1" si="777"/>
        <v>1112349.4652518041</v>
      </c>
      <c r="AJ790" s="2">
        <f t="shared" ca="1" si="778"/>
        <v>1158228.1195066068</v>
      </c>
      <c r="AK790" s="2">
        <f t="shared" ca="1" si="779"/>
        <v>0</v>
      </c>
      <c r="AL790" s="2">
        <f t="shared" ca="1" si="780"/>
        <v>20319.925539396703</v>
      </c>
      <c r="AM790" s="2">
        <f t="shared" ca="1" si="781"/>
        <v>21158.017224993258</v>
      </c>
      <c r="AN790" s="2">
        <f t="shared" ca="1" si="782"/>
        <v>22030.675851895958</v>
      </c>
      <c r="AO790" s="2">
        <f t="shared" ca="1" si="783"/>
        <v>22939.327127401306</v>
      </c>
      <c r="AP790" s="2">
        <f t="shared" ca="1" si="784"/>
        <v>2505602.1690287436</v>
      </c>
      <c r="AQ790" s="2">
        <f t="shared" ca="1" si="785"/>
        <v>629475.33247752872</v>
      </c>
      <c r="AR790" s="2">
        <f t="shared" ca="1" si="786"/>
        <v>682307.13887996005</v>
      </c>
      <c r="AS790" s="2">
        <f t="shared" ca="1" si="787"/>
        <v>737317.98366494232</v>
      </c>
      <c r="AT790" s="2">
        <f t="shared" ca="1" si="788"/>
        <v>794597.74087987212</v>
      </c>
      <c r="AU790" s="2">
        <f t="shared" ca="1" si="789"/>
        <v>854239.99141111528</v>
      </c>
      <c r="AV790" s="2">
        <f t="shared" ca="1" si="790"/>
        <v>1791583.6385898893</v>
      </c>
      <c r="AW790" s="2">
        <f t="shared" ca="1" si="791"/>
        <v>1921631.1620420278</v>
      </c>
      <c r="AX790" s="2">
        <f t="shared" ca="1" si="792"/>
        <v>2077362.3978213812</v>
      </c>
      <c r="AY790" s="2">
        <f t="shared" ca="1" si="793"/>
        <v>2239516.7404985088</v>
      </c>
      <c r="AZ790" s="2">
        <f t="shared" ca="1" si="794"/>
        <v>2408359.1099657728</v>
      </c>
      <c r="BA790" s="2">
        <f t="shared" ca="1" si="795"/>
        <v>48492735.278080136</v>
      </c>
      <c r="BB790" s="2">
        <f t="shared" ca="1" si="796"/>
        <v>969854.70556160272</v>
      </c>
      <c r="BC790" s="2">
        <f t="shared" ca="1" si="797"/>
        <v>19682856.472199157</v>
      </c>
      <c r="BD790" s="2">
        <f t="shared" ca="1" si="798"/>
        <v>-20220017.071059555</v>
      </c>
      <c r="BE790" s="2">
        <f t="shared" ca="1" si="799"/>
        <v>1791583.6385898893</v>
      </c>
      <c r="BF790" s="2">
        <f t="shared" ca="1" si="800"/>
        <v>1921631.1620420278</v>
      </c>
      <c r="BG790" s="2">
        <f t="shared" ca="1" si="801"/>
        <v>2077362.3978213812</v>
      </c>
      <c r="BH790" s="2">
        <f t="shared" ca="1" si="802"/>
        <v>2239516.7404985088</v>
      </c>
      <c r="BI790" s="2">
        <f t="shared" ca="1" si="803"/>
        <v>22091215.582164928</v>
      </c>
      <c r="BJ790" s="2">
        <f t="shared" ca="1" si="804"/>
        <v>9.7457064652571201E-2</v>
      </c>
      <c r="BK790" s="2">
        <f t="shared" ca="1" si="805"/>
        <v>-1651448.3304412328</v>
      </c>
    </row>
    <row r="791" spans="1:63" x14ac:dyDescent="0.3">
      <c r="A791" s="2">
        <v>790</v>
      </c>
      <c r="B791" s="2">
        <f t="shared" ca="1" si="744"/>
        <v>0.91663070373928524</v>
      </c>
      <c r="C791" s="2">
        <f t="shared" ca="1" si="745"/>
        <v>7.5916636282163568</v>
      </c>
      <c r="D791" s="2">
        <f t="shared" ca="1" si="746"/>
        <v>0.32301733974747893</v>
      </c>
      <c r="E791" s="2">
        <f t="shared" ca="1" si="747"/>
        <v>7.3037628253999793</v>
      </c>
      <c r="F791" s="2">
        <f t="shared" ca="1" si="748"/>
        <v>0.64729396799607852</v>
      </c>
      <c r="G791" s="2">
        <f t="shared" ca="1" si="749"/>
        <v>5.1340748315553235E-2</v>
      </c>
      <c r="H791" s="2">
        <f t="shared" ca="1" si="750"/>
        <v>5.1340748315553235E-2</v>
      </c>
      <c r="I791" s="2">
        <f t="shared" ca="1" si="751"/>
        <v>0.40904753396053972</v>
      </c>
      <c r="J791" s="2">
        <f t="shared" ca="1" si="752"/>
        <v>8.8500212223991109E-3</v>
      </c>
      <c r="K791" s="2">
        <f t="shared" ca="1" si="753"/>
        <v>8.8500212223991109E-3</v>
      </c>
      <c r="L791" s="2">
        <f t="shared" ca="1" si="754"/>
        <v>0.52870903202078079</v>
      </c>
      <c r="M791" s="2">
        <f t="shared" ca="1" si="755"/>
        <v>1.4405019208961543E-3</v>
      </c>
      <c r="N791" s="2">
        <f t="shared" ca="1" si="756"/>
        <v>1.4405019208961543E-3</v>
      </c>
      <c r="O791" s="2">
        <f t="shared" si="757"/>
        <v>6000000</v>
      </c>
      <c r="P791" s="2">
        <f t="shared" ca="1" si="758"/>
        <v>45549981.769298144</v>
      </c>
      <c r="Q791" s="2">
        <f t="shared" ca="1" si="759"/>
        <v>1138749.5442324537</v>
      </c>
      <c r="R791" s="2">
        <f t="shared" ca="1" si="760"/>
        <v>27329989.061578885</v>
      </c>
      <c r="S791" s="2">
        <f t="shared" ca="1" si="761"/>
        <v>18219992.707719259</v>
      </c>
      <c r="T791" s="2">
        <f t="shared" ca="1" si="762"/>
        <v>50072025.096044801</v>
      </c>
      <c r="U791" s="2">
        <f t="shared" ca="1" si="763"/>
        <v>52642760.334150903</v>
      </c>
      <c r="V791" s="2">
        <f t="shared" ca="1" si="764"/>
        <v>55345479.043102533</v>
      </c>
      <c r="W791" s="2">
        <f t="shared" ca="1" si="765"/>
        <v>58186957.353058189</v>
      </c>
      <c r="X791" s="2">
        <f t="shared" ca="1" si="766"/>
        <v>61174319.285769381</v>
      </c>
      <c r="Y791" s="2">
        <f t="shared" ca="1" si="767"/>
        <v>0.12442501061119955</v>
      </c>
      <c r="Z791" s="2">
        <f t="shared" ca="1" si="768"/>
        <v>0.12619501485567938</v>
      </c>
      <c r="AA791" s="2">
        <f t="shared" ca="1" si="769"/>
        <v>6230212.2538996246</v>
      </c>
      <c r="AB791" s="2">
        <f t="shared" ca="1" si="770"/>
        <v>6643253.9224121422</v>
      </c>
      <c r="AC791" s="2">
        <f t="shared" ca="1" si="771"/>
        <v>6984323.5500390157</v>
      </c>
      <c r="AD791" s="2">
        <f t="shared" ca="1" si="772"/>
        <v>7342903.9475759612</v>
      </c>
      <c r="AE791" s="2">
        <f t="shared" ca="1" si="773"/>
        <v>7719894.1310537411</v>
      </c>
      <c r="AF791" s="2">
        <f t="shared" ca="1" si="774"/>
        <v>1001440.501920896</v>
      </c>
      <c r="AG791" s="2">
        <f t="shared" ca="1" si="775"/>
        <v>1052855.206683018</v>
      </c>
      <c r="AH791" s="2">
        <f t="shared" ca="1" si="776"/>
        <v>1106909.5808620506</v>
      </c>
      <c r="AI791" s="2">
        <f t="shared" ca="1" si="777"/>
        <v>1163739.1470611638</v>
      </c>
      <c r="AJ791" s="2">
        <f t="shared" ca="1" si="778"/>
        <v>1223486.3857153875</v>
      </c>
      <c r="AK791" s="2">
        <f t="shared" ca="1" si="779"/>
        <v>0</v>
      </c>
      <c r="AL791" s="2">
        <f t="shared" ca="1" si="780"/>
        <v>25707.352381061017</v>
      </c>
      <c r="AM791" s="2">
        <f t="shared" ca="1" si="781"/>
        <v>27027.187089516297</v>
      </c>
      <c r="AN791" s="2">
        <f t="shared" ca="1" si="782"/>
        <v>28414.783099556567</v>
      </c>
      <c r="AO791" s="2">
        <f t="shared" ca="1" si="783"/>
        <v>29873.619327111915</v>
      </c>
      <c r="AP791" s="2">
        <f t="shared" ca="1" si="784"/>
        <v>2459699.0155420997</v>
      </c>
      <c r="AQ791" s="2">
        <f t="shared" ca="1" si="785"/>
        <v>719958.91147352359</v>
      </c>
      <c r="AR791" s="2">
        <f t="shared" ca="1" si="786"/>
        <v>813981.92204862635</v>
      </c>
      <c r="AS791" s="2">
        <f t="shared" ca="1" si="787"/>
        <v>888605.88794506493</v>
      </c>
      <c r="AT791" s="2">
        <f t="shared" ca="1" si="788"/>
        <v>967061.10409290146</v>
      </c>
      <c r="AU791" s="2">
        <f t="shared" ca="1" si="789"/>
        <v>1049544.269747026</v>
      </c>
      <c r="AV791" s="2">
        <f t="shared" ca="1" si="790"/>
        <v>2049113.8249631054</v>
      </c>
      <c r="AW791" s="2">
        <f t="shared" ca="1" si="791"/>
        <v>2291010.4257573369</v>
      </c>
      <c r="AX791" s="2">
        <f t="shared" ca="1" si="792"/>
        <v>2502081.878600284</v>
      </c>
      <c r="AY791" s="2">
        <f t="shared" ca="1" si="793"/>
        <v>2723989.89778024</v>
      </c>
      <c r="AZ791" s="2">
        <f t="shared" ca="1" si="794"/>
        <v>2957290.8407221152</v>
      </c>
      <c r="BA791" s="2">
        <f t="shared" ca="1" si="795"/>
        <v>56384275.770413794</v>
      </c>
      <c r="BB791" s="2">
        <f t="shared" ca="1" si="796"/>
        <v>1127685.5154082759</v>
      </c>
      <c r="BC791" s="2">
        <f t="shared" ca="1" si="797"/>
        <v>27926601.193426631</v>
      </c>
      <c r="BD791" s="2">
        <f t="shared" ca="1" si="798"/>
        <v>-19858742.251951713</v>
      </c>
      <c r="BE791" s="2">
        <f t="shared" ca="1" si="799"/>
        <v>2049113.8249631054</v>
      </c>
      <c r="BF791" s="2">
        <f t="shared" ca="1" si="800"/>
        <v>2291010.4257573369</v>
      </c>
      <c r="BG791" s="2">
        <f t="shared" ca="1" si="801"/>
        <v>2502081.878600284</v>
      </c>
      <c r="BH791" s="2">
        <f t="shared" ca="1" si="802"/>
        <v>2723989.89778024</v>
      </c>
      <c r="BI791" s="2">
        <f t="shared" ca="1" si="803"/>
        <v>30883892.034148745</v>
      </c>
      <c r="BJ791" s="2">
        <f t="shared" ca="1" si="804"/>
        <v>0.1792970739352775</v>
      </c>
      <c r="BK791" s="2">
        <f t="shared" ca="1" si="805"/>
        <v>4833630.1823339611</v>
      </c>
    </row>
    <row r="792" spans="1:63" x14ac:dyDescent="0.3">
      <c r="A792" s="2">
        <v>791</v>
      </c>
      <c r="B792" s="2">
        <f t="shared" ca="1" si="744"/>
        <v>0.62514926029565665</v>
      </c>
      <c r="C792" s="2">
        <f t="shared" ca="1" si="745"/>
        <v>7.1341469643128308</v>
      </c>
      <c r="D792" s="2">
        <f t="shared" ca="1" si="746"/>
        <v>0.22432662121917313</v>
      </c>
      <c r="E792" s="2">
        <f t="shared" ca="1" si="747"/>
        <v>7.169815827252795</v>
      </c>
      <c r="F792" s="2">
        <f t="shared" ca="1" si="748"/>
        <v>4.1970464870969448E-2</v>
      </c>
      <c r="G792" s="2">
        <f t="shared" ca="1" si="749"/>
        <v>-1.1847915717262757E-2</v>
      </c>
      <c r="H792" s="2">
        <f t="shared" ca="1" si="750"/>
        <v>-1.1847915717262757E-2</v>
      </c>
      <c r="I792" s="2">
        <f t="shared" ca="1" si="751"/>
        <v>0.43966627869986874</v>
      </c>
      <c r="J792" s="2">
        <f t="shared" ca="1" si="752"/>
        <v>9.240923138920781E-3</v>
      </c>
      <c r="K792" s="2">
        <f t="shared" ca="1" si="753"/>
        <v>9.240923138920781E-3</v>
      </c>
      <c r="L792" s="2">
        <f t="shared" ca="1" si="754"/>
        <v>0.42835000538886447</v>
      </c>
      <c r="M792" s="2">
        <f t="shared" ca="1" si="755"/>
        <v>-3.6115297994158088E-3</v>
      </c>
      <c r="N792" s="2">
        <f t="shared" ca="1" si="756"/>
        <v>-3.6115297994158088E-3</v>
      </c>
      <c r="O792" s="2">
        <f t="shared" si="757"/>
        <v>6000000</v>
      </c>
      <c r="P792" s="2">
        <f t="shared" ca="1" si="758"/>
        <v>42804881.785876982</v>
      </c>
      <c r="Q792" s="2">
        <f t="shared" ca="1" si="759"/>
        <v>1070122.0446469246</v>
      </c>
      <c r="R792" s="2">
        <f t="shared" ca="1" si="760"/>
        <v>25682929.071526188</v>
      </c>
      <c r="S792" s="2">
        <f t="shared" ca="1" si="761"/>
        <v>17121952.714350794</v>
      </c>
      <c r="T792" s="2">
        <f t="shared" ca="1" si="762"/>
        <v>49819423.510029212</v>
      </c>
      <c r="U792" s="2">
        <f t="shared" ca="1" si="763"/>
        <v>49229167.17919977</v>
      </c>
      <c r="V792" s="2">
        <f t="shared" ca="1" si="764"/>
        <v>48645904.155629575</v>
      </c>
      <c r="W792" s="2">
        <f t="shared" ca="1" si="765"/>
        <v>48069551.583203636</v>
      </c>
      <c r="X792" s="2">
        <f t="shared" ca="1" si="766"/>
        <v>47500027.587479226</v>
      </c>
      <c r="Y792" s="2">
        <f t="shared" ca="1" si="767"/>
        <v>0.12462046156946038</v>
      </c>
      <c r="Z792" s="2">
        <f t="shared" ca="1" si="768"/>
        <v>0.12646864619724454</v>
      </c>
      <c r="AA792" s="2">
        <f t="shared" ca="1" si="769"/>
        <v>6208519.5529442662</v>
      </c>
      <c r="AB792" s="2">
        <f t="shared" ca="1" si="770"/>
        <v>6225946.1265712185</v>
      </c>
      <c r="AC792" s="2">
        <f t="shared" ca="1" si="771"/>
        <v>6152181.6416033851</v>
      </c>
      <c r="AD792" s="2">
        <f t="shared" ca="1" si="772"/>
        <v>6079291.1120363772</v>
      </c>
      <c r="AE792" s="2">
        <f t="shared" ca="1" si="773"/>
        <v>6007264.1833202653</v>
      </c>
      <c r="AF792" s="2">
        <f t="shared" ca="1" si="774"/>
        <v>996388.47020058427</v>
      </c>
      <c r="AG792" s="2">
        <f t="shared" ca="1" si="775"/>
        <v>984583.34358399548</v>
      </c>
      <c r="AH792" s="2">
        <f t="shared" ca="1" si="776"/>
        <v>972918.08311259153</v>
      </c>
      <c r="AI792" s="2">
        <f t="shared" ca="1" si="777"/>
        <v>961391.03166407277</v>
      </c>
      <c r="AJ792" s="2">
        <f t="shared" ca="1" si="778"/>
        <v>950000.5517495845</v>
      </c>
      <c r="AK792" s="2">
        <f t="shared" ca="1" si="779"/>
        <v>0</v>
      </c>
      <c r="AL792" s="2">
        <f t="shared" ca="1" si="780"/>
        <v>0</v>
      </c>
      <c r="AM792" s="2">
        <f t="shared" ca="1" si="781"/>
        <v>0</v>
      </c>
      <c r="AN792" s="2">
        <f t="shared" ca="1" si="782"/>
        <v>0</v>
      </c>
      <c r="AO792" s="2">
        <f t="shared" ca="1" si="783"/>
        <v>0</v>
      </c>
      <c r="AP792" s="2">
        <f t="shared" ca="1" si="784"/>
        <v>2311463.6164373569</v>
      </c>
      <c r="AQ792" s="2">
        <f t="shared" ca="1" si="785"/>
        <v>754173.54123964452</v>
      </c>
      <c r="AR792" s="2">
        <f t="shared" ca="1" si="786"/>
        <v>761773.78330296522</v>
      </c>
      <c r="AS792" s="2">
        <f t="shared" ca="1" si="787"/>
        <v>745627.98493389343</v>
      </c>
      <c r="AT792" s="2">
        <f t="shared" ca="1" si="788"/>
        <v>729673.48062308645</v>
      </c>
      <c r="AU792" s="2">
        <f t="shared" ca="1" si="789"/>
        <v>713908.0039346643</v>
      </c>
      <c r="AV792" s="2">
        <f t="shared" ca="1" si="790"/>
        <v>2146493.9250666806</v>
      </c>
      <c r="AW792" s="2">
        <f t="shared" ca="1" si="791"/>
        <v>2168125.3832469005</v>
      </c>
      <c r="AX792" s="2">
        <f t="shared" ca="1" si="792"/>
        <v>2122171.9571195431</v>
      </c>
      <c r="AY792" s="2">
        <f t="shared" ca="1" si="793"/>
        <v>2076762.9833118618</v>
      </c>
      <c r="AZ792" s="2">
        <f t="shared" ca="1" si="794"/>
        <v>2031892.0111986594</v>
      </c>
      <c r="BA792" s="2">
        <f t="shared" ca="1" si="795"/>
        <v>43070977.820058472</v>
      </c>
      <c r="BB792" s="2">
        <f t="shared" ca="1" si="796"/>
        <v>861419.55640116951</v>
      </c>
      <c r="BC792" s="2">
        <f t="shared" ca="1" si="797"/>
        <v>16526629.192131115</v>
      </c>
      <c r="BD792" s="2">
        <f t="shared" ca="1" si="798"/>
        <v>-18692074.75899772</v>
      </c>
      <c r="BE792" s="2">
        <f t="shared" ca="1" si="799"/>
        <v>2146493.9250666806</v>
      </c>
      <c r="BF792" s="2">
        <f t="shared" ca="1" si="800"/>
        <v>2168125.3832469005</v>
      </c>
      <c r="BG792" s="2">
        <f t="shared" ca="1" si="801"/>
        <v>2122171.9571195431</v>
      </c>
      <c r="BH792" s="2">
        <f t="shared" ca="1" si="802"/>
        <v>2076762.9833118618</v>
      </c>
      <c r="BI792" s="2">
        <f t="shared" ca="1" si="803"/>
        <v>18558521.203329775</v>
      </c>
      <c r="BJ792" s="2">
        <f t="shared" ca="1" si="804"/>
        <v>9.3927907396171628E-2</v>
      </c>
      <c r="BK792" s="2">
        <f t="shared" ca="1" si="805"/>
        <v>-1686202.2094248533</v>
      </c>
    </row>
    <row r="793" spans="1:63" x14ac:dyDescent="0.3">
      <c r="A793" s="2">
        <v>792</v>
      </c>
      <c r="B793" s="2">
        <f t="shared" ca="1" si="744"/>
        <v>0.42824569788813038</v>
      </c>
      <c r="C793" s="2">
        <f t="shared" ca="1" si="745"/>
        <v>6.9254682035468642</v>
      </c>
      <c r="D793" s="2">
        <f t="shared" ca="1" si="746"/>
        <v>0.47654289058515698</v>
      </c>
      <c r="E793" s="2">
        <f t="shared" ca="1" si="747"/>
        <v>7.4762611234553562</v>
      </c>
      <c r="F793" s="2">
        <f t="shared" ca="1" si="748"/>
        <v>0.49897071891313638</v>
      </c>
      <c r="G793" s="2">
        <f t="shared" ca="1" si="749"/>
        <v>3.9922599161883482E-2</v>
      </c>
      <c r="H793" s="2">
        <f t="shared" ca="1" si="750"/>
        <v>3.9922599161883482E-2</v>
      </c>
      <c r="I793" s="2">
        <f t="shared" ca="1" si="751"/>
        <v>0.78877816933144784</v>
      </c>
      <c r="J793" s="2">
        <f t="shared" ca="1" si="752"/>
        <v>1.4010944801788498E-2</v>
      </c>
      <c r="K793" s="2">
        <f t="shared" ca="1" si="753"/>
        <v>1.4010944801788498E-2</v>
      </c>
      <c r="L793" s="2">
        <f t="shared" ca="1" si="754"/>
        <v>0.36986160238732191</v>
      </c>
      <c r="M793" s="2">
        <f t="shared" ca="1" si="755"/>
        <v>-6.6443983580278263E-3</v>
      </c>
      <c r="N793" s="2">
        <f t="shared" ca="1" si="756"/>
        <v>-6.6443983580278263E-3</v>
      </c>
      <c r="O793" s="2">
        <f t="shared" si="757"/>
        <v>6000000</v>
      </c>
      <c r="P793" s="2">
        <f t="shared" ca="1" si="758"/>
        <v>41552809.221281186</v>
      </c>
      <c r="Q793" s="2">
        <f t="shared" ca="1" si="759"/>
        <v>1038820.2305320296</v>
      </c>
      <c r="R793" s="2">
        <f t="shared" ca="1" si="760"/>
        <v>24931685.532768711</v>
      </c>
      <c r="S793" s="2">
        <f t="shared" ca="1" si="761"/>
        <v>16621123.688512474</v>
      </c>
      <c r="T793" s="2">
        <f t="shared" ca="1" si="762"/>
        <v>49667780.082098603</v>
      </c>
      <c r="U793" s="2">
        <f t="shared" ca="1" si="763"/>
        <v>51650646.957576804</v>
      </c>
      <c r="V793" s="2">
        <f t="shared" ca="1" si="764"/>
        <v>53712675.0325161</v>
      </c>
      <c r="W793" s="2">
        <f t="shared" ca="1" si="765"/>
        <v>55857024.627751745</v>
      </c>
      <c r="X793" s="2">
        <f t="shared" ca="1" si="766"/>
        <v>58086982.232340932</v>
      </c>
      <c r="Y793" s="2">
        <f t="shared" ca="1" si="767"/>
        <v>0.12700547240089424</v>
      </c>
      <c r="Z793" s="2">
        <f t="shared" ca="1" si="768"/>
        <v>0.12980766136125194</v>
      </c>
      <c r="AA793" s="2">
        <f t="shared" ca="1" si="769"/>
        <v>6308079.8724306589</v>
      </c>
      <c r="AB793" s="2">
        <f t="shared" ca="1" si="770"/>
        <v>6704649.6893587075</v>
      </c>
      <c r="AC793" s="2">
        <f t="shared" ca="1" si="771"/>
        <v>6972316.7314278213</v>
      </c>
      <c r="AD793" s="2">
        <f t="shared" ca="1" si="772"/>
        <v>7250669.7375263078</v>
      </c>
      <c r="AE793" s="2">
        <f t="shared" ca="1" si="773"/>
        <v>7540135.3191127693</v>
      </c>
      <c r="AF793" s="2">
        <f t="shared" ca="1" si="774"/>
        <v>993355.60164197208</v>
      </c>
      <c r="AG793" s="2">
        <f t="shared" ca="1" si="775"/>
        <v>1033012.9391515361</v>
      </c>
      <c r="AH793" s="2">
        <f t="shared" ca="1" si="776"/>
        <v>1074253.5006503221</v>
      </c>
      <c r="AI793" s="2">
        <f t="shared" ca="1" si="777"/>
        <v>1117140.4925550348</v>
      </c>
      <c r="AJ793" s="2">
        <f t="shared" ca="1" si="778"/>
        <v>1161739.6446468187</v>
      </c>
      <c r="AK793" s="2">
        <f t="shared" ca="1" si="779"/>
        <v>0</v>
      </c>
      <c r="AL793" s="2">
        <f t="shared" ca="1" si="780"/>
        <v>19828.668754782007</v>
      </c>
      <c r="AM793" s="2">
        <f t="shared" ca="1" si="781"/>
        <v>20620.280749392958</v>
      </c>
      <c r="AN793" s="2">
        <f t="shared" ca="1" si="782"/>
        <v>21443.495952356458</v>
      </c>
      <c r="AO793" s="2">
        <f t="shared" ca="1" si="783"/>
        <v>22299.576045891867</v>
      </c>
      <c r="AP793" s="2">
        <f t="shared" ca="1" si="784"/>
        <v>2243851.6979491841</v>
      </c>
      <c r="AQ793" s="2">
        <f t="shared" ca="1" si="785"/>
        <v>798426.86893827061</v>
      </c>
      <c r="AR793" s="2">
        <f t="shared" ca="1" si="786"/>
        <v>891224.11358707678</v>
      </c>
      <c r="AS793" s="2">
        <f t="shared" ca="1" si="787"/>
        <v>950094.99853536196</v>
      </c>
      <c r="AT793" s="2">
        <f t="shared" ca="1" si="788"/>
        <v>1011316.1622257433</v>
      </c>
      <c r="AU793" s="2">
        <f t="shared" ca="1" si="789"/>
        <v>1074981.4338943593</v>
      </c>
      <c r="AV793" s="2">
        <f t="shared" ca="1" si="790"/>
        <v>2272445.7039012313</v>
      </c>
      <c r="AW793" s="2">
        <f t="shared" ca="1" si="791"/>
        <v>2516732.2699161293</v>
      </c>
      <c r="AX793" s="2">
        <f t="shared" ca="1" si="792"/>
        <v>2683496.2535435604</v>
      </c>
      <c r="AY793" s="2">
        <f t="shared" ca="1" si="793"/>
        <v>2856917.888843989</v>
      </c>
      <c r="AZ793" s="2">
        <f t="shared" ca="1" si="794"/>
        <v>3037262.9665765148</v>
      </c>
      <c r="BA793" s="2">
        <f t="shared" ca="1" si="795"/>
        <v>56372020.551875442</v>
      </c>
      <c r="BB793" s="2">
        <f t="shared" ca="1" si="796"/>
        <v>1127440.4110375089</v>
      </c>
      <c r="BC793" s="2">
        <f t="shared" ca="1" si="797"/>
        <v>30312894.608069222</v>
      </c>
      <c r="BD793" s="2">
        <f t="shared" ca="1" si="798"/>
        <v>-18159943.919044502</v>
      </c>
      <c r="BE793" s="2">
        <f t="shared" ca="1" si="799"/>
        <v>2272445.7039012313</v>
      </c>
      <c r="BF793" s="2">
        <f t="shared" ca="1" si="800"/>
        <v>2516732.2699161293</v>
      </c>
      <c r="BG793" s="2">
        <f t="shared" ca="1" si="801"/>
        <v>2683496.2535435604</v>
      </c>
      <c r="BH793" s="2">
        <f t="shared" ca="1" si="802"/>
        <v>2856917.888843989</v>
      </c>
      <c r="BI793" s="2">
        <f t="shared" ca="1" si="803"/>
        <v>33350157.574645735</v>
      </c>
      <c r="BJ793" s="2">
        <f t="shared" ca="1" si="804"/>
        <v>0.2281285684365657</v>
      </c>
      <c r="BK793" s="2">
        <f t="shared" ca="1" si="805"/>
        <v>8524806.661984127</v>
      </c>
    </row>
    <row r="794" spans="1:63" x14ac:dyDescent="0.3">
      <c r="A794" s="2">
        <v>793</v>
      </c>
      <c r="B794" s="2">
        <f t="shared" ca="1" si="744"/>
        <v>9.9641509986276522E-2</v>
      </c>
      <c r="C794" s="2">
        <f t="shared" ca="1" si="745"/>
        <v>6.4464112677481973</v>
      </c>
      <c r="D794" s="2">
        <f t="shared" ca="1" si="746"/>
        <v>0.58051426081453317</v>
      </c>
      <c r="E794" s="2">
        <f t="shared" ca="1" si="747"/>
        <v>7.5840461374223409</v>
      </c>
      <c r="F794" s="2">
        <f t="shared" ca="1" si="748"/>
        <v>7.0863098169561267E-2</v>
      </c>
      <c r="G794" s="2">
        <f t="shared" ca="1" si="749"/>
        <v>-4.0817931571581131E-3</v>
      </c>
      <c r="H794" s="2">
        <f t="shared" ca="1" si="750"/>
        <v>-4.0817931571581131E-3</v>
      </c>
      <c r="I794" s="2">
        <f t="shared" ca="1" si="751"/>
        <v>0.57773885079464893</v>
      </c>
      <c r="J794" s="2">
        <f t="shared" ca="1" si="752"/>
        <v>1.0980561313316525E-2</v>
      </c>
      <c r="K794" s="2">
        <f t="shared" ca="1" si="753"/>
        <v>1.0980561313316525E-2</v>
      </c>
      <c r="L794" s="2">
        <f t="shared" ca="1" si="754"/>
        <v>0.4612457203875292</v>
      </c>
      <c r="M794" s="2">
        <f t="shared" ca="1" si="755"/>
        <v>-1.9459172722840902E-3</v>
      </c>
      <c r="N794" s="2">
        <f t="shared" ca="1" si="756"/>
        <v>-1.9459172722840902E-3</v>
      </c>
      <c r="O794" s="2">
        <f t="shared" si="757"/>
        <v>6000000</v>
      </c>
      <c r="P794" s="2">
        <f t="shared" ca="1" si="758"/>
        <v>38678467.606489182</v>
      </c>
      <c r="Q794" s="2">
        <f t="shared" ca="1" si="759"/>
        <v>966961.69016222958</v>
      </c>
      <c r="R794" s="2">
        <f t="shared" ca="1" si="760"/>
        <v>23207080.563893508</v>
      </c>
      <c r="S794" s="2">
        <f t="shared" ca="1" si="761"/>
        <v>15471387.042595673</v>
      </c>
      <c r="T794" s="2">
        <f t="shared" ca="1" si="762"/>
        <v>49902704.136385798</v>
      </c>
      <c r="U794" s="2">
        <f t="shared" ca="1" si="763"/>
        <v>49699011.620118216</v>
      </c>
      <c r="V794" s="2">
        <f t="shared" ca="1" si="764"/>
        <v>49496150.534569696</v>
      </c>
      <c r="W794" s="2">
        <f t="shared" ca="1" si="765"/>
        <v>49294117.486012027</v>
      </c>
      <c r="X794" s="2">
        <f t="shared" ca="1" si="766"/>
        <v>49092909.094569474</v>
      </c>
      <c r="Y794" s="2">
        <f t="shared" ca="1" si="767"/>
        <v>0.12549028065665827</v>
      </c>
      <c r="Z794" s="2">
        <f t="shared" ca="1" si="768"/>
        <v>0.12768639291932157</v>
      </c>
      <c r="AA794" s="2">
        <f t="shared" ca="1" si="769"/>
        <v>6262304.3476012349</v>
      </c>
      <c r="AB794" s="2">
        <f t="shared" ca="1" si="770"/>
        <v>6345887.5254283436</v>
      </c>
      <c r="AC794" s="2">
        <f t="shared" ca="1" si="771"/>
        <v>6319984.9251509551</v>
      </c>
      <c r="AD794" s="2">
        <f t="shared" ca="1" si="772"/>
        <v>6294188.0539301317</v>
      </c>
      <c r="AE794" s="2">
        <f t="shared" ca="1" si="773"/>
        <v>6268496.4802017333</v>
      </c>
      <c r="AF794" s="2">
        <f t="shared" ca="1" si="774"/>
        <v>998054.08272771596</v>
      </c>
      <c r="AG794" s="2">
        <f t="shared" ca="1" si="775"/>
        <v>993980.23240236437</v>
      </c>
      <c r="AH794" s="2">
        <f t="shared" ca="1" si="776"/>
        <v>989923.01069139398</v>
      </c>
      <c r="AI794" s="2">
        <f t="shared" ca="1" si="777"/>
        <v>985882.34972024057</v>
      </c>
      <c r="AJ794" s="2">
        <f t="shared" ca="1" si="778"/>
        <v>981858.18189138954</v>
      </c>
      <c r="AK794" s="2">
        <f t="shared" ca="1" si="779"/>
        <v>0</v>
      </c>
      <c r="AL794" s="2">
        <f t="shared" ca="1" si="780"/>
        <v>0</v>
      </c>
      <c r="AM794" s="2">
        <f t="shared" ca="1" si="781"/>
        <v>0</v>
      </c>
      <c r="AN794" s="2">
        <f t="shared" ca="1" si="782"/>
        <v>0</v>
      </c>
      <c r="AO794" s="2">
        <f t="shared" ca="1" si="783"/>
        <v>0</v>
      </c>
      <c r="AP794" s="2">
        <f t="shared" ca="1" si="784"/>
        <v>2088637.2507504157</v>
      </c>
      <c r="AQ794" s="2">
        <f t="shared" ca="1" si="785"/>
        <v>825659.38367200666</v>
      </c>
      <c r="AR794" s="2">
        <f t="shared" ca="1" si="786"/>
        <v>848450.2109916464</v>
      </c>
      <c r="AS794" s="2">
        <f t="shared" ca="1" si="787"/>
        <v>842770.41256437777</v>
      </c>
      <c r="AT794" s="2">
        <f t="shared" ca="1" si="788"/>
        <v>837113.79789946356</v>
      </c>
      <c r="AU794" s="2">
        <f t="shared" ca="1" si="789"/>
        <v>831480.27236558136</v>
      </c>
      <c r="AV794" s="2">
        <f t="shared" ca="1" si="790"/>
        <v>2349953.6304510962</v>
      </c>
      <c r="AW794" s="2">
        <f t="shared" ca="1" si="791"/>
        <v>2414819.8312839167</v>
      </c>
      <c r="AX794" s="2">
        <f t="shared" ca="1" si="792"/>
        <v>2398654.2511447677</v>
      </c>
      <c r="AY794" s="2">
        <f t="shared" ca="1" si="793"/>
        <v>2382554.655560012</v>
      </c>
      <c r="AZ794" s="2">
        <f t="shared" ca="1" si="794"/>
        <v>2366520.7751943469</v>
      </c>
      <c r="BA794" s="2">
        <f t="shared" ca="1" si="795"/>
        <v>47540566.518119492</v>
      </c>
      <c r="BB794" s="2">
        <f t="shared" ca="1" si="796"/>
        <v>950811.3303623898</v>
      </c>
      <c r="BC794" s="2">
        <f t="shared" ca="1" si="797"/>
        <v>23382674.623863593</v>
      </c>
      <c r="BD794" s="2">
        <f t="shared" ca="1" si="798"/>
        <v>-16938348.732757904</v>
      </c>
      <c r="BE794" s="2">
        <f t="shared" ca="1" si="799"/>
        <v>2349953.6304510962</v>
      </c>
      <c r="BF794" s="2">
        <f t="shared" ca="1" si="800"/>
        <v>2414819.8312839167</v>
      </c>
      <c r="BG794" s="2">
        <f t="shared" ca="1" si="801"/>
        <v>2398654.2511447677</v>
      </c>
      <c r="BH794" s="2">
        <f t="shared" ca="1" si="802"/>
        <v>2382554.655560012</v>
      </c>
      <c r="BI794" s="2">
        <f t="shared" ca="1" si="803"/>
        <v>25749195.39905794</v>
      </c>
      <c r="BJ794" s="2">
        <f t="shared" ca="1" si="804"/>
        <v>0.19251009129954477</v>
      </c>
      <c r="BK794" s="2">
        <f t="shared" ca="1" si="805"/>
        <v>4917159.9927275181</v>
      </c>
    </row>
    <row r="795" spans="1:63" x14ac:dyDescent="0.3">
      <c r="A795" s="2">
        <v>794</v>
      </c>
      <c r="B795" s="2">
        <f t="shared" ca="1" si="744"/>
        <v>1.608057078816183E-2</v>
      </c>
      <c r="C795" s="2">
        <f t="shared" ca="1" si="745"/>
        <v>6.1793352769990433</v>
      </c>
      <c r="D795" s="2">
        <f t="shared" ca="1" si="746"/>
        <v>0.57985791363993977</v>
      </c>
      <c r="E795" s="2">
        <f t="shared" ca="1" si="747"/>
        <v>7.583329845189601</v>
      </c>
      <c r="F795" s="2">
        <f t="shared" ca="1" si="748"/>
        <v>0.77934057800085921</v>
      </c>
      <c r="G795" s="2">
        <f t="shared" ca="1" si="749"/>
        <v>6.3099041567008435E-2</v>
      </c>
      <c r="H795" s="2">
        <f t="shared" ca="1" si="750"/>
        <v>6.3099041567008435E-2</v>
      </c>
      <c r="I795" s="2">
        <f t="shared" ca="1" si="751"/>
        <v>0.53285018430257181</v>
      </c>
      <c r="J795" s="2">
        <f t="shared" ca="1" si="752"/>
        <v>1.0412182378105081E-2</v>
      </c>
      <c r="K795" s="2">
        <f t="shared" ca="1" si="753"/>
        <v>1.0412182378105081E-2</v>
      </c>
      <c r="L795" s="2">
        <f t="shared" ca="1" si="754"/>
        <v>0.17678030606858164</v>
      </c>
      <c r="M795" s="2">
        <f t="shared" ca="1" si="755"/>
        <v>-1.8554100077242546E-2</v>
      </c>
      <c r="N795" s="2">
        <f t="shared" ca="1" si="756"/>
        <v>-1.8554100077242546E-2</v>
      </c>
      <c r="O795" s="2">
        <f t="shared" si="757"/>
        <v>6000000</v>
      </c>
      <c r="P795" s="2">
        <f t="shared" ca="1" si="758"/>
        <v>37076011.661994256</v>
      </c>
      <c r="Q795" s="2">
        <f t="shared" ca="1" si="759"/>
        <v>926900.29154985643</v>
      </c>
      <c r="R795" s="2">
        <f t="shared" ca="1" si="760"/>
        <v>22245606.997196551</v>
      </c>
      <c r="S795" s="2">
        <f t="shared" ca="1" si="761"/>
        <v>14830404.664797703</v>
      </c>
      <c r="T795" s="2">
        <f t="shared" ca="1" si="762"/>
        <v>49072294.996137872</v>
      </c>
      <c r="U795" s="2">
        <f t="shared" ca="1" si="763"/>
        <v>52168709.77788768</v>
      </c>
      <c r="V795" s="2">
        <f t="shared" ca="1" si="764"/>
        <v>55460505.364659816</v>
      </c>
      <c r="W795" s="2">
        <f t="shared" ca="1" si="765"/>
        <v>58960010.097991787</v>
      </c>
      <c r="X795" s="2">
        <f t="shared" ca="1" si="766"/>
        <v>62680330.225956209</v>
      </c>
      <c r="Y795" s="2">
        <f t="shared" ca="1" si="767"/>
        <v>0.12520609118905254</v>
      </c>
      <c r="Z795" s="2">
        <f t="shared" ca="1" si="768"/>
        <v>0.12728852766467355</v>
      </c>
      <c r="AA795" s="2">
        <f t="shared" ca="1" si="769"/>
        <v>6144150.2421425255</v>
      </c>
      <c r="AB795" s="2">
        <f t="shared" ca="1" si="770"/>
        <v>6640478.2577929813</v>
      </c>
      <c r="AC795" s="2">
        <f t="shared" ca="1" si="771"/>
        <v>7059486.0714062769</v>
      </c>
      <c r="AD795" s="2">
        <f t="shared" ca="1" si="772"/>
        <v>7504932.8764676591</v>
      </c>
      <c r="AE795" s="2">
        <f t="shared" ca="1" si="773"/>
        <v>7978486.9479975011</v>
      </c>
      <c r="AF795" s="2">
        <f t="shared" ca="1" si="774"/>
        <v>981445.89992275741</v>
      </c>
      <c r="AG795" s="2">
        <f t="shared" ca="1" si="775"/>
        <v>1043374.1955577537</v>
      </c>
      <c r="AH795" s="2">
        <f t="shared" ca="1" si="776"/>
        <v>1109210.1072931963</v>
      </c>
      <c r="AI795" s="2">
        <f t="shared" ca="1" si="777"/>
        <v>1179200.2019598358</v>
      </c>
      <c r="AJ795" s="2">
        <f t="shared" ca="1" si="778"/>
        <v>1253606.6045191241</v>
      </c>
      <c r="AK795" s="2">
        <f t="shared" ca="1" si="779"/>
        <v>0</v>
      </c>
      <c r="AL795" s="2">
        <f t="shared" ca="1" si="780"/>
        <v>30964.147817498073</v>
      </c>
      <c r="AM795" s="2">
        <f t="shared" ca="1" si="781"/>
        <v>32917.955867721364</v>
      </c>
      <c r="AN795" s="2">
        <f t="shared" ca="1" si="782"/>
        <v>34995.047333319708</v>
      </c>
      <c r="AO795" s="2">
        <f t="shared" ca="1" si="783"/>
        <v>37203.201279644221</v>
      </c>
      <c r="AP795" s="2">
        <f t="shared" ca="1" si="784"/>
        <v>2002104.6297476895</v>
      </c>
      <c r="AQ795" s="2">
        <f t="shared" ca="1" si="785"/>
        <v>821755.92524274043</v>
      </c>
      <c r="AR795" s="2">
        <f t="shared" ca="1" si="786"/>
        <v>934699.85244675993</v>
      </c>
      <c r="AS795" s="2">
        <f t="shared" ca="1" si="787"/>
        <v>1026524.5469350017</v>
      </c>
      <c r="AT795" s="2">
        <f t="shared" ca="1" si="788"/>
        <v>1124143.2916376346</v>
      </c>
      <c r="AU795" s="2">
        <f t="shared" ca="1" si="789"/>
        <v>1227921.6855699788</v>
      </c>
      <c r="AV795" s="2">
        <f t="shared" ca="1" si="790"/>
        <v>2338843.7872293377</v>
      </c>
      <c r="AW795" s="2">
        <f t="shared" ca="1" si="791"/>
        <v>2629335.43222328</v>
      </c>
      <c r="AX795" s="2">
        <f t="shared" ca="1" si="792"/>
        <v>2888728.8315626681</v>
      </c>
      <c r="AY795" s="2">
        <f t="shared" ca="1" si="793"/>
        <v>3164489.7057891786</v>
      </c>
      <c r="AZ795" s="2">
        <f t="shared" ca="1" si="794"/>
        <v>3457650.826881065</v>
      </c>
      <c r="BA795" s="2">
        <f t="shared" ca="1" si="795"/>
        <v>60503498.192205139</v>
      </c>
      <c r="BB795" s="2">
        <f t="shared" ca="1" si="796"/>
        <v>1210069.9638441028</v>
      </c>
      <c r="BC795" s="2">
        <f t="shared" ca="1" si="797"/>
        <v>37047821.231164485</v>
      </c>
      <c r="BD795" s="2">
        <f t="shared" ca="1" si="798"/>
        <v>-16257304.956347559</v>
      </c>
      <c r="BE795" s="2">
        <f t="shared" ca="1" si="799"/>
        <v>2338843.7872293377</v>
      </c>
      <c r="BF795" s="2">
        <f t="shared" ca="1" si="800"/>
        <v>2629335.43222328</v>
      </c>
      <c r="BG795" s="2">
        <f t="shared" ca="1" si="801"/>
        <v>2888728.8315626681</v>
      </c>
      <c r="BH795" s="2">
        <f t="shared" ca="1" si="802"/>
        <v>3164489.7057891786</v>
      </c>
      <c r="BI795" s="2">
        <f t="shared" ca="1" si="803"/>
        <v>40505472.058045551</v>
      </c>
      <c r="BJ795" s="2">
        <f t="shared" ca="1" si="804"/>
        <v>0.30838460164065928</v>
      </c>
      <c r="BK795" s="2">
        <f t="shared" ca="1" si="805"/>
        <v>14978161.72354836</v>
      </c>
    </row>
    <row r="796" spans="1:63" x14ac:dyDescent="0.3">
      <c r="A796" s="2">
        <v>795</v>
      </c>
      <c r="B796" s="2">
        <f t="shared" ca="1" si="744"/>
        <v>0.93005658372135991</v>
      </c>
      <c r="C796" s="2">
        <f t="shared" ca="1" si="745"/>
        <v>7.6259855182519267</v>
      </c>
      <c r="D796" s="2">
        <f t="shared" ca="1" si="746"/>
        <v>0.92718743702319584</v>
      </c>
      <c r="E796" s="2">
        <f t="shared" ca="1" si="747"/>
        <v>8.1183913969082866</v>
      </c>
      <c r="F796" s="2">
        <f t="shared" ca="1" si="748"/>
        <v>0.45791786059444872</v>
      </c>
      <c r="G796" s="2">
        <f t="shared" ca="1" si="749"/>
        <v>3.6829580037232225E-2</v>
      </c>
      <c r="H796" s="2">
        <f t="shared" ca="1" si="750"/>
        <v>3.6829580037232225E-2</v>
      </c>
      <c r="I796" s="2">
        <f t="shared" ca="1" si="751"/>
        <v>0.16724856329566595</v>
      </c>
      <c r="J796" s="2">
        <f t="shared" ca="1" si="752"/>
        <v>5.174523956801875E-3</v>
      </c>
      <c r="K796" s="2">
        <f t="shared" ca="1" si="753"/>
        <v>5.174523956801875E-3</v>
      </c>
      <c r="L796" s="2">
        <f t="shared" ca="1" si="754"/>
        <v>0.33790808998881561</v>
      </c>
      <c r="M796" s="2">
        <f t="shared" ca="1" si="755"/>
        <v>-8.3635818734275821E-3</v>
      </c>
      <c r="N796" s="2">
        <f t="shared" ca="1" si="756"/>
        <v>-8.3635818734275821E-3</v>
      </c>
      <c r="O796" s="2">
        <f t="shared" si="757"/>
        <v>6000000</v>
      </c>
      <c r="P796" s="2">
        <f t="shared" ca="1" si="758"/>
        <v>45755913.109511562</v>
      </c>
      <c r="Q796" s="2">
        <f t="shared" ca="1" si="759"/>
        <v>1143897.8277377891</v>
      </c>
      <c r="R796" s="2">
        <f t="shared" ca="1" si="760"/>
        <v>27453547.865706936</v>
      </c>
      <c r="S796" s="2">
        <f t="shared" ca="1" si="761"/>
        <v>18302365.243804626</v>
      </c>
      <c r="T796" s="2">
        <f t="shared" ca="1" si="762"/>
        <v>49581820.906328619</v>
      </c>
      <c r="U796" s="2">
        <f t="shared" ca="1" si="763"/>
        <v>51407898.547789961</v>
      </c>
      <c r="V796" s="2">
        <f t="shared" ca="1" si="764"/>
        <v>53301229.861901708</v>
      </c>
      <c r="W796" s="2">
        <f t="shared" ca="1" si="765"/>
        <v>55264291.773183532</v>
      </c>
      <c r="X796" s="2">
        <f t="shared" ca="1" si="766"/>
        <v>57299652.430244952</v>
      </c>
      <c r="Y796" s="2">
        <f t="shared" ca="1" si="767"/>
        <v>0.12258726197840093</v>
      </c>
      <c r="Z796" s="2">
        <f t="shared" ca="1" si="768"/>
        <v>0.1236221667697613</v>
      </c>
      <c r="AA796" s="2">
        <f t="shared" ca="1" si="769"/>
        <v>6078099.6688102623</v>
      </c>
      <c r="AB796" s="2">
        <f t="shared" ca="1" si="770"/>
        <v>6355155.8075578604</v>
      </c>
      <c r="AC796" s="2">
        <f t="shared" ca="1" si="771"/>
        <v>6589213.5270213941</v>
      </c>
      <c r="AD796" s="2">
        <f t="shared" ca="1" si="772"/>
        <v>6831891.4939972423</v>
      </c>
      <c r="AE796" s="2">
        <f t="shared" ca="1" si="773"/>
        <v>7083507.1885810997</v>
      </c>
      <c r="AF796" s="2">
        <f t="shared" ca="1" si="774"/>
        <v>991636.41812657239</v>
      </c>
      <c r="AG796" s="2">
        <f t="shared" ca="1" si="775"/>
        <v>1028157.9709557992</v>
      </c>
      <c r="AH796" s="2">
        <f t="shared" ca="1" si="776"/>
        <v>1066024.5972380342</v>
      </c>
      <c r="AI796" s="2">
        <f t="shared" ca="1" si="777"/>
        <v>1105285.8354636705</v>
      </c>
      <c r="AJ796" s="2">
        <f t="shared" ca="1" si="778"/>
        <v>1145993.0486048991</v>
      </c>
      <c r="AK796" s="2">
        <f t="shared" ca="1" si="779"/>
        <v>0</v>
      </c>
      <c r="AL796" s="2">
        <f t="shared" ca="1" si="780"/>
        <v>18260.776414613425</v>
      </c>
      <c r="AM796" s="2">
        <f t="shared" ca="1" si="781"/>
        <v>18933.313141117469</v>
      </c>
      <c r="AN796" s="2">
        <f t="shared" ca="1" si="782"/>
        <v>19630.61911281824</v>
      </c>
      <c r="AO796" s="2">
        <f t="shared" ca="1" si="783"/>
        <v>20353.606570614204</v>
      </c>
      <c r="AP796" s="2">
        <f t="shared" ca="1" si="784"/>
        <v>2470819.3079136242</v>
      </c>
      <c r="AQ796" s="2">
        <f t="shared" ca="1" si="785"/>
        <v>680067.42512021703</v>
      </c>
      <c r="AR796" s="2">
        <f t="shared" ca="1" si="786"/>
        <v>742606.41745899362</v>
      </c>
      <c r="AS796" s="2">
        <f t="shared" ca="1" si="787"/>
        <v>793616.10168613133</v>
      </c>
      <c r="AT796" s="2">
        <f t="shared" ca="1" si="788"/>
        <v>846504.45116118621</v>
      </c>
      <c r="AU796" s="2">
        <f t="shared" ca="1" si="789"/>
        <v>901340.65633626992</v>
      </c>
      <c r="AV796" s="2">
        <f t="shared" ca="1" si="790"/>
        <v>1935576.5176498485</v>
      </c>
      <c r="AW796" s="2">
        <f t="shared" ca="1" si="791"/>
        <v>2095311.3348148302</v>
      </c>
      <c r="AX796" s="2">
        <f t="shared" ca="1" si="792"/>
        <v>2239820.2070424869</v>
      </c>
      <c r="AY796" s="2">
        <f t="shared" ca="1" si="793"/>
        <v>2389651.2803459424</v>
      </c>
      <c r="AZ796" s="2">
        <f t="shared" ca="1" si="794"/>
        <v>2545000.5691556917</v>
      </c>
      <c r="BA796" s="2">
        <f t="shared" ca="1" si="795"/>
        <v>57506683.819714807</v>
      </c>
      <c r="BB796" s="2">
        <f t="shared" ca="1" si="796"/>
        <v>1150133.6763942961</v>
      </c>
      <c r="BC796" s="2">
        <f t="shared" ca="1" si="797"/>
        <v>28903002.277613577</v>
      </c>
      <c r="BD796" s="2">
        <f t="shared" ca="1" si="798"/>
        <v>-19946263.071542416</v>
      </c>
      <c r="BE796" s="2">
        <f t="shared" ca="1" si="799"/>
        <v>1935576.5176498485</v>
      </c>
      <c r="BF796" s="2">
        <f t="shared" ca="1" si="800"/>
        <v>2095311.3348148302</v>
      </c>
      <c r="BG796" s="2">
        <f t="shared" ca="1" si="801"/>
        <v>2239820.2070424869</v>
      </c>
      <c r="BH796" s="2">
        <f t="shared" ca="1" si="802"/>
        <v>2389651.2803459424</v>
      </c>
      <c r="BI796" s="2">
        <f t="shared" ca="1" si="803"/>
        <v>31448002.84676927</v>
      </c>
      <c r="BJ796" s="2">
        <f t="shared" ca="1" si="804"/>
        <v>0.17352672118100676</v>
      </c>
      <c r="BK796" s="2">
        <f t="shared" ca="1" si="805"/>
        <v>4409667.3612065688</v>
      </c>
    </row>
    <row r="797" spans="1:63" x14ac:dyDescent="0.3">
      <c r="A797" s="2">
        <v>796</v>
      </c>
      <c r="B797" s="2">
        <f t="shared" ca="1" si="744"/>
        <v>0.62808400113439056</v>
      </c>
      <c r="C797" s="2">
        <f t="shared" ca="1" si="745"/>
        <v>7.1375430458676679</v>
      </c>
      <c r="D797" s="2">
        <f t="shared" ca="1" si="746"/>
        <v>0.18988022312320196</v>
      </c>
      <c r="E797" s="2">
        <f t="shared" ca="1" si="747"/>
        <v>7.1162470659130186</v>
      </c>
      <c r="F797" s="2">
        <f t="shared" ca="1" si="748"/>
        <v>0.54722712884453417</v>
      </c>
      <c r="G797" s="2">
        <f t="shared" ca="1" si="749"/>
        <v>4.3559761591447678E-2</v>
      </c>
      <c r="H797" s="2">
        <f t="shared" ca="1" si="750"/>
        <v>4.3559761591447678E-2</v>
      </c>
      <c r="I797" s="2">
        <f t="shared" ca="1" si="751"/>
        <v>0.33292046427453925</v>
      </c>
      <c r="J797" s="2">
        <f t="shared" ca="1" si="752"/>
        <v>7.8406845926033506E-3</v>
      </c>
      <c r="K797" s="2">
        <f t="shared" ca="1" si="753"/>
        <v>7.8406845926033506E-3</v>
      </c>
      <c r="L797" s="2">
        <f t="shared" ca="1" si="754"/>
        <v>0.25864207947192364</v>
      </c>
      <c r="M797" s="2">
        <f t="shared" ca="1" si="755"/>
        <v>-1.2950749184434791E-2</v>
      </c>
      <c r="N797" s="2">
        <f t="shared" ca="1" si="756"/>
        <v>-1.2950749184434791E-2</v>
      </c>
      <c r="O797" s="2">
        <f t="shared" si="757"/>
        <v>6000000</v>
      </c>
      <c r="P797" s="2">
        <f t="shared" ca="1" si="758"/>
        <v>42825258.275206007</v>
      </c>
      <c r="Q797" s="2">
        <f t="shared" ca="1" si="759"/>
        <v>1070631.4568801501</v>
      </c>
      <c r="R797" s="2">
        <f t="shared" ca="1" si="760"/>
        <v>25695154.965123605</v>
      </c>
      <c r="S797" s="2">
        <f t="shared" ca="1" si="761"/>
        <v>17130103.310082402</v>
      </c>
      <c r="T797" s="2">
        <f t="shared" ca="1" si="762"/>
        <v>49352462.540778257</v>
      </c>
      <c r="U797" s="2">
        <f t="shared" ca="1" si="763"/>
        <v>51502244.043005407</v>
      </c>
      <c r="V797" s="2">
        <f t="shared" ca="1" si="764"/>
        <v>53745669.514943272</v>
      </c>
      <c r="W797" s="2">
        <f t="shared" ca="1" si="765"/>
        <v>56086818.065586932</v>
      </c>
      <c r="X797" s="2">
        <f t="shared" ca="1" si="766"/>
        <v>58529946.488946795</v>
      </c>
      <c r="Y797" s="2">
        <f t="shared" ca="1" si="767"/>
        <v>0.12392034229630167</v>
      </c>
      <c r="Z797" s="2">
        <f t="shared" ca="1" si="768"/>
        <v>0.12548847921482234</v>
      </c>
      <c r="AA797" s="2">
        <f t="shared" ca="1" si="769"/>
        <v>6115774.0512186475</v>
      </c>
      <c r="AB797" s="2">
        <f t="shared" ca="1" si="770"/>
        <v>6462938.2811073922</v>
      </c>
      <c r="AC797" s="2">
        <f t="shared" ca="1" si="771"/>
        <v>6744462.3318126695</v>
      </c>
      <c r="AD797" s="2">
        <f t="shared" ca="1" si="772"/>
        <v>7038249.5030489275</v>
      </c>
      <c r="AE797" s="2">
        <f t="shared" ca="1" si="773"/>
        <v>7344833.9734228635</v>
      </c>
      <c r="AF797" s="2">
        <f t="shared" ca="1" si="774"/>
        <v>987049.25081556512</v>
      </c>
      <c r="AG797" s="2">
        <f t="shared" ca="1" si="775"/>
        <v>1030044.8808601082</v>
      </c>
      <c r="AH797" s="2">
        <f t="shared" ca="1" si="776"/>
        <v>1074913.3902988655</v>
      </c>
      <c r="AI797" s="2">
        <f t="shared" ca="1" si="777"/>
        <v>1121736.3613117386</v>
      </c>
      <c r="AJ797" s="2">
        <f t="shared" ca="1" si="778"/>
        <v>1170598.9297789359</v>
      </c>
      <c r="AK797" s="2">
        <f t="shared" ca="1" si="779"/>
        <v>0</v>
      </c>
      <c r="AL797" s="2">
        <f t="shared" ca="1" si="780"/>
        <v>21497.815022271501</v>
      </c>
      <c r="AM797" s="2">
        <f t="shared" ca="1" si="781"/>
        <v>22434.254719378652</v>
      </c>
      <c r="AN797" s="2">
        <f t="shared" ca="1" si="782"/>
        <v>23411.485506436602</v>
      </c>
      <c r="AO797" s="2">
        <f t="shared" ca="1" si="783"/>
        <v>24431.284233598635</v>
      </c>
      <c r="AP797" s="2">
        <f t="shared" ca="1" si="784"/>
        <v>2312563.9468611241</v>
      </c>
      <c r="AQ797" s="2">
        <f t="shared" ca="1" si="785"/>
        <v>732201.82192090922</v>
      </c>
      <c r="AR797" s="2">
        <f t="shared" ca="1" si="786"/>
        <v>811285.6578804017</v>
      </c>
      <c r="AS797" s="2">
        <f t="shared" ca="1" si="787"/>
        <v>872816.09860969672</v>
      </c>
      <c r="AT797" s="2">
        <f t="shared" ca="1" si="788"/>
        <v>937026.79066777695</v>
      </c>
      <c r="AU797" s="2">
        <f t="shared" ca="1" si="789"/>
        <v>1004034.4851635288</v>
      </c>
      <c r="AV797" s="2">
        <f t="shared" ca="1" si="790"/>
        <v>2083959.0316210496</v>
      </c>
      <c r="AW797" s="2">
        <f t="shared" ca="1" si="791"/>
        <v>2287545.9804834868</v>
      </c>
      <c r="AX797" s="2">
        <f t="shared" ca="1" si="792"/>
        <v>2461734.6413236042</v>
      </c>
      <c r="AY797" s="2">
        <f t="shared" ca="1" si="793"/>
        <v>2643510.9187018513</v>
      </c>
      <c r="AZ797" s="2">
        <f t="shared" ca="1" si="794"/>
        <v>2833205.3273856756</v>
      </c>
      <c r="BA797" s="2">
        <f t="shared" ca="1" si="795"/>
        <v>52267653.212988712</v>
      </c>
      <c r="BB797" s="2">
        <f t="shared" ca="1" si="796"/>
        <v>1045353.0642597743</v>
      </c>
      <c r="BC797" s="2">
        <f t="shared" ca="1" si="797"/>
        <v>25527145.183605332</v>
      </c>
      <c r="BD797" s="2">
        <f t="shared" ca="1" si="798"/>
        <v>-18700734.766962551</v>
      </c>
      <c r="BE797" s="2">
        <f t="shared" ca="1" si="799"/>
        <v>2083959.0316210496</v>
      </c>
      <c r="BF797" s="2">
        <f t="shared" ca="1" si="800"/>
        <v>2287545.9804834868</v>
      </c>
      <c r="BG797" s="2">
        <f t="shared" ca="1" si="801"/>
        <v>2461734.6413236042</v>
      </c>
      <c r="BH797" s="2">
        <f t="shared" ca="1" si="802"/>
        <v>2643510.9187018513</v>
      </c>
      <c r="BI797" s="2">
        <f t="shared" ca="1" si="803"/>
        <v>28360350.510991007</v>
      </c>
      <c r="BJ797" s="2">
        <f t="shared" ca="1" si="804"/>
        <v>0.17948811483084537</v>
      </c>
      <c r="BK797" s="2">
        <f t="shared" ca="1" si="805"/>
        <v>4508198.1799765937</v>
      </c>
    </row>
    <row r="798" spans="1:63" x14ac:dyDescent="0.3">
      <c r="A798" s="2">
        <v>797</v>
      </c>
      <c r="B798" s="2">
        <f t="shared" ca="1" si="744"/>
        <v>0.66953897739076662</v>
      </c>
      <c r="C798" s="2">
        <f t="shared" ca="1" si="745"/>
        <v>7.1870288779922955</v>
      </c>
      <c r="D798" s="2">
        <f t="shared" ca="1" si="746"/>
        <v>0.57179619776764645</v>
      </c>
      <c r="E798" s="2">
        <f t="shared" ca="1" si="747"/>
        <v>7.5745770672472466</v>
      </c>
      <c r="F798" s="2">
        <f t="shared" ca="1" si="748"/>
        <v>0.23879369653715699</v>
      </c>
      <c r="G798" s="2">
        <f t="shared" ca="1" si="749"/>
        <v>1.86943518608358E-2</v>
      </c>
      <c r="H798" s="2">
        <f t="shared" ca="1" si="750"/>
        <v>1.86943518608358E-2</v>
      </c>
      <c r="I798" s="2">
        <f t="shared" ca="1" si="751"/>
        <v>0.77596278971972499</v>
      </c>
      <c r="J798" s="2">
        <f t="shared" ca="1" si="752"/>
        <v>1.379314582967452E-2</v>
      </c>
      <c r="K798" s="2">
        <f t="shared" ca="1" si="753"/>
        <v>1.379314582967452E-2</v>
      </c>
      <c r="L798" s="2">
        <f t="shared" ca="1" si="754"/>
        <v>0.60677803626943971</v>
      </c>
      <c r="M798" s="2">
        <f t="shared" ca="1" si="755"/>
        <v>5.4186245345745187E-3</v>
      </c>
      <c r="N798" s="2">
        <f t="shared" ca="1" si="756"/>
        <v>5.4186245345745187E-3</v>
      </c>
      <c r="O798" s="2">
        <f t="shared" si="757"/>
        <v>6000000</v>
      </c>
      <c r="P798" s="2">
        <f t="shared" ca="1" si="758"/>
        <v>43122173.267953776</v>
      </c>
      <c r="Q798" s="2">
        <f t="shared" ca="1" si="759"/>
        <v>1078054.3316988444</v>
      </c>
      <c r="R798" s="2">
        <f t="shared" ca="1" si="760"/>
        <v>25873303.960772265</v>
      </c>
      <c r="S798" s="2">
        <f t="shared" ca="1" si="761"/>
        <v>17248869.307181511</v>
      </c>
      <c r="T798" s="2">
        <f t="shared" ca="1" si="762"/>
        <v>50270931.226728722</v>
      </c>
      <c r="U798" s="2">
        <f t="shared" ca="1" si="763"/>
        <v>51210713.703453064</v>
      </c>
      <c r="V798" s="2">
        <f t="shared" ca="1" si="764"/>
        <v>52168064.804469943</v>
      </c>
      <c r="W798" s="2">
        <f t="shared" ca="1" si="765"/>
        <v>53143312.963823587</v>
      </c>
      <c r="X798" s="2">
        <f t="shared" ca="1" si="766"/>
        <v>54136792.755419821</v>
      </c>
      <c r="Y798" s="2">
        <f t="shared" ca="1" si="767"/>
        <v>0.12689657291483725</v>
      </c>
      <c r="Z798" s="2">
        <f t="shared" ca="1" si="768"/>
        <v>0.12965520208077216</v>
      </c>
      <c r="AA798" s="2">
        <f t="shared" ca="1" si="769"/>
        <v>6379208.8899093503</v>
      </c>
      <c r="AB798" s="2">
        <f t="shared" ca="1" si="770"/>
        <v>6639735.4339217748</v>
      </c>
      <c r="AC798" s="2">
        <f t="shared" ca="1" si="771"/>
        <v>6763860.9843863687</v>
      </c>
      <c r="AD798" s="2">
        <f t="shared" ca="1" si="772"/>
        <v>6890306.9815662662</v>
      </c>
      <c r="AE798" s="2">
        <f t="shared" ca="1" si="773"/>
        <v>7019116.8047088394</v>
      </c>
      <c r="AF798" s="2">
        <f t="shared" ca="1" si="774"/>
        <v>1005418.6245345745</v>
      </c>
      <c r="AG798" s="2">
        <f t="shared" ca="1" si="775"/>
        <v>1024214.2740690613</v>
      </c>
      <c r="AH798" s="2">
        <f t="shared" ca="1" si="776"/>
        <v>1043361.2960893989</v>
      </c>
      <c r="AI798" s="2">
        <f t="shared" ca="1" si="777"/>
        <v>1062866.2592764718</v>
      </c>
      <c r="AJ798" s="2">
        <f t="shared" ca="1" si="778"/>
        <v>1082735.8551083964</v>
      </c>
      <c r="AK798" s="2">
        <f t="shared" ca="1" si="779"/>
        <v>0</v>
      </c>
      <c r="AL798" s="2">
        <f t="shared" ca="1" si="780"/>
        <v>9397.8247672434154</v>
      </c>
      <c r="AM798" s="2">
        <f t="shared" ca="1" si="781"/>
        <v>9573.5110101687915</v>
      </c>
      <c r="AN798" s="2">
        <f t="shared" ca="1" si="782"/>
        <v>9752.4815935364368</v>
      </c>
      <c r="AO798" s="2">
        <f t="shared" ca="1" si="783"/>
        <v>9934.7979159623392</v>
      </c>
      <c r="AP798" s="2">
        <f t="shared" ca="1" si="784"/>
        <v>2328597.3564695036</v>
      </c>
      <c r="AQ798" s="2">
        <f t="shared" ca="1" si="785"/>
        <v>791750.15631537081</v>
      </c>
      <c r="AR798" s="2">
        <f t="shared" ca="1" si="786"/>
        <v>854600.1888796346</v>
      </c>
      <c r="AS798" s="2">
        <f t="shared" ca="1" si="787"/>
        <v>881894.60627514124</v>
      </c>
      <c r="AT798" s="2">
        <f t="shared" ca="1" si="788"/>
        <v>909699.27511327562</v>
      </c>
      <c r="AU798" s="2">
        <f t="shared" ca="1" si="789"/>
        <v>938023.73421404429</v>
      </c>
      <c r="AV798" s="2">
        <f t="shared" ca="1" si="790"/>
        <v>2253442.7525899019</v>
      </c>
      <c r="AW798" s="2">
        <f t="shared" ca="1" si="791"/>
        <v>2422925.7897363324</v>
      </c>
      <c r="AX798" s="2">
        <f t="shared" ca="1" si="792"/>
        <v>2500434.2145421561</v>
      </c>
      <c r="AY798" s="2">
        <f t="shared" ca="1" si="793"/>
        <v>2579391.609113479</v>
      </c>
      <c r="AZ798" s="2">
        <f t="shared" ca="1" si="794"/>
        <v>2659825.0610009329</v>
      </c>
      <c r="BA798" s="2">
        <f t="shared" ca="1" si="795"/>
        <v>53166841.181277342</v>
      </c>
      <c r="BB798" s="2">
        <f t="shared" ca="1" si="796"/>
        <v>1063336.8236255469</v>
      </c>
      <c r="BC798" s="2">
        <f t="shared" ca="1" si="797"/>
        <v>26230200.396879531</v>
      </c>
      <c r="BD798" s="2">
        <f t="shared" ca="1" si="798"/>
        <v>-18826923.638880357</v>
      </c>
      <c r="BE798" s="2">
        <f t="shared" ca="1" si="799"/>
        <v>2253442.7525899019</v>
      </c>
      <c r="BF798" s="2">
        <f t="shared" ca="1" si="800"/>
        <v>2422925.7897363324</v>
      </c>
      <c r="BG798" s="2">
        <f t="shared" ca="1" si="801"/>
        <v>2500434.2145421561</v>
      </c>
      <c r="BH798" s="2">
        <f t="shared" ca="1" si="802"/>
        <v>2579391.609113479</v>
      </c>
      <c r="BI798" s="2">
        <f t="shared" ca="1" si="803"/>
        <v>28890025.457880463</v>
      </c>
      <c r="BJ798" s="2">
        <f t="shared" ca="1" si="804"/>
        <v>0.18461297498931928</v>
      </c>
      <c r="BK798" s="2">
        <f t="shared" ca="1" si="805"/>
        <v>4928606.415068157</v>
      </c>
    </row>
    <row r="799" spans="1:63" x14ac:dyDescent="0.3">
      <c r="A799" s="2">
        <v>798</v>
      </c>
      <c r="B799" s="2">
        <f t="shared" ca="1" si="744"/>
        <v>7.5816582327174142E-2</v>
      </c>
      <c r="C799" s="2">
        <f t="shared" ca="1" si="745"/>
        <v>6.3894010331963029</v>
      </c>
      <c r="D799" s="2">
        <f t="shared" ca="1" si="746"/>
        <v>0.43704435549798715</v>
      </c>
      <c r="E799" s="2">
        <f t="shared" ca="1" si="747"/>
        <v>7.4349271153389305</v>
      </c>
      <c r="F799" s="2">
        <f t="shared" ca="1" si="748"/>
        <v>0.17980440378763574</v>
      </c>
      <c r="G799" s="2">
        <f t="shared" ca="1" si="749"/>
        <v>1.2516677359625004E-2</v>
      </c>
      <c r="H799" s="2">
        <f t="shared" ca="1" si="750"/>
        <v>1.2516677359625004E-2</v>
      </c>
      <c r="I799" s="2">
        <f t="shared" ca="1" si="751"/>
        <v>0.47467047850904731</v>
      </c>
      <c r="J799" s="2">
        <f t="shared" ca="1" si="752"/>
        <v>9.6823279352623512E-3</v>
      </c>
      <c r="K799" s="2">
        <f t="shared" ca="1" si="753"/>
        <v>9.6823279352623512E-3</v>
      </c>
      <c r="L799" s="2">
        <f t="shared" ca="1" si="754"/>
        <v>0.88544245196718163</v>
      </c>
      <c r="M799" s="2">
        <f t="shared" ca="1" si="755"/>
        <v>2.4052829217233476E-2</v>
      </c>
      <c r="N799" s="2">
        <f t="shared" ca="1" si="756"/>
        <v>2.4052829217233476E-2</v>
      </c>
      <c r="O799" s="2">
        <f t="shared" si="757"/>
        <v>6000000</v>
      </c>
      <c r="P799" s="2">
        <f t="shared" ca="1" si="758"/>
        <v>38336406.199177817</v>
      </c>
      <c r="Q799" s="2">
        <f t="shared" ca="1" si="759"/>
        <v>958410.15497944551</v>
      </c>
      <c r="R799" s="2">
        <f t="shared" ca="1" si="760"/>
        <v>23001843.719506688</v>
      </c>
      <c r="S799" s="2">
        <f t="shared" ca="1" si="761"/>
        <v>15334562.479671128</v>
      </c>
      <c r="T799" s="2">
        <f t="shared" ca="1" si="762"/>
        <v>51202641.460861675</v>
      </c>
      <c r="U799" s="2">
        <f t="shared" ca="1" si="763"/>
        <v>51843528.40398784</v>
      </c>
      <c r="V799" s="2">
        <f t="shared" ca="1" si="764"/>
        <v>52492437.122205108</v>
      </c>
      <c r="W799" s="2">
        <f t="shared" ca="1" si="765"/>
        <v>53149468.021484151</v>
      </c>
      <c r="X799" s="2">
        <f t="shared" ca="1" si="766"/>
        <v>53814722.764544778</v>
      </c>
      <c r="Y799" s="2">
        <f t="shared" ca="1" si="767"/>
        <v>0.12484116396763117</v>
      </c>
      <c r="Z799" s="2">
        <f t="shared" ca="1" si="768"/>
        <v>0.12677762955468364</v>
      </c>
      <c r="AA799" s="2">
        <f t="shared" ca="1" si="769"/>
        <v>6392197.3581912629</v>
      </c>
      <c r="AB799" s="2">
        <f t="shared" ca="1" si="770"/>
        <v>6572599.6388084888</v>
      </c>
      <c r="AC799" s="2">
        <f t="shared" ca="1" si="771"/>
        <v>6654866.7479014425</v>
      </c>
      <c r="AD799" s="2">
        <f t="shared" ca="1" si="772"/>
        <v>6738163.5678562215</v>
      </c>
      <c r="AE799" s="2">
        <f t="shared" ca="1" si="773"/>
        <v>6822502.9872314585</v>
      </c>
      <c r="AF799" s="2">
        <f t="shared" ca="1" si="774"/>
        <v>1024052.8292172336</v>
      </c>
      <c r="AG799" s="2">
        <f t="shared" ca="1" si="775"/>
        <v>1036870.5680797568</v>
      </c>
      <c r="AH799" s="2">
        <f t="shared" ca="1" si="776"/>
        <v>1049848.7424441022</v>
      </c>
      <c r="AI799" s="2">
        <f t="shared" ca="1" si="777"/>
        <v>1062989.360429683</v>
      </c>
      <c r="AJ799" s="2">
        <f t="shared" ca="1" si="778"/>
        <v>1076294.4552908957</v>
      </c>
      <c r="AK799" s="2">
        <f t="shared" ca="1" si="779"/>
        <v>0</v>
      </c>
      <c r="AL799" s="2">
        <f t="shared" ca="1" si="780"/>
        <v>6408.8694312616435</v>
      </c>
      <c r="AM799" s="2">
        <f t="shared" ca="1" si="781"/>
        <v>6489.087182172686</v>
      </c>
      <c r="AN799" s="2">
        <f t="shared" ca="1" si="782"/>
        <v>6570.3089927904311</v>
      </c>
      <c r="AO799" s="2">
        <f t="shared" ca="1" si="783"/>
        <v>6652.5474306062606</v>
      </c>
      <c r="AP799" s="2">
        <f t="shared" ca="1" si="784"/>
        <v>2070165.9347556019</v>
      </c>
      <c r="AQ799" s="2">
        <f t="shared" ca="1" si="785"/>
        <v>857474.4344967911</v>
      </c>
      <c r="AR799" s="2">
        <f t="shared" ca="1" si="786"/>
        <v>901046.4153530139</v>
      </c>
      <c r="AS799" s="2">
        <f t="shared" ca="1" si="787"/>
        <v>919061.53838245186</v>
      </c>
      <c r="AT799" s="2">
        <f t="shared" ca="1" si="788"/>
        <v>937302.15089444362</v>
      </c>
      <c r="AU799" s="2">
        <f t="shared" ca="1" si="789"/>
        <v>955771.07526808977</v>
      </c>
      <c r="AV799" s="2">
        <f t="shared" ca="1" si="790"/>
        <v>2440504.1597216362</v>
      </c>
      <c r="AW799" s="2">
        <f t="shared" ca="1" si="791"/>
        <v>2558107.8511888543</v>
      </c>
      <c r="AX799" s="2">
        <f t="shared" ca="1" si="792"/>
        <v>2609301.4451371133</v>
      </c>
      <c r="AY799" s="2">
        <f t="shared" ca="1" si="793"/>
        <v>2661135.8127837032</v>
      </c>
      <c r="AZ799" s="2">
        <f t="shared" ca="1" si="794"/>
        <v>2713618.9744862644</v>
      </c>
      <c r="BA799" s="2">
        <f t="shared" ca="1" si="795"/>
        <v>50724812.454248026</v>
      </c>
      <c r="BB799" s="2">
        <f t="shared" ca="1" si="796"/>
        <v>1014496.2490849606</v>
      </c>
      <c r="BC799" s="2">
        <f t="shared" ca="1" si="797"/>
        <v>26708472.485656377</v>
      </c>
      <c r="BD799" s="2">
        <f t="shared" ca="1" si="798"/>
        <v>-16792972.634650573</v>
      </c>
      <c r="BE799" s="2">
        <f t="shared" ca="1" si="799"/>
        <v>2440504.1597216362</v>
      </c>
      <c r="BF799" s="2">
        <f t="shared" ca="1" si="800"/>
        <v>2558107.8511888543</v>
      </c>
      <c r="BG799" s="2">
        <f t="shared" ca="1" si="801"/>
        <v>2609301.4451371133</v>
      </c>
      <c r="BH799" s="2">
        <f t="shared" ca="1" si="802"/>
        <v>2661135.8127837032</v>
      </c>
      <c r="BI799" s="2">
        <f t="shared" ca="1" si="803"/>
        <v>29422091.460142642</v>
      </c>
      <c r="BJ799" s="2">
        <f t="shared" ca="1" si="804"/>
        <v>0.22811415911031152</v>
      </c>
      <c r="BK799" s="2">
        <f t="shared" ca="1" si="805"/>
        <v>7668690.8468603566</v>
      </c>
    </row>
    <row r="800" spans="1:63" x14ac:dyDescent="0.3">
      <c r="A800" s="2">
        <v>799</v>
      </c>
      <c r="B800" s="2">
        <f t="shared" ca="1" si="744"/>
        <v>0.37933840980696798</v>
      </c>
      <c r="C800" s="2">
        <f t="shared" ca="1" si="745"/>
        <v>6.8710205621074261</v>
      </c>
      <c r="D800" s="2">
        <f t="shared" ca="1" si="746"/>
        <v>9.7629305991494886E-2</v>
      </c>
      <c r="E800" s="2">
        <f t="shared" ca="1" si="747"/>
        <v>6.9418807667040845</v>
      </c>
      <c r="F800" s="2">
        <f t="shared" ca="1" si="748"/>
        <v>0.95828455781197108</v>
      </c>
      <c r="G800" s="2">
        <f t="shared" ca="1" si="749"/>
        <v>9.1933512441484261E-2</v>
      </c>
      <c r="H800" s="2">
        <f t="shared" ca="1" si="750"/>
        <v>9.1933512441484261E-2</v>
      </c>
      <c r="I800" s="2">
        <f t="shared" ca="1" si="751"/>
        <v>0.56865948872626593</v>
      </c>
      <c r="J800" s="2">
        <f t="shared" ca="1" si="752"/>
        <v>1.0864811745758322E-2</v>
      </c>
      <c r="K800" s="2">
        <f t="shared" ca="1" si="753"/>
        <v>1.0864811745758322E-2</v>
      </c>
      <c r="L800" s="2">
        <f t="shared" ca="1" si="754"/>
        <v>0.71561716813502352</v>
      </c>
      <c r="M800" s="2">
        <f t="shared" ca="1" si="755"/>
        <v>1.1397406190508927E-2</v>
      </c>
      <c r="N800" s="2">
        <f t="shared" ca="1" si="756"/>
        <v>1.1397406190508927E-2</v>
      </c>
      <c r="O800" s="2">
        <f t="shared" si="757"/>
        <v>6000000</v>
      </c>
      <c r="P800" s="2">
        <f t="shared" ca="1" si="758"/>
        <v>41226123.372644559</v>
      </c>
      <c r="Q800" s="2">
        <f t="shared" ca="1" si="759"/>
        <v>1030653.084316114</v>
      </c>
      <c r="R800" s="2">
        <f t="shared" ca="1" si="760"/>
        <v>24735674.023586735</v>
      </c>
      <c r="S800" s="2">
        <f t="shared" ca="1" si="761"/>
        <v>16490449.349057823</v>
      </c>
      <c r="T800" s="2">
        <f t="shared" ca="1" si="762"/>
        <v>50569870.309525445</v>
      </c>
      <c r="U800" s="2">
        <f t="shared" ca="1" si="763"/>
        <v>55218936.110790446</v>
      </c>
      <c r="V800" s="2">
        <f t="shared" ca="1" si="764"/>
        <v>60295406.860737316</v>
      </c>
      <c r="W800" s="2">
        <f t="shared" ca="1" si="765"/>
        <v>65838575.39753326</v>
      </c>
      <c r="X800" s="2">
        <f t="shared" ca="1" si="766"/>
        <v>71891346.887971982</v>
      </c>
      <c r="Y800" s="2">
        <f t="shared" ca="1" si="767"/>
        <v>0.12543240587287915</v>
      </c>
      <c r="Z800" s="2">
        <f t="shared" ca="1" si="768"/>
        <v>0.12760536822203081</v>
      </c>
      <c r="AA800" s="2">
        <f t="shared" ca="1" si="769"/>
        <v>6343100.4976032563</v>
      </c>
      <c r="AB800" s="2">
        <f t="shared" ca="1" si="770"/>
        <v>7046232.6752462089</v>
      </c>
      <c r="AC800" s="2">
        <f t="shared" ca="1" si="771"/>
        <v>7694017.594561548</v>
      </c>
      <c r="AD800" s="2">
        <f t="shared" ca="1" si="772"/>
        <v>8401355.6568161696</v>
      </c>
      <c r="AE800" s="2">
        <f t="shared" ca="1" si="773"/>
        <v>9173721.791617414</v>
      </c>
      <c r="AF800" s="2">
        <f t="shared" ca="1" si="774"/>
        <v>1011397.406190509</v>
      </c>
      <c r="AG800" s="2">
        <f t="shared" ca="1" si="775"/>
        <v>1104378.7222158089</v>
      </c>
      <c r="AH800" s="2">
        <f t="shared" ca="1" si="776"/>
        <v>1205908.1372147463</v>
      </c>
      <c r="AI800" s="2">
        <f t="shared" ca="1" si="777"/>
        <v>1316771.5079506652</v>
      </c>
      <c r="AJ800" s="2">
        <f t="shared" ca="1" si="778"/>
        <v>1437826.9377594397</v>
      </c>
      <c r="AK800" s="2">
        <f t="shared" ca="1" si="779"/>
        <v>0</v>
      </c>
      <c r="AL800" s="2">
        <f t="shared" ca="1" si="780"/>
        <v>46490.658012650012</v>
      </c>
      <c r="AM800" s="2">
        <f t="shared" ca="1" si="781"/>
        <v>50764.707499468699</v>
      </c>
      <c r="AN800" s="2">
        <f t="shared" ca="1" si="782"/>
        <v>55431.685367959442</v>
      </c>
      <c r="AO800" s="2">
        <f t="shared" ca="1" si="783"/>
        <v>60527.71490438722</v>
      </c>
      <c r="AP800" s="2">
        <f t="shared" ca="1" si="784"/>
        <v>2226210.6621228061</v>
      </c>
      <c r="AQ800" s="2">
        <f t="shared" ca="1" si="785"/>
        <v>807428.03161538474</v>
      </c>
      <c r="AR800" s="2">
        <f t="shared" ca="1" si="786"/>
        <v>966067.25563597446</v>
      </c>
      <c r="AS800" s="2">
        <f t="shared" ca="1" si="787"/>
        <v>1108093.6867582391</v>
      </c>
      <c r="AT800" s="2">
        <f t="shared" ca="1" si="788"/>
        <v>1263177.1065531014</v>
      </c>
      <c r="AU800" s="2">
        <f t="shared" ca="1" si="789"/>
        <v>1432517.889851144</v>
      </c>
      <c r="AV800" s="2">
        <f t="shared" ca="1" si="790"/>
        <v>2298064.3976745564</v>
      </c>
      <c r="AW800" s="2">
        <f t="shared" ca="1" si="791"/>
        <v>2703085.3772589699</v>
      </c>
      <c r="AX800" s="2">
        <f t="shared" ca="1" si="792"/>
        <v>3103040.4009662881</v>
      </c>
      <c r="AY800" s="2">
        <f t="shared" ca="1" si="793"/>
        <v>3539764.6948216376</v>
      </c>
      <c r="AZ800" s="2">
        <f t="shared" ca="1" si="794"/>
        <v>4016638.5869796374</v>
      </c>
      <c r="BA800" s="2">
        <f t="shared" ca="1" si="795"/>
        <v>63682882.864323065</v>
      </c>
      <c r="BB800" s="2">
        <f t="shared" ca="1" si="796"/>
        <v>1273657.6572864612</v>
      </c>
      <c r="BC800" s="2">
        <f t="shared" ca="1" si="797"/>
        <v>37673551.183449872</v>
      </c>
      <c r="BD800" s="2">
        <f t="shared" ca="1" si="798"/>
        <v>-18021102.433373936</v>
      </c>
      <c r="BE800" s="2">
        <f t="shared" ca="1" si="799"/>
        <v>2298064.3976745564</v>
      </c>
      <c r="BF800" s="2">
        <f t="shared" ca="1" si="800"/>
        <v>2703085.3772589699</v>
      </c>
      <c r="BG800" s="2">
        <f t="shared" ca="1" si="801"/>
        <v>3103040.4009662881</v>
      </c>
      <c r="BH800" s="2">
        <f t="shared" ca="1" si="802"/>
        <v>3539764.6948216376</v>
      </c>
      <c r="BI800" s="2">
        <f t="shared" ca="1" si="803"/>
        <v>41690189.770429507</v>
      </c>
      <c r="BJ800" s="2">
        <f t="shared" ca="1" si="804"/>
        <v>0.28611554156826347</v>
      </c>
      <c r="BK800" s="2">
        <f t="shared" ca="1" si="805"/>
        <v>14300024.51026367</v>
      </c>
    </row>
    <row r="801" spans="1:63" x14ac:dyDescent="0.3">
      <c r="A801" s="2">
        <v>800</v>
      </c>
      <c r="B801" s="2">
        <f t="shared" ca="1" si="744"/>
        <v>0.82975120348730058</v>
      </c>
      <c r="C801" s="2">
        <f t="shared" ca="1" si="745"/>
        <v>7.4164782840155832</v>
      </c>
      <c r="D801" s="2">
        <f t="shared" ca="1" si="746"/>
        <v>0.52949130331268768</v>
      </c>
      <c r="E801" s="2">
        <f t="shared" ca="1" si="747"/>
        <v>7.5299394898385854</v>
      </c>
      <c r="F801" s="2">
        <f t="shared" ca="1" si="748"/>
        <v>0.93961470093296762</v>
      </c>
      <c r="G801" s="2">
        <f t="shared" ca="1" si="749"/>
        <v>8.654641688904198E-2</v>
      </c>
      <c r="H801" s="2">
        <f t="shared" ca="1" si="750"/>
        <v>8.654641688904198E-2</v>
      </c>
      <c r="I801" s="2">
        <f t="shared" ca="1" si="751"/>
        <v>0.94878996345749878</v>
      </c>
      <c r="J801" s="2">
        <f t="shared" ca="1" si="752"/>
        <v>1.8166163308406508E-2</v>
      </c>
      <c r="K801" s="2">
        <f t="shared" ca="1" si="753"/>
        <v>1.8166163308406508E-2</v>
      </c>
      <c r="L801" s="2">
        <f t="shared" ca="1" si="754"/>
        <v>0.72444892493745383</v>
      </c>
      <c r="M801" s="2">
        <f t="shared" ca="1" si="755"/>
        <v>1.1922187845052265E-2</v>
      </c>
      <c r="N801" s="2">
        <f t="shared" ca="1" si="756"/>
        <v>1.1922187845052265E-2</v>
      </c>
      <c r="O801" s="2">
        <f t="shared" si="757"/>
        <v>6000000</v>
      </c>
      <c r="P801" s="2">
        <f t="shared" ca="1" si="758"/>
        <v>44498869.704093501</v>
      </c>
      <c r="Q801" s="2">
        <f t="shared" ca="1" si="759"/>
        <v>1112471.7426023376</v>
      </c>
      <c r="R801" s="2">
        <f t="shared" ca="1" si="760"/>
        <v>26699321.822456099</v>
      </c>
      <c r="S801" s="2">
        <f t="shared" ca="1" si="761"/>
        <v>17799547.881637402</v>
      </c>
      <c r="T801" s="2">
        <f t="shared" ca="1" si="762"/>
        <v>50596109.392252609</v>
      </c>
      <c r="U801" s="2">
        <f t="shared" ca="1" si="763"/>
        <v>54975021.368678078</v>
      </c>
      <c r="V801" s="2">
        <f t="shared" ca="1" si="764"/>
        <v>59732912.486535683</v>
      </c>
      <c r="W801" s="2">
        <f t="shared" ca="1" si="765"/>
        <v>64902582.032592058</v>
      </c>
      <c r="X801" s="2">
        <f t="shared" ca="1" si="766"/>
        <v>70519667.954360008</v>
      </c>
      <c r="Y801" s="2">
        <f t="shared" ca="1" si="767"/>
        <v>0.12908308165420324</v>
      </c>
      <c r="Z801" s="2">
        <f t="shared" ca="1" si="768"/>
        <v>0.13271631431588454</v>
      </c>
      <c r="AA801" s="2">
        <f t="shared" ca="1" si="769"/>
        <v>6531101.720065143</v>
      </c>
      <c r="AB801" s="2">
        <f t="shared" ca="1" si="770"/>
        <v>7296082.2154879486</v>
      </c>
      <c r="AC801" s="2">
        <f t="shared" ca="1" si="771"/>
        <v>7927531.9885662943</v>
      </c>
      <c r="AD801" s="2">
        <f t="shared" ca="1" si="772"/>
        <v>8613631.4769499674</v>
      </c>
      <c r="AE801" s="2">
        <f t="shared" ca="1" si="773"/>
        <v>9359110.4176826533</v>
      </c>
      <c r="AF801" s="2">
        <f t="shared" ca="1" si="774"/>
        <v>1011922.1878450522</v>
      </c>
      <c r="AG801" s="2">
        <f t="shared" ca="1" si="775"/>
        <v>1099500.4273735615</v>
      </c>
      <c r="AH801" s="2">
        <f t="shared" ca="1" si="776"/>
        <v>1194658.2497307137</v>
      </c>
      <c r="AI801" s="2">
        <f t="shared" ca="1" si="777"/>
        <v>1298051.6406518412</v>
      </c>
      <c r="AJ801" s="2">
        <f t="shared" ca="1" si="778"/>
        <v>1410393.3590872001</v>
      </c>
      <c r="AK801" s="2">
        <f t="shared" ca="1" si="779"/>
        <v>0</v>
      </c>
      <c r="AL801" s="2">
        <f t="shared" ca="1" si="780"/>
        <v>43789.11976425469</v>
      </c>
      <c r="AM801" s="2">
        <f t="shared" ca="1" si="781"/>
        <v>47578.911178576054</v>
      </c>
      <c r="AN801" s="2">
        <f t="shared" ca="1" si="782"/>
        <v>51696.695460563751</v>
      </c>
      <c r="AO801" s="2">
        <f t="shared" ca="1" si="783"/>
        <v>56170.859217679499</v>
      </c>
      <c r="AP801" s="2">
        <f t="shared" ca="1" si="784"/>
        <v>2402938.964021049</v>
      </c>
      <c r="AQ801" s="2">
        <f t="shared" ca="1" si="785"/>
        <v>810222.54773175088</v>
      </c>
      <c r="AR801" s="2">
        <f t="shared" ca="1" si="786"/>
        <v>986347.1342642681</v>
      </c>
      <c r="AS801" s="2">
        <f t="shared" ca="1" si="787"/>
        <v>1125783.0414517783</v>
      </c>
      <c r="AT801" s="2">
        <f t="shared" ca="1" si="788"/>
        <v>1277286.6267920402</v>
      </c>
      <c r="AU801" s="2">
        <f t="shared" ca="1" si="789"/>
        <v>1441902.3045893454</v>
      </c>
      <c r="AV801" s="2">
        <f t="shared" ca="1" si="790"/>
        <v>2306018.0204672911</v>
      </c>
      <c r="AW801" s="2">
        <f t="shared" ca="1" si="791"/>
        <v>2763506.5700648162</v>
      </c>
      <c r="AX801" s="2">
        <f t="shared" ca="1" si="792"/>
        <v>3156572.8221841776</v>
      </c>
      <c r="AY801" s="2">
        <f t="shared" ca="1" si="793"/>
        <v>3583657.5500244745</v>
      </c>
      <c r="AZ801" s="2">
        <f t="shared" ca="1" si="794"/>
        <v>4047704.9307673802</v>
      </c>
      <c r="BA801" s="2">
        <f t="shared" ca="1" si="795"/>
        <v>70473535.123868302</v>
      </c>
      <c r="BB801" s="2">
        <f t="shared" ca="1" si="796"/>
        <v>1409470.702477366</v>
      </c>
      <c r="BC801" s="2">
        <f t="shared" ca="1" si="797"/>
        <v>42364742.598934837</v>
      </c>
      <c r="BD801" s="2">
        <f t="shared" ca="1" si="798"/>
        <v>-19412019.624239739</v>
      </c>
      <c r="BE801" s="2">
        <f t="shared" ca="1" si="799"/>
        <v>2306018.0204672911</v>
      </c>
      <c r="BF801" s="2">
        <f t="shared" ca="1" si="800"/>
        <v>2763506.5700648162</v>
      </c>
      <c r="BG801" s="2">
        <f t="shared" ca="1" si="801"/>
        <v>3156572.8221841776</v>
      </c>
      <c r="BH801" s="2">
        <f t="shared" ca="1" si="802"/>
        <v>3583657.5500244745</v>
      </c>
      <c r="BI801" s="2">
        <f t="shared" ca="1" si="803"/>
        <v>46412447.529702216</v>
      </c>
      <c r="BJ801" s="2">
        <f t="shared" ca="1" si="804"/>
        <v>0.28667339898755517</v>
      </c>
      <c r="BK801" s="2">
        <f t="shared" ca="1" si="805"/>
        <v>15709910.068570707</v>
      </c>
    </row>
    <row r="802" spans="1:63" x14ac:dyDescent="0.3">
      <c r="A802" s="2">
        <v>801</v>
      </c>
      <c r="B802" s="2">
        <f t="shared" ca="1" si="744"/>
        <v>0.47120988517005546</v>
      </c>
      <c r="C802" s="2">
        <f t="shared" ca="1" si="745"/>
        <v>6.9707830706909295</v>
      </c>
      <c r="D802" s="2">
        <f t="shared" ca="1" si="746"/>
        <v>0.36899819613173479</v>
      </c>
      <c r="E802" s="2">
        <f t="shared" ca="1" si="747"/>
        <v>7.3590671640002716</v>
      </c>
      <c r="F802" s="2">
        <f t="shared" ca="1" si="748"/>
        <v>7.9126131428095436E-2</v>
      </c>
      <c r="G802" s="2">
        <f t="shared" ca="1" si="749"/>
        <v>-2.3292217993482814E-3</v>
      </c>
      <c r="H802" s="2">
        <f t="shared" ca="1" si="750"/>
        <v>-2.3292217993482814E-3</v>
      </c>
      <c r="I802" s="2">
        <f t="shared" ca="1" si="751"/>
        <v>0.48775996216862338</v>
      </c>
      <c r="J802" s="2">
        <f t="shared" ca="1" si="752"/>
        <v>9.8465697996892362E-3</v>
      </c>
      <c r="K802" s="2">
        <f t="shared" ca="1" si="753"/>
        <v>9.8465697996892362E-3</v>
      </c>
      <c r="L802" s="2">
        <f t="shared" ca="1" si="754"/>
        <v>0.90392272201271529</v>
      </c>
      <c r="M802" s="2">
        <f t="shared" ca="1" si="755"/>
        <v>2.6084636266673036E-2</v>
      </c>
      <c r="N802" s="2">
        <f t="shared" ca="1" si="756"/>
        <v>2.6084636266673036E-2</v>
      </c>
      <c r="O802" s="2">
        <f t="shared" si="757"/>
        <v>6000000</v>
      </c>
      <c r="P802" s="2">
        <f t="shared" ca="1" si="758"/>
        <v>41824698.424145579</v>
      </c>
      <c r="Q802" s="2">
        <f t="shared" ca="1" si="759"/>
        <v>1045617.4606036395</v>
      </c>
      <c r="R802" s="2">
        <f t="shared" ca="1" si="760"/>
        <v>25094819.054487348</v>
      </c>
      <c r="S802" s="2">
        <f t="shared" ca="1" si="761"/>
        <v>16729879.369658232</v>
      </c>
      <c r="T802" s="2">
        <f t="shared" ca="1" si="762"/>
        <v>51304231.813333653</v>
      </c>
      <c r="U802" s="2">
        <f t="shared" ca="1" si="763"/>
        <v>51184732.878195219</v>
      </c>
      <c r="V802" s="2">
        <f t="shared" ca="1" si="764"/>
        <v>51065512.282581508</v>
      </c>
      <c r="W802" s="2">
        <f t="shared" ca="1" si="765"/>
        <v>50946569.37817803</v>
      </c>
      <c r="X802" s="2">
        <f t="shared" ca="1" si="766"/>
        <v>50827903.51818037</v>
      </c>
      <c r="Y802" s="2">
        <f t="shared" ca="1" si="767"/>
        <v>0.12492328489984461</v>
      </c>
      <c r="Z802" s="2">
        <f t="shared" ca="1" si="768"/>
        <v>0.12689259885978246</v>
      </c>
      <c r="AA802" s="2">
        <f t="shared" ca="1" si="769"/>
        <v>6409093.1673847511</v>
      </c>
      <c r="AB802" s="2">
        <f t="shared" ca="1" si="770"/>
        <v>6494963.7768579442</v>
      </c>
      <c r="AC802" s="2">
        <f t="shared" ca="1" si="771"/>
        <v>6479835.5656429101</v>
      </c>
      <c r="AD802" s="2">
        <f t="shared" ca="1" si="772"/>
        <v>6464742.5913872216</v>
      </c>
      <c r="AE802" s="2">
        <f t="shared" ca="1" si="773"/>
        <v>6449684.7720161872</v>
      </c>
      <c r="AF802" s="2">
        <f t="shared" ca="1" si="774"/>
        <v>1026084.6362666731</v>
      </c>
      <c r="AG802" s="2">
        <f t="shared" ca="1" si="775"/>
        <v>1023694.6575639044</v>
      </c>
      <c r="AH802" s="2">
        <f t="shared" ca="1" si="776"/>
        <v>1021310.2456516302</v>
      </c>
      <c r="AI802" s="2">
        <f t="shared" ca="1" si="777"/>
        <v>1018931.3875635606</v>
      </c>
      <c r="AJ802" s="2">
        <f t="shared" ca="1" si="778"/>
        <v>1016558.0703636074</v>
      </c>
      <c r="AK802" s="2">
        <f t="shared" ca="1" si="779"/>
        <v>0</v>
      </c>
      <c r="AL802" s="2">
        <f t="shared" ca="1" si="780"/>
        <v>0</v>
      </c>
      <c r="AM802" s="2">
        <f t="shared" ca="1" si="781"/>
        <v>0</v>
      </c>
      <c r="AN802" s="2">
        <f t="shared" ca="1" si="782"/>
        <v>0</v>
      </c>
      <c r="AO802" s="2">
        <f t="shared" ca="1" si="783"/>
        <v>0</v>
      </c>
      <c r="AP802" s="2">
        <f t="shared" ca="1" si="784"/>
        <v>2258533.7149038613</v>
      </c>
      <c r="AQ802" s="2">
        <f t="shared" ca="1" si="785"/>
        <v>812363.45221569645</v>
      </c>
      <c r="AR802" s="2">
        <f t="shared" ca="1" si="786"/>
        <v>835311.20514144644</v>
      </c>
      <c r="AS802" s="2">
        <f t="shared" ca="1" si="787"/>
        <v>831997.81732272869</v>
      </c>
      <c r="AT802" s="2">
        <f t="shared" ca="1" si="788"/>
        <v>828692.14711914805</v>
      </c>
      <c r="AU802" s="2">
        <f t="shared" ca="1" si="789"/>
        <v>825394.17655466683</v>
      </c>
      <c r="AV802" s="2">
        <f t="shared" ca="1" si="790"/>
        <v>2312111.3639985202</v>
      </c>
      <c r="AW802" s="2">
        <f t="shared" ca="1" si="791"/>
        <v>2377424.1992487321</v>
      </c>
      <c r="AX802" s="2">
        <f t="shared" ca="1" si="792"/>
        <v>2367993.787764689</v>
      </c>
      <c r="AY802" s="2">
        <f t="shared" ca="1" si="793"/>
        <v>2358585.3418006524</v>
      </c>
      <c r="AZ802" s="2">
        <f t="shared" ca="1" si="794"/>
        <v>2349198.8101940518</v>
      </c>
      <c r="BA802" s="2">
        <f t="shared" ca="1" si="795"/>
        <v>47463663.423896901</v>
      </c>
      <c r="BB802" s="2">
        <f t="shared" ca="1" si="796"/>
        <v>949273.26847793802</v>
      </c>
      <c r="BC802" s="2">
        <f t="shared" ca="1" si="797"/>
        <v>21419571.100931615</v>
      </c>
      <c r="BD802" s="2">
        <f t="shared" ca="1" si="798"/>
        <v>-18275496.830261871</v>
      </c>
      <c r="BE802" s="2">
        <f t="shared" ca="1" si="799"/>
        <v>2312111.3639985202</v>
      </c>
      <c r="BF802" s="2">
        <f t="shared" ca="1" si="800"/>
        <v>2377424.1992487321</v>
      </c>
      <c r="BG802" s="2">
        <f t="shared" ca="1" si="801"/>
        <v>2367993.787764689</v>
      </c>
      <c r="BH802" s="2">
        <f t="shared" ca="1" si="802"/>
        <v>2358585.3418006524</v>
      </c>
      <c r="BI802" s="2">
        <f t="shared" ca="1" si="803"/>
        <v>23768769.911125667</v>
      </c>
      <c r="BJ802" s="2">
        <f t="shared" ca="1" si="804"/>
        <v>0.15396827413131708</v>
      </c>
      <c r="BK802" s="2">
        <f t="shared" ca="1" si="805"/>
        <v>2355609.5363677107</v>
      </c>
    </row>
    <row r="803" spans="1:63" x14ac:dyDescent="0.3">
      <c r="A803" s="2">
        <v>802</v>
      </c>
      <c r="B803" s="2">
        <f t="shared" ca="1" si="744"/>
        <v>0.19073653536749313</v>
      </c>
      <c r="C803" s="2">
        <f t="shared" ca="1" si="745"/>
        <v>6.617635062747401</v>
      </c>
      <c r="D803" s="2">
        <f t="shared" ca="1" si="746"/>
        <v>0.3532233253347471</v>
      </c>
      <c r="E803" s="2">
        <f t="shared" ca="1" si="747"/>
        <v>7.3405038076472318</v>
      </c>
      <c r="F803" s="2">
        <f t="shared" ca="1" si="748"/>
        <v>0.54255023186516627</v>
      </c>
      <c r="G803" s="2">
        <f t="shared" ca="1" si="749"/>
        <v>4.3205819305707042E-2</v>
      </c>
      <c r="H803" s="2">
        <f t="shared" ca="1" si="750"/>
        <v>4.3205819305707042E-2</v>
      </c>
      <c r="I803" s="2">
        <f t="shared" ca="1" si="751"/>
        <v>0.25170342543613389</v>
      </c>
      <c r="J803" s="2">
        <f t="shared" ca="1" si="752"/>
        <v>6.6543052904686276E-3</v>
      </c>
      <c r="K803" s="2">
        <f t="shared" ca="1" si="753"/>
        <v>6.6543052904686276E-3</v>
      </c>
      <c r="L803" s="2">
        <f t="shared" ca="1" si="754"/>
        <v>0.30405070820856972</v>
      </c>
      <c r="M803" s="2">
        <f t="shared" ca="1" si="755"/>
        <v>-1.0255708780003401E-2</v>
      </c>
      <c r="N803" s="2">
        <f t="shared" ca="1" si="756"/>
        <v>-1.0255708780003401E-2</v>
      </c>
      <c r="O803" s="2">
        <f t="shared" si="757"/>
        <v>6000000</v>
      </c>
      <c r="P803" s="2">
        <f t="shared" ca="1" si="758"/>
        <v>39705810.376484409</v>
      </c>
      <c r="Q803" s="2">
        <f t="shared" ca="1" si="759"/>
        <v>992645.25941211032</v>
      </c>
      <c r="R803" s="2">
        <f t="shared" ca="1" si="760"/>
        <v>23823486.225890644</v>
      </c>
      <c r="S803" s="2">
        <f t="shared" ca="1" si="761"/>
        <v>15882324.150593765</v>
      </c>
      <c r="T803" s="2">
        <f t="shared" ca="1" si="762"/>
        <v>49487214.560999833</v>
      </c>
      <c r="U803" s="2">
        <f t="shared" ca="1" si="763"/>
        <v>51625350.211265147</v>
      </c>
      <c r="V803" s="2">
        <f t="shared" ca="1" si="764"/>
        <v>53855865.76408691</v>
      </c>
      <c r="W803" s="2">
        <f t="shared" ca="1" si="765"/>
        <v>56182752.568842463</v>
      </c>
      <c r="X803" s="2">
        <f t="shared" ca="1" si="766"/>
        <v>58610174.424429119</v>
      </c>
      <c r="Y803" s="2">
        <f t="shared" ca="1" si="767"/>
        <v>0.12332715264523431</v>
      </c>
      <c r="Z803" s="2">
        <f t="shared" ca="1" si="768"/>
        <v>0.12465801370332803</v>
      </c>
      <c r="AA803" s="2">
        <f t="shared" ca="1" si="769"/>
        <v>6103117.264151888</v>
      </c>
      <c r="AB803" s="2">
        <f t="shared" ca="1" si="770"/>
        <v>6435513.6140749995</v>
      </c>
      <c r="AC803" s="2">
        <f t="shared" ca="1" si="771"/>
        <v>6713565.2524241414</v>
      </c>
      <c r="AD803" s="2">
        <f t="shared" ca="1" si="772"/>
        <v>7003630.3396174517</v>
      </c>
      <c r="AE803" s="2">
        <f t="shared" ca="1" si="773"/>
        <v>7306227.9265549313</v>
      </c>
      <c r="AF803" s="2">
        <f t="shared" ca="1" si="774"/>
        <v>989744.29121999664</v>
      </c>
      <c r="AG803" s="2">
        <f t="shared" ca="1" si="775"/>
        <v>1032507.004225303</v>
      </c>
      <c r="AH803" s="2">
        <f t="shared" ca="1" si="776"/>
        <v>1077117.3152817383</v>
      </c>
      <c r="AI803" s="2">
        <f t="shared" ca="1" si="777"/>
        <v>1123655.0513768492</v>
      </c>
      <c r="AJ803" s="2">
        <f t="shared" ca="1" si="778"/>
        <v>1172203.4884885824</v>
      </c>
      <c r="AK803" s="2">
        <f t="shared" ca="1" si="779"/>
        <v>0</v>
      </c>
      <c r="AL803" s="2">
        <f t="shared" ca="1" si="780"/>
        <v>21381.356502653136</v>
      </c>
      <c r="AM803" s="2">
        <f t="shared" ca="1" si="781"/>
        <v>22305.15552821763</v>
      </c>
      <c r="AN803" s="2">
        <f t="shared" ca="1" si="782"/>
        <v>23268.868047555537</v>
      </c>
      <c r="AO803" s="2">
        <f t="shared" ca="1" si="783"/>
        <v>24274.218555866555</v>
      </c>
      <c r="AP803" s="2">
        <f t="shared" ca="1" si="784"/>
        <v>2144113.7603301578</v>
      </c>
      <c r="AQ803" s="2">
        <f t="shared" ca="1" si="785"/>
        <v>772007.39527645078</v>
      </c>
      <c r="AR803" s="2">
        <f t="shared" ca="1" si="786"/>
        <v>847312.14087508025</v>
      </c>
      <c r="AS803" s="2">
        <f t="shared" ca="1" si="787"/>
        <v>908006.88597118377</v>
      </c>
      <c r="AT803" s="2">
        <f t="shared" ca="1" si="788"/>
        <v>971323.99725671555</v>
      </c>
      <c r="AU803" s="2">
        <f t="shared" ca="1" si="789"/>
        <v>1037376.7762114096</v>
      </c>
      <c r="AV803" s="2">
        <f t="shared" ca="1" si="790"/>
        <v>2197251.8173252833</v>
      </c>
      <c r="AW803" s="2">
        <f t="shared" ca="1" si="791"/>
        <v>2390199.3521418055</v>
      </c>
      <c r="AX803" s="2">
        <f t="shared" ca="1" si="792"/>
        <v>2562022.1353128436</v>
      </c>
      <c r="AY803" s="2">
        <f t="shared" ca="1" si="793"/>
        <v>2741268.6626061727</v>
      </c>
      <c r="AZ803" s="2">
        <f t="shared" ca="1" si="794"/>
        <v>2928259.682968914</v>
      </c>
      <c r="BA803" s="2">
        <f t="shared" ca="1" si="795"/>
        <v>53631393.914415009</v>
      </c>
      <c r="BB803" s="2">
        <f t="shared" ca="1" si="796"/>
        <v>1072627.8782883002</v>
      </c>
      <c r="BC803" s="2">
        <f t="shared" ca="1" si="797"/>
        <v>28735279.810236067</v>
      </c>
      <c r="BD803" s="2">
        <f t="shared" ca="1" si="798"/>
        <v>-17374969.410005875</v>
      </c>
      <c r="BE803" s="2">
        <f t="shared" ca="1" si="799"/>
        <v>2197251.8173252833</v>
      </c>
      <c r="BF803" s="2">
        <f t="shared" ca="1" si="800"/>
        <v>2390199.3521418055</v>
      </c>
      <c r="BG803" s="2">
        <f t="shared" ca="1" si="801"/>
        <v>2562022.1353128436</v>
      </c>
      <c r="BH803" s="2">
        <f t="shared" ca="1" si="802"/>
        <v>2741268.6626061727</v>
      </c>
      <c r="BI803" s="2">
        <f t="shared" ca="1" si="803"/>
        <v>31663539.493204981</v>
      </c>
      <c r="BJ803" s="2">
        <f t="shared" ca="1" si="804"/>
        <v>0.22673729519772179</v>
      </c>
      <c r="BK803" s="2">
        <f t="shared" ca="1" si="805"/>
        <v>8024780.0581809692</v>
      </c>
    </row>
    <row r="804" spans="1:63" x14ac:dyDescent="0.3">
      <c r="A804" s="2">
        <v>803</v>
      </c>
      <c r="B804" s="2">
        <f t="shared" ca="1" si="744"/>
        <v>0.30123561011416644</v>
      </c>
      <c r="C804" s="2">
        <f t="shared" ca="1" si="745"/>
        <v>6.7761901959109849</v>
      </c>
      <c r="D804" s="2">
        <f t="shared" ca="1" si="746"/>
        <v>0.79859754192286503</v>
      </c>
      <c r="E804" s="2">
        <f t="shared" ca="1" si="747"/>
        <v>7.8653308608776777</v>
      </c>
      <c r="F804" s="2">
        <f t="shared" ca="1" si="748"/>
        <v>0.12820770605158527</v>
      </c>
      <c r="G804" s="2">
        <f t="shared" ca="1" si="749"/>
        <v>5.9528705725720166E-3</v>
      </c>
      <c r="H804" s="2">
        <f t="shared" ca="1" si="750"/>
        <v>5.9528705725720166E-3</v>
      </c>
      <c r="I804" s="2">
        <f t="shared" ca="1" si="751"/>
        <v>3.6083811290313017E-2</v>
      </c>
      <c r="J804" s="2">
        <f t="shared" ca="1" si="752"/>
        <v>1.009703864371379E-3</v>
      </c>
      <c r="K804" s="2">
        <f t="shared" ca="1" si="753"/>
        <v>1.009703864371379E-3</v>
      </c>
      <c r="L804" s="2">
        <f t="shared" ca="1" si="754"/>
        <v>0.74545647315883934</v>
      </c>
      <c r="M804" s="2">
        <f t="shared" ca="1" si="755"/>
        <v>1.3205198154636048E-2</v>
      </c>
      <c r="N804" s="2">
        <f t="shared" ca="1" si="756"/>
        <v>1.3205198154636048E-2</v>
      </c>
      <c r="O804" s="2">
        <f t="shared" si="757"/>
        <v>6000000</v>
      </c>
      <c r="P804" s="2">
        <f t="shared" ca="1" si="758"/>
        <v>40657141.175465912</v>
      </c>
      <c r="Q804" s="2">
        <f t="shared" ca="1" si="759"/>
        <v>1016428.5293866479</v>
      </c>
      <c r="R804" s="2">
        <f t="shared" ca="1" si="760"/>
        <v>24394284.705279548</v>
      </c>
      <c r="S804" s="2">
        <f t="shared" ca="1" si="761"/>
        <v>16262856.470186366</v>
      </c>
      <c r="T804" s="2">
        <f t="shared" ca="1" si="762"/>
        <v>50660259.907731794</v>
      </c>
      <c r="U804" s="2">
        <f t="shared" ca="1" si="763"/>
        <v>50961833.878135376</v>
      </c>
      <c r="V804" s="2">
        <f t="shared" ca="1" si="764"/>
        <v>51265203.079352833</v>
      </c>
      <c r="W804" s="2">
        <f t="shared" ca="1" si="765"/>
        <v>51570378.198160842</v>
      </c>
      <c r="X804" s="2">
        <f t="shared" ca="1" si="766"/>
        <v>51877369.984953083</v>
      </c>
      <c r="Y804" s="2">
        <f t="shared" ca="1" si="767"/>
        <v>0.12050485193218569</v>
      </c>
      <c r="Z804" s="2">
        <f t="shared" ca="1" si="768"/>
        <v>0.12070679270505996</v>
      </c>
      <c r="AA804" s="2">
        <f t="shared" ca="1" si="769"/>
        <v>6104807.1190272626</v>
      </c>
      <c r="AB804" s="2">
        <f t="shared" ca="1" si="770"/>
        <v>6151439.5177977886</v>
      </c>
      <c r="AC804" s="2">
        <f t="shared" ca="1" si="771"/>
        <v>6188058.2410822436</v>
      </c>
      <c r="AD804" s="2">
        <f t="shared" ca="1" si="772"/>
        <v>6224894.9508869443</v>
      </c>
      <c r="AE804" s="2">
        <f t="shared" ca="1" si="773"/>
        <v>6261950.9448574316</v>
      </c>
      <c r="AF804" s="2">
        <f t="shared" ca="1" si="774"/>
        <v>1013205.1981546358</v>
      </c>
      <c r="AG804" s="2">
        <f t="shared" ca="1" si="775"/>
        <v>1019236.6775627076</v>
      </c>
      <c r="AH804" s="2">
        <f t="shared" ca="1" si="776"/>
        <v>1025304.0615870567</v>
      </c>
      <c r="AI804" s="2">
        <f t="shared" ca="1" si="777"/>
        <v>1031407.5639632168</v>
      </c>
      <c r="AJ804" s="2">
        <f t="shared" ca="1" si="778"/>
        <v>1037547.3996990616</v>
      </c>
      <c r="AK804" s="2">
        <f t="shared" ca="1" si="779"/>
        <v>0</v>
      </c>
      <c r="AL804" s="2">
        <f t="shared" ca="1" si="780"/>
        <v>3015.7397040358187</v>
      </c>
      <c r="AM804" s="2">
        <f t="shared" ca="1" si="781"/>
        <v>3033.6920121745766</v>
      </c>
      <c r="AN804" s="2">
        <f t="shared" ca="1" si="782"/>
        <v>3051.7511880800876</v>
      </c>
      <c r="AO804" s="2">
        <f t="shared" ca="1" si="783"/>
        <v>3069.9178679224106</v>
      </c>
      <c r="AP804" s="2">
        <f t="shared" ca="1" si="784"/>
        <v>2195485.6234751591</v>
      </c>
      <c r="AQ804" s="2">
        <f t="shared" ca="1" si="785"/>
        <v>752990.23732334166</v>
      </c>
      <c r="AR804" s="2">
        <f t="shared" ca="1" si="786"/>
        <v>763546.47635757958</v>
      </c>
      <c r="AS804" s="2">
        <f t="shared" ca="1" si="787"/>
        <v>771489.82456520712</v>
      </c>
      <c r="AT804" s="2">
        <f t="shared" ca="1" si="788"/>
        <v>779480.45849662786</v>
      </c>
      <c r="AU804" s="2">
        <f t="shared" ca="1" si="789"/>
        <v>787518.65963763476</v>
      </c>
      <c r="AV804" s="2">
        <f t="shared" ca="1" si="790"/>
        <v>2143126.0600741259</v>
      </c>
      <c r="AW804" s="2">
        <f t="shared" ca="1" si="791"/>
        <v>2170155.0006983061</v>
      </c>
      <c r="AX804" s="2">
        <f t="shared" ca="1" si="792"/>
        <v>2192745.0394426449</v>
      </c>
      <c r="AY804" s="2">
        <f t="shared" ca="1" si="793"/>
        <v>2215469.5537638604</v>
      </c>
      <c r="AZ804" s="2">
        <f t="shared" ca="1" si="794"/>
        <v>2238329.3441776535</v>
      </c>
      <c r="BA804" s="2">
        <f t="shared" ca="1" si="795"/>
        <v>49252316.015889287</v>
      </c>
      <c r="BB804" s="2">
        <f t="shared" ca="1" si="796"/>
        <v>985046.32031778572</v>
      </c>
      <c r="BC804" s="2">
        <f t="shared" ca="1" si="797"/>
        <v>23872984.990291953</v>
      </c>
      <c r="BD804" s="2">
        <f t="shared" ca="1" si="798"/>
        <v>-17779284.999573015</v>
      </c>
      <c r="BE804" s="2">
        <f t="shared" ca="1" si="799"/>
        <v>2143126.0600741259</v>
      </c>
      <c r="BF804" s="2">
        <f t="shared" ca="1" si="800"/>
        <v>2170155.0006983061</v>
      </c>
      <c r="BG804" s="2">
        <f t="shared" ca="1" si="801"/>
        <v>2192745.0394426449</v>
      </c>
      <c r="BH804" s="2">
        <f t="shared" ca="1" si="802"/>
        <v>2215469.5537638604</v>
      </c>
      <c r="BI804" s="2">
        <f t="shared" ca="1" si="803"/>
        <v>26111314.334469605</v>
      </c>
      <c r="BJ804" s="2">
        <f t="shared" ca="1" si="804"/>
        <v>0.17158122283479171</v>
      </c>
      <c r="BK804" s="2">
        <f t="shared" ca="1" si="805"/>
        <v>3649239.2437274791</v>
      </c>
    </row>
    <row r="805" spans="1:63" x14ac:dyDescent="0.3">
      <c r="A805" s="2">
        <v>804</v>
      </c>
      <c r="B805" s="2">
        <f t="shared" ca="1" si="744"/>
        <v>0.32397498179066808</v>
      </c>
      <c r="C805" s="2">
        <f t="shared" ca="1" si="745"/>
        <v>6.8049533921795327</v>
      </c>
      <c r="D805" s="2">
        <f t="shared" ca="1" si="746"/>
        <v>0.78944541543688729</v>
      </c>
      <c r="E805" s="2">
        <f t="shared" ca="1" si="747"/>
        <v>7.8510707518332792</v>
      </c>
      <c r="F805" s="2">
        <f t="shared" ca="1" si="748"/>
        <v>0.37579844262797291</v>
      </c>
      <c r="G805" s="2">
        <f t="shared" ca="1" si="749"/>
        <v>3.0503966668106293E-2</v>
      </c>
      <c r="H805" s="2">
        <f t="shared" ca="1" si="750"/>
        <v>3.0503966668106293E-2</v>
      </c>
      <c r="I805" s="2">
        <f t="shared" ca="1" si="751"/>
        <v>0.92014289503463287</v>
      </c>
      <c r="J805" s="2">
        <f t="shared" ca="1" si="752"/>
        <v>1.7030166951516108E-2</v>
      </c>
      <c r="K805" s="2">
        <f t="shared" ca="1" si="753"/>
        <v>1.7030166951516108E-2</v>
      </c>
      <c r="L805" s="2">
        <f t="shared" ca="1" si="754"/>
        <v>9.8969021778169242E-2</v>
      </c>
      <c r="M805" s="2">
        <f t="shared" ca="1" si="755"/>
        <v>-2.5748968012066831E-2</v>
      </c>
      <c r="N805" s="2">
        <f t="shared" ca="1" si="756"/>
        <v>-2.5748968012066831E-2</v>
      </c>
      <c r="O805" s="2">
        <f t="shared" si="757"/>
        <v>6000000</v>
      </c>
      <c r="P805" s="2">
        <f t="shared" ca="1" si="758"/>
        <v>40829720.353077196</v>
      </c>
      <c r="Q805" s="2">
        <f t="shared" ca="1" si="759"/>
        <v>1020743.00882693</v>
      </c>
      <c r="R805" s="2">
        <f t="shared" ca="1" si="760"/>
        <v>24497832.211846318</v>
      </c>
      <c r="S805" s="2">
        <f t="shared" ca="1" si="761"/>
        <v>16331888.141230879</v>
      </c>
      <c r="T805" s="2">
        <f t="shared" ca="1" si="762"/>
        <v>48712551.599396661</v>
      </c>
      <c r="U805" s="2">
        <f t="shared" ca="1" si="763"/>
        <v>50198477.649703071</v>
      </c>
      <c r="V805" s="2">
        <f t="shared" ca="1" si="764"/>
        <v>51729730.338719293</v>
      </c>
      <c r="W805" s="2">
        <f t="shared" ca="1" si="765"/>
        <v>53307692.308721721</v>
      </c>
      <c r="X805" s="2">
        <f t="shared" ca="1" si="766"/>
        <v>54933788.378060639</v>
      </c>
      <c r="Y805" s="2">
        <f t="shared" ca="1" si="767"/>
        <v>0.12851508347575805</v>
      </c>
      <c r="Z805" s="2">
        <f t="shared" ca="1" si="768"/>
        <v>0.13192111686606128</v>
      </c>
      <c r="AA805" s="2">
        <f t="shared" ca="1" si="769"/>
        <v>6260297.6351136332</v>
      </c>
      <c r="AB805" s="2">
        <f t="shared" ca="1" si="770"/>
        <v>6622239.2365248445</v>
      </c>
      <c r="AC805" s="2">
        <f t="shared" ca="1" si="771"/>
        <v>6824243.801464024</v>
      </c>
      <c r="AD805" s="2">
        <f t="shared" ca="1" si="772"/>
        <v>7032410.3069189144</v>
      </c>
      <c r="AE805" s="2">
        <f t="shared" ca="1" si="773"/>
        <v>7246926.716517617</v>
      </c>
      <c r="AF805" s="2">
        <f t="shared" ca="1" si="774"/>
        <v>974251.03198793321</v>
      </c>
      <c r="AG805" s="2">
        <f t="shared" ca="1" si="775"/>
        <v>1003969.5529940614</v>
      </c>
      <c r="AH805" s="2">
        <f t="shared" ca="1" si="776"/>
        <v>1034594.6067743859</v>
      </c>
      <c r="AI805" s="2">
        <f t="shared" ca="1" si="777"/>
        <v>1066153.8461744345</v>
      </c>
      <c r="AJ805" s="2">
        <f t="shared" ca="1" si="778"/>
        <v>1098675.7675612129</v>
      </c>
      <c r="AK805" s="2">
        <f t="shared" ca="1" si="779"/>
        <v>0</v>
      </c>
      <c r="AL805" s="2">
        <f t="shared" ca="1" si="780"/>
        <v>14859.260503064097</v>
      </c>
      <c r="AM805" s="2">
        <f t="shared" ca="1" si="781"/>
        <v>15312.526890162229</v>
      </c>
      <c r="AN805" s="2">
        <f t="shared" ca="1" si="782"/>
        <v>15779.619700024277</v>
      </c>
      <c r="AO805" s="2">
        <f t="shared" ca="1" si="783"/>
        <v>16260.960693389177</v>
      </c>
      <c r="AP805" s="2">
        <f t="shared" ca="1" si="784"/>
        <v>2204804.8990661683</v>
      </c>
      <c r="AQ805" s="2">
        <f t="shared" ca="1" si="785"/>
        <v>801122.84305547818</v>
      </c>
      <c r="AR805" s="2">
        <f t="shared" ca="1" si="786"/>
        <v>887500.84396079986</v>
      </c>
      <c r="AS805" s="2">
        <f t="shared" ca="1" si="787"/>
        <v>932059.51686210209</v>
      </c>
      <c r="AT805" s="2">
        <f t="shared" ca="1" si="788"/>
        <v>977977.406036361</v>
      </c>
      <c r="AU805" s="2">
        <f t="shared" ca="1" si="789"/>
        <v>1025295.9729714612</v>
      </c>
      <c r="AV805" s="2">
        <f t="shared" ca="1" si="790"/>
        <v>2280118.8610040531</v>
      </c>
      <c r="AW805" s="2">
        <f t="shared" ca="1" si="791"/>
        <v>2511104.6800007508</v>
      </c>
      <c r="AX805" s="2">
        <f t="shared" ca="1" si="792"/>
        <v>2637472.2518712054</v>
      </c>
      <c r="AY805" s="2">
        <f t="shared" ca="1" si="793"/>
        <v>2767694.5359419263</v>
      </c>
      <c r="AZ805" s="2">
        <f t="shared" ca="1" si="794"/>
        <v>2901889.1162253846</v>
      </c>
      <c r="BA805" s="2">
        <f t="shared" ca="1" si="795"/>
        <v>56896134.384730645</v>
      </c>
      <c r="BB805" s="2">
        <f t="shared" ca="1" si="796"/>
        <v>1137922.6876946129</v>
      </c>
      <c r="BC805" s="2">
        <f t="shared" ca="1" si="797"/>
        <v>31260379.485189714</v>
      </c>
      <c r="BD805" s="2">
        <f t="shared" ca="1" si="798"/>
        <v>-17852631.150057808</v>
      </c>
      <c r="BE805" s="2">
        <f t="shared" ca="1" si="799"/>
        <v>2280118.8610040531</v>
      </c>
      <c r="BF805" s="2">
        <f t="shared" ca="1" si="800"/>
        <v>2511104.6800007508</v>
      </c>
      <c r="BG805" s="2">
        <f t="shared" ca="1" si="801"/>
        <v>2637472.2518712054</v>
      </c>
      <c r="BH805" s="2">
        <f t="shared" ca="1" si="802"/>
        <v>2767694.5359419263</v>
      </c>
      <c r="BI805" s="2">
        <f t="shared" ca="1" si="803"/>
        <v>34162268.601415098</v>
      </c>
      <c r="BJ805" s="2">
        <f t="shared" ca="1" si="804"/>
        <v>0.23703683286492172</v>
      </c>
      <c r="BK805" s="2">
        <f t="shared" ca="1" si="805"/>
        <v>9205835.7611857057</v>
      </c>
    </row>
    <row r="806" spans="1:63" x14ac:dyDescent="0.3">
      <c r="A806" s="2">
        <v>805</v>
      </c>
      <c r="B806" s="2">
        <f t="shared" ca="1" si="744"/>
        <v>0.82422553435849299</v>
      </c>
      <c r="C806" s="2">
        <f t="shared" ca="1" si="745"/>
        <v>7.4070843809756619</v>
      </c>
      <c r="D806" s="2">
        <f t="shared" ca="1" si="746"/>
        <v>0.58172820809901715</v>
      </c>
      <c r="E806" s="2">
        <f t="shared" ca="1" si="747"/>
        <v>7.5853724343745341</v>
      </c>
      <c r="F806" s="2">
        <f t="shared" ca="1" si="748"/>
        <v>0.84448008723193968</v>
      </c>
      <c r="G806" s="2">
        <f t="shared" ca="1" si="749"/>
        <v>7.0391277241126357E-2</v>
      </c>
      <c r="H806" s="2">
        <f t="shared" ca="1" si="750"/>
        <v>7.0391277241126357E-2</v>
      </c>
      <c r="I806" s="2">
        <f t="shared" ca="1" si="751"/>
        <v>0.850672698993576</v>
      </c>
      <c r="J806" s="2">
        <f t="shared" ca="1" si="752"/>
        <v>1.5196614349595974E-2</v>
      </c>
      <c r="K806" s="2">
        <f t="shared" ca="1" si="753"/>
        <v>1.5196614349595974E-2</v>
      </c>
      <c r="L806" s="2">
        <f t="shared" ca="1" si="754"/>
        <v>0.39854246753497424</v>
      </c>
      <c r="M806" s="2">
        <f t="shared" ca="1" si="755"/>
        <v>-5.1424311840099525E-3</v>
      </c>
      <c r="N806" s="2">
        <f t="shared" ca="1" si="756"/>
        <v>-5.1424311840099525E-3</v>
      </c>
      <c r="O806" s="2">
        <f t="shared" si="757"/>
        <v>6000000</v>
      </c>
      <c r="P806" s="2">
        <f t="shared" ca="1" si="758"/>
        <v>44442506.285853975</v>
      </c>
      <c r="Q806" s="2">
        <f t="shared" ca="1" si="759"/>
        <v>1111062.6571463493</v>
      </c>
      <c r="R806" s="2">
        <f t="shared" ca="1" si="760"/>
        <v>26665503.771512385</v>
      </c>
      <c r="S806" s="2">
        <f t="shared" ca="1" si="761"/>
        <v>17777002.514341589</v>
      </c>
      <c r="T806" s="2">
        <f t="shared" ca="1" si="762"/>
        <v>49742878.440799505</v>
      </c>
      <c r="U806" s="2">
        <f t="shared" ca="1" si="763"/>
        <v>53244343.187897474</v>
      </c>
      <c r="V806" s="2">
        <f t="shared" ca="1" si="764"/>
        <v>56992280.510758445</v>
      </c>
      <c r="W806" s="2">
        <f t="shared" ca="1" si="765"/>
        <v>61004039.928795286</v>
      </c>
      <c r="X806" s="2">
        <f t="shared" ca="1" si="766"/>
        <v>65298192.216251858</v>
      </c>
      <c r="Y806" s="2">
        <f t="shared" ca="1" si="767"/>
        <v>0.12759830717479798</v>
      </c>
      <c r="Z806" s="2">
        <f t="shared" ca="1" si="768"/>
        <v>0.13063763004471718</v>
      </c>
      <c r="AA806" s="2">
        <f t="shared" ca="1" si="769"/>
        <v>6347107.0830477709</v>
      </c>
      <c r="AB806" s="2">
        <f t="shared" ca="1" si="770"/>
        <v>6955714.807354507</v>
      </c>
      <c r="AC806" s="2">
        <f t="shared" ca="1" si="771"/>
        <v>7445336.4567692066</v>
      </c>
      <c r="AD806" s="2">
        <f t="shared" ca="1" si="772"/>
        <v>7969423.1994511131</v>
      </c>
      <c r="AE806" s="2">
        <f t="shared" ca="1" si="773"/>
        <v>8530401.0773355402</v>
      </c>
      <c r="AF806" s="2">
        <f t="shared" ca="1" si="774"/>
        <v>994857.56881599012</v>
      </c>
      <c r="AG806" s="2">
        <f t="shared" ca="1" si="775"/>
        <v>1064886.8637579496</v>
      </c>
      <c r="AH806" s="2">
        <f t="shared" ca="1" si="776"/>
        <v>1139845.6102151689</v>
      </c>
      <c r="AI806" s="2">
        <f t="shared" ca="1" si="777"/>
        <v>1220080.7985759059</v>
      </c>
      <c r="AJ806" s="2">
        <f t="shared" ca="1" si="778"/>
        <v>1305963.8443250372</v>
      </c>
      <c r="AK806" s="2">
        <f t="shared" ca="1" si="779"/>
        <v>0</v>
      </c>
      <c r="AL806" s="2">
        <f t="shared" ca="1" si="780"/>
        <v>35014.647470979689</v>
      </c>
      <c r="AM806" s="2">
        <f t="shared" ca="1" si="781"/>
        <v>37479.373228609715</v>
      </c>
      <c r="AN806" s="2">
        <f t="shared" ca="1" si="782"/>
        <v>40117.594180368411</v>
      </c>
      <c r="AO806" s="2">
        <f t="shared" ca="1" si="783"/>
        <v>42941.522874565722</v>
      </c>
      <c r="AP806" s="2">
        <f t="shared" ca="1" si="784"/>
        <v>2399895.3394361148</v>
      </c>
      <c r="AQ806" s="2">
        <f t="shared" ca="1" si="785"/>
        <v>767612.0854468731</v>
      </c>
      <c r="AR806" s="2">
        <f t="shared" ca="1" si="786"/>
        <v>907642.47708171525</v>
      </c>
      <c r="AS806" s="2">
        <f t="shared" ca="1" si="787"/>
        <v>1015454.8318506599</v>
      </c>
      <c r="AT806" s="2">
        <f t="shared" ca="1" si="788"/>
        <v>1130856.235974164</v>
      </c>
      <c r="AU806" s="2">
        <f t="shared" ca="1" si="789"/>
        <v>1254380.8923293408</v>
      </c>
      <c r="AV806" s="2">
        <f t="shared" ca="1" si="790"/>
        <v>2184742.089348793</v>
      </c>
      <c r="AW806" s="2">
        <f t="shared" ca="1" si="791"/>
        <v>2548275.4796077479</v>
      </c>
      <c r="AX806" s="2">
        <f t="shared" ca="1" si="792"/>
        <v>2852661.3020386528</v>
      </c>
      <c r="AY806" s="2">
        <f t="shared" ca="1" si="793"/>
        <v>3178473.2312845597</v>
      </c>
      <c r="AZ806" s="2">
        <f t="shared" ca="1" si="794"/>
        <v>3527219.4783704812</v>
      </c>
      <c r="BA806" s="2">
        <f t="shared" ca="1" si="795"/>
        <v>64706269.186179832</v>
      </c>
      <c r="BB806" s="2">
        <f t="shared" ca="1" si="796"/>
        <v>1294125.3837235966</v>
      </c>
      <c r="BC806" s="2">
        <f t="shared" ca="1" si="797"/>
        <v>36746640.030943848</v>
      </c>
      <c r="BD806" s="2">
        <f t="shared" ca="1" si="798"/>
        <v>-19388065.171487939</v>
      </c>
      <c r="BE806" s="2">
        <f t="shared" ca="1" si="799"/>
        <v>2184742.089348793</v>
      </c>
      <c r="BF806" s="2">
        <f t="shared" ca="1" si="800"/>
        <v>2548275.4796077479</v>
      </c>
      <c r="BG806" s="2">
        <f t="shared" ca="1" si="801"/>
        <v>2852661.3020386528</v>
      </c>
      <c r="BH806" s="2">
        <f t="shared" ca="1" si="802"/>
        <v>3178473.2312845597</v>
      </c>
      <c r="BI806" s="2">
        <f t="shared" ca="1" si="803"/>
        <v>40273859.509314328</v>
      </c>
      <c r="BJ806" s="2">
        <f t="shared" ca="1" si="804"/>
        <v>0.24922619445641025</v>
      </c>
      <c r="BK806" s="2">
        <f t="shared" ca="1" si="805"/>
        <v>11496981.656667244</v>
      </c>
    </row>
    <row r="807" spans="1:63" x14ac:dyDescent="0.3">
      <c r="A807" s="2">
        <v>806</v>
      </c>
      <c r="B807" s="2">
        <f t="shared" ca="1" si="744"/>
        <v>5.5224414686882994E-2</v>
      </c>
      <c r="C807" s="2">
        <f t="shared" ca="1" si="745"/>
        <v>6.332338425966312</v>
      </c>
      <c r="D807" s="2">
        <f t="shared" ca="1" si="746"/>
        <v>0.933221702722561</v>
      </c>
      <c r="E807" s="2">
        <f t="shared" ca="1" si="747"/>
        <v>8.1345460431807073</v>
      </c>
      <c r="F807" s="2">
        <f t="shared" ca="1" si="748"/>
        <v>0.84198415896138357</v>
      </c>
      <c r="G807" s="2">
        <f t="shared" ca="1" si="749"/>
        <v>7.007938067271173E-2</v>
      </c>
      <c r="H807" s="2">
        <f t="shared" ca="1" si="750"/>
        <v>7.007938067271173E-2</v>
      </c>
      <c r="I807" s="2">
        <f t="shared" ca="1" si="751"/>
        <v>0.42854131287759967</v>
      </c>
      <c r="J807" s="2">
        <f t="shared" ca="1" si="752"/>
        <v>9.0995545388910162E-3</v>
      </c>
      <c r="K807" s="2">
        <f t="shared" ca="1" si="753"/>
        <v>9.0995545388910162E-3</v>
      </c>
      <c r="L807" s="2">
        <f t="shared" ca="1" si="754"/>
        <v>0.39183699519011139</v>
      </c>
      <c r="M807" s="2">
        <f t="shared" ca="1" si="755"/>
        <v>-5.4906875047627639E-3</v>
      </c>
      <c r="N807" s="2">
        <f t="shared" ca="1" si="756"/>
        <v>-5.4906875047627639E-3</v>
      </c>
      <c r="O807" s="2">
        <f t="shared" si="757"/>
        <v>6000000</v>
      </c>
      <c r="P807" s="2">
        <f t="shared" ca="1" si="758"/>
        <v>37994030.555797875</v>
      </c>
      <c r="Q807" s="2">
        <f t="shared" ca="1" si="759"/>
        <v>949850.7638949469</v>
      </c>
      <c r="R807" s="2">
        <f t="shared" ca="1" si="760"/>
        <v>22796418.333478723</v>
      </c>
      <c r="S807" s="2">
        <f t="shared" ca="1" si="761"/>
        <v>15197612.22231915</v>
      </c>
      <c r="T807" s="2">
        <f t="shared" ca="1" si="762"/>
        <v>49725465.624761865</v>
      </c>
      <c r="U807" s="2">
        <f t="shared" ca="1" si="763"/>
        <v>53210195.459407397</v>
      </c>
      <c r="V807" s="2">
        <f t="shared" ca="1" si="764"/>
        <v>56939133.002676606</v>
      </c>
      <c r="W807" s="2">
        <f t="shared" ca="1" si="765"/>
        <v>60929392.17954535</v>
      </c>
      <c r="X807" s="2">
        <f t="shared" ca="1" si="766"/>
        <v>65199286.24825266</v>
      </c>
      <c r="Y807" s="2">
        <f t="shared" ca="1" si="767"/>
        <v>0.12454977726944551</v>
      </c>
      <c r="Z807" s="2">
        <f t="shared" ca="1" si="768"/>
        <v>0.12636968817722372</v>
      </c>
      <c r="AA807" s="2">
        <f t="shared" ca="1" si="769"/>
        <v>6193295.6681835596</v>
      </c>
      <c r="AB807" s="2">
        <f t="shared" ca="1" si="770"/>
        <v>6724155.8080544379</v>
      </c>
      <c r="AC807" s="2">
        <f t="shared" ca="1" si="771"/>
        <v>7195380.4826297108</v>
      </c>
      <c r="AD807" s="2">
        <f t="shared" ca="1" si="772"/>
        <v>7699628.2905569188</v>
      </c>
      <c r="AE807" s="2">
        <f t="shared" ca="1" si="773"/>
        <v>8239213.4725692393</v>
      </c>
      <c r="AF807" s="2">
        <f t="shared" ca="1" si="774"/>
        <v>994509.31249523733</v>
      </c>
      <c r="AG807" s="2">
        <f t="shared" ca="1" si="775"/>
        <v>1064203.9091881479</v>
      </c>
      <c r="AH807" s="2">
        <f t="shared" ca="1" si="776"/>
        <v>1138782.6600535321</v>
      </c>
      <c r="AI807" s="2">
        <f t="shared" ca="1" si="777"/>
        <v>1218587.8435909071</v>
      </c>
      <c r="AJ807" s="2">
        <f t="shared" ca="1" si="778"/>
        <v>1303985.7249650531</v>
      </c>
      <c r="AK807" s="2">
        <f t="shared" ca="1" si="779"/>
        <v>0</v>
      </c>
      <c r="AL807" s="2">
        <f t="shared" ca="1" si="780"/>
        <v>34847.298346455318</v>
      </c>
      <c r="AM807" s="2">
        <f t="shared" ca="1" si="781"/>
        <v>37289.375432692097</v>
      </c>
      <c r="AN807" s="2">
        <f t="shared" ca="1" si="782"/>
        <v>39902.591768687445</v>
      </c>
      <c r="AO807" s="2">
        <f t="shared" ca="1" si="783"/>
        <v>42698.940687073096</v>
      </c>
      <c r="AP807" s="2">
        <f t="shared" ca="1" si="784"/>
        <v>2051677.650013085</v>
      </c>
      <c r="AQ807" s="2">
        <f t="shared" ca="1" si="785"/>
        <v>818248.26347556175</v>
      </c>
      <c r="AR807" s="2">
        <f t="shared" ca="1" si="786"/>
        <v>938151.3047018334</v>
      </c>
      <c r="AS807" s="2">
        <f t="shared" ca="1" si="787"/>
        <v>1041279.2448664043</v>
      </c>
      <c r="AT807" s="2">
        <f t="shared" ca="1" si="788"/>
        <v>1151634.3272077611</v>
      </c>
      <c r="AU807" s="2">
        <f t="shared" ca="1" si="789"/>
        <v>1269723.0253736861</v>
      </c>
      <c r="AV807" s="2">
        <f t="shared" ca="1" si="790"/>
        <v>2328860.4421996758</v>
      </c>
      <c r="AW807" s="2">
        <f t="shared" ca="1" si="791"/>
        <v>2635275.645804917</v>
      </c>
      <c r="AX807" s="2">
        <f t="shared" ca="1" si="792"/>
        <v>2926351.5522639961</v>
      </c>
      <c r="AY807" s="2">
        <f t="shared" ca="1" si="793"/>
        <v>3237825.8779764785</v>
      </c>
      <c r="AZ807" s="2">
        <f t="shared" ca="1" si="794"/>
        <v>3571128.1315303412</v>
      </c>
      <c r="BA807" s="2">
        <f t="shared" ca="1" si="795"/>
        <v>67022261.352209277</v>
      </c>
      <c r="BB807" s="2">
        <f t="shared" ca="1" si="796"/>
        <v>1340445.2270441856</v>
      </c>
      <c r="BC807" s="2">
        <f t="shared" ca="1" si="797"/>
        <v>42885397.791686364</v>
      </c>
      <c r="BD807" s="2">
        <f t="shared" ca="1" si="798"/>
        <v>-16647462.986214098</v>
      </c>
      <c r="BE807" s="2">
        <f t="shared" ca="1" si="799"/>
        <v>2328860.4421996758</v>
      </c>
      <c r="BF807" s="2">
        <f t="shared" ca="1" si="800"/>
        <v>2635275.645804917</v>
      </c>
      <c r="BG807" s="2">
        <f t="shared" ca="1" si="801"/>
        <v>2926351.5522639961</v>
      </c>
      <c r="BH807" s="2">
        <f t="shared" ca="1" si="802"/>
        <v>3237825.8779764785</v>
      </c>
      <c r="BI807" s="2">
        <f t="shared" ca="1" si="803"/>
        <v>46456525.923216708</v>
      </c>
      <c r="BJ807" s="2">
        <f t="shared" ca="1" si="804"/>
        <v>0.33068477127133478</v>
      </c>
      <c r="BK807" s="2">
        <f t="shared" ca="1" si="805"/>
        <v>18033998.850277435</v>
      </c>
    </row>
    <row r="808" spans="1:63" x14ac:dyDescent="0.3">
      <c r="A808" s="2">
        <v>807</v>
      </c>
      <c r="B808" s="2">
        <f t="shared" ca="1" si="744"/>
        <v>0.93097740910024784</v>
      </c>
      <c r="C808" s="2">
        <f t="shared" ca="1" si="745"/>
        <v>7.6284556798987442</v>
      </c>
      <c r="D808" s="2">
        <f t="shared" ca="1" si="746"/>
        <v>0.15699137973849842</v>
      </c>
      <c r="E808" s="2">
        <f t="shared" ca="1" si="747"/>
        <v>7.0603416453173873</v>
      </c>
      <c r="F808" s="2">
        <f t="shared" ca="1" si="748"/>
        <v>0.26146547264497644</v>
      </c>
      <c r="G808" s="2">
        <f t="shared" ca="1" si="749"/>
        <v>2.0834980828333613E-2</v>
      </c>
      <c r="H808" s="2">
        <f t="shared" ca="1" si="750"/>
        <v>2.0834980828333613E-2</v>
      </c>
      <c r="I808" s="2">
        <f t="shared" ca="1" si="751"/>
        <v>9.9361976557559961E-2</v>
      </c>
      <c r="J808" s="2">
        <f t="shared" ca="1" si="752"/>
        <v>3.5740221759751577E-3</v>
      </c>
      <c r="K808" s="2">
        <f t="shared" ca="1" si="753"/>
        <v>3.5740221759751577E-3</v>
      </c>
      <c r="L808" s="2">
        <f t="shared" ca="1" si="754"/>
        <v>0.50602987595363402</v>
      </c>
      <c r="M808" s="2">
        <f t="shared" ca="1" si="755"/>
        <v>3.0230466203482506E-4</v>
      </c>
      <c r="N808" s="2">
        <f t="shared" ca="1" si="756"/>
        <v>3.0230466203482506E-4</v>
      </c>
      <c r="O808" s="2">
        <f t="shared" si="757"/>
        <v>6000000</v>
      </c>
      <c r="P808" s="2">
        <f t="shared" ca="1" si="758"/>
        <v>45770734.079392463</v>
      </c>
      <c r="Q808" s="2">
        <f t="shared" ca="1" si="759"/>
        <v>1144268.3519848117</v>
      </c>
      <c r="R808" s="2">
        <f t="shared" ca="1" si="760"/>
        <v>27462440.447635476</v>
      </c>
      <c r="S808" s="2">
        <f t="shared" ca="1" si="761"/>
        <v>18308293.631756987</v>
      </c>
      <c r="T808" s="2">
        <f t="shared" ca="1" si="762"/>
        <v>50015115.23310174</v>
      </c>
      <c r="U808" s="2">
        <f t="shared" ca="1" si="763"/>
        <v>51057179.200110316</v>
      </c>
      <c r="V808" s="2">
        <f t="shared" ca="1" si="764"/>
        <v>52120954.549893409</v>
      </c>
      <c r="W808" s="2">
        <f t="shared" ca="1" si="765"/>
        <v>53206893.63869489</v>
      </c>
      <c r="X808" s="2">
        <f t="shared" ca="1" si="766"/>
        <v>54315458.247592285</v>
      </c>
      <c r="Y808" s="2">
        <f t="shared" ca="1" si="767"/>
        <v>0.12178701108798758</v>
      </c>
      <c r="Z808" s="2">
        <f t="shared" ca="1" si="768"/>
        <v>0.12250181552318261</v>
      </c>
      <c r="AA808" s="2">
        <f t="shared" ca="1" si="769"/>
        <v>6091191.3934607375</v>
      </c>
      <c r="AB808" s="2">
        <f t="shared" ca="1" si="770"/>
        <v>6254597.1475059902</v>
      </c>
      <c r="AC808" s="2">
        <f t="shared" ca="1" si="771"/>
        <v>6384911.5591632277</v>
      </c>
      <c r="AD808" s="2">
        <f t="shared" ca="1" si="772"/>
        <v>6517941.0690889992</v>
      </c>
      <c r="AE808" s="2">
        <f t="shared" ca="1" si="773"/>
        <v>6653742.2463036776</v>
      </c>
      <c r="AF808" s="2">
        <f t="shared" ca="1" si="774"/>
        <v>1000302.3046620348</v>
      </c>
      <c r="AG808" s="2">
        <f t="shared" ca="1" si="775"/>
        <v>1021143.5840022063</v>
      </c>
      <c r="AH808" s="2">
        <f t="shared" ca="1" si="776"/>
        <v>1042419.0909978682</v>
      </c>
      <c r="AI808" s="2">
        <f t="shared" ca="1" si="777"/>
        <v>1064137.8727738978</v>
      </c>
      <c r="AJ808" s="2">
        <f t="shared" ca="1" si="778"/>
        <v>1086309.1649518458</v>
      </c>
      <c r="AK808" s="2">
        <f t="shared" ca="1" si="779"/>
        <v>0</v>
      </c>
      <c r="AL808" s="2">
        <f t="shared" ca="1" si="780"/>
        <v>10420.639670085759</v>
      </c>
      <c r="AM808" s="2">
        <f t="shared" ca="1" si="781"/>
        <v>10637.753497830927</v>
      </c>
      <c r="AN808" s="2">
        <f t="shared" ca="1" si="782"/>
        <v>10859.390888014808</v>
      </c>
      <c r="AO808" s="2">
        <f t="shared" ca="1" si="783"/>
        <v>11085.646088973954</v>
      </c>
      <c r="AP808" s="2">
        <f t="shared" ca="1" si="784"/>
        <v>2471619.6402871925</v>
      </c>
      <c r="AQ808" s="2">
        <f t="shared" ca="1" si="785"/>
        <v>681010.05661299266</v>
      </c>
      <c r="AR808" s="2">
        <f t="shared" ca="1" si="786"/>
        <v>718076.82003631385</v>
      </c>
      <c r="AS808" s="2">
        <f t="shared" ca="1" si="787"/>
        <v>746426.93524832337</v>
      </c>
      <c r="AT808" s="2">
        <f t="shared" ca="1" si="788"/>
        <v>775367.72456725629</v>
      </c>
      <c r="AU808" s="2">
        <f t="shared" ca="1" si="789"/>
        <v>804911.49467680615</v>
      </c>
      <c r="AV808" s="2">
        <f t="shared" ca="1" si="790"/>
        <v>1938259.3918985175</v>
      </c>
      <c r="AW808" s="2">
        <f t="shared" ca="1" si="791"/>
        <v>2033336.463510192</v>
      </c>
      <c r="AX808" s="2">
        <f t="shared" ca="1" si="792"/>
        <v>2113808.1391320126</v>
      </c>
      <c r="AY808" s="2">
        <f t="shared" ca="1" si="793"/>
        <v>2195956.4405726381</v>
      </c>
      <c r="AZ808" s="2">
        <f t="shared" ca="1" si="794"/>
        <v>2279816.3002988594</v>
      </c>
      <c r="BA808" s="2">
        <f t="shared" ca="1" si="795"/>
        <v>46977693.478785515</v>
      </c>
      <c r="BB808" s="2">
        <f t="shared" ca="1" si="796"/>
        <v>939553.86957571027</v>
      </c>
      <c r="BC808" s="2">
        <f t="shared" ca="1" si="797"/>
        <v>18575699.16157433</v>
      </c>
      <c r="BD808" s="2">
        <f t="shared" ca="1" si="798"/>
        <v>-19952561.983741798</v>
      </c>
      <c r="BE808" s="2">
        <f t="shared" ca="1" si="799"/>
        <v>1938259.3918985175</v>
      </c>
      <c r="BF808" s="2">
        <f t="shared" ca="1" si="800"/>
        <v>2033336.463510192</v>
      </c>
      <c r="BG808" s="2">
        <f t="shared" ca="1" si="801"/>
        <v>2113808.1391320126</v>
      </c>
      <c r="BH808" s="2">
        <f t="shared" ca="1" si="802"/>
        <v>2195956.4405726381</v>
      </c>
      <c r="BI808" s="2">
        <f t="shared" ca="1" si="803"/>
        <v>20855515.461873189</v>
      </c>
      <c r="BJ808" s="2">
        <f t="shared" ca="1" si="804"/>
        <v>9.3658881487232781E-2</v>
      </c>
      <c r="BK808" s="2">
        <f t="shared" ca="1" si="805"/>
        <v>-1866893.3998675421</v>
      </c>
    </row>
    <row r="809" spans="1:63" x14ac:dyDescent="0.3">
      <c r="A809" s="2">
        <v>808</v>
      </c>
      <c r="B809" s="2">
        <f t="shared" ca="1" si="744"/>
        <v>6.633084579897397E-2</v>
      </c>
      <c r="C809" s="2">
        <f t="shared" ca="1" si="745"/>
        <v>6.3642275272380546</v>
      </c>
      <c r="D809" s="2">
        <f t="shared" ca="1" si="746"/>
        <v>0.82466831053993095</v>
      </c>
      <c r="E809" s="2">
        <f t="shared" ca="1" si="747"/>
        <v>7.9078316295848463</v>
      </c>
      <c r="F809" s="2">
        <f t="shared" ca="1" si="748"/>
        <v>0.14831916003731782</v>
      </c>
      <c r="G809" s="2">
        <f t="shared" ca="1" si="749"/>
        <v>8.6899146369907726E-3</v>
      </c>
      <c r="H809" s="2">
        <f t="shared" ca="1" si="750"/>
        <v>8.6899146369907726E-3</v>
      </c>
      <c r="I809" s="2">
        <f t="shared" ca="1" si="751"/>
        <v>8.8116397926306766E-2</v>
      </c>
      <c r="J809" s="2">
        <f t="shared" ca="1" si="752"/>
        <v>3.2377717743274845E-3</v>
      </c>
      <c r="K809" s="2">
        <f t="shared" ca="1" si="753"/>
        <v>3.2377717743274845E-3</v>
      </c>
      <c r="L809" s="2">
        <f t="shared" ca="1" si="754"/>
        <v>2.6777939278302187E-2</v>
      </c>
      <c r="M809" s="2">
        <f t="shared" ca="1" si="755"/>
        <v>-3.8608228803756431E-2</v>
      </c>
      <c r="N809" s="2">
        <f t="shared" ca="1" si="756"/>
        <v>-3.8608228803756431E-2</v>
      </c>
      <c r="O809" s="2">
        <f t="shared" si="757"/>
        <v>6000000</v>
      </c>
      <c r="P809" s="2">
        <f t="shared" ca="1" si="758"/>
        <v>38185365.163428329</v>
      </c>
      <c r="Q809" s="2">
        <f t="shared" ca="1" si="759"/>
        <v>954634.12908570829</v>
      </c>
      <c r="R809" s="2">
        <f t="shared" ca="1" si="760"/>
        <v>22911219.098056998</v>
      </c>
      <c r="S809" s="2">
        <f t="shared" ca="1" si="761"/>
        <v>15274146.065371333</v>
      </c>
      <c r="T809" s="2">
        <f t="shared" ca="1" si="762"/>
        <v>48069588.559812173</v>
      </c>
      <c r="U809" s="2">
        <f t="shared" ca="1" si="763"/>
        <v>48487309.181032211</v>
      </c>
      <c r="V809" s="2">
        <f t="shared" ca="1" si="764"/>
        <v>48908659.758792758</v>
      </c>
      <c r="W809" s="2">
        <f t="shared" ca="1" si="765"/>
        <v>49333671.837106295</v>
      </c>
      <c r="X809" s="2">
        <f t="shared" ca="1" si="766"/>
        <v>49762377.234100066</v>
      </c>
      <c r="Y809" s="2">
        <f t="shared" ca="1" si="767"/>
        <v>0.12161888588716374</v>
      </c>
      <c r="Z809" s="2">
        <f t="shared" ca="1" si="768"/>
        <v>0.12226644024202923</v>
      </c>
      <c r="AA809" s="2">
        <f t="shared" ca="1" si="769"/>
        <v>5846169.8056987086</v>
      </c>
      <c r="AB809" s="2">
        <f t="shared" ca="1" si="770"/>
        <v>5928370.6904794704</v>
      </c>
      <c r="AC809" s="2">
        <f t="shared" ca="1" si="771"/>
        <v>5979887.7257161746</v>
      </c>
      <c r="AD809" s="2">
        <f t="shared" ca="1" si="772"/>
        <v>6031852.4395914376</v>
      </c>
      <c r="AE809" s="2">
        <f t="shared" ca="1" si="773"/>
        <v>6084268.7223944115</v>
      </c>
      <c r="AF809" s="2">
        <f t="shared" ca="1" si="774"/>
        <v>961391.77119624347</v>
      </c>
      <c r="AG809" s="2">
        <f t="shared" ca="1" si="775"/>
        <v>969746.18362064427</v>
      </c>
      <c r="AH809" s="2">
        <f t="shared" ca="1" si="776"/>
        <v>978173.19517585519</v>
      </c>
      <c r="AI809" s="2">
        <f t="shared" ca="1" si="777"/>
        <v>986673.43674212589</v>
      </c>
      <c r="AJ809" s="2">
        <f t="shared" ca="1" si="778"/>
        <v>995247.54468200135</v>
      </c>
      <c r="AK809" s="2">
        <f t="shared" ca="1" si="779"/>
        <v>0</v>
      </c>
      <c r="AL809" s="2">
        <f t="shared" ca="1" si="780"/>
        <v>4177.2062122003736</v>
      </c>
      <c r="AM809" s="2">
        <f t="shared" ca="1" si="781"/>
        <v>4213.5057776054737</v>
      </c>
      <c r="AN809" s="2">
        <f t="shared" ca="1" si="782"/>
        <v>4250.1207831353695</v>
      </c>
      <c r="AO809" s="2">
        <f t="shared" ca="1" si="783"/>
        <v>4287.0539699377123</v>
      </c>
      <c r="AP809" s="2">
        <f t="shared" ca="1" si="784"/>
        <v>2062009.7188251298</v>
      </c>
      <c r="AQ809" s="2">
        <f t="shared" ca="1" si="785"/>
        <v>733919.7620761072</v>
      </c>
      <c r="AR809" s="2">
        <f t="shared" ca="1" si="786"/>
        <v>753119.84488876094</v>
      </c>
      <c r="AS809" s="2">
        <f t="shared" ca="1" si="787"/>
        <v>764323.25104594929</v>
      </c>
      <c r="AT809" s="2">
        <f t="shared" ca="1" si="788"/>
        <v>775624.01384628727</v>
      </c>
      <c r="AU809" s="2">
        <f t="shared" ca="1" si="789"/>
        <v>787022.97931069287</v>
      </c>
      <c r="AV809" s="2">
        <f t="shared" ca="1" si="790"/>
        <v>2088848.5536012282</v>
      </c>
      <c r="AW809" s="2">
        <f t="shared" ca="1" si="791"/>
        <v>2139317.736932735</v>
      </c>
      <c r="AX809" s="2">
        <f t="shared" ca="1" si="792"/>
        <v>2171168.0548916347</v>
      </c>
      <c r="AY809" s="2">
        <f t="shared" ca="1" si="793"/>
        <v>2203295.149394759</v>
      </c>
      <c r="AZ809" s="2">
        <f t="shared" ca="1" si="794"/>
        <v>2235701.4256066494</v>
      </c>
      <c r="BA809" s="2">
        <f t="shared" ca="1" si="795"/>
        <v>48113372.645844311</v>
      </c>
      <c r="BB809" s="2">
        <f t="shared" ca="1" si="796"/>
        <v>962267.45291688619</v>
      </c>
      <c r="BC809" s="2">
        <f t="shared" ca="1" si="797"/>
        <v>24239886.094870426</v>
      </c>
      <c r="BD809" s="2">
        <f t="shared" ca="1" si="798"/>
        <v>-16728780.194457041</v>
      </c>
      <c r="BE809" s="2">
        <f t="shared" ca="1" si="799"/>
        <v>2088848.5536012282</v>
      </c>
      <c r="BF809" s="2">
        <f t="shared" ca="1" si="800"/>
        <v>2139317.736932735</v>
      </c>
      <c r="BG809" s="2">
        <f t="shared" ca="1" si="801"/>
        <v>2171168.0548916347</v>
      </c>
      <c r="BH809" s="2">
        <f t="shared" ca="1" si="802"/>
        <v>2203295.149394759</v>
      </c>
      <c r="BI809" s="2">
        <f t="shared" ca="1" si="803"/>
        <v>26475587.520477075</v>
      </c>
      <c r="BJ809" s="2">
        <f t="shared" ca="1" si="804"/>
        <v>0.19032965310032979</v>
      </c>
      <c r="BK809" s="2">
        <f t="shared" ca="1" si="805"/>
        <v>4810301.9746959675</v>
      </c>
    </row>
    <row r="810" spans="1:63" x14ac:dyDescent="0.3">
      <c r="A810" s="2">
        <v>809</v>
      </c>
      <c r="B810" s="2">
        <f t="shared" ca="1" si="744"/>
        <v>0.7804635956813849</v>
      </c>
      <c r="C810" s="2">
        <f t="shared" ca="1" si="745"/>
        <v>7.3373743072916433</v>
      </c>
      <c r="D810" s="2">
        <f t="shared" ca="1" si="746"/>
        <v>0.4513558546091283</v>
      </c>
      <c r="E810" s="2">
        <f t="shared" ca="1" si="747"/>
        <v>7.4501114193705158</v>
      </c>
      <c r="F810" s="2">
        <f t="shared" ca="1" si="748"/>
        <v>0.75873087979365506</v>
      </c>
      <c r="G810" s="2">
        <f t="shared" ca="1" si="749"/>
        <v>6.1066779671671706E-2</v>
      </c>
      <c r="H810" s="2">
        <f t="shared" ca="1" si="750"/>
        <v>6.1066779671671706E-2</v>
      </c>
      <c r="I810" s="2">
        <f t="shared" ca="1" si="751"/>
        <v>0.45480582749268805</v>
      </c>
      <c r="J810" s="2">
        <f t="shared" ca="1" si="752"/>
        <v>9.4323580397476861E-3</v>
      </c>
      <c r="K810" s="2">
        <f t="shared" ca="1" si="753"/>
        <v>9.4323580397476861E-3</v>
      </c>
      <c r="L810" s="2">
        <f t="shared" ca="1" si="754"/>
        <v>0.44988764782326396</v>
      </c>
      <c r="M810" s="2">
        <f t="shared" ca="1" si="755"/>
        <v>-2.518904188100413E-3</v>
      </c>
      <c r="N810" s="2">
        <f t="shared" ca="1" si="756"/>
        <v>-2.518904188100413E-3</v>
      </c>
      <c r="O810" s="2">
        <f t="shared" si="757"/>
        <v>6000000</v>
      </c>
      <c r="P810" s="2">
        <f t="shared" ca="1" si="758"/>
        <v>44024245.843749858</v>
      </c>
      <c r="Q810" s="2">
        <f t="shared" ca="1" si="759"/>
        <v>1100606.1460937464</v>
      </c>
      <c r="R810" s="2">
        <f t="shared" ca="1" si="760"/>
        <v>26414547.506249916</v>
      </c>
      <c r="S810" s="2">
        <f t="shared" ca="1" si="761"/>
        <v>17609698.337499943</v>
      </c>
      <c r="T810" s="2">
        <f t="shared" ca="1" si="762"/>
        <v>49874054.79059498</v>
      </c>
      <c r="U810" s="2">
        <f t="shared" ca="1" si="763"/>
        <v>52919702.705825128</v>
      </c>
      <c r="V810" s="2">
        <f t="shared" ca="1" si="764"/>
        <v>56151338.531252123</v>
      </c>
      <c r="W810" s="2">
        <f t="shared" ca="1" si="765"/>
        <v>59580319.949609548</v>
      </c>
      <c r="X810" s="2">
        <f t="shared" ca="1" si="766"/>
        <v>63218698.220740065</v>
      </c>
      <c r="Y810" s="2">
        <f t="shared" ca="1" si="767"/>
        <v>0.12471617901987384</v>
      </c>
      <c r="Z810" s="2">
        <f t="shared" ca="1" si="768"/>
        <v>0.12660265062782339</v>
      </c>
      <c r="AA810" s="2">
        <f t="shared" ca="1" si="769"/>
        <v>6220101.5457108403</v>
      </c>
      <c r="AB810" s="2">
        <f t="shared" ca="1" si="770"/>
        <v>6699774.6329938583</v>
      </c>
      <c r="AC810" s="2">
        <f t="shared" ca="1" si="771"/>
        <v>7108908.2943567503</v>
      </c>
      <c r="AD810" s="2">
        <f t="shared" ca="1" si="772"/>
        <v>7543026.4308743533</v>
      </c>
      <c r="AE810" s="2">
        <f t="shared" ca="1" si="773"/>
        <v>8003654.7639861545</v>
      </c>
      <c r="AF810" s="2">
        <f t="shared" ca="1" si="774"/>
        <v>997481.09581189964</v>
      </c>
      <c r="AG810" s="2">
        <f t="shared" ca="1" si="775"/>
        <v>1058394.0541165026</v>
      </c>
      <c r="AH810" s="2">
        <f t="shared" ca="1" si="776"/>
        <v>1123026.7706250425</v>
      </c>
      <c r="AI810" s="2">
        <f t="shared" ca="1" si="777"/>
        <v>1191606.3989921911</v>
      </c>
      <c r="AJ810" s="2">
        <f t="shared" ca="1" si="778"/>
        <v>1264373.9644148012</v>
      </c>
      <c r="AK810" s="2">
        <f t="shared" ca="1" si="779"/>
        <v>0</v>
      </c>
      <c r="AL810" s="2">
        <f t="shared" ca="1" si="780"/>
        <v>30456.479152301476</v>
      </c>
      <c r="AM810" s="2">
        <f t="shared" ca="1" si="781"/>
        <v>32316.358254269959</v>
      </c>
      <c r="AN810" s="2">
        <f t="shared" ca="1" si="782"/>
        <v>34289.814183574243</v>
      </c>
      <c r="AO810" s="2">
        <f t="shared" ca="1" si="783"/>
        <v>36383.782711305175</v>
      </c>
      <c r="AP810" s="2">
        <f t="shared" ca="1" si="784"/>
        <v>2377309.2755624922</v>
      </c>
      <c r="AQ810" s="2">
        <f t="shared" ca="1" si="785"/>
        <v>739780.90532747656</v>
      </c>
      <c r="AR810" s="2">
        <f t="shared" ca="1" si="786"/>
        <v>848658.5388618646</v>
      </c>
      <c r="AS810" s="2">
        <f t="shared" ca="1" si="787"/>
        <v>938228.78452399606</v>
      </c>
      <c r="AT810" s="2">
        <f t="shared" ca="1" si="788"/>
        <v>1033268.7966431142</v>
      </c>
      <c r="AU810" s="2">
        <f t="shared" ca="1" si="789"/>
        <v>1134112.596242304</v>
      </c>
      <c r="AV810" s="2">
        <f t="shared" ca="1" si="790"/>
        <v>2105530.2690089718</v>
      </c>
      <c r="AW810" s="2">
        <f t="shared" ca="1" si="791"/>
        <v>2384956.2853006981</v>
      </c>
      <c r="AX810" s="2">
        <f t="shared" ca="1" si="792"/>
        <v>2638027.1053909501</v>
      </c>
      <c r="AY810" s="2">
        <f t="shared" ca="1" si="793"/>
        <v>2906552.1454929812</v>
      </c>
      <c r="AZ810" s="2">
        <f t="shared" ca="1" si="794"/>
        <v>3191475.1450552521</v>
      </c>
      <c r="BA810" s="2">
        <f t="shared" ca="1" si="795"/>
        <v>59628119.753872477</v>
      </c>
      <c r="BB810" s="2">
        <f t="shared" ca="1" si="796"/>
        <v>1192562.3950774495</v>
      </c>
      <c r="BC810" s="2">
        <f t="shared" ca="1" si="797"/>
        <v>32021009.852545112</v>
      </c>
      <c r="BD810" s="2">
        <f t="shared" ca="1" si="798"/>
        <v>-19210304.483593687</v>
      </c>
      <c r="BE810" s="2">
        <f t="shared" ca="1" si="799"/>
        <v>2105530.2690089718</v>
      </c>
      <c r="BF810" s="2">
        <f t="shared" ca="1" si="800"/>
        <v>2384956.2853006981</v>
      </c>
      <c r="BG810" s="2">
        <f t="shared" ca="1" si="801"/>
        <v>2638027.1053909501</v>
      </c>
      <c r="BH810" s="2">
        <f t="shared" ca="1" si="802"/>
        <v>2906552.1454929812</v>
      </c>
      <c r="BI810" s="2">
        <f t="shared" ca="1" si="803"/>
        <v>35212484.997600362</v>
      </c>
      <c r="BJ810" s="2">
        <f t="shared" ca="1" si="804"/>
        <v>0.21864597392377361</v>
      </c>
      <c r="BK810" s="2">
        <f t="shared" ca="1" si="805"/>
        <v>8276277.4707889557</v>
      </c>
    </row>
    <row r="811" spans="1:63" x14ac:dyDescent="0.3">
      <c r="A811" s="2">
        <v>810</v>
      </c>
      <c r="B811" s="2">
        <f t="shared" ca="1" si="744"/>
        <v>0.33758755503723004</v>
      </c>
      <c r="C811" s="2">
        <f t="shared" ca="1" si="745"/>
        <v>6.8216903979446641</v>
      </c>
      <c r="D811" s="2">
        <f t="shared" ca="1" si="746"/>
        <v>0.86461773134007647</v>
      </c>
      <c r="E811" s="2">
        <f t="shared" ca="1" si="747"/>
        <v>7.9796496014032012</v>
      </c>
      <c r="F811" s="2">
        <f t="shared" ca="1" si="748"/>
        <v>0.84455182002780094</v>
      </c>
      <c r="G811" s="2">
        <f t="shared" ca="1" si="749"/>
        <v>7.0400289704962121E-2</v>
      </c>
      <c r="H811" s="2">
        <f t="shared" ca="1" si="750"/>
        <v>7.0400289704962121E-2</v>
      </c>
      <c r="I811" s="2">
        <f t="shared" ca="1" si="751"/>
        <v>0.16200652386213366</v>
      </c>
      <c r="J811" s="2">
        <f t="shared" ca="1" si="752"/>
        <v>5.0687764860471961E-3</v>
      </c>
      <c r="K811" s="2">
        <f t="shared" ca="1" si="753"/>
        <v>5.0687764860471961E-3</v>
      </c>
      <c r="L811" s="2">
        <f t="shared" ca="1" si="754"/>
        <v>0.71195821807682913</v>
      </c>
      <c r="M811" s="2">
        <f t="shared" ca="1" si="755"/>
        <v>1.118229045844933E-2</v>
      </c>
      <c r="N811" s="2">
        <f t="shared" ca="1" si="756"/>
        <v>1.118229045844933E-2</v>
      </c>
      <c r="O811" s="2">
        <f t="shared" si="757"/>
        <v>6000000</v>
      </c>
      <c r="P811" s="2">
        <f t="shared" ca="1" si="758"/>
        <v>40930142.387667984</v>
      </c>
      <c r="Q811" s="2">
        <f t="shared" ca="1" si="759"/>
        <v>1023253.5596916997</v>
      </c>
      <c r="R811" s="2">
        <f t="shared" ca="1" si="760"/>
        <v>24558085.432600789</v>
      </c>
      <c r="S811" s="2">
        <f t="shared" ca="1" si="761"/>
        <v>16372056.955067195</v>
      </c>
      <c r="T811" s="2">
        <f t="shared" ca="1" si="762"/>
        <v>50559114.522922464</v>
      </c>
      <c r="U811" s="2">
        <f t="shared" ca="1" si="763"/>
        <v>54118490.832562558</v>
      </c>
      <c r="V811" s="2">
        <f t="shared" ca="1" si="764"/>
        <v>57928448.265570298</v>
      </c>
      <c r="W811" s="2">
        <f t="shared" ca="1" si="765"/>
        <v>62006627.805625349</v>
      </c>
      <c r="X811" s="2">
        <f t="shared" ca="1" si="766"/>
        <v>66371912.366769128</v>
      </c>
      <c r="Y811" s="2">
        <f t="shared" ca="1" si="767"/>
        <v>0.1225343882430236</v>
      </c>
      <c r="Z811" s="2">
        <f t="shared" ca="1" si="768"/>
        <v>0.12354814354023304</v>
      </c>
      <c r="AA811" s="2">
        <f t="shared" ca="1" si="769"/>
        <v>6195230.1681752736</v>
      </c>
      <c r="AB811" s="2">
        <f t="shared" ca="1" si="770"/>
        <v>6686239.0735622244</v>
      </c>
      <c r="AC811" s="2">
        <f t="shared" ca="1" si="771"/>
        <v>7156952.2413776424</v>
      </c>
      <c r="AD811" s="2">
        <f t="shared" ca="1" si="772"/>
        <v>7660803.7525752056</v>
      </c>
      <c r="AE811" s="2">
        <f t="shared" ca="1" si="773"/>
        <v>8200126.5561293606</v>
      </c>
      <c r="AF811" s="2">
        <f t="shared" ca="1" si="774"/>
        <v>1011182.2904584493</v>
      </c>
      <c r="AG811" s="2">
        <f t="shared" ca="1" si="775"/>
        <v>1082369.8166512512</v>
      </c>
      <c r="AH811" s="2">
        <f t="shared" ca="1" si="776"/>
        <v>1158568.9653114059</v>
      </c>
      <c r="AI811" s="2">
        <f t="shared" ca="1" si="777"/>
        <v>1240132.5561125071</v>
      </c>
      <c r="AJ811" s="2">
        <f t="shared" ca="1" si="778"/>
        <v>1327438.2473353825</v>
      </c>
      <c r="AK811" s="2">
        <f t="shared" ca="1" si="779"/>
        <v>0</v>
      </c>
      <c r="AL811" s="2">
        <f t="shared" ca="1" si="780"/>
        <v>35593.763096400944</v>
      </c>
      <c r="AM811" s="2">
        <f t="shared" ca="1" si="781"/>
        <v>38099.574330077397</v>
      </c>
      <c r="AN811" s="2">
        <f t="shared" ca="1" si="782"/>
        <v>40781.795400550516</v>
      </c>
      <c r="AO811" s="2">
        <f t="shared" ca="1" si="783"/>
        <v>43652.845611437784</v>
      </c>
      <c r="AP811" s="2">
        <f t="shared" ca="1" si="784"/>
        <v>2210227.688934071</v>
      </c>
      <c r="AQ811" s="2">
        <f t="shared" ca="1" si="785"/>
        <v>773193.24908351596</v>
      </c>
      <c r="AR811" s="2">
        <f t="shared" ca="1" si="786"/>
        <v>882346.80767399457</v>
      </c>
      <c r="AS811" s="2">
        <f t="shared" ca="1" si="787"/>
        <v>984920.45265436301</v>
      </c>
      <c r="AT811" s="2">
        <f t="shared" ca="1" si="788"/>
        <v>1094715.3119574431</v>
      </c>
      <c r="AU811" s="2">
        <f t="shared" ca="1" si="789"/>
        <v>1212239.7611635758</v>
      </c>
      <c r="AV811" s="2">
        <f t="shared" ca="1" si="790"/>
        <v>2200626.9396992372</v>
      </c>
      <c r="AW811" s="2">
        <f t="shared" ca="1" si="791"/>
        <v>2475700.9972065073</v>
      </c>
      <c r="AX811" s="2">
        <f t="shared" ca="1" si="792"/>
        <v>2765135.560147725</v>
      </c>
      <c r="AY811" s="2">
        <f t="shared" ca="1" si="793"/>
        <v>3074946.4001706336</v>
      </c>
      <c r="AZ811" s="2">
        <f t="shared" ca="1" si="794"/>
        <v>3406568.0130848931</v>
      </c>
      <c r="BA811" s="2">
        <f t="shared" ca="1" si="795"/>
        <v>65434136.605073459</v>
      </c>
      <c r="BB811" s="2">
        <f t="shared" ca="1" si="796"/>
        <v>1308682.7321014693</v>
      </c>
      <c r="BC811" s="2">
        <f t="shared" ca="1" si="797"/>
        <v>39567368.4403712</v>
      </c>
      <c r="BD811" s="2">
        <f t="shared" ca="1" si="798"/>
        <v>-17895310.514758896</v>
      </c>
      <c r="BE811" s="2">
        <f t="shared" ca="1" si="799"/>
        <v>2200626.9396992372</v>
      </c>
      <c r="BF811" s="2">
        <f t="shared" ca="1" si="800"/>
        <v>2475700.9972065073</v>
      </c>
      <c r="BG811" s="2">
        <f t="shared" ca="1" si="801"/>
        <v>2765135.560147725</v>
      </c>
      <c r="BH811" s="2">
        <f t="shared" ca="1" si="802"/>
        <v>3074946.4001706336</v>
      </c>
      <c r="BI811" s="2">
        <f t="shared" ca="1" si="803"/>
        <v>42973936.453456096</v>
      </c>
      <c r="BJ811" s="2">
        <f t="shared" ca="1" si="804"/>
        <v>0.2852268906528741</v>
      </c>
      <c r="BK811" s="2">
        <f t="shared" ca="1" si="805"/>
        <v>14350067.186044801</v>
      </c>
    </row>
    <row r="812" spans="1:63" x14ac:dyDescent="0.3">
      <c r="A812" s="2">
        <v>811</v>
      </c>
      <c r="B812" s="2">
        <f t="shared" ca="1" si="744"/>
        <v>0.56236646175647487</v>
      </c>
      <c r="C812" s="2">
        <f t="shared" ca="1" si="745"/>
        <v>7.064442905811168</v>
      </c>
      <c r="D812" s="2">
        <f t="shared" ca="1" si="746"/>
        <v>0.92800699095026973</v>
      </c>
      <c r="E812" s="2">
        <f t="shared" ca="1" si="747"/>
        <v>8.1205451039985643</v>
      </c>
      <c r="F812" s="2">
        <f t="shared" ca="1" si="748"/>
        <v>0.52263775296186021</v>
      </c>
      <c r="G812" s="2">
        <f t="shared" ca="1" si="749"/>
        <v>4.170324754608723E-2</v>
      </c>
      <c r="H812" s="2">
        <f t="shared" ca="1" si="750"/>
        <v>4.170324754608723E-2</v>
      </c>
      <c r="I812" s="2">
        <f t="shared" ca="1" si="751"/>
        <v>0.52383009935666391</v>
      </c>
      <c r="J812" s="2">
        <f t="shared" ca="1" si="752"/>
        <v>1.0298843835786943E-2</v>
      </c>
      <c r="K812" s="2">
        <f t="shared" ca="1" si="753"/>
        <v>1.0298843835786943E-2</v>
      </c>
      <c r="L812" s="2">
        <f t="shared" ca="1" si="754"/>
        <v>0.98781267390862748</v>
      </c>
      <c r="M812" s="2">
        <f t="shared" ca="1" si="755"/>
        <v>4.5023437917521968E-2</v>
      </c>
      <c r="N812" s="2">
        <f t="shared" ca="1" si="756"/>
        <v>4.5023437917521968E-2</v>
      </c>
      <c r="O812" s="2">
        <f t="shared" si="757"/>
        <v>6000000</v>
      </c>
      <c r="P812" s="2">
        <f t="shared" ca="1" si="758"/>
        <v>42386657.43486701</v>
      </c>
      <c r="Q812" s="2">
        <f t="shared" ca="1" si="759"/>
        <v>1059666.4358716754</v>
      </c>
      <c r="R812" s="2">
        <f t="shared" ca="1" si="760"/>
        <v>25431994.460920203</v>
      </c>
      <c r="S812" s="2">
        <f t="shared" ca="1" si="761"/>
        <v>16954662.973946806</v>
      </c>
      <c r="T812" s="2">
        <f t="shared" ca="1" si="762"/>
        <v>52251171.895876102</v>
      </c>
      <c r="U812" s="2">
        <f t="shared" ca="1" si="763"/>
        <v>54430215.452022977</v>
      </c>
      <c r="V812" s="2">
        <f t="shared" ca="1" si="764"/>
        <v>56700132.201005556</v>
      </c>
      <c r="W812" s="2">
        <f t="shared" ca="1" si="765"/>
        <v>59064711.850079961</v>
      </c>
      <c r="X812" s="2">
        <f t="shared" ca="1" si="766"/>
        <v>61527902.14960216</v>
      </c>
      <c r="Y812" s="2">
        <f t="shared" ca="1" si="767"/>
        <v>0.12514942191789347</v>
      </c>
      <c r="Z812" s="2">
        <f t="shared" ca="1" si="768"/>
        <v>0.12720919068505085</v>
      </c>
      <c r="AA812" s="2">
        <f t="shared" ca="1" si="769"/>
        <v>6539203.9573013755</v>
      </c>
      <c r="AB812" s="2">
        <f t="shared" ca="1" si="770"/>
        <v>6924023.6564647919</v>
      </c>
      <c r="AC812" s="2">
        <f t="shared" ca="1" si="771"/>
        <v>7212777.9290253073</v>
      </c>
      <c r="AD812" s="2">
        <f t="shared" ca="1" si="772"/>
        <v>7513574.1924944045</v>
      </c>
      <c r="AE812" s="2">
        <f t="shared" ca="1" si="773"/>
        <v>7826914.6369998911</v>
      </c>
      <c r="AF812" s="2">
        <f t="shared" ca="1" si="774"/>
        <v>1045023.437917522</v>
      </c>
      <c r="AG812" s="2">
        <f t="shared" ca="1" si="775"/>
        <v>1088604.3090404596</v>
      </c>
      <c r="AH812" s="2">
        <f t="shared" ca="1" si="776"/>
        <v>1134002.6440201111</v>
      </c>
      <c r="AI812" s="2">
        <f t="shared" ca="1" si="777"/>
        <v>1181294.2370015993</v>
      </c>
      <c r="AJ812" s="2">
        <f t="shared" ca="1" si="778"/>
        <v>1230558.0429920433</v>
      </c>
      <c r="AK812" s="2">
        <f t="shared" ca="1" si="779"/>
        <v>0</v>
      </c>
      <c r="AL812" s="2">
        <f t="shared" ca="1" si="780"/>
        <v>21790.435561468752</v>
      </c>
      <c r="AM812" s="2">
        <f t="shared" ca="1" si="781"/>
        <v>22699.167489825784</v>
      </c>
      <c r="AN812" s="2">
        <f t="shared" ca="1" si="782"/>
        <v>23645.796490744055</v>
      </c>
      <c r="AO812" s="2">
        <f t="shared" ca="1" si="783"/>
        <v>24631.902995221986</v>
      </c>
      <c r="AP812" s="2">
        <f t="shared" ca="1" si="784"/>
        <v>2288879.5014828183</v>
      </c>
      <c r="AQ812" s="2">
        <f t="shared" ca="1" si="785"/>
        <v>833378.26465426909</v>
      </c>
      <c r="AR812" s="2">
        <f t="shared" ca="1" si="786"/>
        <v>922100.35994479363</v>
      </c>
      <c r="AS812" s="2">
        <f t="shared" ca="1" si="787"/>
        <v>985372.90371581819</v>
      </c>
      <c r="AT812" s="2">
        <f t="shared" ca="1" si="788"/>
        <v>1051284.1180425968</v>
      </c>
      <c r="AU812" s="2">
        <f t="shared" ca="1" si="789"/>
        <v>1119944.0440565078</v>
      </c>
      <c r="AV812" s="2">
        <f t="shared" ca="1" si="790"/>
        <v>2371922.7532467656</v>
      </c>
      <c r="AW812" s="2">
        <f t="shared" ca="1" si="791"/>
        <v>2602649.0504352516</v>
      </c>
      <c r="AX812" s="2">
        <f t="shared" ca="1" si="792"/>
        <v>2781823.7123167338</v>
      </c>
      <c r="AY812" s="2">
        <f t="shared" ca="1" si="793"/>
        <v>2968470.539476647</v>
      </c>
      <c r="AZ812" s="2">
        <f t="shared" ca="1" si="794"/>
        <v>3162901.1454732995</v>
      </c>
      <c r="BA812" s="2">
        <f t="shared" ca="1" si="795"/>
        <v>63558813.334904164</v>
      </c>
      <c r="BB812" s="2">
        <f t="shared" ca="1" si="796"/>
        <v>1271176.2666980834</v>
      </c>
      <c r="BC812" s="2">
        <f t="shared" ca="1" si="797"/>
        <v>36855642.60728588</v>
      </c>
      <c r="BD812" s="2">
        <f t="shared" ca="1" si="798"/>
        <v>-18514329.409818482</v>
      </c>
      <c r="BE812" s="2">
        <f t="shared" ca="1" si="799"/>
        <v>2371922.7532467656</v>
      </c>
      <c r="BF812" s="2">
        <f t="shared" ca="1" si="800"/>
        <v>2602649.0504352516</v>
      </c>
      <c r="BG812" s="2">
        <f t="shared" ca="1" si="801"/>
        <v>2781823.7123167338</v>
      </c>
      <c r="BH812" s="2">
        <f t="shared" ca="1" si="802"/>
        <v>2968470.539476647</v>
      </c>
      <c r="BI812" s="2">
        <f t="shared" ca="1" si="803"/>
        <v>40018543.752759181</v>
      </c>
      <c r="BJ812" s="2">
        <f t="shared" ca="1" si="804"/>
        <v>0.26291337678362336</v>
      </c>
      <c r="BK812" s="2">
        <f t="shared" ca="1" si="805"/>
        <v>12252434.967585139</v>
      </c>
    </row>
    <row r="813" spans="1:63" x14ac:dyDescent="0.3">
      <c r="A813" s="2">
        <v>812</v>
      </c>
      <c r="B813" s="2">
        <f t="shared" ca="1" si="744"/>
        <v>0.51132244859045495</v>
      </c>
      <c r="C813" s="2">
        <f t="shared" ca="1" si="745"/>
        <v>7.0113872837055506</v>
      </c>
      <c r="D813" s="2">
        <f t="shared" ca="1" si="746"/>
        <v>0.66922525579073144</v>
      </c>
      <c r="E813" s="2">
        <f t="shared" ca="1" si="747"/>
        <v>7.686643074401811</v>
      </c>
      <c r="F813" s="2">
        <f t="shared" ca="1" si="748"/>
        <v>0.79598191693511555</v>
      </c>
      <c r="G813" s="2">
        <f t="shared" ca="1" si="749"/>
        <v>6.4820634768571847E-2</v>
      </c>
      <c r="H813" s="2">
        <f t="shared" ca="1" si="750"/>
        <v>6.4820634768571847E-2</v>
      </c>
      <c r="I813" s="2">
        <f t="shared" ca="1" si="751"/>
        <v>0.18995653518439914</v>
      </c>
      <c r="J813" s="2">
        <f t="shared" ca="1" si="752"/>
        <v>5.6097176140182123E-3</v>
      </c>
      <c r="K813" s="2">
        <f t="shared" ca="1" si="753"/>
        <v>5.6097176140182123E-3</v>
      </c>
      <c r="L813" s="2">
        <f t="shared" ca="1" si="754"/>
        <v>0.38018739769642351</v>
      </c>
      <c r="M813" s="2">
        <f t="shared" ca="1" si="755"/>
        <v>-6.099773035729371E-3</v>
      </c>
      <c r="N813" s="2">
        <f t="shared" ca="1" si="756"/>
        <v>-6.099773035729371E-3</v>
      </c>
      <c r="O813" s="2">
        <f t="shared" si="757"/>
        <v>6000000</v>
      </c>
      <c r="P813" s="2">
        <f t="shared" ca="1" si="758"/>
        <v>42068323.702233307</v>
      </c>
      <c r="Q813" s="2">
        <f t="shared" ca="1" si="759"/>
        <v>1051708.0925558328</v>
      </c>
      <c r="R813" s="2">
        <f t="shared" ca="1" si="760"/>
        <v>25240994.221339982</v>
      </c>
      <c r="S813" s="2">
        <f t="shared" ca="1" si="761"/>
        <v>16827329.480893325</v>
      </c>
      <c r="T813" s="2">
        <f t="shared" ca="1" si="762"/>
        <v>49695011.348213531</v>
      </c>
      <c r="U813" s="2">
        <f t="shared" ca="1" si="763"/>
        <v>52916273.528636113</v>
      </c>
      <c r="V813" s="2">
        <f t="shared" ca="1" si="764"/>
        <v>56346339.96834968</v>
      </c>
      <c r="W813" s="2">
        <f t="shared" ca="1" si="765"/>
        <v>59998745.491983853</v>
      </c>
      <c r="X813" s="2">
        <f t="shared" ca="1" si="766"/>
        <v>63887902.260092236</v>
      </c>
      <c r="Y813" s="2">
        <f t="shared" ca="1" si="767"/>
        <v>0.1228048588070091</v>
      </c>
      <c r="Z813" s="2">
        <f t="shared" ca="1" si="768"/>
        <v>0.12392680232981275</v>
      </c>
      <c r="AA813" s="2">
        <f t="shared" ca="1" si="769"/>
        <v>6102788.8520300779</v>
      </c>
      <c r="AB813" s="2">
        <f t="shared" ca="1" si="770"/>
        <v>6557744.5696135908</v>
      </c>
      <c r="AC813" s="2">
        <f t="shared" ca="1" si="771"/>
        <v>6982821.7352660988</v>
      </c>
      <c r="AD813" s="2">
        <f t="shared" ca="1" si="772"/>
        <v>7435452.6726218266</v>
      </c>
      <c r="AE813" s="2">
        <f t="shared" ca="1" si="773"/>
        <v>7917423.4346528482</v>
      </c>
      <c r="AF813" s="2">
        <f t="shared" ca="1" si="774"/>
        <v>993900.2269642707</v>
      </c>
      <c r="AG813" s="2">
        <f t="shared" ca="1" si="775"/>
        <v>1058325.4705727224</v>
      </c>
      <c r="AH813" s="2">
        <f t="shared" ca="1" si="776"/>
        <v>1126926.7993669936</v>
      </c>
      <c r="AI813" s="2">
        <f t="shared" ca="1" si="777"/>
        <v>1199974.9098396772</v>
      </c>
      <c r="AJ813" s="2">
        <f t="shared" ca="1" si="778"/>
        <v>1277758.0452018448</v>
      </c>
      <c r="AK813" s="2">
        <f t="shared" ca="1" si="779"/>
        <v>0</v>
      </c>
      <c r="AL813" s="2">
        <f t="shared" ca="1" si="780"/>
        <v>32212.621804225819</v>
      </c>
      <c r="AM813" s="2">
        <f t="shared" ca="1" si="781"/>
        <v>34300.664397135675</v>
      </c>
      <c r="AN813" s="2">
        <f t="shared" ca="1" si="782"/>
        <v>36524.05523634173</v>
      </c>
      <c r="AO813" s="2">
        <f t="shared" ca="1" si="783"/>
        <v>38891.567681083827</v>
      </c>
      <c r="AP813" s="2">
        <f t="shared" ca="1" si="784"/>
        <v>2271689.4799205982</v>
      </c>
      <c r="AQ813" s="2">
        <f t="shared" ca="1" si="785"/>
        <v>737671.7777377544</v>
      </c>
      <c r="AR813" s="2">
        <f t="shared" ca="1" si="786"/>
        <v>839209.70097127033</v>
      </c>
      <c r="AS813" s="2">
        <f t="shared" ca="1" si="787"/>
        <v>931893.41855441174</v>
      </c>
      <c r="AT813" s="2">
        <f t="shared" ca="1" si="788"/>
        <v>1030584.9535440032</v>
      </c>
      <c r="AU813" s="2">
        <f t="shared" ca="1" si="789"/>
        <v>1135673.7364779054</v>
      </c>
      <c r="AV813" s="2">
        <f t="shared" ca="1" si="790"/>
        <v>2099527.3674074546</v>
      </c>
      <c r="AW813" s="2">
        <f t="shared" ca="1" si="791"/>
        <v>2356307.2963447743</v>
      </c>
      <c r="AX813" s="2">
        <f t="shared" ca="1" si="792"/>
        <v>2618011.3730269591</v>
      </c>
      <c r="AY813" s="2">
        <f t="shared" ca="1" si="793"/>
        <v>2896679.2740812064</v>
      </c>
      <c r="AZ813" s="2">
        <f t="shared" ca="1" si="794"/>
        <v>3193410.605371417</v>
      </c>
      <c r="BA813" s="2">
        <f t="shared" ca="1" si="795"/>
        <v>60858408.011080913</v>
      </c>
      <c r="BB813" s="2">
        <f t="shared" ca="1" si="796"/>
        <v>1217168.1602216184</v>
      </c>
      <c r="BC813" s="2">
        <f t="shared" ca="1" si="797"/>
        <v>34400245.629519314</v>
      </c>
      <c r="BD813" s="2">
        <f t="shared" ca="1" si="798"/>
        <v>-18379037.573449157</v>
      </c>
      <c r="BE813" s="2">
        <f t="shared" ca="1" si="799"/>
        <v>2099527.3674074546</v>
      </c>
      <c r="BF813" s="2">
        <f t="shared" ca="1" si="800"/>
        <v>2356307.2963447743</v>
      </c>
      <c r="BG813" s="2">
        <f t="shared" ca="1" si="801"/>
        <v>2618011.3730269591</v>
      </c>
      <c r="BH813" s="2">
        <f t="shared" ca="1" si="802"/>
        <v>2896679.2740812064</v>
      </c>
      <c r="BI813" s="2">
        <f t="shared" ca="1" si="803"/>
        <v>37593656.234890729</v>
      </c>
      <c r="BJ813" s="2">
        <f t="shared" ca="1" si="804"/>
        <v>0.24431460089994772</v>
      </c>
      <c r="BK813" s="2">
        <f t="shared" ca="1" si="805"/>
        <v>10409965.165660094</v>
      </c>
    </row>
    <row r="814" spans="1:63" x14ac:dyDescent="0.3">
      <c r="A814" s="2">
        <v>813</v>
      </c>
      <c r="B814" s="2">
        <f t="shared" ca="1" si="744"/>
        <v>0.98960117701563999</v>
      </c>
      <c r="C814" s="2">
        <f t="shared" ca="1" si="745"/>
        <v>7.8557861103474425</v>
      </c>
      <c r="D814" s="2">
        <f t="shared" ca="1" si="746"/>
        <v>0.93956206292913413</v>
      </c>
      <c r="E814" s="2">
        <f t="shared" ca="1" si="747"/>
        <v>8.1523279215385109</v>
      </c>
      <c r="F814" s="2">
        <f t="shared" ca="1" si="748"/>
        <v>0.75576600612873823</v>
      </c>
      <c r="G814" s="2">
        <f t="shared" ca="1" si="749"/>
        <v>6.0782426746882647E-2</v>
      </c>
      <c r="H814" s="2">
        <f t="shared" ca="1" si="750"/>
        <v>6.0782426746882647E-2</v>
      </c>
      <c r="I814" s="2">
        <f t="shared" ca="1" si="751"/>
        <v>0.33809321396243186</v>
      </c>
      <c r="J814" s="2">
        <f t="shared" ca="1" si="752"/>
        <v>7.9116364517069302E-3</v>
      </c>
      <c r="K814" s="2">
        <f t="shared" ca="1" si="753"/>
        <v>7.9116364517069302E-3</v>
      </c>
      <c r="L814" s="2">
        <f t="shared" ca="1" si="754"/>
        <v>0.11863196868707493</v>
      </c>
      <c r="M814" s="2">
        <f t="shared" ca="1" si="755"/>
        <v>-2.3637064856936098E-2</v>
      </c>
      <c r="N814" s="2">
        <f t="shared" ca="1" si="756"/>
        <v>-2.3637064856936098E-2</v>
      </c>
      <c r="O814" s="2">
        <f t="shared" si="757"/>
        <v>6000000</v>
      </c>
      <c r="P814" s="2">
        <f t="shared" ca="1" si="758"/>
        <v>47134716.662084654</v>
      </c>
      <c r="Q814" s="2">
        <f t="shared" ca="1" si="759"/>
        <v>1178367.9165521164</v>
      </c>
      <c r="R814" s="2">
        <f t="shared" ca="1" si="760"/>
        <v>28280829.997250792</v>
      </c>
      <c r="S814" s="2">
        <f t="shared" ca="1" si="761"/>
        <v>18853886.664833862</v>
      </c>
      <c r="T814" s="2">
        <f t="shared" ca="1" si="762"/>
        <v>48818146.757153198</v>
      </c>
      <c r="U814" s="2">
        <f t="shared" ca="1" si="763"/>
        <v>51785432.186338425</v>
      </c>
      <c r="V814" s="2">
        <f t="shared" ca="1" si="764"/>
        <v>54933076.4247602</v>
      </c>
      <c r="W814" s="2">
        <f t="shared" ca="1" si="765"/>
        <v>58272042.118529089</v>
      </c>
      <c r="X814" s="2">
        <f t="shared" ca="1" si="766"/>
        <v>61813958.249989845</v>
      </c>
      <c r="Y814" s="2">
        <f t="shared" ca="1" si="767"/>
        <v>0.12395581822585346</v>
      </c>
      <c r="Z814" s="2">
        <f t="shared" ca="1" si="768"/>
        <v>0.12553814551619485</v>
      </c>
      <c r="AA814" s="2">
        <f t="shared" ca="1" si="769"/>
        <v>6051293.3255527196</v>
      </c>
      <c r="AB814" s="2">
        <f t="shared" ca="1" si="770"/>
        <v>6501047.1214275938</v>
      </c>
      <c r="AC814" s="2">
        <f t="shared" ca="1" si="771"/>
        <v>6896196.5418637991</v>
      </c>
      <c r="AD814" s="2">
        <f t="shared" ca="1" si="772"/>
        <v>7315364.1030017398</v>
      </c>
      <c r="AE814" s="2">
        <f t="shared" ca="1" si="773"/>
        <v>7760009.685719219</v>
      </c>
      <c r="AF814" s="2">
        <f t="shared" ca="1" si="774"/>
        <v>976362.93514306401</v>
      </c>
      <c r="AG814" s="2">
        <f t="shared" ca="1" si="775"/>
        <v>1035708.6437267686</v>
      </c>
      <c r="AH814" s="2">
        <f t="shared" ca="1" si="776"/>
        <v>1098661.5284952039</v>
      </c>
      <c r="AI814" s="2">
        <f t="shared" ca="1" si="777"/>
        <v>1165440.8423705818</v>
      </c>
      <c r="AJ814" s="2">
        <f t="shared" ca="1" si="778"/>
        <v>1236279.164999797</v>
      </c>
      <c r="AK814" s="2">
        <f t="shared" ca="1" si="779"/>
        <v>0</v>
      </c>
      <c r="AL814" s="2">
        <f t="shared" ca="1" si="780"/>
        <v>29672.854291852265</v>
      </c>
      <c r="AM814" s="2">
        <f t="shared" ca="1" si="781"/>
        <v>31476.442384217753</v>
      </c>
      <c r="AN814" s="2">
        <f t="shared" ca="1" si="782"/>
        <v>33389.656937688887</v>
      </c>
      <c r="AO814" s="2">
        <f t="shared" ca="1" si="783"/>
        <v>35419.161314607562</v>
      </c>
      <c r="AP814" s="2">
        <f t="shared" ca="1" si="784"/>
        <v>2545274.6997525711</v>
      </c>
      <c r="AQ814" s="2">
        <f t="shared" ca="1" si="785"/>
        <v>657710.47957084212</v>
      </c>
      <c r="AR814" s="2">
        <f t="shared" ca="1" si="786"/>
        <v>759216.58226654597</v>
      </c>
      <c r="AS814" s="2">
        <f t="shared" ca="1" si="787"/>
        <v>845587.68154016638</v>
      </c>
      <c r="AT814" s="2">
        <f t="shared" ca="1" si="788"/>
        <v>937208.62582843262</v>
      </c>
      <c r="AU814" s="2">
        <f t="shared" ca="1" si="789"/>
        <v>1034398.5134513812</v>
      </c>
      <c r="AV814" s="2">
        <f t="shared" ca="1" si="790"/>
        <v>1871945.2110862425</v>
      </c>
      <c r="AW814" s="2">
        <f t="shared" ca="1" si="791"/>
        <v>2131174.3413898554</v>
      </c>
      <c r="AX814" s="2">
        <f t="shared" ca="1" si="792"/>
        <v>2375196.1896916404</v>
      </c>
      <c r="AY814" s="2">
        <f t="shared" ca="1" si="793"/>
        <v>2634050.2781124655</v>
      </c>
      <c r="AZ814" s="2">
        <f t="shared" ca="1" si="794"/>
        <v>2908638.1462008618</v>
      </c>
      <c r="BA814" s="2">
        <f t="shared" ca="1" si="795"/>
        <v>63262143.632298075</v>
      </c>
      <c r="BB814" s="2">
        <f t="shared" ca="1" si="796"/>
        <v>1265242.8726459616</v>
      </c>
      <c r="BC814" s="2">
        <f t="shared" ca="1" si="797"/>
        <v>33716070.762401327</v>
      </c>
      <c r="BD814" s="2">
        <f t="shared" ca="1" si="798"/>
        <v>-20532254.581385978</v>
      </c>
      <c r="BE814" s="2">
        <f t="shared" ca="1" si="799"/>
        <v>1871945.2110862425</v>
      </c>
      <c r="BF814" s="2">
        <f t="shared" ca="1" si="800"/>
        <v>2131174.3413898554</v>
      </c>
      <c r="BG814" s="2">
        <f t="shared" ca="1" si="801"/>
        <v>2375196.1896916404</v>
      </c>
      <c r="BH814" s="2">
        <f t="shared" ca="1" si="802"/>
        <v>2634050.2781124655</v>
      </c>
      <c r="BI814" s="2">
        <f t="shared" ca="1" si="803"/>
        <v>36624708.908602193</v>
      </c>
      <c r="BJ814" s="2">
        <f t="shared" ca="1" si="804"/>
        <v>0.19823653344598768</v>
      </c>
      <c r="BK814" s="2">
        <f t="shared" ca="1" si="805"/>
        <v>6984531.9296084531</v>
      </c>
    </row>
    <row r="815" spans="1:63" x14ac:dyDescent="0.3">
      <c r="A815" s="2">
        <v>814</v>
      </c>
      <c r="B815" s="2">
        <f t="shared" ca="1" si="744"/>
        <v>0.8581071678393366</v>
      </c>
      <c r="C815" s="2">
        <f t="shared" ca="1" si="745"/>
        <v>7.4672846310445635</v>
      </c>
      <c r="D815" s="2">
        <f t="shared" ca="1" si="746"/>
        <v>0.19828930085595109</v>
      </c>
      <c r="E815" s="2">
        <f t="shared" ca="1" si="747"/>
        <v>7.1297448703339334</v>
      </c>
      <c r="F815" s="2">
        <f t="shared" ca="1" si="748"/>
        <v>0.22308582166206403</v>
      </c>
      <c r="G815" s="2">
        <f t="shared" ca="1" si="749"/>
        <v>1.7145611152409281E-2</v>
      </c>
      <c r="H815" s="2">
        <f t="shared" ca="1" si="750"/>
        <v>1.7145611152409281E-2</v>
      </c>
      <c r="I815" s="2">
        <f t="shared" ca="1" si="751"/>
        <v>0.98964664038833861</v>
      </c>
      <c r="J815" s="2">
        <f t="shared" ca="1" si="752"/>
        <v>2.1566448262420553E-2</v>
      </c>
      <c r="K815" s="2">
        <f t="shared" ca="1" si="753"/>
        <v>2.1566448262420553E-2</v>
      </c>
      <c r="L815" s="2">
        <f t="shared" ca="1" si="754"/>
        <v>0.26910143287062416</v>
      </c>
      <c r="M815" s="2">
        <f t="shared" ca="1" si="755"/>
        <v>-1.2310657490850007E-2</v>
      </c>
      <c r="N815" s="2">
        <f t="shared" ca="1" si="756"/>
        <v>-1.2310657490850007E-2</v>
      </c>
      <c r="O815" s="2">
        <f t="shared" si="757"/>
        <v>6000000</v>
      </c>
      <c r="P815" s="2">
        <f t="shared" ca="1" si="758"/>
        <v>44803707.786267377</v>
      </c>
      <c r="Q815" s="2">
        <f t="shared" ca="1" si="759"/>
        <v>1120092.6946566845</v>
      </c>
      <c r="R815" s="2">
        <f t="shared" ca="1" si="760"/>
        <v>26882224.671760425</v>
      </c>
      <c r="S815" s="2">
        <f t="shared" ca="1" si="761"/>
        <v>17921483.114506952</v>
      </c>
      <c r="T815" s="2">
        <f t="shared" ca="1" si="762"/>
        <v>49384467.125457495</v>
      </c>
      <c r="U815" s="2">
        <f t="shared" ca="1" si="763"/>
        <v>50231193.995759532</v>
      </c>
      <c r="V815" s="2">
        <f t="shared" ca="1" si="764"/>
        <v>51092438.515732065</v>
      </c>
      <c r="W815" s="2">
        <f t="shared" ca="1" si="765"/>
        <v>51968449.59935119</v>
      </c>
      <c r="X815" s="2">
        <f t="shared" ca="1" si="766"/>
        <v>52859480.428375244</v>
      </c>
      <c r="Y815" s="2">
        <f t="shared" ca="1" si="767"/>
        <v>0.13078322413121027</v>
      </c>
      <c r="Z815" s="2">
        <f t="shared" ca="1" si="768"/>
        <v>0.13509651378369439</v>
      </c>
      <c r="AA815" s="2">
        <f t="shared" ca="1" si="769"/>
        <v>6458659.8326690933</v>
      </c>
      <c r="AB815" s="2">
        <f t="shared" ca="1" si="770"/>
        <v>6786059.1920195548</v>
      </c>
      <c r="AC815" s="2">
        <f t="shared" ca="1" si="771"/>
        <v>6902410.3241831549</v>
      </c>
      <c r="AD815" s="2">
        <f t="shared" ca="1" si="772"/>
        <v>7020756.3676159754</v>
      </c>
      <c r="AE815" s="2">
        <f t="shared" ca="1" si="773"/>
        <v>7141131.5262909196</v>
      </c>
      <c r="AF815" s="2">
        <f t="shared" ca="1" si="774"/>
        <v>987689.34250914992</v>
      </c>
      <c r="AG815" s="2">
        <f t="shared" ca="1" si="775"/>
        <v>1004623.8799151906</v>
      </c>
      <c r="AH815" s="2">
        <f t="shared" ca="1" si="776"/>
        <v>1021848.7703146413</v>
      </c>
      <c r="AI815" s="2">
        <f t="shared" ca="1" si="777"/>
        <v>1039368.9919870239</v>
      </c>
      <c r="AJ815" s="2">
        <f t="shared" ca="1" si="778"/>
        <v>1057189.6085675049</v>
      </c>
      <c r="AK815" s="2">
        <f t="shared" ca="1" si="779"/>
        <v>0</v>
      </c>
      <c r="AL815" s="2">
        <f t="shared" ca="1" si="780"/>
        <v>8467.2687030203633</v>
      </c>
      <c r="AM815" s="2">
        <f t="shared" ca="1" si="781"/>
        <v>8612.4451997253309</v>
      </c>
      <c r="AN815" s="2">
        <f t="shared" ca="1" si="782"/>
        <v>8760.110836191252</v>
      </c>
      <c r="AO815" s="2">
        <f t="shared" ca="1" si="783"/>
        <v>8910.3082902405422</v>
      </c>
      <c r="AP815" s="2">
        <f t="shared" ca="1" si="784"/>
        <v>2419400.2204584382</v>
      </c>
      <c r="AQ815" s="2">
        <f t="shared" ca="1" si="785"/>
        <v>793408.27012239152</v>
      </c>
      <c r="AR815" s="2">
        <f t="shared" ca="1" si="786"/>
        <v>874129.12382794078</v>
      </c>
      <c r="AS815" s="2">
        <f t="shared" ca="1" si="787"/>
        <v>899901.94668661966</v>
      </c>
      <c r="AT815" s="2">
        <f t="shared" ca="1" si="788"/>
        <v>926116.66034433362</v>
      </c>
      <c r="AU815" s="2">
        <f t="shared" ca="1" si="789"/>
        <v>952780.84128889383</v>
      </c>
      <c r="AV815" s="2">
        <f t="shared" ca="1" si="790"/>
        <v>2258161.9995791144</v>
      </c>
      <c r="AW815" s="2">
        <f t="shared" ca="1" si="791"/>
        <v>2479438.6991149648</v>
      </c>
      <c r="AX815" s="2">
        <f t="shared" ca="1" si="792"/>
        <v>2552646.9415237303</v>
      </c>
      <c r="AY815" s="2">
        <f t="shared" ca="1" si="793"/>
        <v>2627110.3839899893</v>
      </c>
      <c r="AZ815" s="2">
        <f t="shared" ca="1" si="794"/>
        <v>2702850.5476858425</v>
      </c>
      <c r="BA815" s="2">
        <f t="shared" ca="1" si="795"/>
        <v>50914445.867952615</v>
      </c>
      <c r="BB815" s="2">
        <f t="shared" ca="1" si="796"/>
        <v>1018288.9173590523</v>
      </c>
      <c r="BC815" s="2">
        <f t="shared" ca="1" si="797"/>
        <v>23013932.278833136</v>
      </c>
      <c r="BD815" s="2">
        <f t="shared" ca="1" si="798"/>
        <v>-19541575.809163637</v>
      </c>
      <c r="BE815" s="2">
        <f t="shared" ca="1" si="799"/>
        <v>2258161.9995791144</v>
      </c>
      <c r="BF815" s="2">
        <f t="shared" ca="1" si="800"/>
        <v>2479438.6991149648</v>
      </c>
      <c r="BG815" s="2">
        <f t="shared" ca="1" si="801"/>
        <v>2552646.9415237303</v>
      </c>
      <c r="BH815" s="2">
        <f t="shared" ca="1" si="802"/>
        <v>2627110.3839899893</v>
      </c>
      <c r="BI815" s="2">
        <f t="shared" ca="1" si="803"/>
        <v>25716782.826518979</v>
      </c>
      <c r="BJ815" s="2">
        <f t="shared" ca="1" si="804"/>
        <v>0.15378441597113301</v>
      </c>
      <c r="BK815" s="2">
        <f t="shared" ca="1" si="805"/>
        <v>2530126.6466449946</v>
      </c>
    </row>
    <row r="816" spans="1:63" x14ac:dyDescent="0.3">
      <c r="A816" s="2">
        <v>815</v>
      </c>
      <c r="B816" s="2">
        <f t="shared" ca="1" si="744"/>
        <v>0.74996527672890578</v>
      </c>
      <c r="C816" s="2">
        <f t="shared" ca="1" si="745"/>
        <v>7.292844114397548</v>
      </c>
      <c r="D816" s="2">
        <f t="shared" ca="1" si="746"/>
        <v>2.255962878507356E-2</v>
      </c>
      <c r="E816" s="2">
        <f t="shared" ca="1" si="747"/>
        <v>6.7124129411550699</v>
      </c>
      <c r="F816" s="2">
        <f t="shared" ca="1" si="748"/>
        <v>0.52241344547007296</v>
      </c>
      <c r="G816" s="2">
        <f t="shared" ca="1" si="749"/>
        <v>4.1686352942786963E-2</v>
      </c>
      <c r="H816" s="2">
        <f t="shared" ca="1" si="750"/>
        <v>4.1686352942786963E-2</v>
      </c>
      <c r="I816" s="2">
        <f t="shared" ca="1" si="751"/>
        <v>0.10867917530242577</v>
      </c>
      <c r="J816" s="2">
        <f t="shared" ca="1" si="752"/>
        <v>3.8320852638925856E-3</v>
      </c>
      <c r="K816" s="2">
        <f t="shared" ca="1" si="753"/>
        <v>3.8320852638925856E-3</v>
      </c>
      <c r="L816" s="2">
        <f t="shared" ca="1" si="754"/>
        <v>0.22364815100647573</v>
      </c>
      <c r="M816" s="2">
        <f t="shared" ca="1" si="755"/>
        <v>-1.5198604219370589E-2</v>
      </c>
      <c r="N816" s="2">
        <f t="shared" ca="1" si="756"/>
        <v>-1.5198604219370589E-2</v>
      </c>
      <c r="O816" s="2">
        <f t="shared" si="757"/>
        <v>6000000</v>
      </c>
      <c r="P816" s="2">
        <f t="shared" ca="1" si="758"/>
        <v>43757064.686385289</v>
      </c>
      <c r="Q816" s="2">
        <f t="shared" ca="1" si="759"/>
        <v>1093926.6171596323</v>
      </c>
      <c r="R816" s="2">
        <f t="shared" ca="1" si="760"/>
        <v>26254238.811831173</v>
      </c>
      <c r="S816" s="2">
        <f t="shared" ca="1" si="761"/>
        <v>17502825.874554116</v>
      </c>
      <c r="T816" s="2">
        <f t="shared" ca="1" si="762"/>
        <v>49240069.789031468</v>
      </c>
      <c r="U816" s="2">
        <f t="shared" ca="1" si="763"/>
        <v>51292708.717184491</v>
      </c>
      <c r="V816" s="2">
        <f t="shared" ca="1" si="764"/>
        <v>53430914.676160604</v>
      </c>
      <c r="W816" s="2">
        <f t="shared" ca="1" si="765"/>
        <v>55658254.643406965</v>
      </c>
      <c r="X816" s="2">
        <f t="shared" ca="1" si="766"/>
        <v>57978444.290651537</v>
      </c>
      <c r="Y816" s="2">
        <f t="shared" ca="1" si="767"/>
        <v>0.12191604263194629</v>
      </c>
      <c r="Z816" s="2">
        <f t="shared" ca="1" si="768"/>
        <v>0.1226824596847248</v>
      </c>
      <c r="AA816" s="2">
        <f t="shared" ca="1" si="769"/>
        <v>6003154.4475995712</v>
      </c>
      <c r="AB816" s="2">
        <f t="shared" ca="1" si="770"/>
        <v>6292715.6693163188</v>
      </c>
      <c r="AC816" s="2">
        <f t="shared" ca="1" si="771"/>
        <v>6555036.0356760435</v>
      </c>
      <c r="AD816" s="2">
        <f t="shared" ca="1" si="772"/>
        <v>6828291.5814119214</v>
      </c>
      <c r="AE816" s="2">
        <f t="shared" ca="1" si="773"/>
        <v>7112938.15427092</v>
      </c>
      <c r="AF816" s="2">
        <f t="shared" ca="1" si="774"/>
        <v>984801.39578062936</v>
      </c>
      <c r="AG816" s="2">
        <f t="shared" ca="1" si="775"/>
        <v>1025854.1743436898</v>
      </c>
      <c r="AH816" s="2">
        <f t="shared" ca="1" si="776"/>
        <v>1068618.2935232122</v>
      </c>
      <c r="AI816" s="2">
        <f t="shared" ca="1" si="777"/>
        <v>1113165.0928681393</v>
      </c>
      <c r="AJ816" s="2">
        <f t="shared" ca="1" si="778"/>
        <v>1159568.8858130309</v>
      </c>
      <c r="AK816" s="2">
        <f t="shared" ca="1" si="779"/>
        <v>0</v>
      </c>
      <c r="AL816" s="2">
        <f t="shared" ca="1" si="780"/>
        <v>20526.389281530232</v>
      </c>
      <c r="AM816" s="2">
        <f t="shared" ca="1" si="781"/>
        <v>21382.059589761124</v>
      </c>
      <c r="AN816" s="2">
        <f t="shared" ca="1" si="782"/>
        <v>22273.399672463613</v>
      </c>
      <c r="AO816" s="2">
        <f t="shared" ca="1" si="783"/>
        <v>23201.896472445726</v>
      </c>
      <c r="AP816" s="2">
        <f t="shared" ca="1" si="784"/>
        <v>2362881.4930648054</v>
      </c>
      <c r="AQ816" s="2">
        <f t="shared" ca="1" si="785"/>
        <v>690422.60527607542</v>
      </c>
      <c r="AR816" s="2">
        <f t="shared" ca="1" si="786"/>
        <v>755034.80049603432</v>
      </c>
      <c r="AS816" s="2">
        <f t="shared" ca="1" si="787"/>
        <v>812119.42476288683</v>
      </c>
      <c r="AT816" s="2">
        <f t="shared" ca="1" si="788"/>
        <v>871583.69882453408</v>
      </c>
      <c r="AU816" s="2">
        <f t="shared" ca="1" si="789"/>
        <v>933526.8216022019</v>
      </c>
      <c r="AV816" s="2">
        <f t="shared" ca="1" si="790"/>
        <v>1965048.9534780611</v>
      </c>
      <c r="AW816" s="2">
        <f t="shared" ca="1" si="791"/>
        <v>2128418.8121302598</v>
      </c>
      <c r="AX816" s="2">
        <f t="shared" ca="1" si="792"/>
        <v>2290034.7647353779</v>
      </c>
      <c r="AY816" s="2">
        <f t="shared" ca="1" si="793"/>
        <v>2458387.8969819793</v>
      </c>
      <c r="AZ816" s="2">
        <f t="shared" ca="1" si="794"/>
        <v>2633759.0573184364</v>
      </c>
      <c r="BA816" s="2">
        <f t="shared" ca="1" si="795"/>
        <v>47744978.116363779</v>
      </c>
      <c r="BB816" s="2">
        <f t="shared" ca="1" si="796"/>
        <v>954899.56232727563</v>
      </c>
      <c r="BC816" s="2">
        <f t="shared" ca="1" si="797"/>
        <v>20535839.742205329</v>
      </c>
      <c r="BD816" s="2">
        <f t="shared" ca="1" si="798"/>
        <v>-19096752.491713747</v>
      </c>
      <c r="BE816" s="2">
        <f t="shared" ca="1" si="799"/>
        <v>1965048.9534780611</v>
      </c>
      <c r="BF816" s="2">
        <f t="shared" ca="1" si="800"/>
        <v>2128418.8121302598</v>
      </c>
      <c r="BG816" s="2">
        <f t="shared" ca="1" si="801"/>
        <v>2290034.7647353779</v>
      </c>
      <c r="BH816" s="2">
        <f t="shared" ca="1" si="802"/>
        <v>2458387.8969819793</v>
      </c>
      <c r="BI816" s="2">
        <f t="shared" ca="1" si="803"/>
        <v>23169598.799523767</v>
      </c>
      <c r="BJ816" s="2">
        <f t="shared" ca="1" si="804"/>
        <v>0.12970613242503171</v>
      </c>
      <c r="BK816" s="2">
        <f t="shared" ca="1" si="805"/>
        <v>693922.0080413036</v>
      </c>
    </row>
    <row r="817" spans="1:63" x14ac:dyDescent="0.3">
      <c r="A817" s="2">
        <v>816</v>
      </c>
      <c r="B817" s="2">
        <f t="shared" ca="1" si="744"/>
        <v>0.51934618881487049</v>
      </c>
      <c r="C817" s="2">
        <f t="shared" ca="1" si="745"/>
        <v>7.0195370367167058</v>
      </c>
      <c r="D817" s="2">
        <f t="shared" ca="1" si="746"/>
        <v>0.66478125955892442</v>
      </c>
      <c r="E817" s="2">
        <f t="shared" ca="1" si="747"/>
        <v>7.6811975324401178</v>
      </c>
      <c r="F817" s="2">
        <f t="shared" ca="1" si="748"/>
        <v>0.62319595294476182</v>
      </c>
      <c r="G817" s="2">
        <f t="shared" ca="1" si="749"/>
        <v>4.9416561423664691E-2</v>
      </c>
      <c r="H817" s="2">
        <f t="shared" ca="1" si="750"/>
        <v>4.9416561423664691E-2</v>
      </c>
      <c r="I817" s="2">
        <f t="shared" ca="1" si="751"/>
        <v>0.12251033882273543</v>
      </c>
      <c r="J817" s="2">
        <f t="shared" ca="1" si="752"/>
        <v>4.1873553162165679E-3</v>
      </c>
      <c r="K817" s="2">
        <f t="shared" ca="1" si="753"/>
        <v>4.1873553162165679E-3</v>
      </c>
      <c r="L817" s="2">
        <f t="shared" ca="1" si="754"/>
        <v>8.1101743476943877E-2</v>
      </c>
      <c r="M817" s="2">
        <f t="shared" ca="1" si="755"/>
        <v>-2.7953979183795715E-2</v>
      </c>
      <c r="N817" s="2">
        <f t="shared" ca="1" si="756"/>
        <v>-2.7953979183795715E-2</v>
      </c>
      <c r="O817" s="2">
        <f t="shared" si="757"/>
        <v>6000000</v>
      </c>
      <c r="P817" s="2">
        <f t="shared" ca="1" si="758"/>
        <v>42117222.220300235</v>
      </c>
      <c r="Q817" s="2">
        <f t="shared" ca="1" si="759"/>
        <v>1052930.555507506</v>
      </c>
      <c r="R817" s="2">
        <f t="shared" ca="1" si="760"/>
        <v>25270333.332180139</v>
      </c>
      <c r="S817" s="2">
        <f t="shared" ca="1" si="761"/>
        <v>16846888.888120096</v>
      </c>
      <c r="T817" s="2">
        <f t="shared" ca="1" si="762"/>
        <v>48602301.040810212</v>
      </c>
      <c r="U817" s="2">
        <f t="shared" ca="1" si="763"/>
        <v>51004059.635524854</v>
      </c>
      <c r="V817" s="2">
        <f t="shared" ca="1" si="764"/>
        <v>53524504.881360032</v>
      </c>
      <c r="W817" s="2">
        <f t="shared" ca="1" si="765"/>
        <v>56169501.864501007</v>
      </c>
      <c r="X817" s="2">
        <f t="shared" ca="1" si="766"/>
        <v>58945205.503524773</v>
      </c>
      <c r="Y817" s="2">
        <f t="shared" ca="1" si="767"/>
        <v>0.12209367765810827</v>
      </c>
      <c r="Z817" s="2">
        <f t="shared" ca="1" si="768"/>
        <v>0.12293114872135159</v>
      </c>
      <c r="AA817" s="2">
        <f t="shared" ca="1" si="769"/>
        <v>5934033.676719022</v>
      </c>
      <c r="AB817" s="2">
        <f t="shared" ca="1" si="770"/>
        <v>6269987.6404473912</v>
      </c>
      <c r="AC817" s="2">
        <f t="shared" ca="1" si="771"/>
        <v>6579828.8698071791</v>
      </c>
      <c r="AD817" s="2">
        <f t="shared" ca="1" si="772"/>
        <v>6904981.3873092085</v>
      </c>
      <c r="AE817" s="2">
        <f t="shared" ca="1" si="773"/>
        <v>7246201.8241644362</v>
      </c>
      <c r="AF817" s="2">
        <f t="shared" ca="1" si="774"/>
        <v>972046.02081620425</v>
      </c>
      <c r="AG817" s="2">
        <f t="shared" ca="1" si="775"/>
        <v>1020081.1927104971</v>
      </c>
      <c r="AH817" s="2">
        <f t="shared" ca="1" si="776"/>
        <v>1070490.0976272007</v>
      </c>
      <c r="AI817" s="2">
        <f t="shared" ca="1" si="777"/>
        <v>1123390.0372900201</v>
      </c>
      <c r="AJ817" s="2">
        <f t="shared" ca="1" si="778"/>
        <v>1178904.1100704954</v>
      </c>
      <c r="AK817" s="2">
        <f t="shared" ca="1" si="779"/>
        <v>0</v>
      </c>
      <c r="AL817" s="2">
        <f t="shared" ca="1" si="780"/>
        <v>24017.585947146417</v>
      </c>
      <c r="AM817" s="2">
        <f t="shared" ca="1" si="781"/>
        <v>25204.452458351778</v>
      </c>
      <c r="AN817" s="2">
        <f t="shared" ca="1" si="782"/>
        <v>26449.969831409751</v>
      </c>
      <c r="AO817" s="2">
        <f t="shared" ca="1" si="783"/>
        <v>27757.036390237659</v>
      </c>
      <c r="AP817" s="2">
        <f t="shared" ca="1" si="784"/>
        <v>2274329.9998962125</v>
      </c>
      <c r="AQ817" s="2">
        <f t="shared" ca="1" si="785"/>
        <v>698790.99056171742</v>
      </c>
      <c r="AR817" s="2">
        <f t="shared" ca="1" si="786"/>
        <v>773649.87643857719</v>
      </c>
      <c r="AS817" s="2">
        <f t="shared" ca="1" si="787"/>
        <v>841102.28079377906</v>
      </c>
      <c r="AT817" s="2">
        <f t="shared" ca="1" si="788"/>
        <v>911887.95103197382</v>
      </c>
      <c r="AU817" s="2">
        <f t="shared" ca="1" si="789"/>
        <v>986171.60569140932</v>
      </c>
      <c r="AV817" s="2">
        <f t="shared" ca="1" si="790"/>
        <v>1988866.6654448882</v>
      </c>
      <c r="AW817" s="2">
        <f t="shared" ca="1" si="791"/>
        <v>2177908.985454957</v>
      </c>
      <c r="AX817" s="2">
        <f t="shared" ca="1" si="792"/>
        <v>2368702.039031635</v>
      </c>
      <c r="AY817" s="2">
        <f t="shared" ca="1" si="793"/>
        <v>2568923.4292595927</v>
      </c>
      <c r="AZ817" s="2">
        <f t="shared" ca="1" si="794"/>
        <v>2779039.0721160807</v>
      </c>
      <c r="BA817" s="2">
        <f t="shared" ca="1" si="795"/>
        <v>55659507.571334951</v>
      </c>
      <c r="BB817" s="2">
        <f t="shared" ca="1" si="796"/>
        <v>1113190.151426699</v>
      </c>
      <c r="BC817" s="2">
        <f t="shared" ca="1" si="797"/>
        <v>29275984.087728113</v>
      </c>
      <c r="BD817" s="2">
        <f t="shared" ca="1" si="798"/>
        <v>-18399819.443627603</v>
      </c>
      <c r="BE817" s="2">
        <f t="shared" ca="1" si="799"/>
        <v>1988866.6654448882</v>
      </c>
      <c r="BF817" s="2">
        <f t="shared" ca="1" si="800"/>
        <v>2177908.985454957</v>
      </c>
      <c r="BG817" s="2">
        <f t="shared" ca="1" si="801"/>
        <v>2368702.039031635</v>
      </c>
      <c r="BH817" s="2">
        <f t="shared" ca="1" si="802"/>
        <v>2568923.4292595927</v>
      </c>
      <c r="BI817" s="2">
        <f t="shared" ca="1" si="803"/>
        <v>32055023.159844194</v>
      </c>
      <c r="BJ817" s="2">
        <f t="shared" ca="1" si="804"/>
        <v>0.20405849462325198</v>
      </c>
      <c r="BK817" s="2">
        <f t="shared" ca="1" si="805"/>
        <v>6619643.6811209209</v>
      </c>
    </row>
    <row r="818" spans="1:63" x14ac:dyDescent="0.3">
      <c r="A818" s="2">
        <v>817</v>
      </c>
      <c r="B818" s="2">
        <f t="shared" ca="1" si="744"/>
        <v>0.34528249529142063</v>
      </c>
      <c r="C818" s="2">
        <f t="shared" ca="1" si="745"/>
        <v>6.8310024010692398</v>
      </c>
      <c r="D818" s="2">
        <f t="shared" ca="1" si="746"/>
        <v>0.47292448104597429</v>
      </c>
      <c r="E818" s="2">
        <f t="shared" ca="1" si="747"/>
        <v>7.4725476657171868</v>
      </c>
      <c r="F818" s="2">
        <f t="shared" ca="1" si="748"/>
        <v>7.716181562870239E-2</v>
      </c>
      <c r="G818" s="2">
        <f t="shared" ca="1" si="749"/>
        <v>-2.732734476569687E-3</v>
      </c>
      <c r="H818" s="2">
        <f t="shared" ca="1" si="750"/>
        <v>-2.732734476569687E-3</v>
      </c>
      <c r="I818" s="2">
        <f t="shared" ca="1" si="751"/>
        <v>0.10502409882937347</v>
      </c>
      <c r="J818" s="2">
        <f t="shared" ca="1" si="752"/>
        <v>3.7328354065321364E-3</v>
      </c>
      <c r="K818" s="2">
        <f t="shared" ca="1" si="753"/>
        <v>3.7328354065321364E-3</v>
      </c>
      <c r="L818" s="2">
        <f t="shared" ca="1" si="754"/>
        <v>0.23126897150366543</v>
      </c>
      <c r="M818" s="2">
        <f t="shared" ca="1" si="755"/>
        <v>-1.469348379147057E-2</v>
      </c>
      <c r="N818" s="2">
        <f t="shared" ca="1" si="756"/>
        <v>-1.469348379147057E-2</v>
      </c>
      <c r="O818" s="2">
        <f t="shared" si="757"/>
        <v>6000000</v>
      </c>
      <c r="P818" s="2">
        <f t="shared" ca="1" si="758"/>
        <v>40986014.40641544</v>
      </c>
      <c r="Q818" s="2">
        <f t="shared" ca="1" si="759"/>
        <v>1024650.3601603861</v>
      </c>
      <c r="R818" s="2">
        <f t="shared" ca="1" si="760"/>
        <v>24591608.643849265</v>
      </c>
      <c r="S818" s="2">
        <f t="shared" ca="1" si="761"/>
        <v>16394405.762566177</v>
      </c>
      <c r="T818" s="2">
        <f t="shared" ca="1" si="762"/>
        <v>49265325.810426466</v>
      </c>
      <c r="U818" s="2">
        <f t="shared" ca="1" si="763"/>
        <v>49130696.756084874</v>
      </c>
      <c r="V818" s="2">
        <f t="shared" ca="1" si="764"/>
        <v>48996435.607201628</v>
      </c>
      <c r="W818" s="2">
        <f t="shared" ca="1" si="765"/>
        <v>48862541.358388796</v>
      </c>
      <c r="X818" s="2">
        <f t="shared" ca="1" si="766"/>
        <v>48729013.007005915</v>
      </c>
      <c r="Y818" s="2">
        <f t="shared" ca="1" si="767"/>
        <v>0.12186641770326606</v>
      </c>
      <c r="Z818" s="2">
        <f t="shared" ca="1" si="768"/>
        <v>0.12261298478457248</v>
      </c>
      <c r="AA818" s="2">
        <f t="shared" ca="1" si="769"/>
        <v>6003788.7735009259</v>
      </c>
      <c r="AB818" s="2">
        <f t="shared" ca="1" si="770"/>
        <v>6024061.3738092799</v>
      </c>
      <c r="AC818" s="2">
        <f t="shared" ca="1" si="771"/>
        <v>6007599.2136040991</v>
      </c>
      <c r="AD818" s="2">
        <f t="shared" ca="1" si="772"/>
        <v>5991182.0401116693</v>
      </c>
      <c r="AE818" s="2">
        <f t="shared" ca="1" si="773"/>
        <v>5974809.730395251</v>
      </c>
      <c r="AF818" s="2">
        <f t="shared" ca="1" si="774"/>
        <v>985306.51620852936</v>
      </c>
      <c r="AG818" s="2">
        <f t="shared" ca="1" si="775"/>
        <v>982613.93512169749</v>
      </c>
      <c r="AH818" s="2">
        <f t="shared" ca="1" si="776"/>
        <v>979928.71214403259</v>
      </c>
      <c r="AI818" s="2">
        <f t="shared" ca="1" si="777"/>
        <v>977250.82716777595</v>
      </c>
      <c r="AJ818" s="2">
        <f t="shared" ca="1" si="778"/>
        <v>974580.26014011831</v>
      </c>
      <c r="AK818" s="2">
        <f t="shared" ca="1" si="779"/>
        <v>0</v>
      </c>
      <c r="AL818" s="2">
        <f t="shared" ca="1" si="780"/>
        <v>0</v>
      </c>
      <c r="AM818" s="2">
        <f t="shared" ca="1" si="781"/>
        <v>0</v>
      </c>
      <c r="AN818" s="2">
        <f t="shared" ca="1" si="782"/>
        <v>0</v>
      </c>
      <c r="AO818" s="2">
        <f t="shared" ca="1" si="783"/>
        <v>0</v>
      </c>
      <c r="AP818" s="2">
        <f t="shared" ca="1" si="784"/>
        <v>2213244.777946434</v>
      </c>
      <c r="AQ818" s="2">
        <f t="shared" ca="1" si="785"/>
        <v>729361.74462995026</v>
      </c>
      <c r="AR818" s="2">
        <f t="shared" ca="1" si="786"/>
        <v>735332.69179269869</v>
      </c>
      <c r="AS818" s="2">
        <f t="shared" ca="1" si="787"/>
        <v>731750.68811354437</v>
      </c>
      <c r="AT818" s="2">
        <f t="shared" ca="1" si="788"/>
        <v>728178.4730993394</v>
      </c>
      <c r="AU818" s="2">
        <f t="shared" ca="1" si="789"/>
        <v>724616.02000026172</v>
      </c>
      <c r="AV818" s="2">
        <f t="shared" ca="1" si="790"/>
        <v>2075875.7347160121</v>
      </c>
      <c r="AW818" s="2">
        <f t="shared" ca="1" si="791"/>
        <v>2092869.9689484499</v>
      </c>
      <c r="AX818" s="2">
        <f t="shared" ca="1" si="792"/>
        <v>2082675.0354000879</v>
      </c>
      <c r="AY818" s="2">
        <f t="shared" ca="1" si="793"/>
        <v>2072507.9618981192</v>
      </c>
      <c r="AZ818" s="2">
        <f t="shared" ca="1" si="794"/>
        <v>2062368.6723084366</v>
      </c>
      <c r="BA818" s="2">
        <f t="shared" ca="1" si="795"/>
        <v>44647050.503969364</v>
      </c>
      <c r="BB818" s="2">
        <f t="shared" ca="1" si="796"/>
        <v>892941.01007938734</v>
      </c>
      <c r="BC818" s="2">
        <f t="shared" ca="1" si="797"/>
        <v>19162500.850040711</v>
      </c>
      <c r="BD818" s="2">
        <f t="shared" ca="1" si="798"/>
        <v>-17919056.122726563</v>
      </c>
      <c r="BE818" s="2">
        <f t="shared" ca="1" si="799"/>
        <v>2075875.7347160121</v>
      </c>
      <c r="BF818" s="2">
        <f t="shared" ca="1" si="800"/>
        <v>2092869.9689484499</v>
      </c>
      <c r="BG818" s="2">
        <f t="shared" ca="1" si="801"/>
        <v>2082675.0354000879</v>
      </c>
      <c r="BH818" s="2">
        <f t="shared" ca="1" si="802"/>
        <v>2072507.9618981192</v>
      </c>
      <c r="BI818" s="2">
        <f t="shared" ca="1" si="803"/>
        <v>21224869.522349149</v>
      </c>
      <c r="BJ818" s="2">
        <f t="shared" ca="1" si="804"/>
        <v>0.12676028356630931</v>
      </c>
      <c r="BK818" s="2">
        <f t="shared" ca="1" si="805"/>
        <v>445911.68679473549</v>
      </c>
    </row>
    <row r="819" spans="1:63" x14ac:dyDescent="0.3">
      <c r="A819" s="2">
        <v>818</v>
      </c>
      <c r="B819" s="2">
        <f t="shared" ca="1" si="744"/>
        <v>0.41658487298918279</v>
      </c>
      <c r="C819" s="2">
        <f t="shared" ca="1" si="745"/>
        <v>6.9127813242931548</v>
      </c>
      <c r="D819" s="2">
        <f t="shared" ca="1" si="746"/>
        <v>0.20678639009056765</v>
      </c>
      <c r="E819" s="2">
        <f t="shared" ca="1" si="747"/>
        <v>7.1430962448818489</v>
      </c>
      <c r="F819" s="2">
        <f t="shared" ca="1" si="748"/>
        <v>0.68107934585113905</v>
      </c>
      <c r="G819" s="2">
        <f t="shared" ca="1" si="749"/>
        <v>5.4121574455830754E-2</v>
      </c>
      <c r="H819" s="2">
        <f t="shared" ca="1" si="750"/>
        <v>5.4121574455830754E-2</v>
      </c>
      <c r="I819" s="2">
        <f t="shared" ca="1" si="751"/>
        <v>0.72823300337193098</v>
      </c>
      <c r="J819" s="2">
        <f t="shared" ca="1" si="752"/>
        <v>1.3037388079132808E-2</v>
      </c>
      <c r="K819" s="2">
        <f t="shared" ca="1" si="753"/>
        <v>1.3037388079132808E-2</v>
      </c>
      <c r="L819" s="2">
        <f t="shared" ca="1" si="754"/>
        <v>7.2928343275897589E-2</v>
      </c>
      <c r="M819" s="2">
        <f t="shared" ca="1" si="755"/>
        <v>-2.9086466505960078E-2</v>
      </c>
      <c r="N819" s="2">
        <f t="shared" ca="1" si="756"/>
        <v>-2.9086466505960078E-2</v>
      </c>
      <c r="O819" s="2">
        <f t="shared" si="757"/>
        <v>6000000</v>
      </c>
      <c r="P819" s="2">
        <f t="shared" ca="1" si="758"/>
        <v>41476687.945758931</v>
      </c>
      <c r="Q819" s="2">
        <f t="shared" ca="1" si="759"/>
        <v>1036917.1986439733</v>
      </c>
      <c r="R819" s="2">
        <f t="shared" ca="1" si="760"/>
        <v>24886012.767455358</v>
      </c>
      <c r="S819" s="2">
        <f t="shared" ca="1" si="761"/>
        <v>16590675.178303573</v>
      </c>
      <c r="T819" s="2">
        <f t="shared" ca="1" si="762"/>
        <v>48545676.674701996</v>
      </c>
      <c r="U819" s="2">
        <f t="shared" ca="1" si="763"/>
        <v>51173045.129360564</v>
      </c>
      <c r="V819" s="2">
        <f t="shared" ca="1" si="764"/>
        <v>53942610.901460841</v>
      </c>
      <c r="W819" s="2">
        <f t="shared" ca="1" si="765"/>
        <v>56862069.933706164</v>
      </c>
      <c r="X819" s="2">
        <f t="shared" ca="1" si="766"/>
        <v>59939534.685335897</v>
      </c>
      <c r="Y819" s="2">
        <f t="shared" ca="1" si="767"/>
        <v>0.12651869403956639</v>
      </c>
      <c r="Z819" s="2">
        <f t="shared" ca="1" si="768"/>
        <v>0.12912617165539297</v>
      </c>
      <c r="AA819" s="2">
        <f t="shared" ca="1" si="769"/>
        <v>6141935.6141503369</v>
      </c>
      <c r="AB819" s="2">
        <f t="shared" ca="1" si="770"/>
        <v>6607779.4095029831</v>
      </c>
      <c r="AC819" s="2">
        <f t="shared" ca="1" si="771"/>
        <v>6965402.8348021051</v>
      </c>
      <c r="AD819" s="2">
        <f t="shared" ca="1" si="772"/>
        <v>7342381.4029407017</v>
      </c>
      <c r="AE819" s="2">
        <f t="shared" ca="1" si="773"/>
        <v>7739762.6447230643</v>
      </c>
      <c r="AF819" s="2">
        <f t="shared" ca="1" si="774"/>
        <v>970913.5334940399</v>
      </c>
      <c r="AG819" s="2">
        <f t="shared" ca="1" si="775"/>
        <v>1023460.9025872113</v>
      </c>
      <c r="AH819" s="2">
        <f t="shared" ca="1" si="776"/>
        <v>1078852.2180292169</v>
      </c>
      <c r="AI819" s="2">
        <f t="shared" ca="1" si="777"/>
        <v>1137241.3986741232</v>
      </c>
      <c r="AJ819" s="2">
        <f t="shared" ca="1" si="778"/>
        <v>1198790.693706718</v>
      </c>
      <c r="AK819" s="2">
        <f t="shared" ca="1" si="779"/>
        <v>0</v>
      </c>
      <c r="AL819" s="2">
        <f t="shared" ca="1" si="780"/>
        <v>26273.684546585679</v>
      </c>
      <c r="AM819" s="2">
        <f t="shared" ca="1" si="781"/>
        <v>27695.657721002772</v>
      </c>
      <c r="AN819" s="2">
        <f t="shared" ca="1" si="782"/>
        <v>29194.59032245323</v>
      </c>
      <c r="AO819" s="2">
        <f t="shared" ca="1" si="783"/>
        <v>30774.647516297326</v>
      </c>
      <c r="AP819" s="2">
        <f t="shared" ca="1" si="784"/>
        <v>2239741.1490709824</v>
      </c>
      <c r="AQ819" s="2">
        <f t="shared" ca="1" si="785"/>
        <v>762133.04221218196</v>
      </c>
      <c r="AR819" s="2">
        <f t="shared" ca="1" si="786"/>
        <v>869590.11303964513</v>
      </c>
      <c r="AS819" s="2">
        <f t="shared" ca="1" si="787"/>
        <v>948170.46160249552</v>
      </c>
      <c r="AT819" s="2">
        <f t="shared" ca="1" si="788"/>
        <v>1031003.7023508551</v>
      </c>
      <c r="AU819" s="2">
        <f t="shared" ca="1" si="789"/>
        <v>1118320.0085057947</v>
      </c>
      <c r="AV819" s="2">
        <f t="shared" ca="1" si="790"/>
        <v>2169147.8893731334</v>
      </c>
      <c r="AW819" s="2">
        <f t="shared" ca="1" si="791"/>
        <v>2448713.5602585576</v>
      </c>
      <c r="AX819" s="2">
        <f t="shared" ca="1" si="792"/>
        <v>2670943.3483784082</v>
      </c>
      <c r="AY819" s="2">
        <f t="shared" ca="1" si="793"/>
        <v>2905200.5625222879</v>
      </c>
      <c r="AZ819" s="2">
        <f t="shared" ca="1" si="794"/>
        <v>3152136.1459232713</v>
      </c>
      <c r="BA819" s="2">
        <f t="shared" ca="1" si="795"/>
        <v>55285869.483798131</v>
      </c>
      <c r="BB819" s="2">
        <f t="shared" ca="1" si="796"/>
        <v>1105717.3896759627</v>
      </c>
      <c r="BC819" s="2">
        <f t="shared" ca="1" si="797"/>
        <v>29294139.32666681</v>
      </c>
      <c r="BD819" s="2">
        <f t="shared" ca="1" si="798"/>
        <v>-18127592.376947548</v>
      </c>
      <c r="BE819" s="2">
        <f t="shared" ca="1" si="799"/>
        <v>2169147.8893731334</v>
      </c>
      <c r="BF819" s="2">
        <f t="shared" ca="1" si="800"/>
        <v>2448713.5602585576</v>
      </c>
      <c r="BG819" s="2">
        <f t="shared" ca="1" si="801"/>
        <v>2670943.3483784082</v>
      </c>
      <c r="BH819" s="2">
        <f t="shared" ca="1" si="802"/>
        <v>2905200.5625222879</v>
      </c>
      <c r="BI819" s="2">
        <f t="shared" ca="1" si="803"/>
        <v>32446275.472590081</v>
      </c>
      <c r="BJ819" s="2">
        <f t="shared" ca="1" si="804"/>
        <v>0.22135891808640151</v>
      </c>
      <c r="BK819" s="2">
        <f t="shared" ca="1" si="805"/>
        <v>7919566.5365774892</v>
      </c>
    </row>
    <row r="820" spans="1:63" x14ac:dyDescent="0.3">
      <c r="A820" s="2">
        <v>819</v>
      </c>
      <c r="B820" s="2">
        <f t="shared" ca="1" si="744"/>
        <v>0.98261963524612672</v>
      </c>
      <c r="C820" s="2">
        <f t="shared" ca="1" si="745"/>
        <v>7.8135577046168265</v>
      </c>
      <c r="D820" s="2">
        <f t="shared" ca="1" si="746"/>
        <v>0.40466357120288776</v>
      </c>
      <c r="E820" s="2">
        <f t="shared" ca="1" si="747"/>
        <v>7.3996261125633112</v>
      </c>
      <c r="F820" s="2">
        <f t="shared" ca="1" si="748"/>
        <v>0.90705050983144708</v>
      </c>
      <c r="G820" s="2">
        <f t="shared" ca="1" si="749"/>
        <v>7.96842630693987E-2</v>
      </c>
      <c r="H820" s="2">
        <f t="shared" ca="1" si="750"/>
        <v>7.96842630693987E-2</v>
      </c>
      <c r="I820" s="2">
        <f t="shared" ca="1" si="751"/>
        <v>7.7174940995188956E-2</v>
      </c>
      <c r="J820" s="2">
        <f t="shared" ca="1" si="752"/>
        <v>2.8783312486406441E-3</v>
      </c>
      <c r="K820" s="2">
        <f t="shared" ca="1" si="753"/>
        <v>2.8783312486406441E-3</v>
      </c>
      <c r="L820" s="2">
        <f t="shared" ca="1" si="754"/>
        <v>0.94196951477693758</v>
      </c>
      <c r="M820" s="2">
        <f t="shared" ca="1" si="755"/>
        <v>3.1430481183037762E-2</v>
      </c>
      <c r="N820" s="2">
        <f t="shared" ca="1" si="756"/>
        <v>3.1430481183037762E-2</v>
      </c>
      <c r="O820" s="2">
        <f t="shared" si="757"/>
        <v>6000000</v>
      </c>
      <c r="P820" s="2">
        <f t="shared" ca="1" si="758"/>
        <v>46881346.227700956</v>
      </c>
      <c r="Q820" s="2">
        <f t="shared" ca="1" si="759"/>
        <v>1172033.655692524</v>
      </c>
      <c r="R820" s="2">
        <f t="shared" ca="1" si="760"/>
        <v>28128807.736620571</v>
      </c>
      <c r="S820" s="2">
        <f t="shared" ca="1" si="761"/>
        <v>18752538.491080385</v>
      </c>
      <c r="T820" s="2">
        <f t="shared" ca="1" si="762"/>
        <v>51571524.059151888</v>
      </c>
      <c r="U820" s="2">
        <f t="shared" ca="1" si="763"/>
        <v>55680962.949171178</v>
      </c>
      <c r="V820" s="2">
        <f t="shared" ca="1" si="764"/>
        <v>60117859.448770382</v>
      </c>
      <c r="W820" s="2">
        <f t="shared" ca="1" si="765"/>
        <v>64908306.776255339</v>
      </c>
      <c r="X820" s="2">
        <f t="shared" ca="1" si="766"/>
        <v>70080477.36880371</v>
      </c>
      <c r="Y820" s="2">
        <f t="shared" ca="1" si="767"/>
        <v>0.12143916562432032</v>
      </c>
      <c r="Z820" s="2">
        <f t="shared" ca="1" si="768"/>
        <v>0.12201483187404845</v>
      </c>
      <c r="AA820" s="2">
        <f t="shared" ca="1" si="769"/>
        <v>6262802.8517179666</v>
      </c>
      <c r="AB820" s="2">
        <f t="shared" ca="1" si="770"/>
        <v>6793903.3328282423</v>
      </c>
      <c r="AC820" s="2">
        <f t="shared" ca="1" si="771"/>
        <v>7335270.5132693928</v>
      </c>
      <c r="AD820" s="2">
        <f t="shared" ca="1" si="772"/>
        <v>7919776.1385339545</v>
      </c>
      <c r="AE820" s="2">
        <f t="shared" ca="1" si="773"/>
        <v>8550857.6638076417</v>
      </c>
      <c r="AF820" s="2">
        <f t="shared" ca="1" si="774"/>
        <v>1031430.4811830377</v>
      </c>
      <c r="AG820" s="2">
        <f t="shared" ca="1" si="775"/>
        <v>1113619.2589834235</v>
      </c>
      <c r="AH820" s="2">
        <f t="shared" ca="1" si="776"/>
        <v>1202357.1889754077</v>
      </c>
      <c r="AI820" s="2">
        <f t="shared" ca="1" si="777"/>
        <v>1298166.1355251069</v>
      </c>
      <c r="AJ820" s="2">
        <f t="shared" ca="1" si="778"/>
        <v>1401609.5473760741</v>
      </c>
      <c r="AK820" s="2">
        <f t="shared" ca="1" si="779"/>
        <v>0</v>
      </c>
      <c r="AL820" s="2">
        <f t="shared" ca="1" si="780"/>
        <v>41094.388900192906</v>
      </c>
      <c r="AM820" s="2">
        <f t="shared" ca="1" si="781"/>
        <v>44368.964995992035</v>
      </c>
      <c r="AN820" s="2">
        <f t="shared" ca="1" si="782"/>
        <v>47904.473274849581</v>
      </c>
      <c r="AO820" s="2">
        <f t="shared" ca="1" si="783"/>
        <v>51721.705925483708</v>
      </c>
      <c r="AP820" s="2">
        <f t="shared" ca="1" si="784"/>
        <v>2531592.6962958514</v>
      </c>
      <c r="AQ820" s="2">
        <f t="shared" ca="1" si="785"/>
        <v>701942.71530216013</v>
      </c>
      <c r="AR820" s="2">
        <f t="shared" ca="1" si="786"/>
        <v>818659.75816273142</v>
      </c>
      <c r="AS820" s="2">
        <f t="shared" ca="1" si="787"/>
        <v>936343.36327951483</v>
      </c>
      <c r="AT820" s="2">
        <f t="shared" ca="1" si="788"/>
        <v>1063404.4997453792</v>
      </c>
      <c r="AU820" s="2">
        <f t="shared" ca="1" si="789"/>
        <v>1200590.4092352863</v>
      </c>
      <c r="AV820" s="2">
        <f t="shared" ca="1" si="790"/>
        <v>1997836.9589369171</v>
      </c>
      <c r="AW820" s="2">
        <f t="shared" ca="1" si="791"/>
        <v>2288937.2304860433</v>
      </c>
      <c r="AX820" s="2">
        <f t="shared" ca="1" si="792"/>
        <v>2620608.2997226263</v>
      </c>
      <c r="AY820" s="2">
        <f t="shared" ca="1" si="793"/>
        <v>2978708.3336927681</v>
      </c>
      <c r="AZ820" s="2">
        <f t="shared" ca="1" si="794"/>
        <v>3365343.3049749467</v>
      </c>
      <c r="BA820" s="2">
        <f t="shared" ca="1" si="795"/>
        <v>63273149.653923139</v>
      </c>
      <c r="BB820" s="2">
        <f t="shared" ca="1" si="796"/>
        <v>1265462.9930784628</v>
      </c>
      <c r="BC820" s="2">
        <f t="shared" ca="1" si="797"/>
        <v>33878878.924224101</v>
      </c>
      <c r="BD820" s="2">
        <f t="shared" ca="1" si="798"/>
        <v>-20424572.14677291</v>
      </c>
      <c r="BE820" s="2">
        <f t="shared" ca="1" si="799"/>
        <v>1997836.9589369171</v>
      </c>
      <c r="BF820" s="2">
        <f t="shared" ca="1" si="800"/>
        <v>2288937.2304860433</v>
      </c>
      <c r="BG820" s="2">
        <f t="shared" ca="1" si="801"/>
        <v>2620608.2997226263</v>
      </c>
      <c r="BH820" s="2">
        <f t="shared" ca="1" si="802"/>
        <v>2978708.3336927681</v>
      </c>
      <c r="BI820" s="2">
        <f t="shared" ca="1" si="803"/>
        <v>37244222.229199044</v>
      </c>
      <c r="BJ820" s="2">
        <f t="shared" ca="1" si="804"/>
        <v>0.21025204511617135</v>
      </c>
      <c r="BK820" s="2">
        <f t="shared" ca="1" si="805"/>
        <v>8075629.7330744751</v>
      </c>
    </row>
    <row r="821" spans="1:63" x14ac:dyDescent="0.3">
      <c r="A821" s="2">
        <v>820</v>
      </c>
      <c r="B821" s="2">
        <f t="shared" ca="1" si="744"/>
        <v>0.66042890062818449</v>
      </c>
      <c r="C821" s="2">
        <f t="shared" ca="1" si="745"/>
        <v>7.1758991574184439</v>
      </c>
      <c r="D821" s="2">
        <f t="shared" ca="1" si="746"/>
        <v>0.56622979817957664</v>
      </c>
      <c r="E821" s="2">
        <f t="shared" ca="1" si="747"/>
        <v>7.5685815099318425</v>
      </c>
      <c r="F821" s="2">
        <f t="shared" ca="1" si="748"/>
        <v>0.81647378570952056</v>
      </c>
      <c r="G821" s="2">
        <f t="shared" ca="1" si="749"/>
        <v>6.7060250700328838E-2</v>
      </c>
      <c r="H821" s="2">
        <f t="shared" ca="1" si="750"/>
        <v>6.7060250700328838E-2</v>
      </c>
      <c r="I821" s="2">
        <f t="shared" ca="1" si="751"/>
        <v>0.53124064043731689</v>
      </c>
      <c r="J821" s="2">
        <f t="shared" ca="1" si="752"/>
        <v>1.0391944397872501E-2</v>
      </c>
      <c r="K821" s="2">
        <f t="shared" ca="1" si="753"/>
        <v>1.0391944397872501E-2</v>
      </c>
      <c r="L821" s="2">
        <f t="shared" ca="1" si="754"/>
        <v>0.66199932416863638</v>
      </c>
      <c r="M821" s="2">
        <f t="shared" ca="1" si="755"/>
        <v>8.3585164602943528E-3</v>
      </c>
      <c r="N821" s="2">
        <f t="shared" ca="1" si="756"/>
        <v>8.3585164602943528E-3</v>
      </c>
      <c r="O821" s="2">
        <f t="shared" si="757"/>
        <v>6000000</v>
      </c>
      <c r="P821" s="2">
        <f t="shared" ca="1" si="758"/>
        <v>43055394.944510661</v>
      </c>
      <c r="Q821" s="2">
        <f t="shared" ca="1" si="759"/>
        <v>1076384.8736127666</v>
      </c>
      <c r="R821" s="2">
        <f t="shared" ca="1" si="760"/>
        <v>25833236.966706395</v>
      </c>
      <c r="S821" s="2">
        <f t="shared" ca="1" si="761"/>
        <v>17222157.977804266</v>
      </c>
      <c r="T821" s="2">
        <f t="shared" ca="1" si="762"/>
        <v>50417925.823014721</v>
      </c>
      <c r="U821" s="2">
        <f t="shared" ca="1" si="763"/>
        <v>53798964.568496674</v>
      </c>
      <c r="V821" s="2">
        <f t="shared" ca="1" si="764"/>
        <v>57406736.619878173</v>
      </c>
      <c r="W821" s="2">
        <f t="shared" ca="1" si="765"/>
        <v>61256446.769494951</v>
      </c>
      <c r="X821" s="2">
        <f t="shared" ca="1" si="766"/>
        <v>65364319.446868628</v>
      </c>
      <c r="Y821" s="2">
        <f t="shared" ca="1" si="767"/>
        <v>0.12519597219893625</v>
      </c>
      <c r="Z821" s="2">
        <f t="shared" ca="1" si="768"/>
        <v>0.12727436107851076</v>
      </c>
      <c r="AA821" s="2">
        <f t="shared" ca="1" si="769"/>
        <v>6312121.2396661807</v>
      </c>
      <c r="AB821" s="2">
        <f t="shared" ca="1" si="770"/>
        <v>6847228.8421408525</v>
      </c>
      <c r="AC821" s="2">
        <f t="shared" ca="1" si="771"/>
        <v>7306405.7248973409</v>
      </c>
      <c r="AD821" s="2">
        <f t="shared" ca="1" si="772"/>
        <v>7796375.1245272737</v>
      </c>
      <c r="AE821" s="2">
        <f t="shared" ca="1" si="773"/>
        <v>8319201.9949318804</v>
      </c>
      <c r="AF821" s="2">
        <f t="shared" ca="1" si="774"/>
        <v>1008358.5164602945</v>
      </c>
      <c r="AG821" s="2">
        <f t="shared" ca="1" si="775"/>
        <v>1075979.2913699334</v>
      </c>
      <c r="AH821" s="2">
        <f t="shared" ca="1" si="776"/>
        <v>1148134.7323975635</v>
      </c>
      <c r="AI821" s="2">
        <f t="shared" ca="1" si="777"/>
        <v>1225128.935389899</v>
      </c>
      <c r="AJ821" s="2">
        <f t="shared" ca="1" si="778"/>
        <v>1307286.3889373725</v>
      </c>
      <c r="AK821" s="2">
        <f t="shared" ca="1" si="779"/>
        <v>0</v>
      </c>
      <c r="AL821" s="2">
        <f t="shared" ca="1" si="780"/>
        <v>33810.387454819531</v>
      </c>
      <c r="AM821" s="2">
        <f t="shared" ca="1" si="781"/>
        <v>36077.720513814987</v>
      </c>
      <c r="AN821" s="2">
        <f t="shared" ca="1" si="782"/>
        <v>38497.101496167779</v>
      </c>
      <c r="AO821" s="2">
        <f t="shared" ca="1" si="783"/>
        <v>41078.726773736773</v>
      </c>
      <c r="AP821" s="2">
        <f t="shared" ca="1" si="784"/>
        <v>2324991.3270035754</v>
      </c>
      <c r="AQ821" s="2">
        <f t="shared" ca="1" si="785"/>
        <v>774480.56301260076</v>
      </c>
      <c r="AR821" s="2">
        <f t="shared" ca="1" si="786"/>
        <v>896027.13817950932</v>
      </c>
      <c r="AS821" s="2">
        <f t="shared" ca="1" si="787"/>
        <v>996652.71302901243</v>
      </c>
      <c r="AT821" s="2">
        <f t="shared" ca="1" si="788"/>
        <v>1104026.2641547879</v>
      </c>
      <c r="AU821" s="2">
        <f t="shared" ca="1" si="789"/>
        <v>1218600.3125376422</v>
      </c>
      <c r="AV821" s="2">
        <f t="shared" ca="1" si="790"/>
        <v>2204290.8331897096</v>
      </c>
      <c r="AW821" s="2">
        <f t="shared" ca="1" si="791"/>
        <v>2516420.6981330146</v>
      </c>
      <c r="AX821" s="2">
        <f t="shared" ca="1" si="792"/>
        <v>2800549.2319533746</v>
      </c>
      <c r="AY821" s="2">
        <f t="shared" ca="1" si="793"/>
        <v>3103731.496482844</v>
      </c>
      <c r="AZ821" s="2">
        <f t="shared" ca="1" si="794"/>
        <v>3427245.2396795531</v>
      </c>
      <c r="BA821" s="2">
        <f t="shared" ca="1" si="795"/>
        <v>62964558.396229528</v>
      </c>
      <c r="BB821" s="2">
        <f t="shared" ca="1" si="796"/>
        <v>1259291.1679245906</v>
      </c>
      <c r="BC821" s="2">
        <f t="shared" ca="1" si="797"/>
        <v>35872030.261598542</v>
      </c>
      <c r="BD821" s="2">
        <f t="shared" ca="1" si="798"/>
        <v>-18798542.851417031</v>
      </c>
      <c r="BE821" s="2">
        <f t="shared" ca="1" si="799"/>
        <v>2204290.8331897096</v>
      </c>
      <c r="BF821" s="2">
        <f t="shared" ca="1" si="800"/>
        <v>2516420.6981330146</v>
      </c>
      <c r="BG821" s="2">
        <f t="shared" ca="1" si="801"/>
        <v>2800549.2319533746</v>
      </c>
      <c r="BH821" s="2">
        <f t="shared" ca="1" si="802"/>
        <v>3103731.496482844</v>
      </c>
      <c r="BI821" s="2">
        <f t="shared" ca="1" si="803"/>
        <v>39299275.501278095</v>
      </c>
      <c r="BJ821" s="2">
        <f t="shared" ca="1" si="804"/>
        <v>0.25252435341817758</v>
      </c>
      <c r="BK821" s="2">
        <f t="shared" ca="1" si="805"/>
        <v>11440966.570397187</v>
      </c>
    </row>
    <row r="822" spans="1:63" x14ac:dyDescent="0.3">
      <c r="A822" s="2">
        <v>821</v>
      </c>
      <c r="B822" s="2">
        <f t="shared" ca="1" si="744"/>
        <v>0.4102841480371977</v>
      </c>
      <c r="C822" s="2">
        <f t="shared" ca="1" si="745"/>
        <v>6.9058522484789648</v>
      </c>
      <c r="D822" s="2">
        <f t="shared" ca="1" si="746"/>
        <v>0.20743215159892991</v>
      </c>
      <c r="E822" s="2">
        <f t="shared" ca="1" si="747"/>
        <v>7.1440996065810474</v>
      </c>
      <c r="F822" s="2">
        <f t="shared" ca="1" si="748"/>
        <v>7.0215642792547661E-2</v>
      </c>
      <c r="G822" s="2">
        <f t="shared" ca="1" si="749"/>
        <v>-4.2256059313458619E-3</v>
      </c>
      <c r="H822" s="2">
        <f t="shared" ca="1" si="750"/>
        <v>-4.2256059313458619E-3</v>
      </c>
      <c r="I822" s="2">
        <f t="shared" ca="1" si="751"/>
        <v>0.66546509587335789</v>
      </c>
      <c r="J822" s="2">
        <f t="shared" ca="1" si="752"/>
        <v>1.2137124953994934E-2</v>
      </c>
      <c r="K822" s="2">
        <f t="shared" ca="1" si="753"/>
        <v>1.2137124953994934E-2</v>
      </c>
      <c r="L822" s="2">
        <f t="shared" ca="1" si="754"/>
        <v>0.81332722318293993</v>
      </c>
      <c r="M822" s="2">
        <f t="shared" ca="1" si="755"/>
        <v>1.7804482479426637E-2</v>
      </c>
      <c r="N822" s="2">
        <f t="shared" ca="1" si="756"/>
        <v>1.7804482479426637E-2</v>
      </c>
      <c r="O822" s="2">
        <f t="shared" si="757"/>
        <v>6000000</v>
      </c>
      <c r="P822" s="2">
        <f t="shared" ca="1" si="758"/>
        <v>41435113.490873791</v>
      </c>
      <c r="Q822" s="2">
        <f t="shared" ca="1" si="759"/>
        <v>1035877.8372718449</v>
      </c>
      <c r="R822" s="2">
        <f t="shared" ca="1" si="760"/>
        <v>24861068.094524276</v>
      </c>
      <c r="S822" s="2">
        <f t="shared" ca="1" si="761"/>
        <v>16574045.396349518</v>
      </c>
      <c r="T822" s="2">
        <f t="shared" ca="1" si="762"/>
        <v>50890224.123971328</v>
      </c>
      <c r="U822" s="2">
        <f t="shared" ca="1" si="763"/>
        <v>50675182.091065556</v>
      </c>
      <c r="V822" s="2">
        <f t="shared" ca="1" si="764"/>
        <v>50461048.741049513</v>
      </c>
      <c r="W822" s="2">
        <f t="shared" ca="1" si="765"/>
        <v>50247820.234187402</v>
      </c>
      <c r="X822" s="2">
        <f t="shared" ca="1" si="766"/>
        <v>50035492.74696862</v>
      </c>
      <c r="Y822" s="2">
        <f t="shared" ca="1" si="767"/>
        <v>0.12606856247699746</v>
      </c>
      <c r="Z822" s="2">
        <f t="shared" ca="1" si="768"/>
        <v>0.12849598746779645</v>
      </c>
      <c r="AA822" s="2">
        <f t="shared" ca="1" si="769"/>
        <v>6415657.3994412832</v>
      </c>
      <c r="AB822" s="2">
        <f t="shared" ca="1" si="770"/>
        <v>6511557.5629018629</v>
      </c>
      <c r="AC822" s="2">
        <f t="shared" ca="1" si="771"/>
        <v>6484042.2866417635</v>
      </c>
      <c r="AD822" s="2">
        <f t="shared" ca="1" si="772"/>
        <v>6456643.2790962327</v>
      </c>
      <c r="AE822" s="2">
        <f t="shared" ca="1" si="773"/>
        <v>6429360.0489595002</v>
      </c>
      <c r="AF822" s="2">
        <f t="shared" ca="1" si="774"/>
        <v>1017804.4824794265</v>
      </c>
      <c r="AG822" s="2">
        <f t="shared" ca="1" si="775"/>
        <v>1013503.6418213111</v>
      </c>
      <c r="AH822" s="2">
        <f t="shared" ca="1" si="776"/>
        <v>1009220.9748209902</v>
      </c>
      <c r="AI822" s="2">
        <f t="shared" ca="1" si="777"/>
        <v>1004956.404683748</v>
      </c>
      <c r="AJ822" s="2">
        <f t="shared" ca="1" si="778"/>
        <v>1000709.8549393724</v>
      </c>
      <c r="AK822" s="2">
        <f t="shared" ca="1" si="779"/>
        <v>0</v>
      </c>
      <c r="AL822" s="2">
        <f t="shared" ca="1" si="780"/>
        <v>0</v>
      </c>
      <c r="AM822" s="2">
        <f t="shared" ca="1" si="781"/>
        <v>0</v>
      </c>
      <c r="AN822" s="2">
        <f t="shared" ca="1" si="782"/>
        <v>0</v>
      </c>
      <c r="AO822" s="2">
        <f t="shared" ca="1" si="783"/>
        <v>0</v>
      </c>
      <c r="AP822" s="2">
        <f t="shared" ca="1" si="784"/>
        <v>2237496.1285071848</v>
      </c>
      <c r="AQ822" s="2">
        <f t="shared" ca="1" si="785"/>
        <v>821692.76499821455</v>
      </c>
      <c r="AR822" s="2">
        <f t="shared" ca="1" si="786"/>
        <v>847745.02606907557</v>
      </c>
      <c r="AS822" s="2">
        <f t="shared" ca="1" si="787"/>
        <v>841704.54766153311</v>
      </c>
      <c r="AT822" s="2">
        <f t="shared" ca="1" si="788"/>
        <v>835689.5939353779</v>
      </c>
      <c r="AU822" s="2">
        <f t="shared" ca="1" si="789"/>
        <v>829700.05703336524</v>
      </c>
      <c r="AV822" s="2">
        <f t="shared" ca="1" si="790"/>
        <v>2338664.0234564571</v>
      </c>
      <c r="AW822" s="2">
        <f t="shared" ca="1" si="791"/>
        <v>2412812.7665042914</v>
      </c>
      <c r="AX822" s="2">
        <f t="shared" ca="1" si="792"/>
        <v>2395620.635652055</v>
      </c>
      <c r="AY822" s="2">
        <f t="shared" ca="1" si="793"/>
        <v>2378501.1519699218</v>
      </c>
      <c r="AZ822" s="2">
        <f t="shared" ca="1" si="794"/>
        <v>2361454.0084795775</v>
      </c>
      <c r="BA822" s="2">
        <f t="shared" ca="1" si="795"/>
        <v>45931988.596339472</v>
      </c>
      <c r="BB822" s="2">
        <f t="shared" ca="1" si="796"/>
        <v>918639.77192678943</v>
      </c>
      <c r="BC822" s="2">
        <f t="shared" ca="1" si="797"/>
        <v>20152280.729888406</v>
      </c>
      <c r="BD822" s="2">
        <f t="shared" ca="1" si="798"/>
        <v>-18109923.233621363</v>
      </c>
      <c r="BE822" s="2">
        <f t="shared" ca="1" si="799"/>
        <v>2338664.0234564571</v>
      </c>
      <c r="BF822" s="2">
        <f t="shared" ca="1" si="800"/>
        <v>2412812.7665042914</v>
      </c>
      <c r="BG822" s="2">
        <f t="shared" ca="1" si="801"/>
        <v>2395620.635652055</v>
      </c>
      <c r="BH822" s="2">
        <f t="shared" ca="1" si="802"/>
        <v>2378501.1519699218</v>
      </c>
      <c r="BI822" s="2">
        <f t="shared" ca="1" si="803"/>
        <v>22513734.738367982</v>
      </c>
      <c r="BJ822" s="2">
        <f t="shared" ca="1" si="804"/>
        <v>0.14803184762897015</v>
      </c>
      <c r="BK822" s="2">
        <f t="shared" ca="1" si="805"/>
        <v>1893282.8539686054</v>
      </c>
    </row>
    <row r="823" spans="1:63" x14ac:dyDescent="0.3">
      <c r="A823" s="2">
        <v>822</v>
      </c>
      <c r="B823" s="2">
        <f t="shared" ca="1" si="744"/>
        <v>0.59470051218108666</v>
      </c>
      <c r="C823" s="2">
        <f t="shared" ca="1" si="745"/>
        <v>7.0996672972518287</v>
      </c>
      <c r="D823" s="2">
        <f t="shared" ca="1" si="746"/>
        <v>0.34371913543683663</v>
      </c>
      <c r="E823" s="2">
        <f t="shared" ca="1" si="747"/>
        <v>7.3291189726894892</v>
      </c>
      <c r="F823" s="2">
        <f t="shared" ca="1" si="748"/>
        <v>0.97323824029155626</v>
      </c>
      <c r="G823" s="2">
        <f t="shared" ca="1" si="749"/>
        <v>9.7920186245252616E-2</v>
      </c>
      <c r="H823" s="2">
        <f t="shared" ca="1" si="750"/>
        <v>9.7920186245252616E-2</v>
      </c>
      <c r="I823" s="2">
        <f t="shared" ca="1" si="751"/>
        <v>0.90397853953364726</v>
      </c>
      <c r="J823" s="2">
        <f t="shared" ca="1" si="752"/>
        <v>1.6522796996141152E-2</v>
      </c>
      <c r="K823" s="2">
        <f t="shared" ca="1" si="753"/>
        <v>1.6522796996141152E-2</v>
      </c>
      <c r="L823" s="2">
        <f t="shared" ca="1" si="754"/>
        <v>0.99114989578224255</v>
      </c>
      <c r="M823" s="2">
        <f t="shared" ca="1" si="755"/>
        <v>4.7436610071768345E-2</v>
      </c>
      <c r="N823" s="2">
        <f t="shared" ca="1" si="756"/>
        <v>4.7436610071768345E-2</v>
      </c>
      <c r="O823" s="2">
        <f t="shared" si="757"/>
        <v>6000000</v>
      </c>
      <c r="P823" s="2">
        <f t="shared" ca="1" si="758"/>
        <v>42598003.783510976</v>
      </c>
      <c r="Q823" s="2">
        <f t="shared" ca="1" si="759"/>
        <v>1064950.0945877745</v>
      </c>
      <c r="R823" s="2">
        <f t="shared" ca="1" si="760"/>
        <v>25558802.270106584</v>
      </c>
      <c r="S823" s="2">
        <f t="shared" ca="1" si="761"/>
        <v>17039201.513404392</v>
      </c>
      <c r="T823" s="2">
        <f t="shared" ca="1" si="762"/>
        <v>52371830.503588416</v>
      </c>
      <c r="U823" s="2">
        <f t="shared" ca="1" si="763"/>
        <v>57500089.900504589</v>
      </c>
      <c r="V823" s="2">
        <f t="shared" ca="1" si="764"/>
        <v>63130509.412680767</v>
      </c>
      <c r="W823" s="2">
        <f t="shared" ca="1" si="765"/>
        <v>69312260.652128145</v>
      </c>
      <c r="X823" s="2">
        <f t="shared" ca="1" si="766"/>
        <v>76099330.124264017</v>
      </c>
      <c r="Y823" s="2">
        <f t="shared" ca="1" si="767"/>
        <v>0.12826139849807058</v>
      </c>
      <c r="Z823" s="2">
        <f t="shared" ca="1" si="768"/>
        <v>0.1315659578972988</v>
      </c>
      <c r="AA823" s="2">
        <f t="shared" ca="1" si="769"/>
        <v>6717284.222294162</v>
      </c>
      <c r="AB823" s="2">
        <f t="shared" ca="1" si="770"/>
        <v>7565054.4069406828</v>
      </c>
      <c r="AC823" s="2">
        <f t="shared" ca="1" si="771"/>
        <v>8305825.9434237834</v>
      </c>
      <c r="AD823" s="2">
        <f t="shared" ca="1" si="772"/>
        <v>9119133.9667244926</v>
      </c>
      <c r="AE823" s="2">
        <f t="shared" ca="1" si="773"/>
        <v>10012081.263141561</v>
      </c>
      <c r="AF823" s="2">
        <f t="shared" ca="1" si="774"/>
        <v>1047436.6100717683</v>
      </c>
      <c r="AG823" s="2">
        <f t="shared" ca="1" si="775"/>
        <v>1150001.7980100918</v>
      </c>
      <c r="AH823" s="2">
        <f t="shared" ca="1" si="776"/>
        <v>1262610.1882536153</v>
      </c>
      <c r="AI823" s="2">
        <f t="shared" ca="1" si="777"/>
        <v>1386245.2130425628</v>
      </c>
      <c r="AJ823" s="2">
        <f t="shared" ca="1" si="778"/>
        <v>1521986.6024852803</v>
      </c>
      <c r="AK823" s="2">
        <f t="shared" ca="1" si="779"/>
        <v>0</v>
      </c>
      <c r="AL823" s="2">
        <f t="shared" ca="1" si="780"/>
        <v>51282.593969161739</v>
      </c>
      <c r="AM823" s="2">
        <f t="shared" ca="1" si="781"/>
        <v>56304.195121761783</v>
      </c>
      <c r="AN823" s="2">
        <f t="shared" ca="1" si="782"/>
        <v>61817.512394473779</v>
      </c>
      <c r="AO823" s="2">
        <f t="shared" ca="1" si="783"/>
        <v>67870.694721358712</v>
      </c>
      <c r="AP823" s="2">
        <f t="shared" ca="1" si="784"/>
        <v>2300292.2043095925</v>
      </c>
      <c r="AQ823" s="2">
        <f t="shared" ca="1" si="785"/>
        <v>876084.40605732845</v>
      </c>
      <c r="AR823" s="2">
        <f t="shared" ca="1" si="786"/>
        <v>1069837.7052014598</v>
      </c>
      <c r="AS823" s="2">
        <f t="shared" ca="1" si="787"/>
        <v>1233160.1232237499</v>
      </c>
      <c r="AT823" s="2">
        <f t="shared" ca="1" si="788"/>
        <v>1412475.102836808</v>
      </c>
      <c r="AU823" s="2">
        <f t="shared" ca="1" si="789"/>
        <v>1609348.6386501391</v>
      </c>
      <c r="AV823" s="2">
        <f t="shared" ca="1" si="790"/>
        <v>2493471.0018554735</v>
      </c>
      <c r="AW823" s="2">
        <f t="shared" ca="1" si="791"/>
        <v>2993640.1054503773</v>
      </c>
      <c r="AX823" s="2">
        <f t="shared" ca="1" si="792"/>
        <v>3453459.2325150645</v>
      </c>
      <c r="AY823" s="2">
        <f t="shared" ca="1" si="793"/>
        <v>3958303.9341410552</v>
      </c>
      <c r="AZ823" s="2">
        <f t="shared" ca="1" si="794"/>
        <v>4512583.1229751911</v>
      </c>
      <c r="BA823" s="2">
        <f t="shared" ca="1" si="795"/>
        <v>73379734.741799757</v>
      </c>
      <c r="BB823" s="2">
        <f t="shared" ca="1" si="796"/>
        <v>1467594.6948359951</v>
      </c>
      <c r="BC823" s="2">
        <f t="shared" ca="1" si="797"/>
        <v>46353337.776857175</v>
      </c>
      <c r="BD823" s="2">
        <f t="shared" ca="1" si="798"/>
        <v>-18604151.607992165</v>
      </c>
      <c r="BE823" s="2">
        <f t="shared" ca="1" si="799"/>
        <v>2493471.0018554735</v>
      </c>
      <c r="BF823" s="2">
        <f t="shared" ca="1" si="800"/>
        <v>2993640.1054503773</v>
      </c>
      <c r="BG823" s="2">
        <f t="shared" ca="1" si="801"/>
        <v>3453459.2325150645</v>
      </c>
      <c r="BH823" s="2">
        <f t="shared" ca="1" si="802"/>
        <v>3958303.9341410552</v>
      </c>
      <c r="BI823" s="2">
        <f t="shared" ca="1" si="803"/>
        <v>50865920.899832368</v>
      </c>
      <c r="BJ823" s="2">
        <f t="shared" ca="1" si="804"/>
        <v>0.32857846887182518</v>
      </c>
      <c r="BK823" s="2">
        <f t="shared" ca="1" si="805"/>
        <v>19845040.68790143</v>
      </c>
    </row>
    <row r="824" spans="1:63" x14ac:dyDescent="0.3">
      <c r="A824" s="2">
        <v>823</v>
      </c>
      <c r="B824" s="2">
        <f t="shared" ca="1" si="744"/>
        <v>0.37075030009958765</v>
      </c>
      <c r="C824" s="2">
        <f t="shared" ca="1" si="745"/>
        <v>6.8611042911280693</v>
      </c>
      <c r="D824" s="2">
        <f t="shared" ca="1" si="746"/>
        <v>0.7433239555974589</v>
      </c>
      <c r="E824" s="2">
        <f t="shared" ca="1" si="747"/>
        <v>7.7835140693599891</v>
      </c>
      <c r="F824" s="2">
        <f t="shared" ca="1" si="748"/>
        <v>0.53112547362488005</v>
      </c>
      <c r="G824" s="2">
        <f t="shared" ca="1" si="749"/>
        <v>4.234297942481751E-2</v>
      </c>
      <c r="H824" s="2">
        <f t="shared" ca="1" si="750"/>
        <v>4.234297942481751E-2</v>
      </c>
      <c r="I824" s="2">
        <f t="shared" ca="1" si="751"/>
        <v>0.11914481460803406</v>
      </c>
      <c r="J824" s="2">
        <f t="shared" ca="1" si="752"/>
        <v>4.1036367998989968E-3</v>
      </c>
      <c r="K824" s="2">
        <f t="shared" ca="1" si="753"/>
        <v>4.1036367998989968E-3</v>
      </c>
      <c r="L824" s="2">
        <f t="shared" ca="1" si="754"/>
        <v>0.84151014096747867</v>
      </c>
      <c r="M824" s="2">
        <f t="shared" ca="1" si="755"/>
        <v>2.0013675329058133E-2</v>
      </c>
      <c r="N824" s="2">
        <f t="shared" ca="1" si="756"/>
        <v>2.0013675329058133E-2</v>
      </c>
      <c r="O824" s="2">
        <f t="shared" si="757"/>
        <v>6000000</v>
      </c>
      <c r="P824" s="2">
        <f t="shared" ca="1" si="758"/>
        <v>41166625.746768415</v>
      </c>
      <c r="Q824" s="2">
        <f t="shared" ca="1" si="759"/>
        <v>1029165.6436692104</v>
      </c>
      <c r="R824" s="2">
        <f t="shared" ca="1" si="760"/>
        <v>24699975.448061049</v>
      </c>
      <c r="S824" s="2">
        <f t="shared" ca="1" si="761"/>
        <v>16466650.298707366</v>
      </c>
      <c r="T824" s="2">
        <f t="shared" ca="1" si="762"/>
        <v>51000683.766452901</v>
      </c>
      <c r="U824" s="2">
        <f t="shared" ca="1" si="763"/>
        <v>53160204.669827446</v>
      </c>
      <c r="V824" s="2">
        <f t="shared" ca="1" si="764"/>
        <v>55411166.122381039</v>
      </c>
      <c r="W824" s="2">
        <f t="shared" ca="1" si="765"/>
        <v>57757439.989406168</v>
      </c>
      <c r="X824" s="2">
        <f t="shared" ca="1" si="766"/>
        <v>60203062.08250773</v>
      </c>
      <c r="Y824" s="2">
        <f t="shared" ca="1" si="767"/>
        <v>0.1220518183999495</v>
      </c>
      <c r="Z824" s="2">
        <f t="shared" ca="1" si="768"/>
        <v>0.1228725457599293</v>
      </c>
      <c r="AA824" s="2">
        <f t="shared" ca="1" si="769"/>
        <v>6224726.193336362</v>
      </c>
      <c r="AB824" s="2">
        <f t="shared" ca="1" si="770"/>
        <v>6531929.6809005802</v>
      </c>
      <c r="AC824" s="2">
        <f t="shared" ca="1" si="771"/>
        <v>6808511.0449833088</v>
      </c>
      <c r="AD824" s="2">
        <f t="shared" ca="1" si="772"/>
        <v>7096803.68807468</v>
      </c>
      <c r="AE824" s="2">
        <f t="shared" ca="1" si="773"/>
        <v>7397303.5006207954</v>
      </c>
      <c r="AF824" s="2">
        <f t="shared" ca="1" si="774"/>
        <v>1020013.6753290581</v>
      </c>
      <c r="AG824" s="2">
        <f t="shared" ca="1" si="775"/>
        <v>1063204.0933965489</v>
      </c>
      <c r="AH824" s="2">
        <f t="shared" ca="1" si="776"/>
        <v>1108223.3224476208</v>
      </c>
      <c r="AI824" s="2">
        <f t="shared" ca="1" si="777"/>
        <v>1155148.7997881235</v>
      </c>
      <c r="AJ824" s="2">
        <f t="shared" ca="1" si="778"/>
        <v>1204061.2416501546</v>
      </c>
      <c r="AK824" s="2">
        <f t="shared" ca="1" si="779"/>
        <v>0</v>
      </c>
      <c r="AL824" s="2">
        <f t="shared" ca="1" si="780"/>
        <v>21595.209033745454</v>
      </c>
      <c r="AM824" s="2">
        <f t="shared" ca="1" si="781"/>
        <v>22509.614525535926</v>
      </c>
      <c r="AN824" s="2">
        <f t="shared" ca="1" si="782"/>
        <v>23462.738670251296</v>
      </c>
      <c r="AO824" s="2">
        <f t="shared" ca="1" si="783"/>
        <v>24456.22093101561</v>
      </c>
      <c r="AP824" s="2">
        <f t="shared" ca="1" si="784"/>
        <v>2222997.7903254945</v>
      </c>
      <c r="AQ824" s="2">
        <f t="shared" ca="1" si="785"/>
        <v>775245.82919727045</v>
      </c>
      <c r="AR824" s="2">
        <f t="shared" ca="1" si="786"/>
        <v>843889.22726641956</v>
      </c>
      <c r="AS824" s="2">
        <f t="shared" ca="1" si="787"/>
        <v>904095.38237465045</v>
      </c>
      <c r="AT824" s="2">
        <f t="shared" ca="1" si="788"/>
        <v>966850.84546987631</v>
      </c>
      <c r="AU824" s="2">
        <f t="shared" ca="1" si="789"/>
        <v>1032263.561847738</v>
      </c>
      <c r="AV824" s="2">
        <f t="shared" ca="1" si="790"/>
        <v>2206468.8984845383</v>
      </c>
      <c r="AW824" s="2">
        <f t="shared" ca="1" si="791"/>
        <v>2380243.3608783716</v>
      </c>
      <c r="AX824" s="2">
        <f t="shared" ca="1" si="792"/>
        <v>2550684.9353100071</v>
      </c>
      <c r="AY824" s="2">
        <f t="shared" ca="1" si="793"/>
        <v>2728343.513820935</v>
      </c>
      <c r="AZ824" s="2">
        <f t="shared" ca="1" si="794"/>
        <v>2913524.6858663922</v>
      </c>
      <c r="BA824" s="2">
        <f t="shared" ca="1" si="795"/>
        <v>57577015.872407861</v>
      </c>
      <c r="BB824" s="2">
        <f t="shared" ca="1" si="796"/>
        <v>1151540.3174481574</v>
      </c>
      <c r="BC824" s="2">
        <f t="shared" ca="1" si="797"/>
        <v>31725500.106898654</v>
      </c>
      <c r="BD824" s="2">
        <f t="shared" ca="1" si="798"/>
        <v>-17995815.942376576</v>
      </c>
      <c r="BE824" s="2">
        <f t="shared" ca="1" si="799"/>
        <v>2206468.8984845383</v>
      </c>
      <c r="BF824" s="2">
        <f t="shared" ca="1" si="800"/>
        <v>2380243.3608783716</v>
      </c>
      <c r="BG824" s="2">
        <f t="shared" ca="1" si="801"/>
        <v>2550684.9353100071</v>
      </c>
      <c r="BH824" s="2">
        <f t="shared" ca="1" si="802"/>
        <v>2728343.513820935</v>
      </c>
      <c r="BI824" s="2">
        <f t="shared" ca="1" si="803"/>
        <v>34639024.792765044</v>
      </c>
      <c r="BJ824" s="2">
        <f t="shared" ca="1" si="804"/>
        <v>0.23391850242235113</v>
      </c>
      <c r="BK824" s="2">
        <f t="shared" ca="1" si="805"/>
        <v>9076312.7142991014</v>
      </c>
    </row>
    <row r="825" spans="1:63" x14ac:dyDescent="0.3">
      <c r="A825" s="2">
        <v>824</v>
      </c>
      <c r="B825" s="2">
        <f t="shared" ca="1" si="744"/>
        <v>0.53100610712769436</v>
      </c>
      <c r="C825" s="2">
        <f t="shared" ca="1" si="745"/>
        <v>7.0315023047293241</v>
      </c>
      <c r="D825" s="2">
        <f t="shared" ca="1" si="746"/>
        <v>0.92545315711640774</v>
      </c>
      <c r="E825" s="2">
        <f t="shared" ca="1" si="747"/>
        <v>8.1138734847654401</v>
      </c>
      <c r="F825" s="2">
        <f t="shared" ca="1" si="748"/>
        <v>0.90923155703284519</v>
      </c>
      <c r="G825" s="2">
        <f t="shared" ca="1" si="749"/>
        <v>8.0081136989742105E-2</v>
      </c>
      <c r="H825" s="2">
        <f t="shared" ca="1" si="750"/>
        <v>8.0081136989742105E-2</v>
      </c>
      <c r="I825" s="2">
        <f t="shared" ca="1" si="751"/>
        <v>0.93035100719497554</v>
      </c>
      <c r="J825" s="2">
        <f t="shared" ca="1" si="752"/>
        <v>1.7392051584975515E-2</v>
      </c>
      <c r="K825" s="2">
        <f t="shared" ca="1" si="753"/>
        <v>1.7392051584975515E-2</v>
      </c>
      <c r="L825" s="2">
        <f t="shared" ca="1" si="754"/>
        <v>0.36839019112483695</v>
      </c>
      <c r="M825" s="2">
        <f t="shared" ca="1" si="755"/>
        <v>-6.7223998638648655E-3</v>
      </c>
      <c r="N825" s="2">
        <f t="shared" ca="1" si="756"/>
        <v>-6.7223998638648655E-3</v>
      </c>
      <c r="O825" s="2">
        <f t="shared" si="757"/>
        <v>6000000</v>
      </c>
      <c r="P825" s="2">
        <f t="shared" ca="1" si="758"/>
        <v>42189013.828375943</v>
      </c>
      <c r="Q825" s="2">
        <f t="shared" ca="1" si="759"/>
        <v>1054725.3457093986</v>
      </c>
      <c r="R825" s="2">
        <f t="shared" ca="1" si="760"/>
        <v>25313408.297025565</v>
      </c>
      <c r="S825" s="2">
        <f t="shared" ca="1" si="761"/>
        <v>16875605.531350378</v>
      </c>
      <c r="T825" s="2">
        <f t="shared" ca="1" si="762"/>
        <v>49663880.006806754</v>
      </c>
      <c r="U825" s="2">
        <f t="shared" ca="1" si="763"/>
        <v>53641019.985073954</v>
      </c>
      <c r="V825" s="2">
        <f t="shared" ca="1" si="764"/>
        <v>57936653.85476815</v>
      </c>
      <c r="W825" s="2">
        <f t="shared" ca="1" si="765"/>
        <v>62576286.968839109</v>
      </c>
      <c r="X825" s="2">
        <f t="shared" ca="1" si="766"/>
        <v>67587467.177900121</v>
      </c>
      <c r="Y825" s="2">
        <f t="shared" ca="1" si="767"/>
        <v>0.12869602579248776</v>
      </c>
      <c r="Z825" s="2">
        <f t="shared" ca="1" si="768"/>
        <v>0.13217443610948285</v>
      </c>
      <c r="AA825" s="2">
        <f t="shared" ca="1" si="769"/>
        <v>6391543.9823110197</v>
      </c>
      <c r="AB825" s="2">
        <f t="shared" ca="1" si="770"/>
        <v>7089971.5688646501</v>
      </c>
      <c r="AC825" s="2">
        <f t="shared" ca="1" si="771"/>
        <v>7657744.5533242757</v>
      </c>
      <c r="AD825" s="2">
        <f t="shared" ca="1" si="772"/>
        <v>8270985.4439314883</v>
      </c>
      <c r="AE825" s="2">
        <f t="shared" ca="1" si="773"/>
        <v>8933335.3623071276</v>
      </c>
      <c r="AF825" s="2">
        <f t="shared" ca="1" si="774"/>
        <v>993277.60013613512</v>
      </c>
      <c r="AG825" s="2">
        <f t="shared" ca="1" si="775"/>
        <v>1072820.3997014791</v>
      </c>
      <c r="AH825" s="2">
        <f t="shared" ca="1" si="776"/>
        <v>1158733.0770953631</v>
      </c>
      <c r="AI825" s="2">
        <f t="shared" ca="1" si="777"/>
        <v>1251525.7393767822</v>
      </c>
      <c r="AJ825" s="2">
        <f t="shared" ca="1" si="778"/>
        <v>1351749.3435580025</v>
      </c>
      <c r="AK825" s="2">
        <f t="shared" ca="1" si="779"/>
        <v>0</v>
      </c>
      <c r="AL825" s="2">
        <f t="shared" ca="1" si="780"/>
        <v>39771.399782672001</v>
      </c>
      <c r="AM825" s="2">
        <f t="shared" ca="1" si="781"/>
        <v>42956.338696941959</v>
      </c>
      <c r="AN825" s="2">
        <f t="shared" ca="1" si="782"/>
        <v>46396.331140709597</v>
      </c>
      <c r="AO825" s="2">
        <f t="shared" ca="1" si="783"/>
        <v>50111.802090610116</v>
      </c>
      <c r="AP825" s="2">
        <f t="shared" ca="1" si="784"/>
        <v>2278206.7467323006</v>
      </c>
      <c r="AQ825" s="2">
        <f t="shared" ca="1" si="785"/>
        <v>811215.50521507196</v>
      </c>
      <c r="AR825" s="2">
        <f t="shared" ca="1" si="786"/>
        <v>972125.54983202636</v>
      </c>
      <c r="AS825" s="2">
        <f t="shared" ca="1" si="787"/>
        <v>1097409.229669119</v>
      </c>
      <c r="AT825" s="2">
        <f t="shared" ca="1" si="788"/>
        <v>1232725.7690338253</v>
      </c>
      <c r="AU825" s="2">
        <f t="shared" ca="1" si="789"/>
        <v>1378878.6107243747</v>
      </c>
      <c r="AV825" s="2">
        <f t="shared" ca="1" si="790"/>
        <v>2308844.1302275122</v>
      </c>
      <c r="AW825" s="2">
        <f t="shared" ca="1" si="791"/>
        <v>2727047.4728161725</v>
      </c>
      <c r="AX825" s="2">
        <f t="shared" ca="1" si="792"/>
        <v>3080439.1611305508</v>
      </c>
      <c r="AY825" s="2">
        <f t="shared" ca="1" si="793"/>
        <v>3462130.8576478702</v>
      </c>
      <c r="AZ825" s="2">
        <f t="shared" ca="1" si="794"/>
        <v>3874388.8592018397</v>
      </c>
      <c r="BA825" s="2">
        <f t="shared" ca="1" si="795"/>
        <v>72483952.926741272</v>
      </c>
      <c r="BB825" s="2">
        <f t="shared" ca="1" si="796"/>
        <v>1449679.0585348255</v>
      </c>
      <c r="BC825" s="2">
        <f t="shared" ca="1" si="797"/>
        <v>45720865.571180888</v>
      </c>
      <c r="BD825" s="2">
        <f t="shared" ca="1" si="798"/>
        <v>-18430330.877059776</v>
      </c>
      <c r="BE825" s="2">
        <f t="shared" ca="1" si="799"/>
        <v>2308844.1302275122</v>
      </c>
      <c r="BF825" s="2">
        <f t="shared" ca="1" si="800"/>
        <v>2727047.4728161725</v>
      </c>
      <c r="BG825" s="2">
        <f t="shared" ca="1" si="801"/>
        <v>3080439.1611305508</v>
      </c>
      <c r="BH825" s="2">
        <f t="shared" ca="1" si="802"/>
        <v>3462130.8576478702</v>
      </c>
      <c r="BI825" s="2">
        <f t="shared" ca="1" si="803"/>
        <v>49595254.430382729</v>
      </c>
      <c r="BJ825" s="2">
        <f t="shared" ca="1" si="804"/>
        <v>0.31547676027864724</v>
      </c>
      <c r="BK825" s="2">
        <f t="shared" ca="1" si="805"/>
        <v>18339644.424795758</v>
      </c>
    </row>
    <row r="826" spans="1:63" x14ac:dyDescent="0.3">
      <c r="A826" s="2">
        <v>825</v>
      </c>
      <c r="B826" s="2">
        <f t="shared" ca="1" si="744"/>
        <v>0.43950333452051893</v>
      </c>
      <c r="C826" s="2">
        <f t="shared" ca="1" si="745"/>
        <v>6.9375535552921965</v>
      </c>
      <c r="D826" s="2">
        <f t="shared" ca="1" si="746"/>
        <v>0.20442327747714351</v>
      </c>
      <c r="E826" s="2">
        <f t="shared" ca="1" si="747"/>
        <v>7.1394111001181377</v>
      </c>
      <c r="F826" s="2">
        <f t="shared" ca="1" si="748"/>
        <v>0.27663084912206326</v>
      </c>
      <c r="G826" s="2">
        <f t="shared" ca="1" si="749"/>
        <v>2.2213610515590013E-2</v>
      </c>
      <c r="H826" s="2">
        <f t="shared" ca="1" si="750"/>
        <v>2.2213610515590013E-2</v>
      </c>
      <c r="I826" s="2">
        <f t="shared" ca="1" si="751"/>
        <v>0.48278743641120891</v>
      </c>
      <c r="J826" s="2">
        <f t="shared" ca="1" si="752"/>
        <v>9.7842055328255552E-3</v>
      </c>
      <c r="K826" s="2">
        <f t="shared" ca="1" si="753"/>
        <v>9.7842055328255552E-3</v>
      </c>
      <c r="L826" s="2">
        <f t="shared" ca="1" si="754"/>
        <v>0.19552767795840287</v>
      </c>
      <c r="M826" s="2">
        <f t="shared" ca="1" si="755"/>
        <v>-1.7154100814835795E-2</v>
      </c>
      <c r="N826" s="2">
        <f t="shared" ca="1" si="756"/>
        <v>-1.7154100814835795E-2</v>
      </c>
      <c r="O826" s="2">
        <f t="shared" si="757"/>
        <v>6000000</v>
      </c>
      <c r="P826" s="2">
        <f t="shared" ca="1" si="758"/>
        <v>41625321.331753179</v>
      </c>
      <c r="Q826" s="2">
        <f t="shared" ca="1" si="759"/>
        <v>1040633.0332938295</v>
      </c>
      <c r="R826" s="2">
        <f t="shared" ca="1" si="760"/>
        <v>24975192.799051907</v>
      </c>
      <c r="S826" s="2">
        <f t="shared" ca="1" si="761"/>
        <v>16650128.532701273</v>
      </c>
      <c r="T826" s="2">
        <f t="shared" ca="1" si="762"/>
        <v>49142294.959258206</v>
      </c>
      <c r="U826" s="2">
        <f t="shared" ca="1" si="763"/>
        <v>50233922.759325415</v>
      </c>
      <c r="V826" s="2">
        <f t="shared" ca="1" si="764"/>
        <v>51349799.554171309</v>
      </c>
      <c r="W826" s="2">
        <f t="shared" ca="1" si="765"/>
        <v>52490464.001521297</v>
      </c>
      <c r="X826" s="2">
        <f t="shared" ca="1" si="766"/>
        <v>53656466.724633694</v>
      </c>
      <c r="Y826" s="2">
        <f t="shared" ca="1" si="767"/>
        <v>0.12489210276641277</v>
      </c>
      <c r="Z826" s="2">
        <f t="shared" ca="1" si="768"/>
        <v>0.12684894387297788</v>
      </c>
      <c r="AA826" s="2">
        <f t="shared" ca="1" si="769"/>
        <v>6137484.552229044</v>
      </c>
      <c r="AB826" s="2">
        <f t="shared" ca="1" si="770"/>
        <v>6372120.0486171758</v>
      </c>
      <c r="AC826" s="2">
        <f t="shared" ca="1" si="771"/>
        <v>6513667.8415357405</v>
      </c>
      <c r="AD826" s="2">
        <f t="shared" ca="1" si="772"/>
        <v>6658359.9219955411</v>
      </c>
      <c r="AE826" s="2">
        <f t="shared" ca="1" si="773"/>
        <v>6806266.1359753646</v>
      </c>
      <c r="AF826" s="2">
        <f t="shared" ca="1" si="774"/>
        <v>982845.89918516413</v>
      </c>
      <c r="AG826" s="2">
        <f t="shared" ca="1" si="775"/>
        <v>1004678.4551865084</v>
      </c>
      <c r="AH826" s="2">
        <f t="shared" ca="1" si="776"/>
        <v>1026995.9910834262</v>
      </c>
      <c r="AI826" s="2">
        <f t="shared" ca="1" si="777"/>
        <v>1049809.2800304259</v>
      </c>
      <c r="AJ826" s="2">
        <f t="shared" ca="1" si="778"/>
        <v>1073129.3344926739</v>
      </c>
      <c r="AK826" s="2">
        <f t="shared" ca="1" si="779"/>
        <v>0</v>
      </c>
      <c r="AL826" s="2">
        <f t="shared" ca="1" si="780"/>
        <v>10916.278000672088</v>
      </c>
      <c r="AM826" s="2">
        <f t="shared" ca="1" si="781"/>
        <v>11158.767948458941</v>
      </c>
      <c r="AN826" s="2">
        <f t="shared" ca="1" si="782"/>
        <v>11406.644473499879</v>
      </c>
      <c r="AO826" s="2">
        <f t="shared" ca="1" si="783"/>
        <v>11660.02723112397</v>
      </c>
      <c r="AP826" s="2">
        <f t="shared" ca="1" si="784"/>
        <v>2247767.3519146717</v>
      </c>
      <c r="AQ826" s="2">
        <f t="shared" ca="1" si="785"/>
        <v>755786.53829359426</v>
      </c>
      <c r="AR826" s="2">
        <f t="shared" ca="1" si="786"/>
        <v>811115.30279415881</v>
      </c>
      <c r="AS826" s="2">
        <f t="shared" ca="1" si="787"/>
        <v>842115.16961978702</v>
      </c>
      <c r="AT826" s="2">
        <f t="shared" ca="1" si="788"/>
        <v>873803.6554131154</v>
      </c>
      <c r="AU826" s="2">
        <f t="shared" ca="1" si="789"/>
        <v>906196.05688768497</v>
      </c>
      <c r="AV826" s="2">
        <f t="shared" ca="1" si="790"/>
        <v>2151084.7628356139</v>
      </c>
      <c r="AW826" s="2">
        <f t="shared" ca="1" si="791"/>
        <v>2297642.6607211647</v>
      </c>
      <c r="AX826" s="2">
        <f t="shared" ca="1" si="792"/>
        <v>2385630.560969396</v>
      </c>
      <c r="AY826" s="2">
        <f t="shared" ca="1" si="793"/>
        <v>2475572.9901638287</v>
      </c>
      <c r="AZ826" s="2">
        <f t="shared" ca="1" si="794"/>
        <v>2567513.3654492092</v>
      </c>
      <c r="BA826" s="2">
        <f t="shared" ca="1" si="795"/>
        <v>48592732.001540706</v>
      </c>
      <c r="BB826" s="2">
        <f t="shared" ca="1" si="796"/>
        <v>971854.6400308141</v>
      </c>
      <c r="BC826" s="2">
        <f t="shared" ca="1" si="797"/>
        <v>22645684.562457986</v>
      </c>
      <c r="BD826" s="2">
        <f t="shared" ca="1" si="798"/>
        <v>-18190761.565995101</v>
      </c>
      <c r="BE826" s="2">
        <f t="shared" ca="1" si="799"/>
        <v>2151084.7628356139</v>
      </c>
      <c r="BF826" s="2">
        <f t="shared" ca="1" si="800"/>
        <v>2297642.6607211647</v>
      </c>
      <c r="BG826" s="2">
        <f t="shared" ca="1" si="801"/>
        <v>2385630.560969396</v>
      </c>
      <c r="BH826" s="2">
        <f t="shared" ca="1" si="802"/>
        <v>2475572.9901638287</v>
      </c>
      <c r="BI826" s="2">
        <f t="shared" ca="1" si="803"/>
        <v>25213197.927907195</v>
      </c>
      <c r="BJ826" s="2">
        <f t="shared" ca="1" si="804"/>
        <v>0.16421592315180122</v>
      </c>
      <c r="BK826" s="2">
        <f t="shared" ca="1" si="805"/>
        <v>3139478.2157017291</v>
      </c>
    </row>
    <row r="827" spans="1:63" x14ac:dyDescent="0.3">
      <c r="A827" s="2">
        <v>826</v>
      </c>
      <c r="B827" s="2">
        <f t="shared" ca="1" si="744"/>
        <v>0.28412583386872947</v>
      </c>
      <c r="C827" s="2">
        <f t="shared" ca="1" si="745"/>
        <v>6.7538246929740753</v>
      </c>
      <c r="D827" s="2">
        <f t="shared" ca="1" si="746"/>
        <v>0.297548326863181</v>
      </c>
      <c r="E827" s="2">
        <f t="shared" ca="1" si="747"/>
        <v>7.2714250797882851</v>
      </c>
      <c r="F827" s="2">
        <f t="shared" ca="1" si="748"/>
        <v>0.15779205325593293</v>
      </c>
      <c r="G827" s="2">
        <f t="shared" ca="1" si="749"/>
        <v>9.8927871288460381E-3</v>
      </c>
      <c r="H827" s="2">
        <f t="shared" ca="1" si="750"/>
        <v>9.8927871288460381E-3</v>
      </c>
      <c r="I827" s="2">
        <f t="shared" ca="1" si="751"/>
        <v>0.33299951246464776</v>
      </c>
      <c r="J827" s="2">
        <f t="shared" ca="1" si="752"/>
        <v>7.8417720961413938E-3</v>
      </c>
      <c r="K827" s="2">
        <f t="shared" ca="1" si="753"/>
        <v>7.8417720961413938E-3</v>
      </c>
      <c r="L827" s="2">
        <f t="shared" ca="1" si="754"/>
        <v>0.51735468110076244</v>
      </c>
      <c r="M827" s="2">
        <f t="shared" ca="1" si="755"/>
        <v>8.7030927785784697E-4</v>
      </c>
      <c r="N827" s="2">
        <f t="shared" ca="1" si="756"/>
        <v>8.7030927785784697E-4</v>
      </c>
      <c r="O827" s="2">
        <f t="shared" si="757"/>
        <v>6000000</v>
      </c>
      <c r="P827" s="2">
        <f t="shared" ca="1" si="758"/>
        <v>40522948.157844454</v>
      </c>
      <c r="Q827" s="2">
        <f t="shared" ca="1" si="759"/>
        <v>1013073.7039461114</v>
      </c>
      <c r="R827" s="2">
        <f t="shared" ca="1" si="760"/>
        <v>24313768.89470667</v>
      </c>
      <c r="S827" s="2">
        <f t="shared" ca="1" si="761"/>
        <v>16209179.263137782</v>
      </c>
      <c r="T827" s="2">
        <f t="shared" ca="1" si="762"/>
        <v>50043515.463892899</v>
      </c>
      <c r="U827" s="2">
        <f t="shared" ca="1" si="763"/>
        <v>50538585.309556313</v>
      </c>
      <c r="V827" s="2">
        <f t="shared" ca="1" si="764"/>
        <v>51038552.775816783</v>
      </c>
      <c r="W827" s="2">
        <f t="shared" ca="1" si="765"/>
        <v>51543466.313792318</v>
      </c>
      <c r="X827" s="2">
        <f t="shared" ca="1" si="766"/>
        <v>52053374.853917517</v>
      </c>
      <c r="Y827" s="2">
        <f t="shared" ca="1" si="767"/>
        <v>0.12392088604807069</v>
      </c>
      <c r="Z827" s="2">
        <f t="shared" ca="1" si="768"/>
        <v>0.12548924046729898</v>
      </c>
      <c r="AA827" s="2">
        <f t="shared" ca="1" si="769"/>
        <v>6201436.777245936</v>
      </c>
      <c r="AB827" s="2">
        <f t="shared" ca="1" si="770"/>
        <v>6342048.6847880157</v>
      </c>
      <c r="AC827" s="2">
        <f t="shared" ca="1" si="771"/>
        <v>6404789.2223874023</v>
      </c>
      <c r="AD827" s="2">
        <f t="shared" ca="1" si="772"/>
        <v>6468150.4387696087</v>
      </c>
      <c r="AE827" s="2">
        <f t="shared" ca="1" si="773"/>
        <v>6532138.4741777088</v>
      </c>
      <c r="AF827" s="2">
        <f t="shared" ca="1" si="774"/>
        <v>1000870.309277858</v>
      </c>
      <c r="AG827" s="2">
        <f t="shared" ca="1" si="775"/>
        <v>1010771.7061911263</v>
      </c>
      <c r="AH827" s="2">
        <f t="shared" ca="1" si="776"/>
        <v>1020771.0555163356</v>
      </c>
      <c r="AI827" s="2">
        <f t="shared" ca="1" si="777"/>
        <v>1030869.3262758463</v>
      </c>
      <c r="AJ827" s="2">
        <f t="shared" ca="1" si="778"/>
        <v>1041067.4970783504</v>
      </c>
      <c r="AK827" s="2">
        <f t="shared" ca="1" si="779"/>
        <v>0</v>
      </c>
      <c r="AL827" s="2">
        <f t="shared" ca="1" si="780"/>
        <v>4950.6984566341343</v>
      </c>
      <c r="AM827" s="2">
        <f t="shared" ca="1" si="781"/>
        <v>4999.6746626047043</v>
      </c>
      <c r="AN827" s="2">
        <f t="shared" ca="1" si="782"/>
        <v>5049.1353797553484</v>
      </c>
      <c r="AO827" s="2">
        <f t="shared" ca="1" si="783"/>
        <v>5099.0854012519867</v>
      </c>
      <c r="AP827" s="2">
        <f t="shared" ca="1" si="784"/>
        <v>2188239.2005236004</v>
      </c>
      <c r="AQ827" s="2">
        <f t="shared" ca="1" si="785"/>
        <v>783205.0895355643</v>
      </c>
      <c r="AR827" s="2">
        <f t="shared" ca="1" si="786"/>
        <v>817189.82229905517</v>
      </c>
      <c r="AS827" s="2">
        <f t="shared" ca="1" si="787"/>
        <v>830902.53125034133</v>
      </c>
      <c r="AT827" s="2">
        <f t="shared" ca="1" si="788"/>
        <v>844750.89711224218</v>
      </c>
      <c r="AU827" s="2">
        <f t="shared" ca="1" si="789"/>
        <v>858736.26190969697</v>
      </c>
      <c r="AV827" s="2">
        <f t="shared" ca="1" si="790"/>
        <v>2229122.1779089137</v>
      </c>
      <c r="AW827" s="2">
        <f t="shared" ca="1" si="791"/>
        <v>2320897.2573176003</v>
      </c>
      <c r="AX827" s="2">
        <f t="shared" ca="1" si="792"/>
        <v>2359876.7604345209</v>
      </c>
      <c r="AY827" s="2">
        <f t="shared" ca="1" si="793"/>
        <v>2399241.8794781654</v>
      </c>
      <c r="AZ827" s="2">
        <f t="shared" ca="1" si="794"/>
        <v>2438996.4292648085</v>
      </c>
      <c r="BA827" s="2">
        <f t="shared" ca="1" si="795"/>
        <v>47497955.525785774</v>
      </c>
      <c r="BB827" s="2">
        <f t="shared" ca="1" si="796"/>
        <v>949959.11051571555</v>
      </c>
      <c r="BC827" s="2">
        <f t="shared" ca="1" si="797"/>
        <v>22234227.520563386</v>
      </c>
      <c r="BD827" s="2">
        <f t="shared" ca="1" si="798"/>
        <v>-17722252.967083894</v>
      </c>
      <c r="BE827" s="2">
        <f t="shared" ca="1" si="799"/>
        <v>2229122.1779089137</v>
      </c>
      <c r="BF827" s="2">
        <f t="shared" ca="1" si="800"/>
        <v>2320897.2573176003</v>
      </c>
      <c r="BG827" s="2">
        <f t="shared" ca="1" si="801"/>
        <v>2359876.7604345209</v>
      </c>
      <c r="BH827" s="2">
        <f t="shared" ca="1" si="802"/>
        <v>2399241.8794781654</v>
      </c>
      <c r="BI827" s="2">
        <f t="shared" ca="1" si="803"/>
        <v>24673223.949828196</v>
      </c>
      <c r="BJ827" s="2">
        <f t="shared" ca="1" si="804"/>
        <v>0.16813175080125564</v>
      </c>
      <c r="BK827" s="2">
        <f t="shared" ca="1" si="805"/>
        <v>3322964.9162392989</v>
      </c>
    </row>
    <row r="828" spans="1:63" x14ac:dyDescent="0.3">
      <c r="A828" s="2">
        <v>827</v>
      </c>
      <c r="B828" s="2">
        <f t="shared" ca="1" si="744"/>
        <v>0.45977605612254457</v>
      </c>
      <c r="C828" s="2">
        <f t="shared" ca="1" si="745"/>
        <v>6.9589327986074361</v>
      </c>
      <c r="D828" s="2">
        <f t="shared" ca="1" si="746"/>
        <v>0.77751480793159677</v>
      </c>
      <c r="E828" s="2">
        <f t="shared" ca="1" si="747"/>
        <v>7.8329389951909896</v>
      </c>
      <c r="F828" s="2">
        <f t="shared" ca="1" si="748"/>
        <v>0.858945555388264</v>
      </c>
      <c r="G828" s="2">
        <f t="shared" ca="1" si="749"/>
        <v>7.2267818843402526E-2</v>
      </c>
      <c r="H828" s="2">
        <f t="shared" ca="1" si="750"/>
        <v>7.2267818843402526E-2</v>
      </c>
      <c r="I828" s="2">
        <f t="shared" ca="1" si="751"/>
        <v>0.32930239809960604</v>
      </c>
      <c r="J828" s="2">
        <f t="shared" ca="1" si="752"/>
        <v>7.7907986539677765E-3</v>
      </c>
      <c r="K828" s="2">
        <f t="shared" ca="1" si="753"/>
        <v>7.7907986539677765E-3</v>
      </c>
      <c r="L828" s="2">
        <f t="shared" ca="1" si="754"/>
        <v>7.7776589916889405E-2</v>
      </c>
      <c r="M828" s="2">
        <f t="shared" ca="1" si="755"/>
        <v>-2.8403744635785988E-2</v>
      </c>
      <c r="N828" s="2">
        <f t="shared" ca="1" si="756"/>
        <v>-2.8403744635785988E-2</v>
      </c>
      <c r="O828" s="2">
        <f t="shared" si="757"/>
        <v>6000000</v>
      </c>
      <c r="P828" s="2">
        <f t="shared" ca="1" si="758"/>
        <v>41753596.791644618</v>
      </c>
      <c r="Q828" s="2">
        <f t="shared" ca="1" si="759"/>
        <v>1043839.9197911154</v>
      </c>
      <c r="R828" s="2">
        <f t="shared" ca="1" si="760"/>
        <v>25052158.074986771</v>
      </c>
      <c r="S828" s="2">
        <f t="shared" ca="1" si="761"/>
        <v>16701438.716657847</v>
      </c>
      <c r="T828" s="2">
        <f t="shared" ca="1" si="762"/>
        <v>48579812.768210702</v>
      </c>
      <c r="U828" s="2">
        <f t="shared" ca="1" si="763"/>
        <v>52090569.876790166</v>
      </c>
      <c r="V828" s="2">
        <f t="shared" ca="1" si="764"/>
        <v>55855041.744095638</v>
      </c>
      <c r="W828" s="2">
        <f t="shared" ca="1" si="765"/>
        <v>59891563.782348625</v>
      </c>
      <c r="X828" s="2">
        <f t="shared" ca="1" si="766"/>
        <v>64219796.464019485</v>
      </c>
      <c r="Y828" s="2">
        <f t="shared" ca="1" si="767"/>
        <v>0.12389539932698389</v>
      </c>
      <c r="Z828" s="2">
        <f t="shared" ca="1" si="768"/>
        <v>0.12545355905777744</v>
      </c>
      <c r="AA828" s="2">
        <f t="shared" ca="1" si="769"/>
        <v>6018815.3021475757</v>
      </c>
      <c r="AB828" s="2">
        <f t="shared" ca="1" si="770"/>
        <v>6534947.3843911774</v>
      </c>
      <c r="AC828" s="2">
        <f t="shared" ca="1" si="771"/>
        <v>7007213.7781175263</v>
      </c>
      <c r="AD828" s="2">
        <f t="shared" ca="1" si="772"/>
        <v>7513609.8340315176</v>
      </c>
      <c r="AE828" s="2">
        <f t="shared" ca="1" si="773"/>
        <v>8056602.028377315</v>
      </c>
      <c r="AF828" s="2">
        <f t="shared" ca="1" si="774"/>
        <v>971596.25536421407</v>
      </c>
      <c r="AG828" s="2">
        <f t="shared" ca="1" si="775"/>
        <v>1041811.3975358034</v>
      </c>
      <c r="AH828" s="2">
        <f t="shared" ca="1" si="776"/>
        <v>1117100.8348819127</v>
      </c>
      <c r="AI828" s="2">
        <f t="shared" ca="1" si="777"/>
        <v>1197831.2756469725</v>
      </c>
      <c r="AJ828" s="2">
        <f t="shared" ca="1" si="778"/>
        <v>1284395.9292803898</v>
      </c>
      <c r="AK828" s="2">
        <f t="shared" ca="1" si="779"/>
        <v>0</v>
      </c>
      <c r="AL828" s="2">
        <f t="shared" ca="1" si="780"/>
        <v>35107.571085794647</v>
      </c>
      <c r="AM828" s="2">
        <f t="shared" ca="1" si="781"/>
        <v>37644.718673054726</v>
      </c>
      <c r="AN828" s="2">
        <f t="shared" ca="1" si="782"/>
        <v>40365.220382529871</v>
      </c>
      <c r="AO828" s="2">
        <f t="shared" ca="1" si="783"/>
        <v>43282.326816708599</v>
      </c>
      <c r="AP828" s="2">
        <f t="shared" ca="1" si="784"/>
        <v>2254694.2267488092</v>
      </c>
      <c r="AQ828" s="2">
        <f t="shared" ca="1" si="785"/>
        <v>726056.45320898364</v>
      </c>
      <c r="AR828" s="2">
        <f t="shared" ca="1" si="786"/>
        <v>841994.85762770684</v>
      </c>
      <c r="AS828" s="2">
        <f t="shared" ca="1" si="787"/>
        <v>945208.86628656916</v>
      </c>
      <c r="AT828" s="2">
        <f t="shared" ca="1" si="788"/>
        <v>1055881.9262252913</v>
      </c>
      <c r="AU828" s="2">
        <f t="shared" ca="1" si="789"/>
        <v>1174553.0868105101</v>
      </c>
      <c r="AV828" s="2">
        <f t="shared" ca="1" si="790"/>
        <v>2066468.3668255685</v>
      </c>
      <c r="AW828" s="2">
        <f t="shared" ca="1" si="791"/>
        <v>2361339.3313930631</v>
      </c>
      <c r="AX828" s="2">
        <f t="shared" ca="1" si="792"/>
        <v>2652565.1315271799</v>
      </c>
      <c r="AY828" s="2">
        <f t="shared" ca="1" si="793"/>
        <v>2964837.1850279141</v>
      </c>
      <c r="AZ828" s="2">
        <f t="shared" ca="1" si="794"/>
        <v>3299676.4587208964</v>
      </c>
      <c r="BA828" s="2">
        <f t="shared" ca="1" si="795"/>
        <v>63106872.196811497</v>
      </c>
      <c r="BB828" s="2">
        <f t="shared" ca="1" si="796"/>
        <v>1262137.4439362299</v>
      </c>
      <c r="BC828" s="2">
        <f t="shared" ca="1" si="797"/>
        <v>36792576.677888498</v>
      </c>
      <c r="BD828" s="2">
        <f t="shared" ca="1" si="798"/>
        <v>-18245278.636448964</v>
      </c>
      <c r="BE828" s="2">
        <f t="shared" ca="1" si="799"/>
        <v>2066468.3668255685</v>
      </c>
      <c r="BF828" s="2">
        <f t="shared" ca="1" si="800"/>
        <v>2361339.3313930631</v>
      </c>
      <c r="BG828" s="2">
        <f t="shared" ca="1" si="801"/>
        <v>2652565.1315271799</v>
      </c>
      <c r="BH828" s="2">
        <f t="shared" ca="1" si="802"/>
        <v>2964837.1850279141</v>
      </c>
      <c r="BI828" s="2">
        <f t="shared" ca="1" si="803"/>
        <v>40092253.13660939</v>
      </c>
      <c r="BJ828" s="2">
        <f t="shared" ca="1" si="804"/>
        <v>0.26014492857646321</v>
      </c>
      <c r="BK828" s="2">
        <f t="shared" ca="1" si="805"/>
        <v>12003899.896418717</v>
      </c>
    </row>
    <row r="829" spans="1:63" x14ac:dyDescent="0.3">
      <c r="A829" s="2">
        <v>828</v>
      </c>
      <c r="B829" s="2">
        <f t="shared" ca="1" si="744"/>
        <v>0.45246483327626619</v>
      </c>
      <c r="C829" s="2">
        <f t="shared" ca="1" si="745"/>
        <v>6.9512779123644846</v>
      </c>
      <c r="D829" s="2">
        <f t="shared" ca="1" si="746"/>
        <v>0.7505346296959462</v>
      </c>
      <c r="E829" s="2">
        <f t="shared" ca="1" si="747"/>
        <v>7.7936497040362287</v>
      </c>
      <c r="F829" s="2">
        <f t="shared" ca="1" si="748"/>
        <v>4.939903518783928E-3</v>
      </c>
      <c r="G829" s="2">
        <f t="shared" ca="1" si="749"/>
        <v>-3.7400235384692553E-2</v>
      </c>
      <c r="H829" s="2">
        <f t="shared" ca="1" si="750"/>
        <v>-0.02</v>
      </c>
      <c r="I829" s="2">
        <f t="shared" ca="1" si="751"/>
        <v>0.16416285151972687</v>
      </c>
      <c r="J829" s="2">
        <f t="shared" ca="1" si="752"/>
        <v>5.11254067329761E-3</v>
      </c>
      <c r="K829" s="2">
        <f t="shared" ca="1" si="753"/>
        <v>5.11254067329761E-3</v>
      </c>
      <c r="L829" s="2">
        <f t="shared" ca="1" si="754"/>
        <v>0.68753937182905911</v>
      </c>
      <c r="M829" s="2">
        <f t="shared" ca="1" si="755"/>
        <v>9.7777525271916018E-3</v>
      </c>
      <c r="N829" s="2">
        <f t="shared" ca="1" si="756"/>
        <v>9.7777525271916018E-3</v>
      </c>
      <c r="O829" s="2">
        <f t="shared" si="757"/>
        <v>6000000</v>
      </c>
      <c r="P829" s="2">
        <f t="shared" ca="1" si="758"/>
        <v>41707667.474186905</v>
      </c>
      <c r="Q829" s="2">
        <f t="shared" ca="1" si="759"/>
        <v>1042691.6868546726</v>
      </c>
      <c r="R829" s="2">
        <f t="shared" ca="1" si="760"/>
        <v>25024600.484512143</v>
      </c>
      <c r="S829" s="2">
        <f t="shared" ca="1" si="761"/>
        <v>16683066.989674762</v>
      </c>
      <c r="T829" s="2">
        <f t="shared" ca="1" si="762"/>
        <v>50488887.626359582</v>
      </c>
      <c r="U829" s="2">
        <f t="shared" ca="1" si="763"/>
        <v>49479109.87383239</v>
      </c>
      <c r="V829" s="2">
        <f t="shared" ca="1" si="764"/>
        <v>48489527.676355742</v>
      </c>
      <c r="W829" s="2">
        <f t="shared" ca="1" si="765"/>
        <v>47519737.122828625</v>
      </c>
      <c r="X829" s="2">
        <f t="shared" ca="1" si="766"/>
        <v>46569342.380372055</v>
      </c>
      <c r="Y829" s="2">
        <f t="shared" ca="1" si="767"/>
        <v>0.1225562703366488</v>
      </c>
      <c r="Z829" s="2">
        <f t="shared" ca="1" si="768"/>
        <v>0.12357877847130833</v>
      </c>
      <c r="AA829" s="2">
        <f t="shared" ca="1" si="769"/>
        <v>6187729.7609328078</v>
      </c>
      <c r="AB829" s="2">
        <f t="shared" ca="1" si="770"/>
        <v>6114567.9580558576</v>
      </c>
      <c r="AC829" s="2">
        <f t="shared" ca="1" si="771"/>
        <v>5992276.5988947405</v>
      </c>
      <c r="AD829" s="2">
        <f t="shared" ca="1" si="772"/>
        <v>5872431.0669168448</v>
      </c>
      <c r="AE829" s="2">
        <f t="shared" ca="1" si="773"/>
        <v>5754982.4455785081</v>
      </c>
      <c r="AF829" s="2">
        <f t="shared" ca="1" si="774"/>
        <v>1009777.7525271917</v>
      </c>
      <c r="AG829" s="2">
        <f t="shared" ca="1" si="775"/>
        <v>989582.19747664779</v>
      </c>
      <c r="AH829" s="2">
        <f t="shared" ca="1" si="776"/>
        <v>969790.55352711491</v>
      </c>
      <c r="AI829" s="2">
        <f t="shared" ca="1" si="777"/>
        <v>950394.74245657248</v>
      </c>
      <c r="AJ829" s="2">
        <f t="shared" ca="1" si="778"/>
        <v>931386.84760744113</v>
      </c>
      <c r="AK829" s="2">
        <f t="shared" ca="1" si="779"/>
        <v>0</v>
      </c>
      <c r="AL829" s="2">
        <f t="shared" ca="1" si="780"/>
        <v>0</v>
      </c>
      <c r="AM829" s="2">
        <f t="shared" ca="1" si="781"/>
        <v>0</v>
      </c>
      <c r="AN829" s="2">
        <f t="shared" ca="1" si="782"/>
        <v>0</v>
      </c>
      <c r="AO829" s="2">
        <f t="shared" ca="1" si="783"/>
        <v>0</v>
      </c>
      <c r="AP829" s="2">
        <f t="shared" ca="1" si="784"/>
        <v>2252214.0436060927</v>
      </c>
      <c r="AQ829" s="2">
        <f t="shared" ca="1" si="785"/>
        <v>760691.87084787618</v>
      </c>
      <c r="AR829" s="2">
        <f t="shared" ca="1" si="786"/>
        <v>746920.64641301043</v>
      </c>
      <c r="AS829" s="2">
        <f t="shared" ca="1" si="787"/>
        <v>720270.72045799857</v>
      </c>
      <c r="AT829" s="2">
        <f t="shared" ca="1" si="788"/>
        <v>694153.79302208684</v>
      </c>
      <c r="AU829" s="2">
        <f t="shared" ca="1" si="789"/>
        <v>668559.20413489325</v>
      </c>
      <c r="AV829" s="2">
        <f t="shared" ca="1" si="790"/>
        <v>2165046.0939516476</v>
      </c>
      <c r="AW829" s="2">
        <f t="shared" ca="1" si="791"/>
        <v>2125851.0705601065</v>
      </c>
      <c r="AX829" s="2">
        <f t="shared" ca="1" si="792"/>
        <v>2050001.2813035347</v>
      </c>
      <c r="AY829" s="2">
        <f t="shared" ca="1" si="793"/>
        <v>1975668.4878320931</v>
      </c>
      <c r="AZ829" s="2">
        <f t="shared" ca="1" si="794"/>
        <v>1902822.350230081</v>
      </c>
      <c r="BA829" s="2">
        <f t="shared" ca="1" si="795"/>
        <v>44852317.233716629</v>
      </c>
      <c r="BB829" s="2">
        <f t="shared" ca="1" si="796"/>
        <v>897046.34467433265</v>
      </c>
      <c r="BC829" s="2">
        <f t="shared" ca="1" si="797"/>
        <v>18930670.404530153</v>
      </c>
      <c r="BD829" s="2">
        <f t="shared" ca="1" si="798"/>
        <v>-18225758.676529434</v>
      </c>
      <c r="BE829" s="2">
        <f t="shared" ca="1" si="799"/>
        <v>2165046.0939516476</v>
      </c>
      <c r="BF829" s="2">
        <f t="shared" ca="1" si="800"/>
        <v>2125851.0705601065</v>
      </c>
      <c r="BG829" s="2">
        <f t="shared" ca="1" si="801"/>
        <v>2050001.2813035347</v>
      </c>
      <c r="BH829" s="2">
        <f t="shared" ca="1" si="802"/>
        <v>1975668.4878320931</v>
      </c>
      <c r="BI829" s="2">
        <f t="shared" ca="1" si="803"/>
        <v>20833492.754760236</v>
      </c>
      <c r="BJ829" s="2">
        <f t="shared" ca="1" si="804"/>
        <v>0.11906528056000698</v>
      </c>
      <c r="BK829" s="2">
        <f t="shared" ca="1" si="805"/>
        <v>-61759.600448060781</v>
      </c>
    </row>
    <row r="830" spans="1:63" x14ac:dyDescent="0.3">
      <c r="A830" s="2">
        <v>829</v>
      </c>
      <c r="B830" s="2">
        <f t="shared" ca="1" si="744"/>
        <v>0.25843182740013915</v>
      </c>
      <c r="C830" s="2">
        <f t="shared" ca="1" si="745"/>
        <v>6.7189323019591471</v>
      </c>
      <c r="D830" s="2">
        <f t="shared" ca="1" si="746"/>
        <v>0.94880339762091404</v>
      </c>
      <c r="E830" s="2">
        <f t="shared" ca="1" si="747"/>
        <v>8.1800106177415071</v>
      </c>
      <c r="F830" s="2">
        <f t="shared" ca="1" si="748"/>
        <v>0.62323983108058001</v>
      </c>
      <c r="G830" s="2">
        <f t="shared" ca="1" si="749"/>
        <v>4.9420027686214618E-2</v>
      </c>
      <c r="H830" s="2">
        <f t="shared" ca="1" si="750"/>
        <v>4.9420027686214618E-2</v>
      </c>
      <c r="I830" s="2">
        <f t="shared" ca="1" si="751"/>
        <v>0.72451636268983843</v>
      </c>
      <c r="J830" s="2">
        <f t="shared" ca="1" si="752"/>
        <v>1.298155656664712E-2</v>
      </c>
      <c r="K830" s="2">
        <f t="shared" ca="1" si="753"/>
        <v>1.298155656664712E-2</v>
      </c>
      <c r="L830" s="2">
        <f t="shared" ca="1" si="754"/>
        <v>0.7380412118991484</v>
      </c>
      <c r="M830" s="2">
        <f t="shared" ca="1" si="755"/>
        <v>1.2746364679956814E-2</v>
      </c>
      <c r="N830" s="2">
        <f t="shared" ca="1" si="756"/>
        <v>1.2746364679956814E-2</v>
      </c>
      <c r="O830" s="2">
        <f t="shared" si="757"/>
        <v>6000000</v>
      </c>
      <c r="P830" s="2">
        <f t="shared" ca="1" si="758"/>
        <v>40313593.811754882</v>
      </c>
      <c r="Q830" s="2">
        <f t="shared" ca="1" si="759"/>
        <v>1007839.8452938721</v>
      </c>
      <c r="R830" s="2">
        <f t="shared" ca="1" si="760"/>
        <v>24188156.287052929</v>
      </c>
      <c r="S830" s="2">
        <f t="shared" ca="1" si="761"/>
        <v>16125437.524701953</v>
      </c>
      <c r="T830" s="2">
        <f t="shared" ca="1" si="762"/>
        <v>50637318.233997844</v>
      </c>
      <c r="U830" s="2">
        <f t="shared" ca="1" si="763"/>
        <v>53139815.903077684</v>
      </c>
      <c r="V830" s="2">
        <f t="shared" ca="1" si="764"/>
        <v>55765987.076248132</v>
      </c>
      <c r="W830" s="2">
        <f t="shared" ca="1" si="765"/>
        <v>58521943.701505408</v>
      </c>
      <c r="X830" s="2">
        <f t="shared" ca="1" si="766"/>
        <v>61414099.779484898</v>
      </c>
      <c r="Y830" s="2">
        <f t="shared" ca="1" si="767"/>
        <v>0.12649077828332356</v>
      </c>
      <c r="Z830" s="2">
        <f t="shared" ca="1" si="768"/>
        <v>0.12908708959665299</v>
      </c>
      <c r="AA830" s="2">
        <f t="shared" ca="1" si="769"/>
        <v>6405153.7935987189</v>
      </c>
      <c r="AB830" s="2">
        <f t="shared" ca="1" si="770"/>
        <v>6859664.1766302343</v>
      </c>
      <c r="AC830" s="2">
        <f t="shared" ca="1" si="771"/>
        <v>7198668.9701574352</v>
      </c>
      <c r="AD830" s="2">
        <f t="shared" ca="1" si="772"/>
        <v>7554427.3899665112</v>
      </c>
      <c r="AE830" s="2">
        <f t="shared" ca="1" si="773"/>
        <v>7927767.400732154</v>
      </c>
      <c r="AF830" s="2">
        <f t="shared" ca="1" si="774"/>
        <v>1012746.3646799569</v>
      </c>
      <c r="AG830" s="2">
        <f t="shared" ca="1" si="775"/>
        <v>1062796.3180615536</v>
      </c>
      <c r="AH830" s="2">
        <f t="shared" ca="1" si="776"/>
        <v>1115319.7415249627</v>
      </c>
      <c r="AI830" s="2">
        <f t="shared" ca="1" si="777"/>
        <v>1170438.8740301081</v>
      </c>
      <c r="AJ830" s="2">
        <f t="shared" ca="1" si="778"/>
        <v>1228281.995589698</v>
      </c>
      <c r="AK830" s="2">
        <f t="shared" ca="1" si="779"/>
        <v>0</v>
      </c>
      <c r="AL830" s="2">
        <f t="shared" ca="1" si="780"/>
        <v>25024.976690798401</v>
      </c>
      <c r="AM830" s="2">
        <f t="shared" ca="1" si="781"/>
        <v>26261.711731704476</v>
      </c>
      <c r="AN830" s="2">
        <f t="shared" ca="1" si="782"/>
        <v>27559.56625257276</v>
      </c>
      <c r="AO830" s="2">
        <f t="shared" ca="1" si="783"/>
        <v>28921.560779794901</v>
      </c>
      <c r="AP830" s="2">
        <f t="shared" ca="1" si="784"/>
        <v>2176934.0658347635</v>
      </c>
      <c r="AQ830" s="2">
        <f t="shared" ca="1" si="785"/>
        <v>836023.07440183964</v>
      </c>
      <c r="AR830" s="2">
        <f t="shared" ca="1" si="786"/>
        <v>941182.7861108185</v>
      </c>
      <c r="AS830" s="2">
        <f t="shared" ca="1" si="787"/>
        <v>1015667.9423274044</v>
      </c>
      <c r="AT830" s="2">
        <f t="shared" ca="1" si="788"/>
        <v>1093834.1570264262</v>
      </c>
      <c r="AU830" s="2">
        <f t="shared" ca="1" si="789"/>
        <v>1175863.3482200003</v>
      </c>
      <c r="AV830" s="2">
        <f t="shared" ca="1" si="790"/>
        <v>2379450.288682159</v>
      </c>
      <c r="AW830" s="2">
        <f t="shared" ca="1" si="791"/>
        <v>2653726.0299323006</v>
      </c>
      <c r="AX830" s="2">
        <f t="shared" ca="1" si="792"/>
        <v>2864485.5087385997</v>
      </c>
      <c r="AY830" s="2">
        <f t="shared" ca="1" si="793"/>
        <v>3085660.7268226407</v>
      </c>
      <c r="AZ830" s="2">
        <f t="shared" ca="1" si="794"/>
        <v>3317766.4303078977</v>
      </c>
      <c r="BA830" s="2">
        <f t="shared" ca="1" si="795"/>
        <v>64849221.512974009</v>
      </c>
      <c r="BB830" s="2">
        <f t="shared" ca="1" si="796"/>
        <v>1296984.4302594801</v>
      </c>
      <c r="BC830" s="2">
        <f t="shared" ca="1" si="797"/>
        <v>39364080.795661598</v>
      </c>
      <c r="BD830" s="2">
        <f t="shared" ca="1" si="798"/>
        <v>-17633277.369995825</v>
      </c>
      <c r="BE830" s="2">
        <f t="shared" ca="1" si="799"/>
        <v>2379450.288682159</v>
      </c>
      <c r="BF830" s="2">
        <f t="shared" ca="1" si="800"/>
        <v>2653726.0299323006</v>
      </c>
      <c r="BG830" s="2">
        <f t="shared" ca="1" si="801"/>
        <v>2864485.5087385997</v>
      </c>
      <c r="BH830" s="2">
        <f t="shared" ca="1" si="802"/>
        <v>3085660.7268226407</v>
      </c>
      <c r="BI830" s="2">
        <f t="shared" ca="1" si="803"/>
        <v>42681847.225969493</v>
      </c>
      <c r="BJ830" s="2">
        <f t="shared" ca="1" si="804"/>
        <v>0.29359619349374988</v>
      </c>
      <c r="BK830" s="2">
        <f t="shared" ca="1" si="805"/>
        <v>14825469.708768286</v>
      </c>
    </row>
    <row r="831" spans="1:63" x14ac:dyDescent="0.3">
      <c r="A831" s="2">
        <v>830</v>
      </c>
      <c r="B831" s="2">
        <f t="shared" ca="1" si="744"/>
        <v>0.29649166155899676</v>
      </c>
      <c r="C831" s="2">
        <f t="shared" ca="1" si="745"/>
        <v>6.7700541040199669</v>
      </c>
      <c r="D831" s="2">
        <f t="shared" ca="1" si="746"/>
        <v>0.72338224056290124</v>
      </c>
      <c r="E831" s="2">
        <f t="shared" ca="1" si="747"/>
        <v>7.756201963652634</v>
      </c>
      <c r="F831" s="2">
        <f t="shared" ca="1" si="748"/>
        <v>0.43632458476234692</v>
      </c>
      <c r="G831" s="2">
        <f t="shared" ca="1" si="749"/>
        <v>3.5191167982238786E-2</v>
      </c>
      <c r="H831" s="2">
        <f t="shared" ca="1" si="750"/>
        <v>3.5191167982238786E-2</v>
      </c>
      <c r="I831" s="2">
        <f t="shared" ca="1" si="751"/>
        <v>0.21970004829879342</v>
      </c>
      <c r="J831" s="2">
        <f t="shared" ca="1" si="752"/>
        <v>6.1339667957313179E-3</v>
      </c>
      <c r="K831" s="2">
        <f t="shared" ca="1" si="753"/>
        <v>6.1339667957313179E-3</v>
      </c>
      <c r="L831" s="2">
        <f t="shared" ca="1" si="754"/>
        <v>0.11660783874765068</v>
      </c>
      <c r="M831" s="2">
        <f t="shared" ca="1" si="755"/>
        <v>-2.3842324419622786E-2</v>
      </c>
      <c r="N831" s="2">
        <f t="shared" ca="1" si="756"/>
        <v>-2.3842324419622786E-2</v>
      </c>
      <c r="O831" s="2">
        <f t="shared" si="757"/>
        <v>6000000</v>
      </c>
      <c r="P831" s="2">
        <f t="shared" ca="1" si="758"/>
        <v>40620324.624119803</v>
      </c>
      <c r="Q831" s="2">
        <f t="shared" ca="1" si="759"/>
        <v>1015508.1156029952</v>
      </c>
      <c r="R831" s="2">
        <f t="shared" ca="1" si="760"/>
        <v>24372194.774471883</v>
      </c>
      <c r="S831" s="2">
        <f t="shared" ca="1" si="761"/>
        <v>16248129.849647922</v>
      </c>
      <c r="T831" s="2">
        <f t="shared" ca="1" si="762"/>
        <v>48807883.779018864</v>
      </c>
      <c r="U831" s="2">
        <f t="shared" ca="1" si="763"/>
        <v>50525490.215943903</v>
      </c>
      <c r="V831" s="2">
        <f t="shared" ca="1" si="764"/>
        <v>52303541.229518145</v>
      </c>
      <c r="W831" s="2">
        <f t="shared" ca="1" si="765"/>
        <v>54144163.934992068</v>
      </c>
      <c r="X831" s="2">
        <f t="shared" ca="1" si="766"/>
        <v>56049560.303286247</v>
      </c>
      <c r="Y831" s="2">
        <f t="shared" ca="1" si="767"/>
        <v>0.12306698339786565</v>
      </c>
      <c r="Z831" s="2">
        <f t="shared" ca="1" si="768"/>
        <v>0.12429377675701192</v>
      </c>
      <c r="AA831" s="2">
        <f t="shared" ca="1" si="769"/>
        <v>6006639.0227174703</v>
      </c>
      <c r="AB831" s="2">
        <f t="shared" ca="1" si="770"/>
        <v>6280004.0014391216</v>
      </c>
      <c r="AC831" s="2">
        <f t="shared" ca="1" si="771"/>
        <v>6501004.677182897</v>
      </c>
      <c r="AD831" s="2">
        <f t="shared" ca="1" si="772"/>
        <v>6729782.6248309603</v>
      </c>
      <c r="AE831" s="2">
        <f t="shared" ca="1" si="773"/>
        <v>6966611.5356653379</v>
      </c>
      <c r="AF831" s="2">
        <f t="shared" ca="1" si="774"/>
        <v>976157.67558037734</v>
      </c>
      <c r="AG831" s="2">
        <f t="shared" ca="1" si="775"/>
        <v>1010509.8043188781</v>
      </c>
      <c r="AH831" s="2">
        <f t="shared" ca="1" si="776"/>
        <v>1046070.824590363</v>
      </c>
      <c r="AI831" s="2">
        <f t="shared" ca="1" si="777"/>
        <v>1082883.2786998414</v>
      </c>
      <c r="AJ831" s="2">
        <f t="shared" ca="1" si="778"/>
        <v>1120991.2060657251</v>
      </c>
      <c r="AK831" s="2">
        <f t="shared" ca="1" si="779"/>
        <v>0</v>
      </c>
      <c r="AL831" s="2">
        <f t="shared" ca="1" si="780"/>
        <v>17176.064369250387</v>
      </c>
      <c r="AM831" s="2">
        <f t="shared" ca="1" si="781"/>
        <v>17780.510135742425</v>
      </c>
      <c r="AN831" s="2">
        <f t="shared" ca="1" si="782"/>
        <v>18406.227054739222</v>
      </c>
      <c r="AO831" s="2">
        <f t="shared" ca="1" si="783"/>
        <v>19053.963682941794</v>
      </c>
      <c r="AP831" s="2">
        <f t="shared" ca="1" si="784"/>
        <v>2193497.5297024692</v>
      </c>
      <c r="AQ831" s="2">
        <f t="shared" ca="1" si="785"/>
        <v>737615.7925330021</v>
      </c>
      <c r="AR831" s="2">
        <f t="shared" ca="1" si="786"/>
        <v>799759.1335286214</v>
      </c>
      <c r="AS831" s="2">
        <f t="shared" ca="1" si="787"/>
        <v>847973.44395141699</v>
      </c>
      <c r="AT831" s="2">
        <f t="shared" ca="1" si="788"/>
        <v>897884.47227144893</v>
      </c>
      <c r="AU831" s="2">
        <f t="shared" ca="1" si="789"/>
        <v>949551.92797325749</v>
      </c>
      <c r="AV831" s="2">
        <f t="shared" ca="1" si="790"/>
        <v>2099368.0249016215</v>
      </c>
      <c r="AW831" s="2">
        <f t="shared" ca="1" si="791"/>
        <v>2259061.4695199025</v>
      </c>
      <c r="AX831" s="2">
        <f t="shared" ca="1" si="792"/>
        <v>2395682.3688029055</v>
      </c>
      <c r="AY831" s="2">
        <f t="shared" ca="1" si="793"/>
        <v>2537111.1171024614</v>
      </c>
      <c r="AZ831" s="2">
        <f t="shared" ca="1" si="794"/>
        <v>2683516.9082409446</v>
      </c>
      <c r="BA831" s="2">
        <f t="shared" ca="1" si="795"/>
        <v>54034446.072932586</v>
      </c>
      <c r="BB831" s="2">
        <f t="shared" ca="1" si="796"/>
        <v>1080688.9214586518</v>
      </c>
      <c r="BC831" s="2">
        <f t="shared" ca="1" si="797"/>
        <v>28581562.377002053</v>
      </c>
      <c r="BD831" s="2">
        <f t="shared" ca="1" si="798"/>
        <v>-17763637.965250917</v>
      </c>
      <c r="BE831" s="2">
        <f t="shared" ca="1" si="799"/>
        <v>2099368.0249016215</v>
      </c>
      <c r="BF831" s="2">
        <f t="shared" ca="1" si="800"/>
        <v>2259061.4695199025</v>
      </c>
      <c r="BG831" s="2">
        <f t="shared" ca="1" si="801"/>
        <v>2395682.3688029055</v>
      </c>
      <c r="BH831" s="2">
        <f t="shared" ca="1" si="802"/>
        <v>2537111.1171024614</v>
      </c>
      <c r="BI831" s="2">
        <f t="shared" ca="1" si="803"/>
        <v>31265079.285242997</v>
      </c>
      <c r="BJ831" s="2">
        <f t="shared" ca="1" si="804"/>
        <v>0.21171444358186875</v>
      </c>
      <c r="BK831" s="2">
        <f t="shared" ca="1" si="805"/>
        <v>6969932.7483884506</v>
      </c>
    </row>
    <row r="832" spans="1:63" x14ac:dyDescent="0.3">
      <c r="A832" s="2">
        <v>831</v>
      </c>
      <c r="B832" s="2">
        <f t="shared" ca="1" si="744"/>
        <v>0.52137284605550682</v>
      </c>
      <c r="C832" s="2">
        <f t="shared" ca="1" si="745"/>
        <v>7.0216062613196124</v>
      </c>
      <c r="D832" s="2">
        <f t="shared" ca="1" si="746"/>
        <v>0.2972957783180854</v>
      </c>
      <c r="E832" s="2">
        <f t="shared" ca="1" si="747"/>
        <v>7.2710976310663717</v>
      </c>
      <c r="F832" s="2">
        <f t="shared" ca="1" si="748"/>
        <v>0.50890032712683753</v>
      </c>
      <c r="G832" s="2">
        <f t="shared" ca="1" si="749"/>
        <v>4.0669349879617581E-2</v>
      </c>
      <c r="H832" s="2">
        <f t="shared" ca="1" si="750"/>
        <v>4.0669349879617581E-2</v>
      </c>
      <c r="I832" s="2">
        <f t="shared" ca="1" si="751"/>
        <v>0.76354556061820922</v>
      </c>
      <c r="J832" s="2">
        <f t="shared" ca="1" si="752"/>
        <v>1.3588770828830244E-2</v>
      </c>
      <c r="K832" s="2">
        <f t="shared" ca="1" si="753"/>
        <v>1.3588770828830244E-2</v>
      </c>
      <c r="L832" s="2">
        <f t="shared" ca="1" si="754"/>
        <v>0.11265611580203139</v>
      </c>
      <c r="M832" s="2">
        <f t="shared" ca="1" si="755"/>
        <v>-2.4250460639284314E-2</v>
      </c>
      <c r="N832" s="2">
        <f t="shared" ca="1" si="756"/>
        <v>-2.4250460639284314E-2</v>
      </c>
      <c r="O832" s="2">
        <f t="shared" si="757"/>
        <v>6000000</v>
      </c>
      <c r="P832" s="2">
        <f t="shared" ca="1" si="758"/>
        <v>42129637.567917675</v>
      </c>
      <c r="Q832" s="2">
        <f t="shared" ca="1" si="759"/>
        <v>1053240.9391979419</v>
      </c>
      <c r="R832" s="2">
        <f t="shared" ca="1" si="760"/>
        <v>25277782.540750604</v>
      </c>
      <c r="S832" s="2">
        <f t="shared" ca="1" si="761"/>
        <v>16851855.027167071</v>
      </c>
      <c r="T832" s="2">
        <f t="shared" ca="1" si="762"/>
        <v>48787476.968035787</v>
      </c>
      <c r="U832" s="2">
        <f t="shared" ca="1" si="763"/>
        <v>50771631.93859262</v>
      </c>
      <c r="V832" s="2">
        <f t="shared" ca="1" si="764"/>
        <v>52836481.20186241</v>
      </c>
      <c r="W832" s="2">
        <f t="shared" ca="1" si="765"/>
        <v>54985306.54226879</v>
      </c>
      <c r="X832" s="2">
        <f t="shared" ca="1" si="766"/>
        <v>57221523.212274343</v>
      </c>
      <c r="Y832" s="2">
        <f t="shared" ca="1" si="767"/>
        <v>0.12679438541441512</v>
      </c>
      <c r="Z832" s="2">
        <f t="shared" ca="1" si="768"/>
        <v>0.12951213958018115</v>
      </c>
      <c r="AA832" s="2">
        <f t="shared" ca="1" si="769"/>
        <v>6185978.1580820307</v>
      </c>
      <c r="AB832" s="2">
        <f t="shared" ca="1" si="770"/>
        <v>6575542.6823445903</v>
      </c>
      <c r="AC832" s="2">
        <f t="shared" ca="1" si="771"/>
        <v>6842965.7283412218</v>
      </c>
      <c r="AD832" s="2">
        <f t="shared" ca="1" si="772"/>
        <v>7121264.695761363</v>
      </c>
      <c r="AE832" s="2">
        <f t="shared" ca="1" si="773"/>
        <v>7410881.9012586502</v>
      </c>
      <c r="AF832" s="2">
        <f t="shared" ca="1" si="774"/>
        <v>975749.53936071577</v>
      </c>
      <c r="AG832" s="2">
        <f t="shared" ca="1" si="775"/>
        <v>1015432.6387718525</v>
      </c>
      <c r="AH832" s="2">
        <f t="shared" ca="1" si="776"/>
        <v>1056729.6240372483</v>
      </c>
      <c r="AI832" s="2">
        <f t="shared" ca="1" si="777"/>
        <v>1099706.1308453758</v>
      </c>
      <c r="AJ832" s="2">
        <f t="shared" ca="1" si="778"/>
        <v>1144430.4642454868</v>
      </c>
      <c r="AK832" s="2">
        <f t="shared" ca="1" si="779"/>
        <v>0</v>
      </c>
      <c r="AL832" s="2">
        <f t="shared" ca="1" si="780"/>
        <v>19841.54970556833</v>
      </c>
      <c r="AM832" s="2">
        <f t="shared" ca="1" si="781"/>
        <v>20648.492632697897</v>
      </c>
      <c r="AN832" s="2">
        <f t="shared" ca="1" si="782"/>
        <v>21488.253404063806</v>
      </c>
      <c r="AO832" s="2">
        <f t="shared" ca="1" si="783"/>
        <v>22362.166700055524</v>
      </c>
      <c r="AP832" s="2">
        <f t="shared" ca="1" si="784"/>
        <v>2275000.4286675542</v>
      </c>
      <c r="AQ832" s="2">
        <f t="shared" ca="1" si="785"/>
        <v>763159.3294139778</v>
      </c>
      <c r="AR832" s="2">
        <f t="shared" ca="1" si="786"/>
        <v>854128.49987534783</v>
      </c>
      <c r="AS832" s="2">
        <f t="shared" ca="1" si="787"/>
        <v>912921.27566546912</v>
      </c>
      <c r="AT832" s="2">
        <f t="shared" ca="1" si="788"/>
        <v>974105.11542459251</v>
      </c>
      <c r="AU832" s="2">
        <f t="shared" ca="1" si="789"/>
        <v>1037777.2621698584</v>
      </c>
      <c r="AV832" s="2">
        <f t="shared" ca="1" si="790"/>
        <v>2172068.8606397831</v>
      </c>
      <c r="AW832" s="2">
        <f t="shared" ca="1" si="791"/>
        <v>2411139.5653242669</v>
      </c>
      <c r="AX832" s="2">
        <f t="shared" ca="1" si="792"/>
        <v>2577665.9073382518</v>
      </c>
      <c r="AY832" s="2">
        <f t="shared" ca="1" si="793"/>
        <v>2750964.7674197764</v>
      </c>
      <c r="AZ832" s="2">
        <f t="shared" ca="1" si="794"/>
        <v>2931311.5794756948</v>
      </c>
      <c r="BA832" s="2">
        <f t="shared" ca="1" si="795"/>
        <v>53885245.83635442</v>
      </c>
      <c r="BB832" s="2">
        <f t="shared" ca="1" si="796"/>
        <v>1077704.9167270884</v>
      </c>
      <c r="BC832" s="2">
        <f t="shared" ca="1" si="797"/>
        <v>27529758.378876727</v>
      </c>
      <c r="BD832" s="2">
        <f t="shared" ca="1" si="798"/>
        <v>-18405095.966365013</v>
      </c>
      <c r="BE832" s="2">
        <f t="shared" ca="1" si="799"/>
        <v>2172068.8606397831</v>
      </c>
      <c r="BF832" s="2">
        <f t="shared" ca="1" si="800"/>
        <v>2411139.5653242669</v>
      </c>
      <c r="BG832" s="2">
        <f t="shared" ca="1" si="801"/>
        <v>2577665.9073382518</v>
      </c>
      <c r="BH832" s="2">
        <f t="shared" ca="1" si="802"/>
        <v>2750964.7674197764</v>
      </c>
      <c r="BI832" s="2">
        <f t="shared" ca="1" si="803"/>
        <v>30461069.95835242</v>
      </c>
      <c r="BJ832" s="2">
        <f t="shared" ca="1" si="804"/>
        <v>0.202207270675554</v>
      </c>
      <c r="BK832" s="2">
        <f t="shared" ca="1" si="805"/>
        <v>6323845.5993799306</v>
      </c>
    </row>
    <row r="833" spans="1:63" x14ac:dyDescent="0.3">
      <c r="A833" s="2">
        <v>832</v>
      </c>
      <c r="B833" s="2">
        <f t="shared" ca="1" si="744"/>
        <v>0.46970971799589389</v>
      </c>
      <c r="C833" s="2">
        <f t="shared" ca="1" si="745"/>
        <v>6.9692365222131221</v>
      </c>
      <c r="D833" s="2">
        <f t="shared" ca="1" si="746"/>
        <v>9.6280407869057671E-2</v>
      </c>
      <c r="E833" s="2">
        <f t="shared" ca="1" si="747"/>
        <v>6.938817519862317</v>
      </c>
      <c r="F833" s="2">
        <f t="shared" ca="1" si="748"/>
        <v>0.37220777563238838</v>
      </c>
      <c r="G833" s="2">
        <f t="shared" ca="1" si="749"/>
        <v>3.0219650913637264E-2</v>
      </c>
      <c r="H833" s="2">
        <f t="shared" ca="1" si="750"/>
        <v>3.0219650913637264E-2</v>
      </c>
      <c r="I833" s="2">
        <f t="shared" ca="1" si="751"/>
        <v>0.77906882830087731</v>
      </c>
      <c r="J833" s="2">
        <f t="shared" ca="1" si="752"/>
        <v>1.3845260826724092E-2</v>
      </c>
      <c r="K833" s="2">
        <f t="shared" ca="1" si="753"/>
        <v>1.3845260826724092E-2</v>
      </c>
      <c r="L833" s="2">
        <f t="shared" ca="1" si="754"/>
        <v>0.40795391314427343</v>
      </c>
      <c r="M833" s="2">
        <f t="shared" ca="1" si="755"/>
        <v>-4.6562288739500973E-3</v>
      </c>
      <c r="N833" s="2">
        <f t="shared" ca="1" si="756"/>
        <v>-4.6562288739500973E-3</v>
      </c>
      <c r="O833" s="2">
        <f t="shared" si="757"/>
        <v>6000000</v>
      </c>
      <c r="P833" s="2">
        <f t="shared" ca="1" si="758"/>
        <v>41815419.133278735</v>
      </c>
      <c r="Q833" s="2">
        <f t="shared" ca="1" si="759"/>
        <v>1045385.4783319684</v>
      </c>
      <c r="R833" s="2">
        <f t="shared" ca="1" si="760"/>
        <v>25089251.47996724</v>
      </c>
      <c r="S833" s="2">
        <f t="shared" ca="1" si="761"/>
        <v>16726167.653311495</v>
      </c>
      <c r="T833" s="2">
        <f t="shared" ca="1" si="762"/>
        <v>49767188.556302495</v>
      </c>
      <c r="U833" s="2">
        <f t="shared" ca="1" si="763"/>
        <v>51271135.621427119</v>
      </c>
      <c r="V833" s="2">
        <f t="shared" ca="1" si="764"/>
        <v>52820531.441852398</v>
      </c>
      <c r="W833" s="2">
        <f t="shared" ca="1" si="765"/>
        <v>54416749.463097975</v>
      </c>
      <c r="X833" s="2">
        <f t="shared" ca="1" si="766"/>
        <v>56061204.635727651</v>
      </c>
      <c r="Y833" s="2">
        <f t="shared" ca="1" si="767"/>
        <v>0.12692263041336205</v>
      </c>
      <c r="Z833" s="2">
        <f t="shared" ca="1" si="768"/>
        <v>0.12969168257870686</v>
      </c>
      <c r="AA833" s="2">
        <f t="shared" ca="1" si="769"/>
        <v>6316582.4798436826</v>
      </c>
      <c r="AB833" s="2">
        <f t="shared" ca="1" si="770"/>
        <v>6649439.8464639559</v>
      </c>
      <c r="AC833" s="2">
        <f t="shared" ca="1" si="771"/>
        <v>6850383.5973953269</v>
      </c>
      <c r="AD833" s="2">
        <f t="shared" ca="1" si="772"/>
        <v>7057399.7983331196</v>
      </c>
      <c r="AE833" s="2">
        <f t="shared" ca="1" si="773"/>
        <v>7270671.95659672</v>
      </c>
      <c r="AF833" s="2">
        <f t="shared" ca="1" si="774"/>
        <v>995343.77112604992</v>
      </c>
      <c r="AG833" s="2">
        <f t="shared" ca="1" si="775"/>
        <v>1025422.7124285424</v>
      </c>
      <c r="AH833" s="2">
        <f t="shared" ca="1" si="776"/>
        <v>1056410.6288370481</v>
      </c>
      <c r="AI833" s="2">
        <f t="shared" ca="1" si="777"/>
        <v>1088334.9892619594</v>
      </c>
      <c r="AJ833" s="2">
        <f t="shared" ca="1" si="778"/>
        <v>1121224.092714553</v>
      </c>
      <c r="AK833" s="2">
        <f t="shared" ca="1" si="779"/>
        <v>0</v>
      </c>
      <c r="AL833" s="2">
        <f t="shared" ca="1" si="780"/>
        <v>15039.470651246234</v>
      </c>
      <c r="AM833" s="2">
        <f t="shared" ca="1" si="781"/>
        <v>15493.958204252795</v>
      </c>
      <c r="AN833" s="2">
        <f t="shared" ca="1" si="782"/>
        <v>15962.180212455765</v>
      </c>
      <c r="AO833" s="2">
        <f t="shared" ca="1" si="783"/>
        <v>16444.55172629677</v>
      </c>
      <c r="AP833" s="2">
        <f t="shared" ca="1" si="784"/>
        <v>2258032.6331970515</v>
      </c>
      <c r="AQ833" s="2">
        <f t="shared" ca="1" si="785"/>
        <v>796433.5796353512</v>
      </c>
      <c r="AR833" s="2">
        <f t="shared" ca="1" si="786"/>
        <v>875155.97021797404</v>
      </c>
      <c r="AS833" s="2">
        <f t="shared" ca="1" si="787"/>
        <v>919344.48719391914</v>
      </c>
      <c r="AT833" s="2">
        <f t="shared" ca="1" si="788"/>
        <v>964868.36572726828</v>
      </c>
      <c r="AU833" s="2">
        <f t="shared" ca="1" si="789"/>
        <v>1011767.9599781302</v>
      </c>
      <c r="AV833" s="2">
        <f t="shared" ca="1" si="790"/>
        <v>2266772.4958852306</v>
      </c>
      <c r="AW833" s="2">
        <f t="shared" ca="1" si="791"/>
        <v>2475789.0599691411</v>
      </c>
      <c r="AX833" s="2">
        <f t="shared" ca="1" si="792"/>
        <v>2601101.889963056</v>
      </c>
      <c r="AY833" s="2">
        <f t="shared" ca="1" si="793"/>
        <v>2730201.6299343845</v>
      </c>
      <c r="AZ833" s="2">
        <f t="shared" ca="1" si="794"/>
        <v>2863202.7189806895</v>
      </c>
      <c r="BA833" s="2">
        <f t="shared" ca="1" si="795"/>
        <v>50449865.953604952</v>
      </c>
      <c r="BB833" s="2">
        <f t="shared" ca="1" si="796"/>
        <v>1008997.3190720991</v>
      </c>
      <c r="BC833" s="2">
        <f t="shared" ca="1" si="797"/>
        <v>24351617.154565614</v>
      </c>
      <c r="BD833" s="2">
        <f t="shared" ca="1" si="798"/>
        <v>-18271553.131643463</v>
      </c>
      <c r="BE833" s="2">
        <f t="shared" ca="1" si="799"/>
        <v>2266772.4958852306</v>
      </c>
      <c r="BF833" s="2">
        <f t="shared" ca="1" si="800"/>
        <v>2475789.0599691411</v>
      </c>
      <c r="BG833" s="2">
        <f t="shared" ca="1" si="801"/>
        <v>2601101.889963056</v>
      </c>
      <c r="BH833" s="2">
        <f t="shared" ca="1" si="802"/>
        <v>2730201.6299343845</v>
      </c>
      <c r="BI833" s="2">
        <f t="shared" ca="1" si="803"/>
        <v>27214819.873546302</v>
      </c>
      <c r="BJ833" s="2">
        <f t="shared" ca="1" si="804"/>
        <v>0.18498671835559732</v>
      </c>
      <c r="BK833" s="2">
        <f t="shared" ca="1" si="805"/>
        <v>4754959.8743888699</v>
      </c>
    </row>
    <row r="834" spans="1:63" x14ac:dyDescent="0.3">
      <c r="A834" s="2">
        <v>833</v>
      </c>
      <c r="B834" s="2">
        <f t="shared" ref="B834:B897" ca="1" si="806">RAND()</f>
        <v>0.46923069260600359</v>
      </c>
      <c r="C834" s="2">
        <f t="shared" ref="C834:C897" ca="1" si="807">IF(B834&lt;((P_Mode)-(P_Low))/((P_High)-(P_Low)), (P_Low)+SQRT(B834*((P_High)-(P_Low))*((P_Mode)-(P_Low))), (P_High)-SQRT((1-B834)*((P_High)-(P_Low))*((P_High)-(P_Mode))))</f>
        <v>6.9687421665293643</v>
      </c>
      <c r="D834" s="2">
        <f t="shared" ref="D834:D897" ca="1" si="808">RAND()</f>
        <v>0.22241796754224152</v>
      </c>
      <c r="E834" s="2">
        <f t="shared" ref="E834:E897" ca="1" si="809">IF(D834&lt;((X_Mode)-(X_Low))/((X_High)-(X_Low)), (X_Low)+SQRT(D834*((X_High)-(X_Low))*((X_Mode)-(X_Low))), (X_High)-SQRT((1-D834)*((X_High)-(X_Low))*((X_High)-(X_Mode))))</f>
        <v>7.1669602200165183</v>
      </c>
      <c r="F834" s="2">
        <f t="shared" ref="F834:F897" ca="1" si="810">RAND()</f>
        <v>0.44398283922274862</v>
      </c>
      <c r="G834" s="2">
        <f t="shared" ref="G834:G897" ca="1" si="811">NORMINV(F834, g_Mean, g_SD)</f>
        <v>3.5773635551757374E-2</v>
      </c>
      <c r="H834" s="2">
        <f t="shared" ref="H834:H897" ca="1" si="812">MIN(MAX(G834, g_Min), g_Max)</f>
        <v>3.5773635551757374E-2</v>
      </c>
      <c r="I834" s="2">
        <f t="shared" ref="I834:I897" ca="1" si="813">RAND()</f>
        <v>9.0087192121238946E-2</v>
      </c>
      <c r="J834" s="2">
        <f t="shared" ref="J834:J897" ca="1" si="814">NORMINV(I834, syn_Mean, syn_SD)</f>
        <v>3.2989085072422011E-3</v>
      </c>
      <c r="K834" s="2">
        <f t="shared" ref="K834:K897" ca="1" si="815">MIN(MAX(J834, syn_Min), syn_Max)</f>
        <v>3.2989085072422011E-3</v>
      </c>
      <c r="L834" s="2">
        <f t="shared" ref="L834:L897" ca="1" si="816">RAND()</f>
        <v>0.22246698458617875</v>
      </c>
      <c r="M834" s="2">
        <f t="shared" ref="M834:M897" ca="1" si="817">NORMINV(L834, shk_Mean, shk_SD)</f>
        <v>-1.5277760669686613E-2</v>
      </c>
      <c r="N834" s="2">
        <f t="shared" ref="N834:N897" ca="1" si="818">MIN(MAX(M834, shk_Min), shk_Max)</f>
        <v>-1.5277760669686613E-2</v>
      </c>
      <c r="O834" s="2">
        <f t="shared" ref="O834:O897" si="819">BaseRev*BaseMargin</f>
        <v>6000000</v>
      </c>
      <c r="P834" s="2">
        <f t="shared" ref="P834:P897" ca="1" si="820">O834*C834</f>
        <v>41812452.999176189</v>
      </c>
      <c r="Q834" s="2">
        <f t="shared" ref="Q834:Q897" ca="1" si="821">P834*TxnCostPct</f>
        <v>1045311.3249794048</v>
      </c>
      <c r="R834" s="2">
        <f t="shared" ref="R834:R897" ca="1" si="822">P834*DebtPct</f>
        <v>25087471.799505714</v>
      </c>
      <c r="S834" s="2">
        <f t="shared" ref="S834:S897" ca="1" si="823">P834*EqPct</f>
        <v>16724981.199670477</v>
      </c>
      <c r="T834" s="2">
        <f t="shared" ref="T834:T897" ca="1" si="824">BaseRev*(1+N834)</f>
        <v>49236111.966515675</v>
      </c>
      <c r="U834" s="2">
        <f t="shared" ref="U834:U897" ca="1" si="825">T834*(1+H834)</f>
        <v>50997466.691991322</v>
      </c>
      <c r="V834" s="2">
        <f t="shared" ref="V834:V897" ca="1" si="826">U834*(1+H834)</f>
        <v>52821831.479493499</v>
      </c>
      <c r="W834" s="2">
        <f t="shared" ref="W834:W897" ca="1" si="827">V834*(1+H834)</f>
        <v>54711460.428017236</v>
      </c>
      <c r="X834" s="2">
        <f t="shared" ref="X834:X897" ca="1" si="828">W834*(1+H834)</f>
        <v>56668688.273873515</v>
      </c>
      <c r="Y834" s="2">
        <f t="shared" ref="Y834:Y897" ca="1" si="829">BaseMargin + SynReal_Y1*K834</f>
        <v>0.1216494542536211</v>
      </c>
      <c r="Z834" s="2">
        <f t="shared" ref="Z834:Z897" ca="1" si="830">BaseMargin + SynReal_Y2toY5*K834</f>
        <v>0.12230923595506954</v>
      </c>
      <c r="AA834" s="2">
        <f t="shared" ref="AA834:AA897" ca="1" si="831">T834*Y834</f>
        <v>5989546.1502968147</v>
      </c>
      <c r="AB834" s="2">
        <f t="shared" ref="AB834:AB897" ca="1" si="832">U834*Z834</f>
        <v>6237461.1867415663</v>
      </c>
      <c r="AC834" s="2">
        <f t="shared" ref="AC834:AC897" ca="1" si="833">V834*Z834</f>
        <v>6460597.8500042902</v>
      </c>
      <c r="AD834" s="2">
        <f t="shared" ref="AD834:AD897" ca="1" si="834">W834*Z834</f>
        <v>6691716.9229368102</v>
      </c>
      <c r="AE834" s="2">
        <f t="shared" ref="AE834:AE897" ca="1" si="835">X834*Z834</f>
        <v>6931103.9653534777</v>
      </c>
      <c r="AF834" s="2">
        <f t="shared" ref="AF834:AF897" ca="1" si="836">T834*CapexPct</f>
        <v>984722.23933031352</v>
      </c>
      <c r="AG834" s="2">
        <f t="shared" ref="AG834:AG897" ca="1" si="837">U834*CapexPct</f>
        <v>1019949.3338398264</v>
      </c>
      <c r="AH834" s="2">
        <f t="shared" ref="AH834:AH897" ca="1" si="838">V834*CapexPct</f>
        <v>1056436.6295898701</v>
      </c>
      <c r="AI834" s="2">
        <f t="shared" ref="AI834:AI897" ca="1" si="839">W834*CapexPct</f>
        <v>1094229.2085603448</v>
      </c>
      <c r="AJ834" s="2">
        <f t="shared" ref="AJ834:AJ897" ca="1" si="840">X834*CapexPct</f>
        <v>1133373.7654774704</v>
      </c>
      <c r="AK834" s="2">
        <f t="shared" ref="AK834:AK897" ca="1" si="841">MAX(T834-BaseRev*(1+N834),0)*WCPct</f>
        <v>0</v>
      </c>
      <c r="AL834" s="2">
        <f t="shared" ref="AL834:AL897" ca="1" si="842">MAX(U834-T834,0)*WCPct</f>
        <v>17613.547254756468</v>
      </c>
      <c r="AM834" s="2">
        <f t="shared" ref="AM834:AM897" ca="1" si="843">MAX(V834-U834,0)*WCPct</f>
        <v>18243.647875021772</v>
      </c>
      <c r="AN834" s="2">
        <f t="shared" ref="AN834:AN897" ca="1" si="844">MAX(W834-V834,0)*WCPct</f>
        <v>18896.289485237376</v>
      </c>
      <c r="AO834" s="2">
        <f t="shared" ref="AO834:AO897" ca="1" si="845">MAX(X834-W834,0)*WCPct</f>
        <v>19572.278458562792</v>
      </c>
      <c r="AP834" s="2">
        <f t="shared" ref="AP834:AP897" ca="1" si="846">R834*DebtRate</f>
        <v>2257872.4619555143</v>
      </c>
      <c r="AQ834" s="2">
        <f t="shared" ref="AQ834:AQ897" ca="1" si="847">MAX(AA834-AF834-AP834,0)*Tax</f>
        <v>714207.37674285669</v>
      </c>
      <c r="AR834" s="2">
        <f t="shared" ref="AR834:AR897" ca="1" si="848">MAX(AB834-AG834-AP834,0)*Tax</f>
        <v>769506.24164601869</v>
      </c>
      <c r="AS834" s="2">
        <f t="shared" ref="AS834:AS897" ca="1" si="849">MAX(AC834-AH834-AP834,0)*Tax</f>
        <v>818035.07719931565</v>
      </c>
      <c r="AT834" s="2">
        <f t="shared" ref="AT834:AT897" ca="1" si="850">MAX(AD834-AI834-AP834,0)*Tax</f>
        <v>868299.96562944737</v>
      </c>
      <c r="AU834" s="2">
        <f t="shared" ref="AU834:AU897" ca="1" si="851">MAX(AE834-AJ834-AP834,0)*Tax</f>
        <v>920363.01185932825</v>
      </c>
      <c r="AV834" s="2">
        <f t="shared" ref="AV834:AV897" ca="1" si="852">AA834-AF834-AK834-AQ834-AP834</f>
        <v>2032744.0722681307</v>
      </c>
      <c r="AW834" s="2">
        <f t="shared" ref="AW834:AW897" ca="1" si="853">AB834-AG834-AL834-AR834-AP834</f>
        <v>2172519.6020454508</v>
      </c>
      <c r="AX834" s="2">
        <f t="shared" ref="AX834:AX897" ca="1" si="854">AC834-AH834-AM834-AS834-AP834</f>
        <v>2310010.0333845685</v>
      </c>
      <c r="AY834" s="2">
        <f t="shared" ref="AY834:AY897" ca="1" si="855">AD834-AI834-AN834-AT834-AP834</f>
        <v>2452418.9973062663</v>
      </c>
      <c r="AZ834" s="2">
        <f t="shared" ref="AZ834:AZ897" ca="1" si="856">AE834-AJ834-AO834-AU834-AP834</f>
        <v>2599922.4476026022</v>
      </c>
      <c r="BA834" s="2">
        <f t="shared" ref="BA834:BA897" ca="1" si="857">AE834*E834</f>
        <v>49674946.400487125</v>
      </c>
      <c r="BB834" s="2">
        <f t="shared" ref="BB834:BB897" ca="1" si="858">BA834*SellCostPct</f>
        <v>993498.92800974252</v>
      </c>
      <c r="BC834" s="2">
        <f t="shared" ref="BC834:BC897" ca="1" si="859">BA834-R834-BB834</f>
        <v>23593975.67297167</v>
      </c>
      <c r="BD834" s="2">
        <f t="shared" ref="BD834:BD897" ca="1" si="860">-S834-Q834-IntegrationPct*BaseRev</f>
        <v>-18270292.524649881</v>
      </c>
      <c r="BE834" s="2">
        <f t="shared" ref="BE834:BE897" ca="1" si="861">AV834</f>
        <v>2032744.0722681307</v>
      </c>
      <c r="BF834" s="2">
        <f t="shared" ref="BF834:BF897" ca="1" si="862">AW834</f>
        <v>2172519.6020454508</v>
      </c>
      <c r="BG834" s="2">
        <f t="shared" ref="BG834:BG897" ca="1" si="863">AX834</f>
        <v>2310010.0333845685</v>
      </c>
      <c r="BH834" s="2">
        <f t="shared" ref="BH834:BH897" ca="1" si="864">AY834</f>
        <v>2452418.9973062663</v>
      </c>
      <c r="BI834" s="2">
        <f t="shared" ref="BI834:BI897" ca="1" si="865">AZ834+BC834</f>
        <v>26193898.120574273</v>
      </c>
      <c r="BJ834" s="2">
        <f t="shared" ref="BJ834:BJ897" ca="1" si="866">IF(MIN(BD834:BI834)*MAX(BD834:BI834)&gt;=0, "", IFERROR(IRR(BD834:BI834,0.12), IFERROR(IRR(BD834:BI834,0.5), IFERROR(IRR(BD834:BI834,-0.5),""))))</f>
        <v>0.16613411484202278</v>
      </c>
      <c r="BK834" s="2">
        <f t="shared" ref="BK834:BK897" ca="1" si="867">NPV(12%,BE834:BI834)+BD834</f>
        <v>3342474.2376817428</v>
      </c>
    </row>
    <row r="835" spans="1:63" x14ac:dyDescent="0.3">
      <c r="A835" s="2">
        <v>834</v>
      </c>
      <c r="B835" s="2">
        <f t="shared" ca="1" si="806"/>
        <v>0.98057753887747423</v>
      </c>
      <c r="C835" s="2">
        <f t="shared" ca="1" si="807"/>
        <v>7.8029088478773048</v>
      </c>
      <c r="D835" s="2">
        <f t="shared" ca="1" si="808"/>
        <v>0.97351227614632863</v>
      </c>
      <c r="E835" s="2">
        <f t="shared" ca="1" si="809"/>
        <v>8.2698360416847532</v>
      </c>
      <c r="F835" s="2">
        <f t="shared" ca="1" si="810"/>
        <v>0.52685744525648981</v>
      </c>
      <c r="G835" s="2">
        <f t="shared" ca="1" si="811"/>
        <v>4.2021176950851738E-2</v>
      </c>
      <c r="H835" s="2">
        <f t="shared" ca="1" si="812"/>
        <v>4.2021176950851738E-2</v>
      </c>
      <c r="I835" s="2">
        <f t="shared" ca="1" si="813"/>
        <v>0.16766697911234274</v>
      </c>
      <c r="J835" s="2">
        <f t="shared" ca="1" si="814"/>
        <v>5.182871739666273E-3</v>
      </c>
      <c r="K835" s="2">
        <f t="shared" ca="1" si="815"/>
        <v>5.182871739666273E-3</v>
      </c>
      <c r="L835" s="2">
        <f t="shared" ca="1" si="816"/>
        <v>0.98338883047929393</v>
      </c>
      <c r="M835" s="2">
        <f t="shared" ca="1" si="817"/>
        <v>4.2587719697086794E-2</v>
      </c>
      <c r="N835" s="2">
        <f t="shared" ca="1" si="818"/>
        <v>4.2587719697086794E-2</v>
      </c>
      <c r="O835" s="2">
        <f t="shared" si="819"/>
        <v>6000000</v>
      </c>
      <c r="P835" s="2">
        <f t="shared" ca="1" si="820"/>
        <v>46817453.08726383</v>
      </c>
      <c r="Q835" s="2">
        <f t="shared" ca="1" si="821"/>
        <v>1170436.3271815958</v>
      </c>
      <c r="R835" s="2">
        <f t="shared" ca="1" si="822"/>
        <v>28090471.852358297</v>
      </c>
      <c r="S835" s="2">
        <f t="shared" ca="1" si="823"/>
        <v>18726981.234905533</v>
      </c>
      <c r="T835" s="2">
        <f t="shared" ca="1" si="824"/>
        <v>52129385.984854341</v>
      </c>
      <c r="U835" s="2">
        <f t="shared" ca="1" si="825"/>
        <v>54319924.137663163</v>
      </c>
      <c r="V835" s="2">
        <f t="shared" ca="1" si="826"/>
        <v>56602511.281808756</v>
      </c>
      <c r="W835" s="2">
        <f t="shared" ca="1" si="827"/>
        <v>58981015.424244232</v>
      </c>
      <c r="X835" s="2">
        <f t="shared" ca="1" si="828"/>
        <v>61459467.110127322</v>
      </c>
      <c r="Y835" s="2">
        <f t="shared" ca="1" si="829"/>
        <v>0.12259143586983313</v>
      </c>
      <c r="Z835" s="2">
        <f t="shared" ca="1" si="830"/>
        <v>0.12362801021776638</v>
      </c>
      <c r="AA835" s="2">
        <f t="shared" ca="1" si="831"/>
        <v>6390616.2788960487</v>
      </c>
      <c r="AB835" s="2">
        <f t="shared" ca="1" si="832"/>
        <v>6715464.136319316</v>
      </c>
      <c r="AC835" s="2">
        <f t="shared" ca="1" si="833"/>
        <v>6997655.8430986898</v>
      </c>
      <c r="AD835" s="2">
        <f t="shared" ca="1" si="834"/>
        <v>7291705.5775227025</v>
      </c>
      <c r="AE835" s="2">
        <f t="shared" ca="1" si="835"/>
        <v>7598111.6278692978</v>
      </c>
      <c r="AF835" s="2">
        <f t="shared" ca="1" si="836"/>
        <v>1042587.7196970868</v>
      </c>
      <c r="AG835" s="2">
        <f t="shared" ca="1" si="837"/>
        <v>1086398.4827532633</v>
      </c>
      <c r="AH835" s="2">
        <f t="shared" ca="1" si="838"/>
        <v>1132050.2256361751</v>
      </c>
      <c r="AI835" s="2">
        <f t="shared" ca="1" si="839"/>
        <v>1179620.3084848847</v>
      </c>
      <c r="AJ835" s="2">
        <f t="shared" ca="1" si="840"/>
        <v>1229189.3422025465</v>
      </c>
      <c r="AK835" s="2">
        <f t="shared" ca="1" si="841"/>
        <v>0</v>
      </c>
      <c r="AL835" s="2">
        <f t="shared" ca="1" si="842"/>
        <v>21905.381528088226</v>
      </c>
      <c r="AM835" s="2">
        <f t="shared" ca="1" si="843"/>
        <v>22825.871441455933</v>
      </c>
      <c r="AN835" s="2">
        <f t="shared" ca="1" si="844"/>
        <v>23785.041424354764</v>
      </c>
      <c r="AO835" s="2">
        <f t="shared" ca="1" si="845"/>
        <v>24784.516858830899</v>
      </c>
      <c r="AP835" s="2">
        <f t="shared" ca="1" si="846"/>
        <v>2528142.4667122466</v>
      </c>
      <c r="AQ835" s="2">
        <f t="shared" ca="1" si="847"/>
        <v>733170.38404654595</v>
      </c>
      <c r="AR835" s="2">
        <f t="shared" ca="1" si="848"/>
        <v>806240.0285819897</v>
      </c>
      <c r="AS835" s="2">
        <f t="shared" ca="1" si="849"/>
        <v>867740.41919506982</v>
      </c>
      <c r="AT835" s="2">
        <f t="shared" ca="1" si="850"/>
        <v>931825.12860464852</v>
      </c>
      <c r="AU835" s="2">
        <f t="shared" ca="1" si="851"/>
        <v>998602.75292817107</v>
      </c>
      <c r="AV835" s="2">
        <f t="shared" ca="1" si="852"/>
        <v>2086715.7084401688</v>
      </c>
      <c r="AW835" s="2">
        <f t="shared" ca="1" si="853"/>
        <v>2272777.7767437287</v>
      </c>
      <c r="AX835" s="2">
        <f t="shared" ca="1" si="854"/>
        <v>2446896.8601137428</v>
      </c>
      <c r="AY835" s="2">
        <f t="shared" ca="1" si="855"/>
        <v>2628332.6322965678</v>
      </c>
      <c r="AZ835" s="2">
        <f t="shared" ca="1" si="856"/>
        <v>2817392.5491675017</v>
      </c>
      <c r="BA835" s="2">
        <f t="shared" ca="1" si="857"/>
        <v>62835137.388897531</v>
      </c>
      <c r="BB835" s="2">
        <f t="shared" ca="1" si="858"/>
        <v>1256702.7477779507</v>
      </c>
      <c r="BC835" s="2">
        <f t="shared" ca="1" si="859"/>
        <v>33487962.788761284</v>
      </c>
      <c r="BD835" s="2">
        <f t="shared" ca="1" si="860"/>
        <v>-20397417.56208713</v>
      </c>
      <c r="BE835" s="2">
        <f t="shared" ca="1" si="861"/>
        <v>2086715.7084401688</v>
      </c>
      <c r="BF835" s="2">
        <f t="shared" ca="1" si="862"/>
        <v>2272777.7767437287</v>
      </c>
      <c r="BG835" s="2">
        <f t="shared" ca="1" si="863"/>
        <v>2446896.8601137428</v>
      </c>
      <c r="BH835" s="2">
        <f t="shared" ca="1" si="864"/>
        <v>2628332.6322965678</v>
      </c>
      <c r="BI835" s="2">
        <f t="shared" ca="1" si="865"/>
        <v>36305355.337928787</v>
      </c>
      <c r="BJ835" s="2">
        <f t="shared" ca="1" si="866"/>
        <v>0.202683375694787</v>
      </c>
      <c r="BK835" s="2">
        <f t="shared" ca="1" si="867"/>
        <v>7290205.3744588308</v>
      </c>
    </row>
    <row r="836" spans="1:63" x14ac:dyDescent="0.3">
      <c r="A836" s="2">
        <v>835</v>
      </c>
      <c r="B836" s="2">
        <f t="shared" ca="1" si="806"/>
        <v>0.26403281324012362</v>
      </c>
      <c r="C836" s="2">
        <f t="shared" ca="1" si="807"/>
        <v>6.7266812413157826</v>
      </c>
      <c r="D836" s="2">
        <f t="shared" ca="1" si="808"/>
        <v>0.57342619739414424</v>
      </c>
      <c r="E836" s="2">
        <f t="shared" ca="1" si="809"/>
        <v>7.5763401030618942</v>
      </c>
      <c r="F836" s="2">
        <f t="shared" ca="1" si="810"/>
        <v>0.34052695639555464</v>
      </c>
      <c r="G836" s="2">
        <f t="shared" ca="1" si="811"/>
        <v>2.76692381167402E-2</v>
      </c>
      <c r="H836" s="2">
        <f t="shared" ca="1" si="812"/>
        <v>2.76692381167402E-2</v>
      </c>
      <c r="I836" s="2">
        <f t="shared" ca="1" si="813"/>
        <v>0.43587544858175609</v>
      </c>
      <c r="J836" s="2">
        <f t="shared" ca="1" si="814"/>
        <v>9.1928256031066878E-3</v>
      </c>
      <c r="K836" s="2">
        <f t="shared" ca="1" si="815"/>
        <v>9.1928256031066878E-3</v>
      </c>
      <c r="L836" s="2">
        <f t="shared" ca="1" si="816"/>
        <v>0.70734161124311068</v>
      </c>
      <c r="M836" s="2">
        <f t="shared" ca="1" si="817"/>
        <v>1.0912702416567086E-2</v>
      </c>
      <c r="N836" s="2">
        <f t="shared" ca="1" si="818"/>
        <v>1.0912702416567086E-2</v>
      </c>
      <c r="O836" s="2">
        <f t="shared" si="819"/>
        <v>6000000</v>
      </c>
      <c r="P836" s="2">
        <f t="shared" ca="1" si="820"/>
        <v>40360087.447894692</v>
      </c>
      <c r="Q836" s="2">
        <f t="shared" ca="1" si="821"/>
        <v>1009002.1861973674</v>
      </c>
      <c r="R836" s="2">
        <f t="shared" ca="1" si="822"/>
        <v>24216052.468736816</v>
      </c>
      <c r="S836" s="2">
        <f t="shared" ca="1" si="823"/>
        <v>16144034.979157878</v>
      </c>
      <c r="T836" s="2">
        <f t="shared" ca="1" si="824"/>
        <v>50545635.12082836</v>
      </c>
      <c r="U836" s="2">
        <f t="shared" ca="1" si="825"/>
        <v>51944194.334748432</v>
      </c>
      <c r="V836" s="2">
        <f t="shared" ca="1" si="826"/>
        <v>53381450.616578817</v>
      </c>
      <c r="W836" s="2">
        <f t="shared" ca="1" si="827"/>
        <v>54858474.68470595</v>
      </c>
      <c r="X836" s="2">
        <f t="shared" ca="1" si="828"/>
        <v>56376366.883478247</v>
      </c>
      <c r="Y836" s="2">
        <f t="shared" ca="1" si="829"/>
        <v>0.12459641280155334</v>
      </c>
      <c r="Z836" s="2">
        <f t="shared" ca="1" si="830"/>
        <v>0.12643497792217467</v>
      </c>
      <c r="AA836" s="2">
        <f t="shared" ca="1" si="831"/>
        <v>6297804.8188314233</v>
      </c>
      <c r="AB836" s="2">
        <f t="shared" ca="1" si="832"/>
        <v>6567563.0638990691</v>
      </c>
      <c r="AC836" s="2">
        <f t="shared" ca="1" si="833"/>
        <v>6749282.5301608006</v>
      </c>
      <c r="AD836" s="2">
        <f t="shared" ca="1" si="834"/>
        <v>6936030.0356049752</v>
      </c>
      <c r="AE836" s="2">
        <f t="shared" ca="1" si="835"/>
        <v>7127944.7022449914</v>
      </c>
      <c r="AF836" s="2">
        <f t="shared" ca="1" si="836"/>
        <v>1010912.7024165672</v>
      </c>
      <c r="AG836" s="2">
        <f t="shared" ca="1" si="837"/>
        <v>1038883.8866949687</v>
      </c>
      <c r="AH836" s="2">
        <f t="shared" ca="1" si="838"/>
        <v>1067629.0123315763</v>
      </c>
      <c r="AI836" s="2">
        <f t="shared" ca="1" si="839"/>
        <v>1097169.4936941189</v>
      </c>
      <c r="AJ836" s="2">
        <f t="shared" ca="1" si="840"/>
        <v>1127527.3376695649</v>
      </c>
      <c r="AK836" s="2">
        <f t="shared" ca="1" si="841"/>
        <v>0</v>
      </c>
      <c r="AL836" s="2">
        <f t="shared" ca="1" si="842"/>
        <v>13985.592139200717</v>
      </c>
      <c r="AM836" s="2">
        <f t="shared" ca="1" si="843"/>
        <v>14372.562818303853</v>
      </c>
      <c r="AN836" s="2">
        <f t="shared" ca="1" si="844"/>
        <v>14770.240681271331</v>
      </c>
      <c r="AO836" s="2">
        <f t="shared" ca="1" si="845"/>
        <v>15178.921987722963</v>
      </c>
      <c r="AP836" s="2">
        <f t="shared" ca="1" si="846"/>
        <v>2179444.7221863135</v>
      </c>
      <c r="AQ836" s="2">
        <f t="shared" ca="1" si="847"/>
        <v>807936.32249942108</v>
      </c>
      <c r="AR836" s="2">
        <f t="shared" ca="1" si="848"/>
        <v>870800.95830462466</v>
      </c>
      <c r="AS836" s="2">
        <f t="shared" ca="1" si="849"/>
        <v>910574.28686715686</v>
      </c>
      <c r="AT836" s="2">
        <f t="shared" ca="1" si="850"/>
        <v>951448.11312838108</v>
      </c>
      <c r="AU836" s="2">
        <f t="shared" ca="1" si="851"/>
        <v>993452.88702116953</v>
      </c>
      <c r="AV836" s="2">
        <f t="shared" ca="1" si="852"/>
        <v>2299511.0717291213</v>
      </c>
      <c r="AW836" s="2">
        <f t="shared" ca="1" si="853"/>
        <v>2464447.9045739616</v>
      </c>
      <c r="AX836" s="2">
        <f t="shared" ca="1" si="854"/>
        <v>2577261.9459574507</v>
      </c>
      <c r="AY836" s="2">
        <f t="shared" ca="1" si="855"/>
        <v>2693197.4659148906</v>
      </c>
      <c r="AZ836" s="2">
        <f t="shared" ca="1" si="856"/>
        <v>2812340.8333802209</v>
      </c>
      <c r="BA836" s="2">
        <f t="shared" ca="1" si="857"/>
        <v>54003733.300026298</v>
      </c>
      <c r="BB836" s="2">
        <f t="shared" ca="1" si="858"/>
        <v>1080074.6660005259</v>
      </c>
      <c r="BC836" s="2">
        <f t="shared" ca="1" si="859"/>
        <v>28707606.165288955</v>
      </c>
      <c r="BD836" s="2">
        <f t="shared" ca="1" si="860"/>
        <v>-17653037.165355247</v>
      </c>
      <c r="BE836" s="2">
        <f t="shared" ca="1" si="861"/>
        <v>2299511.0717291213</v>
      </c>
      <c r="BF836" s="2">
        <f t="shared" ca="1" si="862"/>
        <v>2464447.9045739616</v>
      </c>
      <c r="BG836" s="2">
        <f t="shared" ca="1" si="863"/>
        <v>2577261.9459574507</v>
      </c>
      <c r="BH836" s="2">
        <f t="shared" ca="1" si="864"/>
        <v>2693197.4659148906</v>
      </c>
      <c r="BI836" s="2">
        <f t="shared" ca="1" si="865"/>
        <v>31519946.998669177</v>
      </c>
      <c r="BJ836" s="2">
        <f t="shared" ca="1" si="866"/>
        <v>0.22312910616527604</v>
      </c>
      <c r="BK836" s="2">
        <f t="shared" ca="1" si="867"/>
        <v>7796024.743935395</v>
      </c>
    </row>
    <row r="837" spans="1:63" x14ac:dyDescent="0.3">
      <c r="A837" s="2">
        <v>836</v>
      </c>
      <c r="B837" s="2">
        <f t="shared" ca="1" si="806"/>
        <v>0.61629318352399476</v>
      </c>
      <c r="C837" s="2">
        <f t="shared" ca="1" si="807"/>
        <v>7.1239785202679045</v>
      </c>
      <c r="D837" s="2">
        <f t="shared" ca="1" si="808"/>
        <v>8.6309840226620915E-2</v>
      </c>
      <c r="E837" s="2">
        <f t="shared" ca="1" si="809"/>
        <v>6.9154752464988043</v>
      </c>
      <c r="F837" s="2">
        <f t="shared" ca="1" si="810"/>
        <v>7.3792258981251302E-2</v>
      </c>
      <c r="G837" s="2">
        <f t="shared" ca="1" si="811"/>
        <v>-3.4434900401985602E-3</v>
      </c>
      <c r="H837" s="2">
        <f t="shared" ca="1" si="812"/>
        <v>-3.4434900401985602E-3</v>
      </c>
      <c r="I837" s="2">
        <f t="shared" ca="1" si="813"/>
        <v>0.13707684980989043</v>
      </c>
      <c r="J837" s="2">
        <f t="shared" ca="1" si="814"/>
        <v>4.532264939650572E-3</v>
      </c>
      <c r="K837" s="2">
        <f t="shared" ca="1" si="815"/>
        <v>4.532264939650572E-3</v>
      </c>
      <c r="L837" s="2">
        <f t="shared" ca="1" si="816"/>
        <v>0.6279197773887869</v>
      </c>
      <c r="M837" s="2">
        <f t="shared" ca="1" si="817"/>
        <v>6.5269766649932535E-3</v>
      </c>
      <c r="N837" s="2">
        <f t="shared" ca="1" si="818"/>
        <v>6.5269766649932535E-3</v>
      </c>
      <c r="O837" s="2">
        <f t="shared" si="819"/>
        <v>6000000</v>
      </c>
      <c r="P837" s="2">
        <f t="shared" ca="1" si="820"/>
        <v>42743871.12160743</v>
      </c>
      <c r="Q837" s="2">
        <f t="shared" ca="1" si="821"/>
        <v>1068596.7780401858</v>
      </c>
      <c r="R837" s="2">
        <f t="shared" ca="1" si="822"/>
        <v>25646322.672964457</v>
      </c>
      <c r="S837" s="2">
        <f t="shared" ca="1" si="823"/>
        <v>17097548.448642973</v>
      </c>
      <c r="T837" s="2">
        <f t="shared" ca="1" si="824"/>
        <v>50326348.833249666</v>
      </c>
      <c r="U837" s="2">
        <f t="shared" ca="1" si="825"/>
        <v>50153050.552282818</v>
      </c>
      <c r="V837" s="2">
        <f t="shared" ca="1" si="826"/>
        <v>49980349.022220463</v>
      </c>
      <c r="W837" s="2">
        <f t="shared" ca="1" si="827"/>
        <v>49808242.188156798</v>
      </c>
      <c r="X837" s="2">
        <f t="shared" ca="1" si="828"/>
        <v>49636728.002262086</v>
      </c>
      <c r="Y837" s="2">
        <f t="shared" ca="1" si="829"/>
        <v>0.12226613246982528</v>
      </c>
      <c r="Z837" s="2">
        <f t="shared" ca="1" si="830"/>
        <v>0.12317258545775539</v>
      </c>
      <c r="AA837" s="2">
        <f t="shared" ca="1" si="831"/>
        <v>6153208.0331687406</v>
      </c>
      <c r="AB837" s="2">
        <f t="shared" ca="1" si="832"/>
        <v>6177480.9051181814</v>
      </c>
      <c r="AC837" s="2">
        <f t="shared" ca="1" si="833"/>
        <v>6156208.811147891</v>
      </c>
      <c r="AD837" s="2">
        <f t="shared" ca="1" si="834"/>
        <v>6135009.9674213203</v>
      </c>
      <c r="AE837" s="2">
        <f t="shared" ca="1" si="835"/>
        <v>6113884.1217019865</v>
      </c>
      <c r="AF837" s="2">
        <f t="shared" ca="1" si="836"/>
        <v>1006526.9766649933</v>
      </c>
      <c r="AG837" s="2">
        <f t="shared" ca="1" si="837"/>
        <v>1003061.0110456564</v>
      </c>
      <c r="AH837" s="2">
        <f t="shared" ca="1" si="838"/>
        <v>999606.9804444093</v>
      </c>
      <c r="AI837" s="2">
        <f t="shared" ca="1" si="839"/>
        <v>996164.84376313596</v>
      </c>
      <c r="AJ837" s="2">
        <f t="shared" ca="1" si="840"/>
        <v>992734.56004524173</v>
      </c>
      <c r="AK837" s="2">
        <f t="shared" ca="1" si="841"/>
        <v>0</v>
      </c>
      <c r="AL837" s="2">
        <f t="shared" ca="1" si="842"/>
        <v>0</v>
      </c>
      <c r="AM837" s="2">
        <f t="shared" ca="1" si="843"/>
        <v>0</v>
      </c>
      <c r="AN837" s="2">
        <f t="shared" ca="1" si="844"/>
        <v>0</v>
      </c>
      <c r="AO837" s="2">
        <f t="shared" ca="1" si="845"/>
        <v>0</v>
      </c>
      <c r="AP837" s="2">
        <f t="shared" ca="1" si="846"/>
        <v>2308169.0405668011</v>
      </c>
      <c r="AQ837" s="2">
        <f t="shared" ca="1" si="847"/>
        <v>738013.12414360617</v>
      </c>
      <c r="AR837" s="2">
        <f t="shared" ca="1" si="848"/>
        <v>745225.22191148833</v>
      </c>
      <c r="AS837" s="2">
        <f t="shared" ca="1" si="849"/>
        <v>740592.5254355371</v>
      </c>
      <c r="AT837" s="2">
        <f t="shared" ca="1" si="850"/>
        <v>735975.78160375962</v>
      </c>
      <c r="AU837" s="2">
        <f t="shared" ca="1" si="851"/>
        <v>731374.93548338546</v>
      </c>
      <c r="AV837" s="2">
        <f t="shared" ca="1" si="852"/>
        <v>2100498.8917933404</v>
      </c>
      <c r="AW837" s="2">
        <f t="shared" ca="1" si="853"/>
        <v>2121025.631594236</v>
      </c>
      <c r="AX837" s="2">
        <f t="shared" ca="1" si="854"/>
        <v>2107840.2647011438</v>
      </c>
      <c r="AY837" s="2">
        <f t="shared" ca="1" si="855"/>
        <v>2094700.3014876237</v>
      </c>
      <c r="AZ837" s="2">
        <f t="shared" ca="1" si="856"/>
        <v>2081605.5856065582</v>
      </c>
      <c r="BA837" s="2">
        <f t="shared" ca="1" si="857"/>
        <v>42280414.303592168</v>
      </c>
      <c r="BB837" s="2">
        <f t="shared" ca="1" si="858"/>
        <v>845608.28607184335</v>
      </c>
      <c r="BC837" s="2">
        <f t="shared" ca="1" si="859"/>
        <v>15788483.344555868</v>
      </c>
      <c r="BD837" s="2">
        <f t="shared" ca="1" si="860"/>
        <v>-18666145.226683158</v>
      </c>
      <c r="BE837" s="2">
        <f t="shared" ca="1" si="861"/>
        <v>2100498.8917933404</v>
      </c>
      <c r="BF837" s="2">
        <f t="shared" ca="1" si="862"/>
        <v>2121025.631594236</v>
      </c>
      <c r="BG837" s="2">
        <f t="shared" ca="1" si="863"/>
        <v>2107840.2647011438</v>
      </c>
      <c r="BH837" s="2">
        <f t="shared" ca="1" si="864"/>
        <v>2094700.3014876237</v>
      </c>
      <c r="BI837" s="2">
        <f t="shared" ca="1" si="865"/>
        <v>17870088.930162426</v>
      </c>
      <c r="BJ837" s="2">
        <f t="shared" ca="1" si="866"/>
        <v>8.668797377432691E-2</v>
      </c>
      <c r="BK837" s="2">
        <f t="shared" ca="1" si="867"/>
        <v>-2128323.7904969379</v>
      </c>
    </row>
    <row r="838" spans="1:63" x14ac:dyDescent="0.3">
      <c r="A838" s="2">
        <v>837</v>
      </c>
      <c r="B838" s="2">
        <f t="shared" ca="1" si="806"/>
        <v>0.54392598226999589</v>
      </c>
      <c r="C838" s="2">
        <f t="shared" ca="1" si="807"/>
        <v>7.0449355857011486</v>
      </c>
      <c r="D838" s="2">
        <f t="shared" ca="1" si="808"/>
        <v>0.38259938109651814</v>
      </c>
      <c r="E838" s="2">
        <f t="shared" ca="1" si="809"/>
        <v>7.3747564016302114</v>
      </c>
      <c r="F838" s="2">
        <f t="shared" ca="1" si="810"/>
        <v>0.29992970247982298</v>
      </c>
      <c r="G838" s="2">
        <f t="shared" ca="1" si="811"/>
        <v>2.4261918808497918E-2</v>
      </c>
      <c r="H838" s="2">
        <f t="shared" ca="1" si="812"/>
        <v>2.4261918808497918E-2</v>
      </c>
      <c r="I838" s="2">
        <f t="shared" ca="1" si="813"/>
        <v>0.22153558100403425</v>
      </c>
      <c r="J838" s="2">
        <f t="shared" ca="1" si="814"/>
        <v>6.1649129304824982E-3</v>
      </c>
      <c r="K838" s="2">
        <f t="shared" ca="1" si="815"/>
        <v>6.1649129304824982E-3</v>
      </c>
      <c r="L838" s="2">
        <f t="shared" ca="1" si="816"/>
        <v>2.9407647327369779E-2</v>
      </c>
      <c r="M838" s="2">
        <f t="shared" ca="1" si="817"/>
        <v>-3.7791429575848128E-2</v>
      </c>
      <c r="N838" s="2">
        <f t="shared" ca="1" si="818"/>
        <v>-3.7791429575848128E-2</v>
      </c>
      <c r="O838" s="2">
        <f t="shared" si="819"/>
        <v>6000000</v>
      </c>
      <c r="P838" s="2">
        <f t="shared" ca="1" si="820"/>
        <v>42269613.514206894</v>
      </c>
      <c r="Q838" s="2">
        <f t="shared" ca="1" si="821"/>
        <v>1056740.3378551723</v>
      </c>
      <c r="R838" s="2">
        <f t="shared" ca="1" si="822"/>
        <v>25361768.108524136</v>
      </c>
      <c r="S838" s="2">
        <f t="shared" ca="1" si="823"/>
        <v>16907845.405682757</v>
      </c>
      <c r="T838" s="2">
        <f t="shared" ca="1" si="824"/>
        <v>48110428.521207593</v>
      </c>
      <c r="U838" s="2">
        <f t="shared" ca="1" si="825"/>
        <v>49277679.831831172</v>
      </c>
      <c r="V838" s="2">
        <f t="shared" ca="1" si="826"/>
        <v>50473250.898982212</v>
      </c>
      <c r="W838" s="2">
        <f t="shared" ca="1" si="827"/>
        <v>51697828.814294256</v>
      </c>
      <c r="X838" s="2">
        <f t="shared" ca="1" si="828"/>
        <v>52952117.339562282</v>
      </c>
      <c r="Y838" s="2">
        <f t="shared" ca="1" si="829"/>
        <v>0.12308245646524124</v>
      </c>
      <c r="Z838" s="2">
        <f t="shared" ca="1" si="830"/>
        <v>0.12431543905133774</v>
      </c>
      <c r="AA838" s="2">
        <f t="shared" ca="1" si="831"/>
        <v>5921549.7239856338</v>
      </c>
      <c r="AB838" s="2">
        <f t="shared" ca="1" si="832"/>
        <v>6125976.4037253428</v>
      </c>
      <c r="AC838" s="2">
        <f t="shared" ca="1" si="833"/>
        <v>6274604.3458553012</v>
      </c>
      <c r="AD838" s="2">
        <f t="shared" ca="1" si="834"/>
        <v>6426838.2870498896</v>
      </c>
      <c r="AE838" s="2">
        <f t="shared" ca="1" si="835"/>
        <v>6582765.7157656392</v>
      </c>
      <c r="AF838" s="2">
        <f t="shared" ca="1" si="836"/>
        <v>962208.57042415184</v>
      </c>
      <c r="AG838" s="2">
        <f t="shared" ca="1" si="837"/>
        <v>985553.59663662349</v>
      </c>
      <c r="AH838" s="2">
        <f t="shared" ca="1" si="838"/>
        <v>1009465.0179796442</v>
      </c>
      <c r="AI838" s="2">
        <f t="shared" ca="1" si="839"/>
        <v>1033956.5762858852</v>
      </c>
      <c r="AJ838" s="2">
        <f t="shared" ca="1" si="840"/>
        <v>1059042.3467912457</v>
      </c>
      <c r="AK838" s="2">
        <f t="shared" ca="1" si="841"/>
        <v>0</v>
      </c>
      <c r="AL838" s="2">
        <f t="shared" ca="1" si="842"/>
        <v>11672.513106235787</v>
      </c>
      <c r="AM838" s="2">
        <f t="shared" ca="1" si="843"/>
        <v>11955.710671510398</v>
      </c>
      <c r="AN838" s="2">
        <f t="shared" ca="1" si="844"/>
        <v>12245.779153120444</v>
      </c>
      <c r="AO838" s="2">
        <f t="shared" ca="1" si="845"/>
        <v>12542.885252680257</v>
      </c>
      <c r="AP838" s="2">
        <f t="shared" ca="1" si="846"/>
        <v>2282559.129767172</v>
      </c>
      <c r="AQ838" s="2">
        <f t="shared" ca="1" si="847"/>
        <v>695963.32618652063</v>
      </c>
      <c r="AR838" s="2">
        <f t="shared" ca="1" si="848"/>
        <v>743044.5561036024</v>
      </c>
      <c r="AS838" s="2">
        <f t="shared" ca="1" si="849"/>
        <v>775470.85150820611</v>
      </c>
      <c r="AT838" s="2">
        <f t="shared" ca="1" si="850"/>
        <v>808683.87105917628</v>
      </c>
      <c r="AU838" s="2">
        <f t="shared" ca="1" si="851"/>
        <v>842702.70219387754</v>
      </c>
      <c r="AV838" s="2">
        <f t="shared" ca="1" si="852"/>
        <v>1980818.6976077892</v>
      </c>
      <c r="AW838" s="2">
        <f t="shared" ca="1" si="853"/>
        <v>2103146.6081117094</v>
      </c>
      <c r="AX838" s="2">
        <f t="shared" ca="1" si="854"/>
        <v>2195153.6359287687</v>
      </c>
      <c r="AY838" s="2">
        <f t="shared" ca="1" si="855"/>
        <v>2289392.9307845347</v>
      </c>
      <c r="AZ838" s="2">
        <f t="shared" ca="1" si="856"/>
        <v>2385918.6517606629</v>
      </c>
      <c r="BA838" s="2">
        <f t="shared" ca="1" si="857"/>
        <v>48546293.602774531</v>
      </c>
      <c r="BB838" s="2">
        <f t="shared" ca="1" si="858"/>
        <v>970925.87205549062</v>
      </c>
      <c r="BC838" s="2">
        <f t="shared" ca="1" si="859"/>
        <v>22213599.622194905</v>
      </c>
      <c r="BD838" s="2">
        <f t="shared" ca="1" si="860"/>
        <v>-18464585.743537929</v>
      </c>
      <c r="BE838" s="2">
        <f t="shared" ca="1" si="861"/>
        <v>1980818.6976077892</v>
      </c>
      <c r="BF838" s="2">
        <f t="shared" ca="1" si="862"/>
        <v>2103146.6081117094</v>
      </c>
      <c r="BG838" s="2">
        <f t="shared" ca="1" si="863"/>
        <v>2195153.6359287687</v>
      </c>
      <c r="BH838" s="2">
        <f t="shared" ca="1" si="864"/>
        <v>2289392.9307845347</v>
      </c>
      <c r="BI838" s="2">
        <f t="shared" ca="1" si="865"/>
        <v>24599518.273955569</v>
      </c>
      <c r="BJ838" s="2">
        <f t="shared" ca="1" si="866"/>
        <v>0.14744245635266062</v>
      </c>
      <c r="BK838" s="2">
        <f t="shared" ca="1" si="867"/>
        <v>1956462.8803435266</v>
      </c>
    </row>
    <row r="839" spans="1:63" x14ac:dyDescent="0.3">
      <c r="A839" s="2">
        <v>838</v>
      </c>
      <c r="B839" s="2">
        <f t="shared" ca="1" si="806"/>
        <v>0.103257227560966</v>
      </c>
      <c r="C839" s="2">
        <f t="shared" ca="1" si="807"/>
        <v>6.454438615350778</v>
      </c>
      <c r="D839" s="2">
        <f t="shared" ca="1" si="808"/>
        <v>0.11859445945864544</v>
      </c>
      <c r="E839" s="2">
        <f t="shared" ca="1" si="809"/>
        <v>6.987020450204394</v>
      </c>
      <c r="F839" s="2">
        <f t="shared" ca="1" si="810"/>
        <v>0.51912001258956364</v>
      </c>
      <c r="G839" s="2">
        <f t="shared" ca="1" si="811"/>
        <v>4.1438353800833598E-2</v>
      </c>
      <c r="H839" s="2">
        <f t="shared" ca="1" si="812"/>
        <v>4.1438353800833598E-2</v>
      </c>
      <c r="I839" s="2">
        <f t="shared" ca="1" si="813"/>
        <v>0.52033232970390964</v>
      </c>
      <c r="J839" s="2">
        <f t="shared" ca="1" si="814"/>
        <v>1.0254938381947036E-2</v>
      </c>
      <c r="K839" s="2">
        <f t="shared" ca="1" si="815"/>
        <v>1.0254938381947036E-2</v>
      </c>
      <c r="L839" s="2">
        <f t="shared" ca="1" si="816"/>
        <v>0.50710319203719623</v>
      </c>
      <c r="M839" s="2">
        <f t="shared" ca="1" si="817"/>
        <v>3.5612005731570169E-4</v>
      </c>
      <c r="N839" s="2">
        <f t="shared" ca="1" si="818"/>
        <v>3.5612005731570169E-4</v>
      </c>
      <c r="O839" s="2">
        <f t="shared" si="819"/>
        <v>6000000</v>
      </c>
      <c r="P839" s="2">
        <f t="shared" ca="1" si="820"/>
        <v>38726631.692104667</v>
      </c>
      <c r="Q839" s="2">
        <f t="shared" ca="1" si="821"/>
        <v>968165.79230261676</v>
      </c>
      <c r="R839" s="2">
        <f t="shared" ca="1" si="822"/>
        <v>23235979.015262801</v>
      </c>
      <c r="S839" s="2">
        <f t="shared" ca="1" si="823"/>
        <v>15490652.676841868</v>
      </c>
      <c r="T839" s="2">
        <f t="shared" ca="1" si="824"/>
        <v>50017806.002865784</v>
      </c>
      <c r="U839" s="2">
        <f t="shared" ca="1" si="825"/>
        <v>52090461.544353992</v>
      </c>
      <c r="V839" s="2">
        <f t="shared" ca="1" si="826"/>
        <v>54249004.519477651</v>
      </c>
      <c r="W839" s="2">
        <f t="shared" ca="1" si="827"/>
        <v>56496993.962098785</v>
      </c>
      <c r="X839" s="2">
        <f t="shared" ca="1" si="828"/>
        <v>58838136.386583798</v>
      </c>
      <c r="Y839" s="2">
        <f t="shared" ca="1" si="829"/>
        <v>0.12512746919097351</v>
      </c>
      <c r="Z839" s="2">
        <f t="shared" ca="1" si="830"/>
        <v>0.12717845686736293</v>
      </c>
      <c r="AA839" s="2">
        <f t="shared" ca="1" si="831"/>
        <v>6258601.4796236781</v>
      </c>
      <c r="AB839" s="2">
        <f t="shared" ca="1" si="832"/>
        <v>6624784.5167196514</v>
      </c>
      <c r="AC839" s="2">
        <f t="shared" ca="1" si="833"/>
        <v>6899304.6813777648</v>
      </c>
      <c r="AD839" s="2">
        <f t="shared" ca="1" si="834"/>
        <v>7185200.5097444439</v>
      </c>
      <c r="AE839" s="2">
        <f t="shared" ca="1" si="835"/>
        <v>7482943.3905971646</v>
      </c>
      <c r="AF839" s="2">
        <f t="shared" ca="1" si="836"/>
        <v>1000356.1200573157</v>
      </c>
      <c r="AG839" s="2">
        <f t="shared" ca="1" si="837"/>
        <v>1041809.2308870798</v>
      </c>
      <c r="AH839" s="2">
        <f t="shared" ca="1" si="838"/>
        <v>1084980.090389553</v>
      </c>
      <c r="AI839" s="2">
        <f t="shared" ca="1" si="839"/>
        <v>1129939.8792419757</v>
      </c>
      <c r="AJ839" s="2">
        <f t="shared" ca="1" si="840"/>
        <v>1176762.7277316761</v>
      </c>
      <c r="AK839" s="2">
        <f t="shared" ca="1" si="841"/>
        <v>0</v>
      </c>
      <c r="AL839" s="2">
        <f t="shared" ca="1" si="842"/>
        <v>20726.555414882077</v>
      </c>
      <c r="AM839" s="2">
        <f t="shared" ca="1" si="843"/>
        <v>21585.429751236588</v>
      </c>
      <c r="AN839" s="2">
        <f t="shared" ca="1" si="844"/>
        <v>22479.894426211344</v>
      </c>
      <c r="AO839" s="2">
        <f t="shared" ca="1" si="845"/>
        <v>23411.424244850128</v>
      </c>
      <c r="AP839" s="2">
        <f t="shared" ca="1" si="846"/>
        <v>2091238.111373652</v>
      </c>
      <c r="AQ839" s="2">
        <f t="shared" ca="1" si="847"/>
        <v>823421.88453010481</v>
      </c>
      <c r="AR839" s="2">
        <f t="shared" ca="1" si="848"/>
        <v>907851.66535931919</v>
      </c>
      <c r="AS839" s="2">
        <f t="shared" ca="1" si="849"/>
        <v>968002.48469978548</v>
      </c>
      <c r="AT839" s="2">
        <f t="shared" ca="1" si="850"/>
        <v>1030645.8549734922</v>
      </c>
      <c r="AU839" s="2">
        <f t="shared" ca="1" si="851"/>
        <v>1095885.0633878778</v>
      </c>
      <c r="AV839" s="2">
        <f t="shared" ca="1" si="852"/>
        <v>2343585.3636626061</v>
      </c>
      <c r="AW839" s="2">
        <f t="shared" ca="1" si="853"/>
        <v>2563158.9536847183</v>
      </c>
      <c r="AX839" s="2">
        <f t="shared" ca="1" si="854"/>
        <v>2733498.5651635369</v>
      </c>
      <c r="AY839" s="2">
        <f t="shared" ca="1" si="855"/>
        <v>2910896.7697291123</v>
      </c>
      <c r="AZ839" s="2">
        <f t="shared" ca="1" si="856"/>
        <v>3095646.0638591088</v>
      </c>
      <c r="BA839" s="2">
        <f t="shared" ca="1" si="857"/>
        <v>52283478.497824192</v>
      </c>
      <c r="BB839" s="2">
        <f t="shared" ca="1" si="858"/>
        <v>1045669.5699564839</v>
      </c>
      <c r="BC839" s="2">
        <f t="shared" ca="1" si="859"/>
        <v>28001829.912604906</v>
      </c>
      <c r="BD839" s="2">
        <f t="shared" ca="1" si="860"/>
        <v>-16958818.469144486</v>
      </c>
      <c r="BE839" s="2">
        <f t="shared" ca="1" si="861"/>
        <v>2343585.3636626061</v>
      </c>
      <c r="BF839" s="2">
        <f t="shared" ca="1" si="862"/>
        <v>2563158.9536847183</v>
      </c>
      <c r="BG839" s="2">
        <f t="shared" ca="1" si="863"/>
        <v>2733498.5651635369</v>
      </c>
      <c r="BH839" s="2">
        <f t="shared" ca="1" si="864"/>
        <v>2910896.7697291123</v>
      </c>
      <c r="BI839" s="2">
        <f t="shared" ca="1" si="865"/>
        <v>31097475.976464015</v>
      </c>
      <c r="BJ839" s="2">
        <f t="shared" ca="1" si="866"/>
        <v>0.23763615743945565</v>
      </c>
      <c r="BK839" s="2">
        <f t="shared" ca="1" si="867"/>
        <v>8618123.9095170945</v>
      </c>
    </row>
    <row r="840" spans="1:63" x14ac:dyDescent="0.3">
      <c r="A840" s="2">
        <v>839</v>
      </c>
      <c r="B840" s="2">
        <f t="shared" ca="1" si="806"/>
        <v>5.460750104450518E-2</v>
      </c>
      <c r="C840" s="2">
        <f t="shared" ca="1" si="807"/>
        <v>6.3304769312508977</v>
      </c>
      <c r="D840" s="2">
        <f t="shared" ca="1" si="808"/>
        <v>0.34907311057300083</v>
      </c>
      <c r="E840" s="2">
        <f t="shared" ca="1" si="809"/>
        <v>7.3355514473364289</v>
      </c>
      <c r="F840" s="2">
        <f t="shared" ca="1" si="810"/>
        <v>0.99098275204935904</v>
      </c>
      <c r="G840" s="2">
        <f t="shared" ca="1" si="811"/>
        <v>0.11094727354546643</v>
      </c>
      <c r="H840" s="2">
        <f t="shared" ca="1" si="812"/>
        <v>0.11094727354546643</v>
      </c>
      <c r="I840" s="2">
        <f t="shared" ca="1" si="813"/>
        <v>0.5360347748332287</v>
      </c>
      <c r="J840" s="2">
        <f t="shared" ca="1" si="814"/>
        <v>1.0452244808265091E-2</v>
      </c>
      <c r="K840" s="2">
        <f t="shared" ca="1" si="815"/>
        <v>1.0452244808265091E-2</v>
      </c>
      <c r="L840" s="2">
        <f t="shared" ca="1" si="816"/>
        <v>0.73978013166079903</v>
      </c>
      <c r="M840" s="2">
        <f t="shared" ca="1" si="817"/>
        <v>1.2853354223631855E-2</v>
      </c>
      <c r="N840" s="2">
        <f t="shared" ca="1" si="818"/>
        <v>1.2853354223631855E-2</v>
      </c>
      <c r="O840" s="2">
        <f t="shared" si="819"/>
        <v>6000000</v>
      </c>
      <c r="P840" s="2">
        <f t="shared" ca="1" si="820"/>
        <v>37982861.587505385</v>
      </c>
      <c r="Q840" s="2">
        <f t="shared" ca="1" si="821"/>
        <v>949571.53968763468</v>
      </c>
      <c r="R840" s="2">
        <f t="shared" ca="1" si="822"/>
        <v>22789716.95250323</v>
      </c>
      <c r="S840" s="2">
        <f t="shared" ca="1" si="823"/>
        <v>15193144.635002155</v>
      </c>
      <c r="T840" s="2">
        <f t="shared" ca="1" si="824"/>
        <v>50642667.711181588</v>
      </c>
      <c r="U840" s="2">
        <f t="shared" ca="1" si="825"/>
        <v>56261333.618806213</v>
      </c>
      <c r="V840" s="2">
        <f t="shared" ca="1" si="826"/>
        <v>62503375.189844653</v>
      </c>
      <c r="W840" s="2">
        <f t="shared" ca="1" si="827"/>
        <v>69437954.254547268</v>
      </c>
      <c r="X840" s="2">
        <f t="shared" ca="1" si="828"/>
        <v>77141905.959664106</v>
      </c>
      <c r="Y840" s="2">
        <f t="shared" ca="1" si="829"/>
        <v>0.12522612240413253</v>
      </c>
      <c r="Z840" s="2">
        <f t="shared" ca="1" si="830"/>
        <v>0.12731657136578556</v>
      </c>
      <c r="AA840" s="2">
        <f t="shared" ca="1" si="831"/>
        <v>6341784.9056722354</v>
      </c>
      <c r="AB840" s="2">
        <f t="shared" ca="1" si="832"/>
        <v>7163000.0968130119</v>
      </c>
      <c r="AC840" s="2">
        <f t="shared" ca="1" si="833"/>
        <v>7957715.4279603269</v>
      </c>
      <c r="AD840" s="2">
        <f t="shared" ca="1" si="834"/>
        <v>8840602.2583432198</v>
      </c>
      <c r="AE840" s="2">
        <f t="shared" ca="1" si="835"/>
        <v>9821442.9754062928</v>
      </c>
      <c r="AF840" s="2">
        <f t="shared" ca="1" si="836"/>
        <v>1012853.3542236318</v>
      </c>
      <c r="AG840" s="2">
        <f t="shared" ca="1" si="837"/>
        <v>1125226.6723761242</v>
      </c>
      <c r="AH840" s="2">
        <f t="shared" ca="1" si="838"/>
        <v>1250067.5037968932</v>
      </c>
      <c r="AI840" s="2">
        <f t="shared" ca="1" si="839"/>
        <v>1388759.0850909455</v>
      </c>
      <c r="AJ840" s="2">
        <f t="shared" ca="1" si="840"/>
        <v>1542838.1191932822</v>
      </c>
      <c r="AK840" s="2">
        <f t="shared" ca="1" si="841"/>
        <v>0</v>
      </c>
      <c r="AL840" s="2">
        <f t="shared" ca="1" si="842"/>
        <v>56186.659076246251</v>
      </c>
      <c r="AM840" s="2">
        <f t="shared" ca="1" si="843"/>
        <v>62420.415710384397</v>
      </c>
      <c r="AN840" s="2">
        <f t="shared" ca="1" si="844"/>
        <v>69345.790647026151</v>
      </c>
      <c r="AO840" s="2">
        <f t="shared" ca="1" si="845"/>
        <v>77039.517051168383</v>
      </c>
      <c r="AP840" s="2">
        <f t="shared" ca="1" si="846"/>
        <v>2051074.5257252906</v>
      </c>
      <c r="AQ840" s="2">
        <f t="shared" ca="1" si="847"/>
        <v>852242.82668806147</v>
      </c>
      <c r="AR840" s="2">
        <f t="shared" ca="1" si="848"/>
        <v>1036541.7136650153</v>
      </c>
      <c r="AS840" s="2">
        <f t="shared" ca="1" si="849"/>
        <v>1210709.0835939171</v>
      </c>
      <c r="AT840" s="2">
        <f t="shared" ca="1" si="850"/>
        <v>1404199.8483570158</v>
      </c>
      <c r="AU840" s="2">
        <f t="shared" ca="1" si="851"/>
        <v>1619157.8859268075</v>
      </c>
      <c r="AV840" s="2">
        <f t="shared" ca="1" si="852"/>
        <v>2425614.199035252</v>
      </c>
      <c r="AW840" s="2">
        <f t="shared" ca="1" si="853"/>
        <v>2893970.5259703356</v>
      </c>
      <c r="AX840" s="2">
        <f t="shared" ca="1" si="854"/>
        <v>3383443.899133842</v>
      </c>
      <c r="AY840" s="2">
        <f t="shared" ca="1" si="855"/>
        <v>3927223.0085229422</v>
      </c>
      <c r="AZ840" s="2">
        <f t="shared" ca="1" si="856"/>
        <v>4531332.9275097437</v>
      </c>
      <c r="BA840" s="2">
        <f t="shared" ca="1" si="857"/>
        <v>72045700.233173832</v>
      </c>
      <c r="BB840" s="2">
        <f t="shared" ca="1" si="858"/>
        <v>1440914.0046634767</v>
      </c>
      <c r="BC840" s="2">
        <f t="shared" ca="1" si="859"/>
        <v>47815069.276007123</v>
      </c>
      <c r="BD840" s="2">
        <f t="shared" ca="1" si="860"/>
        <v>-16642716.17468979</v>
      </c>
      <c r="BE840" s="2">
        <f t="shared" ca="1" si="861"/>
        <v>2425614.199035252</v>
      </c>
      <c r="BF840" s="2">
        <f t="shared" ca="1" si="862"/>
        <v>2893970.5259703356</v>
      </c>
      <c r="BG840" s="2">
        <f t="shared" ca="1" si="863"/>
        <v>3383443.899133842</v>
      </c>
      <c r="BH840" s="2">
        <f t="shared" ca="1" si="864"/>
        <v>3927223.0085229422</v>
      </c>
      <c r="BI840" s="2">
        <f t="shared" ca="1" si="865"/>
        <v>52346402.203516871</v>
      </c>
      <c r="BJ840" s="2">
        <f t="shared" ca="1" si="866"/>
        <v>0.36892030585701163</v>
      </c>
      <c r="BK840" s="2">
        <f t="shared" ca="1" si="867"/>
        <v>22436910.541205928</v>
      </c>
    </row>
    <row r="841" spans="1:63" x14ac:dyDescent="0.3">
      <c r="A841" s="2">
        <v>840</v>
      </c>
      <c r="B841" s="2">
        <f t="shared" ca="1" si="806"/>
        <v>0.3008155668880852</v>
      </c>
      <c r="C841" s="2">
        <f t="shared" ca="1" si="807"/>
        <v>6.7756488469508422</v>
      </c>
      <c r="D841" s="2">
        <f t="shared" ca="1" si="808"/>
        <v>0.22147649388876955</v>
      </c>
      <c r="E841" s="2">
        <f t="shared" ca="1" si="809"/>
        <v>7.1655471341516987</v>
      </c>
      <c r="F841" s="2">
        <f t="shared" ca="1" si="810"/>
        <v>0.46429459092958103</v>
      </c>
      <c r="G841" s="2">
        <f t="shared" ca="1" si="811"/>
        <v>3.7311399667832028E-2</v>
      </c>
      <c r="H841" s="2">
        <f t="shared" ca="1" si="812"/>
        <v>3.7311399667832028E-2</v>
      </c>
      <c r="I841" s="2">
        <f t="shared" ca="1" si="813"/>
        <v>0.69262214975836833</v>
      </c>
      <c r="J841" s="2">
        <f t="shared" ca="1" si="814"/>
        <v>1.2516483398684079E-2</v>
      </c>
      <c r="K841" s="2">
        <f t="shared" ca="1" si="815"/>
        <v>1.2516483398684079E-2</v>
      </c>
      <c r="L841" s="2">
        <f t="shared" ca="1" si="816"/>
        <v>0.7786799098175472</v>
      </c>
      <c r="M841" s="2">
        <f t="shared" ca="1" si="817"/>
        <v>1.5354850035642822E-2</v>
      </c>
      <c r="N841" s="2">
        <f t="shared" ca="1" si="818"/>
        <v>1.5354850035642822E-2</v>
      </c>
      <c r="O841" s="2">
        <f t="shared" si="819"/>
        <v>6000000</v>
      </c>
      <c r="P841" s="2">
        <f t="shared" ca="1" si="820"/>
        <v>40653893.081705056</v>
      </c>
      <c r="Q841" s="2">
        <f t="shared" ca="1" si="821"/>
        <v>1016347.3270426264</v>
      </c>
      <c r="R841" s="2">
        <f t="shared" ca="1" si="822"/>
        <v>24392335.849023033</v>
      </c>
      <c r="S841" s="2">
        <f t="shared" ca="1" si="823"/>
        <v>16261557.232682023</v>
      </c>
      <c r="T841" s="2">
        <f t="shared" ca="1" si="824"/>
        <v>50767742.501782142</v>
      </c>
      <c r="U841" s="2">
        <f t="shared" ca="1" si="825"/>
        <v>52661958.032499716</v>
      </c>
      <c r="V841" s="2">
        <f t="shared" ca="1" si="826"/>
        <v>54626849.395940907</v>
      </c>
      <c r="W841" s="2">
        <f t="shared" ca="1" si="827"/>
        <v>56665053.60634733</v>
      </c>
      <c r="X841" s="2">
        <f t="shared" ca="1" si="828"/>
        <v>58779306.068652883</v>
      </c>
      <c r="Y841" s="2">
        <f t="shared" ca="1" si="829"/>
        <v>0.12625824169934202</v>
      </c>
      <c r="Z841" s="2">
        <f t="shared" ca="1" si="830"/>
        <v>0.12876153837907886</v>
      </c>
      <c r="AA841" s="2">
        <f t="shared" ca="1" si="831"/>
        <v>6409845.9033199679</v>
      </c>
      <c r="AB841" s="2">
        <f t="shared" ca="1" si="832"/>
        <v>6780834.7303191526</v>
      </c>
      <c r="AC841" s="2">
        <f t="shared" ca="1" si="833"/>
        <v>7033837.1650236063</v>
      </c>
      <c r="AD841" s="2">
        <f t="shared" ca="1" si="834"/>
        <v>7296279.4746862529</v>
      </c>
      <c r="AE841" s="2">
        <f t="shared" ca="1" si="835"/>
        <v>7568513.8742544716</v>
      </c>
      <c r="AF841" s="2">
        <f t="shared" ca="1" si="836"/>
        <v>1015354.8500356429</v>
      </c>
      <c r="AG841" s="2">
        <f t="shared" ca="1" si="837"/>
        <v>1053239.1606499944</v>
      </c>
      <c r="AH841" s="2">
        <f t="shared" ca="1" si="838"/>
        <v>1092536.9879188181</v>
      </c>
      <c r="AI841" s="2">
        <f t="shared" ca="1" si="839"/>
        <v>1133301.0721269466</v>
      </c>
      <c r="AJ841" s="2">
        <f t="shared" ca="1" si="840"/>
        <v>1175586.1213730576</v>
      </c>
      <c r="AK841" s="2">
        <f t="shared" ca="1" si="841"/>
        <v>0</v>
      </c>
      <c r="AL841" s="2">
        <f t="shared" ca="1" si="842"/>
        <v>18942.155307175741</v>
      </c>
      <c r="AM841" s="2">
        <f t="shared" ca="1" si="843"/>
        <v>19648.913634411918</v>
      </c>
      <c r="AN841" s="2">
        <f t="shared" ca="1" si="844"/>
        <v>20382.042104064225</v>
      </c>
      <c r="AO841" s="2">
        <f t="shared" ca="1" si="845"/>
        <v>21142.524623055531</v>
      </c>
      <c r="AP841" s="2">
        <f t="shared" ca="1" si="846"/>
        <v>2195310.2264120728</v>
      </c>
      <c r="AQ841" s="2">
        <f t="shared" ca="1" si="847"/>
        <v>831787.01498678548</v>
      </c>
      <c r="AR841" s="2">
        <f t="shared" ca="1" si="848"/>
        <v>918394.18924684229</v>
      </c>
      <c r="AS841" s="2">
        <f t="shared" ca="1" si="849"/>
        <v>973957.38718010602</v>
      </c>
      <c r="AT841" s="2">
        <f t="shared" ca="1" si="850"/>
        <v>1031593.7257982808</v>
      </c>
      <c r="AU841" s="2">
        <f t="shared" ca="1" si="851"/>
        <v>1091380.5568820289</v>
      </c>
      <c r="AV841" s="2">
        <f t="shared" ca="1" si="852"/>
        <v>2367393.8118854668</v>
      </c>
      <c r="AW841" s="2">
        <f t="shared" ca="1" si="853"/>
        <v>2594948.9987030672</v>
      </c>
      <c r="AX841" s="2">
        <f t="shared" ca="1" si="854"/>
        <v>2752383.6498781973</v>
      </c>
      <c r="AY841" s="2">
        <f t="shared" ca="1" si="855"/>
        <v>2915692.4082448883</v>
      </c>
      <c r="AZ841" s="2">
        <f t="shared" ca="1" si="856"/>
        <v>3085094.4449642561</v>
      </c>
      <c r="BA841" s="2">
        <f t="shared" ca="1" si="857"/>
        <v>54232542.901451498</v>
      </c>
      <c r="BB841" s="2">
        <f t="shared" ca="1" si="858"/>
        <v>1084650.85802903</v>
      </c>
      <c r="BC841" s="2">
        <f t="shared" ca="1" si="859"/>
        <v>28755556.194399435</v>
      </c>
      <c r="BD841" s="2">
        <f t="shared" ca="1" si="860"/>
        <v>-17777904.559724651</v>
      </c>
      <c r="BE841" s="2">
        <f t="shared" ca="1" si="861"/>
        <v>2367393.8118854668</v>
      </c>
      <c r="BF841" s="2">
        <f t="shared" ca="1" si="862"/>
        <v>2594948.9987030672</v>
      </c>
      <c r="BG841" s="2">
        <f t="shared" ca="1" si="863"/>
        <v>2752383.6498781973</v>
      </c>
      <c r="BH841" s="2">
        <f t="shared" ca="1" si="864"/>
        <v>2915692.4082448883</v>
      </c>
      <c r="BI841" s="2">
        <f t="shared" ca="1" si="865"/>
        <v>31840650.639363691</v>
      </c>
      <c r="BJ841" s="2">
        <f t="shared" ca="1" si="866"/>
        <v>0.22870905244976614</v>
      </c>
      <c r="BK841" s="2">
        <f t="shared" ca="1" si="867"/>
        <v>8283825.1987200938</v>
      </c>
    </row>
    <row r="842" spans="1:63" x14ac:dyDescent="0.3">
      <c r="A842" s="2">
        <v>841</v>
      </c>
      <c r="B842" s="2">
        <f t="shared" ca="1" si="806"/>
        <v>0.47973725120502264</v>
      </c>
      <c r="C842" s="2">
        <f t="shared" ca="1" si="807"/>
        <v>6.979527693539108</v>
      </c>
      <c r="D842" s="2">
        <f t="shared" ca="1" si="808"/>
        <v>0.18924227678603911</v>
      </c>
      <c r="E842" s="2">
        <f t="shared" ca="1" si="809"/>
        <v>7.1152109829741974</v>
      </c>
      <c r="F842" s="2">
        <f t="shared" ca="1" si="810"/>
        <v>0.28120260724087431</v>
      </c>
      <c r="G842" s="2">
        <f t="shared" ca="1" si="811"/>
        <v>2.2621820392746458E-2</v>
      </c>
      <c r="H842" s="2">
        <f t="shared" ca="1" si="812"/>
        <v>2.2621820392746458E-2</v>
      </c>
      <c r="I842" s="2">
        <f t="shared" ca="1" si="813"/>
        <v>3.7908457308390986E-3</v>
      </c>
      <c r="J842" s="2">
        <f t="shared" ca="1" si="814"/>
        <v>-3.3507600504252989E-3</v>
      </c>
      <c r="K842" s="2">
        <f t="shared" ca="1" si="815"/>
        <v>0</v>
      </c>
      <c r="L842" s="2">
        <f t="shared" ca="1" si="816"/>
        <v>0.8882799058464258</v>
      </c>
      <c r="M842" s="2">
        <f t="shared" ca="1" si="817"/>
        <v>2.4348624523197838E-2</v>
      </c>
      <c r="N842" s="2">
        <f t="shared" ca="1" si="818"/>
        <v>2.4348624523197838E-2</v>
      </c>
      <c r="O842" s="2">
        <f t="shared" si="819"/>
        <v>6000000</v>
      </c>
      <c r="P842" s="2">
        <f t="shared" ca="1" si="820"/>
        <v>41877166.161234647</v>
      </c>
      <c r="Q842" s="2">
        <f t="shared" ca="1" si="821"/>
        <v>1046929.1540308662</v>
      </c>
      <c r="R842" s="2">
        <f t="shared" ca="1" si="822"/>
        <v>25126299.696740787</v>
      </c>
      <c r="S842" s="2">
        <f t="shared" ca="1" si="823"/>
        <v>16750866.46449386</v>
      </c>
      <c r="T842" s="2">
        <f t="shared" ca="1" si="824"/>
        <v>51217431.226159893</v>
      </c>
      <c r="U842" s="2">
        <f t="shared" ca="1" si="825"/>
        <v>52376062.756335922</v>
      </c>
      <c r="V842" s="2">
        <f t="shared" ca="1" si="826"/>
        <v>53560904.640888967</v>
      </c>
      <c r="W842" s="2">
        <f t="shared" ca="1" si="827"/>
        <v>54772549.805748172</v>
      </c>
      <c r="X842" s="2">
        <f t="shared" ca="1" si="828"/>
        <v>56011604.589906566</v>
      </c>
      <c r="Y842" s="2">
        <f t="shared" ca="1" si="829"/>
        <v>0.12</v>
      </c>
      <c r="Z842" s="2">
        <f t="shared" ca="1" si="830"/>
        <v>0.12</v>
      </c>
      <c r="AA842" s="2">
        <f t="shared" ca="1" si="831"/>
        <v>6146091.7471391866</v>
      </c>
      <c r="AB842" s="2">
        <f t="shared" ca="1" si="832"/>
        <v>6285127.5307603106</v>
      </c>
      <c r="AC842" s="2">
        <f t="shared" ca="1" si="833"/>
        <v>6427308.5569066759</v>
      </c>
      <c r="AD842" s="2">
        <f t="shared" ca="1" si="834"/>
        <v>6572705.9766897801</v>
      </c>
      <c r="AE842" s="2">
        <f t="shared" ca="1" si="835"/>
        <v>6721392.5507887872</v>
      </c>
      <c r="AF842" s="2">
        <f t="shared" ca="1" si="836"/>
        <v>1024348.6245231979</v>
      </c>
      <c r="AG842" s="2">
        <f t="shared" ca="1" si="837"/>
        <v>1047521.2551267184</v>
      </c>
      <c r="AH842" s="2">
        <f t="shared" ca="1" si="838"/>
        <v>1071218.0928177794</v>
      </c>
      <c r="AI842" s="2">
        <f t="shared" ca="1" si="839"/>
        <v>1095450.9961149634</v>
      </c>
      <c r="AJ842" s="2">
        <f t="shared" ca="1" si="840"/>
        <v>1120232.0917981314</v>
      </c>
      <c r="AK842" s="2">
        <f t="shared" ca="1" si="841"/>
        <v>0</v>
      </c>
      <c r="AL842" s="2">
        <f t="shared" ca="1" si="842"/>
        <v>11586.315301760287</v>
      </c>
      <c r="AM842" s="2">
        <f t="shared" ca="1" si="843"/>
        <v>11848.41884553045</v>
      </c>
      <c r="AN842" s="2">
        <f t="shared" ca="1" si="844"/>
        <v>12116.451648592056</v>
      </c>
      <c r="AO842" s="2">
        <f t="shared" ca="1" si="845"/>
        <v>12390.547841583937</v>
      </c>
      <c r="AP842" s="2">
        <f t="shared" ca="1" si="846"/>
        <v>2261366.9727066709</v>
      </c>
      <c r="AQ842" s="2">
        <f t="shared" ca="1" si="847"/>
        <v>743697.79897642252</v>
      </c>
      <c r="AR842" s="2">
        <f t="shared" ca="1" si="848"/>
        <v>773822.21876099962</v>
      </c>
      <c r="AS842" s="2">
        <f t="shared" ca="1" si="849"/>
        <v>804628.10775937862</v>
      </c>
      <c r="AT842" s="2">
        <f t="shared" ca="1" si="850"/>
        <v>836130.88204571791</v>
      </c>
      <c r="AU842" s="2">
        <f t="shared" ca="1" si="851"/>
        <v>868346.30643383611</v>
      </c>
      <c r="AV842" s="2">
        <f t="shared" ca="1" si="852"/>
        <v>2116678.3509328952</v>
      </c>
      <c r="AW842" s="2">
        <f t="shared" ca="1" si="853"/>
        <v>2190830.7688641613</v>
      </c>
      <c r="AX842" s="2">
        <f t="shared" ca="1" si="854"/>
        <v>2278246.964777316</v>
      </c>
      <c r="AY842" s="2">
        <f t="shared" ca="1" si="855"/>
        <v>2367640.6741738357</v>
      </c>
      <c r="AZ842" s="2">
        <f t="shared" ca="1" si="856"/>
        <v>2459056.6320085647</v>
      </c>
      <c r="BA842" s="2">
        <f t="shared" ca="1" si="857"/>
        <v>47824126.098253332</v>
      </c>
      <c r="BB842" s="2">
        <f t="shared" ca="1" si="858"/>
        <v>956482.52196506667</v>
      </c>
      <c r="BC842" s="2">
        <f t="shared" ca="1" si="859"/>
        <v>21741343.879547477</v>
      </c>
      <c r="BD842" s="2">
        <f t="shared" ca="1" si="860"/>
        <v>-18297795.618524726</v>
      </c>
      <c r="BE842" s="2">
        <f t="shared" ca="1" si="861"/>
        <v>2116678.3509328952</v>
      </c>
      <c r="BF842" s="2">
        <f t="shared" ca="1" si="862"/>
        <v>2190830.7688641613</v>
      </c>
      <c r="BG842" s="2">
        <f t="shared" ca="1" si="863"/>
        <v>2278246.964777316</v>
      </c>
      <c r="BH842" s="2">
        <f t="shared" ca="1" si="864"/>
        <v>2367640.6741738357</v>
      </c>
      <c r="BI842" s="2">
        <f t="shared" ca="1" si="865"/>
        <v>24200400.51155604</v>
      </c>
      <c r="BJ842" s="2">
        <f t="shared" ca="1" si="866"/>
        <v>0.15127196709013879</v>
      </c>
      <c r="BK842" s="2">
        <f t="shared" ca="1" si="867"/>
        <v>2196859.4521021359</v>
      </c>
    </row>
    <row r="843" spans="1:63" x14ac:dyDescent="0.3">
      <c r="A843" s="2">
        <v>842</v>
      </c>
      <c r="B843" s="2">
        <f t="shared" ca="1" si="806"/>
        <v>7.9091500603495346E-2</v>
      </c>
      <c r="C843" s="2">
        <f t="shared" ca="1" si="807"/>
        <v>6.3977222664209163</v>
      </c>
      <c r="D843" s="2">
        <f t="shared" ca="1" si="808"/>
        <v>5.2856984736970869E-2</v>
      </c>
      <c r="E843" s="2">
        <f t="shared" ca="1" si="809"/>
        <v>6.8251368473027041</v>
      </c>
      <c r="F843" s="2">
        <f t="shared" ca="1" si="810"/>
        <v>0.53940581733560033</v>
      </c>
      <c r="G843" s="2">
        <f t="shared" ca="1" si="811"/>
        <v>4.2968107201351649E-2</v>
      </c>
      <c r="H843" s="2">
        <f t="shared" ca="1" si="812"/>
        <v>4.2968107201351649E-2</v>
      </c>
      <c r="I843" s="2">
        <f t="shared" ca="1" si="813"/>
        <v>0.20200385071927751</v>
      </c>
      <c r="J843" s="2">
        <f t="shared" ca="1" si="814"/>
        <v>5.8275746883943739E-3</v>
      </c>
      <c r="K843" s="2">
        <f t="shared" ca="1" si="815"/>
        <v>5.8275746883943739E-3</v>
      </c>
      <c r="L843" s="2">
        <f t="shared" ca="1" si="816"/>
        <v>0.16073856878868298</v>
      </c>
      <c r="M843" s="2">
        <f t="shared" ca="1" si="817"/>
        <v>-1.9828539347248354E-2</v>
      </c>
      <c r="N843" s="2">
        <f t="shared" ca="1" si="818"/>
        <v>-1.9828539347248354E-2</v>
      </c>
      <c r="O843" s="2">
        <f t="shared" si="819"/>
        <v>6000000</v>
      </c>
      <c r="P843" s="2">
        <f t="shared" ca="1" si="820"/>
        <v>38386333.598525502</v>
      </c>
      <c r="Q843" s="2">
        <f t="shared" ca="1" si="821"/>
        <v>959658.33996313764</v>
      </c>
      <c r="R843" s="2">
        <f t="shared" ca="1" si="822"/>
        <v>23031800.1591153</v>
      </c>
      <c r="S843" s="2">
        <f t="shared" ca="1" si="823"/>
        <v>15354533.439410202</v>
      </c>
      <c r="T843" s="2">
        <f t="shared" ca="1" si="824"/>
        <v>49008573.032637581</v>
      </c>
      <c r="U843" s="2">
        <f t="shared" ca="1" si="825"/>
        <v>51114378.65248923</v>
      </c>
      <c r="V843" s="2">
        <f t="shared" ca="1" si="826"/>
        <v>53310666.753959872</v>
      </c>
      <c r="W843" s="2">
        <f t="shared" ca="1" si="827"/>
        <v>55601325.198019557</v>
      </c>
      <c r="X843" s="2">
        <f t="shared" ca="1" si="828"/>
        <v>57990408.899665281</v>
      </c>
      <c r="Y843" s="2">
        <f t="shared" ca="1" si="829"/>
        <v>0.12291378734419718</v>
      </c>
      <c r="Z843" s="2">
        <f t="shared" ca="1" si="830"/>
        <v>0.12407930228187605</v>
      </c>
      <c r="AA843" s="2">
        <f t="shared" ca="1" si="831"/>
        <v>6023829.3237761725</v>
      </c>
      <c r="AB843" s="2">
        <f t="shared" ca="1" si="832"/>
        <v>6342236.4397724839</v>
      </c>
      <c r="AC843" s="2">
        <f t="shared" ca="1" si="833"/>
        <v>6614750.3350129472</v>
      </c>
      <c r="AD843" s="2">
        <f t="shared" ca="1" si="834"/>
        <v>6898973.6365179606</v>
      </c>
      <c r="AE843" s="2">
        <f t="shared" ca="1" si="835"/>
        <v>7195409.4753111638</v>
      </c>
      <c r="AF843" s="2">
        <f t="shared" ca="1" si="836"/>
        <v>980171.46065275162</v>
      </c>
      <c r="AG843" s="2">
        <f t="shared" ca="1" si="837"/>
        <v>1022287.5730497846</v>
      </c>
      <c r="AH843" s="2">
        <f t="shared" ca="1" si="838"/>
        <v>1066213.3350791975</v>
      </c>
      <c r="AI843" s="2">
        <f t="shared" ca="1" si="839"/>
        <v>1112026.503960391</v>
      </c>
      <c r="AJ843" s="2">
        <f t="shared" ca="1" si="840"/>
        <v>1159808.1779933057</v>
      </c>
      <c r="AK843" s="2">
        <f t="shared" ca="1" si="841"/>
        <v>0</v>
      </c>
      <c r="AL843" s="2">
        <f t="shared" ca="1" si="842"/>
        <v>21058.05619851649</v>
      </c>
      <c r="AM843" s="2">
        <f t="shared" ca="1" si="843"/>
        <v>21962.881014706418</v>
      </c>
      <c r="AN843" s="2">
        <f t="shared" ca="1" si="844"/>
        <v>22906.584440596849</v>
      </c>
      <c r="AO843" s="2">
        <f t="shared" ca="1" si="845"/>
        <v>23890.837016457244</v>
      </c>
      <c r="AP843" s="2">
        <f t="shared" ca="1" si="846"/>
        <v>2072862.0143203768</v>
      </c>
      <c r="AQ843" s="2">
        <f t="shared" ca="1" si="847"/>
        <v>772406.92068879143</v>
      </c>
      <c r="AR843" s="2">
        <f t="shared" ca="1" si="848"/>
        <v>844242.58162460383</v>
      </c>
      <c r="AS843" s="2">
        <f t="shared" ca="1" si="849"/>
        <v>903675.49625947687</v>
      </c>
      <c r="AT843" s="2">
        <f t="shared" ca="1" si="850"/>
        <v>965662.13074167003</v>
      </c>
      <c r="AU843" s="2">
        <f t="shared" ca="1" si="851"/>
        <v>1030312.2135793451</v>
      </c>
      <c r="AV843" s="2">
        <f t="shared" ca="1" si="852"/>
        <v>2198388.9281142526</v>
      </c>
      <c r="AW843" s="2">
        <f t="shared" ca="1" si="853"/>
        <v>2381786.2145792018</v>
      </c>
      <c r="AX843" s="2">
        <f t="shared" ca="1" si="854"/>
        <v>2550036.6083391891</v>
      </c>
      <c r="AY843" s="2">
        <f t="shared" ca="1" si="855"/>
        <v>2725516.4030549261</v>
      </c>
      <c r="AZ843" s="2">
        <f t="shared" ca="1" si="856"/>
        <v>2908536.2324016779</v>
      </c>
      <c r="BA843" s="2">
        <f t="shared" ca="1" si="857"/>
        <v>49109654.341377243</v>
      </c>
      <c r="BB843" s="2">
        <f t="shared" ca="1" si="858"/>
        <v>982193.08682754484</v>
      </c>
      <c r="BC843" s="2">
        <f t="shared" ca="1" si="859"/>
        <v>25095661.095434397</v>
      </c>
      <c r="BD843" s="2">
        <f t="shared" ca="1" si="860"/>
        <v>-16814191.77937334</v>
      </c>
      <c r="BE843" s="2">
        <f t="shared" ca="1" si="861"/>
        <v>2198388.9281142526</v>
      </c>
      <c r="BF843" s="2">
        <f t="shared" ca="1" si="862"/>
        <v>2381786.2145792018</v>
      </c>
      <c r="BG843" s="2">
        <f t="shared" ca="1" si="863"/>
        <v>2550036.6083391891</v>
      </c>
      <c r="BH843" s="2">
        <f t="shared" ca="1" si="864"/>
        <v>2725516.4030549261</v>
      </c>
      <c r="BI843" s="2">
        <f t="shared" ca="1" si="865"/>
        <v>28004197.327836074</v>
      </c>
      <c r="BJ843" s="2">
        <f t="shared" ca="1" si="866"/>
        <v>0.21243827910216928</v>
      </c>
      <c r="BK843" s="2">
        <f t="shared" ca="1" si="867"/>
        <v>6484915.1385739632</v>
      </c>
    </row>
    <row r="844" spans="1:63" x14ac:dyDescent="0.3">
      <c r="A844" s="2">
        <v>843</v>
      </c>
      <c r="B844" s="2">
        <f t="shared" ca="1" si="806"/>
        <v>0.53704732210975159</v>
      </c>
      <c r="C844" s="2">
        <f t="shared" ca="1" si="807"/>
        <v>7.0377602399710888</v>
      </c>
      <c r="D844" s="2">
        <f t="shared" ca="1" si="808"/>
        <v>0.69148460391654143</v>
      </c>
      <c r="E844" s="2">
        <f t="shared" ca="1" si="809"/>
        <v>7.7144869242546514</v>
      </c>
      <c r="F844" s="2">
        <f t="shared" ca="1" si="810"/>
        <v>0.56782205941364217</v>
      </c>
      <c r="G844" s="2">
        <f t="shared" ca="1" si="811"/>
        <v>4.512495944234695E-2</v>
      </c>
      <c r="H844" s="2">
        <f t="shared" ca="1" si="812"/>
        <v>4.512495944234695E-2</v>
      </c>
      <c r="I844" s="2">
        <f t="shared" ca="1" si="813"/>
        <v>0.28290439126414912</v>
      </c>
      <c r="J844" s="2">
        <f t="shared" ca="1" si="814"/>
        <v>7.1288249607709426E-3</v>
      </c>
      <c r="K844" s="2">
        <f t="shared" ca="1" si="815"/>
        <v>7.1288249607709426E-3</v>
      </c>
      <c r="L844" s="2">
        <f t="shared" ca="1" si="816"/>
        <v>0.46350900472208156</v>
      </c>
      <c r="M844" s="2">
        <f t="shared" ca="1" si="817"/>
        <v>-1.8319456797394255E-3</v>
      </c>
      <c r="N844" s="2">
        <f t="shared" ca="1" si="818"/>
        <v>-1.8319456797394255E-3</v>
      </c>
      <c r="O844" s="2">
        <f t="shared" si="819"/>
        <v>6000000</v>
      </c>
      <c r="P844" s="2">
        <f t="shared" ca="1" si="820"/>
        <v>42226561.439826533</v>
      </c>
      <c r="Q844" s="2">
        <f t="shared" ca="1" si="821"/>
        <v>1055664.0359956634</v>
      </c>
      <c r="R844" s="2">
        <f t="shared" ca="1" si="822"/>
        <v>25335936.863895919</v>
      </c>
      <c r="S844" s="2">
        <f t="shared" ca="1" si="823"/>
        <v>16890624.575930614</v>
      </c>
      <c r="T844" s="2">
        <f t="shared" ca="1" si="824"/>
        <v>49908402.716013029</v>
      </c>
      <c r="U844" s="2">
        <f t="shared" ca="1" si="825"/>
        <v>52160517.364405431</v>
      </c>
      <c r="V844" s="2">
        <f t="shared" ca="1" si="826"/>
        <v>54514258.594966054</v>
      </c>
      <c r="W844" s="2">
        <f t="shared" ca="1" si="827"/>
        <v>56974212.303093508</v>
      </c>
      <c r="X844" s="2">
        <f t="shared" ca="1" si="828"/>
        <v>59545171.322530262</v>
      </c>
      <c r="Y844" s="2">
        <f t="shared" ca="1" si="829"/>
        <v>0.12356441248038547</v>
      </c>
      <c r="Z844" s="2">
        <f t="shared" ca="1" si="830"/>
        <v>0.12499017747253965</v>
      </c>
      <c r="AA844" s="2">
        <f t="shared" ca="1" si="831"/>
        <v>6166902.4594386239</v>
      </c>
      <c r="AB844" s="2">
        <f t="shared" ca="1" si="832"/>
        <v>6519552.3224365208</v>
      </c>
      <c r="AC844" s="2">
        <f t="shared" ca="1" si="833"/>
        <v>6813746.8565687276</v>
      </c>
      <c r="AD844" s="2">
        <f t="shared" ca="1" si="834"/>
        <v>7121216.9071218101</v>
      </c>
      <c r="AE844" s="2">
        <f t="shared" ca="1" si="835"/>
        <v>7442561.5312358364</v>
      </c>
      <c r="AF844" s="2">
        <f t="shared" ca="1" si="836"/>
        <v>998168.05432026065</v>
      </c>
      <c r="AG844" s="2">
        <f t="shared" ca="1" si="837"/>
        <v>1043210.3472881087</v>
      </c>
      <c r="AH844" s="2">
        <f t="shared" ca="1" si="838"/>
        <v>1090285.171899321</v>
      </c>
      <c r="AI844" s="2">
        <f t="shared" ca="1" si="839"/>
        <v>1139484.2460618701</v>
      </c>
      <c r="AJ844" s="2">
        <f t="shared" ca="1" si="840"/>
        <v>1190903.4264506053</v>
      </c>
      <c r="AK844" s="2">
        <f t="shared" ca="1" si="841"/>
        <v>0</v>
      </c>
      <c r="AL844" s="2">
        <f t="shared" ca="1" si="842"/>
        <v>22521.146483924018</v>
      </c>
      <c r="AM844" s="2">
        <f t="shared" ca="1" si="843"/>
        <v>23537.412305606231</v>
      </c>
      <c r="AN844" s="2">
        <f t="shared" ca="1" si="844"/>
        <v>24599.537081274539</v>
      </c>
      <c r="AO844" s="2">
        <f t="shared" ca="1" si="845"/>
        <v>25709.590194367542</v>
      </c>
      <c r="AP844" s="2">
        <f t="shared" ca="1" si="846"/>
        <v>2280234.3177506328</v>
      </c>
      <c r="AQ844" s="2">
        <f t="shared" ca="1" si="847"/>
        <v>751010.02271560987</v>
      </c>
      <c r="AR844" s="2">
        <f t="shared" ca="1" si="848"/>
        <v>830987.99092342274</v>
      </c>
      <c r="AS844" s="2">
        <f t="shared" ca="1" si="849"/>
        <v>895239.11539888137</v>
      </c>
      <c r="AT844" s="2">
        <f t="shared" ca="1" si="850"/>
        <v>962389.56926041993</v>
      </c>
      <c r="AU844" s="2">
        <f t="shared" ca="1" si="851"/>
        <v>1032570.1846289956</v>
      </c>
      <c r="AV844" s="2">
        <f t="shared" ca="1" si="852"/>
        <v>2137490.0646521207</v>
      </c>
      <c r="AW844" s="2">
        <f t="shared" ca="1" si="853"/>
        <v>2342598.519990433</v>
      </c>
      <c r="AX844" s="2">
        <f t="shared" ca="1" si="854"/>
        <v>2524450.8392142868</v>
      </c>
      <c r="AY844" s="2">
        <f t="shared" ca="1" si="855"/>
        <v>2714509.236967613</v>
      </c>
      <c r="AZ844" s="2">
        <f t="shared" ca="1" si="856"/>
        <v>2913144.0122112352</v>
      </c>
      <c r="BA844" s="2">
        <f t="shared" ca="1" si="857"/>
        <v>57415543.61567954</v>
      </c>
      <c r="BB844" s="2">
        <f t="shared" ca="1" si="858"/>
        <v>1148310.8723135907</v>
      </c>
      <c r="BC844" s="2">
        <f t="shared" ca="1" si="859"/>
        <v>30931295.879470028</v>
      </c>
      <c r="BD844" s="2">
        <f t="shared" ca="1" si="860"/>
        <v>-18446288.611926276</v>
      </c>
      <c r="BE844" s="2">
        <f t="shared" ca="1" si="861"/>
        <v>2137490.0646521207</v>
      </c>
      <c r="BF844" s="2">
        <f t="shared" ca="1" si="862"/>
        <v>2342598.519990433</v>
      </c>
      <c r="BG844" s="2">
        <f t="shared" ca="1" si="863"/>
        <v>2524450.8392142868</v>
      </c>
      <c r="BH844" s="2">
        <f t="shared" ca="1" si="864"/>
        <v>2714509.236967613</v>
      </c>
      <c r="BI844" s="2">
        <f t="shared" ca="1" si="865"/>
        <v>33844439.891681261</v>
      </c>
      <c r="BJ844" s="2">
        <f t="shared" ca="1" si="866"/>
        <v>0.22028108280512382</v>
      </c>
      <c r="BK844" s="2">
        <f t="shared" ca="1" si="867"/>
        <v>8055907.907093361</v>
      </c>
    </row>
    <row r="845" spans="1:63" x14ac:dyDescent="0.3">
      <c r="A845" s="2">
        <v>844</v>
      </c>
      <c r="B845" s="2">
        <f t="shared" ca="1" si="806"/>
        <v>4.8010691543669881E-2</v>
      </c>
      <c r="C845" s="2">
        <f t="shared" ca="1" si="807"/>
        <v>6.3098731725841066</v>
      </c>
      <c r="D845" s="2">
        <f t="shared" ca="1" si="808"/>
        <v>0.74732949186206821</v>
      </c>
      <c r="E845" s="2">
        <f t="shared" ca="1" si="809"/>
        <v>7.7891265821006783</v>
      </c>
      <c r="F845" s="2">
        <f t="shared" ca="1" si="810"/>
        <v>0.25224677733534584</v>
      </c>
      <c r="G845" s="2">
        <f t="shared" ca="1" si="811"/>
        <v>1.9976914244897569E-2</v>
      </c>
      <c r="H845" s="2">
        <f t="shared" ca="1" si="812"/>
        <v>1.9976914244897569E-2</v>
      </c>
      <c r="I845" s="2">
        <f t="shared" ca="1" si="813"/>
        <v>0.50338956219543085</v>
      </c>
      <c r="J845" s="2">
        <f t="shared" ca="1" si="814"/>
        <v>1.0042482373317235E-2</v>
      </c>
      <c r="K845" s="2">
        <f t="shared" ca="1" si="815"/>
        <v>1.0042482373317235E-2</v>
      </c>
      <c r="L845" s="2">
        <f t="shared" ca="1" si="816"/>
        <v>0.12015947748172262</v>
      </c>
      <c r="M845" s="2">
        <f t="shared" ca="1" si="817"/>
        <v>-2.3483798782132071E-2</v>
      </c>
      <c r="N845" s="2">
        <f t="shared" ca="1" si="818"/>
        <v>-2.3483798782132071E-2</v>
      </c>
      <c r="O845" s="2">
        <f t="shared" si="819"/>
        <v>6000000</v>
      </c>
      <c r="P845" s="2">
        <f t="shared" ca="1" si="820"/>
        <v>37859239.035504639</v>
      </c>
      <c r="Q845" s="2">
        <f t="shared" ca="1" si="821"/>
        <v>946480.97588761605</v>
      </c>
      <c r="R845" s="2">
        <f t="shared" ca="1" si="822"/>
        <v>22715543.421302784</v>
      </c>
      <c r="S845" s="2">
        <f t="shared" ca="1" si="823"/>
        <v>15143695.614201857</v>
      </c>
      <c r="T845" s="2">
        <f t="shared" ca="1" si="824"/>
        <v>48825810.060893402</v>
      </c>
      <c r="U845" s="2">
        <f t="shared" ca="1" si="825"/>
        <v>49801199.081417523</v>
      </c>
      <c r="V845" s="2">
        <f t="shared" ca="1" si="826"/>
        <v>50796073.364760071</v>
      </c>
      <c r="W845" s="2">
        <f t="shared" ca="1" si="827"/>
        <v>51810822.16634541</v>
      </c>
      <c r="X845" s="2">
        <f t="shared" ca="1" si="828"/>
        <v>52845842.517720133</v>
      </c>
      <c r="Y845" s="2">
        <f t="shared" ca="1" si="829"/>
        <v>0.12502124118665861</v>
      </c>
      <c r="Z845" s="2">
        <f t="shared" ca="1" si="830"/>
        <v>0.12702973766132206</v>
      </c>
      <c r="AA845" s="2">
        <f t="shared" ca="1" si="831"/>
        <v>6104263.3757569361</v>
      </c>
      <c r="AB845" s="2">
        <f t="shared" ca="1" si="832"/>
        <v>6326233.2545317411</v>
      </c>
      <c r="AC845" s="2">
        <f t="shared" ca="1" si="833"/>
        <v>6452611.8737507407</v>
      </c>
      <c r="AD845" s="2">
        <f t="shared" ca="1" si="834"/>
        <v>6581515.1478082668</v>
      </c>
      <c r="AE845" s="2">
        <f t="shared" ca="1" si="835"/>
        <v>6712993.5115175275</v>
      </c>
      <c r="AF845" s="2">
        <f t="shared" ca="1" si="836"/>
        <v>976516.20121786802</v>
      </c>
      <c r="AG845" s="2">
        <f t="shared" ca="1" si="837"/>
        <v>996023.98162835045</v>
      </c>
      <c r="AH845" s="2">
        <f t="shared" ca="1" si="838"/>
        <v>1015921.4672952015</v>
      </c>
      <c r="AI845" s="2">
        <f t="shared" ca="1" si="839"/>
        <v>1036216.4433269083</v>
      </c>
      <c r="AJ845" s="2">
        <f t="shared" ca="1" si="840"/>
        <v>1056916.8503544028</v>
      </c>
      <c r="AK845" s="2">
        <f t="shared" ca="1" si="841"/>
        <v>0</v>
      </c>
      <c r="AL845" s="2">
        <f t="shared" ca="1" si="842"/>
        <v>9753.8902052412177</v>
      </c>
      <c r="AM845" s="2">
        <f t="shared" ca="1" si="843"/>
        <v>9948.7428334254782</v>
      </c>
      <c r="AN845" s="2">
        <f t="shared" ca="1" si="844"/>
        <v>10147.488015853391</v>
      </c>
      <c r="AO845" s="2">
        <f t="shared" ca="1" si="845"/>
        <v>10350.20351374723</v>
      </c>
      <c r="AP845" s="2">
        <f t="shared" ca="1" si="846"/>
        <v>2044398.9079172504</v>
      </c>
      <c r="AQ845" s="2">
        <f t="shared" ca="1" si="847"/>
        <v>801670.54932167253</v>
      </c>
      <c r="AR845" s="2">
        <f t="shared" ca="1" si="848"/>
        <v>854310.69489639637</v>
      </c>
      <c r="AS845" s="2">
        <f t="shared" ca="1" si="849"/>
        <v>881995.78961995512</v>
      </c>
      <c r="AT845" s="2">
        <f t="shared" ca="1" si="850"/>
        <v>910233.94710666814</v>
      </c>
      <c r="AU845" s="2">
        <f t="shared" ca="1" si="851"/>
        <v>939036.21584392746</v>
      </c>
      <c r="AV845" s="2">
        <f t="shared" ca="1" si="852"/>
        <v>2281677.7173001445</v>
      </c>
      <c r="AW845" s="2">
        <f t="shared" ca="1" si="853"/>
        <v>2421745.7798845028</v>
      </c>
      <c r="AX845" s="2">
        <f t="shared" ca="1" si="854"/>
        <v>2500346.9660849082</v>
      </c>
      <c r="AY845" s="2">
        <f t="shared" ca="1" si="855"/>
        <v>2580518.3614415866</v>
      </c>
      <c r="AZ845" s="2">
        <f t="shared" ca="1" si="856"/>
        <v>2662291.3338882006</v>
      </c>
      <c r="BA845" s="2">
        <f t="shared" ca="1" si="857"/>
        <v>52288356.206030548</v>
      </c>
      <c r="BB845" s="2">
        <f t="shared" ca="1" si="858"/>
        <v>1045767.124120611</v>
      </c>
      <c r="BC845" s="2">
        <f t="shared" ca="1" si="859"/>
        <v>28527045.660607152</v>
      </c>
      <c r="BD845" s="2">
        <f t="shared" ca="1" si="860"/>
        <v>-16590176.590089472</v>
      </c>
      <c r="BE845" s="2">
        <f t="shared" ca="1" si="861"/>
        <v>2281677.7173001445</v>
      </c>
      <c r="BF845" s="2">
        <f t="shared" ca="1" si="862"/>
        <v>2421745.7798845028</v>
      </c>
      <c r="BG845" s="2">
        <f t="shared" ca="1" si="863"/>
        <v>2500346.9660849082</v>
      </c>
      <c r="BH845" s="2">
        <f t="shared" ca="1" si="864"/>
        <v>2580518.3614415866</v>
      </c>
      <c r="BI845" s="2">
        <f t="shared" ca="1" si="865"/>
        <v>31189336.994495351</v>
      </c>
      <c r="BJ845" s="2">
        <f t="shared" ca="1" si="866"/>
        <v>0.2375279534685879</v>
      </c>
      <c r="BK845" s="2">
        <f t="shared" ca="1" si="867"/>
        <v>8494967.6424343344</v>
      </c>
    </row>
    <row r="846" spans="1:63" x14ac:dyDescent="0.3">
      <c r="A846" s="2">
        <v>845</v>
      </c>
      <c r="B846" s="2">
        <f t="shared" ca="1" si="806"/>
        <v>0.44561047464423498</v>
      </c>
      <c r="C846" s="2">
        <f t="shared" ca="1" si="807"/>
        <v>6.9440449932542778</v>
      </c>
      <c r="D846" s="2">
        <f t="shared" ca="1" si="808"/>
        <v>0.33527126333169976</v>
      </c>
      <c r="E846" s="2">
        <f t="shared" ca="1" si="809"/>
        <v>7.3188666110322238</v>
      </c>
      <c r="F846" s="2">
        <f t="shared" ca="1" si="810"/>
        <v>0.26699581143828033</v>
      </c>
      <c r="G846" s="2">
        <f t="shared" ca="1" si="811"/>
        <v>2.1342269955409096E-2</v>
      </c>
      <c r="H846" s="2">
        <f t="shared" ca="1" si="812"/>
        <v>2.1342269955409096E-2</v>
      </c>
      <c r="I846" s="2">
        <f t="shared" ca="1" si="813"/>
        <v>0.92697160736484607</v>
      </c>
      <c r="J846" s="2">
        <f t="shared" ca="1" si="814"/>
        <v>1.7268008140680146E-2</v>
      </c>
      <c r="K846" s="2">
        <f t="shared" ca="1" si="815"/>
        <v>1.7268008140680146E-2</v>
      </c>
      <c r="L846" s="2">
        <f t="shared" ca="1" si="816"/>
        <v>0.97042980835857418</v>
      </c>
      <c r="M846" s="2">
        <f t="shared" ca="1" si="817"/>
        <v>3.7742965777572642E-2</v>
      </c>
      <c r="N846" s="2">
        <f t="shared" ca="1" si="818"/>
        <v>3.7742965777572642E-2</v>
      </c>
      <c r="O846" s="2">
        <f t="shared" si="819"/>
        <v>6000000</v>
      </c>
      <c r="P846" s="2">
        <f t="shared" ca="1" si="820"/>
        <v>41664269.959525667</v>
      </c>
      <c r="Q846" s="2">
        <f t="shared" ca="1" si="821"/>
        <v>1041606.7489881418</v>
      </c>
      <c r="R846" s="2">
        <f t="shared" ca="1" si="822"/>
        <v>24998561.975715399</v>
      </c>
      <c r="S846" s="2">
        <f t="shared" ca="1" si="823"/>
        <v>16665707.983810268</v>
      </c>
      <c r="T846" s="2">
        <f t="shared" ca="1" si="824"/>
        <v>51887148.288878635</v>
      </c>
      <c r="U846" s="2">
        <f t="shared" ca="1" si="825"/>
        <v>52994537.814876229</v>
      </c>
      <c r="V846" s="2">
        <f t="shared" ca="1" si="826"/>
        <v>54125561.547083452</v>
      </c>
      <c r="W846" s="2">
        <f t="shared" ca="1" si="827"/>
        <v>55280723.893109418</v>
      </c>
      <c r="X846" s="2">
        <f t="shared" ca="1" si="828"/>
        <v>56460540.025766596</v>
      </c>
      <c r="Y846" s="2">
        <f t="shared" ca="1" si="829"/>
        <v>0.12863400407034006</v>
      </c>
      <c r="Z846" s="2">
        <f t="shared" ca="1" si="830"/>
        <v>0.13208760569847611</v>
      </c>
      <c r="AA846" s="2">
        <f t="shared" ca="1" si="831"/>
        <v>6674451.6441899529</v>
      </c>
      <c r="AB846" s="2">
        <f t="shared" ca="1" si="832"/>
        <v>6999921.6150643528</v>
      </c>
      <c r="AC846" s="2">
        <f t="shared" ca="1" si="833"/>
        <v>7149315.8318397598</v>
      </c>
      <c r="AD846" s="2">
        <f t="shared" ca="1" si="834"/>
        <v>7301898.4603193635</v>
      </c>
      <c r="AE846" s="2">
        <f t="shared" ca="1" si="835"/>
        <v>7457737.5484464858</v>
      </c>
      <c r="AF846" s="2">
        <f t="shared" ca="1" si="836"/>
        <v>1037742.9657775727</v>
      </c>
      <c r="AG846" s="2">
        <f t="shared" ca="1" si="837"/>
        <v>1059890.7562975246</v>
      </c>
      <c r="AH846" s="2">
        <f t="shared" ca="1" si="838"/>
        <v>1082511.2309416691</v>
      </c>
      <c r="AI846" s="2">
        <f t="shared" ca="1" si="839"/>
        <v>1105614.4778621884</v>
      </c>
      <c r="AJ846" s="2">
        <f t="shared" ca="1" si="840"/>
        <v>1129210.800515332</v>
      </c>
      <c r="AK846" s="2">
        <f t="shared" ca="1" si="841"/>
        <v>0</v>
      </c>
      <c r="AL846" s="2">
        <f t="shared" ca="1" si="842"/>
        <v>11073.89525997594</v>
      </c>
      <c r="AM846" s="2">
        <f t="shared" ca="1" si="843"/>
        <v>11310.237322072238</v>
      </c>
      <c r="AN846" s="2">
        <f t="shared" ca="1" si="844"/>
        <v>11551.623460259661</v>
      </c>
      <c r="AO846" s="2">
        <f t="shared" ca="1" si="845"/>
        <v>11798.161326571777</v>
      </c>
      <c r="AP846" s="2">
        <f t="shared" ca="1" si="846"/>
        <v>2249870.5778143858</v>
      </c>
      <c r="AQ846" s="2">
        <f t="shared" ca="1" si="847"/>
        <v>880577.90615547844</v>
      </c>
      <c r="AR846" s="2">
        <f t="shared" ca="1" si="848"/>
        <v>959441.67304763489</v>
      </c>
      <c r="AS846" s="2">
        <f t="shared" ca="1" si="849"/>
        <v>992402.84600176336</v>
      </c>
      <c r="AT846" s="2">
        <f t="shared" ca="1" si="850"/>
        <v>1026067.4852071252</v>
      </c>
      <c r="AU846" s="2">
        <f t="shared" ca="1" si="851"/>
        <v>1060450.6042303597</v>
      </c>
      <c r="AV846" s="2">
        <f t="shared" ca="1" si="852"/>
        <v>2506260.1944425157</v>
      </c>
      <c r="AW846" s="2">
        <f t="shared" ca="1" si="853"/>
        <v>2719644.7126448308</v>
      </c>
      <c r="AX846" s="2">
        <f t="shared" ca="1" si="854"/>
        <v>2813220.9397598687</v>
      </c>
      <c r="AY846" s="2">
        <f t="shared" ca="1" si="855"/>
        <v>2908794.2959754043</v>
      </c>
      <c r="AZ846" s="2">
        <f t="shared" ca="1" si="856"/>
        <v>3006407.4045598372</v>
      </c>
      <c r="BA846" s="2">
        <f t="shared" ca="1" si="857"/>
        <v>54582186.337166294</v>
      </c>
      <c r="BB846" s="2">
        <f t="shared" ca="1" si="858"/>
        <v>1091643.7267433258</v>
      </c>
      <c r="BC846" s="2">
        <f t="shared" ca="1" si="859"/>
        <v>28491980.63470757</v>
      </c>
      <c r="BD846" s="2">
        <f t="shared" ca="1" si="860"/>
        <v>-18207314.732798409</v>
      </c>
      <c r="BE846" s="2">
        <f t="shared" ca="1" si="861"/>
        <v>2506260.1944425157</v>
      </c>
      <c r="BF846" s="2">
        <f t="shared" ca="1" si="862"/>
        <v>2719644.7126448308</v>
      </c>
      <c r="BG846" s="2">
        <f t="shared" ca="1" si="863"/>
        <v>2813220.9397598687</v>
      </c>
      <c r="BH846" s="2">
        <f t="shared" ca="1" si="864"/>
        <v>2908794.2959754043</v>
      </c>
      <c r="BI846" s="2">
        <f t="shared" ca="1" si="865"/>
        <v>31498388.039267406</v>
      </c>
      <c r="BJ846" s="2">
        <f t="shared" ca="1" si="866"/>
        <v>0.2231749824271585</v>
      </c>
      <c r="BK846" s="2">
        <f t="shared" ca="1" si="867"/>
        <v>7922519.4421378002</v>
      </c>
    </row>
    <row r="847" spans="1:63" x14ac:dyDescent="0.3">
      <c r="A847" s="2">
        <v>846</v>
      </c>
      <c r="B847" s="2">
        <f t="shared" ca="1" si="806"/>
        <v>0.99578066725914693</v>
      </c>
      <c r="C847" s="2">
        <f t="shared" ca="1" si="807"/>
        <v>7.9081377907858394</v>
      </c>
      <c r="D847" s="2">
        <f t="shared" ca="1" si="808"/>
        <v>0.33014862301490422</v>
      </c>
      <c r="E847" s="2">
        <f t="shared" ca="1" si="809"/>
        <v>7.3125867621551608</v>
      </c>
      <c r="F847" s="2">
        <f t="shared" ca="1" si="810"/>
        <v>0.569083285232723</v>
      </c>
      <c r="G847" s="2">
        <f t="shared" ca="1" si="811"/>
        <v>4.5221222786332491E-2</v>
      </c>
      <c r="H847" s="2">
        <f t="shared" ca="1" si="812"/>
        <v>4.5221222786332491E-2</v>
      </c>
      <c r="I847" s="2">
        <f t="shared" ca="1" si="813"/>
        <v>0.12929677490942837</v>
      </c>
      <c r="J847" s="2">
        <f t="shared" ca="1" si="814"/>
        <v>4.3513919664397464E-3</v>
      </c>
      <c r="K847" s="2">
        <f t="shared" ca="1" si="815"/>
        <v>4.3513919664397464E-3</v>
      </c>
      <c r="L847" s="2">
        <f t="shared" ca="1" si="816"/>
        <v>0.74346133720158614</v>
      </c>
      <c r="M847" s="2">
        <f t="shared" ca="1" si="817"/>
        <v>1.3081070390787698E-2</v>
      </c>
      <c r="N847" s="2">
        <f t="shared" ca="1" si="818"/>
        <v>1.3081070390787698E-2</v>
      </c>
      <c r="O847" s="2">
        <f t="shared" si="819"/>
        <v>6000000</v>
      </c>
      <c r="P847" s="2">
        <f t="shared" ca="1" si="820"/>
        <v>47448826.744715035</v>
      </c>
      <c r="Q847" s="2">
        <f t="shared" ca="1" si="821"/>
        <v>1186220.668617876</v>
      </c>
      <c r="R847" s="2">
        <f t="shared" ca="1" si="822"/>
        <v>28469296.046829019</v>
      </c>
      <c r="S847" s="2">
        <f t="shared" ca="1" si="823"/>
        <v>18979530.697886016</v>
      </c>
      <c r="T847" s="2">
        <f t="shared" ca="1" si="824"/>
        <v>50654053.519539386</v>
      </c>
      <c r="U847" s="2">
        <f t="shared" ca="1" si="825"/>
        <v>52944691.758777283</v>
      </c>
      <c r="V847" s="2">
        <f t="shared" ca="1" si="826"/>
        <v>55338915.460154653</v>
      </c>
      <c r="W847" s="2">
        <f t="shared" ca="1" si="827"/>
        <v>57841408.884932324</v>
      </c>
      <c r="X847" s="2">
        <f t="shared" ca="1" si="828"/>
        <v>60457068.122393198</v>
      </c>
      <c r="Y847" s="2">
        <f t="shared" ca="1" si="829"/>
        <v>0.12217569598321987</v>
      </c>
      <c r="Z847" s="2">
        <f t="shared" ca="1" si="830"/>
        <v>0.12304597437650781</v>
      </c>
      <c r="AA847" s="2">
        <f t="shared" ca="1" si="831"/>
        <v>6188694.2431209926</v>
      </c>
      <c r="AB847" s="2">
        <f t="shared" ca="1" si="832"/>
        <v>6514631.185522614</v>
      </c>
      <c r="AC847" s="2">
        <f t="shared" ca="1" si="833"/>
        <v>6809230.7737339213</v>
      </c>
      <c r="AD847" s="2">
        <f t="shared" ca="1" si="834"/>
        <v>7117152.5155564938</v>
      </c>
      <c r="AE847" s="2">
        <f t="shared" ca="1" si="835"/>
        <v>7438998.8550667809</v>
      </c>
      <c r="AF847" s="2">
        <f t="shared" ca="1" si="836"/>
        <v>1013081.0703907878</v>
      </c>
      <c r="AG847" s="2">
        <f t="shared" ca="1" si="837"/>
        <v>1058893.8351755457</v>
      </c>
      <c r="AH847" s="2">
        <f t="shared" ca="1" si="838"/>
        <v>1106778.3092030932</v>
      </c>
      <c r="AI847" s="2">
        <f t="shared" ca="1" si="839"/>
        <v>1156828.1776986464</v>
      </c>
      <c r="AJ847" s="2">
        <f t="shared" ca="1" si="840"/>
        <v>1209141.3624478639</v>
      </c>
      <c r="AK847" s="2">
        <f t="shared" ca="1" si="841"/>
        <v>0</v>
      </c>
      <c r="AL847" s="2">
        <f t="shared" ca="1" si="842"/>
        <v>22906.382392378971</v>
      </c>
      <c r="AM847" s="2">
        <f t="shared" ca="1" si="843"/>
        <v>23942.237013773694</v>
      </c>
      <c r="AN847" s="2">
        <f t="shared" ca="1" si="844"/>
        <v>25024.934247776717</v>
      </c>
      <c r="AO847" s="2">
        <f t="shared" ca="1" si="845"/>
        <v>26156.592374608739</v>
      </c>
      <c r="AP847" s="2">
        <f t="shared" ca="1" si="846"/>
        <v>2562236.6442146115</v>
      </c>
      <c r="AQ847" s="2">
        <f t="shared" ca="1" si="847"/>
        <v>679477.89741405426</v>
      </c>
      <c r="AR847" s="2">
        <f t="shared" ca="1" si="848"/>
        <v>752310.18359443871</v>
      </c>
      <c r="AS847" s="2">
        <f t="shared" ca="1" si="849"/>
        <v>816456.11328221648</v>
      </c>
      <c r="AT847" s="2">
        <f t="shared" ca="1" si="850"/>
        <v>883502.80034724134</v>
      </c>
      <c r="AU847" s="2">
        <f t="shared" ca="1" si="851"/>
        <v>953581.4205851194</v>
      </c>
      <c r="AV847" s="2">
        <f t="shared" ca="1" si="852"/>
        <v>1933898.6311015394</v>
      </c>
      <c r="AW847" s="2">
        <f t="shared" ca="1" si="853"/>
        <v>2118284.140145639</v>
      </c>
      <c r="AX847" s="2">
        <f t="shared" ca="1" si="854"/>
        <v>2299817.4700202262</v>
      </c>
      <c r="AY847" s="2">
        <f t="shared" ca="1" si="855"/>
        <v>2489559.9590482172</v>
      </c>
      <c r="AZ847" s="2">
        <f t="shared" ca="1" si="856"/>
        <v>2687882.835444577</v>
      </c>
      <c r="BA847" s="2">
        <f t="shared" ca="1" si="857"/>
        <v>54398324.551248737</v>
      </c>
      <c r="BB847" s="2">
        <f t="shared" ca="1" si="858"/>
        <v>1087966.4910249747</v>
      </c>
      <c r="BC847" s="2">
        <f t="shared" ca="1" si="859"/>
        <v>24841062.013394743</v>
      </c>
      <c r="BD847" s="2">
        <f t="shared" ca="1" si="860"/>
        <v>-20665751.366503891</v>
      </c>
      <c r="BE847" s="2">
        <f t="shared" ca="1" si="861"/>
        <v>1933898.6311015394</v>
      </c>
      <c r="BF847" s="2">
        <f t="shared" ca="1" si="862"/>
        <v>2118284.140145639</v>
      </c>
      <c r="BG847" s="2">
        <f t="shared" ca="1" si="863"/>
        <v>2299817.4700202262</v>
      </c>
      <c r="BH847" s="2">
        <f t="shared" ca="1" si="864"/>
        <v>2489559.9590482172</v>
      </c>
      <c r="BI847" s="2">
        <f t="shared" ca="1" si="865"/>
        <v>27528944.84883932</v>
      </c>
      <c r="BJ847" s="2">
        <f t="shared" ca="1" si="866"/>
        <v>0.13979835125407147</v>
      </c>
      <c r="BK847" s="2">
        <f t="shared" ca="1" si="867"/>
        <v>1589414.6140864603</v>
      </c>
    </row>
    <row r="848" spans="1:63" x14ac:dyDescent="0.3">
      <c r="A848" s="2">
        <v>847</v>
      </c>
      <c r="B848" s="2">
        <f t="shared" ca="1" si="806"/>
        <v>0.1744253065832132</v>
      </c>
      <c r="C848" s="2">
        <f t="shared" ca="1" si="807"/>
        <v>6.59063577030724</v>
      </c>
      <c r="D848" s="2">
        <f t="shared" ca="1" si="808"/>
        <v>0.30111931060639907</v>
      </c>
      <c r="E848" s="2">
        <f t="shared" ca="1" si="809"/>
        <v>7.2760403476706594</v>
      </c>
      <c r="F848" s="2">
        <f t="shared" ca="1" si="810"/>
        <v>6.4336580387466258E-2</v>
      </c>
      <c r="G848" s="2">
        <f t="shared" ca="1" si="811"/>
        <v>-5.5806502056035823E-3</v>
      </c>
      <c r="H848" s="2">
        <f t="shared" ca="1" si="812"/>
        <v>-5.5806502056035823E-3</v>
      </c>
      <c r="I848" s="2">
        <f t="shared" ca="1" si="813"/>
        <v>0.41331505325746931</v>
      </c>
      <c r="J848" s="2">
        <f t="shared" ca="1" si="814"/>
        <v>8.9048720034771243E-3</v>
      </c>
      <c r="K848" s="2">
        <f t="shared" ca="1" si="815"/>
        <v>8.9048720034771243E-3</v>
      </c>
      <c r="L848" s="2">
        <f t="shared" ca="1" si="816"/>
        <v>0.69596436928009242</v>
      </c>
      <c r="M848" s="2">
        <f t="shared" ca="1" si="817"/>
        <v>1.025657086953163E-2</v>
      </c>
      <c r="N848" s="2">
        <f t="shared" ca="1" si="818"/>
        <v>1.025657086953163E-2</v>
      </c>
      <c r="O848" s="2">
        <f t="shared" si="819"/>
        <v>6000000</v>
      </c>
      <c r="P848" s="2">
        <f t="shared" ca="1" si="820"/>
        <v>39543814.621843442</v>
      </c>
      <c r="Q848" s="2">
        <f t="shared" ca="1" si="821"/>
        <v>988595.3655460861</v>
      </c>
      <c r="R848" s="2">
        <f t="shared" ca="1" si="822"/>
        <v>23726288.773106065</v>
      </c>
      <c r="S848" s="2">
        <f t="shared" ca="1" si="823"/>
        <v>15817525.848737378</v>
      </c>
      <c r="T848" s="2">
        <f t="shared" ca="1" si="824"/>
        <v>50512828.543476582</v>
      </c>
      <c r="U848" s="2">
        <f t="shared" ca="1" si="825"/>
        <v>50230934.116479807</v>
      </c>
      <c r="V848" s="2">
        <f t="shared" ca="1" si="826"/>
        <v>49950612.84367501</v>
      </c>
      <c r="W848" s="2">
        <f t="shared" ca="1" si="827"/>
        <v>49671855.945838928</v>
      </c>
      <c r="X848" s="2">
        <f t="shared" ca="1" si="828"/>
        <v>49394654.692742072</v>
      </c>
      <c r="Y848" s="2">
        <f t="shared" ca="1" si="829"/>
        <v>0.12445243600173855</v>
      </c>
      <c r="Z848" s="2">
        <f t="shared" ca="1" si="830"/>
        <v>0.12623341040243399</v>
      </c>
      <c r="AA848" s="2">
        <f t="shared" ca="1" si="831"/>
        <v>6286444.5615738118</v>
      </c>
      <c r="AB848" s="2">
        <f t="shared" ca="1" si="832"/>
        <v>6340822.1212232187</v>
      </c>
      <c r="AC848" s="2">
        <f t="shared" ca="1" si="833"/>
        <v>6305436.2109487178</v>
      </c>
      <c r="AD848" s="2">
        <f t="shared" ca="1" si="834"/>
        <v>6270247.7770616664</v>
      </c>
      <c r="AE848" s="2">
        <f t="shared" ca="1" si="835"/>
        <v>6235255.717515422</v>
      </c>
      <c r="AF848" s="2">
        <f t="shared" ca="1" si="836"/>
        <v>1010256.5708695316</v>
      </c>
      <c r="AG848" s="2">
        <f t="shared" ca="1" si="837"/>
        <v>1004618.6823295961</v>
      </c>
      <c r="AH848" s="2">
        <f t="shared" ca="1" si="838"/>
        <v>999012.25687350018</v>
      </c>
      <c r="AI848" s="2">
        <f t="shared" ca="1" si="839"/>
        <v>993437.11891677859</v>
      </c>
      <c r="AJ848" s="2">
        <f t="shared" ca="1" si="840"/>
        <v>987893.09385484143</v>
      </c>
      <c r="AK848" s="2">
        <f t="shared" ca="1" si="841"/>
        <v>0</v>
      </c>
      <c r="AL848" s="2">
        <f t="shared" ca="1" si="842"/>
        <v>0</v>
      </c>
      <c r="AM848" s="2">
        <f t="shared" ca="1" si="843"/>
        <v>0</v>
      </c>
      <c r="AN848" s="2">
        <f t="shared" ca="1" si="844"/>
        <v>0</v>
      </c>
      <c r="AO848" s="2">
        <f t="shared" ca="1" si="845"/>
        <v>0</v>
      </c>
      <c r="AP848" s="2">
        <f t="shared" ca="1" si="846"/>
        <v>2135365.9895795458</v>
      </c>
      <c r="AQ848" s="2">
        <f t="shared" ca="1" si="847"/>
        <v>816613.72029243095</v>
      </c>
      <c r="AR848" s="2">
        <f t="shared" ca="1" si="848"/>
        <v>832217.73682166007</v>
      </c>
      <c r="AS848" s="2">
        <f t="shared" ca="1" si="849"/>
        <v>824475.0707688746</v>
      </c>
      <c r="AT848" s="2">
        <f t="shared" ca="1" si="850"/>
        <v>816775.61382698885</v>
      </c>
      <c r="AU848" s="2">
        <f t="shared" ca="1" si="851"/>
        <v>809119.12486106902</v>
      </c>
      <c r="AV848" s="2">
        <f t="shared" ca="1" si="852"/>
        <v>2324208.2808323032</v>
      </c>
      <c r="AW848" s="2">
        <f t="shared" ca="1" si="853"/>
        <v>2368619.7124924171</v>
      </c>
      <c r="AX848" s="2">
        <f t="shared" ca="1" si="854"/>
        <v>2346582.8937267973</v>
      </c>
      <c r="AY848" s="2">
        <f t="shared" ca="1" si="855"/>
        <v>2324669.0547383525</v>
      </c>
      <c r="AZ848" s="2">
        <f t="shared" ca="1" si="856"/>
        <v>2302877.5092199654</v>
      </c>
      <c r="BA848" s="2">
        <f t="shared" ca="1" si="857"/>
        <v>45367972.17868638</v>
      </c>
      <c r="BB848" s="2">
        <f t="shared" ca="1" si="858"/>
        <v>907359.44357372762</v>
      </c>
      <c r="BC848" s="2">
        <f t="shared" ca="1" si="859"/>
        <v>20734323.962006588</v>
      </c>
      <c r="BD848" s="2">
        <f t="shared" ca="1" si="860"/>
        <v>-17306121.214283463</v>
      </c>
      <c r="BE848" s="2">
        <f t="shared" ca="1" si="861"/>
        <v>2324208.2808323032</v>
      </c>
      <c r="BF848" s="2">
        <f t="shared" ca="1" si="862"/>
        <v>2368619.7124924171</v>
      </c>
      <c r="BG848" s="2">
        <f t="shared" ca="1" si="863"/>
        <v>2346582.8937267973</v>
      </c>
      <c r="BH848" s="2">
        <f t="shared" ca="1" si="864"/>
        <v>2324669.0547383525</v>
      </c>
      <c r="BI848" s="2">
        <f t="shared" ca="1" si="865"/>
        <v>23037201.471226554</v>
      </c>
      <c r="BJ848" s="2">
        <f t="shared" ca="1" si="866"/>
        <v>0.16356485110986907</v>
      </c>
      <c r="BK848" s="2">
        <f t="shared" ca="1" si="867"/>
        <v>2876861.2433710247</v>
      </c>
    </row>
    <row r="849" spans="1:63" x14ac:dyDescent="0.3">
      <c r="A849" s="2">
        <v>848</v>
      </c>
      <c r="B849" s="2">
        <f t="shared" ca="1" si="806"/>
        <v>0.62521572984381446</v>
      </c>
      <c r="C849" s="2">
        <f t="shared" ca="1" si="807"/>
        <v>7.1342237354186873</v>
      </c>
      <c r="D849" s="2">
        <f t="shared" ca="1" si="808"/>
        <v>0.91181116702795018</v>
      </c>
      <c r="E849" s="2">
        <f t="shared" ca="1" si="809"/>
        <v>8.080026589003424</v>
      </c>
      <c r="F849" s="2">
        <f t="shared" ca="1" si="810"/>
        <v>0.12862086052924393</v>
      </c>
      <c r="G849" s="2">
        <f t="shared" ca="1" si="811"/>
        <v>6.0119621744996674E-3</v>
      </c>
      <c r="H849" s="2">
        <f t="shared" ca="1" si="812"/>
        <v>6.0119621744996674E-3</v>
      </c>
      <c r="I849" s="2">
        <f t="shared" ca="1" si="813"/>
        <v>0.69434847111141118</v>
      </c>
      <c r="J849" s="2">
        <f t="shared" ca="1" si="814"/>
        <v>1.2541071539949577E-2</v>
      </c>
      <c r="K849" s="2">
        <f t="shared" ca="1" si="815"/>
        <v>1.2541071539949577E-2</v>
      </c>
      <c r="L849" s="2">
        <f t="shared" ca="1" si="816"/>
        <v>0.83914542853151619</v>
      </c>
      <c r="M849" s="2">
        <f t="shared" ca="1" si="817"/>
        <v>1.9819034926891715E-2</v>
      </c>
      <c r="N849" s="2">
        <f t="shared" ca="1" si="818"/>
        <v>1.9819034926891715E-2</v>
      </c>
      <c r="O849" s="2">
        <f t="shared" si="819"/>
        <v>6000000</v>
      </c>
      <c r="P849" s="2">
        <f t="shared" ca="1" si="820"/>
        <v>42805342.412512124</v>
      </c>
      <c r="Q849" s="2">
        <f t="shared" ca="1" si="821"/>
        <v>1070133.5603128031</v>
      </c>
      <c r="R849" s="2">
        <f t="shared" ca="1" si="822"/>
        <v>25683205.447507273</v>
      </c>
      <c r="S849" s="2">
        <f t="shared" ca="1" si="823"/>
        <v>17122136.96500485</v>
      </c>
      <c r="T849" s="2">
        <f t="shared" ca="1" si="824"/>
        <v>50990951.746344581</v>
      </c>
      <c r="U849" s="2">
        <f t="shared" ca="1" si="825"/>
        <v>51297507.419485338</v>
      </c>
      <c r="V849" s="2">
        <f t="shared" ca="1" si="826"/>
        <v>51605906.093737401</v>
      </c>
      <c r="W849" s="2">
        <f t="shared" ca="1" si="827"/>
        <v>51916158.849153727</v>
      </c>
      <c r="X849" s="2">
        <f t="shared" ca="1" si="828"/>
        <v>52228276.832400151</v>
      </c>
      <c r="Y849" s="2">
        <f t="shared" ca="1" si="829"/>
        <v>0.1262705357699748</v>
      </c>
      <c r="Z849" s="2">
        <f t="shared" ca="1" si="830"/>
        <v>0.12877875007796469</v>
      </c>
      <c r="AA849" s="2">
        <f t="shared" ca="1" si="831"/>
        <v>6438654.7964318618</v>
      </c>
      <c r="AB849" s="2">
        <f t="shared" ca="1" si="832"/>
        <v>6606028.8875964414</v>
      </c>
      <c r="AC849" s="2">
        <f t="shared" ca="1" si="833"/>
        <v>6645744.0833923239</v>
      </c>
      <c r="AD849" s="2">
        <f t="shared" ca="1" si="834"/>
        <v>6685698.0454430822</v>
      </c>
      <c r="AE849" s="2">
        <f t="shared" ca="1" si="835"/>
        <v>6725892.2092024125</v>
      </c>
      <c r="AF849" s="2">
        <f t="shared" ca="1" si="836"/>
        <v>1019819.0349268917</v>
      </c>
      <c r="AG849" s="2">
        <f t="shared" ca="1" si="837"/>
        <v>1025950.1483897067</v>
      </c>
      <c r="AH849" s="2">
        <f t="shared" ca="1" si="838"/>
        <v>1032118.121874748</v>
      </c>
      <c r="AI849" s="2">
        <f t="shared" ca="1" si="839"/>
        <v>1038323.1769830745</v>
      </c>
      <c r="AJ849" s="2">
        <f t="shared" ca="1" si="840"/>
        <v>1044565.536648003</v>
      </c>
      <c r="AK849" s="2">
        <f t="shared" ca="1" si="841"/>
        <v>0</v>
      </c>
      <c r="AL849" s="2">
        <f t="shared" ca="1" si="842"/>
        <v>3065.5567314075679</v>
      </c>
      <c r="AM849" s="2">
        <f t="shared" ca="1" si="843"/>
        <v>3083.9867425206303</v>
      </c>
      <c r="AN849" s="2">
        <f t="shared" ca="1" si="844"/>
        <v>3102.5275541632623</v>
      </c>
      <c r="AO849" s="2">
        <f t="shared" ca="1" si="845"/>
        <v>3121.1798324642332</v>
      </c>
      <c r="AP849" s="2">
        <f t="shared" ca="1" si="846"/>
        <v>2311488.4902756545</v>
      </c>
      <c r="AQ849" s="2">
        <f t="shared" ca="1" si="847"/>
        <v>807910.29051962215</v>
      </c>
      <c r="AR849" s="2">
        <f t="shared" ca="1" si="848"/>
        <v>849833.46472208097</v>
      </c>
      <c r="AS849" s="2">
        <f t="shared" ca="1" si="849"/>
        <v>858555.74252289964</v>
      </c>
      <c r="AT849" s="2">
        <f t="shared" ca="1" si="850"/>
        <v>867330.45832793193</v>
      </c>
      <c r="AU849" s="2">
        <f t="shared" ca="1" si="851"/>
        <v>876157.92739247624</v>
      </c>
      <c r="AV849" s="2">
        <f t="shared" ca="1" si="852"/>
        <v>2299436.9807096939</v>
      </c>
      <c r="AW849" s="2">
        <f t="shared" ca="1" si="853"/>
        <v>2415691.227477592</v>
      </c>
      <c r="AX849" s="2">
        <f t="shared" ca="1" si="854"/>
        <v>2440497.741976501</v>
      </c>
      <c r="AY849" s="2">
        <f t="shared" ca="1" si="855"/>
        <v>2465453.3923022575</v>
      </c>
      <c r="AZ849" s="2">
        <f t="shared" ca="1" si="856"/>
        <v>2490559.0750538143</v>
      </c>
      <c r="BA849" s="2">
        <f t="shared" ca="1" si="857"/>
        <v>54345387.885126472</v>
      </c>
      <c r="BB849" s="2">
        <f t="shared" ca="1" si="858"/>
        <v>1086907.7577025294</v>
      </c>
      <c r="BC849" s="2">
        <f t="shared" ca="1" si="859"/>
        <v>27575274.679916669</v>
      </c>
      <c r="BD849" s="2">
        <f t="shared" ca="1" si="860"/>
        <v>-18692270.525317654</v>
      </c>
      <c r="BE849" s="2">
        <f t="shared" ca="1" si="861"/>
        <v>2299436.9807096939</v>
      </c>
      <c r="BF849" s="2">
        <f t="shared" ca="1" si="862"/>
        <v>2415691.227477592</v>
      </c>
      <c r="BG849" s="2">
        <f t="shared" ca="1" si="863"/>
        <v>2440497.741976501</v>
      </c>
      <c r="BH849" s="2">
        <f t="shared" ca="1" si="864"/>
        <v>2465453.3923022575</v>
      </c>
      <c r="BI849" s="2">
        <f t="shared" ca="1" si="865"/>
        <v>30065833.754970483</v>
      </c>
      <c r="BJ849" s="2">
        <f t="shared" ca="1" si="866"/>
        <v>0.19344190998776556</v>
      </c>
      <c r="BK849" s="2">
        <f t="shared" ca="1" si="867"/>
        <v>5650672.2660434321</v>
      </c>
    </row>
    <row r="850" spans="1:63" x14ac:dyDescent="0.3">
      <c r="A850" s="2">
        <v>849</v>
      </c>
      <c r="B850" s="2">
        <f t="shared" ca="1" si="806"/>
        <v>0.81729814243258936</v>
      </c>
      <c r="C850" s="2">
        <f t="shared" ca="1" si="807"/>
        <v>7.3955136766354252</v>
      </c>
      <c r="D850" s="2">
        <f t="shared" ca="1" si="808"/>
        <v>0.63868225016281688</v>
      </c>
      <c r="E850" s="2">
        <f t="shared" ca="1" si="809"/>
        <v>7.6499202980459033</v>
      </c>
      <c r="F850" s="2">
        <f t="shared" ca="1" si="810"/>
        <v>0.91409832802199753</v>
      </c>
      <c r="G850" s="2">
        <f t="shared" ca="1" si="811"/>
        <v>8.099296637355885E-2</v>
      </c>
      <c r="H850" s="2">
        <f t="shared" ca="1" si="812"/>
        <v>8.099296637355885E-2</v>
      </c>
      <c r="I850" s="2">
        <f t="shared" ca="1" si="813"/>
        <v>0.2114219999515996</v>
      </c>
      <c r="J850" s="2">
        <f t="shared" ca="1" si="814"/>
        <v>5.9925151707988069E-3</v>
      </c>
      <c r="K850" s="2">
        <f t="shared" ca="1" si="815"/>
        <v>5.9925151707988069E-3</v>
      </c>
      <c r="L850" s="2">
        <f t="shared" ca="1" si="816"/>
        <v>0.51935733849990573</v>
      </c>
      <c r="M850" s="2">
        <f t="shared" ca="1" si="817"/>
        <v>9.708141441617732E-4</v>
      </c>
      <c r="N850" s="2">
        <f t="shared" ca="1" si="818"/>
        <v>9.708141441617732E-4</v>
      </c>
      <c r="O850" s="2">
        <f t="shared" si="819"/>
        <v>6000000</v>
      </c>
      <c r="P850" s="2">
        <f t="shared" ca="1" si="820"/>
        <v>44373082.059812553</v>
      </c>
      <c r="Q850" s="2">
        <f t="shared" ca="1" si="821"/>
        <v>1109327.0514953139</v>
      </c>
      <c r="R850" s="2">
        <f t="shared" ca="1" si="822"/>
        <v>26623849.235887531</v>
      </c>
      <c r="S850" s="2">
        <f t="shared" ca="1" si="823"/>
        <v>17749232.823925022</v>
      </c>
      <c r="T850" s="2">
        <f t="shared" ca="1" si="824"/>
        <v>50048540.70720809</v>
      </c>
      <c r="U850" s="2">
        <f t="shared" ca="1" si="825"/>
        <v>54102120.481752686</v>
      </c>
      <c r="V850" s="2">
        <f t="shared" ca="1" si="826"/>
        <v>58484011.706669517</v>
      </c>
      <c r="W850" s="2">
        <f t="shared" ca="1" si="827"/>
        <v>63220805.300218627</v>
      </c>
      <c r="X850" s="2">
        <f t="shared" ca="1" si="828"/>
        <v>68341245.858008549</v>
      </c>
      <c r="Y850" s="2">
        <f t="shared" ca="1" si="829"/>
        <v>0.12299625758539939</v>
      </c>
      <c r="Z850" s="2">
        <f t="shared" ca="1" si="830"/>
        <v>0.12419476061955916</v>
      </c>
      <c r="AA850" s="2">
        <f t="shared" ca="1" si="831"/>
        <v>6155783.2045971137</v>
      </c>
      <c r="AB850" s="2">
        <f t="shared" ca="1" si="832"/>
        <v>6719199.9022418233</v>
      </c>
      <c r="AC850" s="2">
        <f t="shared" ca="1" si="833"/>
        <v>7263407.8339813156</v>
      </c>
      <c r="AD850" s="2">
        <f t="shared" ca="1" si="834"/>
        <v>7851692.7804364087</v>
      </c>
      <c r="AE850" s="2">
        <f t="shared" ca="1" si="835"/>
        <v>8487624.6697778106</v>
      </c>
      <c r="AF850" s="2">
        <f t="shared" ca="1" si="836"/>
        <v>1000970.8141441618</v>
      </c>
      <c r="AG850" s="2">
        <f t="shared" ca="1" si="837"/>
        <v>1082042.4096350537</v>
      </c>
      <c r="AH850" s="2">
        <f t="shared" ca="1" si="838"/>
        <v>1169680.2341333905</v>
      </c>
      <c r="AI850" s="2">
        <f t="shared" ca="1" si="839"/>
        <v>1264416.1060043725</v>
      </c>
      <c r="AJ850" s="2">
        <f t="shared" ca="1" si="840"/>
        <v>1366824.9171601711</v>
      </c>
      <c r="AK850" s="2">
        <f t="shared" ca="1" si="841"/>
        <v>0</v>
      </c>
      <c r="AL850" s="2">
        <f t="shared" ca="1" si="842"/>
        <v>40535.797745445969</v>
      </c>
      <c r="AM850" s="2">
        <f t="shared" ca="1" si="843"/>
        <v>43818.912249168308</v>
      </c>
      <c r="AN850" s="2">
        <f t="shared" ca="1" si="844"/>
        <v>47367.935935491099</v>
      </c>
      <c r="AO850" s="2">
        <f t="shared" ca="1" si="845"/>
        <v>51204.405577899219</v>
      </c>
      <c r="AP850" s="2">
        <f t="shared" ca="1" si="846"/>
        <v>2396146.4312298778</v>
      </c>
      <c r="AQ850" s="2">
        <f t="shared" ca="1" si="847"/>
        <v>717253.1493979994</v>
      </c>
      <c r="AR850" s="2">
        <f t="shared" ca="1" si="848"/>
        <v>842662.87595799181</v>
      </c>
      <c r="AS850" s="2">
        <f t="shared" ca="1" si="849"/>
        <v>961371.10384069232</v>
      </c>
      <c r="AT850" s="2">
        <f t="shared" ca="1" si="850"/>
        <v>1089693.8632325614</v>
      </c>
      <c r="AU850" s="2">
        <f t="shared" ca="1" si="851"/>
        <v>1228409.8635608181</v>
      </c>
      <c r="AV850" s="2">
        <f t="shared" ca="1" si="852"/>
        <v>2041412.8098250753</v>
      </c>
      <c r="AW850" s="2">
        <f t="shared" ca="1" si="853"/>
        <v>2357812.3876734539</v>
      </c>
      <c r="AX850" s="2">
        <f t="shared" ca="1" si="854"/>
        <v>2692391.1525281868</v>
      </c>
      <c r="AY850" s="2">
        <f t="shared" ca="1" si="855"/>
        <v>3054068.4440341066</v>
      </c>
      <c r="AZ850" s="2">
        <f t="shared" ca="1" si="856"/>
        <v>3445039.0522490446</v>
      </c>
      <c r="BA850" s="2">
        <f t="shared" ca="1" si="857"/>
        <v>64929652.243528433</v>
      </c>
      <c r="BB850" s="2">
        <f t="shared" ca="1" si="858"/>
        <v>1298593.0448705687</v>
      </c>
      <c r="BC850" s="2">
        <f t="shared" ca="1" si="859"/>
        <v>37007209.962770328</v>
      </c>
      <c r="BD850" s="2">
        <f t="shared" ca="1" si="860"/>
        <v>-19358559.875420336</v>
      </c>
      <c r="BE850" s="2">
        <f t="shared" ca="1" si="861"/>
        <v>2041412.8098250753</v>
      </c>
      <c r="BF850" s="2">
        <f t="shared" ca="1" si="862"/>
        <v>2357812.3876734539</v>
      </c>
      <c r="BG850" s="2">
        <f t="shared" ca="1" si="863"/>
        <v>2692391.1525281868</v>
      </c>
      <c r="BH850" s="2">
        <f t="shared" ca="1" si="864"/>
        <v>3054068.4440341066</v>
      </c>
      <c r="BI850" s="2">
        <f t="shared" ca="1" si="865"/>
        <v>40452249.015019372</v>
      </c>
      <c r="BJ850" s="2">
        <f t="shared" ca="1" si="866"/>
        <v>0.2448829469315057</v>
      </c>
      <c r="BK850" s="2">
        <f t="shared" ca="1" si="867"/>
        <v>11154762.749184057</v>
      </c>
    </row>
    <row r="851" spans="1:63" x14ac:dyDescent="0.3">
      <c r="A851" s="2">
        <v>850</v>
      </c>
      <c r="B851" s="2">
        <f t="shared" ca="1" si="806"/>
        <v>0.74880247831678237</v>
      </c>
      <c r="C851" s="2">
        <f t="shared" ca="1" si="807"/>
        <v>7.2912016906295305</v>
      </c>
      <c r="D851" s="2">
        <f t="shared" ca="1" si="808"/>
        <v>2.3799719848782819E-2</v>
      </c>
      <c r="E851" s="2">
        <f t="shared" ca="1" si="809"/>
        <v>6.718172958217937</v>
      </c>
      <c r="F851" s="2">
        <f t="shared" ca="1" si="810"/>
        <v>0.66512514981791337</v>
      </c>
      <c r="G851" s="2">
        <f t="shared" ca="1" si="811"/>
        <v>5.2794746649866817E-2</v>
      </c>
      <c r="H851" s="2">
        <f t="shared" ca="1" si="812"/>
        <v>5.2794746649866817E-2</v>
      </c>
      <c r="I851" s="2">
        <f t="shared" ca="1" si="813"/>
        <v>0.76988001594111455</v>
      </c>
      <c r="J851" s="2">
        <f t="shared" ca="1" si="814"/>
        <v>1.3692258825083715E-2</v>
      </c>
      <c r="K851" s="2">
        <f t="shared" ca="1" si="815"/>
        <v>1.3692258825083715E-2</v>
      </c>
      <c r="L851" s="2">
        <f t="shared" ca="1" si="816"/>
        <v>9.9937853379436725E-2</v>
      </c>
      <c r="M851" s="2">
        <f t="shared" ca="1" si="817"/>
        <v>-2.5638115221837267E-2</v>
      </c>
      <c r="N851" s="2">
        <f t="shared" ca="1" si="818"/>
        <v>-2.5638115221837267E-2</v>
      </c>
      <c r="O851" s="2">
        <f t="shared" si="819"/>
        <v>6000000</v>
      </c>
      <c r="P851" s="2">
        <f t="shared" ca="1" si="820"/>
        <v>43747210.143777184</v>
      </c>
      <c r="Q851" s="2">
        <f t="shared" ca="1" si="821"/>
        <v>1093680.2535944297</v>
      </c>
      <c r="R851" s="2">
        <f t="shared" ca="1" si="822"/>
        <v>26248326.086266309</v>
      </c>
      <c r="S851" s="2">
        <f t="shared" ca="1" si="823"/>
        <v>17498884.057510875</v>
      </c>
      <c r="T851" s="2">
        <f t="shared" ca="1" si="824"/>
        <v>48718094.238908142</v>
      </c>
      <c r="U851" s="2">
        <f t="shared" ca="1" si="825"/>
        <v>51290153.681515634</v>
      </c>
      <c r="V851" s="2">
        <f t="shared" ca="1" si="826"/>
        <v>53998004.350763984</v>
      </c>
      <c r="W851" s="2">
        <f t="shared" ca="1" si="827"/>
        <v>56848815.310060978</v>
      </c>
      <c r="X851" s="2">
        <f t="shared" ca="1" si="828"/>
        <v>59850134.111700721</v>
      </c>
      <c r="Y851" s="2">
        <f t="shared" ca="1" si="829"/>
        <v>0.12684612941254186</v>
      </c>
      <c r="Z851" s="2">
        <f t="shared" ca="1" si="830"/>
        <v>0.12958458117755858</v>
      </c>
      <c r="AA851" s="2">
        <f t="shared" ca="1" si="831"/>
        <v>6179701.6865609521</v>
      </c>
      <c r="AB851" s="2">
        <f t="shared" ca="1" si="832"/>
        <v>6646413.0833518179</v>
      </c>
      <c r="AC851" s="2">
        <f t="shared" ca="1" si="833"/>
        <v>6997308.7782177366</v>
      </c>
      <c r="AD851" s="2">
        <f t="shared" ca="1" si="834"/>
        <v>7366729.9223946324</v>
      </c>
      <c r="AE851" s="2">
        <f t="shared" ca="1" si="835"/>
        <v>7755654.5622854503</v>
      </c>
      <c r="AF851" s="2">
        <f t="shared" ca="1" si="836"/>
        <v>974361.88477816281</v>
      </c>
      <c r="AG851" s="2">
        <f t="shared" ca="1" si="837"/>
        <v>1025803.0736303127</v>
      </c>
      <c r="AH851" s="2">
        <f t="shared" ca="1" si="838"/>
        <v>1079960.0870152798</v>
      </c>
      <c r="AI851" s="2">
        <f t="shared" ca="1" si="839"/>
        <v>1136976.3062012196</v>
      </c>
      <c r="AJ851" s="2">
        <f t="shared" ca="1" si="840"/>
        <v>1197002.6822340144</v>
      </c>
      <c r="AK851" s="2">
        <f t="shared" ca="1" si="841"/>
        <v>0</v>
      </c>
      <c r="AL851" s="2">
        <f t="shared" ca="1" si="842"/>
        <v>25720.594426074924</v>
      </c>
      <c r="AM851" s="2">
        <f t="shared" ca="1" si="843"/>
        <v>27078.506692483501</v>
      </c>
      <c r="AN851" s="2">
        <f t="shared" ca="1" si="844"/>
        <v>28508.10959296994</v>
      </c>
      <c r="AO851" s="2">
        <f t="shared" ca="1" si="845"/>
        <v>30013.188016397431</v>
      </c>
      <c r="AP851" s="2">
        <f t="shared" ca="1" si="846"/>
        <v>2362349.3477639677</v>
      </c>
      <c r="AQ851" s="2">
        <f t="shared" ca="1" si="847"/>
        <v>739177.51804489375</v>
      </c>
      <c r="AR851" s="2">
        <f t="shared" ca="1" si="848"/>
        <v>847147.77210895985</v>
      </c>
      <c r="AS851" s="2">
        <f t="shared" ca="1" si="849"/>
        <v>924299.82929400727</v>
      </c>
      <c r="AT851" s="2">
        <f t="shared" ca="1" si="850"/>
        <v>1005525.1097916558</v>
      </c>
      <c r="AU851" s="2">
        <f t="shared" ca="1" si="851"/>
        <v>1091038.6583947418</v>
      </c>
      <c r="AV851" s="2">
        <f t="shared" ca="1" si="852"/>
        <v>2103812.9359739283</v>
      </c>
      <c r="AW851" s="2">
        <f t="shared" ca="1" si="853"/>
        <v>2385392.2954225028</v>
      </c>
      <c r="AX851" s="2">
        <f t="shared" ca="1" si="854"/>
        <v>2603621.007451999</v>
      </c>
      <c r="AY851" s="2">
        <f t="shared" ca="1" si="855"/>
        <v>2833371.0490448195</v>
      </c>
      <c r="AZ851" s="2">
        <f t="shared" ca="1" si="856"/>
        <v>3075250.6858763285</v>
      </c>
      <c r="BA851" s="2">
        <f t="shared" ca="1" si="857"/>
        <v>52103828.753625683</v>
      </c>
      <c r="BB851" s="2">
        <f t="shared" ca="1" si="858"/>
        <v>1042076.5750725137</v>
      </c>
      <c r="BC851" s="2">
        <f t="shared" ca="1" si="859"/>
        <v>24813426.092286862</v>
      </c>
      <c r="BD851" s="2">
        <f t="shared" ca="1" si="860"/>
        <v>-19092564.311105303</v>
      </c>
      <c r="BE851" s="2">
        <f t="shared" ca="1" si="861"/>
        <v>2103812.9359739283</v>
      </c>
      <c r="BF851" s="2">
        <f t="shared" ca="1" si="862"/>
        <v>2385392.2954225028</v>
      </c>
      <c r="BG851" s="2">
        <f t="shared" ca="1" si="863"/>
        <v>2603621.007451999</v>
      </c>
      <c r="BH851" s="2">
        <f t="shared" ca="1" si="864"/>
        <v>2833371.0490448195</v>
      </c>
      <c r="BI851" s="2">
        <f t="shared" ca="1" si="865"/>
        <v>27888676.778163191</v>
      </c>
      <c r="BJ851" s="2">
        <f t="shared" ca="1" si="866"/>
        <v>0.17453627999612609</v>
      </c>
      <c r="BK851" s="2">
        <f t="shared" ca="1" si="867"/>
        <v>4166108.9342611507</v>
      </c>
    </row>
    <row r="852" spans="1:63" x14ac:dyDescent="0.3">
      <c r="A852" s="2">
        <v>851</v>
      </c>
      <c r="B852" s="2">
        <f t="shared" ca="1" si="806"/>
        <v>0.51906808457712017</v>
      </c>
      <c r="C852" s="2">
        <f t="shared" ca="1" si="807"/>
        <v>7.0192534318970266</v>
      </c>
      <c r="D852" s="2">
        <f t="shared" ca="1" si="808"/>
        <v>0.47975213054485533</v>
      </c>
      <c r="E852" s="2">
        <f t="shared" ca="1" si="809"/>
        <v>7.4795428837420594</v>
      </c>
      <c r="F852" s="2">
        <f t="shared" ca="1" si="810"/>
        <v>2.7008699202050623E-2</v>
      </c>
      <c r="G852" s="2">
        <f t="shared" ca="1" si="811"/>
        <v>-1.7800910856889486E-2</v>
      </c>
      <c r="H852" s="2">
        <f t="shared" ca="1" si="812"/>
        <v>-1.7800910856889486E-2</v>
      </c>
      <c r="I852" s="2">
        <f t="shared" ca="1" si="813"/>
        <v>0.63140043698231352</v>
      </c>
      <c r="J852" s="2">
        <f t="shared" ca="1" si="814"/>
        <v>1.1677823640479573E-2</v>
      </c>
      <c r="K852" s="2">
        <f t="shared" ca="1" si="815"/>
        <v>1.1677823640479573E-2</v>
      </c>
      <c r="L852" s="2">
        <f t="shared" ca="1" si="816"/>
        <v>5.6600421681603619E-2</v>
      </c>
      <c r="M852" s="2">
        <f t="shared" ca="1" si="817"/>
        <v>-3.1679373885353704E-2</v>
      </c>
      <c r="N852" s="2">
        <f t="shared" ca="1" si="818"/>
        <v>-3.1679373885353704E-2</v>
      </c>
      <c r="O852" s="2">
        <f t="shared" si="819"/>
        <v>6000000</v>
      </c>
      <c r="P852" s="2">
        <f t="shared" ca="1" si="820"/>
        <v>42115520.591382161</v>
      </c>
      <c r="Q852" s="2">
        <f t="shared" ca="1" si="821"/>
        <v>1052888.014784554</v>
      </c>
      <c r="R852" s="2">
        <f t="shared" ca="1" si="822"/>
        <v>25269312.354829296</v>
      </c>
      <c r="S852" s="2">
        <f t="shared" ca="1" si="823"/>
        <v>16846208.236552864</v>
      </c>
      <c r="T852" s="2">
        <f t="shared" ca="1" si="824"/>
        <v>48416031.305732317</v>
      </c>
      <c r="U852" s="2">
        <f t="shared" ca="1" si="825"/>
        <v>47554181.848414607</v>
      </c>
      <c r="V852" s="2">
        <f t="shared" ca="1" si="826"/>
        <v>46707674.096458666</v>
      </c>
      <c r="W852" s="2">
        <f t="shared" ca="1" si="827"/>
        <v>45876234.953534961</v>
      </c>
      <c r="X852" s="2">
        <f t="shared" ca="1" si="828"/>
        <v>45059596.18467737</v>
      </c>
      <c r="Y852" s="2">
        <f t="shared" ca="1" si="829"/>
        <v>0.12583891182023979</v>
      </c>
      <c r="Z852" s="2">
        <f t="shared" ca="1" si="830"/>
        <v>0.12817447654833569</v>
      </c>
      <c r="AA852" s="2">
        <f t="shared" ca="1" si="831"/>
        <v>6092620.6941680182</v>
      </c>
      <c r="AB852" s="2">
        <f t="shared" ca="1" si="832"/>
        <v>6095232.3661049092</v>
      </c>
      <c r="AC852" s="2">
        <f t="shared" ca="1" si="833"/>
        <v>5986731.6781038474</v>
      </c>
      <c r="AD852" s="2">
        <f t="shared" ca="1" si="834"/>
        <v>5880162.4011778049</v>
      </c>
      <c r="AE852" s="2">
        <f t="shared" ca="1" si="835"/>
        <v>5775490.1544504063</v>
      </c>
      <c r="AF852" s="2">
        <f t="shared" ca="1" si="836"/>
        <v>968320.62611464632</v>
      </c>
      <c r="AG852" s="2">
        <f t="shared" ca="1" si="837"/>
        <v>951083.63696829218</v>
      </c>
      <c r="AH852" s="2">
        <f t="shared" ca="1" si="838"/>
        <v>934153.48192917334</v>
      </c>
      <c r="AI852" s="2">
        <f t="shared" ca="1" si="839"/>
        <v>917524.69907069928</v>
      </c>
      <c r="AJ852" s="2">
        <f t="shared" ca="1" si="840"/>
        <v>901191.92369354737</v>
      </c>
      <c r="AK852" s="2">
        <f t="shared" ca="1" si="841"/>
        <v>0</v>
      </c>
      <c r="AL852" s="2">
        <f t="shared" ca="1" si="842"/>
        <v>0</v>
      </c>
      <c r="AM852" s="2">
        <f t="shared" ca="1" si="843"/>
        <v>0</v>
      </c>
      <c r="AN852" s="2">
        <f t="shared" ca="1" si="844"/>
        <v>0</v>
      </c>
      <c r="AO852" s="2">
        <f t="shared" ca="1" si="845"/>
        <v>0</v>
      </c>
      <c r="AP852" s="2">
        <f t="shared" ca="1" si="846"/>
        <v>2274238.1119346367</v>
      </c>
      <c r="AQ852" s="2">
        <f t="shared" ca="1" si="847"/>
        <v>741016.10859087121</v>
      </c>
      <c r="AR852" s="2">
        <f t="shared" ca="1" si="848"/>
        <v>746176.7604725149</v>
      </c>
      <c r="AS852" s="2">
        <f t="shared" ca="1" si="849"/>
        <v>722368.42190240964</v>
      </c>
      <c r="AT852" s="2">
        <f t="shared" ca="1" si="850"/>
        <v>698983.89344484184</v>
      </c>
      <c r="AU852" s="2">
        <f t="shared" ca="1" si="851"/>
        <v>676015.63089377794</v>
      </c>
      <c r="AV852" s="2">
        <f t="shared" ca="1" si="852"/>
        <v>2109045.8475278644</v>
      </c>
      <c r="AW852" s="2">
        <f t="shared" ca="1" si="853"/>
        <v>2123733.8567294655</v>
      </c>
      <c r="AX852" s="2">
        <f t="shared" ca="1" si="854"/>
        <v>2055971.6623376273</v>
      </c>
      <c r="AY852" s="2">
        <f t="shared" ca="1" si="855"/>
        <v>1989415.696727627</v>
      </c>
      <c r="AZ852" s="2">
        <f t="shared" ca="1" si="856"/>
        <v>1924044.4879284445</v>
      </c>
      <c r="BA852" s="2">
        <f t="shared" ca="1" si="857"/>
        <v>43198026.284841865</v>
      </c>
      <c r="BB852" s="2">
        <f t="shared" ca="1" si="858"/>
        <v>863960.52569683734</v>
      </c>
      <c r="BC852" s="2">
        <f t="shared" ca="1" si="859"/>
        <v>17064753.404315732</v>
      </c>
      <c r="BD852" s="2">
        <f t="shared" ca="1" si="860"/>
        <v>-18399096.251337416</v>
      </c>
      <c r="BE852" s="2">
        <f t="shared" ca="1" si="861"/>
        <v>2109045.8475278644</v>
      </c>
      <c r="BF852" s="2">
        <f t="shared" ca="1" si="862"/>
        <v>2123733.8567294655</v>
      </c>
      <c r="BG852" s="2">
        <f t="shared" ca="1" si="863"/>
        <v>2055971.6623376273</v>
      </c>
      <c r="BH852" s="2">
        <f t="shared" ca="1" si="864"/>
        <v>1989415.696727627</v>
      </c>
      <c r="BI852" s="2">
        <f t="shared" ca="1" si="865"/>
        <v>18988797.892244175</v>
      </c>
      <c r="BJ852" s="2">
        <f t="shared" ca="1" si="866"/>
        <v>9.9518906006648145E-2</v>
      </c>
      <c r="BK852" s="2">
        <f t="shared" ca="1" si="867"/>
        <v>-1320528.4317055717</v>
      </c>
    </row>
    <row r="853" spans="1:63" x14ac:dyDescent="0.3">
      <c r="A853" s="2">
        <v>852</v>
      </c>
      <c r="B853" s="2">
        <f t="shared" ca="1" si="806"/>
        <v>0.350731498430778</v>
      </c>
      <c r="C853" s="2">
        <f t="shared" ca="1" si="807"/>
        <v>6.8375338780381103</v>
      </c>
      <c r="D853" s="2">
        <f t="shared" ca="1" si="808"/>
        <v>0.84694950206875153</v>
      </c>
      <c r="E853" s="2">
        <f t="shared" ca="1" si="809"/>
        <v>7.9467360522657406</v>
      </c>
      <c r="F853" s="2">
        <f t="shared" ca="1" si="810"/>
        <v>0.77052893505537012</v>
      </c>
      <c r="G853" s="2">
        <f t="shared" ca="1" si="811"/>
        <v>6.2217697192782195E-2</v>
      </c>
      <c r="H853" s="2">
        <f t="shared" ca="1" si="812"/>
        <v>6.2217697192782195E-2</v>
      </c>
      <c r="I853" s="2">
        <f t="shared" ca="1" si="813"/>
        <v>0.70124850269955508</v>
      </c>
      <c r="J853" s="2">
        <f t="shared" ca="1" si="814"/>
        <v>1.2639973643480929E-2</v>
      </c>
      <c r="K853" s="2">
        <f t="shared" ca="1" si="815"/>
        <v>1.2639973643480929E-2</v>
      </c>
      <c r="L853" s="2">
        <f t="shared" ca="1" si="816"/>
        <v>2.9958186251409891E-2</v>
      </c>
      <c r="M853" s="2">
        <f t="shared" ca="1" si="817"/>
        <v>-3.7628169850907639E-2</v>
      </c>
      <c r="N853" s="2">
        <f t="shared" ca="1" si="818"/>
        <v>-3.7628169850907639E-2</v>
      </c>
      <c r="O853" s="2">
        <f t="shared" si="819"/>
        <v>6000000</v>
      </c>
      <c r="P853" s="2">
        <f t="shared" ca="1" si="820"/>
        <v>41025203.268228665</v>
      </c>
      <c r="Q853" s="2">
        <f t="shared" ca="1" si="821"/>
        <v>1025630.0817057167</v>
      </c>
      <c r="R853" s="2">
        <f t="shared" ca="1" si="822"/>
        <v>24615121.960937198</v>
      </c>
      <c r="S853" s="2">
        <f t="shared" ca="1" si="823"/>
        <v>16410081.307291467</v>
      </c>
      <c r="T853" s="2">
        <f t="shared" ca="1" si="824"/>
        <v>48118591.507454619</v>
      </c>
      <c r="U853" s="2">
        <f t="shared" ca="1" si="825"/>
        <v>51112419.463208608</v>
      </c>
      <c r="V853" s="2">
        <f t="shared" ca="1" si="826"/>
        <v>54292516.500160985</v>
      </c>
      <c r="W853" s="2">
        <f t="shared" ca="1" si="827"/>
        <v>57670471.85160213</v>
      </c>
      <c r="X853" s="2">
        <f t="shared" ca="1" si="828"/>
        <v>61258595.806229979</v>
      </c>
      <c r="Y853" s="2">
        <f t="shared" ca="1" si="829"/>
        <v>0.12631998682174045</v>
      </c>
      <c r="Z853" s="2">
        <f t="shared" ca="1" si="830"/>
        <v>0.12884798155043664</v>
      </c>
      <c r="AA853" s="2">
        <f t="shared" ca="1" si="831"/>
        <v>6078339.8451023791</v>
      </c>
      <c r="AB853" s="2">
        <f t="shared" ca="1" si="832"/>
        <v>6585732.0799936811</v>
      </c>
      <c r="AC853" s="2">
        <f t="shared" ca="1" si="833"/>
        <v>6995481.1643395191</v>
      </c>
      <c r="AD853" s="2">
        <f t="shared" ca="1" si="834"/>
        <v>7430723.893140207</v>
      </c>
      <c r="AE853" s="2">
        <f t="shared" ca="1" si="835"/>
        <v>7893046.4222467756</v>
      </c>
      <c r="AF853" s="2">
        <f t="shared" ca="1" si="836"/>
        <v>962371.83014909236</v>
      </c>
      <c r="AG853" s="2">
        <f t="shared" ca="1" si="837"/>
        <v>1022248.3892641722</v>
      </c>
      <c r="AH853" s="2">
        <f t="shared" ca="1" si="838"/>
        <v>1085850.3300032197</v>
      </c>
      <c r="AI853" s="2">
        <f t="shared" ca="1" si="839"/>
        <v>1153409.4370320425</v>
      </c>
      <c r="AJ853" s="2">
        <f t="shared" ca="1" si="840"/>
        <v>1225171.9161245995</v>
      </c>
      <c r="AK853" s="2">
        <f t="shared" ca="1" si="841"/>
        <v>0</v>
      </c>
      <c r="AL853" s="2">
        <f t="shared" ca="1" si="842"/>
        <v>29938.279557539896</v>
      </c>
      <c r="AM853" s="2">
        <f t="shared" ca="1" si="843"/>
        <v>31800.970369523766</v>
      </c>
      <c r="AN853" s="2">
        <f t="shared" ca="1" si="844"/>
        <v>33779.553514411447</v>
      </c>
      <c r="AO853" s="2">
        <f t="shared" ca="1" si="845"/>
        <v>35881.239546278492</v>
      </c>
      <c r="AP853" s="2">
        <f t="shared" ca="1" si="846"/>
        <v>2215360.9764843476</v>
      </c>
      <c r="AQ853" s="2">
        <f t="shared" ca="1" si="847"/>
        <v>754157.83000192407</v>
      </c>
      <c r="AR853" s="2">
        <f t="shared" ca="1" si="848"/>
        <v>870511.90570374206</v>
      </c>
      <c r="AS853" s="2">
        <f t="shared" ca="1" si="849"/>
        <v>960510.16304150748</v>
      </c>
      <c r="AT853" s="2">
        <f t="shared" ca="1" si="850"/>
        <v>1056107.9047021924</v>
      </c>
      <c r="AU853" s="2">
        <f t="shared" ca="1" si="851"/>
        <v>1157653.5177058354</v>
      </c>
      <c r="AV853" s="2">
        <f t="shared" ca="1" si="852"/>
        <v>2146449.2084670146</v>
      </c>
      <c r="AW853" s="2">
        <f t="shared" ca="1" si="853"/>
        <v>2447672.5289838794</v>
      </c>
      <c r="AX853" s="2">
        <f t="shared" ca="1" si="854"/>
        <v>2701958.7244409206</v>
      </c>
      <c r="AY853" s="2">
        <f t="shared" ca="1" si="855"/>
        <v>2972066.0214072126</v>
      </c>
      <c r="AZ853" s="2">
        <f t="shared" ca="1" si="856"/>
        <v>3258978.7723857141</v>
      </c>
      <c r="BA853" s="2">
        <f t="shared" ca="1" si="857"/>
        <v>62723956.565875567</v>
      </c>
      <c r="BB853" s="2">
        <f t="shared" ca="1" si="858"/>
        <v>1254479.1313175114</v>
      </c>
      <c r="BC853" s="2">
        <f t="shared" ca="1" si="859"/>
        <v>36854355.473620862</v>
      </c>
      <c r="BD853" s="2">
        <f t="shared" ca="1" si="860"/>
        <v>-17935711.388997182</v>
      </c>
      <c r="BE853" s="2">
        <f t="shared" ca="1" si="861"/>
        <v>2146449.2084670146</v>
      </c>
      <c r="BF853" s="2">
        <f t="shared" ca="1" si="862"/>
        <v>2447672.5289838794</v>
      </c>
      <c r="BG853" s="2">
        <f t="shared" ca="1" si="863"/>
        <v>2701958.7244409206</v>
      </c>
      <c r="BH853" s="2">
        <f t="shared" ca="1" si="864"/>
        <v>2972066.0214072126</v>
      </c>
      <c r="BI853" s="2">
        <f t="shared" ca="1" si="865"/>
        <v>40113334.246006578</v>
      </c>
      <c r="BJ853" s="2">
        <f t="shared" ca="1" si="866"/>
        <v>0.26786267893374283</v>
      </c>
      <c r="BK853" s="2">
        <f t="shared" ca="1" si="867"/>
        <v>12505416.333800312</v>
      </c>
    </row>
    <row r="854" spans="1:63" x14ac:dyDescent="0.3">
      <c r="A854" s="2">
        <v>853</v>
      </c>
      <c r="B854" s="2">
        <f t="shared" ca="1" si="806"/>
        <v>0.78776644847084809</v>
      </c>
      <c r="C854" s="2">
        <f t="shared" ca="1" si="807"/>
        <v>7.3484886009759283</v>
      </c>
      <c r="D854" s="2">
        <f t="shared" ca="1" si="808"/>
        <v>0.60528001653210817</v>
      </c>
      <c r="E854" s="2">
        <f t="shared" ca="1" si="809"/>
        <v>7.6114956573343138</v>
      </c>
      <c r="F854" s="2">
        <f t="shared" ca="1" si="810"/>
        <v>0.65131922665935782</v>
      </c>
      <c r="G854" s="2">
        <f t="shared" ca="1" si="811"/>
        <v>5.1666536702853663E-2</v>
      </c>
      <c r="H854" s="2">
        <f t="shared" ca="1" si="812"/>
        <v>5.1666536702853663E-2</v>
      </c>
      <c r="I854" s="2">
        <f t="shared" ca="1" si="813"/>
        <v>1.5070807998353586E-2</v>
      </c>
      <c r="J854" s="2">
        <f t="shared" ca="1" si="814"/>
        <v>-8.4112207932061922E-4</v>
      </c>
      <c r="K854" s="2">
        <f t="shared" ca="1" si="815"/>
        <v>0</v>
      </c>
      <c r="L854" s="2">
        <f t="shared" ca="1" si="816"/>
        <v>0.42595805659906683</v>
      </c>
      <c r="M854" s="2">
        <f t="shared" ca="1" si="817"/>
        <v>-3.7334833038786853E-3</v>
      </c>
      <c r="N854" s="2">
        <f t="shared" ca="1" si="818"/>
        <v>-3.7334833038786853E-3</v>
      </c>
      <c r="O854" s="2">
        <f t="shared" si="819"/>
        <v>6000000</v>
      </c>
      <c r="P854" s="2">
        <f t="shared" ca="1" si="820"/>
        <v>44090931.605855569</v>
      </c>
      <c r="Q854" s="2">
        <f t="shared" ca="1" si="821"/>
        <v>1102273.2901463893</v>
      </c>
      <c r="R854" s="2">
        <f t="shared" ca="1" si="822"/>
        <v>26454558.963513341</v>
      </c>
      <c r="S854" s="2">
        <f t="shared" ca="1" si="823"/>
        <v>17636372.642342228</v>
      </c>
      <c r="T854" s="2">
        <f t="shared" ca="1" si="824"/>
        <v>49813325.834806062</v>
      </c>
      <c r="U854" s="2">
        <f t="shared" ca="1" si="825"/>
        <v>52387007.862341277</v>
      </c>
      <c r="V854" s="2">
        <f t="shared" ca="1" si="826"/>
        <v>55093663.12681362</v>
      </c>
      <c r="W854" s="2">
        <f t="shared" ca="1" si="827"/>
        <v>57940161.894849792</v>
      </c>
      <c r="X854" s="2">
        <f t="shared" ca="1" si="828"/>
        <v>60933729.395959333</v>
      </c>
      <c r="Y854" s="2">
        <f t="shared" ca="1" si="829"/>
        <v>0.12</v>
      </c>
      <c r="Z854" s="2">
        <f t="shared" ca="1" si="830"/>
        <v>0.12</v>
      </c>
      <c r="AA854" s="2">
        <f t="shared" ca="1" si="831"/>
        <v>5977599.1001767274</v>
      </c>
      <c r="AB854" s="2">
        <f t="shared" ca="1" si="832"/>
        <v>6286440.9434809526</v>
      </c>
      <c r="AC854" s="2">
        <f t="shared" ca="1" si="833"/>
        <v>6611239.5752176344</v>
      </c>
      <c r="AD854" s="2">
        <f t="shared" ca="1" si="834"/>
        <v>6952819.4273819746</v>
      </c>
      <c r="AE854" s="2">
        <f t="shared" ca="1" si="835"/>
        <v>7312047.5275151199</v>
      </c>
      <c r="AF854" s="2">
        <f t="shared" ca="1" si="836"/>
        <v>996266.51669612131</v>
      </c>
      <c r="AG854" s="2">
        <f t="shared" ca="1" si="837"/>
        <v>1047740.1572468255</v>
      </c>
      <c r="AH854" s="2">
        <f t="shared" ca="1" si="838"/>
        <v>1101873.2625362724</v>
      </c>
      <c r="AI854" s="2">
        <f t="shared" ca="1" si="839"/>
        <v>1158803.2378969959</v>
      </c>
      <c r="AJ854" s="2">
        <f t="shared" ca="1" si="840"/>
        <v>1218674.5879191866</v>
      </c>
      <c r="AK854" s="2">
        <f t="shared" ca="1" si="841"/>
        <v>0</v>
      </c>
      <c r="AL854" s="2">
        <f t="shared" ca="1" si="842"/>
        <v>25736.820275352151</v>
      </c>
      <c r="AM854" s="2">
        <f t="shared" ca="1" si="843"/>
        <v>27066.55264472343</v>
      </c>
      <c r="AN854" s="2">
        <f t="shared" ca="1" si="844"/>
        <v>28464.987680361719</v>
      </c>
      <c r="AO854" s="2">
        <f t="shared" ca="1" si="845"/>
        <v>29935.675011095405</v>
      </c>
      <c r="AP854" s="2">
        <f t="shared" ca="1" si="846"/>
        <v>2380910.3067162004</v>
      </c>
      <c r="AQ854" s="2">
        <f t="shared" ca="1" si="847"/>
        <v>676109.79195874545</v>
      </c>
      <c r="AR854" s="2">
        <f t="shared" ca="1" si="848"/>
        <v>743025.52467466099</v>
      </c>
      <c r="AS854" s="2">
        <f t="shared" ca="1" si="849"/>
        <v>813398.56155094202</v>
      </c>
      <c r="AT854" s="2">
        <f t="shared" ca="1" si="850"/>
        <v>887407.52951988252</v>
      </c>
      <c r="AU854" s="2">
        <f t="shared" ca="1" si="851"/>
        <v>965240.28454873047</v>
      </c>
      <c r="AV854" s="2">
        <f t="shared" ca="1" si="852"/>
        <v>1924312.4848056599</v>
      </c>
      <c r="AW854" s="2">
        <f t="shared" ca="1" si="853"/>
        <v>2089028.1345679141</v>
      </c>
      <c r="AX854" s="2">
        <f t="shared" ca="1" si="854"/>
        <v>2287990.8917694963</v>
      </c>
      <c r="AY854" s="2">
        <f t="shared" ca="1" si="855"/>
        <v>2497233.3655685349</v>
      </c>
      <c r="AZ854" s="2">
        <f t="shared" ca="1" si="856"/>
        <v>2717286.6733199065</v>
      </c>
      <c r="BA854" s="2">
        <f t="shared" ca="1" si="857"/>
        <v>55655618.001903445</v>
      </c>
      <c r="BB854" s="2">
        <f t="shared" ca="1" si="858"/>
        <v>1113112.3600380688</v>
      </c>
      <c r="BC854" s="2">
        <f t="shared" ca="1" si="859"/>
        <v>28087946.678352036</v>
      </c>
      <c r="BD854" s="2">
        <f t="shared" ca="1" si="860"/>
        <v>-19238645.932488617</v>
      </c>
      <c r="BE854" s="2">
        <f t="shared" ca="1" si="861"/>
        <v>1924312.4848056599</v>
      </c>
      <c r="BF854" s="2">
        <f t="shared" ca="1" si="862"/>
        <v>2089028.1345679141</v>
      </c>
      <c r="BG854" s="2">
        <f t="shared" ca="1" si="863"/>
        <v>2287990.8917694963</v>
      </c>
      <c r="BH854" s="2">
        <f t="shared" ca="1" si="864"/>
        <v>2497233.3655685349</v>
      </c>
      <c r="BI854" s="2">
        <f t="shared" ca="1" si="865"/>
        <v>30805233.351671942</v>
      </c>
      <c r="BJ854" s="2">
        <f t="shared" ca="1" si="866"/>
        <v>0.1805563296224566</v>
      </c>
      <c r="BK854" s="2">
        <f t="shared" ca="1" si="867"/>
        <v>4840151.0277386606</v>
      </c>
    </row>
    <row r="855" spans="1:63" x14ac:dyDescent="0.3">
      <c r="A855" s="2">
        <v>854</v>
      </c>
      <c r="B855" s="2">
        <f t="shared" ca="1" si="806"/>
        <v>0.75251038696076633</v>
      </c>
      <c r="C855" s="2">
        <f t="shared" ca="1" si="807"/>
        <v>7.2964523995645587</v>
      </c>
      <c r="D855" s="2">
        <f t="shared" ca="1" si="808"/>
        <v>0.32987503366301019</v>
      </c>
      <c r="E855" s="2">
        <f t="shared" ca="1" si="809"/>
        <v>7.3122500029707727</v>
      </c>
      <c r="F855" s="2">
        <f t="shared" ca="1" si="810"/>
        <v>0.33040584549760021</v>
      </c>
      <c r="G855" s="2">
        <f t="shared" ca="1" si="811"/>
        <v>2.6836216545430239E-2</v>
      </c>
      <c r="H855" s="2">
        <f t="shared" ca="1" si="812"/>
        <v>2.6836216545430239E-2</v>
      </c>
      <c r="I855" s="2">
        <f t="shared" ca="1" si="813"/>
        <v>0.29296475266158328</v>
      </c>
      <c r="J855" s="2">
        <f t="shared" ca="1" si="814"/>
        <v>7.2762793228890021E-3</v>
      </c>
      <c r="K855" s="2">
        <f t="shared" ca="1" si="815"/>
        <v>7.2762793228890021E-3</v>
      </c>
      <c r="L855" s="2">
        <f t="shared" ca="1" si="816"/>
        <v>0.31392097434355792</v>
      </c>
      <c r="M855" s="2">
        <f t="shared" ca="1" si="817"/>
        <v>-9.6953311226352507E-3</v>
      </c>
      <c r="N855" s="2">
        <f t="shared" ca="1" si="818"/>
        <v>-9.6953311226352507E-3</v>
      </c>
      <c r="O855" s="2">
        <f t="shared" si="819"/>
        <v>6000000</v>
      </c>
      <c r="P855" s="2">
        <f t="shared" ca="1" si="820"/>
        <v>43778714.397387356</v>
      </c>
      <c r="Q855" s="2">
        <f t="shared" ca="1" si="821"/>
        <v>1094467.8599346839</v>
      </c>
      <c r="R855" s="2">
        <f t="shared" ca="1" si="822"/>
        <v>26267228.638432413</v>
      </c>
      <c r="S855" s="2">
        <f t="shared" ca="1" si="823"/>
        <v>17511485.758954942</v>
      </c>
      <c r="T855" s="2">
        <f t="shared" ca="1" si="824"/>
        <v>49515233.443868242</v>
      </c>
      <c r="U855" s="2">
        <f t="shared" ca="1" si="825"/>
        <v>50844034.970865421</v>
      </c>
      <c r="V855" s="2">
        <f t="shared" ca="1" si="826"/>
        <v>52208496.503386997</v>
      </c>
      <c r="W855" s="2">
        <f t="shared" ca="1" si="827"/>
        <v>53609575.021063231</v>
      </c>
      <c r="X855" s="2">
        <f t="shared" ca="1" si="828"/>
        <v>55048253.185236976</v>
      </c>
      <c r="Y855" s="2">
        <f t="shared" ca="1" si="829"/>
        <v>0.12363813966144449</v>
      </c>
      <c r="Z855" s="2">
        <f t="shared" ca="1" si="830"/>
        <v>0.12509339552602231</v>
      </c>
      <c r="AA855" s="2">
        <f t="shared" ca="1" si="831"/>
        <v>6121971.3479020083</v>
      </c>
      <c r="AB855" s="2">
        <f t="shared" ca="1" si="832"/>
        <v>6360252.9767493783</v>
      </c>
      <c r="AC855" s="2">
        <f t="shared" ca="1" si="833"/>
        <v>6530938.1029171422</v>
      </c>
      <c r="AD855" s="2">
        <f t="shared" ca="1" si="834"/>
        <v>6706203.7720918283</v>
      </c>
      <c r="AE855" s="2">
        <f t="shared" ca="1" si="835"/>
        <v>6886172.9087174665</v>
      </c>
      <c r="AF855" s="2">
        <f t="shared" ca="1" si="836"/>
        <v>990304.66887736483</v>
      </c>
      <c r="AG855" s="2">
        <f t="shared" ca="1" si="837"/>
        <v>1016880.6994173084</v>
      </c>
      <c r="AH855" s="2">
        <f t="shared" ca="1" si="838"/>
        <v>1044169.9300677399</v>
      </c>
      <c r="AI855" s="2">
        <f t="shared" ca="1" si="839"/>
        <v>1072191.5004212647</v>
      </c>
      <c r="AJ855" s="2">
        <f t="shared" ca="1" si="840"/>
        <v>1100965.0637047396</v>
      </c>
      <c r="AK855" s="2">
        <f t="shared" ca="1" si="841"/>
        <v>0</v>
      </c>
      <c r="AL855" s="2">
        <f t="shared" ca="1" si="842"/>
        <v>13288.015269971787</v>
      </c>
      <c r="AM855" s="2">
        <f t="shared" ca="1" si="843"/>
        <v>13644.615325215756</v>
      </c>
      <c r="AN855" s="2">
        <f t="shared" ca="1" si="844"/>
        <v>14010.785176762343</v>
      </c>
      <c r="AO855" s="2">
        <f t="shared" ca="1" si="845"/>
        <v>14386.781641737447</v>
      </c>
      <c r="AP855" s="2">
        <f t="shared" ca="1" si="846"/>
        <v>2364050.5774589172</v>
      </c>
      <c r="AQ855" s="2">
        <f t="shared" ca="1" si="847"/>
        <v>719580.18640708877</v>
      </c>
      <c r="AR855" s="2">
        <f t="shared" ca="1" si="848"/>
        <v>774623.64196701965</v>
      </c>
      <c r="AS855" s="2">
        <f t="shared" ca="1" si="849"/>
        <v>811906.57480152603</v>
      </c>
      <c r="AT855" s="2">
        <f t="shared" ca="1" si="850"/>
        <v>850190.04049502802</v>
      </c>
      <c r="AU855" s="2">
        <f t="shared" ca="1" si="851"/>
        <v>889500.88956399064</v>
      </c>
      <c r="AV855" s="2">
        <f t="shared" ca="1" si="852"/>
        <v>2048035.9151586378</v>
      </c>
      <c r="AW855" s="2">
        <f t="shared" ca="1" si="853"/>
        <v>2191410.0426361607</v>
      </c>
      <c r="AX855" s="2">
        <f t="shared" ca="1" si="854"/>
        <v>2297166.4052637424</v>
      </c>
      <c r="AY855" s="2">
        <f t="shared" ca="1" si="855"/>
        <v>2405760.8685398558</v>
      </c>
      <c r="AZ855" s="2">
        <f t="shared" ca="1" si="856"/>
        <v>2517269.5963480817</v>
      </c>
      <c r="BA855" s="2">
        <f t="shared" ca="1" si="857"/>
        <v>50353417.872226551</v>
      </c>
      <c r="BB855" s="2">
        <f t="shared" ca="1" si="858"/>
        <v>1007068.3574445311</v>
      </c>
      <c r="BC855" s="2">
        <f t="shared" ca="1" si="859"/>
        <v>23079120.876349606</v>
      </c>
      <c r="BD855" s="2">
        <f t="shared" ca="1" si="860"/>
        <v>-19105953.618889626</v>
      </c>
      <c r="BE855" s="2">
        <f t="shared" ca="1" si="861"/>
        <v>2048035.9151586378</v>
      </c>
      <c r="BF855" s="2">
        <f t="shared" ca="1" si="862"/>
        <v>2191410.0426361607</v>
      </c>
      <c r="BG855" s="2">
        <f t="shared" ca="1" si="863"/>
        <v>2297166.4052637424</v>
      </c>
      <c r="BH855" s="2">
        <f t="shared" ca="1" si="864"/>
        <v>2405760.8685398558</v>
      </c>
      <c r="BI855" s="2">
        <f t="shared" ca="1" si="865"/>
        <v>25596390.472697686</v>
      </c>
      <c r="BJ855" s="2">
        <f t="shared" ca="1" si="866"/>
        <v>0.1491813626255194</v>
      </c>
      <c r="BK855" s="2">
        <f t="shared" ca="1" si="867"/>
        <v>2157690.1071327068</v>
      </c>
    </row>
    <row r="856" spans="1:63" x14ac:dyDescent="0.3">
      <c r="A856" s="2">
        <v>855</v>
      </c>
      <c r="B856" s="2">
        <f t="shared" ca="1" si="806"/>
        <v>0.69629918691550208</v>
      </c>
      <c r="C856" s="2">
        <f t="shared" ca="1" si="807"/>
        <v>7.2206402459909826</v>
      </c>
      <c r="D856" s="2">
        <f t="shared" ca="1" si="808"/>
        <v>0.19458636849093125</v>
      </c>
      <c r="E856" s="2">
        <f t="shared" ca="1" si="809"/>
        <v>7.1238371077307461</v>
      </c>
      <c r="F856" s="2">
        <f t="shared" ca="1" si="810"/>
        <v>0.91646173471388481</v>
      </c>
      <c r="G856" s="2">
        <f t="shared" ca="1" si="811"/>
        <v>8.1449760072851443E-2</v>
      </c>
      <c r="H856" s="2">
        <f t="shared" ca="1" si="812"/>
        <v>8.1449760072851443E-2</v>
      </c>
      <c r="I856" s="2">
        <f t="shared" ca="1" si="813"/>
        <v>0.70223051002286607</v>
      </c>
      <c r="J856" s="2">
        <f t="shared" ca="1" si="814"/>
        <v>1.2654132749974532E-2</v>
      </c>
      <c r="K856" s="2">
        <f t="shared" ca="1" si="815"/>
        <v>1.2654132749974532E-2</v>
      </c>
      <c r="L856" s="2">
        <f t="shared" ca="1" si="816"/>
        <v>0.41628837646881944</v>
      </c>
      <c r="M856" s="2">
        <f t="shared" ca="1" si="817"/>
        <v>-4.2279590852314424E-3</v>
      </c>
      <c r="N856" s="2">
        <f t="shared" ca="1" si="818"/>
        <v>-4.2279590852314424E-3</v>
      </c>
      <c r="O856" s="2">
        <f t="shared" si="819"/>
        <v>6000000</v>
      </c>
      <c r="P856" s="2">
        <f t="shared" ca="1" si="820"/>
        <v>43323841.475945897</v>
      </c>
      <c r="Q856" s="2">
        <f t="shared" ca="1" si="821"/>
        <v>1083096.0368986474</v>
      </c>
      <c r="R856" s="2">
        <f t="shared" ca="1" si="822"/>
        <v>25994304.885567538</v>
      </c>
      <c r="S856" s="2">
        <f t="shared" ca="1" si="823"/>
        <v>17329536.590378359</v>
      </c>
      <c r="T856" s="2">
        <f t="shared" ca="1" si="824"/>
        <v>49788602.045738429</v>
      </c>
      <c r="U856" s="2">
        <f t="shared" ca="1" si="825"/>
        <v>53843871.7367265</v>
      </c>
      <c r="V856" s="2">
        <f t="shared" ca="1" si="826"/>
        <v>58229442.171076261</v>
      </c>
      <c r="W856" s="2">
        <f t="shared" ca="1" si="827"/>
        <v>62972216.265086398</v>
      </c>
      <c r="X856" s="2">
        <f t="shared" ca="1" si="828"/>
        <v>68101288.171133399</v>
      </c>
      <c r="Y856" s="2">
        <f t="shared" ca="1" si="829"/>
        <v>0.12632706637498725</v>
      </c>
      <c r="Z856" s="2">
        <f t="shared" ca="1" si="830"/>
        <v>0.12885789292498218</v>
      </c>
      <c r="AA856" s="2">
        <f t="shared" ca="1" si="831"/>
        <v>6289648.0353498245</v>
      </c>
      <c r="AB856" s="2">
        <f t="shared" ca="1" si="832"/>
        <v>6938207.8589175772</v>
      </c>
      <c r="AC856" s="2">
        <f t="shared" ca="1" si="833"/>
        <v>7503323.2243619869</v>
      </c>
      <c r="AD856" s="2">
        <f t="shared" ca="1" si="834"/>
        <v>8114467.1007353244</v>
      </c>
      <c r="AE856" s="2">
        <f t="shared" ca="1" si="835"/>
        <v>8775388.4992092624</v>
      </c>
      <c r="AF856" s="2">
        <f t="shared" ca="1" si="836"/>
        <v>995772.04091476859</v>
      </c>
      <c r="AG856" s="2">
        <f t="shared" ca="1" si="837"/>
        <v>1076877.43473453</v>
      </c>
      <c r="AH856" s="2">
        <f t="shared" ca="1" si="838"/>
        <v>1164588.8434215253</v>
      </c>
      <c r="AI856" s="2">
        <f t="shared" ca="1" si="839"/>
        <v>1259444.325301728</v>
      </c>
      <c r="AJ856" s="2">
        <f t="shared" ca="1" si="840"/>
        <v>1362025.763422668</v>
      </c>
      <c r="AK856" s="2">
        <f t="shared" ca="1" si="841"/>
        <v>0</v>
      </c>
      <c r="AL856" s="2">
        <f t="shared" ca="1" si="842"/>
        <v>40552.696909880717</v>
      </c>
      <c r="AM856" s="2">
        <f t="shared" ca="1" si="843"/>
        <v>43855.704343497608</v>
      </c>
      <c r="AN856" s="2">
        <f t="shared" ca="1" si="844"/>
        <v>47427.740940101372</v>
      </c>
      <c r="AO856" s="2">
        <f t="shared" ca="1" si="845"/>
        <v>51290.719060470015</v>
      </c>
      <c r="AP856" s="2">
        <f t="shared" ca="1" si="846"/>
        <v>2339487.4397010785</v>
      </c>
      <c r="AQ856" s="2">
        <f t="shared" ca="1" si="847"/>
        <v>768141.02423083421</v>
      </c>
      <c r="AR856" s="2">
        <f t="shared" ca="1" si="848"/>
        <v>915679.17596531194</v>
      </c>
      <c r="AS856" s="2">
        <f t="shared" ca="1" si="849"/>
        <v>1039804.2047222396</v>
      </c>
      <c r="AT856" s="2">
        <f t="shared" ca="1" si="850"/>
        <v>1174039.1872904547</v>
      </c>
      <c r="AU856" s="2">
        <f t="shared" ca="1" si="851"/>
        <v>1319207.5769822341</v>
      </c>
      <c r="AV856" s="2">
        <f t="shared" ca="1" si="852"/>
        <v>2186247.5305031436</v>
      </c>
      <c r="AW856" s="2">
        <f t="shared" ca="1" si="853"/>
        <v>2565611.1116067767</v>
      </c>
      <c r="AX856" s="2">
        <f t="shared" ca="1" si="854"/>
        <v>2915587.0321736457</v>
      </c>
      <c r="AY856" s="2">
        <f t="shared" ca="1" si="855"/>
        <v>3294068.407501962</v>
      </c>
      <c r="AZ856" s="2">
        <f t="shared" ca="1" si="856"/>
        <v>3703377.000042811</v>
      </c>
      <c r="BA856" s="2">
        <f t="shared" ca="1" si="857"/>
        <v>62514438.225420564</v>
      </c>
      <c r="BB856" s="2">
        <f t="shared" ca="1" si="858"/>
        <v>1250288.7645084113</v>
      </c>
      <c r="BC856" s="2">
        <f t="shared" ca="1" si="859"/>
        <v>35269844.575344615</v>
      </c>
      <c r="BD856" s="2">
        <f t="shared" ca="1" si="860"/>
        <v>-18912632.627277005</v>
      </c>
      <c r="BE856" s="2">
        <f t="shared" ca="1" si="861"/>
        <v>2186247.5305031436</v>
      </c>
      <c r="BF856" s="2">
        <f t="shared" ca="1" si="862"/>
        <v>2565611.1116067767</v>
      </c>
      <c r="BG856" s="2">
        <f t="shared" ca="1" si="863"/>
        <v>2915587.0321736457</v>
      </c>
      <c r="BH856" s="2">
        <f t="shared" ca="1" si="864"/>
        <v>3294068.407501962</v>
      </c>
      <c r="BI856" s="2">
        <f t="shared" ca="1" si="865"/>
        <v>38973221.575387426</v>
      </c>
      <c r="BJ856" s="2">
        <f t="shared" ca="1" si="866"/>
        <v>0.25145103730120177</v>
      </c>
      <c r="BK856" s="2">
        <f t="shared" ca="1" si="867"/>
        <v>11367813.427234497</v>
      </c>
    </row>
    <row r="857" spans="1:63" x14ac:dyDescent="0.3">
      <c r="A857" s="2">
        <v>856</v>
      </c>
      <c r="B857" s="2">
        <f t="shared" ca="1" si="806"/>
        <v>0.60464587991532837</v>
      </c>
      <c r="C857" s="2">
        <f t="shared" ca="1" si="807"/>
        <v>7.1107822313013855</v>
      </c>
      <c r="D857" s="2">
        <f t="shared" ca="1" si="808"/>
        <v>0.55341615537817301</v>
      </c>
      <c r="E857" s="2">
        <f t="shared" ca="1" si="809"/>
        <v>7.5549245060612069</v>
      </c>
      <c r="F857" s="2">
        <f t="shared" ca="1" si="810"/>
        <v>0.54537550677789892</v>
      </c>
      <c r="G857" s="2">
        <f t="shared" ca="1" si="811"/>
        <v>4.341957640641101E-2</v>
      </c>
      <c r="H857" s="2">
        <f t="shared" ca="1" si="812"/>
        <v>4.341957640641101E-2</v>
      </c>
      <c r="I857" s="2">
        <f t="shared" ca="1" si="813"/>
        <v>0.49581105546021198</v>
      </c>
      <c r="J857" s="2">
        <f t="shared" ca="1" si="814"/>
        <v>9.9474984011188455E-3</v>
      </c>
      <c r="K857" s="2">
        <f t="shared" ca="1" si="815"/>
        <v>9.9474984011188455E-3</v>
      </c>
      <c r="L857" s="2">
        <f t="shared" ca="1" si="816"/>
        <v>0.81268282478191389</v>
      </c>
      <c r="M857" s="2">
        <f t="shared" ca="1" si="817"/>
        <v>1.775652016760507E-2</v>
      </c>
      <c r="N857" s="2">
        <f t="shared" ca="1" si="818"/>
        <v>1.775652016760507E-2</v>
      </c>
      <c r="O857" s="2">
        <f t="shared" si="819"/>
        <v>6000000</v>
      </c>
      <c r="P857" s="2">
        <f t="shared" ca="1" si="820"/>
        <v>42664693.387808315</v>
      </c>
      <c r="Q857" s="2">
        <f t="shared" ca="1" si="821"/>
        <v>1066617.3346952079</v>
      </c>
      <c r="R857" s="2">
        <f t="shared" ca="1" si="822"/>
        <v>25598816.032684989</v>
      </c>
      <c r="S857" s="2">
        <f t="shared" ca="1" si="823"/>
        <v>17065877.355123326</v>
      </c>
      <c r="T857" s="2">
        <f t="shared" ca="1" si="824"/>
        <v>50887826.008380257</v>
      </c>
      <c r="U857" s="2">
        <f t="shared" ca="1" si="825"/>
        <v>53097353.857907265</v>
      </c>
      <c r="V857" s="2">
        <f t="shared" ca="1" si="826"/>
        <v>55402818.470718905</v>
      </c>
      <c r="W857" s="2">
        <f t="shared" ca="1" si="827"/>
        <v>57808385.380438797</v>
      </c>
      <c r="X857" s="2">
        <f t="shared" ca="1" si="828"/>
        <v>60318400.986396007</v>
      </c>
      <c r="Y857" s="2">
        <f t="shared" ca="1" si="829"/>
        <v>0.12497374920055943</v>
      </c>
      <c r="Z857" s="2">
        <f t="shared" ca="1" si="830"/>
        <v>0.1269632488807832</v>
      </c>
      <c r="AA857" s="2">
        <f t="shared" ca="1" si="831"/>
        <v>6359642.4049330195</v>
      </c>
      <c r="AB857" s="2">
        <f t="shared" ca="1" si="832"/>
        <v>6741412.552772494</v>
      </c>
      <c r="AC857" s="2">
        <f t="shared" ca="1" si="833"/>
        <v>7034121.8301947368</v>
      </c>
      <c r="AD857" s="2">
        <f t="shared" ca="1" si="834"/>
        <v>7339540.4204528797</v>
      </c>
      <c r="AE857" s="2">
        <f t="shared" ca="1" si="835"/>
        <v>7658220.1565266745</v>
      </c>
      <c r="AF857" s="2">
        <f t="shared" ca="1" si="836"/>
        <v>1017756.5201676051</v>
      </c>
      <c r="AG857" s="2">
        <f t="shared" ca="1" si="837"/>
        <v>1061947.0771581454</v>
      </c>
      <c r="AH857" s="2">
        <f t="shared" ca="1" si="838"/>
        <v>1108056.3694143782</v>
      </c>
      <c r="AI857" s="2">
        <f t="shared" ca="1" si="839"/>
        <v>1156167.7076087759</v>
      </c>
      <c r="AJ857" s="2">
        <f t="shared" ca="1" si="840"/>
        <v>1206368.0197279202</v>
      </c>
      <c r="AK857" s="2">
        <f t="shared" ca="1" si="841"/>
        <v>0</v>
      </c>
      <c r="AL857" s="2">
        <f t="shared" ca="1" si="842"/>
        <v>22095.278495270089</v>
      </c>
      <c r="AM857" s="2">
        <f t="shared" ca="1" si="843"/>
        <v>23054.646128116401</v>
      </c>
      <c r="AN857" s="2">
        <f t="shared" ca="1" si="844"/>
        <v>24055.669097198919</v>
      </c>
      <c r="AO857" s="2">
        <f t="shared" ca="1" si="845"/>
        <v>25100.156059572102</v>
      </c>
      <c r="AP857" s="2">
        <f t="shared" ca="1" si="846"/>
        <v>2303893.4429416489</v>
      </c>
      <c r="AQ857" s="2">
        <f t="shared" ca="1" si="847"/>
        <v>789878.03487417905</v>
      </c>
      <c r="AR857" s="2">
        <f t="shared" ca="1" si="848"/>
        <v>877648.72849490191</v>
      </c>
      <c r="AS857" s="2">
        <f t="shared" ca="1" si="849"/>
        <v>941764.72463806462</v>
      </c>
      <c r="AT857" s="2">
        <f t="shared" ca="1" si="850"/>
        <v>1008664.6101746382</v>
      </c>
      <c r="AU857" s="2">
        <f t="shared" ca="1" si="851"/>
        <v>1078469.2604028475</v>
      </c>
      <c r="AV857" s="2">
        <f t="shared" ca="1" si="852"/>
        <v>2248114.4069495862</v>
      </c>
      <c r="AW857" s="2">
        <f t="shared" ca="1" si="853"/>
        <v>2475828.0256825276</v>
      </c>
      <c r="AX857" s="2">
        <f t="shared" ca="1" si="854"/>
        <v>2657352.6470725294</v>
      </c>
      <c r="AY857" s="2">
        <f t="shared" ca="1" si="855"/>
        <v>2846758.9906306174</v>
      </c>
      <c r="AZ857" s="2">
        <f t="shared" ca="1" si="856"/>
        <v>3044389.2773946859</v>
      </c>
      <c r="BA857" s="2">
        <f t="shared" ca="1" si="857"/>
        <v>57857275.133355267</v>
      </c>
      <c r="BB857" s="2">
        <f t="shared" ca="1" si="858"/>
        <v>1157145.5026671053</v>
      </c>
      <c r="BC857" s="2">
        <f t="shared" ca="1" si="859"/>
        <v>31101313.598003171</v>
      </c>
      <c r="BD857" s="2">
        <f t="shared" ca="1" si="860"/>
        <v>-18632494.689818535</v>
      </c>
      <c r="BE857" s="2">
        <f t="shared" ca="1" si="861"/>
        <v>2248114.4069495862</v>
      </c>
      <c r="BF857" s="2">
        <f t="shared" ca="1" si="862"/>
        <v>2475828.0256825276</v>
      </c>
      <c r="BG857" s="2">
        <f t="shared" ca="1" si="863"/>
        <v>2657352.6470725294</v>
      </c>
      <c r="BH857" s="2">
        <f t="shared" ca="1" si="864"/>
        <v>2846758.9906306174</v>
      </c>
      <c r="BI857" s="2">
        <f t="shared" ca="1" si="865"/>
        <v>34145702.875397861</v>
      </c>
      <c r="BJ857" s="2">
        <f t="shared" ca="1" si="866"/>
        <v>0.22404764977725367</v>
      </c>
      <c r="BK857" s="2">
        <f t="shared" ca="1" si="867"/>
        <v>8424272.0082864873</v>
      </c>
    </row>
    <row r="858" spans="1:63" x14ac:dyDescent="0.3">
      <c r="A858" s="2">
        <v>857</v>
      </c>
      <c r="B858" s="2">
        <f t="shared" ca="1" si="806"/>
        <v>0.28541943961754368</v>
      </c>
      <c r="C858" s="2">
        <f t="shared" ca="1" si="807"/>
        <v>6.7555388006152217</v>
      </c>
      <c r="D858" s="2">
        <f t="shared" ca="1" si="808"/>
        <v>0.56812836959539148</v>
      </c>
      <c r="E858" s="2">
        <f t="shared" ca="1" si="809"/>
        <v>7.5706221108670508</v>
      </c>
      <c r="F858" s="2">
        <f t="shared" ca="1" si="810"/>
        <v>0.82853102345397178</v>
      </c>
      <c r="G858" s="2">
        <f t="shared" ca="1" si="811"/>
        <v>6.8451287065297975E-2</v>
      </c>
      <c r="H858" s="2">
        <f t="shared" ca="1" si="812"/>
        <v>6.8451287065297975E-2</v>
      </c>
      <c r="I858" s="2">
        <f t="shared" ca="1" si="813"/>
        <v>9.0439513315632492E-2</v>
      </c>
      <c r="J858" s="2">
        <f t="shared" ca="1" si="814"/>
        <v>3.3097329486838434E-3</v>
      </c>
      <c r="K858" s="2">
        <f t="shared" ca="1" si="815"/>
        <v>3.3097329486838434E-3</v>
      </c>
      <c r="L858" s="2">
        <f t="shared" ca="1" si="816"/>
        <v>6.2112896651030702E-2</v>
      </c>
      <c r="M858" s="2">
        <f t="shared" ca="1" si="817"/>
        <v>-3.0745515324134432E-2</v>
      </c>
      <c r="N858" s="2">
        <f t="shared" ca="1" si="818"/>
        <v>-3.0745515324134432E-2</v>
      </c>
      <c r="O858" s="2">
        <f t="shared" si="819"/>
        <v>6000000</v>
      </c>
      <c r="P858" s="2">
        <f t="shared" ca="1" si="820"/>
        <v>40533232.803691328</v>
      </c>
      <c r="Q858" s="2">
        <f t="shared" ca="1" si="821"/>
        <v>1013330.8200922832</v>
      </c>
      <c r="R858" s="2">
        <f t="shared" ca="1" si="822"/>
        <v>24319939.682214797</v>
      </c>
      <c r="S858" s="2">
        <f t="shared" ca="1" si="823"/>
        <v>16213293.121476531</v>
      </c>
      <c r="T858" s="2">
        <f t="shared" ca="1" si="824"/>
        <v>48462724.233793281</v>
      </c>
      <c r="U858" s="2">
        <f t="shared" ca="1" si="825"/>
        <v>51780060.082287043</v>
      </c>
      <c r="V858" s="2">
        <f t="shared" ca="1" si="826"/>
        <v>55324471.839238055</v>
      </c>
      <c r="W858" s="2">
        <f t="shared" ca="1" si="827"/>
        <v>59111503.142841734</v>
      </c>
      <c r="X858" s="2">
        <f t="shared" ca="1" si="828"/>
        <v>63157761.613333657</v>
      </c>
      <c r="Y858" s="2">
        <f t="shared" ca="1" si="829"/>
        <v>0.12165486647434191</v>
      </c>
      <c r="Z858" s="2">
        <f t="shared" ca="1" si="830"/>
        <v>0.12231681306407868</v>
      </c>
      <c r="AA858" s="2">
        <f t="shared" ca="1" si="831"/>
        <v>5895726.2456449755</v>
      </c>
      <c r="AB858" s="2">
        <f t="shared" ca="1" si="832"/>
        <v>6333571.9295318667</v>
      </c>
      <c r="AC858" s="2">
        <f t="shared" ca="1" si="833"/>
        <v>6767113.0798289664</v>
      </c>
      <c r="AD858" s="2">
        <f t="shared" ca="1" si="834"/>
        <v>7230330.6798596717</v>
      </c>
      <c r="AE858" s="2">
        <f t="shared" ca="1" si="835"/>
        <v>7725256.1208037771</v>
      </c>
      <c r="AF858" s="2">
        <f t="shared" ca="1" si="836"/>
        <v>969254.48467586562</v>
      </c>
      <c r="AG858" s="2">
        <f t="shared" ca="1" si="837"/>
        <v>1035601.2016457409</v>
      </c>
      <c r="AH858" s="2">
        <f t="shared" ca="1" si="838"/>
        <v>1106489.436784761</v>
      </c>
      <c r="AI858" s="2">
        <f t="shared" ca="1" si="839"/>
        <v>1182230.0628568346</v>
      </c>
      <c r="AJ858" s="2">
        <f t="shared" ca="1" si="840"/>
        <v>1263155.2322666731</v>
      </c>
      <c r="AK858" s="2">
        <f t="shared" ca="1" si="841"/>
        <v>0</v>
      </c>
      <c r="AL858" s="2">
        <f t="shared" ca="1" si="842"/>
        <v>33173.35848493762</v>
      </c>
      <c r="AM858" s="2">
        <f t="shared" ca="1" si="843"/>
        <v>35444.117569510119</v>
      </c>
      <c r="AN858" s="2">
        <f t="shared" ca="1" si="844"/>
        <v>37870.313036036787</v>
      </c>
      <c r="AO858" s="2">
        <f t="shared" ca="1" si="845"/>
        <v>40462.584704919238</v>
      </c>
      <c r="AP858" s="2">
        <f t="shared" ca="1" si="846"/>
        <v>2188794.5713993316</v>
      </c>
      <c r="AQ858" s="2">
        <f t="shared" ca="1" si="847"/>
        <v>711796.06928814237</v>
      </c>
      <c r="AR858" s="2">
        <f t="shared" ca="1" si="848"/>
        <v>808385.80068656639</v>
      </c>
      <c r="AS858" s="2">
        <f t="shared" ca="1" si="849"/>
        <v>902675.55862766725</v>
      </c>
      <c r="AT858" s="2">
        <f t="shared" ca="1" si="850"/>
        <v>1003419.5718569115</v>
      </c>
      <c r="AU858" s="2">
        <f t="shared" ca="1" si="851"/>
        <v>1111059.6424558209</v>
      </c>
      <c r="AV858" s="2">
        <f t="shared" ca="1" si="852"/>
        <v>2025881.1202816362</v>
      </c>
      <c r="AW858" s="2">
        <f t="shared" ca="1" si="853"/>
        <v>2267616.9973152899</v>
      </c>
      <c r="AX858" s="2">
        <f t="shared" ca="1" si="854"/>
        <v>2533709.395447697</v>
      </c>
      <c r="AY858" s="2">
        <f t="shared" ca="1" si="855"/>
        <v>2818016.1607105578</v>
      </c>
      <c r="AZ858" s="2">
        <f t="shared" ca="1" si="856"/>
        <v>3121784.089977033</v>
      </c>
      <c r="BA858" s="2">
        <f t="shared" ca="1" si="857"/>
        <v>58484994.800268099</v>
      </c>
      <c r="BB858" s="2">
        <f t="shared" ca="1" si="858"/>
        <v>1169699.896005362</v>
      </c>
      <c r="BC858" s="2">
        <f t="shared" ca="1" si="859"/>
        <v>32995355.22204794</v>
      </c>
      <c r="BD858" s="2">
        <f t="shared" ca="1" si="860"/>
        <v>-17726623.941568814</v>
      </c>
      <c r="BE858" s="2">
        <f t="shared" ca="1" si="861"/>
        <v>2025881.1202816362</v>
      </c>
      <c r="BF858" s="2">
        <f t="shared" ca="1" si="862"/>
        <v>2267616.9973152899</v>
      </c>
      <c r="BG858" s="2">
        <f t="shared" ca="1" si="863"/>
        <v>2533709.395447697</v>
      </c>
      <c r="BH858" s="2">
        <f t="shared" ca="1" si="864"/>
        <v>2818016.1607105578</v>
      </c>
      <c r="BI858" s="2">
        <f t="shared" ca="1" si="865"/>
        <v>36117139.312024973</v>
      </c>
      <c r="BJ858" s="2">
        <f t="shared" ca="1" si="866"/>
        <v>0.24371464165575474</v>
      </c>
      <c r="BK858" s="2">
        <f t="shared" ca="1" si="867"/>
        <v>9978108.1882648543</v>
      </c>
    </row>
    <row r="859" spans="1:63" x14ac:dyDescent="0.3">
      <c r="A859" s="2">
        <v>858</v>
      </c>
      <c r="B859" s="2">
        <f t="shared" ca="1" si="806"/>
        <v>0.11742258495602298</v>
      </c>
      <c r="C859" s="2">
        <f t="shared" ca="1" si="807"/>
        <v>6.4846082643868614</v>
      </c>
      <c r="D859" s="2">
        <f t="shared" ca="1" si="808"/>
        <v>0.78748879065651545</v>
      </c>
      <c r="E859" s="2">
        <f t="shared" ca="1" si="809"/>
        <v>7.8480625653584779</v>
      </c>
      <c r="F859" s="2">
        <f t="shared" ca="1" si="810"/>
        <v>0.55833789792460231</v>
      </c>
      <c r="G859" s="2">
        <f t="shared" ca="1" si="811"/>
        <v>4.4402695632673489E-2</v>
      </c>
      <c r="H859" s="2">
        <f t="shared" ca="1" si="812"/>
        <v>4.4402695632673489E-2</v>
      </c>
      <c r="I859" s="2">
        <f t="shared" ca="1" si="813"/>
        <v>0.43749621213786816</v>
      </c>
      <c r="J859" s="2">
        <f t="shared" ca="1" si="814"/>
        <v>9.2133985120431312E-3</v>
      </c>
      <c r="K859" s="2">
        <f t="shared" ca="1" si="815"/>
        <v>9.2133985120431312E-3</v>
      </c>
      <c r="L859" s="2">
        <f t="shared" ca="1" si="816"/>
        <v>0.82843100634924782</v>
      </c>
      <c r="M859" s="2">
        <f t="shared" ca="1" si="817"/>
        <v>1.8959664768775968E-2</v>
      </c>
      <c r="N859" s="2">
        <f t="shared" ca="1" si="818"/>
        <v>1.8959664768775968E-2</v>
      </c>
      <c r="O859" s="2">
        <f t="shared" si="819"/>
        <v>6000000</v>
      </c>
      <c r="P859" s="2">
        <f t="shared" ca="1" si="820"/>
        <v>38907649.586321168</v>
      </c>
      <c r="Q859" s="2">
        <f t="shared" ca="1" si="821"/>
        <v>972691.23965802928</v>
      </c>
      <c r="R859" s="2">
        <f t="shared" ca="1" si="822"/>
        <v>23344589.751792699</v>
      </c>
      <c r="S859" s="2">
        <f t="shared" ca="1" si="823"/>
        <v>15563059.834528469</v>
      </c>
      <c r="T859" s="2">
        <f t="shared" ca="1" si="824"/>
        <v>50947983.2384388</v>
      </c>
      <c r="U859" s="2">
        <f t="shared" ca="1" si="825"/>
        <v>53210211.031273752</v>
      </c>
      <c r="V859" s="2">
        <f t="shared" ca="1" si="826"/>
        <v>55572887.836245731</v>
      </c>
      <c r="W859" s="2">
        <f t="shared" ca="1" si="827"/>
        <v>58040473.860267252</v>
      </c>
      <c r="X859" s="2">
        <f t="shared" ca="1" si="828"/>
        <v>60617627.355460845</v>
      </c>
      <c r="Y859" s="2">
        <f t="shared" ca="1" si="829"/>
        <v>0.12460669925602157</v>
      </c>
      <c r="Z859" s="2">
        <f t="shared" ca="1" si="830"/>
        <v>0.1264493789584302</v>
      </c>
      <c r="AA859" s="2">
        <f t="shared" ca="1" si="831"/>
        <v>6348460.0250929715</v>
      </c>
      <c r="AB859" s="2">
        <f t="shared" ca="1" si="832"/>
        <v>6728398.1391515778</v>
      </c>
      <c r="AC859" s="2">
        <f t="shared" ca="1" si="833"/>
        <v>7027157.1538197724</v>
      </c>
      <c r="AD859" s="2">
        <f t="shared" ca="1" si="834"/>
        <v>7339181.8740837956</v>
      </c>
      <c r="AE859" s="2">
        <f t="shared" ca="1" si="835"/>
        <v>7665061.3330315733</v>
      </c>
      <c r="AF859" s="2">
        <f t="shared" ca="1" si="836"/>
        <v>1018959.664768776</v>
      </c>
      <c r="AG859" s="2">
        <f t="shared" ca="1" si="837"/>
        <v>1064204.220625475</v>
      </c>
      <c r="AH859" s="2">
        <f t="shared" ca="1" si="838"/>
        <v>1111457.7567249145</v>
      </c>
      <c r="AI859" s="2">
        <f t="shared" ca="1" si="839"/>
        <v>1160809.4772053452</v>
      </c>
      <c r="AJ859" s="2">
        <f t="shared" ca="1" si="840"/>
        <v>1212352.5471092169</v>
      </c>
      <c r="AK859" s="2">
        <f t="shared" ca="1" si="841"/>
        <v>0</v>
      </c>
      <c r="AL859" s="2">
        <f t="shared" ca="1" si="842"/>
        <v>22622.277928349526</v>
      </c>
      <c r="AM859" s="2">
        <f t="shared" ca="1" si="843"/>
        <v>23626.76804971978</v>
      </c>
      <c r="AN859" s="2">
        <f t="shared" ca="1" si="844"/>
        <v>24675.860240215214</v>
      </c>
      <c r="AO859" s="2">
        <f t="shared" ca="1" si="845"/>
        <v>25771.534951935933</v>
      </c>
      <c r="AP859" s="2">
        <f t="shared" ca="1" si="846"/>
        <v>2101013.0776613429</v>
      </c>
      <c r="AQ859" s="2">
        <f t="shared" ca="1" si="847"/>
        <v>839406.69349234167</v>
      </c>
      <c r="AR859" s="2">
        <f t="shared" ca="1" si="848"/>
        <v>926427.01862483763</v>
      </c>
      <c r="AS859" s="2">
        <f t="shared" ca="1" si="849"/>
        <v>991818.44305271388</v>
      </c>
      <c r="AT859" s="2">
        <f t="shared" ca="1" si="850"/>
        <v>1060113.4229964479</v>
      </c>
      <c r="AU859" s="2">
        <f t="shared" ca="1" si="851"/>
        <v>1131440.8841478634</v>
      </c>
      <c r="AV859" s="2">
        <f t="shared" ca="1" si="852"/>
        <v>2389080.5891705109</v>
      </c>
      <c r="AW859" s="2">
        <f t="shared" ca="1" si="853"/>
        <v>2614131.5443115728</v>
      </c>
      <c r="AX859" s="2">
        <f t="shared" ca="1" si="854"/>
        <v>2799241.1083310815</v>
      </c>
      <c r="AY859" s="2">
        <f t="shared" ca="1" si="855"/>
        <v>2992570.0359804444</v>
      </c>
      <c r="AZ859" s="2">
        <f t="shared" ca="1" si="856"/>
        <v>3194483.2891612146</v>
      </c>
      <c r="BA859" s="2">
        <f t="shared" ca="1" si="857"/>
        <v>60155880.908941843</v>
      </c>
      <c r="BB859" s="2">
        <f t="shared" ca="1" si="858"/>
        <v>1203117.6181788368</v>
      </c>
      <c r="BC859" s="2">
        <f t="shared" ca="1" si="859"/>
        <v>35608173.538970307</v>
      </c>
      <c r="BD859" s="2">
        <f t="shared" ca="1" si="860"/>
        <v>-17035751.074186496</v>
      </c>
      <c r="BE859" s="2">
        <f t="shared" ca="1" si="861"/>
        <v>2389080.5891705109</v>
      </c>
      <c r="BF859" s="2">
        <f t="shared" ca="1" si="862"/>
        <v>2614131.5443115728</v>
      </c>
      <c r="BG859" s="2">
        <f t="shared" ca="1" si="863"/>
        <v>2799241.1083310815</v>
      </c>
      <c r="BH859" s="2">
        <f t="shared" ca="1" si="864"/>
        <v>2992570.0359804444</v>
      </c>
      <c r="BI859" s="2">
        <f t="shared" ca="1" si="865"/>
        <v>38802656.828131519</v>
      </c>
      <c r="BJ859" s="2">
        <f t="shared" ca="1" si="866"/>
        <v>0.28311035427627051</v>
      </c>
      <c r="BK859" s="2">
        <f t="shared" ca="1" si="867"/>
        <v>13093272.703003976</v>
      </c>
    </row>
    <row r="860" spans="1:63" x14ac:dyDescent="0.3">
      <c r="A860" s="2">
        <v>859</v>
      </c>
      <c r="B860" s="2">
        <f t="shared" ca="1" si="806"/>
        <v>0.59035915836701081</v>
      </c>
      <c r="C860" s="2">
        <f t="shared" ca="1" si="807"/>
        <v>7.0948581971503151</v>
      </c>
      <c r="D860" s="2">
        <f t="shared" ca="1" si="808"/>
        <v>0.71050246605946077</v>
      </c>
      <c r="E860" s="2">
        <f t="shared" ca="1" si="809"/>
        <v>7.7390827457068161</v>
      </c>
      <c r="F860" s="2">
        <f t="shared" ca="1" si="810"/>
        <v>0.8562113785476434</v>
      </c>
      <c r="G860" s="2">
        <f t="shared" ca="1" si="811"/>
        <v>7.1903545368015978E-2</v>
      </c>
      <c r="H860" s="2">
        <f t="shared" ca="1" si="812"/>
        <v>7.1903545368015978E-2</v>
      </c>
      <c r="I860" s="2">
        <f t="shared" ca="1" si="813"/>
        <v>0.96459868511964342</v>
      </c>
      <c r="J860" s="2">
        <f t="shared" ca="1" si="814"/>
        <v>1.9033706347007288E-2</v>
      </c>
      <c r="K860" s="2">
        <f t="shared" ca="1" si="815"/>
        <v>1.9033706347007288E-2</v>
      </c>
      <c r="L860" s="2">
        <f t="shared" ca="1" si="816"/>
        <v>0.70312530724057432</v>
      </c>
      <c r="M860" s="2">
        <f t="shared" ca="1" si="817"/>
        <v>1.0668211882358119E-2</v>
      </c>
      <c r="N860" s="2">
        <f t="shared" ca="1" si="818"/>
        <v>1.0668211882358119E-2</v>
      </c>
      <c r="O860" s="2">
        <f t="shared" si="819"/>
        <v>6000000</v>
      </c>
      <c r="P860" s="2">
        <f t="shared" ca="1" si="820"/>
        <v>42569149.182901889</v>
      </c>
      <c r="Q860" s="2">
        <f t="shared" ca="1" si="821"/>
        <v>1064228.7295725474</v>
      </c>
      <c r="R860" s="2">
        <f t="shared" ca="1" si="822"/>
        <v>25541489.509741131</v>
      </c>
      <c r="S860" s="2">
        <f t="shared" ca="1" si="823"/>
        <v>17027659.673160758</v>
      </c>
      <c r="T860" s="2">
        <f t="shared" ca="1" si="824"/>
        <v>50533410.59411791</v>
      </c>
      <c r="U860" s="2">
        <f t="shared" ca="1" si="825"/>
        <v>54166941.975372642</v>
      </c>
      <c r="V860" s="2">
        <f t="shared" ca="1" si="826"/>
        <v>58061737.145145535</v>
      </c>
      <c r="W860" s="2">
        <f t="shared" ca="1" si="827"/>
        <v>62236581.896107323</v>
      </c>
      <c r="X860" s="2">
        <f t="shared" ca="1" si="828"/>
        <v>66711612.786024317</v>
      </c>
      <c r="Y860" s="2">
        <f t="shared" ca="1" si="829"/>
        <v>0.12951685317350364</v>
      </c>
      <c r="Z860" s="2">
        <f t="shared" ca="1" si="830"/>
        <v>0.13332359444290509</v>
      </c>
      <c r="AA860" s="2">
        <f t="shared" ca="1" si="831"/>
        <v>6544928.3202747433</v>
      </c>
      <c r="AB860" s="2">
        <f t="shared" ca="1" si="832"/>
        <v>7221731.4041369548</v>
      </c>
      <c r="AC860" s="2">
        <f t="shared" ca="1" si="833"/>
        <v>7740999.4957899414</v>
      </c>
      <c r="AD860" s="2">
        <f t="shared" ca="1" si="834"/>
        <v>8297604.8042292623</v>
      </c>
      <c r="AE860" s="2">
        <f t="shared" ca="1" si="835"/>
        <v>8894232.007716028</v>
      </c>
      <c r="AF860" s="2">
        <f t="shared" ca="1" si="836"/>
        <v>1010668.2118823582</v>
      </c>
      <c r="AG860" s="2">
        <f t="shared" ca="1" si="837"/>
        <v>1083338.8395074529</v>
      </c>
      <c r="AH860" s="2">
        <f t="shared" ca="1" si="838"/>
        <v>1161234.7429029108</v>
      </c>
      <c r="AI860" s="2">
        <f t="shared" ca="1" si="839"/>
        <v>1244731.6379221466</v>
      </c>
      <c r="AJ860" s="2">
        <f t="shared" ca="1" si="840"/>
        <v>1334232.2557204864</v>
      </c>
      <c r="AK860" s="2">
        <f t="shared" ca="1" si="841"/>
        <v>0</v>
      </c>
      <c r="AL860" s="2">
        <f t="shared" ca="1" si="842"/>
        <v>36335.313812547327</v>
      </c>
      <c r="AM860" s="2">
        <f t="shared" ca="1" si="843"/>
        <v>38947.951697728931</v>
      </c>
      <c r="AN860" s="2">
        <f t="shared" ca="1" si="844"/>
        <v>41748.447509617879</v>
      </c>
      <c r="AO860" s="2">
        <f t="shared" ca="1" si="845"/>
        <v>44750.308899169941</v>
      </c>
      <c r="AP860" s="2">
        <f t="shared" ca="1" si="846"/>
        <v>2298734.0558767016</v>
      </c>
      <c r="AQ860" s="2">
        <f t="shared" ca="1" si="847"/>
        <v>841236.77365407767</v>
      </c>
      <c r="AR860" s="2">
        <f t="shared" ca="1" si="848"/>
        <v>998311.212275728</v>
      </c>
      <c r="AS860" s="2">
        <f t="shared" ca="1" si="849"/>
        <v>1113067.9812226857</v>
      </c>
      <c r="AT860" s="2">
        <f t="shared" ca="1" si="850"/>
        <v>1236076.1687119077</v>
      </c>
      <c r="AU860" s="2">
        <f t="shared" ca="1" si="851"/>
        <v>1367929.0809908982</v>
      </c>
      <c r="AV860" s="2">
        <f t="shared" ca="1" si="852"/>
        <v>2394289.2788616051</v>
      </c>
      <c r="AW860" s="2">
        <f t="shared" ca="1" si="853"/>
        <v>2805011.982664525</v>
      </c>
      <c r="AX860" s="2">
        <f t="shared" ca="1" si="854"/>
        <v>3129014.7640899154</v>
      </c>
      <c r="AY860" s="2">
        <f t="shared" ca="1" si="855"/>
        <v>3476314.4942088895</v>
      </c>
      <c r="AZ860" s="2">
        <f t="shared" ca="1" si="856"/>
        <v>3848586.3062287713</v>
      </c>
      <c r="BA860" s="2">
        <f t="shared" ca="1" si="857"/>
        <v>68833197.467228413</v>
      </c>
      <c r="BB860" s="2">
        <f t="shared" ca="1" si="858"/>
        <v>1376663.9493445682</v>
      </c>
      <c r="BC860" s="2">
        <f t="shared" ca="1" si="859"/>
        <v>41915044.008142717</v>
      </c>
      <c r="BD860" s="2">
        <f t="shared" ca="1" si="860"/>
        <v>-18591888.402733304</v>
      </c>
      <c r="BE860" s="2">
        <f t="shared" ca="1" si="861"/>
        <v>2394289.2788616051</v>
      </c>
      <c r="BF860" s="2">
        <f t="shared" ca="1" si="862"/>
        <v>2805011.982664525</v>
      </c>
      <c r="BG860" s="2">
        <f t="shared" ca="1" si="863"/>
        <v>3129014.7640899154</v>
      </c>
      <c r="BH860" s="2">
        <f t="shared" ca="1" si="864"/>
        <v>3476314.4942088895</v>
      </c>
      <c r="BI860" s="2">
        <f t="shared" ca="1" si="865"/>
        <v>45763630.314371489</v>
      </c>
      <c r="BJ860" s="2">
        <f t="shared" ca="1" si="866"/>
        <v>0.297895037120951</v>
      </c>
      <c r="BK860" s="2">
        <f t="shared" ca="1" si="867"/>
        <v>16185952.728040382</v>
      </c>
    </row>
    <row r="861" spans="1:63" x14ac:dyDescent="0.3">
      <c r="A861" s="2">
        <v>860</v>
      </c>
      <c r="B861" s="2">
        <f t="shared" ca="1" si="806"/>
        <v>0.82697461483298396</v>
      </c>
      <c r="C861" s="2">
        <f t="shared" ca="1" si="807"/>
        <v>7.411739198710273</v>
      </c>
      <c r="D861" s="2">
        <f t="shared" ca="1" si="808"/>
        <v>0.70358625091057569</v>
      </c>
      <c r="E861" s="2">
        <f t="shared" ca="1" si="809"/>
        <v>7.7300470805439803</v>
      </c>
      <c r="F861" s="2">
        <f t="shared" ca="1" si="810"/>
        <v>0.16304113350572702</v>
      </c>
      <c r="G861" s="2">
        <f t="shared" ca="1" si="811"/>
        <v>1.0538929374408309E-2</v>
      </c>
      <c r="H861" s="2">
        <f t="shared" ca="1" si="812"/>
        <v>1.0538929374408309E-2</v>
      </c>
      <c r="I861" s="2">
        <f t="shared" ca="1" si="813"/>
        <v>0.92578081081653063</v>
      </c>
      <c r="J861" s="2">
        <f t="shared" ca="1" si="814"/>
        <v>1.7225347261877119E-2</v>
      </c>
      <c r="K861" s="2">
        <f t="shared" ca="1" si="815"/>
        <v>1.7225347261877119E-2</v>
      </c>
      <c r="L861" s="2">
        <f t="shared" ca="1" si="816"/>
        <v>0.37556683039133087</v>
      </c>
      <c r="M861" s="2">
        <f t="shared" ca="1" si="817"/>
        <v>-6.3428978931142502E-3</v>
      </c>
      <c r="N861" s="2">
        <f t="shared" ca="1" si="818"/>
        <v>-6.3428978931142502E-3</v>
      </c>
      <c r="O861" s="2">
        <f t="shared" si="819"/>
        <v>6000000</v>
      </c>
      <c r="P861" s="2">
        <f t="shared" ca="1" si="820"/>
        <v>44470435.192261636</v>
      </c>
      <c r="Q861" s="2">
        <f t="shared" ca="1" si="821"/>
        <v>1111760.8798065409</v>
      </c>
      <c r="R861" s="2">
        <f t="shared" ca="1" si="822"/>
        <v>26682261.115356982</v>
      </c>
      <c r="S861" s="2">
        <f t="shared" ca="1" si="823"/>
        <v>17788174.076904655</v>
      </c>
      <c r="T861" s="2">
        <f t="shared" ca="1" si="824"/>
        <v>49682855.105344288</v>
      </c>
      <c r="U861" s="2">
        <f t="shared" ca="1" si="825"/>
        <v>50206459.20641847</v>
      </c>
      <c r="V861" s="2">
        <f t="shared" ca="1" si="826"/>
        <v>50735581.534134023</v>
      </c>
      <c r="W861" s="2">
        <f t="shared" ca="1" si="827"/>
        <v>51270280.244691797</v>
      </c>
      <c r="X861" s="2">
        <f t="shared" ca="1" si="828"/>
        <v>51810614.107196726</v>
      </c>
      <c r="Y861" s="2">
        <f t="shared" ca="1" si="829"/>
        <v>0.12861267363093856</v>
      </c>
      <c r="Z861" s="2">
        <f t="shared" ca="1" si="830"/>
        <v>0.13205774308331397</v>
      </c>
      <c r="AA861" s="2">
        <f t="shared" ca="1" si="831"/>
        <v>6389844.8287168546</v>
      </c>
      <c r="AB861" s="2">
        <f t="shared" ca="1" si="832"/>
        <v>6630151.6910040937</v>
      </c>
      <c r="AC861" s="2">
        <f t="shared" ca="1" si="833"/>
        <v>6700026.3914171997</v>
      </c>
      <c r="AD861" s="2">
        <f t="shared" ca="1" si="834"/>
        <v>6770637.4963630168</v>
      </c>
      <c r="AE861" s="2">
        <f t="shared" ca="1" si="835"/>
        <v>6841992.766756908</v>
      </c>
      <c r="AF861" s="2">
        <f t="shared" ca="1" si="836"/>
        <v>993657.10210688575</v>
      </c>
      <c r="AG861" s="2">
        <f t="shared" ca="1" si="837"/>
        <v>1004129.1841283694</v>
      </c>
      <c r="AH861" s="2">
        <f t="shared" ca="1" si="838"/>
        <v>1014711.6306826805</v>
      </c>
      <c r="AI861" s="2">
        <f t="shared" ca="1" si="839"/>
        <v>1025405.604893836</v>
      </c>
      <c r="AJ861" s="2">
        <f t="shared" ca="1" si="840"/>
        <v>1036212.2821439345</v>
      </c>
      <c r="AK861" s="2">
        <f t="shared" ca="1" si="841"/>
        <v>0</v>
      </c>
      <c r="AL861" s="2">
        <f t="shared" ca="1" si="842"/>
        <v>5236.0410107418147</v>
      </c>
      <c r="AM861" s="2">
        <f t="shared" ca="1" si="843"/>
        <v>5291.2232771555337</v>
      </c>
      <c r="AN861" s="2">
        <f t="shared" ca="1" si="844"/>
        <v>5346.9871055777376</v>
      </c>
      <c r="AO861" s="2">
        <f t="shared" ca="1" si="845"/>
        <v>5403.3386250492931</v>
      </c>
      <c r="AP861" s="2">
        <f t="shared" ca="1" si="846"/>
        <v>2401403.5003821282</v>
      </c>
      <c r="AQ861" s="2">
        <f t="shared" ca="1" si="847"/>
        <v>778643.89881923853</v>
      </c>
      <c r="AR861" s="2">
        <f t="shared" ca="1" si="848"/>
        <v>838400.94168833503</v>
      </c>
      <c r="AS861" s="2">
        <f t="shared" ca="1" si="849"/>
        <v>853816.92769162159</v>
      </c>
      <c r="AT861" s="2">
        <f t="shared" ca="1" si="850"/>
        <v>869395.38168263366</v>
      </c>
      <c r="AU861" s="2">
        <f t="shared" ca="1" si="851"/>
        <v>885138.01590001979</v>
      </c>
      <c r="AV861" s="2">
        <f t="shared" ca="1" si="852"/>
        <v>2216140.3274086015</v>
      </c>
      <c r="AW861" s="2">
        <f t="shared" ca="1" si="853"/>
        <v>2380982.0237945197</v>
      </c>
      <c r="AX861" s="2">
        <f t="shared" ca="1" si="854"/>
        <v>2424803.1093836138</v>
      </c>
      <c r="AY861" s="2">
        <f t="shared" ca="1" si="855"/>
        <v>2469086.0222988408</v>
      </c>
      <c r="AZ861" s="2">
        <f t="shared" ca="1" si="856"/>
        <v>2513835.6297057765</v>
      </c>
      <c r="BA861" s="2">
        <f t="shared" ca="1" si="857"/>
        <v>52888926.211772271</v>
      </c>
      <c r="BB861" s="2">
        <f t="shared" ca="1" si="858"/>
        <v>1057778.5242354455</v>
      </c>
      <c r="BC861" s="2">
        <f t="shared" ca="1" si="859"/>
        <v>25148886.572179843</v>
      </c>
      <c r="BD861" s="2">
        <f t="shared" ca="1" si="860"/>
        <v>-19399934.956711195</v>
      </c>
      <c r="BE861" s="2">
        <f t="shared" ca="1" si="861"/>
        <v>2216140.3274086015</v>
      </c>
      <c r="BF861" s="2">
        <f t="shared" ca="1" si="862"/>
        <v>2380982.0237945197</v>
      </c>
      <c r="BG861" s="2">
        <f t="shared" ca="1" si="863"/>
        <v>2424803.1093836138</v>
      </c>
      <c r="BH861" s="2">
        <f t="shared" ca="1" si="864"/>
        <v>2469086.0222988408</v>
      </c>
      <c r="BI861" s="2">
        <f t="shared" ca="1" si="865"/>
        <v>27662722.201885618</v>
      </c>
      <c r="BJ861" s="2">
        <f t="shared" ca="1" si="866"/>
        <v>0.1653059350666799</v>
      </c>
      <c r="BK861" s="2">
        <f t="shared" ca="1" si="867"/>
        <v>3468513.2981537953</v>
      </c>
    </row>
    <row r="862" spans="1:63" x14ac:dyDescent="0.3">
      <c r="A862" s="2">
        <v>861</v>
      </c>
      <c r="B862" s="2">
        <f t="shared" ca="1" si="806"/>
        <v>0.19446802812981412</v>
      </c>
      <c r="C862" s="2">
        <f t="shared" ca="1" si="807"/>
        <v>6.6236473813459238</v>
      </c>
      <c r="D862" s="2">
        <f t="shared" ca="1" si="808"/>
        <v>0.41206603089410199</v>
      </c>
      <c r="E862" s="2">
        <f t="shared" ca="1" si="809"/>
        <v>7.4078171962395318</v>
      </c>
      <c r="F862" s="2">
        <f t="shared" ca="1" si="810"/>
        <v>0.48283216804339713</v>
      </c>
      <c r="G862" s="2">
        <f t="shared" ca="1" si="811"/>
        <v>3.8708600090313905E-2</v>
      </c>
      <c r="H862" s="2">
        <f t="shared" ca="1" si="812"/>
        <v>3.8708600090313905E-2</v>
      </c>
      <c r="I862" s="2">
        <f t="shared" ca="1" si="813"/>
        <v>0.46933558317711188</v>
      </c>
      <c r="J862" s="2">
        <f t="shared" ca="1" si="814"/>
        <v>9.6152993080733593E-3</v>
      </c>
      <c r="K862" s="2">
        <f t="shared" ca="1" si="815"/>
        <v>9.6152993080733593E-3</v>
      </c>
      <c r="L862" s="2">
        <f t="shared" ca="1" si="816"/>
        <v>0.56712674382094652</v>
      </c>
      <c r="M862" s="2">
        <f t="shared" ca="1" si="817"/>
        <v>3.3812746284625052E-3</v>
      </c>
      <c r="N862" s="2">
        <f t="shared" ca="1" si="818"/>
        <v>3.3812746284625052E-3</v>
      </c>
      <c r="O862" s="2">
        <f t="shared" si="819"/>
        <v>6000000</v>
      </c>
      <c r="P862" s="2">
        <f t="shared" ca="1" si="820"/>
        <v>39741884.288075544</v>
      </c>
      <c r="Q862" s="2">
        <f t="shared" ca="1" si="821"/>
        <v>993547.10720188869</v>
      </c>
      <c r="R862" s="2">
        <f t="shared" ca="1" si="822"/>
        <v>23845130.572845325</v>
      </c>
      <c r="S862" s="2">
        <f t="shared" ca="1" si="823"/>
        <v>15896753.715230219</v>
      </c>
      <c r="T862" s="2">
        <f t="shared" ca="1" si="824"/>
        <v>50169063.731423125</v>
      </c>
      <c r="U862" s="2">
        <f t="shared" ca="1" si="825"/>
        <v>52111037.956308253</v>
      </c>
      <c r="V862" s="2">
        <f t="shared" ca="1" si="826"/>
        <v>54128183.284850158</v>
      </c>
      <c r="W862" s="2">
        <f t="shared" ca="1" si="827"/>
        <v>56223409.485238634</v>
      </c>
      <c r="X862" s="2">
        <f t="shared" ca="1" si="828"/>
        <v>58399738.958716698</v>
      </c>
      <c r="Y862" s="2">
        <f t="shared" ca="1" si="829"/>
        <v>0.12480764965403668</v>
      </c>
      <c r="Z862" s="2">
        <f t="shared" ca="1" si="830"/>
        <v>0.12673070951565135</v>
      </c>
      <c r="AA862" s="2">
        <f t="shared" ca="1" si="831"/>
        <v>6261482.9296624959</v>
      </c>
      <c r="AB862" s="2">
        <f t="shared" ca="1" si="832"/>
        <v>6604068.8137999829</v>
      </c>
      <c r="AC862" s="2">
        <f t="shared" ca="1" si="833"/>
        <v>6859703.0724822804</v>
      </c>
      <c r="AD862" s="2">
        <f t="shared" ca="1" si="834"/>
        <v>7125232.5754532944</v>
      </c>
      <c r="AE862" s="2">
        <f t="shared" ca="1" si="835"/>
        <v>7401040.3537669936</v>
      </c>
      <c r="AF862" s="2">
        <f t="shared" ca="1" si="836"/>
        <v>1003381.2746284625</v>
      </c>
      <c r="AG862" s="2">
        <f t="shared" ca="1" si="837"/>
        <v>1042220.7591261651</v>
      </c>
      <c r="AH862" s="2">
        <f t="shared" ca="1" si="838"/>
        <v>1082563.6656970032</v>
      </c>
      <c r="AI862" s="2">
        <f t="shared" ca="1" si="839"/>
        <v>1124468.1897047728</v>
      </c>
      <c r="AJ862" s="2">
        <f t="shared" ca="1" si="840"/>
        <v>1167994.7791743339</v>
      </c>
      <c r="AK862" s="2">
        <f t="shared" ca="1" si="841"/>
        <v>0</v>
      </c>
      <c r="AL862" s="2">
        <f t="shared" ca="1" si="842"/>
        <v>19419.742248851286</v>
      </c>
      <c r="AM862" s="2">
        <f t="shared" ca="1" si="843"/>
        <v>20171.453285419047</v>
      </c>
      <c r="AN862" s="2">
        <f t="shared" ca="1" si="844"/>
        <v>20952.262003884764</v>
      </c>
      <c r="AO862" s="2">
        <f t="shared" ca="1" si="845"/>
        <v>21763.29473478064</v>
      </c>
      <c r="AP862" s="2">
        <f t="shared" ca="1" si="846"/>
        <v>2146061.7515560794</v>
      </c>
      <c r="AQ862" s="2">
        <f t="shared" ca="1" si="847"/>
        <v>809130.37490426807</v>
      </c>
      <c r="AR862" s="2">
        <f t="shared" ca="1" si="848"/>
        <v>888104.43881061208</v>
      </c>
      <c r="AS862" s="2">
        <f t="shared" ca="1" si="849"/>
        <v>944080.19035959162</v>
      </c>
      <c r="AT862" s="2">
        <f t="shared" ca="1" si="850"/>
        <v>1002222.684890035</v>
      </c>
      <c r="AU862" s="2">
        <f t="shared" ca="1" si="851"/>
        <v>1062615.7939895107</v>
      </c>
      <c r="AV862" s="2">
        <f t="shared" ca="1" si="852"/>
        <v>2302909.5285736858</v>
      </c>
      <c r="AW862" s="2">
        <f t="shared" ca="1" si="853"/>
        <v>2508262.1220582756</v>
      </c>
      <c r="AX862" s="2">
        <f t="shared" ca="1" si="854"/>
        <v>2666826.0115841874</v>
      </c>
      <c r="AY862" s="2">
        <f t="shared" ca="1" si="855"/>
        <v>2831527.6872985228</v>
      </c>
      <c r="AZ862" s="2">
        <f t="shared" ca="1" si="856"/>
        <v>3002604.7343122889</v>
      </c>
      <c r="BA862" s="2">
        <f t="shared" ca="1" si="857"/>
        <v>54825554.00269784</v>
      </c>
      <c r="BB862" s="2">
        <f t="shared" ca="1" si="858"/>
        <v>1096511.0800539567</v>
      </c>
      <c r="BC862" s="2">
        <f t="shared" ca="1" si="859"/>
        <v>29883912.34979856</v>
      </c>
      <c r="BD862" s="2">
        <f t="shared" ca="1" si="860"/>
        <v>-17390300.822432108</v>
      </c>
      <c r="BE862" s="2">
        <f t="shared" ca="1" si="861"/>
        <v>2302909.5285736858</v>
      </c>
      <c r="BF862" s="2">
        <f t="shared" ca="1" si="862"/>
        <v>2508262.1220582756</v>
      </c>
      <c r="BG862" s="2">
        <f t="shared" ca="1" si="863"/>
        <v>2666826.0115841874</v>
      </c>
      <c r="BH862" s="2">
        <f t="shared" ca="1" si="864"/>
        <v>2831527.6872985228</v>
      </c>
      <c r="BI862" s="2">
        <f t="shared" ca="1" si="865"/>
        <v>32886517.084110849</v>
      </c>
      <c r="BJ862" s="2">
        <f t="shared" ca="1" si="866"/>
        <v>0.23845775907827704</v>
      </c>
      <c r="BK862" s="2">
        <f t="shared" ca="1" si="867"/>
        <v>9023813.7052623592</v>
      </c>
    </row>
    <row r="863" spans="1:63" x14ac:dyDescent="0.3">
      <c r="A863" s="2">
        <v>862</v>
      </c>
      <c r="B863" s="2">
        <f t="shared" ca="1" si="806"/>
        <v>9.5108125880563499E-2</v>
      </c>
      <c r="C863" s="2">
        <f t="shared" ca="1" si="807"/>
        <v>6.4361378815937993</v>
      </c>
      <c r="D863" s="2">
        <f t="shared" ca="1" si="808"/>
        <v>0.84878829768057928</v>
      </c>
      <c r="E863" s="2">
        <f t="shared" ca="1" si="809"/>
        <v>7.9500696365549164</v>
      </c>
      <c r="F863" s="2">
        <f t="shared" ca="1" si="810"/>
        <v>0.83673535858248371</v>
      </c>
      <c r="G863" s="2">
        <f t="shared" ca="1" si="811"/>
        <v>6.943386076993871E-2</v>
      </c>
      <c r="H863" s="2">
        <f t="shared" ca="1" si="812"/>
        <v>6.943386076993871E-2</v>
      </c>
      <c r="I863" s="2">
        <f t="shared" ca="1" si="813"/>
        <v>7.4824324447695933E-2</v>
      </c>
      <c r="J863" s="2">
        <f t="shared" ca="1" si="814"/>
        <v>2.7961319080215246E-3</v>
      </c>
      <c r="K863" s="2">
        <f t="shared" ca="1" si="815"/>
        <v>2.7961319080215246E-3</v>
      </c>
      <c r="L863" s="2">
        <f t="shared" ca="1" si="816"/>
        <v>0.32132382752054867</v>
      </c>
      <c r="M863" s="2">
        <f t="shared" ca="1" si="817"/>
        <v>-9.280002528846797E-3</v>
      </c>
      <c r="N863" s="2">
        <f t="shared" ca="1" si="818"/>
        <v>-9.280002528846797E-3</v>
      </c>
      <c r="O863" s="2">
        <f t="shared" si="819"/>
        <v>6000000</v>
      </c>
      <c r="P863" s="2">
        <f t="shared" ca="1" si="820"/>
        <v>38616827.289562799</v>
      </c>
      <c r="Q863" s="2">
        <f t="shared" ca="1" si="821"/>
        <v>965420.68223907007</v>
      </c>
      <c r="R863" s="2">
        <f t="shared" ca="1" si="822"/>
        <v>23170096.373737678</v>
      </c>
      <c r="S863" s="2">
        <f t="shared" ca="1" si="823"/>
        <v>15446730.915825121</v>
      </c>
      <c r="T863" s="2">
        <f t="shared" ca="1" si="824"/>
        <v>49535999.873557664</v>
      </c>
      <c r="U863" s="2">
        <f t="shared" ca="1" si="825"/>
        <v>52975475.591877967</v>
      </c>
      <c r="V863" s="2">
        <f t="shared" ca="1" si="826"/>
        <v>56653767.388345711</v>
      </c>
      <c r="W863" s="2">
        <f t="shared" ca="1" si="827"/>
        <v>60587457.185280606</v>
      </c>
      <c r="X863" s="2">
        <f t="shared" ca="1" si="828"/>
        <v>64794278.251888007</v>
      </c>
      <c r="Y863" s="2">
        <f t="shared" ca="1" si="829"/>
        <v>0.12139806595401076</v>
      </c>
      <c r="Z863" s="2">
        <f t="shared" ca="1" si="830"/>
        <v>0.12195729233561506</v>
      </c>
      <c r="AA863" s="2">
        <f t="shared" ca="1" si="831"/>
        <v>6013574.5797480224</v>
      </c>
      <c r="AB863" s="2">
        <f t="shared" ca="1" si="832"/>
        <v>6460745.5633769017</v>
      </c>
      <c r="AC863" s="2">
        <f t="shared" ca="1" si="833"/>
        <v>6909340.0712944129</v>
      </c>
      <c r="AD863" s="2">
        <f t="shared" ca="1" si="834"/>
        <v>7389082.2278168276</v>
      </c>
      <c r="AE863" s="2">
        <f t="shared" ca="1" si="835"/>
        <v>7902134.7344406908</v>
      </c>
      <c r="AF863" s="2">
        <f t="shared" ca="1" si="836"/>
        <v>990719.99747115327</v>
      </c>
      <c r="AG863" s="2">
        <f t="shared" ca="1" si="837"/>
        <v>1059509.5118375593</v>
      </c>
      <c r="AH863" s="2">
        <f t="shared" ca="1" si="838"/>
        <v>1133075.3477669142</v>
      </c>
      <c r="AI863" s="2">
        <f t="shared" ca="1" si="839"/>
        <v>1211749.143705612</v>
      </c>
      <c r="AJ863" s="2">
        <f t="shared" ca="1" si="840"/>
        <v>1295885.5650377602</v>
      </c>
      <c r="AK863" s="2">
        <f t="shared" ca="1" si="841"/>
        <v>0</v>
      </c>
      <c r="AL863" s="2">
        <f t="shared" ca="1" si="842"/>
        <v>34394.75718320303</v>
      </c>
      <c r="AM863" s="2">
        <f t="shared" ca="1" si="843"/>
        <v>36782.917964677436</v>
      </c>
      <c r="AN863" s="2">
        <f t="shared" ca="1" si="844"/>
        <v>39336.897969348953</v>
      </c>
      <c r="AO863" s="2">
        <f t="shared" ca="1" si="845"/>
        <v>42068.21066607401</v>
      </c>
      <c r="AP863" s="2">
        <f t="shared" ca="1" si="846"/>
        <v>2085308.6736363908</v>
      </c>
      <c r="AQ863" s="2">
        <f t="shared" ca="1" si="847"/>
        <v>763761.93624652445</v>
      </c>
      <c r="AR863" s="2">
        <f t="shared" ca="1" si="848"/>
        <v>862141.1182547675</v>
      </c>
      <c r="AS863" s="2">
        <f t="shared" ca="1" si="849"/>
        <v>959648.572971688</v>
      </c>
      <c r="AT863" s="2">
        <f t="shared" ca="1" si="850"/>
        <v>1063926.3467234545</v>
      </c>
      <c r="AU863" s="2">
        <f t="shared" ca="1" si="851"/>
        <v>1175444.5288993004</v>
      </c>
      <c r="AV863" s="2">
        <f t="shared" ca="1" si="852"/>
        <v>2173783.9723939542</v>
      </c>
      <c r="AW863" s="2">
        <f t="shared" ca="1" si="853"/>
        <v>2419391.5024649808</v>
      </c>
      <c r="AX863" s="2">
        <f t="shared" ca="1" si="854"/>
        <v>2694524.5589547427</v>
      </c>
      <c r="AY863" s="2">
        <f t="shared" ca="1" si="855"/>
        <v>2988761.1657820204</v>
      </c>
      <c r="AZ863" s="2">
        <f t="shared" ca="1" si="856"/>
        <v>3303427.7562011657</v>
      </c>
      <c r="BA863" s="2">
        <f t="shared" ca="1" si="857"/>
        <v>62822521.416242883</v>
      </c>
      <c r="BB863" s="2">
        <f t="shared" ca="1" si="858"/>
        <v>1256450.4283248577</v>
      </c>
      <c r="BC863" s="2">
        <f t="shared" ca="1" si="859"/>
        <v>38395974.614180349</v>
      </c>
      <c r="BD863" s="2">
        <f t="shared" ca="1" si="860"/>
        <v>-16912151.598064192</v>
      </c>
      <c r="BE863" s="2">
        <f t="shared" ca="1" si="861"/>
        <v>2173783.9723939542</v>
      </c>
      <c r="BF863" s="2">
        <f t="shared" ca="1" si="862"/>
        <v>2419391.5024649808</v>
      </c>
      <c r="BG863" s="2">
        <f t="shared" ca="1" si="863"/>
        <v>2694524.5589547427</v>
      </c>
      <c r="BH863" s="2">
        <f t="shared" ca="1" si="864"/>
        <v>2988761.1657820204</v>
      </c>
      <c r="BI863" s="2">
        <f t="shared" ca="1" si="865"/>
        <v>41699402.370381512</v>
      </c>
      <c r="BJ863" s="2">
        <f t="shared" ca="1" si="866"/>
        <v>0.29429385737179925</v>
      </c>
      <c r="BK863" s="2">
        <f t="shared" ca="1" si="867"/>
        <v>14436132.925451353</v>
      </c>
    </row>
    <row r="864" spans="1:63" x14ac:dyDescent="0.3">
      <c r="A864" s="2">
        <v>863</v>
      </c>
      <c r="B864" s="2">
        <f t="shared" ca="1" si="806"/>
        <v>0.95547766166069492</v>
      </c>
      <c r="C864" s="2">
        <f t="shared" ca="1" si="807"/>
        <v>7.7015964533075882</v>
      </c>
      <c r="D864" s="2">
        <f t="shared" ca="1" si="808"/>
        <v>0.52254829791567747</v>
      </c>
      <c r="E864" s="2">
        <f t="shared" ca="1" si="809"/>
        <v>7.5228084096920167</v>
      </c>
      <c r="F864" s="2">
        <f t="shared" ca="1" si="810"/>
        <v>0.78525619153930937</v>
      </c>
      <c r="G864" s="2">
        <f t="shared" ca="1" si="811"/>
        <v>6.3702062601539711E-2</v>
      </c>
      <c r="H864" s="2">
        <f t="shared" ca="1" si="812"/>
        <v>6.3702062601539711E-2</v>
      </c>
      <c r="I864" s="2">
        <f t="shared" ca="1" si="813"/>
        <v>0.75468921174893933</v>
      </c>
      <c r="J864" s="2">
        <f t="shared" ca="1" si="814"/>
        <v>1.3446602687750836E-2</v>
      </c>
      <c r="K864" s="2">
        <f t="shared" ca="1" si="815"/>
        <v>1.3446602687750836E-2</v>
      </c>
      <c r="L864" s="2">
        <f t="shared" ca="1" si="816"/>
        <v>0.49266681305380389</v>
      </c>
      <c r="M864" s="2">
        <f t="shared" ca="1" si="817"/>
        <v>-3.6765217999028352E-4</v>
      </c>
      <c r="N864" s="2">
        <f t="shared" ca="1" si="818"/>
        <v>-3.6765217999028352E-4</v>
      </c>
      <c r="O864" s="2">
        <f t="shared" si="819"/>
        <v>6000000</v>
      </c>
      <c r="P864" s="2">
        <f t="shared" ca="1" si="820"/>
        <v>46209578.719845526</v>
      </c>
      <c r="Q864" s="2">
        <f t="shared" ca="1" si="821"/>
        <v>1155239.4679961381</v>
      </c>
      <c r="R864" s="2">
        <f t="shared" ca="1" si="822"/>
        <v>27725747.231907316</v>
      </c>
      <c r="S864" s="2">
        <f t="shared" ca="1" si="823"/>
        <v>18483831.48793821</v>
      </c>
      <c r="T864" s="2">
        <f t="shared" ca="1" si="824"/>
        <v>49981617.391000487</v>
      </c>
      <c r="U864" s="2">
        <f t="shared" ca="1" si="825"/>
        <v>53165549.510968201</v>
      </c>
      <c r="V864" s="2">
        <f t="shared" ca="1" si="826"/>
        <v>56552304.674161151</v>
      </c>
      <c r="W864" s="2">
        <f t="shared" ca="1" si="827"/>
        <v>60154803.126775905</v>
      </c>
      <c r="X864" s="2">
        <f t="shared" ca="1" si="828"/>
        <v>63986788.161341079</v>
      </c>
      <c r="Y864" s="2">
        <f t="shared" ca="1" si="829"/>
        <v>0.12672330134387541</v>
      </c>
      <c r="Z864" s="2">
        <f t="shared" ca="1" si="830"/>
        <v>0.12941262188142558</v>
      </c>
      <c r="AA864" s="2">
        <f t="shared" ca="1" si="831"/>
        <v>6333835.5622940389</v>
      </c>
      <c r="AB864" s="2">
        <f t="shared" ca="1" si="832"/>
        <v>6880293.1559811383</v>
      </c>
      <c r="AC864" s="2">
        <f t="shared" ca="1" si="833"/>
        <v>7318582.0213203933</v>
      </c>
      <c r="AD864" s="2">
        <f t="shared" ca="1" si="834"/>
        <v>7784790.7913970472</v>
      </c>
      <c r="AE864" s="2">
        <f t="shared" ca="1" si="835"/>
        <v>8280698.0217305114</v>
      </c>
      <c r="AF864" s="2">
        <f t="shared" ca="1" si="836"/>
        <v>999632.3478200098</v>
      </c>
      <c r="AG864" s="2">
        <f t="shared" ca="1" si="837"/>
        <v>1063310.9902193639</v>
      </c>
      <c r="AH864" s="2">
        <f t="shared" ca="1" si="838"/>
        <v>1131046.0934832231</v>
      </c>
      <c r="AI864" s="2">
        <f t="shared" ca="1" si="839"/>
        <v>1203096.0625355181</v>
      </c>
      <c r="AJ864" s="2">
        <f t="shared" ca="1" si="840"/>
        <v>1279735.7632268216</v>
      </c>
      <c r="AK864" s="2">
        <f t="shared" ca="1" si="841"/>
        <v>0</v>
      </c>
      <c r="AL864" s="2">
        <f t="shared" ca="1" si="842"/>
        <v>31839.321199677139</v>
      </c>
      <c r="AM864" s="2">
        <f t="shared" ca="1" si="843"/>
        <v>33867.551631929506</v>
      </c>
      <c r="AN864" s="2">
        <f t="shared" ca="1" si="844"/>
        <v>36024.984526147542</v>
      </c>
      <c r="AO864" s="2">
        <f t="shared" ca="1" si="845"/>
        <v>38319.850345651728</v>
      </c>
      <c r="AP864" s="2">
        <f t="shared" ca="1" si="846"/>
        <v>2495317.2508716583</v>
      </c>
      <c r="AQ864" s="2">
        <f t="shared" ca="1" si="847"/>
        <v>738110.3505366164</v>
      </c>
      <c r="AR864" s="2">
        <f t="shared" ca="1" si="848"/>
        <v>863632.87787143025</v>
      </c>
      <c r="AS864" s="2">
        <f t="shared" ca="1" si="849"/>
        <v>959976.85601103329</v>
      </c>
      <c r="AT864" s="2">
        <f t="shared" ca="1" si="850"/>
        <v>1062458.1442773666</v>
      </c>
      <c r="AU864" s="2">
        <f t="shared" ca="1" si="851"/>
        <v>1171467.7019843285</v>
      </c>
      <c r="AV864" s="2">
        <f t="shared" ca="1" si="852"/>
        <v>2100775.6130657541</v>
      </c>
      <c r="AW864" s="2">
        <f t="shared" ca="1" si="853"/>
        <v>2426192.7158190086</v>
      </c>
      <c r="AX864" s="2">
        <f t="shared" ca="1" si="854"/>
        <v>2698374.2693225499</v>
      </c>
      <c r="AY864" s="2">
        <f t="shared" ca="1" si="855"/>
        <v>2987894.3491863571</v>
      </c>
      <c r="AZ864" s="2">
        <f t="shared" ca="1" si="856"/>
        <v>3295857.4553020522</v>
      </c>
      <c r="BA864" s="2">
        <f t="shared" ca="1" si="857"/>
        <v>62294104.715994336</v>
      </c>
      <c r="BB864" s="2">
        <f t="shared" ca="1" si="858"/>
        <v>1245882.0943198868</v>
      </c>
      <c r="BC864" s="2">
        <f t="shared" ca="1" si="859"/>
        <v>33322475.389767133</v>
      </c>
      <c r="BD864" s="2">
        <f t="shared" ca="1" si="860"/>
        <v>-20139070.955934349</v>
      </c>
      <c r="BE864" s="2">
        <f t="shared" ca="1" si="861"/>
        <v>2100775.6130657541</v>
      </c>
      <c r="BF864" s="2">
        <f t="shared" ca="1" si="862"/>
        <v>2426192.7158190086</v>
      </c>
      <c r="BG864" s="2">
        <f t="shared" ca="1" si="863"/>
        <v>2698374.2693225499</v>
      </c>
      <c r="BH864" s="2">
        <f t="shared" ca="1" si="864"/>
        <v>2987894.3491863571</v>
      </c>
      <c r="BI864" s="2">
        <f t="shared" ca="1" si="865"/>
        <v>36618332.845069185</v>
      </c>
      <c r="BJ864" s="2">
        <f t="shared" ca="1" si="866"/>
        <v>0.21411860345711675</v>
      </c>
      <c r="BK864" s="2">
        <f t="shared" ca="1" si="867"/>
        <v>8268503.3838593103</v>
      </c>
    </row>
    <row r="865" spans="1:63" x14ac:dyDescent="0.3">
      <c r="A865" s="2">
        <v>864</v>
      </c>
      <c r="B865" s="2">
        <f t="shared" ca="1" si="806"/>
        <v>2.2138371033287196E-2</v>
      </c>
      <c r="C865" s="2">
        <f t="shared" ca="1" si="807"/>
        <v>6.210420393656543</v>
      </c>
      <c r="D865" s="2">
        <f t="shared" ca="1" si="808"/>
        <v>0.60364969784291078</v>
      </c>
      <c r="E865" s="2">
        <f t="shared" ca="1" si="809"/>
        <v>7.6096626457829712</v>
      </c>
      <c r="F865" s="2">
        <f t="shared" ca="1" si="810"/>
        <v>0.6153917965804937</v>
      </c>
      <c r="G865" s="2">
        <f t="shared" ca="1" si="811"/>
        <v>4.8802000730537559E-2</v>
      </c>
      <c r="H865" s="2">
        <f t="shared" ca="1" si="812"/>
        <v>4.8802000730537559E-2</v>
      </c>
      <c r="I865" s="2">
        <f t="shared" ca="1" si="813"/>
        <v>0.40675697726306903</v>
      </c>
      <c r="J865" s="2">
        <f t="shared" ca="1" si="814"/>
        <v>8.8205237520718998E-3</v>
      </c>
      <c r="K865" s="2">
        <f t="shared" ca="1" si="815"/>
        <v>8.8205237520718998E-3</v>
      </c>
      <c r="L865" s="2">
        <f t="shared" ca="1" si="816"/>
        <v>0.88033327979687126</v>
      </c>
      <c r="M865" s="2">
        <f t="shared" ca="1" si="817"/>
        <v>2.353308974908868E-2</v>
      </c>
      <c r="N865" s="2">
        <f t="shared" ca="1" si="818"/>
        <v>2.353308974908868E-2</v>
      </c>
      <c r="O865" s="2">
        <f t="shared" si="819"/>
        <v>6000000</v>
      </c>
      <c r="P865" s="2">
        <f t="shared" ca="1" si="820"/>
        <v>37262522.361939259</v>
      </c>
      <c r="Q865" s="2">
        <f t="shared" ca="1" si="821"/>
        <v>931563.05904848152</v>
      </c>
      <c r="R865" s="2">
        <f t="shared" ca="1" si="822"/>
        <v>22357513.417163555</v>
      </c>
      <c r="S865" s="2">
        <f t="shared" ca="1" si="823"/>
        <v>14905008.944775704</v>
      </c>
      <c r="T865" s="2">
        <f t="shared" ca="1" si="824"/>
        <v>51176654.487454429</v>
      </c>
      <c r="U865" s="2">
        <f t="shared" ca="1" si="825"/>
        <v>53674177.617137656</v>
      </c>
      <c r="V865" s="2">
        <f t="shared" ca="1" si="826"/>
        <v>56293584.872420214</v>
      </c>
      <c r="W865" s="2">
        <f t="shared" ca="1" si="827"/>
        <v>59040824.442488648</v>
      </c>
      <c r="X865" s="2">
        <f t="shared" ca="1" si="828"/>
        <v>61922134.800062522</v>
      </c>
      <c r="Y865" s="2">
        <f t="shared" ca="1" si="829"/>
        <v>0.12441026187603595</v>
      </c>
      <c r="Z865" s="2">
        <f t="shared" ca="1" si="830"/>
        <v>0.12617436662645032</v>
      </c>
      <c r="AA865" s="2">
        <f t="shared" ca="1" si="831"/>
        <v>6366900.9867236158</v>
      </c>
      <c r="AB865" s="2">
        <f t="shared" ca="1" si="832"/>
        <v>6772305.3650379404</v>
      </c>
      <c r="AC865" s="2">
        <f t="shared" ca="1" si="833"/>
        <v>7102807.4164099451</v>
      </c>
      <c r="AD865" s="2">
        <f t="shared" ca="1" si="834"/>
        <v>7449438.629134452</v>
      </c>
      <c r="AE865" s="2">
        <f t="shared" ca="1" si="835"/>
        <v>7812986.1385555668</v>
      </c>
      <c r="AF865" s="2">
        <f t="shared" ca="1" si="836"/>
        <v>1023533.0897490886</v>
      </c>
      <c r="AG865" s="2">
        <f t="shared" ca="1" si="837"/>
        <v>1073483.5523427532</v>
      </c>
      <c r="AH865" s="2">
        <f t="shared" ca="1" si="838"/>
        <v>1125871.6974484043</v>
      </c>
      <c r="AI865" s="2">
        <f t="shared" ca="1" si="839"/>
        <v>1180816.4888497731</v>
      </c>
      <c r="AJ865" s="2">
        <f t="shared" ca="1" si="840"/>
        <v>1238442.6960012505</v>
      </c>
      <c r="AK865" s="2">
        <f t="shared" ca="1" si="841"/>
        <v>0</v>
      </c>
      <c r="AL865" s="2">
        <f t="shared" ca="1" si="842"/>
        <v>24975.231296832266</v>
      </c>
      <c r="AM865" s="2">
        <f t="shared" ca="1" si="843"/>
        <v>26194.072552825586</v>
      </c>
      <c r="AN865" s="2">
        <f t="shared" ca="1" si="844"/>
        <v>27472.395700684341</v>
      </c>
      <c r="AO865" s="2">
        <f t="shared" ca="1" si="845"/>
        <v>28813.103575738744</v>
      </c>
      <c r="AP865" s="2">
        <f t="shared" ca="1" si="846"/>
        <v>2012176.2075447198</v>
      </c>
      <c r="AQ865" s="2">
        <f t="shared" ca="1" si="847"/>
        <v>866109.83925174992</v>
      </c>
      <c r="AR865" s="2">
        <f t="shared" ca="1" si="848"/>
        <v>958527.85733912163</v>
      </c>
      <c r="AS865" s="2">
        <f t="shared" ca="1" si="849"/>
        <v>1030837.4729683734</v>
      </c>
      <c r="AT865" s="2">
        <f t="shared" ca="1" si="850"/>
        <v>1106675.9425123895</v>
      </c>
      <c r="AU865" s="2">
        <f t="shared" ca="1" si="851"/>
        <v>1186215.4811024952</v>
      </c>
      <c r="AV865" s="2">
        <f t="shared" ca="1" si="852"/>
        <v>2465081.8501780573</v>
      </c>
      <c r="AW865" s="2">
        <f t="shared" ca="1" si="853"/>
        <v>2703142.5165145136</v>
      </c>
      <c r="AX865" s="2">
        <f t="shared" ca="1" si="854"/>
        <v>2907727.965895622</v>
      </c>
      <c r="AY865" s="2">
        <f t="shared" ca="1" si="855"/>
        <v>3122297.5945268851</v>
      </c>
      <c r="AZ865" s="2">
        <f t="shared" ca="1" si="856"/>
        <v>3347338.6503313622</v>
      </c>
      <c r="BA865" s="2">
        <f t="shared" ca="1" si="857"/>
        <v>59454188.770586431</v>
      </c>
      <c r="BB865" s="2">
        <f t="shared" ca="1" si="858"/>
        <v>1189083.7754117285</v>
      </c>
      <c r="BC865" s="2">
        <f t="shared" ca="1" si="859"/>
        <v>35907591.578011155</v>
      </c>
      <c r="BD865" s="2">
        <f t="shared" ca="1" si="860"/>
        <v>-16336572.003824186</v>
      </c>
      <c r="BE865" s="2">
        <f t="shared" ca="1" si="861"/>
        <v>2465081.8501780573</v>
      </c>
      <c r="BF865" s="2">
        <f t="shared" ca="1" si="862"/>
        <v>2703142.5165145136</v>
      </c>
      <c r="BG865" s="2">
        <f t="shared" ca="1" si="863"/>
        <v>2907727.965895622</v>
      </c>
      <c r="BH865" s="2">
        <f t="shared" ca="1" si="864"/>
        <v>3122297.5945268851</v>
      </c>
      <c r="BI865" s="2">
        <f t="shared" ca="1" si="865"/>
        <v>39254930.228342518</v>
      </c>
      <c r="BJ865" s="2">
        <f t="shared" ca="1" si="866"/>
        <v>0.30292667375676463</v>
      </c>
      <c r="BK865" s="2">
        <f t="shared" ca="1" si="867"/>
        <v>14347564.128690336</v>
      </c>
    </row>
    <row r="866" spans="1:63" x14ac:dyDescent="0.3">
      <c r="A866" s="2">
        <v>865</v>
      </c>
      <c r="B866" s="2">
        <f t="shared" ca="1" si="806"/>
        <v>0.11150865403126609</v>
      </c>
      <c r="C866" s="2">
        <f t="shared" ca="1" si="807"/>
        <v>6.4722470836993411</v>
      </c>
      <c r="D866" s="2">
        <f t="shared" ca="1" si="808"/>
        <v>0.90393052159148002</v>
      </c>
      <c r="E866" s="2">
        <f t="shared" ca="1" si="809"/>
        <v>8.0616634206262958</v>
      </c>
      <c r="F866" s="2">
        <f t="shared" ca="1" si="810"/>
        <v>0.56010336365182278</v>
      </c>
      <c r="G866" s="2">
        <f t="shared" ca="1" si="811"/>
        <v>4.4536938532713073E-2</v>
      </c>
      <c r="H866" s="2">
        <f t="shared" ca="1" si="812"/>
        <v>4.4536938532713073E-2</v>
      </c>
      <c r="I866" s="2">
        <f t="shared" ca="1" si="813"/>
        <v>0.41622767494774071</v>
      </c>
      <c r="J866" s="2">
        <f t="shared" ca="1" si="814"/>
        <v>8.9422322445039584E-3</v>
      </c>
      <c r="K866" s="2">
        <f t="shared" ca="1" si="815"/>
        <v>8.9422322445039584E-3</v>
      </c>
      <c r="L866" s="2">
        <f t="shared" ca="1" si="816"/>
        <v>0.34635716547272</v>
      </c>
      <c r="M866" s="2">
        <f t="shared" ca="1" si="817"/>
        <v>-7.9034840236728472E-3</v>
      </c>
      <c r="N866" s="2">
        <f t="shared" ca="1" si="818"/>
        <v>-7.9034840236728472E-3</v>
      </c>
      <c r="O866" s="2">
        <f t="shared" si="819"/>
        <v>6000000</v>
      </c>
      <c r="P866" s="2">
        <f t="shared" ca="1" si="820"/>
        <v>38833482.502196044</v>
      </c>
      <c r="Q866" s="2">
        <f t="shared" ca="1" si="821"/>
        <v>970837.06255490112</v>
      </c>
      <c r="R866" s="2">
        <f t="shared" ca="1" si="822"/>
        <v>23300089.501317624</v>
      </c>
      <c r="S866" s="2">
        <f t="shared" ca="1" si="823"/>
        <v>15533393.000878418</v>
      </c>
      <c r="T866" s="2">
        <f t="shared" ca="1" si="824"/>
        <v>49604825.798816361</v>
      </c>
      <c r="U866" s="2">
        <f t="shared" ca="1" si="825"/>
        <v>51814072.876344182</v>
      </c>
      <c r="V866" s="2">
        <f t="shared" ca="1" si="826"/>
        <v>54121713.055167437</v>
      </c>
      <c r="W866" s="2">
        <f t="shared" ca="1" si="827"/>
        <v>56532128.462790564</v>
      </c>
      <c r="X866" s="2">
        <f t="shared" ca="1" si="828"/>
        <v>59049896.393261306</v>
      </c>
      <c r="Y866" s="2">
        <f t="shared" ca="1" si="829"/>
        <v>0.12447111612225198</v>
      </c>
      <c r="Z866" s="2">
        <f t="shared" ca="1" si="830"/>
        <v>0.12625956257115276</v>
      </c>
      <c r="AA866" s="2">
        <f t="shared" ca="1" si="831"/>
        <v>6174368.0322285518</v>
      </c>
      <c r="AB866" s="2">
        <f t="shared" ca="1" si="832"/>
        <v>6542022.176397047</v>
      </c>
      <c r="AC866" s="2">
        <f t="shared" ca="1" si="833"/>
        <v>6833383.8159468882</v>
      </c>
      <c r="AD866" s="2">
        <f t="shared" ca="1" si="834"/>
        <v>7137721.810928151</v>
      </c>
      <c r="AE866" s="2">
        <f t="shared" ca="1" si="835"/>
        <v>7455614.0884850631</v>
      </c>
      <c r="AF866" s="2">
        <f t="shared" ca="1" si="836"/>
        <v>992096.51597632724</v>
      </c>
      <c r="AG866" s="2">
        <f t="shared" ca="1" si="837"/>
        <v>1036281.4575268837</v>
      </c>
      <c r="AH866" s="2">
        <f t="shared" ca="1" si="838"/>
        <v>1082434.2611033488</v>
      </c>
      <c r="AI866" s="2">
        <f t="shared" ca="1" si="839"/>
        <v>1130642.5692558114</v>
      </c>
      <c r="AJ866" s="2">
        <f t="shared" ca="1" si="840"/>
        <v>1180997.9278652261</v>
      </c>
      <c r="AK866" s="2">
        <f t="shared" ca="1" si="841"/>
        <v>0</v>
      </c>
      <c r="AL866" s="2">
        <f t="shared" ca="1" si="842"/>
        <v>22092.470775278212</v>
      </c>
      <c r="AM866" s="2">
        <f t="shared" ca="1" si="843"/>
        <v>23076.40178823255</v>
      </c>
      <c r="AN866" s="2">
        <f t="shared" ca="1" si="844"/>
        <v>24104.154076231272</v>
      </c>
      <c r="AO866" s="2">
        <f t="shared" ca="1" si="845"/>
        <v>25177.679304707424</v>
      </c>
      <c r="AP866" s="2">
        <f t="shared" ca="1" si="846"/>
        <v>2097008.0551185862</v>
      </c>
      <c r="AQ866" s="2">
        <f t="shared" ca="1" si="847"/>
        <v>802168.499894746</v>
      </c>
      <c r="AR866" s="2">
        <f t="shared" ca="1" si="848"/>
        <v>886270.49257541005</v>
      </c>
      <c r="AS866" s="2">
        <f t="shared" ca="1" si="849"/>
        <v>950024.78992848797</v>
      </c>
      <c r="AT866" s="2">
        <f t="shared" ca="1" si="850"/>
        <v>1016618.508503976</v>
      </c>
      <c r="AU866" s="2">
        <f t="shared" ca="1" si="851"/>
        <v>1086178.1074303254</v>
      </c>
      <c r="AV866" s="2">
        <f t="shared" ca="1" si="852"/>
        <v>2283094.9612388927</v>
      </c>
      <c r="AW866" s="2">
        <f t="shared" ca="1" si="853"/>
        <v>2500369.7004008889</v>
      </c>
      <c r="AX866" s="2">
        <f t="shared" ca="1" si="854"/>
        <v>2680840.3080082322</v>
      </c>
      <c r="AY866" s="2">
        <f t="shared" ca="1" si="855"/>
        <v>2869348.523973546</v>
      </c>
      <c r="AZ866" s="2">
        <f t="shared" ca="1" si="856"/>
        <v>3066252.3187662186</v>
      </c>
      <c r="BA866" s="2">
        <f t="shared" ca="1" si="857"/>
        <v>60104651.375446096</v>
      </c>
      <c r="BB866" s="2">
        <f t="shared" ca="1" si="858"/>
        <v>1202093.0275089219</v>
      </c>
      <c r="BC866" s="2">
        <f t="shared" ca="1" si="859"/>
        <v>35602468.846619554</v>
      </c>
      <c r="BD866" s="2">
        <f t="shared" ca="1" si="860"/>
        <v>-17004230.063433319</v>
      </c>
      <c r="BE866" s="2">
        <f t="shared" ca="1" si="861"/>
        <v>2283094.9612388927</v>
      </c>
      <c r="BF866" s="2">
        <f t="shared" ca="1" si="862"/>
        <v>2500369.7004008889</v>
      </c>
      <c r="BG866" s="2">
        <f t="shared" ca="1" si="863"/>
        <v>2680840.3080082322</v>
      </c>
      <c r="BH866" s="2">
        <f t="shared" ca="1" si="864"/>
        <v>2869348.523973546</v>
      </c>
      <c r="BI866" s="2">
        <f t="shared" ca="1" si="865"/>
        <v>38668721.165385775</v>
      </c>
      <c r="BJ866" s="2">
        <f t="shared" ca="1" si="866"/>
        <v>0.27828407659168319</v>
      </c>
      <c r="BK866" s="2">
        <f t="shared" ca="1" si="867"/>
        <v>12700889.901849426</v>
      </c>
    </row>
    <row r="867" spans="1:63" x14ac:dyDescent="0.3">
      <c r="A867" s="2">
        <v>866</v>
      </c>
      <c r="B867" s="2">
        <f t="shared" ca="1" si="806"/>
        <v>0.69884495810158176</v>
      </c>
      <c r="C867" s="2">
        <f t="shared" ca="1" si="807"/>
        <v>7.2239136106097233</v>
      </c>
      <c r="D867" s="2">
        <f t="shared" ca="1" si="808"/>
        <v>0.78589122248133969</v>
      </c>
      <c r="E867" s="2">
        <f t="shared" ca="1" si="809"/>
        <v>7.8456166604830768</v>
      </c>
      <c r="F867" s="2">
        <f t="shared" ca="1" si="810"/>
        <v>3.0567310300733896E-2</v>
      </c>
      <c r="G867" s="2">
        <f t="shared" ca="1" si="811"/>
        <v>-1.617561670906846E-2</v>
      </c>
      <c r="H867" s="2">
        <f t="shared" ca="1" si="812"/>
        <v>-1.617561670906846E-2</v>
      </c>
      <c r="I867" s="2">
        <f t="shared" ca="1" si="813"/>
        <v>0.20355984169106378</v>
      </c>
      <c r="J867" s="2">
        <f t="shared" ca="1" si="814"/>
        <v>5.8551349806830388E-3</v>
      </c>
      <c r="K867" s="2">
        <f t="shared" ca="1" si="815"/>
        <v>5.8551349806830388E-3</v>
      </c>
      <c r="L867" s="2">
        <f t="shared" ca="1" si="816"/>
        <v>0.9963292299848745</v>
      </c>
      <c r="M867" s="2">
        <f t="shared" ca="1" si="817"/>
        <v>5.3618825315958858E-2</v>
      </c>
      <c r="N867" s="2">
        <f t="shared" ca="1" si="818"/>
        <v>0.05</v>
      </c>
      <c r="O867" s="2">
        <f t="shared" si="819"/>
        <v>6000000</v>
      </c>
      <c r="P867" s="2">
        <f t="shared" ca="1" si="820"/>
        <v>43343481.663658343</v>
      </c>
      <c r="Q867" s="2">
        <f t="shared" ca="1" si="821"/>
        <v>1083587.0415914587</v>
      </c>
      <c r="R867" s="2">
        <f t="shared" ca="1" si="822"/>
        <v>26006088.998195004</v>
      </c>
      <c r="S867" s="2">
        <f t="shared" ca="1" si="823"/>
        <v>17337392.66546334</v>
      </c>
      <c r="T867" s="2">
        <f t="shared" ca="1" si="824"/>
        <v>52500000</v>
      </c>
      <c r="U867" s="2">
        <f t="shared" ca="1" si="825"/>
        <v>51650780.122773908</v>
      </c>
      <c r="V867" s="2">
        <f t="shared" ca="1" si="826"/>
        <v>50815296.900783546</v>
      </c>
      <c r="W867" s="2">
        <f t="shared" ca="1" si="827"/>
        <v>49993328.135158956</v>
      </c>
      <c r="X867" s="2">
        <f t="shared" ca="1" si="828"/>
        <v>49184655.221233942</v>
      </c>
      <c r="Y867" s="2">
        <f t="shared" ca="1" si="829"/>
        <v>0.12292756749034152</v>
      </c>
      <c r="Z867" s="2">
        <f t="shared" ca="1" si="830"/>
        <v>0.12409859448647813</v>
      </c>
      <c r="AA867" s="2">
        <f t="shared" ca="1" si="831"/>
        <v>6453697.2932429295</v>
      </c>
      <c r="AB867" s="2">
        <f t="shared" ca="1" si="832"/>
        <v>6409789.2173663639</v>
      </c>
      <c r="AC867" s="2">
        <f t="shared" ca="1" si="833"/>
        <v>6306106.923800326</v>
      </c>
      <c r="AD867" s="2">
        <f t="shared" ca="1" si="834"/>
        <v>6204101.7552745296</v>
      </c>
      <c r="AE867" s="2">
        <f t="shared" ca="1" si="835"/>
        <v>6103746.5832571499</v>
      </c>
      <c r="AF867" s="2">
        <f t="shared" ca="1" si="836"/>
        <v>1050000</v>
      </c>
      <c r="AG867" s="2">
        <f t="shared" ca="1" si="837"/>
        <v>1033015.6024554782</v>
      </c>
      <c r="AH867" s="2">
        <f t="shared" ca="1" si="838"/>
        <v>1016305.938015671</v>
      </c>
      <c r="AI867" s="2">
        <f t="shared" ca="1" si="839"/>
        <v>999866.5627031792</v>
      </c>
      <c r="AJ867" s="2">
        <f t="shared" ca="1" si="840"/>
        <v>983693.10442467884</v>
      </c>
      <c r="AK867" s="2">
        <f t="shared" ca="1" si="841"/>
        <v>0</v>
      </c>
      <c r="AL867" s="2">
        <f t="shared" ca="1" si="842"/>
        <v>0</v>
      </c>
      <c r="AM867" s="2">
        <f t="shared" ca="1" si="843"/>
        <v>0</v>
      </c>
      <c r="AN867" s="2">
        <f t="shared" ca="1" si="844"/>
        <v>0</v>
      </c>
      <c r="AO867" s="2">
        <f t="shared" ca="1" si="845"/>
        <v>0</v>
      </c>
      <c r="AP867" s="2">
        <f t="shared" ca="1" si="846"/>
        <v>2340548.0098375501</v>
      </c>
      <c r="AQ867" s="2">
        <f t="shared" ca="1" si="847"/>
        <v>796418.81368539867</v>
      </c>
      <c r="AR867" s="2">
        <f t="shared" ca="1" si="848"/>
        <v>789418.65731906728</v>
      </c>
      <c r="AS867" s="2">
        <f t="shared" ca="1" si="849"/>
        <v>766805.7737462474</v>
      </c>
      <c r="AT867" s="2">
        <f t="shared" ca="1" si="850"/>
        <v>744558.66751078807</v>
      </c>
      <c r="AU867" s="2">
        <f t="shared" ca="1" si="851"/>
        <v>722671.42193867953</v>
      </c>
      <c r="AV867" s="2">
        <f t="shared" ca="1" si="852"/>
        <v>2266730.4697199808</v>
      </c>
      <c r="AW867" s="2">
        <f t="shared" ca="1" si="853"/>
        <v>2246806.9477542685</v>
      </c>
      <c r="AX867" s="2">
        <f t="shared" ca="1" si="854"/>
        <v>2182447.2022008579</v>
      </c>
      <c r="AY867" s="2">
        <f t="shared" ca="1" si="855"/>
        <v>2119128.5152230123</v>
      </c>
      <c r="AZ867" s="2">
        <f t="shared" ca="1" si="856"/>
        <v>2056834.0470562419</v>
      </c>
      <c r="BA867" s="2">
        <f t="shared" ca="1" si="857"/>
        <v>47887655.884968951</v>
      </c>
      <c r="BB867" s="2">
        <f t="shared" ca="1" si="858"/>
        <v>957753.1176993791</v>
      </c>
      <c r="BC867" s="2">
        <f t="shared" ca="1" si="859"/>
        <v>20923813.769074567</v>
      </c>
      <c r="BD867" s="2">
        <f t="shared" ca="1" si="860"/>
        <v>-18920979.707054798</v>
      </c>
      <c r="BE867" s="2">
        <f t="shared" ca="1" si="861"/>
        <v>2266730.4697199808</v>
      </c>
      <c r="BF867" s="2">
        <f t="shared" ca="1" si="862"/>
        <v>2246806.9477542685</v>
      </c>
      <c r="BG867" s="2">
        <f t="shared" ca="1" si="863"/>
        <v>2182447.2022008579</v>
      </c>
      <c r="BH867" s="2">
        <f t="shared" ca="1" si="864"/>
        <v>2119128.5152230123</v>
      </c>
      <c r="BI867" s="2">
        <f t="shared" ca="1" si="865"/>
        <v>22980647.816130809</v>
      </c>
      <c r="BJ867" s="2">
        <f t="shared" ca="1" si="866"/>
        <v>0.13189801222664665</v>
      </c>
      <c r="BK867" s="2">
        <f t="shared" ca="1" si="867"/>
        <v>834031.55154863372</v>
      </c>
    </row>
    <row r="868" spans="1:63" x14ac:dyDescent="0.3">
      <c r="A868" s="2">
        <v>867</v>
      </c>
      <c r="B868" s="2">
        <f t="shared" ca="1" si="806"/>
        <v>0.27137136579981447</v>
      </c>
      <c r="C868" s="2">
        <f t="shared" ca="1" si="807"/>
        <v>6.736710751651982</v>
      </c>
      <c r="D868" s="2">
        <f t="shared" ca="1" si="808"/>
        <v>0.80111165863006417</v>
      </c>
      <c r="E868" s="2">
        <f t="shared" ca="1" si="809"/>
        <v>7.8693046038380556</v>
      </c>
      <c r="F868" s="2">
        <f t="shared" ca="1" si="810"/>
        <v>0.71038487434410891</v>
      </c>
      <c r="G868" s="2">
        <f t="shared" ca="1" si="811"/>
        <v>5.6635283009827043E-2</v>
      </c>
      <c r="H868" s="2">
        <f t="shared" ca="1" si="812"/>
        <v>5.6635283009827043E-2</v>
      </c>
      <c r="I868" s="2">
        <f t="shared" ca="1" si="813"/>
        <v>0.14325284030711682</v>
      </c>
      <c r="J868" s="2">
        <f t="shared" ca="1" si="814"/>
        <v>4.6709073259258403E-3</v>
      </c>
      <c r="K868" s="2">
        <f t="shared" ca="1" si="815"/>
        <v>4.6709073259258403E-3</v>
      </c>
      <c r="L868" s="2">
        <f t="shared" ca="1" si="816"/>
        <v>0.99154073104606866</v>
      </c>
      <c r="M868" s="2">
        <f t="shared" ca="1" si="817"/>
        <v>4.7769465874273782E-2</v>
      </c>
      <c r="N868" s="2">
        <f t="shared" ca="1" si="818"/>
        <v>4.7769465874273782E-2</v>
      </c>
      <c r="O868" s="2">
        <f t="shared" si="819"/>
        <v>6000000</v>
      </c>
      <c r="P868" s="2">
        <f t="shared" ca="1" si="820"/>
        <v>40420264.509911895</v>
      </c>
      <c r="Q868" s="2">
        <f t="shared" ca="1" si="821"/>
        <v>1010506.6127477974</v>
      </c>
      <c r="R868" s="2">
        <f t="shared" ca="1" si="822"/>
        <v>24252158.705947135</v>
      </c>
      <c r="S868" s="2">
        <f t="shared" ca="1" si="823"/>
        <v>16168105.803964758</v>
      </c>
      <c r="T868" s="2">
        <f t="shared" ca="1" si="824"/>
        <v>52388473.293713689</v>
      </c>
      <c r="U868" s="2">
        <f t="shared" ca="1" si="825"/>
        <v>55355509.305155933</v>
      </c>
      <c r="V868" s="2">
        <f t="shared" ca="1" si="826"/>
        <v>58490584.240806557</v>
      </c>
      <c r="W868" s="2">
        <f t="shared" ca="1" si="827"/>
        <v>61803215.032694772</v>
      </c>
      <c r="X868" s="2">
        <f t="shared" ca="1" si="828"/>
        <v>65303457.606988639</v>
      </c>
      <c r="Y868" s="2">
        <f t="shared" ca="1" si="829"/>
        <v>0.12233545366296292</v>
      </c>
      <c r="Z868" s="2">
        <f t="shared" ca="1" si="830"/>
        <v>0.12326963512814808</v>
      </c>
      <c r="AA868" s="2">
        <f t="shared" ca="1" si="831"/>
        <v>6408967.6470964812</v>
      </c>
      <c r="AB868" s="2">
        <f t="shared" ca="1" si="832"/>
        <v>6823653.4343793774</v>
      </c>
      <c r="AC868" s="2">
        <f t="shared" ca="1" si="833"/>
        <v>7210112.9777964326</v>
      </c>
      <c r="AD868" s="2">
        <f t="shared" ca="1" si="834"/>
        <v>7618459.766826761</v>
      </c>
      <c r="AE868" s="2">
        <f t="shared" ca="1" si="835"/>
        <v>8049933.3918199753</v>
      </c>
      <c r="AF868" s="2">
        <f t="shared" ca="1" si="836"/>
        <v>1047769.4658742738</v>
      </c>
      <c r="AG868" s="2">
        <f t="shared" ca="1" si="837"/>
        <v>1107110.1861031186</v>
      </c>
      <c r="AH868" s="2">
        <f t="shared" ca="1" si="838"/>
        <v>1169811.6848161311</v>
      </c>
      <c r="AI868" s="2">
        <f t="shared" ca="1" si="839"/>
        <v>1236064.3006538954</v>
      </c>
      <c r="AJ868" s="2">
        <f t="shared" ca="1" si="840"/>
        <v>1306069.1521397729</v>
      </c>
      <c r="AK868" s="2">
        <f t="shared" ca="1" si="841"/>
        <v>0</v>
      </c>
      <c r="AL868" s="2">
        <f t="shared" ca="1" si="842"/>
        <v>29670.360114422441</v>
      </c>
      <c r="AM868" s="2">
        <f t="shared" ca="1" si="843"/>
        <v>31350.749356506243</v>
      </c>
      <c r="AN868" s="2">
        <f t="shared" ca="1" si="844"/>
        <v>33126.30791888215</v>
      </c>
      <c r="AO868" s="2">
        <f t="shared" ca="1" si="845"/>
        <v>35002.425742938671</v>
      </c>
      <c r="AP868" s="2">
        <f t="shared" ca="1" si="846"/>
        <v>2182694.2835352421</v>
      </c>
      <c r="AQ868" s="2">
        <f t="shared" ca="1" si="847"/>
        <v>826411.0133986111</v>
      </c>
      <c r="AR868" s="2">
        <f t="shared" ca="1" si="848"/>
        <v>918800.73083266441</v>
      </c>
      <c r="AS868" s="2">
        <f t="shared" ca="1" si="849"/>
        <v>1002977.8224557154</v>
      </c>
      <c r="AT868" s="2">
        <f t="shared" ca="1" si="850"/>
        <v>1091922.3074857821</v>
      </c>
      <c r="AU868" s="2">
        <f t="shared" ca="1" si="851"/>
        <v>1185904.1885976898</v>
      </c>
      <c r="AV868" s="2">
        <f t="shared" ca="1" si="852"/>
        <v>2352092.8842883548</v>
      </c>
      <c r="AW868" s="2">
        <f t="shared" ca="1" si="853"/>
        <v>2585377.8737939298</v>
      </c>
      <c r="AX868" s="2">
        <f t="shared" ca="1" si="854"/>
        <v>2823278.4376328373</v>
      </c>
      <c r="AY868" s="2">
        <f t="shared" ca="1" si="855"/>
        <v>3074652.567232959</v>
      </c>
      <c r="AZ868" s="2">
        <f t="shared" ca="1" si="856"/>
        <v>3340263.3418043312</v>
      </c>
      <c r="BA868" s="2">
        <f t="shared" ca="1" si="857"/>
        <v>63347377.900838628</v>
      </c>
      <c r="BB868" s="2">
        <f t="shared" ca="1" si="858"/>
        <v>1266947.5580167726</v>
      </c>
      <c r="BC868" s="2">
        <f t="shared" ca="1" si="859"/>
        <v>37828271.636874728</v>
      </c>
      <c r="BD868" s="2">
        <f t="shared" ca="1" si="860"/>
        <v>-17678612.416712556</v>
      </c>
      <c r="BE868" s="2">
        <f t="shared" ca="1" si="861"/>
        <v>2352092.8842883548</v>
      </c>
      <c r="BF868" s="2">
        <f t="shared" ca="1" si="862"/>
        <v>2585377.8737939298</v>
      </c>
      <c r="BG868" s="2">
        <f t="shared" ca="1" si="863"/>
        <v>2823278.4376328373</v>
      </c>
      <c r="BH868" s="2">
        <f t="shared" ca="1" si="864"/>
        <v>3074652.567232959</v>
      </c>
      <c r="BI868" s="2">
        <f t="shared" ca="1" si="865"/>
        <v>41168534.978679061</v>
      </c>
      <c r="BJ868" s="2">
        <f t="shared" ca="1" si="866"/>
        <v>0.28368931048470225</v>
      </c>
      <c r="BK868" s="2">
        <f t="shared" ca="1" si="867"/>
        <v>13806201.40260011</v>
      </c>
    </row>
    <row r="869" spans="1:63" x14ac:dyDescent="0.3">
      <c r="A869" s="2">
        <v>868</v>
      </c>
      <c r="B869" s="2">
        <f t="shared" ca="1" si="806"/>
        <v>0.38173165754144023</v>
      </c>
      <c r="C869" s="2">
        <f t="shared" ca="1" si="807"/>
        <v>6.8737638783349198</v>
      </c>
      <c r="D869" s="2">
        <f t="shared" ca="1" si="808"/>
        <v>0.81880340545085761</v>
      </c>
      <c r="E869" s="2">
        <f t="shared" ca="1" si="809"/>
        <v>7.8980089792212143</v>
      </c>
      <c r="F869" s="2">
        <f t="shared" ca="1" si="810"/>
        <v>0.99758299218980984</v>
      </c>
      <c r="G869" s="2">
        <f t="shared" ca="1" si="811"/>
        <v>0.1245367421654309</v>
      </c>
      <c r="H869" s="2">
        <f t="shared" ca="1" si="812"/>
        <v>0.12</v>
      </c>
      <c r="I869" s="2">
        <f t="shared" ca="1" si="813"/>
        <v>0.35408190054024891</v>
      </c>
      <c r="J869" s="2">
        <f t="shared" ca="1" si="814"/>
        <v>8.1283835129020085E-3</v>
      </c>
      <c r="K869" s="2">
        <f t="shared" ca="1" si="815"/>
        <v>8.1283835129020085E-3</v>
      </c>
      <c r="L869" s="2">
        <f t="shared" ca="1" si="816"/>
        <v>0.76979005465088579</v>
      </c>
      <c r="M869" s="2">
        <f t="shared" ca="1" si="817"/>
        <v>1.476311231164224E-2</v>
      </c>
      <c r="N869" s="2">
        <f t="shared" ca="1" si="818"/>
        <v>1.476311231164224E-2</v>
      </c>
      <c r="O869" s="2">
        <f t="shared" si="819"/>
        <v>6000000</v>
      </c>
      <c r="P869" s="2">
        <f t="shared" ca="1" si="820"/>
        <v>41242583.270009518</v>
      </c>
      <c r="Q869" s="2">
        <f t="shared" ca="1" si="821"/>
        <v>1031064.581750238</v>
      </c>
      <c r="R869" s="2">
        <f t="shared" ca="1" si="822"/>
        <v>24745549.962005708</v>
      </c>
      <c r="S869" s="2">
        <f t="shared" ca="1" si="823"/>
        <v>16497033.308003807</v>
      </c>
      <c r="T869" s="2">
        <f t="shared" ca="1" si="824"/>
        <v>50738155.615582116</v>
      </c>
      <c r="U869" s="2">
        <f t="shared" ca="1" si="825"/>
        <v>56826734.289451972</v>
      </c>
      <c r="V869" s="2">
        <f t="shared" ca="1" si="826"/>
        <v>63645942.404186212</v>
      </c>
      <c r="W869" s="2">
        <f t="shared" ca="1" si="827"/>
        <v>71283455.492688566</v>
      </c>
      <c r="X869" s="2">
        <f t="shared" ca="1" si="828"/>
        <v>79837470.151811197</v>
      </c>
      <c r="Y869" s="2">
        <f t="shared" ca="1" si="829"/>
        <v>0.124064191756451</v>
      </c>
      <c r="Z869" s="2">
        <f t="shared" ca="1" si="830"/>
        <v>0.12568986845903141</v>
      </c>
      <c r="AA869" s="2">
        <f t="shared" ca="1" si="831"/>
        <v>6294788.2676602313</v>
      </c>
      <c r="AB869" s="2">
        <f t="shared" ca="1" si="832"/>
        <v>7142544.7577975476</v>
      </c>
      <c r="AC869" s="2">
        <f t="shared" ca="1" si="833"/>
        <v>7999650.128733254</v>
      </c>
      <c r="AD869" s="2">
        <f t="shared" ca="1" si="834"/>
        <v>8959608.1441812459</v>
      </c>
      <c r="AE869" s="2">
        <f t="shared" ca="1" si="835"/>
        <v>10034761.121482996</v>
      </c>
      <c r="AF869" s="2">
        <f t="shared" ca="1" si="836"/>
        <v>1014763.1123116424</v>
      </c>
      <c r="AG869" s="2">
        <f t="shared" ca="1" si="837"/>
        <v>1136534.6857890394</v>
      </c>
      <c r="AH869" s="2">
        <f t="shared" ca="1" si="838"/>
        <v>1272918.8480837243</v>
      </c>
      <c r="AI869" s="2">
        <f t="shared" ca="1" si="839"/>
        <v>1425669.1098537713</v>
      </c>
      <c r="AJ869" s="2">
        <f t="shared" ca="1" si="840"/>
        <v>1596749.403036224</v>
      </c>
      <c r="AK869" s="2">
        <f t="shared" ca="1" si="841"/>
        <v>0</v>
      </c>
      <c r="AL869" s="2">
        <f t="shared" ca="1" si="842"/>
        <v>60885.78673869856</v>
      </c>
      <c r="AM869" s="2">
        <f t="shared" ca="1" si="843"/>
        <v>68192.081147342396</v>
      </c>
      <c r="AN869" s="2">
        <f t="shared" ca="1" si="844"/>
        <v>76375.130885023551</v>
      </c>
      <c r="AO869" s="2">
        <f t="shared" ca="1" si="845"/>
        <v>85540.146591226308</v>
      </c>
      <c r="AP869" s="2">
        <f t="shared" ca="1" si="846"/>
        <v>2227099.4965805137</v>
      </c>
      <c r="AQ869" s="2">
        <f t="shared" ca="1" si="847"/>
        <v>793760.67127969954</v>
      </c>
      <c r="AR869" s="2">
        <f t="shared" ca="1" si="848"/>
        <v>982516.74961127865</v>
      </c>
      <c r="AS869" s="2">
        <f t="shared" ca="1" si="849"/>
        <v>1169904.2638579444</v>
      </c>
      <c r="AT869" s="2">
        <f t="shared" ca="1" si="850"/>
        <v>1379778.2798142098</v>
      </c>
      <c r="AU869" s="2">
        <f t="shared" ca="1" si="851"/>
        <v>1614837.1776852275</v>
      </c>
      <c r="AV869" s="2">
        <f t="shared" ca="1" si="852"/>
        <v>2259164.9874883755</v>
      </c>
      <c r="AW869" s="2">
        <f t="shared" ca="1" si="853"/>
        <v>2735508.0390780172</v>
      </c>
      <c r="AX869" s="2">
        <f t="shared" ca="1" si="854"/>
        <v>3261535.4390637293</v>
      </c>
      <c r="AY869" s="2">
        <f t="shared" ca="1" si="855"/>
        <v>3850686.1270477274</v>
      </c>
      <c r="AZ869" s="2">
        <f t="shared" ca="1" si="856"/>
        <v>4510534.8975898046</v>
      </c>
      <c r="BA869" s="2">
        <f t="shared" ca="1" si="857"/>
        <v>79254633.441812649</v>
      </c>
      <c r="BB869" s="2">
        <f t="shared" ca="1" si="858"/>
        <v>1585092.668836253</v>
      </c>
      <c r="BC869" s="2">
        <f t="shared" ca="1" si="859"/>
        <v>52923990.810970694</v>
      </c>
      <c r="BD869" s="2">
        <f t="shared" ca="1" si="860"/>
        <v>-18028097.889754046</v>
      </c>
      <c r="BE869" s="2">
        <f t="shared" ca="1" si="861"/>
        <v>2259164.9874883755</v>
      </c>
      <c r="BF869" s="2">
        <f t="shared" ca="1" si="862"/>
        <v>2735508.0390780172</v>
      </c>
      <c r="BG869" s="2">
        <f t="shared" ca="1" si="863"/>
        <v>3261535.4390637293</v>
      </c>
      <c r="BH869" s="2">
        <f t="shared" ca="1" si="864"/>
        <v>3850686.1270477274</v>
      </c>
      <c r="BI869" s="2">
        <f t="shared" ca="1" si="865"/>
        <v>57434525.708560497</v>
      </c>
      <c r="BJ869" s="2">
        <f t="shared" ca="1" si="866"/>
        <v>0.35780555117599722</v>
      </c>
      <c r="BK869" s="2">
        <f t="shared" ca="1" si="867"/>
        <v>23528313.450530361</v>
      </c>
    </row>
    <row r="870" spans="1:63" x14ac:dyDescent="0.3">
      <c r="A870" s="2">
        <v>869</v>
      </c>
      <c r="B870" s="2">
        <f t="shared" ca="1" si="806"/>
        <v>0.8512010409434756</v>
      </c>
      <c r="C870" s="2">
        <f t="shared" ca="1" si="807"/>
        <v>7.4544746402658726</v>
      </c>
      <c r="D870" s="2">
        <f t="shared" ca="1" si="808"/>
        <v>0.7220188242215495</v>
      </c>
      <c r="E870" s="2">
        <f t="shared" ca="1" si="809"/>
        <v>7.7543711703824076</v>
      </c>
      <c r="F870" s="2">
        <f t="shared" ca="1" si="810"/>
        <v>0.65113663582999637</v>
      </c>
      <c r="G870" s="2">
        <f t="shared" ca="1" si="811"/>
        <v>5.1651728992074181E-2</v>
      </c>
      <c r="H870" s="2">
        <f t="shared" ca="1" si="812"/>
        <v>5.1651728992074181E-2</v>
      </c>
      <c r="I870" s="2">
        <f t="shared" ca="1" si="813"/>
        <v>4.4127239499252568E-2</v>
      </c>
      <c r="J870" s="2">
        <f t="shared" ca="1" si="814"/>
        <v>1.4766095679985373E-3</v>
      </c>
      <c r="K870" s="2">
        <f t="shared" ca="1" si="815"/>
        <v>1.4766095679985373E-3</v>
      </c>
      <c r="L870" s="2">
        <f t="shared" ca="1" si="816"/>
        <v>0.54266088457738448</v>
      </c>
      <c r="M870" s="2">
        <f t="shared" ca="1" si="817"/>
        <v>2.1427920215141669E-3</v>
      </c>
      <c r="N870" s="2">
        <f t="shared" ca="1" si="818"/>
        <v>2.1427920215141669E-3</v>
      </c>
      <c r="O870" s="2">
        <f t="shared" si="819"/>
        <v>6000000</v>
      </c>
      <c r="P870" s="2">
        <f t="shared" ca="1" si="820"/>
        <v>44726847.841595232</v>
      </c>
      <c r="Q870" s="2">
        <f t="shared" ca="1" si="821"/>
        <v>1118171.1960398809</v>
      </c>
      <c r="R870" s="2">
        <f t="shared" ca="1" si="822"/>
        <v>26836108.704957139</v>
      </c>
      <c r="S870" s="2">
        <f t="shared" ca="1" si="823"/>
        <v>17890739.136638094</v>
      </c>
      <c r="T870" s="2">
        <f t="shared" ca="1" si="824"/>
        <v>50107139.601075709</v>
      </c>
      <c r="U870" s="2">
        <f t="shared" ca="1" si="825"/>
        <v>52695259.996318497</v>
      </c>
      <c r="V870" s="2">
        <f t="shared" ca="1" si="826"/>
        <v>55417061.284815229</v>
      </c>
      <c r="W870" s="2">
        <f t="shared" ca="1" si="827"/>
        <v>58279448.31583567</v>
      </c>
      <c r="X870" s="2">
        <f t="shared" ca="1" si="828"/>
        <v>61289682.586052805</v>
      </c>
      <c r="Y870" s="2">
        <f t="shared" ca="1" si="829"/>
        <v>0.12073830478399926</v>
      </c>
      <c r="Z870" s="2">
        <f t="shared" ca="1" si="830"/>
        <v>0.12103362669759897</v>
      </c>
      <c r="AA870" s="2">
        <f t="shared" ca="1" si="831"/>
        <v>6049851.0930090779</v>
      </c>
      <c r="AB870" s="2">
        <f t="shared" ca="1" si="832"/>
        <v>6377898.4271273334</v>
      </c>
      <c r="AC870" s="2">
        <f t="shared" ca="1" si="833"/>
        <v>6707327.9082242912</v>
      </c>
      <c r="AD870" s="2">
        <f t="shared" ca="1" si="834"/>
        <v>7053772.9916008674</v>
      </c>
      <c r="AE870" s="2">
        <f t="shared" ca="1" si="835"/>
        <v>7418112.5625346471</v>
      </c>
      <c r="AF870" s="2">
        <f t="shared" ca="1" si="836"/>
        <v>1002142.7920215141</v>
      </c>
      <c r="AG870" s="2">
        <f t="shared" ca="1" si="837"/>
        <v>1053905.1999263701</v>
      </c>
      <c r="AH870" s="2">
        <f t="shared" ca="1" si="838"/>
        <v>1108341.2256963046</v>
      </c>
      <c r="AI870" s="2">
        <f t="shared" ca="1" si="839"/>
        <v>1165588.9663167135</v>
      </c>
      <c r="AJ870" s="2">
        <f t="shared" ca="1" si="840"/>
        <v>1225793.6517210561</v>
      </c>
      <c r="AK870" s="2">
        <f t="shared" ca="1" si="841"/>
        <v>0</v>
      </c>
      <c r="AL870" s="2">
        <f t="shared" ca="1" si="842"/>
        <v>25881.203952427881</v>
      </c>
      <c r="AM870" s="2">
        <f t="shared" ca="1" si="843"/>
        <v>27218.012884967327</v>
      </c>
      <c r="AN870" s="2">
        <f t="shared" ca="1" si="844"/>
        <v>28623.870310204402</v>
      </c>
      <c r="AO870" s="2">
        <f t="shared" ca="1" si="845"/>
        <v>30102.342702171358</v>
      </c>
      <c r="AP870" s="2">
        <f t="shared" ca="1" si="846"/>
        <v>2415249.7834461424</v>
      </c>
      <c r="AQ870" s="2">
        <f t="shared" ca="1" si="847"/>
        <v>684439.21456076961</v>
      </c>
      <c r="AR870" s="2">
        <f t="shared" ca="1" si="848"/>
        <v>756273.29537625355</v>
      </c>
      <c r="AS870" s="2">
        <f t="shared" ca="1" si="849"/>
        <v>827771.59376127948</v>
      </c>
      <c r="AT870" s="2">
        <f t="shared" ca="1" si="850"/>
        <v>902962.90287788317</v>
      </c>
      <c r="AU870" s="2">
        <f t="shared" ca="1" si="851"/>
        <v>982037.9731155365</v>
      </c>
      <c r="AV870" s="2">
        <f t="shared" ca="1" si="852"/>
        <v>1948019.3029806521</v>
      </c>
      <c r="AW870" s="2">
        <f t="shared" ca="1" si="853"/>
        <v>2126588.9444261398</v>
      </c>
      <c r="AX870" s="2">
        <f t="shared" ca="1" si="854"/>
        <v>2328747.2924355976</v>
      </c>
      <c r="AY870" s="2">
        <f t="shared" ca="1" si="855"/>
        <v>2541347.4686499247</v>
      </c>
      <c r="AZ870" s="2">
        <f t="shared" ca="1" si="856"/>
        <v>2764928.8115497399</v>
      </c>
      <c r="BA870" s="2">
        <f t="shared" ca="1" si="857"/>
        <v>57522798.193570234</v>
      </c>
      <c r="BB870" s="2">
        <f t="shared" ca="1" si="858"/>
        <v>1150455.9638714048</v>
      </c>
      <c r="BC870" s="2">
        <f t="shared" ca="1" si="859"/>
        <v>29536233.524741691</v>
      </c>
      <c r="BD870" s="2">
        <f t="shared" ca="1" si="860"/>
        <v>-19508910.332677975</v>
      </c>
      <c r="BE870" s="2">
        <f t="shared" ca="1" si="861"/>
        <v>1948019.3029806521</v>
      </c>
      <c r="BF870" s="2">
        <f t="shared" ca="1" si="862"/>
        <v>2126588.9444261398</v>
      </c>
      <c r="BG870" s="2">
        <f t="shared" ca="1" si="863"/>
        <v>2328747.2924355976</v>
      </c>
      <c r="BH870" s="2">
        <f t="shared" ca="1" si="864"/>
        <v>2541347.4686499247</v>
      </c>
      <c r="BI870" s="2">
        <f t="shared" ca="1" si="865"/>
        <v>32301162.336291432</v>
      </c>
      <c r="BJ870" s="2">
        <f t="shared" ca="1" si="866"/>
        <v>0.18731405405641732</v>
      </c>
      <c r="BK870" s="2">
        <f t="shared" ca="1" si="867"/>
        <v>5526871.8682539873</v>
      </c>
    </row>
    <row r="871" spans="1:63" x14ac:dyDescent="0.3">
      <c r="A871" s="2">
        <v>870</v>
      </c>
      <c r="B871" s="2">
        <f t="shared" ca="1" si="806"/>
        <v>0.15555979262513375</v>
      </c>
      <c r="C871" s="2">
        <f t="shared" ca="1" si="807"/>
        <v>6.5577809473711586</v>
      </c>
      <c r="D871" s="2">
        <f t="shared" ca="1" si="808"/>
        <v>0.71035597626528313</v>
      </c>
      <c r="E871" s="2">
        <f t="shared" ca="1" si="809"/>
        <v>7.7388902526774253</v>
      </c>
      <c r="F871" s="2">
        <f t="shared" ca="1" si="810"/>
        <v>0.44500403680038281</v>
      </c>
      <c r="G871" s="2">
        <f t="shared" ca="1" si="811"/>
        <v>3.5851180240890838E-2</v>
      </c>
      <c r="H871" s="2">
        <f t="shared" ca="1" si="812"/>
        <v>3.5851180240890838E-2</v>
      </c>
      <c r="I871" s="2">
        <f t="shared" ca="1" si="813"/>
        <v>0.66926587171360075</v>
      </c>
      <c r="J871" s="2">
        <f t="shared" ca="1" si="814"/>
        <v>1.2189434608629144E-2</v>
      </c>
      <c r="K871" s="2">
        <f t="shared" ca="1" si="815"/>
        <v>1.2189434608629144E-2</v>
      </c>
      <c r="L871" s="2">
        <f t="shared" ca="1" si="816"/>
        <v>0.47206836644378625</v>
      </c>
      <c r="M871" s="2">
        <f t="shared" ca="1" si="817"/>
        <v>-1.401430445922196E-3</v>
      </c>
      <c r="N871" s="2">
        <f t="shared" ca="1" si="818"/>
        <v>-1.401430445922196E-3</v>
      </c>
      <c r="O871" s="2">
        <f t="shared" si="819"/>
        <v>6000000</v>
      </c>
      <c r="P871" s="2">
        <f t="shared" ca="1" si="820"/>
        <v>39346685.684226952</v>
      </c>
      <c r="Q871" s="2">
        <f t="shared" ca="1" si="821"/>
        <v>983667.14210567391</v>
      </c>
      <c r="R871" s="2">
        <f t="shared" ca="1" si="822"/>
        <v>23608011.41053617</v>
      </c>
      <c r="S871" s="2">
        <f t="shared" ca="1" si="823"/>
        <v>15738674.273690782</v>
      </c>
      <c r="T871" s="2">
        <f t="shared" ca="1" si="824"/>
        <v>49929928.477703892</v>
      </c>
      <c r="U871" s="2">
        <f t="shared" ca="1" si="825"/>
        <v>51719975.342972837</v>
      </c>
      <c r="V871" s="2">
        <f t="shared" ca="1" si="826"/>
        <v>53574197.501048177</v>
      </c>
      <c r="W871" s="2">
        <f t="shared" ca="1" si="827"/>
        <v>55494895.71191933</v>
      </c>
      <c r="X871" s="2">
        <f t="shared" ca="1" si="828"/>
        <v>57484453.220536783</v>
      </c>
      <c r="Y871" s="2">
        <f t="shared" ca="1" si="829"/>
        <v>0.12609471730431457</v>
      </c>
      <c r="Z871" s="2">
        <f t="shared" ca="1" si="830"/>
        <v>0.1285326042260404</v>
      </c>
      <c r="AA871" s="2">
        <f t="shared" ca="1" si="831"/>
        <v>6295900.2164207175</v>
      </c>
      <c r="AB871" s="2">
        <f t="shared" ca="1" si="832"/>
        <v>6647703.1213388955</v>
      </c>
      <c r="AC871" s="2">
        <f t="shared" ca="1" si="833"/>
        <v>6886031.1241299482</v>
      </c>
      <c r="AD871" s="2">
        <f t="shared" ca="1" si="834"/>
        <v>7132903.4671055144</v>
      </c>
      <c r="AE871" s="2">
        <f t="shared" ca="1" si="835"/>
        <v>7388626.474945588</v>
      </c>
      <c r="AF871" s="2">
        <f t="shared" ca="1" si="836"/>
        <v>998598.56955407781</v>
      </c>
      <c r="AG871" s="2">
        <f t="shared" ca="1" si="837"/>
        <v>1034399.5068594568</v>
      </c>
      <c r="AH871" s="2">
        <f t="shared" ca="1" si="838"/>
        <v>1071483.9500209636</v>
      </c>
      <c r="AI871" s="2">
        <f t="shared" ca="1" si="839"/>
        <v>1109897.9142383866</v>
      </c>
      <c r="AJ871" s="2">
        <f t="shared" ca="1" si="840"/>
        <v>1149689.0644107356</v>
      </c>
      <c r="AK871" s="2">
        <f t="shared" ca="1" si="841"/>
        <v>0</v>
      </c>
      <c r="AL871" s="2">
        <f t="shared" ca="1" si="842"/>
        <v>17900.468652689458</v>
      </c>
      <c r="AM871" s="2">
        <f t="shared" ca="1" si="843"/>
        <v>18542.221580753401</v>
      </c>
      <c r="AN871" s="2">
        <f t="shared" ca="1" si="844"/>
        <v>19206.982108711527</v>
      </c>
      <c r="AO871" s="2">
        <f t="shared" ca="1" si="845"/>
        <v>19895.575086174533</v>
      </c>
      <c r="AP871" s="2">
        <f t="shared" ca="1" si="846"/>
        <v>2124721.026948255</v>
      </c>
      <c r="AQ871" s="2">
        <f t="shared" ca="1" si="847"/>
        <v>824870.96117878018</v>
      </c>
      <c r="AR871" s="2">
        <f t="shared" ca="1" si="848"/>
        <v>907031.4727581077</v>
      </c>
      <c r="AS871" s="2">
        <f t="shared" ca="1" si="849"/>
        <v>959354.79826178984</v>
      </c>
      <c r="AT871" s="2">
        <f t="shared" ca="1" si="850"/>
        <v>1013553.9767389069</v>
      </c>
      <c r="AU871" s="2">
        <f t="shared" ca="1" si="851"/>
        <v>1069696.2597325153</v>
      </c>
      <c r="AV871" s="2">
        <f t="shared" ca="1" si="852"/>
        <v>2347709.6587396045</v>
      </c>
      <c r="AW871" s="2">
        <f t="shared" ca="1" si="853"/>
        <v>2563650.6461203857</v>
      </c>
      <c r="AX871" s="2">
        <f t="shared" ca="1" si="854"/>
        <v>2711929.1273181872</v>
      </c>
      <c r="AY871" s="2">
        <f t="shared" ca="1" si="855"/>
        <v>2865523.5670712548</v>
      </c>
      <c r="AZ871" s="2">
        <f t="shared" ca="1" si="856"/>
        <v>3024624.5487679071</v>
      </c>
      <c r="BA871" s="2">
        <f t="shared" ca="1" si="857"/>
        <v>57179769.407630779</v>
      </c>
      <c r="BB871" s="2">
        <f t="shared" ca="1" si="858"/>
        <v>1143595.3881526156</v>
      </c>
      <c r="BC871" s="2">
        <f t="shared" ca="1" si="859"/>
        <v>32428162.608941995</v>
      </c>
      <c r="BD871" s="2">
        <f t="shared" ca="1" si="860"/>
        <v>-17222341.415796459</v>
      </c>
      <c r="BE871" s="2">
        <f t="shared" ca="1" si="861"/>
        <v>2347709.6587396045</v>
      </c>
      <c r="BF871" s="2">
        <f t="shared" ca="1" si="862"/>
        <v>2563650.6461203857</v>
      </c>
      <c r="BG871" s="2">
        <f t="shared" ca="1" si="863"/>
        <v>2711929.1273181872</v>
      </c>
      <c r="BH871" s="2">
        <f t="shared" ca="1" si="864"/>
        <v>2865523.5670712548</v>
      </c>
      <c r="BI871" s="2">
        <f t="shared" ca="1" si="865"/>
        <v>35452787.157709904</v>
      </c>
      <c r="BJ871" s="2">
        <f t="shared" ca="1" si="866"/>
        <v>0.25840636458672472</v>
      </c>
      <c r="BK871" s="2">
        <f t="shared" ca="1" si="867"/>
        <v>10785807.682254683</v>
      </c>
    </row>
    <row r="872" spans="1:63" x14ac:dyDescent="0.3">
      <c r="A872" s="2">
        <v>871</v>
      </c>
      <c r="B872" s="2">
        <f t="shared" ca="1" si="806"/>
        <v>0.1685966631945659</v>
      </c>
      <c r="C872" s="2">
        <f t="shared" ca="1" si="807"/>
        <v>6.5806834993256924</v>
      </c>
      <c r="D872" s="2">
        <f t="shared" ca="1" si="808"/>
        <v>0.86275563866100602</v>
      </c>
      <c r="E872" s="2">
        <f t="shared" ca="1" si="809"/>
        <v>7.9760832865063493</v>
      </c>
      <c r="F872" s="2">
        <f t="shared" ca="1" si="810"/>
        <v>0.84674432431195046</v>
      </c>
      <c r="G872" s="2">
        <f t="shared" ca="1" si="811"/>
        <v>7.0677090400266887E-2</v>
      </c>
      <c r="H872" s="2">
        <f t="shared" ca="1" si="812"/>
        <v>7.0677090400266887E-2</v>
      </c>
      <c r="I872" s="2">
        <f t="shared" ca="1" si="813"/>
        <v>0.18148182490666698</v>
      </c>
      <c r="J872" s="2">
        <f t="shared" ca="1" si="814"/>
        <v>5.4513379716276348E-3</v>
      </c>
      <c r="K872" s="2">
        <f t="shared" ca="1" si="815"/>
        <v>5.4513379716276348E-3</v>
      </c>
      <c r="L872" s="2">
        <f t="shared" ca="1" si="816"/>
        <v>0.11395371663920628</v>
      </c>
      <c r="M872" s="2">
        <f t="shared" ca="1" si="817"/>
        <v>-2.4115335315683328E-2</v>
      </c>
      <c r="N872" s="2">
        <f t="shared" ca="1" si="818"/>
        <v>-2.4115335315683328E-2</v>
      </c>
      <c r="O872" s="2">
        <f t="shared" si="819"/>
        <v>6000000</v>
      </c>
      <c r="P872" s="2">
        <f t="shared" ca="1" si="820"/>
        <v>39484100.995954156</v>
      </c>
      <c r="Q872" s="2">
        <f t="shared" ca="1" si="821"/>
        <v>987102.52489885397</v>
      </c>
      <c r="R872" s="2">
        <f t="shared" ca="1" si="822"/>
        <v>23690460.597572494</v>
      </c>
      <c r="S872" s="2">
        <f t="shared" ca="1" si="823"/>
        <v>15793640.398381663</v>
      </c>
      <c r="T872" s="2">
        <f t="shared" ca="1" si="824"/>
        <v>48794233.234215833</v>
      </c>
      <c r="U872" s="2">
        <f t="shared" ca="1" si="825"/>
        <v>52242867.667522214</v>
      </c>
      <c r="V872" s="2">
        <f t="shared" ca="1" si="826"/>
        <v>55935241.548428863</v>
      </c>
      <c r="W872" s="2">
        <f t="shared" ca="1" si="827"/>
        <v>59888581.671907939</v>
      </c>
      <c r="X872" s="2">
        <f t="shared" ca="1" si="828"/>
        <v>64121332.372677147</v>
      </c>
      <c r="Y872" s="2">
        <f t="shared" ca="1" si="829"/>
        <v>0.12272566898581382</v>
      </c>
      <c r="Z872" s="2">
        <f t="shared" ca="1" si="830"/>
        <v>0.12381593658013934</v>
      </c>
      <c r="AA872" s="2">
        <f t="shared" ca="1" si="831"/>
        <v>5988304.9163189679</v>
      </c>
      <c r="AB872" s="2">
        <f t="shared" ca="1" si="832"/>
        <v>6468499.5898865424</v>
      </c>
      <c r="AC872" s="2">
        <f t="shared" ca="1" si="833"/>
        <v>6925674.3201550432</v>
      </c>
      <c r="AD872" s="2">
        <f t="shared" ca="1" si="834"/>
        <v>7415160.830163449</v>
      </c>
      <c r="AE872" s="2">
        <f t="shared" ca="1" si="835"/>
        <v>7939242.8224894293</v>
      </c>
      <c r="AF872" s="2">
        <f t="shared" ca="1" si="836"/>
        <v>975884.66468431673</v>
      </c>
      <c r="AG872" s="2">
        <f t="shared" ca="1" si="837"/>
        <v>1044857.3533504443</v>
      </c>
      <c r="AH872" s="2">
        <f t="shared" ca="1" si="838"/>
        <v>1118704.8309685772</v>
      </c>
      <c r="AI872" s="2">
        <f t="shared" ca="1" si="839"/>
        <v>1197771.6334381588</v>
      </c>
      <c r="AJ872" s="2">
        <f t="shared" ca="1" si="840"/>
        <v>1282426.647453543</v>
      </c>
      <c r="AK872" s="2">
        <f t="shared" ca="1" si="841"/>
        <v>0</v>
      </c>
      <c r="AL872" s="2">
        <f t="shared" ca="1" si="842"/>
        <v>34486.344333063811</v>
      </c>
      <c r="AM872" s="2">
        <f t="shared" ca="1" si="843"/>
        <v>36923.73880906649</v>
      </c>
      <c r="AN872" s="2">
        <f t="shared" ca="1" si="844"/>
        <v>39533.401234790756</v>
      </c>
      <c r="AO872" s="2">
        <f t="shared" ca="1" si="845"/>
        <v>42327.507007692082</v>
      </c>
      <c r="AP872" s="2">
        <f t="shared" ca="1" si="846"/>
        <v>2132141.4537815242</v>
      </c>
      <c r="AQ872" s="2">
        <f t="shared" ca="1" si="847"/>
        <v>748872.48744181299</v>
      </c>
      <c r="AR872" s="2">
        <f t="shared" ca="1" si="848"/>
        <v>855790.20351618913</v>
      </c>
      <c r="AS872" s="2">
        <f t="shared" ca="1" si="849"/>
        <v>955455.28920528479</v>
      </c>
      <c r="AT872" s="2">
        <f t="shared" ca="1" si="850"/>
        <v>1062164.4131653793</v>
      </c>
      <c r="AU872" s="2">
        <f t="shared" ca="1" si="851"/>
        <v>1176415.4275261341</v>
      </c>
      <c r="AV872" s="2">
        <f t="shared" ca="1" si="852"/>
        <v>2131406.310411314</v>
      </c>
      <c r="AW872" s="2">
        <f t="shared" ca="1" si="853"/>
        <v>2401224.2349053207</v>
      </c>
      <c r="AX872" s="2">
        <f t="shared" ca="1" si="854"/>
        <v>2682449.0073905899</v>
      </c>
      <c r="AY872" s="2">
        <f t="shared" ca="1" si="855"/>
        <v>2983549.9285435961</v>
      </c>
      <c r="AZ872" s="2">
        <f t="shared" ca="1" si="856"/>
        <v>3305931.7867205362</v>
      </c>
      <c r="BA872" s="2">
        <f t="shared" ca="1" si="857"/>
        <v>63324061.983973429</v>
      </c>
      <c r="BB872" s="2">
        <f t="shared" ca="1" si="858"/>
        <v>1266481.2396794686</v>
      </c>
      <c r="BC872" s="2">
        <f t="shared" ca="1" si="859"/>
        <v>38367120.146721467</v>
      </c>
      <c r="BD872" s="2">
        <f t="shared" ca="1" si="860"/>
        <v>-17280742.923280519</v>
      </c>
      <c r="BE872" s="2">
        <f t="shared" ca="1" si="861"/>
        <v>2131406.310411314</v>
      </c>
      <c r="BF872" s="2">
        <f t="shared" ca="1" si="862"/>
        <v>2401224.2349053207</v>
      </c>
      <c r="BG872" s="2">
        <f t="shared" ca="1" si="863"/>
        <v>2682449.0073905899</v>
      </c>
      <c r="BH872" s="2">
        <f t="shared" ca="1" si="864"/>
        <v>2983549.9285435961</v>
      </c>
      <c r="BI872" s="2">
        <f t="shared" ca="1" si="865"/>
        <v>41673051.933442004</v>
      </c>
      <c r="BJ872" s="2">
        <f t="shared" ca="1" si="866"/>
        <v>0.28651671525814737</v>
      </c>
      <c r="BK872" s="2">
        <f t="shared" ca="1" si="867"/>
        <v>13988362.64742576</v>
      </c>
    </row>
    <row r="873" spans="1:63" x14ac:dyDescent="0.3">
      <c r="A873" s="2">
        <v>872</v>
      </c>
      <c r="B873" s="2">
        <f t="shared" ca="1" si="806"/>
        <v>0.28639073013260241</v>
      </c>
      <c r="C873" s="2">
        <f t="shared" ca="1" si="807"/>
        <v>6.7568232688449825</v>
      </c>
      <c r="D873" s="2">
        <f t="shared" ca="1" si="808"/>
        <v>7.6446011297813365E-2</v>
      </c>
      <c r="E873" s="2">
        <f t="shared" ca="1" si="809"/>
        <v>6.8910140951367698</v>
      </c>
      <c r="F873" s="2">
        <f t="shared" ca="1" si="810"/>
        <v>0.65452963603066749</v>
      </c>
      <c r="G873" s="2">
        <f t="shared" ca="1" si="811"/>
        <v>5.1927362464052232E-2</v>
      </c>
      <c r="H873" s="2">
        <f t="shared" ca="1" si="812"/>
        <v>5.1927362464052232E-2</v>
      </c>
      <c r="I873" s="2">
        <f t="shared" ca="1" si="813"/>
        <v>0.15295533581588561</v>
      </c>
      <c r="J873" s="2">
        <f t="shared" ca="1" si="814"/>
        <v>4.8807980724353741E-3</v>
      </c>
      <c r="K873" s="2">
        <f t="shared" ca="1" si="815"/>
        <v>4.8807980724353741E-3</v>
      </c>
      <c r="L873" s="2">
        <f t="shared" ca="1" si="816"/>
        <v>0.40175995923534091</v>
      </c>
      <c r="M873" s="2">
        <f t="shared" ca="1" si="817"/>
        <v>-4.9758855339666445E-3</v>
      </c>
      <c r="N873" s="2">
        <f t="shared" ca="1" si="818"/>
        <v>-4.9758855339666445E-3</v>
      </c>
      <c r="O873" s="2">
        <f t="shared" si="819"/>
        <v>6000000</v>
      </c>
      <c r="P873" s="2">
        <f t="shared" ca="1" si="820"/>
        <v>40540939.613069892</v>
      </c>
      <c r="Q873" s="2">
        <f t="shared" ca="1" si="821"/>
        <v>1013523.4903267473</v>
      </c>
      <c r="R873" s="2">
        <f t="shared" ca="1" si="822"/>
        <v>24324563.767841935</v>
      </c>
      <c r="S873" s="2">
        <f t="shared" ca="1" si="823"/>
        <v>16216375.845227957</v>
      </c>
      <c r="T873" s="2">
        <f t="shared" ca="1" si="824"/>
        <v>49751205.723301664</v>
      </c>
      <c r="U873" s="2">
        <f t="shared" ca="1" si="825"/>
        <v>52334654.615919173</v>
      </c>
      <c r="V873" s="2">
        <f t="shared" ca="1" si="826"/>
        <v>55052255.195590988</v>
      </c>
      <c r="W873" s="2">
        <f t="shared" ca="1" si="827"/>
        <v>57910973.605595939</v>
      </c>
      <c r="X873" s="2">
        <f t="shared" ca="1" si="828"/>
        <v>60918137.722659878</v>
      </c>
      <c r="Y873" s="2">
        <f t="shared" ca="1" si="829"/>
        <v>0.12244039903621769</v>
      </c>
      <c r="Z873" s="2">
        <f t="shared" ca="1" si="830"/>
        <v>0.12341655865070476</v>
      </c>
      <c r="AA873" s="2">
        <f t="shared" ca="1" si="831"/>
        <v>6091557.4812940126</v>
      </c>
      <c r="AB873" s="2">
        <f t="shared" ca="1" si="832"/>
        <v>6458962.9708699649</v>
      </c>
      <c r="AC873" s="2">
        <f t="shared" ca="1" si="833"/>
        <v>6794359.8822002215</v>
      </c>
      <c r="AD873" s="2">
        <f t="shared" ca="1" si="834"/>
        <v>7147173.0705144471</v>
      </c>
      <c r="AE873" s="2">
        <f t="shared" ca="1" si="835"/>
        <v>7518306.9171403628</v>
      </c>
      <c r="AF873" s="2">
        <f t="shared" ca="1" si="836"/>
        <v>995024.11446603329</v>
      </c>
      <c r="AG873" s="2">
        <f t="shared" ca="1" si="837"/>
        <v>1046693.0923183835</v>
      </c>
      <c r="AH873" s="2">
        <f t="shared" ca="1" si="838"/>
        <v>1101045.1039118199</v>
      </c>
      <c r="AI873" s="2">
        <f t="shared" ca="1" si="839"/>
        <v>1158219.4721119187</v>
      </c>
      <c r="AJ873" s="2">
        <f t="shared" ca="1" si="840"/>
        <v>1218362.7544531976</v>
      </c>
      <c r="AK873" s="2">
        <f t="shared" ca="1" si="841"/>
        <v>0</v>
      </c>
      <c r="AL873" s="2">
        <f t="shared" ca="1" si="842"/>
        <v>25834.488926175087</v>
      </c>
      <c r="AM873" s="2">
        <f t="shared" ca="1" si="843"/>
        <v>27176.005796718149</v>
      </c>
      <c r="AN873" s="2">
        <f t="shared" ca="1" si="844"/>
        <v>28587.184100049511</v>
      </c>
      <c r="AO873" s="2">
        <f t="shared" ca="1" si="845"/>
        <v>30071.641170639396</v>
      </c>
      <c r="AP873" s="2">
        <f t="shared" ca="1" si="846"/>
        <v>2189210.7391057741</v>
      </c>
      <c r="AQ873" s="2">
        <f t="shared" ca="1" si="847"/>
        <v>755903.88320777344</v>
      </c>
      <c r="AR873" s="2">
        <f t="shared" ca="1" si="848"/>
        <v>837995.37625591003</v>
      </c>
      <c r="AS873" s="2">
        <f t="shared" ca="1" si="849"/>
        <v>911067.0501874832</v>
      </c>
      <c r="AT873" s="2">
        <f t="shared" ca="1" si="850"/>
        <v>987933.14341715607</v>
      </c>
      <c r="AU873" s="2">
        <f t="shared" ca="1" si="851"/>
        <v>1068790.6901311618</v>
      </c>
      <c r="AV873" s="2">
        <f t="shared" ca="1" si="852"/>
        <v>2151418.7445144318</v>
      </c>
      <c r="AW873" s="2">
        <f t="shared" ca="1" si="853"/>
        <v>2359229.2742637228</v>
      </c>
      <c r="AX873" s="2">
        <f t="shared" ca="1" si="854"/>
        <v>2565860.9831984257</v>
      </c>
      <c r="AY873" s="2">
        <f t="shared" ca="1" si="855"/>
        <v>2783222.5317795482</v>
      </c>
      <c r="AZ873" s="2">
        <f t="shared" ca="1" si="856"/>
        <v>3011871.0922795907</v>
      </c>
      <c r="BA873" s="2">
        <f t="shared" ca="1" si="857"/>
        <v>51808758.937578514</v>
      </c>
      <c r="BB873" s="2">
        <f t="shared" ca="1" si="858"/>
        <v>1036175.1787515703</v>
      </c>
      <c r="BC873" s="2">
        <f t="shared" ca="1" si="859"/>
        <v>26448019.99098501</v>
      </c>
      <c r="BD873" s="2">
        <f t="shared" ca="1" si="860"/>
        <v>-17729899.335554704</v>
      </c>
      <c r="BE873" s="2">
        <f t="shared" ca="1" si="861"/>
        <v>2151418.7445144318</v>
      </c>
      <c r="BF873" s="2">
        <f t="shared" ca="1" si="862"/>
        <v>2359229.2742637228</v>
      </c>
      <c r="BG873" s="2">
        <f t="shared" ca="1" si="863"/>
        <v>2565860.9831984257</v>
      </c>
      <c r="BH873" s="2">
        <f t="shared" ca="1" si="864"/>
        <v>2783222.5317795482</v>
      </c>
      <c r="BI873" s="2">
        <f t="shared" ca="1" si="865"/>
        <v>29459891.0832646</v>
      </c>
      <c r="BJ873" s="2">
        <f t="shared" ca="1" si="866"/>
        <v>0.20603872156021596</v>
      </c>
      <c r="BK873" s="2">
        <f t="shared" ca="1" si="867"/>
        <v>6383224.1597784646</v>
      </c>
    </row>
    <row r="874" spans="1:63" x14ac:dyDescent="0.3">
      <c r="A874" s="2">
        <v>873</v>
      </c>
      <c r="B874" s="2">
        <f t="shared" ca="1" si="806"/>
        <v>0.36157466783734593</v>
      </c>
      <c r="C874" s="2">
        <f t="shared" ca="1" si="807"/>
        <v>6.8503818763794841</v>
      </c>
      <c r="D874" s="2">
        <f t="shared" ca="1" si="808"/>
        <v>0.35051601105561525</v>
      </c>
      <c r="E874" s="2">
        <f t="shared" ca="1" si="809"/>
        <v>7.3372765505561652</v>
      </c>
      <c r="F874" s="2">
        <f t="shared" ca="1" si="810"/>
        <v>0.597305090676998</v>
      </c>
      <c r="G874" s="2">
        <f t="shared" ca="1" si="811"/>
        <v>4.7391332877971967E-2</v>
      </c>
      <c r="H874" s="2">
        <f t="shared" ca="1" si="812"/>
        <v>4.7391332877971967E-2</v>
      </c>
      <c r="I874" s="2">
        <f t="shared" ca="1" si="813"/>
        <v>0.51473361668990614</v>
      </c>
      <c r="J874" s="2">
        <f t="shared" ca="1" si="814"/>
        <v>1.0184700498472062E-2</v>
      </c>
      <c r="K874" s="2">
        <f t="shared" ca="1" si="815"/>
        <v>1.0184700498472062E-2</v>
      </c>
      <c r="L874" s="2">
        <f t="shared" ca="1" si="816"/>
        <v>3.5263198627955683E-2</v>
      </c>
      <c r="M874" s="2">
        <f t="shared" ca="1" si="817"/>
        <v>-3.6170298345034393E-2</v>
      </c>
      <c r="N874" s="2">
        <f t="shared" ca="1" si="818"/>
        <v>-3.6170298345034393E-2</v>
      </c>
      <c r="O874" s="2">
        <f t="shared" si="819"/>
        <v>6000000</v>
      </c>
      <c r="P874" s="2">
        <f t="shared" ca="1" si="820"/>
        <v>41102291.258276902</v>
      </c>
      <c r="Q874" s="2">
        <f t="shared" ca="1" si="821"/>
        <v>1027557.2814569226</v>
      </c>
      <c r="R874" s="2">
        <f t="shared" ca="1" si="822"/>
        <v>24661374.75496614</v>
      </c>
      <c r="S874" s="2">
        <f t="shared" ca="1" si="823"/>
        <v>16440916.503310762</v>
      </c>
      <c r="T874" s="2">
        <f t="shared" ca="1" si="824"/>
        <v>48191485.082748279</v>
      </c>
      <c r="U874" s="2">
        <f t="shared" ca="1" si="825"/>
        <v>50475343.794188626</v>
      </c>
      <c r="V874" s="2">
        <f t="shared" ca="1" si="826"/>
        <v>52867437.614069097</v>
      </c>
      <c r="W874" s="2">
        <f t="shared" ca="1" si="827"/>
        <v>55372895.948442861</v>
      </c>
      <c r="X874" s="2">
        <f t="shared" ca="1" si="828"/>
        <v>57997091.292752825</v>
      </c>
      <c r="Y874" s="2">
        <f t="shared" ca="1" si="829"/>
        <v>0.12509235024923604</v>
      </c>
      <c r="Z874" s="2">
        <f t="shared" ca="1" si="830"/>
        <v>0.12712929034893045</v>
      </c>
      <c r="AA874" s="2">
        <f t="shared" ca="1" si="831"/>
        <v>6028386.1310019819</v>
      </c>
      <c r="AB874" s="2">
        <f t="shared" ca="1" si="832"/>
        <v>6416894.6366734905</v>
      </c>
      <c r="AC874" s="2">
        <f t="shared" ca="1" si="833"/>
        <v>6720999.8264429569</v>
      </c>
      <c r="AD874" s="2">
        <f t="shared" ca="1" si="834"/>
        <v>7039516.9664907064</v>
      </c>
      <c r="AE874" s="2">
        <f t="shared" ca="1" si="835"/>
        <v>7373129.0583497994</v>
      </c>
      <c r="AF874" s="2">
        <f t="shared" ca="1" si="836"/>
        <v>963829.70165496564</v>
      </c>
      <c r="AG874" s="2">
        <f t="shared" ca="1" si="837"/>
        <v>1009506.8758837725</v>
      </c>
      <c r="AH874" s="2">
        <f t="shared" ca="1" si="838"/>
        <v>1057348.752281382</v>
      </c>
      <c r="AI874" s="2">
        <f t="shared" ca="1" si="839"/>
        <v>1107457.9189688573</v>
      </c>
      <c r="AJ874" s="2">
        <f t="shared" ca="1" si="840"/>
        <v>1159941.8258550565</v>
      </c>
      <c r="AK874" s="2">
        <f t="shared" ca="1" si="841"/>
        <v>0</v>
      </c>
      <c r="AL874" s="2">
        <f t="shared" ca="1" si="842"/>
        <v>22838.587114403472</v>
      </c>
      <c r="AM874" s="2">
        <f t="shared" ca="1" si="843"/>
        <v>23920.938198804706</v>
      </c>
      <c r="AN874" s="2">
        <f t="shared" ca="1" si="844"/>
        <v>25054.583343737646</v>
      </c>
      <c r="AO874" s="2">
        <f t="shared" ca="1" si="845"/>
        <v>26241.953443099632</v>
      </c>
      <c r="AP874" s="2">
        <f t="shared" ca="1" si="846"/>
        <v>2219523.7279469525</v>
      </c>
      <c r="AQ874" s="2">
        <f t="shared" ca="1" si="847"/>
        <v>739708.50236401649</v>
      </c>
      <c r="AR874" s="2">
        <f t="shared" ca="1" si="848"/>
        <v>828844.64853911917</v>
      </c>
      <c r="AS874" s="2">
        <f t="shared" ca="1" si="849"/>
        <v>895473.11001580197</v>
      </c>
      <c r="AT874" s="2">
        <f t="shared" ca="1" si="850"/>
        <v>965259.18308947317</v>
      </c>
      <c r="AU874" s="2">
        <f t="shared" ca="1" si="851"/>
        <v>1038352.5111824254</v>
      </c>
      <c r="AV874" s="2">
        <f t="shared" ca="1" si="852"/>
        <v>2105324.1990360473</v>
      </c>
      <c r="AW874" s="2">
        <f t="shared" ca="1" si="853"/>
        <v>2336180.7971892436</v>
      </c>
      <c r="AX874" s="2">
        <f t="shared" ca="1" si="854"/>
        <v>2524733.2980000158</v>
      </c>
      <c r="AY874" s="2">
        <f t="shared" ca="1" si="855"/>
        <v>2722221.5531416857</v>
      </c>
      <c r="AZ874" s="2">
        <f t="shared" ca="1" si="856"/>
        <v>2929069.0399222649</v>
      </c>
      <c r="BA874" s="2">
        <f t="shared" ca="1" si="857"/>
        <v>54098686.944054246</v>
      </c>
      <c r="BB874" s="2">
        <f t="shared" ca="1" si="858"/>
        <v>1081973.7388810848</v>
      </c>
      <c r="BC874" s="2">
        <f t="shared" ca="1" si="859"/>
        <v>28355338.450207021</v>
      </c>
      <c r="BD874" s="2">
        <f t="shared" ca="1" si="860"/>
        <v>-17968473.784767684</v>
      </c>
      <c r="BE874" s="2">
        <f t="shared" ca="1" si="861"/>
        <v>2105324.1990360473</v>
      </c>
      <c r="BF874" s="2">
        <f t="shared" ca="1" si="862"/>
        <v>2336180.7971892436</v>
      </c>
      <c r="BG874" s="2">
        <f t="shared" ca="1" si="863"/>
        <v>2524733.2980000158</v>
      </c>
      <c r="BH874" s="2">
        <f t="shared" ca="1" si="864"/>
        <v>2722221.5531416857</v>
      </c>
      <c r="BI874" s="2">
        <f t="shared" ca="1" si="865"/>
        <v>31284407.490129285</v>
      </c>
      <c r="BJ874" s="2">
        <f t="shared" ca="1" si="866"/>
        <v>0.21201563289174419</v>
      </c>
      <c r="BK874" s="2">
        <f t="shared" ca="1" si="867"/>
        <v>7052358.2708446607</v>
      </c>
    </row>
    <row r="875" spans="1:63" x14ac:dyDescent="0.3">
      <c r="A875" s="2">
        <v>874</v>
      </c>
      <c r="B875" s="2">
        <f t="shared" ca="1" si="806"/>
        <v>0.33756483421854955</v>
      </c>
      <c r="C875" s="2">
        <f t="shared" ca="1" si="807"/>
        <v>6.8216627461660284</v>
      </c>
      <c r="D875" s="2">
        <f t="shared" ca="1" si="808"/>
        <v>0.57469708788385787</v>
      </c>
      <c r="E875" s="2">
        <f t="shared" ca="1" si="809"/>
        <v>7.5777170584726807</v>
      </c>
      <c r="F875" s="2">
        <f t="shared" ca="1" si="810"/>
        <v>0.78445455681040044</v>
      </c>
      <c r="G875" s="2">
        <f t="shared" ca="1" si="811"/>
        <v>6.3619788555772383E-2</v>
      </c>
      <c r="H875" s="2">
        <f t="shared" ca="1" si="812"/>
        <v>6.3619788555772383E-2</v>
      </c>
      <c r="I875" s="2">
        <f t="shared" ca="1" si="813"/>
        <v>0.79056058146134889</v>
      </c>
      <c r="J875" s="2">
        <f t="shared" ca="1" si="814"/>
        <v>1.4041839396732229E-2</v>
      </c>
      <c r="K875" s="2">
        <f t="shared" ca="1" si="815"/>
        <v>1.4041839396732229E-2</v>
      </c>
      <c r="L875" s="2">
        <f t="shared" ca="1" si="816"/>
        <v>0.94456839374939128</v>
      </c>
      <c r="M875" s="2">
        <f t="shared" ca="1" si="817"/>
        <v>3.1886504337160809E-2</v>
      </c>
      <c r="N875" s="2">
        <f t="shared" ca="1" si="818"/>
        <v>3.1886504337160809E-2</v>
      </c>
      <c r="O875" s="2">
        <f t="shared" si="819"/>
        <v>6000000</v>
      </c>
      <c r="P875" s="2">
        <f t="shared" ca="1" si="820"/>
        <v>40929976.476996168</v>
      </c>
      <c r="Q875" s="2">
        <f t="shared" ca="1" si="821"/>
        <v>1023249.4119249042</v>
      </c>
      <c r="R875" s="2">
        <f t="shared" ca="1" si="822"/>
        <v>24557985.886197701</v>
      </c>
      <c r="S875" s="2">
        <f t="shared" ca="1" si="823"/>
        <v>16371990.590798467</v>
      </c>
      <c r="T875" s="2">
        <f t="shared" ca="1" si="824"/>
        <v>51594325.216858037</v>
      </c>
      <c r="U875" s="2">
        <f t="shared" ca="1" si="825"/>
        <v>54876745.277832299</v>
      </c>
      <c r="V875" s="2">
        <f t="shared" ca="1" si="826"/>
        <v>58367992.209036969</v>
      </c>
      <c r="W875" s="2">
        <f t="shared" ca="1" si="827"/>
        <v>62081351.531800866</v>
      </c>
      <c r="X875" s="2">
        <f t="shared" ca="1" si="828"/>
        <v>66030953.989510611</v>
      </c>
      <c r="Y875" s="2">
        <f t="shared" ca="1" si="829"/>
        <v>0.1270209196983661</v>
      </c>
      <c r="Z875" s="2">
        <f t="shared" ca="1" si="830"/>
        <v>0.12982928757771256</v>
      </c>
      <c r="AA875" s="2">
        <f t="shared" ca="1" si="831"/>
        <v>6553558.6402619099</v>
      </c>
      <c r="AB875" s="2">
        <f t="shared" ca="1" si="832"/>
        <v>7124608.744004569</v>
      </c>
      <c r="AC875" s="2">
        <f t="shared" ca="1" si="833"/>
        <v>7577874.8458407465</v>
      </c>
      <c r="AD875" s="2">
        <f t="shared" ca="1" si="834"/>
        <v>8059977.6412352407</v>
      </c>
      <c r="AE875" s="2">
        <f t="shared" ca="1" si="835"/>
        <v>8572751.7145348787</v>
      </c>
      <c r="AF875" s="2">
        <f t="shared" ca="1" si="836"/>
        <v>1031886.5043371607</v>
      </c>
      <c r="AG875" s="2">
        <f t="shared" ca="1" si="837"/>
        <v>1097534.9055566459</v>
      </c>
      <c r="AH875" s="2">
        <f t="shared" ca="1" si="838"/>
        <v>1167359.8441807395</v>
      </c>
      <c r="AI875" s="2">
        <f t="shared" ca="1" si="839"/>
        <v>1241627.0306360174</v>
      </c>
      <c r="AJ875" s="2">
        <f t="shared" ca="1" si="840"/>
        <v>1320619.0797902122</v>
      </c>
      <c r="AK875" s="2">
        <f t="shared" ca="1" si="841"/>
        <v>0</v>
      </c>
      <c r="AL875" s="2">
        <f t="shared" ca="1" si="842"/>
        <v>32824.200609742627</v>
      </c>
      <c r="AM875" s="2">
        <f t="shared" ca="1" si="843"/>
        <v>34912.469312046691</v>
      </c>
      <c r="AN875" s="2">
        <f t="shared" ca="1" si="844"/>
        <v>37133.593227638972</v>
      </c>
      <c r="AO875" s="2">
        <f t="shared" ca="1" si="845"/>
        <v>39496.024577097443</v>
      </c>
      <c r="AP875" s="2">
        <f t="shared" ca="1" si="846"/>
        <v>2210218.7297577932</v>
      </c>
      <c r="AQ875" s="2">
        <f t="shared" ca="1" si="847"/>
        <v>860977.88560340856</v>
      </c>
      <c r="AR875" s="2">
        <f t="shared" ca="1" si="848"/>
        <v>992382.32825943374</v>
      </c>
      <c r="AS875" s="2">
        <f t="shared" ca="1" si="849"/>
        <v>1092077.0306945755</v>
      </c>
      <c r="AT875" s="2">
        <f t="shared" ca="1" si="850"/>
        <v>1198114.2890187718</v>
      </c>
      <c r="AU875" s="2">
        <f t="shared" ca="1" si="851"/>
        <v>1310897.6152965871</v>
      </c>
      <c r="AV875" s="2">
        <f t="shared" ca="1" si="852"/>
        <v>2450475.5205635475</v>
      </c>
      <c r="AW875" s="2">
        <f t="shared" ca="1" si="853"/>
        <v>2791648.5798209533</v>
      </c>
      <c r="AX875" s="2">
        <f t="shared" ca="1" si="854"/>
        <v>3073306.7718955912</v>
      </c>
      <c r="AY875" s="2">
        <f t="shared" ca="1" si="855"/>
        <v>3372883.9985950198</v>
      </c>
      <c r="AZ875" s="2">
        <f t="shared" ca="1" si="856"/>
        <v>3691520.2651131889</v>
      </c>
      <c r="BA875" s="2">
        <f t="shared" ca="1" si="857"/>
        <v>64961886.905281872</v>
      </c>
      <c r="BB875" s="2">
        <f t="shared" ca="1" si="858"/>
        <v>1299237.7381056375</v>
      </c>
      <c r="BC875" s="2">
        <f t="shared" ca="1" si="859"/>
        <v>39104663.280978531</v>
      </c>
      <c r="BD875" s="2">
        <f t="shared" ca="1" si="860"/>
        <v>-17895240.002723373</v>
      </c>
      <c r="BE875" s="2">
        <f t="shared" ca="1" si="861"/>
        <v>2450475.5205635475</v>
      </c>
      <c r="BF875" s="2">
        <f t="shared" ca="1" si="862"/>
        <v>2791648.5798209533</v>
      </c>
      <c r="BG875" s="2">
        <f t="shared" ca="1" si="863"/>
        <v>3073306.7718955912</v>
      </c>
      <c r="BH875" s="2">
        <f t="shared" ca="1" si="864"/>
        <v>3372883.9985950198</v>
      </c>
      <c r="BI875" s="2">
        <f t="shared" ca="1" si="865"/>
        <v>42796183.54609172</v>
      </c>
      <c r="BJ875" s="2">
        <f t="shared" ca="1" si="866"/>
        <v>0.2954717905570734</v>
      </c>
      <c r="BK875" s="2">
        <f t="shared" ca="1" si="867"/>
        <v>15132921.404806491</v>
      </c>
    </row>
    <row r="876" spans="1:63" x14ac:dyDescent="0.3">
      <c r="A876" s="2">
        <v>875</v>
      </c>
      <c r="B876" s="2">
        <f t="shared" ca="1" si="806"/>
        <v>0.72673296115727359</v>
      </c>
      <c r="C876" s="2">
        <f t="shared" ca="1" si="807"/>
        <v>7.2607205686038245</v>
      </c>
      <c r="D876" s="2">
        <f t="shared" ca="1" si="808"/>
        <v>0.94028371739197625</v>
      </c>
      <c r="E876" s="2">
        <f t="shared" ca="1" si="809"/>
        <v>8.1544098305564123</v>
      </c>
      <c r="F876" s="2">
        <f t="shared" ca="1" si="810"/>
        <v>3.840930906600537E-2</v>
      </c>
      <c r="G876" s="2">
        <f t="shared" ca="1" si="811"/>
        <v>-1.3083534130246405E-2</v>
      </c>
      <c r="H876" s="2">
        <f t="shared" ca="1" si="812"/>
        <v>-1.3083534130246405E-2</v>
      </c>
      <c r="I876" s="2">
        <f t="shared" ca="1" si="813"/>
        <v>0.340758402884763</v>
      </c>
      <c r="J876" s="2">
        <f t="shared" ca="1" si="814"/>
        <v>7.9480290375839278E-3</v>
      </c>
      <c r="K876" s="2">
        <f t="shared" ca="1" si="815"/>
        <v>7.9480290375839278E-3</v>
      </c>
      <c r="L876" s="2">
        <f t="shared" ca="1" si="816"/>
        <v>0.97899298570451587</v>
      </c>
      <c r="M876" s="2">
        <f t="shared" ca="1" si="817"/>
        <v>4.0667623330690308E-2</v>
      </c>
      <c r="N876" s="2">
        <f t="shared" ca="1" si="818"/>
        <v>4.0667623330690308E-2</v>
      </c>
      <c r="O876" s="2">
        <f t="shared" si="819"/>
        <v>6000000</v>
      </c>
      <c r="P876" s="2">
        <f t="shared" ca="1" si="820"/>
        <v>43564323.411622949</v>
      </c>
      <c r="Q876" s="2">
        <f t="shared" ca="1" si="821"/>
        <v>1089108.0852905738</v>
      </c>
      <c r="R876" s="2">
        <f t="shared" ca="1" si="822"/>
        <v>26138594.046973769</v>
      </c>
      <c r="S876" s="2">
        <f t="shared" ca="1" si="823"/>
        <v>17425729.36464918</v>
      </c>
      <c r="T876" s="2">
        <f t="shared" ca="1" si="824"/>
        <v>52033381.166534521</v>
      </c>
      <c r="U876" s="2">
        <f t="shared" ca="1" si="825"/>
        <v>51352600.648130044</v>
      </c>
      <c r="V876" s="2">
        <f t="shared" ca="1" si="826"/>
        <v>50680727.144873321</v>
      </c>
      <c r="W876" s="2">
        <f t="shared" ca="1" si="827"/>
        <v>50017644.121527664</v>
      </c>
      <c r="X876" s="2">
        <f t="shared" ca="1" si="828"/>
        <v>49363236.567549139</v>
      </c>
      <c r="Y876" s="2">
        <f t="shared" ca="1" si="829"/>
        <v>0.12397401451879196</v>
      </c>
      <c r="Z876" s="2">
        <f t="shared" ca="1" si="830"/>
        <v>0.12556362032630874</v>
      </c>
      <c r="AA876" s="2">
        <f t="shared" ca="1" si="831"/>
        <v>6450787.1522017866</v>
      </c>
      <c r="AB876" s="2">
        <f t="shared" ca="1" si="832"/>
        <v>6448018.4505503569</v>
      </c>
      <c r="AC876" s="2">
        <f t="shared" ca="1" si="833"/>
        <v>6363655.5810801229</v>
      </c>
      <c r="AD876" s="2">
        <f t="shared" ca="1" si="834"/>
        <v>6280396.4760919278</v>
      </c>
      <c r="AE876" s="2">
        <f t="shared" ca="1" si="835"/>
        <v>6198226.6944455002</v>
      </c>
      <c r="AF876" s="2">
        <f t="shared" ca="1" si="836"/>
        <v>1040667.6233306904</v>
      </c>
      <c r="AG876" s="2">
        <f t="shared" ca="1" si="837"/>
        <v>1027052.0129626009</v>
      </c>
      <c r="AH876" s="2">
        <f t="shared" ca="1" si="838"/>
        <v>1013614.5428974665</v>
      </c>
      <c r="AI876" s="2">
        <f t="shared" ca="1" si="839"/>
        <v>1000352.8824305533</v>
      </c>
      <c r="AJ876" s="2">
        <f t="shared" ca="1" si="840"/>
        <v>987264.73135098279</v>
      </c>
      <c r="AK876" s="2">
        <f t="shared" ca="1" si="841"/>
        <v>0</v>
      </c>
      <c r="AL876" s="2">
        <f t="shared" ca="1" si="842"/>
        <v>0</v>
      </c>
      <c r="AM876" s="2">
        <f t="shared" ca="1" si="843"/>
        <v>0</v>
      </c>
      <c r="AN876" s="2">
        <f t="shared" ca="1" si="844"/>
        <v>0</v>
      </c>
      <c r="AO876" s="2">
        <f t="shared" ca="1" si="845"/>
        <v>0</v>
      </c>
      <c r="AP876" s="2">
        <f t="shared" ca="1" si="846"/>
        <v>2352473.4642276391</v>
      </c>
      <c r="AQ876" s="2">
        <f t="shared" ca="1" si="847"/>
        <v>794987.97680729895</v>
      </c>
      <c r="AR876" s="2">
        <f t="shared" ca="1" si="848"/>
        <v>797808.17307363031</v>
      </c>
      <c r="AS876" s="2">
        <f t="shared" ca="1" si="849"/>
        <v>779367.56922830443</v>
      </c>
      <c r="AT876" s="2">
        <f t="shared" ca="1" si="850"/>
        <v>761168.23365277122</v>
      </c>
      <c r="AU876" s="2">
        <f t="shared" ca="1" si="851"/>
        <v>743207.00970538845</v>
      </c>
      <c r="AV876" s="2">
        <f t="shared" ca="1" si="852"/>
        <v>2262658.0878361585</v>
      </c>
      <c r="AW876" s="2">
        <f t="shared" ca="1" si="853"/>
        <v>2270684.8002864867</v>
      </c>
      <c r="AX876" s="2">
        <f t="shared" ca="1" si="854"/>
        <v>2218200.0047267126</v>
      </c>
      <c r="AY876" s="2">
        <f t="shared" ca="1" si="855"/>
        <v>2166401.8957809638</v>
      </c>
      <c r="AZ876" s="2">
        <f t="shared" ca="1" si="856"/>
        <v>2115281.4891614895</v>
      </c>
      <c r="BA876" s="2">
        <f t="shared" ca="1" si="857"/>
        <v>50542880.68920356</v>
      </c>
      <c r="BB876" s="2">
        <f t="shared" ca="1" si="858"/>
        <v>1010857.6137840712</v>
      </c>
      <c r="BC876" s="2">
        <f t="shared" ca="1" si="859"/>
        <v>23393429.028445721</v>
      </c>
      <c r="BD876" s="2">
        <f t="shared" ca="1" si="860"/>
        <v>-19014837.449939754</v>
      </c>
      <c r="BE876" s="2">
        <f t="shared" ca="1" si="861"/>
        <v>2262658.0878361585</v>
      </c>
      <c r="BF876" s="2">
        <f t="shared" ca="1" si="862"/>
        <v>2270684.8002864867</v>
      </c>
      <c r="BG876" s="2">
        <f t="shared" ca="1" si="863"/>
        <v>2218200.0047267126</v>
      </c>
      <c r="BH876" s="2">
        <f t="shared" ca="1" si="864"/>
        <v>2166401.8957809638</v>
      </c>
      <c r="BI876" s="2">
        <f t="shared" ca="1" si="865"/>
        <v>25508710.517607212</v>
      </c>
      <c r="BJ876" s="2">
        <f t="shared" ca="1" si="866"/>
        <v>0.15072448302780295</v>
      </c>
      <c r="BK876" s="2">
        <f t="shared" ca="1" si="867"/>
        <v>2245554.9276300035</v>
      </c>
    </row>
    <row r="877" spans="1:63" x14ac:dyDescent="0.3">
      <c r="A877" s="2">
        <v>876</v>
      </c>
      <c r="B877" s="2">
        <f t="shared" ca="1" si="806"/>
        <v>0.22133787788204928</v>
      </c>
      <c r="C877" s="2">
        <f t="shared" ca="1" si="807"/>
        <v>6.6653388277893439</v>
      </c>
      <c r="D877" s="2">
        <f t="shared" ca="1" si="808"/>
        <v>0.86640158287936109</v>
      </c>
      <c r="E877" s="2">
        <f t="shared" ca="1" si="809"/>
        <v>7.9830891428483266</v>
      </c>
      <c r="F877" s="2">
        <f t="shared" ca="1" si="810"/>
        <v>0.48801800714025245</v>
      </c>
      <c r="G877" s="2">
        <f t="shared" ca="1" si="811"/>
        <v>3.9098832429592868E-2</v>
      </c>
      <c r="H877" s="2">
        <f t="shared" ca="1" si="812"/>
        <v>3.9098832429592868E-2</v>
      </c>
      <c r="I877" s="2">
        <f t="shared" ca="1" si="813"/>
        <v>0.20840582348115166</v>
      </c>
      <c r="J877" s="2">
        <f t="shared" ca="1" si="814"/>
        <v>5.9401744071537824E-3</v>
      </c>
      <c r="K877" s="2">
        <f t="shared" ca="1" si="815"/>
        <v>5.9401744071537824E-3</v>
      </c>
      <c r="L877" s="2">
        <f t="shared" ca="1" si="816"/>
        <v>0.21568465424391614</v>
      </c>
      <c r="M877" s="2">
        <f t="shared" ca="1" si="817"/>
        <v>-1.5737012689323045E-2</v>
      </c>
      <c r="N877" s="2">
        <f t="shared" ca="1" si="818"/>
        <v>-1.5737012689323045E-2</v>
      </c>
      <c r="O877" s="2">
        <f t="shared" si="819"/>
        <v>6000000</v>
      </c>
      <c r="P877" s="2">
        <f t="shared" ca="1" si="820"/>
        <v>39992032.966736063</v>
      </c>
      <c r="Q877" s="2">
        <f t="shared" ca="1" si="821"/>
        <v>999800.82416840165</v>
      </c>
      <c r="R877" s="2">
        <f t="shared" ca="1" si="822"/>
        <v>23995219.780041639</v>
      </c>
      <c r="S877" s="2">
        <f t="shared" ca="1" si="823"/>
        <v>15996813.186694426</v>
      </c>
      <c r="T877" s="2">
        <f t="shared" ca="1" si="824"/>
        <v>49213149.365533851</v>
      </c>
      <c r="U877" s="2">
        <f t="shared" ca="1" si="825"/>
        <v>51137326.045909382</v>
      </c>
      <c r="V877" s="2">
        <f t="shared" ca="1" si="826"/>
        <v>53136735.787875846</v>
      </c>
      <c r="W877" s="2">
        <f t="shared" ca="1" si="827"/>
        <v>55214320.116301559</v>
      </c>
      <c r="X877" s="2">
        <f t="shared" ca="1" si="828"/>
        <v>57373135.566242732</v>
      </c>
      <c r="Y877" s="2">
        <f t="shared" ca="1" si="829"/>
        <v>0.12297008720357688</v>
      </c>
      <c r="Z877" s="2">
        <f t="shared" ca="1" si="830"/>
        <v>0.12415812208500765</v>
      </c>
      <c r="AA877" s="2">
        <f t="shared" ca="1" si="831"/>
        <v>6051745.2690423522</v>
      </c>
      <c r="AB877" s="2">
        <f t="shared" ca="1" si="832"/>
        <v>6349114.3703088583</v>
      </c>
      <c r="AC877" s="2">
        <f t="shared" ca="1" si="833"/>
        <v>6597357.3291498842</v>
      </c>
      <c r="AD877" s="2">
        <f t="shared" ca="1" si="834"/>
        <v>6855306.297840463</v>
      </c>
      <c r="AE877" s="2">
        <f t="shared" ca="1" si="835"/>
        <v>7123340.7700332599</v>
      </c>
      <c r="AF877" s="2">
        <f t="shared" ca="1" si="836"/>
        <v>984262.98731067707</v>
      </c>
      <c r="AG877" s="2">
        <f t="shared" ca="1" si="837"/>
        <v>1022746.5209181877</v>
      </c>
      <c r="AH877" s="2">
        <f t="shared" ca="1" si="838"/>
        <v>1062734.7157575169</v>
      </c>
      <c r="AI877" s="2">
        <f t="shared" ca="1" si="839"/>
        <v>1104286.4023260311</v>
      </c>
      <c r="AJ877" s="2">
        <f t="shared" ca="1" si="840"/>
        <v>1147462.7113248548</v>
      </c>
      <c r="AK877" s="2">
        <f t="shared" ca="1" si="841"/>
        <v>0</v>
      </c>
      <c r="AL877" s="2">
        <f t="shared" ca="1" si="842"/>
        <v>19241.766803755312</v>
      </c>
      <c r="AM877" s="2">
        <f t="shared" ca="1" si="843"/>
        <v>19994.097419664638</v>
      </c>
      <c r="AN877" s="2">
        <f t="shared" ca="1" si="844"/>
        <v>20775.843284257131</v>
      </c>
      <c r="AO877" s="2">
        <f t="shared" ca="1" si="845"/>
        <v>21588.154499411732</v>
      </c>
      <c r="AP877" s="2">
        <f t="shared" ca="1" si="846"/>
        <v>2159569.7802037476</v>
      </c>
      <c r="AQ877" s="2">
        <f t="shared" ca="1" si="847"/>
        <v>756057.25039726123</v>
      </c>
      <c r="AR877" s="2">
        <f t="shared" ca="1" si="848"/>
        <v>823367.49798860005</v>
      </c>
      <c r="AS877" s="2">
        <f t="shared" ca="1" si="849"/>
        <v>877513.73662904114</v>
      </c>
      <c r="AT877" s="2">
        <f t="shared" ca="1" si="850"/>
        <v>933777.02998077811</v>
      </c>
      <c r="AU877" s="2">
        <f t="shared" ca="1" si="851"/>
        <v>992240.15241121105</v>
      </c>
      <c r="AV877" s="2">
        <f t="shared" ca="1" si="852"/>
        <v>2151855.2511306666</v>
      </c>
      <c r="AW877" s="2">
        <f t="shared" ca="1" si="853"/>
        <v>2324188.8043945674</v>
      </c>
      <c r="AX877" s="2">
        <f t="shared" ca="1" si="854"/>
        <v>2477544.9991399143</v>
      </c>
      <c r="AY877" s="2">
        <f t="shared" ca="1" si="855"/>
        <v>2636897.2420456503</v>
      </c>
      <c r="AZ877" s="2">
        <f t="shared" ca="1" si="856"/>
        <v>2802479.9715940347</v>
      </c>
      <c r="BA877" s="2">
        <f t="shared" ca="1" si="857"/>
        <v>56866264.362061359</v>
      </c>
      <c r="BB877" s="2">
        <f t="shared" ca="1" si="858"/>
        <v>1137325.2872412272</v>
      </c>
      <c r="BC877" s="2">
        <f t="shared" ca="1" si="859"/>
        <v>31733719.294778492</v>
      </c>
      <c r="BD877" s="2">
        <f t="shared" ca="1" si="860"/>
        <v>-17496614.010862827</v>
      </c>
      <c r="BE877" s="2">
        <f t="shared" ca="1" si="861"/>
        <v>2151855.2511306666</v>
      </c>
      <c r="BF877" s="2">
        <f t="shared" ca="1" si="862"/>
        <v>2324188.8043945674</v>
      </c>
      <c r="BG877" s="2">
        <f t="shared" ca="1" si="863"/>
        <v>2477544.9991399143</v>
      </c>
      <c r="BH877" s="2">
        <f t="shared" ca="1" si="864"/>
        <v>2636897.2420456503</v>
      </c>
      <c r="BI877" s="2">
        <f t="shared" ca="1" si="865"/>
        <v>34536199.266372524</v>
      </c>
      <c r="BJ877" s="2">
        <f t="shared" ca="1" si="866"/>
        <v>0.2390664930149804</v>
      </c>
      <c r="BK877" s="2">
        <f t="shared" ca="1" si="867"/>
        <v>9313544.825501103</v>
      </c>
    </row>
    <row r="878" spans="1:63" x14ac:dyDescent="0.3">
      <c r="A878" s="2">
        <v>877</v>
      </c>
      <c r="B878" s="2">
        <f t="shared" ca="1" si="806"/>
        <v>0.93207841793968471</v>
      </c>
      <c r="C878" s="2">
        <f t="shared" ca="1" si="807"/>
        <v>7.6314309235426414</v>
      </c>
      <c r="D878" s="2">
        <f t="shared" ca="1" si="808"/>
        <v>0.35685756628884591</v>
      </c>
      <c r="E878" s="2">
        <f t="shared" ca="1" si="809"/>
        <v>7.3448166265987496</v>
      </c>
      <c r="F878" s="2">
        <f t="shared" ca="1" si="810"/>
        <v>0.88446069302530772</v>
      </c>
      <c r="G878" s="2">
        <f t="shared" ca="1" si="811"/>
        <v>7.5927550353056789E-2</v>
      </c>
      <c r="H878" s="2">
        <f t="shared" ca="1" si="812"/>
        <v>7.5927550353056789E-2</v>
      </c>
      <c r="I878" s="2">
        <f t="shared" ca="1" si="813"/>
        <v>0.27894533068396132</v>
      </c>
      <c r="J878" s="2">
        <f t="shared" ca="1" si="814"/>
        <v>7.0701126957636124E-3</v>
      </c>
      <c r="K878" s="2">
        <f t="shared" ca="1" si="815"/>
        <v>7.0701126957636124E-3</v>
      </c>
      <c r="L878" s="2">
        <f t="shared" ca="1" si="816"/>
        <v>0.89567826422812158</v>
      </c>
      <c r="M878" s="2">
        <f t="shared" ca="1" si="817"/>
        <v>2.5146085778281188E-2</v>
      </c>
      <c r="N878" s="2">
        <f t="shared" ca="1" si="818"/>
        <v>2.5146085778281188E-2</v>
      </c>
      <c r="O878" s="2">
        <f t="shared" si="819"/>
        <v>6000000</v>
      </c>
      <c r="P878" s="2">
        <f t="shared" ca="1" si="820"/>
        <v>45788585.541255847</v>
      </c>
      <c r="Q878" s="2">
        <f t="shared" ca="1" si="821"/>
        <v>1144714.6385313962</v>
      </c>
      <c r="R878" s="2">
        <f t="shared" ca="1" si="822"/>
        <v>27473151.324753508</v>
      </c>
      <c r="S878" s="2">
        <f t="shared" ca="1" si="823"/>
        <v>18315434.216502339</v>
      </c>
      <c r="T878" s="2">
        <f t="shared" ca="1" si="824"/>
        <v>51257304.288914062</v>
      </c>
      <c r="U878" s="2">
        <f t="shared" ca="1" si="825"/>
        <v>55149145.84127254</v>
      </c>
      <c r="V878" s="2">
        <f t="shared" ca="1" si="826"/>
        <v>59336485.389063835</v>
      </c>
      <c r="W878" s="2">
        <f t="shared" ca="1" si="827"/>
        <v>63841759.371215396</v>
      </c>
      <c r="X878" s="2">
        <f t="shared" ca="1" si="828"/>
        <v>68689107.770501092</v>
      </c>
      <c r="Y878" s="2">
        <f t="shared" ca="1" si="829"/>
        <v>0.1235350563478818</v>
      </c>
      <c r="Z878" s="2">
        <f t="shared" ca="1" si="830"/>
        <v>0.12494907888703452</v>
      </c>
      <c r="AA878" s="2">
        <f t="shared" ca="1" si="831"/>
        <v>6332073.9735715222</v>
      </c>
      <c r="AB878" s="2">
        <f t="shared" ca="1" si="832"/>
        <v>6890834.9742737347</v>
      </c>
      <c r="AC878" s="2">
        <f t="shared" ca="1" si="833"/>
        <v>7414039.193757508</v>
      </c>
      <c r="AD878" s="2">
        <f t="shared" ca="1" si="834"/>
        <v>7976969.0279610679</v>
      </c>
      <c r="AE878" s="2">
        <f t="shared" ca="1" si="835"/>
        <v>8582640.7454963569</v>
      </c>
      <c r="AF878" s="2">
        <f t="shared" ca="1" si="836"/>
        <v>1025146.0857782812</v>
      </c>
      <c r="AG878" s="2">
        <f t="shared" ca="1" si="837"/>
        <v>1102982.9168254507</v>
      </c>
      <c r="AH878" s="2">
        <f t="shared" ca="1" si="838"/>
        <v>1186729.7077812767</v>
      </c>
      <c r="AI878" s="2">
        <f t="shared" ca="1" si="839"/>
        <v>1276835.1874243079</v>
      </c>
      <c r="AJ878" s="2">
        <f t="shared" ca="1" si="840"/>
        <v>1373782.1554100218</v>
      </c>
      <c r="AK878" s="2">
        <f t="shared" ca="1" si="841"/>
        <v>0</v>
      </c>
      <c r="AL878" s="2">
        <f t="shared" ca="1" si="842"/>
        <v>38918.415523584787</v>
      </c>
      <c r="AM878" s="2">
        <f t="shared" ca="1" si="843"/>
        <v>41873.395477912949</v>
      </c>
      <c r="AN878" s="2">
        <f t="shared" ca="1" si="844"/>
        <v>45052.739821515606</v>
      </c>
      <c r="AO878" s="2">
        <f t="shared" ca="1" si="845"/>
        <v>48473.483992856964</v>
      </c>
      <c r="AP878" s="2">
        <f t="shared" ca="1" si="846"/>
        <v>2472583.6192278154</v>
      </c>
      <c r="AQ878" s="2">
        <f t="shared" ca="1" si="847"/>
        <v>736929.50982701068</v>
      </c>
      <c r="AR878" s="2">
        <f t="shared" ca="1" si="848"/>
        <v>861969.79393732175</v>
      </c>
      <c r="AS878" s="2">
        <f t="shared" ca="1" si="849"/>
        <v>976228.72535458812</v>
      </c>
      <c r="AT878" s="2">
        <f t="shared" ca="1" si="850"/>
        <v>1099163.0575403257</v>
      </c>
      <c r="AU878" s="2">
        <f t="shared" ca="1" si="851"/>
        <v>1231431.4924232152</v>
      </c>
      <c r="AV878" s="2">
        <f t="shared" ca="1" si="852"/>
        <v>2097414.7587384153</v>
      </c>
      <c r="AW878" s="2">
        <f t="shared" ca="1" si="853"/>
        <v>2414380.2287595617</v>
      </c>
      <c r="AX878" s="2">
        <f t="shared" ca="1" si="854"/>
        <v>2736623.745915914</v>
      </c>
      <c r="AY878" s="2">
        <f t="shared" ca="1" si="855"/>
        <v>3083334.4239471033</v>
      </c>
      <c r="AZ878" s="2">
        <f t="shared" ca="1" si="856"/>
        <v>3456369.994442448</v>
      </c>
      <c r="BA878" s="2">
        <f t="shared" ca="1" si="857"/>
        <v>63037922.44764553</v>
      </c>
      <c r="BB878" s="2">
        <f t="shared" ca="1" si="858"/>
        <v>1260758.4489529107</v>
      </c>
      <c r="BC878" s="2">
        <f t="shared" ca="1" si="859"/>
        <v>34304012.673939109</v>
      </c>
      <c r="BD878" s="2">
        <f t="shared" ca="1" si="860"/>
        <v>-19960148.855033733</v>
      </c>
      <c r="BE878" s="2">
        <f t="shared" ca="1" si="861"/>
        <v>2097414.7587384153</v>
      </c>
      <c r="BF878" s="2">
        <f t="shared" ca="1" si="862"/>
        <v>2414380.2287595617</v>
      </c>
      <c r="BG878" s="2">
        <f t="shared" ca="1" si="863"/>
        <v>2736623.745915914</v>
      </c>
      <c r="BH878" s="2">
        <f t="shared" ca="1" si="864"/>
        <v>3083334.4239471033</v>
      </c>
      <c r="BI878" s="2">
        <f t="shared" ca="1" si="865"/>
        <v>37760382.668381557</v>
      </c>
      <c r="BJ878" s="2">
        <f t="shared" ca="1" si="866"/>
        <v>0.22364235036475355</v>
      </c>
      <c r="BK878" s="2">
        <f t="shared" ca="1" si="867"/>
        <v>9170916.7347644605</v>
      </c>
    </row>
    <row r="879" spans="1:63" x14ac:dyDescent="0.3">
      <c r="A879" s="2">
        <v>878</v>
      </c>
      <c r="B879" s="2">
        <f t="shared" ca="1" si="806"/>
        <v>0.56281470870632988</v>
      </c>
      <c r="C879" s="2">
        <f t="shared" ca="1" si="807"/>
        <v>7.0649221515898581</v>
      </c>
      <c r="D879" s="2">
        <f t="shared" ca="1" si="808"/>
        <v>0.44497047911360632</v>
      </c>
      <c r="E879" s="2">
        <f t="shared" ca="1" si="809"/>
        <v>7.4433668206096781</v>
      </c>
      <c r="F879" s="2">
        <f t="shared" ca="1" si="810"/>
        <v>0.55425034818554852</v>
      </c>
      <c r="G879" s="2">
        <f t="shared" ca="1" si="811"/>
        <v>4.4092218978239742E-2</v>
      </c>
      <c r="H879" s="2">
        <f t="shared" ca="1" si="812"/>
        <v>4.4092218978239742E-2</v>
      </c>
      <c r="I879" s="2">
        <f t="shared" ca="1" si="813"/>
        <v>0.29807127571896352</v>
      </c>
      <c r="J879" s="2">
        <f t="shared" ca="1" si="814"/>
        <v>7.3502208187259405E-3</v>
      </c>
      <c r="K879" s="2">
        <f t="shared" ca="1" si="815"/>
        <v>7.3502208187259405E-3</v>
      </c>
      <c r="L879" s="2">
        <f t="shared" ca="1" si="816"/>
        <v>0.72515897998282752</v>
      </c>
      <c r="M879" s="2">
        <f t="shared" ca="1" si="817"/>
        <v>1.1964732998813328E-2</v>
      </c>
      <c r="N879" s="2">
        <f t="shared" ca="1" si="818"/>
        <v>1.1964732998813328E-2</v>
      </c>
      <c r="O879" s="2">
        <f t="shared" si="819"/>
        <v>6000000</v>
      </c>
      <c r="P879" s="2">
        <f t="shared" ca="1" si="820"/>
        <v>42389532.909539148</v>
      </c>
      <c r="Q879" s="2">
        <f t="shared" ca="1" si="821"/>
        <v>1059738.3227384787</v>
      </c>
      <c r="R879" s="2">
        <f t="shared" ca="1" si="822"/>
        <v>25433719.74572349</v>
      </c>
      <c r="S879" s="2">
        <f t="shared" ca="1" si="823"/>
        <v>16955813.163815659</v>
      </c>
      <c r="T879" s="2">
        <f t="shared" ca="1" si="824"/>
        <v>50598236.649940662</v>
      </c>
      <c r="U879" s="2">
        <f t="shared" ca="1" si="825"/>
        <v>52829225.180222645</v>
      </c>
      <c r="V879" s="2">
        <f t="shared" ca="1" si="826"/>
        <v>55158582.945319764</v>
      </c>
      <c r="W879" s="2">
        <f t="shared" ca="1" si="827"/>
        <v>57590647.263074204</v>
      </c>
      <c r="X879" s="2">
        <f t="shared" ca="1" si="828"/>
        <v>60129946.693296239</v>
      </c>
      <c r="Y879" s="2">
        <f t="shared" ca="1" si="829"/>
        <v>0.12367511040936296</v>
      </c>
      <c r="Z879" s="2">
        <f t="shared" ca="1" si="830"/>
        <v>0.12514515457310815</v>
      </c>
      <c r="AA879" s="2">
        <f t="shared" ca="1" si="831"/>
        <v>6257742.5042004874</v>
      </c>
      <c r="AB879" s="2">
        <f t="shared" ca="1" si="832"/>
        <v>6611321.5511565004</v>
      </c>
      <c r="AC879" s="2">
        <f t="shared" ca="1" si="833"/>
        <v>6902829.3887256486</v>
      </c>
      <c r="AD879" s="2">
        <f t="shared" ca="1" si="834"/>
        <v>7207190.4537027692</v>
      </c>
      <c r="AE879" s="2">
        <f t="shared" ca="1" si="835"/>
        <v>7524971.4734053109</v>
      </c>
      <c r="AF879" s="2">
        <f t="shared" ca="1" si="836"/>
        <v>1011964.7329988133</v>
      </c>
      <c r="AG879" s="2">
        <f t="shared" ca="1" si="837"/>
        <v>1056584.5036044528</v>
      </c>
      <c r="AH879" s="2">
        <f t="shared" ca="1" si="838"/>
        <v>1103171.6589063953</v>
      </c>
      <c r="AI879" s="2">
        <f t="shared" ca="1" si="839"/>
        <v>1151812.945261484</v>
      </c>
      <c r="AJ879" s="2">
        <f t="shared" ca="1" si="840"/>
        <v>1202598.9338659248</v>
      </c>
      <c r="AK879" s="2">
        <f t="shared" ca="1" si="841"/>
        <v>0</v>
      </c>
      <c r="AL879" s="2">
        <f t="shared" ca="1" si="842"/>
        <v>22309.885302819832</v>
      </c>
      <c r="AM879" s="2">
        <f t="shared" ca="1" si="843"/>
        <v>23293.57765097119</v>
      </c>
      <c r="AN879" s="2">
        <f t="shared" ca="1" si="844"/>
        <v>24320.6431775444</v>
      </c>
      <c r="AO879" s="2">
        <f t="shared" ca="1" si="845"/>
        <v>25392.994302220344</v>
      </c>
      <c r="AP879" s="2">
        <f t="shared" ca="1" si="846"/>
        <v>2289034.777115114</v>
      </c>
      <c r="AQ879" s="2">
        <f t="shared" ca="1" si="847"/>
        <v>768753.17846250557</v>
      </c>
      <c r="AR879" s="2">
        <f t="shared" ca="1" si="848"/>
        <v>849082.5903136027</v>
      </c>
      <c r="AS879" s="2">
        <f t="shared" ca="1" si="849"/>
        <v>912761.9677030762</v>
      </c>
      <c r="AT879" s="2">
        <f t="shared" ca="1" si="850"/>
        <v>979249.11014480458</v>
      </c>
      <c r="AU879" s="2">
        <f t="shared" ca="1" si="851"/>
        <v>1048667.8182303107</v>
      </c>
      <c r="AV879" s="2">
        <f t="shared" ca="1" si="852"/>
        <v>2187989.8156240545</v>
      </c>
      <c r="AW879" s="2">
        <f t="shared" ca="1" si="853"/>
        <v>2394309.7948205099</v>
      </c>
      <c r="AX879" s="2">
        <f t="shared" ca="1" si="854"/>
        <v>2574567.4073500922</v>
      </c>
      <c r="AY879" s="2">
        <f t="shared" ca="1" si="855"/>
        <v>2762772.9780038223</v>
      </c>
      <c r="AZ879" s="2">
        <f t="shared" ca="1" si="856"/>
        <v>2959276.9498917405</v>
      </c>
      <c r="BA879" s="2">
        <f t="shared" ca="1" si="857"/>
        <v>56011122.991179414</v>
      </c>
      <c r="BB879" s="2">
        <f t="shared" ca="1" si="858"/>
        <v>1120222.4598235884</v>
      </c>
      <c r="BC879" s="2">
        <f t="shared" ca="1" si="859"/>
        <v>29457180.785632335</v>
      </c>
      <c r="BD879" s="2">
        <f t="shared" ca="1" si="860"/>
        <v>-18515551.486554138</v>
      </c>
      <c r="BE879" s="2">
        <f t="shared" ca="1" si="861"/>
        <v>2187989.8156240545</v>
      </c>
      <c r="BF879" s="2">
        <f t="shared" ca="1" si="862"/>
        <v>2394309.7948205099</v>
      </c>
      <c r="BG879" s="2">
        <f t="shared" ca="1" si="863"/>
        <v>2574567.4073500922</v>
      </c>
      <c r="BH879" s="2">
        <f t="shared" ca="1" si="864"/>
        <v>2762772.9780038223</v>
      </c>
      <c r="BI879" s="2">
        <f t="shared" ca="1" si="865"/>
        <v>32416457.735524073</v>
      </c>
      <c r="BJ879" s="2">
        <f t="shared" ca="1" si="866"/>
        <v>0.21265537192031791</v>
      </c>
      <c r="BK879" s="2">
        <f t="shared" ca="1" si="867"/>
        <v>7329027.0458848774</v>
      </c>
    </row>
    <row r="880" spans="1:63" x14ac:dyDescent="0.3">
      <c r="A880" s="2">
        <v>879</v>
      </c>
      <c r="B880" s="2">
        <f t="shared" ca="1" si="806"/>
        <v>0.50963134528748777</v>
      </c>
      <c r="C880" s="2">
        <f t="shared" ca="1" si="807"/>
        <v>7.0096781788605158</v>
      </c>
      <c r="D880" s="2">
        <f t="shared" ca="1" si="808"/>
        <v>0.9263256021656151</v>
      </c>
      <c r="E880" s="2">
        <f t="shared" ca="1" si="809"/>
        <v>8.1161396143533828</v>
      </c>
      <c r="F880" s="2">
        <f t="shared" ca="1" si="810"/>
        <v>1.9497795593470202E-2</v>
      </c>
      <c r="G880" s="2">
        <f t="shared" ca="1" si="811"/>
        <v>-2.1927002306852246E-2</v>
      </c>
      <c r="H880" s="2">
        <f t="shared" ca="1" si="812"/>
        <v>-0.02</v>
      </c>
      <c r="I880" s="2">
        <f t="shared" ca="1" si="813"/>
        <v>0.21654732067319027</v>
      </c>
      <c r="J880" s="2">
        <f t="shared" ca="1" si="814"/>
        <v>6.0804646530086609E-3</v>
      </c>
      <c r="K880" s="2">
        <f t="shared" ca="1" si="815"/>
        <v>6.0804646530086609E-3</v>
      </c>
      <c r="L880" s="2">
        <f t="shared" ca="1" si="816"/>
        <v>0.81372720143581301</v>
      </c>
      <c r="M880" s="2">
        <f t="shared" ca="1" si="817"/>
        <v>1.7834304265416431E-2</v>
      </c>
      <c r="N880" s="2">
        <f t="shared" ca="1" si="818"/>
        <v>1.7834304265416431E-2</v>
      </c>
      <c r="O880" s="2">
        <f t="shared" si="819"/>
        <v>6000000</v>
      </c>
      <c r="P880" s="2">
        <f t="shared" ca="1" si="820"/>
        <v>42058069.073163092</v>
      </c>
      <c r="Q880" s="2">
        <f t="shared" ca="1" si="821"/>
        <v>1051451.7268290773</v>
      </c>
      <c r="R880" s="2">
        <f t="shared" ca="1" si="822"/>
        <v>25234841.443897855</v>
      </c>
      <c r="S880" s="2">
        <f t="shared" ca="1" si="823"/>
        <v>16823227.629265238</v>
      </c>
      <c r="T880" s="2">
        <f t="shared" ca="1" si="824"/>
        <v>50891715.213270813</v>
      </c>
      <c r="U880" s="2">
        <f t="shared" ca="1" si="825"/>
        <v>49873880.909005396</v>
      </c>
      <c r="V880" s="2">
        <f t="shared" ca="1" si="826"/>
        <v>48876403.290825285</v>
      </c>
      <c r="W880" s="2">
        <f t="shared" ca="1" si="827"/>
        <v>47898875.225008778</v>
      </c>
      <c r="X880" s="2">
        <f t="shared" ca="1" si="828"/>
        <v>46940897.720508605</v>
      </c>
      <c r="Y880" s="2">
        <f t="shared" ca="1" si="829"/>
        <v>0.12304023232650432</v>
      </c>
      <c r="Z880" s="2">
        <f t="shared" ca="1" si="830"/>
        <v>0.12425632525710606</v>
      </c>
      <c r="AA880" s="2">
        <f t="shared" ca="1" si="831"/>
        <v>6261728.463335135</v>
      </c>
      <c r="AB880" s="2">
        <f t="shared" ca="1" si="832"/>
        <v>6197145.1680635465</v>
      </c>
      <c r="AC880" s="2">
        <f t="shared" ca="1" si="833"/>
        <v>6073202.2647022754</v>
      </c>
      <c r="AD880" s="2">
        <f t="shared" ca="1" si="834"/>
        <v>5951738.2194082299</v>
      </c>
      <c r="AE880" s="2">
        <f t="shared" ca="1" si="835"/>
        <v>5832703.4550200654</v>
      </c>
      <c r="AF880" s="2">
        <f t="shared" ca="1" si="836"/>
        <v>1017834.3042654163</v>
      </c>
      <c r="AG880" s="2">
        <f t="shared" ca="1" si="837"/>
        <v>997477.61818010791</v>
      </c>
      <c r="AH880" s="2">
        <f t="shared" ca="1" si="838"/>
        <v>977528.0658165057</v>
      </c>
      <c r="AI880" s="2">
        <f t="shared" ca="1" si="839"/>
        <v>957977.50450017559</v>
      </c>
      <c r="AJ880" s="2">
        <f t="shared" ca="1" si="840"/>
        <v>938817.95441017207</v>
      </c>
      <c r="AK880" s="2">
        <f t="shared" ca="1" si="841"/>
        <v>0</v>
      </c>
      <c r="AL880" s="2">
        <f t="shared" ca="1" si="842"/>
        <v>0</v>
      </c>
      <c r="AM880" s="2">
        <f t="shared" ca="1" si="843"/>
        <v>0</v>
      </c>
      <c r="AN880" s="2">
        <f t="shared" ca="1" si="844"/>
        <v>0</v>
      </c>
      <c r="AO880" s="2">
        <f t="shared" ca="1" si="845"/>
        <v>0</v>
      </c>
      <c r="AP880" s="2">
        <f t="shared" ca="1" si="846"/>
        <v>2271135.7299508066</v>
      </c>
      <c r="AQ880" s="2">
        <f t="shared" ca="1" si="847"/>
        <v>772917.19157091714</v>
      </c>
      <c r="AR880" s="2">
        <f t="shared" ca="1" si="848"/>
        <v>761418.27318248432</v>
      </c>
      <c r="AS880" s="2">
        <f t="shared" ca="1" si="849"/>
        <v>734380.00192309043</v>
      </c>
      <c r="AT880" s="2">
        <f t="shared" ca="1" si="850"/>
        <v>707882.49608888442</v>
      </c>
      <c r="AU880" s="2">
        <f t="shared" ca="1" si="851"/>
        <v>681914.94037136261</v>
      </c>
      <c r="AV880" s="2">
        <f t="shared" ca="1" si="852"/>
        <v>2199841.2375479951</v>
      </c>
      <c r="AW880" s="2">
        <f t="shared" ca="1" si="853"/>
        <v>2167113.5467501474</v>
      </c>
      <c r="AX880" s="2">
        <f t="shared" ca="1" si="854"/>
        <v>2090158.4670118722</v>
      </c>
      <c r="AY880" s="2">
        <f t="shared" ca="1" si="855"/>
        <v>2014742.4888683627</v>
      </c>
      <c r="AZ880" s="2">
        <f t="shared" ca="1" si="856"/>
        <v>1940834.8302877243</v>
      </c>
      <c r="BA880" s="2">
        <f t="shared" ca="1" si="857"/>
        <v>47339035.570064195</v>
      </c>
      <c r="BB880" s="2">
        <f t="shared" ca="1" si="858"/>
        <v>946780.71140128386</v>
      </c>
      <c r="BC880" s="2">
        <f t="shared" ca="1" si="859"/>
        <v>21157413.414765056</v>
      </c>
      <c r="BD880" s="2">
        <f t="shared" ca="1" si="860"/>
        <v>-18374679.356094316</v>
      </c>
      <c r="BE880" s="2">
        <f t="shared" ca="1" si="861"/>
        <v>2199841.2375479951</v>
      </c>
      <c r="BF880" s="2">
        <f t="shared" ca="1" si="862"/>
        <v>2167113.5467501474</v>
      </c>
      <c r="BG880" s="2">
        <f t="shared" ca="1" si="863"/>
        <v>2090158.4670118722</v>
      </c>
      <c r="BH880" s="2">
        <f t="shared" ca="1" si="864"/>
        <v>2014742.4888683627</v>
      </c>
      <c r="BI880" s="2">
        <f t="shared" ca="1" si="865"/>
        <v>23098248.245052781</v>
      </c>
      <c r="BJ880" s="2">
        <f t="shared" ca="1" si="866"/>
        <v>0.13729620542888021</v>
      </c>
      <c r="BK880" s="2">
        <f t="shared" ca="1" si="867"/>
        <v>1191779.4183523506</v>
      </c>
    </row>
    <row r="881" spans="1:63" x14ac:dyDescent="0.3">
      <c r="A881" s="2">
        <v>880</v>
      </c>
      <c r="B881" s="2">
        <f t="shared" ca="1" si="806"/>
        <v>0.30495290692554522</v>
      </c>
      <c r="C881" s="2">
        <f t="shared" ca="1" si="807"/>
        <v>6.7809646687597915</v>
      </c>
      <c r="D881" s="2">
        <f t="shared" ca="1" si="808"/>
        <v>0.81945082213593379</v>
      </c>
      <c r="E881" s="2">
        <f t="shared" ca="1" si="809"/>
        <v>7.8990854006365527</v>
      </c>
      <c r="F881" s="2">
        <f t="shared" ca="1" si="810"/>
        <v>0.15642727715315452</v>
      </c>
      <c r="G881" s="2">
        <f t="shared" ca="1" si="811"/>
        <v>9.7224875812572352E-3</v>
      </c>
      <c r="H881" s="2">
        <f t="shared" ca="1" si="812"/>
        <v>9.7224875812572352E-3</v>
      </c>
      <c r="I881" s="2">
        <f t="shared" ca="1" si="813"/>
        <v>0.41559729840496451</v>
      </c>
      <c r="J881" s="2">
        <f t="shared" ca="1" si="814"/>
        <v>8.9341514731793685E-3</v>
      </c>
      <c r="K881" s="2">
        <f t="shared" ca="1" si="815"/>
        <v>8.9341514731793685E-3</v>
      </c>
      <c r="L881" s="2">
        <f t="shared" ca="1" si="816"/>
        <v>8.8985284028992861E-3</v>
      </c>
      <c r="M881" s="2">
        <f t="shared" ca="1" si="817"/>
        <v>-4.7396271316074774E-2</v>
      </c>
      <c r="N881" s="2">
        <f t="shared" ca="1" si="818"/>
        <v>-4.7396271316074774E-2</v>
      </c>
      <c r="O881" s="2">
        <f t="shared" si="819"/>
        <v>6000000</v>
      </c>
      <c r="P881" s="2">
        <f t="shared" ca="1" si="820"/>
        <v>40685788.012558751</v>
      </c>
      <c r="Q881" s="2">
        <f t="shared" ca="1" si="821"/>
        <v>1017144.7003139688</v>
      </c>
      <c r="R881" s="2">
        <f t="shared" ca="1" si="822"/>
        <v>24411472.80753525</v>
      </c>
      <c r="S881" s="2">
        <f t="shared" ca="1" si="823"/>
        <v>16274315.205023501</v>
      </c>
      <c r="T881" s="2">
        <f t="shared" ca="1" si="824"/>
        <v>47630186.434196256</v>
      </c>
      <c r="U881" s="2">
        <f t="shared" ca="1" si="825"/>
        <v>48093270.330295689</v>
      </c>
      <c r="V881" s="2">
        <f t="shared" ca="1" si="826"/>
        <v>48560856.55382403</v>
      </c>
      <c r="W881" s="2">
        <f t="shared" ca="1" si="827"/>
        <v>49032988.878603794</v>
      </c>
      <c r="X881" s="2">
        <f t="shared" ca="1" si="828"/>
        <v>49509711.504047938</v>
      </c>
      <c r="Y881" s="2">
        <f t="shared" ca="1" si="829"/>
        <v>0.12446707573658967</v>
      </c>
      <c r="Z881" s="2">
        <f t="shared" ca="1" si="830"/>
        <v>0.12625390603122555</v>
      </c>
      <c r="AA881" s="2">
        <f t="shared" ca="1" si="831"/>
        <v>5928390.0222529918</v>
      </c>
      <c r="AB881" s="2">
        <f t="shared" ca="1" si="832"/>
        <v>6071963.2330154795</v>
      </c>
      <c r="AC881" s="2">
        <f t="shared" ca="1" si="833"/>
        <v>6130997.8201423222</v>
      </c>
      <c r="AD881" s="2">
        <f t="shared" ca="1" si="834"/>
        <v>6190606.3703093706</v>
      </c>
      <c r="AE881" s="2">
        <f t="shared" ca="1" si="835"/>
        <v>6250794.4638651544</v>
      </c>
      <c r="AF881" s="2">
        <f t="shared" ca="1" si="836"/>
        <v>952603.72868392512</v>
      </c>
      <c r="AG881" s="2">
        <f t="shared" ca="1" si="837"/>
        <v>961865.40660591377</v>
      </c>
      <c r="AH881" s="2">
        <f t="shared" ca="1" si="838"/>
        <v>971217.13107648061</v>
      </c>
      <c r="AI881" s="2">
        <f t="shared" ca="1" si="839"/>
        <v>980659.77757207584</v>
      </c>
      <c r="AJ881" s="2">
        <f t="shared" ca="1" si="840"/>
        <v>990194.23008095881</v>
      </c>
      <c r="AK881" s="2">
        <f t="shared" ca="1" si="841"/>
        <v>0</v>
      </c>
      <c r="AL881" s="2">
        <f t="shared" ca="1" si="842"/>
        <v>4630.8389609943333</v>
      </c>
      <c r="AM881" s="2">
        <f t="shared" ca="1" si="843"/>
        <v>4675.8622352834045</v>
      </c>
      <c r="AN881" s="2">
        <f t="shared" ca="1" si="844"/>
        <v>4721.323247797638</v>
      </c>
      <c r="AO881" s="2">
        <f t="shared" ca="1" si="845"/>
        <v>4767.2262544414398</v>
      </c>
      <c r="AP881" s="2">
        <f t="shared" ca="1" si="846"/>
        <v>2197032.5526781725</v>
      </c>
      <c r="AQ881" s="2">
        <f t="shared" ca="1" si="847"/>
        <v>722475.97263163247</v>
      </c>
      <c r="AR881" s="2">
        <f t="shared" ca="1" si="848"/>
        <v>757396.9711701622</v>
      </c>
      <c r="AS881" s="2">
        <f t="shared" ca="1" si="849"/>
        <v>770314.51546079409</v>
      </c>
      <c r="AT881" s="2">
        <f t="shared" ca="1" si="850"/>
        <v>783357.65041537187</v>
      </c>
      <c r="AU881" s="2">
        <f t="shared" ca="1" si="851"/>
        <v>796527.59708756616</v>
      </c>
      <c r="AV881" s="2">
        <f t="shared" ca="1" si="852"/>
        <v>2056277.7682592617</v>
      </c>
      <c r="AW881" s="2">
        <f t="shared" ca="1" si="853"/>
        <v>2151037.4636002369</v>
      </c>
      <c r="AX881" s="2">
        <f t="shared" ca="1" si="854"/>
        <v>2187757.7586915921</v>
      </c>
      <c r="AY881" s="2">
        <f t="shared" ca="1" si="855"/>
        <v>2224835.0663959524</v>
      </c>
      <c r="AZ881" s="2">
        <f t="shared" ca="1" si="856"/>
        <v>2262272.8577640159</v>
      </c>
      <c r="BA881" s="2">
        <f t="shared" ca="1" si="857"/>
        <v>49375559.291897029</v>
      </c>
      <c r="BB881" s="2">
        <f t="shared" ca="1" si="858"/>
        <v>987511.18583794055</v>
      </c>
      <c r="BC881" s="2">
        <f t="shared" ca="1" si="859"/>
        <v>23976575.29852384</v>
      </c>
      <c r="BD881" s="2">
        <f t="shared" ca="1" si="860"/>
        <v>-17791459.905337472</v>
      </c>
      <c r="BE881" s="2">
        <f t="shared" ca="1" si="861"/>
        <v>2056277.7682592617</v>
      </c>
      <c r="BF881" s="2">
        <f t="shared" ca="1" si="862"/>
        <v>2151037.4636002369</v>
      </c>
      <c r="BG881" s="2">
        <f t="shared" ca="1" si="863"/>
        <v>2187757.7586915921</v>
      </c>
      <c r="BH881" s="2">
        <f t="shared" ca="1" si="864"/>
        <v>2224835.0663959524</v>
      </c>
      <c r="BI881" s="2">
        <f t="shared" ca="1" si="865"/>
        <v>26238848.156287856</v>
      </c>
      <c r="BJ881" s="2">
        <f t="shared" ca="1" si="866"/>
        <v>0.17093205694580549</v>
      </c>
      <c r="BK881" s="2">
        <f t="shared" ca="1" si="867"/>
        <v>3619049.0569171719</v>
      </c>
    </row>
    <row r="882" spans="1:63" x14ac:dyDescent="0.3">
      <c r="A882" s="2">
        <v>881</v>
      </c>
      <c r="B882" s="2">
        <f t="shared" ca="1" si="806"/>
        <v>0.29437666258423356</v>
      </c>
      <c r="C882" s="2">
        <f t="shared" ca="1" si="807"/>
        <v>6.7673026294549414</v>
      </c>
      <c r="D882" s="2">
        <f t="shared" ca="1" si="808"/>
        <v>3.3631486988077275E-2</v>
      </c>
      <c r="E882" s="2">
        <f t="shared" ca="1" si="809"/>
        <v>6.7593510631868599</v>
      </c>
      <c r="F882" s="2">
        <f t="shared" ca="1" si="810"/>
        <v>0.26326440265478579</v>
      </c>
      <c r="G882" s="2">
        <f t="shared" ca="1" si="811"/>
        <v>2.100058885055785E-2</v>
      </c>
      <c r="H882" s="2">
        <f t="shared" ca="1" si="812"/>
        <v>2.100058885055785E-2</v>
      </c>
      <c r="I882" s="2">
        <f t="shared" ca="1" si="813"/>
        <v>0.3008917503944154</v>
      </c>
      <c r="J882" s="2">
        <f t="shared" ca="1" si="814"/>
        <v>7.3908126672707977E-3</v>
      </c>
      <c r="K882" s="2">
        <f t="shared" ca="1" si="815"/>
        <v>7.3908126672707977E-3</v>
      </c>
      <c r="L882" s="2">
        <f t="shared" ca="1" si="816"/>
        <v>0.2563068468215558</v>
      </c>
      <c r="M882" s="2">
        <f t="shared" ca="1" si="817"/>
        <v>-1.3095466930277577E-2</v>
      </c>
      <c r="N882" s="2">
        <f t="shared" ca="1" si="818"/>
        <v>-1.3095466930277577E-2</v>
      </c>
      <c r="O882" s="2">
        <f t="shared" si="819"/>
        <v>6000000</v>
      </c>
      <c r="P882" s="2">
        <f t="shared" ca="1" si="820"/>
        <v>40603815.776729651</v>
      </c>
      <c r="Q882" s="2">
        <f t="shared" ca="1" si="821"/>
        <v>1015095.3944182413</v>
      </c>
      <c r="R882" s="2">
        <f t="shared" ca="1" si="822"/>
        <v>24362289.466037791</v>
      </c>
      <c r="S882" s="2">
        <f t="shared" ca="1" si="823"/>
        <v>16241526.310691861</v>
      </c>
      <c r="T882" s="2">
        <f t="shared" ca="1" si="824"/>
        <v>49345226.653486118</v>
      </c>
      <c r="U882" s="2">
        <f t="shared" ca="1" si="825"/>
        <v>50381505.470173568</v>
      </c>
      <c r="V882" s="2">
        <f t="shared" ca="1" si="826"/>
        <v>51439546.75222481</v>
      </c>
      <c r="W882" s="2">
        <f t="shared" ca="1" si="827"/>
        <v>52519807.524227329</v>
      </c>
      <c r="X882" s="2">
        <f t="shared" ca="1" si="828"/>
        <v>53622754.408554055</v>
      </c>
      <c r="Y882" s="2">
        <f t="shared" ca="1" si="829"/>
        <v>0.12369540633363539</v>
      </c>
      <c r="Z882" s="2">
        <f t="shared" ca="1" si="830"/>
        <v>0.12517356886708955</v>
      </c>
      <c r="AA882" s="2">
        <f t="shared" ca="1" si="831"/>
        <v>6103777.8615283007</v>
      </c>
      <c r="AB882" s="2">
        <f t="shared" ca="1" si="832"/>
        <v>6306432.84459842</v>
      </c>
      <c r="AC882" s="2">
        <f t="shared" ca="1" si="833"/>
        <v>6438871.6478814846</v>
      </c>
      <c r="AD882" s="2">
        <f t="shared" ca="1" si="834"/>
        <v>6574091.7440201575</v>
      </c>
      <c r="AE882" s="2">
        <f t="shared" ca="1" si="835"/>
        <v>6712151.5418021707</v>
      </c>
      <c r="AF882" s="2">
        <f t="shared" ca="1" si="836"/>
        <v>986904.53306972235</v>
      </c>
      <c r="AG882" s="2">
        <f t="shared" ca="1" si="837"/>
        <v>1007630.1094034713</v>
      </c>
      <c r="AH882" s="2">
        <f t="shared" ca="1" si="838"/>
        <v>1028790.9350444962</v>
      </c>
      <c r="AI882" s="2">
        <f t="shared" ca="1" si="839"/>
        <v>1050396.1504845466</v>
      </c>
      <c r="AJ882" s="2">
        <f t="shared" ca="1" si="840"/>
        <v>1072455.0881710812</v>
      </c>
      <c r="AK882" s="2">
        <f t="shared" ca="1" si="841"/>
        <v>0</v>
      </c>
      <c r="AL882" s="2">
        <f t="shared" ca="1" si="842"/>
        <v>10362.788166874498</v>
      </c>
      <c r="AM882" s="2">
        <f t="shared" ca="1" si="843"/>
        <v>10580.412820512429</v>
      </c>
      <c r="AN882" s="2">
        <f t="shared" ca="1" si="844"/>
        <v>10802.607720025182</v>
      </c>
      <c r="AO882" s="2">
        <f t="shared" ca="1" si="845"/>
        <v>11029.468843267263</v>
      </c>
      <c r="AP882" s="2">
        <f t="shared" ca="1" si="846"/>
        <v>2192606.0519434013</v>
      </c>
      <c r="AQ882" s="2">
        <f t="shared" ca="1" si="847"/>
        <v>760309.49189394608</v>
      </c>
      <c r="AR882" s="2">
        <f t="shared" ca="1" si="848"/>
        <v>807611.13764540234</v>
      </c>
      <c r="AS882" s="2">
        <f t="shared" ca="1" si="849"/>
        <v>836543.41183233261</v>
      </c>
      <c r="AT882" s="2">
        <f t="shared" ca="1" si="850"/>
        <v>866083.28081397468</v>
      </c>
      <c r="AU882" s="2">
        <f t="shared" ca="1" si="851"/>
        <v>896243.50443879911</v>
      </c>
      <c r="AV882" s="2">
        <f t="shared" ca="1" si="852"/>
        <v>2163957.7846212308</v>
      </c>
      <c r="AW882" s="2">
        <f t="shared" ca="1" si="853"/>
        <v>2288222.7574392711</v>
      </c>
      <c r="AX882" s="2">
        <f t="shared" ca="1" si="854"/>
        <v>2370350.8362407419</v>
      </c>
      <c r="AY882" s="2">
        <f t="shared" ca="1" si="855"/>
        <v>2454203.6530582109</v>
      </c>
      <c r="AZ882" s="2">
        <f t="shared" ca="1" si="856"/>
        <v>2539817.4284056225</v>
      </c>
      <c r="BA882" s="2">
        <f t="shared" ca="1" si="857"/>
        <v>45369788.66035182</v>
      </c>
      <c r="BB882" s="2">
        <f t="shared" ca="1" si="858"/>
        <v>907395.77320703643</v>
      </c>
      <c r="BC882" s="2">
        <f t="shared" ca="1" si="859"/>
        <v>20100103.421106994</v>
      </c>
      <c r="BD882" s="2">
        <f t="shared" ca="1" si="860"/>
        <v>-17756621.705110103</v>
      </c>
      <c r="BE882" s="2">
        <f t="shared" ca="1" si="861"/>
        <v>2163957.7846212308</v>
      </c>
      <c r="BF882" s="2">
        <f t="shared" ca="1" si="862"/>
        <v>2288222.7574392711</v>
      </c>
      <c r="BG882" s="2">
        <f t="shared" ca="1" si="863"/>
        <v>2370350.8362407419</v>
      </c>
      <c r="BH882" s="2">
        <f t="shared" ca="1" si="864"/>
        <v>2454203.6530582109</v>
      </c>
      <c r="BI882" s="2">
        <f t="shared" ca="1" si="865"/>
        <v>22639920.849512618</v>
      </c>
      <c r="BJ882" s="2">
        <f t="shared" ca="1" si="866"/>
        <v>0.1511721753347286</v>
      </c>
      <c r="BK882" s="2">
        <f t="shared" ca="1" si="867"/>
        <v>2092999.4290205128</v>
      </c>
    </row>
    <row r="883" spans="1:63" x14ac:dyDescent="0.3">
      <c r="A883" s="2">
        <v>882</v>
      </c>
      <c r="B883" s="2">
        <f t="shared" ca="1" si="806"/>
        <v>0.32297458151992664</v>
      </c>
      <c r="C883" s="2">
        <f t="shared" ca="1" si="807"/>
        <v>6.8037096260714147</v>
      </c>
      <c r="D883" s="2">
        <f t="shared" ca="1" si="808"/>
        <v>0.52645226972452019</v>
      </c>
      <c r="E883" s="2">
        <f t="shared" ca="1" si="809"/>
        <v>7.5268117034453406</v>
      </c>
      <c r="F883" s="2">
        <f t="shared" ca="1" si="810"/>
        <v>0.77503458226007471</v>
      </c>
      <c r="G883" s="2">
        <f t="shared" ca="1" si="811"/>
        <v>6.2665910176269712E-2</v>
      </c>
      <c r="H883" s="2">
        <f t="shared" ca="1" si="812"/>
        <v>6.2665910176269712E-2</v>
      </c>
      <c r="I883" s="2">
        <f t="shared" ca="1" si="813"/>
        <v>0.24073756714677796</v>
      </c>
      <c r="J883" s="2">
        <f t="shared" ca="1" si="814"/>
        <v>6.4803400980664172E-3</v>
      </c>
      <c r="K883" s="2">
        <f t="shared" ca="1" si="815"/>
        <v>6.4803400980664172E-3</v>
      </c>
      <c r="L883" s="2">
        <f t="shared" ca="1" si="816"/>
        <v>6.4784302389868431E-2</v>
      </c>
      <c r="M883" s="2">
        <f t="shared" ca="1" si="817"/>
        <v>-3.0316104950898919E-2</v>
      </c>
      <c r="N883" s="2">
        <f t="shared" ca="1" si="818"/>
        <v>-3.0316104950898919E-2</v>
      </c>
      <c r="O883" s="2">
        <f t="shared" si="819"/>
        <v>6000000</v>
      </c>
      <c r="P883" s="2">
        <f t="shared" ca="1" si="820"/>
        <v>40822257.756428488</v>
      </c>
      <c r="Q883" s="2">
        <f t="shared" ca="1" si="821"/>
        <v>1020556.4439107123</v>
      </c>
      <c r="R883" s="2">
        <f t="shared" ca="1" si="822"/>
        <v>24493354.653857093</v>
      </c>
      <c r="S883" s="2">
        <f t="shared" ca="1" si="823"/>
        <v>16328903.102571396</v>
      </c>
      <c r="T883" s="2">
        <f t="shared" ca="1" si="824"/>
        <v>48484194.752455056</v>
      </c>
      <c r="U883" s="2">
        <f t="shared" ca="1" si="825"/>
        <v>51522500.945781171</v>
      </c>
      <c r="V883" s="2">
        <f t="shared" ca="1" si="826"/>
        <v>54751205.362106264</v>
      </c>
      <c r="W883" s="2">
        <f t="shared" ca="1" si="827"/>
        <v>58182239.479370512</v>
      </c>
      <c r="X883" s="2">
        <f t="shared" ca="1" si="828"/>
        <v>61828282.472438954</v>
      </c>
      <c r="Y883" s="2">
        <f t="shared" ca="1" si="829"/>
        <v>0.1232401700490332</v>
      </c>
      <c r="Z883" s="2">
        <f t="shared" ca="1" si="830"/>
        <v>0.12453623806864648</v>
      </c>
      <c r="AA883" s="2">
        <f t="shared" ca="1" si="831"/>
        <v>5975200.4059830047</v>
      </c>
      <c r="AB883" s="2">
        <f t="shared" ca="1" si="832"/>
        <v>6416418.4436758673</v>
      </c>
      <c r="AC883" s="2">
        <f t="shared" ca="1" si="833"/>
        <v>6818509.14552062</v>
      </c>
      <c r="AD883" s="2">
        <f t="shared" ca="1" si="834"/>
        <v>7245797.2271698881</v>
      </c>
      <c r="AE883" s="2">
        <f t="shared" ca="1" si="835"/>
        <v>7699861.7053631805</v>
      </c>
      <c r="AF883" s="2">
        <f t="shared" ca="1" si="836"/>
        <v>969683.89504910109</v>
      </c>
      <c r="AG883" s="2">
        <f t="shared" ca="1" si="837"/>
        <v>1030450.0189156234</v>
      </c>
      <c r="AH883" s="2">
        <f t="shared" ca="1" si="838"/>
        <v>1095024.1072421253</v>
      </c>
      <c r="AI883" s="2">
        <f t="shared" ca="1" si="839"/>
        <v>1163644.7895874102</v>
      </c>
      <c r="AJ883" s="2">
        <f t="shared" ca="1" si="840"/>
        <v>1236565.6494487792</v>
      </c>
      <c r="AK883" s="2">
        <f t="shared" ca="1" si="841"/>
        <v>0</v>
      </c>
      <c r="AL883" s="2">
        <f t="shared" ca="1" si="842"/>
        <v>30383.061933261157</v>
      </c>
      <c r="AM883" s="2">
        <f t="shared" ca="1" si="843"/>
        <v>32287.044163250925</v>
      </c>
      <c r="AN883" s="2">
        <f t="shared" ca="1" si="844"/>
        <v>34310.341172642482</v>
      </c>
      <c r="AO883" s="2">
        <f t="shared" ca="1" si="845"/>
        <v>36460.429930684419</v>
      </c>
      <c r="AP883" s="2">
        <f t="shared" ca="1" si="846"/>
        <v>2204401.9188471385</v>
      </c>
      <c r="AQ883" s="2">
        <f t="shared" ca="1" si="847"/>
        <v>728289.79394255904</v>
      </c>
      <c r="AR883" s="2">
        <f t="shared" ca="1" si="848"/>
        <v>827207.29153740744</v>
      </c>
      <c r="AS883" s="2">
        <f t="shared" ca="1" si="849"/>
        <v>914961.6110521527</v>
      </c>
      <c r="AT883" s="2">
        <f t="shared" ca="1" si="850"/>
        <v>1008215.1348711883</v>
      </c>
      <c r="AU883" s="2">
        <f t="shared" ca="1" si="851"/>
        <v>1107312.4756374881</v>
      </c>
      <c r="AV883" s="2">
        <f t="shared" ca="1" si="852"/>
        <v>2072824.7981442059</v>
      </c>
      <c r="AW883" s="2">
        <f t="shared" ca="1" si="853"/>
        <v>2323976.1524424362</v>
      </c>
      <c r="AX883" s="2">
        <f t="shared" ca="1" si="854"/>
        <v>2571834.4642159524</v>
      </c>
      <c r="AY883" s="2">
        <f t="shared" ca="1" si="855"/>
        <v>2835225.0426915088</v>
      </c>
      <c r="AZ883" s="2">
        <f t="shared" ca="1" si="856"/>
        <v>3115121.2314990903</v>
      </c>
      <c r="BA883" s="2">
        <f t="shared" ca="1" si="857"/>
        <v>57955409.198838182</v>
      </c>
      <c r="BB883" s="2">
        <f t="shared" ca="1" si="858"/>
        <v>1159108.1839767636</v>
      </c>
      <c r="BC883" s="2">
        <f t="shared" ca="1" si="859"/>
        <v>32302946.361004326</v>
      </c>
      <c r="BD883" s="2">
        <f t="shared" ca="1" si="860"/>
        <v>-17849459.546482109</v>
      </c>
      <c r="BE883" s="2">
        <f t="shared" ca="1" si="861"/>
        <v>2072824.7981442059</v>
      </c>
      <c r="BF883" s="2">
        <f t="shared" ca="1" si="862"/>
        <v>2323976.1524424362</v>
      </c>
      <c r="BG883" s="2">
        <f t="shared" ca="1" si="863"/>
        <v>2571834.4642159524</v>
      </c>
      <c r="BH883" s="2">
        <f t="shared" ca="1" si="864"/>
        <v>2835225.0426915088</v>
      </c>
      <c r="BI883" s="2">
        <f t="shared" ca="1" si="865"/>
        <v>35418067.592503414</v>
      </c>
      <c r="BJ883" s="2">
        <f t="shared" ca="1" si="866"/>
        <v>0.23938209735596683</v>
      </c>
      <c r="BK883" s="2">
        <f t="shared" ca="1" si="867"/>
        <v>9583516.9136283398</v>
      </c>
    </row>
    <row r="884" spans="1:63" x14ac:dyDescent="0.3">
      <c r="A884" s="2">
        <v>883</v>
      </c>
      <c r="B884" s="2">
        <f t="shared" ca="1" si="806"/>
        <v>0.78979907531165905</v>
      </c>
      <c r="C884" s="2">
        <f t="shared" ca="1" si="807"/>
        <v>7.3516159707575444</v>
      </c>
      <c r="D884" s="2">
        <f t="shared" ca="1" si="808"/>
        <v>7.797140552209525E-2</v>
      </c>
      <c r="E884" s="2">
        <f t="shared" ca="1" si="809"/>
        <v>6.8948959496426756</v>
      </c>
      <c r="F884" s="2">
        <f t="shared" ca="1" si="810"/>
        <v>0.82778207199560638</v>
      </c>
      <c r="G884" s="2">
        <f t="shared" ca="1" si="811"/>
        <v>6.8363107885016566E-2</v>
      </c>
      <c r="H884" s="2">
        <f t="shared" ca="1" si="812"/>
        <v>6.8363107885016566E-2</v>
      </c>
      <c r="I884" s="2">
        <f t="shared" ca="1" si="813"/>
        <v>0.6158520334766121</v>
      </c>
      <c r="J884" s="2">
        <f t="shared" ca="1" si="814"/>
        <v>1.1473023096332786E-2</v>
      </c>
      <c r="K884" s="2">
        <f t="shared" ca="1" si="815"/>
        <v>1.1473023096332786E-2</v>
      </c>
      <c r="L884" s="2">
        <f t="shared" ca="1" si="816"/>
        <v>0.54652441682576147</v>
      </c>
      <c r="M884" s="2">
        <f t="shared" ca="1" si="817"/>
        <v>2.3377004690817433E-3</v>
      </c>
      <c r="N884" s="2">
        <f t="shared" ca="1" si="818"/>
        <v>2.3377004690817433E-3</v>
      </c>
      <c r="O884" s="2">
        <f t="shared" si="819"/>
        <v>6000000</v>
      </c>
      <c r="P884" s="2">
        <f t="shared" ca="1" si="820"/>
        <v>44109695.824545264</v>
      </c>
      <c r="Q884" s="2">
        <f t="shared" ca="1" si="821"/>
        <v>1102742.3956136317</v>
      </c>
      <c r="R884" s="2">
        <f t="shared" ca="1" si="822"/>
        <v>26465817.494727157</v>
      </c>
      <c r="S884" s="2">
        <f t="shared" ca="1" si="823"/>
        <v>17643878.329818107</v>
      </c>
      <c r="T884" s="2">
        <f t="shared" ca="1" si="824"/>
        <v>50116885.023454085</v>
      </c>
      <c r="U884" s="2">
        <f t="shared" ca="1" si="825"/>
        <v>53543031.041173451</v>
      </c>
      <c r="V884" s="2">
        <f t="shared" ca="1" si="826"/>
        <v>57203399.04873199</v>
      </c>
      <c r="W884" s="2">
        <f t="shared" ca="1" si="827"/>
        <v>61114001.189290114</v>
      </c>
      <c r="X884" s="2">
        <f t="shared" ca="1" si="828"/>
        <v>65291944.245878592</v>
      </c>
      <c r="Y884" s="2">
        <f t="shared" ca="1" si="829"/>
        <v>0.1257365115481664</v>
      </c>
      <c r="Z884" s="2">
        <f t="shared" ca="1" si="830"/>
        <v>0.12803111616743296</v>
      </c>
      <c r="AA884" s="2">
        <f t="shared" ca="1" si="831"/>
        <v>6301522.292509662</v>
      </c>
      <c r="AB884" s="2">
        <f t="shared" ca="1" si="832"/>
        <v>6855174.0271889465</v>
      </c>
      <c r="AC884" s="2">
        <f t="shared" ca="1" si="833"/>
        <v>7323815.0287802294</v>
      </c>
      <c r="AD884" s="2">
        <f t="shared" ca="1" si="834"/>
        <v>7824493.7857226385</v>
      </c>
      <c r="AE884" s="2">
        <f t="shared" ca="1" si="835"/>
        <v>8359400.4985416383</v>
      </c>
      <c r="AF884" s="2">
        <f t="shared" ca="1" si="836"/>
        <v>1002337.7004690818</v>
      </c>
      <c r="AG884" s="2">
        <f t="shared" ca="1" si="837"/>
        <v>1070860.620823469</v>
      </c>
      <c r="AH884" s="2">
        <f t="shared" ca="1" si="838"/>
        <v>1144067.9809746398</v>
      </c>
      <c r="AI884" s="2">
        <f t="shared" ca="1" si="839"/>
        <v>1222280.0237858023</v>
      </c>
      <c r="AJ884" s="2">
        <f t="shared" ca="1" si="840"/>
        <v>1305838.8849175719</v>
      </c>
      <c r="AK884" s="2">
        <f t="shared" ca="1" si="841"/>
        <v>0</v>
      </c>
      <c r="AL884" s="2">
        <f t="shared" ca="1" si="842"/>
        <v>34261.460177193658</v>
      </c>
      <c r="AM884" s="2">
        <f t="shared" ca="1" si="843"/>
        <v>36603.680075585398</v>
      </c>
      <c r="AN884" s="2">
        <f t="shared" ca="1" si="844"/>
        <v>39106.021405581239</v>
      </c>
      <c r="AO884" s="2">
        <f t="shared" ca="1" si="845"/>
        <v>41779.430565884788</v>
      </c>
      <c r="AP884" s="2">
        <f t="shared" ca="1" si="846"/>
        <v>2381923.5745254438</v>
      </c>
      <c r="AQ884" s="2">
        <f t="shared" ca="1" si="847"/>
        <v>758487.86455393536</v>
      </c>
      <c r="AR884" s="2">
        <f t="shared" ca="1" si="848"/>
        <v>884621.35627840878</v>
      </c>
      <c r="AS884" s="2">
        <f t="shared" ca="1" si="849"/>
        <v>987434.10305283789</v>
      </c>
      <c r="AT884" s="2">
        <f t="shared" ca="1" si="850"/>
        <v>1097275.4487269621</v>
      </c>
      <c r="AU884" s="2">
        <f t="shared" ca="1" si="851"/>
        <v>1214625.8901656419</v>
      </c>
      <c r="AV884" s="2">
        <f t="shared" ca="1" si="852"/>
        <v>2158773.1529612001</v>
      </c>
      <c r="AW884" s="2">
        <f t="shared" ca="1" si="853"/>
        <v>2483507.0153844319</v>
      </c>
      <c r="AX884" s="2">
        <f t="shared" ca="1" si="854"/>
        <v>2773785.6901517222</v>
      </c>
      <c r="AY884" s="2">
        <f t="shared" ca="1" si="855"/>
        <v>3083908.7172788484</v>
      </c>
      <c r="AZ884" s="2">
        <f t="shared" ca="1" si="856"/>
        <v>3415232.718367096</v>
      </c>
      <c r="BA884" s="2">
        <f t="shared" ca="1" si="857"/>
        <v>57637196.638835706</v>
      </c>
      <c r="BB884" s="2">
        <f t="shared" ca="1" si="858"/>
        <v>1152743.9327767142</v>
      </c>
      <c r="BC884" s="2">
        <f t="shared" ca="1" si="859"/>
        <v>30018635.211331833</v>
      </c>
      <c r="BD884" s="2">
        <f t="shared" ca="1" si="860"/>
        <v>-19246620.72543174</v>
      </c>
      <c r="BE884" s="2">
        <f t="shared" ca="1" si="861"/>
        <v>2158773.1529612001</v>
      </c>
      <c r="BF884" s="2">
        <f t="shared" ca="1" si="862"/>
        <v>2483507.0153844319</v>
      </c>
      <c r="BG884" s="2">
        <f t="shared" ca="1" si="863"/>
        <v>2773785.6901517222</v>
      </c>
      <c r="BH884" s="2">
        <f t="shared" ca="1" si="864"/>
        <v>3083908.7172788484</v>
      </c>
      <c r="BI884" s="2">
        <f t="shared" ca="1" si="865"/>
        <v>33433867.929698929</v>
      </c>
      <c r="BJ884" s="2">
        <f t="shared" ca="1" si="866"/>
        <v>0.21194821982323298</v>
      </c>
      <c r="BK884" s="2">
        <f t="shared" ca="1" si="867"/>
        <v>7566172.0532757975</v>
      </c>
    </row>
    <row r="885" spans="1:63" x14ac:dyDescent="0.3">
      <c r="A885" s="2">
        <v>884</v>
      </c>
      <c r="B885" s="2">
        <f t="shared" ca="1" si="806"/>
        <v>4.0462711478948865E-2</v>
      </c>
      <c r="C885" s="2">
        <f t="shared" ca="1" si="807"/>
        <v>6.2844739407360501</v>
      </c>
      <c r="D885" s="2">
        <f t="shared" ca="1" si="808"/>
        <v>1.2087829478850676E-2</v>
      </c>
      <c r="E885" s="2">
        <f t="shared" ca="1" si="809"/>
        <v>6.6554852371053324</v>
      </c>
      <c r="F885" s="2">
        <f t="shared" ca="1" si="810"/>
        <v>0.58828607834990432</v>
      </c>
      <c r="G885" s="2">
        <f t="shared" ca="1" si="811"/>
        <v>4.6694150053591163E-2</v>
      </c>
      <c r="H885" s="2">
        <f t="shared" ca="1" si="812"/>
        <v>4.6694150053591163E-2</v>
      </c>
      <c r="I885" s="2">
        <f t="shared" ca="1" si="813"/>
        <v>0.2397769425951124</v>
      </c>
      <c r="J885" s="2">
        <f t="shared" ca="1" si="814"/>
        <v>6.4648986814022976E-3</v>
      </c>
      <c r="K885" s="2">
        <f t="shared" ca="1" si="815"/>
        <v>6.4648986814022976E-3</v>
      </c>
      <c r="L885" s="2">
        <f t="shared" ca="1" si="816"/>
        <v>0.77611444017067788</v>
      </c>
      <c r="M885" s="2">
        <f t="shared" ca="1" si="817"/>
        <v>1.5182722884553326E-2</v>
      </c>
      <c r="N885" s="2">
        <f t="shared" ca="1" si="818"/>
        <v>1.5182722884553326E-2</v>
      </c>
      <c r="O885" s="2">
        <f t="shared" si="819"/>
        <v>6000000</v>
      </c>
      <c r="P885" s="2">
        <f t="shared" ca="1" si="820"/>
        <v>37706843.644416302</v>
      </c>
      <c r="Q885" s="2">
        <f t="shared" ca="1" si="821"/>
        <v>942671.09111040761</v>
      </c>
      <c r="R885" s="2">
        <f t="shared" ca="1" si="822"/>
        <v>22624106.186649781</v>
      </c>
      <c r="S885" s="2">
        <f t="shared" ca="1" si="823"/>
        <v>15082737.457766522</v>
      </c>
      <c r="T885" s="2">
        <f t="shared" ca="1" si="824"/>
        <v>50759136.144227669</v>
      </c>
      <c r="U885" s="2">
        <f t="shared" ca="1" si="825"/>
        <v>53129290.863936894</v>
      </c>
      <c r="V885" s="2">
        <f t="shared" ca="1" si="826"/>
        <v>55610117.943778448</v>
      </c>
      <c r="W885" s="2">
        <f t="shared" ca="1" si="827"/>
        <v>58206785.135543138</v>
      </c>
      <c r="X885" s="2">
        <f t="shared" ca="1" si="828"/>
        <v>60924701.494799323</v>
      </c>
      <c r="Y885" s="2">
        <f t="shared" ca="1" si="829"/>
        <v>0.12323244934070114</v>
      </c>
      <c r="Z885" s="2">
        <f t="shared" ca="1" si="830"/>
        <v>0.12452542907698161</v>
      </c>
      <c r="AA885" s="2">
        <f t="shared" ca="1" si="831"/>
        <v>6255172.6734712888</v>
      </c>
      <c r="AB885" s="2">
        <f t="shared" ca="1" si="832"/>
        <v>6615947.7413875004</v>
      </c>
      <c r="AC885" s="2">
        <f t="shared" ca="1" si="833"/>
        <v>6924873.797970565</v>
      </c>
      <c r="AD885" s="2">
        <f t="shared" ca="1" si="834"/>
        <v>7248224.8941951841</v>
      </c>
      <c r="AE885" s="2">
        <f t="shared" ca="1" si="835"/>
        <v>7586674.5950269084</v>
      </c>
      <c r="AF885" s="2">
        <f t="shared" ca="1" si="836"/>
        <v>1015182.7228845534</v>
      </c>
      <c r="AG885" s="2">
        <f t="shared" ca="1" si="837"/>
        <v>1062585.8172787379</v>
      </c>
      <c r="AH885" s="2">
        <f t="shared" ca="1" si="838"/>
        <v>1112202.358875569</v>
      </c>
      <c r="AI885" s="2">
        <f t="shared" ca="1" si="839"/>
        <v>1164135.7027108627</v>
      </c>
      <c r="AJ885" s="2">
        <f t="shared" ca="1" si="840"/>
        <v>1218494.0298959864</v>
      </c>
      <c r="AK885" s="2">
        <f t="shared" ca="1" si="841"/>
        <v>0</v>
      </c>
      <c r="AL885" s="2">
        <f t="shared" ca="1" si="842"/>
        <v>23701.547197092252</v>
      </c>
      <c r="AM885" s="2">
        <f t="shared" ca="1" si="843"/>
        <v>24808.270798415542</v>
      </c>
      <c r="AN885" s="2">
        <f t="shared" ca="1" si="844"/>
        <v>25966.671917646901</v>
      </c>
      <c r="AO885" s="2">
        <f t="shared" ca="1" si="845"/>
        <v>27179.163592561858</v>
      </c>
      <c r="AP885" s="2">
        <f t="shared" ca="1" si="846"/>
        <v>2036169.5567984802</v>
      </c>
      <c r="AQ885" s="2">
        <f t="shared" ca="1" si="847"/>
        <v>832993.30238494626</v>
      </c>
      <c r="AR885" s="2">
        <f t="shared" ca="1" si="848"/>
        <v>914470.01550067333</v>
      </c>
      <c r="AS885" s="2">
        <f t="shared" ca="1" si="849"/>
        <v>981890.48939709412</v>
      </c>
      <c r="AT885" s="2">
        <f t="shared" ca="1" si="850"/>
        <v>1052459.1050183186</v>
      </c>
      <c r="AU885" s="2">
        <f t="shared" ca="1" si="851"/>
        <v>1126322.8621664348</v>
      </c>
      <c r="AV885" s="2">
        <f t="shared" ca="1" si="852"/>
        <v>2370827.0914033083</v>
      </c>
      <c r="AW885" s="2">
        <f t="shared" ca="1" si="853"/>
        <v>2579020.8046125164</v>
      </c>
      <c r="AX885" s="2">
        <f t="shared" ca="1" si="854"/>
        <v>2769803.1221010052</v>
      </c>
      <c r="AY885" s="2">
        <f t="shared" ca="1" si="855"/>
        <v>2969493.8577498747</v>
      </c>
      <c r="AZ885" s="2">
        <f t="shared" ca="1" si="856"/>
        <v>3178508.982573445</v>
      </c>
      <c r="BA885" s="2">
        <f t="shared" ca="1" si="857"/>
        <v>50493000.765923664</v>
      </c>
      <c r="BB885" s="2">
        <f t="shared" ca="1" si="858"/>
        <v>1009860.0153184733</v>
      </c>
      <c r="BC885" s="2">
        <f t="shared" ca="1" si="859"/>
        <v>26859034.563955411</v>
      </c>
      <c r="BD885" s="2">
        <f t="shared" ca="1" si="860"/>
        <v>-16525408.54887693</v>
      </c>
      <c r="BE885" s="2">
        <f t="shared" ca="1" si="861"/>
        <v>2370827.0914033083</v>
      </c>
      <c r="BF885" s="2">
        <f t="shared" ca="1" si="862"/>
        <v>2579020.8046125164</v>
      </c>
      <c r="BG885" s="2">
        <f t="shared" ca="1" si="863"/>
        <v>2769803.1221010052</v>
      </c>
      <c r="BH885" s="2">
        <f t="shared" ca="1" si="864"/>
        <v>2969493.8577498747</v>
      </c>
      <c r="BI885" s="2">
        <f t="shared" ca="1" si="865"/>
        <v>30037543.546528857</v>
      </c>
      <c r="BJ885" s="2">
        <f t="shared" ca="1" si="866"/>
        <v>0.24035101331548869</v>
      </c>
      <c r="BK885" s="2">
        <f t="shared" ca="1" si="867"/>
        <v>8550148.02074847</v>
      </c>
    </row>
    <row r="886" spans="1:63" x14ac:dyDescent="0.3">
      <c r="A886" s="2">
        <v>885</v>
      </c>
      <c r="B886" s="2">
        <f t="shared" ca="1" si="806"/>
        <v>0.15645871582738802</v>
      </c>
      <c r="C886" s="2">
        <f t="shared" ca="1" si="807"/>
        <v>6.559390231998</v>
      </c>
      <c r="D886" s="2">
        <f t="shared" ca="1" si="808"/>
        <v>1.3255923431524597E-2</v>
      </c>
      <c r="E886" s="2">
        <f t="shared" ca="1" si="809"/>
        <v>6.6628245892457558</v>
      </c>
      <c r="F886" s="2">
        <f t="shared" ca="1" si="810"/>
        <v>3.9361993809992279E-2</v>
      </c>
      <c r="G886" s="2">
        <f t="shared" ca="1" si="811"/>
        <v>-1.2744147726632064E-2</v>
      </c>
      <c r="H886" s="2">
        <f t="shared" ca="1" si="812"/>
        <v>-1.2744147726632064E-2</v>
      </c>
      <c r="I886" s="2">
        <f t="shared" ca="1" si="813"/>
        <v>0.50703326035447549</v>
      </c>
      <c r="J886" s="2">
        <f t="shared" ca="1" si="814"/>
        <v>1.0088153413072646E-2</v>
      </c>
      <c r="K886" s="2">
        <f t="shared" ca="1" si="815"/>
        <v>1.0088153413072646E-2</v>
      </c>
      <c r="L886" s="2">
        <f t="shared" ca="1" si="816"/>
        <v>4.2597640385365398E-2</v>
      </c>
      <c r="M886" s="2">
        <f t="shared" ca="1" si="817"/>
        <v>-3.4426123366139622E-2</v>
      </c>
      <c r="N886" s="2">
        <f t="shared" ca="1" si="818"/>
        <v>-3.4426123366139622E-2</v>
      </c>
      <c r="O886" s="2">
        <f t="shared" si="819"/>
        <v>6000000</v>
      </c>
      <c r="P886" s="2">
        <f t="shared" ca="1" si="820"/>
        <v>39356341.391988002</v>
      </c>
      <c r="Q886" s="2">
        <f t="shared" ca="1" si="821"/>
        <v>983908.53479970014</v>
      </c>
      <c r="R886" s="2">
        <f t="shared" ca="1" si="822"/>
        <v>23613804.8351928</v>
      </c>
      <c r="S886" s="2">
        <f t="shared" ca="1" si="823"/>
        <v>15742536.556795202</v>
      </c>
      <c r="T886" s="2">
        <f t="shared" ca="1" si="824"/>
        <v>48278693.831693023</v>
      </c>
      <c r="U886" s="2">
        <f t="shared" ca="1" si="825"/>
        <v>47663423.025453091</v>
      </c>
      <c r="V886" s="2">
        <f t="shared" ca="1" si="826"/>
        <v>47055993.321259759</v>
      </c>
      <c r="W886" s="2">
        <f t="shared" ca="1" si="827"/>
        <v>46456304.790950216</v>
      </c>
      <c r="X886" s="2">
        <f t="shared" ca="1" si="828"/>
        <v>45864258.779860906</v>
      </c>
      <c r="Y886" s="2">
        <f t="shared" ca="1" si="829"/>
        <v>0.12504407670653631</v>
      </c>
      <c r="Z886" s="2">
        <f t="shared" ca="1" si="830"/>
        <v>0.12706170738915085</v>
      </c>
      <c r="AA886" s="2">
        <f t="shared" ca="1" si="831"/>
        <v>6036964.6947816033</v>
      </c>
      <c r="AB886" s="2">
        <f t="shared" ca="1" si="832"/>
        <v>6056195.9096254352</v>
      </c>
      <c r="AC886" s="2">
        <f t="shared" ca="1" si="833"/>
        <v>5979014.8542917436</v>
      </c>
      <c r="AD886" s="2">
        <f t="shared" ca="1" si="834"/>
        <v>5902817.4057289232</v>
      </c>
      <c r="AE886" s="2">
        <f t="shared" ca="1" si="835"/>
        <v>5827591.028706979</v>
      </c>
      <c r="AF886" s="2">
        <f t="shared" ca="1" si="836"/>
        <v>965573.87663386052</v>
      </c>
      <c r="AG886" s="2">
        <f t="shared" ca="1" si="837"/>
        <v>953268.46050906181</v>
      </c>
      <c r="AH886" s="2">
        <f t="shared" ca="1" si="838"/>
        <v>941119.86642519524</v>
      </c>
      <c r="AI886" s="2">
        <f t="shared" ca="1" si="839"/>
        <v>929126.09581900435</v>
      </c>
      <c r="AJ886" s="2">
        <f t="shared" ca="1" si="840"/>
        <v>917285.1755972181</v>
      </c>
      <c r="AK886" s="2">
        <f t="shared" ca="1" si="841"/>
        <v>0</v>
      </c>
      <c r="AL886" s="2">
        <f t="shared" ca="1" si="842"/>
        <v>0</v>
      </c>
      <c r="AM886" s="2">
        <f t="shared" ca="1" si="843"/>
        <v>0</v>
      </c>
      <c r="AN886" s="2">
        <f t="shared" ca="1" si="844"/>
        <v>0</v>
      </c>
      <c r="AO886" s="2">
        <f t="shared" ca="1" si="845"/>
        <v>0</v>
      </c>
      <c r="AP886" s="2">
        <f t="shared" ca="1" si="846"/>
        <v>2125242.4351673517</v>
      </c>
      <c r="AQ886" s="2">
        <f t="shared" ca="1" si="847"/>
        <v>765998.57957490184</v>
      </c>
      <c r="AR886" s="2">
        <f t="shared" ca="1" si="848"/>
        <v>774198.10362674564</v>
      </c>
      <c r="AS886" s="2">
        <f t="shared" ca="1" si="849"/>
        <v>757289.66370179132</v>
      </c>
      <c r="AT886" s="2">
        <f t="shared" ca="1" si="850"/>
        <v>740596.70743306761</v>
      </c>
      <c r="AU886" s="2">
        <f t="shared" ca="1" si="851"/>
        <v>724116.4886650265</v>
      </c>
      <c r="AV886" s="2">
        <f t="shared" ca="1" si="852"/>
        <v>2180149.8034054898</v>
      </c>
      <c r="AW886" s="2">
        <f t="shared" ca="1" si="853"/>
        <v>2203486.9103222759</v>
      </c>
      <c r="AX886" s="2">
        <f t="shared" ca="1" si="854"/>
        <v>2155362.8889974058</v>
      </c>
      <c r="AY886" s="2">
        <f t="shared" ca="1" si="855"/>
        <v>2107852.1673095003</v>
      </c>
      <c r="AZ886" s="2">
        <f t="shared" ca="1" si="856"/>
        <v>2060946.9292773828</v>
      </c>
      <c r="BA886" s="2">
        <f t="shared" ca="1" si="857"/>
        <v>38828216.802136831</v>
      </c>
      <c r="BB886" s="2">
        <f t="shared" ca="1" si="858"/>
        <v>776564.33604273666</v>
      </c>
      <c r="BC886" s="2">
        <f t="shared" ca="1" si="859"/>
        <v>14437847.630901296</v>
      </c>
      <c r="BD886" s="2">
        <f t="shared" ca="1" si="860"/>
        <v>-17226445.091594905</v>
      </c>
      <c r="BE886" s="2">
        <f t="shared" ca="1" si="861"/>
        <v>2180149.8034054898</v>
      </c>
      <c r="BF886" s="2">
        <f t="shared" ca="1" si="862"/>
        <v>2203486.9103222759</v>
      </c>
      <c r="BG886" s="2">
        <f t="shared" ca="1" si="863"/>
        <v>2155362.8889974058</v>
      </c>
      <c r="BH886" s="2">
        <f t="shared" ca="1" si="864"/>
        <v>2107852.1673095003</v>
      </c>
      <c r="BI886" s="2">
        <f t="shared" ca="1" si="865"/>
        <v>16498794.560178678</v>
      </c>
      <c r="BJ886" s="2">
        <f t="shared" ca="1" si="866"/>
        <v>9.8054066323046474E-2</v>
      </c>
      <c r="BK886" s="2">
        <f t="shared" ca="1" si="867"/>
        <v>-1287694.4823352769</v>
      </c>
    </row>
    <row r="887" spans="1:63" x14ac:dyDescent="0.3">
      <c r="A887" s="2">
        <v>886</v>
      </c>
      <c r="B887" s="2">
        <f t="shared" ca="1" si="806"/>
        <v>0.9550419722639214</v>
      </c>
      <c r="C887" s="2">
        <f t="shared" ca="1" si="807"/>
        <v>7.7001399401851636</v>
      </c>
      <c r="D887" s="2">
        <f t="shared" ca="1" si="808"/>
        <v>0.17319733025100781</v>
      </c>
      <c r="E887" s="2">
        <f t="shared" ca="1" si="809"/>
        <v>7.0885530226768152</v>
      </c>
      <c r="F887" s="2">
        <f t="shared" ca="1" si="810"/>
        <v>0.87070103685080091</v>
      </c>
      <c r="G887" s="2">
        <f t="shared" ca="1" si="811"/>
        <v>7.3891336712690867E-2</v>
      </c>
      <c r="H887" s="2">
        <f t="shared" ca="1" si="812"/>
        <v>7.3891336712690867E-2</v>
      </c>
      <c r="I887" s="2">
        <f t="shared" ca="1" si="813"/>
        <v>0.43780379961665439</v>
      </c>
      <c r="J887" s="2">
        <f t="shared" ca="1" si="814"/>
        <v>9.2173013120159034E-3</v>
      </c>
      <c r="K887" s="2">
        <f t="shared" ca="1" si="815"/>
        <v>9.2173013120159034E-3</v>
      </c>
      <c r="L887" s="2">
        <f t="shared" ca="1" si="816"/>
        <v>0.97009239325158381</v>
      </c>
      <c r="M887" s="2">
        <f t="shared" ca="1" si="817"/>
        <v>3.7643064640960969E-2</v>
      </c>
      <c r="N887" s="2">
        <f t="shared" ca="1" si="818"/>
        <v>3.7643064640960969E-2</v>
      </c>
      <c r="O887" s="2">
        <f t="shared" si="819"/>
        <v>6000000</v>
      </c>
      <c r="P887" s="2">
        <f t="shared" ca="1" si="820"/>
        <v>46200839.641110979</v>
      </c>
      <c r="Q887" s="2">
        <f t="shared" ca="1" si="821"/>
        <v>1155020.9910277745</v>
      </c>
      <c r="R887" s="2">
        <f t="shared" ca="1" si="822"/>
        <v>27720503.784666587</v>
      </c>
      <c r="S887" s="2">
        <f t="shared" ca="1" si="823"/>
        <v>18480335.856444392</v>
      </c>
      <c r="T887" s="2">
        <f t="shared" ca="1" si="824"/>
        <v>51882153.232048042</v>
      </c>
      <c r="U887" s="2">
        <f t="shared" ca="1" si="825"/>
        <v>55715794.88589672</v>
      </c>
      <c r="V887" s="2">
        <f t="shared" ca="1" si="826"/>
        <v>59832709.446025729</v>
      </c>
      <c r="W887" s="2">
        <f t="shared" ca="1" si="827"/>
        <v>64253828.326134607</v>
      </c>
      <c r="X887" s="2">
        <f t="shared" ca="1" si="828"/>
        <v>69001629.590060443</v>
      </c>
      <c r="Y887" s="2">
        <f t="shared" ca="1" si="829"/>
        <v>0.12460865065600794</v>
      </c>
      <c r="Z887" s="2">
        <f t="shared" ca="1" si="830"/>
        <v>0.12645211091841113</v>
      </c>
      <c r="AA887" s="2">
        <f t="shared" ca="1" si="831"/>
        <v>6464965.107373748</v>
      </c>
      <c r="AB887" s="2">
        <f t="shared" ca="1" si="832"/>
        <v>7045379.8748188559</v>
      </c>
      <c r="AC887" s="2">
        <f t="shared" ca="1" si="833"/>
        <v>7565972.4114179108</v>
      </c>
      <c r="AD887" s="2">
        <f t="shared" ca="1" si="834"/>
        <v>8125032.2264289204</v>
      </c>
      <c r="AE887" s="2">
        <f t="shared" ca="1" si="835"/>
        <v>8725401.7184734419</v>
      </c>
      <c r="AF887" s="2">
        <f t="shared" ca="1" si="836"/>
        <v>1037643.0646409609</v>
      </c>
      <c r="AG887" s="2">
        <f t="shared" ca="1" si="837"/>
        <v>1114315.8977179343</v>
      </c>
      <c r="AH887" s="2">
        <f t="shared" ca="1" si="838"/>
        <v>1196654.1889205147</v>
      </c>
      <c r="AI887" s="2">
        <f t="shared" ca="1" si="839"/>
        <v>1285076.5665226921</v>
      </c>
      <c r="AJ887" s="2">
        <f t="shared" ca="1" si="840"/>
        <v>1380032.5918012089</v>
      </c>
      <c r="AK887" s="2">
        <f t="shared" ca="1" si="841"/>
        <v>0</v>
      </c>
      <c r="AL887" s="2">
        <f t="shared" ca="1" si="842"/>
        <v>38336.416538486781</v>
      </c>
      <c r="AM887" s="2">
        <f t="shared" ca="1" si="843"/>
        <v>41169.145601290096</v>
      </c>
      <c r="AN887" s="2">
        <f t="shared" ca="1" si="844"/>
        <v>44211.188801088778</v>
      </c>
      <c r="AO887" s="2">
        <f t="shared" ca="1" si="845"/>
        <v>47478.012639258355</v>
      </c>
      <c r="AP887" s="2">
        <f t="shared" ca="1" si="846"/>
        <v>2494845.3406199929</v>
      </c>
      <c r="AQ887" s="2">
        <f t="shared" ca="1" si="847"/>
        <v>762443.94254932657</v>
      </c>
      <c r="AR887" s="2">
        <f t="shared" ca="1" si="848"/>
        <v>893416.8454850415</v>
      </c>
      <c r="AS887" s="2">
        <f t="shared" ca="1" si="849"/>
        <v>1007362.9492881249</v>
      </c>
      <c r="AT887" s="2">
        <f t="shared" ca="1" si="850"/>
        <v>1129728.683014421</v>
      </c>
      <c r="AU887" s="2">
        <f t="shared" ca="1" si="851"/>
        <v>1261136.1843735825</v>
      </c>
      <c r="AV887" s="2">
        <f t="shared" ca="1" si="852"/>
        <v>2170032.7595634679</v>
      </c>
      <c r="AW887" s="2">
        <f t="shared" ca="1" si="853"/>
        <v>2504465.3744573998</v>
      </c>
      <c r="AX887" s="2">
        <f t="shared" ca="1" si="854"/>
        <v>2825940.7869879878</v>
      </c>
      <c r="AY887" s="2">
        <f t="shared" ca="1" si="855"/>
        <v>3171170.447470726</v>
      </c>
      <c r="AZ887" s="2">
        <f t="shared" ca="1" si="856"/>
        <v>3541909.5890393988</v>
      </c>
      <c r="BA887" s="2">
        <f t="shared" ca="1" si="857"/>
        <v>61850472.725554392</v>
      </c>
      <c r="BB887" s="2">
        <f t="shared" ca="1" si="858"/>
        <v>1237009.4545110879</v>
      </c>
      <c r="BC887" s="2">
        <f t="shared" ca="1" si="859"/>
        <v>32892959.486376721</v>
      </c>
      <c r="BD887" s="2">
        <f t="shared" ca="1" si="860"/>
        <v>-20135356.847472169</v>
      </c>
      <c r="BE887" s="2">
        <f t="shared" ca="1" si="861"/>
        <v>2170032.7595634679</v>
      </c>
      <c r="BF887" s="2">
        <f t="shared" ca="1" si="862"/>
        <v>2504465.3744573998</v>
      </c>
      <c r="BG887" s="2">
        <f t="shared" ca="1" si="863"/>
        <v>2825940.7869879878</v>
      </c>
      <c r="BH887" s="2">
        <f t="shared" ca="1" si="864"/>
        <v>3171170.447470726</v>
      </c>
      <c r="BI887" s="2">
        <f t="shared" ca="1" si="865"/>
        <v>36434869.075416118</v>
      </c>
      <c r="BJ887" s="2">
        <f t="shared" ca="1" si="866"/>
        <v>0.21699986453658826</v>
      </c>
      <c r="BK887" s="2">
        <f t="shared" ca="1" si="867"/>
        <v>8499625.0459153466</v>
      </c>
    </row>
    <row r="888" spans="1:63" x14ac:dyDescent="0.3">
      <c r="A888" s="2">
        <v>887</v>
      </c>
      <c r="B888" s="2">
        <f t="shared" ca="1" si="806"/>
        <v>0.13842903347197866</v>
      </c>
      <c r="C888" s="2">
        <f t="shared" ca="1" si="807"/>
        <v>6.5261730389747816</v>
      </c>
      <c r="D888" s="2">
        <f t="shared" ca="1" si="808"/>
        <v>0.36616357214298145</v>
      </c>
      <c r="E888" s="2">
        <f t="shared" ca="1" si="809"/>
        <v>7.3557611490865682</v>
      </c>
      <c r="F888" s="2">
        <f t="shared" ca="1" si="810"/>
        <v>0.37045380332232825</v>
      </c>
      <c r="G888" s="2">
        <f t="shared" ca="1" si="811"/>
        <v>3.0080449672957924E-2</v>
      </c>
      <c r="H888" s="2">
        <f t="shared" ca="1" si="812"/>
        <v>3.0080449672957924E-2</v>
      </c>
      <c r="I888" s="2">
        <f t="shared" ca="1" si="813"/>
        <v>0.30694375041170663</v>
      </c>
      <c r="J888" s="2">
        <f t="shared" ca="1" si="814"/>
        <v>7.4773394290515594E-3</v>
      </c>
      <c r="K888" s="2">
        <f t="shared" ca="1" si="815"/>
        <v>7.4773394290515594E-3</v>
      </c>
      <c r="L888" s="2">
        <f t="shared" ca="1" si="816"/>
        <v>0.73405546323523985</v>
      </c>
      <c r="M888" s="2">
        <f t="shared" ca="1" si="817"/>
        <v>1.250249840098205E-2</v>
      </c>
      <c r="N888" s="2">
        <f t="shared" ca="1" si="818"/>
        <v>1.250249840098205E-2</v>
      </c>
      <c r="O888" s="2">
        <f t="shared" si="819"/>
        <v>6000000</v>
      </c>
      <c r="P888" s="2">
        <f t="shared" ca="1" si="820"/>
        <v>39157038.233848691</v>
      </c>
      <c r="Q888" s="2">
        <f t="shared" ca="1" si="821"/>
        <v>978925.95584621734</v>
      </c>
      <c r="R888" s="2">
        <f t="shared" ca="1" si="822"/>
        <v>23494222.940309215</v>
      </c>
      <c r="S888" s="2">
        <f t="shared" ca="1" si="823"/>
        <v>15662815.293539478</v>
      </c>
      <c r="T888" s="2">
        <f t="shared" ca="1" si="824"/>
        <v>50625124.920049101</v>
      </c>
      <c r="U888" s="2">
        <f t="shared" ca="1" si="825"/>
        <v>52147951.442393847</v>
      </c>
      <c r="V888" s="2">
        <f t="shared" ca="1" si="826"/>
        <v>53716585.271304622</v>
      </c>
      <c r="W888" s="2">
        <f t="shared" ca="1" si="827"/>
        <v>55332404.31116125</v>
      </c>
      <c r="X888" s="2">
        <f t="shared" ca="1" si="828"/>
        <v>56996827.914326891</v>
      </c>
      <c r="Y888" s="2">
        <f t="shared" ca="1" si="829"/>
        <v>0.12373866971452578</v>
      </c>
      <c r="Z888" s="2">
        <f t="shared" ca="1" si="830"/>
        <v>0.12523413760033608</v>
      </c>
      <c r="AA888" s="2">
        <f t="shared" ca="1" si="831"/>
        <v>6264285.6117385644</v>
      </c>
      <c r="AB888" s="2">
        <f t="shared" ca="1" si="832"/>
        <v>6530703.7265123958</v>
      </c>
      <c r="AC888" s="2">
        <f t="shared" ca="1" si="833"/>
        <v>6727150.2312867492</v>
      </c>
      <c r="AD888" s="2">
        <f t="shared" ca="1" si="834"/>
        <v>6929505.9352613976</v>
      </c>
      <c r="AE888" s="2">
        <f t="shared" ca="1" si="835"/>
        <v>7137948.5898054903</v>
      </c>
      <c r="AF888" s="2">
        <f t="shared" ca="1" si="836"/>
        <v>1012502.498400982</v>
      </c>
      <c r="AG888" s="2">
        <f t="shared" ca="1" si="837"/>
        <v>1042959.0288478769</v>
      </c>
      <c r="AH888" s="2">
        <f t="shared" ca="1" si="838"/>
        <v>1074331.7054260925</v>
      </c>
      <c r="AI888" s="2">
        <f t="shared" ca="1" si="839"/>
        <v>1106648.0862232251</v>
      </c>
      <c r="AJ888" s="2">
        <f t="shared" ca="1" si="840"/>
        <v>1139936.5582865379</v>
      </c>
      <c r="AK888" s="2">
        <f t="shared" ca="1" si="841"/>
        <v>0</v>
      </c>
      <c r="AL888" s="2">
        <f t="shared" ca="1" si="842"/>
        <v>15228.265223447457</v>
      </c>
      <c r="AM888" s="2">
        <f t="shared" ca="1" si="843"/>
        <v>15686.338289107754</v>
      </c>
      <c r="AN888" s="2">
        <f t="shared" ca="1" si="844"/>
        <v>16158.190398566276</v>
      </c>
      <c r="AO888" s="2">
        <f t="shared" ca="1" si="845"/>
        <v>16644.236031656415</v>
      </c>
      <c r="AP888" s="2">
        <f t="shared" ca="1" si="846"/>
        <v>2114480.0646278295</v>
      </c>
      <c r="AQ888" s="2">
        <f t="shared" ca="1" si="847"/>
        <v>815698.79266453569</v>
      </c>
      <c r="AR888" s="2">
        <f t="shared" ca="1" si="848"/>
        <v>877048.8045895393</v>
      </c>
      <c r="AS888" s="2">
        <f t="shared" ca="1" si="849"/>
        <v>919967.99992053513</v>
      </c>
      <c r="AT888" s="2">
        <f t="shared" ca="1" si="850"/>
        <v>964178.22394668928</v>
      </c>
      <c r="AU888" s="2">
        <f t="shared" ca="1" si="851"/>
        <v>1009718.3113916921</v>
      </c>
      <c r="AV888" s="2">
        <f t="shared" ca="1" si="852"/>
        <v>2321604.2560452172</v>
      </c>
      <c r="AW888" s="2">
        <f t="shared" ca="1" si="853"/>
        <v>2480987.5632237033</v>
      </c>
      <c r="AX888" s="2">
        <f t="shared" ca="1" si="854"/>
        <v>2602684.1230231845</v>
      </c>
      <c r="AY888" s="2">
        <f t="shared" ca="1" si="855"/>
        <v>2728041.370065087</v>
      </c>
      <c r="AZ888" s="2">
        <f t="shared" ca="1" si="856"/>
        <v>2857169.4194677756</v>
      </c>
      <c r="BA888" s="2">
        <f t="shared" ca="1" si="857"/>
        <v>52505044.921068482</v>
      </c>
      <c r="BB888" s="2">
        <f t="shared" ca="1" si="858"/>
        <v>1050100.8984213697</v>
      </c>
      <c r="BC888" s="2">
        <f t="shared" ca="1" si="859"/>
        <v>27960721.082337897</v>
      </c>
      <c r="BD888" s="2">
        <f t="shared" ca="1" si="860"/>
        <v>-17141741.249385692</v>
      </c>
      <c r="BE888" s="2">
        <f t="shared" ca="1" si="861"/>
        <v>2321604.2560452172</v>
      </c>
      <c r="BF888" s="2">
        <f t="shared" ca="1" si="862"/>
        <v>2480987.5632237033</v>
      </c>
      <c r="BG888" s="2">
        <f t="shared" ca="1" si="863"/>
        <v>2602684.1230231845</v>
      </c>
      <c r="BH888" s="2">
        <f t="shared" ca="1" si="864"/>
        <v>2728041.370065087</v>
      </c>
      <c r="BI888" s="2">
        <f t="shared" ca="1" si="865"/>
        <v>30817890.501805674</v>
      </c>
      <c r="BJ888" s="2">
        <f t="shared" ca="1" si="866"/>
        <v>0.22862356058213651</v>
      </c>
      <c r="BK888" s="2">
        <f t="shared" ca="1" si="867"/>
        <v>7982105.2558917776</v>
      </c>
    </row>
    <row r="889" spans="1:63" x14ac:dyDescent="0.3">
      <c r="A889" s="2">
        <v>888</v>
      </c>
      <c r="B889" s="2">
        <f t="shared" ca="1" si="806"/>
        <v>0.20768908431593636</v>
      </c>
      <c r="C889" s="2">
        <f t="shared" ca="1" si="807"/>
        <v>6.6444983852825956</v>
      </c>
      <c r="D889" s="2">
        <f t="shared" ca="1" si="808"/>
        <v>0.55251395266641024</v>
      </c>
      <c r="E889" s="2">
        <f t="shared" ca="1" si="809"/>
        <v>7.5539703521204107</v>
      </c>
      <c r="F889" s="2">
        <f t="shared" ca="1" si="810"/>
        <v>0.40627041428023891</v>
      </c>
      <c r="G889" s="2">
        <f t="shared" ca="1" si="811"/>
        <v>3.2885515640788898E-2</v>
      </c>
      <c r="H889" s="2">
        <f t="shared" ca="1" si="812"/>
        <v>3.2885515640788898E-2</v>
      </c>
      <c r="I889" s="2">
        <f t="shared" ca="1" si="813"/>
        <v>0.93748073347171745</v>
      </c>
      <c r="J889" s="2">
        <f t="shared" ca="1" si="814"/>
        <v>1.7669819521425604E-2</v>
      </c>
      <c r="K889" s="2">
        <f t="shared" ca="1" si="815"/>
        <v>1.7669819521425604E-2</v>
      </c>
      <c r="L889" s="2">
        <f t="shared" ca="1" si="816"/>
        <v>0.1287223452735422</v>
      </c>
      <c r="M889" s="2">
        <f t="shared" ca="1" si="817"/>
        <v>-2.2649028723414105E-2</v>
      </c>
      <c r="N889" s="2">
        <f t="shared" ca="1" si="818"/>
        <v>-2.2649028723414105E-2</v>
      </c>
      <c r="O889" s="2">
        <f t="shared" si="819"/>
        <v>6000000</v>
      </c>
      <c r="P889" s="2">
        <f t="shared" ca="1" si="820"/>
        <v>39866990.311695576</v>
      </c>
      <c r="Q889" s="2">
        <f t="shared" ca="1" si="821"/>
        <v>996674.75779238949</v>
      </c>
      <c r="R889" s="2">
        <f t="shared" ca="1" si="822"/>
        <v>23920194.187017344</v>
      </c>
      <c r="S889" s="2">
        <f t="shared" ca="1" si="823"/>
        <v>15946796.124678232</v>
      </c>
      <c r="T889" s="2">
        <f t="shared" ca="1" si="824"/>
        <v>48867548.563829295</v>
      </c>
      <c r="U889" s="2">
        <f t="shared" ca="1" si="825"/>
        <v>50474583.096452117</v>
      </c>
      <c r="V889" s="2">
        <f t="shared" ca="1" si="826"/>
        <v>52134465.788332798</v>
      </c>
      <c r="W889" s="2">
        <f t="shared" ca="1" si="827"/>
        <v>53848934.578439198</v>
      </c>
      <c r="X889" s="2">
        <f t="shared" ca="1" si="828"/>
        <v>55619784.558758281</v>
      </c>
      <c r="Y889" s="2">
        <f t="shared" ca="1" si="829"/>
        <v>0.1288349097607128</v>
      </c>
      <c r="Z889" s="2">
        <f t="shared" ca="1" si="830"/>
        <v>0.13236887366499792</v>
      </c>
      <c r="AA889" s="2">
        <f t="shared" ca="1" si="831"/>
        <v>6295846.2094481979</v>
      </c>
      <c r="AB889" s="2">
        <f t="shared" ca="1" si="832"/>
        <v>6681263.7131877095</v>
      </c>
      <c r="AC889" s="2">
        <f t="shared" ca="1" si="833"/>
        <v>6900980.5155279804</v>
      </c>
      <c r="AD889" s="2">
        <f t="shared" ca="1" si="834"/>
        <v>7127922.8182081562</v>
      </c>
      <c r="AE889" s="2">
        <f t="shared" ca="1" si="835"/>
        <v>7362328.2355326768</v>
      </c>
      <c r="AF889" s="2">
        <f t="shared" ca="1" si="836"/>
        <v>977350.97127658594</v>
      </c>
      <c r="AG889" s="2">
        <f t="shared" ca="1" si="837"/>
        <v>1009491.6619290423</v>
      </c>
      <c r="AH889" s="2">
        <f t="shared" ca="1" si="838"/>
        <v>1042689.315766656</v>
      </c>
      <c r="AI889" s="2">
        <f t="shared" ca="1" si="839"/>
        <v>1076978.691568784</v>
      </c>
      <c r="AJ889" s="2">
        <f t="shared" ca="1" si="840"/>
        <v>1112395.6911751656</v>
      </c>
      <c r="AK889" s="2">
        <f t="shared" ca="1" si="841"/>
        <v>0</v>
      </c>
      <c r="AL889" s="2">
        <f t="shared" ca="1" si="842"/>
        <v>16070.345326228216</v>
      </c>
      <c r="AM889" s="2">
        <f t="shared" ca="1" si="843"/>
        <v>16598.826918806808</v>
      </c>
      <c r="AN889" s="2">
        <f t="shared" ca="1" si="844"/>
        <v>17144.687901064008</v>
      </c>
      <c r="AO889" s="2">
        <f t="shared" ca="1" si="845"/>
        <v>17708.499803190829</v>
      </c>
      <c r="AP889" s="2">
        <f t="shared" ca="1" si="846"/>
        <v>2152817.476831561</v>
      </c>
      <c r="AQ889" s="2">
        <f t="shared" ca="1" si="847"/>
        <v>823076.21794841322</v>
      </c>
      <c r="AR889" s="2">
        <f t="shared" ca="1" si="848"/>
        <v>914928.18935104774</v>
      </c>
      <c r="AS889" s="2">
        <f t="shared" ca="1" si="849"/>
        <v>963423.16796173854</v>
      </c>
      <c r="AT889" s="2">
        <f t="shared" ca="1" si="850"/>
        <v>1013512.9289500308</v>
      </c>
      <c r="AU889" s="2">
        <f t="shared" ca="1" si="851"/>
        <v>1065249.9175567471</v>
      </c>
      <c r="AV889" s="2">
        <f t="shared" ca="1" si="852"/>
        <v>2342601.5433916375</v>
      </c>
      <c r="AW889" s="2">
        <f t="shared" ca="1" si="853"/>
        <v>2587956.039749831</v>
      </c>
      <c r="AX889" s="2">
        <f t="shared" ca="1" si="854"/>
        <v>2725451.7280492187</v>
      </c>
      <c r="AY889" s="2">
        <f t="shared" ca="1" si="855"/>
        <v>2867469.0329567157</v>
      </c>
      <c r="AZ889" s="2">
        <f t="shared" ca="1" si="856"/>
        <v>3014156.6501660123</v>
      </c>
      <c r="BA889" s="2">
        <f t="shared" ca="1" si="857"/>
        <v>55614809.213792816</v>
      </c>
      <c r="BB889" s="2">
        <f t="shared" ca="1" si="858"/>
        <v>1112296.1842758562</v>
      </c>
      <c r="BC889" s="2">
        <f t="shared" ca="1" si="859"/>
        <v>30582318.842499614</v>
      </c>
      <c r="BD889" s="2">
        <f t="shared" ca="1" si="860"/>
        <v>-17443470.882470623</v>
      </c>
      <c r="BE889" s="2">
        <f t="shared" ca="1" si="861"/>
        <v>2342601.5433916375</v>
      </c>
      <c r="BF889" s="2">
        <f t="shared" ca="1" si="862"/>
        <v>2587956.039749831</v>
      </c>
      <c r="BG889" s="2">
        <f t="shared" ca="1" si="863"/>
        <v>2725451.7280492187</v>
      </c>
      <c r="BH889" s="2">
        <f t="shared" ca="1" si="864"/>
        <v>2867469.0329567157</v>
      </c>
      <c r="BI889" s="2">
        <f t="shared" ca="1" si="865"/>
        <v>33596475.492665626</v>
      </c>
      <c r="BJ889" s="2">
        <f t="shared" ca="1" si="866"/>
        <v>0.24403469485112184</v>
      </c>
      <c r="BK889" s="2">
        <f t="shared" ca="1" si="867"/>
        <v>9537033.916809123</v>
      </c>
    </row>
    <row r="890" spans="1:63" x14ac:dyDescent="0.3">
      <c r="A890" s="2">
        <v>889</v>
      </c>
      <c r="B890" s="2">
        <f t="shared" ca="1" si="806"/>
        <v>0.47658996100602147</v>
      </c>
      <c r="C890" s="2">
        <f t="shared" ca="1" si="807"/>
        <v>6.9763093372553815</v>
      </c>
      <c r="D890" s="2">
        <f t="shared" ca="1" si="808"/>
        <v>0.29004399078393917</v>
      </c>
      <c r="E890" s="2">
        <f t="shared" ca="1" si="809"/>
        <v>7.2616350711251929</v>
      </c>
      <c r="F890" s="2">
        <f t="shared" ca="1" si="810"/>
        <v>0.83800611848123119</v>
      </c>
      <c r="G890" s="2">
        <f t="shared" ca="1" si="811"/>
        <v>6.9588887278792186E-2</v>
      </c>
      <c r="H890" s="2">
        <f t="shared" ca="1" si="812"/>
        <v>6.9588887278792186E-2</v>
      </c>
      <c r="I890" s="2">
        <f t="shared" ca="1" si="813"/>
        <v>3.0540180537905193E-2</v>
      </c>
      <c r="J890" s="2">
        <f t="shared" ca="1" si="814"/>
        <v>6.354336007419973E-4</v>
      </c>
      <c r="K890" s="2">
        <f t="shared" ca="1" si="815"/>
        <v>6.354336007419973E-4</v>
      </c>
      <c r="L890" s="2">
        <f t="shared" ca="1" si="816"/>
        <v>0.26527729415775159</v>
      </c>
      <c r="M890" s="2">
        <f t="shared" ca="1" si="817"/>
        <v>-1.2543193042359487E-2</v>
      </c>
      <c r="N890" s="2">
        <f t="shared" ca="1" si="818"/>
        <v>-1.2543193042359487E-2</v>
      </c>
      <c r="O890" s="2">
        <f t="shared" si="819"/>
        <v>6000000</v>
      </c>
      <c r="P890" s="2">
        <f t="shared" ca="1" si="820"/>
        <v>41857856.023532286</v>
      </c>
      <c r="Q890" s="2">
        <f t="shared" ca="1" si="821"/>
        <v>1046446.4005883072</v>
      </c>
      <c r="R890" s="2">
        <f t="shared" ca="1" si="822"/>
        <v>25114713.61411937</v>
      </c>
      <c r="S890" s="2">
        <f t="shared" ca="1" si="823"/>
        <v>16743142.409412915</v>
      </c>
      <c r="T890" s="2">
        <f t="shared" ca="1" si="824"/>
        <v>49372840.347882025</v>
      </c>
      <c r="U890" s="2">
        <f t="shared" ca="1" si="825"/>
        <v>52808641.369484589</v>
      </c>
      <c r="V890" s="2">
        <f t="shared" ca="1" si="826"/>
        <v>56483535.961091816</v>
      </c>
      <c r="W890" s="2">
        <f t="shared" ca="1" si="827"/>
        <v>60414162.378195837</v>
      </c>
      <c r="X890" s="2">
        <f t="shared" ca="1" si="828"/>
        <v>64618316.713974759</v>
      </c>
      <c r="Y890" s="2">
        <f t="shared" ca="1" si="829"/>
        <v>0.120317716800371</v>
      </c>
      <c r="Z890" s="2">
        <f t="shared" ca="1" si="830"/>
        <v>0.12044480352051939</v>
      </c>
      <c r="AA890" s="2">
        <f t="shared" ca="1" si="831"/>
        <v>5940427.4226064002</v>
      </c>
      <c r="AB890" s="2">
        <f t="shared" ca="1" si="832"/>
        <v>6360526.4339331435</v>
      </c>
      <c r="AC890" s="2">
        <f t="shared" ca="1" si="833"/>
        <v>6803148.3909778958</v>
      </c>
      <c r="AD890" s="2">
        <f t="shared" ca="1" si="834"/>
        <v>7276571.9174985522</v>
      </c>
      <c r="AE890" s="2">
        <f t="shared" ca="1" si="835"/>
        <v>7782940.4604413845</v>
      </c>
      <c r="AF890" s="2">
        <f t="shared" ca="1" si="836"/>
        <v>987456.80695764057</v>
      </c>
      <c r="AG890" s="2">
        <f t="shared" ca="1" si="837"/>
        <v>1056172.8273896917</v>
      </c>
      <c r="AH890" s="2">
        <f t="shared" ca="1" si="838"/>
        <v>1129670.7192218364</v>
      </c>
      <c r="AI890" s="2">
        <f t="shared" ca="1" si="839"/>
        <v>1208283.2475639167</v>
      </c>
      <c r="AJ890" s="2">
        <f t="shared" ca="1" si="840"/>
        <v>1292366.3342794953</v>
      </c>
      <c r="AK890" s="2">
        <f t="shared" ca="1" si="841"/>
        <v>0</v>
      </c>
      <c r="AL890" s="2">
        <f t="shared" ca="1" si="842"/>
        <v>34358.010216025636</v>
      </c>
      <c r="AM890" s="2">
        <f t="shared" ca="1" si="843"/>
        <v>36748.945916072284</v>
      </c>
      <c r="AN890" s="2">
        <f t="shared" ca="1" si="844"/>
        <v>39306.264171040209</v>
      </c>
      <c r="AO890" s="2">
        <f t="shared" ca="1" si="845"/>
        <v>42041.543357789218</v>
      </c>
      <c r="AP890" s="2">
        <f t="shared" ca="1" si="846"/>
        <v>2260324.225270743</v>
      </c>
      <c r="AQ890" s="2">
        <f t="shared" ca="1" si="847"/>
        <v>700088.06149828434</v>
      </c>
      <c r="AR890" s="2">
        <f t="shared" ca="1" si="848"/>
        <v>791447.63913090422</v>
      </c>
      <c r="AS890" s="2">
        <f t="shared" ca="1" si="849"/>
        <v>887419.89608618221</v>
      </c>
      <c r="AT890" s="2">
        <f t="shared" ca="1" si="850"/>
        <v>990070.75561261224</v>
      </c>
      <c r="AU890" s="2">
        <f t="shared" ca="1" si="851"/>
        <v>1099864.9742316979</v>
      </c>
      <c r="AV890" s="2">
        <f t="shared" ca="1" si="852"/>
        <v>1992558.3288797322</v>
      </c>
      <c r="AW890" s="2">
        <f t="shared" ca="1" si="853"/>
        <v>2218223.7319257786</v>
      </c>
      <c r="AX890" s="2">
        <f t="shared" ca="1" si="854"/>
        <v>2488984.604483061</v>
      </c>
      <c r="AY890" s="2">
        <f t="shared" ca="1" si="855"/>
        <v>2778587.4248802396</v>
      </c>
      <c r="AZ890" s="2">
        <f t="shared" ca="1" si="856"/>
        <v>3088343.383301659</v>
      </c>
      <c r="BA890" s="2">
        <f t="shared" ca="1" si="857"/>
        <v>56516873.404020414</v>
      </c>
      <c r="BB890" s="2">
        <f t="shared" ca="1" si="858"/>
        <v>1130337.4680804084</v>
      </c>
      <c r="BC890" s="2">
        <f t="shared" ca="1" si="859"/>
        <v>30271822.321820635</v>
      </c>
      <c r="BD890" s="2">
        <f t="shared" ca="1" si="860"/>
        <v>-18289588.810001221</v>
      </c>
      <c r="BE890" s="2">
        <f t="shared" ca="1" si="861"/>
        <v>1992558.3288797322</v>
      </c>
      <c r="BF890" s="2">
        <f t="shared" ca="1" si="862"/>
        <v>2218223.7319257786</v>
      </c>
      <c r="BG890" s="2">
        <f t="shared" ca="1" si="863"/>
        <v>2488984.604483061</v>
      </c>
      <c r="BH890" s="2">
        <f t="shared" ca="1" si="864"/>
        <v>2778587.4248802396</v>
      </c>
      <c r="BI890" s="2">
        <f t="shared" ca="1" si="865"/>
        <v>33360165.705122296</v>
      </c>
      <c r="BJ890" s="2">
        <f t="shared" ca="1" si="866"/>
        <v>0.21682515898797572</v>
      </c>
      <c r="BK890" s="2">
        <f t="shared" ca="1" si="867"/>
        <v>7724742.0564595722</v>
      </c>
    </row>
    <row r="891" spans="1:63" x14ac:dyDescent="0.3">
      <c r="A891" s="2">
        <v>890</v>
      </c>
      <c r="B891" s="2">
        <f t="shared" ca="1" si="806"/>
        <v>0.55601953931976233</v>
      </c>
      <c r="C891" s="2">
        <f t="shared" ca="1" si="807"/>
        <v>7.0576832160252714</v>
      </c>
      <c r="D891" s="2">
        <f t="shared" ca="1" si="808"/>
        <v>1.8651167261993229E-2</v>
      </c>
      <c r="E891" s="2">
        <f t="shared" ca="1" si="809"/>
        <v>6.693138122917218</v>
      </c>
      <c r="F891" s="2">
        <f t="shared" ca="1" si="810"/>
        <v>2.9990863287561731E-2</v>
      </c>
      <c r="G891" s="2">
        <f t="shared" ca="1" si="811"/>
        <v>-1.6427837170616209E-2</v>
      </c>
      <c r="H891" s="2">
        <f t="shared" ca="1" si="812"/>
        <v>-1.6427837170616209E-2</v>
      </c>
      <c r="I891" s="2">
        <f t="shared" ca="1" si="813"/>
        <v>0.9614546847936325</v>
      </c>
      <c r="J891" s="2">
        <f t="shared" ca="1" si="814"/>
        <v>1.8839111058415545E-2</v>
      </c>
      <c r="K891" s="2">
        <f t="shared" ca="1" si="815"/>
        <v>1.8839111058415545E-2</v>
      </c>
      <c r="L891" s="2">
        <f t="shared" ca="1" si="816"/>
        <v>1.3241085507870287E-2</v>
      </c>
      <c r="M891" s="2">
        <f t="shared" ca="1" si="817"/>
        <v>-4.4381338732476808E-2</v>
      </c>
      <c r="N891" s="2">
        <f t="shared" ca="1" si="818"/>
        <v>-4.4381338732476808E-2</v>
      </c>
      <c r="O891" s="2">
        <f t="shared" si="819"/>
        <v>6000000</v>
      </c>
      <c r="P891" s="2">
        <f t="shared" ca="1" si="820"/>
        <v>42346099.296151631</v>
      </c>
      <c r="Q891" s="2">
        <f t="shared" ca="1" si="821"/>
        <v>1058652.4824037908</v>
      </c>
      <c r="R891" s="2">
        <f t="shared" ca="1" si="822"/>
        <v>25407659.577690978</v>
      </c>
      <c r="S891" s="2">
        <f t="shared" ca="1" si="823"/>
        <v>16938439.718460653</v>
      </c>
      <c r="T891" s="2">
        <f t="shared" ca="1" si="824"/>
        <v>47780933.063376158</v>
      </c>
      <c r="U891" s="2">
        <f t="shared" ca="1" si="825"/>
        <v>46995995.675150901</v>
      </c>
      <c r="V891" s="2">
        <f t="shared" ca="1" si="826"/>
        <v>46223953.110528536</v>
      </c>
      <c r="W891" s="2">
        <f t="shared" ca="1" si="827"/>
        <v>45464593.535446577</v>
      </c>
      <c r="X891" s="2">
        <f t="shared" ca="1" si="828"/>
        <v>44717708.595818006</v>
      </c>
      <c r="Y891" s="2">
        <f t="shared" ca="1" si="829"/>
        <v>0.12941955552920778</v>
      </c>
      <c r="Z891" s="2">
        <f t="shared" ca="1" si="830"/>
        <v>0.13318737774089087</v>
      </c>
      <c r="AA891" s="2">
        <f t="shared" ca="1" si="831"/>
        <v>6183787.1198329711</v>
      </c>
      <c r="AB891" s="2">
        <f t="shared" ca="1" si="832"/>
        <v>6259273.4282955965</v>
      </c>
      <c r="AC891" s="2">
        <f t="shared" ca="1" si="833"/>
        <v>6156447.1036091922</v>
      </c>
      <c r="AD891" s="2">
        <f t="shared" ca="1" si="834"/>
        <v>6055309.993041588</v>
      </c>
      <c r="AE891" s="2">
        <f t="shared" ca="1" si="835"/>
        <v>5955834.3464582954</v>
      </c>
      <c r="AF891" s="2">
        <f t="shared" ca="1" si="836"/>
        <v>955618.66126752319</v>
      </c>
      <c r="AG891" s="2">
        <f t="shared" ca="1" si="837"/>
        <v>939919.91350301809</v>
      </c>
      <c r="AH891" s="2">
        <f t="shared" ca="1" si="838"/>
        <v>924479.06221057079</v>
      </c>
      <c r="AI891" s="2">
        <f t="shared" ca="1" si="839"/>
        <v>909291.87070893159</v>
      </c>
      <c r="AJ891" s="2">
        <f t="shared" ca="1" si="840"/>
        <v>894354.17191636015</v>
      </c>
      <c r="AK891" s="2">
        <f t="shared" ca="1" si="841"/>
        <v>0</v>
      </c>
      <c r="AL891" s="2">
        <f t="shared" ca="1" si="842"/>
        <v>0</v>
      </c>
      <c r="AM891" s="2">
        <f t="shared" ca="1" si="843"/>
        <v>0</v>
      </c>
      <c r="AN891" s="2">
        <f t="shared" ca="1" si="844"/>
        <v>0</v>
      </c>
      <c r="AO891" s="2">
        <f t="shared" ca="1" si="845"/>
        <v>0</v>
      </c>
      <c r="AP891" s="2">
        <f t="shared" ca="1" si="846"/>
        <v>2286689.3619921878</v>
      </c>
      <c r="AQ891" s="2">
        <f t="shared" ca="1" si="847"/>
        <v>764784.56510904757</v>
      </c>
      <c r="AR891" s="2">
        <f t="shared" ca="1" si="848"/>
        <v>788492.67972810159</v>
      </c>
      <c r="AS891" s="2">
        <f t="shared" ca="1" si="849"/>
        <v>765772.45664567268</v>
      </c>
      <c r="AT891" s="2">
        <f t="shared" ca="1" si="850"/>
        <v>743425.47768852196</v>
      </c>
      <c r="AU891" s="2">
        <f t="shared" ca="1" si="851"/>
        <v>721445.6112629344</v>
      </c>
      <c r="AV891" s="2">
        <f t="shared" ca="1" si="852"/>
        <v>2176694.5314642116</v>
      </c>
      <c r="AW891" s="2">
        <f t="shared" ca="1" si="853"/>
        <v>2244171.4730722886</v>
      </c>
      <c r="AX891" s="2">
        <f t="shared" ca="1" si="854"/>
        <v>2179506.2227607612</v>
      </c>
      <c r="AY891" s="2">
        <f t="shared" ca="1" si="855"/>
        <v>2115903.2826519469</v>
      </c>
      <c r="AZ891" s="2">
        <f t="shared" ca="1" si="856"/>
        <v>2053345.2012868132</v>
      </c>
      <c r="BA891" s="2">
        <f t="shared" ca="1" si="857"/>
        <v>39863221.918059774</v>
      </c>
      <c r="BB891" s="2">
        <f t="shared" ca="1" si="858"/>
        <v>797264.4383611955</v>
      </c>
      <c r="BC891" s="2">
        <f t="shared" ca="1" si="859"/>
        <v>13658297.9020076</v>
      </c>
      <c r="BD891" s="2">
        <f t="shared" ca="1" si="860"/>
        <v>-18497092.200864445</v>
      </c>
      <c r="BE891" s="2">
        <f t="shared" ca="1" si="861"/>
        <v>2176694.5314642116</v>
      </c>
      <c r="BF891" s="2">
        <f t="shared" ca="1" si="862"/>
        <v>2244171.4730722886</v>
      </c>
      <c r="BG891" s="2">
        <f t="shared" ca="1" si="863"/>
        <v>2179506.2227607612</v>
      </c>
      <c r="BH891" s="2">
        <f t="shared" ca="1" si="864"/>
        <v>2115903.2826519469</v>
      </c>
      <c r="BI891" s="2">
        <f t="shared" ca="1" si="865"/>
        <v>15711643.103294414</v>
      </c>
      <c r="BJ891" s="2">
        <f t="shared" ca="1" si="866"/>
        <v>7.135192409138047E-2</v>
      </c>
      <c r="BK891" s="2">
        <f t="shared" ca="1" si="867"/>
        <v>-2953342.6702165324</v>
      </c>
    </row>
    <row r="892" spans="1:63" x14ac:dyDescent="0.3">
      <c r="A892" s="2">
        <v>891</v>
      </c>
      <c r="B892" s="2">
        <f t="shared" ca="1" si="806"/>
        <v>0.457874493958908</v>
      </c>
      <c r="C892" s="2">
        <f t="shared" ca="1" si="807"/>
        <v>6.9569477456568967</v>
      </c>
      <c r="D892" s="2">
        <f t="shared" ca="1" si="808"/>
        <v>0.28363682420172598</v>
      </c>
      <c r="E892" s="2">
        <f t="shared" ca="1" si="809"/>
        <v>7.2531757088511633</v>
      </c>
      <c r="F892" s="2">
        <f t="shared" ca="1" si="810"/>
        <v>0.14052688369770938</v>
      </c>
      <c r="G892" s="2">
        <f t="shared" ca="1" si="811"/>
        <v>7.6613452050826175E-3</v>
      </c>
      <c r="H892" s="2">
        <f t="shared" ca="1" si="812"/>
        <v>7.6613452050826175E-3</v>
      </c>
      <c r="I892" s="2">
        <f t="shared" ca="1" si="813"/>
        <v>1.4295786843490421E-2</v>
      </c>
      <c r="J892" s="2">
        <f t="shared" ca="1" si="814"/>
        <v>-9.453623110494639E-4</v>
      </c>
      <c r="K892" s="2">
        <f t="shared" ca="1" si="815"/>
        <v>0</v>
      </c>
      <c r="L892" s="2">
        <f t="shared" ca="1" si="816"/>
        <v>0.35044894007495708</v>
      </c>
      <c r="M892" s="2">
        <f t="shared" ca="1" si="817"/>
        <v>-7.6821740910777364E-3</v>
      </c>
      <c r="N892" s="2">
        <f t="shared" ca="1" si="818"/>
        <v>-7.6821740910777364E-3</v>
      </c>
      <c r="O892" s="2">
        <f t="shared" si="819"/>
        <v>6000000</v>
      </c>
      <c r="P892" s="2">
        <f t="shared" ca="1" si="820"/>
        <v>41741686.473941378</v>
      </c>
      <c r="Q892" s="2">
        <f t="shared" ca="1" si="821"/>
        <v>1043542.1618485345</v>
      </c>
      <c r="R892" s="2">
        <f t="shared" ca="1" si="822"/>
        <v>25045011.884364825</v>
      </c>
      <c r="S892" s="2">
        <f t="shared" ca="1" si="823"/>
        <v>16696674.589576552</v>
      </c>
      <c r="T892" s="2">
        <f t="shared" ca="1" si="824"/>
        <v>49615891.295446113</v>
      </c>
      <c r="U892" s="2">
        <f t="shared" ca="1" si="825"/>
        <v>49996015.766318381</v>
      </c>
      <c r="V892" s="2">
        <f t="shared" ca="1" si="826"/>
        <v>50379052.501982898</v>
      </c>
      <c r="W892" s="2">
        <f t="shared" ca="1" si="827"/>
        <v>50765023.814305574</v>
      </c>
      <c r="X892" s="2">
        <f t="shared" ca="1" si="828"/>
        <v>51153952.186091214</v>
      </c>
      <c r="Y892" s="2">
        <f t="shared" ca="1" si="829"/>
        <v>0.12</v>
      </c>
      <c r="Z892" s="2">
        <f t="shared" ca="1" si="830"/>
        <v>0.12</v>
      </c>
      <c r="AA892" s="2">
        <f t="shared" ca="1" si="831"/>
        <v>5953906.9554535337</v>
      </c>
      <c r="AB892" s="2">
        <f t="shared" ca="1" si="832"/>
        <v>5999521.891958205</v>
      </c>
      <c r="AC892" s="2">
        <f t="shared" ca="1" si="833"/>
        <v>6045486.3002379471</v>
      </c>
      <c r="AD892" s="2">
        <f t="shared" ca="1" si="834"/>
        <v>6091802.8577166684</v>
      </c>
      <c r="AE892" s="2">
        <f t="shared" ca="1" si="835"/>
        <v>6138474.2623309456</v>
      </c>
      <c r="AF892" s="2">
        <f t="shared" ca="1" si="836"/>
        <v>992317.82590892224</v>
      </c>
      <c r="AG892" s="2">
        <f t="shared" ca="1" si="837"/>
        <v>999920.31532636762</v>
      </c>
      <c r="AH892" s="2">
        <f t="shared" ca="1" si="838"/>
        <v>1007581.050039658</v>
      </c>
      <c r="AI892" s="2">
        <f t="shared" ca="1" si="839"/>
        <v>1015300.4762861115</v>
      </c>
      <c r="AJ892" s="2">
        <f t="shared" ca="1" si="840"/>
        <v>1023079.0437218243</v>
      </c>
      <c r="AK892" s="2">
        <f t="shared" ca="1" si="841"/>
        <v>0</v>
      </c>
      <c r="AL892" s="2">
        <f t="shared" ca="1" si="842"/>
        <v>3801.244708722681</v>
      </c>
      <c r="AM892" s="2">
        <f t="shared" ca="1" si="843"/>
        <v>3830.3673566451671</v>
      </c>
      <c r="AN892" s="2">
        <f t="shared" ca="1" si="844"/>
        <v>3859.713123226762</v>
      </c>
      <c r="AO892" s="2">
        <f t="shared" ca="1" si="845"/>
        <v>3889.2837178564073</v>
      </c>
      <c r="AP892" s="2">
        <f t="shared" ca="1" si="846"/>
        <v>2254051.069592834</v>
      </c>
      <c r="AQ892" s="2">
        <f t="shared" ca="1" si="847"/>
        <v>703959.89558746212</v>
      </c>
      <c r="AR892" s="2">
        <f t="shared" ca="1" si="848"/>
        <v>713843.13183014095</v>
      </c>
      <c r="AS892" s="2">
        <f t="shared" ca="1" si="849"/>
        <v>723802.08695741824</v>
      </c>
      <c r="AT892" s="2">
        <f t="shared" ca="1" si="850"/>
        <v>733837.34107780806</v>
      </c>
      <c r="AU892" s="2">
        <f t="shared" ca="1" si="851"/>
        <v>743949.47874423477</v>
      </c>
      <c r="AV892" s="2">
        <f t="shared" ca="1" si="852"/>
        <v>2003578.1643643151</v>
      </c>
      <c r="AW892" s="2">
        <f t="shared" ca="1" si="853"/>
        <v>2027906.1305001401</v>
      </c>
      <c r="AX892" s="2">
        <f t="shared" ca="1" si="854"/>
        <v>2056221.7262913915</v>
      </c>
      <c r="AY892" s="2">
        <f t="shared" ca="1" si="855"/>
        <v>2084754.2576366882</v>
      </c>
      <c r="AZ892" s="2">
        <f t="shared" ca="1" si="856"/>
        <v>2113505.386554196</v>
      </c>
      <c r="BA892" s="2">
        <f t="shared" ca="1" si="857"/>
        <v>44523432.408946879</v>
      </c>
      <c r="BB892" s="2">
        <f t="shared" ca="1" si="858"/>
        <v>890468.64817893761</v>
      </c>
      <c r="BC892" s="2">
        <f t="shared" ca="1" si="859"/>
        <v>18587951.876403116</v>
      </c>
      <c r="BD892" s="2">
        <f t="shared" ca="1" si="860"/>
        <v>-18240216.751425087</v>
      </c>
      <c r="BE892" s="2">
        <f t="shared" ca="1" si="861"/>
        <v>2003578.1643643151</v>
      </c>
      <c r="BF892" s="2">
        <f t="shared" ca="1" si="862"/>
        <v>2027906.1305001401</v>
      </c>
      <c r="BG892" s="2">
        <f t="shared" ca="1" si="863"/>
        <v>2056221.7262913915</v>
      </c>
      <c r="BH892" s="2">
        <f t="shared" ca="1" si="864"/>
        <v>2084754.2576366882</v>
      </c>
      <c r="BI892" s="2">
        <f t="shared" ca="1" si="865"/>
        <v>20701457.262957312</v>
      </c>
      <c r="BJ892" s="2">
        <f t="shared" ca="1" si="866"/>
        <v>0.11548205795154165</v>
      </c>
      <c r="BK892" s="2">
        <f t="shared" ca="1" si="867"/>
        <v>-299633.49144552276</v>
      </c>
    </row>
    <row r="893" spans="1:63" x14ac:dyDescent="0.3">
      <c r="A893" s="2">
        <v>892</v>
      </c>
      <c r="B893" s="2">
        <f t="shared" ca="1" si="806"/>
        <v>0.39775542536143671</v>
      </c>
      <c r="C893" s="2">
        <f t="shared" ca="1" si="807"/>
        <v>6.8919141498613383</v>
      </c>
      <c r="D893" s="2">
        <f t="shared" ca="1" si="808"/>
        <v>0.88763745616176204</v>
      </c>
      <c r="E893" s="2">
        <f t="shared" ca="1" si="809"/>
        <v>8.0259482225785082</v>
      </c>
      <c r="F893" s="2">
        <f t="shared" ca="1" si="810"/>
        <v>0.11418226592303404</v>
      </c>
      <c r="G893" s="2">
        <f t="shared" ca="1" si="811"/>
        <v>3.8625262445933506E-3</v>
      </c>
      <c r="H893" s="2">
        <f t="shared" ca="1" si="812"/>
        <v>3.8625262445933506E-3</v>
      </c>
      <c r="I893" s="2">
        <f t="shared" ca="1" si="813"/>
        <v>0.51441709276977221</v>
      </c>
      <c r="J893" s="2">
        <f t="shared" ca="1" si="814"/>
        <v>1.0180730809651642E-2</v>
      </c>
      <c r="K893" s="2">
        <f t="shared" ca="1" si="815"/>
        <v>1.0180730809651642E-2</v>
      </c>
      <c r="L893" s="2">
        <f t="shared" ca="1" si="816"/>
        <v>0.61031283664193225</v>
      </c>
      <c r="M893" s="2">
        <f t="shared" ca="1" si="817"/>
        <v>5.6026897399068E-3</v>
      </c>
      <c r="N893" s="2">
        <f t="shared" ca="1" si="818"/>
        <v>5.6026897399068E-3</v>
      </c>
      <c r="O893" s="2">
        <f t="shared" si="819"/>
        <v>6000000</v>
      </c>
      <c r="P893" s="2">
        <f t="shared" ca="1" si="820"/>
        <v>41351484.899168029</v>
      </c>
      <c r="Q893" s="2">
        <f t="shared" ca="1" si="821"/>
        <v>1033787.1224792008</v>
      </c>
      <c r="R893" s="2">
        <f t="shared" ca="1" si="822"/>
        <v>24810890.939500816</v>
      </c>
      <c r="S893" s="2">
        <f t="shared" ca="1" si="823"/>
        <v>16540593.959667213</v>
      </c>
      <c r="T893" s="2">
        <f t="shared" ca="1" si="824"/>
        <v>50280134.486995339</v>
      </c>
      <c r="U893" s="2">
        <f t="shared" ca="1" si="825"/>
        <v>50474342.826033041</v>
      </c>
      <c r="V893" s="2">
        <f t="shared" ca="1" si="826"/>
        <v>50669301.299877189</v>
      </c>
      <c r="W893" s="2">
        <f t="shared" ca="1" si="827"/>
        <v>50865012.805943169</v>
      </c>
      <c r="X893" s="2">
        <f t="shared" ca="1" si="828"/>
        <v>51061480.252837695</v>
      </c>
      <c r="Y893" s="2">
        <f t="shared" ca="1" si="829"/>
        <v>0.12509036540482582</v>
      </c>
      <c r="Z893" s="2">
        <f t="shared" ca="1" si="830"/>
        <v>0.12712651156675614</v>
      </c>
      <c r="AA893" s="2">
        <f t="shared" ca="1" si="831"/>
        <v>6289560.3955820315</v>
      </c>
      <c r="AB893" s="2">
        <f t="shared" ca="1" si="832"/>
        <v>6416627.127098104</v>
      </c>
      <c r="AC893" s="2">
        <f t="shared" ca="1" si="833"/>
        <v>6441411.5177782895</v>
      </c>
      <c r="AD893" s="2">
        <f t="shared" ca="1" si="834"/>
        <v>6466291.6388179334</v>
      </c>
      <c r="AE893" s="2">
        <f t="shared" ca="1" si="835"/>
        <v>6491267.8599780612</v>
      </c>
      <c r="AF893" s="2">
        <f t="shared" ca="1" si="836"/>
        <v>1005602.6897399068</v>
      </c>
      <c r="AG893" s="2">
        <f t="shared" ca="1" si="837"/>
        <v>1009486.8565206608</v>
      </c>
      <c r="AH893" s="2">
        <f t="shared" ca="1" si="838"/>
        <v>1013386.0259975438</v>
      </c>
      <c r="AI893" s="2">
        <f t="shared" ca="1" si="839"/>
        <v>1017300.2561188634</v>
      </c>
      <c r="AJ893" s="2">
        <f t="shared" ca="1" si="840"/>
        <v>1021229.605056754</v>
      </c>
      <c r="AK893" s="2">
        <f t="shared" ca="1" si="841"/>
        <v>0</v>
      </c>
      <c r="AL893" s="2">
        <f t="shared" ca="1" si="842"/>
        <v>1942.0833903770149</v>
      </c>
      <c r="AM893" s="2">
        <f t="shared" ca="1" si="843"/>
        <v>1949.5847384414822</v>
      </c>
      <c r="AN893" s="2">
        <f t="shared" ca="1" si="844"/>
        <v>1957.115060659796</v>
      </c>
      <c r="AO893" s="2">
        <f t="shared" ca="1" si="845"/>
        <v>1964.6744689452648</v>
      </c>
      <c r="AP893" s="2">
        <f t="shared" ca="1" si="846"/>
        <v>2232980.1845550733</v>
      </c>
      <c r="AQ893" s="2">
        <f t="shared" ca="1" si="847"/>
        <v>793254.15553463332</v>
      </c>
      <c r="AR893" s="2">
        <f t="shared" ca="1" si="848"/>
        <v>825281.62236581615</v>
      </c>
      <c r="AS893" s="2">
        <f t="shared" ca="1" si="849"/>
        <v>830711.77987867489</v>
      </c>
      <c r="AT893" s="2">
        <f t="shared" ca="1" si="850"/>
        <v>836162.91151743929</v>
      </c>
      <c r="AU893" s="2">
        <f t="shared" ca="1" si="851"/>
        <v>841635.09829522076</v>
      </c>
      <c r="AV893" s="2">
        <f t="shared" ca="1" si="852"/>
        <v>2257723.3657524176</v>
      </c>
      <c r="AW893" s="2">
        <f t="shared" ca="1" si="853"/>
        <v>2346936.3802661756</v>
      </c>
      <c r="AX893" s="2">
        <f t="shared" ca="1" si="854"/>
        <v>2362383.9426085558</v>
      </c>
      <c r="AY893" s="2">
        <f t="shared" ca="1" si="855"/>
        <v>2377891.1715658978</v>
      </c>
      <c r="AZ893" s="2">
        <f t="shared" ca="1" si="856"/>
        <v>2393458.2976020668</v>
      </c>
      <c r="BA893" s="2">
        <f t="shared" ca="1" si="857"/>
        <v>52098579.743071914</v>
      </c>
      <c r="BB893" s="2">
        <f t="shared" ca="1" si="858"/>
        <v>1041971.5948614383</v>
      </c>
      <c r="BC893" s="2">
        <f t="shared" ca="1" si="859"/>
        <v>26245717.208709661</v>
      </c>
      <c r="BD893" s="2">
        <f t="shared" ca="1" si="860"/>
        <v>-18074381.082146414</v>
      </c>
      <c r="BE893" s="2">
        <f t="shared" ca="1" si="861"/>
        <v>2257723.3657524176</v>
      </c>
      <c r="BF893" s="2">
        <f t="shared" ca="1" si="862"/>
        <v>2346936.3802661756</v>
      </c>
      <c r="BG893" s="2">
        <f t="shared" ca="1" si="863"/>
        <v>2362383.9426085558</v>
      </c>
      <c r="BH893" s="2">
        <f t="shared" ca="1" si="864"/>
        <v>2377891.1715658978</v>
      </c>
      <c r="BI893" s="2">
        <f t="shared" ca="1" si="865"/>
        <v>28639175.50631173</v>
      </c>
      <c r="BJ893" s="2">
        <f t="shared" ca="1" si="866"/>
        <v>0.19111117609814943</v>
      </c>
      <c r="BK893" s="2">
        <f t="shared" ca="1" si="867"/>
        <v>5255735.0289403461</v>
      </c>
    </row>
    <row r="894" spans="1:63" x14ac:dyDescent="0.3">
      <c r="A894" s="2">
        <v>893</v>
      </c>
      <c r="B894" s="2">
        <f t="shared" ca="1" si="806"/>
        <v>0.45330879906605726</v>
      </c>
      <c r="C894" s="2">
        <f t="shared" ca="1" si="807"/>
        <v>6.9521646906560415</v>
      </c>
      <c r="D894" s="2">
        <f t="shared" ca="1" si="808"/>
        <v>0.13935594406895679</v>
      </c>
      <c r="E894" s="2">
        <f t="shared" ca="1" si="809"/>
        <v>7.0279317078353163</v>
      </c>
      <c r="F894" s="2">
        <f t="shared" ca="1" si="810"/>
        <v>0.89123055339611235</v>
      </c>
      <c r="G894" s="2">
        <f t="shared" ca="1" si="811"/>
        <v>7.6992964959122306E-2</v>
      </c>
      <c r="H894" s="2">
        <f t="shared" ca="1" si="812"/>
        <v>7.6992964959122306E-2</v>
      </c>
      <c r="I894" s="2">
        <f t="shared" ca="1" si="813"/>
        <v>0.64380003651535778</v>
      </c>
      <c r="J894" s="2">
        <f t="shared" ca="1" si="814"/>
        <v>1.184317417435591E-2</v>
      </c>
      <c r="K894" s="2">
        <f t="shared" ca="1" si="815"/>
        <v>1.184317417435591E-2</v>
      </c>
      <c r="L894" s="2">
        <f t="shared" ca="1" si="816"/>
        <v>0.44479941272164192</v>
      </c>
      <c r="M894" s="2">
        <f t="shared" ca="1" si="817"/>
        <v>-2.7762371077486624E-3</v>
      </c>
      <c r="N894" s="2">
        <f t="shared" ca="1" si="818"/>
        <v>-2.7762371077486624E-3</v>
      </c>
      <c r="O894" s="2">
        <f t="shared" si="819"/>
        <v>6000000</v>
      </c>
      <c r="P894" s="2">
        <f t="shared" ca="1" si="820"/>
        <v>41712988.143936247</v>
      </c>
      <c r="Q894" s="2">
        <f t="shared" ca="1" si="821"/>
        <v>1042824.7035984062</v>
      </c>
      <c r="R894" s="2">
        <f t="shared" ca="1" si="822"/>
        <v>25027792.886361748</v>
      </c>
      <c r="S894" s="2">
        <f t="shared" ca="1" si="823"/>
        <v>16685195.257574499</v>
      </c>
      <c r="T894" s="2">
        <f t="shared" ca="1" si="824"/>
        <v>49861188.144612566</v>
      </c>
      <c r="U894" s="2">
        <f t="shared" ca="1" si="825"/>
        <v>53700148.856250927</v>
      </c>
      <c r="V894" s="2">
        <f t="shared" ca="1" si="826"/>
        <v>57834682.535439909</v>
      </c>
      <c r="W894" s="2">
        <f t="shared" ca="1" si="827"/>
        <v>62287546.221313</v>
      </c>
      <c r="X894" s="2">
        <f t="shared" ca="1" si="828"/>
        <v>67083249.084920265</v>
      </c>
      <c r="Y894" s="2">
        <f t="shared" ca="1" si="829"/>
        <v>0.12592158708717796</v>
      </c>
      <c r="Z894" s="2">
        <f t="shared" ca="1" si="830"/>
        <v>0.12829022192204914</v>
      </c>
      <c r="AA894" s="2">
        <f t="shared" ca="1" si="831"/>
        <v>6278599.9452219969</v>
      </c>
      <c r="AB894" s="2">
        <f t="shared" ca="1" si="832"/>
        <v>6889204.0140155051</v>
      </c>
      <c r="AC894" s="2">
        <f t="shared" ca="1" si="833"/>
        <v>7419624.2572628455</v>
      </c>
      <c r="AD894" s="2">
        <f t="shared" ca="1" si="834"/>
        <v>7990883.127712138</v>
      </c>
      <c r="AE894" s="2">
        <f t="shared" ca="1" si="835"/>
        <v>8606124.9123565201</v>
      </c>
      <c r="AF894" s="2">
        <f t="shared" ca="1" si="836"/>
        <v>997223.76289225137</v>
      </c>
      <c r="AG894" s="2">
        <f t="shared" ca="1" si="837"/>
        <v>1074002.9771250186</v>
      </c>
      <c r="AH894" s="2">
        <f t="shared" ca="1" si="838"/>
        <v>1156693.6507087981</v>
      </c>
      <c r="AI894" s="2">
        <f t="shared" ca="1" si="839"/>
        <v>1245750.9244262599</v>
      </c>
      <c r="AJ894" s="2">
        <f t="shared" ca="1" si="840"/>
        <v>1341664.9816984052</v>
      </c>
      <c r="AK894" s="2">
        <f t="shared" ca="1" si="841"/>
        <v>0</v>
      </c>
      <c r="AL894" s="2">
        <f t="shared" ca="1" si="842"/>
        <v>38389.60711638361</v>
      </c>
      <c r="AM894" s="2">
        <f t="shared" ca="1" si="843"/>
        <v>41345.336791889815</v>
      </c>
      <c r="AN894" s="2">
        <f t="shared" ca="1" si="844"/>
        <v>44528.636858730912</v>
      </c>
      <c r="AO894" s="2">
        <f t="shared" ca="1" si="845"/>
        <v>47957.028636072653</v>
      </c>
      <c r="AP894" s="2">
        <f t="shared" ca="1" si="846"/>
        <v>2252501.3597725574</v>
      </c>
      <c r="AQ894" s="2">
        <f t="shared" ca="1" si="847"/>
        <v>787507.45386486908</v>
      </c>
      <c r="AR894" s="2">
        <f t="shared" ca="1" si="848"/>
        <v>926301.91605066159</v>
      </c>
      <c r="AS894" s="2">
        <f t="shared" ca="1" si="849"/>
        <v>1042711.6041631874</v>
      </c>
      <c r="AT894" s="2">
        <f t="shared" ca="1" si="850"/>
        <v>1168084.0193134635</v>
      </c>
      <c r="AU894" s="2">
        <f t="shared" ca="1" si="851"/>
        <v>1303109.2284302451</v>
      </c>
      <c r="AV894" s="2">
        <f t="shared" ca="1" si="852"/>
        <v>2241367.3686923198</v>
      </c>
      <c r="AW894" s="2">
        <f t="shared" ca="1" si="853"/>
        <v>2598008.153950884</v>
      </c>
      <c r="AX894" s="2">
        <f t="shared" ca="1" si="854"/>
        <v>2926372.3058264125</v>
      </c>
      <c r="AY894" s="2">
        <f t="shared" ca="1" si="855"/>
        <v>3280018.1873411275</v>
      </c>
      <c r="AZ894" s="2">
        <f t="shared" ca="1" si="856"/>
        <v>3660892.3138192398</v>
      </c>
      <c r="BA894" s="2">
        <f t="shared" ca="1" si="857"/>
        <v>60483258.153141819</v>
      </c>
      <c r="BB894" s="2">
        <f t="shared" ca="1" si="858"/>
        <v>1209665.1630628365</v>
      </c>
      <c r="BC894" s="2">
        <f t="shared" ca="1" si="859"/>
        <v>34245800.103717238</v>
      </c>
      <c r="BD894" s="2">
        <f t="shared" ca="1" si="860"/>
        <v>-18228019.961172905</v>
      </c>
      <c r="BE894" s="2">
        <f t="shared" ca="1" si="861"/>
        <v>2241367.3686923198</v>
      </c>
      <c r="BF894" s="2">
        <f t="shared" ca="1" si="862"/>
        <v>2598008.153950884</v>
      </c>
      <c r="BG894" s="2">
        <f t="shared" ca="1" si="863"/>
        <v>2926372.3058264125</v>
      </c>
      <c r="BH894" s="2">
        <f t="shared" ca="1" si="864"/>
        <v>3280018.1873411275</v>
      </c>
      <c r="BI894" s="2">
        <f t="shared" ca="1" si="865"/>
        <v>37906692.417536475</v>
      </c>
      <c r="BJ894" s="2">
        <f t="shared" ca="1" si="866"/>
        <v>0.25810360230071328</v>
      </c>
      <c r="BK894" s="2">
        <f t="shared" ca="1" si="867"/>
        <v>11521037.24765037</v>
      </c>
    </row>
    <row r="895" spans="1:63" x14ac:dyDescent="0.3">
      <c r="A895" s="2">
        <v>894</v>
      </c>
      <c r="B895" s="2">
        <f t="shared" ca="1" si="806"/>
        <v>0.46456564774498366</v>
      </c>
      <c r="C895" s="2">
        <f t="shared" ca="1" si="807"/>
        <v>6.9639145685640234</v>
      </c>
      <c r="D895" s="2">
        <f t="shared" ca="1" si="808"/>
        <v>6.8856360979756115E-2</v>
      </c>
      <c r="E895" s="2">
        <f t="shared" ca="1" si="809"/>
        <v>6.8710966477341344</v>
      </c>
      <c r="F895" s="2">
        <f t="shared" ca="1" si="810"/>
        <v>0.34711295890307625</v>
      </c>
      <c r="G895" s="2">
        <f t="shared" ca="1" si="811"/>
        <v>2.8206199532609853E-2</v>
      </c>
      <c r="H895" s="2">
        <f t="shared" ca="1" si="812"/>
        <v>2.8206199532609853E-2</v>
      </c>
      <c r="I895" s="2">
        <f t="shared" ca="1" si="813"/>
        <v>0.6605021118009764</v>
      </c>
      <c r="J895" s="2">
        <f t="shared" ca="1" si="814"/>
        <v>1.2069169355615117E-2</v>
      </c>
      <c r="K895" s="2">
        <f t="shared" ca="1" si="815"/>
        <v>1.2069169355615117E-2</v>
      </c>
      <c r="L895" s="2">
        <f t="shared" ca="1" si="816"/>
        <v>3.2593846226555812E-2</v>
      </c>
      <c r="M895" s="2">
        <f t="shared" ca="1" si="817"/>
        <v>-3.6879375288692465E-2</v>
      </c>
      <c r="N895" s="2">
        <f t="shared" ca="1" si="818"/>
        <v>-3.6879375288692465E-2</v>
      </c>
      <c r="O895" s="2">
        <f t="shared" si="819"/>
        <v>6000000</v>
      </c>
      <c r="P895" s="2">
        <f t="shared" ca="1" si="820"/>
        <v>41783487.411384143</v>
      </c>
      <c r="Q895" s="2">
        <f t="shared" ca="1" si="821"/>
        <v>1044587.1852846036</v>
      </c>
      <c r="R895" s="2">
        <f t="shared" ca="1" si="822"/>
        <v>25070092.446830485</v>
      </c>
      <c r="S895" s="2">
        <f t="shared" ca="1" si="823"/>
        <v>16713394.964553658</v>
      </c>
      <c r="T895" s="2">
        <f t="shared" ca="1" si="824"/>
        <v>48156031.235565379</v>
      </c>
      <c r="U895" s="2">
        <f t="shared" ca="1" si="825"/>
        <v>49514329.861294337</v>
      </c>
      <c r="V895" s="2">
        <f t="shared" ca="1" si="826"/>
        <v>50910940.929085471</v>
      </c>
      <c r="W895" s="2">
        <f t="shared" ca="1" si="827"/>
        <v>52346945.087324172</v>
      </c>
      <c r="X895" s="2">
        <f t="shared" ca="1" si="828"/>
        <v>53823453.465379812</v>
      </c>
      <c r="Y895" s="2">
        <f t="shared" ca="1" si="829"/>
        <v>0.12603458467780757</v>
      </c>
      <c r="Z895" s="2">
        <f t="shared" ca="1" si="830"/>
        <v>0.12844841854893058</v>
      </c>
      <c r="AA895" s="2">
        <f t="shared" ca="1" si="831"/>
        <v>6069325.3965060106</v>
      </c>
      <c r="AB895" s="2">
        <f t="shared" ca="1" si="832"/>
        <v>6360037.3661933467</v>
      </c>
      <c r="AC895" s="2">
        <f t="shared" ca="1" si="833"/>
        <v>6539429.8491790509</v>
      </c>
      <c r="AD895" s="2">
        <f t="shared" ca="1" si="834"/>
        <v>6723882.3123345003</v>
      </c>
      <c r="AE895" s="2">
        <f t="shared" ca="1" si="835"/>
        <v>6913537.4784699939</v>
      </c>
      <c r="AF895" s="2">
        <f t="shared" ca="1" si="836"/>
        <v>963120.62471130758</v>
      </c>
      <c r="AG895" s="2">
        <f t="shared" ca="1" si="837"/>
        <v>990286.59722588677</v>
      </c>
      <c r="AH895" s="2">
        <f t="shared" ca="1" si="838"/>
        <v>1018218.8185817094</v>
      </c>
      <c r="AI895" s="2">
        <f t="shared" ca="1" si="839"/>
        <v>1046938.9017464835</v>
      </c>
      <c r="AJ895" s="2">
        <f t="shared" ca="1" si="840"/>
        <v>1076469.0693075962</v>
      </c>
      <c r="AK895" s="2">
        <f t="shared" ca="1" si="841"/>
        <v>0</v>
      </c>
      <c r="AL895" s="2">
        <f t="shared" ca="1" si="842"/>
        <v>13582.986257289574</v>
      </c>
      <c r="AM895" s="2">
        <f t="shared" ca="1" si="843"/>
        <v>13966.110677911342</v>
      </c>
      <c r="AN895" s="2">
        <f t="shared" ca="1" si="844"/>
        <v>14360.041582387015</v>
      </c>
      <c r="AO895" s="2">
        <f t="shared" ca="1" si="845"/>
        <v>14765.083780556395</v>
      </c>
      <c r="AP895" s="2">
        <f t="shared" ca="1" si="846"/>
        <v>2256308.3202147437</v>
      </c>
      <c r="AQ895" s="2">
        <f t="shared" ca="1" si="847"/>
        <v>740973.07741078944</v>
      </c>
      <c r="AR895" s="2">
        <f t="shared" ca="1" si="848"/>
        <v>809495.03667570627</v>
      </c>
      <c r="AS895" s="2">
        <f t="shared" ca="1" si="849"/>
        <v>848874.70469947543</v>
      </c>
      <c r="AT895" s="2">
        <f t="shared" ca="1" si="850"/>
        <v>889365.12349705107</v>
      </c>
      <c r="AU895" s="2">
        <f t="shared" ca="1" si="851"/>
        <v>930997.62312639004</v>
      </c>
      <c r="AV895" s="2">
        <f t="shared" ca="1" si="852"/>
        <v>2108923.3741691699</v>
      </c>
      <c r="AW895" s="2">
        <f t="shared" ca="1" si="853"/>
        <v>2290364.4258197201</v>
      </c>
      <c r="AX895" s="2">
        <f t="shared" ca="1" si="854"/>
        <v>2402061.8950052112</v>
      </c>
      <c r="AY895" s="2">
        <f t="shared" ca="1" si="855"/>
        <v>2516909.9252938349</v>
      </c>
      <c r="AZ895" s="2">
        <f t="shared" ca="1" si="856"/>
        <v>2634997.3820407074</v>
      </c>
      <c r="BA895" s="2">
        <f t="shared" ca="1" si="857"/>
        <v>47503584.192299478</v>
      </c>
      <c r="BB895" s="2">
        <f t="shared" ca="1" si="858"/>
        <v>950071.68384598952</v>
      </c>
      <c r="BC895" s="2">
        <f t="shared" ca="1" si="859"/>
        <v>21483420.061623003</v>
      </c>
      <c r="BD895" s="2">
        <f t="shared" ca="1" si="860"/>
        <v>-18257982.149838261</v>
      </c>
      <c r="BE895" s="2">
        <f t="shared" ca="1" si="861"/>
        <v>2108923.3741691699</v>
      </c>
      <c r="BF895" s="2">
        <f t="shared" ca="1" si="862"/>
        <v>2290364.4258197201</v>
      </c>
      <c r="BG895" s="2">
        <f t="shared" ca="1" si="863"/>
        <v>2402061.8950052112</v>
      </c>
      <c r="BH895" s="2">
        <f t="shared" ca="1" si="864"/>
        <v>2516909.9252938349</v>
      </c>
      <c r="BI895" s="2">
        <f t="shared" ca="1" si="865"/>
        <v>24118417.443663709</v>
      </c>
      <c r="BJ895" s="2">
        <f t="shared" ca="1" si="866"/>
        <v>0.15487374307805468</v>
      </c>
      <c r="BK895" s="2">
        <f t="shared" ca="1" si="867"/>
        <v>2445569.3912486658</v>
      </c>
    </row>
    <row r="896" spans="1:63" x14ac:dyDescent="0.3">
      <c r="A896" s="2">
        <v>895</v>
      </c>
      <c r="B896" s="2">
        <f t="shared" ca="1" si="806"/>
        <v>0.66857871560633109</v>
      </c>
      <c r="C896" s="2">
        <f t="shared" ca="1" si="807"/>
        <v>7.1858485590583667</v>
      </c>
      <c r="D896" s="2">
        <f t="shared" ca="1" si="808"/>
        <v>0.87008446149837071</v>
      </c>
      <c r="E896" s="2">
        <f t="shared" ca="1" si="809"/>
        <v>7.9902637181804117</v>
      </c>
      <c r="F896" s="2">
        <f t="shared" ca="1" si="810"/>
        <v>0.81060008165901609</v>
      </c>
      <c r="G896" s="2">
        <f t="shared" ca="1" si="811"/>
        <v>6.6403293668636981E-2</v>
      </c>
      <c r="H896" s="2">
        <f t="shared" ca="1" si="812"/>
        <v>6.6403293668636981E-2</v>
      </c>
      <c r="I896" s="2">
        <f t="shared" ca="1" si="813"/>
        <v>0.32784277947498242</v>
      </c>
      <c r="J896" s="2">
        <f t="shared" ca="1" si="814"/>
        <v>7.7706112754008464E-3</v>
      </c>
      <c r="K896" s="2">
        <f t="shared" ca="1" si="815"/>
        <v>7.7706112754008464E-3</v>
      </c>
      <c r="L896" s="2">
        <f t="shared" ca="1" si="816"/>
        <v>0.35644165062029465</v>
      </c>
      <c r="M896" s="2">
        <f t="shared" ca="1" si="817"/>
        <v>-7.359729978676414E-3</v>
      </c>
      <c r="N896" s="2">
        <f t="shared" ca="1" si="818"/>
        <v>-7.359729978676414E-3</v>
      </c>
      <c r="O896" s="2">
        <f t="shared" si="819"/>
        <v>6000000</v>
      </c>
      <c r="P896" s="2">
        <f t="shared" ca="1" si="820"/>
        <v>43115091.354350202</v>
      </c>
      <c r="Q896" s="2">
        <f t="shared" ca="1" si="821"/>
        <v>1077877.2838587551</v>
      </c>
      <c r="R896" s="2">
        <f t="shared" ca="1" si="822"/>
        <v>25869054.81261012</v>
      </c>
      <c r="S896" s="2">
        <f t="shared" ca="1" si="823"/>
        <v>17246036.541740082</v>
      </c>
      <c r="T896" s="2">
        <f t="shared" ca="1" si="824"/>
        <v>49632013.501066178</v>
      </c>
      <c r="U896" s="2">
        <f t="shared" ca="1" si="825"/>
        <v>52927742.668943226</v>
      </c>
      <c r="V896" s="2">
        <f t="shared" ca="1" si="826"/>
        <v>56442319.108607113</v>
      </c>
      <c r="W896" s="2">
        <f t="shared" ca="1" si="827"/>
        <v>60190274.999714874</v>
      </c>
      <c r="X896" s="2">
        <f t="shared" ca="1" si="828"/>
        <v>64187107.506516956</v>
      </c>
      <c r="Y896" s="2">
        <f t="shared" ca="1" si="829"/>
        <v>0.12388530563770042</v>
      </c>
      <c r="Z896" s="2">
        <f t="shared" ca="1" si="830"/>
        <v>0.12543942789278059</v>
      </c>
      <c r="AA896" s="2">
        <f t="shared" ca="1" si="831"/>
        <v>6148677.1619940568</v>
      </c>
      <c r="AB896" s="2">
        <f t="shared" ca="1" si="832"/>
        <v>6639225.7600485506</v>
      </c>
      <c r="AC896" s="2">
        <f t="shared" ca="1" si="833"/>
        <v>7080092.217925434</v>
      </c>
      <c r="AD896" s="2">
        <f t="shared" ca="1" si="834"/>
        <v>7550233.6606733678</v>
      </c>
      <c r="AE896" s="2">
        <f t="shared" ca="1" si="835"/>
        <v>8051594.0437098891</v>
      </c>
      <c r="AF896" s="2">
        <f t="shared" ca="1" si="836"/>
        <v>992640.27002132358</v>
      </c>
      <c r="AG896" s="2">
        <f t="shared" ca="1" si="837"/>
        <v>1058554.8533788645</v>
      </c>
      <c r="AH896" s="2">
        <f t="shared" ca="1" si="838"/>
        <v>1128846.3821721424</v>
      </c>
      <c r="AI896" s="2">
        <f t="shared" ca="1" si="839"/>
        <v>1203805.4999942975</v>
      </c>
      <c r="AJ896" s="2">
        <f t="shared" ca="1" si="840"/>
        <v>1283742.1501303392</v>
      </c>
      <c r="AK896" s="2">
        <f t="shared" ca="1" si="841"/>
        <v>0</v>
      </c>
      <c r="AL896" s="2">
        <f t="shared" ca="1" si="842"/>
        <v>32957.291678770482</v>
      </c>
      <c r="AM896" s="2">
        <f t="shared" ca="1" si="843"/>
        <v>35145.764396638871</v>
      </c>
      <c r="AN896" s="2">
        <f t="shared" ca="1" si="844"/>
        <v>37479.558911077605</v>
      </c>
      <c r="AO896" s="2">
        <f t="shared" ca="1" si="845"/>
        <v>39968.325068020822</v>
      </c>
      <c r="AP896" s="2">
        <f t="shared" ca="1" si="846"/>
        <v>2328214.9331349107</v>
      </c>
      <c r="AQ896" s="2">
        <f t="shared" ca="1" si="847"/>
        <v>735233.70929783396</v>
      </c>
      <c r="AR896" s="2">
        <f t="shared" ca="1" si="848"/>
        <v>845638.55311904149</v>
      </c>
      <c r="AS896" s="2">
        <f t="shared" ca="1" si="849"/>
        <v>941988.03468077909</v>
      </c>
      <c r="AT896" s="2">
        <f t="shared" ca="1" si="850"/>
        <v>1044735.4391614816</v>
      </c>
      <c r="AU896" s="2">
        <f t="shared" ca="1" si="851"/>
        <v>1154305.6097156063</v>
      </c>
      <c r="AV896" s="2">
        <f t="shared" ca="1" si="852"/>
        <v>2092588.249539989</v>
      </c>
      <c r="AW896" s="2">
        <f t="shared" ca="1" si="853"/>
        <v>2373860.1287369626</v>
      </c>
      <c r="AX896" s="2">
        <f t="shared" ca="1" si="854"/>
        <v>2645897.1035409635</v>
      </c>
      <c r="AY896" s="2">
        <f t="shared" ca="1" si="855"/>
        <v>2935998.2294716006</v>
      </c>
      <c r="AZ896" s="2">
        <f t="shared" ca="1" si="856"/>
        <v>3245363.0256610122</v>
      </c>
      <c r="BA896" s="2">
        <f t="shared" ca="1" si="857"/>
        <v>64334359.760972634</v>
      </c>
      <c r="BB896" s="2">
        <f t="shared" ca="1" si="858"/>
        <v>1286687.1952194527</v>
      </c>
      <c r="BC896" s="2">
        <f t="shared" ca="1" si="859"/>
        <v>37178617.753143065</v>
      </c>
      <c r="BD896" s="2">
        <f t="shared" ca="1" si="860"/>
        <v>-18823913.825598836</v>
      </c>
      <c r="BE896" s="2">
        <f t="shared" ca="1" si="861"/>
        <v>2092588.249539989</v>
      </c>
      <c r="BF896" s="2">
        <f t="shared" ca="1" si="862"/>
        <v>2373860.1287369626</v>
      </c>
      <c r="BG896" s="2">
        <f t="shared" ca="1" si="863"/>
        <v>2645897.1035409635</v>
      </c>
      <c r="BH896" s="2">
        <f t="shared" ca="1" si="864"/>
        <v>2935998.2294716006</v>
      </c>
      <c r="BI896" s="2">
        <f t="shared" ca="1" si="865"/>
        <v>40423980.778804079</v>
      </c>
      <c r="BJ896" s="2">
        <f t="shared" ca="1" si="866"/>
        <v>0.2527234668322853</v>
      </c>
      <c r="BK896" s="2">
        <f t="shared" ca="1" si="867"/>
        <v>11623724.858840287</v>
      </c>
    </row>
    <row r="897" spans="1:63" x14ac:dyDescent="0.3">
      <c r="A897" s="2">
        <v>896</v>
      </c>
      <c r="B897" s="2">
        <f t="shared" ca="1" si="806"/>
        <v>9.2567661608411012E-2</v>
      </c>
      <c r="C897" s="2">
        <f t="shared" ca="1" si="807"/>
        <v>6.4302735446397117</v>
      </c>
      <c r="D897" s="2">
        <f t="shared" ca="1" si="808"/>
        <v>8.4285616436418409E-2</v>
      </c>
      <c r="E897" s="2">
        <f t="shared" ca="1" si="809"/>
        <v>6.9105742720542009</v>
      </c>
      <c r="F897" s="2">
        <f t="shared" ca="1" si="810"/>
        <v>0.38814395176761729</v>
      </c>
      <c r="G897" s="2">
        <f t="shared" ca="1" si="811"/>
        <v>3.1475205313676785E-2</v>
      </c>
      <c r="H897" s="2">
        <f t="shared" ca="1" si="812"/>
        <v>3.1475205313676785E-2</v>
      </c>
      <c r="I897" s="2">
        <f t="shared" ca="1" si="813"/>
        <v>0.30618673529781459</v>
      </c>
      <c r="J897" s="2">
        <f t="shared" ca="1" si="814"/>
        <v>7.466557997045601E-3</v>
      </c>
      <c r="K897" s="2">
        <f t="shared" ca="1" si="815"/>
        <v>7.466557997045601E-3</v>
      </c>
      <c r="L897" s="2">
        <f t="shared" ca="1" si="816"/>
        <v>0.76954498896341295</v>
      </c>
      <c r="M897" s="2">
        <f t="shared" ca="1" si="817"/>
        <v>1.4746983920676776E-2</v>
      </c>
      <c r="N897" s="2">
        <f t="shared" ca="1" si="818"/>
        <v>1.4746983920676776E-2</v>
      </c>
      <c r="O897" s="2">
        <f t="shared" si="819"/>
        <v>6000000</v>
      </c>
      <c r="P897" s="2">
        <f t="shared" ca="1" si="820"/>
        <v>38581641.267838269</v>
      </c>
      <c r="Q897" s="2">
        <f t="shared" ca="1" si="821"/>
        <v>964541.03169595683</v>
      </c>
      <c r="R897" s="2">
        <f t="shared" ca="1" si="822"/>
        <v>23148984.76070296</v>
      </c>
      <c r="S897" s="2">
        <f t="shared" ca="1" si="823"/>
        <v>15432656.507135309</v>
      </c>
      <c r="T897" s="2">
        <f t="shared" ca="1" si="824"/>
        <v>50737349.196033843</v>
      </c>
      <c r="U897" s="2">
        <f t="shared" ca="1" si="825"/>
        <v>52334317.679050729</v>
      </c>
      <c r="V897" s="2">
        <f t="shared" ca="1" si="826"/>
        <v>53981551.072950043</v>
      </c>
      <c r="W897" s="2">
        <f t="shared" ca="1" si="827"/>
        <v>55680631.47612188</v>
      </c>
      <c r="X897" s="2">
        <f t="shared" ca="1" si="828"/>
        <v>57433190.783827998</v>
      </c>
      <c r="Y897" s="2">
        <f t="shared" ca="1" si="829"/>
        <v>0.12373327899852279</v>
      </c>
      <c r="Z897" s="2">
        <f t="shared" ca="1" si="830"/>
        <v>0.12522659059793192</v>
      </c>
      <c r="AA897" s="2">
        <f t="shared" ca="1" si="831"/>
        <v>6277898.5837183315</v>
      </c>
      <c r="AB897" s="2">
        <f t="shared" ca="1" si="832"/>
        <v>6553648.1742165964</v>
      </c>
      <c r="AC897" s="2">
        <f t="shared" ca="1" si="833"/>
        <v>6759925.5960536683</v>
      </c>
      <c r="AD897" s="2">
        <f t="shared" ca="1" si="834"/>
        <v>6972695.6420946363</v>
      </c>
      <c r="AE897" s="2">
        <f t="shared" ca="1" si="835"/>
        <v>7192162.6690193452</v>
      </c>
      <c r="AF897" s="2">
        <f t="shared" ca="1" si="836"/>
        <v>1014746.9839206769</v>
      </c>
      <c r="AG897" s="2">
        <f t="shared" ca="1" si="837"/>
        <v>1046686.3535810146</v>
      </c>
      <c r="AH897" s="2">
        <f t="shared" ca="1" si="838"/>
        <v>1079631.0214590009</v>
      </c>
      <c r="AI897" s="2">
        <f t="shared" ca="1" si="839"/>
        <v>1113612.6295224377</v>
      </c>
      <c r="AJ897" s="2">
        <f t="shared" ca="1" si="840"/>
        <v>1148663.8156765599</v>
      </c>
      <c r="AK897" s="2">
        <f t="shared" ca="1" si="841"/>
        <v>0</v>
      </c>
      <c r="AL897" s="2">
        <f t="shared" ca="1" si="842"/>
        <v>15969.684830168859</v>
      </c>
      <c r="AM897" s="2">
        <f t="shared" ca="1" si="843"/>
        <v>16472.333938993143</v>
      </c>
      <c r="AN897" s="2">
        <f t="shared" ca="1" si="844"/>
        <v>16990.804031718373</v>
      </c>
      <c r="AO897" s="2">
        <f t="shared" ca="1" si="845"/>
        <v>17525.593077061178</v>
      </c>
      <c r="AP897" s="2">
        <f t="shared" ca="1" si="846"/>
        <v>2083408.6284632664</v>
      </c>
      <c r="AQ897" s="2">
        <f t="shared" ca="1" si="847"/>
        <v>826733.17254694109</v>
      </c>
      <c r="AR897" s="2">
        <f t="shared" ca="1" si="848"/>
        <v>890123.8299648019</v>
      </c>
      <c r="AS897" s="2">
        <f t="shared" ca="1" si="849"/>
        <v>935190.34599416424</v>
      </c>
      <c r="AT897" s="2">
        <f t="shared" ca="1" si="850"/>
        <v>981675.33986832248</v>
      </c>
      <c r="AU897" s="2">
        <f t="shared" ca="1" si="851"/>
        <v>1029623.458468675</v>
      </c>
      <c r="AV897" s="2">
        <f t="shared" ca="1" si="852"/>
        <v>2353009.7987874476</v>
      </c>
      <c r="AW897" s="2">
        <f t="shared" ca="1" si="853"/>
        <v>2517459.6773773441</v>
      </c>
      <c r="AX897" s="2">
        <f t="shared" ca="1" si="854"/>
        <v>2645223.266198243</v>
      </c>
      <c r="AY897" s="2">
        <f t="shared" ca="1" si="855"/>
        <v>2777008.2402088922</v>
      </c>
      <c r="AZ897" s="2">
        <f t="shared" ca="1" si="856"/>
        <v>2912941.1733337836</v>
      </c>
      <c r="BA897" s="2">
        <f t="shared" ca="1" si="857"/>
        <v>49701974.300953761</v>
      </c>
      <c r="BB897" s="2">
        <f t="shared" ca="1" si="858"/>
        <v>994039.48601907527</v>
      </c>
      <c r="BC897" s="2">
        <f t="shared" ca="1" si="859"/>
        <v>25558950.054231726</v>
      </c>
      <c r="BD897" s="2">
        <f t="shared" ca="1" si="860"/>
        <v>-16897197.538831264</v>
      </c>
      <c r="BE897" s="2">
        <f t="shared" ca="1" si="861"/>
        <v>2353009.7987874476</v>
      </c>
      <c r="BF897" s="2">
        <f t="shared" ca="1" si="862"/>
        <v>2517459.6773773441</v>
      </c>
      <c r="BG897" s="2">
        <f t="shared" ca="1" si="863"/>
        <v>2645223.266198243</v>
      </c>
      <c r="BH897" s="2">
        <f t="shared" ca="1" si="864"/>
        <v>2777008.2402088922</v>
      </c>
      <c r="BI897" s="2">
        <f t="shared" ca="1" si="865"/>
        <v>28471891.227565508</v>
      </c>
      <c r="BJ897" s="2">
        <f t="shared" ca="1" si="866"/>
        <v>0.21941666887661948</v>
      </c>
      <c r="BK897" s="2">
        <f t="shared" ca="1" si="867"/>
        <v>7013979.837103527</v>
      </c>
    </row>
    <row r="898" spans="1:63" x14ac:dyDescent="0.3">
      <c r="A898" s="2">
        <v>897</v>
      </c>
      <c r="B898" s="2">
        <f t="shared" ref="B898:B961" ca="1" si="868">RAND()</f>
        <v>0.37511862069069157</v>
      </c>
      <c r="C898" s="2">
        <f t="shared" ref="C898:C961" ca="1" si="869">IF(B898&lt;((P_Mode)-(P_Low))/((P_High)-(P_Low)), (P_Low)+SQRT(B898*((P_High)-(P_Low))*((P_Mode)-(P_Low))), (P_High)-SQRT((1-B898)*((P_High)-(P_Low))*((P_High)-(P_Mode))))</f>
        <v>6.8661623643297967</v>
      </c>
      <c r="D898" s="2">
        <f t="shared" ref="D898:D961" ca="1" si="870">RAND()</f>
        <v>0.48740690886216931</v>
      </c>
      <c r="E898" s="2">
        <f t="shared" ref="E898:E961" ca="1" si="871">IF(D898&lt;((X_Mode)-(X_Low))/((X_High)-(X_Low)), (X_Low)+SQRT(D898*((X_High)-(X_Low))*((X_Mode)-(X_Low))), (X_High)-SQRT((1-D898)*((X_High)-(X_Low))*((X_High)-(X_Mode))))</f>
        <v>7.4873266013454405</v>
      </c>
      <c r="F898" s="2">
        <f t="shared" ref="F898:F961" ca="1" si="872">RAND()</f>
        <v>0.1136097383883431</v>
      </c>
      <c r="G898" s="2">
        <f t="shared" ref="G898:G961" ca="1" si="873">NORMINV(F898, g_Mean, g_SD)</f>
        <v>3.7734279118291358E-3</v>
      </c>
      <c r="H898" s="2">
        <f t="shared" ref="H898:H961" ca="1" si="874">MIN(MAX(G898, g_Min), g_Max)</f>
        <v>3.7734279118291358E-3</v>
      </c>
      <c r="I898" s="2">
        <f t="shared" ref="I898:I961" ca="1" si="875">RAND()</f>
        <v>0.71651041171777285</v>
      </c>
      <c r="J898" s="2">
        <f t="shared" ref="J898:J961" ca="1" si="876">NORMINV(I898, syn_Mean, syn_SD)</f>
        <v>1.2862530336686395E-2</v>
      </c>
      <c r="K898" s="2">
        <f t="shared" ref="K898:K961" ca="1" si="877">MIN(MAX(J898, syn_Min), syn_Max)</f>
        <v>1.2862530336686395E-2</v>
      </c>
      <c r="L898" s="2">
        <f t="shared" ref="L898:L961" ca="1" si="878">RAND()</f>
        <v>8.895305672099052E-2</v>
      </c>
      <c r="M898" s="2">
        <f t="shared" ref="M898:M961" ca="1" si="879">NORMINV(L898, shk_Mean, shk_SD)</f>
        <v>-2.694460343616939E-2</v>
      </c>
      <c r="N898" s="2">
        <f t="shared" ref="N898:N961" ca="1" si="880">MIN(MAX(M898, shk_Min), shk_Max)</f>
        <v>-2.694460343616939E-2</v>
      </c>
      <c r="O898" s="2">
        <f t="shared" ref="O898:O961" si="881">BaseRev*BaseMargin</f>
        <v>6000000</v>
      </c>
      <c r="P898" s="2">
        <f t="shared" ref="P898:P961" ca="1" si="882">O898*C898</f>
        <v>41196974.185978778</v>
      </c>
      <c r="Q898" s="2">
        <f t="shared" ref="Q898:Q961" ca="1" si="883">P898*TxnCostPct</f>
        <v>1029924.3546494695</v>
      </c>
      <c r="R898" s="2">
        <f t="shared" ref="R898:R961" ca="1" si="884">P898*DebtPct</f>
        <v>24718184.511587266</v>
      </c>
      <c r="S898" s="2">
        <f t="shared" ref="S898:S961" ca="1" si="885">P898*EqPct</f>
        <v>16478789.674391512</v>
      </c>
      <c r="T898" s="2">
        <f t="shared" ref="T898:T961" ca="1" si="886">BaseRev*(1+N898)</f>
        <v>48652769.828191534</v>
      </c>
      <c r="U898" s="2">
        <f t="shared" ref="U898:U961" ca="1" si="887">T898*(1+H898)</f>
        <v>48836357.547849029</v>
      </c>
      <c r="V898" s="2">
        <f t="shared" ref="V898:V961" ca="1" si="888">U898*(1+H898)</f>
        <v>49020638.02253215</v>
      </c>
      <c r="W898" s="2">
        <f t="shared" ref="W898:W961" ca="1" si="889">V898*(1+H898)</f>
        <v>49205613.866302043</v>
      </c>
      <c r="X898" s="2">
        <f t="shared" ref="X898:X961" ca="1" si="890">W898*(1+H898)</f>
        <v>49391287.703083836</v>
      </c>
      <c r="Y898" s="2">
        <f t="shared" ref="Y898:Y961" ca="1" si="891">BaseMargin + SynReal_Y1*K898</f>
        <v>0.12643126516834319</v>
      </c>
      <c r="Z898" s="2">
        <f t="shared" ref="Z898:Z961" ca="1" si="892">BaseMargin + SynReal_Y2toY5*K898</f>
        <v>0.12900377123568046</v>
      </c>
      <c r="AA898" s="2">
        <f t="shared" ref="AA898:AA961" ca="1" si="893">T898*Y898</f>
        <v>6151231.2433224507</v>
      </c>
      <c r="AB898" s="2">
        <f t="shared" ref="AB898:AB961" ca="1" si="894">U898*Z898</f>
        <v>6300074.2970866133</v>
      </c>
      <c r="AC898" s="2">
        <f t="shared" ref="AC898:AC961" ca="1" si="895">V898*Z898</f>
        <v>6323847.1732858373</v>
      </c>
      <c r="AD898" s="2">
        <f t="shared" ref="AD898:AD961" ca="1" si="896">W898*Z898</f>
        <v>6347709.754719655</v>
      </c>
      <c r="AE898" s="2">
        <f t="shared" ref="AE898:AE961" ca="1" si="897">X898*Z898</f>
        <v>6371662.3798843045</v>
      </c>
      <c r="AF898" s="2">
        <f t="shared" ref="AF898:AF961" ca="1" si="898">T898*CapexPct</f>
        <v>973055.39656383067</v>
      </c>
      <c r="AG898" s="2">
        <f t="shared" ref="AG898:AG961" ca="1" si="899">U898*CapexPct</f>
        <v>976727.15095698065</v>
      </c>
      <c r="AH898" s="2">
        <f t="shared" ref="AH898:AH961" ca="1" si="900">V898*CapexPct</f>
        <v>980412.76045064302</v>
      </c>
      <c r="AI898" s="2">
        <f t="shared" ref="AI898:AI961" ca="1" si="901">W898*CapexPct</f>
        <v>984112.2773260409</v>
      </c>
      <c r="AJ898" s="2">
        <f t="shared" ref="AJ898:AJ961" ca="1" si="902">X898*CapexPct</f>
        <v>987825.75406167668</v>
      </c>
      <c r="AK898" s="2">
        <f t="shared" ref="AK898:AK961" ca="1" si="903">MAX(T898-BaseRev*(1+N898),0)*WCPct</f>
        <v>0</v>
      </c>
      <c r="AL898" s="2">
        <f t="shared" ref="AL898:AL961" ca="1" si="904">MAX(U898-T898,0)*WCPct</f>
        <v>1835.8771965749563</v>
      </c>
      <c r="AM898" s="2">
        <f t="shared" ref="AM898:AM961" ca="1" si="905">MAX(V898-U898,0)*WCPct</f>
        <v>1842.8047468312086</v>
      </c>
      <c r="AN898" s="2">
        <f t="shared" ref="AN898:AN961" ca="1" si="906">MAX(W898-V898,0)*WCPct</f>
        <v>1849.7584376989305</v>
      </c>
      <c r="AO898" s="2">
        <f t="shared" ref="AO898:AO961" ca="1" si="907">MAX(X898-W898,0)*WCPct</f>
        <v>1856.7383678179235</v>
      </c>
      <c r="AP898" s="2">
        <f t="shared" ref="AP898:AP961" ca="1" si="908">R898*DebtRate</f>
        <v>2224636.606042854</v>
      </c>
      <c r="AQ898" s="2">
        <f t="shared" ref="AQ898:AQ961" ca="1" si="909">MAX(AA898-AF898-AP898,0)*Tax</f>
        <v>767920.20258609916</v>
      </c>
      <c r="AR898" s="2">
        <f t="shared" ref="AR898:AR961" ca="1" si="910">MAX(AB898-AG898-AP898,0)*Tax</f>
        <v>805664.74042256235</v>
      </c>
      <c r="AS898" s="2">
        <f t="shared" ref="AS898:AS961" ca="1" si="911">MAX(AC898-AH898-AP898,0)*Tax</f>
        <v>810887.4297660084</v>
      </c>
      <c r="AT898" s="2">
        <f t="shared" ref="AT898:AT961" ca="1" si="912">MAX(AD898-AI898-AP898,0)*Tax</f>
        <v>816129.82655119768</v>
      </c>
      <c r="AU898" s="2">
        <f t="shared" ref="AU898:AU961" ca="1" si="913">MAX(AE898-AJ898-AP898,0)*Tax</f>
        <v>821392.00514274125</v>
      </c>
      <c r="AV898" s="2">
        <f t="shared" ref="AV898:AV961" ca="1" si="914">AA898-AF898-AK898-AQ898-AP898</f>
        <v>2185619.0381296664</v>
      </c>
      <c r="AW898" s="2">
        <f t="shared" ref="AW898:AW961" ca="1" si="915">AB898-AG898-AL898-AR898-AP898</f>
        <v>2291209.9224676411</v>
      </c>
      <c r="AX898" s="2">
        <f t="shared" ref="AX898:AX961" ca="1" si="916">AC898-AH898-AM898-AS898-AP898</f>
        <v>2306067.5722795003</v>
      </c>
      <c r="AY898" s="2">
        <f t="shared" ref="AY898:AY961" ca="1" si="917">AD898-AI898-AN898-AT898-AP898</f>
        <v>2320981.2863618634</v>
      </c>
      <c r="AZ898" s="2">
        <f t="shared" ref="AZ898:AZ961" ca="1" si="918">AE898-AJ898-AO898-AU898-AP898</f>
        <v>2335951.2762692147</v>
      </c>
      <c r="BA898" s="2">
        <f t="shared" ref="BA898:BA961" ca="1" si="919">AE898*E898</f>
        <v>47706717.23169975</v>
      </c>
      <c r="BB898" s="2">
        <f t="shared" ref="BB898:BB961" ca="1" si="920">BA898*SellCostPct</f>
        <v>954134.34463399497</v>
      </c>
      <c r="BC898" s="2">
        <f t="shared" ref="BC898:BC961" ca="1" si="921">BA898-R898-BB898</f>
        <v>22034398.375478487</v>
      </c>
      <c r="BD898" s="2">
        <f t="shared" ref="BD898:BD961" ca="1" si="922">-S898-Q898-IntegrationPct*BaseRev</f>
        <v>-18008714.029040981</v>
      </c>
      <c r="BE898" s="2">
        <f t="shared" ref="BE898:BE961" ca="1" si="923">AV898</f>
        <v>2185619.0381296664</v>
      </c>
      <c r="BF898" s="2">
        <f t="shared" ref="BF898:BF961" ca="1" si="924">AW898</f>
        <v>2291209.9224676411</v>
      </c>
      <c r="BG898" s="2">
        <f t="shared" ref="BG898:BG961" ca="1" si="925">AX898</f>
        <v>2306067.5722795003</v>
      </c>
      <c r="BH898" s="2">
        <f t="shared" ref="BH898:BH961" ca="1" si="926">AY898</f>
        <v>2320981.2863618634</v>
      </c>
      <c r="BI898" s="2">
        <f t="shared" ref="BI898:BI961" ca="1" si="927">AZ898+BC898</f>
        <v>24370349.651747704</v>
      </c>
      <c r="BJ898" s="2">
        <f t="shared" ref="BJ898:BJ961" ca="1" si="928">IF(MIN(BD898:BI898)*MAX(BD898:BI898)&gt;=0, "", IFERROR(IRR(BD898:BI898,0.12), IFERROR(IRR(BD898:BI898,0.5), IFERROR(IRR(BD898:BI898,-0.5),""))))</f>
        <v>0.1590545971268964</v>
      </c>
      <c r="BK898" s="2">
        <f t="shared" ref="BK898:BK961" ca="1" si="929">NPV(12%,BE898:BI898)+BD898</f>
        <v>2714099.8539408967</v>
      </c>
    </row>
    <row r="899" spans="1:63" x14ac:dyDescent="0.3">
      <c r="A899" s="2">
        <v>898</v>
      </c>
      <c r="B899" s="2">
        <f t="shared" ca="1" si="868"/>
        <v>0.81763784381229843</v>
      </c>
      <c r="C899" s="2">
        <f t="shared" ca="1" si="869"/>
        <v>7.3960759051210134</v>
      </c>
      <c r="D899" s="2">
        <f t="shared" ca="1" si="870"/>
        <v>0.34554006197745601</v>
      </c>
      <c r="E899" s="2">
        <f t="shared" ca="1" si="871"/>
        <v>7.331312290270577</v>
      </c>
      <c r="F899" s="2">
        <f t="shared" ca="1" si="872"/>
        <v>0.52086264309793096</v>
      </c>
      <c r="G899" s="2">
        <f t="shared" ca="1" si="873"/>
        <v>4.1569562486171788E-2</v>
      </c>
      <c r="H899" s="2">
        <f t="shared" ca="1" si="874"/>
        <v>4.1569562486171788E-2</v>
      </c>
      <c r="I899" s="2">
        <f t="shared" ca="1" si="875"/>
        <v>0.78021526874724523</v>
      </c>
      <c r="J899" s="2">
        <f t="shared" ca="1" si="876"/>
        <v>1.386460223915786E-2</v>
      </c>
      <c r="K899" s="2">
        <f t="shared" ca="1" si="877"/>
        <v>1.386460223915786E-2</v>
      </c>
      <c r="L899" s="2">
        <f t="shared" ca="1" si="878"/>
        <v>0.56099579389793131</v>
      </c>
      <c r="M899" s="2">
        <f t="shared" ca="1" si="879"/>
        <v>3.0698878459920293E-3</v>
      </c>
      <c r="N899" s="2">
        <f t="shared" ca="1" si="880"/>
        <v>3.0698878459920293E-3</v>
      </c>
      <c r="O899" s="2">
        <f t="shared" si="881"/>
        <v>6000000</v>
      </c>
      <c r="P899" s="2">
        <f t="shared" ca="1" si="882"/>
        <v>44376455.430726081</v>
      </c>
      <c r="Q899" s="2">
        <f t="shared" ca="1" si="883"/>
        <v>1109411.3857681521</v>
      </c>
      <c r="R899" s="2">
        <f t="shared" ca="1" si="884"/>
        <v>26625873.258435648</v>
      </c>
      <c r="S899" s="2">
        <f t="shared" ca="1" si="885"/>
        <v>17750582.172290433</v>
      </c>
      <c r="T899" s="2">
        <f t="shared" ca="1" si="886"/>
        <v>50153494.3922996</v>
      </c>
      <c r="U899" s="2">
        <f t="shared" ca="1" si="887"/>
        <v>52238353.211340167</v>
      </c>
      <c r="V899" s="2">
        <f t="shared" ca="1" si="888"/>
        <v>54409878.69933369</v>
      </c>
      <c r="W899" s="2">
        <f t="shared" ca="1" si="889"/>
        <v>56671673.55179067</v>
      </c>
      <c r="X899" s="2">
        <f t="shared" ca="1" si="890"/>
        <v>59027490.226697765</v>
      </c>
      <c r="Y899" s="2">
        <f t="shared" ca="1" si="891"/>
        <v>0.12693230111957893</v>
      </c>
      <c r="Z899" s="2">
        <f t="shared" ca="1" si="892"/>
        <v>0.12970522156741049</v>
      </c>
      <c r="AA899" s="2">
        <f t="shared" ca="1" si="893"/>
        <v>6366098.4524024855</v>
      </c>
      <c r="AB899" s="2">
        <f t="shared" ca="1" si="894"/>
        <v>6775587.1775935255</v>
      </c>
      <c r="AC899" s="2">
        <f t="shared" ca="1" si="895"/>
        <v>7057245.3721530046</v>
      </c>
      <c r="AD899" s="2">
        <f t="shared" ca="1" si="896"/>
        <v>7350611.9746309659</v>
      </c>
      <c r="AE899" s="2">
        <f t="shared" ca="1" si="897"/>
        <v>7656173.6984219905</v>
      </c>
      <c r="AF899" s="2">
        <f t="shared" ca="1" si="898"/>
        <v>1003069.887845992</v>
      </c>
      <c r="AG899" s="2">
        <f t="shared" ca="1" si="899"/>
        <v>1044767.0642268034</v>
      </c>
      <c r="AH899" s="2">
        <f t="shared" ca="1" si="900"/>
        <v>1088197.5739866737</v>
      </c>
      <c r="AI899" s="2">
        <f t="shared" ca="1" si="901"/>
        <v>1133433.4710358134</v>
      </c>
      <c r="AJ899" s="2">
        <f t="shared" ca="1" si="902"/>
        <v>1180549.8045339554</v>
      </c>
      <c r="AK899" s="2">
        <f t="shared" ca="1" si="903"/>
        <v>0</v>
      </c>
      <c r="AL899" s="2">
        <f t="shared" ca="1" si="904"/>
        <v>20848.588190405666</v>
      </c>
      <c r="AM899" s="2">
        <f t="shared" ca="1" si="905"/>
        <v>21715.254879935233</v>
      </c>
      <c r="AN899" s="2">
        <f t="shared" ca="1" si="906"/>
        <v>22617.948524569794</v>
      </c>
      <c r="AO899" s="2">
        <f t="shared" ca="1" si="907"/>
        <v>23558.166749070959</v>
      </c>
      <c r="AP899" s="2">
        <f t="shared" ca="1" si="908"/>
        <v>2396328.5932592084</v>
      </c>
      <c r="AQ899" s="2">
        <f t="shared" ca="1" si="909"/>
        <v>771341.99253729417</v>
      </c>
      <c r="AR899" s="2">
        <f t="shared" ca="1" si="910"/>
        <v>866967.79522795358</v>
      </c>
      <c r="AS899" s="2">
        <f t="shared" ca="1" si="911"/>
        <v>928906.99327585194</v>
      </c>
      <c r="AT899" s="2">
        <f t="shared" ca="1" si="912"/>
        <v>993420.97668734565</v>
      </c>
      <c r="AU899" s="2">
        <f t="shared" ca="1" si="913"/>
        <v>1060616.778163495</v>
      </c>
      <c r="AV899" s="2">
        <f t="shared" ca="1" si="914"/>
        <v>2195357.9787599905</v>
      </c>
      <c r="AW899" s="2">
        <f t="shared" ca="1" si="915"/>
        <v>2446675.1366891549</v>
      </c>
      <c r="AX899" s="2">
        <f t="shared" ca="1" si="916"/>
        <v>2622096.9567513349</v>
      </c>
      <c r="AY899" s="2">
        <f t="shared" ca="1" si="917"/>
        <v>2804810.9851240288</v>
      </c>
      <c r="AZ899" s="2">
        <f t="shared" ca="1" si="918"/>
        <v>2995120.3557162597</v>
      </c>
      <c r="BA899" s="2">
        <f t="shared" ca="1" si="919"/>
        <v>56129800.33168748</v>
      </c>
      <c r="BB899" s="2">
        <f t="shared" ca="1" si="920"/>
        <v>1122596.0066337497</v>
      </c>
      <c r="BC899" s="2">
        <f t="shared" ca="1" si="921"/>
        <v>28381331.066618081</v>
      </c>
      <c r="BD899" s="2">
        <f t="shared" ca="1" si="922"/>
        <v>-19359993.558058586</v>
      </c>
      <c r="BE899" s="2">
        <f t="shared" ca="1" si="923"/>
        <v>2195357.9787599905</v>
      </c>
      <c r="BF899" s="2">
        <f t="shared" ca="1" si="924"/>
        <v>2446675.1366891549</v>
      </c>
      <c r="BG899" s="2">
        <f t="shared" ca="1" si="925"/>
        <v>2622096.9567513349</v>
      </c>
      <c r="BH899" s="2">
        <f t="shared" ca="1" si="926"/>
        <v>2804810.9851240288</v>
      </c>
      <c r="BI899" s="2">
        <f t="shared" ca="1" si="927"/>
        <v>31376451.422334339</v>
      </c>
      <c r="BJ899" s="2">
        <f t="shared" ca="1" si="928"/>
        <v>0.19466931235995988</v>
      </c>
      <c r="BK899" s="2">
        <f t="shared" ca="1" si="929"/>
        <v>6003328.0171351694</v>
      </c>
    </row>
    <row r="900" spans="1:63" x14ac:dyDescent="0.3">
      <c r="A900" s="2">
        <v>899</v>
      </c>
      <c r="B900" s="2">
        <f t="shared" ca="1" si="868"/>
        <v>0.40728449599271577</v>
      </c>
      <c r="C900" s="2">
        <f t="shared" ca="1" si="869"/>
        <v>6.902534759433359</v>
      </c>
      <c r="D900" s="2">
        <f t="shared" ca="1" si="870"/>
        <v>0.73955483181490089</v>
      </c>
      <c r="E900" s="2">
        <f t="shared" ca="1" si="871"/>
        <v>7.7782726717310764</v>
      </c>
      <c r="F900" s="2">
        <f t="shared" ca="1" si="872"/>
        <v>0.42090146142434914</v>
      </c>
      <c r="G900" s="2">
        <f t="shared" ca="1" si="873"/>
        <v>3.401236419153951E-2</v>
      </c>
      <c r="H900" s="2">
        <f t="shared" ca="1" si="874"/>
        <v>3.401236419153951E-2</v>
      </c>
      <c r="I900" s="2">
        <f t="shared" ca="1" si="875"/>
        <v>0.94893521466251718</v>
      </c>
      <c r="J900" s="2">
        <f t="shared" ca="1" si="876"/>
        <v>1.8173080017470332E-2</v>
      </c>
      <c r="K900" s="2">
        <f t="shared" ca="1" si="877"/>
        <v>1.8173080017470332E-2</v>
      </c>
      <c r="L900" s="2">
        <f t="shared" ca="1" si="878"/>
        <v>0.83742354793978535</v>
      </c>
      <c r="M900" s="2">
        <f t="shared" ca="1" si="879"/>
        <v>1.9678479111324462E-2</v>
      </c>
      <c r="N900" s="2">
        <f t="shared" ca="1" si="880"/>
        <v>1.9678479111324462E-2</v>
      </c>
      <c r="O900" s="2">
        <f t="shared" si="881"/>
        <v>6000000</v>
      </c>
      <c r="P900" s="2">
        <f t="shared" ca="1" si="882"/>
        <v>41415208.556600153</v>
      </c>
      <c r="Q900" s="2">
        <f t="shared" ca="1" si="883"/>
        <v>1035380.2139150039</v>
      </c>
      <c r="R900" s="2">
        <f t="shared" ca="1" si="884"/>
        <v>24849125.133960091</v>
      </c>
      <c r="S900" s="2">
        <f t="shared" ca="1" si="885"/>
        <v>16566083.422640063</v>
      </c>
      <c r="T900" s="2">
        <f t="shared" ca="1" si="886"/>
        <v>50983923.955566227</v>
      </c>
      <c r="U900" s="2">
        <f t="shared" ca="1" si="887"/>
        <v>52718007.745056704</v>
      </c>
      <c r="V900" s="2">
        <f t="shared" ca="1" si="888"/>
        <v>54511071.823933974</v>
      </c>
      <c r="W900" s="2">
        <f t="shared" ca="1" si="889"/>
        <v>56365122.251280785</v>
      </c>
      <c r="X900" s="2">
        <f t="shared" ca="1" si="890"/>
        <v>58282233.316991992</v>
      </c>
      <c r="Y900" s="2">
        <f t="shared" ca="1" si="891"/>
        <v>0.12908654000873515</v>
      </c>
      <c r="Z900" s="2">
        <f t="shared" ca="1" si="892"/>
        <v>0.13272115601222922</v>
      </c>
      <c r="AA900" s="2">
        <f t="shared" ca="1" si="893"/>
        <v>6581338.3394925101</v>
      </c>
      <c r="AB900" s="2">
        <f t="shared" ca="1" si="894"/>
        <v>6996794.930585579</v>
      </c>
      <c r="AC900" s="2">
        <f t="shared" ca="1" si="895"/>
        <v>7234772.4679381736</v>
      </c>
      <c r="AD900" s="2">
        <f t="shared" ca="1" si="896"/>
        <v>7480844.1839606101</v>
      </c>
      <c r="AE900" s="2">
        <f t="shared" ca="1" si="897"/>
        <v>7735285.3808056386</v>
      </c>
      <c r="AF900" s="2">
        <f t="shared" ca="1" si="898"/>
        <v>1019678.4791113245</v>
      </c>
      <c r="AG900" s="2">
        <f t="shared" ca="1" si="899"/>
        <v>1054360.1549011341</v>
      </c>
      <c r="AH900" s="2">
        <f t="shared" ca="1" si="900"/>
        <v>1090221.4364786795</v>
      </c>
      <c r="AI900" s="2">
        <f t="shared" ca="1" si="901"/>
        <v>1127302.4450256156</v>
      </c>
      <c r="AJ900" s="2">
        <f t="shared" ca="1" si="902"/>
        <v>1165644.6663398398</v>
      </c>
      <c r="AK900" s="2">
        <f t="shared" ca="1" si="903"/>
        <v>0</v>
      </c>
      <c r="AL900" s="2">
        <f t="shared" ca="1" si="904"/>
        <v>17340.837894904762</v>
      </c>
      <c r="AM900" s="2">
        <f t="shared" ca="1" si="905"/>
        <v>17930.640788772704</v>
      </c>
      <c r="AN900" s="2">
        <f t="shared" ca="1" si="906"/>
        <v>18540.504273468108</v>
      </c>
      <c r="AO900" s="2">
        <f t="shared" ca="1" si="907"/>
        <v>19171.110657112076</v>
      </c>
      <c r="AP900" s="2">
        <f t="shared" ca="1" si="908"/>
        <v>2236421.262056408</v>
      </c>
      <c r="AQ900" s="2">
        <f t="shared" ca="1" si="909"/>
        <v>864562.03556444228</v>
      </c>
      <c r="AR900" s="2">
        <f t="shared" ca="1" si="910"/>
        <v>963563.51354328974</v>
      </c>
      <c r="AS900" s="2">
        <f t="shared" ca="1" si="911"/>
        <v>1016113.7400448023</v>
      </c>
      <c r="AT900" s="2">
        <f t="shared" ca="1" si="912"/>
        <v>1070451.3239884325</v>
      </c>
      <c r="AU900" s="2">
        <f t="shared" ca="1" si="913"/>
        <v>1126637.0576264416</v>
      </c>
      <c r="AV900" s="2">
        <f t="shared" ca="1" si="914"/>
        <v>2460676.5627603359</v>
      </c>
      <c r="AW900" s="2">
        <f t="shared" ca="1" si="915"/>
        <v>2725109.1621898427</v>
      </c>
      <c r="AX900" s="2">
        <f t="shared" ca="1" si="916"/>
        <v>2874085.3885695101</v>
      </c>
      <c r="AY900" s="2">
        <f t="shared" ca="1" si="917"/>
        <v>3028128.6486166869</v>
      </c>
      <c r="AZ900" s="2">
        <f t="shared" ca="1" si="918"/>
        <v>3187411.284125837</v>
      </c>
      <c r="BA900" s="2">
        <f t="shared" ca="1" si="919"/>
        <v>60167158.885561414</v>
      </c>
      <c r="BB900" s="2">
        <f t="shared" ca="1" si="920"/>
        <v>1203343.1777112284</v>
      </c>
      <c r="BC900" s="2">
        <f t="shared" ca="1" si="921"/>
        <v>34114690.573890097</v>
      </c>
      <c r="BD900" s="2">
        <f t="shared" ca="1" si="922"/>
        <v>-18101463.636555068</v>
      </c>
      <c r="BE900" s="2">
        <f t="shared" ca="1" si="923"/>
        <v>2460676.5627603359</v>
      </c>
      <c r="BF900" s="2">
        <f t="shared" ca="1" si="924"/>
        <v>2725109.1621898427</v>
      </c>
      <c r="BG900" s="2">
        <f t="shared" ca="1" si="925"/>
        <v>2874085.3885695101</v>
      </c>
      <c r="BH900" s="2">
        <f t="shared" ca="1" si="926"/>
        <v>3028128.6486166869</v>
      </c>
      <c r="BI900" s="2">
        <f t="shared" ca="1" si="927"/>
        <v>37302101.858015932</v>
      </c>
      <c r="BJ900" s="2">
        <f t="shared" ca="1" si="928"/>
        <v>0.25917357441491884</v>
      </c>
      <c r="BK900" s="2">
        <f t="shared" ca="1" si="929"/>
        <v>11404371.427555889</v>
      </c>
    </row>
    <row r="901" spans="1:63" x14ac:dyDescent="0.3">
      <c r="A901" s="2">
        <v>900</v>
      </c>
      <c r="B901" s="2">
        <f t="shared" ca="1" si="868"/>
        <v>0.18879103879503145</v>
      </c>
      <c r="C901" s="2">
        <f t="shared" ca="1" si="869"/>
        <v>6.6144770765374918</v>
      </c>
      <c r="D901" s="2">
        <f t="shared" ca="1" si="870"/>
        <v>0.1129809211782582</v>
      </c>
      <c r="E901" s="2">
        <f t="shared" ca="1" si="871"/>
        <v>6.9753544386628956</v>
      </c>
      <c r="F901" s="2">
        <f t="shared" ca="1" si="872"/>
        <v>0.95211791214720332</v>
      </c>
      <c r="G901" s="2">
        <f t="shared" ca="1" si="873"/>
        <v>8.9972355909366031E-2</v>
      </c>
      <c r="H901" s="2">
        <f t="shared" ca="1" si="874"/>
        <v>8.9972355909366031E-2</v>
      </c>
      <c r="I901" s="2">
        <f t="shared" ca="1" si="875"/>
        <v>0.95883968010808185</v>
      </c>
      <c r="J901" s="2">
        <f t="shared" ca="1" si="876"/>
        <v>1.8686885240231099E-2</v>
      </c>
      <c r="K901" s="2">
        <f t="shared" ca="1" si="877"/>
        <v>1.8686885240231099E-2</v>
      </c>
      <c r="L901" s="2">
        <f t="shared" ca="1" si="878"/>
        <v>0.44108732678788731</v>
      </c>
      <c r="M901" s="2">
        <f t="shared" ca="1" si="879"/>
        <v>-2.9642604824436651E-3</v>
      </c>
      <c r="N901" s="2">
        <f t="shared" ca="1" si="880"/>
        <v>-2.9642604824436651E-3</v>
      </c>
      <c r="O901" s="2">
        <f t="shared" si="881"/>
        <v>6000000</v>
      </c>
      <c r="P901" s="2">
        <f t="shared" ca="1" si="882"/>
        <v>39686862.459224954</v>
      </c>
      <c r="Q901" s="2">
        <f t="shared" ca="1" si="883"/>
        <v>992171.5614806239</v>
      </c>
      <c r="R901" s="2">
        <f t="shared" ca="1" si="884"/>
        <v>23812117.475534972</v>
      </c>
      <c r="S901" s="2">
        <f t="shared" ca="1" si="885"/>
        <v>15874744.983689982</v>
      </c>
      <c r="T901" s="2">
        <f t="shared" ca="1" si="886"/>
        <v>49851786.975877814</v>
      </c>
      <c r="U901" s="2">
        <f t="shared" ca="1" si="887"/>
        <v>54337069.696389385</v>
      </c>
      <c r="V901" s="2">
        <f t="shared" ca="1" si="888"/>
        <v>59225903.870184951</v>
      </c>
      <c r="W901" s="2">
        <f t="shared" ca="1" si="889"/>
        <v>64554597.972247124</v>
      </c>
      <c r="X901" s="2">
        <f t="shared" ca="1" si="890"/>
        <v>70362727.236592174</v>
      </c>
      <c r="Y901" s="2">
        <f t="shared" ca="1" si="891"/>
        <v>0.12934344262011555</v>
      </c>
      <c r="Z901" s="2">
        <f t="shared" ca="1" si="892"/>
        <v>0.13308081966816177</v>
      </c>
      <c r="AA901" s="2">
        <f t="shared" ca="1" si="893"/>
        <v>6448001.7482246757</v>
      </c>
      <c r="AB901" s="2">
        <f t="shared" ca="1" si="894"/>
        <v>7231221.7735615326</v>
      </c>
      <c r="AC901" s="2">
        <f t="shared" ca="1" si="895"/>
        <v>7881831.832631967</v>
      </c>
      <c r="AD901" s="2">
        <f t="shared" ca="1" si="896"/>
        <v>8590978.8114953004</v>
      </c>
      <c r="AE901" s="2">
        <f t="shared" ca="1" si="897"/>
        <v>9363929.4147329777</v>
      </c>
      <c r="AF901" s="2">
        <f t="shared" ca="1" si="898"/>
        <v>997035.73951755627</v>
      </c>
      <c r="AG901" s="2">
        <f t="shared" ca="1" si="899"/>
        <v>1086741.3939277877</v>
      </c>
      <c r="AH901" s="2">
        <f t="shared" ca="1" si="900"/>
        <v>1184518.077403699</v>
      </c>
      <c r="AI901" s="2">
        <f t="shared" ca="1" si="901"/>
        <v>1291091.9594449424</v>
      </c>
      <c r="AJ901" s="2">
        <f t="shared" ca="1" si="902"/>
        <v>1407254.5447318435</v>
      </c>
      <c r="AK901" s="2">
        <f t="shared" ca="1" si="903"/>
        <v>0</v>
      </c>
      <c r="AL901" s="2">
        <f t="shared" ca="1" si="904"/>
        <v>44852.827205115704</v>
      </c>
      <c r="AM901" s="2">
        <f t="shared" ca="1" si="905"/>
        <v>48888.341737955663</v>
      </c>
      <c r="AN901" s="2">
        <f t="shared" ca="1" si="906"/>
        <v>53286.941020621736</v>
      </c>
      <c r="AO901" s="2">
        <f t="shared" ca="1" si="907"/>
        <v>58081.292643450499</v>
      </c>
      <c r="AP901" s="2">
        <f t="shared" ca="1" si="908"/>
        <v>2143090.5727981473</v>
      </c>
      <c r="AQ901" s="2">
        <f t="shared" ca="1" si="909"/>
        <v>860047.61333633272</v>
      </c>
      <c r="AR901" s="2">
        <f t="shared" ca="1" si="910"/>
        <v>1040361.3497772554</v>
      </c>
      <c r="AS901" s="2">
        <f t="shared" ca="1" si="911"/>
        <v>1184098.0274318312</v>
      </c>
      <c r="AT901" s="2">
        <f t="shared" ca="1" si="912"/>
        <v>1340767.0326055747</v>
      </c>
      <c r="AU901" s="2">
        <f t="shared" ca="1" si="913"/>
        <v>1511531.9172727768</v>
      </c>
      <c r="AV901" s="2">
        <f t="shared" ca="1" si="914"/>
        <v>2447827.8225726387</v>
      </c>
      <c r="AW901" s="2">
        <f t="shared" ca="1" si="915"/>
        <v>2916175.6298532267</v>
      </c>
      <c r="AX901" s="2">
        <f t="shared" ca="1" si="916"/>
        <v>3321236.8132603341</v>
      </c>
      <c r="AY901" s="2">
        <f t="shared" ca="1" si="917"/>
        <v>3762742.3056260147</v>
      </c>
      <c r="AZ901" s="2">
        <f t="shared" ca="1" si="918"/>
        <v>4243971.0872867592</v>
      </c>
      <c r="BA901" s="2">
        <f t="shared" ca="1" si="919"/>
        <v>65316726.606383726</v>
      </c>
      <c r="BB901" s="2">
        <f t="shared" ca="1" si="920"/>
        <v>1306334.5321276744</v>
      </c>
      <c r="BC901" s="2">
        <f t="shared" ca="1" si="921"/>
        <v>40198274.59872108</v>
      </c>
      <c r="BD901" s="2">
        <f t="shared" ca="1" si="922"/>
        <v>-17366916.545170605</v>
      </c>
      <c r="BE901" s="2">
        <f t="shared" ca="1" si="923"/>
        <v>2447827.8225726387</v>
      </c>
      <c r="BF901" s="2">
        <f t="shared" ca="1" si="924"/>
        <v>2916175.6298532267</v>
      </c>
      <c r="BG901" s="2">
        <f t="shared" ca="1" si="925"/>
        <v>3321236.8132603341</v>
      </c>
      <c r="BH901" s="2">
        <f t="shared" ca="1" si="926"/>
        <v>3762742.3056260147</v>
      </c>
      <c r="BI901" s="2">
        <f t="shared" ca="1" si="927"/>
        <v>44442245.686007842</v>
      </c>
      <c r="BJ901" s="2">
        <f t="shared" ca="1" si="928"/>
        <v>0.31876604617279281</v>
      </c>
      <c r="BK901" s="2">
        <f t="shared" ca="1" si="929"/>
        <v>17116406.620958686</v>
      </c>
    </row>
    <row r="902" spans="1:63" x14ac:dyDescent="0.3">
      <c r="A902" s="2">
        <v>901</v>
      </c>
      <c r="B902" s="2">
        <f t="shared" ca="1" si="868"/>
        <v>0.30380939923610151</v>
      </c>
      <c r="C902" s="2">
        <f t="shared" ca="1" si="869"/>
        <v>6.7794990689360723</v>
      </c>
      <c r="D902" s="2">
        <f t="shared" ca="1" si="870"/>
        <v>0.85516652190912845</v>
      </c>
      <c r="E902" s="2">
        <f t="shared" ca="1" si="871"/>
        <v>7.9617928315399888</v>
      </c>
      <c r="F902" s="2">
        <f t="shared" ca="1" si="872"/>
        <v>0.1526196870655312</v>
      </c>
      <c r="G902" s="2">
        <f t="shared" ca="1" si="873"/>
        <v>9.2421268585666586E-3</v>
      </c>
      <c r="H902" s="2">
        <f t="shared" ca="1" si="874"/>
        <v>9.2421268585666586E-3</v>
      </c>
      <c r="I902" s="2">
        <f t="shared" ca="1" si="875"/>
        <v>0.58131304085723234</v>
      </c>
      <c r="J902" s="2">
        <f t="shared" ca="1" si="876"/>
        <v>1.1026268484810801E-2</v>
      </c>
      <c r="K902" s="2">
        <f t="shared" ca="1" si="877"/>
        <v>1.1026268484810801E-2</v>
      </c>
      <c r="L902" s="2">
        <f t="shared" ca="1" si="878"/>
        <v>0.36132401388118207</v>
      </c>
      <c r="M902" s="2">
        <f t="shared" ca="1" si="879"/>
        <v>-7.0984399650788049E-3</v>
      </c>
      <c r="N902" s="2">
        <f t="shared" ca="1" si="880"/>
        <v>-7.0984399650788049E-3</v>
      </c>
      <c r="O902" s="2">
        <f t="shared" si="881"/>
        <v>6000000</v>
      </c>
      <c r="P902" s="2">
        <f t="shared" ca="1" si="882"/>
        <v>40676994.413616434</v>
      </c>
      <c r="Q902" s="2">
        <f t="shared" ca="1" si="883"/>
        <v>1016924.8603404108</v>
      </c>
      <c r="R902" s="2">
        <f t="shared" ca="1" si="884"/>
        <v>24406196.64816986</v>
      </c>
      <c r="S902" s="2">
        <f t="shared" ca="1" si="885"/>
        <v>16270797.765446573</v>
      </c>
      <c r="T902" s="2">
        <f t="shared" ca="1" si="886"/>
        <v>49645078.001746066</v>
      </c>
      <c r="U902" s="2">
        <f t="shared" ca="1" si="887"/>
        <v>50103904.110541642</v>
      </c>
      <c r="V902" s="2">
        <f t="shared" ca="1" si="888"/>
        <v>50566970.748440728</v>
      </c>
      <c r="W902" s="2">
        <f t="shared" ca="1" si="889"/>
        <v>51034317.106951252</v>
      </c>
      <c r="X902" s="2">
        <f t="shared" ca="1" si="890"/>
        <v>51505982.739794016</v>
      </c>
      <c r="Y902" s="2">
        <f t="shared" ca="1" si="891"/>
        <v>0.1255131342424054</v>
      </c>
      <c r="Z902" s="2">
        <f t="shared" ca="1" si="892"/>
        <v>0.12771838793936754</v>
      </c>
      <c r="AA902" s="2">
        <f t="shared" ca="1" si="893"/>
        <v>6231109.3397078412</v>
      </c>
      <c r="AB902" s="2">
        <f t="shared" ca="1" si="894"/>
        <v>6399189.8624670291</v>
      </c>
      <c r="AC902" s="2">
        <f t="shared" ca="1" si="895"/>
        <v>6458331.9869680032</v>
      </c>
      <c r="AD902" s="2">
        <f t="shared" ca="1" si="896"/>
        <v>6518020.7104863012</v>
      </c>
      <c r="AE902" s="2">
        <f t="shared" ca="1" si="897"/>
        <v>6578261.0847593807</v>
      </c>
      <c r="AF902" s="2">
        <f t="shared" ca="1" si="898"/>
        <v>992901.56003492139</v>
      </c>
      <c r="AG902" s="2">
        <f t="shared" ca="1" si="899"/>
        <v>1002078.0822108329</v>
      </c>
      <c r="AH902" s="2">
        <f t="shared" ca="1" si="900"/>
        <v>1011339.4149688146</v>
      </c>
      <c r="AI902" s="2">
        <f t="shared" ca="1" si="901"/>
        <v>1020686.3421390251</v>
      </c>
      <c r="AJ902" s="2">
        <f t="shared" ca="1" si="902"/>
        <v>1030119.6547958803</v>
      </c>
      <c r="AK902" s="2">
        <f t="shared" ca="1" si="903"/>
        <v>0</v>
      </c>
      <c r="AL902" s="2">
        <f t="shared" ca="1" si="904"/>
        <v>4588.2610879557578</v>
      </c>
      <c r="AM902" s="2">
        <f t="shared" ca="1" si="905"/>
        <v>4630.6663789908589</v>
      </c>
      <c r="AN902" s="2">
        <f t="shared" ca="1" si="906"/>
        <v>4673.4635851052408</v>
      </c>
      <c r="AO902" s="2">
        <f t="shared" ca="1" si="907"/>
        <v>4716.6563284276426</v>
      </c>
      <c r="AP902" s="2">
        <f t="shared" ca="1" si="908"/>
        <v>2196557.6983352872</v>
      </c>
      <c r="AQ902" s="2">
        <f t="shared" ca="1" si="909"/>
        <v>790829.02114778454</v>
      </c>
      <c r="AR902" s="2">
        <f t="shared" ca="1" si="910"/>
        <v>832144.06129943626</v>
      </c>
      <c r="AS902" s="2">
        <f t="shared" ca="1" si="911"/>
        <v>845113.06715261436</v>
      </c>
      <c r="AT902" s="2">
        <f t="shared" ca="1" si="912"/>
        <v>858201.93420311715</v>
      </c>
      <c r="AU902" s="2">
        <f t="shared" ca="1" si="913"/>
        <v>871411.77022333548</v>
      </c>
      <c r="AV902" s="2">
        <f t="shared" ca="1" si="914"/>
        <v>2250821.0601898478</v>
      </c>
      <c r="AW902" s="2">
        <f t="shared" ca="1" si="915"/>
        <v>2363821.7595335161</v>
      </c>
      <c r="AX902" s="2">
        <f t="shared" ca="1" si="916"/>
        <v>2400691.1401322959</v>
      </c>
      <c r="AY902" s="2">
        <f t="shared" ca="1" si="917"/>
        <v>2437901.2722237669</v>
      </c>
      <c r="AZ902" s="2">
        <f t="shared" ca="1" si="918"/>
        <v>2475455.3050764501</v>
      </c>
      <c r="BA902" s="2">
        <f t="shared" ca="1" si="919"/>
        <v>52374751.948635705</v>
      </c>
      <c r="BB902" s="2">
        <f t="shared" ca="1" si="920"/>
        <v>1047495.0389727141</v>
      </c>
      <c r="BC902" s="2">
        <f t="shared" ca="1" si="921"/>
        <v>26921060.261493132</v>
      </c>
      <c r="BD902" s="2">
        <f t="shared" ca="1" si="922"/>
        <v>-17787722.625786982</v>
      </c>
      <c r="BE902" s="2">
        <f t="shared" ca="1" si="923"/>
        <v>2250821.0601898478</v>
      </c>
      <c r="BF902" s="2">
        <f t="shared" ca="1" si="924"/>
        <v>2363821.7595335161</v>
      </c>
      <c r="BG902" s="2">
        <f t="shared" ca="1" si="925"/>
        <v>2400691.1401322959</v>
      </c>
      <c r="BH902" s="2">
        <f t="shared" ca="1" si="926"/>
        <v>2437901.2722237669</v>
      </c>
      <c r="BI902" s="2">
        <f t="shared" ca="1" si="927"/>
        <v>29396515.566569582</v>
      </c>
      <c r="BJ902" s="2">
        <f t="shared" ca="1" si="928"/>
        <v>0.20178492226826616</v>
      </c>
      <c r="BK902" s="2">
        <f t="shared" ca="1" si="929"/>
        <v>6044830.5329514071</v>
      </c>
    </row>
    <row r="903" spans="1:63" x14ac:dyDescent="0.3">
      <c r="A903" s="2">
        <v>902</v>
      </c>
      <c r="B903" s="2">
        <f t="shared" ca="1" si="868"/>
        <v>0.98124063788717819</v>
      </c>
      <c r="C903" s="2">
        <f t="shared" ca="1" si="869"/>
        <v>7.8063024929803078</v>
      </c>
      <c r="D903" s="2">
        <f t="shared" ca="1" si="870"/>
        <v>0.727332545085558</v>
      </c>
      <c r="E903" s="2">
        <f t="shared" ca="1" si="871"/>
        <v>7.7615320522670714</v>
      </c>
      <c r="F903" s="2">
        <f t="shared" ca="1" si="872"/>
        <v>0.30140344402203001</v>
      </c>
      <c r="G903" s="2">
        <f t="shared" ca="1" si="873"/>
        <v>2.4388950481227509E-2</v>
      </c>
      <c r="H903" s="2">
        <f t="shared" ca="1" si="874"/>
        <v>2.4388950481227509E-2</v>
      </c>
      <c r="I903" s="2">
        <f t="shared" ca="1" si="875"/>
        <v>0.74234617730172614</v>
      </c>
      <c r="J903" s="2">
        <f t="shared" ca="1" si="876"/>
        <v>1.3252977427164418E-2</v>
      </c>
      <c r="K903" s="2">
        <f t="shared" ca="1" si="877"/>
        <v>1.3252977427164418E-2</v>
      </c>
      <c r="L903" s="2">
        <f t="shared" ca="1" si="878"/>
        <v>0.78277983610094948</v>
      </c>
      <c r="M903" s="2">
        <f t="shared" ca="1" si="879"/>
        <v>1.5632318406421285E-2</v>
      </c>
      <c r="N903" s="2">
        <f t="shared" ca="1" si="880"/>
        <v>1.5632318406421285E-2</v>
      </c>
      <c r="O903" s="2">
        <f t="shared" si="881"/>
        <v>6000000</v>
      </c>
      <c r="P903" s="2">
        <f t="shared" ca="1" si="882"/>
        <v>46837814.957881846</v>
      </c>
      <c r="Q903" s="2">
        <f t="shared" ca="1" si="883"/>
        <v>1170945.3739470462</v>
      </c>
      <c r="R903" s="2">
        <f t="shared" ca="1" si="884"/>
        <v>28102688.974729106</v>
      </c>
      <c r="S903" s="2">
        <f t="shared" ca="1" si="885"/>
        <v>18735125.98315274</v>
      </c>
      <c r="T903" s="2">
        <f t="shared" ca="1" si="886"/>
        <v>50781615.92032107</v>
      </c>
      <c r="U903" s="2">
        <f t="shared" ca="1" si="887"/>
        <v>52020126.236358501</v>
      </c>
      <c r="V903" s="2">
        <f t="shared" ca="1" si="888"/>
        <v>53288842.519164257</v>
      </c>
      <c r="W903" s="2">
        <f t="shared" ca="1" si="889"/>
        <v>54588501.460566089</v>
      </c>
      <c r="X903" s="2">
        <f t="shared" ca="1" si="890"/>
        <v>55919857.719532251</v>
      </c>
      <c r="Y903" s="2">
        <f t="shared" ca="1" si="891"/>
        <v>0.1266264887135822</v>
      </c>
      <c r="Z903" s="2">
        <f t="shared" ca="1" si="892"/>
        <v>0.1292770841990151</v>
      </c>
      <c r="AA903" s="2">
        <f t="shared" ca="1" si="893"/>
        <v>6430297.7151920022</v>
      </c>
      <c r="AB903" s="2">
        <f t="shared" ca="1" si="894"/>
        <v>6725010.2395011121</v>
      </c>
      <c r="AC903" s="2">
        <f t="shared" ca="1" si="895"/>
        <v>6889026.1812180532</v>
      </c>
      <c r="AD903" s="2">
        <f t="shared" ca="1" si="896"/>
        <v>7057042.2996156607</v>
      </c>
      <c r="AE903" s="2">
        <f t="shared" ca="1" si="897"/>
        <v>7229156.1548049152</v>
      </c>
      <c r="AF903" s="2">
        <f t="shared" ca="1" si="898"/>
        <v>1015632.3184064215</v>
      </c>
      <c r="AG903" s="2">
        <f t="shared" ca="1" si="899"/>
        <v>1040402.52472717</v>
      </c>
      <c r="AH903" s="2">
        <f t="shared" ca="1" si="900"/>
        <v>1065776.8503832852</v>
      </c>
      <c r="AI903" s="2">
        <f t="shared" ca="1" si="901"/>
        <v>1091770.0292113218</v>
      </c>
      <c r="AJ903" s="2">
        <f t="shared" ca="1" si="902"/>
        <v>1118397.154390645</v>
      </c>
      <c r="AK903" s="2">
        <f t="shared" ca="1" si="903"/>
        <v>0</v>
      </c>
      <c r="AL903" s="2">
        <f t="shared" ca="1" si="904"/>
        <v>12385.103160374314</v>
      </c>
      <c r="AM903" s="2">
        <f t="shared" ca="1" si="905"/>
        <v>12687.162828057557</v>
      </c>
      <c r="AN903" s="2">
        <f t="shared" ca="1" si="906"/>
        <v>12996.589414018319</v>
      </c>
      <c r="AO903" s="2">
        <f t="shared" ca="1" si="907"/>
        <v>13313.562589661627</v>
      </c>
      <c r="AP903" s="2">
        <f t="shared" ca="1" si="908"/>
        <v>2529242.0077256192</v>
      </c>
      <c r="AQ903" s="2">
        <f t="shared" ca="1" si="909"/>
        <v>750210.08115559001</v>
      </c>
      <c r="AR903" s="2">
        <f t="shared" ca="1" si="910"/>
        <v>820395.08383256383</v>
      </c>
      <c r="AS903" s="2">
        <f t="shared" ca="1" si="911"/>
        <v>856441.90400837862</v>
      </c>
      <c r="AT903" s="2">
        <f t="shared" ca="1" si="912"/>
        <v>893367.86829646712</v>
      </c>
      <c r="AU903" s="2">
        <f t="shared" ca="1" si="913"/>
        <v>931194.41809904925</v>
      </c>
      <c r="AV903" s="2">
        <f t="shared" ca="1" si="914"/>
        <v>2135213.3079043715</v>
      </c>
      <c r="AW903" s="2">
        <f t="shared" ca="1" si="915"/>
        <v>2322585.5200553848</v>
      </c>
      <c r="AX903" s="2">
        <f t="shared" ca="1" si="916"/>
        <v>2424878.2562727123</v>
      </c>
      <c r="AY903" s="2">
        <f t="shared" ca="1" si="917"/>
        <v>2529665.8049682346</v>
      </c>
      <c r="AZ903" s="2">
        <f t="shared" ca="1" si="918"/>
        <v>2637009.01199994</v>
      </c>
      <c r="BA903" s="2">
        <f t="shared" ca="1" si="919"/>
        <v>56109327.206362121</v>
      </c>
      <c r="BB903" s="2">
        <f t="shared" ca="1" si="920"/>
        <v>1122186.5441272424</v>
      </c>
      <c r="BC903" s="2">
        <f t="shared" ca="1" si="921"/>
        <v>26884451.687505774</v>
      </c>
      <c r="BD903" s="2">
        <f t="shared" ca="1" si="922"/>
        <v>-20406071.357099786</v>
      </c>
      <c r="BE903" s="2">
        <f t="shared" ca="1" si="923"/>
        <v>2135213.3079043715</v>
      </c>
      <c r="BF903" s="2">
        <f t="shared" ca="1" si="924"/>
        <v>2322585.5200553848</v>
      </c>
      <c r="BG903" s="2">
        <f t="shared" ca="1" si="925"/>
        <v>2424878.2562727123</v>
      </c>
      <c r="BH903" s="2">
        <f t="shared" ca="1" si="926"/>
        <v>2529665.8049682346</v>
      </c>
      <c r="BI903" s="2">
        <f t="shared" ca="1" si="927"/>
        <v>29521460.699505713</v>
      </c>
      <c r="BJ903" s="2">
        <f t="shared" ca="1" si="928"/>
        <v>0.16226793585750099</v>
      </c>
      <c r="BK903" s="2">
        <f t="shared" ca="1" si="929"/>
        <v>3436818.4715507515</v>
      </c>
    </row>
    <row r="904" spans="1:63" x14ac:dyDescent="0.3">
      <c r="A904" s="2">
        <v>903</v>
      </c>
      <c r="B904" s="2">
        <f t="shared" ca="1" si="868"/>
        <v>0.59375180171744901</v>
      </c>
      <c r="C904" s="2">
        <f t="shared" ca="1" si="869"/>
        <v>7.0986141799622642</v>
      </c>
      <c r="D904" s="2">
        <f t="shared" ca="1" si="870"/>
        <v>0.10729283251985144</v>
      </c>
      <c r="E904" s="2">
        <f t="shared" ca="1" si="871"/>
        <v>6.9632339204329741</v>
      </c>
      <c r="F904" s="2">
        <f t="shared" ca="1" si="872"/>
        <v>0.8704623577730175</v>
      </c>
      <c r="G904" s="2">
        <f t="shared" ca="1" si="873"/>
        <v>7.3857383445155217E-2</v>
      </c>
      <c r="H904" s="2">
        <f t="shared" ca="1" si="874"/>
        <v>7.3857383445155217E-2</v>
      </c>
      <c r="I904" s="2">
        <f t="shared" ca="1" si="875"/>
        <v>0.47950476387882801</v>
      </c>
      <c r="J904" s="2">
        <f t="shared" ca="1" si="876"/>
        <v>9.7430172118158527E-3</v>
      </c>
      <c r="K904" s="2">
        <f t="shared" ca="1" si="877"/>
        <v>9.7430172118158527E-3</v>
      </c>
      <c r="L904" s="2">
        <f t="shared" ca="1" si="878"/>
        <v>9.6713397769521814E-2</v>
      </c>
      <c r="M904" s="2">
        <f t="shared" ca="1" si="879"/>
        <v>-2.6010167043793872E-2</v>
      </c>
      <c r="N904" s="2">
        <f t="shared" ca="1" si="880"/>
        <v>-2.6010167043793872E-2</v>
      </c>
      <c r="O904" s="2">
        <f t="shared" si="881"/>
        <v>6000000</v>
      </c>
      <c r="P904" s="2">
        <f t="shared" ca="1" si="882"/>
        <v>42591685.079773583</v>
      </c>
      <c r="Q904" s="2">
        <f t="shared" ca="1" si="883"/>
        <v>1064792.1269943395</v>
      </c>
      <c r="R904" s="2">
        <f t="shared" ca="1" si="884"/>
        <v>25555011.04786415</v>
      </c>
      <c r="S904" s="2">
        <f t="shared" ca="1" si="885"/>
        <v>17036674.031909432</v>
      </c>
      <c r="T904" s="2">
        <f t="shared" ca="1" si="886"/>
        <v>48699491.647810303</v>
      </c>
      <c r="U904" s="2">
        <f t="shared" ca="1" si="887"/>
        <v>52296308.676026762</v>
      </c>
      <c r="V904" s="2">
        <f t="shared" ca="1" si="888"/>
        <v>56158777.19867827</v>
      </c>
      <c r="W904" s="2">
        <f t="shared" ca="1" si="889"/>
        <v>60306517.540052094</v>
      </c>
      <c r="X904" s="2">
        <f t="shared" ca="1" si="890"/>
        <v>64760599.130249701</v>
      </c>
      <c r="Y904" s="2">
        <f t="shared" ca="1" si="891"/>
        <v>0.12487150860590793</v>
      </c>
      <c r="Z904" s="2">
        <f t="shared" ca="1" si="892"/>
        <v>0.12682011204827109</v>
      </c>
      <c r="AA904" s="2">
        <f t="shared" ca="1" si="893"/>
        <v>6081178.9904028857</v>
      </c>
      <c r="AB904" s="2">
        <f t="shared" ca="1" si="894"/>
        <v>6632223.7260046853</v>
      </c>
      <c r="AC904" s="2">
        <f t="shared" ca="1" si="895"/>
        <v>7122062.4168302696</v>
      </c>
      <c r="AD904" s="2">
        <f t="shared" ca="1" si="896"/>
        <v>7648079.3116704328</v>
      </c>
      <c r="AE904" s="2">
        <f t="shared" ca="1" si="897"/>
        <v>8212946.4380114349</v>
      </c>
      <c r="AF904" s="2">
        <f t="shared" ca="1" si="898"/>
        <v>973989.83295620605</v>
      </c>
      <c r="AG904" s="2">
        <f t="shared" ca="1" si="899"/>
        <v>1045926.1735205352</v>
      </c>
      <c r="AH904" s="2">
        <f t="shared" ca="1" si="900"/>
        <v>1123175.5439735653</v>
      </c>
      <c r="AI904" s="2">
        <f t="shared" ca="1" si="901"/>
        <v>1206130.3508010418</v>
      </c>
      <c r="AJ904" s="2">
        <f t="shared" ca="1" si="902"/>
        <v>1295211.982604994</v>
      </c>
      <c r="AK904" s="2">
        <f t="shared" ca="1" si="903"/>
        <v>0</v>
      </c>
      <c r="AL904" s="2">
        <f t="shared" ca="1" si="904"/>
        <v>35968.170282164589</v>
      </c>
      <c r="AM904" s="2">
        <f t="shared" ca="1" si="905"/>
        <v>38624.685226515088</v>
      </c>
      <c r="AN904" s="2">
        <f t="shared" ca="1" si="906"/>
        <v>41477.403413738233</v>
      </c>
      <c r="AO904" s="2">
        <f t="shared" ca="1" si="907"/>
        <v>44540.815901976079</v>
      </c>
      <c r="AP904" s="2">
        <f t="shared" ca="1" si="908"/>
        <v>2299950.9943077737</v>
      </c>
      <c r="AQ904" s="2">
        <f t="shared" ca="1" si="909"/>
        <v>729881.92241611553</v>
      </c>
      <c r="AR904" s="2">
        <f t="shared" ca="1" si="910"/>
        <v>854450.10512585787</v>
      </c>
      <c r="AS904" s="2">
        <f t="shared" ca="1" si="911"/>
        <v>961723.32842272206</v>
      </c>
      <c r="AT904" s="2">
        <f t="shared" ca="1" si="912"/>
        <v>1076919.4713060204</v>
      </c>
      <c r="AU904" s="2">
        <f t="shared" ca="1" si="913"/>
        <v>1200623.6998856536</v>
      </c>
      <c r="AV904" s="2">
        <f t="shared" ca="1" si="914"/>
        <v>2077356.2407227908</v>
      </c>
      <c r="AW904" s="2">
        <f t="shared" ca="1" si="915"/>
        <v>2395928.2827683543</v>
      </c>
      <c r="AX904" s="2">
        <f t="shared" ca="1" si="916"/>
        <v>2698587.8648996935</v>
      </c>
      <c r="AY904" s="2">
        <f t="shared" ca="1" si="917"/>
        <v>3023601.0918418583</v>
      </c>
      <c r="AZ904" s="2">
        <f t="shared" ca="1" si="918"/>
        <v>3372618.9453110374</v>
      </c>
      <c r="BA904" s="2">
        <f t="shared" ca="1" si="919"/>
        <v>57188667.22386039</v>
      </c>
      <c r="BB904" s="2">
        <f t="shared" ca="1" si="920"/>
        <v>1143773.3444772079</v>
      </c>
      <c r="BC904" s="2">
        <f t="shared" ca="1" si="921"/>
        <v>30489882.831519034</v>
      </c>
      <c r="BD904" s="2">
        <f t="shared" ca="1" si="922"/>
        <v>-18601466.15890377</v>
      </c>
      <c r="BE904" s="2">
        <f t="shared" ca="1" si="923"/>
        <v>2077356.2407227908</v>
      </c>
      <c r="BF904" s="2">
        <f t="shared" ca="1" si="924"/>
        <v>2395928.2827683543</v>
      </c>
      <c r="BG904" s="2">
        <f t="shared" ca="1" si="925"/>
        <v>2698587.8648996935</v>
      </c>
      <c r="BH904" s="2">
        <f t="shared" ca="1" si="926"/>
        <v>3023601.0918418583</v>
      </c>
      <c r="BI904" s="2">
        <f t="shared" ca="1" si="927"/>
        <v>33862501.77683007</v>
      </c>
      <c r="BJ904" s="2">
        <f t="shared" ca="1" si="928"/>
        <v>0.2214391169106682</v>
      </c>
      <c r="BK904" s="2">
        <f t="shared" ca="1" si="929"/>
        <v>8220183.1619255133</v>
      </c>
    </row>
    <row r="905" spans="1:63" x14ac:dyDescent="0.3">
      <c r="A905" s="2">
        <v>904</v>
      </c>
      <c r="B905" s="2">
        <f t="shared" ca="1" si="868"/>
        <v>0.66315851600574083</v>
      </c>
      <c r="C905" s="2">
        <f t="shared" ca="1" si="869"/>
        <v>7.1792180752547496</v>
      </c>
      <c r="D905" s="2">
        <f t="shared" ca="1" si="870"/>
        <v>0.4804522592438526</v>
      </c>
      <c r="E905" s="2">
        <f t="shared" ca="1" si="871"/>
        <v>7.4802573735951725</v>
      </c>
      <c r="F905" s="2">
        <f t="shared" ca="1" si="872"/>
        <v>3.2500718483441382E-4</v>
      </c>
      <c r="G905" s="2">
        <f t="shared" ca="1" si="873"/>
        <v>-6.2295145104697532E-2</v>
      </c>
      <c r="H905" s="2">
        <f t="shared" ca="1" si="874"/>
        <v>-0.02</v>
      </c>
      <c r="I905" s="2">
        <f t="shared" ca="1" si="875"/>
        <v>0.70600181925227901</v>
      </c>
      <c r="J905" s="2">
        <f t="shared" ca="1" si="876"/>
        <v>1.2708709205282111E-2</v>
      </c>
      <c r="K905" s="2">
        <f t="shared" ca="1" si="877"/>
        <v>1.2708709205282111E-2</v>
      </c>
      <c r="L905" s="2">
        <f t="shared" ca="1" si="878"/>
        <v>0.48756934857421153</v>
      </c>
      <c r="M905" s="2">
        <f t="shared" ca="1" si="879"/>
        <v>-6.2328132039054412E-4</v>
      </c>
      <c r="N905" s="2">
        <f t="shared" ca="1" si="880"/>
        <v>-6.2328132039054412E-4</v>
      </c>
      <c r="O905" s="2">
        <f t="shared" si="881"/>
        <v>6000000</v>
      </c>
      <c r="P905" s="2">
        <f t="shared" ca="1" si="882"/>
        <v>43075308.451528497</v>
      </c>
      <c r="Q905" s="2">
        <f t="shared" ca="1" si="883"/>
        <v>1076882.7112882126</v>
      </c>
      <c r="R905" s="2">
        <f t="shared" ca="1" si="884"/>
        <v>25845185.070917096</v>
      </c>
      <c r="S905" s="2">
        <f t="shared" ca="1" si="885"/>
        <v>17230123.380611401</v>
      </c>
      <c r="T905" s="2">
        <f t="shared" ca="1" si="886"/>
        <v>49968835.933980472</v>
      </c>
      <c r="U905" s="2">
        <f t="shared" ca="1" si="887"/>
        <v>48969459.215300865</v>
      </c>
      <c r="V905" s="2">
        <f t="shared" ca="1" si="888"/>
        <v>47990070.030994847</v>
      </c>
      <c r="W905" s="2">
        <f t="shared" ca="1" si="889"/>
        <v>47030268.630374953</v>
      </c>
      <c r="X905" s="2">
        <f t="shared" ca="1" si="890"/>
        <v>46089663.257767454</v>
      </c>
      <c r="Y905" s="2">
        <f t="shared" ca="1" si="891"/>
        <v>0.12635435460264105</v>
      </c>
      <c r="Z905" s="2">
        <f t="shared" ca="1" si="892"/>
        <v>0.12889609644369748</v>
      </c>
      <c r="AA905" s="2">
        <f t="shared" ca="1" si="893"/>
        <v>6313780.0146833612</v>
      </c>
      <c r="AB905" s="2">
        <f t="shared" ca="1" si="894"/>
        <v>6311972.1378111308</v>
      </c>
      <c r="AC905" s="2">
        <f t="shared" ca="1" si="895"/>
        <v>6185732.6950549083</v>
      </c>
      <c r="AD905" s="2">
        <f t="shared" ca="1" si="896"/>
        <v>6062018.04115381</v>
      </c>
      <c r="AE905" s="2">
        <f t="shared" ca="1" si="897"/>
        <v>5940777.6803307338</v>
      </c>
      <c r="AF905" s="2">
        <f t="shared" ca="1" si="898"/>
        <v>999376.71867960948</v>
      </c>
      <c r="AG905" s="2">
        <f t="shared" ca="1" si="899"/>
        <v>979389.18430601736</v>
      </c>
      <c r="AH905" s="2">
        <f t="shared" ca="1" si="900"/>
        <v>959801.40061989694</v>
      </c>
      <c r="AI905" s="2">
        <f t="shared" ca="1" si="901"/>
        <v>940605.37260749913</v>
      </c>
      <c r="AJ905" s="2">
        <f t="shared" ca="1" si="902"/>
        <v>921793.26515534904</v>
      </c>
      <c r="AK905" s="2">
        <f t="shared" ca="1" si="903"/>
        <v>0</v>
      </c>
      <c r="AL905" s="2">
        <f t="shared" ca="1" si="904"/>
        <v>0</v>
      </c>
      <c r="AM905" s="2">
        <f t="shared" ca="1" si="905"/>
        <v>0</v>
      </c>
      <c r="AN905" s="2">
        <f t="shared" ca="1" si="906"/>
        <v>0</v>
      </c>
      <c r="AO905" s="2">
        <f t="shared" ca="1" si="907"/>
        <v>0</v>
      </c>
      <c r="AP905" s="2">
        <f t="shared" ca="1" si="908"/>
        <v>2326066.6563825384</v>
      </c>
      <c r="AQ905" s="2">
        <f t="shared" ca="1" si="909"/>
        <v>776967.52630151541</v>
      </c>
      <c r="AR905" s="2">
        <f t="shared" ca="1" si="910"/>
        <v>781694.23725186964</v>
      </c>
      <c r="AS905" s="2">
        <f t="shared" ca="1" si="911"/>
        <v>753964.80589364294</v>
      </c>
      <c r="AT905" s="2">
        <f t="shared" ca="1" si="912"/>
        <v>726789.96316258085</v>
      </c>
      <c r="AU905" s="2">
        <f t="shared" ca="1" si="913"/>
        <v>700158.6172861401</v>
      </c>
      <c r="AV905" s="2">
        <f t="shared" ca="1" si="914"/>
        <v>2211369.1133196978</v>
      </c>
      <c r="AW905" s="2">
        <f t="shared" ca="1" si="915"/>
        <v>2224822.0598707059</v>
      </c>
      <c r="AX905" s="2">
        <f t="shared" ca="1" si="916"/>
        <v>2145899.83215883</v>
      </c>
      <c r="AY905" s="2">
        <f t="shared" ca="1" si="917"/>
        <v>2068556.0490011917</v>
      </c>
      <c r="AZ905" s="2">
        <f t="shared" ca="1" si="918"/>
        <v>1992759.1415067064</v>
      </c>
      <c r="BA905" s="2">
        <f t="shared" ca="1" si="919"/>
        <v>44438546.048183598</v>
      </c>
      <c r="BB905" s="2">
        <f t="shared" ca="1" si="920"/>
        <v>888770.92096367199</v>
      </c>
      <c r="BC905" s="2">
        <f t="shared" ca="1" si="921"/>
        <v>17704590.056302831</v>
      </c>
      <c r="BD905" s="2">
        <f t="shared" ca="1" si="922"/>
        <v>-18807006.091899615</v>
      </c>
      <c r="BE905" s="2">
        <f t="shared" ca="1" si="923"/>
        <v>2211369.1133196978</v>
      </c>
      <c r="BF905" s="2">
        <f t="shared" ca="1" si="924"/>
        <v>2224822.0598707059</v>
      </c>
      <c r="BG905" s="2">
        <f t="shared" ca="1" si="925"/>
        <v>2145899.83215883</v>
      </c>
      <c r="BH905" s="2">
        <f t="shared" ca="1" si="926"/>
        <v>2068556.0490011917</v>
      </c>
      <c r="BI905" s="2">
        <f t="shared" ca="1" si="927"/>
        <v>19697349.197809536</v>
      </c>
      <c r="BJ905" s="2">
        <f t="shared" ca="1" si="928"/>
        <v>0.10427961036730693</v>
      </c>
      <c r="BK905" s="2">
        <f t="shared" ca="1" si="929"/>
        <v>-1040136.0578540489</v>
      </c>
    </row>
    <row r="906" spans="1:63" x14ac:dyDescent="0.3">
      <c r="A906" s="2">
        <v>905</v>
      </c>
      <c r="B906" s="2">
        <f t="shared" ca="1" si="868"/>
        <v>0.24038471359262525</v>
      </c>
      <c r="C906" s="2">
        <f t="shared" ca="1" si="869"/>
        <v>6.6933753869191284</v>
      </c>
      <c r="D906" s="2">
        <f t="shared" ca="1" si="870"/>
        <v>0.27102798991605181</v>
      </c>
      <c r="E906" s="2">
        <f t="shared" ca="1" si="871"/>
        <v>7.2362445109011704</v>
      </c>
      <c r="F906" s="2">
        <f t="shared" ca="1" si="872"/>
        <v>0.52337629476240721</v>
      </c>
      <c r="G906" s="2">
        <f t="shared" ca="1" si="873"/>
        <v>4.1758877580703284E-2</v>
      </c>
      <c r="H906" s="2">
        <f t="shared" ca="1" si="874"/>
        <v>4.1758877580703284E-2</v>
      </c>
      <c r="I906" s="2">
        <f t="shared" ca="1" si="875"/>
        <v>0.47339957681549827</v>
      </c>
      <c r="J906" s="2">
        <f t="shared" ca="1" si="876"/>
        <v>9.666365717949604E-3</v>
      </c>
      <c r="K906" s="2">
        <f t="shared" ca="1" si="877"/>
        <v>9.666365717949604E-3</v>
      </c>
      <c r="L906" s="2">
        <f t="shared" ca="1" si="878"/>
        <v>0.53596892704255306</v>
      </c>
      <c r="M906" s="2">
        <f t="shared" ca="1" si="879"/>
        <v>1.8056646083047753E-3</v>
      </c>
      <c r="N906" s="2">
        <f t="shared" ca="1" si="880"/>
        <v>1.8056646083047753E-3</v>
      </c>
      <c r="O906" s="2">
        <f t="shared" si="881"/>
        <v>6000000</v>
      </c>
      <c r="P906" s="2">
        <f t="shared" ca="1" si="882"/>
        <v>40160252.32151477</v>
      </c>
      <c r="Q906" s="2">
        <f t="shared" ca="1" si="883"/>
        <v>1004006.3080378693</v>
      </c>
      <c r="R906" s="2">
        <f t="shared" ca="1" si="884"/>
        <v>24096151.39290886</v>
      </c>
      <c r="S906" s="2">
        <f t="shared" ca="1" si="885"/>
        <v>16064100.928605909</v>
      </c>
      <c r="T906" s="2">
        <f t="shared" ca="1" si="886"/>
        <v>50090283.230415232</v>
      </c>
      <c r="U906" s="2">
        <f t="shared" ca="1" si="887"/>
        <v>52181997.235816889</v>
      </c>
      <c r="V906" s="2">
        <f t="shared" ca="1" si="888"/>
        <v>54361058.870303959</v>
      </c>
      <c r="W906" s="2">
        <f t="shared" ca="1" si="889"/>
        <v>56631115.67282638</v>
      </c>
      <c r="X906" s="2">
        <f t="shared" ca="1" si="890"/>
        <v>58995967.499466576</v>
      </c>
      <c r="Y906" s="2">
        <f t="shared" ca="1" si="891"/>
        <v>0.12483318285897479</v>
      </c>
      <c r="Z906" s="2">
        <f t="shared" ca="1" si="892"/>
        <v>0.12676645600256473</v>
      </c>
      <c r="AA906" s="2">
        <f t="shared" ca="1" si="893"/>
        <v>6252929.4859602638</v>
      </c>
      <c r="AB906" s="2">
        <f t="shared" ca="1" si="894"/>
        <v>6614926.8567201355</v>
      </c>
      <c r="AC906" s="2">
        <f t="shared" ca="1" si="895"/>
        <v>6891158.7775352178</v>
      </c>
      <c r="AD906" s="2">
        <f t="shared" ca="1" si="896"/>
        <v>7178925.8333154991</v>
      </c>
      <c r="AE906" s="2">
        <f t="shared" ca="1" si="897"/>
        <v>7478709.7183498684</v>
      </c>
      <c r="AF906" s="2">
        <f t="shared" ca="1" si="898"/>
        <v>1001805.6646083046</v>
      </c>
      <c r="AG906" s="2">
        <f t="shared" ca="1" si="899"/>
        <v>1043639.9447163378</v>
      </c>
      <c r="AH906" s="2">
        <f t="shared" ca="1" si="900"/>
        <v>1087221.1774060791</v>
      </c>
      <c r="AI906" s="2">
        <f t="shared" ca="1" si="901"/>
        <v>1132622.3134565277</v>
      </c>
      <c r="AJ906" s="2">
        <f t="shared" ca="1" si="902"/>
        <v>1179919.3499893316</v>
      </c>
      <c r="AK906" s="2">
        <f t="shared" ca="1" si="903"/>
        <v>0</v>
      </c>
      <c r="AL906" s="2">
        <f t="shared" ca="1" si="904"/>
        <v>20917.14005401656</v>
      </c>
      <c r="AM906" s="2">
        <f t="shared" ca="1" si="905"/>
        <v>21790.616344870701</v>
      </c>
      <c r="AN906" s="2">
        <f t="shared" ca="1" si="906"/>
        <v>22700.568025224209</v>
      </c>
      <c r="AO906" s="2">
        <f t="shared" ca="1" si="907"/>
        <v>23648.518266401963</v>
      </c>
      <c r="AP906" s="2">
        <f t="shared" ca="1" si="908"/>
        <v>2168653.6253617974</v>
      </c>
      <c r="AQ906" s="2">
        <f t="shared" ca="1" si="909"/>
        <v>801442.2509574421</v>
      </c>
      <c r="AR906" s="2">
        <f t="shared" ca="1" si="910"/>
        <v>884684.65452692006</v>
      </c>
      <c r="AS906" s="2">
        <f t="shared" ca="1" si="911"/>
        <v>945173.8334395088</v>
      </c>
      <c r="AT906" s="2">
        <f t="shared" ca="1" si="912"/>
        <v>1008188.9725692653</v>
      </c>
      <c r="AU906" s="2">
        <f t="shared" ca="1" si="913"/>
        <v>1073835.5531796725</v>
      </c>
      <c r="AV906" s="2">
        <f t="shared" ca="1" si="914"/>
        <v>2281027.9450327195</v>
      </c>
      <c r="AW906" s="2">
        <f t="shared" ca="1" si="915"/>
        <v>2497031.4920610636</v>
      </c>
      <c r="AX906" s="2">
        <f t="shared" ca="1" si="916"/>
        <v>2668319.5249829618</v>
      </c>
      <c r="AY906" s="2">
        <f t="shared" ca="1" si="917"/>
        <v>2846760.3539026845</v>
      </c>
      <c r="AZ906" s="2">
        <f t="shared" ca="1" si="918"/>
        <v>3032652.6715526646</v>
      </c>
      <c r="BA906" s="2">
        <f t="shared" ca="1" si="919"/>
        <v>54117772.148032472</v>
      </c>
      <c r="BB906" s="2">
        <f t="shared" ca="1" si="920"/>
        <v>1082355.4429606495</v>
      </c>
      <c r="BC906" s="2">
        <f t="shared" ca="1" si="921"/>
        <v>28939265.312162962</v>
      </c>
      <c r="BD906" s="2">
        <f t="shared" ca="1" si="922"/>
        <v>-17568107.236643776</v>
      </c>
      <c r="BE906" s="2">
        <f t="shared" ca="1" si="923"/>
        <v>2281027.9450327195</v>
      </c>
      <c r="BF906" s="2">
        <f t="shared" ca="1" si="924"/>
        <v>2497031.4920610636</v>
      </c>
      <c r="BG906" s="2">
        <f t="shared" ca="1" si="925"/>
        <v>2668319.5249829618</v>
      </c>
      <c r="BH906" s="2">
        <f t="shared" ca="1" si="926"/>
        <v>2846760.3539026845</v>
      </c>
      <c r="BI906" s="2">
        <f t="shared" ca="1" si="927"/>
        <v>31971917.983715627</v>
      </c>
      <c r="BJ906" s="2">
        <f t="shared" ca="1" si="928"/>
        <v>0.22949966910869946</v>
      </c>
      <c r="BK906" s="2">
        <f t="shared" ca="1" si="929"/>
        <v>8309292.7699803263</v>
      </c>
    </row>
    <row r="907" spans="1:63" x14ac:dyDescent="0.3">
      <c r="A907" s="2">
        <v>906</v>
      </c>
      <c r="B907" s="2">
        <f t="shared" ca="1" si="868"/>
        <v>0.17905676502442625</v>
      </c>
      <c r="C907" s="2">
        <f t="shared" ca="1" si="869"/>
        <v>6.5984258768208912</v>
      </c>
      <c r="D907" s="2">
        <f t="shared" ca="1" si="870"/>
        <v>0.4342821074182579</v>
      </c>
      <c r="E907" s="2">
        <f t="shared" ca="1" si="871"/>
        <v>7.4319679258625353</v>
      </c>
      <c r="F907" s="2">
        <f t="shared" ca="1" si="872"/>
        <v>0.12502683585289009</v>
      </c>
      <c r="G907" s="2">
        <f t="shared" ca="1" si="873"/>
        <v>5.493429210161091E-3</v>
      </c>
      <c r="H907" s="2">
        <f t="shared" ca="1" si="874"/>
        <v>5.493429210161091E-3</v>
      </c>
      <c r="I907" s="2">
        <f t="shared" ca="1" si="875"/>
        <v>0.38928184830418644</v>
      </c>
      <c r="J907" s="2">
        <f t="shared" ca="1" si="876"/>
        <v>8.5940436267151719E-3</v>
      </c>
      <c r="K907" s="2">
        <f t="shared" ca="1" si="877"/>
        <v>8.5940436267151719E-3</v>
      </c>
      <c r="L907" s="2">
        <f t="shared" ca="1" si="878"/>
        <v>0.77952656107387808</v>
      </c>
      <c r="M907" s="2">
        <f t="shared" ca="1" si="879"/>
        <v>1.5411904990055372E-2</v>
      </c>
      <c r="N907" s="2">
        <f t="shared" ca="1" si="880"/>
        <v>1.5411904990055372E-2</v>
      </c>
      <c r="O907" s="2">
        <f t="shared" si="881"/>
        <v>6000000</v>
      </c>
      <c r="P907" s="2">
        <f t="shared" ca="1" si="882"/>
        <v>39590555.260925345</v>
      </c>
      <c r="Q907" s="2">
        <f t="shared" ca="1" si="883"/>
        <v>989763.88152313372</v>
      </c>
      <c r="R907" s="2">
        <f t="shared" ca="1" si="884"/>
        <v>23754333.156555206</v>
      </c>
      <c r="S907" s="2">
        <f t="shared" ca="1" si="885"/>
        <v>15836222.10437014</v>
      </c>
      <c r="T907" s="2">
        <f t="shared" ca="1" si="886"/>
        <v>50770595.249502771</v>
      </c>
      <c r="U907" s="2">
        <f t="shared" ca="1" si="887"/>
        <v>51049499.920463659</v>
      </c>
      <c r="V907" s="2">
        <f t="shared" ca="1" si="888"/>
        <v>51329936.734490857</v>
      </c>
      <c r="W907" s="2">
        <f t="shared" ca="1" si="889"/>
        <v>51611914.10830383</v>
      </c>
      <c r="X907" s="2">
        <f t="shared" ca="1" si="890"/>
        <v>51895440.504858717</v>
      </c>
      <c r="Y907" s="2">
        <f t="shared" ca="1" si="891"/>
        <v>0.12429702181335758</v>
      </c>
      <c r="Z907" s="2">
        <f t="shared" ca="1" si="892"/>
        <v>0.12601583053870061</v>
      </c>
      <c r="AA907" s="2">
        <f t="shared" ca="1" si="893"/>
        <v>6310633.785204595</v>
      </c>
      <c r="AB907" s="2">
        <f t="shared" ca="1" si="894"/>
        <v>6433045.1310625589</v>
      </c>
      <c r="AC907" s="2">
        <f t="shared" ca="1" si="895"/>
        <v>6468384.609095823</v>
      </c>
      <c r="AD907" s="2">
        <f t="shared" ca="1" si="896"/>
        <v>6503918.2220499869</v>
      </c>
      <c r="AE907" s="2">
        <f t="shared" ca="1" si="897"/>
        <v>6539647.0363914957</v>
      </c>
      <c r="AF907" s="2">
        <f t="shared" ca="1" si="898"/>
        <v>1015411.9049900555</v>
      </c>
      <c r="AG907" s="2">
        <f t="shared" ca="1" si="899"/>
        <v>1020989.9984092732</v>
      </c>
      <c r="AH907" s="2">
        <f t="shared" ca="1" si="900"/>
        <v>1026598.7346898172</v>
      </c>
      <c r="AI907" s="2">
        <f t="shared" ca="1" si="901"/>
        <v>1032238.2821660766</v>
      </c>
      <c r="AJ907" s="2">
        <f t="shared" ca="1" si="902"/>
        <v>1037908.8100971744</v>
      </c>
      <c r="AK907" s="2">
        <f t="shared" ca="1" si="903"/>
        <v>0</v>
      </c>
      <c r="AL907" s="2">
        <f t="shared" ca="1" si="904"/>
        <v>2789.0467096088828</v>
      </c>
      <c r="AM907" s="2">
        <f t="shared" ca="1" si="905"/>
        <v>2804.3681402719767</v>
      </c>
      <c r="AN907" s="2">
        <f t="shared" ca="1" si="906"/>
        <v>2819.7737381297352</v>
      </c>
      <c r="AO907" s="2">
        <f t="shared" ca="1" si="907"/>
        <v>2835.2639655488729</v>
      </c>
      <c r="AP907" s="2">
        <f t="shared" ca="1" si="908"/>
        <v>2137889.9840899683</v>
      </c>
      <c r="AQ907" s="2">
        <f t="shared" ca="1" si="909"/>
        <v>820906.29299238848</v>
      </c>
      <c r="AR907" s="2">
        <f t="shared" ca="1" si="910"/>
        <v>851282.93862646259</v>
      </c>
      <c r="AS907" s="2">
        <f t="shared" ca="1" si="911"/>
        <v>859012.93148216989</v>
      </c>
      <c r="AT907" s="2">
        <f t="shared" ca="1" si="912"/>
        <v>866785.38850642496</v>
      </c>
      <c r="AU907" s="2">
        <f t="shared" ca="1" si="913"/>
        <v>874600.54297313176</v>
      </c>
      <c r="AV907" s="2">
        <f t="shared" ca="1" si="914"/>
        <v>2336425.6031321823</v>
      </c>
      <c r="AW907" s="2">
        <f t="shared" ca="1" si="915"/>
        <v>2420093.1632272457</v>
      </c>
      <c r="AX907" s="2">
        <f t="shared" ca="1" si="916"/>
        <v>2442078.5906935963</v>
      </c>
      <c r="AY907" s="2">
        <f t="shared" ca="1" si="917"/>
        <v>2464184.7935493873</v>
      </c>
      <c r="AZ907" s="2">
        <f t="shared" ca="1" si="918"/>
        <v>2486412.4352656719</v>
      </c>
      <c r="BA907" s="2">
        <f t="shared" ca="1" si="919"/>
        <v>48602447.020923577</v>
      </c>
      <c r="BB907" s="2">
        <f t="shared" ca="1" si="920"/>
        <v>972048.94041847158</v>
      </c>
      <c r="BC907" s="2">
        <f t="shared" ca="1" si="921"/>
        <v>23876064.923949901</v>
      </c>
      <c r="BD907" s="2">
        <f t="shared" ca="1" si="922"/>
        <v>-17325985.985893272</v>
      </c>
      <c r="BE907" s="2">
        <f t="shared" ca="1" si="923"/>
        <v>2336425.6031321823</v>
      </c>
      <c r="BF907" s="2">
        <f t="shared" ca="1" si="924"/>
        <v>2420093.1632272457</v>
      </c>
      <c r="BG907" s="2">
        <f t="shared" ca="1" si="925"/>
        <v>2442078.5906935963</v>
      </c>
      <c r="BH907" s="2">
        <f t="shared" ca="1" si="926"/>
        <v>2464184.7935493873</v>
      </c>
      <c r="BI907" s="2">
        <f t="shared" ca="1" si="927"/>
        <v>26362477.359215572</v>
      </c>
      <c r="BJ907" s="2">
        <f t="shared" ca="1" si="928"/>
        <v>0.19122175736445768</v>
      </c>
      <c r="BK907" s="2">
        <f t="shared" ca="1" si="929"/>
        <v>4952426.6816325225</v>
      </c>
    </row>
    <row r="908" spans="1:63" x14ac:dyDescent="0.3">
      <c r="A908" s="2">
        <v>907</v>
      </c>
      <c r="B908" s="2">
        <f t="shared" ca="1" si="868"/>
        <v>0.16528999741586681</v>
      </c>
      <c r="C908" s="2">
        <f t="shared" ca="1" si="869"/>
        <v>6.5749608637392054</v>
      </c>
      <c r="D908" s="2">
        <f t="shared" ca="1" si="870"/>
        <v>0.46108576301436377</v>
      </c>
      <c r="E908" s="2">
        <f t="shared" ca="1" si="871"/>
        <v>7.4602976236712903</v>
      </c>
      <c r="F908" s="2">
        <f t="shared" ca="1" si="872"/>
        <v>0.23437448471095579</v>
      </c>
      <c r="G908" s="2">
        <f t="shared" ca="1" si="873"/>
        <v>1.8264518116462656E-2</v>
      </c>
      <c r="H908" s="2">
        <f t="shared" ca="1" si="874"/>
        <v>1.8264518116462656E-2</v>
      </c>
      <c r="I908" s="2">
        <f t="shared" ca="1" si="875"/>
        <v>0.90778182872406199</v>
      </c>
      <c r="J908" s="2">
        <f t="shared" ca="1" si="876"/>
        <v>1.6636093586219251E-2</v>
      </c>
      <c r="K908" s="2">
        <f t="shared" ca="1" si="877"/>
        <v>1.6636093586219251E-2</v>
      </c>
      <c r="L908" s="2">
        <f t="shared" ca="1" si="878"/>
        <v>0.98847713604033272</v>
      </c>
      <c r="M908" s="2">
        <f t="shared" ca="1" si="879"/>
        <v>4.5453514711804845E-2</v>
      </c>
      <c r="N908" s="2">
        <f t="shared" ca="1" si="880"/>
        <v>4.5453514711804845E-2</v>
      </c>
      <c r="O908" s="2">
        <f t="shared" si="881"/>
        <v>6000000</v>
      </c>
      <c r="P908" s="2">
        <f t="shared" ca="1" si="882"/>
        <v>39449765.182435229</v>
      </c>
      <c r="Q908" s="2">
        <f t="shared" ca="1" si="883"/>
        <v>986244.12956088083</v>
      </c>
      <c r="R908" s="2">
        <f t="shared" ca="1" si="884"/>
        <v>23669859.109461136</v>
      </c>
      <c r="S908" s="2">
        <f t="shared" ca="1" si="885"/>
        <v>15779906.072974093</v>
      </c>
      <c r="T908" s="2">
        <f t="shared" ca="1" si="886"/>
        <v>52272675.735590249</v>
      </c>
      <c r="U908" s="2">
        <f t="shared" ca="1" si="887"/>
        <v>53227410.968558915</v>
      </c>
      <c r="V908" s="2">
        <f t="shared" ca="1" si="888"/>
        <v>54199583.980486564</v>
      </c>
      <c r="W908" s="2">
        <f t="shared" ca="1" si="889"/>
        <v>55189513.264002904</v>
      </c>
      <c r="X908" s="2">
        <f t="shared" ca="1" si="890"/>
        <v>56197523.12885204</v>
      </c>
      <c r="Y908" s="2">
        <f t="shared" ca="1" si="891"/>
        <v>0.12831804679310962</v>
      </c>
      <c r="Z908" s="2">
        <f t="shared" ca="1" si="892"/>
        <v>0.13164526551035347</v>
      </c>
      <c r="AA908" s="2">
        <f t="shared" ca="1" si="893"/>
        <v>6707527.6510405159</v>
      </c>
      <c r="AB908" s="2">
        <f t="shared" ca="1" si="894"/>
        <v>7007136.6493846383</v>
      </c>
      <c r="AC908" s="2">
        <f t="shared" ca="1" si="895"/>
        <v>7135118.6236618543</v>
      </c>
      <c r="AD908" s="2">
        <f t="shared" ca="1" si="896"/>
        <v>7265438.1270268364</v>
      </c>
      <c r="AE908" s="2">
        <f t="shared" ca="1" si="897"/>
        <v>7398137.8533219565</v>
      </c>
      <c r="AF908" s="2">
        <f t="shared" ca="1" si="898"/>
        <v>1045453.514711805</v>
      </c>
      <c r="AG908" s="2">
        <f t="shared" ca="1" si="899"/>
        <v>1064548.2193711784</v>
      </c>
      <c r="AH908" s="2">
        <f t="shared" ca="1" si="900"/>
        <v>1083991.6796097313</v>
      </c>
      <c r="AI908" s="2">
        <f t="shared" ca="1" si="901"/>
        <v>1103790.2652800581</v>
      </c>
      <c r="AJ908" s="2">
        <f t="shared" ca="1" si="902"/>
        <v>1123950.4625770408</v>
      </c>
      <c r="AK908" s="2">
        <f t="shared" ca="1" si="903"/>
        <v>0</v>
      </c>
      <c r="AL908" s="2">
        <f t="shared" ca="1" si="904"/>
        <v>9547.352329686657</v>
      </c>
      <c r="AM908" s="2">
        <f t="shared" ca="1" si="905"/>
        <v>9721.7301192764935</v>
      </c>
      <c r="AN908" s="2">
        <f t="shared" ca="1" si="906"/>
        <v>9899.2928351634</v>
      </c>
      <c r="AO908" s="2">
        <f t="shared" ca="1" si="907"/>
        <v>10080.098648491354</v>
      </c>
      <c r="AP908" s="2">
        <f t="shared" ca="1" si="908"/>
        <v>2130287.3198515023</v>
      </c>
      <c r="AQ908" s="2">
        <f t="shared" ca="1" si="909"/>
        <v>918264.57228407438</v>
      </c>
      <c r="AR908" s="2">
        <f t="shared" ca="1" si="910"/>
        <v>991198.28864210902</v>
      </c>
      <c r="AS908" s="2">
        <f t="shared" ca="1" si="911"/>
        <v>1019418.3022921613</v>
      </c>
      <c r="AT908" s="2">
        <f t="shared" ca="1" si="912"/>
        <v>1048153.7408927719</v>
      </c>
      <c r="AU908" s="2">
        <f t="shared" ca="1" si="913"/>
        <v>1077414.0184322875</v>
      </c>
      <c r="AV908" s="2">
        <f t="shared" ca="1" si="914"/>
        <v>2613522.2441931344</v>
      </c>
      <c r="AW908" s="2">
        <f t="shared" ca="1" si="915"/>
        <v>2811555.4691901621</v>
      </c>
      <c r="AX908" s="2">
        <f t="shared" ca="1" si="916"/>
        <v>2891699.5917891818</v>
      </c>
      <c r="AY908" s="2">
        <f t="shared" ca="1" si="917"/>
        <v>2973307.5081673418</v>
      </c>
      <c r="AZ908" s="2">
        <f t="shared" ca="1" si="918"/>
        <v>3056405.9538126341</v>
      </c>
      <c r="BA908" s="2">
        <f t="shared" ca="1" si="919"/>
        <v>55192310.24673041</v>
      </c>
      <c r="BB908" s="2">
        <f t="shared" ca="1" si="920"/>
        <v>1103846.2049346082</v>
      </c>
      <c r="BC908" s="2">
        <f t="shared" ca="1" si="921"/>
        <v>30418604.932334665</v>
      </c>
      <c r="BD908" s="2">
        <f t="shared" ca="1" si="922"/>
        <v>-17266150.202534974</v>
      </c>
      <c r="BE908" s="2">
        <f t="shared" ca="1" si="923"/>
        <v>2613522.2441931344</v>
      </c>
      <c r="BF908" s="2">
        <f t="shared" ca="1" si="924"/>
        <v>2811555.4691901621</v>
      </c>
      <c r="BG908" s="2">
        <f t="shared" ca="1" si="925"/>
        <v>2891699.5917891818</v>
      </c>
      <c r="BH908" s="2">
        <f t="shared" ca="1" si="926"/>
        <v>2973307.5081673418</v>
      </c>
      <c r="BI908" s="2">
        <f t="shared" ca="1" si="927"/>
        <v>33475010.886147298</v>
      </c>
      <c r="BJ908" s="2">
        <f t="shared" ca="1" si="928"/>
        <v>0.25527900453942598</v>
      </c>
      <c r="BK908" s="2">
        <f t="shared" ca="1" si="929"/>
        <v>10251172.106057625</v>
      </c>
    </row>
    <row r="909" spans="1:63" x14ac:dyDescent="0.3">
      <c r="A909" s="2">
        <v>908</v>
      </c>
      <c r="B909" s="2">
        <f t="shared" ca="1" si="868"/>
        <v>0.85172203383332479</v>
      </c>
      <c r="C909" s="2">
        <f t="shared" ca="1" si="869"/>
        <v>7.4554305073424052</v>
      </c>
      <c r="D909" s="2">
        <f t="shared" ca="1" si="870"/>
        <v>0.10638946098032021</v>
      </c>
      <c r="E909" s="2">
        <f t="shared" ca="1" si="871"/>
        <v>6.9612796569984852</v>
      </c>
      <c r="F909" s="2">
        <f t="shared" ca="1" si="872"/>
        <v>0.43610623675990567</v>
      </c>
      <c r="G909" s="2">
        <f t="shared" ca="1" si="873"/>
        <v>3.5174535419232142E-2</v>
      </c>
      <c r="H909" s="2">
        <f t="shared" ca="1" si="874"/>
        <v>3.5174535419232142E-2</v>
      </c>
      <c r="I909" s="2">
        <f t="shared" ca="1" si="875"/>
        <v>0.78600790987149027</v>
      </c>
      <c r="J909" s="2">
        <f t="shared" ca="1" si="876"/>
        <v>1.3963229312175019E-2</v>
      </c>
      <c r="K909" s="2">
        <f t="shared" ca="1" si="877"/>
        <v>1.3963229312175019E-2</v>
      </c>
      <c r="L909" s="2">
        <f t="shared" ca="1" si="878"/>
        <v>0.96963779575260467</v>
      </c>
      <c r="M909" s="2">
        <f t="shared" ca="1" si="879"/>
        <v>3.7509936118908904E-2</v>
      </c>
      <c r="N909" s="2">
        <f t="shared" ca="1" si="880"/>
        <v>3.7509936118908904E-2</v>
      </c>
      <c r="O909" s="2">
        <f t="shared" si="881"/>
        <v>6000000</v>
      </c>
      <c r="P909" s="2">
        <f t="shared" ca="1" si="882"/>
        <v>44732583.044054434</v>
      </c>
      <c r="Q909" s="2">
        <f t="shared" ca="1" si="883"/>
        <v>1118314.5761013608</v>
      </c>
      <c r="R909" s="2">
        <f t="shared" ca="1" si="884"/>
        <v>26839549.82643266</v>
      </c>
      <c r="S909" s="2">
        <f t="shared" ca="1" si="885"/>
        <v>17893033.217621773</v>
      </c>
      <c r="T909" s="2">
        <f t="shared" ca="1" si="886"/>
        <v>51875496.805945441</v>
      </c>
      <c r="U909" s="2">
        <f t="shared" ca="1" si="887"/>
        <v>53700193.30573643</v>
      </c>
      <c r="V909" s="2">
        <f t="shared" ca="1" si="888"/>
        <v>55589072.657188669</v>
      </c>
      <c r="W909" s="2">
        <f t="shared" ca="1" si="889"/>
        <v>57544392.462291218</v>
      </c>
      <c r="X909" s="2">
        <f t="shared" ca="1" si="890"/>
        <v>59568489.733134277</v>
      </c>
      <c r="Y909" s="2">
        <f t="shared" ca="1" si="891"/>
        <v>0.12698161465608751</v>
      </c>
      <c r="Z909" s="2">
        <f t="shared" ca="1" si="892"/>
        <v>0.12977426051852251</v>
      </c>
      <c r="AA909" s="2">
        <f t="shared" ca="1" si="893"/>
        <v>6587234.3455056623</v>
      </c>
      <c r="AB909" s="2">
        <f t="shared" ca="1" si="894"/>
        <v>6968902.8759536576</v>
      </c>
      <c r="AC909" s="2">
        <f t="shared" ca="1" si="895"/>
        <v>7214030.7969970787</v>
      </c>
      <c r="AD909" s="2">
        <f t="shared" ca="1" si="896"/>
        <v>7467780.9787814831</v>
      </c>
      <c r="AE909" s="2">
        <f t="shared" ca="1" si="897"/>
        <v>7730456.7053227006</v>
      </c>
      <c r="AF909" s="2">
        <f t="shared" ca="1" si="898"/>
        <v>1037509.9361189088</v>
      </c>
      <c r="AG909" s="2">
        <f t="shared" ca="1" si="899"/>
        <v>1074003.8661147286</v>
      </c>
      <c r="AH909" s="2">
        <f t="shared" ca="1" si="900"/>
        <v>1111781.4531437734</v>
      </c>
      <c r="AI909" s="2">
        <f t="shared" ca="1" si="901"/>
        <v>1150887.8492458244</v>
      </c>
      <c r="AJ909" s="2">
        <f t="shared" ca="1" si="902"/>
        <v>1191369.7946626856</v>
      </c>
      <c r="AK909" s="2">
        <f t="shared" ca="1" si="903"/>
        <v>0</v>
      </c>
      <c r="AL909" s="2">
        <f t="shared" ca="1" si="904"/>
        <v>18246.96499790989</v>
      </c>
      <c r="AM909" s="2">
        <f t="shared" ca="1" si="905"/>
        <v>18888.793514522389</v>
      </c>
      <c r="AN909" s="2">
        <f t="shared" ca="1" si="906"/>
        <v>19553.198051025494</v>
      </c>
      <c r="AO909" s="2">
        <f t="shared" ca="1" si="907"/>
        <v>20240.972708430589</v>
      </c>
      <c r="AP909" s="2">
        <f t="shared" ca="1" si="908"/>
        <v>2415559.4843789395</v>
      </c>
      <c r="AQ909" s="2">
        <f t="shared" ca="1" si="909"/>
        <v>814882.88050203153</v>
      </c>
      <c r="AR909" s="2">
        <f t="shared" ca="1" si="910"/>
        <v>904628.27661959745</v>
      </c>
      <c r="AS909" s="2">
        <f t="shared" ca="1" si="911"/>
        <v>958539.36346333509</v>
      </c>
      <c r="AT909" s="2">
        <f t="shared" ca="1" si="912"/>
        <v>1014346.7477407469</v>
      </c>
      <c r="AU909" s="2">
        <f t="shared" ca="1" si="913"/>
        <v>1072117.1308330798</v>
      </c>
      <c r="AV909" s="2">
        <f t="shared" ca="1" si="914"/>
        <v>2319282.0445057824</v>
      </c>
      <c r="AW909" s="2">
        <f t="shared" ca="1" si="915"/>
        <v>2556464.2838424826</v>
      </c>
      <c r="AX909" s="2">
        <f t="shared" ca="1" si="916"/>
        <v>2709261.7024965081</v>
      </c>
      <c r="AY909" s="2">
        <f t="shared" ca="1" si="917"/>
        <v>2867433.6993649472</v>
      </c>
      <c r="AZ909" s="2">
        <f t="shared" ca="1" si="918"/>
        <v>3031169.3227395657</v>
      </c>
      <c r="BA909" s="2">
        <f t="shared" ca="1" si="919"/>
        <v>53813871.002070449</v>
      </c>
      <c r="BB909" s="2">
        <f t="shared" ca="1" si="920"/>
        <v>1076277.4200414091</v>
      </c>
      <c r="BC909" s="2">
        <f t="shared" ca="1" si="921"/>
        <v>25898043.755596381</v>
      </c>
      <c r="BD909" s="2">
        <f t="shared" ca="1" si="922"/>
        <v>-19511347.793723136</v>
      </c>
      <c r="BE909" s="2">
        <f t="shared" ca="1" si="923"/>
        <v>2319282.0445057824</v>
      </c>
      <c r="BF909" s="2">
        <f t="shared" ca="1" si="924"/>
        <v>2556464.2838424826</v>
      </c>
      <c r="BG909" s="2">
        <f t="shared" ca="1" si="925"/>
        <v>2709261.7024965081</v>
      </c>
      <c r="BH909" s="2">
        <f t="shared" ca="1" si="926"/>
        <v>2867433.6993649472</v>
      </c>
      <c r="BI909" s="2">
        <f t="shared" ca="1" si="927"/>
        <v>28929213.078335948</v>
      </c>
      <c r="BJ909" s="2">
        <f t="shared" ca="1" si="928"/>
        <v>0.18093917221019673</v>
      </c>
      <c r="BK909" s="2">
        <f t="shared" ca="1" si="929"/>
        <v>4763354.7572928108</v>
      </c>
    </row>
    <row r="910" spans="1:63" x14ac:dyDescent="0.3">
      <c r="A910" s="2">
        <v>909</v>
      </c>
      <c r="B910" s="2">
        <f t="shared" ca="1" si="868"/>
        <v>0.91800795827669823</v>
      </c>
      <c r="C910" s="2">
        <f t="shared" ca="1" si="869"/>
        <v>7.595050517414081</v>
      </c>
      <c r="D910" s="2">
        <f t="shared" ca="1" si="870"/>
        <v>4.1017693892646534E-3</v>
      </c>
      <c r="E910" s="2">
        <f t="shared" ca="1" si="871"/>
        <v>6.5905733889093776</v>
      </c>
      <c r="F910" s="2">
        <f t="shared" ca="1" si="872"/>
        <v>0.34837019793599078</v>
      </c>
      <c r="G910" s="2">
        <f t="shared" ca="1" si="873"/>
        <v>2.8308269788733596E-2</v>
      </c>
      <c r="H910" s="2">
        <f t="shared" ca="1" si="874"/>
        <v>2.8308269788733596E-2</v>
      </c>
      <c r="I910" s="2">
        <f t="shared" ca="1" si="875"/>
        <v>0.86164915672566389</v>
      </c>
      <c r="J910" s="2">
        <f t="shared" ca="1" si="876"/>
        <v>1.5438793044217046E-2</v>
      </c>
      <c r="K910" s="2">
        <f t="shared" ca="1" si="877"/>
        <v>1.5438793044217046E-2</v>
      </c>
      <c r="L910" s="2">
        <f t="shared" ca="1" si="878"/>
        <v>0.94432818156718845</v>
      </c>
      <c r="M910" s="2">
        <f t="shared" ca="1" si="879"/>
        <v>3.1843655991946711E-2</v>
      </c>
      <c r="N910" s="2">
        <f t="shared" ca="1" si="880"/>
        <v>3.1843655991946711E-2</v>
      </c>
      <c r="O910" s="2">
        <f t="shared" si="881"/>
        <v>6000000</v>
      </c>
      <c r="P910" s="2">
        <f t="shared" ca="1" si="882"/>
        <v>45570303.104484484</v>
      </c>
      <c r="Q910" s="2">
        <f t="shared" ca="1" si="883"/>
        <v>1139257.577612112</v>
      </c>
      <c r="R910" s="2">
        <f t="shared" ca="1" si="884"/>
        <v>27342181.862690691</v>
      </c>
      <c r="S910" s="2">
        <f t="shared" ca="1" si="885"/>
        <v>18228121.241793793</v>
      </c>
      <c r="T910" s="2">
        <f t="shared" ca="1" si="886"/>
        <v>51592182.79959733</v>
      </c>
      <c r="U910" s="2">
        <f t="shared" ca="1" si="887"/>
        <v>53052668.229277991</v>
      </c>
      <c r="V910" s="2">
        <f t="shared" ca="1" si="888"/>
        <v>54554497.474524565</v>
      </c>
      <c r="W910" s="2">
        <f t="shared" ca="1" si="889"/>
        <v>56098840.907222189</v>
      </c>
      <c r="X910" s="2">
        <f t="shared" ca="1" si="890"/>
        <v>57686902.030459076</v>
      </c>
      <c r="Y910" s="2">
        <f t="shared" ca="1" si="891"/>
        <v>0.12771939652210851</v>
      </c>
      <c r="Z910" s="2">
        <f t="shared" ca="1" si="892"/>
        <v>0.13080715513095192</v>
      </c>
      <c r="AA910" s="2">
        <f t="shared" ca="1" si="893"/>
        <v>6589322.4524228778</v>
      </c>
      <c r="AB910" s="2">
        <f t="shared" ca="1" si="894"/>
        <v>6939668.6031780904</v>
      </c>
      <c r="AC910" s="2">
        <f t="shared" ca="1" si="895"/>
        <v>7136118.6142412601</v>
      </c>
      <c r="AD910" s="2">
        <f t="shared" ca="1" si="896"/>
        <v>7338129.7852176046</v>
      </c>
      <c r="AE910" s="2">
        <f t="shared" ca="1" si="897"/>
        <v>7545859.5429222863</v>
      </c>
      <c r="AF910" s="2">
        <f t="shared" ca="1" si="898"/>
        <v>1031843.6559919466</v>
      </c>
      <c r="AG910" s="2">
        <f t="shared" ca="1" si="899"/>
        <v>1061053.3645855598</v>
      </c>
      <c r="AH910" s="2">
        <f t="shared" ca="1" si="900"/>
        <v>1091089.9494904913</v>
      </c>
      <c r="AI910" s="2">
        <f t="shared" ca="1" si="901"/>
        <v>1121976.8181444439</v>
      </c>
      <c r="AJ910" s="2">
        <f t="shared" ca="1" si="902"/>
        <v>1153738.0406091816</v>
      </c>
      <c r="AK910" s="2">
        <f t="shared" ca="1" si="903"/>
        <v>0</v>
      </c>
      <c r="AL910" s="2">
        <f t="shared" ca="1" si="904"/>
        <v>14604.854296806603</v>
      </c>
      <c r="AM910" s="2">
        <f t="shared" ca="1" si="905"/>
        <v>15018.292452465743</v>
      </c>
      <c r="AN910" s="2">
        <f t="shared" ca="1" si="906"/>
        <v>15443.434326976239</v>
      </c>
      <c r="AO910" s="2">
        <f t="shared" ca="1" si="907"/>
        <v>15880.611232368872</v>
      </c>
      <c r="AP910" s="2">
        <f t="shared" ca="1" si="908"/>
        <v>2460796.3676421619</v>
      </c>
      <c r="AQ910" s="2">
        <f t="shared" ca="1" si="909"/>
        <v>805137.43148508016</v>
      </c>
      <c r="AR910" s="2">
        <f t="shared" ca="1" si="910"/>
        <v>888632.90644709591</v>
      </c>
      <c r="AS910" s="2">
        <f t="shared" ca="1" si="911"/>
        <v>931900.39724823786</v>
      </c>
      <c r="AT910" s="2">
        <f t="shared" ca="1" si="912"/>
        <v>976392.71585205989</v>
      </c>
      <c r="AU910" s="2">
        <f t="shared" ca="1" si="913"/>
        <v>1022144.5350144451</v>
      </c>
      <c r="AV910" s="2">
        <f t="shared" ca="1" si="914"/>
        <v>2291544.9973036894</v>
      </c>
      <c r="AW910" s="2">
        <f t="shared" ca="1" si="915"/>
        <v>2514581.1102064666</v>
      </c>
      <c r="AX910" s="2">
        <f t="shared" ca="1" si="916"/>
        <v>2637313.6074079038</v>
      </c>
      <c r="AY910" s="2">
        <f t="shared" ca="1" si="917"/>
        <v>2763520.4492519633</v>
      </c>
      <c r="AZ910" s="2">
        <f t="shared" ca="1" si="918"/>
        <v>2893299.9884241284</v>
      </c>
      <c r="BA910" s="2">
        <f t="shared" ca="1" si="919"/>
        <v>49731541.100031503</v>
      </c>
      <c r="BB910" s="2">
        <f t="shared" ca="1" si="920"/>
        <v>994630.82200063008</v>
      </c>
      <c r="BC910" s="2">
        <f t="shared" ca="1" si="921"/>
        <v>21394728.415340181</v>
      </c>
      <c r="BD910" s="2">
        <f t="shared" ca="1" si="922"/>
        <v>-19867378.819405906</v>
      </c>
      <c r="BE910" s="2">
        <f t="shared" ca="1" si="923"/>
        <v>2291544.9973036894</v>
      </c>
      <c r="BF910" s="2">
        <f t="shared" ca="1" si="924"/>
        <v>2514581.1102064666</v>
      </c>
      <c r="BG910" s="2">
        <f t="shared" ca="1" si="925"/>
        <v>2637313.6074079038</v>
      </c>
      <c r="BH910" s="2">
        <f t="shared" ca="1" si="926"/>
        <v>2763520.4492519633</v>
      </c>
      <c r="BI910" s="2">
        <f t="shared" ca="1" si="927"/>
        <v>24288028.403764311</v>
      </c>
      <c r="BJ910" s="2">
        <f t="shared" ca="1" si="928"/>
        <v>0.14153462389451055</v>
      </c>
      <c r="BK910" s="2">
        <f t="shared" ca="1" si="929"/>
        <v>1598386.6926128343</v>
      </c>
    </row>
    <row r="911" spans="1:63" x14ac:dyDescent="0.3">
      <c r="A911" s="2">
        <v>910</v>
      </c>
      <c r="B911" s="2">
        <f t="shared" ca="1" si="868"/>
        <v>0.5722622245334501</v>
      </c>
      <c r="C911" s="2">
        <f t="shared" ca="1" si="869"/>
        <v>7.0750807868072476</v>
      </c>
      <c r="D911" s="2">
        <f t="shared" ca="1" si="870"/>
        <v>0.59397118208056709</v>
      </c>
      <c r="E911" s="2">
        <f t="shared" ca="1" si="871"/>
        <v>7.5988575940291865</v>
      </c>
      <c r="F911" s="2">
        <f t="shared" ca="1" si="872"/>
        <v>1.2036340625520281E-2</v>
      </c>
      <c r="G911" s="2">
        <f t="shared" ca="1" si="873"/>
        <v>-2.7679017974077215E-2</v>
      </c>
      <c r="H911" s="2">
        <f t="shared" ca="1" si="874"/>
        <v>-0.02</v>
      </c>
      <c r="I911" s="2">
        <f t="shared" ca="1" si="875"/>
        <v>0.81509381796255598</v>
      </c>
      <c r="J911" s="2">
        <f t="shared" ca="1" si="876"/>
        <v>1.4484124451805478E-2</v>
      </c>
      <c r="K911" s="2">
        <f t="shared" ca="1" si="877"/>
        <v>1.4484124451805478E-2</v>
      </c>
      <c r="L911" s="2">
        <f t="shared" ca="1" si="878"/>
        <v>0.12845862823876564</v>
      </c>
      <c r="M911" s="2">
        <f t="shared" ca="1" si="879"/>
        <v>-2.2674150291117062E-2</v>
      </c>
      <c r="N911" s="2">
        <f t="shared" ca="1" si="880"/>
        <v>-2.2674150291117062E-2</v>
      </c>
      <c r="O911" s="2">
        <f t="shared" si="881"/>
        <v>6000000</v>
      </c>
      <c r="P911" s="2">
        <f t="shared" ca="1" si="882"/>
        <v>42450484.720843486</v>
      </c>
      <c r="Q911" s="2">
        <f t="shared" ca="1" si="883"/>
        <v>1061262.1180210873</v>
      </c>
      <c r="R911" s="2">
        <f t="shared" ca="1" si="884"/>
        <v>25470290.83250609</v>
      </c>
      <c r="S911" s="2">
        <f t="shared" ca="1" si="885"/>
        <v>16980193.888337396</v>
      </c>
      <c r="T911" s="2">
        <f t="shared" ca="1" si="886"/>
        <v>48866292.485444143</v>
      </c>
      <c r="U911" s="2">
        <f t="shared" ca="1" si="887"/>
        <v>47888966.635735258</v>
      </c>
      <c r="V911" s="2">
        <f t="shared" ca="1" si="888"/>
        <v>46931187.303020552</v>
      </c>
      <c r="W911" s="2">
        <f t="shared" ca="1" si="889"/>
        <v>45992563.556960143</v>
      </c>
      <c r="X911" s="2">
        <f t="shared" ca="1" si="890"/>
        <v>45072712.285820939</v>
      </c>
      <c r="Y911" s="2">
        <f t="shared" ca="1" si="891"/>
        <v>0.12724206222590273</v>
      </c>
      <c r="Z911" s="2">
        <f t="shared" ca="1" si="892"/>
        <v>0.13013888711626384</v>
      </c>
      <c r="AA911" s="2">
        <f t="shared" ca="1" si="893"/>
        <v>6217847.8291820465</v>
      </c>
      <c r="AB911" s="2">
        <f t="shared" ca="1" si="894"/>
        <v>6232216.8231224762</v>
      </c>
      <c r="AC911" s="2">
        <f t="shared" ca="1" si="895"/>
        <v>6107572.486660026</v>
      </c>
      <c r="AD911" s="2">
        <f t="shared" ca="1" si="896"/>
        <v>5985421.0369268265</v>
      </c>
      <c r="AE911" s="2">
        <f t="shared" ca="1" si="897"/>
        <v>5865712.6161882896</v>
      </c>
      <c r="AF911" s="2">
        <f t="shared" ca="1" si="898"/>
        <v>977325.84970888286</v>
      </c>
      <c r="AG911" s="2">
        <f t="shared" ca="1" si="899"/>
        <v>957779.33271470515</v>
      </c>
      <c r="AH911" s="2">
        <f t="shared" ca="1" si="900"/>
        <v>938623.7460604111</v>
      </c>
      <c r="AI911" s="2">
        <f t="shared" ca="1" si="901"/>
        <v>919851.27113920287</v>
      </c>
      <c r="AJ911" s="2">
        <f t="shared" ca="1" si="902"/>
        <v>901454.24571641884</v>
      </c>
      <c r="AK911" s="2">
        <f t="shared" ca="1" si="903"/>
        <v>0</v>
      </c>
      <c r="AL911" s="2">
        <f t="shared" ca="1" si="904"/>
        <v>0</v>
      </c>
      <c r="AM911" s="2">
        <f t="shared" ca="1" si="905"/>
        <v>0</v>
      </c>
      <c r="AN911" s="2">
        <f t="shared" ca="1" si="906"/>
        <v>0</v>
      </c>
      <c r="AO911" s="2">
        <f t="shared" ca="1" si="907"/>
        <v>0</v>
      </c>
      <c r="AP911" s="2">
        <f t="shared" ca="1" si="908"/>
        <v>2292326.174925548</v>
      </c>
      <c r="AQ911" s="2">
        <f t="shared" ca="1" si="909"/>
        <v>766530.90918238007</v>
      </c>
      <c r="AR911" s="2">
        <f t="shared" ca="1" si="910"/>
        <v>775348.94202537811</v>
      </c>
      <c r="AS911" s="2">
        <f t="shared" ca="1" si="911"/>
        <v>747921.86707525735</v>
      </c>
      <c r="AT911" s="2">
        <f t="shared" ca="1" si="912"/>
        <v>721043.33362413978</v>
      </c>
      <c r="AU911" s="2">
        <f t="shared" ca="1" si="913"/>
        <v>694702.37084204389</v>
      </c>
      <c r="AV911" s="2">
        <f t="shared" ca="1" si="914"/>
        <v>2181664.8953652354</v>
      </c>
      <c r="AW911" s="2">
        <f t="shared" ca="1" si="915"/>
        <v>2206762.3734568451</v>
      </c>
      <c r="AX911" s="2">
        <f t="shared" ca="1" si="916"/>
        <v>2128700.6985988095</v>
      </c>
      <c r="AY911" s="2">
        <f t="shared" ca="1" si="917"/>
        <v>2052200.2572379364</v>
      </c>
      <c r="AZ911" s="2">
        <f t="shared" ca="1" si="918"/>
        <v>1977229.8247042783</v>
      </c>
      <c r="BA911" s="2">
        <f t="shared" ca="1" si="919"/>
        <v>44572714.857915193</v>
      </c>
      <c r="BB911" s="2">
        <f t="shared" ca="1" si="920"/>
        <v>891454.2971583039</v>
      </c>
      <c r="BC911" s="2">
        <f t="shared" ca="1" si="921"/>
        <v>18210969.728250798</v>
      </c>
      <c r="BD911" s="2">
        <f t="shared" ca="1" si="922"/>
        <v>-18541456.006358482</v>
      </c>
      <c r="BE911" s="2">
        <f t="shared" ca="1" si="923"/>
        <v>2181664.8953652354</v>
      </c>
      <c r="BF911" s="2">
        <f t="shared" ca="1" si="924"/>
        <v>2206762.3734568451</v>
      </c>
      <c r="BG911" s="2">
        <f t="shared" ca="1" si="925"/>
        <v>2128700.6985988095</v>
      </c>
      <c r="BH911" s="2">
        <f t="shared" ca="1" si="926"/>
        <v>2052200.2572379364</v>
      </c>
      <c r="BI911" s="2">
        <f t="shared" ca="1" si="927"/>
        <v>20188199.552955076</v>
      </c>
      <c r="BJ911" s="2">
        <f t="shared" ca="1" si="928"/>
        <v>0.11153601919257761</v>
      </c>
      <c r="BK911" s="2">
        <f t="shared" ca="1" si="929"/>
        <v>-559619.39817727357</v>
      </c>
    </row>
    <row r="912" spans="1:63" x14ac:dyDescent="0.3">
      <c r="A912" s="2">
        <v>911</v>
      </c>
      <c r="B912" s="2">
        <f t="shared" ca="1" si="868"/>
        <v>0.99414644910228089</v>
      </c>
      <c r="C912" s="2">
        <f t="shared" ca="1" si="869"/>
        <v>7.8918006386551278</v>
      </c>
      <c r="D912" s="2">
        <f t="shared" ca="1" si="870"/>
        <v>1.7684433797040877E-2</v>
      </c>
      <c r="E912" s="2">
        <f t="shared" ca="1" si="871"/>
        <v>6.6880661255890645</v>
      </c>
      <c r="F912" s="2">
        <f t="shared" ca="1" si="872"/>
        <v>0.51846205536676992</v>
      </c>
      <c r="G912" s="2">
        <f t="shared" ca="1" si="873"/>
        <v>4.1388821212899912E-2</v>
      </c>
      <c r="H912" s="2">
        <f t="shared" ca="1" si="874"/>
        <v>4.1388821212899912E-2</v>
      </c>
      <c r="I912" s="2">
        <f t="shared" ca="1" si="875"/>
        <v>0.89687280365841138</v>
      </c>
      <c r="J912" s="2">
        <f t="shared" ca="1" si="876"/>
        <v>1.6319660588896584E-2</v>
      </c>
      <c r="K912" s="2">
        <f t="shared" ca="1" si="877"/>
        <v>1.6319660588896584E-2</v>
      </c>
      <c r="L912" s="2">
        <f t="shared" ca="1" si="878"/>
        <v>0.25449611720473631</v>
      </c>
      <c r="M912" s="2">
        <f t="shared" ca="1" si="879"/>
        <v>-1.3208153931166349E-2</v>
      </c>
      <c r="N912" s="2">
        <f t="shared" ca="1" si="880"/>
        <v>-1.3208153931166349E-2</v>
      </c>
      <c r="O912" s="2">
        <f t="shared" si="881"/>
        <v>6000000</v>
      </c>
      <c r="P912" s="2">
        <f t="shared" ca="1" si="882"/>
        <v>47350803.831930764</v>
      </c>
      <c r="Q912" s="2">
        <f t="shared" ca="1" si="883"/>
        <v>1183770.0957982691</v>
      </c>
      <c r="R912" s="2">
        <f t="shared" ca="1" si="884"/>
        <v>28410482.299158458</v>
      </c>
      <c r="S912" s="2">
        <f t="shared" ca="1" si="885"/>
        <v>18940321.532772306</v>
      </c>
      <c r="T912" s="2">
        <f t="shared" ca="1" si="886"/>
        <v>49339592.303441681</v>
      </c>
      <c r="U912" s="2">
        <f t="shared" ca="1" si="887"/>
        <v>51381699.8680062</v>
      </c>
      <c r="V912" s="2">
        <f t="shared" ca="1" si="888"/>
        <v>53508327.857457988</v>
      </c>
      <c r="W912" s="2">
        <f t="shared" ca="1" si="889"/>
        <v>55722974.472551547</v>
      </c>
      <c r="X912" s="2">
        <f t="shared" ca="1" si="890"/>
        <v>58029282.700446971</v>
      </c>
      <c r="Y912" s="2">
        <f t="shared" ca="1" si="891"/>
        <v>0.12815983029444827</v>
      </c>
      <c r="Z912" s="2">
        <f t="shared" ca="1" si="892"/>
        <v>0.13142376241222761</v>
      </c>
      <c r="AA912" s="2">
        <f t="shared" ca="1" si="893"/>
        <v>6323353.7764063524</v>
      </c>
      <c r="AB912" s="2">
        <f t="shared" ca="1" si="894"/>
        <v>6752776.3157892339</v>
      </c>
      <c r="AC912" s="2">
        <f t="shared" ca="1" si="895"/>
        <v>7032265.7674141387</v>
      </c>
      <c r="AD912" s="2">
        <f t="shared" ca="1" si="896"/>
        <v>7323322.9579832386</v>
      </c>
      <c r="AE912" s="2">
        <f t="shared" ca="1" si="897"/>
        <v>7626426.6625755327</v>
      </c>
      <c r="AF912" s="2">
        <f t="shared" ca="1" si="898"/>
        <v>986791.84606883361</v>
      </c>
      <c r="AG912" s="2">
        <f t="shared" ca="1" si="899"/>
        <v>1027633.997360124</v>
      </c>
      <c r="AH912" s="2">
        <f t="shared" ca="1" si="900"/>
        <v>1070166.5571491597</v>
      </c>
      <c r="AI912" s="2">
        <f t="shared" ca="1" si="901"/>
        <v>1114459.489451031</v>
      </c>
      <c r="AJ912" s="2">
        <f t="shared" ca="1" si="902"/>
        <v>1160585.6540089394</v>
      </c>
      <c r="AK912" s="2">
        <f t="shared" ca="1" si="903"/>
        <v>0</v>
      </c>
      <c r="AL912" s="2">
        <f t="shared" ca="1" si="904"/>
        <v>20421.075645645185</v>
      </c>
      <c r="AM912" s="2">
        <f t="shared" ca="1" si="905"/>
        <v>21266.279894517884</v>
      </c>
      <c r="AN912" s="2">
        <f t="shared" ca="1" si="906"/>
        <v>22146.46615093559</v>
      </c>
      <c r="AO912" s="2">
        <f t="shared" ca="1" si="907"/>
        <v>23063.08227895424</v>
      </c>
      <c r="AP912" s="2">
        <f t="shared" ca="1" si="908"/>
        <v>2556943.4069242612</v>
      </c>
      <c r="AQ912" s="2">
        <f t="shared" ca="1" si="909"/>
        <v>722700.81608744687</v>
      </c>
      <c r="AR912" s="2">
        <f t="shared" ca="1" si="910"/>
        <v>823731.71699126065</v>
      </c>
      <c r="AS912" s="2">
        <f t="shared" ca="1" si="911"/>
        <v>885340.50886858662</v>
      </c>
      <c r="AT912" s="2">
        <f t="shared" ca="1" si="912"/>
        <v>949499.21601806604</v>
      </c>
      <c r="AU912" s="2">
        <f t="shared" ca="1" si="913"/>
        <v>1016313.3764270064</v>
      </c>
      <c r="AV912" s="2">
        <f t="shared" ca="1" si="914"/>
        <v>2056917.7073258101</v>
      </c>
      <c r="AW912" s="2">
        <f t="shared" ca="1" si="915"/>
        <v>2324046.1188679426</v>
      </c>
      <c r="AX912" s="2">
        <f t="shared" ca="1" si="916"/>
        <v>2498549.0145776137</v>
      </c>
      <c r="AY912" s="2">
        <f t="shared" ca="1" si="917"/>
        <v>2680274.3794389446</v>
      </c>
      <c r="AZ912" s="2">
        <f t="shared" ca="1" si="918"/>
        <v>2869521.1429363727</v>
      </c>
      <c r="BA912" s="2">
        <f t="shared" ca="1" si="919"/>
        <v>51006045.821260683</v>
      </c>
      <c r="BB912" s="2">
        <f t="shared" ca="1" si="920"/>
        <v>1020120.9164252137</v>
      </c>
      <c r="BC912" s="2">
        <f t="shared" ca="1" si="921"/>
        <v>21575442.605677012</v>
      </c>
      <c r="BD912" s="2">
        <f t="shared" ca="1" si="922"/>
        <v>-20624091.628570575</v>
      </c>
      <c r="BE912" s="2">
        <f t="shared" ca="1" si="923"/>
        <v>2056917.7073258101</v>
      </c>
      <c r="BF912" s="2">
        <f t="shared" ca="1" si="924"/>
        <v>2324046.1188679426</v>
      </c>
      <c r="BG912" s="2">
        <f t="shared" ca="1" si="925"/>
        <v>2498549.0145776137</v>
      </c>
      <c r="BH912" s="2">
        <f t="shared" ca="1" si="926"/>
        <v>2680274.3794389446</v>
      </c>
      <c r="BI912" s="2">
        <f t="shared" ca="1" si="927"/>
        <v>24444963.748613384</v>
      </c>
      <c r="BJ912" s="2">
        <f t="shared" ca="1" si="928"/>
        <v>0.125447334967554</v>
      </c>
      <c r="BK912" s="2">
        <f t="shared" ca="1" si="929"/>
        <v>417666.9538119249</v>
      </c>
    </row>
    <row r="913" spans="1:63" x14ac:dyDescent="0.3">
      <c r="A913" s="2">
        <v>912</v>
      </c>
      <c r="B913" s="2">
        <f t="shared" ca="1" si="868"/>
        <v>0.38764881827397979</v>
      </c>
      <c r="C913" s="2">
        <f t="shared" ca="1" si="869"/>
        <v>6.880509873055356</v>
      </c>
      <c r="D913" s="2">
        <f t="shared" ca="1" si="870"/>
        <v>0.2902164469591203</v>
      </c>
      <c r="E913" s="2">
        <f t="shared" ca="1" si="871"/>
        <v>7.2618614663560823</v>
      </c>
      <c r="F913" s="2">
        <f t="shared" ca="1" si="872"/>
        <v>0.61461669199593116</v>
      </c>
      <c r="G913" s="2">
        <f t="shared" ca="1" si="873"/>
        <v>4.8741168266711883E-2</v>
      </c>
      <c r="H913" s="2">
        <f t="shared" ca="1" si="874"/>
        <v>4.8741168266711883E-2</v>
      </c>
      <c r="I913" s="2">
        <f t="shared" ca="1" si="875"/>
        <v>0.57420298813806558</v>
      </c>
      <c r="J913" s="2">
        <f t="shared" ca="1" si="876"/>
        <v>1.0935424777174895E-2</v>
      </c>
      <c r="K913" s="2">
        <f t="shared" ca="1" si="877"/>
        <v>1.0935424777174895E-2</v>
      </c>
      <c r="L913" s="2">
        <f t="shared" ca="1" si="878"/>
        <v>0.16339074513262841</v>
      </c>
      <c r="M913" s="2">
        <f t="shared" ca="1" si="879"/>
        <v>-1.9612346387654862E-2</v>
      </c>
      <c r="N913" s="2">
        <f t="shared" ca="1" si="880"/>
        <v>-1.9612346387654862E-2</v>
      </c>
      <c r="O913" s="2">
        <f t="shared" si="881"/>
        <v>6000000</v>
      </c>
      <c r="P913" s="2">
        <f t="shared" ca="1" si="882"/>
        <v>41283059.238332137</v>
      </c>
      <c r="Q913" s="2">
        <f t="shared" ca="1" si="883"/>
        <v>1032076.4809583034</v>
      </c>
      <c r="R913" s="2">
        <f t="shared" ca="1" si="884"/>
        <v>24769835.542999282</v>
      </c>
      <c r="S913" s="2">
        <f t="shared" ca="1" si="885"/>
        <v>16513223.695332855</v>
      </c>
      <c r="T913" s="2">
        <f t="shared" ca="1" si="886"/>
        <v>49019382.680617258</v>
      </c>
      <c r="U913" s="2">
        <f t="shared" ca="1" si="887"/>
        <v>51408644.660183564</v>
      </c>
      <c r="V913" s="2">
        <f t="shared" ca="1" si="888"/>
        <v>53914362.05992917</v>
      </c>
      <c r="W913" s="2">
        <f t="shared" ca="1" si="889"/>
        <v>56542211.053084604</v>
      </c>
      <c r="X913" s="2">
        <f t="shared" ca="1" si="890"/>
        <v>59298144.476194933</v>
      </c>
      <c r="Y913" s="2">
        <f t="shared" ca="1" si="891"/>
        <v>0.12546771238858745</v>
      </c>
      <c r="Z913" s="2">
        <f t="shared" ca="1" si="892"/>
        <v>0.12765479734402241</v>
      </c>
      <c r="AA913" s="2">
        <f t="shared" ca="1" si="893"/>
        <v>6150349.8076377911</v>
      </c>
      <c r="AB913" s="2">
        <f t="shared" ca="1" si="894"/>
        <v>6562560.1158265928</v>
      </c>
      <c r="AC913" s="2">
        <f t="shared" ca="1" si="895"/>
        <v>6882426.9626925085</v>
      </c>
      <c r="AD913" s="2">
        <f t="shared" ca="1" si="896"/>
        <v>7217884.4933644589</v>
      </c>
      <c r="AE913" s="2">
        <f t="shared" ca="1" si="897"/>
        <v>7569692.6159852259</v>
      </c>
      <c r="AF913" s="2">
        <f t="shared" ca="1" si="898"/>
        <v>980387.65361234522</v>
      </c>
      <c r="AG913" s="2">
        <f t="shared" ca="1" si="899"/>
        <v>1028172.8932036713</v>
      </c>
      <c r="AH913" s="2">
        <f t="shared" ca="1" si="900"/>
        <v>1078287.2411985835</v>
      </c>
      <c r="AI913" s="2">
        <f t="shared" ca="1" si="901"/>
        <v>1130844.2210616921</v>
      </c>
      <c r="AJ913" s="2">
        <f t="shared" ca="1" si="902"/>
        <v>1185962.8895238987</v>
      </c>
      <c r="AK913" s="2">
        <f t="shared" ca="1" si="903"/>
        <v>0</v>
      </c>
      <c r="AL913" s="2">
        <f t="shared" ca="1" si="904"/>
        <v>23892.61979566306</v>
      </c>
      <c r="AM913" s="2">
        <f t="shared" ca="1" si="905"/>
        <v>25057.173997456059</v>
      </c>
      <c r="AN913" s="2">
        <f t="shared" ca="1" si="906"/>
        <v>26278.489931554348</v>
      </c>
      <c r="AO913" s="2">
        <f t="shared" ca="1" si="907"/>
        <v>27559.334231103287</v>
      </c>
      <c r="AP913" s="2">
        <f t="shared" ca="1" si="908"/>
        <v>2229285.1988699352</v>
      </c>
      <c r="AQ913" s="2">
        <f t="shared" ca="1" si="909"/>
        <v>764576.00834043277</v>
      </c>
      <c r="AR913" s="2">
        <f t="shared" ca="1" si="910"/>
        <v>859326.5261757765</v>
      </c>
      <c r="AS913" s="2">
        <f t="shared" ca="1" si="911"/>
        <v>929462.17588223738</v>
      </c>
      <c r="AT913" s="2">
        <f t="shared" ca="1" si="912"/>
        <v>1003016.3190925363</v>
      </c>
      <c r="AU913" s="2">
        <f t="shared" ca="1" si="913"/>
        <v>1080155.5771737618</v>
      </c>
      <c r="AV913" s="2">
        <f t="shared" ca="1" si="914"/>
        <v>2176100.9468150781</v>
      </c>
      <c r="AW913" s="2">
        <f t="shared" ca="1" si="915"/>
        <v>2421882.8777815467</v>
      </c>
      <c r="AX913" s="2">
        <f t="shared" ca="1" si="916"/>
        <v>2620335.1727442965</v>
      </c>
      <c r="AY913" s="2">
        <f t="shared" ca="1" si="917"/>
        <v>2828460.2644087411</v>
      </c>
      <c r="AZ913" s="2">
        <f t="shared" ca="1" si="918"/>
        <v>3046729.6161865266</v>
      </c>
      <c r="BA913" s="2">
        <f t="shared" ca="1" si="919"/>
        <v>54970059.120183282</v>
      </c>
      <c r="BB913" s="2">
        <f t="shared" ca="1" si="920"/>
        <v>1099401.1824036657</v>
      </c>
      <c r="BC913" s="2">
        <f t="shared" ca="1" si="921"/>
        <v>29100822.394780334</v>
      </c>
      <c r="BD913" s="2">
        <f t="shared" ca="1" si="922"/>
        <v>-18045300.17629116</v>
      </c>
      <c r="BE913" s="2">
        <f t="shared" ca="1" si="923"/>
        <v>2176100.9468150781</v>
      </c>
      <c r="BF913" s="2">
        <f t="shared" ca="1" si="924"/>
        <v>2421882.8777815467</v>
      </c>
      <c r="BG913" s="2">
        <f t="shared" ca="1" si="925"/>
        <v>2620335.1727442965</v>
      </c>
      <c r="BH913" s="2">
        <f t="shared" ca="1" si="926"/>
        <v>2828460.2644087411</v>
      </c>
      <c r="BI913" s="2">
        <f t="shared" ca="1" si="927"/>
        <v>32147552.01096686</v>
      </c>
      <c r="BJ913" s="2">
        <f t="shared" ca="1" si="928"/>
        <v>0.21966916952154758</v>
      </c>
      <c r="BK913" s="2">
        <f t="shared" ca="1" si="929"/>
        <v>7732382.1072886176</v>
      </c>
    </row>
    <row r="914" spans="1:63" x14ac:dyDescent="0.3">
      <c r="A914" s="2">
        <v>913</v>
      </c>
      <c r="B914" s="2">
        <f t="shared" ca="1" si="868"/>
        <v>0.53082846562091779</v>
      </c>
      <c r="C914" s="2">
        <f t="shared" ca="1" si="869"/>
        <v>7.0313189024461327</v>
      </c>
      <c r="D914" s="2">
        <f t="shared" ca="1" si="870"/>
        <v>0.66090128595011388</v>
      </c>
      <c r="E914" s="2">
        <f t="shared" ca="1" si="871"/>
        <v>7.6764725699165979</v>
      </c>
      <c r="F914" s="2">
        <f t="shared" ca="1" si="872"/>
        <v>0.68978330372535213</v>
      </c>
      <c r="G914" s="2">
        <f t="shared" ca="1" si="873"/>
        <v>5.4857086332483491E-2</v>
      </c>
      <c r="H914" s="2">
        <f t="shared" ca="1" si="874"/>
        <v>5.4857086332483491E-2</v>
      </c>
      <c r="I914" s="2">
        <f t="shared" ca="1" si="875"/>
        <v>0.57001831949791126</v>
      </c>
      <c r="J914" s="2">
        <f t="shared" ca="1" si="876"/>
        <v>1.0882104024832414E-2</v>
      </c>
      <c r="K914" s="2">
        <f t="shared" ca="1" si="877"/>
        <v>1.0882104024832414E-2</v>
      </c>
      <c r="L914" s="2">
        <f t="shared" ca="1" si="878"/>
        <v>0.4141618769597526</v>
      </c>
      <c r="M914" s="2">
        <f t="shared" ca="1" si="879"/>
        <v>-4.3370382540203201E-3</v>
      </c>
      <c r="N914" s="2">
        <f t="shared" ca="1" si="880"/>
        <v>-4.3370382540203201E-3</v>
      </c>
      <c r="O914" s="2">
        <f t="shared" si="881"/>
        <v>6000000</v>
      </c>
      <c r="P914" s="2">
        <f t="shared" ca="1" si="882"/>
        <v>42187913.414676793</v>
      </c>
      <c r="Q914" s="2">
        <f t="shared" ca="1" si="883"/>
        <v>1054697.8353669199</v>
      </c>
      <c r="R914" s="2">
        <f t="shared" ca="1" si="884"/>
        <v>25312748.048806075</v>
      </c>
      <c r="S914" s="2">
        <f t="shared" ca="1" si="885"/>
        <v>16875165.365870718</v>
      </c>
      <c r="T914" s="2">
        <f t="shared" ca="1" si="886"/>
        <v>49783148.087298982</v>
      </c>
      <c r="U914" s="2">
        <f t="shared" ca="1" si="887"/>
        <v>52514106.539826758</v>
      </c>
      <c r="V914" s="2">
        <f t="shared" ca="1" si="888"/>
        <v>55394877.415955275</v>
      </c>
      <c r="W914" s="2">
        <f t="shared" ca="1" si="889"/>
        <v>58433678.988739677</v>
      </c>
      <c r="X914" s="2">
        <f t="shared" ca="1" si="890"/>
        <v>61639180.361749597</v>
      </c>
      <c r="Y914" s="2">
        <f t="shared" ca="1" si="891"/>
        <v>0.1254410520124162</v>
      </c>
      <c r="Z914" s="2">
        <f t="shared" ca="1" si="892"/>
        <v>0.12761747281738267</v>
      </c>
      <c r="AA914" s="2">
        <f t="shared" ca="1" si="893"/>
        <v>6244850.4685606901</v>
      </c>
      <c r="AB914" s="2">
        <f t="shared" ca="1" si="894"/>
        <v>6701717.5638754787</v>
      </c>
      <c r="AC914" s="2">
        <f t="shared" ca="1" si="895"/>
        <v>7069354.2628529174</v>
      </c>
      <c r="AD914" s="2">
        <f t="shared" ca="1" si="896"/>
        <v>7457158.4399651503</v>
      </c>
      <c r="AE914" s="2">
        <f t="shared" ca="1" si="897"/>
        <v>7866236.4243013272</v>
      </c>
      <c r="AF914" s="2">
        <f t="shared" ca="1" si="898"/>
        <v>995662.96174597961</v>
      </c>
      <c r="AG914" s="2">
        <f t="shared" ca="1" si="899"/>
        <v>1050282.1307965352</v>
      </c>
      <c r="AH914" s="2">
        <f t="shared" ca="1" si="900"/>
        <v>1107897.5483191055</v>
      </c>
      <c r="AI914" s="2">
        <f t="shared" ca="1" si="901"/>
        <v>1168673.5797747935</v>
      </c>
      <c r="AJ914" s="2">
        <f t="shared" ca="1" si="902"/>
        <v>1232783.6072349919</v>
      </c>
      <c r="AK914" s="2">
        <f t="shared" ca="1" si="903"/>
        <v>0</v>
      </c>
      <c r="AL914" s="2">
        <f t="shared" ca="1" si="904"/>
        <v>27309.584525277765</v>
      </c>
      <c r="AM914" s="2">
        <f t="shared" ca="1" si="905"/>
        <v>28807.708761285172</v>
      </c>
      <c r="AN914" s="2">
        <f t="shared" ca="1" si="906"/>
        <v>30388.015727844017</v>
      </c>
      <c r="AO914" s="2">
        <f t="shared" ca="1" si="907"/>
        <v>32055.013730099203</v>
      </c>
      <c r="AP914" s="2">
        <f t="shared" ca="1" si="908"/>
        <v>2278147.3243925464</v>
      </c>
      <c r="AQ914" s="2">
        <f t="shared" ca="1" si="909"/>
        <v>772470.4474297628</v>
      </c>
      <c r="AR914" s="2">
        <f t="shared" ca="1" si="910"/>
        <v>877054.90825846337</v>
      </c>
      <c r="AS914" s="2">
        <f t="shared" ca="1" si="911"/>
        <v>957660.44143672893</v>
      </c>
      <c r="AT914" s="2">
        <f t="shared" ca="1" si="912"/>
        <v>1042687.7593074308</v>
      </c>
      <c r="AU914" s="2">
        <f t="shared" ca="1" si="913"/>
        <v>1132379.428095185</v>
      </c>
      <c r="AV914" s="2">
        <f t="shared" ca="1" si="914"/>
        <v>2198569.7349924012</v>
      </c>
      <c r="AW914" s="2">
        <f t="shared" ca="1" si="915"/>
        <v>2468923.6159026562</v>
      </c>
      <c r="AX914" s="2">
        <f t="shared" ca="1" si="916"/>
        <v>2696841.2399432505</v>
      </c>
      <c r="AY914" s="2">
        <f t="shared" ca="1" si="917"/>
        <v>2937261.7607625355</v>
      </c>
      <c r="AZ914" s="2">
        <f t="shared" ca="1" si="918"/>
        <v>3190871.0508485041</v>
      </c>
      <c r="BA914" s="2">
        <f t="shared" ca="1" si="919"/>
        <v>60384948.139627956</v>
      </c>
      <c r="BB914" s="2">
        <f t="shared" ca="1" si="920"/>
        <v>1207698.9627925591</v>
      </c>
      <c r="BC914" s="2">
        <f t="shared" ca="1" si="921"/>
        <v>33864501.128029317</v>
      </c>
      <c r="BD914" s="2">
        <f t="shared" ca="1" si="922"/>
        <v>-18429863.201237638</v>
      </c>
      <c r="BE914" s="2">
        <f t="shared" ca="1" si="923"/>
        <v>2198569.7349924012</v>
      </c>
      <c r="BF914" s="2">
        <f t="shared" ca="1" si="924"/>
        <v>2468923.6159026562</v>
      </c>
      <c r="BG914" s="2">
        <f t="shared" ca="1" si="925"/>
        <v>2696841.2399432505</v>
      </c>
      <c r="BH914" s="2">
        <f t="shared" ca="1" si="926"/>
        <v>2937261.7607625355</v>
      </c>
      <c r="BI914" s="2">
        <f t="shared" ca="1" si="927"/>
        <v>37055372.178877823</v>
      </c>
      <c r="BJ914" s="2">
        <f t="shared" ca="1" si="928"/>
        <v>0.24397014324365096</v>
      </c>
      <c r="BK914" s="2">
        <f t="shared" ca="1" si="929"/>
        <v>10313810.880453713</v>
      </c>
    </row>
    <row r="915" spans="1:63" x14ac:dyDescent="0.3">
      <c r="A915" s="2">
        <v>914</v>
      </c>
      <c r="B915" s="2">
        <f t="shared" ca="1" si="868"/>
        <v>0.61219293179001311</v>
      </c>
      <c r="C915" s="2">
        <f t="shared" ca="1" si="869"/>
        <v>7.1193104199435684</v>
      </c>
      <c r="D915" s="2">
        <f t="shared" ca="1" si="870"/>
        <v>0.71622698009810948</v>
      </c>
      <c r="E915" s="2">
        <f t="shared" ca="1" si="871"/>
        <v>7.7466434842627425</v>
      </c>
      <c r="F915" s="2">
        <f t="shared" ca="1" si="872"/>
        <v>0.82021126228552421</v>
      </c>
      <c r="G915" s="2">
        <f t="shared" ca="1" si="873"/>
        <v>6.7485115003425911E-2</v>
      </c>
      <c r="H915" s="2">
        <f t="shared" ca="1" si="874"/>
        <v>6.7485115003425911E-2</v>
      </c>
      <c r="I915" s="2">
        <f t="shared" ca="1" si="875"/>
        <v>0.17200806598234408</v>
      </c>
      <c r="J915" s="2">
        <f t="shared" ca="1" si="876"/>
        <v>5.2687013928854115E-3</v>
      </c>
      <c r="K915" s="2">
        <f t="shared" ca="1" si="877"/>
        <v>5.2687013928854115E-3</v>
      </c>
      <c r="L915" s="2">
        <f t="shared" ca="1" si="878"/>
        <v>0.86159037092553992</v>
      </c>
      <c r="M915" s="2">
        <f t="shared" ca="1" si="879"/>
        <v>2.1749847880985832E-2</v>
      </c>
      <c r="N915" s="2">
        <f t="shared" ca="1" si="880"/>
        <v>2.1749847880985832E-2</v>
      </c>
      <c r="O915" s="2">
        <f t="shared" si="881"/>
        <v>6000000</v>
      </c>
      <c r="P915" s="2">
        <f t="shared" ca="1" si="882"/>
        <v>42715862.519661412</v>
      </c>
      <c r="Q915" s="2">
        <f t="shared" ca="1" si="883"/>
        <v>1067896.5629915353</v>
      </c>
      <c r="R915" s="2">
        <f t="shared" ca="1" si="884"/>
        <v>25629517.511796847</v>
      </c>
      <c r="S915" s="2">
        <f t="shared" ca="1" si="885"/>
        <v>17086345.007864565</v>
      </c>
      <c r="T915" s="2">
        <f t="shared" ca="1" si="886"/>
        <v>51087492.394049294</v>
      </c>
      <c r="U915" s="2">
        <f t="shared" ca="1" si="887"/>
        <v>54535137.693498358</v>
      </c>
      <c r="V915" s="2">
        <f t="shared" ca="1" si="888"/>
        <v>58215447.732471764</v>
      </c>
      <c r="W915" s="2">
        <f t="shared" ca="1" si="889"/>
        <v>62144123.917673551</v>
      </c>
      <c r="X915" s="2">
        <f t="shared" ca="1" si="890"/>
        <v>66337927.267044902</v>
      </c>
      <c r="Y915" s="2">
        <f t="shared" ca="1" si="891"/>
        <v>0.1226343506964427</v>
      </c>
      <c r="Z915" s="2">
        <f t="shared" ca="1" si="892"/>
        <v>0.12368809097501979</v>
      </c>
      <c r="AA915" s="2">
        <f t="shared" ca="1" si="893"/>
        <v>6265081.4584536897</v>
      </c>
      <c r="AB915" s="2">
        <f t="shared" ca="1" si="894"/>
        <v>6745347.0723686554</v>
      </c>
      <c r="AC915" s="2">
        <f t="shared" ca="1" si="895"/>
        <v>7200557.5952854771</v>
      </c>
      <c r="AD915" s="2">
        <f t="shared" ca="1" si="896"/>
        <v>7686488.0526921088</v>
      </c>
      <c r="AE915" s="2">
        <f t="shared" ca="1" si="897"/>
        <v>8205211.5829004953</v>
      </c>
      <c r="AF915" s="2">
        <f t="shared" ca="1" si="898"/>
        <v>1021749.8478809859</v>
      </c>
      <c r="AG915" s="2">
        <f t="shared" ca="1" si="899"/>
        <v>1090702.7538699671</v>
      </c>
      <c r="AH915" s="2">
        <f t="shared" ca="1" si="900"/>
        <v>1164308.9546494354</v>
      </c>
      <c r="AI915" s="2">
        <f t="shared" ca="1" si="901"/>
        <v>1242882.478353471</v>
      </c>
      <c r="AJ915" s="2">
        <f t="shared" ca="1" si="902"/>
        <v>1326758.545340898</v>
      </c>
      <c r="AK915" s="2">
        <f t="shared" ca="1" si="903"/>
        <v>0</v>
      </c>
      <c r="AL915" s="2">
        <f t="shared" ca="1" si="904"/>
        <v>34476.452994490639</v>
      </c>
      <c r="AM915" s="2">
        <f t="shared" ca="1" si="905"/>
        <v>36803.100389734063</v>
      </c>
      <c r="AN915" s="2">
        <f t="shared" ca="1" si="906"/>
        <v>39286.761852017866</v>
      </c>
      <c r="AO915" s="2">
        <f t="shared" ca="1" si="907"/>
        <v>41938.033493713512</v>
      </c>
      <c r="AP915" s="2">
        <f t="shared" ca="1" si="908"/>
        <v>2306656.5760617163</v>
      </c>
      <c r="AQ915" s="2">
        <f t="shared" ca="1" si="909"/>
        <v>763535.50897285691</v>
      </c>
      <c r="AR915" s="2">
        <f t="shared" ca="1" si="910"/>
        <v>870476.81303361268</v>
      </c>
      <c r="AS915" s="2">
        <f t="shared" ca="1" si="911"/>
        <v>969693.93678932462</v>
      </c>
      <c r="AT915" s="2">
        <f t="shared" ca="1" si="912"/>
        <v>1075606.7395519996</v>
      </c>
      <c r="AU915" s="2">
        <f t="shared" ca="1" si="913"/>
        <v>1188667.0799894489</v>
      </c>
      <c r="AV915" s="2">
        <f t="shared" ca="1" si="914"/>
        <v>2173139.5255381307</v>
      </c>
      <c r="AW915" s="2">
        <f t="shared" ca="1" si="915"/>
        <v>2443034.4764088681</v>
      </c>
      <c r="AX915" s="2">
        <f t="shared" ca="1" si="916"/>
        <v>2723095.027395267</v>
      </c>
      <c r="AY915" s="2">
        <f t="shared" ca="1" si="917"/>
        <v>3022055.4968729038</v>
      </c>
      <c r="AZ915" s="2">
        <f t="shared" ca="1" si="918"/>
        <v>3341191.3480147179</v>
      </c>
      <c r="BA915" s="2">
        <f t="shared" ca="1" si="919"/>
        <v>63562848.845673308</v>
      </c>
      <c r="BB915" s="2">
        <f t="shared" ca="1" si="920"/>
        <v>1271256.9769134661</v>
      </c>
      <c r="BC915" s="2">
        <f t="shared" ca="1" si="921"/>
        <v>36662074.356962994</v>
      </c>
      <c r="BD915" s="2">
        <f t="shared" ca="1" si="922"/>
        <v>-18654241.570856102</v>
      </c>
      <c r="BE915" s="2">
        <f t="shared" ca="1" si="923"/>
        <v>2173139.5255381307</v>
      </c>
      <c r="BF915" s="2">
        <f t="shared" ca="1" si="924"/>
        <v>2443034.4764088681</v>
      </c>
      <c r="BG915" s="2">
        <f t="shared" ca="1" si="925"/>
        <v>2723095.027395267</v>
      </c>
      <c r="BH915" s="2">
        <f t="shared" ca="1" si="926"/>
        <v>3022055.4968729038</v>
      </c>
      <c r="BI915" s="2">
        <f t="shared" ca="1" si="927"/>
        <v>40003265.704977714</v>
      </c>
      <c r="BJ915" s="2">
        <f t="shared" ca="1" si="928"/>
        <v>0.25618484914678596</v>
      </c>
      <c r="BK915" s="2">
        <f t="shared" ca="1" si="929"/>
        <v>11791377.137260482</v>
      </c>
    </row>
    <row r="916" spans="1:63" x14ac:dyDescent="0.3">
      <c r="A916" s="2">
        <v>915</v>
      </c>
      <c r="B916" s="2">
        <f t="shared" ca="1" si="868"/>
        <v>0.6505924606980904</v>
      </c>
      <c r="C916" s="2">
        <f t="shared" ca="1" si="869"/>
        <v>7.1640483993652389</v>
      </c>
      <c r="D916" s="2">
        <f t="shared" ca="1" si="870"/>
        <v>0.97672418690004859</v>
      </c>
      <c r="E916" s="2">
        <f t="shared" ca="1" si="871"/>
        <v>8.2842417412938669</v>
      </c>
      <c r="F916" s="2">
        <f t="shared" ca="1" si="872"/>
        <v>0.2844248520864715</v>
      </c>
      <c r="G916" s="2">
        <f t="shared" ca="1" si="873"/>
        <v>2.2907607548820593E-2</v>
      </c>
      <c r="H916" s="2">
        <f t="shared" ca="1" si="874"/>
        <v>2.2907607548820593E-2</v>
      </c>
      <c r="I916" s="2">
        <f t="shared" ca="1" si="875"/>
        <v>0.64651589604608606</v>
      </c>
      <c r="J916" s="2">
        <f t="shared" ca="1" si="876"/>
        <v>1.1879654902575403E-2</v>
      </c>
      <c r="K916" s="2">
        <f t="shared" ca="1" si="877"/>
        <v>1.1879654902575403E-2</v>
      </c>
      <c r="L916" s="2">
        <f t="shared" ca="1" si="878"/>
        <v>0.38049654141918621</v>
      </c>
      <c r="M916" s="2">
        <f t="shared" ca="1" si="879"/>
        <v>-6.0835390458437435E-3</v>
      </c>
      <c r="N916" s="2">
        <f t="shared" ca="1" si="880"/>
        <v>-6.0835390458437435E-3</v>
      </c>
      <c r="O916" s="2">
        <f t="shared" si="881"/>
        <v>6000000</v>
      </c>
      <c r="P916" s="2">
        <f t="shared" ca="1" si="882"/>
        <v>42984290.396191433</v>
      </c>
      <c r="Q916" s="2">
        <f t="shared" ca="1" si="883"/>
        <v>1074607.2599047858</v>
      </c>
      <c r="R916" s="2">
        <f t="shared" ca="1" si="884"/>
        <v>25790574.237714861</v>
      </c>
      <c r="S916" s="2">
        <f t="shared" ca="1" si="885"/>
        <v>17193716.158476572</v>
      </c>
      <c r="T916" s="2">
        <f t="shared" ca="1" si="886"/>
        <v>49695823.047707818</v>
      </c>
      <c r="U916" s="2">
        <f t="shared" ca="1" si="887"/>
        <v>50834235.45890034</v>
      </c>
      <c r="V916" s="2">
        <f t="shared" ca="1" si="888"/>
        <v>51998726.174837172</v>
      </c>
      <c r="W916" s="2">
        <f t="shared" ca="1" si="889"/>
        <v>53189892.587088928</v>
      </c>
      <c r="X916" s="2">
        <f t="shared" ca="1" si="890"/>
        <v>54408345.772037886</v>
      </c>
      <c r="Y916" s="2">
        <f t="shared" ca="1" si="891"/>
        <v>0.12593982745128771</v>
      </c>
      <c r="Z916" s="2">
        <f t="shared" ca="1" si="892"/>
        <v>0.12831575843180279</v>
      </c>
      <c r="AA916" s="2">
        <f t="shared" ca="1" si="893"/>
        <v>6258683.3796780491</v>
      </c>
      <c r="AB916" s="2">
        <f t="shared" ca="1" si="894"/>
        <v>6522833.4772096397</v>
      </c>
      <c r="AC916" s="2">
        <f t="shared" ca="1" si="895"/>
        <v>6672255.9866118673</v>
      </c>
      <c r="AD916" s="2">
        <f t="shared" ca="1" si="896"/>
        <v>6825101.4082184406</v>
      </c>
      <c r="AE916" s="2">
        <f t="shared" ca="1" si="897"/>
        <v>6981448.1527588116</v>
      </c>
      <c r="AF916" s="2">
        <f t="shared" ca="1" si="898"/>
        <v>993916.46095415636</v>
      </c>
      <c r="AG916" s="2">
        <f t="shared" ca="1" si="899"/>
        <v>1016684.7091780069</v>
      </c>
      <c r="AH916" s="2">
        <f t="shared" ca="1" si="900"/>
        <v>1039974.5234967434</v>
      </c>
      <c r="AI916" s="2">
        <f t="shared" ca="1" si="901"/>
        <v>1063797.8517417787</v>
      </c>
      <c r="AJ916" s="2">
        <f t="shared" ca="1" si="902"/>
        <v>1088166.9154407578</v>
      </c>
      <c r="AK916" s="2">
        <f t="shared" ca="1" si="903"/>
        <v>0</v>
      </c>
      <c r="AL916" s="2">
        <f t="shared" ca="1" si="904"/>
        <v>11384.124111925215</v>
      </c>
      <c r="AM916" s="2">
        <f t="shared" ca="1" si="905"/>
        <v>11644.907159368322</v>
      </c>
      <c r="AN916" s="2">
        <f t="shared" ca="1" si="906"/>
        <v>11911.664122517555</v>
      </c>
      <c r="AO916" s="2">
        <f t="shared" ca="1" si="907"/>
        <v>12184.531849489586</v>
      </c>
      <c r="AP916" s="2">
        <f t="shared" ca="1" si="908"/>
        <v>2321151.6813943372</v>
      </c>
      <c r="AQ916" s="2">
        <f t="shared" ca="1" si="909"/>
        <v>765339.96170568443</v>
      </c>
      <c r="AR916" s="2">
        <f t="shared" ca="1" si="910"/>
        <v>828099.24252569675</v>
      </c>
      <c r="AS916" s="2">
        <f t="shared" ca="1" si="911"/>
        <v>860893.74324740458</v>
      </c>
      <c r="AT916" s="2">
        <f t="shared" ca="1" si="912"/>
        <v>894439.48752140452</v>
      </c>
      <c r="AU916" s="2">
        <f t="shared" ca="1" si="913"/>
        <v>928753.6845401664</v>
      </c>
      <c r="AV916" s="2">
        <f t="shared" ca="1" si="914"/>
        <v>2178275.2756238705</v>
      </c>
      <c r="AW916" s="2">
        <f t="shared" ca="1" si="915"/>
        <v>2345513.7199996733</v>
      </c>
      <c r="AX916" s="2">
        <f t="shared" ca="1" si="916"/>
        <v>2438591.1313140136</v>
      </c>
      <c r="AY916" s="2">
        <f t="shared" ca="1" si="917"/>
        <v>2533800.7234384031</v>
      </c>
      <c r="AZ916" s="2">
        <f t="shared" ca="1" si="918"/>
        <v>2631191.3395340606</v>
      </c>
      <c r="BA916" s="2">
        <f t="shared" ca="1" si="919"/>
        <v>57836004.201763511</v>
      </c>
      <c r="BB916" s="2">
        <f t="shared" ca="1" si="920"/>
        <v>1156720.0840352701</v>
      </c>
      <c r="BC916" s="2">
        <f t="shared" ca="1" si="921"/>
        <v>30888709.88001338</v>
      </c>
      <c r="BD916" s="2">
        <f t="shared" ca="1" si="922"/>
        <v>-18768323.418381359</v>
      </c>
      <c r="BE916" s="2">
        <f t="shared" ca="1" si="923"/>
        <v>2178275.2756238705</v>
      </c>
      <c r="BF916" s="2">
        <f t="shared" ca="1" si="924"/>
        <v>2345513.7199996733</v>
      </c>
      <c r="BG916" s="2">
        <f t="shared" ca="1" si="925"/>
        <v>2438591.1313140136</v>
      </c>
      <c r="BH916" s="2">
        <f t="shared" ca="1" si="926"/>
        <v>2533800.7234384031</v>
      </c>
      <c r="BI916" s="2">
        <f t="shared" ca="1" si="927"/>
        <v>33519901.219547439</v>
      </c>
      <c r="BJ916" s="2">
        <f t="shared" ca="1" si="928"/>
        <v>0.21179367806747607</v>
      </c>
      <c r="BK916" s="2">
        <f t="shared" ca="1" si="929"/>
        <v>7412503.7174526416</v>
      </c>
    </row>
    <row r="917" spans="1:63" x14ac:dyDescent="0.3">
      <c r="A917" s="2">
        <v>916</v>
      </c>
      <c r="B917" s="2">
        <f t="shared" ca="1" si="868"/>
        <v>0.9799099377690893</v>
      </c>
      <c r="C917" s="2">
        <f t="shared" ca="1" si="869"/>
        <v>7.7995501946575621</v>
      </c>
      <c r="D917" s="2">
        <f t="shared" ca="1" si="870"/>
        <v>0.80959703997805177</v>
      </c>
      <c r="E917" s="2">
        <f t="shared" ca="1" si="871"/>
        <v>7.882905258453861</v>
      </c>
      <c r="F917" s="2">
        <f t="shared" ca="1" si="872"/>
        <v>0.85509084899479559</v>
      </c>
      <c r="G917" s="2">
        <f t="shared" ca="1" si="873"/>
        <v>7.1755608928119469E-2</v>
      </c>
      <c r="H917" s="2">
        <f t="shared" ca="1" si="874"/>
        <v>7.1755608928119469E-2</v>
      </c>
      <c r="I917" s="2">
        <f t="shared" ca="1" si="875"/>
        <v>0.44435899156870751</v>
      </c>
      <c r="J917" s="2">
        <f t="shared" ca="1" si="876"/>
        <v>9.3003669927589558E-3</v>
      </c>
      <c r="K917" s="2">
        <f t="shared" ca="1" si="877"/>
        <v>9.3003669927589558E-3</v>
      </c>
      <c r="L917" s="2">
        <f t="shared" ca="1" si="878"/>
        <v>5.9054544187182034E-2</v>
      </c>
      <c r="M917" s="2">
        <f t="shared" ca="1" si="879"/>
        <v>-3.1255197235501082E-2</v>
      </c>
      <c r="N917" s="2">
        <f t="shared" ca="1" si="880"/>
        <v>-3.1255197235501082E-2</v>
      </c>
      <c r="O917" s="2">
        <f t="shared" si="881"/>
        <v>6000000</v>
      </c>
      <c r="P917" s="2">
        <f t="shared" ca="1" si="882"/>
        <v>46797301.16794537</v>
      </c>
      <c r="Q917" s="2">
        <f t="shared" ca="1" si="883"/>
        <v>1169932.5291986342</v>
      </c>
      <c r="R917" s="2">
        <f t="shared" ca="1" si="884"/>
        <v>28078380.700767223</v>
      </c>
      <c r="S917" s="2">
        <f t="shared" ca="1" si="885"/>
        <v>18718920.467178147</v>
      </c>
      <c r="T917" s="2">
        <f t="shared" ca="1" si="886"/>
        <v>48437240.138224944</v>
      </c>
      <c r="U917" s="2">
        <f t="shared" ca="1" si="887"/>
        <v>51912883.799140826</v>
      </c>
      <c r="V917" s="2">
        <f t="shared" ca="1" si="888"/>
        <v>55637924.387362882</v>
      </c>
      <c r="W917" s="2">
        <f t="shared" ca="1" si="889"/>
        <v>59630257.531274773</v>
      </c>
      <c r="X917" s="2">
        <f t="shared" ca="1" si="890"/>
        <v>63909062.970971979</v>
      </c>
      <c r="Y917" s="2">
        <f t="shared" ca="1" si="891"/>
        <v>0.12465018349637948</v>
      </c>
      <c r="Z917" s="2">
        <f t="shared" ca="1" si="892"/>
        <v>0.12651025689493126</v>
      </c>
      <c r="AA917" s="2">
        <f t="shared" ca="1" si="893"/>
        <v>6037710.8712879363</v>
      </c>
      <c r="AB917" s="2">
        <f t="shared" ca="1" si="894"/>
        <v>6567512.2655860204</v>
      </c>
      <c r="AC917" s="2">
        <f t="shared" ca="1" si="895"/>
        <v>7038768.1073460393</v>
      </c>
      <c r="AD917" s="2">
        <f t="shared" ca="1" si="896"/>
        <v>7543839.1989924805</v>
      </c>
      <c r="AE917" s="2">
        <f t="shared" ca="1" si="897"/>
        <v>8085151.9743720032</v>
      </c>
      <c r="AF917" s="2">
        <f t="shared" ca="1" si="898"/>
        <v>968744.80276449886</v>
      </c>
      <c r="AG917" s="2">
        <f t="shared" ca="1" si="899"/>
        <v>1038257.6759828165</v>
      </c>
      <c r="AH917" s="2">
        <f t="shared" ca="1" si="900"/>
        <v>1112758.4877472576</v>
      </c>
      <c r="AI917" s="2">
        <f t="shared" ca="1" si="901"/>
        <v>1192605.1506254955</v>
      </c>
      <c r="AJ917" s="2">
        <f t="shared" ca="1" si="902"/>
        <v>1278181.2594194396</v>
      </c>
      <c r="AK917" s="2">
        <f t="shared" ca="1" si="903"/>
        <v>0</v>
      </c>
      <c r="AL917" s="2">
        <f t="shared" ca="1" si="904"/>
        <v>34756.436609158816</v>
      </c>
      <c r="AM917" s="2">
        <f t="shared" ca="1" si="905"/>
        <v>37250.40588222057</v>
      </c>
      <c r="AN917" s="2">
        <f t="shared" ca="1" si="906"/>
        <v>39923.331439118905</v>
      </c>
      <c r="AO917" s="2">
        <f t="shared" ca="1" si="907"/>
        <v>42788.05439697206</v>
      </c>
      <c r="AP917" s="2">
        <f t="shared" ca="1" si="908"/>
        <v>2527054.2630690499</v>
      </c>
      <c r="AQ917" s="2">
        <f t="shared" ca="1" si="909"/>
        <v>660897.0694181408</v>
      </c>
      <c r="AR917" s="2">
        <f t="shared" ca="1" si="910"/>
        <v>780572.08489888022</v>
      </c>
      <c r="AS917" s="2">
        <f t="shared" ca="1" si="911"/>
        <v>883728.39269773033</v>
      </c>
      <c r="AT917" s="2">
        <f t="shared" ca="1" si="912"/>
        <v>994286.74417746323</v>
      </c>
      <c r="AU917" s="2">
        <f t="shared" ca="1" si="913"/>
        <v>1112778.2774897136</v>
      </c>
      <c r="AV917" s="2">
        <f t="shared" ca="1" si="914"/>
        <v>1881014.7360362471</v>
      </c>
      <c r="AW917" s="2">
        <f t="shared" ca="1" si="915"/>
        <v>2186871.8050261145</v>
      </c>
      <c r="AX917" s="2">
        <f t="shared" ca="1" si="916"/>
        <v>2477976.557949781</v>
      </c>
      <c r="AY917" s="2">
        <f t="shared" ca="1" si="917"/>
        <v>2789969.7096813531</v>
      </c>
      <c r="AZ917" s="2">
        <f t="shared" ca="1" si="918"/>
        <v>3124350.1199968285</v>
      </c>
      <c r="BA917" s="2">
        <f t="shared" ca="1" si="919"/>
        <v>63734487.014175683</v>
      </c>
      <c r="BB917" s="2">
        <f t="shared" ca="1" si="920"/>
        <v>1274689.7402835137</v>
      </c>
      <c r="BC917" s="2">
        <f t="shared" ca="1" si="921"/>
        <v>34381416.573124953</v>
      </c>
      <c r="BD917" s="2">
        <f t="shared" ca="1" si="922"/>
        <v>-20388852.996376783</v>
      </c>
      <c r="BE917" s="2">
        <f t="shared" ca="1" si="923"/>
        <v>1881014.7360362471</v>
      </c>
      <c r="BF917" s="2">
        <f t="shared" ca="1" si="924"/>
        <v>2186871.8050261145</v>
      </c>
      <c r="BG917" s="2">
        <f t="shared" ca="1" si="925"/>
        <v>2477976.557949781</v>
      </c>
      <c r="BH917" s="2">
        <f t="shared" ca="1" si="926"/>
        <v>2789969.7096813531</v>
      </c>
      <c r="BI917" s="2">
        <f t="shared" ca="1" si="927"/>
        <v>37505766.693121783</v>
      </c>
      <c r="BJ917" s="2">
        <f t="shared" ca="1" si="928"/>
        <v>0.20748611308985221</v>
      </c>
      <c r="BK917" s="2">
        <f t="shared" ca="1" si="929"/>
        <v>7852615.4836596437</v>
      </c>
    </row>
    <row r="918" spans="1:63" x14ac:dyDescent="0.3">
      <c r="A918" s="2">
        <v>917</v>
      </c>
      <c r="B918" s="2">
        <f t="shared" ca="1" si="868"/>
        <v>0.60442051590902113</v>
      </c>
      <c r="C918" s="2">
        <f t="shared" ca="1" si="869"/>
        <v>7.1105288266717368</v>
      </c>
      <c r="D918" s="2">
        <f t="shared" ca="1" si="870"/>
        <v>0.4163851865880599</v>
      </c>
      <c r="E918" s="2">
        <f t="shared" ca="1" si="871"/>
        <v>7.4125625311046468</v>
      </c>
      <c r="F918" s="2">
        <f t="shared" ca="1" si="872"/>
        <v>0.52011903625574329</v>
      </c>
      <c r="G918" s="2">
        <f t="shared" ca="1" si="873"/>
        <v>4.151357022571725E-2</v>
      </c>
      <c r="H918" s="2">
        <f t="shared" ca="1" si="874"/>
        <v>4.151357022571725E-2</v>
      </c>
      <c r="I918" s="2">
        <f t="shared" ca="1" si="875"/>
        <v>0.58968757853008669</v>
      </c>
      <c r="J918" s="2">
        <f t="shared" ca="1" si="876"/>
        <v>1.1133706935119468E-2</v>
      </c>
      <c r="K918" s="2">
        <f t="shared" ca="1" si="877"/>
        <v>1.1133706935119468E-2</v>
      </c>
      <c r="L918" s="2">
        <f t="shared" ca="1" si="878"/>
        <v>0.77010943302065737</v>
      </c>
      <c r="M918" s="2">
        <f t="shared" ca="1" si="879"/>
        <v>1.47841458284871E-2</v>
      </c>
      <c r="N918" s="2">
        <f t="shared" ca="1" si="880"/>
        <v>1.47841458284871E-2</v>
      </c>
      <c r="O918" s="2">
        <f t="shared" si="881"/>
        <v>6000000</v>
      </c>
      <c r="P918" s="2">
        <f t="shared" ca="1" si="882"/>
        <v>42663172.960030422</v>
      </c>
      <c r="Q918" s="2">
        <f t="shared" ca="1" si="883"/>
        <v>1066579.3240007607</v>
      </c>
      <c r="R918" s="2">
        <f t="shared" ca="1" si="884"/>
        <v>25597903.776018251</v>
      </c>
      <c r="S918" s="2">
        <f t="shared" ca="1" si="885"/>
        <v>17065269.184012171</v>
      </c>
      <c r="T918" s="2">
        <f t="shared" ca="1" si="886"/>
        <v>50739207.291424356</v>
      </c>
      <c r="U918" s="2">
        <f t="shared" ca="1" si="887"/>
        <v>52845572.936514124</v>
      </c>
      <c r="V918" s="2">
        <f t="shared" ca="1" si="888"/>
        <v>55039381.339732364</v>
      </c>
      <c r="W918" s="2">
        <f t="shared" ca="1" si="889"/>
        <v>57324262.562159374</v>
      </c>
      <c r="X918" s="2">
        <f t="shared" ca="1" si="890"/>
        <v>59703997.361671031</v>
      </c>
      <c r="Y918" s="2">
        <f t="shared" ca="1" si="891"/>
        <v>0.12556685346755972</v>
      </c>
      <c r="Z918" s="2">
        <f t="shared" ca="1" si="892"/>
        <v>0.12779359485458364</v>
      </c>
      <c r="AA918" s="2">
        <f t="shared" ca="1" si="893"/>
        <v>6371162.6070224196</v>
      </c>
      <c r="AB918" s="2">
        <f t="shared" ca="1" si="894"/>
        <v>6753325.7377072359</v>
      </c>
      <c r="AC918" s="2">
        <f t="shared" ca="1" si="895"/>
        <v>7033680.3999766884</v>
      </c>
      <c r="AD918" s="2">
        <f t="shared" ca="1" si="896"/>
        <v>7325673.5852063717</v>
      </c>
      <c r="AE918" s="2">
        <f t="shared" ca="1" si="897"/>
        <v>7629788.4500365183</v>
      </c>
      <c r="AF918" s="2">
        <f t="shared" ca="1" si="898"/>
        <v>1014784.1458284871</v>
      </c>
      <c r="AG918" s="2">
        <f t="shared" ca="1" si="899"/>
        <v>1056911.4587302825</v>
      </c>
      <c r="AH918" s="2">
        <f t="shared" ca="1" si="900"/>
        <v>1100787.6267946472</v>
      </c>
      <c r="AI918" s="2">
        <f t="shared" ca="1" si="901"/>
        <v>1146485.2512431876</v>
      </c>
      <c r="AJ918" s="2">
        <f t="shared" ca="1" si="902"/>
        <v>1194079.9472334206</v>
      </c>
      <c r="AK918" s="2">
        <f t="shared" ca="1" si="903"/>
        <v>0</v>
      </c>
      <c r="AL918" s="2">
        <f t="shared" ca="1" si="904"/>
        <v>21063.656450897681</v>
      </c>
      <c r="AM918" s="2">
        <f t="shared" ca="1" si="905"/>
        <v>21938.084032182396</v>
      </c>
      <c r="AN918" s="2">
        <f t="shared" ca="1" si="906"/>
        <v>22848.812224270107</v>
      </c>
      <c r="AO918" s="2">
        <f t="shared" ca="1" si="907"/>
        <v>23797.347995116561</v>
      </c>
      <c r="AP918" s="2">
        <f t="shared" ca="1" si="908"/>
        <v>2303811.3398416424</v>
      </c>
      <c r="AQ918" s="2">
        <f t="shared" ca="1" si="909"/>
        <v>793667.45155159535</v>
      </c>
      <c r="AR918" s="2">
        <f t="shared" ca="1" si="910"/>
        <v>882076.76417518093</v>
      </c>
      <c r="AS918" s="2">
        <f t="shared" ca="1" si="911"/>
        <v>943561.17266850371</v>
      </c>
      <c r="AT918" s="2">
        <f t="shared" ca="1" si="912"/>
        <v>1007598.0184716007</v>
      </c>
      <c r="AU918" s="2">
        <f t="shared" ca="1" si="913"/>
        <v>1074293.2623699782</v>
      </c>
      <c r="AV918" s="2">
        <f t="shared" ca="1" si="914"/>
        <v>2258899.6698006941</v>
      </c>
      <c r="AW918" s="2">
        <f t="shared" ca="1" si="915"/>
        <v>2489462.5185092324</v>
      </c>
      <c r="AX918" s="2">
        <f t="shared" ca="1" si="916"/>
        <v>2663582.1766397124</v>
      </c>
      <c r="AY918" s="2">
        <f t="shared" ca="1" si="917"/>
        <v>2844930.1634256709</v>
      </c>
      <c r="AZ918" s="2">
        <f t="shared" ca="1" si="918"/>
        <v>3033806.5525963604</v>
      </c>
      <c r="BA918" s="2">
        <f t="shared" ca="1" si="919"/>
        <v>56556283.984995693</v>
      </c>
      <c r="BB918" s="2">
        <f t="shared" ca="1" si="920"/>
        <v>1131125.6796999138</v>
      </c>
      <c r="BC918" s="2">
        <f t="shared" ca="1" si="921"/>
        <v>29827254.52927753</v>
      </c>
      <c r="BD918" s="2">
        <f t="shared" ca="1" si="922"/>
        <v>-18631848.508012932</v>
      </c>
      <c r="BE918" s="2">
        <f t="shared" ca="1" si="923"/>
        <v>2258899.6698006941</v>
      </c>
      <c r="BF918" s="2">
        <f t="shared" ca="1" si="924"/>
        <v>2489462.5185092324</v>
      </c>
      <c r="BG918" s="2">
        <f t="shared" ca="1" si="925"/>
        <v>2663582.1766397124</v>
      </c>
      <c r="BH918" s="2">
        <f t="shared" ca="1" si="926"/>
        <v>2844930.1634256709</v>
      </c>
      <c r="BI918" s="2">
        <f t="shared" ca="1" si="927"/>
        <v>32861061.08187389</v>
      </c>
      <c r="BJ918" s="2">
        <f t="shared" ca="1" si="928"/>
        <v>0.216823363976133</v>
      </c>
      <c r="BK918" s="2">
        <f t="shared" ca="1" si="929"/>
        <v>7719748.7729953155</v>
      </c>
    </row>
    <row r="919" spans="1:63" x14ac:dyDescent="0.3">
      <c r="A919" s="2">
        <v>918</v>
      </c>
      <c r="B919" s="2">
        <f t="shared" ca="1" si="868"/>
        <v>0.37105193998096131</v>
      </c>
      <c r="C919" s="2">
        <f t="shared" ca="1" si="869"/>
        <v>6.8614545141572609</v>
      </c>
      <c r="D919" s="2">
        <f t="shared" ca="1" si="870"/>
        <v>0.15919809446777822</v>
      </c>
      <c r="E919" s="2">
        <f t="shared" ca="1" si="871"/>
        <v>7.0642660621865865</v>
      </c>
      <c r="F919" s="2">
        <f t="shared" ca="1" si="872"/>
        <v>0.6299898611339011</v>
      </c>
      <c r="G919" s="2">
        <f t="shared" ca="1" si="873"/>
        <v>4.9954794806310522E-2</v>
      </c>
      <c r="H919" s="2">
        <f t="shared" ca="1" si="874"/>
        <v>4.9954794806310522E-2</v>
      </c>
      <c r="I919" s="2">
        <f t="shared" ca="1" si="875"/>
        <v>0.68991084461761121</v>
      </c>
      <c r="J919" s="2">
        <f t="shared" ca="1" si="876"/>
        <v>1.2477988252683305E-2</v>
      </c>
      <c r="K919" s="2">
        <f t="shared" ca="1" si="877"/>
        <v>1.2477988252683305E-2</v>
      </c>
      <c r="L919" s="2">
        <f t="shared" ca="1" si="878"/>
        <v>0.7088577514080725</v>
      </c>
      <c r="M919" s="2">
        <f t="shared" ca="1" si="879"/>
        <v>1.1001016985143204E-2</v>
      </c>
      <c r="N919" s="2">
        <f t="shared" ca="1" si="880"/>
        <v>1.1001016985143204E-2</v>
      </c>
      <c r="O919" s="2">
        <f t="shared" si="881"/>
        <v>6000000</v>
      </c>
      <c r="P919" s="2">
        <f t="shared" ca="1" si="882"/>
        <v>41168727.084943563</v>
      </c>
      <c r="Q919" s="2">
        <f t="shared" ca="1" si="883"/>
        <v>1029218.1771235891</v>
      </c>
      <c r="R919" s="2">
        <f t="shared" ca="1" si="884"/>
        <v>24701236.250966135</v>
      </c>
      <c r="S919" s="2">
        <f t="shared" ca="1" si="885"/>
        <v>16467490.833977425</v>
      </c>
      <c r="T919" s="2">
        <f t="shared" ca="1" si="886"/>
        <v>50550050.849257156</v>
      </c>
      <c r="U919" s="2">
        <f t="shared" ca="1" si="887"/>
        <v>53075268.266880363</v>
      </c>
      <c r="V919" s="2">
        <f t="shared" ca="1" si="888"/>
        <v>55726632.402442262</v>
      </c>
      <c r="W919" s="2">
        <f t="shared" ca="1" si="889"/>
        <v>58510444.889352962</v>
      </c>
      <c r="X919" s="2">
        <f t="shared" ca="1" si="890"/>
        <v>61433322.157826535</v>
      </c>
      <c r="Y919" s="2">
        <f t="shared" ca="1" si="891"/>
        <v>0.12623899412634165</v>
      </c>
      <c r="Z919" s="2">
        <f t="shared" ca="1" si="892"/>
        <v>0.12873459177687832</v>
      </c>
      <c r="AA919" s="2">
        <f t="shared" ca="1" si="893"/>
        <v>6381387.5722456463</v>
      </c>
      <c r="AB919" s="2">
        <f t="shared" ca="1" si="894"/>
        <v>6832622.9937851476</v>
      </c>
      <c r="AC919" s="2">
        <f t="shared" ca="1" si="895"/>
        <v>7173945.2734285649</v>
      </c>
      <c r="AD919" s="2">
        <f t="shared" ca="1" si="896"/>
        <v>7532318.2375143897</v>
      </c>
      <c r="AE919" s="2">
        <f t="shared" ca="1" si="897"/>
        <v>7908593.6494852528</v>
      </c>
      <c r="AF919" s="2">
        <f t="shared" ca="1" si="898"/>
        <v>1011001.0169851432</v>
      </c>
      <c r="AG919" s="2">
        <f t="shared" ca="1" si="899"/>
        <v>1061505.3653376072</v>
      </c>
      <c r="AH919" s="2">
        <f t="shared" ca="1" si="900"/>
        <v>1114532.6480488454</v>
      </c>
      <c r="AI919" s="2">
        <f t="shared" ca="1" si="901"/>
        <v>1170208.8977870592</v>
      </c>
      <c r="AJ919" s="2">
        <f t="shared" ca="1" si="902"/>
        <v>1228666.4431565308</v>
      </c>
      <c r="AK919" s="2">
        <f t="shared" ca="1" si="903"/>
        <v>0</v>
      </c>
      <c r="AL919" s="2">
        <f t="shared" ca="1" si="904"/>
        <v>25252.174176232071</v>
      </c>
      <c r="AM919" s="2">
        <f t="shared" ca="1" si="905"/>
        <v>26513.641355618984</v>
      </c>
      <c r="AN919" s="2">
        <f t="shared" ca="1" si="906"/>
        <v>27838.124869107007</v>
      </c>
      <c r="AO919" s="2">
        <f t="shared" ca="1" si="907"/>
        <v>29228.77268473573</v>
      </c>
      <c r="AP919" s="2">
        <f t="shared" ca="1" si="908"/>
        <v>2223111.2625869522</v>
      </c>
      <c r="AQ919" s="2">
        <f t="shared" ca="1" si="909"/>
        <v>818291.57609512319</v>
      </c>
      <c r="AR919" s="2">
        <f t="shared" ca="1" si="910"/>
        <v>922481.65512375289</v>
      </c>
      <c r="AS919" s="2">
        <f t="shared" ca="1" si="911"/>
        <v>997438.35432611965</v>
      </c>
      <c r="AT919" s="2">
        <f t="shared" ca="1" si="912"/>
        <v>1076139.5000564985</v>
      </c>
      <c r="AU919" s="2">
        <f t="shared" ca="1" si="913"/>
        <v>1158772.1453728601</v>
      </c>
      <c r="AV919" s="2">
        <f t="shared" ca="1" si="914"/>
        <v>2328983.7165784277</v>
      </c>
      <c r="AW919" s="2">
        <f t="shared" ca="1" si="915"/>
        <v>2600272.5365606034</v>
      </c>
      <c r="AX919" s="2">
        <f t="shared" ca="1" si="916"/>
        <v>2812349.3671110291</v>
      </c>
      <c r="AY919" s="2">
        <f t="shared" ca="1" si="917"/>
        <v>3035020.4522147728</v>
      </c>
      <c r="AZ919" s="2">
        <f t="shared" ca="1" si="918"/>
        <v>3268815.0256841732</v>
      </c>
      <c r="BA919" s="2">
        <f t="shared" ca="1" si="919"/>
        <v>55868409.717683032</v>
      </c>
      <c r="BB919" s="2">
        <f t="shared" ca="1" si="920"/>
        <v>1117368.1943536606</v>
      </c>
      <c r="BC919" s="2">
        <f t="shared" ca="1" si="921"/>
        <v>30049805.272363238</v>
      </c>
      <c r="BD919" s="2">
        <f t="shared" ca="1" si="922"/>
        <v>-17996709.011101015</v>
      </c>
      <c r="BE919" s="2">
        <f t="shared" ca="1" si="923"/>
        <v>2328983.7165784277</v>
      </c>
      <c r="BF919" s="2">
        <f t="shared" ca="1" si="924"/>
        <v>2600272.5365606034</v>
      </c>
      <c r="BG919" s="2">
        <f t="shared" ca="1" si="925"/>
        <v>2812349.3671110291</v>
      </c>
      <c r="BH919" s="2">
        <f t="shared" ca="1" si="926"/>
        <v>3035020.4522147728</v>
      </c>
      <c r="BI919" s="2">
        <f t="shared" ca="1" si="927"/>
        <v>33318620.298047412</v>
      </c>
      <c r="BJ919" s="2">
        <f t="shared" ca="1" si="928"/>
        <v>0.23481066721197497</v>
      </c>
      <c r="BK919" s="2">
        <f t="shared" ca="1" si="929"/>
        <v>8992127.1297281943</v>
      </c>
    </row>
    <row r="920" spans="1:63" x14ac:dyDescent="0.3">
      <c r="A920" s="2">
        <v>919</v>
      </c>
      <c r="B920" s="2">
        <f t="shared" ca="1" si="868"/>
        <v>0.39056291005314137</v>
      </c>
      <c r="C920" s="2">
        <f t="shared" ca="1" si="869"/>
        <v>6.8838132269355796</v>
      </c>
      <c r="D920" s="2">
        <f t="shared" ca="1" si="870"/>
        <v>0.45056873882270543</v>
      </c>
      <c r="E920" s="2">
        <f t="shared" ca="1" si="871"/>
        <v>7.4492826121052733</v>
      </c>
      <c r="F920" s="2">
        <f t="shared" ca="1" si="872"/>
        <v>0.20121361220252831</v>
      </c>
      <c r="G920" s="2">
        <f t="shared" ca="1" si="873"/>
        <v>1.4881174307923538E-2</v>
      </c>
      <c r="H920" s="2">
        <f t="shared" ca="1" si="874"/>
        <v>1.4881174307923538E-2</v>
      </c>
      <c r="I920" s="2">
        <f t="shared" ca="1" si="875"/>
        <v>0.88903288461398167</v>
      </c>
      <c r="J920" s="2">
        <f t="shared" ca="1" si="876"/>
        <v>1.6107004973483191E-2</v>
      </c>
      <c r="K920" s="2">
        <f t="shared" ca="1" si="877"/>
        <v>1.6107004973483191E-2</v>
      </c>
      <c r="L920" s="2">
        <f t="shared" ca="1" si="878"/>
        <v>0.35512676736287052</v>
      </c>
      <c r="M920" s="2">
        <f t="shared" ca="1" si="879"/>
        <v>-7.4303121131118633E-3</v>
      </c>
      <c r="N920" s="2">
        <f t="shared" ca="1" si="880"/>
        <v>-7.4303121131118633E-3</v>
      </c>
      <c r="O920" s="2">
        <f t="shared" si="881"/>
        <v>6000000</v>
      </c>
      <c r="P920" s="2">
        <f t="shared" ca="1" si="882"/>
        <v>41302879.361613475</v>
      </c>
      <c r="Q920" s="2">
        <f t="shared" ca="1" si="883"/>
        <v>1032571.9840403369</v>
      </c>
      <c r="R920" s="2">
        <f t="shared" ca="1" si="884"/>
        <v>24781727.616968084</v>
      </c>
      <c r="S920" s="2">
        <f t="shared" ca="1" si="885"/>
        <v>16521151.744645391</v>
      </c>
      <c r="T920" s="2">
        <f t="shared" ca="1" si="886"/>
        <v>49628484.394344404</v>
      </c>
      <c r="U920" s="2">
        <f t="shared" ca="1" si="887"/>
        <v>50367014.521254711</v>
      </c>
      <c r="V920" s="2">
        <f t="shared" ca="1" si="888"/>
        <v>51116534.843715221</v>
      </c>
      <c r="W920" s="2">
        <f t="shared" ca="1" si="889"/>
        <v>51877208.908741593</v>
      </c>
      <c r="X920" s="2">
        <f t="shared" ca="1" si="890"/>
        <v>52649202.697121143</v>
      </c>
      <c r="Y920" s="2">
        <f t="shared" ca="1" si="891"/>
        <v>0.12805350248674158</v>
      </c>
      <c r="Z920" s="2">
        <f t="shared" ca="1" si="892"/>
        <v>0.13127490348143822</v>
      </c>
      <c r="AA920" s="2">
        <f t="shared" ca="1" si="893"/>
        <v>6355101.2498043971</v>
      </c>
      <c r="AB920" s="2">
        <f t="shared" ca="1" si="894"/>
        <v>6611924.9699259093</v>
      </c>
      <c r="AC920" s="2">
        <f t="shared" ca="1" si="895"/>
        <v>6710318.1779142898</v>
      </c>
      <c r="AD920" s="2">
        <f t="shared" ca="1" si="896"/>
        <v>6810175.5923814597</v>
      </c>
      <c r="AE920" s="2">
        <f t="shared" ca="1" si="897"/>
        <v>6911519.0024392549</v>
      </c>
      <c r="AF920" s="2">
        <f t="shared" ca="1" si="898"/>
        <v>992569.68788688816</v>
      </c>
      <c r="AG920" s="2">
        <f t="shared" ca="1" si="899"/>
        <v>1007340.2904250942</v>
      </c>
      <c r="AH920" s="2">
        <f t="shared" ca="1" si="900"/>
        <v>1022330.6968743044</v>
      </c>
      <c r="AI920" s="2">
        <f t="shared" ca="1" si="901"/>
        <v>1037544.1781748319</v>
      </c>
      <c r="AJ920" s="2">
        <f t="shared" ca="1" si="902"/>
        <v>1052984.0539424228</v>
      </c>
      <c r="AK920" s="2">
        <f t="shared" ca="1" si="903"/>
        <v>0</v>
      </c>
      <c r="AL920" s="2">
        <f t="shared" ca="1" si="904"/>
        <v>7385.3012691030654</v>
      </c>
      <c r="AM920" s="2">
        <f t="shared" ca="1" si="905"/>
        <v>7495.2032246050985</v>
      </c>
      <c r="AN920" s="2">
        <f t="shared" ca="1" si="906"/>
        <v>7606.7406502637268</v>
      </c>
      <c r="AO920" s="2">
        <f t="shared" ca="1" si="907"/>
        <v>7719.9378837955001</v>
      </c>
      <c r="AP920" s="2">
        <f t="shared" ca="1" si="908"/>
        <v>2230355.4855271275</v>
      </c>
      <c r="AQ920" s="2">
        <f t="shared" ca="1" si="909"/>
        <v>814365.77986149921</v>
      </c>
      <c r="AR920" s="2">
        <f t="shared" ca="1" si="910"/>
        <v>877299.59043315891</v>
      </c>
      <c r="AS920" s="2">
        <f t="shared" ca="1" si="911"/>
        <v>898984.31883334299</v>
      </c>
      <c r="AT920" s="2">
        <f t="shared" ca="1" si="912"/>
        <v>920991.7414566701</v>
      </c>
      <c r="AU920" s="2">
        <f t="shared" ca="1" si="913"/>
        <v>943326.66037212312</v>
      </c>
      <c r="AV920" s="2">
        <f t="shared" ca="1" si="914"/>
        <v>2317810.2965288819</v>
      </c>
      <c r="AW920" s="2">
        <f t="shared" ca="1" si="915"/>
        <v>2489544.3022714262</v>
      </c>
      <c r="AX920" s="2">
        <f t="shared" ca="1" si="916"/>
        <v>2551152.4734549099</v>
      </c>
      <c r="AY920" s="2">
        <f t="shared" ca="1" si="917"/>
        <v>2613677.4465725669</v>
      </c>
      <c r="AZ920" s="2">
        <f t="shared" ca="1" si="918"/>
        <v>2677132.8647137857</v>
      </c>
      <c r="BA920" s="2">
        <f t="shared" ca="1" si="919"/>
        <v>51485858.328105927</v>
      </c>
      <c r="BB920" s="2">
        <f t="shared" ca="1" si="920"/>
        <v>1029717.1665621186</v>
      </c>
      <c r="BC920" s="2">
        <f t="shared" ca="1" si="921"/>
        <v>25674413.544575725</v>
      </c>
      <c r="BD920" s="2">
        <f t="shared" ca="1" si="922"/>
        <v>-18053723.728685729</v>
      </c>
      <c r="BE920" s="2">
        <f t="shared" ca="1" si="923"/>
        <v>2317810.2965288819</v>
      </c>
      <c r="BF920" s="2">
        <f t="shared" ca="1" si="924"/>
        <v>2489544.3022714262</v>
      </c>
      <c r="BG920" s="2">
        <f t="shared" ca="1" si="925"/>
        <v>2551152.4734549099</v>
      </c>
      <c r="BH920" s="2">
        <f t="shared" ca="1" si="926"/>
        <v>2613677.4465725669</v>
      </c>
      <c r="BI920" s="2">
        <f t="shared" ca="1" si="927"/>
        <v>28351546.409289509</v>
      </c>
      <c r="BJ920" s="2">
        <f t="shared" ca="1" si="928"/>
        <v>0.19565532788978168</v>
      </c>
      <c r="BK920" s="2">
        <f t="shared" ca="1" si="929"/>
        <v>5564727.26798518</v>
      </c>
    </row>
    <row r="921" spans="1:63" x14ac:dyDescent="0.3">
      <c r="A921" s="2">
        <v>920</v>
      </c>
      <c r="B921" s="2">
        <f t="shared" ca="1" si="868"/>
        <v>0.7415239948085508</v>
      </c>
      <c r="C921" s="2">
        <f t="shared" ca="1" si="869"/>
        <v>7.2810062514994316</v>
      </c>
      <c r="D921" s="2">
        <f t="shared" ca="1" si="870"/>
        <v>0.77639301540552763</v>
      </c>
      <c r="E921" s="2">
        <f t="shared" ca="1" si="871"/>
        <v>7.8312594156259507</v>
      </c>
      <c r="F921" s="2">
        <f t="shared" ca="1" si="872"/>
        <v>0.20621069224848232</v>
      </c>
      <c r="G921" s="2">
        <f t="shared" ca="1" si="873"/>
        <v>1.5410801097288439E-2</v>
      </c>
      <c r="H921" s="2">
        <f t="shared" ca="1" si="874"/>
        <v>1.5410801097288439E-2</v>
      </c>
      <c r="I921" s="2">
        <f t="shared" ca="1" si="875"/>
        <v>0.79095698687609228</v>
      </c>
      <c r="J921" s="2">
        <f t="shared" ca="1" si="876"/>
        <v>1.4048731286512097E-2</v>
      </c>
      <c r="K921" s="2">
        <f t="shared" ca="1" si="877"/>
        <v>1.4048731286512097E-2</v>
      </c>
      <c r="L921" s="2">
        <f t="shared" ca="1" si="878"/>
        <v>8.2715039347267871E-2</v>
      </c>
      <c r="M921" s="2">
        <f t="shared" ca="1" si="879"/>
        <v>-2.7740766371447706E-2</v>
      </c>
      <c r="N921" s="2">
        <f t="shared" ca="1" si="880"/>
        <v>-2.7740766371447706E-2</v>
      </c>
      <c r="O921" s="2">
        <f t="shared" si="881"/>
        <v>6000000</v>
      </c>
      <c r="P921" s="2">
        <f t="shared" ca="1" si="882"/>
        <v>43686037.508996591</v>
      </c>
      <c r="Q921" s="2">
        <f t="shared" ca="1" si="883"/>
        <v>1092150.9377249149</v>
      </c>
      <c r="R921" s="2">
        <f t="shared" ca="1" si="884"/>
        <v>26211622.505397953</v>
      </c>
      <c r="S921" s="2">
        <f t="shared" ca="1" si="885"/>
        <v>17474415.003598638</v>
      </c>
      <c r="T921" s="2">
        <f t="shared" ca="1" si="886"/>
        <v>48612961.681427613</v>
      </c>
      <c r="U921" s="2">
        <f t="shared" ca="1" si="887"/>
        <v>49362126.364650197</v>
      </c>
      <c r="V921" s="2">
        <f t="shared" ca="1" si="888"/>
        <v>50122836.275795035</v>
      </c>
      <c r="W921" s="2">
        <f t="shared" ca="1" si="889"/>
        <v>50895269.336073264</v>
      </c>
      <c r="X921" s="2">
        <f t="shared" ca="1" si="890"/>
        <v>51679606.20860441</v>
      </c>
      <c r="Y921" s="2">
        <f t="shared" ca="1" si="891"/>
        <v>0.12702436564325603</v>
      </c>
      <c r="Z921" s="2">
        <f t="shared" ca="1" si="892"/>
        <v>0.12983411190055846</v>
      </c>
      <c r="AA921" s="2">
        <f t="shared" ca="1" si="893"/>
        <v>6175030.6196232559</v>
      </c>
      <c r="AB921" s="2">
        <f t="shared" ca="1" si="894"/>
        <v>6408887.8380775005</v>
      </c>
      <c r="AC921" s="2">
        <f t="shared" ca="1" si="895"/>
        <v>6507653.9338049432</v>
      </c>
      <c r="AD921" s="2">
        <f t="shared" ca="1" si="896"/>
        <v>6607942.0941887982</v>
      </c>
      <c r="AE921" s="2">
        <f t="shared" ca="1" si="897"/>
        <v>6709775.7754647406</v>
      </c>
      <c r="AF921" s="2">
        <f t="shared" ca="1" si="898"/>
        <v>972259.23362855229</v>
      </c>
      <c r="AG921" s="2">
        <f t="shared" ca="1" si="899"/>
        <v>987242.52729300398</v>
      </c>
      <c r="AH921" s="2">
        <f t="shared" ca="1" si="900"/>
        <v>1002456.7255159008</v>
      </c>
      <c r="AI921" s="2">
        <f t="shared" ca="1" si="901"/>
        <v>1017905.3867214653</v>
      </c>
      <c r="AJ921" s="2">
        <f t="shared" ca="1" si="902"/>
        <v>1033592.1241720882</v>
      </c>
      <c r="AK921" s="2">
        <f t="shared" ca="1" si="903"/>
        <v>0</v>
      </c>
      <c r="AL921" s="2">
        <f t="shared" ca="1" si="904"/>
        <v>7491.6468322258443</v>
      </c>
      <c r="AM921" s="2">
        <f t="shared" ca="1" si="905"/>
        <v>7607.0991114483777</v>
      </c>
      <c r="AN921" s="2">
        <f t="shared" ca="1" si="906"/>
        <v>7724.3306027822946</v>
      </c>
      <c r="AO921" s="2">
        <f t="shared" ca="1" si="907"/>
        <v>7843.3687253114585</v>
      </c>
      <c r="AP921" s="2">
        <f t="shared" ca="1" si="908"/>
        <v>2359046.0254858155</v>
      </c>
      <c r="AQ921" s="2">
        <f t="shared" ca="1" si="909"/>
        <v>739368.59373231092</v>
      </c>
      <c r="AR921" s="2">
        <f t="shared" ca="1" si="910"/>
        <v>796275.81417765701</v>
      </c>
      <c r="AS921" s="2">
        <f t="shared" ca="1" si="911"/>
        <v>817999.30752883898</v>
      </c>
      <c r="AT921" s="2">
        <f t="shared" ca="1" si="912"/>
        <v>840057.57731519442</v>
      </c>
      <c r="AU921" s="2">
        <f t="shared" ca="1" si="913"/>
        <v>862455.78270977747</v>
      </c>
      <c r="AV921" s="2">
        <f t="shared" ca="1" si="914"/>
        <v>2104356.7667765766</v>
      </c>
      <c r="AW921" s="2">
        <f t="shared" ca="1" si="915"/>
        <v>2258831.8242887985</v>
      </c>
      <c r="AX921" s="2">
        <f t="shared" ca="1" si="916"/>
        <v>2320544.7761629391</v>
      </c>
      <c r="AY921" s="2">
        <f t="shared" ca="1" si="917"/>
        <v>2383208.7740635406</v>
      </c>
      <c r="AZ921" s="2">
        <f t="shared" ca="1" si="918"/>
        <v>2446838.474371748</v>
      </c>
      <c r="BA921" s="2">
        <f t="shared" ca="1" si="919"/>
        <v>52545994.718347162</v>
      </c>
      <c r="BB921" s="2">
        <f t="shared" ca="1" si="920"/>
        <v>1050919.8943669433</v>
      </c>
      <c r="BC921" s="2">
        <f t="shared" ca="1" si="921"/>
        <v>25283452.318582267</v>
      </c>
      <c r="BD921" s="2">
        <f t="shared" ca="1" si="922"/>
        <v>-19066565.941323552</v>
      </c>
      <c r="BE921" s="2">
        <f t="shared" ca="1" si="923"/>
        <v>2104356.7667765766</v>
      </c>
      <c r="BF921" s="2">
        <f t="shared" ca="1" si="924"/>
        <v>2258831.8242887985</v>
      </c>
      <c r="BG921" s="2">
        <f t="shared" ca="1" si="925"/>
        <v>2320544.7761629391</v>
      </c>
      <c r="BH921" s="2">
        <f t="shared" ca="1" si="926"/>
        <v>2383208.7740635406</v>
      </c>
      <c r="BI921" s="2">
        <f t="shared" ca="1" si="927"/>
        <v>27730290.792954013</v>
      </c>
      <c r="BJ921" s="2">
        <f t="shared" ca="1" si="928"/>
        <v>0.16628603175568779</v>
      </c>
      <c r="BK921" s="2">
        <f t="shared" ca="1" si="929"/>
        <v>3514252.8389311917</v>
      </c>
    </row>
    <row r="922" spans="1:63" x14ac:dyDescent="0.3">
      <c r="A922" s="2">
        <v>921</v>
      </c>
      <c r="B922" s="2">
        <f t="shared" ca="1" si="868"/>
        <v>3.2935610485033129E-2</v>
      </c>
      <c r="C922" s="2">
        <f t="shared" ca="1" si="869"/>
        <v>6.2566538933467912</v>
      </c>
      <c r="D922" s="2">
        <f t="shared" ca="1" si="870"/>
        <v>0.46396789910776892</v>
      </c>
      <c r="E922" s="2">
        <f t="shared" ca="1" si="871"/>
        <v>7.4632942428020304</v>
      </c>
      <c r="F922" s="2">
        <f t="shared" ca="1" si="872"/>
        <v>0.40514405986719426</v>
      </c>
      <c r="G922" s="2">
        <f t="shared" ca="1" si="873"/>
        <v>3.2798369375438209E-2</v>
      </c>
      <c r="H922" s="2">
        <f t="shared" ca="1" si="874"/>
        <v>3.2798369375438209E-2</v>
      </c>
      <c r="I922" s="2">
        <f t="shared" ca="1" si="875"/>
        <v>0.93366503546670632</v>
      </c>
      <c r="J922" s="2">
        <f t="shared" ca="1" si="876"/>
        <v>1.7518280678058558E-2</v>
      </c>
      <c r="K922" s="2">
        <f t="shared" ca="1" si="877"/>
        <v>1.7518280678058558E-2</v>
      </c>
      <c r="L922" s="2">
        <f t="shared" ca="1" si="878"/>
        <v>0.14621116643989551</v>
      </c>
      <c r="M922" s="2">
        <f t="shared" ca="1" si="879"/>
        <v>-2.1056450782466051E-2</v>
      </c>
      <c r="N922" s="2">
        <f t="shared" ca="1" si="880"/>
        <v>-2.1056450782466051E-2</v>
      </c>
      <c r="O922" s="2">
        <f t="shared" si="881"/>
        <v>6000000</v>
      </c>
      <c r="P922" s="2">
        <f t="shared" ca="1" si="882"/>
        <v>37539923.360080749</v>
      </c>
      <c r="Q922" s="2">
        <f t="shared" ca="1" si="883"/>
        <v>938498.08400201879</v>
      </c>
      <c r="R922" s="2">
        <f t="shared" ca="1" si="884"/>
        <v>22523954.01604845</v>
      </c>
      <c r="S922" s="2">
        <f t="shared" ca="1" si="885"/>
        <v>15015969.344032301</v>
      </c>
      <c r="T922" s="2">
        <f t="shared" ca="1" si="886"/>
        <v>48947177.460876696</v>
      </c>
      <c r="U922" s="2">
        <f t="shared" ca="1" si="887"/>
        <v>50552565.067123652</v>
      </c>
      <c r="V922" s="2">
        <f t="shared" ca="1" si="888"/>
        <v>52210606.769071043</v>
      </c>
      <c r="W922" s="2">
        <f t="shared" ca="1" si="889"/>
        <v>53923029.535198785</v>
      </c>
      <c r="X922" s="2">
        <f t="shared" ca="1" si="890"/>
        <v>55691616.975736894</v>
      </c>
      <c r="Y922" s="2">
        <f t="shared" ca="1" si="891"/>
        <v>0.12875914033902927</v>
      </c>
      <c r="Z922" s="2">
        <f t="shared" ca="1" si="892"/>
        <v>0.13226279647464098</v>
      </c>
      <c r="AA922" s="2">
        <f t="shared" ca="1" si="893"/>
        <v>6302396.4918843927</v>
      </c>
      <c r="AB922" s="2">
        <f t="shared" ca="1" si="894"/>
        <v>6686223.6247440213</v>
      </c>
      <c r="AC922" s="2">
        <f t="shared" ca="1" si="895"/>
        <v>6905520.8569151564</v>
      </c>
      <c r="AD922" s="2">
        <f t="shared" ca="1" si="896"/>
        <v>7132010.6807100512</v>
      </c>
      <c r="AE922" s="2">
        <f t="shared" ca="1" si="897"/>
        <v>7365929.0014055492</v>
      </c>
      <c r="AF922" s="2">
        <f t="shared" ca="1" si="898"/>
        <v>978943.5492175339</v>
      </c>
      <c r="AG922" s="2">
        <f t="shared" ca="1" si="899"/>
        <v>1011051.301342473</v>
      </c>
      <c r="AH922" s="2">
        <f t="shared" ca="1" si="900"/>
        <v>1044212.1353814208</v>
      </c>
      <c r="AI922" s="2">
        <f t="shared" ca="1" si="901"/>
        <v>1078460.5907039756</v>
      </c>
      <c r="AJ922" s="2">
        <f t="shared" ca="1" si="902"/>
        <v>1113832.3395147379</v>
      </c>
      <c r="AK922" s="2">
        <f t="shared" ca="1" si="903"/>
        <v>0</v>
      </c>
      <c r="AL922" s="2">
        <f t="shared" ca="1" si="904"/>
        <v>16053.876062469557</v>
      </c>
      <c r="AM922" s="2">
        <f t="shared" ca="1" si="905"/>
        <v>16580.417019473909</v>
      </c>
      <c r="AN922" s="2">
        <f t="shared" ca="1" si="906"/>
        <v>17124.227661277429</v>
      </c>
      <c r="AO922" s="2">
        <f t="shared" ca="1" si="907"/>
        <v>17685.874405381084</v>
      </c>
      <c r="AP922" s="2">
        <f t="shared" ca="1" si="908"/>
        <v>2027155.8614443603</v>
      </c>
      <c r="AQ922" s="2">
        <f t="shared" ca="1" si="909"/>
        <v>857037.24111784948</v>
      </c>
      <c r="AR922" s="2">
        <f t="shared" ca="1" si="910"/>
        <v>948484.28010886873</v>
      </c>
      <c r="AS922" s="2">
        <f t="shared" ca="1" si="911"/>
        <v>996879.74362323747</v>
      </c>
      <c r="AT922" s="2">
        <f t="shared" ca="1" si="912"/>
        <v>1046862.499426046</v>
      </c>
      <c r="AU922" s="2">
        <f t="shared" ca="1" si="913"/>
        <v>1098484.6081160773</v>
      </c>
      <c r="AV922" s="2">
        <f t="shared" ca="1" si="914"/>
        <v>2439259.8401046479</v>
      </c>
      <c r="AW922" s="2">
        <f t="shared" ca="1" si="915"/>
        <v>2683478.3057858488</v>
      </c>
      <c r="AX922" s="2">
        <f t="shared" ca="1" si="916"/>
        <v>2820692.6994466633</v>
      </c>
      <c r="AY922" s="2">
        <f t="shared" ca="1" si="917"/>
        <v>2962407.5014743917</v>
      </c>
      <c r="AZ922" s="2">
        <f t="shared" ca="1" si="918"/>
        <v>3108770.3179249922</v>
      </c>
      <c r="BA922" s="2">
        <f t="shared" ca="1" si="919"/>
        <v>54974095.509078547</v>
      </c>
      <c r="BB922" s="2">
        <f t="shared" ca="1" si="920"/>
        <v>1099481.910181571</v>
      </c>
      <c r="BC922" s="2">
        <f t="shared" ca="1" si="921"/>
        <v>31350659.582848527</v>
      </c>
      <c r="BD922" s="2">
        <f t="shared" ca="1" si="922"/>
        <v>-16454467.428034319</v>
      </c>
      <c r="BE922" s="2">
        <f t="shared" ca="1" si="923"/>
        <v>2439259.8401046479</v>
      </c>
      <c r="BF922" s="2">
        <f t="shared" ca="1" si="924"/>
        <v>2683478.3057858488</v>
      </c>
      <c r="BG922" s="2">
        <f t="shared" ca="1" si="925"/>
        <v>2820692.6994466633</v>
      </c>
      <c r="BH922" s="2">
        <f t="shared" ca="1" si="926"/>
        <v>2962407.5014743917</v>
      </c>
      <c r="BI922" s="2">
        <f t="shared" ca="1" si="927"/>
        <v>34459429.900773518</v>
      </c>
      <c r="BJ922" s="2">
        <f t="shared" ca="1" si="928"/>
        <v>0.27146292418369389</v>
      </c>
      <c r="BK922" s="2">
        <f t="shared" ca="1" si="929"/>
        <v>11306278.449259235</v>
      </c>
    </row>
    <row r="923" spans="1:63" x14ac:dyDescent="0.3">
      <c r="A923" s="2">
        <v>922</v>
      </c>
      <c r="B923" s="2">
        <f t="shared" ca="1" si="868"/>
        <v>0.87587490351222563</v>
      </c>
      <c r="C923" s="2">
        <f t="shared" ca="1" si="869"/>
        <v>7.5017528796113835</v>
      </c>
      <c r="D923" s="2">
        <f t="shared" ca="1" si="870"/>
        <v>0.2458581835306477</v>
      </c>
      <c r="E923" s="2">
        <f t="shared" ca="1" si="871"/>
        <v>7.2012249047640102</v>
      </c>
      <c r="F923" s="2">
        <f t="shared" ca="1" si="872"/>
        <v>0.89643024439497165</v>
      </c>
      <c r="G923" s="2">
        <f t="shared" ca="1" si="873"/>
        <v>7.7844104232709738E-2</v>
      </c>
      <c r="H923" s="2">
        <f t="shared" ca="1" si="874"/>
        <v>7.7844104232709738E-2</v>
      </c>
      <c r="I923" s="2">
        <f t="shared" ca="1" si="875"/>
        <v>0.81129999949268494</v>
      </c>
      <c r="J923" s="2">
        <f t="shared" ca="1" si="876"/>
        <v>1.4413485022753818E-2</v>
      </c>
      <c r="K923" s="2">
        <f t="shared" ca="1" si="877"/>
        <v>1.4413485022753818E-2</v>
      </c>
      <c r="L923" s="2">
        <f t="shared" ca="1" si="878"/>
        <v>0.82392103966888108</v>
      </c>
      <c r="M923" s="2">
        <f t="shared" ca="1" si="879"/>
        <v>1.8608235638247421E-2</v>
      </c>
      <c r="N923" s="2">
        <f t="shared" ca="1" si="880"/>
        <v>1.8608235638247421E-2</v>
      </c>
      <c r="O923" s="2">
        <f t="shared" si="881"/>
        <v>6000000</v>
      </c>
      <c r="P923" s="2">
        <f t="shared" ca="1" si="882"/>
        <v>45010517.277668297</v>
      </c>
      <c r="Q923" s="2">
        <f t="shared" ca="1" si="883"/>
        <v>1125262.9319417074</v>
      </c>
      <c r="R923" s="2">
        <f t="shared" ca="1" si="884"/>
        <v>27006310.366600979</v>
      </c>
      <c r="S923" s="2">
        <f t="shared" ca="1" si="885"/>
        <v>18004206.911067318</v>
      </c>
      <c r="T923" s="2">
        <f t="shared" ca="1" si="886"/>
        <v>50930411.781912364</v>
      </c>
      <c r="U923" s="2">
        <f t="shared" ca="1" si="887"/>
        <v>54895044.065278381</v>
      </c>
      <c r="V923" s="2">
        <f t="shared" ca="1" si="888"/>
        <v>59168299.597355112</v>
      </c>
      <c r="W923" s="2">
        <f t="shared" ca="1" si="889"/>
        <v>63774202.878483824</v>
      </c>
      <c r="X923" s="2">
        <f t="shared" ca="1" si="890"/>
        <v>68738648.574714497</v>
      </c>
      <c r="Y923" s="2">
        <f t="shared" ca="1" si="891"/>
        <v>0.1272067425113769</v>
      </c>
      <c r="Z923" s="2">
        <f t="shared" ca="1" si="892"/>
        <v>0.13008943951592766</v>
      </c>
      <c r="AA923" s="2">
        <f t="shared" ca="1" si="893"/>
        <v>6478691.7775401222</v>
      </c>
      <c r="AB923" s="2">
        <f t="shared" ca="1" si="894"/>
        <v>7141265.5146542154</v>
      </c>
      <c r="AC923" s="2">
        <f t="shared" ca="1" si="895"/>
        <v>7697170.9317304147</v>
      </c>
      <c r="AD923" s="2">
        <f t="shared" ca="1" si="896"/>
        <v>8296350.3080370212</v>
      </c>
      <c r="AE923" s="2">
        <f t="shared" ca="1" si="897"/>
        <v>8942172.2661669292</v>
      </c>
      <c r="AF923" s="2">
        <f t="shared" ca="1" si="898"/>
        <v>1018608.2356382473</v>
      </c>
      <c r="AG923" s="2">
        <f t="shared" ca="1" si="899"/>
        <v>1097900.8813055677</v>
      </c>
      <c r="AH923" s="2">
        <f t="shared" ca="1" si="900"/>
        <v>1183365.9919471024</v>
      </c>
      <c r="AI923" s="2">
        <f t="shared" ca="1" si="901"/>
        <v>1275484.0575696765</v>
      </c>
      <c r="AJ923" s="2">
        <f t="shared" ca="1" si="902"/>
        <v>1374772.97149429</v>
      </c>
      <c r="AK923" s="2">
        <f t="shared" ca="1" si="903"/>
        <v>0</v>
      </c>
      <c r="AL923" s="2">
        <f t="shared" ca="1" si="904"/>
        <v>39646.322833660168</v>
      </c>
      <c r="AM923" s="2">
        <f t="shared" ca="1" si="905"/>
        <v>42732.555320767315</v>
      </c>
      <c r="AN923" s="2">
        <f t="shared" ca="1" si="906"/>
        <v>46059.032811287121</v>
      </c>
      <c r="AO923" s="2">
        <f t="shared" ca="1" si="907"/>
        <v>49644.456962306722</v>
      </c>
      <c r="AP923" s="2">
        <f t="shared" ca="1" si="908"/>
        <v>2430567.9329940882</v>
      </c>
      <c r="AQ923" s="2">
        <f t="shared" ca="1" si="909"/>
        <v>787674.05831602472</v>
      </c>
      <c r="AR923" s="2">
        <f t="shared" ca="1" si="910"/>
        <v>939327.14209218544</v>
      </c>
      <c r="AS923" s="2">
        <f t="shared" ca="1" si="911"/>
        <v>1061641.6217651984</v>
      </c>
      <c r="AT923" s="2">
        <f t="shared" ca="1" si="912"/>
        <v>1193477.5625430469</v>
      </c>
      <c r="AU923" s="2">
        <f t="shared" ca="1" si="913"/>
        <v>1335576.1540364232</v>
      </c>
      <c r="AV923" s="2">
        <f t="shared" ca="1" si="914"/>
        <v>2241841.5505917622</v>
      </c>
      <c r="AW923" s="2">
        <f t="shared" ca="1" si="915"/>
        <v>2633823.2354287142</v>
      </c>
      <c r="AX923" s="2">
        <f t="shared" ca="1" si="916"/>
        <v>2978862.8297032584</v>
      </c>
      <c r="AY923" s="2">
        <f t="shared" ca="1" si="917"/>
        <v>3350761.7221189234</v>
      </c>
      <c r="AZ923" s="2">
        <f t="shared" ca="1" si="918"/>
        <v>3751610.7506798208</v>
      </c>
      <c r="BA923" s="2">
        <f t="shared" ca="1" si="919"/>
        <v>64394593.625811316</v>
      </c>
      <c r="BB923" s="2">
        <f t="shared" ca="1" si="920"/>
        <v>1287891.8725162263</v>
      </c>
      <c r="BC923" s="2">
        <f t="shared" ca="1" si="921"/>
        <v>36100391.386694103</v>
      </c>
      <c r="BD923" s="2">
        <f t="shared" ca="1" si="922"/>
        <v>-19629469.843009025</v>
      </c>
      <c r="BE923" s="2">
        <f t="shared" ca="1" si="923"/>
        <v>2241841.5505917622</v>
      </c>
      <c r="BF923" s="2">
        <f t="shared" ca="1" si="924"/>
        <v>2633823.2354287142</v>
      </c>
      <c r="BG923" s="2">
        <f t="shared" ca="1" si="925"/>
        <v>2978862.8297032584</v>
      </c>
      <c r="BH923" s="2">
        <f t="shared" ca="1" si="926"/>
        <v>3350761.7221189234</v>
      </c>
      <c r="BI923" s="2">
        <f t="shared" ca="1" si="927"/>
        <v>39852002.137373924</v>
      </c>
      <c r="BJ923" s="2">
        <f t="shared" ca="1" si="928"/>
        <v>0.24700869267226233</v>
      </c>
      <c r="BK923" s="2">
        <f t="shared" ca="1" si="929"/>
        <v>11334703.797288958</v>
      </c>
    </row>
    <row r="924" spans="1:63" x14ac:dyDescent="0.3">
      <c r="A924" s="2">
        <v>923</v>
      </c>
      <c r="B924" s="2">
        <f t="shared" ca="1" si="868"/>
        <v>0.8985244250024611</v>
      </c>
      <c r="C924" s="2">
        <f t="shared" ca="1" si="869"/>
        <v>7.5494990011164482</v>
      </c>
      <c r="D924" s="2">
        <f t="shared" ca="1" si="870"/>
        <v>0.78216807026326629</v>
      </c>
      <c r="E924" s="2">
        <f t="shared" ca="1" si="871"/>
        <v>7.8399516233839615</v>
      </c>
      <c r="F924" s="2">
        <f t="shared" ca="1" si="872"/>
        <v>5.9634158753886002E-2</v>
      </c>
      <c r="G924" s="2">
        <f t="shared" ca="1" si="873"/>
        <v>-6.7355623331728162E-3</v>
      </c>
      <c r="H924" s="2">
        <f t="shared" ca="1" si="874"/>
        <v>-6.7355623331728162E-3</v>
      </c>
      <c r="I924" s="2">
        <f t="shared" ca="1" si="875"/>
        <v>0.51445901024579255</v>
      </c>
      <c r="J924" s="2">
        <f t="shared" ca="1" si="876"/>
        <v>1.0181256511618362E-2</v>
      </c>
      <c r="K924" s="2">
        <f t="shared" ca="1" si="877"/>
        <v>1.0181256511618362E-2</v>
      </c>
      <c r="L924" s="2">
        <f t="shared" ca="1" si="878"/>
        <v>0.41567139146199605</v>
      </c>
      <c r="M924" s="2">
        <f t="shared" ca="1" si="879"/>
        <v>-4.2595943477790948E-3</v>
      </c>
      <c r="N924" s="2">
        <f t="shared" ca="1" si="880"/>
        <v>-4.2595943477790948E-3</v>
      </c>
      <c r="O924" s="2">
        <f t="shared" si="881"/>
        <v>6000000</v>
      </c>
      <c r="P924" s="2">
        <f t="shared" ca="1" si="882"/>
        <v>45296994.00669869</v>
      </c>
      <c r="Q924" s="2">
        <f t="shared" ca="1" si="883"/>
        <v>1132424.8501674673</v>
      </c>
      <c r="R924" s="2">
        <f t="shared" ca="1" si="884"/>
        <v>27178196.404019214</v>
      </c>
      <c r="S924" s="2">
        <f t="shared" ca="1" si="885"/>
        <v>18118797.602679476</v>
      </c>
      <c r="T924" s="2">
        <f t="shared" ca="1" si="886"/>
        <v>49787020.282611042</v>
      </c>
      <c r="U924" s="2">
        <f t="shared" ca="1" si="887"/>
        <v>49451676.704114571</v>
      </c>
      <c r="V924" s="2">
        <f t="shared" ca="1" si="888"/>
        <v>49118591.853194095</v>
      </c>
      <c r="W924" s="2">
        <f t="shared" ca="1" si="889"/>
        <v>48787750.516049229</v>
      </c>
      <c r="X924" s="2">
        <f t="shared" ca="1" si="890"/>
        <v>48459137.581353091</v>
      </c>
      <c r="Y924" s="2">
        <f t="shared" ca="1" si="891"/>
        <v>0.12509062825580919</v>
      </c>
      <c r="Z924" s="2">
        <f t="shared" ca="1" si="892"/>
        <v>0.12712687955813284</v>
      </c>
      <c r="AA924" s="2">
        <f t="shared" ca="1" si="893"/>
        <v>6227889.6461365297</v>
      </c>
      <c r="AB924" s="2">
        <f t="shared" ca="1" si="894"/>
        <v>6286637.3483116971</v>
      </c>
      <c r="AC924" s="2">
        <f t="shared" ca="1" si="895"/>
        <v>6244293.3105860911</v>
      </c>
      <c r="AD924" s="2">
        <f t="shared" ca="1" si="896"/>
        <v>6202234.483766024</v>
      </c>
      <c r="AE924" s="2">
        <f t="shared" ca="1" si="897"/>
        <v>6160458.9467956629</v>
      </c>
      <c r="AF924" s="2">
        <f t="shared" ca="1" si="898"/>
        <v>995740.40565222083</v>
      </c>
      <c r="AG924" s="2">
        <f t="shared" ca="1" si="899"/>
        <v>989033.53408229141</v>
      </c>
      <c r="AH924" s="2">
        <f t="shared" ca="1" si="900"/>
        <v>982371.83706388192</v>
      </c>
      <c r="AI924" s="2">
        <f t="shared" ca="1" si="901"/>
        <v>975755.01032098464</v>
      </c>
      <c r="AJ924" s="2">
        <f t="shared" ca="1" si="902"/>
        <v>969182.75162706187</v>
      </c>
      <c r="AK924" s="2">
        <f t="shared" ca="1" si="903"/>
        <v>0</v>
      </c>
      <c r="AL924" s="2">
        <f t="shared" ca="1" si="904"/>
        <v>0</v>
      </c>
      <c r="AM924" s="2">
        <f t="shared" ca="1" si="905"/>
        <v>0</v>
      </c>
      <c r="AN924" s="2">
        <f t="shared" ca="1" si="906"/>
        <v>0</v>
      </c>
      <c r="AO924" s="2">
        <f t="shared" ca="1" si="907"/>
        <v>0</v>
      </c>
      <c r="AP924" s="2">
        <f t="shared" ca="1" si="908"/>
        <v>2446037.6763617294</v>
      </c>
      <c r="AQ924" s="2">
        <f t="shared" ca="1" si="909"/>
        <v>724389.00667187059</v>
      </c>
      <c r="AR924" s="2">
        <f t="shared" ca="1" si="910"/>
        <v>741407.19584559579</v>
      </c>
      <c r="AS924" s="2">
        <f t="shared" ca="1" si="911"/>
        <v>732129.78726172482</v>
      </c>
      <c r="AT924" s="2">
        <f t="shared" ca="1" si="912"/>
        <v>722914.8672416606</v>
      </c>
      <c r="AU924" s="2">
        <f t="shared" ca="1" si="913"/>
        <v>713762.01488978672</v>
      </c>
      <c r="AV924" s="2">
        <f t="shared" ca="1" si="914"/>
        <v>2061722.5574507089</v>
      </c>
      <c r="AW924" s="2">
        <f t="shared" ca="1" si="915"/>
        <v>2110158.9420220805</v>
      </c>
      <c r="AX924" s="2">
        <f t="shared" ca="1" si="916"/>
        <v>2083754.0098987557</v>
      </c>
      <c r="AY924" s="2">
        <f t="shared" ca="1" si="917"/>
        <v>2057526.9298416497</v>
      </c>
      <c r="AZ924" s="2">
        <f t="shared" ca="1" si="918"/>
        <v>2031476.503917085</v>
      </c>
      <c r="BA924" s="2">
        <f t="shared" ca="1" si="919"/>
        <v>48297700.120720908</v>
      </c>
      <c r="BB924" s="2">
        <f t="shared" ca="1" si="920"/>
        <v>965954.00241441815</v>
      </c>
      <c r="BC924" s="2">
        <f t="shared" ca="1" si="921"/>
        <v>20153549.714287277</v>
      </c>
      <c r="BD924" s="2">
        <f t="shared" ca="1" si="922"/>
        <v>-19751222.452846944</v>
      </c>
      <c r="BE924" s="2">
        <f t="shared" ca="1" si="923"/>
        <v>2061722.5574507089</v>
      </c>
      <c r="BF924" s="2">
        <f t="shared" ca="1" si="924"/>
        <v>2110158.9420220805</v>
      </c>
      <c r="BG924" s="2">
        <f t="shared" ca="1" si="925"/>
        <v>2083754.0098987557</v>
      </c>
      <c r="BH924" s="2">
        <f t="shared" ca="1" si="926"/>
        <v>2057526.9298416497</v>
      </c>
      <c r="BI924" s="2">
        <f t="shared" ca="1" si="927"/>
        <v>22185026.218204364</v>
      </c>
      <c r="BJ924" s="2">
        <f t="shared" ca="1" si="928"/>
        <v>0.10814127871983881</v>
      </c>
      <c r="BK924" s="2">
        <f t="shared" ca="1" si="929"/>
        <v>-849042.77430037037</v>
      </c>
    </row>
    <row r="925" spans="1:63" x14ac:dyDescent="0.3">
      <c r="A925" s="2">
        <v>924</v>
      </c>
      <c r="B925" s="2">
        <f t="shared" ca="1" si="868"/>
        <v>0.98829656149286216</v>
      </c>
      <c r="C925" s="2">
        <f t="shared" ca="1" si="869"/>
        <v>7.8470069380191516</v>
      </c>
      <c r="D925" s="2">
        <f t="shared" ca="1" si="870"/>
        <v>0.10042082386279549</v>
      </c>
      <c r="E925" s="2">
        <f t="shared" ca="1" si="871"/>
        <v>6.9481535983628726</v>
      </c>
      <c r="F925" s="2">
        <f t="shared" ca="1" si="872"/>
        <v>3.2607999934667009E-2</v>
      </c>
      <c r="G925" s="2">
        <f t="shared" ca="1" si="873"/>
        <v>-1.5313237177809219E-2</v>
      </c>
      <c r="H925" s="2">
        <f t="shared" ca="1" si="874"/>
        <v>-1.5313237177809219E-2</v>
      </c>
      <c r="I925" s="2">
        <f t="shared" ca="1" si="875"/>
        <v>0.7113421484634882</v>
      </c>
      <c r="J925" s="2">
        <f t="shared" ca="1" si="876"/>
        <v>1.2786549571361659E-2</v>
      </c>
      <c r="K925" s="2">
        <f t="shared" ca="1" si="877"/>
        <v>1.2786549571361659E-2</v>
      </c>
      <c r="L925" s="2">
        <f t="shared" ca="1" si="878"/>
        <v>0.89818901814936247</v>
      </c>
      <c r="M925" s="2">
        <f t="shared" ca="1" si="879"/>
        <v>2.5425998799337192E-2</v>
      </c>
      <c r="N925" s="2">
        <f t="shared" ca="1" si="880"/>
        <v>2.5425998799337192E-2</v>
      </c>
      <c r="O925" s="2">
        <f t="shared" si="881"/>
        <v>6000000</v>
      </c>
      <c r="P925" s="2">
        <f t="shared" ca="1" si="882"/>
        <v>47082041.628114909</v>
      </c>
      <c r="Q925" s="2">
        <f t="shared" ca="1" si="883"/>
        <v>1177051.0407028727</v>
      </c>
      <c r="R925" s="2">
        <f t="shared" ca="1" si="884"/>
        <v>28249224.976868946</v>
      </c>
      <c r="S925" s="2">
        <f t="shared" ca="1" si="885"/>
        <v>18832816.651245963</v>
      </c>
      <c r="T925" s="2">
        <f t="shared" ca="1" si="886"/>
        <v>51271299.939966865</v>
      </c>
      <c r="U925" s="2">
        <f t="shared" ca="1" si="887"/>
        <v>50486170.363571554</v>
      </c>
      <c r="V925" s="2">
        <f t="shared" ca="1" si="888"/>
        <v>49713063.6625949</v>
      </c>
      <c r="W925" s="2">
        <f t="shared" ca="1" si="889"/>
        <v>48951795.727894053</v>
      </c>
      <c r="X925" s="2">
        <f t="shared" ca="1" si="890"/>
        <v>48202185.269633144</v>
      </c>
      <c r="Y925" s="2">
        <f t="shared" ca="1" si="891"/>
        <v>0.12639327478568083</v>
      </c>
      <c r="Z925" s="2">
        <f t="shared" ca="1" si="892"/>
        <v>0.12895058469995316</v>
      </c>
      <c r="AA925" s="2">
        <f t="shared" ca="1" si="893"/>
        <v>6480347.5019312929</v>
      </c>
      <c r="AB925" s="2">
        <f t="shared" ca="1" si="894"/>
        <v>6510221.1876439983</v>
      </c>
      <c r="AC925" s="2">
        <f t="shared" ca="1" si="895"/>
        <v>6410528.6265176069</v>
      </c>
      <c r="AD925" s="2">
        <f t="shared" ca="1" si="896"/>
        <v>6312362.6812246069</v>
      </c>
      <c r="AE925" s="2">
        <f t="shared" ca="1" si="897"/>
        <v>6215699.9743346628</v>
      </c>
      <c r="AF925" s="2">
        <f t="shared" ca="1" si="898"/>
        <v>1025425.9987993373</v>
      </c>
      <c r="AG925" s="2">
        <f t="shared" ca="1" si="899"/>
        <v>1009723.4072714311</v>
      </c>
      <c r="AH925" s="2">
        <f t="shared" ca="1" si="900"/>
        <v>994261.273251898</v>
      </c>
      <c r="AI925" s="2">
        <f t="shared" ca="1" si="901"/>
        <v>979035.91455788107</v>
      </c>
      <c r="AJ925" s="2">
        <f t="shared" ca="1" si="902"/>
        <v>964043.7053926629</v>
      </c>
      <c r="AK925" s="2">
        <f t="shared" ca="1" si="903"/>
        <v>0</v>
      </c>
      <c r="AL925" s="2">
        <f t="shared" ca="1" si="904"/>
        <v>0</v>
      </c>
      <c r="AM925" s="2">
        <f t="shared" ca="1" si="905"/>
        <v>0</v>
      </c>
      <c r="AN925" s="2">
        <f t="shared" ca="1" si="906"/>
        <v>0</v>
      </c>
      <c r="AO925" s="2">
        <f t="shared" ca="1" si="907"/>
        <v>0</v>
      </c>
      <c r="AP925" s="2">
        <f t="shared" ca="1" si="908"/>
        <v>2542430.2479182049</v>
      </c>
      <c r="AQ925" s="2">
        <f t="shared" ca="1" si="909"/>
        <v>757247.72635557526</v>
      </c>
      <c r="AR925" s="2">
        <f t="shared" ca="1" si="910"/>
        <v>769097.55843813426</v>
      </c>
      <c r="AS925" s="2">
        <f t="shared" ca="1" si="911"/>
        <v>747197.64739035117</v>
      </c>
      <c r="AT925" s="2">
        <f t="shared" ca="1" si="912"/>
        <v>725633.09487461555</v>
      </c>
      <c r="AU925" s="2">
        <f t="shared" ca="1" si="913"/>
        <v>704398.7654661868</v>
      </c>
      <c r="AV925" s="2">
        <f t="shared" ca="1" si="914"/>
        <v>2155243.528858176</v>
      </c>
      <c r="AW925" s="2">
        <f t="shared" ca="1" si="915"/>
        <v>2188969.9740162282</v>
      </c>
      <c r="AX925" s="2">
        <f t="shared" ca="1" si="916"/>
        <v>2126639.4579571527</v>
      </c>
      <c r="AY925" s="2">
        <f t="shared" ca="1" si="917"/>
        <v>2065263.4238739056</v>
      </c>
      <c r="AZ925" s="2">
        <f t="shared" ca="1" si="918"/>
        <v>2004827.2555576083</v>
      </c>
      <c r="BA925" s="2">
        <f t="shared" ca="1" si="919"/>
        <v>43187638.143017404</v>
      </c>
      <c r="BB925" s="2">
        <f t="shared" ca="1" si="920"/>
        <v>863752.7628603481</v>
      </c>
      <c r="BC925" s="2">
        <f t="shared" ca="1" si="921"/>
        <v>14074660.403288109</v>
      </c>
      <c r="BD925" s="2">
        <f t="shared" ca="1" si="922"/>
        <v>-20509867.691948835</v>
      </c>
      <c r="BE925" s="2">
        <f t="shared" ca="1" si="923"/>
        <v>2155243.528858176</v>
      </c>
      <c r="BF925" s="2">
        <f t="shared" ca="1" si="924"/>
        <v>2188969.9740162282</v>
      </c>
      <c r="BG925" s="2">
        <f t="shared" ca="1" si="925"/>
        <v>2126639.4579571527</v>
      </c>
      <c r="BH925" s="2">
        <f t="shared" ca="1" si="926"/>
        <v>2065263.4238739056</v>
      </c>
      <c r="BI925" s="2">
        <f t="shared" ca="1" si="927"/>
        <v>16079487.658845717</v>
      </c>
      <c r="BJ925" s="2">
        <f t="shared" ca="1" si="928"/>
        <v>4.5699057954783129E-2</v>
      </c>
      <c r="BK925" s="2">
        <f t="shared" ca="1" si="929"/>
        <v>-4890364.3244229313</v>
      </c>
    </row>
    <row r="926" spans="1:63" x14ac:dyDescent="0.3">
      <c r="A926" s="2">
        <v>925</v>
      </c>
      <c r="B926" s="2">
        <f t="shared" ca="1" si="868"/>
        <v>0.19167622277826712</v>
      </c>
      <c r="C926" s="2">
        <f t="shared" ca="1" si="869"/>
        <v>6.6191546216871311</v>
      </c>
      <c r="D926" s="2">
        <f t="shared" ca="1" si="870"/>
        <v>0.80857273032829158</v>
      </c>
      <c r="E926" s="2">
        <f t="shared" ca="1" si="871"/>
        <v>7.8812475944746421</v>
      </c>
      <c r="F926" s="2">
        <f t="shared" ca="1" si="872"/>
        <v>0.89538150412620854</v>
      </c>
      <c r="G926" s="2">
        <f t="shared" ca="1" si="873"/>
        <v>7.7669988229568193E-2</v>
      </c>
      <c r="H926" s="2">
        <f t="shared" ca="1" si="874"/>
        <v>7.7669988229568193E-2</v>
      </c>
      <c r="I926" s="2">
        <f t="shared" ca="1" si="875"/>
        <v>0.99743087202162672</v>
      </c>
      <c r="J926" s="2">
        <f t="shared" ca="1" si="876"/>
        <v>2.3991179837133818E-2</v>
      </c>
      <c r="K926" s="2">
        <f t="shared" ca="1" si="877"/>
        <v>2.3991179837133818E-2</v>
      </c>
      <c r="L926" s="2">
        <f t="shared" ca="1" si="878"/>
        <v>0.8419947276673474</v>
      </c>
      <c r="M926" s="2">
        <f t="shared" ca="1" si="879"/>
        <v>2.005379633772119E-2</v>
      </c>
      <c r="N926" s="2">
        <f t="shared" ca="1" si="880"/>
        <v>2.005379633772119E-2</v>
      </c>
      <c r="O926" s="2">
        <f t="shared" si="881"/>
        <v>6000000</v>
      </c>
      <c r="P926" s="2">
        <f t="shared" ca="1" si="882"/>
        <v>39714927.73012279</v>
      </c>
      <c r="Q926" s="2">
        <f t="shared" ca="1" si="883"/>
        <v>992873.19325306977</v>
      </c>
      <c r="R926" s="2">
        <f t="shared" ca="1" si="884"/>
        <v>23828956.638073672</v>
      </c>
      <c r="S926" s="2">
        <f t="shared" ca="1" si="885"/>
        <v>15885971.092049116</v>
      </c>
      <c r="T926" s="2">
        <f t="shared" ca="1" si="886"/>
        <v>51002689.81688606</v>
      </c>
      <c r="U926" s="2">
        <f t="shared" ca="1" si="887"/>
        <v>54964068.134639919</v>
      </c>
      <c r="V926" s="2">
        <f t="shared" ca="1" si="888"/>
        <v>59233126.659706585</v>
      </c>
      <c r="W926" s="2">
        <f t="shared" ca="1" si="889"/>
        <v>63833762.910166517</v>
      </c>
      <c r="X926" s="2">
        <f t="shared" ca="1" si="890"/>
        <v>68791730.524048194</v>
      </c>
      <c r="Y926" s="2">
        <f t="shared" ca="1" si="891"/>
        <v>0.13199558991856691</v>
      </c>
      <c r="Z926" s="2">
        <f t="shared" ca="1" si="892"/>
        <v>0.13679382588599368</v>
      </c>
      <c r="AA926" s="2">
        <f t="shared" ca="1" si="893"/>
        <v>6732130.1298135612</v>
      </c>
      <c r="AB926" s="2">
        <f t="shared" ca="1" si="894"/>
        <v>7518745.1663958263</v>
      </c>
      <c r="AC926" s="2">
        <f t="shared" ca="1" si="895"/>
        <v>8102726.0149709126</v>
      </c>
      <c r="AD926" s="2">
        <f t="shared" ca="1" si="896"/>
        <v>8732064.6491811201</v>
      </c>
      <c r="AE926" s="2">
        <f t="shared" ca="1" si="897"/>
        <v>9410284.0077028442</v>
      </c>
      <c r="AF926" s="2">
        <f t="shared" ca="1" si="898"/>
        <v>1020053.7963377212</v>
      </c>
      <c r="AG926" s="2">
        <f t="shared" ca="1" si="899"/>
        <v>1099281.3626927985</v>
      </c>
      <c r="AH926" s="2">
        <f t="shared" ca="1" si="900"/>
        <v>1184662.5331941317</v>
      </c>
      <c r="AI926" s="2">
        <f t="shared" ca="1" si="901"/>
        <v>1276675.2582033304</v>
      </c>
      <c r="AJ926" s="2">
        <f t="shared" ca="1" si="902"/>
        <v>1375834.610480964</v>
      </c>
      <c r="AK926" s="2">
        <f t="shared" ca="1" si="903"/>
        <v>0</v>
      </c>
      <c r="AL926" s="2">
        <f t="shared" ca="1" si="904"/>
        <v>39613.783177538593</v>
      </c>
      <c r="AM926" s="2">
        <f t="shared" ca="1" si="905"/>
        <v>42690.585250666663</v>
      </c>
      <c r="AN926" s="2">
        <f t="shared" ca="1" si="906"/>
        <v>46006.362504599318</v>
      </c>
      <c r="AO926" s="2">
        <f t="shared" ca="1" si="907"/>
        <v>49579.676138816772</v>
      </c>
      <c r="AP926" s="2">
        <f t="shared" ca="1" si="908"/>
        <v>2144606.0974266306</v>
      </c>
      <c r="AQ926" s="2">
        <f t="shared" ca="1" si="909"/>
        <v>927542.26137279451</v>
      </c>
      <c r="AR926" s="2">
        <f t="shared" ca="1" si="910"/>
        <v>1111463.0036318633</v>
      </c>
      <c r="AS926" s="2">
        <f t="shared" ca="1" si="911"/>
        <v>1241098.9199310392</v>
      </c>
      <c r="AT926" s="2">
        <f t="shared" ca="1" si="912"/>
        <v>1380803.6563233014</v>
      </c>
      <c r="AU926" s="2">
        <f t="shared" ca="1" si="913"/>
        <v>1531359.2579467648</v>
      </c>
      <c r="AV926" s="2">
        <f t="shared" ca="1" si="914"/>
        <v>2639927.9746764153</v>
      </c>
      <c r="AW926" s="2">
        <f t="shared" ca="1" si="915"/>
        <v>3123780.9194669947</v>
      </c>
      <c r="AX926" s="2">
        <f t="shared" ca="1" si="916"/>
        <v>3489667.8791684452</v>
      </c>
      <c r="AY926" s="2">
        <f t="shared" ca="1" si="917"/>
        <v>3883973.2747232579</v>
      </c>
      <c r="AZ926" s="2">
        <f t="shared" ca="1" si="918"/>
        <v>4308904.365709668</v>
      </c>
      <c r="BA926" s="2">
        <f t="shared" ca="1" si="919"/>
        <v>74164778.199031234</v>
      </c>
      <c r="BB926" s="2">
        <f t="shared" ca="1" si="920"/>
        <v>1483295.5639806248</v>
      </c>
      <c r="BC926" s="2">
        <f t="shared" ca="1" si="921"/>
        <v>48852525.996976942</v>
      </c>
      <c r="BD926" s="2">
        <f t="shared" ca="1" si="922"/>
        <v>-17378844.285302185</v>
      </c>
      <c r="BE926" s="2">
        <f t="shared" ca="1" si="923"/>
        <v>2639927.9746764153</v>
      </c>
      <c r="BF926" s="2">
        <f t="shared" ca="1" si="924"/>
        <v>3123780.9194669947</v>
      </c>
      <c r="BG926" s="2">
        <f t="shared" ca="1" si="925"/>
        <v>3489667.8791684452</v>
      </c>
      <c r="BH926" s="2">
        <f t="shared" ca="1" si="926"/>
        <v>3883973.2747232579</v>
      </c>
      <c r="BI926" s="2">
        <f t="shared" ca="1" si="927"/>
        <v>53161430.362686612</v>
      </c>
      <c r="BJ926" s="2">
        <f t="shared" ca="1" si="928"/>
        <v>0.36385291184619684</v>
      </c>
      <c r="BK926" s="2">
        <f t="shared" ca="1" si="929"/>
        <v>22585928.463477217</v>
      </c>
    </row>
    <row r="927" spans="1:63" x14ac:dyDescent="0.3">
      <c r="A927" s="2">
        <v>926</v>
      </c>
      <c r="B927" s="2">
        <f t="shared" ca="1" si="868"/>
        <v>0.27794273904325562</v>
      </c>
      <c r="C927" s="2">
        <f t="shared" ca="1" si="869"/>
        <v>6.7455772784135197</v>
      </c>
      <c r="D927" s="2">
        <f t="shared" ca="1" si="870"/>
        <v>0.6731588411534728</v>
      </c>
      <c r="E927" s="2">
        <f t="shared" ca="1" si="871"/>
        <v>7.6914937738687135</v>
      </c>
      <c r="F927" s="2">
        <f t="shared" ca="1" si="872"/>
        <v>0.70550440821602356</v>
      </c>
      <c r="G927" s="2">
        <f t="shared" ca="1" si="873"/>
        <v>5.6208955396348667E-2</v>
      </c>
      <c r="H927" s="2">
        <f t="shared" ca="1" si="874"/>
        <v>5.6208955396348667E-2</v>
      </c>
      <c r="I927" s="2">
        <f t="shared" ca="1" si="875"/>
        <v>0.47156757285386608</v>
      </c>
      <c r="J927" s="2">
        <f t="shared" ca="1" si="876"/>
        <v>9.6433501647418124E-3</v>
      </c>
      <c r="K927" s="2">
        <f t="shared" ca="1" si="877"/>
        <v>9.6433501647418124E-3</v>
      </c>
      <c r="L927" s="2">
        <f t="shared" ca="1" si="878"/>
        <v>0.70916150665243693</v>
      </c>
      <c r="M927" s="2">
        <f t="shared" ca="1" si="879"/>
        <v>1.1018736375513786E-2</v>
      </c>
      <c r="N927" s="2">
        <f t="shared" ca="1" si="880"/>
        <v>1.1018736375513786E-2</v>
      </c>
      <c r="O927" s="2">
        <f t="shared" si="881"/>
        <v>6000000</v>
      </c>
      <c r="P927" s="2">
        <f t="shared" ca="1" si="882"/>
        <v>40473463.670481116</v>
      </c>
      <c r="Q927" s="2">
        <f t="shared" ca="1" si="883"/>
        <v>1011836.5917620279</v>
      </c>
      <c r="R927" s="2">
        <f t="shared" ca="1" si="884"/>
        <v>24284078.202288669</v>
      </c>
      <c r="S927" s="2">
        <f t="shared" ca="1" si="885"/>
        <v>16189385.468192447</v>
      </c>
      <c r="T927" s="2">
        <f t="shared" ca="1" si="886"/>
        <v>50550936.818775691</v>
      </c>
      <c r="U927" s="2">
        <f t="shared" ca="1" si="887"/>
        <v>53392352.171665899</v>
      </c>
      <c r="V927" s="2">
        <f t="shared" ca="1" si="888"/>
        <v>56393480.513389215</v>
      </c>
      <c r="W927" s="2">
        <f t="shared" ca="1" si="889"/>
        <v>59563299.144211173</v>
      </c>
      <c r="X927" s="2">
        <f t="shared" ca="1" si="890"/>
        <v>62911289.969067514</v>
      </c>
      <c r="Y927" s="2">
        <f t="shared" ca="1" si="891"/>
        <v>0.12482167508237091</v>
      </c>
      <c r="Z927" s="2">
        <f t="shared" ca="1" si="892"/>
        <v>0.12675034511531927</v>
      </c>
      <c r="AA927" s="2">
        <f t="shared" ca="1" si="893"/>
        <v>6309852.6107026795</v>
      </c>
      <c r="AB927" s="2">
        <f t="shared" ca="1" si="894"/>
        <v>6767499.0642773192</v>
      </c>
      <c r="AC927" s="2">
        <f t="shared" ca="1" si="895"/>
        <v>7147893.1173261153</v>
      </c>
      <c r="AD927" s="2">
        <f t="shared" ca="1" si="896"/>
        <v>7549668.7227357673</v>
      </c>
      <c r="AE927" s="2">
        <f t="shared" ca="1" si="897"/>
        <v>7974027.7152292309</v>
      </c>
      <c r="AF927" s="2">
        <f t="shared" ca="1" si="898"/>
        <v>1011018.7363755138</v>
      </c>
      <c r="AG927" s="2">
        <f t="shared" ca="1" si="899"/>
        <v>1067847.0434333179</v>
      </c>
      <c r="AH927" s="2">
        <f t="shared" ca="1" si="900"/>
        <v>1127869.6102677842</v>
      </c>
      <c r="AI927" s="2">
        <f t="shared" ca="1" si="901"/>
        <v>1191265.9828842236</v>
      </c>
      <c r="AJ927" s="2">
        <f t="shared" ca="1" si="902"/>
        <v>1258225.7993813504</v>
      </c>
      <c r="AK927" s="2">
        <f t="shared" ca="1" si="903"/>
        <v>0</v>
      </c>
      <c r="AL927" s="2">
        <f t="shared" ca="1" si="904"/>
        <v>28414.153528902083</v>
      </c>
      <c r="AM927" s="2">
        <f t="shared" ca="1" si="905"/>
        <v>30011.283417233153</v>
      </c>
      <c r="AN927" s="2">
        <f t="shared" ca="1" si="906"/>
        <v>31698.186308219581</v>
      </c>
      <c r="AO927" s="2">
        <f t="shared" ca="1" si="907"/>
        <v>33479.908248563406</v>
      </c>
      <c r="AP927" s="2">
        <f t="shared" ca="1" si="908"/>
        <v>2185567.0382059803</v>
      </c>
      <c r="AQ927" s="2">
        <f t="shared" ca="1" si="909"/>
        <v>809449.37739150831</v>
      </c>
      <c r="AR927" s="2">
        <f t="shared" ca="1" si="910"/>
        <v>913662.09548588551</v>
      </c>
      <c r="AS927" s="2">
        <f t="shared" ca="1" si="911"/>
        <v>996958.68190161115</v>
      </c>
      <c r="AT927" s="2">
        <f t="shared" ca="1" si="912"/>
        <v>1084937.2824278465</v>
      </c>
      <c r="AU927" s="2">
        <f t="shared" ca="1" si="913"/>
        <v>1177861.0681868941</v>
      </c>
      <c r="AV927" s="2">
        <f t="shared" ca="1" si="914"/>
        <v>2303817.4587296778</v>
      </c>
      <c r="AW927" s="2">
        <f t="shared" ca="1" si="915"/>
        <v>2572008.7336232336</v>
      </c>
      <c r="AX927" s="2">
        <f t="shared" ca="1" si="916"/>
        <v>2807486.5035335058</v>
      </c>
      <c r="AY927" s="2">
        <f t="shared" ca="1" si="917"/>
        <v>3056200.2329094969</v>
      </c>
      <c r="AZ927" s="2">
        <f t="shared" ca="1" si="918"/>
        <v>3318893.9012064431</v>
      </c>
      <c r="BA927" s="2">
        <f t="shared" ca="1" si="919"/>
        <v>61332184.524342194</v>
      </c>
      <c r="BB927" s="2">
        <f t="shared" ca="1" si="920"/>
        <v>1226643.6904868439</v>
      </c>
      <c r="BC927" s="2">
        <f t="shared" ca="1" si="921"/>
        <v>35821462.631566681</v>
      </c>
      <c r="BD927" s="2">
        <f t="shared" ca="1" si="922"/>
        <v>-17701222.059954476</v>
      </c>
      <c r="BE927" s="2">
        <f t="shared" ca="1" si="923"/>
        <v>2303817.4587296778</v>
      </c>
      <c r="BF927" s="2">
        <f t="shared" ca="1" si="924"/>
        <v>2572008.7336232336</v>
      </c>
      <c r="BG927" s="2">
        <f t="shared" ca="1" si="925"/>
        <v>2807486.5035335058</v>
      </c>
      <c r="BH927" s="2">
        <f t="shared" ca="1" si="926"/>
        <v>3056200.2329094969</v>
      </c>
      <c r="BI927" s="2">
        <f t="shared" ca="1" si="927"/>
        <v>39140356.532773122</v>
      </c>
      <c r="BJ927" s="2">
        <f t="shared" ca="1" si="928"/>
        <v>0.2717415719326941</v>
      </c>
      <c r="BK927" s="2">
        <f t="shared" ca="1" si="929"/>
        <v>12556020.806916814</v>
      </c>
    </row>
    <row r="928" spans="1:63" x14ac:dyDescent="0.3">
      <c r="A928" s="2">
        <v>927</v>
      </c>
      <c r="B928" s="2">
        <f t="shared" ca="1" si="868"/>
        <v>0.10475934058297875</v>
      </c>
      <c r="C928" s="2">
        <f t="shared" ca="1" si="869"/>
        <v>6.4577321063307203</v>
      </c>
      <c r="D928" s="2">
        <f t="shared" ca="1" si="870"/>
        <v>0.47379384564757154</v>
      </c>
      <c r="E928" s="2">
        <f t="shared" ca="1" si="871"/>
        <v>7.4734411596471269</v>
      </c>
      <c r="F928" s="2">
        <f t="shared" ca="1" si="872"/>
        <v>0.27972176620618172</v>
      </c>
      <c r="G928" s="2">
        <f t="shared" ca="1" si="873"/>
        <v>2.2489952503298088E-2</v>
      </c>
      <c r="H928" s="2">
        <f t="shared" ca="1" si="874"/>
        <v>2.2489952503298088E-2</v>
      </c>
      <c r="I928" s="2">
        <f t="shared" ca="1" si="875"/>
        <v>0.98456902777801247</v>
      </c>
      <c r="J928" s="2">
        <f t="shared" ca="1" si="876"/>
        <v>2.0794241079013578E-2</v>
      </c>
      <c r="K928" s="2">
        <f t="shared" ca="1" si="877"/>
        <v>2.0794241079013578E-2</v>
      </c>
      <c r="L928" s="2">
        <f t="shared" ca="1" si="878"/>
        <v>0.81839413213352996</v>
      </c>
      <c r="M928" s="2">
        <f t="shared" ca="1" si="879"/>
        <v>1.8185244103816355E-2</v>
      </c>
      <c r="N928" s="2">
        <f t="shared" ca="1" si="880"/>
        <v>1.8185244103816355E-2</v>
      </c>
      <c r="O928" s="2">
        <f t="shared" si="881"/>
        <v>6000000</v>
      </c>
      <c r="P928" s="2">
        <f t="shared" ca="1" si="882"/>
        <v>38746392.637984321</v>
      </c>
      <c r="Q928" s="2">
        <f t="shared" ca="1" si="883"/>
        <v>968659.81594960811</v>
      </c>
      <c r="R928" s="2">
        <f t="shared" ca="1" si="884"/>
        <v>23247835.582790591</v>
      </c>
      <c r="S928" s="2">
        <f t="shared" ca="1" si="885"/>
        <v>15498557.05519373</v>
      </c>
      <c r="T928" s="2">
        <f t="shared" ca="1" si="886"/>
        <v>50909262.205190822</v>
      </c>
      <c r="U928" s="2">
        <f t="shared" ca="1" si="887"/>
        <v>52054209.094163507</v>
      </c>
      <c r="V928" s="2">
        <f t="shared" ca="1" si="888"/>
        <v>53224905.784287989</v>
      </c>
      <c r="W928" s="2">
        <f t="shared" ca="1" si="889"/>
        <v>54421931.387369134</v>
      </c>
      <c r="X928" s="2">
        <f t="shared" ca="1" si="890"/>
        <v>55645878.03940881</v>
      </c>
      <c r="Y928" s="2">
        <f t="shared" ca="1" si="891"/>
        <v>0.13039712053950678</v>
      </c>
      <c r="Z928" s="2">
        <f t="shared" ca="1" si="892"/>
        <v>0.13455596875530951</v>
      </c>
      <c r="AA928" s="2">
        <f t="shared" ca="1" si="893"/>
        <v>6638421.2003476247</v>
      </c>
      <c r="AB928" s="2">
        <f t="shared" ca="1" si="894"/>
        <v>7004204.5324566131</v>
      </c>
      <c r="AC928" s="2">
        <f t="shared" ca="1" si="895"/>
        <v>7161728.7597149471</v>
      </c>
      <c r="AD928" s="2">
        <f t="shared" ca="1" si="896"/>
        <v>7322795.6993624391</v>
      </c>
      <c r="AE928" s="2">
        <f t="shared" ca="1" si="897"/>
        <v>7487485.0268324558</v>
      </c>
      <c r="AF928" s="2">
        <f t="shared" ca="1" si="898"/>
        <v>1018185.2441038165</v>
      </c>
      <c r="AG928" s="2">
        <f t="shared" ca="1" si="899"/>
        <v>1041084.1818832702</v>
      </c>
      <c r="AH928" s="2">
        <f t="shared" ca="1" si="900"/>
        <v>1064498.1156857598</v>
      </c>
      <c r="AI928" s="2">
        <f t="shared" ca="1" si="901"/>
        <v>1088438.6277473827</v>
      </c>
      <c r="AJ928" s="2">
        <f t="shared" ca="1" si="902"/>
        <v>1112917.5607881763</v>
      </c>
      <c r="AK928" s="2">
        <f t="shared" ca="1" si="903"/>
        <v>0</v>
      </c>
      <c r="AL928" s="2">
        <f t="shared" ca="1" si="904"/>
        <v>11449.468889726848</v>
      </c>
      <c r="AM928" s="2">
        <f t="shared" ca="1" si="905"/>
        <v>11706.966901244819</v>
      </c>
      <c r="AN928" s="2">
        <f t="shared" ca="1" si="906"/>
        <v>11970.256030811444</v>
      </c>
      <c r="AO928" s="2">
        <f t="shared" ca="1" si="907"/>
        <v>12239.466520396769</v>
      </c>
      <c r="AP928" s="2">
        <f t="shared" ca="1" si="908"/>
        <v>2092305.2024511532</v>
      </c>
      <c r="AQ928" s="2">
        <f t="shared" ca="1" si="909"/>
        <v>917261.99598609039</v>
      </c>
      <c r="AR928" s="2">
        <f t="shared" ca="1" si="910"/>
        <v>1006411.9385117694</v>
      </c>
      <c r="AS928" s="2">
        <f t="shared" ca="1" si="911"/>
        <v>1041280.6148102889</v>
      </c>
      <c r="AT928" s="2">
        <f t="shared" ca="1" si="912"/>
        <v>1076933.4859826148</v>
      </c>
      <c r="AU928" s="2">
        <f t="shared" ca="1" si="913"/>
        <v>1113388.1885342128</v>
      </c>
      <c r="AV928" s="2">
        <f t="shared" ca="1" si="914"/>
        <v>2610668.7578065651</v>
      </c>
      <c r="AW928" s="2">
        <f t="shared" ca="1" si="915"/>
        <v>2852953.7407206935</v>
      </c>
      <c r="AX928" s="2">
        <f t="shared" ca="1" si="916"/>
        <v>2951937.8598665004</v>
      </c>
      <c r="AY928" s="2">
        <f t="shared" ca="1" si="917"/>
        <v>3053148.1271504774</v>
      </c>
      <c r="AZ928" s="2">
        <f t="shared" ca="1" si="918"/>
        <v>3156634.6085385173</v>
      </c>
      <c r="BA928" s="2">
        <f t="shared" ca="1" si="919"/>
        <v>55957278.78177125</v>
      </c>
      <c r="BB928" s="2">
        <f t="shared" ca="1" si="920"/>
        <v>1119145.575635425</v>
      </c>
      <c r="BC928" s="2">
        <f t="shared" ca="1" si="921"/>
        <v>31590297.623345234</v>
      </c>
      <c r="BD928" s="2">
        <f t="shared" ca="1" si="922"/>
        <v>-16967216.871143337</v>
      </c>
      <c r="BE928" s="2">
        <f t="shared" ca="1" si="923"/>
        <v>2610668.7578065651</v>
      </c>
      <c r="BF928" s="2">
        <f t="shared" ca="1" si="924"/>
        <v>2852953.7407206935</v>
      </c>
      <c r="BG928" s="2">
        <f t="shared" ca="1" si="925"/>
        <v>2951937.8598665004</v>
      </c>
      <c r="BH928" s="2">
        <f t="shared" ca="1" si="926"/>
        <v>3053148.1271504774</v>
      </c>
      <c r="BI928" s="2">
        <f t="shared" ca="1" si="927"/>
        <v>34746932.231883749</v>
      </c>
      <c r="BJ928" s="2">
        <f t="shared" ca="1" si="928"/>
        <v>0.26979500973724857</v>
      </c>
      <c r="BK928" s="2">
        <f t="shared" ca="1" si="929"/>
        <v>11395899.026419647</v>
      </c>
    </row>
    <row r="929" spans="1:63" x14ac:dyDescent="0.3">
      <c r="A929" s="2">
        <v>928</v>
      </c>
      <c r="B929" s="2">
        <f t="shared" ca="1" si="868"/>
        <v>0.46346652669558219</v>
      </c>
      <c r="C929" s="2">
        <f t="shared" ca="1" si="869"/>
        <v>6.9627736252054087</v>
      </c>
      <c r="D929" s="2">
        <f t="shared" ca="1" si="870"/>
        <v>3.2816134647854045E-2</v>
      </c>
      <c r="E929" s="2">
        <f t="shared" ca="1" si="871"/>
        <v>6.7561879569685273</v>
      </c>
      <c r="F929" s="2">
        <f t="shared" ca="1" si="872"/>
        <v>9.708927322325589E-2</v>
      </c>
      <c r="G929" s="2">
        <f t="shared" ca="1" si="873"/>
        <v>1.0505004272111235E-3</v>
      </c>
      <c r="H929" s="2">
        <f t="shared" ca="1" si="874"/>
        <v>1.0505004272111235E-3</v>
      </c>
      <c r="I929" s="2">
        <f t="shared" ca="1" si="875"/>
        <v>0.86577273712991931</v>
      </c>
      <c r="J929" s="2">
        <f t="shared" ca="1" si="876"/>
        <v>1.5533143127502867E-2</v>
      </c>
      <c r="K929" s="2">
        <f t="shared" ca="1" si="877"/>
        <v>1.5533143127502867E-2</v>
      </c>
      <c r="L929" s="2">
        <f t="shared" ca="1" si="878"/>
        <v>0.22269397230638255</v>
      </c>
      <c r="M929" s="2">
        <f t="shared" ca="1" si="879"/>
        <v>-1.5262530426427001E-2</v>
      </c>
      <c r="N929" s="2">
        <f t="shared" ca="1" si="880"/>
        <v>-1.5262530426427001E-2</v>
      </c>
      <c r="O929" s="2">
        <f t="shared" si="881"/>
        <v>6000000</v>
      </c>
      <c r="P929" s="2">
        <f t="shared" ca="1" si="882"/>
        <v>41776641.751232453</v>
      </c>
      <c r="Q929" s="2">
        <f t="shared" ca="1" si="883"/>
        <v>1044416.0437808114</v>
      </c>
      <c r="R929" s="2">
        <f t="shared" ca="1" si="884"/>
        <v>25065985.050739471</v>
      </c>
      <c r="S929" s="2">
        <f t="shared" ca="1" si="885"/>
        <v>16710656.700492982</v>
      </c>
      <c r="T929" s="2">
        <f t="shared" ca="1" si="886"/>
        <v>49236873.478678651</v>
      </c>
      <c r="U929" s="2">
        <f t="shared" ca="1" si="887"/>
        <v>49288596.835302547</v>
      </c>
      <c r="V929" s="2">
        <f t="shared" ca="1" si="888"/>
        <v>49340374.527334675</v>
      </c>
      <c r="W929" s="2">
        <f t="shared" ca="1" si="889"/>
        <v>49392206.611854404</v>
      </c>
      <c r="X929" s="2">
        <f t="shared" ca="1" si="890"/>
        <v>49444093.146001063</v>
      </c>
      <c r="Y929" s="2">
        <f t="shared" ca="1" si="891"/>
        <v>0.12776657156375143</v>
      </c>
      <c r="Z929" s="2">
        <f t="shared" ca="1" si="892"/>
        <v>0.130873200189252</v>
      </c>
      <c r="AA929" s="2">
        <f t="shared" ca="1" si="893"/>
        <v>6290826.5188889708</v>
      </c>
      <c r="AB929" s="2">
        <f t="shared" ca="1" si="894"/>
        <v>6450556.400673883</v>
      </c>
      <c r="AC929" s="2">
        <f t="shared" ca="1" si="895"/>
        <v>6457332.712928541</v>
      </c>
      <c r="AD929" s="2">
        <f t="shared" ca="1" si="896"/>
        <v>6464116.1437021177</v>
      </c>
      <c r="AE929" s="2">
        <f t="shared" ca="1" si="897"/>
        <v>6470906.7004726194</v>
      </c>
      <c r="AF929" s="2">
        <f t="shared" ca="1" si="898"/>
        <v>984737.46957357309</v>
      </c>
      <c r="AG929" s="2">
        <f t="shared" ca="1" si="899"/>
        <v>985771.936706051</v>
      </c>
      <c r="AH929" s="2">
        <f t="shared" ca="1" si="900"/>
        <v>986807.49054669356</v>
      </c>
      <c r="AI929" s="2">
        <f t="shared" ca="1" si="901"/>
        <v>987844.13223708805</v>
      </c>
      <c r="AJ929" s="2">
        <f t="shared" ca="1" si="902"/>
        <v>988881.86292002129</v>
      </c>
      <c r="AK929" s="2">
        <f t="shared" ca="1" si="903"/>
        <v>0</v>
      </c>
      <c r="AL929" s="2">
        <f t="shared" ca="1" si="904"/>
        <v>517.23356623895472</v>
      </c>
      <c r="AM929" s="2">
        <f t="shared" ca="1" si="905"/>
        <v>517.77692032128573</v>
      </c>
      <c r="AN929" s="2">
        <f t="shared" ca="1" si="906"/>
        <v>518.32084519729017</v>
      </c>
      <c r="AO929" s="2">
        <f t="shared" ca="1" si="907"/>
        <v>518.86534146659073</v>
      </c>
      <c r="AP929" s="2">
        <f t="shared" ca="1" si="908"/>
        <v>2255938.6545665525</v>
      </c>
      <c r="AQ929" s="2">
        <f t="shared" ca="1" si="909"/>
        <v>793039.10263469978</v>
      </c>
      <c r="AR929" s="2">
        <f t="shared" ca="1" si="910"/>
        <v>834299.91044433264</v>
      </c>
      <c r="AS929" s="2">
        <f t="shared" ca="1" si="911"/>
        <v>835792.50763197662</v>
      </c>
      <c r="AT929" s="2">
        <f t="shared" ca="1" si="912"/>
        <v>837286.67279360408</v>
      </c>
      <c r="AU929" s="2">
        <f t="shared" ca="1" si="913"/>
        <v>838782.4075763718</v>
      </c>
      <c r="AV929" s="2">
        <f t="shared" ca="1" si="914"/>
        <v>2257111.2921141451</v>
      </c>
      <c r="AW929" s="2">
        <f t="shared" ca="1" si="915"/>
        <v>2374028.6653907085</v>
      </c>
      <c r="AX929" s="2">
        <f t="shared" ca="1" si="916"/>
        <v>2378276.283262996</v>
      </c>
      <c r="AY929" s="2">
        <f t="shared" ca="1" si="917"/>
        <v>2382528.3632596759</v>
      </c>
      <c r="AZ929" s="2">
        <f t="shared" ca="1" si="918"/>
        <v>2386784.9100682065</v>
      </c>
      <c r="BA929" s="2">
        <f t="shared" ca="1" si="919"/>
        <v>43718661.920400061</v>
      </c>
      <c r="BB929" s="2">
        <f t="shared" ca="1" si="920"/>
        <v>874373.23840800126</v>
      </c>
      <c r="BC929" s="2">
        <f t="shared" ca="1" si="921"/>
        <v>17778303.631252587</v>
      </c>
      <c r="BD929" s="2">
        <f t="shared" ca="1" si="922"/>
        <v>-18255072.744273793</v>
      </c>
      <c r="BE929" s="2">
        <f t="shared" ca="1" si="923"/>
        <v>2257111.2921141451</v>
      </c>
      <c r="BF929" s="2">
        <f t="shared" ca="1" si="924"/>
        <v>2374028.6653907085</v>
      </c>
      <c r="BG929" s="2">
        <f t="shared" ca="1" si="925"/>
        <v>2378276.283262996</v>
      </c>
      <c r="BH929" s="2">
        <f t="shared" ca="1" si="926"/>
        <v>2382528.3632596759</v>
      </c>
      <c r="BI929" s="2">
        <f t="shared" ca="1" si="927"/>
        <v>20165088.541320793</v>
      </c>
      <c r="BJ929" s="2">
        <f t="shared" ca="1" si="928"/>
        <v>0.12461265844567548</v>
      </c>
      <c r="BK929" s="2">
        <f t="shared" ca="1" si="929"/>
        <v>301929.02801623195</v>
      </c>
    </row>
    <row r="930" spans="1:63" x14ac:dyDescent="0.3">
      <c r="A930" s="2">
        <v>929</v>
      </c>
      <c r="B930" s="2">
        <f t="shared" ca="1" si="868"/>
        <v>0.15351247786570799</v>
      </c>
      <c r="C930" s="2">
        <f t="shared" ca="1" si="869"/>
        <v>6.5540983267718973</v>
      </c>
      <c r="D930" s="2">
        <f t="shared" ca="1" si="870"/>
        <v>0.28687699683426593</v>
      </c>
      <c r="E930" s="2">
        <f t="shared" ca="1" si="871"/>
        <v>7.2574655065866249</v>
      </c>
      <c r="F930" s="2">
        <f t="shared" ca="1" si="872"/>
        <v>0.30263250861127244</v>
      </c>
      <c r="G930" s="2">
        <f t="shared" ca="1" si="873"/>
        <v>2.4494678069821831E-2</v>
      </c>
      <c r="H930" s="2">
        <f t="shared" ca="1" si="874"/>
        <v>2.4494678069821831E-2</v>
      </c>
      <c r="I930" s="2">
        <f t="shared" ca="1" si="875"/>
        <v>0.86525230734568226</v>
      </c>
      <c r="J930" s="2">
        <f t="shared" ca="1" si="876"/>
        <v>1.5521126870087706E-2</v>
      </c>
      <c r="K930" s="2">
        <f t="shared" ca="1" si="877"/>
        <v>1.5521126870087706E-2</v>
      </c>
      <c r="L930" s="2">
        <f t="shared" ca="1" si="878"/>
        <v>0.60833319720270596</v>
      </c>
      <c r="M930" s="2">
        <f t="shared" ca="1" si="879"/>
        <v>5.4995478918509555E-3</v>
      </c>
      <c r="N930" s="2">
        <f t="shared" ca="1" si="880"/>
        <v>5.4995478918509555E-3</v>
      </c>
      <c r="O930" s="2">
        <f t="shared" si="881"/>
        <v>6000000</v>
      </c>
      <c r="P930" s="2">
        <f t="shared" ca="1" si="882"/>
        <v>39324589.960631385</v>
      </c>
      <c r="Q930" s="2">
        <f t="shared" ca="1" si="883"/>
        <v>983114.74901578471</v>
      </c>
      <c r="R930" s="2">
        <f t="shared" ca="1" si="884"/>
        <v>23594753.976378832</v>
      </c>
      <c r="S930" s="2">
        <f t="shared" ca="1" si="885"/>
        <v>15729835.984252555</v>
      </c>
      <c r="T930" s="2">
        <f t="shared" ca="1" si="886"/>
        <v>50274977.394592546</v>
      </c>
      <c r="U930" s="2">
        <f t="shared" ca="1" si="887"/>
        <v>51506446.780840665</v>
      </c>
      <c r="V930" s="2">
        <f t="shared" ca="1" si="888"/>
        <v>52768080.613257773</v>
      </c>
      <c r="W930" s="2">
        <f t="shared" ca="1" si="889"/>
        <v>54060617.760241933</v>
      </c>
      <c r="X930" s="2">
        <f t="shared" ca="1" si="890"/>
        <v>55384815.188534752</v>
      </c>
      <c r="Y930" s="2">
        <f t="shared" ca="1" si="891"/>
        <v>0.12776056343504386</v>
      </c>
      <c r="Z930" s="2">
        <f t="shared" ca="1" si="892"/>
        <v>0.13086478880906138</v>
      </c>
      <c r="AA930" s="2">
        <f t="shared" ca="1" si="893"/>
        <v>6423159.4386172369</v>
      </c>
      <c r="AB930" s="2">
        <f t="shared" ca="1" si="894"/>
        <v>6740380.2802798729</v>
      </c>
      <c r="AC930" s="2">
        <f t="shared" ca="1" si="895"/>
        <v>6905483.7253135052</v>
      </c>
      <c r="AD930" s="2">
        <f t="shared" ca="1" si="896"/>
        <v>7074631.3260814538</v>
      </c>
      <c r="AE930" s="2">
        <f t="shared" ca="1" si="897"/>
        <v>7247922.1428764956</v>
      </c>
      <c r="AF930" s="2">
        <f t="shared" ca="1" si="898"/>
        <v>1005499.5478918509</v>
      </c>
      <c r="AG930" s="2">
        <f t="shared" ca="1" si="899"/>
        <v>1030128.9356168134</v>
      </c>
      <c r="AH930" s="2">
        <f t="shared" ca="1" si="900"/>
        <v>1055361.6122651554</v>
      </c>
      <c r="AI930" s="2">
        <f t="shared" ca="1" si="901"/>
        <v>1081212.3552048388</v>
      </c>
      <c r="AJ930" s="2">
        <f t="shared" ca="1" si="902"/>
        <v>1107696.3037706951</v>
      </c>
      <c r="AK930" s="2">
        <f t="shared" ca="1" si="903"/>
        <v>0</v>
      </c>
      <c r="AL930" s="2">
        <f t="shared" ca="1" si="904"/>
        <v>12314.693862481192</v>
      </c>
      <c r="AM930" s="2">
        <f t="shared" ca="1" si="905"/>
        <v>12616.338324171082</v>
      </c>
      <c r="AN930" s="2">
        <f t="shared" ca="1" si="906"/>
        <v>12925.371469841601</v>
      </c>
      <c r="AO930" s="2">
        <f t="shared" ca="1" si="907"/>
        <v>13241.974282928184</v>
      </c>
      <c r="AP930" s="2">
        <f t="shared" ca="1" si="908"/>
        <v>2123527.857874095</v>
      </c>
      <c r="AQ930" s="2">
        <f t="shared" ca="1" si="909"/>
        <v>856474.32854133577</v>
      </c>
      <c r="AR930" s="2">
        <f t="shared" ca="1" si="910"/>
        <v>932548.10656513076</v>
      </c>
      <c r="AS930" s="2">
        <f t="shared" ca="1" si="911"/>
        <v>968914.50634530617</v>
      </c>
      <c r="AT930" s="2">
        <f t="shared" ca="1" si="912"/>
        <v>1006171.6893806554</v>
      </c>
      <c r="AU930" s="2">
        <f t="shared" ca="1" si="913"/>
        <v>1044341.4751202435</v>
      </c>
      <c r="AV930" s="2">
        <f t="shared" ca="1" si="914"/>
        <v>2437657.7043099557</v>
      </c>
      <c r="AW930" s="2">
        <f t="shared" ca="1" si="915"/>
        <v>2641860.6863613524</v>
      </c>
      <c r="AX930" s="2">
        <f t="shared" ca="1" si="916"/>
        <v>2745063.4105047765</v>
      </c>
      <c r="AY930" s="2">
        <f t="shared" ca="1" si="917"/>
        <v>2850794.0521520241</v>
      </c>
      <c r="AZ930" s="2">
        <f t="shared" ca="1" si="918"/>
        <v>2959114.5318285343</v>
      </c>
      <c r="BA930" s="2">
        <f t="shared" ca="1" si="919"/>
        <v>52601544.94635158</v>
      </c>
      <c r="BB930" s="2">
        <f t="shared" ca="1" si="920"/>
        <v>1052030.8989270316</v>
      </c>
      <c r="BC930" s="2">
        <f t="shared" ca="1" si="921"/>
        <v>27954760.071045715</v>
      </c>
      <c r="BD930" s="2">
        <f t="shared" ca="1" si="922"/>
        <v>-17212950.733268339</v>
      </c>
      <c r="BE930" s="2">
        <f t="shared" ca="1" si="923"/>
        <v>2437657.7043099557</v>
      </c>
      <c r="BF930" s="2">
        <f t="shared" ca="1" si="924"/>
        <v>2641860.6863613524</v>
      </c>
      <c r="BG930" s="2">
        <f t="shared" ca="1" si="925"/>
        <v>2745063.4105047765</v>
      </c>
      <c r="BH930" s="2">
        <f t="shared" ca="1" si="926"/>
        <v>2850794.0521520241</v>
      </c>
      <c r="BI930" s="2">
        <f t="shared" ca="1" si="927"/>
        <v>30913874.602874249</v>
      </c>
      <c r="BJ930" s="2">
        <f t="shared" ca="1" si="928"/>
        <v>0.23384746430581704</v>
      </c>
      <c r="BK930" s="2">
        <f t="shared" ca="1" si="929"/>
        <v>8376580.2609077431</v>
      </c>
    </row>
    <row r="931" spans="1:63" x14ac:dyDescent="0.3">
      <c r="A931" s="2">
        <v>930</v>
      </c>
      <c r="B931" s="2">
        <f t="shared" ca="1" si="868"/>
        <v>0.75546324376563989</v>
      </c>
      <c r="C931" s="2">
        <f t="shared" ca="1" si="869"/>
        <v>7.3006620899245345</v>
      </c>
      <c r="D931" s="2">
        <f t="shared" ca="1" si="870"/>
        <v>0.67294124789160015</v>
      </c>
      <c r="E931" s="2">
        <f t="shared" ca="1" si="871"/>
        <v>7.6912246886700855</v>
      </c>
      <c r="F931" s="2">
        <f t="shared" ca="1" si="872"/>
        <v>0.36943327676267657</v>
      </c>
      <c r="G931" s="2">
        <f t="shared" ca="1" si="873"/>
        <v>2.9999358997919556E-2</v>
      </c>
      <c r="H931" s="2">
        <f t="shared" ca="1" si="874"/>
        <v>2.9999358997919556E-2</v>
      </c>
      <c r="I931" s="2">
        <f t="shared" ca="1" si="875"/>
        <v>0.19402809113388442</v>
      </c>
      <c r="J931" s="2">
        <f t="shared" ca="1" si="876"/>
        <v>5.6842607507589299E-3</v>
      </c>
      <c r="K931" s="2">
        <f t="shared" ca="1" si="877"/>
        <v>5.6842607507589299E-3</v>
      </c>
      <c r="L931" s="2">
        <f t="shared" ca="1" si="878"/>
        <v>0.22560287313841565</v>
      </c>
      <c r="M931" s="2">
        <f t="shared" ca="1" si="879"/>
        <v>-1.5068127727290347E-2</v>
      </c>
      <c r="N931" s="2">
        <f t="shared" ca="1" si="880"/>
        <v>-1.5068127727290347E-2</v>
      </c>
      <c r="O931" s="2">
        <f t="shared" si="881"/>
        <v>6000000</v>
      </c>
      <c r="P931" s="2">
        <f t="shared" ca="1" si="882"/>
        <v>43803972.539547205</v>
      </c>
      <c r="Q931" s="2">
        <f t="shared" ca="1" si="883"/>
        <v>1095099.3134886802</v>
      </c>
      <c r="R931" s="2">
        <f t="shared" ca="1" si="884"/>
        <v>26282383.523728322</v>
      </c>
      <c r="S931" s="2">
        <f t="shared" ca="1" si="885"/>
        <v>17521589.015818883</v>
      </c>
      <c r="T931" s="2">
        <f t="shared" ca="1" si="886"/>
        <v>49246593.61363548</v>
      </c>
      <c r="U931" s="2">
        <f t="shared" ca="1" si="887"/>
        <v>50723959.854875579</v>
      </c>
      <c r="V931" s="2">
        <f t="shared" ca="1" si="888"/>
        <v>52245646.136358045</v>
      </c>
      <c r="W931" s="2">
        <f t="shared" ca="1" si="889"/>
        <v>53812982.030880913</v>
      </c>
      <c r="X931" s="2">
        <f t="shared" ca="1" si="890"/>
        <v>55427336.997573897</v>
      </c>
      <c r="Y931" s="2">
        <f t="shared" ca="1" si="891"/>
        <v>0.12284213037537946</v>
      </c>
      <c r="Z931" s="2">
        <f t="shared" ca="1" si="892"/>
        <v>0.12397898252553124</v>
      </c>
      <c r="AA931" s="2">
        <f t="shared" ca="1" si="893"/>
        <v>6049556.4732295386</v>
      </c>
      <c r="AB931" s="2">
        <f t="shared" ca="1" si="894"/>
        <v>6288704.932473368</v>
      </c>
      <c r="AC931" s="2">
        <f t="shared" ca="1" si="895"/>
        <v>6477362.0493746232</v>
      </c>
      <c r="AD931" s="2">
        <f t="shared" ca="1" si="896"/>
        <v>6671678.7588533117</v>
      </c>
      <c r="AE931" s="2">
        <f t="shared" ca="1" si="897"/>
        <v>6871824.8450589459</v>
      </c>
      <c r="AF931" s="2">
        <f t="shared" ca="1" si="898"/>
        <v>984931.87227270962</v>
      </c>
      <c r="AG931" s="2">
        <f t="shared" ca="1" si="899"/>
        <v>1014479.1970975116</v>
      </c>
      <c r="AH931" s="2">
        <f t="shared" ca="1" si="900"/>
        <v>1044912.922727161</v>
      </c>
      <c r="AI931" s="2">
        <f t="shared" ca="1" si="901"/>
        <v>1076259.6406176183</v>
      </c>
      <c r="AJ931" s="2">
        <f t="shared" ca="1" si="902"/>
        <v>1108546.7399514779</v>
      </c>
      <c r="AK931" s="2">
        <f t="shared" ca="1" si="903"/>
        <v>0</v>
      </c>
      <c r="AL931" s="2">
        <f t="shared" ca="1" si="904"/>
        <v>14773.66241240099</v>
      </c>
      <c r="AM931" s="2">
        <f t="shared" ca="1" si="905"/>
        <v>15216.862814824655</v>
      </c>
      <c r="AN931" s="2">
        <f t="shared" ca="1" si="906"/>
        <v>15673.358945228681</v>
      </c>
      <c r="AO931" s="2">
        <f t="shared" ca="1" si="907"/>
        <v>16143.549666929841</v>
      </c>
      <c r="AP931" s="2">
        <f t="shared" ca="1" si="908"/>
        <v>2365414.5171355489</v>
      </c>
      <c r="AQ931" s="2">
        <f t="shared" ca="1" si="909"/>
        <v>701794.62179353298</v>
      </c>
      <c r="AR931" s="2">
        <f t="shared" ca="1" si="910"/>
        <v>756290.91674247989</v>
      </c>
      <c r="AS931" s="2">
        <f t="shared" ca="1" si="911"/>
        <v>797428.99847309745</v>
      </c>
      <c r="AT931" s="2">
        <f t="shared" ca="1" si="912"/>
        <v>839801.19628603756</v>
      </c>
      <c r="AU931" s="2">
        <f t="shared" ca="1" si="913"/>
        <v>883444.53287269885</v>
      </c>
      <c r="AV931" s="2">
        <f t="shared" ca="1" si="914"/>
        <v>1997415.4620277476</v>
      </c>
      <c r="AW931" s="2">
        <f t="shared" ca="1" si="915"/>
        <v>2137746.6390854255</v>
      </c>
      <c r="AX931" s="2">
        <f t="shared" ca="1" si="916"/>
        <v>2254388.7482239907</v>
      </c>
      <c r="AY931" s="2">
        <f t="shared" ca="1" si="917"/>
        <v>2374530.0458688778</v>
      </c>
      <c r="AZ931" s="2">
        <f t="shared" ca="1" si="918"/>
        <v>2498275.5054322896</v>
      </c>
      <c r="BA931" s="2">
        <f t="shared" ca="1" si="919"/>
        <v>52852748.904533848</v>
      </c>
      <c r="BB931" s="2">
        <f t="shared" ca="1" si="920"/>
        <v>1057054.9780906769</v>
      </c>
      <c r="BC931" s="2">
        <f t="shared" ca="1" si="921"/>
        <v>25513310.402714849</v>
      </c>
      <c r="BD931" s="2">
        <f t="shared" ca="1" si="922"/>
        <v>-19116688.329307564</v>
      </c>
      <c r="BE931" s="2">
        <f t="shared" ca="1" si="923"/>
        <v>1997415.4620277476</v>
      </c>
      <c r="BF931" s="2">
        <f t="shared" ca="1" si="924"/>
        <v>2137746.6390854255</v>
      </c>
      <c r="BG931" s="2">
        <f t="shared" ca="1" si="925"/>
        <v>2254388.7482239907</v>
      </c>
      <c r="BH931" s="2">
        <f t="shared" ca="1" si="926"/>
        <v>2374530.0458688778</v>
      </c>
      <c r="BI931" s="2">
        <f t="shared" ca="1" si="927"/>
        <v>28011585.908147138</v>
      </c>
      <c r="BJ931" s="2">
        <f t="shared" ca="1" si="928"/>
        <v>0.16413332863558638</v>
      </c>
      <c r="BK931" s="2">
        <f t="shared" ca="1" si="929"/>
        <v>3379129.1349464916</v>
      </c>
    </row>
    <row r="932" spans="1:63" x14ac:dyDescent="0.3">
      <c r="A932" s="2">
        <v>931</v>
      </c>
      <c r="B932" s="2">
        <f t="shared" ca="1" si="868"/>
        <v>0.72007884077031103</v>
      </c>
      <c r="C932" s="2">
        <f t="shared" ca="1" si="869"/>
        <v>7.2517738854735301</v>
      </c>
      <c r="D932" s="2">
        <f t="shared" ca="1" si="870"/>
        <v>1.0837599829500832E-2</v>
      </c>
      <c r="E932" s="2">
        <f t="shared" ca="1" si="871"/>
        <v>6.6472249967193129</v>
      </c>
      <c r="F932" s="2">
        <f t="shared" ca="1" si="872"/>
        <v>0.56881450754288376</v>
      </c>
      <c r="G932" s="2">
        <f t="shared" ca="1" si="873"/>
        <v>4.5200703794393102E-2</v>
      </c>
      <c r="H932" s="2">
        <f t="shared" ca="1" si="874"/>
        <v>4.5200703794393102E-2</v>
      </c>
      <c r="I932" s="2">
        <f t="shared" ca="1" si="875"/>
        <v>0.18608585650476872</v>
      </c>
      <c r="J932" s="2">
        <f t="shared" ca="1" si="876"/>
        <v>5.5379360017075233E-3</v>
      </c>
      <c r="K932" s="2">
        <f t="shared" ca="1" si="877"/>
        <v>5.5379360017075233E-3</v>
      </c>
      <c r="L932" s="2">
        <f t="shared" ca="1" si="878"/>
        <v>0.11923270979131673</v>
      </c>
      <c r="M932" s="2">
        <f t="shared" ca="1" si="879"/>
        <v>-2.3576622913440551E-2</v>
      </c>
      <c r="N932" s="2">
        <f t="shared" ca="1" si="880"/>
        <v>-2.3576622913440551E-2</v>
      </c>
      <c r="O932" s="2">
        <f t="shared" si="881"/>
        <v>6000000</v>
      </c>
      <c r="P932" s="2">
        <f t="shared" ca="1" si="882"/>
        <v>43510643.312841177</v>
      </c>
      <c r="Q932" s="2">
        <f t="shared" ca="1" si="883"/>
        <v>1087766.0828210295</v>
      </c>
      <c r="R932" s="2">
        <f t="shared" ca="1" si="884"/>
        <v>26106385.987704705</v>
      </c>
      <c r="S932" s="2">
        <f t="shared" ca="1" si="885"/>
        <v>17404257.325136472</v>
      </c>
      <c r="T932" s="2">
        <f t="shared" ca="1" si="886"/>
        <v>48821168.854327977</v>
      </c>
      <c r="U932" s="2">
        <f t="shared" ca="1" si="887"/>
        <v>51027920.046608508</v>
      </c>
      <c r="V932" s="2">
        <f t="shared" ca="1" si="888"/>
        <v>53334417.945879236</v>
      </c>
      <c r="W932" s="2">
        <f t="shared" ca="1" si="889"/>
        <v>55745171.173497289</v>
      </c>
      <c r="X932" s="2">
        <f t="shared" ca="1" si="890"/>
        <v>58264892.143678285</v>
      </c>
      <c r="Y932" s="2">
        <f t="shared" ca="1" si="891"/>
        <v>0.12276896800085375</v>
      </c>
      <c r="Z932" s="2">
        <f t="shared" ca="1" si="892"/>
        <v>0.12387655520119527</v>
      </c>
      <c r="AA932" s="2">
        <f t="shared" ca="1" si="893"/>
        <v>5993724.5168412691</v>
      </c>
      <c r="AB932" s="2">
        <f t="shared" ca="1" si="894"/>
        <v>6321162.9544558777</v>
      </c>
      <c r="AC932" s="2">
        <f t="shared" ca="1" si="895"/>
        <v>6606883.9687963286</v>
      </c>
      <c r="AD932" s="2">
        <f t="shared" ca="1" si="896"/>
        <v>6905519.7740738159</v>
      </c>
      <c r="AE932" s="2">
        <f t="shared" ca="1" si="897"/>
        <v>7217654.1279280512</v>
      </c>
      <c r="AF932" s="2">
        <f t="shared" ca="1" si="898"/>
        <v>976423.37708655954</v>
      </c>
      <c r="AG932" s="2">
        <f t="shared" ca="1" si="899"/>
        <v>1020558.4009321702</v>
      </c>
      <c r="AH932" s="2">
        <f t="shared" ca="1" si="900"/>
        <v>1066688.3589175846</v>
      </c>
      <c r="AI932" s="2">
        <f t="shared" ca="1" si="901"/>
        <v>1114903.4234699458</v>
      </c>
      <c r="AJ932" s="2">
        <f t="shared" ca="1" si="902"/>
        <v>1165297.8428735656</v>
      </c>
      <c r="AK932" s="2">
        <f t="shared" ca="1" si="903"/>
        <v>0</v>
      </c>
      <c r="AL932" s="2">
        <f t="shared" ca="1" si="904"/>
        <v>22067.511922805308</v>
      </c>
      <c r="AM932" s="2">
        <f t="shared" ca="1" si="905"/>
        <v>23064.978992707282</v>
      </c>
      <c r="AN932" s="2">
        <f t="shared" ca="1" si="906"/>
        <v>24107.532276180536</v>
      </c>
      <c r="AO932" s="2">
        <f t="shared" ca="1" si="907"/>
        <v>25197.209701809959</v>
      </c>
      <c r="AP932" s="2">
        <f t="shared" ca="1" si="908"/>
        <v>2349574.7388934232</v>
      </c>
      <c r="AQ932" s="2">
        <f t="shared" ca="1" si="909"/>
        <v>693608.86422393448</v>
      </c>
      <c r="AR932" s="2">
        <f t="shared" ca="1" si="910"/>
        <v>767267.75180387381</v>
      </c>
      <c r="AS932" s="2">
        <f t="shared" ca="1" si="911"/>
        <v>829561.42645618343</v>
      </c>
      <c r="AT932" s="2">
        <f t="shared" ca="1" si="912"/>
        <v>894670.81904471619</v>
      </c>
      <c r="AU932" s="2">
        <f t="shared" ca="1" si="913"/>
        <v>962723.2020018762</v>
      </c>
      <c r="AV932" s="2">
        <f t="shared" ca="1" si="914"/>
        <v>1974117.5366373518</v>
      </c>
      <c r="AW932" s="2">
        <f t="shared" ca="1" si="915"/>
        <v>2161694.5509036044</v>
      </c>
      <c r="AX932" s="2">
        <f t="shared" ca="1" si="916"/>
        <v>2337994.4655364305</v>
      </c>
      <c r="AY932" s="2">
        <f t="shared" ca="1" si="917"/>
        <v>2522263.2603895497</v>
      </c>
      <c r="AZ932" s="2">
        <f t="shared" ca="1" si="918"/>
        <v>2714861.1344573759</v>
      </c>
      <c r="BA932" s="2">
        <f t="shared" ca="1" si="919"/>
        <v>47977370.936837673</v>
      </c>
      <c r="BB932" s="2">
        <f t="shared" ca="1" si="920"/>
        <v>959547.41873675352</v>
      </c>
      <c r="BC932" s="2">
        <f t="shared" ca="1" si="921"/>
        <v>20911437.530396216</v>
      </c>
      <c r="BD932" s="2">
        <f t="shared" ca="1" si="922"/>
        <v>-18992023.407957502</v>
      </c>
      <c r="BE932" s="2">
        <f t="shared" ca="1" si="923"/>
        <v>1974117.5366373518</v>
      </c>
      <c r="BF932" s="2">
        <f t="shared" ca="1" si="924"/>
        <v>2161694.5509036044</v>
      </c>
      <c r="BG932" s="2">
        <f t="shared" ca="1" si="925"/>
        <v>2337994.4655364305</v>
      </c>
      <c r="BH932" s="2">
        <f t="shared" ca="1" si="926"/>
        <v>2522263.2603895497</v>
      </c>
      <c r="BI932" s="2">
        <f t="shared" ca="1" si="927"/>
        <v>23626298.664853591</v>
      </c>
      <c r="BJ932" s="2">
        <f t="shared" ca="1" si="928"/>
        <v>0.13626833641296154</v>
      </c>
      <c r="BK932" s="2">
        <f t="shared" ca="1" si="929"/>
        <v>1167149.7407906465</v>
      </c>
    </row>
    <row r="933" spans="1:63" x14ac:dyDescent="0.3">
      <c r="A933" s="2">
        <v>932</v>
      </c>
      <c r="B933" s="2">
        <f t="shared" ca="1" si="868"/>
        <v>0.11816245773213319</v>
      </c>
      <c r="C933" s="2">
        <f t="shared" ca="1" si="869"/>
        <v>6.4861326109862061</v>
      </c>
      <c r="D933" s="2">
        <f t="shared" ca="1" si="870"/>
        <v>0.4679532947201116</v>
      </c>
      <c r="E933" s="2">
        <f t="shared" ca="1" si="871"/>
        <v>7.4674226529496934</v>
      </c>
      <c r="F933" s="2">
        <f t="shared" ca="1" si="872"/>
        <v>6.9691466366700872E-2</v>
      </c>
      <c r="G933" s="2">
        <f t="shared" ca="1" si="873"/>
        <v>-4.3427849254011677E-3</v>
      </c>
      <c r="H933" s="2">
        <f t="shared" ca="1" si="874"/>
        <v>-4.3427849254011677E-3</v>
      </c>
      <c r="I933" s="2">
        <f t="shared" ca="1" si="875"/>
        <v>0.36485287342752171</v>
      </c>
      <c r="J933" s="2">
        <f t="shared" ca="1" si="876"/>
        <v>8.2724150977678979E-3</v>
      </c>
      <c r="K933" s="2">
        <f t="shared" ca="1" si="877"/>
        <v>8.2724150977678979E-3</v>
      </c>
      <c r="L933" s="2">
        <f t="shared" ca="1" si="878"/>
        <v>0.54053090672728743</v>
      </c>
      <c r="M933" s="2">
        <f t="shared" ca="1" si="879"/>
        <v>2.0354265058871541E-3</v>
      </c>
      <c r="N933" s="2">
        <f t="shared" ca="1" si="880"/>
        <v>2.0354265058871541E-3</v>
      </c>
      <c r="O933" s="2">
        <f t="shared" si="881"/>
        <v>6000000</v>
      </c>
      <c r="P933" s="2">
        <f t="shared" ca="1" si="882"/>
        <v>38916795.66591724</v>
      </c>
      <c r="Q933" s="2">
        <f t="shared" ca="1" si="883"/>
        <v>972919.89164793107</v>
      </c>
      <c r="R933" s="2">
        <f t="shared" ca="1" si="884"/>
        <v>23350077.399550345</v>
      </c>
      <c r="S933" s="2">
        <f t="shared" ca="1" si="885"/>
        <v>15566718.266366897</v>
      </c>
      <c r="T933" s="2">
        <f t="shared" ca="1" si="886"/>
        <v>50101771.325294353</v>
      </c>
      <c r="U933" s="2">
        <f t="shared" ca="1" si="887"/>
        <v>49884190.108046964</v>
      </c>
      <c r="V933" s="2">
        <f t="shared" ca="1" si="888"/>
        <v>49667553.79922989</v>
      </c>
      <c r="W933" s="2">
        <f t="shared" ca="1" si="889"/>
        <v>49451858.295309044</v>
      </c>
      <c r="X933" s="2">
        <f t="shared" ca="1" si="890"/>
        <v>49237099.5105711</v>
      </c>
      <c r="Y933" s="2">
        <f t="shared" ca="1" si="891"/>
        <v>0.12413620754888395</v>
      </c>
      <c r="Z933" s="2">
        <f t="shared" ca="1" si="892"/>
        <v>0.12579069056843753</v>
      </c>
      <c r="AA933" s="2">
        <f t="shared" ca="1" si="893"/>
        <v>6219443.8838034626</v>
      </c>
      <c r="AB933" s="2">
        <f t="shared" ca="1" si="894"/>
        <v>6274966.7221384477</v>
      </c>
      <c r="AC933" s="2">
        <f t="shared" ca="1" si="895"/>
        <v>6247715.8912501512</v>
      </c>
      <c r="AD933" s="2">
        <f t="shared" ca="1" si="896"/>
        <v>6220583.4048594404</v>
      </c>
      <c r="AE933" s="2">
        <f t="shared" ca="1" si="897"/>
        <v>6193568.7490216158</v>
      </c>
      <c r="AF933" s="2">
        <f t="shared" ca="1" si="898"/>
        <v>1002035.4265058871</v>
      </c>
      <c r="AG933" s="2">
        <f t="shared" ca="1" si="899"/>
        <v>997683.80216093932</v>
      </c>
      <c r="AH933" s="2">
        <f t="shared" ca="1" si="900"/>
        <v>993351.07598459779</v>
      </c>
      <c r="AI933" s="2">
        <f t="shared" ca="1" si="901"/>
        <v>989037.16590618086</v>
      </c>
      <c r="AJ933" s="2">
        <f t="shared" ca="1" si="902"/>
        <v>984741.99021142197</v>
      </c>
      <c r="AK933" s="2">
        <f t="shared" ca="1" si="903"/>
        <v>0</v>
      </c>
      <c r="AL933" s="2">
        <f t="shared" ca="1" si="904"/>
        <v>0</v>
      </c>
      <c r="AM933" s="2">
        <f t="shared" ca="1" si="905"/>
        <v>0</v>
      </c>
      <c r="AN933" s="2">
        <f t="shared" ca="1" si="906"/>
        <v>0</v>
      </c>
      <c r="AO933" s="2">
        <f t="shared" ca="1" si="907"/>
        <v>0</v>
      </c>
      <c r="AP933" s="2">
        <f t="shared" ca="1" si="908"/>
        <v>2101506.9659595308</v>
      </c>
      <c r="AQ933" s="2">
        <f t="shared" ca="1" si="909"/>
        <v>810134.38774789171</v>
      </c>
      <c r="AR933" s="2">
        <f t="shared" ca="1" si="910"/>
        <v>825701.74804467428</v>
      </c>
      <c r="AS933" s="2">
        <f t="shared" ca="1" si="911"/>
        <v>819743.04081956577</v>
      </c>
      <c r="AT933" s="2">
        <f t="shared" ca="1" si="912"/>
        <v>813810.21097836958</v>
      </c>
      <c r="AU933" s="2">
        <f t="shared" ca="1" si="913"/>
        <v>807903.1461411725</v>
      </c>
      <c r="AV933" s="2">
        <f t="shared" ca="1" si="914"/>
        <v>2305767.1035901527</v>
      </c>
      <c r="AW933" s="2">
        <f t="shared" ca="1" si="915"/>
        <v>2350074.2059733034</v>
      </c>
      <c r="AX933" s="2">
        <f t="shared" ca="1" si="916"/>
        <v>2333114.8084864565</v>
      </c>
      <c r="AY933" s="2">
        <f t="shared" ca="1" si="917"/>
        <v>2316229.0620153598</v>
      </c>
      <c r="AZ933" s="2">
        <f t="shared" ca="1" si="918"/>
        <v>2299416.646709491</v>
      </c>
      <c r="BA933" s="2">
        <f t="shared" ca="1" si="919"/>
        <v>46249995.579045311</v>
      </c>
      <c r="BB933" s="2">
        <f t="shared" ca="1" si="920"/>
        <v>924999.91158090625</v>
      </c>
      <c r="BC933" s="2">
        <f t="shared" ca="1" si="921"/>
        <v>21974918.267914061</v>
      </c>
      <c r="BD933" s="2">
        <f t="shared" ca="1" si="922"/>
        <v>-17039638.158014826</v>
      </c>
      <c r="BE933" s="2">
        <f t="shared" ca="1" si="923"/>
        <v>2305767.1035901527</v>
      </c>
      <c r="BF933" s="2">
        <f t="shared" ca="1" si="924"/>
        <v>2350074.2059733034</v>
      </c>
      <c r="BG933" s="2">
        <f t="shared" ca="1" si="925"/>
        <v>2333114.8084864565</v>
      </c>
      <c r="BH933" s="2">
        <f t="shared" ca="1" si="926"/>
        <v>2316229.0620153598</v>
      </c>
      <c r="BI933" s="2">
        <f t="shared" ca="1" si="927"/>
        <v>24274334.914623551</v>
      </c>
      <c r="BJ933" s="2">
        <f t="shared" ca="1" si="928"/>
        <v>0.17700064889055533</v>
      </c>
      <c r="BK933" s="2">
        <f t="shared" ca="1" si="929"/>
        <v>3799127.2534472644</v>
      </c>
    </row>
    <row r="934" spans="1:63" x14ac:dyDescent="0.3">
      <c r="A934" s="2">
        <v>933</v>
      </c>
      <c r="B934" s="2">
        <f t="shared" ca="1" si="868"/>
        <v>0.24217747271866152</v>
      </c>
      <c r="C934" s="2">
        <f t="shared" ca="1" si="869"/>
        <v>6.695956137581474</v>
      </c>
      <c r="D934" s="2">
        <f t="shared" ca="1" si="870"/>
        <v>0.71030155198287981</v>
      </c>
      <c r="E934" s="2">
        <f t="shared" ca="1" si="871"/>
        <v>7.7388187495515668</v>
      </c>
      <c r="F934" s="2">
        <f t="shared" ca="1" si="872"/>
        <v>0.20075427288606529</v>
      </c>
      <c r="G934" s="2">
        <f t="shared" ca="1" si="873"/>
        <v>1.4832097536598289E-2</v>
      </c>
      <c r="H934" s="2">
        <f t="shared" ca="1" si="874"/>
        <v>1.4832097536598289E-2</v>
      </c>
      <c r="I934" s="2">
        <f t="shared" ca="1" si="875"/>
        <v>0.13164172380783157</v>
      </c>
      <c r="J934" s="2">
        <f t="shared" ca="1" si="876"/>
        <v>4.4066792828090263E-3</v>
      </c>
      <c r="K934" s="2">
        <f t="shared" ca="1" si="877"/>
        <v>4.4066792828090263E-3</v>
      </c>
      <c r="L934" s="2">
        <f t="shared" ca="1" si="878"/>
        <v>0.56400669250475655</v>
      </c>
      <c r="M934" s="2">
        <f t="shared" ca="1" si="879"/>
        <v>3.2227116663149581E-3</v>
      </c>
      <c r="N934" s="2">
        <f t="shared" ca="1" si="880"/>
        <v>3.2227116663149581E-3</v>
      </c>
      <c r="O934" s="2">
        <f t="shared" si="881"/>
        <v>6000000</v>
      </c>
      <c r="P934" s="2">
        <f t="shared" ca="1" si="882"/>
        <v>40175736.825488843</v>
      </c>
      <c r="Q934" s="2">
        <f t="shared" ca="1" si="883"/>
        <v>1004393.4206372211</v>
      </c>
      <c r="R934" s="2">
        <f t="shared" ca="1" si="884"/>
        <v>24105442.095293306</v>
      </c>
      <c r="S934" s="2">
        <f t="shared" ca="1" si="885"/>
        <v>16070294.730195537</v>
      </c>
      <c r="T934" s="2">
        <f t="shared" ca="1" si="886"/>
        <v>50161135.583315752</v>
      </c>
      <c r="U934" s="2">
        <f t="shared" ca="1" si="887"/>
        <v>50905130.438834026</v>
      </c>
      <c r="V934" s="2">
        <f t="shared" ca="1" si="888"/>
        <v>51660160.298616074</v>
      </c>
      <c r="W934" s="2">
        <f t="shared" ca="1" si="889"/>
        <v>52426388.834921449</v>
      </c>
      <c r="X934" s="2">
        <f t="shared" ca="1" si="890"/>
        <v>53203982.147612631</v>
      </c>
      <c r="Y934" s="2">
        <f t="shared" ca="1" si="891"/>
        <v>0.12220333964140451</v>
      </c>
      <c r="Z934" s="2">
        <f t="shared" ca="1" si="892"/>
        <v>0.12308467549796631</v>
      </c>
      <c r="AA934" s="2">
        <f t="shared" ca="1" si="893"/>
        <v>6129858.2884864761</v>
      </c>
      <c r="AB934" s="2">
        <f t="shared" ca="1" si="894"/>
        <v>6265641.461245534</v>
      </c>
      <c r="AC934" s="2">
        <f t="shared" ca="1" si="895"/>
        <v>6358574.0665280819</v>
      </c>
      <c r="AD934" s="2">
        <f t="shared" ca="1" si="896"/>
        <v>6452885.0572765106</v>
      </c>
      <c r="AE934" s="2">
        <f t="shared" ca="1" si="897"/>
        <v>6548594.8778384933</v>
      </c>
      <c r="AF934" s="2">
        <f t="shared" ca="1" si="898"/>
        <v>1003222.7116663151</v>
      </c>
      <c r="AG934" s="2">
        <f t="shared" ca="1" si="899"/>
        <v>1018102.6087766805</v>
      </c>
      <c r="AH934" s="2">
        <f t="shared" ca="1" si="900"/>
        <v>1033203.2059723214</v>
      </c>
      <c r="AI934" s="2">
        <f t="shared" ca="1" si="901"/>
        <v>1048527.776698429</v>
      </c>
      <c r="AJ934" s="2">
        <f t="shared" ca="1" si="902"/>
        <v>1064079.6429522526</v>
      </c>
      <c r="AK934" s="2">
        <f t="shared" ca="1" si="903"/>
        <v>0</v>
      </c>
      <c r="AL934" s="2">
        <f t="shared" ca="1" si="904"/>
        <v>7439.9485551827402</v>
      </c>
      <c r="AM934" s="2">
        <f t="shared" ca="1" si="905"/>
        <v>7550.2985978204761</v>
      </c>
      <c r="AN934" s="2">
        <f t="shared" ca="1" si="906"/>
        <v>7662.2853630537538</v>
      </c>
      <c r="AO934" s="2">
        <f t="shared" ca="1" si="907"/>
        <v>7775.9331269118193</v>
      </c>
      <c r="AP934" s="2">
        <f t="shared" ca="1" si="908"/>
        <v>2169489.7885763976</v>
      </c>
      <c r="AQ934" s="2">
        <f t="shared" ca="1" si="909"/>
        <v>768857.90494337853</v>
      </c>
      <c r="AR934" s="2">
        <f t="shared" ca="1" si="910"/>
        <v>800292.75661203871</v>
      </c>
      <c r="AS934" s="2">
        <f t="shared" ca="1" si="911"/>
        <v>820529.07871463441</v>
      </c>
      <c r="AT934" s="2">
        <f t="shared" ca="1" si="912"/>
        <v>841065.54792043788</v>
      </c>
      <c r="AU934" s="2">
        <f t="shared" ca="1" si="913"/>
        <v>861906.61604055914</v>
      </c>
      <c r="AV934" s="2">
        <f t="shared" ca="1" si="914"/>
        <v>2188287.883300385</v>
      </c>
      <c r="AW934" s="2">
        <f t="shared" ca="1" si="915"/>
        <v>2270316.3587252353</v>
      </c>
      <c r="AX934" s="2">
        <f t="shared" ca="1" si="916"/>
        <v>2327801.6946669086</v>
      </c>
      <c r="AY934" s="2">
        <f t="shared" ca="1" si="917"/>
        <v>2386139.6587181925</v>
      </c>
      <c r="AZ934" s="2">
        <f t="shared" ca="1" si="918"/>
        <v>2445342.8971423716</v>
      </c>
      <c r="BA934" s="2">
        <f t="shared" ca="1" si="919"/>
        <v>50678388.823833883</v>
      </c>
      <c r="BB934" s="2">
        <f t="shared" ca="1" si="920"/>
        <v>1013567.7764766776</v>
      </c>
      <c r="BC934" s="2">
        <f t="shared" ca="1" si="921"/>
        <v>25559378.952063899</v>
      </c>
      <c r="BD934" s="2">
        <f t="shared" ca="1" si="922"/>
        <v>-17574688.150832757</v>
      </c>
      <c r="BE934" s="2">
        <f t="shared" ca="1" si="923"/>
        <v>2188287.883300385</v>
      </c>
      <c r="BF934" s="2">
        <f t="shared" ca="1" si="924"/>
        <v>2270316.3587252353</v>
      </c>
      <c r="BG934" s="2">
        <f t="shared" ca="1" si="925"/>
        <v>2327801.6946669086</v>
      </c>
      <c r="BH934" s="2">
        <f t="shared" ca="1" si="926"/>
        <v>2386139.6587181925</v>
      </c>
      <c r="BI934" s="2">
        <f t="shared" ca="1" si="927"/>
        <v>28004721.849206273</v>
      </c>
      <c r="BJ934" s="2">
        <f t="shared" ca="1" si="928"/>
        <v>0.19287087695462724</v>
      </c>
      <c r="BK934" s="2">
        <f t="shared" ca="1" si="929"/>
        <v>5252972.039653115</v>
      </c>
    </row>
    <row r="935" spans="1:63" x14ac:dyDescent="0.3">
      <c r="A935" s="2">
        <v>934</v>
      </c>
      <c r="B935" s="2">
        <f t="shared" ca="1" si="868"/>
        <v>0.90941919292977635</v>
      </c>
      <c r="C935" s="2">
        <f t="shared" ca="1" si="869"/>
        <v>7.5743691574375189</v>
      </c>
      <c r="D935" s="2">
        <f t="shared" ca="1" si="870"/>
        <v>0.61745146441236809</v>
      </c>
      <c r="E935" s="2">
        <f t="shared" ca="1" si="871"/>
        <v>7.6253017256360547</v>
      </c>
      <c r="F935" s="2">
        <f t="shared" ca="1" si="872"/>
        <v>0.68677226198425156</v>
      </c>
      <c r="G935" s="2">
        <f t="shared" ca="1" si="873"/>
        <v>5.4601654769671562E-2</v>
      </c>
      <c r="H935" s="2">
        <f t="shared" ca="1" si="874"/>
        <v>5.4601654769671562E-2</v>
      </c>
      <c r="I935" s="2">
        <f t="shared" ca="1" si="875"/>
        <v>0.67626504766736828</v>
      </c>
      <c r="J935" s="2">
        <f t="shared" ca="1" si="876"/>
        <v>1.228639929395902E-2</v>
      </c>
      <c r="K935" s="2">
        <f t="shared" ca="1" si="877"/>
        <v>1.228639929395902E-2</v>
      </c>
      <c r="L935" s="2">
        <f t="shared" ca="1" si="878"/>
        <v>0.24858046643958942</v>
      </c>
      <c r="M935" s="2">
        <f t="shared" ca="1" si="879"/>
        <v>-1.3579271778574589E-2</v>
      </c>
      <c r="N935" s="2">
        <f t="shared" ca="1" si="880"/>
        <v>-1.3579271778574589E-2</v>
      </c>
      <c r="O935" s="2">
        <f t="shared" si="881"/>
        <v>6000000</v>
      </c>
      <c r="P935" s="2">
        <f t="shared" ca="1" si="882"/>
        <v>45446214.944625117</v>
      </c>
      <c r="Q935" s="2">
        <f t="shared" ca="1" si="883"/>
        <v>1136155.3736156279</v>
      </c>
      <c r="R935" s="2">
        <f t="shared" ca="1" si="884"/>
        <v>27267728.966775071</v>
      </c>
      <c r="S935" s="2">
        <f t="shared" ca="1" si="885"/>
        <v>18178485.977850046</v>
      </c>
      <c r="T935" s="2">
        <f t="shared" ca="1" si="886"/>
        <v>49321036.411071271</v>
      </c>
      <c r="U935" s="2">
        <f t="shared" ca="1" si="887"/>
        <v>52014046.614070982</v>
      </c>
      <c r="V935" s="2">
        <f t="shared" ca="1" si="888"/>
        <v>54854099.630466089</v>
      </c>
      <c r="W935" s="2">
        <f t="shared" ca="1" si="889"/>
        <v>57849224.241189964</v>
      </c>
      <c r="X935" s="2">
        <f t="shared" ca="1" si="890"/>
        <v>61007887.611900732</v>
      </c>
      <c r="Y935" s="2">
        <f t="shared" ca="1" si="891"/>
        <v>0.12614319964697951</v>
      </c>
      <c r="Z935" s="2">
        <f t="shared" ca="1" si="892"/>
        <v>0.1286004795057713</v>
      </c>
      <c r="AA935" s="2">
        <f t="shared" ca="1" si="893"/>
        <v>6221513.3427977087</v>
      </c>
      <c r="AB935" s="2">
        <f t="shared" ca="1" si="894"/>
        <v>6689031.3356050681</v>
      </c>
      <c r="AC935" s="2">
        <f t="shared" ca="1" si="895"/>
        <v>7054263.5153352916</v>
      </c>
      <c r="AD935" s="2">
        <f t="shared" ca="1" si="896"/>
        <v>7439437.976453918</v>
      </c>
      <c r="AE935" s="2">
        <f t="shared" ca="1" si="897"/>
        <v>7845643.6005246388</v>
      </c>
      <c r="AF935" s="2">
        <f t="shared" ca="1" si="898"/>
        <v>986420.72822142544</v>
      </c>
      <c r="AG935" s="2">
        <f t="shared" ca="1" si="899"/>
        <v>1040280.9322814196</v>
      </c>
      <c r="AH935" s="2">
        <f t="shared" ca="1" si="900"/>
        <v>1097081.9926093218</v>
      </c>
      <c r="AI935" s="2">
        <f t="shared" ca="1" si="901"/>
        <v>1156984.4848237992</v>
      </c>
      <c r="AJ935" s="2">
        <f t="shared" ca="1" si="902"/>
        <v>1220157.7522380147</v>
      </c>
      <c r="AK935" s="2">
        <f t="shared" ca="1" si="903"/>
        <v>0</v>
      </c>
      <c r="AL935" s="2">
        <f t="shared" ca="1" si="904"/>
        <v>26930.10202999711</v>
      </c>
      <c r="AM935" s="2">
        <f t="shared" ca="1" si="905"/>
        <v>28400.530163951069</v>
      </c>
      <c r="AN935" s="2">
        <f t="shared" ca="1" si="906"/>
        <v>29951.246107238756</v>
      </c>
      <c r="AO935" s="2">
        <f t="shared" ca="1" si="907"/>
        <v>31586.633707107678</v>
      </c>
      <c r="AP935" s="2">
        <f t="shared" ca="1" si="908"/>
        <v>2454095.6070097564</v>
      </c>
      <c r="AQ935" s="2">
        <f t="shared" ca="1" si="909"/>
        <v>723059.22196729691</v>
      </c>
      <c r="AR935" s="2">
        <f t="shared" ca="1" si="910"/>
        <v>830610.24704161193</v>
      </c>
      <c r="AS935" s="2">
        <f t="shared" ca="1" si="911"/>
        <v>910802.33808621543</v>
      </c>
      <c r="AT935" s="2">
        <f t="shared" ca="1" si="912"/>
        <v>995373.05000129412</v>
      </c>
      <c r="AU935" s="2">
        <f t="shared" ca="1" si="913"/>
        <v>1084561.4627319856</v>
      </c>
      <c r="AV935" s="2">
        <f t="shared" ca="1" si="914"/>
        <v>2057937.7855992299</v>
      </c>
      <c r="AW935" s="2">
        <f t="shared" ca="1" si="915"/>
        <v>2337114.4472422833</v>
      </c>
      <c r="AX935" s="2">
        <f t="shared" ca="1" si="916"/>
        <v>2563883.0474660462</v>
      </c>
      <c r="AY935" s="2">
        <f t="shared" ca="1" si="917"/>
        <v>2803033.5885118293</v>
      </c>
      <c r="AZ935" s="2">
        <f t="shared" ca="1" si="918"/>
        <v>3055242.1448377743</v>
      </c>
      <c r="BA935" s="2">
        <f t="shared" ca="1" si="919"/>
        <v>59825399.685805999</v>
      </c>
      <c r="BB935" s="2">
        <f t="shared" ca="1" si="920"/>
        <v>1196507.99371612</v>
      </c>
      <c r="BC935" s="2">
        <f t="shared" ca="1" si="921"/>
        <v>31361162.725314807</v>
      </c>
      <c r="BD935" s="2">
        <f t="shared" ca="1" si="922"/>
        <v>-19814641.351465672</v>
      </c>
      <c r="BE935" s="2">
        <f t="shared" ca="1" si="923"/>
        <v>2057937.7855992299</v>
      </c>
      <c r="BF935" s="2">
        <f t="shared" ca="1" si="924"/>
        <v>2337114.4472422833</v>
      </c>
      <c r="BG935" s="2">
        <f t="shared" ca="1" si="925"/>
        <v>2563883.0474660462</v>
      </c>
      <c r="BH935" s="2">
        <f t="shared" ca="1" si="926"/>
        <v>2803033.5885118293</v>
      </c>
      <c r="BI935" s="2">
        <f t="shared" ca="1" si="927"/>
        <v>34416404.870152578</v>
      </c>
      <c r="BJ935" s="2">
        <f t="shared" ca="1" si="928"/>
        <v>0.20273229588569408</v>
      </c>
      <c r="BK935" s="2">
        <f t="shared" ca="1" si="929"/>
        <v>7021028.6598139778</v>
      </c>
    </row>
    <row r="936" spans="1:63" x14ac:dyDescent="0.3">
      <c r="A936" s="2">
        <v>935</v>
      </c>
      <c r="B936" s="2">
        <f t="shared" ca="1" si="868"/>
        <v>0.72217008624937662</v>
      </c>
      <c r="C936" s="2">
        <f t="shared" ca="1" si="869"/>
        <v>7.254574063034263</v>
      </c>
      <c r="D936" s="2">
        <f t="shared" ca="1" si="870"/>
        <v>0.60869802099358883</v>
      </c>
      <c r="E936" s="2">
        <f t="shared" ca="1" si="871"/>
        <v>7.6153509407607878</v>
      </c>
      <c r="F936" s="2">
        <f t="shared" ca="1" si="872"/>
        <v>0.85801284491956287</v>
      </c>
      <c r="G936" s="2">
        <f t="shared" ca="1" si="873"/>
        <v>7.2143021456779394E-2</v>
      </c>
      <c r="H936" s="2">
        <f t="shared" ca="1" si="874"/>
        <v>7.2143021456779394E-2</v>
      </c>
      <c r="I936" s="2">
        <f t="shared" ca="1" si="875"/>
        <v>0.26640484086234384</v>
      </c>
      <c r="J936" s="2">
        <f t="shared" ca="1" si="876"/>
        <v>6.8813862650542318E-3</v>
      </c>
      <c r="K936" s="2">
        <f t="shared" ca="1" si="877"/>
        <v>6.8813862650542318E-3</v>
      </c>
      <c r="L936" s="2">
        <f t="shared" ca="1" si="878"/>
        <v>0.8244552441752917</v>
      </c>
      <c r="M936" s="2">
        <f t="shared" ca="1" si="879"/>
        <v>1.8649561525589244E-2</v>
      </c>
      <c r="N936" s="2">
        <f t="shared" ca="1" si="880"/>
        <v>1.8649561525589244E-2</v>
      </c>
      <c r="O936" s="2">
        <f t="shared" si="881"/>
        <v>6000000</v>
      </c>
      <c r="P936" s="2">
        <f t="shared" ca="1" si="882"/>
        <v>43527444.378205575</v>
      </c>
      <c r="Q936" s="2">
        <f t="shared" ca="1" si="883"/>
        <v>1088186.1094551394</v>
      </c>
      <c r="R936" s="2">
        <f t="shared" ca="1" si="884"/>
        <v>26116466.626923345</v>
      </c>
      <c r="S936" s="2">
        <f t="shared" ca="1" si="885"/>
        <v>17410977.75128223</v>
      </c>
      <c r="T936" s="2">
        <f t="shared" ca="1" si="886"/>
        <v>50932478.076279461</v>
      </c>
      <c r="U936" s="2">
        <f t="shared" ca="1" si="887"/>
        <v>54606900.934983432</v>
      </c>
      <c r="V936" s="2">
        <f t="shared" ca="1" si="888"/>
        <v>58546407.760824166</v>
      </c>
      <c r="W936" s="2">
        <f t="shared" ca="1" si="889"/>
        <v>62770122.512130655</v>
      </c>
      <c r="X936" s="2">
        <f t="shared" ca="1" si="890"/>
        <v>67298548.807367966</v>
      </c>
      <c r="Y936" s="2">
        <f t="shared" ca="1" si="891"/>
        <v>0.12344069313252712</v>
      </c>
      <c r="Z936" s="2">
        <f t="shared" ca="1" si="892"/>
        <v>0.12481697038553796</v>
      </c>
      <c r="AA936" s="2">
        <f t="shared" ca="1" si="893"/>
        <v>6287140.3966931785</v>
      </c>
      <c r="AB936" s="2">
        <f t="shared" ca="1" si="894"/>
        <v>6815867.9368478321</v>
      </c>
      <c r="AC936" s="2">
        <f t="shared" ca="1" si="895"/>
        <v>7307585.2436624197</v>
      </c>
      <c r="AD936" s="2">
        <f t="shared" ca="1" si="896"/>
        <v>7834776.5226932019</v>
      </c>
      <c r="AE936" s="2">
        <f t="shared" ca="1" si="897"/>
        <v>8400000.9734789282</v>
      </c>
      <c r="AF936" s="2">
        <f t="shared" ca="1" si="898"/>
        <v>1018649.5615255892</v>
      </c>
      <c r="AG936" s="2">
        <f t="shared" ca="1" si="899"/>
        <v>1092138.0186996686</v>
      </c>
      <c r="AH936" s="2">
        <f t="shared" ca="1" si="900"/>
        <v>1170928.1552164834</v>
      </c>
      <c r="AI936" s="2">
        <f t="shared" ca="1" si="901"/>
        <v>1255402.4502426132</v>
      </c>
      <c r="AJ936" s="2">
        <f t="shared" ca="1" si="902"/>
        <v>1345970.9761473592</v>
      </c>
      <c r="AK936" s="2">
        <f t="shared" ca="1" si="903"/>
        <v>0</v>
      </c>
      <c r="AL936" s="2">
        <f t="shared" ca="1" si="904"/>
        <v>36744.22858703971</v>
      </c>
      <c r="AM936" s="2">
        <f t="shared" ca="1" si="905"/>
        <v>39395.068258407344</v>
      </c>
      <c r="AN936" s="2">
        <f t="shared" ca="1" si="906"/>
        <v>42237.147513064891</v>
      </c>
      <c r="AO936" s="2">
        <f t="shared" ca="1" si="907"/>
        <v>45284.262952373101</v>
      </c>
      <c r="AP936" s="2">
        <f t="shared" ca="1" si="908"/>
        <v>2350481.9964231011</v>
      </c>
      <c r="AQ936" s="2">
        <f t="shared" ca="1" si="909"/>
        <v>758682.2980735671</v>
      </c>
      <c r="AR936" s="2">
        <f t="shared" ca="1" si="910"/>
        <v>877044.45964851626</v>
      </c>
      <c r="AS936" s="2">
        <f t="shared" ca="1" si="911"/>
        <v>984405.52392593725</v>
      </c>
      <c r="AT936" s="2">
        <f t="shared" ca="1" si="912"/>
        <v>1099511.9397671467</v>
      </c>
      <c r="AU936" s="2">
        <f t="shared" ca="1" si="913"/>
        <v>1222922.4802362018</v>
      </c>
      <c r="AV936" s="2">
        <f t="shared" ca="1" si="914"/>
        <v>2159326.5406709211</v>
      </c>
      <c r="AW936" s="2">
        <f t="shared" ca="1" si="915"/>
        <v>2459459.2334895069</v>
      </c>
      <c r="AX936" s="2">
        <f t="shared" ca="1" si="916"/>
        <v>2762374.49983849</v>
      </c>
      <c r="AY936" s="2">
        <f t="shared" ca="1" si="917"/>
        <v>3087142.9887472764</v>
      </c>
      <c r="AZ936" s="2">
        <f t="shared" ca="1" si="918"/>
        <v>3435341.257719893</v>
      </c>
      <c r="BA936" s="2">
        <f t="shared" ca="1" si="919"/>
        <v>63968955.315774292</v>
      </c>
      <c r="BB936" s="2">
        <f t="shared" ca="1" si="920"/>
        <v>1279379.1063154859</v>
      </c>
      <c r="BC936" s="2">
        <f t="shared" ca="1" si="921"/>
        <v>36573109.582535461</v>
      </c>
      <c r="BD936" s="2">
        <f t="shared" ca="1" si="922"/>
        <v>-18999163.860737368</v>
      </c>
      <c r="BE936" s="2">
        <f t="shared" ca="1" si="923"/>
        <v>2159326.5406709211</v>
      </c>
      <c r="BF936" s="2">
        <f t="shared" ca="1" si="924"/>
        <v>2459459.2334895069</v>
      </c>
      <c r="BG936" s="2">
        <f t="shared" ca="1" si="925"/>
        <v>2762374.49983849</v>
      </c>
      <c r="BH936" s="2">
        <f t="shared" ca="1" si="926"/>
        <v>3087142.9887472764</v>
      </c>
      <c r="BI936" s="2">
        <f t="shared" ca="1" si="927"/>
        <v>40008450.84025535</v>
      </c>
      <c r="BJ936" s="2">
        <f t="shared" ca="1" si="928"/>
        <v>0.25143371881745891</v>
      </c>
      <c r="BK936" s="2">
        <f t="shared" ca="1" si="929"/>
        <v>11519480.356362171</v>
      </c>
    </row>
    <row r="937" spans="1:63" x14ac:dyDescent="0.3">
      <c r="A937" s="2">
        <v>936</v>
      </c>
      <c r="B937" s="2">
        <f t="shared" ca="1" si="868"/>
        <v>0.84957938759875529</v>
      </c>
      <c r="C937" s="2">
        <f t="shared" ca="1" si="869"/>
        <v>7.4515100504088618</v>
      </c>
      <c r="D937" s="2">
        <f t="shared" ca="1" si="870"/>
        <v>0.48676496461647678</v>
      </c>
      <c r="E937" s="2">
        <f t="shared" ca="1" si="871"/>
        <v>7.4866762028309761</v>
      </c>
      <c r="F937" s="2">
        <f t="shared" ca="1" si="872"/>
        <v>0.57950821746112591</v>
      </c>
      <c r="G937" s="2">
        <f t="shared" ca="1" si="873"/>
        <v>4.6019066242890906E-2</v>
      </c>
      <c r="H937" s="2">
        <f t="shared" ca="1" si="874"/>
        <v>4.6019066242890906E-2</v>
      </c>
      <c r="I937" s="2">
        <f t="shared" ca="1" si="875"/>
        <v>0.29386326060037493</v>
      </c>
      <c r="J937" s="2">
        <f t="shared" ca="1" si="876"/>
        <v>7.2893323463686602E-3</v>
      </c>
      <c r="K937" s="2">
        <f t="shared" ca="1" si="877"/>
        <v>7.2893323463686602E-3</v>
      </c>
      <c r="L937" s="2">
        <f t="shared" ca="1" si="878"/>
        <v>0.96064990967626684</v>
      </c>
      <c r="M937" s="2">
        <f t="shared" ca="1" si="879"/>
        <v>3.5165564522670285E-2</v>
      </c>
      <c r="N937" s="2">
        <f t="shared" ca="1" si="880"/>
        <v>3.5165564522670285E-2</v>
      </c>
      <c r="O937" s="2">
        <f t="shared" si="881"/>
        <v>6000000</v>
      </c>
      <c r="P937" s="2">
        <f t="shared" ca="1" si="882"/>
        <v>44709060.302453168</v>
      </c>
      <c r="Q937" s="2">
        <f t="shared" ca="1" si="883"/>
        <v>1117726.5075613293</v>
      </c>
      <c r="R937" s="2">
        <f t="shared" ca="1" si="884"/>
        <v>26825436.181471899</v>
      </c>
      <c r="S937" s="2">
        <f t="shared" ca="1" si="885"/>
        <v>17883624.120981269</v>
      </c>
      <c r="T937" s="2">
        <f t="shared" ca="1" si="886"/>
        <v>51758278.22613351</v>
      </c>
      <c r="U937" s="2">
        <f t="shared" ca="1" si="887"/>
        <v>54140145.860439934</v>
      </c>
      <c r="V937" s="2">
        <f t="shared" ca="1" si="888"/>
        <v>56631624.819191299</v>
      </c>
      <c r="W937" s="2">
        <f t="shared" ca="1" si="889"/>
        <v>59237759.31318821</v>
      </c>
      <c r="X937" s="2">
        <f t="shared" ca="1" si="890"/>
        <v>61963825.68310225</v>
      </c>
      <c r="Y937" s="2">
        <f t="shared" ca="1" si="891"/>
        <v>0.12364466617318433</v>
      </c>
      <c r="Z937" s="2">
        <f t="shared" ca="1" si="892"/>
        <v>0.12510253264245805</v>
      </c>
      <c r="AA937" s="2">
        <f t="shared" ca="1" si="893"/>
        <v>6399635.0329690734</v>
      </c>
      <c r="AB937" s="2">
        <f t="shared" ca="1" si="894"/>
        <v>6773069.3647731263</v>
      </c>
      <c r="AC937" s="2">
        <f t="shared" ca="1" si="895"/>
        <v>7084759.6925383173</v>
      </c>
      <c r="AD937" s="2">
        <f t="shared" ca="1" si="896"/>
        <v>7410793.7181442017</v>
      </c>
      <c r="AE937" s="2">
        <f t="shared" ca="1" si="897"/>
        <v>7751831.5251718797</v>
      </c>
      <c r="AF937" s="2">
        <f t="shared" ca="1" si="898"/>
        <v>1035165.5645226702</v>
      </c>
      <c r="AG937" s="2">
        <f t="shared" ca="1" si="899"/>
        <v>1082802.9172087987</v>
      </c>
      <c r="AH937" s="2">
        <f t="shared" ca="1" si="900"/>
        <v>1132632.496383826</v>
      </c>
      <c r="AI937" s="2">
        <f t="shared" ca="1" si="901"/>
        <v>1184755.1862637643</v>
      </c>
      <c r="AJ937" s="2">
        <f t="shared" ca="1" si="902"/>
        <v>1239276.5136620451</v>
      </c>
      <c r="AK937" s="2">
        <f t="shared" ca="1" si="903"/>
        <v>0</v>
      </c>
      <c r="AL937" s="2">
        <f t="shared" ca="1" si="904"/>
        <v>23818.676343064235</v>
      </c>
      <c r="AM937" s="2">
        <f t="shared" ca="1" si="905"/>
        <v>24914.789587513656</v>
      </c>
      <c r="AN937" s="2">
        <f t="shared" ca="1" si="906"/>
        <v>26061.344939969109</v>
      </c>
      <c r="AO937" s="2">
        <f t="shared" ca="1" si="907"/>
        <v>27260.663699140401</v>
      </c>
      <c r="AP937" s="2">
        <f t="shared" ca="1" si="908"/>
        <v>2414289.256332471</v>
      </c>
      <c r="AQ937" s="2">
        <f t="shared" ca="1" si="909"/>
        <v>767046.85514962231</v>
      </c>
      <c r="AR937" s="2">
        <f t="shared" ca="1" si="910"/>
        <v>851754.06972028292</v>
      </c>
      <c r="AS937" s="2">
        <f t="shared" ca="1" si="911"/>
        <v>919837.86435372522</v>
      </c>
      <c r="AT937" s="2">
        <f t="shared" ca="1" si="912"/>
        <v>991054.81164247124</v>
      </c>
      <c r="AU937" s="2">
        <f t="shared" ca="1" si="913"/>
        <v>1065549.0963461145</v>
      </c>
      <c r="AV937" s="2">
        <f t="shared" ca="1" si="914"/>
        <v>2183133.3569643097</v>
      </c>
      <c r="AW937" s="2">
        <f t="shared" ca="1" si="915"/>
        <v>2400404.4451685101</v>
      </c>
      <c r="AX937" s="2">
        <f t="shared" ca="1" si="916"/>
        <v>2593085.2858807808</v>
      </c>
      <c r="AY937" s="2">
        <f t="shared" ca="1" si="917"/>
        <v>2794633.1189655261</v>
      </c>
      <c r="AZ937" s="2">
        <f t="shared" ca="1" si="918"/>
        <v>3005455.9951321082</v>
      </c>
      <c r="BA937" s="2">
        <f t="shared" ca="1" si="919"/>
        <v>58035452.607859261</v>
      </c>
      <c r="BB937" s="2">
        <f t="shared" ca="1" si="920"/>
        <v>1160709.0521571853</v>
      </c>
      <c r="BC937" s="2">
        <f t="shared" ca="1" si="921"/>
        <v>30049307.374230176</v>
      </c>
      <c r="BD937" s="2">
        <f t="shared" ca="1" si="922"/>
        <v>-19501350.628542598</v>
      </c>
      <c r="BE937" s="2">
        <f t="shared" ca="1" si="923"/>
        <v>2183133.3569643097</v>
      </c>
      <c r="BF937" s="2">
        <f t="shared" ca="1" si="924"/>
        <v>2400404.4451685101</v>
      </c>
      <c r="BG937" s="2">
        <f t="shared" ca="1" si="925"/>
        <v>2593085.2858807808</v>
      </c>
      <c r="BH937" s="2">
        <f t="shared" ca="1" si="926"/>
        <v>2794633.1189655261</v>
      </c>
      <c r="BI937" s="2">
        <f t="shared" ca="1" si="927"/>
        <v>33054763.369362283</v>
      </c>
      <c r="BJ937" s="2">
        <f t="shared" ca="1" si="928"/>
        <v>0.20173324104585588</v>
      </c>
      <c r="BK937" s="2">
        <f t="shared" ca="1" si="929"/>
        <v>6739370.5125638433</v>
      </c>
    </row>
    <row r="938" spans="1:63" x14ac:dyDescent="0.3">
      <c r="A938" s="2">
        <v>937</v>
      </c>
      <c r="B938" s="2">
        <f t="shared" ca="1" si="868"/>
        <v>0.53359433416800384</v>
      </c>
      <c r="C938" s="2">
        <f t="shared" ca="1" si="869"/>
        <v>7.0341784162362115</v>
      </c>
      <c r="D938" s="2">
        <f t="shared" ca="1" si="870"/>
        <v>0.86667206058880286</v>
      </c>
      <c r="E938" s="2">
        <f t="shared" ca="1" si="871"/>
        <v>7.9836126658966213</v>
      </c>
      <c r="F938" s="2">
        <f t="shared" ca="1" si="872"/>
        <v>0.56274930323798156</v>
      </c>
      <c r="G938" s="2">
        <f t="shared" ca="1" si="873"/>
        <v>4.4738302208248239E-2</v>
      </c>
      <c r="H938" s="2">
        <f t="shared" ca="1" si="874"/>
        <v>4.4738302208248239E-2</v>
      </c>
      <c r="I938" s="2">
        <f t="shared" ca="1" si="875"/>
        <v>0.82342610047959963</v>
      </c>
      <c r="J938" s="2">
        <f t="shared" ca="1" si="876"/>
        <v>1.4642504520474366E-2</v>
      </c>
      <c r="K938" s="2">
        <f t="shared" ca="1" si="877"/>
        <v>1.4642504520474366E-2</v>
      </c>
      <c r="L938" s="2">
        <f t="shared" ca="1" si="878"/>
        <v>0.39867915926192987</v>
      </c>
      <c r="M938" s="2">
        <f t="shared" ca="1" si="879"/>
        <v>-5.1353484925101261E-3</v>
      </c>
      <c r="N938" s="2">
        <f t="shared" ca="1" si="880"/>
        <v>-5.1353484925101261E-3</v>
      </c>
      <c r="O938" s="2">
        <f t="shared" si="881"/>
        <v>6000000</v>
      </c>
      <c r="P938" s="2">
        <f t="shared" ca="1" si="882"/>
        <v>42205070.497417271</v>
      </c>
      <c r="Q938" s="2">
        <f t="shared" ca="1" si="883"/>
        <v>1055126.7624354318</v>
      </c>
      <c r="R938" s="2">
        <f t="shared" ca="1" si="884"/>
        <v>25323042.298450362</v>
      </c>
      <c r="S938" s="2">
        <f t="shared" ca="1" si="885"/>
        <v>16882028.198966909</v>
      </c>
      <c r="T938" s="2">
        <f t="shared" ca="1" si="886"/>
        <v>49743232.575374499</v>
      </c>
      <c r="U938" s="2">
        <f t="shared" ca="1" si="887"/>
        <v>51968660.347146779</v>
      </c>
      <c r="V938" s="2">
        <f t="shared" ca="1" si="888"/>
        <v>54293649.979115233</v>
      </c>
      <c r="W938" s="2">
        <f t="shared" ca="1" si="889"/>
        <v>56722655.699869737</v>
      </c>
      <c r="X938" s="2">
        <f t="shared" ca="1" si="890"/>
        <v>59260331.012624919</v>
      </c>
      <c r="Y938" s="2">
        <f t="shared" ca="1" si="891"/>
        <v>0.12732125226023719</v>
      </c>
      <c r="Z938" s="2">
        <f t="shared" ca="1" si="892"/>
        <v>0.13024975316433204</v>
      </c>
      <c r="AA938" s="2">
        <f t="shared" ca="1" si="893"/>
        <v>6333370.6629689047</v>
      </c>
      <c r="AB938" s="2">
        <f t="shared" ca="1" si="894"/>
        <v>6768905.1824968783</v>
      </c>
      <c r="AC938" s="2">
        <f t="shared" ca="1" si="895"/>
        <v>7071734.5081704007</v>
      </c>
      <c r="AD938" s="2">
        <f t="shared" ca="1" si="896"/>
        <v>7388111.9037334258</v>
      </c>
      <c r="AE938" s="2">
        <f t="shared" ca="1" si="897"/>
        <v>7718643.4868310066</v>
      </c>
      <c r="AF938" s="2">
        <f t="shared" ca="1" si="898"/>
        <v>994864.65150748997</v>
      </c>
      <c r="AG938" s="2">
        <f t="shared" ca="1" si="899"/>
        <v>1039373.2069429356</v>
      </c>
      <c r="AH938" s="2">
        <f t="shared" ca="1" si="900"/>
        <v>1085872.9995823046</v>
      </c>
      <c r="AI938" s="2">
        <f t="shared" ca="1" si="901"/>
        <v>1134453.1139973947</v>
      </c>
      <c r="AJ938" s="2">
        <f t="shared" ca="1" si="902"/>
        <v>1185206.6202524984</v>
      </c>
      <c r="AK938" s="2">
        <f t="shared" ca="1" si="903"/>
        <v>0</v>
      </c>
      <c r="AL938" s="2">
        <f t="shared" ca="1" si="904"/>
        <v>22254.277717722805</v>
      </c>
      <c r="AM938" s="2">
        <f t="shared" ca="1" si="905"/>
        <v>23249.896319684536</v>
      </c>
      <c r="AN938" s="2">
        <f t="shared" ca="1" si="906"/>
        <v>24290.057207545044</v>
      </c>
      <c r="AO938" s="2">
        <f t="shared" ca="1" si="907"/>
        <v>25376.753127551823</v>
      </c>
      <c r="AP938" s="2">
        <f t="shared" ca="1" si="908"/>
        <v>2279073.8068605326</v>
      </c>
      <c r="AQ938" s="2">
        <f t="shared" ca="1" si="909"/>
        <v>795452.37319622934</v>
      </c>
      <c r="AR938" s="2">
        <f t="shared" ca="1" si="910"/>
        <v>897119.12386028667</v>
      </c>
      <c r="AS938" s="2">
        <f t="shared" ca="1" si="911"/>
        <v>963764.80244916654</v>
      </c>
      <c r="AT938" s="2">
        <f t="shared" ca="1" si="912"/>
        <v>1033392.0955476295</v>
      </c>
      <c r="AU938" s="2">
        <f t="shared" ca="1" si="913"/>
        <v>1106134.3955266736</v>
      </c>
      <c r="AV938" s="2">
        <f t="shared" ca="1" si="914"/>
        <v>2263979.8314046524</v>
      </c>
      <c r="AW938" s="2">
        <f t="shared" ca="1" si="915"/>
        <v>2531084.7671154011</v>
      </c>
      <c r="AX938" s="2">
        <f t="shared" ca="1" si="916"/>
        <v>2719773.0029587122</v>
      </c>
      <c r="AY938" s="2">
        <f t="shared" ca="1" si="917"/>
        <v>2916902.8301203232</v>
      </c>
      <c r="AZ938" s="2">
        <f t="shared" ca="1" si="918"/>
        <v>3122851.9110637503</v>
      </c>
      <c r="BA938" s="2">
        <f t="shared" ca="1" si="919"/>
        <v>61622659.905004486</v>
      </c>
      <c r="BB938" s="2">
        <f t="shared" ca="1" si="920"/>
        <v>1232453.1981000898</v>
      </c>
      <c r="BC938" s="2">
        <f t="shared" ca="1" si="921"/>
        <v>35067164.408454031</v>
      </c>
      <c r="BD938" s="2">
        <f t="shared" ca="1" si="922"/>
        <v>-18437154.961402342</v>
      </c>
      <c r="BE938" s="2">
        <f t="shared" ca="1" si="923"/>
        <v>2263979.8314046524</v>
      </c>
      <c r="BF938" s="2">
        <f t="shared" ca="1" si="924"/>
        <v>2531084.7671154011</v>
      </c>
      <c r="BG938" s="2">
        <f t="shared" ca="1" si="925"/>
        <v>2719773.0029587122</v>
      </c>
      <c r="BH938" s="2">
        <f t="shared" ca="1" si="926"/>
        <v>2916902.8301203232</v>
      </c>
      <c r="BI938" s="2">
        <f t="shared" ca="1" si="927"/>
        <v>38190016.319517784</v>
      </c>
      <c r="BJ938" s="2">
        <f t="shared" ca="1" si="928"/>
        <v>0.2515612956192943</v>
      </c>
      <c r="BK938" s="2">
        <f t="shared" ca="1" si="929"/>
        <v>11061686.945818681</v>
      </c>
    </row>
    <row r="939" spans="1:63" x14ac:dyDescent="0.3">
      <c r="A939" s="2">
        <v>938</v>
      </c>
      <c r="B939" s="2">
        <f t="shared" ca="1" si="868"/>
        <v>0.56386351961748182</v>
      </c>
      <c r="C939" s="2">
        <f t="shared" ca="1" si="869"/>
        <v>7.0660444546098375</v>
      </c>
      <c r="D939" s="2">
        <f t="shared" ca="1" si="870"/>
        <v>0.3555610420126778</v>
      </c>
      <c r="E939" s="2">
        <f t="shared" ca="1" si="871"/>
        <v>7.3432805488242661</v>
      </c>
      <c r="F939" s="2">
        <f t="shared" ca="1" si="872"/>
        <v>0.54484716806401401</v>
      </c>
      <c r="G939" s="2">
        <f t="shared" ca="1" si="873"/>
        <v>4.3379590024722477E-2</v>
      </c>
      <c r="H939" s="2">
        <f t="shared" ca="1" si="874"/>
        <v>4.3379590024722477E-2</v>
      </c>
      <c r="I939" s="2">
        <f t="shared" ca="1" si="875"/>
        <v>0.79447674214732755</v>
      </c>
      <c r="J939" s="2">
        <f t="shared" ca="1" si="876"/>
        <v>1.4110266911514513E-2</v>
      </c>
      <c r="K939" s="2">
        <f t="shared" ca="1" si="877"/>
        <v>1.4110266911514513E-2</v>
      </c>
      <c r="L939" s="2">
        <f t="shared" ca="1" si="878"/>
        <v>0.54071618199941962</v>
      </c>
      <c r="M939" s="2">
        <f t="shared" ca="1" si="879"/>
        <v>2.04476327896217E-3</v>
      </c>
      <c r="N939" s="2">
        <f t="shared" ca="1" si="880"/>
        <v>2.04476327896217E-3</v>
      </c>
      <c r="O939" s="2">
        <f t="shared" si="881"/>
        <v>6000000</v>
      </c>
      <c r="P939" s="2">
        <f t="shared" ca="1" si="882"/>
        <v>42396266.727659024</v>
      </c>
      <c r="Q939" s="2">
        <f t="shared" ca="1" si="883"/>
        <v>1059906.6681914756</v>
      </c>
      <c r="R939" s="2">
        <f t="shared" ca="1" si="884"/>
        <v>25437760.036595415</v>
      </c>
      <c r="S939" s="2">
        <f t="shared" ca="1" si="885"/>
        <v>16958506.691063609</v>
      </c>
      <c r="T939" s="2">
        <f t="shared" ca="1" si="886"/>
        <v>50102238.163948111</v>
      </c>
      <c r="U939" s="2">
        <f t="shared" ca="1" si="887"/>
        <v>52275652.714821182</v>
      </c>
      <c r="V939" s="2">
        <f t="shared" ca="1" si="888"/>
        <v>54543349.097864896</v>
      </c>
      <c r="W939" s="2">
        <f t="shared" ca="1" si="889"/>
        <v>56909417.220305592</v>
      </c>
      <c r="X939" s="2">
        <f t="shared" ca="1" si="890"/>
        <v>59378124.407868326</v>
      </c>
      <c r="Y939" s="2">
        <f t="shared" ca="1" si="891"/>
        <v>0.12705513345575725</v>
      </c>
      <c r="Z939" s="2">
        <f t="shared" ca="1" si="892"/>
        <v>0.12987718683806015</v>
      </c>
      <c r="AA939" s="2">
        <f t="shared" ca="1" si="893"/>
        <v>6365746.5563525613</v>
      </c>
      <c r="AB939" s="2">
        <f t="shared" ca="1" si="894"/>
        <v>6789414.7147243768</v>
      </c>
      <c r="AC939" s="2">
        <f t="shared" ca="1" si="895"/>
        <v>7083936.7415569387</v>
      </c>
      <c r="AD939" s="2">
        <f t="shared" ca="1" si="896"/>
        <v>7391235.0131667471</v>
      </c>
      <c r="AE939" s="2">
        <f t="shared" ca="1" si="897"/>
        <v>7711863.7578142947</v>
      </c>
      <c r="AF939" s="2">
        <f t="shared" ca="1" si="898"/>
        <v>1002044.7632789622</v>
      </c>
      <c r="AG939" s="2">
        <f t="shared" ca="1" si="899"/>
        <v>1045513.0542964237</v>
      </c>
      <c r="AH939" s="2">
        <f t="shared" ca="1" si="900"/>
        <v>1090866.981957298</v>
      </c>
      <c r="AI939" s="2">
        <f t="shared" ca="1" si="901"/>
        <v>1138188.3444061119</v>
      </c>
      <c r="AJ939" s="2">
        <f t="shared" ca="1" si="902"/>
        <v>1187562.4881573666</v>
      </c>
      <c r="AK939" s="2">
        <f t="shared" ca="1" si="903"/>
        <v>0</v>
      </c>
      <c r="AL939" s="2">
        <f t="shared" ca="1" si="904"/>
        <v>21734.145508730711</v>
      </c>
      <c r="AM939" s="2">
        <f t="shared" ca="1" si="905"/>
        <v>22676.96383043714</v>
      </c>
      <c r="AN939" s="2">
        <f t="shared" ca="1" si="906"/>
        <v>23660.681224406959</v>
      </c>
      <c r="AO939" s="2">
        <f t="shared" ca="1" si="907"/>
        <v>24687.071875627338</v>
      </c>
      <c r="AP939" s="2">
        <f t="shared" ca="1" si="908"/>
        <v>2289398.4032935873</v>
      </c>
      <c r="AQ939" s="2">
        <f t="shared" ca="1" si="909"/>
        <v>799318.88134280313</v>
      </c>
      <c r="AR939" s="2">
        <f t="shared" ca="1" si="910"/>
        <v>898170.84685493517</v>
      </c>
      <c r="AS939" s="2">
        <f t="shared" ca="1" si="911"/>
        <v>962954.55263957405</v>
      </c>
      <c r="AT939" s="2">
        <f t="shared" ca="1" si="912"/>
        <v>1030548.5490214324</v>
      </c>
      <c r="AU939" s="2">
        <f t="shared" ca="1" si="913"/>
        <v>1101074.7452544686</v>
      </c>
      <c r="AV939" s="2">
        <f t="shared" ca="1" si="914"/>
        <v>2274984.5084372088</v>
      </c>
      <c r="AW939" s="2">
        <f t="shared" ca="1" si="915"/>
        <v>2534598.2647706997</v>
      </c>
      <c r="AX939" s="2">
        <f t="shared" ca="1" si="916"/>
        <v>2718039.8398360424</v>
      </c>
      <c r="AY939" s="2">
        <f t="shared" ca="1" si="917"/>
        <v>2909439.0352212088</v>
      </c>
      <c r="AZ939" s="2">
        <f t="shared" ca="1" si="918"/>
        <v>3109141.0492332447</v>
      </c>
      <c r="BA939" s="2">
        <f t="shared" ca="1" si="919"/>
        <v>56630379.127940521</v>
      </c>
      <c r="BB939" s="2">
        <f t="shared" ca="1" si="920"/>
        <v>1132607.5825588105</v>
      </c>
      <c r="BC939" s="2">
        <f t="shared" ca="1" si="921"/>
        <v>30060011.508786295</v>
      </c>
      <c r="BD939" s="2">
        <f t="shared" ca="1" si="922"/>
        <v>-18518413.359255083</v>
      </c>
      <c r="BE939" s="2">
        <f t="shared" ca="1" si="923"/>
        <v>2274984.5084372088</v>
      </c>
      <c r="BF939" s="2">
        <f t="shared" ca="1" si="924"/>
        <v>2534598.2647706997</v>
      </c>
      <c r="BG939" s="2">
        <f t="shared" ca="1" si="925"/>
        <v>2718039.8398360424</v>
      </c>
      <c r="BH939" s="2">
        <f t="shared" ca="1" si="926"/>
        <v>2909439.0352212088</v>
      </c>
      <c r="BI939" s="2">
        <f t="shared" ca="1" si="927"/>
        <v>33169152.558019541</v>
      </c>
      <c r="BJ939" s="2">
        <f t="shared" ca="1" si="928"/>
        <v>0.22211794527252415</v>
      </c>
      <c r="BK939" s="2">
        <f t="shared" ca="1" si="929"/>
        <v>8138105.1462316327</v>
      </c>
    </row>
    <row r="940" spans="1:63" x14ac:dyDescent="0.3">
      <c r="A940" s="2">
        <v>939</v>
      </c>
      <c r="B940" s="2">
        <f t="shared" ca="1" si="868"/>
        <v>0.81071518788780894</v>
      </c>
      <c r="C940" s="2">
        <f t="shared" ca="1" si="869"/>
        <v>7.3847198814975554</v>
      </c>
      <c r="D940" s="2">
        <f t="shared" ca="1" si="870"/>
        <v>0.17177134056619248</v>
      </c>
      <c r="E940" s="2">
        <f t="shared" ca="1" si="871"/>
        <v>7.0861251411877717</v>
      </c>
      <c r="F940" s="2">
        <f t="shared" ca="1" si="872"/>
        <v>0.75401271607226439</v>
      </c>
      <c r="G940" s="2">
        <f t="shared" ca="1" si="873"/>
        <v>6.0615149470016311E-2</v>
      </c>
      <c r="H940" s="2">
        <f t="shared" ca="1" si="874"/>
        <v>6.0615149470016311E-2</v>
      </c>
      <c r="I940" s="2">
        <f t="shared" ca="1" si="875"/>
        <v>0.11164023920596411</v>
      </c>
      <c r="J940" s="2">
        <f t="shared" ca="1" si="876"/>
        <v>3.9107434054972672E-3</v>
      </c>
      <c r="K940" s="2">
        <f t="shared" ca="1" si="877"/>
        <v>3.9107434054972672E-3</v>
      </c>
      <c r="L940" s="2">
        <f t="shared" ca="1" si="878"/>
        <v>0.68135182587324394</v>
      </c>
      <c r="M940" s="2">
        <f t="shared" ca="1" si="879"/>
        <v>9.4296462329989394E-3</v>
      </c>
      <c r="N940" s="2">
        <f t="shared" ca="1" si="880"/>
        <v>9.4296462329989394E-3</v>
      </c>
      <c r="O940" s="2">
        <f t="shared" si="881"/>
        <v>6000000</v>
      </c>
      <c r="P940" s="2">
        <f t="shared" ca="1" si="882"/>
        <v>44308319.288985334</v>
      </c>
      <c r="Q940" s="2">
        <f t="shared" ca="1" si="883"/>
        <v>1107707.9822246335</v>
      </c>
      <c r="R940" s="2">
        <f t="shared" ca="1" si="884"/>
        <v>26584991.573391199</v>
      </c>
      <c r="S940" s="2">
        <f t="shared" ca="1" si="885"/>
        <v>17723327.715594135</v>
      </c>
      <c r="T940" s="2">
        <f t="shared" ca="1" si="886"/>
        <v>50471482.311649948</v>
      </c>
      <c r="U940" s="2">
        <f t="shared" ca="1" si="887"/>
        <v>53530818.755943887</v>
      </c>
      <c r="V940" s="2">
        <f t="shared" ca="1" si="888"/>
        <v>56775597.336087771</v>
      </c>
      <c r="W940" s="2">
        <f t="shared" ca="1" si="889"/>
        <v>60217058.654864185</v>
      </c>
      <c r="X940" s="2">
        <f t="shared" ca="1" si="890"/>
        <v>63867124.665873513</v>
      </c>
      <c r="Y940" s="2">
        <f t="shared" ca="1" si="891"/>
        <v>0.12195537170274863</v>
      </c>
      <c r="Z940" s="2">
        <f t="shared" ca="1" si="892"/>
        <v>0.12273752038384808</v>
      </c>
      <c r="AA940" s="2">
        <f t="shared" ca="1" si="893"/>
        <v>6155268.3857059721</v>
      </c>
      <c r="AB940" s="2">
        <f t="shared" ca="1" si="894"/>
        <v>6570239.9582217401</v>
      </c>
      <c r="AC940" s="2">
        <f t="shared" ca="1" si="895"/>
        <v>6968496.0353432233</v>
      </c>
      <c r="AD940" s="2">
        <f t="shared" ca="1" si="896"/>
        <v>7390892.4641067684</v>
      </c>
      <c r="AE940" s="2">
        <f t="shared" ca="1" si="897"/>
        <v>7838892.515535417</v>
      </c>
      <c r="AF940" s="2">
        <f t="shared" ca="1" si="898"/>
        <v>1009429.646232999</v>
      </c>
      <c r="AG940" s="2">
        <f t="shared" ca="1" si="899"/>
        <v>1070616.3751188777</v>
      </c>
      <c r="AH940" s="2">
        <f t="shared" ca="1" si="900"/>
        <v>1135511.9467217554</v>
      </c>
      <c r="AI940" s="2">
        <f t="shared" ca="1" si="901"/>
        <v>1204341.1730972838</v>
      </c>
      <c r="AJ940" s="2">
        <f t="shared" ca="1" si="902"/>
        <v>1277342.4933174702</v>
      </c>
      <c r="AK940" s="2">
        <f t="shared" ca="1" si="903"/>
        <v>0</v>
      </c>
      <c r="AL940" s="2">
        <f t="shared" ca="1" si="904"/>
        <v>30593.364442939386</v>
      </c>
      <c r="AM940" s="2">
        <f t="shared" ca="1" si="905"/>
        <v>32447.78580143884</v>
      </c>
      <c r="AN940" s="2">
        <f t="shared" ca="1" si="906"/>
        <v>34414.613187764138</v>
      </c>
      <c r="AO940" s="2">
        <f t="shared" ca="1" si="907"/>
        <v>36500.660110093282</v>
      </c>
      <c r="AP940" s="2">
        <f t="shared" ca="1" si="908"/>
        <v>2392649.2416052078</v>
      </c>
      <c r="AQ940" s="2">
        <f t="shared" ca="1" si="909"/>
        <v>715829.26944561896</v>
      </c>
      <c r="AR940" s="2">
        <f t="shared" ca="1" si="910"/>
        <v>807813.32878939016</v>
      </c>
      <c r="AS940" s="2">
        <f t="shared" ca="1" si="911"/>
        <v>894487.06022422749</v>
      </c>
      <c r="AT940" s="2">
        <f t="shared" ca="1" si="912"/>
        <v>986414.53284511203</v>
      </c>
      <c r="AU940" s="2">
        <f t="shared" ca="1" si="913"/>
        <v>1083914.2029593124</v>
      </c>
      <c r="AV940" s="2">
        <f t="shared" ca="1" si="914"/>
        <v>2037360.2284221468</v>
      </c>
      <c r="AW940" s="2">
        <f t="shared" ca="1" si="915"/>
        <v>2268567.6482653259</v>
      </c>
      <c r="AX940" s="2">
        <f t="shared" ca="1" si="916"/>
        <v>2513400.0009905933</v>
      </c>
      <c r="AY940" s="2">
        <f t="shared" ca="1" si="917"/>
        <v>2773072.9033714007</v>
      </c>
      <c r="AZ940" s="2">
        <f t="shared" ca="1" si="918"/>
        <v>3048485.9175433335</v>
      </c>
      <c r="BA940" s="2">
        <f t="shared" ca="1" si="919"/>
        <v>55547373.333404176</v>
      </c>
      <c r="BB940" s="2">
        <f t="shared" ca="1" si="920"/>
        <v>1110947.4666680836</v>
      </c>
      <c r="BC940" s="2">
        <f t="shared" ca="1" si="921"/>
        <v>27851434.293344893</v>
      </c>
      <c r="BD940" s="2">
        <f t="shared" ca="1" si="922"/>
        <v>-19331035.697818767</v>
      </c>
      <c r="BE940" s="2">
        <f t="shared" ca="1" si="923"/>
        <v>2037360.2284221468</v>
      </c>
      <c r="BF940" s="2">
        <f t="shared" ca="1" si="924"/>
        <v>2268567.6482653259</v>
      </c>
      <c r="BG940" s="2">
        <f t="shared" ca="1" si="925"/>
        <v>2513400.0009905933</v>
      </c>
      <c r="BH940" s="2">
        <f t="shared" ca="1" si="926"/>
        <v>2773072.9033714007</v>
      </c>
      <c r="BI940" s="2">
        <f t="shared" ca="1" si="927"/>
        <v>30899920.210888226</v>
      </c>
      <c r="BJ940" s="2">
        <f t="shared" ca="1" si="928"/>
        <v>0.18712090395314784</v>
      </c>
      <c r="BK940" s="2">
        <f t="shared" ca="1" si="929"/>
        <v>5381295.1803147495</v>
      </c>
    </row>
    <row r="941" spans="1:63" x14ac:dyDescent="0.3">
      <c r="A941" s="2">
        <v>940</v>
      </c>
      <c r="B941" s="2">
        <f t="shared" ca="1" si="868"/>
        <v>0.92085412091337726</v>
      </c>
      <c r="C941" s="2">
        <f t="shared" ca="1" si="869"/>
        <v>7.6021410323076211</v>
      </c>
      <c r="D941" s="2">
        <f t="shared" ca="1" si="870"/>
        <v>0.54000526014419425</v>
      </c>
      <c r="E941" s="2">
        <f t="shared" ca="1" si="871"/>
        <v>7.5408391794325569</v>
      </c>
      <c r="F941" s="2">
        <f t="shared" ca="1" si="872"/>
        <v>0.30445305536618261</v>
      </c>
      <c r="G941" s="2">
        <f t="shared" ca="1" si="873"/>
        <v>2.465093394716119E-2</v>
      </c>
      <c r="H941" s="2">
        <f t="shared" ca="1" si="874"/>
        <v>2.465093394716119E-2</v>
      </c>
      <c r="I941" s="2">
        <f t="shared" ca="1" si="875"/>
        <v>0.22158649223695415</v>
      </c>
      <c r="J941" s="2">
        <f t="shared" ca="1" si="876"/>
        <v>6.1657691717718309E-3</v>
      </c>
      <c r="K941" s="2">
        <f t="shared" ca="1" si="877"/>
        <v>6.1657691717718309E-3</v>
      </c>
      <c r="L941" s="2">
        <f t="shared" ca="1" si="878"/>
        <v>0.68447732471007683</v>
      </c>
      <c r="M941" s="2">
        <f t="shared" ca="1" si="879"/>
        <v>9.6051205902750909E-3</v>
      </c>
      <c r="N941" s="2">
        <f t="shared" ca="1" si="880"/>
        <v>9.6051205902750909E-3</v>
      </c>
      <c r="O941" s="2">
        <f t="shared" si="881"/>
        <v>6000000</v>
      </c>
      <c r="P941" s="2">
        <f t="shared" ca="1" si="882"/>
        <v>45612846.193845727</v>
      </c>
      <c r="Q941" s="2">
        <f t="shared" ca="1" si="883"/>
        <v>1140321.1548461432</v>
      </c>
      <c r="R941" s="2">
        <f t="shared" ca="1" si="884"/>
        <v>27367707.716307435</v>
      </c>
      <c r="S941" s="2">
        <f t="shared" ca="1" si="885"/>
        <v>18245138.477538291</v>
      </c>
      <c r="T941" s="2">
        <f t="shared" ca="1" si="886"/>
        <v>50480256.029513761</v>
      </c>
      <c r="U941" s="2">
        <f t="shared" ca="1" si="887"/>
        <v>51724641.48653309</v>
      </c>
      <c r="V941" s="2">
        <f t="shared" ca="1" si="888"/>
        <v>52999702.20725821</v>
      </c>
      <c r="W941" s="2">
        <f t="shared" ca="1" si="889"/>
        <v>54306194.365588546</v>
      </c>
      <c r="X941" s="2">
        <f t="shared" ca="1" si="890"/>
        <v>55644892.775816366</v>
      </c>
      <c r="Y941" s="2">
        <f t="shared" ca="1" si="891"/>
        <v>0.12308288458588591</v>
      </c>
      <c r="Z941" s="2">
        <f t="shared" ca="1" si="892"/>
        <v>0.12431603842024028</v>
      </c>
      <c r="AA941" s="2">
        <f t="shared" ca="1" si="893"/>
        <v>6213255.5267466139</v>
      </c>
      <c r="AB941" s="2">
        <f t="shared" ca="1" si="894"/>
        <v>6430202.5183130018</v>
      </c>
      <c r="AC941" s="2">
        <f t="shared" ca="1" si="895"/>
        <v>6588713.0158588048</v>
      </c>
      <c r="AD941" s="2">
        <f t="shared" ca="1" si="896"/>
        <v>6751130.9452095414</v>
      </c>
      <c r="AE941" s="2">
        <f t="shared" ca="1" si="897"/>
        <v>6917552.6282085376</v>
      </c>
      <c r="AF941" s="2">
        <f t="shared" ca="1" si="898"/>
        <v>1009605.1205902753</v>
      </c>
      <c r="AG941" s="2">
        <f t="shared" ca="1" si="899"/>
        <v>1034492.8297306618</v>
      </c>
      <c r="AH941" s="2">
        <f t="shared" ca="1" si="900"/>
        <v>1059994.0441451643</v>
      </c>
      <c r="AI941" s="2">
        <f t="shared" ca="1" si="901"/>
        <v>1086123.887311771</v>
      </c>
      <c r="AJ941" s="2">
        <f t="shared" ca="1" si="902"/>
        <v>1112897.8555163273</v>
      </c>
      <c r="AK941" s="2">
        <f t="shared" ca="1" si="903"/>
        <v>0</v>
      </c>
      <c r="AL941" s="2">
        <f t="shared" ca="1" si="904"/>
        <v>12443.854570193291</v>
      </c>
      <c r="AM941" s="2">
        <f t="shared" ca="1" si="905"/>
        <v>12750.607207251191</v>
      </c>
      <c r="AN941" s="2">
        <f t="shared" ca="1" si="906"/>
        <v>13064.921583303363</v>
      </c>
      <c r="AO941" s="2">
        <f t="shared" ca="1" si="907"/>
        <v>13386.984102278204</v>
      </c>
      <c r="AP941" s="2">
        <f t="shared" ca="1" si="908"/>
        <v>2463093.6944676689</v>
      </c>
      <c r="AQ941" s="2">
        <f t="shared" ca="1" si="909"/>
        <v>712544.74503905419</v>
      </c>
      <c r="AR941" s="2">
        <f t="shared" ca="1" si="910"/>
        <v>762480.15846981457</v>
      </c>
      <c r="AS941" s="2">
        <f t="shared" ca="1" si="911"/>
        <v>797062.57208395272</v>
      </c>
      <c r="AT941" s="2">
        <f t="shared" ca="1" si="912"/>
        <v>832497.47449182649</v>
      </c>
      <c r="AU941" s="2">
        <f t="shared" ca="1" si="913"/>
        <v>868805.8803383807</v>
      </c>
      <c r="AV941" s="2">
        <f t="shared" ca="1" si="914"/>
        <v>2028011.9666496157</v>
      </c>
      <c r="AW941" s="2">
        <f t="shared" ca="1" si="915"/>
        <v>2157691.9810746633</v>
      </c>
      <c r="AX941" s="2">
        <f t="shared" ca="1" si="916"/>
        <v>2255812.0979547682</v>
      </c>
      <c r="AY941" s="2">
        <f t="shared" ca="1" si="917"/>
        <v>2356350.9673549724</v>
      </c>
      <c r="AZ941" s="2">
        <f t="shared" ca="1" si="918"/>
        <v>2459368.2137838821</v>
      </c>
      <c r="BA941" s="2">
        <f t="shared" ca="1" si="919"/>
        <v>52164151.884581596</v>
      </c>
      <c r="BB941" s="2">
        <f t="shared" ca="1" si="920"/>
        <v>1043283.0376916319</v>
      </c>
      <c r="BC941" s="2">
        <f t="shared" ca="1" si="921"/>
        <v>23753161.13058253</v>
      </c>
      <c r="BD941" s="2">
        <f t="shared" ca="1" si="922"/>
        <v>-19885459.632384434</v>
      </c>
      <c r="BE941" s="2">
        <f t="shared" ca="1" si="923"/>
        <v>2028011.9666496157</v>
      </c>
      <c r="BF941" s="2">
        <f t="shared" ca="1" si="924"/>
        <v>2157691.9810746633</v>
      </c>
      <c r="BG941" s="2">
        <f t="shared" ca="1" si="925"/>
        <v>2255812.0979547682</v>
      </c>
      <c r="BH941" s="2">
        <f t="shared" ca="1" si="926"/>
        <v>2356350.9673549724</v>
      </c>
      <c r="BI941" s="2">
        <f t="shared" ca="1" si="927"/>
        <v>26212529.344366413</v>
      </c>
      <c r="BJ941" s="2">
        <f t="shared" ca="1" si="928"/>
        <v>0.14117319252370342</v>
      </c>
      <c r="BK941" s="2">
        <f t="shared" ca="1" si="929"/>
        <v>1622203.4140209667</v>
      </c>
    </row>
    <row r="942" spans="1:63" x14ac:dyDescent="0.3">
      <c r="A942" s="2">
        <v>941</v>
      </c>
      <c r="B942" s="2">
        <f t="shared" ca="1" si="868"/>
        <v>0.41449324858195724</v>
      </c>
      <c r="C942" s="2">
        <f t="shared" ca="1" si="869"/>
        <v>6.9104869560646733</v>
      </c>
      <c r="D942" s="2">
        <f t="shared" ca="1" si="870"/>
        <v>5.2390597774904402E-2</v>
      </c>
      <c r="E942" s="2">
        <f t="shared" ca="1" si="871"/>
        <v>6.8236992362515068</v>
      </c>
      <c r="F942" s="2">
        <f t="shared" ca="1" si="872"/>
        <v>5.1715291221346438E-2</v>
      </c>
      <c r="G942" s="2">
        <f t="shared" ca="1" si="873"/>
        <v>-8.8533471662459104E-3</v>
      </c>
      <c r="H942" s="2">
        <f t="shared" ca="1" si="874"/>
        <v>-8.8533471662459104E-3</v>
      </c>
      <c r="I942" s="2">
        <f t="shared" ca="1" si="875"/>
        <v>0.93213146719089379</v>
      </c>
      <c r="J942" s="2">
        <f t="shared" ca="1" si="876"/>
        <v>1.7459276833532662E-2</v>
      </c>
      <c r="K942" s="2">
        <f t="shared" ca="1" si="877"/>
        <v>1.7459276833532662E-2</v>
      </c>
      <c r="L942" s="2">
        <f t="shared" ca="1" si="878"/>
        <v>0.43830075393267531</v>
      </c>
      <c r="M942" s="2">
        <f t="shared" ca="1" si="879"/>
        <v>-3.1055765118194988E-3</v>
      </c>
      <c r="N942" s="2">
        <f t="shared" ca="1" si="880"/>
        <v>-3.1055765118194988E-3</v>
      </c>
      <c r="O942" s="2">
        <f t="shared" si="881"/>
        <v>6000000</v>
      </c>
      <c r="P942" s="2">
        <f t="shared" ca="1" si="882"/>
        <v>41462921.736388043</v>
      </c>
      <c r="Q942" s="2">
        <f t="shared" ca="1" si="883"/>
        <v>1036573.0434097011</v>
      </c>
      <c r="R942" s="2">
        <f t="shared" ca="1" si="884"/>
        <v>24877753.041832823</v>
      </c>
      <c r="S942" s="2">
        <f t="shared" ca="1" si="885"/>
        <v>16585168.694555217</v>
      </c>
      <c r="T942" s="2">
        <f t="shared" ca="1" si="886"/>
        <v>49844721.174409024</v>
      </c>
      <c r="U942" s="2">
        <f t="shared" ca="1" si="887"/>
        <v>49403428.553447254</v>
      </c>
      <c r="V942" s="2">
        <f t="shared" ca="1" si="888"/>
        <v>48966042.849260762</v>
      </c>
      <c r="W942" s="2">
        <f t="shared" ca="1" si="889"/>
        <v>48532529.472558983</v>
      </c>
      <c r="X942" s="2">
        <f t="shared" ca="1" si="890"/>
        <v>48102854.140282355</v>
      </c>
      <c r="Y942" s="2">
        <f t="shared" ca="1" si="891"/>
        <v>0.12872963841676632</v>
      </c>
      <c r="Z942" s="2">
        <f t="shared" ca="1" si="892"/>
        <v>0.13222149378347287</v>
      </c>
      <c r="AA942" s="2">
        <f t="shared" ca="1" si="893"/>
        <v>6416492.9337662095</v>
      </c>
      <c r="AB942" s="2">
        <f t="shared" ca="1" si="894"/>
        <v>6532195.1213618722</v>
      </c>
      <c r="AC942" s="2">
        <f t="shared" ca="1" si="895"/>
        <v>6474363.3301947983</v>
      </c>
      <c r="AD942" s="2">
        <f t="shared" ca="1" si="896"/>
        <v>6417043.5439521708</v>
      </c>
      <c r="AE942" s="2">
        <f t="shared" ca="1" si="897"/>
        <v>6360231.2296766452</v>
      </c>
      <c r="AF942" s="2">
        <f t="shared" ca="1" si="898"/>
        <v>996894.4234881805</v>
      </c>
      <c r="AG942" s="2">
        <f t="shared" ca="1" si="899"/>
        <v>988068.57106894511</v>
      </c>
      <c r="AH942" s="2">
        <f t="shared" ca="1" si="900"/>
        <v>979320.85698521521</v>
      </c>
      <c r="AI942" s="2">
        <f t="shared" ca="1" si="901"/>
        <v>970650.58945117972</v>
      </c>
      <c r="AJ942" s="2">
        <f t="shared" ca="1" si="902"/>
        <v>962057.08280564717</v>
      </c>
      <c r="AK942" s="2">
        <f t="shared" ca="1" si="903"/>
        <v>0</v>
      </c>
      <c r="AL942" s="2">
        <f t="shared" ca="1" si="904"/>
        <v>0</v>
      </c>
      <c r="AM942" s="2">
        <f t="shared" ca="1" si="905"/>
        <v>0</v>
      </c>
      <c r="AN942" s="2">
        <f t="shared" ca="1" si="906"/>
        <v>0</v>
      </c>
      <c r="AO942" s="2">
        <f t="shared" ca="1" si="907"/>
        <v>0</v>
      </c>
      <c r="AP942" s="2">
        <f t="shared" ca="1" si="908"/>
        <v>2238997.7737649539</v>
      </c>
      <c r="AQ942" s="2">
        <f t="shared" ca="1" si="909"/>
        <v>826956.19149339967</v>
      </c>
      <c r="AR942" s="2">
        <f t="shared" ca="1" si="910"/>
        <v>859333.48189727298</v>
      </c>
      <c r="AS942" s="2">
        <f t="shared" ca="1" si="911"/>
        <v>846571.62185560365</v>
      </c>
      <c r="AT942" s="2">
        <f t="shared" ca="1" si="912"/>
        <v>833922.74699136964</v>
      </c>
      <c r="AU942" s="2">
        <f t="shared" ca="1" si="913"/>
        <v>821385.85700757138</v>
      </c>
      <c r="AV942" s="2">
        <f t="shared" ca="1" si="914"/>
        <v>2353644.545019676</v>
      </c>
      <c r="AW942" s="2">
        <f t="shared" ca="1" si="915"/>
        <v>2445795.2946306998</v>
      </c>
      <c r="AX942" s="2">
        <f t="shared" ca="1" si="916"/>
        <v>2409473.0775890257</v>
      </c>
      <c r="AY942" s="2">
        <f t="shared" ca="1" si="917"/>
        <v>2373472.4337446671</v>
      </c>
      <c r="AZ942" s="2">
        <f t="shared" ca="1" si="918"/>
        <v>2337790.5160984723</v>
      </c>
      <c r="BA942" s="2">
        <f t="shared" ca="1" si="919"/>
        <v>43400304.984327503</v>
      </c>
      <c r="BB942" s="2">
        <f t="shared" ca="1" si="920"/>
        <v>868006.09968655009</v>
      </c>
      <c r="BC942" s="2">
        <f t="shared" ca="1" si="921"/>
        <v>17654545.842808127</v>
      </c>
      <c r="BD942" s="2">
        <f t="shared" ca="1" si="922"/>
        <v>-18121741.737964917</v>
      </c>
      <c r="BE942" s="2">
        <f t="shared" ca="1" si="923"/>
        <v>2353644.545019676</v>
      </c>
      <c r="BF942" s="2">
        <f t="shared" ca="1" si="924"/>
        <v>2445795.2946306998</v>
      </c>
      <c r="BG942" s="2">
        <f t="shared" ca="1" si="925"/>
        <v>2409473.0775890257</v>
      </c>
      <c r="BH942" s="2">
        <f t="shared" ca="1" si="926"/>
        <v>2373472.4337446671</v>
      </c>
      <c r="BI942" s="2">
        <f t="shared" ca="1" si="927"/>
        <v>19992336.358906601</v>
      </c>
      <c r="BJ942" s="2">
        <f t="shared" ca="1" si="928"/>
        <v>0.12767630426413534</v>
      </c>
      <c r="BK942" s="2">
        <f t="shared" ca="1" si="929"/>
        <v>497088.18353464454</v>
      </c>
    </row>
    <row r="943" spans="1:63" x14ac:dyDescent="0.3">
      <c r="A943" s="2">
        <v>942</v>
      </c>
      <c r="B943" s="2">
        <f t="shared" ca="1" si="868"/>
        <v>0.6988383196293434</v>
      </c>
      <c r="C943" s="2">
        <f t="shared" ca="1" si="869"/>
        <v>7.2239050568768581</v>
      </c>
      <c r="D943" s="2">
        <f t="shared" ca="1" si="870"/>
        <v>0.68030826507376851</v>
      </c>
      <c r="E943" s="2">
        <f t="shared" ca="1" si="871"/>
        <v>7.7003854241870879</v>
      </c>
      <c r="F943" s="2">
        <f t="shared" ca="1" si="872"/>
        <v>0.90687207994995755</v>
      </c>
      <c r="G943" s="2">
        <f t="shared" ca="1" si="873"/>
        <v>7.9652101285836746E-2</v>
      </c>
      <c r="H943" s="2">
        <f t="shared" ca="1" si="874"/>
        <v>7.9652101285836746E-2</v>
      </c>
      <c r="I943" s="2">
        <f t="shared" ca="1" si="875"/>
        <v>0.91072578495479006</v>
      </c>
      <c r="J943" s="2">
        <f t="shared" ca="1" si="876"/>
        <v>1.672618935293636E-2</v>
      </c>
      <c r="K943" s="2">
        <f t="shared" ca="1" si="877"/>
        <v>1.672618935293636E-2</v>
      </c>
      <c r="L943" s="2">
        <f t="shared" ca="1" si="878"/>
        <v>0.134825381296377</v>
      </c>
      <c r="M943" s="2">
        <f t="shared" ca="1" si="879"/>
        <v>-2.2077343371479884E-2</v>
      </c>
      <c r="N943" s="2">
        <f t="shared" ca="1" si="880"/>
        <v>-2.2077343371479884E-2</v>
      </c>
      <c r="O943" s="2">
        <f t="shared" si="881"/>
        <v>6000000</v>
      </c>
      <c r="P943" s="2">
        <f t="shared" ca="1" si="882"/>
        <v>43343430.341261148</v>
      </c>
      <c r="Q943" s="2">
        <f t="shared" ca="1" si="883"/>
        <v>1083585.7585315288</v>
      </c>
      <c r="R943" s="2">
        <f t="shared" ca="1" si="884"/>
        <v>26006058.204756688</v>
      </c>
      <c r="S943" s="2">
        <f t="shared" ca="1" si="885"/>
        <v>17337372.13650446</v>
      </c>
      <c r="T943" s="2">
        <f t="shared" ca="1" si="886"/>
        <v>48896132.831426002</v>
      </c>
      <c r="U943" s="2">
        <f t="shared" ca="1" si="887"/>
        <v>52790812.556200467</v>
      </c>
      <c r="V943" s="2">
        <f t="shared" ca="1" si="888"/>
        <v>56995711.704888567</v>
      </c>
      <c r="W943" s="2">
        <f t="shared" ca="1" si="889"/>
        <v>61535539.906464696</v>
      </c>
      <c r="X943" s="2">
        <f t="shared" ca="1" si="890"/>
        <v>66436974.963773064</v>
      </c>
      <c r="Y943" s="2">
        <f t="shared" ca="1" si="891"/>
        <v>0.12836309467646817</v>
      </c>
      <c r="Z943" s="2">
        <f t="shared" ca="1" si="892"/>
        <v>0.13170833254705544</v>
      </c>
      <c r="AA943" s="2">
        <f t="shared" ca="1" si="893"/>
        <v>6276458.9279534994</v>
      </c>
      <c r="AB943" s="2">
        <f t="shared" ca="1" si="894"/>
        <v>6952989.8955813209</v>
      </c>
      <c r="AC943" s="2">
        <f t="shared" ca="1" si="895"/>
        <v>7506810.1509835636</v>
      </c>
      <c r="AD943" s="2">
        <f t="shared" ca="1" si="896"/>
        <v>8104743.353463253</v>
      </c>
      <c r="AE943" s="2">
        <f t="shared" ca="1" si="897"/>
        <v>8750303.1919490192</v>
      </c>
      <c r="AF943" s="2">
        <f t="shared" ca="1" si="898"/>
        <v>977922.65662852011</v>
      </c>
      <c r="AG943" s="2">
        <f t="shared" ca="1" si="899"/>
        <v>1055816.2511240093</v>
      </c>
      <c r="AH943" s="2">
        <f t="shared" ca="1" si="900"/>
        <v>1139914.2340977713</v>
      </c>
      <c r="AI943" s="2">
        <f t="shared" ca="1" si="901"/>
        <v>1230710.7981292938</v>
      </c>
      <c r="AJ943" s="2">
        <f t="shared" ca="1" si="902"/>
        <v>1328739.4992754613</v>
      </c>
      <c r="AK943" s="2">
        <f t="shared" ca="1" si="903"/>
        <v>0</v>
      </c>
      <c r="AL943" s="2">
        <f t="shared" ca="1" si="904"/>
        <v>38946.797247744653</v>
      </c>
      <c r="AM943" s="2">
        <f t="shared" ca="1" si="905"/>
        <v>42048.991486881001</v>
      </c>
      <c r="AN943" s="2">
        <f t="shared" ca="1" si="906"/>
        <v>45398.282015761288</v>
      </c>
      <c r="AO943" s="2">
        <f t="shared" ca="1" si="907"/>
        <v>49014.350573083684</v>
      </c>
      <c r="AP943" s="2">
        <f t="shared" ca="1" si="908"/>
        <v>2340545.2384281019</v>
      </c>
      <c r="AQ943" s="2">
        <f t="shared" ca="1" si="909"/>
        <v>769077.66855318809</v>
      </c>
      <c r="AR943" s="2">
        <f t="shared" ca="1" si="910"/>
        <v>924723.38556759455</v>
      </c>
      <c r="AS943" s="2">
        <f t="shared" ca="1" si="911"/>
        <v>1046851.1763989995</v>
      </c>
      <c r="AT943" s="2">
        <f t="shared" ca="1" si="912"/>
        <v>1178706.702395523</v>
      </c>
      <c r="AU943" s="2">
        <f t="shared" ca="1" si="913"/>
        <v>1321064.7981038187</v>
      </c>
      <c r="AV943" s="2">
        <f t="shared" ca="1" si="914"/>
        <v>2188913.3643436888</v>
      </c>
      <c r="AW943" s="2">
        <f t="shared" ca="1" si="915"/>
        <v>2592958.2232138701</v>
      </c>
      <c r="AX943" s="2">
        <f t="shared" ca="1" si="916"/>
        <v>2937450.5105718104</v>
      </c>
      <c r="AY943" s="2">
        <f t="shared" ca="1" si="917"/>
        <v>3309382.3324945727</v>
      </c>
      <c r="AZ943" s="2">
        <f t="shared" ca="1" si="918"/>
        <v>3710939.3055685544</v>
      </c>
      <c r="BA943" s="2">
        <f t="shared" ca="1" si="919"/>
        <v>67380707.156501979</v>
      </c>
      <c r="BB943" s="2">
        <f t="shared" ca="1" si="920"/>
        <v>1347614.1431300396</v>
      </c>
      <c r="BC943" s="2">
        <f t="shared" ca="1" si="921"/>
        <v>40027034.808615245</v>
      </c>
      <c r="BD943" s="2">
        <f t="shared" ca="1" si="922"/>
        <v>-18920957.89503599</v>
      </c>
      <c r="BE943" s="2">
        <f t="shared" ca="1" si="923"/>
        <v>2188913.3643436888</v>
      </c>
      <c r="BF943" s="2">
        <f t="shared" ca="1" si="924"/>
        <v>2592958.2232138701</v>
      </c>
      <c r="BG943" s="2">
        <f t="shared" ca="1" si="925"/>
        <v>2937450.5105718104</v>
      </c>
      <c r="BH943" s="2">
        <f t="shared" ca="1" si="926"/>
        <v>3309382.3324945727</v>
      </c>
      <c r="BI943" s="2">
        <f t="shared" ca="1" si="927"/>
        <v>43737974.114183798</v>
      </c>
      <c r="BJ943" s="2">
        <f t="shared" ca="1" si="928"/>
        <v>0.27566854055177226</v>
      </c>
      <c r="BK943" s="2">
        <f t="shared" ca="1" si="929"/>
        <v>14112612.137826476</v>
      </c>
    </row>
    <row r="944" spans="1:63" x14ac:dyDescent="0.3">
      <c r="A944" s="2">
        <v>943</v>
      </c>
      <c r="B944" s="2">
        <f t="shared" ca="1" si="868"/>
        <v>0.54445469089328302</v>
      </c>
      <c r="C944" s="2">
        <f t="shared" ca="1" si="869"/>
        <v>7.0454893304873778</v>
      </c>
      <c r="D944" s="2">
        <f t="shared" ca="1" si="870"/>
        <v>0.8119252256947308</v>
      </c>
      <c r="E944" s="2">
        <f t="shared" ca="1" si="871"/>
        <v>7.8866896800064925</v>
      </c>
      <c r="F944" s="2">
        <f t="shared" ca="1" si="872"/>
        <v>0.11375149202546597</v>
      </c>
      <c r="G944" s="2">
        <f t="shared" ca="1" si="873"/>
        <v>3.7955177594602013E-3</v>
      </c>
      <c r="H944" s="2">
        <f t="shared" ca="1" si="874"/>
        <v>3.7955177594602013E-3</v>
      </c>
      <c r="I944" s="2">
        <f t="shared" ca="1" si="875"/>
        <v>0.62567653278237623</v>
      </c>
      <c r="J944" s="2">
        <f t="shared" ca="1" si="876"/>
        <v>1.1602120000300595E-2</v>
      </c>
      <c r="K944" s="2">
        <f t="shared" ca="1" si="877"/>
        <v>1.1602120000300595E-2</v>
      </c>
      <c r="L944" s="2">
        <f t="shared" ca="1" si="878"/>
        <v>0.18378018090705983</v>
      </c>
      <c r="M944" s="2">
        <f t="shared" ca="1" si="879"/>
        <v>-1.8021051682626642E-2</v>
      </c>
      <c r="N944" s="2">
        <f t="shared" ca="1" si="880"/>
        <v>-1.8021051682626642E-2</v>
      </c>
      <c r="O944" s="2">
        <f t="shared" si="881"/>
        <v>6000000</v>
      </c>
      <c r="P944" s="2">
        <f t="shared" ca="1" si="882"/>
        <v>42272935.982924268</v>
      </c>
      <c r="Q944" s="2">
        <f t="shared" ca="1" si="883"/>
        <v>1056823.3995731068</v>
      </c>
      <c r="R944" s="2">
        <f t="shared" ca="1" si="884"/>
        <v>25363761.589754559</v>
      </c>
      <c r="S944" s="2">
        <f t="shared" ca="1" si="885"/>
        <v>16909174.393169709</v>
      </c>
      <c r="T944" s="2">
        <f t="shared" ca="1" si="886"/>
        <v>49098947.415868662</v>
      </c>
      <c r="U944" s="2">
        <f t="shared" ca="1" si="887"/>
        <v>49285303.342756391</v>
      </c>
      <c r="V944" s="2">
        <f t="shared" ca="1" si="888"/>
        <v>49472366.586874202</v>
      </c>
      <c r="W944" s="2">
        <f t="shared" ca="1" si="889"/>
        <v>49660139.832857206</v>
      </c>
      <c r="X944" s="2">
        <f t="shared" ca="1" si="890"/>
        <v>49848625.775530092</v>
      </c>
      <c r="Y944" s="2">
        <f t="shared" ca="1" si="891"/>
        <v>0.12580106000015029</v>
      </c>
      <c r="Z944" s="2">
        <f t="shared" ca="1" si="892"/>
        <v>0.12812148400021042</v>
      </c>
      <c r="AA944" s="2">
        <f t="shared" ca="1" si="893"/>
        <v>6176699.6298079174</v>
      </c>
      <c r="AB944" s="2">
        <f t="shared" ca="1" si="894"/>
        <v>6314506.2036744803</v>
      </c>
      <c r="AC944" s="2">
        <f t="shared" ca="1" si="895"/>
        <v>6338473.024112748</v>
      </c>
      <c r="AD944" s="2">
        <f t="shared" ca="1" si="896"/>
        <v>6362530.8110436266</v>
      </c>
      <c r="AE944" s="2">
        <f t="shared" ca="1" si="897"/>
        <v>6386679.9097320559</v>
      </c>
      <c r="AF944" s="2">
        <f t="shared" ca="1" si="898"/>
        <v>981978.94831737329</v>
      </c>
      <c r="AG944" s="2">
        <f t="shared" ca="1" si="899"/>
        <v>985706.06685512781</v>
      </c>
      <c r="AH944" s="2">
        <f t="shared" ca="1" si="900"/>
        <v>989447.33173748408</v>
      </c>
      <c r="AI944" s="2">
        <f t="shared" ca="1" si="901"/>
        <v>993202.79665714409</v>
      </c>
      <c r="AJ944" s="2">
        <f t="shared" ca="1" si="902"/>
        <v>996972.51551060192</v>
      </c>
      <c r="AK944" s="2">
        <f t="shared" ca="1" si="903"/>
        <v>0</v>
      </c>
      <c r="AL944" s="2">
        <f t="shared" ca="1" si="904"/>
        <v>1863.5592688772829</v>
      </c>
      <c r="AM944" s="2">
        <f t="shared" ca="1" si="905"/>
        <v>1870.6324411781134</v>
      </c>
      <c r="AN944" s="2">
        <f t="shared" ca="1" si="906"/>
        <v>1877.7324598300456</v>
      </c>
      <c r="AO944" s="2">
        <f t="shared" ca="1" si="907"/>
        <v>1884.8594267288595</v>
      </c>
      <c r="AP944" s="2">
        <f t="shared" ca="1" si="908"/>
        <v>2282738.5430779103</v>
      </c>
      <c r="AQ944" s="2">
        <f t="shared" ca="1" si="909"/>
        <v>757115.3559872848</v>
      </c>
      <c r="AR944" s="2">
        <f t="shared" ca="1" si="910"/>
        <v>791976.01437277498</v>
      </c>
      <c r="AS944" s="2">
        <f t="shared" ca="1" si="911"/>
        <v>797234.65881731198</v>
      </c>
      <c r="AT944" s="2">
        <f t="shared" ca="1" si="912"/>
        <v>802513.26254022878</v>
      </c>
      <c r="AU944" s="2">
        <f t="shared" ca="1" si="913"/>
        <v>807811.90129732131</v>
      </c>
      <c r="AV944" s="2">
        <f t="shared" ca="1" si="914"/>
        <v>2154866.7824253496</v>
      </c>
      <c r="AW944" s="2">
        <f t="shared" ca="1" si="915"/>
        <v>2252222.0200997898</v>
      </c>
      <c r="AX944" s="2">
        <f t="shared" ca="1" si="916"/>
        <v>2267181.8580388641</v>
      </c>
      <c r="AY944" s="2">
        <f t="shared" ca="1" si="917"/>
        <v>2282198.4763085134</v>
      </c>
      <c r="AZ944" s="2">
        <f t="shared" ca="1" si="918"/>
        <v>2297272.0904194936</v>
      </c>
      <c r="BA944" s="2">
        <f t="shared" ca="1" si="919"/>
        <v>50369762.533588603</v>
      </c>
      <c r="BB944" s="2">
        <f t="shared" ca="1" si="920"/>
        <v>1007395.2506717721</v>
      </c>
      <c r="BC944" s="2">
        <f t="shared" ca="1" si="921"/>
        <v>23998605.693162274</v>
      </c>
      <c r="BD944" s="2">
        <f t="shared" ca="1" si="922"/>
        <v>-18465997.792742815</v>
      </c>
      <c r="BE944" s="2">
        <f t="shared" ca="1" si="923"/>
        <v>2154866.7824253496</v>
      </c>
      <c r="BF944" s="2">
        <f t="shared" ca="1" si="924"/>
        <v>2252222.0200997898</v>
      </c>
      <c r="BG944" s="2">
        <f t="shared" ca="1" si="925"/>
        <v>2267181.8580388641</v>
      </c>
      <c r="BH944" s="2">
        <f t="shared" ca="1" si="926"/>
        <v>2282198.4763085134</v>
      </c>
      <c r="BI944" s="2">
        <f t="shared" ca="1" si="927"/>
        <v>26295877.783581767</v>
      </c>
      <c r="BJ944" s="2">
        <f t="shared" ca="1" si="928"/>
        <v>0.16452879243383811</v>
      </c>
      <c r="BK944" s="2">
        <f t="shared" ca="1" si="929"/>
        <v>3238548.9152137488</v>
      </c>
    </row>
    <row r="945" spans="1:63" x14ac:dyDescent="0.3">
      <c r="A945" s="2">
        <v>944</v>
      </c>
      <c r="B945" s="2">
        <f t="shared" ca="1" si="868"/>
        <v>0.42271372275997376</v>
      </c>
      <c r="C945" s="2">
        <f t="shared" ca="1" si="869"/>
        <v>6.9194712858594052</v>
      </c>
      <c r="D945" s="2">
        <f t="shared" ca="1" si="870"/>
        <v>0.97054232195485735</v>
      </c>
      <c r="E945" s="2">
        <f t="shared" ca="1" si="871"/>
        <v>8.2572751432376865</v>
      </c>
      <c r="F945" s="2">
        <f t="shared" ca="1" si="872"/>
        <v>0.65429083874697613</v>
      </c>
      <c r="G945" s="2">
        <f t="shared" ca="1" si="873"/>
        <v>5.1907930849020179E-2</v>
      </c>
      <c r="H945" s="2">
        <f t="shared" ca="1" si="874"/>
        <v>5.1907930849020179E-2</v>
      </c>
      <c r="I945" s="2">
        <f t="shared" ca="1" si="875"/>
        <v>0.21368624881197262</v>
      </c>
      <c r="J945" s="2">
        <f t="shared" ca="1" si="876"/>
        <v>6.0315205853557086E-3</v>
      </c>
      <c r="K945" s="2">
        <f t="shared" ca="1" si="877"/>
        <v>6.0315205853557086E-3</v>
      </c>
      <c r="L945" s="2">
        <f t="shared" ca="1" si="878"/>
        <v>0.72627929100086031</v>
      </c>
      <c r="M945" s="2">
        <f t="shared" ca="1" si="879"/>
        <v>1.2031970288678577E-2</v>
      </c>
      <c r="N945" s="2">
        <f t="shared" ca="1" si="880"/>
        <v>1.2031970288678577E-2</v>
      </c>
      <c r="O945" s="2">
        <f t="shared" si="881"/>
        <v>6000000</v>
      </c>
      <c r="P945" s="2">
        <f t="shared" ca="1" si="882"/>
        <v>41516827.715156429</v>
      </c>
      <c r="Q945" s="2">
        <f t="shared" ca="1" si="883"/>
        <v>1037920.6928789108</v>
      </c>
      <c r="R945" s="2">
        <f t="shared" ca="1" si="884"/>
        <v>24910096.629093856</v>
      </c>
      <c r="S945" s="2">
        <f t="shared" ca="1" si="885"/>
        <v>16606731.086062573</v>
      </c>
      <c r="T945" s="2">
        <f t="shared" ca="1" si="886"/>
        <v>50601598.514433935</v>
      </c>
      <c r="U945" s="2">
        <f t="shared" ca="1" si="887"/>
        <v>53228222.790971056</v>
      </c>
      <c r="V945" s="2">
        <f t="shared" ca="1" si="888"/>
        <v>55991189.698821023</v>
      </c>
      <c r="W945" s="2">
        <f t="shared" ca="1" si="889"/>
        <v>58897576.501861796</v>
      </c>
      <c r="X945" s="2">
        <f t="shared" ca="1" si="890"/>
        <v>61954827.830095313</v>
      </c>
      <c r="Y945" s="2">
        <f t="shared" ca="1" si="891"/>
        <v>0.12301576029267786</v>
      </c>
      <c r="Z945" s="2">
        <f t="shared" ca="1" si="892"/>
        <v>0.12422206440974899</v>
      </c>
      <c r="AA945" s="2">
        <f t="shared" ca="1" si="893"/>
        <v>6224794.1132779289</v>
      </c>
      <c r="AB945" s="2">
        <f t="shared" ca="1" si="894"/>
        <v>6612119.7199564753</v>
      </c>
      <c r="AC945" s="2">
        <f t="shared" ca="1" si="895"/>
        <v>6955341.173145419</v>
      </c>
      <c r="AD945" s="2">
        <f t="shared" ca="1" si="896"/>
        <v>7316378.5417923946</v>
      </c>
      <c r="AE945" s="2">
        <f t="shared" ca="1" si="897"/>
        <v>7696156.6132050091</v>
      </c>
      <c r="AF945" s="2">
        <f t="shared" ca="1" si="898"/>
        <v>1012031.9702886788</v>
      </c>
      <c r="AG945" s="2">
        <f t="shared" ca="1" si="899"/>
        <v>1064564.4558194212</v>
      </c>
      <c r="AH945" s="2">
        <f t="shared" ca="1" si="900"/>
        <v>1119823.7939764205</v>
      </c>
      <c r="AI945" s="2">
        <f t="shared" ca="1" si="901"/>
        <v>1177951.5300372359</v>
      </c>
      <c r="AJ945" s="2">
        <f t="shared" ca="1" si="902"/>
        <v>1239096.5566019062</v>
      </c>
      <c r="AK945" s="2">
        <f t="shared" ca="1" si="903"/>
        <v>0</v>
      </c>
      <c r="AL945" s="2">
        <f t="shared" ca="1" si="904"/>
        <v>26266.242765371204</v>
      </c>
      <c r="AM945" s="2">
        <f t="shared" ca="1" si="905"/>
        <v>27629.669078499675</v>
      </c>
      <c r="AN945" s="2">
        <f t="shared" ca="1" si="906"/>
        <v>29063.868030407728</v>
      </c>
      <c r="AO945" s="2">
        <f t="shared" ca="1" si="907"/>
        <v>30572.513282335178</v>
      </c>
      <c r="AP945" s="2">
        <f t="shared" ca="1" si="908"/>
        <v>2241908.6966184471</v>
      </c>
      <c r="AQ945" s="2">
        <f t="shared" ca="1" si="909"/>
        <v>772421.89605640876</v>
      </c>
      <c r="AR945" s="2">
        <f t="shared" ca="1" si="910"/>
        <v>859468.10755483783</v>
      </c>
      <c r="AS945" s="2">
        <f t="shared" ca="1" si="911"/>
        <v>934338.25746314344</v>
      </c>
      <c r="AT945" s="2">
        <f t="shared" ca="1" si="912"/>
        <v>1013094.7619355451</v>
      </c>
      <c r="AU945" s="2">
        <f t="shared" ca="1" si="913"/>
        <v>1095939.3535960105</v>
      </c>
      <c r="AV945" s="2">
        <f t="shared" ca="1" si="914"/>
        <v>2198431.5503143938</v>
      </c>
      <c r="AW945" s="2">
        <f t="shared" ca="1" si="915"/>
        <v>2419912.217198398</v>
      </c>
      <c r="AX945" s="2">
        <f t="shared" ca="1" si="916"/>
        <v>2631640.7560089082</v>
      </c>
      <c r="AY945" s="2">
        <f t="shared" ca="1" si="917"/>
        <v>2854359.6851707594</v>
      </c>
      <c r="AZ945" s="2">
        <f t="shared" ca="1" si="918"/>
        <v>3088639.4931063103</v>
      </c>
      <c r="BA945" s="2">
        <f t="shared" ca="1" si="919"/>
        <v>63549282.700682059</v>
      </c>
      <c r="BB945" s="2">
        <f t="shared" ca="1" si="920"/>
        <v>1270985.6540136412</v>
      </c>
      <c r="BC945" s="2">
        <f t="shared" ca="1" si="921"/>
        <v>37368200.417574562</v>
      </c>
      <c r="BD945" s="2">
        <f t="shared" ca="1" si="922"/>
        <v>-18144651.778941482</v>
      </c>
      <c r="BE945" s="2">
        <f t="shared" ca="1" si="923"/>
        <v>2198431.5503143938</v>
      </c>
      <c r="BF945" s="2">
        <f t="shared" ca="1" si="924"/>
        <v>2419912.217198398</v>
      </c>
      <c r="BG945" s="2">
        <f t="shared" ca="1" si="925"/>
        <v>2631640.7560089082</v>
      </c>
      <c r="BH945" s="2">
        <f t="shared" ca="1" si="926"/>
        <v>2854359.6851707594</v>
      </c>
      <c r="BI945" s="2">
        <f t="shared" ca="1" si="927"/>
        <v>40456839.910680875</v>
      </c>
      <c r="BJ945" s="2">
        <f t="shared" ca="1" si="928"/>
        <v>0.26515929245896364</v>
      </c>
      <c r="BK945" s="2">
        <f t="shared" ca="1" si="929"/>
        <v>12390817.292092916</v>
      </c>
    </row>
    <row r="946" spans="1:63" x14ac:dyDescent="0.3">
      <c r="A946" s="2">
        <v>945</v>
      </c>
      <c r="B946" s="2">
        <f t="shared" ca="1" si="868"/>
        <v>5.8092427953779224E-2</v>
      </c>
      <c r="C946" s="2">
        <f t="shared" ca="1" si="869"/>
        <v>6.3408589971051939</v>
      </c>
      <c r="D946" s="2">
        <f t="shared" ca="1" si="870"/>
        <v>0.96131594040535495</v>
      </c>
      <c r="E946" s="2">
        <f t="shared" ca="1" si="871"/>
        <v>8.2218487476402622</v>
      </c>
      <c r="F946" s="2">
        <f t="shared" ca="1" si="872"/>
        <v>9.4268868473729617E-2</v>
      </c>
      <c r="G946" s="2">
        <f t="shared" ca="1" si="873"/>
        <v>5.524844883195365E-4</v>
      </c>
      <c r="H946" s="2">
        <f t="shared" ca="1" si="874"/>
        <v>5.524844883195365E-4</v>
      </c>
      <c r="I946" s="2">
        <f t="shared" ca="1" si="875"/>
        <v>0.82487987182388967</v>
      </c>
      <c r="J946" s="2">
        <f t="shared" ca="1" si="876"/>
        <v>1.4670616867542742E-2</v>
      </c>
      <c r="K946" s="2">
        <f t="shared" ca="1" si="877"/>
        <v>1.4670616867542742E-2</v>
      </c>
      <c r="L946" s="2">
        <f t="shared" ca="1" si="878"/>
        <v>0.18306875242745524</v>
      </c>
      <c r="M946" s="2">
        <f t="shared" ca="1" si="879"/>
        <v>-1.8074640821690763E-2</v>
      </c>
      <c r="N946" s="2">
        <f t="shared" ca="1" si="880"/>
        <v>-1.8074640821690763E-2</v>
      </c>
      <c r="O946" s="2">
        <f t="shared" si="881"/>
        <v>6000000</v>
      </c>
      <c r="P946" s="2">
        <f t="shared" ca="1" si="882"/>
        <v>38045153.982631162</v>
      </c>
      <c r="Q946" s="2">
        <f t="shared" ca="1" si="883"/>
        <v>951128.84956577909</v>
      </c>
      <c r="R946" s="2">
        <f t="shared" ca="1" si="884"/>
        <v>22827092.389578696</v>
      </c>
      <c r="S946" s="2">
        <f t="shared" ca="1" si="885"/>
        <v>15218061.593052465</v>
      </c>
      <c r="T946" s="2">
        <f t="shared" ca="1" si="886"/>
        <v>49096267.958915465</v>
      </c>
      <c r="U946" s="2">
        <f t="shared" ca="1" si="887"/>
        <v>49123392.885397144</v>
      </c>
      <c r="V946" s="2">
        <f t="shared" ca="1" si="888"/>
        <v>49150532.797979951</v>
      </c>
      <c r="W946" s="2">
        <f t="shared" ca="1" si="889"/>
        <v>49177687.704943478</v>
      </c>
      <c r="X946" s="2">
        <f t="shared" ca="1" si="890"/>
        <v>49204857.614571884</v>
      </c>
      <c r="Y946" s="2">
        <f t="shared" ca="1" si="891"/>
        <v>0.12733530843377136</v>
      </c>
      <c r="Z946" s="2">
        <f t="shared" ca="1" si="892"/>
        <v>0.1302694318072799</v>
      </c>
      <c r="AA946" s="2">
        <f t="shared" ca="1" si="893"/>
        <v>6251688.423495587</v>
      </c>
      <c r="AB946" s="2">
        <f t="shared" ca="1" si="894"/>
        <v>6399276.4796264619</v>
      </c>
      <c r="AC946" s="2">
        <f t="shared" ca="1" si="895"/>
        <v>6402811.9806179237</v>
      </c>
      <c r="AD946" s="2">
        <f t="shared" ca="1" si="896"/>
        <v>6406349.4349188413</v>
      </c>
      <c r="AE946" s="2">
        <f t="shared" ca="1" si="897"/>
        <v>6409888.8436083896</v>
      </c>
      <c r="AF946" s="2">
        <f t="shared" ca="1" si="898"/>
        <v>981925.35917830933</v>
      </c>
      <c r="AG946" s="2">
        <f t="shared" ca="1" si="899"/>
        <v>982467.85770794284</v>
      </c>
      <c r="AH946" s="2">
        <f t="shared" ca="1" si="900"/>
        <v>983010.65595959907</v>
      </c>
      <c r="AI946" s="2">
        <f t="shared" ca="1" si="901"/>
        <v>983553.75409886963</v>
      </c>
      <c r="AJ946" s="2">
        <f t="shared" ca="1" si="902"/>
        <v>984097.15229143773</v>
      </c>
      <c r="AK946" s="2">
        <f t="shared" ca="1" si="903"/>
        <v>0</v>
      </c>
      <c r="AL946" s="2">
        <f t="shared" ca="1" si="904"/>
        <v>271.2492648167908</v>
      </c>
      <c r="AM946" s="2">
        <f t="shared" ca="1" si="905"/>
        <v>271.39912582807244</v>
      </c>
      <c r="AN946" s="2">
        <f t="shared" ca="1" si="906"/>
        <v>271.54906963527202</v>
      </c>
      <c r="AO946" s="2">
        <f t="shared" ca="1" si="907"/>
        <v>271.69909628406168</v>
      </c>
      <c r="AP946" s="2">
        <f t="shared" ca="1" si="908"/>
        <v>2054438.3150620826</v>
      </c>
      <c r="AQ946" s="2">
        <f t="shared" ca="1" si="909"/>
        <v>835984.43480635085</v>
      </c>
      <c r="AR946" s="2">
        <f t="shared" ca="1" si="910"/>
        <v>874216.27978267358</v>
      </c>
      <c r="AS946" s="2">
        <f t="shared" ca="1" si="911"/>
        <v>874994.38249502308</v>
      </c>
      <c r="AT946" s="2">
        <f t="shared" ca="1" si="912"/>
        <v>875772.91509705118</v>
      </c>
      <c r="AU946" s="2">
        <f t="shared" ca="1" si="913"/>
        <v>876551.87782626611</v>
      </c>
      <c r="AV946" s="2">
        <f t="shared" ca="1" si="914"/>
        <v>2379340.3144488446</v>
      </c>
      <c r="AW946" s="2">
        <f t="shared" ca="1" si="915"/>
        <v>2487882.7778089466</v>
      </c>
      <c r="AX946" s="2">
        <f t="shared" ca="1" si="916"/>
        <v>2490097.2279753909</v>
      </c>
      <c r="AY946" s="2">
        <f t="shared" ca="1" si="917"/>
        <v>2492312.9015912022</v>
      </c>
      <c r="AZ946" s="2">
        <f t="shared" ca="1" si="918"/>
        <v>2494529.7993323198</v>
      </c>
      <c r="BA946" s="2">
        <f t="shared" ca="1" si="919"/>
        <v>52701136.561334923</v>
      </c>
      <c r="BB946" s="2">
        <f t="shared" ca="1" si="920"/>
        <v>1054022.7312266985</v>
      </c>
      <c r="BC946" s="2">
        <f t="shared" ca="1" si="921"/>
        <v>28820021.440529529</v>
      </c>
      <c r="BD946" s="2">
        <f t="shared" ca="1" si="922"/>
        <v>-16669190.442618245</v>
      </c>
      <c r="BE946" s="2">
        <f t="shared" ca="1" si="923"/>
        <v>2379340.3144488446</v>
      </c>
      <c r="BF946" s="2">
        <f t="shared" ca="1" si="924"/>
        <v>2487882.7778089466</v>
      </c>
      <c r="BG946" s="2">
        <f t="shared" ca="1" si="925"/>
        <v>2490097.2279753909</v>
      </c>
      <c r="BH946" s="2">
        <f t="shared" ca="1" si="926"/>
        <v>2492312.9015912022</v>
      </c>
      <c r="BI946" s="2">
        <f t="shared" ca="1" si="927"/>
        <v>31314551.23986185</v>
      </c>
      <c r="BJ946" s="2">
        <f t="shared" ca="1" si="928"/>
        <v>0.23832389503046403</v>
      </c>
      <c r="BK946" s="2">
        <f t="shared" ca="1" si="929"/>
        <v>8563574.7472436745</v>
      </c>
    </row>
    <row r="947" spans="1:63" x14ac:dyDescent="0.3">
      <c r="A947" s="2">
        <v>946</v>
      </c>
      <c r="B947" s="2">
        <f t="shared" ca="1" si="868"/>
        <v>0.98542442126507634</v>
      </c>
      <c r="C947" s="2">
        <f t="shared" ca="1" si="869"/>
        <v>7.8292628995506623</v>
      </c>
      <c r="D947" s="2">
        <f t="shared" ca="1" si="870"/>
        <v>0.31442771280164161</v>
      </c>
      <c r="E947" s="2">
        <f t="shared" ca="1" si="871"/>
        <v>7.2930040514419101</v>
      </c>
      <c r="F947" s="2">
        <f t="shared" ca="1" si="872"/>
        <v>0.43802949519494117</v>
      </c>
      <c r="G947" s="2">
        <f t="shared" ca="1" si="873"/>
        <v>3.5320988376972194E-2</v>
      </c>
      <c r="H947" s="2">
        <f t="shared" ca="1" si="874"/>
        <v>3.5320988376972194E-2</v>
      </c>
      <c r="I947" s="2">
        <f t="shared" ca="1" si="875"/>
        <v>0.18498381834926703</v>
      </c>
      <c r="J947" s="2">
        <f t="shared" ca="1" si="876"/>
        <v>5.5173300645285275E-3</v>
      </c>
      <c r="K947" s="2">
        <f t="shared" ca="1" si="877"/>
        <v>5.5173300645285275E-3</v>
      </c>
      <c r="L947" s="2">
        <f t="shared" ca="1" si="878"/>
        <v>0.42237374394766158</v>
      </c>
      <c r="M947" s="2">
        <f t="shared" ca="1" si="879"/>
        <v>-3.9164911548950762E-3</v>
      </c>
      <c r="N947" s="2">
        <f t="shared" ca="1" si="880"/>
        <v>-3.9164911548950762E-3</v>
      </c>
      <c r="O947" s="2">
        <f t="shared" si="881"/>
        <v>6000000</v>
      </c>
      <c r="P947" s="2">
        <f t="shared" ca="1" si="882"/>
        <v>46975577.397303976</v>
      </c>
      <c r="Q947" s="2">
        <f t="shared" ca="1" si="883"/>
        <v>1174389.4349325995</v>
      </c>
      <c r="R947" s="2">
        <f t="shared" ca="1" si="884"/>
        <v>28185346.438382383</v>
      </c>
      <c r="S947" s="2">
        <f t="shared" ca="1" si="885"/>
        <v>18790230.958921593</v>
      </c>
      <c r="T947" s="2">
        <f t="shared" ca="1" si="886"/>
        <v>49804175.442255244</v>
      </c>
      <c r="U947" s="2">
        <f t="shared" ca="1" si="887"/>
        <v>51563308.144175828</v>
      </c>
      <c r="V947" s="2">
        <f t="shared" ca="1" si="888"/>
        <v>53384575.151814505</v>
      </c>
      <c r="W947" s="2">
        <f t="shared" ca="1" si="889"/>
        <v>55270171.110261351</v>
      </c>
      <c r="X947" s="2">
        <f t="shared" ca="1" si="890"/>
        <v>57222368.181640163</v>
      </c>
      <c r="Y947" s="2">
        <f t="shared" ca="1" si="891"/>
        <v>0.12275866503226426</v>
      </c>
      <c r="Z947" s="2">
        <f t="shared" ca="1" si="892"/>
        <v>0.12386213104516997</v>
      </c>
      <c r="AA947" s="2">
        <f t="shared" ca="1" si="893"/>
        <v>6113894.0903239334</v>
      </c>
      <c r="AB947" s="2">
        <f t="shared" ca="1" si="894"/>
        <v>6386741.2304763859</v>
      </c>
      <c r="AC947" s="2">
        <f t="shared" ca="1" si="895"/>
        <v>6612327.2432447728</v>
      </c>
      <c r="AD947" s="2">
        <f t="shared" ca="1" si="896"/>
        <v>6845881.176948159</v>
      </c>
      <c r="AE947" s="2">
        <f t="shared" ca="1" si="897"/>
        <v>7087684.4664292783</v>
      </c>
      <c r="AF947" s="2">
        <f t="shared" ca="1" si="898"/>
        <v>996083.50884510484</v>
      </c>
      <c r="AG947" s="2">
        <f t="shared" ca="1" si="899"/>
        <v>1031266.1628835165</v>
      </c>
      <c r="AH947" s="2">
        <f t="shared" ca="1" si="900"/>
        <v>1067691.5030362902</v>
      </c>
      <c r="AI947" s="2">
        <f t="shared" ca="1" si="901"/>
        <v>1105403.422205227</v>
      </c>
      <c r="AJ947" s="2">
        <f t="shared" ca="1" si="902"/>
        <v>1144447.3636328033</v>
      </c>
      <c r="AK947" s="2">
        <f t="shared" ca="1" si="903"/>
        <v>0</v>
      </c>
      <c r="AL947" s="2">
        <f t="shared" ca="1" si="904"/>
        <v>17591.327019205837</v>
      </c>
      <c r="AM947" s="2">
        <f t="shared" ca="1" si="905"/>
        <v>18212.670076386781</v>
      </c>
      <c r="AN947" s="2">
        <f t="shared" ca="1" si="906"/>
        <v>18855.959584468455</v>
      </c>
      <c r="AO947" s="2">
        <f t="shared" ca="1" si="907"/>
        <v>19521.970713788123</v>
      </c>
      <c r="AP947" s="2">
        <f t="shared" ca="1" si="908"/>
        <v>2536681.1794544146</v>
      </c>
      <c r="AQ947" s="2">
        <f t="shared" ca="1" si="909"/>
        <v>671093.64452634763</v>
      </c>
      <c r="AR947" s="2">
        <f t="shared" ca="1" si="910"/>
        <v>732886.41091599828</v>
      </c>
      <c r="AS947" s="2">
        <f t="shared" ca="1" si="911"/>
        <v>782068.18579605769</v>
      </c>
      <c r="AT947" s="2">
        <f t="shared" ca="1" si="912"/>
        <v>832987.10957501444</v>
      </c>
      <c r="AU947" s="2">
        <f t="shared" ca="1" si="913"/>
        <v>885704.5400689356</v>
      </c>
      <c r="AV947" s="2">
        <f t="shared" ca="1" si="914"/>
        <v>1910035.7574980664</v>
      </c>
      <c r="AW947" s="2">
        <f t="shared" ca="1" si="915"/>
        <v>2068316.1502032499</v>
      </c>
      <c r="AX947" s="2">
        <f t="shared" ca="1" si="916"/>
        <v>2207673.7048816229</v>
      </c>
      <c r="AY947" s="2">
        <f t="shared" ca="1" si="917"/>
        <v>2351953.5061290343</v>
      </c>
      <c r="AZ947" s="2">
        <f t="shared" ca="1" si="918"/>
        <v>2501329.4125593365</v>
      </c>
      <c r="BA947" s="2">
        <f t="shared" ca="1" si="919"/>
        <v>51690511.529010616</v>
      </c>
      <c r="BB947" s="2">
        <f t="shared" ca="1" si="920"/>
        <v>1033810.2305802123</v>
      </c>
      <c r="BC947" s="2">
        <f t="shared" ca="1" si="921"/>
        <v>22471354.860048022</v>
      </c>
      <c r="BD947" s="2">
        <f t="shared" ca="1" si="922"/>
        <v>-20464620.393854193</v>
      </c>
      <c r="BE947" s="2">
        <f t="shared" ca="1" si="923"/>
        <v>1910035.7574980664</v>
      </c>
      <c r="BF947" s="2">
        <f t="shared" ca="1" si="924"/>
        <v>2068316.1502032499</v>
      </c>
      <c r="BG947" s="2">
        <f t="shared" ca="1" si="925"/>
        <v>2207673.7048816229</v>
      </c>
      <c r="BH947" s="2">
        <f t="shared" ca="1" si="926"/>
        <v>2351953.5061290343</v>
      </c>
      <c r="BI947" s="2">
        <f t="shared" ca="1" si="927"/>
        <v>24972684.27260736</v>
      </c>
      <c r="BJ947" s="2">
        <f t="shared" ca="1" si="928"/>
        <v>0.1216356681736821</v>
      </c>
      <c r="BK947" s="2">
        <f t="shared" ca="1" si="929"/>
        <v>125876.87224576622</v>
      </c>
    </row>
    <row r="948" spans="1:63" x14ac:dyDescent="0.3">
      <c r="A948" s="2">
        <v>947</v>
      </c>
      <c r="B948" s="2">
        <f t="shared" ca="1" si="868"/>
        <v>2.9860313631095425E-2</v>
      </c>
      <c r="C948" s="2">
        <f t="shared" ca="1" si="869"/>
        <v>6.2443780416939925</v>
      </c>
      <c r="D948" s="2">
        <f t="shared" ca="1" si="870"/>
        <v>0.71914562367873014</v>
      </c>
      <c r="E948" s="2">
        <f t="shared" ca="1" si="871"/>
        <v>7.7505276838718196</v>
      </c>
      <c r="F948" s="2">
        <f t="shared" ca="1" si="872"/>
        <v>0.85275314726586349</v>
      </c>
      <c r="G948" s="2">
        <f t="shared" ca="1" si="873"/>
        <v>7.144943667693554E-2</v>
      </c>
      <c r="H948" s="2">
        <f t="shared" ca="1" si="874"/>
        <v>7.144943667693554E-2</v>
      </c>
      <c r="I948" s="2">
        <f t="shared" ca="1" si="875"/>
        <v>0.88592847019725118</v>
      </c>
      <c r="J948" s="2">
        <f t="shared" ca="1" si="876"/>
        <v>1.602578032492764E-2</v>
      </c>
      <c r="K948" s="2">
        <f t="shared" ca="1" si="877"/>
        <v>1.602578032492764E-2</v>
      </c>
      <c r="L948" s="2">
        <f t="shared" ca="1" si="878"/>
        <v>0.8175277685023411</v>
      </c>
      <c r="M948" s="2">
        <f t="shared" ca="1" si="879"/>
        <v>1.8119674643001012E-2</v>
      </c>
      <c r="N948" s="2">
        <f t="shared" ca="1" si="880"/>
        <v>1.8119674643001012E-2</v>
      </c>
      <c r="O948" s="2">
        <f t="shared" si="881"/>
        <v>6000000</v>
      </c>
      <c r="P948" s="2">
        <f t="shared" ca="1" si="882"/>
        <v>37466268.250163957</v>
      </c>
      <c r="Q948" s="2">
        <f t="shared" ca="1" si="883"/>
        <v>936656.70625409903</v>
      </c>
      <c r="R948" s="2">
        <f t="shared" ca="1" si="884"/>
        <v>22479760.950098373</v>
      </c>
      <c r="S948" s="2">
        <f t="shared" ca="1" si="885"/>
        <v>14986507.300065584</v>
      </c>
      <c r="T948" s="2">
        <f t="shared" ca="1" si="886"/>
        <v>50905983.732150048</v>
      </c>
      <c r="U948" s="2">
        <f t="shared" ca="1" si="887"/>
        <v>54543187.593297414</v>
      </c>
      <c r="V948" s="2">
        <f t="shared" ca="1" si="888"/>
        <v>58440267.621402934</v>
      </c>
      <c r="W948" s="2">
        <f t="shared" ca="1" si="889"/>
        <v>62615791.822201535</v>
      </c>
      <c r="X948" s="2">
        <f t="shared" ca="1" si="890"/>
        <v>67089654.874978103</v>
      </c>
      <c r="Y948" s="2">
        <f t="shared" ca="1" si="891"/>
        <v>0.12801289016246381</v>
      </c>
      <c r="Z948" s="2">
        <f t="shared" ca="1" si="892"/>
        <v>0.13121804622744934</v>
      </c>
      <c r="AA948" s="2">
        <f t="shared" ca="1" si="893"/>
        <v>6516622.1041158941</v>
      </c>
      <c r="AB948" s="2">
        <f t="shared" ca="1" si="894"/>
        <v>7157050.5110097416</v>
      </c>
      <c r="AC948" s="2">
        <f t="shared" ca="1" si="895"/>
        <v>7668417.7382897614</v>
      </c>
      <c r="AD948" s="2">
        <f t="shared" ca="1" si="896"/>
        <v>8216321.8658939851</v>
      </c>
      <c r="AE948" s="2">
        <f t="shared" ca="1" si="897"/>
        <v>8803373.4347684979</v>
      </c>
      <c r="AF948" s="2">
        <f t="shared" ca="1" si="898"/>
        <v>1018119.6746430009</v>
      </c>
      <c r="AG948" s="2">
        <f t="shared" ca="1" si="899"/>
        <v>1090863.7518659483</v>
      </c>
      <c r="AH948" s="2">
        <f t="shared" ca="1" si="900"/>
        <v>1168805.3524280586</v>
      </c>
      <c r="AI948" s="2">
        <f t="shared" ca="1" si="901"/>
        <v>1252315.8364440307</v>
      </c>
      <c r="AJ948" s="2">
        <f t="shared" ca="1" si="902"/>
        <v>1341793.0974995622</v>
      </c>
      <c r="AK948" s="2">
        <f t="shared" ca="1" si="903"/>
        <v>0</v>
      </c>
      <c r="AL948" s="2">
        <f t="shared" ca="1" si="904"/>
        <v>36372.038611473668</v>
      </c>
      <c r="AM948" s="2">
        <f t="shared" ca="1" si="905"/>
        <v>38970.800281055199</v>
      </c>
      <c r="AN948" s="2">
        <f t="shared" ca="1" si="906"/>
        <v>41755.242007986009</v>
      </c>
      <c r="AO948" s="2">
        <f t="shared" ca="1" si="907"/>
        <v>44738.630527765679</v>
      </c>
      <c r="AP948" s="2">
        <f t="shared" ca="1" si="908"/>
        <v>2023178.4855088536</v>
      </c>
      <c r="AQ948" s="2">
        <f t="shared" ca="1" si="909"/>
        <v>903584.2254306504</v>
      </c>
      <c r="AR948" s="2">
        <f t="shared" ca="1" si="910"/>
        <v>1051182.1511450843</v>
      </c>
      <c r="AS948" s="2">
        <f t="shared" ca="1" si="911"/>
        <v>1163872.8140917406</v>
      </c>
      <c r="AT948" s="2">
        <f t="shared" ca="1" si="912"/>
        <v>1284615.1614246864</v>
      </c>
      <c r="AU948" s="2">
        <f t="shared" ca="1" si="913"/>
        <v>1413984.4814576213</v>
      </c>
      <c r="AV948" s="2">
        <f t="shared" ca="1" si="914"/>
        <v>2571739.7185333893</v>
      </c>
      <c r="AW948" s="2">
        <f t="shared" ca="1" si="915"/>
        <v>2955454.0838783812</v>
      </c>
      <c r="AX948" s="2">
        <f t="shared" ca="1" si="916"/>
        <v>3273590.2859800532</v>
      </c>
      <c r="AY948" s="2">
        <f t="shared" ca="1" si="917"/>
        <v>3614457.1405084291</v>
      </c>
      <c r="AZ948" s="2">
        <f t="shared" ca="1" si="918"/>
        <v>3979678.7397746947</v>
      </c>
      <c r="BA948" s="2">
        <f t="shared" ca="1" si="919"/>
        <v>68230789.517634988</v>
      </c>
      <c r="BB948" s="2">
        <f t="shared" ca="1" si="920"/>
        <v>1364615.7903526998</v>
      </c>
      <c r="BC948" s="2">
        <f t="shared" ca="1" si="921"/>
        <v>44386412.777183913</v>
      </c>
      <c r="BD948" s="2">
        <f t="shared" ca="1" si="922"/>
        <v>-16423164.006319683</v>
      </c>
      <c r="BE948" s="2">
        <f t="shared" ca="1" si="923"/>
        <v>2571739.7185333893</v>
      </c>
      <c r="BF948" s="2">
        <f t="shared" ca="1" si="924"/>
        <v>2955454.0838783812</v>
      </c>
      <c r="BG948" s="2">
        <f t="shared" ca="1" si="925"/>
        <v>3273590.2859800532</v>
      </c>
      <c r="BH948" s="2">
        <f t="shared" ca="1" si="926"/>
        <v>3614457.1405084291</v>
      </c>
      <c r="BI948" s="2">
        <f t="shared" ca="1" si="927"/>
        <v>48366091.516958609</v>
      </c>
      <c r="BJ948" s="2">
        <f t="shared" ca="1" si="928"/>
        <v>0.3562565427862876</v>
      </c>
      <c r="BK948" s="2">
        <f t="shared" ca="1" si="929"/>
        <v>20300451.066266101</v>
      </c>
    </row>
    <row r="949" spans="1:63" x14ac:dyDescent="0.3">
      <c r="A949" s="2">
        <v>948</v>
      </c>
      <c r="B949" s="2">
        <f t="shared" ca="1" si="868"/>
        <v>0.29699347122092079</v>
      </c>
      <c r="C949" s="2">
        <f t="shared" ca="1" si="869"/>
        <v>6.7707054835939875</v>
      </c>
      <c r="D949" s="2">
        <f t="shared" ca="1" si="870"/>
        <v>0.70751786325470811</v>
      </c>
      <c r="E949" s="2">
        <f t="shared" ca="1" si="871"/>
        <v>7.7351704284675025</v>
      </c>
      <c r="F949" s="2">
        <f t="shared" ca="1" si="872"/>
        <v>0.77322298837830883</v>
      </c>
      <c r="G949" s="2">
        <f t="shared" ca="1" si="873"/>
        <v>6.2485093380929897E-2</v>
      </c>
      <c r="H949" s="2">
        <f t="shared" ca="1" si="874"/>
        <v>6.2485093380929897E-2</v>
      </c>
      <c r="I949" s="2">
        <f t="shared" ca="1" si="875"/>
        <v>0.23171828981801534</v>
      </c>
      <c r="J949" s="2">
        <f t="shared" ca="1" si="876"/>
        <v>6.3340010189629307E-3</v>
      </c>
      <c r="K949" s="2">
        <f t="shared" ca="1" si="877"/>
        <v>6.3340010189629307E-3</v>
      </c>
      <c r="L949" s="2">
        <f t="shared" ca="1" si="878"/>
        <v>0.45140277267033024</v>
      </c>
      <c r="M949" s="2">
        <f t="shared" ca="1" si="879"/>
        <v>-2.4423605376908252E-3</v>
      </c>
      <c r="N949" s="2">
        <f t="shared" ca="1" si="880"/>
        <v>-2.4423605376908252E-3</v>
      </c>
      <c r="O949" s="2">
        <f t="shared" si="881"/>
        <v>6000000</v>
      </c>
      <c r="P949" s="2">
        <f t="shared" ca="1" si="882"/>
        <v>40624232.901563928</v>
      </c>
      <c r="Q949" s="2">
        <f t="shared" ca="1" si="883"/>
        <v>1015605.8225390982</v>
      </c>
      <c r="R949" s="2">
        <f t="shared" ca="1" si="884"/>
        <v>24374539.740938354</v>
      </c>
      <c r="S949" s="2">
        <f t="shared" ca="1" si="885"/>
        <v>16249693.160625571</v>
      </c>
      <c r="T949" s="2">
        <f t="shared" ca="1" si="886"/>
        <v>49877881.973115459</v>
      </c>
      <c r="U949" s="2">
        <f t="shared" ca="1" si="887"/>
        <v>52994506.085848585</v>
      </c>
      <c r="V949" s="2">
        <f t="shared" ca="1" si="888"/>
        <v>56305872.747299097</v>
      </c>
      <c r="W949" s="2">
        <f t="shared" ca="1" si="889"/>
        <v>59824150.463808842</v>
      </c>
      <c r="X949" s="2">
        <f t="shared" ca="1" si="890"/>
        <v>63562268.091974743</v>
      </c>
      <c r="Y949" s="2">
        <f t="shared" ca="1" si="891"/>
        <v>0.12316700050948146</v>
      </c>
      <c r="Z949" s="2">
        <f t="shared" ca="1" si="892"/>
        <v>0.12443380071327405</v>
      </c>
      <c r="AA949" s="2">
        <f t="shared" ca="1" si="893"/>
        <v>6143309.1143945679</v>
      </c>
      <c r="AB949" s="2">
        <f t="shared" ca="1" si="894"/>
        <v>6594307.8091848716</v>
      </c>
      <c r="AC949" s="2">
        <f t="shared" ca="1" si="895"/>
        <v>7006353.7484243838</v>
      </c>
      <c r="AD949" s="2">
        <f t="shared" ca="1" si="896"/>
        <v>7444146.4166545104</v>
      </c>
      <c r="AE949" s="2">
        <f t="shared" ca="1" si="897"/>
        <v>7909294.6006404832</v>
      </c>
      <c r="AF949" s="2">
        <f t="shared" ca="1" si="898"/>
        <v>997557.63946230919</v>
      </c>
      <c r="AG949" s="2">
        <f t="shared" ca="1" si="899"/>
        <v>1059890.1217169717</v>
      </c>
      <c r="AH949" s="2">
        <f t="shared" ca="1" si="900"/>
        <v>1126117.454945982</v>
      </c>
      <c r="AI949" s="2">
        <f t="shared" ca="1" si="901"/>
        <v>1196483.0092761768</v>
      </c>
      <c r="AJ949" s="2">
        <f t="shared" ca="1" si="902"/>
        <v>1271245.3618394949</v>
      </c>
      <c r="AK949" s="2">
        <f t="shared" ca="1" si="903"/>
        <v>0</v>
      </c>
      <c r="AL949" s="2">
        <f t="shared" ca="1" si="904"/>
        <v>31166.241127331257</v>
      </c>
      <c r="AM949" s="2">
        <f t="shared" ca="1" si="905"/>
        <v>33113.666614505128</v>
      </c>
      <c r="AN949" s="2">
        <f t="shared" ca="1" si="906"/>
        <v>35182.777165097446</v>
      </c>
      <c r="AO949" s="2">
        <f t="shared" ca="1" si="907"/>
        <v>37381.176281659005</v>
      </c>
      <c r="AP949" s="2">
        <f t="shared" ca="1" si="908"/>
        <v>2193708.5766844517</v>
      </c>
      <c r="AQ949" s="2">
        <f t="shared" ca="1" si="909"/>
        <v>767531.15354442992</v>
      </c>
      <c r="AR949" s="2">
        <f t="shared" ca="1" si="910"/>
        <v>868584.36880369659</v>
      </c>
      <c r="AS949" s="2">
        <f t="shared" ca="1" si="911"/>
        <v>958497.20636642701</v>
      </c>
      <c r="AT949" s="2">
        <f t="shared" ca="1" si="912"/>
        <v>1054028.2559804094</v>
      </c>
      <c r="AU949" s="2">
        <f t="shared" ca="1" si="913"/>
        <v>1155528.5721502996</v>
      </c>
      <c r="AV949" s="2">
        <f t="shared" ca="1" si="914"/>
        <v>2184511.7447033776</v>
      </c>
      <c r="AW949" s="2">
        <f t="shared" ca="1" si="915"/>
        <v>2440958.5008524209</v>
      </c>
      <c r="AX949" s="2">
        <f t="shared" ca="1" si="916"/>
        <v>2694916.843813017</v>
      </c>
      <c r="AY949" s="2">
        <f t="shared" ca="1" si="917"/>
        <v>2964743.7975483751</v>
      </c>
      <c r="AZ949" s="2">
        <f t="shared" ca="1" si="918"/>
        <v>3251430.9136845786</v>
      </c>
      <c r="BA949" s="2">
        <f t="shared" ca="1" si="919"/>
        <v>61179741.704911947</v>
      </c>
      <c r="BB949" s="2">
        <f t="shared" ca="1" si="920"/>
        <v>1223594.834098239</v>
      </c>
      <c r="BC949" s="2">
        <f t="shared" ca="1" si="921"/>
        <v>35581607.129875354</v>
      </c>
      <c r="BD949" s="2">
        <f t="shared" ca="1" si="922"/>
        <v>-17765298.983164668</v>
      </c>
      <c r="BE949" s="2">
        <f t="shared" ca="1" si="923"/>
        <v>2184511.7447033776</v>
      </c>
      <c r="BF949" s="2">
        <f t="shared" ca="1" si="924"/>
        <v>2440958.5008524209</v>
      </c>
      <c r="BG949" s="2">
        <f t="shared" ca="1" si="925"/>
        <v>2694916.843813017</v>
      </c>
      <c r="BH949" s="2">
        <f t="shared" ca="1" si="926"/>
        <v>2964743.7975483751</v>
      </c>
      <c r="BI949" s="2">
        <f t="shared" ca="1" si="927"/>
        <v>38833038.043559931</v>
      </c>
      <c r="BJ949" s="2">
        <f t="shared" ca="1" si="928"/>
        <v>0.26438162963464462</v>
      </c>
      <c r="BK949" s="2">
        <f t="shared" ca="1" si="929"/>
        <v>11968320.639149029</v>
      </c>
    </row>
    <row r="950" spans="1:63" x14ac:dyDescent="0.3">
      <c r="A950" s="2">
        <v>949</v>
      </c>
      <c r="B950" s="2">
        <f t="shared" ca="1" si="868"/>
        <v>0.47376315086927012</v>
      </c>
      <c r="C950" s="2">
        <f t="shared" ca="1" si="869"/>
        <v>6.9734096268984302</v>
      </c>
      <c r="D950" s="2">
        <f t="shared" ca="1" si="870"/>
        <v>0.68027989006908329</v>
      </c>
      <c r="E950" s="2">
        <f t="shared" ca="1" si="871"/>
        <v>7.7003499391222228</v>
      </c>
      <c r="F950" s="2">
        <f t="shared" ca="1" si="872"/>
        <v>0.66135285323812831</v>
      </c>
      <c r="G950" s="2">
        <f t="shared" ca="1" si="873"/>
        <v>5.2484743990929089E-2</v>
      </c>
      <c r="H950" s="2">
        <f t="shared" ca="1" si="874"/>
        <v>5.2484743990929089E-2</v>
      </c>
      <c r="I950" s="2">
        <f t="shared" ca="1" si="875"/>
        <v>0.5574905833095013</v>
      </c>
      <c r="J950" s="2">
        <f t="shared" ca="1" si="876"/>
        <v>1.0723049797324113E-2</v>
      </c>
      <c r="K950" s="2">
        <f t="shared" ca="1" si="877"/>
        <v>1.0723049797324113E-2</v>
      </c>
      <c r="L950" s="2">
        <f t="shared" ca="1" si="878"/>
        <v>0.60407989041130261</v>
      </c>
      <c r="M950" s="2">
        <f t="shared" ca="1" si="879"/>
        <v>5.2784349070884489E-3</v>
      </c>
      <c r="N950" s="2">
        <f t="shared" ca="1" si="880"/>
        <v>5.2784349070884489E-3</v>
      </c>
      <c r="O950" s="2">
        <f t="shared" si="881"/>
        <v>6000000</v>
      </c>
      <c r="P950" s="2">
        <f t="shared" ca="1" si="882"/>
        <v>41840457.761390582</v>
      </c>
      <c r="Q950" s="2">
        <f t="shared" ca="1" si="883"/>
        <v>1046011.4440347645</v>
      </c>
      <c r="R950" s="2">
        <f t="shared" ca="1" si="884"/>
        <v>25104274.656834349</v>
      </c>
      <c r="S950" s="2">
        <f t="shared" ca="1" si="885"/>
        <v>16736183.104556233</v>
      </c>
      <c r="T950" s="2">
        <f t="shared" ca="1" si="886"/>
        <v>50263921.745354421</v>
      </c>
      <c r="U950" s="2">
        <f t="shared" ca="1" si="887"/>
        <v>52902010.81013944</v>
      </c>
      <c r="V950" s="2">
        <f t="shared" ca="1" si="888"/>
        <v>55678559.304114968</v>
      </c>
      <c r="W950" s="2">
        <f t="shared" ca="1" si="889"/>
        <v>58600834.234975204</v>
      </c>
      <c r="X950" s="2">
        <f t="shared" ca="1" si="890"/>
        <v>61676484.017452747</v>
      </c>
      <c r="Y950" s="2">
        <f t="shared" ca="1" si="891"/>
        <v>0.12536152489866206</v>
      </c>
      <c r="Z950" s="2">
        <f t="shared" ca="1" si="892"/>
        <v>0.12750613485812687</v>
      </c>
      <c r="AA950" s="2">
        <f t="shared" ca="1" si="893"/>
        <v>6301161.8773846496</v>
      </c>
      <c r="AB950" s="2">
        <f t="shared" ca="1" si="894"/>
        <v>6745330.924623725</v>
      </c>
      <c r="AC950" s="2">
        <f t="shared" ca="1" si="895"/>
        <v>7099357.8913366972</v>
      </c>
      <c r="AD950" s="2">
        <f t="shared" ca="1" si="896"/>
        <v>7471965.8727634866</v>
      </c>
      <c r="AE950" s="2">
        <f t="shared" ca="1" si="897"/>
        <v>7864130.0887044361</v>
      </c>
      <c r="AF950" s="2">
        <f t="shared" ca="1" si="898"/>
        <v>1005278.4349070884</v>
      </c>
      <c r="AG950" s="2">
        <f t="shared" ca="1" si="899"/>
        <v>1058040.2162027888</v>
      </c>
      <c r="AH950" s="2">
        <f t="shared" ca="1" si="900"/>
        <v>1113571.1860822993</v>
      </c>
      <c r="AI950" s="2">
        <f t="shared" ca="1" si="901"/>
        <v>1172016.6846995042</v>
      </c>
      <c r="AJ950" s="2">
        <f t="shared" ca="1" si="902"/>
        <v>1233529.680349055</v>
      </c>
      <c r="AK950" s="2">
        <f t="shared" ca="1" si="903"/>
        <v>0</v>
      </c>
      <c r="AL950" s="2">
        <f t="shared" ca="1" si="904"/>
        <v>26380.890647850185</v>
      </c>
      <c r="AM950" s="2">
        <f t="shared" ca="1" si="905"/>
        <v>27765.484939755275</v>
      </c>
      <c r="AN950" s="2">
        <f t="shared" ca="1" si="906"/>
        <v>29222.749308602364</v>
      </c>
      <c r="AO950" s="2">
        <f t="shared" ca="1" si="907"/>
        <v>30756.49782477543</v>
      </c>
      <c r="AP950" s="2">
        <f t="shared" ca="1" si="908"/>
        <v>2259384.7191150915</v>
      </c>
      <c r="AQ950" s="2">
        <f t="shared" ca="1" si="909"/>
        <v>789489.66807424219</v>
      </c>
      <c r="AR950" s="2">
        <f t="shared" ca="1" si="910"/>
        <v>891255.55721951963</v>
      </c>
      <c r="AS950" s="2">
        <f t="shared" ca="1" si="911"/>
        <v>968864.51639621984</v>
      </c>
      <c r="AT950" s="2">
        <f t="shared" ca="1" si="912"/>
        <v>1050546.7619267118</v>
      </c>
      <c r="AU950" s="2">
        <f t="shared" ca="1" si="913"/>
        <v>1136516.0792024755</v>
      </c>
      <c r="AV950" s="2">
        <f t="shared" ca="1" si="914"/>
        <v>2247009.0552882282</v>
      </c>
      <c r="AW950" s="2">
        <f t="shared" ca="1" si="915"/>
        <v>2510269.5414384753</v>
      </c>
      <c r="AX950" s="2">
        <f t="shared" ca="1" si="916"/>
        <v>2729771.984803332</v>
      </c>
      <c r="AY950" s="2">
        <f t="shared" ca="1" si="917"/>
        <v>2960794.9577135779</v>
      </c>
      <c r="AZ950" s="2">
        <f t="shared" ca="1" si="918"/>
        <v>3203943.1122130398</v>
      </c>
      <c r="BA950" s="2">
        <f t="shared" ca="1" si="919"/>
        <v>60556553.649804443</v>
      </c>
      <c r="BB950" s="2">
        <f t="shared" ca="1" si="920"/>
        <v>1211131.072996089</v>
      </c>
      <c r="BC950" s="2">
        <f t="shared" ca="1" si="921"/>
        <v>34241147.919974007</v>
      </c>
      <c r="BD950" s="2">
        <f t="shared" ca="1" si="922"/>
        <v>-18282194.548590995</v>
      </c>
      <c r="BE950" s="2">
        <f t="shared" ca="1" si="923"/>
        <v>2247009.0552882282</v>
      </c>
      <c r="BF950" s="2">
        <f t="shared" ca="1" si="924"/>
        <v>2510269.5414384753</v>
      </c>
      <c r="BG950" s="2">
        <f t="shared" ca="1" si="925"/>
        <v>2729771.984803332</v>
      </c>
      <c r="BH950" s="2">
        <f t="shared" ca="1" si="926"/>
        <v>2960794.9577135779</v>
      </c>
      <c r="BI950" s="2">
        <f t="shared" ca="1" si="927"/>
        <v>37445091.032187045</v>
      </c>
      <c r="BJ950" s="2">
        <f t="shared" ca="1" si="928"/>
        <v>0.25003941586040646</v>
      </c>
      <c r="BK950" s="2">
        <f t="shared" ca="1" si="929"/>
        <v>10797221.814310212</v>
      </c>
    </row>
    <row r="951" spans="1:63" x14ac:dyDescent="0.3">
      <c r="A951" s="2">
        <v>950</v>
      </c>
      <c r="B951" s="2">
        <f t="shared" ca="1" si="868"/>
        <v>0.5843175755620692</v>
      </c>
      <c r="C951" s="2">
        <f t="shared" ca="1" si="869"/>
        <v>7.0882078916354549</v>
      </c>
      <c r="D951" s="2">
        <f t="shared" ca="1" si="870"/>
        <v>0.88688861935297092</v>
      </c>
      <c r="E951" s="2">
        <f t="shared" ca="1" si="871"/>
        <v>8.0243711937928293</v>
      </c>
      <c r="F951" s="2">
        <f t="shared" ca="1" si="872"/>
        <v>0.69214669738433821</v>
      </c>
      <c r="G951" s="2">
        <f t="shared" ca="1" si="873"/>
        <v>5.5058333140794599E-2</v>
      </c>
      <c r="H951" s="2">
        <f t="shared" ca="1" si="874"/>
        <v>5.5058333140794599E-2</v>
      </c>
      <c r="I951" s="2">
        <f t="shared" ca="1" si="875"/>
        <v>0.10877025026241438</v>
      </c>
      <c r="J951" s="2">
        <f t="shared" ca="1" si="876"/>
        <v>3.8345273833272006E-3</v>
      </c>
      <c r="K951" s="2">
        <f t="shared" ca="1" si="877"/>
        <v>3.8345273833272006E-3</v>
      </c>
      <c r="L951" s="2">
        <f t="shared" ca="1" si="878"/>
        <v>0.90909466380181247</v>
      </c>
      <c r="M951" s="2">
        <f t="shared" ca="1" si="879"/>
        <v>2.6704013721003519E-2</v>
      </c>
      <c r="N951" s="2">
        <f t="shared" ca="1" si="880"/>
        <v>2.6704013721003519E-2</v>
      </c>
      <c r="O951" s="2">
        <f t="shared" si="881"/>
        <v>6000000</v>
      </c>
      <c r="P951" s="2">
        <f t="shared" ca="1" si="882"/>
        <v>42529247.349812731</v>
      </c>
      <c r="Q951" s="2">
        <f t="shared" ca="1" si="883"/>
        <v>1063231.1837453183</v>
      </c>
      <c r="R951" s="2">
        <f t="shared" ca="1" si="884"/>
        <v>25517548.409887638</v>
      </c>
      <c r="S951" s="2">
        <f t="shared" ca="1" si="885"/>
        <v>17011698.939925093</v>
      </c>
      <c r="T951" s="2">
        <f t="shared" ca="1" si="886"/>
        <v>51335200.686050177</v>
      </c>
      <c r="U951" s="2">
        <f t="shared" ca="1" si="887"/>
        <v>54161631.267272271</v>
      </c>
      <c r="V951" s="2">
        <f t="shared" ca="1" si="888"/>
        <v>57143680.405034624</v>
      </c>
      <c r="W951" s="2">
        <f t="shared" ca="1" si="889"/>
        <v>60289916.197666116</v>
      </c>
      <c r="X951" s="2">
        <f t="shared" ca="1" si="890"/>
        <v>63609378.488707803</v>
      </c>
      <c r="Y951" s="2">
        <f t="shared" ca="1" si="891"/>
        <v>0.1219172636916636</v>
      </c>
      <c r="Z951" s="2">
        <f t="shared" ca="1" si="892"/>
        <v>0.12268416916832904</v>
      </c>
      <c r="AA951" s="2">
        <f t="shared" ca="1" si="893"/>
        <v>6258647.1987056499</v>
      </c>
      <c r="AB951" s="2">
        <f t="shared" ca="1" si="894"/>
        <v>6644774.7328266911</v>
      </c>
      <c r="AC951" s="2">
        <f t="shared" ca="1" si="895"/>
        <v>7010624.953712197</v>
      </c>
      <c r="AD951" s="2">
        <f t="shared" ca="1" si="896"/>
        <v>7396618.2779388512</v>
      </c>
      <c r="AE951" s="2">
        <f t="shared" ca="1" si="897"/>
        <v>7803863.7512008986</v>
      </c>
      <c r="AF951" s="2">
        <f t="shared" ca="1" si="898"/>
        <v>1026704.0137210035</v>
      </c>
      <c r="AG951" s="2">
        <f t="shared" ca="1" si="899"/>
        <v>1083232.6253454455</v>
      </c>
      <c r="AH951" s="2">
        <f t="shared" ca="1" si="900"/>
        <v>1142873.6081006925</v>
      </c>
      <c r="AI951" s="2">
        <f t="shared" ca="1" si="901"/>
        <v>1205798.3239533224</v>
      </c>
      <c r="AJ951" s="2">
        <f t="shared" ca="1" si="902"/>
        <v>1272187.5697741562</v>
      </c>
      <c r="AK951" s="2">
        <f t="shared" ca="1" si="903"/>
        <v>0</v>
      </c>
      <c r="AL951" s="2">
        <f t="shared" ca="1" si="904"/>
        <v>28264.305812220948</v>
      </c>
      <c r="AM951" s="2">
        <f t="shared" ca="1" si="905"/>
        <v>29820.49137762353</v>
      </c>
      <c r="AN951" s="2">
        <f t="shared" ca="1" si="906"/>
        <v>31462.357926314922</v>
      </c>
      <c r="AO951" s="2">
        <f t="shared" ca="1" si="907"/>
        <v>33194.622910416874</v>
      </c>
      <c r="AP951" s="2">
        <f t="shared" ca="1" si="908"/>
        <v>2296579.3568898872</v>
      </c>
      <c r="AQ951" s="2">
        <f t="shared" ca="1" si="909"/>
        <v>763194.59530463745</v>
      </c>
      <c r="AR951" s="2">
        <f t="shared" ca="1" si="910"/>
        <v>848890.31515375327</v>
      </c>
      <c r="AS951" s="2">
        <f t="shared" ca="1" si="911"/>
        <v>928504.71706762048</v>
      </c>
      <c r="AT951" s="2">
        <f t="shared" ca="1" si="912"/>
        <v>1012502.5552448669</v>
      </c>
      <c r="AU951" s="2">
        <f t="shared" ca="1" si="913"/>
        <v>1101125.1743795823</v>
      </c>
      <c r="AV951" s="2">
        <f t="shared" ca="1" si="914"/>
        <v>2172169.2327901223</v>
      </c>
      <c r="AW951" s="2">
        <f t="shared" ca="1" si="915"/>
        <v>2387808.1296253842</v>
      </c>
      <c r="AX951" s="2">
        <f t="shared" ca="1" si="916"/>
        <v>2612846.7802763726</v>
      </c>
      <c r="AY951" s="2">
        <f t="shared" ca="1" si="917"/>
        <v>2850275.6839244603</v>
      </c>
      <c r="AZ951" s="2">
        <f t="shared" ca="1" si="918"/>
        <v>3100777.0272468557</v>
      </c>
      <c r="BA951" s="2">
        <f t="shared" ca="1" si="919"/>
        <v>62621099.48542054</v>
      </c>
      <c r="BB951" s="2">
        <f t="shared" ca="1" si="920"/>
        <v>1252421.9897084108</v>
      </c>
      <c r="BC951" s="2">
        <f t="shared" ca="1" si="921"/>
        <v>35851129.08582449</v>
      </c>
      <c r="BD951" s="2">
        <f t="shared" ca="1" si="922"/>
        <v>-18574930.12367041</v>
      </c>
      <c r="BE951" s="2">
        <f t="shared" ca="1" si="923"/>
        <v>2172169.2327901223</v>
      </c>
      <c r="BF951" s="2">
        <f t="shared" ca="1" si="924"/>
        <v>2387808.1296253842</v>
      </c>
      <c r="BG951" s="2">
        <f t="shared" ca="1" si="925"/>
        <v>2612846.7802763726</v>
      </c>
      <c r="BH951" s="2">
        <f t="shared" ca="1" si="926"/>
        <v>2850275.6839244603</v>
      </c>
      <c r="BI951" s="2">
        <f t="shared" ca="1" si="927"/>
        <v>38951906.113071345</v>
      </c>
      <c r="BJ951" s="2">
        <f t="shared" ca="1" si="928"/>
        <v>0.24935429571304257</v>
      </c>
      <c r="BK951" s="2">
        <f t="shared" ca="1" si="929"/>
        <v>11041584.777346108</v>
      </c>
    </row>
    <row r="952" spans="1:63" x14ac:dyDescent="0.3">
      <c r="A952" s="2">
        <v>951</v>
      </c>
      <c r="B952" s="2">
        <f t="shared" ca="1" si="868"/>
        <v>1.8521675724907594E-2</v>
      </c>
      <c r="C952" s="2">
        <f t="shared" ca="1" si="869"/>
        <v>6.1924664943563297</v>
      </c>
      <c r="D952" s="2">
        <f t="shared" ca="1" si="870"/>
        <v>0.80560245685343546</v>
      </c>
      <c r="E952" s="2">
        <f t="shared" ca="1" si="871"/>
        <v>7.8764656494681873</v>
      </c>
      <c r="F952" s="2">
        <f t="shared" ca="1" si="872"/>
        <v>0.56263720324057442</v>
      </c>
      <c r="G952" s="2">
        <f t="shared" ca="1" si="873"/>
        <v>4.4729766805460293E-2</v>
      </c>
      <c r="H952" s="2">
        <f t="shared" ca="1" si="874"/>
        <v>4.4729766805460293E-2</v>
      </c>
      <c r="I952" s="2">
        <f t="shared" ca="1" si="875"/>
        <v>0.70691315635881335</v>
      </c>
      <c r="J952" s="2">
        <f t="shared" ca="1" si="876"/>
        <v>1.2721945919076577E-2</v>
      </c>
      <c r="K952" s="2">
        <f t="shared" ca="1" si="877"/>
        <v>1.2721945919076577E-2</v>
      </c>
      <c r="L952" s="2">
        <f t="shared" ca="1" si="878"/>
        <v>0.8249607938681256</v>
      </c>
      <c r="M952" s="2">
        <f t="shared" ca="1" si="879"/>
        <v>1.8688744153027674E-2</v>
      </c>
      <c r="N952" s="2">
        <f t="shared" ca="1" si="880"/>
        <v>1.8688744153027674E-2</v>
      </c>
      <c r="O952" s="2">
        <f t="shared" si="881"/>
        <v>6000000</v>
      </c>
      <c r="P952" s="2">
        <f t="shared" ca="1" si="882"/>
        <v>37154798.966137975</v>
      </c>
      <c r="Q952" s="2">
        <f t="shared" ca="1" si="883"/>
        <v>928869.97415344941</v>
      </c>
      <c r="R952" s="2">
        <f t="shared" ca="1" si="884"/>
        <v>22292879.379682783</v>
      </c>
      <c r="S952" s="2">
        <f t="shared" ca="1" si="885"/>
        <v>14861919.586455191</v>
      </c>
      <c r="T952" s="2">
        <f t="shared" ca="1" si="886"/>
        <v>50934437.207651384</v>
      </c>
      <c r="U952" s="2">
        <f t="shared" ca="1" si="887"/>
        <v>53212722.706316993</v>
      </c>
      <c r="V952" s="2">
        <f t="shared" ca="1" si="888"/>
        <v>55592915.384054169</v>
      </c>
      <c r="W952" s="2">
        <f t="shared" ca="1" si="889"/>
        <v>58079573.525218599</v>
      </c>
      <c r="X952" s="2">
        <f t="shared" ca="1" si="890"/>
        <v>60677459.305162206</v>
      </c>
      <c r="Y952" s="2">
        <f t="shared" ca="1" si="891"/>
        <v>0.1263609729595383</v>
      </c>
      <c r="Z952" s="2">
        <f t="shared" ca="1" si="892"/>
        <v>0.1289053621433536</v>
      </c>
      <c r="AA952" s="2">
        <f t="shared" ca="1" si="893"/>
        <v>6436125.0427053375</v>
      </c>
      <c r="AB952" s="2">
        <f t="shared" ca="1" si="894"/>
        <v>6859405.291091647</v>
      </c>
      <c r="AC952" s="2">
        <f t="shared" ca="1" si="895"/>
        <v>7166224.8901863163</v>
      </c>
      <c r="AD952" s="2">
        <f t="shared" ca="1" si="896"/>
        <v>7486768.458399836</v>
      </c>
      <c r="AE952" s="2">
        <f t="shared" ca="1" si="897"/>
        <v>7821649.8656705348</v>
      </c>
      <c r="AF952" s="2">
        <f t="shared" ca="1" si="898"/>
        <v>1018688.7441530277</v>
      </c>
      <c r="AG952" s="2">
        <f t="shared" ca="1" si="899"/>
        <v>1064254.4541263399</v>
      </c>
      <c r="AH952" s="2">
        <f t="shared" ca="1" si="900"/>
        <v>1111858.3076810834</v>
      </c>
      <c r="AI952" s="2">
        <f t="shared" ca="1" si="901"/>
        <v>1161591.4705043719</v>
      </c>
      <c r="AJ952" s="2">
        <f t="shared" ca="1" si="902"/>
        <v>1213549.1861032441</v>
      </c>
      <c r="AK952" s="2">
        <f t="shared" ca="1" si="903"/>
        <v>0</v>
      </c>
      <c r="AL952" s="2">
        <f t="shared" ca="1" si="904"/>
        <v>22782.854986656086</v>
      </c>
      <c r="AM952" s="2">
        <f t="shared" ca="1" si="905"/>
        <v>23801.926777371766</v>
      </c>
      <c r="AN952" s="2">
        <f t="shared" ca="1" si="906"/>
        <v>24866.581411644296</v>
      </c>
      <c r="AO952" s="2">
        <f t="shared" ca="1" si="907"/>
        <v>25978.857799436078</v>
      </c>
      <c r="AP952" s="2">
        <f t="shared" ca="1" si="908"/>
        <v>2006359.1441714503</v>
      </c>
      <c r="AQ952" s="2">
        <f t="shared" ca="1" si="909"/>
        <v>886880.06013902358</v>
      </c>
      <c r="AR952" s="2">
        <f t="shared" ca="1" si="910"/>
        <v>985085.84012640291</v>
      </c>
      <c r="AS952" s="2">
        <f t="shared" ca="1" si="911"/>
        <v>1052481.9339667833</v>
      </c>
      <c r="AT952" s="2">
        <f t="shared" ca="1" si="912"/>
        <v>1122892.6393682437</v>
      </c>
      <c r="AU952" s="2">
        <f t="shared" ca="1" si="913"/>
        <v>1196452.7992029185</v>
      </c>
      <c r="AV952" s="2">
        <f t="shared" ca="1" si="914"/>
        <v>2524197.0942418361</v>
      </c>
      <c r="AW952" s="2">
        <f t="shared" ca="1" si="915"/>
        <v>2780922.9976807982</v>
      </c>
      <c r="AX952" s="2">
        <f t="shared" ca="1" si="916"/>
        <v>2971723.5775896274</v>
      </c>
      <c r="AY952" s="2">
        <f t="shared" ca="1" si="917"/>
        <v>3171058.6229441268</v>
      </c>
      <c r="AZ952" s="2">
        <f t="shared" ca="1" si="918"/>
        <v>3379309.8783934861</v>
      </c>
      <c r="BA952" s="2">
        <f t="shared" ca="1" si="919"/>
        <v>61606956.48912143</v>
      </c>
      <c r="BB952" s="2">
        <f t="shared" ca="1" si="920"/>
        <v>1232139.1297824287</v>
      </c>
      <c r="BC952" s="2">
        <f t="shared" ca="1" si="921"/>
        <v>38081937.979656212</v>
      </c>
      <c r="BD952" s="2">
        <f t="shared" ca="1" si="922"/>
        <v>-16290789.56060864</v>
      </c>
      <c r="BE952" s="2">
        <f t="shared" ca="1" si="923"/>
        <v>2524197.0942418361</v>
      </c>
      <c r="BF952" s="2">
        <f t="shared" ca="1" si="924"/>
        <v>2780922.9976807982</v>
      </c>
      <c r="BG952" s="2">
        <f t="shared" ca="1" si="925"/>
        <v>2971723.5775896274</v>
      </c>
      <c r="BH952" s="2">
        <f t="shared" ca="1" si="926"/>
        <v>3171058.6229441268</v>
      </c>
      <c r="BI952" s="2">
        <f t="shared" ca="1" si="927"/>
        <v>41461247.858049698</v>
      </c>
      <c r="BJ952" s="2">
        <f t="shared" ca="1" si="928"/>
        <v>0.31797619112379283</v>
      </c>
      <c r="BK952" s="2">
        <f t="shared" ca="1" si="929"/>
        <v>15836597.365971256</v>
      </c>
    </row>
    <row r="953" spans="1:63" x14ac:dyDescent="0.3">
      <c r="A953" s="2">
        <v>952</v>
      </c>
      <c r="B953" s="2">
        <f t="shared" ca="1" si="868"/>
        <v>0.31813117929516521</v>
      </c>
      <c r="C953" s="2">
        <f t="shared" ca="1" si="869"/>
        <v>6.7976605534877166</v>
      </c>
      <c r="D953" s="2">
        <f t="shared" ca="1" si="870"/>
        <v>0.13189128021212915</v>
      </c>
      <c r="E953" s="2">
        <f t="shared" ca="1" si="871"/>
        <v>7.0135976639591133</v>
      </c>
      <c r="F953" s="2">
        <f t="shared" ca="1" si="872"/>
        <v>0.29249017298572266</v>
      </c>
      <c r="G953" s="2">
        <f t="shared" ca="1" si="873"/>
        <v>2.3616264400316087E-2</v>
      </c>
      <c r="H953" s="2">
        <f t="shared" ca="1" si="874"/>
        <v>2.3616264400316087E-2</v>
      </c>
      <c r="I953" s="2">
        <f t="shared" ca="1" si="875"/>
        <v>0.85210827258016553</v>
      </c>
      <c r="J953" s="2">
        <f t="shared" ca="1" si="876"/>
        <v>1.5227591850473541E-2</v>
      </c>
      <c r="K953" s="2">
        <f t="shared" ca="1" si="877"/>
        <v>1.5227591850473541E-2</v>
      </c>
      <c r="L953" s="2">
        <f t="shared" ca="1" si="878"/>
        <v>0.18451513335106762</v>
      </c>
      <c r="M953" s="2">
        <f t="shared" ca="1" si="879"/>
        <v>-1.7965826106175822E-2</v>
      </c>
      <c r="N953" s="2">
        <f t="shared" ca="1" si="880"/>
        <v>-1.7965826106175822E-2</v>
      </c>
      <c r="O953" s="2">
        <f t="shared" si="881"/>
        <v>6000000</v>
      </c>
      <c r="P953" s="2">
        <f t="shared" ca="1" si="882"/>
        <v>40785963.320926301</v>
      </c>
      <c r="Q953" s="2">
        <f t="shared" ca="1" si="883"/>
        <v>1019649.0830231576</v>
      </c>
      <c r="R953" s="2">
        <f t="shared" ca="1" si="884"/>
        <v>24471577.992555778</v>
      </c>
      <c r="S953" s="2">
        <f t="shared" ca="1" si="885"/>
        <v>16314385.328370521</v>
      </c>
      <c r="T953" s="2">
        <f t="shared" ca="1" si="886"/>
        <v>49101708.694691211</v>
      </c>
      <c r="U953" s="2">
        <f t="shared" ca="1" si="887"/>
        <v>50261307.629732341</v>
      </c>
      <c r="V953" s="2">
        <f t="shared" ca="1" si="888"/>
        <v>51448291.959821731</v>
      </c>
      <c r="W953" s="2">
        <f t="shared" ca="1" si="889"/>
        <v>52663308.425689541</v>
      </c>
      <c r="X953" s="2">
        <f t="shared" ca="1" si="890"/>
        <v>53907019.041666023</v>
      </c>
      <c r="Y953" s="2">
        <f t="shared" ca="1" si="891"/>
        <v>0.12761379592523678</v>
      </c>
      <c r="Z953" s="2">
        <f t="shared" ca="1" si="892"/>
        <v>0.13065931429533148</v>
      </c>
      <c r="AA953" s="2">
        <f t="shared" ca="1" si="893"/>
        <v>6266055.4329447486</v>
      </c>
      <c r="AB953" s="2">
        <f t="shared" ca="1" si="894"/>
        <v>6567107.9904875401</v>
      </c>
      <c r="AC953" s="2">
        <f t="shared" ca="1" si="895"/>
        <v>6722198.5491363229</v>
      </c>
      <c r="AD953" s="2">
        <f t="shared" ca="1" si="896"/>
        <v>6880951.7674241485</v>
      </c>
      <c r="AE953" s="2">
        <f t="shared" ca="1" si="897"/>
        <v>7043454.1436894601</v>
      </c>
      <c r="AF953" s="2">
        <f t="shared" ca="1" si="898"/>
        <v>982034.17389382422</v>
      </c>
      <c r="AG953" s="2">
        <f t="shared" ca="1" si="899"/>
        <v>1005226.1525946468</v>
      </c>
      <c r="AH953" s="2">
        <f t="shared" ca="1" si="900"/>
        <v>1028965.8391964346</v>
      </c>
      <c r="AI953" s="2">
        <f t="shared" ca="1" si="901"/>
        <v>1053266.1685137909</v>
      </c>
      <c r="AJ953" s="2">
        <f t="shared" ca="1" si="902"/>
        <v>1078140.3808333206</v>
      </c>
      <c r="AK953" s="2">
        <f t="shared" ca="1" si="903"/>
        <v>0</v>
      </c>
      <c r="AL953" s="2">
        <f t="shared" ca="1" si="904"/>
        <v>11595.989350411297</v>
      </c>
      <c r="AM953" s="2">
        <f t="shared" ca="1" si="905"/>
        <v>11869.843300893903</v>
      </c>
      <c r="AN953" s="2">
        <f t="shared" ca="1" si="906"/>
        <v>12150.164658678099</v>
      </c>
      <c r="AO953" s="2">
        <f t="shared" ca="1" si="907"/>
        <v>12437.106159764826</v>
      </c>
      <c r="AP953" s="2">
        <f t="shared" ca="1" si="908"/>
        <v>2202442.0193300201</v>
      </c>
      <c r="AQ953" s="2">
        <f t="shared" ca="1" si="909"/>
        <v>801210.60232743516</v>
      </c>
      <c r="AR953" s="2">
        <f t="shared" ca="1" si="910"/>
        <v>873454.35282634723</v>
      </c>
      <c r="AS953" s="2">
        <f t="shared" ca="1" si="911"/>
        <v>907605.57955856586</v>
      </c>
      <c r="AT953" s="2">
        <f t="shared" ca="1" si="912"/>
        <v>942563.33069088787</v>
      </c>
      <c r="AU953" s="2">
        <f t="shared" ca="1" si="913"/>
        <v>978346.65331679117</v>
      </c>
      <c r="AV953" s="2">
        <f t="shared" ca="1" si="914"/>
        <v>2280368.637393469</v>
      </c>
      <c r="AW953" s="2">
        <f t="shared" ca="1" si="915"/>
        <v>2474389.476386115</v>
      </c>
      <c r="AX953" s="2">
        <f t="shared" ca="1" si="916"/>
        <v>2571315.2677504085</v>
      </c>
      <c r="AY953" s="2">
        <f t="shared" ca="1" si="917"/>
        <v>2670530.0842307722</v>
      </c>
      <c r="AZ953" s="2">
        <f t="shared" ca="1" si="918"/>
        <v>2772087.9840495633</v>
      </c>
      <c r="BA953" s="2">
        <f t="shared" ca="1" si="919"/>
        <v>49399953.528383538</v>
      </c>
      <c r="BB953" s="2">
        <f t="shared" ca="1" si="920"/>
        <v>987999.07056767074</v>
      </c>
      <c r="BC953" s="2">
        <f t="shared" ca="1" si="921"/>
        <v>23940376.465260088</v>
      </c>
      <c r="BD953" s="2">
        <f t="shared" ca="1" si="922"/>
        <v>-17834034.41139368</v>
      </c>
      <c r="BE953" s="2">
        <f t="shared" ca="1" si="923"/>
        <v>2280368.637393469</v>
      </c>
      <c r="BF953" s="2">
        <f t="shared" ca="1" si="924"/>
        <v>2474389.476386115</v>
      </c>
      <c r="BG953" s="2">
        <f t="shared" ca="1" si="925"/>
        <v>2571315.2677504085</v>
      </c>
      <c r="BH953" s="2">
        <f t="shared" ca="1" si="926"/>
        <v>2670530.0842307722</v>
      </c>
      <c r="BI953" s="2">
        <f t="shared" ca="1" si="927"/>
        <v>26712464.449309651</v>
      </c>
      <c r="BJ953" s="2">
        <f t="shared" ca="1" si="928"/>
        <v>0.18802224705635906</v>
      </c>
      <c r="BK953" s="2">
        <f t="shared" ca="1" si="929"/>
        <v>4859328.4330072366</v>
      </c>
    </row>
    <row r="954" spans="1:63" x14ac:dyDescent="0.3">
      <c r="A954" s="2">
        <v>953</v>
      </c>
      <c r="B954" s="2">
        <f t="shared" ca="1" si="868"/>
        <v>0.51536138322511049</v>
      </c>
      <c r="C954" s="2">
        <f t="shared" ca="1" si="869"/>
        <v>7.0154812172691781</v>
      </c>
      <c r="D954" s="2">
        <f t="shared" ca="1" si="870"/>
        <v>0.11497272997886743</v>
      </c>
      <c r="E954" s="2">
        <f t="shared" ca="1" si="871"/>
        <v>6.9795262870351689</v>
      </c>
      <c r="F954" s="2">
        <f t="shared" ca="1" si="872"/>
        <v>0.29777389563516798</v>
      </c>
      <c r="G954" s="2">
        <f t="shared" ca="1" si="873"/>
        <v>2.4075584923759143E-2</v>
      </c>
      <c r="H954" s="2">
        <f t="shared" ca="1" si="874"/>
        <v>2.4075584923759143E-2</v>
      </c>
      <c r="I954" s="2">
        <f t="shared" ca="1" si="875"/>
        <v>0.58910152436926921</v>
      </c>
      <c r="J954" s="2">
        <f t="shared" ca="1" si="876"/>
        <v>1.1126171860559224E-2</v>
      </c>
      <c r="K954" s="2">
        <f t="shared" ca="1" si="877"/>
        <v>1.1126171860559224E-2</v>
      </c>
      <c r="L954" s="2">
        <f t="shared" ca="1" si="878"/>
        <v>0.33060489074121147</v>
      </c>
      <c r="M954" s="2">
        <f t="shared" ca="1" si="879"/>
        <v>-8.7648699106342466E-3</v>
      </c>
      <c r="N954" s="2">
        <f t="shared" ca="1" si="880"/>
        <v>-8.7648699106342466E-3</v>
      </c>
      <c r="O954" s="2">
        <f t="shared" si="881"/>
        <v>6000000</v>
      </c>
      <c r="P954" s="2">
        <f t="shared" ca="1" si="882"/>
        <v>42092887.303615071</v>
      </c>
      <c r="Q954" s="2">
        <f t="shared" ca="1" si="883"/>
        <v>1052322.1825903768</v>
      </c>
      <c r="R954" s="2">
        <f t="shared" ca="1" si="884"/>
        <v>25255732.382169042</v>
      </c>
      <c r="S954" s="2">
        <f t="shared" ca="1" si="885"/>
        <v>16837154.921446029</v>
      </c>
      <c r="T954" s="2">
        <f t="shared" ca="1" si="886"/>
        <v>49561756.504468285</v>
      </c>
      <c r="U954" s="2">
        <f t="shared" ca="1" si="887"/>
        <v>50754984.782162279</v>
      </c>
      <c r="V954" s="2">
        <f t="shared" ca="1" si="888"/>
        <v>51976940.728589326</v>
      </c>
      <c r="W954" s="2">
        <f t="shared" ca="1" si="889"/>
        <v>53228315.979177669</v>
      </c>
      <c r="X954" s="2">
        <f t="shared" ca="1" si="890"/>
        <v>54509818.820883043</v>
      </c>
      <c r="Y954" s="2">
        <f t="shared" ca="1" si="891"/>
        <v>0.12556308593027959</v>
      </c>
      <c r="Z954" s="2">
        <f t="shared" ca="1" si="892"/>
        <v>0.12778832030239146</v>
      </c>
      <c r="AA954" s="2">
        <f t="shared" ca="1" si="893"/>
        <v>6223127.0908261444</v>
      </c>
      <c r="AB954" s="2">
        <f t="shared" ca="1" si="894"/>
        <v>6485894.2522859573</v>
      </c>
      <c r="AC954" s="2">
        <f t="shared" ca="1" si="895"/>
        <v>6642045.9501633886</v>
      </c>
      <c r="AD954" s="2">
        <f t="shared" ca="1" si="896"/>
        <v>6801957.0915040569</v>
      </c>
      <c r="AE954" s="2">
        <f t="shared" ca="1" si="897"/>
        <v>6965718.1871083286</v>
      </c>
      <c r="AF954" s="2">
        <f t="shared" ca="1" si="898"/>
        <v>991235.13008936576</v>
      </c>
      <c r="AG954" s="2">
        <f t="shared" ca="1" si="899"/>
        <v>1015099.6956432456</v>
      </c>
      <c r="AH954" s="2">
        <f t="shared" ca="1" si="900"/>
        <v>1039538.8145717866</v>
      </c>
      <c r="AI954" s="2">
        <f t="shared" ca="1" si="901"/>
        <v>1064566.3195835534</v>
      </c>
      <c r="AJ954" s="2">
        <f t="shared" ca="1" si="902"/>
        <v>1090196.3764176609</v>
      </c>
      <c r="AK954" s="2">
        <f t="shared" ca="1" si="903"/>
        <v>0</v>
      </c>
      <c r="AL954" s="2">
        <f t="shared" ca="1" si="904"/>
        <v>11932.282776939943</v>
      </c>
      <c r="AM954" s="2">
        <f t="shared" ca="1" si="905"/>
        <v>12219.559464270473</v>
      </c>
      <c r="AN954" s="2">
        <f t="shared" ca="1" si="906"/>
        <v>12513.752505883425</v>
      </c>
      <c r="AO954" s="2">
        <f t="shared" ca="1" si="907"/>
        <v>12815.028417053745</v>
      </c>
      <c r="AP954" s="2">
        <f t="shared" ca="1" si="908"/>
        <v>2273015.9143952136</v>
      </c>
      <c r="AQ954" s="2">
        <f t="shared" ca="1" si="909"/>
        <v>769307.77204880689</v>
      </c>
      <c r="AR954" s="2">
        <f t="shared" ca="1" si="910"/>
        <v>831422.44698434963</v>
      </c>
      <c r="AS954" s="2">
        <f t="shared" ca="1" si="911"/>
        <v>865667.717511061</v>
      </c>
      <c r="AT954" s="2">
        <f t="shared" ca="1" si="912"/>
        <v>900737.46295657556</v>
      </c>
      <c r="AU954" s="2">
        <f t="shared" ca="1" si="913"/>
        <v>936651.53303681803</v>
      </c>
      <c r="AV954" s="2">
        <f t="shared" ca="1" si="914"/>
        <v>2189568.2742927582</v>
      </c>
      <c r="AW954" s="2">
        <f t="shared" ca="1" si="915"/>
        <v>2354423.9124862091</v>
      </c>
      <c r="AX954" s="2">
        <f t="shared" ca="1" si="916"/>
        <v>2451603.9442210575</v>
      </c>
      <c r="AY954" s="2">
        <f t="shared" ca="1" si="917"/>
        <v>2551123.6420628312</v>
      </c>
      <c r="AZ954" s="2">
        <f t="shared" ca="1" si="918"/>
        <v>2653039.3348415825</v>
      </c>
      <c r="BA954" s="2">
        <f t="shared" ca="1" si="919"/>
        <v>48617413.195001543</v>
      </c>
      <c r="BB954" s="2">
        <f t="shared" ca="1" si="920"/>
        <v>972348.26390003087</v>
      </c>
      <c r="BC954" s="2">
        <f t="shared" ca="1" si="921"/>
        <v>22389332.54893247</v>
      </c>
      <c r="BD954" s="2">
        <f t="shared" ca="1" si="922"/>
        <v>-18389477.104036406</v>
      </c>
      <c r="BE954" s="2">
        <f t="shared" ca="1" si="923"/>
        <v>2189568.2742927582</v>
      </c>
      <c r="BF954" s="2">
        <f t="shared" ca="1" si="924"/>
        <v>2354423.9124862091</v>
      </c>
      <c r="BG954" s="2">
        <f t="shared" ca="1" si="925"/>
        <v>2451603.9442210575</v>
      </c>
      <c r="BH954" s="2">
        <f t="shared" ca="1" si="926"/>
        <v>2551123.6420628312</v>
      </c>
      <c r="BI954" s="2">
        <f t="shared" ca="1" si="927"/>
        <v>25042371.883774053</v>
      </c>
      <c r="BJ954" s="2">
        <f t="shared" ca="1" si="928"/>
        <v>0.16232837376676312</v>
      </c>
      <c r="BK954" s="2">
        <f t="shared" ca="1" si="929"/>
        <v>3018429.6931136623</v>
      </c>
    </row>
    <row r="955" spans="1:63" x14ac:dyDescent="0.3">
      <c r="A955" s="2">
        <v>954</v>
      </c>
      <c r="B955" s="2">
        <f t="shared" ca="1" si="868"/>
        <v>0.88761695137086083</v>
      </c>
      <c r="C955" s="2">
        <f t="shared" ca="1" si="869"/>
        <v>7.5259049702240297</v>
      </c>
      <c r="D955" s="2">
        <f t="shared" ca="1" si="870"/>
        <v>0.75159440079480566</v>
      </c>
      <c r="E955" s="2">
        <f t="shared" ca="1" si="871"/>
        <v>7.7951516486432073</v>
      </c>
      <c r="F955" s="2">
        <f t="shared" ca="1" si="872"/>
        <v>0.76979962840256144</v>
      </c>
      <c r="G955" s="2">
        <f t="shared" ca="1" si="873"/>
        <v>6.2145613868822086E-2</v>
      </c>
      <c r="H955" s="2">
        <f t="shared" ca="1" si="874"/>
        <v>6.2145613868822086E-2</v>
      </c>
      <c r="I955" s="2">
        <f t="shared" ca="1" si="875"/>
        <v>0.90599943757553858</v>
      </c>
      <c r="J955" s="2">
        <f t="shared" ca="1" si="876"/>
        <v>1.6582576823852301E-2</v>
      </c>
      <c r="K955" s="2">
        <f t="shared" ca="1" si="877"/>
        <v>1.6582576823852301E-2</v>
      </c>
      <c r="L955" s="2">
        <f t="shared" ca="1" si="878"/>
        <v>0.10818218517845024</v>
      </c>
      <c r="M955" s="2">
        <f t="shared" ca="1" si="879"/>
        <v>-2.4725068891410417E-2</v>
      </c>
      <c r="N955" s="2">
        <f t="shared" ca="1" si="880"/>
        <v>-2.4725068891410417E-2</v>
      </c>
      <c r="O955" s="2">
        <f t="shared" si="881"/>
        <v>6000000</v>
      </c>
      <c r="P955" s="2">
        <f t="shared" ca="1" si="882"/>
        <v>45155429.821344182</v>
      </c>
      <c r="Q955" s="2">
        <f t="shared" ca="1" si="883"/>
        <v>1128885.7455336046</v>
      </c>
      <c r="R955" s="2">
        <f t="shared" ca="1" si="884"/>
        <v>27093257.892806508</v>
      </c>
      <c r="S955" s="2">
        <f t="shared" ca="1" si="885"/>
        <v>18062171.928537674</v>
      </c>
      <c r="T955" s="2">
        <f t="shared" ca="1" si="886"/>
        <v>48763746.555429474</v>
      </c>
      <c r="U955" s="2">
        <f t="shared" ca="1" si="887"/>
        <v>51794199.519660302</v>
      </c>
      <c r="V955" s="2">
        <f t="shared" ca="1" si="888"/>
        <v>55012981.843653843</v>
      </c>
      <c r="W955" s="2">
        <f t="shared" ca="1" si="889"/>
        <v>58431797.371082075</v>
      </c>
      <c r="X955" s="2">
        <f t="shared" ca="1" si="890"/>
        <v>62063077.288166597</v>
      </c>
      <c r="Y955" s="2">
        <f t="shared" ca="1" si="891"/>
        <v>0.12829128841192614</v>
      </c>
      <c r="Z955" s="2">
        <f t="shared" ca="1" si="892"/>
        <v>0.13160780377669662</v>
      </c>
      <c r="AA955" s="2">
        <f t="shared" ca="1" si="893"/>
        <v>6255963.8733886722</v>
      </c>
      <c r="AB955" s="2">
        <f t="shared" ca="1" si="894"/>
        <v>6816520.847154527</v>
      </c>
      <c r="AC955" s="2">
        <f t="shared" ca="1" si="895"/>
        <v>7240137.7196505684</v>
      </c>
      <c r="AD955" s="2">
        <f t="shared" ca="1" si="896"/>
        <v>7690080.5227330672</v>
      </c>
      <c r="AE955" s="2">
        <f t="shared" ca="1" si="897"/>
        <v>8167985.2975189863</v>
      </c>
      <c r="AF955" s="2">
        <f t="shared" ca="1" si="898"/>
        <v>975274.93110858952</v>
      </c>
      <c r="AG955" s="2">
        <f t="shared" ca="1" si="899"/>
        <v>1035883.990393206</v>
      </c>
      <c r="AH955" s="2">
        <f t="shared" ca="1" si="900"/>
        <v>1100259.6368730769</v>
      </c>
      <c r="AI955" s="2">
        <f t="shared" ca="1" si="901"/>
        <v>1168635.9474216416</v>
      </c>
      <c r="AJ955" s="2">
        <f t="shared" ca="1" si="902"/>
        <v>1241261.5457633319</v>
      </c>
      <c r="AK955" s="2">
        <f t="shared" ca="1" si="903"/>
        <v>0</v>
      </c>
      <c r="AL955" s="2">
        <f t="shared" ca="1" si="904"/>
        <v>30304.52964230828</v>
      </c>
      <c r="AM955" s="2">
        <f t="shared" ca="1" si="905"/>
        <v>32187.823239935413</v>
      </c>
      <c r="AN955" s="2">
        <f t="shared" ca="1" si="906"/>
        <v>34188.155274282319</v>
      </c>
      <c r="AO955" s="2">
        <f t="shared" ca="1" si="907"/>
        <v>36312.799170845225</v>
      </c>
      <c r="AP955" s="2">
        <f t="shared" ca="1" si="908"/>
        <v>2438393.2103525857</v>
      </c>
      <c r="AQ955" s="2">
        <f t="shared" ca="1" si="909"/>
        <v>738996.89030114934</v>
      </c>
      <c r="AR955" s="2">
        <f t="shared" ca="1" si="910"/>
        <v>868983.34806627128</v>
      </c>
      <c r="AS955" s="2">
        <f t="shared" ca="1" si="911"/>
        <v>962386.06683047558</v>
      </c>
      <c r="AT955" s="2">
        <f t="shared" ca="1" si="912"/>
        <v>1061593.3548892986</v>
      </c>
      <c r="AU955" s="2">
        <f t="shared" ca="1" si="913"/>
        <v>1166965.9407647981</v>
      </c>
      <c r="AV955" s="2">
        <f t="shared" ca="1" si="914"/>
        <v>2103298.841626348</v>
      </c>
      <c r="AW955" s="2">
        <f t="shared" ca="1" si="915"/>
        <v>2442955.7687001564</v>
      </c>
      <c r="AX955" s="2">
        <f t="shared" ca="1" si="916"/>
        <v>2706910.9823544947</v>
      </c>
      <c r="AY955" s="2">
        <f t="shared" ca="1" si="917"/>
        <v>2987269.8547952594</v>
      </c>
      <c r="AZ955" s="2">
        <f t="shared" ca="1" si="918"/>
        <v>3285051.8014674261</v>
      </c>
      <c r="BA955" s="2">
        <f t="shared" ca="1" si="919"/>
        <v>63670684.058048606</v>
      </c>
      <c r="BB955" s="2">
        <f t="shared" ca="1" si="920"/>
        <v>1273413.6811609722</v>
      </c>
      <c r="BC955" s="2">
        <f t="shared" ca="1" si="921"/>
        <v>35304012.484081127</v>
      </c>
      <c r="BD955" s="2">
        <f t="shared" ca="1" si="922"/>
        <v>-19691057.674071278</v>
      </c>
      <c r="BE955" s="2">
        <f t="shared" ca="1" si="923"/>
        <v>2103298.841626348</v>
      </c>
      <c r="BF955" s="2">
        <f t="shared" ca="1" si="924"/>
        <v>2442955.7687001564</v>
      </c>
      <c r="BG955" s="2">
        <f t="shared" ca="1" si="925"/>
        <v>2706910.9823544947</v>
      </c>
      <c r="BH955" s="2">
        <f t="shared" ca="1" si="926"/>
        <v>2987269.8547952594</v>
      </c>
      <c r="BI955" s="2">
        <f t="shared" ca="1" si="927"/>
        <v>38589064.285548553</v>
      </c>
      <c r="BJ955" s="2">
        <f t="shared" ca="1" si="928"/>
        <v>0.23149122695006885</v>
      </c>
      <c r="BK955" s="2">
        <f t="shared" ca="1" si="929"/>
        <v>9856058.2824706659</v>
      </c>
    </row>
    <row r="956" spans="1:63" x14ac:dyDescent="0.3">
      <c r="A956" s="2">
        <v>955</v>
      </c>
      <c r="B956" s="2">
        <f t="shared" ca="1" si="868"/>
        <v>0.36950061272609469</v>
      </c>
      <c r="C956" s="2">
        <f t="shared" ca="1" si="869"/>
        <v>6.859651804774578</v>
      </c>
      <c r="D956" s="2">
        <f t="shared" ca="1" si="870"/>
        <v>0.68238392451370966</v>
      </c>
      <c r="E956" s="2">
        <f t="shared" ca="1" si="871"/>
        <v>7.7029854763101362</v>
      </c>
      <c r="F956" s="2">
        <f t="shared" ca="1" si="872"/>
        <v>0.29407865578118564</v>
      </c>
      <c r="G956" s="2">
        <f t="shared" ca="1" si="873"/>
        <v>2.3754752446804018E-2</v>
      </c>
      <c r="H956" s="2">
        <f t="shared" ca="1" si="874"/>
        <v>2.3754752446804018E-2</v>
      </c>
      <c r="I956" s="2">
        <f t="shared" ca="1" si="875"/>
        <v>0.94920758059442267</v>
      </c>
      <c r="J956" s="2">
        <f t="shared" ca="1" si="876"/>
        <v>1.8186092118312402E-2</v>
      </c>
      <c r="K956" s="2">
        <f t="shared" ca="1" si="877"/>
        <v>1.8186092118312402E-2</v>
      </c>
      <c r="L956" s="2">
        <f t="shared" ca="1" si="878"/>
        <v>0.28404840058001346</v>
      </c>
      <c r="M956" s="2">
        <f t="shared" ca="1" si="879"/>
        <v>-1.1417133505915578E-2</v>
      </c>
      <c r="N956" s="2">
        <f t="shared" ca="1" si="880"/>
        <v>-1.1417133505915578E-2</v>
      </c>
      <c r="O956" s="2">
        <f t="shared" si="881"/>
        <v>6000000</v>
      </c>
      <c r="P956" s="2">
        <f t="shared" ca="1" si="882"/>
        <v>41157910.828647465</v>
      </c>
      <c r="Q956" s="2">
        <f t="shared" ca="1" si="883"/>
        <v>1028947.7707161866</v>
      </c>
      <c r="R956" s="2">
        <f t="shared" ca="1" si="884"/>
        <v>24694746.497188479</v>
      </c>
      <c r="S956" s="2">
        <f t="shared" ca="1" si="885"/>
        <v>16463164.331458986</v>
      </c>
      <c r="T956" s="2">
        <f t="shared" ca="1" si="886"/>
        <v>49429143.324704222</v>
      </c>
      <c r="U956" s="2">
        <f t="shared" ca="1" si="887"/>
        <v>50603320.38804017</v>
      </c>
      <c r="V956" s="2">
        <f t="shared" ca="1" si="888"/>
        <v>51805389.736844376</v>
      </c>
      <c r="W956" s="2">
        <f t="shared" ca="1" si="889"/>
        <v>53036013.945453316</v>
      </c>
      <c r="X956" s="2">
        <f t="shared" ca="1" si="890"/>
        <v>54295871.327492803</v>
      </c>
      <c r="Y956" s="2">
        <f t="shared" ca="1" si="891"/>
        <v>0.1290930460591562</v>
      </c>
      <c r="Z956" s="2">
        <f t="shared" ca="1" si="892"/>
        <v>0.13273026448281869</v>
      </c>
      <c r="AA956" s="2">
        <f t="shared" ca="1" si="893"/>
        <v>6380958.6758806752</v>
      </c>
      <c r="AB956" s="2">
        <f t="shared" ca="1" si="894"/>
        <v>6716592.0988133829</v>
      </c>
      <c r="AC956" s="2">
        <f t="shared" ca="1" si="895"/>
        <v>6876143.081406855</v>
      </c>
      <c r="AD956" s="2">
        <f t="shared" ca="1" si="896"/>
        <v>7039484.1580944788</v>
      </c>
      <c r="AE956" s="2">
        <f t="shared" ca="1" si="897"/>
        <v>7206705.3616232118</v>
      </c>
      <c r="AF956" s="2">
        <f t="shared" ca="1" si="898"/>
        <v>988582.86649408448</v>
      </c>
      <c r="AG956" s="2">
        <f t="shared" ca="1" si="899"/>
        <v>1012066.4077608035</v>
      </c>
      <c r="AH956" s="2">
        <f t="shared" ca="1" si="900"/>
        <v>1036107.7947368876</v>
      </c>
      <c r="AI956" s="2">
        <f t="shared" ca="1" si="901"/>
        <v>1060720.2789090662</v>
      </c>
      <c r="AJ956" s="2">
        <f t="shared" ca="1" si="902"/>
        <v>1085917.4265498561</v>
      </c>
      <c r="AK956" s="2">
        <f t="shared" ca="1" si="903"/>
        <v>0</v>
      </c>
      <c r="AL956" s="2">
        <f t="shared" ca="1" si="904"/>
        <v>11741.770633359478</v>
      </c>
      <c r="AM956" s="2">
        <f t="shared" ca="1" si="905"/>
        <v>12020.693488042058</v>
      </c>
      <c r="AN956" s="2">
        <f t="shared" ca="1" si="906"/>
        <v>12306.242086089404</v>
      </c>
      <c r="AO956" s="2">
        <f t="shared" ca="1" si="907"/>
        <v>12598.573820394873</v>
      </c>
      <c r="AP956" s="2">
        <f t="shared" ca="1" si="908"/>
        <v>2222527.184746963</v>
      </c>
      <c r="AQ956" s="2">
        <f t="shared" ca="1" si="909"/>
        <v>824160.6424063032</v>
      </c>
      <c r="AR956" s="2">
        <f t="shared" ca="1" si="910"/>
        <v>905319.61163946032</v>
      </c>
      <c r="AS956" s="2">
        <f t="shared" ca="1" si="911"/>
        <v>940552.10649998125</v>
      </c>
      <c r="AT956" s="2">
        <f t="shared" ca="1" si="912"/>
        <v>976621.54055399681</v>
      </c>
      <c r="AU956" s="2">
        <f t="shared" ca="1" si="913"/>
        <v>1013547.795084862</v>
      </c>
      <c r="AV956" s="2">
        <f t="shared" ca="1" si="914"/>
        <v>2345687.9822333241</v>
      </c>
      <c r="AW956" s="2">
        <f t="shared" ca="1" si="915"/>
        <v>2564937.1240327964</v>
      </c>
      <c r="AX956" s="2">
        <f t="shared" ca="1" si="916"/>
        <v>2664935.3019349817</v>
      </c>
      <c r="AY956" s="2">
        <f t="shared" ca="1" si="917"/>
        <v>2767308.9117983626</v>
      </c>
      <c r="AZ956" s="2">
        <f t="shared" ca="1" si="918"/>
        <v>2872114.3814211357</v>
      </c>
      <c r="BA956" s="2">
        <f t="shared" ca="1" si="919"/>
        <v>55513146.732629985</v>
      </c>
      <c r="BB956" s="2">
        <f t="shared" ca="1" si="920"/>
        <v>1110262.9346525997</v>
      </c>
      <c r="BC956" s="2">
        <f t="shared" ca="1" si="921"/>
        <v>29708137.300788905</v>
      </c>
      <c r="BD956" s="2">
        <f t="shared" ca="1" si="922"/>
        <v>-17992112.102175172</v>
      </c>
      <c r="BE956" s="2">
        <f t="shared" ca="1" si="923"/>
        <v>2345687.9822333241</v>
      </c>
      <c r="BF956" s="2">
        <f t="shared" ca="1" si="924"/>
        <v>2564937.1240327964</v>
      </c>
      <c r="BG956" s="2">
        <f t="shared" ca="1" si="925"/>
        <v>2664935.3019349817</v>
      </c>
      <c r="BH956" s="2">
        <f t="shared" ca="1" si="926"/>
        <v>2767308.9117983626</v>
      </c>
      <c r="BI956" s="2">
        <f t="shared" ca="1" si="927"/>
        <v>32580251.682210043</v>
      </c>
      <c r="BJ956" s="2">
        <f t="shared" ca="1" si="928"/>
        <v>0.22702561366318896</v>
      </c>
      <c r="BK956" s="2">
        <f t="shared" ca="1" si="929"/>
        <v>8289437.2614119686</v>
      </c>
    </row>
    <row r="957" spans="1:63" x14ac:dyDescent="0.3">
      <c r="A957" s="2">
        <v>956</v>
      </c>
      <c r="B957" s="2">
        <f t="shared" ca="1" si="868"/>
        <v>0.22959205443818398</v>
      </c>
      <c r="C957" s="2">
        <f t="shared" ca="1" si="869"/>
        <v>6.6776312484503411</v>
      </c>
      <c r="D957" s="2">
        <f t="shared" ca="1" si="870"/>
        <v>0.79869318151788959</v>
      </c>
      <c r="E957" s="2">
        <f t="shared" ca="1" si="871"/>
        <v>7.8654815708238086</v>
      </c>
      <c r="F957" s="2">
        <f t="shared" ca="1" si="872"/>
        <v>0.94200989222067122</v>
      </c>
      <c r="G957" s="2">
        <f t="shared" ca="1" si="873"/>
        <v>8.7156163077344556E-2</v>
      </c>
      <c r="H957" s="2">
        <f t="shared" ca="1" si="874"/>
        <v>8.7156163077344556E-2</v>
      </c>
      <c r="I957" s="2">
        <f t="shared" ca="1" si="875"/>
        <v>0.60405426659179107</v>
      </c>
      <c r="J957" s="2">
        <f t="shared" ca="1" si="876"/>
        <v>1.1319276200994856E-2</v>
      </c>
      <c r="K957" s="2">
        <f t="shared" ca="1" si="877"/>
        <v>1.1319276200994856E-2</v>
      </c>
      <c r="L957" s="2">
        <f t="shared" ca="1" si="878"/>
        <v>0.81236080840102043</v>
      </c>
      <c r="M957" s="2">
        <f t="shared" ca="1" si="879"/>
        <v>1.7732590846780857E-2</v>
      </c>
      <c r="N957" s="2">
        <f t="shared" ca="1" si="880"/>
        <v>1.7732590846780857E-2</v>
      </c>
      <c r="O957" s="2">
        <f t="shared" si="881"/>
        <v>6000000</v>
      </c>
      <c r="P957" s="2">
        <f t="shared" ca="1" si="882"/>
        <v>40065787.490702048</v>
      </c>
      <c r="Q957" s="2">
        <f t="shared" ca="1" si="883"/>
        <v>1001644.6872675512</v>
      </c>
      <c r="R957" s="2">
        <f t="shared" ca="1" si="884"/>
        <v>24039472.494421229</v>
      </c>
      <c r="S957" s="2">
        <f t="shared" ca="1" si="885"/>
        <v>16026314.996280819</v>
      </c>
      <c r="T957" s="2">
        <f t="shared" ca="1" si="886"/>
        <v>50886629.542339049</v>
      </c>
      <c r="U957" s="2">
        <f t="shared" ca="1" si="887"/>
        <v>55321712.925187573</v>
      </c>
      <c r="V957" s="2">
        <f t="shared" ca="1" si="888"/>
        <v>60143341.158613257</v>
      </c>
      <c r="W957" s="2">
        <f t="shared" ca="1" si="889"/>
        <v>65385204.008649722</v>
      </c>
      <c r="X957" s="2">
        <f t="shared" ca="1" si="890"/>
        <v>71083927.51207304</v>
      </c>
      <c r="Y957" s="2">
        <f t="shared" ca="1" si="891"/>
        <v>0.12565963810049743</v>
      </c>
      <c r="Z957" s="2">
        <f t="shared" ca="1" si="892"/>
        <v>0.12792349334069639</v>
      </c>
      <c r="AA957" s="2">
        <f t="shared" ca="1" si="893"/>
        <v>6394395.4524444062</v>
      </c>
      <c r="AB957" s="2">
        <f t="shared" ca="1" si="894"/>
        <v>7076946.7749811495</v>
      </c>
      <c r="AC957" s="2">
        <f t="shared" ca="1" si="895"/>
        <v>7693746.3021910936</v>
      </c>
      <c r="AD957" s="2">
        <f t="shared" ca="1" si="896"/>
        <v>8364303.709580577</v>
      </c>
      <c r="AE957" s="2">
        <f t="shared" ca="1" si="897"/>
        <v>9093304.3277212195</v>
      </c>
      <c r="AF957" s="2">
        <f t="shared" ca="1" si="898"/>
        <v>1017732.590846781</v>
      </c>
      <c r="AG957" s="2">
        <f t="shared" ca="1" si="899"/>
        <v>1106434.2585037514</v>
      </c>
      <c r="AH957" s="2">
        <f t="shared" ca="1" si="900"/>
        <v>1202866.8231722652</v>
      </c>
      <c r="AI957" s="2">
        <f t="shared" ca="1" si="901"/>
        <v>1307704.0801729944</v>
      </c>
      <c r="AJ957" s="2">
        <f t="shared" ca="1" si="902"/>
        <v>1421678.5502414608</v>
      </c>
      <c r="AK957" s="2">
        <f t="shared" ca="1" si="903"/>
        <v>0</v>
      </c>
      <c r="AL957" s="2">
        <f t="shared" ca="1" si="904"/>
        <v>44350.833828485236</v>
      </c>
      <c r="AM957" s="2">
        <f t="shared" ca="1" si="905"/>
        <v>48216.282334256844</v>
      </c>
      <c r="AN957" s="2">
        <f t="shared" ca="1" si="906"/>
        <v>52418.628500364648</v>
      </c>
      <c r="AO957" s="2">
        <f t="shared" ca="1" si="907"/>
        <v>56987.235034233185</v>
      </c>
      <c r="AP957" s="2">
        <f t="shared" ca="1" si="908"/>
        <v>2163552.5244979104</v>
      </c>
      <c r="AQ957" s="2">
        <f t="shared" ca="1" si="909"/>
        <v>835408.68764592591</v>
      </c>
      <c r="AR957" s="2">
        <f t="shared" ca="1" si="910"/>
        <v>989809.59791466699</v>
      </c>
      <c r="AS957" s="2">
        <f t="shared" ca="1" si="911"/>
        <v>1125105.0081754385</v>
      </c>
      <c r="AT957" s="2">
        <f t="shared" ca="1" si="912"/>
        <v>1272192.2472765148</v>
      </c>
      <c r="AU957" s="2">
        <f t="shared" ca="1" si="913"/>
        <v>1432099.0457752806</v>
      </c>
      <c r="AV957" s="2">
        <f t="shared" ca="1" si="914"/>
        <v>2377701.649453789</v>
      </c>
      <c r="AW957" s="2">
        <f t="shared" ca="1" si="915"/>
        <v>2772799.5602363357</v>
      </c>
      <c r="AX957" s="2">
        <f t="shared" ca="1" si="916"/>
        <v>3154005.6640112223</v>
      </c>
      <c r="AY957" s="2">
        <f t="shared" ca="1" si="917"/>
        <v>3568436.2291327929</v>
      </c>
      <c r="AZ957" s="2">
        <f t="shared" ca="1" si="918"/>
        <v>4018986.9721723348</v>
      </c>
      <c r="BA957" s="2">
        <f t="shared" ca="1" si="919"/>
        <v>71523217.607583642</v>
      </c>
      <c r="BB957" s="2">
        <f t="shared" ca="1" si="920"/>
        <v>1430464.3521516728</v>
      </c>
      <c r="BC957" s="2">
        <f t="shared" ca="1" si="921"/>
        <v>46053280.761010744</v>
      </c>
      <c r="BD957" s="2">
        <f t="shared" ca="1" si="922"/>
        <v>-17527959.683548369</v>
      </c>
      <c r="BE957" s="2">
        <f t="shared" ca="1" si="923"/>
        <v>2377701.649453789</v>
      </c>
      <c r="BF957" s="2">
        <f t="shared" ca="1" si="924"/>
        <v>2772799.5602363357</v>
      </c>
      <c r="BG957" s="2">
        <f t="shared" ca="1" si="925"/>
        <v>3154005.6640112223</v>
      </c>
      <c r="BH957" s="2">
        <f t="shared" ca="1" si="926"/>
        <v>3568436.2291327929</v>
      </c>
      <c r="BI957" s="2">
        <f t="shared" ca="1" si="927"/>
        <v>50072267.733183078</v>
      </c>
      <c r="BJ957" s="2">
        <f t="shared" ca="1" si="928"/>
        <v>0.33622671111138169</v>
      </c>
      <c r="BK957" s="2">
        <f t="shared" ca="1" si="929"/>
        <v>19730561.157769628</v>
      </c>
    </row>
    <row r="958" spans="1:63" x14ac:dyDescent="0.3">
      <c r="A958" s="2">
        <v>957</v>
      </c>
      <c r="B958" s="2">
        <f t="shared" ca="1" si="868"/>
        <v>0.20023425938245376</v>
      </c>
      <c r="C958" s="2">
        <f t="shared" ca="1" si="869"/>
        <v>6.6328258202419583</v>
      </c>
      <c r="D958" s="2">
        <f t="shared" ca="1" si="870"/>
        <v>0.59535664548188949</v>
      </c>
      <c r="E958" s="2">
        <f t="shared" ca="1" si="871"/>
        <v>7.6003963600361431</v>
      </c>
      <c r="F958" s="2">
        <f t="shared" ca="1" si="872"/>
        <v>2.9710755648772458E-2</v>
      </c>
      <c r="G958" s="2">
        <f t="shared" ca="1" si="873"/>
        <v>-1.6551850303309266E-2</v>
      </c>
      <c r="H958" s="2">
        <f t="shared" ca="1" si="874"/>
        <v>-1.6551850303309266E-2</v>
      </c>
      <c r="I958" s="2">
        <f t="shared" ca="1" si="875"/>
        <v>0.7845468250405907</v>
      </c>
      <c r="J958" s="2">
        <f t="shared" ca="1" si="876"/>
        <v>1.3938208208725164E-2</v>
      </c>
      <c r="K958" s="2">
        <f t="shared" ca="1" si="877"/>
        <v>1.3938208208725164E-2</v>
      </c>
      <c r="L958" s="2">
        <f t="shared" ca="1" si="878"/>
        <v>0.85784932292646543</v>
      </c>
      <c r="M958" s="2">
        <f t="shared" ca="1" si="879"/>
        <v>2.1414132893546909E-2</v>
      </c>
      <c r="N958" s="2">
        <f t="shared" ca="1" si="880"/>
        <v>2.1414132893546909E-2</v>
      </c>
      <c r="O958" s="2">
        <f t="shared" si="881"/>
        <v>6000000</v>
      </c>
      <c r="P958" s="2">
        <f t="shared" ca="1" si="882"/>
        <v>39796954.921451747</v>
      </c>
      <c r="Q958" s="2">
        <f t="shared" ca="1" si="883"/>
        <v>994923.87303629378</v>
      </c>
      <c r="R958" s="2">
        <f t="shared" ca="1" si="884"/>
        <v>23878172.952871047</v>
      </c>
      <c r="S958" s="2">
        <f t="shared" ca="1" si="885"/>
        <v>15918781.9685807</v>
      </c>
      <c r="T958" s="2">
        <f t="shared" ca="1" si="886"/>
        <v>51070706.644677341</v>
      </c>
      <c r="U958" s="2">
        <f t="shared" ca="1" si="887"/>
        <v>50225391.953410417</v>
      </c>
      <c r="V958" s="2">
        <f t="shared" ca="1" si="888"/>
        <v>49394068.784372531</v>
      </c>
      <c r="W958" s="2">
        <f t="shared" ca="1" si="889"/>
        <v>48576505.551982231</v>
      </c>
      <c r="X958" s="2">
        <f t="shared" ca="1" si="890"/>
        <v>47772474.503827952</v>
      </c>
      <c r="Y958" s="2">
        <f t="shared" ca="1" si="891"/>
        <v>0.12696910410436257</v>
      </c>
      <c r="Z958" s="2">
        <f t="shared" ca="1" si="892"/>
        <v>0.1297567457461076</v>
      </c>
      <c r="AA958" s="2">
        <f t="shared" ca="1" si="893"/>
        <v>6484401.8686513985</v>
      </c>
      <c r="AB958" s="2">
        <f t="shared" ca="1" si="894"/>
        <v>6517083.4136972744</v>
      </c>
      <c r="AC958" s="2">
        <f t="shared" ca="1" si="895"/>
        <v>6409213.6246195761</v>
      </c>
      <c r="AD958" s="2">
        <f t="shared" ca="1" si="896"/>
        <v>6303129.2801429424</v>
      </c>
      <c r="AE958" s="2">
        <f t="shared" ca="1" si="897"/>
        <v>6198800.8278556112</v>
      </c>
      <c r="AF958" s="2">
        <f t="shared" ca="1" si="898"/>
        <v>1021414.1328935468</v>
      </c>
      <c r="AG958" s="2">
        <f t="shared" ca="1" si="899"/>
        <v>1004507.8390682084</v>
      </c>
      <c r="AH958" s="2">
        <f t="shared" ca="1" si="900"/>
        <v>987881.37568745064</v>
      </c>
      <c r="AI958" s="2">
        <f t="shared" ca="1" si="901"/>
        <v>971530.11103964469</v>
      </c>
      <c r="AJ958" s="2">
        <f t="shared" ca="1" si="902"/>
        <v>955449.49007655901</v>
      </c>
      <c r="AK958" s="2">
        <f t="shared" ca="1" si="903"/>
        <v>0</v>
      </c>
      <c r="AL958" s="2">
        <f t="shared" ca="1" si="904"/>
        <v>0</v>
      </c>
      <c r="AM958" s="2">
        <f t="shared" ca="1" si="905"/>
        <v>0</v>
      </c>
      <c r="AN958" s="2">
        <f t="shared" ca="1" si="906"/>
        <v>0</v>
      </c>
      <c r="AO958" s="2">
        <f t="shared" ca="1" si="907"/>
        <v>0</v>
      </c>
      <c r="AP958" s="2">
        <f t="shared" ca="1" si="908"/>
        <v>2149035.5657583941</v>
      </c>
      <c r="AQ958" s="2">
        <f t="shared" ca="1" si="909"/>
        <v>861627.56419985904</v>
      </c>
      <c r="AR958" s="2">
        <f t="shared" ca="1" si="910"/>
        <v>874520.40230637486</v>
      </c>
      <c r="AS958" s="2">
        <f t="shared" ca="1" si="911"/>
        <v>850797.13762517006</v>
      </c>
      <c r="AT958" s="2">
        <f t="shared" ca="1" si="912"/>
        <v>827466.53686967492</v>
      </c>
      <c r="AU958" s="2">
        <f t="shared" ca="1" si="913"/>
        <v>804522.10072537127</v>
      </c>
      <c r="AV958" s="2">
        <f t="shared" ca="1" si="914"/>
        <v>2452324.6057995986</v>
      </c>
      <c r="AW958" s="2">
        <f t="shared" ca="1" si="915"/>
        <v>2489019.6065642973</v>
      </c>
      <c r="AX958" s="2">
        <f t="shared" ca="1" si="916"/>
        <v>2421499.545548561</v>
      </c>
      <c r="AY958" s="2">
        <f t="shared" ca="1" si="917"/>
        <v>2355097.0664752284</v>
      </c>
      <c r="AZ958" s="2">
        <f t="shared" ca="1" si="918"/>
        <v>2289793.6712952871</v>
      </c>
      <c r="BA958" s="2">
        <f t="shared" ca="1" si="919"/>
        <v>47113343.24862282</v>
      </c>
      <c r="BB958" s="2">
        <f t="shared" ca="1" si="920"/>
        <v>942266.86497245636</v>
      </c>
      <c r="BC958" s="2">
        <f t="shared" ca="1" si="921"/>
        <v>22292903.430779316</v>
      </c>
      <c r="BD958" s="2">
        <f t="shared" ca="1" si="922"/>
        <v>-17413705.841616996</v>
      </c>
      <c r="BE958" s="2">
        <f t="shared" ca="1" si="923"/>
        <v>2452324.6057995986</v>
      </c>
      <c r="BF958" s="2">
        <f t="shared" ca="1" si="924"/>
        <v>2489019.6065642973</v>
      </c>
      <c r="BG958" s="2">
        <f t="shared" ca="1" si="925"/>
        <v>2421499.545548561</v>
      </c>
      <c r="BH958" s="2">
        <f t="shared" ca="1" si="926"/>
        <v>2355097.0664752284</v>
      </c>
      <c r="BI958" s="2">
        <f t="shared" ca="1" si="927"/>
        <v>24582697.102074601</v>
      </c>
      <c r="BJ958" s="2">
        <f t="shared" ca="1" si="928"/>
        <v>0.17804914912071323</v>
      </c>
      <c r="BK958" s="2">
        <f t="shared" ca="1" si="929"/>
        <v>3929265.7211997285</v>
      </c>
    </row>
    <row r="959" spans="1:63" x14ac:dyDescent="0.3">
      <c r="A959" s="2">
        <v>958</v>
      </c>
      <c r="B959" s="2">
        <f t="shared" ca="1" si="868"/>
        <v>0.9306466079783664</v>
      </c>
      <c r="C959" s="2">
        <f t="shared" ca="1" si="869"/>
        <v>7.6275664031759929</v>
      </c>
      <c r="D959" s="2">
        <f t="shared" ca="1" si="870"/>
        <v>0.67856929865586779</v>
      </c>
      <c r="E959" s="2">
        <f t="shared" ca="1" si="871"/>
        <v>7.6982136177956972</v>
      </c>
      <c r="F959" s="2">
        <f t="shared" ca="1" si="872"/>
        <v>0.37732355923640204</v>
      </c>
      <c r="G959" s="2">
        <f t="shared" ca="1" si="873"/>
        <v>3.0624469194222619E-2</v>
      </c>
      <c r="H959" s="2">
        <f t="shared" ca="1" si="874"/>
        <v>3.0624469194222619E-2</v>
      </c>
      <c r="I959" s="2">
        <f t="shared" ca="1" si="875"/>
        <v>0.32334160645441978</v>
      </c>
      <c r="J959" s="2">
        <f t="shared" ca="1" si="876"/>
        <v>7.7081261375746973E-3</v>
      </c>
      <c r="K959" s="2">
        <f t="shared" ca="1" si="877"/>
        <v>7.7081261375746973E-3</v>
      </c>
      <c r="L959" s="2">
        <f t="shared" ca="1" si="878"/>
        <v>0.50747008044709974</v>
      </c>
      <c r="M959" s="2">
        <f t="shared" ca="1" si="879"/>
        <v>3.7451618381827069E-4</v>
      </c>
      <c r="N959" s="2">
        <f t="shared" ca="1" si="880"/>
        <v>3.7451618381827069E-4</v>
      </c>
      <c r="O959" s="2">
        <f t="shared" si="881"/>
        <v>6000000</v>
      </c>
      <c r="P959" s="2">
        <f t="shared" ca="1" si="882"/>
        <v>45765398.419055954</v>
      </c>
      <c r="Q959" s="2">
        <f t="shared" ca="1" si="883"/>
        <v>1144134.9604763989</v>
      </c>
      <c r="R959" s="2">
        <f t="shared" ca="1" si="884"/>
        <v>27459239.051433571</v>
      </c>
      <c r="S959" s="2">
        <f t="shared" ca="1" si="885"/>
        <v>18306159.367622383</v>
      </c>
      <c r="T959" s="2">
        <f t="shared" ca="1" si="886"/>
        <v>50018725.809190914</v>
      </c>
      <c r="U959" s="2">
        <f t="shared" ca="1" si="887"/>
        <v>51550522.736868747</v>
      </c>
      <c r="V959" s="2">
        <f t="shared" ca="1" si="888"/>
        <v>53129230.132370055</v>
      </c>
      <c r="W959" s="2">
        <f t="shared" ca="1" si="889"/>
        <v>54756284.603871584</v>
      </c>
      <c r="X959" s="2">
        <f t="shared" ca="1" si="890"/>
        <v>56433166.754912935</v>
      </c>
      <c r="Y959" s="2">
        <f t="shared" ca="1" si="891"/>
        <v>0.12385406306878735</v>
      </c>
      <c r="Z959" s="2">
        <f t="shared" ca="1" si="892"/>
        <v>0.12539568829630229</v>
      </c>
      <c r="AA959" s="2">
        <f t="shared" ca="1" si="893"/>
        <v>6195022.4209919134</v>
      </c>
      <c r="AB959" s="2">
        <f t="shared" ca="1" si="894"/>
        <v>6464213.2806238374</v>
      </c>
      <c r="AC959" s="2">
        <f t="shared" ca="1" si="895"/>
        <v>6662176.3811011864</v>
      </c>
      <c r="AD959" s="2">
        <f t="shared" ca="1" si="896"/>
        <v>6866201.9964506971</v>
      </c>
      <c r="AE959" s="2">
        <f t="shared" ca="1" si="897"/>
        <v>7076475.7879723115</v>
      </c>
      <c r="AF959" s="2">
        <f t="shared" ca="1" si="898"/>
        <v>1000374.5161838183</v>
      </c>
      <c r="AG959" s="2">
        <f t="shared" ca="1" si="899"/>
        <v>1031010.4547373749</v>
      </c>
      <c r="AH959" s="2">
        <f t="shared" ca="1" si="900"/>
        <v>1062584.6026474012</v>
      </c>
      <c r="AI959" s="2">
        <f t="shared" ca="1" si="901"/>
        <v>1095125.6920774316</v>
      </c>
      <c r="AJ959" s="2">
        <f t="shared" ca="1" si="902"/>
        <v>1128663.3350982587</v>
      </c>
      <c r="AK959" s="2">
        <f t="shared" ca="1" si="903"/>
        <v>0</v>
      </c>
      <c r="AL959" s="2">
        <f t="shared" ca="1" si="904"/>
        <v>15317.969276778325</v>
      </c>
      <c r="AM959" s="2">
        <f t="shared" ca="1" si="905"/>
        <v>15787.073955013082</v>
      </c>
      <c r="AN959" s="2">
        <f t="shared" ca="1" si="906"/>
        <v>16270.544715015292</v>
      </c>
      <c r="AO959" s="2">
        <f t="shared" ca="1" si="907"/>
        <v>16768.821510413512</v>
      </c>
      <c r="AP959" s="2">
        <f t="shared" ca="1" si="908"/>
        <v>2471331.5146290213</v>
      </c>
      <c r="AQ959" s="2">
        <f t="shared" ca="1" si="909"/>
        <v>708062.2614465591</v>
      </c>
      <c r="AR959" s="2">
        <f t="shared" ca="1" si="910"/>
        <v>770086.5409269348</v>
      </c>
      <c r="AS959" s="2">
        <f t="shared" ca="1" si="911"/>
        <v>813347.66859443858</v>
      </c>
      <c r="AT959" s="2">
        <f t="shared" ca="1" si="912"/>
        <v>857933.64533350349</v>
      </c>
      <c r="AU959" s="2">
        <f t="shared" ca="1" si="913"/>
        <v>903885.0439437083</v>
      </c>
      <c r="AV959" s="2">
        <f t="shared" ca="1" si="914"/>
        <v>2015254.1287325146</v>
      </c>
      <c r="AW959" s="2">
        <f t="shared" ca="1" si="915"/>
        <v>2176466.801053728</v>
      </c>
      <c r="AX959" s="2">
        <f t="shared" ca="1" si="916"/>
        <v>2299125.5212753117</v>
      </c>
      <c r="AY959" s="2">
        <f t="shared" ca="1" si="917"/>
        <v>2425540.5996957254</v>
      </c>
      <c r="AZ959" s="2">
        <f t="shared" ca="1" si="918"/>
        <v>2555827.0727909096</v>
      </c>
      <c r="BA959" s="2">
        <f t="shared" ca="1" si="919"/>
        <v>54476222.276969984</v>
      </c>
      <c r="BB959" s="2">
        <f t="shared" ca="1" si="920"/>
        <v>1089524.4455393997</v>
      </c>
      <c r="BC959" s="2">
        <f t="shared" ca="1" si="921"/>
        <v>25927458.779997014</v>
      </c>
      <c r="BD959" s="2">
        <f t="shared" ca="1" si="922"/>
        <v>-19950294.328098781</v>
      </c>
      <c r="BE959" s="2">
        <f t="shared" ca="1" si="923"/>
        <v>2015254.1287325146</v>
      </c>
      <c r="BF959" s="2">
        <f t="shared" ca="1" si="924"/>
        <v>2176466.801053728</v>
      </c>
      <c r="BG959" s="2">
        <f t="shared" ca="1" si="925"/>
        <v>2299125.5212753117</v>
      </c>
      <c r="BH959" s="2">
        <f t="shared" ca="1" si="926"/>
        <v>2425540.5996957254</v>
      </c>
      <c r="BI959" s="2">
        <f t="shared" ca="1" si="927"/>
        <v>28483285.852787923</v>
      </c>
      <c r="BJ959" s="2">
        <f t="shared" ca="1" si="928"/>
        <v>0.15690796009675068</v>
      </c>
      <c r="BK959" s="2">
        <f t="shared" ca="1" si="929"/>
        <v>2924234.0901859924</v>
      </c>
    </row>
    <row r="960" spans="1:63" x14ac:dyDescent="0.3">
      <c r="A960" s="2">
        <v>959</v>
      </c>
      <c r="B960" s="2">
        <f t="shared" ca="1" si="868"/>
        <v>0.56875212451692858</v>
      </c>
      <c r="C960" s="2">
        <f t="shared" ca="1" si="869"/>
        <v>7.0712935065554117</v>
      </c>
      <c r="D960" s="2">
        <f t="shared" ca="1" si="870"/>
        <v>0.7175296095248207</v>
      </c>
      <c r="E960" s="2">
        <f t="shared" ca="1" si="871"/>
        <v>7.7483745740394632</v>
      </c>
      <c r="F960" s="2">
        <f t="shared" ca="1" si="872"/>
        <v>0.55117923040500139</v>
      </c>
      <c r="G960" s="2">
        <f t="shared" ca="1" si="873"/>
        <v>4.3859236950268318E-2</v>
      </c>
      <c r="H960" s="2">
        <f t="shared" ca="1" si="874"/>
        <v>4.3859236950268318E-2</v>
      </c>
      <c r="I960" s="2">
        <f t="shared" ca="1" si="875"/>
        <v>0.59388547557139892</v>
      </c>
      <c r="J960" s="2">
        <f t="shared" ca="1" si="876"/>
        <v>1.1187756998768096E-2</v>
      </c>
      <c r="K960" s="2">
        <f t="shared" ca="1" si="877"/>
        <v>1.1187756998768096E-2</v>
      </c>
      <c r="L960" s="2">
        <f t="shared" ca="1" si="878"/>
        <v>0.70622239174399204</v>
      </c>
      <c r="M960" s="2">
        <f t="shared" ca="1" si="879"/>
        <v>1.084764466220306E-2</v>
      </c>
      <c r="N960" s="2">
        <f t="shared" ca="1" si="880"/>
        <v>1.084764466220306E-2</v>
      </c>
      <c r="O960" s="2">
        <f t="shared" si="881"/>
        <v>6000000</v>
      </c>
      <c r="P960" s="2">
        <f t="shared" ca="1" si="882"/>
        <v>42427761.039332472</v>
      </c>
      <c r="Q960" s="2">
        <f t="shared" ca="1" si="883"/>
        <v>1060694.0259833119</v>
      </c>
      <c r="R960" s="2">
        <f t="shared" ca="1" si="884"/>
        <v>25456656.623599481</v>
      </c>
      <c r="S960" s="2">
        <f t="shared" ca="1" si="885"/>
        <v>16971104.415732991</v>
      </c>
      <c r="T960" s="2">
        <f t="shared" ca="1" si="886"/>
        <v>50542382.233110152</v>
      </c>
      <c r="U960" s="2">
        <f t="shared" ca="1" si="887"/>
        <v>52759132.551503167</v>
      </c>
      <c r="V960" s="2">
        <f t="shared" ca="1" si="888"/>
        <v>55073107.847370163</v>
      </c>
      <c r="W960" s="2">
        <f t="shared" ca="1" si="889"/>
        <v>57488572.334035657</v>
      </c>
      <c r="X960" s="2">
        <f t="shared" ca="1" si="890"/>
        <v>60009977.24996677</v>
      </c>
      <c r="Y960" s="2">
        <f t="shared" ca="1" si="891"/>
        <v>0.12559387849938405</v>
      </c>
      <c r="Z960" s="2">
        <f t="shared" ca="1" si="892"/>
        <v>0.12783142989913765</v>
      </c>
      <c r="AA960" s="2">
        <f t="shared" ca="1" si="893"/>
        <v>6347813.8132546637</v>
      </c>
      <c r="AB960" s="2">
        <f t="shared" ca="1" si="894"/>
        <v>6744275.3542967886</v>
      </c>
      <c r="AC960" s="2">
        <f t="shared" ca="1" si="895"/>
        <v>7040074.1251187464</v>
      </c>
      <c r="AD960" s="2">
        <f t="shared" ca="1" si="896"/>
        <v>7348846.4043197837</v>
      </c>
      <c r="AE960" s="2">
        <f t="shared" ca="1" si="897"/>
        <v>7671161.2000779724</v>
      </c>
      <c r="AF960" s="2">
        <f t="shared" ca="1" si="898"/>
        <v>1010847.644662203</v>
      </c>
      <c r="AG960" s="2">
        <f t="shared" ca="1" si="899"/>
        <v>1055182.6510300634</v>
      </c>
      <c r="AH960" s="2">
        <f t="shared" ca="1" si="900"/>
        <v>1101462.1569474032</v>
      </c>
      <c r="AI960" s="2">
        <f t="shared" ca="1" si="901"/>
        <v>1149771.4466807132</v>
      </c>
      <c r="AJ960" s="2">
        <f t="shared" ca="1" si="902"/>
        <v>1200199.5449993354</v>
      </c>
      <c r="AK960" s="2">
        <f t="shared" ca="1" si="903"/>
        <v>0</v>
      </c>
      <c r="AL960" s="2">
        <f t="shared" ca="1" si="904"/>
        <v>22167.503183930145</v>
      </c>
      <c r="AM960" s="2">
        <f t="shared" ca="1" si="905"/>
        <v>23139.75295866996</v>
      </c>
      <c r="AN960" s="2">
        <f t="shared" ca="1" si="906"/>
        <v>24154.644866654948</v>
      </c>
      <c r="AO960" s="2">
        <f t="shared" ca="1" si="907"/>
        <v>25214.049159311133</v>
      </c>
      <c r="AP960" s="2">
        <f t="shared" ca="1" si="908"/>
        <v>2291099.0961239533</v>
      </c>
      <c r="AQ960" s="2">
        <f t="shared" ca="1" si="909"/>
        <v>791925.43884181185</v>
      </c>
      <c r="AR960" s="2">
        <f t="shared" ca="1" si="910"/>
        <v>883478.33785712067</v>
      </c>
      <c r="AS960" s="2">
        <f t="shared" ca="1" si="911"/>
        <v>948353.34673232143</v>
      </c>
      <c r="AT960" s="2">
        <f t="shared" ca="1" si="912"/>
        <v>1016073.7239939304</v>
      </c>
      <c r="AU960" s="2">
        <f t="shared" ca="1" si="913"/>
        <v>1086764.2653282178</v>
      </c>
      <c r="AV960" s="2">
        <f t="shared" ca="1" si="914"/>
        <v>2253941.6336266948</v>
      </c>
      <c r="AW960" s="2">
        <f t="shared" ca="1" si="915"/>
        <v>2492347.7661017207</v>
      </c>
      <c r="AX960" s="2">
        <f t="shared" ca="1" si="916"/>
        <v>2676019.7723563984</v>
      </c>
      <c r="AY960" s="2">
        <f t="shared" ca="1" si="917"/>
        <v>2867747.4926545322</v>
      </c>
      <c r="AZ960" s="2">
        <f t="shared" ca="1" si="918"/>
        <v>3067884.2444671551</v>
      </c>
      <c r="BA960" s="2">
        <f t="shared" ca="1" si="919"/>
        <v>59439030.396042213</v>
      </c>
      <c r="BB960" s="2">
        <f t="shared" ca="1" si="920"/>
        <v>1188780.6079208443</v>
      </c>
      <c r="BC960" s="2">
        <f t="shared" ca="1" si="921"/>
        <v>32793593.164521884</v>
      </c>
      <c r="BD960" s="2">
        <f t="shared" ca="1" si="922"/>
        <v>-18531798.441716302</v>
      </c>
      <c r="BE960" s="2">
        <f t="shared" ca="1" si="923"/>
        <v>2253941.6336266948</v>
      </c>
      <c r="BF960" s="2">
        <f t="shared" ca="1" si="924"/>
        <v>2492347.7661017207</v>
      </c>
      <c r="BG960" s="2">
        <f t="shared" ca="1" si="925"/>
        <v>2676019.7723563984</v>
      </c>
      <c r="BH960" s="2">
        <f t="shared" ca="1" si="926"/>
        <v>2867747.4926545322</v>
      </c>
      <c r="BI960" s="2">
        <f t="shared" ca="1" si="927"/>
        <v>35861477.408989042</v>
      </c>
      <c r="BJ960" s="2">
        <f t="shared" ca="1" si="928"/>
        <v>0.23601685291233609</v>
      </c>
      <c r="BK960" s="2">
        <f t="shared" ca="1" si="929"/>
        <v>9543542.5855243765</v>
      </c>
    </row>
    <row r="961" spans="1:63" x14ac:dyDescent="0.3">
      <c r="A961" s="2">
        <v>960</v>
      </c>
      <c r="B961" s="2">
        <f t="shared" ca="1" si="868"/>
        <v>1.3135830680079619E-2</v>
      </c>
      <c r="C961" s="2">
        <f t="shared" ca="1" si="869"/>
        <v>6.1620853520838921</v>
      </c>
      <c r="D961" s="2">
        <f t="shared" ca="1" si="870"/>
        <v>0.14957622909152979</v>
      </c>
      <c r="E961" s="2">
        <f t="shared" ca="1" si="871"/>
        <v>7.0469483139959932</v>
      </c>
      <c r="F961" s="2">
        <f t="shared" ca="1" si="872"/>
        <v>0.18531284775934165</v>
      </c>
      <c r="G961" s="2">
        <f t="shared" ca="1" si="873"/>
        <v>1.3140941349847928E-2</v>
      </c>
      <c r="H961" s="2">
        <f t="shared" ca="1" si="874"/>
        <v>1.3140941349847928E-2</v>
      </c>
      <c r="I961" s="2">
        <f t="shared" ca="1" si="875"/>
        <v>0.37537146929690413</v>
      </c>
      <c r="J961" s="2">
        <f t="shared" ca="1" si="876"/>
        <v>8.4117005437306606E-3</v>
      </c>
      <c r="K961" s="2">
        <f t="shared" ca="1" si="877"/>
        <v>8.4117005437306606E-3</v>
      </c>
      <c r="L961" s="2">
        <f t="shared" ca="1" si="878"/>
        <v>0.57992320553199217</v>
      </c>
      <c r="M961" s="2">
        <f t="shared" ca="1" si="879"/>
        <v>4.0339404891018326E-3</v>
      </c>
      <c r="N961" s="2">
        <f t="shared" ca="1" si="880"/>
        <v>4.0339404891018326E-3</v>
      </c>
      <c r="O961" s="2">
        <f t="shared" si="881"/>
        <v>6000000</v>
      </c>
      <c r="P961" s="2">
        <f t="shared" ca="1" si="882"/>
        <v>36972512.11250335</v>
      </c>
      <c r="Q961" s="2">
        <f t="shared" ca="1" si="883"/>
        <v>924312.80281258374</v>
      </c>
      <c r="R961" s="2">
        <f t="shared" ca="1" si="884"/>
        <v>22183507.26750201</v>
      </c>
      <c r="S961" s="2">
        <f t="shared" ca="1" si="885"/>
        <v>14789004.84500134</v>
      </c>
      <c r="T961" s="2">
        <f t="shared" ca="1" si="886"/>
        <v>50201697.024455093</v>
      </c>
      <c r="U961" s="2">
        <f t="shared" ca="1" si="887"/>
        <v>50861394.580716297</v>
      </c>
      <c r="V961" s="2">
        <f t="shared" ca="1" si="888"/>
        <v>51529761.183872968</v>
      </c>
      <c r="W961" s="2">
        <f t="shared" ca="1" si="889"/>
        <v>52206910.753361918</v>
      </c>
      <c r="X961" s="2">
        <f t="shared" ca="1" si="890"/>
        <v>52892958.705628596</v>
      </c>
      <c r="Y961" s="2">
        <f t="shared" ca="1" si="891"/>
        <v>0.12420585027186533</v>
      </c>
      <c r="Z961" s="2">
        <f t="shared" ca="1" si="892"/>
        <v>0.12588819038061147</v>
      </c>
      <c r="AA961" s="2">
        <f t="shared" ca="1" si="893"/>
        <v>6235344.4640130168</v>
      </c>
      <c r="AB961" s="2">
        <f t="shared" ca="1" si="894"/>
        <v>6402848.9240006134</v>
      </c>
      <c r="AC961" s="2">
        <f t="shared" ca="1" si="895"/>
        <v>6486988.3861828437</v>
      </c>
      <c r="AD961" s="2">
        <f t="shared" ca="1" si="896"/>
        <v>6572233.5201028176</v>
      </c>
      <c r="AE961" s="2">
        <f t="shared" ca="1" si="897"/>
        <v>6658598.8553279936</v>
      </c>
      <c r="AF961" s="2">
        <f t="shared" ca="1" si="898"/>
        <v>1004033.9404891019</v>
      </c>
      <c r="AG961" s="2">
        <f t="shared" ca="1" si="899"/>
        <v>1017227.8916143259</v>
      </c>
      <c r="AH961" s="2">
        <f t="shared" ca="1" si="900"/>
        <v>1030595.2236774594</v>
      </c>
      <c r="AI961" s="2">
        <f t="shared" ca="1" si="901"/>
        <v>1044138.2150672384</v>
      </c>
      <c r="AJ961" s="2">
        <f t="shared" ca="1" si="902"/>
        <v>1057859.1741125719</v>
      </c>
      <c r="AK961" s="2">
        <f t="shared" ca="1" si="903"/>
        <v>0</v>
      </c>
      <c r="AL961" s="2">
        <f t="shared" ca="1" si="904"/>
        <v>6596.9755626120423</v>
      </c>
      <c r="AM961" s="2">
        <f t="shared" ca="1" si="905"/>
        <v>6683.6660315667095</v>
      </c>
      <c r="AN961" s="2">
        <f t="shared" ca="1" si="906"/>
        <v>6771.4956948895006</v>
      </c>
      <c r="AO961" s="2">
        <f t="shared" ca="1" si="907"/>
        <v>6860.479522666782</v>
      </c>
      <c r="AP961" s="2">
        <f t="shared" ca="1" si="908"/>
        <v>1996515.6540751809</v>
      </c>
      <c r="AQ961" s="2">
        <f t="shared" ca="1" si="909"/>
        <v>841046.66605667071</v>
      </c>
      <c r="AR961" s="2">
        <f t="shared" ca="1" si="910"/>
        <v>881167.39836088754</v>
      </c>
      <c r="AS961" s="2">
        <f t="shared" ca="1" si="911"/>
        <v>899568.15219185292</v>
      </c>
      <c r="AT961" s="2">
        <f t="shared" ca="1" si="912"/>
        <v>918210.70924970345</v>
      </c>
      <c r="AU961" s="2">
        <f t="shared" ca="1" si="913"/>
        <v>937098.24705646269</v>
      </c>
      <c r="AV961" s="2">
        <f t="shared" ca="1" si="914"/>
        <v>2393748.2033920623</v>
      </c>
      <c r="AW961" s="2">
        <f t="shared" ca="1" si="915"/>
        <v>2501341.0043876069</v>
      </c>
      <c r="AX961" s="2">
        <f t="shared" ca="1" si="916"/>
        <v>2553625.6902067838</v>
      </c>
      <c r="AY961" s="2">
        <f t="shared" ca="1" si="917"/>
        <v>2606597.446015805</v>
      </c>
      <c r="AZ961" s="2">
        <f t="shared" ca="1" si="918"/>
        <v>2660265.3005611114</v>
      </c>
      <c r="BA961" s="2">
        <f t="shared" ca="1" si="919"/>
        <v>46922801.977129258</v>
      </c>
      <c r="BB961" s="2">
        <f t="shared" ca="1" si="920"/>
        <v>938456.03954258515</v>
      </c>
      <c r="BC961" s="2">
        <f t="shared" ca="1" si="921"/>
        <v>23800838.670084663</v>
      </c>
      <c r="BD961" s="2">
        <f t="shared" ca="1" si="922"/>
        <v>-16213317.647813924</v>
      </c>
      <c r="BE961" s="2">
        <f t="shared" ca="1" si="923"/>
        <v>2393748.2033920623</v>
      </c>
      <c r="BF961" s="2">
        <f t="shared" ca="1" si="924"/>
        <v>2501341.0043876069</v>
      </c>
      <c r="BG961" s="2">
        <f t="shared" ca="1" si="925"/>
        <v>2553625.6902067838</v>
      </c>
      <c r="BH961" s="2">
        <f t="shared" ca="1" si="926"/>
        <v>2606597.446015805</v>
      </c>
      <c r="BI961" s="2">
        <f t="shared" ca="1" si="927"/>
        <v>26461103.970645774</v>
      </c>
      <c r="BJ961" s="2">
        <f t="shared" ca="1" si="928"/>
        <v>0.21622636439741449</v>
      </c>
      <c r="BK961" s="2">
        <f t="shared" ca="1" si="929"/>
        <v>6406912.4197227024</v>
      </c>
    </row>
    <row r="962" spans="1:63" x14ac:dyDescent="0.3">
      <c r="A962" s="2">
        <v>961</v>
      </c>
      <c r="B962" s="2">
        <f t="shared" ref="B962:B1025" ca="1" si="930">RAND()</f>
        <v>0.62544183531857156</v>
      </c>
      <c r="C962" s="2">
        <f t="shared" ref="C962:C1025" ca="1" si="931">IF(B962&lt;((P_Mode)-(P_Low))/((P_High)-(P_Low)), (P_Low)+SQRT(B962*((P_High)-(P_Low))*((P_Mode)-(P_Low))), (P_High)-SQRT((1-B962)*((P_High)-(P_Low))*((P_High)-(P_Mode))))</f>
        <v>7.1344849340636198</v>
      </c>
      <c r="D962" s="2">
        <f t="shared" ref="D962:D1025" ca="1" si="932">RAND()</f>
        <v>0.78943738678750808</v>
      </c>
      <c r="E962" s="2">
        <f t="shared" ref="E962:E1025" ca="1" si="933">IF(D962&lt;((X_Mode)-(X_Low))/((X_High)-(X_Low)), (X_Low)+SQRT(D962*((X_High)-(X_Low))*((X_Mode)-(X_Low))), (X_High)-SQRT((1-D962)*((X_High)-(X_Low))*((X_High)-(X_Mode))))</f>
        <v>7.8510583798021703</v>
      </c>
      <c r="F962" s="2">
        <f t="shared" ref="F962:F1025" ca="1" si="934">RAND()</f>
        <v>0.67901622955795282</v>
      </c>
      <c r="G962" s="2">
        <f t="shared" ref="G962:G1025" ca="1" si="935">NORMINV(F962, g_Mean, g_SD)</f>
        <v>5.3948488365029516E-2</v>
      </c>
      <c r="H962" s="2">
        <f t="shared" ref="H962:H1025" ca="1" si="936">MIN(MAX(G962, g_Min), g_Max)</f>
        <v>5.3948488365029516E-2</v>
      </c>
      <c r="I962" s="2">
        <f t="shared" ref="I962:I1025" ca="1" si="937">RAND()</f>
        <v>0.34144506884523329</v>
      </c>
      <c r="J962" s="2">
        <f t="shared" ref="J962:J1025" ca="1" si="938">NORMINV(I962, syn_Mean, syn_SD)</f>
        <v>7.9573876524509004E-3</v>
      </c>
      <c r="K962" s="2">
        <f t="shared" ref="K962:K1025" ca="1" si="939">MIN(MAX(J962, syn_Min), syn_Max)</f>
        <v>7.9573876524509004E-3</v>
      </c>
      <c r="L962" s="2">
        <f t="shared" ref="L962:L1025" ca="1" si="940">RAND()</f>
        <v>0.36396145131345747</v>
      </c>
      <c r="M962" s="2">
        <f t="shared" ref="M962:M1025" ca="1" si="941">NORMINV(L962, shk_Mean, shk_SD)</f>
        <v>-6.9577971497088754E-3</v>
      </c>
      <c r="N962" s="2">
        <f t="shared" ref="N962:N1025" ca="1" si="942">MIN(MAX(M962, shk_Min), shk_Max)</f>
        <v>-6.9577971497088754E-3</v>
      </c>
      <c r="O962" s="2">
        <f t="shared" ref="O962:O1025" si="943">BaseRev*BaseMargin</f>
        <v>6000000</v>
      </c>
      <c r="P962" s="2">
        <f t="shared" ref="P962:P1025" ca="1" si="944">O962*C962</f>
        <v>42806909.604381718</v>
      </c>
      <c r="Q962" s="2">
        <f t="shared" ref="Q962:Q1025" ca="1" si="945">P962*TxnCostPct</f>
        <v>1070172.7401095431</v>
      </c>
      <c r="R962" s="2">
        <f t="shared" ref="R962:R1025" ca="1" si="946">P962*DebtPct</f>
        <v>25684145.762629028</v>
      </c>
      <c r="S962" s="2">
        <f t="shared" ref="S962:S1025" ca="1" si="947">P962*EqPct</f>
        <v>17122763.841752689</v>
      </c>
      <c r="T962" s="2">
        <f t="shared" ref="T962:T1025" ca="1" si="948">BaseRev*(1+N962)</f>
        <v>49652110.142514557</v>
      </c>
      <c r="U962" s="2">
        <f t="shared" ref="U962:U1025" ca="1" si="949">T962*(1+H962)</f>
        <v>52330766.428837165</v>
      </c>
      <c r="V962" s="2">
        <f t="shared" ref="V962:V1025" ca="1" si="950">U962*(1+H962)</f>
        <v>55153932.172656357</v>
      </c>
      <c r="W962" s="2">
        <f t="shared" ref="W962:W1025" ca="1" si="951">V962*(1+H962)</f>
        <v>58129403.440758534</v>
      </c>
      <c r="X962" s="2">
        <f t="shared" ref="X962:X1025" ca="1" si="952">W962*(1+H962)</f>
        <v>61265396.885948397</v>
      </c>
      <c r="Y962" s="2">
        <f t="shared" ref="Y962:Y1025" ca="1" si="953">BaseMargin + SynReal_Y1*K962</f>
        <v>0.12397869382622545</v>
      </c>
      <c r="Z962" s="2">
        <f t="shared" ref="Z962:Z1025" ca="1" si="954">BaseMargin + SynReal_Y2toY5*K962</f>
        <v>0.12557017135671564</v>
      </c>
      <c r="AA962" s="2">
        <f t="shared" ref="AA962:AA1025" ca="1" si="955">T962*Y962</f>
        <v>6155803.7611848358</v>
      </c>
      <c r="AB962" s="2">
        <f t="shared" ref="AB962:AB1025" ca="1" si="956">U962*Z962</f>
        <v>6571183.3076973446</v>
      </c>
      <c r="AC962" s="2">
        <f t="shared" ref="AC962:AC1025" ca="1" si="957">V962*Z962</f>
        <v>6925688.7139171306</v>
      </c>
      <c r="AD962" s="2">
        <f t="shared" ref="AD962:AD1025" ca="1" si="958">W962*Z962</f>
        <v>7299319.1509197047</v>
      </c>
      <c r="AE962" s="2">
        <f t="shared" ref="AE962:AE1025" ca="1" si="959">X962*Z962</f>
        <v>7693106.3852057327</v>
      </c>
      <c r="AF962" s="2">
        <f t="shared" ref="AF962:AF1025" ca="1" si="960">T962*CapexPct</f>
        <v>993042.20285029116</v>
      </c>
      <c r="AG962" s="2">
        <f t="shared" ref="AG962:AG1025" ca="1" si="961">U962*CapexPct</f>
        <v>1046615.3285767434</v>
      </c>
      <c r="AH962" s="2">
        <f t="shared" ref="AH962:AH1025" ca="1" si="962">V962*CapexPct</f>
        <v>1103078.6434531272</v>
      </c>
      <c r="AI962" s="2">
        <f t="shared" ref="AI962:AI1025" ca="1" si="963">W962*CapexPct</f>
        <v>1162588.0688151708</v>
      </c>
      <c r="AJ962" s="2">
        <f t="shared" ref="AJ962:AJ1025" ca="1" si="964">X962*CapexPct</f>
        <v>1225307.9377189679</v>
      </c>
      <c r="AK962" s="2">
        <f t="shared" ref="AK962:AK1025" ca="1" si="965">MAX(T962-BaseRev*(1+N962),0)*WCPct</f>
        <v>0</v>
      </c>
      <c r="AL962" s="2">
        <f t="shared" ref="AL962:AL1025" ca="1" si="966">MAX(U962-T962,0)*WCPct</f>
        <v>26786.562863226085</v>
      </c>
      <c r="AM962" s="2">
        <f t="shared" ref="AM962:AM1025" ca="1" si="967">MAX(V962-U962,0)*WCPct</f>
        <v>28231.65743819192</v>
      </c>
      <c r="AN962" s="2">
        <f t="shared" ref="AN962:AN1025" ca="1" si="968">MAX(W962-V962,0)*WCPct</f>
        <v>29754.712681021767</v>
      </c>
      <c r="AO962" s="2">
        <f t="shared" ref="AO962:AO1025" ca="1" si="969">MAX(X962-W962,0)*WCPct</f>
        <v>31359.934451898636</v>
      </c>
      <c r="AP962" s="2">
        <f t="shared" ref="AP962:AP1025" ca="1" si="970">R962*DebtRate</f>
        <v>2311573.1186366123</v>
      </c>
      <c r="AQ962" s="2">
        <f t="shared" ref="AQ962:AQ1025" ca="1" si="971">MAX(AA962-AF962-AP962,0)*Tax</f>
        <v>741308.99432146235</v>
      </c>
      <c r="AR962" s="2">
        <f t="shared" ref="AR962:AR1025" ca="1" si="972">MAX(AB962-AG962-AP962,0)*Tax</f>
        <v>835378.66372583713</v>
      </c>
      <c r="AS962" s="2">
        <f t="shared" ref="AS962:AS1025" ca="1" si="973">MAX(AC962-AH962-AP962,0)*Tax</f>
        <v>912869.60747512185</v>
      </c>
      <c r="AT962" s="2">
        <f t="shared" ref="AT962:AT1025" ca="1" si="974">MAX(AD962-AI962-AP962,0)*Tax</f>
        <v>994541.07050165965</v>
      </c>
      <c r="AU962" s="2">
        <f t="shared" ref="AU962:AU1025" ca="1" si="975">MAX(AE962-AJ962-AP962,0)*Tax</f>
        <v>1080618.5855010396</v>
      </c>
      <c r="AV962" s="2">
        <f t="shared" ref="AV962:AV1025" ca="1" si="976">AA962-AF962-AK962-AQ962-AP962</f>
        <v>2109879.4453764693</v>
      </c>
      <c r="AW962" s="2">
        <f t="shared" ref="AW962:AW1025" ca="1" si="977">AB962-AG962-AL962-AR962-AP962</f>
        <v>2350829.6338949255</v>
      </c>
      <c r="AX962" s="2">
        <f t="shared" ref="AX962:AX1025" ca="1" si="978">AC962-AH962-AM962-AS962-AP962</f>
        <v>2569935.6869140784</v>
      </c>
      <c r="AY962" s="2">
        <f t="shared" ref="AY962:AY1025" ca="1" si="979">AD962-AI962-AN962-AT962-AP962</f>
        <v>2800862.1802852401</v>
      </c>
      <c r="AZ962" s="2">
        <f t="shared" ref="AZ962:AZ1025" ca="1" si="980">AE962-AJ962-AO962-AU962-AP962</f>
        <v>3044246.8088972145</v>
      </c>
      <c r="BA962" s="2">
        <f t="shared" ref="BA962:BA1025" ca="1" si="981">AE962*E962</f>
        <v>60399027.352279052</v>
      </c>
      <c r="BB962" s="2">
        <f t="shared" ref="BB962:BB1025" ca="1" si="982">BA962*SellCostPct</f>
        <v>1207980.547045581</v>
      </c>
      <c r="BC962" s="2">
        <f t="shared" ref="BC962:BC1025" ca="1" si="983">BA962-R962-BB962</f>
        <v>33506901.042604439</v>
      </c>
      <c r="BD962" s="2">
        <f t="shared" ref="BD962:BD1025" ca="1" si="984">-S962-Q962-IntegrationPct*BaseRev</f>
        <v>-18692936.581862234</v>
      </c>
      <c r="BE962" s="2">
        <f t="shared" ref="BE962:BE1025" ca="1" si="985">AV962</f>
        <v>2109879.4453764693</v>
      </c>
      <c r="BF962" s="2">
        <f t="shared" ref="BF962:BF1025" ca="1" si="986">AW962</f>
        <v>2350829.6338949255</v>
      </c>
      <c r="BG962" s="2">
        <f t="shared" ref="BG962:BG1025" ca="1" si="987">AX962</f>
        <v>2569935.6869140784</v>
      </c>
      <c r="BH962" s="2">
        <f t="shared" ref="BH962:BH1025" ca="1" si="988">AY962</f>
        <v>2800862.1802852401</v>
      </c>
      <c r="BI962" s="2">
        <f t="shared" ref="BI962:BI1025" ca="1" si="989">AZ962+BC962</f>
        <v>36551147.851501651</v>
      </c>
      <c r="BJ962" s="2">
        <f t="shared" ref="BJ962:BJ1025" ca="1" si="990">IF(MIN(BD962:BI962)*MAX(BD962:BI962)&gt;=0, "", IFERROR(IRR(BD962:BI962,0.12), IFERROR(IRR(BD962:BI962,0.5), IFERROR(IRR(BD962:BI962,-0.5),""))))</f>
        <v>0.23257598967640791</v>
      </c>
      <c r="BK962" s="2">
        <f t="shared" ref="BK962:BK1025" ca="1" si="991">NPV(12%,BE962:BI962)+BD962</f>
        <v>9414282.2518872395</v>
      </c>
    </row>
    <row r="963" spans="1:63" x14ac:dyDescent="0.3">
      <c r="A963" s="2">
        <v>962</v>
      </c>
      <c r="B963" s="2">
        <f t="shared" ca="1" si="930"/>
        <v>1.4012009900566169E-2</v>
      </c>
      <c r="C963" s="2">
        <f t="shared" ca="1" si="931"/>
        <v>6.1674037628045806</v>
      </c>
      <c r="D963" s="2">
        <f t="shared" ca="1" si="932"/>
        <v>0.81724272598670755</v>
      </c>
      <c r="E963" s="2">
        <f t="shared" ca="1" si="933"/>
        <v>7.8954220083177153</v>
      </c>
      <c r="F963" s="2">
        <f t="shared" ca="1" si="934"/>
        <v>0.61015751977725563</v>
      </c>
      <c r="G963" s="2">
        <f t="shared" ca="1" si="935"/>
        <v>4.83918882571494E-2</v>
      </c>
      <c r="H963" s="2">
        <f t="shared" ca="1" si="936"/>
        <v>4.83918882571494E-2</v>
      </c>
      <c r="I963" s="2">
        <f t="shared" ca="1" si="937"/>
        <v>0.80000743642440364</v>
      </c>
      <c r="J963" s="2">
        <f t="shared" ca="1" si="938"/>
        <v>1.420823898070421E-2</v>
      </c>
      <c r="K963" s="2">
        <f t="shared" ca="1" si="939"/>
        <v>1.420823898070421E-2</v>
      </c>
      <c r="L963" s="2">
        <f t="shared" ca="1" si="940"/>
        <v>0.44759424590890673</v>
      </c>
      <c r="M963" s="2">
        <f t="shared" ca="1" si="941"/>
        <v>-2.6348367637493287E-3</v>
      </c>
      <c r="N963" s="2">
        <f t="shared" ca="1" si="942"/>
        <v>-2.6348367637493287E-3</v>
      </c>
      <c r="O963" s="2">
        <f t="shared" si="943"/>
        <v>6000000</v>
      </c>
      <c r="P963" s="2">
        <f t="shared" ca="1" si="944"/>
        <v>37004422.576827481</v>
      </c>
      <c r="Q963" s="2">
        <f t="shared" ca="1" si="945"/>
        <v>925110.56442068703</v>
      </c>
      <c r="R963" s="2">
        <f t="shared" ca="1" si="946"/>
        <v>22202653.546096489</v>
      </c>
      <c r="S963" s="2">
        <f t="shared" ca="1" si="947"/>
        <v>14801769.030730993</v>
      </c>
      <c r="T963" s="2">
        <f t="shared" ca="1" si="948"/>
        <v>49868258.161812536</v>
      </c>
      <c r="U963" s="2">
        <f t="shared" ca="1" si="949"/>
        <v>52281477.33835765</v>
      </c>
      <c r="V963" s="2">
        <f t="shared" ca="1" si="950"/>
        <v>54811476.747634143</v>
      </c>
      <c r="W963" s="2">
        <f t="shared" ca="1" si="951"/>
        <v>57463907.605614997</v>
      </c>
      <c r="X963" s="2">
        <f t="shared" ca="1" si="952"/>
        <v>60244694.601285078</v>
      </c>
      <c r="Y963" s="2">
        <f t="shared" ca="1" si="953"/>
        <v>0.12710411949035211</v>
      </c>
      <c r="Z963" s="2">
        <f t="shared" ca="1" si="954"/>
        <v>0.12994576728649293</v>
      </c>
      <c r="AA963" s="2">
        <f t="shared" ca="1" si="955"/>
        <v>6338461.0441747475</v>
      </c>
      <c r="AB963" s="2">
        <f t="shared" ca="1" si="956"/>
        <v>6793756.6876042774</v>
      </c>
      <c r="AC963" s="2">
        <f t="shared" ca="1" si="957"/>
        <v>7122519.4020770844</v>
      </c>
      <c r="AD963" s="2">
        <f t="shared" ca="1" si="958"/>
        <v>7467191.5650917776</v>
      </c>
      <c r="AE963" s="2">
        <f t="shared" ca="1" si="959"/>
        <v>7828543.0649044281</v>
      </c>
      <c r="AF963" s="2">
        <f t="shared" ca="1" si="960"/>
        <v>997365.16323625075</v>
      </c>
      <c r="AG963" s="2">
        <f t="shared" ca="1" si="961"/>
        <v>1045629.546767153</v>
      </c>
      <c r="AH963" s="2">
        <f t="shared" ca="1" si="962"/>
        <v>1096229.5349526829</v>
      </c>
      <c r="AI963" s="2">
        <f t="shared" ca="1" si="963"/>
        <v>1149278.1521123</v>
      </c>
      <c r="AJ963" s="2">
        <f t="shared" ca="1" si="964"/>
        <v>1204893.8920257015</v>
      </c>
      <c r="AK963" s="2">
        <f t="shared" ca="1" si="965"/>
        <v>0</v>
      </c>
      <c r="AL963" s="2">
        <f t="shared" ca="1" si="966"/>
        <v>24132.191765451134</v>
      </c>
      <c r="AM963" s="2">
        <f t="shared" ca="1" si="967"/>
        <v>25299.99409276493</v>
      </c>
      <c r="AN963" s="2">
        <f t="shared" ca="1" si="968"/>
        <v>26524.308579808549</v>
      </c>
      <c r="AO963" s="2">
        <f t="shared" ca="1" si="969"/>
        <v>27807.869956700801</v>
      </c>
      <c r="AP963" s="2">
        <f t="shared" ca="1" si="970"/>
        <v>1998238.8191486839</v>
      </c>
      <c r="AQ963" s="2">
        <f t="shared" ca="1" si="971"/>
        <v>869142.83606535126</v>
      </c>
      <c r="AR963" s="2">
        <f t="shared" ca="1" si="972"/>
        <v>974970.96363899461</v>
      </c>
      <c r="AS963" s="2">
        <f t="shared" ca="1" si="973"/>
        <v>1047293.2724736865</v>
      </c>
      <c r="AT963" s="2">
        <f t="shared" ca="1" si="974"/>
        <v>1123115.3943960066</v>
      </c>
      <c r="AU963" s="2">
        <f t="shared" ca="1" si="975"/>
        <v>1202606.691969811</v>
      </c>
      <c r="AV963" s="2">
        <f t="shared" ca="1" si="976"/>
        <v>2473714.2257244615</v>
      </c>
      <c r="AW963" s="2">
        <f t="shared" ca="1" si="977"/>
        <v>2750785.1662839949</v>
      </c>
      <c r="AX963" s="2">
        <f t="shared" ca="1" si="978"/>
        <v>2955457.7814092655</v>
      </c>
      <c r="AY963" s="2">
        <f t="shared" ca="1" si="979"/>
        <v>3170034.8908549789</v>
      </c>
      <c r="AZ963" s="2">
        <f t="shared" ca="1" si="980"/>
        <v>3394995.7918035304</v>
      </c>
      <c r="BA963" s="2">
        <f t="shared" ca="1" si="981"/>
        <v>61809651.207709439</v>
      </c>
      <c r="BB963" s="2">
        <f t="shared" ca="1" si="982"/>
        <v>1236193.0241541888</v>
      </c>
      <c r="BC963" s="2">
        <f t="shared" ca="1" si="983"/>
        <v>38370804.637458764</v>
      </c>
      <c r="BD963" s="2">
        <f t="shared" ca="1" si="984"/>
        <v>-16226879.59515168</v>
      </c>
      <c r="BE963" s="2">
        <f t="shared" ca="1" si="985"/>
        <v>2473714.2257244615</v>
      </c>
      <c r="BF963" s="2">
        <f t="shared" ca="1" si="986"/>
        <v>2750785.1662839949</v>
      </c>
      <c r="BG963" s="2">
        <f t="shared" ca="1" si="987"/>
        <v>2955457.7814092655</v>
      </c>
      <c r="BH963" s="2">
        <f t="shared" ca="1" si="988"/>
        <v>3170034.8908549789</v>
      </c>
      <c r="BI963" s="2">
        <f t="shared" ca="1" si="989"/>
        <v>41765800.429262295</v>
      </c>
      <c r="BJ963" s="2">
        <f t="shared" ca="1" si="990"/>
        <v>0.31953551713464945</v>
      </c>
      <c r="BK963" s="2">
        <f t="shared" ca="1" si="991"/>
        <v>15991990.682206308</v>
      </c>
    </row>
    <row r="964" spans="1:63" x14ac:dyDescent="0.3">
      <c r="A964" s="2">
        <v>963</v>
      </c>
      <c r="B964" s="2">
        <f t="shared" ca="1" si="930"/>
        <v>0.28690336014280082</v>
      </c>
      <c r="C964" s="2">
        <f t="shared" ca="1" si="931"/>
        <v>6.7575003104194753</v>
      </c>
      <c r="D964" s="2">
        <f t="shared" ca="1" si="932"/>
        <v>0.44604233189372966</v>
      </c>
      <c r="E964" s="2">
        <f t="shared" ca="1" si="933"/>
        <v>7.4445023365706717</v>
      </c>
      <c r="F964" s="2">
        <f t="shared" ca="1" si="934"/>
        <v>0.46466416196559912</v>
      </c>
      <c r="G964" s="2">
        <f t="shared" ca="1" si="935"/>
        <v>3.7339301656023491E-2</v>
      </c>
      <c r="H964" s="2">
        <f t="shared" ca="1" si="936"/>
        <v>3.7339301656023491E-2</v>
      </c>
      <c r="I964" s="2">
        <f t="shared" ca="1" si="937"/>
        <v>4.8752954723265129E-2</v>
      </c>
      <c r="J964" s="2">
        <f t="shared" ca="1" si="938"/>
        <v>1.7146644905947257E-3</v>
      </c>
      <c r="K964" s="2">
        <f t="shared" ca="1" si="939"/>
        <v>1.7146644905947257E-3</v>
      </c>
      <c r="L964" s="2">
        <f t="shared" ca="1" si="940"/>
        <v>0.77486166297998604</v>
      </c>
      <c r="M964" s="2">
        <f t="shared" ca="1" si="941"/>
        <v>1.5099076975504267E-2</v>
      </c>
      <c r="N964" s="2">
        <f t="shared" ca="1" si="942"/>
        <v>1.5099076975504267E-2</v>
      </c>
      <c r="O964" s="2">
        <f t="shared" si="943"/>
        <v>6000000</v>
      </c>
      <c r="P964" s="2">
        <f t="shared" ca="1" si="944"/>
        <v>40545001.86251685</v>
      </c>
      <c r="Q964" s="2">
        <f t="shared" ca="1" si="945"/>
        <v>1013625.0465629213</v>
      </c>
      <c r="R964" s="2">
        <f t="shared" ca="1" si="946"/>
        <v>24327001.11751011</v>
      </c>
      <c r="S964" s="2">
        <f t="shared" ca="1" si="947"/>
        <v>16218000.74500674</v>
      </c>
      <c r="T964" s="2">
        <f t="shared" ca="1" si="948"/>
        <v>50754953.848775208</v>
      </c>
      <c r="U964" s="2">
        <f t="shared" ca="1" si="949"/>
        <v>52650108.381072178</v>
      </c>
      <c r="V964" s="2">
        <f t="shared" ca="1" si="950"/>
        <v>54616026.660135366</v>
      </c>
      <c r="W964" s="2">
        <f t="shared" ca="1" si="951"/>
        <v>56655350.954851583</v>
      </c>
      <c r="X964" s="2">
        <f t="shared" ca="1" si="952"/>
        <v>58770822.194582663</v>
      </c>
      <c r="Y964" s="2">
        <f t="shared" ca="1" si="953"/>
        <v>0.12085733224529736</v>
      </c>
      <c r="Z964" s="2">
        <f t="shared" ca="1" si="954"/>
        <v>0.12120026514341631</v>
      </c>
      <c r="AA964" s="2">
        <f t="shared" ca="1" si="955"/>
        <v>6134108.3203961598</v>
      </c>
      <c r="AB964" s="2">
        <f t="shared" ca="1" si="956"/>
        <v>6381207.0956155527</v>
      </c>
      <c r="AC964" s="2">
        <f t="shared" ca="1" si="957"/>
        <v>6619476.9122882998</v>
      </c>
      <c r="AD964" s="2">
        <f t="shared" ca="1" si="958"/>
        <v>6866643.5575213162</v>
      </c>
      <c r="AE964" s="2">
        <f t="shared" ca="1" si="959"/>
        <v>7123039.2326799948</v>
      </c>
      <c r="AF964" s="2">
        <f t="shared" ca="1" si="960"/>
        <v>1015099.0769755042</v>
      </c>
      <c r="AG964" s="2">
        <f t="shared" ca="1" si="961"/>
        <v>1053002.1676214435</v>
      </c>
      <c r="AH964" s="2">
        <f t="shared" ca="1" si="962"/>
        <v>1092320.5332027073</v>
      </c>
      <c r="AI964" s="2">
        <f t="shared" ca="1" si="963"/>
        <v>1133107.0190970318</v>
      </c>
      <c r="AJ964" s="2">
        <f t="shared" ca="1" si="964"/>
        <v>1175416.4438916533</v>
      </c>
      <c r="AK964" s="2">
        <f t="shared" ca="1" si="965"/>
        <v>0</v>
      </c>
      <c r="AL964" s="2">
        <f t="shared" ca="1" si="966"/>
        <v>18951.545322969705</v>
      </c>
      <c r="AM964" s="2">
        <f t="shared" ca="1" si="967"/>
        <v>19659.182790631876</v>
      </c>
      <c r="AN964" s="2">
        <f t="shared" ca="1" si="968"/>
        <v>20393.242947162165</v>
      </c>
      <c r="AO964" s="2">
        <f t="shared" ca="1" si="969"/>
        <v>21154.71239731081</v>
      </c>
      <c r="AP964" s="2">
        <f t="shared" ca="1" si="970"/>
        <v>2189430.1005759099</v>
      </c>
      <c r="AQ964" s="2">
        <f t="shared" ca="1" si="971"/>
        <v>761690.57713963394</v>
      </c>
      <c r="AR964" s="2">
        <f t="shared" ca="1" si="972"/>
        <v>816081.4551287319</v>
      </c>
      <c r="AS964" s="2">
        <f t="shared" ca="1" si="973"/>
        <v>867808.83241251763</v>
      </c>
      <c r="AT964" s="2">
        <f t="shared" ca="1" si="974"/>
        <v>921467.67384057736</v>
      </c>
      <c r="AU964" s="2">
        <f t="shared" ca="1" si="975"/>
        <v>977130.09893523215</v>
      </c>
      <c r="AV964" s="2">
        <f t="shared" ca="1" si="976"/>
        <v>2167888.5657051122</v>
      </c>
      <c r="AW964" s="2">
        <f t="shared" ca="1" si="977"/>
        <v>2303741.826966498</v>
      </c>
      <c r="AX964" s="2">
        <f t="shared" ca="1" si="978"/>
        <v>2450258.2633065339</v>
      </c>
      <c r="AY964" s="2">
        <f t="shared" ca="1" si="979"/>
        <v>2602245.5210606344</v>
      </c>
      <c r="AZ964" s="2">
        <f t="shared" ca="1" si="980"/>
        <v>2759907.8768798877</v>
      </c>
      <c r="BA964" s="2">
        <f t="shared" ca="1" si="981"/>
        <v>53027482.211170785</v>
      </c>
      <c r="BB964" s="2">
        <f t="shared" ca="1" si="982"/>
        <v>1060549.6442234158</v>
      </c>
      <c r="BC964" s="2">
        <f t="shared" ca="1" si="983"/>
        <v>27639931.449437261</v>
      </c>
      <c r="BD964" s="2">
        <f t="shared" ca="1" si="984"/>
        <v>-17731625.791569661</v>
      </c>
      <c r="BE964" s="2">
        <f t="shared" ca="1" si="985"/>
        <v>2167888.5657051122</v>
      </c>
      <c r="BF964" s="2">
        <f t="shared" ca="1" si="986"/>
        <v>2303741.826966498</v>
      </c>
      <c r="BG964" s="2">
        <f t="shared" ca="1" si="987"/>
        <v>2450258.2633065339</v>
      </c>
      <c r="BH964" s="2">
        <f t="shared" ca="1" si="988"/>
        <v>2602245.5210606344</v>
      </c>
      <c r="BI964" s="2">
        <f t="shared" ca="1" si="989"/>
        <v>30399839.326317146</v>
      </c>
      <c r="BJ964" s="2">
        <f t="shared" ca="1" si="990"/>
        <v>0.20918479769241016</v>
      </c>
      <c r="BK964" s="2">
        <f t="shared" ca="1" si="991"/>
        <v>6688022.6293823384</v>
      </c>
    </row>
    <row r="965" spans="1:63" x14ac:dyDescent="0.3">
      <c r="A965" s="2">
        <v>964</v>
      </c>
      <c r="B965" s="2">
        <f t="shared" ca="1" si="930"/>
        <v>0.20060288849981978</v>
      </c>
      <c r="C965" s="2">
        <f t="shared" ca="1" si="931"/>
        <v>6.6334080651520306</v>
      </c>
      <c r="D965" s="2">
        <f t="shared" ca="1" si="932"/>
        <v>0.33139066484764745</v>
      </c>
      <c r="E965" s="2">
        <f t="shared" ca="1" si="933"/>
        <v>7.3141138309200349</v>
      </c>
      <c r="F965" s="2">
        <f t="shared" ca="1" si="934"/>
        <v>0.85336596218468075</v>
      </c>
      <c r="G965" s="2">
        <f t="shared" ca="1" si="935"/>
        <v>7.1529380400397885E-2</v>
      </c>
      <c r="H965" s="2">
        <f t="shared" ca="1" si="936"/>
        <v>7.1529380400397885E-2</v>
      </c>
      <c r="I965" s="2">
        <f t="shared" ca="1" si="937"/>
        <v>0.70619309208699144</v>
      </c>
      <c r="J965" s="2">
        <f t="shared" ca="1" si="938"/>
        <v>1.271148577043254E-2</v>
      </c>
      <c r="K965" s="2">
        <f t="shared" ca="1" si="939"/>
        <v>1.271148577043254E-2</v>
      </c>
      <c r="L965" s="2">
        <f t="shared" ca="1" si="940"/>
        <v>6.9024047234038099E-2</v>
      </c>
      <c r="M965" s="2">
        <f t="shared" ca="1" si="941"/>
        <v>-2.966198114490461E-2</v>
      </c>
      <c r="N965" s="2">
        <f t="shared" ca="1" si="942"/>
        <v>-2.966198114490461E-2</v>
      </c>
      <c r="O965" s="2">
        <f t="shared" si="943"/>
        <v>6000000</v>
      </c>
      <c r="P965" s="2">
        <f t="shared" ca="1" si="944"/>
        <v>39800448.390912183</v>
      </c>
      <c r="Q965" s="2">
        <f t="shared" ca="1" si="945"/>
        <v>995011.20977280464</v>
      </c>
      <c r="R965" s="2">
        <f t="shared" ca="1" si="946"/>
        <v>23880269.03454731</v>
      </c>
      <c r="S965" s="2">
        <f t="shared" ca="1" si="947"/>
        <v>15920179.356364874</v>
      </c>
      <c r="T965" s="2">
        <f t="shared" ca="1" si="948"/>
        <v>48516900.942754768</v>
      </c>
      <c r="U965" s="2">
        <f t="shared" ca="1" si="949"/>
        <v>51987284.806137495</v>
      </c>
      <c r="V965" s="2">
        <f t="shared" ca="1" si="950"/>
        <v>55705903.077019528</v>
      </c>
      <c r="W965" s="2">
        <f t="shared" ca="1" si="951"/>
        <v>59690511.808763348</v>
      </c>
      <c r="X965" s="2">
        <f t="shared" ca="1" si="952"/>
        <v>63960137.134226821</v>
      </c>
      <c r="Y965" s="2">
        <f t="shared" ca="1" si="953"/>
        <v>0.12635574288521625</v>
      </c>
      <c r="Z965" s="2">
        <f t="shared" ca="1" si="954"/>
        <v>0.12889804003930277</v>
      </c>
      <c r="AA965" s="2">
        <f t="shared" ca="1" si="955"/>
        <v>6130389.0611102274</v>
      </c>
      <c r="AB965" s="2">
        <f t="shared" ca="1" si="956"/>
        <v>6701059.1184761478</v>
      </c>
      <c r="AC965" s="2">
        <f t="shared" ca="1" si="957"/>
        <v>7180381.7252471829</v>
      </c>
      <c r="AD965" s="2">
        <f t="shared" ca="1" si="958"/>
        <v>7693989.981092453</v>
      </c>
      <c r="AE965" s="2">
        <f t="shared" ca="1" si="959"/>
        <v>8244336.3172468655</v>
      </c>
      <c r="AF965" s="2">
        <f t="shared" ca="1" si="960"/>
        <v>970338.01885509538</v>
      </c>
      <c r="AG965" s="2">
        <f t="shared" ca="1" si="961"/>
        <v>1039745.6961227499</v>
      </c>
      <c r="AH965" s="2">
        <f t="shared" ca="1" si="962"/>
        <v>1114118.0615403906</v>
      </c>
      <c r="AI965" s="2">
        <f t="shared" ca="1" si="963"/>
        <v>1193810.236175267</v>
      </c>
      <c r="AJ965" s="2">
        <f t="shared" ca="1" si="964"/>
        <v>1279202.7426845364</v>
      </c>
      <c r="AK965" s="2">
        <f t="shared" ca="1" si="965"/>
        <v>0</v>
      </c>
      <c r="AL965" s="2">
        <f t="shared" ca="1" si="966"/>
        <v>34703.838633827268</v>
      </c>
      <c r="AM965" s="2">
        <f t="shared" ca="1" si="967"/>
        <v>37186.182708820328</v>
      </c>
      <c r="AN965" s="2">
        <f t="shared" ca="1" si="968"/>
        <v>39846.0873174382</v>
      </c>
      <c r="AO965" s="2">
        <f t="shared" ca="1" si="969"/>
        <v>42696.253254634736</v>
      </c>
      <c r="AP965" s="2">
        <f t="shared" ca="1" si="970"/>
        <v>2149224.2131092576</v>
      </c>
      <c r="AQ965" s="2">
        <f t="shared" ca="1" si="971"/>
        <v>782814.97557792719</v>
      </c>
      <c r="AR965" s="2">
        <f t="shared" ca="1" si="972"/>
        <v>913143.19440347655</v>
      </c>
      <c r="AS965" s="2">
        <f t="shared" ca="1" si="973"/>
        <v>1018430.2571553591</v>
      </c>
      <c r="AT965" s="2">
        <f t="shared" ca="1" si="974"/>
        <v>1131248.4382700615</v>
      </c>
      <c r="AU965" s="2">
        <f t="shared" ca="1" si="975"/>
        <v>1252136.4339777986</v>
      </c>
      <c r="AV965" s="2">
        <f t="shared" ca="1" si="976"/>
        <v>2228011.8535679467</v>
      </c>
      <c r="AW965" s="2">
        <f t="shared" ca="1" si="977"/>
        <v>2564242.1762068374</v>
      </c>
      <c r="AX965" s="2">
        <f t="shared" ca="1" si="978"/>
        <v>2861423.0107333558</v>
      </c>
      <c r="AY965" s="2">
        <f t="shared" ca="1" si="979"/>
        <v>3179861.0062204292</v>
      </c>
      <c r="AZ965" s="2">
        <f t="shared" ca="1" si="980"/>
        <v>3521076.6742206383</v>
      </c>
      <c r="BA965" s="2">
        <f t="shared" ca="1" si="981"/>
        <v>60300014.284731641</v>
      </c>
      <c r="BB965" s="2">
        <f t="shared" ca="1" si="982"/>
        <v>1206000.2856946329</v>
      </c>
      <c r="BC965" s="2">
        <f t="shared" ca="1" si="983"/>
        <v>35213744.964489691</v>
      </c>
      <c r="BD965" s="2">
        <f t="shared" ca="1" si="984"/>
        <v>-17415190.566137679</v>
      </c>
      <c r="BE965" s="2">
        <f t="shared" ca="1" si="985"/>
        <v>2228011.8535679467</v>
      </c>
      <c r="BF965" s="2">
        <f t="shared" ca="1" si="986"/>
        <v>2564242.1762068374</v>
      </c>
      <c r="BG965" s="2">
        <f t="shared" ca="1" si="987"/>
        <v>2861423.0107333558</v>
      </c>
      <c r="BH965" s="2">
        <f t="shared" ca="1" si="988"/>
        <v>3179861.0062204292</v>
      </c>
      <c r="BI965" s="2">
        <f t="shared" ca="1" si="989"/>
        <v>38734821.638710327</v>
      </c>
      <c r="BJ965" s="2">
        <f t="shared" ca="1" si="990"/>
        <v>0.27481403609479527</v>
      </c>
      <c r="BK965" s="2">
        <f t="shared" ca="1" si="991"/>
        <v>12655045.480341643</v>
      </c>
    </row>
    <row r="966" spans="1:63" x14ac:dyDescent="0.3">
      <c r="A966" s="2">
        <v>965</v>
      </c>
      <c r="B966" s="2">
        <f t="shared" ca="1" si="930"/>
        <v>0.20632338026609887</v>
      </c>
      <c r="C966" s="2">
        <f t="shared" ca="1" si="931"/>
        <v>6.64237587169211</v>
      </c>
      <c r="D966" s="2">
        <f t="shared" ca="1" si="932"/>
        <v>0.44402298990745692</v>
      </c>
      <c r="E966" s="2">
        <f t="shared" ca="1" si="933"/>
        <v>7.4423619155159626</v>
      </c>
      <c r="F966" s="2">
        <f t="shared" ca="1" si="934"/>
        <v>0.53138165178517616</v>
      </c>
      <c r="G966" s="2">
        <f t="shared" ca="1" si="935"/>
        <v>4.2362303055799487E-2</v>
      </c>
      <c r="H966" s="2">
        <f t="shared" ca="1" si="936"/>
        <v>4.2362303055799487E-2</v>
      </c>
      <c r="I966" s="2">
        <f t="shared" ca="1" si="937"/>
        <v>0.81664492726785765</v>
      </c>
      <c r="J966" s="2">
        <f t="shared" ca="1" si="938"/>
        <v>1.4513264460735236E-2</v>
      </c>
      <c r="K966" s="2">
        <f t="shared" ca="1" si="939"/>
        <v>1.4513264460735236E-2</v>
      </c>
      <c r="L966" s="2">
        <f t="shared" ca="1" si="940"/>
        <v>0.64565174350253118</v>
      </c>
      <c r="M966" s="2">
        <f t="shared" ca="1" si="941"/>
        <v>7.4721457049008368E-3</v>
      </c>
      <c r="N966" s="2">
        <f t="shared" ca="1" si="942"/>
        <v>7.4721457049008368E-3</v>
      </c>
      <c r="O966" s="2">
        <f t="shared" si="943"/>
        <v>6000000</v>
      </c>
      <c r="P966" s="2">
        <f t="shared" ca="1" si="944"/>
        <v>39854255.230152659</v>
      </c>
      <c r="Q966" s="2">
        <f t="shared" ca="1" si="945"/>
        <v>996356.38075381657</v>
      </c>
      <c r="R966" s="2">
        <f t="shared" ca="1" si="946"/>
        <v>23912553.138091594</v>
      </c>
      <c r="S966" s="2">
        <f t="shared" ca="1" si="947"/>
        <v>15941702.092061065</v>
      </c>
      <c r="T966" s="2">
        <f t="shared" ca="1" si="948"/>
        <v>50373607.285245039</v>
      </c>
      <c r="U966" s="2">
        <f t="shared" ca="1" si="949"/>
        <v>52507549.303076424</v>
      </c>
      <c r="V966" s="2">
        <f t="shared" ca="1" si="950"/>
        <v>54731890.019370683</v>
      </c>
      <c r="W966" s="2">
        <f t="shared" ca="1" si="951"/>
        <v>57050458.931187958</v>
      </c>
      <c r="X966" s="2">
        <f t="shared" ca="1" si="952"/>
        <v>59467247.76190339</v>
      </c>
      <c r="Y966" s="2">
        <f t="shared" ca="1" si="953"/>
        <v>0.12725663223036762</v>
      </c>
      <c r="Z966" s="2">
        <f t="shared" ca="1" si="954"/>
        <v>0.13015928512251465</v>
      </c>
      <c r="AA966" s="2">
        <f t="shared" ca="1" si="955"/>
        <v>6410375.6164153954</v>
      </c>
      <c r="AB966" s="2">
        <f t="shared" ca="1" si="956"/>
        <v>6834345.0808236198</v>
      </c>
      <c r="AC966" s="2">
        <f t="shared" ca="1" si="957"/>
        <v>7123863.678325383</v>
      </c>
      <c r="AD966" s="2">
        <f t="shared" ca="1" si="958"/>
        <v>7425646.9503948055</v>
      </c>
      <c r="AE966" s="2">
        <f t="shared" ca="1" si="959"/>
        <v>7740214.4568928042</v>
      </c>
      <c r="AF966" s="2">
        <f t="shared" ca="1" si="960"/>
        <v>1007472.1457049008</v>
      </c>
      <c r="AG966" s="2">
        <f t="shared" ca="1" si="961"/>
        <v>1050150.9860615286</v>
      </c>
      <c r="AH966" s="2">
        <f t="shared" ca="1" si="962"/>
        <v>1094637.8003874137</v>
      </c>
      <c r="AI966" s="2">
        <f t="shared" ca="1" si="963"/>
        <v>1141009.1786237592</v>
      </c>
      <c r="AJ966" s="2">
        <f t="shared" ca="1" si="964"/>
        <v>1189344.9552380678</v>
      </c>
      <c r="AK966" s="2">
        <f t="shared" ca="1" si="965"/>
        <v>0</v>
      </c>
      <c r="AL966" s="2">
        <f t="shared" ca="1" si="966"/>
        <v>21339.420178313852</v>
      </c>
      <c r="AM966" s="2">
        <f t="shared" ca="1" si="967"/>
        <v>22243.407162942589</v>
      </c>
      <c r="AN966" s="2">
        <f t="shared" ca="1" si="968"/>
        <v>23185.689118172751</v>
      </c>
      <c r="AO966" s="2">
        <f t="shared" ca="1" si="969"/>
        <v>24167.888307154328</v>
      </c>
      <c r="AP966" s="2">
        <f t="shared" ca="1" si="970"/>
        <v>2152129.7824282432</v>
      </c>
      <c r="AQ966" s="2">
        <f t="shared" ca="1" si="971"/>
        <v>845201.15895338543</v>
      </c>
      <c r="AR966" s="2">
        <f t="shared" ca="1" si="972"/>
        <v>944336.72120680055</v>
      </c>
      <c r="AS966" s="2">
        <f t="shared" ca="1" si="973"/>
        <v>1008044.9848325287</v>
      </c>
      <c r="AT966" s="2">
        <f t="shared" ca="1" si="974"/>
        <v>1074452.0772291289</v>
      </c>
      <c r="AU966" s="2">
        <f t="shared" ca="1" si="975"/>
        <v>1143672.3269988883</v>
      </c>
      <c r="AV966" s="2">
        <f t="shared" ca="1" si="976"/>
        <v>2405572.5293288659</v>
      </c>
      <c r="AW966" s="2">
        <f t="shared" ca="1" si="977"/>
        <v>2666388.1709487336</v>
      </c>
      <c r="AX966" s="2">
        <f t="shared" ca="1" si="978"/>
        <v>2846807.7035142537</v>
      </c>
      <c r="AY966" s="2">
        <f t="shared" ca="1" si="979"/>
        <v>3034870.222995501</v>
      </c>
      <c r="AZ966" s="2">
        <f t="shared" ca="1" si="980"/>
        <v>3230899.5039204508</v>
      </c>
      <c r="BA966" s="2">
        <f t="shared" ca="1" si="981"/>
        <v>57605477.291905075</v>
      </c>
      <c r="BB966" s="2">
        <f t="shared" ca="1" si="982"/>
        <v>1152109.5458381015</v>
      </c>
      <c r="BC966" s="2">
        <f t="shared" ca="1" si="983"/>
        <v>32540814.607975379</v>
      </c>
      <c r="BD966" s="2">
        <f t="shared" ca="1" si="984"/>
        <v>-17438058.47281488</v>
      </c>
      <c r="BE966" s="2">
        <f t="shared" ca="1" si="985"/>
        <v>2405572.5293288659</v>
      </c>
      <c r="BF966" s="2">
        <f t="shared" ca="1" si="986"/>
        <v>2666388.1709487336</v>
      </c>
      <c r="BG966" s="2">
        <f t="shared" ca="1" si="987"/>
        <v>2846807.7035142537</v>
      </c>
      <c r="BH966" s="2">
        <f t="shared" ca="1" si="988"/>
        <v>3034870.222995501</v>
      </c>
      <c r="BI966" s="2">
        <f t="shared" ca="1" si="989"/>
        <v>35771714.111895829</v>
      </c>
      <c r="BJ966" s="2">
        <f t="shared" ca="1" si="990"/>
        <v>0.26074489940645651</v>
      </c>
      <c r="BK966" s="2">
        <f t="shared" ca="1" si="991"/>
        <v>11088250.114900451</v>
      </c>
    </row>
    <row r="967" spans="1:63" x14ac:dyDescent="0.3">
      <c r="A967" s="2">
        <v>966</v>
      </c>
      <c r="B967" s="2">
        <f t="shared" ca="1" si="930"/>
        <v>0.5597969150260621</v>
      </c>
      <c r="C967" s="2">
        <f t="shared" ca="1" si="931"/>
        <v>7.0617003837004537</v>
      </c>
      <c r="D967" s="2">
        <f t="shared" ca="1" si="932"/>
        <v>3.3290873282073474E-2</v>
      </c>
      <c r="E967" s="2">
        <f t="shared" ca="1" si="933"/>
        <v>6.7580343902741395</v>
      </c>
      <c r="F967" s="2">
        <f t="shared" ca="1" si="934"/>
        <v>0.73559749728762103</v>
      </c>
      <c r="G967" s="2">
        <f t="shared" ca="1" si="935"/>
        <v>5.8894937135731198E-2</v>
      </c>
      <c r="H967" s="2">
        <f t="shared" ca="1" si="936"/>
        <v>5.8894937135731198E-2</v>
      </c>
      <c r="I967" s="2">
        <f t="shared" ca="1" si="937"/>
        <v>0.97388261808940346</v>
      </c>
      <c r="J967" s="2">
        <f t="shared" ca="1" si="938"/>
        <v>1.9705969455718099E-2</v>
      </c>
      <c r="K967" s="2">
        <f t="shared" ca="1" si="939"/>
        <v>1.9705969455718099E-2</v>
      </c>
      <c r="L967" s="2">
        <f t="shared" ca="1" si="940"/>
        <v>0.23646892777076545</v>
      </c>
      <c r="M967" s="2">
        <f t="shared" ca="1" si="941"/>
        <v>-1.4354143590551177E-2</v>
      </c>
      <c r="N967" s="2">
        <f t="shared" ca="1" si="942"/>
        <v>-1.4354143590551177E-2</v>
      </c>
      <c r="O967" s="2">
        <f t="shared" si="943"/>
        <v>6000000</v>
      </c>
      <c r="P967" s="2">
        <f t="shared" ca="1" si="944"/>
        <v>42370202.302202724</v>
      </c>
      <c r="Q967" s="2">
        <f t="shared" ca="1" si="945"/>
        <v>1059255.0575550681</v>
      </c>
      <c r="R967" s="2">
        <f t="shared" ca="1" si="946"/>
        <v>25422121.381321635</v>
      </c>
      <c r="S967" s="2">
        <f t="shared" ca="1" si="947"/>
        <v>16948080.920881089</v>
      </c>
      <c r="T967" s="2">
        <f t="shared" ca="1" si="948"/>
        <v>49282292.820472442</v>
      </c>
      <c r="U967" s="2">
        <f t="shared" ca="1" si="949"/>
        <v>52184770.358038865</v>
      </c>
      <c r="V967" s="2">
        <f t="shared" ca="1" si="950"/>
        <v>55258189.127718136</v>
      </c>
      <c r="W967" s="2">
        <f t="shared" ca="1" si="951"/>
        <v>58512616.70262944</v>
      </c>
      <c r="X967" s="2">
        <f t="shared" ca="1" si="952"/>
        <v>61958713.58497794</v>
      </c>
      <c r="Y967" s="2">
        <f t="shared" ca="1" si="953"/>
        <v>0.12985298472785906</v>
      </c>
      <c r="Z967" s="2">
        <f t="shared" ca="1" si="954"/>
        <v>0.13379417861900267</v>
      </c>
      <c r="AA967" s="2">
        <f t="shared" ca="1" si="955"/>
        <v>6399452.8169706855</v>
      </c>
      <c r="AB967" s="2">
        <f t="shared" ca="1" si="956"/>
        <v>6982018.4864750877</v>
      </c>
      <c r="AC967" s="2">
        <f t="shared" ca="1" si="957"/>
        <v>7393224.0263165515</v>
      </c>
      <c r="AD967" s="2">
        <f t="shared" ca="1" si="958"/>
        <v>7828647.4905768419</v>
      </c>
      <c r="AE967" s="2">
        <f t="shared" ca="1" si="959"/>
        <v>8289715.1923921658</v>
      </c>
      <c r="AF967" s="2">
        <f t="shared" ca="1" si="960"/>
        <v>985645.8564094489</v>
      </c>
      <c r="AG967" s="2">
        <f t="shared" ca="1" si="961"/>
        <v>1043695.4071607774</v>
      </c>
      <c r="AH967" s="2">
        <f t="shared" ca="1" si="962"/>
        <v>1105163.7825543627</v>
      </c>
      <c r="AI967" s="2">
        <f t="shared" ca="1" si="963"/>
        <v>1170252.3340525888</v>
      </c>
      <c r="AJ967" s="2">
        <f t="shared" ca="1" si="964"/>
        <v>1239174.2716995587</v>
      </c>
      <c r="AK967" s="2">
        <f t="shared" ca="1" si="965"/>
        <v>0</v>
      </c>
      <c r="AL967" s="2">
        <f t="shared" ca="1" si="966"/>
        <v>29024.775375664234</v>
      </c>
      <c r="AM967" s="2">
        <f t="shared" ca="1" si="967"/>
        <v>30734.187696792709</v>
      </c>
      <c r="AN967" s="2">
        <f t="shared" ca="1" si="968"/>
        <v>32544.27574911304</v>
      </c>
      <c r="AO967" s="2">
        <f t="shared" ca="1" si="969"/>
        <v>34460.968823485004</v>
      </c>
      <c r="AP967" s="2">
        <f t="shared" ca="1" si="970"/>
        <v>2287990.9243189469</v>
      </c>
      <c r="AQ967" s="2">
        <f t="shared" ca="1" si="971"/>
        <v>812712.1694229953</v>
      </c>
      <c r="AR967" s="2">
        <f t="shared" ca="1" si="972"/>
        <v>949086.36029879446</v>
      </c>
      <c r="AS967" s="2">
        <f t="shared" ca="1" si="973"/>
        <v>1040018.0230552428</v>
      </c>
      <c r="AT967" s="2">
        <f t="shared" ca="1" si="974"/>
        <v>1136305.1003733797</v>
      </c>
      <c r="AU967" s="2">
        <f t="shared" ca="1" si="975"/>
        <v>1238262.9990571516</v>
      </c>
      <c r="AV967" s="2">
        <f t="shared" ca="1" si="976"/>
        <v>2313103.8668192942</v>
      </c>
      <c r="AW967" s="2">
        <f t="shared" ca="1" si="977"/>
        <v>2672221.0193209043</v>
      </c>
      <c r="AX967" s="2">
        <f t="shared" ca="1" si="978"/>
        <v>2929317.1086912062</v>
      </c>
      <c r="AY967" s="2">
        <f t="shared" ca="1" si="979"/>
        <v>3201554.8560828129</v>
      </c>
      <c r="AZ967" s="2">
        <f t="shared" ca="1" si="980"/>
        <v>3489826.0284930235</v>
      </c>
      <c r="BA967" s="2">
        <f t="shared" ca="1" si="981"/>
        <v>56022180.355764262</v>
      </c>
      <c r="BB967" s="2">
        <f t="shared" ca="1" si="982"/>
        <v>1120443.6071152852</v>
      </c>
      <c r="BC967" s="2">
        <f t="shared" ca="1" si="983"/>
        <v>29479615.367327344</v>
      </c>
      <c r="BD967" s="2">
        <f t="shared" ca="1" si="984"/>
        <v>-18507335.978436157</v>
      </c>
      <c r="BE967" s="2">
        <f t="shared" ca="1" si="985"/>
        <v>2313103.8668192942</v>
      </c>
      <c r="BF967" s="2">
        <f t="shared" ca="1" si="986"/>
        <v>2672221.0193209043</v>
      </c>
      <c r="BG967" s="2">
        <f t="shared" ca="1" si="987"/>
        <v>2929317.1086912062</v>
      </c>
      <c r="BH967" s="2">
        <f t="shared" ca="1" si="988"/>
        <v>3201554.8560828129</v>
      </c>
      <c r="BI967" s="2">
        <f t="shared" ca="1" si="989"/>
        <v>32969441.395820368</v>
      </c>
      <c r="BJ967" s="2">
        <f t="shared" ca="1" si="990"/>
        <v>0.22709226970018692</v>
      </c>
      <c r="BK967" s="2">
        <f t="shared" ca="1" si="991"/>
        <v>8515636.0809123702</v>
      </c>
    </row>
    <row r="968" spans="1:63" x14ac:dyDescent="0.3">
      <c r="A968" s="2">
        <v>967</v>
      </c>
      <c r="B968" s="2">
        <f t="shared" ca="1" si="930"/>
        <v>0.27489938068754893</v>
      </c>
      <c r="C968" s="2">
        <f t="shared" ca="1" si="931"/>
        <v>6.7414841612435819</v>
      </c>
      <c r="D968" s="2">
        <f t="shared" ca="1" si="932"/>
        <v>0.87733654146815276</v>
      </c>
      <c r="E968" s="2">
        <f t="shared" ca="1" si="933"/>
        <v>8.0046951271553102</v>
      </c>
      <c r="F968" s="2">
        <f t="shared" ca="1" si="934"/>
        <v>0.27987168365749848</v>
      </c>
      <c r="G968" s="2">
        <f t="shared" ca="1" si="935"/>
        <v>2.2503317910021563E-2</v>
      </c>
      <c r="H968" s="2">
        <f t="shared" ca="1" si="936"/>
        <v>2.2503317910021563E-2</v>
      </c>
      <c r="I968" s="2">
        <f t="shared" ca="1" si="937"/>
        <v>0.81967243323709638</v>
      </c>
      <c r="J968" s="2">
        <f t="shared" ca="1" si="938"/>
        <v>1.4570587256782921E-2</v>
      </c>
      <c r="K968" s="2">
        <f t="shared" ca="1" si="939"/>
        <v>1.4570587256782921E-2</v>
      </c>
      <c r="L968" s="2">
        <f t="shared" ca="1" si="940"/>
        <v>0.8738270177400822</v>
      </c>
      <c r="M968" s="2">
        <f t="shared" ca="1" si="941"/>
        <v>2.2893396075796445E-2</v>
      </c>
      <c r="N968" s="2">
        <f t="shared" ca="1" si="942"/>
        <v>2.2893396075796445E-2</v>
      </c>
      <c r="O968" s="2">
        <f t="shared" si="943"/>
        <v>6000000</v>
      </c>
      <c r="P968" s="2">
        <f t="shared" ca="1" si="944"/>
        <v>40448904.967461489</v>
      </c>
      <c r="Q968" s="2">
        <f t="shared" ca="1" si="945"/>
        <v>1011222.6241865372</v>
      </c>
      <c r="R968" s="2">
        <f t="shared" ca="1" si="946"/>
        <v>24269342.980476893</v>
      </c>
      <c r="S968" s="2">
        <f t="shared" ca="1" si="947"/>
        <v>16179561.986984596</v>
      </c>
      <c r="T968" s="2">
        <f t="shared" ca="1" si="948"/>
        <v>51144669.803789824</v>
      </c>
      <c r="U968" s="2">
        <f t="shared" ca="1" si="949"/>
        <v>52295594.567787588</v>
      </c>
      <c r="V968" s="2">
        <f t="shared" ca="1" si="950"/>
        <v>53472418.957640111</v>
      </c>
      <c r="W968" s="2">
        <f t="shared" ca="1" si="951"/>
        <v>54675725.800861754</v>
      </c>
      <c r="X968" s="2">
        <f t="shared" ca="1" si="952"/>
        <v>55906111.040519714</v>
      </c>
      <c r="Y968" s="2">
        <f t="shared" ca="1" si="953"/>
        <v>0.12728529362839144</v>
      </c>
      <c r="Z968" s="2">
        <f t="shared" ca="1" si="954"/>
        <v>0.13019941107974803</v>
      </c>
      <c r="AA968" s="2">
        <f t="shared" ca="1" si="955"/>
        <v>6509964.3135025129</v>
      </c>
      <c r="AB968" s="2">
        <f t="shared" ca="1" si="956"/>
        <v>6808855.6147912145</v>
      </c>
      <c r="AC968" s="2">
        <f t="shared" ca="1" si="957"/>
        <v>6962077.4572942965</v>
      </c>
      <c r="AD968" s="2">
        <f t="shared" ca="1" si="958"/>
        <v>7118747.2996299854</v>
      </c>
      <c r="AE968" s="2">
        <f t="shared" ca="1" si="959"/>
        <v>7278942.7332346663</v>
      </c>
      <c r="AF968" s="2">
        <f t="shared" ca="1" si="960"/>
        <v>1022893.3960757965</v>
      </c>
      <c r="AG968" s="2">
        <f t="shared" ca="1" si="961"/>
        <v>1045911.8913557518</v>
      </c>
      <c r="AH968" s="2">
        <f t="shared" ca="1" si="962"/>
        <v>1069448.3791528023</v>
      </c>
      <c r="AI968" s="2">
        <f t="shared" ca="1" si="963"/>
        <v>1093514.5160172351</v>
      </c>
      <c r="AJ968" s="2">
        <f t="shared" ca="1" si="964"/>
        <v>1118122.2208103943</v>
      </c>
      <c r="AK968" s="2">
        <f t="shared" ca="1" si="965"/>
        <v>0</v>
      </c>
      <c r="AL968" s="2">
        <f t="shared" ca="1" si="966"/>
        <v>11509.247639977633</v>
      </c>
      <c r="AM968" s="2">
        <f t="shared" ca="1" si="967"/>
        <v>11768.243898525237</v>
      </c>
      <c r="AN968" s="2">
        <f t="shared" ca="1" si="968"/>
        <v>12033.068432216422</v>
      </c>
      <c r="AO968" s="2">
        <f t="shared" ca="1" si="969"/>
        <v>12303.852396579608</v>
      </c>
      <c r="AP968" s="2">
        <f t="shared" ca="1" si="970"/>
        <v>2184240.8682429204</v>
      </c>
      <c r="AQ968" s="2">
        <f t="shared" ca="1" si="971"/>
        <v>858735.81278778706</v>
      </c>
      <c r="AR968" s="2">
        <f t="shared" ca="1" si="972"/>
        <v>930462.74235006096</v>
      </c>
      <c r="AS968" s="2">
        <f t="shared" ca="1" si="973"/>
        <v>964180.93457362906</v>
      </c>
      <c r="AT968" s="2">
        <f t="shared" ca="1" si="974"/>
        <v>998657.89799615589</v>
      </c>
      <c r="AU968" s="2">
        <f t="shared" ca="1" si="975"/>
        <v>1033910.7074871514</v>
      </c>
      <c r="AV968" s="2">
        <f t="shared" ca="1" si="976"/>
        <v>2444094.2363960091</v>
      </c>
      <c r="AW968" s="2">
        <f t="shared" ca="1" si="977"/>
        <v>2636730.8652025042</v>
      </c>
      <c r="AX968" s="2">
        <f t="shared" ca="1" si="978"/>
        <v>2732439.0314264195</v>
      </c>
      <c r="AY968" s="2">
        <f t="shared" ca="1" si="979"/>
        <v>2830300.948941458</v>
      </c>
      <c r="AZ968" s="2">
        <f t="shared" ca="1" si="980"/>
        <v>2930365.0842976207</v>
      </c>
      <c r="BA968" s="2">
        <f t="shared" ca="1" si="981"/>
        <v>58265717.427566089</v>
      </c>
      <c r="BB968" s="2">
        <f t="shared" ca="1" si="982"/>
        <v>1165314.3485513218</v>
      </c>
      <c r="BC968" s="2">
        <f t="shared" ca="1" si="983"/>
        <v>32831060.098537873</v>
      </c>
      <c r="BD968" s="2">
        <f t="shared" ca="1" si="984"/>
        <v>-17690784.611171134</v>
      </c>
      <c r="BE968" s="2">
        <f t="shared" ca="1" si="985"/>
        <v>2444094.2363960091</v>
      </c>
      <c r="BF968" s="2">
        <f t="shared" ca="1" si="986"/>
        <v>2636730.8652025042</v>
      </c>
      <c r="BG968" s="2">
        <f t="shared" ca="1" si="987"/>
        <v>2732439.0314264195</v>
      </c>
      <c r="BH968" s="2">
        <f t="shared" ca="1" si="988"/>
        <v>2830300.948941458</v>
      </c>
      <c r="BI968" s="2">
        <f t="shared" ca="1" si="989"/>
        <v>35761425.182835497</v>
      </c>
      <c r="BJ968" s="2">
        <f t="shared" ca="1" si="990"/>
        <v>0.25396231003169412</v>
      </c>
      <c r="BK968" s="2">
        <f t="shared" ca="1" si="991"/>
        <v>10629024.68691491</v>
      </c>
    </row>
    <row r="969" spans="1:63" x14ac:dyDescent="0.3">
      <c r="A969" s="2">
        <v>968</v>
      </c>
      <c r="B969" s="2">
        <f t="shared" ca="1" si="930"/>
        <v>0.54137896843202882</v>
      </c>
      <c r="C969" s="2">
        <f t="shared" ca="1" si="931"/>
        <v>7.0422724483779628</v>
      </c>
      <c r="D969" s="2">
        <f t="shared" ca="1" si="932"/>
        <v>0.44094132555490606</v>
      </c>
      <c r="E969" s="2">
        <f t="shared" ca="1" si="933"/>
        <v>7.4390860722584549</v>
      </c>
      <c r="F969" s="2">
        <f t="shared" ca="1" si="934"/>
        <v>0.3241491684787825</v>
      </c>
      <c r="G969" s="2">
        <f t="shared" ca="1" si="935"/>
        <v>2.6316176706978552E-2</v>
      </c>
      <c r="H969" s="2">
        <f t="shared" ca="1" si="936"/>
        <v>2.6316176706978552E-2</v>
      </c>
      <c r="I969" s="2">
        <f t="shared" ca="1" si="937"/>
        <v>0.36476379278033388</v>
      </c>
      <c r="J969" s="2">
        <f t="shared" ca="1" si="938"/>
        <v>8.2712299171001039E-3</v>
      </c>
      <c r="K969" s="2">
        <f t="shared" ca="1" si="939"/>
        <v>8.2712299171001039E-3</v>
      </c>
      <c r="L969" s="2">
        <f t="shared" ca="1" si="940"/>
        <v>0.68485892891031952</v>
      </c>
      <c r="M969" s="2">
        <f t="shared" ca="1" si="941"/>
        <v>9.6265953959155815E-3</v>
      </c>
      <c r="N969" s="2">
        <f t="shared" ca="1" si="942"/>
        <v>9.6265953959155815E-3</v>
      </c>
      <c r="O969" s="2">
        <f t="shared" si="943"/>
        <v>6000000</v>
      </c>
      <c r="P969" s="2">
        <f t="shared" ca="1" si="944"/>
        <v>42253634.690267779</v>
      </c>
      <c r="Q969" s="2">
        <f t="shared" ca="1" si="945"/>
        <v>1056340.8672566945</v>
      </c>
      <c r="R969" s="2">
        <f t="shared" ca="1" si="946"/>
        <v>25352180.814160667</v>
      </c>
      <c r="S969" s="2">
        <f t="shared" ca="1" si="947"/>
        <v>16901453.876107112</v>
      </c>
      <c r="T969" s="2">
        <f t="shared" ca="1" si="948"/>
        <v>50481329.769795783</v>
      </c>
      <c r="U969" s="2">
        <f t="shared" ca="1" si="949"/>
        <v>51809805.364420988</v>
      </c>
      <c r="V969" s="2">
        <f t="shared" ca="1" si="950"/>
        <v>53173241.357545257</v>
      </c>
      <c r="W969" s="2">
        <f t="shared" ca="1" si="951"/>
        <v>54572557.77319324</v>
      </c>
      <c r="X969" s="2">
        <f t="shared" ca="1" si="952"/>
        <v>56008698.84690439</v>
      </c>
      <c r="Y969" s="2">
        <f t="shared" ca="1" si="953"/>
        <v>0.12413561495855005</v>
      </c>
      <c r="Z969" s="2">
        <f t="shared" ca="1" si="954"/>
        <v>0.12578986094197006</v>
      </c>
      <c r="AA969" s="2">
        <f t="shared" ca="1" si="955"/>
        <v>6266530.914898959</v>
      </c>
      <c r="AB969" s="2">
        <f t="shared" ca="1" si="956"/>
        <v>6517148.2122210506</v>
      </c>
      <c r="AC969" s="2">
        <f t="shared" ca="1" si="957"/>
        <v>6688654.6361994296</v>
      </c>
      <c r="AD969" s="2">
        <f t="shared" ca="1" si="958"/>
        <v>6864674.4535376048</v>
      </c>
      <c r="AE969" s="2">
        <f t="shared" ca="1" si="959"/>
        <v>7045326.4394927816</v>
      </c>
      <c r="AF969" s="2">
        <f t="shared" ca="1" si="960"/>
        <v>1009626.5953959157</v>
      </c>
      <c r="AG969" s="2">
        <f t="shared" ca="1" si="961"/>
        <v>1036196.1072884197</v>
      </c>
      <c r="AH969" s="2">
        <f t="shared" ca="1" si="962"/>
        <v>1063464.827150905</v>
      </c>
      <c r="AI969" s="2">
        <f t="shared" ca="1" si="963"/>
        <v>1091451.1554638648</v>
      </c>
      <c r="AJ969" s="2">
        <f t="shared" ca="1" si="964"/>
        <v>1120173.9769380877</v>
      </c>
      <c r="AK969" s="2">
        <f t="shared" ca="1" si="965"/>
        <v>0</v>
      </c>
      <c r="AL969" s="2">
        <f t="shared" ca="1" si="966"/>
        <v>13284.755946252048</v>
      </c>
      <c r="AM969" s="2">
        <f t="shared" ca="1" si="967"/>
        <v>13634.35993124269</v>
      </c>
      <c r="AN969" s="2">
        <f t="shared" ca="1" si="968"/>
        <v>13993.164156479836</v>
      </c>
      <c r="AO969" s="2">
        <f t="shared" ca="1" si="969"/>
        <v>14361.410737111495</v>
      </c>
      <c r="AP969" s="2">
        <f t="shared" ca="1" si="970"/>
        <v>2281696.2732744599</v>
      </c>
      <c r="AQ969" s="2">
        <f t="shared" ca="1" si="971"/>
        <v>773554.09201943164</v>
      </c>
      <c r="AR969" s="2">
        <f t="shared" ca="1" si="972"/>
        <v>831806.51623112441</v>
      </c>
      <c r="AS969" s="2">
        <f t="shared" ca="1" si="973"/>
        <v>869308.31930125668</v>
      </c>
      <c r="AT969" s="2">
        <f t="shared" ca="1" si="974"/>
        <v>907797.02644781279</v>
      </c>
      <c r="AU969" s="2">
        <f t="shared" ca="1" si="975"/>
        <v>947298.60921286093</v>
      </c>
      <c r="AV969" s="2">
        <f t="shared" ca="1" si="976"/>
        <v>2201653.9542091517</v>
      </c>
      <c r="AW969" s="2">
        <f t="shared" ca="1" si="977"/>
        <v>2354164.5594807938</v>
      </c>
      <c r="AX969" s="2">
        <f t="shared" ca="1" si="978"/>
        <v>2460550.8565415647</v>
      </c>
      <c r="AY969" s="2">
        <f t="shared" ca="1" si="979"/>
        <v>2569736.8341949871</v>
      </c>
      <c r="AZ969" s="2">
        <f t="shared" ca="1" si="980"/>
        <v>2681796.1693302626</v>
      </c>
      <c r="BA969" s="2">
        <f t="shared" ca="1" si="981"/>
        <v>52410789.790545002</v>
      </c>
      <c r="BB969" s="2">
        <f t="shared" ca="1" si="982"/>
        <v>1048215.7958109</v>
      </c>
      <c r="BC969" s="2">
        <f t="shared" ca="1" si="983"/>
        <v>26010393.180573434</v>
      </c>
      <c r="BD969" s="2">
        <f t="shared" ca="1" si="984"/>
        <v>-18457794.743363805</v>
      </c>
      <c r="BE969" s="2">
        <f t="shared" ca="1" si="985"/>
        <v>2201653.9542091517</v>
      </c>
      <c r="BF969" s="2">
        <f t="shared" ca="1" si="986"/>
        <v>2354164.5594807938</v>
      </c>
      <c r="BG969" s="2">
        <f t="shared" ca="1" si="987"/>
        <v>2460550.8565415647</v>
      </c>
      <c r="BH969" s="2">
        <f t="shared" ca="1" si="988"/>
        <v>2569736.8341949871</v>
      </c>
      <c r="BI969" s="2">
        <f t="shared" ca="1" si="989"/>
        <v>28692189.349903695</v>
      </c>
      <c r="BJ969" s="2">
        <f t="shared" ca="1" si="990"/>
        <v>0.18715199159296603</v>
      </c>
      <c r="BK969" s="2">
        <f t="shared" ca="1" si="991"/>
        <v>5049897.7891160883</v>
      </c>
    </row>
    <row r="970" spans="1:63" x14ac:dyDescent="0.3">
      <c r="A970" s="2">
        <v>969</v>
      </c>
      <c r="B970" s="2">
        <f t="shared" ca="1" si="930"/>
        <v>0.90190655662380814</v>
      </c>
      <c r="C970" s="2">
        <f t="shared" ca="1" si="931"/>
        <v>7.5570701107936111</v>
      </c>
      <c r="D970" s="2">
        <f t="shared" ca="1" si="932"/>
        <v>0.36604424884072972</v>
      </c>
      <c r="E970" s="2">
        <f t="shared" ca="1" si="933"/>
        <v>7.3556217024371575</v>
      </c>
      <c r="F970" s="2">
        <f t="shared" ca="1" si="934"/>
        <v>0.82976651179322336</v>
      </c>
      <c r="G970" s="2">
        <f t="shared" ca="1" si="935"/>
        <v>6.859728927711764E-2</v>
      </c>
      <c r="H970" s="2">
        <f t="shared" ca="1" si="936"/>
        <v>6.859728927711764E-2</v>
      </c>
      <c r="I970" s="2">
        <f t="shared" ca="1" si="937"/>
        <v>0.34806700865385742</v>
      </c>
      <c r="J970" s="2">
        <f t="shared" ca="1" si="938"/>
        <v>8.047277912960513E-3</v>
      </c>
      <c r="K970" s="2">
        <f t="shared" ca="1" si="939"/>
        <v>8.047277912960513E-3</v>
      </c>
      <c r="L970" s="2">
        <f t="shared" ca="1" si="940"/>
        <v>0.72781937920808792</v>
      </c>
      <c r="M970" s="2">
        <f t="shared" ca="1" si="941"/>
        <v>1.2124623873358114E-2</v>
      </c>
      <c r="N970" s="2">
        <f t="shared" ca="1" si="942"/>
        <v>1.2124623873358114E-2</v>
      </c>
      <c r="O970" s="2">
        <f t="shared" si="943"/>
        <v>6000000</v>
      </c>
      <c r="P970" s="2">
        <f t="shared" ca="1" si="944"/>
        <v>45342420.66476167</v>
      </c>
      <c r="Q970" s="2">
        <f t="shared" ca="1" si="945"/>
        <v>1133560.5166190418</v>
      </c>
      <c r="R970" s="2">
        <f t="shared" ca="1" si="946"/>
        <v>27205452.398857001</v>
      </c>
      <c r="S970" s="2">
        <f t="shared" ca="1" si="947"/>
        <v>18136968.265904669</v>
      </c>
      <c r="T970" s="2">
        <f t="shared" ca="1" si="948"/>
        <v>50606231.193667904</v>
      </c>
      <c r="U970" s="2">
        <f t="shared" ca="1" si="949"/>
        <v>54077681.474084631</v>
      </c>
      <c r="V970" s="2">
        <f t="shared" ca="1" si="950"/>
        <v>57787263.833598241</v>
      </c>
      <c r="W970" s="2">
        <f t="shared" ca="1" si="951"/>
        <v>61751313.4873247</v>
      </c>
      <c r="X970" s="2">
        <f t="shared" ca="1" si="952"/>
        <v>65987286.201856688</v>
      </c>
      <c r="Y970" s="2">
        <f t="shared" ca="1" si="953"/>
        <v>0.12402363895648025</v>
      </c>
      <c r="Z970" s="2">
        <f t="shared" ca="1" si="954"/>
        <v>0.12563309453907234</v>
      </c>
      <c r="AA970" s="2">
        <f t="shared" ca="1" si="955"/>
        <v>6276368.9465116365</v>
      </c>
      <c r="AB970" s="2">
        <f t="shared" ca="1" si="956"/>
        <v>6793946.469087515</v>
      </c>
      <c r="AC970" s="2">
        <f t="shared" ca="1" si="957"/>
        <v>7259992.7803607639</v>
      </c>
      <c r="AD970" s="2">
        <f t="shared" ca="1" si="958"/>
        <v>7758008.6052649571</v>
      </c>
      <c r="AE970" s="2">
        <f t="shared" ca="1" si="959"/>
        <v>8290186.9657746851</v>
      </c>
      <c r="AF970" s="2">
        <f t="shared" ca="1" si="960"/>
        <v>1012124.6238733581</v>
      </c>
      <c r="AG970" s="2">
        <f t="shared" ca="1" si="961"/>
        <v>1081553.6294816926</v>
      </c>
      <c r="AH970" s="2">
        <f t="shared" ca="1" si="962"/>
        <v>1155745.2766719649</v>
      </c>
      <c r="AI970" s="2">
        <f t="shared" ca="1" si="963"/>
        <v>1235026.269746494</v>
      </c>
      <c r="AJ970" s="2">
        <f t="shared" ca="1" si="964"/>
        <v>1319745.7240371339</v>
      </c>
      <c r="AK970" s="2">
        <f t="shared" ca="1" si="965"/>
        <v>0</v>
      </c>
      <c r="AL970" s="2">
        <f t="shared" ca="1" si="966"/>
        <v>34714.50280416727</v>
      </c>
      <c r="AM970" s="2">
        <f t="shared" ca="1" si="967"/>
        <v>37095.823595136106</v>
      </c>
      <c r="AN970" s="2">
        <f t="shared" ca="1" si="968"/>
        <v>39640.496537264589</v>
      </c>
      <c r="AO970" s="2">
        <f t="shared" ca="1" si="969"/>
        <v>42359.727145319877</v>
      </c>
      <c r="AP970" s="2">
        <f t="shared" ca="1" si="970"/>
        <v>2448490.7158971298</v>
      </c>
      <c r="AQ970" s="2">
        <f t="shared" ca="1" si="971"/>
        <v>732095.93775269878</v>
      </c>
      <c r="AR970" s="2">
        <f t="shared" ca="1" si="972"/>
        <v>848614.55216426007</v>
      </c>
      <c r="AS970" s="2">
        <f t="shared" ca="1" si="973"/>
        <v>950496.76482583408</v>
      </c>
      <c r="AT970" s="2">
        <f t="shared" ca="1" si="974"/>
        <v>1059367.8211015465</v>
      </c>
      <c r="AU970" s="2">
        <f t="shared" ca="1" si="975"/>
        <v>1175707.1367185095</v>
      </c>
      <c r="AV970" s="2">
        <f t="shared" ca="1" si="976"/>
        <v>2083657.6689884504</v>
      </c>
      <c r="AW970" s="2">
        <f t="shared" ca="1" si="977"/>
        <v>2380573.0687402645</v>
      </c>
      <c r="AX970" s="2">
        <f t="shared" ca="1" si="978"/>
        <v>2668164.199370699</v>
      </c>
      <c r="AY970" s="2">
        <f t="shared" ca="1" si="979"/>
        <v>2975483.301982522</v>
      </c>
      <c r="AZ970" s="2">
        <f t="shared" ca="1" si="980"/>
        <v>3303883.6619765917</v>
      </c>
      <c r="BA970" s="2">
        <f t="shared" ca="1" si="981"/>
        <v>60979479.162713923</v>
      </c>
      <c r="BB970" s="2">
        <f t="shared" ca="1" si="982"/>
        <v>1219589.5832542784</v>
      </c>
      <c r="BC970" s="2">
        <f t="shared" ca="1" si="983"/>
        <v>32554437.18060264</v>
      </c>
      <c r="BD970" s="2">
        <f t="shared" ca="1" si="984"/>
        <v>-19770528.78252371</v>
      </c>
      <c r="BE970" s="2">
        <f t="shared" ca="1" si="985"/>
        <v>2083657.6689884504</v>
      </c>
      <c r="BF970" s="2">
        <f t="shared" ca="1" si="986"/>
        <v>2380573.0687402645</v>
      </c>
      <c r="BG970" s="2">
        <f t="shared" ca="1" si="987"/>
        <v>2668164.199370699</v>
      </c>
      <c r="BH970" s="2">
        <f t="shared" ca="1" si="988"/>
        <v>2975483.301982522</v>
      </c>
      <c r="BI970" s="2">
        <f t="shared" ca="1" si="989"/>
        <v>35858320.842579231</v>
      </c>
      <c r="BJ970" s="2">
        <f t="shared" ca="1" si="990"/>
        <v>0.21430657926017238</v>
      </c>
      <c r="BK970" s="2">
        <f t="shared" ca="1" si="991"/>
        <v>8124752.3784542568</v>
      </c>
    </row>
    <row r="971" spans="1:63" x14ac:dyDescent="0.3">
      <c r="A971" s="2">
        <v>970</v>
      </c>
      <c r="B971" s="2">
        <f t="shared" ca="1" si="930"/>
        <v>0.85150689396999657</v>
      </c>
      <c r="C971" s="2">
        <f t="shared" ca="1" si="931"/>
        <v>7.4550355864278783</v>
      </c>
      <c r="D971" s="2">
        <f t="shared" ca="1" si="932"/>
        <v>0.19457252462370833</v>
      </c>
      <c r="E971" s="2">
        <f t="shared" ca="1" si="933"/>
        <v>7.1238149158583948</v>
      </c>
      <c r="F971" s="2">
        <f t="shared" ca="1" si="934"/>
        <v>0.38568238993071224</v>
      </c>
      <c r="G971" s="2">
        <f t="shared" ca="1" si="935"/>
        <v>3.1282294933212051E-2</v>
      </c>
      <c r="H971" s="2">
        <f t="shared" ca="1" si="936"/>
        <v>3.1282294933212051E-2</v>
      </c>
      <c r="I971" s="2">
        <f t="shared" ca="1" si="937"/>
        <v>0.20548103066221846</v>
      </c>
      <c r="J971" s="2">
        <f t="shared" ca="1" si="938"/>
        <v>5.8889910599750628E-3</v>
      </c>
      <c r="K971" s="2">
        <f t="shared" ca="1" si="939"/>
        <v>5.8889910599750628E-3</v>
      </c>
      <c r="L971" s="2">
        <f t="shared" ca="1" si="940"/>
        <v>0.56392076970878791</v>
      </c>
      <c r="M971" s="2">
        <f t="shared" ca="1" si="941"/>
        <v>3.2183479264072151E-3</v>
      </c>
      <c r="N971" s="2">
        <f t="shared" ca="1" si="942"/>
        <v>3.2183479264072151E-3</v>
      </c>
      <c r="O971" s="2">
        <f t="shared" si="943"/>
        <v>6000000</v>
      </c>
      <c r="P971" s="2">
        <f t="shared" ca="1" si="944"/>
        <v>44730213.518567272</v>
      </c>
      <c r="Q971" s="2">
        <f t="shared" ca="1" si="945"/>
        <v>1118255.3379641818</v>
      </c>
      <c r="R971" s="2">
        <f t="shared" ca="1" si="946"/>
        <v>26838128.111140363</v>
      </c>
      <c r="S971" s="2">
        <f t="shared" ca="1" si="947"/>
        <v>17892085.407426909</v>
      </c>
      <c r="T971" s="2">
        <f t="shared" ca="1" si="948"/>
        <v>50160917.396320358</v>
      </c>
      <c r="U971" s="2">
        <f t="shared" ca="1" si="949"/>
        <v>51730066.008432545</v>
      </c>
      <c r="V971" s="2">
        <f t="shared" ca="1" si="950"/>
        <v>53348301.190222859</v>
      </c>
      <c r="W971" s="2">
        <f t="shared" ca="1" si="951"/>
        <v>55017158.482241243</v>
      </c>
      <c r="X971" s="2">
        <f t="shared" ca="1" si="952"/>
        <v>56738221.460269988</v>
      </c>
      <c r="Y971" s="2">
        <f t="shared" ca="1" si="953"/>
        <v>0.12294449552998753</v>
      </c>
      <c r="Z971" s="2">
        <f t="shared" ca="1" si="954"/>
        <v>0.12412229374198254</v>
      </c>
      <c r="AA971" s="2">
        <f t="shared" ca="1" si="955"/>
        <v>6167008.6846119817</v>
      </c>
      <c r="AB971" s="2">
        <f t="shared" ca="1" si="956"/>
        <v>6420854.4483908108</v>
      </c>
      <c r="AC971" s="2">
        <f t="shared" ca="1" si="957"/>
        <v>6621713.5109685985</v>
      </c>
      <c r="AD971" s="2">
        <f t="shared" ca="1" si="958"/>
        <v>6828855.9059819542</v>
      </c>
      <c r="AE971" s="2">
        <f t="shared" ca="1" si="959"/>
        <v>7042478.1904892894</v>
      </c>
      <c r="AF971" s="2">
        <f t="shared" ca="1" si="960"/>
        <v>1003218.3479264071</v>
      </c>
      <c r="AG971" s="2">
        <f t="shared" ca="1" si="961"/>
        <v>1034601.3201686509</v>
      </c>
      <c r="AH971" s="2">
        <f t="shared" ca="1" si="962"/>
        <v>1066966.0238044572</v>
      </c>
      <c r="AI971" s="2">
        <f t="shared" ca="1" si="963"/>
        <v>1100343.1696448249</v>
      </c>
      <c r="AJ971" s="2">
        <f t="shared" ca="1" si="964"/>
        <v>1134764.4292053997</v>
      </c>
      <c r="AK971" s="2">
        <f t="shared" ca="1" si="965"/>
        <v>0</v>
      </c>
      <c r="AL971" s="2">
        <f t="shared" ca="1" si="966"/>
        <v>15691.486121121869</v>
      </c>
      <c r="AM971" s="2">
        <f t="shared" ca="1" si="967"/>
        <v>16182.351817903147</v>
      </c>
      <c r="AN971" s="2">
        <f t="shared" ca="1" si="968"/>
        <v>16688.572920183837</v>
      </c>
      <c r="AO971" s="2">
        <f t="shared" ca="1" si="969"/>
        <v>17210.629780287443</v>
      </c>
      <c r="AP971" s="2">
        <f t="shared" ca="1" si="970"/>
        <v>2415431.5300026326</v>
      </c>
      <c r="AQ971" s="2">
        <f t="shared" ca="1" si="971"/>
        <v>714573.28973756498</v>
      </c>
      <c r="AR971" s="2">
        <f t="shared" ca="1" si="972"/>
        <v>772413.61553707719</v>
      </c>
      <c r="AS971" s="2">
        <f t="shared" ca="1" si="973"/>
        <v>816222.14886199241</v>
      </c>
      <c r="AT971" s="2">
        <f t="shared" ca="1" si="974"/>
        <v>861401.11364696908</v>
      </c>
      <c r="AU971" s="2">
        <f t="shared" ca="1" si="975"/>
        <v>907993.38013312675</v>
      </c>
      <c r="AV971" s="2">
        <f t="shared" ca="1" si="976"/>
        <v>2033785.5169453775</v>
      </c>
      <c r="AW971" s="2">
        <f t="shared" ca="1" si="977"/>
        <v>2182716.4965613284</v>
      </c>
      <c r="AX971" s="2">
        <f t="shared" ca="1" si="978"/>
        <v>2306911.4564816137</v>
      </c>
      <c r="AY971" s="2">
        <f t="shared" ca="1" si="979"/>
        <v>2434991.5197673435</v>
      </c>
      <c r="AZ971" s="2">
        <f t="shared" ca="1" si="980"/>
        <v>2567078.2213678421</v>
      </c>
      <c r="BA971" s="2">
        <f t="shared" ca="1" si="981"/>
        <v>50169311.178015038</v>
      </c>
      <c r="BB971" s="2">
        <f t="shared" ca="1" si="982"/>
        <v>1003386.2235603008</v>
      </c>
      <c r="BC971" s="2">
        <f t="shared" ca="1" si="983"/>
        <v>22327796.843314376</v>
      </c>
      <c r="BD971" s="2">
        <f t="shared" ca="1" si="984"/>
        <v>-19510340.745391089</v>
      </c>
      <c r="BE971" s="2">
        <f t="shared" ca="1" si="985"/>
        <v>2033785.5169453775</v>
      </c>
      <c r="BF971" s="2">
        <f t="shared" ca="1" si="986"/>
        <v>2182716.4965613284</v>
      </c>
      <c r="BG971" s="2">
        <f t="shared" ca="1" si="987"/>
        <v>2306911.4564816137</v>
      </c>
      <c r="BH971" s="2">
        <f t="shared" ca="1" si="988"/>
        <v>2434991.5197673435</v>
      </c>
      <c r="BI971" s="2">
        <f t="shared" ca="1" si="989"/>
        <v>24894875.064682219</v>
      </c>
      <c r="BJ971" s="2">
        <f t="shared" ca="1" si="990"/>
        <v>0.13832508747144479</v>
      </c>
      <c r="BK971" s="2">
        <f t="shared" ca="1" si="991"/>
        <v>1361103.2291539721</v>
      </c>
    </row>
    <row r="972" spans="1:63" x14ac:dyDescent="0.3">
      <c r="A972" s="2">
        <v>971</v>
      </c>
      <c r="B972" s="2">
        <f t="shared" ca="1" si="930"/>
        <v>8.1913658789789401E-2</v>
      </c>
      <c r="C972" s="2">
        <f t="shared" ca="1" si="931"/>
        <v>6.4047558740519754</v>
      </c>
      <c r="D972" s="2">
        <f t="shared" ca="1" si="932"/>
        <v>8.8385414759587277E-2</v>
      </c>
      <c r="E972" s="2">
        <f t="shared" ca="1" si="933"/>
        <v>6.9204412319446966</v>
      </c>
      <c r="F972" s="2">
        <f t="shared" ca="1" si="934"/>
        <v>0.52781817283261789</v>
      </c>
      <c r="G972" s="2">
        <f t="shared" ca="1" si="935"/>
        <v>4.2093592666311783E-2</v>
      </c>
      <c r="H972" s="2">
        <f t="shared" ca="1" si="936"/>
        <v>4.2093592666311783E-2</v>
      </c>
      <c r="I972" s="2">
        <f t="shared" ca="1" si="937"/>
        <v>5.4160384136270334E-2</v>
      </c>
      <c r="J972" s="2">
        <f t="shared" ca="1" si="938"/>
        <v>1.9710661449282799E-3</v>
      </c>
      <c r="K972" s="2">
        <f t="shared" ca="1" si="939"/>
        <v>1.9710661449282799E-3</v>
      </c>
      <c r="L972" s="2">
        <f t="shared" ca="1" si="940"/>
        <v>0.24575041355110372</v>
      </c>
      <c r="M972" s="2">
        <f t="shared" ca="1" si="941"/>
        <v>-1.3758474125856906E-2</v>
      </c>
      <c r="N972" s="2">
        <f t="shared" ca="1" si="942"/>
        <v>-1.3758474125856906E-2</v>
      </c>
      <c r="O972" s="2">
        <f t="shared" si="943"/>
        <v>6000000</v>
      </c>
      <c r="P972" s="2">
        <f t="shared" ca="1" si="944"/>
        <v>38428535.244311854</v>
      </c>
      <c r="Q972" s="2">
        <f t="shared" ca="1" si="945"/>
        <v>960713.38110779645</v>
      </c>
      <c r="R972" s="2">
        <f t="shared" ca="1" si="946"/>
        <v>23057121.146587111</v>
      </c>
      <c r="S972" s="2">
        <f t="shared" ca="1" si="947"/>
        <v>15371414.097724743</v>
      </c>
      <c r="T972" s="2">
        <f t="shared" ca="1" si="948"/>
        <v>49312076.293707155</v>
      </c>
      <c r="U972" s="2">
        <f t="shared" ca="1" si="949"/>
        <v>51387798.746744551</v>
      </c>
      <c r="V972" s="2">
        <f t="shared" ca="1" si="950"/>
        <v>53550895.81520842</v>
      </c>
      <c r="W972" s="2">
        <f t="shared" ca="1" si="951"/>
        <v>55805045.410569899</v>
      </c>
      <c r="X972" s="2">
        <f t="shared" ca="1" si="952"/>
        <v>58154080.260807455</v>
      </c>
      <c r="Y972" s="2">
        <f t="shared" ca="1" si="953"/>
        <v>0.12098553307246414</v>
      </c>
      <c r="Z972" s="2">
        <f t="shared" ca="1" si="954"/>
        <v>0.12137974630144979</v>
      </c>
      <c r="AA972" s="2">
        <f t="shared" ca="1" si="955"/>
        <v>5966047.8373041814</v>
      </c>
      <c r="AB972" s="2">
        <f t="shared" ca="1" si="956"/>
        <v>6237437.9748698128</v>
      </c>
      <c r="AC972" s="2">
        <f t="shared" ca="1" si="957"/>
        <v>6499994.1482653674</v>
      </c>
      <c r="AD972" s="2">
        <f t="shared" ca="1" si="958"/>
        <v>6773602.2542758593</v>
      </c>
      <c r="AE972" s="2">
        <f t="shared" ca="1" si="959"/>
        <v>7058727.5084509579</v>
      </c>
      <c r="AF972" s="2">
        <f t="shared" ca="1" si="960"/>
        <v>986241.52587414312</v>
      </c>
      <c r="AG972" s="2">
        <f t="shared" ca="1" si="961"/>
        <v>1027755.974934891</v>
      </c>
      <c r="AH972" s="2">
        <f t="shared" ca="1" si="962"/>
        <v>1071017.9163041685</v>
      </c>
      <c r="AI972" s="2">
        <f t="shared" ca="1" si="963"/>
        <v>1116100.9082113979</v>
      </c>
      <c r="AJ972" s="2">
        <f t="shared" ca="1" si="964"/>
        <v>1163081.605216149</v>
      </c>
      <c r="AK972" s="2">
        <f t="shared" ca="1" si="965"/>
        <v>0</v>
      </c>
      <c r="AL972" s="2">
        <f t="shared" ca="1" si="966"/>
        <v>20757.224530373962</v>
      </c>
      <c r="AM972" s="2">
        <f t="shared" ca="1" si="967"/>
        <v>21630.970684638694</v>
      </c>
      <c r="AN972" s="2">
        <f t="shared" ca="1" si="968"/>
        <v>22541.495953614787</v>
      </c>
      <c r="AO972" s="2">
        <f t="shared" ca="1" si="969"/>
        <v>23490.34850237556</v>
      </c>
      <c r="AP972" s="2">
        <f t="shared" ca="1" si="970"/>
        <v>2075140.9031928398</v>
      </c>
      <c r="AQ972" s="2">
        <f t="shared" ca="1" si="971"/>
        <v>755213.00614167156</v>
      </c>
      <c r="AR972" s="2">
        <f t="shared" ca="1" si="972"/>
        <v>814980.6851529415</v>
      </c>
      <c r="AS972" s="2">
        <f t="shared" ca="1" si="973"/>
        <v>871997.18547977344</v>
      </c>
      <c r="AT972" s="2">
        <f t="shared" ca="1" si="974"/>
        <v>931413.71514662169</v>
      </c>
      <c r="AU972" s="2">
        <f t="shared" ca="1" si="975"/>
        <v>993331.300010912</v>
      </c>
      <c r="AV972" s="2">
        <f t="shared" ca="1" si="976"/>
        <v>2149452.4020955265</v>
      </c>
      <c r="AW972" s="2">
        <f t="shared" ca="1" si="977"/>
        <v>2298803.1870587673</v>
      </c>
      <c r="AX972" s="2">
        <f t="shared" ca="1" si="978"/>
        <v>2460207.172603948</v>
      </c>
      <c r="AY972" s="2">
        <f t="shared" ca="1" si="979"/>
        <v>2628405.2317713853</v>
      </c>
      <c r="AZ972" s="2">
        <f t="shared" ca="1" si="980"/>
        <v>2803683.3515286818</v>
      </c>
      <c r="BA972" s="2">
        <f t="shared" ca="1" si="981"/>
        <v>48849508.894546263</v>
      </c>
      <c r="BB972" s="2">
        <f t="shared" ca="1" si="982"/>
        <v>976990.17789092532</v>
      </c>
      <c r="BC972" s="2">
        <f t="shared" ca="1" si="983"/>
        <v>24815397.570068225</v>
      </c>
      <c r="BD972" s="2">
        <f t="shared" ca="1" si="984"/>
        <v>-16832127.478832539</v>
      </c>
      <c r="BE972" s="2">
        <f t="shared" ca="1" si="985"/>
        <v>2149452.4020955265</v>
      </c>
      <c r="BF972" s="2">
        <f t="shared" ca="1" si="986"/>
        <v>2298803.1870587673</v>
      </c>
      <c r="BG972" s="2">
        <f t="shared" ca="1" si="987"/>
        <v>2460207.172603948</v>
      </c>
      <c r="BH972" s="2">
        <f t="shared" ca="1" si="988"/>
        <v>2628405.2317713853</v>
      </c>
      <c r="BI972" s="2">
        <f t="shared" ca="1" si="989"/>
        <v>27619080.921596907</v>
      </c>
      <c r="BJ972" s="2">
        <f t="shared" ca="1" si="990"/>
        <v>0.20603427613467762</v>
      </c>
      <c r="BK972" s="2">
        <f t="shared" ca="1" si="991"/>
        <v>6012952.4363601208</v>
      </c>
    </row>
    <row r="973" spans="1:63" x14ac:dyDescent="0.3">
      <c r="A973" s="2">
        <v>972</v>
      </c>
      <c r="B973" s="2">
        <f t="shared" ca="1" si="930"/>
        <v>0.38923032612598774</v>
      </c>
      <c r="C973" s="2">
        <f t="shared" ca="1" si="931"/>
        <v>6.882304172183253</v>
      </c>
      <c r="D973" s="2">
        <f t="shared" ca="1" si="932"/>
        <v>0.51848541182196139</v>
      </c>
      <c r="E973" s="2">
        <f t="shared" ca="1" si="933"/>
        <v>7.5186595002976402</v>
      </c>
      <c r="F973" s="2">
        <f t="shared" ca="1" si="934"/>
        <v>0.75493540699314177</v>
      </c>
      <c r="G973" s="2">
        <f t="shared" ca="1" si="935"/>
        <v>6.07031010070858E-2</v>
      </c>
      <c r="H973" s="2">
        <f t="shared" ca="1" si="936"/>
        <v>6.07031010070858E-2</v>
      </c>
      <c r="I973" s="2">
        <f t="shared" ca="1" si="937"/>
        <v>0.78909631276349268</v>
      </c>
      <c r="J973" s="2">
        <f t="shared" ca="1" si="938"/>
        <v>1.4016447940922681E-2</v>
      </c>
      <c r="K973" s="2">
        <f t="shared" ca="1" si="939"/>
        <v>1.4016447940922681E-2</v>
      </c>
      <c r="L973" s="2">
        <f t="shared" ca="1" si="940"/>
        <v>0.15550842568075074</v>
      </c>
      <c r="M973" s="2">
        <f t="shared" ca="1" si="941"/>
        <v>-2.0261813524783824E-2</v>
      </c>
      <c r="N973" s="2">
        <f t="shared" ca="1" si="942"/>
        <v>-2.0261813524783824E-2</v>
      </c>
      <c r="O973" s="2">
        <f t="shared" si="943"/>
        <v>6000000</v>
      </c>
      <c r="P973" s="2">
        <f t="shared" ca="1" si="944"/>
        <v>41293825.033099517</v>
      </c>
      <c r="Q973" s="2">
        <f t="shared" ca="1" si="945"/>
        <v>1032345.625827488</v>
      </c>
      <c r="R973" s="2">
        <f t="shared" ca="1" si="946"/>
        <v>24776295.019859709</v>
      </c>
      <c r="S973" s="2">
        <f t="shared" ca="1" si="947"/>
        <v>16517530.013239808</v>
      </c>
      <c r="T973" s="2">
        <f t="shared" ca="1" si="948"/>
        <v>48986909.323760808</v>
      </c>
      <c r="U973" s="2">
        <f t="shared" ca="1" si="949"/>
        <v>51960566.62846601</v>
      </c>
      <c r="V973" s="2">
        <f t="shared" ca="1" si="950"/>
        <v>55114734.152899191</v>
      </c>
      <c r="W973" s="2">
        <f t="shared" ca="1" si="951"/>
        <v>58460369.427161306</v>
      </c>
      <c r="X973" s="2">
        <f t="shared" ca="1" si="952"/>
        <v>62009095.137409829</v>
      </c>
      <c r="Y973" s="2">
        <f t="shared" ca="1" si="953"/>
        <v>0.12700822397046133</v>
      </c>
      <c r="Z973" s="2">
        <f t="shared" ca="1" si="954"/>
        <v>0.12981151355864587</v>
      </c>
      <c r="AA973" s="2">
        <f t="shared" ca="1" si="955"/>
        <v>6221740.351012893</v>
      </c>
      <c r="AB973" s="2">
        <f t="shared" ca="1" si="956"/>
        <v>6745079.7994060377</v>
      </c>
      <c r="AC973" s="2">
        <f t="shared" ca="1" si="957"/>
        <v>7154527.0597702358</v>
      </c>
      <c r="AD973" s="2">
        <f t="shared" ca="1" si="958"/>
        <v>7588829.0385373961</v>
      </c>
      <c r="AE973" s="2">
        <f t="shared" ca="1" si="959"/>
        <v>8049494.4941892372</v>
      </c>
      <c r="AF973" s="2">
        <f t="shared" ca="1" si="960"/>
        <v>979738.18647521618</v>
      </c>
      <c r="AG973" s="2">
        <f t="shared" ca="1" si="961"/>
        <v>1039211.3325693202</v>
      </c>
      <c r="AH973" s="2">
        <f t="shared" ca="1" si="962"/>
        <v>1102294.6830579839</v>
      </c>
      <c r="AI973" s="2">
        <f t="shared" ca="1" si="963"/>
        <v>1169207.3885432261</v>
      </c>
      <c r="AJ973" s="2">
        <f t="shared" ca="1" si="964"/>
        <v>1240181.9027481966</v>
      </c>
      <c r="AK973" s="2">
        <f t="shared" ca="1" si="965"/>
        <v>0</v>
      </c>
      <c r="AL973" s="2">
        <f t="shared" ca="1" si="966"/>
        <v>29736.573047052025</v>
      </c>
      <c r="AM973" s="2">
        <f t="shared" ca="1" si="967"/>
        <v>31541.675244331807</v>
      </c>
      <c r="AN973" s="2">
        <f t="shared" ca="1" si="968"/>
        <v>33456.352742621151</v>
      </c>
      <c r="AO973" s="2">
        <f t="shared" ca="1" si="969"/>
        <v>35487.257102485222</v>
      </c>
      <c r="AP973" s="2">
        <f t="shared" ca="1" si="970"/>
        <v>2229866.5517873736</v>
      </c>
      <c r="AQ973" s="2">
        <f t="shared" ca="1" si="971"/>
        <v>783155.25931507885</v>
      </c>
      <c r="AR973" s="2">
        <f t="shared" ca="1" si="972"/>
        <v>903760.49791282928</v>
      </c>
      <c r="AS973" s="2">
        <f t="shared" ca="1" si="973"/>
        <v>993815.11448046833</v>
      </c>
      <c r="AT973" s="2">
        <f t="shared" ca="1" si="974"/>
        <v>1089336.3255337672</v>
      </c>
      <c r="AU973" s="2">
        <f t="shared" ca="1" si="975"/>
        <v>1190655.9703099534</v>
      </c>
      <c r="AV973" s="2">
        <f t="shared" ca="1" si="976"/>
        <v>2228980.3534352239</v>
      </c>
      <c r="AW973" s="2">
        <f t="shared" ca="1" si="977"/>
        <v>2542504.8440894624</v>
      </c>
      <c r="AX973" s="2">
        <f t="shared" ca="1" si="978"/>
        <v>2797009.035200078</v>
      </c>
      <c r="AY973" s="2">
        <f t="shared" ca="1" si="979"/>
        <v>3066962.4199304087</v>
      </c>
      <c r="AZ973" s="2">
        <f t="shared" ca="1" si="980"/>
        <v>3353302.8122412292</v>
      </c>
      <c r="BA973" s="2">
        <f t="shared" ca="1" si="981"/>
        <v>60521408.251329459</v>
      </c>
      <c r="BB973" s="2">
        <f t="shared" ca="1" si="982"/>
        <v>1210428.1650265893</v>
      </c>
      <c r="BC973" s="2">
        <f t="shared" ca="1" si="983"/>
        <v>34534685.06644316</v>
      </c>
      <c r="BD973" s="2">
        <f t="shared" ca="1" si="984"/>
        <v>-18049875.639067296</v>
      </c>
      <c r="BE973" s="2">
        <f t="shared" ca="1" si="985"/>
        <v>2228980.3534352239</v>
      </c>
      <c r="BF973" s="2">
        <f t="shared" ca="1" si="986"/>
        <v>2542504.8440894624</v>
      </c>
      <c r="BG973" s="2">
        <f t="shared" ca="1" si="987"/>
        <v>2797009.035200078</v>
      </c>
      <c r="BH973" s="2">
        <f t="shared" ca="1" si="988"/>
        <v>3066962.4199304087</v>
      </c>
      <c r="BI973" s="2">
        <f t="shared" ca="1" si="989"/>
        <v>37887987.878684387</v>
      </c>
      <c r="BJ973" s="2">
        <f t="shared" ca="1" si="990"/>
        <v>0.25771894024353426</v>
      </c>
      <c r="BK973" s="2">
        <f t="shared" ca="1" si="991"/>
        <v>11405782.365508854</v>
      </c>
    </row>
    <row r="974" spans="1:63" x14ac:dyDescent="0.3">
      <c r="A974" s="2">
        <v>973</v>
      </c>
      <c r="B974" s="2">
        <f t="shared" ca="1" si="930"/>
        <v>0.93890156847907691</v>
      </c>
      <c r="C974" s="2">
        <f t="shared" ca="1" si="931"/>
        <v>7.6504333210361057</v>
      </c>
      <c r="D974" s="2">
        <f t="shared" ca="1" si="932"/>
        <v>0.861275835574838</v>
      </c>
      <c r="E974" s="2">
        <f t="shared" ca="1" si="933"/>
        <v>7.9732663587254713</v>
      </c>
      <c r="F974" s="2">
        <f t="shared" ca="1" si="934"/>
        <v>0.53914499674654381</v>
      </c>
      <c r="G974" s="2">
        <f t="shared" ca="1" si="935"/>
        <v>4.2948398204253335E-2</v>
      </c>
      <c r="H974" s="2">
        <f t="shared" ca="1" si="936"/>
        <v>4.2948398204253335E-2</v>
      </c>
      <c r="I974" s="2">
        <f t="shared" ca="1" si="937"/>
        <v>4.3094648196807528E-2</v>
      </c>
      <c r="J974" s="2">
        <f t="shared" ca="1" si="938"/>
        <v>1.4207444374237498E-3</v>
      </c>
      <c r="K974" s="2">
        <f t="shared" ca="1" si="939"/>
        <v>1.4207444374237498E-3</v>
      </c>
      <c r="L974" s="2">
        <f t="shared" ca="1" si="940"/>
        <v>0.91727521075858454</v>
      </c>
      <c r="M974" s="2">
        <f t="shared" ca="1" si="941"/>
        <v>2.773948738841675E-2</v>
      </c>
      <c r="N974" s="2">
        <f t="shared" ca="1" si="942"/>
        <v>2.773948738841675E-2</v>
      </c>
      <c r="O974" s="2">
        <f t="shared" si="943"/>
        <v>6000000</v>
      </c>
      <c r="P974" s="2">
        <f t="shared" ca="1" si="944"/>
        <v>45902599.926216632</v>
      </c>
      <c r="Q974" s="2">
        <f t="shared" ca="1" si="945"/>
        <v>1147564.9981554158</v>
      </c>
      <c r="R974" s="2">
        <f t="shared" ca="1" si="946"/>
        <v>27541559.95572998</v>
      </c>
      <c r="S974" s="2">
        <f t="shared" ca="1" si="947"/>
        <v>18361039.970486652</v>
      </c>
      <c r="T974" s="2">
        <f t="shared" ca="1" si="948"/>
        <v>51386974.369420834</v>
      </c>
      <c r="U974" s="2">
        <f t="shared" ca="1" si="949"/>
        <v>53593962.60715048</v>
      </c>
      <c r="V974" s="2">
        <f t="shared" ca="1" si="950"/>
        <v>55895737.454546243</v>
      </c>
      <c r="W974" s="2">
        <f t="shared" ca="1" si="951"/>
        <v>58296369.844664492</v>
      </c>
      <c r="X974" s="2">
        <f t="shared" ca="1" si="952"/>
        <v>60800105.550615571</v>
      </c>
      <c r="Y974" s="2">
        <f t="shared" ca="1" si="953"/>
        <v>0.12071037221871186</v>
      </c>
      <c r="Z974" s="2">
        <f t="shared" ca="1" si="954"/>
        <v>0.12099452110619661</v>
      </c>
      <c r="AA974" s="2">
        <f t="shared" ca="1" si="955"/>
        <v>6202940.8033261951</v>
      </c>
      <c r="AB974" s="2">
        <f t="shared" ca="1" si="956"/>
        <v>6484575.8398355814</v>
      </c>
      <c r="AC974" s="2">
        <f t="shared" ca="1" si="957"/>
        <v>6763077.9851905201</v>
      </c>
      <c r="AD974" s="2">
        <f t="shared" ca="1" si="958"/>
        <v>7053541.351584902</v>
      </c>
      <c r="AE974" s="2">
        <f t="shared" ca="1" si="959"/>
        <v>7356479.6543029379</v>
      </c>
      <c r="AF974" s="2">
        <f t="shared" ca="1" si="960"/>
        <v>1027739.4873884167</v>
      </c>
      <c r="AG974" s="2">
        <f t="shared" ca="1" si="961"/>
        <v>1071879.2521430096</v>
      </c>
      <c r="AH974" s="2">
        <f t="shared" ca="1" si="962"/>
        <v>1117914.7490909249</v>
      </c>
      <c r="AI974" s="2">
        <f t="shared" ca="1" si="963"/>
        <v>1165927.3968932899</v>
      </c>
      <c r="AJ974" s="2">
        <f t="shared" ca="1" si="964"/>
        <v>1216002.1110123114</v>
      </c>
      <c r="AK974" s="2">
        <f t="shared" ca="1" si="965"/>
        <v>0</v>
      </c>
      <c r="AL974" s="2">
        <f t="shared" ca="1" si="966"/>
        <v>22069.882377296464</v>
      </c>
      <c r="AM974" s="2">
        <f t="shared" ca="1" si="967"/>
        <v>23017.748473957628</v>
      </c>
      <c r="AN974" s="2">
        <f t="shared" ca="1" si="968"/>
        <v>24006.323901182488</v>
      </c>
      <c r="AO974" s="2">
        <f t="shared" ca="1" si="969"/>
        <v>25037.357059510799</v>
      </c>
      <c r="AP974" s="2">
        <f t="shared" ca="1" si="970"/>
        <v>2478740.3960156981</v>
      </c>
      <c r="AQ974" s="2">
        <f t="shared" ca="1" si="971"/>
        <v>701079.83917974075</v>
      </c>
      <c r="AR974" s="2">
        <f t="shared" ca="1" si="972"/>
        <v>762828.60983598721</v>
      </c>
      <c r="AS974" s="2">
        <f t="shared" ca="1" si="973"/>
        <v>823269.93842181331</v>
      </c>
      <c r="AT974" s="2">
        <f t="shared" ca="1" si="974"/>
        <v>886307.12525573769</v>
      </c>
      <c r="AU974" s="2">
        <f t="shared" ca="1" si="975"/>
        <v>952051.65829148132</v>
      </c>
      <c r="AV974" s="2">
        <f t="shared" ca="1" si="976"/>
        <v>1995381.0807423387</v>
      </c>
      <c r="AW974" s="2">
        <f t="shared" ca="1" si="977"/>
        <v>2149057.69946359</v>
      </c>
      <c r="AX974" s="2">
        <f t="shared" ca="1" si="978"/>
        <v>2320135.1531881262</v>
      </c>
      <c r="AY974" s="2">
        <f t="shared" ca="1" si="979"/>
        <v>2498560.1095189946</v>
      </c>
      <c r="AZ974" s="2">
        <f t="shared" ca="1" si="980"/>
        <v>2684648.1319239363</v>
      </c>
      <c r="BA974" s="2">
        <f t="shared" ca="1" si="981"/>
        <v>58655171.746302001</v>
      </c>
      <c r="BB974" s="2">
        <f t="shared" ca="1" si="982"/>
        <v>1173103.43492604</v>
      </c>
      <c r="BC974" s="2">
        <f t="shared" ca="1" si="983"/>
        <v>29940508.355645981</v>
      </c>
      <c r="BD974" s="2">
        <f t="shared" ca="1" si="984"/>
        <v>-20008604.968642067</v>
      </c>
      <c r="BE974" s="2">
        <f t="shared" ca="1" si="985"/>
        <v>1995381.0807423387</v>
      </c>
      <c r="BF974" s="2">
        <f t="shared" ca="1" si="986"/>
        <v>2149057.69946359</v>
      </c>
      <c r="BG974" s="2">
        <f t="shared" ca="1" si="987"/>
        <v>2320135.1531881262</v>
      </c>
      <c r="BH974" s="2">
        <f t="shared" ca="1" si="988"/>
        <v>2498560.1095189946</v>
      </c>
      <c r="BI974" s="2">
        <f t="shared" ca="1" si="989"/>
        <v>32625156.487569917</v>
      </c>
      <c r="BJ974" s="2">
        <f t="shared" ca="1" si="990"/>
        <v>0.18260342136528829</v>
      </c>
      <c r="BK974" s="2">
        <f t="shared" ca="1" si="991"/>
        <v>5237897.379483372</v>
      </c>
    </row>
    <row r="975" spans="1:63" x14ac:dyDescent="0.3">
      <c r="A975" s="2">
        <v>974</v>
      </c>
      <c r="B975" s="2">
        <f t="shared" ca="1" si="930"/>
        <v>0.70468328636183142</v>
      </c>
      <c r="C975" s="2">
        <f t="shared" ca="1" si="931"/>
        <v>7.2314732097861931</v>
      </c>
      <c r="D975" s="2">
        <f t="shared" ca="1" si="932"/>
        <v>0.98490187267543094</v>
      </c>
      <c r="E975" s="2">
        <f t="shared" ca="1" si="933"/>
        <v>8.3262293044004885</v>
      </c>
      <c r="F975" s="2">
        <f t="shared" ca="1" si="934"/>
        <v>0.88762765822040024</v>
      </c>
      <c r="G975" s="2">
        <f t="shared" ca="1" si="935"/>
        <v>7.642023887616356E-2</v>
      </c>
      <c r="H975" s="2">
        <f t="shared" ca="1" si="936"/>
        <v>7.642023887616356E-2</v>
      </c>
      <c r="I975" s="2">
        <f t="shared" ca="1" si="937"/>
        <v>8.1360243515786412E-2</v>
      </c>
      <c r="J975" s="2">
        <f t="shared" ca="1" si="938"/>
        <v>3.0200994871930602E-3</v>
      </c>
      <c r="K975" s="2">
        <f t="shared" ca="1" si="939"/>
        <v>3.0200994871930602E-3</v>
      </c>
      <c r="L975" s="2">
        <f t="shared" ca="1" si="940"/>
        <v>0.2839188959291461</v>
      </c>
      <c r="M975" s="2">
        <f t="shared" ca="1" si="941"/>
        <v>-1.1424775664350588E-2</v>
      </c>
      <c r="N975" s="2">
        <f t="shared" ca="1" si="942"/>
        <v>-1.1424775664350588E-2</v>
      </c>
      <c r="O975" s="2">
        <f t="shared" si="943"/>
        <v>6000000</v>
      </c>
      <c r="P975" s="2">
        <f t="shared" ca="1" si="944"/>
        <v>43388839.258717157</v>
      </c>
      <c r="Q975" s="2">
        <f t="shared" ca="1" si="945"/>
        <v>1084720.981467929</v>
      </c>
      <c r="R975" s="2">
        <f t="shared" ca="1" si="946"/>
        <v>26033303.555230293</v>
      </c>
      <c r="S975" s="2">
        <f t="shared" ca="1" si="947"/>
        <v>17355535.703486864</v>
      </c>
      <c r="T975" s="2">
        <f t="shared" ca="1" si="948"/>
        <v>49428761.216782466</v>
      </c>
      <c r="U975" s="2">
        <f t="shared" ca="1" si="949"/>
        <v>53206118.956321828</v>
      </c>
      <c r="V975" s="2">
        <f t="shared" ca="1" si="950"/>
        <v>57272143.276637509</v>
      </c>
      <c r="W975" s="2">
        <f t="shared" ca="1" si="951"/>
        <v>61648894.146788009</v>
      </c>
      <c r="X975" s="2">
        <f t="shared" ca="1" si="952"/>
        <v>66360117.363936864</v>
      </c>
      <c r="Y975" s="2">
        <f t="shared" ca="1" si="953"/>
        <v>0.12151004974359653</v>
      </c>
      <c r="Z975" s="2">
        <f t="shared" ca="1" si="954"/>
        <v>0.12211406964103513</v>
      </c>
      <c r="AA975" s="2">
        <f t="shared" ca="1" si="955"/>
        <v>6006091.234215592</v>
      </c>
      <c r="AB975" s="2">
        <f t="shared" ca="1" si="956"/>
        <v>6497215.7155614831</v>
      </c>
      <c r="AC975" s="2">
        <f t="shared" ca="1" si="957"/>
        <v>6993734.4925746545</v>
      </c>
      <c r="AD975" s="2">
        <f t="shared" ca="1" si="958"/>
        <v>7528197.3531336738</v>
      </c>
      <c r="AE975" s="2">
        <f t="shared" ca="1" si="959"/>
        <v>8103503.9931670511</v>
      </c>
      <c r="AF975" s="2">
        <f t="shared" ca="1" si="960"/>
        <v>988575.22433564928</v>
      </c>
      <c r="AG975" s="2">
        <f t="shared" ca="1" si="961"/>
        <v>1064122.3791264365</v>
      </c>
      <c r="AH975" s="2">
        <f t="shared" ca="1" si="962"/>
        <v>1145442.8655327503</v>
      </c>
      <c r="AI975" s="2">
        <f t="shared" ca="1" si="963"/>
        <v>1232977.8829357603</v>
      </c>
      <c r="AJ975" s="2">
        <f t="shared" ca="1" si="964"/>
        <v>1327202.3472787372</v>
      </c>
      <c r="AK975" s="2">
        <f t="shared" ca="1" si="965"/>
        <v>0</v>
      </c>
      <c r="AL975" s="2">
        <f t="shared" ca="1" si="966"/>
        <v>37773.577395393622</v>
      </c>
      <c r="AM975" s="2">
        <f t="shared" ca="1" si="967"/>
        <v>40660.243203156817</v>
      </c>
      <c r="AN975" s="2">
        <f t="shared" ca="1" si="968"/>
        <v>43767.508701504994</v>
      </c>
      <c r="AO975" s="2">
        <f t="shared" ca="1" si="969"/>
        <v>47112.232171488555</v>
      </c>
      <c r="AP975" s="2">
        <f t="shared" ca="1" si="970"/>
        <v>2342997.3199707265</v>
      </c>
      <c r="AQ975" s="2">
        <f t="shared" ca="1" si="971"/>
        <v>695374.85937639629</v>
      </c>
      <c r="AR975" s="2">
        <f t="shared" ca="1" si="972"/>
        <v>803424.96428072313</v>
      </c>
      <c r="AS975" s="2">
        <f t="shared" ca="1" si="973"/>
        <v>911376.51983850624</v>
      </c>
      <c r="AT975" s="2">
        <f t="shared" ca="1" si="974"/>
        <v>1027577.7590590686</v>
      </c>
      <c r="AU975" s="2">
        <f t="shared" ca="1" si="975"/>
        <v>1152659.1247385726</v>
      </c>
      <c r="AV975" s="2">
        <f t="shared" ca="1" si="976"/>
        <v>1979143.8305328204</v>
      </c>
      <c r="AW975" s="2">
        <f t="shared" ca="1" si="977"/>
        <v>2248897.4747882024</v>
      </c>
      <c r="AX975" s="2">
        <f t="shared" ca="1" si="978"/>
        <v>2553257.5440295148</v>
      </c>
      <c r="AY975" s="2">
        <f t="shared" ca="1" si="979"/>
        <v>2880876.8824666128</v>
      </c>
      <c r="AZ975" s="2">
        <f t="shared" ca="1" si="980"/>
        <v>3233532.9690075261</v>
      </c>
      <c r="BA975" s="2">
        <f t="shared" ca="1" si="981"/>
        <v>67471632.416233882</v>
      </c>
      <c r="BB975" s="2">
        <f t="shared" ca="1" si="982"/>
        <v>1349432.6483246777</v>
      </c>
      <c r="BC975" s="2">
        <f t="shared" ca="1" si="983"/>
        <v>40088896.212678917</v>
      </c>
      <c r="BD975" s="2">
        <f t="shared" ca="1" si="984"/>
        <v>-18940256.684954792</v>
      </c>
      <c r="BE975" s="2">
        <f t="shared" ca="1" si="985"/>
        <v>1979143.8305328204</v>
      </c>
      <c r="BF975" s="2">
        <f t="shared" ca="1" si="986"/>
        <v>2248897.4747882024</v>
      </c>
      <c r="BG975" s="2">
        <f t="shared" ca="1" si="987"/>
        <v>2553257.5440295148</v>
      </c>
      <c r="BH975" s="2">
        <f t="shared" ca="1" si="988"/>
        <v>2880876.8824666128</v>
      </c>
      <c r="BI975" s="2">
        <f t="shared" ca="1" si="989"/>
        <v>43322429.181686446</v>
      </c>
      <c r="BJ975" s="2">
        <f t="shared" ca="1" si="990"/>
        <v>0.26168370945589325</v>
      </c>
      <c r="BK975" s="2">
        <f t="shared" ca="1" si="991"/>
        <v>12850160.719562083</v>
      </c>
    </row>
    <row r="976" spans="1:63" x14ac:dyDescent="0.3">
      <c r="A976" s="2">
        <v>975</v>
      </c>
      <c r="B976" s="2">
        <f t="shared" ca="1" si="930"/>
        <v>0.9409131403940556</v>
      </c>
      <c r="C976" s="2">
        <f t="shared" ca="1" si="931"/>
        <v>7.6562359541605769</v>
      </c>
      <c r="D976" s="2">
        <f t="shared" ca="1" si="932"/>
        <v>0.3053086234536232</v>
      </c>
      <c r="E976" s="2">
        <f t="shared" ca="1" si="933"/>
        <v>7.2814200195203895</v>
      </c>
      <c r="F976" s="2">
        <f t="shared" ca="1" si="934"/>
        <v>0.78120469425583494</v>
      </c>
      <c r="G976" s="2">
        <f t="shared" ca="1" si="935"/>
        <v>6.3288047707428796E-2</v>
      </c>
      <c r="H976" s="2">
        <f t="shared" ca="1" si="936"/>
        <v>6.3288047707428796E-2</v>
      </c>
      <c r="I976" s="2">
        <f t="shared" ca="1" si="937"/>
        <v>0.91216807042828352</v>
      </c>
      <c r="J976" s="2">
        <f t="shared" ca="1" si="938"/>
        <v>1.6771136699180351E-2</v>
      </c>
      <c r="K976" s="2">
        <f t="shared" ca="1" si="939"/>
        <v>1.6771136699180351E-2</v>
      </c>
      <c r="L976" s="2">
        <f t="shared" ca="1" si="940"/>
        <v>0.11865058411629092</v>
      </c>
      <c r="M976" s="2">
        <f t="shared" ca="1" si="941"/>
        <v>-2.3635188673919189E-2</v>
      </c>
      <c r="N976" s="2">
        <f t="shared" ca="1" si="942"/>
        <v>-2.3635188673919189E-2</v>
      </c>
      <c r="O976" s="2">
        <f t="shared" si="943"/>
        <v>6000000</v>
      </c>
      <c r="P976" s="2">
        <f t="shared" ca="1" si="944"/>
        <v>45937415.724963464</v>
      </c>
      <c r="Q976" s="2">
        <f t="shared" ca="1" si="945"/>
        <v>1148435.3931240865</v>
      </c>
      <c r="R976" s="2">
        <f t="shared" ca="1" si="946"/>
        <v>27562449.434978079</v>
      </c>
      <c r="S976" s="2">
        <f t="shared" ca="1" si="947"/>
        <v>18374966.289985385</v>
      </c>
      <c r="T976" s="2">
        <f t="shared" ca="1" si="948"/>
        <v>48818240.566304035</v>
      </c>
      <c r="U976" s="2">
        <f t="shared" ca="1" si="949"/>
        <v>51907851.704257019</v>
      </c>
      <c r="V976" s="2">
        <f t="shared" ca="1" si="950"/>
        <v>55192998.299306169</v>
      </c>
      <c r="W976" s="2">
        <f t="shared" ca="1" si="951"/>
        <v>58686055.408788688</v>
      </c>
      <c r="X976" s="2">
        <f t="shared" ca="1" si="952"/>
        <v>62400181.283260912</v>
      </c>
      <c r="Y976" s="2">
        <f t="shared" ca="1" si="953"/>
        <v>0.12838556834959017</v>
      </c>
      <c r="Z976" s="2">
        <f t="shared" ca="1" si="954"/>
        <v>0.13173979568942623</v>
      </c>
      <c r="AA976" s="2">
        <f t="shared" ca="1" si="955"/>
        <v>6267557.560931962</v>
      </c>
      <c r="AB976" s="2">
        <f t="shared" ca="1" si="956"/>
        <v>6838329.7781958552</v>
      </c>
      <c r="AC976" s="2">
        <f t="shared" ca="1" si="957"/>
        <v>7271114.3194374442</v>
      </c>
      <c r="AD976" s="2">
        <f t="shared" ca="1" si="958"/>
        <v>7731288.9493721686</v>
      </c>
      <c r="AE976" s="2">
        <f t="shared" ca="1" si="959"/>
        <v>8220587.133239951</v>
      </c>
      <c r="AF976" s="2">
        <f t="shared" ca="1" si="960"/>
        <v>976364.8113260807</v>
      </c>
      <c r="AG976" s="2">
        <f t="shared" ca="1" si="961"/>
        <v>1038157.0340851404</v>
      </c>
      <c r="AH976" s="2">
        <f t="shared" ca="1" si="962"/>
        <v>1103859.9659861233</v>
      </c>
      <c r="AI976" s="2">
        <f t="shared" ca="1" si="963"/>
        <v>1173721.1081757739</v>
      </c>
      <c r="AJ976" s="2">
        <f t="shared" ca="1" si="964"/>
        <v>1248003.6256652183</v>
      </c>
      <c r="AK976" s="2">
        <f t="shared" ca="1" si="965"/>
        <v>0</v>
      </c>
      <c r="AL976" s="2">
        <f t="shared" ca="1" si="966"/>
        <v>30896.111379529833</v>
      </c>
      <c r="AM976" s="2">
        <f t="shared" ca="1" si="967"/>
        <v>32851.465950491503</v>
      </c>
      <c r="AN976" s="2">
        <f t="shared" ca="1" si="968"/>
        <v>34930.571094825194</v>
      </c>
      <c r="AO976" s="2">
        <f t="shared" ca="1" si="969"/>
        <v>37141.258744722232</v>
      </c>
      <c r="AP976" s="2">
        <f t="shared" ca="1" si="970"/>
        <v>2480620.4491480272</v>
      </c>
      <c r="AQ976" s="2">
        <f t="shared" ca="1" si="971"/>
        <v>730748.79811904207</v>
      </c>
      <c r="AR976" s="2">
        <f t="shared" ca="1" si="972"/>
        <v>863083.59669029876</v>
      </c>
      <c r="AS976" s="2">
        <f t="shared" ca="1" si="973"/>
        <v>958524.81511885638</v>
      </c>
      <c r="AT976" s="2">
        <f t="shared" ca="1" si="974"/>
        <v>1060006.3219325754</v>
      </c>
      <c r="AU976" s="2">
        <f t="shared" ca="1" si="975"/>
        <v>1167910.3951909435</v>
      </c>
      <c r="AV976" s="2">
        <f t="shared" ca="1" si="976"/>
        <v>2079823.5023388118</v>
      </c>
      <c r="AW976" s="2">
        <f t="shared" ca="1" si="977"/>
        <v>2425572.5868928581</v>
      </c>
      <c r="AX976" s="2">
        <f t="shared" ca="1" si="978"/>
        <v>2695257.6232339451</v>
      </c>
      <c r="AY976" s="2">
        <f t="shared" ca="1" si="979"/>
        <v>2982010.4990209667</v>
      </c>
      <c r="AZ976" s="2">
        <f t="shared" ca="1" si="980"/>
        <v>3286911.404491039</v>
      </c>
      <c r="BA976" s="2">
        <f t="shared" ca="1" si="981"/>
        <v>59857547.724185109</v>
      </c>
      <c r="BB976" s="2">
        <f t="shared" ca="1" si="982"/>
        <v>1197150.9544837023</v>
      </c>
      <c r="BC976" s="2">
        <f t="shared" ca="1" si="983"/>
        <v>31097947.334723327</v>
      </c>
      <c r="BD976" s="2">
        <f t="shared" ca="1" si="984"/>
        <v>-20023401.68310947</v>
      </c>
      <c r="BE976" s="2">
        <f t="shared" ca="1" si="985"/>
        <v>2079823.5023388118</v>
      </c>
      <c r="BF976" s="2">
        <f t="shared" ca="1" si="986"/>
        <v>2425572.5868928581</v>
      </c>
      <c r="BG976" s="2">
        <f t="shared" ca="1" si="987"/>
        <v>2695257.6232339451</v>
      </c>
      <c r="BH976" s="2">
        <f t="shared" ca="1" si="988"/>
        <v>2982010.4990209667</v>
      </c>
      <c r="BI976" s="2">
        <f t="shared" ca="1" si="989"/>
        <v>34384858.739214368</v>
      </c>
      <c r="BJ976" s="2">
        <f t="shared" ca="1" si="990"/>
        <v>0.20300669264913518</v>
      </c>
      <c r="BK976" s="2">
        <f t="shared" ca="1" si="991"/>
        <v>7091680.2024903595</v>
      </c>
    </row>
    <row r="977" spans="1:63" x14ac:dyDescent="0.3">
      <c r="A977" s="2">
        <v>976</v>
      </c>
      <c r="B977" s="2">
        <f t="shared" ca="1" si="930"/>
        <v>0.65453064108448156</v>
      </c>
      <c r="C977" s="2">
        <f t="shared" ca="1" si="931"/>
        <v>7.1687727640223544</v>
      </c>
      <c r="D977" s="2">
        <f t="shared" ca="1" si="932"/>
        <v>0.56648057567605603</v>
      </c>
      <c r="E977" s="2">
        <f t="shared" ca="1" si="933"/>
        <v>7.5688507914153131</v>
      </c>
      <c r="F977" s="2">
        <f t="shared" ca="1" si="934"/>
        <v>0.87871066935576725</v>
      </c>
      <c r="G977" s="2">
        <f t="shared" ca="1" si="935"/>
        <v>7.5056970486834323E-2</v>
      </c>
      <c r="H977" s="2">
        <f t="shared" ca="1" si="936"/>
        <v>7.5056970486834323E-2</v>
      </c>
      <c r="I977" s="2">
        <f t="shared" ca="1" si="937"/>
        <v>0.78029764565262205</v>
      </c>
      <c r="J977" s="2">
        <f t="shared" ca="1" si="938"/>
        <v>1.3865994232668617E-2</v>
      </c>
      <c r="K977" s="2">
        <f t="shared" ca="1" si="939"/>
        <v>1.3865994232668617E-2</v>
      </c>
      <c r="L977" s="2">
        <f t="shared" ca="1" si="940"/>
        <v>0.19283439182234974</v>
      </c>
      <c r="M977" s="2">
        <f t="shared" ca="1" si="941"/>
        <v>-1.7349975464968258E-2</v>
      </c>
      <c r="N977" s="2">
        <f t="shared" ca="1" si="942"/>
        <v>-1.7349975464968258E-2</v>
      </c>
      <c r="O977" s="2">
        <f t="shared" si="943"/>
        <v>6000000</v>
      </c>
      <c r="P977" s="2">
        <f t="shared" ca="1" si="944"/>
        <v>43012636.584134124</v>
      </c>
      <c r="Q977" s="2">
        <f t="shared" ca="1" si="945"/>
        <v>1075315.9146033532</v>
      </c>
      <c r="R977" s="2">
        <f t="shared" ca="1" si="946"/>
        <v>25807581.950480472</v>
      </c>
      <c r="S977" s="2">
        <f t="shared" ca="1" si="947"/>
        <v>17205054.633653652</v>
      </c>
      <c r="T977" s="2">
        <f t="shared" ca="1" si="948"/>
        <v>49132501.226751588</v>
      </c>
      <c r="U977" s="2">
        <f t="shared" ca="1" si="949"/>
        <v>52820237.921272226</v>
      </c>
      <c r="V977" s="2">
        <f t="shared" ca="1" si="950"/>
        <v>56784764.960036717</v>
      </c>
      <c r="W977" s="2">
        <f t="shared" ca="1" si="951"/>
        <v>61046857.387744009</v>
      </c>
      <c r="X977" s="2">
        <f t="shared" ca="1" si="952"/>
        <v>65628849.561009891</v>
      </c>
      <c r="Y977" s="2">
        <f t="shared" ca="1" si="953"/>
        <v>0.1269329971163343</v>
      </c>
      <c r="Z977" s="2">
        <f t="shared" ca="1" si="954"/>
        <v>0.12970619596286803</v>
      </c>
      <c r="AA977" s="2">
        <f t="shared" ca="1" si="955"/>
        <v>6236535.6365335509</v>
      </c>
      <c r="AB977" s="2">
        <f t="shared" ca="1" si="956"/>
        <v>6851112.1306218486</v>
      </c>
      <c r="AC977" s="2">
        <f t="shared" ca="1" si="957"/>
        <v>7365335.8516119244</v>
      </c>
      <c r="AD977" s="2">
        <f t="shared" ca="1" si="958"/>
        <v>7918155.6472519822</v>
      </c>
      <c r="AE977" s="2">
        <f t="shared" ca="1" si="959"/>
        <v>8512468.4219779354</v>
      </c>
      <c r="AF977" s="2">
        <f t="shared" ca="1" si="960"/>
        <v>982650.02453503176</v>
      </c>
      <c r="AG977" s="2">
        <f t="shared" ca="1" si="961"/>
        <v>1056404.7584254446</v>
      </c>
      <c r="AH977" s="2">
        <f t="shared" ca="1" si="962"/>
        <v>1135695.2992007344</v>
      </c>
      <c r="AI977" s="2">
        <f t="shared" ca="1" si="963"/>
        <v>1220937.1477548801</v>
      </c>
      <c r="AJ977" s="2">
        <f t="shared" ca="1" si="964"/>
        <v>1312576.9912201979</v>
      </c>
      <c r="AK977" s="2">
        <f t="shared" ca="1" si="965"/>
        <v>0</v>
      </c>
      <c r="AL977" s="2">
        <f t="shared" ca="1" si="966"/>
        <v>36877.366945206377</v>
      </c>
      <c r="AM977" s="2">
        <f t="shared" ca="1" si="967"/>
        <v>39645.270387644916</v>
      </c>
      <c r="AN977" s="2">
        <f t="shared" ca="1" si="968"/>
        <v>42620.924277072925</v>
      </c>
      <c r="AO977" s="2">
        <f t="shared" ca="1" si="969"/>
        <v>45819.921732658819</v>
      </c>
      <c r="AP977" s="2">
        <f t="shared" ca="1" si="970"/>
        <v>2322682.3755432423</v>
      </c>
      <c r="AQ977" s="2">
        <f t="shared" ca="1" si="971"/>
        <v>762112.84147837199</v>
      </c>
      <c r="AR977" s="2">
        <f t="shared" ca="1" si="972"/>
        <v>902726.49912982213</v>
      </c>
      <c r="AS977" s="2">
        <f t="shared" ca="1" si="973"/>
        <v>1015809.1259856665</v>
      </c>
      <c r="AT977" s="2">
        <f t="shared" ca="1" si="974"/>
        <v>1137379.3922280036</v>
      </c>
      <c r="AU977" s="2">
        <f t="shared" ca="1" si="975"/>
        <v>1268074.3543557688</v>
      </c>
      <c r="AV977" s="2">
        <f t="shared" ca="1" si="976"/>
        <v>2169090.3949769046</v>
      </c>
      <c r="AW977" s="2">
        <f t="shared" ca="1" si="977"/>
        <v>2532421.1305781333</v>
      </c>
      <c r="AX977" s="2">
        <f t="shared" ca="1" si="978"/>
        <v>2851503.7804946369</v>
      </c>
      <c r="AY977" s="2">
        <f t="shared" ca="1" si="979"/>
        <v>3194535.8074487839</v>
      </c>
      <c r="AZ977" s="2">
        <f t="shared" ca="1" si="980"/>
        <v>3563314.7791260686</v>
      </c>
      <c r="BA977" s="2">
        <f t="shared" ca="1" si="981"/>
        <v>64429603.352585554</v>
      </c>
      <c r="BB977" s="2">
        <f t="shared" ca="1" si="982"/>
        <v>1288592.067051711</v>
      </c>
      <c r="BC977" s="2">
        <f t="shared" ca="1" si="983"/>
        <v>37333429.335053369</v>
      </c>
      <c r="BD977" s="2">
        <f t="shared" ca="1" si="984"/>
        <v>-18780370.548257004</v>
      </c>
      <c r="BE977" s="2">
        <f t="shared" ca="1" si="985"/>
        <v>2169090.3949769046</v>
      </c>
      <c r="BF977" s="2">
        <f t="shared" ca="1" si="986"/>
        <v>2532421.1305781333</v>
      </c>
      <c r="BG977" s="2">
        <f t="shared" ca="1" si="987"/>
        <v>2851503.7804946369</v>
      </c>
      <c r="BH977" s="2">
        <f t="shared" ca="1" si="988"/>
        <v>3194535.8074487839</v>
      </c>
      <c r="BI977" s="2">
        <f t="shared" ca="1" si="989"/>
        <v>40896744.11417944</v>
      </c>
      <c r="BJ977" s="2">
        <f t="shared" ca="1" si="990"/>
        <v>0.26171770595066679</v>
      </c>
      <c r="BK977" s="2">
        <f t="shared" ca="1" si="991"/>
        <v>12440888.172182258</v>
      </c>
    </row>
    <row r="978" spans="1:63" x14ac:dyDescent="0.3">
      <c r="A978" s="2">
        <v>977</v>
      </c>
      <c r="B978" s="2">
        <f t="shared" ca="1" si="930"/>
        <v>0.13605082402973212</v>
      </c>
      <c r="C978" s="2">
        <f t="shared" ca="1" si="931"/>
        <v>6.5216336339419305</v>
      </c>
      <c r="D978" s="2">
        <f t="shared" ca="1" si="932"/>
        <v>0.22287878802339656</v>
      </c>
      <c r="E978" s="2">
        <f t="shared" ca="1" si="933"/>
        <v>7.1676507889958589</v>
      </c>
      <c r="F978" s="2">
        <f t="shared" ca="1" si="934"/>
        <v>8.5162060330492451E-2</v>
      </c>
      <c r="G978" s="2">
        <f t="shared" ca="1" si="935"/>
        <v>-1.1348927681892954E-3</v>
      </c>
      <c r="H978" s="2">
        <f t="shared" ca="1" si="936"/>
        <v>-1.1348927681892954E-3</v>
      </c>
      <c r="I978" s="2">
        <f t="shared" ca="1" si="937"/>
        <v>0.9601021445741198</v>
      </c>
      <c r="J978" s="2">
        <f t="shared" ca="1" si="938"/>
        <v>1.8759363177965289E-2</v>
      </c>
      <c r="K978" s="2">
        <f t="shared" ca="1" si="939"/>
        <v>1.8759363177965289E-2</v>
      </c>
      <c r="L978" s="2">
        <f t="shared" ca="1" si="940"/>
        <v>0.99228789257936156</v>
      </c>
      <c r="M978" s="2">
        <f t="shared" ca="1" si="941"/>
        <v>4.8445245047450146E-2</v>
      </c>
      <c r="N978" s="2">
        <f t="shared" ca="1" si="942"/>
        <v>4.8445245047450146E-2</v>
      </c>
      <c r="O978" s="2">
        <f t="shared" si="943"/>
        <v>6000000</v>
      </c>
      <c r="P978" s="2">
        <f t="shared" ca="1" si="944"/>
        <v>39129801.803651586</v>
      </c>
      <c r="Q978" s="2">
        <f t="shared" ca="1" si="945"/>
        <v>978245.04509128968</v>
      </c>
      <c r="R978" s="2">
        <f t="shared" ca="1" si="946"/>
        <v>23477881.082190949</v>
      </c>
      <c r="S978" s="2">
        <f t="shared" ca="1" si="947"/>
        <v>15651920.721460635</v>
      </c>
      <c r="T978" s="2">
        <f t="shared" ca="1" si="948"/>
        <v>52422262.252372511</v>
      </c>
      <c r="U978" s="2">
        <f t="shared" ca="1" si="949"/>
        <v>52362768.606050171</v>
      </c>
      <c r="V978" s="2">
        <f t="shared" ca="1" si="950"/>
        <v>52303342.478636794</v>
      </c>
      <c r="W978" s="2">
        <f t="shared" ca="1" si="951"/>
        <v>52243983.793505661</v>
      </c>
      <c r="X978" s="2">
        <f t="shared" ca="1" si="952"/>
        <v>52184692.474117011</v>
      </c>
      <c r="Y978" s="2">
        <f t="shared" ca="1" si="953"/>
        <v>0.12937968158898264</v>
      </c>
      <c r="Z978" s="2">
        <f t="shared" ca="1" si="954"/>
        <v>0.1331315542245757</v>
      </c>
      <c r="AA978" s="2">
        <f t="shared" ca="1" si="955"/>
        <v>6782375.5983860996</v>
      </c>
      <c r="AB978" s="2">
        <f t="shared" ca="1" si="956"/>
        <v>6971136.768025279</v>
      </c>
      <c r="AC978" s="2">
        <f t="shared" ca="1" si="957"/>
        <v>6963225.2753211884</v>
      </c>
      <c r="AD978" s="2">
        <f t="shared" ca="1" si="958"/>
        <v>6955322.7613129532</v>
      </c>
      <c r="AE978" s="2">
        <f t="shared" ca="1" si="959"/>
        <v>6947429.2158107162</v>
      </c>
      <c r="AF978" s="2">
        <f t="shared" ca="1" si="960"/>
        <v>1048445.2450474502</v>
      </c>
      <c r="AG978" s="2">
        <f t="shared" ca="1" si="961"/>
        <v>1047255.3721210035</v>
      </c>
      <c r="AH978" s="2">
        <f t="shared" ca="1" si="962"/>
        <v>1046066.849572736</v>
      </c>
      <c r="AI978" s="2">
        <f t="shared" ca="1" si="963"/>
        <v>1044879.6758701132</v>
      </c>
      <c r="AJ978" s="2">
        <f t="shared" ca="1" si="964"/>
        <v>1043693.8494823403</v>
      </c>
      <c r="AK978" s="2">
        <f t="shared" ca="1" si="965"/>
        <v>0</v>
      </c>
      <c r="AL978" s="2">
        <f t="shared" ca="1" si="966"/>
        <v>0</v>
      </c>
      <c r="AM978" s="2">
        <f t="shared" ca="1" si="967"/>
        <v>0</v>
      </c>
      <c r="AN978" s="2">
        <f t="shared" ca="1" si="968"/>
        <v>0</v>
      </c>
      <c r="AO978" s="2">
        <f t="shared" ca="1" si="969"/>
        <v>0</v>
      </c>
      <c r="AP978" s="2">
        <f t="shared" ca="1" si="970"/>
        <v>2113009.2973971856</v>
      </c>
      <c r="AQ978" s="2">
        <f t="shared" ca="1" si="971"/>
        <v>941439.47454478068</v>
      </c>
      <c r="AR978" s="2">
        <f t="shared" ca="1" si="972"/>
        <v>990826.74561184342</v>
      </c>
      <c r="AS978" s="2">
        <f t="shared" ca="1" si="973"/>
        <v>989078.77337132941</v>
      </c>
      <c r="AT978" s="2">
        <f t="shared" ca="1" si="974"/>
        <v>987332.78489187022</v>
      </c>
      <c r="AU978" s="2">
        <f t="shared" ca="1" si="975"/>
        <v>985588.77792210935</v>
      </c>
      <c r="AV978" s="2">
        <f t="shared" ca="1" si="976"/>
        <v>2679481.5813966836</v>
      </c>
      <c r="AW978" s="2">
        <f t="shared" ca="1" si="977"/>
        <v>2820045.3528952464</v>
      </c>
      <c r="AX978" s="2">
        <f t="shared" ca="1" si="978"/>
        <v>2815070.3549799374</v>
      </c>
      <c r="AY978" s="2">
        <f t="shared" ca="1" si="979"/>
        <v>2810101.0031537847</v>
      </c>
      <c r="AZ978" s="2">
        <f t="shared" ca="1" si="980"/>
        <v>2805137.2910090801</v>
      </c>
      <c r="BA978" s="2">
        <f t="shared" ca="1" si="981"/>
        <v>49796746.500198558</v>
      </c>
      <c r="BB978" s="2">
        <f t="shared" ca="1" si="982"/>
        <v>995934.93000397121</v>
      </c>
      <c r="BC978" s="2">
        <f t="shared" ca="1" si="983"/>
        <v>25322930.488003638</v>
      </c>
      <c r="BD978" s="2">
        <f t="shared" ca="1" si="984"/>
        <v>-17130165.766551927</v>
      </c>
      <c r="BE978" s="2">
        <f t="shared" ca="1" si="985"/>
        <v>2679481.5813966836</v>
      </c>
      <c r="BF978" s="2">
        <f t="shared" ca="1" si="986"/>
        <v>2820045.3528952464</v>
      </c>
      <c r="BG978" s="2">
        <f t="shared" ca="1" si="987"/>
        <v>2815070.3549799374</v>
      </c>
      <c r="BH978" s="2">
        <f t="shared" ca="1" si="988"/>
        <v>2810101.0031537847</v>
      </c>
      <c r="BI978" s="2">
        <f t="shared" ca="1" si="989"/>
        <v>28128067.779012717</v>
      </c>
      <c r="BJ978" s="2">
        <f t="shared" ca="1" si="990"/>
        <v>0.22339203746770653</v>
      </c>
      <c r="BK978" s="2">
        <f t="shared" ca="1" si="991"/>
        <v>7260553.9141089655</v>
      </c>
    </row>
    <row r="979" spans="1:63" x14ac:dyDescent="0.3">
      <c r="A979" s="2">
        <v>978</v>
      </c>
      <c r="B979" s="2">
        <f t="shared" ca="1" si="930"/>
        <v>0.75127864058888083</v>
      </c>
      <c r="C979" s="2">
        <f t="shared" ca="1" si="931"/>
        <v>7.2947038077358997</v>
      </c>
      <c r="D979" s="2">
        <f t="shared" ca="1" si="932"/>
        <v>0.75271292569637627</v>
      </c>
      <c r="E979" s="2">
        <f t="shared" ca="1" si="933"/>
        <v>7.7967403405517652</v>
      </c>
      <c r="F979" s="2">
        <f t="shared" ca="1" si="934"/>
        <v>0.72989863683688949</v>
      </c>
      <c r="G979" s="2">
        <f t="shared" ca="1" si="935"/>
        <v>5.8375193751256174E-2</v>
      </c>
      <c r="H979" s="2">
        <f t="shared" ca="1" si="936"/>
        <v>5.8375193751256174E-2</v>
      </c>
      <c r="I979" s="2">
        <f t="shared" ca="1" si="937"/>
        <v>0.26830021817756444</v>
      </c>
      <c r="J979" s="2">
        <f t="shared" ca="1" si="938"/>
        <v>6.910190367661195E-3</v>
      </c>
      <c r="K979" s="2">
        <f t="shared" ca="1" si="939"/>
        <v>6.910190367661195E-3</v>
      </c>
      <c r="L979" s="2">
        <f t="shared" ca="1" si="940"/>
        <v>0.26120700512057371</v>
      </c>
      <c r="M979" s="2">
        <f t="shared" ca="1" si="941"/>
        <v>-1.2792574278641956E-2</v>
      </c>
      <c r="N979" s="2">
        <f t="shared" ca="1" si="942"/>
        <v>-1.2792574278641956E-2</v>
      </c>
      <c r="O979" s="2">
        <f t="shared" si="943"/>
        <v>6000000</v>
      </c>
      <c r="P979" s="2">
        <f t="shared" ca="1" si="944"/>
        <v>43768222.846415401</v>
      </c>
      <c r="Q979" s="2">
        <f t="shared" ca="1" si="945"/>
        <v>1094205.5711603852</v>
      </c>
      <c r="R979" s="2">
        <f t="shared" ca="1" si="946"/>
        <v>26260933.707849238</v>
      </c>
      <c r="S979" s="2">
        <f t="shared" ca="1" si="947"/>
        <v>17507289.138566162</v>
      </c>
      <c r="T979" s="2">
        <f t="shared" ca="1" si="948"/>
        <v>49360371.286067903</v>
      </c>
      <c r="U979" s="2">
        <f t="shared" ca="1" si="949"/>
        <v>52241792.523526058</v>
      </c>
      <c r="V979" s="2">
        <f t="shared" ca="1" si="950"/>
        <v>55291417.283999823</v>
      </c>
      <c r="W979" s="2">
        <f t="shared" ca="1" si="951"/>
        <v>58519064.48073487</v>
      </c>
      <c r="X979" s="2">
        <f t="shared" ca="1" si="952"/>
        <v>61935126.207940027</v>
      </c>
      <c r="Y979" s="2">
        <f t="shared" ca="1" si="953"/>
        <v>0.12345509518383059</v>
      </c>
      <c r="Z979" s="2">
        <f t="shared" ca="1" si="954"/>
        <v>0.12483713325736283</v>
      </c>
      <c r="AA979" s="2">
        <f t="shared" ca="1" si="955"/>
        <v>6093789.3354307311</v>
      </c>
      <c r="AB979" s="2">
        <f t="shared" ca="1" si="956"/>
        <v>6521715.6148629235</v>
      </c>
      <c r="AC979" s="2">
        <f t="shared" ca="1" si="957"/>
        <v>6902422.02747114</v>
      </c>
      <c r="AD979" s="2">
        <f t="shared" ca="1" si="958"/>
        <v>7305352.2506777067</v>
      </c>
      <c r="AE979" s="2">
        <f t="shared" ca="1" si="959"/>
        <v>7731803.6037321938</v>
      </c>
      <c r="AF979" s="2">
        <f t="shared" ca="1" si="960"/>
        <v>987207.42572135804</v>
      </c>
      <c r="AG979" s="2">
        <f t="shared" ca="1" si="961"/>
        <v>1044835.8504705211</v>
      </c>
      <c r="AH979" s="2">
        <f t="shared" ca="1" si="962"/>
        <v>1105828.3456799965</v>
      </c>
      <c r="AI979" s="2">
        <f t="shared" ca="1" si="963"/>
        <v>1170381.2896146975</v>
      </c>
      <c r="AJ979" s="2">
        <f t="shared" ca="1" si="964"/>
        <v>1238702.5241588005</v>
      </c>
      <c r="AK979" s="2">
        <f t="shared" ca="1" si="965"/>
        <v>0</v>
      </c>
      <c r="AL979" s="2">
        <f t="shared" ca="1" si="966"/>
        <v>28814.212374581548</v>
      </c>
      <c r="AM979" s="2">
        <f t="shared" ca="1" si="967"/>
        <v>30496.247604737655</v>
      </c>
      <c r="AN979" s="2">
        <f t="shared" ca="1" si="968"/>
        <v>32276.47196735047</v>
      </c>
      <c r="AO979" s="2">
        <f t="shared" ca="1" si="969"/>
        <v>34160.617272051575</v>
      </c>
      <c r="AP979" s="2">
        <f t="shared" ca="1" si="970"/>
        <v>2363484.0337064313</v>
      </c>
      <c r="AQ979" s="2">
        <f t="shared" ca="1" si="971"/>
        <v>713205.44776076498</v>
      </c>
      <c r="AR979" s="2">
        <f t="shared" ca="1" si="972"/>
        <v>809482.88997835247</v>
      </c>
      <c r="AS979" s="2">
        <f t="shared" ca="1" si="973"/>
        <v>892608.50850202516</v>
      </c>
      <c r="AT979" s="2">
        <f t="shared" ca="1" si="974"/>
        <v>980586.6011127102</v>
      </c>
      <c r="AU979" s="2">
        <f t="shared" ca="1" si="975"/>
        <v>1073700.4319254099</v>
      </c>
      <c r="AV979" s="2">
        <f t="shared" ca="1" si="976"/>
        <v>2029892.4282421777</v>
      </c>
      <c r="AW979" s="2">
        <f t="shared" ca="1" si="977"/>
        <v>2275098.6283330368</v>
      </c>
      <c r="AX979" s="2">
        <f t="shared" ca="1" si="978"/>
        <v>2510004.8919779491</v>
      </c>
      <c r="AY979" s="2">
        <f t="shared" ca="1" si="979"/>
        <v>2758623.8542765165</v>
      </c>
      <c r="AZ979" s="2">
        <f t="shared" ca="1" si="980"/>
        <v>3021755.9966695001</v>
      </c>
      <c r="BA979" s="2">
        <f t="shared" ca="1" si="981"/>
        <v>60282865.06244231</v>
      </c>
      <c r="BB979" s="2">
        <f t="shared" ca="1" si="982"/>
        <v>1205657.3012488463</v>
      </c>
      <c r="BC979" s="2">
        <f t="shared" ca="1" si="983"/>
        <v>32816274.053344224</v>
      </c>
      <c r="BD979" s="2">
        <f t="shared" ca="1" si="984"/>
        <v>-19101494.709726546</v>
      </c>
      <c r="BE979" s="2">
        <f t="shared" ca="1" si="985"/>
        <v>2029892.4282421777</v>
      </c>
      <c r="BF979" s="2">
        <f t="shared" ca="1" si="986"/>
        <v>2275098.6283330368</v>
      </c>
      <c r="BG979" s="2">
        <f t="shared" ca="1" si="987"/>
        <v>2510004.8919779491</v>
      </c>
      <c r="BH979" s="2">
        <f t="shared" ca="1" si="988"/>
        <v>2758623.8542765165</v>
      </c>
      <c r="BI979" s="2">
        <f t="shared" ca="1" si="989"/>
        <v>35838030.050013721</v>
      </c>
      <c r="BJ979" s="2">
        <f t="shared" ca="1" si="990"/>
        <v>0.21967247054423522</v>
      </c>
      <c r="BK979" s="2">
        <f t="shared" ca="1" si="991"/>
        <v>8399791.8827573694</v>
      </c>
    </row>
    <row r="980" spans="1:63" x14ac:dyDescent="0.3">
      <c r="A980" s="2">
        <v>979</v>
      </c>
      <c r="B980" s="2">
        <f t="shared" ca="1" si="930"/>
        <v>0.3774480874434305</v>
      </c>
      <c r="C980" s="2">
        <f t="shared" ca="1" si="931"/>
        <v>6.8688476131559906</v>
      </c>
      <c r="D980" s="2">
        <f t="shared" ca="1" si="932"/>
        <v>0.87960102022178577</v>
      </c>
      <c r="E980" s="2">
        <f t="shared" ca="1" si="933"/>
        <v>8.0092883132057811</v>
      </c>
      <c r="F980" s="2">
        <f t="shared" ca="1" si="934"/>
        <v>0.20713383991516188</v>
      </c>
      <c r="G980" s="2">
        <f t="shared" ca="1" si="935"/>
        <v>1.5507804978615779E-2</v>
      </c>
      <c r="H980" s="2">
        <f t="shared" ca="1" si="936"/>
        <v>1.5507804978615779E-2</v>
      </c>
      <c r="I980" s="2">
        <f t="shared" ca="1" si="937"/>
        <v>0.57605311764244149</v>
      </c>
      <c r="J980" s="2">
        <f t="shared" ca="1" si="938"/>
        <v>1.0959032592706933E-2</v>
      </c>
      <c r="K980" s="2">
        <f t="shared" ca="1" si="939"/>
        <v>1.0959032592706933E-2</v>
      </c>
      <c r="L980" s="2">
        <f t="shared" ca="1" si="940"/>
        <v>0.67747199688719451</v>
      </c>
      <c r="M980" s="2">
        <f t="shared" ca="1" si="941"/>
        <v>9.2128251501395215E-3</v>
      </c>
      <c r="N980" s="2">
        <f t="shared" ca="1" si="942"/>
        <v>9.2128251501395215E-3</v>
      </c>
      <c r="O980" s="2">
        <f t="shared" si="943"/>
        <v>6000000</v>
      </c>
      <c r="P980" s="2">
        <f t="shared" ca="1" si="944"/>
        <v>41213085.678935945</v>
      </c>
      <c r="Q980" s="2">
        <f t="shared" ca="1" si="945"/>
        <v>1030327.1419733986</v>
      </c>
      <c r="R980" s="2">
        <f t="shared" ca="1" si="946"/>
        <v>24727851.407361567</v>
      </c>
      <c r="S980" s="2">
        <f t="shared" ca="1" si="947"/>
        <v>16485234.271574378</v>
      </c>
      <c r="T980" s="2">
        <f t="shared" ca="1" si="948"/>
        <v>50460641.257506974</v>
      </c>
      <c r="U980" s="2">
        <f t="shared" ca="1" si="949"/>
        <v>51243175.041224279</v>
      </c>
      <c r="V980" s="2">
        <f t="shared" ca="1" si="950"/>
        <v>52037844.206248656</v>
      </c>
      <c r="W980" s="2">
        <f t="shared" ca="1" si="951"/>
        <v>52844836.945706747</v>
      </c>
      <c r="X980" s="2">
        <f t="shared" ca="1" si="952"/>
        <v>53664344.371187516</v>
      </c>
      <c r="Y980" s="2">
        <f t="shared" ca="1" si="953"/>
        <v>0.12547951629635345</v>
      </c>
      <c r="Z980" s="2">
        <f t="shared" ca="1" si="954"/>
        <v>0.12767132281489485</v>
      </c>
      <c r="AA980" s="2">
        <f t="shared" ca="1" si="955"/>
        <v>6331776.8569957921</v>
      </c>
      <c r="AB980" s="2">
        <f t="shared" ca="1" si="956"/>
        <v>6542283.9427483073</v>
      </c>
      <c r="AC980" s="2">
        <f t="shared" ca="1" si="957"/>
        <v>6643740.4062471781</v>
      </c>
      <c r="AD980" s="2">
        <f t="shared" ca="1" si="958"/>
        <v>6746770.2367958082</v>
      </c>
      <c r="AE980" s="2">
        <f t="shared" ca="1" si="959"/>
        <v>6851397.8338635666</v>
      </c>
      <c r="AF980" s="2">
        <f t="shared" ca="1" si="960"/>
        <v>1009212.8251501395</v>
      </c>
      <c r="AG980" s="2">
        <f t="shared" ca="1" si="961"/>
        <v>1024863.5008244856</v>
      </c>
      <c r="AH980" s="2">
        <f t="shared" ca="1" si="962"/>
        <v>1040756.8841249731</v>
      </c>
      <c r="AI980" s="2">
        <f t="shared" ca="1" si="963"/>
        <v>1056896.7389141349</v>
      </c>
      <c r="AJ980" s="2">
        <f t="shared" ca="1" si="964"/>
        <v>1073286.8874237502</v>
      </c>
      <c r="AK980" s="2">
        <f t="shared" ca="1" si="965"/>
        <v>0</v>
      </c>
      <c r="AL980" s="2">
        <f t="shared" ca="1" si="966"/>
        <v>7825.337837173045</v>
      </c>
      <c r="AM980" s="2">
        <f t="shared" ca="1" si="967"/>
        <v>7946.6916502437743</v>
      </c>
      <c r="AN980" s="2">
        <f t="shared" ca="1" si="968"/>
        <v>8069.9273945809155</v>
      </c>
      <c r="AO980" s="2">
        <f t="shared" ca="1" si="969"/>
        <v>8195.0742548076814</v>
      </c>
      <c r="AP980" s="2">
        <f t="shared" ca="1" si="970"/>
        <v>2225506.6266625412</v>
      </c>
      <c r="AQ980" s="2">
        <f t="shared" ca="1" si="971"/>
        <v>805234.92534760898</v>
      </c>
      <c r="AR980" s="2">
        <f t="shared" ca="1" si="972"/>
        <v>855897.59196793288</v>
      </c>
      <c r="AS980" s="2">
        <f t="shared" ca="1" si="973"/>
        <v>878143.99281951273</v>
      </c>
      <c r="AT980" s="2">
        <f t="shared" ca="1" si="974"/>
        <v>900735.38651697442</v>
      </c>
      <c r="AU980" s="2">
        <f t="shared" ca="1" si="975"/>
        <v>923677.12314209167</v>
      </c>
      <c r="AV980" s="2">
        <f t="shared" ca="1" si="976"/>
        <v>2291822.4798355028</v>
      </c>
      <c r="AW980" s="2">
        <f t="shared" ca="1" si="977"/>
        <v>2428190.8854561746</v>
      </c>
      <c r="AX980" s="2">
        <f t="shared" ca="1" si="978"/>
        <v>2491386.2109899074</v>
      </c>
      <c r="AY980" s="2">
        <f t="shared" ca="1" si="979"/>
        <v>2555561.5573075768</v>
      </c>
      <c r="AZ980" s="2">
        <f t="shared" ca="1" si="980"/>
        <v>2620732.1223803759</v>
      </c>
      <c r="BA980" s="2">
        <f t="shared" ca="1" si="981"/>
        <v>54874820.599886864</v>
      </c>
      <c r="BB980" s="2">
        <f t="shared" ca="1" si="982"/>
        <v>1097496.4119977374</v>
      </c>
      <c r="BC980" s="2">
        <f t="shared" ca="1" si="983"/>
        <v>29049472.780527562</v>
      </c>
      <c r="BD980" s="2">
        <f t="shared" ca="1" si="984"/>
        <v>-18015561.413547777</v>
      </c>
      <c r="BE980" s="2">
        <f t="shared" ca="1" si="985"/>
        <v>2291822.4798355028</v>
      </c>
      <c r="BF980" s="2">
        <f t="shared" ca="1" si="986"/>
        <v>2428190.8854561746</v>
      </c>
      <c r="BG980" s="2">
        <f t="shared" ca="1" si="987"/>
        <v>2491386.2109899074</v>
      </c>
      <c r="BH980" s="2">
        <f t="shared" ca="1" si="988"/>
        <v>2555561.5573075768</v>
      </c>
      <c r="BI980" s="2">
        <f t="shared" ca="1" si="989"/>
        <v>31670204.902907938</v>
      </c>
      <c r="BJ980" s="2">
        <f t="shared" ca="1" si="990"/>
        <v>0.21563193341568798</v>
      </c>
      <c r="BK980" s="2">
        <f t="shared" ca="1" si="991"/>
        <v>7334397.4179682694</v>
      </c>
    </row>
    <row r="981" spans="1:63" x14ac:dyDescent="0.3">
      <c r="A981" s="2">
        <v>980</v>
      </c>
      <c r="B981" s="2">
        <f t="shared" ca="1" si="930"/>
        <v>0.73421072380465435</v>
      </c>
      <c r="C981" s="2">
        <f t="shared" ca="1" si="931"/>
        <v>7.2709056629004092</v>
      </c>
      <c r="D981" s="2">
        <f t="shared" ca="1" si="932"/>
        <v>0.20098383773098805</v>
      </c>
      <c r="E981" s="2">
        <f t="shared" ca="1" si="933"/>
        <v>7.1340092077107204</v>
      </c>
      <c r="F981" s="2">
        <f t="shared" ca="1" si="934"/>
        <v>0.75707678911370291</v>
      </c>
      <c r="G981" s="2">
        <f t="shared" ca="1" si="935"/>
        <v>6.0907908645443945E-2</v>
      </c>
      <c r="H981" s="2">
        <f t="shared" ca="1" si="936"/>
        <v>6.0907908645443945E-2</v>
      </c>
      <c r="I981" s="2">
        <f t="shared" ca="1" si="937"/>
        <v>7.5389884921112316E-2</v>
      </c>
      <c r="J981" s="2">
        <f t="shared" ca="1" si="938"/>
        <v>2.8160868917602349E-3</v>
      </c>
      <c r="K981" s="2">
        <f t="shared" ca="1" si="939"/>
        <v>2.8160868917602349E-3</v>
      </c>
      <c r="L981" s="2">
        <f t="shared" ca="1" si="940"/>
        <v>0.5544305207189536</v>
      </c>
      <c r="M981" s="2">
        <f t="shared" ca="1" si="941"/>
        <v>2.7372632064682442E-3</v>
      </c>
      <c r="N981" s="2">
        <f t="shared" ca="1" si="942"/>
        <v>2.7372632064682442E-3</v>
      </c>
      <c r="O981" s="2">
        <f t="shared" si="943"/>
        <v>6000000</v>
      </c>
      <c r="P981" s="2">
        <f t="shared" ca="1" si="944"/>
        <v>43625433.977402456</v>
      </c>
      <c r="Q981" s="2">
        <f t="shared" ca="1" si="945"/>
        <v>1090635.8494350614</v>
      </c>
      <c r="R981" s="2">
        <f t="shared" ca="1" si="946"/>
        <v>26175260.386441473</v>
      </c>
      <c r="S981" s="2">
        <f t="shared" ca="1" si="947"/>
        <v>17450173.590960983</v>
      </c>
      <c r="T981" s="2">
        <f t="shared" ca="1" si="948"/>
        <v>50136863.160323411</v>
      </c>
      <c r="U981" s="2">
        <f t="shared" ca="1" si="949"/>
        <v>53190594.641461521</v>
      </c>
      <c r="V981" s="2">
        <f t="shared" ca="1" si="950"/>
        <v>56430322.520680502</v>
      </c>
      <c r="W981" s="2">
        <f t="shared" ca="1" si="951"/>
        <v>59867375.449603051</v>
      </c>
      <c r="X981" s="2">
        <f t="shared" ca="1" si="952"/>
        <v>63513772.08432997</v>
      </c>
      <c r="Y981" s="2">
        <f t="shared" ca="1" si="953"/>
        <v>0.12140804344588012</v>
      </c>
      <c r="Z981" s="2">
        <f t="shared" ca="1" si="954"/>
        <v>0.12197126082423215</v>
      </c>
      <c r="AA981" s="2">
        <f t="shared" ca="1" si="955"/>
        <v>6087018.4608086906</v>
      </c>
      <c r="AB981" s="2">
        <f t="shared" ca="1" si="956"/>
        <v>6487723.8924097084</v>
      </c>
      <c r="AC981" s="2">
        <f t="shared" ca="1" si="957"/>
        <v>6882877.5865654629</v>
      </c>
      <c r="AD981" s="2">
        <f t="shared" ca="1" si="958"/>
        <v>7302099.2658257661</v>
      </c>
      <c r="AE981" s="2">
        <f t="shared" ca="1" si="959"/>
        <v>7746854.8608286455</v>
      </c>
      <c r="AF981" s="2">
        <f t="shared" ca="1" si="960"/>
        <v>1002737.2632064682</v>
      </c>
      <c r="AG981" s="2">
        <f t="shared" ca="1" si="961"/>
        <v>1063811.8928292305</v>
      </c>
      <c r="AH981" s="2">
        <f t="shared" ca="1" si="962"/>
        <v>1128606.4504136101</v>
      </c>
      <c r="AI981" s="2">
        <f t="shared" ca="1" si="963"/>
        <v>1197347.508992061</v>
      </c>
      <c r="AJ981" s="2">
        <f t="shared" ca="1" si="964"/>
        <v>1270275.4416865995</v>
      </c>
      <c r="AK981" s="2">
        <f t="shared" ca="1" si="965"/>
        <v>0</v>
      </c>
      <c r="AL981" s="2">
        <f t="shared" ca="1" si="966"/>
        <v>30537.314811381104</v>
      </c>
      <c r="AM981" s="2">
        <f t="shared" ca="1" si="967"/>
        <v>32397.278792189809</v>
      </c>
      <c r="AN981" s="2">
        <f t="shared" ca="1" si="968"/>
        <v>34370.529289225487</v>
      </c>
      <c r="AO981" s="2">
        <f t="shared" ca="1" si="969"/>
        <v>36463.96634726919</v>
      </c>
      <c r="AP981" s="2">
        <f t="shared" ca="1" si="970"/>
        <v>2355773.4347797325</v>
      </c>
      <c r="AQ981" s="2">
        <f t="shared" ca="1" si="971"/>
        <v>709412.01833384752</v>
      </c>
      <c r="AR981" s="2">
        <f t="shared" ca="1" si="972"/>
        <v>797716.02684819396</v>
      </c>
      <c r="AS981" s="2">
        <f t="shared" ca="1" si="973"/>
        <v>883609.40235675138</v>
      </c>
      <c r="AT981" s="2">
        <f t="shared" ca="1" si="974"/>
        <v>974734.36373403296</v>
      </c>
      <c r="AU981" s="2">
        <f t="shared" ca="1" si="975"/>
        <v>1071409.5559342015</v>
      </c>
      <c r="AV981" s="2">
        <f t="shared" ca="1" si="976"/>
        <v>2019095.7444886426</v>
      </c>
      <c r="AW981" s="2">
        <f t="shared" ca="1" si="977"/>
        <v>2239885.2231411701</v>
      </c>
      <c r="AX981" s="2">
        <f t="shared" ca="1" si="978"/>
        <v>2482491.0202231798</v>
      </c>
      <c r="AY981" s="2">
        <f t="shared" ca="1" si="979"/>
        <v>2739873.4290307146</v>
      </c>
      <c r="AZ981" s="2">
        <f t="shared" ca="1" si="980"/>
        <v>3012932.4620808428</v>
      </c>
      <c r="BA981" s="2">
        <f t="shared" ca="1" si="981"/>
        <v>55266133.907950111</v>
      </c>
      <c r="BB981" s="2">
        <f t="shared" ca="1" si="982"/>
        <v>1105322.6781590022</v>
      </c>
      <c r="BC981" s="2">
        <f t="shared" ca="1" si="983"/>
        <v>27985550.843349636</v>
      </c>
      <c r="BD981" s="2">
        <f t="shared" ca="1" si="984"/>
        <v>-19040809.440396044</v>
      </c>
      <c r="BE981" s="2">
        <f t="shared" ca="1" si="985"/>
        <v>2019095.7444886426</v>
      </c>
      <c r="BF981" s="2">
        <f t="shared" ca="1" si="986"/>
        <v>2239885.2231411701</v>
      </c>
      <c r="BG981" s="2">
        <f t="shared" ca="1" si="987"/>
        <v>2482491.0202231798</v>
      </c>
      <c r="BH981" s="2">
        <f t="shared" ca="1" si="988"/>
        <v>2739873.4290307146</v>
      </c>
      <c r="BI981" s="2">
        <f t="shared" ca="1" si="989"/>
        <v>30998483.305430479</v>
      </c>
      <c r="BJ981" s="2">
        <f t="shared" ca="1" si="990"/>
        <v>0.19100238857206486</v>
      </c>
      <c r="BK981" s="2">
        <f t="shared" ca="1" si="991"/>
        <v>5645176.4877932221</v>
      </c>
    </row>
    <row r="982" spans="1:63" x14ac:dyDescent="0.3">
      <c r="A982" s="2">
        <v>981</v>
      </c>
      <c r="B982" s="2">
        <f t="shared" ca="1" si="930"/>
        <v>0.77743941010572171</v>
      </c>
      <c r="C982" s="2">
        <f t="shared" ca="1" si="931"/>
        <v>7.3328259748846953</v>
      </c>
      <c r="D982" s="2">
        <f t="shared" ca="1" si="932"/>
        <v>0.66200148861238783</v>
      </c>
      <c r="E982" s="2">
        <f t="shared" ca="1" si="933"/>
        <v>7.677809618898868</v>
      </c>
      <c r="F982" s="2">
        <f t="shared" ca="1" si="934"/>
        <v>0.22671146597718406</v>
      </c>
      <c r="G982" s="2">
        <f t="shared" ca="1" si="935"/>
        <v>1.7508378711829656E-2</v>
      </c>
      <c r="H982" s="2">
        <f t="shared" ca="1" si="936"/>
        <v>1.7508378711829656E-2</v>
      </c>
      <c r="I982" s="2">
        <f t="shared" ca="1" si="937"/>
        <v>0.72980104265564383</v>
      </c>
      <c r="J982" s="2">
        <f t="shared" ca="1" si="938"/>
        <v>1.3061056889478468E-2</v>
      </c>
      <c r="K982" s="2">
        <f t="shared" ca="1" si="939"/>
        <v>1.3061056889478468E-2</v>
      </c>
      <c r="L982" s="2">
        <f t="shared" ca="1" si="940"/>
        <v>0.20091462349654687</v>
      </c>
      <c r="M982" s="2">
        <f t="shared" ca="1" si="941"/>
        <v>-1.6767175081982062E-2</v>
      </c>
      <c r="N982" s="2">
        <f t="shared" ca="1" si="942"/>
        <v>-1.6767175081982062E-2</v>
      </c>
      <c r="O982" s="2">
        <f t="shared" si="943"/>
        <v>6000000</v>
      </c>
      <c r="P982" s="2">
        <f t="shared" ca="1" si="944"/>
        <v>43996955.84930817</v>
      </c>
      <c r="Q982" s="2">
        <f t="shared" ca="1" si="945"/>
        <v>1099923.8962327044</v>
      </c>
      <c r="R982" s="2">
        <f t="shared" ca="1" si="946"/>
        <v>26398173.5095849</v>
      </c>
      <c r="S982" s="2">
        <f t="shared" ca="1" si="947"/>
        <v>17598782.33972327</v>
      </c>
      <c r="T982" s="2">
        <f t="shared" ca="1" si="948"/>
        <v>49161641.245900892</v>
      </c>
      <c r="U982" s="2">
        <f t="shared" ca="1" si="949"/>
        <v>50022381.878929235</v>
      </c>
      <c r="V982" s="2">
        <f t="shared" ca="1" si="950"/>
        <v>50898192.684933297</v>
      </c>
      <c r="W982" s="2">
        <f t="shared" ca="1" si="951"/>
        <v>51789337.518208794</v>
      </c>
      <c r="X982" s="2">
        <f t="shared" ca="1" si="952"/>
        <v>52696084.85271237</v>
      </c>
      <c r="Y982" s="2">
        <f t="shared" ca="1" si="953"/>
        <v>0.12653052844473922</v>
      </c>
      <c r="Z982" s="2">
        <f t="shared" ca="1" si="954"/>
        <v>0.12914273982263491</v>
      </c>
      <c r="AA982" s="2">
        <f t="shared" ca="1" si="955"/>
        <v>6220448.4460545275</v>
      </c>
      <c r="AB982" s="2">
        <f t="shared" ca="1" si="956"/>
        <v>6460027.4482990457</v>
      </c>
      <c r="AC982" s="2">
        <f t="shared" ca="1" si="957"/>
        <v>6573132.0553526804</v>
      </c>
      <c r="AD982" s="2">
        <f t="shared" ca="1" si="958"/>
        <v>6688216.9407006633</v>
      </c>
      <c r="AE982" s="2">
        <f t="shared" ca="1" si="959"/>
        <v>6805316.7758053262</v>
      </c>
      <c r="AF982" s="2">
        <f t="shared" ca="1" si="960"/>
        <v>983232.82491801784</v>
      </c>
      <c r="AG982" s="2">
        <f t="shared" ca="1" si="961"/>
        <v>1000447.6375785847</v>
      </c>
      <c r="AH982" s="2">
        <f t="shared" ca="1" si="962"/>
        <v>1017963.853698666</v>
      </c>
      <c r="AI982" s="2">
        <f t="shared" ca="1" si="963"/>
        <v>1035786.7503641759</v>
      </c>
      <c r="AJ982" s="2">
        <f t="shared" ca="1" si="964"/>
        <v>1053921.6970542474</v>
      </c>
      <c r="AK982" s="2">
        <f t="shared" ca="1" si="965"/>
        <v>0</v>
      </c>
      <c r="AL982" s="2">
        <f t="shared" ca="1" si="966"/>
        <v>8607.4063302834329</v>
      </c>
      <c r="AM982" s="2">
        <f t="shared" ca="1" si="967"/>
        <v>8758.108060040624</v>
      </c>
      <c r="AN982" s="2">
        <f t="shared" ca="1" si="968"/>
        <v>8911.4483327549697</v>
      </c>
      <c r="AO982" s="2">
        <f t="shared" ca="1" si="969"/>
        <v>9067.4733450357617</v>
      </c>
      <c r="AP982" s="2">
        <f t="shared" ca="1" si="970"/>
        <v>2375835.615862641</v>
      </c>
      <c r="AQ982" s="2">
        <f t="shared" ca="1" si="971"/>
        <v>743958.80137120595</v>
      </c>
      <c r="AR982" s="2">
        <f t="shared" ca="1" si="972"/>
        <v>801773.4906630331</v>
      </c>
      <c r="AS982" s="2">
        <f t="shared" ca="1" si="973"/>
        <v>826626.47230575699</v>
      </c>
      <c r="AT982" s="2">
        <f t="shared" ca="1" si="974"/>
        <v>851914.58936320001</v>
      </c>
      <c r="AU982" s="2">
        <f t="shared" ca="1" si="975"/>
        <v>877645.4603509939</v>
      </c>
      <c r="AV982" s="2">
        <f t="shared" ca="1" si="976"/>
        <v>2117421.2039026632</v>
      </c>
      <c r="AW982" s="2">
        <f t="shared" ca="1" si="977"/>
        <v>2273363.2978645028</v>
      </c>
      <c r="AX982" s="2">
        <f t="shared" ca="1" si="978"/>
        <v>2343948.0054255757</v>
      </c>
      <c r="AY982" s="2">
        <f t="shared" ca="1" si="979"/>
        <v>2415768.5367778917</v>
      </c>
      <c r="AZ982" s="2">
        <f t="shared" ca="1" si="980"/>
        <v>2488846.5291924081</v>
      </c>
      <c r="BA982" s="2">
        <f t="shared" ca="1" si="981"/>
        <v>52249926.600931965</v>
      </c>
      <c r="BB982" s="2">
        <f t="shared" ca="1" si="982"/>
        <v>1044998.5320186393</v>
      </c>
      <c r="BC982" s="2">
        <f t="shared" ca="1" si="983"/>
        <v>24806754.559328426</v>
      </c>
      <c r="BD982" s="2">
        <f t="shared" ca="1" si="984"/>
        <v>-19198706.235955976</v>
      </c>
      <c r="BE982" s="2">
        <f t="shared" ca="1" si="985"/>
        <v>2117421.2039026632</v>
      </c>
      <c r="BF982" s="2">
        <f t="shared" ca="1" si="986"/>
        <v>2273363.2978645028</v>
      </c>
      <c r="BG982" s="2">
        <f t="shared" ca="1" si="987"/>
        <v>2343948.0054255757</v>
      </c>
      <c r="BH982" s="2">
        <f t="shared" ca="1" si="988"/>
        <v>2415768.5367778917</v>
      </c>
      <c r="BI982" s="2">
        <f t="shared" ca="1" si="989"/>
        <v>27295601.088520832</v>
      </c>
      <c r="BJ982" s="2">
        <f t="shared" ca="1" si="990"/>
        <v>0.1621536225757203</v>
      </c>
      <c r="BK982" s="2">
        <f t="shared" ca="1" si="991"/>
        <v>3196057.2840285152</v>
      </c>
    </row>
    <row r="983" spans="1:63" x14ac:dyDescent="0.3">
      <c r="A983" s="2">
        <v>982</v>
      </c>
      <c r="B983" s="2">
        <f t="shared" ca="1" si="930"/>
        <v>0.91373490491525777</v>
      </c>
      <c r="C983" s="2">
        <f t="shared" ca="1" si="931"/>
        <v>7.5846324637510962</v>
      </c>
      <c r="D983" s="2">
        <f t="shared" ca="1" si="932"/>
        <v>0.59842130458034981</v>
      </c>
      <c r="E983" s="2">
        <f t="shared" ca="1" si="933"/>
        <v>7.6038095119678513</v>
      </c>
      <c r="F983" s="2">
        <f t="shared" ca="1" si="934"/>
        <v>0.85475957524485302</v>
      </c>
      <c r="G983" s="2">
        <f t="shared" ca="1" si="935"/>
        <v>7.171202059234047E-2</v>
      </c>
      <c r="H983" s="2">
        <f t="shared" ca="1" si="936"/>
        <v>7.171202059234047E-2</v>
      </c>
      <c r="I983" s="2">
        <f t="shared" ca="1" si="937"/>
        <v>0.68557754015408801</v>
      </c>
      <c r="J983" s="2">
        <f t="shared" ca="1" si="938"/>
        <v>1.2416766368130461E-2</v>
      </c>
      <c r="K983" s="2">
        <f t="shared" ca="1" si="939"/>
        <v>1.2416766368130461E-2</v>
      </c>
      <c r="L983" s="2">
        <f t="shared" ca="1" si="940"/>
        <v>0.4093152682209803</v>
      </c>
      <c r="M983" s="2">
        <f t="shared" ca="1" si="941"/>
        <v>-4.5861342553464102E-3</v>
      </c>
      <c r="N983" s="2">
        <f t="shared" ca="1" si="942"/>
        <v>-4.5861342553464102E-3</v>
      </c>
      <c r="O983" s="2">
        <f t="shared" si="943"/>
        <v>6000000</v>
      </c>
      <c r="P983" s="2">
        <f t="shared" ca="1" si="944"/>
        <v>45507794.782506578</v>
      </c>
      <c r="Q983" s="2">
        <f t="shared" ca="1" si="945"/>
        <v>1137694.8695626645</v>
      </c>
      <c r="R983" s="2">
        <f t="shared" ca="1" si="946"/>
        <v>27304676.869503945</v>
      </c>
      <c r="S983" s="2">
        <f t="shared" ca="1" si="947"/>
        <v>18203117.913002633</v>
      </c>
      <c r="T983" s="2">
        <f t="shared" ca="1" si="948"/>
        <v>49770693.287232682</v>
      </c>
      <c r="U983" s="2">
        <f t="shared" ca="1" si="949"/>
        <v>53339850.269141778</v>
      </c>
      <c r="V983" s="2">
        <f t="shared" ca="1" si="950"/>
        <v>57164958.710034832</v>
      </c>
      <c r="W983" s="2">
        <f t="shared" ca="1" si="951"/>
        <v>61264373.406209141</v>
      </c>
      <c r="X983" s="2">
        <f t="shared" ca="1" si="952"/>
        <v>65657765.413492046</v>
      </c>
      <c r="Y983" s="2">
        <f t="shared" ca="1" si="953"/>
        <v>0.12620838318406521</v>
      </c>
      <c r="Z983" s="2">
        <f t="shared" ca="1" si="954"/>
        <v>0.12869173645769133</v>
      </c>
      <c r="AA983" s="2">
        <f t="shared" ca="1" si="955"/>
        <v>6281478.7297316445</v>
      </c>
      <c r="AB983" s="2">
        <f t="shared" ca="1" si="956"/>
        <v>6864397.9535291102</v>
      </c>
      <c r="AC983" s="2">
        <f t="shared" ca="1" si="957"/>
        <v>7356657.800926609</v>
      </c>
      <c r="AD983" s="2">
        <f t="shared" ca="1" si="958"/>
        <v>7884218.5966374604</v>
      </c>
      <c r="AE983" s="2">
        <f t="shared" ca="1" si="959"/>
        <v>8449611.8429940399</v>
      </c>
      <c r="AF983" s="2">
        <f t="shared" ca="1" si="960"/>
        <v>995413.86574465362</v>
      </c>
      <c r="AG983" s="2">
        <f t="shared" ca="1" si="961"/>
        <v>1066797.0053828356</v>
      </c>
      <c r="AH983" s="2">
        <f t="shared" ca="1" si="962"/>
        <v>1143299.1742006966</v>
      </c>
      <c r="AI983" s="2">
        <f t="shared" ca="1" si="963"/>
        <v>1225287.4681241829</v>
      </c>
      <c r="AJ983" s="2">
        <f t="shared" ca="1" si="964"/>
        <v>1313155.3082698409</v>
      </c>
      <c r="AK983" s="2">
        <f t="shared" ca="1" si="965"/>
        <v>0</v>
      </c>
      <c r="AL983" s="2">
        <f t="shared" ca="1" si="966"/>
        <v>35691.569819090961</v>
      </c>
      <c r="AM983" s="2">
        <f t="shared" ca="1" si="967"/>
        <v>38251.084408930539</v>
      </c>
      <c r="AN983" s="2">
        <f t="shared" ca="1" si="968"/>
        <v>40994.146961743085</v>
      </c>
      <c r="AO983" s="2">
        <f t="shared" ca="1" si="969"/>
        <v>43933.920072829053</v>
      </c>
      <c r="AP983" s="2">
        <f t="shared" ca="1" si="970"/>
        <v>2457420.9182553547</v>
      </c>
      <c r="AQ983" s="2">
        <f t="shared" ca="1" si="971"/>
        <v>735447.42589022557</v>
      </c>
      <c r="AR983" s="2">
        <f t="shared" ca="1" si="972"/>
        <v>868446.80777163908</v>
      </c>
      <c r="AS983" s="2">
        <f t="shared" ca="1" si="973"/>
        <v>976543.80420234497</v>
      </c>
      <c r="AT983" s="2">
        <f t="shared" ca="1" si="974"/>
        <v>1092392.6546670601</v>
      </c>
      <c r="AU983" s="2">
        <f t="shared" ca="1" si="975"/>
        <v>1216549.2602818997</v>
      </c>
      <c r="AV983" s="2">
        <f t="shared" ca="1" si="976"/>
        <v>2093196.5198414107</v>
      </c>
      <c r="AW983" s="2">
        <f t="shared" ca="1" si="977"/>
        <v>2436041.6523001897</v>
      </c>
      <c r="AX983" s="2">
        <f t="shared" ca="1" si="978"/>
        <v>2741142.8198592816</v>
      </c>
      <c r="AY983" s="2">
        <f t="shared" ca="1" si="979"/>
        <v>3068123.4086291199</v>
      </c>
      <c r="AZ983" s="2">
        <f t="shared" ca="1" si="980"/>
        <v>3418552.4361141152</v>
      </c>
      <c r="BA983" s="2">
        <f t="shared" ca="1" si="981"/>
        <v>64249238.904194288</v>
      </c>
      <c r="BB983" s="2">
        <f t="shared" ca="1" si="982"/>
        <v>1284984.7780838858</v>
      </c>
      <c r="BC983" s="2">
        <f t="shared" ca="1" si="983"/>
        <v>35659577.25660646</v>
      </c>
      <c r="BD983" s="2">
        <f t="shared" ca="1" si="984"/>
        <v>-19840812.782565296</v>
      </c>
      <c r="BE983" s="2">
        <f t="shared" ca="1" si="985"/>
        <v>2093196.5198414107</v>
      </c>
      <c r="BF983" s="2">
        <f t="shared" ca="1" si="986"/>
        <v>2436041.6523001897</v>
      </c>
      <c r="BG983" s="2">
        <f t="shared" ca="1" si="987"/>
        <v>2741142.8198592816</v>
      </c>
      <c r="BH983" s="2">
        <f t="shared" ca="1" si="988"/>
        <v>3068123.4086291199</v>
      </c>
      <c r="BI983" s="2">
        <f t="shared" ca="1" si="989"/>
        <v>39078129.692720577</v>
      </c>
      <c r="BJ983" s="2">
        <f t="shared" ca="1" si="990"/>
        <v>0.23243020531311287</v>
      </c>
      <c r="BK983" s="2">
        <f t="shared" ca="1" si="991"/>
        <v>10045029.639728118</v>
      </c>
    </row>
    <row r="984" spans="1:63" x14ac:dyDescent="0.3">
      <c r="A984" s="2">
        <v>983</v>
      </c>
      <c r="B984" s="2">
        <f t="shared" ca="1" si="930"/>
        <v>0.2965091299469037</v>
      </c>
      <c r="C984" s="2">
        <f t="shared" ca="1" si="931"/>
        <v>6.7700767883099759</v>
      </c>
      <c r="D984" s="2">
        <f t="shared" ca="1" si="932"/>
        <v>0.71193324390816681</v>
      </c>
      <c r="E984" s="2">
        <f t="shared" ca="1" si="933"/>
        <v>7.7409654077819203</v>
      </c>
      <c r="F984" s="2">
        <f t="shared" ca="1" si="934"/>
        <v>0.90580130673158787</v>
      </c>
      <c r="G984" s="2">
        <f t="shared" ca="1" si="935"/>
        <v>7.9460045864252177E-2</v>
      </c>
      <c r="H984" s="2">
        <f t="shared" ca="1" si="936"/>
        <v>7.9460045864252177E-2</v>
      </c>
      <c r="I984" s="2">
        <f t="shared" ca="1" si="937"/>
        <v>0.98640805490640748</v>
      </c>
      <c r="J984" s="2">
        <f t="shared" ca="1" si="938"/>
        <v>2.1044335211539682E-2</v>
      </c>
      <c r="K984" s="2">
        <f t="shared" ca="1" si="939"/>
        <v>2.1044335211539682E-2</v>
      </c>
      <c r="L984" s="2">
        <f t="shared" ca="1" si="940"/>
        <v>0.80464184702511765</v>
      </c>
      <c r="M984" s="2">
        <f t="shared" ca="1" si="941"/>
        <v>1.7166381260130724E-2</v>
      </c>
      <c r="N984" s="2">
        <f t="shared" ca="1" si="942"/>
        <v>1.7166381260130724E-2</v>
      </c>
      <c r="O984" s="2">
        <f t="shared" si="943"/>
        <v>6000000</v>
      </c>
      <c r="P984" s="2">
        <f t="shared" ca="1" si="944"/>
        <v>40620460.729859859</v>
      </c>
      <c r="Q984" s="2">
        <f t="shared" ca="1" si="945"/>
        <v>1015511.5182464966</v>
      </c>
      <c r="R984" s="2">
        <f t="shared" ca="1" si="946"/>
        <v>24372276.437915914</v>
      </c>
      <c r="S984" s="2">
        <f t="shared" ca="1" si="947"/>
        <v>16248184.291943945</v>
      </c>
      <c r="T984" s="2">
        <f t="shared" ca="1" si="948"/>
        <v>50858319.063006543</v>
      </c>
      <c r="U984" s="2">
        <f t="shared" ca="1" si="949"/>
        <v>54899523.428331815</v>
      </c>
      <c r="V984" s="2">
        <f t="shared" ca="1" si="950"/>
        <v>59261842.077872649</v>
      </c>
      <c r="W984" s="2">
        <f t="shared" ca="1" si="951"/>
        <v>63970790.767380483</v>
      </c>
      <c r="X984" s="2">
        <f t="shared" ca="1" si="952"/>
        <v>69053912.735729024</v>
      </c>
      <c r="Y984" s="2">
        <f t="shared" ca="1" si="953"/>
        <v>0.13052216760576985</v>
      </c>
      <c r="Z984" s="2">
        <f t="shared" ca="1" si="954"/>
        <v>0.13473103464807779</v>
      </c>
      <c r="AA984" s="2">
        <f t="shared" ca="1" si="955"/>
        <v>6638138.0448894594</v>
      </c>
      <c r="AB984" s="2">
        <f t="shared" ca="1" si="956"/>
        <v>7396669.5931855319</v>
      </c>
      <c r="AC984" s="2">
        <f t="shared" ca="1" si="957"/>
        <v>7984409.2983027743</v>
      </c>
      <c r="AD984" s="2">
        <f t="shared" ca="1" si="958"/>
        <v>8618850.8273448739</v>
      </c>
      <c r="AE984" s="2">
        <f t="shared" ca="1" si="959"/>
        <v>9303705.1093828473</v>
      </c>
      <c r="AF984" s="2">
        <f t="shared" ca="1" si="960"/>
        <v>1017166.3812601309</v>
      </c>
      <c r="AG984" s="2">
        <f t="shared" ca="1" si="961"/>
        <v>1097990.4685666363</v>
      </c>
      <c r="AH984" s="2">
        <f t="shared" ca="1" si="962"/>
        <v>1185236.8415574529</v>
      </c>
      <c r="AI984" s="2">
        <f t="shared" ca="1" si="963"/>
        <v>1279415.8153476098</v>
      </c>
      <c r="AJ984" s="2">
        <f t="shared" ca="1" si="964"/>
        <v>1381078.2547145805</v>
      </c>
      <c r="AK984" s="2">
        <f t="shared" ca="1" si="965"/>
        <v>0</v>
      </c>
      <c r="AL984" s="2">
        <f t="shared" ca="1" si="966"/>
        <v>40412.043653252724</v>
      </c>
      <c r="AM984" s="2">
        <f t="shared" ca="1" si="967"/>
        <v>43623.186495408343</v>
      </c>
      <c r="AN984" s="2">
        <f t="shared" ca="1" si="968"/>
        <v>47089.486895078349</v>
      </c>
      <c r="AO984" s="2">
        <f t="shared" ca="1" si="969"/>
        <v>50831.219683485404</v>
      </c>
      <c r="AP984" s="2">
        <f t="shared" ca="1" si="970"/>
        <v>2193504.8794124322</v>
      </c>
      <c r="AQ984" s="2">
        <f t="shared" ca="1" si="971"/>
        <v>891141.3638963931</v>
      </c>
      <c r="AR984" s="2">
        <f t="shared" ca="1" si="972"/>
        <v>1067345.3037536805</v>
      </c>
      <c r="AS984" s="2">
        <f t="shared" ca="1" si="973"/>
        <v>1197473.5701065511</v>
      </c>
      <c r="AT984" s="2">
        <f t="shared" ca="1" si="974"/>
        <v>1337941.8344720562</v>
      </c>
      <c r="AU984" s="2">
        <f t="shared" ca="1" si="975"/>
        <v>1489571.7135665172</v>
      </c>
      <c r="AV984" s="2">
        <f t="shared" ca="1" si="976"/>
        <v>2536325.4203205034</v>
      </c>
      <c r="AW984" s="2">
        <f t="shared" ca="1" si="977"/>
        <v>2997416.8977995301</v>
      </c>
      <c r="AX984" s="2">
        <f t="shared" ca="1" si="978"/>
        <v>3364570.8207309293</v>
      </c>
      <c r="AY984" s="2">
        <f t="shared" ca="1" si="979"/>
        <v>3760898.8112176964</v>
      </c>
      <c r="AZ984" s="2">
        <f t="shared" ca="1" si="980"/>
        <v>4188719.0420058323</v>
      </c>
      <c r="BA984" s="2">
        <f t="shared" ca="1" si="981"/>
        <v>72019659.41593653</v>
      </c>
      <c r="BB984" s="2">
        <f t="shared" ca="1" si="982"/>
        <v>1440393.1883187306</v>
      </c>
      <c r="BC984" s="2">
        <f t="shared" ca="1" si="983"/>
        <v>46206989.789701886</v>
      </c>
      <c r="BD984" s="2">
        <f t="shared" ca="1" si="984"/>
        <v>-17763695.810190443</v>
      </c>
      <c r="BE984" s="2">
        <f t="shared" ca="1" si="985"/>
        <v>2536325.4203205034</v>
      </c>
      <c r="BF984" s="2">
        <f t="shared" ca="1" si="986"/>
        <v>2997416.8977995301</v>
      </c>
      <c r="BG984" s="2">
        <f t="shared" ca="1" si="987"/>
        <v>3364570.8207309293</v>
      </c>
      <c r="BH984" s="2">
        <f t="shared" ca="1" si="988"/>
        <v>3760898.8112176964</v>
      </c>
      <c r="BI984" s="2">
        <f t="shared" ca="1" si="989"/>
        <v>50395708.831707716</v>
      </c>
      <c r="BJ984" s="2">
        <f t="shared" ca="1" si="990"/>
        <v>0.34051504562449786</v>
      </c>
      <c r="BK984" s="2">
        <f t="shared" ca="1" si="991"/>
        <v>20271235.699578281</v>
      </c>
    </row>
    <row r="985" spans="1:63" x14ac:dyDescent="0.3">
      <c r="A985" s="2">
        <v>984</v>
      </c>
      <c r="B985" s="2">
        <f t="shared" ca="1" si="930"/>
        <v>0.66909276127708139</v>
      </c>
      <c r="C985" s="2">
        <f t="shared" ca="1" si="931"/>
        <v>7.1864801923457318</v>
      </c>
      <c r="D985" s="2">
        <f t="shared" ca="1" si="932"/>
        <v>0.56622386500595823</v>
      </c>
      <c r="E985" s="2">
        <f t="shared" ca="1" si="933"/>
        <v>7.5685751399130021</v>
      </c>
      <c r="F985" s="2">
        <f t="shared" ca="1" si="934"/>
        <v>0.22249040524965902</v>
      </c>
      <c r="G985" s="2">
        <f t="shared" ca="1" si="935"/>
        <v>1.7085716802045542E-2</v>
      </c>
      <c r="H985" s="2">
        <f t="shared" ca="1" si="936"/>
        <v>1.7085716802045542E-2</v>
      </c>
      <c r="I985" s="2">
        <f t="shared" ca="1" si="937"/>
        <v>0.6248181312611174</v>
      </c>
      <c r="J985" s="2">
        <f t="shared" ca="1" si="938"/>
        <v>1.1590798914601451E-2</v>
      </c>
      <c r="K985" s="2">
        <f t="shared" ca="1" si="939"/>
        <v>1.1590798914601451E-2</v>
      </c>
      <c r="L985" s="2">
        <f t="shared" ca="1" si="940"/>
        <v>0.95354321273016718</v>
      </c>
      <c r="M985" s="2">
        <f t="shared" ca="1" si="941"/>
        <v>3.3604497165911303E-2</v>
      </c>
      <c r="N985" s="2">
        <f t="shared" ca="1" si="942"/>
        <v>3.3604497165911303E-2</v>
      </c>
      <c r="O985" s="2">
        <f t="shared" si="943"/>
        <v>6000000</v>
      </c>
      <c r="P985" s="2">
        <f t="shared" ca="1" si="944"/>
        <v>43118881.154074393</v>
      </c>
      <c r="Q985" s="2">
        <f t="shared" ca="1" si="945"/>
        <v>1077972.02885186</v>
      </c>
      <c r="R985" s="2">
        <f t="shared" ca="1" si="946"/>
        <v>25871328.692444634</v>
      </c>
      <c r="S985" s="2">
        <f t="shared" ca="1" si="947"/>
        <v>17247552.46162976</v>
      </c>
      <c r="T985" s="2">
        <f t="shared" ca="1" si="948"/>
        <v>51680224.858295567</v>
      </c>
      <c r="U985" s="2">
        <f t="shared" ca="1" si="949"/>
        <v>52563218.544490442</v>
      </c>
      <c r="V985" s="2">
        <f t="shared" ca="1" si="950"/>
        <v>53461298.810745634</v>
      </c>
      <c r="W985" s="2">
        <f t="shared" ca="1" si="951"/>
        <v>54374723.422095567</v>
      </c>
      <c r="X985" s="2">
        <f t="shared" ca="1" si="952"/>
        <v>55303754.547675043</v>
      </c>
      <c r="Y985" s="2">
        <f t="shared" ca="1" si="953"/>
        <v>0.12579539945730073</v>
      </c>
      <c r="Z985" s="2">
        <f t="shared" ca="1" si="954"/>
        <v>0.128113559240221</v>
      </c>
      <c r="AA985" s="2">
        <f t="shared" ca="1" si="955"/>
        <v>6501134.5300924135</v>
      </c>
      <c r="AB985" s="2">
        <f t="shared" ca="1" si="956"/>
        <v>6734061.012856259</v>
      </c>
      <c r="AC985" s="2">
        <f t="shared" ca="1" si="957"/>
        <v>6849117.2722496176</v>
      </c>
      <c r="AD985" s="2">
        <f t="shared" ca="1" si="958"/>
        <v>6966139.3503072727</v>
      </c>
      <c r="AE985" s="2">
        <f t="shared" ca="1" si="959"/>
        <v>7085160.8344502077</v>
      </c>
      <c r="AF985" s="2">
        <f t="shared" ca="1" si="960"/>
        <v>1033604.4971659114</v>
      </c>
      <c r="AG985" s="2">
        <f t="shared" ca="1" si="961"/>
        <v>1051264.3708898087</v>
      </c>
      <c r="AH985" s="2">
        <f t="shared" ca="1" si="962"/>
        <v>1069225.9762149127</v>
      </c>
      <c r="AI985" s="2">
        <f t="shared" ca="1" si="963"/>
        <v>1087494.4684419113</v>
      </c>
      <c r="AJ985" s="2">
        <f t="shared" ca="1" si="964"/>
        <v>1106075.0909535009</v>
      </c>
      <c r="AK985" s="2">
        <f t="shared" ca="1" si="965"/>
        <v>0</v>
      </c>
      <c r="AL985" s="2">
        <f t="shared" ca="1" si="966"/>
        <v>8829.9368619487432</v>
      </c>
      <c r="AM985" s="2">
        <f t="shared" ca="1" si="967"/>
        <v>8980.8026625519251</v>
      </c>
      <c r="AN985" s="2">
        <f t="shared" ca="1" si="968"/>
        <v>9134.2461134993282</v>
      </c>
      <c r="AO985" s="2">
        <f t="shared" ca="1" si="969"/>
        <v>9290.3112557947643</v>
      </c>
      <c r="AP985" s="2">
        <f t="shared" ca="1" si="970"/>
        <v>2328419.5823200168</v>
      </c>
      <c r="AQ985" s="2">
        <f t="shared" ca="1" si="971"/>
        <v>816168.71715768613</v>
      </c>
      <c r="AR985" s="2">
        <f t="shared" ca="1" si="972"/>
        <v>872138.0355080727</v>
      </c>
      <c r="AS985" s="2">
        <f t="shared" ca="1" si="973"/>
        <v>897382.64556581888</v>
      </c>
      <c r="AT985" s="2">
        <f t="shared" ca="1" si="974"/>
        <v>923058.57788178965</v>
      </c>
      <c r="AU985" s="2">
        <f t="shared" ca="1" si="975"/>
        <v>949173.20190593938</v>
      </c>
      <c r="AV985" s="2">
        <f t="shared" ca="1" si="976"/>
        <v>2322941.7334487988</v>
      </c>
      <c r="AW985" s="2">
        <f t="shared" ca="1" si="977"/>
        <v>2473409.0872764112</v>
      </c>
      <c r="AX985" s="2">
        <f t="shared" ca="1" si="978"/>
        <v>2545108.2654863168</v>
      </c>
      <c r="AY985" s="2">
        <f t="shared" ca="1" si="979"/>
        <v>2618032.4755500555</v>
      </c>
      <c r="AZ985" s="2">
        <f t="shared" ca="1" si="980"/>
        <v>2692202.6480149552</v>
      </c>
      <c r="BA985" s="2">
        <f t="shared" ca="1" si="981"/>
        <v>53624572.153905101</v>
      </c>
      <c r="BB985" s="2">
        <f t="shared" ca="1" si="982"/>
        <v>1072491.4430781021</v>
      </c>
      <c r="BC985" s="2">
        <f t="shared" ca="1" si="983"/>
        <v>26680752.018382367</v>
      </c>
      <c r="BD985" s="2">
        <f t="shared" ca="1" si="984"/>
        <v>-18825524.490481619</v>
      </c>
      <c r="BE985" s="2">
        <f t="shared" ca="1" si="985"/>
        <v>2322941.7334487988</v>
      </c>
      <c r="BF985" s="2">
        <f t="shared" ca="1" si="986"/>
        <v>2473409.0872764112</v>
      </c>
      <c r="BG985" s="2">
        <f t="shared" ca="1" si="987"/>
        <v>2545108.2654863168</v>
      </c>
      <c r="BH985" s="2">
        <f t="shared" ca="1" si="988"/>
        <v>2618032.4755500555</v>
      </c>
      <c r="BI985" s="2">
        <f t="shared" ca="1" si="989"/>
        <v>29372954.666397322</v>
      </c>
      <c r="BJ985" s="2">
        <f t="shared" ca="1" si="990"/>
        <v>0.18996462515411494</v>
      </c>
      <c r="BK985" s="2">
        <f t="shared" ca="1" si="991"/>
        <v>5362685.2792265154</v>
      </c>
    </row>
    <row r="986" spans="1:63" x14ac:dyDescent="0.3">
      <c r="A986" s="2">
        <v>985</v>
      </c>
      <c r="B986" s="2">
        <f t="shared" ca="1" si="930"/>
        <v>0.71692566104676192</v>
      </c>
      <c r="C986" s="2">
        <f t="shared" ca="1" si="931"/>
        <v>7.2475714798690341</v>
      </c>
      <c r="D986" s="2">
        <f t="shared" ca="1" si="932"/>
        <v>0.97426031379301636</v>
      </c>
      <c r="E986" s="2">
        <f t="shared" ca="1" si="933"/>
        <v>8.2731093381957574</v>
      </c>
      <c r="F986" s="2">
        <f t="shared" ca="1" si="934"/>
        <v>0.30362665537556111</v>
      </c>
      <c r="G986" s="2">
        <f t="shared" ca="1" si="935"/>
        <v>2.4580056643762158E-2</v>
      </c>
      <c r="H986" s="2">
        <f t="shared" ca="1" si="936"/>
        <v>2.4580056643762158E-2</v>
      </c>
      <c r="I986" s="2">
        <f t="shared" ca="1" si="937"/>
        <v>0.88019323396295912</v>
      </c>
      <c r="J986" s="2">
        <f t="shared" ca="1" si="938"/>
        <v>1.5879766575544331E-2</v>
      </c>
      <c r="K986" s="2">
        <f t="shared" ca="1" si="939"/>
        <v>1.5879766575544331E-2</v>
      </c>
      <c r="L986" s="2">
        <f t="shared" ca="1" si="940"/>
        <v>0.62260171688637933</v>
      </c>
      <c r="M986" s="2">
        <f t="shared" ca="1" si="941"/>
        <v>6.2464204156574589E-3</v>
      </c>
      <c r="N986" s="2">
        <f t="shared" ca="1" si="942"/>
        <v>6.2464204156574589E-3</v>
      </c>
      <c r="O986" s="2">
        <f t="shared" si="943"/>
        <v>6000000</v>
      </c>
      <c r="P986" s="2">
        <f t="shared" ca="1" si="944"/>
        <v>43485428.879214205</v>
      </c>
      <c r="Q986" s="2">
        <f t="shared" ca="1" si="945"/>
        <v>1087135.7219803552</v>
      </c>
      <c r="R986" s="2">
        <f t="shared" ca="1" si="946"/>
        <v>26091257.327528521</v>
      </c>
      <c r="S986" s="2">
        <f t="shared" ca="1" si="947"/>
        <v>17394171.551685683</v>
      </c>
      <c r="T986" s="2">
        <f t="shared" ca="1" si="948"/>
        <v>50312321.020782866</v>
      </c>
      <c r="U986" s="2">
        <f t="shared" ca="1" si="949"/>
        <v>51549000.721352853</v>
      </c>
      <c r="V986" s="2">
        <f t="shared" ca="1" si="950"/>
        <v>52816078.079013042</v>
      </c>
      <c r="W986" s="2">
        <f t="shared" ca="1" si="951"/>
        <v>54114300.269896552</v>
      </c>
      <c r="X986" s="2">
        <f t="shared" ca="1" si="952"/>
        <v>55444432.835768163</v>
      </c>
      <c r="Y986" s="2">
        <f t="shared" ca="1" si="953"/>
        <v>0.12793988328777217</v>
      </c>
      <c r="Z986" s="2">
        <f t="shared" ca="1" si="954"/>
        <v>0.13111583660288104</v>
      </c>
      <c r="AA986" s="2">
        <f t="shared" ca="1" si="955"/>
        <v>6436952.4793358864</v>
      </c>
      <c r="AB986" s="2">
        <f t="shared" ca="1" si="956"/>
        <v>6758890.3556226976</v>
      </c>
      <c r="AC986" s="2">
        <f t="shared" ca="1" si="957"/>
        <v>6925024.2634128807</v>
      </c>
      <c r="AD986" s="2">
        <f t="shared" ca="1" si="958"/>
        <v>7095241.7520669978</v>
      </c>
      <c r="AE986" s="2">
        <f t="shared" ca="1" si="959"/>
        <v>7269643.1962339906</v>
      </c>
      <c r="AF986" s="2">
        <f t="shared" ca="1" si="960"/>
        <v>1006246.4204156573</v>
      </c>
      <c r="AG986" s="2">
        <f t="shared" ca="1" si="961"/>
        <v>1030980.0144270571</v>
      </c>
      <c r="AH986" s="2">
        <f t="shared" ca="1" si="962"/>
        <v>1056321.5615802607</v>
      </c>
      <c r="AI986" s="2">
        <f t="shared" ca="1" si="963"/>
        <v>1082286.005397931</v>
      </c>
      <c r="AJ986" s="2">
        <f t="shared" ca="1" si="964"/>
        <v>1108888.6567153633</v>
      </c>
      <c r="AK986" s="2">
        <f t="shared" ca="1" si="965"/>
        <v>0</v>
      </c>
      <c r="AL986" s="2">
        <f t="shared" ca="1" si="966"/>
        <v>12366.797005699873</v>
      </c>
      <c r="AM986" s="2">
        <f t="shared" ca="1" si="967"/>
        <v>12670.773576601892</v>
      </c>
      <c r="AN986" s="2">
        <f t="shared" ca="1" si="968"/>
        <v>12982.221908835098</v>
      </c>
      <c r="AO986" s="2">
        <f t="shared" ca="1" si="969"/>
        <v>13301.325658716112</v>
      </c>
      <c r="AP986" s="2">
        <f t="shared" ca="1" si="970"/>
        <v>2348213.1594775668</v>
      </c>
      <c r="AQ986" s="2">
        <f t="shared" ca="1" si="971"/>
        <v>801448.15385509213</v>
      </c>
      <c r="AR986" s="2">
        <f t="shared" ca="1" si="972"/>
        <v>878721.26724669908</v>
      </c>
      <c r="AS986" s="2">
        <f t="shared" ca="1" si="973"/>
        <v>915327.28101231402</v>
      </c>
      <c r="AT986" s="2">
        <f t="shared" ca="1" si="974"/>
        <v>952833.07266979013</v>
      </c>
      <c r="AU986" s="2">
        <f t="shared" ca="1" si="975"/>
        <v>991260.75881067582</v>
      </c>
      <c r="AV986" s="2">
        <f t="shared" ca="1" si="976"/>
        <v>2281044.7455875701</v>
      </c>
      <c r="AW986" s="2">
        <f t="shared" ca="1" si="977"/>
        <v>2488609.1174656744</v>
      </c>
      <c r="AX986" s="2">
        <f t="shared" ca="1" si="978"/>
        <v>2592491.4877661369</v>
      </c>
      <c r="AY986" s="2">
        <f t="shared" ca="1" si="979"/>
        <v>2698927.2926128753</v>
      </c>
      <c r="AZ986" s="2">
        <f t="shared" ca="1" si="980"/>
        <v>2807979.2955716685</v>
      </c>
      <c r="BA986" s="2">
        <f t="shared" ca="1" si="981"/>
        <v>60142553.012114681</v>
      </c>
      <c r="BB986" s="2">
        <f t="shared" ca="1" si="982"/>
        <v>1202851.0602422936</v>
      </c>
      <c r="BC986" s="2">
        <f t="shared" ca="1" si="983"/>
        <v>32848444.624343865</v>
      </c>
      <c r="BD986" s="2">
        <f t="shared" ca="1" si="984"/>
        <v>-18981307.273666039</v>
      </c>
      <c r="BE986" s="2">
        <f t="shared" ca="1" si="985"/>
        <v>2281044.7455875701</v>
      </c>
      <c r="BF986" s="2">
        <f t="shared" ca="1" si="986"/>
        <v>2488609.1174656744</v>
      </c>
      <c r="BG986" s="2">
        <f t="shared" ca="1" si="987"/>
        <v>2592491.4877661369</v>
      </c>
      <c r="BH986" s="2">
        <f t="shared" ca="1" si="988"/>
        <v>2698927.2926128753</v>
      </c>
      <c r="BI986" s="2">
        <f t="shared" ca="1" si="989"/>
        <v>35656423.919915535</v>
      </c>
      <c r="BJ986" s="2">
        <f t="shared" ca="1" si="990"/>
        <v>0.22614927646961558</v>
      </c>
      <c r="BK986" s="2">
        <f t="shared" ca="1" si="991"/>
        <v>8832157.6040890068</v>
      </c>
    </row>
    <row r="987" spans="1:63" x14ac:dyDescent="0.3">
      <c r="A987" s="2">
        <v>986</v>
      </c>
      <c r="B987" s="2">
        <f t="shared" ca="1" si="930"/>
        <v>0.52243445522410703</v>
      </c>
      <c r="C987" s="2">
        <f t="shared" ca="1" si="931"/>
        <v>7.0226919167673962</v>
      </c>
      <c r="D987" s="2">
        <f t="shared" ca="1" si="932"/>
        <v>9.8974173537843324E-2</v>
      </c>
      <c r="E987" s="2">
        <f t="shared" ca="1" si="933"/>
        <v>6.9449138647824844</v>
      </c>
      <c r="F987" s="2">
        <f t="shared" ca="1" si="934"/>
        <v>0.95402151836857108</v>
      </c>
      <c r="G987" s="2">
        <f t="shared" ca="1" si="935"/>
        <v>9.0554915540850586E-2</v>
      </c>
      <c r="H987" s="2">
        <f t="shared" ca="1" si="936"/>
        <v>9.0554915540850586E-2</v>
      </c>
      <c r="I987" s="2">
        <f t="shared" ca="1" si="937"/>
        <v>0.51533855413494201</v>
      </c>
      <c r="J987" s="2">
        <f t="shared" ca="1" si="938"/>
        <v>1.0192287655240041E-2</v>
      </c>
      <c r="K987" s="2">
        <f t="shared" ca="1" si="939"/>
        <v>1.0192287655240041E-2</v>
      </c>
      <c r="L987" s="2">
        <f t="shared" ca="1" si="940"/>
        <v>0.96950513720889386</v>
      </c>
      <c r="M987" s="2">
        <f t="shared" ca="1" si="941"/>
        <v>3.7471398637881237E-2</v>
      </c>
      <c r="N987" s="2">
        <f t="shared" ca="1" si="942"/>
        <v>3.7471398637881237E-2</v>
      </c>
      <c r="O987" s="2">
        <f t="shared" si="943"/>
        <v>6000000</v>
      </c>
      <c r="P987" s="2">
        <f t="shared" ca="1" si="944"/>
        <v>42136151.500604376</v>
      </c>
      <c r="Q987" s="2">
        <f t="shared" ca="1" si="945"/>
        <v>1053403.7875151094</v>
      </c>
      <c r="R987" s="2">
        <f t="shared" ca="1" si="946"/>
        <v>25281690.900362626</v>
      </c>
      <c r="S987" s="2">
        <f t="shared" ca="1" si="947"/>
        <v>16854460.60024175</v>
      </c>
      <c r="T987" s="2">
        <f t="shared" ca="1" si="948"/>
        <v>51873569.931894056</v>
      </c>
      <c r="U987" s="2">
        <f t="shared" ca="1" si="949"/>
        <v>56570976.675879121</v>
      </c>
      <c r="V987" s="2">
        <f t="shared" ca="1" si="950"/>
        <v>61693756.690826781</v>
      </c>
      <c r="W987" s="2">
        <f t="shared" ca="1" si="951"/>
        <v>67280429.61736238</v>
      </c>
      <c r="X987" s="2">
        <f t="shared" ca="1" si="952"/>
        <v>73373003.238914773</v>
      </c>
      <c r="Y987" s="2">
        <f t="shared" ca="1" si="953"/>
        <v>0.12509614382762002</v>
      </c>
      <c r="Z987" s="2">
        <f t="shared" ca="1" si="954"/>
        <v>0.12713460135866803</v>
      </c>
      <c r="AA987" s="2">
        <f t="shared" ca="1" si="955"/>
        <v>6489183.565052324</v>
      </c>
      <c r="AB987" s="2">
        <f t="shared" ca="1" si="956"/>
        <v>7192128.5681583993</v>
      </c>
      <c r="AC987" s="2">
        <f t="shared" ca="1" si="957"/>
        <v>7843411.163206921</v>
      </c>
      <c r="AD987" s="2">
        <f t="shared" ca="1" si="958"/>
        <v>8553670.598643288</v>
      </c>
      <c r="AE987" s="2">
        <f t="shared" ca="1" si="959"/>
        <v>9328247.5172676872</v>
      </c>
      <c r="AF987" s="2">
        <f t="shared" ca="1" si="960"/>
        <v>1037471.3986378812</v>
      </c>
      <c r="AG987" s="2">
        <f t="shared" ca="1" si="961"/>
        <v>1131419.5335175823</v>
      </c>
      <c r="AH987" s="2">
        <f t="shared" ca="1" si="962"/>
        <v>1233875.1338165356</v>
      </c>
      <c r="AI987" s="2">
        <f t="shared" ca="1" si="963"/>
        <v>1345608.5923472475</v>
      </c>
      <c r="AJ987" s="2">
        <f t="shared" ca="1" si="964"/>
        <v>1467460.0647782956</v>
      </c>
      <c r="AK987" s="2">
        <f t="shared" ca="1" si="965"/>
        <v>0</v>
      </c>
      <c r="AL987" s="2">
        <f t="shared" ca="1" si="966"/>
        <v>46974.067439850645</v>
      </c>
      <c r="AM987" s="2">
        <f t="shared" ca="1" si="967"/>
        <v>51227.800149476607</v>
      </c>
      <c r="AN987" s="2">
        <f t="shared" ca="1" si="968"/>
        <v>55866.729265355993</v>
      </c>
      <c r="AO987" s="2">
        <f t="shared" ca="1" si="969"/>
        <v>60925.736215523932</v>
      </c>
      <c r="AP987" s="2">
        <f t="shared" ca="1" si="970"/>
        <v>2275352.1810326362</v>
      </c>
      <c r="AQ987" s="2">
        <f t="shared" ca="1" si="971"/>
        <v>825853.59619926964</v>
      </c>
      <c r="AR987" s="2">
        <f t="shared" ca="1" si="972"/>
        <v>984192.78193812701</v>
      </c>
      <c r="AS987" s="2">
        <f t="shared" ca="1" si="973"/>
        <v>1126887.8005730149</v>
      </c>
      <c r="AT987" s="2">
        <f t="shared" ca="1" si="974"/>
        <v>1282504.5545684851</v>
      </c>
      <c r="AU987" s="2">
        <f t="shared" ca="1" si="975"/>
        <v>1452213.1705787566</v>
      </c>
      <c r="AV987" s="2">
        <f t="shared" ca="1" si="976"/>
        <v>2350506.3891825369</v>
      </c>
      <c r="AW987" s="2">
        <f t="shared" ca="1" si="977"/>
        <v>2754190.0042302031</v>
      </c>
      <c r="AX987" s="2">
        <f t="shared" ca="1" si="978"/>
        <v>3156068.2476352584</v>
      </c>
      <c r="AY987" s="2">
        <f t="shared" ca="1" si="979"/>
        <v>3594338.5414295625</v>
      </c>
      <c r="AZ987" s="2">
        <f t="shared" ca="1" si="980"/>
        <v>4072296.364662475</v>
      </c>
      <c r="BA987" s="2">
        <f t="shared" ca="1" si="981"/>
        <v>64783875.516795151</v>
      </c>
      <c r="BB987" s="2">
        <f t="shared" ca="1" si="982"/>
        <v>1295677.5103359031</v>
      </c>
      <c r="BC987" s="2">
        <f t="shared" ca="1" si="983"/>
        <v>38206507.106096625</v>
      </c>
      <c r="BD987" s="2">
        <f t="shared" ca="1" si="984"/>
        <v>-18407864.387756862</v>
      </c>
      <c r="BE987" s="2">
        <f t="shared" ca="1" si="985"/>
        <v>2350506.3891825369</v>
      </c>
      <c r="BF987" s="2">
        <f t="shared" ca="1" si="986"/>
        <v>2754190.0042302031</v>
      </c>
      <c r="BG987" s="2">
        <f t="shared" ca="1" si="987"/>
        <v>3156068.2476352584</v>
      </c>
      <c r="BH987" s="2">
        <f t="shared" ca="1" si="988"/>
        <v>3594338.5414295625</v>
      </c>
      <c r="BI987" s="2">
        <f t="shared" ca="1" si="989"/>
        <v>42278803.470759101</v>
      </c>
      <c r="BJ987" s="2">
        <f t="shared" ca="1" si="990"/>
        <v>0.28435554094408788</v>
      </c>
      <c r="BK987" s="2">
        <f t="shared" ca="1" si="991"/>
        <v>14407248.119501684</v>
      </c>
    </row>
    <row r="988" spans="1:63" x14ac:dyDescent="0.3">
      <c r="A988" s="2">
        <v>987</v>
      </c>
      <c r="B988" s="2">
        <f t="shared" ca="1" si="930"/>
        <v>0.96517737247735647</v>
      </c>
      <c r="C988" s="2">
        <f t="shared" ca="1" si="931"/>
        <v>7.7360961253689382</v>
      </c>
      <c r="D988" s="2">
        <f t="shared" ca="1" si="932"/>
        <v>0.18207777745185916</v>
      </c>
      <c r="E988" s="2">
        <f t="shared" ca="1" si="933"/>
        <v>7.103453026261132</v>
      </c>
      <c r="F988" s="2">
        <f t="shared" ca="1" si="934"/>
        <v>0.11316729591176189</v>
      </c>
      <c r="G988" s="2">
        <f t="shared" ca="1" si="935"/>
        <v>3.7043542687386286E-3</v>
      </c>
      <c r="H988" s="2">
        <f t="shared" ca="1" si="936"/>
        <v>3.7043542687386286E-3</v>
      </c>
      <c r="I988" s="2">
        <f t="shared" ca="1" si="937"/>
        <v>0.93910881344723063</v>
      </c>
      <c r="J988" s="2">
        <f t="shared" ca="1" si="938"/>
        <v>1.7736677345263754E-2</v>
      </c>
      <c r="K988" s="2">
        <f t="shared" ca="1" si="939"/>
        <v>1.7736677345263754E-2</v>
      </c>
      <c r="L988" s="2">
        <f t="shared" ca="1" si="940"/>
        <v>0.26159659028473958</v>
      </c>
      <c r="M988" s="2">
        <f t="shared" ca="1" si="941"/>
        <v>-1.2768619265430632E-2</v>
      </c>
      <c r="N988" s="2">
        <f t="shared" ca="1" si="942"/>
        <v>-1.2768619265430632E-2</v>
      </c>
      <c r="O988" s="2">
        <f t="shared" si="943"/>
        <v>6000000</v>
      </c>
      <c r="P988" s="2">
        <f t="shared" ca="1" si="944"/>
        <v>46416576.752213627</v>
      </c>
      <c r="Q988" s="2">
        <f t="shared" ca="1" si="945"/>
        <v>1160414.4188053408</v>
      </c>
      <c r="R988" s="2">
        <f t="shared" ca="1" si="946"/>
        <v>27849946.051328175</v>
      </c>
      <c r="S988" s="2">
        <f t="shared" ca="1" si="947"/>
        <v>18566630.700885452</v>
      </c>
      <c r="T988" s="2">
        <f t="shared" ca="1" si="948"/>
        <v>49361569.036728472</v>
      </c>
      <c r="U988" s="2">
        <f t="shared" ca="1" si="949"/>
        <v>49544421.775701314</v>
      </c>
      <c r="V988" s="2">
        <f t="shared" ca="1" si="950"/>
        <v>49727951.865998328</v>
      </c>
      <c r="W988" s="2">
        <f t="shared" ca="1" si="951"/>
        <v>49912161.816768773</v>
      </c>
      <c r="X988" s="2">
        <f t="shared" ca="1" si="952"/>
        <v>50097054.146456696</v>
      </c>
      <c r="Y988" s="2">
        <f t="shared" ca="1" si="953"/>
        <v>0.12886833867263187</v>
      </c>
      <c r="Z988" s="2">
        <f t="shared" ca="1" si="954"/>
        <v>0.13241567414168462</v>
      </c>
      <c r="AA988" s="2">
        <f t="shared" ca="1" si="955"/>
        <v>6361143.3960376233</v>
      </c>
      <c r="AB988" s="2">
        <f t="shared" ca="1" si="956"/>
        <v>6560458.0093894489</v>
      </c>
      <c r="AC988" s="2">
        <f t="shared" ca="1" si="957"/>
        <v>6584760.2700214125</v>
      </c>
      <c r="AD988" s="2">
        <f t="shared" ca="1" si="958"/>
        <v>6609152.5548362872</v>
      </c>
      <c r="AE988" s="2">
        <f t="shared" ca="1" si="959"/>
        <v>6633635.1973155402</v>
      </c>
      <c r="AF988" s="2">
        <f t="shared" ca="1" si="960"/>
        <v>987231.38073456939</v>
      </c>
      <c r="AG988" s="2">
        <f t="shared" ca="1" si="961"/>
        <v>990888.43551402632</v>
      </c>
      <c r="AH988" s="2">
        <f t="shared" ca="1" si="962"/>
        <v>994559.03731996659</v>
      </c>
      <c r="AI988" s="2">
        <f t="shared" ca="1" si="963"/>
        <v>998243.23633537546</v>
      </c>
      <c r="AJ988" s="2">
        <f t="shared" ca="1" si="964"/>
        <v>1001941.0829291339</v>
      </c>
      <c r="AK988" s="2">
        <f t="shared" ca="1" si="965"/>
        <v>0</v>
      </c>
      <c r="AL988" s="2">
        <f t="shared" ca="1" si="966"/>
        <v>1828.5273897284269</v>
      </c>
      <c r="AM988" s="2">
        <f t="shared" ca="1" si="967"/>
        <v>1835.3009029701352</v>
      </c>
      <c r="AN988" s="2">
        <f t="shared" ca="1" si="968"/>
        <v>1842.0995077044518</v>
      </c>
      <c r="AO988" s="2">
        <f t="shared" ca="1" si="969"/>
        <v>1848.9232968792319</v>
      </c>
      <c r="AP988" s="2">
        <f t="shared" ca="1" si="970"/>
        <v>2506495.1446195357</v>
      </c>
      <c r="AQ988" s="2">
        <f t="shared" ca="1" si="971"/>
        <v>745528.38637771481</v>
      </c>
      <c r="AR988" s="2">
        <f t="shared" ca="1" si="972"/>
        <v>796399.3516065306</v>
      </c>
      <c r="AS988" s="2">
        <f t="shared" ca="1" si="973"/>
        <v>801763.58290129667</v>
      </c>
      <c r="AT988" s="2">
        <f t="shared" ca="1" si="974"/>
        <v>807147.68520915788</v>
      </c>
      <c r="AU988" s="2">
        <f t="shared" ca="1" si="975"/>
        <v>812551.73213938624</v>
      </c>
      <c r="AV988" s="2">
        <f t="shared" ca="1" si="976"/>
        <v>2121888.4843058037</v>
      </c>
      <c r="AW988" s="2">
        <f t="shared" ca="1" si="977"/>
        <v>2264846.5502596274</v>
      </c>
      <c r="AX988" s="2">
        <f t="shared" ca="1" si="978"/>
        <v>2280107.2042776439</v>
      </c>
      <c r="AY988" s="2">
        <f t="shared" ca="1" si="979"/>
        <v>2295424.3891645139</v>
      </c>
      <c r="AZ988" s="2">
        <f t="shared" ca="1" si="980"/>
        <v>2310798.3143306049</v>
      </c>
      <c r="BA988" s="2">
        <f t="shared" ca="1" si="981"/>
        <v>47121716.017483436</v>
      </c>
      <c r="BB988" s="2">
        <f t="shared" ca="1" si="982"/>
        <v>942434.32034966873</v>
      </c>
      <c r="BC988" s="2">
        <f t="shared" ca="1" si="983"/>
        <v>18329335.645805594</v>
      </c>
      <c r="BD988" s="2">
        <f t="shared" ca="1" si="984"/>
        <v>-20227045.119690794</v>
      </c>
      <c r="BE988" s="2">
        <f t="shared" ca="1" si="985"/>
        <v>2121888.4843058037</v>
      </c>
      <c r="BF988" s="2">
        <f t="shared" ca="1" si="986"/>
        <v>2264846.5502596274</v>
      </c>
      <c r="BG988" s="2">
        <f t="shared" ca="1" si="987"/>
        <v>2280107.2042776439</v>
      </c>
      <c r="BH988" s="2">
        <f t="shared" ca="1" si="988"/>
        <v>2295424.3891645139</v>
      </c>
      <c r="BI988" s="2">
        <f t="shared" ca="1" si="989"/>
        <v>20640133.960136198</v>
      </c>
      <c r="BJ988" s="2">
        <f t="shared" ca="1" si="990"/>
        <v>9.5584045390658678E-2</v>
      </c>
      <c r="BK988" s="2">
        <f t="shared" ca="1" si="991"/>
        <v>-1733494.7442344613</v>
      </c>
    </row>
    <row r="989" spans="1:63" x14ac:dyDescent="0.3">
      <c r="A989" s="2">
        <v>988</v>
      </c>
      <c r="B989" s="2">
        <f t="shared" ca="1" si="930"/>
        <v>0.76763604737766933</v>
      </c>
      <c r="C989" s="2">
        <f t="shared" ca="1" si="931"/>
        <v>7.3182904538994178</v>
      </c>
      <c r="D989" s="2">
        <f t="shared" ca="1" si="932"/>
        <v>8.6476506045192858E-2</v>
      </c>
      <c r="E989" s="2">
        <f t="shared" ca="1" si="933"/>
        <v>6.9158761980330032</v>
      </c>
      <c r="F989" s="2">
        <f t="shared" ca="1" si="934"/>
        <v>0.41948500523108145</v>
      </c>
      <c r="G989" s="2">
        <f t="shared" ca="1" si="935"/>
        <v>3.3903665970064889E-2</v>
      </c>
      <c r="H989" s="2">
        <f t="shared" ca="1" si="936"/>
        <v>3.3903665970064889E-2</v>
      </c>
      <c r="I989" s="2">
        <f t="shared" ca="1" si="937"/>
        <v>0.29818630021974446</v>
      </c>
      <c r="J989" s="2">
        <f t="shared" ca="1" si="938"/>
        <v>7.3518796362669336E-3</v>
      </c>
      <c r="K989" s="2">
        <f t="shared" ca="1" si="939"/>
        <v>7.3518796362669336E-3</v>
      </c>
      <c r="L989" s="2">
        <f t="shared" ca="1" si="940"/>
        <v>0.88450768839400884</v>
      </c>
      <c r="M989" s="2">
        <f t="shared" ca="1" si="941"/>
        <v>2.3956527181710097E-2</v>
      </c>
      <c r="N989" s="2">
        <f t="shared" ca="1" si="942"/>
        <v>2.3956527181710097E-2</v>
      </c>
      <c r="O989" s="2">
        <f t="shared" si="943"/>
        <v>6000000</v>
      </c>
      <c r="P989" s="2">
        <f t="shared" ca="1" si="944"/>
        <v>43909742.72339651</v>
      </c>
      <c r="Q989" s="2">
        <f t="shared" ca="1" si="945"/>
        <v>1097743.5680849128</v>
      </c>
      <c r="R989" s="2">
        <f t="shared" ca="1" si="946"/>
        <v>26345845.634037904</v>
      </c>
      <c r="S989" s="2">
        <f t="shared" ca="1" si="947"/>
        <v>17563897.089358605</v>
      </c>
      <c r="T989" s="2">
        <f t="shared" ca="1" si="948"/>
        <v>51197826.359085508</v>
      </c>
      <c r="U989" s="2">
        <f t="shared" ca="1" si="949"/>
        <v>52933620.362357326</v>
      </c>
      <c r="V989" s="2">
        <f t="shared" ca="1" si="950"/>
        <v>54728264.145708911</v>
      </c>
      <c r="W989" s="2">
        <f t="shared" ca="1" si="951"/>
        <v>56583752.932426505</v>
      </c>
      <c r="X989" s="2">
        <f t="shared" ca="1" si="952"/>
        <v>58502149.591180176</v>
      </c>
      <c r="Y989" s="2">
        <f t="shared" ca="1" si="953"/>
        <v>0.12367593981813346</v>
      </c>
      <c r="Z989" s="2">
        <f t="shared" ca="1" si="954"/>
        <v>0.12514631574538684</v>
      </c>
      <c r="AA989" s="2">
        <f t="shared" ca="1" si="955"/>
        <v>6331939.2916055061</v>
      </c>
      <c r="AB989" s="2">
        <f t="shared" ca="1" si="956"/>
        <v>6624447.5674140081</v>
      </c>
      <c r="AC989" s="2">
        <f t="shared" ca="1" si="957"/>
        <v>6849040.624975821</v>
      </c>
      <c r="AD989" s="2">
        <f t="shared" ca="1" si="958"/>
        <v>7081248.2105404064</v>
      </c>
      <c r="AE989" s="2">
        <f t="shared" ca="1" si="959"/>
        <v>7321328.484521688</v>
      </c>
      <c r="AF989" s="2">
        <f t="shared" ca="1" si="960"/>
        <v>1023956.5271817102</v>
      </c>
      <c r="AG989" s="2">
        <f t="shared" ca="1" si="961"/>
        <v>1058672.4072471466</v>
      </c>
      <c r="AH989" s="2">
        <f t="shared" ca="1" si="962"/>
        <v>1094565.2829141782</v>
      </c>
      <c r="AI989" s="2">
        <f t="shared" ca="1" si="963"/>
        <v>1131675.0586485302</v>
      </c>
      <c r="AJ989" s="2">
        <f t="shared" ca="1" si="964"/>
        <v>1170042.9918236036</v>
      </c>
      <c r="AK989" s="2">
        <f t="shared" ca="1" si="965"/>
        <v>0</v>
      </c>
      <c r="AL989" s="2">
        <f t="shared" ca="1" si="966"/>
        <v>17357.940032718183</v>
      </c>
      <c r="AM989" s="2">
        <f t="shared" ca="1" si="967"/>
        <v>17946.437833515854</v>
      </c>
      <c r="AN989" s="2">
        <f t="shared" ca="1" si="968"/>
        <v>18554.887867175938</v>
      </c>
      <c r="AO989" s="2">
        <f t="shared" ca="1" si="969"/>
        <v>19183.966587536706</v>
      </c>
      <c r="AP989" s="2">
        <f t="shared" ca="1" si="970"/>
        <v>2371126.1070634113</v>
      </c>
      <c r="AQ989" s="2">
        <f t="shared" ca="1" si="971"/>
        <v>763582.73091370007</v>
      </c>
      <c r="AR989" s="2">
        <f t="shared" ca="1" si="972"/>
        <v>830608.75380689709</v>
      </c>
      <c r="AS989" s="2">
        <f t="shared" ca="1" si="973"/>
        <v>879670.8010995402</v>
      </c>
      <c r="AT989" s="2">
        <f t="shared" ca="1" si="974"/>
        <v>930396.23165540083</v>
      </c>
      <c r="AU989" s="2">
        <f t="shared" ca="1" si="975"/>
        <v>982841.44026501512</v>
      </c>
      <c r="AV989" s="2">
        <f t="shared" ca="1" si="976"/>
        <v>2173273.9264466851</v>
      </c>
      <c r="AW989" s="2">
        <f t="shared" ca="1" si="977"/>
        <v>2346682.359263835</v>
      </c>
      <c r="AX989" s="2">
        <f t="shared" ca="1" si="978"/>
        <v>2485731.9960651747</v>
      </c>
      <c r="AY989" s="2">
        <f t="shared" ca="1" si="979"/>
        <v>2629495.9253058876</v>
      </c>
      <c r="AZ989" s="2">
        <f t="shared" ca="1" si="980"/>
        <v>2778133.9787821216</v>
      </c>
      <c r="BA989" s="2">
        <f t="shared" ca="1" si="981"/>
        <v>50633401.404084578</v>
      </c>
      <c r="BB989" s="2">
        <f t="shared" ca="1" si="982"/>
        <v>1012668.0280816916</v>
      </c>
      <c r="BC989" s="2">
        <f t="shared" ca="1" si="983"/>
        <v>23274887.741964981</v>
      </c>
      <c r="BD989" s="2">
        <f t="shared" ca="1" si="984"/>
        <v>-19161640.65744352</v>
      </c>
      <c r="BE989" s="2">
        <f t="shared" ca="1" si="985"/>
        <v>2173273.9264466851</v>
      </c>
      <c r="BF989" s="2">
        <f t="shared" ca="1" si="986"/>
        <v>2346682.359263835</v>
      </c>
      <c r="BG989" s="2">
        <f t="shared" ca="1" si="987"/>
        <v>2485731.9960651747</v>
      </c>
      <c r="BH989" s="2">
        <f t="shared" ca="1" si="988"/>
        <v>2629495.9253058876</v>
      </c>
      <c r="BI989" s="2">
        <f t="shared" ca="1" si="989"/>
        <v>26053021.720747102</v>
      </c>
      <c r="BJ989" s="2">
        <f t="shared" ca="1" si="990"/>
        <v>0.15858802232949931</v>
      </c>
      <c r="BK989" s="2">
        <f t="shared" ca="1" si="991"/>
        <v>2873114.6312843263</v>
      </c>
    </row>
    <row r="990" spans="1:63" x14ac:dyDescent="0.3">
      <c r="A990" s="2">
        <v>989</v>
      </c>
      <c r="B990" s="2">
        <f t="shared" ca="1" si="930"/>
        <v>0.10017195268491275</v>
      </c>
      <c r="C990" s="2">
        <f t="shared" ca="1" si="931"/>
        <v>6.4475979282456803</v>
      </c>
      <c r="D990" s="2">
        <f t="shared" ca="1" si="932"/>
        <v>0.12583167051506305</v>
      </c>
      <c r="E990" s="2">
        <f t="shared" ca="1" si="933"/>
        <v>7.0016605834925905</v>
      </c>
      <c r="F990" s="2">
        <f t="shared" ca="1" si="934"/>
        <v>6.1692008888357686E-3</v>
      </c>
      <c r="G990" s="2">
        <f t="shared" ca="1" si="935"/>
        <v>-3.5069456289890076E-2</v>
      </c>
      <c r="H990" s="2">
        <f t="shared" ca="1" si="936"/>
        <v>-0.02</v>
      </c>
      <c r="I990" s="2">
        <f t="shared" ca="1" si="937"/>
        <v>0.22516276260859125</v>
      </c>
      <c r="J990" s="2">
        <f t="shared" ca="1" si="938"/>
        <v>6.2256378137111965E-3</v>
      </c>
      <c r="K990" s="2">
        <f t="shared" ca="1" si="939"/>
        <v>6.2256378137111965E-3</v>
      </c>
      <c r="L990" s="2">
        <f t="shared" ca="1" si="940"/>
        <v>0.9478091647439989</v>
      </c>
      <c r="M990" s="2">
        <f t="shared" ca="1" si="941"/>
        <v>3.2479450684067518E-2</v>
      </c>
      <c r="N990" s="2">
        <f t="shared" ca="1" si="942"/>
        <v>3.2479450684067518E-2</v>
      </c>
      <c r="O990" s="2">
        <f t="shared" si="943"/>
        <v>6000000</v>
      </c>
      <c r="P990" s="2">
        <f t="shared" ca="1" si="944"/>
        <v>38685587.569474079</v>
      </c>
      <c r="Q990" s="2">
        <f t="shared" ca="1" si="945"/>
        <v>967139.68923685199</v>
      </c>
      <c r="R990" s="2">
        <f t="shared" ca="1" si="946"/>
        <v>23211352.541684445</v>
      </c>
      <c r="S990" s="2">
        <f t="shared" ca="1" si="947"/>
        <v>15474235.027789632</v>
      </c>
      <c r="T990" s="2">
        <f t="shared" ca="1" si="948"/>
        <v>51623972.53420338</v>
      </c>
      <c r="U990" s="2">
        <f t="shared" ca="1" si="949"/>
        <v>50591493.08351931</v>
      </c>
      <c r="V990" s="2">
        <f t="shared" ca="1" si="950"/>
        <v>49579663.22184892</v>
      </c>
      <c r="W990" s="2">
        <f t="shared" ca="1" si="951"/>
        <v>48588069.957411937</v>
      </c>
      <c r="X990" s="2">
        <f t="shared" ca="1" si="952"/>
        <v>47616308.558263697</v>
      </c>
      <c r="Y990" s="2">
        <f t="shared" ca="1" si="953"/>
        <v>0.12311281890685559</v>
      </c>
      <c r="Z990" s="2">
        <f t="shared" ca="1" si="954"/>
        <v>0.12435794646959783</v>
      </c>
      <c r="AA990" s="2">
        <f t="shared" ca="1" si="955"/>
        <v>6355572.7818558672</v>
      </c>
      <c r="AB990" s="2">
        <f t="shared" ca="1" si="956"/>
        <v>6291454.1886973232</v>
      </c>
      <c r="AC990" s="2">
        <f t="shared" ca="1" si="957"/>
        <v>6165625.1049233759</v>
      </c>
      <c r="AD990" s="2">
        <f t="shared" ca="1" si="958"/>
        <v>6042312.6028249087</v>
      </c>
      <c r="AE990" s="2">
        <f t="shared" ca="1" si="959"/>
        <v>5921466.3507684097</v>
      </c>
      <c r="AF990" s="2">
        <f t="shared" ca="1" si="960"/>
        <v>1032479.4506840677</v>
      </c>
      <c r="AG990" s="2">
        <f t="shared" ca="1" si="961"/>
        <v>1011829.8616703862</v>
      </c>
      <c r="AH990" s="2">
        <f t="shared" ca="1" si="962"/>
        <v>991593.26443697838</v>
      </c>
      <c r="AI990" s="2">
        <f t="shared" ca="1" si="963"/>
        <v>971761.39914823882</v>
      </c>
      <c r="AJ990" s="2">
        <f t="shared" ca="1" si="964"/>
        <v>952326.17116527399</v>
      </c>
      <c r="AK990" s="2">
        <f t="shared" ca="1" si="965"/>
        <v>0</v>
      </c>
      <c r="AL990" s="2">
        <f t="shared" ca="1" si="966"/>
        <v>0</v>
      </c>
      <c r="AM990" s="2">
        <f t="shared" ca="1" si="967"/>
        <v>0</v>
      </c>
      <c r="AN990" s="2">
        <f t="shared" ca="1" si="968"/>
        <v>0</v>
      </c>
      <c r="AO990" s="2">
        <f t="shared" ca="1" si="969"/>
        <v>0</v>
      </c>
      <c r="AP990" s="2">
        <f t="shared" ca="1" si="970"/>
        <v>2089021.7287516</v>
      </c>
      <c r="AQ990" s="2">
        <f t="shared" ca="1" si="971"/>
        <v>840858.61662925198</v>
      </c>
      <c r="AR990" s="2">
        <f t="shared" ca="1" si="972"/>
        <v>829556.67555158772</v>
      </c>
      <c r="AS990" s="2">
        <f t="shared" ca="1" si="973"/>
        <v>802102.62905104761</v>
      </c>
      <c r="AT990" s="2">
        <f t="shared" ca="1" si="974"/>
        <v>775197.66348051827</v>
      </c>
      <c r="AU990" s="2">
        <f t="shared" ca="1" si="975"/>
        <v>748830.79722139926</v>
      </c>
      <c r="AV990" s="2">
        <f t="shared" ca="1" si="976"/>
        <v>2393212.9857909475</v>
      </c>
      <c r="AW990" s="2">
        <f t="shared" ca="1" si="977"/>
        <v>2361045.9227237497</v>
      </c>
      <c r="AX990" s="2">
        <f t="shared" ca="1" si="978"/>
        <v>2282907.4826837508</v>
      </c>
      <c r="AY990" s="2">
        <f t="shared" ca="1" si="979"/>
        <v>2206331.8114445517</v>
      </c>
      <c r="AZ990" s="2">
        <f t="shared" ca="1" si="980"/>
        <v>2131287.6536301365</v>
      </c>
      <c r="BA990" s="2">
        <f t="shared" ca="1" si="981"/>
        <v>41460097.544652887</v>
      </c>
      <c r="BB990" s="2">
        <f t="shared" ca="1" si="982"/>
        <v>829201.95089305774</v>
      </c>
      <c r="BC990" s="2">
        <f t="shared" ca="1" si="983"/>
        <v>17419543.052075382</v>
      </c>
      <c r="BD990" s="2">
        <f t="shared" ca="1" si="984"/>
        <v>-16941374.717026483</v>
      </c>
      <c r="BE990" s="2">
        <f t="shared" ca="1" si="985"/>
        <v>2393212.9857909475</v>
      </c>
      <c r="BF990" s="2">
        <f t="shared" ca="1" si="986"/>
        <v>2361045.9227237497</v>
      </c>
      <c r="BG990" s="2">
        <f t="shared" ca="1" si="987"/>
        <v>2282907.4826837508</v>
      </c>
      <c r="BH990" s="2">
        <f t="shared" ca="1" si="988"/>
        <v>2206331.8114445517</v>
      </c>
      <c r="BI990" s="2">
        <f t="shared" ca="1" si="989"/>
        <v>19550830.70570552</v>
      </c>
      <c r="BJ990" s="2">
        <f t="shared" ca="1" si="990"/>
        <v>0.13958797226437358</v>
      </c>
      <c r="BK990" s="2">
        <f t="shared" ca="1" si="991"/>
        <v>1198392.546845153</v>
      </c>
    </row>
    <row r="991" spans="1:63" x14ac:dyDescent="0.3">
      <c r="A991" s="2">
        <v>990</v>
      </c>
      <c r="B991" s="2">
        <f t="shared" ca="1" si="930"/>
        <v>0.46434398225247686</v>
      </c>
      <c r="C991" s="2">
        <f t="shared" ca="1" si="931"/>
        <v>6.9636845772891425</v>
      </c>
      <c r="D991" s="2">
        <f t="shared" ca="1" si="932"/>
        <v>0.53560336287921761</v>
      </c>
      <c r="E991" s="2">
        <f t="shared" ca="1" si="933"/>
        <v>7.5362607851490298</v>
      </c>
      <c r="F991" s="2">
        <f t="shared" ca="1" si="934"/>
        <v>0.72848171361560532</v>
      </c>
      <c r="G991" s="2">
        <f t="shared" ca="1" si="935"/>
        <v>5.8246826140721283E-2</v>
      </c>
      <c r="H991" s="2">
        <f t="shared" ca="1" si="936"/>
        <v>5.8246826140721283E-2</v>
      </c>
      <c r="I991" s="2">
        <f t="shared" ca="1" si="937"/>
        <v>0.94579380854802075</v>
      </c>
      <c r="J991" s="2">
        <f t="shared" ca="1" si="938"/>
        <v>1.802685044499195E-2</v>
      </c>
      <c r="K991" s="2">
        <f t="shared" ca="1" si="939"/>
        <v>1.802685044499195E-2</v>
      </c>
      <c r="L991" s="2">
        <f t="shared" ca="1" si="940"/>
        <v>0.62629764921058839</v>
      </c>
      <c r="M991" s="2">
        <f t="shared" ca="1" si="941"/>
        <v>6.4412670284760059E-3</v>
      </c>
      <c r="N991" s="2">
        <f t="shared" ca="1" si="942"/>
        <v>6.4412670284760059E-3</v>
      </c>
      <c r="O991" s="2">
        <f t="shared" si="943"/>
        <v>6000000</v>
      </c>
      <c r="P991" s="2">
        <f t="shared" ca="1" si="944"/>
        <v>41782107.463734858</v>
      </c>
      <c r="Q991" s="2">
        <f t="shared" ca="1" si="945"/>
        <v>1044552.6865933714</v>
      </c>
      <c r="R991" s="2">
        <f t="shared" ca="1" si="946"/>
        <v>25069264.478240915</v>
      </c>
      <c r="S991" s="2">
        <f t="shared" ca="1" si="947"/>
        <v>16712842.985493943</v>
      </c>
      <c r="T991" s="2">
        <f t="shared" ca="1" si="948"/>
        <v>50322063.351423793</v>
      </c>
      <c r="U991" s="2">
        <f t="shared" ca="1" si="949"/>
        <v>53253163.826496534</v>
      </c>
      <c r="V991" s="2">
        <f t="shared" ca="1" si="950"/>
        <v>56354991.601341821</v>
      </c>
      <c r="W991" s="2">
        <f t="shared" ca="1" si="951"/>
        <v>59637490.999306984</v>
      </c>
      <c r="X991" s="2">
        <f t="shared" ca="1" si="952"/>
        <v>63111185.569012441</v>
      </c>
      <c r="Y991" s="2">
        <f t="shared" ca="1" si="953"/>
        <v>0.12901342522249598</v>
      </c>
      <c r="Z991" s="2">
        <f t="shared" ca="1" si="954"/>
        <v>0.13261879531149437</v>
      </c>
      <c r="AA991" s="2">
        <f t="shared" ca="1" si="955"/>
        <v>6492221.757230619</v>
      </c>
      <c r="AB991" s="2">
        <f t="shared" ca="1" si="956"/>
        <v>7062370.4331956198</v>
      </c>
      <c r="AC991" s="2">
        <f t="shared" ca="1" si="957"/>
        <v>7473731.0959593356</v>
      </c>
      <c r="AD991" s="2">
        <f t="shared" ca="1" si="958"/>
        <v>7909052.2117281808</v>
      </c>
      <c r="AE991" s="2">
        <f t="shared" ca="1" si="959"/>
        <v>8369729.4008425986</v>
      </c>
      <c r="AF991" s="2">
        <f t="shared" ca="1" si="960"/>
        <v>1006441.2670284759</v>
      </c>
      <c r="AG991" s="2">
        <f t="shared" ca="1" si="961"/>
        <v>1065063.2765299308</v>
      </c>
      <c r="AH991" s="2">
        <f t="shared" ca="1" si="962"/>
        <v>1127099.8320268365</v>
      </c>
      <c r="AI991" s="2">
        <f t="shared" ca="1" si="963"/>
        <v>1192749.8199861397</v>
      </c>
      <c r="AJ991" s="2">
        <f t="shared" ca="1" si="964"/>
        <v>1262223.7113802489</v>
      </c>
      <c r="AK991" s="2">
        <f t="shared" ca="1" si="965"/>
        <v>0</v>
      </c>
      <c r="AL991" s="2">
        <f t="shared" ca="1" si="966"/>
        <v>29311.004750727414</v>
      </c>
      <c r="AM991" s="2">
        <f t="shared" ca="1" si="967"/>
        <v>31018.277748452874</v>
      </c>
      <c r="AN991" s="2">
        <f t="shared" ca="1" si="968"/>
        <v>32824.993979651634</v>
      </c>
      <c r="AO991" s="2">
        <f t="shared" ca="1" si="969"/>
        <v>34736.945697054565</v>
      </c>
      <c r="AP991" s="2">
        <f t="shared" ca="1" si="970"/>
        <v>2256233.8030416821</v>
      </c>
      <c r="AQ991" s="2">
        <f t="shared" ca="1" si="971"/>
        <v>839682.13866171986</v>
      </c>
      <c r="AR991" s="2">
        <f t="shared" ca="1" si="972"/>
        <v>972679.07194224186</v>
      </c>
      <c r="AS991" s="2">
        <f t="shared" ca="1" si="973"/>
        <v>1063503.3398316125</v>
      </c>
      <c r="AT991" s="2">
        <f t="shared" ca="1" si="974"/>
        <v>1159617.8330620935</v>
      </c>
      <c r="AU991" s="2">
        <f t="shared" ca="1" si="975"/>
        <v>1261330.6904693735</v>
      </c>
      <c r="AV991" s="2">
        <f t="shared" ca="1" si="976"/>
        <v>2389864.5484987409</v>
      </c>
      <c r="AW991" s="2">
        <f t="shared" ca="1" si="977"/>
        <v>2739083.2769310377</v>
      </c>
      <c r="AX991" s="2">
        <f t="shared" ca="1" si="978"/>
        <v>2995875.8433107524</v>
      </c>
      <c r="AY991" s="2">
        <f t="shared" ca="1" si="979"/>
        <v>3267625.761658614</v>
      </c>
      <c r="AZ991" s="2">
        <f t="shared" ca="1" si="980"/>
        <v>3555204.2502542394</v>
      </c>
      <c r="BA991" s="2">
        <f t="shared" ca="1" si="981"/>
        <v>63076463.465878963</v>
      </c>
      <c r="BB991" s="2">
        <f t="shared" ca="1" si="982"/>
        <v>1261529.2693175792</v>
      </c>
      <c r="BC991" s="2">
        <f t="shared" ca="1" si="983"/>
        <v>36745669.718320467</v>
      </c>
      <c r="BD991" s="2">
        <f t="shared" ca="1" si="984"/>
        <v>-18257395.672087315</v>
      </c>
      <c r="BE991" s="2">
        <f t="shared" ca="1" si="985"/>
        <v>2389864.5484987409</v>
      </c>
      <c r="BF991" s="2">
        <f t="shared" ca="1" si="986"/>
        <v>2739083.2769310377</v>
      </c>
      <c r="BG991" s="2">
        <f t="shared" ca="1" si="987"/>
        <v>2995875.8433107524</v>
      </c>
      <c r="BH991" s="2">
        <f t="shared" ca="1" si="988"/>
        <v>3267625.761658614</v>
      </c>
      <c r="BI991" s="2">
        <f t="shared" ca="1" si="989"/>
        <v>40300873.968574703</v>
      </c>
      <c r="BJ991" s="2">
        <f t="shared" ca="1" si="990"/>
        <v>0.27405427084730283</v>
      </c>
      <c r="BK991" s="2">
        <f t="shared" ca="1" si="991"/>
        <v>13136831.072837885</v>
      </c>
    </row>
    <row r="992" spans="1:63" x14ac:dyDescent="0.3">
      <c r="A992" s="2">
        <v>991</v>
      </c>
      <c r="B992" s="2">
        <f t="shared" ca="1" si="930"/>
        <v>0.11644804564636746</v>
      </c>
      <c r="C992" s="2">
        <f t="shared" ca="1" si="931"/>
        <v>6.482593090805012</v>
      </c>
      <c r="D992" s="2">
        <f t="shared" ca="1" si="932"/>
        <v>0.43744666703550261</v>
      </c>
      <c r="E992" s="2">
        <f t="shared" ca="1" si="933"/>
        <v>7.4353573296184754</v>
      </c>
      <c r="F992" s="2">
        <f t="shared" ca="1" si="934"/>
        <v>0.45778205713668574</v>
      </c>
      <c r="G992" s="2">
        <f t="shared" ca="1" si="935"/>
        <v>3.6819310400801428E-2</v>
      </c>
      <c r="H992" s="2">
        <f t="shared" ca="1" si="936"/>
        <v>3.6819310400801428E-2</v>
      </c>
      <c r="I992" s="2">
        <f t="shared" ca="1" si="937"/>
        <v>0.9766350804873366</v>
      </c>
      <c r="J992" s="2">
        <f t="shared" ca="1" si="938"/>
        <v>1.9943703143496548E-2</v>
      </c>
      <c r="K992" s="2">
        <f t="shared" ca="1" si="939"/>
        <v>1.9943703143496548E-2</v>
      </c>
      <c r="L992" s="2">
        <f t="shared" ca="1" si="940"/>
        <v>9.4197257244497123E-2</v>
      </c>
      <c r="M992" s="2">
        <f t="shared" ca="1" si="941"/>
        <v>-2.6306868233241468E-2</v>
      </c>
      <c r="N992" s="2">
        <f t="shared" ca="1" si="942"/>
        <v>-2.6306868233241468E-2</v>
      </c>
      <c r="O992" s="2">
        <f t="shared" si="943"/>
        <v>6000000</v>
      </c>
      <c r="P992" s="2">
        <f t="shared" ca="1" si="944"/>
        <v>38895558.544830069</v>
      </c>
      <c r="Q992" s="2">
        <f t="shared" ca="1" si="945"/>
        <v>972388.96362075175</v>
      </c>
      <c r="R992" s="2">
        <f t="shared" ca="1" si="946"/>
        <v>23337335.126898039</v>
      </c>
      <c r="S992" s="2">
        <f t="shared" ca="1" si="947"/>
        <v>15558223.417932028</v>
      </c>
      <c r="T992" s="2">
        <f t="shared" ca="1" si="948"/>
        <v>48684656.588337928</v>
      </c>
      <c r="U992" s="2">
        <f t="shared" ca="1" si="949"/>
        <v>50477192.071020365</v>
      </c>
      <c r="V992" s="2">
        <f t="shared" ca="1" si="950"/>
        <v>52335727.474044137</v>
      </c>
      <c r="W992" s="2">
        <f t="shared" ca="1" si="951"/>
        <v>54262692.86896272</v>
      </c>
      <c r="X992" s="2">
        <f t="shared" ca="1" si="952"/>
        <v>56260607.800888412</v>
      </c>
      <c r="Y992" s="2">
        <f t="shared" ca="1" si="953"/>
        <v>0.12997185157174826</v>
      </c>
      <c r="Z992" s="2">
        <f t="shared" ca="1" si="954"/>
        <v>0.13396059220044759</v>
      </c>
      <c r="AA992" s="2">
        <f t="shared" ca="1" si="955"/>
        <v>6327634.9599209931</v>
      </c>
      <c r="AB992" s="2">
        <f t="shared" ca="1" si="956"/>
        <v>6761954.5424496261</v>
      </c>
      <c r="AC992" s="2">
        <f t="shared" ca="1" si="957"/>
        <v>7010925.0456641875</v>
      </c>
      <c r="AD992" s="2">
        <f t="shared" ca="1" si="958"/>
        <v>7269062.4711172506</v>
      </c>
      <c r="AE992" s="2">
        <f t="shared" ca="1" si="959"/>
        <v>7536704.3385641333</v>
      </c>
      <c r="AF992" s="2">
        <f t="shared" ca="1" si="960"/>
        <v>973693.13176675863</v>
      </c>
      <c r="AG992" s="2">
        <f t="shared" ca="1" si="961"/>
        <v>1009543.8414204073</v>
      </c>
      <c r="AH992" s="2">
        <f t="shared" ca="1" si="962"/>
        <v>1046714.5494808827</v>
      </c>
      <c r="AI992" s="2">
        <f t="shared" ca="1" si="963"/>
        <v>1085253.8573792544</v>
      </c>
      <c r="AJ992" s="2">
        <f t="shared" ca="1" si="964"/>
        <v>1125212.1560177682</v>
      </c>
      <c r="AK992" s="2">
        <f t="shared" ca="1" si="965"/>
        <v>0</v>
      </c>
      <c r="AL992" s="2">
        <f t="shared" ca="1" si="966"/>
        <v>17925.354826824369</v>
      </c>
      <c r="AM992" s="2">
        <f t="shared" ca="1" si="967"/>
        <v>18585.354030237719</v>
      </c>
      <c r="AN992" s="2">
        <f t="shared" ca="1" si="968"/>
        <v>19269.653949185835</v>
      </c>
      <c r="AO992" s="2">
        <f t="shared" ca="1" si="969"/>
        <v>19979.149319256918</v>
      </c>
      <c r="AP992" s="2">
        <f t="shared" ca="1" si="970"/>
        <v>2100360.1614208235</v>
      </c>
      <c r="AQ992" s="2">
        <f t="shared" ca="1" si="971"/>
        <v>845931.23335068685</v>
      </c>
      <c r="AR992" s="2">
        <f t="shared" ca="1" si="972"/>
        <v>949533.14029818273</v>
      </c>
      <c r="AS992" s="2">
        <f t="shared" ca="1" si="973"/>
        <v>1004601.0870382452</v>
      </c>
      <c r="AT992" s="2">
        <f t="shared" ca="1" si="974"/>
        <v>1061696.597602465</v>
      </c>
      <c r="AU992" s="2">
        <f t="shared" ca="1" si="975"/>
        <v>1120894.325492641</v>
      </c>
      <c r="AV992" s="2">
        <f t="shared" ca="1" si="976"/>
        <v>2407650.4333827239</v>
      </c>
      <c r="AW992" s="2">
        <f t="shared" ca="1" si="977"/>
        <v>2684592.0444833874</v>
      </c>
      <c r="AX992" s="2">
        <f t="shared" ca="1" si="978"/>
        <v>2840663.8936939989</v>
      </c>
      <c r="AY992" s="2">
        <f t="shared" ca="1" si="979"/>
        <v>3002482.2007655217</v>
      </c>
      <c r="AZ992" s="2">
        <f t="shared" ca="1" si="980"/>
        <v>3170258.5463136439</v>
      </c>
      <c r="BA992" s="2">
        <f t="shared" ca="1" si="981"/>
        <v>56038089.84491019</v>
      </c>
      <c r="BB992" s="2">
        <f t="shared" ca="1" si="982"/>
        <v>1120761.7968982039</v>
      </c>
      <c r="BC992" s="2">
        <f t="shared" ca="1" si="983"/>
        <v>31579992.921113946</v>
      </c>
      <c r="BD992" s="2">
        <f t="shared" ca="1" si="984"/>
        <v>-17030612.381552778</v>
      </c>
      <c r="BE992" s="2">
        <f t="shared" ca="1" si="985"/>
        <v>2407650.4333827239</v>
      </c>
      <c r="BF992" s="2">
        <f t="shared" ca="1" si="986"/>
        <v>2684592.0444833874</v>
      </c>
      <c r="BG992" s="2">
        <f t="shared" ca="1" si="987"/>
        <v>2840663.8936939989</v>
      </c>
      <c r="BH992" s="2">
        <f t="shared" ca="1" si="988"/>
        <v>3002482.2007655217</v>
      </c>
      <c r="BI992" s="2">
        <f t="shared" ca="1" si="989"/>
        <v>34750251.467427589</v>
      </c>
      <c r="BJ992" s="2">
        <f t="shared" ca="1" si="990"/>
        <v>0.26228789487159165</v>
      </c>
      <c r="BK992" s="2">
        <f t="shared" ca="1" si="991"/>
        <v>10907501.941456825</v>
      </c>
    </row>
    <row r="993" spans="1:63" x14ac:dyDescent="0.3">
      <c r="A993" s="2">
        <v>992</v>
      </c>
      <c r="B993" s="2">
        <f t="shared" ca="1" si="930"/>
        <v>0.20997395479756964</v>
      </c>
      <c r="C993" s="2">
        <f t="shared" ca="1" si="931"/>
        <v>6.6480338799747578</v>
      </c>
      <c r="D993" s="2">
        <f t="shared" ca="1" si="932"/>
        <v>0.77419555508714688</v>
      </c>
      <c r="E993" s="2">
        <f t="shared" ca="1" si="933"/>
        <v>7.8279814810396173</v>
      </c>
      <c r="F993" s="2">
        <f t="shared" ca="1" si="934"/>
        <v>0.20404348318239063</v>
      </c>
      <c r="G993" s="2">
        <f t="shared" ca="1" si="935"/>
        <v>1.5182054730826539E-2</v>
      </c>
      <c r="H993" s="2">
        <f t="shared" ca="1" si="936"/>
        <v>1.5182054730826539E-2</v>
      </c>
      <c r="I993" s="2">
        <f t="shared" ca="1" si="937"/>
        <v>0.52509109684102506</v>
      </c>
      <c r="J993" s="2">
        <f t="shared" ca="1" si="938"/>
        <v>1.0314677874448043E-2</v>
      </c>
      <c r="K993" s="2">
        <f t="shared" ca="1" si="939"/>
        <v>1.0314677874448043E-2</v>
      </c>
      <c r="L993" s="2">
        <f t="shared" ca="1" si="940"/>
        <v>0.20152817170724402</v>
      </c>
      <c r="M993" s="2">
        <f t="shared" ca="1" si="941"/>
        <v>-1.6723504162168383E-2</v>
      </c>
      <c r="N993" s="2">
        <f t="shared" ca="1" si="942"/>
        <v>-1.6723504162168383E-2</v>
      </c>
      <c r="O993" s="2">
        <f t="shared" si="943"/>
        <v>6000000</v>
      </c>
      <c r="P993" s="2">
        <f t="shared" ca="1" si="944"/>
        <v>39888203.279848546</v>
      </c>
      <c r="Q993" s="2">
        <f t="shared" ca="1" si="945"/>
        <v>997205.08199621364</v>
      </c>
      <c r="R993" s="2">
        <f t="shared" ca="1" si="946"/>
        <v>23932921.967909127</v>
      </c>
      <c r="S993" s="2">
        <f t="shared" ca="1" si="947"/>
        <v>15955281.311939418</v>
      </c>
      <c r="T993" s="2">
        <f t="shared" ca="1" si="948"/>
        <v>49163824.791891582</v>
      </c>
      <c r="U993" s="2">
        <f t="shared" ca="1" si="949"/>
        <v>49910232.670658849</v>
      </c>
      <c r="V993" s="2">
        <f t="shared" ca="1" si="950"/>
        <v>50667972.55469308</v>
      </c>
      <c r="W993" s="2">
        <f t="shared" ca="1" si="951"/>
        <v>51437216.487118453</v>
      </c>
      <c r="X993" s="2">
        <f t="shared" ca="1" si="952"/>
        <v>52218139.123027258</v>
      </c>
      <c r="Y993" s="2">
        <f t="shared" ca="1" si="953"/>
        <v>0.12515733893722403</v>
      </c>
      <c r="Z993" s="2">
        <f t="shared" ca="1" si="954"/>
        <v>0.12722027451211362</v>
      </c>
      <c r="AA993" s="2">
        <f t="shared" ca="1" si="955"/>
        <v>6153213.4829290723</v>
      </c>
      <c r="AB993" s="2">
        <f t="shared" ca="1" si="956"/>
        <v>6349593.5013246806</v>
      </c>
      <c r="AC993" s="2">
        <f t="shared" ca="1" si="957"/>
        <v>6445993.3773802929</v>
      </c>
      <c r="AD993" s="2">
        <f t="shared" ca="1" si="958"/>
        <v>6543856.801630226</v>
      </c>
      <c r="AE993" s="2">
        <f t="shared" ca="1" si="959"/>
        <v>6643205.9937432678</v>
      </c>
      <c r="AF993" s="2">
        <f t="shared" ca="1" si="960"/>
        <v>983276.49583783164</v>
      </c>
      <c r="AG993" s="2">
        <f t="shared" ca="1" si="961"/>
        <v>998204.653413177</v>
      </c>
      <c r="AH993" s="2">
        <f t="shared" ca="1" si="962"/>
        <v>1013359.4510938616</v>
      </c>
      <c r="AI993" s="2">
        <f t="shared" ca="1" si="963"/>
        <v>1028744.3297423691</v>
      </c>
      <c r="AJ993" s="2">
        <f t="shared" ca="1" si="964"/>
        <v>1044362.7824605452</v>
      </c>
      <c r="AK993" s="2">
        <f t="shared" ca="1" si="965"/>
        <v>0</v>
      </c>
      <c r="AL993" s="2">
        <f t="shared" ca="1" si="966"/>
        <v>7464.078787672669</v>
      </c>
      <c r="AM993" s="2">
        <f t="shared" ca="1" si="967"/>
        <v>7577.3988403423136</v>
      </c>
      <c r="AN993" s="2">
        <f t="shared" ca="1" si="968"/>
        <v>7692.4393242537235</v>
      </c>
      <c r="AO993" s="2">
        <f t="shared" ca="1" si="969"/>
        <v>7809.2263590880484</v>
      </c>
      <c r="AP993" s="2">
        <f t="shared" ca="1" si="970"/>
        <v>2153962.9771118215</v>
      </c>
      <c r="AQ993" s="2">
        <f t="shared" ca="1" si="971"/>
        <v>784153.24259464897</v>
      </c>
      <c r="AR993" s="2">
        <f t="shared" ca="1" si="972"/>
        <v>831330.72640791722</v>
      </c>
      <c r="AS993" s="2">
        <f t="shared" ca="1" si="973"/>
        <v>852454.44678539853</v>
      </c>
      <c r="AT993" s="2">
        <f t="shared" ca="1" si="974"/>
        <v>873898.86864176916</v>
      </c>
      <c r="AU993" s="2">
        <f t="shared" ca="1" si="975"/>
        <v>895668.86088443431</v>
      </c>
      <c r="AV993" s="2">
        <f t="shared" ca="1" si="976"/>
        <v>2231820.7673847699</v>
      </c>
      <c r="AW993" s="2">
        <f t="shared" ca="1" si="977"/>
        <v>2358631.0656040921</v>
      </c>
      <c r="AX993" s="2">
        <f t="shared" ca="1" si="978"/>
        <v>2418639.1035488681</v>
      </c>
      <c r="AY993" s="2">
        <f t="shared" ca="1" si="979"/>
        <v>2479558.1868100115</v>
      </c>
      <c r="AZ993" s="2">
        <f t="shared" ca="1" si="980"/>
        <v>2541402.1469273786</v>
      </c>
      <c r="BA993" s="2">
        <f t="shared" ca="1" si="981"/>
        <v>52002893.493753687</v>
      </c>
      <c r="BB993" s="2">
        <f t="shared" ca="1" si="982"/>
        <v>1040057.8698750738</v>
      </c>
      <c r="BC993" s="2">
        <f t="shared" ca="1" si="983"/>
        <v>27029913.655969486</v>
      </c>
      <c r="BD993" s="2">
        <f t="shared" ca="1" si="984"/>
        <v>-17452486.393935632</v>
      </c>
      <c r="BE993" s="2">
        <f t="shared" ca="1" si="985"/>
        <v>2231820.7673847699</v>
      </c>
      <c r="BF993" s="2">
        <f t="shared" ca="1" si="986"/>
        <v>2358631.0656040921</v>
      </c>
      <c r="BG993" s="2">
        <f t="shared" ca="1" si="987"/>
        <v>2418639.1035488681</v>
      </c>
      <c r="BH993" s="2">
        <f t="shared" ca="1" si="988"/>
        <v>2479558.1868100115</v>
      </c>
      <c r="BI993" s="2">
        <f t="shared" ca="1" si="989"/>
        <v>29571315.802896865</v>
      </c>
      <c r="BJ993" s="2">
        <f t="shared" ca="1" si="990"/>
        <v>0.20873860416417478</v>
      </c>
      <c r="BK993" s="2">
        <f t="shared" ca="1" si="991"/>
        <v>6497399.304871168</v>
      </c>
    </row>
    <row r="994" spans="1:63" x14ac:dyDescent="0.3">
      <c r="A994" s="2">
        <v>993</v>
      </c>
      <c r="B994" s="2">
        <f t="shared" ca="1" si="930"/>
        <v>0.32740741792192407</v>
      </c>
      <c r="C994" s="2">
        <f t="shared" ca="1" si="931"/>
        <v>6.8092062999284222</v>
      </c>
      <c r="D994" s="2">
        <f t="shared" ca="1" si="932"/>
        <v>4.6600232975123501E-2</v>
      </c>
      <c r="E994" s="2">
        <f t="shared" ca="1" si="933"/>
        <v>6.8052875135839113</v>
      </c>
      <c r="F994" s="2">
        <f t="shared" ca="1" si="934"/>
        <v>7.3044544454369253E-3</v>
      </c>
      <c r="G994" s="2">
        <f t="shared" ca="1" si="935"/>
        <v>-3.325795195902382E-2</v>
      </c>
      <c r="H994" s="2">
        <f t="shared" ca="1" si="936"/>
        <v>-0.02</v>
      </c>
      <c r="I994" s="2">
        <f t="shared" ca="1" si="937"/>
        <v>2.3214691703457246E-2</v>
      </c>
      <c r="J994" s="2">
        <f t="shared" ca="1" si="938"/>
        <v>4.265651890930644E-5</v>
      </c>
      <c r="K994" s="2">
        <f t="shared" ca="1" si="939"/>
        <v>4.265651890930644E-5</v>
      </c>
      <c r="L994" s="2">
        <f t="shared" ca="1" si="940"/>
        <v>0.62950779383017985</v>
      </c>
      <c r="M994" s="2">
        <f t="shared" ca="1" si="941"/>
        <v>6.6110001791610997E-3</v>
      </c>
      <c r="N994" s="2">
        <f t="shared" ca="1" si="942"/>
        <v>6.6110001791610997E-3</v>
      </c>
      <c r="O994" s="2">
        <f t="shared" si="943"/>
        <v>6000000</v>
      </c>
      <c r="P994" s="2">
        <f t="shared" ca="1" si="944"/>
        <v>40855237.799570531</v>
      </c>
      <c r="Q994" s="2">
        <f t="shared" ca="1" si="945"/>
        <v>1021380.9449892633</v>
      </c>
      <c r="R994" s="2">
        <f t="shared" ca="1" si="946"/>
        <v>24513142.679742318</v>
      </c>
      <c r="S994" s="2">
        <f t="shared" ca="1" si="947"/>
        <v>16342095.119828213</v>
      </c>
      <c r="T994" s="2">
        <f t="shared" ca="1" si="948"/>
        <v>50330550.008958049</v>
      </c>
      <c r="U994" s="2">
        <f t="shared" ca="1" si="949"/>
        <v>49323939.008778885</v>
      </c>
      <c r="V994" s="2">
        <f t="shared" ca="1" si="950"/>
        <v>48337460.228603303</v>
      </c>
      <c r="W994" s="2">
        <f t="shared" ca="1" si="951"/>
        <v>47370711.024031237</v>
      </c>
      <c r="X994" s="2">
        <f t="shared" ca="1" si="952"/>
        <v>46423296.803550608</v>
      </c>
      <c r="Y994" s="2">
        <f t="shared" ca="1" si="953"/>
        <v>0.12002132825945465</v>
      </c>
      <c r="Z994" s="2">
        <f t="shared" ca="1" si="954"/>
        <v>0.12002985956323652</v>
      </c>
      <c r="AA994" s="2">
        <f t="shared" ca="1" si="955"/>
        <v>6040739.4641040517</v>
      </c>
      <c r="AB994" s="2">
        <f t="shared" ca="1" si="956"/>
        <v>5920345.4723293725</v>
      </c>
      <c r="AC994" s="2">
        <f t="shared" ca="1" si="957"/>
        <v>5801938.5628827848</v>
      </c>
      <c r="AD994" s="2">
        <f t="shared" ca="1" si="958"/>
        <v>5685899.7916251291</v>
      </c>
      <c r="AE994" s="2">
        <f t="shared" ca="1" si="959"/>
        <v>5572181.7957926262</v>
      </c>
      <c r="AF994" s="2">
        <f t="shared" ca="1" si="960"/>
        <v>1006611.000179161</v>
      </c>
      <c r="AG994" s="2">
        <f t="shared" ca="1" si="961"/>
        <v>986478.78017557773</v>
      </c>
      <c r="AH994" s="2">
        <f t="shared" ca="1" si="962"/>
        <v>966749.20457206608</v>
      </c>
      <c r="AI994" s="2">
        <f t="shared" ca="1" si="963"/>
        <v>947414.2204806247</v>
      </c>
      <c r="AJ994" s="2">
        <f t="shared" ca="1" si="964"/>
        <v>928465.93607101217</v>
      </c>
      <c r="AK994" s="2">
        <f t="shared" ca="1" si="965"/>
        <v>0</v>
      </c>
      <c r="AL994" s="2">
        <f t="shared" ca="1" si="966"/>
        <v>0</v>
      </c>
      <c r="AM994" s="2">
        <f t="shared" ca="1" si="967"/>
        <v>0</v>
      </c>
      <c r="AN994" s="2">
        <f t="shared" ca="1" si="968"/>
        <v>0</v>
      </c>
      <c r="AO994" s="2">
        <f t="shared" ca="1" si="969"/>
        <v>0</v>
      </c>
      <c r="AP994" s="2">
        <f t="shared" ca="1" si="970"/>
        <v>2206182.8411768083</v>
      </c>
      <c r="AQ994" s="2">
        <f t="shared" ca="1" si="971"/>
        <v>735265.86191450141</v>
      </c>
      <c r="AR994" s="2">
        <f t="shared" ca="1" si="972"/>
        <v>709197.80125401646</v>
      </c>
      <c r="AS994" s="2">
        <f t="shared" ca="1" si="973"/>
        <v>683541.69445481675</v>
      </c>
      <c r="AT994" s="2">
        <f t="shared" ca="1" si="974"/>
        <v>658398.70979160105</v>
      </c>
      <c r="AU994" s="2">
        <f t="shared" ca="1" si="975"/>
        <v>633758.58482164948</v>
      </c>
      <c r="AV994" s="2">
        <f t="shared" ca="1" si="976"/>
        <v>2092679.7608335805</v>
      </c>
      <c r="AW994" s="2">
        <f t="shared" ca="1" si="977"/>
        <v>2018486.04972297</v>
      </c>
      <c r="AX994" s="2">
        <f t="shared" ca="1" si="978"/>
        <v>1945464.822679094</v>
      </c>
      <c r="AY994" s="2">
        <f t="shared" ca="1" si="979"/>
        <v>1873904.020176095</v>
      </c>
      <c r="AZ994" s="2">
        <f t="shared" ca="1" si="980"/>
        <v>1803774.4337231563</v>
      </c>
      <c r="BA994" s="2">
        <f t="shared" ca="1" si="981"/>
        <v>37920299.198327132</v>
      </c>
      <c r="BB994" s="2">
        <f t="shared" ca="1" si="982"/>
        <v>758405.98396654264</v>
      </c>
      <c r="BC994" s="2">
        <f t="shared" ca="1" si="983"/>
        <v>12648750.534618272</v>
      </c>
      <c r="BD994" s="2">
        <f t="shared" ca="1" si="984"/>
        <v>-17863476.064817477</v>
      </c>
      <c r="BE994" s="2">
        <f t="shared" ca="1" si="985"/>
        <v>2092679.7608335805</v>
      </c>
      <c r="BF994" s="2">
        <f t="shared" ca="1" si="986"/>
        <v>2018486.04972297</v>
      </c>
      <c r="BG994" s="2">
        <f t="shared" ca="1" si="987"/>
        <v>1945464.822679094</v>
      </c>
      <c r="BH994" s="2">
        <f t="shared" ca="1" si="988"/>
        <v>1873904.020176095</v>
      </c>
      <c r="BI994" s="2">
        <f t="shared" ca="1" si="989"/>
        <v>14452524.968341429</v>
      </c>
      <c r="BJ994" s="2">
        <f t="shared" ca="1" si="990"/>
        <v>5.7378934857159614E-2</v>
      </c>
      <c r="BK994" s="2">
        <f t="shared" ca="1" si="991"/>
        <v>-3609493.1562866215</v>
      </c>
    </row>
    <row r="995" spans="1:63" x14ac:dyDescent="0.3">
      <c r="A995" s="2">
        <v>994</v>
      </c>
      <c r="B995" s="2">
        <f t="shared" ca="1" si="930"/>
        <v>0.78732222404610908</v>
      </c>
      <c r="C995" s="2">
        <f t="shared" ca="1" si="931"/>
        <v>7.3478071206247479</v>
      </c>
      <c r="D995" s="2">
        <f t="shared" ca="1" si="932"/>
        <v>0.40416871092591178</v>
      </c>
      <c r="E995" s="2">
        <f t="shared" ca="1" si="933"/>
        <v>7.3990758710208073</v>
      </c>
      <c r="F995" s="2">
        <f t="shared" ca="1" si="934"/>
        <v>0.83685629639209036</v>
      </c>
      <c r="G995" s="2">
        <f t="shared" ca="1" si="935"/>
        <v>6.9448580732472551E-2</v>
      </c>
      <c r="H995" s="2">
        <f t="shared" ca="1" si="936"/>
        <v>6.9448580732472551E-2</v>
      </c>
      <c r="I995" s="2">
        <f t="shared" ca="1" si="937"/>
        <v>0.26771164097038713</v>
      </c>
      <c r="J995" s="2">
        <f t="shared" ca="1" si="938"/>
        <v>6.9012567601203284E-3</v>
      </c>
      <c r="K995" s="2">
        <f t="shared" ca="1" si="939"/>
        <v>6.9012567601203284E-3</v>
      </c>
      <c r="L995" s="2">
        <f t="shared" ca="1" si="940"/>
        <v>0.87387987502878695</v>
      </c>
      <c r="M995" s="2">
        <f t="shared" ca="1" si="941"/>
        <v>2.2898498887267339E-2</v>
      </c>
      <c r="N995" s="2">
        <f t="shared" ca="1" si="942"/>
        <v>2.2898498887267339E-2</v>
      </c>
      <c r="O995" s="2">
        <f t="shared" si="943"/>
        <v>6000000</v>
      </c>
      <c r="P995" s="2">
        <f t="shared" ca="1" si="944"/>
        <v>44086842.72374849</v>
      </c>
      <c r="Q995" s="2">
        <f t="shared" ca="1" si="945"/>
        <v>1102171.0680937122</v>
      </c>
      <c r="R995" s="2">
        <f t="shared" ca="1" si="946"/>
        <v>26452105.634249095</v>
      </c>
      <c r="S995" s="2">
        <f t="shared" ca="1" si="947"/>
        <v>17634737.089499395</v>
      </c>
      <c r="T995" s="2">
        <f t="shared" ca="1" si="948"/>
        <v>51144924.944363371</v>
      </c>
      <c r="U995" s="2">
        <f t="shared" ca="1" si="949"/>
        <v>54696867.393418238</v>
      </c>
      <c r="V995" s="2">
        <f t="shared" ca="1" si="950"/>
        <v>58495487.204403386</v>
      </c>
      <c r="W995" s="2">
        <f t="shared" ca="1" si="951"/>
        <v>62557915.770003706</v>
      </c>
      <c r="X995" s="2">
        <f t="shared" ca="1" si="952"/>
        <v>66902474.233812027</v>
      </c>
      <c r="Y995" s="2">
        <f t="shared" ca="1" si="953"/>
        <v>0.12345062838006016</v>
      </c>
      <c r="Z995" s="2">
        <f t="shared" ca="1" si="954"/>
        <v>0.12483087973208423</v>
      </c>
      <c r="AA995" s="2">
        <f t="shared" ca="1" si="955"/>
        <v>6313873.1228326717</v>
      </c>
      <c r="AB995" s="2">
        <f t="shared" ca="1" si="956"/>
        <v>6827858.0753095513</v>
      </c>
      <c r="AC995" s="2">
        <f t="shared" ca="1" si="957"/>
        <v>7302043.1280825511</v>
      </c>
      <c r="AD995" s="2">
        <f t="shared" ca="1" si="958"/>
        <v>7809159.6597751882</v>
      </c>
      <c r="AE995" s="2">
        <f t="shared" ca="1" si="959"/>
        <v>8351494.7148598535</v>
      </c>
      <c r="AF995" s="2">
        <f t="shared" ca="1" si="960"/>
        <v>1022898.4988872674</v>
      </c>
      <c r="AG995" s="2">
        <f t="shared" ca="1" si="961"/>
        <v>1093937.3478683648</v>
      </c>
      <c r="AH995" s="2">
        <f t="shared" ca="1" si="962"/>
        <v>1169909.7440880677</v>
      </c>
      <c r="AI995" s="2">
        <f t="shared" ca="1" si="963"/>
        <v>1251158.3154000742</v>
      </c>
      <c r="AJ995" s="2">
        <f t="shared" ca="1" si="964"/>
        <v>1338049.4846762405</v>
      </c>
      <c r="AK995" s="2">
        <f t="shared" ca="1" si="965"/>
        <v>0</v>
      </c>
      <c r="AL995" s="2">
        <f t="shared" ca="1" si="966"/>
        <v>35519.42449054867</v>
      </c>
      <c r="AM995" s="2">
        <f t="shared" ca="1" si="967"/>
        <v>37986.198109851481</v>
      </c>
      <c r="AN995" s="2">
        <f t="shared" ca="1" si="968"/>
        <v>40624.285656003209</v>
      </c>
      <c r="AO995" s="2">
        <f t="shared" ca="1" si="969"/>
        <v>43445.584638083208</v>
      </c>
      <c r="AP995" s="2">
        <f t="shared" ca="1" si="970"/>
        <v>2380689.5070824185</v>
      </c>
      <c r="AQ995" s="2">
        <f t="shared" ca="1" si="971"/>
        <v>756674.13038437616</v>
      </c>
      <c r="AR995" s="2">
        <f t="shared" ca="1" si="972"/>
        <v>871840.11729327962</v>
      </c>
      <c r="AS995" s="2">
        <f t="shared" ca="1" si="973"/>
        <v>975375.40799713694</v>
      </c>
      <c r="AT995" s="2">
        <f t="shared" ca="1" si="974"/>
        <v>1086101.0776961008</v>
      </c>
      <c r="AU995" s="2">
        <f t="shared" ca="1" si="975"/>
        <v>1204516.4880063105</v>
      </c>
      <c r="AV995" s="2">
        <f t="shared" ca="1" si="976"/>
        <v>2153610.986478609</v>
      </c>
      <c r="AW995" s="2">
        <f t="shared" ca="1" si="977"/>
        <v>2445871.6785749393</v>
      </c>
      <c r="AX995" s="2">
        <f t="shared" ca="1" si="978"/>
        <v>2738082.2708050767</v>
      </c>
      <c r="AY995" s="2">
        <f t="shared" ca="1" si="979"/>
        <v>3050586.4739405913</v>
      </c>
      <c r="AZ995" s="2">
        <f t="shared" ca="1" si="980"/>
        <v>3384793.6504568001</v>
      </c>
      <c r="BA995" s="2">
        <f t="shared" ca="1" si="981"/>
        <v>61793343.031677343</v>
      </c>
      <c r="BB995" s="2">
        <f t="shared" ca="1" si="982"/>
        <v>1235866.860633547</v>
      </c>
      <c r="BC995" s="2">
        <f t="shared" ca="1" si="983"/>
        <v>34105370.5367947</v>
      </c>
      <c r="BD995" s="2">
        <f t="shared" ca="1" si="984"/>
        <v>-19236908.157593109</v>
      </c>
      <c r="BE995" s="2">
        <f t="shared" ca="1" si="985"/>
        <v>2153610.986478609</v>
      </c>
      <c r="BF995" s="2">
        <f t="shared" ca="1" si="986"/>
        <v>2445871.6785749393</v>
      </c>
      <c r="BG995" s="2">
        <f t="shared" ca="1" si="987"/>
        <v>2738082.2708050767</v>
      </c>
      <c r="BH995" s="2">
        <f t="shared" ca="1" si="988"/>
        <v>3050586.4739405913</v>
      </c>
      <c r="BI995" s="2">
        <f t="shared" ca="1" si="989"/>
        <v>37490164.187251501</v>
      </c>
      <c r="BJ995" s="2">
        <f t="shared" ca="1" si="990"/>
        <v>0.23383657995191687</v>
      </c>
      <c r="BK995" s="2">
        <f t="shared" ca="1" si="991"/>
        <v>9796334.4383751005</v>
      </c>
    </row>
    <row r="996" spans="1:63" x14ac:dyDescent="0.3">
      <c r="A996" s="2">
        <v>995</v>
      </c>
      <c r="B996" s="2">
        <f t="shared" ca="1" si="930"/>
        <v>0.34999042877675746</v>
      </c>
      <c r="C996" s="2">
        <f t="shared" ca="1" si="931"/>
        <v>6.8366485866560192</v>
      </c>
      <c r="D996" s="2">
        <f t="shared" ca="1" si="932"/>
        <v>0.49619107619500813</v>
      </c>
      <c r="E996" s="2">
        <f t="shared" ca="1" si="933"/>
        <v>7.4961837944827332</v>
      </c>
      <c r="F996" s="2">
        <f t="shared" ca="1" si="934"/>
        <v>0.85232238957839124</v>
      </c>
      <c r="G996" s="2">
        <f t="shared" ca="1" si="935"/>
        <v>7.1393376314955598E-2</v>
      </c>
      <c r="H996" s="2">
        <f t="shared" ca="1" si="936"/>
        <v>7.1393376314955598E-2</v>
      </c>
      <c r="I996" s="2">
        <f t="shared" ca="1" si="937"/>
        <v>0.88256242134288843</v>
      </c>
      <c r="J996" s="2">
        <f t="shared" ca="1" si="938"/>
        <v>1.5939470209996053E-2</v>
      </c>
      <c r="K996" s="2">
        <f t="shared" ca="1" si="939"/>
        <v>1.5939470209996053E-2</v>
      </c>
      <c r="L996" s="2">
        <f t="shared" ca="1" si="940"/>
        <v>0.64195269976200386</v>
      </c>
      <c r="M996" s="2">
        <f t="shared" ca="1" si="941"/>
        <v>7.2736637189106598E-3</v>
      </c>
      <c r="N996" s="2">
        <f t="shared" ca="1" si="942"/>
        <v>7.2736637189106598E-3</v>
      </c>
      <c r="O996" s="2">
        <f t="shared" si="943"/>
        <v>6000000</v>
      </c>
      <c r="P996" s="2">
        <f t="shared" ca="1" si="944"/>
        <v>41019891.519936115</v>
      </c>
      <c r="Q996" s="2">
        <f t="shared" ca="1" si="945"/>
        <v>1025497.287998403</v>
      </c>
      <c r="R996" s="2">
        <f t="shared" ca="1" si="946"/>
        <v>24611934.911961667</v>
      </c>
      <c r="S996" s="2">
        <f t="shared" ca="1" si="947"/>
        <v>16407956.607974447</v>
      </c>
      <c r="T996" s="2">
        <f t="shared" ca="1" si="948"/>
        <v>50363683.185945526</v>
      </c>
      <c r="U996" s="2">
        <f t="shared" ca="1" si="949"/>
        <v>53959316.572246939</v>
      </c>
      <c r="V996" s="2">
        <f t="shared" ca="1" si="950"/>
        <v>57811654.365987189</v>
      </c>
      <c r="W996" s="2">
        <f t="shared" ca="1" si="951"/>
        <v>61939023.561528265</v>
      </c>
      <c r="X996" s="2">
        <f t="shared" ca="1" si="952"/>
        <v>66361059.579237357</v>
      </c>
      <c r="Y996" s="2">
        <f t="shared" ca="1" si="953"/>
        <v>0.12796973510499801</v>
      </c>
      <c r="Z996" s="2">
        <f t="shared" ca="1" si="954"/>
        <v>0.13115762914699725</v>
      </c>
      <c r="AA996" s="2">
        <f t="shared" ca="1" si="955"/>
        <v>6445027.1962174913</v>
      </c>
      <c r="AB996" s="2">
        <f t="shared" ca="1" si="956"/>
        <v>7077176.0320081869</v>
      </c>
      <c r="AC996" s="2">
        <f t="shared" ca="1" si="957"/>
        <v>7582439.5237085316</v>
      </c>
      <c r="AD996" s="2">
        <f t="shared" ca="1" si="958"/>
        <v>8123775.4820100488</v>
      </c>
      <c r="AE996" s="2">
        <f t="shared" ca="1" si="959"/>
        <v>8703759.2420954015</v>
      </c>
      <c r="AF996" s="2">
        <f t="shared" ca="1" si="960"/>
        <v>1007273.6637189105</v>
      </c>
      <c r="AG996" s="2">
        <f t="shared" ca="1" si="961"/>
        <v>1079186.3314449389</v>
      </c>
      <c r="AH996" s="2">
        <f t="shared" ca="1" si="962"/>
        <v>1156233.0873197438</v>
      </c>
      <c r="AI996" s="2">
        <f t="shared" ca="1" si="963"/>
        <v>1238780.4712305653</v>
      </c>
      <c r="AJ996" s="2">
        <f t="shared" ca="1" si="964"/>
        <v>1327221.1915847471</v>
      </c>
      <c r="AK996" s="2">
        <f t="shared" ca="1" si="965"/>
        <v>0</v>
      </c>
      <c r="AL996" s="2">
        <f t="shared" ca="1" si="966"/>
        <v>35956.33386301413</v>
      </c>
      <c r="AM996" s="2">
        <f t="shared" ca="1" si="967"/>
        <v>38523.377937402503</v>
      </c>
      <c r="AN996" s="2">
        <f t="shared" ca="1" si="968"/>
        <v>41273.691955410766</v>
      </c>
      <c r="AO996" s="2">
        <f t="shared" ca="1" si="969"/>
        <v>44220.360177090915</v>
      </c>
      <c r="AP996" s="2">
        <f t="shared" ca="1" si="970"/>
        <v>2215074.1420765501</v>
      </c>
      <c r="AQ996" s="2">
        <f t="shared" ca="1" si="971"/>
        <v>837896.64150972792</v>
      </c>
      <c r="AR996" s="2">
        <f t="shared" ca="1" si="972"/>
        <v>983558.04520654154</v>
      </c>
      <c r="AS996" s="2">
        <f t="shared" ca="1" si="973"/>
        <v>1094894.3965211818</v>
      </c>
      <c r="AT996" s="2">
        <f t="shared" ca="1" si="974"/>
        <v>1214179.4258627626</v>
      </c>
      <c r="AU996" s="2">
        <f t="shared" ca="1" si="975"/>
        <v>1341980.616192867</v>
      </c>
      <c r="AV996" s="2">
        <f t="shared" ca="1" si="976"/>
        <v>2384782.7489123028</v>
      </c>
      <c r="AW996" s="2">
        <f t="shared" ca="1" si="977"/>
        <v>2763401.1794171426</v>
      </c>
      <c r="AX996" s="2">
        <f t="shared" ca="1" si="978"/>
        <v>3077714.5198536534</v>
      </c>
      <c r="AY996" s="2">
        <f t="shared" ca="1" si="979"/>
        <v>3414467.7508847602</v>
      </c>
      <c r="AZ996" s="2">
        <f t="shared" ca="1" si="980"/>
        <v>3775262.9320641458</v>
      </c>
      <c r="BA996" s="2">
        <f t="shared" ca="1" si="981"/>
        <v>65244978.981674865</v>
      </c>
      <c r="BB996" s="2">
        <f t="shared" ca="1" si="982"/>
        <v>1304899.5796334974</v>
      </c>
      <c r="BC996" s="2">
        <f t="shared" ca="1" si="983"/>
        <v>39328144.490079701</v>
      </c>
      <c r="BD996" s="2">
        <f t="shared" ca="1" si="984"/>
        <v>-17933453.895972852</v>
      </c>
      <c r="BE996" s="2">
        <f t="shared" ca="1" si="985"/>
        <v>2384782.7489123028</v>
      </c>
      <c r="BF996" s="2">
        <f t="shared" ca="1" si="986"/>
        <v>2763401.1794171426</v>
      </c>
      <c r="BG996" s="2">
        <f t="shared" ca="1" si="987"/>
        <v>3077714.5198536534</v>
      </c>
      <c r="BH996" s="2">
        <f t="shared" ca="1" si="988"/>
        <v>3414467.7508847602</v>
      </c>
      <c r="BI996" s="2">
        <f t="shared" ca="1" si="989"/>
        <v>43103407.422143847</v>
      </c>
      <c r="BJ996" s="2">
        <f t="shared" ca="1" si="990"/>
        <v>0.2953876283690362</v>
      </c>
      <c r="BK996" s="2">
        <f t="shared" ca="1" si="991"/>
        <v>15217426.248767335</v>
      </c>
    </row>
    <row r="997" spans="1:63" x14ac:dyDescent="0.3">
      <c r="A997" s="2">
        <v>996</v>
      </c>
      <c r="B997" s="2">
        <f t="shared" ca="1" si="930"/>
        <v>0.41419531600055171</v>
      </c>
      <c r="C997" s="2">
        <f t="shared" ca="1" si="931"/>
        <v>6.9101596739040376</v>
      </c>
      <c r="D997" s="2">
        <f t="shared" ca="1" si="932"/>
        <v>0.38344907792797345</v>
      </c>
      <c r="E997" s="2">
        <f t="shared" ca="1" si="933"/>
        <v>7.3757272154363749</v>
      </c>
      <c r="F997" s="2">
        <f t="shared" ca="1" si="934"/>
        <v>0.1342844034371512</v>
      </c>
      <c r="G997" s="2">
        <f t="shared" ca="1" si="935"/>
        <v>6.8090665514306606E-3</v>
      </c>
      <c r="H997" s="2">
        <f t="shared" ca="1" si="936"/>
        <v>6.8090665514306606E-3</v>
      </c>
      <c r="I997" s="2">
        <f t="shared" ca="1" si="937"/>
        <v>8.1280204829540681E-2</v>
      </c>
      <c r="J997" s="2">
        <f t="shared" ca="1" si="938"/>
        <v>3.0174406664996911E-3</v>
      </c>
      <c r="K997" s="2">
        <f t="shared" ca="1" si="939"/>
        <v>3.0174406664996911E-3</v>
      </c>
      <c r="L997" s="2">
        <f t="shared" ca="1" si="940"/>
        <v>1.2037031706580104E-2</v>
      </c>
      <c r="M997" s="2">
        <f t="shared" ca="1" si="941"/>
        <v>-4.5118903964417825E-2</v>
      </c>
      <c r="N997" s="2">
        <f t="shared" ca="1" si="942"/>
        <v>-4.5118903964417825E-2</v>
      </c>
      <c r="O997" s="2">
        <f t="shared" si="943"/>
        <v>6000000</v>
      </c>
      <c r="P997" s="2">
        <f t="shared" ca="1" si="944"/>
        <v>41460958.043424226</v>
      </c>
      <c r="Q997" s="2">
        <f t="shared" ca="1" si="945"/>
        <v>1036523.9510856057</v>
      </c>
      <c r="R997" s="2">
        <f t="shared" ca="1" si="946"/>
        <v>24876574.826054536</v>
      </c>
      <c r="S997" s="2">
        <f t="shared" ca="1" si="947"/>
        <v>16584383.217369691</v>
      </c>
      <c r="T997" s="2">
        <f t="shared" ca="1" si="948"/>
        <v>47744054.801779106</v>
      </c>
      <c r="U997" s="2">
        <f t="shared" ca="1" si="949"/>
        <v>48069147.248359576</v>
      </c>
      <c r="V997" s="2">
        <f t="shared" ca="1" si="950"/>
        <v>48396453.271044172</v>
      </c>
      <c r="W997" s="2">
        <f t="shared" ca="1" si="951"/>
        <v>48725987.942219913</v>
      </c>
      <c r="X997" s="2">
        <f t="shared" ca="1" si="952"/>
        <v>49057766.436902694</v>
      </c>
      <c r="Y997" s="2">
        <f t="shared" ca="1" si="953"/>
        <v>0.12150872033324985</v>
      </c>
      <c r="Z997" s="2">
        <f t="shared" ca="1" si="954"/>
        <v>0.12211220846654978</v>
      </c>
      <c r="AA997" s="2">
        <f t="shared" ca="1" si="955"/>
        <v>5801319.0024847314</v>
      </c>
      <c r="AB997" s="2">
        <f t="shared" ca="1" si="956"/>
        <v>5869829.7296009623</v>
      </c>
      <c r="AC997" s="2">
        <f t="shared" ca="1" si="957"/>
        <v>5909797.7908753809</v>
      </c>
      <c r="AD997" s="2">
        <f t="shared" ca="1" si="958"/>
        <v>5950037.9973389488</v>
      </c>
      <c r="AE997" s="2">
        <f t="shared" ca="1" si="959"/>
        <v>5990552.2020463711</v>
      </c>
      <c r="AF997" s="2">
        <f t="shared" ca="1" si="960"/>
        <v>954881.09603558213</v>
      </c>
      <c r="AG997" s="2">
        <f t="shared" ca="1" si="961"/>
        <v>961382.94496719155</v>
      </c>
      <c r="AH997" s="2">
        <f t="shared" ca="1" si="962"/>
        <v>967929.06542088347</v>
      </c>
      <c r="AI997" s="2">
        <f t="shared" ca="1" si="963"/>
        <v>974519.75884439831</v>
      </c>
      <c r="AJ997" s="2">
        <f t="shared" ca="1" si="964"/>
        <v>981155.32873805391</v>
      </c>
      <c r="AK997" s="2">
        <f t="shared" ca="1" si="965"/>
        <v>0</v>
      </c>
      <c r="AL997" s="2">
        <f t="shared" ca="1" si="966"/>
        <v>3250.924465804696</v>
      </c>
      <c r="AM997" s="2">
        <f t="shared" ca="1" si="967"/>
        <v>3273.0602268459647</v>
      </c>
      <c r="AN997" s="2">
        <f t="shared" ca="1" si="968"/>
        <v>3295.3467117574069</v>
      </c>
      <c r="AO997" s="2">
        <f t="shared" ca="1" si="969"/>
        <v>3317.7849468278141</v>
      </c>
      <c r="AP997" s="2">
        <f t="shared" ca="1" si="970"/>
        <v>2238891.734344908</v>
      </c>
      <c r="AQ997" s="2">
        <f t="shared" ca="1" si="971"/>
        <v>677962.00474710274</v>
      </c>
      <c r="AR997" s="2">
        <f t="shared" ca="1" si="972"/>
        <v>694084.31307510426</v>
      </c>
      <c r="AS997" s="2">
        <f t="shared" ca="1" si="973"/>
        <v>702774.01768849324</v>
      </c>
      <c r="AT997" s="2">
        <f t="shared" ca="1" si="974"/>
        <v>711522.89107890718</v>
      </c>
      <c r="AU997" s="2">
        <f t="shared" ca="1" si="975"/>
        <v>720331.33613048634</v>
      </c>
      <c r="AV997" s="2">
        <f t="shared" ca="1" si="976"/>
        <v>1929584.1673571384</v>
      </c>
      <c r="AW997" s="2">
        <f t="shared" ca="1" si="977"/>
        <v>1972219.8127479544</v>
      </c>
      <c r="AX997" s="2">
        <f t="shared" ca="1" si="978"/>
        <v>1996929.9131942503</v>
      </c>
      <c r="AY997" s="2">
        <f t="shared" ca="1" si="979"/>
        <v>2021808.2663589781</v>
      </c>
      <c r="AZ997" s="2">
        <f t="shared" ca="1" si="980"/>
        <v>2046856.0178860938</v>
      </c>
      <c r="BA997" s="2">
        <f t="shared" ca="1" si="981"/>
        <v>44184678.912125722</v>
      </c>
      <c r="BB997" s="2">
        <f t="shared" ca="1" si="982"/>
        <v>883693.5782425144</v>
      </c>
      <c r="BC997" s="2">
        <f t="shared" ca="1" si="983"/>
        <v>18424410.507828671</v>
      </c>
      <c r="BD997" s="2">
        <f t="shared" ca="1" si="984"/>
        <v>-18120907.168455295</v>
      </c>
      <c r="BE997" s="2">
        <f t="shared" ca="1" si="985"/>
        <v>1929584.1673571384</v>
      </c>
      <c r="BF997" s="2">
        <f t="shared" ca="1" si="986"/>
        <v>1972219.8127479544</v>
      </c>
      <c r="BG997" s="2">
        <f t="shared" ca="1" si="987"/>
        <v>1996929.9131942503</v>
      </c>
      <c r="BH997" s="2">
        <f t="shared" ca="1" si="988"/>
        <v>2021808.2663589781</v>
      </c>
      <c r="BI997" s="2">
        <f t="shared" ca="1" si="989"/>
        <v>20471266.525714766</v>
      </c>
      <c r="BJ997" s="2">
        <f t="shared" ca="1" si="990"/>
        <v>0.11235223185171694</v>
      </c>
      <c r="BK997" s="2">
        <f t="shared" ca="1" si="991"/>
        <v>-503605.2318963185</v>
      </c>
    </row>
    <row r="998" spans="1:63" x14ac:dyDescent="0.3">
      <c r="A998" s="2">
        <v>997</v>
      </c>
      <c r="B998" s="2">
        <f t="shared" ca="1" si="930"/>
        <v>0.84280235541403614</v>
      </c>
      <c r="C998" s="2">
        <f t="shared" ca="1" si="931"/>
        <v>7.4392903700025048</v>
      </c>
      <c r="D998" s="2">
        <f t="shared" ca="1" si="932"/>
        <v>0.35571897704515132</v>
      </c>
      <c r="E998" s="2">
        <f t="shared" ca="1" si="933"/>
        <v>7.3434678144957886</v>
      </c>
      <c r="F998" s="2">
        <f t="shared" ca="1" si="934"/>
        <v>6.3153663717356645E-2</v>
      </c>
      <c r="G998" s="2">
        <f t="shared" ca="1" si="935"/>
        <v>-5.8648111648911816E-3</v>
      </c>
      <c r="H998" s="2">
        <f t="shared" ca="1" si="936"/>
        <v>-5.8648111648911816E-3</v>
      </c>
      <c r="I998" s="2">
        <f t="shared" ca="1" si="937"/>
        <v>0.43879871531704029</v>
      </c>
      <c r="J998" s="2">
        <f t="shared" ca="1" si="938"/>
        <v>9.2299219702496899E-3</v>
      </c>
      <c r="K998" s="2">
        <f t="shared" ca="1" si="939"/>
        <v>9.2299219702496899E-3</v>
      </c>
      <c r="L998" s="2">
        <f t="shared" ca="1" si="940"/>
        <v>0.77321487421043456</v>
      </c>
      <c r="M998" s="2">
        <f t="shared" ca="1" si="941"/>
        <v>1.4989523558804063E-2</v>
      </c>
      <c r="N998" s="2">
        <f t="shared" ca="1" si="942"/>
        <v>1.4989523558804063E-2</v>
      </c>
      <c r="O998" s="2">
        <f t="shared" si="943"/>
        <v>6000000</v>
      </c>
      <c r="P998" s="2">
        <f t="shared" ca="1" si="944"/>
        <v>44635742.220015027</v>
      </c>
      <c r="Q998" s="2">
        <f t="shared" ca="1" si="945"/>
        <v>1115893.5555003758</v>
      </c>
      <c r="R998" s="2">
        <f t="shared" ca="1" si="946"/>
        <v>26781445.332009014</v>
      </c>
      <c r="S998" s="2">
        <f t="shared" ca="1" si="947"/>
        <v>17854296.888006013</v>
      </c>
      <c r="T998" s="2">
        <f t="shared" ca="1" si="948"/>
        <v>50749476.177940197</v>
      </c>
      <c r="U998" s="2">
        <f t="shared" ca="1" si="949"/>
        <v>50451840.08343944</v>
      </c>
      <c r="V998" s="2">
        <f t="shared" ca="1" si="950"/>
        <v>50155949.568428785</v>
      </c>
      <c r="W998" s="2">
        <f t="shared" ca="1" si="951"/>
        <v>49861794.395414144</v>
      </c>
      <c r="X998" s="2">
        <f t="shared" ca="1" si="952"/>
        <v>49569364.386942416</v>
      </c>
      <c r="Y998" s="2">
        <f t="shared" ca="1" si="953"/>
        <v>0.12461496098512484</v>
      </c>
      <c r="Z998" s="2">
        <f t="shared" ca="1" si="954"/>
        <v>0.12646094537917477</v>
      </c>
      <c r="AA998" s="2">
        <f t="shared" ca="1" si="955"/>
        <v>6324143.9939295398</v>
      </c>
      <c r="AB998" s="2">
        <f t="shared" ca="1" si="956"/>
        <v>6380187.393070695</v>
      </c>
      <c r="AC998" s="2">
        <f t="shared" ca="1" si="957"/>
        <v>6342768.7988137165</v>
      </c>
      <c r="AD998" s="2">
        <f t="shared" ca="1" si="958"/>
        <v>6305569.6575461105</v>
      </c>
      <c r="AE998" s="2">
        <f t="shared" ca="1" si="959"/>
        <v>6268588.6822175356</v>
      </c>
      <c r="AF998" s="2">
        <f t="shared" ca="1" si="960"/>
        <v>1014989.523558804</v>
      </c>
      <c r="AG998" s="2">
        <f t="shared" ca="1" si="961"/>
        <v>1009036.8016687888</v>
      </c>
      <c r="AH998" s="2">
        <f t="shared" ca="1" si="962"/>
        <v>1003118.9913685757</v>
      </c>
      <c r="AI998" s="2">
        <f t="shared" ca="1" si="963"/>
        <v>997235.88790828292</v>
      </c>
      <c r="AJ998" s="2">
        <f t="shared" ca="1" si="964"/>
        <v>991387.28773884836</v>
      </c>
      <c r="AK998" s="2">
        <f t="shared" ca="1" si="965"/>
        <v>0</v>
      </c>
      <c r="AL998" s="2">
        <f t="shared" ca="1" si="966"/>
        <v>0</v>
      </c>
      <c r="AM998" s="2">
        <f t="shared" ca="1" si="967"/>
        <v>0</v>
      </c>
      <c r="AN998" s="2">
        <f t="shared" ca="1" si="968"/>
        <v>0</v>
      </c>
      <c r="AO998" s="2">
        <f t="shared" ca="1" si="969"/>
        <v>0</v>
      </c>
      <c r="AP998" s="2">
        <f t="shared" ca="1" si="970"/>
        <v>2410330.0798808113</v>
      </c>
      <c r="AQ998" s="2">
        <f t="shared" ca="1" si="971"/>
        <v>753694.3415273804</v>
      </c>
      <c r="AR998" s="2">
        <f t="shared" ca="1" si="972"/>
        <v>769813.33299548482</v>
      </c>
      <c r="AS998" s="2">
        <f t="shared" ca="1" si="973"/>
        <v>761623.12916672567</v>
      </c>
      <c r="AT998" s="2">
        <f t="shared" ca="1" si="974"/>
        <v>753480.95933682437</v>
      </c>
      <c r="AU998" s="2">
        <f t="shared" ca="1" si="975"/>
        <v>745386.5417954477</v>
      </c>
      <c r="AV998" s="2">
        <f t="shared" ca="1" si="976"/>
        <v>2145130.0489625446</v>
      </c>
      <c r="AW998" s="2">
        <f t="shared" ca="1" si="977"/>
        <v>2191007.1785256108</v>
      </c>
      <c r="AX998" s="2">
        <f t="shared" ca="1" si="978"/>
        <v>2167696.5983976033</v>
      </c>
      <c r="AY998" s="2">
        <f t="shared" ca="1" si="979"/>
        <v>2144522.7304201918</v>
      </c>
      <c r="AZ998" s="2">
        <f t="shared" ca="1" si="980"/>
        <v>2121484.7728024283</v>
      </c>
      <c r="BA998" s="2">
        <f t="shared" ca="1" si="981"/>
        <v>46033179.230177037</v>
      </c>
      <c r="BB998" s="2">
        <f t="shared" ca="1" si="982"/>
        <v>920663.58460354072</v>
      </c>
      <c r="BC998" s="2">
        <f t="shared" ca="1" si="983"/>
        <v>18331070.313564483</v>
      </c>
      <c r="BD998" s="2">
        <f t="shared" ca="1" si="984"/>
        <v>-19470190.44350639</v>
      </c>
      <c r="BE998" s="2">
        <f t="shared" ca="1" si="985"/>
        <v>2145130.0489625446</v>
      </c>
      <c r="BF998" s="2">
        <f t="shared" ca="1" si="986"/>
        <v>2191007.1785256108</v>
      </c>
      <c r="BG998" s="2">
        <f t="shared" ca="1" si="987"/>
        <v>2167696.5983976033</v>
      </c>
      <c r="BH998" s="2">
        <f t="shared" ca="1" si="988"/>
        <v>2144522.7304201918</v>
      </c>
      <c r="BI998" s="2">
        <f t="shared" ca="1" si="989"/>
        <v>20452555.08636691</v>
      </c>
      <c r="BJ998" s="2">
        <f t="shared" ca="1" si="990"/>
        <v>0.10115369339058788</v>
      </c>
      <c r="BK998" s="2">
        <f t="shared" ca="1" si="991"/>
        <v>-1297102.6377492659</v>
      </c>
    </row>
    <row r="999" spans="1:63" x14ac:dyDescent="0.3">
      <c r="A999" s="2">
        <v>998</v>
      </c>
      <c r="B999" s="2">
        <f t="shared" ca="1" si="930"/>
        <v>0.26783558150678155</v>
      </c>
      <c r="C999" s="2">
        <f t="shared" ca="1" si="931"/>
        <v>6.7318955957058106</v>
      </c>
      <c r="D999" s="2">
        <f t="shared" ca="1" si="932"/>
        <v>0.84495981165193879</v>
      </c>
      <c r="E999" s="2">
        <f t="shared" ca="1" si="933"/>
        <v>7.9431513879912039</v>
      </c>
      <c r="F999" s="2">
        <f t="shared" ca="1" si="934"/>
        <v>0.4682805825511851</v>
      </c>
      <c r="G999" s="2">
        <f t="shared" ca="1" si="935"/>
        <v>3.7612217632647847E-2</v>
      </c>
      <c r="H999" s="2">
        <f t="shared" ca="1" si="936"/>
        <v>3.7612217632647847E-2</v>
      </c>
      <c r="I999" s="2">
        <f t="shared" ca="1" si="937"/>
        <v>0.80467175525983647</v>
      </c>
      <c r="J999" s="2">
        <f t="shared" ca="1" si="938"/>
        <v>1.4292137123528247E-2</v>
      </c>
      <c r="K999" s="2">
        <f t="shared" ca="1" si="939"/>
        <v>1.4292137123528247E-2</v>
      </c>
      <c r="L999" s="2">
        <f t="shared" ca="1" si="940"/>
        <v>0.80869753940772793</v>
      </c>
      <c r="M999" s="2">
        <f t="shared" ca="1" si="941"/>
        <v>1.7462134041695596E-2</v>
      </c>
      <c r="N999" s="2">
        <f t="shared" ca="1" si="942"/>
        <v>1.7462134041695596E-2</v>
      </c>
      <c r="O999" s="2">
        <f t="shared" si="943"/>
        <v>6000000</v>
      </c>
      <c r="P999" s="2">
        <f t="shared" ca="1" si="944"/>
        <v>40391373.574234866</v>
      </c>
      <c r="Q999" s="2">
        <f t="shared" ca="1" si="945"/>
        <v>1009784.3393558717</v>
      </c>
      <c r="R999" s="2">
        <f t="shared" ca="1" si="946"/>
        <v>24234824.144540917</v>
      </c>
      <c r="S999" s="2">
        <f t="shared" ca="1" si="947"/>
        <v>16156549.429693947</v>
      </c>
      <c r="T999" s="2">
        <f t="shared" ca="1" si="948"/>
        <v>50873106.70208478</v>
      </c>
      <c r="U999" s="2">
        <f t="shared" ca="1" si="949"/>
        <v>52786557.063012511</v>
      </c>
      <c r="V999" s="2">
        <f t="shared" ca="1" si="950"/>
        <v>54771976.53534472</v>
      </c>
      <c r="W999" s="2">
        <f t="shared" ca="1" si="951"/>
        <v>56832072.03696239</v>
      </c>
      <c r="X999" s="2">
        <f t="shared" ca="1" si="952"/>
        <v>58969652.298930943</v>
      </c>
      <c r="Y999" s="2">
        <f t="shared" ca="1" si="953"/>
        <v>0.12714606856176411</v>
      </c>
      <c r="Z999" s="2">
        <f t="shared" ca="1" si="954"/>
        <v>0.13000449598646976</v>
      </c>
      <c r="AA999" s="2">
        <f t="shared" ca="1" si="955"/>
        <v>6468315.5126932124</v>
      </c>
      <c r="AB999" s="2">
        <f t="shared" ca="1" si="956"/>
        <v>6862489.7458379669</v>
      </c>
      <c r="AC999" s="2">
        <f t="shared" ca="1" si="957"/>
        <v>7120603.2036602385</v>
      </c>
      <c r="AD999" s="2">
        <f t="shared" ca="1" si="958"/>
        <v>7388424.8810320375</v>
      </c>
      <c r="AE999" s="2">
        <f t="shared" ca="1" si="959"/>
        <v>7666319.9256198853</v>
      </c>
      <c r="AF999" s="2">
        <f t="shared" ca="1" si="960"/>
        <v>1017462.1340416956</v>
      </c>
      <c r="AG999" s="2">
        <f t="shared" ca="1" si="961"/>
        <v>1055731.1412602502</v>
      </c>
      <c r="AH999" s="2">
        <f t="shared" ca="1" si="962"/>
        <v>1095439.5307068944</v>
      </c>
      <c r="AI999" s="2">
        <f t="shared" ca="1" si="963"/>
        <v>1136641.4407392477</v>
      </c>
      <c r="AJ999" s="2">
        <f t="shared" ca="1" si="964"/>
        <v>1179393.0459786188</v>
      </c>
      <c r="AK999" s="2">
        <f t="shared" ca="1" si="965"/>
        <v>0</v>
      </c>
      <c r="AL999" s="2">
        <f t="shared" ca="1" si="966"/>
        <v>19134.503609277308</v>
      </c>
      <c r="AM999" s="2">
        <f t="shared" ca="1" si="967"/>
        <v>19854.194723322093</v>
      </c>
      <c r="AN999" s="2">
        <f t="shared" ca="1" si="968"/>
        <v>20600.9550161767</v>
      </c>
      <c r="AO999" s="2">
        <f t="shared" ca="1" si="969"/>
        <v>21375.802619685532</v>
      </c>
      <c r="AP999" s="2">
        <f t="shared" ca="1" si="970"/>
        <v>2181134.1730086827</v>
      </c>
      <c r="AQ999" s="2">
        <f t="shared" ca="1" si="971"/>
        <v>850126.99346713687</v>
      </c>
      <c r="AR999" s="2">
        <f t="shared" ca="1" si="972"/>
        <v>942662.3522079488</v>
      </c>
      <c r="AS999" s="2">
        <f t="shared" ca="1" si="973"/>
        <v>999447.66998561192</v>
      </c>
      <c r="AT999" s="2">
        <f t="shared" ca="1" si="974"/>
        <v>1058368.8094938679</v>
      </c>
      <c r="AU999" s="2">
        <f t="shared" ca="1" si="975"/>
        <v>1119506.103724472</v>
      </c>
      <c r="AV999" s="2">
        <f t="shared" ca="1" si="976"/>
        <v>2419592.2121756966</v>
      </c>
      <c r="AW999" s="2">
        <f t="shared" ca="1" si="977"/>
        <v>2663827.575751808</v>
      </c>
      <c r="AX999" s="2">
        <f t="shared" ca="1" si="978"/>
        <v>2824727.6352357273</v>
      </c>
      <c r="AY999" s="2">
        <f t="shared" ca="1" si="979"/>
        <v>2991679.5027740621</v>
      </c>
      <c r="AZ999" s="2">
        <f t="shared" ca="1" si="980"/>
        <v>3164910.8002884262</v>
      </c>
      <c r="BA999" s="2">
        <f t="shared" ca="1" si="981"/>
        <v>60894739.757972218</v>
      </c>
      <c r="BB999" s="2">
        <f t="shared" ca="1" si="982"/>
        <v>1217894.7951594444</v>
      </c>
      <c r="BC999" s="2">
        <f t="shared" ca="1" si="983"/>
        <v>35442020.81827186</v>
      </c>
      <c r="BD999" s="2">
        <f t="shared" ca="1" si="984"/>
        <v>-17666333.76904982</v>
      </c>
      <c r="BE999" s="2">
        <f t="shared" ca="1" si="985"/>
        <v>2419592.2121756966</v>
      </c>
      <c r="BF999" s="2">
        <f t="shared" ca="1" si="986"/>
        <v>2663827.575751808</v>
      </c>
      <c r="BG999" s="2">
        <f t="shared" ca="1" si="987"/>
        <v>2824727.6352357273</v>
      </c>
      <c r="BH999" s="2">
        <f t="shared" ca="1" si="988"/>
        <v>2991679.5027740621</v>
      </c>
      <c r="BI999" s="2">
        <f t="shared" ca="1" si="989"/>
        <v>38606931.618560284</v>
      </c>
      <c r="BJ999" s="2">
        <f t="shared" ca="1" si="990"/>
        <v>0.27184873837553059</v>
      </c>
      <c r="BK999" s="2">
        <f t="shared" ca="1" si="991"/>
        <v>12436065.01691588</v>
      </c>
    </row>
    <row r="1000" spans="1:63" x14ac:dyDescent="0.3">
      <c r="A1000" s="2">
        <v>999</v>
      </c>
      <c r="B1000" s="2">
        <f t="shared" ca="1" si="930"/>
        <v>4.6583236823977803E-2</v>
      </c>
      <c r="C1000" s="2">
        <f t="shared" ca="1" si="931"/>
        <v>6.3052318359017541</v>
      </c>
      <c r="D1000" s="2">
        <f t="shared" ca="1" si="932"/>
        <v>0.7445190631132157</v>
      </c>
      <c r="E1000" s="2">
        <f t="shared" ca="1" si="933"/>
        <v>7.7851840280368876</v>
      </c>
      <c r="F1000" s="2">
        <f t="shared" ca="1" si="934"/>
        <v>0.39260558700818715</v>
      </c>
      <c r="G1000" s="2">
        <f t="shared" ca="1" si="935"/>
        <v>3.1823969150021253E-2</v>
      </c>
      <c r="H1000" s="2">
        <f t="shared" ca="1" si="936"/>
        <v>3.1823969150021253E-2</v>
      </c>
      <c r="I1000" s="2">
        <f t="shared" ca="1" si="937"/>
        <v>0.30962893480110432</v>
      </c>
      <c r="J1000" s="2">
        <f t="shared" ca="1" si="938"/>
        <v>7.5154879333684844E-3</v>
      </c>
      <c r="K1000" s="2">
        <f t="shared" ca="1" si="939"/>
        <v>7.5154879333684844E-3</v>
      </c>
      <c r="L1000" s="2">
        <f t="shared" ca="1" si="940"/>
        <v>0.29818095160594171</v>
      </c>
      <c r="M1000" s="2">
        <f t="shared" ca="1" si="941"/>
        <v>-1.059278996767439E-2</v>
      </c>
      <c r="N1000" s="2">
        <f t="shared" ca="1" si="942"/>
        <v>-1.059278996767439E-2</v>
      </c>
      <c r="O1000" s="2">
        <f t="shared" si="943"/>
        <v>6000000</v>
      </c>
      <c r="P1000" s="2">
        <f t="shared" ca="1" si="944"/>
        <v>37831391.015410528</v>
      </c>
      <c r="Q1000" s="2">
        <f t="shared" ca="1" si="945"/>
        <v>945784.77538526326</v>
      </c>
      <c r="R1000" s="2">
        <f t="shared" ca="1" si="946"/>
        <v>22698834.609246317</v>
      </c>
      <c r="S1000" s="2">
        <f t="shared" ca="1" si="947"/>
        <v>15132556.406164212</v>
      </c>
      <c r="T1000" s="2">
        <f t="shared" ca="1" si="948"/>
        <v>49470360.501616277</v>
      </c>
      <c r="U1000" s="2">
        <f t="shared" ca="1" si="949"/>
        <v>51044703.728060141</v>
      </c>
      <c r="V1000" s="2">
        <f t="shared" ca="1" si="950"/>
        <v>52669148.804773904</v>
      </c>
      <c r="W1000" s="2">
        <f t="shared" ca="1" si="951"/>
        <v>54345290.171494909</v>
      </c>
      <c r="X1000" s="2">
        <f t="shared" ca="1" si="952"/>
        <v>56074773.00936152</v>
      </c>
      <c r="Y1000" s="2">
        <f t="shared" ca="1" si="953"/>
        <v>0.12375774396668424</v>
      </c>
      <c r="Z1000" s="2">
        <f t="shared" ca="1" si="954"/>
        <v>0.12526084155335793</v>
      </c>
      <c r="AA1000" s="2">
        <f t="shared" ca="1" si="955"/>
        <v>6122340.2088985955</v>
      </c>
      <c r="AB1000" s="2">
        <f t="shared" ca="1" si="956"/>
        <v>6393902.5458186399</v>
      </c>
      <c r="AC1000" s="2">
        <f t="shared" ca="1" si="957"/>
        <v>6597381.9031850146</v>
      </c>
      <c r="AD1000" s="2">
        <f t="shared" ca="1" si="958"/>
        <v>6807336.7813428836</v>
      </c>
      <c r="AE1000" s="2">
        <f t="shared" ca="1" si="959"/>
        <v>7023973.2570661446</v>
      </c>
      <c r="AF1000" s="2">
        <f t="shared" ca="1" si="960"/>
        <v>989407.21003232559</v>
      </c>
      <c r="AG1000" s="2">
        <f t="shared" ca="1" si="961"/>
        <v>1020894.0745612029</v>
      </c>
      <c r="AH1000" s="2">
        <f t="shared" ca="1" si="962"/>
        <v>1053382.9760954781</v>
      </c>
      <c r="AI1000" s="2">
        <f t="shared" ca="1" si="963"/>
        <v>1086905.8034298981</v>
      </c>
      <c r="AJ1000" s="2">
        <f t="shared" ca="1" si="964"/>
        <v>1121495.4601872305</v>
      </c>
      <c r="AK1000" s="2">
        <f t="shared" ca="1" si="965"/>
        <v>0</v>
      </c>
      <c r="AL1000" s="2">
        <f t="shared" ca="1" si="966"/>
        <v>15743.432264438645</v>
      </c>
      <c r="AM1000" s="2">
        <f t="shared" ca="1" si="967"/>
        <v>16244.450767137632</v>
      </c>
      <c r="AN1000" s="2">
        <f t="shared" ca="1" si="968"/>
        <v>16761.413667210043</v>
      </c>
      <c r="AO1000" s="2">
        <f t="shared" ca="1" si="969"/>
        <v>17294.82837866612</v>
      </c>
      <c r="AP1000" s="2">
        <f t="shared" ca="1" si="970"/>
        <v>2042895.1148321684</v>
      </c>
      <c r="AQ1000" s="2">
        <f t="shared" ca="1" si="971"/>
        <v>803409.84984886646</v>
      </c>
      <c r="AR1000" s="2">
        <f t="shared" ca="1" si="972"/>
        <v>865829.4726705699</v>
      </c>
      <c r="AS1000" s="2">
        <f t="shared" ca="1" si="973"/>
        <v>910286.99118691578</v>
      </c>
      <c r="AT1000" s="2">
        <f t="shared" ca="1" si="974"/>
        <v>956159.32440101251</v>
      </c>
      <c r="AU1000" s="2">
        <f t="shared" ca="1" si="975"/>
        <v>1003491.497332154</v>
      </c>
      <c r="AV1000" s="2">
        <f t="shared" ca="1" si="976"/>
        <v>2286628.0341852354</v>
      </c>
      <c r="AW1000" s="2">
        <f t="shared" ca="1" si="977"/>
        <v>2448540.4514902597</v>
      </c>
      <c r="AX1000" s="2">
        <f t="shared" ca="1" si="978"/>
        <v>2574572.3703033142</v>
      </c>
      <c r="AY1000" s="2">
        <f t="shared" ca="1" si="979"/>
        <v>2704615.1250125943</v>
      </c>
      <c r="AZ1000" s="2">
        <f t="shared" ca="1" si="980"/>
        <v>2838796.3563359259</v>
      </c>
      <c r="BA1000" s="2">
        <f t="shared" ca="1" si="981"/>
        <v>54682924.414269581</v>
      </c>
      <c r="BB1000" s="2">
        <f t="shared" ca="1" si="982"/>
        <v>1093658.4882853916</v>
      </c>
      <c r="BC1000" s="2">
        <f t="shared" ca="1" si="983"/>
        <v>30890431.316737872</v>
      </c>
      <c r="BD1000" s="2">
        <f t="shared" ca="1" si="984"/>
        <v>-16578341.181549475</v>
      </c>
      <c r="BE1000" s="2">
        <f t="shared" ca="1" si="985"/>
        <v>2286628.0341852354</v>
      </c>
      <c r="BF1000" s="2">
        <f t="shared" ca="1" si="986"/>
        <v>2448540.4514902597</v>
      </c>
      <c r="BG1000" s="2">
        <f t="shared" ca="1" si="987"/>
        <v>2574572.3703033142</v>
      </c>
      <c r="BH1000" s="2">
        <f t="shared" ca="1" si="988"/>
        <v>2704615.1250125943</v>
      </c>
      <c r="BI1000" s="2">
        <f t="shared" ca="1" si="989"/>
        <v>33729227.673073798</v>
      </c>
      <c r="BJ1000" s="2">
        <f t="shared" ca="1" si="990"/>
        <v>0.25546620894981986</v>
      </c>
      <c r="BK1000" s="2">
        <f t="shared" ca="1" si="991"/>
        <v>10105483.619863972</v>
      </c>
    </row>
    <row r="1001" spans="1:63" x14ac:dyDescent="0.3">
      <c r="A1001" s="2">
        <v>1000</v>
      </c>
      <c r="B1001" s="2">
        <f t="shared" ca="1" si="930"/>
        <v>1.302640784670861E-2</v>
      </c>
      <c r="C1001" s="2">
        <f t="shared" ca="1" si="931"/>
        <v>6.1614088463914456</v>
      </c>
      <c r="D1001" s="2">
        <f t="shared" ca="1" si="932"/>
        <v>0.76723544974347635</v>
      </c>
      <c r="E1001" s="2">
        <f t="shared" ca="1" si="933"/>
        <v>7.817703070127787</v>
      </c>
      <c r="F1001" s="2">
        <f t="shared" ca="1" si="934"/>
        <v>0.19488718061215238</v>
      </c>
      <c r="G1001" s="2">
        <f t="shared" ca="1" si="935"/>
        <v>1.4199200990086668E-2</v>
      </c>
      <c r="H1001" s="2">
        <f t="shared" ca="1" si="936"/>
        <v>1.4199200990086668E-2</v>
      </c>
      <c r="I1001" s="2">
        <f t="shared" ca="1" si="937"/>
        <v>0.783568863697233</v>
      </c>
      <c r="J1001" s="2">
        <f t="shared" ca="1" si="938"/>
        <v>1.3921515570845956E-2</v>
      </c>
      <c r="K1001" s="2">
        <f t="shared" ca="1" si="939"/>
        <v>1.3921515570845956E-2</v>
      </c>
      <c r="L1001" s="2">
        <f t="shared" ca="1" si="940"/>
        <v>3.5664045926201093E-2</v>
      </c>
      <c r="M1001" s="2">
        <f t="shared" ca="1" si="941"/>
        <v>-3.6067659200769812E-2</v>
      </c>
      <c r="N1001" s="2">
        <f t="shared" ca="1" si="942"/>
        <v>-3.6067659200769812E-2</v>
      </c>
      <c r="O1001" s="2">
        <f t="shared" si="943"/>
        <v>6000000</v>
      </c>
      <c r="P1001" s="2">
        <f t="shared" ca="1" si="944"/>
        <v>36968453.078348674</v>
      </c>
      <c r="Q1001" s="2">
        <f t="shared" ca="1" si="945"/>
        <v>924211.32695871685</v>
      </c>
      <c r="R1001" s="2">
        <f t="shared" ca="1" si="946"/>
        <v>22181071.847009204</v>
      </c>
      <c r="S1001" s="2">
        <f t="shared" ca="1" si="947"/>
        <v>14787381.23133947</v>
      </c>
      <c r="T1001" s="2">
        <f t="shared" ca="1" si="948"/>
        <v>48196617.039961509</v>
      </c>
      <c r="U1001" s="2">
        <f t="shared" ca="1" si="949"/>
        <v>48880970.492354155</v>
      </c>
      <c r="V1001" s="2">
        <f t="shared" ca="1" si="950"/>
        <v>49575041.216965586</v>
      </c>
      <c r="W1001" s="2">
        <f t="shared" ca="1" si="951"/>
        <v>50278967.191297106</v>
      </c>
      <c r="X1001" s="2">
        <f t="shared" ca="1" si="952"/>
        <v>50992888.352020308</v>
      </c>
      <c r="Y1001" s="2">
        <f t="shared" ca="1" si="953"/>
        <v>0.12696075778542298</v>
      </c>
      <c r="Z1001" s="2">
        <f t="shared" ca="1" si="954"/>
        <v>0.12974506089959217</v>
      </c>
      <c r="AA1001" s="2">
        <f t="shared" ca="1" si="955"/>
        <v>6119079.022087343</v>
      </c>
      <c r="AB1001" s="2">
        <f t="shared" ca="1" si="956"/>
        <v>6342064.4933616575</v>
      </c>
      <c r="AC1001" s="2">
        <f t="shared" ca="1" si="957"/>
        <v>6432116.7417949922</v>
      </c>
      <c r="AD1001" s="2">
        <f t="shared" ca="1" si="958"/>
        <v>6523447.6602034401</v>
      </c>
      <c r="AE1001" s="2">
        <f t="shared" ca="1" si="959"/>
        <v>6616075.404678979</v>
      </c>
      <c r="AF1001" s="2">
        <f t="shared" ca="1" si="960"/>
        <v>963932.34079923015</v>
      </c>
      <c r="AG1001" s="2">
        <f t="shared" ca="1" si="961"/>
        <v>977619.40984708315</v>
      </c>
      <c r="AH1001" s="2">
        <f t="shared" ca="1" si="962"/>
        <v>991500.82433931169</v>
      </c>
      <c r="AI1001" s="2">
        <f t="shared" ca="1" si="963"/>
        <v>1005579.3438259421</v>
      </c>
      <c r="AJ1001" s="2">
        <f t="shared" ca="1" si="964"/>
        <v>1019857.7670404062</v>
      </c>
      <c r="AK1001" s="2">
        <f t="shared" ca="1" si="965"/>
        <v>0</v>
      </c>
      <c r="AL1001" s="2">
        <f t="shared" ca="1" si="966"/>
        <v>6843.5345239264516</v>
      </c>
      <c r="AM1001" s="2">
        <f t="shared" ca="1" si="967"/>
        <v>6940.7072461143134</v>
      </c>
      <c r="AN1001" s="2">
        <f t="shared" ca="1" si="968"/>
        <v>7039.259743315205</v>
      </c>
      <c r="AO1001" s="2">
        <f t="shared" ca="1" si="969"/>
        <v>7139.2116072320196</v>
      </c>
      <c r="AP1001" s="2">
        <f t="shared" ca="1" si="970"/>
        <v>1996296.4662308283</v>
      </c>
      <c r="AQ1001" s="2">
        <f t="shared" ca="1" si="971"/>
        <v>821301.05591489398</v>
      </c>
      <c r="AR1001" s="2">
        <f t="shared" ca="1" si="972"/>
        <v>875718.64049377386</v>
      </c>
      <c r="AS1001" s="2">
        <f t="shared" ca="1" si="973"/>
        <v>895523.05731846159</v>
      </c>
      <c r="AT1001" s="2">
        <f t="shared" ca="1" si="974"/>
        <v>915608.68103813415</v>
      </c>
      <c r="AU1001" s="2">
        <f t="shared" ca="1" si="975"/>
        <v>935979.50456601358</v>
      </c>
      <c r="AV1001" s="2">
        <f t="shared" ca="1" si="976"/>
        <v>2337549.1591423908</v>
      </c>
      <c r="AW1001" s="2">
        <f t="shared" ca="1" si="977"/>
        <v>2485586.4422660451</v>
      </c>
      <c r="AX1001" s="2">
        <f t="shared" ca="1" si="978"/>
        <v>2541855.6866602767</v>
      </c>
      <c r="AY1001" s="2">
        <f t="shared" ca="1" si="979"/>
        <v>2598923.9093652209</v>
      </c>
      <c r="AZ1001" s="2">
        <f t="shared" ca="1" si="980"/>
        <v>2656802.4552344987</v>
      </c>
      <c r="BA1001" s="2">
        <f t="shared" ca="1" si="981"/>
        <v>51722513.003355794</v>
      </c>
      <c r="BB1001" s="2">
        <f t="shared" ca="1" si="982"/>
        <v>1034450.2600671159</v>
      </c>
      <c r="BC1001" s="2">
        <f t="shared" ca="1" si="983"/>
        <v>28506990.896279473</v>
      </c>
      <c r="BD1001" s="2">
        <f t="shared" ca="1" si="984"/>
        <v>-16211592.558298185</v>
      </c>
      <c r="BE1001" s="2">
        <f t="shared" ca="1" si="985"/>
        <v>2337549.1591423908</v>
      </c>
      <c r="BF1001" s="2">
        <f t="shared" ca="1" si="986"/>
        <v>2485586.4422660451</v>
      </c>
      <c r="BG1001" s="2">
        <f t="shared" ca="1" si="987"/>
        <v>2541855.6866602767</v>
      </c>
      <c r="BH1001" s="2">
        <f t="shared" ca="1" si="988"/>
        <v>2598923.9093652209</v>
      </c>
      <c r="BI1001" s="2">
        <f t="shared" ca="1" si="989"/>
        <v>31163793.351513971</v>
      </c>
      <c r="BJ1001" s="2">
        <f t="shared" ca="1" si="990"/>
        <v>0.24665885797873277</v>
      </c>
      <c r="BK1001" s="2">
        <f t="shared" ca="1" si="991"/>
        <v>9001078.2721910067</v>
      </c>
    </row>
    <row r="1002" spans="1:63" x14ac:dyDescent="0.3">
      <c r="A1002" s="2">
        <v>1001</v>
      </c>
      <c r="B1002" s="2">
        <f t="shared" ca="1" si="930"/>
        <v>0.79923383466430298</v>
      </c>
      <c r="C1002" s="2">
        <f t="shared" ca="1" si="931"/>
        <v>7.3663342121659134</v>
      </c>
      <c r="D1002" s="2">
        <f t="shared" ca="1" si="932"/>
        <v>0.55393635019241605</v>
      </c>
      <c r="E1002" s="2">
        <f t="shared" ca="1" si="933"/>
        <v>7.5554750931737331</v>
      </c>
      <c r="F1002" s="2">
        <f t="shared" ca="1" si="934"/>
        <v>0.86375989258231345</v>
      </c>
      <c r="G1002" s="2">
        <f t="shared" ca="1" si="935"/>
        <v>7.2921063429524077E-2</v>
      </c>
      <c r="H1002" s="2">
        <f t="shared" ca="1" si="936"/>
        <v>7.2921063429524077E-2</v>
      </c>
      <c r="I1002" s="2">
        <f t="shared" ca="1" si="937"/>
        <v>0.52470843562588043</v>
      </c>
      <c r="J1002" s="2">
        <f t="shared" ca="1" si="938"/>
        <v>1.0309872564415623E-2</v>
      </c>
      <c r="K1002" s="2">
        <f t="shared" ca="1" si="939"/>
        <v>1.0309872564415623E-2</v>
      </c>
      <c r="L1002" s="2">
        <f t="shared" ca="1" si="940"/>
        <v>0.65523813796205665</v>
      </c>
      <c r="M1002" s="2">
        <f t="shared" ca="1" si="941"/>
        <v>7.9900298541295128E-3</v>
      </c>
      <c r="N1002" s="2">
        <f t="shared" ca="1" si="942"/>
        <v>7.9900298541295128E-3</v>
      </c>
      <c r="O1002" s="2">
        <f t="shared" si="943"/>
        <v>6000000</v>
      </c>
      <c r="P1002" s="2">
        <f t="shared" ca="1" si="944"/>
        <v>44198005.272995479</v>
      </c>
      <c r="Q1002" s="2">
        <f t="shared" ca="1" si="945"/>
        <v>1104950.1318248871</v>
      </c>
      <c r="R1002" s="2">
        <f t="shared" ca="1" si="946"/>
        <v>26518803.163797285</v>
      </c>
      <c r="S1002" s="2">
        <f t="shared" ca="1" si="947"/>
        <v>17679202.109198194</v>
      </c>
      <c r="T1002" s="2">
        <f t="shared" ca="1" si="948"/>
        <v>50399501.492706478</v>
      </c>
      <c r="U1002" s="2">
        <f t="shared" ca="1" si="949"/>
        <v>54074686.737872519</v>
      </c>
      <c r="V1002" s="2">
        <f t="shared" ca="1" si="950"/>
        <v>58017870.399416566</v>
      </c>
      <c r="W1002" s="2">
        <f t="shared" ca="1" si="951"/>
        <v>62248595.206858329</v>
      </c>
      <c r="X1002" s="2">
        <f t="shared" ca="1" si="952"/>
        <v>66787828.966336414</v>
      </c>
      <c r="Y1002" s="2">
        <f t="shared" ca="1" si="953"/>
        <v>0.12515493628220781</v>
      </c>
      <c r="Z1002" s="2">
        <f t="shared" ca="1" si="954"/>
        <v>0.12721691079509093</v>
      </c>
      <c r="AA1002" s="2">
        <f t="shared" ca="1" si="955"/>
        <v>6307746.3979747165</v>
      </c>
      <c r="AB1002" s="2">
        <f t="shared" ca="1" si="956"/>
        <v>6879214.5990044149</v>
      </c>
      <c r="AC1002" s="2">
        <f t="shared" ca="1" si="957"/>
        <v>7380854.2431237232</v>
      </c>
      <c r="AD1002" s="2">
        <f t="shared" ca="1" si="958"/>
        <v>7919073.9835506203</v>
      </c>
      <c r="AE1002" s="2">
        <f t="shared" ca="1" si="959"/>
        <v>8496541.2798082102</v>
      </c>
      <c r="AF1002" s="2">
        <f t="shared" ca="1" si="960"/>
        <v>1007990.0298541295</v>
      </c>
      <c r="AG1002" s="2">
        <f t="shared" ca="1" si="961"/>
        <v>1081493.7347574504</v>
      </c>
      <c r="AH1002" s="2">
        <f t="shared" ca="1" si="962"/>
        <v>1160357.4079883313</v>
      </c>
      <c r="AI1002" s="2">
        <f t="shared" ca="1" si="963"/>
        <v>1244971.9041371667</v>
      </c>
      <c r="AJ1002" s="2">
        <f t="shared" ca="1" si="964"/>
        <v>1335756.5793267284</v>
      </c>
      <c r="AK1002" s="2">
        <f t="shared" ca="1" si="965"/>
        <v>0</v>
      </c>
      <c r="AL1002" s="2">
        <f t="shared" ca="1" si="966"/>
        <v>36751.852451660408</v>
      </c>
      <c r="AM1002" s="2">
        <f t="shared" ca="1" si="967"/>
        <v>39431.836615440472</v>
      </c>
      <c r="AN1002" s="2">
        <f t="shared" ca="1" si="968"/>
        <v>42307.248074417636</v>
      </c>
      <c r="AO1002" s="2">
        <f t="shared" ca="1" si="969"/>
        <v>45392.337594780845</v>
      </c>
      <c r="AP1002" s="2">
        <f t="shared" ca="1" si="970"/>
        <v>2386692.2847417556</v>
      </c>
      <c r="AQ1002" s="2">
        <f t="shared" ca="1" si="971"/>
        <v>757396.66167849605</v>
      </c>
      <c r="AR1002" s="2">
        <f t="shared" ca="1" si="972"/>
        <v>886867.43067135429</v>
      </c>
      <c r="AS1002" s="2">
        <f t="shared" ca="1" si="973"/>
        <v>996789.18310234544</v>
      </c>
      <c r="AT1002" s="2">
        <f t="shared" ca="1" si="974"/>
        <v>1114726.5466146413</v>
      </c>
      <c r="AU1002" s="2">
        <f t="shared" ca="1" si="975"/>
        <v>1241264.0280923289</v>
      </c>
      <c r="AV1002" s="2">
        <f t="shared" ca="1" si="976"/>
        <v>2155667.4217003351</v>
      </c>
      <c r="AW1002" s="2">
        <f t="shared" ca="1" si="977"/>
        <v>2487409.2963821944</v>
      </c>
      <c r="AX1002" s="2">
        <f t="shared" ca="1" si="978"/>
        <v>2797583.5306758508</v>
      </c>
      <c r="AY1002" s="2">
        <f t="shared" ca="1" si="979"/>
        <v>3130375.9999826383</v>
      </c>
      <c r="AZ1002" s="2">
        <f t="shared" ca="1" si="980"/>
        <v>3487436.0500526167</v>
      </c>
      <c r="BA1002" s="2">
        <f t="shared" ca="1" si="981"/>
        <v>64195406.017713405</v>
      </c>
      <c r="BB1002" s="2">
        <f t="shared" ca="1" si="982"/>
        <v>1283908.1203542682</v>
      </c>
      <c r="BC1002" s="2">
        <f t="shared" ca="1" si="983"/>
        <v>36392694.733561859</v>
      </c>
      <c r="BD1002" s="2">
        <f t="shared" ca="1" si="984"/>
        <v>-19284152.241023082</v>
      </c>
      <c r="BE1002" s="2">
        <f t="shared" ca="1" si="985"/>
        <v>2155667.4217003351</v>
      </c>
      <c r="BF1002" s="2">
        <f t="shared" ca="1" si="986"/>
        <v>2487409.2963821944</v>
      </c>
      <c r="BG1002" s="2">
        <f t="shared" ca="1" si="987"/>
        <v>2797583.5306758508</v>
      </c>
      <c r="BH1002" s="2">
        <f t="shared" ca="1" si="988"/>
        <v>3130375.9999826383</v>
      </c>
      <c r="BI1002" s="2">
        <f t="shared" ca="1" si="989"/>
        <v>39880130.783614472</v>
      </c>
      <c r="BJ1002" s="2">
        <f t="shared" ca="1" si="990"/>
        <v>0.24711339255078046</v>
      </c>
      <c r="BK1002" s="2">
        <f t="shared" ca="1" si="991"/>
        <v>11233230.731235497</v>
      </c>
    </row>
    <row r="1003" spans="1:63" x14ac:dyDescent="0.3">
      <c r="A1003" s="2">
        <v>1002</v>
      </c>
      <c r="B1003" s="2">
        <f t="shared" ca="1" si="930"/>
        <v>0.20199996170028212</v>
      </c>
      <c r="C1003" s="2">
        <f t="shared" ca="1" si="931"/>
        <v>6.6356098830261878</v>
      </c>
      <c r="D1003" s="2">
        <f t="shared" ca="1" si="932"/>
        <v>0.17042816527208138</v>
      </c>
      <c r="E1003" s="2">
        <f t="shared" ca="1" si="933"/>
        <v>7.0838290250956719</v>
      </c>
      <c r="F1003" s="2">
        <f t="shared" ca="1" si="934"/>
        <v>0.72755927938708198</v>
      </c>
      <c r="G1003" s="2">
        <f t="shared" ca="1" si="935"/>
        <v>5.8163436597523391E-2</v>
      </c>
      <c r="H1003" s="2">
        <f t="shared" ca="1" si="936"/>
        <v>5.8163436597523391E-2</v>
      </c>
      <c r="I1003" s="2">
        <f t="shared" ca="1" si="937"/>
        <v>0.24784889159483581</v>
      </c>
      <c r="J1003" s="2">
        <f t="shared" ca="1" si="938"/>
        <v>6.5936272454437525E-3</v>
      </c>
      <c r="K1003" s="2">
        <f t="shared" ca="1" si="939"/>
        <v>6.5936272454437525E-3</v>
      </c>
      <c r="L1003" s="2">
        <f t="shared" ca="1" si="940"/>
        <v>0.10676617258103627</v>
      </c>
      <c r="M1003" s="2">
        <f t="shared" ca="1" si="941"/>
        <v>-2.4878218656877164E-2</v>
      </c>
      <c r="N1003" s="2">
        <f t="shared" ca="1" si="942"/>
        <v>-2.4878218656877164E-2</v>
      </c>
      <c r="O1003" s="2">
        <f t="shared" si="943"/>
        <v>6000000</v>
      </c>
      <c r="P1003" s="2">
        <f t="shared" ca="1" si="944"/>
        <v>39813659.298157126</v>
      </c>
      <c r="Q1003" s="2">
        <f t="shared" ca="1" si="945"/>
        <v>995341.48245392821</v>
      </c>
      <c r="R1003" s="2">
        <f t="shared" ca="1" si="946"/>
        <v>23888195.578894276</v>
      </c>
      <c r="S1003" s="2">
        <f t="shared" ca="1" si="947"/>
        <v>15925463.719262851</v>
      </c>
      <c r="T1003" s="2">
        <f t="shared" ca="1" si="948"/>
        <v>48756089.067156143</v>
      </c>
      <c r="U1003" s="2">
        <f t="shared" ca="1" si="949"/>
        <v>51591910.762356885</v>
      </c>
      <c r="V1003" s="2">
        <f t="shared" ca="1" si="950"/>
        <v>54592673.592928313</v>
      </c>
      <c r="W1003" s="2">
        <f t="shared" ca="1" si="951"/>
        <v>57767971.10213989</v>
      </c>
      <c r="X1003" s="2">
        <f t="shared" ca="1" si="952"/>
        <v>61127954.826706767</v>
      </c>
      <c r="Y1003" s="2">
        <f t="shared" ca="1" si="953"/>
        <v>0.12329681362272187</v>
      </c>
      <c r="Z1003" s="2">
        <f t="shared" ca="1" si="954"/>
        <v>0.12461553907181062</v>
      </c>
      <c r="AA1003" s="2">
        <f t="shared" ca="1" si="955"/>
        <v>6011470.4266859787</v>
      </c>
      <c r="AB1003" s="2">
        <f t="shared" ca="1" si="956"/>
        <v>6429153.7713958519</v>
      </c>
      <c r="AC1003" s="2">
        <f t="shared" ca="1" si="957"/>
        <v>6803095.4491541618</v>
      </c>
      <c r="AD1003" s="2">
        <f t="shared" ca="1" si="958"/>
        <v>7198786.8599779401</v>
      </c>
      <c r="AE1003" s="2">
        <f t="shared" ca="1" si="959"/>
        <v>7617493.0430873521</v>
      </c>
      <c r="AF1003" s="2">
        <f t="shared" ca="1" si="960"/>
        <v>975121.78134312294</v>
      </c>
      <c r="AG1003" s="2">
        <f t="shared" ca="1" si="961"/>
        <v>1031838.2152471377</v>
      </c>
      <c r="AH1003" s="2">
        <f t="shared" ca="1" si="962"/>
        <v>1091853.4718585662</v>
      </c>
      <c r="AI1003" s="2">
        <f t="shared" ca="1" si="963"/>
        <v>1155359.4220427978</v>
      </c>
      <c r="AJ1003" s="2">
        <f t="shared" ca="1" si="964"/>
        <v>1222559.0965341353</v>
      </c>
      <c r="AK1003" s="2">
        <f t="shared" ca="1" si="965"/>
        <v>0</v>
      </c>
      <c r="AL1003" s="2">
        <f t="shared" ca="1" si="966"/>
        <v>28358.216952007413</v>
      </c>
      <c r="AM1003" s="2">
        <f t="shared" ca="1" si="967"/>
        <v>30007.628305714279</v>
      </c>
      <c r="AN1003" s="2">
        <f t="shared" ca="1" si="968"/>
        <v>31752.975092115776</v>
      </c>
      <c r="AO1003" s="2">
        <f t="shared" ca="1" si="969"/>
        <v>33599.837245668772</v>
      </c>
      <c r="AP1003" s="2">
        <f t="shared" ca="1" si="970"/>
        <v>2149937.602100485</v>
      </c>
      <c r="AQ1003" s="2">
        <f t="shared" ca="1" si="971"/>
        <v>750466.87124301645</v>
      </c>
      <c r="AR1003" s="2">
        <f t="shared" ca="1" si="972"/>
        <v>844318.26805253967</v>
      </c>
      <c r="AS1003" s="2">
        <f t="shared" ca="1" si="973"/>
        <v>925939.13755072898</v>
      </c>
      <c r="AT1003" s="2">
        <f t="shared" ca="1" si="974"/>
        <v>1012307.3573170108</v>
      </c>
      <c r="AU1003" s="2">
        <f t="shared" ca="1" si="975"/>
        <v>1103699.0495577105</v>
      </c>
      <c r="AV1003" s="2">
        <f t="shared" ca="1" si="976"/>
        <v>2135944.1719993539</v>
      </c>
      <c r="AW1003" s="2">
        <f t="shared" ca="1" si="977"/>
        <v>2374701.4690436823</v>
      </c>
      <c r="AX1003" s="2">
        <f t="shared" ca="1" si="978"/>
        <v>2605357.6093386672</v>
      </c>
      <c r="AY1003" s="2">
        <f t="shared" ca="1" si="979"/>
        <v>2849429.5034255302</v>
      </c>
      <c r="AZ1003" s="2">
        <f t="shared" ca="1" si="980"/>
        <v>3107697.457649353</v>
      </c>
      <c r="BA1003" s="2">
        <f t="shared" ca="1" si="981"/>
        <v>53961018.31708654</v>
      </c>
      <c r="BB1003" s="2">
        <f t="shared" ca="1" si="982"/>
        <v>1079220.3663417308</v>
      </c>
      <c r="BC1003" s="2">
        <f t="shared" ca="1" si="983"/>
        <v>28993602.371850532</v>
      </c>
      <c r="BD1003" s="2">
        <f t="shared" ca="1" si="984"/>
        <v>-17420805.201716781</v>
      </c>
      <c r="BE1003" s="2">
        <f t="shared" ca="1" si="985"/>
        <v>2135944.1719993539</v>
      </c>
      <c r="BF1003" s="2">
        <f t="shared" ca="1" si="986"/>
        <v>2374701.4690436823</v>
      </c>
      <c r="BG1003" s="2">
        <f t="shared" ca="1" si="987"/>
        <v>2605357.6093386672</v>
      </c>
      <c r="BH1003" s="2">
        <f t="shared" ca="1" si="988"/>
        <v>2849429.5034255302</v>
      </c>
      <c r="BI1003" s="2">
        <f t="shared" ca="1" si="989"/>
        <v>32101299.829499885</v>
      </c>
      <c r="BJ1003" s="2">
        <f t="shared" ca="1" si="990"/>
        <v>0.2288396017598231</v>
      </c>
      <c r="BK1003" s="2">
        <f t="shared" ca="1" si="991"/>
        <v>8259830.9552477449</v>
      </c>
    </row>
    <row r="1004" spans="1:63" x14ac:dyDescent="0.3">
      <c r="A1004" s="2">
        <v>1003</v>
      </c>
      <c r="B1004" s="2">
        <f t="shared" ca="1" si="930"/>
        <v>0.77363026293004389</v>
      </c>
      <c r="C1004" s="2">
        <f t="shared" ca="1" si="931"/>
        <v>7.3271408214641696</v>
      </c>
      <c r="D1004" s="2">
        <f t="shared" ca="1" si="932"/>
        <v>0.57525216559717418</v>
      </c>
      <c r="E1004" s="2">
        <f t="shared" ca="1" si="933"/>
        <v>7.578319106845731</v>
      </c>
      <c r="F1004" s="2">
        <f t="shared" ca="1" si="934"/>
        <v>0.68532459006673674</v>
      </c>
      <c r="G1004" s="2">
        <f t="shared" ca="1" si="935"/>
        <v>5.4479223339451696E-2</v>
      </c>
      <c r="H1004" s="2">
        <f t="shared" ca="1" si="936"/>
        <v>5.4479223339451696E-2</v>
      </c>
      <c r="I1004" s="2">
        <f t="shared" ca="1" si="937"/>
        <v>7.3998467454588268E-2</v>
      </c>
      <c r="J1004" s="2">
        <f t="shared" ca="1" si="938"/>
        <v>2.7667849738950328E-3</v>
      </c>
      <c r="K1004" s="2">
        <f t="shared" ca="1" si="939"/>
        <v>2.7667849738950328E-3</v>
      </c>
      <c r="L1004" s="2">
        <f t="shared" ca="1" si="940"/>
        <v>0.82686151335515212</v>
      </c>
      <c r="M1004" s="2">
        <f t="shared" ca="1" si="941"/>
        <v>1.8836705842263213E-2</v>
      </c>
      <c r="N1004" s="2">
        <f t="shared" ca="1" si="942"/>
        <v>1.8836705842263213E-2</v>
      </c>
      <c r="O1004" s="2">
        <f t="shared" si="943"/>
        <v>6000000</v>
      </c>
      <c r="P1004" s="2">
        <f t="shared" ca="1" si="944"/>
        <v>43962844.928785019</v>
      </c>
      <c r="Q1004" s="2">
        <f t="shared" ca="1" si="945"/>
        <v>1099071.1232196256</v>
      </c>
      <c r="R1004" s="2">
        <f t="shared" ca="1" si="946"/>
        <v>26377706.95727101</v>
      </c>
      <c r="S1004" s="2">
        <f t="shared" ca="1" si="947"/>
        <v>17585137.971514009</v>
      </c>
      <c r="T1004" s="2">
        <f t="shared" ca="1" si="948"/>
        <v>50941835.292113155</v>
      </c>
      <c r="U1004" s="2">
        <f t="shared" ca="1" si="949"/>
        <v>53717106.914313756</v>
      </c>
      <c r="V1004" s="2">
        <f t="shared" ca="1" si="950"/>
        <v>56643573.17904786</v>
      </c>
      <c r="W1004" s="2">
        <f t="shared" ca="1" si="951"/>
        <v>59729471.053013787</v>
      </c>
      <c r="X1004" s="2">
        <f t="shared" ca="1" si="952"/>
        <v>62983486.246458247</v>
      </c>
      <c r="Y1004" s="2">
        <f t="shared" ca="1" si="953"/>
        <v>0.12138339248694752</v>
      </c>
      <c r="Z1004" s="2">
        <f t="shared" ca="1" si="954"/>
        <v>0.12193674948172652</v>
      </c>
      <c r="AA1004" s="2">
        <f t="shared" ca="1" si="955"/>
        <v>6183492.7872680062</v>
      </c>
      <c r="AB1004" s="2">
        <f t="shared" ca="1" si="956"/>
        <v>6550089.408693796</v>
      </c>
      <c r="AC1004" s="2">
        <f t="shared" ca="1" si="957"/>
        <v>6906933.1924834019</v>
      </c>
      <c r="AD1004" s="2">
        <f t="shared" ca="1" si="958"/>
        <v>7283217.5484673781</v>
      </c>
      <c r="AE1004" s="2">
        <f t="shared" ca="1" si="959"/>
        <v>7680001.5839201473</v>
      </c>
      <c r="AF1004" s="2">
        <f t="shared" ca="1" si="960"/>
        <v>1018836.7058422632</v>
      </c>
      <c r="AG1004" s="2">
        <f t="shared" ca="1" si="961"/>
        <v>1074342.1382862751</v>
      </c>
      <c r="AH1004" s="2">
        <f t="shared" ca="1" si="962"/>
        <v>1132871.4635809571</v>
      </c>
      <c r="AI1004" s="2">
        <f t="shared" ca="1" si="963"/>
        <v>1194589.4210602758</v>
      </c>
      <c r="AJ1004" s="2">
        <f t="shared" ca="1" si="964"/>
        <v>1259669.7249291649</v>
      </c>
      <c r="AK1004" s="2">
        <f t="shared" ca="1" si="965"/>
        <v>0</v>
      </c>
      <c r="AL1004" s="2">
        <f t="shared" ca="1" si="966"/>
        <v>27752.716222006009</v>
      </c>
      <c r="AM1004" s="2">
        <f t="shared" ca="1" si="967"/>
        <v>29264.662647341043</v>
      </c>
      <c r="AN1004" s="2">
        <f t="shared" ca="1" si="968"/>
        <v>30858.978739659266</v>
      </c>
      <c r="AO1004" s="2">
        <f t="shared" ca="1" si="969"/>
        <v>32540.151934444606</v>
      </c>
      <c r="AP1004" s="2">
        <f t="shared" ca="1" si="970"/>
        <v>2373993.6261543906</v>
      </c>
      <c r="AQ1004" s="2">
        <f t="shared" ca="1" si="971"/>
        <v>725572.23837055173</v>
      </c>
      <c r="AR1004" s="2">
        <f t="shared" ca="1" si="972"/>
        <v>806455.94750581402</v>
      </c>
      <c r="AS1004" s="2">
        <f t="shared" ca="1" si="973"/>
        <v>884017.70671449392</v>
      </c>
      <c r="AT1004" s="2">
        <f t="shared" ca="1" si="974"/>
        <v>965804.97032570501</v>
      </c>
      <c r="AU1004" s="2">
        <f t="shared" ca="1" si="975"/>
        <v>1052047.9405375139</v>
      </c>
      <c r="AV1004" s="2">
        <f t="shared" ca="1" si="976"/>
        <v>2065090.2169008008</v>
      </c>
      <c r="AW1004" s="2">
        <f t="shared" ca="1" si="977"/>
        <v>2267544.9805253106</v>
      </c>
      <c r="AX1004" s="2">
        <f t="shared" ca="1" si="978"/>
        <v>2486785.7333862181</v>
      </c>
      <c r="AY1004" s="2">
        <f t="shared" ca="1" si="979"/>
        <v>2717970.5521873473</v>
      </c>
      <c r="AZ1004" s="2">
        <f t="shared" ca="1" si="980"/>
        <v>2961750.1403646325</v>
      </c>
      <c r="BA1004" s="2">
        <f t="shared" ca="1" si="981"/>
        <v>58201502.744027533</v>
      </c>
      <c r="BB1004" s="2">
        <f t="shared" ca="1" si="982"/>
        <v>1164030.0548805506</v>
      </c>
      <c r="BC1004" s="2">
        <f t="shared" ca="1" si="983"/>
        <v>30659765.731875971</v>
      </c>
      <c r="BD1004" s="2">
        <f t="shared" ca="1" si="984"/>
        <v>-19184209.094733633</v>
      </c>
      <c r="BE1004" s="2">
        <f t="shared" ca="1" si="985"/>
        <v>2065090.2169008008</v>
      </c>
      <c r="BF1004" s="2">
        <f t="shared" ca="1" si="986"/>
        <v>2267544.9805253106</v>
      </c>
      <c r="BG1004" s="2">
        <f t="shared" ca="1" si="987"/>
        <v>2486785.7333862181</v>
      </c>
      <c r="BH1004" s="2">
        <f t="shared" ca="1" si="988"/>
        <v>2717970.5521873473</v>
      </c>
      <c r="BI1004" s="2">
        <f t="shared" ca="1" si="989"/>
        <v>33621515.872240603</v>
      </c>
      <c r="BJ1004" s="2">
        <f t="shared" ca="1" si="990"/>
        <v>0.20552995009764552</v>
      </c>
      <c r="BK1004" s="2">
        <f t="shared" ca="1" si="991"/>
        <v>7042409.855550956</v>
      </c>
    </row>
    <row r="1005" spans="1:63" x14ac:dyDescent="0.3">
      <c r="A1005" s="2">
        <v>1004</v>
      </c>
      <c r="B1005" s="2">
        <f t="shared" ca="1" si="930"/>
        <v>0.46432929042521653</v>
      </c>
      <c r="C1005" s="2">
        <f t="shared" ca="1" si="931"/>
        <v>6.9636693316954901</v>
      </c>
      <c r="D1005" s="2">
        <f t="shared" ca="1" si="932"/>
        <v>0.72005860915535491</v>
      </c>
      <c r="E1005" s="2">
        <f t="shared" ca="1" si="933"/>
        <v>7.7517468465223214</v>
      </c>
      <c r="F1005" s="2">
        <f t="shared" ca="1" si="934"/>
        <v>0.7867320662323094</v>
      </c>
      <c r="G1005" s="2">
        <f t="shared" ca="1" si="935"/>
        <v>6.3854004074328286E-2</v>
      </c>
      <c r="H1005" s="2">
        <f t="shared" ca="1" si="936"/>
        <v>6.3854004074328286E-2</v>
      </c>
      <c r="I1005" s="2">
        <f t="shared" ca="1" si="937"/>
        <v>0.54906143309595801</v>
      </c>
      <c r="J1005" s="2">
        <f t="shared" ca="1" si="938"/>
        <v>1.0616452055047097E-2</v>
      </c>
      <c r="K1005" s="2">
        <f t="shared" ca="1" si="939"/>
        <v>1.0616452055047097E-2</v>
      </c>
      <c r="L1005" s="2">
        <f t="shared" ca="1" si="940"/>
        <v>2.2424211282349171E-3</v>
      </c>
      <c r="M1005" s="2">
        <f t="shared" ca="1" si="941"/>
        <v>-5.683759237825748E-2</v>
      </c>
      <c r="N1005" s="2">
        <f t="shared" ca="1" si="942"/>
        <v>-0.05</v>
      </c>
      <c r="O1005" s="2">
        <f t="shared" si="943"/>
        <v>6000000</v>
      </c>
      <c r="P1005" s="2">
        <f t="shared" ca="1" si="944"/>
        <v>41782015.990172938</v>
      </c>
      <c r="Q1005" s="2">
        <f t="shared" ca="1" si="945"/>
        <v>1044550.3997543235</v>
      </c>
      <c r="R1005" s="2">
        <f t="shared" ca="1" si="946"/>
        <v>25069209.594103761</v>
      </c>
      <c r="S1005" s="2">
        <f t="shared" ca="1" si="947"/>
        <v>16712806.396069176</v>
      </c>
      <c r="T1005" s="2">
        <f t="shared" ca="1" si="948"/>
        <v>47500000</v>
      </c>
      <c r="U1005" s="2">
        <f t="shared" ca="1" si="949"/>
        <v>50533065.193530597</v>
      </c>
      <c r="V1005" s="2">
        <f t="shared" ca="1" si="950"/>
        <v>53759803.744286597</v>
      </c>
      <c r="W1005" s="2">
        <f t="shared" ca="1" si="951"/>
        <v>57192582.471609361</v>
      </c>
      <c r="X1005" s="2">
        <f t="shared" ca="1" si="952"/>
        <v>60844557.865772866</v>
      </c>
      <c r="Y1005" s="2">
        <f t="shared" ca="1" si="953"/>
        <v>0.12530822602752353</v>
      </c>
      <c r="Z1005" s="2">
        <f t="shared" ca="1" si="954"/>
        <v>0.12743151643853295</v>
      </c>
      <c r="AA1005" s="2">
        <f t="shared" ca="1" si="955"/>
        <v>5952140.7363073677</v>
      </c>
      <c r="AB1005" s="2">
        <f t="shared" ca="1" si="956"/>
        <v>6439505.1278988514</v>
      </c>
      <c r="AC1005" s="2">
        <f t="shared" ca="1" si="957"/>
        <v>6850693.3145723632</v>
      </c>
      <c r="AD1005" s="2">
        <f t="shared" ca="1" si="958"/>
        <v>7288137.5133930398</v>
      </c>
      <c r="AE1005" s="2">
        <f t="shared" ca="1" si="959"/>
        <v>7753514.2758675041</v>
      </c>
      <c r="AF1005" s="2">
        <f t="shared" ca="1" si="960"/>
        <v>950000</v>
      </c>
      <c r="AG1005" s="2">
        <f t="shared" ca="1" si="961"/>
        <v>1010661.3038706119</v>
      </c>
      <c r="AH1005" s="2">
        <f t="shared" ca="1" si="962"/>
        <v>1075196.074885732</v>
      </c>
      <c r="AI1005" s="2">
        <f t="shared" ca="1" si="963"/>
        <v>1143851.6494321872</v>
      </c>
      <c r="AJ1005" s="2">
        <f t="shared" ca="1" si="964"/>
        <v>1216891.1573154572</v>
      </c>
      <c r="AK1005" s="2">
        <f t="shared" ca="1" si="965"/>
        <v>0</v>
      </c>
      <c r="AL1005" s="2">
        <f t="shared" ca="1" si="966"/>
        <v>30330.65193530597</v>
      </c>
      <c r="AM1005" s="2">
        <f t="shared" ca="1" si="967"/>
        <v>32267.38550756</v>
      </c>
      <c r="AN1005" s="2">
        <f t="shared" ca="1" si="968"/>
        <v>34327.787273227645</v>
      </c>
      <c r="AO1005" s="2">
        <f t="shared" ca="1" si="969"/>
        <v>36519.753941635041</v>
      </c>
      <c r="AP1005" s="2">
        <f t="shared" ca="1" si="970"/>
        <v>2256228.8634693385</v>
      </c>
      <c r="AQ1005" s="2">
        <f t="shared" ca="1" si="971"/>
        <v>713937.08693788759</v>
      </c>
      <c r="AR1005" s="2">
        <f t="shared" ca="1" si="972"/>
        <v>824879.88974531426</v>
      </c>
      <c r="AS1005" s="2">
        <f t="shared" ca="1" si="973"/>
        <v>915009.77781649597</v>
      </c>
      <c r="AT1005" s="2">
        <f t="shared" ca="1" si="974"/>
        <v>1010894.8201277937</v>
      </c>
      <c r="AU1005" s="2">
        <f t="shared" ca="1" si="975"/>
        <v>1112902.506321504</v>
      </c>
      <c r="AV1005" s="2">
        <f t="shared" ca="1" si="976"/>
        <v>2031974.7859001416</v>
      </c>
      <c r="AW1005" s="2">
        <f t="shared" ca="1" si="977"/>
        <v>2317404.4188782801</v>
      </c>
      <c r="AX1005" s="2">
        <f t="shared" ca="1" si="978"/>
        <v>2571991.212893236</v>
      </c>
      <c r="AY1005" s="2">
        <f t="shared" ca="1" si="979"/>
        <v>2842834.3930904935</v>
      </c>
      <c r="AZ1005" s="2">
        <f t="shared" ca="1" si="980"/>
        <v>3130971.9948195699</v>
      </c>
      <c r="BA1005" s="2">
        <f t="shared" ca="1" si="981"/>
        <v>60103279.837421723</v>
      </c>
      <c r="BB1005" s="2">
        <f t="shared" ca="1" si="982"/>
        <v>1202065.5967484345</v>
      </c>
      <c r="BC1005" s="2">
        <f t="shared" ca="1" si="983"/>
        <v>33832004.646569528</v>
      </c>
      <c r="BD1005" s="2">
        <f t="shared" ca="1" si="984"/>
        <v>-18257356.7958235</v>
      </c>
      <c r="BE1005" s="2">
        <f t="shared" ca="1" si="985"/>
        <v>2031974.7859001416</v>
      </c>
      <c r="BF1005" s="2">
        <f t="shared" ca="1" si="986"/>
        <v>2317404.4188782801</v>
      </c>
      <c r="BG1005" s="2">
        <f t="shared" ca="1" si="987"/>
        <v>2571991.212893236</v>
      </c>
      <c r="BH1005" s="2">
        <f t="shared" ca="1" si="988"/>
        <v>2842834.3930904935</v>
      </c>
      <c r="BI1005" s="2">
        <f t="shared" ca="1" si="989"/>
        <v>36962976.641389094</v>
      </c>
      <c r="BJ1005" s="2">
        <f t="shared" ca="1" si="990"/>
        <v>0.24078323697700132</v>
      </c>
      <c r="BK1005" s="2">
        <f t="shared" ca="1" si="991"/>
        <v>10015477.827643037</v>
      </c>
    </row>
    <row r="1006" spans="1:63" x14ac:dyDescent="0.3">
      <c r="A1006" s="2">
        <v>1005</v>
      </c>
      <c r="B1006" s="2">
        <f t="shared" ca="1" si="930"/>
        <v>0.58163177059025684</v>
      </c>
      <c r="C1006" s="2">
        <f t="shared" ca="1" si="931"/>
        <v>7.0852670013498553</v>
      </c>
      <c r="D1006" s="2">
        <f t="shared" ca="1" si="932"/>
        <v>0.77488519730820071</v>
      </c>
      <c r="E1006" s="2">
        <f t="shared" ca="1" si="933"/>
        <v>7.8290084908260029</v>
      </c>
      <c r="F1006" s="2">
        <f t="shared" ca="1" si="934"/>
        <v>0.30356378729207312</v>
      </c>
      <c r="G1006" s="2">
        <f t="shared" ca="1" si="935"/>
        <v>2.457466115867013E-2</v>
      </c>
      <c r="H1006" s="2">
        <f t="shared" ca="1" si="936"/>
        <v>2.457466115867013E-2</v>
      </c>
      <c r="I1006" s="2">
        <f t="shared" ca="1" si="937"/>
        <v>0.40888290258453197</v>
      </c>
      <c r="J1006" s="2">
        <f t="shared" ca="1" si="938"/>
        <v>8.8479024691191684E-3</v>
      </c>
      <c r="K1006" s="2">
        <f t="shared" ca="1" si="939"/>
        <v>8.8479024691191684E-3</v>
      </c>
      <c r="L1006" s="2">
        <f t="shared" ca="1" si="940"/>
        <v>0.94715700926658863</v>
      </c>
      <c r="M1006" s="2">
        <f t="shared" ca="1" si="941"/>
        <v>3.2357830089099926E-2</v>
      </c>
      <c r="N1006" s="2">
        <f t="shared" ca="1" si="942"/>
        <v>3.2357830089099926E-2</v>
      </c>
      <c r="O1006" s="2">
        <f t="shared" si="943"/>
        <v>6000000</v>
      </c>
      <c r="P1006" s="2">
        <f t="shared" ca="1" si="944"/>
        <v>42511602.008099131</v>
      </c>
      <c r="Q1006" s="2">
        <f t="shared" ca="1" si="945"/>
        <v>1062790.0502024784</v>
      </c>
      <c r="R1006" s="2">
        <f t="shared" ca="1" si="946"/>
        <v>25506961.204859477</v>
      </c>
      <c r="S1006" s="2">
        <f t="shared" ca="1" si="947"/>
        <v>17004640.803239655</v>
      </c>
      <c r="T1006" s="2">
        <f t="shared" ca="1" si="948"/>
        <v>51617891.504454993</v>
      </c>
      <c r="U1006" s="2">
        <f t="shared" ca="1" si="949"/>
        <v>52886383.697901972</v>
      </c>
      <c r="V1006" s="2">
        <f t="shared" ca="1" si="950"/>
        <v>54186048.657185331</v>
      </c>
      <c r="W1006" s="2">
        <f t="shared" ca="1" si="951"/>
        <v>55517652.442462876</v>
      </c>
      <c r="X1006" s="2">
        <f t="shared" ca="1" si="952"/>
        <v>56881979.939561218</v>
      </c>
      <c r="Y1006" s="2">
        <f t="shared" ca="1" si="953"/>
        <v>0.12442395123455958</v>
      </c>
      <c r="Z1006" s="2">
        <f t="shared" ca="1" si="954"/>
        <v>0.12619353172838341</v>
      </c>
      <c r="AA1006" s="2">
        <f t="shared" ca="1" si="955"/>
        <v>6422502.0153810959</v>
      </c>
      <c r="AB1006" s="2">
        <f t="shared" ca="1" si="956"/>
        <v>6673919.5391806513</v>
      </c>
      <c r="AC1006" s="2">
        <f t="shared" ca="1" si="957"/>
        <v>6837928.8504562443</v>
      </c>
      <c r="AD1006" s="2">
        <f t="shared" ca="1" si="958"/>
        <v>7005968.6349833012</v>
      </c>
      <c r="AE1006" s="2">
        <f t="shared" ca="1" si="959"/>
        <v>7178137.9402762866</v>
      </c>
      <c r="AF1006" s="2">
        <f t="shared" ca="1" si="960"/>
        <v>1032357.8300890998</v>
      </c>
      <c r="AG1006" s="2">
        <f t="shared" ca="1" si="961"/>
        <v>1057727.6739580394</v>
      </c>
      <c r="AH1006" s="2">
        <f t="shared" ca="1" si="962"/>
        <v>1083720.9731437066</v>
      </c>
      <c r="AI1006" s="2">
        <f t="shared" ca="1" si="963"/>
        <v>1110353.0488492576</v>
      </c>
      <c r="AJ1006" s="2">
        <f t="shared" ca="1" si="964"/>
        <v>1137639.5987912244</v>
      </c>
      <c r="AK1006" s="2">
        <f t="shared" ca="1" si="965"/>
        <v>0</v>
      </c>
      <c r="AL1006" s="2">
        <f t="shared" ca="1" si="966"/>
        <v>12684.92193446979</v>
      </c>
      <c r="AM1006" s="2">
        <f t="shared" ca="1" si="967"/>
        <v>12996.649592833593</v>
      </c>
      <c r="AN1006" s="2">
        <f t="shared" ca="1" si="968"/>
        <v>13316.037852775455</v>
      </c>
      <c r="AO1006" s="2">
        <f t="shared" ca="1" si="969"/>
        <v>13643.274970983417</v>
      </c>
      <c r="AP1006" s="2">
        <f t="shared" ca="1" si="970"/>
        <v>2295626.5084373527</v>
      </c>
      <c r="AQ1006" s="2">
        <f t="shared" ca="1" si="971"/>
        <v>804574.59598220733</v>
      </c>
      <c r="AR1006" s="2">
        <f t="shared" ca="1" si="972"/>
        <v>863346.99276416749</v>
      </c>
      <c r="AS1006" s="2">
        <f t="shared" ca="1" si="973"/>
        <v>899231.15590754803</v>
      </c>
      <c r="AT1006" s="2">
        <f t="shared" ca="1" si="974"/>
        <v>935997.16020113963</v>
      </c>
      <c r="AU1006" s="2">
        <f t="shared" ca="1" si="975"/>
        <v>973666.6765924046</v>
      </c>
      <c r="AV1006" s="2">
        <f t="shared" ca="1" si="976"/>
        <v>2289943.0808724365</v>
      </c>
      <c r="AW1006" s="2">
        <f t="shared" ca="1" si="977"/>
        <v>2444533.4420866226</v>
      </c>
      <c r="AX1006" s="2">
        <f t="shared" ca="1" si="978"/>
        <v>2546353.5633748029</v>
      </c>
      <c r="AY1006" s="2">
        <f t="shared" ca="1" si="979"/>
        <v>2650675.8796427757</v>
      </c>
      <c r="AZ1006" s="2">
        <f t="shared" ca="1" si="980"/>
        <v>2757561.8814843218</v>
      </c>
      <c r="BA1006" s="2">
        <f t="shared" ca="1" si="981"/>
        <v>56197702.882743321</v>
      </c>
      <c r="BB1006" s="2">
        <f t="shared" ca="1" si="982"/>
        <v>1123954.0576548665</v>
      </c>
      <c r="BC1006" s="2">
        <f t="shared" ca="1" si="983"/>
        <v>29566787.62022898</v>
      </c>
      <c r="BD1006" s="2">
        <f t="shared" ca="1" si="984"/>
        <v>-18567430.853442132</v>
      </c>
      <c r="BE1006" s="2">
        <f t="shared" ca="1" si="985"/>
        <v>2289943.0808724365</v>
      </c>
      <c r="BF1006" s="2">
        <f t="shared" ca="1" si="986"/>
        <v>2444533.4420866226</v>
      </c>
      <c r="BG1006" s="2">
        <f t="shared" ca="1" si="987"/>
        <v>2546353.5633748029</v>
      </c>
      <c r="BH1006" s="2">
        <f t="shared" ca="1" si="988"/>
        <v>2650675.8796427757</v>
      </c>
      <c r="BI1006" s="2">
        <f t="shared" ca="1" si="989"/>
        <v>32324349.501713302</v>
      </c>
      <c r="BJ1006" s="2">
        <f t="shared" ca="1" si="990"/>
        <v>0.21207503753007995</v>
      </c>
      <c r="BK1006" s="2">
        <f t="shared" ca="1" si="991"/>
        <v>7264628.889321629</v>
      </c>
    </row>
    <row r="1007" spans="1:63" x14ac:dyDescent="0.3">
      <c r="A1007" s="2">
        <v>1006</v>
      </c>
      <c r="B1007" s="2">
        <f t="shared" ca="1" si="930"/>
        <v>0.66271376731209097</v>
      </c>
      <c r="C1007" s="2">
        <f t="shared" ca="1" si="931"/>
        <v>7.1786763942416982</v>
      </c>
      <c r="D1007" s="2">
        <f t="shared" ca="1" si="932"/>
        <v>0.12387786594474071</v>
      </c>
      <c r="E1007" s="2">
        <f t="shared" ca="1" si="933"/>
        <v>6.9977506724148961</v>
      </c>
      <c r="F1007" s="2">
        <f t="shared" ca="1" si="934"/>
        <v>0.32754223829027973</v>
      </c>
      <c r="G1007" s="2">
        <f t="shared" ca="1" si="935"/>
        <v>2.6598700662142941E-2</v>
      </c>
      <c r="H1007" s="2">
        <f t="shared" ca="1" si="936"/>
        <v>2.6598700662142941E-2</v>
      </c>
      <c r="I1007" s="2">
        <f t="shared" ca="1" si="937"/>
        <v>6.4367167397442415E-2</v>
      </c>
      <c r="J1007" s="2">
        <f t="shared" ca="1" si="938"/>
        <v>2.40444055834648E-3</v>
      </c>
      <c r="K1007" s="2">
        <f t="shared" ca="1" si="939"/>
        <v>2.40444055834648E-3</v>
      </c>
      <c r="L1007" s="2">
        <f t="shared" ca="1" si="940"/>
        <v>0.94984590615545017</v>
      </c>
      <c r="M1007" s="2">
        <f t="shared" ca="1" si="941"/>
        <v>3.2867227402383327E-2</v>
      </c>
      <c r="N1007" s="2">
        <f t="shared" ca="1" si="942"/>
        <v>3.2867227402383327E-2</v>
      </c>
      <c r="O1007" s="2">
        <f t="shared" si="943"/>
        <v>6000000</v>
      </c>
      <c r="P1007" s="2">
        <f t="shared" ca="1" si="944"/>
        <v>43072058.365450189</v>
      </c>
      <c r="Q1007" s="2">
        <f t="shared" ca="1" si="945"/>
        <v>1076801.4591362549</v>
      </c>
      <c r="R1007" s="2">
        <f t="shared" ca="1" si="946"/>
        <v>25843235.019270111</v>
      </c>
      <c r="S1007" s="2">
        <f t="shared" ca="1" si="947"/>
        <v>17228823.346180078</v>
      </c>
      <c r="T1007" s="2">
        <f t="shared" ca="1" si="948"/>
        <v>51643361.370119169</v>
      </c>
      <c r="U1007" s="2">
        <f t="shared" ca="1" si="949"/>
        <v>53017007.680389844</v>
      </c>
      <c r="V1007" s="2">
        <f t="shared" ca="1" si="950"/>
        <v>54427191.197683066</v>
      </c>
      <c r="W1007" s="2">
        <f t="shared" ca="1" si="951"/>
        <v>55874883.764231458</v>
      </c>
      <c r="X1007" s="2">
        <f t="shared" ca="1" si="952"/>
        <v>57361083.072008274</v>
      </c>
      <c r="Y1007" s="2">
        <f t="shared" ca="1" si="953"/>
        <v>0.12120222027917324</v>
      </c>
      <c r="Z1007" s="2">
        <f t="shared" ca="1" si="954"/>
        <v>0.12168310839084254</v>
      </c>
      <c r="AA1007" s="2">
        <f t="shared" ca="1" si="955"/>
        <v>6259290.0607381295</v>
      </c>
      <c r="AB1007" s="2">
        <f t="shared" ca="1" si="956"/>
        <v>6451274.2921310086</v>
      </c>
      <c r="AC1007" s="2">
        <f t="shared" ca="1" si="957"/>
        <v>6622869.8059167797</v>
      </c>
      <c r="AD1007" s="2">
        <f t="shared" ca="1" si="958"/>
        <v>6799029.5374087049</v>
      </c>
      <c r="AE1007" s="2">
        <f t="shared" ca="1" si="959"/>
        <v>6979874.8888673056</v>
      </c>
      <c r="AF1007" s="2">
        <f t="shared" ca="1" si="960"/>
        <v>1032867.2274023835</v>
      </c>
      <c r="AG1007" s="2">
        <f t="shared" ca="1" si="961"/>
        <v>1060340.1536077969</v>
      </c>
      <c r="AH1007" s="2">
        <f t="shared" ca="1" si="962"/>
        <v>1088543.8239536614</v>
      </c>
      <c r="AI1007" s="2">
        <f t="shared" ca="1" si="963"/>
        <v>1117497.6752846292</v>
      </c>
      <c r="AJ1007" s="2">
        <f t="shared" ca="1" si="964"/>
        <v>1147221.6614401655</v>
      </c>
      <c r="AK1007" s="2">
        <f t="shared" ca="1" si="965"/>
        <v>0</v>
      </c>
      <c r="AL1007" s="2">
        <f t="shared" ca="1" si="966"/>
        <v>13736.463102706746</v>
      </c>
      <c r="AM1007" s="2">
        <f t="shared" ca="1" si="967"/>
        <v>14101.835172932222</v>
      </c>
      <c r="AN1007" s="2">
        <f t="shared" ca="1" si="968"/>
        <v>14476.925665483923</v>
      </c>
      <c r="AO1007" s="2">
        <f t="shared" ca="1" si="969"/>
        <v>14861.993077768162</v>
      </c>
      <c r="AP1007" s="2">
        <f t="shared" ca="1" si="970"/>
        <v>2325891.1517343097</v>
      </c>
      <c r="AQ1007" s="2">
        <f t="shared" ca="1" si="971"/>
        <v>754138.23721637344</v>
      </c>
      <c r="AR1007" s="2">
        <f t="shared" ca="1" si="972"/>
        <v>796911.17656511453</v>
      </c>
      <c r="AS1007" s="2">
        <f t="shared" ca="1" si="973"/>
        <v>834193.0558594903</v>
      </c>
      <c r="AT1007" s="2">
        <f t="shared" ca="1" si="974"/>
        <v>872466.58470133925</v>
      </c>
      <c r="AU1007" s="2">
        <f t="shared" ca="1" si="975"/>
        <v>911758.13968013588</v>
      </c>
      <c r="AV1007" s="2">
        <f t="shared" ca="1" si="976"/>
        <v>2146393.4443850624</v>
      </c>
      <c r="AW1007" s="2">
        <f t="shared" ca="1" si="977"/>
        <v>2254395.3471210808</v>
      </c>
      <c r="AX1007" s="2">
        <f t="shared" ca="1" si="978"/>
        <v>2360139.9391963859</v>
      </c>
      <c r="AY1007" s="2">
        <f t="shared" ca="1" si="979"/>
        <v>2468697.2000229429</v>
      </c>
      <c r="AZ1007" s="2">
        <f t="shared" ca="1" si="980"/>
        <v>2580141.9429349261</v>
      </c>
      <c r="BA1007" s="2">
        <f t="shared" ca="1" si="981"/>
        <v>48843424.196943037</v>
      </c>
      <c r="BB1007" s="2">
        <f t="shared" ca="1" si="982"/>
        <v>976868.48393886071</v>
      </c>
      <c r="BC1007" s="2">
        <f t="shared" ca="1" si="983"/>
        <v>22023320.693734065</v>
      </c>
      <c r="BD1007" s="2">
        <f t="shared" ca="1" si="984"/>
        <v>-18805624.805316333</v>
      </c>
      <c r="BE1007" s="2">
        <f t="shared" ca="1" si="985"/>
        <v>2146393.4443850624</v>
      </c>
      <c r="BF1007" s="2">
        <f t="shared" ca="1" si="986"/>
        <v>2254395.3471210808</v>
      </c>
      <c r="BG1007" s="2">
        <f t="shared" ca="1" si="987"/>
        <v>2360139.9391963859</v>
      </c>
      <c r="BH1007" s="2">
        <f t="shared" ca="1" si="988"/>
        <v>2468697.2000229429</v>
      </c>
      <c r="BI1007" s="2">
        <f t="shared" ca="1" si="989"/>
        <v>24603462.636668991</v>
      </c>
      <c r="BJ1007" s="2">
        <f t="shared" ca="1" si="990"/>
        <v>0.14941691553619907</v>
      </c>
      <c r="BK1007" s="2">
        <f t="shared" ca="1" si="991"/>
        <v>2117456.2164216712</v>
      </c>
    </row>
    <row r="1008" spans="1:63" x14ac:dyDescent="0.3">
      <c r="A1008" s="2">
        <v>1007</v>
      </c>
      <c r="B1008" s="2">
        <f t="shared" ca="1" si="930"/>
        <v>0.69531898429007344</v>
      </c>
      <c r="C1008" s="2">
        <f t="shared" ca="1" si="931"/>
        <v>7.2193835567835807</v>
      </c>
      <c r="D1008" s="2">
        <f t="shared" ca="1" si="932"/>
        <v>0.70816464852287553</v>
      </c>
      <c r="E1008" s="2">
        <f t="shared" ca="1" si="933"/>
        <v>7.7360165558375957</v>
      </c>
      <c r="F1008" s="2">
        <f t="shared" ca="1" si="934"/>
        <v>0.53460546998931591</v>
      </c>
      <c r="G1008" s="2">
        <f t="shared" ca="1" si="935"/>
        <v>4.2605563536522208E-2</v>
      </c>
      <c r="H1008" s="2">
        <f t="shared" ca="1" si="936"/>
        <v>4.2605563536522208E-2</v>
      </c>
      <c r="I1008" s="2">
        <f t="shared" ca="1" si="937"/>
        <v>0.65753939310415721</v>
      </c>
      <c r="J1008" s="2">
        <f t="shared" ca="1" si="938"/>
        <v>1.2028784608529876E-2</v>
      </c>
      <c r="K1008" s="2">
        <f t="shared" ca="1" si="939"/>
        <v>1.2028784608529876E-2</v>
      </c>
      <c r="L1008" s="2">
        <f t="shared" ca="1" si="940"/>
        <v>0.70744697182387506</v>
      </c>
      <c r="M1008" s="2">
        <f t="shared" ca="1" si="941"/>
        <v>1.0918832734277207E-2</v>
      </c>
      <c r="N1008" s="2">
        <f t="shared" ca="1" si="942"/>
        <v>1.0918832734277207E-2</v>
      </c>
      <c r="O1008" s="2">
        <f t="shared" si="943"/>
        <v>6000000</v>
      </c>
      <c r="P1008" s="2">
        <f t="shared" ca="1" si="944"/>
        <v>43316301.340701483</v>
      </c>
      <c r="Q1008" s="2">
        <f t="shared" ca="1" si="945"/>
        <v>1082907.5335175372</v>
      </c>
      <c r="R1008" s="2">
        <f t="shared" ca="1" si="946"/>
        <v>25989780.804420888</v>
      </c>
      <c r="S1008" s="2">
        <f t="shared" ca="1" si="947"/>
        <v>17326520.536280595</v>
      </c>
      <c r="T1008" s="2">
        <f t="shared" ca="1" si="948"/>
        <v>50545941.636713862</v>
      </c>
      <c r="U1008" s="2">
        <f t="shared" ca="1" si="949"/>
        <v>52699479.964630216</v>
      </c>
      <c r="V1008" s="2">
        <f t="shared" ca="1" si="950"/>
        <v>54944771.00660494</v>
      </c>
      <c r="W1008" s="2">
        <f t="shared" ca="1" si="951"/>
        <v>57285723.938726507</v>
      </c>
      <c r="X1008" s="2">
        <f t="shared" ca="1" si="952"/>
        <v>59726414.489733584</v>
      </c>
      <c r="Y1008" s="2">
        <f t="shared" ca="1" si="953"/>
        <v>0.12601439230426492</v>
      </c>
      <c r="Z1008" s="2">
        <f t="shared" ca="1" si="954"/>
        <v>0.12842014922597092</v>
      </c>
      <c r="AA1008" s="2">
        <f t="shared" ca="1" si="955"/>
        <v>6369516.1187973395</v>
      </c>
      <c r="AB1008" s="2">
        <f t="shared" ca="1" si="956"/>
        <v>6767675.0811888771</v>
      </c>
      <c r="AC1008" s="2">
        <f t="shared" ca="1" si="957"/>
        <v>7056015.6918550069</v>
      </c>
      <c r="AD1008" s="2">
        <f t="shared" ca="1" si="958"/>
        <v>7356641.2167290328</v>
      </c>
      <c r="AE1008" s="2">
        <f t="shared" ca="1" si="959"/>
        <v>7670075.0615037791</v>
      </c>
      <c r="AF1008" s="2">
        <f t="shared" ca="1" si="960"/>
        <v>1010918.8327342772</v>
      </c>
      <c r="AG1008" s="2">
        <f t="shared" ca="1" si="961"/>
        <v>1053989.5992926043</v>
      </c>
      <c r="AH1008" s="2">
        <f t="shared" ca="1" si="962"/>
        <v>1098895.4201320987</v>
      </c>
      <c r="AI1008" s="2">
        <f t="shared" ca="1" si="963"/>
        <v>1145714.4787745301</v>
      </c>
      <c r="AJ1008" s="2">
        <f t="shared" ca="1" si="964"/>
        <v>1194528.2897946718</v>
      </c>
      <c r="AK1008" s="2">
        <f t="shared" ca="1" si="965"/>
        <v>0</v>
      </c>
      <c r="AL1008" s="2">
        <f t="shared" ca="1" si="966"/>
        <v>21535.38327916354</v>
      </c>
      <c r="AM1008" s="2">
        <f t="shared" ca="1" si="967"/>
        <v>22452.910419747233</v>
      </c>
      <c r="AN1008" s="2">
        <f t="shared" ca="1" si="968"/>
        <v>23409.529321215676</v>
      </c>
      <c r="AO1008" s="2">
        <f t="shared" ca="1" si="969"/>
        <v>24406.90551007077</v>
      </c>
      <c r="AP1008" s="2">
        <f t="shared" ca="1" si="970"/>
        <v>2339080.27239788</v>
      </c>
      <c r="AQ1008" s="2">
        <f t="shared" ca="1" si="971"/>
        <v>785074.42355294735</v>
      </c>
      <c r="AR1008" s="2">
        <f t="shared" ca="1" si="972"/>
        <v>877397.35446958221</v>
      </c>
      <c r="AS1008" s="2">
        <f t="shared" ca="1" si="973"/>
        <v>940690.3998245073</v>
      </c>
      <c r="AT1008" s="2">
        <f t="shared" ca="1" si="974"/>
        <v>1006680.081044722</v>
      </c>
      <c r="AU1008" s="2">
        <f t="shared" ca="1" si="975"/>
        <v>1075481.289820919</v>
      </c>
      <c r="AV1008" s="2">
        <f t="shared" ca="1" si="976"/>
        <v>2234442.5901122349</v>
      </c>
      <c r="AW1008" s="2">
        <f t="shared" ca="1" si="977"/>
        <v>2475672.4717496471</v>
      </c>
      <c r="AX1008" s="2">
        <f t="shared" ca="1" si="978"/>
        <v>2654896.6890807734</v>
      </c>
      <c r="AY1008" s="2">
        <f t="shared" ca="1" si="979"/>
        <v>2841756.8551906846</v>
      </c>
      <c r="AZ1008" s="2">
        <f t="shared" ca="1" si="980"/>
        <v>3036578.3039802373</v>
      </c>
      <c r="BA1008" s="2">
        <f t="shared" ca="1" si="981"/>
        <v>59335827.660310298</v>
      </c>
      <c r="BB1008" s="2">
        <f t="shared" ca="1" si="982"/>
        <v>1186716.5532062061</v>
      </c>
      <c r="BC1008" s="2">
        <f t="shared" ca="1" si="983"/>
        <v>32159330.302683204</v>
      </c>
      <c r="BD1008" s="2">
        <f t="shared" ca="1" si="984"/>
        <v>-18909428.069798131</v>
      </c>
      <c r="BE1008" s="2">
        <f t="shared" ca="1" si="985"/>
        <v>2234442.5901122349</v>
      </c>
      <c r="BF1008" s="2">
        <f t="shared" ca="1" si="986"/>
        <v>2475672.4717496471</v>
      </c>
      <c r="BG1008" s="2">
        <f t="shared" ca="1" si="987"/>
        <v>2654896.6890807734</v>
      </c>
      <c r="BH1008" s="2">
        <f t="shared" ca="1" si="988"/>
        <v>2841756.8551906846</v>
      </c>
      <c r="BI1008" s="2">
        <f t="shared" ca="1" si="989"/>
        <v>35195908.606663443</v>
      </c>
      <c r="BJ1008" s="2">
        <f t="shared" ca="1" si="990"/>
        <v>0.22546068860760404</v>
      </c>
      <c r="BK1008" s="2">
        <f t="shared" ca="1" si="991"/>
        <v>8725995.5284038857</v>
      </c>
    </row>
    <row r="1009" spans="1:63" x14ac:dyDescent="0.3">
      <c r="A1009" s="2">
        <v>1008</v>
      </c>
      <c r="B1009" s="2">
        <f t="shared" ca="1" si="930"/>
        <v>0.58651501575428433</v>
      </c>
      <c r="C1009" s="2">
        <f t="shared" ca="1" si="931"/>
        <v>7.0906211083979178</v>
      </c>
      <c r="D1009" s="2">
        <f t="shared" ca="1" si="932"/>
        <v>0.81034772215450257</v>
      </c>
      <c r="E1009" s="2">
        <f t="shared" ca="1" si="933"/>
        <v>7.8841229378431157</v>
      </c>
      <c r="F1009" s="2">
        <f t="shared" ca="1" si="934"/>
        <v>0.63955739159112868</v>
      </c>
      <c r="G1009" s="2">
        <f t="shared" ca="1" si="935"/>
        <v>5.0718279132066044E-2</v>
      </c>
      <c r="H1009" s="2">
        <f t="shared" ca="1" si="936"/>
        <v>5.0718279132066044E-2</v>
      </c>
      <c r="I1009" s="2">
        <f t="shared" ca="1" si="937"/>
        <v>0.41490510904923861</v>
      </c>
      <c r="J1009" s="2">
        <f t="shared" ca="1" si="938"/>
        <v>8.9252751171281283E-3</v>
      </c>
      <c r="K1009" s="2">
        <f t="shared" ca="1" si="939"/>
        <v>8.9252751171281283E-3</v>
      </c>
      <c r="L1009" s="2">
        <f t="shared" ca="1" si="940"/>
        <v>0.72442082141769659</v>
      </c>
      <c r="M1009" s="2">
        <f t="shared" ca="1" si="941"/>
        <v>1.1920505046047915E-2</v>
      </c>
      <c r="N1009" s="2">
        <f t="shared" ca="1" si="942"/>
        <v>1.1920505046047915E-2</v>
      </c>
      <c r="O1009" s="2">
        <f t="shared" si="943"/>
        <v>6000000</v>
      </c>
      <c r="P1009" s="2">
        <f t="shared" ca="1" si="944"/>
        <v>42543726.650387503</v>
      </c>
      <c r="Q1009" s="2">
        <f t="shared" ca="1" si="945"/>
        <v>1063593.1662596876</v>
      </c>
      <c r="R1009" s="2">
        <f t="shared" ca="1" si="946"/>
        <v>25526235.990232501</v>
      </c>
      <c r="S1009" s="2">
        <f t="shared" ca="1" si="947"/>
        <v>17017490.660155002</v>
      </c>
      <c r="T1009" s="2">
        <f t="shared" ca="1" si="948"/>
        <v>50596025.252302401</v>
      </c>
      <c r="U1009" s="2">
        <f t="shared" ca="1" si="949"/>
        <v>53162168.584021732</v>
      </c>
      <c r="V1009" s="2">
        <f t="shared" ca="1" si="950"/>
        <v>55858462.289532095</v>
      </c>
      <c r="W1009" s="2">
        <f t="shared" ca="1" si="951"/>
        <v>58691507.371820562</v>
      </c>
      <c r="X1009" s="2">
        <f t="shared" ca="1" si="952"/>
        <v>61668239.62538626</v>
      </c>
      <c r="Y1009" s="2">
        <f t="shared" ca="1" si="953"/>
        <v>0.12446263755856406</v>
      </c>
      <c r="Z1009" s="2">
        <f t="shared" ca="1" si="954"/>
        <v>0.12624769258198967</v>
      </c>
      <c r="AA1009" s="2">
        <f t="shared" ca="1" si="955"/>
        <v>6297314.752881268</v>
      </c>
      <c r="AB1009" s="2">
        <f t="shared" ca="1" si="956"/>
        <v>6711601.1163874846</v>
      </c>
      <c r="AC1009" s="2">
        <f t="shared" ca="1" si="957"/>
        <v>7052001.9752315106</v>
      </c>
      <c r="AD1009" s="2">
        <f t="shared" ca="1" si="958"/>
        <v>7409667.3798511829</v>
      </c>
      <c r="AE1009" s="2">
        <f t="shared" ca="1" si="959"/>
        <v>7785472.9582982389</v>
      </c>
      <c r="AF1009" s="2">
        <f t="shared" ca="1" si="960"/>
        <v>1011920.5050460481</v>
      </c>
      <c r="AG1009" s="2">
        <f t="shared" ca="1" si="961"/>
        <v>1063243.3716804346</v>
      </c>
      <c r="AH1009" s="2">
        <f t="shared" ca="1" si="962"/>
        <v>1117169.245790642</v>
      </c>
      <c r="AI1009" s="2">
        <f t="shared" ca="1" si="963"/>
        <v>1173830.1474364114</v>
      </c>
      <c r="AJ1009" s="2">
        <f t="shared" ca="1" si="964"/>
        <v>1233364.7925077253</v>
      </c>
      <c r="AK1009" s="2">
        <f t="shared" ca="1" si="965"/>
        <v>0</v>
      </c>
      <c r="AL1009" s="2">
        <f t="shared" ca="1" si="966"/>
        <v>25661.433317193314</v>
      </c>
      <c r="AM1009" s="2">
        <f t="shared" ca="1" si="967"/>
        <v>26962.93705510363</v>
      </c>
      <c r="AN1009" s="2">
        <f t="shared" ca="1" si="968"/>
        <v>28330.450822884664</v>
      </c>
      <c r="AO1009" s="2">
        <f t="shared" ca="1" si="969"/>
        <v>29767.322535656989</v>
      </c>
      <c r="AP1009" s="2">
        <f t="shared" ca="1" si="970"/>
        <v>2297361.2391209248</v>
      </c>
      <c r="AQ1009" s="2">
        <f t="shared" ca="1" si="971"/>
        <v>776888.58226571674</v>
      </c>
      <c r="AR1009" s="2">
        <f t="shared" ca="1" si="972"/>
        <v>871259.09145239252</v>
      </c>
      <c r="AS1009" s="2">
        <f t="shared" ca="1" si="973"/>
        <v>945742.58748318546</v>
      </c>
      <c r="AT1009" s="2">
        <f t="shared" ca="1" si="974"/>
        <v>1024003.7582564002</v>
      </c>
      <c r="AU1009" s="2">
        <f t="shared" ca="1" si="975"/>
        <v>1106234.200934093</v>
      </c>
      <c r="AV1009" s="2">
        <f t="shared" ca="1" si="976"/>
        <v>2211144.426448578</v>
      </c>
      <c r="AW1009" s="2">
        <f t="shared" ca="1" si="977"/>
        <v>2454075.9808165384</v>
      </c>
      <c r="AX1009" s="2">
        <f t="shared" ca="1" si="978"/>
        <v>2664765.9657816552</v>
      </c>
      <c r="AY1009" s="2">
        <f t="shared" ca="1" si="979"/>
        <v>2886141.7842145627</v>
      </c>
      <c r="AZ1009" s="2">
        <f t="shared" ca="1" si="980"/>
        <v>3118745.4031998385</v>
      </c>
      <c r="BA1009" s="2">
        <f t="shared" ca="1" si="981"/>
        <v>61381625.932476446</v>
      </c>
      <c r="BB1009" s="2">
        <f t="shared" ca="1" si="982"/>
        <v>1227632.518649529</v>
      </c>
      <c r="BC1009" s="2">
        <f t="shared" ca="1" si="983"/>
        <v>34627757.423594423</v>
      </c>
      <c r="BD1009" s="2">
        <f t="shared" ca="1" si="984"/>
        <v>-18581083.826414689</v>
      </c>
      <c r="BE1009" s="2">
        <f t="shared" ca="1" si="985"/>
        <v>2211144.426448578</v>
      </c>
      <c r="BF1009" s="2">
        <f t="shared" ca="1" si="986"/>
        <v>2454075.9808165384</v>
      </c>
      <c r="BG1009" s="2">
        <f t="shared" ca="1" si="987"/>
        <v>2664765.9657816552</v>
      </c>
      <c r="BH1009" s="2">
        <f t="shared" ca="1" si="988"/>
        <v>2886141.7842145627</v>
      </c>
      <c r="BI1009" s="2">
        <f t="shared" ca="1" si="989"/>
        <v>37746502.826794259</v>
      </c>
      <c r="BJ1009" s="2">
        <f t="shared" ca="1" si="990"/>
        <v>0.24466815045985069</v>
      </c>
      <c r="BK1009" s="2">
        <f t="shared" ca="1" si="991"/>
        <v>10498829.089158464</v>
      </c>
    </row>
    <row r="1010" spans="1:63" x14ac:dyDescent="0.3">
      <c r="A1010" s="2">
        <v>1009</v>
      </c>
      <c r="B1010" s="2">
        <f t="shared" ca="1" si="930"/>
        <v>0.5305964662950472</v>
      </c>
      <c r="C1010" s="2">
        <f t="shared" ca="1" si="931"/>
        <v>7.0310794318366927</v>
      </c>
      <c r="D1010" s="2">
        <f t="shared" ca="1" si="932"/>
        <v>6.8239785623234184E-2</v>
      </c>
      <c r="E1010" s="2">
        <f t="shared" ca="1" si="933"/>
        <v>6.8694314161606567</v>
      </c>
      <c r="F1010" s="2">
        <f t="shared" ca="1" si="934"/>
        <v>9.6146766765847325E-2</v>
      </c>
      <c r="G1010" s="2">
        <f t="shared" ca="1" si="935"/>
        <v>8.8527435839828167E-4</v>
      </c>
      <c r="H1010" s="2">
        <f t="shared" ca="1" si="936"/>
        <v>8.8527435839828167E-4</v>
      </c>
      <c r="I1010" s="2">
        <f t="shared" ca="1" si="937"/>
        <v>0.59782043347058655</v>
      </c>
      <c r="J1010" s="2">
        <f t="shared" ca="1" si="938"/>
        <v>1.1238547809641258E-2</v>
      </c>
      <c r="K1010" s="2">
        <f t="shared" ca="1" si="939"/>
        <v>1.1238547809641258E-2</v>
      </c>
      <c r="L1010" s="2">
        <f t="shared" ca="1" si="940"/>
        <v>0.41851356906549753</v>
      </c>
      <c r="M1010" s="2">
        <f t="shared" ca="1" si="941"/>
        <v>-4.1139518787652761E-3</v>
      </c>
      <c r="N1010" s="2">
        <f t="shared" ca="1" si="942"/>
        <v>-4.1139518787652761E-3</v>
      </c>
      <c r="O1010" s="2">
        <f t="shared" si="943"/>
        <v>6000000</v>
      </c>
      <c r="P1010" s="2">
        <f t="shared" ca="1" si="944"/>
        <v>42186476.591020159</v>
      </c>
      <c r="Q1010" s="2">
        <f t="shared" ca="1" si="945"/>
        <v>1054661.914775504</v>
      </c>
      <c r="R1010" s="2">
        <f t="shared" ca="1" si="946"/>
        <v>25311885.954612095</v>
      </c>
      <c r="S1010" s="2">
        <f t="shared" ca="1" si="947"/>
        <v>16874590.636408065</v>
      </c>
      <c r="T1010" s="2">
        <f t="shared" ca="1" si="948"/>
        <v>49794302.406061739</v>
      </c>
      <c r="U1010" s="2">
        <f t="shared" ca="1" si="949"/>
        <v>49838384.025176153</v>
      </c>
      <c r="V1010" s="2">
        <f t="shared" ca="1" si="950"/>
        <v>49882504.668617643</v>
      </c>
      <c r="W1010" s="2">
        <f t="shared" ca="1" si="951"/>
        <v>49926664.370933451</v>
      </c>
      <c r="X1010" s="2">
        <f t="shared" ca="1" si="952"/>
        <v>49970863.166701391</v>
      </c>
      <c r="Y1010" s="2">
        <f t="shared" ca="1" si="953"/>
        <v>0.12561927390482064</v>
      </c>
      <c r="Z1010" s="2">
        <f t="shared" ca="1" si="954"/>
        <v>0.12786698346674888</v>
      </c>
      <c r="AA1010" s="2">
        <f t="shared" ca="1" si="955"/>
        <v>6255124.1128465394</v>
      </c>
      <c r="AB1010" s="2">
        <f t="shared" ca="1" si="956"/>
        <v>6372683.8261566805</v>
      </c>
      <c r="AC1010" s="2">
        <f t="shared" ca="1" si="957"/>
        <v>6378325.3997421563</v>
      </c>
      <c r="AD1010" s="2">
        <f t="shared" ca="1" si="958"/>
        <v>6383971.9676680677</v>
      </c>
      <c r="AE1010" s="2">
        <f t="shared" ca="1" si="959"/>
        <v>6389623.5343557773</v>
      </c>
      <c r="AF1010" s="2">
        <f t="shared" ca="1" si="960"/>
        <v>995886.04812123475</v>
      </c>
      <c r="AG1010" s="2">
        <f t="shared" ca="1" si="961"/>
        <v>996767.68050352309</v>
      </c>
      <c r="AH1010" s="2">
        <f t="shared" ca="1" si="962"/>
        <v>997650.09337235289</v>
      </c>
      <c r="AI1010" s="2">
        <f t="shared" ca="1" si="963"/>
        <v>998533.28741866909</v>
      </c>
      <c r="AJ1010" s="2">
        <f t="shared" ca="1" si="964"/>
        <v>999417.26333402784</v>
      </c>
      <c r="AK1010" s="2">
        <f t="shared" ca="1" si="965"/>
        <v>0</v>
      </c>
      <c r="AL1010" s="2">
        <f t="shared" ca="1" si="966"/>
        <v>440.8161911441386</v>
      </c>
      <c r="AM1010" s="2">
        <f t="shared" ca="1" si="967"/>
        <v>441.2064344149083</v>
      </c>
      <c r="AN1010" s="2">
        <f t="shared" ca="1" si="968"/>
        <v>441.59702315807345</v>
      </c>
      <c r="AO1010" s="2">
        <f t="shared" ca="1" si="969"/>
        <v>441.98795767940584</v>
      </c>
      <c r="AP1010" s="2">
        <f t="shared" ca="1" si="970"/>
        <v>2278069.7359150886</v>
      </c>
      <c r="AQ1010" s="2">
        <f t="shared" ca="1" si="971"/>
        <v>775103.76549065625</v>
      </c>
      <c r="AR1010" s="2">
        <f t="shared" ca="1" si="972"/>
        <v>805440.06653189799</v>
      </c>
      <c r="AS1010" s="2">
        <f t="shared" ca="1" si="973"/>
        <v>806677.44831822603</v>
      </c>
      <c r="AT1010" s="2">
        <f t="shared" ca="1" si="974"/>
        <v>807915.92552692059</v>
      </c>
      <c r="AU1010" s="2">
        <f t="shared" ca="1" si="975"/>
        <v>809155.49912773201</v>
      </c>
      <c r="AV1010" s="2">
        <f t="shared" ca="1" si="976"/>
        <v>2206064.5633195606</v>
      </c>
      <c r="AW1010" s="2">
        <f t="shared" ca="1" si="977"/>
        <v>2291965.5270150271</v>
      </c>
      <c r="AX1010" s="2">
        <f t="shared" ca="1" si="978"/>
        <v>2295486.9157020743</v>
      </c>
      <c r="AY1010" s="2">
        <f t="shared" ca="1" si="979"/>
        <v>2299011.421784231</v>
      </c>
      <c r="AZ1010" s="2">
        <f t="shared" ca="1" si="980"/>
        <v>2302539.0480212499</v>
      </c>
      <c r="BA1010" s="2">
        <f t="shared" ca="1" si="981"/>
        <v>43893080.644343071</v>
      </c>
      <c r="BB1010" s="2">
        <f t="shared" ca="1" si="982"/>
        <v>877861.61288686143</v>
      </c>
      <c r="BC1010" s="2">
        <f t="shared" ca="1" si="983"/>
        <v>17703333.076844115</v>
      </c>
      <c r="BD1010" s="2">
        <f t="shared" ca="1" si="984"/>
        <v>-18429252.55118357</v>
      </c>
      <c r="BE1010" s="2">
        <f t="shared" ca="1" si="985"/>
        <v>2206064.5633195606</v>
      </c>
      <c r="BF1010" s="2">
        <f t="shared" ca="1" si="986"/>
        <v>2291965.5270150271</v>
      </c>
      <c r="BG1010" s="2">
        <f t="shared" ca="1" si="987"/>
        <v>2295486.9157020743</v>
      </c>
      <c r="BH1010" s="2">
        <f t="shared" ca="1" si="988"/>
        <v>2299011.421784231</v>
      </c>
      <c r="BI1010" s="2">
        <f t="shared" ca="1" si="989"/>
        <v>20005872.124865364</v>
      </c>
      <c r="BJ1010" s="2">
        <f t="shared" ca="1" si="990"/>
        <v>0.11717729997808779</v>
      </c>
      <c r="BK1010" s="2">
        <f t="shared" ca="1" si="991"/>
        <v>-185596.48009063676</v>
      </c>
    </row>
    <row r="1011" spans="1:63" x14ac:dyDescent="0.3">
      <c r="A1011" s="2">
        <v>1010</v>
      </c>
      <c r="B1011" s="2">
        <f t="shared" ca="1" si="930"/>
        <v>0.63407074015148901</v>
      </c>
      <c r="C1011" s="2">
        <f t="shared" ca="1" si="931"/>
        <v>7.1445127004466862</v>
      </c>
      <c r="D1011" s="2">
        <f t="shared" ca="1" si="932"/>
        <v>0.94854959748169954</v>
      </c>
      <c r="E1011" s="2">
        <f t="shared" ca="1" si="933"/>
        <v>8.1792184465456259</v>
      </c>
      <c r="F1011" s="2">
        <f t="shared" ca="1" si="934"/>
        <v>0.22212454177074548</v>
      </c>
      <c r="G1011" s="2">
        <f t="shared" ca="1" si="935"/>
        <v>1.7048868386423728E-2</v>
      </c>
      <c r="H1011" s="2">
        <f t="shared" ca="1" si="936"/>
        <v>1.7048868386423728E-2</v>
      </c>
      <c r="I1011" s="2">
        <f t="shared" ca="1" si="937"/>
        <v>0.30453454098248889</v>
      </c>
      <c r="J1011" s="2">
        <f t="shared" ca="1" si="938"/>
        <v>7.4429863376204962E-3</v>
      </c>
      <c r="K1011" s="2">
        <f t="shared" ca="1" si="939"/>
        <v>7.4429863376204962E-3</v>
      </c>
      <c r="L1011" s="2">
        <f t="shared" ca="1" si="940"/>
        <v>0.9701561032987478</v>
      </c>
      <c r="M1011" s="2">
        <f t="shared" ca="1" si="941"/>
        <v>3.7661855911268832E-2</v>
      </c>
      <c r="N1011" s="2">
        <f t="shared" ca="1" si="942"/>
        <v>3.7661855911268832E-2</v>
      </c>
      <c r="O1011" s="2">
        <f t="shared" si="943"/>
        <v>6000000</v>
      </c>
      <c r="P1011" s="2">
        <f t="shared" ca="1" si="944"/>
        <v>42867076.202680118</v>
      </c>
      <c r="Q1011" s="2">
        <f t="shared" ca="1" si="945"/>
        <v>1071676.9050670031</v>
      </c>
      <c r="R1011" s="2">
        <f t="shared" ca="1" si="946"/>
        <v>25720245.721608069</v>
      </c>
      <c r="S1011" s="2">
        <f t="shared" ca="1" si="947"/>
        <v>17146830.48107205</v>
      </c>
      <c r="T1011" s="2">
        <f t="shared" ca="1" si="948"/>
        <v>51883092.795563444</v>
      </c>
      <c r="U1011" s="2">
        <f t="shared" ca="1" si="949"/>
        <v>52767640.816115618</v>
      </c>
      <c r="V1011" s="2">
        <f t="shared" ca="1" si="950"/>
        <v>53667269.379451662</v>
      </c>
      <c r="W1011" s="2">
        <f t="shared" ca="1" si="951"/>
        <v>54582235.591760688</v>
      </c>
      <c r="X1011" s="2">
        <f t="shared" ca="1" si="952"/>
        <v>55512800.942601398</v>
      </c>
      <c r="Y1011" s="2">
        <f t="shared" ca="1" si="953"/>
        <v>0.12372149316881025</v>
      </c>
      <c r="Z1011" s="2">
        <f t="shared" ca="1" si="954"/>
        <v>0.12521009043633435</v>
      </c>
      <c r="AA1011" s="2">
        <f t="shared" ca="1" si="955"/>
        <v>6419053.7108830512</v>
      </c>
      <c r="AB1011" s="2">
        <f t="shared" ca="1" si="956"/>
        <v>6607041.0786978444</v>
      </c>
      <c r="AC1011" s="2">
        <f t="shared" ca="1" si="957"/>
        <v>6719683.6524722604</v>
      </c>
      <c r="AD1011" s="2">
        <f t="shared" ca="1" si="958"/>
        <v>6834246.6546616638</v>
      </c>
      <c r="AE1011" s="2">
        <f t="shared" ca="1" si="959"/>
        <v>6950762.8263973482</v>
      </c>
      <c r="AF1011" s="2">
        <f t="shared" ca="1" si="960"/>
        <v>1037661.855911269</v>
      </c>
      <c r="AG1011" s="2">
        <f t="shared" ca="1" si="961"/>
        <v>1055352.8163223125</v>
      </c>
      <c r="AH1011" s="2">
        <f t="shared" ca="1" si="962"/>
        <v>1073345.3875890332</v>
      </c>
      <c r="AI1011" s="2">
        <f t="shared" ca="1" si="963"/>
        <v>1091644.7118352137</v>
      </c>
      <c r="AJ1011" s="2">
        <f t="shared" ca="1" si="964"/>
        <v>1110256.0188520281</v>
      </c>
      <c r="AK1011" s="2">
        <f t="shared" ca="1" si="965"/>
        <v>0</v>
      </c>
      <c r="AL1011" s="2">
        <f t="shared" ca="1" si="966"/>
        <v>8845.4802055217333</v>
      </c>
      <c r="AM1011" s="2">
        <f t="shared" ca="1" si="967"/>
        <v>8996.285633360445</v>
      </c>
      <c r="AN1011" s="2">
        <f t="shared" ca="1" si="968"/>
        <v>9149.6621230902529</v>
      </c>
      <c r="AO1011" s="2">
        <f t="shared" ca="1" si="969"/>
        <v>9305.653508407102</v>
      </c>
      <c r="AP1011" s="2">
        <f t="shared" ca="1" si="970"/>
        <v>2314822.1149447262</v>
      </c>
      <c r="AQ1011" s="2">
        <f t="shared" ca="1" si="971"/>
        <v>797308.13240703463</v>
      </c>
      <c r="AR1011" s="2">
        <f t="shared" ca="1" si="972"/>
        <v>841585.19833200949</v>
      </c>
      <c r="AS1011" s="2">
        <f t="shared" ca="1" si="973"/>
        <v>866194.19898401038</v>
      </c>
      <c r="AT1011" s="2">
        <f t="shared" ca="1" si="974"/>
        <v>891222.75524924824</v>
      </c>
      <c r="AU1011" s="2">
        <f t="shared" ca="1" si="975"/>
        <v>916678.0200761545</v>
      </c>
      <c r="AV1011" s="2">
        <f t="shared" ca="1" si="976"/>
        <v>2269261.6076200213</v>
      </c>
      <c r="AW1011" s="2">
        <f t="shared" ca="1" si="977"/>
        <v>2386435.4688932737</v>
      </c>
      <c r="AX1011" s="2">
        <f t="shared" ca="1" si="978"/>
        <v>2456325.6653211312</v>
      </c>
      <c r="AY1011" s="2">
        <f t="shared" ca="1" si="979"/>
        <v>2527407.4105093852</v>
      </c>
      <c r="AZ1011" s="2">
        <f t="shared" ca="1" si="980"/>
        <v>2599701.0190160321</v>
      </c>
      <c r="BA1011" s="2">
        <f t="shared" ca="1" si="981"/>
        <v>56851807.527232803</v>
      </c>
      <c r="BB1011" s="2">
        <f t="shared" ca="1" si="982"/>
        <v>1137036.1505446562</v>
      </c>
      <c r="BC1011" s="2">
        <f t="shared" ca="1" si="983"/>
        <v>29994525.65508008</v>
      </c>
      <c r="BD1011" s="2">
        <f t="shared" ca="1" si="984"/>
        <v>-18718507.386139054</v>
      </c>
      <c r="BE1011" s="2">
        <f t="shared" ca="1" si="985"/>
        <v>2269261.6076200213</v>
      </c>
      <c r="BF1011" s="2">
        <f t="shared" ca="1" si="986"/>
        <v>2386435.4688932737</v>
      </c>
      <c r="BG1011" s="2">
        <f t="shared" ca="1" si="987"/>
        <v>2456325.6653211312</v>
      </c>
      <c r="BH1011" s="2">
        <f t="shared" ca="1" si="988"/>
        <v>2527407.4105093852</v>
      </c>
      <c r="BI1011" s="2">
        <f t="shared" ca="1" si="989"/>
        <v>32594226.674096111</v>
      </c>
      <c r="BJ1011" s="2">
        <f t="shared" ca="1" si="990"/>
        <v>0.2087275923389984</v>
      </c>
      <c r="BK1011" s="2">
        <f t="shared" ca="1" si="991"/>
        <v>7059487.5421156995</v>
      </c>
    </row>
    <row r="1012" spans="1:63" x14ac:dyDescent="0.3">
      <c r="A1012" s="2">
        <v>1011</v>
      </c>
      <c r="B1012" s="2">
        <f t="shared" ca="1" si="930"/>
        <v>0.3494005909878698</v>
      </c>
      <c r="C1012" s="2">
        <f t="shared" ca="1" si="931"/>
        <v>6.8359432887318015</v>
      </c>
      <c r="D1012" s="2">
        <f t="shared" ca="1" si="932"/>
        <v>0.70511895743412312</v>
      </c>
      <c r="E1012" s="2">
        <f t="shared" ca="1" si="933"/>
        <v>7.7320403102169006</v>
      </c>
      <c r="F1012" s="2">
        <f t="shared" ca="1" si="934"/>
        <v>4.0068762164978122E-2</v>
      </c>
      <c r="G1012" s="2">
        <f t="shared" ca="1" si="935"/>
        <v>-1.2496660408874538E-2</v>
      </c>
      <c r="H1012" s="2">
        <f t="shared" ca="1" si="936"/>
        <v>-1.2496660408874538E-2</v>
      </c>
      <c r="I1012" s="2">
        <f t="shared" ca="1" si="937"/>
        <v>0.72264495299304621</v>
      </c>
      <c r="J1012" s="2">
        <f t="shared" ca="1" si="938"/>
        <v>1.2953584712495206E-2</v>
      </c>
      <c r="K1012" s="2">
        <f t="shared" ca="1" si="939"/>
        <v>1.2953584712495206E-2</v>
      </c>
      <c r="L1012" s="2">
        <f t="shared" ca="1" si="940"/>
        <v>1.7312999656950101E-2</v>
      </c>
      <c r="M1012" s="2">
        <f t="shared" ca="1" si="941"/>
        <v>-4.2254106016721256E-2</v>
      </c>
      <c r="N1012" s="2">
        <f t="shared" ca="1" si="942"/>
        <v>-4.2254106016721256E-2</v>
      </c>
      <c r="O1012" s="2">
        <f t="shared" si="943"/>
        <v>6000000</v>
      </c>
      <c r="P1012" s="2">
        <f t="shared" ca="1" si="944"/>
        <v>41015659.732390806</v>
      </c>
      <c r="Q1012" s="2">
        <f t="shared" ca="1" si="945"/>
        <v>1025391.4933097702</v>
      </c>
      <c r="R1012" s="2">
        <f t="shared" ca="1" si="946"/>
        <v>24609395.839434482</v>
      </c>
      <c r="S1012" s="2">
        <f t="shared" ca="1" si="947"/>
        <v>16406263.892956324</v>
      </c>
      <c r="T1012" s="2">
        <f t="shared" ca="1" si="948"/>
        <v>47887294.699163936</v>
      </c>
      <c r="U1012" s="2">
        <f t="shared" ca="1" si="949"/>
        <v>47288863.439408787</v>
      </c>
      <c r="V1012" s="2">
        <f t="shared" ca="1" si="950"/>
        <v>46697910.571884856</v>
      </c>
      <c r="W1012" s="2">
        <f t="shared" ca="1" si="951"/>
        <v>46114342.641664021</v>
      </c>
      <c r="X1012" s="2">
        <f t="shared" ca="1" si="952"/>
        <v>45538067.36169266</v>
      </c>
      <c r="Y1012" s="2">
        <f t="shared" ca="1" si="953"/>
        <v>0.12647679235624759</v>
      </c>
      <c r="Z1012" s="2">
        <f t="shared" ca="1" si="954"/>
        <v>0.12906750929874664</v>
      </c>
      <c r="AA1012" s="2">
        <f t="shared" ca="1" si="955"/>
        <v>6056631.428168593</v>
      </c>
      <c r="AB1012" s="2">
        <f t="shared" ca="1" si="956"/>
        <v>6103455.8216930535</v>
      </c>
      <c r="AC1012" s="2">
        <f t="shared" ca="1" si="957"/>
        <v>6027183.0069687879</v>
      </c>
      <c r="AD1012" s="2">
        <f t="shared" ca="1" si="958"/>
        <v>5951863.3477085596</v>
      </c>
      <c r="AE1012" s="2">
        <f t="shared" ca="1" si="959"/>
        <v>5877484.9326522183</v>
      </c>
      <c r="AF1012" s="2">
        <f t="shared" ca="1" si="960"/>
        <v>957745.89398327877</v>
      </c>
      <c r="AG1012" s="2">
        <f t="shared" ca="1" si="961"/>
        <v>945777.26878817577</v>
      </c>
      <c r="AH1012" s="2">
        <f t="shared" ca="1" si="962"/>
        <v>933958.21143769717</v>
      </c>
      <c r="AI1012" s="2">
        <f t="shared" ca="1" si="963"/>
        <v>922286.85283328046</v>
      </c>
      <c r="AJ1012" s="2">
        <f t="shared" ca="1" si="964"/>
        <v>910761.34723385319</v>
      </c>
      <c r="AK1012" s="2">
        <f t="shared" ca="1" si="965"/>
        <v>0</v>
      </c>
      <c r="AL1012" s="2">
        <f t="shared" ca="1" si="966"/>
        <v>0</v>
      </c>
      <c r="AM1012" s="2">
        <f t="shared" ca="1" si="967"/>
        <v>0</v>
      </c>
      <c r="AN1012" s="2">
        <f t="shared" ca="1" si="968"/>
        <v>0</v>
      </c>
      <c r="AO1012" s="2">
        <f t="shared" ca="1" si="969"/>
        <v>0</v>
      </c>
      <c r="AP1012" s="2">
        <f t="shared" ca="1" si="970"/>
        <v>2214845.6255491031</v>
      </c>
      <c r="AQ1012" s="2">
        <f t="shared" ca="1" si="971"/>
        <v>749850.37624541495</v>
      </c>
      <c r="AR1012" s="2">
        <f t="shared" ca="1" si="972"/>
        <v>765136.56111250143</v>
      </c>
      <c r="AS1012" s="2">
        <f t="shared" ca="1" si="973"/>
        <v>748378.58419531665</v>
      </c>
      <c r="AT1012" s="2">
        <f t="shared" ca="1" si="974"/>
        <v>731830.02602480585</v>
      </c>
      <c r="AU1012" s="2">
        <f t="shared" ca="1" si="975"/>
        <v>715488.26956600812</v>
      </c>
      <c r="AV1012" s="2">
        <f t="shared" ca="1" si="976"/>
        <v>2134189.5323907966</v>
      </c>
      <c r="AW1012" s="2">
        <f t="shared" ca="1" si="977"/>
        <v>2177696.366243273</v>
      </c>
      <c r="AX1012" s="2">
        <f t="shared" ca="1" si="978"/>
        <v>2130000.5857866704</v>
      </c>
      <c r="AY1012" s="2">
        <f t="shared" ca="1" si="979"/>
        <v>2082900.8433013698</v>
      </c>
      <c r="AZ1012" s="2">
        <f t="shared" ca="1" si="980"/>
        <v>2036389.6903032539</v>
      </c>
      <c r="BA1012" s="2">
        <f t="shared" ca="1" si="981"/>
        <v>45444950.421959415</v>
      </c>
      <c r="BB1012" s="2">
        <f t="shared" ca="1" si="982"/>
        <v>908899.00843918836</v>
      </c>
      <c r="BC1012" s="2">
        <f t="shared" ca="1" si="983"/>
        <v>19926655.574085746</v>
      </c>
      <c r="BD1012" s="2">
        <f t="shared" ca="1" si="984"/>
        <v>-17931655.386266094</v>
      </c>
      <c r="BE1012" s="2">
        <f t="shared" ca="1" si="985"/>
        <v>2134189.5323907966</v>
      </c>
      <c r="BF1012" s="2">
        <f t="shared" ca="1" si="986"/>
        <v>2177696.366243273</v>
      </c>
      <c r="BG1012" s="2">
        <f t="shared" ca="1" si="987"/>
        <v>2130000.5857866704</v>
      </c>
      <c r="BH1012" s="2">
        <f t="shared" ca="1" si="988"/>
        <v>2082900.8433013698</v>
      </c>
      <c r="BI1012" s="2">
        <f t="shared" ca="1" si="989"/>
        <v>21963045.264389001</v>
      </c>
      <c r="BJ1012" s="2">
        <f t="shared" ca="1" si="990"/>
        <v>0.1351780389366557</v>
      </c>
      <c r="BK1012" s="2">
        <f t="shared" ca="1" si="991"/>
        <v>1012152.3948883712</v>
      </c>
    </row>
    <row r="1013" spans="1:63" x14ac:dyDescent="0.3">
      <c r="A1013" s="2">
        <v>1012</v>
      </c>
      <c r="B1013" s="2">
        <f t="shared" ca="1" si="930"/>
        <v>0.21314569495074531</v>
      </c>
      <c r="C1013" s="2">
        <f t="shared" ca="1" si="931"/>
        <v>6.6529099401153964</v>
      </c>
      <c r="D1013" s="2">
        <f t="shared" ca="1" si="932"/>
        <v>0.58215925510962818</v>
      </c>
      <c r="E1013" s="2">
        <f t="shared" ca="1" si="933"/>
        <v>7.5858438373118391</v>
      </c>
      <c r="F1013" s="2">
        <f t="shared" ca="1" si="934"/>
        <v>0.43704181772821482</v>
      </c>
      <c r="G1013" s="2">
        <f t="shared" ca="1" si="935"/>
        <v>3.5245792515244047E-2</v>
      </c>
      <c r="H1013" s="2">
        <f t="shared" ca="1" si="936"/>
        <v>3.5245792515244047E-2</v>
      </c>
      <c r="I1013" s="2">
        <f t="shared" ca="1" si="937"/>
        <v>0.64430242664558235</v>
      </c>
      <c r="J1013" s="2">
        <f t="shared" ca="1" si="938"/>
        <v>1.1849915069606407E-2</v>
      </c>
      <c r="K1013" s="2">
        <f t="shared" ca="1" si="939"/>
        <v>1.1849915069606407E-2</v>
      </c>
      <c r="L1013" s="2">
        <f t="shared" ca="1" si="940"/>
        <v>0.20199256504281915</v>
      </c>
      <c r="M1013" s="2">
        <f t="shared" ca="1" si="941"/>
        <v>-1.6690502681957091E-2</v>
      </c>
      <c r="N1013" s="2">
        <f t="shared" ca="1" si="942"/>
        <v>-1.6690502681957091E-2</v>
      </c>
      <c r="O1013" s="2">
        <f t="shared" si="943"/>
        <v>6000000</v>
      </c>
      <c r="P1013" s="2">
        <f t="shared" ca="1" si="944"/>
        <v>39917459.640692376</v>
      </c>
      <c r="Q1013" s="2">
        <f t="shared" ca="1" si="945"/>
        <v>997936.49101730948</v>
      </c>
      <c r="R1013" s="2">
        <f t="shared" ca="1" si="946"/>
        <v>23950475.784415424</v>
      </c>
      <c r="S1013" s="2">
        <f t="shared" ca="1" si="947"/>
        <v>15966983.856276952</v>
      </c>
      <c r="T1013" s="2">
        <f t="shared" ca="1" si="948"/>
        <v>49165474.865902148</v>
      </c>
      <c r="U1013" s="2">
        <f t="shared" ca="1" si="949"/>
        <v>50898350.99193918</v>
      </c>
      <c r="V1013" s="2">
        <f t="shared" ca="1" si="950"/>
        <v>52692303.710369132</v>
      </c>
      <c r="W1013" s="2">
        <f t="shared" ca="1" si="951"/>
        <v>54549485.714095026</v>
      </c>
      <c r="X1013" s="2">
        <f t="shared" ca="1" si="952"/>
        <v>56472125.569387287</v>
      </c>
      <c r="Y1013" s="2">
        <f t="shared" ca="1" si="953"/>
        <v>0.12592495753480321</v>
      </c>
      <c r="Z1013" s="2">
        <f t="shared" ca="1" si="954"/>
        <v>0.12829494054872448</v>
      </c>
      <c r="AA1013" s="2">
        <f t="shared" ca="1" si="955"/>
        <v>6191160.334667162</v>
      </c>
      <c r="AB1013" s="2">
        <f t="shared" ca="1" si="956"/>
        <v>6530000.9145389488</v>
      </c>
      <c r="AC1013" s="2">
        <f t="shared" ca="1" si="957"/>
        <v>6760155.971897142</v>
      </c>
      <c r="AD1013" s="2">
        <f t="shared" ca="1" si="958"/>
        <v>6998423.0266533168</v>
      </c>
      <c r="AE1013" s="2">
        <f t="shared" ca="1" si="959"/>
        <v>7245087.9925846457</v>
      </c>
      <c r="AF1013" s="2">
        <f t="shared" ca="1" si="960"/>
        <v>983309.49731804302</v>
      </c>
      <c r="AG1013" s="2">
        <f t="shared" ca="1" si="961"/>
        <v>1017967.0198387837</v>
      </c>
      <c r="AH1013" s="2">
        <f t="shared" ca="1" si="962"/>
        <v>1053846.0742073827</v>
      </c>
      <c r="AI1013" s="2">
        <f t="shared" ca="1" si="963"/>
        <v>1090989.7142819006</v>
      </c>
      <c r="AJ1013" s="2">
        <f t="shared" ca="1" si="964"/>
        <v>1129442.5113877458</v>
      </c>
      <c r="AK1013" s="2">
        <f t="shared" ca="1" si="965"/>
        <v>0</v>
      </c>
      <c r="AL1013" s="2">
        <f t="shared" ca="1" si="966"/>
        <v>17328.761260370313</v>
      </c>
      <c r="AM1013" s="2">
        <f t="shared" ca="1" si="967"/>
        <v>17939.527184299528</v>
      </c>
      <c r="AN1013" s="2">
        <f t="shared" ca="1" si="968"/>
        <v>18571.820037258938</v>
      </c>
      <c r="AO1013" s="2">
        <f t="shared" ca="1" si="969"/>
        <v>19226.398552922608</v>
      </c>
      <c r="AP1013" s="2">
        <f t="shared" ca="1" si="970"/>
        <v>2155542.8205973879</v>
      </c>
      <c r="AQ1013" s="2">
        <f t="shared" ca="1" si="971"/>
        <v>793600.08435545</v>
      </c>
      <c r="AR1013" s="2">
        <f t="shared" ca="1" si="972"/>
        <v>872687.67926672206</v>
      </c>
      <c r="AS1013" s="2">
        <f t="shared" ca="1" si="973"/>
        <v>923199.44004401669</v>
      </c>
      <c r="AT1013" s="2">
        <f t="shared" ca="1" si="974"/>
        <v>975491.5278612473</v>
      </c>
      <c r="AU1013" s="2">
        <f t="shared" ca="1" si="975"/>
        <v>1029626.6917558732</v>
      </c>
      <c r="AV1013" s="2">
        <f t="shared" ca="1" si="976"/>
        <v>2258707.9323962806</v>
      </c>
      <c r="AW1013" s="2">
        <f t="shared" ca="1" si="977"/>
        <v>2466474.6335756844</v>
      </c>
      <c r="AX1013" s="2">
        <f t="shared" ca="1" si="978"/>
        <v>2609628.1098640561</v>
      </c>
      <c r="AY1013" s="2">
        <f t="shared" ca="1" si="979"/>
        <v>2757827.1438755225</v>
      </c>
      <c r="AZ1013" s="2">
        <f t="shared" ca="1" si="980"/>
        <v>2911249.5702907164</v>
      </c>
      <c r="BA1013" s="2">
        <f t="shared" ca="1" si="981"/>
        <v>54960106.099330239</v>
      </c>
      <c r="BB1013" s="2">
        <f t="shared" ca="1" si="982"/>
        <v>1099202.1219866048</v>
      </c>
      <c r="BC1013" s="2">
        <f t="shared" ca="1" si="983"/>
        <v>29910428.19292821</v>
      </c>
      <c r="BD1013" s="2">
        <f t="shared" ca="1" si="984"/>
        <v>-17464920.34729426</v>
      </c>
      <c r="BE1013" s="2">
        <f t="shared" ca="1" si="985"/>
        <v>2258707.9323962806</v>
      </c>
      <c r="BF1013" s="2">
        <f t="shared" ca="1" si="986"/>
        <v>2466474.6335756844</v>
      </c>
      <c r="BG1013" s="2">
        <f t="shared" ca="1" si="987"/>
        <v>2609628.1098640561</v>
      </c>
      <c r="BH1013" s="2">
        <f t="shared" ca="1" si="988"/>
        <v>2757827.1438755225</v>
      </c>
      <c r="BI1013" s="2">
        <f t="shared" ca="1" si="989"/>
        <v>32821677.763218924</v>
      </c>
      <c r="BJ1013" s="2">
        <f t="shared" ca="1" si="990"/>
        <v>0.23458725419601323</v>
      </c>
      <c r="BK1013" s="2">
        <f t="shared" ca="1" si="991"/>
        <v>8752073.8031759933</v>
      </c>
    </row>
    <row r="1014" spans="1:63" x14ac:dyDescent="0.3">
      <c r="A1014" s="2">
        <v>1013</v>
      </c>
      <c r="B1014" s="2">
        <f t="shared" ca="1" si="930"/>
        <v>0.72051127966054296</v>
      </c>
      <c r="C1014" s="2">
        <f t="shared" ca="1" si="931"/>
        <v>7.2523520610080476</v>
      </c>
      <c r="D1014" s="2">
        <f t="shared" ca="1" si="932"/>
        <v>0.58417091114854591</v>
      </c>
      <c r="E1014" s="2">
        <f t="shared" ca="1" si="933"/>
        <v>7.5880470529117696</v>
      </c>
      <c r="F1014" s="2">
        <f t="shared" ca="1" si="934"/>
        <v>0.85330658990578956</v>
      </c>
      <c r="G1014" s="2">
        <f t="shared" ca="1" si="935"/>
        <v>7.1521625297782138E-2</v>
      </c>
      <c r="H1014" s="2">
        <f t="shared" ca="1" si="936"/>
        <v>7.1521625297782138E-2</v>
      </c>
      <c r="I1014" s="2">
        <f t="shared" ca="1" si="937"/>
        <v>0.87420666267165681</v>
      </c>
      <c r="J1014" s="2">
        <f t="shared" ca="1" si="938"/>
        <v>1.5732519981250453E-2</v>
      </c>
      <c r="K1014" s="2">
        <f t="shared" ca="1" si="939"/>
        <v>1.5732519981250453E-2</v>
      </c>
      <c r="L1014" s="2">
        <f t="shared" ca="1" si="940"/>
        <v>0.21539196385929194</v>
      </c>
      <c r="M1014" s="2">
        <f t="shared" ca="1" si="941"/>
        <v>-1.5757017874504467E-2</v>
      </c>
      <c r="N1014" s="2">
        <f t="shared" ca="1" si="942"/>
        <v>-1.5757017874504467E-2</v>
      </c>
      <c r="O1014" s="2">
        <f t="shared" si="943"/>
        <v>6000000</v>
      </c>
      <c r="P1014" s="2">
        <f t="shared" ca="1" si="944"/>
        <v>43514112.366048284</v>
      </c>
      <c r="Q1014" s="2">
        <f t="shared" ca="1" si="945"/>
        <v>1087852.8091512071</v>
      </c>
      <c r="R1014" s="2">
        <f t="shared" ca="1" si="946"/>
        <v>26108467.41962897</v>
      </c>
      <c r="S1014" s="2">
        <f t="shared" ca="1" si="947"/>
        <v>17405644.946419314</v>
      </c>
      <c r="T1014" s="2">
        <f t="shared" ca="1" si="948"/>
        <v>49212149.106274776</v>
      </c>
      <c r="U1014" s="2">
        <f t="shared" ca="1" si="949"/>
        <v>52731881.994752347</v>
      </c>
      <c r="V1014" s="2">
        <f t="shared" ca="1" si="950"/>
        <v>56503351.900027893</v>
      </c>
      <c r="W1014" s="2">
        <f t="shared" ca="1" si="951"/>
        <v>60544563.462690413</v>
      </c>
      <c r="X1014" s="2">
        <f t="shared" ca="1" si="952"/>
        <v>64874809.044486746</v>
      </c>
      <c r="Y1014" s="2">
        <f t="shared" ca="1" si="953"/>
        <v>0.12786625999062523</v>
      </c>
      <c r="Z1014" s="2">
        <f t="shared" ca="1" si="954"/>
        <v>0.13101276398687531</v>
      </c>
      <c r="AA1014" s="2">
        <f t="shared" ca="1" si="955"/>
        <v>6292573.4523203457</v>
      </c>
      <c r="AB1014" s="2">
        <f t="shared" ca="1" si="956"/>
        <v>6908549.6103622485</v>
      </c>
      <c r="AC1014" s="2">
        <f t="shared" ca="1" si="957"/>
        <v>7402660.306945717</v>
      </c>
      <c r="AD1014" s="2">
        <f t="shared" ca="1" si="958"/>
        <v>7932110.6036258535</v>
      </c>
      <c r="AE1014" s="2">
        <f t="shared" ca="1" si="959"/>
        <v>8499428.0460389461</v>
      </c>
      <c r="AF1014" s="2">
        <f t="shared" ca="1" si="960"/>
        <v>984242.98212549556</v>
      </c>
      <c r="AG1014" s="2">
        <f t="shared" ca="1" si="961"/>
        <v>1054637.6398950471</v>
      </c>
      <c r="AH1014" s="2">
        <f t="shared" ca="1" si="962"/>
        <v>1130067.0380005578</v>
      </c>
      <c r="AI1014" s="2">
        <f t="shared" ca="1" si="963"/>
        <v>1210891.2692538083</v>
      </c>
      <c r="AJ1014" s="2">
        <f t="shared" ca="1" si="964"/>
        <v>1297496.180889735</v>
      </c>
      <c r="AK1014" s="2">
        <f t="shared" ca="1" si="965"/>
        <v>0</v>
      </c>
      <c r="AL1014" s="2">
        <f t="shared" ca="1" si="966"/>
        <v>35197.328884775714</v>
      </c>
      <c r="AM1014" s="2">
        <f t="shared" ca="1" si="967"/>
        <v>37714.699052755459</v>
      </c>
      <c r="AN1014" s="2">
        <f t="shared" ca="1" si="968"/>
        <v>40412.115626625193</v>
      </c>
      <c r="AO1014" s="2">
        <f t="shared" ca="1" si="969"/>
        <v>43302.455817963331</v>
      </c>
      <c r="AP1014" s="2">
        <f t="shared" ca="1" si="970"/>
        <v>2349762.0677666073</v>
      </c>
      <c r="AQ1014" s="2">
        <f t="shared" ca="1" si="971"/>
        <v>769227.78463134321</v>
      </c>
      <c r="AR1014" s="2">
        <f t="shared" ca="1" si="972"/>
        <v>911078.97470215452</v>
      </c>
      <c r="AS1014" s="2">
        <f t="shared" ca="1" si="973"/>
        <v>1019936.1123064236</v>
      </c>
      <c r="AT1014" s="2">
        <f t="shared" ca="1" si="974"/>
        <v>1136578.889317414</v>
      </c>
      <c r="AU1014" s="2">
        <f t="shared" ca="1" si="975"/>
        <v>1261564.1473194773</v>
      </c>
      <c r="AV1014" s="2">
        <f t="shared" ca="1" si="976"/>
        <v>2189340.6177968993</v>
      </c>
      <c r="AW1014" s="2">
        <f t="shared" ca="1" si="977"/>
        <v>2557873.5991136641</v>
      </c>
      <c r="AX1014" s="2">
        <f t="shared" ca="1" si="978"/>
        <v>2865180.3898193729</v>
      </c>
      <c r="AY1014" s="2">
        <f t="shared" ca="1" si="979"/>
        <v>3194466.2616613996</v>
      </c>
      <c r="AZ1014" s="2">
        <f t="shared" ca="1" si="980"/>
        <v>3547303.1942451638</v>
      </c>
      <c r="BA1014" s="2">
        <f t="shared" ca="1" si="981"/>
        <v>64494059.936181463</v>
      </c>
      <c r="BB1014" s="2">
        <f t="shared" ca="1" si="982"/>
        <v>1289881.1987236293</v>
      </c>
      <c r="BC1014" s="2">
        <f t="shared" ca="1" si="983"/>
        <v>37095711.317828864</v>
      </c>
      <c r="BD1014" s="2">
        <f t="shared" ca="1" si="984"/>
        <v>-18993497.75557052</v>
      </c>
      <c r="BE1014" s="2">
        <f t="shared" ca="1" si="985"/>
        <v>2189340.6177968993</v>
      </c>
      <c r="BF1014" s="2">
        <f t="shared" ca="1" si="986"/>
        <v>2557873.5991136641</v>
      </c>
      <c r="BG1014" s="2">
        <f t="shared" ca="1" si="987"/>
        <v>2865180.3898193729</v>
      </c>
      <c r="BH1014" s="2">
        <f t="shared" ca="1" si="988"/>
        <v>3194466.2616613996</v>
      </c>
      <c r="BI1014" s="2">
        <f t="shared" ca="1" si="989"/>
        <v>40643014.512074031</v>
      </c>
      <c r="BJ1014" s="2">
        <f t="shared" ca="1" si="990"/>
        <v>0.25764249510638559</v>
      </c>
      <c r="BK1014" s="2">
        <f t="shared" ca="1" si="991"/>
        <v>12131849.625486955</v>
      </c>
    </row>
    <row r="1015" spans="1:63" x14ac:dyDescent="0.3">
      <c r="A1015" s="2">
        <v>1014</v>
      </c>
      <c r="B1015" s="2">
        <f t="shared" ca="1" si="930"/>
        <v>0.83937288292846124</v>
      </c>
      <c r="C1015" s="2">
        <f t="shared" ca="1" si="931"/>
        <v>7.4332070623736763</v>
      </c>
      <c r="D1015" s="2">
        <f t="shared" ca="1" si="932"/>
        <v>0.63309108286048399</v>
      </c>
      <c r="E1015" s="2">
        <f t="shared" ca="1" si="933"/>
        <v>7.6433683205256582</v>
      </c>
      <c r="F1015" s="2">
        <f t="shared" ca="1" si="934"/>
        <v>5.1587823168300129E-2</v>
      </c>
      <c r="G1015" s="2">
        <f t="shared" ca="1" si="935"/>
        <v>-8.8894778874422722E-3</v>
      </c>
      <c r="H1015" s="2">
        <f t="shared" ca="1" si="936"/>
        <v>-8.8894778874422722E-3</v>
      </c>
      <c r="I1015" s="2">
        <f t="shared" ca="1" si="937"/>
        <v>0.81928475964946468</v>
      </c>
      <c r="J1015" s="2">
        <f t="shared" ca="1" si="938"/>
        <v>1.4563213579852557E-2</v>
      </c>
      <c r="K1015" s="2">
        <f t="shared" ca="1" si="939"/>
        <v>1.4563213579852557E-2</v>
      </c>
      <c r="L1015" s="2">
        <f t="shared" ca="1" si="940"/>
        <v>0.47084359122856057</v>
      </c>
      <c r="M1015" s="2">
        <f t="shared" ca="1" si="941"/>
        <v>-1.4629892301956621E-3</v>
      </c>
      <c r="N1015" s="2">
        <f t="shared" ca="1" si="942"/>
        <v>-1.4629892301956621E-3</v>
      </c>
      <c r="O1015" s="2">
        <f t="shared" si="943"/>
        <v>6000000</v>
      </c>
      <c r="P1015" s="2">
        <f t="shared" ca="1" si="944"/>
        <v>44599242.37424206</v>
      </c>
      <c r="Q1015" s="2">
        <f t="shared" ca="1" si="945"/>
        <v>1114981.0593560515</v>
      </c>
      <c r="R1015" s="2">
        <f t="shared" ca="1" si="946"/>
        <v>26759545.424545236</v>
      </c>
      <c r="S1015" s="2">
        <f t="shared" ca="1" si="947"/>
        <v>17839696.949696824</v>
      </c>
      <c r="T1015" s="2">
        <f t="shared" ca="1" si="948"/>
        <v>49926850.538490221</v>
      </c>
      <c r="U1015" s="2">
        <f t="shared" ca="1" si="949"/>
        <v>49483026.904638678</v>
      </c>
      <c r="V1015" s="2">
        <f t="shared" ca="1" si="950"/>
        <v>49043148.631166182</v>
      </c>
      <c r="W1015" s="2">
        <f t="shared" ca="1" si="951"/>
        <v>48607180.645878881</v>
      </c>
      <c r="X1015" s="2">
        <f t="shared" ca="1" si="952"/>
        <v>48175088.188356429</v>
      </c>
      <c r="Y1015" s="2">
        <f t="shared" ca="1" si="953"/>
        <v>0.12728160678992628</v>
      </c>
      <c r="Z1015" s="2">
        <f t="shared" ca="1" si="954"/>
        <v>0.13019424950589678</v>
      </c>
      <c r="AA1015" s="2">
        <f t="shared" ca="1" si="955"/>
        <v>6354769.758499532</v>
      </c>
      <c r="AB1015" s="2">
        <f t="shared" ca="1" si="956"/>
        <v>6442405.5511295311</v>
      </c>
      <c r="AC1015" s="2">
        <f t="shared" ca="1" si="957"/>
        <v>6385135.9294408299</v>
      </c>
      <c r="AD1015" s="2">
        <f t="shared" ca="1" si="958"/>
        <v>6328375.4047877518</v>
      </c>
      <c r="AE1015" s="2">
        <f t="shared" ca="1" si="959"/>
        <v>6272119.451563458</v>
      </c>
      <c r="AF1015" s="2">
        <f t="shared" ca="1" si="960"/>
        <v>998537.01076980447</v>
      </c>
      <c r="AG1015" s="2">
        <f t="shared" ca="1" si="961"/>
        <v>989660.53809277352</v>
      </c>
      <c r="AH1015" s="2">
        <f t="shared" ca="1" si="962"/>
        <v>980862.97262332367</v>
      </c>
      <c r="AI1015" s="2">
        <f t="shared" ca="1" si="963"/>
        <v>972143.61291757762</v>
      </c>
      <c r="AJ1015" s="2">
        <f t="shared" ca="1" si="964"/>
        <v>963501.76376712858</v>
      </c>
      <c r="AK1015" s="2">
        <f t="shared" ca="1" si="965"/>
        <v>0</v>
      </c>
      <c r="AL1015" s="2">
        <f t="shared" ca="1" si="966"/>
        <v>0</v>
      </c>
      <c r="AM1015" s="2">
        <f t="shared" ca="1" si="967"/>
        <v>0</v>
      </c>
      <c r="AN1015" s="2">
        <f t="shared" ca="1" si="968"/>
        <v>0</v>
      </c>
      <c r="AO1015" s="2">
        <f t="shared" ca="1" si="969"/>
        <v>0</v>
      </c>
      <c r="AP1015" s="2">
        <f t="shared" ca="1" si="970"/>
        <v>2408359.0882090712</v>
      </c>
      <c r="AQ1015" s="2">
        <f t="shared" ca="1" si="971"/>
        <v>766447.15147537075</v>
      </c>
      <c r="AR1015" s="2">
        <f t="shared" ca="1" si="972"/>
        <v>791540.34045519854</v>
      </c>
      <c r="AS1015" s="2">
        <f t="shared" ca="1" si="973"/>
        <v>778937.60583819309</v>
      </c>
      <c r="AT1015" s="2">
        <f t="shared" ca="1" si="974"/>
        <v>766446.90295188676</v>
      </c>
      <c r="AU1015" s="2">
        <f t="shared" ca="1" si="975"/>
        <v>754067.23589268711</v>
      </c>
      <c r="AV1015" s="2">
        <f t="shared" ca="1" si="976"/>
        <v>2181426.5080452859</v>
      </c>
      <c r="AW1015" s="2">
        <f t="shared" ca="1" si="977"/>
        <v>2252845.5843724879</v>
      </c>
      <c r="AX1015" s="2">
        <f t="shared" ca="1" si="978"/>
        <v>2216976.2627702421</v>
      </c>
      <c r="AY1015" s="2">
        <f t="shared" ca="1" si="979"/>
        <v>2181425.8007092159</v>
      </c>
      <c r="AZ1015" s="2">
        <f t="shared" ca="1" si="980"/>
        <v>2146191.363694571</v>
      </c>
      <c r="BA1015" s="2">
        <f t="shared" ca="1" si="981"/>
        <v>47940119.118632898</v>
      </c>
      <c r="BB1015" s="2">
        <f t="shared" ca="1" si="982"/>
        <v>958802.382372658</v>
      </c>
      <c r="BC1015" s="2">
        <f t="shared" ca="1" si="983"/>
        <v>20221771.311715003</v>
      </c>
      <c r="BD1015" s="2">
        <f t="shared" ca="1" si="984"/>
        <v>-19454678.009052876</v>
      </c>
      <c r="BE1015" s="2">
        <f t="shared" ca="1" si="985"/>
        <v>2181426.5080452859</v>
      </c>
      <c r="BF1015" s="2">
        <f t="shared" ca="1" si="986"/>
        <v>2252845.5843724879</v>
      </c>
      <c r="BG1015" s="2">
        <f t="shared" ca="1" si="987"/>
        <v>2216976.2627702421</v>
      </c>
      <c r="BH1015" s="2">
        <f t="shared" ca="1" si="988"/>
        <v>2181425.8007092159</v>
      </c>
      <c r="BI1015" s="2">
        <f t="shared" ca="1" si="989"/>
        <v>22367962.675409574</v>
      </c>
      <c r="BJ1015" s="2">
        <f t="shared" ca="1" si="990"/>
        <v>0.11923150110553382</v>
      </c>
      <c r="BK1015" s="2">
        <f t="shared" ca="1" si="991"/>
        <v>-54502.886297997087</v>
      </c>
    </row>
    <row r="1016" spans="1:63" x14ac:dyDescent="0.3">
      <c r="A1016" s="2">
        <v>1015</v>
      </c>
      <c r="B1016" s="2">
        <f t="shared" ca="1" si="930"/>
        <v>0.32657608997566367</v>
      </c>
      <c r="C1016" s="2">
        <f t="shared" ca="1" si="931"/>
        <v>6.8081783095031243</v>
      </c>
      <c r="D1016" s="2">
        <f t="shared" ca="1" si="932"/>
        <v>0.75151598168895395</v>
      </c>
      <c r="E1016" s="2">
        <f t="shared" ca="1" si="933"/>
        <v>7.7950404007164016</v>
      </c>
      <c r="F1016" s="2">
        <f t="shared" ca="1" si="934"/>
        <v>0.63990513190786991</v>
      </c>
      <c r="G1016" s="2">
        <f t="shared" ca="1" si="935"/>
        <v>5.0746156796777332E-2</v>
      </c>
      <c r="H1016" s="2">
        <f t="shared" ca="1" si="936"/>
        <v>5.0746156796777332E-2</v>
      </c>
      <c r="I1016" s="2">
        <f t="shared" ca="1" si="937"/>
        <v>0.21427697098794851</v>
      </c>
      <c r="J1016" s="2">
        <f t="shared" ca="1" si="938"/>
        <v>6.0416570533100619E-3</v>
      </c>
      <c r="K1016" s="2">
        <f t="shared" ca="1" si="939"/>
        <v>6.0416570533100619E-3</v>
      </c>
      <c r="L1016" s="2">
        <f t="shared" ca="1" si="940"/>
        <v>0.43627624598377468</v>
      </c>
      <c r="M1016" s="2">
        <f t="shared" ca="1" si="941"/>
        <v>-3.2083427169169497E-3</v>
      </c>
      <c r="N1016" s="2">
        <f t="shared" ca="1" si="942"/>
        <v>-3.2083427169169497E-3</v>
      </c>
      <c r="O1016" s="2">
        <f t="shared" si="943"/>
        <v>6000000</v>
      </c>
      <c r="P1016" s="2">
        <f t="shared" ca="1" si="944"/>
        <v>40849069.857018746</v>
      </c>
      <c r="Q1016" s="2">
        <f t="shared" ca="1" si="945"/>
        <v>1021226.7464254687</v>
      </c>
      <c r="R1016" s="2">
        <f t="shared" ca="1" si="946"/>
        <v>24509441.914211247</v>
      </c>
      <c r="S1016" s="2">
        <f t="shared" ca="1" si="947"/>
        <v>16339627.942807499</v>
      </c>
      <c r="T1016" s="2">
        <f t="shared" ca="1" si="948"/>
        <v>49839582.864154153</v>
      </c>
      <c r="U1016" s="2">
        <f t="shared" ca="1" si="949"/>
        <v>52368750.150864497</v>
      </c>
      <c r="V1016" s="2">
        <f t="shared" ca="1" si="950"/>
        <v>55026262.957271524</v>
      </c>
      <c r="W1016" s="2">
        <f t="shared" ca="1" si="951"/>
        <v>57818634.325241923</v>
      </c>
      <c r="X1016" s="2">
        <f t="shared" ca="1" si="952"/>
        <v>60752707.808486179</v>
      </c>
      <c r="Y1016" s="2">
        <f t="shared" ca="1" si="953"/>
        <v>0.12302082852665502</v>
      </c>
      <c r="Z1016" s="2">
        <f t="shared" ca="1" si="954"/>
        <v>0.12422915993731704</v>
      </c>
      <c r="AA1016" s="2">
        <f t="shared" ca="1" si="955"/>
        <v>6131306.7773711225</v>
      </c>
      <c r="AB1016" s="2">
        <f t="shared" ca="1" si="956"/>
        <v>6505725.838209141</v>
      </c>
      <c r="AC1016" s="2">
        <f t="shared" ca="1" si="957"/>
        <v>6835866.4216717482</v>
      </c>
      <c r="AD1016" s="2">
        <f t="shared" ca="1" si="958"/>
        <v>7182760.3709477279</v>
      </c>
      <c r="AE1016" s="2">
        <f t="shared" ca="1" si="959"/>
        <v>7547257.8549655192</v>
      </c>
      <c r="AF1016" s="2">
        <f t="shared" ca="1" si="960"/>
        <v>996791.65728308307</v>
      </c>
      <c r="AG1016" s="2">
        <f t="shared" ca="1" si="961"/>
        <v>1047375.0030172899</v>
      </c>
      <c r="AH1016" s="2">
        <f t="shared" ca="1" si="962"/>
        <v>1100525.2591454305</v>
      </c>
      <c r="AI1016" s="2">
        <f t="shared" ca="1" si="963"/>
        <v>1156372.6865048385</v>
      </c>
      <c r="AJ1016" s="2">
        <f t="shared" ca="1" si="964"/>
        <v>1215054.1561697235</v>
      </c>
      <c r="AK1016" s="2">
        <f t="shared" ca="1" si="965"/>
        <v>0</v>
      </c>
      <c r="AL1016" s="2">
        <f t="shared" ca="1" si="966"/>
        <v>25291.672867103443</v>
      </c>
      <c r="AM1016" s="2">
        <f t="shared" ca="1" si="967"/>
        <v>26575.128064070272</v>
      </c>
      <c r="AN1016" s="2">
        <f t="shared" ca="1" si="968"/>
        <v>27923.713679703997</v>
      </c>
      <c r="AO1016" s="2">
        <f t="shared" ca="1" si="969"/>
        <v>29340.734832442551</v>
      </c>
      <c r="AP1016" s="2">
        <f t="shared" ca="1" si="970"/>
        <v>2205849.772279012</v>
      </c>
      <c r="AQ1016" s="2">
        <f t="shared" ca="1" si="971"/>
        <v>761452.99043034704</v>
      </c>
      <c r="AR1016" s="2">
        <f t="shared" ca="1" si="972"/>
        <v>845650.2763573383</v>
      </c>
      <c r="AS1016" s="2">
        <f t="shared" ca="1" si="973"/>
        <v>917667.76146429952</v>
      </c>
      <c r="AT1016" s="2">
        <f t="shared" ca="1" si="974"/>
        <v>993339.85716260807</v>
      </c>
      <c r="AU1016" s="2">
        <f t="shared" ca="1" si="975"/>
        <v>1072852.0208943638</v>
      </c>
      <c r="AV1016" s="2">
        <f t="shared" ca="1" si="976"/>
        <v>2167212.3573786803</v>
      </c>
      <c r="AW1016" s="2">
        <f t="shared" ca="1" si="977"/>
        <v>2381559.1136883972</v>
      </c>
      <c r="AX1016" s="2">
        <f t="shared" ca="1" si="978"/>
        <v>2585248.5007189363</v>
      </c>
      <c r="AY1016" s="2">
        <f t="shared" ca="1" si="979"/>
        <v>2799274.3413215652</v>
      </c>
      <c r="AZ1016" s="2">
        <f t="shared" ca="1" si="980"/>
        <v>3024161.1707899775</v>
      </c>
      <c r="BA1016" s="2">
        <f t="shared" ca="1" si="981"/>
        <v>58831179.89408043</v>
      </c>
      <c r="BB1016" s="2">
        <f t="shared" ca="1" si="982"/>
        <v>1176623.5978816086</v>
      </c>
      <c r="BC1016" s="2">
        <f t="shared" ca="1" si="983"/>
        <v>33145114.381987579</v>
      </c>
      <c r="BD1016" s="2">
        <f t="shared" ca="1" si="984"/>
        <v>-17860854.689232968</v>
      </c>
      <c r="BE1016" s="2">
        <f t="shared" ca="1" si="985"/>
        <v>2167212.3573786803</v>
      </c>
      <c r="BF1016" s="2">
        <f t="shared" ca="1" si="986"/>
        <v>2381559.1136883972</v>
      </c>
      <c r="BG1016" s="2">
        <f t="shared" ca="1" si="987"/>
        <v>2585248.5007189363</v>
      </c>
      <c r="BH1016" s="2">
        <f t="shared" ca="1" si="988"/>
        <v>2799274.3413215652</v>
      </c>
      <c r="BI1016" s="2">
        <f t="shared" ca="1" si="989"/>
        <v>36169275.552777559</v>
      </c>
      <c r="BJ1016" s="2">
        <f t="shared" ca="1" si="990"/>
        <v>0.24521851762405222</v>
      </c>
      <c r="BK1016" s="2">
        <f t="shared" ca="1" si="991"/>
        <v>10115257.257956848</v>
      </c>
    </row>
    <row r="1017" spans="1:63" x14ac:dyDescent="0.3">
      <c r="A1017" s="2">
        <v>1016</v>
      </c>
      <c r="B1017" s="2">
        <f t="shared" ca="1" si="930"/>
        <v>0.30826657048234185</v>
      </c>
      <c r="C1017" s="2">
        <f t="shared" ca="1" si="931"/>
        <v>6.7851962436007218</v>
      </c>
      <c r="D1017" s="2">
        <f t="shared" ca="1" si="932"/>
        <v>0.14558897846251206</v>
      </c>
      <c r="E1017" s="2">
        <f t="shared" ca="1" si="933"/>
        <v>7.0396090778749221</v>
      </c>
      <c r="F1017" s="2">
        <f t="shared" ca="1" si="934"/>
        <v>0.7054128126600181</v>
      </c>
      <c r="G1017" s="2">
        <f t="shared" ca="1" si="935"/>
        <v>5.6200985648327623E-2</v>
      </c>
      <c r="H1017" s="2">
        <f t="shared" ca="1" si="936"/>
        <v>5.6200985648327623E-2</v>
      </c>
      <c r="I1017" s="2">
        <f t="shared" ca="1" si="937"/>
        <v>0.64719372071053094</v>
      </c>
      <c r="J1017" s="2">
        <f t="shared" ca="1" si="938"/>
        <v>1.1888775317185568E-2</v>
      </c>
      <c r="K1017" s="2">
        <f t="shared" ca="1" si="939"/>
        <v>1.1888775317185568E-2</v>
      </c>
      <c r="L1017" s="2">
        <f t="shared" ca="1" si="940"/>
        <v>0.16257290288412396</v>
      </c>
      <c r="M1017" s="2">
        <f t="shared" ca="1" si="941"/>
        <v>-1.9678767828210028E-2</v>
      </c>
      <c r="N1017" s="2">
        <f t="shared" ca="1" si="942"/>
        <v>-1.9678767828210028E-2</v>
      </c>
      <c r="O1017" s="2">
        <f t="shared" si="943"/>
        <v>6000000</v>
      </c>
      <c r="P1017" s="2">
        <f t="shared" ca="1" si="944"/>
        <v>40711177.461604334</v>
      </c>
      <c r="Q1017" s="2">
        <f t="shared" ca="1" si="945"/>
        <v>1017779.4365401084</v>
      </c>
      <c r="R1017" s="2">
        <f t="shared" ca="1" si="946"/>
        <v>24426706.4769626</v>
      </c>
      <c r="S1017" s="2">
        <f t="shared" ca="1" si="947"/>
        <v>16284470.984641735</v>
      </c>
      <c r="T1017" s="2">
        <f t="shared" ca="1" si="948"/>
        <v>49016061.6085895</v>
      </c>
      <c r="U1017" s="2">
        <f t="shared" ca="1" si="949"/>
        <v>51770812.583591379</v>
      </c>
      <c r="V1017" s="2">
        <f t="shared" ca="1" si="950"/>
        <v>54680383.27860406</v>
      </c>
      <c r="W1017" s="2">
        <f t="shared" ca="1" si="951"/>
        <v>57753474.714489944</v>
      </c>
      <c r="X1017" s="2">
        <f t="shared" ca="1" si="952"/>
        <v>60999276.918060049</v>
      </c>
      <c r="Y1017" s="2">
        <f t="shared" ca="1" si="953"/>
        <v>0.12594438765859278</v>
      </c>
      <c r="Z1017" s="2">
        <f t="shared" ca="1" si="954"/>
        <v>0.12832214272202988</v>
      </c>
      <c r="AA1017" s="2">
        <f t="shared" ca="1" si="955"/>
        <v>6173297.8647296634</v>
      </c>
      <c r="AB1017" s="2">
        <f t="shared" ca="1" si="956"/>
        <v>6643341.6011870736</v>
      </c>
      <c r="AC1017" s="2">
        <f t="shared" ca="1" si="957"/>
        <v>7016703.947172326</v>
      </c>
      <c r="AD1017" s="2">
        <f t="shared" ca="1" si="958"/>
        <v>7411049.6250059223</v>
      </c>
      <c r="AE1017" s="2">
        <f t="shared" ca="1" si="959"/>
        <v>7827557.9186199242</v>
      </c>
      <c r="AF1017" s="2">
        <f t="shared" ca="1" si="960"/>
        <v>980321.23217178998</v>
      </c>
      <c r="AG1017" s="2">
        <f t="shared" ca="1" si="961"/>
        <v>1035416.2516718276</v>
      </c>
      <c r="AH1017" s="2">
        <f t="shared" ca="1" si="962"/>
        <v>1093607.6655720812</v>
      </c>
      <c r="AI1017" s="2">
        <f t="shared" ca="1" si="963"/>
        <v>1155069.4942897989</v>
      </c>
      <c r="AJ1017" s="2">
        <f t="shared" ca="1" si="964"/>
        <v>1219985.5383612011</v>
      </c>
      <c r="AK1017" s="2">
        <f t="shared" ca="1" si="965"/>
        <v>0</v>
      </c>
      <c r="AL1017" s="2">
        <f t="shared" ca="1" si="966"/>
        <v>27547.509750018791</v>
      </c>
      <c r="AM1017" s="2">
        <f t="shared" ca="1" si="967"/>
        <v>29095.706950126812</v>
      </c>
      <c r="AN1017" s="2">
        <f t="shared" ca="1" si="968"/>
        <v>30730.914358858838</v>
      </c>
      <c r="AO1017" s="2">
        <f t="shared" ca="1" si="969"/>
        <v>32458.022035701051</v>
      </c>
      <c r="AP1017" s="2">
        <f t="shared" ca="1" si="970"/>
        <v>2198403.5829266338</v>
      </c>
      <c r="AQ1017" s="2">
        <f t="shared" ca="1" si="971"/>
        <v>778588.99290412234</v>
      </c>
      <c r="AR1017" s="2">
        <f t="shared" ca="1" si="972"/>
        <v>886475.65931303927</v>
      </c>
      <c r="AS1017" s="2">
        <f t="shared" ca="1" si="973"/>
        <v>968420.10165513877</v>
      </c>
      <c r="AT1017" s="2">
        <f t="shared" ca="1" si="974"/>
        <v>1054969.9024252675</v>
      </c>
      <c r="AU1017" s="2">
        <f t="shared" ca="1" si="975"/>
        <v>1146383.8873063433</v>
      </c>
      <c r="AV1017" s="2">
        <f t="shared" ca="1" si="976"/>
        <v>2215984.0567271179</v>
      </c>
      <c r="AW1017" s="2">
        <f t="shared" ca="1" si="977"/>
        <v>2495498.5975255547</v>
      </c>
      <c r="AX1017" s="2">
        <f t="shared" ca="1" si="978"/>
        <v>2727176.8900683448</v>
      </c>
      <c r="AY1017" s="2">
        <f t="shared" ca="1" si="979"/>
        <v>2971875.7310053632</v>
      </c>
      <c r="AZ1017" s="2">
        <f t="shared" ca="1" si="980"/>
        <v>3230326.8879900454</v>
      </c>
      <c r="BA1017" s="2">
        <f t="shared" ca="1" si="981"/>
        <v>55102947.78150855</v>
      </c>
      <c r="BB1017" s="2">
        <f t="shared" ca="1" si="982"/>
        <v>1102058.9556301711</v>
      </c>
      <c r="BC1017" s="2">
        <f t="shared" ca="1" si="983"/>
        <v>29574182.348915778</v>
      </c>
      <c r="BD1017" s="2">
        <f t="shared" ca="1" si="984"/>
        <v>-17802250.421181843</v>
      </c>
      <c r="BE1017" s="2">
        <f t="shared" ca="1" si="985"/>
        <v>2215984.0567271179</v>
      </c>
      <c r="BF1017" s="2">
        <f t="shared" ca="1" si="986"/>
        <v>2495498.5975255547</v>
      </c>
      <c r="BG1017" s="2">
        <f t="shared" ca="1" si="987"/>
        <v>2727176.8900683448</v>
      </c>
      <c r="BH1017" s="2">
        <f t="shared" ca="1" si="988"/>
        <v>2971875.7310053632</v>
      </c>
      <c r="BI1017" s="2">
        <f t="shared" ca="1" si="989"/>
        <v>32804509.236905824</v>
      </c>
      <c r="BJ1017" s="2">
        <f t="shared" ca="1" si="990"/>
        <v>0.23109849619909051</v>
      </c>
      <c r="BK1017" s="2">
        <f t="shared" ca="1" si="991"/>
        <v>8609693.9018685892</v>
      </c>
    </row>
    <row r="1018" spans="1:63" x14ac:dyDescent="0.3">
      <c r="A1018" s="2">
        <v>1017</v>
      </c>
      <c r="B1018" s="2">
        <f t="shared" ca="1" si="930"/>
        <v>0.62505422682080147</v>
      </c>
      <c r="C1018" s="2">
        <f t="shared" ca="1" si="931"/>
        <v>7.1340372142185338</v>
      </c>
      <c r="D1018" s="2">
        <f t="shared" ca="1" si="932"/>
        <v>0.3803334265543955</v>
      </c>
      <c r="E1018" s="2">
        <f t="shared" ca="1" si="933"/>
        <v>7.3721621713355781</v>
      </c>
      <c r="F1018" s="2">
        <f t="shared" ca="1" si="934"/>
        <v>0.1349674694464601</v>
      </c>
      <c r="G1018" s="2">
        <f t="shared" ca="1" si="935"/>
        <v>6.9036280853428597E-3</v>
      </c>
      <c r="H1018" s="2">
        <f t="shared" ca="1" si="936"/>
        <v>6.9036280853428597E-3</v>
      </c>
      <c r="I1018" s="2">
        <f t="shared" ca="1" si="937"/>
        <v>0.79760132971754072</v>
      </c>
      <c r="J1018" s="2">
        <f t="shared" ca="1" si="938"/>
        <v>1.416542014205241E-2</v>
      </c>
      <c r="K1018" s="2">
        <f t="shared" ca="1" si="939"/>
        <v>1.416542014205241E-2</v>
      </c>
      <c r="L1018" s="2">
        <f t="shared" ca="1" si="940"/>
        <v>6.0027053002622677E-2</v>
      </c>
      <c r="M1018" s="2">
        <f t="shared" ca="1" si="941"/>
        <v>-3.1090930663829779E-2</v>
      </c>
      <c r="N1018" s="2">
        <f t="shared" ca="1" si="942"/>
        <v>-3.1090930663829779E-2</v>
      </c>
      <c r="O1018" s="2">
        <f t="shared" si="943"/>
        <v>6000000</v>
      </c>
      <c r="P1018" s="2">
        <f t="shared" ca="1" si="944"/>
        <v>42804223.2853112</v>
      </c>
      <c r="Q1018" s="2">
        <f t="shared" ca="1" si="945"/>
        <v>1070105.58213278</v>
      </c>
      <c r="R1018" s="2">
        <f t="shared" ca="1" si="946"/>
        <v>25682533.97118672</v>
      </c>
      <c r="S1018" s="2">
        <f t="shared" ca="1" si="947"/>
        <v>17121689.31412448</v>
      </c>
      <c r="T1018" s="2">
        <f t="shared" ca="1" si="948"/>
        <v>48445453.466808513</v>
      </c>
      <c r="U1018" s="2">
        <f t="shared" ca="1" si="949"/>
        <v>48779902.859969147</v>
      </c>
      <c r="V1018" s="2">
        <f t="shared" ca="1" si="950"/>
        <v>49116661.167353533</v>
      </c>
      <c r="W1018" s="2">
        <f t="shared" ca="1" si="951"/>
        <v>49455744.328846745</v>
      </c>
      <c r="X1018" s="2">
        <f t="shared" ca="1" si="952"/>
        <v>49797168.394376911</v>
      </c>
      <c r="Y1018" s="2">
        <f t="shared" ca="1" si="953"/>
        <v>0.1270827100710262</v>
      </c>
      <c r="Z1018" s="2">
        <f t="shared" ca="1" si="954"/>
        <v>0.12991579409943668</v>
      </c>
      <c r="AA1018" s="2">
        <f t="shared" ca="1" si="955"/>
        <v>6156579.5171818174</v>
      </c>
      <c r="AB1018" s="2">
        <f t="shared" ca="1" si="956"/>
        <v>6337279.8161462741</v>
      </c>
      <c r="AC1018" s="2">
        <f t="shared" ca="1" si="957"/>
        <v>6381030.0390696991</v>
      </c>
      <c r="AD1018" s="2">
        <f t="shared" ca="1" si="958"/>
        <v>6425082.2972608367</v>
      </c>
      <c r="AE1018" s="2">
        <f t="shared" ca="1" si="959"/>
        <v>6469438.6758588469</v>
      </c>
      <c r="AF1018" s="2">
        <f t="shared" ca="1" si="960"/>
        <v>968909.06933617033</v>
      </c>
      <c r="AG1018" s="2">
        <f t="shared" ca="1" si="961"/>
        <v>975598.05719938292</v>
      </c>
      <c r="AH1018" s="2">
        <f t="shared" ca="1" si="962"/>
        <v>982333.22334707063</v>
      </c>
      <c r="AI1018" s="2">
        <f t="shared" ca="1" si="963"/>
        <v>989114.88657693495</v>
      </c>
      <c r="AJ1018" s="2">
        <f t="shared" ca="1" si="964"/>
        <v>995943.36788753828</v>
      </c>
      <c r="AK1018" s="2">
        <f t="shared" ca="1" si="965"/>
        <v>0</v>
      </c>
      <c r="AL1018" s="2">
        <f t="shared" ca="1" si="966"/>
        <v>3344.4939316063374</v>
      </c>
      <c r="AM1018" s="2">
        <f t="shared" ca="1" si="967"/>
        <v>3367.5830738438667</v>
      </c>
      <c r="AN1018" s="2">
        <f t="shared" ca="1" si="968"/>
        <v>3390.8316149321199</v>
      </c>
      <c r="AO1018" s="2">
        <f t="shared" ca="1" si="969"/>
        <v>3414.2406553016604</v>
      </c>
      <c r="AP1018" s="2">
        <f t="shared" ca="1" si="970"/>
        <v>2311428.0574068045</v>
      </c>
      <c r="AQ1018" s="2">
        <f t="shared" ca="1" si="971"/>
        <v>747823.02151409909</v>
      </c>
      <c r="AR1018" s="2">
        <f t="shared" ca="1" si="972"/>
        <v>793065.96240042255</v>
      </c>
      <c r="AS1018" s="2">
        <f t="shared" ca="1" si="973"/>
        <v>802689.87716211425</v>
      </c>
      <c r="AT1018" s="2">
        <f t="shared" ca="1" si="974"/>
        <v>812380.2318520454</v>
      </c>
      <c r="AU1018" s="2">
        <f t="shared" ca="1" si="975"/>
        <v>822137.48514677119</v>
      </c>
      <c r="AV1018" s="2">
        <f t="shared" ca="1" si="976"/>
        <v>2128419.3689247435</v>
      </c>
      <c r="AW1018" s="2">
        <f t="shared" ca="1" si="977"/>
        <v>2253843.2452080576</v>
      </c>
      <c r="AX1018" s="2">
        <f t="shared" ca="1" si="978"/>
        <v>2281211.298079866</v>
      </c>
      <c r="AY1018" s="2">
        <f t="shared" ca="1" si="979"/>
        <v>2308768.2898101201</v>
      </c>
      <c r="AZ1018" s="2">
        <f t="shared" ca="1" si="980"/>
        <v>2336515.5247624312</v>
      </c>
      <c r="BA1018" s="2">
        <f t="shared" ca="1" si="981"/>
        <v>47693751.07594192</v>
      </c>
      <c r="BB1018" s="2">
        <f t="shared" ca="1" si="982"/>
        <v>953875.02151883848</v>
      </c>
      <c r="BC1018" s="2">
        <f t="shared" ca="1" si="983"/>
        <v>21057342.083236363</v>
      </c>
      <c r="BD1018" s="2">
        <f t="shared" ca="1" si="984"/>
        <v>-18691794.896257259</v>
      </c>
      <c r="BE1018" s="2">
        <f t="shared" ca="1" si="985"/>
        <v>2128419.3689247435</v>
      </c>
      <c r="BF1018" s="2">
        <f t="shared" ca="1" si="986"/>
        <v>2253843.2452080576</v>
      </c>
      <c r="BG1018" s="2">
        <f t="shared" ca="1" si="987"/>
        <v>2281211.298079866</v>
      </c>
      <c r="BH1018" s="2">
        <f t="shared" ca="1" si="988"/>
        <v>2308768.2898101201</v>
      </c>
      <c r="BI1018" s="2">
        <f t="shared" ca="1" si="989"/>
        <v>23393857.607998796</v>
      </c>
      <c r="BJ1018" s="2">
        <f t="shared" ca="1" si="990"/>
        <v>0.13949573410684102</v>
      </c>
      <c r="BK1018" s="2">
        <f t="shared" ca="1" si="991"/>
        <v>1370617.7720418386</v>
      </c>
    </row>
    <row r="1019" spans="1:63" x14ac:dyDescent="0.3">
      <c r="A1019" s="2">
        <v>1018</v>
      </c>
      <c r="B1019" s="2">
        <f t="shared" ca="1" si="930"/>
        <v>0.12658485273564046</v>
      </c>
      <c r="C1019" s="2">
        <f t="shared" ca="1" si="931"/>
        <v>6.5031597216304986</v>
      </c>
      <c r="D1019" s="2">
        <f t="shared" ca="1" si="932"/>
        <v>0.59827220033956696</v>
      </c>
      <c r="E1019" s="2">
        <f t="shared" ca="1" si="933"/>
        <v>7.6036431517967493</v>
      </c>
      <c r="F1019" s="2">
        <f t="shared" ca="1" si="934"/>
        <v>0.20921566473640196</v>
      </c>
      <c r="G1019" s="2">
        <f t="shared" ca="1" si="935"/>
        <v>1.572562823695119E-2</v>
      </c>
      <c r="H1019" s="2">
        <f t="shared" ca="1" si="936"/>
        <v>1.572562823695119E-2</v>
      </c>
      <c r="I1019" s="2">
        <f t="shared" ca="1" si="937"/>
        <v>0.50243816992821733</v>
      </c>
      <c r="J1019" s="2">
        <f t="shared" ca="1" si="938"/>
        <v>1.0030558118635249E-2</v>
      </c>
      <c r="K1019" s="2">
        <f t="shared" ca="1" si="939"/>
        <v>1.0030558118635249E-2</v>
      </c>
      <c r="L1019" s="2">
        <f t="shared" ca="1" si="940"/>
        <v>2.276803755694512E-2</v>
      </c>
      <c r="M1019" s="2">
        <f t="shared" ca="1" si="941"/>
        <v>-3.9993369382086162E-2</v>
      </c>
      <c r="N1019" s="2">
        <f t="shared" ca="1" si="942"/>
        <v>-3.9993369382086162E-2</v>
      </c>
      <c r="O1019" s="2">
        <f t="shared" si="943"/>
        <v>6000000</v>
      </c>
      <c r="P1019" s="2">
        <f t="shared" ca="1" si="944"/>
        <v>39018958.329782993</v>
      </c>
      <c r="Q1019" s="2">
        <f t="shared" ca="1" si="945"/>
        <v>975473.95824457484</v>
      </c>
      <c r="R1019" s="2">
        <f t="shared" ca="1" si="946"/>
        <v>23411374.997869793</v>
      </c>
      <c r="S1019" s="2">
        <f t="shared" ca="1" si="947"/>
        <v>15607583.331913197</v>
      </c>
      <c r="T1019" s="2">
        <f t="shared" ca="1" si="948"/>
        <v>48000331.530895688</v>
      </c>
      <c r="U1019" s="2">
        <f t="shared" ca="1" si="949"/>
        <v>48755166.899800956</v>
      </c>
      <c r="V1019" s="2">
        <f t="shared" ca="1" si="950"/>
        <v>49521872.529097728</v>
      </c>
      <c r="W1019" s="2">
        <f t="shared" ca="1" si="951"/>
        <v>50300635.086088002</v>
      </c>
      <c r="X1019" s="2">
        <f t="shared" ca="1" si="952"/>
        <v>51091644.173534364</v>
      </c>
      <c r="Y1019" s="2">
        <f t="shared" ca="1" si="953"/>
        <v>0.12501527905931761</v>
      </c>
      <c r="Z1019" s="2">
        <f t="shared" ca="1" si="954"/>
        <v>0.12702139068304466</v>
      </c>
      <c r="AA1019" s="2">
        <f t="shared" ca="1" si="955"/>
        <v>6000774.8412746862</v>
      </c>
      <c r="AB1019" s="2">
        <f t="shared" ca="1" si="956"/>
        <v>6192949.1025966648</v>
      </c>
      <c r="AC1019" s="2">
        <f t="shared" ca="1" si="957"/>
        <v>6290337.1178744594</v>
      </c>
      <c r="AD1019" s="2">
        <f t="shared" ca="1" si="958"/>
        <v>6389256.6208752478</v>
      </c>
      <c r="AE1019" s="2">
        <f t="shared" ca="1" si="959"/>
        <v>6489731.6952056112</v>
      </c>
      <c r="AF1019" s="2">
        <f t="shared" ca="1" si="960"/>
        <v>960006.63061791379</v>
      </c>
      <c r="AG1019" s="2">
        <f t="shared" ca="1" si="961"/>
        <v>975103.33799601917</v>
      </c>
      <c r="AH1019" s="2">
        <f t="shared" ca="1" si="962"/>
        <v>990437.45058195456</v>
      </c>
      <c r="AI1019" s="2">
        <f t="shared" ca="1" si="963"/>
        <v>1006012.7017217601</v>
      </c>
      <c r="AJ1019" s="2">
        <f t="shared" ca="1" si="964"/>
        <v>1021832.8834706873</v>
      </c>
      <c r="AK1019" s="2">
        <f t="shared" ca="1" si="965"/>
        <v>0</v>
      </c>
      <c r="AL1019" s="2">
        <f t="shared" ca="1" si="966"/>
        <v>7548.3536890526866</v>
      </c>
      <c r="AM1019" s="2">
        <f t="shared" ca="1" si="967"/>
        <v>7667.0562929677217</v>
      </c>
      <c r="AN1019" s="2">
        <f t="shared" ca="1" si="968"/>
        <v>7787.6255699027333</v>
      </c>
      <c r="AO1019" s="2">
        <f t="shared" ca="1" si="969"/>
        <v>7910.0908744636181</v>
      </c>
      <c r="AP1019" s="2">
        <f t="shared" ca="1" si="970"/>
        <v>2107023.7498082812</v>
      </c>
      <c r="AQ1019" s="2">
        <f t="shared" ca="1" si="971"/>
        <v>762773.55982060777</v>
      </c>
      <c r="AR1019" s="2">
        <f t="shared" ca="1" si="972"/>
        <v>808813.72384601482</v>
      </c>
      <c r="AS1019" s="2">
        <f t="shared" ca="1" si="973"/>
        <v>830147.73854589812</v>
      </c>
      <c r="AT1019" s="2">
        <f t="shared" ca="1" si="974"/>
        <v>851817.24402975361</v>
      </c>
      <c r="AU1019" s="2">
        <f t="shared" ca="1" si="975"/>
        <v>873827.51610092714</v>
      </c>
      <c r="AV1019" s="2">
        <f t="shared" ca="1" si="976"/>
        <v>2170970.9010278829</v>
      </c>
      <c r="AW1019" s="2">
        <f t="shared" ca="1" si="977"/>
        <v>2294459.9372572969</v>
      </c>
      <c r="AX1019" s="2">
        <f t="shared" ca="1" si="978"/>
        <v>2355061.1226453572</v>
      </c>
      <c r="AY1019" s="2">
        <f t="shared" ca="1" si="979"/>
        <v>2416615.2997455499</v>
      </c>
      <c r="AZ1019" s="2">
        <f t="shared" ca="1" si="980"/>
        <v>2479137.4549512523</v>
      </c>
      <c r="BA1019" s="2">
        <f t="shared" ca="1" si="981"/>
        <v>49345603.961248457</v>
      </c>
      <c r="BB1019" s="2">
        <f t="shared" ca="1" si="982"/>
        <v>986912.07922496914</v>
      </c>
      <c r="BC1019" s="2">
        <f t="shared" ca="1" si="983"/>
        <v>24947316.884153694</v>
      </c>
      <c r="BD1019" s="2">
        <f t="shared" ca="1" si="984"/>
        <v>-17083057.290157773</v>
      </c>
      <c r="BE1019" s="2">
        <f t="shared" ca="1" si="985"/>
        <v>2170970.9010278829</v>
      </c>
      <c r="BF1019" s="2">
        <f t="shared" ca="1" si="986"/>
        <v>2294459.9372572969</v>
      </c>
      <c r="BG1019" s="2">
        <f t="shared" ca="1" si="987"/>
        <v>2355061.1226453572</v>
      </c>
      <c r="BH1019" s="2">
        <f t="shared" ca="1" si="988"/>
        <v>2416615.2997455499</v>
      </c>
      <c r="BI1019" s="2">
        <f t="shared" ca="1" si="989"/>
        <v>27426454.339104947</v>
      </c>
      <c r="BJ1019" s="2">
        <f t="shared" ca="1" si="990"/>
        <v>0.19774349579026018</v>
      </c>
      <c r="BK1019" s="2">
        <f t="shared" ca="1" si="991"/>
        <v>5459034.450205896</v>
      </c>
    </row>
    <row r="1020" spans="1:63" x14ac:dyDescent="0.3">
      <c r="A1020" s="2">
        <v>1019</v>
      </c>
      <c r="B1020" s="2">
        <f t="shared" ca="1" si="930"/>
        <v>1.9455800867358763E-2</v>
      </c>
      <c r="C1020" s="2">
        <f t="shared" ca="1" si="931"/>
        <v>6.1972602386055478</v>
      </c>
      <c r="D1020" s="2">
        <f t="shared" ca="1" si="932"/>
        <v>0.2157174312293143</v>
      </c>
      <c r="E1020" s="2">
        <f t="shared" ca="1" si="933"/>
        <v>7.1568370136180119</v>
      </c>
      <c r="F1020" s="2">
        <f t="shared" ca="1" si="934"/>
        <v>0.8477210535053229</v>
      </c>
      <c r="G1020" s="2">
        <f t="shared" ca="1" si="935"/>
        <v>7.0801245613712066E-2</v>
      </c>
      <c r="H1020" s="2">
        <f t="shared" ca="1" si="936"/>
        <v>7.0801245613712066E-2</v>
      </c>
      <c r="I1020" s="2">
        <f t="shared" ca="1" si="937"/>
        <v>0.15564609809618823</v>
      </c>
      <c r="J1020" s="2">
        <f t="shared" ca="1" si="938"/>
        <v>4.9374283253980087E-3</v>
      </c>
      <c r="K1020" s="2">
        <f t="shared" ca="1" si="939"/>
        <v>4.9374283253980087E-3</v>
      </c>
      <c r="L1020" s="2">
        <f t="shared" ca="1" si="940"/>
        <v>5.7285754436054881E-2</v>
      </c>
      <c r="M1020" s="2">
        <f t="shared" ca="1" si="941"/>
        <v>-3.1559486453894649E-2</v>
      </c>
      <c r="N1020" s="2">
        <f t="shared" ca="1" si="942"/>
        <v>-3.1559486453894649E-2</v>
      </c>
      <c r="O1020" s="2">
        <f t="shared" si="943"/>
        <v>6000000</v>
      </c>
      <c r="P1020" s="2">
        <f t="shared" ca="1" si="944"/>
        <v>37183561.431633286</v>
      </c>
      <c r="Q1020" s="2">
        <f t="shared" ca="1" si="945"/>
        <v>929589.03579083225</v>
      </c>
      <c r="R1020" s="2">
        <f t="shared" ca="1" si="946"/>
        <v>22310136.85897997</v>
      </c>
      <c r="S1020" s="2">
        <f t="shared" ca="1" si="947"/>
        <v>14873424.572653316</v>
      </c>
      <c r="T1020" s="2">
        <f t="shared" ca="1" si="948"/>
        <v>48422025.677305266</v>
      </c>
      <c r="U1020" s="2">
        <f t="shared" ca="1" si="949"/>
        <v>51850365.410397634</v>
      </c>
      <c r="V1020" s="2">
        <f t="shared" ca="1" si="950"/>
        <v>55521435.866979919</v>
      </c>
      <c r="W1020" s="2">
        <f t="shared" ca="1" si="951"/>
        <v>59452422.684623934</v>
      </c>
      <c r="X1020" s="2">
        <f t="shared" ca="1" si="952"/>
        <v>63661728.265448228</v>
      </c>
      <c r="Y1020" s="2">
        <f t="shared" ca="1" si="953"/>
        <v>0.122468714162699</v>
      </c>
      <c r="Z1020" s="2">
        <f t="shared" ca="1" si="954"/>
        <v>0.1234561998277786</v>
      </c>
      <c r="AA1020" s="2">
        <f t="shared" ca="1" si="955"/>
        <v>5930183.2218527701</v>
      </c>
      <c r="AB1020" s="2">
        <f t="shared" ca="1" si="956"/>
        <v>6401249.0732493894</v>
      </c>
      <c r="AC1020" s="2">
        <f t="shared" ca="1" si="957"/>
        <v>6854465.4811190665</v>
      </c>
      <c r="AD1020" s="2">
        <f t="shared" ca="1" si="958"/>
        <v>7339770.1751984898</v>
      </c>
      <c r="AE1020" s="2">
        <f t="shared" ca="1" si="959"/>
        <v>7859435.0461209174</v>
      </c>
      <c r="AF1020" s="2">
        <f t="shared" ca="1" si="960"/>
        <v>968440.51354610536</v>
      </c>
      <c r="AG1020" s="2">
        <f t="shared" ca="1" si="961"/>
        <v>1037007.3082079527</v>
      </c>
      <c r="AH1020" s="2">
        <f t="shared" ca="1" si="962"/>
        <v>1110428.7173395983</v>
      </c>
      <c r="AI1020" s="2">
        <f t="shared" ca="1" si="963"/>
        <v>1189048.4536924788</v>
      </c>
      <c r="AJ1020" s="2">
        <f t="shared" ca="1" si="964"/>
        <v>1273234.5653089646</v>
      </c>
      <c r="AK1020" s="2">
        <f t="shared" ca="1" si="965"/>
        <v>0</v>
      </c>
      <c r="AL1020" s="2">
        <f t="shared" ca="1" si="966"/>
        <v>34283.397330923675</v>
      </c>
      <c r="AM1020" s="2">
        <f t="shared" ca="1" si="967"/>
        <v>36710.704565822853</v>
      </c>
      <c r="AN1020" s="2">
        <f t="shared" ca="1" si="968"/>
        <v>39309.868176440148</v>
      </c>
      <c r="AO1020" s="2">
        <f t="shared" ca="1" si="969"/>
        <v>42093.055808242934</v>
      </c>
      <c r="AP1020" s="2">
        <f t="shared" ca="1" si="970"/>
        <v>2007912.3173081973</v>
      </c>
      <c r="AQ1020" s="2">
        <f t="shared" ca="1" si="971"/>
        <v>767995.90165960148</v>
      </c>
      <c r="AR1020" s="2">
        <f t="shared" ca="1" si="972"/>
        <v>872645.65641064232</v>
      </c>
      <c r="AS1020" s="2">
        <f t="shared" ca="1" si="973"/>
        <v>971392.35608253034</v>
      </c>
      <c r="AT1020" s="2">
        <f t="shared" ca="1" si="974"/>
        <v>1077130.4450914315</v>
      </c>
      <c r="AU1020" s="2">
        <f t="shared" ca="1" si="975"/>
        <v>1190354.9225109762</v>
      </c>
      <c r="AV1020" s="2">
        <f t="shared" ca="1" si="976"/>
        <v>2185834.489338866</v>
      </c>
      <c r="AW1020" s="2">
        <f t="shared" ca="1" si="977"/>
        <v>2449400.3939916738</v>
      </c>
      <c r="AX1020" s="2">
        <f t="shared" ca="1" si="978"/>
        <v>2728021.3858229169</v>
      </c>
      <c r="AY1020" s="2">
        <f t="shared" ca="1" si="979"/>
        <v>3026369.0909299417</v>
      </c>
      <c r="AZ1020" s="2">
        <f t="shared" ca="1" si="980"/>
        <v>3345840.185184536</v>
      </c>
      <c r="BA1020" s="2">
        <f t="shared" ca="1" si="981"/>
        <v>56248695.644204766</v>
      </c>
      <c r="BB1020" s="2">
        <f t="shared" ca="1" si="982"/>
        <v>1124973.9128840955</v>
      </c>
      <c r="BC1020" s="2">
        <f t="shared" ca="1" si="983"/>
        <v>32813584.872340702</v>
      </c>
      <c r="BD1020" s="2">
        <f t="shared" ca="1" si="984"/>
        <v>-16303013.608444149</v>
      </c>
      <c r="BE1020" s="2">
        <f t="shared" ca="1" si="985"/>
        <v>2185834.489338866</v>
      </c>
      <c r="BF1020" s="2">
        <f t="shared" ca="1" si="986"/>
        <v>2449400.3939916738</v>
      </c>
      <c r="BG1020" s="2">
        <f t="shared" ca="1" si="987"/>
        <v>2728021.3858229169</v>
      </c>
      <c r="BH1020" s="2">
        <f t="shared" ca="1" si="988"/>
        <v>3026369.0909299417</v>
      </c>
      <c r="BI1020" s="2">
        <f t="shared" ca="1" si="989"/>
        <v>36159425.05752524</v>
      </c>
      <c r="BJ1020" s="2">
        <f t="shared" ca="1" si="990"/>
        <v>0.27712954489646968</v>
      </c>
      <c r="BK1020" s="2">
        <f t="shared" ca="1" si="991"/>
        <v>11984164.198463539</v>
      </c>
    </row>
    <row r="1021" spans="1:63" x14ac:dyDescent="0.3">
      <c r="A1021" s="2">
        <v>1020</v>
      </c>
      <c r="B1021" s="2">
        <f t="shared" ca="1" si="930"/>
        <v>0.11503649845183561</v>
      </c>
      <c r="C1021" s="2">
        <f t="shared" ca="1" si="931"/>
        <v>6.4796592508267414</v>
      </c>
      <c r="D1021" s="2">
        <f t="shared" ca="1" si="932"/>
        <v>0.48050878491260074</v>
      </c>
      <c r="E1021" s="2">
        <f t="shared" ca="1" si="933"/>
        <v>7.4803150360089363</v>
      </c>
      <c r="F1021" s="2">
        <f t="shared" ca="1" si="934"/>
        <v>0.19852531461871525</v>
      </c>
      <c r="G1021" s="2">
        <f t="shared" ca="1" si="935"/>
        <v>1.4592987446870605E-2</v>
      </c>
      <c r="H1021" s="2">
        <f t="shared" ca="1" si="936"/>
        <v>1.4592987446870605E-2</v>
      </c>
      <c r="I1021" s="2">
        <f t="shared" ca="1" si="937"/>
        <v>0.77044645618685725</v>
      </c>
      <c r="J1021" s="2">
        <f t="shared" ca="1" si="938"/>
        <v>1.3701589784248229E-2</v>
      </c>
      <c r="K1021" s="2">
        <f t="shared" ca="1" si="939"/>
        <v>1.3701589784248229E-2</v>
      </c>
      <c r="L1021" s="2">
        <f t="shared" ca="1" si="940"/>
        <v>0.87187584432379928</v>
      </c>
      <c r="M1021" s="2">
        <f t="shared" ca="1" si="941"/>
        <v>2.2706063549232991E-2</v>
      </c>
      <c r="N1021" s="2">
        <f t="shared" ca="1" si="942"/>
        <v>2.2706063549232991E-2</v>
      </c>
      <c r="O1021" s="2">
        <f t="shared" si="943"/>
        <v>6000000</v>
      </c>
      <c r="P1021" s="2">
        <f t="shared" ca="1" si="944"/>
        <v>38877955.504960448</v>
      </c>
      <c r="Q1021" s="2">
        <f t="shared" ca="1" si="945"/>
        <v>971948.88762401126</v>
      </c>
      <c r="R1021" s="2">
        <f t="shared" ca="1" si="946"/>
        <v>23326773.302976269</v>
      </c>
      <c r="S1021" s="2">
        <f t="shared" ca="1" si="947"/>
        <v>15551182.20198418</v>
      </c>
      <c r="T1021" s="2">
        <f t="shared" ca="1" si="948"/>
        <v>51135303.177461646</v>
      </c>
      <c r="U1021" s="2">
        <f t="shared" ca="1" si="949"/>
        <v>51881520.014822267</v>
      </c>
      <c r="V1021" s="2">
        <f t="shared" ca="1" si="950"/>
        <v>52638626.385123134</v>
      </c>
      <c r="W1021" s="2">
        <f t="shared" ca="1" si="951"/>
        <v>53406781.19918175</v>
      </c>
      <c r="X1021" s="2">
        <f t="shared" ca="1" si="952"/>
        <v>54186145.686799176</v>
      </c>
      <c r="Y1021" s="2">
        <f t="shared" ca="1" si="953"/>
        <v>0.12685079489212411</v>
      </c>
      <c r="Z1021" s="2">
        <f t="shared" ca="1" si="954"/>
        <v>0.12959111284897376</v>
      </c>
      <c r="AA1021" s="2">
        <f t="shared" ca="1" si="955"/>
        <v>6486553.8551107701</v>
      </c>
      <c r="AB1021" s="2">
        <f t="shared" ca="1" si="956"/>
        <v>6723383.9150171233</v>
      </c>
      <c r="AC1021" s="2">
        <f t="shared" ca="1" si="957"/>
        <v>6821498.1720894594</v>
      </c>
      <c r="AD1021" s="2">
        <f t="shared" ca="1" si="958"/>
        <v>6921044.2092836127</v>
      </c>
      <c r="AE1021" s="2">
        <f t="shared" ca="1" si="959"/>
        <v>7022042.9205489252</v>
      </c>
      <c r="AF1021" s="2">
        <f t="shared" ca="1" si="960"/>
        <v>1022706.0635492329</v>
      </c>
      <c r="AG1021" s="2">
        <f t="shared" ca="1" si="961"/>
        <v>1037630.4002964454</v>
      </c>
      <c r="AH1021" s="2">
        <f t="shared" ca="1" si="962"/>
        <v>1052772.5277024626</v>
      </c>
      <c r="AI1021" s="2">
        <f t="shared" ca="1" si="963"/>
        <v>1068135.6239836351</v>
      </c>
      <c r="AJ1021" s="2">
        <f t="shared" ca="1" si="964"/>
        <v>1083722.9137359834</v>
      </c>
      <c r="AK1021" s="2">
        <f t="shared" ca="1" si="965"/>
        <v>0</v>
      </c>
      <c r="AL1021" s="2">
        <f t="shared" ca="1" si="966"/>
        <v>7462.168373606205</v>
      </c>
      <c r="AM1021" s="2">
        <f t="shared" ca="1" si="967"/>
        <v>7571.0637030086664</v>
      </c>
      <c r="AN1021" s="2">
        <f t="shared" ca="1" si="968"/>
        <v>7681.5481405861674</v>
      </c>
      <c r="AO1021" s="2">
        <f t="shared" ca="1" si="969"/>
        <v>7793.6448761742568</v>
      </c>
      <c r="AP1021" s="2">
        <f t="shared" ca="1" si="970"/>
        <v>2099409.5972678643</v>
      </c>
      <c r="AQ1021" s="2">
        <f t="shared" ca="1" si="971"/>
        <v>874753.93051635509</v>
      </c>
      <c r="AR1021" s="2">
        <f t="shared" ca="1" si="972"/>
        <v>932449.41853773163</v>
      </c>
      <c r="AS1021" s="2">
        <f t="shared" ca="1" si="973"/>
        <v>954022.17225097446</v>
      </c>
      <c r="AT1021" s="2">
        <f t="shared" ca="1" si="974"/>
        <v>975909.73688834964</v>
      </c>
      <c r="AU1021" s="2">
        <f t="shared" ca="1" si="975"/>
        <v>998116.70648172009</v>
      </c>
      <c r="AV1021" s="2">
        <f t="shared" ca="1" si="976"/>
        <v>2489684.2637773184</v>
      </c>
      <c r="AW1021" s="2">
        <f t="shared" ca="1" si="977"/>
        <v>2646432.3305414766</v>
      </c>
      <c r="AX1021" s="2">
        <f t="shared" ca="1" si="978"/>
        <v>2707722.8111651484</v>
      </c>
      <c r="AY1021" s="2">
        <f t="shared" ca="1" si="979"/>
        <v>2769907.7030031774</v>
      </c>
      <c r="AZ1021" s="2">
        <f t="shared" ca="1" si="980"/>
        <v>2833000.0581871821</v>
      </c>
      <c r="BA1021" s="2">
        <f t="shared" ca="1" si="981"/>
        <v>52527093.242082231</v>
      </c>
      <c r="BB1021" s="2">
        <f t="shared" ca="1" si="982"/>
        <v>1050541.8648416447</v>
      </c>
      <c r="BC1021" s="2">
        <f t="shared" ca="1" si="983"/>
        <v>28149778.074264318</v>
      </c>
      <c r="BD1021" s="2">
        <f t="shared" ca="1" si="984"/>
        <v>-17023131.089608192</v>
      </c>
      <c r="BE1021" s="2">
        <f t="shared" ca="1" si="985"/>
        <v>2489684.2637773184</v>
      </c>
      <c r="BF1021" s="2">
        <f t="shared" ca="1" si="986"/>
        <v>2646432.3305414766</v>
      </c>
      <c r="BG1021" s="2">
        <f t="shared" ca="1" si="987"/>
        <v>2707722.8111651484</v>
      </c>
      <c r="BH1021" s="2">
        <f t="shared" ca="1" si="988"/>
        <v>2769907.7030031774</v>
      </c>
      <c r="BI1021" s="2">
        <f t="shared" ca="1" si="989"/>
        <v>30982778.132451501</v>
      </c>
      <c r="BJ1021" s="2">
        <f t="shared" ca="1" si="990"/>
        <v>0.23754332377849052</v>
      </c>
      <c r="BK1021" s="2">
        <f t="shared" ca="1" si="991"/>
        <v>8577611.3514615595</v>
      </c>
    </row>
    <row r="1022" spans="1:63" x14ac:dyDescent="0.3">
      <c r="A1022" s="2">
        <v>1021</v>
      </c>
      <c r="B1022" s="2">
        <f t="shared" ca="1" si="930"/>
        <v>0.64711388422610538</v>
      </c>
      <c r="C1022" s="2">
        <f t="shared" ca="1" si="931"/>
        <v>7.1598974874768029</v>
      </c>
      <c r="D1022" s="2">
        <f t="shared" ca="1" si="932"/>
        <v>0.56743691418839581</v>
      </c>
      <c r="E1022" s="2">
        <f t="shared" ca="1" si="933"/>
        <v>7.5698784103015306</v>
      </c>
      <c r="F1022" s="2">
        <f t="shared" ca="1" si="934"/>
        <v>4.392804541444828E-2</v>
      </c>
      <c r="G1022" s="2">
        <f t="shared" ca="1" si="935"/>
        <v>-1.1204506904402889E-2</v>
      </c>
      <c r="H1022" s="2">
        <f t="shared" ca="1" si="936"/>
        <v>-1.1204506904402889E-2</v>
      </c>
      <c r="I1022" s="2">
        <f t="shared" ca="1" si="937"/>
        <v>0.82603524618795121</v>
      </c>
      <c r="J1022" s="2">
        <f t="shared" ca="1" si="938"/>
        <v>1.4693064690283423E-2</v>
      </c>
      <c r="K1022" s="2">
        <f t="shared" ca="1" si="939"/>
        <v>1.4693064690283423E-2</v>
      </c>
      <c r="L1022" s="2">
        <f t="shared" ca="1" si="940"/>
        <v>0.78716845192895468</v>
      </c>
      <c r="M1022" s="2">
        <f t="shared" ca="1" si="941"/>
        <v>1.5932698211127951E-2</v>
      </c>
      <c r="N1022" s="2">
        <f t="shared" ca="1" si="942"/>
        <v>1.5932698211127951E-2</v>
      </c>
      <c r="O1022" s="2">
        <f t="shared" si="943"/>
        <v>6000000</v>
      </c>
      <c r="P1022" s="2">
        <f t="shared" ca="1" si="944"/>
        <v>42959384.92486082</v>
      </c>
      <c r="Q1022" s="2">
        <f t="shared" ca="1" si="945"/>
        <v>1073984.6231215205</v>
      </c>
      <c r="R1022" s="2">
        <f t="shared" ca="1" si="946"/>
        <v>25775630.954916492</v>
      </c>
      <c r="S1022" s="2">
        <f t="shared" ca="1" si="947"/>
        <v>17183753.969944328</v>
      </c>
      <c r="T1022" s="2">
        <f t="shared" ca="1" si="948"/>
        <v>50796634.910556391</v>
      </c>
      <c r="U1022" s="2">
        <f t="shared" ca="1" si="949"/>
        <v>50227483.663980626</v>
      </c>
      <c r="V1022" s="2">
        <f t="shared" ca="1" si="950"/>
        <v>49664709.476476774</v>
      </c>
      <c r="W1022" s="2">
        <f t="shared" ca="1" si="951"/>
        <v>49108240.896242425</v>
      </c>
      <c r="X1022" s="2">
        <f t="shared" ca="1" si="952"/>
        <v>48558007.272057399</v>
      </c>
      <c r="Y1022" s="2">
        <f t="shared" ca="1" si="953"/>
        <v>0.12734653234514171</v>
      </c>
      <c r="Z1022" s="2">
        <f t="shared" ca="1" si="954"/>
        <v>0.1302851452831984</v>
      </c>
      <c r="AA1022" s="2">
        <f t="shared" ca="1" si="955"/>
        <v>6468775.3106615236</v>
      </c>
      <c r="AB1022" s="2">
        <f t="shared" ca="1" si="956"/>
        <v>6543895.0063711898</v>
      </c>
      <c r="AC1022" s="2">
        <f t="shared" ca="1" si="957"/>
        <v>6470573.8895906173</v>
      </c>
      <c r="AD1022" s="2">
        <f t="shared" ca="1" si="958"/>
        <v>6398074.2997692497</v>
      </c>
      <c r="AE1022" s="2">
        <f t="shared" ca="1" si="959"/>
        <v>6326387.0321026025</v>
      </c>
      <c r="AF1022" s="2">
        <f t="shared" ca="1" si="960"/>
        <v>1015932.6982111279</v>
      </c>
      <c r="AG1022" s="2">
        <f t="shared" ca="1" si="961"/>
        <v>1004549.6732796126</v>
      </c>
      <c r="AH1022" s="2">
        <f t="shared" ca="1" si="962"/>
        <v>993294.18952953548</v>
      </c>
      <c r="AI1022" s="2">
        <f t="shared" ca="1" si="963"/>
        <v>982164.81792484852</v>
      </c>
      <c r="AJ1022" s="2">
        <f t="shared" ca="1" si="964"/>
        <v>971160.14544114796</v>
      </c>
      <c r="AK1022" s="2">
        <f t="shared" ca="1" si="965"/>
        <v>0</v>
      </c>
      <c r="AL1022" s="2">
        <f t="shared" ca="1" si="966"/>
        <v>0</v>
      </c>
      <c r="AM1022" s="2">
        <f t="shared" ca="1" si="967"/>
        <v>0</v>
      </c>
      <c r="AN1022" s="2">
        <f t="shared" ca="1" si="968"/>
        <v>0</v>
      </c>
      <c r="AO1022" s="2">
        <f t="shared" ca="1" si="969"/>
        <v>0</v>
      </c>
      <c r="AP1022" s="2">
        <f t="shared" ca="1" si="970"/>
        <v>2319806.7859424842</v>
      </c>
      <c r="AQ1022" s="2">
        <f t="shared" ca="1" si="971"/>
        <v>814589.31489205698</v>
      </c>
      <c r="AR1022" s="2">
        <f t="shared" ca="1" si="972"/>
        <v>837080.02225876425</v>
      </c>
      <c r="AS1022" s="2">
        <f t="shared" ca="1" si="973"/>
        <v>820942.95767083543</v>
      </c>
      <c r="AT1022" s="2">
        <f t="shared" ca="1" si="974"/>
        <v>804986.70093449845</v>
      </c>
      <c r="AU1022" s="2">
        <f t="shared" ca="1" si="975"/>
        <v>789209.22618693241</v>
      </c>
      <c r="AV1022" s="2">
        <f t="shared" ca="1" si="976"/>
        <v>2318446.5116158542</v>
      </c>
      <c r="AW1022" s="2">
        <f t="shared" ca="1" si="977"/>
        <v>2382458.5248903292</v>
      </c>
      <c r="AX1022" s="2">
        <f t="shared" ca="1" si="978"/>
        <v>2336529.956447762</v>
      </c>
      <c r="AY1022" s="2">
        <f t="shared" ca="1" si="979"/>
        <v>2291115.9949674183</v>
      </c>
      <c r="AZ1022" s="2">
        <f t="shared" ca="1" si="980"/>
        <v>2246210.8745320388</v>
      </c>
      <c r="BA1022" s="2">
        <f t="shared" ca="1" si="981"/>
        <v>47889980.60952507</v>
      </c>
      <c r="BB1022" s="2">
        <f t="shared" ca="1" si="982"/>
        <v>957799.61219050142</v>
      </c>
      <c r="BC1022" s="2">
        <f t="shared" ca="1" si="983"/>
        <v>21156550.042418078</v>
      </c>
      <c r="BD1022" s="2">
        <f t="shared" ca="1" si="984"/>
        <v>-18757738.59306585</v>
      </c>
      <c r="BE1022" s="2">
        <f t="shared" ca="1" si="985"/>
        <v>2318446.5116158542</v>
      </c>
      <c r="BF1022" s="2">
        <f t="shared" ca="1" si="986"/>
        <v>2382458.5248903292</v>
      </c>
      <c r="BG1022" s="2">
        <f t="shared" ca="1" si="987"/>
        <v>2336529.956447762</v>
      </c>
      <c r="BH1022" s="2">
        <f t="shared" ca="1" si="988"/>
        <v>2291115.9949674183</v>
      </c>
      <c r="BI1022" s="2">
        <f t="shared" ca="1" si="989"/>
        <v>23402760.916950118</v>
      </c>
      <c r="BJ1022" s="2">
        <f t="shared" ca="1" si="990"/>
        <v>0.14295913789956005</v>
      </c>
      <c r="BK1022" s="2">
        <f t="shared" ca="1" si="991"/>
        <v>1610080.832911633</v>
      </c>
    </row>
    <row r="1023" spans="1:63" x14ac:dyDescent="0.3">
      <c r="A1023" s="2">
        <v>1022</v>
      </c>
      <c r="B1023" s="2">
        <f t="shared" ca="1" si="930"/>
        <v>0.48086865517290633</v>
      </c>
      <c r="C1023" s="2">
        <f t="shared" ca="1" si="931"/>
        <v>6.9806820638442471</v>
      </c>
      <c r="D1023" s="2">
        <f t="shared" ca="1" si="932"/>
        <v>0.3772903296206136</v>
      </c>
      <c r="E1023" s="2">
        <f t="shared" ca="1" si="933"/>
        <v>7.3686660228426266</v>
      </c>
      <c r="F1023" s="2">
        <f t="shared" ca="1" si="934"/>
        <v>0.58230080948577601</v>
      </c>
      <c r="G1023" s="2">
        <f t="shared" ca="1" si="935"/>
        <v>4.6233490996298289E-2</v>
      </c>
      <c r="H1023" s="2">
        <f t="shared" ca="1" si="936"/>
        <v>4.6233490996298289E-2</v>
      </c>
      <c r="I1023" s="2">
        <f t="shared" ca="1" si="937"/>
        <v>0.26956902597623367</v>
      </c>
      <c r="J1023" s="2">
        <f t="shared" ca="1" si="938"/>
        <v>6.9294152777626215E-3</v>
      </c>
      <c r="K1023" s="2">
        <f t="shared" ca="1" si="939"/>
        <v>6.9294152777626215E-3</v>
      </c>
      <c r="L1023" s="2">
        <f t="shared" ca="1" si="940"/>
        <v>0.23327307462280811</v>
      </c>
      <c r="M1023" s="2">
        <f t="shared" ca="1" si="941"/>
        <v>-1.4562203385354145E-2</v>
      </c>
      <c r="N1023" s="2">
        <f t="shared" ca="1" si="942"/>
        <v>-1.4562203385354145E-2</v>
      </c>
      <c r="O1023" s="2">
        <f t="shared" si="943"/>
        <v>6000000</v>
      </c>
      <c r="P1023" s="2">
        <f t="shared" ca="1" si="944"/>
        <v>41884092.383065484</v>
      </c>
      <c r="Q1023" s="2">
        <f t="shared" ca="1" si="945"/>
        <v>1047102.3095766371</v>
      </c>
      <c r="R1023" s="2">
        <f t="shared" ca="1" si="946"/>
        <v>25130455.429839291</v>
      </c>
      <c r="S1023" s="2">
        <f t="shared" ca="1" si="947"/>
        <v>16753636.953226194</v>
      </c>
      <c r="T1023" s="2">
        <f t="shared" ca="1" si="948"/>
        <v>49271889.830732293</v>
      </c>
      <c r="U1023" s="2">
        <f t="shared" ca="1" si="949"/>
        <v>51549901.305592053</v>
      </c>
      <c r="V1023" s="2">
        <f t="shared" ca="1" si="950"/>
        <v>53933233.20346421</v>
      </c>
      <c r="W1023" s="2">
        <f t="shared" ca="1" si="951"/>
        <v>56426754.855177827</v>
      </c>
      <c r="X1023" s="2">
        <f t="shared" ca="1" si="952"/>
        <v>59035560.717725024</v>
      </c>
      <c r="Y1023" s="2">
        <f t="shared" ca="1" si="953"/>
        <v>0.1234647076388813</v>
      </c>
      <c r="Z1023" s="2">
        <f t="shared" ca="1" si="954"/>
        <v>0.12485059069443383</v>
      </c>
      <c r="AA1023" s="2">
        <f t="shared" ca="1" si="955"/>
        <v>6083339.4727665316</v>
      </c>
      <c r="AB1023" s="2">
        <f t="shared" ca="1" si="956"/>
        <v>6436035.6282429332</v>
      </c>
      <c r="AC1023" s="2">
        <f t="shared" ca="1" si="957"/>
        <v>6733596.0235131579</v>
      </c>
      <c r="AD1023" s="2">
        <f t="shared" ca="1" si="958"/>
        <v>7044913.6746389633</v>
      </c>
      <c r="AE1023" s="2">
        <f t="shared" ca="1" si="959"/>
        <v>7370624.6275850832</v>
      </c>
      <c r="AF1023" s="2">
        <f t="shared" ca="1" si="960"/>
        <v>985437.79661464586</v>
      </c>
      <c r="AG1023" s="2">
        <f t="shared" ca="1" si="961"/>
        <v>1030998.0261118411</v>
      </c>
      <c r="AH1023" s="2">
        <f t="shared" ca="1" si="962"/>
        <v>1078664.6640692842</v>
      </c>
      <c r="AI1023" s="2">
        <f t="shared" ca="1" si="963"/>
        <v>1128535.0971035566</v>
      </c>
      <c r="AJ1023" s="2">
        <f t="shared" ca="1" si="964"/>
        <v>1180711.2143545004</v>
      </c>
      <c r="AK1023" s="2">
        <f t="shared" ca="1" si="965"/>
        <v>0</v>
      </c>
      <c r="AL1023" s="2">
        <f t="shared" ca="1" si="966"/>
        <v>22780.114748597593</v>
      </c>
      <c r="AM1023" s="2">
        <f t="shared" ca="1" si="967"/>
        <v>23833.318978721574</v>
      </c>
      <c r="AN1023" s="2">
        <f t="shared" ca="1" si="968"/>
        <v>24935.21651713617</v>
      </c>
      <c r="AO1023" s="2">
        <f t="shared" ca="1" si="969"/>
        <v>26088.058625471964</v>
      </c>
      <c r="AP1023" s="2">
        <f t="shared" ca="1" si="970"/>
        <v>2261740.9886855362</v>
      </c>
      <c r="AQ1023" s="2">
        <f t="shared" ca="1" si="971"/>
        <v>737401.77874125086</v>
      </c>
      <c r="AR1023" s="2">
        <f t="shared" ca="1" si="972"/>
        <v>817257.11949584458</v>
      </c>
      <c r="AS1023" s="2">
        <f t="shared" ca="1" si="973"/>
        <v>882229.49639716768</v>
      </c>
      <c r="AT1023" s="2">
        <f t="shared" ca="1" si="974"/>
        <v>950205.77310096635</v>
      </c>
      <c r="AU1023" s="2">
        <f t="shared" ca="1" si="975"/>
        <v>1021324.8303817122</v>
      </c>
      <c r="AV1023" s="2">
        <f t="shared" ca="1" si="976"/>
        <v>2098758.9087250987</v>
      </c>
      <c r="AW1023" s="2">
        <f t="shared" ca="1" si="977"/>
        <v>2303259.3792011142</v>
      </c>
      <c r="AX1023" s="2">
        <f t="shared" ca="1" si="978"/>
        <v>2487127.5553824482</v>
      </c>
      <c r="AY1023" s="2">
        <f t="shared" ca="1" si="979"/>
        <v>2679496.5992317675</v>
      </c>
      <c r="AZ1023" s="2">
        <f t="shared" ca="1" si="980"/>
        <v>2880759.5355378632</v>
      </c>
      <c r="BA1023" s="2">
        <f t="shared" ca="1" si="981"/>
        <v>54311671.260413289</v>
      </c>
      <c r="BB1023" s="2">
        <f t="shared" ca="1" si="982"/>
        <v>1086233.4252082659</v>
      </c>
      <c r="BC1023" s="2">
        <f t="shared" ca="1" si="983"/>
        <v>28094982.405365732</v>
      </c>
      <c r="BD1023" s="2">
        <f t="shared" ca="1" si="984"/>
        <v>-18300739.262802832</v>
      </c>
      <c r="BE1023" s="2">
        <f t="shared" ca="1" si="985"/>
        <v>2098758.9087250987</v>
      </c>
      <c r="BF1023" s="2">
        <f t="shared" ca="1" si="986"/>
        <v>2303259.3792011142</v>
      </c>
      <c r="BG1023" s="2">
        <f t="shared" ca="1" si="987"/>
        <v>2487127.5553824482</v>
      </c>
      <c r="BH1023" s="2">
        <f t="shared" ca="1" si="988"/>
        <v>2679496.5992317675</v>
      </c>
      <c r="BI1023" s="2">
        <f t="shared" ca="1" si="989"/>
        <v>30975741.940903597</v>
      </c>
      <c r="BJ1023" s="2">
        <f t="shared" ca="1" si="990"/>
        <v>0.20359304972436698</v>
      </c>
      <c r="BK1023" s="2">
        <f t="shared" ca="1" si="991"/>
        <v>6458921.5461259261</v>
      </c>
    </row>
    <row r="1024" spans="1:63" x14ac:dyDescent="0.3">
      <c r="A1024" s="2">
        <v>1023</v>
      </c>
      <c r="B1024" s="2">
        <f t="shared" ca="1" si="930"/>
        <v>0.21884736957303474</v>
      </c>
      <c r="C1024" s="2">
        <f t="shared" ca="1" si="931"/>
        <v>6.6615850203458882</v>
      </c>
      <c r="D1024" s="2">
        <f t="shared" ca="1" si="932"/>
        <v>0.15603562985265307</v>
      </c>
      <c r="E1024" s="2">
        <f t="shared" ca="1" si="933"/>
        <v>7.0586333857775649</v>
      </c>
      <c r="F1024" s="2">
        <f t="shared" ca="1" si="934"/>
        <v>0.61014332097445045</v>
      </c>
      <c r="G1024" s="2">
        <f t="shared" ca="1" si="935"/>
        <v>4.8390777926961032E-2</v>
      </c>
      <c r="H1024" s="2">
        <f t="shared" ca="1" si="936"/>
        <v>4.8390777926961032E-2</v>
      </c>
      <c r="I1024" s="2">
        <f t="shared" ca="1" si="937"/>
        <v>0.35000723049223292</v>
      </c>
      <c r="J1024" s="2">
        <f t="shared" ca="1" si="938"/>
        <v>8.0734952716942799E-3</v>
      </c>
      <c r="K1024" s="2">
        <f t="shared" ca="1" si="939"/>
        <v>8.0734952716942799E-3</v>
      </c>
      <c r="L1024" s="2">
        <f t="shared" ca="1" si="940"/>
        <v>0.17707241308007504</v>
      </c>
      <c r="M1024" s="2">
        <f t="shared" ca="1" si="941"/>
        <v>-1.8531592946205402E-2</v>
      </c>
      <c r="N1024" s="2">
        <f t="shared" ca="1" si="942"/>
        <v>-1.8531592946205402E-2</v>
      </c>
      <c r="O1024" s="2">
        <f t="shared" si="943"/>
        <v>6000000</v>
      </c>
      <c r="P1024" s="2">
        <f t="shared" ca="1" si="944"/>
        <v>39969510.122075327</v>
      </c>
      <c r="Q1024" s="2">
        <f t="shared" ca="1" si="945"/>
        <v>999237.75305188319</v>
      </c>
      <c r="R1024" s="2">
        <f t="shared" ca="1" si="946"/>
        <v>23981706.073245194</v>
      </c>
      <c r="S1024" s="2">
        <f t="shared" ca="1" si="947"/>
        <v>15987804.048830131</v>
      </c>
      <c r="T1024" s="2">
        <f t="shared" ca="1" si="948"/>
        <v>49073420.352689728</v>
      </c>
      <c r="U1024" s="2">
        <f t="shared" ca="1" si="949"/>
        <v>51448121.339093149</v>
      </c>
      <c r="V1024" s="2">
        <f t="shared" ca="1" si="950"/>
        <v>53937735.953572549</v>
      </c>
      <c r="W1024" s="2">
        <f t="shared" ca="1" si="951"/>
        <v>56547824.955984935</v>
      </c>
      <c r="X1024" s="2">
        <f t="shared" ca="1" si="952"/>
        <v>59284218.195682667</v>
      </c>
      <c r="Y1024" s="2">
        <f t="shared" ca="1" si="953"/>
        <v>0.12403674763584714</v>
      </c>
      <c r="Z1024" s="2">
        <f t="shared" ca="1" si="954"/>
        <v>0.12565144669018599</v>
      </c>
      <c r="AA1024" s="2">
        <f t="shared" ca="1" si="955"/>
        <v>6086907.455914421</v>
      </c>
      <c r="AB1024" s="2">
        <f t="shared" ca="1" si="956"/>
        <v>6464530.8757492835</v>
      </c>
      <c r="AC1024" s="2">
        <f t="shared" ca="1" si="957"/>
        <v>6777354.5537596494</v>
      </c>
      <c r="AD1024" s="2">
        <f t="shared" ca="1" si="958"/>
        <v>7105316.0129029099</v>
      </c>
      <c r="AE1024" s="2">
        <f t="shared" ca="1" si="959"/>
        <v>7449147.7821841752</v>
      </c>
      <c r="AF1024" s="2">
        <f t="shared" ca="1" si="960"/>
        <v>981468.4070537946</v>
      </c>
      <c r="AG1024" s="2">
        <f t="shared" ca="1" si="961"/>
        <v>1028962.426781863</v>
      </c>
      <c r="AH1024" s="2">
        <f t="shared" ca="1" si="962"/>
        <v>1078754.7190714511</v>
      </c>
      <c r="AI1024" s="2">
        <f t="shared" ca="1" si="963"/>
        <v>1130956.4991196988</v>
      </c>
      <c r="AJ1024" s="2">
        <f t="shared" ca="1" si="964"/>
        <v>1185684.3639136534</v>
      </c>
      <c r="AK1024" s="2">
        <f t="shared" ca="1" si="965"/>
        <v>0</v>
      </c>
      <c r="AL1024" s="2">
        <f t="shared" ca="1" si="966"/>
        <v>23747.009864034208</v>
      </c>
      <c r="AM1024" s="2">
        <f t="shared" ca="1" si="967"/>
        <v>24896.146144794002</v>
      </c>
      <c r="AN1024" s="2">
        <f t="shared" ca="1" si="968"/>
        <v>26100.890024123863</v>
      </c>
      <c r="AO1024" s="2">
        <f t="shared" ca="1" si="969"/>
        <v>27363.932396977321</v>
      </c>
      <c r="AP1024" s="2">
        <f t="shared" ca="1" si="970"/>
        <v>2158353.5465920675</v>
      </c>
      <c r="AQ1024" s="2">
        <f t="shared" ca="1" si="971"/>
        <v>766242.23058982531</v>
      </c>
      <c r="AR1024" s="2">
        <f t="shared" ca="1" si="972"/>
        <v>852075.87461759185</v>
      </c>
      <c r="AS1024" s="2">
        <f t="shared" ca="1" si="973"/>
        <v>920464.03490499395</v>
      </c>
      <c r="AT1024" s="2">
        <f t="shared" ca="1" si="974"/>
        <v>992161.55146969727</v>
      </c>
      <c r="AU1024" s="2">
        <f t="shared" ca="1" si="975"/>
        <v>1067328.5666363982</v>
      </c>
      <c r="AV1024" s="2">
        <f t="shared" ca="1" si="976"/>
        <v>2180843.2716787332</v>
      </c>
      <c r="AW1024" s="2">
        <f t="shared" ca="1" si="977"/>
        <v>2401392.0178937274</v>
      </c>
      <c r="AX1024" s="2">
        <f t="shared" ca="1" si="978"/>
        <v>2594886.107046342</v>
      </c>
      <c r="AY1024" s="2">
        <f t="shared" ca="1" si="979"/>
        <v>2797743.5256973221</v>
      </c>
      <c r="AZ1024" s="2">
        <f t="shared" ca="1" si="980"/>
        <v>3010417.3726450787</v>
      </c>
      <c r="BA1024" s="2">
        <f t="shared" ca="1" si="981"/>
        <v>52580803.23091612</v>
      </c>
      <c r="BB1024" s="2">
        <f t="shared" ca="1" si="982"/>
        <v>1051616.0646183225</v>
      </c>
      <c r="BC1024" s="2">
        <f t="shared" ca="1" si="983"/>
        <v>27547481.093052603</v>
      </c>
      <c r="BD1024" s="2">
        <f t="shared" ca="1" si="984"/>
        <v>-17487041.801882014</v>
      </c>
      <c r="BE1024" s="2">
        <f t="shared" ca="1" si="985"/>
        <v>2180843.2716787332</v>
      </c>
      <c r="BF1024" s="2">
        <f t="shared" ca="1" si="986"/>
        <v>2401392.0178937274</v>
      </c>
      <c r="BG1024" s="2">
        <f t="shared" ca="1" si="987"/>
        <v>2594886.107046342</v>
      </c>
      <c r="BH1024" s="2">
        <f t="shared" ca="1" si="988"/>
        <v>2797743.5256973221</v>
      </c>
      <c r="BI1024" s="2">
        <f t="shared" ca="1" si="989"/>
        <v>30557898.465697683</v>
      </c>
      <c r="BJ1024" s="2">
        <f t="shared" ca="1" si="990"/>
        <v>0.21849509074988038</v>
      </c>
      <c r="BK1024" s="2">
        <f t="shared" ca="1" si="991"/>
        <v>7338892.2143538371</v>
      </c>
    </row>
    <row r="1025" spans="1:63" x14ac:dyDescent="0.3">
      <c r="A1025" s="2">
        <v>1024</v>
      </c>
      <c r="B1025" s="2">
        <f t="shared" ca="1" si="930"/>
        <v>0.69025729719081064</v>
      </c>
      <c r="C1025" s="2">
        <f t="shared" ca="1" si="931"/>
        <v>7.2129260481896385</v>
      </c>
      <c r="D1025" s="2">
        <f t="shared" ca="1" si="932"/>
        <v>6.8550407590815432E-2</v>
      </c>
      <c r="E1025" s="2">
        <f t="shared" ca="1" si="933"/>
        <v>6.8702712724228423</v>
      </c>
      <c r="F1025" s="2">
        <f t="shared" ca="1" si="934"/>
        <v>0.20821759096338754</v>
      </c>
      <c r="G1025" s="2">
        <f t="shared" ca="1" si="935"/>
        <v>1.5621359240725562E-2</v>
      </c>
      <c r="H1025" s="2">
        <f t="shared" ca="1" si="936"/>
        <v>1.5621359240725562E-2</v>
      </c>
      <c r="I1025" s="2">
        <f t="shared" ca="1" si="937"/>
        <v>0.87509755302810321</v>
      </c>
      <c r="J1025" s="2">
        <f t="shared" ca="1" si="938"/>
        <v>1.5754117024744274E-2</v>
      </c>
      <c r="K1025" s="2">
        <f t="shared" ca="1" si="939"/>
        <v>1.5754117024744274E-2</v>
      </c>
      <c r="L1025" s="2">
        <f t="shared" ca="1" si="940"/>
        <v>0.61166346100383528</v>
      </c>
      <c r="M1025" s="2">
        <f t="shared" ca="1" si="941"/>
        <v>5.6731445065099232E-3</v>
      </c>
      <c r="N1025" s="2">
        <f t="shared" ca="1" si="942"/>
        <v>5.6731445065099232E-3</v>
      </c>
      <c r="O1025" s="2">
        <f t="shared" si="943"/>
        <v>6000000</v>
      </c>
      <c r="P1025" s="2">
        <f t="shared" ca="1" si="944"/>
        <v>43277556.289137833</v>
      </c>
      <c r="Q1025" s="2">
        <f t="shared" ca="1" si="945"/>
        <v>1081938.9072284459</v>
      </c>
      <c r="R1025" s="2">
        <f t="shared" ca="1" si="946"/>
        <v>25966533.773482699</v>
      </c>
      <c r="S1025" s="2">
        <f t="shared" ca="1" si="947"/>
        <v>17311022.515655134</v>
      </c>
      <c r="T1025" s="2">
        <f t="shared" ca="1" si="948"/>
        <v>50283657.225325495</v>
      </c>
      <c r="U1025" s="2">
        <f t="shared" ca="1" si="949"/>
        <v>51069156.298779808</v>
      </c>
      <c r="V1025" s="2">
        <f t="shared" ca="1" si="950"/>
        <v>51866925.935443804</v>
      </c>
      <c r="W1025" s="2">
        <f t="shared" ca="1" si="951"/>
        <v>52677157.818193473</v>
      </c>
      <c r="X1025" s="2">
        <f t="shared" ca="1" si="952"/>
        <v>53500046.624251865</v>
      </c>
      <c r="Y1025" s="2">
        <f t="shared" ca="1" si="953"/>
        <v>0.12787705851237213</v>
      </c>
      <c r="Z1025" s="2">
        <f t="shared" ca="1" si="954"/>
        <v>0.13102788191732098</v>
      </c>
      <c r="AA1025" s="2">
        <f t="shared" ca="1" si="955"/>
        <v>6430126.1772190118</v>
      </c>
      <c r="AB1025" s="2">
        <f t="shared" ca="1" si="956"/>
        <v>6691483.3811337296</v>
      </c>
      <c r="AC1025" s="2">
        <f t="shared" ca="1" si="957"/>
        <v>6796013.4468837641</v>
      </c>
      <c r="AD1025" s="2">
        <f t="shared" ca="1" si="958"/>
        <v>6902176.4143423364</v>
      </c>
      <c r="AE1025" s="2">
        <f t="shared" ca="1" si="959"/>
        <v>7009997.7916536406</v>
      </c>
      <c r="AF1025" s="2">
        <f t="shared" ca="1" si="960"/>
        <v>1005673.1445065099</v>
      </c>
      <c r="AG1025" s="2">
        <f t="shared" ca="1" si="961"/>
        <v>1021383.1259755961</v>
      </c>
      <c r="AH1025" s="2">
        <f t="shared" ca="1" si="962"/>
        <v>1037338.5187088761</v>
      </c>
      <c r="AI1025" s="2">
        <f t="shared" ca="1" si="963"/>
        <v>1053543.1563638696</v>
      </c>
      <c r="AJ1025" s="2">
        <f t="shared" ca="1" si="964"/>
        <v>1070000.9324850373</v>
      </c>
      <c r="AK1025" s="2">
        <f t="shared" ca="1" si="965"/>
        <v>0</v>
      </c>
      <c r="AL1025" s="2">
        <f t="shared" ca="1" si="966"/>
        <v>7854.9907345431302</v>
      </c>
      <c r="AM1025" s="2">
        <f t="shared" ca="1" si="967"/>
        <v>7977.696366639957</v>
      </c>
      <c r="AN1025" s="2">
        <f t="shared" ca="1" si="968"/>
        <v>8102.3188274966924</v>
      </c>
      <c r="AO1025" s="2">
        <f t="shared" ca="1" si="969"/>
        <v>8228.8880605839186</v>
      </c>
      <c r="AP1025" s="2">
        <f t="shared" ca="1" si="970"/>
        <v>2336988.039613443</v>
      </c>
      <c r="AQ1025" s="2">
        <f t="shared" ca="1" si="971"/>
        <v>802740.89820575551</v>
      </c>
      <c r="AR1025" s="2">
        <f t="shared" ca="1" si="972"/>
        <v>866609.17604161962</v>
      </c>
      <c r="AS1025" s="2">
        <f t="shared" ca="1" si="973"/>
        <v>889638.59102597565</v>
      </c>
      <c r="AT1025" s="2">
        <f t="shared" ca="1" si="974"/>
        <v>913027.7567749063</v>
      </c>
      <c r="AU1025" s="2">
        <f t="shared" ca="1" si="975"/>
        <v>936782.29308434168</v>
      </c>
      <c r="AV1025" s="2">
        <f t="shared" ca="1" si="976"/>
        <v>2284724.0948933042</v>
      </c>
      <c r="AW1025" s="2">
        <f t="shared" ca="1" si="977"/>
        <v>2458648.0487685283</v>
      </c>
      <c r="AX1025" s="2">
        <f t="shared" ca="1" si="978"/>
        <v>2524070.6011688295</v>
      </c>
      <c r="AY1025" s="2">
        <f t="shared" ca="1" si="979"/>
        <v>2590515.1427626214</v>
      </c>
      <c r="AZ1025" s="2">
        <f t="shared" ca="1" si="980"/>
        <v>2657997.6384102344</v>
      </c>
      <c r="BA1025" s="2">
        <f t="shared" ca="1" si="981"/>
        <v>48160586.447745569</v>
      </c>
      <c r="BB1025" s="2">
        <f t="shared" ca="1" si="982"/>
        <v>963211.72895491135</v>
      </c>
      <c r="BC1025" s="2">
        <f t="shared" ca="1" si="983"/>
        <v>21230840.945307959</v>
      </c>
      <c r="BD1025" s="2">
        <f t="shared" ca="1" si="984"/>
        <v>-18892961.422883581</v>
      </c>
      <c r="BE1025" s="2">
        <f t="shared" ca="1" si="985"/>
        <v>2284724.0948933042</v>
      </c>
      <c r="BF1025" s="2">
        <f t="shared" ca="1" si="986"/>
        <v>2458648.0487685283</v>
      </c>
      <c r="BG1025" s="2">
        <f t="shared" ca="1" si="987"/>
        <v>2524070.6011688295</v>
      </c>
      <c r="BH1025" s="2">
        <f t="shared" ca="1" si="988"/>
        <v>2590515.1427626214</v>
      </c>
      <c r="BI1025" s="2">
        <f t="shared" ca="1" si="989"/>
        <v>23888838.583718192</v>
      </c>
      <c r="BJ1025" s="2">
        <f t="shared" ca="1" si="990"/>
        <v>0.14955517425466525</v>
      </c>
      <c r="BK1025" s="2">
        <f t="shared" ca="1" si="991"/>
        <v>2105061.3441647403</v>
      </c>
    </row>
    <row r="1026" spans="1:63" x14ac:dyDescent="0.3">
      <c r="A1026" s="2">
        <v>1025</v>
      </c>
      <c r="B1026" s="2">
        <f t="shared" ref="B1026:B1089" ca="1" si="992">RAND()</f>
        <v>1.8345049998490737E-2</v>
      </c>
      <c r="C1026" s="2">
        <f t="shared" ref="C1026:C1089" ca="1" si="993">IF(B1026&lt;((P_Mode)-(P_Low))/((P_High)-(P_Low)), (P_Low)+SQRT(B1026*((P_High)-(P_Low))*((P_Mode)-(P_Low))), (P_High)-SQRT((1-B1026)*((P_High)-(P_Low))*((P_High)-(P_Mode))))</f>
        <v>6.1915466000663582</v>
      </c>
      <c r="D1026" s="2">
        <f t="shared" ref="D1026:D1089" ca="1" si="994">RAND()</f>
        <v>0.73359422235265348</v>
      </c>
      <c r="E1026" s="2">
        <f t="shared" ref="E1026:E1089" ca="1" si="995">IF(D1026&lt;((X_Mode)-(X_Low))/((X_High)-(X_Low)), (X_Low)+SQRT(D1026*((X_High)-(X_Low))*((X_Mode)-(X_Low))), (X_High)-SQRT((1-D1026)*((X_High)-(X_Low))*((X_High)-(X_Mode))))</f>
        <v>7.7700605810790231</v>
      </c>
      <c r="F1026" s="2">
        <f t="shared" ref="F1026:F1089" ca="1" si="996">RAND()</f>
        <v>0.44535171227804993</v>
      </c>
      <c r="G1026" s="2">
        <f t="shared" ref="G1026:G1089" ca="1" si="997">NORMINV(F1026, g_Mean, g_SD)</f>
        <v>3.5877574645767081E-2</v>
      </c>
      <c r="H1026" s="2">
        <f t="shared" ref="H1026:H1089" ca="1" si="998">MIN(MAX(G1026, g_Min), g_Max)</f>
        <v>3.5877574645767081E-2</v>
      </c>
      <c r="I1026" s="2">
        <f t="shared" ref="I1026:I1089" ca="1" si="999">RAND()</f>
        <v>0.92657008917171269</v>
      </c>
      <c r="J1026" s="2">
        <f t="shared" ref="J1026:J1089" ca="1" si="1000">NORMINV(I1026, syn_Mean, syn_SD)</f>
        <v>1.7253564503461296E-2</v>
      </c>
      <c r="K1026" s="2">
        <f t="shared" ref="K1026:K1089" ca="1" si="1001">MIN(MAX(J1026, syn_Min), syn_Max)</f>
        <v>1.7253564503461296E-2</v>
      </c>
      <c r="L1026" s="2">
        <f t="shared" ref="L1026:L1089" ca="1" si="1002">RAND()</f>
        <v>0.30880635576612703</v>
      </c>
      <c r="M1026" s="2">
        <f t="shared" ref="M1026:M1089" ca="1" si="1003">NORMINV(L1026, shk_Mean, shk_SD)</f>
        <v>-9.9847320513825055E-3</v>
      </c>
      <c r="N1026" s="2">
        <f t="shared" ref="N1026:N1089" ca="1" si="1004">MIN(MAX(M1026, shk_Min), shk_Max)</f>
        <v>-9.9847320513825055E-3</v>
      </c>
      <c r="O1026" s="2">
        <f t="shared" ref="O1026:O1089" si="1005">BaseRev*BaseMargin</f>
        <v>6000000</v>
      </c>
      <c r="P1026" s="2">
        <f t="shared" ref="P1026:P1089" ca="1" si="1006">O1026*C1026</f>
        <v>37149279.600398146</v>
      </c>
      <c r="Q1026" s="2">
        <f t="shared" ref="Q1026:Q1089" ca="1" si="1007">P1026*TxnCostPct</f>
        <v>928731.99000995373</v>
      </c>
      <c r="R1026" s="2">
        <f t="shared" ref="R1026:R1089" ca="1" si="1008">P1026*DebtPct</f>
        <v>22289567.760238886</v>
      </c>
      <c r="S1026" s="2">
        <f t="shared" ref="S1026:S1089" ca="1" si="1009">P1026*EqPct</f>
        <v>14859711.84015926</v>
      </c>
      <c r="T1026" s="2">
        <f t="shared" ref="T1026:T1089" ca="1" si="1010">BaseRev*(1+N1026)</f>
        <v>49500763.397430874</v>
      </c>
      <c r="U1026" s="2">
        <f t="shared" ref="U1026:U1089" ca="1" si="1011">T1026*(1+H1026)</f>
        <v>51276730.731244661</v>
      </c>
      <c r="V1026" s="2">
        <f t="shared" ref="V1026:V1089" ca="1" si="1012">U1026*(1+H1026)</f>
        <v>53116415.46564579</v>
      </c>
      <c r="W1026" s="2">
        <f t="shared" ref="W1026:W1089" ca="1" si="1013">V1026*(1+H1026)</f>
        <v>55022103.626430079</v>
      </c>
      <c r="X1026" s="2">
        <f t="shared" ref="X1026:X1089" ca="1" si="1014">W1026*(1+H1026)</f>
        <v>56996163.25645446</v>
      </c>
      <c r="Y1026" s="2">
        <f t="shared" ref="Y1026:Y1089" ca="1" si="1015">BaseMargin + SynReal_Y1*K1026</f>
        <v>0.12862678225173063</v>
      </c>
      <c r="Z1026" s="2">
        <f t="shared" ref="Z1026:Z1089" ca="1" si="1016">BaseMargin + SynReal_Y2toY5*K1026</f>
        <v>0.1320774951524229</v>
      </c>
      <c r="AA1026" s="2">
        <f t="shared" ref="AA1026:AA1089" ca="1" si="1017">T1026*Y1026</f>
        <v>6367123.9148157788</v>
      </c>
      <c r="AB1026" s="2">
        <f t="shared" ref="AB1026:AB1089" ca="1" si="1018">U1026*Z1026</f>
        <v>6772502.1545880605</v>
      </c>
      <c r="AC1026" s="2">
        <f t="shared" ref="AC1026:AC1089" ca="1" si="1019">V1026*Z1026</f>
        <v>7015483.1061779121</v>
      </c>
      <c r="AD1026" s="2">
        <f t="shared" ref="AD1026:AD1089" ca="1" si="1020">W1026*Z1026</f>
        <v>7267181.6249959292</v>
      </c>
      <c r="AE1026" s="2">
        <f t="shared" ref="AE1026:AE1089" ca="1" si="1021">X1026*Z1026</f>
        <v>7527910.4762110682</v>
      </c>
      <c r="AF1026" s="2">
        <f t="shared" ref="AF1026:AF1089" ca="1" si="1022">T1026*CapexPct</f>
        <v>990015.26794861746</v>
      </c>
      <c r="AG1026" s="2">
        <f t="shared" ref="AG1026:AG1089" ca="1" si="1023">U1026*CapexPct</f>
        <v>1025534.6146248933</v>
      </c>
      <c r="AH1026" s="2">
        <f t="shared" ref="AH1026:AH1089" ca="1" si="1024">V1026*CapexPct</f>
        <v>1062328.3093129159</v>
      </c>
      <c r="AI1026" s="2">
        <f t="shared" ref="AI1026:AI1089" ca="1" si="1025">W1026*CapexPct</f>
        <v>1100442.0725286016</v>
      </c>
      <c r="AJ1026" s="2">
        <f t="shared" ref="AJ1026:AJ1089" ca="1" si="1026">X1026*CapexPct</f>
        <v>1139923.2651290891</v>
      </c>
      <c r="AK1026" s="2">
        <f t="shared" ref="AK1026:AK1089" ca="1" si="1027">MAX(T1026-BaseRev*(1+N1026),0)*WCPct</f>
        <v>0</v>
      </c>
      <c r="AL1026" s="2">
        <f t="shared" ref="AL1026:AL1089" ca="1" si="1028">MAX(U1026-T1026,0)*WCPct</f>
        <v>17759.673338137865</v>
      </c>
      <c r="AM1026" s="2">
        <f t="shared" ref="AM1026:AM1089" ca="1" si="1029">MAX(V1026-U1026,0)*WCPct</f>
        <v>18396.847344011294</v>
      </c>
      <c r="AN1026" s="2">
        <f t="shared" ref="AN1026:AN1089" ca="1" si="1030">MAX(W1026-V1026,0)*WCPct</f>
        <v>19056.881607842894</v>
      </c>
      <c r="AO1026" s="2">
        <f t="shared" ref="AO1026:AO1089" ca="1" si="1031">MAX(X1026-W1026,0)*WCPct</f>
        <v>19740.596300243811</v>
      </c>
      <c r="AP1026" s="2">
        <f t="shared" ref="AP1026:AP1089" ca="1" si="1032">R1026*DebtRate</f>
        <v>2006061.0984214996</v>
      </c>
      <c r="AQ1026" s="2">
        <f t="shared" ref="AQ1026:AQ1089" ca="1" si="1033">MAX(AA1026-AF1026-AP1026,0)*Tax</f>
        <v>876472.36259587214</v>
      </c>
      <c r="AR1026" s="2">
        <f t="shared" ref="AR1026:AR1089" ca="1" si="1034">MAX(AB1026-AG1026-AP1026,0)*Tax</f>
        <v>972635.67480083357</v>
      </c>
      <c r="AS1026" s="2">
        <f t="shared" ref="AS1026:AS1089" ca="1" si="1035">MAX(AC1026-AH1026-AP1026,0)*Tax</f>
        <v>1026244.361595309</v>
      </c>
      <c r="AT1026" s="2">
        <f t="shared" ref="AT1026:AT1089" ca="1" si="1036">MAX(AD1026-AI1026-AP1026,0)*Tax</f>
        <v>1081776.3980519152</v>
      </c>
      <c r="AU1026" s="2">
        <f t="shared" ref="AU1026:AU1089" ca="1" si="1037">MAX(AE1026-AJ1026-AP1026,0)*Tax</f>
        <v>1139300.7892917246</v>
      </c>
      <c r="AV1026" s="2">
        <f t="shared" ref="AV1026:AV1089" ca="1" si="1038">AA1026-AF1026-AK1026-AQ1026-AP1026</f>
        <v>2494575.18584979</v>
      </c>
      <c r="AW1026" s="2">
        <f t="shared" ref="AW1026:AW1089" ca="1" si="1039">AB1026-AG1026-AL1026-AR1026-AP1026</f>
        <v>2750511.0934026963</v>
      </c>
      <c r="AX1026" s="2">
        <f t="shared" ref="AX1026:AX1089" ca="1" si="1040">AC1026-AH1026-AM1026-AS1026-AP1026</f>
        <v>2902452.4895041757</v>
      </c>
      <c r="AY1026" s="2">
        <f t="shared" ref="AY1026:AY1089" ca="1" si="1041">AD1026-AI1026-AN1026-AT1026-AP1026</f>
        <v>3059845.1743860706</v>
      </c>
      <c r="AZ1026" s="2">
        <f t="shared" ref="AZ1026:AZ1089" ca="1" si="1042">AE1026-AJ1026-AO1026-AU1026-AP1026</f>
        <v>3222884.7270685113</v>
      </c>
      <c r="BA1026" s="2">
        <f t="shared" ref="BA1026:BA1089" ca="1" si="1043">AE1026*E1026</f>
        <v>58492320.449099436</v>
      </c>
      <c r="BB1026" s="2">
        <f t="shared" ref="BB1026:BB1089" ca="1" si="1044">BA1026*SellCostPct</f>
        <v>1169846.4089819887</v>
      </c>
      <c r="BC1026" s="2">
        <f t="shared" ref="BC1026:BC1089" ca="1" si="1045">BA1026-R1026-BB1026</f>
        <v>35032906.279878564</v>
      </c>
      <c r="BD1026" s="2">
        <f t="shared" ref="BD1026:BD1089" ca="1" si="1046">-S1026-Q1026-IntegrationPct*BaseRev</f>
        <v>-16288443.830169214</v>
      </c>
      <c r="BE1026" s="2">
        <f t="shared" ref="BE1026:BE1089" ca="1" si="1047">AV1026</f>
        <v>2494575.18584979</v>
      </c>
      <c r="BF1026" s="2">
        <f t="shared" ref="BF1026:BF1089" ca="1" si="1048">AW1026</f>
        <v>2750511.0934026963</v>
      </c>
      <c r="BG1026" s="2">
        <f t="shared" ref="BG1026:BG1089" ca="1" si="1049">AX1026</f>
        <v>2902452.4895041757</v>
      </c>
      <c r="BH1026" s="2">
        <f t="shared" ref="BH1026:BH1089" ca="1" si="1050">AY1026</f>
        <v>3059845.1743860706</v>
      </c>
      <c r="BI1026" s="2">
        <f t="shared" ref="BI1026:BI1089" ca="1" si="1051">AZ1026+BC1026</f>
        <v>38255791.006947078</v>
      </c>
      <c r="BJ1026" s="2">
        <f t="shared" ref="BJ1026:BJ1089" ca="1" si="1052">IF(MIN(BD1026:BI1026)*MAX(BD1026:BI1026)&gt;=0, "", IFERROR(IRR(BD1026:BI1026,0.12), IFERROR(IRR(BD1026:BI1026,0.5), IFERROR(IRR(BD1026:BI1026,-0.5),""))))</f>
        <v>0.2990772234031347</v>
      </c>
      <c r="BK1026" s="2">
        <f t="shared" ref="BK1026:BK1089" ca="1" si="1053">NPV(12%,BE1026:BI1026)+BD1026</f>
        <v>13849404.528495653</v>
      </c>
    </row>
    <row r="1027" spans="1:63" x14ac:dyDescent="0.3">
      <c r="A1027" s="2">
        <v>1026</v>
      </c>
      <c r="B1027" s="2">
        <f t="shared" ca="1" si="992"/>
        <v>0.37294230358428793</v>
      </c>
      <c r="C1027" s="2">
        <f t="shared" ca="1" si="993"/>
        <v>6.863646112229179</v>
      </c>
      <c r="D1027" s="2">
        <f t="shared" ca="1" si="994"/>
        <v>5.2263141654033785E-2</v>
      </c>
      <c r="E1027" s="2">
        <f t="shared" ca="1" si="995"/>
        <v>6.8233052478820406</v>
      </c>
      <c r="F1027" s="2">
        <f t="shared" ca="1" si="996"/>
        <v>0.57829075626960147</v>
      </c>
      <c r="G1027" s="2">
        <f t="shared" ca="1" si="997"/>
        <v>4.592568222137778E-2</v>
      </c>
      <c r="H1027" s="2">
        <f t="shared" ca="1" si="998"/>
        <v>4.592568222137778E-2</v>
      </c>
      <c r="I1027" s="2">
        <f t="shared" ca="1" si="999"/>
        <v>0.80180587539934667</v>
      </c>
      <c r="J1027" s="2">
        <f t="shared" ca="1" si="1000"/>
        <v>1.4240446418644619E-2</v>
      </c>
      <c r="K1027" s="2">
        <f t="shared" ca="1" si="1001"/>
        <v>1.4240446418644619E-2</v>
      </c>
      <c r="L1027" s="2">
        <f t="shared" ca="1" si="1002"/>
        <v>0.32584110295374691</v>
      </c>
      <c r="M1027" s="2">
        <f t="shared" ca="1" si="1003"/>
        <v>-9.0285294909507353E-3</v>
      </c>
      <c r="N1027" s="2">
        <f t="shared" ca="1" si="1004"/>
        <v>-9.0285294909507353E-3</v>
      </c>
      <c r="O1027" s="2">
        <f t="shared" si="1005"/>
        <v>6000000</v>
      </c>
      <c r="P1027" s="2">
        <f t="shared" ca="1" si="1006"/>
        <v>41181876.673375078</v>
      </c>
      <c r="Q1027" s="2">
        <f t="shared" ca="1" si="1007"/>
        <v>1029546.916834377</v>
      </c>
      <c r="R1027" s="2">
        <f t="shared" ca="1" si="1008"/>
        <v>24709126.004025046</v>
      </c>
      <c r="S1027" s="2">
        <f t="shared" ca="1" si="1009"/>
        <v>16472750.669350032</v>
      </c>
      <c r="T1027" s="2">
        <f t="shared" ca="1" si="1010"/>
        <v>49548573.525452457</v>
      </c>
      <c r="U1027" s="2">
        <f t="shared" ca="1" si="1011"/>
        <v>51824125.567704961</v>
      </c>
      <c r="V1027" s="2">
        <f t="shared" ca="1" si="1012"/>
        <v>54204183.889928162</v>
      </c>
      <c r="W1027" s="2">
        <f t="shared" ca="1" si="1013"/>
        <v>56693548.014326133</v>
      </c>
      <c r="X1027" s="2">
        <f t="shared" ca="1" si="1014"/>
        <v>59297237.884434499</v>
      </c>
      <c r="Y1027" s="2">
        <f t="shared" ca="1" si="1015"/>
        <v>0.12712022320932231</v>
      </c>
      <c r="Z1027" s="2">
        <f t="shared" ca="1" si="1016"/>
        <v>0.12996831249305124</v>
      </c>
      <c r="AA1027" s="2">
        <f t="shared" ca="1" si="1017"/>
        <v>6298625.7262590351</v>
      </c>
      <c r="AB1027" s="2">
        <f t="shared" ca="1" si="1018"/>
        <v>6735494.1464626053</v>
      </c>
      <c r="AC1027" s="2">
        <f t="shared" ca="1" si="1019"/>
        <v>7044826.310236997</v>
      </c>
      <c r="AD1027" s="2">
        <f t="shared" ca="1" si="1020"/>
        <v>7368364.7646657433</v>
      </c>
      <c r="AE1027" s="2">
        <f t="shared" ca="1" si="1021"/>
        <v>7706761.94333898</v>
      </c>
      <c r="AF1027" s="2">
        <f t="shared" ca="1" si="1022"/>
        <v>990971.47050904913</v>
      </c>
      <c r="AG1027" s="2">
        <f t="shared" ca="1" si="1023"/>
        <v>1036482.5113540993</v>
      </c>
      <c r="AH1027" s="2">
        <f t="shared" ca="1" si="1024"/>
        <v>1084083.6777985631</v>
      </c>
      <c r="AI1027" s="2">
        <f t="shared" ca="1" si="1025"/>
        <v>1133870.9602865227</v>
      </c>
      <c r="AJ1027" s="2">
        <f t="shared" ca="1" si="1026"/>
        <v>1185944.75768869</v>
      </c>
      <c r="AK1027" s="2">
        <f t="shared" ca="1" si="1027"/>
        <v>0</v>
      </c>
      <c r="AL1027" s="2">
        <f t="shared" ca="1" si="1028"/>
        <v>22755.520422525035</v>
      </c>
      <c r="AM1027" s="2">
        <f t="shared" ca="1" si="1029"/>
        <v>23800.583222232013</v>
      </c>
      <c r="AN1027" s="2">
        <f t="shared" ca="1" si="1030"/>
        <v>24893.64124397971</v>
      </c>
      <c r="AO1027" s="2">
        <f t="shared" ca="1" si="1031"/>
        <v>26036.898701083661</v>
      </c>
      <c r="AP1027" s="2">
        <f t="shared" ca="1" si="1032"/>
        <v>2223821.3403622541</v>
      </c>
      <c r="AQ1027" s="2">
        <f t="shared" ca="1" si="1033"/>
        <v>801796.55800081021</v>
      </c>
      <c r="AR1027" s="2">
        <f t="shared" ca="1" si="1034"/>
        <v>903549.47663402557</v>
      </c>
      <c r="AS1027" s="2">
        <f t="shared" ca="1" si="1035"/>
        <v>971599.53593980684</v>
      </c>
      <c r="AT1027" s="2">
        <f t="shared" ca="1" si="1036"/>
        <v>1042774.8406444115</v>
      </c>
      <c r="AU1027" s="2">
        <f t="shared" ca="1" si="1037"/>
        <v>1117218.9197748895</v>
      </c>
      <c r="AV1027" s="2">
        <f t="shared" ca="1" si="1038"/>
        <v>2282036.3573869211</v>
      </c>
      <c r="AW1027" s="2">
        <f t="shared" ca="1" si="1039"/>
        <v>2548885.2976897019</v>
      </c>
      <c r="AX1027" s="2">
        <f t="shared" ca="1" si="1040"/>
        <v>2741521.1729141413</v>
      </c>
      <c r="AY1027" s="2">
        <f t="shared" ca="1" si="1041"/>
        <v>2943003.9821285759</v>
      </c>
      <c r="AZ1027" s="2">
        <f t="shared" ca="1" si="1042"/>
        <v>3153740.0268120621</v>
      </c>
      <c r="BA1027" s="2">
        <f t="shared" ca="1" si="1043"/>
        <v>52585589.212162457</v>
      </c>
      <c r="BB1027" s="2">
        <f t="shared" ca="1" si="1044"/>
        <v>1051711.7842432491</v>
      </c>
      <c r="BC1027" s="2">
        <f t="shared" ca="1" si="1045"/>
        <v>26824751.423894163</v>
      </c>
      <c r="BD1027" s="2">
        <f t="shared" ca="1" si="1046"/>
        <v>-18002297.586184409</v>
      </c>
      <c r="BE1027" s="2">
        <f t="shared" ca="1" si="1047"/>
        <v>2282036.3573869211</v>
      </c>
      <c r="BF1027" s="2">
        <f t="shared" ca="1" si="1048"/>
        <v>2548885.2976897019</v>
      </c>
      <c r="BG1027" s="2">
        <f t="shared" ca="1" si="1049"/>
        <v>2741521.1729141413</v>
      </c>
      <c r="BH1027" s="2">
        <f t="shared" ca="1" si="1050"/>
        <v>2943003.9821285759</v>
      </c>
      <c r="BI1027" s="2">
        <f t="shared" ca="1" si="1051"/>
        <v>29978491.450706225</v>
      </c>
      <c r="BJ1027" s="2">
        <f t="shared" ca="1" si="1052"/>
        <v>0.21170815846938762</v>
      </c>
      <c r="BK1027" s="2">
        <f t="shared" ca="1" si="1053"/>
        <v>6899484.6280300356</v>
      </c>
    </row>
    <row r="1028" spans="1:63" x14ac:dyDescent="0.3">
      <c r="A1028" s="2">
        <v>1027</v>
      </c>
      <c r="B1028" s="2">
        <f t="shared" ca="1" si="992"/>
        <v>0.40402537320748899</v>
      </c>
      <c r="C1028" s="2">
        <f t="shared" ca="1" si="993"/>
        <v>6.8989164290494296</v>
      </c>
      <c r="D1028" s="2">
        <f t="shared" ca="1" si="994"/>
        <v>0.18134233683370182</v>
      </c>
      <c r="E1028" s="2">
        <f t="shared" ca="1" si="995"/>
        <v>7.1022330725453422</v>
      </c>
      <c r="F1028" s="2">
        <f t="shared" ca="1" si="996"/>
        <v>0.22854862567148038</v>
      </c>
      <c r="G1028" s="2">
        <f t="shared" ca="1" si="997"/>
        <v>1.7690946452478741E-2</v>
      </c>
      <c r="H1028" s="2">
        <f t="shared" ca="1" si="998"/>
        <v>1.7690946452478741E-2</v>
      </c>
      <c r="I1028" s="2">
        <f t="shared" ca="1" si="999"/>
        <v>0.9030903490053469</v>
      </c>
      <c r="J1028" s="2">
        <f t="shared" ca="1" si="1000"/>
        <v>1.6496816183240212E-2</v>
      </c>
      <c r="K1028" s="2">
        <f t="shared" ca="1" si="1001"/>
        <v>1.6496816183240212E-2</v>
      </c>
      <c r="L1028" s="2">
        <f t="shared" ca="1" si="1002"/>
        <v>0.41108632355800379</v>
      </c>
      <c r="M1028" s="2">
        <f t="shared" ca="1" si="1003"/>
        <v>-4.4950287411264171E-3</v>
      </c>
      <c r="N1028" s="2">
        <f t="shared" ca="1" si="1004"/>
        <v>-4.4950287411264171E-3</v>
      </c>
      <c r="O1028" s="2">
        <f t="shared" si="1005"/>
        <v>6000000</v>
      </c>
      <c r="P1028" s="2">
        <f t="shared" ca="1" si="1006"/>
        <v>41393498.574296579</v>
      </c>
      <c r="Q1028" s="2">
        <f t="shared" ca="1" si="1007"/>
        <v>1034837.4643574145</v>
      </c>
      <c r="R1028" s="2">
        <f t="shared" ca="1" si="1008"/>
        <v>24836099.144577947</v>
      </c>
      <c r="S1028" s="2">
        <f t="shared" ca="1" si="1009"/>
        <v>16557399.429718632</v>
      </c>
      <c r="T1028" s="2">
        <f t="shared" ca="1" si="1010"/>
        <v>49775248.562943682</v>
      </c>
      <c r="U1028" s="2">
        <f t="shared" ca="1" si="1011"/>
        <v>50655819.81992954</v>
      </c>
      <c r="V1028" s="2">
        <f t="shared" ca="1" si="1012"/>
        <v>51551969.215870328</v>
      </c>
      <c r="W1028" s="2">
        <f t="shared" ca="1" si="1013"/>
        <v>52463972.34278813</v>
      </c>
      <c r="X1028" s="2">
        <f t="shared" ca="1" si="1014"/>
        <v>53392109.668188721</v>
      </c>
      <c r="Y1028" s="2">
        <f t="shared" ca="1" si="1015"/>
        <v>0.12824840809162011</v>
      </c>
      <c r="Z1028" s="2">
        <f t="shared" ca="1" si="1016"/>
        <v>0.13154777132826814</v>
      </c>
      <c r="AA1028" s="2">
        <f t="shared" ca="1" si="1017"/>
        <v>6383596.3905622289</v>
      </c>
      <c r="AB1028" s="2">
        <f t="shared" ca="1" si="1018"/>
        <v>6663660.2021180447</v>
      </c>
      <c r="AC1028" s="2">
        <f t="shared" ca="1" si="1019"/>
        <v>6781546.6579312291</v>
      </c>
      <c r="AD1028" s="2">
        <f t="shared" ca="1" si="1020"/>
        <v>6901518.6367216771</v>
      </c>
      <c r="AE1028" s="2">
        <f t="shared" ca="1" si="1021"/>
        <v>7023613.0333647048</v>
      </c>
      <c r="AF1028" s="2">
        <f t="shared" ca="1" si="1022"/>
        <v>995504.9712588737</v>
      </c>
      <c r="AG1028" s="2">
        <f t="shared" ca="1" si="1023"/>
        <v>1013116.3963985909</v>
      </c>
      <c r="AH1028" s="2">
        <f t="shared" ca="1" si="1024"/>
        <v>1031039.3843174066</v>
      </c>
      <c r="AI1028" s="2">
        <f t="shared" ca="1" si="1025"/>
        <v>1049279.4468557625</v>
      </c>
      <c r="AJ1028" s="2">
        <f t="shared" ca="1" si="1026"/>
        <v>1067842.1933637743</v>
      </c>
      <c r="AK1028" s="2">
        <f t="shared" ca="1" si="1027"/>
        <v>0</v>
      </c>
      <c r="AL1028" s="2">
        <f t="shared" ca="1" si="1028"/>
        <v>8805.7125698585805</v>
      </c>
      <c r="AM1028" s="2">
        <f t="shared" ca="1" si="1029"/>
        <v>8961.4939594078805</v>
      </c>
      <c r="AN1028" s="2">
        <f t="shared" ca="1" si="1030"/>
        <v>9120.0312691780182</v>
      </c>
      <c r="AO1028" s="2">
        <f t="shared" ca="1" si="1031"/>
        <v>9281.37325400591</v>
      </c>
      <c r="AP1028" s="2">
        <f t="shared" ca="1" si="1032"/>
        <v>2235248.9230120149</v>
      </c>
      <c r="AQ1028" s="2">
        <f t="shared" ca="1" si="1033"/>
        <v>819739.04903574835</v>
      </c>
      <c r="AR1028" s="2">
        <f t="shared" ca="1" si="1034"/>
        <v>887976.6695039341</v>
      </c>
      <c r="AS1028" s="2">
        <f t="shared" ca="1" si="1035"/>
        <v>913967.17115647008</v>
      </c>
      <c r="AT1028" s="2">
        <f t="shared" ca="1" si="1036"/>
        <v>940417.46938201413</v>
      </c>
      <c r="AU1028" s="2">
        <f t="shared" ca="1" si="1037"/>
        <v>967335.69841711805</v>
      </c>
      <c r="AV1028" s="2">
        <f t="shared" ca="1" si="1038"/>
        <v>2333103.4472555914</v>
      </c>
      <c r="AW1028" s="2">
        <f t="shared" ca="1" si="1039"/>
        <v>2518512.5006336463</v>
      </c>
      <c r="AX1028" s="2">
        <f t="shared" ca="1" si="1040"/>
        <v>2592329.6854859297</v>
      </c>
      <c r="AY1028" s="2">
        <f t="shared" ca="1" si="1041"/>
        <v>2667452.7662027082</v>
      </c>
      <c r="AZ1028" s="2">
        <f t="shared" ca="1" si="1042"/>
        <v>2743904.8453177917</v>
      </c>
      <c r="BA1028" s="2">
        <f t="shared" ca="1" si="1043"/>
        <v>49883336.774323322</v>
      </c>
      <c r="BB1028" s="2">
        <f t="shared" ca="1" si="1044"/>
        <v>997666.73548646644</v>
      </c>
      <c r="BC1028" s="2">
        <f t="shared" ca="1" si="1045"/>
        <v>24049570.894258909</v>
      </c>
      <c r="BD1028" s="2">
        <f t="shared" ca="1" si="1046"/>
        <v>-18092236.894076046</v>
      </c>
      <c r="BE1028" s="2">
        <f t="shared" ca="1" si="1047"/>
        <v>2333103.4472555914</v>
      </c>
      <c r="BF1028" s="2">
        <f t="shared" ca="1" si="1048"/>
        <v>2518512.5006336463</v>
      </c>
      <c r="BG1028" s="2">
        <f t="shared" ca="1" si="1049"/>
        <v>2592329.6854859297</v>
      </c>
      <c r="BH1028" s="2">
        <f t="shared" ca="1" si="1050"/>
        <v>2667452.7662027082</v>
      </c>
      <c r="BI1028" s="2">
        <f t="shared" ca="1" si="1051"/>
        <v>26793475.739576701</v>
      </c>
      <c r="BJ1028" s="2">
        <f t="shared" ca="1" si="1052"/>
        <v>0.18577230187048088</v>
      </c>
      <c r="BK1028" s="2">
        <f t="shared" ca="1" si="1053"/>
        <v>4742355.1447141916</v>
      </c>
    </row>
    <row r="1029" spans="1:63" x14ac:dyDescent="0.3">
      <c r="A1029" s="2">
        <v>1028</v>
      </c>
      <c r="B1029" s="2">
        <f t="shared" ca="1" si="992"/>
        <v>0.36644464388612419</v>
      </c>
      <c r="C1029" s="2">
        <f t="shared" ca="1" si="993"/>
        <v>6.8560895325678546</v>
      </c>
      <c r="D1029" s="2">
        <f t="shared" ca="1" si="994"/>
        <v>5.3785664157717572E-2</v>
      </c>
      <c r="E1029" s="2">
        <f t="shared" ca="1" si="995"/>
        <v>6.8279806828388452</v>
      </c>
      <c r="F1029" s="2">
        <f t="shared" ca="1" si="996"/>
        <v>0.44352364613919781</v>
      </c>
      <c r="G1029" s="2">
        <f t="shared" ca="1" si="997"/>
        <v>3.5738757527406108E-2</v>
      </c>
      <c r="H1029" s="2">
        <f t="shared" ca="1" si="998"/>
        <v>3.5738757527406108E-2</v>
      </c>
      <c r="I1029" s="2">
        <f t="shared" ca="1" si="999"/>
        <v>0.80947447152641661</v>
      </c>
      <c r="J1029" s="2">
        <f t="shared" ca="1" si="1000"/>
        <v>1.4379806645465558E-2</v>
      </c>
      <c r="K1029" s="2">
        <f t="shared" ca="1" si="1001"/>
        <v>1.4379806645465558E-2</v>
      </c>
      <c r="L1029" s="2">
        <f t="shared" ca="1" si="1002"/>
        <v>0.65960070290789397</v>
      </c>
      <c r="M1029" s="2">
        <f t="shared" ca="1" si="1003"/>
        <v>8.2274724030632247E-3</v>
      </c>
      <c r="N1029" s="2">
        <f t="shared" ca="1" si="1004"/>
        <v>8.2274724030632247E-3</v>
      </c>
      <c r="O1029" s="2">
        <f t="shared" si="1005"/>
        <v>6000000</v>
      </c>
      <c r="P1029" s="2">
        <f t="shared" ca="1" si="1006"/>
        <v>41136537.19540713</v>
      </c>
      <c r="Q1029" s="2">
        <f t="shared" ca="1" si="1007"/>
        <v>1028413.4298851783</v>
      </c>
      <c r="R1029" s="2">
        <f t="shared" ca="1" si="1008"/>
        <v>24681922.317244276</v>
      </c>
      <c r="S1029" s="2">
        <f t="shared" ca="1" si="1009"/>
        <v>16454614.878162853</v>
      </c>
      <c r="T1029" s="2">
        <f t="shared" ca="1" si="1010"/>
        <v>50411373.620153166</v>
      </c>
      <c r="U1029" s="2">
        <f t="shared" ca="1" si="1011"/>
        <v>52213013.4785873</v>
      </c>
      <c r="V1029" s="2">
        <f t="shared" ca="1" si="1012"/>
        <v>54079041.707073718</v>
      </c>
      <c r="W1029" s="2">
        <f t="shared" ca="1" si="1013"/>
        <v>56011759.465957314</v>
      </c>
      <c r="X1029" s="2">
        <f t="shared" ca="1" si="1014"/>
        <v>58013550.15619456</v>
      </c>
      <c r="Y1029" s="2">
        <f t="shared" ca="1" si="1015"/>
        <v>0.12718990332273278</v>
      </c>
      <c r="Z1029" s="2">
        <f t="shared" ca="1" si="1016"/>
        <v>0.13006586465182587</v>
      </c>
      <c r="AA1029" s="2">
        <f t="shared" ca="1" si="1017"/>
        <v>6411817.7371134423</v>
      </c>
      <c r="AB1029" s="2">
        <f t="shared" ca="1" si="1018"/>
        <v>6791130.7441698955</v>
      </c>
      <c r="AC1029" s="2">
        <f t="shared" ca="1" si="1019"/>
        <v>7033837.3191726971</v>
      </c>
      <c r="AD1029" s="2">
        <f t="shared" ca="1" si="1020"/>
        <v>7285217.9256098308</v>
      </c>
      <c r="AE1029" s="2">
        <f t="shared" ca="1" si="1021"/>
        <v>7545582.5625875136</v>
      </c>
      <c r="AF1029" s="2">
        <f t="shared" ca="1" si="1022"/>
        <v>1008227.4724030633</v>
      </c>
      <c r="AG1029" s="2">
        <f t="shared" ca="1" si="1023"/>
        <v>1044260.269571746</v>
      </c>
      <c r="AH1029" s="2">
        <f t="shared" ca="1" si="1024"/>
        <v>1081580.8341414745</v>
      </c>
      <c r="AI1029" s="2">
        <f t="shared" ca="1" si="1025"/>
        <v>1120235.1893191463</v>
      </c>
      <c r="AJ1029" s="2">
        <f t="shared" ca="1" si="1026"/>
        <v>1160271.0031238913</v>
      </c>
      <c r="AK1029" s="2">
        <f t="shared" ca="1" si="1027"/>
        <v>0</v>
      </c>
      <c r="AL1029" s="2">
        <f t="shared" ca="1" si="1028"/>
        <v>18016.398584341332</v>
      </c>
      <c r="AM1029" s="2">
        <f t="shared" ca="1" si="1029"/>
        <v>18660.282284864188</v>
      </c>
      <c r="AN1029" s="2">
        <f t="shared" ca="1" si="1030"/>
        <v>19327.177588835955</v>
      </c>
      <c r="AO1029" s="2">
        <f t="shared" ca="1" si="1031"/>
        <v>20017.906902372466</v>
      </c>
      <c r="AP1029" s="2">
        <f t="shared" ca="1" si="1032"/>
        <v>2221373.008551985</v>
      </c>
      <c r="AQ1029" s="2">
        <f t="shared" ca="1" si="1033"/>
        <v>827376.48660118238</v>
      </c>
      <c r="AR1029" s="2">
        <f t="shared" ca="1" si="1034"/>
        <v>916629.34117200284</v>
      </c>
      <c r="AS1029" s="2">
        <f t="shared" ca="1" si="1035"/>
        <v>970029.70388460194</v>
      </c>
      <c r="AT1029" s="2">
        <f t="shared" ca="1" si="1036"/>
        <v>1025338.5292120618</v>
      </c>
      <c r="AU1029" s="2">
        <f t="shared" ca="1" si="1037"/>
        <v>1082624.0232370256</v>
      </c>
      <c r="AV1029" s="2">
        <f t="shared" ca="1" si="1038"/>
        <v>2354840.7695572115</v>
      </c>
      <c r="AW1029" s="2">
        <f t="shared" ca="1" si="1039"/>
        <v>2590851.7262898199</v>
      </c>
      <c r="AX1029" s="2">
        <f t="shared" ca="1" si="1040"/>
        <v>2742193.4903097721</v>
      </c>
      <c r="AY1029" s="2">
        <f t="shared" ca="1" si="1041"/>
        <v>2898944.0209378004</v>
      </c>
      <c r="AZ1029" s="2">
        <f t="shared" ca="1" si="1042"/>
        <v>3061296.6207722388</v>
      </c>
      <c r="BA1029" s="2">
        <f t="shared" ca="1" si="1043"/>
        <v>51521091.978113174</v>
      </c>
      <c r="BB1029" s="2">
        <f t="shared" ca="1" si="1044"/>
        <v>1030421.8395622635</v>
      </c>
      <c r="BC1029" s="2">
        <f t="shared" ca="1" si="1045"/>
        <v>25808747.821306635</v>
      </c>
      <c r="BD1029" s="2">
        <f t="shared" ca="1" si="1046"/>
        <v>-17983028.308048032</v>
      </c>
      <c r="BE1029" s="2">
        <f t="shared" ca="1" si="1047"/>
        <v>2354840.7695572115</v>
      </c>
      <c r="BF1029" s="2">
        <f t="shared" ca="1" si="1048"/>
        <v>2590851.7262898199</v>
      </c>
      <c r="BG1029" s="2">
        <f t="shared" ca="1" si="1049"/>
        <v>2742193.4903097721</v>
      </c>
      <c r="BH1029" s="2">
        <f t="shared" ca="1" si="1050"/>
        <v>2898944.0209378004</v>
      </c>
      <c r="BI1029" s="2">
        <f t="shared" ca="1" si="1051"/>
        <v>28870044.442078874</v>
      </c>
      <c r="BJ1029" s="2">
        <f t="shared" ca="1" si="1052"/>
        <v>0.20601917533318281</v>
      </c>
      <c r="BK1029" s="2">
        <f t="shared" ca="1" si="1053"/>
        <v>6360728.2650826797</v>
      </c>
    </row>
    <row r="1030" spans="1:63" x14ac:dyDescent="0.3">
      <c r="A1030" s="2">
        <v>1029</v>
      </c>
      <c r="B1030" s="2">
        <f t="shared" ca="1" si="992"/>
        <v>0.79538387067913974</v>
      </c>
      <c r="C1030" s="2">
        <f t="shared" ca="1" si="993"/>
        <v>7.3602873624495757</v>
      </c>
      <c r="D1030" s="2">
        <f t="shared" ca="1" si="994"/>
        <v>0.72855678637744781</v>
      </c>
      <c r="E1030" s="2">
        <f t="shared" ca="1" si="995"/>
        <v>7.7631917296575015</v>
      </c>
      <c r="F1030" s="2">
        <f t="shared" ca="1" si="996"/>
        <v>0.42297807652172614</v>
      </c>
      <c r="G1030" s="2">
        <f t="shared" ca="1" si="997"/>
        <v>3.4171581151849532E-2</v>
      </c>
      <c r="H1030" s="2">
        <f t="shared" ca="1" si="998"/>
        <v>3.4171581151849532E-2</v>
      </c>
      <c r="I1030" s="2">
        <f t="shared" ca="1" si="999"/>
        <v>5.7955475037856585E-2</v>
      </c>
      <c r="J1030" s="2">
        <f t="shared" ca="1" si="1000"/>
        <v>2.1391461005686591E-3</v>
      </c>
      <c r="K1030" s="2">
        <f t="shared" ca="1" si="1001"/>
        <v>2.1391461005686591E-3</v>
      </c>
      <c r="L1030" s="2">
        <f t="shared" ca="1" si="1002"/>
        <v>0.21224913588379457</v>
      </c>
      <c r="M1030" s="2">
        <f t="shared" ca="1" si="1003"/>
        <v>-1.5972831550535745E-2</v>
      </c>
      <c r="N1030" s="2">
        <f t="shared" ca="1" si="1004"/>
        <v>-1.5972831550535745E-2</v>
      </c>
      <c r="O1030" s="2">
        <f t="shared" si="1005"/>
        <v>6000000</v>
      </c>
      <c r="P1030" s="2">
        <f t="shared" ca="1" si="1006"/>
        <v>44161724.174697451</v>
      </c>
      <c r="Q1030" s="2">
        <f t="shared" ca="1" si="1007"/>
        <v>1104043.1043674364</v>
      </c>
      <c r="R1030" s="2">
        <f t="shared" ca="1" si="1008"/>
        <v>26497034.504818469</v>
      </c>
      <c r="S1030" s="2">
        <f t="shared" ca="1" si="1009"/>
        <v>17664689.669878982</v>
      </c>
      <c r="T1030" s="2">
        <f t="shared" ca="1" si="1010"/>
        <v>49201358.422473215</v>
      </c>
      <c r="U1030" s="2">
        <f t="shared" ca="1" si="1011"/>
        <v>50882646.634587988</v>
      </c>
      <c r="V1030" s="2">
        <f t="shared" ca="1" si="1012"/>
        <v>52621387.123282693</v>
      </c>
      <c r="W1030" s="2">
        <f t="shared" ca="1" si="1013"/>
        <v>54419543.123688832</v>
      </c>
      <c r="X1030" s="2">
        <f t="shared" ca="1" si="1014"/>
        <v>56279144.957786538</v>
      </c>
      <c r="Y1030" s="2">
        <f t="shared" ca="1" si="1015"/>
        <v>0.12106957305028432</v>
      </c>
      <c r="Z1030" s="2">
        <f t="shared" ca="1" si="1016"/>
        <v>0.12149740227039806</v>
      </c>
      <c r="AA1030" s="2">
        <f t="shared" ca="1" si="1017"/>
        <v>5956787.4577028425</v>
      </c>
      <c r="AB1030" s="2">
        <f t="shared" ca="1" si="1018"/>
        <v>6182109.3867450524</v>
      </c>
      <c r="AC1030" s="2">
        <f t="shared" ca="1" si="1019"/>
        <v>6393361.8393438216</v>
      </c>
      <c r="AD1030" s="2">
        <f t="shared" ca="1" si="1020"/>
        <v>6611833.1222700961</v>
      </c>
      <c r="AE1030" s="2">
        <f t="shared" ca="1" si="1021"/>
        <v>6837769.9143702351</v>
      </c>
      <c r="AF1030" s="2">
        <f t="shared" ca="1" si="1022"/>
        <v>984027.16844946425</v>
      </c>
      <c r="AG1030" s="2">
        <f t="shared" ca="1" si="1023"/>
        <v>1017652.9326917598</v>
      </c>
      <c r="AH1030" s="2">
        <f t="shared" ca="1" si="1024"/>
        <v>1052427.7424656539</v>
      </c>
      <c r="AI1030" s="2">
        <f t="shared" ca="1" si="1025"/>
        <v>1088390.8624737766</v>
      </c>
      <c r="AJ1030" s="2">
        <f t="shared" ca="1" si="1026"/>
        <v>1125582.8991557308</v>
      </c>
      <c r="AK1030" s="2">
        <f t="shared" ca="1" si="1027"/>
        <v>0</v>
      </c>
      <c r="AL1030" s="2">
        <f t="shared" ca="1" si="1028"/>
        <v>16812.882121147737</v>
      </c>
      <c r="AM1030" s="2">
        <f t="shared" ca="1" si="1029"/>
        <v>17387.40488694705</v>
      </c>
      <c r="AN1030" s="2">
        <f t="shared" ca="1" si="1030"/>
        <v>17981.560004061386</v>
      </c>
      <c r="AO1030" s="2">
        <f t="shared" ca="1" si="1031"/>
        <v>18596.018340977058</v>
      </c>
      <c r="AP1030" s="2">
        <f t="shared" ca="1" si="1032"/>
        <v>2384733.105433662</v>
      </c>
      <c r="AQ1030" s="2">
        <f t="shared" ca="1" si="1033"/>
        <v>672887.06779312622</v>
      </c>
      <c r="AR1030" s="2">
        <f t="shared" ca="1" si="1034"/>
        <v>722728.07064110413</v>
      </c>
      <c r="AS1030" s="2">
        <f t="shared" ca="1" si="1035"/>
        <v>768612.25777557143</v>
      </c>
      <c r="AT1030" s="2">
        <f t="shared" ca="1" si="1036"/>
        <v>816064.38013429102</v>
      </c>
      <c r="AU1030" s="2">
        <f t="shared" ca="1" si="1037"/>
        <v>865138.0165430191</v>
      </c>
      <c r="AV1030" s="2">
        <f t="shared" ca="1" si="1038"/>
        <v>1915140.1160265901</v>
      </c>
      <c r="AW1030" s="2">
        <f t="shared" ca="1" si="1039"/>
        <v>2040182.3958573793</v>
      </c>
      <c r="AX1030" s="2">
        <f t="shared" ca="1" si="1040"/>
        <v>2170201.3287819871</v>
      </c>
      <c r="AY1030" s="2">
        <f t="shared" ca="1" si="1041"/>
        <v>2304663.2142243055</v>
      </c>
      <c r="AZ1030" s="2">
        <f t="shared" ca="1" si="1042"/>
        <v>2443719.8748968462</v>
      </c>
      <c r="BA1030" s="2">
        <f t="shared" ca="1" si="1043"/>
        <v>53082918.848539889</v>
      </c>
      <c r="BB1030" s="2">
        <f t="shared" ca="1" si="1044"/>
        <v>1061658.3769707978</v>
      </c>
      <c r="BC1030" s="2">
        <f t="shared" ca="1" si="1045"/>
        <v>25524225.966750622</v>
      </c>
      <c r="BD1030" s="2">
        <f t="shared" ca="1" si="1046"/>
        <v>-19268732.774246417</v>
      </c>
      <c r="BE1030" s="2">
        <f t="shared" ca="1" si="1047"/>
        <v>1915140.1160265901</v>
      </c>
      <c r="BF1030" s="2">
        <f t="shared" ca="1" si="1048"/>
        <v>2040182.3958573793</v>
      </c>
      <c r="BG1030" s="2">
        <f t="shared" ca="1" si="1049"/>
        <v>2170201.3287819871</v>
      </c>
      <c r="BH1030" s="2">
        <f t="shared" ca="1" si="1050"/>
        <v>2304663.2142243055</v>
      </c>
      <c r="BI1030" s="2">
        <f t="shared" ca="1" si="1051"/>
        <v>27967945.841647469</v>
      </c>
      <c r="BJ1030" s="2">
        <f t="shared" ca="1" si="1052"/>
        <v>0.15824346814142465</v>
      </c>
      <c r="BK1030" s="2">
        <f t="shared" ca="1" si="1053"/>
        <v>2946759.8196987174</v>
      </c>
    </row>
    <row r="1031" spans="1:63" x14ac:dyDescent="0.3">
      <c r="A1031" s="2">
        <v>1030</v>
      </c>
      <c r="B1031" s="2">
        <f t="shared" ca="1" si="992"/>
        <v>0.86493468130800588</v>
      </c>
      <c r="C1031" s="2">
        <f t="shared" ca="1" si="993"/>
        <v>7.480259067049758</v>
      </c>
      <c r="D1031" s="2">
        <f t="shared" ca="1" si="994"/>
        <v>0.8370012565747762</v>
      </c>
      <c r="E1031" s="2">
        <f t="shared" ca="1" si="995"/>
        <v>7.9290381038541646</v>
      </c>
      <c r="F1031" s="2">
        <f t="shared" ca="1" si="996"/>
        <v>0.26075758530985127</v>
      </c>
      <c r="G1031" s="2">
        <f t="shared" ca="1" si="997"/>
        <v>2.0769653119562938E-2</v>
      </c>
      <c r="H1031" s="2">
        <f t="shared" ca="1" si="998"/>
        <v>2.0769653119562938E-2</v>
      </c>
      <c r="I1031" s="2">
        <f t="shared" ca="1" si="999"/>
        <v>0.46874701214556758</v>
      </c>
      <c r="J1031" s="2">
        <f t="shared" ca="1" si="1000"/>
        <v>9.6079003738220505E-3</v>
      </c>
      <c r="K1031" s="2">
        <f t="shared" ca="1" si="1001"/>
        <v>9.6079003738220505E-3</v>
      </c>
      <c r="L1031" s="2">
        <f t="shared" ca="1" si="1002"/>
        <v>2.5368728380512628E-2</v>
      </c>
      <c r="M1031" s="2">
        <f t="shared" ca="1" si="1003"/>
        <v>-3.9073873162355104E-2</v>
      </c>
      <c r="N1031" s="2">
        <f t="shared" ca="1" si="1004"/>
        <v>-3.9073873162355104E-2</v>
      </c>
      <c r="O1031" s="2">
        <f t="shared" si="1005"/>
        <v>6000000</v>
      </c>
      <c r="P1031" s="2">
        <f t="shared" ca="1" si="1006"/>
        <v>44881554.402298547</v>
      </c>
      <c r="Q1031" s="2">
        <f t="shared" ca="1" si="1007"/>
        <v>1122038.8600574636</v>
      </c>
      <c r="R1031" s="2">
        <f t="shared" ca="1" si="1008"/>
        <v>26928932.641379129</v>
      </c>
      <c r="S1031" s="2">
        <f t="shared" ca="1" si="1009"/>
        <v>17952621.760919418</v>
      </c>
      <c r="T1031" s="2">
        <f t="shared" ca="1" si="1010"/>
        <v>48046306.341882244</v>
      </c>
      <c r="U1031" s="2">
        <f t="shared" ca="1" si="1011"/>
        <v>49044211.458279394</v>
      </c>
      <c r="V1031" s="2">
        <f t="shared" ca="1" si="1012"/>
        <v>50062842.71779035</v>
      </c>
      <c r="W1031" s="2">
        <f t="shared" ca="1" si="1013"/>
        <v>51102630.595218092</v>
      </c>
      <c r="X1031" s="2">
        <f t="shared" ca="1" si="1014"/>
        <v>52164014.506177932</v>
      </c>
      <c r="Y1031" s="2">
        <f t="shared" ca="1" si="1015"/>
        <v>0.12480395018691103</v>
      </c>
      <c r="Z1031" s="2">
        <f t="shared" ca="1" si="1016"/>
        <v>0.12672553026167543</v>
      </c>
      <c r="AA1031" s="2">
        <f t="shared" ca="1" si="1017"/>
        <v>5996368.823357339</v>
      </c>
      <c r="AB1031" s="2">
        <f t="shared" ca="1" si="1018"/>
        <v>6215153.703316194</v>
      </c>
      <c r="AC1031" s="2">
        <f t="shared" ca="1" si="1019"/>
        <v>6344240.2898188382</v>
      </c>
      <c r="AD1031" s="2">
        <f t="shared" ca="1" si="1020"/>
        <v>6476007.9599455316</v>
      </c>
      <c r="AE1031" s="2">
        <f t="shared" ca="1" si="1021"/>
        <v>6610512.398873128</v>
      </c>
      <c r="AF1031" s="2">
        <f t="shared" ca="1" si="1022"/>
        <v>960926.12683764484</v>
      </c>
      <c r="AG1031" s="2">
        <f t="shared" ca="1" si="1023"/>
        <v>980884.22916558792</v>
      </c>
      <c r="AH1031" s="2">
        <f t="shared" ca="1" si="1024"/>
        <v>1001256.8543558071</v>
      </c>
      <c r="AI1031" s="2">
        <f t="shared" ca="1" si="1025"/>
        <v>1022052.6119043619</v>
      </c>
      <c r="AJ1031" s="2">
        <f t="shared" ca="1" si="1026"/>
        <v>1043280.2901235587</v>
      </c>
      <c r="AK1031" s="2">
        <f t="shared" ca="1" si="1027"/>
        <v>0</v>
      </c>
      <c r="AL1031" s="2">
        <f t="shared" ca="1" si="1028"/>
        <v>9979.0511639714987</v>
      </c>
      <c r="AM1031" s="2">
        <f t="shared" ca="1" si="1029"/>
        <v>10186.312595109568</v>
      </c>
      <c r="AN1031" s="2">
        <f t="shared" ca="1" si="1030"/>
        <v>10397.878774277418</v>
      </c>
      <c r="AO1031" s="2">
        <f t="shared" ca="1" si="1031"/>
        <v>10613.839109598399</v>
      </c>
      <c r="AP1031" s="2">
        <f t="shared" ca="1" si="1032"/>
        <v>2423603.9377241214</v>
      </c>
      <c r="AQ1031" s="2">
        <f t="shared" ca="1" si="1033"/>
        <v>679078.07728684903</v>
      </c>
      <c r="AR1031" s="2">
        <f t="shared" ca="1" si="1034"/>
        <v>730773.03947088611</v>
      </c>
      <c r="AS1031" s="2">
        <f t="shared" ca="1" si="1035"/>
        <v>759038.66941211652</v>
      </c>
      <c r="AT1031" s="2">
        <f t="shared" ca="1" si="1036"/>
        <v>787891.36668243248</v>
      </c>
      <c r="AU1031" s="2">
        <f t="shared" ca="1" si="1037"/>
        <v>817343.3244666165</v>
      </c>
      <c r="AV1031" s="2">
        <f t="shared" ca="1" si="1038"/>
        <v>1932760.6815087241</v>
      </c>
      <c r="AW1031" s="2">
        <f t="shared" ca="1" si="1039"/>
        <v>2069913.4457916277</v>
      </c>
      <c r="AX1031" s="2">
        <f t="shared" ca="1" si="1040"/>
        <v>2150154.5157316835</v>
      </c>
      <c r="AY1031" s="2">
        <f t="shared" ca="1" si="1041"/>
        <v>2232062.1648603375</v>
      </c>
      <c r="AZ1031" s="2">
        <f t="shared" ca="1" si="1042"/>
        <v>2315671.0074492325</v>
      </c>
      <c r="BA1031" s="2">
        <f t="shared" ca="1" si="1043"/>
        <v>52415004.696665429</v>
      </c>
      <c r="BB1031" s="2">
        <f t="shared" ca="1" si="1044"/>
        <v>1048300.0939333086</v>
      </c>
      <c r="BC1031" s="2">
        <f t="shared" ca="1" si="1045"/>
        <v>24437771.961352989</v>
      </c>
      <c r="BD1031" s="2">
        <f t="shared" ca="1" si="1046"/>
        <v>-19574660.62097688</v>
      </c>
      <c r="BE1031" s="2">
        <f t="shared" ca="1" si="1047"/>
        <v>1932760.6815087241</v>
      </c>
      <c r="BF1031" s="2">
        <f t="shared" ca="1" si="1048"/>
        <v>2069913.4457916277</v>
      </c>
      <c r="BG1031" s="2">
        <f t="shared" ca="1" si="1049"/>
        <v>2150154.5157316835</v>
      </c>
      <c r="BH1031" s="2">
        <f t="shared" ca="1" si="1050"/>
        <v>2232062.1648603375</v>
      </c>
      <c r="BI1031" s="2">
        <f t="shared" ca="1" si="1051"/>
        <v>26753442.968802221</v>
      </c>
      <c r="BJ1031" s="2">
        <f t="shared" ca="1" si="1052"/>
        <v>0.14524132444389126</v>
      </c>
      <c r="BK1031" s="2">
        <f t="shared" ca="1" si="1053"/>
        <v>1930716.2803583443</v>
      </c>
    </row>
    <row r="1032" spans="1:63" x14ac:dyDescent="0.3">
      <c r="A1032" s="2">
        <v>1031</v>
      </c>
      <c r="B1032" s="2">
        <f t="shared" ca="1" si="992"/>
        <v>0.22292074402145223</v>
      </c>
      <c r="C1032" s="2">
        <f t="shared" ca="1" si="993"/>
        <v>6.6677136272706319</v>
      </c>
      <c r="D1032" s="2">
        <f t="shared" ca="1" si="994"/>
        <v>0.7859601208333391</v>
      </c>
      <c r="E1032" s="2">
        <f t="shared" ca="1" si="995"/>
        <v>7.8457219564028442</v>
      </c>
      <c r="F1032" s="2">
        <f t="shared" ca="1" si="996"/>
        <v>0.70375614557708632</v>
      </c>
      <c r="G1032" s="2">
        <f t="shared" ca="1" si="997"/>
        <v>5.6057035163273254E-2</v>
      </c>
      <c r="H1032" s="2">
        <f t="shared" ca="1" si="998"/>
        <v>5.6057035163273254E-2</v>
      </c>
      <c r="I1032" s="2">
        <f t="shared" ca="1" si="999"/>
        <v>0.66579562415268168</v>
      </c>
      <c r="J1032" s="2">
        <f t="shared" ca="1" si="1000"/>
        <v>1.2141664620792483E-2</v>
      </c>
      <c r="K1032" s="2">
        <f t="shared" ca="1" si="1001"/>
        <v>1.2141664620792483E-2</v>
      </c>
      <c r="L1032" s="2">
        <f t="shared" ca="1" si="1002"/>
        <v>0.90106912167210618</v>
      </c>
      <c r="M1032" s="2">
        <f t="shared" ca="1" si="1003"/>
        <v>2.5753348553261154E-2</v>
      </c>
      <c r="N1032" s="2">
        <f t="shared" ca="1" si="1004"/>
        <v>2.5753348553261154E-2</v>
      </c>
      <c r="O1032" s="2">
        <f t="shared" si="1005"/>
        <v>6000000</v>
      </c>
      <c r="P1032" s="2">
        <f t="shared" ca="1" si="1006"/>
        <v>40006281.763623789</v>
      </c>
      <c r="Q1032" s="2">
        <f t="shared" ca="1" si="1007"/>
        <v>1000157.0440905947</v>
      </c>
      <c r="R1032" s="2">
        <f t="shared" ca="1" si="1008"/>
        <v>24003769.058174271</v>
      </c>
      <c r="S1032" s="2">
        <f t="shared" ca="1" si="1009"/>
        <v>16002512.705449516</v>
      </c>
      <c r="T1032" s="2">
        <f t="shared" ca="1" si="1010"/>
        <v>51287667.427663051</v>
      </c>
      <c r="U1032" s="2">
        <f t="shared" ca="1" si="1011"/>
        <v>54162702.004097819</v>
      </c>
      <c r="V1032" s="2">
        <f t="shared" ca="1" si="1012"/>
        <v>57198902.494879417</v>
      </c>
      <c r="W1032" s="2">
        <f t="shared" ca="1" si="1013"/>
        <v>60405303.383335508</v>
      </c>
      <c r="X1032" s="2">
        <f t="shared" ca="1" si="1014"/>
        <v>63791445.599143334</v>
      </c>
      <c r="Y1032" s="2">
        <f t="shared" ca="1" si="1015"/>
        <v>0.12607083231039623</v>
      </c>
      <c r="Z1032" s="2">
        <f t="shared" ca="1" si="1016"/>
        <v>0.12849916523455474</v>
      </c>
      <c r="AA1032" s="2">
        <f t="shared" ca="1" si="1017"/>
        <v>6465878.9198642792</v>
      </c>
      <c r="AB1032" s="2">
        <f t="shared" ca="1" si="1018"/>
        <v>6959861.9943745146</v>
      </c>
      <c r="AC1032" s="2">
        <f t="shared" ca="1" si="1019"/>
        <v>7350011.2229246954</v>
      </c>
      <c r="AD1032" s="2">
        <f t="shared" ca="1" si="1020"/>
        <v>7762031.0604986381</v>
      </c>
      <c r="AE1032" s="2">
        <f t="shared" ca="1" si="1021"/>
        <v>8197147.5085954284</v>
      </c>
      <c r="AF1032" s="2">
        <f t="shared" ca="1" si="1022"/>
        <v>1025753.348553261</v>
      </c>
      <c r="AG1032" s="2">
        <f t="shared" ca="1" si="1023"/>
        <v>1083254.0400819564</v>
      </c>
      <c r="AH1032" s="2">
        <f t="shared" ca="1" si="1024"/>
        <v>1143978.0498975883</v>
      </c>
      <c r="AI1032" s="2">
        <f t="shared" ca="1" si="1025"/>
        <v>1208106.0676667101</v>
      </c>
      <c r="AJ1032" s="2">
        <f t="shared" ca="1" si="1026"/>
        <v>1275828.9119828667</v>
      </c>
      <c r="AK1032" s="2">
        <f t="shared" ca="1" si="1027"/>
        <v>0</v>
      </c>
      <c r="AL1032" s="2">
        <f t="shared" ca="1" si="1028"/>
        <v>28750.345764347687</v>
      </c>
      <c r="AM1032" s="2">
        <f t="shared" ca="1" si="1029"/>
        <v>30362.004907815979</v>
      </c>
      <c r="AN1032" s="2">
        <f t="shared" ca="1" si="1030"/>
        <v>32064.008884560913</v>
      </c>
      <c r="AO1032" s="2">
        <f t="shared" ca="1" si="1031"/>
        <v>33861.422158078254</v>
      </c>
      <c r="AP1032" s="2">
        <f t="shared" ca="1" si="1032"/>
        <v>2160339.2152356845</v>
      </c>
      <c r="AQ1032" s="2">
        <f t="shared" ca="1" si="1033"/>
        <v>852744.45257958688</v>
      </c>
      <c r="AR1032" s="2">
        <f t="shared" ca="1" si="1034"/>
        <v>966229.87215478718</v>
      </c>
      <c r="AS1032" s="2">
        <f t="shared" ca="1" si="1035"/>
        <v>1051880.4290257699</v>
      </c>
      <c r="AT1032" s="2">
        <f t="shared" ca="1" si="1036"/>
        <v>1142332.3021750231</v>
      </c>
      <c r="AU1032" s="2">
        <f t="shared" ca="1" si="1037"/>
        <v>1237854.6391579881</v>
      </c>
      <c r="AV1032" s="2">
        <f t="shared" ca="1" si="1038"/>
        <v>2427041.9034957471</v>
      </c>
      <c r="AW1032" s="2">
        <f t="shared" ca="1" si="1039"/>
        <v>2721288.5211377391</v>
      </c>
      <c r="AX1032" s="2">
        <f t="shared" ca="1" si="1040"/>
        <v>2963451.5238578371</v>
      </c>
      <c r="AY1032" s="2">
        <f t="shared" ca="1" si="1041"/>
        <v>3219189.4665366593</v>
      </c>
      <c r="AZ1032" s="2">
        <f t="shared" ca="1" si="1042"/>
        <v>3489263.3200608105</v>
      </c>
      <c r="BA1032" s="2">
        <f t="shared" ca="1" si="1043"/>
        <v>64312540.188060023</v>
      </c>
      <c r="BB1032" s="2">
        <f t="shared" ca="1" si="1044"/>
        <v>1286250.8037612005</v>
      </c>
      <c r="BC1032" s="2">
        <f t="shared" ca="1" si="1045"/>
        <v>39022520.326124549</v>
      </c>
      <c r="BD1032" s="2">
        <f t="shared" ca="1" si="1046"/>
        <v>-17502669.749540109</v>
      </c>
      <c r="BE1032" s="2">
        <f t="shared" ca="1" si="1047"/>
        <v>2427041.9034957471</v>
      </c>
      <c r="BF1032" s="2">
        <f t="shared" ca="1" si="1048"/>
        <v>2721288.5211377391</v>
      </c>
      <c r="BG1032" s="2">
        <f t="shared" ca="1" si="1049"/>
        <v>2963451.5238578371</v>
      </c>
      <c r="BH1032" s="2">
        <f t="shared" ca="1" si="1050"/>
        <v>3219189.4665366593</v>
      </c>
      <c r="BI1032" s="2">
        <f t="shared" ca="1" si="1051"/>
        <v>42511783.646185361</v>
      </c>
      <c r="BJ1032" s="2">
        <f t="shared" ca="1" si="1052"/>
        <v>0.29817638550914927</v>
      </c>
      <c r="BK1032" s="2">
        <f t="shared" ca="1" si="1053"/>
        <v>15111233.587283872</v>
      </c>
    </row>
    <row r="1033" spans="1:63" x14ac:dyDescent="0.3">
      <c r="A1033" s="2">
        <v>1032</v>
      </c>
      <c r="B1033" s="2">
        <f t="shared" ca="1" si="992"/>
        <v>0.13228529048968063</v>
      </c>
      <c r="C1033" s="2">
        <f t="shared" ca="1" si="993"/>
        <v>6.5143642493208107</v>
      </c>
      <c r="D1033" s="2">
        <f t="shared" ca="1" si="994"/>
        <v>0.96871623449887279</v>
      </c>
      <c r="E1033" s="2">
        <f t="shared" ca="1" si="995"/>
        <v>8.2498649744592853</v>
      </c>
      <c r="F1033" s="2">
        <f t="shared" ca="1" si="996"/>
        <v>0.83556302355647716</v>
      </c>
      <c r="G1033" s="2">
        <f t="shared" ca="1" si="997"/>
        <v>6.9291535409560873E-2</v>
      </c>
      <c r="H1033" s="2">
        <f t="shared" ca="1" si="998"/>
        <v>6.9291535409560873E-2</v>
      </c>
      <c r="I1033" s="2">
        <f t="shared" ca="1" si="999"/>
        <v>0.61514780222676491</v>
      </c>
      <c r="J1033" s="2">
        <f t="shared" ca="1" si="1000"/>
        <v>1.146380790863297E-2</v>
      </c>
      <c r="K1033" s="2">
        <f t="shared" ca="1" si="1001"/>
        <v>1.146380790863297E-2</v>
      </c>
      <c r="L1033" s="2">
        <f t="shared" ca="1" si="1002"/>
        <v>0.58711715472908765</v>
      </c>
      <c r="M1033" s="2">
        <f t="shared" ca="1" si="1003"/>
        <v>4.4027083902169221E-3</v>
      </c>
      <c r="N1033" s="2">
        <f t="shared" ca="1" si="1004"/>
        <v>4.4027083902169221E-3</v>
      </c>
      <c r="O1033" s="2">
        <f t="shared" si="1005"/>
        <v>6000000</v>
      </c>
      <c r="P1033" s="2">
        <f t="shared" ca="1" si="1006"/>
        <v>39086185.495924868</v>
      </c>
      <c r="Q1033" s="2">
        <f t="shared" ca="1" si="1007"/>
        <v>977154.63739812176</v>
      </c>
      <c r="R1033" s="2">
        <f t="shared" ca="1" si="1008"/>
        <v>23451711.297554921</v>
      </c>
      <c r="S1033" s="2">
        <f t="shared" ca="1" si="1009"/>
        <v>15634474.198369948</v>
      </c>
      <c r="T1033" s="2">
        <f t="shared" ca="1" si="1010"/>
        <v>50220135.419510849</v>
      </c>
      <c r="U1033" s="2">
        <f t="shared" ca="1" si="1011"/>
        <v>53699965.711204827</v>
      </c>
      <c r="V1033" s="2">
        <f t="shared" ca="1" si="1012"/>
        <v>57420918.786774985</v>
      </c>
      <c r="W1033" s="2">
        <f t="shared" ca="1" si="1013"/>
        <v>61399702.414138325</v>
      </c>
      <c r="X1033" s="2">
        <f t="shared" ca="1" si="1014"/>
        <v>65654182.068104096</v>
      </c>
      <c r="Y1033" s="2">
        <f t="shared" ca="1" si="1015"/>
        <v>0.12573190395431649</v>
      </c>
      <c r="Z1033" s="2">
        <f t="shared" ca="1" si="1016"/>
        <v>0.12802466553604308</v>
      </c>
      <c r="AA1033" s="2">
        <f t="shared" ca="1" si="1017"/>
        <v>6314273.2431387063</v>
      </c>
      <c r="AB1033" s="2">
        <f t="shared" ca="1" si="1018"/>
        <v>6874920.1494739801</v>
      </c>
      <c r="AC1033" s="2">
        <f t="shared" ca="1" si="1019"/>
        <v>7351293.9224491604</v>
      </c>
      <c r="AD1033" s="2">
        <f t="shared" ca="1" si="1020"/>
        <v>7860676.3655826356</v>
      </c>
      <c r="AE1033" s="2">
        <f t="shared" ca="1" si="1021"/>
        <v>8405354.7003115043</v>
      </c>
      <c r="AF1033" s="2">
        <f t="shared" ca="1" si="1022"/>
        <v>1004402.708390217</v>
      </c>
      <c r="AG1033" s="2">
        <f t="shared" ca="1" si="1023"/>
        <v>1073999.3142240965</v>
      </c>
      <c r="AH1033" s="2">
        <f t="shared" ca="1" si="1024"/>
        <v>1148418.3757354997</v>
      </c>
      <c r="AI1033" s="2">
        <f t="shared" ca="1" si="1025"/>
        <v>1227994.0482827665</v>
      </c>
      <c r="AJ1033" s="2">
        <f t="shared" ca="1" si="1026"/>
        <v>1313083.641362082</v>
      </c>
      <c r="AK1033" s="2">
        <f t="shared" ca="1" si="1027"/>
        <v>0</v>
      </c>
      <c r="AL1033" s="2">
        <f t="shared" ca="1" si="1028"/>
        <v>34798.302916939778</v>
      </c>
      <c r="AM1033" s="2">
        <f t="shared" ca="1" si="1029"/>
        <v>37209.530755701584</v>
      </c>
      <c r="AN1033" s="2">
        <f t="shared" ca="1" si="1030"/>
        <v>39787.836273633395</v>
      </c>
      <c r="AO1033" s="2">
        <f t="shared" ca="1" si="1031"/>
        <v>42544.796539657713</v>
      </c>
      <c r="AP1033" s="2">
        <f t="shared" ca="1" si="1032"/>
        <v>2110654.0167799429</v>
      </c>
      <c r="AQ1033" s="2">
        <f t="shared" ca="1" si="1033"/>
        <v>831796.29467182199</v>
      </c>
      <c r="AR1033" s="2">
        <f t="shared" ca="1" si="1034"/>
        <v>959469.37280218478</v>
      </c>
      <c r="AS1033" s="2">
        <f t="shared" ca="1" si="1035"/>
        <v>1063977.5977827667</v>
      </c>
      <c r="AT1033" s="2">
        <f t="shared" ca="1" si="1036"/>
        <v>1175727.358135181</v>
      </c>
      <c r="AU1033" s="2">
        <f t="shared" ca="1" si="1037"/>
        <v>1295220.4309640648</v>
      </c>
      <c r="AV1033" s="2">
        <f t="shared" ca="1" si="1038"/>
        <v>2367420.2232967238</v>
      </c>
      <c r="AW1033" s="2">
        <f t="shared" ca="1" si="1039"/>
        <v>2695999.1427508169</v>
      </c>
      <c r="AX1033" s="2">
        <f t="shared" ca="1" si="1040"/>
        <v>2991034.4013952496</v>
      </c>
      <c r="AY1033" s="2">
        <f t="shared" ca="1" si="1041"/>
        <v>3306513.1061111125</v>
      </c>
      <c r="AZ1033" s="2">
        <f t="shared" ca="1" si="1042"/>
        <v>3643851.8146657567</v>
      </c>
      <c r="BA1033" s="2">
        <f t="shared" ca="1" si="1043"/>
        <v>69343041.340006605</v>
      </c>
      <c r="BB1033" s="2">
        <f t="shared" ca="1" si="1044"/>
        <v>1386860.8268001322</v>
      </c>
      <c r="BC1033" s="2">
        <f t="shared" ca="1" si="1045"/>
        <v>44504469.215651549</v>
      </c>
      <c r="BD1033" s="2">
        <f t="shared" ca="1" si="1046"/>
        <v>-17111628.83576807</v>
      </c>
      <c r="BE1033" s="2">
        <f t="shared" ca="1" si="1047"/>
        <v>2367420.2232967238</v>
      </c>
      <c r="BF1033" s="2">
        <f t="shared" ca="1" si="1048"/>
        <v>2695999.1427508169</v>
      </c>
      <c r="BG1033" s="2">
        <f t="shared" ca="1" si="1049"/>
        <v>2991034.4013952496</v>
      </c>
      <c r="BH1033" s="2">
        <f t="shared" ca="1" si="1050"/>
        <v>3306513.1061111125</v>
      </c>
      <c r="BI1033" s="2">
        <f t="shared" ca="1" si="1051"/>
        <v>48148321.030317307</v>
      </c>
      <c r="BJ1033" s="2">
        <f t="shared" ca="1" si="1052"/>
        <v>0.33170443328703048</v>
      </c>
      <c r="BK1033" s="2">
        <f t="shared" ca="1" si="1053"/>
        <v>18702331.704452936</v>
      </c>
    </row>
    <row r="1034" spans="1:63" x14ac:dyDescent="0.3">
      <c r="A1034" s="2">
        <v>1033</v>
      </c>
      <c r="B1034" s="2">
        <f t="shared" ca="1" si="992"/>
        <v>0.11635799517397627</v>
      </c>
      <c r="C1034" s="2">
        <f t="shared" ca="1" si="993"/>
        <v>6.4824064576142746</v>
      </c>
      <c r="D1034" s="2">
        <f t="shared" ca="1" si="994"/>
        <v>2.7964522361363153E-2</v>
      </c>
      <c r="E1034" s="2">
        <f t="shared" ca="1" si="995"/>
        <v>6.7364932234181909</v>
      </c>
      <c r="F1034" s="2">
        <f t="shared" ca="1" si="996"/>
        <v>0.9347343998857478</v>
      </c>
      <c r="G1034" s="2">
        <f t="shared" ca="1" si="997"/>
        <v>8.5360313959406672E-2</v>
      </c>
      <c r="H1034" s="2">
        <f t="shared" ca="1" si="998"/>
        <v>8.5360313959406672E-2</v>
      </c>
      <c r="I1034" s="2">
        <f t="shared" ca="1" si="999"/>
        <v>0.91704061734265785</v>
      </c>
      <c r="J1034" s="2">
        <f t="shared" ca="1" si="1000"/>
        <v>1.6927186939794447E-2</v>
      </c>
      <c r="K1034" s="2">
        <f t="shared" ca="1" si="1001"/>
        <v>1.6927186939794447E-2</v>
      </c>
      <c r="L1034" s="2">
        <f t="shared" ca="1" si="1002"/>
        <v>0.84978919242085915</v>
      </c>
      <c r="M1034" s="2">
        <f t="shared" ca="1" si="1003"/>
        <v>2.0710593505719018E-2</v>
      </c>
      <c r="N1034" s="2">
        <f t="shared" ca="1" si="1004"/>
        <v>2.0710593505719018E-2</v>
      </c>
      <c r="O1034" s="2">
        <f t="shared" si="1005"/>
        <v>6000000</v>
      </c>
      <c r="P1034" s="2">
        <f t="shared" ca="1" si="1006"/>
        <v>38894438.745685644</v>
      </c>
      <c r="Q1034" s="2">
        <f t="shared" ca="1" si="1007"/>
        <v>972360.9686421412</v>
      </c>
      <c r="R1034" s="2">
        <f t="shared" ca="1" si="1008"/>
        <v>23336663.247411385</v>
      </c>
      <c r="S1034" s="2">
        <f t="shared" ca="1" si="1009"/>
        <v>15557775.498274259</v>
      </c>
      <c r="T1034" s="2">
        <f t="shared" ca="1" si="1010"/>
        <v>51035529.67528595</v>
      </c>
      <c r="U1034" s="2">
        <f t="shared" ca="1" si="1011"/>
        <v>55391938.511452973</v>
      </c>
      <c r="V1034" s="2">
        <f t="shared" ca="1" si="1012"/>
        <v>60120211.773610741</v>
      </c>
      <c r="W1034" s="2">
        <f t="shared" ca="1" si="1013"/>
        <v>65252091.925912164</v>
      </c>
      <c r="X1034" s="2">
        <f t="shared" ca="1" si="1014"/>
        <v>70822030.979216084</v>
      </c>
      <c r="Y1034" s="2">
        <f t="shared" ca="1" si="1015"/>
        <v>0.12846359346989722</v>
      </c>
      <c r="Z1034" s="2">
        <f t="shared" ca="1" si="1016"/>
        <v>0.1318490308578561</v>
      </c>
      <c r="AA1034" s="2">
        <f t="shared" ca="1" si="1017"/>
        <v>6556207.53672681</v>
      </c>
      <c r="AB1034" s="2">
        <f t="shared" ca="1" si="1018"/>
        <v>7303373.4100730307</v>
      </c>
      <c r="AC1034" s="2">
        <f t="shared" ca="1" si="1019"/>
        <v>7926791.6573196463</v>
      </c>
      <c r="AD1034" s="2">
        <f t="shared" ca="1" si="1020"/>
        <v>8603425.0818792563</v>
      </c>
      <c r="AE1034" s="2">
        <f t="shared" ca="1" si="1021"/>
        <v>9337816.1479947027</v>
      </c>
      <c r="AF1034" s="2">
        <f t="shared" ca="1" si="1022"/>
        <v>1020710.593505719</v>
      </c>
      <c r="AG1034" s="2">
        <f t="shared" ca="1" si="1023"/>
        <v>1107838.7702290595</v>
      </c>
      <c r="AH1034" s="2">
        <f t="shared" ca="1" si="1024"/>
        <v>1202404.2354722149</v>
      </c>
      <c r="AI1034" s="2">
        <f t="shared" ca="1" si="1025"/>
        <v>1305041.8385182433</v>
      </c>
      <c r="AJ1034" s="2">
        <f t="shared" ca="1" si="1026"/>
        <v>1416440.6195843217</v>
      </c>
      <c r="AK1034" s="2">
        <f t="shared" ca="1" si="1027"/>
        <v>0</v>
      </c>
      <c r="AL1034" s="2">
        <f t="shared" ca="1" si="1028"/>
        <v>43564.088361670227</v>
      </c>
      <c r="AM1034" s="2">
        <f t="shared" ca="1" si="1029"/>
        <v>47282.732621577677</v>
      </c>
      <c r="AN1034" s="2">
        <f t="shared" ca="1" si="1030"/>
        <v>51318.801523014234</v>
      </c>
      <c r="AO1034" s="2">
        <f t="shared" ca="1" si="1031"/>
        <v>55699.390533039201</v>
      </c>
      <c r="AP1034" s="2">
        <f t="shared" ca="1" si="1032"/>
        <v>2100299.6922670244</v>
      </c>
      <c r="AQ1034" s="2">
        <f t="shared" ca="1" si="1033"/>
        <v>893151.28524805745</v>
      </c>
      <c r="AR1034" s="2">
        <f t="shared" ca="1" si="1034"/>
        <v>1064761.0863700062</v>
      </c>
      <c r="AS1034" s="2">
        <f t="shared" ca="1" si="1035"/>
        <v>1202262.8096909057</v>
      </c>
      <c r="AT1034" s="2">
        <f t="shared" ca="1" si="1036"/>
        <v>1351501.7232844369</v>
      </c>
      <c r="AU1034" s="2">
        <f t="shared" ca="1" si="1037"/>
        <v>1513479.7173972726</v>
      </c>
      <c r="AV1034" s="2">
        <f t="shared" ca="1" si="1038"/>
        <v>2542045.9657060099</v>
      </c>
      <c r="AW1034" s="2">
        <f t="shared" ca="1" si="1039"/>
        <v>2986909.7728452706</v>
      </c>
      <c r="AX1034" s="2">
        <f t="shared" ca="1" si="1040"/>
        <v>3374542.1872679233</v>
      </c>
      <c r="AY1034" s="2">
        <f t="shared" ca="1" si="1041"/>
        <v>3795263.0262865373</v>
      </c>
      <c r="AZ1034" s="2">
        <f t="shared" ca="1" si="1042"/>
        <v>4251896.7282130439</v>
      </c>
      <c r="BA1034" s="2">
        <f t="shared" ca="1" si="1043"/>
        <v>62904135.202491269</v>
      </c>
      <c r="BB1034" s="2">
        <f t="shared" ca="1" si="1044"/>
        <v>1258082.7040498254</v>
      </c>
      <c r="BC1034" s="2">
        <f t="shared" ca="1" si="1045"/>
        <v>38309389.251030058</v>
      </c>
      <c r="BD1034" s="2">
        <f t="shared" ca="1" si="1046"/>
        <v>-17030136.466916401</v>
      </c>
      <c r="BE1034" s="2">
        <f t="shared" ca="1" si="1047"/>
        <v>2542045.9657060099</v>
      </c>
      <c r="BF1034" s="2">
        <f t="shared" ca="1" si="1048"/>
        <v>2986909.7728452706</v>
      </c>
      <c r="BG1034" s="2">
        <f t="shared" ca="1" si="1049"/>
        <v>3374542.1872679233</v>
      </c>
      <c r="BH1034" s="2">
        <f t="shared" ca="1" si="1050"/>
        <v>3795263.0262865373</v>
      </c>
      <c r="BI1034" s="2">
        <f t="shared" ca="1" si="1051"/>
        <v>42561285.9792431</v>
      </c>
      <c r="BJ1034" s="2">
        <f t="shared" ca="1" si="1052"/>
        <v>0.31898531884049852</v>
      </c>
      <c r="BK1034" s="2">
        <f t="shared" ca="1" si="1053"/>
        <v>16585001.033103857</v>
      </c>
    </row>
    <row r="1035" spans="1:63" x14ac:dyDescent="0.3">
      <c r="A1035" s="2">
        <v>1034</v>
      </c>
      <c r="B1035" s="2">
        <f t="shared" ca="1" si="992"/>
        <v>0.99307162096710633</v>
      </c>
      <c r="C1035" s="2">
        <f t="shared" ca="1" si="993"/>
        <v>7.8822852682720326</v>
      </c>
      <c r="D1035" s="2">
        <f t="shared" ca="1" si="994"/>
        <v>0.19267841395108509</v>
      </c>
      <c r="E1035" s="2">
        <f t="shared" ca="1" si="995"/>
        <v>7.1207711558232791</v>
      </c>
      <c r="F1035" s="2">
        <f t="shared" ca="1" si="996"/>
        <v>0.7054819013147714</v>
      </c>
      <c r="G1035" s="2">
        <f t="shared" ca="1" si="997"/>
        <v>5.6206996960286894E-2</v>
      </c>
      <c r="H1035" s="2">
        <f t="shared" ca="1" si="998"/>
        <v>5.6206996960286894E-2</v>
      </c>
      <c r="I1035" s="2">
        <f t="shared" ca="1" si="999"/>
        <v>0.82204209233743331</v>
      </c>
      <c r="J1035" s="2">
        <f t="shared" ca="1" si="1000"/>
        <v>1.4615876914701117E-2</v>
      </c>
      <c r="K1035" s="2">
        <f t="shared" ca="1" si="1001"/>
        <v>1.4615876914701117E-2</v>
      </c>
      <c r="L1035" s="2">
        <f t="shared" ca="1" si="1002"/>
        <v>0.34892646129787641</v>
      </c>
      <c r="M1035" s="2">
        <f t="shared" ca="1" si="1003"/>
        <v>-7.764408410142391E-3</v>
      </c>
      <c r="N1035" s="2">
        <f t="shared" ca="1" si="1004"/>
        <v>-7.764408410142391E-3</v>
      </c>
      <c r="O1035" s="2">
        <f t="shared" si="1005"/>
        <v>6000000</v>
      </c>
      <c r="P1035" s="2">
        <f t="shared" ca="1" si="1006"/>
        <v>47293711.609632194</v>
      </c>
      <c r="Q1035" s="2">
        <f t="shared" ca="1" si="1007"/>
        <v>1182342.7902408049</v>
      </c>
      <c r="R1035" s="2">
        <f t="shared" ca="1" si="1008"/>
        <v>28376226.965779316</v>
      </c>
      <c r="S1035" s="2">
        <f t="shared" ca="1" si="1009"/>
        <v>18917484.643852878</v>
      </c>
      <c r="T1035" s="2">
        <f t="shared" ca="1" si="1010"/>
        <v>49611779.579492882</v>
      </c>
      <c r="U1035" s="2">
        <f t="shared" ca="1" si="1011"/>
        <v>52400308.723511867</v>
      </c>
      <c r="V1035" s="2">
        <f t="shared" ca="1" si="1012"/>
        <v>55345572.716652401</v>
      </c>
      <c r="W1035" s="2">
        <f t="shared" ca="1" si="1013"/>
        <v>58456381.154102623</v>
      </c>
      <c r="X1035" s="2">
        <f t="shared" ca="1" si="1014"/>
        <v>61742038.791940644</v>
      </c>
      <c r="Y1035" s="2">
        <f t="shared" ca="1" si="1015"/>
        <v>0.12730793845735056</v>
      </c>
      <c r="Z1035" s="2">
        <f t="shared" ca="1" si="1016"/>
        <v>0.13023111384029079</v>
      </c>
      <c r="AA1035" s="2">
        <f t="shared" ca="1" si="1017"/>
        <v>6315973.3814657209</v>
      </c>
      <c r="AB1035" s="2">
        <f t="shared" ca="1" si="1018"/>
        <v>6824150.5706380568</v>
      </c>
      <c r="AC1035" s="2">
        <f t="shared" ca="1" si="1019"/>
        <v>7207715.5810184507</v>
      </c>
      <c r="AD1035" s="2">
        <f t="shared" ca="1" si="1020"/>
        <v>7612839.6287713675</v>
      </c>
      <c r="AE1035" s="2">
        <f t="shared" ca="1" si="1021"/>
        <v>8040734.4826448718</v>
      </c>
      <c r="AF1035" s="2">
        <f t="shared" ca="1" si="1022"/>
        <v>992235.59158985771</v>
      </c>
      <c r="AG1035" s="2">
        <f t="shared" ca="1" si="1023"/>
        <v>1048006.1744702373</v>
      </c>
      <c r="AH1035" s="2">
        <f t="shared" ca="1" si="1024"/>
        <v>1106911.4543330481</v>
      </c>
      <c r="AI1035" s="2">
        <f t="shared" ca="1" si="1025"/>
        <v>1169127.6230820525</v>
      </c>
      <c r="AJ1035" s="2">
        <f t="shared" ca="1" si="1026"/>
        <v>1234840.7758388128</v>
      </c>
      <c r="AK1035" s="2">
        <f t="shared" ca="1" si="1027"/>
        <v>0</v>
      </c>
      <c r="AL1035" s="2">
        <f t="shared" ca="1" si="1028"/>
        <v>27885.291440189852</v>
      </c>
      <c r="AM1035" s="2">
        <f t="shared" ca="1" si="1029"/>
        <v>29452.639931405338</v>
      </c>
      <c r="AN1035" s="2">
        <f t="shared" ca="1" si="1030"/>
        <v>31108.084374502228</v>
      </c>
      <c r="AO1035" s="2">
        <f t="shared" ca="1" si="1031"/>
        <v>32856.57637838021</v>
      </c>
      <c r="AP1035" s="2">
        <f t="shared" ca="1" si="1032"/>
        <v>2553860.4269201383</v>
      </c>
      <c r="AQ1035" s="2">
        <f t="shared" ca="1" si="1033"/>
        <v>720168.11436848843</v>
      </c>
      <c r="AR1035" s="2">
        <f t="shared" ca="1" si="1034"/>
        <v>837793.83200439706</v>
      </c>
      <c r="AS1035" s="2">
        <f t="shared" ca="1" si="1035"/>
        <v>922205.36193896865</v>
      </c>
      <c r="AT1035" s="2">
        <f t="shared" ca="1" si="1036"/>
        <v>1011361.4104799861</v>
      </c>
      <c r="AU1035" s="2">
        <f t="shared" ca="1" si="1037"/>
        <v>1105528.6527703395</v>
      </c>
      <c r="AV1035" s="2">
        <f t="shared" ca="1" si="1038"/>
        <v>2049709.2485872367</v>
      </c>
      <c r="AW1035" s="2">
        <f t="shared" ca="1" si="1039"/>
        <v>2356604.8458030941</v>
      </c>
      <c r="AX1035" s="2">
        <f t="shared" ca="1" si="1040"/>
        <v>2595285.6978948908</v>
      </c>
      <c r="AY1035" s="2">
        <f t="shared" ca="1" si="1041"/>
        <v>2847382.0839146888</v>
      </c>
      <c r="AZ1035" s="2">
        <f t="shared" ca="1" si="1042"/>
        <v>3113648.0507372012</v>
      </c>
      <c r="BA1035" s="2">
        <f t="shared" ca="1" si="1043"/>
        <v>57256230.175651222</v>
      </c>
      <c r="BB1035" s="2">
        <f t="shared" ca="1" si="1044"/>
        <v>1145124.6035130245</v>
      </c>
      <c r="BC1035" s="2">
        <f t="shared" ca="1" si="1045"/>
        <v>27734878.606358882</v>
      </c>
      <c r="BD1035" s="2">
        <f t="shared" ca="1" si="1046"/>
        <v>-20599827.434093684</v>
      </c>
      <c r="BE1035" s="2">
        <f t="shared" ca="1" si="1047"/>
        <v>2049709.2485872367</v>
      </c>
      <c r="BF1035" s="2">
        <f t="shared" ca="1" si="1048"/>
        <v>2356604.8458030941</v>
      </c>
      <c r="BG1035" s="2">
        <f t="shared" ca="1" si="1049"/>
        <v>2595285.6978948908</v>
      </c>
      <c r="BH1035" s="2">
        <f t="shared" ca="1" si="1050"/>
        <v>2847382.0839146888</v>
      </c>
      <c r="BI1035" s="2">
        <f t="shared" ca="1" si="1051"/>
        <v>30848526.657096084</v>
      </c>
      <c r="BJ1035" s="2">
        <f t="shared" ca="1" si="1052"/>
        <v>0.17113778076062314</v>
      </c>
      <c r="BK1035" s="2">
        <f t="shared" ca="1" si="1053"/>
        <v>4270059.4364045225</v>
      </c>
    </row>
    <row r="1036" spans="1:63" x14ac:dyDescent="0.3">
      <c r="A1036" s="2">
        <v>1035</v>
      </c>
      <c r="B1036" s="2">
        <f t="shared" ca="1" si="992"/>
        <v>5.1740604325056561E-2</v>
      </c>
      <c r="C1036" s="2">
        <f t="shared" ca="1" si="993"/>
        <v>6.321684952476974</v>
      </c>
      <c r="D1036" s="2">
        <f t="shared" ca="1" si="994"/>
        <v>0.98424015228410688</v>
      </c>
      <c r="E1036" s="2">
        <f t="shared" ca="1" si="995"/>
        <v>8.3224621295841743</v>
      </c>
      <c r="F1036" s="2">
        <f t="shared" ca="1" si="996"/>
        <v>0.6414563444258945</v>
      </c>
      <c r="G1036" s="2">
        <f t="shared" ca="1" si="997"/>
        <v>5.0870627974093342E-2</v>
      </c>
      <c r="H1036" s="2">
        <f t="shared" ca="1" si="998"/>
        <v>5.0870627974093342E-2</v>
      </c>
      <c r="I1036" s="2">
        <f t="shared" ca="1" si="999"/>
        <v>6.2025651970781248E-2</v>
      </c>
      <c r="J1036" s="2">
        <f t="shared" ca="1" si="1000"/>
        <v>2.3100549910887247E-3</v>
      </c>
      <c r="K1036" s="2">
        <f t="shared" ca="1" si="1001"/>
        <v>2.3100549910887247E-3</v>
      </c>
      <c r="L1036" s="2">
        <f t="shared" ca="1" si="1002"/>
        <v>0.54907433534556027</v>
      </c>
      <c r="M1036" s="2">
        <f t="shared" ca="1" si="1003"/>
        <v>2.4664599791237251E-3</v>
      </c>
      <c r="N1036" s="2">
        <f t="shared" ca="1" si="1004"/>
        <v>2.4664599791237251E-3</v>
      </c>
      <c r="O1036" s="2">
        <f t="shared" si="1005"/>
        <v>6000000</v>
      </c>
      <c r="P1036" s="2">
        <f t="shared" ca="1" si="1006"/>
        <v>37930109.714861847</v>
      </c>
      <c r="Q1036" s="2">
        <f t="shared" ca="1" si="1007"/>
        <v>948252.74287154619</v>
      </c>
      <c r="R1036" s="2">
        <f t="shared" ca="1" si="1008"/>
        <v>22758065.828917108</v>
      </c>
      <c r="S1036" s="2">
        <f t="shared" ca="1" si="1009"/>
        <v>15172043.885944739</v>
      </c>
      <c r="T1036" s="2">
        <f t="shared" ca="1" si="1010"/>
        <v>50123322.998956189</v>
      </c>
      <c r="U1036" s="2">
        <f t="shared" ca="1" si="1011"/>
        <v>52673127.916061409</v>
      </c>
      <c r="V1036" s="2">
        <f t="shared" ca="1" si="1012"/>
        <v>55352643.010511197</v>
      </c>
      <c r="W1036" s="2">
        <f t="shared" ca="1" si="1013"/>
        <v>58168466.720481709</v>
      </c>
      <c r="X1036" s="2">
        <f t="shared" ca="1" si="1014"/>
        <v>61127533.150842763</v>
      </c>
      <c r="Y1036" s="2">
        <f t="shared" ca="1" si="1015"/>
        <v>0.12115502749554435</v>
      </c>
      <c r="Z1036" s="2">
        <f t="shared" ca="1" si="1016"/>
        <v>0.1216170384937621</v>
      </c>
      <c r="AA1036" s="2">
        <f t="shared" ca="1" si="1017"/>
        <v>6072692.5761065874</v>
      </c>
      <c r="AB1036" s="2">
        <f t="shared" ca="1" si="1018"/>
        <v>6405949.8253544951</v>
      </c>
      <c r="AC1036" s="2">
        <f t="shared" ca="1" si="1019"/>
        <v>6731824.5157408118</v>
      </c>
      <c r="AD1036" s="2">
        <f t="shared" ca="1" si="1020"/>
        <v>7074276.6562679438</v>
      </c>
      <c r="AE1036" s="2">
        <f t="shared" ca="1" si="1021"/>
        <v>7434149.5522347633</v>
      </c>
      <c r="AF1036" s="2">
        <f t="shared" ca="1" si="1022"/>
        <v>1002466.4599791238</v>
      </c>
      <c r="AG1036" s="2">
        <f t="shared" ca="1" si="1023"/>
        <v>1053462.5583212283</v>
      </c>
      <c r="AH1036" s="2">
        <f t="shared" ca="1" si="1024"/>
        <v>1107052.8602102241</v>
      </c>
      <c r="AI1036" s="2">
        <f t="shared" ca="1" si="1025"/>
        <v>1163369.3344096341</v>
      </c>
      <c r="AJ1036" s="2">
        <f t="shared" ca="1" si="1026"/>
        <v>1222550.6630168553</v>
      </c>
      <c r="AK1036" s="2">
        <f t="shared" ca="1" si="1027"/>
        <v>0</v>
      </c>
      <c r="AL1036" s="2">
        <f t="shared" ca="1" si="1028"/>
        <v>25498.049171052204</v>
      </c>
      <c r="AM1036" s="2">
        <f t="shared" ca="1" si="1029"/>
        <v>26795.150944497884</v>
      </c>
      <c r="AN1036" s="2">
        <f t="shared" ca="1" si="1030"/>
        <v>28158.237099705115</v>
      </c>
      <c r="AO1036" s="2">
        <f t="shared" ca="1" si="1031"/>
        <v>29590.664303610549</v>
      </c>
      <c r="AP1036" s="2">
        <f t="shared" ca="1" si="1032"/>
        <v>2048225.9246025397</v>
      </c>
      <c r="AQ1036" s="2">
        <f t="shared" ca="1" si="1033"/>
        <v>785720.04979648034</v>
      </c>
      <c r="AR1036" s="2">
        <f t="shared" ca="1" si="1034"/>
        <v>859107.94903198909</v>
      </c>
      <c r="AS1036" s="2">
        <f t="shared" ca="1" si="1035"/>
        <v>929901.89004129253</v>
      </c>
      <c r="AT1036" s="2">
        <f t="shared" ca="1" si="1036"/>
        <v>1004297.1632865001</v>
      </c>
      <c r="AU1036" s="2">
        <f t="shared" ca="1" si="1037"/>
        <v>1082476.9707999956</v>
      </c>
      <c r="AV1036" s="2">
        <f t="shared" ca="1" si="1038"/>
        <v>2236280.1417284436</v>
      </c>
      <c r="AW1036" s="2">
        <f t="shared" ca="1" si="1039"/>
        <v>2419655.3442276861</v>
      </c>
      <c r="AX1036" s="2">
        <f t="shared" ca="1" si="1040"/>
        <v>2619848.6899422579</v>
      </c>
      <c r="AY1036" s="2">
        <f t="shared" ca="1" si="1041"/>
        <v>2830225.9968695645</v>
      </c>
      <c r="AZ1036" s="2">
        <f t="shared" ca="1" si="1042"/>
        <v>3051305.3295117621</v>
      </c>
      <c r="BA1036" s="2">
        <f t="shared" ca="1" si="1043"/>
        <v>61870428.114138961</v>
      </c>
      <c r="BB1036" s="2">
        <f t="shared" ca="1" si="1044"/>
        <v>1237408.5622827793</v>
      </c>
      <c r="BC1036" s="2">
        <f t="shared" ca="1" si="1045"/>
        <v>37874953.722939074</v>
      </c>
      <c r="BD1036" s="2">
        <f t="shared" ca="1" si="1046"/>
        <v>-16620296.628816284</v>
      </c>
      <c r="BE1036" s="2">
        <f t="shared" ca="1" si="1047"/>
        <v>2236280.1417284436</v>
      </c>
      <c r="BF1036" s="2">
        <f t="shared" ca="1" si="1048"/>
        <v>2419655.3442276861</v>
      </c>
      <c r="BG1036" s="2">
        <f t="shared" ca="1" si="1049"/>
        <v>2619848.6899422579</v>
      </c>
      <c r="BH1036" s="2">
        <f t="shared" ca="1" si="1050"/>
        <v>2830225.9968695645</v>
      </c>
      <c r="BI1036" s="2">
        <f t="shared" ca="1" si="1051"/>
        <v>40926259.052450836</v>
      </c>
      <c r="BJ1036" s="2">
        <f t="shared" ca="1" si="1052"/>
        <v>0.29498345788222524</v>
      </c>
      <c r="BK1036" s="2">
        <f t="shared" ca="1" si="1053"/>
        <v>14191391.322557166</v>
      </c>
    </row>
    <row r="1037" spans="1:63" x14ac:dyDescent="0.3">
      <c r="A1037" s="2">
        <v>1036</v>
      </c>
      <c r="B1037" s="2">
        <f t="shared" ca="1" si="992"/>
        <v>5.3844917783249402E-2</v>
      </c>
      <c r="C1037" s="2">
        <f t="shared" ca="1" si="993"/>
        <v>6.3281612950463515</v>
      </c>
      <c r="D1037" s="2">
        <f t="shared" ca="1" si="994"/>
        <v>0.47827108950016195</v>
      </c>
      <c r="E1037" s="2">
        <f t="shared" ca="1" si="995"/>
        <v>7.478029743412911</v>
      </c>
      <c r="F1037" s="2">
        <f t="shared" ca="1" si="996"/>
        <v>0.60945018356572811</v>
      </c>
      <c r="G1037" s="2">
        <f t="shared" ca="1" si="997"/>
        <v>4.8336589313554959E-2</v>
      </c>
      <c r="H1037" s="2">
        <f t="shared" ca="1" si="998"/>
        <v>4.8336589313554959E-2</v>
      </c>
      <c r="I1037" s="2">
        <f t="shared" ca="1" si="999"/>
        <v>0.70852132446702742</v>
      </c>
      <c r="J1037" s="2">
        <f t="shared" ca="1" si="1000"/>
        <v>1.2745350445571114E-2</v>
      </c>
      <c r="K1037" s="2">
        <f t="shared" ca="1" si="1001"/>
        <v>1.2745350445571114E-2</v>
      </c>
      <c r="L1037" s="2">
        <f t="shared" ca="1" si="1002"/>
        <v>0.35995336687227109</v>
      </c>
      <c r="M1037" s="2">
        <f t="shared" ca="1" si="1003"/>
        <v>-7.1716688864740972E-3</v>
      </c>
      <c r="N1037" s="2">
        <f t="shared" ca="1" si="1004"/>
        <v>-7.1716688864740972E-3</v>
      </c>
      <c r="O1037" s="2">
        <f t="shared" si="1005"/>
        <v>6000000</v>
      </c>
      <c r="P1037" s="2">
        <f t="shared" ca="1" si="1006"/>
        <v>37968967.770278111</v>
      </c>
      <c r="Q1037" s="2">
        <f t="shared" ca="1" si="1007"/>
        <v>949224.19425695285</v>
      </c>
      <c r="R1037" s="2">
        <f t="shared" ca="1" si="1008"/>
        <v>22781380.662166867</v>
      </c>
      <c r="S1037" s="2">
        <f t="shared" ca="1" si="1009"/>
        <v>15187587.108111246</v>
      </c>
      <c r="T1037" s="2">
        <f t="shared" ca="1" si="1010"/>
        <v>49641416.555676296</v>
      </c>
      <c r="U1037" s="2">
        <f t="shared" ca="1" si="1011"/>
        <v>52040913.320671134</v>
      </c>
      <c r="V1037" s="2">
        <f t="shared" ca="1" si="1012"/>
        <v>54556393.575354725</v>
      </c>
      <c r="W1037" s="2">
        <f t="shared" ca="1" si="1013"/>
        <v>57193463.566035315</v>
      </c>
      <c r="X1037" s="2">
        <f t="shared" ca="1" si="1014"/>
        <v>59958000.525846533</v>
      </c>
      <c r="Y1037" s="2">
        <f t="shared" ca="1" si="1015"/>
        <v>0.12637267522278556</v>
      </c>
      <c r="Z1037" s="2">
        <f t="shared" ca="1" si="1016"/>
        <v>0.12892174531189976</v>
      </c>
      <c r="AA1037" s="2">
        <f t="shared" ca="1" si="1017"/>
        <v>6273318.6119894907</v>
      </c>
      <c r="AB1037" s="2">
        <f t="shared" ca="1" si="1018"/>
        <v>6709205.3729262156</v>
      </c>
      <c r="AC1037" s="2">
        <f t="shared" ca="1" si="1019"/>
        <v>7033505.4776576459</v>
      </c>
      <c r="AD1037" s="2">
        <f t="shared" ca="1" si="1020"/>
        <v>7373481.1433658227</v>
      </c>
      <c r="AE1037" s="2">
        <f t="shared" ca="1" si="1021"/>
        <v>7729890.073203939</v>
      </c>
      <c r="AF1037" s="2">
        <f t="shared" ca="1" si="1022"/>
        <v>992828.3311135259</v>
      </c>
      <c r="AG1037" s="2">
        <f t="shared" ca="1" si="1023"/>
        <v>1040818.2664134227</v>
      </c>
      <c r="AH1037" s="2">
        <f t="shared" ca="1" si="1024"/>
        <v>1091127.8715070945</v>
      </c>
      <c r="AI1037" s="2">
        <f t="shared" ca="1" si="1025"/>
        <v>1143869.2713207062</v>
      </c>
      <c r="AJ1037" s="2">
        <f t="shared" ca="1" si="1026"/>
        <v>1199160.0105169306</v>
      </c>
      <c r="AK1037" s="2">
        <f t="shared" ca="1" si="1027"/>
        <v>0</v>
      </c>
      <c r="AL1037" s="2">
        <f t="shared" ca="1" si="1028"/>
        <v>23994.967649948372</v>
      </c>
      <c r="AM1037" s="2">
        <f t="shared" ca="1" si="1029"/>
        <v>25154.802546835916</v>
      </c>
      <c r="AN1037" s="2">
        <f t="shared" ca="1" si="1030"/>
        <v>26370.699906805905</v>
      </c>
      <c r="AO1037" s="2">
        <f t="shared" ca="1" si="1031"/>
        <v>27645.369598112182</v>
      </c>
      <c r="AP1037" s="2">
        <f t="shared" ca="1" si="1032"/>
        <v>2050324.2595950179</v>
      </c>
      <c r="AQ1037" s="2">
        <f t="shared" ca="1" si="1033"/>
        <v>839843.16553304624</v>
      </c>
      <c r="AR1037" s="2">
        <f t="shared" ca="1" si="1034"/>
        <v>940696.34019862162</v>
      </c>
      <c r="AS1037" s="2">
        <f t="shared" ca="1" si="1035"/>
        <v>1011933.8701044389</v>
      </c>
      <c r="AT1037" s="2">
        <f t="shared" ca="1" si="1036"/>
        <v>1086614.7792370257</v>
      </c>
      <c r="AU1037" s="2">
        <f t="shared" ca="1" si="1037"/>
        <v>1164905.5088039176</v>
      </c>
      <c r="AV1037" s="2">
        <f t="shared" ca="1" si="1038"/>
        <v>2390322.8557479009</v>
      </c>
      <c r="AW1037" s="2">
        <f t="shared" ca="1" si="1039"/>
        <v>2653371.5390692055</v>
      </c>
      <c r="AX1037" s="2">
        <f t="shared" ca="1" si="1040"/>
        <v>2854964.6739042597</v>
      </c>
      <c r="AY1037" s="2">
        <f t="shared" ca="1" si="1041"/>
        <v>3066302.1333062677</v>
      </c>
      <c r="AZ1037" s="2">
        <f t="shared" ca="1" si="1042"/>
        <v>3287854.9246899616</v>
      </c>
      <c r="BA1037" s="2">
        <f t="shared" ca="1" si="1043"/>
        <v>57804347.880731262</v>
      </c>
      <c r="BB1037" s="2">
        <f t="shared" ca="1" si="1044"/>
        <v>1156086.9576146253</v>
      </c>
      <c r="BC1037" s="2">
        <f t="shared" ca="1" si="1045"/>
        <v>33866880.260949768</v>
      </c>
      <c r="BD1037" s="2">
        <f t="shared" ca="1" si="1046"/>
        <v>-16636811.302368198</v>
      </c>
      <c r="BE1037" s="2">
        <f t="shared" ca="1" si="1047"/>
        <v>2390322.8557479009</v>
      </c>
      <c r="BF1037" s="2">
        <f t="shared" ca="1" si="1048"/>
        <v>2653371.5390692055</v>
      </c>
      <c r="BG1037" s="2">
        <f t="shared" ca="1" si="1049"/>
        <v>2854964.6739042597</v>
      </c>
      <c r="BH1037" s="2">
        <f t="shared" ca="1" si="1050"/>
        <v>3066302.1333062677</v>
      </c>
      <c r="BI1037" s="2">
        <f t="shared" ca="1" si="1051"/>
        <v>37154735.185639732</v>
      </c>
      <c r="BJ1037" s="2">
        <f t="shared" ca="1" si="1052"/>
        <v>0.28317729307144024</v>
      </c>
      <c r="BK1037" s="2">
        <f t="shared" ca="1" si="1053"/>
        <v>12676049.543037396</v>
      </c>
    </row>
    <row r="1038" spans="1:63" x14ac:dyDescent="0.3">
      <c r="A1038" s="2">
        <v>1037</v>
      </c>
      <c r="B1038" s="2">
        <f t="shared" ca="1" si="992"/>
        <v>0.70683886044601418</v>
      </c>
      <c r="C1038" s="2">
        <f t="shared" ca="1" si="993"/>
        <v>7.2342831599684043</v>
      </c>
      <c r="D1038" s="2">
        <f t="shared" ca="1" si="994"/>
        <v>0.28529218282202895</v>
      </c>
      <c r="E1038" s="2">
        <f t="shared" ca="1" si="995"/>
        <v>7.2553703499900282</v>
      </c>
      <c r="F1038" s="2">
        <f t="shared" ca="1" si="996"/>
        <v>0.56182379237225399</v>
      </c>
      <c r="G1038" s="2">
        <f t="shared" ca="1" si="997"/>
        <v>4.4667844333553558E-2</v>
      </c>
      <c r="H1038" s="2">
        <f t="shared" ca="1" si="998"/>
        <v>4.4667844333553558E-2</v>
      </c>
      <c r="I1038" s="2">
        <f t="shared" ca="1" si="999"/>
        <v>0.37422767221130393</v>
      </c>
      <c r="J1038" s="2">
        <f t="shared" ca="1" si="1000"/>
        <v>8.3966160923379055E-3</v>
      </c>
      <c r="K1038" s="2">
        <f t="shared" ca="1" si="1001"/>
        <v>8.3966160923379055E-3</v>
      </c>
      <c r="L1038" s="2">
        <f t="shared" ca="1" si="1002"/>
        <v>0.39203278533954922</v>
      </c>
      <c r="M1038" s="2">
        <f t="shared" ca="1" si="1003"/>
        <v>-5.4804958053893595E-3</v>
      </c>
      <c r="N1038" s="2">
        <f t="shared" ca="1" si="1004"/>
        <v>-5.4804958053893595E-3</v>
      </c>
      <c r="O1038" s="2">
        <f t="shared" si="1005"/>
        <v>6000000</v>
      </c>
      <c r="P1038" s="2">
        <f t="shared" ca="1" si="1006"/>
        <v>43405698.959810428</v>
      </c>
      <c r="Q1038" s="2">
        <f t="shared" ca="1" si="1007"/>
        <v>1085142.4739952607</v>
      </c>
      <c r="R1038" s="2">
        <f t="shared" ca="1" si="1008"/>
        <v>26043419.375886258</v>
      </c>
      <c r="S1038" s="2">
        <f t="shared" ca="1" si="1009"/>
        <v>17362279.583924171</v>
      </c>
      <c r="T1038" s="2">
        <f t="shared" ca="1" si="1010"/>
        <v>49725975.209730536</v>
      </c>
      <c r="U1038" s="2">
        <f t="shared" ca="1" si="1011"/>
        <v>51947127.329732925</v>
      </c>
      <c r="V1038" s="2">
        <f t="shared" ca="1" si="1012"/>
        <v>54267493.526872717</v>
      </c>
      <c r="W1038" s="2">
        <f t="shared" ca="1" si="1013"/>
        <v>56691505.480103195</v>
      </c>
      <c r="X1038" s="2">
        <f t="shared" ca="1" si="1014"/>
        <v>59223792.821923241</v>
      </c>
      <c r="Y1038" s="2">
        <f t="shared" ca="1" si="1015"/>
        <v>0.12419830804616895</v>
      </c>
      <c r="Z1038" s="2">
        <f t="shared" ca="1" si="1016"/>
        <v>0.12587763126463652</v>
      </c>
      <c r="AA1038" s="2">
        <f t="shared" ca="1" si="1017"/>
        <v>6175881.986994274</v>
      </c>
      <c r="AB1038" s="2">
        <f t="shared" ca="1" si="1018"/>
        <v>6538981.3392692441</v>
      </c>
      <c r="AC1038" s="2">
        <f t="shared" ca="1" si="1019"/>
        <v>6831063.5398317333</v>
      </c>
      <c r="AD1038" s="2">
        <f t="shared" ca="1" si="1020"/>
        <v>7136192.4226615503</v>
      </c>
      <c r="AE1038" s="2">
        <f t="shared" ca="1" si="1021"/>
        <v>7454950.7549312813</v>
      </c>
      <c r="AF1038" s="2">
        <f t="shared" ca="1" si="1022"/>
        <v>994519.50419461075</v>
      </c>
      <c r="AG1038" s="2">
        <f t="shared" ca="1" si="1023"/>
        <v>1038942.5465946585</v>
      </c>
      <c r="AH1038" s="2">
        <f t="shared" ca="1" si="1024"/>
        <v>1085349.8705374543</v>
      </c>
      <c r="AI1038" s="2">
        <f t="shared" ca="1" si="1025"/>
        <v>1133830.1096020639</v>
      </c>
      <c r="AJ1038" s="2">
        <f t="shared" ca="1" si="1026"/>
        <v>1184475.856438465</v>
      </c>
      <c r="AK1038" s="2">
        <f t="shared" ca="1" si="1027"/>
        <v>0</v>
      </c>
      <c r="AL1038" s="2">
        <f t="shared" ca="1" si="1028"/>
        <v>22211.52120002389</v>
      </c>
      <c r="AM1038" s="2">
        <f t="shared" ca="1" si="1029"/>
        <v>23203.661971397923</v>
      </c>
      <c r="AN1038" s="2">
        <f t="shared" ca="1" si="1030"/>
        <v>24240.11953230478</v>
      </c>
      <c r="AO1038" s="2">
        <f t="shared" ca="1" si="1031"/>
        <v>25322.873418200463</v>
      </c>
      <c r="AP1038" s="2">
        <f t="shared" ca="1" si="1032"/>
        <v>2343907.743829763</v>
      </c>
      <c r="AQ1038" s="2">
        <f t="shared" ca="1" si="1033"/>
        <v>737738.23213217407</v>
      </c>
      <c r="AR1038" s="2">
        <f t="shared" ca="1" si="1034"/>
        <v>820594.0726996538</v>
      </c>
      <c r="AS1038" s="2">
        <f t="shared" ca="1" si="1035"/>
        <v>884469.54062077415</v>
      </c>
      <c r="AT1038" s="2">
        <f t="shared" ca="1" si="1036"/>
        <v>951198.18799972814</v>
      </c>
      <c r="AU1038" s="2">
        <f t="shared" ca="1" si="1037"/>
        <v>1020907.460212394</v>
      </c>
      <c r="AV1038" s="2">
        <f t="shared" ca="1" si="1038"/>
        <v>2099716.5068377261</v>
      </c>
      <c r="AW1038" s="2">
        <f t="shared" ca="1" si="1039"/>
        <v>2313325.4549451447</v>
      </c>
      <c r="AX1038" s="2">
        <f t="shared" ca="1" si="1040"/>
        <v>2494132.7228723443</v>
      </c>
      <c r="AY1038" s="2">
        <f t="shared" ca="1" si="1041"/>
        <v>2683016.2616976905</v>
      </c>
      <c r="AZ1038" s="2">
        <f t="shared" ca="1" si="1042"/>
        <v>2880336.8210324594</v>
      </c>
      <c r="BA1038" s="2">
        <f t="shared" ca="1" si="1043"/>
        <v>54088428.667964198</v>
      </c>
      <c r="BB1038" s="2">
        <f t="shared" ca="1" si="1044"/>
        <v>1081768.5733592841</v>
      </c>
      <c r="BC1038" s="2">
        <f t="shared" ca="1" si="1045"/>
        <v>26963240.718718655</v>
      </c>
      <c r="BD1038" s="2">
        <f t="shared" ca="1" si="1046"/>
        <v>-18947422.057919431</v>
      </c>
      <c r="BE1038" s="2">
        <f t="shared" ca="1" si="1047"/>
        <v>2099716.5068377261</v>
      </c>
      <c r="BF1038" s="2">
        <f t="shared" ca="1" si="1048"/>
        <v>2313325.4549451447</v>
      </c>
      <c r="BG1038" s="2">
        <f t="shared" ca="1" si="1049"/>
        <v>2494132.7228723443</v>
      </c>
      <c r="BH1038" s="2">
        <f t="shared" ca="1" si="1050"/>
        <v>2683016.2616976905</v>
      </c>
      <c r="BI1038" s="2">
        <f t="shared" ca="1" si="1051"/>
        <v>29843577.539751116</v>
      </c>
      <c r="BJ1038" s="2">
        <f t="shared" ca="1" si="1052"/>
        <v>0.18655987398123108</v>
      </c>
      <c r="BK1038" s="2">
        <f t="shared" ca="1" si="1053"/>
        <v>5185920.8259547018</v>
      </c>
    </row>
    <row r="1039" spans="1:63" x14ac:dyDescent="0.3">
      <c r="A1039" s="2">
        <v>1038</v>
      </c>
      <c r="B1039" s="2">
        <f t="shared" ca="1" si="992"/>
        <v>0.1098865519803407</v>
      </c>
      <c r="C1039" s="2">
        <f t="shared" ca="1" si="993"/>
        <v>6.4687996415961528</v>
      </c>
      <c r="D1039" s="2">
        <f t="shared" ca="1" si="994"/>
        <v>0.26674687647618389</v>
      </c>
      <c r="E1039" s="2">
        <f t="shared" ca="1" si="995"/>
        <v>7.2304065668874884</v>
      </c>
      <c r="F1039" s="2">
        <f t="shared" ca="1" si="996"/>
        <v>0.52759643161980696</v>
      </c>
      <c r="G1039" s="2">
        <f t="shared" ca="1" si="997"/>
        <v>4.207687765306431E-2</v>
      </c>
      <c r="H1039" s="2">
        <f t="shared" ca="1" si="998"/>
        <v>4.207687765306431E-2</v>
      </c>
      <c r="I1039" s="2">
        <f t="shared" ca="1" si="999"/>
        <v>0.4194686185391604</v>
      </c>
      <c r="J1039" s="2">
        <f t="shared" ca="1" si="1000"/>
        <v>8.9837346661520972E-3</v>
      </c>
      <c r="K1039" s="2">
        <f t="shared" ca="1" si="1001"/>
        <v>8.9837346661520972E-3</v>
      </c>
      <c r="L1039" s="2">
        <f t="shared" ca="1" si="1002"/>
        <v>0.66604909884616292</v>
      </c>
      <c r="M1039" s="2">
        <f t="shared" ca="1" si="1003"/>
        <v>8.5805887412027295E-3</v>
      </c>
      <c r="N1039" s="2">
        <f t="shared" ca="1" si="1004"/>
        <v>8.5805887412027295E-3</v>
      </c>
      <c r="O1039" s="2">
        <f t="shared" si="1005"/>
        <v>6000000</v>
      </c>
      <c r="P1039" s="2">
        <f t="shared" ca="1" si="1006"/>
        <v>38812797.84957692</v>
      </c>
      <c r="Q1039" s="2">
        <f t="shared" ca="1" si="1007"/>
        <v>970319.94623942301</v>
      </c>
      <c r="R1039" s="2">
        <f t="shared" ca="1" si="1008"/>
        <v>23287678.709746152</v>
      </c>
      <c r="S1039" s="2">
        <f t="shared" ca="1" si="1009"/>
        <v>15525119.139830768</v>
      </c>
      <c r="T1039" s="2">
        <f t="shared" ca="1" si="1010"/>
        <v>50429029.437060133</v>
      </c>
      <c r="U1039" s="2">
        <f t="shared" ca="1" si="1011"/>
        <v>52550925.538846083</v>
      </c>
      <c r="V1039" s="2">
        <f t="shared" ca="1" si="1012"/>
        <v>54762104.403299399</v>
      </c>
      <c r="W1039" s="2">
        <f t="shared" ca="1" si="1013"/>
        <v>57066322.770301357</v>
      </c>
      <c r="X1039" s="2">
        <f t="shared" ca="1" si="1014"/>
        <v>59467495.451617599</v>
      </c>
      <c r="Y1039" s="2">
        <f t="shared" ca="1" si="1015"/>
        <v>0.12449186733307605</v>
      </c>
      <c r="Z1039" s="2">
        <f t="shared" ca="1" si="1016"/>
        <v>0.12628861426630647</v>
      </c>
      <c r="AA1039" s="2">
        <f t="shared" ca="1" si="1017"/>
        <v>6278004.0424142769</v>
      </c>
      <c r="AB1039" s="2">
        <f t="shared" ca="1" si="1018"/>
        <v>6636583.5647127265</v>
      </c>
      <c r="AC1039" s="2">
        <f t="shared" ca="1" si="1019"/>
        <v>6915830.2793994807</v>
      </c>
      <c r="AD1039" s="2">
        <f t="shared" ca="1" si="1020"/>
        <v>7206826.8239351297</v>
      </c>
      <c r="AE1039" s="2">
        <f t="shared" ca="1" si="1021"/>
        <v>7510067.5944726691</v>
      </c>
      <c r="AF1039" s="2">
        <f t="shared" ca="1" si="1022"/>
        <v>1008580.5887412027</v>
      </c>
      <c r="AG1039" s="2">
        <f t="shared" ca="1" si="1023"/>
        <v>1051018.5107769216</v>
      </c>
      <c r="AH1039" s="2">
        <f t="shared" ca="1" si="1024"/>
        <v>1095242.0880659879</v>
      </c>
      <c r="AI1039" s="2">
        <f t="shared" ca="1" si="1025"/>
        <v>1141326.4554060271</v>
      </c>
      <c r="AJ1039" s="2">
        <f t="shared" ca="1" si="1026"/>
        <v>1189349.909032352</v>
      </c>
      <c r="AK1039" s="2">
        <f t="shared" ca="1" si="1027"/>
        <v>0</v>
      </c>
      <c r="AL1039" s="2">
        <f t="shared" ca="1" si="1028"/>
        <v>21218.961017859503</v>
      </c>
      <c r="AM1039" s="2">
        <f t="shared" ca="1" si="1029"/>
        <v>22111.788644533157</v>
      </c>
      <c r="AN1039" s="2">
        <f t="shared" ca="1" si="1030"/>
        <v>23042.183670019582</v>
      </c>
      <c r="AO1039" s="2">
        <f t="shared" ca="1" si="1031"/>
        <v>24011.726813162415</v>
      </c>
      <c r="AP1039" s="2">
        <f t="shared" ca="1" si="1032"/>
        <v>2095891.0838771537</v>
      </c>
      <c r="AQ1039" s="2">
        <f t="shared" ca="1" si="1033"/>
        <v>825118.41614693927</v>
      </c>
      <c r="AR1039" s="2">
        <f t="shared" ca="1" si="1034"/>
        <v>907315.23221524945</v>
      </c>
      <c r="AS1039" s="2">
        <f t="shared" ca="1" si="1035"/>
        <v>968421.24793864833</v>
      </c>
      <c r="AT1039" s="2">
        <f t="shared" ca="1" si="1036"/>
        <v>1032098.4140095068</v>
      </c>
      <c r="AU1039" s="2">
        <f t="shared" ca="1" si="1037"/>
        <v>1098454.9164064224</v>
      </c>
      <c r="AV1039" s="2">
        <f t="shared" ca="1" si="1038"/>
        <v>2348413.9536489807</v>
      </c>
      <c r="AW1039" s="2">
        <f t="shared" ca="1" si="1039"/>
        <v>2561139.7768255435</v>
      </c>
      <c r="AX1039" s="2">
        <f t="shared" ca="1" si="1040"/>
        <v>2734164.0708731581</v>
      </c>
      <c r="AY1039" s="2">
        <f t="shared" ca="1" si="1041"/>
        <v>2914468.6869724225</v>
      </c>
      <c r="AZ1039" s="2">
        <f t="shared" ca="1" si="1042"/>
        <v>3102359.9583435785</v>
      </c>
      <c r="BA1039" s="2">
        <f t="shared" ca="1" si="1043"/>
        <v>54300842.052844107</v>
      </c>
      <c r="BB1039" s="2">
        <f t="shared" ca="1" si="1044"/>
        <v>1086016.8410568822</v>
      </c>
      <c r="BC1039" s="2">
        <f t="shared" ca="1" si="1045"/>
        <v>29927146.502041072</v>
      </c>
      <c r="BD1039" s="2">
        <f t="shared" ca="1" si="1046"/>
        <v>-16995439.086070191</v>
      </c>
      <c r="BE1039" s="2">
        <f t="shared" ca="1" si="1047"/>
        <v>2348413.9536489807</v>
      </c>
      <c r="BF1039" s="2">
        <f t="shared" ca="1" si="1048"/>
        <v>2561139.7768255435</v>
      </c>
      <c r="BG1039" s="2">
        <f t="shared" ca="1" si="1049"/>
        <v>2734164.0708731581</v>
      </c>
      <c r="BH1039" s="2">
        <f t="shared" ca="1" si="1050"/>
        <v>2914468.6869724225</v>
      </c>
      <c r="BI1039" s="2">
        <f t="shared" ca="1" si="1051"/>
        <v>33029506.460384652</v>
      </c>
      <c r="BJ1039" s="2">
        <f t="shared" ca="1" si="1052"/>
        <v>0.24888894074683177</v>
      </c>
      <c r="BK1039" s="2">
        <f t="shared" ca="1" si="1053"/>
        <v>9683234.5526659973</v>
      </c>
    </row>
    <row r="1040" spans="1:63" x14ac:dyDescent="0.3">
      <c r="A1040" s="2">
        <v>1039</v>
      </c>
      <c r="B1040" s="2">
        <f t="shared" ca="1" si="992"/>
        <v>0.85916350848442558</v>
      </c>
      <c r="C1040" s="2">
        <f t="shared" ca="1" si="993"/>
        <v>7.4692712717111043</v>
      </c>
      <c r="D1040" s="2">
        <f t="shared" ca="1" si="994"/>
        <v>0.87327966422008407</v>
      </c>
      <c r="E1040" s="2">
        <f t="shared" ca="1" si="995"/>
        <v>7.9965710858921275</v>
      </c>
      <c r="F1040" s="2">
        <f t="shared" ca="1" si="996"/>
        <v>0.63512966103290625</v>
      </c>
      <c r="G1040" s="2">
        <f t="shared" ca="1" si="997"/>
        <v>5.0364115251596134E-2</v>
      </c>
      <c r="H1040" s="2">
        <f t="shared" ca="1" si="998"/>
        <v>5.0364115251596134E-2</v>
      </c>
      <c r="I1040" s="2">
        <f t="shared" ca="1" si="999"/>
        <v>0.45120481828071524</v>
      </c>
      <c r="J1040" s="2">
        <f t="shared" ca="1" si="1000"/>
        <v>9.3869102304100296E-3</v>
      </c>
      <c r="K1040" s="2">
        <f t="shared" ca="1" si="1001"/>
        <v>9.3869102304100296E-3</v>
      </c>
      <c r="L1040" s="2">
        <f t="shared" ca="1" si="1002"/>
        <v>0.34828260056289684</v>
      </c>
      <c r="M1040" s="2">
        <f t="shared" ca="1" si="1003"/>
        <v>-7.7992249976813043E-3</v>
      </c>
      <c r="N1040" s="2">
        <f t="shared" ca="1" si="1004"/>
        <v>-7.7992249976813043E-3</v>
      </c>
      <c r="O1040" s="2">
        <f t="shared" si="1005"/>
        <v>6000000</v>
      </c>
      <c r="P1040" s="2">
        <f t="shared" ca="1" si="1006"/>
        <v>44815627.630266629</v>
      </c>
      <c r="Q1040" s="2">
        <f t="shared" ca="1" si="1007"/>
        <v>1120390.6907566658</v>
      </c>
      <c r="R1040" s="2">
        <f t="shared" ca="1" si="1008"/>
        <v>26889376.578159977</v>
      </c>
      <c r="S1040" s="2">
        <f t="shared" ca="1" si="1009"/>
        <v>17926251.052106652</v>
      </c>
      <c r="T1040" s="2">
        <f t="shared" ca="1" si="1010"/>
        <v>49610038.750115938</v>
      </c>
      <c r="U1040" s="2">
        <f t="shared" ca="1" si="1011"/>
        <v>52108604.459362924</v>
      </c>
      <c r="V1040" s="2">
        <f t="shared" ca="1" si="1012"/>
        <v>54733008.219954111</v>
      </c>
      <c r="W1040" s="2">
        <f t="shared" ca="1" si="1013"/>
        <v>57489587.754010439</v>
      </c>
      <c r="X1040" s="2">
        <f t="shared" ca="1" si="1014"/>
        <v>60384999.977420166</v>
      </c>
      <c r="Y1040" s="2">
        <f t="shared" ca="1" si="1015"/>
        <v>0.12469345511520501</v>
      </c>
      <c r="Z1040" s="2">
        <f t="shared" ca="1" si="1016"/>
        <v>0.126570837161287</v>
      </c>
      <c r="AA1040" s="2">
        <f t="shared" ca="1" si="1017"/>
        <v>6186047.1401511626</v>
      </c>
      <c r="AB1040" s="2">
        <f t="shared" ca="1" si="1018"/>
        <v>6595429.6897279387</v>
      </c>
      <c r="AC1040" s="2">
        <f t="shared" ca="1" si="1019"/>
        <v>6927602.6707551945</v>
      </c>
      <c r="AD1040" s="2">
        <f t="shared" ca="1" si="1020"/>
        <v>7276505.2500823746</v>
      </c>
      <c r="AE1040" s="2">
        <f t="shared" ca="1" si="1021"/>
        <v>7642979.9991263673</v>
      </c>
      <c r="AF1040" s="2">
        <f t="shared" ca="1" si="1022"/>
        <v>992200.77500231878</v>
      </c>
      <c r="AG1040" s="2">
        <f t="shared" ca="1" si="1023"/>
        <v>1042172.0891872585</v>
      </c>
      <c r="AH1040" s="2">
        <f t="shared" ca="1" si="1024"/>
        <v>1094660.1643990823</v>
      </c>
      <c r="AI1040" s="2">
        <f t="shared" ca="1" si="1025"/>
        <v>1149791.7550802089</v>
      </c>
      <c r="AJ1040" s="2">
        <f t="shared" ca="1" si="1026"/>
        <v>1207699.9995484033</v>
      </c>
      <c r="AK1040" s="2">
        <f t="shared" ca="1" si="1027"/>
        <v>0</v>
      </c>
      <c r="AL1040" s="2">
        <f t="shared" ca="1" si="1028"/>
        <v>24985.657092469857</v>
      </c>
      <c r="AM1040" s="2">
        <f t="shared" ca="1" si="1029"/>
        <v>26244.037605911868</v>
      </c>
      <c r="AN1040" s="2">
        <f t="shared" ca="1" si="1030"/>
        <v>27565.795340563283</v>
      </c>
      <c r="AO1040" s="2">
        <f t="shared" ca="1" si="1031"/>
        <v>28954.122234097274</v>
      </c>
      <c r="AP1040" s="2">
        <f t="shared" ca="1" si="1032"/>
        <v>2420043.8920343979</v>
      </c>
      <c r="AQ1040" s="2">
        <f t="shared" ca="1" si="1033"/>
        <v>721188.64300975611</v>
      </c>
      <c r="AR1040" s="2">
        <f t="shared" ca="1" si="1034"/>
        <v>814635.56421163329</v>
      </c>
      <c r="AS1040" s="2">
        <f t="shared" ca="1" si="1035"/>
        <v>887353.63972364587</v>
      </c>
      <c r="AT1040" s="2">
        <f t="shared" ca="1" si="1036"/>
        <v>963734.09677161963</v>
      </c>
      <c r="AU1040" s="2">
        <f t="shared" ca="1" si="1037"/>
        <v>1043961.3879613271</v>
      </c>
      <c r="AV1040" s="2">
        <f t="shared" ca="1" si="1038"/>
        <v>2052613.8301046905</v>
      </c>
      <c r="AW1040" s="2">
        <f t="shared" ca="1" si="1039"/>
        <v>2293592.4872021792</v>
      </c>
      <c r="AX1040" s="2">
        <f t="shared" ca="1" si="1040"/>
        <v>2499300.9369921577</v>
      </c>
      <c r="AY1040" s="2">
        <f t="shared" ca="1" si="1041"/>
        <v>2715369.7108555851</v>
      </c>
      <c r="AZ1040" s="2">
        <f t="shared" ca="1" si="1042"/>
        <v>2942320.597348141</v>
      </c>
      <c r="BA1040" s="2">
        <f t="shared" ca="1" si="1043"/>
        <v>61117632.871065743</v>
      </c>
      <c r="BB1040" s="2">
        <f t="shared" ca="1" si="1044"/>
        <v>1222352.6574213149</v>
      </c>
      <c r="BC1040" s="2">
        <f t="shared" ca="1" si="1045"/>
        <v>33005903.63548445</v>
      </c>
      <c r="BD1040" s="2">
        <f t="shared" ca="1" si="1046"/>
        <v>-19546641.74286332</v>
      </c>
      <c r="BE1040" s="2">
        <f t="shared" ca="1" si="1047"/>
        <v>2052613.8301046905</v>
      </c>
      <c r="BF1040" s="2">
        <f t="shared" ca="1" si="1048"/>
        <v>2293592.4872021792</v>
      </c>
      <c r="BG1040" s="2">
        <f t="shared" ca="1" si="1049"/>
        <v>2499300.9369921577</v>
      </c>
      <c r="BH1040" s="2">
        <f t="shared" ca="1" si="1050"/>
        <v>2715369.7108555851</v>
      </c>
      <c r="BI1040" s="2">
        <f t="shared" ca="1" si="1051"/>
        <v>35948224.232832588</v>
      </c>
      <c r="BJ1040" s="2">
        <f t="shared" ca="1" si="1052"/>
        <v>0.21370729150222334</v>
      </c>
      <c r="BK1040" s="2">
        <f t="shared" ca="1" si="1053"/>
        <v>8017094.4914651401</v>
      </c>
    </row>
    <row r="1041" spans="1:63" x14ac:dyDescent="0.3">
      <c r="A1041" s="2">
        <v>1040</v>
      </c>
      <c r="B1041" s="2">
        <f t="shared" ca="1" si="992"/>
        <v>0.33867913203952871</v>
      </c>
      <c r="C1041" s="2">
        <f t="shared" ca="1" si="993"/>
        <v>6.8230177787138366</v>
      </c>
      <c r="D1041" s="2">
        <f t="shared" ca="1" si="994"/>
        <v>0.26093865738358468</v>
      </c>
      <c r="E1041" s="2">
        <f t="shared" ca="1" si="995"/>
        <v>7.2224107659546402</v>
      </c>
      <c r="F1041" s="2">
        <f t="shared" ca="1" si="996"/>
        <v>0.64112333475758843</v>
      </c>
      <c r="G1041" s="2">
        <f t="shared" ca="1" si="997"/>
        <v>5.0843891167920416E-2</v>
      </c>
      <c r="H1041" s="2">
        <f t="shared" ca="1" si="998"/>
        <v>5.0843891167920416E-2</v>
      </c>
      <c r="I1041" s="2">
        <f t="shared" ca="1" si="999"/>
        <v>0.26636261565501185</v>
      </c>
      <c r="J1041" s="2">
        <f t="shared" ca="1" si="1000"/>
        <v>6.8807433909240639E-3</v>
      </c>
      <c r="K1041" s="2">
        <f t="shared" ca="1" si="1001"/>
        <v>6.8807433909240639E-3</v>
      </c>
      <c r="L1041" s="2">
        <f t="shared" ca="1" si="1002"/>
        <v>0.75021668377340534</v>
      </c>
      <c r="M1041" s="2">
        <f t="shared" ca="1" si="1003"/>
        <v>1.3503435634002367E-2</v>
      </c>
      <c r="N1041" s="2">
        <f t="shared" ca="1" si="1004"/>
        <v>1.3503435634002367E-2</v>
      </c>
      <c r="O1041" s="2">
        <f t="shared" si="1005"/>
        <v>6000000</v>
      </c>
      <c r="P1041" s="2">
        <f t="shared" ca="1" si="1006"/>
        <v>40938106.672283016</v>
      </c>
      <c r="Q1041" s="2">
        <f t="shared" ca="1" si="1007"/>
        <v>1023452.6668070755</v>
      </c>
      <c r="R1041" s="2">
        <f t="shared" ca="1" si="1008"/>
        <v>24562864.003369808</v>
      </c>
      <c r="S1041" s="2">
        <f t="shared" ca="1" si="1009"/>
        <v>16375242.668913208</v>
      </c>
      <c r="T1041" s="2">
        <f t="shared" ca="1" si="1010"/>
        <v>50675171.781700127</v>
      </c>
      <c r="U1041" s="2">
        <f t="shared" ca="1" si="1011"/>
        <v>53251694.700684555</v>
      </c>
      <c r="V1041" s="2">
        <f t="shared" ca="1" si="1012"/>
        <v>55959218.070553482</v>
      </c>
      <c r="W1041" s="2">
        <f t="shared" ca="1" si="1013"/>
        <v>58804402.463974625</v>
      </c>
      <c r="X1041" s="2">
        <f t="shared" ca="1" si="1014"/>
        <v>61794247.103047535</v>
      </c>
      <c r="Y1041" s="2">
        <f t="shared" ca="1" si="1015"/>
        <v>0.12344037169546203</v>
      </c>
      <c r="Z1041" s="2">
        <f t="shared" ca="1" si="1016"/>
        <v>0.12481652037364684</v>
      </c>
      <c r="AA1041" s="2">
        <f t="shared" ca="1" si="1017"/>
        <v>6255362.0404644525</v>
      </c>
      <c r="AB1041" s="2">
        <f t="shared" ca="1" si="1018"/>
        <v>6646691.2365392148</v>
      </c>
      <c r="AC1041" s="2">
        <f t="shared" ca="1" si="1019"/>
        <v>6984634.8823965844</v>
      </c>
      <c r="AD1041" s="2">
        <f t="shared" ca="1" si="1020"/>
        <v>7339760.8982048165</v>
      </c>
      <c r="AE1041" s="2">
        <f t="shared" ca="1" si="1021"/>
        <v>7712942.9025117001</v>
      </c>
      <c r="AF1041" s="2">
        <f t="shared" ca="1" si="1022"/>
        <v>1013503.4356340026</v>
      </c>
      <c r="AG1041" s="2">
        <f t="shared" ca="1" si="1023"/>
        <v>1065033.8940136912</v>
      </c>
      <c r="AH1041" s="2">
        <f t="shared" ca="1" si="1024"/>
        <v>1119184.3614110698</v>
      </c>
      <c r="AI1041" s="2">
        <f t="shared" ca="1" si="1025"/>
        <v>1176088.0492794926</v>
      </c>
      <c r="AJ1041" s="2">
        <f t="shared" ca="1" si="1026"/>
        <v>1235884.9420609507</v>
      </c>
      <c r="AK1041" s="2">
        <f t="shared" ca="1" si="1027"/>
        <v>0</v>
      </c>
      <c r="AL1041" s="2">
        <f t="shared" ca="1" si="1028"/>
        <v>25765.229189844282</v>
      </c>
      <c r="AM1041" s="2">
        <f t="shared" ca="1" si="1029"/>
        <v>27075.233698689266</v>
      </c>
      <c r="AN1041" s="2">
        <f t="shared" ca="1" si="1030"/>
        <v>28451.843934211432</v>
      </c>
      <c r="AO1041" s="2">
        <f t="shared" ca="1" si="1031"/>
        <v>29898.446390729099</v>
      </c>
      <c r="AP1041" s="2">
        <f t="shared" ca="1" si="1032"/>
        <v>2210657.7603032826</v>
      </c>
      <c r="AQ1041" s="2">
        <f t="shared" ca="1" si="1033"/>
        <v>788112.21957706334</v>
      </c>
      <c r="AR1041" s="2">
        <f t="shared" ca="1" si="1034"/>
        <v>876459.89137778257</v>
      </c>
      <c r="AS1041" s="2">
        <f t="shared" ca="1" si="1035"/>
        <v>950246.11777738039</v>
      </c>
      <c r="AT1041" s="2">
        <f t="shared" ca="1" si="1036"/>
        <v>1027783.9230417309</v>
      </c>
      <c r="AU1041" s="2">
        <f t="shared" ca="1" si="1037"/>
        <v>1109264.0520383413</v>
      </c>
      <c r="AV1041" s="2">
        <f t="shared" ca="1" si="1038"/>
        <v>2243088.6249501039</v>
      </c>
      <c r="AW1041" s="2">
        <f t="shared" ca="1" si="1039"/>
        <v>2468774.4616546142</v>
      </c>
      <c r="AX1041" s="2">
        <f t="shared" ca="1" si="1040"/>
        <v>2677471.4092061627</v>
      </c>
      <c r="AY1041" s="2">
        <f t="shared" ca="1" si="1041"/>
        <v>2896779.3216460985</v>
      </c>
      <c r="AZ1041" s="2">
        <f t="shared" ca="1" si="1042"/>
        <v>3127237.701718396</v>
      </c>
      <c r="BA1041" s="2">
        <f t="shared" ca="1" si="1043"/>
        <v>55706041.856293932</v>
      </c>
      <c r="BB1041" s="2">
        <f t="shared" ca="1" si="1044"/>
        <v>1114120.8371258785</v>
      </c>
      <c r="BC1041" s="2">
        <f t="shared" ca="1" si="1045"/>
        <v>30029057.015798245</v>
      </c>
      <c r="BD1041" s="2">
        <f t="shared" ca="1" si="1046"/>
        <v>-17898695.335720282</v>
      </c>
      <c r="BE1041" s="2">
        <f t="shared" ca="1" si="1047"/>
        <v>2243088.6249501039</v>
      </c>
      <c r="BF1041" s="2">
        <f t="shared" ca="1" si="1048"/>
        <v>2468774.4616546142</v>
      </c>
      <c r="BG1041" s="2">
        <f t="shared" ca="1" si="1049"/>
        <v>2677471.4092061627</v>
      </c>
      <c r="BH1041" s="2">
        <f t="shared" ca="1" si="1050"/>
        <v>2896779.3216460985</v>
      </c>
      <c r="BI1041" s="2">
        <f t="shared" ca="1" si="1051"/>
        <v>33156294.717516642</v>
      </c>
      <c r="BJ1041" s="2">
        <f t="shared" ca="1" si="1052"/>
        <v>0.23064404187826826</v>
      </c>
      <c r="BK1041" s="2">
        <f t="shared" ca="1" si="1053"/>
        <v>8632653.2010665275</v>
      </c>
    </row>
    <row r="1042" spans="1:63" x14ac:dyDescent="0.3">
      <c r="A1042" s="2">
        <v>1041</v>
      </c>
      <c r="B1042" s="2">
        <f t="shared" ca="1" si="992"/>
        <v>0.67438987422475716</v>
      </c>
      <c r="C1042" s="2">
        <f t="shared" ca="1" si="993"/>
        <v>7.1930178121231636</v>
      </c>
      <c r="D1042" s="2">
        <f t="shared" ca="1" si="994"/>
        <v>5.7995117027251686E-2</v>
      </c>
      <c r="E1042" s="2">
        <f t="shared" ca="1" si="995"/>
        <v>6.8405733901151162</v>
      </c>
      <c r="F1042" s="2">
        <f t="shared" ca="1" si="996"/>
        <v>0.12849341666435132</v>
      </c>
      <c r="G1042" s="2">
        <f t="shared" ca="1" si="997"/>
        <v>5.9937485305334437E-3</v>
      </c>
      <c r="H1042" s="2">
        <f t="shared" ca="1" si="998"/>
        <v>5.9937485305334437E-3</v>
      </c>
      <c r="I1042" s="2">
        <f t="shared" ca="1" si="999"/>
        <v>0.8113170159069224</v>
      </c>
      <c r="J1042" s="2">
        <f t="shared" ca="1" si="1000"/>
        <v>1.4413799892693034E-2</v>
      </c>
      <c r="K1042" s="2">
        <f t="shared" ca="1" si="1001"/>
        <v>1.4413799892693034E-2</v>
      </c>
      <c r="L1042" s="2">
        <f t="shared" ca="1" si="1002"/>
        <v>0.34132708922762189</v>
      </c>
      <c r="M1042" s="2">
        <f t="shared" ca="1" si="1003"/>
        <v>-8.1768791577891044E-3</v>
      </c>
      <c r="N1042" s="2">
        <f t="shared" ca="1" si="1004"/>
        <v>-8.1768791577891044E-3</v>
      </c>
      <c r="O1042" s="2">
        <f t="shared" si="1005"/>
        <v>6000000</v>
      </c>
      <c r="P1042" s="2">
        <f t="shared" ca="1" si="1006"/>
        <v>43158106.87273898</v>
      </c>
      <c r="Q1042" s="2">
        <f t="shared" ca="1" si="1007"/>
        <v>1078952.6718184745</v>
      </c>
      <c r="R1042" s="2">
        <f t="shared" ca="1" si="1008"/>
        <v>25894864.123643387</v>
      </c>
      <c r="S1042" s="2">
        <f t="shared" ca="1" si="1009"/>
        <v>17263242.749095593</v>
      </c>
      <c r="T1042" s="2">
        <f t="shared" ca="1" si="1010"/>
        <v>49591156.042110547</v>
      </c>
      <c r="U1042" s="2">
        <f t="shared" ca="1" si="1011"/>
        <v>49888392.960765406</v>
      </c>
      <c r="V1042" s="2">
        <f t="shared" ca="1" si="1012"/>
        <v>50187411.44276467</v>
      </c>
      <c r="W1042" s="2">
        <f t="shared" ca="1" si="1013"/>
        <v>50488222.16635102</v>
      </c>
      <c r="X1042" s="2">
        <f t="shared" ca="1" si="1014"/>
        <v>50790835.873769835</v>
      </c>
      <c r="Y1042" s="2">
        <f t="shared" ca="1" si="1015"/>
        <v>0.12720689994634651</v>
      </c>
      <c r="Z1042" s="2">
        <f t="shared" ca="1" si="1016"/>
        <v>0.13008965992488511</v>
      </c>
      <c r="AA1042" s="2">
        <f t="shared" ca="1" si="1017"/>
        <v>6308337.224872414</v>
      </c>
      <c r="AB1042" s="2">
        <f t="shared" ca="1" si="1018"/>
        <v>6489964.0744650038</v>
      </c>
      <c r="AC1042" s="2">
        <f t="shared" ca="1" si="1019"/>
        <v>6528863.287099543</v>
      </c>
      <c r="AD1042" s="2">
        <f t="shared" ca="1" si="1020"/>
        <v>6567995.6518326504</v>
      </c>
      <c r="AE1042" s="2">
        <f t="shared" ca="1" si="1021"/>
        <v>6607362.5661193728</v>
      </c>
      <c r="AF1042" s="2">
        <f t="shared" ca="1" si="1022"/>
        <v>991823.12084221095</v>
      </c>
      <c r="AG1042" s="2">
        <f t="shared" ca="1" si="1023"/>
        <v>997767.8592153081</v>
      </c>
      <c r="AH1042" s="2">
        <f t="shared" ca="1" si="1024"/>
        <v>1003748.2288552934</v>
      </c>
      <c r="AI1042" s="2">
        <f t="shared" ca="1" si="1025"/>
        <v>1009764.4433270204</v>
      </c>
      <c r="AJ1042" s="2">
        <f t="shared" ca="1" si="1026"/>
        <v>1015816.7174753967</v>
      </c>
      <c r="AK1042" s="2">
        <f t="shared" ca="1" si="1027"/>
        <v>0</v>
      </c>
      <c r="AL1042" s="2">
        <f t="shared" ca="1" si="1028"/>
        <v>2972.3691865485907</v>
      </c>
      <c r="AM1042" s="2">
        <f t="shared" ca="1" si="1029"/>
        <v>2990.1848199926317</v>
      </c>
      <c r="AN1042" s="2">
        <f t="shared" ca="1" si="1030"/>
        <v>3008.107235863507</v>
      </c>
      <c r="AO1042" s="2">
        <f t="shared" ca="1" si="1031"/>
        <v>3026.1370741881433</v>
      </c>
      <c r="AP1042" s="2">
        <f t="shared" ca="1" si="1032"/>
        <v>2330537.7711279048</v>
      </c>
      <c r="AQ1042" s="2">
        <f t="shared" ca="1" si="1033"/>
        <v>776353.84655459761</v>
      </c>
      <c r="AR1042" s="2">
        <f t="shared" ca="1" si="1034"/>
        <v>822031.19547166571</v>
      </c>
      <c r="AS1042" s="2">
        <f t="shared" ca="1" si="1035"/>
        <v>830590.0946502497</v>
      </c>
      <c r="AT1042" s="2">
        <f t="shared" ca="1" si="1036"/>
        <v>839200.29371820868</v>
      </c>
      <c r="AU1042" s="2">
        <f t="shared" ca="1" si="1037"/>
        <v>847862.10015417857</v>
      </c>
      <c r="AV1042" s="2">
        <f t="shared" ca="1" si="1038"/>
        <v>2209622.4863477005</v>
      </c>
      <c r="AW1042" s="2">
        <f t="shared" ca="1" si="1039"/>
        <v>2336654.8794635767</v>
      </c>
      <c r="AX1042" s="2">
        <f t="shared" ca="1" si="1040"/>
        <v>2360997.0076461025</v>
      </c>
      <c r="AY1042" s="2">
        <f t="shared" ca="1" si="1041"/>
        <v>2385485.0364236534</v>
      </c>
      <c r="AZ1042" s="2">
        <f t="shared" ca="1" si="1042"/>
        <v>2410119.840287705</v>
      </c>
      <c r="BA1042" s="2">
        <f t="shared" ca="1" si="1043"/>
        <v>45198148.54863891</v>
      </c>
      <c r="BB1042" s="2">
        <f t="shared" ca="1" si="1044"/>
        <v>903962.97097277828</v>
      </c>
      <c r="BC1042" s="2">
        <f t="shared" ca="1" si="1045"/>
        <v>18399321.454022743</v>
      </c>
      <c r="BD1042" s="2">
        <f t="shared" ca="1" si="1046"/>
        <v>-18842195.420914069</v>
      </c>
      <c r="BE1042" s="2">
        <f t="shared" ca="1" si="1047"/>
        <v>2209622.4863477005</v>
      </c>
      <c r="BF1042" s="2">
        <f t="shared" ca="1" si="1048"/>
        <v>2336654.8794635767</v>
      </c>
      <c r="BG1042" s="2">
        <f t="shared" ca="1" si="1049"/>
        <v>2360997.0076461025</v>
      </c>
      <c r="BH1042" s="2">
        <f t="shared" ca="1" si="1050"/>
        <v>2385485.0364236534</v>
      </c>
      <c r="BI1042" s="2">
        <f t="shared" ca="1" si="1051"/>
        <v>20809441.294310447</v>
      </c>
      <c r="BJ1042" s="2">
        <f t="shared" ca="1" si="1052"/>
        <v>0.11996772872783024</v>
      </c>
      <c r="BK1042" s="2">
        <f t="shared" ca="1" si="1053"/>
        <v>-2185.4926108270884</v>
      </c>
    </row>
    <row r="1043" spans="1:63" x14ac:dyDescent="0.3">
      <c r="A1043" s="2">
        <v>1042</v>
      </c>
      <c r="B1043" s="2">
        <f t="shared" ca="1" si="992"/>
        <v>0.13331151132710128</v>
      </c>
      <c r="C1043" s="2">
        <f t="shared" ca="1" si="993"/>
        <v>6.5163555196317775</v>
      </c>
      <c r="D1043" s="2">
        <f t="shared" ca="1" si="994"/>
        <v>0.33542461390672496</v>
      </c>
      <c r="E1043" s="2">
        <f t="shared" ca="1" si="995"/>
        <v>7.3190538613628835</v>
      </c>
      <c r="F1043" s="2">
        <f t="shared" ca="1" si="996"/>
        <v>0.88370125640260921</v>
      </c>
      <c r="G1043" s="2">
        <f t="shared" ca="1" si="997"/>
        <v>7.58108354238929E-2</v>
      </c>
      <c r="H1043" s="2">
        <f t="shared" ca="1" si="998"/>
        <v>7.58108354238929E-2</v>
      </c>
      <c r="I1043" s="2">
        <f t="shared" ca="1" si="999"/>
        <v>0.47118226155595333</v>
      </c>
      <c r="J1043" s="2">
        <f t="shared" ca="1" si="1000"/>
        <v>9.638508534873259E-3</v>
      </c>
      <c r="K1043" s="2">
        <f t="shared" ca="1" si="1001"/>
        <v>9.638508534873259E-3</v>
      </c>
      <c r="L1043" s="2">
        <f t="shared" ca="1" si="1002"/>
        <v>0.17179135203511375</v>
      </c>
      <c r="M1043" s="2">
        <f t="shared" ca="1" si="1003"/>
        <v>-1.8942201001787892E-2</v>
      </c>
      <c r="N1043" s="2">
        <f t="shared" ca="1" si="1004"/>
        <v>-1.8942201001787892E-2</v>
      </c>
      <c r="O1043" s="2">
        <f t="shared" si="1005"/>
        <v>6000000</v>
      </c>
      <c r="P1043" s="2">
        <f t="shared" ca="1" si="1006"/>
        <v>39098133.117790662</v>
      </c>
      <c r="Q1043" s="2">
        <f t="shared" ca="1" si="1007"/>
        <v>977453.32794476661</v>
      </c>
      <c r="R1043" s="2">
        <f t="shared" ca="1" si="1008"/>
        <v>23458879.870674398</v>
      </c>
      <c r="S1043" s="2">
        <f t="shared" ca="1" si="1009"/>
        <v>15639253.247116266</v>
      </c>
      <c r="T1043" s="2">
        <f t="shared" ca="1" si="1010"/>
        <v>49052889.949910603</v>
      </c>
      <c r="U1043" s="2">
        <f t="shared" ca="1" si="1011"/>
        <v>52771630.516969606</v>
      </c>
      <c r="V1043" s="2">
        <f t="shared" ca="1" si="1012"/>
        <v>56772291.91314207</v>
      </c>
      <c r="W1043" s="2">
        <f t="shared" ca="1" si="1013"/>
        <v>61076246.792006485</v>
      </c>
      <c r="X1043" s="2">
        <f t="shared" ca="1" si="1014"/>
        <v>65706488.085864358</v>
      </c>
      <c r="Y1043" s="2">
        <f t="shared" ca="1" si="1015"/>
        <v>0.12481925426743662</v>
      </c>
      <c r="Z1043" s="2">
        <f t="shared" ca="1" si="1016"/>
        <v>0.12674695597441127</v>
      </c>
      <c r="AA1043" s="2">
        <f t="shared" ca="1" si="1017"/>
        <v>6122745.1432104781</v>
      </c>
      <c r="AB1043" s="2">
        <f t="shared" ca="1" si="1018"/>
        <v>6688643.5298322449</v>
      </c>
      <c r="AC1043" s="2">
        <f t="shared" ca="1" si="1019"/>
        <v>7195715.1836814424</v>
      </c>
      <c r="AD1043" s="2">
        <f t="shared" ca="1" si="1020"/>
        <v>7741228.3632287234</v>
      </c>
      <c r="AE1043" s="2">
        <f t="shared" ca="1" si="1021"/>
        <v>8328097.3526522284</v>
      </c>
      <c r="AF1043" s="2">
        <f t="shared" ca="1" si="1022"/>
        <v>981057.79899821209</v>
      </c>
      <c r="AG1043" s="2">
        <f t="shared" ca="1" si="1023"/>
        <v>1055432.6103393922</v>
      </c>
      <c r="AH1043" s="2">
        <f t="shared" ca="1" si="1024"/>
        <v>1135445.8382628413</v>
      </c>
      <c r="AI1043" s="2">
        <f t="shared" ca="1" si="1025"/>
        <v>1221524.9358401296</v>
      </c>
      <c r="AJ1043" s="2">
        <f t="shared" ca="1" si="1026"/>
        <v>1314129.7617172871</v>
      </c>
      <c r="AK1043" s="2">
        <f t="shared" ca="1" si="1027"/>
        <v>0</v>
      </c>
      <c r="AL1043" s="2">
        <f t="shared" ca="1" si="1028"/>
        <v>37187.405670590029</v>
      </c>
      <c r="AM1043" s="2">
        <f t="shared" ca="1" si="1029"/>
        <v>40006.613961724637</v>
      </c>
      <c r="AN1043" s="2">
        <f t="shared" ca="1" si="1030"/>
        <v>43039.548788644148</v>
      </c>
      <c r="AO1043" s="2">
        <f t="shared" ca="1" si="1031"/>
        <v>46302.412938578724</v>
      </c>
      <c r="AP1043" s="2">
        <f t="shared" ca="1" si="1032"/>
        <v>2111299.1883606957</v>
      </c>
      <c r="AQ1043" s="2">
        <f t="shared" ca="1" si="1033"/>
        <v>787900.9205214082</v>
      </c>
      <c r="AR1043" s="2">
        <f t="shared" ca="1" si="1034"/>
        <v>915697.05009436083</v>
      </c>
      <c r="AS1043" s="2">
        <f t="shared" ca="1" si="1035"/>
        <v>1026732.2408350555</v>
      </c>
      <c r="AT1043" s="2">
        <f t="shared" ca="1" si="1036"/>
        <v>1146185.1021472535</v>
      </c>
      <c r="AU1043" s="2">
        <f t="shared" ca="1" si="1037"/>
        <v>1274693.784669304</v>
      </c>
      <c r="AV1043" s="2">
        <f t="shared" ca="1" si="1038"/>
        <v>2242487.2353301616</v>
      </c>
      <c r="AW1043" s="2">
        <f t="shared" ca="1" si="1039"/>
        <v>2569027.2753672069</v>
      </c>
      <c r="AX1043" s="2">
        <f t="shared" ca="1" si="1040"/>
        <v>2882231.3022611253</v>
      </c>
      <c r="AY1043" s="2">
        <f t="shared" ca="1" si="1041"/>
        <v>3219179.5880920002</v>
      </c>
      <c r="AZ1043" s="2">
        <f t="shared" ca="1" si="1042"/>
        <v>3581672.2049663626</v>
      </c>
      <c r="BA1043" s="2">
        <f t="shared" ca="1" si="1043"/>
        <v>60953793.086735301</v>
      </c>
      <c r="BB1043" s="2">
        <f t="shared" ca="1" si="1044"/>
        <v>1219075.861734706</v>
      </c>
      <c r="BC1043" s="2">
        <f t="shared" ca="1" si="1045"/>
        <v>36275837.354326203</v>
      </c>
      <c r="BD1043" s="2">
        <f t="shared" ca="1" si="1046"/>
        <v>-17116706.575061031</v>
      </c>
      <c r="BE1043" s="2">
        <f t="shared" ca="1" si="1047"/>
        <v>2242487.2353301616</v>
      </c>
      <c r="BF1043" s="2">
        <f t="shared" ca="1" si="1048"/>
        <v>2569027.2753672069</v>
      </c>
      <c r="BG1043" s="2">
        <f t="shared" ca="1" si="1049"/>
        <v>2882231.3022611253</v>
      </c>
      <c r="BH1043" s="2">
        <f t="shared" ca="1" si="1050"/>
        <v>3219179.5880920002</v>
      </c>
      <c r="BI1043" s="2">
        <f t="shared" ca="1" si="1051"/>
        <v>39857509.55929257</v>
      </c>
      <c r="BJ1043" s="2">
        <f t="shared" ca="1" si="1052"/>
        <v>0.28681867030880248</v>
      </c>
      <c r="BK1043" s="2">
        <f t="shared" ca="1" si="1053"/>
        <v>13647110.448400456</v>
      </c>
    </row>
    <row r="1044" spans="1:63" x14ac:dyDescent="0.3">
      <c r="A1044" s="2">
        <v>1043</v>
      </c>
      <c r="B1044" s="2">
        <f t="shared" ca="1" si="992"/>
        <v>0.84853085837927344</v>
      </c>
      <c r="C1044" s="2">
        <f t="shared" ca="1" si="993"/>
        <v>7.4496017049068435</v>
      </c>
      <c r="D1044" s="2">
        <f t="shared" ca="1" si="994"/>
        <v>0.79087295554315806</v>
      </c>
      <c r="E1044" s="2">
        <f t="shared" ca="1" si="995"/>
        <v>7.8532743325693009</v>
      </c>
      <c r="F1044" s="2">
        <f t="shared" ca="1" si="996"/>
        <v>0.61602418061528419</v>
      </c>
      <c r="G1044" s="2">
        <f t="shared" ca="1" si="997"/>
        <v>4.8851658882111994E-2</v>
      </c>
      <c r="H1044" s="2">
        <f t="shared" ca="1" si="998"/>
        <v>4.8851658882111994E-2</v>
      </c>
      <c r="I1044" s="2">
        <f t="shared" ca="1" si="999"/>
        <v>0.75107727011835523</v>
      </c>
      <c r="J1044" s="2">
        <f t="shared" ca="1" si="1000"/>
        <v>1.3389418310286489E-2</v>
      </c>
      <c r="K1044" s="2">
        <f t="shared" ca="1" si="1001"/>
        <v>1.3389418310286489E-2</v>
      </c>
      <c r="L1044" s="2">
        <f t="shared" ca="1" si="1002"/>
        <v>0.47504534607528459</v>
      </c>
      <c r="M1044" s="2">
        <f t="shared" ca="1" si="1003"/>
        <v>-1.2518577780107005E-3</v>
      </c>
      <c r="N1044" s="2">
        <f t="shared" ca="1" si="1004"/>
        <v>-1.2518577780107005E-3</v>
      </c>
      <c r="O1044" s="2">
        <f t="shared" si="1005"/>
        <v>6000000</v>
      </c>
      <c r="P1044" s="2">
        <f t="shared" ca="1" si="1006"/>
        <v>44697610.229441062</v>
      </c>
      <c r="Q1044" s="2">
        <f t="shared" ca="1" si="1007"/>
        <v>1117440.2557360267</v>
      </c>
      <c r="R1044" s="2">
        <f t="shared" ca="1" si="1008"/>
        <v>26818566.137664635</v>
      </c>
      <c r="S1044" s="2">
        <f t="shared" ca="1" si="1009"/>
        <v>17879044.091776427</v>
      </c>
      <c r="T1044" s="2">
        <f t="shared" ca="1" si="1010"/>
        <v>49937407.111099467</v>
      </c>
      <c r="U1044" s="2">
        <f t="shared" ca="1" si="1011"/>
        <v>52376932.288748048</v>
      </c>
      <c r="V1044" s="2">
        <f t="shared" ca="1" si="1012"/>
        <v>54935632.318209447</v>
      </c>
      <c r="W1044" s="2">
        <f t="shared" ca="1" si="1013"/>
        <v>57619329.088691741</v>
      </c>
      <c r="X1044" s="2">
        <f t="shared" ca="1" si="1014"/>
        <v>60434128.898348659</v>
      </c>
      <c r="Y1044" s="2">
        <f t="shared" ca="1" si="1015"/>
        <v>0.12669470915514325</v>
      </c>
      <c r="Z1044" s="2">
        <f t="shared" ca="1" si="1016"/>
        <v>0.12937259281720054</v>
      </c>
      <c r="AA1044" s="2">
        <f t="shared" ca="1" si="1017"/>
        <v>6326805.2699027294</v>
      </c>
      <c r="AB1044" s="2">
        <f t="shared" ca="1" si="1018"/>
        <v>6776139.5340062845</v>
      </c>
      <c r="AC1044" s="2">
        <f t="shared" ca="1" si="1019"/>
        <v>7107165.1910591535</v>
      </c>
      <c r="AD1044" s="2">
        <f t="shared" ca="1" si="1020"/>
        <v>7454362.0005915947</v>
      </c>
      <c r="AE1044" s="2">
        <f t="shared" ca="1" si="1021"/>
        <v>7818519.9502282729</v>
      </c>
      <c r="AF1044" s="2">
        <f t="shared" ca="1" si="1022"/>
        <v>998748.14222198934</v>
      </c>
      <c r="AG1044" s="2">
        <f t="shared" ca="1" si="1023"/>
        <v>1047538.645774961</v>
      </c>
      <c r="AH1044" s="2">
        <f t="shared" ca="1" si="1024"/>
        <v>1098712.646364189</v>
      </c>
      <c r="AI1044" s="2">
        <f t="shared" ca="1" si="1025"/>
        <v>1152386.5817738348</v>
      </c>
      <c r="AJ1044" s="2">
        <f t="shared" ca="1" si="1026"/>
        <v>1208682.5779669732</v>
      </c>
      <c r="AK1044" s="2">
        <f t="shared" ca="1" si="1027"/>
        <v>0</v>
      </c>
      <c r="AL1044" s="2">
        <f t="shared" ca="1" si="1028"/>
        <v>24395.251776485817</v>
      </c>
      <c r="AM1044" s="2">
        <f t="shared" ca="1" si="1029"/>
        <v>25587.000294613987</v>
      </c>
      <c r="AN1044" s="2">
        <f t="shared" ca="1" si="1030"/>
        <v>26836.967704822942</v>
      </c>
      <c r="AO1044" s="2">
        <f t="shared" ca="1" si="1031"/>
        <v>28147.998096569179</v>
      </c>
      <c r="AP1044" s="2">
        <f t="shared" ca="1" si="1032"/>
        <v>2413670.9523898172</v>
      </c>
      <c r="AQ1044" s="2">
        <f t="shared" ca="1" si="1033"/>
        <v>757740.40557564003</v>
      </c>
      <c r="AR1044" s="2">
        <f t="shared" ca="1" si="1034"/>
        <v>861881.78331879177</v>
      </c>
      <c r="AS1044" s="2">
        <f t="shared" ca="1" si="1035"/>
        <v>934643.21399933845</v>
      </c>
      <c r="AT1044" s="2">
        <f t="shared" ca="1" si="1036"/>
        <v>1010959.1612712652</v>
      </c>
      <c r="AU1044" s="2">
        <f t="shared" ca="1" si="1037"/>
        <v>1091003.2691665855</v>
      </c>
      <c r="AV1044" s="2">
        <f t="shared" ca="1" si="1038"/>
        <v>2156645.7697152835</v>
      </c>
      <c r="AW1044" s="2">
        <f t="shared" ca="1" si="1039"/>
        <v>2428652.9007462296</v>
      </c>
      <c r="AX1044" s="2">
        <f t="shared" ca="1" si="1040"/>
        <v>2634551.3780111955</v>
      </c>
      <c r="AY1044" s="2">
        <f t="shared" ca="1" si="1041"/>
        <v>2850508.3374518552</v>
      </c>
      <c r="AZ1044" s="2">
        <f t="shared" ca="1" si="1042"/>
        <v>3077015.152608328</v>
      </c>
      <c r="BA1044" s="2">
        <f t="shared" ca="1" si="1043"/>
        <v>61400982.043808706</v>
      </c>
      <c r="BB1044" s="2">
        <f t="shared" ca="1" si="1044"/>
        <v>1228019.6408761742</v>
      </c>
      <c r="BC1044" s="2">
        <f t="shared" ca="1" si="1045"/>
        <v>33354396.265267894</v>
      </c>
      <c r="BD1044" s="2">
        <f t="shared" ca="1" si="1046"/>
        <v>-19496484.347512454</v>
      </c>
      <c r="BE1044" s="2">
        <f t="shared" ca="1" si="1047"/>
        <v>2156645.7697152835</v>
      </c>
      <c r="BF1044" s="2">
        <f t="shared" ca="1" si="1048"/>
        <v>2428652.9007462296</v>
      </c>
      <c r="BG1044" s="2">
        <f t="shared" ca="1" si="1049"/>
        <v>2634551.3780111955</v>
      </c>
      <c r="BH1044" s="2">
        <f t="shared" ca="1" si="1050"/>
        <v>2850508.3374518552</v>
      </c>
      <c r="BI1044" s="2">
        <f t="shared" ca="1" si="1051"/>
        <v>36431411.417876221</v>
      </c>
      <c r="BJ1044" s="2">
        <f t="shared" ca="1" si="1052"/>
        <v>0.22179666289661348</v>
      </c>
      <c r="BK1044" s="2">
        <f t="shared" ca="1" si="1053"/>
        <v>8724131.8998103999</v>
      </c>
    </row>
    <row r="1045" spans="1:63" x14ac:dyDescent="0.3">
      <c r="A1045" s="2">
        <v>1044</v>
      </c>
      <c r="B1045" s="2">
        <f t="shared" ca="1" si="992"/>
        <v>7.1992861566378852E-2</v>
      </c>
      <c r="C1045" s="2">
        <f t="shared" ca="1" si="993"/>
        <v>6.3794545073296112</v>
      </c>
      <c r="D1045" s="2">
        <f t="shared" ca="1" si="994"/>
        <v>0.82911305376405253</v>
      </c>
      <c r="E1045" s="2">
        <f t="shared" ca="1" si="995"/>
        <v>7.9153856891318046</v>
      </c>
      <c r="F1045" s="2">
        <f t="shared" ca="1" si="996"/>
        <v>0.93490644482152163</v>
      </c>
      <c r="G1045" s="2">
        <f t="shared" ca="1" si="997"/>
        <v>8.5400933445543559E-2</v>
      </c>
      <c r="H1045" s="2">
        <f t="shared" ca="1" si="998"/>
        <v>8.5400933445543559E-2</v>
      </c>
      <c r="I1045" s="2">
        <f t="shared" ca="1" si="999"/>
        <v>0.76674867595610752</v>
      </c>
      <c r="J1045" s="2">
        <f t="shared" ca="1" si="1000"/>
        <v>1.3640906200490499E-2</v>
      </c>
      <c r="K1045" s="2">
        <f t="shared" ca="1" si="1001"/>
        <v>1.3640906200490499E-2</v>
      </c>
      <c r="L1045" s="2">
        <f t="shared" ca="1" si="1002"/>
        <v>0.57257255493185644</v>
      </c>
      <c r="M1045" s="2">
        <f t="shared" ca="1" si="1003"/>
        <v>3.6585503808229131E-3</v>
      </c>
      <c r="N1045" s="2">
        <f t="shared" ca="1" si="1004"/>
        <v>3.6585503808229131E-3</v>
      </c>
      <c r="O1045" s="2">
        <f t="shared" si="1005"/>
        <v>6000000</v>
      </c>
      <c r="P1045" s="2">
        <f t="shared" ca="1" si="1006"/>
        <v>38276727.04397767</v>
      </c>
      <c r="Q1045" s="2">
        <f t="shared" ca="1" si="1007"/>
        <v>956918.17609944183</v>
      </c>
      <c r="R1045" s="2">
        <f t="shared" ca="1" si="1008"/>
        <v>22966036.226386603</v>
      </c>
      <c r="S1045" s="2">
        <f t="shared" ca="1" si="1009"/>
        <v>15310690.817591069</v>
      </c>
      <c r="T1045" s="2">
        <f t="shared" ca="1" si="1010"/>
        <v>50182927.519041143</v>
      </c>
      <c r="U1045" s="2">
        <f t="shared" ca="1" si="1011"/>
        <v>54468596.372197308</v>
      </c>
      <c r="V1045" s="2">
        <f t="shared" ca="1" si="1012"/>
        <v>59120265.345851496</v>
      </c>
      <c r="W1045" s="2">
        <f t="shared" ca="1" si="1013"/>
        <v>64169191.191935427</v>
      </c>
      <c r="X1045" s="2">
        <f t="shared" ca="1" si="1014"/>
        <v>69649300.018172264</v>
      </c>
      <c r="Y1045" s="2">
        <f t="shared" ca="1" si="1015"/>
        <v>0.12682045310024526</v>
      </c>
      <c r="Z1045" s="2">
        <f t="shared" ca="1" si="1016"/>
        <v>0.12954863434034333</v>
      </c>
      <c r="AA1045" s="2">
        <f t="shared" ca="1" si="1017"/>
        <v>6364221.6058615642</v>
      </c>
      <c r="AB1045" s="2">
        <f t="shared" ca="1" si="1018"/>
        <v>7056332.2744535403</v>
      </c>
      <c r="AC1045" s="2">
        <f t="shared" ca="1" si="1019"/>
        <v>7658949.6373937866</v>
      </c>
      <c r="AD1045" s="2">
        <f t="shared" ca="1" si="1020"/>
        <v>8313031.085639623</v>
      </c>
      <c r="AE1045" s="2">
        <f t="shared" ca="1" si="1021"/>
        <v>9022971.700115066</v>
      </c>
      <c r="AF1045" s="2">
        <f t="shared" ca="1" si="1022"/>
        <v>1003658.5503808229</v>
      </c>
      <c r="AG1045" s="2">
        <f t="shared" ca="1" si="1023"/>
        <v>1089371.9274439462</v>
      </c>
      <c r="AH1045" s="2">
        <f t="shared" ca="1" si="1024"/>
        <v>1182405.3069170299</v>
      </c>
      <c r="AI1045" s="2">
        <f t="shared" ca="1" si="1025"/>
        <v>1283383.8238387087</v>
      </c>
      <c r="AJ1045" s="2">
        <f t="shared" ca="1" si="1026"/>
        <v>1392986.0003634454</v>
      </c>
      <c r="AK1045" s="2">
        <f t="shared" ca="1" si="1027"/>
        <v>0</v>
      </c>
      <c r="AL1045" s="2">
        <f t="shared" ca="1" si="1028"/>
        <v>42856.688531561646</v>
      </c>
      <c r="AM1045" s="2">
        <f t="shared" ca="1" si="1029"/>
        <v>46516.689736541884</v>
      </c>
      <c r="AN1045" s="2">
        <f t="shared" ca="1" si="1030"/>
        <v>50489.258460839315</v>
      </c>
      <c r="AO1045" s="2">
        <f t="shared" ca="1" si="1031"/>
        <v>54801.088262368365</v>
      </c>
      <c r="AP1045" s="2">
        <f t="shared" ca="1" si="1032"/>
        <v>2066943.2603747942</v>
      </c>
      <c r="AQ1045" s="2">
        <f t="shared" ca="1" si="1033"/>
        <v>856341.14672754612</v>
      </c>
      <c r="AR1045" s="2">
        <f t="shared" ca="1" si="1034"/>
        <v>1014004.4425250479</v>
      </c>
      <c r="AS1045" s="2">
        <f t="shared" ca="1" si="1035"/>
        <v>1146496.2782265106</v>
      </c>
      <c r="AT1045" s="2">
        <f t="shared" ca="1" si="1036"/>
        <v>1290303.040370791</v>
      </c>
      <c r="AU1045" s="2">
        <f t="shared" ca="1" si="1037"/>
        <v>1446391.0342379753</v>
      </c>
      <c r="AV1045" s="2">
        <f t="shared" ca="1" si="1038"/>
        <v>2437278.6483784006</v>
      </c>
      <c r="AW1045" s="2">
        <f t="shared" ca="1" si="1039"/>
        <v>2843155.9555781898</v>
      </c>
      <c r="AX1045" s="2">
        <f t="shared" ca="1" si="1040"/>
        <v>3216588.10213891</v>
      </c>
      <c r="AY1045" s="2">
        <f t="shared" ca="1" si="1041"/>
        <v>3621911.7025944893</v>
      </c>
      <c r="AZ1045" s="2">
        <f t="shared" ca="1" si="1042"/>
        <v>4061850.3168764836</v>
      </c>
      <c r="BA1045" s="2">
        <f t="shared" ca="1" si="1043"/>
        <v>71420301.068532065</v>
      </c>
      <c r="BB1045" s="2">
        <f t="shared" ca="1" si="1044"/>
        <v>1428406.0213706414</v>
      </c>
      <c r="BC1045" s="2">
        <f t="shared" ca="1" si="1045"/>
        <v>47025858.820774816</v>
      </c>
      <c r="BD1045" s="2">
        <f t="shared" ca="1" si="1046"/>
        <v>-16767608.993690511</v>
      </c>
      <c r="BE1045" s="2">
        <f t="shared" ca="1" si="1047"/>
        <v>2437278.6483784006</v>
      </c>
      <c r="BF1045" s="2">
        <f t="shared" ca="1" si="1048"/>
        <v>2843155.9555781898</v>
      </c>
      <c r="BG1045" s="2">
        <f t="shared" ca="1" si="1049"/>
        <v>3216588.10213891</v>
      </c>
      <c r="BH1045" s="2">
        <f t="shared" ca="1" si="1050"/>
        <v>3621911.7025944893</v>
      </c>
      <c r="BI1045" s="2">
        <f t="shared" ca="1" si="1051"/>
        <v>51087709.137651302</v>
      </c>
      <c r="BJ1045" s="2">
        <f t="shared" ca="1" si="1052"/>
        <v>0.3575987565016252</v>
      </c>
      <c r="BK1045" s="2">
        <f t="shared" ca="1" si="1053"/>
        <v>21254911.581039749</v>
      </c>
    </row>
    <row r="1046" spans="1:63" x14ac:dyDescent="0.3">
      <c r="A1046" s="2">
        <v>1045</v>
      </c>
      <c r="B1046" s="2">
        <f t="shared" ca="1" si="992"/>
        <v>0.79894443280992022</v>
      </c>
      <c r="C1046" s="2">
        <f t="shared" ca="1" si="993"/>
        <v>7.3658776660768366</v>
      </c>
      <c r="D1046" s="2">
        <f t="shared" ca="1" si="994"/>
        <v>0.47037232745347968</v>
      </c>
      <c r="E1046" s="2">
        <f t="shared" ca="1" si="995"/>
        <v>7.4699199219043599</v>
      </c>
      <c r="F1046" s="2">
        <f t="shared" ca="1" si="996"/>
        <v>0.62764939144355314</v>
      </c>
      <c r="G1046" s="2">
        <f t="shared" ca="1" si="997"/>
        <v>4.976902268398313E-2</v>
      </c>
      <c r="H1046" s="2">
        <f t="shared" ca="1" si="998"/>
        <v>4.976902268398313E-2</v>
      </c>
      <c r="I1046" s="2">
        <f t="shared" ca="1" si="999"/>
        <v>0.25872613677322898</v>
      </c>
      <c r="J1046" s="2">
        <f t="shared" ca="1" si="1000"/>
        <v>6.763611825251226E-3</v>
      </c>
      <c r="K1046" s="2">
        <f t="shared" ca="1" si="1001"/>
        <v>6.763611825251226E-3</v>
      </c>
      <c r="L1046" s="2">
        <f t="shared" ca="1" si="1002"/>
        <v>0.7917271295873114</v>
      </c>
      <c r="M1046" s="2">
        <f t="shared" ca="1" si="1003"/>
        <v>1.6248572002609964E-2</v>
      </c>
      <c r="N1046" s="2">
        <f t="shared" ca="1" si="1004"/>
        <v>1.6248572002609964E-2</v>
      </c>
      <c r="O1046" s="2">
        <f t="shared" si="1005"/>
        <v>6000000</v>
      </c>
      <c r="P1046" s="2">
        <f t="shared" ca="1" si="1006"/>
        <v>44195265.996461019</v>
      </c>
      <c r="Q1046" s="2">
        <f t="shared" ca="1" si="1007"/>
        <v>1104881.6499115254</v>
      </c>
      <c r="R1046" s="2">
        <f t="shared" ca="1" si="1008"/>
        <v>26517159.597876612</v>
      </c>
      <c r="S1046" s="2">
        <f t="shared" ca="1" si="1009"/>
        <v>17678106.398584407</v>
      </c>
      <c r="T1046" s="2">
        <f t="shared" ca="1" si="1010"/>
        <v>50812428.600130498</v>
      </c>
      <c r="U1046" s="2">
        <f t="shared" ca="1" si="1011"/>
        <v>53341313.511758663</v>
      </c>
      <c r="V1046" s="2">
        <f t="shared" ca="1" si="1012"/>
        <v>55996058.553918831</v>
      </c>
      <c r="W1046" s="2">
        <f t="shared" ca="1" si="1013"/>
        <v>58782927.662302464</v>
      </c>
      <c r="X1046" s="2">
        <f t="shared" ca="1" si="1014"/>
        <v>61708496.522558533</v>
      </c>
      <c r="Y1046" s="2">
        <f t="shared" ca="1" si="1015"/>
        <v>0.12338180591262561</v>
      </c>
      <c r="Z1046" s="2">
        <f t="shared" ca="1" si="1016"/>
        <v>0.12473452827767585</v>
      </c>
      <c r="AA1046" s="2">
        <f t="shared" ca="1" si="1017"/>
        <v>6269329.2034904482</v>
      </c>
      <c r="AB1046" s="2">
        <f t="shared" ca="1" si="1018"/>
        <v>6653503.5786008341</v>
      </c>
      <c r="AC1046" s="2">
        <f t="shared" ca="1" si="1019"/>
        <v>6984641.9491321808</v>
      </c>
      <c r="AD1046" s="2">
        <f t="shared" ca="1" si="1020"/>
        <v>7332260.7527380409</v>
      </c>
      <c r="AE1046" s="2">
        <f t="shared" ca="1" si="1021"/>
        <v>7697180.2044659397</v>
      </c>
      <c r="AF1046" s="2">
        <f t="shared" ca="1" si="1022"/>
        <v>1016248.57200261</v>
      </c>
      <c r="AG1046" s="2">
        <f t="shared" ca="1" si="1023"/>
        <v>1066826.2702351732</v>
      </c>
      <c r="AH1046" s="2">
        <f t="shared" ca="1" si="1024"/>
        <v>1119921.1710783767</v>
      </c>
      <c r="AI1046" s="2">
        <f t="shared" ca="1" si="1025"/>
        <v>1175658.5532460492</v>
      </c>
      <c r="AJ1046" s="2">
        <f t="shared" ca="1" si="1026"/>
        <v>1234169.9304511708</v>
      </c>
      <c r="AK1046" s="2">
        <f t="shared" ca="1" si="1027"/>
        <v>0</v>
      </c>
      <c r="AL1046" s="2">
        <f t="shared" ca="1" si="1028"/>
        <v>25288.849116281643</v>
      </c>
      <c r="AM1046" s="2">
        <f t="shared" ca="1" si="1029"/>
        <v>26547.450421601683</v>
      </c>
      <c r="AN1046" s="2">
        <f t="shared" ca="1" si="1030"/>
        <v>27868.691083836333</v>
      </c>
      <c r="AO1046" s="2">
        <f t="shared" ca="1" si="1031"/>
        <v>29255.688602560684</v>
      </c>
      <c r="AP1046" s="2">
        <f t="shared" ca="1" si="1032"/>
        <v>2386544.363808895</v>
      </c>
      <c r="AQ1046" s="2">
        <f t="shared" ca="1" si="1033"/>
        <v>745299.42959652515</v>
      </c>
      <c r="AR1046" s="2">
        <f t="shared" ca="1" si="1034"/>
        <v>832034.56558475911</v>
      </c>
      <c r="AS1046" s="2">
        <f t="shared" ca="1" si="1035"/>
        <v>904325.86770367646</v>
      </c>
      <c r="AT1046" s="2">
        <f t="shared" ca="1" si="1036"/>
        <v>980215.03727760515</v>
      </c>
      <c r="AU1046" s="2">
        <f t="shared" ca="1" si="1037"/>
        <v>1059881.1366535274</v>
      </c>
      <c r="AV1046" s="2">
        <f t="shared" ca="1" si="1038"/>
        <v>2121236.8380824174</v>
      </c>
      <c r="AW1046" s="2">
        <f t="shared" ca="1" si="1039"/>
        <v>2342809.5298557249</v>
      </c>
      <c r="AX1046" s="2">
        <f t="shared" ca="1" si="1040"/>
        <v>2547303.0961196315</v>
      </c>
      <c r="AY1046" s="2">
        <f t="shared" ca="1" si="1041"/>
        <v>2761974.1073216549</v>
      </c>
      <c r="AZ1046" s="2">
        <f t="shared" ca="1" si="1042"/>
        <v>2987329.0849497854</v>
      </c>
      <c r="BA1046" s="2">
        <f t="shared" ca="1" si="1043"/>
        <v>57497319.751828</v>
      </c>
      <c r="BB1046" s="2">
        <f t="shared" ca="1" si="1044"/>
        <v>1149946.39503656</v>
      </c>
      <c r="BC1046" s="2">
        <f t="shared" ca="1" si="1045"/>
        <v>29830213.758914828</v>
      </c>
      <c r="BD1046" s="2">
        <f t="shared" ca="1" si="1046"/>
        <v>-19282988.048495933</v>
      </c>
      <c r="BE1046" s="2">
        <f t="shared" ca="1" si="1047"/>
        <v>2121236.8380824174</v>
      </c>
      <c r="BF1046" s="2">
        <f t="shared" ca="1" si="1048"/>
        <v>2342809.5298557249</v>
      </c>
      <c r="BG1046" s="2">
        <f t="shared" ca="1" si="1049"/>
        <v>2547303.0961196315</v>
      </c>
      <c r="BH1046" s="2">
        <f t="shared" ca="1" si="1050"/>
        <v>2761974.1073216549</v>
      </c>
      <c r="BI1046" s="2">
        <f t="shared" ca="1" si="1051"/>
        <v>32817542.843864612</v>
      </c>
      <c r="BJ1046" s="2">
        <f t="shared" ca="1" si="1052"/>
        <v>0.20158772867613517</v>
      </c>
      <c r="BK1046" s="2">
        <f t="shared" ca="1" si="1053"/>
        <v>6668606.4821521901</v>
      </c>
    </row>
    <row r="1047" spans="1:63" x14ac:dyDescent="0.3">
      <c r="A1047" s="2">
        <v>1046</v>
      </c>
      <c r="B1047" s="2">
        <f t="shared" ca="1" si="992"/>
        <v>0.84735831866717903</v>
      </c>
      <c r="C1047" s="2">
        <f t="shared" ca="1" si="993"/>
        <v>7.4474754641958043</v>
      </c>
      <c r="D1047" s="2">
        <f t="shared" ca="1" si="994"/>
        <v>8.3100207379074309E-3</v>
      </c>
      <c r="E1047" s="2">
        <f t="shared" ca="1" si="995"/>
        <v>6.6289187398162692</v>
      </c>
      <c r="F1047" s="2">
        <f t="shared" ca="1" si="996"/>
        <v>0.99625663758791949</v>
      </c>
      <c r="G1047" s="2">
        <f t="shared" ca="1" si="997"/>
        <v>0.12023144251799467</v>
      </c>
      <c r="H1047" s="2">
        <f t="shared" ca="1" si="998"/>
        <v>0.12</v>
      </c>
      <c r="I1047" s="2">
        <f t="shared" ca="1" si="999"/>
        <v>0.54205668433504206</v>
      </c>
      <c r="J1047" s="2">
        <f t="shared" ca="1" si="1000"/>
        <v>1.0528082509695622E-2</v>
      </c>
      <c r="K1047" s="2">
        <f t="shared" ca="1" si="1001"/>
        <v>1.0528082509695622E-2</v>
      </c>
      <c r="L1047" s="2">
        <f t="shared" ca="1" si="1002"/>
        <v>0.85299144077625355</v>
      </c>
      <c r="M1047" s="2">
        <f t="shared" ca="1" si="1003"/>
        <v>2.098699752523769E-2</v>
      </c>
      <c r="N1047" s="2">
        <f t="shared" ca="1" si="1004"/>
        <v>2.098699752523769E-2</v>
      </c>
      <c r="O1047" s="2">
        <f t="shared" si="1005"/>
        <v>6000000</v>
      </c>
      <c r="P1047" s="2">
        <f t="shared" ca="1" si="1006"/>
        <v>44684852.785174824</v>
      </c>
      <c r="Q1047" s="2">
        <f t="shared" ca="1" si="1007"/>
        <v>1117121.3196293707</v>
      </c>
      <c r="R1047" s="2">
        <f t="shared" ca="1" si="1008"/>
        <v>26810911.671104893</v>
      </c>
      <c r="S1047" s="2">
        <f t="shared" ca="1" si="1009"/>
        <v>17873941.114069931</v>
      </c>
      <c r="T1047" s="2">
        <f t="shared" ca="1" si="1010"/>
        <v>51049349.876261882</v>
      </c>
      <c r="U1047" s="2">
        <f t="shared" ca="1" si="1011"/>
        <v>57175271.861413315</v>
      </c>
      <c r="V1047" s="2">
        <f t="shared" ca="1" si="1012"/>
        <v>64036304.484782919</v>
      </c>
      <c r="W1047" s="2">
        <f t="shared" ca="1" si="1013"/>
        <v>71720661.022956878</v>
      </c>
      <c r="X1047" s="2">
        <f t="shared" ca="1" si="1014"/>
        <v>80327140.345711708</v>
      </c>
      <c r="Y1047" s="2">
        <f t="shared" ca="1" si="1015"/>
        <v>0.1252640412548478</v>
      </c>
      <c r="Z1047" s="2">
        <f t="shared" ca="1" si="1016"/>
        <v>0.12736965775678694</v>
      </c>
      <c r="AA1047" s="2">
        <f t="shared" ca="1" si="1017"/>
        <v>6394647.8689332278</v>
      </c>
      <c r="AB1047" s="2">
        <f t="shared" ca="1" si="1018"/>
        <v>7282394.8091394641</v>
      </c>
      <c r="AC1047" s="2">
        <f t="shared" ca="1" si="1019"/>
        <v>8156282.1862362009</v>
      </c>
      <c r="AD1047" s="2">
        <f t="shared" ca="1" si="1020"/>
        <v>9135036.0485845469</v>
      </c>
      <c r="AE1047" s="2">
        <f t="shared" ca="1" si="1021"/>
        <v>10231240.374414692</v>
      </c>
      <c r="AF1047" s="2">
        <f t="shared" ca="1" si="1022"/>
        <v>1020986.9975252376</v>
      </c>
      <c r="AG1047" s="2">
        <f t="shared" ca="1" si="1023"/>
        <v>1143505.4372282664</v>
      </c>
      <c r="AH1047" s="2">
        <f t="shared" ca="1" si="1024"/>
        <v>1280726.0896956583</v>
      </c>
      <c r="AI1047" s="2">
        <f t="shared" ca="1" si="1025"/>
        <v>1434413.2204591376</v>
      </c>
      <c r="AJ1047" s="2">
        <f t="shared" ca="1" si="1026"/>
        <v>1606542.8069142343</v>
      </c>
      <c r="AK1047" s="2">
        <f t="shared" ca="1" si="1027"/>
        <v>0</v>
      </c>
      <c r="AL1047" s="2">
        <f t="shared" ca="1" si="1028"/>
        <v>61259.219851514325</v>
      </c>
      <c r="AM1047" s="2">
        <f t="shared" ca="1" si="1029"/>
        <v>68610.326233696047</v>
      </c>
      <c r="AN1047" s="2">
        <f t="shared" ca="1" si="1030"/>
        <v>76843.565381739594</v>
      </c>
      <c r="AO1047" s="2">
        <f t="shared" ca="1" si="1031"/>
        <v>86064.793227548304</v>
      </c>
      <c r="AP1047" s="2">
        <f t="shared" ca="1" si="1032"/>
        <v>2412982.0503994403</v>
      </c>
      <c r="AQ1047" s="2">
        <f t="shared" ca="1" si="1033"/>
        <v>769776.49346222298</v>
      </c>
      <c r="AR1047" s="2">
        <f t="shared" ca="1" si="1034"/>
        <v>968735.90359305695</v>
      </c>
      <c r="AS1047" s="2">
        <f t="shared" ca="1" si="1035"/>
        <v>1160269.2519966864</v>
      </c>
      <c r="AT1047" s="2">
        <f t="shared" ca="1" si="1036"/>
        <v>1374786.6022087522</v>
      </c>
      <c r="AU1047" s="2">
        <f t="shared" ca="1" si="1037"/>
        <v>1615046.0344462644</v>
      </c>
      <c r="AV1047" s="2">
        <f t="shared" ca="1" si="1038"/>
        <v>2190902.3275463274</v>
      </c>
      <c r="AW1047" s="2">
        <f t="shared" ca="1" si="1039"/>
        <v>2695912.1980671864</v>
      </c>
      <c r="AX1047" s="2">
        <f t="shared" ca="1" si="1040"/>
        <v>3233694.4679107191</v>
      </c>
      <c r="AY1047" s="2">
        <f t="shared" ca="1" si="1041"/>
        <v>3836010.610135478</v>
      </c>
      <c r="AZ1047" s="2">
        <f t="shared" ca="1" si="1042"/>
        <v>4510604.6894272044</v>
      </c>
      <c r="BA1047" s="2">
        <f t="shared" ca="1" si="1043"/>
        <v>67822061.04952237</v>
      </c>
      <c r="BB1047" s="2">
        <f t="shared" ca="1" si="1044"/>
        <v>1356441.2209904473</v>
      </c>
      <c r="BC1047" s="2">
        <f t="shared" ca="1" si="1045"/>
        <v>39654708.157427028</v>
      </c>
      <c r="BD1047" s="2">
        <f t="shared" ca="1" si="1046"/>
        <v>-19491062.433699302</v>
      </c>
      <c r="BE1047" s="2">
        <f t="shared" ca="1" si="1047"/>
        <v>2190902.3275463274</v>
      </c>
      <c r="BF1047" s="2">
        <f t="shared" ca="1" si="1048"/>
        <v>2695912.1980671864</v>
      </c>
      <c r="BG1047" s="2">
        <f t="shared" ca="1" si="1049"/>
        <v>3233694.4679107191</v>
      </c>
      <c r="BH1047" s="2">
        <f t="shared" ca="1" si="1050"/>
        <v>3836010.610135478</v>
      </c>
      <c r="BI1047" s="2">
        <f t="shared" ca="1" si="1051"/>
        <v>44165312.846854232</v>
      </c>
      <c r="BJ1047" s="2">
        <f t="shared" ca="1" si="1052"/>
        <v>0.27508221359869189</v>
      </c>
      <c r="BK1047" s="2">
        <f t="shared" ca="1" si="1053"/>
        <v>14414383.599401988</v>
      </c>
    </row>
    <row r="1048" spans="1:63" x14ac:dyDescent="0.3">
      <c r="A1048" s="2">
        <v>1047</v>
      </c>
      <c r="B1048" s="2">
        <f t="shared" ca="1" si="992"/>
        <v>0.74608101325713561</v>
      </c>
      <c r="C1048" s="2">
        <f t="shared" ca="1" si="993"/>
        <v>7.2873724861572287</v>
      </c>
      <c r="D1048" s="2">
        <f t="shared" ca="1" si="994"/>
        <v>0.54798112409441091</v>
      </c>
      <c r="E1048" s="2">
        <f t="shared" ca="1" si="995"/>
        <v>7.5491910014039743</v>
      </c>
      <c r="F1048" s="2">
        <f t="shared" ca="1" si="996"/>
        <v>0.26012662658330532</v>
      </c>
      <c r="G1048" s="2">
        <f t="shared" ca="1" si="997"/>
        <v>2.0711347850426446E-2</v>
      </c>
      <c r="H1048" s="2">
        <f t="shared" ca="1" si="998"/>
        <v>2.0711347850426446E-2</v>
      </c>
      <c r="I1048" s="2">
        <f t="shared" ca="1" si="999"/>
        <v>0.72073765806262102</v>
      </c>
      <c r="J1048" s="2">
        <f t="shared" ca="1" si="1000"/>
        <v>1.2925171275769554E-2</v>
      </c>
      <c r="K1048" s="2">
        <f t="shared" ca="1" si="1001"/>
        <v>1.2925171275769554E-2</v>
      </c>
      <c r="L1048" s="2">
        <f t="shared" ca="1" si="1002"/>
        <v>0.91850921711426403</v>
      </c>
      <c r="M1048" s="2">
        <f t="shared" ca="1" si="1003"/>
        <v>2.7902273319491095E-2</v>
      </c>
      <c r="N1048" s="2">
        <f t="shared" ca="1" si="1004"/>
        <v>2.7902273319491095E-2</v>
      </c>
      <c r="O1048" s="2">
        <f t="shared" si="1005"/>
        <v>6000000</v>
      </c>
      <c r="P1048" s="2">
        <f t="shared" ca="1" si="1006"/>
        <v>43724234.916943371</v>
      </c>
      <c r="Q1048" s="2">
        <f t="shared" ca="1" si="1007"/>
        <v>1093105.8729235844</v>
      </c>
      <c r="R1048" s="2">
        <f t="shared" ca="1" si="1008"/>
        <v>26234540.950166021</v>
      </c>
      <c r="S1048" s="2">
        <f t="shared" ca="1" si="1009"/>
        <v>17489693.966777351</v>
      </c>
      <c r="T1048" s="2">
        <f t="shared" ca="1" si="1010"/>
        <v>51395113.665974557</v>
      </c>
      <c r="U1048" s="2">
        <f t="shared" ca="1" si="1011"/>
        <v>52459575.742922761</v>
      </c>
      <c r="V1048" s="2">
        <f t="shared" ca="1" si="1012"/>
        <v>53546084.264220223</v>
      </c>
      <c r="W1048" s="2">
        <f t="shared" ca="1" si="1013"/>
        <v>54655095.841444731</v>
      </c>
      <c r="X1048" s="2">
        <f t="shared" ca="1" si="1014"/>
        <v>55787076.543215282</v>
      </c>
      <c r="Y1048" s="2">
        <f t="shared" ca="1" si="1015"/>
        <v>0.12646258563788476</v>
      </c>
      <c r="Z1048" s="2">
        <f t="shared" ca="1" si="1016"/>
        <v>0.12904761989303867</v>
      </c>
      <c r="AA1048" s="2">
        <f t="shared" ca="1" si="1017"/>
        <v>6499558.9633521289</v>
      </c>
      <c r="AB1048" s="2">
        <f t="shared" ca="1" si="1018"/>
        <v>6769783.3902227683</v>
      </c>
      <c r="AC1048" s="2">
        <f t="shared" ca="1" si="1019"/>
        <v>6909994.7288897103</v>
      </c>
      <c r="AD1048" s="2">
        <f t="shared" ca="1" si="1020"/>
        <v>7053110.0333643584</v>
      </c>
      <c r="AE1048" s="2">
        <f t="shared" ca="1" si="1021"/>
        <v>7199189.4486926999</v>
      </c>
      <c r="AF1048" s="2">
        <f t="shared" ca="1" si="1022"/>
        <v>1027902.2733194912</v>
      </c>
      <c r="AG1048" s="2">
        <f t="shared" ca="1" si="1023"/>
        <v>1049191.5148584552</v>
      </c>
      <c r="AH1048" s="2">
        <f t="shared" ca="1" si="1024"/>
        <v>1070921.6852844045</v>
      </c>
      <c r="AI1048" s="2">
        <f t="shared" ca="1" si="1025"/>
        <v>1093101.9168288945</v>
      </c>
      <c r="AJ1048" s="2">
        <f t="shared" ca="1" si="1026"/>
        <v>1115741.5308643056</v>
      </c>
      <c r="AK1048" s="2">
        <f t="shared" ca="1" si="1027"/>
        <v>0</v>
      </c>
      <c r="AL1048" s="2">
        <f t="shared" ca="1" si="1028"/>
        <v>10644.620769482031</v>
      </c>
      <c r="AM1048" s="2">
        <f t="shared" ca="1" si="1029"/>
        <v>10865.085212974624</v>
      </c>
      <c r="AN1048" s="2">
        <f t="shared" ca="1" si="1030"/>
        <v>11090.115772245079</v>
      </c>
      <c r="AO1048" s="2">
        <f t="shared" ca="1" si="1031"/>
        <v>11319.807017705516</v>
      </c>
      <c r="AP1048" s="2">
        <f t="shared" ca="1" si="1032"/>
        <v>2361108.6855149418</v>
      </c>
      <c r="AQ1048" s="2">
        <f t="shared" ca="1" si="1033"/>
        <v>808742.48117460101</v>
      </c>
      <c r="AR1048" s="2">
        <f t="shared" ca="1" si="1034"/>
        <v>873465.62936083646</v>
      </c>
      <c r="AS1048" s="2">
        <f t="shared" ca="1" si="1035"/>
        <v>904270.73310349451</v>
      </c>
      <c r="AT1048" s="2">
        <f t="shared" ca="1" si="1036"/>
        <v>935713.85206533584</v>
      </c>
      <c r="AU1048" s="2">
        <f t="shared" ca="1" si="1037"/>
        <v>967808.20040149766</v>
      </c>
      <c r="AV1048" s="2">
        <f t="shared" ca="1" si="1038"/>
        <v>2301805.5233430946</v>
      </c>
      <c r="AW1048" s="2">
        <f t="shared" ca="1" si="1039"/>
        <v>2475372.939719053</v>
      </c>
      <c r="AX1048" s="2">
        <f t="shared" ca="1" si="1040"/>
        <v>2562828.5397738945</v>
      </c>
      <c r="AY1048" s="2">
        <f t="shared" ca="1" si="1041"/>
        <v>2652095.4631829411</v>
      </c>
      <c r="AZ1048" s="2">
        <f t="shared" ca="1" si="1042"/>
        <v>2743211.2248942489</v>
      </c>
      <c r="BA1048" s="2">
        <f t="shared" ca="1" si="1043"/>
        <v>54348056.203473367</v>
      </c>
      <c r="BB1048" s="2">
        <f t="shared" ca="1" si="1044"/>
        <v>1086961.1240694674</v>
      </c>
      <c r="BC1048" s="2">
        <f t="shared" ca="1" si="1045"/>
        <v>27026554.129237879</v>
      </c>
      <c r="BD1048" s="2">
        <f t="shared" ca="1" si="1046"/>
        <v>-19082799.839700934</v>
      </c>
      <c r="BE1048" s="2">
        <f t="shared" ca="1" si="1047"/>
        <v>2301805.5233430946</v>
      </c>
      <c r="BF1048" s="2">
        <f t="shared" ca="1" si="1048"/>
        <v>2475372.939719053</v>
      </c>
      <c r="BG1048" s="2">
        <f t="shared" ca="1" si="1049"/>
        <v>2562828.5397738945</v>
      </c>
      <c r="BH1048" s="2">
        <f t="shared" ca="1" si="1050"/>
        <v>2652095.4631829411</v>
      </c>
      <c r="BI1048" s="2">
        <f t="shared" ca="1" si="1051"/>
        <v>29769765.354132127</v>
      </c>
      <c r="BJ1048" s="2">
        <f t="shared" ca="1" si="1052"/>
        <v>0.18874491769083024</v>
      </c>
      <c r="BK1048" s="2">
        <f t="shared" ca="1" si="1053"/>
        <v>5347525.5115108937</v>
      </c>
    </row>
    <row r="1049" spans="1:63" x14ac:dyDescent="0.3">
      <c r="A1049" s="2">
        <v>1048</v>
      </c>
      <c r="B1049" s="2">
        <f t="shared" ca="1" si="992"/>
        <v>0.31722241437099274</v>
      </c>
      <c r="C1049" s="2">
        <f t="shared" ca="1" si="993"/>
        <v>6.7965204509251382</v>
      </c>
      <c r="D1049" s="2">
        <f t="shared" ca="1" si="994"/>
        <v>9.3864934685536583E-2</v>
      </c>
      <c r="E1049" s="2">
        <f t="shared" ca="1" si="995"/>
        <v>6.9332780508761935</v>
      </c>
      <c r="F1049" s="2">
        <f t="shared" ca="1" si="996"/>
        <v>0.40655815846976717</v>
      </c>
      <c r="G1049" s="2">
        <f t="shared" ca="1" si="997"/>
        <v>3.2907768812851561E-2</v>
      </c>
      <c r="H1049" s="2">
        <f t="shared" ca="1" si="998"/>
        <v>3.2907768812851561E-2</v>
      </c>
      <c r="I1049" s="2">
        <f t="shared" ca="1" si="999"/>
        <v>0.75344609308321164</v>
      </c>
      <c r="J1049" s="2">
        <f t="shared" ca="1" si="1000"/>
        <v>1.3426871051093369E-2</v>
      </c>
      <c r="K1049" s="2">
        <f t="shared" ca="1" si="1001"/>
        <v>1.3426871051093369E-2</v>
      </c>
      <c r="L1049" s="2">
        <f t="shared" ca="1" si="1002"/>
        <v>6.8551672119444129E-2</v>
      </c>
      <c r="M1049" s="2">
        <f t="shared" ca="1" si="1003"/>
        <v>-2.9733297488202859E-2</v>
      </c>
      <c r="N1049" s="2">
        <f t="shared" ca="1" si="1004"/>
        <v>-2.9733297488202859E-2</v>
      </c>
      <c r="O1049" s="2">
        <f t="shared" si="1005"/>
        <v>6000000</v>
      </c>
      <c r="P1049" s="2">
        <f t="shared" ca="1" si="1006"/>
        <v>40779122.705550827</v>
      </c>
      <c r="Q1049" s="2">
        <f t="shared" ca="1" si="1007"/>
        <v>1019478.0676387707</v>
      </c>
      <c r="R1049" s="2">
        <f t="shared" ca="1" si="1008"/>
        <v>24467473.623330496</v>
      </c>
      <c r="S1049" s="2">
        <f t="shared" ca="1" si="1009"/>
        <v>16311649.082220331</v>
      </c>
      <c r="T1049" s="2">
        <f t="shared" ca="1" si="1010"/>
        <v>48513335.125589855</v>
      </c>
      <c r="U1049" s="2">
        <f t="shared" ca="1" si="1011"/>
        <v>50109800.742243163</v>
      </c>
      <c r="V1049" s="2">
        <f t="shared" ca="1" si="1012"/>
        <v>51758802.480326965</v>
      </c>
      <c r="W1049" s="2">
        <f t="shared" ca="1" si="1013"/>
        <v>53462069.186379619</v>
      </c>
      <c r="X1049" s="2">
        <f t="shared" ca="1" si="1014"/>
        <v>55221386.59942168</v>
      </c>
      <c r="Y1049" s="2">
        <f t="shared" ca="1" si="1015"/>
        <v>0.12671343552554667</v>
      </c>
      <c r="Z1049" s="2">
        <f t="shared" ca="1" si="1016"/>
        <v>0.12939880973576534</v>
      </c>
      <c r="AA1049" s="2">
        <f t="shared" ca="1" si="1017"/>
        <v>6147291.3625656692</v>
      </c>
      <c r="AB1049" s="2">
        <f t="shared" ca="1" si="1018"/>
        <v>6484148.5721426364</v>
      </c>
      <c r="AC1049" s="2">
        <f t="shared" ca="1" si="1019"/>
        <v>6697527.4343028879</v>
      </c>
      <c r="AD1049" s="2">
        <f t="shared" ca="1" si="1020"/>
        <v>6917928.1187286591</v>
      </c>
      <c r="AE1049" s="2">
        <f t="shared" ca="1" si="1021"/>
        <v>7145581.6979237078</v>
      </c>
      <c r="AF1049" s="2">
        <f t="shared" ca="1" si="1022"/>
        <v>970266.70251179708</v>
      </c>
      <c r="AG1049" s="2">
        <f t="shared" ca="1" si="1023"/>
        <v>1002196.0148448633</v>
      </c>
      <c r="AH1049" s="2">
        <f t="shared" ca="1" si="1024"/>
        <v>1035176.0496065393</v>
      </c>
      <c r="AI1049" s="2">
        <f t="shared" ca="1" si="1025"/>
        <v>1069241.3837275924</v>
      </c>
      <c r="AJ1049" s="2">
        <f t="shared" ca="1" si="1026"/>
        <v>1104427.7319884335</v>
      </c>
      <c r="AK1049" s="2">
        <f t="shared" ca="1" si="1027"/>
        <v>0</v>
      </c>
      <c r="AL1049" s="2">
        <f t="shared" ca="1" si="1028"/>
        <v>15964.656166533083</v>
      </c>
      <c r="AM1049" s="2">
        <f t="shared" ca="1" si="1029"/>
        <v>16490.01738083802</v>
      </c>
      <c r="AN1049" s="2">
        <f t="shared" ca="1" si="1030"/>
        <v>17032.667060526535</v>
      </c>
      <c r="AO1049" s="2">
        <f t="shared" ca="1" si="1031"/>
        <v>17593.174130420612</v>
      </c>
      <c r="AP1049" s="2">
        <f t="shared" ca="1" si="1032"/>
        <v>2202072.6260997448</v>
      </c>
      <c r="AQ1049" s="2">
        <f t="shared" ca="1" si="1033"/>
        <v>773487.52882807318</v>
      </c>
      <c r="AR1049" s="2">
        <f t="shared" ca="1" si="1034"/>
        <v>852768.78211148723</v>
      </c>
      <c r="AS1049" s="2">
        <f t="shared" ca="1" si="1035"/>
        <v>899672.477235117</v>
      </c>
      <c r="AT1049" s="2">
        <f t="shared" ca="1" si="1036"/>
        <v>948119.66831434367</v>
      </c>
      <c r="AU1049" s="2">
        <f t="shared" ca="1" si="1037"/>
        <v>998161.14835723757</v>
      </c>
      <c r="AV1049" s="2">
        <f t="shared" ca="1" si="1038"/>
        <v>2201464.5051260544</v>
      </c>
      <c r="AW1049" s="2">
        <f t="shared" ca="1" si="1039"/>
        <v>2411146.4929200076</v>
      </c>
      <c r="AX1049" s="2">
        <f t="shared" ca="1" si="1040"/>
        <v>2544116.2639806485</v>
      </c>
      <c r="AY1049" s="2">
        <f t="shared" ca="1" si="1041"/>
        <v>2681461.7735264525</v>
      </c>
      <c r="AZ1049" s="2">
        <f t="shared" ca="1" si="1042"/>
        <v>2823327.0173478713</v>
      </c>
      <c r="BA1049" s="2">
        <f t="shared" ca="1" si="1043"/>
        <v>49542304.746957086</v>
      </c>
      <c r="BB1049" s="2">
        <f t="shared" ca="1" si="1044"/>
        <v>990846.09493914177</v>
      </c>
      <c r="BC1049" s="2">
        <f t="shared" ca="1" si="1045"/>
        <v>24083985.028687447</v>
      </c>
      <c r="BD1049" s="2">
        <f t="shared" ca="1" si="1046"/>
        <v>-17831127.149859101</v>
      </c>
      <c r="BE1049" s="2">
        <f t="shared" ca="1" si="1047"/>
        <v>2201464.5051260544</v>
      </c>
      <c r="BF1049" s="2">
        <f t="shared" ca="1" si="1048"/>
        <v>2411146.4929200076</v>
      </c>
      <c r="BG1049" s="2">
        <f t="shared" ca="1" si="1049"/>
        <v>2544116.2639806485</v>
      </c>
      <c r="BH1049" s="2">
        <f t="shared" ca="1" si="1050"/>
        <v>2681461.7735264525</v>
      </c>
      <c r="BI1049" s="2">
        <f t="shared" ca="1" si="1051"/>
        <v>26907312.04603532</v>
      </c>
      <c r="BJ1049" s="2">
        <f t="shared" ca="1" si="1052"/>
        <v>0.18741768951573001</v>
      </c>
      <c r="BK1049" s="2">
        <f t="shared" ca="1" si="1053"/>
        <v>4839517.9889144301</v>
      </c>
    </row>
    <row r="1050" spans="1:63" x14ac:dyDescent="0.3">
      <c r="A1050" s="2">
        <v>1049</v>
      </c>
      <c r="B1050" s="2">
        <f t="shared" ca="1" si="992"/>
        <v>0.4610565970113526</v>
      </c>
      <c r="C1050" s="2">
        <f t="shared" ca="1" si="993"/>
        <v>6.9602672513538639</v>
      </c>
      <c r="D1050" s="2">
        <f t="shared" ca="1" si="994"/>
        <v>0.3905579268652829</v>
      </c>
      <c r="E1050" s="2">
        <f t="shared" ca="1" si="995"/>
        <v>7.3838075886359915</v>
      </c>
      <c r="F1050" s="2">
        <f t="shared" ca="1" si="996"/>
        <v>0.68700587843511585</v>
      </c>
      <c r="G1050" s="2">
        <f t="shared" ca="1" si="997"/>
        <v>5.4621434761229853E-2</v>
      </c>
      <c r="H1050" s="2">
        <f t="shared" ca="1" si="998"/>
        <v>5.4621434761229853E-2</v>
      </c>
      <c r="I1050" s="2">
        <f t="shared" ca="1" si="999"/>
        <v>6.5098578230396331E-2</v>
      </c>
      <c r="J1050" s="2">
        <f t="shared" ca="1" si="1000"/>
        <v>2.4333756112549995E-3</v>
      </c>
      <c r="K1050" s="2">
        <f t="shared" ca="1" si="1001"/>
        <v>2.4333756112549995E-3</v>
      </c>
      <c r="L1050" s="2">
        <f t="shared" ca="1" si="1002"/>
        <v>0.10719594208142424</v>
      </c>
      <c r="M1050" s="2">
        <f t="shared" ca="1" si="1003"/>
        <v>-2.4831582691475233E-2</v>
      </c>
      <c r="N1050" s="2">
        <f t="shared" ca="1" si="1004"/>
        <v>-2.4831582691475233E-2</v>
      </c>
      <c r="O1050" s="2">
        <f t="shared" si="1005"/>
        <v>6000000</v>
      </c>
      <c r="P1050" s="2">
        <f t="shared" ca="1" si="1006"/>
        <v>41761603.508123182</v>
      </c>
      <c r="Q1050" s="2">
        <f t="shared" ca="1" si="1007"/>
        <v>1044040.0877030796</v>
      </c>
      <c r="R1050" s="2">
        <f t="shared" ca="1" si="1008"/>
        <v>25056962.104873907</v>
      </c>
      <c r="S1050" s="2">
        <f t="shared" ca="1" si="1009"/>
        <v>16704641.403249273</v>
      </c>
      <c r="T1050" s="2">
        <f t="shared" ca="1" si="1010"/>
        <v>48758420.865426235</v>
      </c>
      <c r="U1050" s="2">
        <f t="shared" ca="1" si="1011"/>
        <v>51421675.769787706</v>
      </c>
      <c r="V1050" s="2">
        <f t="shared" ca="1" si="1012"/>
        <v>54230401.478160284</v>
      </c>
      <c r="W1050" s="2">
        <f t="shared" ca="1" si="1013"/>
        <v>57192543.814574927</v>
      </c>
      <c r="X1050" s="2">
        <f t="shared" ca="1" si="1014"/>
        <v>60316482.615371518</v>
      </c>
      <c r="Y1050" s="2">
        <f t="shared" ca="1" si="1015"/>
        <v>0.1212166878056275</v>
      </c>
      <c r="Z1050" s="2">
        <f t="shared" ca="1" si="1016"/>
        <v>0.12170336292787849</v>
      </c>
      <c r="AA1050" s="2">
        <f t="shared" ca="1" si="1017"/>
        <v>5910334.279939766</v>
      </c>
      <c r="AB1050" s="2">
        <f t="shared" ca="1" si="1018"/>
        <v>6258190.8685701685</v>
      </c>
      <c r="AC1050" s="2">
        <f t="shared" ca="1" si="1019"/>
        <v>6600022.2328210995</v>
      </c>
      <c r="AD1050" s="2">
        <f t="shared" ca="1" si="1020"/>
        <v>6960524.9166338043</v>
      </c>
      <c r="AE1050" s="2">
        <f t="shared" ca="1" si="1021"/>
        <v>7340718.7742716335</v>
      </c>
      <c r="AF1050" s="2">
        <f t="shared" ca="1" si="1022"/>
        <v>975168.41730852472</v>
      </c>
      <c r="AG1050" s="2">
        <f t="shared" ca="1" si="1023"/>
        <v>1028433.5153957541</v>
      </c>
      <c r="AH1050" s="2">
        <f t="shared" ca="1" si="1024"/>
        <v>1084608.0295632058</v>
      </c>
      <c r="AI1050" s="2">
        <f t="shared" ca="1" si="1025"/>
        <v>1143850.8762914985</v>
      </c>
      <c r="AJ1050" s="2">
        <f t="shared" ca="1" si="1026"/>
        <v>1206329.6523074303</v>
      </c>
      <c r="AK1050" s="2">
        <f t="shared" ca="1" si="1027"/>
        <v>0</v>
      </c>
      <c r="AL1050" s="2">
        <f t="shared" ca="1" si="1028"/>
        <v>26632.549043614716</v>
      </c>
      <c r="AM1050" s="2">
        <f t="shared" ca="1" si="1029"/>
        <v>28087.257083725781</v>
      </c>
      <c r="AN1050" s="2">
        <f t="shared" ca="1" si="1030"/>
        <v>29621.423364146427</v>
      </c>
      <c r="AO1050" s="2">
        <f t="shared" ca="1" si="1031"/>
        <v>31239.388007965907</v>
      </c>
      <c r="AP1050" s="2">
        <f t="shared" ca="1" si="1032"/>
        <v>2255126.5894386517</v>
      </c>
      <c r="AQ1050" s="2">
        <f t="shared" ca="1" si="1033"/>
        <v>696810.21103007323</v>
      </c>
      <c r="AR1050" s="2">
        <f t="shared" ca="1" si="1034"/>
        <v>773403.99857129832</v>
      </c>
      <c r="AS1050" s="2">
        <f t="shared" ca="1" si="1035"/>
        <v>847674.7795930031</v>
      </c>
      <c r="AT1050" s="2">
        <f t="shared" ca="1" si="1036"/>
        <v>926002.33723495004</v>
      </c>
      <c r="AU1050" s="2">
        <f t="shared" ca="1" si="1037"/>
        <v>1008608.2584566434</v>
      </c>
      <c r="AV1050" s="2">
        <f t="shared" ca="1" si="1038"/>
        <v>1983229.0621625157</v>
      </c>
      <c r="AW1050" s="2">
        <f t="shared" ca="1" si="1039"/>
        <v>2174594.2161208503</v>
      </c>
      <c r="AX1050" s="2">
        <f t="shared" ca="1" si="1040"/>
        <v>2384525.5771425134</v>
      </c>
      <c r="AY1050" s="2">
        <f t="shared" ca="1" si="1041"/>
        <v>2605923.6903045578</v>
      </c>
      <c r="AZ1050" s="2">
        <f t="shared" ca="1" si="1042"/>
        <v>2839414.886060942</v>
      </c>
      <c r="BA1050" s="2">
        <f t="shared" ca="1" si="1043"/>
        <v>54202454.991509579</v>
      </c>
      <c r="BB1050" s="2">
        <f t="shared" ca="1" si="1044"/>
        <v>1084049.0998301916</v>
      </c>
      <c r="BC1050" s="2">
        <f t="shared" ca="1" si="1045"/>
        <v>28061443.786805481</v>
      </c>
      <c r="BD1050" s="2">
        <f t="shared" ca="1" si="1046"/>
        <v>-18248681.490952354</v>
      </c>
      <c r="BE1050" s="2">
        <f t="shared" ca="1" si="1047"/>
        <v>1983229.0621625157</v>
      </c>
      <c r="BF1050" s="2">
        <f t="shared" ca="1" si="1048"/>
        <v>2174594.2161208503</v>
      </c>
      <c r="BG1050" s="2">
        <f t="shared" ca="1" si="1049"/>
        <v>2384525.5771425134</v>
      </c>
      <c r="BH1050" s="2">
        <f t="shared" ca="1" si="1050"/>
        <v>2605923.6903045578</v>
      </c>
      <c r="BI1050" s="2">
        <f t="shared" ca="1" si="1051"/>
        <v>30900858.672866423</v>
      </c>
      <c r="BJ1050" s="2">
        <f t="shared" ca="1" si="1052"/>
        <v>0.19951308701297954</v>
      </c>
      <c r="BK1050" s="2">
        <f t="shared" ca="1" si="1053"/>
        <v>6142978.8364680149</v>
      </c>
    </row>
    <row r="1051" spans="1:63" x14ac:dyDescent="0.3">
      <c r="A1051" s="2">
        <v>1050</v>
      </c>
      <c r="B1051" s="2">
        <f t="shared" ca="1" si="992"/>
        <v>0.73624581177792703</v>
      </c>
      <c r="C1051" s="2">
        <f t="shared" ca="1" si="993"/>
        <v>7.2737022811242307</v>
      </c>
      <c r="D1051" s="2">
        <f t="shared" ca="1" si="994"/>
        <v>0.83059962544842847</v>
      </c>
      <c r="E1051" s="2">
        <f t="shared" ca="1" si="995"/>
        <v>7.9179340680789307</v>
      </c>
      <c r="F1051" s="2">
        <f t="shared" ca="1" si="996"/>
        <v>0.53427183666162692</v>
      </c>
      <c r="G1051" s="2">
        <f t="shared" ca="1" si="997"/>
        <v>4.2580380804711049E-2</v>
      </c>
      <c r="H1051" s="2">
        <f t="shared" ca="1" si="998"/>
        <v>4.2580380804711049E-2</v>
      </c>
      <c r="I1051" s="2">
        <f t="shared" ca="1" si="999"/>
        <v>0.13758607550523394</v>
      </c>
      <c r="J1051" s="2">
        <f t="shared" ca="1" si="1000"/>
        <v>4.5438552357293729E-3</v>
      </c>
      <c r="K1051" s="2">
        <f t="shared" ca="1" si="1001"/>
        <v>4.5438552357293729E-3</v>
      </c>
      <c r="L1051" s="2">
        <f t="shared" ca="1" si="1002"/>
        <v>0.89872987681755301</v>
      </c>
      <c r="M1051" s="2">
        <f t="shared" ca="1" si="1003"/>
        <v>2.5486952433485973E-2</v>
      </c>
      <c r="N1051" s="2">
        <f t="shared" ca="1" si="1004"/>
        <v>2.5486952433485973E-2</v>
      </c>
      <c r="O1051" s="2">
        <f t="shared" si="1005"/>
        <v>6000000</v>
      </c>
      <c r="P1051" s="2">
        <f t="shared" ca="1" si="1006"/>
        <v>43642213.686745383</v>
      </c>
      <c r="Q1051" s="2">
        <f t="shared" ca="1" si="1007"/>
        <v>1091055.3421686345</v>
      </c>
      <c r="R1051" s="2">
        <f t="shared" ca="1" si="1008"/>
        <v>26185328.21204723</v>
      </c>
      <c r="S1051" s="2">
        <f t="shared" ca="1" si="1009"/>
        <v>17456885.474698152</v>
      </c>
      <c r="T1051" s="2">
        <f t="shared" ca="1" si="1010"/>
        <v>51274347.621674299</v>
      </c>
      <c r="U1051" s="2">
        <f t="shared" ca="1" si="1011"/>
        <v>53457628.868918315</v>
      </c>
      <c r="V1051" s="2">
        <f t="shared" ca="1" si="1012"/>
        <v>55733875.063073762</v>
      </c>
      <c r="W1051" s="2">
        <f t="shared" ca="1" si="1013"/>
        <v>58107044.686981626</v>
      </c>
      <c r="X1051" s="2">
        <f t="shared" ca="1" si="1014"/>
        <v>60581264.777189657</v>
      </c>
      <c r="Y1051" s="2">
        <f t="shared" ca="1" si="1015"/>
        <v>0.12227192761786468</v>
      </c>
      <c r="Z1051" s="2">
        <f t="shared" ca="1" si="1016"/>
        <v>0.12318069866501055</v>
      </c>
      <c r="AA1051" s="2">
        <f t="shared" ca="1" si="1017"/>
        <v>6269413.3210505918</v>
      </c>
      <c r="AB1051" s="2">
        <f t="shared" ca="1" si="1018"/>
        <v>6584948.0730481958</v>
      </c>
      <c r="AC1051" s="2">
        <f t="shared" ca="1" si="1019"/>
        <v>6865337.6695778351</v>
      </c>
      <c r="AD1051" s="2">
        <f t="shared" ca="1" si="1020"/>
        <v>7157666.3619013857</v>
      </c>
      <c r="AE1051" s="2">
        <f t="shared" ca="1" si="1021"/>
        <v>7462442.5212642169</v>
      </c>
      <c r="AF1051" s="2">
        <f t="shared" ca="1" si="1022"/>
        <v>1025486.952433486</v>
      </c>
      <c r="AG1051" s="2">
        <f t="shared" ca="1" si="1023"/>
        <v>1069152.5773783664</v>
      </c>
      <c r="AH1051" s="2">
        <f t="shared" ca="1" si="1024"/>
        <v>1114677.5012614753</v>
      </c>
      <c r="AI1051" s="2">
        <f t="shared" ca="1" si="1025"/>
        <v>1162140.8937396326</v>
      </c>
      <c r="AJ1051" s="2">
        <f t="shared" ca="1" si="1026"/>
        <v>1211625.2955437931</v>
      </c>
      <c r="AK1051" s="2">
        <f t="shared" ca="1" si="1027"/>
        <v>0</v>
      </c>
      <c r="AL1051" s="2">
        <f t="shared" ca="1" si="1028"/>
        <v>21832.812472440153</v>
      </c>
      <c r="AM1051" s="2">
        <f t="shared" ca="1" si="1029"/>
        <v>22762.461941554473</v>
      </c>
      <c r="AN1051" s="2">
        <f t="shared" ca="1" si="1030"/>
        <v>23731.696239078643</v>
      </c>
      <c r="AO1051" s="2">
        <f t="shared" ca="1" si="1031"/>
        <v>24742.200902080313</v>
      </c>
      <c r="AP1051" s="2">
        <f t="shared" ca="1" si="1032"/>
        <v>2356679.5390842506</v>
      </c>
      <c r="AQ1051" s="2">
        <f t="shared" ca="1" si="1033"/>
        <v>750684.17567854247</v>
      </c>
      <c r="AR1051" s="2">
        <f t="shared" ca="1" si="1034"/>
        <v>821370.14871225064</v>
      </c>
      <c r="AS1051" s="2">
        <f t="shared" ca="1" si="1035"/>
        <v>882434.96360034833</v>
      </c>
      <c r="AT1051" s="2">
        <f t="shared" ca="1" si="1036"/>
        <v>946099.94156015071</v>
      </c>
      <c r="AU1051" s="2">
        <f t="shared" ca="1" si="1037"/>
        <v>1012475.7985254052</v>
      </c>
      <c r="AV1051" s="2">
        <f t="shared" ca="1" si="1038"/>
        <v>2136562.6538543128</v>
      </c>
      <c r="AW1051" s="2">
        <f t="shared" ca="1" si="1039"/>
        <v>2315912.9954008884</v>
      </c>
      <c r="AX1051" s="2">
        <f t="shared" ca="1" si="1040"/>
        <v>2488783.2036902062</v>
      </c>
      <c r="AY1051" s="2">
        <f t="shared" ca="1" si="1041"/>
        <v>2669014.2912782733</v>
      </c>
      <c r="AZ1051" s="2">
        <f t="shared" ca="1" si="1042"/>
        <v>2856919.6872086884</v>
      </c>
      <c r="BA1051" s="2">
        <f t="shared" ca="1" si="1043"/>
        <v>59087127.870198771</v>
      </c>
      <c r="BB1051" s="2">
        <f t="shared" ca="1" si="1044"/>
        <v>1181742.5574039754</v>
      </c>
      <c r="BC1051" s="2">
        <f t="shared" ca="1" si="1045"/>
        <v>31720057.100747567</v>
      </c>
      <c r="BD1051" s="2">
        <f t="shared" ca="1" si="1046"/>
        <v>-19047940.816866785</v>
      </c>
      <c r="BE1051" s="2">
        <f t="shared" ca="1" si="1047"/>
        <v>2136562.6538543128</v>
      </c>
      <c r="BF1051" s="2">
        <f t="shared" ca="1" si="1048"/>
        <v>2315912.9954008884</v>
      </c>
      <c r="BG1051" s="2">
        <f t="shared" ca="1" si="1049"/>
        <v>2488783.2036902062</v>
      </c>
      <c r="BH1051" s="2">
        <f t="shared" ca="1" si="1050"/>
        <v>2669014.2912782733</v>
      </c>
      <c r="BI1051" s="2">
        <f t="shared" ca="1" si="1051"/>
        <v>34576976.787956253</v>
      </c>
      <c r="BJ1051" s="2">
        <f t="shared" ca="1" si="1052"/>
        <v>0.21424324112692195</v>
      </c>
      <c r="BK1051" s="2">
        <f t="shared" ca="1" si="1053"/>
        <v>7793514.8488129564</v>
      </c>
    </row>
    <row r="1052" spans="1:63" x14ac:dyDescent="0.3">
      <c r="A1052" s="2">
        <v>1051</v>
      </c>
      <c r="B1052" s="2">
        <f t="shared" ca="1" si="992"/>
        <v>0.44315028046267446</v>
      </c>
      <c r="C1052" s="2">
        <f t="shared" ca="1" si="993"/>
        <v>6.9414353726758673</v>
      </c>
      <c r="D1052" s="2">
        <f t="shared" ca="1" si="994"/>
        <v>0.29069937863527062</v>
      </c>
      <c r="E1052" s="2">
        <f t="shared" ca="1" si="995"/>
        <v>7.2624950867189515</v>
      </c>
      <c r="F1052" s="2">
        <f t="shared" ca="1" si="996"/>
        <v>0.68806155730455176</v>
      </c>
      <c r="G1052" s="2">
        <f t="shared" ca="1" si="997"/>
        <v>5.4710897145385642E-2</v>
      </c>
      <c r="H1052" s="2">
        <f t="shared" ca="1" si="998"/>
        <v>5.4710897145385642E-2</v>
      </c>
      <c r="I1052" s="2">
        <f t="shared" ca="1" si="999"/>
        <v>0.23036997491925848</v>
      </c>
      <c r="J1052" s="2">
        <f t="shared" ca="1" si="1000"/>
        <v>6.3118551812382153E-3</v>
      </c>
      <c r="K1052" s="2">
        <f t="shared" ca="1" si="1001"/>
        <v>6.3118551812382153E-3</v>
      </c>
      <c r="L1052" s="2">
        <f t="shared" ca="1" si="1002"/>
        <v>0.32492381310064067</v>
      </c>
      <c r="M1052" s="2">
        <f t="shared" ca="1" si="1003"/>
        <v>-9.0794776170077581E-3</v>
      </c>
      <c r="N1052" s="2">
        <f t="shared" ca="1" si="1004"/>
        <v>-9.0794776170077581E-3</v>
      </c>
      <c r="O1052" s="2">
        <f t="shared" si="1005"/>
        <v>6000000</v>
      </c>
      <c r="P1052" s="2">
        <f t="shared" ca="1" si="1006"/>
        <v>41648612.236055203</v>
      </c>
      <c r="Q1052" s="2">
        <f t="shared" ca="1" si="1007"/>
        <v>1041215.3059013801</v>
      </c>
      <c r="R1052" s="2">
        <f t="shared" ca="1" si="1008"/>
        <v>24989167.341633122</v>
      </c>
      <c r="S1052" s="2">
        <f t="shared" ca="1" si="1009"/>
        <v>16659444.894422082</v>
      </c>
      <c r="T1052" s="2">
        <f t="shared" ca="1" si="1010"/>
        <v>49546026.11914961</v>
      </c>
      <c r="U1052" s="2">
        <f t="shared" ca="1" si="1011"/>
        <v>52256733.658116989</v>
      </c>
      <c r="V1052" s="2">
        <f t="shared" ca="1" si="1012"/>
        <v>55115746.438440032</v>
      </c>
      <c r="W1052" s="2">
        <f t="shared" ca="1" si="1013"/>
        <v>58131178.372924678</v>
      </c>
      <c r="X1052" s="2">
        <f t="shared" ca="1" si="1014"/>
        <v>61311587.29382582</v>
      </c>
      <c r="Y1052" s="2">
        <f t="shared" ca="1" si="1015"/>
        <v>0.12315592759061911</v>
      </c>
      <c r="Z1052" s="2">
        <f t="shared" ca="1" si="1016"/>
        <v>0.12441829862686675</v>
      </c>
      <c r="AA1052" s="2">
        <f t="shared" ca="1" si="1017"/>
        <v>6101886.8051329125</v>
      </c>
      <c r="AB1052" s="2">
        <f t="shared" ca="1" si="1018"/>
        <v>6501693.893540238</v>
      </c>
      <c r="AC1052" s="2">
        <f t="shared" ca="1" si="1019"/>
        <v>6857407.3994204998</v>
      </c>
      <c r="AD1052" s="2">
        <f t="shared" ca="1" si="1020"/>
        <v>7232582.310334201</v>
      </c>
      <c r="AE1052" s="2">
        <f t="shared" ca="1" si="1021"/>
        <v>7628283.3772104299</v>
      </c>
      <c r="AF1052" s="2">
        <f t="shared" ca="1" si="1022"/>
        <v>990920.5223829922</v>
      </c>
      <c r="AG1052" s="2">
        <f t="shared" ca="1" si="1023"/>
        <v>1045134.6731623398</v>
      </c>
      <c r="AH1052" s="2">
        <f t="shared" ca="1" si="1024"/>
        <v>1102314.9287688006</v>
      </c>
      <c r="AI1052" s="2">
        <f t="shared" ca="1" si="1025"/>
        <v>1162623.5674584936</v>
      </c>
      <c r="AJ1052" s="2">
        <f t="shared" ca="1" si="1026"/>
        <v>1226231.7458765164</v>
      </c>
      <c r="AK1052" s="2">
        <f t="shared" ca="1" si="1027"/>
        <v>0</v>
      </c>
      <c r="AL1052" s="2">
        <f t="shared" ca="1" si="1028"/>
        <v>27107.075389673784</v>
      </c>
      <c r="AM1052" s="2">
        <f t="shared" ca="1" si="1029"/>
        <v>28590.127803230436</v>
      </c>
      <c r="AN1052" s="2">
        <f t="shared" ca="1" si="1030"/>
        <v>30154.319344846459</v>
      </c>
      <c r="AO1052" s="2">
        <f t="shared" ca="1" si="1031"/>
        <v>31804.089209011421</v>
      </c>
      <c r="AP1052" s="2">
        <f t="shared" ca="1" si="1032"/>
        <v>2249025.0607469808</v>
      </c>
      <c r="AQ1052" s="2">
        <f t="shared" ca="1" si="1033"/>
        <v>744104.71772076422</v>
      </c>
      <c r="AR1052" s="2">
        <f t="shared" ca="1" si="1034"/>
        <v>833958.88150403847</v>
      </c>
      <c r="AS1052" s="2">
        <f t="shared" ca="1" si="1035"/>
        <v>911577.5265752268</v>
      </c>
      <c r="AT1052" s="2">
        <f t="shared" ca="1" si="1036"/>
        <v>993442.75735346891</v>
      </c>
      <c r="AU1052" s="2">
        <f t="shared" ca="1" si="1037"/>
        <v>1079786.9083526025</v>
      </c>
      <c r="AV1052" s="2">
        <f t="shared" ca="1" si="1038"/>
        <v>2117836.5042821746</v>
      </c>
      <c r="AW1052" s="2">
        <f t="shared" ca="1" si="1039"/>
        <v>2346468.2027372047</v>
      </c>
      <c r="AX1052" s="2">
        <f t="shared" ca="1" si="1040"/>
        <v>2565899.7555262614</v>
      </c>
      <c r="AY1052" s="2">
        <f t="shared" ca="1" si="1041"/>
        <v>2797336.6054304112</v>
      </c>
      <c r="AZ1052" s="2">
        <f t="shared" ca="1" si="1042"/>
        <v>3041435.5730253188</v>
      </c>
      <c r="BA1052" s="2">
        <f t="shared" ca="1" si="1043"/>
        <v>55400370.547090597</v>
      </c>
      <c r="BB1052" s="2">
        <f t="shared" ca="1" si="1044"/>
        <v>1108007.410941812</v>
      </c>
      <c r="BC1052" s="2">
        <f t="shared" ca="1" si="1045"/>
        <v>29303195.794515662</v>
      </c>
      <c r="BD1052" s="2">
        <f t="shared" ca="1" si="1046"/>
        <v>-18200660.200323462</v>
      </c>
      <c r="BE1052" s="2">
        <f t="shared" ca="1" si="1047"/>
        <v>2117836.5042821746</v>
      </c>
      <c r="BF1052" s="2">
        <f t="shared" ca="1" si="1048"/>
        <v>2346468.2027372047</v>
      </c>
      <c r="BG1052" s="2">
        <f t="shared" ca="1" si="1049"/>
        <v>2565899.7555262614</v>
      </c>
      <c r="BH1052" s="2">
        <f t="shared" ca="1" si="1050"/>
        <v>2797336.6054304112</v>
      </c>
      <c r="BI1052" s="2">
        <f t="shared" ca="1" si="1051"/>
        <v>32344631.367540982</v>
      </c>
      <c r="BJ1052" s="2">
        <f t="shared" ca="1" si="1052"/>
        <v>0.21599931795121496</v>
      </c>
      <c r="BK1052" s="2">
        <f t="shared" ca="1" si="1053"/>
        <v>7518182.5592671558</v>
      </c>
    </row>
    <row r="1053" spans="1:63" x14ac:dyDescent="0.3">
      <c r="A1053" s="2">
        <v>1052</v>
      </c>
      <c r="B1053" s="2">
        <f t="shared" ca="1" si="992"/>
        <v>0.1400106024041502</v>
      </c>
      <c r="C1053" s="2">
        <f t="shared" ca="1" si="993"/>
        <v>6.5291702984940674</v>
      </c>
      <c r="D1053" s="2">
        <f t="shared" ca="1" si="994"/>
        <v>0.68626791917098473</v>
      </c>
      <c r="E1053" s="2">
        <f t="shared" ca="1" si="995"/>
        <v>7.7078736453961207</v>
      </c>
      <c r="F1053" s="2">
        <f t="shared" ca="1" si="996"/>
        <v>0.90645670512319865</v>
      </c>
      <c r="G1053" s="2">
        <f t="shared" ca="1" si="997"/>
        <v>7.9577406443527191E-2</v>
      </c>
      <c r="H1053" s="2">
        <f t="shared" ca="1" si="998"/>
        <v>7.9577406443527191E-2</v>
      </c>
      <c r="I1053" s="2">
        <f t="shared" ca="1" si="999"/>
        <v>7.2939045111009015E-4</v>
      </c>
      <c r="J1053" s="2">
        <f t="shared" ca="1" si="1000"/>
        <v>-5.9138038383951316E-3</v>
      </c>
      <c r="K1053" s="2">
        <f t="shared" ca="1" si="1001"/>
        <v>0</v>
      </c>
      <c r="L1053" s="2">
        <f t="shared" ca="1" si="1002"/>
        <v>0.10592314203194675</v>
      </c>
      <c r="M1053" s="2">
        <f t="shared" ca="1" si="1003"/>
        <v>-2.4970094230905314E-2</v>
      </c>
      <c r="N1053" s="2">
        <f t="shared" ca="1" si="1004"/>
        <v>-2.4970094230905314E-2</v>
      </c>
      <c r="O1053" s="2">
        <f t="shared" si="1005"/>
        <v>6000000</v>
      </c>
      <c r="P1053" s="2">
        <f t="shared" ca="1" si="1006"/>
        <v>39175021.790964402</v>
      </c>
      <c r="Q1053" s="2">
        <f t="shared" ca="1" si="1007"/>
        <v>979375.54477411008</v>
      </c>
      <c r="R1053" s="2">
        <f t="shared" ca="1" si="1008"/>
        <v>23505013.074578639</v>
      </c>
      <c r="S1053" s="2">
        <f t="shared" ca="1" si="1009"/>
        <v>15670008.716385761</v>
      </c>
      <c r="T1053" s="2">
        <f t="shared" ca="1" si="1010"/>
        <v>48751495.288454734</v>
      </c>
      <c r="U1053" s="2">
        <f t="shared" ca="1" si="1011"/>
        <v>52631012.8437538</v>
      </c>
      <c r="V1053" s="2">
        <f t="shared" ca="1" si="1012"/>
        <v>56819252.344355702</v>
      </c>
      <c r="W1053" s="2">
        <f t="shared" ca="1" si="1013"/>
        <v>61340781.081979834</v>
      </c>
      <c r="X1053" s="2">
        <f t="shared" ca="1" si="1014"/>
        <v>66222121.349703975</v>
      </c>
      <c r="Y1053" s="2">
        <f t="shared" ca="1" si="1015"/>
        <v>0.12</v>
      </c>
      <c r="Z1053" s="2">
        <f t="shared" ca="1" si="1016"/>
        <v>0.12</v>
      </c>
      <c r="AA1053" s="2">
        <f t="shared" ca="1" si="1017"/>
        <v>5850179.434614568</v>
      </c>
      <c r="AB1053" s="2">
        <f t="shared" ca="1" si="1018"/>
        <v>6315721.5412504561</v>
      </c>
      <c r="AC1053" s="2">
        <f t="shared" ca="1" si="1019"/>
        <v>6818310.2813226841</v>
      </c>
      <c r="AD1053" s="2">
        <f t="shared" ca="1" si="1020"/>
        <v>7360893.7298375797</v>
      </c>
      <c r="AE1053" s="2">
        <f t="shared" ca="1" si="1021"/>
        <v>7946654.5619644765</v>
      </c>
      <c r="AF1053" s="2">
        <f t="shared" ca="1" si="1022"/>
        <v>975029.90576909471</v>
      </c>
      <c r="AG1053" s="2">
        <f t="shared" ca="1" si="1023"/>
        <v>1052620.2568750761</v>
      </c>
      <c r="AH1053" s="2">
        <f t="shared" ca="1" si="1024"/>
        <v>1136385.0468871142</v>
      </c>
      <c r="AI1053" s="2">
        <f t="shared" ca="1" si="1025"/>
        <v>1226815.6216395968</v>
      </c>
      <c r="AJ1053" s="2">
        <f t="shared" ca="1" si="1026"/>
        <v>1324442.4269940795</v>
      </c>
      <c r="AK1053" s="2">
        <f t="shared" ca="1" si="1027"/>
        <v>0</v>
      </c>
      <c r="AL1053" s="2">
        <f t="shared" ca="1" si="1028"/>
        <v>38795.175552990659</v>
      </c>
      <c r="AM1053" s="2">
        <f t="shared" ca="1" si="1029"/>
        <v>41882.395006019025</v>
      </c>
      <c r="AN1053" s="2">
        <f t="shared" ca="1" si="1030"/>
        <v>45215.287376241315</v>
      </c>
      <c r="AO1053" s="2">
        <f t="shared" ca="1" si="1031"/>
        <v>48813.402677241414</v>
      </c>
      <c r="AP1053" s="2">
        <f t="shared" ca="1" si="1032"/>
        <v>2115451.1767120776</v>
      </c>
      <c r="AQ1053" s="2">
        <f t="shared" ca="1" si="1033"/>
        <v>717521.57155468292</v>
      </c>
      <c r="AR1053" s="2">
        <f t="shared" ca="1" si="1034"/>
        <v>818389.02799245855</v>
      </c>
      <c r="AS1053" s="2">
        <f t="shared" ca="1" si="1035"/>
        <v>927283.25500810798</v>
      </c>
      <c r="AT1053" s="2">
        <f t="shared" ca="1" si="1036"/>
        <v>1044843.0021863355</v>
      </c>
      <c r="AU1053" s="2">
        <f t="shared" ca="1" si="1037"/>
        <v>1171757.8491471631</v>
      </c>
      <c r="AV1053" s="2">
        <f t="shared" ca="1" si="1038"/>
        <v>2042176.7805787125</v>
      </c>
      <c r="AW1053" s="2">
        <f t="shared" ca="1" si="1039"/>
        <v>2290465.9041178538</v>
      </c>
      <c r="AX1053" s="2">
        <f t="shared" ca="1" si="1040"/>
        <v>2597308.4077093652</v>
      </c>
      <c r="AY1053" s="2">
        <f t="shared" ca="1" si="1041"/>
        <v>2928568.6419233284</v>
      </c>
      <c r="AZ1053" s="2">
        <f t="shared" ca="1" si="1042"/>
        <v>3286189.7064339141</v>
      </c>
      <c r="BA1053" s="2">
        <f t="shared" ca="1" si="1043"/>
        <v>61251809.267232843</v>
      </c>
      <c r="BB1053" s="2">
        <f t="shared" ca="1" si="1044"/>
        <v>1225036.1853446569</v>
      </c>
      <c r="BC1053" s="2">
        <f t="shared" ca="1" si="1045"/>
        <v>36521760.007309549</v>
      </c>
      <c r="BD1053" s="2">
        <f t="shared" ca="1" si="1046"/>
        <v>-17149384.261159871</v>
      </c>
      <c r="BE1053" s="2">
        <f t="shared" ca="1" si="1047"/>
        <v>2042176.7805787125</v>
      </c>
      <c r="BF1053" s="2">
        <f t="shared" ca="1" si="1048"/>
        <v>2290465.9041178538</v>
      </c>
      <c r="BG1053" s="2">
        <f t="shared" ca="1" si="1049"/>
        <v>2597308.4077093652</v>
      </c>
      <c r="BH1053" s="2">
        <f t="shared" ca="1" si="1050"/>
        <v>2928568.6419233284</v>
      </c>
      <c r="BI1053" s="2">
        <f t="shared" ca="1" si="1051"/>
        <v>39807949.713743463</v>
      </c>
      <c r="BJ1053" s="2">
        <f t="shared" ca="1" si="1052"/>
        <v>0.2756627371768694</v>
      </c>
      <c r="BK1053" s="2">
        <f t="shared" ca="1" si="1053"/>
        <v>12797904.136411499</v>
      </c>
    </row>
    <row r="1054" spans="1:63" x14ac:dyDescent="0.3">
      <c r="A1054" s="2">
        <v>1053</v>
      </c>
      <c r="B1054" s="2">
        <f t="shared" ca="1" si="992"/>
        <v>4.6496918991153491E-3</v>
      </c>
      <c r="C1054" s="2">
        <f t="shared" ca="1" si="993"/>
        <v>6.0964333126996619</v>
      </c>
      <c r="D1054" s="2">
        <f t="shared" ca="1" si="994"/>
        <v>0.46518494384284959</v>
      </c>
      <c r="E1054" s="2">
        <f t="shared" ca="1" si="995"/>
        <v>7.4645568348654727</v>
      </c>
      <c r="F1054" s="2">
        <f t="shared" ca="1" si="996"/>
        <v>0.85498375062750953</v>
      </c>
      <c r="G1054" s="2">
        <f t="shared" ca="1" si="997"/>
        <v>7.1741509809749623E-2</v>
      </c>
      <c r="H1054" s="2">
        <f t="shared" ca="1" si="998"/>
        <v>7.1741509809749623E-2</v>
      </c>
      <c r="I1054" s="2">
        <f t="shared" ca="1" si="999"/>
        <v>1.6263317810767508E-2</v>
      </c>
      <c r="J1054" s="2">
        <f t="shared" ca="1" si="1000"/>
        <v>-6.893906538766939E-4</v>
      </c>
      <c r="K1054" s="2">
        <f t="shared" ca="1" si="1001"/>
        <v>0</v>
      </c>
      <c r="L1054" s="2">
        <f t="shared" ca="1" si="1002"/>
        <v>0.32812047192004701</v>
      </c>
      <c r="M1054" s="2">
        <f t="shared" ca="1" si="1003"/>
        <v>-8.9021811420677659E-3</v>
      </c>
      <c r="N1054" s="2">
        <f t="shared" ca="1" si="1004"/>
        <v>-8.9021811420677659E-3</v>
      </c>
      <c r="O1054" s="2">
        <f t="shared" si="1005"/>
        <v>6000000</v>
      </c>
      <c r="P1054" s="2">
        <f t="shared" ca="1" si="1006"/>
        <v>36578599.876197971</v>
      </c>
      <c r="Q1054" s="2">
        <f t="shared" ca="1" si="1007"/>
        <v>914464.99690494931</v>
      </c>
      <c r="R1054" s="2">
        <f t="shared" ca="1" si="1008"/>
        <v>21947159.925718781</v>
      </c>
      <c r="S1054" s="2">
        <f t="shared" ca="1" si="1009"/>
        <v>14631439.950479189</v>
      </c>
      <c r="T1054" s="2">
        <f t="shared" ca="1" si="1010"/>
        <v>49554890.942896612</v>
      </c>
      <c r="U1054" s="2">
        <f t="shared" ca="1" si="1011"/>
        <v>53110033.637597501</v>
      </c>
      <c r="V1054" s="2">
        <f t="shared" ca="1" si="1012"/>
        <v>56920227.636805333</v>
      </c>
      <c r="W1054" s="2">
        <f t="shared" ca="1" si="1013"/>
        <v>61003770.70618438</v>
      </c>
      <c r="X1054" s="2">
        <f t="shared" ca="1" si="1014"/>
        <v>65380273.320733823</v>
      </c>
      <c r="Y1054" s="2">
        <f t="shared" ca="1" si="1015"/>
        <v>0.12</v>
      </c>
      <c r="Z1054" s="2">
        <f t="shared" ca="1" si="1016"/>
        <v>0.12</v>
      </c>
      <c r="AA1054" s="2">
        <f t="shared" ca="1" si="1017"/>
        <v>5946586.9131475929</v>
      </c>
      <c r="AB1054" s="2">
        <f t="shared" ca="1" si="1018"/>
        <v>6373204.0365116997</v>
      </c>
      <c r="AC1054" s="2">
        <f t="shared" ca="1" si="1019"/>
        <v>6830427.3164166398</v>
      </c>
      <c r="AD1054" s="2">
        <f t="shared" ca="1" si="1020"/>
        <v>7320452.4847421255</v>
      </c>
      <c r="AE1054" s="2">
        <f t="shared" ca="1" si="1021"/>
        <v>7845632.7984880581</v>
      </c>
      <c r="AF1054" s="2">
        <f t="shared" ca="1" si="1022"/>
        <v>991097.81885793223</v>
      </c>
      <c r="AG1054" s="2">
        <f t="shared" ca="1" si="1023"/>
        <v>1062200.6727519501</v>
      </c>
      <c r="AH1054" s="2">
        <f t="shared" ca="1" si="1024"/>
        <v>1138404.5527361068</v>
      </c>
      <c r="AI1054" s="2">
        <f t="shared" ca="1" si="1025"/>
        <v>1220075.4141236877</v>
      </c>
      <c r="AJ1054" s="2">
        <f t="shared" ca="1" si="1026"/>
        <v>1307605.4664146765</v>
      </c>
      <c r="AK1054" s="2">
        <f t="shared" ca="1" si="1027"/>
        <v>0</v>
      </c>
      <c r="AL1054" s="2">
        <f t="shared" ca="1" si="1028"/>
        <v>35551.426947008891</v>
      </c>
      <c r="AM1054" s="2">
        <f t="shared" ca="1" si="1029"/>
        <v>38101.939992078318</v>
      </c>
      <c r="AN1054" s="2">
        <f t="shared" ca="1" si="1030"/>
        <v>40835.430693790469</v>
      </c>
      <c r="AO1054" s="2">
        <f t="shared" ca="1" si="1031"/>
        <v>43765.026145494434</v>
      </c>
      <c r="AP1054" s="2">
        <f t="shared" ca="1" si="1032"/>
        <v>1975244.3933146901</v>
      </c>
      <c r="AQ1054" s="2">
        <f t="shared" ca="1" si="1033"/>
        <v>774863.62225349224</v>
      </c>
      <c r="AR1054" s="2">
        <f t="shared" ca="1" si="1034"/>
        <v>867297.33231571538</v>
      </c>
      <c r="AS1054" s="2">
        <f t="shared" ca="1" si="1035"/>
        <v>966362.37629511906</v>
      </c>
      <c r="AT1054" s="2">
        <f t="shared" ca="1" si="1036"/>
        <v>1072534.4960989743</v>
      </c>
      <c r="AU1054" s="2">
        <f t="shared" ca="1" si="1037"/>
        <v>1186323.5640772597</v>
      </c>
      <c r="AV1054" s="2">
        <f t="shared" ca="1" si="1038"/>
        <v>2205381.0787214777</v>
      </c>
      <c r="AW1054" s="2">
        <f t="shared" ca="1" si="1039"/>
        <v>2432910.2111823354</v>
      </c>
      <c r="AX1054" s="2">
        <f t="shared" ca="1" si="1040"/>
        <v>2712314.0540786451</v>
      </c>
      <c r="AY1054" s="2">
        <f t="shared" ca="1" si="1041"/>
        <v>3011762.7505109822</v>
      </c>
      <c r="AZ1054" s="2">
        <f t="shared" ca="1" si="1042"/>
        <v>3332694.3485359363</v>
      </c>
      <c r="BA1054" s="2">
        <f t="shared" ca="1" si="1043"/>
        <v>58564171.92979876</v>
      </c>
      <c r="BB1054" s="2">
        <f t="shared" ca="1" si="1044"/>
        <v>1171283.4385959753</v>
      </c>
      <c r="BC1054" s="2">
        <f t="shared" ca="1" si="1045"/>
        <v>35445728.56548401</v>
      </c>
      <c r="BD1054" s="2">
        <f t="shared" ca="1" si="1046"/>
        <v>-16045904.947384138</v>
      </c>
      <c r="BE1054" s="2">
        <f t="shared" ca="1" si="1047"/>
        <v>2205381.0787214777</v>
      </c>
      <c r="BF1054" s="2">
        <f t="shared" ca="1" si="1048"/>
        <v>2432910.2111823354</v>
      </c>
      <c r="BG1054" s="2">
        <f t="shared" ca="1" si="1049"/>
        <v>2712314.0540786451</v>
      </c>
      <c r="BH1054" s="2">
        <f t="shared" ca="1" si="1050"/>
        <v>3011762.7505109822</v>
      </c>
      <c r="BI1054" s="2">
        <f t="shared" ca="1" si="1051"/>
        <v>38778422.914019942</v>
      </c>
      <c r="BJ1054" s="2">
        <f t="shared" ca="1" si="1052"/>
        <v>0.29647831941260749</v>
      </c>
      <c r="BK1054" s="2">
        <f t="shared" ca="1" si="1053"/>
        <v>13711206.255664539</v>
      </c>
    </row>
    <row r="1055" spans="1:63" x14ac:dyDescent="0.3">
      <c r="A1055" s="2">
        <v>1054</v>
      </c>
      <c r="B1055" s="2">
        <f t="shared" ca="1" si="992"/>
        <v>0.44961527937728707</v>
      </c>
      <c r="C1055" s="2">
        <f t="shared" ca="1" si="993"/>
        <v>6.9482776801942423</v>
      </c>
      <c r="D1055" s="2">
        <f t="shared" ca="1" si="994"/>
        <v>0.99974567953684756</v>
      </c>
      <c r="E1055" s="2">
        <f t="shared" ca="1" si="995"/>
        <v>8.4774469308894584</v>
      </c>
      <c r="F1055" s="2">
        <f t="shared" ca="1" si="996"/>
        <v>0.82754128622699508</v>
      </c>
      <c r="G1055" s="2">
        <f t="shared" ca="1" si="997"/>
        <v>6.8334810540500446E-2</v>
      </c>
      <c r="H1055" s="2">
        <f t="shared" ca="1" si="998"/>
        <v>6.8334810540500446E-2</v>
      </c>
      <c r="I1055" s="2">
        <f t="shared" ca="1" si="999"/>
        <v>0.1192204365558841</v>
      </c>
      <c r="J1055" s="2">
        <f t="shared" ca="1" si="1000"/>
        <v>4.1055361005486726E-3</v>
      </c>
      <c r="K1055" s="2">
        <f t="shared" ca="1" si="1001"/>
        <v>4.1055361005486726E-3</v>
      </c>
      <c r="L1055" s="2">
        <f t="shared" ca="1" si="1002"/>
        <v>0.50136086540294489</v>
      </c>
      <c r="M1055" s="2">
        <f t="shared" ca="1" si="1003"/>
        <v>6.8223806250740135E-5</v>
      </c>
      <c r="N1055" s="2">
        <f t="shared" ca="1" si="1004"/>
        <v>6.8223806250740135E-5</v>
      </c>
      <c r="O1055" s="2">
        <f t="shared" si="1005"/>
        <v>6000000</v>
      </c>
      <c r="P1055" s="2">
        <f t="shared" ca="1" si="1006"/>
        <v>41689666.081165455</v>
      </c>
      <c r="Q1055" s="2">
        <f t="shared" ca="1" si="1007"/>
        <v>1042241.6520291364</v>
      </c>
      <c r="R1055" s="2">
        <f t="shared" ca="1" si="1008"/>
        <v>25013799.648699272</v>
      </c>
      <c r="S1055" s="2">
        <f t="shared" ca="1" si="1009"/>
        <v>16675866.432466183</v>
      </c>
      <c r="T1055" s="2">
        <f t="shared" ca="1" si="1010"/>
        <v>50003411.190312542</v>
      </c>
      <c r="U1055" s="2">
        <f t="shared" ca="1" si="1011"/>
        <v>53420384.820381284</v>
      </c>
      <c r="V1055" s="2">
        <f t="shared" ca="1" si="1012"/>
        <v>57070856.696082659</v>
      </c>
      <c r="W1055" s="2">
        <f t="shared" ca="1" si="1013"/>
        <v>60970782.875793517</v>
      </c>
      <c r="X1055" s="2">
        <f t="shared" ca="1" si="1014"/>
        <v>65137209.772116855</v>
      </c>
      <c r="Y1055" s="2">
        <f t="shared" ca="1" si="1015"/>
        <v>0.12205276805027433</v>
      </c>
      <c r="Z1055" s="2">
        <f t="shared" ca="1" si="1016"/>
        <v>0.12287387527038407</v>
      </c>
      <c r="AA1055" s="2">
        <f t="shared" ca="1" si="1017"/>
        <v>6103054.7477337085</v>
      </c>
      <c r="AB1055" s="2">
        <f t="shared" ca="1" si="1018"/>
        <v>6563969.7013154486</v>
      </c>
      <c r="AC1055" s="2">
        <f t="shared" ca="1" si="1019"/>
        <v>7012517.3272484243</v>
      </c>
      <c r="AD1055" s="2">
        <f t="shared" ca="1" si="1020"/>
        <v>7491716.3702179212</v>
      </c>
      <c r="AE1055" s="2">
        <f t="shared" ca="1" si="1021"/>
        <v>8003661.3889999287</v>
      </c>
      <c r="AF1055" s="2">
        <f t="shared" ca="1" si="1022"/>
        <v>1000068.2238062508</v>
      </c>
      <c r="AG1055" s="2">
        <f t="shared" ca="1" si="1023"/>
        <v>1068407.6964076257</v>
      </c>
      <c r="AH1055" s="2">
        <f t="shared" ca="1" si="1024"/>
        <v>1141417.1339216533</v>
      </c>
      <c r="AI1055" s="2">
        <f t="shared" ca="1" si="1025"/>
        <v>1219415.6575158704</v>
      </c>
      <c r="AJ1055" s="2">
        <f t="shared" ca="1" si="1026"/>
        <v>1302744.1954423371</v>
      </c>
      <c r="AK1055" s="2">
        <f t="shared" ca="1" si="1027"/>
        <v>0</v>
      </c>
      <c r="AL1055" s="2">
        <f t="shared" ca="1" si="1028"/>
        <v>34169.736300687415</v>
      </c>
      <c r="AM1055" s="2">
        <f t="shared" ca="1" si="1029"/>
        <v>36504.718757013754</v>
      </c>
      <c r="AN1055" s="2">
        <f t="shared" ca="1" si="1030"/>
        <v>38999.261797108578</v>
      </c>
      <c r="AO1055" s="2">
        <f t="shared" ca="1" si="1031"/>
        <v>41664.268963233386</v>
      </c>
      <c r="AP1055" s="2">
        <f t="shared" ca="1" si="1032"/>
        <v>2251241.9683829346</v>
      </c>
      <c r="AQ1055" s="2">
        <f t="shared" ca="1" si="1033"/>
        <v>741453.58444157604</v>
      </c>
      <c r="AR1055" s="2">
        <f t="shared" ca="1" si="1034"/>
        <v>843523.2094964711</v>
      </c>
      <c r="AS1055" s="2">
        <f t="shared" ca="1" si="1035"/>
        <v>941163.13848539756</v>
      </c>
      <c r="AT1055" s="2">
        <f t="shared" ca="1" si="1036"/>
        <v>1045475.2735229703</v>
      </c>
      <c r="AU1055" s="2">
        <f t="shared" ca="1" si="1037"/>
        <v>1156915.5585454111</v>
      </c>
      <c r="AV1055" s="2">
        <f t="shared" ca="1" si="1038"/>
        <v>2110290.9711029469</v>
      </c>
      <c r="AW1055" s="2">
        <f t="shared" ca="1" si="1039"/>
        <v>2366627.0907277302</v>
      </c>
      <c r="AX1055" s="2">
        <f t="shared" ca="1" si="1040"/>
        <v>2642190.3677014257</v>
      </c>
      <c r="AY1055" s="2">
        <f t="shared" ca="1" si="1041"/>
        <v>2936584.2089990373</v>
      </c>
      <c r="AZ1055" s="2">
        <f t="shared" ca="1" si="1042"/>
        <v>3251095.3976660124</v>
      </c>
      <c r="BA1055" s="2">
        <f t="shared" ca="1" si="1043"/>
        <v>67850614.678055912</v>
      </c>
      <c r="BB1055" s="2">
        <f t="shared" ca="1" si="1044"/>
        <v>1357012.2935611182</v>
      </c>
      <c r="BC1055" s="2">
        <f t="shared" ca="1" si="1045"/>
        <v>41479802.735795528</v>
      </c>
      <c r="BD1055" s="2">
        <f t="shared" ca="1" si="1046"/>
        <v>-18218108.084495321</v>
      </c>
      <c r="BE1055" s="2">
        <f t="shared" ca="1" si="1047"/>
        <v>2110290.9711029469</v>
      </c>
      <c r="BF1055" s="2">
        <f t="shared" ca="1" si="1048"/>
        <v>2366627.0907277302</v>
      </c>
      <c r="BG1055" s="2">
        <f t="shared" ca="1" si="1049"/>
        <v>2642190.3677014257</v>
      </c>
      <c r="BH1055" s="2">
        <f t="shared" ca="1" si="1050"/>
        <v>2936584.2089990373</v>
      </c>
      <c r="BI1055" s="2">
        <f t="shared" ca="1" si="1051"/>
        <v>44730898.133461542</v>
      </c>
      <c r="BJ1055" s="2">
        <f t="shared" ca="1" si="1052"/>
        <v>0.28410630481185373</v>
      </c>
      <c r="BK1055" s="2">
        <f t="shared" ca="1" si="1053"/>
        <v>14681165.059344213</v>
      </c>
    </row>
    <row r="1056" spans="1:63" x14ac:dyDescent="0.3">
      <c r="A1056" s="2">
        <v>1055</v>
      </c>
      <c r="B1056" s="2">
        <f t="shared" ca="1" si="992"/>
        <v>0.36368645050866699</v>
      </c>
      <c r="C1056" s="2">
        <f t="shared" ca="1" si="993"/>
        <v>6.8528615954639616</v>
      </c>
      <c r="D1056" s="2">
        <f t="shared" ca="1" si="994"/>
        <v>0.3238508110435715</v>
      </c>
      <c r="E1056" s="2">
        <f t="shared" ca="1" si="995"/>
        <v>7.3047991190894423</v>
      </c>
      <c r="F1056" s="2">
        <f t="shared" ca="1" si="996"/>
        <v>0.82213636098334586</v>
      </c>
      <c r="G1056" s="2">
        <f t="shared" ca="1" si="997"/>
        <v>6.7706118626153722E-2</v>
      </c>
      <c r="H1056" s="2">
        <f t="shared" ca="1" si="998"/>
        <v>6.7706118626153722E-2</v>
      </c>
      <c r="I1056" s="2">
        <f t="shared" ca="1" si="999"/>
        <v>0.78893967051445479</v>
      </c>
      <c r="J1056" s="2">
        <f t="shared" ca="1" si="1000"/>
        <v>1.4013737787838619E-2</v>
      </c>
      <c r="K1056" s="2">
        <f t="shared" ca="1" si="1001"/>
        <v>1.4013737787838619E-2</v>
      </c>
      <c r="L1056" s="2">
        <f t="shared" ca="1" si="1002"/>
        <v>0.20231798498417519</v>
      </c>
      <c r="M1056" s="2">
        <f t="shared" ca="1" si="1003"/>
        <v>-1.6667404211986151E-2</v>
      </c>
      <c r="N1056" s="2">
        <f t="shared" ca="1" si="1004"/>
        <v>-1.6667404211986151E-2</v>
      </c>
      <c r="O1056" s="2">
        <f t="shared" si="1005"/>
        <v>6000000</v>
      </c>
      <c r="P1056" s="2">
        <f t="shared" ca="1" si="1006"/>
        <v>41117169.572783768</v>
      </c>
      <c r="Q1056" s="2">
        <f t="shared" ca="1" si="1007"/>
        <v>1027929.2393195942</v>
      </c>
      <c r="R1056" s="2">
        <f t="shared" ca="1" si="1008"/>
        <v>24670301.743670259</v>
      </c>
      <c r="S1056" s="2">
        <f t="shared" ca="1" si="1009"/>
        <v>16446867.829113508</v>
      </c>
      <c r="T1056" s="2">
        <f t="shared" ca="1" si="1010"/>
        <v>49166629.789400689</v>
      </c>
      <c r="U1056" s="2">
        <f t="shared" ca="1" si="1011"/>
        <v>52495511.45837003</v>
      </c>
      <c r="V1056" s="2">
        <f t="shared" ca="1" si="1012"/>
        <v>56049778.784511037</v>
      </c>
      <c r="W1056" s="2">
        <f t="shared" ca="1" si="1013"/>
        <v>59844691.755864806</v>
      </c>
      <c r="X1056" s="2">
        <f t="shared" ca="1" si="1014"/>
        <v>63896543.555032983</v>
      </c>
      <c r="Y1056" s="2">
        <f t="shared" ca="1" si="1015"/>
        <v>0.12700686889391929</v>
      </c>
      <c r="Z1056" s="2">
        <f t="shared" ca="1" si="1016"/>
        <v>0.12980961645148703</v>
      </c>
      <c r="AA1056" s="2">
        <f t="shared" ca="1" si="1017"/>
        <v>6244499.7036182806</v>
      </c>
      <c r="AB1056" s="2">
        <f t="shared" ca="1" si="1018"/>
        <v>6814422.2078356566</v>
      </c>
      <c r="AC1056" s="2">
        <f t="shared" ca="1" si="1019"/>
        <v>7275800.2862080727</v>
      </c>
      <c r="AD1056" s="2">
        <f t="shared" ca="1" si="1020"/>
        <v>7768416.4834862789</v>
      </c>
      <c r="AE1056" s="2">
        <f t="shared" ca="1" si="1021"/>
        <v>8294385.8114545671</v>
      </c>
      <c r="AF1056" s="2">
        <f t="shared" ca="1" si="1022"/>
        <v>983332.59578801377</v>
      </c>
      <c r="AG1056" s="2">
        <f t="shared" ca="1" si="1023"/>
        <v>1049910.2291674006</v>
      </c>
      <c r="AH1056" s="2">
        <f t="shared" ca="1" si="1024"/>
        <v>1120995.5756902208</v>
      </c>
      <c r="AI1056" s="2">
        <f t="shared" ca="1" si="1025"/>
        <v>1196893.8351172961</v>
      </c>
      <c r="AJ1056" s="2">
        <f t="shared" ca="1" si="1026"/>
        <v>1277930.8711006597</v>
      </c>
      <c r="AK1056" s="2">
        <f t="shared" ca="1" si="1027"/>
        <v>0</v>
      </c>
      <c r="AL1056" s="2">
        <f t="shared" ca="1" si="1028"/>
        <v>33288.816689693405</v>
      </c>
      <c r="AM1056" s="2">
        <f t="shared" ca="1" si="1029"/>
        <v>35542.673261410077</v>
      </c>
      <c r="AN1056" s="2">
        <f t="shared" ca="1" si="1030"/>
        <v>37949.129713537695</v>
      </c>
      <c r="AO1056" s="2">
        <f t="shared" ca="1" si="1031"/>
        <v>40518.517991681772</v>
      </c>
      <c r="AP1056" s="2">
        <f t="shared" ca="1" si="1032"/>
        <v>2220327.1569303232</v>
      </c>
      <c r="AQ1056" s="2">
        <f t="shared" ca="1" si="1033"/>
        <v>790618.38723398524</v>
      </c>
      <c r="AR1056" s="2">
        <f t="shared" ca="1" si="1034"/>
        <v>921488.05365186243</v>
      </c>
      <c r="AS1056" s="2">
        <f t="shared" ca="1" si="1035"/>
        <v>1022964.1639327575</v>
      </c>
      <c r="AT1056" s="2">
        <f t="shared" ca="1" si="1036"/>
        <v>1131310.8277740513</v>
      </c>
      <c r="AU1056" s="2">
        <f t="shared" ca="1" si="1037"/>
        <v>1246993.2236901319</v>
      </c>
      <c r="AV1056" s="2">
        <f t="shared" ca="1" si="1038"/>
        <v>2250221.5636659577</v>
      </c>
      <c r="AW1056" s="2">
        <f t="shared" ca="1" si="1039"/>
        <v>2589407.9513963764</v>
      </c>
      <c r="AX1056" s="2">
        <f t="shared" ca="1" si="1040"/>
        <v>2875970.7163933613</v>
      </c>
      <c r="AY1056" s="2">
        <f t="shared" ca="1" si="1041"/>
        <v>3181935.5339510697</v>
      </c>
      <c r="AZ1056" s="2">
        <f t="shared" ca="1" si="1042"/>
        <v>3508616.0417417712</v>
      </c>
      <c r="BA1056" s="2">
        <f t="shared" ca="1" si="1043"/>
        <v>60588822.168901294</v>
      </c>
      <c r="BB1056" s="2">
        <f t="shared" ca="1" si="1044"/>
        <v>1211776.4433780259</v>
      </c>
      <c r="BC1056" s="2">
        <f t="shared" ca="1" si="1045"/>
        <v>34706743.981853016</v>
      </c>
      <c r="BD1056" s="2">
        <f t="shared" ca="1" si="1046"/>
        <v>-17974797.068433102</v>
      </c>
      <c r="BE1056" s="2">
        <f t="shared" ca="1" si="1047"/>
        <v>2250221.5636659577</v>
      </c>
      <c r="BF1056" s="2">
        <f t="shared" ca="1" si="1048"/>
        <v>2589407.9513963764</v>
      </c>
      <c r="BG1056" s="2">
        <f t="shared" ca="1" si="1049"/>
        <v>2875970.7163933613</v>
      </c>
      <c r="BH1056" s="2">
        <f t="shared" ca="1" si="1050"/>
        <v>3181935.5339510697</v>
      </c>
      <c r="BI1056" s="2">
        <f t="shared" ca="1" si="1051"/>
        <v>38215360.023594789</v>
      </c>
      <c r="BJ1056" s="2">
        <f t="shared" ca="1" si="1052"/>
        <v>0.26298608980589888</v>
      </c>
      <c r="BK1056" s="2">
        <f t="shared" ca="1" si="1053"/>
        <v>11852247.776738193</v>
      </c>
    </row>
    <row r="1057" spans="1:63" x14ac:dyDescent="0.3">
      <c r="A1057" s="2">
        <v>1056</v>
      </c>
      <c r="B1057" s="2">
        <f t="shared" ca="1" si="992"/>
        <v>0.11544583713967604</v>
      </c>
      <c r="C1057" s="2">
        <f t="shared" ca="1" si="993"/>
        <v>6.4805118877607004</v>
      </c>
      <c r="D1057" s="2">
        <f t="shared" ca="1" si="994"/>
        <v>0.2898690530726602</v>
      </c>
      <c r="E1057" s="2">
        <f t="shared" ca="1" si="995"/>
        <v>7.2614053494330868</v>
      </c>
      <c r="F1057" s="2">
        <f t="shared" ca="1" si="996"/>
        <v>0.57167628940240645</v>
      </c>
      <c r="G1057" s="2">
        <f t="shared" ca="1" si="997"/>
        <v>4.5419304551930419E-2</v>
      </c>
      <c r="H1057" s="2">
        <f t="shared" ca="1" si="998"/>
        <v>4.5419304551930419E-2</v>
      </c>
      <c r="I1057" s="2">
        <f t="shared" ca="1" si="999"/>
        <v>1.0600191768629585E-2</v>
      </c>
      <c r="J1057" s="2">
        <f t="shared" ca="1" si="1000"/>
        <v>-1.5219836381191974E-3</v>
      </c>
      <c r="K1057" s="2">
        <f t="shared" ca="1" si="1001"/>
        <v>0</v>
      </c>
      <c r="L1057" s="2">
        <f t="shared" ca="1" si="1002"/>
        <v>0.62747625213275149</v>
      </c>
      <c r="M1057" s="2">
        <f t="shared" ca="1" si="1003"/>
        <v>6.5035299363154124E-3</v>
      </c>
      <c r="N1057" s="2">
        <f t="shared" ca="1" si="1004"/>
        <v>6.5035299363154124E-3</v>
      </c>
      <c r="O1057" s="2">
        <f t="shared" si="1005"/>
        <v>6000000</v>
      </c>
      <c r="P1057" s="2">
        <f t="shared" ca="1" si="1006"/>
        <v>38883071.3265642</v>
      </c>
      <c r="Q1057" s="2">
        <f t="shared" ca="1" si="1007"/>
        <v>972076.78316410503</v>
      </c>
      <c r="R1057" s="2">
        <f t="shared" ca="1" si="1008"/>
        <v>23329842.795938518</v>
      </c>
      <c r="S1057" s="2">
        <f t="shared" ca="1" si="1009"/>
        <v>15553228.53062568</v>
      </c>
      <c r="T1057" s="2">
        <f t="shared" ca="1" si="1010"/>
        <v>50325176.496815771</v>
      </c>
      <c r="U1057" s="2">
        <f t="shared" ca="1" si="1011"/>
        <v>52610911.014754295</v>
      </c>
      <c r="V1057" s="2">
        <f t="shared" ca="1" si="1012"/>
        <v>55000462.004887931</v>
      </c>
      <c r="W1057" s="2">
        <f t="shared" ca="1" si="1013"/>
        <v>57498544.739184812</v>
      </c>
      <c r="X1057" s="2">
        <f t="shared" ca="1" si="1014"/>
        <v>60110088.653986648</v>
      </c>
      <c r="Y1057" s="2">
        <f t="shared" ca="1" si="1015"/>
        <v>0.12</v>
      </c>
      <c r="Z1057" s="2">
        <f t="shared" ca="1" si="1016"/>
        <v>0.12</v>
      </c>
      <c r="AA1057" s="2">
        <f t="shared" ca="1" si="1017"/>
        <v>6039021.179617892</v>
      </c>
      <c r="AB1057" s="2">
        <f t="shared" ca="1" si="1018"/>
        <v>6313309.3217705153</v>
      </c>
      <c r="AC1057" s="2">
        <f t="shared" ca="1" si="1019"/>
        <v>6600055.4405865511</v>
      </c>
      <c r="AD1057" s="2">
        <f t="shared" ca="1" si="1020"/>
        <v>6899825.368702177</v>
      </c>
      <c r="AE1057" s="2">
        <f t="shared" ca="1" si="1021"/>
        <v>7213210.6384783974</v>
      </c>
      <c r="AF1057" s="2">
        <f t="shared" ca="1" si="1022"/>
        <v>1006503.5299363155</v>
      </c>
      <c r="AG1057" s="2">
        <f t="shared" ca="1" si="1023"/>
        <v>1052218.220295086</v>
      </c>
      <c r="AH1057" s="2">
        <f t="shared" ca="1" si="1024"/>
        <v>1100009.2400977586</v>
      </c>
      <c r="AI1057" s="2">
        <f t="shared" ca="1" si="1025"/>
        <v>1149970.8947836962</v>
      </c>
      <c r="AJ1057" s="2">
        <f t="shared" ca="1" si="1026"/>
        <v>1202201.7730797329</v>
      </c>
      <c r="AK1057" s="2">
        <f t="shared" ca="1" si="1027"/>
        <v>0</v>
      </c>
      <c r="AL1057" s="2">
        <f t="shared" ca="1" si="1028"/>
        <v>22857.345179385244</v>
      </c>
      <c r="AM1057" s="2">
        <f t="shared" ca="1" si="1029"/>
        <v>23895.509901336358</v>
      </c>
      <c r="AN1057" s="2">
        <f t="shared" ca="1" si="1030"/>
        <v>24980.827342968809</v>
      </c>
      <c r="AO1057" s="2">
        <f t="shared" ca="1" si="1031"/>
        <v>26115.439148018362</v>
      </c>
      <c r="AP1057" s="2">
        <f t="shared" ca="1" si="1032"/>
        <v>2099685.8516344666</v>
      </c>
      <c r="AQ1057" s="2">
        <f t="shared" ca="1" si="1033"/>
        <v>762536.26749224868</v>
      </c>
      <c r="AR1057" s="2">
        <f t="shared" ca="1" si="1034"/>
        <v>821965.3649586502</v>
      </c>
      <c r="AS1057" s="2">
        <f t="shared" ca="1" si="1035"/>
        <v>884093.69070212485</v>
      </c>
      <c r="AT1057" s="2">
        <f t="shared" ca="1" si="1036"/>
        <v>949043.84179384378</v>
      </c>
      <c r="AU1057" s="2">
        <f t="shared" ca="1" si="1037"/>
        <v>1016943.9835786914</v>
      </c>
      <c r="AV1057" s="2">
        <f t="shared" ca="1" si="1038"/>
        <v>2170295.5305548613</v>
      </c>
      <c r="AW1057" s="2">
        <f t="shared" ca="1" si="1039"/>
        <v>2316582.5397029263</v>
      </c>
      <c r="AX1057" s="2">
        <f t="shared" ca="1" si="1040"/>
        <v>2492371.1482508653</v>
      </c>
      <c r="AY1057" s="2">
        <f t="shared" ca="1" si="1041"/>
        <v>2676143.9531472023</v>
      </c>
      <c r="AZ1057" s="2">
        <f t="shared" ca="1" si="1042"/>
        <v>2868263.5910374881</v>
      </c>
      <c r="BA1057" s="2">
        <f t="shared" ca="1" si="1043"/>
        <v>52378046.316834688</v>
      </c>
      <c r="BB1057" s="2">
        <f t="shared" ca="1" si="1044"/>
        <v>1047560.9263366938</v>
      </c>
      <c r="BC1057" s="2">
        <f t="shared" ca="1" si="1045"/>
        <v>28000642.594559476</v>
      </c>
      <c r="BD1057" s="2">
        <f t="shared" ca="1" si="1046"/>
        <v>-17025305.313789785</v>
      </c>
      <c r="BE1057" s="2">
        <f t="shared" ca="1" si="1047"/>
        <v>2170295.5305548613</v>
      </c>
      <c r="BF1057" s="2">
        <f t="shared" ca="1" si="1048"/>
        <v>2316582.5397029263</v>
      </c>
      <c r="BG1057" s="2">
        <f t="shared" ca="1" si="1049"/>
        <v>2492371.1482508653</v>
      </c>
      <c r="BH1057" s="2">
        <f t="shared" ca="1" si="1050"/>
        <v>2676143.9531472023</v>
      </c>
      <c r="BI1057" s="2">
        <f t="shared" ca="1" si="1051"/>
        <v>30868906.185596965</v>
      </c>
      <c r="BJ1057" s="2">
        <f t="shared" ca="1" si="1052"/>
        <v>0.22543355554384448</v>
      </c>
      <c r="BK1057" s="2">
        <f t="shared" ca="1" si="1053"/>
        <v>7749828.7628193349</v>
      </c>
    </row>
    <row r="1058" spans="1:63" x14ac:dyDescent="0.3">
      <c r="A1058" s="2">
        <v>1057</v>
      </c>
      <c r="B1058" s="2">
        <f t="shared" ca="1" si="992"/>
        <v>0.16085503273895685</v>
      </c>
      <c r="C1058" s="2">
        <f t="shared" ca="1" si="993"/>
        <v>6.5671949096015529</v>
      </c>
      <c r="D1058" s="2">
        <f t="shared" ca="1" si="994"/>
        <v>1.8841303620630634E-2</v>
      </c>
      <c r="E1058" s="2">
        <f t="shared" ca="1" si="995"/>
        <v>6.6941200845900841</v>
      </c>
      <c r="F1058" s="2">
        <f t="shared" ca="1" si="996"/>
        <v>0.38088542281393722</v>
      </c>
      <c r="G1058" s="2">
        <f t="shared" ca="1" si="997"/>
        <v>3.0905314749866575E-2</v>
      </c>
      <c r="H1058" s="2">
        <f t="shared" ca="1" si="998"/>
        <v>3.0905314749866575E-2</v>
      </c>
      <c r="I1058" s="2">
        <f t="shared" ca="1" si="999"/>
        <v>0.96261685670967401</v>
      </c>
      <c r="J1058" s="2">
        <f t="shared" ca="1" si="1000"/>
        <v>1.8909477130175285E-2</v>
      </c>
      <c r="K1058" s="2">
        <f t="shared" ca="1" si="1001"/>
        <v>1.8909477130175285E-2</v>
      </c>
      <c r="L1058" s="2">
        <f t="shared" ca="1" si="1002"/>
        <v>0.38805904019800974</v>
      </c>
      <c r="M1058" s="2">
        <f t="shared" ca="1" si="1003"/>
        <v>-5.6876288113855708E-3</v>
      </c>
      <c r="N1058" s="2">
        <f t="shared" ca="1" si="1004"/>
        <v>-5.6876288113855708E-3</v>
      </c>
      <c r="O1058" s="2">
        <f t="shared" si="1005"/>
        <v>6000000</v>
      </c>
      <c r="P1058" s="2">
        <f t="shared" ca="1" si="1006"/>
        <v>39403169.457609318</v>
      </c>
      <c r="Q1058" s="2">
        <f t="shared" ca="1" si="1007"/>
        <v>985079.23644023295</v>
      </c>
      <c r="R1058" s="2">
        <f t="shared" ca="1" si="1008"/>
        <v>23641901.674565591</v>
      </c>
      <c r="S1058" s="2">
        <f t="shared" ca="1" si="1009"/>
        <v>15761267.783043727</v>
      </c>
      <c r="T1058" s="2">
        <f t="shared" ca="1" si="1010"/>
        <v>49715618.559430718</v>
      </c>
      <c r="U1058" s="2">
        <f t="shared" ca="1" si="1011"/>
        <v>51252095.39899423</v>
      </c>
      <c r="V1058" s="2">
        <f t="shared" ca="1" si="1012"/>
        <v>52836057.538890332</v>
      </c>
      <c r="W1058" s="2">
        <f t="shared" ca="1" si="1013"/>
        <v>54468972.5272718</v>
      </c>
      <c r="X1058" s="2">
        <f t="shared" ca="1" si="1014"/>
        <v>56152353.26732897</v>
      </c>
      <c r="Y1058" s="2">
        <f t="shared" ca="1" si="1015"/>
        <v>0.12945473856508763</v>
      </c>
      <c r="Z1058" s="2">
        <f t="shared" ca="1" si="1016"/>
        <v>0.1332366339911227</v>
      </c>
      <c r="AA1058" s="2">
        <f t="shared" ca="1" si="1017"/>
        <v>6435922.4032127224</v>
      </c>
      <c r="AB1058" s="2">
        <f t="shared" ca="1" si="1018"/>
        <v>6828656.6759538986</v>
      </c>
      <c r="AC1058" s="2">
        <f t="shared" ca="1" si="1019"/>
        <v>7039698.4598430302</v>
      </c>
      <c r="AD1058" s="2">
        <f t="shared" ca="1" si="1020"/>
        <v>7257262.5564886304</v>
      </c>
      <c r="AE1058" s="2">
        <f t="shared" ca="1" si="1021"/>
        <v>7481550.5400193334</v>
      </c>
      <c r="AF1058" s="2">
        <f t="shared" ca="1" si="1022"/>
        <v>994312.3711886144</v>
      </c>
      <c r="AG1058" s="2">
        <f t="shared" ca="1" si="1023"/>
        <v>1025041.9079798847</v>
      </c>
      <c r="AH1058" s="2">
        <f t="shared" ca="1" si="1024"/>
        <v>1056721.1507778068</v>
      </c>
      <c r="AI1058" s="2">
        <f t="shared" ca="1" si="1025"/>
        <v>1089379.450545436</v>
      </c>
      <c r="AJ1058" s="2">
        <f t="shared" ca="1" si="1026"/>
        <v>1123047.0653465795</v>
      </c>
      <c r="AK1058" s="2">
        <f t="shared" ca="1" si="1027"/>
        <v>0</v>
      </c>
      <c r="AL1058" s="2">
        <f t="shared" ca="1" si="1028"/>
        <v>15364.768395635114</v>
      </c>
      <c r="AM1058" s="2">
        <f t="shared" ca="1" si="1029"/>
        <v>15839.621398961022</v>
      </c>
      <c r="AN1058" s="2">
        <f t="shared" ca="1" si="1030"/>
        <v>16329.149883814678</v>
      </c>
      <c r="AO1058" s="2">
        <f t="shared" ca="1" si="1031"/>
        <v>16833.807400571703</v>
      </c>
      <c r="AP1058" s="2">
        <f t="shared" ca="1" si="1032"/>
        <v>2127771.1507109031</v>
      </c>
      <c r="AQ1058" s="2">
        <f t="shared" ca="1" si="1033"/>
        <v>861598.10914143326</v>
      </c>
      <c r="AR1058" s="2">
        <f t="shared" ca="1" si="1034"/>
        <v>955719.34048840869</v>
      </c>
      <c r="AS1058" s="2">
        <f t="shared" ca="1" si="1035"/>
        <v>1002353.6011721233</v>
      </c>
      <c r="AT1058" s="2">
        <f t="shared" ca="1" si="1036"/>
        <v>1050429.1083603958</v>
      </c>
      <c r="AU1058" s="2">
        <f t="shared" ca="1" si="1037"/>
        <v>1099990.404230081</v>
      </c>
      <c r="AV1058" s="2">
        <f t="shared" ca="1" si="1038"/>
        <v>2452240.7721717712</v>
      </c>
      <c r="AW1058" s="2">
        <f t="shared" ca="1" si="1039"/>
        <v>2704759.5083790664</v>
      </c>
      <c r="AX1058" s="2">
        <f t="shared" ca="1" si="1040"/>
        <v>2837012.9357832363</v>
      </c>
      <c r="AY1058" s="2">
        <f t="shared" ca="1" si="1041"/>
        <v>2973353.6969880806</v>
      </c>
      <c r="AZ1058" s="2">
        <f t="shared" ca="1" si="1042"/>
        <v>3113908.1123311967</v>
      </c>
      <c r="BA1058" s="2">
        <f t="shared" ca="1" si="1043"/>
        <v>50082397.733819209</v>
      </c>
      <c r="BB1058" s="2">
        <f t="shared" ca="1" si="1044"/>
        <v>1001647.9546763842</v>
      </c>
      <c r="BC1058" s="2">
        <f t="shared" ca="1" si="1045"/>
        <v>25438848.104577232</v>
      </c>
      <c r="BD1058" s="2">
        <f t="shared" ca="1" si="1046"/>
        <v>-17246347.019483961</v>
      </c>
      <c r="BE1058" s="2">
        <f t="shared" ca="1" si="1047"/>
        <v>2452240.7721717712</v>
      </c>
      <c r="BF1058" s="2">
        <f t="shared" ca="1" si="1048"/>
        <v>2704759.5083790664</v>
      </c>
      <c r="BG1058" s="2">
        <f t="shared" ca="1" si="1049"/>
        <v>2837012.9357832363</v>
      </c>
      <c r="BH1058" s="2">
        <f t="shared" ca="1" si="1050"/>
        <v>2973353.6969880806</v>
      </c>
      <c r="BI1058" s="2">
        <f t="shared" ca="1" si="1051"/>
        <v>28552756.216908429</v>
      </c>
      <c r="BJ1058" s="2">
        <f t="shared" ca="1" si="1052"/>
        <v>0.2208909860187025</v>
      </c>
      <c r="BK1058" s="2">
        <f t="shared" ca="1" si="1053"/>
        <v>7209921.8709522635</v>
      </c>
    </row>
    <row r="1059" spans="1:63" x14ac:dyDescent="0.3">
      <c r="A1059" s="2">
        <v>1058</v>
      </c>
      <c r="B1059" s="2">
        <f t="shared" ca="1" si="992"/>
        <v>0.60357117038595809</v>
      </c>
      <c r="C1059" s="2">
        <f t="shared" ca="1" si="993"/>
        <v>7.1095744504855647</v>
      </c>
      <c r="D1059" s="2">
        <f t="shared" ca="1" si="994"/>
        <v>0.39931966812137087</v>
      </c>
      <c r="E1059" s="2">
        <f t="shared" ca="1" si="995"/>
        <v>7.3936662331333451</v>
      </c>
      <c r="F1059" s="2">
        <f t="shared" ca="1" si="996"/>
        <v>0.39706825410534685</v>
      </c>
      <c r="G1059" s="2">
        <f t="shared" ca="1" si="997"/>
        <v>3.2171711718522629E-2</v>
      </c>
      <c r="H1059" s="2">
        <f t="shared" ca="1" si="998"/>
        <v>3.2171711718522629E-2</v>
      </c>
      <c r="I1059" s="2">
        <f t="shared" ca="1" si="999"/>
        <v>0.74007439763292437</v>
      </c>
      <c r="J1059" s="2">
        <f t="shared" ca="1" si="1000"/>
        <v>1.3217873930509385E-2</v>
      </c>
      <c r="K1059" s="2">
        <f t="shared" ca="1" si="1001"/>
        <v>1.3217873930509385E-2</v>
      </c>
      <c r="L1059" s="2">
        <f t="shared" ca="1" si="1002"/>
        <v>0.353653743109963</v>
      </c>
      <c r="M1059" s="2">
        <f t="shared" ca="1" si="1003"/>
        <v>-7.5094932641683043E-3</v>
      </c>
      <c r="N1059" s="2">
        <f t="shared" ca="1" si="1004"/>
        <v>-7.5094932641683043E-3</v>
      </c>
      <c r="O1059" s="2">
        <f t="shared" si="1005"/>
        <v>6000000</v>
      </c>
      <c r="P1059" s="2">
        <f t="shared" ca="1" si="1006"/>
        <v>42657446.702913389</v>
      </c>
      <c r="Q1059" s="2">
        <f t="shared" ca="1" si="1007"/>
        <v>1066436.1675728348</v>
      </c>
      <c r="R1059" s="2">
        <f t="shared" ca="1" si="1008"/>
        <v>25594468.021748032</v>
      </c>
      <c r="S1059" s="2">
        <f t="shared" ca="1" si="1009"/>
        <v>17062978.681165356</v>
      </c>
      <c r="T1059" s="2">
        <f t="shared" ca="1" si="1010"/>
        <v>49624525.33679159</v>
      </c>
      <c r="U1059" s="2">
        <f t="shared" ca="1" si="1011"/>
        <v>51221031.260095373</v>
      </c>
      <c r="V1059" s="2">
        <f t="shared" ca="1" si="1012"/>
        <v>52868899.511720605</v>
      </c>
      <c r="W1059" s="2">
        <f t="shared" ca="1" si="1013"/>
        <v>54569782.505687229</v>
      </c>
      <c r="X1059" s="2">
        <f t="shared" ca="1" si="1014"/>
        <v>56325385.817002684</v>
      </c>
      <c r="Y1059" s="2">
        <f t="shared" ca="1" si="1015"/>
        <v>0.12660893696525469</v>
      </c>
      <c r="Z1059" s="2">
        <f t="shared" ca="1" si="1016"/>
        <v>0.12925251175135657</v>
      </c>
      <c r="AA1059" s="2">
        <f t="shared" ca="1" si="1017"/>
        <v>6282908.4002965307</v>
      </c>
      <c r="AB1059" s="2">
        <f t="shared" ca="1" si="1018"/>
        <v>6620446.9448620798</v>
      </c>
      <c r="AC1059" s="2">
        <f t="shared" ca="1" si="1019"/>
        <v>6833438.0554199573</v>
      </c>
      <c r="AD1059" s="2">
        <f t="shared" ca="1" si="1020"/>
        <v>7053281.454585311</v>
      </c>
      <c r="AE1059" s="2">
        <f t="shared" ca="1" si="1021"/>
        <v>7280197.5922118323</v>
      </c>
      <c r="AF1059" s="2">
        <f t="shared" ca="1" si="1022"/>
        <v>992490.50673583185</v>
      </c>
      <c r="AG1059" s="2">
        <f t="shared" ca="1" si="1023"/>
        <v>1024420.6252019075</v>
      </c>
      <c r="AH1059" s="2">
        <f t="shared" ca="1" si="1024"/>
        <v>1057377.990234412</v>
      </c>
      <c r="AI1059" s="2">
        <f t="shared" ca="1" si="1025"/>
        <v>1091395.6501137447</v>
      </c>
      <c r="AJ1059" s="2">
        <f t="shared" ca="1" si="1026"/>
        <v>1126507.7163400536</v>
      </c>
      <c r="AK1059" s="2">
        <f t="shared" ca="1" si="1027"/>
        <v>0</v>
      </c>
      <c r="AL1059" s="2">
        <f t="shared" ca="1" si="1028"/>
        <v>15965.059233037829</v>
      </c>
      <c r="AM1059" s="2">
        <f t="shared" ca="1" si="1029"/>
        <v>16478.682516252324</v>
      </c>
      <c r="AN1059" s="2">
        <f t="shared" ca="1" si="1030"/>
        <v>17008.829939666241</v>
      </c>
      <c r="AO1059" s="2">
        <f t="shared" ca="1" si="1031"/>
        <v>17556.033113154546</v>
      </c>
      <c r="AP1059" s="2">
        <f t="shared" ca="1" si="1032"/>
        <v>2303502.121957323</v>
      </c>
      <c r="AQ1059" s="2">
        <f t="shared" ca="1" si="1033"/>
        <v>776598.10061687778</v>
      </c>
      <c r="AR1059" s="2">
        <f t="shared" ca="1" si="1034"/>
        <v>856056.29140274075</v>
      </c>
      <c r="AS1059" s="2">
        <f t="shared" ca="1" si="1035"/>
        <v>902865.06523933774</v>
      </c>
      <c r="AT1059" s="2">
        <f t="shared" ca="1" si="1036"/>
        <v>951179.75745370332</v>
      </c>
      <c r="AU1059" s="2">
        <f t="shared" ca="1" si="1037"/>
        <v>1001048.8160177585</v>
      </c>
      <c r="AV1059" s="2">
        <f t="shared" ca="1" si="1038"/>
        <v>2210317.6709864982</v>
      </c>
      <c r="AW1059" s="2">
        <f t="shared" ca="1" si="1039"/>
        <v>2420502.8470670707</v>
      </c>
      <c r="AX1059" s="2">
        <f t="shared" ca="1" si="1040"/>
        <v>2553214.1954726311</v>
      </c>
      <c r="AY1059" s="2">
        <f t="shared" ca="1" si="1041"/>
        <v>2690195.0951208738</v>
      </c>
      <c r="AZ1059" s="2">
        <f t="shared" ca="1" si="1042"/>
        <v>2831582.9047835427</v>
      </c>
      <c r="BA1059" s="2">
        <f t="shared" ca="1" si="1043"/>
        <v>53827351.108075306</v>
      </c>
      <c r="BB1059" s="2">
        <f t="shared" ca="1" si="1044"/>
        <v>1076547.0221615061</v>
      </c>
      <c r="BC1059" s="2">
        <f t="shared" ca="1" si="1045"/>
        <v>27156336.064165767</v>
      </c>
      <c r="BD1059" s="2">
        <f t="shared" ca="1" si="1046"/>
        <v>-18629414.84873819</v>
      </c>
      <c r="BE1059" s="2">
        <f t="shared" ca="1" si="1047"/>
        <v>2210317.6709864982</v>
      </c>
      <c r="BF1059" s="2">
        <f t="shared" ca="1" si="1048"/>
        <v>2420502.8470670707</v>
      </c>
      <c r="BG1059" s="2">
        <f t="shared" ca="1" si="1049"/>
        <v>2553214.1954726311</v>
      </c>
      <c r="BH1059" s="2">
        <f t="shared" ca="1" si="1050"/>
        <v>2690195.0951208738</v>
      </c>
      <c r="BI1059" s="2">
        <f t="shared" ca="1" si="1051"/>
        <v>29987918.96894931</v>
      </c>
      <c r="BJ1059" s="2">
        <f t="shared" ca="1" si="1052"/>
        <v>0.19556786794558434</v>
      </c>
      <c r="BK1059" s="2">
        <f t="shared" ca="1" si="1053"/>
        <v>5816638.7423167415</v>
      </c>
    </row>
    <row r="1060" spans="1:63" x14ac:dyDescent="0.3">
      <c r="A1060" s="2">
        <v>1059</v>
      </c>
      <c r="B1060" s="2">
        <f t="shared" ca="1" si="992"/>
        <v>0.8459710675952975</v>
      </c>
      <c r="C1060" s="2">
        <f t="shared" ca="1" si="993"/>
        <v>7.444970392853314</v>
      </c>
      <c r="D1060" s="2">
        <f t="shared" ca="1" si="994"/>
        <v>0.89239883272102372</v>
      </c>
      <c r="E1060" s="2">
        <f t="shared" ca="1" si="995"/>
        <v>8.0361009435685897</v>
      </c>
      <c r="F1060" s="2">
        <f t="shared" ca="1" si="996"/>
        <v>6.4517860958069884E-3</v>
      </c>
      <c r="G1060" s="2">
        <f t="shared" ca="1" si="997"/>
        <v>-3.4592588080102245E-2</v>
      </c>
      <c r="H1060" s="2">
        <f t="shared" ca="1" si="998"/>
        <v>-0.02</v>
      </c>
      <c r="I1060" s="2">
        <f t="shared" ca="1" si="999"/>
        <v>0.76012896076013226</v>
      </c>
      <c r="J1060" s="2">
        <f t="shared" ca="1" si="1000"/>
        <v>1.3533587288019991E-2</v>
      </c>
      <c r="K1060" s="2">
        <f t="shared" ca="1" si="1001"/>
        <v>1.3533587288019991E-2</v>
      </c>
      <c r="L1060" s="2">
        <f t="shared" ca="1" si="1002"/>
        <v>0.67922396089432324</v>
      </c>
      <c r="M1060" s="2">
        <f t="shared" ca="1" si="1003"/>
        <v>9.3105966525740304E-3</v>
      </c>
      <c r="N1060" s="2">
        <f t="shared" ca="1" si="1004"/>
        <v>9.3105966525740304E-3</v>
      </c>
      <c r="O1060" s="2">
        <f t="shared" si="1005"/>
        <v>6000000</v>
      </c>
      <c r="P1060" s="2">
        <f t="shared" ca="1" si="1006"/>
        <v>44669822.357119881</v>
      </c>
      <c r="Q1060" s="2">
        <f t="shared" ca="1" si="1007"/>
        <v>1116745.558927997</v>
      </c>
      <c r="R1060" s="2">
        <f t="shared" ca="1" si="1008"/>
        <v>26801893.414271928</v>
      </c>
      <c r="S1060" s="2">
        <f t="shared" ca="1" si="1009"/>
        <v>17867928.942847952</v>
      </c>
      <c r="T1060" s="2">
        <f t="shared" ca="1" si="1010"/>
        <v>50465529.832628697</v>
      </c>
      <c r="U1060" s="2">
        <f t="shared" ca="1" si="1011"/>
        <v>49456219.235976122</v>
      </c>
      <c r="V1060" s="2">
        <f t="shared" ca="1" si="1012"/>
        <v>48467094.851256602</v>
      </c>
      <c r="W1060" s="2">
        <f t="shared" ca="1" si="1013"/>
        <v>47497752.954231471</v>
      </c>
      <c r="X1060" s="2">
        <f t="shared" ca="1" si="1014"/>
        <v>46547797.895146839</v>
      </c>
      <c r="Y1060" s="2">
        <f t="shared" ca="1" si="1015"/>
        <v>0.12676679364401</v>
      </c>
      <c r="Z1060" s="2">
        <f t="shared" ca="1" si="1016"/>
        <v>0.12947351110161398</v>
      </c>
      <c r="AA1060" s="2">
        <f t="shared" ca="1" si="1017"/>
        <v>6397353.4064284721</v>
      </c>
      <c r="AB1060" s="2">
        <f t="shared" ca="1" si="1018"/>
        <v>6403270.3502930095</v>
      </c>
      <c r="AC1060" s="2">
        <f t="shared" ca="1" si="1019"/>
        <v>6275204.9432871491</v>
      </c>
      <c r="AD1060" s="2">
        <f t="shared" ca="1" si="1020"/>
        <v>6149700.8444214063</v>
      </c>
      <c r="AE1060" s="2">
        <f t="shared" ca="1" si="1021"/>
        <v>6026706.8275329778</v>
      </c>
      <c r="AF1060" s="2">
        <f t="shared" ca="1" si="1022"/>
        <v>1009310.596652574</v>
      </c>
      <c r="AG1060" s="2">
        <f t="shared" ca="1" si="1023"/>
        <v>989124.38471952244</v>
      </c>
      <c r="AH1060" s="2">
        <f t="shared" ca="1" si="1024"/>
        <v>969341.89702513209</v>
      </c>
      <c r="AI1060" s="2">
        <f t="shared" ca="1" si="1025"/>
        <v>949955.05908462941</v>
      </c>
      <c r="AJ1060" s="2">
        <f t="shared" ca="1" si="1026"/>
        <v>930955.95790293685</v>
      </c>
      <c r="AK1060" s="2">
        <f t="shared" ca="1" si="1027"/>
        <v>0</v>
      </c>
      <c r="AL1060" s="2">
        <f t="shared" ca="1" si="1028"/>
        <v>0</v>
      </c>
      <c r="AM1060" s="2">
        <f t="shared" ca="1" si="1029"/>
        <v>0</v>
      </c>
      <c r="AN1060" s="2">
        <f t="shared" ca="1" si="1030"/>
        <v>0</v>
      </c>
      <c r="AO1060" s="2">
        <f t="shared" ca="1" si="1031"/>
        <v>0</v>
      </c>
      <c r="AP1060" s="2">
        <f t="shared" ca="1" si="1032"/>
        <v>2412170.4072844735</v>
      </c>
      <c r="AQ1060" s="2">
        <f t="shared" ca="1" si="1033"/>
        <v>773726.8246477705</v>
      </c>
      <c r="AR1060" s="2">
        <f t="shared" ca="1" si="1034"/>
        <v>780513.64515514346</v>
      </c>
      <c r="AS1060" s="2">
        <f t="shared" ca="1" si="1035"/>
        <v>752360.08613416122</v>
      </c>
      <c r="AT1060" s="2">
        <f t="shared" ca="1" si="1036"/>
        <v>724769.59829359886</v>
      </c>
      <c r="AU1060" s="2">
        <f t="shared" ca="1" si="1037"/>
        <v>697730.92020984751</v>
      </c>
      <c r="AV1060" s="2">
        <f t="shared" ca="1" si="1038"/>
        <v>2202145.5778436544</v>
      </c>
      <c r="AW1060" s="2">
        <f t="shared" ca="1" si="1039"/>
        <v>2221461.9131338694</v>
      </c>
      <c r="AX1060" s="2">
        <f t="shared" ca="1" si="1040"/>
        <v>2141332.5528433821</v>
      </c>
      <c r="AY1060" s="2">
        <f t="shared" ca="1" si="1041"/>
        <v>2062805.7797587044</v>
      </c>
      <c r="AZ1060" s="2">
        <f t="shared" ca="1" si="1042"/>
        <v>1985849.5421357197</v>
      </c>
      <c r="BA1060" s="2">
        <f t="shared" ca="1" si="1043"/>
        <v>48431224.423349023</v>
      </c>
      <c r="BB1060" s="2">
        <f t="shared" ca="1" si="1044"/>
        <v>968624.48846698052</v>
      </c>
      <c r="BC1060" s="2">
        <f t="shared" ca="1" si="1045"/>
        <v>20660706.520610113</v>
      </c>
      <c r="BD1060" s="2">
        <f t="shared" ca="1" si="1046"/>
        <v>-19484674.50177595</v>
      </c>
      <c r="BE1060" s="2">
        <f t="shared" ca="1" si="1047"/>
        <v>2202145.5778436544</v>
      </c>
      <c r="BF1060" s="2">
        <f t="shared" ca="1" si="1048"/>
        <v>2221461.9131338694</v>
      </c>
      <c r="BG1060" s="2">
        <f t="shared" ca="1" si="1049"/>
        <v>2141332.5528433821</v>
      </c>
      <c r="BH1060" s="2">
        <f t="shared" ca="1" si="1050"/>
        <v>2062805.7797587044</v>
      </c>
      <c r="BI1060" s="2">
        <f t="shared" ca="1" si="1051"/>
        <v>22646556.062745832</v>
      </c>
      <c r="BJ1060" s="2">
        <f t="shared" ca="1" si="1052"/>
        <v>0.11912695946010121</v>
      </c>
      <c r="BK1060" s="2">
        <f t="shared" ca="1" si="1053"/>
        <v>-62164.576696611941</v>
      </c>
    </row>
    <row r="1061" spans="1:63" x14ac:dyDescent="0.3">
      <c r="A1061" s="2">
        <v>1060</v>
      </c>
      <c r="B1061" s="2">
        <f t="shared" ca="1" si="992"/>
        <v>0.80605195662409257</v>
      </c>
      <c r="C1061" s="2">
        <f t="shared" ca="1" si="993"/>
        <v>7.3771869568226638</v>
      </c>
      <c r="D1061" s="2">
        <f t="shared" ca="1" si="994"/>
        <v>0.97121724582374391</v>
      </c>
      <c r="E1061" s="2">
        <f t="shared" ca="1" si="995"/>
        <v>8.2600718683594767</v>
      </c>
      <c r="F1061" s="2">
        <f t="shared" ca="1" si="996"/>
        <v>4.9324975904040613E-2</v>
      </c>
      <c r="G1061" s="2">
        <f t="shared" ca="1" si="997"/>
        <v>-9.5430251850016218E-3</v>
      </c>
      <c r="H1061" s="2">
        <f t="shared" ca="1" si="998"/>
        <v>-9.5430251850016218E-3</v>
      </c>
      <c r="I1061" s="2">
        <f t="shared" ca="1" si="999"/>
        <v>0.10539233773855006</v>
      </c>
      <c r="J1061" s="2">
        <f t="shared" ca="1" si="1000"/>
        <v>3.7429465001721065E-3</v>
      </c>
      <c r="K1061" s="2">
        <f t="shared" ca="1" si="1001"/>
        <v>3.7429465001721065E-3</v>
      </c>
      <c r="L1061" s="2">
        <f t="shared" ca="1" si="1002"/>
        <v>0.69093225395213742</v>
      </c>
      <c r="M1061" s="2">
        <f t="shared" ca="1" si="1003"/>
        <v>9.9698914968337927E-3</v>
      </c>
      <c r="N1061" s="2">
        <f t="shared" ca="1" si="1004"/>
        <v>9.9698914968337927E-3</v>
      </c>
      <c r="O1061" s="2">
        <f t="shared" si="1005"/>
        <v>6000000</v>
      </c>
      <c r="P1061" s="2">
        <f t="shared" ca="1" si="1006"/>
        <v>44263121.740935981</v>
      </c>
      <c r="Q1061" s="2">
        <f t="shared" ca="1" si="1007"/>
        <v>1106578.0435233996</v>
      </c>
      <c r="R1061" s="2">
        <f t="shared" ca="1" si="1008"/>
        <v>26557873.044561587</v>
      </c>
      <c r="S1061" s="2">
        <f t="shared" ca="1" si="1009"/>
        <v>17705248.696374394</v>
      </c>
      <c r="T1061" s="2">
        <f t="shared" ca="1" si="1010"/>
        <v>50498494.574841693</v>
      </c>
      <c r="U1061" s="2">
        <f t="shared" ca="1" si="1011"/>
        <v>50016586.169309311</v>
      </c>
      <c r="V1061" s="2">
        <f t="shared" ca="1" si="1012"/>
        <v>49539276.627827786</v>
      </c>
      <c r="W1061" s="2">
        <f t="shared" ca="1" si="1013"/>
        <v>49066522.063321665</v>
      </c>
      <c r="X1061" s="2">
        <f t="shared" ca="1" si="1014"/>
        <v>48598279.00753095</v>
      </c>
      <c r="Y1061" s="2">
        <f t="shared" ca="1" si="1015"/>
        <v>0.12187147325008604</v>
      </c>
      <c r="Z1061" s="2">
        <f t="shared" ca="1" si="1016"/>
        <v>0.12262006255012046</v>
      </c>
      <c r="AA1061" s="2">
        <f t="shared" ca="1" si="1017"/>
        <v>6154325.9307474345</v>
      </c>
      <c r="AB1061" s="2">
        <f t="shared" ca="1" si="1018"/>
        <v>6133036.9246241981</v>
      </c>
      <c r="AC1061" s="2">
        <f t="shared" ca="1" si="1019"/>
        <v>6074509.198791964</v>
      </c>
      <c r="AD1061" s="2">
        <f t="shared" ca="1" si="1020"/>
        <v>6016540.0045213681</v>
      </c>
      <c r="AE1061" s="2">
        <f t="shared" ca="1" si="1021"/>
        <v>5959124.0117316516</v>
      </c>
      <c r="AF1061" s="2">
        <f t="shared" ca="1" si="1022"/>
        <v>1009969.8914968339</v>
      </c>
      <c r="AG1061" s="2">
        <f t="shared" ca="1" si="1023"/>
        <v>1000331.7233861862</v>
      </c>
      <c r="AH1061" s="2">
        <f t="shared" ca="1" si="1024"/>
        <v>990785.5325565557</v>
      </c>
      <c r="AI1061" s="2">
        <f t="shared" ca="1" si="1025"/>
        <v>981330.44126643334</v>
      </c>
      <c r="AJ1061" s="2">
        <f t="shared" ca="1" si="1026"/>
        <v>971965.58015061903</v>
      </c>
      <c r="AK1061" s="2">
        <f t="shared" ca="1" si="1027"/>
        <v>0</v>
      </c>
      <c r="AL1061" s="2">
        <f t="shared" ca="1" si="1028"/>
        <v>0</v>
      </c>
      <c r="AM1061" s="2">
        <f t="shared" ca="1" si="1029"/>
        <v>0</v>
      </c>
      <c r="AN1061" s="2">
        <f t="shared" ca="1" si="1030"/>
        <v>0</v>
      </c>
      <c r="AO1061" s="2">
        <f t="shared" ca="1" si="1031"/>
        <v>0</v>
      </c>
      <c r="AP1061" s="2">
        <f t="shared" ca="1" si="1032"/>
        <v>2390208.5740105426</v>
      </c>
      <c r="AQ1061" s="2">
        <f t="shared" ca="1" si="1033"/>
        <v>716078.34096241521</v>
      </c>
      <c r="AR1061" s="2">
        <f t="shared" ca="1" si="1034"/>
        <v>713049.12307914207</v>
      </c>
      <c r="AS1061" s="2">
        <f t="shared" ca="1" si="1035"/>
        <v>700313.92397846503</v>
      </c>
      <c r="AT1061" s="2">
        <f t="shared" ca="1" si="1036"/>
        <v>687700.25720354193</v>
      </c>
      <c r="AU1061" s="2">
        <f t="shared" ca="1" si="1037"/>
        <v>675206.96296832734</v>
      </c>
      <c r="AV1061" s="2">
        <f t="shared" ca="1" si="1038"/>
        <v>2038069.1242776429</v>
      </c>
      <c r="AW1061" s="2">
        <f t="shared" ca="1" si="1039"/>
        <v>2029447.5041483277</v>
      </c>
      <c r="AX1061" s="2">
        <f t="shared" ca="1" si="1040"/>
        <v>1993201.1682464005</v>
      </c>
      <c r="AY1061" s="2">
        <f t="shared" ca="1" si="1041"/>
        <v>1957300.7320408504</v>
      </c>
      <c r="AZ1061" s="2">
        <f t="shared" ca="1" si="1042"/>
        <v>1921742.8946021628</v>
      </c>
      <c r="BA1061" s="2">
        <f t="shared" ca="1" si="1043"/>
        <v>49222792.609370083</v>
      </c>
      <c r="BB1061" s="2">
        <f t="shared" ca="1" si="1044"/>
        <v>984455.85218740162</v>
      </c>
      <c r="BC1061" s="2">
        <f t="shared" ca="1" si="1045"/>
        <v>21680463.712621093</v>
      </c>
      <c r="BD1061" s="2">
        <f t="shared" ca="1" si="1046"/>
        <v>-19311826.739897795</v>
      </c>
      <c r="BE1061" s="2">
        <f t="shared" ca="1" si="1047"/>
        <v>2038069.1242776429</v>
      </c>
      <c r="BF1061" s="2">
        <f t="shared" ca="1" si="1048"/>
        <v>2029447.5041483277</v>
      </c>
      <c r="BG1061" s="2">
        <f t="shared" ca="1" si="1049"/>
        <v>1993201.1682464005</v>
      </c>
      <c r="BH1061" s="2">
        <f t="shared" ca="1" si="1050"/>
        <v>1957300.7320408504</v>
      </c>
      <c r="BI1061" s="2">
        <f t="shared" ca="1" si="1051"/>
        <v>23602206.607223257</v>
      </c>
      <c r="BJ1061" s="2">
        <f t="shared" ca="1" si="1052"/>
        <v>0.12250920856926495</v>
      </c>
      <c r="BK1061" s="2">
        <f t="shared" ca="1" si="1053"/>
        <v>180888.06518915668</v>
      </c>
    </row>
    <row r="1062" spans="1:63" x14ac:dyDescent="0.3">
      <c r="A1062" s="2">
        <v>1061</v>
      </c>
      <c r="B1062" s="2">
        <f t="shared" ca="1" si="992"/>
        <v>0.60075068422719546</v>
      </c>
      <c r="C1062" s="2">
        <f t="shared" ca="1" si="993"/>
        <v>7.1064124936271718</v>
      </c>
      <c r="D1062" s="2">
        <f t="shared" ca="1" si="994"/>
        <v>0.75576793547237686</v>
      </c>
      <c r="E1062" s="2">
        <f t="shared" ca="1" si="995"/>
        <v>7.8010979116820112</v>
      </c>
      <c r="F1062" s="2">
        <f t="shared" ca="1" si="996"/>
        <v>0.89091073692104283</v>
      </c>
      <c r="G1062" s="2">
        <f t="shared" ca="1" si="997"/>
        <v>7.69415803557882E-2</v>
      </c>
      <c r="H1062" s="2">
        <f t="shared" ca="1" si="998"/>
        <v>7.69415803557882E-2</v>
      </c>
      <c r="I1062" s="2">
        <f t="shared" ca="1" si="999"/>
        <v>0.11774405468770877</v>
      </c>
      <c r="J1062" s="2">
        <f t="shared" ca="1" si="1000"/>
        <v>4.0683006745949862E-3</v>
      </c>
      <c r="K1062" s="2">
        <f t="shared" ca="1" si="1001"/>
        <v>4.0683006745949862E-3</v>
      </c>
      <c r="L1062" s="2">
        <f t="shared" ca="1" si="1002"/>
        <v>0.19387669651489847</v>
      </c>
      <c r="M1062" s="2">
        <f t="shared" ca="1" si="1003"/>
        <v>-1.7273975271689463E-2</v>
      </c>
      <c r="N1062" s="2">
        <f t="shared" ca="1" si="1004"/>
        <v>-1.7273975271689463E-2</v>
      </c>
      <c r="O1062" s="2">
        <f t="shared" si="1005"/>
        <v>6000000</v>
      </c>
      <c r="P1062" s="2">
        <f t="shared" ca="1" si="1006"/>
        <v>42638474.961763032</v>
      </c>
      <c r="Q1062" s="2">
        <f t="shared" ca="1" si="1007"/>
        <v>1065961.8740440758</v>
      </c>
      <c r="R1062" s="2">
        <f t="shared" ca="1" si="1008"/>
        <v>25583084.977057818</v>
      </c>
      <c r="S1062" s="2">
        <f t="shared" ca="1" si="1009"/>
        <v>17055389.984705213</v>
      </c>
      <c r="T1062" s="2">
        <f t="shared" ca="1" si="1010"/>
        <v>49136301.236415528</v>
      </c>
      <c r="U1062" s="2">
        <f t="shared" ca="1" si="1011"/>
        <v>52916925.90638341</v>
      </c>
      <c r="V1062" s="2">
        <f t="shared" ca="1" si="1012"/>
        <v>56988437.813190699</v>
      </c>
      <c r="W1062" s="2">
        <f t="shared" ca="1" si="1013"/>
        <v>61373218.280545153</v>
      </c>
      <c r="X1062" s="2">
        <f t="shared" ca="1" si="1014"/>
        <v>66095370.686571047</v>
      </c>
      <c r="Y1062" s="2">
        <f t="shared" ca="1" si="1015"/>
        <v>0.12203415033729749</v>
      </c>
      <c r="Z1062" s="2">
        <f t="shared" ca="1" si="1016"/>
        <v>0.12284781047221649</v>
      </c>
      <c r="AA1062" s="2">
        <f t="shared" ca="1" si="1017"/>
        <v>5996306.7721034689</v>
      </c>
      <c r="AB1062" s="2">
        <f t="shared" ca="1" si="1018"/>
        <v>6500728.4845197117</v>
      </c>
      <c r="AC1062" s="2">
        <f t="shared" ca="1" si="1019"/>
        <v>7000904.807582547</v>
      </c>
      <c r="AD1062" s="2">
        <f t="shared" ca="1" si="1020"/>
        <v>7539565.4873983832</v>
      </c>
      <c r="AE1062" s="2">
        <f t="shared" ca="1" si="1021"/>
        <v>8119671.5711947735</v>
      </c>
      <c r="AF1062" s="2">
        <f t="shared" ca="1" si="1022"/>
        <v>982726.02472831053</v>
      </c>
      <c r="AG1062" s="2">
        <f t="shared" ca="1" si="1023"/>
        <v>1058338.5181276682</v>
      </c>
      <c r="AH1062" s="2">
        <f t="shared" ca="1" si="1024"/>
        <v>1139768.7562638139</v>
      </c>
      <c r="AI1062" s="2">
        <f t="shared" ca="1" si="1025"/>
        <v>1227464.3656109031</v>
      </c>
      <c r="AJ1062" s="2">
        <f t="shared" ca="1" si="1026"/>
        <v>1321907.4137314209</v>
      </c>
      <c r="AK1062" s="2">
        <f t="shared" ca="1" si="1027"/>
        <v>0</v>
      </c>
      <c r="AL1062" s="2">
        <f t="shared" ca="1" si="1028"/>
        <v>37806.246699678821</v>
      </c>
      <c r="AM1062" s="2">
        <f t="shared" ca="1" si="1029"/>
        <v>40715.119068072883</v>
      </c>
      <c r="AN1062" s="2">
        <f t="shared" ca="1" si="1030"/>
        <v>43847.804673544539</v>
      </c>
      <c r="AO1062" s="2">
        <f t="shared" ca="1" si="1031"/>
        <v>47221.52406025894</v>
      </c>
      <c r="AP1062" s="2">
        <f t="shared" ca="1" si="1032"/>
        <v>2302477.6479352037</v>
      </c>
      <c r="AQ1062" s="2">
        <f t="shared" ca="1" si="1033"/>
        <v>704886.80585438828</v>
      </c>
      <c r="AR1062" s="2">
        <f t="shared" ca="1" si="1034"/>
        <v>816377.20279877854</v>
      </c>
      <c r="AS1062" s="2">
        <f t="shared" ca="1" si="1035"/>
        <v>925251.18487971765</v>
      </c>
      <c r="AT1062" s="2">
        <f t="shared" ca="1" si="1036"/>
        <v>1042502.1032015919</v>
      </c>
      <c r="AU1062" s="2">
        <f t="shared" ca="1" si="1037"/>
        <v>1168774.4924773187</v>
      </c>
      <c r="AV1062" s="2">
        <f t="shared" ca="1" si="1038"/>
        <v>2006216.2935855663</v>
      </c>
      <c r="AW1062" s="2">
        <f t="shared" ca="1" si="1039"/>
        <v>2285728.8689583833</v>
      </c>
      <c r="AX1062" s="2">
        <f t="shared" ca="1" si="1040"/>
        <v>2592692.0994357388</v>
      </c>
      <c r="AY1062" s="2">
        <f t="shared" ca="1" si="1041"/>
        <v>2923273.5659771399</v>
      </c>
      <c r="AZ1062" s="2">
        <f t="shared" ca="1" si="1042"/>
        <v>3279290.4929905725</v>
      </c>
      <c r="BA1062" s="2">
        <f t="shared" ca="1" si="1043"/>
        <v>63342352.937591344</v>
      </c>
      <c r="BB1062" s="2">
        <f t="shared" ca="1" si="1044"/>
        <v>1266847.0587518269</v>
      </c>
      <c r="BC1062" s="2">
        <f t="shared" ca="1" si="1045"/>
        <v>36492420.901781701</v>
      </c>
      <c r="BD1062" s="2">
        <f t="shared" ca="1" si="1046"/>
        <v>-18621351.858749289</v>
      </c>
      <c r="BE1062" s="2">
        <f t="shared" ca="1" si="1047"/>
        <v>2006216.2935855663</v>
      </c>
      <c r="BF1062" s="2">
        <f t="shared" ca="1" si="1048"/>
        <v>2285728.8689583833</v>
      </c>
      <c r="BG1062" s="2">
        <f t="shared" ca="1" si="1049"/>
        <v>2592692.0994357388</v>
      </c>
      <c r="BH1062" s="2">
        <f t="shared" ca="1" si="1050"/>
        <v>2923273.5659771399</v>
      </c>
      <c r="BI1062" s="2">
        <f t="shared" ca="1" si="1051"/>
        <v>39771711.394772276</v>
      </c>
      <c r="BJ1062" s="2">
        <f t="shared" ca="1" si="1052"/>
        <v>0.25005916279784923</v>
      </c>
      <c r="BK1062" s="2">
        <f t="shared" ca="1" si="1053"/>
        <v>11262839.116795093</v>
      </c>
    </row>
    <row r="1063" spans="1:63" x14ac:dyDescent="0.3">
      <c r="A1063" s="2">
        <v>1062</v>
      </c>
      <c r="B1063" s="2">
        <f t="shared" ca="1" si="992"/>
        <v>0.4748991113628126</v>
      </c>
      <c r="C1063" s="2">
        <f t="shared" ca="1" si="993"/>
        <v>6.9745759194263037</v>
      </c>
      <c r="D1063" s="2">
        <f t="shared" ca="1" si="994"/>
        <v>0.71646503410695306</v>
      </c>
      <c r="E1063" s="2">
        <f t="shared" ca="1" si="995"/>
        <v>7.7469595417335837</v>
      </c>
      <c r="F1063" s="2">
        <f t="shared" ca="1" si="996"/>
        <v>0.5159279632748629</v>
      </c>
      <c r="G1063" s="2">
        <f t="shared" ca="1" si="997"/>
        <v>4.1198082885645082E-2</v>
      </c>
      <c r="H1063" s="2">
        <f t="shared" ca="1" si="998"/>
        <v>4.1198082885645082E-2</v>
      </c>
      <c r="I1063" s="2">
        <f t="shared" ca="1" si="999"/>
        <v>0.48665091377582026</v>
      </c>
      <c r="J1063" s="2">
        <f t="shared" ca="1" si="1000"/>
        <v>9.832662782170808E-3</v>
      </c>
      <c r="K1063" s="2">
        <f t="shared" ca="1" si="1001"/>
        <v>9.832662782170808E-3</v>
      </c>
      <c r="L1063" s="2">
        <f t="shared" ca="1" si="1002"/>
        <v>0.25058512863248461</v>
      </c>
      <c r="M1063" s="2">
        <f t="shared" ca="1" si="1003"/>
        <v>-1.3452991415338478E-2</v>
      </c>
      <c r="N1063" s="2">
        <f t="shared" ca="1" si="1004"/>
        <v>-1.3452991415338478E-2</v>
      </c>
      <c r="O1063" s="2">
        <f t="shared" si="1005"/>
        <v>6000000</v>
      </c>
      <c r="P1063" s="2">
        <f t="shared" ca="1" si="1006"/>
        <v>41847455.51655782</v>
      </c>
      <c r="Q1063" s="2">
        <f t="shared" ca="1" si="1007"/>
        <v>1046186.3879139456</v>
      </c>
      <c r="R1063" s="2">
        <f t="shared" ca="1" si="1008"/>
        <v>25108473.309934691</v>
      </c>
      <c r="S1063" s="2">
        <f t="shared" ca="1" si="1009"/>
        <v>16738982.20662313</v>
      </c>
      <c r="T1063" s="2">
        <f t="shared" ca="1" si="1010"/>
        <v>49327350.429233074</v>
      </c>
      <c r="U1063" s="2">
        <f t="shared" ca="1" si="1011"/>
        <v>51359542.700745881</v>
      </c>
      <c r="V1063" s="2">
        <f t="shared" ca="1" si="1012"/>
        <v>53475457.397900037</v>
      </c>
      <c r="W1063" s="2">
        <f t="shared" ca="1" si="1013"/>
        <v>55678543.724126503</v>
      </c>
      <c r="X1063" s="2">
        <f t="shared" ca="1" si="1014"/>
        <v>57972392.983425081</v>
      </c>
      <c r="Y1063" s="2">
        <f t="shared" ca="1" si="1015"/>
        <v>0.12491633139108541</v>
      </c>
      <c r="Z1063" s="2">
        <f t="shared" ca="1" si="1016"/>
        <v>0.12688286394751955</v>
      </c>
      <c r="AA1063" s="2">
        <f t="shared" ca="1" si="1017"/>
        <v>6161791.6528622778</v>
      </c>
      <c r="AB1063" s="2">
        <f t="shared" ca="1" si="1018"/>
        <v>6516645.8689055601</v>
      </c>
      <c r="AC1063" s="2">
        <f t="shared" ca="1" si="1019"/>
        <v>6785119.1855491279</v>
      </c>
      <c r="AD1063" s="2">
        <f t="shared" ca="1" si="1020"/>
        <v>7064653.088144361</v>
      </c>
      <c r="AE1063" s="2">
        <f t="shared" ca="1" si="1021"/>
        <v>7355703.2516280618</v>
      </c>
      <c r="AF1063" s="2">
        <f t="shared" ca="1" si="1022"/>
        <v>986547.00858466153</v>
      </c>
      <c r="AG1063" s="2">
        <f t="shared" ca="1" si="1023"/>
        <v>1027190.8540149176</v>
      </c>
      <c r="AH1063" s="2">
        <f t="shared" ca="1" si="1024"/>
        <v>1069509.1479580007</v>
      </c>
      <c r="AI1063" s="2">
        <f t="shared" ca="1" si="1025"/>
        <v>1113570.8744825302</v>
      </c>
      <c r="AJ1063" s="2">
        <f t="shared" ca="1" si="1026"/>
        <v>1159447.8596685017</v>
      </c>
      <c r="AK1063" s="2">
        <f t="shared" ca="1" si="1027"/>
        <v>0</v>
      </c>
      <c r="AL1063" s="2">
        <f t="shared" ca="1" si="1028"/>
        <v>20321.922715128065</v>
      </c>
      <c r="AM1063" s="2">
        <f t="shared" ca="1" si="1029"/>
        <v>21159.14697154157</v>
      </c>
      <c r="AN1063" s="2">
        <f t="shared" ca="1" si="1030"/>
        <v>22030.863262264655</v>
      </c>
      <c r="AO1063" s="2">
        <f t="shared" ca="1" si="1031"/>
        <v>22938.492592985778</v>
      </c>
      <c r="AP1063" s="2">
        <f t="shared" ca="1" si="1032"/>
        <v>2259762.5978941219</v>
      </c>
      <c r="AQ1063" s="2">
        <f t="shared" ca="1" si="1033"/>
        <v>758025.33205970866</v>
      </c>
      <c r="AR1063" s="2">
        <f t="shared" ca="1" si="1034"/>
        <v>839720.02841909544</v>
      </c>
      <c r="AS1063" s="2">
        <f t="shared" ca="1" si="1035"/>
        <v>898520.33432122157</v>
      </c>
      <c r="AT1063" s="2">
        <f t="shared" ca="1" si="1036"/>
        <v>959743.10009960434</v>
      </c>
      <c r="AU1063" s="2">
        <f t="shared" ca="1" si="1037"/>
        <v>1023488.126457014</v>
      </c>
      <c r="AV1063" s="2">
        <f t="shared" ca="1" si="1038"/>
        <v>2157456.7143237861</v>
      </c>
      <c r="AW1063" s="2">
        <f t="shared" ca="1" si="1039"/>
        <v>2369650.4658622975</v>
      </c>
      <c r="AX1063" s="2">
        <f t="shared" ca="1" si="1040"/>
        <v>2536167.958404243</v>
      </c>
      <c r="AY1063" s="2">
        <f t="shared" ca="1" si="1041"/>
        <v>2709545.6524058394</v>
      </c>
      <c r="AZ1063" s="2">
        <f t="shared" ca="1" si="1042"/>
        <v>2890066.1750154383</v>
      </c>
      <c r="BA1063" s="2">
        <f t="shared" ca="1" si="1043"/>
        <v>56984335.491360761</v>
      </c>
      <c r="BB1063" s="2">
        <f t="shared" ca="1" si="1044"/>
        <v>1139686.7098272152</v>
      </c>
      <c r="BC1063" s="2">
        <f t="shared" ca="1" si="1045"/>
        <v>30736175.471598856</v>
      </c>
      <c r="BD1063" s="2">
        <f t="shared" ca="1" si="1046"/>
        <v>-18285168.594537076</v>
      </c>
      <c r="BE1063" s="2">
        <f t="shared" ca="1" si="1047"/>
        <v>2157456.7143237861</v>
      </c>
      <c r="BF1063" s="2">
        <f t="shared" ca="1" si="1048"/>
        <v>2369650.4658622975</v>
      </c>
      <c r="BG1063" s="2">
        <f t="shared" ca="1" si="1049"/>
        <v>2536167.958404243</v>
      </c>
      <c r="BH1063" s="2">
        <f t="shared" ca="1" si="1050"/>
        <v>2709545.6524058394</v>
      </c>
      <c r="BI1063" s="2">
        <f t="shared" ca="1" si="1051"/>
        <v>33626241.646614298</v>
      </c>
      <c r="BJ1063" s="2">
        <f t="shared" ca="1" si="1052"/>
        <v>0.22219964046944951</v>
      </c>
      <c r="BK1063" s="2">
        <f t="shared" ca="1" si="1053"/>
        <v>8137794.9580420516</v>
      </c>
    </row>
    <row r="1064" spans="1:63" x14ac:dyDescent="0.3">
      <c r="A1064" s="2">
        <v>1063</v>
      </c>
      <c r="B1064" s="2">
        <f t="shared" ca="1" si="992"/>
        <v>0.32915282700473414</v>
      </c>
      <c r="C1064" s="2">
        <f t="shared" ca="1" si="993"/>
        <v>6.8113603724668028</v>
      </c>
      <c r="D1064" s="2">
        <f t="shared" ca="1" si="994"/>
        <v>0.75659189497226487</v>
      </c>
      <c r="E1064" s="2">
        <f t="shared" ca="1" si="995"/>
        <v>7.8022778417912537</v>
      </c>
      <c r="F1064" s="2">
        <f t="shared" ca="1" si="996"/>
        <v>0.58575923391866846</v>
      </c>
      <c r="G1064" s="2">
        <f t="shared" ca="1" si="997"/>
        <v>4.6499484006353412E-2</v>
      </c>
      <c r="H1064" s="2">
        <f t="shared" ca="1" si="998"/>
        <v>4.6499484006353412E-2</v>
      </c>
      <c r="I1064" s="2">
        <f t="shared" ca="1" si="999"/>
        <v>0.29832743090209846</v>
      </c>
      <c r="J1064" s="2">
        <f t="shared" ca="1" si="1000"/>
        <v>7.3539145441148136E-3</v>
      </c>
      <c r="K1064" s="2">
        <f t="shared" ca="1" si="1001"/>
        <v>7.3539145441148136E-3</v>
      </c>
      <c r="L1064" s="2">
        <f t="shared" ca="1" si="1002"/>
        <v>0.59493109407202283</v>
      </c>
      <c r="M1064" s="2">
        <f t="shared" ca="1" si="1003"/>
        <v>4.8049649699180167E-3</v>
      </c>
      <c r="N1064" s="2">
        <f t="shared" ca="1" si="1004"/>
        <v>4.8049649699180167E-3</v>
      </c>
      <c r="O1064" s="2">
        <f t="shared" si="1005"/>
        <v>6000000</v>
      </c>
      <c r="P1064" s="2">
        <f t="shared" ca="1" si="1006"/>
        <v>40868162.234800816</v>
      </c>
      <c r="Q1064" s="2">
        <f t="shared" ca="1" si="1007"/>
        <v>1021704.0558700204</v>
      </c>
      <c r="R1064" s="2">
        <f t="shared" ca="1" si="1008"/>
        <v>24520897.340880487</v>
      </c>
      <c r="S1064" s="2">
        <f t="shared" ca="1" si="1009"/>
        <v>16347264.893920327</v>
      </c>
      <c r="T1064" s="2">
        <f t="shared" ca="1" si="1010"/>
        <v>50240248.248495899</v>
      </c>
      <c r="U1064" s="2">
        <f t="shared" ca="1" si="1011"/>
        <v>52576393.868402064</v>
      </c>
      <c r="V1064" s="2">
        <f t="shared" ca="1" si="1012"/>
        <v>55021169.054197565</v>
      </c>
      <c r="W1064" s="2">
        <f t="shared" ca="1" si="1013"/>
        <v>57579625.024644099</v>
      </c>
      <c r="X1064" s="2">
        <f t="shared" ca="1" si="1014"/>
        <v>60257047.87756937</v>
      </c>
      <c r="Y1064" s="2">
        <f t="shared" ca="1" si="1015"/>
        <v>0.12367695727205741</v>
      </c>
      <c r="Z1064" s="2">
        <f t="shared" ca="1" si="1016"/>
        <v>0.12514774018088037</v>
      </c>
      <c r="AA1064" s="2">
        <f t="shared" ca="1" si="1017"/>
        <v>6213561.0359667847</v>
      </c>
      <c r="AB1064" s="2">
        <f t="shared" ca="1" si="1018"/>
        <v>6579816.8794904137</v>
      </c>
      <c r="AC1064" s="2">
        <f t="shared" ca="1" si="1019"/>
        <v>6885774.9692430124</v>
      </c>
      <c r="AD1064" s="2">
        <f t="shared" ca="1" si="1020"/>
        <v>7205959.952296677</v>
      </c>
      <c r="AE1064" s="2">
        <f t="shared" ca="1" si="1021"/>
        <v>7541033.3718489204</v>
      </c>
      <c r="AF1064" s="2">
        <f t="shared" ca="1" si="1022"/>
        <v>1004804.964969918</v>
      </c>
      <c r="AG1064" s="2">
        <f t="shared" ca="1" si="1023"/>
        <v>1051527.8773680413</v>
      </c>
      <c r="AH1064" s="2">
        <f t="shared" ca="1" si="1024"/>
        <v>1100423.3810839513</v>
      </c>
      <c r="AI1064" s="2">
        <f t="shared" ca="1" si="1025"/>
        <v>1151592.500492882</v>
      </c>
      <c r="AJ1064" s="2">
        <f t="shared" ca="1" si="1026"/>
        <v>1205140.9575513874</v>
      </c>
      <c r="AK1064" s="2">
        <f t="shared" ca="1" si="1027"/>
        <v>0</v>
      </c>
      <c r="AL1064" s="2">
        <f t="shared" ca="1" si="1028"/>
        <v>23361.456199061646</v>
      </c>
      <c r="AM1064" s="2">
        <f t="shared" ca="1" si="1029"/>
        <v>24447.751857955009</v>
      </c>
      <c r="AN1064" s="2">
        <f t="shared" ca="1" si="1030"/>
        <v>25584.559704465344</v>
      </c>
      <c r="AO1064" s="2">
        <f t="shared" ca="1" si="1031"/>
        <v>26774.228529252709</v>
      </c>
      <c r="AP1064" s="2">
        <f t="shared" ca="1" si="1032"/>
        <v>2206880.7606792436</v>
      </c>
      <c r="AQ1064" s="2">
        <f t="shared" ca="1" si="1033"/>
        <v>780487.58068258199</v>
      </c>
      <c r="AR1064" s="2">
        <f t="shared" ca="1" si="1034"/>
        <v>863566.14277521346</v>
      </c>
      <c r="AS1064" s="2">
        <f t="shared" ca="1" si="1035"/>
        <v>930402.41514475259</v>
      </c>
      <c r="AT1064" s="2">
        <f t="shared" ca="1" si="1036"/>
        <v>1000346.5396923834</v>
      </c>
      <c r="AU1064" s="2">
        <f t="shared" ca="1" si="1037"/>
        <v>1073543.0299407553</v>
      </c>
      <c r="AV1064" s="2">
        <f t="shared" ca="1" si="1038"/>
        <v>2221387.7296350407</v>
      </c>
      <c r="AW1064" s="2">
        <f t="shared" ca="1" si="1039"/>
        <v>2434480.6424688534</v>
      </c>
      <c r="AX1064" s="2">
        <f t="shared" ca="1" si="1040"/>
        <v>2623620.6604771097</v>
      </c>
      <c r="AY1064" s="2">
        <f t="shared" ca="1" si="1041"/>
        <v>2821555.5917277024</v>
      </c>
      <c r="AZ1064" s="2">
        <f t="shared" ca="1" si="1042"/>
        <v>3028694.3951482815</v>
      </c>
      <c r="BA1064" s="2">
        <f t="shared" ca="1" si="1043"/>
        <v>58837237.581385218</v>
      </c>
      <c r="BB1064" s="2">
        <f t="shared" ca="1" si="1044"/>
        <v>1176744.7516277044</v>
      </c>
      <c r="BC1064" s="2">
        <f t="shared" ca="1" si="1045"/>
        <v>33139595.488877021</v>
      </c>
      <c r="BD1064" s="2">
        <f t="shared" ca="1" si="1046"/>
        <v>-17868968.949790347</v>
      </c>
      <c r="BE1064" s="2">
        <f t="shared" ca="1" si="1047"/>
        <v>2221387.7296350407</v>
      </c>
      <c r="BF1064" s="2">
        <f t="shared" ca="1" si="1048"/>
        <v>2434480.6424688534</v>
      </c>
      <c r="BG1064" s="2">
        <f t="shared" ca="1" si="1049"/>
        <v>2623620.6604771097</v>
      </c>
      <c r="BH1064" s="2">
        <f t="shared" ca="1" si="1050"/>
        <v>2821555.5917277024</v>
      </c>
      <c r="BI1064" s="2">
        <f t="shared" ca="1" si="1051"/>
        <v>36168289.884025306</v>
      </c>
      <c r="BJ1064" s="2">
        <f t="shared" ca="1" si="1052"/>
        <v>0.2468771751441865</v>
      </c>
      <c r="BK1064" s="2">
        <f t="shared" ca="1" si="1053"/>
        <v>10238615.972123425</v>
      </c>
    </row>
    <row r="1065" spans="1:63" x14ac:dyDescent="0.3">
      <c r="A1065" s="2">
        <v>1064</v>
      </c>
      <c r="B1065" s="2">
        <f t="shared" ca="1" si="992"/>
        <v>0.39052488769133231</v>
      </c>
      <c r="C1065" s="2">
        <f t="shared" ca="1" si="993"/>
        <v>6.8837702050774654</v>
      </c>
      <c r="D1065" s="2">
        <f t="shared" ca="1" si="994"/>
        <v>0.35069815204438171</v>
      </c>
      <c r="E1065" s="2">
        <f t="shared" ca="1" si="995"/>
        <v>7.3374940621214959</v>
      </c>
      <c r="F1065" s="2">
        <f t="shared" ca="1" si="996"/>
        <v>0.84653143866866398</v>
      </c>
      <c r="G1065" s="2">
        <f t="shared" ca="1" si="997"/>
        <v>7.0650099487508097E-2</v>
      </c>
      <c r="H1065" s="2">
        <f t="shared" ca="1" si="998"/>
        <v>7.0650099487508097E-2</v>
      </c>
      <c r="I1065" s="2">
        <f t="shared" ca="1" si="999"/>
        <v>0.18413196495574347</v>
      </c>
      <c r="J1065" s="2">
        <f t="shared" ca="1" si="1000"/>
        <v>5.5013497719847183E-3</v>
      </c>
      <c r="K1065" s="2">
        <f t="shared" ca="1" si="1001"/>
        <v>5.5013497719847183E-3</v>
      </c>
      <c r="L1065" s="2">
        <f t="shared" ca="1" si="1002"/>
        <v>0.5656476710549031</v>
      </c>
      <c r="M1065" s="2">
        <f t="shared" ca="1" si="1003"/>
        <v>3.3060813391326224E-3</v>
      </c>
      <c r="N1065" s="2">
        <f t="shared" ca="1" si="1004"/>
        <v>3.3060813391326224E-3</v>
      </c>
      <c r="O1065" s="2">
        <f t="shared" si="1005"/>
        <v>6000000</v>
      </c>
      <c r="P1065" s="2">
        <f t="shared" ca="1" si="1006"/>
        <v>41302621.230464794</v>
      </c>
      <c r="Q1065" s="2">
        <f t="shared" ca="1" si="1007"/>
        <v>1032565.5307616199</v>
      </c>
      <c r="R1065" s="2">
        <f t="shared" ca="1" si="1008"/>
        <v>24781572.738278877</v>
      </c>
      <c r="S1065" s="2">
        <f t="shared" ca="1" si="1009"/>
        <v>16521048.492185919</v>
      </c>
      <c r="T1065" s="2">
        <f t="shared" ca="1" si="1010"/>
        <v>50165304.066956632</v>
      </c>
      <c r="U1065" s="2">
        <f t="shared" ca="1" si="1011"/>
        <v>53709487.790108211</v>
      </c>
      <c r="V1065" s="2">
        <f t="shared" ca="1" si="1012"/>
        <v>57504068.445902459</v>
      </c>
      <c r="W1065" s="2">
        <f t="shared" ca="1" si="1013"/>
        <v>61566736.602541946</v>
      </c>
      <c r="X1065" s="2">
        <f t="shared" ca="1" si="1014"/>
        <v>65916432.668632738</v>
      </c>
      <c r="Y1065" s="2">
        <f t="shared" ca="1" si="1015"/>
        <v>0.12275067488599235</v>
      </c>
      <c r="Z1065" s="2">
        <f t="shared" ca="1" si="1016"/>
        <v>0.1238509448403893</v>
      </c>
      <c r="AA1065" s="2">
        <f t="shared" ca="1" si="1017"/>
        <v>6157824.9300799435</v>
      </c>
      <c r="AB1065" s="2">
        <f t="shared" ca="1" si="1018"/>
        <v>6651970.8096982548</v>
      </c>
      <c r="AC1065" s="2">
        <f t="shared" ca="1" si="1019"/>
        <v>7121933.2091914369</v>
      </c>
      <c r="AD1065" s="2">
        <f t="shared" ca="1" si="1020"/>
        <v>7625098.4989641998</v>
      </c>
      <c r="AE1065" s="2">
        <f t="shared" ca="1" si="1021"/>
        <v>8163812.4665180687</v>
      </c>
      <c r="AF1065" s="2">
        <f t="shared" ca="1" si="1022"/>
        <v>1003306.0813391326</v>
      </c>
      <c r="AG1065" s="2">
        <f t="shared" ca="1" si="1023"/>
        <v>1074189.7558021643</v>
      </c>
      <c r="AH1065" s="2">
        <f t="shared" ca="1" si="1024"/>
        <v>1150081.3689180491</v>
      </c>
      <c r="AI1065" s="2">
        <f t="shared" ca="1" si="1025"/>
        <v>1231334.7320508389</v>
      </c>
      <c r="AJ1065" s="2">
        <f t="shared" ca="1" si="1026"/>
        <v>1318328.6533726547</v>
      </c>
      <c r="AK1065" s="2">
        <f t="shared" ca="1" si="1027"/>
        <v>0</v>
      </c>
      <c r="AL1065" s="2">
        <f t="shared" ca="1" si="1028"/>
        <v>35441.837231515798</v>
      </c>
      <c r="AM1065" s="2">
        <f t="shared" ca="1" si="1029"/>
        <v>37945.80655794248</v>
      </c>
      <c r="AN1065" s="2">
        <f t="shared" ca="1" si="1030"/>
        <v>40626.681566394866</v>
      </c>
      <c r="AO1065" s="2">
        <f t="shared" ca="1" si="1031"/>
        <v>43496.960660907927</v>
      </c>
      <c r="AP1065" s="2">
        <f t="shared" ca="1" si="1032"/>
        <v>2230341.5464450987</v>
      </c>
      <c r="AQ1065" s="2">
        <f t="shared" ca="1" si="1033"/>
        <v>760286.0985968851</v>
      </c>
      <c r="AR1065" s="2">
        <f t="shared" ca="1" si="1034"/>
        <v>870334.27193725773</v>
      </c>
      <c r="AS1065" s="2">
        <f t="shared" ca="1" si="1035"/>
        <v>972792.67639535514</v>
      </c>
      <c r="AT1065" s="2">
        <f t="shared" ca="1" si="1036"/>
        <v>1082489.7773217482</v>
      </c>
      <c r="AU1065" s="2">
        <f t="shared" ca="1" si="1037"/>
        <v>1199936.9893420821</v>
      </c>
      <c r="AV1065" s="2">
        <f t="shared" ca="1" si="1038"/>
        <v>2163891.203698827</v>
      </c>
      <c r="AW1065" s="2">
        <f t="shared" ca="1" si="1039"/>
        <v>2441663.3982822178</v>
      </c>
      <c r="AX1065" s="2">
        <f t="shared" ca="1" si="1040"/>
        <v>2730771.8108749921</v>
      </c>
      <c r="AY1065" s="2">
        <f t="shared" ca="1" si="1041"/>
        <v>3040305.7615801189</v>
      </c>
      <c r="AZ1065" s="2">
        <f t="shared" ca="1" si="1042"/>
        <v>3371708.3166973246</v>
      </c>
      <c r="BA1065" s="2">
        <f t="shared" ca="1" si="1043"/>
        <v>59901925.497349776</v>
      </c>
      <c r="BB1065" s="2">
        <f t="shared" ca="1" si="1044"/>
        <v>1198038.5099469956</v>
      </c>
      <c r="BC1065" s="2">
        <f t="shared" ca="1" si="1045"/>
        <v>33922314.249123909</v>
      </c>
      <c r="BD1065" s="2">
        <f t="shared" ca="1" si="1046"/>
        <v>-18053614.022947539</v>
      </c>
      <c r="BE1065" s="2">
        <f t="shared" ca="1" si="1047"/>
        <v>2163891.203698827</v>
      </c>
      <c r="BF1065" s="2">
        <f t="shared" ca="1" si="1048"/>
        <v>2441663.3982822178</v>
      </c>
      <c r="BG1065" s="2">
        <f t="shared" ca="1" si="1049"/>
        <v>2730771.8108749921</v>
      </c>
      <c r="BH1065" s="2">
        <f t="shared" ca="1" si="1050"/>
        <v>3040305.7615801189</v>
      </c>
      <c r="BI1065" s="2">
        <f t="shared" ca="1" si="1051"/>
        <v>37294022.56582123</v>
      </c>
      <c r="BJ1065" s="2">
        <f t="shared" ca="1" si="1052"/>
        <v>0.25173920371937264</v>
      </c>
      <c r="BK1065" s="2">
        <f t="shared" ca="1" si="1053"/>
        <v>10862419.480043139</v>
      </c>
    </row>
    <row r="1066" spans="1:63" x14ac:dyDescent="0.3">
      <c r="A1066" s="2">
        <v>1065</v>
      </c>
      <c r="B1066" s="2">
        <f t="shared" ca="1" si="992"/>
        <v>0.42498896518795903</v>
      </c>
      <c r="C1066" s="2">
        <f t="shared" ca="1" si="993"/>
        <v>6.9219424767174562</v>
      </c>
      <c r="D1066" s="2">
        <f t="shared" ca="1" si="994"/>
        <v>0.20528788625636318</v>
      </c>
      <c r="E1066" s="2">
        <f t="shared" ca="1" si="995"/>
        <v>7.1407618688036347</v>
      </c>
      <c r="F1066" s="2">
        <f t="shared" ca="1" si="996"/>
        <v>0.8103670920196312</v>
      </c>
      <c r="G1066" s="2">
        <f t="shared" ca="1" si="997"/>
        <v>6.6377495772960565E-2</v>
      </c>
      <c r="H1066" s="2">
        <f t="shared" ca="1" si="998"/>
        <v>6.6377495772960565E-2</v>
      </c>
      <c r="I1066" s="2">
        <f t="shared" ca="1" si="999"/>
        <v>0.83490972887751469</v>
      </c>
      <c r="J1066" s="2">
        <f t="shared" ca="1" si="1000"/>
        <v>1.4868751433227113E-2</v>
      </c>
      <c r="K1066" s="2">
        <f t="shared" ca="1" si="1001"/>
        <v>1.4868751433227113E-2</v>
      </c>
      <c r="L1066" s="2">
        <f t="shared" ca="1" si="1002"/>
        <v>0.99242570264235574</v>
      </c>
      <c r="M1066" s="2">
        <f t="shared" ca="1" si="1003"/>
        <v>4.8576139629694273E-2</v>
      </c>
      <c r="N1066" s="2">
        <f t="shared" ca="1" si="1004"/>
        <v>4.8576139629694273E-2</v>
      </c>
      <c r="O1066" s="2">
        <f t="shared" si="1005"/>
        <v>6000000</v>
      </c>
      <c r="P1066" s="2">
        <f t="shared" ca="1" si="1006"/>
        <v>41531654.860304736</v>
      </c>
      <c r="Q1066" s="2">
        <f t="shared" ca="1" si="1007"/>
        <v>1038291.3715076185</v>
      </c>
      <c r="R1066" s="2">
        <f t="shared" ca="1" si="1008"/>
        <v>24918992.916182842</v>
      </c>
      <c r="S1066" s="2">
        <f t="shared" ca="1" si="1009"/>
        <v>16612661.944121895</v>
      </c>
      <c r="T1066" s="2">
        <f t="shared" ca="1" si="1010"/>
        <v>52428806.981484711</v>
      </c>
      <c r="U1066" s="2">
        <f t="shared" ca="1" si="1011"/>
        <v>55908899.895279579</v>
      </c>
      <c r="V1066" s="2">
        <f t="shared" ca="1" si="1012"/>
        <v>59619992.661749378</v>
      </c>
      <c r="W1066" s="2">
        <f t="shared" ca="1" si="1013"/>
        <v>63577418.472638592</v>
      </c>
      <c r="X1066" s="2">
        <f t="shared" ca="1" si="1014"/>
        <v>67797528.298561901</v>
      </c>
      <c r="Y1066" s="2">
        <f t="shared" ca="1" si="1015"/>
        <v>0.12743437571661356</v>
      </c>
      <c r="Z1066" s="2">
        <f t="shared" ca="1" si="1016"/>
        <v>0.13040812600325896</v>
      </c>
      <c r="AA1066" s="2">
        <f t="shared" ca="1" si="1017"/>
        <v>6681232.2872523349</v>
      </c>
      <c r="AB1066" s="2">
        <f t="shared" ca="1" si="1018"/>
        <v>7290974.8622472109</v>
      </c>
      <c r="AC1066" s="2">
        <f t="shared" ca="1" si="1019"/>
        <v>7774931.5153467879</v>
      </c>
      <c r="AD1066" s="2">
        <f t="shared" ca="1" si="1020"/>
        <v>8291011.9991417779</v>
      </c>
      <c r="AE1066" s="2">
        <f t="shared" ca="1" si="1021"/>
        <v>8841348.6130683757</v>
      </c>
      <c r="AF1066" s="2">
        <f t="shared" ca="1" si="1022"/>
        <v>1048576.1396296942</v>
      </c>
      <c r="AG1066" s="2">
        <f t="shared" ca="1" si="1023"/>
        <v>1118177.9979055915</v>
      </c>
      <c r="AH1066" s="2">
        <f t="shared" ca="1" si="1024"/>
        <v>1192399.8532349875</v>
      </c>
      <c r="AI1066" s="2">
        <f t="shared" ca="1" si="1025"/>
        <v>1271548.369452772</v>
      </c>
      <c r="AJ1066" s="2">
        <f t="shared" ca="1" si="1026"/>
        <v>1355950.5659712381</v>
      </c>
      <c r="AK1066" s="2">
        <f t="shared" ca="1" si="1027"/>
        <v>0</v>
      </c>
      <c r="AL1066" s="2">
        <f t="shared" ca="1" si="1028"/>
        <v>34800.929137948675</v>
      </c>
      <c r="AM1066" s="2">
        <f t="shared" ca="1" si="1029"/>
        <v>37110.927664697992</v>
      </c>
      <c r="AN1066" s="2">
        <f t="shared" ca="1" si="1030"/>
        <v>39574.258108892143</v>
      </c>
      <c r="AO1066" s="2">
        <f t="shared" ca="1" si="1031"/>
        <v>42201.098259233091</v>
      </c>
      <c r="AP1066" s="2">
        <f t="shared" ca="1" si="1032"/>
        <v>2242709.3624564558</v>
      </c>
      <c r="AQ1066" s="2">
        <f t="shared" ca="1" si="1033"/>
        <v>881386.16414320818</v>
      </c>
      <c r="AR1066" s="2">
        <f t="shared" ca="1" si="1034"/>
        <v>1021822.7504901426</v>
      </c>
      <c r="AS1066" s="2">
        <f t="shared" ca="1" si="1035"/>
        <v>1128353.7979103895</v>
      </c>
      <c r="AT1066" s="2">
        <f t="shared" ca="1" si="1036"/>
        <v>1241956.1094804632</v>
      </c>
      <c r="AU1066" s="2">
        <f t="shared" ca="1" si="1037"/>
        <v>1363099.0580065772</v>
      </c>
      <c r="AV1066" s="2">
        <f t="shared" ca="1" si="1038"/>
        <v>2508560.6210229769</v>
      </c>
      <c r="AW1066" s="2">
        <f t="shared" ca="1" si="1039"/>
        <v>2873463.8222570717</v>
      </c>
      <c r="AX1066" s="2">
        <f t="shared" ca="1" si="1040"/>
        <v>3174357.5740802567</v>
      </c>
      <c r="AY1066" s="2">
        <f t="shared" ca="1" si="1041"/>
        <v>3495223.8996431949</v>
      </c>
      <c r="AZ1066" s="2">
        <f t="shared" ca="1" si="1042"/>
        <v>3837388.5283748712</v>
      </c>
      <c r="BA1066" s="2">
        <f t="shared" ca="1" si="1043"/>
        <v>63133965.044998556</v>
      </c>
      <c r="BB1066" s="2">
        <f t="shared" ca="1" si="1044"/>
        <v>1262679.300899971</v>
      </c>
      <c r="BC1066" s="2">
        <f t="shared" ca="1" si="1045"/>
        <v>36952292.827915743</v>
      </c>
      <c r="BD1066" s="2">
        <f t="shared" ca="1" si="1046"/>
        <v>-18150953.315629512</v>
      </c>
      <c r="BE1066" s="2">
        <f t="shared" ca="1" si="1047"/>
        <v>2508560.6210229769</v>
      </c>
      <c r="BF1066" s="2">
        <f t="shared" ca="1" si="1048"/>
        <v>2873463.8222570717</v>
      </c>
      <c r="BG1066" s="2">
        <f t="shared" ca="1" si="1049"/>
        <v>3174357.5740802567</v>
      </c>
      <c r="BH1066" s="2">
        <f t="shared" ca="1" si="1050"/>
        <v>3495223.8996431949</v>
      </c>
      <c r="BI1066" s="2">
        <f t="shared" ca="1" si="1051"/>
        <v>40789681.356290616</v>
      </c>
      <c r="BJ1066" s="2">
        <f t="shared" ca="1" si="1052"/>
        <v>0.28432744197633353</v>
      </c>
      <c r="BK1066" s="2">
        <f t="shared" ca="1" si="1053"/>
        <v>14005424.354395352</v>
      </c>
    </row>
    <row r="1067" spans="1:63" x14ac:dyDescent="0.3">
      <c r="A1067" s="2">
        <v>1066</v>
      </c>
      <c r="B1067" s="2">
        <f t="shared" ca="1" si="992"/>
        <v>0.9880501773296787</v>
      </c>
      <c r="C1067" s="2">
        <f t="shared" ca="1" si="993"/>
        <v>7.8454048987171889</v>
      </c>
      <c r="D1067" s="2">
        <f t="shared" ca="1" si="994"/>
        <v>0.54991997599462383</v>
      </c>
      <c r="E1067" s="2">
        <f t="shared" ca="1" si="995"/>
        <v>7.5512323529911276</v>
      </c>
      <c r="F1067" s="2">
        <f t="shared" ca="1" si="996"/>
        <v>0.22644234839094335</v>
      </c>
      <c r="G1067" s="2">
        <f t="shared" ca="1" si="997"/>
        <v>1.7481565231113137E-2</v>
      </c>
      <c r="H1067" s="2">
        <f t="shared" ca="1" si="998"/>
        <v>1.7481565231113137E-2</v>
      </c>
      <c r="I1067" s="2">
        <f t="shared" ca="1" si="999"/>
        <v>0.48798420233603856</v>
      </c>
      <c r="J1067" s="2">
        <f t="shared" ca="1" si="1000"/>
        <v>9.8493815328073303E-3</v>
      </c>
      <c r="K1067" s="2">
        <f t="shared" ca="1" si="1001"/>
        <v>9.8493815328073303E-3</v>
      </c>
      <c r="L1067" s="2">
        <f t="shared" ca="1" si="1002"/>
        <v>0.55040522514843027</v>
      </c>
      <c r="M1067" s="2">
        <f t="shared" ca="1" si="1003"/>
        <v>2.5337042636851769E-3</v>
      </c>
      <c r="N1067" s="2">
        <f t="shared" ca="1" si="1004"/>
        <v>2.5337042636851769E-3</v>
      </c>
      <c r="O1067" s="2">
        <f t="shared" si="1005"/>
        <v>6000000</v>
      </c>
      <c r="P1067" s="2">
        <f t="shared" ca="1" si="1006"/>
        <v>47072429.392303132</v>
      </c>
      <c r="Q1067" s="2">
        <f t="shared" ca="1" si="1007"/>
        <v>1176810.7348075784</v>
      </c>
      <c r="R1067" s="2">
        <f t="shared" ca="1" si="1008"/>
        <v>28243457.635381877</v>
      </c>
      <c r="S1067" s="2">
        <f t="shared" ca="1" si="1009"/>
        <v>18828971.756921254</v>
      </c>
      <c r="T1067" s="2">
        <f t="shared" ca="1" si="1010"/>
        <v>50126685.21318426</v>
      </c>
      <c r="U1067" s="2">
        <f t="shared" ca="1" si="1011"/>
        <v>51002978.130558014</v>
      </c>
      <c r="V1067" s="2">
        <f t="shared" ca="1" si="1012"/>
        <v>51894590.0197284</v>
      </c>
      <c r="W1067" s="2">
        <f t="shared" ca="1" si="1013"/>
        <v>52801788.680300154</v>
      </c>
      <c r="X1067" s="2">
        <f t="shared" ca="1" si="1014"/>
        <v>53724846.593434274</v>
      </c>
      <c r="Y1067" s="2">
        <f t="shared" ca="1" si="1015"/>
        <v>0.12492469076640367</v>
      </c>
      <c r="Z1067" s="2">
        <f t="shared" ca="1" si="1016"/>
        <v>0.12689456707296512</v>
      </c>
      <c r="AA1067" s="2">
        <f t="shared" ca="1" si="1017"/>
        <v>6262060.6494019032</v>
      </c>
      <c r="AB1067" s="2">
        <f t="shared" ca="1" si="1018"/>
        <v>6472000.8293090668</v>
      </c>
      <c r="AC1067" s="2">
        <f t="shared" ca="1" si="1019"/>
        <v>6585141.533982452</v>
      </c>
      <c r="AD1067" s="2">
        <f t="shared" ca="1" si="1020"/>
        <v>6700260.1152648786</v>
      </c>
      <c r="AE1067" s="2">
        <f t="shared" ca="1" si="1021"/>
        <v>6817391.1495353067</v>
      </c>
      <c r="AF1067" s="2">
        <f t="shared" ca="1" si="1022"/>
        <v>1002533.7042636853</v>
      </c>
      <c r="AG1067" s="2">
        <f t="shared" ca="1" si="1023"/>
        <v>1020059.5626111603</v>
      </c>
      <c r="AH1067" s="2">
        <f t="shared" ca="1" si="1024"/>
        <v>1037891.800394568</v>
      </c>
      <c r="AI1067" s="2">
        <f t="shared" ca="1" si="1025"/>
        <v>1056035.773606003</v>
      </c>
      <c r="AJ1067" s="2">
        <f t="shared" ca="1" si="1026"/>
        <v>1074496.9318686854</v>
      </c>
      <c r="AK1067" s="2">
        <f t="shared" ca="1" si="1027"/>
        <v>0</v>
      </c>
      <c r="AL1067" s="2">
        <f t="shared" ca="1" si="1028"/>
        <v>8762.9291737375406</v>
      </c>
      <c r="AM1067" s="2">
        <f t="shared" ca="1" si="1029"/>
        <v>8916.1188917038598</v>
      </c>
      <c r="AN1067" s="2">
        <f t="shared" ca="1" si="1030"/>
        <v>9071.9866057175404</v>
      </c>
      <c r="AO1067" s="2">
        <f t="shared" ca="1" si="1031"/>
        <v>9230.5791313412046</v>
      </c>
      <c r="AP1067" s="2">
        <f t="shared" ca="1" si="1032"/>
        <v>2541911.1871843687</v>
      </c>
      <c r="AQ1067" s="2">
        <f t="shared" ca="1" si="1033"/>
        <v>706580.09706800082</v>
      </c>
      <c r="AR1067" s="2">
        <f t="shared" ca="1" si="1034"/>
        <v>756607.82067351975</v>
      </c>
      <c r="AS1067" s="2">
        <f t="shared" ca="1" si="1035"/>
        <v>781388.02206491411</v>
      </c>
      <c r="AT1067" s="2">
        <f t="shared" ca="1" si="1036"/>
        <v>806601.42016337172</v>
      </c>
      <c r="AU1067" s="2">
        <f t="shared" ca="1" si="1037"/>
        <v>832255.58792538568</v>
      </c>
      <c r="AV1067" s="2">
        <f t="shared" ca="1" si="1038"/>
        <v>2011035.6608858486</v>
      </c>
      <c r="AW1067" s="2">
        <f t="shared" ca="1" si="1039"/>
        <v>2144659.3296662797</v>
      </c>
      <c r="AX1067" s="2">
        <f t="shared" ca="1" si="1040"/>
        <v>2215034.4054468977</v>
      </c>
      <c r="AY1067" s="2">
        <f t="shared" ca="1" si="1041"/>
        <v>2286639.7477054172</v>
      </c>
      <c r="AZ1067" s="2">
        <f t="shared" ca="1" si="1042"/>
        <v>2359496.8634255254</v>
      </c>
      <c r="BA1067" s="2">
        <f t="shared" ca="1" si="1043"/>
        <v>51479704.611366384</v>
      </c>
      <c r="BB1067" s="2">
        <f t="shared" ca="1" si="1044"/>
        <v>1029594.0922273278</v>
      </c>
      <c r="BC1067" s="2">
        <f t="shared" ca="1" si="1045"/>
        <v>22206652.883757178</v>
      </c>
      <c r="BD1067" s="2">
        <f t="shared" ca="1" si="1046"/>
        <v>-20505782.491728831</v>
      </c>
      <c r="BE1067" s="2">
        <f t="shared" ca="1" si="1047"/>
        <v>2011035.6608858486</v>
      </c>
      <c r="BF1067" s="2">
        <f t="shared" ca="1" si="1048"/>
        <v>2144659.3296662797</v>
      </c>
      <c r="BG1067" s="2">
        <f t="shared" ca="1" si="1049"/>
        <v>2215034.4054468977</v>
      </c>
      <c r="BH1067" s="2">
        <f t="shared" ca="1" si="1050"/>
        <v>2286639.7477054172</v>
      </c>
      <c r="BI1067" s="2">
        <f t="shared" ca="1" si="1051"/>
        <v>24566149.747182705</v>
      </c>
      <c r="BJ1067" s="2">
        <f t="shared" ca="1" si="1052"/>
        <v>0.11959158205667597</v>
      </c>
      <c r="BK1067" s="2">
        <f t="shared" ca="1" si="1053"/>
        <v>-31193.905677612871</v>
      </c>
    </row>
    <row r="1068" spans="1:63" x14ac:dyDescent="0.3">
      <c r="A1068" s="2">
        <v>1067</v>
      </c>
      <c r="B1068" s="2">
        <f t="shared" ca="1" si="992"/>
        <v>0.39074911104996346</v>
      </c>
      <c r="C1068" s="2">
        <f t="shared" ca="1" si="993"/>
        <v>6.8840238809556711</v>
      </c>
      <c r="D1068" s="2">
        <f t="shared" ca="1" si="994"/>
        <v>1.0303213873317008E-2</v>
      </c>
      <c r="E1068" s="2">
        <f t="shared" ca="1" si="995"/>
        <v>6.6435493913140489</v>
      </c>
      <c r="F1068" s="2">
        <f t="shared" ca="1" si="996"/>
        <v>0.42937099651106203</v>
      </c>
      <c r="G1068" s="2">
        <f t="shared" ca="1" si="997"/>
        <v>3.4660726455129257E-2</v>
      </c>
      <c r="H1068" s="2">
        <f t="shared" ca="1" si="998"/>
        <v>3.4660726455129257E-2</v>
      </c>
      <c r="I1068" s="2">
        <f t="shared" ca="1" si="999"/>
        <v>0.12744045329737497</v>
      </c>
      <c r="J1068" s="2">
        <f t="shared" ca="1" si="1000"/>
        <v>4.307130343888097E-3</v>
      </c>
      <c r="K1068" s="2">
        <f t="shared" ca="1" si="1001"/>
        <v>4.307130343888097E-3</v>
      </c>
      <c r="L1068" s="2">
        <f t="shared" ca="1" si="1002"/>
        <v>0.49219293647022755</v>
      </c>
      <c r="M1068" s="2">
        <f t="shared" ca="1" si="1003"/>
        <v>-3.9141310816779158E-4</v>
      </c>
      <c r="N1068" s="2">
        <f t="shared" ca="1" si="1004"/>
        <v>-3.9141310816779158E-4</v>
      </c>
      <c r="O1068" s="2">
        <f t="shared" si="1005"/>
        <v>6000000</v>
      </c>
      <c r="P1068" s="2">
        <f t="shared" ca="1" si="1006"/>
        <v>41304143.285734028</v>
      </c>
      <c r="Q1068" s="2">
        <f t="shared" ca="1" si="1007"/>
        <v>1032603.5821433507</v>
      </c>
      <c r="R1068" s="2">
        <f t="shared" ca="1" si="1008"/>
        <v>24782485.971440416</v>
      </c>
      <c r="S1068" s="2">
        <f t="shared" ca="1" si="1009"/>
        <v>16521657.314293612</v>
      </c>
      <c r="T1068" s="2">
        <f t="shared" ca="1" si="1010"/>
        <v>49980429.34459161</v>
      </c>
      <c r="U1068" s="2">
        <f t="shared" ca="1" si="1011"/>
        <v>51712787.334214419</v>
      </c>
      <c r="V1068" s="2">
        <f t="shared" ca="1" si="1012"/>
        <v>53505190.110237896</v>
      </c>
      <c r="W1068" s="2">
        <f t="shared" ca="1" si="1013"/>
        <v>55359718.868578538</v>
      </c>
      <c r="X1068" s="2">
        <f t="shared" ca="1" si="1014"/>
        <v>57278526.940915197</v>
      </c>
      <c r="Y1068" s="2">
        <f t="shared" ca="1" si="1015"/>
        <v>0.12215356517194405</v>
      </c>
      <c r="Z1068" s="2">
        <f t="shared" ca="1" si="1016"/>
        <v>0.12301499124072167</v>
      </c>
      <c r="AA1068" s="2">
        <f t="shared" ca="1" si="1017"/>
        <v>6105287.6332663158</v>
      </c>
      <c r="AB1068" s="2">
        <f t="shared" ca="1" si="1018"/>
        <v>6361448.0809516888</v>
      </c>
      <c r="AC1068" s="2">
        <f t="shared" ca="1" si="1019"/>
        <v>6581940.4927440621</v>
      </c>
      <c r="AD1068" s="2">
        <f t="shared" ca="1" si="1020"/>
        <v>6810075.3317070026</v>
      </c>
      <c r="AE1068" s="2">
        <f t="shared" ca="1" si="1021"/>
        <v>7046117.489918123</v>
      </c>
      <c r="AF1068" s="2">
        <f t="shared" ca="1" si="1022"/>
        <v>999608.58689183218</v>
      </c>
      <c r="AG1068" s="2">
        <f t="shared" ca="1" si="1023"/>
        <v>1034255.7466842884</v>
      </c>
      <c r="AH1068" s="2">
        <f t="shared" ca="1" si="1024"/>
        <v>1070103.8022047579</v>
      </c>
      <c r="AI1068" s="2">
        <f t="shared" ca="1" si="1025"/>
        <v>1107194.3773715708</v>
      </c>
      <c r="AJ1068" s="2">
        <f t="shared" ca="1" si="1026"/>
        <v>1145570.538818304</v>
      </c>
      <c r="AK1068" s="2">
        <f t="shared" ca="1" si="1027"/>
        <v>0</v>
      </c>
      <c r="AL1068" s="2">
        <f t="shared" ca="1" si="1028"/>
        <v>17323.57989622809</v>
      </c>
      <c r="AM1068" s="2">
        <f t="shared" ca="1" si="1029"/>
        <v>17924.027760234774</v>
      </c>
      <c r="AN1068" s="2">
        <f t="shared" ca="1" si="1030"/>
        <v>18545.287583406418</v>
      </c>
      <c r="AO1068" s="2">
        <f t="shared" ca="1" si="1031"/>
        <v>19188.080723366587</v>
      </c>
      <c r="AP1068" s="2">
        <f t="shared" ca="1" si="1032"/>
        <v>2230423.7374296375</v>
      </c>
      <c r="AQ1068" s="2">
        <f t="shared" ca="1" si="1033"/>
        <v>747566.38032566011</v>
      </c>
      <c r="AR1068" s="2">
        <f t="shared" ca="1" si="1034"/>
        <v>805159.83517781831</v>
      </c>
      <c r="AS1068" s="2">
        <f t="shared" ca="1" si="1035"/>
        <v>853167.36780851334</v>
      </c>
      <c r="AT1068" s="2">
        <f t="shared" ca="1" si="1036"/>
        <v>902838.87639550655</v>
      </c>
      <c r="AU1068" s="2">
        <f t="shared" ca="1" si="1037"/>
        <v>954232.03555424709</v>
      </c>
      <c r="AV1068" s="2">
        <f t="shared" ca="1" si="1038"/>
        <v>2127688.9286191864</v>
      </c>
      <c r="AW1068" s="2">
        <f t="shared" ca="1" si="1039"/>
        <v>2274285.181763716</v>
      </c>
      <c r="AX1068" s="2">
        <f t="shared" ca="1" si="1040"/>
        <v>2410321.5575409187</v>
      </c>
      <c r="AY1068" s="2">
        <f t="shared" ca="1" si="1041"/>
        <v>2551073.0529268812</v>
      </c>
      <c r="AZ1068" s="2">
        <f t="shared" ca="1" si="1042"/>
        <v>2696703.0973925674</v>
      </c>
      <c r="BA1068" s="2">
        <f t="shared" ca="1" si="1043"/>
        <v>46811229.561272822</v>
      </c>
      <c r="BB1068" s="2">
        <f t="shared" ca="1" si="1044"/>
        <v>936224.59122545645</v>
      </c>
      <c r="BC1068" s="2">
        <f t="shared" ca="1" si="1045"/>
        <v>21092518.99860695</v>
      </c>
      <c r="BD1068" s="2">
        <f t="shared" ca="1" si="1046"/>
        <v>-18054260.896436963</v>
      </c>
      <c r="BE1068" s="2">
        <f t="shared" ca="1" si="1047"/>
        <v>2127688.9286191864</v>
      </c>
      <c r="BF1068" s="2">
        <f t="shared" ca="1" si="1048"/>
        <v>2274285.181763716</v>
      </c>
      <c r="BG1068" s="2">
        <f t="shared" ca="1" si="1049"/>
        <v>2410321.5575409187</v>
      </c>
      <c r="BH1068" s="2">
        <f t="shared" ca="1" si="1050"/>
        <v>2551073.0529268812</v>
      </c>
      <c r="BI1068" s="2">
        <f t="shared" ca="1" si="1051"/>
        <v>23789222.095999517</v>
      </c>
      <c r="BJ1068" s="2">
        <f t="shared" ca="1" si="1052"/>
        <v>0.15601060363818031</v>
      </c>
      <c r="BK1068" s="2">
        <f t="shared" ca="1" si="1053"/>
        <v>2494023.3978931308</v>
      </c>
    </row>
    <row r="1069" spans="1:63" x14ac:dyDescent="0.3">
      <c r="A1069" s="2">
        <v>1068</v>
      </c>
      <c r="B1069" s="2">
        <f t="shared" ca="1" si="992"/>
        <v>0.8789285262202482</v>
      </c>
      <c r="C1069" s="2">
        <f t="shared" ca="1" si="993"/>
        <v>7.5079197752809979</v>
      </c>
      <c r="D1069" s="2">
        <f t="shared" ca="1" si="994"/>
        <v>0.12043324786147791</v>
      </c>
      <c r="E1069" s="2">
        <f t="shared" ca="1" si="995"/>
        <v>6.9907815152620927</v>
      </c>
      <c r="F1069" s="2">
        <f t="shared" ca="1" si="996"/>
        <v>0.20293958305340631</v>
      </c>
      <c r="G1069" s="2">
        <f t="shared" ca="1" si="997"/>
        <v>1.5064983189759129E-2</v>
      </c>
      <c r="H1069" s="2">
        <f t="shared" ca="1" si="998"/>
        <v>1.5064983189759129E-2</v>
      </c>
      <c r="I1069" s="2">
        <f t="shared" ca="1" si="999"/>
        <v>0.9300293703466691</v>
      </c>
      <c r="J1069" s="2">
        <f t="shared" ca="1" si="1000"/>
        <v>1.7380049039192384E-2</v>
      </c>
      <c r="K1069" s="2">
        <f t="shared" ca="1" si="1001"/>
        <v>1.7380049039192384E-2</v>
      </c>
      <c r="L1069" s="2">
        <f t="shared" ca="1" si="1002"/>
        <v>0.91963042988595645</v>
      </c>
      <c r="M1069" s="2">
        <f t="shared" ca="1" si="1003"/>
        <v>2.8051799683329312E-2</v>
      </c>
      <c r="N1069" s="2">
        <f t="shared" ca="1" si="1004"/>
        <v>2.8051799683329312E-2</v>
      </c>
      <c r="O1069" s="2">
        <f t="shared" si="1005"/>
        <v>6000000</v>
      </c>
      <c r="P1069" s="2">
        <f t="shared" ca="1" si="1006"/>
        <v>45047518.65168599</v>
      </c>
      <c r="Q1069" s="2">
        <f t="shared" ca="1" si="1007"/>
        <v>1126187.9662921499</v>
      </c>
      <c r="R1069" s="2">
        <f t="shared" ca="1" si="1008"/>
        <v>27028511.191011593</v>
      </c>
      <c r="S1069" s="2">
        <f t="shared" ca="1" si="1009"/>
        <v>18019007.460674398</v>
      </c>
      <c r="T1069" s="2">
        <f t="shared" ca="1" si="1010"/>
        <v>51402589.984166466</v>
      </c>
      <c r="U1069" s="2">
        <f t="shared" ca="1" si="1011"/>
        <v>52176969.138188012</v>
      </c>
      <c r="V1069" s="2">
        <f t="shared" ca="1" si="1012"/>
        <v>52963014.301147394</v>
      </c>
      <c r="W1069" s="2">
        <f t="shared" ca="1" si="1013"/>
        <v>53760901.221273154</v>
      </c>
      <c r="X1069" s="2">
        <f t="shared" ca="1" si="1014"/>
        <v>54570808.294437937</v>
      </c>
      <c r="Y1069" s="2">
        <f t="shared" ca="1" si="1015"/>
        <v>0.12869002451959619</v>
      </c>
      <c r="Z1069" s="2">
        <f t="shared" ca="1" si="1016"/>
        <v>0.13216603432743465</v>
      </c>
      <c r="AA1069" s="2">
        <f t="shared" ca="1" si="1017"/>
        <v>6615000.5654331315</v>
      </c>
      <c r="AB1069" s="2">
        <f t="shared" ca="1" si="1018"/>
        <v>6896023.0942192553</v>
      </c>
      <c r="AC1069" s="2">
        <f t="shared" ca="1" si="1019"/>
        <v>6999911.5662098592</v>
      </c>
      <c r="AD1069" s="2">
        <f t="shared" ca="1" si="1020"/>
        <v>7105365.1162846107</v>
      </c>
      <c r="AE1069" s="2">
        <f t="shared" ca="1" si="1021"/>
        <v>7212407.32231854</v>
      </c>
      <c r="AF1069" s="2">
        <f t="shared" ca="1" si="1022"/>
        <v>1028051.7996833293</v>
      </c>
      <c r="AG1069" s="2">
        <f t="shared" ca="1" si="1023"/>
        <v>1043539.3827637603</v>
      </c>
      <c r="AH1069" s="2">
        <f t="shared" ca="1" si="1024"/>
        <v>1059260.2860229479</v>
      </c>
      <c r="AI1069" s="2">
        <f t="shared" ca="1" si="1025"/>
        <v>1075218.0244254631</v>
      </c>
      <c r="AJ1069" s="2">
        <f t="shared" ca="1" si="1026"/>
        <v>1091416.1658887588</v>
      </c>
      <c r="AK1069" s="2">
        <f t="shared" ca="1" si="1027"/>
        <v>0</v>
      </c>
      <c r="AL1069" s="2">
        <f t="shared" ca="1" si="1028"/>
        <v>7743.7915402154622</v>
      </c>
      <c r="AM1069" s="2">
        <f t="shared" ca="1" si="1029"/>
        <v>7860.4516295938192</v>
      </c>
      <c r="AN1069" s="2">
        <f t="shared" ca="1" si="1030"/>
        <v>7978.8692012576012</v>
      </c>
      <c r="AO1069" s="2">
        <f t="shared" ca="1" si="1031"/>
        <v>8099.0707316478347</v>
      </c>
      <c r="AP1069" s="2">
        <f t="shared" ca="1" si="1032"/>
        <v>2432566.0071910433</v>
      </c>
      <c r="AQ1069" s="2">
        <f t="shared" ca="1" si="1033"/>
        <v>820139.51722527726</v>
      </c>
      <c r="AR1069" s="2">
        <f t="shared" ca="1" si="1034"/>
        <v>889178.60310875752</v>
      </c>
      <c r="AS1069" s="2">
        <f t="shared" ca="1" si="1035"/>
        <v>912102.17097892566</v>
      </c>
      <c r="AT1069" s="2">
        <f t="shared" ca="1" si="1036"/>
        <v>935371.08201370726</v>
      </c>
      <c r="AU1069" s="2">
        <f t="shared" ca="1" si="1037"/>
        <v>958990.53880207171</v>
      </c>
      <c r="AV1069" s="2">
        <f t="shared" ca="1" si="1038"/>
        <v>2334243.2413334809</v>
      </c>
      <c r="AW1069" s="2">
        <f t="shared" ca="1" si="1039"/>
        <v>2522995.3096154789</v>
      </c>
      <c r="AX1069" s="2">
        <f t="shared" ca="1" si="1040"/>
        <v>2588122.6503873486</v>
      </c>
      <c r="AY1069" s="2">
        <f t="shared" ca="1" si="1041"/>
        <v>2654231.1334531391</v>
      </c>
      <c r="AZ1069" s="2">
        <f t="shared" ca="1" si="1042"/>
        <v>2721335.5397050176</v>
      </c>
      <c r="BA1069" s="2">
        <f t="shared" ca="1" si="1043"/>
        <v>50420363.789405413</v>
      </c>
      <c r="BB1069" s="2">
        <f t="shared" ca="1" si="1044"/>
        <v>1008407.2757881082</v>
      </c>
      <c r="BC1069" s="2">
        <f t="shared" ca="1" si="1045"/>
        <v>22383445.32260571</v>
      </c>
      <c r="BD1069" s="2">
        <f t="shared" ca="1" si="1046"/>
        <v>-19645195.426966548</v>
      </c>
      <c r="BE1069" s="2">
        <f t="shared" ca="1" si="1047"/>
        <v>2334243.2413334809</v>
      </c>
      <c r="BF1069" s="2">
        <f t="shared" ca="1" si="1048"/>
        <v>2522995.3096154789</v>
      </c>
      <c r="BG1069" s="2">
        <f t="shared" ca="1" si="1049"/>
        <v>2588122.6503873486</v>
      </c>
      <c r="BH1069" s="2">
        <f t="shared" ca="1" si="1050"/>
        <v>2654231.1334531391</v>
      </c>
      <c r="BI1069" s="2">
        <f t="shared" ca="1" si="1051"/>
        <v>25104780.86231073</v>
      </c>
      <c r="BJ1069" s="2">
        <f t="shared" ca="1" si="1052"/>
        <v>0.14990068904887544</v>
      </c>
      <c r="BK1069" s="2">
        <f t="shared" ca="1" si="1053"/>
        <v>2224380.0573835224</v>
      </c>
    </row>
    <row r="1070" spans="1:63" x14ac:dyDescent="0.3">
      <c r="A1070" s="2">
        <v>1069</v>
      </c>
      <c r="B1070" s="2">
        <f t="shared" ca="1" si="992"/>
        <v>0.88611752486201989</v>
      </c>
      <c r="C1070" s="2">
        <f t="shared" ca="1" si="993"/>
        <v>7.5227527367538292</v>
      </c>
      <c r="D1070" s="2">
        <f t="shared" ca="1" si="994"/>
        <v>3.7125641557827604E-2</v>
      </c>
      <c r="E1070" s="2">
        <f t="shared" ca="1" si="995"/>
        <v>6.7724908862983408</v>
      </c>
      <c r="F1070" s="2">
        <f t="shared" ca="1" si="996"/>
        <v>0.23368058383269363</v>
      </c>
      <c r="G1070" s="2">
        <f t="shared" ca="1" si="997"/>
        <v>1.8196621096966865E-2</v>
      </c>
      <c r="H1070" s="2">
        <f t="shared" ca="1" si="998"/>
        <v>1.8196621096966865E-2</v>
      </c>
      <c r="I1070" s="2">
        <f t="shared" ca="1" si="999"/>
        <v>0.6228103617659837</v>
      </c>
      <c r="J1070" s="2">
        <f t="shared" ca="1" si="1000"/>
        <v>1.1564351014794571E-2</v>
      </c>
      <c r="K1070" s="2">
        <f t="shared" ca="1" si="1001"/>
        <v>1.1564351014794571E-2</v>
      </c>
      <c r="L1070" s="2">
        <f t="shared" ca="1" si="1002"/>
        <v>0.5851765394024534</v>
      </c>
      <c r="M1070" s="2">
        <f t="shared" ca="1" si="1003"/>
        <v>4.3030885295233133E-3</v>
      </c>
      <c r="N1070" s="2">
        <f t="shared" ca="1" si="1004"/>
        <v>4.3030885295233133E-3</v>
      </c>
      <c r="O1070" s="2">
        <f t="shared" si="1005"/>
        <v>6000000</v>
      </c>
      <c r="P1070" s="2">
        <f t="shared" ca="1" si="1006"/>
        <v>45136516.420522973</v>
      </c>
      <c r="Q1070" s="2">
        <f t="shared" ca="1" si="1007"/>
        <v>1128412.9105130744</v>
      </c>
      <c r="R1070" s="2">
        <f t="shared" ca="1" si="1008"/>
        <v>27081909.852313783</v>
      </c>
      <c r="S1070" s="2">
        <f t="shared" ca="1" si="1009"/>
        <v>18054606.56820919</v>
      </c>
      <c r="T1070" s="2">
        <f t="shared" ca="1" si="1010"/>
        <v>50215154.426476158</v>
      </c>
      <c r="U1070" s="2">
        <f t="shared" ca="1" si="1011"/>
        <v>51128900.564900421</v>
      </c>
      <c r="V1070" s="2">
        <f t="shared" ca="1" si="1012"/>
        <v>52059273.79558441</v>
      </c>
      <c r="W1070" s="2">
        <f t="shared" ca="1" si="1013"/>
        <v>53006576.675425917</v>
      </c>
      <c r="X1070" s="2">
        <f t="shared" ca="1" si="1014"/>
        <v>53971117.266835965</v>
      </c>
      <c r="Y1070" s="2">
        <f t="shared" ca="1" si="1015"/>
        <v>0.12578217550739729</v>
      </c>
      <c r="Z1070" s="2">
        <f t="shared" ca="1" si="1016"/>
        <v>0.12809504571035618</v>
      </c>
      <c r="AA1070" s="2">
        <f t="shared" ca="1" si="1017"/>
        <v>6316171.3672020817</v>
      </c>
      <c r="AB1070" s="2">
        <f t="shared" ca="1" si="1018"/>
        <v>6549358.8549811756</v>
      </c>
      <c r="AC1070" s="2">
        <f t="shared" ca="1" si="1019"/>
        <v>6668535.0564933326</v>
      </c>
      <c r="AD1070" s="2">
        <f t="shared" ca="1" si="1020"/>
        <v>6789879.8621881828</v>
      </c>
      <c r="AE1070" s="2">
        <f t="shared" ca="1" si="1021"/>
        <v>6913432.7333343467</v>
      </c>
      <c r="AF1070" s="2">
        <f t="shared" ca="1" si="1022"/>
        <v>1004303.0885295232</v>
      </c>
      <c r="AG1070" s="2">
        <f t="shared" ca="1" si="1023"/>
        <v>1022578.0112980084</v>
      </c>
      <c r="AH1070" s="2">
        <f t="shared" ca="1" si="1024"/>
        <v>1041185.4759116882</v>
      </c>
      <c r="AI1070" s="2">
        <f t="shared" ca="1" si="1025"/>
        <v>1060131.5335085182</v>
      </c>
      <c r="AJ1070" s="2">
        <f t="shared" ca="1" si="1026"/>
        <v>1079422.3453367194</v>
      </c>
      <c r="AK1070" s="2">
        <f t="shared" ca="1" si="1027"/>
        <v>0</v>
      </c>
      <c r="AL1070" s="2">
        <f t="shared" ca="1" si="1028"/>
        <v>9137.4613842426243</v>
      </c>
      <c r="AM1070" s="2">
        <f t="shared" ca="1" si="1029"/>
        <v>9303.7323068398982</v>
      </c>
      <c r="AN1070" s="2">
        <f t="shared" ca="1" si="1030"/>
        <v>9473.0287984150655</v>
      </c>
      <c r="AO1070" s="2">
        <f t="shared" ca="1" si="1031"/>
        <v>9645.4059141004836</v>
      </c>
      <c r="AP1070" s="2">
        <f t="shared" ca="1" si="1032"/>
        <v>2437371.8867082405</v>
      </c>
      <c r="AQ1070" s="2">
        <f t="shared" ca="1" si="1033"/>
        <v>747369.06191072264</v>
      </c>
      <c r="AR1070" s="2">
        <f t="shared" ca="1" si="1034"/>
        <v>803246.32881348103</v>
      </c>
      <c r="AS1070" s="2">
        <f t="shared" ca="1" si="1035"/>
        <v>829394.20040708513</v>
      </c>
      <c r="AT1070" s="2">
        <f t="shared" ca="1" si="1036"/>
        <v>856017.87491257011</v>
      </c>
      <c r="AU1070" s="2">
        <f t="shared" ca="1" si="1037"/>
        <v>883126.01033524063</v>
      </c>
      <c r="AV1070" s="2">
        <f t="shared" ca="1" si="1038"/>
        <v>2127127.3300535954</v>
      </c>
      <c r="AW1070" s="2">
        <f t="shared" ca="1" si="1039"/>
        <v>2277025.1667772033</v>
      </c>
      <c r="AX1070" s="2">
        <f t="shared" ca="1" si="1040"/>
        <v>2351279.7611594792</v>
      </c>
      <c r="AY1070" s="2">
        <f t="shared" ca="1" si="1041"/>
        <v>2426885.538260438</v>
      </c>
      <c r="AZ1070" s="2">
        <f t="shared" ca="1" si="1042"/>
        <v>2503867.0850400454</v>
      </c>
      <c r="BA1070" s="2">
        <f t="shared" ca="1" si="1043"/>
        <v>46821160.179543488</v>
      </c>
      <c r="BB1070" s="2">
        <f t="shared" ca="1" si="1044"/>
        <v>936423.20359086979</v>
      </c>
      <c r="BC1070" s="2">
        <f t="shared" ca="1" si="1045"/>
        <v>18802827.123638835</v>
      </c>
      <c r="BD1070" s="2">
        <f t="shared" ca="1" si="1046"/>
        <v>-19683019.478722263</v>
      </c>
      <c r="BE1070" s="2">
        <f t="shared" ca="1" si="1047"/>
        <v>2127127.3300535954</v>
      </c>
      <c r="BF1070" s="2">
        <f t="shared" ca="1" si="1048"/>
        <v>2277025.1667772033</v>
      </c>
      <c r="BG1070" s="2">
        <f t="shared" ca="1" si="1049"/>
        <v>2351279.7611594792</v>
      </c>
      <c r="BH1070" s="2">
        <f t="shared" ca="1" si="1050"/>
        <v>2426885.538260438</v>
      </c>
      <c r="BI1070" s="2">
        <f t="shared" ca="1" si="1051"/>
        <v>21306694.208678879</v>
      </c>
      <c r="BJ1070" s="2">
        <f t="shared" ca="1" si="1052"/>
        <v>0.11060546949824634</v>
      </c>
      <c r="BK1070" s="2">
        <f t="shared" ca="1" si="1053"/>
        <v>-662653.50088404864</v>
      </c>
    </row>
    <row r="1071" spans="1:63" x14ac:dyDescent="0.3">
      <c r="A1071" s="2">
        <v>1070</v>
      </c>
      <c r="B1071" s="2">
        <f t="shared" ca="1" si="992"/>
        <v>3.8473984734046285E-2</v>
      </c>
      <c r="C1071" s="2">
        <f t="shared" ca="1" si="993"/>
        <v>6.2773949701564407</v>
      </c>
      <c r="D1071" s="2">
        <f t="shared" ca="1" si="994"/>
        <v>0.30636233135017488</v>
      </c>
      <c r="E1071" s="2">
        <f t="shared" ca="1" si="995"/>
        <v>7.2827673106998976</v>
      </c>
      <c r="F1071" s="2">
        <f t="shared" ca="1" si="996"/>
        <v>8.968387189454563E-2</v>
      </c>
      <c r="G1071" s="2">
        <f t="shared" ca="1" si="997"/>
        <v>-2.8112881584841515E-4</v>
      </c>
      <c r="H1071" s="2">
        <f t="shared" ca="1" si="998"/>
        <v>-2.8112881584841515E-4</v>
      </c>
      <c r="I1071" s="2">
        <f t="shared" ca="1" si="999"/>
        <v>0.61120937054712365</v>
      </c>
      <c r="J1071" s="2">
        <f t="shared" ca="1" si="1000"/>
        <v>1.1412362312643861E-2</v>
      </c>
      <c r="K1071" s="2">
        <f t="shared" ca="1" si="1001"/>
        <v>1.1412362312643861E-2</v>
      </c>
      <c r="L1071" s="2">
        <f t="shared" ca="1" si="1002"/>
        <v>0.45191314764677748</v>
      </c>
      <c r="M1071" s="2">
        <f t="shared" ca="1" si="1003"/>
        <v>-2.4165846564046228E-3</v>
      </c>
      <c r="N1071" s="2">
        <f t="shared" ca="1" si="1004"/>
        <v>-2.4165846564046228E-3</v>
      </c>
      <c r="O1071" s="2">
        <f t="shared" si="1005"/>
        <v>6000000</v>
      </c>
      <c r="P1071" s="2">
        <f t="shared" ca="1" si="1006"/>
        <v>37664369.820938647</v>
      </c>
      <c r="Q1071" s="2">
        <f t="shared" ca="1" si="1007"/>
        <v>941609.24552346626</v>
      </c>
      <c r="R1071" s="2">
        <f t="shared" ca="1" si="1008"/>
        <v>22598621.892563187</v>
      </c>
      <c r="S1071" s="2">
        <f t="shared" ca="1" si="1009"/>
        <v>15065747.92837546</v>
      </c>
      <c r="T1071" s="2">
        <f t="shared" ca="1" si="1010"/>
        <v>49879170.767179772</v>
      </c>
      <c r="U1071" s="2">
        <f t="shared" ca="1" si="1011"/>
        <v>49865148.294966497</v>
      </c>
      <c r="V1071" s="2">
        <f t="shared" ca="1" si="1012"/>
        <v>49851129.764874227</v>
      </c>
      <c r="W1071" s="2">
        <f t="shared" ca="1" si="1013"/>
        <v>49837115.175794721</v>
      </c>
      <c r="X1071" s="2">
        <f t="shared" ca="1" si="1014"/>
        <v>49823104.526620045</v>
      </c>
      <c r="Y1071" s="2">
        <f t="shared" ca="1" si="1015"/>
        <v>0.12570618115632193</v>
      </c>
      <c r="Z1071" s="2">
        <f t="shared" ca="1" si="1016"/>
        <v>0.1279886536188507</v>
      </c>
      <c r="AA1071" s="2">
        <f t="shared" ca="1" si="1017"/>
        <v>6270120.076386217</v>
      </c>
      <c r="AB1071" s="2">
        <f t="shared" ca="1" si="1018"/>
        <v>6382173.1927770907</v>
      </c>
      <c r="AC1071" s="2">
        <f t="shared" ca="1" si="1019"/>
        <v>6380378.9799848655</v>
      </c>
      <c r="AD1071" s="2">
        <f t="shared" ca="1" si="1020"/>
        <v>6378585.2715975577</v>
      </c>
      <c r="AE1071" s="2">
        <f t="shared" ca="1" si="1021"/>
        <v>6376792.067473365</v>
      </c>
      <c r="AF1071" s="2">
        <f t="shared" ca="1" si="1022"/>
        <v>997583.41534359544</v>
      </c>
      <c r="AG1071" s="2">
        <f t="shared" ca="1" si="1023"/>
        <v>997302.96589932998</v>
      </c>
      <c r="AH1071" s="2">
        <f t="shared" ca="1" si="1024"/>
        <v>997022.59529748454</v>
      </c>
      <c r="AI1071" s="2">
        <f t="shared" ca="1" si="1025"/>
        <v>996742.30351589445</v>
      </c>
      <c r="AJ1071" s="2">
        <f t="shared" ca="1" si="1026"/>
        <v>996462.09053240088</v>
      </c>
      <c r="AK1071" s="2">
        <f t="shared" ca="1" si="1027"/>
        <v>0</v>
      </c>
      <c r="AL1071" s="2">
        <f t="shared" ca="1" si="1028"/>
        <v>0</v>
      </c>
      <c r="AM1071" s="2">
        <f t="shared" ca="1" si="1029"/>
        <v>0</v>
      </c>
      <c r="AN1071" s="2">
        <f t="shared" ca="1" si="1030"/>
        <v>0</v>
      </c>
      <c r="AO1071" s="2">
        <f t="shared" ca="1" si="1031"/>
        <v>0</v>
      </c>
      <c r="AP1071" s="2">
        <f t="shared" ca="1" si="1032"/>
        <v>2033875.9703306868</v>
      </c>
      <c r="AQ1071" s="2">
        <f t="shared" ca="1" si="1033"/>
        <v>842051.77958510304</v>
      </c>
      <c r="AR1071" s="2">
        <f t="shared" ca="1" si="1034"/>
        <v>871258.50670223939</v>
      </c>
      <c r="AS1071" s="2">
        <f t="shared" ca="1" si="1035"/>
        <v>870864.90773274051</v>
      </c>
      <c r="AT1071" s="2">
        <f t="shared" ca="1" si="1036"/>
        <v>870471.41941525391</v>
      </c>
      <c r="AU1071" s="2">
        <f t="shared" ca="1" si="1037"/>
        <v>870078.04171867215</v>
      </c>
      <c r="AV1071" s="2">
        <f t="shared" ca="1" si="1038"/>
        <v>2396608.911126832</v>
      </c>
      <c r="AW1071" s="2">
        <f t="shared" ca="1" si="1039"/>
        <v>2479735.7498448347</v>
      </c>
      <c r="AX1071" s="2">
        <f t="shared" ca="1" si="1040"/>
        <v>2478615.506623954</v>
      </c>
      <c r="AY1071" s="2">
        <f t="shared" ca="1" si="1041"/>
        <v>2477495.5783357224</v>
      </c>
      <c r="AZ1071" s="2">
        <f t="shared" ca="1" si="1042"/>
        <v>2476375.9648916055</v>
      </c>
      <c r="BA1071" s="2">
        <f t="shared" ca="1" si="1043"/>
        <v>46440692.816125438</v>
      </c>
      <c r="BB1071" s="2">
        <f t="shared" ca="1" si="1044"/>
        <v>928813.85632250877</v>
      </c>
      <c r="BC1071" s="2">
        <f t="shared" ca="1" si="1045"/>
        <v>22913257.067239743</v>
      </c>
      <c r="BD1071" s="2">
        <f t="shared" ca="1" si="1046"/>
        <v>-16507357.173898926</v>
      </c>
      <c r="BE1071" s="2">
        <f t="shared" ca="1" si="1047"/>
        <v>2396608.911126832</v>
      </c>
      <c r="BF1071" s="2">
        <f t="shared" ca="1" si="1048"/>
        <v>2479735.7498448347</v>
      </c>
      <c r="BG1071" s="2">
        <f t="shared" ca="1" si="1049"/>
        <v>2478615.506623954</v>
      </c>
      <c r="BH1071" s="2">
        <f t="shared" ca="1" si="1050"/>
        <v>2477495.5783357224</v>
      </c>
      <c r="BI1071" s="2">
        <f t="shared" ca="1" si="1051"/>
        <v>25389633.032131348</v>
      </c>
      <c r="BJ1071" s="2">
        <f t="shared" ca="1" si="1052"/>
        <v>0.20081708536270071</v>
      </c>
      <c r="BK1071" s="2">
        <f t="shared" ca="1" si="1053"/>
        <v>5354784.7967671547</v>
      </c>
    </row>
    <row r="1072" spans="1:63" x14ac:dyDescent="0.3">
      <c r="A1072" s="2">
        <v>1071</v>
      </c>
      <c r="B1072" s="2">
        <f t="shared" ca="1" si="992"/>
        <v>0.14657181809060427</v>
      </c>
      <c r="C1072" s="2">
        <f t="shared" ca="1" si="993"/>
        <v>6.5414274061969975</v>
      </c>
      <c r="D1072" s="2">
        <f t="shared" ca="1" si="994"/>
        <v>0.92585402274291251</v>
      </c>
      <c r="E1072" s="2">
        <f t="shared" ca="1" si="995"/>
        <v>8.1149130559027292</v>
      </c>
      <c r="F1072" s="2">
        <f t="shared" ca="1" si="996"/>
        <v>0.66638100665535371</v>
      </c>
      <c r="G1072" s="2">
        <f t="shared" ca="1" si="997"/>
        <v>5.2898253640980913E-2</v>
      </c>
      <c r="H1072" s="2">
        <f t="shared" ca="1" si="998"/>
        <v>5.2898253640980913E-2</v>
      </c>
      <c r="I1072" s="2">
        <f t="shared" ca="1" si="999"/>
        <v>0.42186764851102598</v>
      </c>
      <c r="J1072" s="2">
        <f t="shared" ca="1" si="1000"/>
        <v>9.0144106339332085E-3</v>
      </c>
      <c r="K1072" s="2">
        <f t="shared" ca="1" si="1001"/>
        <v>9.0144106339332085E-3</v>
      </c>
      <c r="L1072" s="2">
        <f t="shared" ca="1" si="1002"/>
        <v>0.90569527966163932</v>
      </c>
      <c r="M1072" s="2">
        <f t="shared" ca="1" si="1003"/>
        <v>2.6294077683607819E-2</v>
      </c>
      <c r="N1072" s="2">
        <f t="shared" ca="1" si="1004"/>
        <v>2.6294077683607819E-2</v>
      </c>
      <c r="O1072" s="2">
        <f t="shared" si="1005"/>
        <v>6000000</v>
      </c>
      <c r="P1072" s="2">
        <f t="shared" ca="1" si="1006"/>
        <v>39248564.437181987</v>
      </c>
      <c r="Q1072" s="2">
        <f t="shared" ca="1" si="1007"/>
        <v>981214.11092954967</v>
      </c>
      <c r="R1072" s="2">
        <f t="shared" ca="1" si="1008"/>
        <v>23549138.662309192</v>
      </c>
      <c r="S1072" s="2">
        <f t="shared" ca="1" si="1009"/>
        <v>15699425.774872795</v>
      </c>
      <c r="T1072" s="2">
        <f t="shared" ca="1" si="1010"/>
        <v>51314703.884180389</v>
      </c>
      <c r="U1072" s="2">
        <f t="shared" ca="1" si="1011"/>
        <v>54029162.105757594</v>
      </c>
      <c r="V1072" s="2">
        <f t="shared" ca="1" si="1012"/>
        <v>56887210.426837638</v>
      </c>
      <c r="W1072" s="2">
        <f t="shared" ca="1" si="1013"/>
        <v>59896444.512924351</v>
      </c>
      <c r="X1072" s="2">
        <f t="shared" ca="1" si="1014"/>
        <v>63064861.826961964</v>
      </c>
      <c r="Y1072" s="2">
        <f t="shared" ca="1" si="1015"/>
        <v>0.1245072053169666</v>
      </c>
      <c r="Z1072" s="2">
        <f t="shared" ca="1" si="1016"/>
        <v>0.12631008744375324</v>
      </c>
      <c r="AA1072" s="2">
        <f t="shared" ca="1" si="1017"/>
        <v>6389050.3722869912</v>
      </c>
      <c r="AB1072" s="2">
        <f t="shared" ca="1" si="1018"/>
        <v>6824428.1900909608</v>
      </c>
      <c r="AC1072" s="2">
        <f t="shared" ca="1" si="1019"/>
        <v>7185428.523445053</v>
      </c>
      <c r="AD1072" s="2">
        <f t="shared" ca="1" si="1020"/>
        <v>7565525.1439973889</v>
      </c>
      <c r="AE1072" s="2">
        <f t="shared" ca="1" si="1021"/>
        <v>7965728.2119917814</v>
      </c>
      <c r="AF1072" s="2">
        <f t="shared" ca="1" si="1022"/>
        <v>1026294.0776836078</v>
      </c>
      <c r="AG1072" s="2">
        <f t="shared" ca="1" si="1023"/>
        <v>1080583.2421151518</v>
      </c>
      <c r="AH1072" s="2">
        <f t="shared" ca="1" si="1024"/>
        <v>1137744.2085367527</v>
      </c>
      <c r="AI1072" s="2">
        <f t="shared" ca="1" si="1025"/>
        <v>1197928.8902584871</v>
      </c>
      <c r="AJ1072" s="2">
        <f t="shared" ca="1" si="1026"/>
        <v>1261297.2365392393</v>
      </c>
      <c r="AK1072" s="2">
        <f t="shared" ca="1" si="1027"/>
        <v>0</v>
      </c>
      <c r="AL1072" s="2">
        <f t="shared" ca="1" si="1028"/>
        <v>27144.582215772047</v>
      </c>
      <c r="AM1072" s="2">
        <f t="shared" ca="1" si="1029"/>
        <v>28580.483210800441</v>
      </c>
      <c r="AN1072" s="2">
        <f t="shared" ca="1" si="1030"/>
        <v>30092.340860867127</v>
      </c>
      <c r="AO1072" s="2">
        <f t="shared" ca="1" si="1031"/>
        <v>31684.173140376137</v>
      </c>
      <c r="AP1072" s="2">
        <f t="shared" ca="1" si="1032"/>
        <v>2119422.479607827</v>
      </c>
      <c r="AQ1072" s="2">
        <f t="shared" ca="1" si="1033"/>
        <v>843266.79189884465</v>
      </c>
      <c r="AR1072" s="2">
        <f t="shared" ca="1" si="1034"/>
        <v>942349.8417756753</v>
      </c>
      <c r="AS1072" s="2">
        <f t="shared" ca="1" si="1035"/>
        <v>1021348.0771781232</v>
      </c>
      <c r="AT1072" s="2">
        <f t="shared" ca="1" si="1036"/>
        <v>1104525.1812740795</v>
      </c>
      <c r="AU1072" s="2">
        <f t="shared" ca="1" si="1037"/>
        <v>1192102.208919626</v>
      </c>
      <c r="AV1072" s="2">
        <f t="shared" ca="1" si="1038"/>
        <v>2400067.0230967114</v>
      </c>
      <c r="AW1072" s="2">
        <f t="shared" ca="1" si="1039"/>
        <v>2654928.0443765344</v>
      </c>
      <c r="AX1072" s="2">
        <f t="shared" ca="1" si="1040"/>
        <v>2878333.2749115499</v>
      </c>
      <c r="AY1072" s="2">
        <f t="shared" ca="1" si="1041"/>
        <v>3113556.2519961279</v>
      </c>
      <c r="AZ1072" s="2">
        <f t="shared" ca="1" si="1042"/>
        <v>3361222.1137847137</v>
      </c>
      <c r="BA1072" s="2">
        <f t="shared" ca="1" si="1043"/>
        <v>64641191.867264807</v>
      </c>
      <c r="BB1072" s="2">
        <f t="shared" ca="1" si="1044"/>
        <v>1292823.8373452963</v>
      </c>
      <c r="BC1072" s="2">
        <f t="shared" ca="1" si="1045"/>
        <v>39799229.36761032</v>
      </c>
      <c r="BD1072" s="2">
        <f t="shared" ca="1" si="1046"/>
        <v>-17180639.885802343</v>
      </c>
      <c r="BE1072" s="2">
        <f t="shared" ca="1" si="1047"/>
        <v>2400067.0230967114</v>
      </c>
      <c r="BF1072" s="2">
        <f t="shared" ca="1" si="1048"/>
        <v>2654928.0443765344</v>
      </c>
      <c r="BG1072" s="2">
        <f t="shared" ca="1" si="1049"/>
        <v>2878333.2749115499</v>
      </c>
      <c r="BH1072" s="2">
        <f t="shared" ca="1" si="1050"/>
        <v>3113556.2519961279</v>
      </c>
      <c r="BI1072" s="2">
        <f t="shared" ca="1" si="1051"/>
        <v>43160451.481395036</v>
      </c>
      <c r="BJ1072" s="2">
        <f t="shared" ca="1" si="1052"/>
        <v>0.30480411807696228</v>
      </c>
      <c r="BK1072" s="2">
        <f t="shared" ca="1" si="1053"/>
        <v>15596630.814884104</v>
      </c>
    </row>
    <row r="1073" spans="1:63" x14ac:dyDescent="0.3">
      <c r="A1073" s="2">
        <v>1072</v>
      </c>
      <c r="B1073" s="2">
        <f t="shared" ca="1" si="992"/>
        <v>0.31203530093134146</v>
      </c>
      <c r="C1073" s="2">
        <f t="shared" ca="1" si="993"/>
        <v>6.7899813933648581</v>
      </c>
      <c r="D1073" s="2">
        <f t="shared" ca="1" si="994"/>
        <v>0.63370393292578564</v>
      </c>
      <c r="E1073" s="2">
        <f t="shared" ca="1" si="995"/>
        <v>7.6440840379170227</v>
      </c>
      <c r="F1073" s="2">
        <f t="shared" ca="1" si="996"/>
        <v>0.16513379069291489</v>
      </c>
      <c r="G1073" s="2">
        <f t="shared" ca="1" si="997"/>
        <v>1.0792748612708909E-2</v>
      </c>
      <c r="H1073" s="2">
        <f t="shared" ca="1" si="998"/>
        <v>1.0792748612708909E-2</v>
      </c>
      <c r="I1073" s="2">
        <f t="shared" ca="1" si="999"/>
        <v>0.48822771255751019</v>
      </c>
      <c r="J1073" s="2">
        <f t="shared" ca="1" si="1000"/>
        <v>9.852434837984432E-3</v>
      </c>
      <c r="K1073" s="2">
        <f t="shared" ca="1" si="1001"/>
        <v>9.852434837984432E-3</v>
      </c>
      <c r="L1073" s="2">
        <f t="shared" ca="1" si="1002"/>
        <v>0.94536249971629949</v>
      </c>
      <c r="M1073" s="2">
        <f t="shared" ca="1" si="1003"/>
        <v>3.2029206516885442E-2</v>
      </c>
      <c r="N1073" s="2">
        <f t="shared" ca="1" si="1004"/>
        <v>3.2029206516885442E-2</v>
      </c>
      <c r="O1073" s="2">
        <f t="shared" si="1005"/>
        <v>6000000</v>
      </c>
      <c r="P1073" s="2">
        <f t="shared" ca="1" si="1006"/>
        <v>40739888.360189147</v>
      </c>
      <c r="Q1073" s="2">
        <f t="shared" ca="1" si="1007"/>
        <v>1018497.2090047287</v>
      </c>
      <c r="R1073" s="2">
        <f t="shared" ca="1" si="1008"/>
        <v>24443933.016113486</v>
      </c>
      <c r="S1073" s="2">
        <f t="shared" ca="1" si="1009"/>
        <v>16295955.344075659</v>
      </c>
      <c r="T1073" s="2">
        <f t="shared" ca="1" si="1010"/>
        <v>51601460.325844273</v>
      </c>
      <c r="U1073" s="2">
        <f t="shared" ca="1" si="1011"/>
        <v>52158381.91518978</v>
      </c>
      <c r="V1073" s="2">
        <f t="shared" ca="1" si="1012"/>
        <v>52721314.219246082</v>
      </c>
      <c r="W1073" s="2">
        <f t="shared" ca="1" si="1013"/>
        <v>53290322.110146038</v>
      </c>
      <c r="X1073" s="2">
        <f t="shared" ca="1" si="1014"/>
        <v>53865471.160171121</v>
      </c>
      <c r="Y1073" s="2">
        <f t="shared" ca="1" si="1015"/>
        <v>0.12492621741899221</v>
      </c>
      <c r="Z1073" s="2">
        <f t="shared" ca="1" si="1016"/>
        <v>0.12689670438658909</v>
      </c>
      <c r="AA1073" s="2">
        <f t="shared" ca="1" si="1017"/>
        <v>6446375.2518039225</v>
      </c>
      <c r="AB1073" s="2">
        <f t="shared" ca="1" si="1018"/>
        <v>6618726.7711746525</v>
      </c>
      <c r="AC1073" s="2">
        <f t="shared" ca="1" si="1019"/>
        <v>6690161.0253521465</v>
      </c>
      <c r="AD1073" s="2">
        <f t="shared" ca="1" si="1020"/>
        <v>6762366.2514773142</v>
      </c>
      <c r="AE1073" s="2">
        <f t="shared" ca="1" si="1021"/>
        <v>6835350.7704565749</v>
      </c>
      <c r="AF1073" s="2">
        <f t="shared" ca="1" si="1022"/>
        <v>1032029.2065168854</v>
      </c>
      <c r="AG1073" s="2">
        <f t="shared" ca="1" si="1023"/>
        <v>1043167.6383037956</v>
      </c>
      <c r="AH1073" s="2">
        <f t="shared" ca="1" si="1024"/>
        <v>1054426.2843849217</v>
      </c>
      <c r="AI1073" s="2">
        <f t="shared" ca="1" si="1025"/>
        <v>1065806.4422029208</v>
      </c>
      <c r="AJ1073" s="2">
        <f t="shared" ca="1" si="1026"/>
        <v>1077309.4232034225</v>
      </c>
      <c r="AK1073" s="2">
        <f t="shared" ca="1" si="1027"/>
        <v>0</v>
      </c>
      <c r="AL1073" s="2">
        <f t="shared" ca="1" si="1028"/>
        <v>5569.2158934550735</v>
      </c>
      <c r="AM1073" s="2">
        <f t="shared" ca="1" si="1029"/>
        <v>5629.3230405630175</v>
      </c>
      <c r="AN1073" s="2">
        <f t="shared" ca="1" si="1030"/>
        <v>5690.0789089995624</v>
      </c>
      <c r="AO1073" s="2">
        <f t="shared" ca="1" si="1031"/>
        <v>5751.4905002508312</v>
      </c>
      <c r="AP1073" s="2">
        <f t="shared" ca="1" si="1032"/>
        <v>2199953.9714502138</v>
      </c>
      <c r="AQ1073" s="2">
        <f t="shared" ca="1" si="1033"/>
        <v>835741.93919757416</v>
      </c>
      <c r="AR1073" s="2">
        <f t="shared" ca="1" si="1034"/>
        <v>877657.34196936712</v>
      </c>
      <c r="AS1073" s="2">
        <f t="shared" ca="1" si="1035"/>
        <v>893303.00007442303</v>
      </c>
      <c r="AT1073" s="2">
        <f t="shared" ca="1" si="1036"/>
        <v>909117.51783428667</v>
      </c>
      <c r="AU1073" s="2">
        <f t="shared" ca="1" si="1037"/>
        <v>925102.71770876402</v>
      </c>
      <c r="AV1073" s="2">
        <f t="shared" ca="1" si="1038"/>
        <v>2378650.1346392496</v>
      </c>
      <c r="AW1073" s="2">
        <f t="shared" ca="1" si="1039"/>
        <v>2492378.6035578209</v>
      </c>
      <c r="AX1073" s="2">
        <f t="shared" ca="1" si="1040"/>
        <v>2536848.4464020259</v>
      </c>
      <c r="AY1073" s="2">
        <f t="shared" ca="1" si="1041"/>
        <v>2581798.2410808927</v>
      </c>
      <c r="AZ1073" s="2">
        <f t="shared" ca="1" si="1042"/>
        <v>2627233.1675939239</v>
      </c>
      <c r="BA1073" s="2">
        <f t="shared" ca="1" si="1043"/>
        <v>52249995.718010925</v>
      </c>
      <c r="BB1073" s="2">
        <f t="shared" ca="1" si="1044"/>
        <v>1044999.9143602186</v>
      </c>
      <c r="BC1073" s="2">
        <f t="shared" ca="1" si="1045"/>
        <v>26761062.787537221</v>
      </c>
      <c r="BD1073" s="2">
        <f t="shared" ca="1" si="1046"/>
        <v>-17814452.553080387</v>
      </c>
      <c r="BE1073" s="2">
        <f t="shared" ca="1" si="1047"/>
        <v>2378650.1346392496</v>
      </c>
      <c r="BF1073" s="2">
        <f t="shared" ca="1" si="1048"/>
        <v>2492378.6035578209</v>
      </c>
      <c r="BG1073" s="2">
        <f t="shared" ca="1" si="1049"/>
        <v>2536848.4464020259</v>
      </c>
      <c r="BH1073" s="2">
        <f t="shared" ca="1" si="1050"/>
        <v>2581798.2410808927</v>
      </c>
      <c r="BI1073" s="2">
        <f t="shared" ca="1" si="1051"/>
        <v>29388295.955131143</v>
      </c>
      <c r="BJ1073" s="2">
        <f t="shared" ca="1" si="1052"/>
        <v>0.20696927445123148</v>
      </c>
      <c r="BK1073" s="2">
        <f t="shared" ca="1" si="1053"/>
        <v>6418417.6148793176</v>
      </c>
    </row>
    <row r="1074" spans="1:63" x14ac:dyDescent="0.3">
      <c r="A1074" s="2">
        <v>1073</v>
      </c>
      <c r="B1074" s="2">
        <f t="shared" ca="1" si="992"/>
        <v>0.23415303993197167</v>
      </c>
      <c r="C1074" s="2">
        <f t="shared" ca="1" si="993"/>
        <v>6.684328926660231</v>
      </c>
      <c r="D1074" s="2">
        <f t="shared" ca="1" si="994"/>
        <v>0.44970601714498781</v>
      </c>
      <c r="E1074" s="2">
        <f t="shared" ca="1" si="995"/>
        <v>7.4483733622840615</v>
      </c>
      <c r="F1074" s="2">
        <f t="shared" ca="1" si="996"/>
        <v>0.49927231950263873</v>
      </c>
      <c r="G1074" s="2">
        <f t="shared" ca="1" si="997"/>
        <v>3.9945279234369219E-2</v>
      </c>
      <c r="H1074" s="2">
        <f t="shared" ca="1" si="998"/>
        <v>3.9945279234369219E-2</v>
      </c>
      <c r="I1074" s="2">
        <f t="shared" ca="1" si="999"/>
        <v>0.97471352476052198</v>
      </c>
      <c r="J1074" s="2">
        <f t="shared" ca="1" si="1000"/>
        <v>1.9775428726266742E-2</v>
      </c>
      <c r="K1074" s="2">
        <f t="shared" ca="1" si="1001"/>
        <v>1.9775428726266742E-2</v>
      </c>
      <c r="L1074" s="2">
        <f t="shared" ca="1" si="1002"/>
        <v>0.97865297564844855</v>
      </c>
      <c r="M1074" s="2">
        <f t="shared" ca="1" si="1003"/>
        <v>4.0533815067969194E-2</v>
      </c>
      <c r="N1074" s="2">
        <f t="shared" ca="1" si="1004"/>
        <v>4.0533815067969194E-2</v>
      </c>
      <c r="O1074" s="2">
        <f t="shared" si="1005"/>
        <v>6000000</v>
      </c>
      <c r="P1074" s="2">
        <f t="shared" ca="1" si="1006"/>
        <v>40105973.559961386</v>
      </c>
      <c r="Q1074" s="2">
        <f t="shared" ca="1" si="1007"/>
        <v>1002649.3389990347</v>
      </c>
      <c r="R1074" s="2">
        <f t="shared" ca="1" si="1008"/>
        <v>24063584.135976832</v>
      </c>
      <c r="S1074" s="2">
        <f t="shared" ca="1" si="1009"/>
        <v>16042389.423984556</v>
      </c>
      <c r="T1074" s="2">
        <f t="shared" ca="1" si="1010"/>
        <v>52026690.753398463</v>
      </c>
      <c r="U1074" s="2">
        <f t="shared" ca="1" si="1011"/>
        <v>54104911.443183146</v>
      </c>
      <c r="V1074" s="2">
        <f t="shared" ca="1" si="1012"/>
        <v>56266147.238731921</v>
      </c>
      <c r="W1074" s="2">
        <f t="shared" ca="1" si="1013"/>
        <v>58513714.201625206</v>
      </c>
      <c r="X1074" s="2">
        <f t="shared" ca="1" si="1014"/>
        <v>60851060.854449205</v>
      </c>
      <c r="Y1074" s="2">
        <f t="shared" ca="1" si="1015"/>
        <v>0.12988771436313337</v>
      </c>
      <c r="Z1074" s="2">
        <f t="shared" ca="1" si="1016"/>
        <v>0.13384280010838673</v>
      </c>
      <c r="AA1074" s="2">
        <f t="shared" ca="1" si="1017"/>
        <v>6757627.9478364922</v>
      </c>
      <c r="AB1074" s="2">
        <f t="shared" ca="1" si="1018"/>
        <v>7241552.8471719278</v>
      </c>
      <c r="AC1074" s="2">
        <f t="shared" ca="1" si="1019"/>
        <v>7530818.6977426521</v>
      </c>
      <c r="AD1074" s="2">
        <f t="shared" ca="1" si="1020"/>
        <v>7831639.353487392</v>
      </c>
      <c r="AE1074" s="2">
        <f t="shared" ca="1" si="1021"/>
        <v>8144476.3743253211</v>
      </c>
      <c r="AF1074" s="2">
        <f t="shared" ca="1" si="1022"/>
        <v>1040533.8150679693</v>
      </c>
      <c r="AG1074" s="2">
        <f t="shared" ca="1" si="1023"/>
        <v>1082098.228863663</v>
      </c>
      <c r="AH1074" s="2">
        <f t="shared" ca="1" si="1024"/>
        <v>1125322.9447746384</v>
      </c>
      <c r="AI1074" s="2">
        <f t="shared" ca="1" si="1025"/>
        <v>1170274.2840325041</v>
      </c>
      <c r="AJ1074" s="2">
        <f t="shared" ca="1" si="1026"/>
        <v>1217021.2170889841</v>
      </c>
      <c r="AK1074" s="2">
        <f t="shared" ca="1" si="1027"/>
        <v>0</v>
      </c>
      <c r="AL1074" s="2">
        <f t="shared" ca="1" si="1028"/>
        <v>20782.206897846834</v>
      </c>
      <c r="AM1074" s="2">
        <f t="shared" ca="1" si="1029"/>
        <v>21612.357955487743</v>
      </c>
      <c r="AN1074" s="2">
        <f t="shared" ca="1" si="1030"/>
        <v>22475.66962893285</v>
      </c>
      <c r="AO1074" s="2">
        <f t="shared" ca="1" si="1031"/>
        <v>23373.466528239995</v>
      </c>
      <c r="AP1074" s="2">
        <f t="shared" ca="1" si="1032"/>
        <v>2165722.5722379149</v>
      </c>
      <c r="AQ1074" s="2">
        <f t="shared" ca="1" si="1033"/>
        <v>923356.6057379581</v>
      </c>
      <c r="AR1074" s="2">
        <f t="shared" ca="1" si="1034"/>
        <v>1038370.331978291</v>
      </c>
      <c r="AS1074" s="2">
        <f t="shared" ca="1" si="1035"/>
        <v>1102341.0269898258</v>
      </c>
      <c r="AT1074" s="2">
        <f t="shared" ca="1" si="1036"/>
        <v>1168867.0492764132</v>
      </c>
      <c r="AU1074" s="2">
        <f t="shared" ca="1" si="1037"/>
        <v>1238050.4720995896</v>
      </c>
      <c r="AV1074" s="2">
        <f t="shared" ca="1" si="1038"/>
        <v>2628014.95479265</v>
      </c>
      <c r="AW1074" s="2">
        <f t="shared" ca="1" si="1039"/>
        <v>2934579.5071942122</v>
      </c>
      <c r="AX1074" s="2">
        <f t="shared" ca="1" si="1040"/>
        <v>3115819.7957847849</v>
      </c>
      <c r="AY1074" s="2">
        <f t="shared" ca="1" si="1041"/>
        <v>3304299.7783116265</v>
      </c>
      <c r="AZ1074" s="2">
        <f t="shared" ca="1" si="1042"/>
        <v>3500308.646370593</v>
      </c>
      <c r="BA1074" s="2">
        <f t="shared" ca="1" si="1043"/>
        <v>60663100.876276597</v>
      </c>
      <c r="BB1074" s="2">
        <f t="shared" ca="1" si="1044"/>
        <v>1213262.0175255321</v>
      </c>
      <c r="BC1074" s="2">
        <f t="shared" ca="1" si="1045"/>
        <v>35386254.72277423</v>
      </c>
      <c r="BD1074" s="2">
        <f t="shared" ca="1" si="1046"/>
        <v>-17545038.76298359</v>
      </c>
      <c r="BE1074" s="2">
        <f t="shared" ca="1" si="1047"/>
        <v>2628014.95479265</v>
      </c>
      <c r="BF1074" s="2">
        <f t="shared" ca="1" si="1048"/>
        <v>2934579.5071942122</v>
      </c>
      <c r="BG1074" s="2">
        <f t="shared" ca="1" si="1049"/>
        <v>3115819.7957847849</v>
      </c>
      <c r="BH1074" s="2">
        <f t="shared" ca="1" si="1050"/>
        <v>3304299.7783116265</v>
      </c>
      <c r="BI1074" s="2">
        <f t="shared" ca="1" si="1051"/>
        <v>38886563.36914482</v>
      </c>
      <c r="BJ1074" s="2">
        <f t="shared" ca="1" si="1052"/>
        <v>0.28603780015895808</v>
      </c>
      <c r="BK1074" s="2">
        <f t="shared" ca="1" si="1053"/>
        <v>13523833.59148797</v>
      </c>
    </row>
    <row r="1075" spans="1:63" x14ac:dyDescent="0.3">
      <c r="A1075" s="2">
        <v>1074</v>
      </c>
      <c r="B1075" s="2">
        <f t="shared" ca="1" si="992"/>
        <v>0.91336420163397414</v>
      </c>
      <c r="C1075" s="2">
        <f t="shared" ca="1" si="993"/>
        <v>7.5837409499697914</v>
      </c>
      <c r="D1075" s="2">
        <f t="shared" ca="1" si="994"/>
        <v>0.91768269117853096</v>
      </c>
      <c r="E1075" s="2">
        <f t="shared" ca="1" si="995"/>
        <v>8.0942480836238246</v>
      </c>
      <c r="F1075" s="2">
        <f t="shared" ca="1" si="996"/>
        <v>0.19120411221818268</v>
      </c>
      <c r="G1075" s="2">
        <f t="shared" ca="1" si="997"/>
        <v>1.3795970108759652E-2</v>
      </c>
      <c r="H1075" s="2">
        <f t="shared" ca="1" si="998"/>
        <v>1.3795970108759652E-2</v>
      </c>
      <c r="I1075" s="2">
        <f t="shared" ca="1" si="999"/>
        <v>0.59267192571054073</v>
      </c>
      <c r="J1075" s="2">
        <f t="shared" ca="1" si="1000"/>
        <v>1.1172117937486533E-2</v>
      </c>
      <c r="K1075" s="2">
        <f t="shared" ca="1" si="1001"/>
        <v>1.1172117937486533E-2</v>
      </c>
      <c r="L1075" s="2">
        <f t="shared" ca="1" si="1002"/>
        <v>1.3194363230149664E-2</v>
      </c>
      <c r="M1075" s="2">
        <f t="shared" ca="1" si="1003"/>
        <v>-4.4408855405498306E-2</v>
      </c>
      <c r="N1075" s="2">
        <f t="shared" ca="1" si="1004"/>
        <v>-4.4408855405498306E-2</v>
      </c>
      <c r="O1075" s="2">
        <f t="shared" si="1005"/>
        <v>6000000</v>
      </c>
      <c r="P1075" s="2">
        <f t="shared" ca="1" si="1006"/>
        <v>45502445.699818745</v>
      </c>
      <c r="Q1075" s="2">
        <f t="shared" ca="1" si="1007"/>
        <v>1137561.1424954687</v>
      </c>
      <c r="R1075" s="2">
        <f t="shared" ca="1" si="1008"/>
        <v>27301467.419891246</v>
      </c>
      <c r="S1075" s="2">
        <f t="shared" ca="1" si="1009"/>
        <v>18200978.2799275</v>
      </c>
      <c r="T1075" s="2">
        <f t="shared" ca="1" si="1010"/>
        <v>47779557.229725085</v>
      </c>
      <c r="U1075" s="2">
        <f t="shared" ca="1" si="1011"/>
        <v>48438722.573076136</v>
      </c>
      <c r="V1075" s="2">
        <f t="shared" ca="1" si="1012"/>
        <v>49106981.741800793</v>
      </c>
      <c r="W1075" s="2">
        <f t="shared" ca="1" si="1013"/>
        <v>49784460.194042079</v>
      </c>
      <c r="X1075" s="2">
        <f t="shared" ca="1" si="1014"/>
        <v>50471285.118759811</v>
      </c>
      <c r="Y1075" s="2">
        <f t="shared" ca="1" si="1015"/>
        <v>0.12558605896874325</v>
      </c>
      <c r="Z1075" s="2">
        <f t="shared" ca="1" si="1016"/>
        <v>0.12782048255624057</v>
      </c>
      <c r="AA1075" s="2">
        <f t="shared" ca="1" si="1017"/>
        <v>6000446.2917526979</v>
      </c>
      <c r="AB1075" s="2">
        <f t="shared" ca="1" si="1018"/>
        <v>6191460.8936984548</v>
      </c>
      <c r="AC1075" s="2">
        <f t="shared" ca="1" si="1019"/>
        <v>6276878.1031174725</v>
      </c>
      <c r="AD1075" s="2">
        <f t="shared" ca="1" si="1020"/>
        <v>6363473.7258044081</v>
      </c>
      <c r="AE1075" s="2">
        <f t="shared" ca="1" si="1021"/>
        <v>6451264.0191134829</v>
      </c>
      <c r="AF1075" s="2">
        <f t="shared" ca="1" si="1022"/>
        <v>955591.1445945017</v>
      </c>
      <c r="AG1075" s="2">
        <f t="shared" ca="1" si="1023"/>
        <v>968774.45146152272</v>
      </c>
      <c r="AH1075" s="2">
        <f t="shared" ca="1" si="1024"/>
        <v>982139.63483601587</v>
      </c>
      <c r="AI1075" s="2">
        <f t="shared" ca="1" si="1025"/>
        <v>995689.20388084161</v>
      </c>
      <c r="AJ1075" s="2">
        <f t="shared" ca="1" si="1026"/>
        <v>1009425.7023751963</v>
      </c>
      <c r="AK1075" s="2">
        <f t="shared" ca="1" si="1027"/>
        <v>0</v>
      </c>
      <c r="AL1075" s="2">
        <f t="shared" ca="1" si="1028"/>
        <v>6591.6534335105125</v>
      </c>
      <c r="AM1075" s="2">
        <f t="shared" ca="1" si="1029"/>
        <v>6682.5916872465614</v>
      </c>
      <c r="AN1075" s="2">
        <f t="shared" ca="1" si="1030"/>
        <v>6774.7845224128669</v>
      </c>
      <c r="AO1075" s="2">
        <f t="shared" ca="1" si="1031"/>
        <v>6868.2492471773176</v>
      </c>
      <c r="AP1075" s="2">
        <f t="shared" ca="1" si="1032"/>
        <v>2457132.0677902121</v>
      </c>
      <c r="AQ1075" s="2">
        <f t="shared" ca="1" si="1033"/>
        <v>672808.00063567585</v>
      </c>
      <c r="AR1075" s="2">
        <f t="shared" ca="1" si="1034"/>
        <v>719044.13735614717</v>
      </c>
      <c r="AS1075" s="2">
        <f t="shared" ca="1" si="1035"/>
        <v>737777.66412772355</v>
      </c>
      <c r="AT1075" s="2">
        <f t="shared" ca="1" si="1036"/>
        <v>756769.63807467208</v>
      </c>
      <c r="AU1075" s="2">
        <f t="shared" ca="1" si="1037"/>
        <v>776023.62472649955</v>
      </c>
      <c r="AV1075" s="2">
        <f t="shared" ca="1" si="1038"/>
        <v>1914915.078732308</v>
      </c>
      <c r="AW1075" s="2">
        <f t="shared" ca="1" si="1039"/>
        <v>2039918.5836570626</v>
      </c>
      <c r="AX1075" s="2">
        <f t="shared" ca="1" si="1040"/>
        <v>2093146.1446762746</v>
      </c>
      <c r="AY1075" s="2">
        <f t="shared" ca="1" si="1041"/>
        <v>2147108.031536269</v>
      </c>
      <c r="AZ1075" s="2">
        <f t="shared" ca="1" si="1042"/>
        <v>2201814.3749743979</v>
      </c>
      <c r="BA1075" s="2">
        <f t="shared" ca="1" si="1043"/>
        <v>52218131.423660643</v>
      </c>
      <c r="BB1075" s="2">
        <f t="shared" ca="1" si="1044"/>
        <v>1044362.6284732129</v>
      </c>
      <c r="BC1075" s="2">
        <f t="shared" ca="1" si="1045"/>
        <v>23872301.375296183</v>
      </c>
      <c r="BD1075" s="2">
        <f t="shared" ca="1" si="1046"/>
        <v>-19838539.422422968</v>
      </c>
      <c r="BE1075" s="2">
        <f t="shared" ca="1" si="1047"/>
        <v>1914915.078732308</v>
      </c>
      <c r="BF1075" s="2">
        <f t="shared" ca="1" si="1048"/>
        <v>2039918.5836570626</v>
      </c>
      <c r="BG1075" s="2">
        <f t="shared" ca="1" si="1049"/>
        <v>2093146.1446762746</v>
      </c>
      <c r="BH1075" s="2">
        <f t="shared" ca="1" si="1050"/>
        <v>2147108.031536269</v>
      </c>
      <c r="BI1075" s="2">
        <f t="shared" ca="1" si="1051"/>
        <v>26074115.750270583</v>
      </c>
      <c r="BJ1075" s="2">
        <f t="shared" ca="1" si="1052"/>
        <v>0.13500681118699864</v>
      </c>
      <c r="BK1075" s="2">
        <f t="shared" ca="1" si="1053"/>
        <v>1146956.3568976931</v>
      </c>
    </row>
    <row r="1076" spans="1:63" x14ac:dyDescent="0.3">
      <c r="A1076" s="2">
        <v>1075</v>
      </c>
      <c r="B1076" s="2">
        <f t="shared" ca="1" si="992"/>
        <v>0.66233681963296365</v>
      </c>
      <c r="C1076" s="2">
        <f t="shared" ca="1" si="993"/>
        <v>7.1782175709264209</v>
      </c>
      <c r="D1076" s="2">
        <f t="shared" ca="1" si="994"/>
        <v>0.87105350484594957</v>
      </c>
      <c r="E1076" s="2">
        <f t="shared" ca="1" si="995"/>
        <v>7.9921683445194649</v>
      </c>
      <c r="F1076" s="2">
        <f t="shared" ca="1" si="996"/>
        <v>0.67519443521579448</v>
      </c>
      <c r="G1076" s="2">
        <f t="shared" ca="1" si="997"/>
        <v>5.3629074473472149E-2</v>
      </c>
      <c r="H1076" s="2">
        <f t="shared" ca="1" si="998"/>
        <v>5.3629074473472149E-2</v>
      </c>
      <c r="I1076" s="2">
        <f t="shared" ca="1" si="999"/>
        <v>0.99085573386883308</v>
      </c>
      <c r="J1076" s="2">
        <f t="shared" ca="1" si="1000"/>
        <v>2.1798620374113037E-2</v>
      </c>
      <c r="K1076" s="2">
        <f t="shared" ca="1" si="1001"/>
        <v>2.1798620374113037E-2</v>
      </c>
      <c r="L1076" s="2">
        <f t="shared" ca="1" si="1002"/>
        <v>0.59367166205411881</v>
      </c>
      <c r="M1076" s="2">
        <f t="shared" ca="1" si="1003"/>
        <v>4.7400029483781192E-3</v>
      </c>
      <c r="N1076" s="2">
        <f t="shared" ca="1" si="1004"/>
        <v>4.7400029483781192E-3</v>
      </c>
      <c r="O1076" s="2">
        <f t="shared" si="1005"/>
        <v>6000000</v>
      </c>
      <c r="P1076" s="2">
        <f t="shared" ca="1" si="1006"/>
        <v>43069305.425558522</v>
      </c>
      <c r="Q1076" s="2">
        <f t="shared" ca="1" si="1007"/>
        <v>1076732.6356389632</v>
      </c>
      <c r="R1076" s="2">
        <f t="shared" ca="1" si="1008"/>
        <v>25841583.255335111</v>
      </c>
      <c r="S1076" s="2">
        <f t="shared" ca="1" si="1009"/>
        <v>17227722.170223411</v>
      </c>
      <c r="T1076" s="2">
        <f t="shared" ca="1" si="1010"/>
        <v>50237000.147418909</v>
      </c>
      <c r="U1076" s="2">
        <f t="shared" ca="1" si="1011"/>
        <v>52931163.969648674</v>
      </c>
      <c r="V1076" s="2">
        <f t="shared" ca="1" si="1012"/>
        <v>55769813.304144531</v>
      </c>
      <c r="W1076" s="2">
        <f t="shared" ca="1" si="1013"/>
        <v>58760696.775204137</v>
      </c>
      <c r="X1076" s="2">
        <f t="shared" ca="1" si="1014"/>
        <v>61911978.558674678</v>
      </c>
      <c r="Y1076" s="2">
        <f t="shared" ca="1" si="1015"/>
        <v>0.13089931018705653</v>
      </c>
      <c r="Z1076" s="2">
        <f t="shared" ca="1" si="1016"/>
        <v>0.13525903426187913</v>
      </c>
      <c r="AA1076" s="2">
        <f t="shared" ca="1" si="1017"/>
        <v>6575988.6651641922</v>
      </c>
      <c r="AB1076" s="2">
        <f t="shared" ca="1" si="1018"/>
        <v>7159418.1208918523</v>
      </c>
      <c r="AC1076" s="2">
        <f t="shared" ca="1" si="1019"/>
        <v>7543371.0884838877</v>
      </c>
      <c r="AD1076" s="2">
        <f t="shared" ca="1" si="1020"/>
        <v>7947915.0983692268</v>
      </c>
      <c r="AE1076" s="2">
        <f t="shared" ca="1" si="1021"/>
        <v>8374154.4290885041</v>
      </c>
      <c r="AF1076" s="2">
        <f t="shared" ca="1" si="1022"/>
        <v>1004740.0029483782</v>
      </c>
      <c r="AG1076" s="2">
        <f t="shared" ca="1" si="1023"/>
        <v>1058623.2793929735</v>
      </c>
      <c r="AH1076" s="2">
        <f t="shared" ca="1" si="1024"/>
        <v>1115396.2660828906</v>
      </c>
      <c r="AI1076" s="2">
        <f t="shared" ca="1" si="1025"/>
        <v>1175213.9355040828</v>
      </c>
      <c r="AJ1076" s="2">
        <f t="shared" ca="1" si="1026"/>
        <v>1238239.5711734935</v>
      </c>
      <c r="AK1076" s="2">
        <f t="shared" ca="1" si="1027"/>
        <v>0</v>
      </c>
      <c r="AL1076" s="2">
        <f t="shared" ca="1" si="1028"/>
        <v>26941.638222297654</v>
      </c>
      <c r="AM1076" s="2">
        <f t="shared" ca="1" si="1029"/>
        <v>28386.493344958573</v>
      </c>
      <c r="AN1076" s="2">
        <f t="shared" ca="1" si="1030"/>
        <v>29908.834710596057</v>
      </c>
      <c r="AO1076" s="2">
        <f t="shared" ca="1" si="1031"/>
        <v>31512.817834705413</v>
      </c>
      <c r="AP1076" s="2">
        <f t="shared" ca="1" si="1032"/>
        <v>2325742.4929801598</v>
      </c>
      <c r="AQ1076" s="2">
        <f t="shared" ca="1" si="1033"/>
        <v>843831.60400127014</v>
      </c>
      <c r="AR1076" s="2">
        <f t="shared" ca="1" si="1034"/>
        <v>981513.61061486695</v>
      </c>
      <c r="AS1076" s="2">
        <f t="shared" ca="1" si="1035"/>
        <v>1066580.4056494178</v>
      </c>
      <c r="AT1076" s="2">
        <f t="shared" ca="1" si="1036"/>
        <v>1156209.254170096</v>
      </c>
      <c r="AU1076" s="2">
        <f t="shared" ca="1" si="1037"/>
        <v>1250644.8148830612</v>
      </c>
      <c r="AV1076" s="2">
        <f t="shared" ca="1" si="1038"/>
        <v>2401674.5652343836</v>
      </c>
      <c r="AW1076" s="2">
        <f t="shared" ca="1" si="1039"/>
        <v>2766597.0996815544</v>
      </c>
      <c r="AX1076" s="2">
        <f t="shared" ca="1" si="1040"/>
        <v>3007265.4304264607</v>
      </c>
      <c r="AY1076" s="2">
        <f t="shared" ca="1" si="1041"/>
        <v>3260840.5810042918</v>
      </c>
      <c r="AZ1076" s="2">
        <f t="shared" ca="1" si="1042"/>
        <v>3528014.7322170846</v>
      </c>
      <c r="BA1076" s="2">
        <f t="shared" ca="1" si="1043"/>
        <v>66927651.940278612</v>
      </c>
      <c r="BB1076" s="2">
        <f t="shared" ca="1" si="1044"/>
        <v>1338553.0388055723</v>
      </c>
      <c r="BC1076" s="2">
        <f t="shared" ca="1" si="1045"/>
        <v>39747515.646137923</v>
      </c>
      <c r="BD1076" s="2">
        <f t="shared" ca="1" si="1046"/>
        <v>-18804454.805862375</v>
      </c>
      <c r="BE1076" s="2">
        <f t="shared" ca="1" si="1047"/>
        <v>2401674.5652343836</v>
      </c>
      <c r="BF1076" s="2">
        <f t="shared" ca="1" si="1048"/>
        <v>2766597.0996815544</v>
      </c>
      <c r="BG1076" s="2">
        <f t="shared" ca="1" si="1049"/>
        <v>3007265.4304264607</v>
      </c>
      <c r="BH1076" s="2">
        <f t="shared" ca="1" si="1050"/>
        <v>3260840.5810042918</v>
      </c>
      <c r="BI1076" s="2">
        <f t="shared" ca="1" si="1051"/>
        <v>43275530.378355011</v>
      </c>
      <c r="BJ1076" s="2">
        <f t="shared" ca="1" si="1052"/>
        <v>0.28006651627909185</v>
      </c>
      <c r="BK1076" s="2">
        <f t="shared" ca="1" si="1053"/>
        <v>14313945.159520708</v>
      </c>
    </row>
    <row r="1077" spans="1:63" x14ac:dyDescent="0.3">
      <c r="A1077" s="2">
        <v>1076</v>
      </c>
      <c r="B1077" s="2">
        <f t="shared" ca="1" si="992"/>
        <v>6.1714009395491765E-2</v>
      </c>
      <c r="C1077" s="2">
        <f t="shared" ca="1" si="993"/>
        <v>6.3513232397536257</v>
      </c>
      <c r="D1077" s="2">
        <f t="shared" ca="1" si="994"/>
        <v>0.4549520225456527</v>
      </c>
      <c r="E1077" s="2">
        <f t="shared" ca="1" si="995"/>
        <v>7.4538889060531659</v>
      </c>
      <c r="F1077" s="2">
        <f t="shared" ca="1" si="996"/>
        <v>0.96945372674932029</v>
      </c>
      <c r="G1077" s="2">
        <f t="shared" ca="1" si="997"/>
        <v>9.6184751748623759E-2</v>
      </c>
      <c r="H1077" s="2">
        <f t="shared" ca="1" si="998"/>
        <v>9.6184751748623759E-2</v>
      </c>
      <c r="I1077" s="2">
        <f t="shared" ca="1" si="999"/>
        <v>6.3940352773035669E-2</v>
      </c>
      <c r="J1077" s="2">
        <f t="shared" ca="1" si="1000"/>
        <v>2.3874372962430753E-3</v>
      </c>
      <c r="K1077" s="2">
        <f t="shared" ca="1" si="1001"/>
        <v>2.3874372962430753E-3</v>
      </c>
      <c r="L1077" s="2">
        <f t="shared" ca="1" si="1002"/>
        <v>0.78731824541304152</v>
      </c>
      <c r="M1077" s="2">
        <f t="shared" ca="1" si="1003"/>
        <v>1.5943014170807717E-2</v>
      </c>
      <c r="N1077" s="2">
        <f t="shared" ca="1" si="1004"/>
        <v>1.5943014170807717E-2</v>
      </c>
      <c r="O1077" s="2">
        <f t="shared" si="1005"/>
        <v>6000000</v>
      </c>
      <c r="P1077" s="2">
        <f t="shared" ca="1" si="1006"/>
        <v>38107939.438521758</v>
      </c>
      <c r="Q1077" s="2">
        <f t="shared" ca="1" si="1007"/>
        <v>952698.48596304399</v>
      </c>
      <c r="R1077" s="2">
        <f t="shared" ca="1" si="1008"/>
        <v>22864763.663113054</v>
      </c>
      <c r="S1077" s="2">
        <f t="shared" ca="1" si="1009"/>
        <v>15243175.775408704</v>
      </c>
      <c r="T1077" s="2">
        <f t="shared" ca="1" si="1010"/>
        <v>50797150.708540387</v>
      </c>
      <c r="U1077" s="2">
        <f t="shared" ca="1" si="1011"/>
        <v>55683062.038978778</v>
      </c>
      <c r="V1077" s="2">
        <f t="shared" ca="1" si="1012"/>
        <v>61038923.537801169</v>
      </c>
      <c r="W1077" s="2">
        <f t="shared" ca="1" si="1013"/>
        <v>66909937.245287806</v>
      </c>
      <c r="X1077" s="2">
        <f t="shared" ca="1" si="1014"/>
        <v>73345652.948741809</v>
      </c>
      <c r="Y1077" s="2">
        <f t="shared" ca="1" si="1015"/>
        <v>0.12119371864812153</v>
      </c>
      <c r="Z1077" s="2">
        <f t="shared" ca="1" si="1016"/>
        <v>0.12167120610737014</v>
      </c>
      <c r="AA1077" s="2">
        <f t="shared" ca="1" si="1017"/>
        <v>6156295.5910970708</v>
      </c>
      <c r="AB1077" s="2">
        <f t="shared" ca="1" si="1018"/>
        <v>6775025.318034065</v>
      </c>
      <c r="AC1077" s="2">
        <f t="shared" ca="1" si="1019"/>
        <v>7426679.4463398131</v>
      </c>
      <c r="AD1077" s="2">
        <f t="shared" ca="1" si="1020"/>
        <v>8141012.7652026145</v>
      </c>
      <c r="AE1077" s="2">
        <f t="shared" ca="1" si="1021"/>
        <v>8924054.0570060052</v>
      </c>
      <c r="AF1077" s="2">
        <f t="shared" ca="1" si="1022"/>
        <v>1015943.0141708078</v>
      </c>
      <c r="AG1077" s="2">
        <f t="shared" ca="1" si="1023"/>
        <v>1113661.2407795757</v>
      </c>
      <c r="AH1077" s="2">
        <f t="shared" ca="1" si="1024"/>
        <v>1220778.4707560234</v>
      </c>
      <c r="AI1077" s="2">
        <f t="shared" ca="1" si="1025"/>
        <v>1338198.7449057561</v>
      </c>
      <c r="AJ1077" s="2">
        <f t="shared" ca="1" si="1026"/>
        <v>1466913.0589748363</v>
      </c>
      <c r="AK1077" s="2">
        <f t="shared" ca="1" si="1027"/>
        <v>0</v>
      </c>
      <c r="AL1077" s="2">
        <f t="shared" ca="1" si="1028"/>
        <v>48859.113304383907</v>
      </c>
      <c r="AM1077" s="2">
        <f t="shared" ca="1" si="1029"/>
        <v>53558.614988223911</v>
      </c>
      <c r="AN1077" s="2">
        <f t="shared" ca="1" si="1030"/>
        <v>58710.137074866368</v>
      </c>
      <c r="AO1077" s="2">
        <f t="shared" ca="1" si="1031"/>
        <v>64357.157034540032</v>
      </c>
      <c r="AP1077" s="2">
        <f t="shared" ca="1" si="1032"/>
        <v>2057828.7296801747</v>
      </c>
      <c r="AQ1077" s="2">
        <f t="shared" ca="1" si="1033"/>
        <v>801456.20028398291</v>
      </c>
      <c r="AR1077" s="2">
        <f t="shared" ca="1" si="1034"/>
        <v>936919.19036932173</v>
      </c>
      <c r="AS1077" s="2">
        <f t="shared" ca="1" si="1035"/>
        <v>1078498.7839349399</v>
      </c>
      <c r="AT1077" s="2">
        <f t="shared" ca="1" si="1036"/>
        <v>1233696.1755603377</v>
      </c>
      <c r="AU1077" s="2">
        <f t="shared" ca="1" si="1037"/>
        <v>1403821.1897712585</v>
      </c>
      <c r="AV1077" s="2">
        <f t="shared" ca="1" si="1038"/>
        <v>2281067.6469621053</v>
      </c>
      <c r="AW1077" s="2">
        <f t="shared" ca="1" si="1039"/>
        <v>2617757.0439006081</v>
      </c>
      <c r="AX1077" s="2">
        <f t="shared" ca="1" si="1040"/>
        <v>3016014.8469804516</v>
      </c>
      <c r="AY1077" s="2">
        <f t="shared" ca="1" si="1041"/>
        <v>3452578.9779814798</v>
      </c>
      <c r="AZ1077" s="2">
        <f t="shared" ca="1" si="1042"/>
        <v>3931133.9215451963</v>
      </c>
      <c r="BA1077" s="2">
        <f t="shared" ca="1" si="1043"/>
        <v>66518907.532535806</v>
      </c>
      <c r="BB1077" s="2">
        <f t="shared" ca="1" si="1044"/>
        <v>1330378.1506507162</v>
      </c>
      <c r="BC1077" s="2">
        <f t="shared" ca="1" si="1045"/>
        <v>42323765.718772031</v>
      </c>
      <c r="BD1077" s="2">
        <f t="shared" ca="1" si="1046"/>
        <v>-16695874.261371749</v>
      </c>
      <c r="BE1077" s="2">
        <f t="shared" ca="1" si="1047"/>
        <v>2281067.6469621053</v>
      </c>
      <c r="BF1077" s="2">
        <f t="shared" ca="1" si="1048"/>
        <v>2617757.0439006081</v>
      </c>
      <c r="BG1077" s="2">
        <f t="shared" ca="1" si="1049"/>
        <v>3016014.8469804516</v>
      </c>
      <c r="BH1077" s="2">
        <f t="shared" ca="1" si="1050"/>
        <v>3452578.9779814798</v>
      </c>
      <c r="BI1077" s="2">
        <f t="shared" ca="1" si="1051"/>
        <v>46254899.640317231</v>
      </c>
      <c r="BJ1077" s="2">
        <f t="shared" ca="1" si="1052"/>
        <v>0.32998487649073938</v>
      </c>
      <c r="BK1077" s="2">
        <f t="shared" ca="1" si="1053"/>
        <v>18014841.586177275</v>
      </c>
    </row>
    <row r="1078" spans="1:63" x14ac:dyDescent="0.3">
      <c r="A1078" s="2">
        <v>1077</v>
      </c>
      <c r="B1078" s="2">
        <f t="shared" ca="1" si="992"/>
        <v>0.48409705029969152</v>
      </c>
      <c r="C1078" s="2">
        <f t="shared" ca="1" si="993"/>
        <v>6.9839685465498293</v>
      </c>
      <c r="D1078" s="2">
        <f t="shared" ca="1" si="994"/>
        <v>0.22419696099073394</v>
      </c>
      <c r="E1078" s="2">
        <f t="shared" ca="1" si="995"/>
        <v>7.169622223333028</v>
      </c>
      <c r="F1078" s="2">
        <f t="shared" ca="1" si="996"/>
        <v>0.31926035595280133</v>
      </c>
      <c r="G1078" s="2">
        <f t="shared" ca="1" si="997"/>
        <v>2.590695717662422E-2</v>
      </c>
      <c r="H1078" s="2">
        <f t="shared" ca="1" si="998"/>
        <v>2.590695717662422E-2</v>
      </c>
      <c r="I1078" s="2">
        <f t="shared" ca="1" si="999"/>
        <v>0.3588245413653256</v>
      </c>
      <c r="J1078" s="2">
        <f t="shared" ca="1" si="1000"/>
        <v>8.1919874099325267E-3</v>
      </c>
      <c r="K1078" s="2">
        <f t="shared" ca="1" si="1001"/>
        <v>8.1919874099325267E-3</v>
      </c>
      <c r="L1078" s="2">
        <f t="shared" ca="1" si="1002"/>
        <v>0.2381077744787321</v>
      </c>
      <c r="M1078" s="2">
        <f t="shared" ca="1" si="1003"/>
        <v>-1.4248050611529388E-2</v>
      </c>
      <c r="N1078" s="2">
        <f t="shared" ca="1" si="1004"/>
        <v>-1.4248050611529388E-2</v>
      </c>
      <c r="O1078" s="2">
        <f t="shared" si="1005"/>
        <v>6000000</v>
      </c>
      <c r="P1078" s="2">
        <f t="shared" ca="1" si="1006"/>
        <v>41903811.279298976</v>
      </c>
      <c r="Q1078" s="2">
        <f t="shared" ca="1" si="1007"/>
        <v>1047595.2819824745</v>
      </c>
      <c r="R1078" s="2">
        <f t="shared" ca="1" si="1008"/>
        <v>25142286.767579384</v>
      </c>
      <c r="S1078" s="2">
        <f t="shared" ca="1" si="1009"/>
        <v>16761524.511719592</v>
      </c>
      <c r="T1078" s="2">
        <f t="shared" ca="1" si="1010"/>
        <v>49287597.469423532</v>
      </c>
      <c r="U1078" s="2">
        <f t="shared" ca="1" si="1011"/>
        <v>50564489.146402575</v>
      </c>
      <c r="V1078" s="2">
        <f t="shared" ca="1" si="1012"/>
        <v>51874461.201376304</v>
      </c>
      <c r="W1078" s="2">
        <f t="shared" ca="1" si="1013"/>
        <v>53218370.64628081</v>
      </c>
      <c r="X1078" s="2">
        <f t="shared" ca="1" si="1014"/>
        <v>54597096.695623718</v>
      </c>
      <c r="Y1078" s="2">
        <f t="shared" ca="1" si="1015"/>
        <v>0.12409599370496625</v>
      </c>
      <c r="Z1078" s="2">
        <f t="shared" ca="1" si="1016"/>
        <v>0.12573439118695276</v>
      </c>
      <c r="AA1078" s="2">
        <f t="shared" ca="1" si="1017"/>
        <v>6116393.3852984933</v>
      </c>
      <c r="AB1078" s="2">
        <f t="shared" ca="1" si="1018"/>
        <v>6357695.2585022086</v>
      </c>
      <c r="AC1078" s="2">
        <f t="shared" ca="1" si="1019"/>
        <v>6522403.7973062517</v>
      </c>
      <c r="AD1078" s="2">
        <f t="shared" ca="1" si="1020"/>
        <v>6691379.4331717156</v>
      </c>
      <c r="AE1078" s="2">
        <f t="shared" ca="1" si="1021"/>
        <v>6864732.7135994388</v>
      </c>
      <c r="AF1078" s="2">
        <f t="shared" ca="1" si="1022"/>
        <v>985751.94938847062</v>
      </c>
      <c r="AG1078" s="2">
        <f t="shared" ca="1" si="1023"/>
        <v>1011289.7829280515</v>
      </c>
      <c r="AH1078" s="2">
        <f t="shared" ca="1" si="1024"/>
        <v>1037489.2240275261</v>
      </c>
      <c r="AI1078" s="2">
        <f t="shared" ca="1" si="1025"/>
        <v>1064367.4129256161</v>
      </c>
      <c r="AJ1078" s="2">
        <f t="shared" ca="1" si="1026"/>
        <v>1091941.9339124744</v>
      </c>
      <c r="AK1078" s="2">
        <f t="shared" ca="1" si="1027"/>
        <v>0</v>
      </c>
      <c r="AL1078" s="2">
        <f t="shared" ca="1" si="1028"/>
        <v>12768.916769790427</v>
      </c>
      <c r="AM1078" s="2">
        <f t="shared" ca="1" si="1029"/>
        <v>13099.720549737291</v>
      </c>
      <c r="AN1078" s="2">
        <f t="shared" ca="1" si="1030"/>
        <v>13439.094449045062</v>
      </c>
      <c r="AO1078" s="2">
        <f t="shared" ca="1" si="1031"/>
        <v>13787.260493429079</v>
      </c>
      <c r="AP1078" s="2">
        <f t="shared" ca="1" si="1032"/>
        <v>2262805.8090821444</v>
      </c>
      <c r="AQ1078" s="2">
        <f t="shared" ca="1" si="1033"/>
        <v>745637.26297524839</v>
      </c>
      <c r="AR1078" s="2">
        <f t="shared" ca="1" si="1034"/>
        <v>801735.91328792332</v>
      </c>
      <c r="AS1078" s="2">
        <f t="shared" ca="1" si="1035"/>
        <v>837748.27869111102</v>
      </c>
      <c r="AT1078" s="2">
        <f t="shared" ca="1" si="1036"/>
        <v>874693.61490262835</v>
      </c>
      <c r="AU1078" s="2">
        <f t="shared" ca="1" si="1037"/>
        <v>912596.09235725319</v>
      </c>
      <c r="AV1078" s="2">
        <f t="shared" ca="1" si="1038"/>
        <v>2122198.3638526299</v>
      </c>
      <c r="AW1078" s="2">
        <f t="shared" ca="1" si="1039"/>
        <v>2269094.8364342987</v>
      </c>
      <c r="AX1078" s="2">
        <f t="shared" ca="1" si="1040"/>
        <v>2371260.7649557325</v>
      </c>
      <c r="AY1078" s="2">
        <f t="shared" ca="1" si="1041"/>
        <v>2476073.5018122816</v>
      </c>
      <c r="AZ1078" s="2">
        <f t="shared" ca="1" si="1042"/>
        <v>2583601.6177541376</v>
      </c>
      <c r="BA1078" s="2">
        <f t="shared" ca="1" si="1043"/>
        <v>49217540.220663778</v>
      </c>
      <c r="BB1078" s="2">
        <f t="shared" ca="1" si="1044"/>
        <v>984350.80441327556</v>
      </c>
      <c r="BC1078" s="2">
        <f t="shared" ca="1" si="1045"/>
        <v>23090902.64867112</v>
      </c>
      <c r="BD1078" s="2">
        <f t="shared" ca="1" si="1046"/>
        <v>-18309119.793702066</v>
      </c>
      <c r="BE1078" s="2">
        <f t="shared" ca="1" si="1047"/>
        <v>2122198.3638526299</v>
      </c>
      <c r="BF1078" s="2">
        <f t="shared" ca="1" si="1048"/>
        <v>2269094.8364342987</v>
      </c>
      <c r="BG1078" s="2">
        <f t="shared" ca="1" si="1049"/>
        <v>2371260.7649557325</v>
      </c>
      <c r="BH1078" s="2">
        <f t="shared" ca="1" si="1050"/>
        <v>2476073.5018122816</v>
      </c>
      <c r="BI1078" s="2">
        <f t="shared" ca="1" si="1051"/>
        <v>25674504.266425259</v>
      </c>
      <c r="BJ1078" s="2">
        <f t="shared" ca="1" si="1052"/>
        <v>0.1648777398714445</v>
      </c>
      <c r="BK1078" s="2">
        <f t="shared" ca="1" si="1053"/>
        <v>3224417.9620142691</v>
      </c>
    </row>
    <row r="1079" spans="1:63" x14ac:dyDescent="0.3">
      <c r="A1079" s="2">
        <v>1078</v>
      </c>
      <c r="B1079" s="2">
        <f t="shared" ca="1" si="992"/>
        <v>0.58740097533461533</v>
      </c>
      <c r="C1079" s="2">
        <f t="shared" ca="1" si="993"/>
        <v>7.0915958777445089</v>
      </c>
      <c r="D1079" s="2">
        <f t="shared" ca="1" si="994"/>
        <v>0.24343593738879321</v>
      </c>
      <c r="E1079" s="2">
        <f t="shared" ca="1" si="995"/>
        <v>7.1977620473897863</v>
      </c>
      <c r="F1079" s="2">
        <f t="shared" ca="1" si="996"/>
        <v>0.49554758776932806</v>
      </c>
      <c r="G1079" s="2">
        <f t="shared" ca="1" si="997"/>
        <v>3.9665176777407704E-2</v>
      </c>
      <c r="H1079" s="2">
        <f t="shared" ca="1" si="998"/>
        <v>3.9665176777407704E-2</v>
      </c>
      <c r="I1079" s="2">
        <f t="shared" ca="1" si="999"/>
        <v>0.79048679788956155</v>
      </c>
      <c r="J1079" s="2">
        <f t="shared" ca="1" si="1000"/>
        <v>1.4040557445953618E-2</v>
      </c>
      <c r="K1079" s="2">
        <f t="shared" ca="1" si="1001"/>
        <v>1.4040557445953618E-2</v>
      </c>
      <c r="L1079" s="2">
        <f t="shared" ca="1" si="1002"/>
        <v>6.6177697937819802E-2</v>
      </c>
      <c r="M1079" s="2">
        <f t="shared" ca="1" si="1003"/>
        <v>-3.009756385094416E-2</v>
      </c>
      <c r="N1079" s="2">
        <f t="shared" ca="1" si="1004"/>
        <v>-3.009756385094416E-2</v>
      </c>
      <c r="O1079" s="2">
        <f t="shared" si="1005"/>
        <v>6000000</v>
      </c>
      <c r="P1079" s="2">
        <f t="shared" ca="1" si="1006"/>
        <v>42549575.266467057</v>
      </c>
      <c r="Q1079" s="2">
        <f t="shared" ca="1" si="1007"/>
        <v>1063739.3816616766</v>
      </c>
      <c r="R1079" s="2">
        <f t="shared" ca="1" si="1008"/>
        <v>25529745.159880232</v>
      </c>
      <c r="S1079" s="2">
        <f t="shared" ca="1" si="1009"/>
        <v>17019830.106586825</v>
      </c>
      <c r="T1079" s="2">
        <f t="shared" ca="1" si="1010"/>
        <v>48495121.80745279</v>
      </c>
      <c r="U1079" s="2">
        <f t="shared" ca="1" si="1011"/>
        <v>50418689.386787325</v>
      </c>
      <c r="V1079" s="2">
        <f t="shared" ca="1" si="1012"/>
        <v>52418555.614199452</v>
      </c>
      <c r="W1079" s="2">
        <f t="shared" ca="1" si="1013"/>
        <v>54497746.889053047</v>
      </c>
      <c r="X1079" s="2">
        <f t="shared" ca="1" si="1014"/>
        <v>56659409.653377756</v>
      </c>
      <c r="Y1079" s="2">
        <f t="shared" ca="1" si="1015"/>
        <v>0.1270202787229768</v>
      </c>
      <c r="Z1079" s="2">
        <f t="shared" ca="1" si="1016"/>
        <v>0.12982839021216752</v>
      </c>
      <c r="AA1079" s="2">
        <f t="shared" ca="1" si="1017"/>
        <v>6159863.8886873638</v>
      </c>
      <c r="AB1079" s="2">
        <f t="shared" ca="1" si="1018"/>
        <v>6545777.2796938941</v>
      </c>
      <c r="AC1079" s="2">
        <f t="shared" ca="1" si="1019"/>
        <v>6805416.6926384913</v>
      </c>
      <c r="AD1079" s="2">
        <f t="shared" ca="1" si="1020"/>
        <v>7075354.7487959173</v>
      </c>
      <c r="AE1079" s="2">
        <f t="shared" ca="1" si="1021"/>
        <v>7355999.9456697786</v>
      </c>
      <c r="AF1079" s="2">
        <f t="shared" ca="1" si="1022"/>
        <v>969902.43614905584</v>
      </c>
      <c r="AG1079" s="2">
        <f t="shared" ca="1" si="1023"/>
        <v>1008373.7877357465</v>
      </c>
      <c r="AH1079" s="2">
        <f t="shared" ca="1" si="1024"/>
        <v>1048371.1122839891</v>
      </c>
      <c r="AI1079" s="2">
        <f t="shared" ca="1" si="1025"/>
        <v>1089954.937781061</v>
      </c>
      <c r="AJ1079" s="2">
        <f t="shared" ca="1" si="1026"/>
        <v>1133188.1930675551</v>
      </c>
      <c r="AK1079" s="2">
        <f t="shared" ca="1" si="1027"/>
        <v>0</v>
      </c>
      <c r="AL1079" s="2">
        <f t="shared" ca="1" si="1028"/>
        <v>19235.675793345348</v>
      </c>
      <c r="AM1079" s="2">
        <f t="shared" ca="1" si="1029"/>
        <v>19998.66227412127</v>
      </c>
      <c r="AN1079" s="2">
        <f t="shared" ca="1" si="1030"/>
        <v>20791.912748535946</v>
      </c>
      <c r="AO1079" s="2">
        <f t="shared" ca="1" si="1031"/>
        <v>21616.627643247099</v>
      </c>
      <c r="AP1079" s="2">
        <f t="shared" ca="1" si="1032"/>
        <v>2297677.0643892209</v>
      </c>
      <c r="AQ1079" s="2">
        <f t="shared" ca="1" si="1033"/>
        <v>751993.94091876259</v>
      </c>
      <c r="AR1079" s="2">
        <f t="shared" ca="1" si="1034"/>
        <v>842328.871167921</v>
      </c>
      <c r="AS1079" s="2">
        <f t="shared" ca="1" si="1035"/>
        <v>899435.81415097322</v>
      </c>
      <c r="AT1079" s="2">
        <f t="shared" ca="1" si="1036"/>
        <v>958807.91412266518</v>
      </c>
      <c r="AU1079" s="2">
        <f t="shared" ca="1" si="1037"/>
        <v>1020535.0189353806</v>
      </c>
      <c r="AV1079" s="2">
        <f t="shared" ca="1" si="1038"/>
        <v>2140290.4472303246</v>
      </c>
      <c r="AW1079" s="2">
        <f t="shared" ca="1" si="1039"/>
        <v>2378161.8806076613</v>
      </c>
      <c r="AX1079" s="2">
        <f t="shared" ca="1" si="1040"/>
        <v>2539934.039540187</v>
      </c>
      <c r="AY1079" s="2">
        <f t="shared" ca="1" si="1041"/>
        <v>2708122.9197544339</v>
      </c>
      <c r="AZ1079" s="2">
        <f t="shared" ca="1" si="1042"/>
        <v>2882983.0416343748</v>
      </c>
      <c r="BA1079" s="2">
        <f t="shared" ca="1" si="1043"/>
        <v>52946737.229543261</v>
      </c>
      <c r="BB1079" s="2">
        <f t="shared" ca="1" si="1044"/>
        <v>1058934.7445908652</v>
      </c>
      <c r="BC1079" s="2">
        <f t="shared" ca="1" si="1045"/>
        <v>26358057.325072166</v>
      </c>
      <c r="BD1079" s="2">
        <f t="shared" ca="1" si="1046"/>
        <v>-18583569.488248501</v>
      </c>
      <c r="BE1079" s="2">
        <f t="shared" ca="1" si="1047"/>
        <v>2140290.4472303246</v>
      </c>
      <c r="BF1079" s="2">
        <f t="shared" ca="1" si="1048"/>
        <v>2378161.8806076613</v>
      </c>
      <c r="BG1079" s="2">
        <f t="shared" ca="1" si="1049"/>
        <v>2539934.039540187</v>
      </c>
      <c r="BH1079" s="2">
        <f t="shared" ca="1" si="1050"/>
        <v>2708122.9197544339</v>
      </c>
      <c r="BI1079" s="2">
        <f t="shared" ca="1" si="1051"/>
        <v>29241040.366706539</v>
      </c>
      <c r="BJ1079" s="2">
        <f t="shared" ca="1" si="1052"/>
        <v>0.19008575927733196</v>
      </c>
      <c r="BK1079" s="2">
        <f t="shared" ca="1" si="1053"/>
        <v>5344347.7637566254</v>
      </c>
    </row>
    <row r="1080" spans="1:63" x14ac:dyDescent="0.3">
      <c r="A1080" s="2">
        <v>1079</v>
      </c>
      <c r="B1080" s="2">
        <f t="shared" ca="1" si="992"/>
        <v>0.43869742873721906</v>
      </c>
      <c r="C1080" s="2">
        <f t="shared" ca="1" si="993"/>
        <v>6.9366935771502005</v>
      </c>
      <c r="D1080" s="2">
        <f t="shared" ca="1" si="994"/>
        <v>0.11444964647609401</v>
      </c>
      <c r="E1080" s="2">
        <f t="shared" ca="1" si="995"/>
        <v>6.9784342096382614</v>
      </c>
      <c r="F1080" s="2">
        <f t="shared" ca="1" si="996"/>
        <v>7.539849686951916E-2</v>
      </c>
      <c r="G1080" s="2">
        <f t="shared" ca="1" si="997"/>
        <v>-3.1016607896939968E-3</v>
      </c>
      <c r="H1080" s="2">
        <f t="shared" ca="1" si="998"/>
        <v>-3.1016607896939968E-3</v>
      </c>
      <c r="I1080" s="2">
        <f t="shared" ca="1" si="999"/>
        <v>0.49645438269317532</v>
      </c>
      <c r="J1080" s="2">
        <f t="shared" ca="1" si="1000"/>
        <v>9.9555616920111532E-3</v>
      </c>
      <c r="K1080" s="2">
        <f t="shared" ca="1" si="1001"/>
        <v>9.9555616920111532E-3</v>
      </c>
      <c r="L1080" s="2">
        <f t="shared" ca="1" si="1002"/>
        <v>0.36780561023623415</v>
      </c>
      <c r="M1080" s="2">
        <f t="shared" ca="1" si="1003"/>
        <v>-6.7534176270137294E-3</v>
      </c>
      <c r="N1080" s="2">
        <f t="shared" ca="1" si="1004"/>
        <v>-6.7534176270137294E-3</v>
      </c>
      <c r="O1080" s="2">
        <f t="shared" si="1005"/>
        <v>6000000</v>
      </c>
      <c r="P1080" s="2">
        <f t="shared" ca="1" si="1006"/>
        <v>41620161.462901205</v>
      </c>
      <c r="Q1080" s="2">
        <f t="shared" ca="1" si="1007"/>
        <v>1040504.0365725302</v>
      </c>
      <c r="R1080" s="2">
        <f t="shared" ca="1" si="1008"/>
        <v>24972096.877740722</v>
      </c>
      <c r="S1080" s="2">
        <f t="shared" ca="1" si="1009"/>
        <v>16648064.585160483</v>
      </c>
      <c r="T1080" s="2">
        <f t="shared" ca="1" si="1010"/>
        <v>49662329.118649311</v>
      </c>
      <c r="U1080" s="2">
        <f t="shared" ca="1" si="1011"/>
        <v>49508293.419697121</v>
      </c>
      <c r="V1080" s="2">
        <f t="shared" ca="1" si="1012"/>
        <v>49354735.487232581</v>
      </c>
      <c r="W1080" s="2">
        <f t="shared" ca="1" si="1013"/>
        <v>49201653.839386113</v>
      </c>
      <c r="X1080" s="2">
        <f t="shared" ca="1" si="1014"/>
        <v>49049046.998884395</v>
      </c>
      <c r="Y1080" s="2">
        <f t="shared" ca="1" si="1015"/>
        <v>0.12497778084600557</v>
      </c>
      <c r="Z1080" s="2">
        <f t="shared" ca="1" si="1016"/>
        <v>0.12696889318440779</v>
      </c>
      <c r="AA1080" s="2">
        <f t="shared" ca="1" si="1017"/>
        <v>6206687.6848927541</v>
      </c>
      <c r="AB1080" s="2">
        <f t="shared" ca="1" si="1018"/>
        <v>6286013.2189478427</v>
      </c>
      <c r="AC1080" s="2">
        <f t="shared" ca="1" si="1019"/>
        <v>6266516.138223134</v>
      </c>
      <c r="AD1080" s="2">
        <f t="shared" ca="1" si="1020"/>
        <v>6247079.5308292229</v>
      </c>
      <c r="AE1080" s="2">
        <f t="shared" ca="1" si="1021"/>
        <v>6227703.2091983501</v>
      </c>
      <c r="AF1080" s="2">
        <f t="shared" ca="1" si="1022"/>
        <v>993246.58237298625</v>
      </c>
      <c r="AG1080" s="2">
        <f t="shared" ca="1" si="1023"/>
        <v>990165.86839394248</v>
      </c>
      <c r="AH1080" s="2">
        <f t="shared" ca="1" si="1024"/>
        <v>987094.70974465169</v>
      </c>
      <c r="AI1080" s="2">
        <f t="shared" ca="1" si="1025"/>
        <v>984033.0767877223</v>
      </c>
      <c r="AJ1080" s="2">
        <f t="shared" ca="1" si="1026"/>
        <v>980980.9399776879</v>
      </c>
      <c r="AK1080" s="2">
        <f t="shared" ca="1" si="1027"/>
        <v>0</v>
      </c>
      <c r="AL1080" s="2">
        <f t="shared" ca="1" si="1028"/>
        <v>0</v>
      </c>
      <c r="AM1080" s="2">
        <f t="shared" ca="1" si="1029"/>
        <v>0</v>
      </c>
      <c r="AN1080" s="2">
        <f t="shared" ca="1" si="1030"/>
        <v>0</v>
      </c>
      <c r="AO1080" s="2">
        <f t="shared" ca="1" si="1031"/>
        <v>0</v>
      </c>
      <c r="AP1080" s="2">
        <f t="shared" ca="1" si="1032"/>
        <v>2247488.718996665</v>
      </c>
      <c r="AQ1080" s="2">
        <f t="shared" ca="1" si="1033"/>
        <v>771147.61971600668</v>
      </c>
      <c r="AR1080" s="2">
        <f t="shared" ca="1" si="1034"/>
        <v>792573.24420488114</v>
      </c>
      <c r="AS1080" s="2">
        <f t="shared" ca="1" si="1035"/>
        <v>788302.50446527253</v>
      </c>
      <c r="AT1080" s="2">
        <f t="shared" ca="1" si="1036"/>
        <v>784045.01111165725</v>
      </c>
      <c r="AU1080" s="2">
        <f t="shared" ca="1" si="1037"/>
        <v>779800.72305823932</v>
      </c>
      <c r="AV1080" s="2">
        <f t="shared" ca="1" si="1038"/>
        <v>2194804.7638070961</v>
      </c>
      <c r="AW1080" s="2">
        <f t="shared" ca="1" si="1039"/>
        <v>2255785.3873523544</v>
      </c>
      <c r="AX1080" s="2">
        <f t="shared" ca="1" si="1040"/>
        <v>2243630.2050165446</v>
      </c>
      <c r="AY1080" s="2">
        <f t="shared" ca="1" si="1041"/>
        <v>2231512.7239331785</v>
      </c>
      <c r="AZ1080" s="2">
        <f t="shared" ca="1" si="1042"/>
        <v>2219432.8271657578</v>
      </c>
      <c r="BA1080" s="2">
        <f t="shared" ca="1" si="1043"/>
        <v>43459617.122543752</v>
      </c>
      <c r="BB1080" s="2">
        <f t="shared" ca="1" si="1044"/>
        <v>869192.34245087509</v>
      </c>
      <c r="BC1080" s="2">
        <f t="shared" ca="1" si="1045"/>
        <v>17618327.902352154</v>
      </c>
      <c r="BD1080" s="2">
        <f t="shared" ca="1" si="1046"/>
        <v>-18188568.621733014</v>
      </c>
      <c r="BE1080" s="2">
        <f t="shared" ca="1" si="1047"/>
        <v>2194804.7638070961</v>
      </c>
      <c r="BF1080" s="2">
        <f t="shared" ca="1" si="1048"/>
        <v>2255785.3873523544</v>
      </c>
      <c r="BG1080" s="2">
        <f t="shared" ca="1" si="1049"/>
        <v>2243630.2050165446</v>
      </c>
      <c r="BH1080" s="2">
        <f t="shared" ca="1" si="1050"/>
        <v>2231512.7239331785</v>
      </c>
      <c r="BI1080" s="2">
        <f t="shared" ca="1" si="1051"/>
        <v>19837760.729517911</v>
      </c>
      <c r="BJ1080" s="2">
        <f t="shared" ca="1" si="1052"/>
        <v>0.11755177515629156</v>
      </c>
      <c r="BK1080" s="2">
        <f t="shared" ca="1" si="1053"/>
        <v>-159006.67449808493</v>
      </c>
    </row>
    <row r="1081" spans="1:63" x14ac:dyDescent="0.3">
      <c r="A1081" s="2">
        <v>1080</v>
      </c>
      <c r="B1081" s="2">
        <f t="shared" ca="1" si="992"/>
        <v>0.15384054103847444</v>
      </c>
      <c r="C1081" s="2">
        <f t="shared" ca="1" si="993"/>
        <v>6.5546900774999939</v>
      </c>
      <c r="D1081" s="2">
        <f t="shared" ca="1" si="994"/>
        <v>0.57925730134466336</v>
      </c>
      <c r="E1081" s="2">
        <f t="shared" ca="1" si="995"/>
        <v>7.5826748682660696</v>
      </c>
      <c r="F1081" s="2">
        <f t="shared" ca="1" si="996"/>
        <v>0.2229811073253517</v>
      </c>
      <c r="G1081" s="2">
        <f t="shared" ca="1" si="997"/>
        <v>1.7135084294938579E-2</v>
      </c>
      <c r="H1081" s="2">
        <f t="shared" ca="1" si="998"/>
        <v>1.7135084294938579E-2</v>
      </c>
      <c r="I1081" s="2">
        <f t="shared" ca="1" si="999"/>
        <v>0.47422235612263208</v>
      </c>
      <c r="J1081" s="2">
        <f t="shared" ca="1" si="1000"/>
        <v>9.676700004570991E-3</v>
      </c>
      <c r="K1081" s="2">
        <f t="shared" ca="1" si="1001"/>
        <v>9.676700004570991E-3</v>
      </c>
      <c r="L1081" s="2">
        <f t="shared" ca="1" si="1002"/>
        <v>0.70664010901977026</v>
      </c>
      <c r="M1081" s="2">
        <f t="shared" ca="1" si="1003"/>
        <v>1.0871912183524913E-2</v>
      </c>
      <c r="N1081" s="2">
        <f t="shared" ca="1" si="1004"/>
        <v>1.0871912183524913E-2</v>
      </c>
      <c r="O1081" s="2">
        <f t="shared" si="1005"/>
        <v>6000000</v>
      </c>
      <c r="P1081" s="2">
        <f t="shared" ca="1" si="1006"/>
        <v>39328140.464999966</v>
      </c>
      <c r="Q1081" s="2">
        <f t="shared" ca="1" si="1007"/>
        <v>983203.51162499923</v>
      </c>
      <c r="R1081" s="2">
        <f t="shared" ca="1" si="1008"/>
        <v>23596884.278999981</v>
      </c>
      <c r="S1081" s="2">
        <f t="shared" ca="1" si="1009"/>
        <v>15731256.185999988</v>
      </c>
      <c r="T1081" s="2">
        <f t="shared" ca="1" si="1010"/>
        <v>50543595.609176248</v>
      </c>
      <c r="U1081" s="2">
        <f t="shared" ca="1" si="1011"/>
        <v>51409664.380508766</v>
      </c>
      <c r="V1081" s="2">
        <f t="shared" ca="1" si="1012"/>
        <v>52290573.313243277</v>
      </c>
      <c r="W1081" s="2">
        <f t="shared" ca="1" si="1013"/>
        <v>53186576.694796361</v>
      </c>
      <c r="X1081" s="2">
        <f t="shared" ca="1" si="1014"/>
        <v>54097933.169820905</v>
      </c>
      <c r="Y1081" s="2">
        <f t="shared" ca="1" si="1015"/>
        <v>0.12483835000228549</v>
      </c>
      <c r="Z1081" s="2">
        <f t="shared" ca="1" si="1016"/>
        <v>0.12677369000319968</v>
      </c>
      <c r="AA1081" s="2">
        <f t="shared" ca="1" si="1017"/>
        <v>6309779.0790323243</v>
      </c>
      <c r="AB1081" s="2">
        <f t="shared" ca="1" si="1018"/>
        <v>6517392.8553431546</v>
      </c>
      <c r="AC1081" s="2">
        <f t="shared" ca="1" si="1019"/>
        <v>6629068.9313026899</v>
      </c>
      <c r="AD1081" s="2">
        <f t="shared" ca="1" si="1020"/>
        <v>6742658.586237519</v>
      </c>
      <c r="AE1081" s="2">
        <f t="shared" ca="1" si="1021"/>
        <v>6858194.6094846893</v>
      </c>
      <c r="AF1081" s="2">
        <f t="shared" ca="1" si="1022"/>
        <v>1010871.912183525</v>
      </c>
      <c r="AG1081" s="2">
        <f t="shared" ca="1" si="1023"/>
        <v>1028193.2876101753</v>
      </c>
      <c r="AH1081" s="2">
        <f t="shared" ca="1" si="1024"/>
        <v>1045811.4662648656</v>
      </c>
      <c r="AI1081" s="2">
        <f t="shared" ca="1" si="1025"/>
        <v>1063731.5338959272</v>
      </c>
      <c r="AJ1081" s="2">
        <f t="shared" ca="1" si="1026"/>
        <v>1081958.6633964181</v>
      </c>
      <c r="AK1081" s="2">
        <f t="shared" ca="1" si="1027"/>
        <v>0</v>
      </c>
      <c r="AL1081" s="2">
        <f t="shared" ca="1" si="1028"/>
        <v>8660.6877133251728</v>
      </c>
      <c r="AM1081" s="2">
        <f t="shared" ca="1" si="1029"/>
        <v>8809.0893273451184</v>
      </c>
      <c r="AN1081" s="2">
        <f t="shared" ca="1" si="1030"/>
        <v>8960.0338155308364</v>
      </c>
      <c r="AO1081" s="2">
        <f t="shared" ca="1" si="1031"/>
        <v>9113.5647502454376</v>
      </c>
      <c r="AP1081" s="2">
        <f t="shared" ca="1" si="1032"/>
        <v>2123719.585109998</v>
      </c>
      <c r="AQ1081" s="2">
        <f t="shared" ca="1" si="1033"/>
        <v>825548.77125208837</v>
      </c>
      <c r="AR1081" s="2">
        <f t="shared" ca="1" si="1034"/>
        <v>875024.79548197519</v>
      </c>
      <c r="AS1081" s="2">
        <f t="shared" ca="1" si="1035"/>
        <v>899479.84878123493</v>
      </c>
      <c r="AT1081" s="2">
        <f t="shared" ca="1" si="1036"/>
        <v>924353.94148021436</v>
      </c>
      <c r="AU1081" s="2">
        <f t="shared" ca="1" si="1037"/>
        <v>949654.25385435112</v>
      </c>
      <c r="AV1081" s="2">
        <f t="shared" ca="1" si="1038"/>
        <v>2349638.810486713</v>
      </c>
      <c r="AW1081" s="2">
        <f t="shared" ca="1" si="1039"/>
        <v>2481794.4994276813</v>
      </c>
      <c r="AX1081" s="2">
        <f t="shared" ca="1" si="1040"/>
        <v>2551248.9418192473</v>
      </c>
      <c r="AY1081" s="2">
        <f t="shared" ca="1" si="1041"/>
        <v>2621893.4919358478</v>
      </c>
      <c r="AZ1081" s="2">
        <f t="shared" ca="1" si="1042"/>
        <v>2693748.5423736763</v>
      </c>
      <c r="BA1081" s="2">
        <f t="shared" ca="1" si="1043"/>
        <v>52003459.907017387</v>
      </c>
      <c r="BB1081" s="2">
        <f t="shared" ca="1" si="1044"/>
        <v>1040069.1981403477</v>
      </c>
      <c r="BC1081" s="2">
        <f t="shared" ca="1" si="1045"/>
        <v>27366506.429877058</v>
      </c>
      <c r="BD1081" s="2">
        <f t="shared" ca="1" si="1046"/>
        <v>-17214459.697624989</v>
      </c>
      <c r="BE1081" s="2">
        <f t="shared" ca="1" si="1047"/>
        <v>2349638.810486713</v>
      </c>
      <c r="BF1081" s="2">
        <f t="shared" ca="1" si="1048"/>
        <v>2481794.4994276813</v>
      </c>
      <c r="BG1081" s="2">
        <f t="shared" ca="1" si="1049"/>
        <v>2551248.9418192473</v>
      </c>
      <c r="BH1081" s="2">
        <f t="shared" ca="1" si="1050"/>
        <v>2621893.4919358478</v>
      </c>
      <c r="BI1081" s="2">
        <f t="shared" ca="1" si="1051"/>
        <v>30060254.972250734</v>
      </c>
      <c r="BJ1081" s="2">
        <f t="shared" ca="1" si="1052"/>
        <v>0.22157262686281087</v>
      </c>
      <c r="BK1081" s="2">
        <f t="shared" ca="1" si="1053"/>
        <v>7401088.7565586083</v>
      </c>
    </row>
    <row r="1082" spans="1:63" x14ac:dyDescent="0.3">
      <c r="A1082" s="2">
        <v>1081</v>
      </c>
      <c r="B1082" s="2">
        <f t="shared" ca="1" si="992"/>
        <v>7.5509589394597398E-2</v>
      </c>
      <c r="C1082" s="2">
        <f t="shared" ca="1" si="993"/>
        <v>6.3886118613593705</v>
      </c>
      <c r="D1082" s="2">
        <f t="shared" ca="1" si="994"/>
        <v>0.23780872039216094</v>
      </c>
      <c r="E1082" s="2">
        <f t="shared" ca="1" si="995"/>
        <v>7.1896502307578256</v>
      </c>
      <c r="F1082" s="2">
        <f t="shared" ca="1" si="996"/>
        <v>0.7122632726802417</v>
      </c>
      <c r="G1082" s="2">
        <f t="shared" ca="1" si="997"/>
        <v>5.6800263149704461E-2</v>
      </c>
      <c r="H1082" s="2">
        <f t="shared" ca="1" si="998"/>
        <v>5.6800263149704461E-2</v>
      </c>
      <c r="I1082" s="2">
        <f t="shared" ca="1" si="999"/>
        <v>0.53002425997985292</v>
      </c>
      <c r="J1082" s="2">
        <f t="shared" ca="1" si="1000"/>
        <v>1.0376654227493679E-2</v>
      </c>
      <c r="K1082" s="2">
        <f t="shared" ca="1" si="1001"/>
        <v>1.0376654227493679E-2</v>
      </c>
      <c r="L1082" s="2">
        <f t="shared" ca="1" si="1002"/>
        <v>0.98085904984762506</v>
      </c>
      <c r="M1082" s="2">
        <f t="shared" ca="1" si="1003"/>
        <v>4.1436470851501074E-2</v>
      </c>
      <c r="N1082" s="2">
        <f t="shared" ca="1" si="1004"/>
        <v>4.1436470851501074E-2</v>
      </c>
      <c r="O1082" s="2">
        <f t="shared" si="1005"/>
        <v>6000000</v>
      </c>
      <c r="P1082" s="2">
        <f t="shared" ca="1" si="1006"/>
        <v>38331671.168156222</v>
      </c>
      <c r="Q1082" s="2">
        <f t="shared" ca="1" si="1007"/>
        <v>958291.77920390561</v>
      </c>
      <c r="R1082" s="2">
        <f t="shared" ca="1" si="1008"/>
        <v>22999002.700893734</v>
      </c>
      <c r="S1082" s="2">
        <f t="shared" ca="1" si="1009"/>
        <v>15332668.46726249</v>
      </c>
      <c r="T1082" s="2">
        <f t="shared" ca="1" si="1010"/>
        <v>52071823.542575054</v>
      </c>
      <c r="U1082" s="2">
        <f t="shared" ca="1" si="1011"/>
        <v>55029516.822478294</v>
      </c>
      <c r="V1082" s="2">
        <f t="shared" ca="1" si="1012"/>
        <v>58155207.858996145</v>
      </c>
      <c r="W1082" s="2">
        <f t="shared" ca="1" si="1013"/>
        <v>61458438.968912885</v>
      </c>
      <c r="X1082" s="2">
        <f t="shared" ca="1" si="1014"/>
        <v>64949294.475117184</v>
      </c>
      <c r="Y1082" s="2">
        <f t="shared" ca="1" si="1015"/>
        <v>0.12518832711374683</v>
      </c>
      <c r="Z1082" s="2">
        <f t="shared" ca="1" si="1016"/>
        <v>0.12726365795924557</v>
      </c>
      <c r="AA1082" s="2">
        <f t="shared" ca="1" si="1017"/>
        <v>6518784.4790571891</v>
      </c>
      <c r="AB1082" s="2">
        <f t="shared" ca="1" si="1018"/>
        <v>7003257.6065584281</v>
      </c>
      <c r="AC1082" s="2">
        <f t="shared" ca="1" si="1019"/>
        <v>7401044.4815161154</v>
      </c>
      <c r="AD1082" s="2">
        <f t="shared" ca="1" si="1020"/>
        <v>7821425.7556488989</v>
      </c>
      <c r="AE1082" s="2">
        <f t="shared" ca="1" si="1021"/>
        <v>8265684.7967756316</v>
      </c>
      <c r="AF1082" s="2">
        <f t="shared" ca="1" si="1022"/>
        <v>1041436.4708515011</v>
      </c>
      <c r="AG1082" s="2">
        <f t="shared" ca="1" si="1023"/>
        <v>1100590.3364495658</v>
      </c>
      <c r="AH1082" s="2">
        <f t="shared" ca="1" si="1024"/>
        <v>1163104.157179923</v>
      </c>
      <c r="AI1082" s="2">
        <f t="shared" ca="1" si="1025"/>
        <v>1229168.7793782577</v>
      </c>
      <c r="AJ1082" s="2">
        <f t="shared" ca="1" si="1026"/>
        <v>1298985.8895023437</v>
      </c>
      <c r="AK1082" s="2">
        <f t="shared" ca="1" si="1027"/>
        <v>0</v>
      </c>
      <c r="AL1082" s="2">
        <f t="shared" ca="1" si="1028"/>
        <v>29576.932799032405</v>
      </c>
      <c r="AM1082" s="2">
        <f t="shared" ca="1" si="1029"/>
        <v>31256.910365178512</v>
      </c>
      <c r="AN1082" s="2">
        <f t="shared" ca="1" si="1030"/>
        <v>33032.311099167389</v>
      </c>
      <c r="AO1082" s="2">
        <f t="shared" ca="1" si="1031"/>
        <v>34908.555062043</v>
      </c>
      <c r="AP1082" s="2">
        <f t="shared" ca="1" si="1032"/>
        <v>2069910.243080436</v>
      </c>
      <c r="AQ1082" s="2">
        <f t="shared" ca="1" si="1033"/>
        <v>885933.81893256539</v>
      </c>
      <c r="AR1082" s="2">
        <f t="shared" ca="1" si="1034"/>
        <v>996516.82702739071</v>
      </c>
      <c r="AS1082" s="2">
        <f t="shared" ca="1" si="1035"/>
        <v>1083687.8211264967</v>
      </c>
      <c r="AT1082" s="2">
        <f t="shared" ca="1" si="1036"/>
        <v>1175810.1506294534</v>
      </c>
      <c r="AU1082" s="2">
        <f t="shared" ca="1" si="1037"/>
        <v>1273165.0526901414</v>
      </c>
      <c r="AV1082" s="2">
        <f t="shared" ca="1" si="1038"/>
        <v>2521503.9461926864</v>
      </c>
      <c r="AW1082" s="2">
        <f t="shared" ca="1" si="1039"/>
        <v>2806663.2672020029</v>
      </c>
      <c r="AX1082" s="2">
        <f t="shared" ca="1" si="1040"/>
        <v>3053085.3497640816</v>
      </c>
      <c r="AY1082" s="2">
        <f t="shared" ca="1" si="1041"/>
        <v>3313504.2714615846</v>
      </c>
      <c r="AZ1082" s="2">
        <f t="shared" ca="1" si="1042"/>
        <v>3588715.0564406672</v>
      </c>
      <c r="BA1082" s="2">
        <f t="shared" ca="1" si="1043"/>
        <v>59427382.606509373</v>
      </c>
      <c r="BB1082" s="2">
        <f t="shared" ca="1" si="1044"/>
        <v>1188547.6521301875</v>
      </c>
      <c r="BC1082" s="2">
        <f t="shared" ca="1" si="1045"/>
        <v>35239832.253485456</v>
      </c>
      <c r="BD1082" s="2">
        <f t="shared" ca="1" si="1046"/>
        <v>-16790960.246466395</v>
      </c>
      <c r="BE1082" s="2">
        <f t="shared" ca="1" si="1047"/>
        <v>2521503.9461926864</v>
      </c>
      <c r="BF1082" s="2">
        <f t="shared" ca="1" si="1048"/>
        <v>2806663.2672020029</v>
      </c>
      <c r="BG1082" s="2">
        <f t="shared" ca="1" si="1049"/>
        <v>3053085.3497640816</v>
      </c>
      <c r="BH1082" s="2">
        <f t="shared" ca="1" si="1050"/>
        <v>3313504.2714615846</v>
      </c>
      <c r="BI1082" s="2">
        <f t="shared" ca="1" si="1051"/>
        <v>38828547.309926122</v>
      </c>
      <c r="BJ1082" s="2">
        <f t="shared" ca="1" si="1052"/>
        <v>0.2964396371139717</v>
      </c>
      <c r="BK1082" s="2">
        <f t="shared" ca="1" si="1053"/>
        <v>14009115.562023286</v>
      </c>
    </row>
    <row r="1083" spans="1:63" x14ac:dyDescent="0.3">
      <c r="A1083" s="2">
        <v>1082</v>
      </c>
      <c r="B1083" s="2">
        <f t="shared" ca="1" si="992"/>
        <v>5.5180098821603241E-2</v>
      </c>
      <c r="C1083" s="2">
        <f t="shared" ca="1" si="993"/>
        <v>6.3322050536087708</v>
      </c>
      <c r="D1083" s="2">
        <f t="shared" ca="1" si="994"/>
        <v>0.20432205241156887</v>
      </c>
      <c r="E1083" s="2">
        <f t="shared" ca="1" si="995"/>
        <v>7.1392527706808453</v>
      </c>
      <c r="F1083" s="2">
        <f t="shared" ca="1" si="996"/>
        <v>0.9480372877603469</v>
      </c>
      <c r="G1083" s="2">
        <f t="shared" ca="1" si="997"/>
        <v>8.878341744082674E-2</v>
      </c>
      <c r="H1083" s="2">
        <f t="shared" ca="1" si="998"/>
        <v>8.878341744082674E-2</v>
      </c>
      <c r="I1083" s="2">
        <f t="shared" ca="1" si="999"/>
        <v>0.29954232726160723</v>
      </c>
      <c r="J1083" s="2">
        <f t="shared" ca="1" si="1000"/>
        <v>7.3714135907729499E-3</v>
      </c>
      <c r="K1083" s="2">
        <f t="shared" ca="1" si="1001"/>
        <v>7.3714135907729499E-3</v>
      </c>
      <c r="L1083" s="2">
        <f t="shared" ca="1" si="1002"/>
        <v>3.9535929335790532E-2</v>
      </c>
      <c r="M1083" s="2">
        <f t="shared" ca="1" si="1003"/>
        <v>-3.5121938667570789E-2</v>
      </c>
      <c r="N1083" s="2">
        <f t="shared" ca="1" si="1004"/>
        <v>-3.5121938667570789E-2</v>
      </c>
      <c r="O1083" s="2">
        <f t="shared" si="1005"/>
        <v>6000000</v>
      </c>
      <c r="P1083" s="2">
        <f t="shared" ca="1" si="1006"/>
        <v>37993230.321652628</v>
      </c>
      <c r="Q1083" s="2">
        <f t="shared" ca="1" si="1007"/>
        <v>949830.75804131571</v>
      </c>
      <c r="R1083" s="2">
        <f t="shared" ca="1" si="1008"/>
        <v>22795938.192991577</v>
      </c>
      <c r="S1083" s="2">
        <f t="shared" ca="1" si="1009"/>
        <v>15197292.128661051</v>
      </c>
      <c r="T1083" s="2">
        <f t="shared" ca="1" si="1010"/>
        <v>48243903.06662146</v>
      </c>
      <c r="U1083" s="2">
        <f t="shared" ca="1" si="1011"/>
        <v>52527161.65156009</v>
      </c>
      <c r="V1083" s="2">
        <f t="shared" ca="1" si="1012"/>
        <v>57190702.571452327</v>
      </c>
      <c r="W1083" s="2">
        <f t="shared" ca="1" si="1013"/>
        <v>62268288.591587737</v>
      </c>
      <c r="X1083" s="2">
        <f t="shared" ca="1" si="1014"/>
        <v>67796680.050940529</v>
      </c>
      <c r="Y1083" s="2">
        <f t="shared" ca="1" si="1015"/>
        <v>0.12368570679538647</v>
      </c>
      <c r="Z1083" s="2">
        <f t="shared" ca="1" si="1016"/>
        <v>0.12515998951354107</v>
      </c>
      <c r="AA1083" s="2">
        <f t="shared" ca="1" si="1017"/>
        <v>5967081.2493631877</v>
      </c>
      <c r="AB1083" s="2">
        <f t="shared" ca="1" si="1018"/>
        <v>6574299.0014853375</v>
      </c>
      <c r="AC1083" s="2">
        <f t="shared" ca="1" si="1019"/>
        <v>7157987.7341150194</v>
      </c>
      <c r="AD1083" s="2">
        <f t="shared" ca="1" si="1020"/>
        <v>7793498.3471492706</v>
      </c>
      <c r="AE1083" s="2">
        <f t="shared" ca="1" si="1021"/>
        <v>8485431.7642286159</v>
      </c>
      <c r="AF1083" s="2">
        <f t="shared" ca="1" si="1022"/>
        <v>964878.06133242918</v>
      </c>
      <c r="AG1083" s="2">
        <f t="shared" ca="1" si="1023"/>
        <v>1050543.2330312019</v>
      </c>
      <c r="AH1083" s="2">
        <f t="shared" ca="1" si="1024"/>
        <v>1143814.0514290466</v>
      </c>
      <c r="AI1083" s="2">
        <f t="shared" ca="1" si="1025"/>
        <v>1245365.7718317548</v>
      </c>
      <c r="AJ1083" s="2">
        <f t="shared" ca="1" si="1026"/>
        <v>1355933.6010188106</v>
      </c>
      <c r="AK1083" s="2">
        <f t="shared" ca="1" si="1027"/>
        <v>0</v>
      </c>
      <c r="AL1083" s="2">
        <f t="shared" ca="1" si="1028"/>
        <v>42832.585849386305</v>
      </c>
      <c r="AM1083" s="2">
        <f t="shared" ca="1" si="1029"/>
        <v>46635.409198922367</v>
      </c>
      <c r="AN1083" s="2">
        <f t="shared" ca="1" si="1030"/>
        <v>50775.860201354102</v>
      </c>
      <c r="AO1083" s="2">
        <f t="shared" ca="1" si="1031"/>
        <v>55283.914593527916</v>
      </c>
      <c r="AP1083" s="2">
        <f t="shared" ca="1" si="1032"/>
        <v>2051634.4373692418</v>
      </c>
      <c r="AQ1083" s="2">
        <f t="shared" ca="1" si="1033"/>
        <v>767147.87517199444</v>
      </c>
      <c r="AR1083" s="2">
        <f t="shared" ca="1" si="1034"/>
        <v>902751.54608207231</v>
      </c>
      <c r="AS1083" s="2">
        <f t="shared" ca="1" si="1035"/>
        <v>1030260.2037823502</v>
      </c>
      <c r="AT1083" s="2">
        <f t="shared" ca="1" si="1036"/>
        <v>1169089.5158665515</v>
      </c>
      <c r="AU1083" s="2">
        <f t="shared" ca="1" si="1037"/>
        <v>1320244.5687185463</v>
      </c>
      <c r="AV1083" s="2">
        <f t="shared" ca="1" si="1038"/>
        <v>2183420.8754895222</v>
      </c>
      <c r="AW1083" s="2">
        <f t="shared" ca="1" si="1039"/>
        <v>2526537.199153435</v>
      </c>
      <c r="AX1083" s="2">
        <f t="shared" ca="1" si="1040"/>
        <v>2885643.6323354593</v>
      </c>
      <c r="AY1083" s="2">
        <f t="shared" ca="1" si="1041"/>
        <v>3276632.7618803685</v>
      </c>
      <c r="AZ1083" s="2">
        <f t="shared" ca="1" si="1042"/>
        <v>3702335.2425284893</v>
      </c>
      <c r="BA1083" s="2">
        <f t="shared" ca="1" si="1043"/>
        <v>60579642.233192399</v>
      </c>
      <c r="BB1083" s="2">
        <f t="shared" ca="1" si="1044"/>
        <v>1211592.8446638479</v>
      </c>
      <c r="BC1083" s="2">
        <f t="shared" ca="1" si="1045"/>
        <v>36572111.195536971</v>
      </c>
      <c r="BD1083" s="2">
        <f t="shared" ca="1" si="1046"/>
        <v>-16647122.886702366</v>
      </c>
      <c r="BE1083" s="2">
        <f t="shared" ca="1" si="1047"/>
        <v>2183420.8754895222</v>
      </c>
      <c r="BF1083" s="2">
        <f t="shared" ca="1" si="1048"/>
        <v>2526537.199153435</v>
      </c>
      <c r="BG1083" s="2">
        <f t="shared" ca="1" si="1049"/>
        <v>2885643.6323354593</v>
      </c>
      <c r="BH1083" s="2">
        <f t="shared" ca="1" si="1050"/>
        <v>3276632.7618803685</v>
      </c>
      <c r="BI1083" s="2">
        <f t="shared" ca="1" si="1051"/>
        <v>40274446.438065462</v>
      </c>
      <c r="BJ1083" s="2">
        <f t="shared" ca="1" si="1052"/>
        <v>0.29684430258112315</v>
      </c>
      <c r="BK1083" s="2">
        <f t="shared" ca="1" si="1053"/>
        <v>14305606.028763946</v>
      </c>
    </row>
    <row r="1084" spans="1:63" x14ac:dyDescent="0.3">
      <c r="A1084" s="2">
        <v>1083</v>
      </c>
      <c r="B1084" s="2">
        <f t="shared" ca="1" si="992"/>
        <v>0.35638253479319648</v>
      </c>
      <c r="C1084" s="2">
        <f t="shared" ca="1" si="993"/>
        <v>6.8442541498780995</v>
      </c>
      <c r="D1084" s="2">
        <f t="shared" ca="1" si="994"/>
        <v>0.5653670377881358</v>
      </c>
      <c r="E1084" s="2">
        <f t="shared" ca="1" si="995"/>
        <v>7.567655683546187</v>
      </c>
      <c r="F1084" s="2">
        <f t="shared" ca="1" si="996"/>
        <v>0.89361572248597532</v>
      </c>
      <c r="G1084" s="2">
        <f t="shared" ca="1" si="997"/>
        <v>7.737966007757574E-2</v>
      </c>
      <c r="H1084" s="2">
        <f t="shared" ca="1" si="998"/>
        <v>7.737966007757574E-2</v>
      </c>
      <c r="I1084" s="2">
        <f t="shared" ca="1" si="999"/>
        <v>0.38849976838762634</v>
      </c>
      <c r="J1084" s="2">
        <f t="shared" ca="1" si="1000"/>
        <v>8.5838435028696893E-3</v>
      </c>
      <c r="K1084" s="2">
        <f t="shared" ca="1" si="1001"/>
        <v>8.5838435028696893E-3</v>
      </c>
      <c r="L1084" s="2">
        <f t="shared" ca="1" si="1002"/>
        <v>0.6494462276802847</v>
      </c>
      <c r="M1084" s="2">
        <f t="shared" ca="1" si="1003"/>
        <v>7.676516532996557E-3</v>
      </c>
      <c r="N1084" s="2">
        <f t="shared" ca="1" si="1004"/>
        <v>7.676516532996557E-3</v>
      </c>
      <c r="O1084" s="2">
        <f t="shared" si="1005"/>
        <v>6000000</v>
      </c>
      <c r="P1084" s="2">
        <f t="shared" ca="1" si="1006"/>
        <v>41065524.899268597</v>
      </c>
      <c r="Q1084" s="2">
        <f t="shared" ca="1" si="1007"/>
        <v>1026638.1224817149</v>
      </c>
      <c r="R1084" s="2">
        <f t="shared" ca="1" si="1008"/>
        <v>24639314.939561158</v>
      </c>
      <c r="S1084" s="2">
        <f t="shared" ca="1" si="1009"/>
        <v>16426209.959707439</v>
      </c>
      <c r="T1084" s="2">
        <f t="shared" ca="1" si="1010"/>
        <v>50383825.82664983</v>
      </c>
      <c r="U1084" s="2">
        <f t="shared" ca="1" si="1011"/>
        <v>54282509.14252378</v>
      </c>
      <c r="V1084" s="2">
        <f t="shared" ca="1" si="1012"/>
        <v>58482871.248130172</v>
      </c>
      <c r="W1084" s="2">
        <f t="shared" ca="1" si="1013"/>
        <v>63008255.945671119</v>
      </c>
      <c r="X1084" s="2">
        <f t="shared" ca="1" si="1014"/>
        <v>67883813.372828051</v>
      </c>
      <c r="Y1084" s="2">
        <f t="shared" ca="1" si="1015"/>
        <v>0.12429192175143484</v>
      </c>
      <c r="Z1084" s="2">
        <f t="shared" ca="1" si="1016"/>
        <v>0.12600869045200877</v>
      </c>
      <c r="AA1084" s="2">
        <f t="shared" ca="1" si="1017"/>
        <v>6262302.5371838827</v>
      </c>
      <c r="AB1084" s="2">
        <f t="shared" ca="1" si="1018"/>
        <v>6840067.891498615</v>
      </c>
      <c r="AC1084" s="2">
        <f t="shared" ca="1" si="1019"/>
        <v>7369350.0198503183</v>
      </c>
      <c r="AD1084" s="2">
        <f t="shared" ca="1" si="1020"/>
        <v>7939587.819379013</v>
      </c>
      <c r="AE1084" s="2">
        <f t="shared" ca="1" si="1021"/>
        <v>8553950.4259986226</v>
      </c>
      <c r="AF1084" s="2">
        <f t="shared" ca="1" si="1022"/>
        <v>1007676.5165329967</v>
      </c>
      <c r="AG1084" s="2">
        <f t="shared" ca="1" si="1023"/>
        <v>1085650.1828504757</v>
      </c>
      <c r="AH1084" s="2">
        <f t="shared" ca="1" si="1024"/>
        <v>1169657.4249626035</v>
      </c>
      <c r="AI1084" s="2">
        <f t="shared" ca="1" si="1025"/>
        <v>1260165.1189134223</v>
      </c>
      <c r="AJ1084" s="2">
        <f t="shared" ca="1" si="1026"/>
        <v>1357676.2674565611</v>
      </c>
      <c r="AK1084" s="2">
        <f t="shared" ca="1" si="1027"/>
        <v>0</v>
      </c>
      <c r="AL1084" s="2">
        <f t="shared" ca="1" si="1028"/>
        <v>38986.833158739508</v>
      </c>
      <c r="AM1084" s="2">
        <f t="shared" ca="1" si="1029"/>
        <v>42003.621056063923</v>
      </c>
      <c r="AN1084" s="2">
        <f t="shared" ca="1" si="1030"/>
        <v>45253.846975409462</v>
      </c>
      <c r="AO1084" s="2">
        <f t="shared" ca="1" si="1031"/>
        <v>48755.574271569327</v>
      </c>
      <c r="AP1084" s="2">
        <f t="shared" ca="1" si="1032"/>
        <v>2217538.344560504</v>
      </c>
      <c r="AQ1084" s="2">
        <f t="shared" ca="1" si="1033"/>
        <v>789642.79578349937</v>
      </c>
      <c r="AR1084" s="2">
        <f t="shared" ca="1" si="1034"/>
        <v>919588.63466278533</v>
      </c>
      <c r="AS1084" s="2">
        <f t="shared" ca="1" si="1035"/>
        <v>1035360.1050850749</v>
      </c>
      <c r="AT1084" s="2">
        <f t="shared" ca="1" si="1036"/>
        <v>1160089.9325353226</v>
      </c>
      <c r="AU1084" s="2">
        <f t="shared" ca="1" si="1037"/>
        <v>1294471.3116352048</v>
      </c>
      <c r="AV1084" s="2">
        <f t="shared" ca="1" si="1038"/>
        <v>2247444.8803068828</v>
      </c>
      <c r="AW1084" s="2">
        <f t="shared" ca="1" si="1039"/>
        <v>2578303.8962661102</v>
      </c>
      <c r="AX1084" s="2">
        <f t="shared" ca="1" si="1040"/>
        <v>2904790.5241860719</v>
      </c>
      <c r="AY1084" s="2">
        <f t="shared" ca="1" si="1041"/>
        <v>3256540.5763943549</v>
      </c>
      <c r="AZ1084" s="2">
        <f t="shared" ca="1" si="1042"/>
        <v>3635508.9280747836</v>
      </c>
      <c r="BA1084" s="2">
        <f t="shared" ca="1" si="1043"/>
        <v>64733351.5580808</v>
      </c>
      <c r="BB1084" s="2">
        <f t="shared" ca="1" si="1044"/>
        <v>1294667.0311616161</v>
      </c>
      <c r="BC1084" s="2">
        <f t="shared" ca="1" si="1045"/>
        <v>38799369.587358028</v>
      </c>
      <c r="BD1084" s="2">
        <f t="shared" ca="1" si="1046"/>
        <v>-17952848.082189154</v>
      </c>
      <c r="BE1084" s="2">
        <f t="shared" ca="1" si="1047"/>
        <v>2247444.8803068828</v>
      </c>
      <c r="BF1084" s="2">
        <f t="shared" ca="1" si="1048"/>
        <v>2578303.8962661102</v>
      </c>
      <c r="BG1084" s="2">
        <f t="shared" ca="1" si="1049"/>
        <v>2904790.5241860719</v>
      </c>
      <c r="BH1084" s="2">
        <f t="shared" ca="1" si="1050"/>
        <v>3256540.5763943549</v>
      </c>
      <c r="BI1084" s="2">
        <f t="shared" ca="1" si="1051"/>
        <v>42434878.515432812</v>
      </c>
      <c r="BJ1084" s="2">
        <f t="shared" ca="1" si="1052"/>
        <v>0.28556677262371633</v>
      </c>
      <c r="BK1084" s="2">
        <f t="shared" ca="1" si="1053"/>
        <v>14325059.830261335</v>
      </c>
    </row>
    <row r="1085" spans="1:63" x14ac:dyDescent="0.3">
      <c r="A1085" s="2">
        <v>1084</v>
      </c>
      <c r="B1085" s="2">
        <f t="shared" ca="1" si="992"/>
        <v>0.19055910516657693</v>
      </c>
      <c r="C1085" s="2">
        <f t="shared" ca="1" si="993"/>
        <v>6.6173477223843573</v>
      </c>
      <c r="D1085" s="2">
        <f t="shared" ca="1" si="994"/>
        <v>0.1328452185886041</v>
      </c>
      <c r="E1085" s="2">
        <f t="shared" ca="1" si="995"/>
        <v>7.0154516826795774</v>
      </c>
      <c r="F1085" s="2">
        <f t="shared" ca="1" si="996"/>
        <v>0.31916150339974303</v>
      </c>
      <c r="G1085" s="2">
        <f t="shared" ca="1" si="997"/>
        <v>2.589865584406709E-2</v>
      </c>
      <c r="H1085" s="2">
        <f t="shared" ca="1" si="998"/>
        <v>2.589865584406709E-2</v>
      </c>
      <c r="I1085" s="2">
        <f t="shared" ca="1" si="999"/>
        <v>0.72226901575746927</v>
      </c>
      <c r="J1085" s="2">
        <f t="shared" ca="1" si="1000"/>
        <v>1.2947976760763074E-2</v>
      </c>
      <c r="K1085" s="2">
        <f t="shared" ca="1" si="1001"/>
        <v>1.2947976760763074E-2</v>
      </c>
      <c r="L1085" s="2">
        <f t="shared" ca="1" si="1002"/>
        <v>0.99662541195588905</v>
      </c>
      <c r="M1085" s="2">
        <f t="shared" ca="1" si="1003"/>
        <v>5.4179466986671782E-2</v>
      </c>
      <c r="N1085" s="2">
        <f t="shared" ca="1" si="1004"/>
        <v>0.05</v>
      </c>
      <c r="O1085" s="2">
        <f t="shared" si="1005"/>
        <v>6000000</v>
      </c>
      <c r="P1085" s="2">
        <f t="shared" ca="1" si="1006"/>
        <v>39704086.334306143</v>
      </c>
      <c r="Q1085" s="2">
        <f t="shared" ca="1" si="1007"/>
        <v>992602.15835765365</v>
      </c>
      <c r="R1085" s="2">
        <f t="shared" ca="1" si="1008"/>
        <v>23822451.800583687</v>
      </c>
      <c r="S1085" s="2">
        <f t="shared" ca="1" si="1009"/>
        <v>15881634.533722458</v>
      </c>
      <c r="T1085" s="2">
        <f t="shared" ca="1" si="1010"/>
        <v>52500000</v>
      </c>
      <c r="U1085" s="2">
        <f t="shared" ca="1" si="1011"/>
        <v>53859679.431813516</v>
      </c>
      <c r="V1085" s="2">
        <f t="shared" ca="1" si="1012"/>
        <v>55254572.73328983</v>
      </c>
      <c r="W1085" s="2">
        <f t="shared" ca="1" si="1013"/>
        <v>56685591.896320276</v>
      </c>
      <c r="X1085" s="2">
        <f t="shared" ca="1" si="1014"/>
        <v>58153672.532160312</v>
      </c>
      <c r="Y1085" s="2">
        <f t="shared" ca="1" si="1015"/>
        <v>0.12647398838038154</v>
      </c>
      <c r="Z1085" s="2">
        <f t="shared" ca="1" si="1016"/>
        <v>0.12906358373253415</v>
      </c>
      <c r="AA1085" s="2">
        <f t="shared" ca="1" si="1017"/>
        <v>6639884.3899700306</v>
      </c>
      <c r="AB1085" s="2">
        <f t="shared" ca="1" si="1018"/>
        <v>6951323.2461553114</v>
      </c>
      <c r="AC1085" s="2">
        <f t="shared" ca="1" si="1019"/>
        <v>7131353.1745683504</v>
      </c>
      <c r="AD1085" s="2">
        <f t="shared" ca="1" si="1020"/>
        <v>7316045.6361389915</v>
      </c>
      <c r="AE1085" s="2">
        <f t="shared" ca="1" si="1021"/>
        <v>7505521.384208844</v>
      </c>
      <c r="AF1085" s="2">
        <f t="shared" ca="1" si="1022"/>
        <v>1050000</v>
      </c>
      <c r="AG1085" s="2">
        <f t="shared" ca="1" si="1023"/>
        <v>1077193.5886362703</v>
      </c>
      <c r="AH1085" s="2">
        <f t="shared" ca="1" si="1024"/>
        <v>1105091.4546657966</v>
      </c>
      <c r="AI1085" s="2">
        <f t="shared" ca="1" si="1025"/>
        <v>1133711.8379264055</v>
      </c>
      <c r="AJ1085" s="2">
        <f t="shared" ca="1" si="1026"/>
        <v>1163073.4506432062</v>
      </c>
      <c r="AK1085" s="2">
        <f t="shared" ca="1" si="1027"/>
        <v>0</v>
      </c>
      <c r="AL1085" s="2">
        <f t="shared" ca="1" si="1028"/>
        <v>13596.794318135158</v>
      </c>
      <c r="AM1085" s="2">
        <f t="shared" ca="1" si="1029"/>
        <v>13948.933014763146</v>
      </c>
      <c r="AN1085" s="2">
        <f t="shared" ca="1" si="1030"/>
        <v>14310.191630304456</v>
      </c>
      <c r="AO1085" s="2">
        <f t="shared" ca="1" si="1031"/>
        <v>14680.806358400359</v>
      </c>
      <c r="AP1085" s="2">
        <f t="shared" ca="1" si="1032"/>
        <v>2144020.6620525317</v>
      </c>
      <c r="AQ1085" s="2">
        <f t="shared" ca="1" si="1033"/>
        <v>895924.56925854972</v>
      </c>
      <c r="AR1085" s="2">
        <f t="shared" ca="1" si="1034"/>
        <v>969828.33882129239</v>
      </c>
      <c r="AS1085" s="2">
        <f t="shared" ca="1" si="1035"/>
        <v>1009382.6750410057</v>
      </c>
      <c r="AT1085" s="2">
        <f t="shared" ca="1" si="1036"/>
        <v>1049961.415401614</v>
      </c>
      <c r="AU1085" s="2">
        <f t="shared" ca="1" si="1037"/>
        <v>1091591.0905934076</v>
      </c>
      <c r="AV1085" s="2">
        <f t="shared" ca="1" si="1038"/>
        <v>2549939.1586589487</v>
      </c>
      <c r="AW1085" s="2">
        <f t="shared" ca="1" si="1039"/>
        <v>2746683.8623270812</v>
      </c>
      <c r="AX1085" s="2">
        <f t="shared" ca="1" si="1040"/>
        <v>2858909.4497942524</v>
      </c>
      <c r="AY1085" s="2">
        <f t="shared" ca="1" si="1041"/>
        <v>2974041.5291281352</v>
      </c>
      <c r="AZ1085" s="2">
        <f t="shared" ca="1" si="1042"/>
        <v>3092155.3745612977</v>
      </c>
      <c r="BA1085" s="2">
        <f t="shared" ca="1" si="1043"/>
        <v>52654622.624235488</v>
      </c>
      <c r="BB1085" s="2">
        <f t="shared" ca="1" si="1044"/>
        <v>1053092.4524847097</v>
      </c>
      <c r="BC1085" s="2">
        <f t="shared" ca="1" si="1045"/>
        <v>27779078.371167094</v>
      </c>
      <c r="BD1085" s="2">
        <f t="shared" ca="1" si="1046"/>
        <v>-17374236.69208011</v>
      </c>
      <c r="BE1085" s="2">
        <f t="shared" ca="1" si="1047"/>
        <v>2549939.1586589487</v>
      </c>
      <c r="BF1085" s="2">
        <f t="shared" ca="1" si="1048"/>
        <v>2746683.8623270812</v>
      </c>
      <c r="BG1085" s="2">
        <f t="shared" ca="1" si="1049"/>
        <v>2858909.4497942524</v>
      </c>
      <c r="BH1085" s="2">
        <f t="shared" ca="1" si="1050"/>
        <v>2974041.5291281352</v>
      </c>
      <c r="BI1085" s="2">
        <f t="shared" ca="1" si="1051"/>
        <v>30871233.745728392</v>
      </c>
      <c r="BJ1085" s="2">
        <f t="shared" ca="1" si="1052"/>
        <v>0.23558787240097145</v>
      </c>
      <c r="BK1085" s="2">
        <f t="shared" ca="1" si="1053"/>
        <v>8534273.7890259102</v>
      </c>
    </row>
    <row r="1086" spans="1:63" x14ac:dyDescent="0.3">
      <c r="A1086" s="2">
        <v>1085</v>
      </c>
      <c r="B1086" s="2">
        <f t="shared" ca="1" si="992"/>
        <v>0.40172786367606106</v>
      </c>
      <c r="C1086" s="2">
        <f t="shared" ca="1" si="993"/>
        <v>6.8963569196208185</v>
      </c>
      <c r="D1086" s="2">
        <f t="shared" ca="1" si="994"/>
        <v>0.12172885621620899</v>
      </c>
      <c r="E1086" s="2">
        <f t="shared" ca="1" si="995"/>
        <v>6.9934143415350007</v>
      </c>
      <c r="F1086" s="2">
        <f t="shared" ca="1" si="996"/>
        <v>0.86779143064619513</v>
      </c>
      <c r="G1086" s="2">
        <f t="shared" ca="1" si="997"/>
        <v>7.3480350142617695E-2</v>
      </c>
      <c r="H1086" s="2">
        <f t="shared" ca="1" si="998"/>
        <v>7.3480350142617695E-2</v>
      </c>
      <c r="I1086" s="2">
        <f t="shared" ca="1" si="999"/>
        <v>0.58029313549642292</v>
      </c>
      <c r="J1086" s="2">
        <f t="shared" ca="1" si="1000"/>
        <v>1.1013217232820048E-2</v>
      </c>
      <c r="K1086" s="2">
        <f t="shared" ca="1" si="1001"/>
        <v>1.1013217232820048E-2</v>
      </c>
      <c r="L1086" s="2">
        <f t="shared" ca="1" si="1002"/>
        <v>0.15700063658154961</v>
      </c>
      <c r="M1086" s="2">
        <f t="shared" ca="1" si="1003"/>
        <v>-2.0137232595966188E-2</v>
      </c>
      <c r="N1086" s="2">
        <f t="shared" ca="1" si="1004"/>
        <v>-2.0137232595966188E-2</v>
      </c>
      <c r="O1086" s="2">
        <f t="shared" si="1005"/>
        <v>6000000</v>
      </c>
      <c r="P1086" s="2">
        <f t="shared" ca="1" si="1006"/>
        <v>41378141.517724909</v>
      </c>
      <c r="Q1086" s="2">
        <f t="shared" ca="1" si="1007"/>
        <v>1034453.5379431228</v>
      </c>
      <c r="R1086" s="2">
        <f t="shared" ca="1" si="1008"/>
        <v>24826884.910634946</v>
      </c>
      <c r="S1086" s="2">
        <f t="shared" ca="1" si="1009"/>
        <v>16551256.607089965</v>
      </c>
      <c r="T1086" s="2">
        <f t="shared" ca="1" si="1010"/>
        <v>48993138.370201692</v>
      </c>
      <c r="U1086" s="2">
        <f t="shared" ca="1" si="1011"/>
        <v>52593171.332229838</v>
      </c>
      <c r="V1086" s="2">
        <f t="shared" ca="1" si="1012"/>
        <v>56457735.976832777</v>
      </c>
      <c r="W1086" s="2">
        <f t="shared" ca="1" si="1013"/>
        <v>60606270.184669919</v>
      </c>
      <c r="X1086" s="2">
        <f t="shared" ca="1" si="1014"/>
        <v>65059640.13867756</v>
      </c>
      <c r="Y1086" s="2">
        <f t="shared" ca="1" si="1015"/>
        <v>0.12550660861641003</v>
      </c>
      <c r="Z1086" s="2">
        <f t="shared" ca="1" si="1016"/>
        <v>0.12770925206297404</v>
      </c>
      <c r="AA1086" s="2">
        <f t="shared" ca="1" si="1017"/>
        <v>6148962.6423185244</v>
      </c>
      <c r="AB1086" s="2">
        <f t="shared" ca="1" si="1018"/>
        <v>6716634.5744589204</v>
      </c>
      <c r="AC1086" s="2">
        <f t="shared" ca="1" si="1019"/>
        <v>7210175.2347701751</v>
      </c>
      <c r="AD1086" s="2">
        <f t="shared" ca="1" si="1020"/>
        <v>7739981.435610719</v>
      </c>
      <c r="AE1086" s="2">
        <f t="shared" ca="1" si="1021"/>
        <v>8308717.9815967558</v>
      </c>
      <c r="AF1086" s="2">
        <f t="shared" ca="1" si="1022"/>
        <v>979862.7674040338</v>
      </c>
      <c r="AG1086" s="2">
        <f t="shared" ca="1" si="1023"/>
        <v>1051863.4266445967</v>
      </c>
      <c r="AH1086" s="2">
        <f t="shared" ca="1" si="1024"/>
        <v>1129154.7195366556</v>
      </c>
      <c r="AI1086" s="2">
        <f t="shared" ca="1" si="1025"/>
        <v>1212125.4036933985</v>
      </c>
      <c r="AJ1086" s="2">
        <f t="shared" ca="1" si="1026"/>
        <v>1301192.8027735513</v>
      </c>
      <c r="AK1086" s="2">
        <f t="shared" ca="1" si="1027"/>
        <v>0</v>
      </c>
      <c r="AL1086" s="2">
        <f t="shared" ca="1" si="1028"/>
        <v>36000.32962028146</v>
      </c>
      <c r="AM1086" s="2">
        <f t="shared" ca="1" si="1029"/>
        <v>38645.646446029394</v>
      </c>
      <c r="AN1086" s="2">
        <f t="shared" ca="1" si="1030"/>
        <v>41485.342078371425</v>
      </c>
      <c r="AO1086" s="2">
        <f t="shared" ca="1" si="1031"/>
        <v>44533.699540076406</v>
      </c>
      <c r="AP1086" s="2">
        <f t="shared" ca="1" si="1032"/>
        <v>2234419.6419571452</v>
      </c>
      <c r="AQ1086" s="2">
        <f t="shared" ca="1" si="1033"/>
        <v>763016.86056890979</v>
      </c>
      <c r="AR1086" s="2">
        <f t="shared" ca="1" si="1034"/>
        <v>891891.39152286656</v>
      </c>
      <c r="AS1086" s="2">
        <f t="shared" ca="1" si="1035"/>
        <v>1000116.2270518574</v>
      </c>
      <c r="AT1086" s="2">
        <f t="shared" ca="1" si="1036"/>
        <v>1116293.4613896457</v>
      </c>
      <c r="AU1086" s="2">
        <f t="shared" ca="1" si="1037"/>
        <v>1241007.4395851756</v>
      </c>
      <c r="AV1086" s="2">
        <f t="shared" ca="1" si="1038"/>
        <v>2171663.3723884355</v>
      </c>
      <c r="AW1086" s="2">
        <f t="shared" ca="1" si="1039"/>
        <v>2502459.784714031</v>
      </c>
      <c r="AX1086" s="2">
        <f t="shared" ca="1" si="1040"/>
        <v>2807838.9997784868</v>
      </c>
      <c r="AY1086" s="2">
        <f t="shared" ca="1" si="1041"/>
        <v>3135657.5864921585</v>
      </c>
      <c r="AZ1086" s="2">
        <f t="shared" ca="1" si="1042"/>
        <v>3487564.3977408074</v>
      </c>
      <c r="BA1086" s="2">
        <f t="shared" ca="1" si="1043"/>
        <v>58106307.492268495</v>
      </c>
      <c r="BB1086" s="2">
        <f t="shared" ca="1" si="1044"/>
        <v>1162126.1498453699</v>
      </c>
      <c r="BC1086" s="2">
        <f t="shared" ca="1" si="1045"/>
        <v>32117296.43178818</v>
      </c>
      <c r="BD1086" s="2">
        <f t="shared" ca="1" si="1046"/>
        <v>-18085710.145033088</v>
      </c>
      <c r="BE1086" s="2">
        <f t="shared" ca="1" si="1047"/>
        <v>2171663.3723884355</v>
      </c>
      <c r="BF1086" s="2">
        <f t="shared" ca="1" si="1048"/>
        <v>2502459.784714031</v>
      </c>
      <c r="BG1086" s="2">
        <f t="shared" ca="1" si="1049"/>
        <v>2807838.9997784868</v>
      </c>
      <c r="BH1086" s="2">
        <f t="shared" ca="1" si="1050"/>
        <v>3135657.5864921585</v>
      </c>
      <c r="BI1086" s="2">
        <f t="shared" ca="1" si="1051"/>
        <v>35604860.829528987</v>
      </c>
      <c r="BJ1086" s="2">
        <f t="shared" ca="1" si="1052"/>
        <v>0.24393286024636796</v>
      </c>
      <c r="BK1086" s="2">
        <f t="shared" ca="1" si="1053"/>
        <v>10042706.279860292</v>
      </c>
    </row>
    <row r="1087" spans="1:63" x14ac:dyDescent="0.3">
      <c r="A1087" s="2">
        <v>1086</v>
      </c>
      <c r="B1087" s="2">
        <f t="shared" ca="1" si="992"/>
        <v>0.11579780110810012</v>
      </c>
      <c r="C1087" s="2">
        <f t="shared" ca="1" si="993"/>
        <v>6.4812438074575089</v>
      </c>
      <c r="D1087" s="2">
        <f t="shared" ca="1" si="994"/>
        <v>0.5179676678119487</v>
      </c>
      <c r="E1087" s="2">
        <f t="shared" ca="1" si="995"/>
        <v>7.5181320534939013</v>
      </c>
      <c r="F1087" s="2">
        <f t="shared" ca="1" si="996"/>
        <v>0.50986286870291819</v>
      </c>
      <c r="G1087" s="2">
        <f t="shared" ca="1" si="997"/>
        <v>4.0741751935583527E-2</v>
      </c>
      <c r="H1087" s="2">
        <f t="shared" ca="1" si="998"/>
        <v>4.0741751935583527E-2</v>
      </c>
      <c r="I1087" s="2">
        <f t="shared" ca="1" si="999"/>
        <v>0.18822828704649996</v>
      </c>
      <c r="J1087" s="2">
        <f t="shared" ca="1" si="1000"/>
        <v>5.5777799475599235E-3</v>
      </c>
      <c r="K1087" s="2">
        <f t="shared" ca="1" si="1001"/>
        <v>5.5777799475599235E-3</v>
      </c>
      <c r="L1087" s="2">
        <f t="shared" ca="1" si="1002"/>
        <v>0.64433370910945476</v>
      </c>
      <c r="M1087" s="2">
        <f t="shared" ca="1" si="1003"/>
        <v>7.4013396714930537E-3</v>
      </c>
      <c r="N1087" s="2">
        <f t="shared" ca="1" si="1004"/>
        <v>7.4013396714930537E-3</v>
      </c>
      <c r="O1087" s="2">
        <f t="shared" si="1005"/>
        <v>6000000</v>
      </c>
      <c r="P1087" s="2">
        <f t="shared" ca="1" si="1006"/>
        <v>38887462.844745055</v>
      </c>
      <c r="Q1087" s="2">
        <f t="shared" ca="1" si="1007"/>
        <v>972186.57111862639</v>
      </c>
      <c r="R1087" s="2">
        <f t="shared" ca="1" si="1008"/>
        <v>23332477.706847031</v>
      </c>
      <c r="S1087" s="2">
        <f t="shared" ca="1" si="1009"/>
        <v>15554985.137898022</v>
      </c>
      <c r="T1087" s="2">
        <f t="shared" ca="1" si="1010"/>
        <v>50370066.983574659</v>
      </c>
      <c r="U1087" s="2">
        <f t="shared" ca="1" si="1011"/>
        <v>52422231.757598184</v>
      </c>
      <c r="V1087" s="2">
        <f t="shared" ca="1" si="1012"/>
        <v>54558005.319775917</v>
      </c>
      <c r="W1087" s="2">
        <f t="shared" ca="1" si="1013"/>
        <v>56780794.038614474</v>
      </c>
      <c r="X1087" s="2">
        <f t="shared" ca="1" si="1014"/>
        <v>59094143.06404116</v>
      </c>
      <c r="Y1087" s="2">
        <f t="shared" ca="1" si="1015"/>
        <v>0.12278888997377996</v>
      </c>
      <c r="Z1087" s="2">
        <f t="shared" ca="1" si="1016"/>
        <v>0.12390444596329195</v>
      </c>
      <c r="AA1087" s="2">
        <f t="shared" ca="1" si="1017"/>
        <v>6184884.6128180753</v>
      </c>
      <c r="AB1087" s="2">
        <f t="shared" ca="1" si="1018"/>
        <v>6495347.5820844909</v>
      </c>
      <c r="AC1087" s="2">
        <f t="shared" ca="1" si="1019"/>
        <v>6759979.4220091701</v>
      </c>
      <c r="AD1087" s="2">
        <f t="shared" ca="1" si="1020"/>
        <v>7035392.8267103164</v>
      </c>
      <c r="AE1087" s="2">
        <f t="shared" ca="1" si="1021"/>
        <v>7322027.0560255311</v>
      </c>
      <c r="AF1087" s="2">
        <f t="shared" ca="1" si="1022"/>
        <v>1007401.3396714932</v>
      </c>
      <c r="AG1087" s="2">
        <f t="shared" ca="1" si="1023"/>
        <v>1048444.6351519637</v>
      </c>
      <c r="AH1087" s="2">
        <f t="shared" ca="1" si="1024"/>
        <v>1091160.1063955184</v>
      </c>
      <c r="AI1087" s="2">
        <f t="shared" ca="1" si="1025"/>
        <v>1135615.8807722896</v>
      </c>
      <c r="AJ1087" s="2">
        <f t="shared" ca="1" si="1026"/>
        <v>1181882.8612808231</v>
      </c>
      <c r="AK1087" s="2">
        <f t="shared" ca="1" si="1027"/>
        <v>0</v>
      </c>
      <c r="AL1087" s="2">
        <f t="shared" ca="1" si="1028"/>
        <v>20521.647740235254</v>
      </c>
      <c r="AM1087" s="2">
        <f t="shared" ca="1" si="1029"/>
        <v>21357.735621777327</v>
      </c>
      <c r="AN1087" s="2">
        <f t="shared" ca="1" si="1030"/>
        <v>22227.887188385575</v>
      </c>
      <c r="AO1087" s="2">
        <f t="shared" ca="1" si="1031"/>
        <v>23133.490254266857</v>
      </c>
      <c r="AP1087" s="2">
        <f t="shared" ca="1" si="1032"/>
        <v>2099922.9936162326</v>
      </c>
      <c r="AQ1087" s="2">
        <f t="shared" ca="1" si="1033"/>
        <v>800165.67267789086</v>
      </c>
      <c r="AR1087" s="2">
        <f t="shared" ca="1" si="1034"/>
        <v>870214.78786223661</v>
      </c>
      <c r="AS1087" s="2">
        <f t="shared" ca="1" si="1035"/>
        <v>927913.04371932894</v>
      </c>
      <c r="AT1087" s="2">
        <f t="shared" ca="1" si="1036"/>
        <v>987962.02760366641</v>
      </c>
      <c r="AU1087" s="2">
        <f t="shared" ca="1" si="1037"/>
        <v>1050457.5122934037</v>
      </c>
      <c r="AV1087" s="2">
        <f t="shared" ca="1" si="1038"/>
        <v>2277394.6068524588</v>
      </c>
      <c r="AW1087" s="2">
        <f t="shared" ca="1" si="1039"/>
        <v>2456243.5177138224</v>
      </c>
      <c r="AX1087" s="2">
        <f t="shared" ca="1" si="1040"/>
        <v>2619625.5426563127</v>
      </c>
      <c r="AY1087" s="2">
        <f t="shared" ca="1" si="1041"/>
        <v>2789664.0375297423</v>
      </c>
      <c r="AZ1087" s="2">
        <f t="shared" ca="1" si="1042"/>
        <v>2966630.1985808043</v>
      </c>
      <c r="BA1087" s="2">
        <f t="shared" ca="1" si="1043"/>
        <v>55047966.306455128</v>
      </c>
      <c r="BB1087" s="2">
        <f t="shared" ca="1" si="1044"/>
        <v>1100959.3261291026</v>
      </c>
      <c r="BC1087" s="2">
        <f t="shared" ca="1" si="1045"/>
        <v>30614529.273478996</v>
      </c>
      <c r="BD1087" s="2">
        <f t="shared" ca="1" si="1046"/>
        <v>-17027171.709016651</v>
      </c>
      <c r="BE1087" s="2">
        <f t="shared" ca="1" si="1047"/>
        <v>2277394.6068524588</v>
      </c>
      <c r="BF1087" s="2">
        <f t="shared" ca="1" si="1048"/>
        <v>2456243.5177138224</v>
      </c>
      <c r="BG1087" s="2">
        <f t="shared" ca="1" si="1049"/>
        <v>2619625.5426563127</v>
      </c>
      <c r="BH1087" s="2">
        <f t="shared" ca="1" si="1050"/>
        <v>2789664.0375297423</v>
      </c>
      <c r="BI1087" s="2">
        <f t="shared" ca="1" si="1051"/>
        <v>33581159.472059801</v>
      </c>
      <c r="BJ1087" s="2">
        <f t="shared" ca="1" si="1052"/>
        <v>0.24736369829703819</v>
      </c>
      <c r="BK1087" s="2">
        <f t="shared" ca="1" si="1053"/>
        <v>9656650.0039837025</v>
      </c>
    </row>
    <row r="1088" spans="1:63" x14ac:dyDescent="0.3">
      <c r="A1088" s="2">
        <v>1087</v>
      </c>
      <c r="B1088" s="2">
        <f t="shared" ca="1" si="992"/>
        <v>0.88373132659972675</v>
      </c>
      <c r="C1088" s="2">
        <f t="shared" ca="1" si="993"/>
        <v>7.5177787366772941</v>
      </c>
      <c r="D1088" s="2">
        <f t="shared" ca="1" si="994"/>
        <v>0.26275039020819357</v>
      </c>
      <c r="E1088" s="2">
        <f t="shared" ca="1" si="995"/>
        <v>7.2249143262595847</v>
      </c>
      <c r="F1088" s="2">
        <f t="shared" ca="1" si="996"/>
        <v>0.33575711454918855</v>
      </c>
      <c r="G1088" s="2">
        <f t="shared" ca="1" si="997"/>
        <v>2.7277878015583248E-2</v>
      </c>
      <c r="H1088" s="2">
        <f t="shared" ca="1" si="998"/>
        <v>2.7277878015583248E-2</v>
      </c>
      <c r="I1088" s="2">
        <f t="shared" ca="1" si="999"/>
        <v>5.6763907947856573E-2</v>
      </c>
      <c r="J1088" s="2">
        <f t="shared" ca="1" si="1000"/>
        <v>2.0873321696663703E-3</v>
      </c>
      <c r="K1088" s="2">
        <f t="shared" ca="1" si="1001"/>
        <v>2.0873321696663703E-3</v>
      </c>
      <c r="L1088" s="2">
        <f t="shared" ca="1" si="1002"/>
        <v>0.541865681266679</v>
      </c>
      <c r="M1088" s="2">
        <f t="shared" ca="1" si="1003"/>
        <v>2.1027012537045355E-3</v>
      </c>
      <c r="N1088" s="2">
        <f t="shared" ca="1" si="1004"/>
        <v>2.1027012537045355E-3</v>
      </c>
      <c r="O1088" s="2">
        <f t="shared" si="1005"/>
        <v>6000000</v>
      </c>
      <c r="P1088" s="2">
        <f t="shared" ca="1" si="1006"/>
        <v>45106672.420063764</v>
      </c>
      <c r="Q1088" s="2">
        <f t="shared" ca="1" si="1007"/>
        <v>1127666.8105015941</v>
      </c>
      <c r="R1088" s="2">
        <f t="shared" ca="1" si="1008"/>
        <v>27064003.452038258</v>
      </c>
      <c r="S1088" s="2">
        <f t="shared" ca="1" si="1009"/>
        <v>18042668.968025506</v>
      </c>
      <c r="T1088" s="2">
        <f t="shared" ca="1" si="1010"/>
        <v>50105135.062685221</v>
      </c>
      <c r="U1088" s="2">
        <f t="shared" ca="1" si="1011"/>
        <v>51471896.824879475</v>
      </c>
      <c r="V1088" s="2">
        <f t="shared" ca="1" si="1012"/>
        <v>52875940.947699226</v>
      </c>
      <c r="W1088" s="2">
        <f t="shared" ca="1" si="1013"/>
        <v>54318284.414829753</v>
      </c>
      <c r="X1088" s="2">
        <f t="shared" ca="1" si="1014"/>
        <v>55799971.951113239</v>
      </c>
      <c r="Y1088" s="2">
        <f t="shared" ca="1" si="1015"/>
        <v>0.12104366608483318</v>
      </c>
      <c r="Z1088" s="2">
        <f t="shared" ca="1" si="1016"/>
        <v>0.12146113251876646</v>
      </c>
      <c r="AA1088" s="2">
        <f t="shared" ca="1" si="1017"/>
        <v>6064909.2376631368</v>
      </c>
      <c r="AB1088" s="2">
        <f t="shared" ca="1" si="1018"/>
        <v>6251834.8812389607</v>
      </c>
      <c r="AC1088" s="2">
        <f t="shared" ca="1" si="1019"/>
        <v>6422371.6705029653</v>
      </c>
      <c r="AD1088" s="2">
        <f t="shared" ca="1" si="1020"/>
        <v>6597560.3415016839</v>
      </c>
      <c r="AE1088" s="2">
        <f t="shared" ca="1" si="1021"/>
        <v>6777527.787697617</v>
      </c>
      <c r="AF1088" s="2">
        <f t="shared" ca="1" si="1022"/>
        <v>1002102.7012537045</v>
      </c>
      <c r="AG1088" s="2">
        <f t="shared" ca="1" si="1023"/>
        <v>1029437.9364975896</v>
      </c>
      <c r="AH1088" s="2">
        <f t="shared" ca="1" si="1024"/>
        <v>1057518.8189539846</v>
      </c>
      <c r="AI1088" s="2">
        <f t="shared" ca="1" si="1025"/>
        <v>1086365.6882965951</v>
      </c>
      <c r="AJ1088" s="2">
        <f t="shared" ca="1" si="1026"/>
        <v>1115999.4390222649</v>
      </c>
      <c r="AK1088" s="2">
        <f t="shared" ca="1" si="1027"/>
        <v>0</v>
      </c>
      <c r="AL1088" s="2">
        <f t="shared" ca="1" si="1028"/>
        <v>13667.617621942536</v>
      </c>
      <c r="AM1088" s="2">
        <f t="shared" ca="1" si="1029"/>
        <v>14040.441228197515</v>
      </c>
      <c r="AN1088" s="2">
        <f t="shared" ca="1" si="1030"/>
        <v>14423.434671305269</v>
      </c>
      <c r="AO1088" s="2">
        <f t="shared" ca="1" si="1031"/>
        <v>14816.875362834857</v>
      </c>
      <c r="AP1088" s="2">
        <f t="shared" ca="1" si="1032"/>
        <v>2435760.3106834432</v>
      </c>
      <c r="AQ1088" s="2">
        <f t="shared" ca="1" si="1033"/>
        <v>683032.01868875709</v>
      </c>
      <c r="AR1088" s="2">
        <f t="shared" ca="1" si="1034"/>
        <v>724525.52485506132</v>
      </c>
      <c r="AS1088" s="2">
        <f t="shared" ca="1" si="1035"/>
        <v>761564.06062503986</v>
      </c>
      <c r="AT1088" s="2">
        <f t="shared" ca="1" si="1036"/>
        <v>799612.92905562802</v>
      </c>
      <c r="AU1088" s="2">
        <f t="shared" ca="1" si="1037"/>
        <v>838699.68987789622</v>
      </c>
      <c r="AV1088" s="2">
        <f t="shared" ca="1" si="1038"/>
        <v>1944014.2070372319</v>
      </c>
      <c r="AW1088" s="2">
        <f t="shared" ca="1" si="1039"/>
        <v>2048443.491580924</v>
      </c>
      <c r="AX1088" s="2">
        <f t="shared" ca="1" si="1040"/>
        <v>2153488.0390122999</v>
      </c>
      <c r="AY1088" s="2">
        <f t="shared" ca="1" si="1041"/>
        <v>2261397.9787947126</v>
      </c>
      <c r="AZ1088" s="2">
        <f t="shared" ca="1" si="1042"/>
        <v>2372251.4727511769</v>
      </c>
      <c r="BA1088" s="2">
        <f t="shared" ca="1" si="1043"/>
        <v>48967057.609958939</v>
      </c>
      <c r="BB1088" s="2">
        <f t="shared" ca="1" si="1044"/>
        <v>979341.15219917882</v>
      </c>
      <c r="BC1088" s="2">
        <f t="shared" ca="1" si="1045"/>
        <v>20923713.005721502</v>
      </c>
      <c r="BD1088" s="2">
        <f t="shared" ca="1" si="1046"/>
        <v>-19670335.7785271</v>
      </c>
      <c r="BE1088" s="2">
        <f t="shared" ca="1" si="1047"/>
        <v>1944014.2070372319</v>
      </c>
      <c r="BF1088" s="2">
        <f t="shared" ca="1" si="1048"/>
        <v>2048443.491580924</v>
      </c>
      <c r="BG1088" s="2">
        <f t="shared" ca="1" si="1049"/>
        <v>2153488.0390122999</v>
      </c>
      <c r="BH1088" s="2">
        <f t="shared" ca="1" si="1050"/>
        <v>2261397.9787947126</v>
      </c>
      <c r="BI1088" s="2">
        <f t="shared" ca="1" si="1051"/>
        <v>23295964.47847268</v>
      </c>
      <c r="BJ1088" s="2">
        <f t="shared" ca="1" si="1052"/>
        <v>0.11845372424278278</v>
      </c>
      <c r="BK1088" s="2">
        <f t="shared" ca="1" si="1053"/>
        <v>-112876.77494509146</v>
      </c>
    </row>
    <row r="1089" spans="1:63" x14ac:dyDescent="0.3">
      <c r="A1089" s="2">
        <v>1088</v>
      </c>
      <c r="B1089" s="2">
        <f t="shared" ca="1" si="992"/>
        <v>0.1104307775266421</v>
      </c>
      <c r="C1089" s="2">
        <f t="shared" ca="1" si="993"/>
        <v>6.4699590993408727</v>
      </c>
      <c r="D1089" s="2">
        <f t="shared" ca="1" si="994"/>
        <v>0.70284494675271336</v>
      </c>
      <c r="E1089" s="2">
        <f t="shared" ca="1" si="995"/>
        <v>7.7290848902151588</v>
      </c>
      <c r="F1089" s="2">
        <f t="shared" ca="1" si="996"/>
        <v>0.43642448332555384</v>
      </c>
      <c r="G1089" s="2">
        <f t="shared" ca="1" si="997"/>
        <v>3.5198777218208036E-2</v>
      </c>
      <c r="H1089" s="2">
        <f t="shared" ca="1" si="998"/>
        <v>3.5198777218208036E-2</v>
      </c>
      <c r="I1089" s="2">
        <f t="shared" ca="1" si="999"/>
        <v>0.30630821056108581</v>
      </c>
      <c r="J1089" s="2">
        <f t="shared" ca="1" si="1000"/>
        <v>7.4682888437279989E-3</v>
      </c>
      <c r="K1089" s="2">
        <f t="shared" ca="1" si="1001"/>
        <v>7.4682888437279989E-3</v>
      </c>
      <c r="L1089" s="2">
        <f t="shared" ca="1" si="1002"/>
        <v>0.88954647026939493</v>
      </c>
      <c r="M1089" s="2">
        <f t="shared" ca="1" si="1003"/>
        <v>2.4482394848683725E-2</v>
      </c>
      <c r="N1089" s="2">
        <f t="shared" ca="1" si="1004"/>
        <v>2.4482394848683725E-2</v>
      </c>
      <c r="O1089" s="2">
        <f t="shared" si="1005"/>
        <v>6000000</v>
      </c>
      <c r="P1089" s="2">
        <f t="shared" ca="1" si="1006"/>
        <v>38819754.596045233</v>
      </c>
      <c r="Q1089" s="2">
        <f t="shared" ca="1" si="1007"/>
        <v>970493.8649011309</v>
      </c>
      <c r="R1089" s="2">
        <f t="shared" ca="1" si="1008"/>
        <v>23291852.757627141</v>
      </c>
      <c r="S1089" s="2">
        <f t="shared" ca="1" si="1009"/>
        <v>15527901.838418094</v>
      </c>
      <c r="T1089" s="2">
        <f t="shared" ca="1" si="1010"/>
        <v>51224119.742434181</v>
      </c>
      <c r="U1089" s="2">
        <f t="shared" ca="1" si="1011"/>
        <v>53027146.121446937</v>
      </c>
      <c r="V1089" s="2">
        <f t="shared" ca="1" si="1012"/>
        <v>54893636.824293114</v>
      </c>
      <c r="W1089" s="2">
        <f t="shared" ca="1" si="1013"/>
        <v>56825825.717568628</v>
      </c>
      <c r="X1089" s="2">
        <f t="shared" ca="1" si="1014"/>
        <v>58826025.297242045</v>
      </c>
      <c r="Y1089" s="2">
        <f t="shared" ca="1" si="1015"/>
        <v>0.12373414442186399</v>
      </c>
      <c r="Z1089" s="2">
        <f t="shared" ca="1" si="1016"/>
        <v>0.12522780219060958</v>
      </c>
      <c r="AA1089" s="2">
        <f t="shared" ca="1" si="1017"/>
        <v>6338172.6300932057</v>
      </c>
      <c r="AB1089" s="2">
        <f t="shared" ca="1" si="1018"/>
        <v>6640472.9652291071</v>
      </c>
      <c r="AC1089" s="2">
        <f t="shared" ca="1" si="1019"/>
        <v>6874209.4937557401</v>
      </c>
      <c r="AD1089" s="2">
        <f t="shared" ca="1" si="1020"/>
        <v>7116173.2622777391</v>
      </c>
      <c r="AE1089" s="2">
        <f t="shared" ca="1" si="1021"/>
        <v>7366653.8595828218</v>
      </c>
      <c r="AF1089" s="2">
        <f t="shared" ca="1" si="1022"/>
        <v>1024482.3948486836</v>
      </c>
      <c r="AG1089" s="2">
        <f t="shared" ca="1" si="1023"/>
        <v>1060542.9224289388</v>
      </c>
      <c r="AH1089" s="2">
        <f t="shared" ca="1" si="1024"/>
        <v>1097872.7364858624</v>
      </c>
      <c r="AI1089" s="2">
        <f t="shared" ca="1" si="1025"/>
        <v>1136516.5143513726</v>
      </c>
      <c r="AJ1089" s="2">
        <f t="shared" ca="1" si="1026"/>
        <v>1176520.5059448408</v>
      </c>
      <c r="AK1089" s="2">
        <f t="shared" ca="1" si="1027"/>
        <v>0</v>
      </c>
      <c r="AL1089" s="2">
        <f t="shared" ca="1" si="1028"/>
        <v>18030.263790127559</v>
      </c>
      <c r="AM1089" s="2">
        <f t="shared" ca="1" si="1029"/>
        <v>18664.90702846177</v>
      </c>
      <c r="AN1089" s="2">
        <f t="shared" ca="1" si="1030"/>
        <v>19321.888932755144</v>
      </c>
      <c r="AO1089" s="2">
        <f t="shared" ca="1" si="1031"/>
        <v>20001.995796734169</v>
      </c>
      <c r="AP1089" s="2">
        <f t="shared" ca="1" si="1032"/>
        <v>2096266.7481864425</v>
      </c>
      <c r="AQ1089" s="2">
        <f t="shared" ca="1" si="1033"/>
        <v>836530.10663510067</v>
      </c>
      <c r="AR1089" s="2">
        <f t="shared" ca="1" si="1034"/>
        <v>905752.45659956883</v>
      </c>
      <c r="AS1089" s="2">
        <f t="shared" ca="1" si="1035"/>
        <v>956818.20236169326</v>
      </c>
      <c r="AT1089" s="2">
        <f t="shared" ca="1" si="1036"/>
        <v>1009681.3999323803</v>
      </c>
      <c r="AU1089" s="2">
        <f t="shared" ca="1" si="1037"/>
        <v>1064405.3174174002</v>
      </c>
      <c r="AV1089" s="2">
        <f t="shared" ca="1" si="1038"/>
        <v>2380893.3804229782</v>
      </c>
      <c r="AW1089" s="2">
        <f t="shared" ca="1" si="1039"/>
        <v>2559880.5742240292</v>
      </c>
      <c r="AX1089" s="2">
        <f t="shared" ca="1" si="1040"/>
        <v>2704586.89969328</v>
      </c>
      <c r="AY1089" s="2">
        <f t="shared" ca="1" si="1041"/>
        <v>2854386.7108747889</v>
      </c>
      <c r="AZ1089" s="2">
        <f t="shared" ca="1" si="1042"/>
        <v>3009459.2922374043</v>
      </c>
      <c r="BA1089" s="2">
        <f t="shared" ca="1" si="1043"/>
        <v>56937493.037546769</v>
      </c>
      <c r="BB1089" s="2">
        <f t="shared" ca="1" si="1044"/>
        <v>1138749.8607509355</v>
      </c>
      <c r="BC1089" s="2">
        <f t="shared" ca="1" si="1045"/>
        <v>32506890.419168688</v>
      </c>
      <c r="BD1089" s="2">
        <f t="shared" ca="1" si="1046"/>
        <v>-16998395.703319225</v>
      </c>
      <c r="BE1089" s="2">
        <f t="shared" ca="1" si="1047"/>
        <v>2380893.3804229782</v>
      </c>
      <c r="BF1089" s="2">
        <f t="shared" ca="1" si="1048"/>
        <v>2559880.5742240292</v>
      </c>
      <c r="BG1089" s="2">
        <f t="shared" ca="1" si="1049"/>
        <v>2704586.89969328</v>
      </c>
      <c r="BH1089" s="2">
        <f t="shared" ca="1" si="1050"/>
        <v>2854386.7108747889</v>
      </c>
      <c r="BI1089" s="2">
        <f t="shared" ca="1" si="1051"/>
        <v>35516349.711406089</v>
      </c>
      <c r="BJ1089" s="2">
        <f t="shared" ca="1" si="1052"/>
        <v>0.26312704365752437</v>
      </c>
      <c r="BK1089" s="2">
        <f t="shared" ca="1" si="1053"/>
        <v>11060139.613367256</v>
      </c>
    </row>
    <row r="1090" spans="1:63" x14ac:dyDescent="0.3">
      <c r="A1090" s="2">
        <v>1089</v>
      </c>
      <c r="B1090" s="2">
        <f t="shared" ref="B1090:B1153" ca="1" si="1054">RAND()</f>
        <v>0.47296966140307051</v>
      </c>
      <c r="C1090" s="2">
        <f t="shared" ref="C1090:C1153" ca="1" si="1055">IF(B1090&lt;((P_Mode)-(P_Low))/((P_High)-(P_Low)), (P_Low)+SQRT(B1090*((P_High)-(P_Low))*((P_Mode)-(P_Low))), (P_High)-SQRT((1-B1090)*((P_High)-(P_Low))*((P_High)-(P_Mode))))</f>
        <v>6.9725941202814976</v>
      </c>
      <c r="D1090" s="2">
        <f t="shared" ref="D1090:D1153" ca="1" si="1056">RAND()</f>
        <v>0.7958492851931972</v>
      </c>
      <c r="E1090" s="2">
        <f t="shared" ref="E1090:E1153" ca="1" si="1057">IF(D1090&lt;((X_Mode)-(X_Low))/((X_High)-(X_Low)), (X_Low)+SQRT(D1090*((X_High)-(X_Low))*((X_Mode)-(X_Low))), (X_High)-SQRT((1-D1090)*((X_High)-(X_Low))*((X_High)-(X_Mode))))</f>
        <v>7.8610153134748799</v>
      </c>
      <c r="F1090" s="2">
        <f t="shared" ref="F1090:F1153" ca="1" si="1058">RAND()</f>
        <v>0.86867870014212356</v>
      </c>
      <c r="G1090" s="2">
        <f t="shared" ref="G1090:G1153" ca="1" si="1059">NORMINV(F1090, g_Mean, g_SD)</f>
        <v>7.3605010276719771E-2</v>
      </c>
      <c r="H1090" s="2">
        <f t="shared" ref="H1090:H1153" ca="1" si="1060">MIN(MAX(G1090, g_Min), g_Max)</f>
        <v>7.3605010276719771E-2</v>
      </c>
      <c r="I1090" s="2">
        <f t="shared" ref="I1090:I1153" ca="1" si="1061">RAND()</f>
        <v>0.48239151822174209</v>
      </c>
      <c r="J1090" s="2">
        <f t="shared" ref="J1090:J1153" ca="1" si="1062">NORMINV(I1090, syn_Mean, syn_SD)</f>
        <v>9.7792387033203716E-3</v>
      </c>
      <c r="K1090" s="2">
        <f t="shared" ref="K1090:K1153" ca="1" si="1063">MIN(MAX(J1090, syn_Min), syn_Max)</f>
        <v>9.7792387033203716E-3</v>
      </c>
      <c r="L1090" s="2">
        <f t="shared" ref="L1090:L1153" ca="1" si="1064">RAND()</f>
        <v>0.52111417431888052</v>
      </c>
      <c r="M1090" s="2">
        <f t="shared" ref="M1090:M1153" ca="1" si="1065">NORMINV(L1090, shk_Mean, shk_SD)</f>
        <v>1.0590023756392385E-3</v>
      </c>
      <c r="N1090" s="2">
        <f t="shared" ref="N1090:N1153" ca="1" si="1066">MIN(MAX(M1090, shk_Min), shk_Max)</f>
        <v>1.0590023756392385E-3</v>
      </c>
      <c r="O1090" s="2">
        <f t="shared" ref="O1090:O1153" si="1067">BaseRev*BaseMargin</f>
        <v>6000000</v>
      </c>
      <c r="P1090" s="2">
        <f t="shared" ref="P1090:P1153" ca="1" si="1068">O1090*C1090</f>
        <v>41835564.721688986</v>
      </c>
      <c r="Q1090" s="2">
        <f t="shared" ref="Q1090:Q1153" ca="1" si="1069">P1090*TxnCostPct</f>
        <v>1045889.1180422247</v>
      </c>
      <c r="R1090" s="2">
        <f t="shared" ref="R1090:R1153" ca="1" si="1070">P1090*DebtPct</f>
        <v>25101338.833013389</v>
      </c>
      <c r="S1090" s="2">
        <f t="shared" ref="S1090:S1153" ca="1" si="1071">P1090*EqPct</f>
        <v>16734225.888675595</v>
      </c>
      <c r="T1090" s="2">
        <f t="shared" ref="T1090:T1153" ca="1" si="1072">BaseRev*(1+N1090)</f>
        <v>50052950.118781962</v>
      </c>
      <c r="U1090" s="2">
        <f t="shared" ref="U1090:U1153" ca="1" si="1073">T1090*(1+H1090)</f>
        <v>53737098.026655056</v>
      </c>
      <c r="V1090" s="2">
        <f t="shared" ref="V1090:V1153" ca="1" si="1074">U1090*(1+H1090)</f>
        <v>57692417.6791481</v>
      </c>
      <c r="W1090" s="2">
        <f t="shared" ref="W1090:W1153" ca="1" si="1075">V1090*(1+H1090)</f>
        <v>61938868.675310612</v>
      </c>
      <c r="X1090" s="2">
        <f t="shared" ref="X1090:X1153" ca="1" si="1076">W1090*(1+H1090)</f>
        <v>66497879.740685247</v>
      </c>
      <c r="Y1090" s="2">
        <f t="shared" ref="Y1090:Y1153" ca="1" si="1077">BaseMargin + SynReal_Y1*K1090</f>
        <v>0.12488961935166018</v>
      </c>
      <c r="Z1090" s="2">
        <f t="shared" ref="Z1090:Z1153" ca="1" si="1078">BaseMargin + SynReal_Y2toY5*K1090</f>
        <v>0.12684546709232425</v>
      </c>
      <c r="AA1090" s="2">
        <f t="shared" ref="AA1090:AA1153" ca="1" si="1079">T1090*Y1090</f>
        <v>6251093.8877623137</v>
      </c>
      <c r="AB1090" s="2">
        <f t="shared" ref="AB1090:AB1153" ca="1" si="1080">U1090*Z1090</f>
        <v>6816307.2993770763</v>
      </c>
      <c r="AC1090" s="2">
        <f t="shared" ref="AC1090:AC1153" ca="1" si="1081">V1090*Z1090</f>
        <v>7318021.668197006</v>
      </c>
      <c r="AD1090" s="2">
        <f t="shared" ref="AD1090:AD1153" ca="1" si="1082">W1090*Z1090</f>
        <v>7856664.728289905</v>
      </c>
      <c r="AE1090" s="2">
        <f t="shared" ref="AE1090:AE1153" ca="1" si="1083">X1090*Z1090</f>
        <v>8434954.616356425</v>
      </c>
      <c r="AF1090" s="2">
        <f t="shared" ref="AF1090:AF1153" ca="1" si="1084">T1090*CapexPct</f>
        <v>1001059.0023756393</v>
      </c>
      <c r="AG1090" s="2">
        <f t="shared" ref="AG1090:AG1153" ca="1" si="1085">U1090*CapexPct</f>
        <v>1074741.9605331011</v>
      </c>
      <c r="AH1090" s="2">
        <f t="shared" ref="AH1090:AH1153" ca="1" si="1086">V1090*CapexPct</f>
        <v>1153848.353582962</v>
      </c>
      <c r="AI1090" s="2">
        <f t="shared" ref="AI1090:AI1153" ca="1" si="1087">W1090*CapexPct</f>
        <v>1238777.3735062124</v>
      </c>
      <c r="AJ1090" s="2">
        <f t="shared" ref="AJ1090:AJ1153" ca="1" si="1088">X1090*CapexPct</f>
        <v>1329957.594813705</v>
      </c>
      <c r="AK1090" s="2">
        <f t="shared" ref="AK1090:AK1153" ca="1" si="1089">MAX(T1090-BaseRev*(1+N1090),0)*WCPct</f>
        <v>0</v>
      </c>
      <c r="AL1090" s="2">
        <f t="shared" ref="AL1090:AL1153" ca="1" si="1090">MAX(U1090-T1090,0)*WCPct</f>
        <v>36841.479078730939</v>
      </c>
      <c r="AM1090" s="2">
        <f t="shared" ref="AM1090:AM1153" ca="1" si="1091">MAX(V1090-U1090,0)*WCPct</f>
        <v>39553.196524930449</v>
      </c>
      <c r="AN1090" s="2">
        <f t="shared" ref="AN1090:AN1153" ca="1" si="1092">MAX(W1090-V1090,0)*WCPct</f>
        <v>42464.509961625117</v>
      </c>
      <c r="AO1090" s="2">
        <f t="shared" ref="AO1090:AO1153" ca="1" si="1093">MAX(X1090-W1090,0)*WCPct</f>
        <v>45590.110653746349</v>
      </c>
      <c r="AP1090" s="2">
        <f t="shared" ref="AP1090:AP1153" ca="1" si="1094">R1090*DebtRate</f>
        <v>2259120.494971205</v>
      </c>
      <c r="AQ1090" s="2">
        <f t="shared" ref="AQ1090:AQ1153" ca="1" si="1095">MAX(AA1090-AF1090-AP1090,0)*Tax</f>
        <v>777637.74150802218</v>
      </c>
      <c r="AR1090" s="2">
        <f t="shared" ref="AR1090:AR1153" ca="1" si="1096">MAX(AB1090-AG1090-AP1090,0)*Tax</f>
        <v>905435.65940692031</v>
      </c>
      <c r="AS1090" s="2">
        <f t="shared" ref="AS1090:AS1153" ca="1" si="1097">MAX(AC1090-AH1090-AP1090,0)*Tax</f>
        <v>1015313.7331071383</v>
      </c>
      <c r="AT1090" s="2">
        <f t="shared" ref="AT1090:AT1153" ca="1" si="1098">MAX(AD1090-AI1090-AP1090,0)*Tax</f>
        <v>1133279.3835512467</v>
      </c>
      <c r="AU1090" s="2">
        <f t="shared" ref="AU1090:AU1153" ca="1" si="1099">MAX(AE1090-AJ1090-AP1090,0)*Tax</f>
        <v>1259927.8969085943</v>
      </c>
      <c r="AV1090" s="2">
        <f t="shared" ref="AV1090:AV1153" ca="1" si="1100">AA1090-AF1090-AK1090-AQ1090-AP1090</f>
        <v>2213276.6489074477</v>
      </c>
      <c r="AW1090" s="2">
        <f t="shared" ref="AW1090:AW1153" ca="1" si="1101">AB1090-AG1090-AL1090-AR1090-AP1090</f>
        <v>2540167.7053871197</v>
      </c>
      <c r="AX1090" s="2">
        <f t="shared" ref="AX1090:AX1153" ca="1" si="1102">AC1090-AH1090-AM1090-AS1090-AP1090</f>
        <v>2850185.8900107709</v>
      </c>
      <c r="AY1090" s="2">
        <f t="shared" ref="AY1090:AY1153" ca="1" si="1103">AD1090-AI1090-AN1090-AT1090-AP1090</f>
        <v>3183022.9662996153</v>
      </c>
      <c r="AZ1090" s="2">
        <f t="shared" ref="AZ1090:AZ1153" ca="1" si="1104">AE1090-AJ1090-AO1090-AU1090-AP1090</f>
        <v>3540358.5190091752</v>
      </c>
      <c r="BA1090" s="2">
        <f t="shared" ref="BA1090:BA1153" ca="1" si="1105">AE1090*E1090</f>
        <v>66307307.40764349</v>
      </c>
      <c r="BB1090" s="2">
        <f t="shared" ref="BB1090:BB1153" ca="1" si="1106">BA1090*SellCostPct</f>
        <v>1326146.1481528699</v>
      </c>
      <c r="BC1090" s="2">
        <f t="shared" ref="BC1090:BC1153" ca="1" si="1107">BA1090-R1090-BB1090</f>
        <v>39879822.426477224</v>
      </c>
      <c r="BD1090" s="2">
        <f t="shared" ref="BD1090:BD1153" ca="1" si="1108">-S1090-Q1090-IntegrationPct*BaseRev</f>
        <v>-18280115.00671782</v>
      </c>
      <c r="BE1090" s="2">
        <f t="shared" ref="BE1090:BE1153" ca="1" si="1109">AV1090</f>
        <v>2213276.6489074477</v>
      </c>
      <c r="BF1090" s="2">
        <f t="shared" ref="BF1090:BF1153" ca="1" si="1110">AW1090</f>
        <v>2540167.7053871197</v>
      </c>
      <c r="BG1090" s="2">
        <f t="shared" ref="BG1090:BG1153" ca="1" si="1111">AX1090</f>
        <v>2850185.8900107709</v>
      </c>
      <c r="BH1090" s="2">
        <f t="shared" ref="BH1090:BH1153" ca="1" si="1112">AY1090</f>
        <v>3183022.9662996153</v>
      </c>
      <c r="BI1090" s="2">
        <f t="shared" ref="BI1090:BI1153" ca="1" si="1113">AZ1090+BC1090</f>
        <v>43420180.945486397</v>
      </c>
      <c r="BJ1090" s="2">
        <f t="shared" ref="BJ1090:BJ1153" ca="1" si="1114">IF(MIN(BD1090:BI1090)*MAX(BD1090:BI1090)&gt;=0, "", IFERROR(IRR(BD1090:BI1090,0.12), IFERROR(IRR(BD1090:BI1090,0.5), IFERROR(IRR(BD1090:BI1090,-0.5),""))))</f>
        <v>0.28303848489407457</v>
      </c>
      <c r="BK1090" s="2">
        <f t="shared" ref="BK1090:BK1153" ca="1" si="1115">NPV(12%,BE1090:BI1090)+BD1090</f>
        <v>14410382.407862857</v>
      </c>
    </row>
    <row r="1091" spans="1:63" x14ac:dyDescent="0.3">
      <c r="A1091" s="2">
        <v>1090</v>
      </c>
      <c r="B1091" s="2">
        <f t="shared" ca="1" si="1054"/>
        <v>0.58129156096151147</v>
      </c>
      <c r="C1091" s="2">
        <f t="shared" ca="1" si="1055"/>
        <v>7.0848951545986782</v>
      </c>
      <c r="D1091" s="2">
        <f t="shared" ca="1" si="1056"/>
        <v>0.50642944014806446</v>
      </c>
      <c r="E1091" s="2">
        <f t="shared" ca="1" si="1057"/>
        <v>7.5064502429652196</v>
      </c>
      <c r="F1091" s="2">
        <f t="shared" ca="1" si="1058"/>
        <v>0.13910134977965993</v>
      </c>
      <c r="G1091" s="2">
        <f t="shared" ca="1" si="1059"/>
        <v>7.4690299519358308E-3</v>
      </c>
      <c r="H1091" s="2">
        <f t="shared" ca="1" si="1060"/>
        <v>7.4690299519358308E-3</v>
      </c>
      <c r="I1091" s="2">
        <f t="shared" ca="1" si="1061"/>
        <v>4.3260085445946506E-2</v>
      </c>
      <c r="J1091" s="2">
        <f t="shared" ca="1" si="1062"/>
        <v>1.4297670834529635E-3</v>
      </c>
      <c r="K1091" s="2">
        <f t="shared" ca="1" si="1063"/>
        <v>1.4297670834529635E-3</v>
      </c>
      <c r="L1091" s="2">
        <f t="shared" ca="1" si="1064"/>
        <v>0.19139754653060415</v>
      </c>
      <c r="M1091" s="2">
        <f t="shared" ca="1" si="1065"/>
        <v>-1.7455156462801852E-2</v>
      </c>
      <c r="N1091" s="2">
        <f t="shared" ca="1" si="1066"/>
        <v>-1.7455156462801852E-2</v>
      </c>
      <c r="O1091" s="2">
        <f t="shared" si="1067"/>
        <v>6000000</v>
      </c>
      <c r="P1091" s="2">
        <f t="shared" ca="1" si="1068"/>
        <v>42509370.927592069</v>
      </c>
      <c r="Q1091" s="2">
        <f t="shared" ca="1" si="1069"/>
        <v>1062734.2731898017</v>
      </c>
      <c r="R1091" s="2">
        <f t="shared" ca="1" si="1070"/>
        <v>25505622.556555241</v>
      </c>
      <c r="S1091" s="2">
        <f t="shared" ca="1" si="1071"/>
        <v>17003748.371036828</v>
      </c>
      <c r="T1091" s="2">
        <f t="shared" ca="1" si="1072"/>
        <v>49127242.176859908</v>
      </c>
      <c r="U1091" s="2">
        <f t="shared" ca="1" si="1073"/>
        <v>49494175.020134874</v>
      </c>
      <c r="V1091" s="2">
        <f t="shared" ca="1" si="1074"/>
        <v>49863848.495806612</v>
      </c>
      <c r="W1091" s="2">
        <f t="shared" ca="1" si="1075"/>
        <v>50236283.073740579</v>
      </c>
      <c r="X1091" s="2">
        <f t="shared" ca="1" si="1076"/>
        <v>50611499.376692273</v>
      </c>
      <c r="Y1091" s="2">
        <f t="shared" ca="1" si="1077"/>
        <v>0.12071488354172648</v>
      </c>
      <c r="Z1091" s="2">
        <f t="shared" ca="1" si="1078"/>
        <v>0.12100083695841707</v>
      </c>
      <c r="AA1091" s="2">
        <f t="shared" ca="1" si="1079"/>
        <v>5930389.3181058373</v>
      </c>
      <c r="AB1091" s="2">
        <f t="shared" ca="1" si="1080"/>
        <v>5988836.6020026989</v>
      </c>
      <c r="AC1091" s="2">
        <f t="shared" ca="1" si="1081"/>
        <v>6033567.4019603059</v>
      </c>
      <c r="AD1091" s="2">
        <f t="shared" ca="1" si="1082"/>
        <v>6078632.2976025706</v>
      </c>
      <c r="AE1091" s="2">
        <f t="shared" ca="1" si="1083"/>
        <v>6124033.784300169</v>
      </c>
      <c r="AF1091" s="2">
        <f t="shared" ca="1" si="1084"/>
        <v>982544.84353719815</v>
      </c>
      <c r="AG1091" s="2">
        <f t="shared" ca="1" si="1085"/>
        <v>989883.50040269748</v>
      </c>
      <c r="AH1091" s="2">
        <f t="shared" ca="1" si="1086"/>
        <v>997276.96991613228</v>
      </c>
      <c r="AI1091" s="2">
        <f t="shared" ca="1" si="1087"/>
        <v>1004725.6614748116</v>
      </c>
      <c r="AJ1091" s="2">
        <f t="shared" ca="1" si="1088"/>
        <v>1012229.9875338455</v>
      </c>
      <c r="AK1091" s="2">
        <f t="shared" ca="1" si="1089"/>
        <v>0</v>
      </c>
      <c r="AL1091" s="2">
        <f t="shared" ca="1" si="1090"/>
        <v>3669.328432749659</v>
      </c>
      <c r="AM1091" s="2">
        <f t="shared" ca="1" si="1091"/>
        <v>3696.7347567173838</v>
      </c>
      <c r="AN1091" s="2">
        <f t="shared" ca="1" si="1092"/>
        <v>3724.345779339671</v>
      </c>
      <c r="AO1091" s="2">
        <f t="shared" ca="1" si="1093"/>
        <v>3752.1630295169352</v>
      </c>
      <c r="AP1091" s="2">
        <f t="shared" ca="1" si="1094"/>
        <v>2295506.0300899716</v>
      </c>
      <c r="AQ1091" s="2">
        <f t="shared" ca="1" si="1095"/>
        <v>689607.99556445354</v>
      </c>
      <c r="AR1091" s="2">
        <f t="shared" ca="1" si="1096"/>
        <v>702896.23859260778</v>
      </c>
      <c r="AS1091" s="2">
        <f t="shared" ca="1" si="1097"/>
        <v>712603.94450809259</v>
      </c>
      <c r="AT1091" s="2">
        <f t="shared" ca="1" si="1098"/>
        <v>722384.15756982472</v>
      </c>
      <c r="AU1091" s="2">
        <f t="shared" ca="1" si="1099"/>
        <v>732237.41933585168</v>
      </c>
      <c r="AV1091" s="2">
        <f t="shared" ca="1" si="1100"/>
        <v>1962730.448914214</v>
      </c>
      <c r="AW1091" s="2">
        <f t="shared" ca="1" si="1101"/>
        <v>1996881.5044846721</v>
      </c>
      <c r="AX1091" s="2">
        <f t="shared" ca="1" si="1102"/>
        <v>2024483.722689392</v>
      </c>
      <c r="AY1091" s="2">
        <f t="shared" ca="1" si="1103"/>
        <v>2052292.1026886227</v>
      </c>
      <c r="AZ1091" s="2">
        <f t="shared" ca="1" si="1104"/>
        <v>2080308.1843109839</v>
      </c>
      <c r="BA1091" s="2">
        <f t="shared" ca="1" si="1105"/>
        <v>45969754.888087213</v>
      </c>
      <c r="BB1091" s="2">
        <f t="shared" ca="1" si="1106"/>
        <v>919395.09776174428</v>
      </c>
      <c r="BC1091" s="2">
        <f t="shared" ca="1" si="1107"/>
        <v>19544737.233770229</v>
      </c>
      <c r="BD1091" s="2">
        <f t="shared" ca="1" si="1108"/>
        <v>-18566482.644226629</v>
      </c>
      <c r="BE1091" s="2">
        <f t="shared" ca="1" si="1109"/>
        <v>1962730.448914214</v>
      </c>
      <c r="BF1091" s="2">
        <f t="shared" ca="1" si="1110"/>
        <v>1996881.5044846721</v>
      </c>
      <c r="BG1091" s="2">
        <f t="shared" ca="1" si="1111"/>
        <v>2024483.722689392</v>
      </c>
      <c r="BH1091" s="2">
        <f t="shared" ca="1" si="1112"/>
        <v>2052292.1026886227</v>
      </c>
      <c r="BI1091" s="2">
        <f t="shared" ca="1" si="1113"/>
        <v>21625045.418081213</v>
      </c>
      <c r="BJ1091" s="2">
        <f t="shared" ca="1" si="1114"/>
        <v>0.11697659914923753</v>
      </c>
      <c r="BK1091" s="2">
        <f t="shared" ca="1" si="1115"/>
        <v>-206255.24823043868</v>
      </c>
    </row>
    <row r="1092" spans="1:63" x14ac:dyDescent="0.3">
      <c r="A1092" s="2">
        <v>1091</v>
      </c>
      <c r="B1092" s="2">
        <f t="shared" ca="1" si="1054"/>
        <v>7.1193856272022016E-2</v>
      </c>
      <c r="C1092" s="2">
        <f t="shared" ca="1" si="1055"/>
        <v>6.3773429640844572</v>
      </c>
      <c r="D1092" s="2">
        <f t="shared" ca="1" si="1056"/>
        <v>0.48007159022819546</v>
      </c>
      <c r="E1092" s="2">
        <f t="shared" ca="1" si="1057"/>
        <v>7.479868960859763</v>
      </c>
      <c r="F1092" s="2">
        <f t="shared" ca="1" si="1058"/>
        <v>0.87924475026468807</v>
      </c>
      <c r="G1092" s="2">
        <f t="shared" ca="1" si="1059"/>
        <v>7.5136589449947028E-2</v>
      </c>
      <c r="H1092" s="2">
        <f t="shared" ca="1" si="1060"/>
        <v>7.5136589449947028E-2</v>
      </c>
      <c r="I1092" s="2">
        <f t="shared" ca="1" si="1061"/>
        <v>0.6571438036902798</v>
      </c>
      <c r="J1092" s="2">
        <f t="shared" ca="1" si="1062"/>
        <v>1.202340239813199E-2</v>
      </c>
      <c r="K1092" s="2">
        <f t="shared" ca="1" si="1063"/>
        <v>1.202340239813199E-2</v>
      </c>
      <c r="L1092" s="2">
        <f t="shared" ca="1" si="1064"/>
        <v>0.47709676263106804</v>
      </c>
      <c r="M1092" s="2">
        <f t="shared" ca="1" si="1065"/>
        <v>-1.1488294997375852E-3</v>
      </c>
      <c r="N1092" s="2">
        <f t="shared" ca="1" si="1066"/>
        <v>-1.1488294997375852E-3</v>
      </c>
      <c r="O1092" s="2">
        <f t="shared" si="1067"/>
        <v>6000000</v>
      </c>
      <c r="P1092" s="2">
        <f t="shared" ca="1" si="1068"/>
        <v>38264057.784506746</v>
      </c>
      <c r="Q1092" s="2">
        <f t="shared" ca="1" si="1069"/>
        <v>956601.44461266871</v>
      </c>
      <c r="R1092" s="2">
        <f t="shared" ca="1" si="1070"/>
        <v>22958434.670704048</v>
      </c>
      <c r="S1092" s="2">
        <f t="shared" ca="1" si="1071"/>
        <v>15305623.113802699</v>
      </c>
      <c r="T1092" s="2">
        <f t="shared" ca="1" si="1072"/>
        <v>49942558.525013119</v>
      </c>
      <c r="U1092" s="2">
        <f t="shared" ca="1" si="1073"/>
        <v>53695072.040986978</v>
      </c>
      <c r="V1092" s="2">
        <f t="shared" ca="1" si="1074"/>
        <v>57729536.624415942</v>
      </c>
      <c r="W1092" s="2">
        <f t="shared" ca="1" si="1075"/>
        <v>62067137.116900355</v>
      </c>
      <c r="X1092" s="2">
        <f t="shared" ca="1" si="1076"/>
        <v>66730650.116786458</v>
      </c>
      <c r="Y1092" s="2">
        <f t="shared" ca="1" si="1077"/>
        <v>0.12601170119906599</v>
      </c>
      <c r="Z1092" s="2">
        <f t="shared" ca="1" si="1078"/>
        <v>0.12841638167869238</v>
      </c>
      <c r="AA1092" s="2">
        <f t="shared" ca="1" si="1079"/>
        <v>6293346.761970819</v>
      </c>
      <c r="AB1092" s="2">
        <f t="shared" ca="1" si="1080"/>
        <v>6895326.8654802674</v>
      </c>
      <c r="AC1092" s="2">
        <f t="shared" ca="1" si="1081"/>
        <v>7413418.2092950474</v>
      </c>
      <c r="AD1092" s="2">
        <f t="shared" ca="1" si="1082"/>
        <v>7970437.1697076103</v>
      </c>
      <c r="AE1092" s="2">
        <f t="shared" ca="1" si="1083"/>
        <v>8569308.6350645274</v>
      </c>
      <c r="AF1092" s="2">
        <f t="shared" ca="1" si="1084"/>
        <v>998851.17050026241</v>
      </c>
      <c r="AG1092" s="2">
        <f t="shared" ca="1" si="1085"/>
        <v>1073901.4408197396</v>
      </c>
      <c r="AH1092" s="2">
        <f t="shared" ca="1" si="1086"/>
        <v>1154590.7324883188</v>
      </c>
      <c r="AI1092" s="2">
        <f t="shared" ca="1" si="1087"/>
        <v>1241342.7423380071</v>
      </c>
      <c r="AJ1092" s="2">
        <f t="shared" ca="1" si="1088"/>
        <v>1334613.0023357291</v>
      </c>
      <c r="AK1092" s="2">
        <f t="shared" ca="1" si="1089"/>
        <v>0</v>
      </c>
      <c r="AL1092" s="2">
        <f t="shared" ca="1" si="1090"/>
        <v>37525.135159738587</v>
      </c>
      <c r="AM1092" s="2">
        <f t="shared" ca="1" si="1091"/>
        <v>40344.645834289644</v>
      </c>
      <c r="AN1092" s="2">
        <f t="shared" ca="1" si="1092"/>
        <v>43376.004924844128</v>
      </c>
      <c r="AO1092" s="2">
        <f t="shared" ca="1" si="1093"/>
        <v>46635.129998861034</v>
      </c>
      <c r="AP1092" s="2">
        <f t="shared" ca="1" si="1094"/>
        <v>2066259.1203633642</v>
      </c>
      <c r="AQ1092" s="2">
        <f t="shared" ca="1" si="1095"/>
        <v>839341.48248787003</v>
      </c>
      <c r="AR1092" s="2">
        <f t="shared" ca="1" si="1096"/>
        <v>976343.23911726265</v>
      </c>
      <c r="AS1092" s="2">
        <f t="shared" ca="1" si="1097"/>
        <v>1090067.7726752746</v>
      </c>
      <c r="AT1092" s="2">
        <f t="shared" ca="1" si="1098"/>
        <v>1212337.1798216221</v>
      </c>
      <c r="AU1092" s="2">
        <f t="shared" ca="1" si="1099"/>
        <v>1343793.4932150131</v>
      </c>
      <c r="AV1092" s="2">
        <f t="shared" ca="1" si="1100"/>
        <v>2388894.988619322</v>
      </c>
      <c r="AW1092" s="2">
        <f t="shared" ca="1" si="1101"/>
        <v>2741297.9300201628</v>
      </c>
      <c r="AX1092" s="2">
        <f t="shared" ca="1" si="1102"/>
        <v>3062155.9379337998</v>
      </c>
      <c r="AY1092" s="2">
        <f t="shared" ca="1" si="1103"/>
        <v>3407122.1222597733</v>
      </c>
      <c r="AZ1092" s="2">
        <f t="shared" ca="1" si="1104"/>
        <v>3778007.8891515601</v>
      </c>
      <c r="BA1092" s="2">
        <f t="shared" ca="1" si="1105"/>
        <v>64097305.675446704</v>
      </c>
      <c r="BB1092" s="2">
        <f t="shared" ca="1" si="1106"/>
        <v>1281946.1135089342</v>
      </c>
      <c r="BC1092" s="2">
        <f t="shared" ca="1" si="1107"/>
        <v>39856924.89123372</v>
      </c>
      <c r="BD1092" s="2">
        <f t="shared" ca="1" si="1108"/>
        <v>-16762224.558415368</v>
      </c>
      <c r="BE1092" s="2">
        <f t="shared" ca="1" si="1109"/>
        <v>2388894.988619322</v>
      </c>
      <c r="BF1092" s="2">
        <f t="shared" ca="1" si="1110"/>
        <v>2741297.9300201628</v>
      </c>
      <c r="BG1092" s="2">
        <f t="shared" ca="1" si="1111"/>
        <v>3062155.9379337998</v>
      </c>
      <c r="BH1092" s="2">
        <f t="shared" ca="1" si="1112"/>
        <v>3407122.1222597733</v>
      </c>
      <c r="BI1092" s="2">
        <f t="shared" ca="1" si="1113"/>
        <v>43634932.780385278</v>
      </c>
      <c r="BJ1092" s="2">
        <f t="shared" ca="1" si="1114"/>
        <v>0.3192795556610899</v>
      </c>
      <c r="BK1092" s="2">
        <f t="shared" ca="1" si="1115"/>
        <v>16660565.845505785</v>
      </c>
    </row>
    <row r="1093" spans="1:63" x14ac:dyDescent="0.3">
      <c r="A1093" s="2">
        <v>1092</v>
      </c>
      <c r="B1093" s="2">
        <f t="shared" ca="1" si="1054"/>
        <v>0.19367979105508837</v>
      </c>
      <c r="C1093" s="2">
        <f t="shared" ca="1" si="1055"/>
        <v>6.622382183316792</v>
      </c>
      <c r="D1093" s="2">
        <f t="shared" ca="1" si="1056"/>
        <v>0.19296904216748534</v>
      </c>
      <c r="E1093" s="2">
        <f t="shared" ca="1" si="1057"/>
        <v>7.121239152287564</v>
      </c>
      <c r="F1093" s="2">
        <f t="shared" ca="1" si="1058"/>
        <v>0.64130151055230566</v>
      </c>
      <c r="G1093" s="2">
        <f t="shared" ca="1" si="1059"/>
        <v>5.0858195540788978E-2</v>
      </c>
      <c r="H1093" s="2">
        <f t="shared" ca="1" si="1060"/>
        <v>5.0858195540788978E-2</v>
      </c>
      <c r="I1093" s="2">
        <f t="shared" ca="1" si="1061"/>
        <v>0.95556861586899544</v>
      </c>
      <c r="J1093" s="2">
        <f t="shared" ca="1" si="1062"/>
        <v>1.8507136774423574E-2</v>
      </c>
      <c r="K1093" s="2">
        <f t="shared" ca="1" si="1063"/>
        <v>1.8507136774423574E-2</v>
      </c>
      <c r="L1093" s="2">
        <f t="shared" ca="1" si="1064"/>
        <v>0.16043615918966281</v>
      </c>
      <c r="M1093" s="2">
        <f t="shared" ca="1" si="1065"/>
        <v>-1.9853337681082023E-2</v>
      </c>
      <c r="N1093" s="2">
        <f t="shared" ca="1" si="1066"/>
        <v>-1.9853337681082023E-2</v>
      </c>
      <c r="O1093" s="2">
        <f t="shared" si="1067"/>
        <v>6000000</v>
      </c>
      <c r="P1093" s="2">
        <f t="shared" ca="1" si="1068"/>
        <v>39734293.099900752</v>
      </c>
      <c r="Q1093" s="2">
        <f t="shared" ca="1" si="1069"/>
        <v>993357.32749751885</v>
      </c>
      <c r="R1093" s="2">
        <f t="shared" ca="1" si="1070"/>
        <v>23840575.859940451</v>
      </c>
      <c r="S1093" s="2">
        <f t="shared" ca="1" si="1071"/>
        <v>15893717.239960302</v>
      </c>
      <c r="T1093" s="2">
        <f t="shared" ca="1" si="1072"/>
        <v>49007333.115945898</v>
      </c>
      <c r="U1093" s="2">
        <f t="shared" ca="1" si="1073"/>
        <v>51499757.646489255</v>
      </c>
      <c r="V1093" s="2">
        <f t="shared" ca="1" si="1074"/>
        <v>54118942.391177647</v>
      </c>
      <c r="W1093" s="2">
        <f t="shared" ca="1" si="1075"/>
        <v>56871334.145768851</v>
      </c>
      <c r="X1093" s="2">
        <f t="shared" ca="1" si="1076"/>
        <v>59763707.578419909</v>
      </c>
      <c r="Y1093" s="2">
        <f t="shared" ca="1" si="1077"/>
        <v>0.12925356838721178</v>
      </c>
      <c r="Z1093" s="2">
        <f t="shared" ca="1" si="1078"/>
        <v>0.13295499574209649</v>
      </c>
      <c r="AA1093" s="2">
        <f t="shared" ca="1" si="1079"/>
        <v>6334372.6823767815</v>
      </c>
      <c r="AB1093" s="2">
        <f t="shared" ca="1" si="1080"/>
        <v>6847150.0586079797</v>
      </c>
      <c r="AC1093" s="2">
        <f t="shared" ca="1" si="1081"/>
        <v>7195383.7551857894</v>
      </c>
      <c r="AD1093" s="2">
        <f t="shared" ca="1" si="1082"/>
        <v>7561327.9891980439</v>
      </c>
      <c r="AE1093" s="2">
        <f t="shared" ca="1" si="1083"/>
        <v>7945883.4866207186</v>
      </c>
      <c r="AF1093" s="2">
        <f t="shared" ca="1" si="1084"/>
        <v>980146.66231891792</v>
      </c>
      <c r="AG1093" s="2">
        <f t="shared" ca="1" si="1085"/>
        <v>1029995.1529297851</v>
      </c>
      <c r="AH1093" s="2">
        <f t="shared" ca="1" si="1086"/>
        <v>1082378.847823553</v>
      </c>
      <c r="AI1093" s="2">
        <f t="shared" ca="1" si="1087"/>
        <v>1137426.682915377</v>
      </c>
      <c r="AJ1093" s="2">
        <f t="shared" ca="1" si="1088"/>
        <v>1195274.1515683981</v>
      </c>
      <c r="AK1093" s="2">
        <f t="shared" ca="1" si="1089"/>
        <v>0</v>
      </c>
      <c r="AL1093" s="2">
        <f t="shared" ca="1" si="1090"/>
        <v>24924.245305433571</v>
      </c>
      <c r="AM1093" s="2">
        <f t="shared" ca="1" si="1091"/>
        <v>26191.847446883916</v>
      </c>
      <c r="AN1093" s="2">
        <f t="shared" ca="1" si="1092"/>
        <v>27523.917545912042</v>
      </c>
      <c r="AO1093" s="2">
        <f t="shared" ca="1" si="1093"/>
        <v>28923.734326510577</v>
      </c>
      <c r="AP1093" s="2">
        <f t="shared" ca="1" si="1094"/>
        <v>2145651.8273946405</v>
      </c>
      <c r="AQ1093" s="2">
        <f t="shared" ca="1" si="1095"/>
        <v>834229.29009243799</v>
      </c>
      <c r="AR1093" s="2">
        <f t="shared" ca="1" si="1096"/>
        <v>954590.80035372416</v>
      </c>
      <c r="AS1093" s="2">
        <f t="shared" ca="1" si="1097"/>
        <v>1031511.800791575</v>
      </c>
      <c r="AT1093" s="2">
        <f t="shared" ca="1" si="1098"/>
        <v>1112344.8645108871</v>
      </c>
      <c r="AU1093" s="2">
        <f t="shared" ca="1" si="1099"/>
        <v>1197288.951990997</v>
      </c>
      <c r="AV1093" s="2">
        <f t="shared" ca="1" si="1100"/>
        <v>2374344.9025707855</v>
      </c>
      <c r="AW1093" s="2">
        <f t="shared" ca="1" si="1101"/>
        <v>2691988.032624396</v>
      </c>
      <c r="AX1093" s="2">
        <f t="shared" ca="1" si="1102"/>
        <v>2909649.4317291374</v>
      </c>
      <c r="AY1093" s="2">
        <f t="shared" ca="1" si="1103"/>
        <v>3138380.6968312277</v>
      </c>
      <c r="AZ1093" s="2">
        <f t="shared" ca="1" si="1104"/>
        <v>3378744.821340173</v>
      </c>
      <c r="BA1093" s="2">
        <f t="shared" ca="1" si="1105"/>
        <v>56584536.584438682</v>
      </c>
      <c r="BB1093" s="2">
        <f t="shared" ca="1" si="1106"/>
        <v>1131690.7316887737</v>
      </c>
      <c r="BC1093" s="2">
        <f t="shared" ca="1" si="1107"/>
        <v>31612269.992809456</v>
      </c>
      <c r="BD1093" s="2">
        <f t="shared" ca="1" si="1108"/>
        <v>-17387074.567457821</v>
      </c>
      <c r="BE1093" s="2">
        <f t="shared" ca="1" si="1109"/>
        <v>2374344.9025707855</v>
      </c>
      <c r="BF1093" s="2">
        <f t="shared" ca="1" si="1110"/>
        <v>2691988.032624396</v>
      </c>
      <c r="BG1093" s="2">
        <f t="shared" ca="1" si="1111"/>
        <v>2909649.4317291374</v>
      </c>
      <c r="BH1093" s="2">
        <f t="shared" ca="1" si="1112"/>
        <v>3138380.6968312277</v>
      </c>
      <c r="BI1093" s="2">
        <f t="shared" ca="1" si="1113"/>
        <v>34991014.814149626</v>
      </c>
      <c r="BJ1093" s="2">
        <f t="shared" ca="1" si="1114"/>
        <v>0.25839149603821165</v>
      </c>
      <c r="BK1093" s="2">
        <f t="shared" ca="1" si="1115"/>
        <v>10799282.79417289</v>
      </c>
    </row>
    <row r="1094" spans="1:63" x14ac:dyDescent="0.3">
      <c r="A1094" s="2">
        <v>1093</v>
      </c>
      <c r="B1094" s="2">
        <f t="shared" ca="1" si="1054"/>
        <v>0.30601576846136369</v>
      </c>
      <c r="C1094" s="2">
        <f t="shared" ca="1" si="1055"/>
        <v>6.7823244447943116</v>
      </c>
      <c r="D1094" s="2">
        <f t="shared" ca="1" si="1056"/>
        <v>0.73159819365206413</v>
      </c>
      <c r="E1094" s="2">
        <f t="shared" ca="1" si="1057"/>
        <v>7.7673311711995172</v>
      </c>
      <c r="F1094" s="2">
        <f t="shared" ca="1" si="1058"/>
        <v>0.82554314897914327</v>
      </c>
      <c r="G1094" s="2">
        <f t="shared" ca="1" si="1059"/>
        <v>6.8100953018253377E-2</v>
      </c>
      <c r="H1094" s="2">
        <f t="shared" ca="1" si="1060"/>
        <v>6.8100953018253377E-2</v>
      </c>
      <c r="I1094" s="2">
        <f t="shared" ca="1" si="1061"/>
        <v>6.0469538165248915E-2</v>
      </c>
      <c r="J1094" s="2">
        <f t="shared" ca="1" si="1062"/>
        <v>2.2457800635962699E-3</v>
      </c>
      <c r="K1094" s="2">
        <f t="shared" ca="1" si="1063"/>
        <v>2.2457800635962699E-3</v>
      </c>
      <c r="L1094" s="2">
        <f t="shared" ca="1" si="1064"/>
        <v>0.36068533455111706</v>
      </c>
      <c r="M1094" s="2">
        <f t="shared" ca="1" si="1065"/>
        <v>-7.1325504895292718E-3</v>
      </c>
      <c r="N1094" s="2">
        <f t="shared" ca="1" si="1066"/>
        <v>-7.1325504895292718E-3</v>
      </c>
      <c r="O1094" s="2">
        <f t="shared" si="1067"/>
        <v>6000000</v>
      </c>
      <c r="P1094" s="2">
        <f t="shared" ca="1" si="1068"/>
        <v>40693946.668765873</v>
      </c>
      <c r="Q1094" s="2">
        <f t="shared" ca="1" si="1069"/>
        <v>1017348.6667191469</v>
      </c>
      <c r="R1094" s="2">
        <f t="shared" ca="1" si="1070"/>
        <v>24416368.001259524</v>
      </c>
      <c r="S1094" s="2">
        <f t="shared" ca="1" si="1071"/>
        <v>16277578.66750635</v>
      </c>
      <c r="T1094" s="2">
        <f t="shared" ca="1" si="1072"/>
        <v>49643372.475523531</v>
      </c>
      <c r="U1094" s="2">
        <f t="shared" ca="1" si="1073"/>
        <v>53024133.452146821</v>
      </c>
      <c r="V1094" s="2">
        <f t="shared" ca="1" si="1074"/>
        <v>56635127.473205075</v>
      </c>
      <c r="W1094" s="2">
        <f t="shared" ca="1" si="1075"/>
        <v>60492033.628440611</v>
      </c>
      <c r="X1094" s="2">
        <f t="shared" ca="1" si="1076"/>
        <v>64611598.768549651</v>
      </c>
      <c r="Y1094" s="2">
        <f t="shared" ca="1" si="1077"/>
        <v>0.12112289003179813</v>
      </c>
      <c r="Z1094" s="2">
        <f t="shared" ca="1" si="1078"/>
        <v>0.12157204604451738</v>
      </c>
      <c r="AA1094" s="2">
        <f t="shared" ca="1" si="1079"/>
        <v>6012948.7451604307</v>
      </c>
      <c r="AB1094" s="2">
        <f t="shared" ca="1" si="1080"/>
        <v>6446252.3935150271</v>
      </c>
      <c r="AC1094" s="2">
        <f t="shared" ca="1" si="1081"/>
        <v>6885248.3249095986</v>
      </c>
      <c r="AD1094" s="2">
        <f t="shared" ca="1" si="1082"/>
        <v>7354140.2976032756</v>
      </c>
      <c r="AE1094" s="2">
        <f t="shared" ca="1" si="1083"/>
        <v>7854964.2605000008</v>
      </c>
      <c r="AF1094" s="2">
        <f t="shared" ca="1" si="1084"/>
        <v>992867.44951047061</v>
      </c>
      <c r="AG1094" s="2">
        <f t="shared" ca="1" si="1085"/>
        <v>1060482.6690429365</v>
      </c>
      <c r="AH1094" s="2">
        <f t="shared" ca="1" si="1086"/>
        <v>1132702.5494641014</v>
      </c>
      <c r="AI1094" s="2">
        <f t="shared" ca="1" si="1087"/>
        <v>1209840.6725688123</v>
      </c>
      <c r="AJ1094" s="2">
        <f t="shared" ca="1" si="1088"/>
        <v>1292231.9753709931</v>
      </c>
      <c r="AK1094" s="2">
        <f t="shared" ca="1" si="1089"/>
        <v>0</v>
      </c>
      <c r="AL1094" s="2">
        <f t="shared" ca="1" si="1090"/>
        <v>33807.60976623289</v>
      </c>
      <c r="AM1094" s="2">
        <f t="shared" ca="1" si="1091"/>
        <v>36109.940210582543</v>
      </c>
      <c r="AN1094" s="2">
        <f t="shared" ca="1" si="1092"/>
        <v>38569.061552355364</v>
      </c>
      <c r="AO1094" s="2">
        <f t="shared" ca="1" si="1093"/>
        <v>41195.651401090399</v>
      </c>
      <c r="AP1094" s="2">
        <f t="shared" ca="1" si="1094"/>
        <v>2197473.120113357</v>
      </c>
      <c r="AQ1094" s="2">
        <f t="shared" ca="1" si="1095"/>
        <v>733878.12563951674</v>
      </c>
      <c r="AR1094" s="2">
        <f t="shared" ca="1" si="1096"/>
        <v>828957.11713327072</v>
      </c>
      <c r="AS1094" s="2">
        <f t="shared" ca="1" si="1097"/>
        <v>924318.89038635639</v>
      </c>
      <c r="AT1094" s="2">
        <f t="shared" ca="1" si="1098"/>
        <v>1026174.8912794878</v>
      </c>
      <c r="AU1094" s="2">
        <f t="shared" ca="1" si="1099"/>
        <v>1134967.3829040693</v>
      </c>
      <c r="AV1094" s="2">
        <f t="shared" ca="1" si="1100"/>
        <v>2088730.0498970859</v>
      </c>
      <c r="AW1094" s="2">
        <f t="shared" ca="1" si="1101"/>
        <v>2325531.8774592299</v>
      </c>
      <c r="AX1094" s="2">
        <f t="shared" ca="1" si="1102"/>
        <v>2594643.824735201</v>
      </c>
      <c r="AY1094" s="2">
        <f t="shared" ca="1" si="1103"/>
        <v>2882082.5520892637</v>
      </c>
      <c r="AZ1094" s="2">
        <f t="shared" ca="1" si="1104"/>
        <v>3189096.130710491</v>
      </c>
      <c r="BA1094" s="2">
        <f t="shared" ca="1" si="1105"/>
        <v>61012108.749239817</v>
      </c>
      <c r="BB1094" s="2">
        <f t="shared" ca="1" si="1106"/>
        <v>1220242.1749847964</v>
      </c>
      <c r="BC1094" s="2">
        <f t="shared" ca="1" si="1107"/>
        <v>35375498.572995499</v>
      </c>
      <c r="BD1094" s="2">
        <f t="shared" ca="1" si="1108"/>
        <v>-17794927.334225498</v>
      </c>
      <c r="BE1094" s="2">
        <f t="shared" ca="1" si="1109"/>
        <v>2088730.0498970859</v>
      </c>
      <c r="BF1094" s="2">
        <f t="shared" ca="1" si="1110"/>
        <v>2325531.8774592299</v>
      </c>
      <c r="BG1094" s="2">
        <f t="shared" ca="1" si="1111"/>
        <v>2594643.824735201</v>
      </c>
      <c r="BH1094" s="2">
        <f t="shared" ca="1" si="1112"/>
        <v>2882082.5520892637</v>
      </c>
      <c r="BI1094" s="2">
        <f t="shared" ca="1" si="1113"/>
        <v>38564594.703705989</v>
      </c>
      <c r="BJ1094" s="2">
        <f t="shared" ca="1" si="1114"/>
        <v>0.25849231633956049</v>
      </c>
      <c r="BK1094" s="2">
        <f t="shared" ca="1" si="1115"/>
        <v>11484928.489737146</v>
      </c>
    </row>
    <row r="1095" spans="1:63" x14ac:dyDescent="0.3">
      <c r="A1095" s="2">
        <v>1094</v>
      </c>
      <c r="B1095" s="2">
        <f t="shared" ca="1" si="1054"/>
        <v>0.38316363637791306</v>
      </c>
      <c r="C1095" s="2">
        <f t="shared" ca="1" si="1055"/>
        <v>6.8754012067365604</v>
      </c>
      <c r="D1095" s="2">
        <f t="shared" ca="1" si="1056"/>
        <v>0.43833054149428563</v>
      </c>
      <c r="E1095" s="2">
        <f t="shared" ca="1" si="1057"/>
        <v>7.4363018119114006</v>
      </c>
      <c r="F1095" s="2">
        <f t="shared" ca="1" si="1058"/>
        <v>0.76291519284519282</v>
      </c>
      <c r="G1095" s="2">
        <f t="shared" ca="1" si="1059"/>
        <v>6.147133985428456E-2</v>
      </c>
      <c r="H1095" s="2">
        <f t="shared" ca="1" si="1060"/>
        <v>6.147133985428456E-2</v>
      </c>
      <c r="I1095" s="2">
        <f t="shared" ca="1" si="1061"/>
        <v>0.96871499394962912</v>
      </c>
      <c r="J1095" s="2">
        <f t="shared" ca="1" si="1062"/>
        <v>1.9311173612853751E-2</v>
      </c>
      <c r="K1095" s="2">
        <f t="shared" ca="1" si="1063"/>
        <v>1.9311173612853751E-2</v>
      </c>
      <c r="L1095" s="2">
        <f t="shared" ca="1" si="1064"/>
        <v>0.23878201439879643</v>
      </c>
      <c r="M1095" s="2">
        <f t="shared" ca="1" si="1065"/>
        <v>-1.4204519076748839E-2</v>
      </c>
      <c r="N1095" s="2">
        <f t="shared" ca="1" si="1066"/>
        <v>-1.4204519076748839E-2</v>
      </c>
      <c r="O1095" s="2">
        <f t="shared" si="1067"/>
        <v>6000000</v>
      </c>
      <c r="P1095" s="2">
        <f t="shared" ca="1" si="1068"/>
        <v>41252407.240419365</v>
      </c>
      <c r="Q1095" s="2">
        <f t="shared" ca="1" si="1069"/>
        <v>1031310.1810104842</v>
      </c>
      <c r="R1095" s="2">
        <f t="shared" ca="1" si="1070"/>
        <v>24751444.344251618</v>
      </c>
      <c r="S1095" s="2">
        <f t="shared" ca="1" si="1071"/>
        <v>16500962.896167748</v>
      </c>
      <c r="T1095" s="2">
        <f t="shared" ca="1" si="1072"/>
        <v>49289774.046162561</v>
      </c>
      <c r="U1095" s="2">
        <f t="shared" ca="1" si="1073"/>
        <v>52319682.497895114</v>
      </c>
      <c r="V1095" s="2">
        <f t="shared" ca="1" si="1074"/>
        <v>55535843.481791489</v>
      </c>
      <c r="W1095" s="2">
        <f t="shared" ca="1" si="1075"/>
        <v>58949706.190555044</v>
      </c>
      <c r="X1095" s="2">
        <f t="shared" ca="1" si="1076"/>
        <v>62573423.614104874</v>
      </c>
      <c r="Y1095" s="2">
        <f t="shared" ca="1" si="1077"/>
        <v>0.12965558680642686</v>
      </c>
      <c r="Z1095" s="2">
        <f t="shared" ca="1" si="1078"/>
        <v>0.13351782152899763</v>
      </c>
      <c r="AA1095" s="2">
        <f t="shared" ca="1" si="1079"/>
        <v>6390694.5775113953</v>
      </c>
      <c r="AB1095" s="2">
        <f t="shared" ca="1" si="1080"/>
        <v>6985610.0302077811</v>
      </c>
      <c r="AC1095" s="2">
        <f t="shared" ca="1" si="1081"/>
        <v>7415024.8384641828</v>
      </c>
      <c r="AD1095" s="2">
        <f t="shared" ca="1" si="1082"/>
        <v>7870836.350337375</v>
      </c>
      <c r="AE1095" s="2">
        <f t="shared" ca="1" si="1083"/>
        <v>8354667.2065664204</v>
      </c>
      <c r="AF1095" s="2">
        <f t="shared" ca="1" si="1084"/>
        <v>985795.48092325125</v>
      </c>
      <c r="AG1095" s="2">
        <f t="shared" ca="1" si="1085"/>
        <v>1046393.6499579023</v>
      </c>
      <c r="AH1095" s="2">
        <f t="shared" ca="1" si="1086"/>
        <v>1110716.8696358297</v>
      </c>
      <c r="AI1095" s="2">
        <f t="shared" ca="1" si="1087"/>
        <v>1178994.1238111008</v>
      </c>
      <c r="AJ1095" s="2">
        <f t="shared" ca="1" si="1088"/>
        <v>1251468.4722820974</v>
      </c>
      <c r="AK1095" s="2">
        <f t="shared" ca="1" si="1089"/>
        <v>0</v>
      </c>
      <c r="AL1095" s="2">
        <f t="shared" ca="1" si="1090"/>
        <v>30299.084517325537</v>
      </c>
      <c r="AM1095" s="2">
        <f t="shared" ca="1" si="1091"/>
        <v>32161.609838963748</v>
      </c>
      <c r="AN1095" s="2">
        <f t="shared" ca="1" si="1092"/>
        <v>34138.627087635548</v>
      </c>
      <c r="AO1095" s="2">
        <f t="shared" ca="1" si="1093"/>
        <v>36237.174235498307</v>
      </c>
      <c r="AP1095" s="2">
        <f t="shared" ca="1" si="1094"/>
        <v>2227629.9909826457</v>
      </c>
      <c r="AQ1095" s="2">
        <f t="shared" ca="1" si="1095"/>
        <v>826089.96745742962</v>
      </c>
      <c r="AR1095" s="2">
        <f t="shared" ca="1" si="1096"/>
        <v>965012.46120948053</v>
      </c>
      <c r="AS1095" s="2">
        <f t="shared" ca="1" si="1097"/>
        <v>1059936.274239884</v>
      </c>
      <c r="AT1095" s="2">
        <f t="shared" ca="1" si="1098"/>
        <v>1160695.1812413437</v>
      </c>
      <c r="AU1095" s="2">
        <f t="shared" ca="1" si="1099"/>
        <v>1267647.8732584359</v>
      </c>
      <c r="AV1095" s="2">
        <f t="shared" ca="1" si="1100"/>
        <v>2351179.1381480689</v>
      </c>
      <c r="AW1095" s="2">
        <f t="shared" ca="1" si="1101"/>
        <v>2716274.8435404268</v>
      </c>
      <c r="AX1095" s="2">
        <f t="shared" ca="1" si="1102"/>
        <v>2984580.0937668602</v>
      </c>
      <c r="AY1095" s="2">
        <f t="shared" ca="1" si="1103"/>
        <v>3269378.427214649</v>
      </c>
      <c r="AZ1095" s="2">
        <f t="shared" ca="1" si="1104"/>
        <v>3571683.6958077424</v>
      </c>
      <c r="BA1095" s="2">
        <f t="shared" ca="1" si="1105"/>
        <v>62127826.886106633</v>
      </c>
      <c r="BB1095" s="2">
        <f t="shared" ca="1" si="1106"/>
        <v>1242556.5377221326</v>
      </c>
      <c r="BC1095" s="2">
        <f t="shared" ca="1" si="1107"/>
        <v>36133826.004132882</v>
      </c>
      <c r="BD1095" s="2">
        <f t="shared" ca="1" si="1108"/>
        <v>-18032273.077178232</v>
      </c>
      <c r="BE1095" s="2">
        <f t="shared" ca="1" si="1109"/>
        <v>2351179.1381480689</v>
      </c>
      <c r="BF1095" s="2">
        <f t="shared" ca="1" si="1110"/>
        <v>2716274.8435404268</v>
      </c>
      <c r="BG1095" s="2">
        <f t="shared" ca="1" si="1111"/>
        <v>2984580.0937668602</v>
      </c>
      <c r="BH1095" s="2">
        <f t="shared" ca="1" si="1112"/>
        <v>3269378.427214649</v>
      </c>
      <c r="BI1095" s="2">
        <f t="shared" ca="1" si="1113"/>
        <v>39705509.699940622</v>
      </c>
      <c r="BJ1095" s="2">
        <f t="shared" ca="1" si="1114"/>
        <v>0.27402927565335733</v>
      </c>
      <c r="BK1095" s="2">
        <f t="shared" ca="1" si="1115"/>
        <v>12964478.463613912</v>
      </c>
    </row>
    <row r="1096" spans="1:63" x14ac:dyDescent="0.3">
      <c r="A1096" s="2">
        <v>1095</v>
      </c>
      <c r="B1096" s="2">
        <f t="shared" ca="1" si="1054"/>
        <v>0.7184557240463989</v>
      </c>
      <c r="C1096" s="2">
        <f t="shared" ca="1" si="1055"/>
        <v>7.2496077346432717</v>
      </c>
      <c r="D1096" s="2">
        <f t="shared" ca="1" si="1056"/>
        <v>0.76742902887528075</v>
      </c>
      <c r="E1096" s="2">
        <f t="shared" ca="1" si="1057"/>
        <v>7.8179868459850361</v>
      </c>
      <c r="F1096" s="2">
        <f t="shared" ca="1" si="1058"/>
        <v>0.24320423135603852</v>
      </c>
      <c r="G1096" s="2">
        <f t="shared" ca="1" si="1059"/>
        <v>1.9119024328682E-2</v>
      </c>
      <c r="H1096" s="2">
        <f t="shared" ca="1" si="1060"/>
        <v>1.9119024328682E-2</v>
      </c>
      <c r="I1096" s="2">
        <f t="shared" ca="1" si="1061"/>
        <v>0.96077228777114165</v>
      </c>
      <c r="J1096" s="2">
        <f t="shared" ca="1" si="1062"/>
        <v>1.8798596126381774E-2</v>
      </c>
      <c r="K1096" s="2">
        <f t="shared" ca="1" si="1063"/>
        <v>1.8798596126381774E-2</v>
      </c>
      <c r="L1096" s="2">
        <f t="shared" ca="1" si="1064"/>
        <v>0.84786412689849355</v>
      </c>
      <c r="M1096" s="2">
        <f t="shared" ca="1" si="1065"/>
        <v>2.0546317642695777E-2</v>
      </c>
      <c r="N1096" s="2">
        <f t="shared" ca="1" si="1066"/>
        <v>2.0546317642695777E-2</v>
      </c>
      <c r="O1096" s="2">
        <f t="shared" si="1067"/>
        <v>6000000</v>
      </c>
      <c r="P1096" s="2">
        <f t="shared" ca="1" si="1068"/>
        <v>43497646.407859631</v>
      </c>
      <c r="Q1096" s="2">
        <f t="shared" ca="1" si="1069"/>
        <v>1087441.1601964908</v>
      </c>
      <c r="R1096" s="2">
        <f t="shared" ca="1" si="1070"/>
        <v>26098587.844715778</v>
      </c>
      <c r="S1096" s="2">
        <f t="shared" ca="1" si="1071"/>
        <v>17399058.563143853</v>
      </c>
      <c r="T1096" s="2">
        <f t="shared" ca="1" si="1072"/>
        <v>51027315.882134795</v>
      </c>
      <c r="U1096" s="2">
        <f t="shared" ca="1" si="1073"/>
        <v>52002908.375912674</v>
      </c>
      <c r="V1096" s="2">
        <f t="shared" ca="1" si="1074"/>
        <v>52997153.246313974</v>
      </c>
      <c r="W1096" s="2">
        <f t="shared" ca="1" si="1075"/>
        <v>54010407.108581141</v>
      </c>
      <c r="X1096" s="2">
        <f t="shared" ca="1" si="1076"/>
        <v>55043033.396092124</v>
      </c>
      <c r="Y1096" s="2">
        <f t="shared" ca="1" si="1077"/>
        <v>0.12939929806319089</v>
      </c>
      <c r="Z1096" s="2">
        <f t="shared" ca="1" si="1078"/>
        <v>0.13315901728846724</v>
      </c>
      <c r="AA1096" s="2">
        <f t="shared" ca="1" si="1079"/>
        <v>6602898.857196955</v>
      </c>
      <c r="AB1096" s="2">
        <f t="shared" ca="1" si="1080"/>
        <v>6924656.1754787331</v>
      </c>
      <c r="AC1096" s="2">
        <f t="shared" ca="1" si="1081"/>
        <v>7057048.8453654703</v>
      </c>
      <c r="AD1096" s="2">
        <f t="shared" ca="1" si="1082"/>
        <v>7191972.7339287102</v>
      </c>
      <c r="AE1096" s="2">
        <f t="shared" ca="1" si="1083"/>
        <v>7329476.2355999108</v>
      </c>
      <c r="AF1096" s="2">
        <f t="shared" ca="1" si="1084"/>
        <v>1020546.317642696</v>
      </c>
      <c r="AG1096" s="2">
        <f t="shared" ca="1" si="1085"/>
        <v>1040058.1675182536</v>
      </c>
      <c r="AH1096" s="2">
        <f t="shared" ca="1" si="1086"/>
        <v>1059943.0649262795</v>
      </c>
      <c r="AI1096" s="2">
        <f t="shared" ca="1" si="1087"/>
        <v>1080208.1421716227</v>
      </c>
      <c r="AJ1096" s="2">
        <f t="shared" ca="1" si="1088"/>
        <v>1100860.6679218425</v>
      </c>
      <c r="AK1096" s="2">
        <f t="shared" ca="1" si="1089"/>
        <v>0</v>
      </c>
      <c r="AL1096" s="2">
        <f t="shared" ca="1" si="1090"/>
        <v>9755.9249377787855</v>
      </c>
      <c r="AM1096" s="2">
        <f t="shared" ca="1" si="1091"/>
        <v>9942.4487040130043</v>
      </c>
      <c r="AN1096" s="2">
        <f t="shared" ca="1" si="1092"/>
        <v>10132.538622671664</v>
      </c>
      <c r="AO1096" s="2">
        <f t="shared" ca="1" si="1093"/>
        <v>10326.262875109836</v>
      </c>
      <c r="AP1096" s="2">
        <f t="shared" ca="1" si="1094"/>
        <v>2348872.9060244197</v>
      </c>
      <c r="AQ1096" s="2">
        <f t="shared" ca="1" si="1095"/>
        <v>840704.70471775823</v>
      </c>
      <c r="AR1096" s="2">
        <f t="shared" ca="1" si="1096"/>
        <v>919288.52650337561</v>
      </c>
      <c r="AS1096" s="2">
        <f t="shared" ca="1" si="1097"/>
        <v>948540.5473478405</v>
      </c>
      <c r="AT1096" s="2">
        <f t="shared" ca="1" si="1098"/>
        <v>978351.83829049359</v>
      </c>
      <c r="AU1096" s="2">
        <f t="shared" ca="1" si="1099"/>
        <v>1008733.0920299486</v>
      </c>
      <c r="AV1096" s="2">
        <f t="shared" ca="1" si="1100"/>
        <v>2392774.928812081</v>
      </c>
      <c r="AW1096" s="2">
        <f t="shared" ca="1" si="1101"/>
        <v>2606680.6504949052</v>
      </c>
      <c r="AX1096" s="2">
        <f t="shared" ca="1" si="1102"/>
        <v>2689749.8783629173</v>
      </c>
      <c r="AY1096" s="2">
        <f t="shared" ca="1" si="1103"/>
        <v>2774407.3088195017</v>
      </c>
      <c r="AZ1096" s="2">
        <f t="shared" ca="1" si="1104"/>
        <v>2860683.3067485895</v>
      </c>
      <c r="BA1096" s="2">
        <f t="shared" ca="1" si="1105"/>
        <v>57301748.797880024</v>
      </c>
      <c r="BB1096" s="2">
        <f t="shared" ca="1" si="1106"/>
        <v>1146034.9759576004</v>
      </c>
      <c r="BC1096" s="2">
        <f t="shared" ca="1" si="1107"/>
        <v>30057125.977206647</v>
      </c>
      <c r="BD1096" s="2">
        <f t="shared" ca="1" si="1108"/>
        <v>-18986499.723340344</v>
      </c>
      <c r="BE1096" s="2">
        <f t="shared" ca="1" si="1109"/>
        <v>2392774.928812081</v>
      </c>
      <c r="BF1096" s="2">
        <f t="shared" ca="1" si="1110"/>
        <v>2606680.6504949052</v>
      </c>
      <c r="BG1096" s="2">
        <f t="shared" ca="1" si="1111"/>
        <v>2689749.8783629173</v>
      </c>
      <c r="BH1096" s="2">
        <f t="shared" ca="1" si="1112"/>
        <v>2774407.3088195017</v>
      </c>
      <c r="BI1096" s="2">
        <f t="shared" ca="1" si="1113"/>
        <v>32917809.283955239</v>
      </c>
      <c r="BJ1096" s="2">
        <f t="shared" ca="1" si="1114"/>
        <v>0.2142717046501823</v>
      </c>
      <c r="BK1096" s="2">
        <f t="shared" ca="1" si="1115"/>
        <v>7584082.1741340347</v>
      </c>
    </row>
    <row r="1097" spans="1:63" x14ac:dyDescent="0.3">
      <c r="A1097" s="2">
        <v>1096</v>
      </c>
      <c r="B1097" s="2">
        <f t="shared" ca="1" si="1054"/>
        <v>0.49633949321581683</v>
      </c>
      <c r="C1097" s="2">
        <f t="shared" ca="1" si="1055"/>
        <v>6.9963327689239341</v>
      </c>
      <c r="D1097" s="2">
        <f t="shared" ca="1" si="1056"/>
        <v>0.84629204103084499</v>
      </c>
      <c r="E1097" s="2">
        <f t="shared" ca="1" si="1057"/>
        <v>7.9455489941046995</v>
      </c>
      <c r="F1097" s="2">
        <f t="shared" ca="1" si="1058"/>
        <v>0.31420344495333985</v>
      </c>
      <c r="G1097" s="2">
        <f t="shared" ca="1" si="1059"/>
        <v>2.5480888576989227E-2</v>
      </c>
      <c r="H1097" s="2">
        <f t="shared" ca="1" si="1060"/>
        <v>2.5480888576989227E-2</v>
      </c>
      <c r="I1097" s="2">
        <f t="shared" ca="1" si="1061"/>
        <v>0.99488451460631844</v>
      </c>
      <c r="J1097" s="2">
        <f t="shared" ca="1" si="1062"/>
        <v>2.283961790343611E-2</v>
      </c>
      <c r="K1097" s="2">
        <f t="shared" ca="1" si="1063"/>
        <v>2.283961790343611E-2</v>
      </c>
      <c r="L1097" s="2">
        <f t="shared" ca="1" si="1064"/>
        <v>0.76389002793513627</v>
      </c>
      <c r="M1097" s="2">
        <f t="shared" ca="1" si="1065"/>
        <v>1.4377434996092592E-2</v>
      </c>
      <c r="N1097" s="2">
        <f t="shared" ca="1" si="1066"/>
        <v>1.4377434996092592E-2</v>
      </c>
      <c r="O1097" s="2">
        <f t="shared" si="1067"/>
        <v>6000000</v>
      </c>
      <c r="P1097" s="2">
        <f t="shared" ca="1" si="1068"/>
        <v>41977996.613543607</v>
      </c>
      <c r="Q1097" s="2">
        <f t="shared" ca="1" si="1069"/>
        <v>1049449.9153385903</v>
      </c>
      <c r="R1097" s="2">
        <f t="shared" ca="1" si="1070"/>
        <v>25186797.968126163</v>
      </c>
      <c r="S1097" s="2">
        <f t="shared" ca="1" si="1071"/>
        <v>16791198.645417444</v>
      </c>
      <c r="T1097" s="2">
        <f t="shared" ca="1" si="1072"/>
        <v>50718871.749804631</v>
      </c>
      <c r="U1097" s="2">
        <f t="shared" ca="1" si="1073"/>
        <v>52011233.669612013</v>
      </c>
      <c r="V1097" s="2">
        <f t="shared" ca="1" si="1074"/>
        <v>53336526.119499147</v>
      </c>
      <c r="W1097" s="2">
        <f t="shared" ca="1" si="1075"/>
        <v>54695588.198633783</v>
      </c>
      <c r="X1097" s="2">
        <f t="shared" ca="1" si="1076"/>
        <v>56089280.387176059</v>
      </c>
      <c r="Y1097" s="2">
        <f t="shared" ca="1" si="1077"/>
        <v>0.13141980895171806</v>
      </c>
      <c r="Z1097" s="2">
        <f t="shared" ca="1" si="1078"/>
        <v>0.13598773253240526</v>
      </c>
      <c r="AA1097" s="2">
        <f t="shared" ca="1" si="1079"/>
        <v>6665464.4356060149</v>
      </c>
      <c r="AB1097" s="2">
        <f t="shared" ca="1" si="1080"/>
        <v>7072889.7329436289</v>
      </c>
      <c r="AC1097" s="2">
        <f t="shared" ca="1" si="1081"/>
        <v>7253113.2481460972</v>
      </c>
      <c r="AD1097" s="2">
        <f t="shared" ca="1" si="1082"/>
        <v>7437929.0186583921</v>
      </c>
      <c r="AE1097" s="2">
        <f t="shared" ca="1" si="1083"/>
        <v>7627454.0592263816</v>
      </c>
      <c r="AF1097" s="2">
        <f t="shared" ca="1" si="1084"/>
        <v>1014377.4349960927</v>
      </c>
      <c r="AG1097" s="2">
        <f t="shared" ca="1" si="1085"/>
        <v>1040224.6733922403</v>
      </c>
      <c r="AH1097" s="2">
        <f t="shared" ca="1" si="1086"/>
        <v>1066730.5223899831</v>
      </c>
      <c r="AI1097" s="2">
        <f t="shared" ca="1" si="1087"/>
        <v>1093911.7639726757</v>
      </c>
      <c r="AJ1097" s="2">
        <f t="shared" ca="1" si="1088"/>
        <v>1121785.6077435212</v>
      </c>
      <c r="AK1097" s="2">
        <f t="shared" ca="1" si="1089"/>
        <v>0</v>
      </c>
      <c r="AL1097" s="2">
        <f t="shared" ca="1" si="1090"/>
        <v>12923.61919807382</v>
      </c>
      <c r="AM1097" s="2">
        <f t="shared" ca="1" si="1091"/>
        <v>13252.924498871342</v>
      </c>
      <c r="AN1097" s="2">
        <f t="shared" ca="1" si="1092"/>
        <v>13590.620791346357</v>
      </c>
      <c r="AO1097" s="2">
        <f t="shared" ca="1" si="1093"/>
        <v>13936.921885422766</v>
      </c>
      <c r="AP1097" s="2">
        <f t="shared" ca="1" si="1094"/>
        <v>2266811.8171313545</v>
      </c>
      <c r="AQ1097" s="2">
        <f t="shared" ca="1" si="1095"/>
        <v>879911.54770442762</v>
      </c>
      <c r="AR1097" s="2">
        <f t="shared" ca="1" si="1096"/>
        <v>979121.84302920895</v>
      </c>
      <c r="AS1097" s="2">
        <f t="shared" ca="1" si="1097"/>
        <v>1019088.4362424376</v>
      </c>
      <c r="AT1097" s="2">
        <f t="shared" ca="1" si="1098"/>
        <v>1060073.4137641343</v>
      </c>
      <c r="AU1097" s="2">
        <f t="shared" ca="1" si="1099"/>
        <v>1102102.7249313917</v>
      </c>
      <c r="AV1097" s="2">
        <f t="shared" ca="1" si="1100"/>
        <v>2504363.6357741402</v>
      </c>
      <c r="AW1097" s="2">
        <f t="shared" ca="1" si="1101"/>
        <v>2773807.7801927524</v>
      </c>
      <c r="AX1097" s="2">
        <f t="shared" ca="1" si="1102"/>
        <v>2887229.547883451</v>
      </c>
      <c r="AY1097" s="2">
        <f t="shared" ca="1" si="1103"/>
        <v>3003541.4029988814</v>
      </c>
      <c r="AZ1097" s="2">
        <f t="shared" ca="1" si="1104"/>
        <v>3122816.9875346916</v>
      </c>
      <c r="BA1097" s="2">
        <f t="shared" ca="1" si="1105"/>
        <v>60604309.927865982</v>
      </c>
      <c r="BB1097" s="2">
        <f t="shared" ca="1" si="1106"/>
        <v>1212086.1985573196</v>
      </c>
      <c r="BC1097" s="2">
        <f t="shared" ca="1" si="1107"/>
        <v>34205425.761182502</v>
      </c>
      <c r="BD1097" s="2">
        <f t="shared" ca="1" si="1108"/>
        <v>-18340648.560756035</v>
      </c>
      <c r="BE1097" s="2">
        <f t="shared" ca="1" si="1109"/>
        <v>2504363.6357741402</v>
      </c>
      <c r="BF1097" s="2">
        <f t="shared" ca="1" si="1110"/>
        <v>2773807.7801927524</v>
      </c>
      <c r="BG1097" s="2">
        <f t="shared" ca="1" si="1111"/>
        <v>2887229.547883451</v>
      </c>
      <c r="BH1097" s="2">
        <f t="shared" ca="1" si="1112"/>
        <v>3003541.4029988814</v>
      </c>
      <c r="BI1097" s="2">
        <f t="shared" ca="1" si="1113"/>
        <v>37328242.748717196</v>
      </c>
      <c r="BJ1097" s="2">
        <f t="shared" ca="1" si="1114"/>
        <v>0.25630421942024695</v>
      </c>
      <c r="BK1097" s="2">
        <f t="shared" ca="1" si="1115"/>
        <v>11251578.21596472</v>
      </c>
    </row>
    <row r="1098" spans="1:63" x14ac:dyDescent="0.3">
      <c r="A1098" s="2">
        <v>1097</v>
      </c>
      <c r="B1098" s="2">
        <f t="shared" ca="1" si="1054"/>
        <v>0.75209045808871366</v>
      </c>
      <c r="C1098" s="2">
        <f t="shared" ca="1" si="1055"/>
        <v>7.2958557791030501</v>
      </c>
      <c r="D1098" s="2">
        <f t="shared" ca="1" si="1056"/>
        <v>0.65878118173717626</v>
      </c>
      <c r="E1098" s="2">
        <f t="shared" ca="1" si="1057"/>
        <v>7.6739021628610526</v>
      </c>
      <c r="F1098" s="2">
        <f t="shared" ca="1" si="1058"/>
        <v>0.22338646519120642</v>
      </c>
      <c r="G1098" s="2">
        <f t="shared" ca="1" si="1059"/>
        <v>1.7175819007816173E-2</v>
      </c>
      <c r="H1098" s="2">
        <f t="shared" ca="1" si="1060"/>
        <v>1.7175819007816173E-2</v>
      </c>
      <c r="I1098" s="2">
        <f t="shared" ca="1" si="1061"/>
        <v>0.40398759174575538</v>
      </c>
      <c r="J1098" s="2">
        <f t="shared" ca="1" si="1062"/>
        <v>8.7848049877130609E-3</v>
      </c>
      <c r="K1098" s="2">
        <f t="shared" ca="1" si="1063"/>
        <v>8.7848049877130609E-3</v>
      </c>
      <c r="L1098" s="2">
        <f t="shared" ca="1" si="1064"/>
        <v>6.512827427329948E-2</v>
      </c>
      <c r="M1098" s="2">
        <f t="shared" ca="1" si="1065"/>
        <v>-3.0261819752472597E-2</v>
      </c>
      <c r="N1098" s="2">
        <f t="shared" ca="1" si="1066"/>
        <v>-3.0261819752472597E-2</v>
      </c>
      <c r="O1098" s="2">
        <f t="shared" si="1067"/>
        <v>6000000</v>
      </c>
      <c r="P1098" s="2">
        <f t="shared" ca="1" si="1068"/>
        <v>43775134.674618304</v>
      </c>
      <c r="Q1098" s="2">
        <f t="shared" ca="1" si="1069"/>
        <v>1094378.3668654577</v>
      </c>
      <c r="R1098" s="2">
        <f t="shared" ca="1" si="1070"/>
        <v>26265080.80477098</v>
      </c>
      <c r="S1098" s="2">
        <f t="shared" ca="1" si="1071"/>
        <v>17510053.869847324</v>
      </c>
      <c r="T1098" s="2">
        <f t="shared" ca="1" si="1072"/>
        <v>48486909.012376375</v>
      </c>
      <c r="U1098" s="2">
        <f t="shared" ca="1" si="1073"/>
        <v>49319711.385821402</v>
      </c>
      <c r="V1098" s="2">
        <f t="shared" ca="1" si="1074"/>
        <v>50166817.822102003</v>
      </c>
      <c r="W1098" s="2">
        <f t="shared" ca="1" si="1075"/>
        <v>51028474.005212516</v>
      </c>
      <c r="X1098" s="2">
        <f t="shared" ca="1" si="1076"/>
        <v>51904929.838971101</v>
      </c>
      <c r="Y1098" s="2">
        <f t="shared" ca="1" si="1077"/>
        <v>0.12439240249385652</v>
      </c>
      <c r="Z1098" s="2">
        <f t="shared" ca="1" si="1078"/>
        <v>0.12614936349139913</v>
      </c>
      <c r="AA1098" s="2">
        <f t="shared" ca="1" si="1079"/>
        <v>6031403.1015505213</v>
      </c>
      <c r="AB1098" s="2">
        <f t="shared" ca="1" si="1080"/>
        <v>6221650.1989008803</v>
      </c>
      <c r="AC1098" s="2">
        <f t="shared" ca="1" si="1081"/>
        <v>6328512.1366471453</v>
      </c>
      <c r="AD1098" s="2">
        <f t="shared" ca="1" si="1082"/>
        <v>6437209.5156949656</v>
      </c>
      <c r="AE1098" s="2">
        <f t="shared" ca="1" si="1083"/>
        <v>6547773.8612519344</v>
      </c>
      <c r="AF1098" s="2">
        <f t="shared" ca="1" si="1084"/>
        <v>969738.18024752755</v>
      </c>
      <c r="AG1098" s="2">
        <f t="shared" ca="1" si="1085"/>
        <v>986394.22771642811</v>
      </c>
      <c r="AH1098" s="2">
        <f t="shared" ca="1" si="1086"/>
        <v>1003336.3564420401</v>
      </c>
      <c r="AI1098" s="2">
        <f t="shared" ca="1" si="1087"/>
        <v>1020569.4801042504</v>
      </c>
      <c r="AJ1098" s="2">
        <f t="shared" ca="1" si="1088"/>
        <v>1038098.596779422</v>
      </c>
      <c r="AK1098" s="2">
        <f t="shared" ca="1" si="1089"/>
        <v>0</v>
      </c>
      <c r="AL1098" s="2">
        <f t="shared" ca="1" si="1090"/>
        <v>8328.0237344502657</v>
      </c>
      <c r="AM1098" s="2">
        <f t="shared" ca="1" si="1091"/>
        <v>8471.0643628060079</v>
      </c>
      <c r="AN1098" s="2">
        <f t="shared" ca="1" si="1092"/>
        <v>8616.5618311051276</v>
      </c>
      <c r="AO1098" s="2">
        <f t="shared" ca="1" si="1093"/>
        <v>8764.5583375858514</v>
      </c>
      <c r="AP1098" s="2">
        <f t="shared" ca="1" si="1094"/>
        <v>2363857.272429388</v>
      </c>
      <c r="AQ1098" s="2">
        <f t="shared" ca="1" si="1095"/>
        <v>701429.98870713753</v>
      </c>
      <c r="AR1098" s="2">
        <f t="shared" ca="1" si="1096"/>
        <v>746563.66167631664</v>
      </c>
      <c r="AS1098" s="2">
        <f t="shared" ca="1" si="1097"/>
        <v>769942.81202168658</v>
      </c>
      <c r="AT1098" s="2">
        <f t="shared" ca="1" si="1098"/>
        <v>793723.51842194528</v>
      </c>
      <c r="AU1098" s="2">
        <f t="shared" ca="1" si="1099"/>
        <v>817912.67793121235</v>
      </c>
      <c r="AV1098" s="2">
        <f t="shared" ca="1" si="1100"/>
        <v>1996377.6601664685</v>
      </c>
      <c r="AW1098" s="2">
        <f t="shared" ca="1" si="1101"/>
        <v>2116507.0133442972</v>
      </c>
      <c r="AX1098" s="2">
        <f t="shared" ca="1" si="1102"/>
        <v>2182904.6313912245</v>
      </c>
      <c r="AY1098" s="2">
        <f t="shared" ca="1" si="1103"/>
        <v>2250442.682908277</v>
      </c>
      <c r="AZ1098" s="2">
        <f t="shared" ca="1" si="1104"/>
        <v>2319140.7557743266</v>
      </c>
      <c r="BA1098" s="2">
        <f t="shared" ca="1" si="1105"/>
        <v>50246975.995786287</v>
      </c>
      <c r="BB1098" s="2">
        <f t="shared" ca="1" si="1106"/>
        <v>1004939.5199157258</v>
      </c>
      <c r="BC1098" s="2">
        <f t="shared" ca="1" si="1107"/>
        <v>22976955.671099581</v>
      </c>
      <c r="BD1098" s="2">
        <f t="shared" ca="1" si="1108"/>
        <v>-19104432.23671278</v>
      </c>
      <c r="BE1098" s="2">
        <f t="shared" ca="1" si="1109"/>
        <v>1996377.6601664685</v>
      </c>
      <c r="BF1098" s="2">
        <f t="shared" ca="1" si="1110"/>
        <v>2116507.0133442972</v>
      </c>
      <c r="BG1098" s="2">
        <f t="shared" ca="1" si="1111"/>
        <v>2182904.6313912245</v>
      </c>
      <c r="BH1098" s="2">
        <f t="shared" ca="1" si="1112"/>
        <v>2250442.682908277</v>
      </c>
      <c r="BI1098" s="2">
        <f t="shared" ca="1" si="1113"/>
        <v>25296096.426873907</v>
      </c>
      <c r="BJ1098" s="2">
        <f t="shared" ca="1" si="1114"/>
        <v>0.14313018388629439</v>
      </c>
      <c r="BK1098" s="2">
        <f t="shared" ca="1" si="1115"/>
        <v>1702944.1161814705</v>
      </c>
    </row>
    <row r="1099" spans="1:63" x14ac:dyDescent="0.3">
      <c r="A1099" s="2">
        <v>1098</v>
      </c>
      <c r="B1099" s="2">
        <f t="shared" ca="1" si="1054"/>
        <v>0.24041776046387842</v>
      </c>
      <c r="C1099" s="2">
        <f t="shared" ca="1" si="1055"/>
        <v>6.6934230461469797</v>
      </c>
      <c r="D1099" s="2">
        <f t="shared" ca="1" si="1056"/>
        <v>0.98450739212301019</v>
      </c>
      <c r="E1099" s="2">
        <f t="shared" ca="1" si="1057"/>
        <v>8.3239738208277547</v>
      </c>
      <c r="F1099" s="2">
        <f t="shared" ca="1" si="1058"/>
        <v>9.3590670972799606E-3</v>
      </c>
      <c r="G1099" s="2">
        <f t="shared" ca="1" si="1059"/>
        <v>-3.0532921549908575E-2</v>
      </c>
      <c r="H1099" s="2">
        <f t="shared" ca="1" si="1060"/>
        <v>-0.02</v>
      </c>
      <c r="I1099" s="2">
        <f t="shared" ca="1" si="1061"/>
        <v>0.27648957903113369</v>
      </c>
      <c r="J1099" s="2">
        <f t="shared" ca="1" si="1062"/>
        <v>7.0334907287034464E-3</v>
      </c>
      <c r="K1099" s="2">
        <f t="shared" ca="1" si="1063"/>
        <v>7.0334907287034464E-3</v>
      </c>
      <c r="L1099" s="2">
        <f t="shared" ca="1" si="1064"/>
        <v>0.32624111051938187</v>
      </c>
      <c r="M1099" s="2">
        <f t="shared" ca="1" si="1065"/>
        <v>-9.0063306165336851E-3</v>
      </c>
      <c r="N1099" s="2">
        <f t="shared" ca="1" si="1066"/>
        <v>-9.0063306165336851E-3</v>
      </c>
      <c r="O1099" s="2">
        <f t="shared" si="1067"/>
        <v>6000000</v>
      </c>
      <c r="P1099" s="2">
        <f t="shared" ca="1" si="1068"/>
        <v>40160538.276881881</v>
      </c>
      <c r="Q1099" s="2">
        <f t="shared" ca="1" si="1069"/>
        <v>1004013.4569220471</v>
      </c>
      <c r="R1099" s="2">
        <f t="shared" ca="1" si="1070"/>
        <v>24096322.966129128</v>
      </c>
      <c r="S1099" s="2">
        <f t="shared" ca="1" si="1071"/>
        <v>16064215.310752753</v>
      </c>
      <c r="T1099" s="2">
        <f t="shared" ca="1" si="1072"/>
        <v>49549683.46917332</v>
      </c>
      <c r="U1099" s="2">
        <f t="shared" ca="1" si="1073"/>
        <v>48558689.799789853</v>
      </c>
      <c r="V1099" s="2">
        <f t="shared" ca="1" si="1074"/>
        <v>47587516.003794059</v>
      </c>
      <c r="W1099" s="2">
        <f t="shared" ca="1" si="1075"/>
        <v>46635765.683718175</v>
      </c>
      <c r="X1099" s="2">
        <f t="shared" ca="1" si="1076"/>
        <v>45703050.370043807</v>
      </c>
      <c r="Y1099" s="2">
        <f t="shared" ca="1" si="1077"/>
        <v>0.12351674536435171</v>
      </c>
      <c r="Z1099" s="2">
        <f t="shared" ca="1" si="1078"/>
        <v>0.12492344351009241</v>
      </c>
      <c r="AA1099" s="2">
        <f t="shared" ca="1" si="1079"/>
        <v>6120215.635946108</v>
      </c>
      <c r="AB1099" s="2">
        <f t="shared" ca="1" si="1080"/>
        <v>6066118.7421281477</v>
      </c>
      <c r="AC1099" s="2">
        <f t="shared" ca="1" si="1081"/>
        <v>5944796.367285586</v>
      </c>
      <c r="AD1099" s="2">
        <f t="shared" ca="1" si="1082"/>
        <v>5825900.4399398733</v>
      </c>
      <c r="AE1099" s="2">
        <f t="shared" ca="1" si="1083"/>
        <v>5709382.4311410757</v>
      </c>
      <c r="AF1099" s="2">
        <f t="shared" ca="1" si="1084"/>
        <v>990993.66938346636</v>
      </c>
      <c r="AG1099" s="2">
        <f t="shared" ca="1" si="1085"/>
        <v>971173.79599579703</v>
      </c>
      <c r="AH1099" s="2">
        <f t="shared" ca="1" si="1086"/>
        <v>951750.3200758812</v>
      </c>
      <c r="AI1099" s="2">
        <f t="shared" ca="1" si="1087"/>
        <v>932715.31367436354</v>
      </c>
      <c r="AJ1099" s="2">
        <f t="shared" ca="1" si="1088"/>
        <v>914061.00740087614</v>
      </c>
      <c r="AK1099" s="2">
        <f t="shared" ca="1" si="1089"/>
        <v>0</v>
      </c>
      <c r="AL1099" s="2">
        <f t="shared" ca="1" si="1090"/>
        <v>0</v>
      </c>
      <c r="AM1099" s="2">
        <f t="shared" ca="1" si="1091"/>
        <v>0</v>
      </c>
      <c r="AN1099" s="2">
        <f t="shared" ca="1" si="1092"/>
        <v>0</v>
      </c>
      <c r="AO1099" s="2">
        <f t="shared" ca="1" si="1093"/>
        <v>0</v>
      </c>
      <c r="AP1099" s="2">
        <f t="shared" ca="1" si="1094"/>
        <v>2168669.0669516213</v>
      </c>
      <c r="AQ1099" s="2">
        <f t="shared" ca="1" si="1095"/>
        <v>769743.75389886531</v>
      </c>
      <c r="AR1099" s="2">
        <f t="shared" ca="1" si="1096"/>
        <v>760831.72858698969</v>
      </c>
      <c r="AS1099" s="2">
        <f t="shared" ca="1" si="1097"/>
        <v>734338.01486710156</v>
      </c>
      <c r="AT1099" s="2">
        <f t="shared" ca="1" si="1098"/>
        <v>708374.17542161106</v>
      </c>
      <c r="AU1099" s="2">
        <f t="shared" ca="1" si="1099"/>
        <v>682929.61276503047</v>
      </c>
      <c r="AV1099" s="2">
        <f t="shared" ca="1" si="1100"/>
        <v>2190809.1457121549</v>
      </c>
      <c r="AW1099" s="2">
        <f t="shared" ca="1" si="1101"/>
        <v>2165444.1505937399</v>
      </c>
      <c r="AX1099" s="2">
        <f t="shared" ca="1" si="1102"/>
        <v>2090038.9653909812</v>
      </c>
      <c r="AY1099" s="2">
        <f t="shared" ca="1" si="1103"/>
        <v>2016141.8838922777</v>
      </c>
      <c r="AZ1099" s="2">
        <f t="shared" ca="1" si="1104"/>
        <v>1943722.744023548</v>
      </c>
      <c r="BA1099" s="2">
        <f t="shared" ca="1" si="1105"/>
        <v>47524749.889912233</v>
      </c>
      <c r="BB1099" s="2">
        <f t="shared" ca="1" si="1106"/>
        <v>950494.9977982447</v>
      </c>
      <c r="BC1099" s="2">
        <f t="shared" ca="1" si="1107"/>
        <v>22477931.925984859</v>
      </c>
      <c r="BD1099" s="2">
        <f t="shared" ca="1" si="1108"/>
        <v>-17568228.7676748</v>
      </c>
      <c r="BE1099" s="2">
        <f t="shared" ca="1" si="1109"/>
        <v>2190809.1457121549</v>
      </c>
      <c r="BF1099" s="2">
        <f t="shared" ca="1" si="1110"/>
        <v>2165444.1505937399</v>
      </c>
      <c r="BG1099" s="2">
        <f t="shared" ca="1" si="1111"/>
        <v>2090038.9653909812</v>
      </c>
      <c r="BH1099" s="2">
        <f t="shared" ca="1" si="1112"/>
        <v>2016141.8838922777</v>
      </c>
      <c r="BI1099" s="2">
        <f t="shared" ca="1" si="1113"/>
        <v>24421654.670008406</v>
      </c>
      <c r="BJ1099" s="2">
        <f t="shared" ca="1" si="1114"/>
        <v>0.16015601695891668</v>
      </c>
      <c r="BK1099" s="2">
        <f t="shared" ca="1" si="1115"/>
        <v>2740575.435159754</v>
      </c>
    </row>
    <row r="1100" spans="1:63" x14ac:dyDescent="0.3">
      <c r="A1100" s="2">
        <v>1099</v>
      </c>
      <c r="B1100" s="2">
        <f t="shared" ca="1" si="1054"/>
        <v>0.79635981082648688</v>
      </c>
      <c r="C1100" s="2">
        <f t="shared" ca="1" si="1055"/>
        <v>7.3618147773984219</v>
      </c>
      <c r="D1100" s="2">
        <f t="shared" ca="1" si="1056"/>
        <v>0.97906220822416179</v>
      </c>
      <c r="E1100" s="2">
        <f t="shared" ca="1" si="1057"/>
        <v>8.2953647548644742</v>
      </c>
      <c r="F1100" s="2">
        <f t="shared" ca="1" si="1058"/>
        <v>0.94752718112743106</v>
      </c>
      <c r="G1100" s="2">
        <f t="shared" ca="1" si="1059"/>
        <v>8.8640074479995584E-2</v>
      </c>
      <c r="H1100" s="2">
        <f t="shared" ca="1" si="1060"/>
        <v>8.8640074479995584E-2</v>
      </c>
      <c r="I1100" s="2">
        <f t="shared" ca="1" si="1061"/>
        <v>0.18588449577881427</v>
      </c>
      <c r="J1100" s="2">
        <f t="shared" ca="1" si="1062"/>
        <v>5.5341766181636002E-3</v>
      </c>
      <c r="K1100" s="2">
        <f t="shared" ca="1" si="1063"/>
        <v>5.5341766181636002E-3</v>
      </c>
      <c r="L1100" s="2">
        <f t="shared" ca="1" si="1064"/>
        <v>0.96639511368720399</v>
      </c>
      <c r="M1100" s="2">
        <f t="shared" ca="1" si="1065"/>
        <v>3.6605373558626933E-2</v>
      </c>
      <c r="N1100" s="2">
        <f t="shared" ca="1" si="1066"/>
        <v>3.6605373558626933E-2</v>
      </c>
      <c r="O1100" s="2">
        <f t="shared" si="1067"/>
        <v>6000000</v>
      </c>
      <c r="P1100" s="2">
        <f t="shared" ca="1" si="1068"/>
        <v>44170888.664390534</v>
      </c>
      <c r="Q1100" s="2">
        <f t="shared" ca="1" si="1069"/>
        <v>1104272.2166097634</v>
      </c>
      <c r="R1100" s="2">
        <f t="shared" ca="1" si="1070"/>
        <v>26502533.198634319</v>
      </c>
      <c r="S1100" s="2">
        <f t="shared" ca="1" si="1071"/>
        <v>17668355.465756215</v>
      </c>
      <c r="T1100" s="2">
        <f t="shared" ca="1" si="1072"/>
        <v>51830268.677931346</v>
      </c>
      <c r="U1100" s="2">
        <f t="shared" ca="1" si="1073"/>
        <v>56424507.553861365</v>
      </c>
      <c r="V1100" s="2">
        <f t="shared" ca="1" si="1074"/>
        <v>61425980.105932705</v>
      </c>
      <c r="W1100" s="2">
        <f t="shared" ca="1" si="1075"/>
        <v>66870783.557529308</v>
      </c>
      <c r="X1100" s="2">
        <f t="shared" ca="1" si="1076"/>
        <v>72798214.792604372</v>
      </c>
      <c r="Y1100" s="2">
        <f t="shared" ca="1" si="1077"/>
        <v>0.1227670883090818</v>
      </c>
      <c r="Z1100" s="2">
        <f t="shared" ca="1" si="1078"/>
        <v>0.12387392363271452</v>
      </c>
      <c r="AA1100" s="2">
        <f t="shared" ca="1" si="1079"/>
        <v>6363051.1718670335</v>
      </c>
      <c r="AB1100" s="2">
        <f t="shared" ca="1" si="1080"/>
        <v>6989525.1397405462</v>
      </c>
      <c r="AC1100" s="2">
        <f t="shared" ca="1" si="1081"/>
        <v>7609077.1687069489</v>
      </c>
      <c r="AD1100" s="2">
        <f t="shared" ca="1" si="1082"/>
        <v>8283546.3356651673</v>
      </c>
      <c r="AE1100" s="2">
        <f t="shared" ca="1" si="1083"/>
        <v>9017800.4998170231</v>
      </c>
      <c r="AF1100" s="2">
        <f t="shared" ca="1" si="1084"/>
        <v>1036605.373558627</v>
      </c>
      <c r="AG1100" s="2">
        <f t="shared" ca="1" si="1085"/>
        <v>1128490.1510772274</v>
      </c>
      <c r="AH1100" s="2">
        <f t="shared" ca="1" si="1086"/>
        <v>1228519.6021186542</v>
      </c>
      <c r="AI1100" s="2">
        <f t="shared" ca="1" si="1087"/>
        <v>1337415.6711505861</v>
      </c>
      <c r="AJ1100" s="2">
        <f t="shared" ca="1" si="1088"/>
        <v>1455964.2958520874</v>
      </c>
      <c r="AK1100" s="2">
        <f t="shared" ca="1" si="1089"/>
        <v>0</v>
      </c>
      <c r="AL1100" s="2">
        <f t="shared" ca="1" si="1090"/>
        <v>45942.388759300185</v>
      </c>
      <c r="AM1100" s="2">
        <f t="shared" ca="1" si="1091"/>
        <v>50014.725520713408</v>
      </c>
      <c r="AN1100" s="2">
        <f t="shared" ca="1" si="1092"/>
        <v>54448.034515966028</v>
      </c>
      <c r="AO1100" s="2">
        <f t="shared" ca="1" si="1093"/>
        <v>59274.312350750639</v>
      </c>
      <c r="AP1100" s="2">
        <f t="shared" ca="1" si="1094"/>
        <v>2385227.9878770886</v>
      </c>
      <c r="AQ1100" s="2">
        <f t="shared" ca="1" si="1095"/>
        <v>764716.63071214256</v>
      </c>
      <c r="AR1100" s="2">
        <f t="shared" ca="1" si="1096"/>
        <v>903709.82020441978</v>
      </c>
      <c r="AS1100" s="2">
        <f t="shared" ca="1" si="1097"/>
        <v>1038785.6904649136</v>
      </c>
      <c r="AT1100" s="2">
        <f t="shared" ca="1" si="1098"/>
        <v>1185834.695925748</v>
      </c>
      <c r="AU1100" s="2">
        <f t="shared" ca="1" si="1099"/>
        <v>1345918.1361828402</v>
      </c>
      <c r="AV1100" s="2">
        <f t="shared" ca="1" si="1100"/>
        <v>2176501.1797191752</v>
      </c>
      <c r="AW1100" s="2">
        <f t="shared" ca="1" si="1101"/>
        <v>2526154.7918225098</v>
      </c>
      <c r="AX1100" s="2">
        <f t="shared" ca="1" si="1102"/>
        <v>2906529.162725579</v>
      </c>
      <c r="AY1100" s="2">
        <f t="shared" ca="1" si="1103"/>
        <v>3320619.9461957784</v>
      </c>
      <c r="AZ1100" s="2">
        <f t="shared" ca="1" si="1104"/>
        <v>3771415.7675542561</v>
      </c>
      <c r="BA1100" s="2">
        <f t="shared" ca="1" si="1105"/>
        <v>74805944.432581365</v>
      </c>
      <c r="BB1100" s="2">
        <f t="shared" ca="1" si="1106"/>
        <v>1496118.8886516273</v>
      </c>
      <c r="BC1100" s="2">
        <f t="shared" ca="1" si="1107"/>
        <v>46807292.345295422</v>
      </c>
      <c r="BD1100" s="2">
        <f t="shared" ca="1" si="1108"/>
        <v>-19272627.68236598</v>
      </c>
      <c r="BE1100" s="2">
        <f t="shared" ca="1" si="1109"/>
        <v>2176501.1797191752</v>
      </c>
      <c r="BF1100" s="2">
        <f t="shared" ca="1" si="1110"/>
        <v>2526154.7918225098</v>
      </c>
      <c r="BG1100" s="2">
        <f t="shared" ca="1" si="1111"/>
        <v>2906529.162725579</v>
      </c>
      <c r="BH1100" s="2">
        <f t="shared" ca="1" si="1112"/>
        <v>3320619.9461957784</v>
      </c>
      <c r="BI1100" s="2">
        <f t="shared" ca="1" si="1113"/>
        <v>50578708.112849675</v>
      </c>
      <c r="BJ1100" s="2">
        <f t="shared" ca="1" si="1114"/>
        <v>0.30006839668844565</v>
      </c>
      <c r="BK1100" s="2">
        <f t="shared" ca="1" si="1115"/>
        <v>17563353.441994261</v>
      </c>
    </row>
    <row r="1101" spans="1:63" x14ac:dyDescent="0.3">
      <c r="A1101" s="2">
        <v>1100</v>
      </c>
      <c r="B1101" s="2">
        <f t="shared" ca="1" si="1054"/>
        <v>0.46408278035899864</v>
      </c>
      <c r="C1101" s="2">
        <f t="shared" ca="1" si="1055"/>
        <v>6.963413494153988</v>
      </c>
      <c r="D1101" s="2">
        <f t="shared" ca="1" si="1056"/>
        <v>0.32758527353072742</v>
      </c>
      <c r="E1101" s="2">
        <f t="shared" ca="1" si="1057"/>
        <v>7.30942606028065</v>
      </c>
      <c r="F1101" s="2">
        <f t="shared" ca="1" si="1058"/>
        <v>0.66657788893890824</v>
      </c>
      <c r="G1101" s="2">
        <f t="shared" ca="1" si="1059"/>
        <v>5.2914494464366919E-2</v>
      </c>
      <c r="H1101" s="2">
        <f t="shared" ca="1" si="1060"/>
        <v>5.2914494464366919E-2</v>
      </c>
      <c r="I1101" s="2">
        <f t="shared" ca="1" si="1061"/>
        <v>0.43084266196024423</v>
      </c>
      <c r="J1101" s="2">
        <f t="shared" ca="1" si="1062"/>
        <v>9.1288539091601787E-3</v>
      </c>
      <c r="K1101" s="2">
        <f t="shared" ca="1" si="1063"/>
        <v>9.1288539091601787E-3</v>
      </c>
      <c r="L1101" s="2">
        <f t="shared" ca="1" si="1064"/>
        <v>7.5676470043055888E-2</v>
      </c>
      <c r="M1101" s="2">
        <f t="shared" ca="1" si="1065"/>
        <v>-2.8695379603867428E-2</v>
      </c>
      <c r="N1101" s="2">
        <f t="shared" ca="1" si="1066"/>
        <v>-2.8695379603867428E-2</v>
      </c>
      <c r="O1101" s="2">
        <f t="shared" si="1067"/>
        <v>6000000</v>
      </c>
      <c r="P1101" s="2">
        <f t="shared" ca="1" si="1068"/>
        <v>41780480.964923926</v>
      </c>
      <c r="Q1101" s="2">
        <f t="shared" ca="1" si="1069"/>
        <v>1044512.0241230982</v>
      </c>
      <c r="R1101" s="2">
        <f t="shared" ca="1" si="1070"/>
        <v>25068288.578954354</v>
      </c>
      <c r="S1101" s="2">
        <f t="shared" ca="1" si="1071"/>
        <v>16712192.385969572</v>
      </c>
      <c r="T1101" s="2">
        <f t="shared" ca="1" si="1072"/>
        <v>48565231.019806623</v>
      </c>
      <c r="U1101" s="2">
        <f t="shared" ca="1" si="1073"/>
        <v>51135035.66776488</v>
      </c>
      <c r="V1101" s="2">
        <f t="shared" ca="1" si="1074"/>
        <v>53840820.229542032</v>
      </c>
      <c r="W1101" s="2">
        <f t="shared" ca="1" si="1075"/>
        <v>56689780.013535105</v>
      </c>
      <c r="X1101" s="2">
        <f t="shared" ca="1" si="1076"/>
        <v>59689491.064247489</v>
      </c>
      <c r="Y1101" s="2">
        <f t="shared" ca="1" si="1077"/>
        <v>0.12456442695458009</v>
      </c>
      <c r="Z1101" s="2">
        <f t="shared" ca="1" si="1078"/>
        <v>0.12639019773641211</v>
      </c>
      <c r="AA1101" s="2">
        <f t="shared" ca="1" si="1079"/>
        <v>6049500.1718990095</v>
      </c>
      <c r="AB1101" s="2">
        <f t="shared" ca="1" si="1080"/>
        <v>6462967.2693072893</v>
      </c>
      <c r="AC1101" s="2">
        <f t="shared" ca="1" si="1081"/>
        <v>6804951.9151024343</v>
      </c>
      <c r="AD1101" s="2">
        <f t="shared" ca="1" si="1082"/>
        <v>7165032.5055444045</v>
      </c>
      <c r="AE1101" s="2">
        <f t="shared" ca="1" si="1083"/>
        <v>7544166.5783960437</v>
      </c>
      <c r="AF1101" s="2">
        <f t="shared" ca="1" si="1084"/>
        <v>971304.62039613246</v>
      </c>
      <c r="AG1101" s="2">
        <f t="shared" ca="1" si="1085"/>
        <v>1022700.7133552976</v>
      </c>
      <c r="AH1101" s="2">
        <f t="shared" ca="1" si="1086"/>
        <v>1076816.4045908407</v>
      </c>
      <c r="AI1101" s="2">
        <f t="shared" ca="1" si="1087"/>
        <v>1133795.600270702</v>
      </c>
      <c r="AJ1101" s="2">
        <f t="shared" ca="1" si="1088"/>
        <v>1193789.8212849498</v>
      </c>
      <c r="AK1101" s="2">
        <f t="shared" ca="1" si="1089"/>
        <v>0</v>
      </c>
      <c r="AL1101" s="2">
        <f t="shared" ca="1" si="1090"/>
        <v>25698.046479582565</v>
      </c>
      <c r="AM1101" s="2">
        <f t="shared" ca="1" si="1091"/>
        <v>27057.845617771523</v>
      </c>
      <c r="AN1101" s="2">
        <f t="shared" ca="1" si="1092"/>
        <v>28489.597839930728</v>
      </c>
      <c r="AO1101" s="2">
        <f t="shared" ca="1" si="1093"/>
        <v>29997.110507123842</v>
      </c>
      <c r="AP1101" s="2">
        <f t="shared" ca="1" si="1094"/>
        <v>2256145.9721058919</v>
      </c>
      <c r="AQ1101" s="2">
        <f t="shared" ca="1" si="1095"/>
        <v>733732.89064321609</v>
      </c>
      <c r="AR1101" s="2">
        <f t="shared" ca="1" si="1096"/>
        <v>827871.35179998609</v>
      </c>
      <c r="AS1101" s="2">
        <f t="shared" ca="1" si="1097"/>
        <v>902717.27998548257</v>
      </c>
      <c r="AT1101" s="2">
        <f t="shared" ca="1" si="1098"/>
        <v>981523.6426236307</v>
      </c>
      <c r="AU1101" s="2">
        <f t="shared" ca="1" si="1099"/>
        <v>1064500.0041013525</v>
      </c>
      <c r="AV1101" s="2">
        <f t="shared" ca="1" si="1100"/>
        <v>2088316.6887537693</v>
      </c>
      <c r="AW1101" s="2">
        <f t="shared" ca="1" si="1101"/>
        <v>2330551.185566531</v>
      </c>
      <c r="AX1101" s="2">
        <f t="shared" ca="1" si="1102"/>
        <v>2542214.412802448</v>
      </c>
      <c r="AY1101" s="2">
        <f t="shared" ca="1" si="1103"/>
        <v>2765077.6927042487</v>
      </c>
      <c r="AZ1101" s="2">
        <f t="shared" ca="1" si="1104"/>
        <v>2999733.6703967252</v>
      </c>
      <c r="BA1101" s="2">
        <f t="shared" ca="1" si="1105"/>
        <v>55143527.791226342</v>
      </c>
      <c r="BB1101" s="2">
        <f t="shared" ca="1" si="1106"/>
        <v>1102870.5558245268</v>
      </c>
      <c r="BC1101" s="2">
        <f t="shared" ca="1" si="1107"/>
        <v>28972368.656447463</v>
      </c>
      <c r="BD1101" s="2">
        <f t="shared" ca="1" si="1108"/>
        <v>-18256704.41009267</v>
      </c>
      <c r="BE1101" s="2">
        <f t="shared" ca="1" si="1109"/>
        <v>2088316.6887537693</v>
      </c>
      <c r="BF1101" s="2">
        <f t="shared" ca="1" si="1110"/>
        <v>2330551.185566531</v>
      </c>
      <c r="BG1101" s="2">
        <f t="shared" ca="1" si="1111"/>
        <v>2542214.412802448</v>
      </c>
      <c r="BH1101" s="2">
        <f t="shared" ca="1" si="1112"/>
        <v>2765077.6927042487</v>
      </c>
      <c r="BI1101" s="2">
        <f t="shared" ca="1" si="1113"/>
        <v>31972102.326844189</v>
      </c>
      <c r="BJ1101" s="2">
        <f t="shared" ca="1" si="1114"/>
        <v>0.2117991674388866</v>
      </c>
      <c r="BK1101" s="2">
        <f t="shared" ca="1" si="1115"/>
        <v>7174349.5591431409</v>
      </c>
    </row>
    <row r="1102" spans="1:63" x14ac:dyDescent="0.3">
      <c r="A1102" s="2">
        <v>1101</v>
      </c>
      <c r="B1102" s="2">
        <f t="shared" ca="1" si="1054"/>
        <v>0.79533487842603268</v>
      </c>
      <c r="C1102" s="2">
        <f t="shared" ca="1" si="1055"/>
        <v>7.360210782250955</v>
      </c>
      <c r="D1102" s="2">
        <f t="shared" ca="1" si="1056"/>
        <v>0.8623856154266063</v>
      </c>
      <c r="E1102" s="2">
        <f t="shared" ca="1" si="1057"/>
        <v>7.9753774984364592</v>
      </c>
      <c r="F1102" s="2">
        <f t="shared" ca="1" si="1058"/>
        <v>0.38199785940875364</v>
      </c>
      <c r="G1102" s="2">
        <f t="shared" ca="1" si="1059"/>
        <v>3.0992863827598506E-2</v>
      </c>
      <c r="H1102" s="2">
        <f t="shared" ca="1" si="1060"/>
        <v>3.0992863827598506E-2</v>
      </c>
      <c r="I1102" s="2">
        <f t="shared" ca="1" si="1061"/>
        <v>0.15897012715315018</v>
      </c>
      <c r="J1102" s="2">
        <f t="shared" ca="1" si="1062"/>
        <v>5.0065022043144234E-3</v>
      </c>
      <c r="K1102" s="2">
        <f t="shared" ca="1" si="1063"/>
        <v>5.0065022043144234E-3</v>
      </c>
      <c r="L1102" s="2">
        <f t="shared" ca="1" si="1064"/>
        <v>0.34644640779440172</v>
      </c>
      <c r="M1102" s="2">
        <f t="shared" ca="1" si="1065"/>
        <v>-7.8986469764324475E-3</v>
      </c>
      <c r="N1102" s="2">
        <f t="shared" ca="1" si="1066"/>
        <v>-7.8986469764324475E-3</v>
      </c>
      <c r="O1102" s="2">
        <f t="shared" si="1067"/>
        <v>6000000</v>
      </c>
      <c r="P1102" s="2">
        <f t="shared" ca="1" si="1068"/>
        <v>44161264.693505727</v>
      </c>
      <c r="Q1102" s="2">
        <f t="shared" ca="1" si="1069"/>
        <v>1104031.6173376432</v>
      </c>
      <c r="R1102" s="2">
        <f t="shared" ca="1" si="1070"/>
        <v>26496758.816103436</v>
      </c>
      <c r="S1102" s="2">
        <f t="shared" ca="1" si="1071"/>
        <v>17664505.877402291</v>
      </c>
      <c r="T1102" s="2">
        <f t="shared" ca="1" si="1072"/>
        <v>49605067.651178375</v>
      </c>
      <c r="U1102" s="2">
        <f t="shared" ca="1" si="1073"/>
        <v>51142470.758050159</v>
      </c>
      <c r="V1102" s="2">
        <f t="shared" ca="1" si="1074"/>
        <v>52727522.390061341</v>
      </c>
      <c r="W1102" s="2">
        <f t="shared" ca="1" si="1075"/>
        <v>54361699.311463162</v>
      </c>
      <c r="X1102" s="2">
        <f t="shared" ca="1" si="1076"/>
        <v>56046524.055660196</v>
      </c>
      <c r="Y1102" s="2">
        <f t="shared" ca="1" si="1077"/>
        <v>0.12250325110215721</v>
      </c>
      <c r="Z1102" s="2">
        <f t="shared" ca="1" si="1078"/>
        <v>0.12350455154302009</v>
      </c>
      <c r="AA1102" s="2">
        <f t="shared" ca="1" si="1079"/>
        <v>6076782.0584118003</v>
      </c>
      <c r="AB1102" s="2">
        <f t="shared" ca="1" si="1080"/>
        <v>6316327.9157750038</v>
      </c>
      <c r="AC1102" s="2">
        <f t="shared" ca="1" si="1081"/>
        <v>6512089.0067590764</v>
      </c>
      <c r="AD1102" s="2">
        <f t="shared" ca="1" si="1082"/>
        <v>6713917.2945787618</v>
      </c>
      <c r="AE1102" s="2">
        <f t="shared" ca="1" si="1083"/>
        <v>6922000.8190393997</v>
      </c>
      <c r="AF1102" s="2">
        <f t="shared" ca="1" si="1084"/>
        <v>992101.35302356747</v>
      </c>
      <c r="AG1102" s="2">
        <f t="shared" ca="1" si="1085"/>
        <v>1022849.4151610032</v>
      </c>
      <c r="AH1102" s="2">
        <f t="shared" ca="1" si="1086"/>
        <v>1054550.4478012268</v>
      </c>
      <c r="AI1102" s="2">
        <f t="shared" ca="1" si="1087"/>
        <v>1087233.9862292632</v>
      </c>
      <c r="AJ1102" s="2">
        <f t="shared" ca="1" si="1088"/>
        <v>1120930.481113204</v>
      </c>
      <c r="AK1102" s="2">
        <f t="shared" ca="1" si="1089"/>
        <v>0</v>
      </c>
      <c r="AL1102" s="2">
        <f t="shared" ca="1" si="1090"/>
        <v>15374.031068717837</v>
      </c>
      <c r="AM1102" s="2">
        <f t="shared" ca="1" si="1091"/>
        <v>15850.516320111827</v>
      </c>
      <c r="AN1102" s="2">
        <f t="shared" ca="1" si="1092"/>
        <v>16341.769214018212</v>
      </c>
      <c r="AO1102" s="2">
        <f t="shared" ca="1" si="1093"/>
        <v>16848.247441970332</v>
      </c>
      <c r="AP1102" s="2">
        <f t="shared" ca="1" si="1094"/>
        <v>2384708.2934493092</v>
      </c>
      <c r="AQ1102" s="2">
        <f t="shared" ca="1" si="1095"/>
        <v>701992.82710412028</v>
      </c>
      <c r="AR1102" s="2">
        <f t="shared" ca="1" si="1096"/>
        <v>756280.25386281975</v>
      </c>
      <c r="AS1102" s="2">
        <f t="shared" ca="1" si="1097"/>
        <v>798935.86903222057</v>
      </c>
      <c r="AT1102" s="2">
        <f t="shared" ca="1" si="1098"/>
        <v>842913.50387404929</v>
      </c>
      <c r="AU1102" s="2">
        <f t="shared" ca="1" si="1099"/>
        <v>888254.13156399061</v>
      </c>
      <c r="AV1102" s="2">
        <f t="shared" ca="1" si="1100"/>
        <v>1997979.5848348034</v>
      </c>
      <c r="AW1102" s="2">
        <f t="shared" ca="1" si="1101"/>
        <v>2137115.9222331536</v>
      </c>
      <c r="AX1102" s="2">
        <f t="shared" ca="1" si="1102"/>
        <v>2258043.8801562074</v>
      </c>
      <c r="AY1102" s="2">
        <f t="shared" ca="1" si="1103"/>
        <v>2382719.7418121216</v>
      </c>
      <c r="AZ1102" s="2">
        <f t="shared" ca="1" si="1104"/>
        <v>2511259.6654709256</v>
      </c>
      <c r="BA1102" s="2">
        <f t="shared" ca="1" si="1105"/>
        <v>55205569.576325566</v>
      </c>
      <c r="BB1102" s="2">
        <f t="shared" ca="1" si="1106"/>
        <v>1104111.3915265114</v>
      </c>
      <c r="BC1102" s="2">
        <f t="shared" ca="1" si="1107"/>
        <v>27604699.368695617</v>
      </c>
      <c r="BD1102" s="2">
        <f t="shared" ca="1" si="1108"/>
        <v>-19268537.494739935</v>
      </c>
      <c r="BE1102" s="2">
        <f t="shared" ca="1" si="1109"/>
        <v>1997979.5848348034</v>
      </c>
      <c r="BF1102" s="2">
        <f t="shared" ca="1" si="1110"/>
        <v>2137115.9222331536</v>
      </c>
      <c r="BG1102" s="2">
        <f t="shared" ca="1" si="1111"/>
        <v>2258043.8801562074</v>
      </c>
      <c r="BH1102" s="2">
        <f t="shared" ca="1" si="1112"/>
        <v>2382719.7418121216</v>
      </c>
      <c r="BI1102" s="2">
        <f t="shared" ca="1" si="1113"/>
        <v>30115959.034166541</v>
      </c>
      <c r="BJ1102" s="2">
        <f t="shared" ca="1" si="1114"/>
        <v>0.17598936597300163</v>
      </c>
      <c r="BK1102" s="2">
        <f t="shared" ca="1" si="1115"/>
        <v>4429165.0236757323</v>
      </c>
    </row>
    <row r="1103" spans="1:63" x14ac:dyDescent="0.3">
      <c r="A1103" s="2">
        <v>1102</v>
      </c>
      <c r="B1103" s="2">
        <f t="shared" ca="1" si="1054"/>
        <v>0.891497582389989</v>
      </c>
      <c r="C1103" s="2">
        <f t="shared" ca="1" si="1055"/>
        <v>7.5341622222060325</v>
      </c>
      <c r="D1103" s="2">
        <f t="shared" ca="1" si="1056"/>
        <v>0.82004538921716574</v>
      </c>
      <c r="E1103" s="2">
        <f t="shared" ca="1" si="1057"/>
        <v>7.9000756534648149</v>
      </c>
      <c r="F1103" s="2">
        <f t="shared" ca="1" si="1058"/>
        <v>0.26685511436667197</v>
      </c>
      <c r="G1103" s="2">
        <f t="shared" ca="1" si="1059"/>
        <v>2.1329430564772125E-2</v>
      </c>
      <c r="H1103" s="2">
        <f t="shared" ca="1" si="1060"/>
        <v>2.1329430564772125E-2</v>
      </c>
      <c r="I1103" s="2">
        <f t="shared" ca="1" si="1061"/>
        <v>0.4395610249396783</v>
      </c>
      <c r="J1103" s="2">
        <f t="shared" ca="1" si="1062"/>
        <v>9.2395886617407594E-3</v>
      </c>
      <c r="K1103" s="2">
        <f t="shared" ca="1" si="1063"/>
        <v>9.2395886617407594E-3</v>
      </c>
      <c r="L1103" s="2">
        <f t="shared" ca="1" si="1064"/>
        <v>0.65072781955565984</v>
      </c>
      <c r="M1103" s="2">
        <f t="shared" ca="1" si="1065"/>
        <v>7.7457234561954594E-3</v>
      </c>
      <c r="N1103" s="2">
        <f t="shared" ca="1" si="1066"/>
        <v>7.7457234561954594E-3</v>
      </c>
      <c r="O1103" s="2">
        <f t="shared" si="1067"/>
        <v>6000000</v>
      </c>
      <c r="P1103" s="2">
        <f t="shared" ca="1" si="1068"/>
        <v>45204973.333236195</v>
      </c>
      <c r="Q1103" s="2">
        <f t="shared" ca="1" si="1069"/>
        <v>1130124.3333309048</v>
      </c>
      <c r="R1103" s="2">
        <f t="shared" ca="1" si="1070"/>
        <v>27122983.999941718</v>
      </c>
      <c r="S1103" s="2">
        <f t="shared" ca="1" si="1071"/>
        <v>18081989.333294477</v>
      </c>
      <c r="T1103" s="2">
        <f t="shared" ca="1" si="1072"/>
        <v>50387286.172809772</v>
      </c>
      <c r="U1103" s="2">
        <f t="shared" ca="1" si="1073"/>
        <v>51462018.294580027</v>
      </c>
      <c r="V1103" s="2">
        <f t="shared" ca="1" si="1074"/>
        <v>52559673.840517312</v>
      </c>
      <c r="W1103" s="2">
        <f t="shared" ca="1" si="1075"/>
        <v>53680741.754205704</v>
      </c>
      <c r="X1103" s="2">
        <f t="shared" ca="1" si="1076"/>
        <v>54825721.408117503</v>
      </c>
      <c r="Y1103" s="2">
        <f t="shared" ca="1" si="1077"/>
        <v>0.12461979433087038</v>
      </c>
      <c r="Z1103" s="2">
        <f t="shared" ca="1" si="1078"/>
        <v>0.12646771206321852</v>
      </c>
      <c r="AA1103" s="2">
        <f t="shared" ca="1" si="1079"/>
        <v>6279253.2397462623</v>
      </c>
      <c r="AB1103" s="2">
        <f t="shared" ca="1" si="1080"/>
        <v>6508283.7118710307</v>
      </c>
      <c r="AC1103" s="2">
        <f t="shared" ca="1" si="1081"/>
        <v>6647101.6973992223</v>
      </c>
      <c r="AD1103" s="2">
        <f t="shared" ca="1" si="1082"/>
        <v>6788880.5915108789</v>
      </c>
      <c r="AE1103" s="2">
        <f t="shared" ca="1" si="1083"/>
        <v>6933683.5487000402</v>
      </c>
      <c r="AF1103" s="2">
        <f t="shared" ca="1" si="1084"/>
        <v>1007745.7234561954</v>
      </c>
      <c r="AG1103" s="2">
        <f t="shared" ca="1" si="1085"/>
        <v>1029240.3658916006</v>
      </c>
      <c r="AH1103" s="2">
        <f t="shared" ca="1" si="1086"/>
        <v>1051193.4768103464</v>
      </c>
      <c r="AI1103" s="2">
        <f t="shared" ca="1" si="1087"/>
        <v>1073614.835084114</v>
      </c>
      <c r="AJ1103" s="2">
        <f t="shared" ca="1" si="1088"/>
        <v>1096514.4281623501</v>
      </c>
      <c r="AK1103" s="2">
        <f t="shared" ca="1" si="1089"/>
        <v>0</v>
      </c>
      <c r="AL1103" s="2">
        <f t="shared" ca="1" si="1090"/>
        <v>10747.321217702553</v>
      </c>
      <c r="AM1103" s="2">
        <f t="shared" ca="1" si="1091"/>
        <v>10976.555459372848</v>
      </c>
      <c r="AN1103" s="2">
        <f t="shared" ca="1" si="1092"/>
        <v>11210.679136883915</v>
      </c>
      <c r="AO1103" s="2">
        <f t="shared" ca="1" si="1093"/>
        <v>11449.796539117991</v>
      </c>
      <c r="AP1103" s="2">
        <f t="shared" ca="1" si="1094"/>
        <v>2441068.5599947544</v>
      </c>
      <c r="AQ1103" s="2">
        <f t="shared" ca="1" si="1095"/>
        <v>735914.12863678124</v>
      </c>
      <c r="AR1103" s="2">
        <f t="shared" ca="1" si="1096"/>
        <v>789873.44435601565</v>
      </c>
      <c r="AS1103" s="2">
        <f t="shared" ca="1" si="1097"/>
        <v>820258.31175447162</v>
      </c>
      <c r="AT1103" s="2">
        <f t="shared" ca="1" si="1098"/>
        <v>851291.27107232274</v>
      </c>
      <c r="AU1103" s="2">
        <f t="shared" ca="1" si="1099"/>
        <v>882986.14574116329</v>
      </c>
      <c r="AV1103" s="2">
        <f t="shared" ca="1" si="1100"/>
        <v>2094524.8276585313</v>
      </c>
      <c r="AW1103" s="2">
        <f t="shared" ca="1" si="1101"/>
        <v>2237354.0204109568</v>
      </c>
      <c r="AX1103" s="2">
        <f t="shared" ca="1" si="1102"/>
        <v>2323604.7933802772</v>
      </c>
      <c r="AY1103" s="2">
        <f t="shared" ca="1" si="1103"/>
        <v>2411695.2462228043</v>
      </c>
      <c r="AZ1103" s="2">
        <f t="shared" ca="1" si="1104"/>
        <v>2501664.6182626551</v>
      </c>
      <c r="BA1103" s="2">
        <f t="shared" ca="1" si="1105"/>
        <v>54776624.591914706</v>
      </c>
      <c r="BB1103" s="2">
        <f t="shared" ca="1" si="1106"/>
        <v>1095532.4918382941</v>
      </c>
      <c r="BC1103" s="2">
        <f t="shared" ca="1" si="1107"/>
        <v>26558108.100134693</v>
      </c>
      <c r="BD1103" s="2">
        <f t="shared" ca="1" si="1108"/>
        <v>-19712113.666625381</v>
      </c>
      <c r="BE1103" s="2">
        <f t="shared" ca="1" si="1109"/>
        <v>2094524.8276585313</v>
      </c>
      <c r="BF1103" s="2">
        <f t="shared" ca="1" si="1110"/>
        <v>2237354.0204109568</v>
      </c>
      <c r="BG1103" s="2">
        <f t="shared" ca="1" si="1111"/>
        <v>2323604.7933802772</v>
      </c>
      <c r="BH1103" s="2">
        <f t="shared" ca="1" si="1112"/>
        <v>2411695.2462228043</v>
      </c>
      <c r="BI1103" s="2">
        <f t="shared" ca="1" si="1113"/>
        <v>29059772.718397349</v>
      </c>
      <c r="BJ1103" s="2">
        <f t="shared" ca="1" si="1114"/>
        <v>0.16577006877256184</v>
      </c>
      <c r="BK1103" s="2">
        <f t="shared" ca="1" si="1115"/>
        <v>3617470.0993545018</v>
      </c>
    </row>
    <row r="1104" spans="1:63" x14ac:dyDescent="0.3">
      <c r="A1104" s="2">
        <v>1103</v>
      </c>
      <c r="B1104" s="2">
        <f t="shared" ca="1" si="1054"/>
        <v>0.98567532087986998</v>
      </c>
      <c r="C1104" s="2">
        <f t="shared" ca="1" si="1055"/>
        <v>7.830738786958559</v>
      </c>
      <c r="D1104" s="2">
        <f t="shared" ca="1" si="1056"/>
        <v>9.726693095324912E-2</v>
      </c>
      <c r="E1104" s="2">
        <f t="shared" ca="1" si="1057"/>
        <v>6.9410599300622291</v>
      </c>
      <c r="F1104" s="2">
        <f t="shared" ca="1" si="1058"/>
        <v>0.44244053388649485</v>
      </c>
      <c r="G1104" s="2">
        <f t="shared" ca="1" si="1059"/>
        <v>3.5656466797105761E-2</v>
      </c>
      <c r="H1104" s="2">
        <f t="shared" ca="1" si="1060"/>
        <v>3.5656466797105761E-2</v>
      </c>
      <c r="I1104" s="2">
        <f t="shared" ca="1" si="1061"/>
        <v>0.79821306134409098</v>
      </c>
      <c r="J1104" s="2">
        <f t="shared" ca="1" si="1062"/>
        <v>1.4176277407518352E-2</v>
      </c>
      <c r="K1104" s="2">
        <f t="shared" ca="1" si="1063"/>
        <v>1.4176277407518352E-2</v>
      </c>
      <c r="L1104" s="2">
        <f t="shared" ca="1" si="1064"/>
        <v>0.22356534799180872</v>
      </c>
      <c r="M1104" s="2">
        <f t="shared" ca="1" si="1065"/>
        <v>-1.5204145536639149E-2</v>
      </c>
      <c r="N1104" s="2">
        <f t="shared" ca="1" si="1066"/>
        <v>-1.5204145536639149E-2</v>
      </c>
      <c r="O1104" s="2">
        <f t="shared" si="1067"/>
        <v>6000000</v>
      </c>
      <c r="P1104" s="2">
        <f t="shared" ca="1" si="1068"/>
        <v>46984432.721751355</v>
      </c>
      <c r="Q1104" s="2">
        <f t="shared" ca="1" si="1069"/>
        <v>1174610.818043784</v>
      </c>
      <c r="R1104" s="2">
        <f t="shared" ca="1" si="1070"/>
        <v>28190659.633050811</v>
      </c>
      <c r="S1104" s="2">
        <f t="shared" ca="1" si="1071"/>
        <v>18793773.088700544</v>
      </c>
      <c r="T1104" s="2">
        <f t="shared" ca="1" si="1072"/>
        <v>49239792.723168038</v>
      </c>
      <c r="U1104" s="2">
        <f t="shared" ca="1" si="1073"/>
        <v>50995509.757498048</v>
      </c>
      <c r="V1104" s="2">
        <f t="shared" ca="1" si="1074"/>
        <v>52813829.457967758</v>
      </c>
      <c r="W1104" s="2">
        <f t="shared" ca="1" si="1075"/>
        <v>54696984.01446379</v>
      </c>
      <c r="X1104" s="2">
        <f t="shared" ca="1" si="1076"/>
        <v>56647285.20887734</v>
      </c>
      <c r="Y1104" s="2">
        <f t="shared" ca="1" si="1077"/>
        <v>0.12708813870375918</v>
      </c>
      <c r="Z1104" s="2">
        <f t="shared" ca="1" si="1078"/>
        <v>0.12992339418526283</v>
      </c>
      <c r="AA1104" s="2">
        <f t="shared" ca="1" si="1079"/>
        <v>6257793.6073463317</v>
      </c>
      <c r="AB1104" s="2">
        <f t="shared" ca="1" si="1080"/>
        <v>6625509.7159018358</v>
      </c>
      <c r="AC1104" s="2">
        <f t="shared" ca="1" si="1081"/>
        <v>6861751.9831007915</v>
      </c>
      <c r="AD1104" s="2">
        <f t="shared" ca="1" si="1082"/>
        <v>7106417.8148561986</v>
      </c>
      <c r="AE1104" s="2">
        <f t="shared" ca="1" si="1083"/>
        <v>7359807.5657179793</v>
      </c>
      <c r="AF1104" s="2">
        <f t="shared" ca="1" si="1084"/>
        <v>984795.85446336074</v>
      </c>
      <c r="AG1104" s="2">
        <f t="shared" ca="1" si="1085"/>
        <v>1019910.195149961</v>
      </c>
      <c r="AH1104" s="2">
        <f t="shared" ca="1" si="1086"/>
        <v>1056276.5891593553</v>
      </c>
      <c r="AI1104" s="2">
        <f t="shared" ca="1" si="1087"/>
        <v>1093939.6802892757</v>
      </c>
      <c r="AJ1104" s="2">
        <f t="shared" ca="1" si="1088"/>
        <v>1132945.7041775468</v>
      </c>
      <c r="AK1104" s="2">
        <f t="shared" ca="1" si="1089"/>
        <v>0</v>
      </c>
      <c r="AL1104" s="2">
        <f t="shared" ca="1" si="1090"/>
        <v>17557.170343300106</v>
      </c>
      <c r="AM1104" s="2">
        <f t="shared" ca="1" si="1091"/>
        <v>18183.1970046971</v>
      </c>
      <c r="AN1104" s="2">
        <f t="shared" ca="1" si="1092"/>
        <v>18831.545564960317</v>
      </c>
      <c r="AO1104" s="2">
        <f t="shared" ca="1" si="1093"/>
        <v>19503.011944135502</v>
      </c>
      <c r="AP1104" s="2">
        <f t="shared" ca="1" si="1094"/>
        <v>2537159.3669745727</v>
      </c>
      <c r="AQ1104" s="2">
        <f t="shared" ca="1" si="1095"/>
        <v>711317.98033618345</v>
      </c>
      <c r="AR1104" s="2">
        <f t="shared" ca="1" si="1096"/>
        <v>797794.43998209864</v>
      </c>
      <c r="AS1104" s="2">
        <f t="shared" ca="1" si="1097"/>
        <v>849762.1670113845</v>
      </c>
      <c r="AT1104" s="2">
        <f t="shared" ca="1" si="1098"/>
        <v>903582.87957401108</v>
      </c>
      <c r="AU1104" s="2">
        <f t="shared" ca="1" si="1099"/>
        <v>959322.64858712372</v>
      </c>
      <c r="AV1104" s="2">
        <f t="shared" ca="1" si="1100"/>
        <v>2024520.4055722142</v>
      </c>
      <c r="AW1104" s="2">
        <f t="shared" ca="1" si="1101"/>
        <v>2253088.5434519034</v>
      </c>
      <c r="AX1104" s="2">
        <f t="shared" ca="1" si="1102"/>
        <v>2400370.6629507812</v>
      </c>
      <c r="AY1104" s="2">
        <f t="shared" ca="1" si="1103"/>
        <v>2552904.3424533783</v>
      </c>
      <c r="AZ1104" s="2">
        <f t="shared" ca="1" si="1104"/>
        <v>2710876.8340346012</v>
      </c>
      <c r="BA1104" s="2">
        <f t="shared" ca="1" si="1105"/>
        <v>51084865.387373902</v>
      </c>
      <c r="BB1104" s="2">
        <f t="shared" ca="1" si="1106"/>
        <v>1021697.307747478</v>
      </c>
      <c r="BC1104" s="2">
        <f t="shared" ca="1" si="1107"/>
        <v>21872508.446575612</v>
      </c>
      <c r="BD1104" s="2">
        <f t="shared" ca="1" si="1108"/>
        <v>-20468383.906744327</v>
      </c>
      <c r="BE1104" s="2">
        <f t="shared" ca="1" si="1109"/>
        <v>2024520.4055722142</v>
      </c>
      <c r="BF1104" s="2">
        <f t="shared" ca="1" si="1110"/>
        <v>2253088.5434519034</v>
      </c>
      <c r="BG1104" s="2">
        <f t="shared" ca="1" si="1111"/>
        <v>2400370.6629507812</v>
      </c>
      <c r="BH1104" s="2">
        <f t="shared" ca="1" si="1112"/>
        <v>2552904.3424533783</v>
      </c>
      <c r="BI1104" s="2">
        <f t="shared" ca="1" si="1113"/>
        <v>24583385.280610211</v>
      </c>
      <c r="BJ1104" s="2">
        <f t="shared" ca="1" si="1114"/>
        <v>0.12543805965863863</v>
      </c>
      <c r="BK1104" s="2">
        <f t="shared" ca="1" si="1115"/>
        <v>415598.29073308036</v>
      </c>
    </row>
    <row r="1105" spans="1:63" x14ac:dyDescent="0.3">
      <c r="A1105" s="2">
        <v>1104</v>
      </c>
      <c r="B1105" s="2">
        <f t="shared" ca="1" si="1054"/>
        <v>0.86855797728345019</v>
      </c>
      <c r="C1105" s="2">
        <f t="shared" ca="1" si="1055"/>
        <v>7.4872778087179181</v>
      </c>
      <c r="D1105" s="2">
        <f t="shared" ca="1" si="1056"/>
        <v>0.2124492714681262</v>
      </c>
      <c r="E1105" s="2">
        <f t="shared" ca="1" si="1057"/>
        <v>7.1518424218599552</v>
      </c>
      <c r="F1105" s="2">
        <f t="shared" ca="1" si="1058"/>
        <v>0.84531500818780503</v>
      </c>
      <c r="G1105" s="2">
        <f t="shared" ca="1" si="1059"/>
        <v>7.0496346615001301E-2</v>
      </c>
      <c r="H1105" s="2">
        <f t="shared" ca="1" si="1060"/>
        <v>7.0496346615001301E-2</v>
      </c>
      <c r="I1105" s="2">
        <f t="shared" ca="1" si="1061"/>
        <v>0.22200451959868961</v>
      </c>
      <c r="J1105" s="2">
        <f t="shared" ca="1" si="1062"/>
        <v>6.1727954422551596E-3</v>
      </c>
      <c r="K1105" s="2">
        <f t="shared" ca="1" si="1063"/>
        <v>6.1727954422551596E-3</v>
      </c>
      <c r="L1105" s="2">
        <f t="shared" ca="1" si="1064"/>
        <v>0.47494552317860872</v>
      </c>
      <c r="M1105" s="2">
        <f t="shared" ca="1" si="1065"/>
        <v>-1.2568720081704596E-3</v>
      </c>
      <c r="N1105" s="2">
        <f t="shared" ca="1" si="1066"/>
        <v>-1.2568720081704596E-3</v>
      </c>
      <c r="O1105" s="2">
        <f t="shared" si="1067"/>
        <v>6000000</v>
      </c>
      <c r="P1105" s="2">
        <f t="shared" ca="1" si="1068"/>
        <v>44923666.852307506</v>
      </c>
      <c r="Q1105" s="2">
        <f t="shared" ca="1" si="1069"/>
        <v>1123091.6713076876</v>
      </c>
      <c r="R1105" s="2">
        <f t="shared" ca="1" si="1070"/>
        <v>26954200.111384504</v>
      </c>
      <c r="S1105" s="2">
        <f t="shared" ca="1" si="1071"/>
        <v>17969466.740923002</v>
      </c>
      <c r="T1105" s="2">
        <f t="shared" ca="1" si="1072"/>
        <v>49937156.399591476</v>
      </c>
      <c r="U1105" s="2">
        <f t="shared" ca="1" si="1073"/>
        <v>53457543.486104608</v>
      </c>
      <c r="V1105" s="2">
        <f t="shared" ca="1" si="1074"/>
        <v>57226105.000887543</v>
      </c>
      <c r="W1105" s="2">
        <f t="shared" ca="1" si="1075"/>
        <v>61260336.33445657</v>
      </c>
      <c r="X1105" s="2">
        <f t="shared" ca="1" si="1076"/>
        <v>65578966.238441974</v>
      </c>
      <c r="Y1105" s="2">
        <f t="shared" ca="1" si="1077"/>
        <v>0.12308639772112757</v>
      </c>
      <c r="Z1105" s="2">
        <f t="shared" ca="1" si="1078"/>
        <v>0.12432095680957861</v>
      </c>
      <c r="AA1105" s="2">
        <f t="shared" ca="1" si="1079"/>
        <v>6146584.6936622672</v>
      </c>
      <c r="AB1105" s="2">
        <f t="shared" ca="1" si="1080"/>
        <v>6645892.9548821812</v>
      </c>
      <c r="AC1105" s="2">
        <f t="shared" ca="1" si="1081"/>
        <v>7114404.1281957505</v>
      </c>
      <c r="AD1105" s="2">
        <f t="shared" ca="1" si="1082"/>
        <v>7615943.6275762348</v>
      </c>
      <c r="AE1105" s="2">
        <f t="shared" ca="1" si="1083"/>
        <v>8152839.8293461585</v>
      </c>
      <c r="AF1105" s="2">
        <f t="shared" ca="1" si="1084"/>
        <v>998743.12799182953</v>
      </c>
      <c r="AG1105" s="2">
        <f t="shared" ca="1" si="1085"/>
        <v>1069150.8697220921</v>
      </c>
      <c r="AH1105" s="2">
        <f t="shared" ca="1" si="1086"/>
        <v>1144522.1000177509</v>
      </c>
      <c r="AI1105" s="2">
        <f t="shared" ca="1" si="1087"/>
        <v>1225206.7266891315</v>
      </c>
      <c r="AJ1105" s="2">
        <f t="shared" ca="1" si="1088"/>
        <v>1311579.3247688394</v>
      </c>
      <c r="AK1105" s="2">
        <f t="shared" ca="1" si="1089"/>
        <v>0</v>
      </c>
      <c r="AL1105" s="2">
        <f t="shared" ca="1" si="1090"/>
        <v>35203.870865131321</v>
      </c>
      <c r="AM1105" s="2">
        <f t="shared" ca="1" si="1091"/>
        <v>37685.615147829354</v>
      </c>
      <c r="AN1105" s="2">
        <f t="shared" ca="1" si="1092"/>
        <v>40342.313335690276</v>
      </c>
      <c r="AO1105" s="2">
        <f t="shared" ca="1" si="1093"/>
        <v>43186.299039854035</v>
      </c>
      <c r="AP1105" s="2">
        <f t="shared" ca="1" si="1094"/>
        <v>2425878.0100246053</v>
      </c>
      <c r="AQ1105" s="2">
        <f t="shared" ca="1" si="1095"/>
        <v>707710.52446791658</v>
      </c>
      <c r="AR1105" s="2">
        <f t="shared" ca="1" si="1096"/>
        <v>819224.65953522595</v>
      </c>
      <c r="AS1105" s="2">
        <f t="shared" ca="1" si="1097"/>
        <v>921441.04471988266</v>
      </c>
      <c r="AT1105" s="2">
        <f t="shared" ca="1" si="1098"/>
        <v>1030863.3116242497</v>
      </c>
      <c r="AU1105" s="2">
        <f t="shared" ca="1" si="1099"/>
        <v>1147999.4485837056</v>
      </c>
      <c r="AV1105" s="2">
        <f t="shared" ca="1" si="1100"/>
        <v>2014253.0311779166</v>
      </c>
      <c r="AW1105" s="2">
        <f t="shared" ca="1" si="1101"/>
        <v>2296435.5447351262</v>
      </c>
      <c r="AX1105" s="2">
        <f t="shared" ca="1" si="1102"/>
        <v>2584877.3582856832</v>
      </c>
      <c r="AY1105" s="2">
        <f t="shared" ca="1" si="1103"/>
        <v>2893653.2659025583</v>
      </c>
      <c r="AZ1105" s="2">
        <f t="shared" ca="1" si="1104"/>
        <v>3224196.7469291547</v>
      </c>
      <c r="BA1105" s="2">
        <f t="shared" ca="1" si="1105"/>
        <v>58307825.750147335</v>
      </c>
      <c r="BB1105" s="2">
        <f t="shared" ca="1" si="1106"/>
        <v>1166156.5150029468</v>
      </c>
      <c r="BC1105" s="2">
        <f t="shared" ca="1" si="1107"/>
        <v>30187469.123759884</v>
      </c>
      <c r="BD1105" s="2">
        <f t="shared" ca="1" si="1108"/>
        <v>-19592558.412230689</v>
      </c>
      <c r="BE1105" s="2">
        <f t="shared" ca="1" si="1109"/>
        <v>2014253.0311779166</v>
      </c>
      <c r="BF1105" s="2">
        <f t="shared" ca="1" si="1110"/>
        <v>2296435.5447351262</v>
      </c>
      <c r="BG1105" s="2">
        <f t="shared" ca="1" si="1111"/>
        <v>2584877.3582856832</v>
      </c>
      <c r="BH1105" s="2">
        <f t="shared" ca="1" si="1112"/>
        <v>2893653.2659025583</v>
      </c>
      <c r="BI1105" s="2">
        <f t="shared" ca="1" si="1113"/>
        <v>33411665.870689038</v>
      </c>
      <c r="BJ1105" s="2">
        <f t="shared" ca="1" si="1114"/>
        <v>0.19999244353645573</v>
      </c>
      <c r="BK1105" s="2">
        <f t="shared" ca="1" si="1115"/>
        <v>6674096.2697211765</v>
      </c>
    </row>
    <row r="1106" spans="1:63" x14ac:dyDescent="0.3">
      <c r="A1106" s="2">
        <v>1105</v>
      </c>
      <c r="B1106" s="2">
        <f t="shared" ca="1" si="1054"/>
        <v>0.62164575066634786</v>
      </c>
      <c r="C1106" s="2">
        <f t="shared" ca="1" si="1055"/>
        <v>7.1301100651994505</v>
      </c>
      <c r="D1106" s="2">
        <f t="shared" ca="1" si="1056"/>
        <v>3.5218985047725804E-2</v>
      </c>
      <c r="E1106" s="2">
        <f t="shared" ca="1" si="1057"/>
        <v>6.7654015261739309</v>
      </c>
      <c r="F1106" s="2">
        <f t="shared" ca="1" si="1058"/>
        <v>0.59345581120200208</v>
      </c>
      <c r="G1106" s="2">
        <f t="shared" ca="1" si="1059"/>
        <v>4.7093311464561298E-2</v>
      </c>
      <c r="H1106" s="2">
        <f t="shared" ca="1" si="1060"/>
        <v>4.7093311464561298E-2</v>
      </c>
      <c r="I1106" s="2">
        <f t="shared" ca="1" si="1061"/>
        <v>0.46163447799715795</v>
      </c>
      <c r="J1106" s="2">
        <f t="shared" ca="1" si="1062"/>
        <v>9.5184159203303802E-3</v>
      </c>
      <c r="K1106" s="2">
        <f t="shared" ca="1" si="1063"/>
        <v>9.5184159203303802E-3</v>
      </c>
      <c r="L1106" s="2">
        <f t="shared" ca="1" si="1064"/>
        <v>0.59594132092732421</v>
      </c>
      <c r="M1106" s="2">
        <f t="shared" ca="1" si="1065"/>
        <v>4.857109518334026E-3</v>
      </c>
      <c r="N1106" s="2">
        <f t="shared" ca="1" si="1066"/>
        <v>4.857109518334026E-3</v>
      </c>
      <c r="O1106" s="2">
        <f t="shared" si="1067"/>
        <v>6000000</v>
      </c>
      <c r="P1106" s="2">
        <f t="shared" ca="1" si="1068"/>
        <v>42780660.391196705</v>
      </c>
      <c r="Q1106" s="2">
        <f t="shared" ca="1" si="1069"/>
        <v>1069516.5097799178</v>
      </c>
      <c r="R1106" s="2">
        <f t="shared" ca="1" si="1070"/>
        <v>25668396.234718021</v>
      </c>
      <c r="S1106" s="2">
        <f t="shared" ca="1" si="1071"/>
        <v>17112264.156478684</v>
      </c>
      <c r="T1106" s="2">
        <f t="shared" ca="1" si="1072"/>
        <v>50242855.475916706</v>
      </c>
      <c r="U1106" s="2">
        <f t="shared" ca="1" si="1073"/>
        <v>52608957.917712994</v>
      </c>
      <c r="V1106" s="2">
        <f t="shared" ca="1" si="1074"/>
        <v>55086487.958757848</v>
      </c>
      <c r="W1106" s="2">
        <f t="shared" ca="1" si="1075"/>
        <v>57680693.093688436</v>
      </c>
      <c r="X1106" s="2">
        <f t="shared" ca="1" si="1076"/>
        <v>60397067.939041279</v>
      </c>
      <c r="Y1106" s="2">
        <f t="shared" ca="1" si="1077"/>
        <v>0.12475920796016518</v>
      </c>
      <c r="Z1106" s="2">
        <f t="shared" ca="1" si="1078"/>
        <v>0.12666289114423127</v>
      </c>
      <c r="AA1106" s="2">
        <f t="shared" ca="1" si="1079"/>
        <v>6268258.8548324164</v>
      </c>
      <c r="AB1106" s="2">
        <f t="shared" ca="1" si="1080"/>
        <v>6663602.7099427246</v>
      </c>
      <c r="AC1106" s="2">
        <f t="shared" ca="1" si="1081"/>
        <v>6977413.8278381517</v>
      </c>
      <c r="AD1106" s="2">
        <f t="shared" ca="1" si="1082"/>
        <v>7306003.3504496701</v>
      </c>
      <c r="AE1106" s="2">
        <f t="shared" ca="1" si="1083"/>
        <v>7650067.2417935254</v>
      </c>
      <c r="AF1106" s="2">
        <f t="shared" ca="1" si="1084"/>
        <v>1004857.1095183342</v>
      </c>
      <c r="AG1106" s="2">
        <f t="shared" ca="1" si="1085"/>
        <v>1052179.1583542598</v>
      </c>
      <c r="AH1106" s="2">
        <f t="shared" ca="1" si="1086"/>
        <v>1101729.7591751569</v>
      </c>
      <c r="AI1106" s="2">
        <f t="shared" ca="1" si="1087"/>
        <v>1153613.8618737687</v>
      </c>
      <c r="AJ1106" s="2">
        <f t="shared" ca="1" si="1088"/>
        <v>1207941.3587808255</v>
      </c>
      <c r="AK1106" s="2">
        <f t="shared" ca="1" si="1089"/>
        <v>0</v>
      </c>
      <c r="AL1106" s="2">
        <f t="shared" ca="1" si="1090"/>
        <v>23661.024417962879</v>
      </c>
      <c r="AM1106" s="2">
        <f t="shared" ca="1" si="1091"/>
        <v>24775.300410448537</v>
      </c>
      <c r="AN1106" s="2">
        <f t="shared" ca="1" si="1092"/>
        <v>25942.051349305882</v>
      </c>
      <c r="AO1106" s="2">
        <f t="shared" ca="1" si="1093"/>
        <v>27163.748453528435</v>
      </c>
      <c r="AP1106" s="2">
        <f t="shared" ca="1" si="1094"/>
        <v>2310155.661124622</v>
      </c>
      <c r="AQ1106" s="2">
        <f t="shared" ca="1" si="1095"/>
        <v>767843.98188925965</v>
      </c>
      <c r="AR1106" s="2">
        <f t="shared" ca="1" si="1096"/>
        <v>858329.65152059915</v>
      </c>
      <c r="AS1106" s="2">
        <f t="shared" ca="1" si="1097"/>
        <v>927037.38595997693</v>
      </c>
      <c r="AT1106" s="2">
        <f t="shared" ca="1" si="1098"/>
        <v>998980.79513733275</v>
      </c>
      <c r="AU1106" s="2">
        <f t="shared" ca="1" si="1099"/>
        <v>1074312.2576909002</v>
      </c>
      <c r="AV1106" s="2">
        <f t="shared" ca="1" si="1100"/>
        <v>2185402.1023002001</v>
      </c>
      <c r="AW1106" s="2">
        <f t="shared" ca="1" si="1101"/>
        <v>2419277.214525281</v>
      </c>
      <c r="AX1106" s="2">
        <f t="shared" ca="1" si="1102"/>
        <v>2613715.7211679467</v>
      </c>
      <c r="AY1106" s="2">
        <f t="shared" ca="1" si="1103"/>
        <v>2817310.9809646416</v>
      </c>
      <c r="AZ1106" s="2">
        <f t="shared" ca="1" si="1104"/>
        <v>3030494.2157436493</v>
      </c>
      <c r="BA1106" s="2">
        <f t="shared" ca="1" si="1105"/>
        <v>51755776.592963107</v>
      </c>
      <c r="BB1106" s="2">
        <f t="shared" ca="1" si="1106"/>
        <v>1035115.5318592621</v>
      </c>
      <c r="BC1106" s="2">
        <f t="shared" ca="1" si="1107"/>
        <v>25052264.826385822</v>
      </c>
      <c r="BD1106" s="2">
        <f t="shared" ca="1" si="1108"/>
        <v>-18681780.666258603</v>
      </c>
      <c r="BE1106" s="2">
        <f t="shared" ca="1" si="1109"/>
        <v>2185402.1023002001</v>
      </c>
      <c r="BF1106" s="2">
        <f t="shared" ca="1" si="1110"/>
        <v>2419277.214525281</v>
      </c>
      <c r="BG1106" s="2">
        <f t="shared" ca="1" si="1111"/>
        <v>2613715.7211679467</v>
      </c>
      <c r="BH1106" s="2">
        <f t="shared" ca="1" si="1112"/>
        <v>2817310.9809646416</v>
      </c>
      <c r="BI1106" s="2">
        <f t="shared" ca="1" si="1113"/>
        <v>28082759.042129472</v>
      </c>
      <c r="BJ1106" s="2">
        <f t="shared" ca="1" si="1114"/>
        <v>0.18349282592976768</v>
      </c>
      <c r="BK1106" s="2">
        <f t="shared" ca="1" si="1115"/>
        <v>4783859.1421101801</v>
      </c>
    </row>
    <row r="1107" spans="1:63" x14ac:dyDescent="0.3">
      <c r="A1107" s="2">
        <v>1106</v>
      </c>
      <c r="B1107" s="2">
        <f t="shared" ca="1" si="1054"/>
        <v>0.15011692070305871</v>
      </c>
      <c r="C1107" s="2">
        <f t="shared" ca="1" si="1055"/>
        <v>6.5479359829451953</v>
      </c>
      <c r="D1107" s="2">
        <f t="shared" ca="1" si="1056"/>
        <v>0.21540913608007872</v>
      </c>
      <c r="E1107" s="2">
        <f t="shared" ca="1" si="1057"/>
        <v>7.1563674825584807</v>
      </c>
      <c r="F1107" s="2">
        <f t="shared" ca="1" si="1058"/>
        <v>0.60858983565916791</v>
      </c>
      <c r="G1107" s="2">
        <f t="shared" ca="1" si="1059"/>
        <v>4.8269366184704413E-2</v>
      </c>
      <c r="H1107" s="2">
        <f t="shared" ca="1" si="1060"/>
        <v>4.8269366184704413E-2</v>
      </c>
      <c r="I1107" s="2">
        <f t="shared" ca="1" si="1061"/>
        <v>0.93246420763105264</v>
      </c>
      <c r="J1107" s="2">
        <f t="shared" ca="1" si="1062"/>
        <v>1.7471990751813885E-2</v>
      </c>
      <c r="K1107" s="2">
        <f t="shared" ca="1" si="1063"/>
        <v>1.7471990751813885E-2</v>
      </c>
      <c r="L1107" s="2">
        <f t="shared" ca="1" si="1064"/>
        <v>0.86333643632568691</v>
      </c>
      <c r="M1107" s="2">
        <f t="shared" ca="1" si="1065"/>
        <v>2.1908653423093453E-2</v>
      </c>
      <c r="N1107" s="2">
        <f t="shared" ca="1" si="1066"/>
        <v>2.1908653423093453E-2</v>
      </c>
      <c r="O1107" s="2">
        <f t="shared" si="1067"/>
        <v>6000000</v>
      </c>
      <c r="P1107" s="2">
        <f t="shared" ca="1" si="1068"/>
        <v>39287615.897671171</v>
      </c>
      <c r="Q1107" s="2">
        <f t="shared" ca="1" si="1069"/>
        <v>982190.39744177926</v>
      </c>
      <c r="R1107" s="2">
        <f t="shared" ca="1" si="1070"/>
        <v>23572569.538602702</v>
      </c>
      <c r="S1107" s="2">
        <f t="shared" ca="1" si="1071"/>
        <v>15715046.359068468</v>
      </c>
      <c r="T1107" s="2">
        <f t="shared" ca="1" si="1072"/>
        <v>51095432.67115467</v>
      </c>
      <c r="U1107" s="2">
        <f t="shared" ca="1" si="1073"/>
        <v>53561776.821124546</v>
      </c>
      <c r="V1107" s="2">
        <f t="shared" ca="1" si="1074"/>
        <v>56147169.840006821</v>
      </c>
      <c r="W1107" s="2">
        <f t="shared" ca="1" si="1075"/>
        <v>58857358.141248904</v>
      </c>
      <c r="X1107" s="2">
        <f t="shared" ca="1" si="1076"/>
        <v>61698365.514033146</v>
      </c>
      <c r="Y1107" s="2">
        <f t="shared" ca="1" si="1077"/>
        <v>0.12873599537590694</v>
      </c>
      <c r="Z1107" s="2">
        <f t="shared" ca="1" si="1078"/>
        <v>0.13223039352626972</v>
      </c>
      <c r="AA1107" s="2">
        <f t="shared" ca="1" si="1079"/>
        <v>6577821.384083732</v>
      </c>
      <c r="AB1107" s="2">
        <f t="shared" ca="1" si="1080"/>
        <v>7082494.8270235313</v>
      </c>
      <c r="AC1107" s="2">
        <f t="shared" ca="1" si="1081"/>
        <v>7424362.3633304043</v>
      </c>
      <c r="AD1107" s="2">
        <f t="shared" ca="1" si="1082"/>
        <v>7782731.6289339373</v>
      </c>
      <c r="AE1107" s="2">
        <f t="shared" ca="1" si="1083"/>
        <v>8158399.1518482314</v>
      </c>
      <c r="AF1107" s="2">
        <f t="shared" ca="1" si="1084"/>
        <v>1021908.6534230934</v>
      </c>
      <c r="AG1107" s="2">
        <f t="shared" ca="1" si="1085"/>
        <v>1071235.5364224908</v>
      </c>
      <c r="AH1107" s="2">
        <f t="shared" ca="1" si="1086"/>
        <v>1122943.3968001364</v>
      </c>
      <c r="AI1107" s="2">
        <f t="shared" ca="1" si="1087"/>
        <v>1177147.1628249781</v>
      </c>
      <c r="AJ1107" s="2">
        <f t="shared" ca="1" si="1088"/>
        <v>1233967.310280663</v>
      </c>
      <c r="AK1107" s="2">
        <f t="shared" ca="1" si="1089"/>
        <v>0</v>
      </c>
      <c r="AL1107" s="2">
        <f t="shared" ca="1" si="1090"/>
        <v>24663.441499698758</v>
      </c>
      <c r="AM1107" s="2">
        <f t="shared" ca="1" si="1091"/>
        <v>25853.930188822746</v>
      </c>
      <c r="AN1107" s="2">
        <f t="shared" ca="1" si="1092"/>
        <v>27101.883012420833</v>
      </c>
      <c r="AO1107" s="2">
        <f t="shared" ca="1" si="1093"/>
        <v>28410.07372784242</v>
      </c>
      <c r="AP1107" s="2">
        <f t="shared" ca="1" si="1094"/>
        <v>2121531.2584742433</v>
      </c>
      <c r="AQ1107" s="2">
        <f t="shared" ca="1" si="1095"/>
        <v>892939.18276846281</v>
      </c>
      <c r="AR1107" s="2">
        <f t="shared" ca="1" si="1096"/>
        <v>1011329.2883529672</v>
      </c>
      <c r="AS1107" s="2">
        <f t="shared" ca="1" si="1097"/>
        <v>1086770.8040945665</v>
      </c>
      <c r="AT1107" s="2">
        <f t="shared" ca="1" si="1098"/>
        <v>1165853.833985026</v>
      </c>
      <c r="AU1107" s="2">
        <f t="shared" ca="1" si="1099"/>
        <v>1248754.1516042645</v>
      </c>
      <c r="AV1107" s="2">
        <f t="shared" ca="1" si="1100"/>
        <v>2541442.2894179323</v>
      </c>
      <c r="AW1107" s="2">
        <f t="shared" ca="1" si="1101"/>
        <v>2853735.3022741308</v>
      </c>
      <c r="AX1107" s="2">
        <f t="shared" ca="1" si="1102"/>
        <v>3067262.9737726361</v>
      </c>
      <c r="AY1107" s="2">
        <f t="shared" ca="1" si="1103"/>
        <v>3291097.4906372693</v>
      </c>
      <c r="AZ1107" s="2">
        <f t="shared" ca="1" si="1104"/>
        <v>3525736.3577612177</v>
      </c>
      <c r="BA1107" s="2">
        <f t="shared" ca="1" si="1105"/>
        <v>58384502.40001937</v>
      </c>
      <c r="BB1107" s="2">
        <f t="shared" ca="1" si="1106"/>
        <v>1167690.0480003874</v>
      </c>
      <c r="BC1107" s="2">
        <f t="shared" ca="1" si="1107"/>
        <v>33644242.81341628</v>
      </c>
      <c r="BD1107" s="2">
        <f t="shared" ca="1" si="1108"/>
        <v>-17197236.756510247</v>
      </c>
      <c r="BE1107" s="2">
        <f t="shared" ca="1" si="1109"/>
        <v>2541442.2894179323</v>
      </c>
      <c r="BF1107" s="2">
        <f t="shared" ca="1" si="1110"/>
        <v>2853735.3022741308</v>
      </c>
      <c r="BG1107" s="2">
        <f t="shared" ca="1" si="1111"/>
        <v>3067262.9737726361</v>
      </c>
      <c r="BH1107" s="2">
        <f t="shared" ca="1" si="1112"/>
        <v>3291097.4906372693</v>
      </c>
      <c r="BI1107" s="2">
        <f t="shared" ca="1" si="1113"/>
        <v>37169979.171177499</v>
      </c>
      <c r="BJ1107" s="2">
        <f t="shared" ca="1" si="1114"/>
        <v>0.28068048122603373</v>
      </c>
      <c r="BK1107" s="2">
        <f t="shared" ca="1" si="1115"/>
        <v>12712902.016780525</v>
      </c>
    </row>
    <row r="1108" spans="1:63" x14ac:dyDescent="0.3">
      <c r="A1108" s="2">
        <v>1107</v>
      </c>
      <c r="B1108" s="2">
        <f t="shared" ca="1" si="1054"/>
        <v>0.89742989154229968</v>
      </c>
      <c r="C1108" s="2">
        <f t="shared" ca="1" si="1055"/>
        <v>7.5470759258822726</v>
      </c>
      <c r="D1108" s="2">
        <f t="shared" ca="1" si="1056"/>
        <v>5.7495707130365781E-2</v>
      </c>
      <c r="E1108" s="2">
        <f t="shared" ca="1" si="1057"/>
        <v>6.8391038399380513</v>
      </c>
      <c r="F1108" s="2">
        <f t="shared" ca="1" si="1058"/>
        <v>0.68261036753826698</v>
      </c>
      <c r="G1108" s="2">
        <f t="shared" ca="1" si="1059"/>
        <v>5.4250324442762565E-2</v>
      </c>
      <c r="H1108" s="2">
        <f t="shared" ca="1" si="1060"/>
        <v>5.4250324442762565E-2</v>
      </c>
      <c r="I1108" s="2">
        <f t="shared" ca="1" si="1061"/>
        <v>0.53111608653846409</v>
      </c>
      <c r="J1108" s="2">
        <f t="shared" ca="1" si="1062"/>
        <v>1.0390378561880567E-2</v>
      </c>
      <c r="K1108" s="2">
        <f t="shared" ca="1" si="1063"/>
        <v>1.0390378561880567E-2</v>
      </c>
      <c r="L1108" s="2">
        <f t="shared" ca="1" si="1064"/>
        <v>0.93166791776024271</v>
      </c>
      <c r="M1108" s="2">
        <f t="shared" ca="1" si="1065"/>
        <v>2.9766578950069594E-2</v>
      </c>
      <c r="N1108" s="2">
        <f t="shared" ca="1" si="1066"/>
        <v>2.9766578950069594E-2</v>
      </c>
      <c r="O1108" s="2">
        <f t="shared" si="1067"/>
        <v>6000000</v>
      </c>
      <c r="P1108" s="2">
        <f t="shared" ca="1" si="1068"/>
        <v>45282455.555293635</v>
      </c>
      <c r="Q1108" s="2">
        <f t="shared" ca="1" si="1069"/>
        <v>1132061.3888823409</v>
      </c>
      <c r="R1108" s="2">
        <f t="shared" ca="1" si="1070"/>
        <v>27169473.333176181</v>
      </c>
      <c r="S1108" s="2">
        <f t="shared" ca="1" si="1071"/>
        <v>18112982.222117454</v>
      </c>
      <c r="T1108" s="2">
        <f t="shared" ca="1" si="1072"/>
        <v>51488328.947503485</v>
      </c>
      <c r="U1108" s="2">
        <f t="shared" ca="1" si="1073"/>
        <v>54281587.497921236</v>
      </c>
      <c r="V1108" s="2">
        <f t="shared" ca="1" si="1074"/>
        <v>57226381.230951667</v>
      </c>
      <c r="W1108" s="2">
        <f t="shared" ca="1" si="1075"/>
        <v>60330930.979416013</v>
      </c>
      <c r="X1108" s="2">
        <f t="shared" ca="1" si="1076"/>
        <v>63603903.558983244</v>
      </c>
      <c r="Y1108" s="2">
        <f t="shared" ca="1" si="1077"/>
        <v>0.12519518928094028</v>
      </c>
      <c r="Z1108" s="2">
        <f t="shared" ca="1" si="1078"/>
        <v>0.1272732649933164</v>
      </c>
      <c r="AA1108" s="2">
        <f t="shared" ca="1" si="1079"/>
        <v>6446091.0883420156</v>
      </c>
      <c r="AB1108" s="2">
        <f t="shared" ca="1" si="1080"/>
        <v>6908594.8698808197</v>
      </c>
      <c r="AC1108" s="2">
        <f t="shared" ca="1" si="1081"/>
        <v>7283388.3830154594</v>
      </c>
      <c r="AD1108" s="2">
        <f t="shared" ca="1" si="1082"/>
        <v>7678514.565836696</v>
      </c>
      <c r="AE1108" s="2">
        <f t="shared" ca="1" si="1083"/>
        <v>8095076.472271814</v>
      </c>
      <c r="AF1108" s="2">
        <f t="shared" ca="1" si="1084"/>
        <v>1029766.5789500697</v>
      </c>
      <c r="AG1108" s="2">
        <f t="shared" ca="1" si="1085"/>
        <v>1085631.7499584248</v>
      </c>
      <c r="AH1108" s="2">
        <f t="shared" ca="1" si="1086"/>
        <v>1144527.6246190334</v>
      </c>
      <c r="AI1108" s="2">
        <f t="shared" ca="1" si="1087"/>
        <v>1206618.6195883204</v>
      </c>
      <c r="AJ1108" s="2">
        <f t="shared" ca="1" si="1088"/>
        <v>1272078.0711796649</v>
      </c>
      <c r="AK1108" s="2">
        <f t="shared" ca="1" si="1089"/>
        <v>0</v>
      </c>
      <c r="AL1108" s="2">
        <f t="shared" ca="1" si="1090"/>
        <v>27932.58550417751</v>
      </c>
      <c r="AM1108" s="2">
        <f t="shared" ca="1" si="1091"/>
        <v>29447.93733030431</v>
      </c>
      <c r="AN1108" s="2">
        <f t="shared" ca="1" si="1092"/>
        <v>31045.49748464346</v>
      </c>
      <c r="AO1108" s="2">
        <f t="shared" ca="1" si="1093"/>
        <v>32729.725795672312</v>
      </c>
      <c r="AP1108" s="2">
        <f t="shared" ca="1" si="1094"/>
        <v>2445252.5999858561</v>
      </c>
      <c r="AQ1108" s="2">
        <f t="shared" ca="1" si="1095"/>
        <v>772478.69644558337</v>
      </c>
      <c r="AR1108" s="2">
        <f t="shared" ca="1" si="1096"/>
        <v>878204.7351835001</v>
      </c>
      <c r="AS1108" s="2">
        <f t="shared" ca="1" si="1097"/>
        <v>960338.12118674826</v>
      </c>
      <c r="AT1108" s="2">
        <f t="shared" ca="1" si="1098"/>
        <v>1046927.2700282552</v>
      </c>
      <c r="AU1108" s="2">
        <f t="shared" ca="1" si="1099"/>
        <v>1138213.9082876362</v>
      </c>
      <c r="AV1108" s="2">
        <f t="shared" ca="1" si="1100"/>
        <v>2198593.2129605063</v>
      </c>
      <c r="AW1108" s="2">
        <f t="shared" ca="1" si="1101"/>
        <v>2471573.1992488611</v>
      </c>
      <c r="AX1108" s="2">
        <f t="shared" ca="1" si="1102"/>
        <v>2703822.0998935173</v>
      </c>
      <c r="AY1108" s="2">
        <f t="shared" ca="1" si="1103"/>
        <v>2948670.5787496218</v>
      </c>
      <c r="AZ1108" s="2">
        <f t="shared" ca="1" si="1104"/>
        <v>3206802.1670229849</v>
      </c>
      <c r="BA1108" s="2">
        <f t="shared" ca="1" si="1105"/>
        <v>55363068.586106338</v>
      </c>
      <c r="BB1108" s="2">
        <f t="shared" ca="1" si="1106"/>
        <v>1107261.3717221268</v>
      </c>
      <c r="BC1108" s="2">
        <f t="shared" ca="1" si="1107"/>
        <v>27086333.881208029</v>
      </c>
      <c r="BD1108" s="2">
        <f t="shared" ca="1" si="1108"/>
        <v>-19745043.610999793</v>
      </c>
      <c r="BE1108" s="2">
        <f t="shared" ca="1" si="1109"/>
        <v>2198593.2129605063</v>
      </c>
      <c r="BF1108" s="2">
        <f t="shared" ca="1" si="1110"/>
        <v>2471573.1992488611</v>
      </c>
      <c r="BG1108" s="2">
        <f t="shared" ca="1" si="1111"/>
        <v>2703822.0998935173</v>
      </c>
      <c r="BH1108" s="2">
        <f t="shared" ca="1" si="1112"/>
        <v>2948670.5787496218</v>
      </c>
      <c r="BI1108" s="2">
        <f t="shared" ca="1" si="1113"/>
        <v>30293136.048231013</v>
      </c>
      <c r="BJ1108" s="2">
        <f t="shared" ca="1" si="1114"/>
        <v>0.18434428573177164</v>
      </c>
      <c r="BK1108" s="2">
        <f t="shared" ca="1" si="1115"/>
        <v>5175908.6278544851</v>
      </c>
    </row>
    <row r="1109" spans="1:63" x14ac:dyDescent="0.3">
      <c r="A1109" s="2">
        <v>1108</v>
      </c>
      <c r="B1109" s="2">
        <f t="shared" ca="1" si="1054"/>
        <v>0.37840277440430048</v>
      </c>
      <c r="C1109" s="2">
        <f t="shared" ca="1" si="1055"/>
        <v>6.8699457160125572</v>
      </c>
      <c r="D1109" s="2">
        <f t="shared" ca="1" si="1056"/>
        <v>0.56826631912935233</v>
      </c>
      <c r="E1109" s="2">
        <f t="shared" ca="1" si="1057"/>
        <v>7.5707705548459545</v>
      </c>
      <c r="F1109" s="2">
        <f t="shared" ca="1" si="1058"/>
        <v>0.48551207099692406</v>
      </c>
      <c r="G1109" s="2">
        <f t="shared" ca="1" si="1059"/>
        <v>3.8910284840796665E-2</v>
      </c>
      <c r="H1109" s="2">
        <f t="shared" ca="1" si="1060"/>
        <v>3.8910284840796665E-2</v>
      </c>
      <c r="I1109" s="2">
        <f t="shared" ca="1" si="1061"/>
        <v>0.25187962956860488</v>
      </c>
      <c r="J1109" s="2">
        <f t="shared" ca="1" si="1062"/>
        <v>6.6570672848599802E-3</v>
      </c>
      <c r="K1109" s="2">
        <f t="shared" ca="1" si="1063"/>
        <v>6.6570672848599802E-3</v>
      </c>
      <c r="L1109" s="2">
        <f t="shared" ca="1" si="1064"/>
        <v>8.7426105427767298E-2</v>
      </c>
      <c r="M1109" s="2">
        <f t="shared" ca="1" si="1065"/>
        <v>-2.713553162002565E-2</v>
      </c>
      <c r="N1109" s="2">
        <f t="shared" ca="1" si="1066"/>
        <v>-2.713553162002565E-2</v>
      </c>
      <c r="O1109" s="2">
        <f t="shared" si="1067"/>
        <v>6000000</v>
      </c>
      <c r="P1109" s="2">
        <f t="shared" ca="1" si="1068"/>
        <v>41219674.296075344</v>
      </c>
      <c r="Q1109" s="2">
        <f t="shared" ca="1" si="1069"/>
        <v>1030491.8574018837</v>
      </c>
      <c r="R1109" s="2">
        <f t="shared" ca="1" si="1070"/>
        <v>24731804.577645205</v>
      </c>
      <c r="S1109" s="2">
        <f t="shared" ca="1" si="1071"/>
        <v>16487869.718430139</v>
      </c>
      <c r="T1109" s="2">
        <f t="shared" ca="1" si="1072"/>
        <v>48643223.418998718</v>
      </c>
      <c r="U1109" s="2">
        <f t="shared" ca="1" si="1073"/>
        <v>50535945.097806476</v>
      </c>
      <c r="V1109" s="2">
        <f t="shared" ca="1" si="1074"/>
        <v>52502313.116260991</v>
      </c>
      <c r="W1109" s="2">
        <f t="shared" ca="1" si="1075"/>
        <v>54545193.074415401</v>
      </c>
      <c r="X1109" s="2">
        <f t="shared" ca="1" si="1076"/>
        <v>56667562.073637158</v>
      </c>
      <c r="Y1109" s="2">
        <f t="shared" ca="1" si="1077"/>
        <v>0.12332853364242999</v>
      </c>
      <c r="Z1109" s="2">
        <f t="shared" ca="1" si="1078"/>
        <v>0.12465994709940198</v>
      </c>
      <c r="AA1109" s="2">
        <f t="shared" ca="1" si="1079"/>
        <v>5999097.4159062216</v>
      </c>
      <c r="AB1109" s="2">
        <f t="shared" ca="1" si="1080"/>
        <v>6299808.2425108384</v>
      </c>
      <c r="AC1109" s="2">
        <f t="shared" ca="1" si="1081"/>
        <v>6544935.5756693333</v>
      </c>
      <c r="AD1109" s="2">
        <f t="shared" ca="1" si="1082"/>
        <v>6799600.8831832912</v>
      </c>
      <c r="AE1109" s="2">
        <f t="shared" ca="1" si="1083"/>
        <v>7064175.2903516861</v>
      </c>
      <c r="AF1109" s="2">
        <f t="shared" ca="1" si="1084"/>
        <v>972864.46837997437</v>
      </c>
      <c r="AG1109" s="2">
        <f t="shared" ca="1" si="1085"/>
        <v>1010718.9019561296</v>
      </c>
      <c r="AH1109" s="2">
        <f t="shared" ca="1" si="1086"/>
        <v>1050046.2623252198</v>
      </c>
      <c r="AI1109" s="2">
        <f t="shared" ca="1" si="1087"/>
        <v>1090903.8614883081</v>
      </c>
      <c r="AJ1109" s="2">
        <f t="shared" ca="1" si="1088"/>
        <v>1133351.2414727432</v>
      </c>
      <c r="AK1109" s="2">
        <f t="shared" ca="1" si="1089"/>
        <v>0</v>
      </c>
      <c r="AL1109" s="2">
        <f t="shared" ca="1" si="1090"/>
        <v>18927.216788077578</v>
      </c>
      <c r="AM1109" s="2">
        <f t="shared" ca="1" si="1091"/>
        <v>19663.680184545145</v>
      </c>
      <c r="AN1109" s="2">
        <f t="shared" ca="1" si="1092"/>
        <v>20428.799581544103</v>
      </c>
      <c r="AO1109" s="2">
        <f t="shared" ca="1" si="1093"/>
        <v>21223.689992217573</v>
      </c>
      <c r="AP1109" s="2">
        <f t="shared" ca="1" si="1094"/>
        <v>2225862.4119880684</v>
      </c>
      <c r="AQ1109" s="2">
        <f t="shared" ca="1" si="1095"/>
        <v>728096.33923992654</v>
      </c>
      <c r="AR1109" s="2">
        <f t="shared" ca="1" si="1096"/>
        <v>796439.00142732647</v>
      </c>
      <c r="AS1109" s="2">
        <f t="shared" ca="1" si="1097"/>
        <v>849946.99435257178</v>
      </c>
      <c r="AT1109" s="2">
        <f t="shared" ca="1" si="1098"/>
        <v>905536.99852379796</v>
      </c>
      <c r="AU1109" s="2">
        <f t="shared" ca="1" si="1099"/>
        <v>963290.02559162735</v>
      </c>
      <c r="AV1109" s="2">
        <f t="shared" ca="1" si="1100"/>
        <v>2072274.1962982528</v>
      </c>
      <c r="AW1109" s="2">
        <f t="shared" ca="1" si="1101"/>
        <v>2247860.7103512362</v>
      </c>
      <c r="AX1109" s="2">
        <f t="shared" ca="1" si="1102"/>
        <v>2399416.2268189285</v>
      </c>
      <c r="AY1109" s="2">
        <f t="shared" ca="1" si="1103"/>
        <v>2556868.8116015727</v>
      </c>
      <c r="AZ1109" s="2">
        <f t="shared" ca="1" si="1104"/>
        <v>2720447.9213070292</v>
      </c>
      <c r="BA1109" s="2">
        <f t="shared" ca="1" si="1105"/>
        <v>53481250.282464914</v>
      </c>
      <c r="BB1109" s="2">
        <f t="shared" ca="1" si="1106"/>
        <v>1069625.0056492982</v>
      </c>
      <c r="BC1109" s="2">
        <f t="shared" ca="1" si="1107"/>
        <v>27679820.699170411</v>
      </c>
      <c r="BD1109" s="2">
        <f t="shared" ca="1" si="1108"/>
        <v>-18018361.575832024</v>
      </c>
      <c r="BE1109" s="2">
        <f t="shared" ca="1" si="1109"/>
        <v>2072274.1962982528</v>
      </c>
      <c r="BF1109" s="2">
        <f t="shared" ca="1" si="1110"/>
        <v>2247860.7103512362</v>
      </c>
      <c r="BG1109" s="2">
        <f t="shared" ca="1" si="1111"/>
        <v>2399416.2268189285</v>
      </c>
      <c r="BH1109" s="2">
        <f t="shared" ca="1" si="1112"/>
        <v>2556868.8116015727</v>
      </c>
      <c r="BI1109" s="2">
        <f t="shared" ca="1" si="1113"/>
        <v>30400268.620477438</v>
      </c>
      <c r="BJ1109" s="2">
        <f t="shared" ca="1" si="1114"/>
        <v>0.20173977990911229</v>
      </c>
      <c r="BK1109" s="2">
        <f t="shared" ca="1" si="1115"/>
        <v>6206586.3049041852</v>
      </c>
    </row>
    <row r="1110" spans="1:63" x14ac:dyDescent="0.3">
      <c r="A1110" s="2">
        <v>1109</v>
      </c>
      <c r="B1110" s="2">
        <f t="shared" ca="1" si="1054"/>
        <v>2.0562928615835196E-2</v>
      </c>
      <c r="C1110" s="2">
        <f t="shared" ca="1" si="1055"/>
        <v>6.2027951114590056</v>
      </c>
      <c r="D1110" s="2">
        <f t="shared" ca="1" si="1056"/>
        <v>0.63666601804467982</v>
      </c>
      <c r="E1110" s="2">
        <f t="shared" ca="1" si="1057"/>
        <v>7.6475517822702423</v>
      </c>
      <c r="F1110" s="2">
        <f t="shared" ca="1" si="1058"/>
        <v>0.9347822866976685</v>
      </c>
      <c r="G1110" s="2">
        <f t="shared" ca="1" si="1059"/>
        <v>8.5371611593293234E-2</v>
      </c>
      <c r="H1110" s="2">
        <f t="shared" ca="1" si="1060"/>
        <v>8.5371611593293234E-2</v>
      </c>
      <c r="I1110" s="2">
        <f t="shared" ca="1" si="1061"/>
        <v>0.50270528835165107</v>
      </c>
      <c r="J1110" s="2">
        <f t="shared" ca="1" si="1062"/>
        <v>1.0033906021224477E-2</v>
      </c>
      <c r="K1110" s="2">
        <f t="shared" ca="1" si="1063"/>
        <v>1.0033906021224477E-2</v>
      </c>
      <c r="L1110" s="2">
        <f t="shared" ca="1" si="1064"/>
        <v>0.22331315947071695</v>
      </c>
      <c r="M1110" s="2">
        <f t="shared" ca="1" si="1065"/>
        <v>-1.5221029613388526E-2</v>
      </c>
      <c r="N1110" s="2">
        <f t="shared" ca="1" si="1066"/>
        <v>-1.5221029613388526E-2</v>
      </c>
      <c r="O1110" s="2">
        <f t="shared" si="1067"/>
        <v>6000000</v>
      </c>
      <c r="P1110" s="2">
        <f t="shared" ca="1" si="1068"/>
        <v>37216770.668754034</v>
      </c>
      <c r="Q1110" s="2">
        <f t="shared" ca="1" si="1069"/>
        <v>930419.26671885094</v>
      </c>
      <c r="R1110" s="2">
        <f t="shared" ca="1" si="1070"/>
        <v>22330062.401252419</v>
      </c>
      <c r="S1110" s="2">
        <f t="shared" ca="1" si="1071"/>
        <v>14886708.267501615</v>
      </c>
      <c r="T1110" s="2">
        <f t="shared" ca="1" si="1072"/>
        <v>49238948.519330569</v>
      </c>
      <c r="U1110" s="2">
        <f t="shared" ca="1" si="1073"/>
        <v>53442556.907585017</v>
      </c>
      <c r="V1110" s="2">
        <f t="shared" ca="1" si="1074"/>
        <v>58005034.118451834</v>
      </c>
      <c r="W1110" s="2">
        <f t="shared" ca="1" si="1075"/>
        <v>62957017.361668028</v>
      </c>
      <c r="X1110" s="2">
        <f t="shared" ca="1" si="1076"/>
        <v>68331759.39494057</v>
      </c>
      <c r="Y1110" s="2">
        <f t="shared" ca="1" si="1077"/>
        <v>0.12501695301061225</v>
      </c>
      <c r="Z1110" s="2">
        <f t="shared" ca="1" si="1078"/>
        <v>0.12702373421485713</v>
      </c>
      <c r="AA1110" s="2">
        <f t="shared" ca="1" si="1079"/>
        <v>6155703.3133331053</v>
      </c>
      <c r="AB1110" s="2">
        <f t="shared" ca="1" si="1080"/>
        <v>6788473.1443914566</v>
      </c>
      <c r="AC1110" s="2">
        <f t="shared" ca="1" si="1081"/>
        <v>7368016.0369859459</v>
      </c>
      <c r="AD1110" s="2">
        <f t="shared" ca="1" si="1082"/>
        <v>7997035.4403086659</v>
      </c>
      <c r="AE1110" s="2">
        <f t="shared" ca="1" si="1083"/>
        <v>8679755.2438164968</v>
      </c>
      <c r="AF1110" s="2">
        <f t="shared" ca="1" si="1084"/>
        <v>984778.97038661141</v>
      </c>
      <c r="AG1110" s="2">
        <f t="shared" ca="1" si="1085"/>
        <v>1068851.1381517004</v>
      </c>
      <c r="AH1110" s="2">
        <f t="shared" ca="1" si="1086"/>
        <v>1160100.6823690366</v>
      </c>
      <c r="AI1110" s="2">
        <f t="shared" ca="1" si="1087"/>
        <v>1259140.3472333606</v>
      </c>
      <c r="AJ1110" s="2">
        <f t="shared" ca="1" si="1088"/>
        <v>1366635.1878988114</v>
      </c>
      <c r="AK1110" s="2">
        <f t="shared" ca="1" si="1089"/>
        <v>0</v>
      </c>
      <c r="AL1110" s="2">
        <f t="shared" ca="1" si="1090"/>
        <v>42036.083882544488</v>
      </c>
      <c r="AM1110" s="2">
        <f t="shared" ca="1" si="1091"/>
        <v>45624.772108668163</v>
      </c>
      <c r="AN1110" s="2">
        <f t="shared" ca="1" si="1092"/>
        <v>49519.832432161944</v>
      </c>
      <c r="AO1110" s="2">
        <f t="shared" ca="1" si="1093"/>
        <v>53747.420332725422</v>
      </c>
      <c r="AP1110" s="2">
        <f t="shared" ca="1" si="1094"/>
        <v>2009705.6161127177</v>
      </c>
      <c r="AQ1110" s="2">
        <f t="shared" ca="1" si="1095"/>
        <v>821916.86897678196</v>
      </c>
      <c r="AR1110" s="2">
        <f t="shared" ca="1" si="1096"/>
        <v>964578.26143303001</v>
      </c>
      <c r="AS1110" s="2">
        <f t="shared" ca="1" si="1097"/>
        <v>1091534.5320110898</v>
      </c>
      <c r="AT1110" s="2">
        <f t="shared" ca="1" si="1098"/>
        <v>1229329.2640102729</v>
      </c>
      <c r="AU1110" s="2">
        <f t="shared" ca="1" si="1099"/>
        <v>1378887.7543492918</v>
      </c>
      <c r="AV1110" s="2">
        <f t="shared" ca="1" si="1100"/>
        <v>2339301.8578569945</v>
      </c>
      <c r="AW1110" s="2">
        <f t="shared" ca="1" si="1101"/>
        <v>2703302.0448114639</v>
      </c>
      <c r="AX1110" s="2">
        <f t="shared" ca="1" si="1102"/>
        <v>3061050.4343844336</v>
      </c>
      <c r="AY1110" s="2">
        <f t="shared" ca="1" si="1103"/>
        <v>3449340.3805201529</v>
      </c>
      <c r="AZ1110" s="2">
        <f t="shared" ca="1" si="1104"/>
        <v>3870779.265122951</v>
      </c>
      <c r="BA1110" s="2">
        <f t="shared" ca="1" si="1105"/>
        <v>66378877.68451833</v>
      </c>
      <c r="BB1110" s="2">
        <f t="shared" ca="1" si="1106"/>
        <v>1327577.5536903667</v>
      </c>
      <c r="BC1110" s="2">
        <f t="shared" ca="1" si="1107"/>
        <v>42721237.729575545</v>
      </c>
      <c r="BD1110" s="2">
        <f t="shared" ca="1" si="1108"/>
        <v>-16317127.534220466</v>
      </c>
      <c r="BE1110" s="2">
        <f t="shared" ca="1" si="1109"/>
        <v>2339301.8578569945</v>
      </c>
      <c r="BF1110" s="2">
        <f t="shared" ca="1" si="1110"/>
        <v>2703302.0448114639</v>
      </c>
      <c r="BG1110" s="2">
        <f t="shared" ca="1" si="1111"/>
        <v>3061050.4343844336</v>
      </c>
      <c r="BH1110" s="2">
        <f t="shared" ca="1" si="1112"/>
        <v>3449340.3805201529</v>
      </c>
      <c r="BI1110" s="2">
        <f t="shared" ca="1" si="1113"/>
        <v>46592016.994698495</v>
      </c>
      <c r="BJ1110" s="2">
        <f t="shared" ca="1" si="1114"/>
        <v>0.3412143902139535</v>
      </c>
      <c r="BK1110" s="2">
        <f t="shared" ca="1" si="1115"/>
        <v>18735065.790198147</v>
      </c>
    </row>
    <row r="1111" spans="1:63" x14ac:dyDescent="0.3">
      <c r="A1111" s="2">
        <v>1110</v>
      </c>
      <c r="B1111" s="2">
        <f t="shared" ca="1" si="1054"/>
        <v>0.55256118572986335</v>
      </c>
      <c r="C1111" s="2">
        <f t="shared" ca="1" si="1055"/>
        <v>7.0540202811157773</v>
      </c>
      <c r="D1111" s="2">
        <f t="shared" ca="1" si="1056"/>
        <v>0.39676360699395541</v>
      </c>
      <c r="E1111" s="2">
        <f t="shared" ca="1" si="1057"/>
        <v>7.3908014447607897</v>
      </c>
      <c r="F1111" s="2">
        <f t="shared" ca="1" si="1058"/>
        <v>0.4564194989397482</v>
      </c>
      <c r="G1111" s="2">
        <f t="shared" ca="1" si="1059"/>
        <v>3.6716251118006568E-2</v>
      </c>
      <c r="H1111" s="2">
        <f t="shared" ca="1" si="1060"/>
        <v>3.6716251118006568E-2</v>
      </c>
      <c r="I1111" s="2">
        <f t="shared" ca="1" si="1061"/>
        <v>0.79601414350901945</v>
      </c>
      <c r="J1111" s="2">
        <f t="shared" ca="1" si="1062"/>
        <v>1.413734122943049E-2</v>
      </c>
      <c r="K1111" s="2">
        <f t="shared" ca="1" si="1063"/>
        <v>1.413734122943049E-2</v>
      </c>
      <c r="L1111" s="2">
        <f t="shared" ca="1" si="1064"/>
        <v>4.6623436725267475E-2</v>
      </c>
      <c r="M1111" s="2">
        <f t="shared" ca="1" si="1065"/>
        <v>-3.3570272439918766E-2</v>
      </c>
      <c r="N1111" s="2">
        <f t="shared" ca="1" si="1066"/>
        <v>-3.3570272439918766E-2</v>
      </c>
      <c r="O1111" s="2">
        <f t="shared" si="1067"/>
        <v>6000000</v>
      </c>
      <c r="P1111" s="2">
        <f t="shared" ca="1" si="1068"/>
        <v>42324121.686694667</v>
      </c>
      <c r="Q1111" s="2">
        <f t="shared" ca="1" si="1069"/>
        <v>1058103.0421673667</v>
      </c>
      <c r="R1111" s="2">
        <f t="shared" ca="1" si="1070"/>
        <v>25394473.012016799</v>
      </c>
      <c r="S1111" s="2">
        <f t="shared" ca="1" si="1071"/>
        <v>16929648.674677867</v>
      </c>
      <c r="T1111" s="2">
        <f t="shared" ca="1" si="1072"/>
        <v>48321486.378004067</v>
      </c>
      <c r="U1111" s="2">
        <f t="shared" ca="1" si="1073"/>
        <v>50095670.206254199</v>
      </c>
      <c r="V1111" s="2">
        <f t="shared" ca="1" si="1074"/>
        <v>51934995.41347187</v>
      </c>
      <c r="W1111" s="2">
        <f t="shared" ca="1" si="1075"/>
        <v>53841853.746885426</v>
      </c>
      <c r="X1111" s="2">
        <f t="shared" ca="1" si="1076"/>
        <v>55818724.769715056</v>
      </c>
      <c r="Y1111" s="2">
        <f t="shared" ca="1" si="1077"/>
        <v>0.12706867061471525</v>
      </c>
      <c r="Z1111" s="2">
        <f t="shared" ca="1" si="1078"/>
        <v>0.12989613886060133</v>
      </c>
      <c r="AA1111" s="2">
        <f t="shared" ca="1" si="1079"/>
        <v>6140147.0361800482</v>
      </c>
      <c r="AB1111" s="2">
        <f t="shared" ca="1" si="1080"/>
        <v>6507234.1334264847</v>
      </c>
      <c r="AC1111" s="2">
        <f t="shared" ca="1" si="1081"/>
        <v>6746155.3759530354</v>
      </c>
      <c r="AD1111" s="2">
        <f t="shared" ca="1" si="1082"/>
        <v>6993848.9108176176</v>
      </c>
      <c r="AE1111" s="2">
        <f t="shared" ca="1" si="1083"/>
        <v>7250636.8237085938</v>
      </c>
      <c r="AF1111" s="2">
        <f t="shared" ca="1" si="1084"/>
        <v>966429.7275600814</v>
      </c>
      <c r="AG1111" s="2">
        <f t="shared" ca="1" si="1085"/>
        <v>1001913.4041250841</v>
      </c>
      <c r="AH1111" s="2">
        <f t="shared" ca="1" si="1086"/>
        <v>1038699.9082694374</v>
      </c>
      <c r="AI1111" s="2">
        <f t="shared" ca="1" si="1087"/>
        <v>1076837.0749377084</v>
      </c>
      <c r="AJ1111" s="2">
        <f t="shared" ca="1" si="1088"/>
        <v>1116374.4953943011</v>
      </c>
      <c r="AK1111" s="2">
        <f t="shared" ca="1" si="1089"/>
        <v>0</v>
      </c>
      <c r="AL1111" s="2">
        <f t="shared" ca="1" si="1090"/>
        <v>17741.838282501325</v>
      </c>
      <c r="AM1111" s="2">
        <f t="shared" ca="1" si="1091"/>
        <v>18393.25207217671</v>
      </c>
      <c r="AN1111" s="2">
        <f t="shared" ca="1" si="1092"/>
        <v>19068.583334135561</v>
      </c>
      <c r="AO1111" s="2">
        <f t="shared" ca="1" si="1093"/>
        <v>19768.710228296295</v>
      </c>
      <c r="AP1111" s="2">
        <f t="shared" ca="1" si="1094"/>
        <v>2285502.5710815117</v>
      </c>
      <c r="AQ1111" s="2">
        <f t="shared" ca="1" si="1095"/>
        <v>750935.83175999834</v>
      </c>
      <c r="AR1111" s="2">
        <f t="shared" ca="1" si="1096"/>
        <v>837152.72113717115</v>
      </c>
      <c r="AS1111" s="2">
        <f t="shared" ca="1" si="1097"/>
        <v>889707.75311654259</v>
      </c>
      <c r="AT1111" s="2">
        <f t="shared" ca="1" si="1098"/>
        <v>944192.40884758334</v>
      </c>
      <c r="AU1111" s="2">
        <f t="shared" ca="1" si="1099"/>
        <v>1000677.5368805232</v>
      </c>
      <c r="AV1111" s="2">
        <f t="shared" ca="1" si="1100"/>
        <v>2137278.9057784565</v>
      </c>
      <c r="AW1111" s="2">
        <f t="shared" ca="1" si="1101"/>
        <v>2364923.5988002159</v>
      </c>
      <c r="AX1111" s="2">
        <f t="shared" ca="1" si="1102"/>
        <v>2513851.8914133674</v>
      </c>
      <c r="AY1111" s="2">
        <f t="shared" ca="1" si="1103"/>
        <v>2668248.2726166779</v>
      </c>
      <c r="AZ1111" s="2">
        <f t="shared" ca="1" si="1104"/>
        <v>2828313.5101239625</v>
      </c>
      <c r="BA1111" s="2">
        <f t="shared" ca="1" si="1105"/>
        <v>53588017.112101257</v>
      </c>
      <c r="BB1111" s="2">
        <f t="shared" ca="1" si="1106"/>
        <v>1071760.3422420251</v>
      </c>
      <c r="BC1111" s="2">
        <f t="shared" ca="1" si="1107"/>
        <v>27121783.757842433</v>
      </c>
      <c r="BD1111" s="2">
        <f t="shared" ca="1" si="1108"/>
        <v>-18487751.716845233</v>
      </c>
      <c r="BE1111" s="2">
        <f t="shared" ca="1" si="1109"/>
        <v>2137278.9057784565</v>
      </c>
      <c r="BF1111" s="2">
        <f t="shared" ca="1" si="1110"/>
        <v>2364923.5988002159</v>
      </c>
      <c r="BG1111" s="2">
        <f t="shared" ca="1" si="1111"/>
        <v>2513851.8914133674</v>
      </c>
      <c r="BH1111" s="2">
        <f t="shared" ca="1" si="1112"/>
        <v>2668248.2726166779</v>
      </c>
      <c r="BI1111" s="2">
        <f t="shared" ca="1" si="1113"/>
        <v>29950097.267966397</v>
      </c>
      <c r="BJ1111" s="2">
        <f t="shared" ca="1" si="1114"/>
        <v>0.19544887377803222</v>
      </c>
      <c r="BK1111" s="2">
        <f t="shared" ca="1" si="1115"/>
        <v>5785355.2926815711</v>
      </c>
    </row>
    <row r="1112" spans="1:63" x14ac:dyDescent="0.3">
      <c r="A1112" s="2">
        <v>1111</v>
      </c>
      <c r="B1112" s="2">
        <f t="shared" ca="1" si="1054"/>
        <v>0.38917927840689526</v>
      </c>
      <c r="C1112" s="2">
        <f t="shared" ca="1" si="1055"/>
        <v>6.8822463130066289</v>
      </c>
      <c r="D1112" s="2">
        <f t="shared" ca="1" si="1056"/>
        <v>0.42703419795357223</v>
      </c>
      <c r="E1112" s="2">
        <f t="shared" ca="1" si="1057"/>
        <v>7.4241582093489971</v>
      </c>
      <c r="F1112" s="2">
        <f t="shared" ca="1" si="1058"/>
        <v>0.74191475702745679</v>
      </c>
      <c r="G1112" s="2">
        <f t="shared" ca="1" si="1059"/>
        <v>5.9477793022534961E-2</v>
      </c>
      <c r="H1112" s="2">
        <f t="shared" ca="1" si="1060"/>
        <v>5.9477793022534961E-2</v>
      </c>
      <c r="I1112" s="2">
        <f t="shared" ca="1" si="1061"/>
        <v>0.74498933586970151</v>
      </c>
      <c r="J1112" s="2">
        <f t="shared" ca="1" si="1062"/>
        <v>1.3294022414359744E-2</v>
      </c>
      <c r="K1112" s="2">
        <f t="shared" ca="1" si="1063"/>
        <v>1.3294022414359744E-2</v>
      </c>
      <c r="L1112" s="2">
        <f t="shared" ca="1" si="1064"/>
        <v>0.48337494204471665</v>
      </c>
      <c r="M1112" s="2">
        <f t="shared" ca="1" si="1065"/>
        <v>-8.3369818723926349E-4</v>
      </c>
      <c r="N1112" s="2">
        <f t="shared" ca="1" si="1066"/>
        <v>-8.3369818723926349E-4</v>
      </c>
      <c r="O1112" s="2">
        <f t="shared" si="1067"/>
        <v>6000000</v>
      </c>
      <c r="P1112" s="2">
        <f t="shared" ca="1" si="1068"/>
        <v>41293477.87803977</v>
      </c>
      <c r="Q1112" s="2">
        <f t="shared" ca="1" si="1069"/>
        <v>1032336.9469509943</v>
      </c>
      <c r="R1112" s="2">
        <f t="shared" ca="1" si="1070"/>
        <v>24776086.726823863</v>
      </c>
      <c r="S1112" s="2">
        <f t="shared" ca="1" si="1071"/>
        <v>16517391.151215909</v>
      </c>
      <c r="T1112" s="2">
        <f t="shared" ca="1" si="1072"/>
        <v>49958315.090638041</v>
      </c>
      <c r="U1112" s="2">
        <f t="shared" ca="1" si="1073"/>
        <v>52929725.415353596</v>
      </c>
      <c r="V1112" s="2">
        <f t="shared" ca="1" si="1074"/>
        <v>56077868.668347605</v>
      </c>
      <c r="W1112" s="2">
        <f t="shared" ca="1" si="1075"/>
        <v>59413256.534148484</v>
      </c>
      <c r="X1112" s="2">
        <f t="shared" ca="1" si="1076"/>
        <v>62947025.90908134</v>
      </c>
      <c r="Y1112" s="2">
        <f t="shared" ca="1" si="1077"/>
        <v>0.12664701120717986</v>
      </c>
      <c r="Z1112" s="2">
        <f t="shared" ca="1" si="1078"/>
        <v>0.12930581569005181</v>
      </c>
      <c r="AA1112" s="2">
        <f t="shared" ca="1" si="1079"/>
        <v>6327071.291175859</v>
      </c>
      <c r="AB1112" s="2">
        <f t="shared" ca="1" si="1080"/>
        <v>6844121.319082763</v>
      </c>
      <c r="AC1112" s="2">
        <f t="shared" ca="1" si="1081"/>
        <v>7251194.5503202863</v>
      </c>
      <c r="AD1112" s="2">
        <f t="shared" ca="1" si="1082"/>
        <v>7682479.5989503702</v>
      </c>
      <c r="AE1112" s="2">
        <f t="shared" ca="1" si="1083"/>
        <v>8139416.5304365875</v>
      </c>
      <c r="AF1112" s="2">
        <f t="shared" ca="1" si="1084"/>
        <v>999166.30181276088</v>
      </c>
      <c r="AG1112" s="2">
        <f t="shared" ca="1" si="1085"/>
        <v>1058594.5083070719</v>
      </c>
      <c r="AH1112" s="2">
        <f t="shared" ca="1" si="1086"/>
        <v>1121557.3733669522</v>
      </c>
      <c r="AI1112" s="2">
        <f t="shared" ca="1" si="1087"/>
        <v>1188265.1306829697</v>
      </c>
      <c r="AJ1112" s="2">
        <f t="shared" ca="1" si="1088"/>
        <v>1258940.5181816269</v>
      </c>
      <c r="AK1112" s="2">
        <f t="shared" ca="1" si="1089"/>
        <v>0</v>
      </c>
      <c r="AL1112" s="2">
        <f t="shared" ca="1" si="1090"/>
        <v>29714.103247155548</v>
      </c>
      <c r="AM1112" s="2">
        <f t="shared" ca="1" si="1091"/>
        <v>31481.432529940084</v>
      </c>
      <c r="AN1112" s="2">
        <f t="shared" ca="1" si="1092"/>
        <v>33353.878658008798</v>
      </c>
      <c r="AO1112" s="2">
        <f t="shared" ca="1" si="1093"/>
        <v>35337.693749328551</v>
      </c>
      <c r="AP1112" s="2">
        <f t="shared" ca="1" si="1094"/>
        <v>2229847.8054141477</v>
      </c>
      <c r="AQ1112" s="2">
        <f t="shared" ca="1" si="1095"/>
        <v>805494.86782672722</v>
      </c>
      <c r="AR1112" s="2">
        <f t="shared" ca="1" si="1096"/>
        <v>924476.54139400146</v>
      </c>
      <c r="AS1112" s="2">
        <f t="shared" ca="1" si="1097"/>
        <v>1013945.2366001885</v>
      </c>
      <c r="AT1112" s="2">
        <f t="shared" ca="1" si="1098"/>
        <v>1108735.3323418458</v>
      </c>
      <c r="AU1112" s="2">
        <f t="shared" ca="1" si="1099"/>
        <v>1209163.3337786114</v>
      </c>
      <c r="AV1112" s="2">
        <f t="shared" ca="1" si="1100"/>
        <v>2292562.3161222236</v>
      </c>
      <c r="AW1112" s="2">
        <f t="shared" ca="1" si="1101"/>
        <v>2601488.3607203867</v>
      </c>
      <c r="AX1112" s="2">
        <f t="shared" ca="1" si="1102"/>
        <v>2854362.7024090579</v>
      </c>
      <c r="AY1112" s="2">
        <f t="shared" ca="1" si="1103"/>
        <v>3122277.4518533982</v>
      </c>
      <c r="AZ1112" s="2">
        <f t="shared" ca="1" si="1104"/>
        <v>3406127.1793128736</v>
      </c>
      <c r="BA1112" s="2">
        <f t="shared" ca="1" si="1105"/>
        <v>60428316.053751722</v>
      </c>
      <c r="BB1112" s="2">
        <f t="shared" ca="1" si="1106"/>
        <v>1208566.3210750346</v>
      </c>
      <c r="BC1112" s="2">
        <f t="shared" ca="1" si="1107"/>
        <v>34443663.005852818</v>
      </c>
      <c r="BD1112" s="2">
        <f t="shared" ca="1" si="1108"/>
        <v>-18049728.098166902</v>
      </c>
      <c r="BE1112" s="2">
        <f t="shared" ca="1" si="1109"/>
        <v>2292562.3161222236</v>
      </c>
      <c r="BF1112" s="2">
        <f t="shared" ca="1" si="1110"/>
        <v>2601488.3607203867</v>
      </c>
      <c r="BG1112" s="2">
        <f t="shared" ca="1" si="1111"/>
        <v>2854362.7024090579</v>
      </c>
      <c r="BH1112" s="2">
        <f t="shared" ca="1" si="1112"/>
        <v>3122277.4518533982</v>
      </c>
      <c r="BI1112" s="2">
        <f t="shared" ca="1" si="1113"/>
        <v>37849790.185165688</v>
      </c>
      <c r="BJ1112" s="2">
        <f t="shared" ca="1" si="1114"/>
        <v>0.25986840004245071</v>
      </c>
      <c r="BK1112" s="2">
        <f t="shared" ca="1" si="1115"/>
        <v>11564023.327410415</v>
      </c>
    </row>
    <row r="1113" spans="1:63" x14ac:dyDescent="0.3">
      <c r="A1113" s="2">
        <v>1112</v>
      </c>
      <c r="B1113" s="2">
        <f t="shared" ca="1" si="1054"/>
        <v>0.24840882546650422</v>
      </c>
      <c r="C1113" s="2">
        <f t="shared" ca="1" si="1055"/>
        <v>6.7048529285836924</v>
      </c>
      <c r="D1113" s="2">
        <f t="shared" ca="1" si="1056"/>
        <v>0.43401368430145426</v>
      </c>
      <c r="E1113" s="2">
        <f t="shared" ca="1" si="1057"/>
        <v>7.4316798637959867</v>
      </c>
      <c r="F1113" s="2">
        <f t="shared" ca="1" si="1058"/>
        <v>0.95395615816585455</v>
      </c>
      <c r="G1113" s="2">
        <f t="shared" ca="1" si="1059"/>
        <v>9.0534595409219099E-2</v>
      </c>
      <c r="H1113" s="2">
        <f t="shared" ca="1" si="1060"/>
        <v>9.0534595409219099E-2</v>
      </c>
      <c r="I1113" s="2">
        <f t="shared" ca="1" si="1061"/>
        <v>0.97577278402747503</v>
      </c>
      <c r="J1113" s="2">
        <f t="shared" ca="1" si="1062"/>
        <v>1.986680568872691E-2</v>
      </c>
      <c r="K1113" s="2">
        <f t="shared" ca="1" si="1063"/>
        <v>1.986680568872691E-2</v>
      </c>
      <c r="L1113" s="2">
        <f t="shared" ca="1" si="1064"/>
        <v>0.55036525298526306</v>
      </c>
      <c r="M1113" s="2">
        <f t="shared" ca="1" si="1065"/>
        <v>2.53168422432918E-3</v>
      </c>
      <c r="N1113" s="2">
        <f t="shared" ca="1" si="1066"/>
        <v>2.53168422432918E-3</v>
      </c>
      <c r="O1113" s="2">
        <f t="shared" si="1067"/>
        <v>6000000</v>
      </c>
      <c r="P1113" s="2">
        <f t="shared" ca="1" si="1068"/>
        <v>40229117.571502157</v>
      </c>
      <c r="Q1113" s="2">
        <f t="shared" ca="1" si="1069"/>
        <v>1005727.939287554</v>
      </c>
      <c r="R1113" s="2">
        <f t="shared" ca="1" si="1070"/>
        <v>24137470.542901292</v>
      </c>
      <c r="S1113" s="2">
        <f t="shared" ca="1" si="1071"/>
        <v>16091647.028600864</v>
      </c>
      <c r="T1113" s="2">
        <f t="shared" ca="1" si="1072"/>
        <v>50126584.211216465</v>
      </c>
      <c r="U1113" s="2">
        <f t="shared" ca="1" si="1073"/>
        <v>54664774.232025102</v>
      </c>
      <c r="V1113" s="2">
        <f t="shared" ca="1" si="1074"/>
        <v>59613827.450257801</v>
      </c>
      <c r="W1113" s="2">
        <f t="shared" ca="1" si="1075"/>
        <v>65010941.199261896</v>
      </c>
      <c r="X1113" s="2">
        <f t="shared" ca="1" si="1076"/>
        <v>70896680.457909614</v>
      </c>
      <c r="Y1113" s="2">
        <f t="shared" ca="1" si="1077"/>
        <v>0.12993340284436344</v>
      </c>
      <c r="Z1113" s="2">
        <f t="shared" ca="1" si="1078"/>
        <v>0.13390676398210882</v>
      </c>
      <c r="AA1113" s="2">
        <f t="shared" ca="1" si="1079"/>
        <v>6513117.6595278969</v>
      </c>
      <c r="AB1113" s="2">
        <f t="shared" ca="1" si="1080"/>
        <v>7319983.0212230496</v>
      </c>
      <c r="AC1113" s="2">
        <f t="shared" ca="1" si="1081"/>
        <v>7982694.7224518312</v>
      </c>
      <c r="AD1113" s="2">
        <f t="shared" ca="1" si="1082"/>
        <v>8705404.7594243176</v>
      </c>
      <c r="AE1113" s="2">
        <f t="shared" ca="1" si="1083"/>
        <v>9493545.0571922902</v>
      </c>
      <c r="AF1113" s="2">
        <f t="shared" ca="1" si="1084"/>
        <v>1002531.6842243293</v>
      </c>
      <c r="AG1113" s="2">
        <f t="shared" ca="1" si="1085"/>
        <v>1093295.4846405021</v>
      </c>
      <c r="AH1113" s="2">
        <f t="shared" ca="1" si="1086"/>
        <v>1192276.5490051562</v>
      </c>
      <c r="AI1113" s="2">
        <f t="shared" ca="1" si="1087"/>
        <v>1300218.8239852379</v>
      </c>
      <c r="AJ1113" s="2">
        <f t="shared" ca="1" si="1088"/>
        <v>1417933.6091581923</v>
      </c>
      <c r="AK1113" s="2">
        <f t="shared" ca="1" si="1089"/>
        <v>0</v>
      </c>
      <c r="AL1113" s="2">
        <f t="shared" ca="1" si="1090"/>
        <v>45381.900208086372</v>
      </c>
      <c r="AM1113" s="2">
        <f t="shared" ca="1" si="1091"/>
        <v>49490.532182326991</v>
      </c>
      <c r="AN1113" s="2">
        <f t="shared" ca="1" si="1092"/>
        <v>53971.137490040957</v>
      </c>
      <c r="AO1113" s="2">
        <f t="shared" ca="1" si="1093"/>
        <v>58857.392586477174</v>
      </c>
      <c r="AP1113" s="2">
        <f t="shared" ca="1" si="1094"/>
        <v>2172372.3488611165</v>
      </c>
      <c r="AQ1113" s="2">
        <f t="shared" ca="1" si="1095"/>
        <v>867935.54287503741</v>
      </c>
      <c r="AR1113" s="2">
        <f t="shared" ca="1" si="1096"/>
        <v>1054121.948807572</v>
      </c>
      <c r="AS1113" s="2">
        <f t="shared" ca="1" si="1097"/>
        <v>1200691.9143922452</v>
      </c>
      <c r="AT1113" s="2">
        <f t="shared" ca="1" si="1098"/>
        <v>1360531.5325102704</v>
      </c>
      <c r="AU1113" s="2">
        <f t="shared" ca="1" si="1099"/>
        <v>1534842.1657849753</v>
      </c>
      <c r="AV1113" s="2">
        <f t="shared" ca="1" si="1100"/>
        <v>2470278.083567414</v>
      </c>
      <c r="AW1113" s="2">
        <f t="shared" ca="1" si="1101"/>
        <v>2954811.3387057721</v>
      </c>
      <c r="AX1113" s="2">
        <f t="shared" ca="1" si="1102"/>
        <v>3367863.3780109868</v>
      </c>
      <c r="AY1113" s="2">
        <f t="shared" ca="1" si="1103"/>
        <v>3818310.9165776526</v>
      </c>
      <c r="AZ1113" s="2">
        <f t="shared" ca="1" si="1104"/>
        <v>4309539.5408015288</v>
      </c>
      <c r="BA1113" s="2">
        <f t="shared" ca="1" si="1105"/>
        <v>70552987.637575865</v>
      </c>
      <c r="BB1113" s="2">
        <f t="shared" ca="1" si="1106"/>
        <v>1411059.7527515173</v>
      </c>
      <c r="BC1113" s="2">
        <f t="shared" ca="1" si="1107"/>
        <v>45004457.341923058</v>
      </c>
      <c r="BD1113" s="2">
        <f t="shared" ca="1" si="1108"/>
        <v>-17597374.967888419</v>
      </c>
      <c r="BE1113" s="2">
        <f t="shared" ca="1" si="1109"/>
        <v>2470278.083567414</v>
      </c>
      <c r="BF1113" s="2">
        <f t="shared" ca="1" si="1110"/>
        <v>2954811.3387057721</v>
      </c>
      <c r="BG1113" s="2">
        <f t="shared" ca="1" si="1111"/>
        <v>3367863.3780109868</v>
      </c>
      <c r="BH1113" s="2">
        <f t="shared" ca="1" si="1112"/>
        <v>3818310.9165776526</v>
      </c>
      <c r="BI1113" s="2">
        <f t="shared" ca="1" si="1113"/>
        <v>49313996.882724583</v>
      </c>
      <c r="BJ1113" s="2">
        <f t="shared" ca="1" si="1114"/>
        <v>0.33793528796379046</v>
      </c>
      <c r="BK1113" s="2">
        <f t="shared" ca="1" si="1115"/>
        <v>19769658.412741978</v>
      </c>
    </row>
    <row r="1114" spans="1:63" x14ac:dyDescent="0.3">
      <c r="A1114" s="2">
        <v>1113</v>
      </c>
      <c r="B1114" s="2">
        <f t="shared" ca="1" si="1054"/>
        <v>0.16252673123940731</v>
      </c>
      <c r="C1114" s="2">
        <f t="shared" ca="1" si="1055"/>
        <v>6.5701346003171661</v>
      </c>
      <c r="D1114" s="2">
        <f t="shared" ca="1" si="1056"/>
        <v>0.49489391069749855</v>
      </c>
      <c r="E1114" s="2">
        <f t="shared" ca="1" si="1057"/>
        <v>7.4948808076322493</v>
      </c>
      <c r="F1114" s="2">
        <f t="shared" ca="1" si="1058"/>
        <v>0.43599494158353425</v>
      </c>
      <c r="G1114" s="2">
        <f t="shared" ca="1" si="1059"/>
        <v>3.5166056987733514E-2</v>
      </c>
      <c r="H1114" s="2">
        <f t="shared" ca="1" si="1060"/>
        <v>3.5166056987733514E-2</v>
      </c>
      <c r="I1114" s="2">
        <f t="shared" ca="1" si="1061"/>
        <v>0.67410681719849563</v>
      </c>
      <c r="J1114" s="2">
        <f t="shared" ca="1" si="1062"/>
        <v>1.2256409657827504E-2</v>
      </c>
      <c r="K1114" s="2">
        <f t="shared" ca="1" si="1063"/>
        <v>1.2256409657827504E-2</v>
      </c>
      <c r="L1114" s="2">
        <f t="shared" ca="1" si="1064"/>
        <v>0.71901654567512752</v>
      </c>
      <c r="M1114" s="2">
        <f t="shared" ca="1" si="1065"/>
        <v>1.1598449205600861E-2</v>
      </c>
      <c r="N1114" s="2">
        <f t="shared" ca="1" si="1066"/>
        <v>1.1598449205600861E-2</v>
      </c>
      <c r="O1114" s="2">
        <f t="shared" si="1067"/>
        <v>6000000</v>
      </c>
      <c r="P1114" s="2">
        <f t="shared" ca="1" si="1068"/>
        <v>39420807.601902999</v>
      </c>
      <c r="Q1114" s="2">
        <f t="shared" ca="1" si="1069"/>
        <v>985520.19004757504</v>
      </c>
      <c r="R1114" s="2">
        <f t="shared" ca="1" si="1070"/>
        <v>23652484.5611418</v>
      </c>
      <c r="S1114" s="2">
        <f t="shared" ca="1" si="1071"/>
        <v>15768323.040761201</v>
      </c>
      <c r="T1114" s="2">
        <f t="shared" ca="1" si="1072"/>
        <v>50579922.460280046</v>
      </c>
      <c r="U1114" s="2">
        <f t="shared" ca="1" si="1073"/>
        <v>52358618.895953394</v>
      </c>
      <c r="V1114" s="2">
        <f t="shared" ca="1" si="1074"/>
        <v>54199865.071847506</v>
      </c>
      <c r="W1114" s="2">
        <f t="shared" ca="1" si="1075"/>
        <v>56105860.615691558</v>
      </c>
      <c r="X1114" s="2">
        <f t="shared" ca="1" si="1076"/>
        <v>58078882.5074488</v>
      </c>
      <c r="Y1114" s="2">
        <f t="shared" ca="1" si="1077"/>
        <v>0.12612820482891374</v>
      </c>
      <c r="Z1114" s="2">
        <f t="shared" ca="1" si="1078"/>
        <v>0.12857948676047926</v>
      </c>
      <c r="AA1114" s="2">
        <f t="shared" ca="1" si="1079"/>
        <v>6379554.8203007765</v>
      </c>
      <c r="AB1114" s="2">
        <f t="shared" ca="1" si="1080"/>
        <v>6732244.3451292189</v>
      </c>
      <c r="AC1114" s="2">
        <f t="shared" ca="1" si="1081"/>
        <v>6968990.8334253784</v>
      </c>
      <c r="AD1114" s="2">
        <f t="shared" ca="1" si="1082"/>
        <v>7214062.7622206071</v>
      </c>
      <c r="AE1114" s="2">
        <f t="shared" ca="1" si="1083"/>
        <v>7467752.9044299433</v>
      </c>
      <c r="AF1114" s="2">
        <f t="shared" ca="1" si="1084"/>
        <v>1011598.4492056009</v>
      </c>
      <c r="AG1114" s="2">
        <f t="shared" ca="1" si="1085"/>
        <v>1047172.3779190679</v>
      </c>
      <c r="AH1114" s="2">
        <f t="shared" ca="1" si="1086"/>
        <v>1083997.3014369502</v>
      </c>
      <c r="AI1114" s="2">
        <f t="shared" ca="1" si="1087"/>
        <v>1122117.2123138311</v>
      </c>
      <c r="AJ1114" s="2">
        <f t="shared" ca="1" si="1088"/>
        <v>1161577.6501489761</v>
      </c>
      <c r="AK1114" s="2">
        <f t="shared" ca="1" si="1089"/>
        <v>0</v>
      </c>
      <c r="AL1114" s="2">
        <f t="shared" ca="1" si="1090"/>
        <v>17786.964356733486</v>
      </c>
      <c r="AM1114" s="2">
        <f t="shared" ca="1" si="1091"/>
        <v>18412.461758941114</v>
      </c>
      <c r="AN1114" s="2">
        <f t="shared" ca="1" si="1092"/>
        <v>19059.955438440516</v>
      </c>
      <c r="AO1114" s="2">
        <f t="shared" ca="1" si="1093"/>
        <v>19730.218917572423</v>
      </c>
      <c r="AP1114" s="2">
        <f t="shared" ca="1" si="1094"/>
        <v>2128723.6105027618</v>
      </c>
      <c r="AQ1114" s="2">
        <f t="shared" ca="1" si="1095"/>
        <v>842200.51775402774</v>
      </c>
      <c r="AR1114" s="2">
        <f t="shared" ca="1" si="1096"/>
        <v>924650.57274392131</v>
      </c>
      <c r="AS1114" s="2">
        <f t="shared" ca="1" si="1097"/>
        <v>976630.17958627327</v>
      </c>
      <c r="AT1114" s="2">
        <f t="shared" ca="1" si="1098"/>
        <v>1030437.7042450438</v>
      </c>
      <c r="AU1114" s="2">
        <f t="shared" ca="1" si="1099"/>
        <v>1086137.4273823337</v>
      </c>
      <c r="AV1114" s="2">
        <f t="shared" ca="1" si="1100"/>
        <v>2397032.2428383864</v>
      </c>
      <c r="AW1114" s="2">
        <f t="shared" ca="1" si="1101"/>
        <v>2613910.8196067344</v>
      </c>
      <c r="AX1114" s="2">
        <f t="shared" ca="1" si="1102"/>
        <v>2761227.2801404512</v>
      </c>
      <c r="AY1114" s="2">
        <f t="shared" ca="1" si="1103"/>
        <v>2913724.2797205299</v>
      </c>
      <c r="AZ1114" s="2">
        <f t="shared" ca="1" si="1104"/>
        <v>3071583.9974782998</v>
      </c>
      <c r="BA1114" s="2">
        <f t="shared" ca="1" si="1105"/>
        <v>55969917.919551969</v>
      </c>
      <c r="BB1114" s="2">
        <f t="shared" ca="1" si="1106"/>
        <v>1119398.3583910393</v>
      </c>
      <c r="BC1114" s="2">
        <f t="shared" ca="1" si="1107"/>
        <v>31198035.000019129</v>
      </c>
      <c r="BD1114" s="2">
        <f t="shared" ca="1" si="1108"/>
        <v>-17253843.230808776</v>
      </c>
      <c r="BE1114" s="2">
        <f t="shared" ca="1" si="1109"/>
        <v>2397032.2428383864</v>
      </c>
      <c r="BF1114" s="2">
        <f t="shared" ca="1" si="1110"/>
        <v>2613910.8196067344</v>
      </c>
      <c r="BG1114" s="2">
        <f t="shared" ca="1" si="1111"/>
        <v>2761227.2801404512</v>
      </c>
      <c r="BH1114" s="2">
        <f t="shared" ca="1" si="1112"/>
        <v>2913724.2797205299</v>
      </c>
      <c r="BI1114" s="2">
        <f t="shared" ca="1" si="1113"/>
        <v>34269618.997497432</v>
      </c>
      <c r="BJ1114" s="2">
        <f t="shared" ca="1" si="1114"/>
        <v>0.25309829894804925</v>
      </c>
      <c r="BK1114" s="2">
        <f t="shared" ca="1" si="1115"/>
        <v>10232771.478124566</v>
      </c>
    </row>
    <row r="1115" spans="1:63" x14ac:dyDescent="0.3">
      <c r="A1115" s="2">
        <v>1114</v>
      </c>
      <c r="B1115" s="2">
        <f t="shared" ca="1" si="1054"/>
        <v>0.6420814483639401</v>
      </c>
      <c r="C1115" s="2">
        <f t="shared" ca="1" si="1055"/>
        <v>7.1539284289895333</v>
      </c>
      <c r="D1115" s="2">
        <f t="shared" ca="1" si="1056"/>
        <v>0.64101417021631157</v>
      </c>
      <c r="E1115" s="2">
        <f t="shared" ca="1" si="1057"/>
        <v>7.652667916595048</v>
      </c>
      <c r="F1115" s="2">
        <f t="shared" ca="1" si="1058"/>
        <v>0.4351146775618091</v>
      </c>
      <c r="G1115" s="2">
        <f t="shared" ca="1" si="1059"/>
        <v>3.5098985090082614E-2</v>
      </c>
      <c r="H1115" s="2">
        <f t="shared" ca="1" si="1060"/>
        <v>3.5098985090082614E-2</v>
      </c>
      <c r="I1115" s="2">
        <f t="shared" ca="1" si="1061"/>
        <v>0.34905961914245587</v>
      </c>
      <c r="J1115" s="2">
        <f t="shared" ca="1" si="1062"/>
        <v>8.060697280962207E-3</v>
      </c>
      <c r="K1115" s="2">
        <f t="shared" ca="1" si="1063"/>
        <v>8.060697280962207E-3</v>
      </c>
      <c r="L1115" s="2">
        <f t="shared" ca="1" si="1064"/>
        <v>0.43229764853502162</v>
      </c>
      <c r="M1115" s="2">
        <f t="shared" ca="1" si="1065"/>
        <v>-3.4105503087306687E-3</v>
      </c>
      <c r="N1115" s="2">
        <f t="shared" ca="1" si="1066"/>
        <v>-3.4105503087306687E-3</v>
      </c>
      <c r="O1115" s="2">
        <f t="shared" si="1067"/>
        <v>6000000</v>
      </c>
      <c r="P1115" s="2">
        <f t="shared" ca="1" si="1068"/>
        <v>42923570.5739372</v>
      </c>
      <c r="Q1115" s="2">
        <f t="shared" ca="1" si="1069"/>
        <v>1073089.2643484301</v>
      </c>
      <c r="R1115" s="2">
        <f t="shared" ca="1" si="1070"/>
        <v>25754142.344362319</v>
      </c>
      <c r="S1115" s="2">
        <f t="shared" ca="1" si="1071"/>
        <v>17169428.229574881</v>
      </c>
      <c r="T1115" s="2">
        <f t="shared" ca="1" si="1072"/>
        <v>49829472.484563462</v>
      </c>
      <c r="U1115" s="2">
        <f t="shared" ca="1" si="1073"/>
        <v>51578436.396345839</v>
      </c>
      <c r="V1115" s="2">
        <f t="shared" ca="1" si="1074"/>
        <v>53388787.166390963</v>
      </c>
      <c r="W1115" s="2">
        <f t="shared" ca="1" si="1075"/>
        <v>55262679.411121719</v>
      </c>
      <c r="X1115" s="2">
        <f t="shared" ca="1" si="1076"/>
        <v>57202343.371810697</v>
      </c>
      <c r="Y1115" s="2">
        <f t="shared" ca="1" si="1077"/>
        <v>0.1240303486404811</v>
      </c>
      <c r="Z1115" s="2">
        <f t="shared" ca="1" si="1078"/>
        <v>0.12564248809667353</v>
      </c>
      <c r="AA1115" s="2">
        <f t="shared" ca="1" si="1079"/>
        <v>6180366.844831666</v>
      </c>
      <c r="AB1115" s="2">
        <f t="shared" ca="1" si="1080"/>
        <v>6480443.0809729146</v>
      </c>
      <c r="AC1115" s="2">
        <f t="shared" ca="1" si="1081"/>
        <v>6707900.0560491132</v>
      </c>
      <c r="AD1115" s="2">
        <f t="shared" ca="1" si="1082"/>
        <v>6943340.5401021456</v>
      </c>
      <c r="AE1115" s="2">
        <f t="shared" ca="1" si="1083"/>
        <v>7187044.7461945573</v>
      </c>
      <c r="AF1115" s="2">
        <f t="shared" ca="1" si="1084"/>
        <v>996589.44969126931</v>
      </c>
      <c r="AG1115" s="2">
        <f t="shared" ca="1" si="1085"/>
        <v>1031568.7279269168</v>
      </c>
      <c r="AH1115" s="2">
        <f t="shared" ca="1" si="1086"/>
        <v>1067775.7433278193</v>
      </c>
      <c r="AI1115" s="2">
        <f t="shared" ca="1" si="1087"/>
        <v>1105253.5882224343</v>
      </c>
      <c r="AJ1115" s="2">
        <f t="shared" ca="1" si="1088"/>
        <v>1144046.8674362139</v>
      </c>
      <c r="AK1115" s="2">
        <f t="shared" ca="1" si="1089"/>
        <v>0</v>
      </c>
      <c r="AL1115" s="2">
        <f t="shared" ca="1" si="1090"/>
        <v>17489.639117823765</v>
      </c>
      <c r="AM1115" s="2">
        <f t="shared" ca="1" si="1091"/>
        <v>18103.507700451239</v>
      </c>
      <c r="AN1115" s="2">
        <f t="shared" ca="1" si="1092"/>
        <v>18738.922447307556</v>
      </c>
      <c r="AO1115" s="2">
        <f t="shared" ca="1" si="1093"/>
        <v>19396.639606889785</v>
      </c>
      <c r="AP1115" s="2">
        <f t="shared" ca="1" si="1094"/>
        <v>2317872.8109926088</v>
      </c>
      <c r="AQ1115" s="2">
        <f t="shared" ca="1" si="1095"/>
        <v>745135.19187842484</v>
      </c>
      <c r="AR1115" s="2">
        <f t="shared" ca="1" si="1096"/>
        <v>814060.40093388129</v>
      </c>
      <c r="AS1115" s="2">
        <f t="shared" ca="1" si="1097"/>
        <v>863785.39044945803</v>
      </c>
      <c r="AT1115" s="2">
        <f t="shared" ca="1" si="1098"/>
        <v>915255.67663064681</v>
      </c>
      <c r="AU1115" s="2">
        <f t="shared" ca="1" si="1099"/>
        <v>968532.51761909097</v>
      </c>
      <c r="AV1115" s="2">
        <f t="shared" ca="1" si="1100"/>
        <v>2120769.3922693627</v>
      </c>
      <c r="AW1115" s="2">
        <f t="shared" ca="1" si="1101"/>
        <v>2299451.5020016842</v>
      </c>
      <c r="AX1115" s="2">
        <f t="shared" ca="1" si="1102"/>
        <v>2440362.6035787752</v>
      </c>
      <c r="AY1115" s="2">
        <f t="shared" ca="1" si="1103"/>
        <v>2586219.5418091482</v>
      </c>
      <c r="AZ1115" s="2">
        <f t="shared" ca="1" si="1104"/>
        <v>2737195.9105397537</v>
      </c>
      <c r="BA1115" s="2">
        <f t="shared" ca="1" si="1105"/>
        <v>55000066.744336091</v>
      </c>
      <c r="BB1115" s="2">
        <f t="shared" ca="1" si="1106"/>
        <v>1100001.3348867218</v>
      </c>
      <c r="BC1115" s="2">
        <f t="shared" ca="1" si="1107"/>
        <v>28145923.06508705</v>
      </c>
      <c r="BD1115" s="2">
        <f t="shared" ca="1" si="1108"/>
        <v>-18742517.49392331</v>
      </c>
      <c r="BE1115" s="2">
        <f t="shared" ca="1" si="1109"/>
        <v>2120769.3922693627</v>
      </c>
      <c r="BF1115" s="2">
        <f t="shared" ca="1" si="1110"/>
        <v>2299451.5020016842</v>
      </c>
      <c r="BG1115" s="2">
        <f t="shared" ca="1" si="1111"/>
        <v>2440362.6035787752</v>
      </c>
      <c r="BH1115" s="2">
        <f t="shared" ca="1" si="1112"/>
        <v>2586219.5418091482</v>
      </c>
      <c r="BI1115" s="2">
        <f t="shared" ca="1" si="1113"/>
        <v>30883118.975626804</v>
      </c>
      <c r="BJ1115" s="2">
        <f t="shared" ca="1" si="1114"/>
        <v>0.19521145859028843</v>
      </c>
      <c r="BK1115" s="2">
        <f t="shared" ca="1" si="1115"/>
        <v>5888637.5328352079</v>
      </c>
    </row>
    <row r="1116" spans="1:63" x14ac:dyDescent="0.3">
      <c r="A1116" s="2">
        <v>1115</v>
      </c>
      <c r="B1116" s="2">
        <f t="shared" ca="1" si="1054"/>
        <v>0.2711355035149855</v>
      </c>
      <c r="C1116" s="2">
        <f t="shared" ca="1" si="1055"/>
        <v>6.7363905261679911</v>
      </c>
      <c r="D1116" s="2">
        <f t="shared" ca="1" si="1056"/>
        <v>0.16005991962531407</v>
      </c>
      <c r="E1116" s="2">
        <f t="shared" ca="1" si="1057"/>
        <v>7.0657913389674931</v>
      </c>
      <c r="F1116" s="2">
        <f t="shared" ca="1" si="1058"/>
        <v>0.54760872803855243</v>
      </c>
      <c r="G1116" s="2">
        <f t="shared" ca="1" si="1059"/>
        <v>4.3588661797291199E-2</v>
      </c>
      <c r="H1116" s="2">
        <f t="shared" ca="1" si="1060"/>
        <v>4.3588661797291199E-2</v>
      </c>
      <c r="I1116" s="2">
        <f t="shared" ca="1" si="1061"/>
        <v>0.16201612241290408</v>
      </c>
      <c r="J1116" s="2">
        <f t="shared" ca="1" si="1062"/>
        <v>5.0689721323757056E-3</v>
      </c>
      <c r="K1116" s="2">
        <f t="shared" ca="1" si="1063"/>
        <v>5.0689721323757056E-3</v>
      </c>
      <c r="L1116" s="2">
        <f t="shared" ca="1" si="1064"/>
        <v>0.26828326259655955</v>
      </c>
      <c r="M1116" s="2">
        <f t="shared" ca="1" si="1065"/>
        <v>-1.2360267405347845E-2</v>
      </c>
      <c r="N1116" s="2">
        <f t="shared" ca="1" si="1066"/>
        <v>-1.2360267405347845E-2</v>
      </c>
      <c r="O1116" s="2">
        <f t="shared" si="1067"/>
        <v>6000000</v>
      </c>
      <c r="P1116" s="2">
        <f t="shared" ca="1" si="1068"/>
        <v>40418343.157007948</v>
      </c>
      <c r="Q1116" s="2">
        <f t="shared" ca="1" si="1069"/>
        <v>1010458.5789251988</v>
      </c>
      <c r="R1116" s="2">
        <f t="shared" ca="1" si="1070"/>
        <v>24251005.894204769</v>
      </c>
      <c r="S1116" s="2">
        <f t="shared" ca="1" si="1071"/>
        <v>16167337.26280318</v>
      </c>
      <c r="T1116" s="2">
        <f t="shared" ca="1" si="1072"/>
        <v>49381986.629732609</v>
      </c>
      <c r="U1116" s="2">
        <f t="shared" ca="1" si="1073"/>
        <v>51534481.34381438</v>
      </c>
      <c r="V1116" s="2">
        <f t="shared" ca="1" si="1074"/>
        <v>53780800.422008716</v>
      </c>
      <c r="W1116" s="2">
        <f t="shared" ca="1" si="1075"/>
        <v>56125033.54279127</v>
      </c>
      <c r="X1116" s="2">
        <f t="shared" ca="1" si="1076"/>
        <v>58571448.648249619</v>
      </c>
      <c r="Y1116" s="2">
        <f t="shared" ca="1" si="1077"/>
        <v>0.12253448606618784</v>
      </c>
      <c r="Z1116" s="2">
        <f t="shared" ca="1" si="1078"/>
        <v>0.12354828049266299</v>
      </c>
      <c r="AA1116" s="2">
        <f t="shared" ca="1" si="1079"/>
        <v>6050996.3526016446</v>
      </c>
      <c r="AB1116" s="2">
        <f t="shared" ca="1" si="1080"/>
        <v>6366996.5561094871</v>
      </c>
      <c r="AC1116" s="2">
        <f t="shared" ca="1" si="1081"/>
        <v>6644525.4156582607</v>
      </c>
      <c r="AD1116" s="2">
        <f t="shared" ca="1" si="1082"/>
        <v>6934151.3868048945</v>
      </c>
      <c r="AE1116" s="2">
        <f t="shared" ca="1" si="1083"/>
        <v>7236401.7664555507</v>
      </c>
      <c r="AF1116" s="2">
        <f t="shared" ca="1" si="1084"/>
        <v>987639.73259465222</v>
      </c>
      <c r="AG1116" s="2">
        <f t="shared" ca="1" si="1085"/>
        <v>1030689.6268762876</v>
      </c>
      <c r="AH1116" s="2">
        <f t="shared" ca="1" si="1086"/>
        <v>1075616.0084401744</v>
      </c>
      <c r="AI1116" s="2">
        <f t="shared" ca="1" si="1087"/>
        <v>1122500.6708558255</v>
      </c>
      <c r="AJ1116" s="2">
        <f t="shared" ca="1" si="1088"/>
        <v>1171428.9729649925</v>
      </c>
      <c r="AK1116" s="2">
        <f t="shared" ca="1" si="1089"/>
        <v>0</v>
      </c>
      <c r="AL1116" s="2">
        <f t="shared" ca="1" si="1090"/>
        <v>21524.947140817716</v>
      </c>
      <c r="AM1116" s="2">
        <f t="shared" ca="1" si="1091"/>
        <v>22463.190781943351</v>
      </c>
      <c r="AN1116" s="2">
        <f t="shared" ca="1" si="1092"/>
        <v>23442.33120782554</v>
      </c>
      <c r="AO1116" s="2">
        <f t="shared" ca="1" si="1093"/>
        <v>24464.15105458349</v>
      </c>
      <c r="AP1116" s="2">
        <f t="shared" ca="1" si="1094"/>
        <v>2182590.530478429</v>
      </c>
      <c r="AQ1116" s="2">
        <f t="shared" ca="1" si="1095"/>
        <v>748999.18327742652</v>
      </c>
      <c r="AR1116" s="2">
        <f t="shared" ca="1" si="1096"/>
        <v>819966.26367624023</v>
      </c>
      <c r="AS1116" s="2">
        <f t="shared" ca="1" si="1097"/>
        <v>880442.90795231098</v>
      </c>
      <c r="AT1116" s="2">
        <f t="shared" ca="1" si="1098"/>
        <v>943555.64822236635</v>
      </c>
      <c r="AU1116" s="2">
        <f t="shared" ca="1" si="1099"/>
        <v>1009419.3883831536</v>
      </c>
      <c r="AV1116" s="2">
        <f t="shared" ca="1" si="1100"/>
        <v>2131766.9062511371</v>
      </c>
      <c r="AW1116" s="2">
        <f t="shared" ca="1" si="1101"/>
        <v>2312225.1879377123</v>
      </c>
      <c r="AX1116" s="2">
        <f t="shared" ca="1" si="1102"/>
        <v>2483412.7780054025</v>
      </c>
      <c r="AY1116" s="2">
        <f t="shared" ca="1" si="1103"/>
        <v>2662062.2060404476</v>
      </c>
      <c r="AZ1116" s="2">
        <f t="shared" ca="1" si="1104"/>
        <v>2848498.7235743916</v>
      </c>
      <c r="BA1116" s="2">
        <f t="shared" ca="1" si="1105"/>
        <v>51130904.926710695</v>
      </c>
      <c r="BB1116" s="2">
        <f t="shared" ca="1" si="1106"/>
        <v>1022618.098534214</v>
      </c>
      <c r="BC1116" s="2">
        <f t="shared" ca="1" si="1107"/>
        <v>25857280.933971711</v>
      </c>
      <c r="BD1116" s="2">
        <f t="shared" ca="1" si="1108"/>
        <v>-17677795.841728378</v>
      </c>
      <c r="BE1116" s="2">
        <f t="shared" ca="1" si="1109"/>
        <v>2131766.9062511371</v>
      </c>
      <c r="BF1116" s="2">
        <f t="shared" ca="1" si="1110"/>
        <v>2312225.1879377123</v>
      </c>
      <c r="BG1116" s="2">
        <f t="shared" ca="1" si="1111"/>
        <v>2483412.7780054025</v>
      </c>
      <c r="BH1116" s="2">
        <f t="shared" ca="1" si="1112"/>
        <v>2662062.2060404476</v>
      </c>
      <c r="BI1116" s="2">
        <f t="shared" ca="1" si="1113"/>
        <v>28705779.657546103</v>
      </c>
      <c r="BJ1116" s="2">
        <f t="shared" ca="1" si="1114"/>
        <v>0.19936106750252636</v>
      </c>
      <c r="BK1116" s="2">
        <f t="shared" ca="1" si="1115"/>
        <v>5816722.343128562</v>
      </c>
    </row>
    <row r="1117" spans="1:63" x14ac:dyDescent="0.3">
      <c r="A1117" s="2">
        <v>1116</v>
      </c>
      <c r="B1117" s="2">
        <f t="shared" ca="1" si="1054"/>
        <v>0.77053269737759522</v>
      </c>
      <c r="C1117" s="2">
        <f t="shared" ca="1" si="1055"/>
        <v>7.3225528764214811</v>
      </c>
      <c r="D1117" s="2">
        <f t="shared" ca="1" si="1056"/>
        <v>0.2705450461779485</v>
      </c>
      <c r="E1117" s="2">
        <f t="shared" ca="1" si="1057"/>
        <v>7.2355882627910102</v>
      </c>
      <c r="F1117" s="2">
        <f t="shared" ca="1" si="1058"/>
        <v>3.7628199849328192E-2</v>
      </c>
      <c r="G1117" s="2">
        <f t="shared" ca="1" si="1059"/>
        <v>-1.3366955803086986E-2</v>
      </c>
      <c r="H1117" s="2">
        <f t="shared" ca="1" si="1060"/>
        <v>-1.3366955803086986E-2</v>
      </c>
      <c r="I1117" s="2">
        <f t="shared" ca="1" si="1061"/>
        <v>0.60777658574411542</v>
      </c>
      <c r="J1117" s="2">
        <f t="shared" ca="1" si="1062"/>
        <v>1.1367643534270878E-2</v>
      </c>
      <c r="K1117" s="2">
        <f t="shared" ca="1" si="1063"/>
        <v>1.1367643534270878E-2</v>
      </c>
      <c r="L1117" s="2">
        <f t="shared" ca="1" si="1064"/>
        <v>1.0884803882654226E-2</v>
      </c>
      <c r="M1117" s="2">
        <f t="shared" ca="1" si="1065"/>
        <v>-4.5887277016417267E-2</v>
      </c>
      <c r="N1117" s="2">
        <f t="shared" ca="1" si="1066"/>
        <v>-4.5887277016417267E-2</v>
      </c>
      <c r="O1117" s="2">
        <f t="shared" si="1067"/>
        <v>6000000</v>
      </c>
      <c r="P1117" s="2">
        <f t="shared" ca="1" si="1068"/>
        <v>43935317.258528888</v>
      </c>
      <c r="Q1117" s="2">
        <f t="shared" ca="1" si="1069"/>
        <v>1098382.9314632223</v>
      </c>
      <c r="R1117" s="2">
        <f t="shared" ca="1" si="1070"/>
        <v>26361190.355117332</v>
      </c>
      <c r="S1117" s="2">
        <f t="shared" ca="1" si="1071"/>
        <v>17574126.903411556</v>
      </c>
      <c r="T1117" s="2">
        <f t="shared" ca="1" si="1072"/>
        <v>47705636.149179138</v>
      </c>
      <c r="U1117" s="2">
        <f t="shared" ca="1" si="1073"/>
        <v>47067957.019214913</v>
      </c>
      <c r="V1117" s="2">
        <f t="shared" ca="1" si="1074"/>
        <v>46438801.717997469</v>
      </c>
      <c r="W1117" s="2">
        <f t="shared" ca="1" si="1075"/>
        <v>45818056.307884678</v>
      </c>
      <c r="X1117" s="2">
        <f t="shared" ca="1" si="1076"/>
        <v>45205608.374233834</v>
      </c>
      <c r="Y1117" s="2">
        <f t="shared" ca="1" si="1077"/>
        <v>0.12568382176713544</v>
      </c>
      <c r="Z1117" s="2">
        <f t="shared" ca="1" si="1078"/>
        <v>0.1279573504739896</v>
      </c>
      <c r="AA1117" s="2">
        <f t="shared" ca="1" si="1079"/>
        <v>5995826.6710612439</v>
      </c>
      <c r="AB1117" s="2">
        <f t="shared" ca="1" si="1080"/>
        <v>6022691.0724023608</v>
      </c>
      <c r="AC1117" s="2">
        <f t="shared" ca="1" si="1081"/>
        <v>5942186.0270219119</v>
      </c>
      <c r="AD1117" s="2">
        <f t="shared" ca="1" si="1082"/>
        <v>5862757.0890249899</v>
      </c>
      <c r="AE1117" s="2">
        <f t="shared" ca="1" si="1083"/>
        <v>5784389.8741317578</v>
      </c>
      <c r="AF1117" s="2">
        <f t="shared" ca="1" si="1084"/>
        <v>954112.72298358276</v>
      </c>
      <c r="AG1117" s="2">
        <f t="shared" ca="1" si="1085"/>
        <v>941359.14038429828</v>
      </c>
      <c r="AH1117" s="2">
        <f t="shared" ca="1" si="1086"/>
        <v>928776.03435994941</v>
      </c>
      <c r="AI1117" s="2">
        <f t="shared" ca="1" si="1087"/>
        <v>916361.12615769356</v>
      </c>
      <c r="AJ1117" s="2">
        <f t="shared" ca="1" si="1088"/>
        <v>904112.1674846767</v>
      </c>
      <c r="AK1117" s="2">
        <f t="shared" ca="1" si="1089"/>
        <v>0</v>
      </c>
      <c r="AL1117" s="2">
        <f t="shared" ca="1" si="1090"/>
        <v>0</v>
      </c>
      <c r="AM1117" s="2">
        <f t="shared" ca="1" si="1091"/>
        <v>0</v>
      </c>
      <c r="AN1117" s="2">
        <f t="shared" ca="1" si="1092"/>
        <v>0</v>
      </c>
      <c r="AO1117" s="2">
        <f t="shared" ca="1" si="1093"/>
        <v>0</v>
      </c>
      <c r="AP1117" s="2">
        <f t="shared" ca="1" si="1094"/>
        <v>2372507.1319605596</v>
      </c>
      <c r="AQ1117" s="2">
        <f t="shared" ca="1" si="1095"/>
        <v>693993.77219044638</v>
      </c>
      <c r="AR1117" s="2">
        <f t="shared" ca="1" si="1096"/>
        <v>704294.44801495061</v>
      </c>
      <c r="AS1117" s="2">
        <f t="shared" ca="1" si="1097"/>
        <v>686634.74378236476</v>
      </c>
      <c r="AT1117" s="2">
        <f t="shared" ca="1" si="1098"/>
        <v>669211.09603575151</v>
      </c>
      <c r="AU1117" s="2">
        <f t="shared" ca="1" si="1099"/>
        <v>652020.34941849567</v>
      </c>
      <c r="AV1117" s="2">
        <f t="shared" ca="1" si="1100"/>
        <v>1975213.0439266553</v>
      </c>
      <c r="AW1117" s="2">
        <f t="shared" ca="1" si="1101"/>
        <v>2004530.3520425521</v>
      </c>
      <c r="AX1117" s="2">
        <f t="shared" ca="1" si="1102"/>
        <v>1954268.1169190379</v>
      </c>
      <c r="AY1117" s="2">
        <f t="shared" ca="1" si="1103"/>
        <v>1904677.7348709852</v>
      </c>
      <c r="AZ1117" s="2">
        <f t="shared" ca="1" si="1104"/>
        <v>1855750.2252680259</v>
      </c>
      <c r="BA1117" s="2">
        <f t="shared" ca="1" si="1105"/>
        <v>41853463.480674915</v>
      </c>
      <c r="BB1117" s="2">
        <f t="shared" ca="1" si="1106"/>
        <v>837069.26961349836</v>
      </c>
      <c r="BC1117" s="2">
        <f t="shared" ca="1" si="1107"/>
        <v>14655203.855944084</v>
      </c>
      <c r="BD1117" s="2">
        <f t="shared" ca="1" si="1108"/>
        <v>-19172509.834874779</v>
      </c>
      <c r="BE1117" s="2">
        <f t="shared" ca="1" si="1109"/>
        <v>1975213.0439266553</v>
      </c>
      <c r="BF1117" s="2">
        <f t="shared" ca="1" si="1110"/>
        <v>2004530.3520425521</v>
      </c>
      <c r="BG1117" s="2">
        <f t="shared" ca="1" si="1111"/>
        <v>1954268.1169190379</v>
      </c>
      <c r="BH1117" s="2">
        <f t="shared" ca="1" si="1112"/>
        <v>1904677.7348709852</v>
      </c>
      <c r="BI1117" s="2">
        <f t="shared" ca="1" si="1113"/>
        <v>16510954.081212111</v>
      </c>
      <c r="BJ1117" s="2">
        <f t="shared" ca="1" si="1114"/>
        <v>5.9490131238234323E-2</v>
      </c>
      <c r="BK1117" s="2">
        <f t="shared" ca="1" si="1115"/>
        <v>-3840702.0981102381</v>
      </c>
    </row>
    <row r="1118" spans="1:63" x14ac:dyDescent="0.3">
      <c r="A1118" s="2">
        <v>1117</v>
      </c>
      <c r="B1118" s="2">
        <f t="shared" ca="1" si="1054"/>
        <v>0.61256934475822222</v>
      </c>
      <c r="C1118" s="2">
        <f t="shared" ca="1" si="1055"/>
        <v>7.1197379307935869</v>
      </c>
      <c r="D1118" s="2">
        <f t="shared" ca="1" si="1056"/>
        <v>0.56717870883451671</v>
      </c>
      <c r="E1118" s="2">
        <f t="shared" ca="1" si="1057"/>
        <v>7.56960084784488</v>
      </c>
      <c r="F1118" s="2">
        <f t="shared" ca="1" si="1058"/>
        <v>0.17209384800491767</v>
      </c>
      <c r="G1118" s="2">
        <f t="shared" ca="1" si="1059"/>
        <v>1.162230027302245E-2</v>
      </c>
      <c r="H1118" s="2">
        <f t="shared" ca="1" si="1060"/>
        <v>1.162230027302245E-2</v>
      </c>
      <c r="I1118" s="2">
        <f t="shared" ca="1" si="1061"/>
        <v>0.9457132532647069</v>
      </c>
      <c r="J1118" s="2">
        <f t="shared" ca="1" si="1062"/>
        <v>1.8023190003298578E-2</v>
      </c>
      <c r="K1118" s="2">
        <f t="shared" ca="1" si="1063"/>
        <v>1.8023190003298578E-2</v>
      </c>
      <c r="L1118" s="2">
        <f t="shared" ca="1" si="1064"/>
        <v>0.50950932062908427</v>
      </c>
      <c r="M1118" s="2">
        <f t="shared" ca="1" si="1065"/>
        <v>4.7677179189377415E-4</v>
      </c>
      <c r="N1118" s="2">
        <f t="shared" ca="1" si="1066"/>
        <v>4.7677179189377415E-4</v>
      </c>
      <c r="O1118" s="2">
        <f t="shared" si="1067"/>
        <v>6000000</v>
      </c>
      <c r="P1118" s="2">
        <f t="shared" ca="1" si="1068"/>
        <v>42718427.584761523</v>
      </c>
      <c r="Q1118" s="2">
        <f t="shared" ca="1" si="1069"/>
        <v>1067960.689619038</v>
      </c>
      <c r="R1118" s="2">
        <f t="shared" ca="1" si="1070"/>
        <v>25631056.550856914</v>
      </c>
      <c r="S1118" s="2">
        <f t="shared" ca="1" si="1071"/>
        <v>17087371.033904608</v>
      </c>
      <c r="T1118" s="2">
        <f t="shared" ca="1" si="1072"/>
        <v>50023838.589594692</v>
      </c>
      <c r="U1118" s="2">
        <f t="shared" ca="1" si="1073"/>
        <v>50605230.662492171</v>
      </c>
      <c r="V1118" s="2">
        <f t="shared" ca="1" si="1074"/>
        <v>51193379.848637216</v>
      </c>
      <c r="W1118" s="2">
        <f t="shared" ca="1" si="1075"/>
        <v>51788364.681228973</v>
      </c>
      <c r="X1118" s="2">
        <f t="shared" ca="1" si="1076"/>
        <v>52390264.606203005</v>
      </c>
      <c r="Y1118" s="2">
        <f t="shared" ca="1" si="1077"/>
        <v>0.12901159500164927</v>
      </c>
      <c r="Z1118" s="2">
        <f t="shared" ca="1" si="1078"/>
        <v>0.13261623300230901</v>
      </c>
      <c r="AA1118" s="2">
        <f t="shared" ca="1" si="1079"/>
        <v>6453655.2045486644</v>
      </c>
      <c r="AB1118" s="2">
        <f t="shared" ca="1" si="1080"/>
        <v>6711075.0606726538</v>
      </c>
      <c r="AC1118" s="2">
        <f t="shared" ca="1" si="1081"/>
        <v>6789073.1901825843</v>
      </c>
      <c r="AD1118" s="2">
        <f t="shared" ca="1" si="1082"/>
        <v>6867977.8373744125</v>
      </c>
      <c r="AE1118" s="2">
        <f t="shared" ca="1" si="1083"/>
        <v>6947799.5380688412</v>
      </c>
      <c r="AF1118" s="2">
        <f t="shared" ca="1" si="1084"/>
        <v>1000476.7717918939</v>
      </c>
      <c r="AG1118" s="2">
        <f t="shared" ca="1" si="1085"/>
        <v>1012104.6132498435</v>
      </c>
      <c r="AH1118" s="2">
        <f t="shared" ca="1" si="1086"/>
        <v>1023867.5969727443</v>
      </c>
      <c r="AI1118" s="2">
        <f t="shared" ca="1" si="1087"/>
        <v>1035767.2936245794</v>
      </c>
      <c r="AJ1118" s="2">
        <f t="shared" ca="1" si="1088"/>
        <v>1047805.2921240601</v>
      </c>
      <c r="AK1118" s="2">
        <f t="shared" ca="1" si="1089"/>
        <v>0</v>
      </c>
      <c r="AL1118" s="2">
        <f t="shared" ca="1" si="1090"/>
        <v>5813.9207289747892</v>
      </c>
      <c r="AM1118" s="2">
        <f t="shared" ca="1" si="1091"/>
        <v>5881.4918614504486</v>
      </c>
      <c r="AN1118" s="2">
        <f t="shared" ca="1" si="1092"/>
        <v>5949.8483259175719</v>
      </c>
      <c r="AO1118" s="2">
        <f t="shared" ca="1" si="1093"/>
        <v>6018.9992497403173</v>
      </c>
      <c r="AP1118" s="2">
        <f t="shared" ca="1" si="1094"/>
        <v>2306795.0895771221</v>
      </c>
      <c r="AQ1118" s="2">
        <f t="shared" ca="1" si="1095"/>
        <v>818059.66922670859</v>
      </c>
      <c r="AR1118" s="2">
        <f t="shared" ca="1" si="1096"/>
        <v>881965.59303987888</v>
      </c>
      <c r="AS1118" s="2">
        <f t="shared" ca="1" si="1097"/>
        <v>899186.73094450682</v>
      </c>
      <c r="AT1118" s="2">
        <f t="shared" ca="1" si="1098"/>
        <v>916608.01808490499</v>
      </c>
      <c r="AU1118" s="2">
        <f t="shared" ca="1" si="1099"/>
        <v>934231.7806555914</v>
      </c>
      <c r="AV1118" s="2">
        <f t="shared" ca="1" si="1100"/>
        <v>2328323.6739529395</v>
      </c>
      <c r="AW1118" s="2">
        <f t="shared" ca="1" si="1101"/>
        <v>2504395.8440768342</v>
      </c>
      <c r="AX1118" s="2">
        <f t="shared" ca="1" si="1102"/>
        <v>2553342.2808267609</v>
      </c>
      <c r="AY1118" s="2">
        <f t="shared" ca="1" si="1103"/>
        <v>2602857.5877618887</v>
      </c>
      <c r="AZ1118" s="2">
        <f t="shared" ca="1" si="1104"/>
        <v>2652948.3764623269</v>
      </c>
      <c r="BA1118" s="2">
        <f t="shared" ca="1" si="1105"/>
        <v>52592069.274022169</v>
      </c>
      <c r="BB1118" s="2">
        <f t="shared" ca="1" si="1106"/>
        <v>1051841.3854804435</v>
      </c>
      <c r="BC1118" s="2">
        <f t="shared" ca="1" si="1107"/>
        <v>25909171.33768481</v>
      </c>
      <c r="BD1118" s="2">
        <f t="shared" ca="1" si="1108"/>
        <v>-18655331.723523647</v>
      </c>
      <c r="BE1118" s="2">
        <f t="shared" ca="1" si="1109"/>
        <v>2328323.6739529395</v>
      </c>
      <c r="BF1118" s="2">
        <f t="shared" ca="1" si="1110"/>
        <v>2504395.8440768342</v>
      </c>
      <c r="BG1118" s="2">
        <f t="shared" ca="1" si="1111"/>
        <v>2553342.2808267609</v>
      </c>
      <c r="BH1118" s="2">
        <f t="shared" ca="1" si="1112"/>
        <v>2602857.5877618887</v>
      </c>
      <c r="BI1118" s="2">
        <f t="shared" ca="1" si="1113"/>
        <v>28562119.714147136</v>
      </c>
      <c r="BJ1118" s="2">
        <f t="shared" ca="1" si="1114"/>
        <v>0.18766460744201918</v>
      </c>
      <c r="BK1118" s="2">
        <f t="shared" ca="1" si="1115"/>
        <v>5098513.1695028171</v>
      </c>
    </row>
    <row r="1119" spans="1:63" x14ac:dyDescent="0.3">
      <c r="A1119" s="2">
        <v>1118</v>
      </c>
      <c r="B1119" s="2">
        <f t="shared" ca="1" si="1054"/>
        <v>0.56725054890820537</v>
      </c>
      <c r="C1119" s="2">
        <f t="shared" ca="1" si="1055"/>
        <v>7.0696780653001943</v>
      </c>
      <c r="D1119" s="2">
        <f t="shared" ca="1" si="1056"/>
        <v>0.84814863957655884</v>
      </c>
      <c r="E1119" s="2">
        <f t="shared" ca="1" si="1057"/>
        <v>7.9489077020617307</v>
      </c>
      <c r="F1119" s="2">
        <f t="shared" ca="1" si="1058"/>
        <v>0.89763109770189597</v>
      </c>
      <c r="G1119" s="2">
        <f t="shared" ca="1" si="1059"/>
        <v>7.8045053225012026E-2</v>
      </c>
      <c r="H1119" s="2">
        <f t="shared" ca="1" si="1060"/>
        <v>7.8045053225012026E-2</v>
      </c>
      <c r="I1119" s="2">
        <f t="shared" ca="1" si="1061"/>
        <v>0.54941603720190002</v>
      </c>
      <c r="J1119" s="2">
        <f t="shared" ca="1" si="1062"/>
        <v>1.0620930512866051E-2</v>
      </c>
      <c r="K1119" s="2">
        <f t="shared" ca="1" si="1063"/>
        <v>1.0620930512866051E-2</v>
      </c>
      <c r="L1119" s="2">
        <f t="shared" ca="1" si="1064"/>
        <v>0.70130039968851154</v>
      </c>
      <c r="M1119" s="2">
        <f t="shared" ca="1" si="1065"/>
        <v>1.0562885565612612E-2</v>
      </c>
      <c r="N1119" s="2">
        <f t="shared" ca="1" si="1066"/>
        <v>1.0562885565612612E-2</v>
      </c>
      <c r="O1119" s="2">
        <f t="shared" si="1067"/>
        <v>6000000</v>
      </c>
      <c r="P1119" s="2">
        <f t="shared" ca="1" si="1068"/>
        <v>42418068.391801164</v>
      </c>
      <c r="Q1119" s="2">
        <f t="shared" ca="1" si="1069"/>
        <v>1060451.7097950291</v>
      </c>
      <c r="R1119" s="2">
        <f t="shared" ca="1" si="1070"/>
        <v>25450841.035080697</v>
      </c>
      <c r="S1119" s="2">
        <f t="shared" ca="1" si="1071"/>
        <v>16967227.356720466</v>
      </c>
      <c r="T1119" s="2">
        <f t="shared" ca="1" si="1072"/>
        <v>50528144.278280631</v>
      </c>
      <c r="U1119" s="2">
        <f t="shared" ca="1" si="1073"/>
        <v>54471615.987840131</v>
      </c>
      <c r="V1119" s="2">
        <f t="shared" ca="1" si="1074"/>
        <v>58722856.156863533</v>
      </c>
      <c r="W1119" s="2">
        <f t="shared" ca="1" si="1075"/>
        <v>63305884.591150679</v>
      </c>
      <c r="X1119" s="2">
        <f t="shared" ca="1" si="1076"/>
        <v>68246595.723523512</v>
      </c>
      <c r="Y1119" s="2">
        <f t="shared" ca="1" si="1077"/>
        <v>0.12531046525643302</v>
      </c>
      <c r="Z1119" s="2">
        <f t="shared" ca="1" si="1078"/>
        <v>0.12743465135900622</v>
      </c>
      <c r="AA1119" s="2">
        <f t="shared" ca="1" si="1079"/>
        <v>6331705.26805552</v>
      </c>
      <c r="AB1119" s="2">
        <f t="shared" ca="1" si="1080"/>
        <v>6941571.3923720764</v>
      </c>
      <c r="AC1119" s="2">
        <f t="shared" ca="1" si="1081"/>
        <v>7483326.7011549762</v>
      </c>
      <c r="AD1119" s="2">
        <f t="shared" ca="1" si="1082"/>
        <v>8067363.3318467708</v>
      </c>
      <c r="AE1119" s="2">
        <f t="shared" ca="1" si="1083"/>
        <v>8696981.1324662641</v>
      </c>
      <c r="AF1119" s="2">
        <f t="shared" ca="1" si="1084"/>
        <v>1010562.8855656126</v>
      </c>
      <c r="AG1119" s="2">
        <f t="shared" ca="1" si="1085"/>
        <v>1089432.3197568026</v>
      </c>
      <c r="AH1119" s="2">
        <f t="shared" ca="1" si="1086"/>
        <v>1174457.1231372708</v>
      </c>
      <c r="AI1119" s="2">
        <f t="shared" ca="1" si="1087"/>
        <v>1266117.6918230136</v>
      </c>
      <c r="AJ1119" s="2">
        <f t="shared" ca="1" si="1088"/>
        <v>1364931.9144704703</v>
      </c>
      <c r="AK1119" s="2">
        <f t="shared" ca="1" si="1089"/>
        <v>0</v>
      </c>
      <c r="AL1119" s="2">
        <f t="shared" ca="1" si="1090"/>
        <v>39434.717095595006</v>
      </c>
      <c r="AM1119" s="2">
        <f t="shared" ca="1" si="1091"/>
        <v>42512.401690234023</v>
      </c>
      <c r="AN1119" s="2">
        <f t="shared" ca="1" si="1092"/>
        <v>45830.284342871455</v>
      </c>
      <c r="AO1119" s="2">
        <f t="shared" ca="1" si="1093"/>
        <v>49407.111323728343</v>
      </c>
      <c r="AP1119" s="2">
        <f t="shared" ca="1" si="1094"/>
        <v>2290575.6931572626</v>
      </c>
      <c r="AQ1119" s="2">
        <f t="shared" ca="1" si="1095"/>
        <v>787947.33922648767</v>
      </c>
      <c r="AR1119" s="2">
        <f t="shared" ca="1" si="1096"/>
        <v>926006.47865908279</v>
      </c>
      <c r="AS1119" s="2">
        <f t="shared" ca="1" si="1097"/>
        <v>1044756.4100637151</v>
      </c>
      <c r="AT1119" s="2">
        <f t="shared" ca="1" si="1098"/>
        <v>1172774.1861852885</v>
      </c>
      <c r="AU1119" s="2">
        <f t="shared" ca="1" si="1099"/>
        <v>1310783.1164580183</v>
      </c>
      <c r="AV1119" s="2">
        <f t="shared" ca="1" si="1100"/>
        <v>2242619.3501061569</v>
      </c>
      <c r="AW1119" s="2">
        <f t="shared" ca="1" si="1101"/>
        <v>2596122.1837033327</v>
      </c>
      <c r="AX1119" s="2">
        <f t="shared" ca="1" si="1102"/>
        <v>2931025.0731064933</v>
      </c>
      <c r="AY1119" s="2">
        <f t="shared" ca="1" si="1103"/>
        <v>3292065.4763383348</v>
      </c>
      <c r="AZ1119" s="2">
        <f t="shared" ca="1" si="1104"/>
        <v>3681283.2970567844</v>
      </c>
      <c r="BA1119" s="2">
        <f t="shared" ca="1" si="1105"/>
        <v>69131500.308546633</v>
      </c>
      <c r="BB1119" s="2">
        <f t="shared" ca="1" si="1106"/>
        <v>1382630.0061709327</v>
      </c>
      <c r="BC1119" s="2">
        <f t="shared" ca="1" si="1107"/>
        <v>42298029.267294995</v>
      </c>
      <c r="BD1119" s="2">
        <f t="shared" ca="1" si="1108"/>
        <v>-18527679.066515494</v>
      </c>
      <c r="BE1119" s="2">
        <f t="shared" ca="1" si="1109"/>
        <v>2242619.3501061569</v>
      </c>
      <c r="BF1119" s="2">
        <f t="shared" ca="1" si="1110"/>
        <v>2596122.1837033327</v>
      </c>
      <c r="BG1119" s="2">
        <f t="shared" ca="1" si="1111"/>
        <v>2931025.0731064933</v>
      </c>
      <c r="BH1119" s="2">
        <f t="shared" ca="1" si="1112"/>
        <v>3292065.4763383348</v>
      </c>
      <c r="BI1119" s="2">
        <f t="shared" ca="1" si="1113"/>
        <v>45979312.564351782</v>
      </c>
      <c r="BJ1119" s="2">
        <f t="shared" ca="1" si="1114"/>
        <v>0.29326327546581155</v>
      </c>
      <c r="BK1119" s="2">
        <f t="shared" ca="1" si="1115"/>
        <v>15812581.984040413</v>
      </c>
    </row>
    <row r="1120" spans="1:63" x14ac:dyDescent="0.3">
      <c r="A1120" s="2">
        <v>1119</v>
      </c>
      <c r="B1120" s="2">
        <f t="shared" ca="1" si="1054"/>
        <v>0.69974464179159979</v>
      </c>
      <c r="C1120" s="2">
        <f t="shared" ca="1" si="1055"/>
        <v>7.2250737348516312</v>
      </c>
      <c r="D1120" s="2">
        <f t="shared" ca="1" si="1056"/>
        <v>0.68258724369587942</v>
      </c>
      <c r="E1120" s="2">
        <f t="shared" ca="1" si="1057"/>
        <v>7.7032406181234885</v>
      </c>
      <c r="F1120" s="2">
        <f t="shared" ca="1" si="1058"/>
        <v>0.54434916497508024</v>
      </c>
      <c r="G1120" s="2">
        <f t="shared" ca="1" si="1059"/>
        <v>4.3341905038504221E-2</v>
      </c>
      <c r="H1120" s="2">
        <f t="shared" ca="1" si="1060"/>
        <v>4.3341905038504221E-2</v>
      </c>
      <c r="I1120" s="2">
        <f t="shared" ca="1" si="1061"/>
        <v>0.59742518478213535</v>
      </c>
      <c r="J1120" s="2">
        <f t="shared" ca="1" si="1062"/>
        <v>1.1233440412063917E-2</v>
      </c>
      <c r="K1120" s="2">
        <f t="shared" ca="1" si="1063"/>
        <v>1.1233440412063917E-2</v>
      </c>
      <c r="L1120" s="2">
        <f t="shared" ca="1" si="1064"/>
        <v>0.45796557697136153</v>
      </c>
      <c r="M1120" s="2">
        <f t="shared" ca="1" si="1065"/>
        <v>-2.1112077838202669E-3</v>
      </c>
      <c r="N1120" s="2">
        <f t="shared" ca="1" si="1066"/>
        <v>-2.1112077838202669E-3</v>
      </c>
      <c r="O1120" s="2">
        <f t="shared" si="1067"/>
        <v>6000000</v>
      </c>
      <c r="P1120" s="2">
        <f t="shared" ca="1" si="1068"/>
        <v>43350442.409109786</v>
      </c>
      <c r="Q1120" s="2">
        <f t="shared" ca="1" si="1069"/>
        <v>1083761.0602277447</v>
      </c>
      <c r="R1120" s="2">
        <f t="shared" ca="1" si="1070"/>
        <v>26010265.44546587</v>
      </c>
      <c r="S1120" s="2">
        <f t="shared" ca="1" si="1071"/>
        <v>17340176.963643916</v>
      </c>
      <c r="T1120" s="2">
        <f t="shared" ca="1" si="1072"/>
        <v>49894439.610808991</v>
      </c>
      <c r="U1120" s="2">
        <f t="shared" ca="1" si="1073"/>
        <v>52056959.674370058</v>
      </c>
      <c r="V1120" s="2">
        <f t="shared" ca="1" si="1074"/>
        <v>54313207.477169849</v>
      </c>
      <c r="W1120" s="2">
        <f t="shared" ca="1" si="1075"/>
        <v>56667245.35798192</v>
      </c>
      <c r="X1120" s="2">
        <f t="shared" ca="1" si="1076"/>
        <v>59123311.72508119</v>
      </c>
      <c r="Y1120" s="2">
        <f t="shared" ca="1" si="1077"/>
        <v>0.12561672020603196</v>
      </c>
      <c r="Z1120" s="2">
        <f t="shared" ca="1" si="1078"/>
        <v>0.12786340828844472</v>
      </c>
      <c r="AA1120" s="2">
        <f t="shared" ca="1" si="1079"/>
        <v>6267575.8604277512</v>
      </c>
      <c r="AB1120" s="2">
        <f t="shared" ca="1" si="1080"/>
        <v>6656180.2890990814</v>
      </c>
      <c r="AC1120" s="2">
        <f t="shared" ca="1" si="1081"/>
        <v>6944671.8231083769</v>
      </c>
      <c r="AD1120" s="2">
        <f t="shared" ca="1" si="1082"/>
        <v>7245667.1297891159</v>
      </c>
      <c r="AE1120" s="2">
        <f t="shared" ca="1" si="1083"/>
        <v>7559708.1464690473</v>
      </c>
      <c r="AF1120" s="2">
        <f t="shared" ca="1" si="1084"/>
        <v>997888.79221617989</v>
      </c>
      <c r="AG1120" s="2">
        <f t="shared" ca="1" si="1085"/>
        <v>1041139.1934874012</v>
      </c>
      <c r="AH1120" s="2">
        <f t="shared" ca="1" si="1086"/>
        <v>1086264.1495433969</v>
      </c>
      <c r="AI1120" s="2">
        <f t="shared" ca="1" si="1087"/>
        <v>1133344.9071596384</v>
      </c>
      <c r="AJ1120" s="2">
        <f t="shared" ca="1" si="1088"/>
        <v>1182466.2345016238</v>
      </c>
      <c r="AK1120" s="2">
        <f t="shared" ca="1" si="1089"/>
        <v>0</v>
      </c>
      <c r="AL1120" s="2">
        <f t="shared" ca="1" si="1090"/>
        <v>21625.200635610669</v>
      </c>
      <c r="AM1120" s="2">
        <f t="shared" ca="1" si="1091"/>
        <v>22562.478027997913</v>
      </c>
      <c r="AN1120" s="2">
        <f t="shared" ca="1" si="1092"/>
        <v>23540.378808120713</v>
      </c>
      <c r="AO1120" s="2">
        <f t="shared" ca="1" si="1093"/>
        <v>24560.663670992704</v>
      </c>
      <c r="AP1120" s="2">
        <f t="shared" ca="1" si="1094"/>
        <v>2340923.8900919282</v>
      </c>
      <c r="AQ1120" s="2">
        <f t="shared" ca="1" si="1095"/>
        <v>761478.42631110724</v>
      </c>
      <c r="AR1120" s="2">
        <f t="shared" ca="1" si="1096"/>
        <v>851270.47343513556</v>
      </c>
      <c r="AS1120" s="2">
        <f t="shared" ca="1" si="1097"/>
        <v>914545.78370299342</v>
      </c>
      <c r="AT1120" s="2">
        <f t="shared" ca="1" si="1098"/>
        <v>980563.56645976275</v>
      </c>
      <c r="AU1120" s="2">
        <f t="shared" ca="1" si="1099"/>
        <v>1049442.6856876288</v>
      </c>
      <c r="AV1120" s="2">
        <f t="shared" ca="1" si="1100"/>
        <v>2167284.7518085358</v>
      </c>
      <c r="AW1120" s="2">
        <f t="shared" ca="1" si="1101"/>
        <v>2401221.5314490055</v>
      </c>
      <c r="AX1120" s="2">
        <f t="shared" ca="1" si="1102"/>
        <v>2580375.5217420603</v>
      </c>
      <c r="AY1120" s="2">
        <f t="shared" ca="1" si="1103"/>
        <v>2767294.387269666</v>
      </c>
      <c r="AZ1120" s="2">
        <f t="shared" ca="1" si="1104"/>
        <v>2962314.6725168745</v>
      </c>
      <c r="BA1120" s="2">
        <f t="shared" ca="1" si="1105"/>
        <v>58234250.855039395</v>
      </c>
      <c r="BB1120" s="2">
        <f t="shared" ca="1" si="1106"/>
        <v>1164685.017100788</v>
      </c>
      <c r="BC1120" s="2">
        <f t="shared" ca="1" si="1107"/>
        <v>31059300.392472737</v>
      </c>
      <c r="BD1120" s="2">
        <f t="shared" ca="1" si="1108"/>
        <v>-18923938.02387166</v>
      </c>
      <c r="BE1120" s="2">
        <f t="shared" ca="1" si="1109"/>
        <v>2167284.7518085358</v>
      </c>
      <c r="BF1120" s="2">
        <f t="shared" ca="1" si="1110"/>
        <v>2401221.5314490055</v>
      </c>
      <c r="BG1120" s="2">
        <f t="shared" ca="1" si="1111"/>
        <v>2580375.5217420603</v>
      </c>
      <c r="BH1120" s="2">
        <f t="shared" ca="1" si="1112"/>
        <v>2767294.387269666</v>
      </c>
      <c r="BI1120" s="2">
        <f t="shared" ca="1" si="1113"/>
        <v>34021615.064989612</v>
      </c>
      <c r="BJ1120" s="2">
        <f t="shared" ca="1" si="1114"/>
        <v>0.21568125872149757</v>
      </c>
      <c r="BK1120" s="2">
        <f t="shared" ca="1" si="1115"/>
        <v>7825480.7533916868</v>
      </c>
    </row>
    <row r="1121" spans="1:63" x14ac:dyDescent="0.3">
      <c r="A1121" s="2">
        <v>1120</v>
      </c>
      <c r="B1121" s="2">
        <f t="shared" ca="1" si="1054"/>
        <v>0.18365900850971406</v>
      </c>
      <c r="C1121" s="2">
        <f t="shared" ca="1" si="1055"/>
        <v>6.6060676670301994</v>
      </c>
      <c r="D1121" s="2">
        <f t="shared" ca="1" si="1056"/>
        <v>8.3470631854256405E-2</v>
      </c>
      <c r="E1121" s="2">
        <f t="shared" ca="1" si="1057"/>
        <v>6.9085844633714215</v>
      </c>
      <c r="F1121" s="2">
        <f t="shared" ca="1" si="1058"/>
        <v>0.22637685547198394</v>
      </c>
      <c r="G1121" s="2">
        <f t="shared" ca="1" si="1059"/>
        <v>1.7475037134626004E-2</v>
      </c>
      <c r="H1121" s="2">
        <f t="shared" ca="1" si="1060"/>
        <v>1.7475037134626004E-2</v>
      </c>
      <c r="I1121" s="2">
        <f t="shared" ca="1" si="1061"/>
        <v>8.0208387085834443E-2</v>
      </c>
      <c r="J1121" s="2">
        <f t="shared" ca="1" si="1062"/>
        <v>2.9816438631368701E-3</v>
      </c>
      <c r="K1121" s="2">
        <f t="shared" ca="1" si="1063"/>
        <v>2.9816438631368701E-3</v>
      </c>
      <c r="L1121" s="2">
        <f t="shared" ca="1" si="1064"/>
        <v>0.26929620484075045</v>
      </c>
      <c r="M1121" s="2">
        <f t="shared" ca="1" si="1065"/>
        <v>-1.2298858619653071E-2</v>
      </c>
      <c r="N1121" s="2">
        <f t="shared" ca="1" si="1066"/>
        <v>-1.2298858619653071E-2</v>
      </c>
      <c r="O1121" s="2">
        <f t="shared" si="1067"/>
        <v>6000000</v>
      </c>
      <c r="P1121" s="2">
        <f t="shared" ca="1" si="1068"/>
        <v>39636406.002181195</v>
      </c>
      <c r="Q1121" s="2">
        <f t="shared" ca="1" si="1069"/>
        <v>990910.15005452989</v>
      </c>
      <c r="R1121" s="2">
        <f t="shared" ca="1" si="1070"/>
        <v>23781843.601308715</v>
      </c>
      <c r="S1121" s="2">
        <f t="shared" ca="1" si="1071"/>
        <v>15854562.400872478</v>
      </c>
      <c r="T1121" s="2">
        <f t="shared" ca="1" si="1072"/>
        <v>49385057.069017343</v>
      </c>
      <c r="U1121" s="2">
        <f t="shared" ca="1" si="1073"/>
        <v>50248062.775194041</v>
      </c>
      <c r="V1121" s="2">
        <f t="shared" ca="1" si="1074"/>
        <v>51126149.538133577</v>
      </c>
      <c r="W1121" s="2">
        <f t="shared" ca="1" si="1075"/>
        <v>52019580.8998629</v>
      </c>
      <c r="X1121" s="2">
        <f t="shared" ca="1" si="1076"/>
        <v>52928625.007815681</v>
      </c>
      <c r="Y1121" s="2">
        <f t="shared" ca="1" si="1077"/>
        <v>0.12149082193156843</v>
      </c>
      <c r="Z1121" s="2">
        <f t="shared" ca="1" si="1078"/>
        <v>0.1220871507041958</v>
      </c>
      <c r="AA1121" s="2">
        <f t="shared" ca="1" si="1079"/>
        <v>5999831.1744523309</v>
      </c>
      <c r="AB1121" s="2">
        <f t="shared" ca="1" si="1080"/>
        <v>6134642.8126290059</v>
      </c>
      <c r="AC1121" s="2">
        <f t="shared" ca="1" si="1081"/>
        <v>6241845.9235873651</v>
      </c>
      <c r="AD1121" s="2">
        <f t="shared" ca="1" si="1082"/>
        <v>6350922.4128906671</v>
      </c>
      <c r="AE1121" s="2">
        <f t="shared" ca="1" si="1083"/>
        <v>6461905.0178950597</v>
      </c>
      <c r="AF1121" s="2">
        <f t="shared" ca="1" si="1084"/>
        <v>987701.14138034685</v>
      </c>
      <c r="AG1121" s="2">
        <f t="shared" ca="1" si="1085"/>
        <v>1004961.2555038808</v>
      </c>
      <c r="AH1121" s="2">
        <f t="shared" ca="1" si="1086"/>
        <v>1022522.9907626716</v>
      </c>
      <c r="AI1121" s="2">
        <f t="shared" ca="1" si="1087"/>
        <v>1040391.6179972581</v>
      </c>
      <c r="AJ1121" s="2">
        <f t="shared" ca="1" si="1088"/>
        <v>1058572.5001563136</v>
      </c>
      <c r="AK1121" s="2">
        <f t="shared" ca="1" si="1089"/>
        <v>0</v>
      </c>
      <c r="AL1121" s="2">
        <f t="shared" ca="1" si="1090"/>
        <v>8630.0570617669819</v>
      </c>
      <c r="AM1121" s="2">
        <f t="shared" ca="1" si="1091"/>
        <v>8780.8676293953504</v>
      </c>
      <c r="AN1121" s="2">
        <f t="shared" ca="1" si="1092"/>
        <v>8934.3136172932391</v>
      </c>
      <c r="AO1121" s="2">
        <f t="shared" ca="1" si="1093"/>
        <v>9090.4410795278109</v>
      </c>
      <c r="AP1121" s="2">
        <f t="shared" ca="1" si="1094"/>
        <v>2140365.924117784</v>
      </c>
      <c r="AQ1121" s="2">
        <f t="shared" ca="1" si="1095"/>
        <v>746658.66832809197</v>
      </c>
      <c r="AR1121" s="2">
        <f t="shared" ca="1" si="1096"/>
        <v>777222.06458190875</v>
      </c>
      <c r="AS1121" s="2">
        <f t="shared" ca="1" si="1097"/>
        <v>800528.82226379658</v>
      </c>
      <c r="AT1121" s="2">
        <f t="shared" ca="1" si="1098"/>
        <v>824242.86640166258</v>
      </c>
      <c r="AU1121" s="2">
        <f t="shared" ca="1" si="1099"/>
        <v>848371.31434145023</v>
      </c>
      <c r="AV1121" s="2">
        <f t="shared" ca="1" si="1100"/>
        <v>2125105.4406261081</v>
      </c>
      <c r="AW1121" s="2">
        <f t="shared" ca="1" si="1101"/>
        <v>2203463.5113636656</v>
      </c>
      <c r="AX1121" s="2">
        <f t="shared" ca="1" si="1102"/>
        <v>2269647.318813717</v>
      </c>
      <c r="AY1121" s="2">
        <f t="shared" ca="1" si="1103"/>
        <v>2336987.6907566702</v>
      </c>
      <c r="AZ1121" s="2">
        <f t="shared" ca="1" si="1104"/>
        <v>2405504.8381999843</v>
      </c>
      <c r="BA1121" s="2">
        <f t="shared" ca="1" si="1105"/>
        <v>44642616.610411637</v>
      </c>
      <c r="BB1121" s="2">
        <f t="shared" ca="1" si="1106"/>
        <v>892852.33220823272</v>
      </c>
      <c r="BC1121" s="2">
        <f t="shared" ca="1" si="1107"/>
        <v>19967920.676894691</v>
      </c>
      <c r="BD1121" s="2">
        <f t="shared" ca="1" si="1108"/>
        <v>-17345472.550927009</v>
      </c>
      <c r="BE1121" s="2">
        <f t="shared" ca="1" si="1109"/>
        <v>2125105.4406261081</v>
      </c>
      <c r="BF1121" s="2">
        <f t="shared" ca="1" si="1110"/>
        <v>2203463.5113636656</v>
      </c>
      <c r="BG1121" s="2">
        <f t="shared" ca="1" si="1111"/>
        <v>2269647.318813717</v>
      </c>
      <c r="BH1121" s="2">
        <f t="shared" ca="1" si="1112"/>
        <v>2336987.6907566702</v>
      </c>
      <c r="BI1121" s="2">
        <f t="shared" ca="1" si="1113"/>
        <v>22373425.515094675</v>
      </c>
      <c r="BJ1121" s="2">
        <f t="shared" ca="1" si="1114"/>
        <v>0.15197387356911207</v>
      </c>
      <c r="BK1121" s="2">
        <f t="shared" ca="1" si="1115"/>
        <v>2104501.1909309179</v>
      </c>
    </row>
    <row r="1122" spans="1:63" x14ac:dyDescent="0.3">
      <c r="A1122" s="2">
        <v>1121</v>
      </c>
      <c r="B1122" s="2">
        <f t="shared" ca="1" si="1054"/>
        <v>9.3566908535766546E-2</v>
      </c>
      <c r="C1122" s="2">
        <f t="shared" ca="1" si="1055"/>
        <v>6.4325896636207727</v>
      </c>
      <c r="D1122" s="2">
        <f t="shared" ca="1" si="1056"/>
        <v>0.89909225408826243</v>
      </c>
      <c r="E1122" s="2">
        <f t="shared" ca="1" si="1057"/>
        <v>8.0507612084609406</v>
      </c>
      <c r="F1122" s="2">
        <f t="shared" ca="1" si="1058"/>
        <v>0.62208465411618596</v>
      </c>
      <c r="G1122" s="2">
        <f t="shared" ca="1" si="1059"/>
        <v>4.9328813366459952E-2</v>
      </c>
      <c r="H1122" s="2">
        <f t="shared" ca="1" si="1060"/>
        <v>4.9328813366459952E-2</v>
      </c>
      <c r="I1122" s="2">
        <f t="shared" ca="1" si="1061"/>
        <v>0.86693821277842531</v>
      </c>
      <c r="J1122" s="2">
        <f t="shared" ca="1" si="1062"/>
        <v>1.5560169506163891E-2</v>
      </c>
      <c r="K1122" s="2">
        <f t="shared" ca="1" si="1063"/>
        <v>1.5560169506163891E-2</v>
      </c>
      <c r="L1122" s="2">
        <f t="shared" ca="1" si="1064"/>
        <v>0.60754239995837067</v>
      </c>
      <c r="M1122" s="2">
        <f t="shared" ca="1" si="1065"/>
        <v>5.458387305558989E-3</v>
      </c>
      <c r="N1122" s="2">
        <f t="shared" ca="1" si="1066"/>
        <v>5.458387305558989E-3</v>
      </c>
      <c r="O1122" s="2">
        <f t="shared" si="1067"/>
        <v>6000000</v>
      </c>
      <c r="P1122" s="2">
        <f t="shared" ca="1" si="1068"/>
        <v>38595537.981724635</v>
      </c>
      <c r="Q1122" s="2">
        <f t="shared" ca="1" si="1069"/>
        <v>964888.44954311592</v>
      </c>
      <c r="R1122" s="2">
        <f t="shared" ca="1" si="1070"/>
        <v>23157322.78903478</v>
      </c>
      <c r="S1122" s="2">
        <f t="shared" ca="1" si="1071"/>
        <v>15438215.192689855</v>
      </c>
      <c r="T1122" s="2">
        <f t="shared" ca="1" si="1072"/>
        <v>50272919.365277946</v>
      </c>
      <c r="U1122" s="2">
        <f t="shared" ca="1" si="1073"/>
        <v>52752822.822034836</v>
      </c>
      <c r="V1122" s="2">
        <f t="shared" ca="1" si="1074"/>
        <v>55355056.973576926</v>
      </c>
      <c r="W1122" s="2">
        <f t="shared" ca="1" si="1075"/>
        <v>58085656.247916259</v>
      </c>
      <c r="X1122" s="2">
        <f t="shared" ca="1" si="1076"/>
        <v>60950952.744238071</v>
      </c>
      <c r="Y1122" s="2">
        <f t="shared" ca="1" si="1077"/>
        <v>0.12778008475308195</v>
      </c>
      <c r="Z1122" s="2">
        <f t="shared" ca="1" si="1078"/>
        <v>0.13089211865431472</v>
      </c>
      <c r="AA1122" s="2">
        <f t="shared" ca="1" si="1079"/>
        <v>6423877.8972800709</v>
      </c>
      <c r="AB1122" s="2">
        <f t="shared" ca="1" si="1080"/>
        <v>6904928.7441718252</v>
      </c>
      <c r="AC1122" s="2">
        <f t="shared" ca="1" si="1081"/>
        <v>7245540.6855017822</v>
      </c>
      <c r="AD1122" s="2">
        <f t="shared" ca="1" si="1082"/>
        <v>7602954.6097159917</v>
      </c>
      <c r="AE1122" s="2">
        <f t="shared" ca="1" si="1083"/>
        <v>7977999.3386923391</v>
      </c>
      <c r="AF1122" s="2">
        <f t="shared" ca="1" si="1084"/>
        <v>1005458.3873055589</v>
      </c>
      <c r="AG1122" s="2">
        <f t="shared" ca="1" si="1085"/>
        <v>1055056.4564406967</v>
      </c>
      <c r="AH1122" s="2">
        <f t="shared" ca="1" si="1086"/>
        <v>1107101.1394715386</v>
      </c>
      <c r="AI1122" s="2">
        <f t="shared" ca="1" si="1087"/>
        <v>1161713.1249583252</v>
      </c>
      <c r="AJ1122" s="2">
        <f t="shared" ca="1" si="1088"/>
        <v>1219019.0548847613</v>
      </c>
      <c r="AK1122" s="2">
        <f t="shared" ca="1" si="1089"/>
        <v>0</v>
      </c>
      <c r="AL1122" s="2">
        <f t="shared" ca="1" si="1090"/>
        <v>24799.034567568899</v>
      </c>
      <c r="AM1122" s="2">
        <f t="shared" ca="1" si="1091"/>
        <v>26022.3415154209</v>
      </c>
      <c r="AN1122" s="2">
        <f t="shared" ca="1" si="1092"/>
        <v>27305.992743393334</v>
      </c>
      <c r="AO1122" s="2">
        <f t="shared" ca="1" si="1093"/>
        <v>28652.964963218124</v>
      </c>
      <c r="AP1122" s="2">
        <f t="shared" ca="1" si="1094"/>
        <v>2084159.0510131302</v>
      </c>
      <c r="AQ1122" s="2">
        <f t="shared" ca="1" si="1095"/>
        <v>866907.71932995936</v>
      </c>
      <c r="AR1122" s="2">
        <f t="shared" ca="1" si="1096"/>
        <v>979085.44154667959</v>
      </c>
      <c r="AS1122" s="2">
        <f t="shared" ca="1" si="1097"/>
        <v>1054112.9287044497</v>
      </c>
      <c r="AT1122" s="2">
        <f t="shared" ca="1" si="1098"/>
        <v>1132841.4327735796</v>
      </c>
      <c r="AU1122" s="2">
        <f t="shared" ca="1" si="1099"/>
        <v>1215453.5205265563</v>
      </c>
      <c r="AV1122" s="2">
        <f t="shared" ca="1" si="1100"/>
        <v>2467352.7396314223</v>
      </c>
      <c r="AW1122" s="2">
        <f t="shared" ca="1" si="1101"/>
        <v>2761828.7606037506</v>
      </c>
      <c r="AX1122" s="2">
        <f t="shared" ca="1" si="1102"/>
        <v>2974145.2247972428</v>
      </c>
      <c r="AY1122" s="2">
        <f t="shared" ca="1" si="1103"/>
        <v>3196935.008227563</v>
      </c>
      <c r="AZ1122" s="2">
        <f t="shared" ca="1" si="1104"/>
        <v>3430714.7473046728</v>
      </c>
      <c r="BA1122" s="2">
        <f t="shared" ca="1" si="1105"/>
        <v>64228967.59707132</v>
      </c>
      <c r="BB1122" s="2">
        <f t="shared" ca="1" si="1106"/>
        <v>1284579.3519414265</v>
      </c>
      <c r="BC1122" s="2">
        <f t="shared" ca="1" si="1107"/>
        <v>39787065.456095107</v>
      </c>
      <c r="BD1122" s="2">
        <f t="shared" ca="1" si="1108"/>
        <v>-16903103.642232969</v>
      </c>
      <c r="BE1122" s="2">
        <f t="shared" ca="1" si="1109"/>
        <v>2467352.7396314223</v>
      </c>
      <c r="BF1122" s="2">
        <f t="shared" ca="1" si="1110"/>
        <v>2761828.7606037506</v>
      </c>
      <c r="BG1122" s="2">
        <f t="shared" ca="1" si="1111"/>
        <v>2974145.2247972428</v>
      </c>
      <c r="BH1122" s="2">
        <f t="shared" ca="1" si="1112"/>
        <v>3196935.008227563</v>
      </c>
      <c r="BI1122" s="2">
        <f t="shared" ca="1" si="1113"/>
        <v>43217780.203399777</v>
      </c>
      <c r="BJ1122" s="2">
        <f t="shared" ca="1" si="1114"/>
        <v>0.3138143651931482</v>
      </c>
      <c r="BK1122" s="2">
        <f t="shared" ca="1" si="1115"/>
        <v>16173179.80439854</v>
      </c>
    </row>
    <row r="1123" spans="1:63" x14ac:dyDescent="0.3">
      <c r="A1123" s="2">
        <v>1122</v>
      </c>
      <c r="B1123" s="2">
        <f t="shared" ca="1" si="1054"/>
        <v>0.40322774347822576</v>
      </c>
      <c r="C1123" s="2">
        <f t="shared" ca="1" si="1055"/>
        <v>6.8980286671128326</v>
      </c>
      <c r="D1123" s="2">
        <f t="shared" ca="1" si="1056"/>
        <v>0.96734983517510809</v>
      </c>
      <c r="E1123" s="2">
        <f t="shared" ca="1" si="1057"/>
        <v>8.2444607082075567</v>
      </c>
      <c r="F1123" s="2">
        <f t="shared" ca="1" si="1058"/>
        <v>0.37689946595579371</v>
      </c>
      <c r="G1123" s="2">
        <f t="shared" ca="1" si="1059"/>
        <v>3.0590975996036197E-2</v>
      </c>
      <c r="H1123" s="2">
        <f t="shared" ca="1" si="1060"/>
        <v>3.0590975996036197E-2</v>
      </c>
      <c r="I1123" s="2">
        <f t="shared" ca="1" si="1061"/>
        <v>0.64660468076048905</v>
      </c>
      <c r="J1123" s="2">
        <f t="shared" ca="1" si="1062"/>
        <v>1.1880849181536703E-2</v>
      </c>
      <c r="K1123" s="2">
        <f t="shared" ca="1" si="1063"/>
        <v>1.1880849181536703E-2</v>
      </c>
      <c r="L1123" s="2">
        <f t="shared" ca="1" si="1064"/>
        <v>0.53175135006505414</v>
      </c>
      <c r="M1123" s="2">
        <f t="shared" ca="1" si="1065"/>
        <v>1.5934608594566997E-3</v>
      </c>
      <c r="N1123" s="2">
        <f t="shared" ca="1" si="1066"/>
        <v>1.5934608594566997E-3</v>
      </c>
      <c r="O1123" s="2">
        <f t="shared" si="1067"/>
        <v>6000000</v>
      </c>
      <c r="P1123" s="2">
        <f t="shared" ca="1" si="1068"/>
        <v>41388172.002676994</v>
      </c>
      <c r="Q1123" s="2">
        <f t="shared" ca="1" si="1069"/>
        <v>1034704.3000669249</v>
      </c>
      <c r="R1123" s="2">
        <f t="shared" ca="1" si="1070"/>
        <v>24832903.201606195</v>
      </c>
      <c r="S1123" s="2">
        <f t="shared" ca="1" si="1071"/>
        <v>16555268.801070798</v>
      </c>
      <c r="T1123" s="2">
        <f t="shared" ca="1" si="1072"/>
        <v>50079673.04297284</v>
      </c>
      <c r="U1123" s="2">
        <f t="shared" ca="1" si="1073"/>
        <v>51611659.11891976</v>
      </c>
      <c r="V1123" s="2">
        <f t="shared" ca="1" si="1074"/>
        <v>53190510.144142233</v>
      </c>
      <c r="W1123" s="2">
        <f t="shared" ca="1" si="1075"/>
        <v>54817659.763178602</v>
      </c>
      <c r="X1123" s="2">
        <f t="shared" ca="1" si="1076"/>
        <v>56494585.477152869</v>
      </c>
      <c r="Y1123" s="2">
        <f t="shared" ca="1" si="1077"/>
        <v>0.12594042459076835</v>
      </c>
      <c r="Z1123" s="2">
        <f t="shared" ca="1" si="1078"/>
        <v>0.12831659442707569</v>
      </c>
      <c r="AA1123" s="2">
        <f t="shared" ca="1" si="1079"/>
        <v>6307055.286398855</v>
      </c>
      <c r="AB1123" s="2">
        <f t="shared" ca="1" si="1080"/>
        <v>6622632.3308709096</v>
      </c>
      <c r="AC1123" s="2">
        <f t="shared" ca="1" si="1081"/>
        <v>6825225.1175351543</v>
      </c>
      <c r="AD1123" s="2">
        <f t="shared" ca="1" si="1082"/>
        <v>7034015.4152732147</v>
      </c>
      <c r="AE1123" s="2">
        <f t="shared" ca="1" si="1083"/>
        <v>7249192.811997585</v>
      </c>
      <c r="AF1123" s="2">
        <f t="shared" ca="1" si="1084"/>
        <v>1001593.4608594568</v>
      </c>
      <c r="AG1123" s="2">
        <f t="shared" ca="1" si="1085"/>
        <v>1032233.1823783952</v>
      </c>
      <c r="AH1123" s="2">
        <f t="shared" ca="1" si="1086"/>
        <v>1063810.2028828447</v>
      </c>
      <c r="AI1123" s="2">
        <f t="shared" ca="1" si="1087"/>
        <v>1096353.195263572</v>
      </c>
      <c r="AJ1123" s="2">
        <f t="shared" ca="1" si="1088"/>
        <v>1129891.7095430575</v>
      </c>
      <c r="AK1123" s="2">
        <f t="shared" ca="1" si="1089"/>
        <v>0</v>
      </c>
      <c r="AL1123" s="2">
        <f t="shared" ca="1" si="1090"/>
        <v>15319.860759469197</v>
      </c>
      <c r="AM1123" s="2">
        <f t="shared" ca="1" si="1091"/>
        <v>15788.510252224729</v>
      </c>
      <c r="AN1123" s="2">
        <f t="shared" ca="1" si="1092"/>
        <v>16271.49619036369</v>
      </c>
      <c r="AO1123" s="2">
        <f t="shared" ca="1" si="1093"/>
        <v>16769.257139742673</v>
      </c>
      <c r="AP1123" s="2">
        <f t="shared" ca="1" si="1094"/>
        <v>2234961.2881445577</v>
      </c>
      <c r="AQ1123" s="2">
        <f t="shared" ca="1" si="1095"/>
        <v>798330.13972265855</v>
      </c>
      <c r="AR1123" s="2">
        <f t="shared" ca="1" si="1096"/>
        <v>872413.8436904687</v>
      </c>
      <c r="AS1123" s="2">
        <f t="shared" ca="1" si="1097"/>
        <v>916877.94289201545</v>
      </c>
      <c r="AT1123" s="2">
        <f t="shared" ca="1" si="1098"/>
        <v>962702.24228492216</v>
      </c>
      <c r="AU1123" s="2">
        <f t="shared" ca="1" si="1099"/>
        <v>1009928.3517205921</v>
      </c>
      <c r="AV1123" s="2">
        <f t="shared" ca="1" si="1100"/>
        <v>2272170.3976721819</v>
      </c>
      <c r="AW1123" s="2">
        <f t="shared" ca="1" si="1101"/>
        <v>2467704.1558980187</v>
      </c>
      <c r="AX1123" s="2">
        <f t="shared" ca="1" si="1102"/>
        <v>2593787.1733635115</v>
      </c>
      <c r="AY1123" s="2">
        <f t="shared" ca="1" si="1103"/>
        <v>2723727.1933897994</v>
      </c>
      <c r="AZ1123" s="2">
        <f t="shared" ca="1" si="1104"/>
        <v>2857642.2054496352</v>
      </c>
      <c r="BA1123" s="2">
        <f t="shared" ca="1" si="1105"/>
        <v>59765685.304734737</v>
      </c>
      <c r="BB1123" s="2">
        <f t="shared" ca="1" si="1106"/>
        <v>1195313.7060946948</v>
      </c>
      <c r="BC1123" s="2">
        <f t="shared" ca="1" si="1107"/>
        <v>33737468.39703384</v>
      </c>
      <c r="BD1123" s="2">
        <f t="shared" ca="1" si="1108"/>
        <v>-18089973.101137724</v>
      </c>
      <c r="BE1123" s="2">
        <f t="shared" ca="1" si="1109"/>
        <v>2272170.3976721819</v>
      </c>
      <c r="BF1123" s="2">
        <f t="shared" ca="1" si="1110"/>
        <v>2467704.1558980187</v>
      </c>
      <c r="BG1123" s="2">
        <f t="shared" ca="1" si="1111"/>
        <v>2593787.1733635115</v>
      </c>
      <c r="BH1123" s="2">
        <f t="shared" ca="1" si="1112"/>
        <v>2723727.1933897994</v>
      </c>
      <c r="BI1123" s="2">
        <f t="shared" ca="1" si="1113"/>
        <v>36595110.602483474</v>
      </c>
      <c r="BJ1123" s="2">
        <f t="shared" ca="1" si="1114"/>
        <v>0.24565184297439102</v>
      </c>
      <c r="BK1123" s="2">
        <f t="shared" ca="1" si="1115"/>
        <v>10248222.005817108</v>
      </c>
    </row>
    <row r="1124" spans="1:63" x14ac:dyDescent="0.3">
      <c r="A1124" s="2">
        <v>1123</v>
      </c>
      <c r="B1124" s="2">
        <f t="shared" ca="1" si="1054"/>
        <v>0.10830703189192903</v>
      </c>
      <c r="C1124" s="2">
        <f t="shared" ca="1" si="1055"/>
        <v>6.4654181601354397</v>
      </c>
      <c r="D1124" s="2">
        <f t="shared" ca="1" si="1056"/>
        <v>7.3858087954292717E-2</v>
      </c>
      <c r="E1124" s="2">
        <f t="shared" ca="1" si="1057"/>
        <v>6.8843386214116213</v>
      </c>
      <c r="F1124" s="2">
        <f t="shared" ca="1" si="1058"/>
        <v>0.91762818643337463</v>
      </c>
      <c r="G1124" s="2">
        <f t="shared" ca="1" si="1059"/>
        <v>8.1678794390159348E-2</v>
      </c>
      <c r="H1124" s="2">
        <f t="shared" ca="1" si="1060"/>
        <v>8.1678794390159348E-2</v>
      </c>
      <c r="I1124" s="2">
        <f t="shared" ca="1" si="1061"/>
        <v>0.64930526174834469</v>
      </c>
      <c r="J1124" s="2">
        <f t="shared" ca="1" si="1062"/>
        <v>1.1917227472513912E-2</v>
      </c>
      <c r="K1124" s="2">
        <f t="shared" ca="1" si="1063"/>
        <v>1.1917227472513912E-2</v>
      </c>
      <c r="L1124" s="2">
        <f t="shared" ca="1" si="1064"/>
        <v>0.78534674997293308</v>
      </c>
      <c r="M1124" s="2">
        <f t="shared" ca="1" si="1065"/>
        <v>1.580757871695378E-2</v>
      </c>
      <c r="N1124" s="2">
        <f t="shared" ca="1" si="1066"/>
        <v>1.580757871695378E-2</v>
      </c>
      <c r="O1124" s="2">
        <f t="shared" si="1067"/>
        <v>6000000</v>
      </c>
      <c r="P1124" s="2">
        <f t="shared" ca="1" si="1068"/>
        <v>38792508.960812636</v>
      </c>
      <c r="Q1124" s="2">
        <f t="shared" ca="1" si="1069"/>
        <v>969812.72402031592</v>
      </c>
      <c r="R1124" s="2">
        <f t="shared" ca="1" si="1070"/>
        <v>23275505.376487579</v>
      </c>
      <c r="S1124" s="2">
        <f t="shared" ca="1" si="1071"/>
        <v>15517003.584325055</v>
      </c>
      <c r="T1124" s="2">
        <f t="shared" ca="1" si="1072"/>
        <v>50790378.935847692</v>
      </c>
      <c r="U1124" s="2">
        <f t="shared" ca="1" si="1073"/>
        <v>54938875.853947073</v>
      </c>
      <c r="V1124" s="2">
        <f t="shared" ca="1" si="1074"/>
        <v>59426216.998848103</v>
      </c>
      <c r="W1124" s="2">
        <f t="shared" ca="1" si="1075"/>
        <v>64280078.758482009</v>
      </c>
      <c r="X1124" s="2">
        <f t="shared" ca="1" si="1076"/>
        <v>69530398.094779313</v>
      </c>
      <c r="Y1124" s="2">
        <f t="shared" ca="1" si="1077"/>
        <v>0.12595861373625694</v>
      </c>
      <c r="Z1124" s="2">
        <f t="shared" ca="1" si="1078"/>
        <v>0.12834205923075973</v>
      </c>
      <c r="AA1124" s="2">
        <f t="shared" ca="1" si="1079"/>
        <v>6397485.7218985604</v>
      </c>
      <c r="AB1124" s="2">
        <f t="shared" ca="1" si="1080"/>
        <v>7050968.4589186301</v>
      </c>
      <c r="AC1124" s="2">
        <f t="shared" ca="1" si="1081"/>
        <v>7626883.0619261432</v>
      </c>
      <c r="AD1124" s="2">
        <f t="shared" ca="1" si="1082"/>
        <v>8249837.6753789978</v>
      </c>
      <c r="AE1124" s="2">
        <f t="shared" ca="1" si="1083"/>
        <v>8923674.4706184696</v>
      </c>
      <c r="AF1124" s="2">
        <f t="shared" ca="1" si="1084"/>
        <v>1015807.5787169539</v>
      </c>
      <c r="AG1124" s="2">
        <f t="shared" ca="1" si="1085"/>
        <v>1098777.5170789415</v>
      </c>
      <c r="AH1124" s="2">
        <f t="shared" ca="1" si="1086"/>
        <v>1188524.3399769622</v>
      </c>
      <c r="AI1124" s="2">
        <f t="shared" ca="1" si="1087"/>
        <v>1285601.5751696401</v>
      </c>
      <c r="AJ1124" s="2">
        <f t="shared" ca="1" si="1088"/>
        <v>1390607.9618955862</v>
      </c>
      <c r="AK1124" s="2">
        <f t="shared" ca="1" si="1089"/>
        <v>0</v>
      </c>
      <c r="AL1124" s="2">
        <f t="shared" ca="1" si="1090"/>
        <v>41484.969180993809</v>
      </c>
      <c r="AM1124" s="2">
        <f t="shared" ca="1" si="1091"/>
        <v>44873.411449010302</v>
      </c>
      <c r="AN1124" s="2">
        <f t="shared" ca="1" si="1092"/>
        <v>48538.617596339063</v>
      </c>
      <c r="AO1124" s="2">
        <f t="shared" ca="1" si="1093"/>
        <v>52503.193362973034</v>
      </c>
      <c r="AP1124" s="2">
        <f t="shared" ca="1" si="1094"/>
        <v>2094795.4838838819</v>
      </c>
      <c r="AQ1124" s="2">
        <f t="shared" ca="1" si="1095"/>
        <v>854589.49141740834</v>
      </c>
      <c r="AR1124" s="2">
        <f t="shared" ca="1" si="1096"/>
        <v>1002922.8190685097</v>
      </c>
      <c r="AS1124" s="2">
        <f t="shared" ca="1" si="1097"/>
        <v>1129326.4418969776</v>
      </c>
      <c r="AT1124" s="2">
        <f t="shared" ca="1" si="1098"/>
        <v>1266054.5602446236</v>
      </c>
      <c r="AU1124" s="2">
        <f t="shared" ca="1" si="1099"/>
        <v>1413950.4664581404</v>
      </c>
      <c r="AV1124" s="2">
        <f t="shared" ca="1" si="1100"/>
        <v>2432293.1678803163</v>
      </c>
      <c r="AW1124" s="2">
        <f t="shared" ca="1" si="1101"/>
        <v>2812987.6697063027</v>
      </c>
      <c r="AX1124" s="2">
        <f t="shared" ca="1" si="1102"/>
        <v>3169363.3847193103</v>
      </c>
      <c r="AY1124" s="2">
        <f t="shared" ca="1" si="1103"/>
        <v>3554847.4384845123</v>
      </c>
      <c r="AZ1124" s="2">
        <f t="shared" ca="1" si="1104"/>
        <v>3971817.3650178891</v>
      </c>
      <c r="BA1124" s="2">
        <f t="shared" ca="1" si="1105"/>
        <v>61433596.802983634</v>
      </c>
      <c r="BB1124" s="2">
        <f t="shared" ca="1" si="1106"/>
        <v>1228671.9360596726</v>
      </c>
      <c r="BC1124" s="2">
        <f t="shared" ca="1" si="1107"/>
        <v>36929419.490436383</v>
      </c>
      <c r="BD1124" s="2">
        <f t="shared" ca="1" si="1108"/>
        <v>-16986816.30834537</v>
      </c>
      <c r="BE1124" s="2">
        <f t="shared" ca="1" si="1109"/>
        <v>2432293.1678803163</v>
      </c>
      <c r="BF1124" s="2">
        <f t="shared" ca="1" si="1110"/>
        <v>2812987.6697063027</v>
      </c>
      <c r="BG1124" s="2">
        <f t="shared" ca="1" si="1111"/>
        <v>3169363.3847193103</v>
      </c>
      <c r="BH1124" s="2">
        <f t="shared" ca="1" si="1112"/>
        <v>3554847.4384845123</v>
      </c>
      <c r="BI1124" s="2">
        <f t="shared" ca="1" si="1113"/>
        <v>40901236.855454274</v>
      </c>
      <c r="BJ1124" s="2">
        <f t="shared" ca="1" si="1114"/>
        <v>0.30475192222136727</v>
      </c>
      <c r="BK1124" s="2">
        <f t="shared" ca="1" si="1115"/>
        <v>15150890.860441953</v>
      </c>
    </row>
    <row r="1125" spans="1:63" x14ac:dyDescent="0.3">
      <c r="A1125" s="2">
        <v>1124</v>
      </c>
      <c r="B1125" s="2">
        <f t="shared" ca="1" si="1054"/>
        <v>0.76929582932207718</v>
      </c>
      <c r="C1125" s="2">
        <f t="shared" ca="1" si="1055"/>
        <v>7.3207295521253366</v>
      </c>
      <c r="D1125" s="2">
        <f t="shared" ca="1" si="1056"/>
        <v>0.21751194494773862</v>
      </c>
      <c r="E1125" s="2">
        <f t="shared" ca="1" si="1057"/>
        <v>7.1595634085480162</v>
      </c>
      <c r="F1125" s="2">
        <f t="shared" ca="1" si="1058"/>
        <v>0.33775056387159019</v>
      </c>
      <c r="G1125" s="2">
        <f t="shared" ca="1" si="1059"/>
        <v>2.7441697852749268E-2</v>
      </c>
      <c r="H1125" s="2">
        <f t="shared" ca="1" si="1060"/>
        <v>2.7441697852749268E-2</v>
      </c>
      <c r="I1125" s="2">
        <f t="shared" ca="1" si="1061"/>
        <v>0.86897202589384837</v>
      </c>
      <c r="J1125" s="2">
        <f t="shared" ca="1" si="1062"/>
        <v>1.5607724997371121E-2</v>
      </c>
      <c r="K1125" s="2">
        <f t="shared" ca="1" si="1063"/>
        <v>1.5607724997371121E-2</v>
      </c>
      <c r="L1125" s="2">
        <f t="shared" ca="1" si="1064"/>
        <v>9.8123764862895646E-2</v>
      </c>
      <c r="M1125" s="2">
        <f t="shared" ca="1" si="1065"/>
        <v>-2.5846331757674257E-2</v>
      </c>
      <c r="N1125" s="2">
        <f t="shared" ca="1" si="1066"/>
        <v>-2.5846331757674257E-2</v>
      </c>
      <c r="O1125" s="2">
        <f t="shared" si="1067"/>
        <v>6000000</v>
      </c>
      <c r="P1125" s="2">
        <f t="shared" ca="1" si="1068"/>
        <v>43924377.312752023</v>
      </c>
      <c r="Q1125" s="2">
        <f t="shared" ca="1" si="1069"/>
        <v>1098109.4328188007</v>
      </c>
      <c r="R1125" s="2">
        <f t="shared" ca="1" si="1070"/>
        <v>26354626.387651213</v>
      </c>
      <c r="S1125" s="2">
        <f t="shared" ca="1" si="1071"/>
        <v>17569750.925100811</v>
      </c>
      <c r="T1125" s="2">
        <f t="shared" ca="1" si="1072"/>
        <v>48707683.412116289</v>
      </c>
      <c r="U1125" s="2">
        <f t="shared" ca="1" si="1073"/>
        <v>50044304.94341895</v>
      </c>
      <c r="V1125" s="2">
        <f t="shared" ca="1" si="1074"/>
        <v>51417605.638927095</v>
      </c>
      <c r="W1125" s="2">
        <f t="shared" ca="1" si="1075"/>
        <v>52828592.037182346</v>
      </c>
      <c r="X1125" s="2">
        <f t="shared" ca="1" si="1076"/>
        <v>54278298.297852859</v>
      </c>
      <c r="Y1125" s="2">
        <f t="shared" ca="1" si="1077"/>
        <v>0.12780386249868556</v>
      </c>
      <c r="Z1125" s="2">
        <f t="shared" ca="1" si="1078"/>
        <v>0.13092540749815978</v>
      </c>
      <c r="AA1125" s="2">
        <f t="shared" ca="1" si="1079"/>
        <v>6225030.0734316176</v>
      </c>
      <c r="AB1125" s="2">
        <f t="shared" ca="1" si="1080"/>
        <v>6552071.0176792983</v>
      </c>
      <c r="AC1125" s="2">
        <f t="shared" ca="1" si="1081"/>
        <v>6731870.9708562084</v>
      </c>
      <c r="AD1125" s="2">
        <f t="shared" ca="1" si="1082"/>
        <v>6916604.9400221379</v>
      </c>
      <c r="AE1125" s="2">
        <f t="shared" ca="1" si="1083"/>
        <v>7106408.3229530584</v>
      </c>
      <c r="AF1125" s="2">
        <f t="shared" ca="1" si="1084"/>
        <v>974153.66824232577</v>
      </c>
      <c r="AG1125" s="2">
        <f t="shared" ca="1" si="1085"/>
        <v>1000886.098868379</v>
      </c>
      <c r="AH1125" s="2">
        <f t="shared" ca="1" si="1086"/>
        <v>1028352.1127785419</v>
      </c>
      <c r="AI1125" s="2">
        <f t="shared" ca="1" si="1087"/>
        <v>1056571.840743647</v>
      </c>
      <c r="AJ1125" s="2">
        <f t="shared" ca="1" si="1088"/>
        <v>1085565.9659570572</v>
      </c>
      <c r="AK1125" s="2">
        <f t="shared" ca="1" si="1089"/>
        <v>0</v>
      </c>
      <c r="AL1125" s="2">
        <f t="shared" ca="1" si="1090"/>
        <v>13366.215313026607</v>
      </c>
      <c r="AM1125" s="2">
        <f t="shared" ca="1" si="1091"/>
        <v>13733.006955081448</v>
      </c>
      <c r="AN1125" s="2">
        <f t="shared" ca="1" si="1092"/>
        <v>14109.863982552513</v>
      </c>
      <c r="AO1125" s="2">
        <f t="shared" ca="1" si="1093"/>
        <v>14497.062606705129</v>
      </c>
      <c r="AP1125" s="2">
        <f t="shared" ca="1" si="1094"/>
        <v>2371916.3748886092</v>
      </c>
      <c r="AQ1125" s="2">
        <f t="shared" ca="1" si="1095"/>
        <v>748529.60787817743</v>
      </c>
      <c r="AR1125" s="2">
        <f t="shared" ca="1" si="1096"/>
        <v>826609.82141980052</v>
      </c>
      <c r="AS1125" s="2">
        <f t="shared" ca="1" si="1097"/>
        <v>866216.64562915498</v>
      </c>
      <c r="AT1125" s="2">
        <f t="shared" ca="1" si="1098"/>
        <v>906910.3483413693</v>
      </c>
      <c r="AU1125" s="2">
        <f t="shared" ca="1" si="1099"/>
        <v>948720.7553479221</v>
      </c>
      <c r="AV1125" s="2">
        <f t="shared" ca="1" si="1100"/>
        <v>2130430.422422505</v>
      </c>
      <c r="AW1125" s="2">
        <f t="shared" ca="1" si="1101"/>
        <v>2339292.5071894825</v>
      </c>
      <c r="AX1125" s="2">
        <f t="shared" ca="1" si="1102"/>
        <v>2451652.8306048205</v>
      </c>
      <c r="AY1125" s="2">
        <f t="shared" ca="1" si="1103"/>
        <v>2567096.5120659601</v>
      </c>
      <c r="AZ1125" s="2">
        <f t="shared" ca="1" si="1104"/>
        <v>2685708.1641527647</v>
      </c>
      <c r="BA1125" s="2">
        <f t="shared" ca="1" si="1105"/>
        <v>50878780.995215788</v>
      </c>
      <c r="BB1125" s="2">
        <f t="shared" ca="1" si="1106"/>
        <v>1017575.6199043158</v>
      </c>
      <c r="BC1125" s="2">
        <f t="shared" ca="1" si="1107"/>
        <v>23506578.987660259</v>
      </c>
      <c r="BD1125" s="2">
        <f t="shared" ca="1" si="1108"/>
        <v>-19167860.357919611</v>
      </c>
      <c r="BE1125" s="2">
        <f t="shared" ca="1" si="1109"/>
        <v>2130430.422422505</v>
      </c>
      <c r="BF1125" s="2">
        <f t="shared" ca="1" si="1110"/>
        <v>2339292.5071894825</v>
      </c>
      <c r="BG1125" s="2">
        <f t="shared" ca="1" si="1111"/>
        <v>2451652.8306048205</v>
      </c>
      <c r="BH1125" s="2">
        <f t="shared" ca="1" si="1112"/>
        <v>2567096.5120659601</v>
      </c>
      <c r="BI1125" s="2">
        <f t="shared" ca="1" si="1113"/>
        <v>26192287.151813023</v>
      </c>
      <c r="BJ1125" s="2">
        <f t="shared" ca="1" si="1114"/>
        <v>0.15801992763204353</v>
      </c>
      <c r="BK1125" s="2">
        <f t="shared" ca="1" si="1115"/>
        <v>2837860.7710130922</v>
      </c>
    </row>
    <row r="1126" spans="1:63" x14ac:dyDescent="0.3">
      <c r="A1126" s="2">
        <v>1125</v>
      </c>
      <c r="B1126" s="2">
        <f t="shared" ca="1" si="1054"/>
        <v>0.37929350692844799</v>
      </c>
      <c r="C1126" s="2">
        <f t="shared" ca="1" si="1055"/>
        <v>6.8709690085513353</v>
      </c>
      <c r="D1126" s="2">
        <f t="shared" ca="1" si="1056"/>
        <v>0.57396431156403138</v>
      </c>
      <c r="E1126" s="2">
        <f t="shared" ca="1" si="1057"/>
        <v>7.5769228759892613</v>
      </c>
      <c r="F1126" s="2">
        <f t="shared" ca="1" si="1058"/>
        <v>0.9041703826321994</v>
      </c>
      <c r="G1126" s="2">
        <f t="shared" ca="1" si="1059"/>
        <v>7.9170591121372813E-2</v>
      </c>
      <c r="H1126" s="2">
        <f t="shared" ca="1" si="1060"/>
        <v>7.9170591121372813E-2</v>
      </c>
      <c r="I1126" s="2">
        <f t="shared" ca="1" si="1061"/>
        <v>0.81207220377603317</v>
      </c>
      <c r="J1126" s="2">
        <f t="shared" ca="1" si="1062"/>
        <v>1.4427791483321233E-2</v>
      </c>
      <c r="K1126" s="2">
        <f t="shared" ca="1" si="1063"/>
        <v>1.4427791483321233E-2</v>
      </c>
      <c r="L1126" s="2">
        <f t="shared" ca="1" si="1064"/>
        <v>0.64793611659124839</v>
      </c>
      <c r="M1126" s="2">
        <f t="shared" ca="1" si="1065"/>
        <v>7.5950871278150003E-3</v>
      </c>
      <c r="N1126" s="2">
        <f t="shared" ca="1" si="1066"/>
        <v>7.5950871278150003E-3</v>
      </c>
      <c r="O1126" s="2">
        <f t="shared" si="1067"/>
        <v>6000000</v>
      </c>
      <c r="P1126" s="2">
        <f t="shared" ca="1" si="1068"/>
        <v>41225814.051308013</v>
      </c>
      <c r="Q1126" s="2">
        <f t="shared" ca="1" si="1069"/>
        <v>1030645.3512827004</v>
      </c>
      <c r="R1126" s="2">
        <f t="shared" ca="1" si="1070"/>
        <v>24735488.430784807</v>
      </c>
      <c r="S1126" s="2">
        <f t="shared" ca="1" si="1071"/>
        <v>16490325.620523207</v>
      </c>
      <c r="T1126" s="2">
        <f t="shared" ca="1" si="1072"/>
        <v>50379754.356390752</v>
      </c>
      <c r="U1126" s="2">
        <f t="shared" ca="1" si="1073"/>
        <v>54368349.289335757</v>
      </c>
      <c r="V1126" s="2">
        <f t="shared" ca="1" si="1074"/>
        <v>58672723.640865736</v>
      </c>
      <c r="W1126" s="2">
        <f t="shared" ca="1" si="1075"/>
        <v>63317877.854214013</v>
      </c>
      <c r="X1126" s="2">
        <f t="shared" ca="1" si="1076"/>
        <v>68330791.672483012</v>
      </c>
      <c r="Y1126" s="2">
        <f t="shared" ca="1" si="1077"/>
        <v>0.12721389574166062</v>
      </c>
      <c r="Z1126" s="2">
        <f t="shared" ca="1" si="1078"/>
        <v>0.13009945403832485</v>
      </c>
      <c r="AA1126" s="2">
        <f t="shared" ca="1" si="1079"/>
        <v>6409004.8181843655</v>
      </c>
      <c r="AB1126" s="2">
        <f t="shared" ca="1" si="1080"/>
        <v>7073292.5595075283</v>
      </c>
      <c r="AC1126" s="2">
        <f t="shared" ca="1" si="1081"/>
        <v>7633289.3126181476</v>
      </c>
      <c r="AD1126" s="2">
        <f t="shared" ca="1" si="1082"/>
        <v>8237621.3396985829</v>
      </c>
      <c r="AE1126" s="2">
        <f t="shared" ca="1" si="1083"/>
        <v>8889798.6905965544</v>
      </c>
      <c r="AF1126" s="2">
        <f t="shared" ca="1" si="1084"/>
        <v>1007595.087127815</v>
      </c>
      <c r="AG1126" s="2">
        <f t="shared" ca="1" si="1085"/>
        <v>1087366.9857867151</v>
      </c>
      <c r="AH1126" s="2">
        <f t="shared" ca="1" si="1086"/>
        <v>1173454.4728173148</v>
      </c>
      <c r="AI1126" s="2">
        <f t="shared" ca="1" si="1087"/>
        <v>1266357.5570842803</v>
      </c>
      <c r="AJ1126" s="2">
        <f t="shared" ca="1" si="1088"/>
        <v>1366615.8334496603</v>
      </c>
      <c r="AK1126" s="2">
        <f t="shared" ca="1" si="1089"/>
        <v>0</v>
      </c>
      <c r="AL1126" s="2">
        <f t="shared" ca="1" si="1090"/>
        <v>39885.949329450057</v>
      </c>
      <c r="AM1126" s="2">
        <f t="shared" ca="1" si="1091"/>
        <v>43043.743515299786</v>
      </c>
      <c r="AN1126" s="2">
        <f t="shared" ca="1" si="1092"/>
        <v>46451.54213348277</v>
      </c>
      <c r="AO1126" s="2">
        <f t="shared" ca="1" si="1093"/>
        <v>50129.138182689996</v>
      </c>
      <c r="AP1126" s="2">
        <f t="shared" ca="1" si="1094"/>
        <v>2226193.9587706327</v>
      </c>
      <c r="AQ1126" s="2">
        <f t="shared" ca="1" si="1095"/>
        <v>825556.10079433862</v>
      </c>
      <c r="AR1126" s="2">
        <f t="shared" ca="1" si="1096"/>
        <v>977530.21988704684</v>
      </c>
      <c r="AS1126" s="2">
        <f t="shared" ca="1" si="1097"/>
        <v>1100746.6290678522</v>
      </c>
      <c r="AT1126" s="2">
        <f t="shared" ca="1" si="1098"/>
        <v>1233718.1541993544</v>
      </c>
      <c r="AU1126" s="2">
        <f t="shared" ca="1" si="1099"/>
        <v>1377217.113577828</v>
      </c>
      <c r="AV1126" s="2">
        <f t="shared" ca="1" si="1100"/>
        <v>2349659.6714915792</v>
      </c>
      <c r="AW1126" s="2">
        <f t="shared" ca="1" si="1101"/>
        <v>2742315.4457336832</v>
      </c>
      <c r="AX1126" s="2">
        <f t="shared" ca="1" si="1102"/>
        <v>3089850.5084470483</v>
      </c>
      <c r="AY1126" s="2">
        <f t="shared" ca="1" si="1103"/>
        <v>3464900.1275108326</v>
      </c>
      <c r="AZ1126" s="2">
        <f t="shared" ca="1" si="1104"/>
        <v>3869642.6466157436</v>
      </c>
      <c r="BA1126" s="2">
        <f t="shared" ca="1" si="1105"/>
        <v>67357319.061720416</v>
      </c>
      <c r="BB1126" s="2">
        <f t="shared" ca="1" si="1106"/>
        <v>1347146.3812344084</v>
      </c>
      <c r="BC1126" s="2">
        <f t="shared" ca="1" si="1107"/>
        <v>41274684.249701202</v>
      </c>
      <c r="BD1126" s="2">
        <f t="shared" ca="1" si="1108"/>
        <v>-18020970.971805908</v>
      </c>
      <c r="BE1126" s="2">
        <f t="shared" ca="1" si="1109"/>
        <v>2349659.6714915792</v>
      </c>
      <c r="BF1126" s="2">
        <f t="shared" ca="1" si="1110"/>
        <v>2742315.4457336832</v>
      </c>
      <c r="BG1126" s="2">
        <f t="shared" ca="1" si="1111"/>
        <v>3089850.5084470483</v>
      </c>
      <c r="BH1126" s="2">
        <f t="shared" ca="1" si="1112"/>
        <v>3464900.1275108326</v>
      </c>
      <c r="BI1126" s="2">
        <f t="shared" ca="1" si="1113"/>
        <v>45144326.896316946</v>
      </c>
      <c r="BJ1126" s="2">
        <f t="shared" ca="1" si="1114"/>
        <v>0.30327414681068721</v>
      </c>
      <c r="BK1126" s="2">
        <f t="shared" ca="1" si="1115"/>
        <v>16280501.228640087</v>
      </c>
    </row>
    <row r="1127" spans="1:63" x14ac:dyDescent="0.3">
      <c r="A1127" s="2">
        <v>1126</v>
      </c>
      <c r="B1127" s="2">
        <f t="shared" ca="1" si="1054"/>
        <v>0.73438110571018056</v>
      </c>
      <c r="C1127" s="2">
        <f t="shared" ca="1" si="1055"/>
        <v>7.2711393901577344</v>
      </c>
      <c r="D1127" s="2">
        <f t="shared" ca="1" si="1056"/>
        <v>0.710213470762737</v>
      </c>
      <c r="E1127" s="2">
        <f t="shared" ca="1" si="1057"/>
        <v>7.7387030418591403</v>
      </c>
      <c r="F1127" s="2">
        <f t="shared" ca="1" si="1058"/>
        <v>0.498115502281125</v>
      </c>
      <c r="G1127" s="2">
        <f t="shared" ca="1" si="1059"/>
        <v>3.9858287415008131E-2</v>
      </c>
      <c r="H1127" s="2">
        <f t="shared" ca="1" si="1060"/>
        <v>3.9858287415008131E-2</v>
      </c>
      <c r="I1127" s="2">
        <f t="shared" ca="1" si="1061"/>
        <v>0.87074165141295212</v>
      </c>
      <c r="J1127" s="2">
        <f t="shared" ca="1" si="1062"/>
        <v>1.5649519776064789E-2</v>
      </c>
      <c r="K1127" s="2">
        <f t="shared" ca="1" si="1063"/>
        <v>1.5649519776064789E-2</v>
      </c>
      <c r="L1127" s="2">
        <f t="shared" ca="1" si="1064"/>
        <v>0.24910795746315817</v>
      </c>
      <c r="M1127" s="2">
        <f t="shared" ca="1" si="1065"/>
        <v>-1.3545991045210589E-2</v>
      </c>
      <c r="N1127" s="2">
        <f t="shared" ca="1" si="1066"/>
        <v>-1.3545991045210589E-2</v>
      </c>
      <c r="O1127" s="2">
        <f t="shared" si="1067"/>
        <v>6000000</v>
      </c>
      <c r="P1127" s="2">
        <f t="shared" ca="1" si="1068"/>
        <v>43626836.340946406</v>
      </c>
      <c r="Q1127" s="2">
        <f t="shared" ca="1" si="1069"/>
        <v>1090670.9085236602</v>
      </c>
      <c r="R1127" s="2">
        <f t="shared" ca="1" si="1070"/>
        <v>26176101.804567844</v>
      </c>
      <c r="S1127" s="2">
        <f t="shared" ca="1" si="1071"/>
        <v>17450734.536378562</v>
      </c>
      <c r="T1127" s="2">
        <f t="shared" ca="1" si="1072"/>
        <v>49322700.447739467</v>
      </c>
      <c r="U1127" s="2">
        <f t="shared" ca="1" si="1073"/>
        <v>51288618.818269819</v>
      </c>
      <c r="V1127" s="2">
        <f t="shared" ca="1" si="1074"/>
        <v>53332895.328247212</v>
      </c>
      <c r="W1127" s="2">
        <f t="shared" ca="1" si="1075"/>
        <v>55458653.198915035</v>
      </c>
      <c r="X1127" s="2">
        <f t="shared" ca="1" si="1076"/>
        <v>57669140.137766652</v>
      </c>
      <c r="Y1127" s="2">
        <f t="shared" ca="1" si="1077"/>
        <v>0.12782475988803238</v>
      </c>
      <c r="Z1127" s="2">
        <f t="shared" ca="1" si="1078"/>
        <v>0.13095466384324533</v>
      </c>
      <c r="AA1127" s="2">
        <f t="shared" ca="1" si="1079"/>
        <v>6304662.3417616449</v>
      </c>
      <c r="AB1127" s="2">
        <f t="shared" ca="1" si="1080"/>
        <v>6716483.8363308711</v>
      </c>
      <c r="AC1127" s="2">
        <f t="shared" ca="1" si="1081"/>
        <v>6984191.3794976035</v>
      </c>
      <c r="AD1127" s="2">
        <f t="shared" ca="1" si="1082"/>
        <v>7262569.2868630411</v>
      </c>
      <c r="AE1127" s="2">
        <f t="shared" ca="1" si="1083"/>
        <v>7552042.8608702384</v>
      </c>
      <c r="AF1127" s="2">
        <f t="shared" ca="1" si="1084"/>
        <v>986454.00895478937</v>
      </c>
      <c r="AG1127" s="2">
        <f t="shared" ca="1" si="1085"/>
        <v>1025772.3763653964</v>
      </c>
      <c r="AH1127" s="2">
        <f t="shared" ca="1" si="1086"/>
        <v>1066657.9065649442</v>
      </c>
      <c r="AI1127" s="2">
        <f t="shared" ca="1" si="1087"/>
        <v>1109173.0639783007</v>
      </c>
      <c r="AJ1127" s="2">
        <f t="shared" ca="1" si="1088"/>
        <v>1153382.802755333</v>
      </c>
      <c r="AK1127" s="2">
        <f t="shared" ca="1" si="1089"/>
        <v>0</v>
      </c>
      <c r="AL1127" s="2">
        <f t="shared" ca="1" si="1090"/>
        <v>19659.18370530352</v>
      </c>
      <c r="AM1127" s="2">
        <f t="shared" ca="1" si="1091"/>
        <v>20442.765099773929</v>
      </c>
      <c r="AN1127" s="2">
        <f t="shared" ca="1" si="1092"/>
        <v>21257.578706678229</v>
      </c>
      <c r="AO1127" s="2">
        <f t="shared" ca="1" si="1093"/>
        <v>22104.869388516174</v>
      </c>
      <c r="AP1127" s="2">
        <f t="shared" ca="1" si="1094"/>
        <v>2355849.1624111058</v>
      </c>
      <c r="AQ1127" s="2">
        <f t="shared" ca="1" si="1095"/>
        <v>770213.38430289493</v>
      </c>
      <c r="AR1127" s="2">
        <f t="shared" ca="1" si="1096"/>
        <v>867064.19736413599</v>
      </c>
      <c r="AS1127" s="2">
        <f t="shared" ca="1" si="1097"/>
        <v>926037.9207356039</v>
      </c>
      <c r="AT1127" s="2">
        <f t="shared" ca="1" si="1098"/>
        <v>987362.23572314507</v>
      </c>
      <c r="AU1127" s="2">
        <f t="shared" ca="1" si="1099"/>
        <v>1051130.8328829878</v>
      </c>
      <c r="AV1127" s="2">
        <f t="shared" ca="1" si="1100"/>
        <v>2192145.786092855</v>
      </c>
      <c r="AW1127" s="2">
        <f t="shared" ca="1" si="1101"/>
        <v>2448138.9164849296</v>
      </c>
      <c r="AX1127" s="2">
        <f t="shared" ca="1" si="1102"/>
        <v>2615203.624686175</v>
      </c>
      <c r="AY1127" s="2">
        <f t="shared" ca="1" si="1103"/>
        <v>2788927.2460438116</v>
      </c>
      <c r="AZ1127" s="2">
        <f t="shared" ca="1" si="1104"/>
        <v>2969575.1934322948</v>
      </c>
      <c r="BA1127" s="2">
        <f t="shared" ca="1" si="1105"/>
        <v>58443017.059667118</v>
      </c>
      <c r="BB1127" s="2">
        <f t="shared" ca="1" si="1106"/>
        <v>1168860.3411933423</v>
      </c>
      <c r="BC1127" s="2">
        <f t="shared" ca="1" si="1107"/>
        <v>31098054.913905933</v>
      </c>
      <c r="BD1127" s="2">
        <f t="shared" ca="1" si="1108"/>
        <v>-19041405.444902223</v>
      </c>
      <c r="BE1127" s="2">
        <f t="shared" ca="1" si="1109"/>
        <v>2192145.786092855</v>
      </c>
      <c r="BF1127" s="2">
        <f t="shared" ca="1" si="1110"/>
        <v>2448138.9164849296</v>
      </c>
      <c r="BG1127" s="2">
        <f t="shared" ca="1" si="1111"/>
        <v>2615203.624686175</v>
      </c>
      <c r="BH1127" s="2">
        <f t="shared" ca="1" si="1112"/>
        <v>2788927.2460438116</v>
      </c>
      <c r="BI1127" s="2">
        <f t="shared" ca="1" si="1113"/>
        <v>34067630.107338227</v>
      </c>
      <c r="BJ1127" s="2">
        <f t="shared" ca="1" si="1114"/>
        <v>0.21539350733246221</v>
      </c>
      <c r="BK1127" s="2">
        <f t="shared" ca="1" si="1115"/>
        <v>7832261.1358806528</v>
      </c>
    </row>
    <row r="1128" spans="1:63" x14ac:dyDescent="0.3">
      <c r="A1128" s="2">
        <v>1127</v>
      </c>
      <c r="B1128" s="2">
        <f t="shared" ca="1" si="1054"/>
        <v>0.4317439596068201</v>
      </c>
      <c r="C1128" s="2">
        <f t="shared" ca="1" si="1055"/>
        <v>6.9292405066577976</v>
      </c>
      <c r="D1128" s="2">
        <f t="shared" ca="1" si="1056"/>
        <v>0.40047459721489187</v>
      </c>
      <c r="E1128" s="2">
        <f t="shared" ca="1" si="1057"/>
        <v>7.3949576495174414</v>
      </c>
      <c r="F1128" s="2">
        <f t="shared" ca="1" si="1058"/>
        <v>0.34791596079690856</v>
      </c>
      <c r="G1128" s="2">
        <f t="shared" ca="1" si="1059"/>
        <v>2.827140775088053E-2</v>
      </c>
      <c r="H1128" s="2">
        <f t="shared" ca="1" si="1060"/>
        <v>2.827140775088053E-2</v>
      </c>
      <c r="I1128" s="2">
        <f t="shared" ca="1" si="1061"/>
        <v>0.77060614406563732</v>
      </c>
      <c r="J1128" s="2">
        <f t="shared" ca="1" si="1062"/>
        <v>1.370422264926506E-2</v>
      </c>
      <c r="K1128" s="2">
        <f t="shared" ca="1" si="1063"/>
        <v>1.370422264926506E-2</v>
      </c>
      <c r="L1128" s="2">
        <f t="shared" ca="1" si="1064"/>
        <v>0.22348273545042996</v>
      </c>
      <c r="M1128" s="2">
        <f t="shared" ca="1" si="1065"/>
        <v>-1.5209675270488245E-2</v>
      </c>
      <c r="N1128" s="2">
        <f t="shared" ca="1" si="1066"/>
        <v>-1.5209675270488245E-2</v>
      </c>
      <c r="O1128" s="2">
        <f t="shared" si="1067"/>
        <v>6000000</v>
      </c>
      <c r="P1128" s="2">
        <f t="shared" ca="1" si="1068"/>
        <v>41575443.039946787</v>
      </c>
      <c r="Q1128" s="2">
        <f t="shared" ca="1" si="1069"/>
        <v>1039386.0759986697</v>
      </c>
      <c r="R1128" s="2">
        <f t="shared" ca="1" si="1070"/>
        <v>24945265.823968071</v>
      </c>
      <c r="S1128" s="2">
        <f t="shared" ca="1" si="1071"/>
        <v>16630177.215978716</v>
      </c>
      <c r="T1128" s="2">
        <f t="shared" ca="1" si="1072"/>
        <v>49239516.236475587</v>
      </c>
      <c r="U1128" s="2">
        <f t="shared" ca="1" si="1073"/>
        <v>50631586.677453093</v>
      </c>
      <c r="V1128" s="2">
        <f t="shared" ca="1" si="1074"/>
        <v>52063012.909485422</v>
      </c>
      <c r="W1128" s="2">
        <f t="shared" ca="1" si="1075"/>
        <v>53534907.57618884</v>
      </c>
      <c r="X1128" s="2">
        <f t="shared" ca="1" si="1076"/>
        <v>55048414.777180977</v>
      </c>
      <c r="Y1128" s="2">
        <f t="shared" ca="1" si="1077"/>
        <v>0.12685211132463253</v>
      </c>
      <c r="Z1128" s="2">
        <f t="shared" ca="1" si="1078"/>
        <v>0.12959295585448555</v>
      </c>
      <c r="AA1128" s="2">
        <f t="shared" ca="1" si="1079"/>
        <v>6246136.595200452</v>
      </c>
      <c r="AB1128" s="2">
        <f t="shared" ca="1" si="1080"/>
        <v>6561496.9771337369</v>
      </c>
      <c r="AC1128" s="2">
        <f t="shared" ca="1" si="1081"/>
        <v>6746999.7336304551</v>
      </c>
      <c r="AD1128" s="2">
        <f t="shared" ca="1" si="1082"/>
        <v>6937746.9141950039</v>
      </c>
      <c r="AE1128" s="2">
        <f t="shared" ca="1" si="1083"/>
        <v>7133886.7860786244</v>
      </c>
      <c r="AF1128" s="2">
        <f t="shared" ca="1" si="1084"/>
        <v>984790.32472951175</v>
      </c>
      <c r="AG1128" s="2">
        <f t="shared" ca="1" si="1085"/>
        <v>1012631.7335490619</v>
      </c>
      <c r="AH1128" s="2">
        <f t="shared" ca="1" si="1086"/>
        <v>1041260.2581897085</v>
      </c>
      <c r="AI1128" s="2">
        <f t="shared" ca="1" si="1087"/>
        <v>1070698.1515237768</v>
      </c>
      <c r="AJ1128" s="2">
        <f t="shared" ca="1" si="1088"/>
        <v>1100968.2955436197</v>
      </c>
      <c r="AK1128" s="2">
        <f t="shared" ca="1" si="1089"/>
        <v>0</v>
      </c>
      <c r="AL1128" s="2">
        <f t="shared" ca="1" si="1090"/>
        <v>13920.704409775064</v>
      </c>
      <c r="AM1128" s="2">
        <f t="shared" ca="1" si="1091"/>
        <v>14314.262320323289</v>
      </c>
      <c r="AN1128" s="2">
        <f t="shared" ca="1" si="1092"/>
        <v>14718.946667034179</v>
      </c>
      <c r="AO1128" s="2">
        <f t="shared" ca="1" si="1093"/>
        <v>15135.072009921372</v>
      </c>
      <c r="AP1128" s="2">
        <f t="shared" ca="1" si="1094"/>
        <v>2245073.9241571263</v>
      </c>
      <c r="AQ1128" s="2">
        <f t="shared" ca="1" si="1095"/>
        <v>784230.81004159176</v>
      </c>
      <c r="AR1128" s="2">
        <f t="shared" ca="1" si="1096"/>
        <v>858985.74305116257</v>
      </c>
      <c r="AS1128" s="2">
        <f t="shared" ca="1" si="1097"/>
        <v>899773.04333374114</v>
      </c>
      <c r="AT1128" s="2">
        <f t="shared" ca="1" si="1098"/>
        <v>941713.4580136661</v>
      </c>
      <c r="AU1128" s="2">
        <f t="shared" ca="1" si="1099"/>
        <v>984839.58725824847</v>
      </c>
      <c r="AV1128" s="2">
        <f t="shared" ca="1" si="1100"/>
        <v>2232041.5362722226</v>
      </c>
      <c r="AW1128" s="2">
        <f t="shared" ca="1" si="1101"/>
        <v>2430884.8719666102</v>
      </c>
      <c r="AX1128" s="2">
        <f t="shared" ca="1" si="1102"/>
        <v>2546578.245629556</v>
      </c>
      <c r="AY1128" s="2">
        <f t="shared" ca="1" si="1103"/>
        <v>2665542.4338334003</v>
      </c>
      <c r="AZ1128" s="2">
        <f t="shared" ca="1" si="1104"/>
        <v>2787869.907109709</v>
      </c>
      <c r="BA1128" s="2">
        <f t="shared" ca="1" si="1105"/>
        <v>52754790.65950352</v>
      </c>
      <c r="BB1128" s="2">
        <f t="shared" ca="1" si="1106"/>
        <v>1055095.8131900704</v>
      </c>
      <c r="BC1128" s="2">
        <f t="shared" ca="1" si="1107"/>
        <v>26754429.022345379</v>
      </c>
      <c r="BD1128" s="2">
        <f t="shared" ca="1" si="1108"/>
        <v>-18169563.291977387</v>
      </c>
      <c r="BE1128" s="2">
        <f t="shared" ca="1" si="1109"/>
        <v>2232041.5362722226</v>
      </c>
      <c r="BF1128" s="2">
        <f t="shared" ca="1" si="1110"/>
        <v>2430884.8719666102</v>
      </c>
      <c r="BG1128" s="2">
        <f t="shared" ca="1" si="1111"/>
        <v>2546578.245629556</v>
      </c>
      <c r="BH1128" s="2">
        <f t="shared" ca="1" si="1112"/>
        <v>2665542.4338334003</v>
      </c>
      <c r="BI1128" s="2">
        <f t="shared" ca="1" si="1113"/>
        <v>29542298.929455087</v>
      </c>
      <c r="BJ1128" s="2">
        <f t="shared" ca="1" si="1114"/>
        <v>0.20016435632402696</v>
      </c>
      <c r="BK1128" s="2">
        <f t="shared" ca="1" si="1115"/>
        <v>6030915.7662466988</v>
      </c>
    </row>
    <row r="1129" spans="1:63" x14ac:dyDescent="0.3">
      <c r="A1129" s="2">
        <v>1128</v>
      </c>
      <c r="B1129" s="2">
        <f t="shared" ca="1" si="1054"/>
        <v>0.72274256441679008</v>
      </c>
      <c r="C1129" s="2">
        <f t="shared" ca="1" si="1055"/>
        <v>7.2553424470493706</v>
      </c>
      <c r="D1129" s="2">
        <f t="shared" ca="1" si="1056"/>
        <v>0.65722084223900334</v>
      </c>
      <c r="E1129" s="2">
        <f t="shared" ca="1" si="1057"/>
        <v>7.672015510095755</v>
      </c>
      <c r="F1129" s="2">
        <f t="shared" ca="1" si="1058"/>
        <v>0.36790153096203082</v>
      </c>
      <c r="G1129" s="2">
        <f t="shared" ca="1" si="1059"/>
        <v>2.9877509533943459E-2</v>
      </c>
      <c r="H1129" s="2">
        <f t="shared" ca="1" si="1060"/>
        <v>2.9877509533943459E-2</v>
      </c>
      <c r="I1129" s="2">
        <f t="shared" ca="1" si="1061"/>
        <v>0.37182188022405571</v>
      </c>
      <c r="J1129" s="2">
        <f t="shared" ca="1" si="1062"/>
        <v>8.3648405169089914E-3</v>
      </c>
      <c r="K1129" s="2">
        <f t="shared" ca="1" si="1063"/>
        <v>8.3648405169089914E-3</v>
      </c>
      <c r="L1129" s="2">
        <f t="shared" ca="1" si="1064"/>
        <v>0.45576330498723194</v>
      </c>
      <c r="M1129" s="2">
        <f t="shared" ca="1" si="1065"/>
        <v>-2.222263281173374E-3</v>
      </c>
      <c r="N1129" s="2">
        <f t="shared" ca="1" si="1066"/>
        <v>-2.222263281173374E-3</v>
      </c>
      <c r="O1129" s="2">
        <f t="shared" si="1067"/>
        <v>6000000</v>
      </c>
      <c r="P1129" s="2">
        <f t="shared" ca="1" si="1068"/>
        <v>43532054.682296224</v>
      </c>
      <c r="Q1129" s="2">
        <f t="shared" ca="1" si="1069"/>
        <v>1088301.3670574056</v>
      </c>
      <c r="R1129" s="2">
        <f t="shared" ca="1" si="1070"/>
        <v>26119232.809377734</v>
      </c>
      <c r="S1129" s="2">
        <f t="shared" ca="1" si="1071"/>
        <v>17412821.87291849</v>
      </c>
      <c r="T1129" s="2">
        <f t="shared" ca="1" si="1072"/>
        <v>49888886.83594133</v>
      </c>
      <c r="U1129" s="2">
        <f t="shared" ca="1" si="1073"/>
        <v>51379442.528019987</v>
      </c>
      <c r="V1129" s="2">
        <f t="shared" ca="1" si="1074"/>
        <v>52914532.311999604</v>
      </c>
      <c r="W1129" s="2">
        <f t="shared" ca="1" si="1075"/>
        <v>54495486.75563553</v>
      </c>
      <c r="X1129" s="2">
        <f t="shared" ca="1" si="1076"/>
        <v>56123676.180733919</v>
      </c>
      <c r="Y1129" s="2">
        <f t="shared" ca="1" si="1077"/>
        <v>0.1241824202584545</v>
      </c>
      <c r="Z1129" s="2">
        <f t="shared" ca="1" si="1078"/>
        <v>0.1258553883618363</v>
      </c>
      <c r="AA1129" s="2">
        <f t="shared" ca="1" si="1079"/>
        <v>6195322.7112873448</v>
      </c>
      <c r="AB1129" s="2">
        <f t="shared" ca="1" si="1080"/>
        <v>6466379.6931786034</v>
      </c>
      <c r="AC1129" s="2">
        <f t="shared" ca="1" si="1081"/>
        <v>6659579.0141116455</v>
      </c>
      <c r="AD1129" s="2">
        <f t="shared" ca="1" si="1082"/>
        <v>6858550.6495978162</v>
      </c>
      <c r="AE1129" s="2">
        <f t="shared" ca="1" si="1083"/>
        <v>7063467.0620202087</v>
      </c>
      <c r="AF1129" s="2">
        <f t="shared" ca="1" si="1084"/>
        <v>997777.73671882658</v>
      </c>
      <c r="AG1129" s="2">
        <f t="shared" ca="1" si="1085"/>
        <v>1027588.8505603998</v>
      </c>
      <c r="AH1129" s="2">
        <f t="shared" ca="1" si="1086"/>
        <v>1058290.646239992</v>
      </c>
      <c r="AI1129" s="2">
        <f t="shared" ca="1" si="1087"/>
        <v>1089909.7351127106</v>
      </c>
      <c r="AJ1129" s="2">
        <f t="shared" ca="1" si="1088"/>
        <v>1122473.5236146783</v>
      </c>
      <c r="AK1129" s="2">
        <f t="shared" ca="1" si="1089"/>
        <v>0</v>
      </c>
      <c r="AL1129" s="2">
        <f t="shared" ca="1" si="1090"/>
        <v>14905.556920786576</v>
      </c>
      <c r="AM1129" s="2">
        <f t="shared" ca="1" si="1091"/>
        <v>15350.897839796171</v>
      </c>
      <c r="AN1129" s="2">
        <f t="shared" ca="1" si="1092"/>
        <v>15809.544436359256</v>
      </c>
      <c r="AO1129" s="2">
        <f t="shared" ca="1" si="1093"/>
        <v>16281.894250983894</v>
      </c>
      <c r="AP1129" s="2">
        <f t="shared" ca="1" si="1094"/>
        <v>2350730.9528439958</v>
      </c>
      <c r="AQ1129" s="2">
        <f t="shared" ca="1" si="1095"/>
        <v>740171.64564837574</v>
      </c>
      <c r="AR1129" s="2">
        <f t="shared" ca="1" si="1096"/>
        <v>802895.5713412941</v>
      </c>
      <c r="AS1129" s="2">
        <f t="shared" ca="1" si="1097"/>
        <v>845144.92790719098</v>
      </c>
      <c r="AT1129" s="2">
        <f t="shared" ca="1" si="1098"/>
        <v>888656.59002668853</v>
      </c>
      <c r="AU1129" s="2">
        <f t="shared" ca="1" si="1099"/>
        <v>933468.27224599896</v>
      </c>
      <c r="AV1129" s="2">
        <f t="shared" ca="1" si="1100"/>
        <v>2106642.376076146</v>
      </c>
      <c r="AW1129" s="2">
        <f t="shared" ca="1" si="1101"/>
        <v>2270258.7615121277</v>
      </c>
      <c r="AX1129" s="2">
        <f t="shared" ca="1" si="1102"/>
        <v>2390061.5892806705</v>
      </c>
      <c r="AY1129" s="2">
        <f t="shared" ca="1" si="1103"/>
        <v>2513443.8271780619</v>
      </c>
      <c r="AZ1129" s="2">
        <f t="shared" ca="1" si="1104"/>
        <v>2640512.4190645516</v>
      </c>
      <c r="BA1129" s="2">
        <f t="shared" ca="1" si="1105"/>
        <v>54191028.854869537</v>
      </c>
      <c r="BB1129" s="2">
        <f t="shared" ca="1" si="1106"/>
        <v>1083820.5770973908</v>
      </c>
      <c r="BC1129" s="2">
        <f t="shared" ca="1" si="1107"/>
        <v>26987975.468394414</v>
      </c>
      <c r="BD1129" s="2">
        <f t="shared" ca="1" si="1108"/>
        <v>-19001123.239975896</v>
      </c>
      <c r="BE1129" s="2">
        <f t="shared" ca="1" si="1109"/>
        <v>2106642.376076146</v>
      </c>
      <c r="BF1129" s="2">
        <f t="shared" ca="1" si="1110"/>
        <v>2270258.7615121277</v>
      </c>
      <c r="BG1129" s="2">
        <f t="shared" ca="1" si="1111"/>
        <v>2390061.5892806705</v>
      </c>
      <c r="BH1129" s="2">
        <f t="shared" ca="1" si="1112"/>
        <v>2513443.8271780619</v>
      </c>
      <c r="BI1129" s="2">
        <f t="shared" ca="1" si="1113"/>
        <v>29628487.887458965</v>
      </c>
      <c r="BJ1129" s="2">
        <f t="shared" ca="1" si="1114"/>
        <v>0.18174093891279219</v>
      </c>
      <c r="BK1129" s="2">
        <f t="shared" ca="1" si="1115"/>
        <v>4800181.1812948994</v>
      </c>
    </row>
    <row r="1130" spans="1:63" x14ac:dyDescent="0.3">
      <c r="A1130" s="2">
        <v>1129</v>
      </c>
      <c r="B1130" s="2">
        <f t="shared" ca="1" si="1054"/>
        <v>8.089625121466415E-2</v>
      </c>
      <c r="C1130" s="2">
        <f t="shared" ca="1" si="1055"/>
        <v>6.402234387427689</v>
      </c>
      <c r="D1130" s="2">
        <f t="shared" ca="1" si="1056"/>
        <v>0.56272928151945267</v>
      </c>
      <c r="E1130" s="2">
        <f t="shared" ca="1" si="1057"/>
        <v>7.5648307976835989</v>
      </c>
      <c r="F1130" s="2">
        <f t="shared" ca="1" si="1058"/>
        <v>0.74184698328324794</v>
      </c>
      <c r="G1130" s="2">
        <f t="shared" ca="1" si="1059"/>
        <v>5.9471501163711714E-2</v>
      </c>
      <c r="H1130" s="2">
        <f t="shared" ca="1" si="1060"/>
        <v>5.9471501163711714E-2</v>
      </c>
      <c r="I1130" s="2">
        <f t="shared" ca="1" si="1061"/>
        <v>0.80735664793989304</v>
      </c>
      <c r="J1130" s="2">
        <f t="shared" ca="1" si="1062"/>
        <v>1.4340983101434808E-2</v>
      </c>
      <c r="K1130" s="2">
        <f t="shared" ca="1" si="1063"/>
        <v>1.4340983101434808E-2</v>
      </c>
      <c r="L1130" s="2">
        <f t="shared" ca="1" si="1064"/>
        <v>6.4884901204500633E-2</v>
      </c>
      <c r="M1130" s="2">
        <f t="shared" ca="1" si="1065"/>
        <v>-3.0300205472419187E-2</v>
      </c>
      <c r="N1130" s="2">
        <f t="shared" ca="1" si="1066"/>
        <v>-3.0300205472419187E-2</v>
      </c>
      <c r="O1130" s="2">
        <f t="shared" si="1067"/>
        <v>6000000</v>
      </c>
      <c r="P1130" s="2">
        <f t="shared" ca="1" si="1068"/>
        <v>38413406.324566133</v>
      </c>
      <c r="Q1130" s="2">
        <f t="shared" ca="1" si="1069"/>
        <v>960335.15811415343</v>
      </c>
      <c r="R1130" s="2">
        <f t="shared" ca="1" si="1070"/>
        <v>23048043.794739679</v>
      </c>
      <c r="S1130" s="2">
        <f t="shared" ca="1" si="1071"/>
        <v>15365362.529826455</v>
      </c>
      <c r="T1130" s="2">
        <f t="shared" ca="1" si="1072"/>
        <v>48484989.726379044</v>
      </c>
      <c r="U1130" s="2">
        <f t="shared" ca="1" si="1073"/>
        <v>51368464.849313945</v>
      </c>
      <c r="V1130" s="2">
        <f t="shared" ca="1" si="1074"/>
        <v>54423424.566378005</v>
      </c>
      <c r="W1130" s="2">
        <f t="shared" ca="1" si="1075"/>
        <v>57660067.323810533</v>
      </c>
      <c r="X1130" s="2">
        <f t="shared" ca="1" si="1076"/>
        <v>61089198.084758222</v>
      </c>
      <c r="Y1130" s="2">
        <f t="shared" ca="1" si="1077"/>
        <v>0.12717049155071741</v>
      </c>
      <c r="Z1130" s="2">
        <f t="shared" ca="1" si="1078"/>
        <v>0.13003868817100436</v>
      </c>
      <c r="AA1130" s="2">
        <f t="shared" ca="1" si="1079"/>
        <v>6165859.9763351064</v>
      </c>
      <c r="AB1130" s="2">
        <f t="shared" ca="1" si="1080"/>
        <v>6679887.7823631344</v>
      </c>
      <c r="AC1130" s="2">
        <f t="shared" ca="1" si="1081"/>
        <v>7077150.7363854079</v>
      </c>
      <c r="AD1130" s="2">
        <f t="shared" ca="1" si="1082"/>
        <v>7498039.5146401161</v>
      </c>
      <c r="AE1130" s="2">
        <f t="shared" ca="1" si="1083"/>
        <v>7943959.180360591</v>
      </c>
      <c r="AF1130" s="2">
        <f t="shared" ca="1" si="1084"/>
        <v>969699.79452758096</v>
      </c>
      <c r="AG1130" s="2">
        <f t="shared" ca="1" si="1085"/>
        <v>1027369.296986279</v>
      </c>
      <c r="AH1130" s="2">
        <f t="shared" ca="1" si="1086"/>
        <v>1088468.49132756</v>
      </c>
      <c r="AI1130" s="2">
        <f t="shared" ca="1" si="1087"/>
        <v>1153201.3464762107</v>
      </c>
      <c r="AJ1130" s="2">
        <f t="shared" ca="1" si="1088"/>
        <v>1221783.9616951644</v>
      </c>
      <c r="AK1130" s="2">
        <f t="shared" ca="1" si="1089"/>
        <v>0</v>
      </c>
      <c r="AL1130" s="2">
        <f t="shared" ca="1" si="1090"/>
        <v>28834.751229349004</v>
      </c>
      <c r="AM1130" s="2">
        <f t="shared" ca="1" si="1091"/>
        <v>30549.597170640602</v>
      </c>
      <c r="AN1130" s="2">
        <f t="shared" ca="1" si="1092"/>
        <v>32366.42757432528</v>
      </c>
      <c r="AO1130" s="2">
        <f t="shared" ca="1" si="1093"/>
        <v>34291.307609476891</v>
      </c>
      <c r="AP1130" s="2">
        <f t="shared" ca="1" si="1094"/>
        <v>2074323.9415265711</v>
      </c>
      <c r="AQ1130" s="2">
        <f t="shared" ca="1" si="1095"/>
        <v>811677.42247304809</v>
      </c>
      <c r="AR1130" s="2">
        <f t="shared" ca="1" si="1096"/>
        <v>930330.58140107384</v>
      </c>
      <c r="AS1130" s="2">
        <f t="shared" ca="1" si="1097"/>
        <v>1017733.1589181318</v>
      </c>
      <c r="AT1130" s="2">
        <f t="shared" ca="1" si="1098"/>
        <v>1110333.6989257068</v>
      </c>
      <c r="AU1130" s="2">
        <f t="shared" ca="1" si="1099"/>
        <v>1208441.3320561023</v>
      </c>
      <c r="AV1130" s="2">
        <f t="shared" ca="1" si="1100"/>
        <v>2310158.8178079063</v>
      </c>
      <c r="AW1130" s="2">
        <f t="shared" ca="1" si="1101"/>
        <v>2619029.2112198621</v>
      </c>
      <c r="AX1130" s="2">
        <f t="shared" ca="1" si="1102"/>
        <v>2866075.5474425033</v>
      </c>
      <c r="AY1130" s="2">
        <f t="shared" ca="1" si="1103"/>
        <v>3127814.1001373017</v>
      </c>
      <c r="AZ1130" s="2">
        <f t="shared" ca="1" si="1104"/>
        <v>3405118.6374732759</v>
      </c>
      <c r="BA1130" s="2">
        <f t="shared" ca="1" si="1105"/>
        <v>60094707.063133158</v>
      </c>
      <c r="BB1130" s="2">
        <f t="shared" ca="1" si="1106"/>
        <v>1201894.1412626633</v>
      </c>
      <c r="BC1130" s="2">
        <f t="shared" ca="1" si="1107"/>
        <v>35844769.127130814</v>
      </c>
      <c r="BD1130" s="2">
        <f t="shared" ca="1" si="1108"/>
        <v>-16825697.687940609</v>
      </c>
      <c r="BE1130" s="2">
        <f t="shared" ca="1" si="1109"/>
        <v>2310158.8178079063</v>
      </c>
      <c r="BF1130" s="2">
        <f t="shared" ca="1" si="1110"/>
        <v>2619029.2112198621</v>
      </c>
      <c r="BG1130" s="2">
        <f t="shared" ca="1" si="1111"/>
        <v>2866075.5474425033</v>
      </c>
      <c r="BH1130" s="2">
        <f t="shared" ca="1" si="1112"/>
        <v>3127814.1001373017</v>
      </c>
      <c r="BI1130" s="2">
        <f t="shared" ca="1" si="1113"/>
        <v>39249887.764604092</v>
      </c>
      <c r="BJ1130" s="2">
        <f t="shared" ca="1" si="1114"/>
        <v>0.289827302187599</v>
      </c>
      <c r="BK1130" s="2">
        <f t="shared" ca="1" si="1115"/>
        <v>13624056.937499937</v>
      </c>
    </row>
    <row r="1131" spans="1:63" x14ac:dyDescent="0.3">
      <c r="A1131" s="2">
        <v>1130</v>
      </c>
      <c r="B1131" s="2">
        <f t="shared" ca="1" si="1054"/>
        <v>0.70945066933360645</v>
      </c>
      <c r="C1131" s="2">
        <f t="shared" ca="1" si="1055"/>
        <v>7.237701724170396</v>
      </c>
      <c r="D1131" s="2">
        <f t="shared" ca="1" si="1056"/>
        <v>0.77107858593823098</v>
      </c>
      <c r="E1131" s="2">
        <f t="shared" ca="1" si="1057"/>
        <v>7.823359158693818</v>
      </c>
      <c r="F1131" s="2">
        <f t="shared" ca="1" si="1058"/>
        <v>0.1617212841777711</v>
      </c>
      <c r="G1131" s="2">
        <f t="shared" ca="1" si="1059"/>
        <v>1.0377754139785533E-2</v>
      </c>
      <c r="H1131" s="2">
        <f t="shared" ca="1" si="1060"/>
        <v>1.0377754139785533E-2</v>
      </c>
      <c r="I1131" s="2">
        <f t="shared" ca="1" si="1061"/>
        <v>0.92345367717783655</v>
      </c>
      <c r="J1131" s="2">
        <f t="shared" ca="1" si="1062"/>
        <v>1.7143462304572206E-2</v>
      </c>
      <c r="K1131" s="2">
        <f t="shared" ca="1" si="1063"/>
        <v>1.7143462304572206E-2</v>
      </c>
      <c r="L1131" s="2">
        <f t="shared" ca="1" si="1064"/>
        <v>0.38743318321113696</v>
      </c>
      <c r="M1131" s="2">
        <f t="shared" ca="1" si="1065"/>
        <v>-5.7203069588592425E-3</v>
      </c>
      <c r="N1131" s="2">
        <f t="shared" ca="1" si="1066"/>
        <v>-5.7203069588592425E-3</v>
      </c>
      <c r="O1131" s="2">
        <f t="shared" si="1067"/>
        <v>6000000</v>
      </c>
      <c r="P1131" s="2">
        <f t="shared" ca="1" si="1068"/>
        <v>43426210.345022373</v>
      </c>
      <c r="Q1131" s="2">
        <f t="shared" ca="1" si="1069"/>
        <v>1085655.2586255593</v>
      </c>
      <c r="R1131" s="2">
        <f t="shared" ca="1" si="1070"/>
        <v>26055726.207013424</v>
      </c>
      <c r="S1131" s="2">
        <f t="shared" ca="1" si="1071"/>
        <v>17370484.138008948</v>
      </c>
      <c r="T1131" s="2">
        <f t="shared" ca="1" si="1072"/>
        <v>49713984.652057037</v>
      </c>
      <c r="U1131" s="2">
        <f t="shared" ca="1" si="1073"/>
        <v>50229904.162085161</v>
      </c>
      <c r="V1131" s="2">
        <f t="shared" ca="1" si="1074"/>
        <v>50751177.757944271</v>
      </c>
      <c r="W1131" s="2">
        <f t="shared" ca="1" si="1075"/>
        <v>51277861.003020771</v>
      </c>
      <c r="X1131" s="2">
        <f t="shared" ca="1" si="1076"/>
        <v>51810010.03732422</v>
      </c>
      <c r="Y1131" s="2">
        <f t="shared" ca="1" si="1077"/>
        <v>0.1285717311522861</v>
      </c>
      <c r="Z1131" s="2">
        <f t="shared" ca="1" si="1078"/>
        <v>0.13200042361320055</v>
      </c>
      <c r="AA1131" s="2">
        <f t="shared" ca="1" si="1079"/>
        <v>6391813.0691931546</v>
      </c>
      <c r="AB1131" s="2">
        <f t="shared" ca="1" si="1080"/>
        <v>6630368.6274457071</v>
      </c>
      <c r="AC1131" s="2">
        <f t="shared" ca="1" si="1081"/>
        <v>6699176.9629174853</v>
      </c>
      <c r="AD1131" s="2">
        <f t="shared" ca="1" si="1082"/>
        <v>6768699.3743775589</v>
      </c>
      <c r="AE1131" s="2">
        <f t="shared" ca="1" si="1083"/>
        <v>6838943.2723309696</v>
      </c>
      <c r="AF1131" s="2">
        <f t="shared" ca="1" si="1084"/>
        <v>994279.6930411408</v>
      </c>
      <c r="AG1131" s="2">
        <f t="shared" ca="1" si="1085"/>
        <v>1004598.0832417032</v>
      </c>
      <c r="AH1131" s="2">
        <f t="shared" ca="1" si="1086"/>
        <v>1015023.5551588854</v>
      </c>
      <c r="AI1131" s="2">
        <f t="shared" ca="1" si="1087"/>
        <v>1025557.2200604154</v>
      </c>
      <c r="AJ1131" s="2">
        <f t="shared" ca="1" si="1088"/>
        <v>1036200.2007464845</v>
      </c>
      <c r="AK1131" s="2">
        <f t="shared" ca="1" si="1089"/>
        <v>0</v>
      </c>
      <c r="AL1131" s="2">
        <f t="shared" ca="1" si="1090"/>
        <v>5159.1951002812384</v>
      </c>
      <c r="AM1131" s="2">
        <f t="shared" ca="1" si="1091"/>
        <v>5212.7359585911036</v>
      </c>
      <c r="AN1131" s="2">
        <f t="shared" ca="1" si="1092"/>
        <v>5266.8324507649986</v>
      </c>
      <c r="AO1131" s="2">
        <f t="shared" ca="1" si="1093"/>
        <v>5321.4903430344912</v>
      </c>
      <c r="AP1131" s="2">
        <f t="shared" ca="1" si="1094"/>
        <v>2345015.3586312081</v>
      </c>
      <c r="AQ1131" s="2">
        <f t="shared" ca="1" si="1095"/>
        <v>793654.68455540948</v>
      </c>
      <c r="AR1131" s="2">
        <f t="shared" ca="1" si="1096"/>
        <v>852996.34824892704</v>
      </c>
      <c r="AS1131" s="2">
        <f t="shared" ca="1" si="1097"/>
        <v>868175.89277312194</v>
      </c>
      <c r="AT1131" s="2">
        <f t="shared" ca="1" si="1098"/>
        <v>883512.96687834326</v>
      </c>
      <c r="AU1131" s="2">
        <f t="shared" ca="1" si="1099"/>
        <v>899009.20536785212</v>
      </c>
      <c r="AV1131" s="2">
        <f t="shared" ca="1" si="1100"/>
        <v>2258863.3329653959</v>
      </c>
      <c r="AW1131" s="2">
        <f t="shared" ca="1" si="1101"/>
        <v>2422599.6422235877</v>
      </c>
      <c r="AX1131" s="2">
        <f t="shared" ca="1" si="1102"/>
        <v>2465749.4203956793</v>
      </c>
      <c r="AY1131" s="2">
        <f t="shared" ca="1" si="1103"/>
        <v>2509346.9963568267</v>
      </c>
      <c r="AZ1131" s="2">
        <f t="shared" ca="1" si="1104"/>
        <v>2553397.0172423911</v>
      </c>
      <c r="BA1131" s="2">
        <f t="shared" ca="1" si="1105"/>
        <v>53503509.48537796</v>
      </c>
      <c r="BB1131" s="2">
        <f t="shared" ca="1" si="1106"/>
        <v>1070070.1897075593</v>
      </c>
      <c r="BC1131" s="2">
        <f t="shared" ca="1" si="1107"/>
        <v>26377713.088656977</v>
      </c>
      <c r="BD1131" s="2">
        <f t="shared" ca="1" si="1108"/>
        <v>-18956139.396634508</v>
      </c>
      <c r="BE1131" s="2">
        <f t="shared" ca="1" si="1109"/>
        <v>2258863.3329653959</v>
      </c>
      <c r="BF1131" s="2">
        <f t="shared" ca="1" si="1110"/>
        <v>2422599.6422235877</v>
      </c>
      <c r="BG1131" s="2">
        <f t="shared" ca="1" si="1111"/>
        <v>2465749.4203956793</v>
      </c>
      <c r="BH1131" s="2">
        <f t="shared" ca="1" si="1112"/>
        <v>2509346.9963568267</v>
      </c>
      <c r="BI1131" s="2">
        <f t="shared" ca="1" si="1113"/>
        <v>28931110.105899367</v>
      </c>
      <c r="BJ1131" s="2">
        <f t="shared" ca="1" si="1114"/>
        <v>0.18210670266083984</v>
      </c>
      <c r="BK1131" s="2">
        <f t="shared" ca="1" si="1115"/>
        <v>4758080.4219893776</v>
      </c>
    </row>
    <row r="1132" spans="1:63" x14ac:dyDescent="0.3">
      <c r="A1132" s="2">
        <v>1131</v>
      </c>
      <c r="B1132" s="2">
        <f t="shared" ca="1" si="1054"/>
        <v>0.33702464213582406</v>
      </c>
      <c r="C1132" s="2">
        <f t="shared" ca="1" si="1055"/>
        <v>6.8210050452169266</v>
      </c>
      <c r="D1132" s="2">
        <f t="shared" ca="1" si="1056"/>
        <v>0.83288546114522755</v>
      </c>
      <c r="E1132" s="2">
        <f t="shared" ca="1" si="1057"/>
        <v>7.9218745138730302</v>
      </c>
      <c r="F1132" s="2">
        <f t="shared" ca="1" si="1058"/>
        <v>0.8516628721254722</v>
      </c>
      <c r="G1132" s="2">
        <f t="shared" ca="1" si="1059"/>
        <v>7.1307756112645254E-2</v>
      </c>
      <c r="H1132" s="2">
        <f t="shared" ca="1" si="1060"/>
        <v>7.1307756112645254E-2</v>
      </c>
      <c r="I1132" s="2">
        <f t="shared" ca="1" si="1061"/>
        <v>0.85136248913557211</v>
      </c>
      <c r="J1132" s="2">
        <f t="shared" ca="1" si="1062"/>
        <v>1.5211474008151711E-2</v>
      </c>
      <c r="K1132" s="2">
        <f t="shared" ca="1" si="1063"/>
        <v>1.5211474008151711E-2</v>
      </c>
      <c r="L1132" s="2">
        <f t="shared" ca="1" si="1064"/>
        <v>0.14130015933911122</v>
      </c>
      <c r="M1132" s="2">
        <f t="shared" ca="1" si="1065"/>
        <v>-2.1489925264507499E-2</v>
      </c>
      <c r="N1132" s="2">
        <f t="shared" ca="1" si="1066"/>
        <v>-2.1489925264507499E-2</v>
      </c>
      <c r="O1132" s="2">
        <f t="shared" si="1067"/>
        <v>6000000</v>
      </c>
      <c r="P1132" s="2">
        <f t="shared" ca="1" si="1068"/>
        <v>40926030.27130156</v>
      </c>
      <c r="Q1132" s="2">
        <f t="shared" ca="1" si="1069"/>
        <v>1023150.7567825391</v>
      </c>
      <c r="R1132" s="2">
        <f t="shared" ca="1" si="1070"/>
        <v>24555618.162780937</v>
      </c>
      <c r="S1132" s="2">
        <f t="shared" ca="1" si="1071"/>
        <v>16370412.108520625</v>
      </c>
      <c r="T1132" s="2">
        <f t="shared" ca="1" si="1072"/>
        <v>48925503.736774623</v>
      </c>
      <c r="U1132" s="2">
        <f t="shared" ca="1" si="1073"/>
        <v>52414271.624924861</v>
      </c>
      <c r="V1132" s="2">
        <f t="shared" ca="1" si="1074"/>
        <v>56151815.722776942</v>
      </c>
      <c r="W1132" s="2">
        <f t="shared" ca="1" si="1075"/>
        <v>60155875.703618914</v>
      </c>
      <c r="X1132" s="2">
        <f t="shared" ca="1" si="1076"/>
        <v>64445456.217035167</v>
      </c>
      <c r="Y1132" s="2">
        <f t="shared" ca="1" si="1077"/>
        <v>0.12760573700407585</v>
      </c>
      <c r="Z1132" s="2">
        <f t="shared" ca="1" si="1078"/>
        <v>0.13064803180570619</v>
      </c>
      <c r="AA1132" s="2">
        <f t="shared" ca="1" si="1079"/>
        <v>6243174.9626267925</v>
      </c>
      <c r="AB1132" s="2">
        <f t="shared" ca="1" si="1080"/>
        <v>6847821.4263261072</v>
      </c>
      <c r="AC1132" s="2">
        <f t="shared" ca="1" si="1081"/>
        <v>7336124.2064975146</v>
      </c>
      <c r="AD1132" s="2">
        <f t="shared" ca="1" si="1082"/>
        <v>7859246.7622265127</v>
      </c>
      <c r="AE1132" s="2">
        <f t="shared" ca="1" si="1083"/>
        <v>8419672.0135764573</v>
      </c>
      <c r="AF1132" s="2">
        <f t="shared" ca="1" si="1084"/>
        <v>978510.07473549247</v>
      </c>
      <c r="AG1132" s="2">
        <f t="shared" ca="1" si="1085"/>
        <v>1048285.4324984972</v>
      </c>
      <c r="AH1132" s="2">
        <f t="shared" ca="1" si="1086"/>
        <v>1123036.3144555388</v>
      </c>
      <c r="AI1132" s="2">
        <f t="shared" ca="1" si="1087"/>
        <v>1203117.5140723784</v>
      </c>
      <c r="AJ1132" s="2">
        <f t="shared" ca="1" si="1088"/>
        <v>1288909.1243407035</v>
      </c>
      <c r="AK1132" s="2">
        <f t="shared" ca="1" si="1089"/>
        <v>0</v>
      </c>
      <c r="AL1132" s="2">
        <f t="shared" ca="1" si="1090"/>
        <v>34887.678881502376</v>
      </c>
      <c r="AM1132" s="2">
        <f t="shared" ca="1" si="1091"/>
        <v>37375.440978520812</v>
      </c>
      <c r="AN1132" s="2">
        <f t="shared" ca="1" si="1092"/>
        <v>40040.59980841972</v>
      </c>
      <c r="AO1132" s="2">
        <f t="shared" ca="1" si="1093"/>
        <v>42895.805134162532</v>
      </c>
      <c r="AP1132" s="2">
        <f t="shared" ca="1" si="1094"/>
        <v>2210005.6346502844</v>
      </c>
      <c r="AQ1132" s="2">
        <f t="shared" ca="1" si="1095"/>
        <v>794211.40584266407</v>
      </c>
      <c r="AR1132" s="2">
        <f t="shared" ca="1" si="1096"/>
        <v>933277.89338610473</v>
      </c>
      <c r="AS1132" s="2">
        <f t="shared" ca="1" si="1097"/>
        <v>1040801.3869218398</v>
      </c>
      <c r="AT1132" s="2">
        <f t="shared" ca="1" si="1098"/>
        <v>1155992.1395110011</v>
      </c>
      <c r="AU1132" s="2">
        <f t="shared" ca="1" si="1099"/>
        <v>1279396.8861922221</v>
      </c>
      <c r="AV1132" s="2">
        <f t="shared" ca="1" si="1100"/>
        <v>2260447.8473983519</v>
      </c>
      <c r="AW1132" s="2">
        <f t="shared" ca="1" si="1101"/>
        <v>2621364.7869097181</v>
      </c>
      <c r="AX1132" s="2">
        <f t="shared" ca="1" si="1102"/>
        <v>2924905.4294913309</v>
      </c>
      <c r="AY1132" s="2">
        <f t="shared" ca="1" si="1103"/>
        <v>3250090.8741844287</v>
      </c>
      <c r="AZ1132" s="2">
        <f t="shared" ca="1" si="1104"/>
        <v>3598464.5632590847</v>
      </c>
      <c r="BA1132" s="2">
        <f t="shared" ca="1" si="1105"/>
        <v>66699585.139521353</v>
      </c>
      <c r="BB1132" s="2">
        <f t="shared" ca="1" si="1106"/>
        <v>1333991.702790427</v>
      </c>
      <c r="BC1132" s="2">
        <f t="shared" ca="1" si="1107"/>
        <v>40809975.273949996</v>
      </c>
      <c r="BD1132" s="2">
        <f t="shared" ca="1" si="1108"/>
        <v>-17893562.865303162</v>
      </c>
      <c r="BE1132" s="2">
        <f t="shared" ca="1" si="1109"/>
        <v>2260447.8473983519</v>
      </c>
      <c r="BF1132" s="2">
        <f t="shared" ca="1" si="1110"/>
        <v>2621364.7869097181</v>
      </c>
      <c r="BG1132" s="2">
        <f t="shared" ca="1" si="1111"/>
        <v>2924905.4294913309</v>
      </c>
      <c r="BH1132" s="2">
        <f t="shared" ca="1" si="1112"/>
        <v>3250090.8741844287</v>
      </c>
      <c r="BI1132" s="2">
        <f t="shared" ca="1" si="1113"/>
        <v>44408439.837209083</v>
      </c>
      <c r="BJ1132" s="2">
        <f t="shared" ca="1" si="1114"/>
        <v>0.29693149005129182</v>
      </c>
      <c r="BK1132" s="2">
        <f t="shared" ca="1" si="1115"/>
        <v>15560352.902887799</v>
      </c>
    </row>
    <row r="1133" spans="1:63" x14ac:dyDescent="0.3">
      <c r="A1133" s="2">
        <v>1132</v>
      </c>
      <c r="B1133" s="2">
        <f t="shared" ca="1" si="1054"/>
        <v>0.3855035500341446</v>
      </c>
      <c r="C1133" s="2">
        <f t="shared" ca="1" si="1055"/>
        <v>6.8780700997461928</v>
      </c>
      <c r="D1133" s="2">
        <f t="shared" ca="1" si="1056"/>
        <v>0.2544730705838445</v>
      </c>
      <c r="E1133" s="2">
        <f t="shared" ca="1" si="1057"/>
        <v>7.2134046125220168</v>
      </c>
      <c r="F1133" s="2">
        <f t="shared" ca="1" si="1058"/>
        <v>0.7353211402479517</v>
      </c>
      <c r="G1133" s="2">
        <f t="shared" ca="1" si="1059"/>
        <v>5.8869603014515784E-2</v>
      </c>
      <c r="H1133" s="2">
        <f t="shared" ca="1" si="1060"/>
        <v>5.8869603014515784E-2</v>
      </c>
      <c r="I1133" s="2">
        <f t="shared" ca="1" si="1061"/>
        <v>0.71865843076075853</v>
      </c>
      <c r="J1133" s="2">
        <f t="shared" ca="1" si="1062"/>
        <v>1.2894303731709069E-2</v>
      </c>
      <c r="K1133" s="2">
        <f t="shared" ca="1" si="1063"/>
        <v>1.2894303731709069E-2</v>
      </c>
      <c r="L1133" s="2">
        <f t="shared" ca="1" si="1064"/>
        <v>0.2913448418612955</v>
      </c>
      <c r="M1133" s="2">
        <f t="shared" ca="1" si="1065"/>
        <v>-1.098920362069295E-2</v>
      </c>
      <c r="N1133" s="2">
        <f t="shared" ca="1" si="1066"/>
        <v>-1.098920362069295E-2</v>
      </c>
      <c r="O1133" s="2">
        <f t="shared" si="1067"/>
        <v>6000000</v>
      </c>
      <c r="P1133" s="2">
        <f t="shared" ca="1" si="1068"/>
        <v>41268420.598477155</v>
      </c>
      <c r="Q1133" s="2">
        <f t="shared" ca="1" si="1069"/>
        <v>1031710.5149619289</v>
      </c>
      <c r="R1133" s="2">
        <f t="shared" ca="1" si="1070"/>
        <v>24761052.359086294</v>
      </c>
      <c r="S1133" s="2">
        <f t="shared" ca="1" si="1071"/>
        <v>16507368.239390863</v>
      </c>
      <c r="T1133" s="2">
        <f t="shared" ca="1" si="1072"/>
        <v>49450539.818965353</v>
      </c>
      <c r="U1133" s="2">
        <f t="shared" ca="1" si="1073"/>
        <v>52361673.466961347</v>
      </c>
      <c r="V1133" s="2">
        <f t="shared" ca="1" si="1074"/>
        <v>55444184.397137061</v>
      </c>
      <c r="W1133" s="2">
        <f t="shared" ca="1" si="1075"/>
        <v>58708161.522060126</v>
      </c>
      <c r="X1133" s="2">
        <f t="shared" ca="1" si="1076"/>
        <v>62164287.684575871</v>
      </c>
      <c r="Y1133" s="2">
        <f t="shared" ca="1" si="1077"/>
        <v>0.12644715186585453</v>
      </c>
      <c r="Z1133" s="2">
        <f t="shared" ca="1" si="1078"/>
        <v>0.12902601261219634</v>
      </c>
      <c r="AA1133" s="2">
        <f t="shared" ca="1" si="1079"/>
        <v>6252879.9183371989</v>
      </c>
      <c r="AB1133" s="2">
        <f t="shared" ca="1" si="1080"/>
        <v>6756017.941143861</v>
      </c>
      <c r="AC1133" s="2">
        <f t="shared" ca="1" si="1081"/>
        <v>7153742.0352979461</v>
      </c>
      <c r="AD1133" s="2">
        <f t="shared" ca="1" si="1082"/>
        <v>7574879.9889841899</v>
      </c>
      <c r="AE1133" s="2">
        <f t="shared" ca="1" si="1083"/>
        <v>8020810.1668182882</v>
      </c>
      <c r="AF1133" s="2">
        <f t="shared" ca="1" si="1084"/>
        <v>989010.79637930705</v>
      </c>
      <c r="AG1133" s="2">
        <f t="shared" ca="1" si="1085"/>
        <v>1047233.469339227</v>
      </c>
      <c r="AH1133" s="2">
        <f t="shared" ca="1" si="1086"/>
        <v>1108883.6879427412</v>
      </c>
      <c r="AI1133" s="2">
        <f t="shared" ca="1" si="1087"/>
        <v>1174163.2304412026</v>
      </c>
      <c r="AJ1133" s="2">
        <f t="shared" ca="1" si="1088"/>
        <v>1243285.7536915175</v>
      </c>
      <c r="AK1133" s="2">
        <f t="shared" ca="1" si="1089"/>
        <v>0</v>
      </c>
      <c r="AL1133" s="2">
        <f t="shared" ca="1" si="1090"/>
        <v>29111.336479959937</v>
      </c>
      <c r="AM1133" s="2">
        <f t="shared" ca="1" si="1091"/>
        <v>30825.109301757144</v>
      </c>
      <c r="AN1133" s="2">
        <f t="shared" ca="1" si="1092"/>
        <v>32639.771249230653</v>
      </c>
      <c r="AO1133" s="2">
        <f t="shared" ca="1" si="1093"/>
        <v>34561.261625157444</v>
      </c>
      <c r="AP1133" s="2">
        <f t="shared" ca="1" si="1094"/>
        <v>2228494.7123177662</v>
      </c>
      <c r="AQ1133" s="2">
        <f t="shared" ca="1" si="1095"/>
        <v>789197.34650643263</v>
      </c>
      <c r="AR1133" s="2">
        <f t="shared" ca="1" si="1096"/>
        <v>904875.33746658557</v>
      </c>
      <c r="AS1133" s="2">
        <f t="shared" ca="1" si="1097"/>
        <v>992254.54510973406</v>
      </c>
      <c r="AT1133" s="2">
        <f t="shared" ca="1" si="1098"/>
        <v>1084777.7320185576</v>
      </c>
      <c r="AU1133" s="2">
        <f t="shared" ca="1" si="1099"/>
        <v>1182747.7222103411</v>
      </c>
      <c r="AV1133" s="2">
        <f t="shared" ca="1" si="1100"/>
        <v>2246177.0631336928</v>
      </c>
      <c r="AW1133" s="2">
        <f t="shared" ca="1" si="1101"/>
        <v>2546303.0855403221</v>
      </c>
      <c r="AX1133" s="2">
        <f t="shared" ca="1" si="1102"/>
        <v>2793283.9806259475</v>
      </c>
      <c r="AY1133" s="2">
        <f t="shared" ca="1" si="1103"/>
        <v>3054804.542957433</v>
      </c>
      <c r="AZ1133" s="2">
        <f t="shared" ca="1" si="1104"/>
        <v>3331720.7169735054</v>
      </c>
      <c r="BA1133" s="2">
        <f t="shared" ca="1" si="1105"/>
        <v>57857349.053490527</v>
      </c>
      <c r="BB1133" s="2">
        <f t="shared" ca="1" si="1106"/>
        <v>1157146.9810698105</v>
      </c>
      <c r="BC1133" s="2">
        <f t="shared" ca="1" si="1107"/>
        <v>31939149.713334423</v>
      </c>
      <c r="BD1133" s="2">
        <f t="shared" ca="1" si="1108"/>
        <v>-18039078.754352793</v>
      </c>
      <c r="BE1133" s="2">
        <f t="shared" ca="1" si="1109"/>
        <v>2246177.0631336928</v>
      </c>
      <c r="BF1133" s="2">
        <f t="shared" ca="1" si="1110"/>
        <v>2546303.0855403221</v>
      </c>
      <c r="BG1133" s="2">
        <f t="shared" ca="1" si="1111"/>
        <v>2793283.9806259475</v>
      </c>
      <c r="BH1133" s="2">
        <f t="shared" ca="1" si="1112"/>
        <v>3054804.542957433</v>
      </c>
      <c r="BI1133" s="2">
        <f t="shared" ca="1" si="1113"/>
        <v>35270870.430307925</v>
      </c>
      <c r="BJ1133" s="2">
        <f t="shared" ca="1" si="1114"/>
        <v>0.24361942059457764</v>
      </c>
      <c r="BK1133" s="2">
        <f t="shared" ca="1" si="1115"/>
        <v>9939560.6944835819</v>
      </c>
    </row>
    <row r="1134" spans="1:63" x14ac:dyDescent="0.3">
      <c r="A1134" s="2">
        <v>1133</v>
      </c>
      <c r="B1134" s="2">
        <f t="shared" ca="1" si="1054"/>
        <v>0.63015765145209501</v>
      </c>
      <c r="C1134" s="2">
        <f t="shared" ca="1" si="1055"/>
        <v>7.1399507589121365</v>
      </c>
      <c r="D1134" s="2">
        <f t="shared" ca="1" si="1056"/>
        <v>0.95882022614129248</v>
      </c>
      <c r="E1134" s="2">
        <f t="shared" ca="1" si="1057"/>
        <v>8.2130164678637207</v>
      </c>
      <c r="F1134" s="2">
        <f t="shared" ca="1" si="1058"/>
        <v>0.48123103930075783</v>
      </c>
      <c r="G1134" s="2">
        <f t="shared" ca="1" si="1059"/>
        <v>3.8588074701518774E-2</v>
      </c>
      <c r="H1134" s="2">
        <f t="shared" ca="1" si="1060"/>
        <v>3.8588074701518774E-2</v>
      </c>
      <c r="I1134" s="2">
        <f t="shared" ca="1" si="1061"/>
        <v>0.10875500893804924</v>
      </c>
      <c r="J1134" s="2">
        <f t="shared" ca="1" si="1062"/>
        <v>3.8341187989987214E-3</v>
      </c>
      <c r="K1134" s="2">
        <f t="shared" ca="1" si="1063"/>
        <v>3.8341187989987214E-3</v>
      </c>
      <c r="L1134" s="2">
        <f t="shared" ca="1" si="1064"/>
        <v>0.57797514604841793</v>
      </c>
      <c r="M1134" s="2">
        <f t="shared" ca="1" si="1065"/>
        <v>3.9343220611114437E-3</v>
      </c>
      <c r="N1134" s="2">
        <f t="shared" ca="1" si="1066"/>
        <v>3.9343220611114437E-3</v>
      </c>
      <c r="O1134" s="2">
        <f t="shared" si="1067"/>
        <v>6000000</v>
      </c>
      <c r="P1134" s="2">
        <f t="shared" ca="1" si="1068"/>
        <v>42839704.553472817</v>
      </c>
      <c r="Q1134" s="2">
        <f t="shared" ca="1" si="1069"/>
        <v>1070992.6138368205</v>
      </c>
      <c r="R1134" s="2">
        <f t="shared" ca="1" si="1070"/>
        <v>25703822.732083689</v>
      </c>
      <c r="S1134" s="2">
        <f t="shared" ca="1" si="1071"/>
        <v>17135881.821389128</v>
      </c>
      <c r="T1134" s="2">
        <f t="shared" ca="1" si="1072"/>
        <v>50196716.103055574</v>
      </c>
      <c r="U1134" s="2">
        <f t="shared" ca="1" si="1073"/>
        <v>52133710.733811215</v>
      </c>
      <c r="V1134" s="2">
        <f t="shared" ca="1" si="1074"/>
        <v>54145450.258074895</v>
      </c>
      <c r="W1134" s="2">
        <f t="shared" ca="1" si="1075"/>
        <v>56234818.937380858</v>
      </c>
      <c r="X1134" s="2">
        <f t="shared" ca="1" si="1076"/>
        <v>58404812.331362896</v>
      </c>
      <c r="Y1134" s="2">
        <f t="shared" ca="1" si="1077"/>
        <v>0.12191705939949936</v>
      </c>
      <c r="Z1134" s="2">
        <f t="shared" ca="1" si="1078"/>
        <v>0.1226838831592991</v>
      </c>
      <c r="AA1134" s="2">
        <f t="shared" ca="1" si="1079"/>
        <v>6119836.0187960323</v>
      </c>
      <c r="AB1134" s="2">
        <f t="shared" ca="1" si="1080"/>
        <v>6395966.0763275921</v>
      </c>
      <c r="AC1134" s="2">
        <f t="shared" ca="1" si="1081"/>
        <v>6642774.093069301</v>
      </c>
      <c r="AD1134" s="2">
        <f t="shared" ca="1" si="1082"/>
        <v>6899105.9559979737</v>
      </c>
      <c r="AE1134" s="2">
        <f t="shared" ca="1" si="1083"/>
        <v>7165329.1720017167</v>
      </c>
      <c r="AF1134" s="2">
        <f t="shared" ca="1" si="1084"/>
        <v>1003934.3220611115</v>
      </c>
      <c r="AG1134" s="2">
        <f t="shared" ca="1" si="1085"/>
        <v>1042674.2146762243</v>
      </c>
      <c r="AH1134" s="2">
        <f t="shared" ca="1" si="1086"/>
        <v>1082909.005161498</v>
      </c>
      <c r="AI1134" s="2">
        <f t="shared" ca="1" si="1087"/>
        <v>1124696.3787476171</v>
      </c>
      <c r="AJ1134" s="2">
        <f t="shared" ca="1" si="1088"/>
        <v>1168096.2466272579</v>
      </c>
      <c r="AK1134" s="2">
        <f t="shared" ca="1" si="1089"/>
        <v>0</v>
      </c>
      <c r="AL1134" s="2">
        <f t="shared" ca="1" si="1090"/>
        <v>19369.946307556405</v>
      </c>
      <c r="AM1134" s="2">
        <f t="shared" ca="1" si="1091"/>
        <v>20117.395242636801</v>
      </c>
      <c r="AN1134" s="2">
        <f t="shared" ca="1" si="1092"/>
        <v>20893.686793059631</v>
      </c>
      <c r="AO1134" s="2">
        <f t="shared" ca="1" si="1093"/>
        <v>21699.933939820381</v>
      </c>
      <c r="AP1134" s="2">
        <f t="shared" ca="1" si="1094"/>
        <v>2313344.0458875322</v>
      </c>
      <c r="AQ1134" s="2">
        <f t="shared" ca="1" si="1095"/>
        <v>728664.98922032118</v>
      </c>
      <c r="AR1134" s="2">
        <f t="shared" ca="1" si="1096"/>
        <v>790386.43209859717</v>
      </c>
      <c r="AS1134" s="2">
        <f t="shared" ca="1" si="1097"/>
        <v>844095.47092527046</v>
      </c>
      <c r="AT1134" s="2">
        <f t="shared" ca="1" si="1098"/>
        <v>899877.03815433441</v>
      </c>
      <c r="AU1134" s="2">
        <f t="shared" ca="1" si="1099"/>
        <v>957811.10866660089</v>
      </c>
      <c r="AV1134" s="2">
        <f t="shared" ca="1" si="1100"/>
        <v>2073892.6616270677</v>
      </c>
      <c r="AW1134" s="2">
        <f t="shared" ca="1" si="1101"/>
        <v>2230191.4373576813</v>
      </c>
      <c r="AX1134" s="2">
        <f t="shared" ca="1" si="1102"/>
        <v>2382308.1758523635</v>
      </c>
      <c r="AY1134" s="2">
        <f t="shared" ca="1" si="1103"/>
        <v>2540294.8064154298</v>
      </c>
      <c r="AZ1134" s="2">
        <f t="shared" ca="1" si="1104"/>
        <v>2704377.8368805056</v>
      </c>
      <c r="BA1134" s="2">
        <f t="shared" ca="1" si="1105"/>
        <v>58848966.487314418</v>
      </c>
      <c r="BB1134" s="2">
        <f t="shared" ca="1" si="1106"/>
        <v>1176979.3297462885</v>
      </c>
      <c r="BC1134" s="2">
        <f t="shared" ca="1" si="1107"/>
        <v>31968164.425484441</v>
      </c>
      <c r="BD1134" s="2">
        <f t="shared" ca="1" si="1108"/>
        <v>-18706874.435225949</v>
      </c>
      <c r="BE1134" s="2">
        <f t="shared" ca="1" si="1109"/>
        <v>2073892.6616270677</v>
      </c>
      <c r="BF1134" s="2">
        <f t="shared" ca="1" si="1110"/>
        <v>2230191.4373576813</v>
      </c>
      <c r="BG1134" s="2">
        <f t="shared" ca="1" si="1111"/>
        <v>2382308.1758523635</v>
      </c>
      <c r="BH1134" s="2">
        <f t="shared" ca="1" si="1112"/>
        <v>2540294.8064154298</v>
      </c>
      <c r="BI1134" s="2">
        <f t="shared" ca="1" si="1113"/>
        <v>34672542.262364946</v>
      </c>
      <c r="BJ1134" s="2">
        <f t="shared" ca="1" si="1114"/>
        <v>0.21654071964411203</v>
      </c>
      <c r="BK1134" s="2">
        <f t="shared" ca="1" si="1115"/>
        <v>7906925.2142900452</v>
      </c>
    </row>
    <row r="1135" spans="1:63" x14ac:dyDescent="0.3">
      <c r="A1135" s="2">
        <v>1134</v>
      </c>
      <c r="B1135" s="2">
        <f t="shared" ca="1" si="1054"/>
        <v>0.56292318277857045</v>
      </c>
      <c r="C1135" s="2">
        <f t="shared" ca="1" si="1055"/>
        <v>7.0650381641784197</v>
      </c>
      <c r="D1135" s="2">
        <f t="shared" ca="1" si="1056"/>
        <v>1.7031125479007203E-2</v>
      </c>
      <c r="E1135" s="2">
        <f t="shared" ca="1" si="1057"/>
        <v>6.6845596135616194</v>
      </c>
      <c r="F1135" s="2">
        <f t="shared" ca="1" si="1058"/>
        <v>0.90019635038248225</v>
      </c>
      <c r="G1135" s="2">
        <f t="shared" ca="1" si="1059"/>
        <v>7.8480135546076524E-2</v>
      </c>
      <c r="H1135" s="2">
        <f t="shared" ca="1" si="1060"/>
        <v>7.8480135546076524E-2</v>
      </c>
      <c r="I1135" s="2">
        <f t="shared" ca="1" si="1061"/>
        <v>0.66291222887721257</v>
      </c>
      <c r="J1135" s="2">
        <f t="shared" ca="1" si="1062"/>
        <v>1.2102121343736161E-2</v>
      </c>
      <c r="K1135" s="2">
        <f t="shared" ca="1" si="1063"/>
        <v>1.2102121343736161E-2</v>
      </c>
      <c r="L1135" s="2">
        <f t="shared" ca="1" si="1064"/>
        <v>0.12091075893938852</v>
      </c>
      <c r="M1135" s="2">
        <f t="shared" ca="1" si="1065"/>
        <v>-2.3408920761266341E-2</v>
      </c>
      <c r="N1135" s="2">
        <f t="shared" ca="1" si="1066"/>
        <v>-2.3408920761266341E-2</v>
      </c>
      <c r="O1135" s="2">
        <f t="shared" si="1067"/>
        <v>6000000</v>
      </c>
      <c r="P1135" s="2">
        <f t="shared" ca="1" si="1068"/>
        <v>42390228.985070519</v>
      </c>
      <c r="Q1135" s="2">
        <f t="shared" ca="1" si="1069"/>
        <v>1059755.724626763</v>
      </c>
      <c r="R1135" s="2">
        <f t="shared" ca="1" si="1070"/>
        <v>25434137.391042311</v>
      </c>
      <c r="S1135" s="2">
        <f t="shared" ca="1" si="1071"/>
        <v>16956091.594028208</v>
      </c>
      <c r="T1135" s="2">
        <f t="shared" ca="1" si="1072"/>
        <v>48829553.961936682</v>
      </c>
      <c r="U1135" s="2">
        <f t="shared" ca="1" si="1073"/>
        <v>52661703.975523926</v>
      </c>
      <c r="V1135" s="2">
        <f t="shared" ca="1" si="1074"/>
        <v>56794601.641610399</v>
      </c>
      <c r="W1135" s="2">
        <f t="shared" ca="1" si="1075"/>
        <v>61251849.676729403</v>
      </c>
      <c r="X1135" s="2">
        <f t="shared" ca="1" si="1076"/>
        <v>66058903.141807027</v>
      </c>
      <c r="Y1135" s="2">
        <f t="shared" ca="1" si="1077"/>
        <v>0.12605106067186808</v>
      </c>
      <c r="Z1135" s="2">
        <f t="shared" ca="1" si="1078"/>
        <v>0.1284714849406153</v>
      </c>
      <c r="AA1135" s="2">
        <f t="shared" ca="1" si="1079"/>
        <v>6155017.0690363375</v>
      </c>
      <c r="AB1135" s="2">
        <f t="shared" ca="1" si="1080"/>
        <v>6765527.3092386629</v>
      </c>
      <c r="AC1135" s="2">
        <f t="shared" ca="1" si="1081"/>
        <v>7296486.8095083954</v>
      </c>
      <c r="AD1135" s="2">
        <f t="shared" ca="1" si="1082"/>
        <v>7869116.0833287742</v>
      </c>
      <c r="AE1135" s="2">
        <f t="shared" ca="1" si="1083"/>
        <v>8486685.3801762257</v>
      </c>
      <c r="AF1135" s="2">
        <f t="shared" ca="1" si="1084"/>
        <v>976591.07923873363</v>
      </c>
      <c r="AG1135" s="2">
        <f t="shared" ca="1" si="1085"/>
        <v>1053234.0795104785</v>
      </c>
      <c r="AH1135" s="2">
        <f t="shared" ca="1" si="1086"/>
        <v>1135892.0328322081</v>
      </c>
      <c r="AI1135" s="2">
        <f t="shared" ca="1" si="1087"/>
        <v>1225036.993534588</v>
      </c>
      <c r="AJ1135" s="2">
        <f t="shared" ca="1" si="1088"/>
        <v>1321178.0628361406</v>
      </c>
      <c r="AK1135" s="2">
        <f t="shared" ca="1" si="1089"/>
        <v>0</v>
      </c>
      <c r="AL1135" s="2">
        <f t="shared" ca="1" si="1090"/>
        <v>38321.50013587244</v>
      </c>
      <c r="AM1135" s="2">
        <f t="shared" ca="1" si="1091"/>
        <v>41328.976660864726</v>
      </c>
      <c r="AN1135" s="2">
        <f t="shared" ca="1" si="1092"/>
        <v>44572.480351190046</v>
      </c>
      <c r="AO1135" s="2">
        <f t="shared" ca="1" si="1093"/>
        <v>48070.534650776237</v>
      </c>
      <c r="AP1135" s="2">
        <f t="shared" ca="1" si="1094"/>
        <v>2289072.365193808</v>
      </c>
      <c r="AQ1135" s="2">
        <f t="shared" ca="1" si="1095"/>
        <v>751231.94239698711</v>
      </c>
      <c r="AR1135" s="2">
        <f t="shared" ca="1" si="1096"/>
        <v>890037.42477893794</v>
      </c>
      <c r="AS1135" s="2">
        <f t="shared" ca="1" si="1097"/>
        <v>1006595.8269854187</v>
      </c>
      <c r="AT1135" s="2">
        <f t="shared" ca="1" si="1098"/>
        <v>1132301.7483960984</v>
      </c>
      <c r="AU1135" s="2">
        <f t="shared" ca="1" si="1099"/>
        <v>1267873.087558032</v>
      </c>
      <c r="AV1135" s="2">
        <f t="shared" ca="1" si="1100"/>
        <v>2138121.6822068091</v>
      </c>
      <c r="AW1135" s="2">
        <f t="shared" ca="1" si="1101"/>
        <v>2494861.9396195658</v>
      </c>
      <c r="AX1135" s="2">
        <f t="shared" ca="1" si="1102"/>
        <v>2823597.6078360961</v>
      </c>
      <c r="AY1135" s="2">
        <f t="shared" ca="1" si="1103"/>
        <v>3178132.4958530893</v>
      </c>
      <c r="AZ1135" s="2">
        <f t="shared" ca="1" si="1104"/>
        <v>3560491.3299374687</v>
      </c>
      <c r="BA1135" s="2">
        <f t="shared" ca="1" si="1105"/>
        <v>56729754.345329836</v>
      </c>
      <c r="BB1135" s="2">
        <f t="shared" ca="1" si="1106"/>
        <v>1134595.0869065968</v>
      </c>
      <c r="BC1135" s="2">
        <f t="shared" ca="1" si="1107"/>
        <v>30161021.867380928</v>
      </c>
      <c r="BD1135" s="2">
        <f t="shared" ca="1" si="1108"/>
        <v>-18515847.318654973</v>
      </c>
      <c r="BE1135" s="2">
        <f t="shared" ca="1" si="1109"/>
        <v>2138121.6822068091</v>
      </c>
      <c r="BF1135" s="2">
        <f t="shared" ca="1" si="1110"/>
        <v>2494861.9396195658</v>
      </c>
      <c r="BG1135" s="2">
        <f t="shared" ca="1" si="1111"/>
        <v>2823597.6078360961</v>
      </c>
      <c r="BH1135" s="2">
        <f t="shared" ca="1" si="1112"/>
        <v>3178132.4958530893</v>
      </c>
      <c r="BI1135" s="2">
        <f t="shared" ca="1" si="1113"/>
        <v>33721513.197318397</v>
      </c>
      <c r="BJ1135" s="2">
        <f t="shared" ca="1" si="1114"/>
        <v>0.22602505332116629</v>
      </c>
      <c r="BK1135" s="2">
        <f t="shared" ca="1" si="1115"/>
        <v>8546112.4265399426</v>
      </c>
    </row>
    <row r="1136" spans="1:63" x14ac:dyDescent="0.3">
      <c r="A1136" s="2">
        <v>1135</v>
      </c>
      <c r="B1136" s="2">
        <f t="shared" ca="1" si="1054"/>
        <v>0.44206686090178693</v>
      </c>
      <c r="C1136" s="2">
        <f t="shared" ca="1" si="1055"/>
        <v>6.9402838517190295</v>
      </c>
      <c r="D1136" s="2">
        <f t="shared" ca="1" si="1056"/>
        <v>0.32704363025836702</v>
      </c>
      <c r="E1136" s="2">
        <f t="shared" ca="1" si="1057"/>
        <v>7.3087566138936575</v>
      </c>
      <c r="F1136" s="2">
        <f t="shared" ca="1" si="1058"/>
        <v>6.7589640028617004E-2</v>
      </c>
      <c r="G1136" s="2">
        <f t="shared" ca="1" si="1059"/>
        <v>-4.8195798244177954E-3</v>
      </c>
      <c r="H1136" s="2">
        <f t="shared" ca="1" si="1060"/>
        <v>-4.8195798244177954E-3</v>
      </c>
      <c r="I1136" s="2">
        <f t="shared" ca="1" si="1061"/>
        <v>5.0892125686747058E-2</v>
      </c>
      <c r="J1136" s="2">
        <f t="shared" ca="1" si="1062"/>
        <v>1.8186777135254847E-3</v>
      </c>
      <c r="K1136" s="2">
        <f t="shared" ca="1" si="1063"/>
        <v>1.8186777135254847E-3</v>
      </c>
      <c r="L1136" s="2">
        <f t="shared" ca="1" si="1064"/>
        <v>0.68430858250252513</v>
      </c>
      <c r="M1136" s="2">
        <f t="shared" ca="1" si="1065"/>
        <v>9.5956281409834993E-3</v>
      </c>
      <c r="N1136" s="2">
        <f t="shared" ca="1" si="1066"/>
        <v>9.5956281409834993E-3</v>
      </c>
      <c r="O1136" s="2">
        <f t="shared" si="1067"/>
        <v>6000000</v>
      </c>
      <c r="P1136" s="2">
        <f t="shared" ca="1" si="1068"/>
        <v>41641703.110314175</v>
      </c>
      <c r="Q1136" s="2">
        <f t="shared" ca="1" si="1069"/>
        <v>1041042.5777578545</v>
      </c>
      <c r="R1136" s="2">
        <f t="shared" ca="1" si="1070"/>
        <v>24985021.866188504</v>
      </c>
      <c r="S1136" s="2">
        <f t="shared" ca="1" si="1071"/>
        <v>16656681.244125672</v>
      </c>
      <c r="T1136" s="2">
        <f t="shared" ca="1" si="1072"/>
        <v>50479781.407049172</v>
      </c>
      <c r="U1136" s="2">
        <f t="shared" ca="1" si="1073"/>
        <v>50236490.071038738</v>
      </c>
      <c r="V1136" s="2">
        <f t="shared" ca="1" si="1074"/>
        <v>49994371.297042795</v>
      </c>
      <c r="W1136" s="2">
        <f t="shared" ca="1" si="1075"/>
        <v>49753419.433805116</v>
      </c>
      <c r="X1136" s="2">
        <f t="shared" ca="1" si="1076"/>
        <v>49513628.857306153</v>
      </c>
      <c r="Y1136" s="2">
        <f t="shared" ca="1" si="1077"/>
        <v>0.12090933885676274</v>
      </c>
      <c r="Z1136" s="2">
        <f t="shared" ca="1" si="1078"/>
        <v>0.12127307439946783</v>
      </c>
      <c r="AA1136" s="2">
        <f t="shared" ca="1" si="1079"/>
        <v>6103476.9955602195</v>
      </c>
      <c r="AB1136" s="2">
        <f t="shared" ca="1" si="1080"/>
        <v>6092333.5979532078</v>
      </c>
      <c r="AC1136" s="2">
        <f t="shared" ca="1" si="1081"/>
        <v>6062971.1098608896</v>
      </c>
      <c r="AD1136" s="2">
        <f t="shared" ca="1" si="1082"/>
        <v>6033750.1366237765</v>
      </c>
      <c r="AE1136" s="2">
        <f t="shared" ca="1" si="1083"/>
        <v>6004669.9961997261</v>
      </c>
      <c r="AF1136" s="2">
        <f t="shared" ca="1" si="1084"/>
        <v>1009595.6281409834</v>
      </c>
      <c r="AG1136" s="2">
        <f t="shared" ca="1" si="1085"/>
        <v>1004729.8014207748</v>
      </c>
      <c r="AH1136" s="2">
        <f t="shared" ca="1" si="1086"/>
        <v>999887.42594085587</v>
      </c>
      <c r="AI1136" s="2">
        <f t="shared" ca="1" si="1087"/>
        <v>995068.38867610227</v>
      </c>
      <c r="AJ1136" s="2">
        <f t="shared" ca="1" si="1088"/>
        <v>990272.57714612305</v>
      </c>
      <c r="AK1136" s="2">
        <f t="shared" ca="1" si="1089"/>
        <v>0</v>
      </c>
      <c r="AL1136" s="2">
        <f t="shared" ca="1" si="1090"/>
        <v>0</v>
      </c>
      <c r="AM1136" s="2">
        <f t="shared" ca="1" si="1091"/>
        <v>0</v>
      </c>
      <c r="AN1136" s="2">
        <f t="shared" ca="1" si="1092"/>
        <v>0</v>
      </c>
      <c r="AO1136" s="2">
        <f t="shared" ca="1" si="1093"/>
        <v>0</v>
      </c>
      <c r="AP1136" s="2">
        <f t="shared" ca="1" si="1094"/>
        <v>2248651.9679569653</v>
      </c>
      <c r="AQ1136" s="2">
        <f t="shared" ca="1" si="1095"/>
        <v>739759.64386019052</v>
      </c>
      <c r="AR1136" s="2">
        <f t="shared" ca="1" si="1096"/>
        <v>738127.47542962176</v>
      </c>
      <c r="AS1136" s="2">
        <f t="shared" ca="1" si="1097"/>
        <v>731752.2461503977</v>
      </c>
      <c r="AT1136" s="2">
        <f t="shared" ca="1" si="1098"/>
        <v>725407.74279758439</v>
      </c>
      <c r="AU1136" s="2">
        <f t="shared" ca="1" si="1099"/>
        <v>719093.81728512584</v>
      </c>
      <c r="AV1136" s="2">
        <f t="shared" ca="1" si="1100"/>
        <v>2105469.7556020808</v>
      </c>
      <c r="AW1136" s="2">
        <f t="shared" ca="1" si="1101"/>
        <v>2100824.3531458466</v>
      </c>
      <c r="AX1136" s="2">
        <f t="shared" ca="1" si="1102"/>
        <v>2082679.4698126703</v>
      </c>
      <c r="AY1136" s="2">
        <f t="shared" ca="1" si="1103"/>
        <v>2064622.0371931246</v>
      </c>
      <c r="AZ1136" s="2">
        <f t="shared" ca="1" si="1104"/>
        <v>2046651.6338115116</v>
      </c>
      <c r="BA1136" s="2">
        <f t="shared" ca="1" si="1105"/>
        <v>43886671.548973553</v>
      </c>
      <c r="BB1136" s="2">
        <f t="shared" ca="1" si="1106"/>
        <v>877733.43097947107</v>
      </c>
      <c r="BC1136" s="2">
        <f t="shared" ca="1" si="1107"/>
        <v>18023916.251805577</v>
      </c>
      <c r="BD1136" s="2">
        <f t="shared" ca="1" si="1108"/>
        <v>-18197723.821883526</v>
      </c>
      <c r="BE1136" s="2">
        <f t="shared" ca="1" si="1109"/>
        <v>2105469.7556020808</v>
      </c>
      <c r="BF1136" s="2">
        <f t="shared" ca="1" si="1110"/>
        <v>2100824.3531458466</v>
      </c>
      <c r="BG1136" s="2">
        <f t="shared" ca="1" si="1111"/>
        <v>2082679.4698126703</v>
      </c>
      <c r="BH1136" s="2">
        <f t="shared" ca="1" si="1112"/>
        <v>2064622.0371931246</v>
      </c>
      <c r="BI1136" s="2">
        <f t="shared" ca="1" si="1113"/>
        <v>20070567.885617089</v>
      </c>
      <c r="BJ1136" s="2">
        <f t="shared" ca="1" si="1114"/>
        <v>0.11295645518513919</v>
      </c>
      <c r="BK1136" s="2">
        <f t="shared" ca="1" si="1115"/>
        <v>-459981.83271576837</v>
      </c>
    </row>
    <row r="1137" spans="1:63" x14ac:dyDescent="0.3">
      <c r="A1137" s="2">
        <v>1136</v>
      </c>
      <c r="B1137" s="2">
        <f t="shared" ca="1" si="1054"/>
        <v>0.69939680919317693</v>
      </c>
      <c r="C1137" s="2">
        <f t="shared" ca="1" si="1055"/>
        <v>7.2246250058109647</v>
      </c>
      <c r="D1137" s="2">
        <f t="shared" ca="1" si="1056"/>
        <v>0.23896500765072104</v>
      </c>
      <c r="E1137" s="2">
        <f t="shared" ca="1" si="1057"/>
        <v>7.1913248261862455</v>
      </c>
      <c r="F1137" s="2">
        <f t="shared" ca="1" si="1058"/>
        <v>0.2352488074402499</v>
      </c>
      <c r="G1137" s="2">
        <f t="shared" ca="1" si="1059"/>
        <v>1.8349910934061141E-2</v>
      </c>
      <c r="H1137" s="2">
        <f t="shared" ca="1" si="1060"/>
        <v>1.8349910934061141E-2</v>
      </c>
      <c r="I1137" s="2">
        <f t="shared" ca="1" si="1061"/>
        <v>0.14306111839741975</v>
      </c>
      <c r="J1137" s="2">
        <f t="shared" ca="1" si="1062"/>
        <v>4.6666650329737058E-3</v>
      </c>
      <c r="K1137" s="2">
        <f t="shared" ca="1" si="1063"/>
        <v>4.6666650329737058E-3</v>
      </c>
      <c r="L1137" s="2">
        <f t="shared" ca="1" si="1064"/>
        <v>0.67864006219379203</v>
      </c>
      <c r="M1137" s="2">
        <f t="shared" ca="1" si="1065"/>
        <v>9.2779865236087417E-3</v>
      </c>
      <c r="N1137" s="2">
        <f t="shared" ca="1" si="1066"/>
        <v>9.2779865236087417E-3</v>
      </c>
      <c r="O1137" s="2">
        <f t="shared" si="1067"/>
        <v>6000000</v>
      </c>
      <c r="P1137" s="2">
        <f t="shared" ca="1" si="1068"/>
        <v>43347750.034865789</v>
      </c>
      <c r="Q1137" s="2">
        <f t="shared" ca="1" si="1069"/>
        <v>1083693.7508716448</v>
      </c>
      <c r="R1137" s="2">
        <f t="shared" ca="1" si="1070"/>
        <v>26008650.020919472</v>
      </c>
      <c r="S1137" s="2">
        <f t="shared" ca="1" si="1071"/>
        <v>17339100.013946317</v>
      </c>
      <c r="T1137" s="2">
        <f t="shared" ca="1" si="1072"/>
        <v>50463899.326180436</v>
      </c>
      <c r="U1137" s="2">
        <f t="shared" ca="1" si="1073"/>
        <v>51389907.384201281</v>
      </c>
      <c r="V1137" s="2">
        <f t="shared" ca="1" si="1074"/>
        <v>52332907.60761103</v>
      </c>
      <c r="W1137" s="2">
        <f t="shared" ca="1" si="1075"/>
        <v>53293211.801131152</v>
      </c>
      <c r="X1137" s="2">
        <f t="shared" ca="1" si="1076"/>
        <v>54271137.491071969</v>
      </c>
      <c r="Y1137" s="2">
        <f t="shared" ca="1" si="1077"/>
        <v>0.12233333251648684</v>
      </c>
      <c r="Z1137" s="2">
        <f t="shared" ca="1" si="1078"/>
        <v>0.12326666552308159</v>
      </c>
      <c r="AA1137" s="2">
        <f t="shared" ca="1" si="1079"/>
        <v>6173416.9763481477</v>
      </c>
      <c r="AB1137" s="2">
        <f t="shared" ca="1" si="1080"/>
        <v>6334662.5247904798</v>
      </c>
      <c r="AC1137" s="2">
        <f t="shared" ca="1" si="1081"/>
        <v>6450903.0179177206</v>
      </c>
      <c r="AD1137" s="2">
        <f t="shared" ca="1" si="1082"/>
        <v>6569276.513740778</v>
      </c>
      <c r="AE1137" s="2">
        <f t="shared" ca="1" si="1083"/>
        <v>6689822.152669142</v>
      </c>
      <c r="AF1137" s="2">
        <f t="shared" ca="1" si="1084"/>
        <v>1009277.9865236088</v>
      </c>
      <c r="AG1137" s="2">
        <f t="shared" ca="1" si="1085"/>
        <v>1027798.1476840257</v>
      </c>
      <c r="AH1137" s="2">
        <f t="shared" ca="1" si="1086"/>
        <v>1046658.1521522206</v>
      </c>
      <c r="AI1137" s="2">
        <f t="shared" ca="1" si="1087"/>
        <v>1065864.236022623</v>
      </c>
      <c r="AJ1137" s="2">
        <f t="shared" ca="1" si="1088"/>
        <v>1085422.7498214394</v>
      </c>
      <c r="AK1137" s="2">
        <f t="shared" ca="1" si="1089"/>
        <v>0</v>
      </c>
      <c r="AL1137" s="2">
        <f t="shared" ca="1" si="1090"/>
        <v>9260.0805802084506</v>
      </c>
      <c r="AM1137" s="2">
        <f t="shared" ca="1" si="1091"/>
        <v>9430.0022340974956</v>
      </c>
      <c r="AN1137" s="2">
        <f t="shared" ca="1" si="1092"/>
        <v>9603.0419352012123</v>
      </c>
      <c r="AO1137" s="2">
        <f t="shared" ca="1" si="1093"/>
        <v>9779.2568994081776</v>
      </c>
      <c r="AP1137" s="2">
        <f t="shared" ca="1" si="1094"/>
        <v>2340778.5018827524</v>
      </c>
      <c r="AQ1137" s="2">
        <f t="shared" ca="1" si="1095"/>
        <v>734073.72686486458</v>
      </c>
      <c r="AR1137" s="2">
        <f t="shared" ca="1" si="1096"/>
        <v>771182.32755816251</v>
      </c>
      <c r="AS1137" s="2">
        <f t="shared" ca="1" si="1097"/>
        <v>796501.25460951438</v>
      </c>
      <c r="AT1137" s="2">
        <f t="shared" ca="1" si="1098"/>
        <v>822284.78171720461</v>
      </c>
      <c r="AU1137" s="2">
        <f t="shared" ca="1" si="1099"/>
        <v>848541.43425088713</v>
      </c>
      <c r="AV1137" s="2">
        <f t="shared" ca="1" si="1100"/>
        <v>2089286.7610769216</v>
      </c>
      <c r="AW1137" s="2">
        <f t="shared" ca="1" si="1101"/>
        <v>2185643.4670853307</v>
      </c>
      <c r="AX1137" s="2">
        <f t="shared" ca="1" si="1102"/>
        <v>2257535.1070391359</v>
      </c>
      <c r="AY1137" s="2">
        <f t="shared" ca="1" si="1103"/>
        <v>2330745.952182997</v>
      </c>
      <c r="AZ1137" s="2">
        <f t="shared" ca="1" si="1104"/>
        <v>2405300.2098146547</v>
      </c>
      <c r="BA1137" s="2">
        <f t="shared" ca="1" si="1105"/>
        <v>48108684.129260309</v>
      </c>
      <c r="BB1137" s="2">
        <f t="shared" ca="1" si="1106"/>
        <v>962173.68258520623</v>
      </c>
      <c r="BC1137" s="2">
        <f t="shared" ca="1" si="1107"/>
        <v>21137860.425755631</v>
      </c>
      <c r="BD1137" s="2">
        <f t="shared" ca="1" si="1108"/>
        <v>-18922793.764817961</v>
      </c>
      <c r="BE1137" s="2">
        <f t="shared" ca="1" si="1109"/>
        <v>2089286.7610769216</v>
      </c>
      <c r="BF1137" s="2">
        <f t="shared" ca="1" si="1110"/>
        <v>2185643.4670853307</v>
      </c>
      <c r="BG1137" s="2">
        <f t="shared" ca="1" si="1111"/>
        <v>2257535.1070391359</v>
      </c>
      <c r="BH1137" s="2">
        <f t="shared" ca="1" si="1112"/>
        <v>2330745.952182997</v>
      </c>
      <c r="BI1137" s="2">
        <f t="shared" ca="1" si="1113"/>
        <v>23543160.635570288</v>
      </c>
      <c r="BJ1137" s="2">
        <f t="shared" ca="1" si="1114"/>
        <v>0.13590994315644545</v>
      </c>
      <c r="BK1137" s="2">
        <f t="shared" ca="1" si="1115"/>
        <v>1132144.1335927546</v>
      </c>
    </row>
    <row r="1138" spans="1:63" x14ac:dyDescent="0.3">
      <c r="A1138" s="2">
        <v>1137</v>
      </c>
      <c r="B1138" s="2">
        <f t="shared" ca="1" si="1054"/>
        <v>0.86680799691963895</v>
      </c>
      <c r="C1138" s="2">
        <f t="shared" ca="1" si="1055"/>
        <v>7.4838759779270854</v>
      </c>
      <c r="D1138" s="2">
        <f t="shared" ca="1" si="1056"/>
        <v>0.26949997685023241</v>
      </c>
      <c r="E1138" s="2">
        <f t="shared" ca="1" si="1057"/>
        <v>7.2341661621870523</v>
      </c>
      <c r="F1138" s="2">
        <f t="shared" ca="1" si="1058"/>
        <v>0.56669721742698942</v>
      </c>
      <c r="G1138" s="2">
        <f t="shared" ca="1" si="1059"/>
        <v>4.5039150149842722E-2</v>
      </c>
      <c r="H1138" s="2">
        <f t="shared" ca="1" si="1060"/>
        <v>4.5039150149842722E-2</v>
      </c>
      <c r="I1138" s="2">
        <f t="shared" ca="1" si="1061"/>
        <v>0.73334350703701712</v>
      </c>
      <c r="J1138" s="2">
        <f t="shared" ca="1" si="1062"/>
        <v>1.3114783427920603E-2</v>
      </c>
      <c r="K1138" s="2">
        <f t="shared" ca="1" si="1063"/>
        <v>1.3114783427920603E-2</v>
      </c>
      <c r="L1138" s="2">
        <f t="shared" ca="1" si="1064"/>
        <v>0.72369632250174887</v>
      </c>
      <c r="M1138" s="2">
        <f t="shared" ca="1" si="1065"/>
        <v>1.1877152147180742E-2</v>
      </c>
      <c r="N1138" s="2">
        <f t="shared" ca="1" si="1066"/>
        <v>1.1877152147180742E-2</v>
      </c>
      <c r="O1138" s="2">
        <f t="shared" si="1067"/>
        <v>6000000</v>
      </c>
      <c r="P1138" s="2">
        <f t="shared" ca="1" si="1068"/>
        <v>44903255.86756251</v>
      </c>
      <c r="Q1138" s="2">
        <f t="shared" ca="1" si="1069"/>
        <v>1122581.3966890627</v>
      </c>
      <c r="R1138" s="2">
        <f t="shared" ca="1" si="1070"/>
        <v>26941953.520537507</v>
      </c>
      <c r="S1138" s="2">
        <f t="shared" ca="1" si="1071"/>
        <v>17961302.347025003</v>
      </c>
      <c r="T1138" s="2">
        <f t="shared" ca="1" si="1072"/>
        <v>50593857.607359037</v>
      </c>
      <c r="U1138" s="2">
        <f t="shared" ca="1" si="1073"/>
        <v>52872561.956796646</v>
      </c>
      <c r="V1138" s="2">
        <f t="shared" ca="1" si="1074"/>
        <v>55253897.213575676</v>
      </c>
      <c r="W1138" s="2">
        <f t="shared" ca="1" si="1075"/>
        <v>57742485.786541894</v>
      </c>
      <c r="X1138" s="2">
        <f t="shared" ca="1" si="1076"/>
        <v>60343158.273907118</v>
      </c>
      <c r="Y1138" s="2">
        <f t="shared" ca="1" si="1077"/>
        <v>0.1265573917139603</v>
      </c>
      <c r="Z1138" s="2">
        <f t="shared" ca="1" si="1078"/>
        <v>0.12918034839954443</v>
      </c>
      <c r="AA1138" s="2">
        <f t="shared" ca="1" si="1079"/>
        <v>6403026.6555348681</v>
      </c>
      <c r="AB1138" s="2">
        <f t="shared" ca="1" si="1080"/>
        <v>6830095.974355489</v>
      </c>
      <c r="AC1138" s="2">
        <f t="shared" ca="1" si="1081"/>
        <v>7137717.6924823225</v>
      </c>
      <c r="AD1138" s="2">
        <f t="shared" ca="1" si="1082"/>
        <v>7459194.4313612236</v>
      </c>
      <c r="AE1138" s="2">
        <f t="shared" ca="1" si="1083"/>
        <v>7795150.2093521729</v>
      </c>
      <c r="AF1138" s="2">
        <f t="shared" ca="1" si="1084"/>
        <v>1011877.1521471808</v>
      </c>
      <c r="AG1138" s="2">
        <f t="shared" ca="1" si="1085"/>
        <v>1057451.2391359329</v>
      </c>
      <c r="AH1138" s="2">
        <f t="shared" ca="1" si="1086"/>
        <v>1105077.9442715135</v>
      </c>
      <c r="AI1138" s="2">
        <f t="shared" ca="1" si="1087"/>
        <v>1154849.715730838</v>
      </c>
      <c r="AJ1138" s="2">
        <f t="shared" ca="1" si="1088"/>
        <v>1206863.1654781424</v>
      </c>
      <c r="AK1138" s="2">
        <f t="shared" ca="1" si="1089"/>
        <v>0</v>
      </c>
      <c r="AL1138" s="2">
        <f t="shared" ca="1" si="1090"/>
        <v>22787.043494376092</v>
      </c>
      <c r="AM1138" s="2">
        <f t="shared" ca="1" si="1091"/>
        <v>23813.352567790302</v>
      </c>
      <c r="AN1138" s="2">
        <f t="shared" ca="1" si="1092"/>
        <v>24885.885729662179</v>
      </c>
      <c r="AO1138" s="2">
        <f t="shared" ca="1" si="1093"/>
        <v>26006.724873652234</v>
      </c>
      <c r="AP1138" s="2">
        <f t="shared" ca="1" si="1094"/>
        <v>2424775.8168483754</v>
      </c>
      <c r="AQ1138" s="2">
        <f t="shared" ca="1" si="1095"/>
        <v>771257.15850022121</v>
      </c>
      <c r="AR1138" s="2">
        <f t="shared" ca="1" si="1096"/>
        <v>870445.91877650702</v>
      </c>
      <c r="AS1138" s="2">
        <f t="shared" ca="1" si="1097"/>
        <v>938044.62215423281</v>
      </c>
      <c r="AT1138" s="2">
        <f t="shared" ca="1" si="1098"/>
        <v>1008687.9136833228</v>
      </c>
      <c r="AU1138" s="2">
        <f t="shared" ca="1" si="1099"/>
        <v>1082512.9190266705</v>
      </c>
      <c r="AV1138" s="2">
        <f t="shared" ca="1" si="1100"/>
        <v>2195116.5280390908</v>
      </c>
      <c r="AW1138" s="2">
        <f t="shared" ca="1" si="1101"/>
        <v>2454635.9561002976</v>
      </c>
      <c r="AX1138" s="2">
        <f t="shared" ca="1" si="1102"/>
        <v>2646005.9566404107</v>
      </c>
      <c r="AY1138" s="2">
        <f t="shared" ca="1" si="1103"/>
        <v>2845995.0993690253</v>
      </c>
      <c r="AZ1138" s="2">
        <f t="shared" ca="1" si="1104"/>
        <v>3054991.5831253319</v>
      </c>
      <c r="BA1138" s="2">
        <f t="shared" ca="1" si="1105"/>
        <v>56391411.873660803</v>
      </c>
      <c r="BB1138" s="2">
        <f t="shared" ca="1" si="1106"/>
        <v>1127828.2374732161</v>
      </c>
      <c r="BC1138" s="2">
        <f t="shared" ca="1" si="1107"/>
        <v>28321630.11565008</v>
      </c>
      <c r="BD1138" s="2">
        <f t="shared" ca="1" si="1108"/>
        <v>-19583883.743714064</v>
      </c>
      <c r="BE1138" s="2">
        <f t="shared" ca="1" si="1109"/>
        <v>2195116.5280390908</v>
      </c>
      <c r="BF1138" s="2">
        <f t="shared" ca="1" si="1110"/>
        <v>2454635.9561002976</v>
      </c>
      <c r="BG1138" s="2">
        <f t="shared" ca="1" si="1111"/>
        <v>2646005.9566404107</v>
      </c>
      <c r="BH1138" s="2">
        <f t="shared" ca="1" si="1112"/>
        <v>2845995.0993690253</v>
      </c>
      <c r="BI1138" s="2">
        <f t="shared" ca="1" si="1113"/>
        <v>31376621.698775411</v>
      </c>
      <c r="BJ1138" s="2">
        <f t="shared" ca="1" si="1114"/>
        <v>0.19193570256281389</v>
      </c>
      <c r="BK1138" s="2">
        <f t="shared" ca="1" si="1115"/>
        <v>5828856.389411103</v>
      </c>
    </row>
    <row r="1139" spans="1:63" x14ac:dyDescent="0.3">
      <c r="A1139" s="2">
        <v>1138</v>
      </c>
      <c r="B1139" s="2">
        <f t="shared" ca="1" si="1054"/>
        <v>0.45718451716659614</v>
      </c>
      <c r="C1139" s="2">
        <f t="shared" ca="1" si="1055"/>
        <v>6.9562264555706417</v>
      </c>
      <c r="D1139" s="2">
        <f t="shared" ca="1" si="1056"/>
        <v>0.84344212759314774</v>
      </c>
      <c r="E1139" s="2">
        <f t="shared" ca="1" si="1057"/>
        <v>7.9404325377457114</v>
      </c>
      <c r="F1139" s="2">
        <f t="shared" ca="1" si="1058"/>
        <v>0.7688626424192847</v>
      </c>
      <c r="G1139" s="2">
        <f t="shared" ca="1" si="1059"/>
        <v>6.2053191100704334E-2</v>
      </c>
      <c r="H1139" s="2">
        <f t="shared" ca="1" si="1060"/>
        <v>6.2053191100704334E-2</v>
      </c>
      <c r="I1139" s="2">
        <f t="shared" ca="1" si="1061"/>
        <v>0.71666312564834311</v>
      </c>
      <c r="J1139" s="2">
        <f t="shared" ca="1" si="1062"/>
        <v>1.2864785445754765E-2</v>
      </c>
      <c r="K1139" s="2">
        <f t="shared" ca="1" si="1063"/>
        <v>1.2864785445754765E-2</v>
      </c>
      <c r="L1139" s="2">
        <f t="shared" ca="1" si="1064"/>
        <v>2.6902171130743779E-2</v>
      </c>
      <c r="M1139" s="2">
        <f t="shared" ca="1" si="1065"/>
        <v>-3.8568168895774302E-2</v>
      </c>
      <c r="N1139" s="2">
        <f t="shared" ca="1" si="1066"/>
        <v>-3.8568168895774302E-2</v>
      </c>
      <c r="O1139" s="2">
        <f t="shared" si="1067"/>
        <v>6000000</v>
      </c>
      <c r="P1139" s="2">
        <f t="shared" ca="1" si="1068"/>
        <v>41737358.733423851</v>
      </c>
      <c r="Q1139" s="2">
        <f t="shared" ca="1" si="1069"/>
        <v>1043433.9683355964</v>
      </c>
      <c r="R1139" s="2">
        <f t="shared" ca="1" si="1070"/>
        <v>25042415.240054309</v>
      </c>
      <c r="S1139" s="2">
        <f t="shared" ca="1" si="1071"/>
        <v>16694943.493369542</v>
      </c>
      <c r="T1139" s="2">
        <f t="shared" ca="1" si="1072"/>
        <v>48071591.555211283</v>
      </c>
      <c r="U1139" s="2">
        <f t="shared" ca="1" si="1073"/>
        <v>51054587.212501809</v>
      </c>
      <c r="V1139" s="2">
        <f t="shared" ca="1" si="1074"/>
        <v>54222687.269366756</v>
      </c>
      <c r="W1139" s="2">
        <f t="shared" ca="1" si="1075"/>
        <v>57587378.0444865</v>
      </c>
      <c r="X1139" s="2">
        <f t="shared" ca="1" si="1076"/>
        <v>61160858.61926952</v>
      </c>
      <c r="Y1139" s="2">
        <f t="shared" ca="1" si="1077"/>
        <v>0.12643239272287737</v>
      </c>
      <c r="Z1139" s="2">
        <f t="shared" ca="1" si="1078"/>
        <v>0.12900534981202832</v>
      </c>
      <c r="AA1139" s="2">
        <f t="shared" ca="1" si="1079"/>
        <v>6077806.3423222285</v>
      </c>
      <c r="AB1139" s="2">
        <f t="shared" ca="1" si="1080"/>
        <v>6586314.8828575043</v>
      </c>
      <c r="AC1139" s="2">
        <f t="shared" ca="1" si="1081"/>
        <v>6995016.7389328731</v>
      </c>
      <c r="AD1139" s="2">
        <f t="shared" ca="1" si="1082"/>
        <v>7429079.8493865002</v>
      </c>
      <c r="AE1139" s="2">
        <f t="shared" ca="1" si="1083"/>
        <v>7890077.9609828722</v>
      </c>
      <c r="AF1139" s="2">
        <f t="shared" ca="1" si="1084"/>
        <v>961431.83110422571</v>
      </c>
      <c r="AG1139" s="2">
        <f t="shared" ca="1" si="1085"/>
        <v>1021091.7442500362</v>
      </c>
      <c r="AH1139" s="2">
        <f t="shared" ca="1" si="1086"/>
        <v>1084453.7453873351</v>
      </c>
      <c r="AI1139" s="2">
        <f t="shared" ca="1" si="1087"/>
        <v>1151747.56088973</v>
      </c>
      <c r="AJ1139" s="2">
        <f t="shared" ca="1" si="1088"/>
        <v>1223217.1723853904</v>
      </c>
      <c r="AK1139" s="2">
        <f t="shared" ca="1" si="1089"/>
        <v>0</v>
      </c>
      <c r="AL1139" s="2">
        <f t="shared" ca="1" si="1090"/>
        <v>29829.956572905259</v>
      </c>
      <c r="AM1139" s="2">
        <f t="shared" ca="1" si="1091"/>
        <v>31681.000568649473</v>
      </c>
      <c r="AN1139" s="2">
        <f t="shared" ca="1" si="1092"/>
        <v>33646.907751197446</v>
      </c>
      <c r="AO1139" s="2">
        <f t="shared" ca="1" si="1093"/>
        <v>35734.8057478302</v>
      </c>
      <c r="AP1139" s="2">
        <f t="shared" ca="1" si="1094"/>
        <v>2253817.3716048878</v>
      </c>
      <c r="AQ1139" s="2">
        <f t="shared" ca="1" si="1095"/>
        <v>744264.85629940999</v>
      </c>
      <c r="AR1139" s="2">
        <f t="shared" ca="1" si="1096"/>
        <v>860965.49942067103</v>
      </c>
      <c r="AS1139" s="2">
        <f t="shared" ca="1" si="1097"/>
        <v>950753.86170456908</v>
      </c>
      <c r="AT1139" s="2">
        <f t="shared" ca="1" si="1098"/>
        <v>1046113.8783918894</v>
      </c>
      <c r="AU1139" s="2">
        <f t="shared" ca="1" si="1099"/>
        <v>1147391.2884180744</v>
      </c>
      <c r="AV1139" s="2">
        <f t="shared" ca="1" si="1100"/>
        <v>2118292.2833137056</v>
      </c>
      <c r="AW1139" s="2">
        <f t="shared" ca="1" si="1101"/>
        <v>2420610.3110090047</v>
      </c>
      <c r="AX1139" s="2">
        <f t="shared" ca="1" si="1102"/>
        <v>2674310.759667431</v>
      </c>
      <c r="AY1139" s="2">
        <f t="shared" ca="1" si="1103"/>
        <v>2943754.1307487953</v>
      </c>
      <c r="AZ1139" s="2">
        <f t="shared" ca="1" si="1104"/>
        <v>3229917.3228266891</v>
      </c>
      <c r="BA1139" s="2">
        <f t="shared" ca="1" si="1105"/>
        <v>62650631.766738735</v>
      </c>
      <c r="BB1139" s="2">
        <f t="shared" ca="1" si="1106"/>
        <v>1253012.6353347746</v>
      </c>
      <c r="BC1139" s="2">
        <f t="shared" ca="1" si="1107"/>
        <v>36355203.891349651</v>
      </c>
      <c r="BD1139" s="2">
        <f t="shared" ca="1" si="1108"/>
        <v>-18238377.461705137</v>
      </c>
      <c r="BE1139" s="2">
        <f t="shared" ca="1" si="1109"/>
        <v>2118292.2833137056</v>
      </c>
      <c r="BF1139" s="2">
        <f t="shared" ca="1" si="1110"/>
        <v>2420610.3110090047</v>
      </c>
      <c r="BG1139" s="2">
        <f t="shared" ca="1" si="1111"/>
        <v>2674310.759667431</v>
      </c>
      <c r="BH1139" s="2">
        <f t="shared" ca="1" si="1112"/>
        <v>2943754.1307487953</v>
      </c>
      <c r="BI1139" s="2">
        <f t="shared" ca="1" si="1113"/>
        <v>39585121.214176342</v>
      </c>
      <c r="BJ1139" s="2">
        <f t="shared" ca="1" si="1114"/>
        <v>0.25895386280176713</v>
      </c>
      <c r="BK1139" s="2">
        <f t="shared" ca="1" si="1115"/>
        <v>11818642.061499529</v>
      </c>
    </row>
    <row r="1140" spans="1:63" x14ac:dyDescent="0.3">
      <c r="A1140" s="2">
        <v>1139</v>
      </c>
      <c r="B1140" s="2">
        <f t="shared" ca="1" si="1054"/>
        <v>0.33197773962138433</v>
      </c>
      <c r="C1140" s="2">
        <f t="shared" ca="1" si="1055"/>
        <v>6.8148346330653657</v>
      </c>
      <c r="D1140" s="2">
        <f t="shared" ca="1" si="1056"/>
        <v>0.26320147848065323</v>
      </c>
      <c r="E1140" s="2">
        <f t="shared" ca="1" si="1057"/>
        <v>7.225536323667745</v>
      </c>
      <c r="F1140" s="2">
        <f t="shared" ca="1" si="1058"/>
        <v>0.66139187865946014</v>
      </c>
      <c r="G1140" s="2">
        <f t="shared" ca="1" si="1059"/>
        <v>5.2487944180000114E-2</v>
      </c>
      <c r="H1140" s="2">
        <f t="shared" ca="1" si="1060"/>
        <v>5.2487944180000114E-2</v>
      </c>
      <c r="I1140" s="2">
        <f t="shared" ca="1" si="1061"/>
        <v>0.42195355539870838</v>
      </c>
      <c r="J1140" s="2">
        <f t="shared" ca="1" si="1062"/>
        <v>9.0155084153745683E-3</v>
      </c>
      <c r="K1140" s="2">
        <f t="shared" ca="1" si="1063"/>
        <v>9.0155084153745683E-3</v>
      </c>
      <c r="L1140" s="2">
        <f t="shared" ca="1" si="1064"/>
        <v>0.67609151677093249</v>
      </c>
      <c r="M1140" s="2">
        <f t="shared" ca="1" si="1065"/>
        <v>9.1359398840251613E-3</v>
      </c>
      <c r="N1140" s="2">
        <f t="shared" ca="1" si="1066"/>
        <v>9.1359398840251613E-3</v>
      </c>
      <c r="O1140" s="2">
        <f t="shared" si="1067"/>
        <v>6000000</v>
      </c>
      <c r="P1140" s="2">
        <f t="shared" ca="1" si="1068"/>
        <v>40889007.798392192</v>
      </c>
      <c r="Q1140" s="2">
        <f t="shared" ca="1" si="1069"/>
        <v>1022225.1949598049</v>
      </c>
      <c r="R1140" s="2">
        <f t="shared" ca="1" si="1070"/>
        <v>24533404.679035313</v>
      </c>
      <c r="S1140" s="2">
        <f t="shared" ca="1" si="1071"/>
        <v>16355603.119356878</v>
      </c>
      <c r="T1140" s="2">
        <f t="shared" ca="1" si="1072"/>
        <v>50456796.994201258</v>
      </c>
      <c r="U1140" s="2">
        <f t="shared" ca="1" si="1073"/>
        <v>53105170.538334489</v>
      </c>
      <c r="V1140" s="2">
        <f t="shared" ca="1" si="1074"/>
        <v>55892551.765219979</v>
      </c>
      <c r="W1140" s="2">
        <f t="shared" ca="1" si="1075"/>
        <v>58826236.902350612</v>
      </c>
      <c r="X1140" s="2">
        <f t="shared" ca="1" si="1076"/>
        <v>61913905.141200654</v>
      </c>
      <c r="Y1140" s="2">
        <f t="shared" ca="1" si="1077"/>
        <v>0.12450775420768728</v>
      </c>
      <c r="Z1140" s="2">
        <f t="shared" ca="1" si="1078"/>
        <v>0.12631085589076219</v>
      </c>
      <c r="AA1140" s="2">
        <f t="shared" ca="1" si="1079"/>
        <v>6282262.4782611849</v>
      </c>
      <c r="AB1140" s="2">
        <f t="shared" ca="1" si="1080"/>
        <v>6707759.5429219175</v>
      </c>
      <c r="AC1140" s="2">
        <f t="shared" ca="1" si="1081"/>
        <v>7059836.0513836667</v>
      </c>
      <c r="AD1140" s="2">
        <f t="shared" ca="1" si="1082"/>
        <v>7430392.3319686446</v>
      </c>
      <c r="AE1140" s="2">
        <f t="shared" ca="1" si="1083"/>
        <v>7820398.3499245159</v>
      </c>
      <c r="AF1140" s="2">
        <f t="shared" ca="1" si="1084"/>
        <v>1009135.9398840251</v>
      </c>
      <c r="AG1140" s="2">
        <f t="shared" ca="1" si="1085"/>
        <v>1062103.4107666898</v>
      </c>
      <c r="AH1140" s="2">
        <f t="shared" ca="1" si="1086"/>
        <v>1117851.0353043997</v>
      </c>
      <c r="AI1140" s="2">
        <f t="shared" ca="1" si="1087"/>
        <v>1176524.7380470124</v>
      </c>
      <c r="AJ1140" s="2">
        <f t="shared" ca="1" si="1088"/>
        <v>1238278.1028240132</v>
      </c>
      <c r="AK1140" s="2">
        <f t="shared" ca="1" si="1089"/>
        <v>0</v>
      </c>
      <c r="AL1140" s="2">
        <f t="shared" ca="1" si="1090"/>
        <v>26483.735441332312</v>
      </c>
      <c r="AM1140" s="2">
        <f t="shared" ca="1" si="1091"/>
        <v>27873.812268854901</v>
      </c>
      <c r="AN1140" s="2">
        <f t="shared" ca="1" si="1092"/>
        <v>29336.851371306329</v>
      </c>
      <c r="AO1140" s="2">
        <f t="shared" ca="1" si="1093"/>
        <v>30876.682388500423</v>
      </c>
      <c r="AP1140" s="2">
        <f t="shared" ca="1" si="1094"/>
        <v>2208006.4211131781</v>
      </c>
      <c r="AQ1140" s="2">
        <f t="shared" ca="1" si="1095"/>
        <v>796931.23048863537</v>
      </c>
      <c r="AR1140" s="2">
        <f t="shared" ca="1" si="1096"/>
        <v>893788.92487093282</v>
      </c>
      <c r="AS1140" s="2">
        <f t="shared" ca="1" si="1097"/>
        <v>970834.43469118327</v>
      </c>
      <c r="AT1140" s="2">
        <f t="shared" ca="1" si="1098"/>
        <v>1051923.9049301981</v>
      </c>
      <c r="AU1140" s="2">
        <f t="shared" ca="1" si="1099"/>
        <v>1137269.5947567043</v>
      </c>
      <c r="AV1140" s="2">
        <f t="shared" ca="1" si="1100"/>
        <v>2268188.8867753465</v>
      </c>
      <c r="AW1140" s="2">
        <f t="shared" ca="1" si="1101"/>
        <v>2517377.0507297842</v>
      </c>
      <c r="AX1140" s="2">
        <f t="shared" ca="1" si="1102"/>
        <v>2735270.348006051</v>
      </c>
      <c r="AY1140" s="2">
        <f t="shared" ca="1" si="1103"/>
        <v>2964600.4165069498</v>
      </c>
      <c r="AZ1140" s="2">
        <f t="shared" ca="1" si="1104"/>
        <v>3205967.5488421191</v>
      </c>
      <c r="BA1140" s="2">
        <f t="shared" ca="1" si="1105"/>
        <v>56506572.342930883</v>
      </c>
      <c r="BB1140" s="2">
        <f t="shared" ca="1" si="1106"/>
        <v>1130131.4468586177</v>
      </c>
      <c r="BC1140" s="2">
        <f t="shared" ca="1" si="1107"/>
        <v>30843036.217036951</v>
      </c>
      <c r="BD1140" s="2">
        <f t="shared" ca="1" si="1108"/>
        <v>-17877828.314316683</v>
      </c>
      <c r="BE1140" s="2">
        <f t="shared" ca="1" si="1109"/>
        <v>2268188.8867753465</v>
      </c>
      <c r="BF1140" s="2">
        <f t="shared" ca="1" si="1110"/>
        <v>2517377.0507297842</v>
      </c>
      <c r="BG1140" s="2">
        <f t="shared" ca="1" si="1111"/>
        <v>2735270.348006051</v>
      </c>
      <c r="BH1140" s="2">
        <f t="shared" ca="1" si="1112"/>
        <v>2964600.4165069498</v>
      </c>
      <c r="BI1140" s="2">
        <f t="shared" ca="1" si="1113"/>
        <v>34049003.765879072</v>
      </c>
      <c r="BJ1140" s="2">
        <f t="shared" ca="1" si="1114"/>
        <v>0.23815201037308764</v>
      </c>
      <c r="BK1140" s="2">
        <f t="shared" ca="1" si="1115"/>
        <v>9305465.6202196889</v>
      </c>
    </row>
    <row r="1141" spans="1:63" x14ac:dyDescent="0.3">
      <c r="A1141" s="2">
        <v>1140</v>
      </c>
      <c r="B1141" s="2">
        <f t="shared" ca="1" si="1054"/>
        <v>0.90652702290368459</v>
      </c>
      <c r="C1141" s="2">
        <f t="shared" ca="1" si="1055"/>
        <v>7.5676275284056223</v>
      </c>
      <c r="D1141" s="2">
        <f t="shared" ca="1" si="1056"/>
        <v>3.8869418819680202E-2</v>
      </c>
      <c r="E1141" s="2">
        <f t="shared" ca="1" si="1057"/>
        <v>6.7788168532197446</v>
      </c>
      <c r="F1141" s="2">
        <f t="shared" ca="1" si="1058"/>
        <v>0.187238253688227</v>
      </c>
      <c r="G1141" s="2">
        <f t="shared" ca="1" si="1059"/>
        <v>1.3356416837423331E-2</v>
      </c>
      <c r="H1141" s="2">
        <f t="shared" ca="1" si="1060"/>
        <v>1.3356416837423331E-2</v>
      </c>
      <c r="I1141" s="2">
        <f t="shared" ca="1" si="1061"/>
        <v>0.3800914840254076</v>
      </c>
      <c r="J1141" s="2">
        <f t="shared" ca="1" si="1062"/>
        <v>8.4737973640704144E-3</v>
      </c>
      <c r="K1141" s="2">
        <f t="shared" ca="1" si="1063"/>
        <v>8.4737973640704144E-3</v>
      </c>
      <c r="L1141" s="2">
        <f t="shared" ca="1" si="1064"/>
        <v>0.75823694514190232</v>
      </c>
      <c r="M1141" s="2">
        <f t="shared" ca="1" si="1065"/>
        <v>1.4012851238969592E-2</v>
      </c>
      <c r="N1141" s="2">
        <f t="shared" ca="1" si="1066"/>
        <v>1.4012851238969592E-2</v>
      </c>
      <c r="O1141" s="2">
        <f t="shared" si="1067"/>
        <v>6000000</v>
      </c>
      <c r="P1141" s="2">
        <f t="shared" ca="1" si="1068"/>
        <v>45405765.17043373</v>
      </c>
      <c r="Q1141" s="2">
        <f t="shared" ca="1" si="1069"/>
        <v>1135144.1292608434</v>
      </c>
      <c r="R1141" s="2">
        <f t="shared" ca="1" si="1070"/>
        <v>27243459.102260236</v>
      </c>
      <c r="S1141" s="2">
        <f t="shared" ca="1" si="1071"/>
        <v>18162306.068173494</v>
      </c>
      <c r="T1141" s="2">
        <f t="shared" ca="1" si="1072"/>
        <v>50700642.561948486</v>
      </c>
      <c r="U1141" s="2">
        <f t="shared" ca="1" si="1073"/>
        <v>51377821.477931082</v>
      </c>
      <c r="V1141" s="2">
        <f t="shared" ca="1" si="1074"/>
        <v>52064045.077789053</v>
      </c>
      <c r="W1141" s="2">
        <f t="shared" ca="1" si="1075"/>
        <v>52759434.166090406</v>
      </c>
      <c r="X1141" s="2">
        <f t="shared" ca="1" si="1076"/>
        <v>53464111.160919309</v>
      </c>
      <c r="Y1141" s="2">
        <f t="shared" ca="1" si="1077"/>
        <v>0.1242368986820352</v>
      </c>
      <c r="Z1141" s="2">
        <f t="shared" ca="1" si="1078"/>
        <v>0.12593165815484927</v>
      </c>
      <c r="AA1141" s="2">
        <f t="shared" ca="1" si="1079"/>
        <v>6298890.5930828759</v>
      </c>
      <c r="AB1141" s="2">
        <f t="shared" ca="1" si="1080"/>
        <v>6470094.2510996899</v>
      </c>
      <c r="AC1141" s="2">
        <f t="shared" ca="1" si="1081"/>
        <v>6556511.5268947938</v>
      </c>
      <c r="AD1141" s="2">
        <f t="shared" ca="1" si="1082"/>
        <v>6644083.027847372</v>
      </c>
      <c r="AE1141" s="2">
        <f t="shared" ca="1" si="1083"/>
        <v>6732824.1702697519</v>
      </c>
      <c r="AF1141" s="2">
        <f t="shared" ca="1" si="1084"/>
        <v>1014012.8512389697</v>
      </c>
      <c r="AG1141" s="2">
        <f t="shared" ca="1" si="1085"/>
        <v>1027556.4295586217</v>
      </c>
      <c r="AH1141" s="2">
        <f t="shared" ca="1" si="1086"/>
        <v>1041280.9015557811</v>
      </c>
      <c r="AI1141" s="2">
        <f t="shared" ca="1" si="1087"/>
        <v>1055188.6833218082</v>
      </c>
      <c r="AJ1141" s="2">
        <f t="shared" ca="1" si="1088"/>
        <v>1069282.2232183863</v>
      </c>
      <c r="AK1141" s="2">
        <f t="shared" ca="1" si="1089"/>
        <v>0</v>
      </c>
      <c r="AL1141" s="2">
        <f t="shared" ca="1" si="1090"/>
        <v>6771.7891598259657</v>
      </c>
      <c r="AM1141" s="2">
        <f t="shared" ca="1" si="1091"/>
        <v>6862.2359985797111</v>
      </c>
      <c r="AN1141" s="2">
        <f t="shared" ca="1" si="1092"/>
        <v>6953.8908830135315</v>
      </c>
      <c r="AO1141" s="2">
        <f t="shared" ca="1" si="1093"/>
        <v>7046.7699482890221</v>
      </c>
      <c r="AP1141" s="2">
        <f t="shared" ca="1" si="1094"/>
        <v>2451911.319203421</v>
      </c>
      <c r="AQ1141" s="2">
        <f t="shared" ca="1" si="1095"/>
        <v>736571.26988652616</v>
      </c>
      <c r="AR1141" s="2">
        <f t="shared" ca="1" si="1096"/>
        <v>777562.89060778823</v>
      </c>
      <c r="AS1141" s="2">
        <f t="shared" ca="1" si="1097"/>
        <v>796463.01959525386</v>
      </c>
      <c r="AT1141" s="2">
        <f t="shared" ca="1" si="1098"/>
        <v>815615.58658375707</v>
      </c>
      <c r="AU1141" s="2">
        <f t="shared" ca="1" si="1099"/>
        <v>835023.96324046573</v>
      </c>
      <c r="AV1141" s="2">
        <f t="shared" ca="1" si="1100"/>
        <v>2096395.1527539589</v>
      </c>
      <c r="AW1141" s="2">
        <f t="shared" ca="1" si="1101"/>
        <v>2206291.8225700329</v>
      </c>
      <c r="AX1141" s="2">
        <f t="shared" ca="1" si="1102"/>
        <v>2259994.0505417581</v>
      </c>
      <c r="AY1141" s="2">
        <f t="shared" ca="1" si="1103"/>
        <v>2314413.5478553721</v>
      </c>
      <c r="AZ1141" s="2">
        <f t="shared" ca="1" si="1104"/>
        <v>2369559.89465919</v>
      </c>
      <c r="BA1141" s="2">
        <f t="shared" ca="1" si="1105"/>
        <v>45640581.955189839</v>
      </c>
      <c r="BB1141" s="2">
        <f t="shared" ca="1" si="1106"/>
        <v>912811.6391037968</v>
      </c>
      <c r="BC1141" s="2">
        <f t="shared" ca="1" si="1107"/>
        <v>17484311.213825807</v>
      </c>
      <c r="BD1141" s="2">
        <f t="shared" ca="1" si="1108"/>
        <v>-19797450.197434336</v>
      </c>
      <c r="BE1141" s="2">
        <f t="shared" ca="1" si="1109"/>
        <v>2096395.1527539589</v>
      </c>
      <c r="BF1141" s="2">
        <f t="shared" ca="1" si="1110"/>
        <v>2206291.8225700329</v>
      </c>
      <c r="BG1141" s="2">
        <f t="shared" ca="1" si="1111"/>
        <v>2259994.0505417581</v>
      </c>
      <c r="BH1141" s="2">
        <f t="shared" ca="1" si="1112"/>
        <v>2314413.5478553721</v>
      </c>
      <c r="BI1141" s="2">
        <f t="shared" ca="1" si="1113"/>
        <v>19853871.108484998</v>
      </c>
      <c r="BJ1141" s="2">
        <f t="shared" ca="1" si="1114"/>
        <v>9.3640948276248803E-2</v>
      </c>
      <c r="BK1141" s="2">
        <f t="shared" ca="1" si="1115"/>
        <v>-1821736.045154579</v>
      </c>
    </row>
    <row r="1142" spans="1:63" x14ac:dyDescent="0.3">
      <c r="A1142" s="2">
        <v>1141</v>
      </c>
      <c r="B1142" s="2">
        <f t="shared" ca="1" si="1054"/>
        <v>0.90611714585973069</v>
      </c>
      <c r="C1142" s="2">
        <f t="shared" ca="1" si="1055"/>
        <v>7.5666805932334222</v>
      </c>
      <c r="D1142" s="2">
        <f t="shared" ca="1" si="1056"/>
        <v>5.382491845107007E-2</v>
      </c>
      <c r="E1142" s="2">
        <f t="shared" ca="1" si="1057"/>
        <v>6.828100345781805</v>
      </c>
      <c r="F1142" s="2">
        <f t="shared" ca="1" si="1058"/>
        <v>0.73885770215065583</v>
      </c>
      <c r="G1142" s="2">
        <f t="shared" ca="1" si="1059"/>
        <v>5.9194832214358839E-2</v>
      </c>
      <c r="H1142" s="2">
        <f t="shared" ca="1" si="1060"/>
        <v>5.9194832214358839E-2</v>
      </c>
      <c r="I1142" s="2">
        <f t="shared" ca="1" si="1061"/>
        <v>0.83332536612795893</v>
      </c>
      <c r="J1142" s="2">
        <f t="shared" ca="1" si="1062"/>
        <v>1.4836948393796578E-2</v>
      </c>
      <c r="K1142" s="2">
        <f t="shared" ca="1" si="1063"/>
        <v>1.4836948393796578E-2</v>
      </c>
      <c r="L1142" s="2">
        <f t="shared" ca="1" si="1064"/>
        <v>0.35174287274202665</v>
      </c>
      <c r="M1142" s="2">
        <f t="shared" ca="1" si="1065"/>
        <v>-7.6123863393090501E-3</v>
      </c>
      <c r="N1142" s="2">
        <f t="shared" ca="1" si="1066"/>
        <v>-7.6123863393090501E-3</v>
      </c>
      <c r="O1142" s="2">
        <f t="shared" si="1067"/>
        <v>6000000</v>
      </c>
      <c r="P1142" s="2">
        <f t="shared" ca="1" si="1068"/>
        <v>45400083.559400536</v>
      </c>
      <c r="Q1142" s="2">
        <f t="shared" ca="1" si="1069"/>
        <v>1135002.0889850135</v>
      </c>
      <c r="R1142" s="2">
        <f t="shared" ca="1" si="1070"/>
        <v>27240050.135640319</v>
      </c>
      <c r="S1142" s="2">
        <f t="shared" ca="1" si="1071"/>
        <v>18160033.423760217</v>
      </c>
      <c r="T1142" s="2">
        <f t="shared" ca="1" si="1072"/>
        <v>49619380.683034547</v>
      </c>
      <c r="U1142" s="2">
        <f t="shared" ca="1" si="1073"/>
        <v>52556591.597147182</v>
      </c>
      <c r="V1142" s="2">
        <f t="shared" ca="1" si="1074"/>
        <v>55667670.218498893</v>
      </c>
      <c r="W1142" s="2">
        <f t="shared" ca="1" si="1075"/>
        <v>58962908.616847202</v>
      </c>
      <c r="X1142" s="2">
        <f t="shared" ca="1" si="1076"/>
        <v>62453208.099292055</v>
      </c>
      <c r="Y1142" s="2">
        <f t="shared" ca="1" si="1077"/>
        <v>0.12741847419689828</v>
      </c>
      <c r="Z1142" s="2">
        <f t="shared" ca="1" si="1078"/>
        <v>0.13038586387565759</v>
      </c>
      <c r="AA1142" s="2">
        <f t="shared" ca="1" si="1079"/>
        <v>6322425.7772273105</v>
      </c>
      <c r="AB1142" s="2">
        <f t="shared" ca="1" si="1080"/>
        <v>6852636.5977541618</v>
      </c>
      <c r="AC1142" s="2">
        <f t="shared" ca="1" si="1081"/>
        <v>7258277.2713841945</v>
      </c>
      <c r="AD1142" s="2">
        <f t="shared" ca="1" si="1082"/>
        <v>7687929.7766290773</v>
      </c>
      <c r="AE1142" s="2">
        <f t="shared" ca="1" si="1083"/>
        <v>8143015.4898324097</v>
      </c>
      <c r="AF1142" s="2">
        <f t="shared" ca="1" si="1084"/>
        <v>992387.61366069096</v>
      </c>
      <c r="AG1142" s="2">
        <f t="shared" ca="1" si="1085"/>
        <v>1051131.8319429436</v>
      </c>
      <c r="AH1142" s="2">
        <f t="shared" ca="1" si="1086"/>
        <v>1113353.4043699778</v>
      </c>
      <c r="AI1142" s="2">
        <f t="shared" ca="1" si="1087"/>
        <v>1179258.1723369441</v>
      </c>
      <c r="AJ1142" s="2">
        <f t="shared" ca="1" si="1088"/>
        <v>1249064.1619858411</v>
      </c>
      <c r="AK1142" s="2">
        <f t="shared" ca="1" si="1089"/>
        <v>0</v>
      </c>
      <c r="AL1142" s="2">
        <f t="shared" ca="1" si="1090"/>
        <v>29372.109141126351</v>
      </c>
      <c r="AM1142" s="2">
        <f t="shared" ca="1" si="1091"/>
        <v>31110.786213517116</v>
      </c>
      <c r="AN1142" s="2">
        <f t="shared" ca="1" si="1092"/>
        <v>32952.383983483094</v>
      </c>
      <c r="AO1142" s="2">
        <f t="shared" ca="1" si="1093"/>
        <v>34902.994824448528</v>
      </c>
      <c r="AP1142" s="2">
        <f t="shared" ca="1" si="1094"/>
        <v>2451604.5122076287</v>
      </c>
      <c r="AQ1142" s="2">
        <f t="shared" ca="1" si="1095"/>
        <v>748392.74935333757</v>
      </c>
      <c r="AR1142" s="2">
        <f t="shared" ca="1" si="1096"/>
        <v>870974.06593693327</v>
      </c>
      <c r="AS1142" s="2">
        <f t="shared" ca="1" si="1097"/>
        <v>960263.03224971285</v>
      </c>
      <c r="AT1142" s="2">
        <f t="shared" ca="1" si="1098"/>
        <v>1054837.4439419711</v>
      </c>
      <c r="AU1142" s="2">
        <f t="shared" ca="1" si="1099"/>
        <v>1155010.1720661242</v>
      </c>
      <c r="AV1142" s="2">
        <f t="shared" ca="1" si="1100"/>
        <v>2130040.9020056524</v>
      </c>
      <c r="AW1142" s="2">
        <f t="shared" ca="1" si="1101"/>
        <v>2449554.0785255297</v>
      </c>
      <c r="AX1142" s="2">
        <f t="shared" ca="1" si="1102"/>
        <v>2701945.5363433571</v>
      </c>
      <c r="AY1142" s="2">
        <f t="shared" ca="1" si="1103"/>
        <v>2969277.2641590494</v>
      </c>
      <c r="AZ1142" s="2">
        <f t="shared" ca="1" si="1104"/>
        <v>3252433.6487483666</v>
      </c>
      <c r="BA1142" s="2">
        <f t="shared" ca="1" si="1105"/>
        <v>55601326.881831273</v>
      </c>
      <c r="BB1142" s="2">
        <f t="shared" ca="1" si="1106"/>
        <v>1112026.5376366256</v>
      </c>
      <c r="BC1142" s="2">
        <f t="shared" ca="1" si="1107"/>
        <v>27249250.208554327</v>
      </c>
      <c r="BD1142" s="2">
        <f t="shared" ca="1" si="1108"/>
        <v>-19795035.512745231</v>
      </c>
      <c r="BE1142" s="2">
        <f t="shared" ca="1" si="1109"/>
        <v>2130040.9020056524</v>
      </c>
      <c r="BF1142" s="2">
        <f t="shared" ca="1" si="1110"/>
        <v>2449554.0785255297</v>
      </c>
      <c r="BG1142" s="2">
        <f t="shared" ca="1" si="1111"/>
        <v>2701945.5363433571</v>
      </c>
      <c r="BH1142" s="2">
        <f t="shared" ca="1" si="1112"/>
        <v>2969277.2641590494</v>
      </c>
      <c r="BI1142" s="2">
        <f t="shared" ca="1" si="1113"/>
        <v>30501683.857302696</v>
      </c>
      <c r="BJ1142" s="2">
        <f t="shared" ca="1" si="1114"/>
        <v>0.1839859128510779</v>
      </c>
      <c r="BK1142" s="2">
        <f t="shared" ca="1" si="1115"/>
        <v>5177251.6451974213</v>
      </c>
    </row>
    <row r="1143" spans="1:63" x14ac:dyDescent="0.3">
      <c r="A1143" s="2">
        <v>1142</v>
      </c>
      <c r="B1143" s="2">
        <f t="shared" ca="1" si="1054"/>
        <v>2.1291160835389511E-2</v>
      </c>
      <c r="C1143" s="2">
        <f t="shared" ca="1" si="1055"/>
        <v>6.2063548440690912</v>
      </c>
      <c r="D1143" s="2">
        <f t="shared" ca="1" si="1056"/>
        <v>0.97441698142771194</v>
      </c>
      <c r="E1143" s="2">
        <f t="shared" ca="1" si="1057"/>
        <v>8.2738008904867755</v>
      </c>
      <c r="F1143" s="2">
        <f t="shared" ca="1" si="1058"/>
        <v>2.305666980297616E-2</v>
      </c>
      <c r="G1143" s="2">
        <f t="shared" ca="1" si="1059"/>
        <v>-1.9830631588566149E-2</v>
      </c>
      <c r="H1143" s="2">
        <f t="shared" ca="1" si="1060"/>
        <v>-1.9830631588566149E-2</v>
      </c>
      <c r="I1143" s="2">
        <f t="shared" ca="1" si="1061"/>
        <v>0.35921470524267285</v>
      </c>
      <c r="J1143" s="2">
        <f t="shared" ca="1" si="1062"/>
        <v>8.1972067848553893E-3</v>
      </c>
      <c r="K1143" s="2">
        <f t="shared" ca="1" si="1063"/>
        <v>8.1972067848553893E-3</v>
      </c>
      <c r="L1143" s="2">
        <f t="shared" ca="1" si="1064"/>
        <v>0.28137902272872106</v>
      </c>
      <c r="M1143" s="2">
        <f t="shared" ca="1" si="1065"/>
        <v>-1.1574994891380449E-2</v>
      </c>
      <c r="N1143" s="2">
        <f t="shared" ca="1" si="1066"/>
        <v>-1.1574994891380449E-2</v>
      </c>
      <c r="O1143" s="2">
        <f t="shared" si="1067"/>
        <v>6000000</v>
      </c>
      <c r="P1143" s="2">
        <f t="shared" ca="1" si="1068"/>
        <v>37238129.064414546</v>
      </c>
      <c r="Q1143" s="2">
        <f t="shared" ca="1" si="1069"/>
        <v>930953.22661036369</v>
      </c>
      <c r="R1143" s="2">
        <f t="shared" ca="1" si="1070"/>
        <v>22342877.438648727</v>
      </c>
      <c r="S1143" s="2">
        <f t="shared" ca="1" si="1071"/>
        <v>14895251.625765819</v>
      </c>
      <c r="T1143" s="2">
        <f t="shared" ca="1" si="1072"/>
        <v>49421250.255430974</v>
      </c>
      <c r="U1143" s="2">
        <f t="shared" ca="1" si="1073"/>
        <v>48441195.648969196</v>
      </c>
      <c r="V1143" s="2">
        <f t="shared" ca="1" si="1074"/>
        <v>47480576.144344836</v>
      </c>
      <c r="W1143" s="2">
        <f t="shared" ca="1" si="1075"/>
        <v>46539006.331213474</v>
      </c>
      <c r="X1143" s="2">
        <f t="shared" ca="1" si="1076"/>
        <v>45616108.442161232</v>
      </c>
      <c r="Y1143" s="2">
        <f t="shared" ca="1" si="1077"/>
        <v>0.12409860339242769</v>
      </c>
      <c r="Z1143" s="2">
        <f t="shared" ca="1" si="1078"/>
        <v>0.12573804474939876</v>
      </c>
      <c r="AA1143" s="2">
        <f t="shared" ca="1" si="1079"/>
        <v>6133108.1346066445</v>
      </c>
      <c r="AB1143" s="2">
        <f t="shared" ca="1" si="1080"/>
        <v>6090901.226224469</v>
      </c>
      <c r="AC1143" s="2">
        <f t="shared" ca="1" si="1081"/>
        <v>5970114.807964866</v>
      </c>
      <c r="AD1143" s="2">
        <f t="shared" ca="1" si="1082"/>
        <v>5851723.6606666716</v>
      </c>
      <c r="AE1143" s="2">
        <f t="shared" ca="1" si="1083"/>
        <v>5735680.2845938951</v>
      </c>
      <c r="AF1143" s="2">
        <f t="shared" ca="1" si="1084"/>
        <v>988425.00510861946</v>
      </c>
      <c r="AG1143" s="2">
        <f t="shared" ca="1" si="1085"/>
        <v>968823.91297938395</v>
      </c>
      <c r="AH1143" s="2">
        <f t="shared" ca="1" si="1086"/>
        <v>949611.52288689674</v>
      </c>
      <c r="AI1143" s="2">
        <f t="shared" ca="1" si="1087"/>
        <v>930780.12662426953</v>
      </c>
      <c r="AJ1143" s="2">
        <f t="shared" ca="1" si="1088"/>
        <v>912322.16884322464</v>
      </c>
      <c r="AK1143" s="2">
        <f t="shared" ca="1" si="1089"/>
        <v>0</v>
      </c>
      <c r="AL1143" s="2">
        <f t="shared" ca="1" si="1090"/>
        <v>0</v>
      </c>
      <c r="AM1143" s="2">
        <f t="shared" ca="1" si="1091"/>
        <v>0</v>
      </c>
      <c r="AN1143" s="2">
        <f t="shared" ca="1" si="1092"/>
        <v>0</v>
      </c>
      <c r="AO1143" s="2">
        <f t="shared" ca="1" si="1093"/>
        <v>0</v>
      </c>
      <c r="AP1143" s="2">
        <f t="shared" ca="1" si="1094"/>
        <v>2010858.9694783853</v>
      </c>
      <c r="AQ1143" s="2">
        <f t="shared" ca="1" si="1095"/>
        <v>814794.28160510643</v>
      </c>
      <c r="AR1143" s="2">
        <f t="shared" ca="1" si="1096"/>
        <v>808916.76937934186</v>
      </c>
      <c r="AS1143" s="2">
        <f t="shared" ca="1" si="1097"/>
        <v>782507.52205589192</v>
      </c>
      <c r="AT1143" s="2">
        <f t="shared" ca="1" si="1098"/>
        <v>756621.98678664432</v>
      </c>
      <c r="AU1143" s="2">
        <f t="shared" ca="1" si="1099"/>
        <v>731249.77803079411</v>
      </c>
      <c r="AV1143" s="2">
        <f t="shared" ca="1" si="1100"/>
        <v>2319029.8784145331</v>
      </c>
      <c r="AW1143" s="2">
        <f t="shared" ca="1" si="1101"/>
        <v>2302301.5743873576</v>
      </c>
      <c r="AX1143" s="2">
        <f t="shared" ca="1" si="1102"/>
        <v>2227136.7935436917</v>
      </c>
      <c r="AY1143" s="2">
        <f t="shared" ca="1" si="1103"/>
        <v>2153462.5777773727</v>
      </c>
      <c r="AZ1143" s="2">
        <f t="shared" ca="1" si="1104"/>
        <v>2081249.368241491</v>
      </c>
      <c r="BA1143" s="2">
        <f t="shared" ca="1" si="1105"/>
        <v>47455876.646220408</v>
      </c>
      <c r="BB1143" s="2">
        <f t="shared" ca="1" si="1106"/>
        <v>949117.53292440821</v>
      </c>
      <c r="BC1143" s="2">
        <f t="shared" ca="1" si="1107"/>
        <v>24163881.674647272</v>
      </c>
      <c r="BD1143" s="2">
        <f t="shared" ca="1" si="1108"/>
        <v>-16326204.852376183</v>
      </c>
      <c r="BE1143" s="2">
        <f t="shared" ca="1" si="1109"/>
        <v>2319029.8784145331</v>
      </c>
      <c r="BF1143" s="2">
        <f t="shared" ca="1" si="1110"/>
        <v>2302301.5743873576</v>
      </c>
      <c r="BG1143" s="2">
        <f t="shared" ca="1" si="1111"/>
        <v>2227136.7935436917</v>
      </c>
      <c r="BH1143" s="2">
        <f t="shared" ca="1" si="1112"/>
        <v>2153462.5777773727</v>
      </c>
      <c r="BI1143" s="2">
        <f t="shared" ca="1" si="1113"/>
        <v>26245131.042888764</v>
      </c>
      <c r="BJ1143" s="2">
        <f t="shared" ca="1" si="1114"/>
        <v>0.20145896604777391</v>
      </c>
      <c r="BK1143" s="2">
        <f t="shared" ca="1" si="1115"/>
        <v>5425726.8222006951</v>
      </c>
    </row>
    <row r="1144" spans="1:63" x14ac:dyDescent="0.3">
      <c r="A1144" s="2">
        <v>1143</v>
      </c>
      <c r="B1144" s="2">
        <f t="shared" ca="1" si="1054"/>
        <v>0.8404314182264857</v>
      </c>
      <c r="C1144" s="2">
        <f t="shared" ca="1" si="1055"/>
        <v>7.4350777367220964</v>
      </c>
      <c r="D1144" s="2">
        <f t="shared" ca="1" si="1056"/>
        <v>0.17883804104554202</v>
      </c>
      <c r="E1144" s="2">
        <f t="shared" ca="1" si="1057"/>
        <v>7.0980602662701173</v>
      </c>
      <c r="F1144" s="2">
        <f t="shared" ca="1" si="1058"/>
        <v>0.1364142118342242</v>
      </c>
      <c r="G1144" s="2">
        <f t="shared" ca="1" si="1059"/>
        <v>7.1028324968729142E-3</v>
      </c>
      <c r="H1144" s="2">
        <f t="shared" ca="1" si="1060"/>
        <v>7.1028324968729142E-3</v>
      </c>
      <c r="I1144" s="2">
        <f t="shared" ca="1" si="1061"/>
        <v>0.52425924940234536</v>
      </c>
      <c r="J1144" s="2">
        <f t="shared" ca="1" si="1062"/>
        <v>1.0304232224138909E-2</v>
      </c>
      <c r="K1144" s="2">
        <f t="shared" ca="1" si="1063"/>
        <v>1.0304232224138909E-2</v>
      </c>
      <c r="L1144" s="2">
        <f t="shared" ca="1" si="1064"/>
        <v>0.9738520170674847</v>
      </c>
      <c r="M1144" s="2">
        <f t="shared" ca="1" si="1065"/>
        <v>3.8813787507248725E-2</v>
      </c>
      <c r="N1144" s="2">
        <f t="shared" ca="1" si="1066"/>
        <v>3.8813787507248725E-2</v>
      </c>
      <c r="O1144" s="2">
        <f t="shared" si="1067"/>
        <v>6000000</v>
      </c>
      <c r="P1144" s="2">
        <f t="shared" ca="1" si="1068"/>
        <v>44610466.420332581</v>
      </c>
      <c r="Q1144" s="2">
        <f t="shared" ca="1" si="1069"/>
        <v>1115261.6605083146</v>
      </c>
      <c r="R1144" s="2">
        <f t="shared" ca="1" si="1070"/>
        <v>26766279.852199547</v>
      </c>
      <c r="S1144" s="2">
        <f t="shared" ca="1" si="1071"/>
        <v>17844186.568133034</v>
      </c>
      <c r="T1144" s="2">
        <f t="shared" ca="1" si="1072"/>
        <v>51940689.375362433</v>
      </c>
      <c r="U1144" s="2">
        <f t="shared" ca="1" si="1073"/>
        <v>52309615.39176774</v>
      </c>
      <c r="V1144" s="2">
        <f t="shared" ca="1" si="1074"/>
        <v>52681161.827871315</v>
      </c>
      <c r="W1144" s="2">
        <f t="shared" ca="1" si="1075"/>
        <v>53055347.296075344</v>
      </c>
      <c r="X1144" s="2">
        <f t="shared" ca="1" si="1076"/>
        <v>53432190.54098279</v>
      </c>
      <c r="Y1144" s="2">
        <f t="shared" ca="1" si="1077"/>
        <v>0.12515211611206944</v>
      </c>
      <c r="Z1144" s="2">
        <f t="shared" ca="1" si="1078"/>
        <v>0.12721296255689724</v>
      </c>
      <c r="AA1144" s="2">
        <f t="shared" ca="1" si="1079"/>
        <v>6500487.1876462912</v>
      </c>
      <c r="AB1144" s="2">
        <f t="shared" ca="1" si="1080"/>
        <v>6654461.1441986449</v>
      </c>
      <c r="AC1144" s="2">
        <f t="shared" ca="1" si="1081"/>
        <v>6701726.6670628376</v>
      </c>
      <c r="AD1144" s="2">
        <f t="shared" ca="1" si="1082"/>
        <v>6749327.9090188118</v>
      </c>
      <c r="AE1144" s="2">
        <f t="shared" ca="1" si="1083"/>
        <v>6797267.2546230424</v>
      </c>
      <c r="AF1144" s="2">
        <f t="shared" ca="1" si="1084"/>
        <v>1038813.7875072487</v>
      </c>
      <c r="AG1144" s="2">
        <f t="shared" ca="1" si="1085"/>
        <v>1046192.3078353548</v>
      </c>
      <c r="AH1144" s="2">
        <f t="shared" ca="1" si="1086"/>
        <v>1053623.2365574264</v>
      </c>
      <c r="AI1144" s="2">
        <f t="shared" ca="1" si="1087"/>
        <v>1061106.945921507</v>
      </c>
      <c r="AJ1144" s="2">
        <f t="shared" ca="1" si="1088"/>
        <v>1068643.8108196559</v>
      </c>
      <c r="AK1144" s="2">
        <f t="shared" ca="1" si="1089"/>
        <v>0</v>
      </c>
      <c r="AL1144" s="2">
        <f t="shared" ca="1" si="1090"/>
        <v>3689.2601640530675</v>
      </c>
      <c r="AM1144" s="2">
        <f t="shared" ca="1" si="1091"/>
        <v>3715.4643610357493</v>
      </c>
      <c r="AN1144" s="2">
        <f t="shared" ca="1" si="1092"/>
        <v>3741.8546820402889</v>
      </c>
      <c r="AO1144" s="2">
        <f t="shared" ca="1" si="1093"/>
        <v>3768.4324490744621</v>
      </c>
      <c r="AP1144" s="2">
        <f t="shared" ca="1" si="1094"/>
        <v>2408965.186697959</v>
      </c>
      <c r="AQ1144" s="2">
        <f t="shared" ca="1" si="1095"/>
        <v>793704.13549468166</v>
      </c>
      <c r="AR1144" s="2">
        <f t="shared" ca="1" si="1096"/>
        <v>831818.9489129862</v>
      </c>
      <c r="AS1144" s="2">
        <f t="shared" ca="1" si="1097"/>
        <v>842175.94338993775</v>
      </c>
      <c r="AT1144" s="2">
        <f t="shared" ca="1" si="1098"/>
        <v>852606.50186383002</v>
      </c>
      <c r="AU1144" s="2">
        <f t="shared" ca="1" si="1099"/>
        <v>863111.14684741129</v>
      </c>
      <c r="AV1144" s="2">
        <f t="shared" ca="1" si="1100"/>
        <v>2259004.0779464012</v>
      </c>
      <c r="AW1144" s="2">
        <f t="shared" ca="1" si="1101"/>
        <v>2363795.4405882917</v>
      </c>
      <c r="AX1144" s="2">
        <f t="shared" ca="1" si="1102"/>
        <v>2393246.8360564793</v>
      </c>
      <c r="AY1144" s="2">
        <f t="shared" ca="1" si="1103"/>
        <v>2422907.4198534759</v>
      </c>
      <c r="AZ1144" s="2">
        <f t="shared" ca="1" si="1104"/>
        <v>2452778.6778089423</v>
      </c>
      <c r="BA1144" s="2">
        <f t="shared" ca="1" si="1105"/>
        <v>48247412.619258784</v>
      </c>
      <c r="BB1144" s="2">
        <f t="shared" ca="1" si="1106"/>
        <v>964948.25238517567</v>
      </c>
      <c r="BC1144" s="2">
        <f t="shared" ca="1" si="1107"/>
        <v>20516184.51467406</v>
      </c>
      <c r="BD1144" s="2">
        <f t="shared" ca="1" si="1108"/>
        <v>-19459448.22864135</v>
      </c>
      <c r="BE1144" s="2">
        <f t="shared" ca="1" si="1109"/>
        <v>2259004.0779464012</v>
      </c>
      <c r="BF1144" s="2">
        <f t="shared" ca="1" si="1110"/>
        <v>2363795.4405882917</v>
      </c>
      <c r="BG1144" s="2">
        <f t="shared" ca="1" si="1111"/>
        <v>2393246.8360564793</v>
      </c>
      <c r="BH1144" s="2">
        <f t="shared" ca="1" si="1112"/>
        <v>2422907.4198534759</v>
      </c>
      <c r="BI1144" s="2">
        <f t="shared" ca="1" si="1113"/>
        <v>22968963.192483</v>
      </c>
      <c r="BJ1144" s="2">
        <f t="shared" ca="1" si="1114"/>
        <v>0.13003086734537539</v>
      </c>
      <c r="BK1144" s="2">
        <f t="shared" ca="1" si="1115"/>
        <v>718396.80820840597</v>
      </c>
    </row>
    <row r="1145" spans="1:63" x14ac:dyDescent="0.3">
      <c r="A1145" s="2">
        <v>1144</v>
      </c>
      <c r="B1145" s="2">
        <f t="shared" ca="1" si="1054"/>
        <v>0.55487932504339055</v>
      </c>
      <c r="C1145" s="2">
        <f t="shared" ca="1" si="1055"/>
        <v>7.0564739802669889</v>
      </c>
      <c r="D1145" s="2">
        <f t="shared" ca="1" si="1056"/>
        <v>0.76296012662254442</v>
      </c>
      <c r="E1145" s="2">
        <f t="shared" ca="1" si="1057"/>
        <v>7.8114655079410245</v>
      </c>
      <c r="F1145" s="2">
        <f t="shared" ca="1" si="1058"/>
        <v>0.37748314006534933</v>
      </c>
      <c r="G1145" s="2">
        <f t="shared" ca="1" si="1059"/>
        <v>3.0637069224897881E-2</v>
      </c>
      <c r="H1145" s="2">
        <f t="shared" ca="1" si="1060"/>
        <v>3.0637069224897881E-2</v>
      </c>
      <c r="I1145" s="2">
        <f t="shared" ca="1" si="1061"/>
        <v>0.4028868070221866</v>
      </c>
      <c r="J1145" s="2">
        <f t="shared" ca="1" si="1062"/>
        <v>8.770590232346059E-3</v>
      </c>
      <c r="K1145" s="2">
        <f t="shared" ca="1" si="1063"/>
        <v>8.770590232346059E-3</v>
      </c>
      <c r="L1145" s="2">
        <f t="shared" ca="1" si="1064"/>
        <v>0.74832255841262874</v>
      </c>
      <c r="M1145" s="2">
        <f t="shared" ca="1" si="1065"/>
        <v>1.3384408367740859E-2</v>
      </c>
      <c r="N1145" s="2">
        <f t="shared" ca="1" si="1066"/>
        <v>1.3384408367740859E-2</v>
      </c>
      <c r="O1145" s="2">
        <f t="shared" si="1067"/>
        <v>6000000</v>
      </c>
      <c r="P1145" s="2">
        <f t="shared" ca="1" si="1068"/>
        <v>42338843.881601937</v>
      </c>
      <c r="Q1145" s="2">
        <f t="shared" ca="1" si="1069"/>
        <v>1058471.0970400486</v>
      </c>
      <c r="R1145" s="2">
        <f t="shared" ca="1" si="1070"/>
        <v>25403306.32896116</v>
      </c>
      <c r="S1145" s="2">
        <f t="shared" ca="1" si="1071"/>
        <v>16935537.552640777</v>
      </c>
      <c r="T1145" s="2">
        <f t="shared" ca="1" si="1072"/>
        <v>50669220.41838704</v>
      </c>
      <c r="U1145" s="2">
        <f t="shared" ca="1" si="1073"/>
        <v>52221576.831916772</v>
      </c>
      <c r="V1145" s="2">
        <f t="shared" ca="1" si="1074"/>
        <v>53821492.896349527</v>
      </c>
      <c r="W1145" s="2">
        <f t="shared" ca="1" si="1075"/>
        <v>55470425.700002335</v>
      </c>
      <c r="X1145" s="2">
        <f t="shared" ca="1" si="1076"/>
        <v>57169876.972107857</v>
      </c>
      <c r="Y1145" s="2">
        <f t="shared" ca="1" si="1077"/>
        <v>0.12438529511617302</v>
      </c>
      <c r="Z1145" s="2">
        <f t="shared" ca="1" si="1078"/>
        <v>0.12613941316264224</v>
      </c>
      <c r="AA1145" s="2">
        <f t="shared" ca="1" si="1079"/>
        <v>6302505.9350474924</v>
      </c>
      <c r="AB1145" s="2">
        <f t="shared" ca="1" si="1080"/>
        <v>6587199.056005815</v>
      </c>
      <c r="AC1145" s="2">
        <f t="shared" ca="1" si="1081"/>
        <v>6789011.5294828471</v>
      </c>
      <c r="AD1145" s="2">
        <f t="shared" ca="1" si="1082"/>
        <v>6997006.945680243</v>
      </c>
      <c r="AE1145" s="2">
        <f t="shared" ca="1" si="1083"/>
        <v>7211374.7318421397</v>
      </c>
      <c r="AF1145" s="2">
        <f t="shared" ca="1" si="1084"/>
        <v>1013384.4083677408</v>
      </c>
      <c r="AG1145" s="2">
        <f t="shared" ca="1" si="1085"/>
        <v>1044431.5366383354</v>
      </c>
      <c r="AH1145" s="2">
        <f t="shared" ca="1" si="1086"/>
        <v>1076429.8579269906</v>
      </c>
      <c r="AI1145" s="2">
        <f t="shared" ca="1" si="1087"/>
        <v>1109408.5140000468</v>
      </c>
      <c r="AJ1145" s="2">
        <f t="shared" ca="1" si="1088"/>
        <v>1143397.5394421571</v>
      </c>
      <c r="AK1145" s="2">
        <f t="shared" ca="1" si="1089"/>
        <v>0</v>
      </c>
      <c r="AL1145" s="2">
        <f t="shared" ca="1" si="1090"/>
        <v>15523.564135297314</v>
      </c>
      <c r="AM1145" s="2">
        <f t="shared" ca="1" si="1091"/>
        <v>15999.160644327552</v>
      </c>
      <c r="AN1145" s="2">
        <f t="shared" ca="1" si="1092"/>
        <v>16489.328036528081</v>
      </c>
      <c r="AO1145" s="2">
        <f t="shared" ca="1" si="1093"/>
        <v>16994.512721055224</v>
      </c>
      <c r="AP1145" s="2">
        <f t="shared" ca="1" si="1094"/>
        <v>2286297.5696065044</v>
      </c>
      <c r="AQ1145" s="2">
        <f t="shared" ca="1" si="1095"/>
        <v>780734.22883904423</v>
      </c>
      <c r="AR1145" s="2">
        <f t="shared" ca="1" si="1096"/>
        <v>846682.18693785358</v>
      </c>
      <c r="AS1145" s="2">
        <f t="shared" ca="1" si="1097"/>
        <v>890833.86650683149</v>
      </c>
      <c r="AT1145" s="2">
        <f t="shared" ca="1" si="1098"/>
        <v>936338.22413915989</v>
      </c>
      <c r="AU1145" s="2">
        <f t="shared" ca="1" si="1099"/>
        <v>983236.70192630426</v>
      </c>
      <c r="AV1145" s="2">
        <f t="shared" ca="1" si="1100"/>
        <v>2222089.7282342026</v>
      </c>
      <c r="AW1145" s="2">
        <f t="shared" ca="1" si="1101"/>
        <v>2394264.1986878244</v>
      </c>
      <c r="AX1145" s="2">
        <f t="shared" ca="1" si="1102"/>
        <v>2519451.0747981928</v>
      </c>
      <c r="AY1145" s="2">
        <f t="shared" ca="1" si="1103"/>
        <v>2648473.3098980039</v>
      </c>
      <c r="AZ1145" s="2">
        <f t="shared" ca="1" si="1104"/>
        <v>2781448.4081461187</v>
      </c>
      <c r="BA1145" s="2">
        <f t="shared" ca="1" si="1105"/>
        <v>56331404.982622325</v>
      </c>
      <c r="BB1145" s="2">
        <f t="shared" ca="1" si="1106"/>
        <v>1126628.0996524466</v>
      </c>
      <c r="BC1145" s="2">
        <f t="shared" ca="1" si="1107"/>
        <v>29801470.554008719</v>
      </c>
      <c r="BD1145" s="2">
        <f t="shared" ca="1" si="1108"/>
        <v>-18494008.649680827</v>
      </c>
      <c r="BE1145" s="2">
        <f t="shared" ca="1" si="1109"/>
        <v>2222089.7282342026</v>
      </c>
      <c r="BF1145" s="2">
        <f t="shared" ca="1" si="1110"/>
        <v>2394264.1986878244</v>
      </c>
      <c r="BG1145" s="2">
        <f t="shared" ca="1" si="1111"/>
        <v>2519451.0747981928</v>
      </c>
      <c r="BH1145" s="2">
        <f t="shared" ca="1" si="1112"/>
        <v>2648473.3098980039</v>
      </c>
      <c r="BI1145" s="2">
        <f t="shared" ca="1" si="1113"/>
        <v>32582918.962154835</v>
      </c>
      <c r="BJ1145" s="2">
        <f t="shared" ca="1" si="1114"/>
        <v>0.21312196445688558</v>
      </c>
      <c r="BK1145" s="2">
        <f t="shared" ca="1" si="1115"/>
        <v>7363564.2324920259</v>
      </c>
    </row>
    <row r="1146" spans="1:63" x14ac:dyDescent="0.3">
      <c r="A1146" s="2">
        <v>1145</v>
      </c>
      <c r="B1146" s="2">
        <f t="shared" ca="1" si="1054"/>
        <v>0.34596748785525977</v>
      </c>
      <c r="C1146" s="2">
        <f t="shared" ca="1" si="1055"/>
        <v>6.8318262893840993</v>
      </c>
      <c r="D1146" s="2">
        <f t="shared" ca="1" si="1056"/>
        <v>0.70762961193464669</v>
      </c>
      <c r="E1146" s="2">
        <f t="shared" ca="1" si="1057"/>
        <v>7.7353165516825237</v>
      </c>
      <c r="F1146" s="2">
        <f t="shared" ca="1" si="1058"/>
        <v>0.57255545468129432</v>
      </c>
      <c r="G1146" s="2">
        <f t="shared" ca="1" si="1059"/>
        <v>4.54865179612855E-2</v>
      </c>
      <c r="H1146" s="2">
        <f t="shared" ca="1" si="1060"/>
        <v>4.54865179612855E-2</v>
      </c>
      <c r="I1146" s="2">
        <f t="shared" ca="1" si="1061"/>
        <v>0.40064212168923352</v>
      </c>
      <c r="J1146" s="2">
        <f t="shared" ca="1" si="1062"/>
        <v>8.741573003003612E-3</v>
      </c>
      <c r="K1146" s="2">
        <f t="shared" ca="1" si="1063"/>
        <v>8.741573003003612E-3</v>
      </c>
      <c r="L1146" s="2">
        <f t="shared" ca="1" si="1064"/>
        <v>0.48403031862453783</v>
      </c>
      <c r="M1146" s="2">
        <f t="shared" ca="1" si="1065"/>
        <v>-8.0081503202356498E-4</v>
      </c>
      <c r="N1146" s="2">
        <f t="shared" ca="1" si="1066"/>
        <v>-8.0081503202356498E-4</v>
      </c>
      <c r="O1146" s="2">
        <f t="shared" si="1067"/>
        <v>6000000</v>
      </c>
      <c r="P1146" s="2">
        <f t="shared" ca="1" si="1068"/>
        <v>40990957.736304596</v>
      </c>
      <c r="Q1146" s="2">
        <f t="shared" ca="1" si="1069"/>
        <v>1024773.9434076149</v>
      </c>
      <c r="R1146" s="2">
        <f t="shared" ca="1" si="1070"/>
        <v>24594574.641782757</v>
      </c>
      <c r="S1146" s="2">
        <f t="shared" ca="1" si="1071"/>
        <v>16396383.094521839</v>
      </c>
      <c r="T1146" s="2">
        <f t="shared" ca="1" si="1072"/>
        <v>49959959.248398826</v>
      </c>
      <c r="U1146" s="2">
        <f t="shared" ca="1" si="1073"/>
        <v>52232463.832096212</v>
      </c>
      <c r="V1146" s="2">
        <f t="shared" ca="1" si="1074"/>
        <v>54608336.736357056</v>
      </c>
      <c r="W1146" s="2">
        <f t="shared" ca="1" si="1075"/>
        <v>57092279.826151289</v>
      </c>
      <c r="X1146" s="2">
        <f t="shared" ca="1" si="1076"/>
        <v>59689208.837914258</v>
      </c>
      <c r="Y1146" s="2">
        <f t="shared" ca="1" si="1077"/>
        <v>0.1243707865015018</v>
      </c>
      <c r="Z1146" s="2">
        <f t="shared" ca="1" si="1078"/>
        <v>0.12611910110210253</v>
      </c>
      <c r="AA1146" s="2">
        <f t="shared" ca="1" si="1079"/>
        <v>6213559.4253063407</v>
      </c>
      <c r="AB1146" s="2">
        <f t="shared" ca="1" si="1080"/>
        <v>6587511.3868520558</v>
      </c>
      <c r="AC1146" s="2">
        <f t="shared" ca="1" si="1081"/>
        <v>6887154.3418702753</v>
      </c>
      <c r="AD1146" s="2">
        <f t="shared" ca="1" si="1082"/>
        <v>7200427.0115439035</v>
      </c>
      <c r="AE1146" s="2">
        <f t="shared" ca="1" si="1083"/>
        <v>7527949.3641334204</v>
      </c>
      <c r="AF1146" s="2">
        <f t="shared" ca="1" si="1084"/>
        <v>999199.18496797653</v>
      </c>
      <c r="AG1146" s="2">
        <f t="shared" ca="1" si="1085"/>
        <v>1044649.2766419243</v>
      </c>
      <c r="AH1146" s="2">
        <f t="shared" ca="1" si="1086"/>
        <v>1092166.7347271412</v>
      </c>
      <c r="AI1146" s="2">
        <f t="shared" ca="1" si="1087"/>
        <v>1141845.5965230258</v>
      </c>
      <c r="AJ1146" s="2">
        <f t="shared" ca="1" si="1088"/>
        <v>1193784.1767582851</v>
      </c>
      <c r="AK1146" s="2">
        <f t="shared" ca="1" si="1089"/>
        <v>0</v>
      </c>
      <c r="AL1146" s="2">
        <f t="shared" ca="1" si="1090"/>
        <v>22725.045836973863</v>
      </c>
      <c r="AM1146" s="2">
        <f t="shared" ca="1" si="1091"/>
        <v>23758.72904260844</v>
      </c>
      <c r="AN1146" s="2">
        <f t="shared" ca="1" si="1092"/>
        <v>24839.430897942337</v>
      </c>
      <c r="AO1146" s="2">
        <f t="shared" ca="1" si="1093"/>
        <v>25969.290117629691</v>
      </c>
      <c r="AP1146" s="2">
        <f t="shared" ca="1" si="1094"/>
        <v>2213511.7177604479</v>
      </c>
      <c r="AQ1146" s="2">
        <f t="shared" ca="1" si="1095"/>
        <v>780220.61587025842</v>
      </c>
      <c r="AR1146" s="2">
        <f t="shared" ca="1" si="1096"/>
        <v>865631.10203691781</v>
      </c>
      <c r="AS1146" s="2">
        <f t="shared" ca="1" si="1097"/>
        <v>931183.73123949836</v>
      </c>
      <c r="AT1146" s="2">
        <f t="shared" ca="1" si="1098"/>
        <v>999718.12128771178</v>
      </c>
      <c r="AU1146" s="2">
        <f t="shared" ca="1" si="1099"/>
        <v>1071369.9020998189</v>
      </c>
      <c r="AV1146" s="2">
        <f t="shared" ca="1" si="1100"/>
        <v>2220627.906707658</v>
      </c>
      <c r="AW1146" s="2">
        <f t="shared" ca="1" si="1101"/>
        <v>2440994.2445757925</v>
      </c>
      <c r="AX1146" s="2">
        <f t="shared" ca="1" si="1102"/>
        <v>2626533.4291005791</v>
      </c>
      <c r="AY1146" s="2">
        <f t="shared" ca="1" si="1103"/>
        <v>2820512.145074775</v>
      </c>
      <c r="AZ1146" s="2">
        <f t="shared" ca="1" si="1104"/>
        <v>3023314.2773972391</v>
      </c>
      <c r="BA1146" s="2">
        <f t="shared" ca="1" si="1105"/>
        <v>58231071.316609174</v>
      </c>
      <c r="BB1146" s="2">
        <f t="shared" ca="1" si="1106"/>
        <v>1164621.4263321834</v>
      </c>
      <c r="BC1146" s="2">
        <f t="shared" ca="1" si="1107"/>
        <v>32471875.24849423</v>
      </c>
      <c r="BD1146" s="2">
        <f t="shared" ca="1" si="1108"/>
        <v>-17921157.037929453</v>
      </c>
      <c r="BE1146" s="2">
        <f t="shared" ca="1" si="1109"/>
        <v>2220627.906707658</v>
      </c>
      <c r="BF1146" s="2">
        <f t="shared" ca="1" si="1110"/>
        <v>2440994.2445757925</v>
      </c>
      <c r="BG1146" s="2">
        <f t="shared" ca="1" si="1111"/>
        <v>2626533.4291005791</v>
      </c>
      <c r="BH1146" s="2">
        <f t="shared" ca="1" si="1112"/>
        <v>2820512.145074775</v>
      </c>
      <c r="BI1146" s="2">
        <f t="shared" ca="1" si="1113"/>
        <v>35495189.525891468</v>
      </c>
      <c r="BJ1146" s="2">
        <f t="shared" ca="1" si="1114"/>
        <v>0.24226924864264077</v>
      </c>
      <c r="BK1146" s="2">
        <f t="shared" ca="1" si="1115"/>
        <v>9810416.9765386581</v>
      </c>
    </row>
    <row r="1147" spans="1:63" x14ac:dyDescent="0.3">
      <c r="A1147" s="2">
        <v>1146</v>
      </c>
      <c r="B1147" s="2">
        <f t="shared" ca="1" si="1054"/>
        <v>0.12283776836481752</v>
      </c>
      <c r="C1147" s="2">
        <f t="shared" ca="1" si="1055"/>
        <v>6.4956566722335483</v>
      </c>
      <c r="D1147" s="2">
        <f t="shared" ca="1" si="1056"/>
        <v>0.57242928574647955</v>
      </c>
      <c r="E1147" s="2">
        <f t="shared" ca="1" si="1057"/>
        <v>7.5752614269389209</v>
      </c>
      <c r="F1147" s="2">
        <f t="shared" ca="1" si="1058"/>
        <v>0.89009057055510488</v>
      </c>
      <c r="G1147" s="2">
        <f t="shared" ca="1" si="1059"/>
        <v>7.6810297886128365E-2</v>
      </c>
      <c r="H1147" s="2">
        <f t="shared" ca="1" si="1060"/>
        <v>7.6810297886128365E-2</v>
      </c>
      <c r="I1147" s="2">
        <f t="shared" ca="1" si="1061"/>
        <v>0.13378254785380028</v>
      </c>
      <c r="J1147" s="2">
        <f t="shared" ca="1" si="1062"/>
        <v>4.4565634213642449E-3</v>
      </c>
      <c r="K1147" s="2">
        <f t="shared" ca="1" si="1063"/>
        <v>4.4565634213642449E-3</v>
      </c>
      <c r="L1147" s="2">
        <f t="shared" ca="1" si="1064"/>
        <v>0.18206006470711056</v>
      </c>
      <c r="M1147" s="2">
        <f t="shared" ca="1" si="1065"/>
        <v>-1.8150844552661013E-2</v>
      </c>
      <c r="N1147" s="2">
        <f t="shared" ca="1" si="1066"/>
        <v>-1.8150844552661013E-2</v>
      </c>
      <c r="O1147" s="2">
        <f t="shared" si="1067"/>
        <v>6000000</v>
      </c>
      <c r="P1147" s="2">
        <f t="shared" ca="1" si="1068"/>
        <v>38973940.033401288</v>
      </c>
      <c r="Q1147" s="2">
        <f t="shared" ca="1" si="1069"/>
        <v>974348.5008350322</v>
      </c>
      <c r="R1147" s="2">
        <f t="shared" ca="1" si="1070"/>
        <v>23384364.020040773</v>
      </c>
      <c r="S1147" s="2">
        <f t="shared" ca="1" si="1071"/>
        <v>15589576.013360515</v>
      </c>
      <c r="T1147" s="2">
        <f t="shared" ca="1" si="1072"/>
        <v>49092457.772366948</v>
      </c>
      <c r="U1147" s="2">
        <f t="shared" ca="1" si="1073"/>
        <v>52863264.077824622</v>
      </c>
      <c r="V1147" s="2">
        <f t="shared" ca="1" si="1074"/>
        <v>56923707.138875395</v>
      </c>
      <c r="W1147" s="2">
        <f t="shared" ca="1" si="1075"/>
        <v>61296034.040995136</v>
      </c>
      <c r="X1147" s="2">
        <f t="shared" ca="1" si="1076"/>
        <v>66004200.674922228</v>
      </c>
      <c r="Y1147" s="2">
        <f t="shared" ca="1" si="1077"/>
        <v>0.12222828171068212</v>
      </c>
      <c r="Z1147" s="2">
        <f t="shared" ca="1" si="1078"/>
        <v>0.12311959439495497</v>
      </c>
      <c r="AA1147" s="2">
        <f t="shared" ca="1" si="1079"/>
        <v>6000486.7584706331</v>
      </c>
      <c r="AB1147" s="2">
        <f t="shared" ca="1" si="1080"/>
        <v>6508503.6316551613</v>
      </c>
      <c r="AC1147" s="2">
        <f t="shared" ca="1" si="1081"/>
        <v>7008423.7343955413</v>
      </c>
      <c r="AD1147" s="2">
        <f t="shared" ca="1" si="1082"/>
        <v>7546742.8491466735</v>
      </c>
      <c r="AE1147" s="2">
        <f t="shared" ca="1" si="1083"/>
        <v>8126410.4154596375</v>
      </c>
      <c r="AF1147" s="2">
        <f t="shared" ca="1" si="1084"/>
        <v>981849.15544733894</v>
      </c>
      <c r="AG1147" s="2">
        <f t="shared" ca="1" si="1085"/>
        <v>1057265.2815564924</v>
      </c>
      <c r="AH1147" s="2">
        <f t="shared" ca="1" si="1086"/>
        <v>1138474.1427775079</v>
      </c>
      <c r="AI1147" s="2">
        <f t="shared" ca="1" si="1087"/>
        <v>1225920.6808199028</v>
      </c>
      <c r="AJ1147" s="2">
        <f t="shared" ca="1" si="1088"/>
        <v>1320084.0134984446</v>
      </c>
      <c r="AK1147" s="2">
        <f t="shared" ca="1" si="1089"/>
        <v>0</v>
      </c>
      <c r="AL1147" s="2">
        <f t="shared" ca="1" si="1090"/>
        <v>37708.063054576742</v>
      </c>
      <c r="AM1147" s="2">
        <f t="shared" ca="1" si="1091"/>
        <v>40604.430610507727</v>
      </c>
      <c r="AN1147" s="2">
        <f t="shared" ca="1" si="1092"/>
        <v>43723.269021197411</v>
      </c>
      <c r="AO1147" s="2">
        <f t="shared" ca="1" si="1093"/>
        <v>47081.666339270923</v>
      </c>
      <c r="AP1147" s="2">
        <f t="shared" ca="1" si="1094"/>
        <v>2104592.7618036694</v>
      </c>
      <c r="AQ1147" s="2">
        <f t="shared" ca="1" si="1095"/>
        <v>757651.65871710249</v>
      </c>
      <c r="AR1147" s="2">
        <f t="shared" ca="1" si="1096"/>
        <v>870127.85295669979</v>
      </c>
      <c r="AS1147" s="2">
        <f t="shared" ca="1" si="1097"/>
        <v>978992.77575173462</v>
      </c>
      <c r="AT1147" s="2">
        <f t="shared" ca="1" si="1098"/>
        <v>1096219.6456960062</v>
      </c>
      <c r="AU1147" s="2">
        <f t="shared" ca="1" si="1099"/>
        <v>1222450.7464409559</v>
      </c>
      <c r="AV1147" s="2">
        <f t="shared" ca="1" si="1100"/>
        <v>2156393.1825025226</v>
      </c>
      <c r="AW1147" s="2">
        <f t="shared" ca="1" si="1101"/>
        <v>2438809.6722837226</v>
      </c>
      <c r="AX1147" s="2">
        <f t="shared" ca="1" si="1102"/>
        <v>2745759.6234521219</v>
      </c>
      <c r="AY1147" s="2">
        <f t="shared" ca="1" si="1103"/>
        <v>3076286.4918058985</v>
      </c>
      <c r="AZ1147" s="2">
        <f t="shared" ca="1" si="1104"/>
        <v>3432201.227377296</v>
      </c>
      <c r="BA1147" s="2">
        <f t="shared" ca="1" si="1105"/>
        <v>61559683.359706081</v>
      </c>
      <c r="BB1147" s="2">
        <f t="shared" ca="1" si="1106"/>
        <v>1231193.6671941218</v>
      </c>
      <c r="BC1147" s="2">
        <f t="shared" ca="1" si="1107"/>
        <v>36944125.672471188</v>
      </c>
      <c r="BD1147" s="2">
        <f t="shared" ca="1" si="1108"/>
        <v>-17063924.514195547</v>
      </c>
      <c r="BE1147" s="2">
        <f t="shared" ca="1" si="1109"/>
        <v>2156393.1825025226</v>
      </c>
      <c r="BF1147" s="2">
        <f t="shared" ca="1" si="1110"/>
        <v>2438809.6722837226</v>
      </c>
      <c r="BG1147" s="2">
        <f t="shared" ca="1" si="1111"/>
        <v>2745759.6234521219</v>
      </c>
      <c r="BH1147" s="2">
        <f t="shared" ca="1" si="1112"/>
        <v>3076286.4918058985</v>
      </c>
      <c r="BI1147" s="2">
        <f t="shared" ca="1" si="1113"/>
        <v>40376326.899848484</v>
      </c>
      <c r="BJ1147" s="2">
        <f t="shared" ca="1" si="1114"/>
        <v>0.28568695799083721</v>
      </c>
      <c r="BK1147" s="2">
        <f t="shared" ca="1" si="1115"/>
        <v>13625656.044226419</v>
      </c>
    </row>
    <row r="1148" spans="1:63" x14ac:dyDescent="0.3">
      <c r="A1148" s="2">
        <v>1147</v>
      </c>
      <c r="B1148" s="2">
        <f t="shared" ca="1" si="1054"/>
        <v>0.75795043021640773</v>
      </c>
      <c r="C1148" s="2">
        <f t="shared" ca="1" si="1055"/>
        <v>7.3042276668570496</v>
      </c>
      <c r="D1148" s="2">
        <f t="shared" ca="1" si="1056"/>
        <v>0.20789731841092463</v>
      </c>
      <c r="E1148" s="2">
        <f t="shared" ca="1" si="1057"/>
        <v>7.1448213991655747</v>
      </c>
      <c r="F1148" s="2">
        <f t="shared" ca="1" si="1058"/>
        <v>0.44792071641519082</v>
      </c>
      <c r="G1148" s="2">
        <f t="shared" ca="1" si="1059"/>
        <v>3.6072507689485778E-2</v>
      </c>
      <c r="H1148" s="2">
        <f t="shared" ca="1" si="1060"/>
        <v>3.6072507689485778E-2</v>
      </c>
      <c r="I1148" s="2">
        <f t="shared" ca="1" si="1061"/>
        <v>8.7952271566761442E-2</v>
      </c>
      <c r="J1148" s="2">
        <f t="shared" ca="1" si="1062"/>
        <v>3.2326345790353603E-3</v>
      </c>
      <c r="K1148" s="2">
        <f t="shared" ca="1" si="1063"/>
        <v>3.2326345790353603E-3</v>
      </c>
      <c r="L1148" s="2">
        <f t="shared" ca="1" si="1064"/>
        <v>0.44274397851158298</v>
      </c>
      <c r="M1148" s="2">
        <f t="shared" ca="1" si="1065"/>
        <v>-2.8803169138486733E-3</v>
      </c>
      <c r="N1148" s="2">
        <f t="shared" ca="1" si="1066"/>
        <v>-2.8803169138486733E-3</v>
      </c>
      <c r="O1148" s="2">
        <f t="shared" si="1067"/>
        <v>6000000</v>
      </c>
      <c r="P1148" s="2">
        <f t="shared" ca="1" si="1068"/>
        <v>43825366.001142301</v>
      </c>
      <c r="Q1148" s="2">
        <f t="shared" ca="1" si="1069"/>
        <v>1095634.1500285575</v>
      </c>
      <c r="R1148" s="2">
        <f t="shared" ca="1" si="1070"/>
        <v>26295219.60068538</v>
      </c>
      <c r="S1148" s="2">
        <f t="shared" ca="1" si="1071"/>
        <v>17530146.40045692</v>
      </c>
      <c r="T1148" s="2">
        <f t="shared" ca="1" si="1072"/>
        <v>49855984.154307567</v>
      </c>
      <c r="U1148" s="2">
        <f t="shared" ca="1" si="1073"/>
        <v>51654414.526080713</v>
      </c>
      <c r="V1148" s="2">
        <f t="shared" ca="1" si="1074"/>
        <v>53517718.791268654</v>
      </c>
      <c r="W1148" s="2">
        <f t="shared" ca="1" si="1075"/>
        <v>55448237.113890439</v>
      </c>
      <c r="X1148" s="2">
        <f t="shared" ca="1" si="1076"/>
        <v>57448394.073549688</v>
      </c>
      <c r="Y1148" s="2">
        <f t="shared" ca="1" si="1077"/>
        <v>0.12161631728951768</v>
      </c>
      <c r="Z1148" s="2">
        <f t="shared" ca="1" si="1078"/>
        <v>0.12226284420532475</v>
      </c>
      <c r="AA1148" s="2">
        <f t="shared" ca="1" si="1079"/>
        <v>6063301.1876914343</v>
      </c>
      <c r="AB1148" s="2">
        <f t="shared" ca="1" si="1080"/>
        <v>6315415.6357194697</v>
      </c>
      <c r="AC1148" s="2">
        <f t="shared" ca="1" si="1081"/>
        <v>6543228.5148012601</v>
      </c>
      <c r="AD1148" s="2">
        <f t="shared" ca="1" si="1082"/>
        <v>6779259.175715493</v>
      </c>
      <c r="AE1148" s="2">
        <f t="shared" ca="1" si="1083"/>
        <v>7023804.0544605069</v>
      </c>
      <c r="AF1148" s="2">
        <f t="shared" ca="1" si="1084"/>
        <v>997119.68308615137</v>
      </c>
      <c r="AG1148" s="2">
        <f t="shared" ca="1" si="1085"/>
        <v>1033088.2905216143</v>
      </c>
      <c r="AH1148" s="2">
        <f t="shared" ca="1" si="1086"/>
        <v>1070354.375825373</v>
      </c>
      <c r="AI1148" s="2">
        <f t="shared" ca="1" si="1087"/>
        <v>1108964.7422778087</v>
      </c>
      <c r="AJ1148" s="2">
        <f t="shared" ca="1" si="1088"/>
        <v>1148967.8814709939</v>
      </c>
      <c r="AK1148" s="2">
        <f t="shared" ca="1" si="1089"/>
        <v>0</v>
      </c>
      <c r="AL1148" s="2">
        <f t="shared" ca="1" si="1090"/>
        <v>17984.303717731462</v>
      </c>
      <c r="AM1148" s="2">
        <f t="shared" ca="1" si="1091"/>
        <v>18633.042651879416</v>
      </c>
      <c r="AN1148" s="2">
        <f t="shared" ca="1" si="1092"/>
        <v>19305.18322621785</v>
      </c>
      <c r="AO1148" s="2">
        <f t="shared" ca="1" si="1093"/>
        <v>20001.569596592486</v>
      </c>
      <c r="AP1148" s="2">
        <f t="shared" ca="1" si="1094"/>
        <v>2366569.7640616843</v>
      </c>
      <c r="AQ1148" s="2">
        <f t="shared" ca="1" si="1095"/>
        <v>701899.0525413357</v>
      </c>
      <c r="AR1148" s="2">
        <f t="shared" ca="1" si="1096"/>
        <v>758096.97109540459</v>
      </c>
      <c r="AS1148" s="2">
        <f t="shared" ca="1" si="1097"/>
        <v>807639.13747769268</v>
      </c>
      <c r="AT1148" s="2">
        <f t="shared" ca="1" si="1098"/>
        <v>858968.41403776011</v>
      </c>
      <c r="AU1148" s="2">
        <f t="shared" ca="1" si="1099"/>
        <v>912149.26632123545</v>
      </c>
      <c r="AV1148" s="2">
        <f t="shared" ca="1" si="1100"/>
        <v>1997712.6880022627</v>
      </c>
      <c r="AW1148" s="2">
        <f t="shared" ca="1" si="1101"/>
        <v>2139676.3063230352</v>
      </c>
      <c r="AX1148" s="2">
        <f t="shared" ca="1" si="1102"/>
        <v>2280032.1947846296</v>
      </c>
      <c r="AY1148" s="2">
        <f t="shared" ca="1" si="1103"/>
        <v>2425451.0721120224</v>
      </c>
      <c r="AZ1148" s="2">
        <f t="shared" ca="1" si="1104"/>
        <v>2576115.5730100009</v>
      </c>
      <c r="BA1148" s="2">
        <f t="shared" ca="1" si="1105"/>
        <v>50183825.511855356</v>
      </c>
      <c r="BB1148" s="2">
        <f t="shared" ca="1" si="1106"/>
        <v>1003676.5102371072</v>
      </c>
      <c r="BC1148" s="2">
        <f t="shared" ca="1" si="1107"/>
        <v>22884929.400932867</v>
      </c>
      <c r="BD1148" s="2">
        <f t="shared" ca="1" si="1108"/>
        <v>-19125780.550485477</v>
      </c>
      <c r="BE1148" s="2">
        <f t="shared" ca="1" si="1109"/>
        <v>1997712.6880022627</v>
      </c>
      <c r="BF1148" s="2">
        <f t="shared" ca="1" si="1110"/>
        <v>2139676.3063230352</v>
      </c>
      <c r="BG1148" s="2">
        <f t="shared" ca="1" si="1111"/>
        <v>2280032.1947846296</v>
      </c>
      <c r="BH1148" s="2">
        <f t="shared" ca="1" si="1112"/>
        <v>2425451.0721120224</v>
      </c>
      <c r="BI1148" s="2">
        <f t="shared" ca="1" si="1113"/>
        <v>25461044.973942868</v>
      </c>
      <c r="BJ1148" s="2">
        <f t="shared" ca="1" si="1114"/>
        <v>0.14670514262864986</v>
      </c>
      <c r="BK1148" s="2">
        <f t="shared" ca="1" si="1115"/>
        <v>1975208.9218295626</v>
      </c>
    </row>
    <row r="1149" spans="1:63" x14ac:dyDescent="0.3">
      <c r="A1149" s="2">
        <v>1148</v>
      </c>
      <c r="B1149" s="2">
        <f t="shared" ca="1" si="1054"/>
        <v>0.91100255181950729</v>
      </c>
      <c r="C1149" s="2">
        <f t="shared" ca="1" si="1055"/>
        <v>7.5781055862410769</v>
      </c>
      <c r="D1149" s="2">
        <f t="shared" ca="1" si="1056"/>
        <v>0.54810686096236982</v>
      </c>
      <c r="E1149" s="2">
        <f t="shared" ca="1" si="1057"/>
        <v>7.5493232525851592</v>
      </c>
      <c r="F1149" s="2">
        <f t="shared" ca="1" si="1058"/>
        <v>0.85907104742018525</v>
      </c>
      <c r="G1149" s="2">
        <f t="shared" ca="1" si="1059"/>
        <v>7.2284652426624213E-2</v>
      </c>
      <c r="H1149" s="2">
        <f t="shared" ca="1" si="1060"/>
        <v>7.2284652426624213E-2</v>
      </c>
      <c r="I1149" s="2">
        <f t="shared" ca="1" si="1061"/>
        <v>0.52091097463312264</v>
      </c>
      <c r="J1149" s="2">
        <f t="shared" ca="1" si="1062"/>
        <v>1.0262200325192239E-2</v>
      </c>
      <c r="K1149" s="2">
        <f t="shared" ca="1" si="1063"/>
        <v>1.0262200325192239E-2</v>
      </c>
      <c r="L1149" s="2">
        <f t="shared" ca="1" si="1064"/>
        <v>0.42666442881773714</v>
      </c>
      <c r="M1149" s="2">
        <f t="shared" ca="1" si="1065"/>
        <v>-3.697454675107448E-3</v>
      </c>
      <c r="N1149" s="2">
        <f t="shared" ca="1" si="1066"/>
        <v>-3.697454675107448E-3</v>
      </c>
      <c r="O1149" s="2">
        <f t="shared" si="1067"/>
        <v>6000000</v>
      </c>
      <c r="P1149" s="2">
        <f t="shared" ca="1" si="1068"/>
        <v>45468633.517446458</v>
      </c>
      <c r="Q1149" s="2">
        <f t="shared" ca="1" si="1069"/>
        <v>1136715.8379361616</v>
      </c>
      <c r="R1149" s="2">
        <f t="shared" ca="1" si="1070"/>
        <v>27281180.110467874</v>
      </c>
      <c r="S1149" s="2">
        <f t="shared" ca="1" si="1071"/>
        <v>18187453.406978585</v>
      </c>
      <c r="T1149" s="2">
        <f t="shared" ca="1" si="1072"/>
        <v>49815127.266244628</v>
      </c>
      <c r="U1149" s="2">
        <f t="shared" ca="1" si="1073"/>
        <v>53415996.426273175</v>
      </c>
      <c r="V1149" s="2">
        <f t="shared" ca="1" si="1074"/>
        <v>57277153.161968134</v>
      </c>
      <c r="W1149" s="2">
        <f t="shared" ca="1" si="1075"/>
        <v>61417412.270267524</v>
      </c>
      <c r="X1149" s="2">
        <f t="shared" ca="1" si="1076"/>
        <v>65856948.569166504</v>
      </c>
      <c r="Y1149" s="2">
        <f t="shared" ca="1" si="1077"/>
        <v>0.12513110016259613</v>
      </c>
      <c r="Z1149" s="2">
        <f t="shared" ca="1" si="1078"/>
        <v>0.12718354022763456</v>
      </c>
      <c r="AA1149" s="2">
        <f t="shared" ca="1" si="1079"/>
        <v>6233421.6795649296</v>
      </c>
      <c r="AB1149" s="2">
        <f t="shared" ca="1" si="1080"/>
        <v>6793635.5302800983</v>
      </c>
      <c r="AC1149" s="2">
        <f t="shared" ca="1" si="1081"/>
        <v>7284711.1132995607</v>
      </c>
      <c r="AD1149" s="2">
        <f t="shared" ca="1" si="1082"/>
        <v>7811283.9241527859</v>
      </c>
      <c r="AE1149" s="2">
        <f t="shared" ca="1" si="1083"/>
        <v>8375919.8676158488</v>
      </c>
      <c r="AF1149" s="2">
        <f t="shared" ca="1" si="1084"/>
        <v>996302.54532489262</v>
      </c>
      <c r="AG1149" s="2">
        <f t="shared" ca="1" si="1085"/>
        <v>1068319.9285254634</v>
      </c>
      <c r="AH1149" s="2">
        <f t="shared" ca="1" si="1086"/>
        <v>1145543.0632393628</v>
      </c>
      <c r="AI1149" s="2">
        <f t="shared" ca="1" si="1087"/>
        <v>1228348.2454053506</v>
      </c>
      <c r="AJ1149" s="2">
        <f t="shared" ca="1" si="1088"/>
        <v>1317138.9713833302</v>
      </c>
      <c r="AK1149" s="2">
        <f t="shared" ca="1" si="1089"/>
        <v>0</v>
      </c>
      <c r="AL1149" s="2">
        <f t="shared" ca="1" si="1090"/>
        <v>36008.69160028547</v>
      </c>
      <c r="AM1149" s="2">
        <f t="shared" ca="1" si="1091"/>
        <v>38611.567356949599</v>
      </c>
      <c r="AN1149" s="2">
        <f t="shared" ca="1" si="1092"/>
        <v>41402.591082993895</v>
      </c>
      <c r="AO1149" s="2">
        <f t="shared" ca="1" si="1093"/>
        <v>44395.3629889898</v>
      </c>
      <c r="AP1149" s="2">
        <f t="shared" ca="1" si="1094"/>
        <v>2455306.2099421085</v>
      </c>
      <c r="AQ1149" s="2">
        <f t="shared" ca="1" si="1095"/>
        <v>723271.36031746143</v>
      </c>
      <c r="AR1149" s="2">
        <f t="shared" ca="1" si="1096"/>
        <v>850202.4418712568</v>
      </c>
      <c r="AS1149" s="2">
        <f t="shared" ca="1" si="1097"/>
        <v>957804.07843070326</v>
      </c>
      <c r="AT1149" s="2">
        <f t="shared" ca="1" si="1098"/>
        <v>1073183.661889385</v>
      </c>
      <c r="AU1149" s="2">
        <f t="shared" ca="1" si="1099"/>
        <v>1196903.4184355065</v>
      </c>
      <c r="AV1149" s="2">
        <f t="shared" ca="1" si="1100"/>
        <v>2058541.5639804672</v>
      </c>
      <c r="AW1149" s="2">
        <f t="shared" ca="1" si="1101"/>
        <v>2383798.2583409841</v>
      </c>
      <c r="AX1149" s="2">
        <f t="shared" ca="1" si="1102"/>
        <v>2687446.1943304366</v>
      </c>
      <c r="AY1149" s="2">
        <f t="shared" ca="1" si="1103"/>
        <v>3013043.2158329482</v>
      </c>
      <c r="AZ1149" s="2">
        <f t="shared" ca="1" si="1104"/>
        <v>3362175.9048659136</v>
      </c>
      <c r="BA1149" s="2">
        <f t="shared" ca="1" si="1105"/>
        <v>63232526.618382335</v>
      </c>
      <c r="BB1149" s="2">
        <f t="shared" ca="1" si="1106"/>
        <v>1264650.5323676467</v>
      </c>
      <c r="BC1149" s="2">
        <f t="shared" ca="1" si="1107"/>
        <v>34686695.975546815</v>
      </c>
      <c r="BD1149" s="2">
        <f t="shared" ca="1" si="1108"/>
        <v>-19824169.244914748</v>
      </c>
      <c r="BE1149" s="2">
        <f t="shared" ca="1" si="1109"/>
        <v>2058541.5639804672</v>
      </c>
      <c r="BF1149" s="2">
        <f t="shared" ca="1" si="1110"/>
        <v>2383798.2583409841</v>
      </c>
      <c r="BG1149" s="2">
        <f t="shared" ca="1" si="1111"/>
        <v>2687446.1943304366</v>
      </c>
      <c r="BH1149" s="2">
        <f t="shared" ca="1" si="1112"/>
        <v>3013043.2158329482</v>
      </c>
      <c r="BI1149" s="2">
        <f t="shared" ca="1" si="1113"/>
        <v>38048871.880412728</v>
      </c>
      <c r="BJ1149" s="2">
        <f t="shared" ca="1" si="1114"/>
        <v>0.22555565156235136</v>
      </c>
      <c r="BK1149" s="2">
        <f t="shared" ca="1" si="1115"/>
        <v>9331829.9588247538</v>
      </c>
    </row>
    <row r="1150" spans="1:63" x14ac:dyDescent="0.3">
      <c r="A1150" s="2">
        <v>1149</v>
      </c>
      <c r="B1150" s="2">
        <f t="shared" ca="1" si="1054"/>
        <v>0.14011505863723517</v>
      </c>
      <c r="C1150" s="2">
        <f t="shared" ca="1" si="1055"/>
        <v>6.529367657941501</v>
      </c>
      <c r="D1150" s="2">
        <f t="shared" ca="1" si="1056"/>
        <v>0.96647839645476286</v>
      </c>
      <c r="E1150" s="2">
        <f t="shared" ca="1" si="1057"/>
        <v>8.2410729695638665</v>
      </c>
      <c r="F1150" s="2">
        <f t="shared" ca="1" si="1058"/>
        <v>0.13316473715639532</v>
      </c>
      <c r="G1150" s="2">
        <f t="shared" ca="1" si="1059"/>
        <v>6.6533461281991849E-3</v>
      </c>
      <c r="H1150" s="2">
        <f t="shared" ca="1" si="1060"/>
        <v>6.6533461281991849E-3</v>
      </c>
      <c r="I1150" s="2">
        <f t="shared" ca="1" si="1061"/>
        <v>0.90539586524909943</v>
      </c>
      <c r="J1150" s="2">
        <f t="shared" ca="1" si="1062"/>
        <v>1.6564624292280845E-2</v>
      </c>
      <c r="K1150" s="2">
        <f t="shared" ca="1" si="1063"/>
        <v>1.6564624292280845E-2</v>
      </c>
      <c r="L1150" s="2">
        <f t="shared" ca="1" si="1064"/>
        <v>0.31961196946391157</v>
      </c>
      <c r="M1150" s="2">
        <f t="shared" ca="1" si="1065"/>
        <v>-9.375682761990637E-3</v>
      </c>
      <c r="N1150" s="2">
        <f t="shared" ca="1" si="1066"/>
        <v>-9.375682761990637E-3</v>
      </c>
      <c r="O1150" s="2">
        <f t="shared" si="1067"/>
        <v>6000000</v>
      </c>
      <c r="P1150" s="2">
        <f t="shared" ca="1" si="1068"/>
        <v>39176205.94764901</v>
      </c>
      <c r="Q1150" s="2">
        <f t="shared" ca="1" si="1069"/>
        <v>979405.14869122533</v>
      </c>
      <c r="R1150" s="2">
        <f t="shared" ca="1" si="1070"/>
        <v>23505723.568589404</v>
      </c>
      <c r="S1150" s="2">
        <f t="shared" ca="1" si="1071"/>
        <v>15670482.379059605</v>
      </c>
      <c r="T1150" s="2">
        <f t="shared" ca="1" si="1072"/>
        <v>49531215.861900471</v>
      </c>
      <c r="U1150" s="2">
        <f t="shared" ca="1" si="1073"/>
        <v>49860764.185180247</v>
      </c>
      <c r="V1150" s="2">
        <f t="shared" ca="1" si="1074"/>
        <v>50192505.107520774</v>
      </c>
      <c r="W1150" s="2">
        <f t="shared" ca="1" si="1075"/>
        <v>50526453.217042521</v>
      </c>
      <c r="X1150" s="2">
        <f t="shared" ca="1" si="1076"/>
        <v>50862623.198925771</v>
      </c>
      <c r="Y1150" s="2">
        <f t="shared" ca="1" si="1077"/>
        <v>0.12828231214614041</v>
      </c>
      <c r="Z1150" s="2">
        <f t="shared" ca="1" si="1078"/>
        <v>0.13159523700459658</v>
      </c>
      <c r="AA1150" s="2">
        <f t="shared" ca="1" si="1079"/>
        <v>6353978.8941741772</v>
      </c>
      <c r="AB1150" s="2">
        <f t="shared" ca="1" si="1080"/>
        <v>6561439.0801790953</v>
      </c>
      <c r="AC1150" s="2">
        <f t="shared" ca="1" si="1081"/>
        <v>6605094.6054786202</v>
      </c>
      <c r="AD1150" s="2">
        <f t="shared" ca="1" si="1082"/>
        <v>6649040.586098372</v>
      </c>
      <c r="AE1150" s="2">
        <f t="shared" ca="1" si="1083"/>
        <v>6693278.9545381293</v>
      </c>
      <c r="AF1150" s="2">
        <f t="shared" ca="1" si="1084"/>
        <v>990624.31723800942</v>
      </c>
      <c r="AG1150" s="2">
        <f t="shared" ca="1" si="1085"/>
        <v>997215.28370360495</v>
      </c>
      <c r="AH1150" s="2">
        <f t="shared" ca="1" si="1086"/>
        <v>1003850.1021504155</v>
      </c>
      <c r="AI1150" s="2">
        <f t="shared" ca="1" si="1087"/>
        <v>1010529.0643408505</v>
      </c>
      <c r="AJ1150" s="2">
        <f t="shared" ca="1" si="1088"/>
        <v>1017252.4639785155</v>
      </c>
      <c r="AK1150" s="2">
        <f t="shared" ca="1" si="1089"/>
        <v>0</v>
      </c>
      <c r="AL1150" s="2">
        <f t="shared" ca="1" si="1090"/>
        <v>3295.483232797757</v>
      </c>
      <c r="AM1150" s="2">
        <f t="shared" ca="1" si="1091"/>
        <v>3317.4092234052719</v>
      </c>
      <c r="AN1150" s="2">
        <f t="shared" ca="1" si="1092"/>
        <v>3339.4810952174666</v>
      </c>
      <c r="AO1150" s="2">
        <f t="shared" ca="1" si="1093"/>
        <v>3361.6998188325019</v>
      </c>
      <c r="AP1150" s="2">
        <f t="shared" ca="1" si="1094"/>
        <v>2115515.1211730465</v>
      </c>
      <c r="AQ1150" s="2">
        <f t="shared" ca="1" si="1095"/>
        <v>844438.25849841151</v>
      </c>
      <c r="AR1150" s="2">
        <f t="shared" ca="1" si="1096"/>
        <v>896664.25557863549</v>
      </c>
      <c r="AS1150" s="2">
        <f t="shared" ca="1" si="1097"/>
        <v>906289.63936034101</v>
      </c>
      <c r="AT1150" s="2">
        <f t="shared" ca="1" si="1098"/>
        <v>915979.06415196357</v>
      </c>
      <c r="AU1150" s="2">
        <f t="shared" ca="1" si="1099"/>
        <v>925732.95604050742</v>
      </c>
      <c r="AV1150" s="2">
        <f t="shared" ca="1" si="1100"/>
        <v>2403401.1972647095</v>
      </c>
      <c r="AW1150" s="2">
        <f t="shared" ca="1" si="1101"/>
        <v>2548748.9364910107</v>
      </c>
      <c r="AX1150" s="2">
        <f t="shared" ca="1" si="1102"/>
        <v>2576122.3335714107</v>
      </c>
      <c r="AY1150" s="2">
        <f t="shared" ca="1" si="1103"/>
        <v>2603677.8553372947</v>
      </c>
      <c r="AZ1150" s="2">
        <f t="shared" ca="1" si="1104"/>
        <v>2631416.7135272268</v>
      </c>
      <c r="BA1150" s="2">
        <f t="shared" ca="1" si="1105"/>
        <v>55159800.26999487</v>
      </c>
      <c r="BB1150" s="2">
        <f t="shared" ca="1" si="1106"/>
        <v>1103196.0053998975</v>
      </c>
      <c r="BC1150" s="2">
        <f t="shared" ca="1" si="1107"/>
        <v>30550880.696005568</v>
      </c>
      <c r="BD1150" s="2">
        <f t="shared" ca="1" si="1108"/>
        <v>-17149887.527750831</v>
      </c>
      <c r="BE1150" s="2">
        <f t="shared" ca="1" si="1109"/>
        <v>2403401.1972647095</v>
      </c>
      <c r="BF1150" s="2">
        <f t="shared" ca="1" si="1110"/>
        <v>2548748.9364910107</v>
      </c>
      <c r="BG1150" s="2">
        <f t="shared" ca="1" si="1111"/>
        <v>2576122.3335714107</v>
      </c>
      <c r="BH1150" s="2">
        <f t="shared" ca="1" si="1112"/>
        <v>2603677.8553372947</v>
      </c>
      <c r="BI1150" s="2">
        <f t="shared" ca="1" si="1113"/>
        <v>33182297.409532793</v>
      </c>
      <c r="BJ1150" s="2">
        <f t="shared" ca="1" si="1114"/>
        <v>0.243862735965785</v>
      </c>
      <c r="BK1150" s="2">
        <f t="shared" ca="1" si="1115"/>
        <v>9344697.4709705822</v>
      </c>
    </row>
    <row r="1151" spans="1:63" x14ac:dyDescent="0.3">
      <c r="A1151" s="2">
        <v>1150</v>
      </c>
      <c r="B1151" s="2">
        <f t="shared" ca="1" si="1054"/>
        <v>0.84643094894243864</v>
      </c>
      <c r="C1151" s="2">
        <f t="shared" ca="1" si="1055"/>
        <v>7.4457995830792596</v>
      </c>
      <c r="D1151" s="2">
        <f t="shared" ca="1" si="1056"/>
        <v>0.14138701870695125</v>
      </c>
      <c r="E1151" s="2">
        <f t="shared" ca="1" si="1057"/>
        <v>7.031765020863447</v>
      </c>
      <c r="F1151" s="2">
        <f t="shared" ca="1" si="1058"/>
        <v>0.57945938789388141</v>
      </c>
      <c r="G1151" s="2">
        <f t="shared" ca="1" si="1059"/>
        <v>4.6015319707803697E-2</v>
      </c>
      <c r="H1151" s="2">
        <f t="shared" ca="1" si="1060"/>
        <v>4.6015319707803697E-2</v>
      </c>
      <c r="I1151" s="2">
        <f t="shared" ca="1" si="1061"/>
        <v>0.82719766016554896</v>
      </c>
      <c r="J1151" s="2">
        <f t="shared" ca="1" si="1062"/>
        <v>1.4715745153788855E-2</v>
      </c>
      <c r="K1151" s="2">
        <f t="shared" ca="1" si="1063"/>
        <v>1.4715745153788855E-2</v>
      </c>
      <c r="L1151" s="2">
        <f t="shared" ca="1" si="1064"/>
        <v>0.32101266903788161</v>
      </c>
      <c r="M1151" s="2">
        <f t="shared" ca="1" si="1065"/>
        <v>-9.2973781412241351E-3</v>
      </c>
      <c r="N1151" s="2">
        <f t="shared" ca="1" si="1066"/>
        <v>-9.2973781412241351E-3</v>
      </c>
      <c r="O1151" s="2">
        <f t="shared" si="1067"/>
        <v>6000000</v>
      </c>
      <c r="P1151" s="2">
        <f t="shared" ca="1" si="1068"/>
        <v>44674797.498475559</v>
      </c>
      <c r="Q1151" s="2">
        <f t="shared" ca="1" si="1069"/>
        <v>1116869.9374618891</v>
      </c>
      <c r="R1151" s="2">
        <f t="shared" ca="1" si="1070"/>
        <v>26804878.499085333</v>
      </c>
      <c r="S1151" s="2">
        <f t="shared" ca="1" si="1071"/>
        <v>17869918.999390226</v>
      </c>
      <c r="T1151" s="2">
        <f t="shared" ca="1" si="1072"/>
        <v>49535131.092938796</v>
      </c>
      <c r="U1151" s="2">
        <f t="shared" ca="1" si="1073"/>
        <v>51814505.986948341</v>
      </c>
      <c r="V1151" s="2">
        <f t="shared" ca="1" si="1074"/>
        <v>54198767.045439675</v>
      </c>
      <c r="W1151" s="2">
        <f t="shared" ca="1" si="1075"/>
        <v>56692740.638804361</v>
      </c>
      <c r="X1151" s="2">
        <f t="shared" ca="1" si="1076"/>
        <v>59301475.224410541</v>
      </c>
      <c r="Y1151" s="2">
        <f t="shared" ca="1" si="1077"/>
        <v>0.12735787257689443</v>
      </c>
      <c r="Z1151" s="2">
        <f t="shared" ca="1" si="1078"/>
        <v>0.1303010216076522</v>
      </c>
      <c r="AA1151" s="2">
        <f t="shared" ca="1" si="1079"/>
        <v>6308688.9138142606</v>
      </c>
      <c r="AB1151" s="2">
        <f t="shared" ca="1" si="1080"/>
        <v>6751483.0641951794</v>
      </c>
      <c r="AC1151" s="2">
        <f t="shared" ca="1" si="1081"/>
        <v>7062154.7158959433</v>
      </c>
      <c r="AD1151" s="2">
        <f t="shared" ca="1" si="1082"/>
        <v>7387122.022973869</v>
      </c>
      <c r="AE1151" s="2">
        <f t="shared" ca="1" si="1083"/>
        <v>7727042.8045815695</v>
      </c>
      <c r="AF1151" s="2">
        <f t="shared" ca="1" si="1084"/>
        <v>990702.62185877596</v>
      </c>
      <c r="AG1151" s="2">
        <f t="shared" ca="1" si="1085"/>
        <v>1036290.1197389668</v>
      </c>
      <c r="AH1151" s="2">
        <f t="shared" ca="1" si="1086"/>
        <v>1083975.3409087935</v>
      </c>
      <c r="AI1151" s="2">
        <f t="shared" ca="1" si="1087"/>
        <v>1133854.8127760873</v>
      </c>
      <c r="AJ1151" s="2">
        <f t="shared" ca="1" si="1088"/>
        <v>1186029.5044882109</v>
      </c>
      <c r="AK1151" s="2">
        <f t="shared" ca="1" si="1089"/>
        <v>0</v>
      </c>
      <c r="AL1151" s="2">
        <f t="shared" ca="1" si="1090"/>
        <v>22793.748940095455</v>
      </c>
      <c r="AM1151" s="2">
        <f t="shared" ca="1" si="1091"/>
        <v>23842.610584913342</v>
      </c>
      <c r="AN1151" s="2">
        <f t="shared" ca="1" si="1092"/>
        <v>24939.735933646858</v>
      </c>
      <c r="AO1151" s="2">
        <f t="shared" ca="1" si="1093"/>
        <v>26087.345856061802</v>
      </c>
      <c r="AP1151" s="2">
        <f t="shared" ca="1" si="1094"/>
        <v>2412439.0649176799</v>
      </c>
      <c r="AQ1151" s="2">
        <f t="shared" ca="1" si="1095"/>
        <v>755442.27902982931</v>
      </c>
      <c r="AR1151" s="2">
        <f t="shared" ca="1" si="1096"/>
        <v>858716.00868001848</v>
      </c>
      <c r="AS1151" s="2">
        <f t="shared" ca="1" si="1097"/>
        <v>927092.4806180622</v>
      </c>
      <c r="AT1151" s="2">
        <f t="shared" ca="1" si="1098"/>
        <v>998615.31777282665</v>
      </c>
      <c r="AU1151" s="2">
        <f t="shared" ca="1" si="1099"/>
        <v>1073429.3011456765</v>
      </c>
      <c r="AV1151" s="2">
        <f t="shared" ca="1" si="1100"/>
        <v>2150104.9480079757</v>
      </c>
      <c r="AW1151" s="2">
        <f t="shared" ca="1" si="1101"/>
        <v>2421244.1219184184</v>
      </c>
      <c r="AX1151" s="2">
        <f t="shared" ca="1" si="1102"/>
        <v>2614805.2188664936</v>
      </c>
      <c r="AY1151" s="2">
        <f t="shared" ca="1" si="1103"/>
        <v>2817273.0915736295</v>
      </c>
      <c r="AZ1151" s="2">
        <f t="shared" ca="1" si="1104"/>
        <v>3029057.5881739398</v>
      </c>
      <c r="BA1151" s="2">
        <f t="shared" ca="1" si="1105"/>
        <v>54334749.307971269</v>
      </c>
      <c r="BB1151" s="2">
        <f t="shared" ca="1" si="1106"/>
        <v>1086694.9861594255</v>
      </c>
      <c r="BC1151" s="2">
        <f t="shared" ca="1" si="1107"/>
        <v>26443175.82272651</v>
      </c>
      <c r="BD1151" s="2">
        <f t="shared" ca="1" si="1108"/>
        <v>-19486788.936852116</v>
      </c>
      <c r="BE1151" s="2">
        <f t="shared" ca="1" si="1109"/>
        <v>2150104.9480079757</v>
      </c>
      <c r="BF1151" s="2">
        <f t="shared" ca="1" si="1110"/>
        <v>2421244.1219184184</v>
      </c>
      <c r="BG1151" s="2">
        <f t="shared" ca="1" si="1111"/>
        <v>2614805.2188664936</v>
      </c>
      <c r="BH1151" s="2">
        <f t="shared" ca="1" si="1112"/>
        <v>2817273.0915736295</v>
      </c>
      <c r="BI1151" s="2">
        <f t="shared" ca="1" si="1113"/>
        <v>29472233.410900451</v>
      </c>
      <c r="BJ1151" s="2">
        <f t="shared" ca="1" si="1114"/>
        <v>0.18002039577953122</v>
      </c>
      <c r="BK1151" s="2">
        <f t="shared" ca="1" si="1115"/>
        <v>4738080.0374380425</v>
      </c>
    </row>
    <row r="1152" spans="1:63" x14ac:dyDescent="0.3">
      <c r="A1152" s="2">
        <v>1151</v>
      </c>
      <c r="B1152" s="2">
        <f t="shared" ca="1" si="1054"/>
        <v>0.14150090086568368</v>
      </c>
      <c r="C1152" s="2">
        <f t="shared" ca="1" si="1055"/>
        <v>6.5319791365564699</v>
      </c>
      <c r="D1152" s="2">
        <f t="shared" ca="1" si="1056"/>
        <v>0.12231481822609969</v>
      </c>
      <c r="E1152" s="2">
        <f t="shared" ca="1" si="1057"/>
        <v>6.994600481653829</v>
      </c>
      <c r="F1152" s="2">
        <f t="shared" ca="1" si="1058"/>
        <v>0.45486158800467713</v>
      </c>
      <c r="G1152" s="2">
        <f t="shared" ca="1" si="1059"/>
        <v>3.6598368440300781E-2</v>
      </c>
      <c r="H1152" s="2">
        <f t="shared" ca="1" si="1060"/>
        <v>3.6598368440300781E-2</v>
      </c>
      <c r="I1152" s="2">
        <f t="shared" ca="1" si="1061"/>
        <v>0.34835396203238989</v>
      </c>
      <c r="J1152" s="2">
        <f t="shared" ca="1" si="1062"/>
        <v>8.0511587541384176E-3</v>
      </c>
      <c r="K1152" s="2">
        <f t="shared" ca="1" si="1063"/>
        <v>8.0511587541384176E-3</v>
      </c>
      <c r="L1152" s="2">
        <f t="shared" ca="1" si="1064"/>
        <v>0.17754737752236416</v>
      </c>
      <c r="M1152" s="2">
        <f t="shared" ca="1" si="1065"/>
        <v>-1.8495046489077412E-2</v>
      </c>
      <c r="N1152" s="2">
        <f t="shared" ca="1" si="1066"/>
        <v>-1.8495046489077412E-2</v>
      </c>
      <c r="O1152" s="2">
        <f t="shared" si="1067"/>
        <v>6000000</v>
      </c>
      <c r="P1152" s="2">
        <f t="shared" ca="1" si="1068"/>
        <v>39191874.819338821</v>
      </c>
      <c r="Q1152" s="2">
        <f t="shared" ca="1" si="1069"/>
        <v>979796.87048347061</v>
      </c>
      <c r="R1152" s="2">
        <f t="shared" ca="1" si="1070"/>
        <v>23515124.891603291</v>
      </c>
      <c r="S1152" s="2">
        <f t="shared" ca="1" si="1071"/>
        <v>15676749.92773553</v>
      </c>
      <c r="T1152" s="2">
        <f t="shared" ca="1" si="1072"/>
        <v>49075247.675546132</v>
      </c>
      <c r="U1152" s="2">
        <f t="shared" ca="1" si="1073"/>
        <v>50871321.671274789</v>
      </c>
      <c r="V1152" s="2">
        <f t="shared" ca="1" si="1074"/>
        <v>52733129.044845164</v>
      </c>
      <c r="W1152" s="2">
        <f t="shared" ca="1" si="1075"/>
        <v>54663075.530638337</v>
      </c>
      <c r="X1152" s="2">
        <f t="shared" ca="1" si="1076"/>
        <v>56663654.908988632</v>
      </c>
      <c r="Y1152" s="2">
        <f t="shared" ca="1" si="1077"/>
        <v>0.12402557937706921</v>
      </c>
      <c r="Z1152" s="2">
        <f t="shared" ca="1" si="1078"/>
        <v>0.1256358111278969</v>
      </c>
      <c r="AA1152" s="2">
        <f t="shared" ca="1" si="1079"/>
        <v>6086586.0260327775</v>
      </c>
      <c r="AB1152" s="2">
        <f t="shared" ca="1" si="1080"/>
        <v>6391259.7613187674</v>
      </c>
      <c r="AC1152" s="2">
        <f t="shared" ca="1" si="1081"/>
        <v>6625169.4408611814</v>
      </c>
      <c r="AD1152" s="2">
        <f t="shared" ca="1" si="1082"/>
        <v>6867639.8330372404</v>
      </c>
      <c r="AE1152" s="2">
        <f t="shared" ca="1" si="1083"/>
        <v>7118984.2459620237</v>
      </c>
      <c r="AF1152" s="2">
        <f t="shared" ca="1" si="1084"/>
        <v>981504.95351092261</v>
      </c>
      <c r="AG1152" s="2">
        <f t="shared" ca="1" si="1085"/>
        <v>1017426.4334254958</v>
      </c>
      <c r="AH1152" s="2">
        <f t="shared" ca="1" si="1086"/>
        <v>1054662.5808969033</v>
      </c>
      <c r="AI1152" s="2">
        <f t="shared" ca="1" si="1087"/>
        <v>1093261.5106127667</v>
      </c>
      <c r="AJ1152" s="2">
        <f t="shared" ca="1" si="1088"/>
        <v>1133273.0981797727</v>
      </c>
      <c r="AK1152" s="2">
        <f t="shared" ca="1" si="1089"/>
        <v>0</v>
      </c>
      <c r="AL1152" s="2">
        <f t="shared" ca="1" si="1090"/>
        <v>17960.739957286565</v>
      </c>
      <c r="AM1152" s="2">
        <f t="shared" ca="1" si="1091"/>
        <v>18618.073735703751</v>
      </c>
      <c r="AN1152" s="2">
        <f t="shared" ca="1" si="1092"/>
        <v>19299.464857931733</v>
      </c>
      <c r="AO1152" s="2">
        <f t="shared" ca="1" si="1093"/>
        <v>20005.793783502952</v>
      </c>
      <c r="AP1152" s="2">
        <f t="shared" ca="1" si="1094"/>
        <v>2116361.2402442959</v>
      </c>
      <c r="AQ1152" s="2">
        <f t="shared" ca="1" si="1095"/>
        <v>777067.15639216546</v>
      </c>
      <c r="AR1152" s="2">
        <f t="shared" ca="1" si="1096"/>
        <v>846942.7427887338</v>
      </c>
      <c r="AS1152" s="2">
        <f t="shared" ca="1" si="1097"/>
        <v>898077.8611271953</v>
      </c>
      <c r="AT1152" s="2">
        <f t="shared" ca="1" si="1098"/>
        <v>951084.44136684609</v>
      </c>
      <c r="AU1152" s="2">
        <f t="shared" ca="1" si="1099"/>
        <v>1006030.9759598684</v>
      </c>
      <c r="AV1152" s="2">
        <f t="shared" ca="1" si="1100"/>
        <v>2211652.6758853937</v>
      </c>
      <c r="AW1152" s="2">
        <f t="shared" ca="1" si="1101"/>
        <v>2392568.6049029552</v>
      </c>
      <c r="AX1152" s="2">
        <f t="shared" ca="1" si="1102"/>
        <v>2537449.684857083</v>
      </c>
      <c r="AY1152" s="2">
        <f t="shared" ca="1" si="1103"/>
        <v>2687633.1759553994</v>
      </c>
      <c r="AZ1152" s="2">
        <f t="shared" ca="1" si="1104"/>
        <v>2843313.1377945845</v>
      </c>
      <c r="BA1152" s="2">
        <f t="shared" ca="1" si="1105"/>
        <v>49794450.635691993</v>
      </c>
      <c r="BB1152" s="2">
        <f t="shared" ca="1" si="1106"/>
        <v>995889.01271383988</v>
      </c>
      <c r="BC1152" s="2">
        <f t="shared" ca="1" si="1107"/>
        <v>25283436.731374864</v>
      </c>
      <c r="BD1152" s="2">
        <f t="shared" ca="1" si="1108"/>
        <v>-17156546.798219003</v>
      </c>
      <c r="BE1152" s="2">
        <f t="shared" ca="1" si="1109"/>
        <v>2211652.6758853937</v>
      </c>
      <c r="BF1152" s="2">
        <f t="shared" ca="1" si="1110"/>
        <v>2392568.6049029552</v>
      </c>
      <c r="BG1152" s="2">
        <f t="shared" ca="1" si="1111"/>
        <v>2537449.684857083</v>
      </c>
      <c r="BH1152" s="2">
        <f t="shared" ca="1" si="1112"/>
        <v>2687633.1759553994</v>
      </c>
      <c r="BI1152" s="2">
        <f t="shared" ca="1" si="1113"/>
        <v>28126749.869169448</v>
      </c>
      <c r="BJ1152" s="2">
        <f t="shared" ca="1" si="1114"/>
        <v>0.20712103075020583</v>
      </c>
      <c r="BK1152" s="2">
        <f t="shared" ca="1" si="1115"/>
        <v>6199503.4112020284</v>
      </c>
    </row>
    <row r="1153" spans="1:63" x14ac:dyDescent="0.3">
      <c r="A1153" s="2">
        <v>1152</v>
      </c>
      <c r="B1153" s="2">
        <f t="shared" ca="1" si="1054"/>
        <v>1.3924289050588512E-2</v>
      </c>
      <c r="C1153" s="2">
        <f t="shared" ca="1" si="1055"/>
        <v>6.1668789324665552</v>
      </c>
      <c r="D1153" s="2">
        <f t="shared" ca="1" si="1056"/>
        <v>0.36014424818016155</v>
      </c>
      <c r="E1153" s="2">
        <f t="shared" ca="1" si="1057"/>
        <v>7.3486981185087679</v>
      </c>
      <c r="F1153" s="2">
        <f t="shared" ca="1" si="1058"/>
        <v>0.70080161887523684</v>
      </c>
      <c r="G1153" s="2">
        <f t="shared" ca="1" si="1059"/>
        <v>5.5801223457633005E-2</v>
      </c>
      <c r="H1153" s="2">
        <f t="shared" ca="1" si="1060"/>
        <v>5.5801223457633005E-2</v>
      </c>
      <c r="I1153" s="2">
        <f t="shared" ca="1" si="1061"/>
        <v>0.37296953711885139</v>
      </c>
      <c r="J1153" s="2">
        <f t="shared" ca="1" si="1062"/>
        <v>8.3800068684900825E-3</v>
      </c>
      <c r="K1153" s="2">
        <f t="shared" ca="1" si="1063"/>
        <v>8.3800068684900825E-3</v>
      </c>
      <c r="L1153" s="2">
        <f t="shared" ca="1" si="1064"/>
        <v>0.82654635557043665</v>
      </c>
      <c r="M1153" s="2">
        <f t="shared" ca="1" si="1065"/>
        <v>1.8812101162447182E-2</v>
      </c>
      <c r="N1153" s="2">
        <f t="shared" ca="1" si="1066"/>
        <v>1.8812101162447182E-2</v>
      </c>
      <c r="O1153" s="2">
        <f t="shared" si="1067"/>
        <v>6000000</v>
      </c>
      <c r="P1153" s="2">
        <f t="shared" ca="1" si="1068"/>
        <v>37001273.594799332</v>
      </c>
      <c r="Q1153" s="2">
        <f t="shared" ca="1" si="1069"/>
        <v>925031.83986998338</v>
      </c>
      <c r="R1153" s="2">
        <f t="shared" ca="1" si="1070"/>
        <v>22200764.1568796</v>
      </c>
      <c r="S1153" s="2">
        <f t="shared" ca="1" si="1071"/>
        <v>14800509.437919734</v>
      </c>
      <c r="T1153" s="2">
        <f t="shared" ca="1" si="1072"/>
        <v>50940605.058122359</v>
      </c>
      <c r="U1153" s="2">
        <f t="shared" ca="1" si="1073"/>
        <v>53783153.144037679</v>
      </c>
      <c r="V1153" s="2">
        <f t="shared" ca="1" si="1074"/>
        <v>56784318.890884228</v>
      </c>
      <c r="W1153" s="2">
        <f t="shared" ca="1" si="1075"/>
        <v>59952953.358203955</v>
      </c>
      <c r="X1153" s="2">
        <f t="shared" ca="1" si="1076"/>
        <v>63298401.505490147</v>
      </c>
      <c r="Y1153" s="2">
        <f t="shared" ca="1" si="1077"/>
        <v>0.12419000343424504</v>
      </c>
      <c r="Z1153" s="2">
        <f t="shared" ca="1" si="1078"/>
        <v>0.12586600480794305</v>
      </c>
      <c r="AA1153" s="2">
        <f t="shared" ca="1" si="1079"/>
        <v>6326313.9171107356</v>
      </c>
      <c r="AB1153" s="2">
        <f t="shared" ca="1" si="1080"/>
        <v>6769470.6122137839</v>
      </c>
      <c r="AC1153" s="2">
        <f t="shared" ca="1" si="1081"/>
        <v>7147215.354535806</v>
      </c>
      <c r="AD1153" s="2">
        <f t="shared" ca="1" si="1082"/>
        <v>7546038.7156340843</v>
      </c>
      <c r="AE1153" s="2">
        <f t="shared" ca="1" si="1083"/>
        <v>7967116.9082251322</v>
      </c>
      <c r="AF1153" s="2">
        <f t="shared" ca="1" si="1084"/>
        <v>1018812.1011624472</v>
      </c>
      <c r="AG1153" s="2">
        <f t="shared" ca="1" si="1085"/>
        <v>1075663.0628807535</v>
      </c>
      <c r="AH1153" s="2">
        <f t="shared" ca="1" si="1086"/>
        <v>1135686.3778176846</v>
      </c>
      <c r="AI1153" s="2">
        <f t="shared" ca="1" si="1087"/>
        <v>1199059.0671640791</v>
      </c>
      <c r="AJ1153" s="2">
        <f t="shared" ca="1" si="1088"/>
        <v>1265968.030109803</v>
      </c>
      <c r="AK1153" s="2">
        <f t="shared" ca="1" si="1089"/>
        <v>0</v>
      </c>
      <c r="AL1153" s="2">
        <f t="shared" ca="1" si="1090"/>
        <v>28425.480859153198</v>
      </c>
      <c r="AM1153" s="2">
        <f t="shared" ca="1" si="1091"/>
        <v>30011.657468465492</v>
      </c>
      <c r="AN1153" s="2">
        <f t="shared" ca="1" si="1092"/>
        <v>31686.344673197269</v>
      </c>
      <c r="AO1153" s="2">
        <f t="shared" ca="1" si="1093"/>
        <v>33454.481472861917</v>
      </c>
      <c r="AP1153" s="2">
        <f t="shared" ca="1" si="1094"/>
        <v>1998068.7741191639</v>
      </c>
      <c r="AQ1153" s="2">
        <f t="shared" ca="1" si="1095"/>
        <v>860452.59087557229</v>
      </c>
      <c r="AR1153" s="2">
        <f t="shared" ca="1" si="1096"/>
        <v>960892.08155560528</v>
      </c>
      <c r="AS1153" s="2">
        <f t="shared" ca="1" si="1097"/>
        <v>1043499.6526757289</v>
      </c>
      <c r="AT1153" s="2">
        <f t="shared" ca="1" si="1098"/>
        <v>1130716.8273312186</v>
      </c>
      <c r="AU1153" s="2">
        <f t="shared" ca="1" si="1099"/>
        <v>1222800.8270390029</v>
      </c>
      <c r="AV1153" s="2">
        <f t="shared" ca="1" si="1100"/>
        <v>2448980.4509535516</v>
      </c>
      <c r="AW1153" s="2">
        <f t="shared" ca="1" si="1101"/>
        <v>2706421.2127991086</v>
      </c>
      <c r="AX1153" s="2">
        <f t="shared" ca="1" si="1102"/>
        <v>2939948.8924547629</v>
      </c>
      <c r="AY1153" s="2">
        <f t="shared" ca="1" si="1103"/>
        <v>3186507.7023464246</v>
      </c>
      <c r="AZ1153" s="2">
        <f t="shared" ca="1" si="1104"/>
        <v>3446824.7954842998</v>
      </c>
      <c r="BA1153" s="2">
        <f t="shared" ca="1" si="1105"/>
        <v>58547937.033413418</v>
      </c>
      <c r="BB1153" s="2">
        <f t="shared" ca="1" si="1106"/>
        <v>1170958.7406682684</v>
      </c>
      <c r="BC1153" s="2">
        <f t="shared" ca="1" si="1107"/>
        <v>35176214.135865554</v>
      </c>
      <c r="BD1153" s="2">
        <f t="shared" ca="1" si="1108"/>
        <v>-16225541.277789718</v>
      </c>
      <c r="BE1153" s="2">
        <f t="shared" ca="1" si="1109"/>
        <v>2448980.4509535516</v>
      </c>
      <c r="BF1153" s="2">
        <f t="shared" ca="1" si="1110"/>
        <v>2706421.2127991086</v>
      </c>
      <c r="BG1153" s="2">
        <f t="shared" ca="1" si="1111"/>
        <v>2939948.8924547629</v>
      </c>
      <c r="BH1153" s="2">
        <f t="shared" ca="1" si="1112"/>
        <v>3186507.7023464246</v>
      </c>
      <c r="BI1153" s="2">
        <f t="shared" ca="1" si="1113"/>
        <v>38623038.931349851</v>
      </c>
      <c r="BJ1153" s="2">
        <f t="shared" ca="1" si="1114"/>
        <v>0.30230858761135782</v>
      </c>
      <c r="BK1153" s="2">
        <f t="shared" ca="1" si="1115"/>
        <v>14152021.173639825</v>
      </c>
    </row>
    <row r="1154" spans="1:63" x14ac:dyDescent="0.3">
      <c r="A1154" s="2">
        <v>1153</v>
      </c>
      <c r="B1154" s="2">
        <f t="shared" ref="B1154:B1217" ca="1" si="1116">RAND()</f>
        <v>0.52005249643348384</v>
      </c>
      <c r="C1154" s="2">
        <f t="shared" ref="C1154:C1217" ca="1" si="1117">IF(B1154&lt;((P_Mode)-(P_Low))/((P_High)-(P_Low)), (P_Low)+SQRT(B1154*((P_High)-(P_Low))*((P_Mode)-(P_Low))), (P_High)-SQRT((1-B1154)*((P_High)-(P_Low))*((P_High)-(P_Mode))))</f>
        <v>7.020257683299822</v>
      </c>
      <c r="D1154" s="2">
        <f t="shared" ref="D1154:D1217" ca="1" si="1118">RAND()</f>
        <v>0.72274385247819262</v>
      </c>
      <c r="E1154" s="2">
        <f t="shared" ref="E1154:E1217" ca="1" si="1119">IF(D1154&lt;((X_Mode)-(X_Low))/((X_High)-(X_Low)), (X_Low)+SQRT(D1154*((X_High)-(X_Low))*((X_Mode)-(X_Low))), (X_High)-SQRT((1-D1154)*((X_High)-(X_Low))*((X_High)-(X_Mode))))</f>
        <v>7.7553441767879505</v>
      </c>
      <c r="F1154" s="2">
        <f t="shared" ref="F1154:F1217" ca="1" si="1120">RAND()</f>
        <v>0.33999817159496659</v>
      </c>
      <c r="G1154" s="2">
        <f t="shared" ref="G1154:G1217" ca="1" si="1121">NORMINV(F1154, g_Mean, g_SD)</f>
        <v>2.7625956415172598E-2</v>
      </c>
      <c r="H1154" s="2">
        <f t="shared" ref="H1154:H1217" ca="1" si="1122">MIN(MAX(G1154, g_Min), g_Max)</f>
        <v>2.7625956415172598E-2</v>
      </c>
      <c r="I1154" s="2">
        <f t="shared" ref="I1154:I1217" ca="1" si="1123">RAND()</f>
        <v>0.12652331567064412</v>
      </c>
      <c r="J1154" s="2">
        <f t="shared" ref="J1154:J1217" ca="1" si="1124">NORMINV(I1154, syn_Mean, syn_SD)</f>
        <v>4.2850968251632576E-3</v>
      </c>
      <c r="K1154" s="2">
        <f t="shared" ref="K1154:K1217" ca="1" si="1125">MIN(MAX(J1154, syn_Min), syn_Max)</f>
        <v>4.2850968251632576E-3</v>
      </c>
      <c r="L1154" s="2">
        <f t="shared" ref="L1154:L1217" ca="1" si="1126">RAND()</f>
        <v>0.75394901567950656</v>
      </c>
      <c r="M1154" s="2">
        <f t="shared" ref="M1154:M1217" ca="1" si="1127">NORMINV(L1154, shk_Mean, shk_SD)</f>
        <v>1.3739389364447296E-2</v>
      </c>
      <c r="N1154" s="2">
        <f t="shared" ref="N1154:N1217" ca="1" si="1128">MIN(MAX(M1154, shk_Min), shk_Max)</f>
        <v>1.3739389364447296E-2</v>
      </c>
      <c r="O1154" s="2">
        <f t="shared" ref="O1154:O1217" si="1129">BaseRev*BaseMargin</f>
        <v>6000000</v>
      </c>
      <c r="P1154" s="2">
        <f t="shared" ref="P1154:P1217" ca="1" si="1130">O1154*C1154</f>
        <v>42121546.099798933</v>
      </c>
      <c r="Q1154" s="2">
        <f t="shared" ref="Q1154:Q1217" ca="1" si="1131">P1154*TxnCostPct</f>
        <v>1053038.6524949733</v>
      </c>
      <c r="R1154" s="2">
        <f t="shared" ref="R1154:R1217" ca="1" si="1132">P1154*DebtPct</f>
        <v>25272927.65987936</v>
      </c>
      <c r="S1154" s="2">
        <f t="shared" ref="S1154:S1217" ca="1" si="1133">P1154*EqPct</f>
        <v>16848618.439919572</v>
      </c>
      <c r="T1154" s="2">
        <f t="shared" ref="T1154:T1217" ca="1" si="1134">BaseRev*(1+N1154)</f>
        <v>50686969.468222365</v>
      </c>
      <c r="U1154" s="2">
        <f t="shared" ref="U1154:U1217" ca="1" si="1135">T1154*(1+H1154)</f>
        <v>52087245.477568664</v>
      </c>
      <c r="V1154" s="2">
        <f t="shared" ref="V1154:V1217" ca="1" si="1136">U1154*(1+H1154)</f>
        <v>53526205.450918376</v>
      </c>
      <c r="W1154" s="2">
        <f t="shared" ref="W1154:W1217" ca="1" si="1137">V1154*(1+H1154)</f>
        <v>55004918.069775023</v>
      </c>
      <c r="X1154" s="2">
        <f t="shared" ref="X1154:X1217" ca="1" si="1138">W1154*(1+H1154)</f>
        <v>56524481.538990766</v>
      </c>
      <c r="Y1154" s="2">
        <f t="shared" ref="Y1154:Y1217" ca="1" si="1139">BaseMargin + SynReal_Y1*K1154</f>
        <v>0.12214254841258163</v>
      </c>
      <c r="Z1154" s="2">
        <f t="shared" ref="Z1154:Z1217" ca="1" si="1140">BaseMargin + SynReal_Y2toY5*K1154</f>
        <v>0.12299956777761428</v>
      </c>
      <c r="AA1154" s="2">
        <f t="shared" ref="AA1154:AA1217" ca="1" si="1141">T1154*Y1154</f>
        <v>6191035.6221593972</v>
      </c>
      <c r="AB1154" s="2">
        <f t="shared" ref="AB1154:AB1217" ca="1" si="1142">U1154*Z1154</f>
        <v>6406708.6804674398</v>
      </c>
      <c r="AC1154" s="2">
        <f t="shared" ref="AC1154:AC1217" ca="1" si="1143">V1154*Z1154</f>
        <v>6583700.1352387415</v>
      </c>
      <c r="AD1154" s="2">
        <f t="shared" ref="AD1154:AD1217" ca="1" si="1144">W1154*Z1154</f>
        <v>6765581.1482254136</v>
      </c>
      <c r="AE1154" s="2">
        <f t="shared" ref="AE1154:AE1217" ca="1" si="1145">X1154*Z1154</f>
        <v>6952486.7981496016</v>
      </c>
      <c r="AF1154" s="2">
        <f t="shared" ref="AF1154:AF1217" ca="1" si="1146">T1154*CapexPct</f>
        <v>1013739.3893644473</v>
      </c>
      <c r="AG1154" s="2">
        <f t="shared" ref="AG1154:AG1217" ca="1" si="1147">U1154*CapexPct</f>
        <v>1041744.9095513733</v>
      </c>
      <c r="AH1154" s="2">
        <f t="shared" ref="AH1154:AH1217" ca="1" si="1148">V1154*CapexPct</f>
        <v>1070524.1090183675</v>
      </c>
      <c r="AI1154" s="2">
        <f t="shared" ref="AI1154:AI1217" ca="1" si="1149">W1154*CapexPct</f>
        <v>1100098.3613955004</v>
      </c>
      <c r="AJ1154" s="2">
        <f t="shared" ref="AJ1154:AJ1217" ca="1" si="1150">X1154*CapexPct</f>
        <v>1130489.6307798154</v>
      </c>
      <c r="AK1154" s="2">
        <f t="shared" ref="AK1154:AK1217" ca="1" si="1151">MAX(T1154-BaseRev*(1+N1154),0)*WCPct</f>
        <v>0</v>
      </c>
      <c r="AL1154" s="2">
        <f t="shared" ref="AL1154:AL1217" ca="1" si="1152">MAX(U1154-T1154,0)*WCPct</f>
        <v>14002.760093462988</v>
      </c>
      <c r="AM1154" s="2">
        <f t="shared" ref="AM1154:AM1217" ca="1" si="1153">MAX(V1154-U1154,0)*WCPct</f>
        <v>14389.599733497129</v>
      </c>
      <c r="AN1154" s="2">
        <f t="shared" ref="AN1154:AN1217" ca="1" si="1154">MAX(W1154-V1154,0)*WCPct</f>
        <v>14787.126188566461</v>
      </c>
      <c r="AO1154" s="2">
        <f t="shared" ref="AO1154:AO1217" ca="1" si="1155">MAX(X1154-W1154,0)*WCPct</f>
        <v>15195.634692157433</v>
      </c>
      <c r="AP1154" s="2">
        <f t="shared" ref="AP1154:AP1217" ca="1" si="1156">R1154*DebtRate</f>
        <v>2274563.4893891425</v>
      </c>
      <c r="AQ1154" s="2">
        <f t="shared" ref="AQ1154:AQ1217" ca="1" si="1157">MAX(AA1154-AF1154-AP1154,0)*Tax</f>
        <v>754710.51328550989</v>
      </c>
      <c r="AR1154" s="2">
        <f t="shared" ref="AR1154:AR1217" ca="1" si="1158">MAX(AB1154-AG1154-AP1154,0)*Tax</f>
        <v>803504.07319700019</v>
      </c>
      <c r="AS1154" s="2">
        <f t="shared" ref="AS1154:AS1217" ca="1" si="1159">MAX(AC1154-AH1154-AP1154,0)*Tax</f>
        <v>842039.25957612018</v>
      </c>
      <c r="AT1154" s="2">
        <f t="shared" ref="AT1154:AT1217" ca="1" si="1160">MAX(AD1154-AI1154-AP1154,0)*Tax</f>
        <v>881639.01733460033</v>
      </c>
      <c r="AU1154" s="2">
        <f t="shared" ref="AU1154:AU1217" ca="1" si="1161">MAX(AE1154-AJ1154-AP1154,0)*Tax</f>
        <v>922332.75627496757</v>
      </c>
      <c r="AV1154" s="2">
        <f t="shared" ref="AV1154:AV1217" ca="1" si="1162">AA1154-AF1154-AK1154-AQ1154-AP1154</f>
        <v>2148022.2301202971</v>
      </c>
      <c r="AW1154" s="2">
        <f t="shared" ref="AW1154:AW1217" ca="1" si="1163">AB1154-AG1154-AL1154-AR1154-AP1154</f>
        <v>2272893.4482364613</v>
      </c>
      <c r="AX1154" s="2">
        <f t="shared" ref="AX1154:AX1217" ca="1" si="1164">AC1154-AH1154-AM1154-AS1154-AP1154</f>
        <v>2382183.6775216139</v>
      </c>
      <c r="AY1154" s="2">
        <f t="shared" ref="AY1154:AY1217" ca="1" si="1165">AD1154-AI1154-AN1154-AT1154-AP1154</f>
        <v>2494493.1539176037</v>
      </c>
      <c r="AZ1154" s="2">
        <f t="shared" ref="AZ1154:AZ1217" ca="1" si="1166">AE1154-AJ1154-AO1154-AU1154-AP1154</f>
        <v>2609905.2870135191</v>
      </c>
      <c r="BA1154" s="2">
        <f t="shared" ref="BA1154:BA1217" ca="1" si="1167">AE1154*E1154</f>
        <v>53918928.004224613</v>
      </c>
      <c r="BB1154" s="2">
        <f t="shared" ref="BB1154:BB1217" ca="1" si="1168">BA1154*SellCostPct</f>
        <v>1078378.5600844922</v>
      </c>
      <c r="BC1154" s="2">
        <f t="shared" ref="BC1154:BC1217" ca="1" si="1169">BA1154-R1154-BB1154</f>
        <v>27567621.784260761</v>
      </c>
      <c r="BD1154" s="2">
        <f t="shared" ref="BD1154:BD1217" ca="1" si="1170">-S1154-Q1154-IntegrationPct*BaseRev</f>
        <v>-18401657.092414547</v>
      </c>
      <c r="BE1154" s="2">
        <f t="shared" ref="BE1154:BE1217" ca="1" si="1171">AV1154</f>
        <v>2148022.2301202971</v>
      </c>
      <c r="BF1154" s="2">
        <f t="shared" ref="BF1154:BF1217" ca="1" si="1172">AW1154</f>
        <v>2272893.4482364613</v>
      </c>
      <c r="BG1154" s="2">
        <f t="shared" ref="BG1154:BG1217" ca="1" si="1173">AX1154</f>
        <v>2382183.6775216139</v>
      </c>
      <c r="BH1154" s="2">
        <f t="shared" ref="BH1154:BH1217" ca="1" si="1174">AY1154</f>
        <v>2494493.1539176037</v>
      </c>
      <c r="BI1154" s="2">
        <f t="shared" ref="BI1154:BI1217" ca="1" si="1175">AZ1154+BC1154</f>
        <v>30177527.071274281</v>
      </c>
      <c r="BJ1154" s="2">
        <f t="shared" ref="BJ1154:BJ1217" ca="1" si="1176">IF(MIN(BD1154:BI1154)*MAX(BD1154:BI1154)&gt;=0, "", IFERROR(IRR(BD1154:BI1154,0.12), IFERROR(IRR(BD1154:BI1154,0.5), IFERROR(IRR(BD1154:BI1154,-0.5),""))))</f>
        <v>0.19484589308726252</v>
      </c>
      <c r="BK1154" s="2">
        <f t="shared" ref="BK1154:BK1217" ca="1" si="1177">NPV(12%,BE1154:BI1154)+BD1154</f>
        <v>5732582.7235354111</v>
      </c>
    </row>
    <row r="1155" spans="1:63" x14ac:dyDescent="0.3">
      <c r="A1155" s="2">
        <v>1154</v>
      </c>
      <c r="B1155" s="2">
        <f t="shared" ca="1" si="1116"/>
        <v>0.1930542077574593</v>
      </c>
      <c r="C1155" s="2">
        <f t="shared" ca="1" si="1117"/>
        <v>6.6213762270274898</v>
      </c>
      <c r="D1155" s="2">
        <f t="shared" ca="1" si="1118"/>
        <v>0.40688823912850314</v>
      </c>
      <c r="E1155" s="2">
        <f t="shared" ca="1" si="1119"/>
        <v>7.4020956037233558</v>
      </c>
      <c r="F1155" s="2">
        <f t="shared" ca="1" si="1120"/>
        <v>0.80617667080980193</v>
      </c>
      <c r="G1155" s="2">
        <f t="shared" ca="1" si="1121"/>
        <v>6.5916790773978232E-2</v>
      </c>
      <c r="H1155" s="2">
        <f t="shared" ca="1" si="1122"/>
        <v>6.5916790773978232E-2</v>
      </c>
      <c r="I1155" s="2">
        <f t="shared" ca="1" si="1123"/>
        <v>3.1011696601264016E-2</v>
      </c>
      <c r="J1155" s="2">
        <f t="shared" ca="1" si="1124"/>
        <v>6.6935763386613556E-4</v>
      </c>
      <c r="K1155" s="2">
        <f t="shared" ca="1" si="1125"/>
        <v>6.6935763386613556E-4</v>
      </c>
      <c r="L1155" s="2">
        <f t="shared" ca="1" si="1126"/>
        <v>0.51964675999956811</v>
      </c>
      <c r="M1155" s="2">
        <f t="shared" ca="1" si="1127"/>
        <v>9.8534094745781416E-4</v>
      </c>
      <c r="N1155" s="2">
        <f t="shared" ca="1" si="1128"/>
        <v>9.8534094745781416E-4</v>
      </c>
      <c r="O1155" s="2">
        <f t="shared" si="1129"/>
        <v>6000000</v>
      </c>
      <c r="P1155" s="2">
        <f t="shared" ca="1" si="1130"/>
        <v>39728257.362164937</v>
      </c>
      <c r="Q1155" s="2">
        <f t="shared" ca="1" si="1131"/>
        <v>993206.43405412347</v>
      </c>
      <c r="R1155" s="2">
        <f t="shared" ca="1" si="1132"/>
        <v>23836954.417298961</v>
      </c>
      <c r="S1155" s="2">
        <f t="shared" ca="1" si="1133"/>
        <v>15891302.944865976</v>
      </c>
      <c r="T1155" s="2">
        <f t="shared" ca="1" si="1134"/>
        <v>50049267.047372892</v>
      </c>
      <c r="U1155" s="2">
        <f t="shared" ca="1" si="1135"/>
        <v>53348354.111725532</v>
      </c>
      <c r="V1155" s="2">
        <f t="shared" ca="1" si="1136"/>
        <v>56864906.407844238</v>
      </c>
      <c r="W1155" s="2">
        <f t="shared" ca="1" si="1137"/>
        <v>60613258.54591196</v>
      </c>
      <c r="X1155" s="2">
        <f t="shared" ca="1" si="1138"/>
        <v>64608690.027611881</v>
      </c>
      <c r="Y1155" s="2">
        <f t="shared" ca="1" si="1139"/>
        <v>0.12033467881693306</v>
      </c>
      <c r="Z1155" s="2">
        <f t="shared" ca="1" si="1140"/>
        <v>0.12046855034370629</v>
      </c>
      <c r="AA1155" s="2">
        <f t="shared" ca="1" si="1141"/>
        <v>6022662.475168529</v>
      </c>
      <c r="AB1155" s="2">
        <f t="shared" ca="1" si="1142"/>
        <v>6426798.8830622779</v>
      </c>
      <c r="AC1155" s="2">
        <f t="shared" ca="1" si="1143"/>
        <v>6850432.8403835306</v>
      </c>
      <c r="AD1155" s="2">
        <f t="shared" ca="1" si="1144"/>
        <v>7301991.3886342803</v>
      </c>
      <c r="AE1155" s="2">
        <f t="shared" ca="1" si="1145"/>
        <v>7783315.2272322765</v>
      </c>
      <c r="AF1155" s="2">
        <f t="shared" ca="1" si="1146"/>
        <v>1000985.3409474578</v>
      </c>
      <c r="AG1155" s="2">
        <f t="shared" ca="1" si="1147"/>
        <v>1066967.0822345107</v>
      </c>
      <c r="AH1155" s="2">
        <f t="shared" ca="1" si="1148"/>
        <v>1137298.1281568848</v>
      </c>
      <c r="AI1155" s="2">
        <f t="shared" ca="1" si="1149"/>
        <v>1212265.1709182393</v>
      </c>
      <c r="AJ1155" s="2">
        <f t="shared" ca="1" si="1150"/>
        <v>1292173.8005522375</v>
      </c>
      <c r="AK1155" s="2">
        <f t="shared" ca="1" si="1151"/>
        <v>0</v>
      </c>
      <c r="AL1155" s="2">
        <f t="shared" ca="1" si="1152"/>
        <v>32990.870643526388</v>
      </c>
      <c r="AM1155" s="2">
        <f t="shared" ca="1" si="1153"/>
        <v>35165.522961187067</v>
      </c>
      <c r="AN1155" s="2">
        <f t="shared" ca="1" si="1154"/>
        <v>37483.521380677223</v>
      </c>
      <c r="AO1155" s="2">
        <f t="shared" ca="1" si="1155"/>
        <v>39954.314816999213</v>
      </c>
      <c r="AP1155" s="2">
        <f t="shared" ca="1" si="1156"/>
        <v>2145325.8975569066</v>
      </c>
      <c r="AQ1155" s="2">
        <f t="shared" ca="1" si="1157"/>
        <v>747851.32153268286</v>
      </c>
      <c r="AR1155" s="2">
        <f t="shared" ca="1" si="1158"/>
        <v>835771.53485042392</v>
      </c>
      <c r="AS1155" s="2">
        <f t="shared" ca="1" si="1159"/>
        <v>927630.29181413224</v>
      </c>
      <c r="AT1155" s="2">
        <f t="shared" ca="1" si="1160"/>
        <v>1025544.083241375</v>
      </c>
      <c r="AU1155" s="2">
        <f t="shared" ca="1" si="1161"/>
        <v>1129912.0375720144</v>
      </c>
      <c r="AV1155" s="2">
        <f t="shared" ca="1" si="1162"/>
        <v>2128499.9151314823</v>
      </c>
      <c r="AW1155" s="2">
        <f t="shared" ca="1" si="1163"/>
        <v>2345743.4977769107</v>
      </c>
      <c r="AX1155" s="2">
        <f t="shared" ca="1" si="1164"/>
        <v>2605012.9998944197</v>
      </c>
      <c r="AY1155" s="2">
        <f t="shared" ca="1" si="1165"/>
        <v>2881372.7155370824</v>
      </c>
      <c r="AZ1155" s="2">
        <f t="shared" ca="1" si="1166"/>
        <v>3175949.1767341187</v>
      </c>
      <c r="BA1155" s="2">
        <f t="shared" ca="1" si="1167"/>
        <v>57612843.42588909</v>
      </c>
      <c r="BB1155" s="2">
        <f t="shared" ca="1" si="1168"/>
        <v>1152256.8685177818</v>
      </c>
      <c r="BC1155" s="2">
        <f t="shared" ca="1" si="1169"/>
        <v>32623632.140072349</v>
      </c>
      <c r="BD1155" s="2">
        <f t="shared" ca="1" si="1170"/>
        <v>-17384509.378920101</v>
      </c>
      <c r="BE1155" s="2">
        <f t="shared" ca="1" si="1171"/>
        <v>2128499.9151314823</v>
      </c>
      <c r="BF1155" s="2">
        <f t="shared" ca="1" si="1172"/>
        <v>2345743.4977769107</v>
      </c>
      <c r="BG1155" s="2">
        <f t="shared" ca="1" si="1173"/>
        <v>2605012.9998944197</v>
      </c>
      <c r="BH1155" s="2">
        <f t="shared" ca="1" si="1174"/>
        <v>2881372.7155370824</v>
      </c>
      <c r="BI1155" s="2">
        <f t="shared" ca="1" si="1175"/>
        <v>35799581.316806465</v>
      </c>
      <c r="BJ1155" s="2">
        <f t="shared" ca="1" si="1176"/>
        <v>0.25111872580032157</v>
      </c>
      <c r="BK1155" s="2">
        <f t="shared" ca="1" si="1177"/>
        <v>10384954.441214778</v>
      </c>
    </row>
    <row r="1156" spans="1:63" x14ac:dyDescent="0.3">
      <c r="A1156" s="2">
        <v>1155</v>
      </c>
      <c r="B1156" s="2">
        <f t="shared" ca="1" si="1116"/>
        <v>7.4016079610764285E-2</v>
      </c>
      <c r="C1156" s="2">
        <f t="shared" ca="1" si="1117"/>
        <v>6.3847494759210575</v>
      </c>
      <c r="D1156" s="2">
        <f t="shared" ca="1" si="1118"/>
        <v>0.73891517887920455</v>
      </c>
      <c r="E1156" s="2">
        <f t="shared" ca="1" si="1119"/>
        <v>7.777386934631271</v>
      </c>
      <c r="F1156" s="2">
        <f t="shared" ca="1" si="1120"/>
        <v>0.31041326250736467</v>
      </c>
      <c r="G1156" s="2">
        <f t="shared" ca="1" si="1121"/>
        <v>2.515962140056284E-2</v>
      </c>
      <c r="H1156" s="2">
        <f t="shared" ca="1" si="1122"/>
        <v>2.515962140056284E-2</v>
      </c>
      <c r="I1156" s="2">
        <f t="shared" ca="1" si="1123"/>
        <v>0.51031213596448999</v>
      </c>
      <c r="J1156" s="2">
        <f t="shared" ca="1" si="1124"/>
        <v>1.0129257853709529E-2</v>
      </c>
      <c r="K1156" s="2">
        <f t="shared" ca="1" si="1125"/>
        <v>1.0129257853709529E-2</v>
      </c>
      <c r="L1156" s="2">
        <f t="shared" ca="1" si="1126"/>
        <v>4.2219179325590273E-2</v>
      </c>
      <c r="M1156" s="2">
        <f t="shared" ca="1" si="1127"/>
        <v>-3.4509893940160942E-2</v>
      </c>
      <c r="N1156" s="2">
        <f t="shared" ca="1" si="1128"/>
        <v>-3.4509893940160942E-2</v>
      </c>
      <c r="O1156" s="2">
        <f t="shared" si="1129"/>
        <v>6000000</v>
      </c>
      <c r="P1156" s="2">
        <f t="shared" ca="1" si="1130"/>
        <v>38308496.855526343</v>
      </c>
      <c r="Q1156" s="2">
        <f t="shared" ca="1" si="1131"/>
        <v>957712.42138815857</v>
      </c>
      <c r="R1156" s="2">
        <f t="shared" ca="1" si="1132"/>
        <v>22985098.113315806</v>
      </c>
      <c r="S1156" s="2">
        <f t="shared" ca="1" si="1133"/>
        <v>15323398.742210537</v>
      </c>
      <c r="T1156" s="2">
        <f t="shared" ca="1" si="1134"/>
        <v>48274505.302991956</v>
      </c>
      <c r="U1156" s="2">
        <f t="shared" ca="1" si="1135"/>
        <v>49489073.579714701</v>
      </c>
      <c r="V1156" s="2">
        <f t="shared" ca="1" si="1136"/>
        <v>50734199.934444927</v>
      </c>
      <c r="W1156" s="2">
        <f t="shared" ca="1" si="1137"/>
        <v>52010653.196856029</v>
      </c>
      <c r="X1156" s="2">
        <f t="shared" ca="1" si="1138"/>
        <v>53319221.540084906</v>
      </c>
      <c r="Y1156" s="2">
        <f t="shared" ca="1" si="1139"/>
        <v>0.12506462892685477</v>
      </c>
      <c r="Z1156" s="2">
        <f t="shared" ca="1" si="1140"/>
        <v>0.12709048049759666</v>
      </c>
      <c r="AA1156" s="2">
        <f t="shared" ca="1" si="1141"/>
        <v>6037433.0923461718</v>
      </c>
      <c r="AB1156" s="2">
        <f t="shared" ca="1" si="1142"/>
        <v>6289590.1406268571</v>
      </c>
      <c r="AC1156" s="2">
        <f t="shared" ca="1" si="1143"/>
        <v>6447833.8473297432</v>
      </c>
      <c r="AD1156" s="2">
        <f t="shared" ca="1" si="1144"/>
        <v>6610058.9057822945</v>
      </c>
      <c r="AE1156" s="2">
        <f t="shared" ca="1" si="1145"/>
        <v>6776365.4852871969</v>
      </c>
      <c r="AF1156" s="2">
        <f t="shared" ca="1" si="1146"/>
        <v>965490.10605983913</v>
      </c>
      <c r="AG1156" s="2">
        <f t="shared" ca="1" si="1147"/>
        <v>989781.47159429407</v>
      </c>
      <c r="AH1156" s="2">
        <f t="shared" ca="1" si="1148"/>
        <v>1014683.9986888985</v>
      </c>
      <c r="AI1156" s="2">
        <f t="shared" ca="1" si="1149"/>
        <v>1040213.0639371206</v>
      </c>
      <c r="AJ1156" s="2">
        <f t="shared" ca="1" si="1150"/>
        <v>1066384.4308016982</v>
      </c>
      <c r="AK1156" s="2">
        <f t="shared" ca="1" si="1151"/>
        <v>0</v>
      </c>
      <c r="AL1156" s="2">
        <f t="shared" ca="1" si="1152"/>
        <v>12145.682767227441</v>
      </c>
      <c r="AM1156" s="2">
        <f t="shared" ca="1" si="1153"/>
        <v>12451.263547302262</v>
      </c>
      <c r="AN1156" s="2">
        <f t="shared" ca="1" si="1154"/>
        <v>12764.532624111027</v>
      </c>
      <c r="AO1156" s="2">
        <f t="shared" ca="1" si="1155"/>
        <v>13085.683432288766</v>
      </c>
      <c r="AP1156" s="2">
        <f t="shared" ca="1" si="1156"/>
        <v>2068658.8301984225</v>
      </c>
      <c r="AQ1156" s="2">
        <f t="shared" ca="1" si="1157"/>
        <v>780853.88058285671</v>
      </c>
      <c r="AR1156" s="2">
        <f t="shared" ca="1" si="1158"/>
        <v>840098.95809687639</v>
      </c>
      <c r="AS1156" s="2">
        <f t="shared" ca="1" si="1159"/>
        <v>874767.66479502968</v>
      </c>
      <c r="AT1156" s="2">
        <f t="shared" ca="1" si="1160"/>
        <v>910308.6230281553</v>
      </c>
      <c r="AU1156" s="2">
        <f t="shared" ca="1" si="1161"/>
        <v>946743.77831463993</v>
      </c>
      <c r="AV1156" s="2">
        <f t="shared" ca="1" si="1162"/>
        <v>2222430.2755050533</v>
      </c>
      <c r="AW1156" s="2">
        <f t="shared" ca="1" si="1163"/>
        <v>2378905.197970036</v>
      </c>
      <c r="AX1156" s="2">
        <f t="shared" ca="1" si="1164"/>
        <v>2477272.0901000896</v>
      </c>
      <c r="AY1156" s="2">
        <f t="shared" ca="1" si="1165"/>
        <v>2578113.8559944849</v>
      </c>
      <c r="AZ1156" s="2">
        <f t="shared" ca="1" si="1166"/>
        <v>2681492.7625401481</v>
      </c>
      <c r="BA1156" s="2">
        <f t="shared" ca="1" si="1167"/>
        <v>52702416.389558934</v>
      </c>
      <c r="BB1156" s="2">
        <f t="shared" ca="1" si="1168"/>
        <v>1054048.3277911786</v>
      </c>
      <c r="BC1156" s="2">
        <f t="shared" ca="1" si="1169"/>
        <v>28663269.948451951</v>
      </c>
      <c r="BD1156" s="2">
        <f t="shared" ca="1" si="1170"/>
        <v>-16781111.163598694</v>
      </c>
      <c r="BE1156" s="2">
        <f t="shared" ca="1" si="1171"/>
        <v>2222430.2755050533</v>
      </c>
      <c r="BF1156" s="2">
        <f t="shared" ca="1" si="1172"/>
        <v>2378905.197970036</v>
      </c>
      <c r="BG1156" s="2">
        <f t="shared" ca="1" si="1173"/>
        <v>2477272.0901000896</v>
      </c>
      <c r="BH1156" s="2">
        <f t="shared" ca="1" si="1174"/>
        <v>2578113.8559944849</v>
      </c>
      <c r="BI1156" s="2">
        <f t="shared" ca="1" si="1175"/>
        <v>31344762.710992098</v>
      </c>
      <c r="BJ1156" s="2">
        <f t="shared" ca="1" si="1176"/>
        <v>0.23339773029761091</v>
      </c>
      <c r="BK1156" s="2">
        <f t="shared" ca="1" si="1177"/>
        <v>8287221.695690982</v>
      </c>
    </row>
    <row r="1157" spans="1:63" x14ac:dyDescent="0.3">
      <c r="A1157" s="2">
        <v>1156</v>
      </c>
      <c r="B1157" s="2">
        <f t="shared" ca="1" si="1116"/>
        <v>0.54284591152378936</v>
      </c>
      <c r="C1157" s="2">
        <f t="shared" ca="1" si="1117"/>
        <v>7.0438053665950529</v>
      </c>
      <c r="D1157" s="2">
        <f t="shared" ca="1" si="1118"/>
        <v>0.50203403185779627</v>
      </c>
      <c r="E1157" s="2">
        <f t="shared" ca="1" si="1119"/>
        <v>7.5020361047190098</v>
      </c>
      <c r="F1157" s="2">
        <f t="shared" ca="1" si="1120"/>
        <v>0.19655495398184963</v>
      </c>
      <c r="G1157" s="2">
        <f t="shared" ca="1" si="1121"/>
        <v>1.4380266310402189E-2</v>
      </c>
      <c r="H1157" s="2">
        <f t="shared" ca="1" si="1122"/>
        <v>1.4380266310402189E-2</v>
      </c>
      <c r="I1157" s="2">
        <f t="shared" ca="1" si="1123"/>
        <v>0.77543802632733827</v>
      </c>
      <c r="J1157" s="2">
        <f t="shared" ca="1" si="1124"/>
        <v>1.3784381734153651E-2</v>
      </c>
      <c r="K1157" s="2">
        <f t="shared" ca="1" si="1125"/>
        <v>1.3784381734153651E-2</v>
      </c>
      <c r="L1157" s="2">
        <f t="shared" ca="1" si="1126"/>
        <v>0.77010206028186712</v>
      </c>
      <c r="M1157" s="2">
        <f t="shared" ca="1" si="1127"/>
        <v>1.4783660092718167E-2</v>
      </c>
      <c r="N1157" s="2">
        <f t="shared" ca="1" si="1128"/>
        <v>1.4783660092718167E-2</v>
      </c>
      <c r="O1157" s="2">
        <f t="shared" si="1129"/>
        <v>6000000</v>
      </c>
      <c r="P1157" s="2">
        <f t="shared" ca="1" si="1130"/>
        <v>42262832.199570321</v>
      </c>
      <c r="Q1157" s="2">
        <f t="shared" ca="1" si="1131"/>
        <v>1056570.8049892581</v>
      </c>
      <c r="R1157" s="2">
        <f t="shared" ca="1" si="1132"/>
        <v>25357699.319742192</v>
      </c>
      <c r="S1157" s="2">
        <f t="shared" ca="1" si="1133"/>
        <v>16905132.879828129</v>
      </c>
      <c r="T1157" s="2">
        <f t="shared" ca="1" si="1134"/>
        <v>50739183.004635915</v>
      </c>
      <c r="U1157" s="2">
        <f t="shared" ca="1" si="1135"/>
        <v>51468825.968614817</v>
      </c>
      <c r="V1157" s="2">
        <f t="shared" ca="1" si="1136"/>
        <v>52208961.392727241</v>
      </c>
      <c r="W1157" s="2">
        <f t="shared" ca="1" si="1137"/>
        <v>52959740.161344171</v>
      </c>
      <c r="X1157" s="2">
        <f t="shared" ca="1" si="1138"/>
        <v>53721315.328594007</v>
      </c>
      <c r="Y1157" s="2">
        <f t="shared" ca="1" si="1139"/>
        <v>0.12689219086707682</v>
      </c>
      <c r="Z1157" s="2">
        <f t="shared" ca="1" si="1140"/>
        <v>0.12964906721390757</v>
      </c>
      <c r="AA1157" s="2">
        <f t="shared" ca="1" si="1141"/>
        <v>6438406.0942638004</v>
      </c>
      <c r="AB1157" s="2">
        <f t="shared" ca="1" si="1142"/>
        <v>6672885.2774258535</v>
      </c>
      <c r="AC1157" s="2">
        <f t="shared" ca="1" si="1143"/>
        <v>6768843.1447739992</v>
      </c>
      <c r="AD1157" s="2">
        <f t="shared" ca="1" si="1144"/>
        <v>6866180.9118091902</v>
      </c>
      <c r="AE1157" s="2">
        <f t="shared" ca="1" si="1145"/>
        <v>6964918.4218564071</v>
      </c>
      <c r="AF1157" s="2">
        <f t="shared" ca="1" si="1146"/>
        <v>1014783.6600927183</v>
      </c>
      <c r="AG1157" s="2">
        <f t="shared" ca="1" si="1147"/>
        <v>1029376.5193722964</v>
      </c>
      <c r="AH1157" s="2">
        <f t="shared" ca="1" si="1148"/>
        <v>1044179.2278545449</v>
      </c>
      <c r="AI1157" s="2">
        <f t="shared" ca="1" si="1149"/>
        <v>1059194.8032268835</v>
      </c>
      <c r="AJ1157" s="2">
        <f t="shared" ca="1" si="1150"/>
        <v>1074426.3065718801</v>
      </c>
      <c r="AK1157" s="2">
        <f t="shared" ca="1" si="1151"/>
        <v>0</v>
      </c>
      <c r="AL1157" s="2">
        <f t="shared" ca="1" si="1152"/>
        <v>7296.4296397890148</v>
      </c>
      <c r="AM1157" s="2">
        <f t="shared" ca="1" si="1153"/>
        <v>7401.3542411242424</v>
      </c>
      <c r="AN1157" s="2">
        <f t="shared" ca="1" si="1154"/>
        <v>7507.7876861692966</v>
      </c>
      <c r="AO1157" s="2">
        <f t="shared" ca="1" si="1155"/>
        <v>7615.7516724983607</v>
      </c>
      <c r="AP1157" s="2">
        <f t="shared" ca="1" si="1156"/>
        <v>2282192.9387767971</v>
      </c>
      <c r="AQ1157" s="2">
        <f t="shared" ca="1" si="1157"/>
        <v>816771.66880251421</v>
      </c>
      <c r="AR1157" s="2">
        <f t="shared" ca="1" si="1158"/>
        <v>873942.11301195761</v>
      </c>
      <c r="AS1157" s="2">
        <f t="shared" ca="1" si="1159"/>
        <v>895042.4543170908</v>
      </c>
      <c r="AT1157" s="2">
        <f t="shared" ca="1" si="1160"/>
        <v>916446.2241494325</v>
      </c>
      <c r="AU1157" s="2">
        <f t="shared" ca="1" si="1161"/>
        <v>938157.78589200974</v>
      </c>
      <c r="AV1157" s="2">
        <f t="shared" ca="1" si="1162"/>
        <v>2324657.8265917706</v>
      </c>
      <c r="AW1157" s="2">
        <f t="shared" ca="1" si="1163"/>
        <v>2480077.2766250125</v>
      </c>
      <c r="AX1157" s="2">
        <f t="shared" ca="1" si="1164"/>
        <v>2540027.1695844415</v>
      </c>
      <c r="AY1157" s="2">
        <f t="shared" ca="1" si="1165"/>
        <v>2600839.1579699083</v>
      </c>
      <c r="AZ1157" s="2">
        <f t="shared" ca="1" si="1166"/>
        <v>2662525.6389432219</v>
      </c>
      <c r="BA1157" s="2">
        <f t="shared" ca="1" si="1167"/>
        <v>52251069.467189312</v>
      </c>
      <c r="BB1157" s="2">
        <f t="shared" ca="1" si="1168"/>
        <v>1045021.3893437863</v>
      </c>
      <c r="BC1157" s="2">
        <f t="shared" ca="1" si="1169"/>
        <v>25848348.758103333</v>
      </c>
      <c r="BD1157" s="2">
        <f t="shared" ca="1" si="1170"/>
        <v>-18461703.684817389</v>
      </c>
      <c r="BE1157" s="2">
        <f t="shared" ca="1" si="1171"/>
        <v>2324657.8265917706</v>
      </c>
      <c r="BF1157" s="2">
        <f t="shared" ca="1" si="1172"/>
        <v>2480077.2766250125</v>
      </c>
      <c r="BG1157" s="2">
        <f t="shared" ca="1" si="1173"/>
        <v>2540027.1695844415</v>
      </c>
      <c r="BH1157" s="2">
        <f t="shared" ca="1" si="1174"/>
        <v>2600839.1579699083</v>
      </c>
      <c r="BI1157" s="2">
        <f t="shared" ca="1" si="1175"/>
        <v>28510874.397046555</v>
      </c>
      <c r="BJ1157" s="2">
        <f t="shared" ca="1" si="1176"/>
        <v>0.18991815058994588</v>
      </c>
      <c r="BK1157" s="2">
        <f t="shared" ca="1" si="1177"/>
        <v>5229643.3661694266</v>
      </c>
    </row>
    <row r="1158" spans="1:63" x14ac:dyDescent="0.3">
      <c r="A1158" s="2">
        <v>1157</v>
      </c>
      <c r="B1158" s="2">
        <f t="shared" ca="1" si="1116"/>
        <v>0.48501978367105558</v>
      </c>
      <c r="C1158" s="2">
        <f t="shared" ca="1" si="1117"/>
        <v>6.9849058672493083</v>
      </c>
      <c r="D1158" s="2">
        <f t="shared" ca="1" si="1118"/>
        <v>0.24764554504577763</v>
      </c>
      <c r="E1158" s="2">
        <f t="shared" ca="1" si="1119"/>
        <v>7.2037692022897533</v>
      </c>
      <c r="F1158" s="2">
        <f t="shared" ca="1" si="1120"/>
        <v>4.5110059269942049E-2</v>
      </c>
      <c r="G1158" s="2">
        <f t="shared" ca="1" si="1121"/>
        <v>-1.0827131804686377E-2</v>
      </c>
      <c r="H1158" s="2">
        <f t="shared" ca="1" si="1122"/>
        <v>-1.0827131804686377E-2</v>
      </c>
      <c r="I1158" s="2">
        <f t="shared" ca="1" si="1123"/>
        <v>0.51870368037222936</v>
      </c>
      <c r="J1158" s="2">
        <f t="shared" ca="1" si="1124"/>
        <v>1.0234501812029072E-2</v>
      </c>
      <c r="K1158" s="2">
        <f t="shared" ca="1" si="1125"/>
        <v>1.0234501812029072E-2</v>
      </c>
      <c r="L1158" s="2">
        <f t="shared" ca="1" si="1126"/>
        <v>0.95144128731785826</v>
      </c>
      <c r="M1158" s="2">
        <f t="shared" ca="1" si="1127"/>
        <v>3.3179837916111482E-2</v>
      </c>
      <c r="N1158" s="2">
        <f t="shared" ca="1" si="1128"/>
        <v>3.3179837916111482E-2</v>
      </c>
      <c r="O1158" s="2">
        <f t="shared" si="1129"/>
        <v>6000000</v>
      </c>
      <c r="P1158" s="2">
        <f t="shared" ca="1" si="1130"/>
        <v>41909435.203495853</v>
      </c>
      <c r="Q1158" s="2">
        <f t="shared" ca="1" si="1131"/>
        <v>1047735.8800873964</v>
      </c>
      <c r="R1158" s="2">
        <f t="shared" ca="1" si="1132"/>
        <v>25145661.122097511</v>
      </c>
      <c r="S1158" s="2">
        <f t="shared" ca="1" si="1133"/>
        <v>16763774.081398342</v>
      </c>
      <c r="T1158" s="2">
        <f t="shared" ca="1" si="1134"/>
        <v>51658991.895805575</v>
      </c>
      <c r="U1158" s="2">
        <f t="shared" ca="1" si="1135"/>
        <v>51099673.181652464</v>
      </c>
      <c r="V1158" s="2">
        <f t="shared" ca="1" si="1136"/>
        <v>50546410.284938313</v>
      </c>
      <c r="W1158" s="2">
        <f t="shared" ca="1" si="1137"/>
        <v>49999137.638529532</v>
      </c>
      <c r="X1158" s="2">
        <f t="shared" ca="1" si="1138"/>
        <v>49457790.385196514</v>
      </c>
      <c r="Y1158" s="2">
        <f t="shared" ca="1" si="1139"/>
        <v>0.12511725090601453</v>
      </c>
      <c r="Z1158" s="2">
        <f t="shared" ca="1" si="1140"/>
        <v>0.12716415126842034</v>
      </c>
      <c r="AA1158" s="2">
        <f t="shared" ca="1" si="1141"/>
        <v>6463431.0505792769</v>
      </c>
      <c r="AB1158" s="2">
        <f t="shared" ca="1" si="1142"/>
        <v>6498046.5702384962</v>
      </c>
      <c r="AC1158" s="2">
        <f t="shared" ca="1" si="1143"/>
        <v>6427691.3635495333</v>
      </c>
      <c r="AD1158" s="2">
        <f t="shared" ca="1" si="1144"/>
        <v>6358097.9019565387</v>
      </c>
      <c r="AE1158" s="2">
        <f t="shared" ca="1" si="1145"/>
        <v>6289257.9379449552</v>
      </c>
      <c r="AF1158" s="2">
        <f t="shared" ca="1" si="1146"/>
        <v>1033179.8379161116</v>
      </c>
      <c r="AG1158" s="2">
        <f t="shared" ca="1" si="1147"/>
        <v>1021993.4636330493</v>
      </c>
      <c r="AH1158" s="2">
        <f t="shared" ca="1" si="1148"/>
        <v>1010928.2056987663</v>
      </c>
      <c r="AI1158" s="2">
        <f t="shared" ca="1" si="1149"/>
        <v>999982.7527705906</v>
      </c>
      <c r="AJ1158" s="2">
        <f t="shared" ca="1" si="1150"/>
        <v>989155.8077039303</v>
      </c>
      <c r="AK1158" s="2">
        <f t="shared" ca="1" si="1151"/>
        <v>0</v>
      </c>
      <c r="AL1158" s="2">
        <f t="shared" ca="1" si="1152"/>
        <v>0</v>
      </c>
      <c r="AM1158" s="2">
        <f t="shared" ca="1" si="1153"/>
        <v>0</v>
      </c>
      <c r="AN1158" s="2">
        <f t="shared" ca="1" si="1154"/>
        <v>0</v>
      </c>
      <c r="AO1158" s="2">
        <f t="shared" ca="1" si="1155"/>
        <v>0</v>
      </c>
      <c r="AP1158" s="2">
        <f t="shared" ca="1" si="1156"/>
        <v>2263109.5009887759</v>
      </c>
      <c r="AQ1158" s="2">
        <f t="shared" ca="1" si="1157"/>
        <v>823456.84503534134</v>
      </c>
      <c r="AR1158" s="2">
        <f t="shared" ca="1" si="1158"/>
        <v>835365.33746033453</v>
      </c>
      <c r="AS1158" s="2">
        <f t="shared" ca="1" si="1159"/>
        <v>819949.95078411757</v>
      </c>
      <c r="AT1158" s="2">
        <f t="shared" ca="1" si="1160"/>
        <v>804701.46853126481</v>
      </c>
      <c r="AU1158" s="2">
        <f t="shared" ca="1" si="1161"/>
        <v>789618.08360558492</v>
      </c>
      <c r="AV1158" s="2">
        <f t="shared" ca="1" si="1162"/>
        <v>2343684.8666390479</v>
      </c>
      <c r="AW1158" s="2">
        <f t="shared" ca="1" si="1163"/>
        <v>2377578.2681563366</v>
      </c>
      <c r="AX1158" s="2">
        <f t="shared" ca="1" si="1164"/>
        <v>2333703.7060778728</v>
      </c>
      <c r="AY1158" s="2">
        <f t="shared" ca="1" si="1165"/>
        <v>2290304.1796659073</v>
      </c>
      <c r="AZ1158" s="2">
        <f t="shared" ca="1" si="1166"/>
        <v>2247374.5456466647</v>
      </c>
      <c r="BA1158" s="2">
        <f t="shared" ca="1" si="1167"/>
        <v>45306362.638624229</v>
      </c>
      <c r="BB1158" s="2">
        <f t="shared" ca="1" si="1168"/>
        <v>906127.25277248456</v>
      </c>
      <c r="BC1158" s="2">
        <f t="shared" ca="1" si="1169"/>
        <v>19254574.263754234</v>
      </c>
      <c r="BD1158" s="2">
        <f t="shared" ca="1" si="1170"/>
        <v>-18311509.96148574</v>
      </c>
      <c r="BE1158" s="2">
        <f t="shared" ca="1" si="1171"/>
        <v>2343684.8666390479</v>
      </c>
      <c r="BF1158" s="2">
        <f t="shared" ca="1" si="1172"/>
        <v>2377578.2681563366</v>
      </c>
      <c r="BG1158" s="2">
        <f t="shared" ca="1" si="1173"/>
        <v>2333703.7060778728</v>
      </c>
      <c r="BH1158" s="2">
        <f t="shared" ca="1" si="1174"/>
        <v>2290304.1796659073</v>
      </c>
      <c r="BI1158" s="2">
        <f t="shared" ca="1" si="1175"/>
        <v>21501948.809400897</v>
      </c>
      <c r="BJ1158" s="2">
        <f t="shared" ca="1" si="1176"/>
        <v>0.13485757046360236</v>
      </c>
      <c r="BK1158" s="2">
        <f t="shared" ca="1" si="1177"/>
        <v>993853.7692713514</v>
      </c>
    </row>
    <row r="1159" spans="1:63" x14ac:dyDescent="0.3">
      <c r="A1159" s="2">
        <v>1158</v>
      </c>
      <c r="B1159" s="2">
        <f t="shared" ca="1" si="1116"/>
        <v>0.63964179389679265</v>
      </c>
      <c r="C1159" s="2">
        <f t="shared" ca="1" si="1117"/>
        <v>7.1510498175944512</v>
      </c>
      <c r="D1159" s="2">
        <f t="shared" ca="1" si="1118"/>
        <v>0.979062374606537</v>
      </c>
      <c r="E1159" s="2">
        <f t="shared" ca="1" si="1119"/>
        <v>8.2953655679341178</v>
      </c>
      <c r="F1159" s="2">
        <f t="shared" ca="1" si="1120"/>
        <v>0.75031347991233166</v>
      </c>
      <c r="G1159" s="2">
        <f t="shared" ca="1" si="1121"/>
        <v>6.0264296730347069E-2</v>
      </c>
      <c r="H1159" s="2">
        <f t="shared" ca="1" si="1122"/>
        <v>6.0264296730347069E-2</v>
      </c>
      <c r="I1159" s="2">
        <f t="shared" ca="1" si="1123"/>
        <v>0.34108790754711471</v>
      </c>
      <c r="J1159" s="2">
        <f t="shared" ca="1" si="1124"/>
        <v>7.9525207731056674E-3</v>
      </c>
      <c r="K1159" s="2">
        <f t="shared" ca="1" si="1125"/>
        <v>7.9525207731056674E-3</v>
      </c>
      <c r="L1159" s="2">
        <f t="shared" ca="1" si="1126"/>
        <v>0.38268012395975981</v>
      </c>
      <c r="M1159" s="2">
        <f t="shared" ca="1" si="1127"/>
        <v>-5.968986486824264E-3</v>
      </c>
      <c r="N1159" s="2">
        <f t="shared" ca="1" si="1128"/>
        <v>-5.968986486824264E-3</v>
      </c>
      <c r="O1159" s="2">
        <f t="shared" si="1129"/>
        <v>6000000</v>
      </c>
      <c r="P1159" s="2">
        <f t="shared" ca="1" si="1130"/>
        <v>42906298.905566707</v>
      </c>
      <c r="Q1159" s="2">
        <f t="shared" ca="1" si="1131"/>
        <v>1072657.4726391677</v>
      </c>
      <c r="R1159" s="2">
        <f t="shared" ca="1" si="1132"/>
        <v>25743779.343340024</v>
      </c>
      <c r="S1159" s="2">
        <f t="shared" ca="1" si="1133"/>
        <v>17162519.562226683</v>
      </c>
      <c r="T1159" s="2">
        <f t="shared" ca="1" si="1134"/>
        <v>49701550.675658785</v>
      </c>
      <c r="U1159" s="2">
        <f t="shared" ca="1" si="1135"/>
        <v>52696779.673535064</v>
      </c>
      <c r="V1159" s="2">
        <f t="shared" ca="1" si="1136"/>
        <v>55872514.0405147</v>
      </c>
      <c r="W1159" s="2">
        <f t="shared" ca="1" si="1137"/>
        <v>59239631.805722758</v>
      </c>
      <c r="X1159" s="2">
        <f t="shared" ca="1" si="1138"/>
        <v>62809666.555059336</v>
      </c>
      <c r="Y1159" s="2">
        <f t="shared" ca="1" si="1139"/>
        <v>0.12397626038655282</v>
      </c>
      <c r="Z1159" s="2">
        <f t="shared" ca="1" si="1140"/>
        <v>0.12556676454117396</v>
      </c>
      <c r="AA1159" s="2">
        <f t="shared" ca="1" si="1141"/>
        <v>6161812.3881809236</v>
      </c>
      <c r="AB1159" s="2">
        <f t="shared" ca="1" si="1142"/>
        <v>6616964.1253448995</v>
      </c>
      <c r="AC1159" s="2">
        <f t="shared" ca="1" si="1143"/>
        <v>7015730.8148487452</v>
      </c>
      <c r="AD1159" s="2">
        <f t="shared" ca="1" si="1144"/>
        <v>7438528.8984550294</v>
      </c>
      <c r="AE1159" s="2">
        <f t="shared" ca="1" si="1145"/>
        <v>7886806.6112287845</v>
      </c>
      <c r="AF1159" s="2">
        <f t="shared" ca="1" si="1146"/>
        <v>994031.01351317577</v>
      </c>
      <c r="AG1159" s="2">
        <f t="shared" ca="1" si="1147"/>
        <v>1053935.5934707012</v>
      </c>
      <c r="AH1159" s="2">
        <f t="shared" ca="1" si="1148"/>
        <v>1117450.280810294</v>
      </c>
      <c r="AI1159" s="2">
        <f t="shared" ca="1" si="1149"/>
        <v>1184792.6361144553</v>
      </c>
      <c r="AJ1159" s="2">
        <f t="shared" ca="1" si="1150"/>
        <v>1256193.3311011868</v>
      </c>
      <c r="AK1159" s="2">
        <f t="shared" ca="1" si="1151"/>
        <v>0</v>
      </c>
      <c r="AL1159" s="2">
        <f t="shared" ca="1" si="1152"/>
        <v>29952.28997876279</v>
      </c>
      <c r="AM1159" s="2">
        <f t="shared" ca="1" si="1153"/>
        <v>31757.343669796363</v>
      </c>
      <c r="AN1159" s="2">
        <f t="shared" ca="1" si="1154"/>
        <v>33671.17765208058</v>
      </c>
      <c r="AO1159" s="2">
        <f t="shared" ca="1" si="1155"/>
        <v>35700.347493365778</v>
      </c>
      <c r="AP1159" s="2">
        <f t="shared" ca="1" si="1156"/>
        <v>2316940.1409006021</v>
      </c>
      <c r="AQ1159" s="2">
        <f t="shared" ca="1" si="1157"/>
        <v>741218.72077945794</v>
      </c>
      <c r="AR1159" s="2">
        <f t="shared" ca="1" si="1158"/>
        <v>843982.98165313504</v>
      </c>
      <c r="AS1159" s="2">
        <f t="shared" ca="1" si="1159"/>
        <v>931148.50221584085</v>
      </c>
      <c r="AT1159" s="2">
        <f t="shared" ca="1" si="1160"/>
        <v>1023566.9915743927</v>
      </c>
      <c r="AU1159" s="2">
        <f t="shared" ca="1" si="1161"/>
        <v>1121555.0161990188</v>
      </c>
      <c r="AV1159" s="2">
        <f t="shared" ca="1" si="1162"/>
        <v>2109622.5129876877</v>
      </c>
      <c r="AW1159" s="2">
        <f t="shared" ca="1" si="1163"/>
        <v>2372153.119341698</v>
      </c>
      <c r="AX1159" s="2">
        <f t="shared" ca="1" si="1164"/>
        <v>2618434.5472522122</v>
      </c>
      <c r="AY1159" s="2">
        <f t="shared" ca="1" si="1165"/>
        <v>2879557.9522134983</v>
      </c>
      <c r="AZ1159" s="2">
        <f t="shared" ca="1" si="1166"/>
        <v>3156417.7755346117</v>
      </c>
      <c r="BA1159" s="2">
        <f t="shared" ca="1" si="1167"/>
        <v>65423944.003742419</v>
      </c>
      <c r="BB1159" s="2">
        <f t="shared" ca="1" si="1168"/>
        <v>1308478.8800748484</v>
      </c>
      <c r="BC1159" s="2">
        <f t="shared" ca="1" si="1169"/>
        <v>38371685.780327544</v>
      </c>
      <c r="BD1159" s="2">
        <f t="shared" ca="1" si="1170"/>
        <v>-18735177.034865849</v>
      </c>
      <c r="BE1159" s="2">
        <f t="shared" ca="1" si="1171"/>
        <v>2109622.5129876877</v>
      </c>
      <c r="BF1159" s="2">
        <f t="shared" ca="1" si="1172"/>
        <v>2372153.119341698</v>
      </c>
      <c r="BG1159" s="2">
        <f t="shared" ca="1" si="1173"/>
        <v>2618434.5472522122</v>
      </c>
      <c r="BH1159" s="2">
        <f t="shared" ca="1" si="1174"/>
        <v>2879557.9522134983</v>
      </c>
      <c r="BI1159" s="2">
        <f t="shared" ca="1" si="1175"/>
        <v>41528103.555862159</v>
      </c>
      <c r="BJ1159" s="2">
        <f t="shared" ca="1" si="1176"/>
        <v>0.25937802948598576</v>
      </c>
      <c r="BK1159" s="2">
        <f t="shared" ca="1" si="1177"/>
        <v>12297402.789971892</v>
      </c>
    </row>
    <row r="1160" spans="1:63" x14ac:dyDescent="0.3">
      <c r="A1160" s="2">
        <v>1159</v>
      </c>
      <c r="B1160" s="2">
        <f t="shared" ca="1" si="1116"/>
        <v>0.68233377818941976</v>
      </c>
      <c r="C1160" s="2">
        <f t="shared" ca="1" si="1117"/>
        <v>7.2029225610888483</v>
      </c>
      <c r="D1160" s="2">
        <f t="shared" ca="1" si="1118"/>
        <v>0.71933070702715707</v>
      </c>
      <c r="E1160" s="2">
        <f t="shared" ca="1" si="1119"/>
        <v>7.7507746761182679</v>
      </c>
      <c r="F1160" s="2">
        <f t="shared" ca="1" si="1120"/>
        <v>3.5508402065564715E-2</v>
      </c>
      <c r="G1160" s="2">
        <f t="shared" ca="1" si="1121"/>
        <v>-1.416109967165903E-2</v>
      </c>
      <c r="H1160" s="2">
        <f t="shared" ca="1" si="1122"/>
        <v>-1.416109967165903E-2</v>
      </c>
      <c r="I1160" s="2">
        <f t="shared" ca="1" si="1123"/>
        <v>0.60490325628129915</v>
      </c>
      <c r="J1160" s="2">
        <f t="shared" ca="1" si="1124"/>
        <v>1.1330296837743815E-2</v>
      </c>
      <c r="K1160" s="2">
        <f t="shared" ca="1" si="1125"/>
        <v>1.1330296837743815E-2</v>
      </c>
      <c r="L1160" s="2">
        <f t="shared" ca="1" si="1126"/>
        <v>3.8388862317785932E-2</v>
      </c>
      <c r="M1160" s="2">
        <f t="shared" ca="1" si="1127"/>
        <v>-3.5393928636368248E-2</v>
      </c>
      <c r="N1160" s="2">
        <f t="shared" ca="1" si="1128"/>
        <v>-3.5393928636368248E-2</v>
      </c>
      <c r="O1160" s="2">
        <f t="shared" si="1129"/>
        <v>6000000</v>
      </c>
      <c r="P1160" s="2">
        <f t="shared" ca="1" si="1130"/>
        <v>43217535.366533093</v>
      </c>
      <c r="Q1160" s="2">
        <f t="shared" ca="1" si="1131"/>
        <v>1080438.3841633273</v>
      </c>
      <c r="R1160" s="2">
        <f t="shared" ca="1" si="1132"/>
        <v>25930521.219919857</v>
      </c>
      <c r="S1160" s="2">
        <f t="shared" ca="1" si="1133"/>
        <v>17287014.146613237</v>
      </c>
      <c r="T1160" s="2">
        <f t="shared" ca="1" si="1134"/>
        <v>48230303.568181589</v>
      </c>
      <c r="U1160" s="2">
        <f t="shared" ca="1" si="1135"/>
        <v>47547309.432158202</v>
      </c>
      <c r="V1160" s="2">
        <f t="shared" ca="1" si="1136"/>
        <v>46873987.244170196</v>
      </c>
      <c r="W1160" s="2">
        <f t="shared" ca="1" si="1137"/>
        <v>46210200.038797431</v>
      </c>
      <c r="X1160" s="2">
        <f t="shared" ca="1" si="1138"/>
        <v>45555812.790200718</v>
      </c>
      <c r="Y1160" s="2">
        <f t="shared" ca="1" si="1139"/>
        <v>0.12566514841887191</v>
      </c>
      <c r="Z1160" s="2">
        <f t="shared" ca="1" si="1140"/>
        <v>0.12793120778642067</v>
      </c>
      <c r="AA1160" s="2">
        <f t="shared" ca="1" si="1141"/>
        <v>6060868.256182787</v>
      </c>
      <c r="AB1160" s="2">
        <f t="shared" ca="1" si="1142"/>
        <v>6082784.7226506704</v>
      </c>
      <c r="AC1160" s="2">
        <f t="shared" ca="1" si="1143"/>
        <v>5996645.8019119697</v>
      </c>
      <c r="AD1160" s="2">
        <f t="shared" ca="1" si="1144"/>
        <v>5911726.7030154588</v>
      </c>
      <c r="AE1160" s="2">
        <f t="shared" ca="1" si="1145"/>
        <v>5828010.1519424487</v>
      </c>
      <c r="AF1160" s="2">
        <f t="shared" ca="1" si="1146"/>
        <v>964606.07136363175</v>
      </c>
      <c r="AG1160" s="2">
        <f t="shared" ca="1" si="1147"/>
        <v>950946.188643164</v>
      </c>
      <c r="AH1160" s="2">
        <f t="shared" ca="1" si="1148"/>
        <v>937479.744883404</v>
      </c>
      <c r="AI1160" s="2">
        <f t="shared" ca="1" si="1149"/>
        <v>924204.00077594863</v>
      </c>
      <c r="AJ1160" s="2">
        <f t="shared" ca="1" si="1150"/>
        <v>911116.25580401439</v>
      </c>
      <c r="AK1160" s="2">
        <f t="shared" ca="1" si="1151"/>
        <v>0</v>
      </c>
      <c r="AL1160" s="2">
        <f t="shared" ca="1" si="1152"/>
        <v>0</v>
      </c>
      <c r="AM1160" s="2">
        <f t="shared" ca="1" si="1153"/>
        <v>0</v>
      </c>
      <c r="AN1160" s="2">
        <f t="shared" ca="1" si="1154"/>
        <v>0</v>
      </c>
      <c r="AO1160" s="2">
        <f t="shared" ca="1" si="1155"/>
        <v>0</v>
      </c>
      <c r="AP1160" s="2">
        <f t="shared" ca="1" si="1156"/>
        <v>2333746.9097927869</v>
      </c>
      <c r="AQ1160" s="2">
        <f t="shared" ca="1" si="1157"/>
        <v>718253.9715068558</v>
      </c>
      <c r="AR1160" s="2">
        <f t="shared" ca="1" si="1158"/>
        <v>727503.82229582709</v>
      </c>
      <c r="AS1160" s="2">
        <f t="shared" ca="1" si="1159"/>
        <v>708608.97828130249</v>
      </c>
      <c r="AT1160" s="2">
        <f t="shared" ca="1" si="1160"/>
        <v>689981.70603614789</v>
      </c>
      <c r="AU1160" s="2">
        <f t="shared" ca="1" si="1161"/>
        <v>671618.21644986828</v>
      </c>
      <c r="AV1160" s="2">
        <f t="shared" ca="1" si="1162"/>
        <v>2044261.303519513</v>
      </c>
      <c r="AW1160" s="2">
        <f t="shared" ca="1" si="1163"/>
        <v>2070587.8019188927</v>
      </c>
      <c r="AX1160" s="2">
        <f t="shared" ca="1" si="1164"/>
        <v>2016810.1689544762</v>
      </c>
      <c r="AY1160" s="2">
        <f t="shared" ca="1" si="1165"/>
        <v>1963794.0864105751</v>
      </c>
      <c r="AZ1160" s="2">
        <f t="shared" ca="1" si="1166"/>
        <v>1911528.7698957794</v>
      </c>
      <c r="BA1160" s="2">
        <f t="shared" ca="1" si="1167"/>
        <v>45171593.497835711</v>
      </c>
      <c r="BB1160" s="2">
        <f t="shared" ca="1" si="1168"/>
        <v>903431.86995671422</v>
      </c>
      <c r="BC1160" s="2">
        <f t="shared" ca="1" si="1169"/>
        <v>18337640.407959141</v>
      </c>
      <c r="BD1160" s="2">
        <f t="shared" ca="1" si="1170"/>
        <v>-18867452.530776564</v>
      </c>
      <c r="BE1160" s="2">
        <f t="shared" ca="1" si="1171"/>
        <v>2044261.303519513</v>
      </c>
      <c r="BF1160" s="2">
        <f t="shared" ca="1" si="1172"/>
        <v>2070587.8019188927</v>
      </c>
      <c r="BG1160" s="2">
        <f t="shared" ca="1" si="1173"/>
        <v>2016810.1689544762</v>
      </c>
      <c r="BH1160" s="2">
        <f t="shared" ca="1" si="1174"/>
        <v>1963794.0864105751</v>
      </c>
      <c r="BI1160" s="2">
        <f t="shared" ca="1" si="1175"/>
        <v>20249169.177854922</v>
      </c>
      <c r="BJ1160" s="2">
        <f t="shared" ca="1" si="1176"/>
        <v>0.1018675033347991</v>
      </c>
      <c r="BK1160" s="2">
        <f t="shared" ca="1" si="1177"/>
        <v>-1218084.6219075136</v>
      </c>
    </row>
    <row r="1161" spans="1:63" x14ac:dyDescent="0.3">
      <c r="A1161" s="2">
        <v>1160</v>
      </c>
      <c r="B1161" s="2">
        <f t="shared" ca="1" si="1116"/>
        <v>0.38960474629031494</v>
      </c>
      <c r="C1161" s="2">
        <f t="shared" ca="1" si="1117"/>
        <v>6.8827284364857801</v>
      </c>
      <c r="D1161" s="2">
        <f t="shared" ca="1" si="1118"/>
        <v>0.64893251352347403</v>
      </c>
      <c r="E1161" s="2">
        <f t="shared" ca="1" si="1119"/>
        <v>7.6620650544624294</v>
      </c>
      <c r="F1161" s="2">
        <f t="shared" ca="1" si="1120"/>
        <v>0.39838936733971153</v>
      </c>
      <c r="G1161" s="2">
        <f t="shared" ca="1" si="1121"/>
        <v>3.2274452729105965E-2</v>
      </c>
      <c r="H1161" s="2">
        <f t="shared" ca="1" si="1122"/>
        <v>3.2274452729105965E-2</v>
      </c>
      <c r="I1161" s="2">
        <f t="shared" ca="1" si="1123"/>
        <v>0.45189478445060227</v>
      </c>
      <c r="J1161" s="2">
        <f t="shared" ca="1" si="1124"/>
        <v>9.3956220005184232E-3</v>
      </c>
      <c r="K1161" s="2">
        <f t="shared" ca="1" si="1125"/>
        <v>9.3956220005184232E-3</v>
      </c>
      <c r="L1161" s="2">
        <f t="shared" ca="1" si="1126"/>
        <v>0.61736339533120488</v>
      </c>
      <c r="M1161" s="2">
        <f t="shared" ca="1" si="1127"/>
        <v>5.9712676212167895E-3</v>
      </c>
      <c r="N1161" s="2">
        <f t="shared" ca="1" si="1128"/>
        <v>5.9712676212167895E-3</v>
      </c>
      <c r="O1161" s="2">
        <f t="shared" si="1129"/>
        <v>6000000</v>
      </c>
      <c r="P1161" s="2">
        <f t="shared" ca="1" si="1130"/>
        <v>41296370.618914679</v>
      </c>
      <c r="Q1161" s="2">
        <f t="shared" ca="1" si="1131"/>
        <v>1032409.2654728671</v>
      </c>
      <c r="R1161" s="2">
        <f t="shared" ca="1" si="1132"/>
        <v>24777822.371348806</v>
      </c>
      <c r="S1161" s="2">
        <f t="shared" ca="1" si="1133"/>
        <v>16518548.247565873</v>
      </c>
      <c r="T1161" s="2">
        <f t="shared" ca="1" si="1134"/>
        <v>50298563.381060831</v>
      </c>
      <c r="U1161" s="2">
        <f t="shared" ca="1" si="1135"/>
        <v>51921921.987244815</v>
      </c>
      <c r="V1161" s="2">
        <f t="shared" ca="1" si="1136"/>
        <v>53597673.604026474</v>
      </c>
      <c r="W1161" s="2">
        <f t="shared" ca="1" si="1137"/>
        <v>55327509.187149674</v>
      </c>
      <c r="X1161" s="2">
        <f t="shared" ca="1" si="1138"/>
        <v>57113174.267029509</v>
      </c>
      <c r="Y1161" s="2">
        <f t="shared" ca="1" si="1139"/>
        <v>0.1246978110002592</v>
      </c>
      <c r="Z1161" s="2">
        <f t="shared" ca="1" si="1140"/>
        <v>0.12657693540036288</v>
      </c>
      <c r="AA1161" s="2">
        <f t="shared" ca="1" si="1141"/>
        <v>6272120.7500760816</v>
      </c>
      <c r="AB1161" s="2">
        <f t="shared" ca="1" si="1142"/>
        <v>6572117.7652421677</v>
      </c>
      <c r="AC1161" s="2">
        <f t="shared" ca="1" si="1143"/>
        <v>6784229.2693865942</v>
      </c>
      <c r="AD1161" s="2">
        <f t="shared" ca="1" si="1144"/>
        <v>7003186.5562448278</v>
      </c>
      <c r="AE1161" s="2">
        <f t="shared" ca="1" si="1145"/>
        <v>7229210.5697074616</v>
      </c>
      <c r="AF1161" s="2">
        <f t="shared" ca="1" si="1146"/>
        <v>1005971.2676212166</v>
      </c>
      <c r="AG1161" s="2">
        <f t="shared" ca="1" si="1147"/>
        <v>1038438.4397448964</v>
      </c>
      <c r="AH1161" s="2">
        <f t="shared" ca="1" si="1148"/>
        <v>1071953.4720805294</v>
      </c>
      <c r="AI1161" s="2">
        <f t="shared" ca="1" si="1149"/>
        <v>1106550.1837429935</v>
      </c>
      <c r="AJ1161" s="2">
        <f t="shared" ca="1" si="1150"/>
        <v>1142263.4853405901</v>
      </c>
      <c r="AK1161" s="2">
        <f t="shared" ca="1" si="1151"/>
        <v>0</v>
      </c>
      <c r="AL1161" s="2">
        <f t="shared" ca="1" si="1152"/>
        <v>16233.586061839835</v>
      </c>
      <c r="AM1161" s="2">
        <f t="shared" ca="1" si="1153"/>
        <v>16757.516167816593</v>
      </c>
      <c r="AN1161" s="2">
        <f t="shared" ca="1" si="1154"/>
        <v>17298.355831231998</v>
      </c>
      <c r="AO1161" s="2">
        <f t="shared" ca="1" si="1155"/>
        <v>17856.650798798353</v>
      </c>
      <c r="AP1161" s="2">
        <f t="shared" ca="1" si="1156"/>
        <v>2230004.0134213925</v>
      </c>
      <c r="AQ1161" s="2">
        <f t="shared" ca="1" si="1157"/>
        <v>789397.82194870291</v>
      </c>
      <c r="AR1161" s="2">
        <f t="shared" ca="1" si="1158"/>
        <v>858955.58113972854</v>
      </c>
      <c r="AS1161" s="2">
        <f t="shared" ca="1" si="1159"/>
        <v>905390.66381001472</v>
      </c>
      <c r="AT1161" s="2">
        <f t="shared" ca="1" si="1160"/>
        <v>953324.41336091491</v>
      </c>
      <c r="AU1161" s="2">
        <f t="shared" ca="1" si="1161"/>
        <v>1002805.1984458244</v>
      </c>
      <c r="AV1161" s="2">
        <f t="shared" ca="1" si="1162"/>
        <v>2246747.6470847703</v>
      </c>
      <c r="AW1161" s="2">
        <f t="shared" ca="1" si="1163"/>
        <v>2428486.1448743106</v>
      </c>
      <c r="AX1161" s="2">
        <f t="shared" ca="1" si="1164"/>
        <v>2560123.6039068406</v>
      </c>
      <c r="AY1161" s="2">
        <f t="shared" ca="1" si="1165"/>
        <v>2696009.5898882947</v>
      </c>
      <c r="AZ1161" s="2">
        <f t="shared" ca="1" si="1166"/>
        <v>2836281.221700856</v>
      </c>
      <c r="BA1161" s="2">
        <f t="shared" ca="1" si="1167"/>
        <v>55390681.67750597</v>
      </c>
      <c r="BB1161" s="2">
        <f t="shared" ca="1" si="1168"/>
        <v>1107813.6335501194</v>
      </c>
      <c r="BC1161" s="2">
        <f t="shared" ca="1" si="1169"/>
        <v>29505045.672607046</v>
      </c>
      <c r="BD1161" s="2">
        <f t="shared" ca="1" si="1170"/>
        <v>-18050957.51303874</v>
      </c>
      <c r="BE1161" s="2">
        <f t="shared" ca="1" si="1171"/>
        <v>2246747.6470847703</v>
      </c>
      <c r="BF1161" s="2">
        <f t="shared" ca="1" si="1172"/>
        <v>2428486.1448743106</v>
      </c>
      <c r="BG1161" s="2">
        <f t="shared" ca="1" si="1173"/>
        <v>2560123.6039068406</v>
      </c>
      <c r="BH1161" s="2">
        <f t="shared" ca="1" si="1174"/>
        <v>2696009.5898882947</v>
      </c>
      <c r="BI1161" s="2">
        <f t="shared" ca="1" si="1175"/>
        <v>32341326.8943079</v>
      </c>
      <c r="BJ1161" s="2">
        <f t="shared" ca="1" si="1176"/>
        <v>0.22025339934137</v>
      </c>
      <c r="BK1161" s="2">
        <f t="shared" ca="1" si="1177"/>
        <v>7777987.1348227374</v>
      </c>
    </row>
    <row r="1162" spans="1:63" x14ac:dyDescent="0.3">
      <c r="A1162" s="2">
        <v>1161</v>
      </c>
      <c r="B1162" s="2">
        <f t="shared" ca="1" si="1116"/>
        <v>0.49094888348210941</v>
      </c>
      <c r="C1162" s="2">
        <f t="shared" ca="1" si="1117"/>
        <v>6.9909075471325357</v>
      </c>
      <c r="D1162" s="2">
        <f t="shared" ca="1" si="1118"/>
        <v>0.8301166656123492</v>
      </c>
      <c r="E1162" s="2">
        <f t="shared" ca="1" si="1119"/>
        <v>7.9171049247288998</v>
      </c>
      <c r="F1162" s="2">
        <f t="shared" ca="1" si="1120"/>
        <v>0.22044747137004872</v>
      </c>
      <c r="G1162" s="2">
        <f t="shared" ca="1" si="1121"/>
        <v>1.6879514652301471E-2</v>
      </c>
      <c r="H1162" s="2">
        <f t="shared" ca="1" si="1122"/>
        <v>1.6879514652301471E-2</v>
      </c>
      <c r="I1162" s="2">
        <f t="shared" ca="1" si="1123"/>
        <v>0.95957436162567322</v>
      </c>
      <c r="J1162" s="2">
        <f t="shared" ca="1" si="1124"/>
        <v>1.8728839908587678E-2</v>
      </c>
      <c r="K1162" s="2">
        <f t="shared" ca="1" si="1125"/>
        <v>1.8728839908587678E-2</v>
      </c>
      <c r="L1162" s="2">
        <f t="shared" ca="1" si="1126"/>
        <v>0.94048460099495257</v>
      </c>
      <c r="M1162" s="2">
        <f t="shared" ca="1" si="1127"/>
        <v>3.1177091984784761E-2</v>
      </c>
      <c r="N1162" s="2">
        <f t="shared" ca="1" si="1128"/>
        <v>3.1177091984784761E-2</v>
      </c>
      <c r="O1162" s="2">
        <f t="shared" si="1129"/>
        <v>6000000</v>
      </c>
      <c r="P1162" s="2">
        <f t="shared" ca="1" si="1130"/>
        <v>41945445.282795213</v>
      </c>
      <c r="Q1162" s="2">
        <f t="shared" ca="1" si="1131"/>
        <v>1048636.1320698804</v>
      </c>
      <c r="R1162" s="2">
        <f t="shared" ca="1" si="1132"/>
        <v>25167267.169677127</v>
      </c>
      <c r="S1162" s="2">
        <f t="shared" ca="1" si="1133"/>
        <v>16778178.113118086</v>
      </c>
      <c r="T1162" s="2">
        <f t="shared" ca="1" si="1134"/>
        <v>51558854.599239238</v>
      </c>
      <c r="U1162" s="2">
        <f t="shared" ca="1" si="1135"/>
        <v>52429143.04090298</v>
      </c>
      <c r="V1162" s="2">
        <f t="shared" ca="1" si="1136"/>
        <v>53314121.529069513</v>
      </c>
      <c r="W1162" s="2">
        <f t="shared" ca="1" si="1137"/>
        <v>54214038.024594024</v>
      </c>
      <c r="X1162" s="2">
        <f t="shared" ca="1" si="1138"/>
        <v>55129144.673790589</v>
      </c>
      <c r="Y1162" s="2">
        <f t="shared" ca="1" si="1139"/>
        <v>0.12936441995429385</v>
      </c>
      <c r="Z1162" s="2">
        <f t="shared" ca="1" si="1140"/>
        <v>0.13311018793601137</v>
      </c>
      <c r="AA1162" s="2">
        <f t="shared" ca="1" si="1141"/>
        <v>6669881.31873836</v>
      </c>
      <c r="AB1162" s="2">
        <f t="shared" ca="1" si="1142"/>
        <v>6978853.0834986186</v>
      </c>
      <c r="AC1162" s="2">
        <f t="shared" ca="1" si="1143"/>
        <v>7096652.7363777924</v>
      </c>
      <c r="AD1162" s="2">
        <f t="shared" ca="1" si="1144"/>
        <v>7216440.7902237773</v>
      </c>
      <c r="AE1162" s="2">
        <f t="shared" ca="1" si="1145"/>
        <v>7338250.8082798254</v>
      </c>
      <c r="AF1162" s="2">
        <f t="shared" ca="1" si="1146"/>
        <v>1031177.0919847848</v>
      </c>
      <c r="AG1162" s="2">
        <f t="shared" ca="1" si="1147"/>
        <v>1048582.8608180596</v>
      </c>
      <c r="AH1162" s="2">
        <f t="shared" ca="1" si="1148"/>
        <v>1066282.4305813904</v>
      </c>
      <c r="AI1162" s="2">
        <f t="shared" ca="1" si="1149"/>
        <v>1084280.7604918806</v>
      </c>
      <c r="AJ1162" s="2">
        <f t="shared" ca="1" si="1150"/>
        <v>1102582.8934758117</v>
      </c>
      <c r="AK1162" s="2">
        <f t="shared" ca="1" si="1151"/>
        <v>0</v>
      </c>
      <c r="AL1162" s="2">
        <f t="shared" ca="1" si="1152"/>
        <v>8702.8844166374201</v>
      </c>
      <c r="AM1162" s="2">
        <f t="shared" ca="1" si="1153"/>
        <v>8849.784881665335</v>
      </c>
      <c r="AN1162" s="2">
        <f t="shared" ca="1" si="1154"/>
        <v>8999.1649552451072</v>
      </c>
      <c r="AO1162" s="2">
        <f t="shared" ca="1" si="1155"/>
        <v>9151.0664919656519</v>
      </c>
      <c r="AP1162" s="2">
        <f t="shared" ca="1" si="1156"/>
        <v>2265054.0452709412</v>
      </c>
      <c r="AQ1162" s="2">
        <f t="shared" ca="1" si="1157"/>
        <v>877149.04718548479</v>
      </c>
      <c r="AR1162" s="2">
        <f t="shared" ca="1" si="1158"/>
        <v>952956.20612650074</v>
      </c>
      <c r="AS1162" s="2">
        <f t="shared" ca="1" si="1159"/>
        <v>978982.22773661977</v>
      </c>
      <c r="AT1162" s="2">
        <f t="shared" ca="1" si="1160"/>
        <v>1005447.5559598485</v>
      </c>
      <c r="AU1162" s="2">
        <f t="shared" ca="1" si="1161"/>
        <v>1032359.6060785988</v>
      </c>
      <c r="AV1162" s="2">
        <f t="shared" ca="1" si="1162"/>
        <v>2496501.1342971483</v>
      </c>
      <c r="AW1162" s="2">
        <f t="shared" ca="1" si="1163"/>
        <v>2703557.0868664803</v>
      </c>
      <c r="AX1162" s="2">
        <f t="shared" ca="1" si="1164"/>
        <v>2777484.2479071757</v>
      </c>
      <c r="AY1162" s="2">
        <f t="shared" ca="1" si="1165"/>
        <v>2852659.2635458615</v>
      </c>
      <c r="AZ1162" s="2">
        <f t="shared" ca="1" si="1166"/>
        <v>2929103.1969625084</v>
      </c>
      <c r="BA1162" s="2">
        <f t="shared" ca="1" si="1167"/>
        <v>58097701.613128036</v>
      </c>
      <c r="BB1162" s="2">
        <f t="shared" ca="1" si="1168"/>
        <v>1161954.0322625607</v>
      </c>
      <c r="BC1162" s="2">
        <f t="shared" ca="1" si="1169"/>
        <v>31768480.411188349</v>
      </c>
      <c r="BD1162" s="2">
        <f t="shared" ca="1" si="1170"/>
        <v>-18326814.245187968</v>
      </c>
      <c r="BE1162" s="2">
        <f t="shared" ca="1" si="1171"/>
        <v>2496501.1342971483</v>
      </c>
      <c r="BF1162" s="2">
        <f t="shared" ca="1" si="1172"/>
        <v>2703557.0868664803</v>
      </c>
      <c r="BG1162" s="2">
        <f t="shared" ca="1" si="1173"/>
        <v>2777484.2479071757</v>
      </c>
      <c r="BH1162" s="2">
        <f t="shared" ca="1" si="1174"/>
        <v>2852659.2635458615</v>
      </c>
      <c r="BI1162" s="2">
        <f t="shared" ca="1" si="1175"/>
        <v>34697583.608150855</v>
      </c>
      <c r="BJ1162" s="2">
        <f t="shared" ca="1" si="1176"/>
        <v>0.23905835790778429</v>
      </c>
      <c r="BK1162" s="2">
        <f t="shared" ca="1" si="1177"/>
        <v>9535679.5095716976</v>
      </c>
    </row>
    <row r="1163" spans="1:63" x14ac:dyDescent="0.3">
      <c r="A1163" s="2">
        <v>1162</v>
      </c>
      <c r="B1163" s="2">
        <f t="shared" ca="1" si="1116"/>
        <v>0.59630432872692918</v>
      </c>
      <c r="C1163" s="2">
        <f t="shared" ca="1" si="1117"/>
        <v>7.1014504228779911</v>
      </c>
      <c r="D1163" s="2">
        <f t="shared" ca="1" si="1118"/>
        <v>0.58386686777154972</v>
      </c>
      <c r="E1163" s="2">
        <f t="shared" ca="1" si="1119"/>
        <v>7.5877137157356245</v>
      </c>
      <c r="F1163" s="2">
        <f t="shared" ca="1" si="1120"/>
        <v>0.24693465128066605</v>
      </c>
      <c r="G1163" s="2">
        <f t="shared" ca="1" si="1121"/>
        <v>1.947497026742628E-2</v>
      </c>
      <c r="H1163" s="2">
        <f t="shared" ca="1" si="1122"/>
        <v>1.947497026742628E-2</v>
      </c>
      <c r="I1163" s="2">
        <f t="shared" ca="1" si="1123"/>
        <v>0.47960250486067346</v>
      </c>
      <c r="J1163" s="2">
        <f t="shared" ca="1" si="1124"/>
        <v>9.7442438246933133E-3</v>
      </c>
      <c r="K1163" s="2">
        <f t="shared" ca="1" si="1125"/>
        <v>9.7442438246933133E-3</v>
      </c>
      <c r="L1163" s="2">
        <f t="shared" ca="1" si="1126"/>
        <v>9.5857454164699929E-2</v>
      </c>
      <c r="M1163" s="2">
        <f t="shared" ca="1" si="1127"/>
        <v>-2.6110454843195172E-2</v>
      </c>
      <c r="N1163" s="2">
        <f t="shared" ca="1" si="1128"/>
        <v>-2.6110454843195172E-2</v>
      </c>
      <c r="O1163" s="2">
        <f t="shared" si="1129"/>
        <v>6000000</v>
      </c>
      <c r="P1163" s="2">
        <f t="shared" ca="1" si="1130"/>
        <v>42608702.537267946</v>
      </c>
      <c r="Q1163" s="2">
        <f t="shared" ca="1" si="1131"/>
        <v>1065217.5634316986</v>
      </c>
      <c r="R1163" s="2">
        <f t="shared" ca="1" si="1132"/>
        <v>25565221.522360768</v>
      </c>
      <c r="S1163" s="2">
        <f t="shared" ca="1" si="1133"/>
        <v>17043481.014907178</v>
      </c>
      <c r="T1163" s="2">
        <f t="shared" ca="1" si="1134"/>
        <v>48694477.257840239</v>
      </c>
      <c r="U1163" s="2">
        <f t="shared" ca="1" si="1135"/>
        <v>49642800.754624538</v>
      </c>
      <c r="V1163" s="2">
        <f t="shared" ca="1" si="1136"/>
        <v>50609592.82331261</v>
      </c>
      <c r="W1163" s="2">
        <f t="shared" ca="1" si="1137"/>
        <v>51595213.13879317</v>
      </c>
      <c r="X1163" s="2">
        <f t="shared" ca="1" si="1138"/>
        <v>52600028.380612686</v>
      </c>
      <c r="Y1163" s="2">
        <f t="shared" ca="1" si="1139"/>
        <v>0.12487212191234665</v>
      </c>
      <c r="Z1163" s="2">
        <f t="shared" ca="1" si="1140"/>
        <v>0.12682097067728532</v>
      </c>
      <c r="AA1163" s="2">
        <f t="shared" ca="1" si="1141"/>
        <v>6080582.7005990176</v>
      </c>
      <c r="AB1163" s="2">
        <f t="shared" ca="1" si="1142"/>
        <v>6295748.1788405562</v>
      </c>
      <c r="AC1163" s="2">
        <f t="shared" ca="1" si="1143"/>
        <v>6418357.687434678</v>
      </c>
      <c r="AD1163" s="2">
        <f t="shared" ca="1" si="1144"/>
        <v>6543355.0125631746</v>
      </c>
      <c r="AE1163" s="2">
        <f t="shared" ca="1" si="1145"/>
        <v>6670786.656882057</v>
      </c>
      <c r="AF1163" s="2">
        <f t="shared" ca="1" si="1146"/>
        <v>973889.54515680484</v>
      </c>
      <c r="AG1163" s="2">
        <f t="shared" ca="1" si="1147"/>
        <v>992856.01509249082</v>
      </c>
      <c r="AH1163" s="2">
        <f t="shared" ca="1" si="1148"/>
        <v>1012191.8564662522</v>
      </c>
      <c r="AI1163" s="2">
        <f t="shared" ca="1" si="1149"/>
        <v>1031904.2627758634</v>
      </c>
      <c r="AJ1163" s="2">
        <f t="shared" ca="1" si="1150"/>
        <v>1052000.5676122538</v>
      </c>
      <c r="AK1163" s="2">
        <f t="shared" ca="1" si="1151"/>
        <v>0</v>
      </c>
      <c r="AL1163" s="2">
        <f t="shared" ca="1" si="1152"/>
        <v>9483.2349678429964</v>
      </c>
      <c r="AM1163" s="2">
        <f t="shared" ca="1" si="1153"/>
        <v>9667.9206868807232</v>
      </c>
      <c r="AN1163" s="2">
        <f t="shared" ca="1" si="1154"/>
        <v>9856.2031548056002</v>
      </c>
      <c r="AO1163" s="2">
        <f t="shared" ca="1" si="1155"/>
        <v>10048.152418195159</v>
      </c>
      <c r="AP1163" s="2">
        <f t="shared" ca="1" si="1156"/>
        <v>2300869.9370124689</v>
      </c>
      <c r="AQ1163" s="2">
        <f t="shared" ca="1" si="1157"/>
        <v>729514.03679173335</v>
      </c>
      <c r="AR1163" s="2">
        <f t="shared" ca="1" si="1158"/>
        <v>780525.77895125502</v>
      </c>
      <c r="AS1163" s="2">
        <f t="shared" ca="1" si="1159"/>
        <v>807376.93242854881</v>
      </c>
      <c r="AT1163" s="2">
        <f t="shared" ca="1" si="1160"/>
        <v>834751.01132145897</v>
      </c>
      <c r="AU1163" s="2">
        <f t="shared" ca="1" si="1161"/>
        <v>862658.19958690682</v>
      </c>
      <c r="AV1163" s="2">
        <f t="shared" ca="1" si="1162"/>
        <v>2076309.1816380103</v>
      </c>
      <c r="AW1163" s="2">
        <f t="shared" ca="1" si="1163"/>
        <v>2212013.2128164987</v>
      </c>
      <c r="AX1163" s="2">
        <f t="shared" ca="1" si="1164"/>
        <v>2288251.0408405266</v>
      </c>
      <c r="AY1163" s="2">
        <f t="shared" ca="1" si="1165"/>
        <v>2365973.5982985771</v>
      </c>
      <c r="AZ1163" s="2">
        <f t="shared" ca="1" si="1166"/>
        <v>2445209.8002522322</v>
      </c>
      <c r="BA1163" s="2">
        <f t="shared" ca="1" si="1167"/>
        <v>50616019.411170177</v>
      </c>
      <c r="BB1163" s="2">
        <f t="shared" ca="1" si="1168"/>
        <v>1012320.3882234036</v>
      </c>
      <c r="BC1163" s="2">
        <f t="shared" ca="1" si="1169"/>
        <v>24038477.500586007</v>
      </c>
      <c r="BD1163" s="2">
        <f t="shared" ca="1" si="1170"/>
        <v>-18608698.578338876</v>
      </c>
      <c r="BE1163" s="2">
        <f t="shared" ca="1" si="1171"/>
        <v>2076309.1816380103</v>
      </c>
      <c r="BF1163" s="2">
        <f t="shared" ca="1" si="1172"/>
        <v>2212013.2128164987</v>
      </c>
      <c r="BG1163" s="2">
        <f t="shared" ca="1" si="1173"/>
        <v>2288251.0408405266</v>
      </c>
      <c r="BH1163" s="2">
        <f t="shared" ca="1" si="1174"/>
        <v>2365973.5982985771</v>
      </c>
      <c r="BI1163" s="2">
        <f t="shared" ca="1" si="1175"/>
        <v>26483687.300838239</v>
      </c>
      <c r="BJ1163" s="2">
        <f t="shared" ca="1" si="1176"/>
        <v>0.16311209168848739</v>
      </c>
      <c r="BK1163" s="2">
        <f t="shared" ca="1" si="1177"/>
        <v>3168458.5961910412</v>
      </c>
    </row>
    <row r="1164" spans="1:63" x14ac:dyDescent="0.3">
      <c r="A1164" s="2">
        <v>1163</v>
      </c>
      <c r="B1164" s="2">
        <f t="shared" ca="1" si="1116"/>
        <v>0.93272879408764064</v>
      </c>
      <c r="C1164" s="2">
        <f t="shared" ca="1" si="1117"/>
        <v>7.6331997657788113</v>
      </c>
      <c r="D1164" s="2">
        <f t="shared" ca="1" si="1118"/>
        <v>8.997291671580443E-2</v>
      </c>
      <c r="E1164" s="2">
        <f t="shared" ca="1" si="1119"/>
        <v>6.9242002279957058</v>
      </c>
      <c r="F1164" s="2">
        <f t="shared" ca="1" si="1120"/>
        <v>0.71629508636102746</v>
      </c>
      <c r="G1164" s="2">
        <f t="shared" ca="1" si="1121"/>
        <v>5.7156109844758149E-2</v>
      </c>
      <c r="H1164" s="2">
        <f t="shared" ca="1" si="1122"/>
        <v>5.7156109844758149E-2</v>
      </c>
      <c r="I1164" s="2">
        <f t="shared" ca="1" si="1123"/>
        <v>0.19001817017961065</v>
      </c>
      <c r="J1164" s="2">
        <f t="shared" ca="1" si="1124"/>
        <v>5.6108533068114511E-3</v>
      </c>
      <c r="K1164" s="2">
        <f t="shared" ca="1" si="1125"/>
        <v>5.6108533068114511E-3</v>
      </c>
      <c r="L1164" s="2">
        <f t="shared" ca="1" si="1126"/>
        <v>0.71473577623331119</v>
      </c>
      <c r="M1164" s="2">
        <f t="shared" ca="1" si="1127"/>
        <v>1.1345467964095246E-2</v>
      </c>
      <c r="N1164" s="2">
        <f t="shared" ca="1" si="1128"/>
        <v>1.1345467964095246E-2</v>
      </c>
      <c r="O1164" s="2">
        <f t="shared" si="1129"/>
        <v>6000000</v>
      </c>
      <c r="P1164" s="2">
        <f t="shared" ca="1" si="1130"/>
        <v>45799198.594672866</v>
      </c>
      <c r="Q1164" s="2">
        <f t="shared" ca="1" si="1131"/>
        <v>1144979.9648668217</v>
      </c>
      <c r="R1164" s="2">
        <f t="shared" ca="1" si="1132"/>
        <v>27479519.15680372</v>
      </c>
      <c r="S1164" s="2">
        <f t="shared" ca="1" si="1133"/>
        <v>18319679.437869146</v>
      </c>
      <c r="T1164" s="2">
        <f t="shared" ca="1" si="1134"/>
        <v>50567273.398204759</v>
      </c>
      <c r="U1164" s="2">
        <f t="shared" ca="1" si="1135"/>
        <v>53457502.031102471</v>
      </c>
      <c r="V1164" s="2">
        <f t="shared" ca="1" si="1136"/>
        <v>56512924.889218546</v>
      </c>
      <c r="W1164" s="2">
        <f t="shared" ca="1" si="1137"/>
        <v>59742983.831835292</v>
      </c>
      <c r="X1164" s="2">
        <f t="shared" ca="1" si="1138"/>
        <v>63157660.378181279</v>
      </c>
      <c r="Y1164" s="2">
        <f t="shared" ca="1" si="1139"/>
        <v>0.12280542665340573</v>
      </c>
      <c r="Z1164" s="2">
        <f t="shared" ca="1" si="1140"/>
        <v>0.12392759731476802</v>
      </c>
      <c r="AA1164" s="2">
        <f t="shared" ca="1" si="1141"/>
        <v>6209935.584365949</v>
      </c>
      <c r="AB1164" s="2">
        <f t="shared" ca="1" si="1142"/>
        <v>6624859.7851638608</v>
      </c>
      <c r="AC1164" s="2">
        <f t="shared" ca="1" si="1143"/>
        <v>7003510.9987508068</v>
      </c>
      <c r="AD1164" s="2">
        <f t="shared" ca="1" si="1144"/>
        <v>7403804.4426943809</v>
      </c>
      <c r="AE1164" s="2">
        <f t="shared" ca="1" si="1145"/>
        <v>7826977.1026901286</v>
      </c>
      <c r="AF1164" s="2">
        <f t="shared" ca="1" si="1146"/>
        <v>1011345.4679640952</v>
      </c>
      <c r="AG1164" s="2">
        <f t="shared" ca="1" si="1147"/>
        <v>1069150.0406220495</v>
      </c>
      <c r="AH1164" s="2">
        <f t="shared" ca="1" si="1148"/>
        <v>1130258.497784371</v>
      </c>
      <c r="AI1164" s="2">
        <f t="shared" ca="1" si="1149"/>
        <v>1194859.6766367059</v>
      </c>
      <c r="AJ1164" s="2">
        <f t="shared" ca="1" si="1150"/>
        <v>1263153.2075636256</v>
      </c>
      <c r="AK1164" s="2">
        <f t="shared" ca="1" si="1151"/>
        <v>0</v>
      </c>
      <c r="AL1164" s="2">
        <f t="shared" ca="1" si="1152"/>
        <v>28902.286328977123</v>
      </c>
      <c r="AM1164" s="2">
        <f t="shared" ca="1" si="1153"/>
        <v>30554.228581160754</v>
      </c>
      <c r="AN1164" s="2">
        <f t="shared" ca="1" si="1154"/>
        <v>32300.589426167458</v>
      </c>
      <c r="AO1164" s="2">
        <f t="shared" ca="1" si="1155"/>
        <v>34146.765463459866</v>
      </c>
      <c r="AP1164" s="2">
        <f t="shared" ca="1" si="1156"/>
        <v>2473156.7241123347</v>
      </c>
      <c r="AQ1164" s="2">
        <f t="shared" ca="1" si="1157"/>
        <v>708612.68199527508</v>
      </c>
      <c r="AR1164" s="2">
        <f t="shared" ca="1" si="1158"/>
        <v>801463.78531166387</v>
      </c>
      <c r="AS1164" s="2">
        <f t="shared" ca="1" si="1159"/>
        <v>884024.90198206622</v>
      </c>
      <c r="AT1164" s="2">
        <f t="shared" ca="1" si="1160"/>
        <v>971304.89090578852</v>
      </c>
      <c r="AU1164" s="2">
        <f t="shared" ca="1" si="1161"/>
        <v>1063573.4644636838</v>
      </c>
      <c r="AV1164" s="2">
        <f t="shared" ca="1" si="1162"/>
        <v>2016820.7102942439</v>
      </c>
      <c r="AW1164" s="2">
        <f t="shared" ca="1" si="1163"/>
        <v>2252186.9487888357</v>
      </c>
      <c r="AX1164" s="2">
        <f t="shared" ca="1" si="1164"/>
        <v>2485516.6462908741</v>
      </c>
      <c r="AY1164" s="2">
        <f t="shared" ca="1" si="1165"/>
        <v>2732182.5616133846</v>
      </c>
      <c r="AZ1164" s="2">
        <f t="shared" ca="1" si="1166"/>
        <v>2992946.9410870243</v>
      </c>
      <c r="BA1164" s="2">
        <f t="shared" ca="1" si="1167"/>
        <v>54195556.638964154</v>
      </c>
      <c r="BB1164" s="2">
        <f t="shared" ca="1" si="1168"/>
        <v>1083911.132779283</v>
      </c>
      <c r="BC1164" s="2">
        <f t="shared" ca="1" si="1169"/>
        <v>25632126.349381153</v>
      </c>
      <c r="BD1164" s="2">
        <f t="shared" ca="1" si="1170"/>
        <v>-19964659.402735967</v>
      </c>
      <c r="BE1164" s="2">
        <f t="shared" ca="1" si="1171"/>
        <v>2016820.7102942439</v>
      </c>
      <c r="BF1164" s="2">
        <f t="shared" ca="1" si="1172"/>
        <v>2252186.9487888357</v>
      </c>
      <c r="BG1164" s="2">
        <f t="shared" ca="1" si="1173"/>
        <v>2485516.6462908741</v>
      </c>
      <c r="BH1164" s="2">
        <f t="shared" ca="1" si="1174"/>
        <v>2732182.5616133846</v>
      </c>
      <c r="BI1164" s="2">
        <f t="shared" ca="1" si="1175"/>
        <v>28625073.290468179</v>
      </c>
      <c r="BJ1164" s="2">
        <f t="shared" ca="1" si="1176"/>
        <v>0.16246898075578553</v>
      </c>
      <c r="BK1164" s="2">
        <f t="shared" ca="1" si="1177"/>
        <v>3379631.4187610522</v>
      </c>
    </row>
    <row r="1165" spans="1:63" x14ac:dyDescent="0.3">
      <c r="A1165" s="2">
        <v>1164</v>
      </c>
      <c r="B1165" s="2">
        <f t="shared" ca="1" si="1116"/>
        <v>0.12612378026452886</v>
      </c>
      <c r="C1165" s="2">
        <f t="shared" ca="1" si="1117"/>
        <v>6.5022425315811656</v>
      </c>
      <c r="D1165" s="2">
        <f t="shared" ca="1" si="1118"/>
        <v>9.9118075338496481E-2</v>
      </c>
      <c r="E1165" s="2">
        <f t="shared" ca="1" si="1119"/>
        <v>6.9452371847420125</v>
      </c>
      <c r="F1165" s="2">
        <f t="shared" ca="1" si="1120"/>
        <v>0.81580684693237271</v>
      </c>
      <c r="G1165" s="2">
        <f t="shared" ca="1" si="1121"/>
        <v>6.698500505298069E-2</v>
      </c>
      <c r="H1165" s="2">
        <f t="shared" ca="1" si="1122"/>
        <v>6.698500505298069E-2</v>
      </c>
      <c r="I1165" s="2">
        <f t="shared" ca="1" si="1123"/>
        <v>0.82041178858192387</v>
      </c>
      <c r="J1165" s="2">
        <f t="shared" ca="1" si="1124"/>
        <v>1.458467766432869E-2</v>
      </c>
      <c r="K1165" s="2">
        <f t="shared" ca="1" si="1125"/>
        <v>1.458467766432869E-2</v>
      </c>
      <c r="L1165" s="2">
        <f t="shared" ca="1" si="1126"/>
        <v>0.53879871113518052</v>
      </c>
      <c r="M1165" s="2">
        <f t="shared" ca="1" si="1127"/>
        <v>1.9481553188233172E-3</v>
      </c>
      <c r="N1165" s="2">
        <f t="shared" ca="1" si="1128"/>
        <v>1.9481553188233172E-3</v>
      </c>
      <c r="O1165" s="2">
        <f t="shared" si="1129"/>
        <v>6000000</v>
      </c>
      <c r="P1165" s="2">
        <f t="shared" ca="1" si="1130"/>
        <v>39013455.189486995</v>
      </c>
      <c r="Q1165" s="2">
        <f t="shared" ca="1" si="1131"/>
        <v>975336.37973717495</v>
      </c>
      <c r="R1165" s="2">
        <f t="shared" ca="1" si="1132"/>
        <v>23408073.113692198</v>
      </c>
      <c r="S1165" s="2">
        <f t="shared" ca="1" si="1133"/>
        <v>15605382.075794799</v>
      </c>
      <c r="T1165" s="2">
        <f t="shared" ca="1" si="1134"/>
        <v>50097407.765941173</v>
      </c>
      <c r="U1165" s="2">
        <f t="shared" ca="1" si="1135"/>
        <v>53453182.878283978</v>
      </c>
      <c r="V1165" s="2">
        <f t="shared" ca="1" si="1136"/>
        <v>57033744.603483737</v>
      </c>
      <c r="W1165" s="2">
        <f t="shared" ca="1" si="1137"/>
        <v>60854150.273938507</v>
      </c>
      <c r="X1165" s="2">
        <f t="shared" ca="1" si="1138"/>
        <v>64930465.837533131</v>
      </c>
      <c r="Y1165" s="2">
        <f t="shared" ca="1" si="1139"/>
        <v>0.12729233883216434</v>
      </c>
      <c r="Z1165" s="2">
        <f t="shared" ca="1" si="1140"/>
        <v>0.13020927436503008</v>
      </c>
      <c r="AA1165" s="2">
        <f t="shared" ca="1" si="1141"/>
        <v>6377016.2039552853</v>
      </c>
      <c r="AB1165" s="2">
        <f t="shared" ca="1" si="1142"/>
        <v>6960100.1550826067</v>
      </c>
      <c r="AC1165" s="2">
        <f t="shared" ca="1" si="1143"/>
        <v>7426322.499140067</v>
      </c>
      <c r="AD1165" s="2">
        <f t="shared" ca="1" si="1144"/>
        <v>7923774.7492700294</v>
      </c>
      <c r="AE1165" s="2">
        <f t="shared" ca="1" si="1145"/>
        <v>8454548.8408885635</v>
      </c>
      <c r="AF1165" s="2">
        <f t="shared" ca="1" si="1146"/>
        <v>1001948.1553188235</v>
      </c>
      <c r="AG1165" s="2">
        <f t="shared" ca="1" si="1147"/>
        <v>1069063.6575656796</v>
      </c>
      <c r="AH1165" s="2">
        <f t="shared" ca="1" si="1148"/>
        <v>1140674.8920696748</v>
      </c>
      <c r="AI1165" s="2">
        <f t="shared" ca="1" si="1149"/>
        <v>1217083.0054787702</v>
      </c>
      <c r="AJ1165" s="2">
        <f t="shared" ca="1" si="1150"/>
        <v>1298609.3167506626</v>
      </c>
      <c r="AK1165" s="2">
        <f t="shared" ca="1" si="1151"/>
        <v>0</v>
      </c>
      <c r="AL1165" s="2">
        <f t="shared" ca="1" si="1152"/>
        <v>33557.751123428046</v>
      </c>
      <c r="AM1165" s="2">
        <f t="shared" ca="1" si="1153"/>
        <v>35805.617251997588</v>
      </c>
      <c r="AN1165" s="2">
        <f t="shared" ca="1" si="1154"/>
        <v>38204.056704547707</v>
      </c>
      <c r="AO1165" s="2">
        <f t="shared" ca="1" si="1155"/>
        <v>40763.155635946248</v>
      </c>
      <c r="AP1165" s="2">
        <f t="shared" ca="1" si="1156"/>
        <v>2106726.5802322975</v>
      </c>
      <c r="AQ1165" s="2">
        <f t="shared" ca="1" si="1157"/>
        <v>849768.78178508265</v>
      </c>
      <c r="AR1165" s="2">
        <f t="shared" ca="1" si="1158"/>
        <v>983920.57849400374</v>
      </c>
      <c r="AS1165" s="2">
        <f t="shared" ca="1" si="1159"/>
        <v>1086519.4669779046</v>
      </c>
      <c r="AT1165" s="2">
        <f t="shared" ca="1" si="1160"/>
        <v>1195990.94252533</v>
      </c>
      <c r="AU1165" s="2">
        <f t="shared" ca="1" si="1161"/>
        <v>1312795.3654154569</v>
      </c>
      <c r="AV1165" s="2">
        <f t="shared" ca="1" si="1162"/>
        <v>2418572.6866190811</v>
      </c>
      <c r="AW1165" s="2">
        <f t="shared" ca="1" si="1163"/>
        <v>2766831.5876671975</v>
      </c>
      <c r="AX1165" s="2">
        <f t="shared" ca="1" si="1164"/>
        <v>3056595.9426081921</v>
      </c>
      <c r="AY1165" s="2">
        <f t="shared" ca="1" si="1165"/>
        <v>3365770.1643290841</v>
      </c>
      <c r="AZ1165" s="2">
        <f t="shared" ca="1" si="1166"/>
        <v>3695654.4228542005</v>
      </c>
      <c r="BA1165" s="2">
        <f t="shared" ca="1" si="1167"/>
        <v>58718846.989956729</v>
      </c>
      <c r="BB1165" s="2">
        <f t="shared" ca="1" si="1168"/>
        <v>1174376.9397991346</v>
      </c>
      <c r="BC1165" s="2">
        <f t="shared" ca="1" si="1169"/>
        <v>34136396.93646539</v>
      </c>
      <c r="BD1165" s="2">
        <f t="shared" ca="1" si="1170"/>
        <v>-17080718.455531973</v>
      </c>
      <c r="BE1165" s="2">
        <f t="shared" ca="1" si="1171"/>
        <v>2418572.6866190811</v>
      </c>
      <c r="BF1165" s="2">
        <f t="shared" ca="1" si="1172"/>
        <v>2766831.5876671975</v>
      </c>
      <c r="BG1165" s="2">
        <f t="shared" ca="1" si="1173"/>
        <v>3056595.9426081921</v>
      </c>
      <c r="BH1165" s="2">
        <f t="shared" ca="1" si="1174"/>
        <v>3365770.1643290841</v>
      </c>
      <c r="BI1165" s="2">
        <f t="shared" ca="1" si="1175"/>
        <v>37832051.35931959</v>
      </c>
      <c r="BJ1165" s="2">
        <f t="shared" ca="1" si="1176"/>
        <v>0.28406524834218727</v>
      </c>
      <c r="BK1165" s="2">
        <f t="shared" ca="1" si="1177"/>
        <v>13065976.998023245</v>
      </c>
    </row>
    <row r="1166" spans="1:63" x14ac:dyDescent="0.3">
      <c r="A1166" s="2">
        <v>1165</v>
      </c>
      <c r="B1166" s="2">
        <f t="shared" ca="1" si="1116"/>
        <v>0.52836061041662752</v>
      </c>
      <c r="C1166" s="2">
        <f t="shared" ca="1" si="1117"/>
        <v>7.0287745991960753</v>
      </c>
      <c r="D1166" s="2">
        <f t="shared" ca="1" si="1118"/>
        <v>0.97304127547852082</v>
      </c>
      <c r="E1166" s="2">
        <f t="shared" ca="1" si="1119"/>
        <v>8.2677986885416921</v>
      </c>
      <c r="F1166" s="2">
        <f t="shared" ca="1" si="1120"/>
        <v>0.61174395960401085</v>
      </c>
      <c r="G1166" s="2">
        <f t="shared" ca="1" si="1121"/>
        <v>4.8516018847360294E-2</v>
      </c>
      <c r="H1166" s="2">
        <f t="shared" ca="1" si="1122"/>
        <v>4.8516018847360294E-2</v>
      </c>
      <c r="I1166" s="2">
        <f t="shared" ca="1" si="1123"/>
        <v>0.65751475030394835</v>
      </c>
      <c r="J1166" s="2">
        <f t="shared" ca="1" si="1124"/>
        <v>1.2028449261147722E-2</v>
      </c>
      <c r="K1166" s="2">
        <f t="shared" ca="1" si="1125"/>
        <v>1.2028449261147722E-2</v>
      </c>
      <c r="L1166" s="2">
        <f t="shared" ca="1" si="1126"/>
        <v>0.15118744552366825</v>
      </c>
      <c r="M1166" s="2">
        <f t="shared" ca="1" si="1127"/>
        <v>-2.062707798872309E-2</v>
      </c>
      <c r="N1166" s="2">
        <f t="shared" ca="1" si="1128"/>
        <v>-2.062707798872309E-2</v>
      </c>
      <c r="O1166" s="2">
        <f t="shared" si="1129"/>
        <v>6000000</v>
      </c>
      <c r="P1166" s="2">
        <f t="shared" ca="1" si="1130"/>
        <v>42172647.595176451</v>
      </c>
      <c r="Q1166" s="2">
        <f t="shared" ca="1" si="1131"/>
        <v>1054316.1898794114</v>
      </c>
      <c r="R1166" s="2">
        <f t="shared" ca="1" si="1132"/>
        <v>25303588.557105869</v>
      </c>
      <c r="S1166" s="2">
        <f t="shared" ca="1" si="1133"/>
        <v>16869059.038070582</v>
      </c>
      <c r="T1166" s="2">
        <f t="shared" ca="1" si="1134"/>
        <v>48968646.100563847</v>
      </c>
      <c r="U1166" s="2">
        <f t="shared" ca="1" si="1135"/>
        <v>51344409.857708521</v>
      </c>
      <c r="V1166" s="2">
        <f t="shared" ca="1" si="1136"/>
        <v>53835436.214071698</v>
      </c>
      <c r="W1166" s="2">
        <f t="shared" ca="1" si="1137"/>
        <v>56447317.252089463</v>
      </c>
      <c r="X1166" s="2">
        <f t="shared" ca="1" si="1138"/>
        <v>59185916.359774761</v>
      </c>
      <c r="Y1166" s="2">
        <f t="shared" ca="1" si="1139"/>
        <v>0.12601422463057385</v>
      </c>
      <c r="Z1166" s="2">
        <f t="shared" ca="1" si="1140"/>
        <v>0.1284199144828034</v>
      </c>
      <c r="AA1166" s="2">
        <f t="shared" ca="1" si="1141"/>
        <v>6170745.9695715271</v>
      </c>
      <c r="AB1166" s="2">
        <f t="shared" ca="1" si="1142"/>
        <v>6593644.723096936</v>
      </c>
      <c r="AC1166" s="2">
        <f t="shared" ca="1" si="1143"/>
        <v>6913542.1147555048</v>
      </c>
      <c r="AD1166" s="2">
        <f t="shared" ca="1" si="1144"/>
        <v>7248959.6542970017</v>
      </c>
      <c r="AE1166" s="2">
        <f t="shared" ca="1" si="1145"/>
        <v>7600650.3175086295</v>
      </c>
      <c r="AF1166" s="2">
        <f t="shared" ca="1" si="1146"/>
        <v>979372.92201127694</v>
      </c>
      <c r="AG1166" s="2">
        <f t="shared" ca="1" si="1147"/>
        <v>1026888.1971541705</v>
      </c>
      <c r="AH1166" s="2">
        <f t="shared" ca="1" si="1148"/>
        <v>1076708.724281434</v>
      </c>
      <c r="AI1166" s="2">
        <f t="shared" ca="1" si="1149"/>
        <v>1128946.3450417893</v>
      </c>
      <c r="AJ1166" s="2">
        <f t="shared" ca="1" si="1150"/>
        <v>1183718.3271954951</v>
      </c>
      <c r="AK1166" s="2">
        <f t="shared" ca="1" si="1151"/>
        <v>0</v>
      </c>
      <c r="AL1166" s="2">
        <f t="shared" ca="1" si="1152"/>
        <v>23757.637571446747</v>
      </c>
      <c r="AM1166" s="2">
        <f t="shared" ca="1" si="1153"/>
        <v>24910.263563631772</v>
      </c>
      <c r="AN1166" s="2">
        <f t="shared" ca="1" si="1154"/>
        <v>26118.810380177649</v>
      </c>
      <c r="AO1166" s="2">
        <f t="shared" ca="1" si="1155"/>
        <v>27385.991076852977</v>
      </c>
      <c r="AP1166" s="2">
        <f t="shared" ca="1" si="1156"/>
        <v>2277322.9701395282</v>
      </c>
      <c r="AQ1166" s="2">
        <f t="shared" ca="1" si="1157"/>
        <v>757653.02012938785</v>
      </c>
      <c r="AR1166" s="2">
        <f t="shared" ca="1" si="1158"/>
        <v>855252.72450884164</v>
      </c>
      <c r="AS1166" s="2">
        <f t="shared" ca="1" si="1159"/>
        <v>925472.70928698115</v>
      </c>
      <c r="AT1166" s="2">
        <f t="shared" ca="1" si="1160"/>
        <v>999099.48817007802</v>
      </c>
      <c r="AU1166" s="2">
        <f t="shared" ca="1" si="1161"/>
        <v>1076298.3452451376</v>
      </c>
      <c r="AV1166" s="2">
        <f t="shared" ca="1" si="1162"/>
        <v>2156397.057291334</v>
      </c>
      <c r="AW1166" s="2">
        <f t="shared" ca="1" si="1163"/>
        <v>2410423.1937229489</v>
      </c>
      <c r="AX1166" s="2">
        <f t="shared" ca="1" si="1164"/>
        <v>2609127.4474839293</v>
      </c>
      <c r="AY1166" s="2">
        <f t="shared" ca="1" si="1165"/>
        <v>2817472.0405654288</v>
      </c>
      <c r="AZ1166" s="2">
        <f t="shared" ca="1" si="1166"/>
        <v>3035924.6838516151</v>
      </c>
      <c r="BA1166" s="2">
        <f t="shared" ca="1" si="1167"/>
        <v>62840646.72716184</v>
      </c>
      <c r="BB1166" s="2">
        <f t="shared" ca="1" si="1168"/>
        <v>1256812.9345432369</v>
      </c>
      <c r="BC1166" s="2">
        <f t="shared" ca="1" si="1169"/>
        <v>36280245.235512733</v>
      </c>
      <c r="BD1166" s="2">
        <f t="shared" ca="1" si="1170"/>
        <v>-18423375.227949992</v>
      </c>
      <c r="BE1166" s="2">
        <f t="shared" ca="1" si="1171"/>
        <v>2156397.057291334</v>
      </c>
      <c r="BF1166" s="2">
        <f t="shared" ca="1" si="1172"/>
        <v>2410423.1937229489</v>
      </c>
      <c r="BG1166" s="2">
        <f t="shared" ca="1" si="1173"/>
        <v>2609127.4474839293</v>
      </c>
      <c r="BH1166" s="2">
        <f t="shared" ca="1" si="1174"/>
        <v>2817472.0405654288</v>
      </c>
      <c r="BI1166" s="2">
        <f t="shared" ca="1" si="1175"/>
        <v>39316169.919364348</v>
      </c>
      <c r="BJ1166" s="2">
        <f t="shared" ca="1" si="1176"/>
        <v>0.2535191411659885</v>
      </c>
      <c r="BK1166" s="2">
        <f t="shared" ca="1" si="1177"/>
        <v>11380284.374401052</v>
      </c>
    </row>
    <row r="1167" spans="1:63" x14ac:dyDescent="0.3">
      <c r="A1167" s="2">
        <v>1166</v>
      </c>
      <c r="B1167" s="2">
        <f t="shared" ca="1" si="1116"/>
        <v>7.3761011644991381E-2</v>
      </c>
      <c r="C1167" s="2">
        <f t="shared" ca="1" si="1117"/>
        <v>6.3840859582046479</v>
      </c>
      <c r="D1167" s="2">
        <f t="shared" ca="1" si="1118"/>
        <v>0.58629632769101958</v>
      </c>
      <c r="E1167" s="2">
        <f t="shared" ca="1" si="1119"/>
        <v>7.5903806594965335</v>
      </c>
      <c r="F1167" s="2">
        <f t="shared" ca="1" si="1120"/>
        <v>0.3483187392562318</v>
      </c>
      <c r="G1167" s="2">
        <f t="shared" ca="1" si="1121"/>
        <v>2.8304094725769925E-2</v>
      </c>
      <c r="H1167" s="2">
        <f t="shared" ca="1" si="1122"/>
        <v>2.8304094725769925E-2</v>
      </c>
      <c r="I1167" s="2">
        <f t="shared" ca="1" si="1123"/>
        <v>0.81575827316001448</v>
      </c>
      <c r="J1167" s="2">
        <f t="shared" ca="1" si="1124"/>
        <v>1.4496588579104495E-2</v>
      </c>
      <c r="K1167" s="2">
        <f t="shared" ca="1" si="1125"/>
        <v>1.4496588579104495E-2</v>
      </c>
      <c r="L1167" s="2">
        <f t="shared" ca="1" si="1126"/>
        <v>0.98711639513293759</v>
      </c>
      <c r="M1167" s="2">
        <f t="shared" ca="1" si="1127"/>
        <v>4.4594047013020867E-2</v>
      </c>
      <c r="N1167" s="2">
        <f t="shared" ca="1" si="1128"/>
        <v>4.4594047013020867E-2</v>
      </c>
      <c r="O1167" s="2">
        <f t="shared" si="1129"/>
        <v>6000000</v>
      </c>
      <c r="P1167" s="2">
        <f t="shared" ca="1" si="1130"/>
        <v>38304515.749227889</v>
      </c>
      <c r="Q1167" s="2">
        <f t="shared" ca="1" si="1131"/>
        <v>957612.89373069722</v>
      </c>
      <c r="R1167" s="2">
        <f t="shared" ca="1" si="1132"/>
        <v>22982709.449536733</v>
      </c>
      <c r="S1167" s="2">
        <f t="shared" ca="1" si="1133"/>
        <v>15321806.299691156</v>
      </c>
      <c r="T1167" s="2">
        <f t="shared" ca="1" si="1134"/>
        <v>52229702.350651041</v>
      </c>
      <c r="U1167" s="2">
        <f t="shared" ca="1" si="1135"/>
        <v>53708016.793482639</v>
      </c>
      <c r="V1167" s="2">
        <f t="shared" ca="1" si="1136"/>
        <v>55228173.588338621</v>
      </c>
      <c r="W1167" s="2">
        <f t="shared" ca="1" si="1137"/>
        <v>56791357.045114227</v>
      </c>
      <c r="X1167" s="2">
        <f t="shared" ca="1" si="1138"/>
        <v>58398784.994524166</v>
      </c>
      <c r="Y1167" s="2">
        <f t="shared" ca="1" si="1139"/>
        <v>0.12724829428955226</v>
      </c>
      <c r="Z1167" s="2">
        <f t="shared" ca="1" si="1140"/>
        <v>0.13014761200537314</v>
      </c>
      <c r="AA1167" s="2">
        <f t="shared" ca="1" si="1141"/>
        <v>6646140.5353713632</v>
      </c>
      <c r="AB1167" s="2">
        <f t="shared" ca="1" si="1142"/>
        <v>6989970.1312162438</v>
      </c>
      <c r="AC1167" s="2">
        <f t="shared" ca="1" si="1143"/>
        <v>7187814.9079404911</v>
      </c>
      <c r="AD1167" s="2">
        <f t="shared" ca="1" si="1144"/>
        <v>7391259.5019661412</v>
      </c>
      <c r="AE1167" s="2">
        <f t="shared" ca="1" si="1145"/>
        <v>7600462.4110525381</v>
      </c>
      <c r="AF1167" s="2">
        <f t="shared" ca="1" si="1146"/>
        <v>1044594.0470130208</v>
      </c>
      <c r="AG1167" s="2">
        <f t="shared" ca="1" si="1147"/>
        <v>1074160.3358696527</v>
      </c>
      <c r="AH1167" s="2">
        <f t="shared" ca="1" si="1148"/>
        <v>1104563.4717667724</v>
      </c>
      <c r="AI1167" s="2">
        <f t="shared" ca="1" si="1149"/>
        <v>1135827.1409022845</v>
      </c>
      <c r="AJ1167" s="2">
        <f t="shared" ca="1" si="1150"/>
        <v>1167975.6998904834</v>
      </c>
      <c r="AK1167" s="2">
        <f t="shared" ca="1" si="1151"/>
        <v>0</v>
      </c>
      <c r="AL1167" s="2">
        <f t="shared" ca="1" si="1152"/>
        <v>14783.144428315982</v>
      </c>
      <c r="AM1167" s="2">
        <f t="shared" ca="1" si="1153"/>
        <v>15201.567948559821</v>
      </c>
      <c r="AN1167" s="2">
        <f t="shared" ca="1" si="1154"/>
        <v>15631.834567756057</v>
      </c>
      <c r="AO1167" s="2">
        <f t="shared" ca="1" si="1155"/>
        <v>16074.279494099394</v>
      </c>
      <c r="AP1167" s="2">
        <f t="shared" ca="1" si="1156"/>
        <v>2068443.850458306</v>
      </c>
      <c r="AQ1167" s="2">
        <f t="shared" ca="1" si="1157"/>
        <v>918606.68585400935</v>
      </c>
      <c r="AR1167" s="2">
        <f t="shared" ca="1" si="1158"/>
        <v>1000315.1456709543</v>
      </c>
      <c r="AS1167" s="2">
        <f t="shared" ca="1" si="1159"/>
        <v>1043849.9722860073</v>
      </c>
      <c r="AT1167" s="2">
        <f t="shared" ca="1" si="1160"/>
        <v>1088617.0127574431</v>
      </c>
      <c r="AU1167" s="2">
        <f t="shared" ca="1" si="1161"/>
        <v>1134651.1437829747</v>
      </c>
      <c r="AV1167" s="2">
        <f t="shared" ca="1" si="1162"/>
        <v>2614495.9520460265</v>
      </c>
      <c r="AW1167" s="2">
        <f t="shared" ca="1" si="1163"/>
        <v>2832267.6547890157</v>
      </c>
      <c r="AX1167" s="2">
        <f t="shared" ca="1" si="1164"/>
        <v>2955756.0454808446</v>
      </c>
      <c r="AY1167" s="2">
        <f t="shared" ca="1" si="1165"/>
        <v>3082739.6632803511</v>
      </c>
      <c r="AZ1167" s="2">
        <f t="shared" ca="1" si="1166"/>
        <v>3213317.4374266742</v>
      </c>
      <c r="BA1167" s="2">
        <f t="shared" ca="1" si="1167"/>
        <v>57690402.888083577</v>
      </c>
      <c r="BB1167" s="2">
        <f t="shared" ca="1" si="1168"/>
        <v>1153808.0577616715</v>
      </c>
      <c r="BC1167" s="2">
        <f t="shared" ca="1" si="1169"/>
        <v>33553885.380785171</v>
      </c>
      <c r="BD1167" s="2">
        <f t="shared" ca="1" si="1170"/>
        <v>-16779419.193421852</v>
      </c>
      <c r="BE1167" s="2">
        <f t="shared" ca="1" si="1171"/>
        <v>2614495.9520460265</v>
      </c>
      <c r="BF1167" s="2">
        <f t="shared" ca="1" si="1172"/>
        <v>2832267.6547890157</v>
      </c>
      <c r="BG1167" s="2">
        <f t="shared" ca="1" si="1173"/>
        <v>2955756.0454808446</v>
      </c>
      <c r="BH1167" s="2">
        <f t="shared" ca="1" si="1174"/>
        <v>3082739.6632803511</v>
      </c>
      <c r="BI1167" s="2">
        <f t="shared" ca="1" si="1175"/>
        <v>36767202.818211846</v>
      </c>
      <c r="BJ1167" s="2">
        <f t="shared" ca="1" si="1176"/>
        <v>0.28477295880168585</v>
      </c>
      <c r="BK1167" s="2">
        <f t="shared" ca="1" si="1177"/>
        <v>12738502.472581711</v>
      </c>
    </row>
    <row r="1168" spans="1:63" x14ac:dyDescent="0.3">
      <c r="A1168" s="2">
        <v>1167</v>
      </c>
      <c r="B1168" s="2">
        <f t="shared" ca="1" si="1116"/>
        <v>0.27688658440869762</v>
      </c>
      <c r="C1168" s="2">
        <f t="shared" ca="1" si="1117"/>
        <v>6.7441593705768916</v>
      </c>
      <c r="D1168" s="2">
        <f t="shared" ca="1" si="1118"/>
        <v>0.49642002833302989</v>
      </c>
      <c r="E1168" s="2">
        <f t="shared" ca="1" si="1119"/>
        <v>7.4964135971904735</v>
      </c>
      <c r="F1168" s="2">
        <f t="shared" ca="1" si="1120"/>
        <v>0.24353996088456697</v>
      </c>
      <c r="G1168" s="2">
        <f t="shared" ca="1" si="1121"/>
        <v>1.9151178567752176E-2</v>
      </c>
      <c r="H1168" s="2">
        <f t="shared" ca="1" si="1122"/>
        <v>1.9151178567752176E-2</v>
      </c>
      <c r="I1168" s="2">
        <f t="shared" ca="1" si="1123"/>
        <v>0.6040622171759138</v>
      </c>
      <c r="J1168" s="2">
        <f t="shared" ca="1" si="1124"/>
        <v>1.1319379376798265E-2</v>
      </c>
      <c r="K1168" s="2">
        <f t="shared" ca="1" si="1125"/>
        <v>1.1319379376798265E-2</v>
      </c>
      <c r="L1168" s="2">
        <f t="shared" ca="1" si="1126"/>
        <v>0.84066217997826675</v>
      </c>
      <c r="M1168" s="2">
        <f t="shared" ca="1" si="1127"/>
        <v>1.9943662103209414E-2</v>
      </c>
      <c r="N1168" s="2">
        <f t="shared" ca="1" si="1128"/>
        <v>1.9943662103209414E-2</v>
      </c>
      <c r="O1168" s="2">
        <f t="shared" si="1129"/>
        <v>6000000</v>
      </c>
      <c r="P1168" s="2">
        <f t="shared" ca="1" si="1130"/>
        <v>40464956.223461352</v>
      </c>
      <c r="Q1168" s="2">
        <f t="shared" ca="1" si="1131"/>
        <v>1011623.9055865338</v>
      </c>
      <c r="R1168" s="2">
        <f t="shared" ca="1" si="1132"/>
        <v>24278973.734076809</v>
      </c>
      <c r="S1168" s="2">
        <f t="shared" ca="1" si="1133"/>
        <v>16185982.489384541</v>
      </c>
      <c r="T1168" s="2">
        <f t="shared" ca="1" si="1134"/>
        <v>50997183.105160467</v>
      </c>
      <c r="U1168" s="2">
        <f t="shared" ca="1" si="1135"/>
        <v>51973839.265259758</v>
      </c>
      <c r="V1168" s="2">
        <f t="shared" ca="1" si="1136"/>
        <v>52969199.541880399</v>
      </c>
      <c r="W1168" s="2">
        <f t="shared" ca="1" si="1137"/>
        <v>53983622.140897855</v>
      </c>
      <c r="X1168" s="2">
        <f t="shared" ca="1" si="1138"/>
        <v>55017472.128252253</v>
      </c>
      <c r="Y1168" s="2">
        <f t="shared" ca="1" si="1139"/>
        <v>0.12565968968839913</v>
      </c>
      <c r="Z1168" s="2">
        <f t="shared" ca="1" si="1140"/>
        <v>0.12792356556375878</v>
      </c>
      <c r="AA1168" s="2">
        <f t="shared" ca="1" si="1141"/>
        <v>6408290.2039769357</v>
      </c>
      <c r="AB1168" s="2">
        <f t="shared" ca="1" si="1142"/>
        <v>6648678.8348497171</v>
      </c>
      <c r="AC1168" s="2">
        <f t="shared" ca="1" si="1143"/>
        <v>6776008.8704555584</v>
      </c>
      <c r="AD1168" s="2">
        <f t="shared" ca="1" si="1144"/>
        <v>6905777.4263103269</v>
      </c>
      <c r="AE1168" s="2">
        <f t="shared" ca="1" si="1145"/>
        <v>7038031.2029507486</v>
      </c>
      <c r="AF1168" s="2">
        <f t="shared" ca="1" si="1146"/>
        <v>1019943.6621032094</v>
      </c>
      <c r="AG1168" s="2">
        <f t="shared" ca="1" si="1147"/>
        <v>1039476.7853051951</v>
      </c>
      <c r="AH1168" s="2">
        <f t="shared" ca="1" si="1148"/>
        <v>1059383.990837608</v>
      </c>
      <c r="AI1168" s="2">
        <f t="shared" ca="1" si="1149"/>
        <v>1079672.4428179571</v>
      </c>
      <c r="AJ1168" s="2">
        <f t="shared" ca="1" si="1150"/>
        <v>1100349.4425650451</v>
      </c>
      <c r="AK1168" s="2">
        <f t="shared" ca="1" si="1151"/>
        <v>0</v>
      </c>
      <c r="AL1168" s="2">
        <f t="shared" ca="1" si="1152"/>
        <v>9766.5616009929035</v>
      </c>
      <c r="AM1168" s="2">
        <f t="shared" ca="1" si="1153"/>
        <v>9953.6027662064134</v>
      </c>
      <c r="AN1168" s="2">
        <f t="shared" ca="1" si="1154"/>
        <v>10144.225990174562</v>
      </c>
      <c r="AO1168" s="2">
        <f t="shared" ca="1" si="1155"/>
        <v>10338.499873543979</v>
      </c>
      <c r="AP1168" s="2">
        <f t="shared" ca="1" si="1156"/>
        <v>2185107.6360669127</v>
      </c>
      <c r="AQ1168" s="2">
        <f t="shared" ca="1" si="1157"/>
        <v>832842.11550977151</v>
      </c>
      <c r="AR1168" s="2">
        <f t="shared" ca="1" si="1158"/>
        <v>890264.54750417836</v>
      </c>
      <c r="AS1168" s="2">
        <f t="shared" ca="1" si="1159"/>
        <v>918194.48332326976</v>
      </c>
      <c r="AT1168" s="2">
        <f t="shared" ca="1" si="1160"/>
        <v>946659.31033061887</v>
      </c>
      <c r="AU1168" s="2">
        <f t="shared" ca="1" si="1161"/>
        <v>975669.27232288558</v>
      </c>
      <c r="AV1168" s="2">
        <f t="shared" ca="1" si="1162"/>
        <v>2370396.7902970416</v>
      </c>
      <c r="AW1168" s="2">
        <f t="shared" ca="1" si="1163"/>
        <v>2524063.3043724382</v>
      </c>
      <c r="AX1168" s="2">
        <f t="shared" ca="1" si="1164"/>
        <v>2603369.1574615613</v>
      </c>
      <c r="AY1168" s="2">
        <f t="shared" ca="1" si="1165"/>
        <v>2684193.8111046636</v>
      </c>
      <c r="AZ1168" s="2">
        <f t="shared" ca="1" si="1166"/>
        <v>2766566.3521223608</v>
      </c>
      <c r="BA1168" s="2">
        <f t="shared" ca="1" si="1167"/>
        <v>52759992.80725082</v>
      </c>
      <c r="BB1168" s="2">
        <f t="shared" ca="1" si="1168"/>
        <v>1055199.8561450164</v>
      </c>
      <c r="BC1168" s="2">
        <f t="shared" ca="1" si="1169"/>
        <v>27425819.217028994</v>
      </c>
      <c r="BD1168" s="2">
        <f t="shared" ca="1" si="1170"/>
        <v>-17697606.394971076</v>
      </c>
      <c r="BE1168" s="2">
        <f t="shared" ca="1" si="1171"/>
        <v>2370396.7902970416</v>
      </c>
      <c r="BF1168" s="2">
        <f t="shared" ca="1" si="1172"/>
        <v>2524063.3043724382</v>
      </c>
      <c r="BG1168" s="2">
        <f t="shared" ca="1" si="1173"/>
        <v>2603369.1574615613</v>
      </c>
      <c r="BH1168" s="2">
        <f t="shared" ca="1" si="1174"/>
        <v>2684193.8111046636</v>
      </c>
      <c r="BI1168" s="2">
        <f t="shared" ca="1" si="1175"/>
        <v>30192385.569151357</v>
      </c>
      <c r="BJ1168" s="2">
        <f t="shared" ca="1" si="1176"/>
        <v>0.21583643836963273</v>
      </c>
      <c r="BK1168" s="2">
        <f t="shared" ca="1" si="1177"/>
        <v>7121837.9705425054</v>
      </c>
    </row>
    <row r="1169" spans="1:63" x14ac:dyDescent="0.3">
      <c r="A1169" s="2">
        <v>1168</v>
      </c>
      <c r="B1169" s="2">
        <f t="shared" ca="1" si="1116"/>
        <v>0.48275434076896429</v>
      </c>
      <c r="C1169" s="2">
        <f t="shared" ca="1" si="1117"/>
        <v>6.9826030131939998</v>
      </c>
      <c r="D1169" s="2">
        <f t="shared" ca="1" si="1118"/>
        <v>0.2289956062245827</v>
      </c>
      <c r="E1169" s="2">
        <f t="shared" ca="1" si="1119"/>
        <v>7.1767504801986961</v>
      </c>
      <c r="F1169" s="2">
        <f t="shared" ca="1" si="1120"/>
        <v>1.8877296916186448E-2</v>
      </c>
      <c r="G1169" s="2">
        <f t="shared" ca="1" si="1121"/>
        <v>-2.2325273779354414E-2</v>
      </c>
      <c r="H1169" s="2">
        <f t="shared" ca="1" si="1122"/>
        <v>-0.02</v>
      </c>
      <c r="I1169" s="2">
        <f t="shared" ca="1" si="1123"/>
        <v>0.5187088866967714</v>
      </c>
      <c r="J1169" s="2">
        <f t="shared" ca="1" si="1124"/>
        <v>1.0234567135455232E-2</v>
      </c>
      <c r="K1169" s="2">
        <f t="shared" ca="1" si="1125"/>
        <v>1.0234567135455232E-2</v>
      </c>
      <c r="L1169" s="2">
        <f t="shared" ca="1" si="1126"/>
        <v>0.96500828941478856</v>
      </c>
      <c r="M1169" s="2">
        <f t="shared" ca="1" si="1127"/>
        <v>3.6240359237167986E-2</v>
      </c>
      <c r="N1169" s="2">
        <f t="shared" ca="1" si="1128"/>
        <v>3.6240359237167986E-2</v>
      </c>
      <c r="O1169" s="2">
        <f t="shared" si="1129"/>
        <v>6000000</v>
      </c>
      <c r="P1169" s="2">
        <f t="shared" ca="1" si="1130"/>
        <v>41895618.079163998</v>
      </c>
      <c r="Q1169" s="2">
        <f t="shared" ca="1" si="1131"/>
        <v>1047390.4519791</v>
      </c>
      <c r="R1169" s="2">
        <f t="shared" ca="1" si="1132"/>
        <v>25137370.847498398</v>
      </c>
      <c r="S1169" s="2">
        <f t="shared" ca="1" si="1133"/>
        <v>16758247.2316656</v>
      </c>
      <c r="T1169" s="2">
        <f t="shared" ca="1" si="1134"/>
        <v>51812017.961858407</v>
      </c>
      <c r="U1169" s="2">
        <f t="shared" ca="1" si="1135"/>
        <v>50775777.602621235</v>
      </c>
      <c r="V1169" s="2">
        <f t="shared" ca="1" si="1136"/>
        <v>49760262.050568812</v>
      </c>
      <c r="W1169" s="2">
        <f t="shared" ca="1" si="1137"/>
        <v>48765056.809557438</v>
      </c>
      <c r="X1169" s="2">
        <f t="shared" ca="1" si="1138"/>
        <v>47789755.673366286</v>
      </c>
      <c r="Y1169" s="2">
        <f t="shared" ca="1" si="1139"/>
        <v>0.12511728356772761</v>
      </c>
      <c r="Z1169" s="2">
        <f t="shared" ca="1" si="1140"/>
        <v>0.12716419699481865</v>
      </c>
      <c r="AA1169" s="2">
        <f t="shared" ca="1" si="1141"/>
        <v>6482578.9435500344</v>
      </c>
      <c r="AB1169" s="2">
        <f t="shared" ca="1" si="1142"/>
        <v>6456860.9856248274</v>
      </c>
      <c r="AC1169" s="2">
        <f t="shared" ca="1" si="1143"/>
        <v>6327723.7659123307</v>
      </c>
      <c r="AD1169" s="2">
        <f t="shared" ca="1" si="1144"/>
        <v>6201169.2905940851</v>
      </c>
      <c r="AE1169" s="2">
        <f t="shared" ca="1" si="1145"/>
        <v>6077145.904782203</v>
      </c>
      <c r="AF1169" s="2">
        <f t="shared" ca="1" si="1146"/>
        <v>1036240.3592371681</v>
      </c>
      <c r="AG1169" s="2">
        <f t="shared" ca="1" si="1147"/>
        <v>1015515.5520524248</v>
      </c>
      <c r="AH1169" s="2">
        <f t="shared" ca="1" si="1148"/>
        <v>995205.24101137626</v>
      </c>
      <c r="AI1169" s="2">
        <f t="shared" ca="1" si="1149"/>
        <v>975301.13619114878</v>
      </c>
      <c r="AJ1169" s="2">
        <f t="shared" ca="1" si="1150"/>
        <v>955795.11346732569</v>
      </c>
      <c r="AK1169" s="2">
        <f t="shared" ca="1" si="1151"/>
        <v>0</v>
      </c>
      <c r="AL1169" s="2">
        <f t="shared" ca="1" si="1152"/>
        <v>0</v>
      </c>
      <c r="AM1169" s="2">
        <f t="shared" ca="1" si="1153"/>
        <v>0</v>
      </c>
      <c r="AN1169" s="2">
        <f t="shared" ca="1" si="1154"/>
        <v>0</v>
      </c>
      <c r="AO1169" s="2">
        <f t="shared" ca="1" si="1155"/>
        <v>0</v>
      </c>
      <c r="AP1169" s="2">
        <f t="shared" ca="1" si="1156"/>
        <v>2262363.3762748558</v>
      </c>
      <c r="AQ1169" s="2">
        <f t="shared" ca="1" si="1157"/>
        <v>827833.55408988276</v>
      </c>
      <c r="AR1169" s="2">
        <f t="shared" ca="1" si="1158"/>
        <v>826535.33489736205</v>
      </c>
      <c r="AS1169" s="2">
        <f t="shared" ca="1" si="1159"/>
        <v>798240.33864278556</v>
      </c>
      <c r="AT1169" s="2">
        <f t="shared" ca="1" si="1160"/>
        <v>770511.24231330084</v>
      </c>
      <c r="AU1169" s="2">
        <f t="shared" ca="1" si="1161"/>
        <v>743336.72791040572</v>
      </c>
      <c r="AV1169" s="2">
        <f t="shared" ca="1" si="1162"/>
        <v>2356141.6539481282</v>
      </c>
      <c r="AW1169" s="2">
        <f t="shared" ca="1" si="1163"/>
        <v>2352446.7224001847</v>
      </c>
      <c r="AX1169" s="2">
        <f t="shared" ca="1" si="1164"/>
        <v>2271914.8099833131</v>
      </c>
      <c r="AY1169" s="2">
        <f t="shared" ca="1" si="1165"/>
        <v>2192993.5358147789</v>
      </c>
      <c r="AZ1169" s="2">
        <f t="shared" ca="1" si="1166"/>
        <v>2115650.6871296158</v>
      </c>
      <c r="BA1169" s="2">
        <f t="shared" ca="1" si="1167"/>
        <v>43614159.790383212</v>
      </c>
      <c r="BB1169" s="2">
        <f t="shared" ca="1" si="1168"/>
        <v>872283.19580766431</v>
      </c>
      <c r="BC1169" s="2">
        <f t="shared" ca="1" si="1169"/>
        <v>17604505.747077148</v>
      </c>
      <c r="BD1169" s="2">
        <f t="shared" ca="1" si="1170"/>
        <v>-18305637.683644701</v>
      </c>
      <c r="BE1169" s="2">
        <f t="shared" ca="1" si="1171"/>
        <v>2356141.6539481282</v>
      </c>
      <c r="BF1169" s="2">
        <f t="shared" ca="1" si="1172"/>
        <v>2352446.7224001847</v>
      </c>
      <c r="BG1169" s="2">
        <f t="shared" ca="1" si="1173"/>
        <v>2271914.8099833131</v>
      </c>
      <c r="BH1169" s="2">
        <f t="shared" ca="1" si="1174"/>
        <v>2192993.5358147789</v>
      </c>
      <c r="BI1169" s="2">
        <f t="shared" ca="1" si="1175"/>
        <v>19720156.434206765</v>
      </c>
      <c r="BJ1169" s="2">
        <f t="shared" ca="1" si="1176"/>
        <v>0.11805485737883514</v>
      </c>
      <c r="BK1169" s="2">
        <f t="shared" ca="1" si="1177"/>
        <v>-126046.16993452981</v>
      </c>
    </row>
    <row r="1170" spans="1:63" x14ac:dyDescent="0.3">
      <c r="A1170" s="2">
        <v>1169</v>
      </c>
      <c r="B1170" s="2">
        <f t="shared" ca="1" si="1116"/>
        <v>0.63636757542758593</v>
      </c>
      <c r="C1170" s="2">
        <f t="shared" ca="1" si="1117"/>
        <v>7.1472017535519736</v>
      </c>
      <c r="D1170" s="2">
        <f t="shared" ca="1" si="1118"/>
        <v>0.55396433848951221</v>
      </c>
      <c r="E1170" s="2">
        <f t="shared" ca="1" si="1119"/>
        <v>7.5555047257815549</v>
      </c>
      <c r="F1170" s="2">
        <f t="shared" ca="1" si="1120"/>
        <v>0.28816355349008282</v>
      </c>
      <c r="G1170" s="2">
        <f t="shared" ca="1" si="1121"/>
        <v>2.3237269541287343E-2</v>
      </c>
      <c r="H1170" s="2">
        <f t="shared" ca="1" si="1122"/>
        <v>2.3237269541287343E-2</v>
      </c>
      <c r="I1170" s="2">
        <f t="shared" ca="1" si="1123"/>
        <v>0.45795400966541999</v>
      </c>
      <c r="J1170" s="2">
        <f t="shared" ca="1" si="1124"/>
        <v>9.4720522691594585E-3</v>
      </c>
      <c r="K1170" s="2">
        <f t="shared" ca="1" si="1125"/>
        <v>9.4720522691594585E-3</v>
      </c>
      <c r="L1170" s="2">
        <f t="shared" ca="1" si="1126"/>
        <v>0.13984727680253284</v>
      </c>
      <c r="M1170" s="2">
        <f t="shared" ca="1" si="1127"/>
        <v>-2.1620115102792142E-2</v>
      </c>
      <c r="N1170" s="2">
        <f t="shared" ca="1" si="1128"/>
        <v>-2.1620115102792142E-2</v>
      </c>
      <c r="O1170" s="2">
        <f t="shared" si="1129"/>
        <v>6000000</v>
      </c>
      <c r="P1170" s="2">
        <f t="shared" ca="1" si="1130"/>
        <v>42883210.521311842</v>
      </c>
      <c r="Q1170" s="2">
        <f t="shared" ca="1" si="1131"/>
        <v>1072080.2630327961</v>
      </c>
      <c r="R1170" s="2">
        <f t="shared" ca="1" si="1132"/>
        <v>25729926.312787104</v>
      </c>
      <c r="S1170" s="2">
        <f t="shared" ca="1" si="1133"/>
        <v>17153284.208524738</v>
      </c>
      <c r="T1170" s="2">
        <f t="shared" ca="1" si="1134"/>
        <v>48918994.244860388</v>
      </c>
      <c r="U1170" s="2">
        <f t="shared" ca="1" si="1135"/>
        <v>50055738.099816889</v>
      </c>
      <c r="V1170" s="2">
        <f t="shared" ca="1" si="1136"/>
        <v>51218896.778130412</v>
      </c>
      <c r="W1170" s="2">
        <f t="shared" ca="1" si="1137"/>
        <v>52409084.088171199</v>
      </c>
      <c r="X1170" s="2">
        <f t="shared" ca="1" si="1138"/>
        <v>53626928.101540022</v>
      </c>
      <c r="Y1170" s="2">
        <f t="shared" ca="1" si="1139"/>
        <v>0.12473602613457972</v>
      </c>
      <c r="Z1170" s="2">
        <f t="shared" ca="1" si="1140"/>
        <v>0.12663043658841161</v>
      </c>
      <c r="AA1170" s="2">
        <f t="shared" ca="1" si="1141"/>
        <v>6101960.9446042608</v>
      </c>
      <c r="AB1170" s="2">
        <f t="shared" ca="1" si="1142"/>
        <v>6338579.9693350019</v>
      </c>
      <c r="AC1170" s="2">
        <f t="shared" ca="1" si="1143"/>
        <v>6485871.2605914427</v>
      </c>
      <c r="AD1170" s="2">
        <f t="shared" ca="1" si="1144"/>
        <v>6636585.1992838951</v>
      </c>
      <c r="AE1170" s="2">
        <f t="shared" ca="1" si="1145"/>
        <v>6790801.318393372</v>
      </c>
      <c r="AF1170" s="2">
        <f t="shared" ca="1" si="1146"/>
        <v>978379.88489720784</v>
      </c>
      <c r="AG1170" s="2">
        <f t="shared" ca="1" si="1147"/>
        <v>1001114.7619963378</v>
      </c>
      <c r="AH1170" s="2">
        <f t="shared" ca="1" si="1148"/>
        <v>1024377.9355626083</v>
      </c>
      <c r="AI1170" s="2">
        <f t="shared" ca="1" si="1149"/>
        <v>1048181.681763424</v>
      </c>
      <c r="AJ1170" s="2">
        <f t="shared" ca="1" si="1150"/>
        <v>1072538.5620308004</v>
      </c>
      <c r="AK1170" s="2">
        <f t="shared" ca="1" si="1151"/>
        <v>0</v>
      </c>
      <c r="AL1170" s="2">
        <f t="shared" ca="1" si="1152"/>
        <v>11367.438549565002</v>
      </c>
      <c r="AM1170" s="2">
        <f t="shared" ca="1" si="1153"/>
        <v>11631.586783135235</v>
      </c>
      <c r="AN1170" s="2">
        <f t="shared" ca="1" si="1154"/>
        <v>11901.873100407869</v>
      </c>
      <c r="AO1170" s="2">
        <f t="shared" ca="1" si="1155"/>
        <v>12178.440133688227</v>
      </c>
      <c r="AP1170" s="2">
        <f t="shared" ca="1" si="1156"/>
        <v>2315693.3681508391</v>
      </c>
      <c r="AQ1170" s="2">
        <f t="shared" ca="1" si="1157"/>
        <v>730050.79980461567</v>
      </c>
      <c r="AR1170" s="2">
        <f t="shared" ca="1" si="1158"/>
        <v>785660.67818883446</v>
      </c>
      <c r="AS1170" s="2">
        <f t="shared" ca="1" si="1159"/>
        <v>817907.98878827889</v>
      </c>
      <c r="AT1170" s="2">
        <f t="shared" ca="1" si="1160"/>
        <v>850904.63883610442</v>
      </c>
      <c r="AU1170" s="2">
        <f t="shared" ca="1" si="1161"/>
        <v>884668.04093505046</v>
      </c>
      <c r="AV1170" s="2">
        <f t="shared" ca="1" si="1162"/>
        <v>2077836.8917515981</v>
      </c>
      <c r="AW1170" s="2">
        <f t="shared" ca="1" si="1163"/>
        <v>2224743.7224494251</v>
      </c>
      <c r="AX1170" s="2">
        <f t="shared" ca="1" si="1164"/>
        <v>2316260.3813065817</v>
      </c>
      <c r="AY1170" s="2">
        <f t="shared" ca="1" si="1165"/>
        <v>2409903.6374331205</v>
      </c>
      <c r="AZ1170" s="2">
        <f t="shared" ca="1" si="1166"/>
        <v>2505722.9071429935</v>
      </c>
      <c r="BA1170" s="2">
        <f t="shared" ca="1" si="1167"/>
        <v>51307931.452964738</v>
      </c>
      <c r="BB1170" s="2">
        <f t="shared" ca="1" si="1168"/>
        <v>1026158.6290592948</v>
      </c>
      <c r="BC1170" s="2">
        <f t="shared" ca="1" si="1169"/>
        <v>24551846.511118338</v>
      </c>
      <c r="BD1170" s="2">
        <f t="shared" ca="1" si="1170"/>
        <v>-18725364.471557535</v>
      </c>
      <c r="BE1170" s="2">
        <f t="shared" ca="1" si="1171"/>
        <v>2077836.8917515981</v>
      </c>
      <c r="BF1170" s="2">
        <f t="shared" ca="1" si="1172"/>
        <v>2224743.7224494251</v>
      </c>
      <c r="BG1170" s="2">
        <f t="shared" ca="1" si="1173"/>
        <v>2316260.3813065817</v>
      </c>
      <c r="BH1170" s="2">
        <f t="shared" ca="1" si="1174"/>
        <v>2409903.6374331205</v>
      </c>
      <c r="BI1170" s="2">
        <f t="shared" ca="1" si="1175"/>
        <v>27057569.418261331</v>
      </c>
      <c r="BJ1170" s="2">
        <f t="shared" ca="1" si="1176"/>
        <v>0.16618617808536307</v>
      </c>
      <c r="BK1170" s="2">
        <f t="shared" ca="1" si="1177"/>
        <v>3436796.3689925559</v>
      </c>
    </row>
    <row r="1171" spans="1:63" x14ac:dyDescent="0.3">
      <c r="A1171" s="2">
        <v>1170</v>
      </c>
      <c r="B1171" s="2">
        <f t="shared" ca="1" si="1116"/>
        <v>0.30400183972580708</v>
      </c>
      <c r="C1171" s="2">
        <f t="shared" ca="1" si="1117"/>
        <v>6.7797459069797128</v>
      </c>
      <c r="D1171" s="2">
        <f t="shared" ca="1" si="1118"/>
        <v>0.60854150081107194</v>
      </c>
      <c r="E1171" s="2">
        <f t="shared" ca="1" si="1119"/>
        <v>7.6151740293267514</v>
      </c>
      <c r="F1171" s="2">
        <f t="shared" ca="1" si="1120"/>
        <v>0.92592118859620254</v>
      </c>
      <c r="G1171" s="2">
        <f t="shared" ca="1" si="1121"/>
        <v>8.3382094259218068E-2</v>
      </c>
      <c r="H1171" s="2">
        <f t="shared" ca="1" si="1122"/>
        <v>8.3382094259218068E-2</v>
      </c>
      <c r="I1171" s="2">
        <f t="shared" ca="1" si="1123"/>
        <v>0.2242643852746411</v>
      </c>
      <c r="J1171" s="2">
        <f t="shared" ca="1" si="1124"/>
        <v>6.2106496584990976E-3</v>
      </c>
      <c r="K1171" s="2">
        <f t="shared" ca="1" si="1125"/>
        <v>6.2106496584990976E-3</v>
      </c>
      <c r="L1171" s="2">
        <f t="shared" ca="1" si="1126"/>
        <v>0.71997122921775647</v>
      </c>
      <c r="M1171" s="2">
        <f t="shared" ca="1" si="1127"/>
        <v>1.1655120812656374E-2</v>
      </c>
      <c r="N1171" s="2">
        <f t="shared" ca="1" si="1128"/>
        <v>1.1655120812656374E-2</v>
      </c>
      <c r="O1171" s="2">
        <f t="shared" si="1129"/>
        <v>6000000</v>
      </c>
      <c r="P1171" s="2">
        <f t="shared" ca="1" si="1130"/>
        <v>40678475.441878274</v>
      </c>
      <c r="Q1171" s="2">
        <f t="shared" ca="1" si="1131"/>
        <v>1016961.8860469569</v>
      </c>
      <c r="R1171" s="2">
        <f t="shared" ca="1" si="1132"/>
        <v>24407085.265126962</v>
      </c>
      <c r="S1171" s="2">
        <f t="shared" ca="1" si="1133"/>
        <v>16271390.17675131</v>
      </c>
      <c r="T1171" s="2">
        <f t="shared" ca="1" si="1134"/>
        <v>50582756.040632814</v>
      </c>
      <c r="U1171" s="2">
        <f t="shared" ca="1" si="1135"/>
        <v>54800452.172703892</v>
      </c>
      <c r="V1171" s="2">
        <f t="shared" ca="1" si="1136"/>
        <v>59369828.641216062</v>
      </c>
      <c r="W1171" s="2">
        <f t="shared" ca="1" si="1137"/>
        <v>64320209.289131567</v>
      </c>
      <c r="X1171" s="2">
        <f t="shared" ca="1" si="1138"/>
        <v>69683363.042850569</v>
      </c>
      <c r="Y1171" s="2">
        <f t="shared" ca="1" si="1139"/>
        <v>0.12310532482924955</v>
      </c>
      <c r="Z1171" s="2">
        <f t="shared" ca="1" si="1140"/>
        <v>0.12434745476094937</v>
      </c>
      <c r="AA1171" s="2">
        <f t="shared" ca="1" si="1141"/>
        <v>6227006.613140787</v>
      </c>
      <c r="AB1171" s="2">
        <f t="shared" ca="1" si="1142"/>
        <v>6814296.747424867</v>
      </c>
      <c r="AC1171" s="2">
        <f t="shared" ca="1" si="1143"/>
        <v>7382487.0811289307</v>
      </c>
      <c r="AD1171" s="2">
        <f t="shared" ca="1" si="1144"/>
        <v>7998054.3147950824</v>
      </c>
      <c r="AE1171" s="2">
        <f t="shared" ca="1" si="1145"/>
        <v>8664948.8335616719</v>
      </c>
      <c r="AF1171" s="2">
        <f t="shared" ca="1" si="1146"/>
        <v>1011655.1208126564</v>
      </c>
      <c r="AG1171" s="2">
        <f t="shared" ca="1" si="1147"/>
        <v>1096009.0434540778</v>
      </c>
      <c r="AH1171" s="2">
        <f t="shared" ca="1" si="1148"/>
        <v>1187396.5728243212</v>
      </c>
      <c r="AI1171" s="2">
        <f t="shared" ca="1" si="1149"/>
        <v>1286404.1857826314</v>
      </c>
      <c r="AJ1171" s="2">
        <f t="shared" ca="1" si="1150"/>
        <v>1393667.2608570114</v>
      </c>
      <c r="AK1171" s="2">
        <f t="shared" ca="1" si="1151"/>
        <v>0</v>
      </c>
      <c r="AL1171" s="2">
        <f t="shared" ca="1" si="1152"/>
        <v>42176.961320710776</v>
      </c>
      <c r="AM1171" s="2">
        <f t="shared" ca="1" si="1153"/>
        <v>45693.7646851217</v>
      </c>
      <c r="AN1171" s="2">
        <f t="shared" ca="1" si="1154"/>
        <v>49503.80647915505</v>
      </c>
      <c r="AO1171" s="2">
        <f t="shared" ca="1" si="1155"/>
        <v>53631.537537190023</v>
      </c>
      <c r="AP1171" s="2">
        <f t="shared" ca="1" si="1156"/>
        <v>2196637.6738614263</v>
      </c>
      <c r="AQ1171" s="2">
        <f t="shared" ca="1" si="1157"/>
        <v>784865.59280134318</v>
      </c>
      <c r="AR1171" s="2">
        <f t="shared" ca="1" si="1158"/>
        <v>915629.00782843435</v>
      </c>
      <c r="AS1171" s="2">
        <f t="shared" ca="1" si="1159"/>
        <v>1039597.7369552276</v>
      </c>
      <c r="AT1171" s="2">
        <f t="shared" ca="1" si="1160"/>
        <v>1173903.2383392663</v>
      </c>
      <c r="AU1171" s="2">
        <f t="shared" ca="1" si="1161"/>
        <v>1319407.4136992409</v>
      </c>
      <c r="AV1171" s="2">
        <f t="shared" ca="1" si="1162"/>
        <v>2233848.2256653616</v>
      </c>
      <c r="AW1171" s="2">
        <f t="shared" ca="1" si="1163"/>
        <v>2563844.0609602183</v>
      </c>
      <c r="AX1171" s="2">
        <f t="shared" ca="1" si="1164"/>
        <v>2913161.332802834</v>
      </c>
      <c r="AY1171" s="2">
        <f t="shared" ca="1" si="1165"/>
        <v>3291605.4103326024</v>
      </c>
      <c r="AZ1171" s="2">
        <f t="shared" ca="1" si="1166"/>
        <v>3701604.9476068029</v>
      </c>
      <c r="BA1171" s="2">
        <f t="shared" ca="1" si="1167"/>
        <v>65985093.322783969</v>
      </c>
      <c r="BB1171" s="2">
        <f t="shared" ca="1" si="1168"/>
        <v>1319701.8664556795</v>
      </c>
      <c r="BC1171" s="2">
        <f t="shared" ca="1" si="1169"/>
        <v>40258306.191201322</v>
      </c>
      <c r="BD1171" s="2">
        <f t="shared" ca="1" si="1170"/>
        <v>-17788352.062798265</v>
      </c>
      <c r="BE1171" s="2">
        <f t="shared" ca="1" si="1171"/>
        <v>2233848.2256653616</v>
      </c>
      <c r="BF1171" s="2">
        <f t="shared" ca="1" si="1172"/>
        <v>2563844.0609602183</v>
      </c>
      <c r="BG1171" s="2">
        <f t="shared" ca="1" si="1173"/>
        <v>2913161.332802834</v>
      </c>
      <c r="BH1171" s="2">
        <f t="shared" ca="1" si="1174"/>
        <v>3291605.4103326024</v>
      </c>
      <c r="BI1171" s="2">
        <f t="shared" ca="1" si="1175"/>
        <v>43959911.138808124</v>
      </c>
      <c r="BJ1171" s="2">
        <f t="shared" ca="1" si="1176"/>
        <v>0.29582976747011469</v>
      </c>
      <c r="BK1171" s="2">
        <f t="shared" ca="1" si="1177"/>
        <v>15359475.665726122</v>
      </c>
    </row>
    <row r="1172" spans="1:63" x14ac:dyDescent="0.3">
      <c r="A1172" s="2">
        <v>1171</v>
      </c>
      <c r="B1172" s="2">
        <f t="shared" ca="1" si="1116"/>
        <v>0.39353068645127554</v>
      </c>
      <c r="C1172" s="2">
        <f t="shared" ca="1" si="1117"/>
        <v>6.8871647946703876</v>
      </c>
      <c r="D1172" s="2">
        <f t="shared" ca="1" si="1118"/>
        <v>0.33651672755754503</v>
      </c>
      <c r="E1172" s="2">
        <f t="shared" ca="1" si="1119"/>
        <v>7.3203861621913733</v>
      </c>
      <c r="F1172" s="2">
        <f t="shared" ca="1" si="1120"/>
        <v>0.6546083130967526</v>
      </c>
      <c r="G1172" s="2">
        <f t="shared" ca="1" si="1121"/>
        <v>5.1933765736679155E-2</v>
      </c>
      <c r="H1172" s="2">
        <f t="shared" ca="1" si="1122"/>
        <v>5.1933765736679155E-2</v>
      </c>
      <c r="I1172" s="2">
        <f t="shared" ca="1" si="1123"/>
        <v>0.16640153661085078</v>
      </c>
      <c r="J1172" s="2">
        <f t="shared" ca="1" si="1124"/>
        <v>5.1575836786144523E-3</v>
      </c>
      <c r="K1172" s="2">
        <f t="shared" ca="1" si="1125"/>
        <v>5.1575836786144523E-3</v>
      </c>
      <c r="L1172" s="2">
        <f t="shared" ca="1" si="1126"/>
        <v>5.5626229577893094E-3</v>
      </c>
      <c r="M1172" s="2">
        <f t="shared" ca="1" si="1127"/>
        <v>-5.0774800523822876E-2</v>
      </c>
      <c r="N1172" s="2">
        <f t="shared" ca="1" si="1128"/>
        <v>-0.05</v>
      </c>
      <c r="O1172" s="2">
        <f t="shared" si="1129"/>
        <v>6000000</v>
      </c>
      <c r="P1172" s="2">
        <f t="shared" ca="1" si="1130"/>
        <v>41322988.768022329</v>
      </c>
      <c r="Q1172" s="2">
        <f t="shared" ca="1" si="1131"/>
        <v>1033074.7192005583</v>
      </c>
      <c r="R1172" s="2">
        <f t="shared" ca="1" si="1132"/>
        <v>24793793.260813396</v>
      </c>
      <c r="S1172" s="2">
        <f t="shared" ca="1" si="1133"/>
        <v>16529195.507208932</v>
      </c>
      <c r="T1172" s="2">
        <f t="shared" ca="1" si="1134"/>
        <v>47500000</v>
      </c>
      <c r="U1172" s="2">
        <f t="shared" ca="1" si="1135"/>
        <v>49966853.872492261</v>
      </c>
      <c r="V1172" s="2">
        <f t="shared" ca="1" si="1136"/>
        <v>52561820.756105155</v>
      </c>
      <c r="W1172" s="2">
        <f t="shared" ca="1" si="1137"/>
        <v>55291554.041946039</v>
      </c>
      <c r="X1172" s="2">
        <f t="shared" ca="1" si="1138"/>
        <v>58163052.656777404</v>
      </c>
      <c r="Y1172" s="2">
        <f t="shared" ca="1" si="1139"/>
        <v>0.12257879183930723</v>
      </c>
      <c r="Z1172" s="2">
        <f t="shared" ca="1" si="1140"/>
        <v>0.12361030857503011</v>
      </c>
      <c r="AA1172" s="2">
        <f t="shared" ca="1" si="1141"/>
        <v>5822492.6123670936</v>
      </c>
      <c r="AB1172" s="2">
        <f t="shared" ca="1" si="1142"/>
        <v>6176418.2257022066</v>
      </c>
      <c r="AC1172" s="2">
        <f t="shared" ca="1" si="1143"/>
        <v>6497182.8829275807</v>
      </c>
      <c r="AD1172" s="2">
        <f t="shared" ca="1" si="1144"/>
        <v>6834606.0567179034</v>
      </c>
      <c r="AE1172" s="2">
        <f t="shared" ca="1" si="1145"/>
        <v>7189552.8865699796</v>
      </c>
      <c r="AF1172" s="2">
        <f t="shared" ca="1" si="1146"/>
        <v>950000</v>
      </c>
      <c r="AG1172" s="2">
        <f t="shared" ca="1" si="1147"/>
        <v>999337.07744984527</v>
      </c>
      <c r="AH1172" s="2">
        <f t="shared" ca="1" si="1148"/>
        <v>1051236.4151221032</v>
      </c>
      <c r="AI1172" s="2">
        <f t="shared" ca="1" si="1149"/>
        <v>1105831.0808389208</v>
      </c>
      <c r="AJ1172" s="2">
        <f t="shared" ca="1" si="1150"/>
        <v>1163261.053135548</v>
      </c>
      <c r="AK1172" s="2">
        <f t="shared" ca="1" si="1151"/>
        <v>0</v>
      </c>
      <c r="AL1172" s="2">
        <f t="shared" ca="1" si="1152"/>
        <v>24668.538724922611</v>
      </c>
      <c r="AM1172" s="2">
        <f t="shared" ca="1" si="1153"/>
        <v>25949.668836128934</v>
      </c>
      <c r="AN1172" s="2">
        <f t="shared" ca="1" si="1154"/>
        <v>27297.332858408838</v>
      </c>
      <c r="AO1172" s="2">
        <f t="shared" ca="1" si="1155"/>
        <v>28714.986148313656</v>
      </c>
      <c r="AP1172" s="2">
        <f t="shared" ca="1" si="1156"/>
        <v>2231441.3934732056</v>
      </c>
      <c r="AQ1172" s="2">
        <f t="shared" ca="1" si="1157"/>
        <v>686673.3169124109</v>
      </c>
      <c r="AR1172" s="2">
        <f t="shared" ca="1" si="1158"/>
        <v>765866.33624258055</v>
      </c>
      <c r="AS1172" s="2">
        <f t="shared" ca="1" si="1159"/>
        <v>835771.31932639075</v>
      </c>
      <c r="AT1172" s="2">
        <f t="shared" ca="1" si="1160"/>
        <v>909306.7314255021</v>
      </c>
      <c r="AU1172" s="2">
        <f t="shared" ca="1" si="1161"/>
        <v>986661.11438991886</v>
      </c>
      <c r="AV1172" s="2">
        <f t="shared" ca="1" si="1162"/>
        <v>1954377.9019814772</v>
      </c>
      <c r="AW1172" s="2">
        <f t="shared" ca="1" si="1163"/>
        <v>2155104.8798116525</v>
      </c>
      <c r="AX1172" s="2">
        <f t="shared" ca="1" si="1164"/>
        <v>2352784.0861697528</v>
      </c>
      <c r="AY1172" s="2">
        <f t="shared" ca="1" si="1165"/>
        <v>2560729.518121866</v>
      </c>
      <c r="AZ1172" s="2">
        <f t="shared" ca="1" si="1166"/>
        <v>2779474.3394229938</v>
      </c>
      <c r="BA1172" s="2">
        <f t="shared" ca="1" si="1167"/>
        <v>52630303.463189922</v>
      </c>
      <c r="BB1172" s="2">
        <f t="shared" ca="1" si="1168"/>
        <v>1052606.0692637984</v>
      </c>
      <c r="BC1172" s="2">
        <f t="shared" ca="1" si="1169"/>
        <v>26783904.133112729</v>
      </c>
      <c r="BD1172" s="2">
        <f t="shared" ca="1" si="1170"/>
        <v>-18062270.226409491</v>
      </c>
      <c r="BE1172" s="2">
        <f t="shared" ca="1" si="1171"/>
        <v>1954377.9019814772</v>
      </c>
      <c r="BF1172" s="2">
        <f t="shared" ca="1" si="1172"/>
        <v>2155104.8798116525</v>
      </c>
      <c r="BG1172" s="2">
        <f t="shared" ca="1" si="1173"/>
        <v>2352784.0861697528</v>
      </c>
      <c r="BH1172" s="2">
        <f t="shared" ca="1" si="1174"/>
        <v>2560729.518121866</v>
      </c>
      <c r="BI1172" s="2">
        <f t="shared" ca="1" si="1175"/>
        <v>29563378.472535722</v>
      </c>
      <c r="BJ1172" s="2">
        <f t="shared" ca="1" si="1176"/>
        <v>0.19257937054635166</v>
      </c>
      <c r="BK1172" s="2">
        <f t="shared" ca="1" si="1177"/>
        <v>5477856.4925495647</v>
      </c>
    </row>
    <row r="1173" spans="1:63" x14ac:dyDescent="0.3">
      <c r="A1173" s="2">
        <v>1172</v>
      </c>
      <c r="B1173" s="2">
        <f t="shared" ca="1" si="1116"/>
        <v>0.26655680166485496</v>
      </c>
      <c r="C1173" s="2">
        <f t="shared" ca="1" si="1117"/>
        <v>6.7301462889926302</v>
      </c>
      <c r="D1173" s="2">
        <f t="shared" ca="1" si="1118"/>
        <v>0.52297012114649433</v>
      </c>
      <c r="E1173" s="2">
        <f t="shared" ca="1" si="1119"/>
        <v>7.5232401739900379</v>
      </c>
      <c r="F1173" s="2">
        <f t="shared" ca="1" si="1120"/>
        <v>0.66933983380848427</v>
      </c>
      <c r="G1173" s="2">
        <f t="shared" ca="1" si="1121"/>
        <v>5.3142729417233865E-2</v>
      </c>
      <c r="H1173" s="2">
        <f t="shared" ca="1" si="1122"/>
        <v>5.3142729417233865E-2</v>
      </c>
      <c r="I1173" s="2">
        <f t="shared" ca="1" si="1123"/>
        <v>0.80803001120285589</v>
      </c>
      <c r="J1173" s="2">
        <f t="shared" ca="1" si="1124"/>
        <v>1.4353298604135378E-2</v>
      </c>
      <c r="K1173" s="2">
        <f t="shared" ca="1" si="1125"/>
        <v>1.4353298604135378E-2</v>
      </c>
      <c r="L1173" s="2">
        <f t="shared" ca="1" si="1126"/>
        <v>0.44940068269276467</v>
      </c>
      <c r="M1173" s="2">
        <f t="shared" ca="1" si="1127"/>
        <v>-2.5435133025867645E-3</v>
      </c>
      <c r="N1173" s="2">
        <f t="shared" ca="1" si="1128"/>
        <v>-2.5435133025867645E-3</v>
      </c>
      <c r="O1173" s="2">
        <f t="shared" si="1129"/>
        <v>6000000</v>
      </c>
      <c r="P1173" s="2">
        <f t="shared" ca="1" si="1130"/>
        <v>40380877.733955778</v>
      </c>
      <c r="Q1173" s="2">
        <f t="shared" ca="1" si="1131"/>
        <v>1009521.9433488945</v>
      </c>
      <c r="R1173" s="2">
        <f t="shared" ca="1" si="1132"/>
        <v>24228526.640373465</v>
      </c>
      <c r="S1173" s="2">
        <f t="shared" ca="1" si="1133"/>
        <v>16152351.093582312</v>
      </c>
      <c r="T1173" s="2">
        <f t="shared" ca="1" si="1134"/>
        <v>49872824.334870666</v>
      </c>
      <c r="U1173" s="2">
        <f t="shared" ca="1" si="1135"/>
        <v>52523202.343771942</v>
      </c>
      <c r="V1173" s="2">
        <f t="shared" ca="1" si="1136"/>
        <v>55314428.674053647</v>
      </c>
      <c r="W1173" s="2">
        <f t="shared" ca="1" si="1137"/>
        <v>58253988.389947765</v>
      </c>
      <c r="X1173" s="2">
        <f t="shared" ca="1" si="1138"/>
        <v>61349764.332429446</v>
      </c>
      <c r="Y1173" s="2">
        <f t="shared" ca="1" si="1139"/>
        <v>0.12717664930206768</v>
      </c>
      <c r="Z1173" s="2">
        <f t="shared" ca="1" si="1140"/>
        <v>0.13004730902289477</v>
      </c>
      <c r="AA1173" s="2">
        <f t="shared" ca="1" si="1141"/>
        <v>6342658.6901394734</v>
      </c>
      <c r="AB1173" s="2">
        <f t="shared" ca="1" si="1142"/>
        <v>6830501.1260725409</v>
      </c>
      <c r="AC1173" s="2">
        <f t="shared" ca="1" si="1143"/>
        <v>7193492.599199526</v>
      </c>
      <c r="AD1173" s="2">
        <f t="shared" ca="1" si="1144"/>
        <v>7575774.4299636614</v>
      </c>
      <c r="AE1173" s="2">
        <f t="shared" ca="1" si="1145"/>
        <v>7978371.7606212199</v>
      </c>
      <c r="AF1173" s="2">
        <f t="shared" ca="1" si="1146"/>
        <v>997456.48669741338</v>
      </c>
      <c r="AG1173" s="2">
        <f t="shared" ca="1" si="1147"/>
        <v>1050464.0468754389</v>
      </c>
      <c r="AH1173" s="2">
        <f t="shared" ca="1" si="1148"/>
        <v>1106288.5734810729</v>
      </c>
      <c r="AI1173" s="2">
        <f t="shared" ca="1" si="1149"/>
        <v>1165079.7677989553</v>
      </c>
      <c r="AJ1173" s="2">
        <f t="shared" ca="1" si="1150"/>
        <v>1226995.286648589</v>
      </c>
      <c r="AK1173" s="2">
        <f t="shared" ca="1" si="1151"/>
        <v>0</v>
      </c>
      <c r="AL1173" s="2">
        <f t="shared" ca="1" si="1152"/>
        <v>26503.780089012758</v>
      </c>
      <c r="AM1173" s="2">
        <f t="shared" ca="1" si="1153"/>
        <v>27912.263302817046</v>
      </c>
      <c r="AN1173" s="2">
        <f t="shared" ca="1" si="1154"/>
        <v>29395.597158941178</v>
      </c>
      <c r="AO1173" s="2">
        <f t="shared" ca="1" si="1155"/>
        <v>30957.759424816817</v>
      </c>
      <c r="AP1173" s="2">
        <f t="shared" ca="1" si="1156"/>
        <v>2180567.3976336117</v>
      </c>
      <c r="AQ1173" s="2">
        <f t="shared" ca="1" si="1157"/>
        <v>822805.04951019667</v>
      </c>
      <c r="AR1173" s="2">
        <f t="shared" ca="1" si="1158"/>
        <v>935862.1172065076</v>
      </c>
      <c r="AS1173" s="2">
        <f t="shared" ca="1" si="1159"/>
        <v>1015725.5233020588</v>
      </c>
      <c r="AT1173" s="2">
        <f t="shared" ca="1" si="1160"/>
        <v>1099833.0887780846</v>
      </c>
      <c r="AU1173" s="2">
        <f t="shared" ca="1" si="1161"/>
        <v>1188410.3598481452</v>
      </c>
      <c r="AV1173" s="2">
        <f t="shared" ca="1" si="1162"/>
        <v>2341829.7562982519</v>
      </c>
      <c r="AW1173" s="2">
        <f t="shared" ca="1" si="1163"/>
        <v>2637103.7842679708</v>
      </c>
      <c r="AX1173" s="2">
        <f t="shared" ca="1" si="1164"/>
        <v>2862998.841479966</v>
      </c>
      <c r="AY1173" s="2">
        <f t="shared" ca="1" si="1165"/>
        <v>3100898.5785940685</v>
      </c>
      <c r="AZ1173" s="2">
        <f t="shared" ca="1" si="1166"/>
        <v>3351440.9570660568</v>
      </c>
      <c r="BA1173" s="2">
        <f t="shared" ca="1" si="1167"/>
        <v>60023206.952533193</v>
      </c>
      <c r="BB1173" s="2">
        <f t="shared" ca="1" si="1168"/>
        <v>1200464.1390506639</v>
      </c>
      <c r="BC1173" s="2">
        <f t="shared" ca="1" si="1169"/>
        <v>34594216.173109069</v>
      </c>
      <c r="BD1173" s="2">
        <f t="shared" ca="1" si="1170"/>
        <v>-17661873.036931206</v>
      </c>
      <c r="BE1173" s="2">
        <f t="shared" ca="1" si="1171"/>
        <v>2341829.7562982519</v>
      </c>
      <c r="BF1173" s="2">
        <f t="shared" ca="1" si="1172"/>
        <v>2637103.7842679708</v>
      </c>
      <c r="BG1173" s="2">
        <f t="shared" ca="1" si="1173"/>
        <v>2862998.841479966</v>
      </c>
      <c r="BH1173" s="2">
        <f t="shared" ca="1" si="1174"/>
        <v>3100898.5785940685</v>
      </c>
      <c r="BI1173" s="2">
        <f t="shared" ca="1" si="1175"/>
        <v>37945657.130175129</v>
      </c>
      <c r="BJ1173" s="2">
        <f t="shared" ca="1" si="1176"/>
        <v>0.26809156250855515</v>
      </c>
      <c r="BK1173" s="2">
        <f t="shared" ca="1" si="1177"/>
        <v>12071217.424045954</v>
      </c>
    </row>
    <row r="1174" spans="1:63" x14ac:dyDescent="0.3">
      <c r="A1174" s="2">
        <v>1173</v>
      </c>
      <c r="B1174" s="2">
        <f t="shared" ca="1" si="1116"/>
        <v>0.5638190988383629</v>
      </c>
      <c r="C1174" s="2">
        <f t="shared" ca="1" si="1117"/>
        <v>7.0659968938363882</v>
      </c>
      <c r="D1174" s="2">
        <f t="shared" ca="1" si="1118"/>
        <v>5.7176013648888468E-2</v>
      </c>
      <c r="E1174" s="2">
        <f t="shared" ca="1" si="1119"/>
        <v>6.8381597659358322</v>
      </c>
      <c r="F1174" s="2">
        <f t="shared" ca="1" si="1120"/>
        <v>0.66132451076246712</v>
      </c>
      <c r="G1174" s="2">
        <f t="shared" ca="1" si="1121"/>
        <v>5.2482419921068155E-2</v>
      </c>
      <c r="H1174" s="2">
        <f t="shared" ca="1" si="1122"/>
        <v>5.2482419921068155E-2</v>
      </c>
      <c r="I1174" s="2">
        <f t="shared" ca="1" si="1123"/>
        <v>0.25517664036339249</v>
      </c>
      <c r="J1174" s="2">
        <f t="shared" ca="1" si="1124"/>
        <v>6.7085615046795777E-3</v>
      </c>
      <c r="K1174" s="2">
        <f t="shared" ca="1" si="1125"/>
        <v>6.7085615046795777E-3</v>
      </c>
      <c r="L1174" s="2">
        <f t="shared" ca="1" si="1126"/>
        <v>0.97971774577594206</v>
      </c>
      <c r="M1174" s="2">
        <f t="shared" ca="1" si="1127"/>
        <v>4.0959079685725132E-2</v>
      </c>
      <c r="N1174" s="2">
        <f t="shared" ca="1" si="1128"/>
        <v>4.0959079685725132E-2</v>
      </c>
      <c r="O1174" s="2">
        <f t="shared" si="1129"/>
        <v>6000000</v>
      </c>
      <c r="P1174" s="2">
        <f t="shared" ca="1" si="1130"/>
        <v>42395981.363018326</v>
      </c>
      <c r="Q1174" s="2">
        <f t="shared" ca="1" si="1131"/>
        <v>1059899.5340754583</v>
      </c>
      <c r="R1174" s="2">
        <f t="shared" ca="1" si="1132"/>
        <v>25437588.817810994</v>
      </c>
      <c r="S1174" s="2">
        <f t="shared" ca="1" si="1133"/>
        <v>16958392.545207333</v>
      </c>
      <c r="T1174" s="2">
        <f t="shared" ca="1" si="1134"/>
        <v>52047953.984286256</v>
      </c>
      <c r="U1174" s="2">
        <f t="shared" ca="1" si="1135"/>
        <v>54779556.561321996</v>
      </c>
      <c r="V1174" s="2">
        <f t="shared" ca="1" si="1136"/>
        <v>57654520.251863196</v>
      </c>
      <c r="W1174" s="2">
        <f t="shared" ca="1" si="1137"/>
        <v>60680368.994069204</v>
      </c>
      <c r="X1174" s="2">
        <f t="shared" ca="1" si="1138"/>
        <v>63865021.600581303</v>
      </c>
      <c r="Y1174" s="2">
        <f t="shared" ca="1" si="1139"/>
        <v>0.12335428075233978</v>
      </c>
      <c r="Z1174" s="2">
        <f t="shared" ca="1" si="1140"/>
        <v>0.12469599305327569</v>
      </c>
      <c r="AA1174" s="2">
        <f t="shared" ca="1" si="1141"/>
        <v>6420337.9283625092</v>
      </c>
      <c r="AB1174" s="2">
        <f t="shared" ca="1" si="1142"/>
        <v>6830791.2044321308</v>
      </c>
      <c r="AC1174" s="2">
        <f t="shared" ca="1" si="1143"/>
        <v>7189287.6568162758</v>
      </c>
      <c r="AD1174" s="2">
        <f t="shared" ca="1" si="1144"/>
        <v>7566598.8705546595</v>
      </c>
      <c r="AE1174" s="2">
        <f t="shared" ca="1" si="1145"/>
        <v>7963712.2898533884</v>
      </c>
      <c r="AF1174" s="2">
        <f t="shared" ca="1" si="1146"/>
        <v>1040959.0796857252</v>
      </c>
      <c r="AG1174" s="2">
        <f t="shared" ca="1" si="1147"/>
        <v>1095591.13122644</v>
      </c>
      <c r="AH1174" s="2">
        <f t="shared" ca="1" si="1148"/>
        <v>1153090.4050372639</v>
      </c>
      <c r="AI1174" s="2">
        <f t="shared" ca="1" si="1149"/>
        <v>1213607.3798813841</v>
      </c>
      <c r="AJ1174" s="2">
        <f t="shared" ca="1" si="1150"/>
        <v>1277300.4320116262</v>
      </c>
      <c r="AK1174" s="2">
        <f t="shared" ca="1" si="1151"/>
        <v>0</v>
      </c>
      <c r="AL1174" s="2">
        <f t="shared" ca="1" si="1152"/>
        <v>27316.025770357403</v>
      </c>
      <c r="AM1174" s="2">
        <f t="shared" ca="1" si="1153"/>
        <v>28749.636905412004</v>
      </c>
      <c r="AN1174" s="2">
        <f t="shared" ca="1" si="1154"/>
        <v>30258.487422060072</v>
      </c>
      <c r="AO1174" s="2">
        <f t="shared" ca="1" si="1155"/>
        <v>31846.526065120997</v>
      </c>
      <c r="AP1174" s="2">
        <f t="shared" ca="1" si="1156"/>
        <v>2289382.9936029892</v>
      </c>
      <c r="AQ1174" s="2">
        <f t="shared" ca="1" si="1157"/>
        <v>803398.92231918662</v>
      </c>
      <c r="AR1174" s="2">
        <f t="shared" ca="1" si="1158"/>
        <v>895912.44069670246</v>
      </c>
      <c r="AS1174" s="2">
        <f t="shared" ca="1" si="1159"/>
        <v>974171.70712576609</v>
      </c>
      <c r="AT1174" s="2">
        <f t="shared" ca="1" si="1160"/>
        <v>1056538.2092382745</v>
      </c>
      <c r="AU1174" s="2">
        <f t="shared" ca="1" si="1161"/>
        <v>1143227.504702081</v>
      </c>
      <c r="AV1174" s="2">
        <f t="shared" ca="1" si="1162"/>
        <v>2286596.9327546079</v>
      </c>
      <c r="AW1174" s="2">
        <f t="shared" ca="1" si="1163"/>
        <v>2522588.6131356414</v>
      </c>
      <c r="AX1174" s="2">
        <f t="shared" ca="1" si="1164"/>
        <v>2743892.9141448447</v>
      </c>
      <c r="AY1174" s="2">
        <f t="shared" ca="1" si="1165"/>
        <v>2976811.8004099522</v>
      </c>
      <c r="AZ1174" s="2">
        <f t="shared" ca="1" si="1166"/>
        <v>3221954.8334715702</v>
      </c>
      <c r="BA1174" s="2">
        <f t="shared" ca="1" si="1167"/>
        <v>54457136.967964157</v>
      </c>
      <c r="BB1174" s="2">
        <f t="shared" ca="1" si="1168"/>
        <v>1089142.7393592831</v>
      </c>
      <c r="BC1174" s="2">
        <f t="shared" ca="1" si="1169"/>
        <v>27930405.410793882</v>
      </c>
      <c r="BD1174" s="2">
        <f t="shared" ca="1" si="1170"/>
        <v>-18518292.07928279</v>
      </c>
      <c r="BE1174" s="2">
        <f t="shared" ca="1" si="1171"/>
        <v>2286596.9327546079</v>
      </c>
      <c r="BF1174" s="2">
        <f t="shared" ca="1" si="1172"/>
        <v>2522588.6131356414</v>
      </c>
      <c r="BG1174" s="2">
        <f t="shared" ca="1" si="1173"/>
        <v>2743892.9141448447</v>
      </c>
      <c r="BH1174" s="2">
        <f t="shared" ca="1" si="1174"/>
        <v>2976811.8004099522</v>
      </c>
      <c r="BI1174" s="2">
        <f t="shared" ca="1" si="1175"/>
        <v>31152360.244265452</v>
      </c>
      <c r="BJ1174" s="2">
        <f t="shared" ca="1" si="1176"/>
        <v>0.21068240218548606</v>
      </c>
      <c r="BK1174" s="2">
        <f t="shared" ca="1" si="1177"/>
        <v>7055856.838123519</v>
      </c>
    </row>
    <row r="1175" spans="1:63" x14ac:dyDescent="0.3">
      <c r="A1175" s="2">
        <v>1174</v>
      </c>
      <c r="B1175" s="2">
        <f t="shared" ca="1" si="1116"/>
        <v>2.1417403250914901E-2</v>
      </c>
      <c r="C1175" s="2">
        <f t="shared" ca="1" si="1117"/>
        <v>6.2069657133484428</v>
      </c>
      <c r="D1175" s="2">
        <f t="shared" ca="1" si="1118"/>
        <v>0.55523507238227798</v>
      </c>
      <c r="E1175" s="2">
        <f t="shared" ca="1" si="1119"/>
        <v>7.5568510959368904</v>
      </c>
      <c r="F1175" s="2">
        <f t="shared" ca="1" si="1120"/>
        <v>0.91060537467463154</v>
      </c>
      <c r="G1175" s="2">
        <f t="shared" ca="1" si="1121"/>
        <v>8.0334768448658306E-2</v>
      </c>
      <c r="H1175" s="2">
        <f t="shared" ca="1" si="1122"/>
        <v>8.0334768448658306E-2</v>
      </c>
      <c r="I1175" s="2">
        <f t="shared" ca="1" si="1123"/>
        <v>1.1958840690243555E-2</v>
      </c>
      <c r="J1175" s="2">
        <f t="shared" ca="1" si="1124"/>
        <v>-1.292244950141852E-3</v>
      </c>
      <c r="K1175" s="2">
        <f t="shared" ca="1" si="1125"/>
        <v>0</v>
      </c>
      <c r="L1175" s="2">
        <f t="shared" ca="1" si="1126"/>
        <v>0.29546260904355537</v>
      </c>
      <c r="M1175" s="2">
        <f t="shared" ca="1" si="1127"/>
        <v>-1.0749915050538546E-2</v>
      </c>
      <c r="N1175" s="2">
        <f t="shared" ca="1" si="1128"/>
        <v>-1.0749915050538546E-2</v>
      </c>
      <c r="O1175" s="2">
        <f t="shared" si="1129"/>
        <v>6000000</v>
      </c>
      <c r="P1175" s="2">
        <f t="shared" ca="1" si="1130"/>
        <v>37241794.28009066</v>
      </c>
      <c r="Q1175" s="2">
        <f t="shared" ca="1" si="1131"/>
        <v>931044.85700226657</v>
      </c>
      <c r="R1175" s="2">
        <f t="shared" ca="1" si="1132"/>
        <v>22345076.568054397</v>
      </c>
      <c r="S1175" s="2">
        <f t="shared" ca="1" si="1133"/>
        <v>14896717.712036265</v>
      </c>
      <c r="T1175" s="2">
        <f t="shared" ca="1" si="1134"/>
        <v>49462504.247473069</v>
      </c>
      <c r="U1175" s="2">
        <f t="shared" ca="1" si="1135"/>
        <v>53436063.0730846</v>
      </c>
      <c r="V1175" s="2">
        <f t="shared" ca="1" si="1136"/>
        <v>57728836.826868758</v>
      </c>
      <c r="W1175" s="2">
        <f t="shared" ca="1" si="1137"/>
        <v>62366469.566165641</v>
      </c>
      <c r="X1175" s="2">
        <f t="shared" ca="1" si="1138"/>
        <v>67376665.457723856</v>
      </c>
      <c r="Y1175" s="2">
        <f t="shared" ca="1" si="1139"/>
        <v>0.12</v>
      </c>
      <c r="Z1175" s="2">
        <f t="shared" ca="1" si="1140"/>
        <v>0.12</v>
      </c>
      <c r="AA1175" s="2">
        <f t="shared" ca="1" si="1141"/>
        <v>5935500.5096967677</v>
      </c>
      <c r="AB1175" s="2">
        <f t="shared" ca="1" si="1142"/>
        <v>6412327.5687701516</v>
      </c>
      <c r="AC1175" s="2">
        <f t="shared" ca="1" si="1143"/>
        <v>6927460.4192242511</v>
      </c>
      <c r="AD1175" s="2">
        <f t="shared" ca="1" si="1144"/>
        <v>7483976.3479398768</v>
      </c>
      <c r="AE1175" s="2">
        <f t="shared" ca="1" si="1145"/>
        <v>8085199.8549268628</v>
      </c>
      <c r="AF1175" s="2">
        <f t="shared" ca="1" si="1146"/>
        <v>989250.08494946139</v>
      </c>
      <c r="AG1175" s="2">
        <f t="shared" ca="1" si="1147"/>
        <v>1068721.2614616919</v>
      </c>
      <c r="AH1175" s="2">
        <f t="shared" ca="1" si="1148"/>
        <v>1154576.7365373753</v>
      </c>
      <c r="AI1175" s="2">
        <f t="shared" ca="1" si="1149"/>
        <v>1247329.3913233129</v>
      </c>
      <c r="AJ1175" s="2">
        <f t="shared" ca="1" si="1150"/>
        <v>1347533.3091544772</v>
      </c>
      <c r="AK1175" s="2">
        <f t="shared" ca="1" si="1151"/>
        <v>0</v>
      </c>
      <c r="AL1175" s="2">
        <f t="shared" ca="1" si="1152"/>
        <v>39735.588256115319</v>
      </c>
      <c r="AM1175" s="2">
        <f t="shared" ca="1" si="1153"/>
        <v>42927.737537841575</v>
      </c>
      <c r="AN1175" s="2">
        <f t="shared" ca="1" si="1154"/>
        <v>46376.327392968837</v>
      </c>
      <c r="AO1175" s="2">
        <f t="shared" ca="1" si="1155"/>
        <v>50101.958915582152</v>
      </c>
      <c r="AP1175" s="2">
        <f t="shared" ca="1" si="1156"/>
        <v>2011056.8911248955</v>
      </c>
      <c r="AQ1175" s="2">
        <f t="shared" ca="1" si="1157"/>
        <v>763150.31874182669</v>
      </c>
      <c r="AR1175" s="2">
        <f t="shared" ca="1" si="1158"/>
        <v>866462.84820772661</v>
      </c>
      <c r="AS1175" s="2">
        <f t="shared" ca="1" si="1159"/>
        <v>978074.96580611484</v>
      </c>
      <c r="AT1175" s="2">
        <f t="shared" ca="1" si="1160"/>
        <v>1098653.4170278336</v>
      </c>
      <c r="AU1175" s="2">
        <f t="shared" ca="1" si="1161"/>
        <v>1228918.5102083473</v>
      </c>
      <c r="AV1175" s="2">
        <f t="shared" ca="1" si="1162"/>
        <v>2172043.2148805838</v>
      </c>
      <c r="AW1175" s="2">
        <f t="shared" ca="1" si="1163"/>
        <v>2426350.9797197217</v>
      </c>
      <c r="AX1175" s="2">
        <f t="shared" ca="1" si="1164"/>
        <v>2740824.088218024</v>
      </c>
      <c r="AY1175" s="2">
        <f t="shared" ca="1" si="1165"/>
        <v>3080560.3210708648</v>
      </c>
      <c r="AZ1175" s="2">
        <f t="shared" ca="1" si="1166"/>
        <v>3447589.1855235612</v>
      </c>
      <c r="BA1175" s="2">
        <f t="shared" ca="1" si="1167"/>
        <v>61098651.384572849</v>
      </c>
      <c r="BB1175" s="2">
        <f t="shared" ca="1" si="1168"/>
        <v>1221973.027691457</v>
      </c>
      <c r="BC1175" s="2">
        <f t="shared" ca="1" si="1169"/>
        <v>37531601.788827002</v>
      </c>
      <c r="BD1175" s="2">
        <f t="shared" ca="1" si="1170"/>
        <v>-16327762.569038531</v>
      </c>
      <c r="BE1175" s="2">
        <f t="shared" ca="1" si="1171"/>
        <v>2172043.2148805838</v>
      </c>
      <c r="BF1175" s="2">
        <f t="shared" ca="1" si="1172"/>
        <v>2426350.9797197217</v>
      </c>
      <c r="BG1175" s="2">
        <f t="shared" ca="1" si="1173"/>
        <v>2740824.088218024</v>
      </c>
      <c r="BH1175" s="2">
        <f t="shared" ca="1" si="1174"/>
        <v>3080560.3210708648</v>
      </c>
      <c r="BI1175" s="2">
        <f t="shared" ca="1" si="1175"/>
        <v>40979190.974350564</v>
      </c>
      <c r="BJ1175" s="2">
        <f t="shared" ca="1" si="1176"/>
        <v>0.30273476831641033</v>
      </c>
      <c r="BK1175" s="2">
        <f t="shared" ca="1" si="1177"/>
        <v>14707143.584634127</v>
      </c>
    </row>
    <row r="1176" spans="1:63" x14ac:dyDescent="0.3">
      <c r="A1176" s="2">
        <v>1175</v>
      </c>
      <c r="B1176" s="2">
        <f t="shared" ca="1" si="1116"/>
        <v>0.69057084790564771</v>
      </c>
      <c r="C1176" s="2">
        <f t="shared" ca="1" si="1117"/>
        <v>7.2133245242231681</v>
      </c>
      <c r="D1176" s="2">
        <f t="shared" ca="1" si="1118"/>
        <v>0.37110343867208939</v>
      </c>
      <c r="E1176" s="2">
        <f t="shared" ca="1" si="1119"/>
        <v>7.3615142931746282</v>
      </c>
      <c r="F1176" s="2">
        <f t="shared" ca="1" si="1120"/>
        <v>0.133431892110904</v>
      </c>
      <c r="G1176" s="2">
        <f t="shared" ca="1" si="1121"/>
        <v>6.6905829168269135E-3</v>
      </c>
      <c r="H1176" s="2">
        <f t="shared" ca="1" si="1122"/>
        <v>6.6905829168269135E-3</v>
      </c>
      <c r="I1176" s="2">
        <f t="shared" ca="1" si="1123"/>
        <v>0.12427577392496492</v>
      </c>
      <c r="J1176" s="2">
        <f t="shared" ca="1" si="1124"/>
        <v>4.23062655903436E-3</v>
      </c>
      <c r="K1176" s="2">
        <f t="shared" ca="1" si="1125"/>
        <v>4.23062655903436E-3</v>
      </c>
      <c r="L1176" s="2">
        <f t="shared" ca="1" si="1126"/>
        <v>0.32469817590406669</v>
      </c>
      <c r="M1176" s="2">
        <f t="shared" ca="1" si="1127"/>
        <v>-9.0920189829107358E-3</v>
      </c>
      <c r="N1176" s="2">
        <f t="shared" ca="1" si="1128"/>
        <v>-9.0920189829107358E-3</v>
      </c>
      <c r="O1176" s="2">
        <f t="shared" si="1129"/>
        <v>6000000</v>
      </c>
      <c r="P1176" s="2">
        <f t="shared" ca="1" si="1130"/>
        <v>43279947.145339005</v>
      </c>
      <c r="Q1176" s="2">
        <f t="shared" ca="1" si="1131"/>
        <v>1081998.6786334752</v>
      </c>
      <c r="R1176" s="2">
        <f t="shared" ca="1" si="1132"/>
        <v>25967968.287203401</v>
      </c>
      <c r="S1176" s="2">
        <f t="shared" ca="1" si="1133"/>
        <v>17311978.858135603</v>
      </c>
      <c r="T1176" s="2">
        <f t="shared" ca="1" si="1134"/>
        <v>49545399.050854459</v>
      </c>
      <c r="U1176" s="2">
        <f t="shared" ca="1" si="1135"/>
        <v>49876886.651351474</v>
      </c>
      <c r="V1176" s="2">
        <f t="shared" ca="1" si="1136"/>
        <v>50210592.097125515</v>
      </c>
      <c r="W1176" s="2">
        <f t="shared" ca="1" si="1137"/>
        <v>50546530.226854309</v>
      </c>
      <c r="X1176" s="2">
        <f t="shared" ca="1" si="1138"/>
        <v>50884715.978494972</v>
      </c>
      <c r="Y1176" s="2">
        <f t="shared" ca="1" si="1139"/>
        <v>0.12211531327951718</v>
      </c>
      <c r="Z1176" s="2">
        <f t="shared" ca="1" si="1140"/>
        <v>0.12296143859132405</v>
      </c>
      <c r="AA1176" s="2">
        <f t="shared" ca="1" si="1141"/>
        <v>6050251.9266537856</v>
      </c>
      <c r="AB1176" s="2">
        <f t="shared" ca="1" si="1142"/>
        <v>6132933.7351065846</v>
      </c>
      <c r="AC1176" s="2">
        <f t="shared" ca="1" si="1143"/>
        <v>6173966.6367847202</v>
      </c>
      <c r="AD1176" s="2">
        <f t="shared" ca="1" si="1144"/>
        <v>6215274.0724938512</v>
      </c>
      <c r="AE1176" s="2">
        <f t="shared" ca="1" si="1145"/>
        <v>6256857.8790266756</v>
      </c>
      <c r="AF1176" s="2">
        <f t="shared" ca="1" si="1146"/>
        <v>990907.98101708922</v>
      </c>
      <c r="AG1176" s="2">
        <f t="shared" ca="1" si="1147"/>
        <v>997537.73302702955</v>
      </c>
      <c r="AH1176" s="2">
        <f t="shared" ca="1" si="1148"/>
        <v>1004211.8419425103</v>
      </c>
      <c r="AI1176" s="2">
        <f t="shared" ca="1" si="1149"/>
        <v>1010930.6045370862</v>
      </c>
      <c r="AJ1176" s="2">
        <f t="shared" ca="1" si="1150"/>
        <v>1017694.3195698995</v>
      </c>
      <c r="AK1176" s="2">
        <f t="shared" ca="1" si="1151"/>
        <v>0</v>
      </c>
      <c r="AL1176" s="2">
        <f t="shared" ca="1" si="1152"/>
        <v>3314.8760049701482</v>
      </c>
      <c r="AM1176" s="2">
        <f t="shared" ca="1" si="1153"/>
        <v>3337.0544577404112</v>
      </c>
      <c r="AN1176" s="2">
        <f t="shared" ca="1" si="1154"/>
        <v>3359.3812972879409</v>
      </c>
      <c r="AO1176" s="2">
        <f t="shared" ca="1" si="1155"/>
        <v>3381.8575164066256</v>
      </c>
      <c r="AP1176" s="2">
        <f t="shared" ca="1" si="1156"/>
        <v>2337117.1458483059</v>
      </c>
      <c r="AQ1176" s="2">
        <f t="shared" ca="1" si="1157"/>
        <v>707778.96794498153</v>
      </c>
      <c r="AR1176" s="2">
        <f t="shared" ca="1" si="1158"/>
        <v>727552.50262012472</v>
      </c>
      <c r="AS1176" s="2">
        <f t="shared" ca="1" si="1159"/>
        <v>736485.78873841499</v>
      </c>
      <c r="AT1176" s="2">
        <f t="shared" ca="1" si="1160"/>
        <v>745478.84374819929</v>
      </c>
      <c r="AU1176" s="2">
        <f t="shared" ca="1" si="1161"/>
        <v>754532.06753820227</v>
      </c>
      <c r="AV1176" s="2">
        <f t="shared" ca="1" si="1162"/>
        <v>2014447.8318434088</v>
      </c>
      <c r="AW1176" s="2">
        <f t="shared" ca="1" si="1163"/>
        <v>2067411.477606155</v>
      </c>
      <c r="AX1176" s="2">
        <f t="shared" ca="1" si="1164"/>
        <v>2092814.8057977483</v>
      </c>
      <c r="AY1176" s="2">
        <f t="shared" ca="1" si="1165"/>
        <v>2118388.0970629714</v>
      </c>
      <c r="AZ1176" s="2">
        <f t="shared" ca="1" si="1166"/>
        <v>2144132.4885538612</v>
      </c>
      <c r="BA1176" s="2">
        <f t="shared" ca="1" si="1167"/>
        <v>46059948.706817165</v>
      </c>
      <c r="BB1176" s="2">
        <f t="shared" ca="1" si="1168"/>
        <v>921198.97413634334</v>
      </c>
      <c r="BC1176" s="2">
        <f t="shared" ca="1" si="1169"/>
        <v>19170781.445477419</v>
      </c>
      <c r="BD1176" s="2">
        <f t="shared" ca="1" si="1170"/>
        <v>-18893977.536769077</v>
      </c>
      <c r="BE1176" s="2">
        <f t="shared" ca="1" si="1171"/>
        <v>2014447.8318434088</v>
      </c>
      <c r="BF1176" s="2">
        <f t="shared" ca="1" si="1172"/>
        <v>2067411.477606155</v>
      </c>
      <c r="BG1176" s="2">
        <f t="shared" ca="1" si="1173"/>
        <v>2092814.8057977483</v>
      </c>
      <c r="BH1176" s="2">
        <f t="shared" ca="1" si="1174"/>
        <v>2118388.0970629714</v>
      </c>
      <c r="BI1176" s="2">
        <f t="shared" ca="1" si="1175"/>
        <v>21314913.934031278</v>
      </c>
      <c r="BJ1176" s="2">
        <f t="shared" ca="1" si="1176"/>
        <v>0.11247085479004904</v>
      </c>
      <c r="BK1176" s="2">
        <f t="shared" ca="1" si="1177"/>
        <v>-516682.86150892079</v>
      </c>
    </row>
    <row r="1177" spans="1:63" x14ac:dyDescent="0.3">
      <c r="A1177" s="2">
        <v>1176</v>
      </c>
      <c r="B1177" s="2">
        <f t="shared" ca="1" si="1116"/>
        <v>0.37115830545488204</v>
      </c>
      <c r="C1177" s="2">
        <f t="shared" ca="1" si="1117"/>
        <v>6.8615779772659957</v>
      </c>
      <c r="D1177" s="2">
        <f t="shared" ca="1" si="1118"/>
        <v>0.56971774299969091</v>
      </c>
      <c r="E1177" s="2">
        <f t="shared" ca="1" si="1119"/>
        <v>7.5723338348303209</v>
      </c>
      <c r="F1177" s="2">
        <f t="shared" ca="1" si="1120"/>
        <v>0.15758175947074549</v>
      </c>
      <c r="G1177" s="2">
        <f t="shared" ca="1" si="1121"/>
        <v>9.8666095241711667E-3</v>
      </c>
      <c r="H1177" s="2">
        <f t="shared" ca="1" si="1122"/>
        <v>9.8666095241711667E-3</v>
      </c>
      <c r="I1177" s="2">
        <f t="shared" ca="1" si="1123"/>
        <v>0.41535675601966493</v>
      </c>
      <c r="J1177" s="2">
        <f t="shared" ca="1" si="1124"/>
        <v>8.9310672372624553E-3</v>
      </c>
      <c r="K1177" s="2">
        <f t="shared" ca="1" si="1125"/>
        <v>8.9310672372624553E-3</v>
      </c>
      <c r="L1177" s="2">
        <f t="shared" ca="1" si="1126"/>
        <v>0.4738569412258169</v>
      </c>
      <c r="M1177" s="2">
        <f t="shared" ca="1" si="1127"/>
        <v>-1.3115580508605035E-3</v>
      </c>
      <c r="N1177" s="2">
        <f t="shared" ca="1" si="1128"/>
        <v>-1.3115580508605035E-3</v>
      </c>
      <c r="O1177" s="2">
        <f t="shared" si="1129"/>
        <v>6000000</v>
      </c>
      <c r="P1177" s="2">
        <f t="shared" ca="1" si="1130"/>
        <v>41169467.863595977</v>
      </c>
      <c r="Q1177" s="2">
        <f t="shared" ca="1" si="1131"/>
        <v>1029236.6965898995</v>
      </c>
      <c r="R1177" s="2">
        <f t="shared" ca="1" si="1132"/>
        <v>24701680.718157586</v>
      </c>
      <c r="S1177" s="2">
        <f t="shared" ca="1" si="1133"/>
        <v>16467787.145438392</v>
      </c>
      <c r="T1177" s="2">
        <f t="shared" ca="1" si="1134"/>
        <v>49934422.097456977</v>
      </c>
      <c r="U1177" s="2">
        <f t="shared" ca="1" si="1135"/>
        <v>50427105.542107724</v>
      </c>
      <c r="V1177" s="2">
        <f t="shared" ca="1" si="1136"/>
        <v>50924650.101925865</v>
      </c>
      <c r="W1177" s="2">
        <f t="shared" ca="1" si="1137"/>
        <v>51427103.739636607</v>
      </c>
      <c r="X1177" s="2">
        <f t="shared" ca="1" si="1138"/>
        <v>51934514.891194642</v>
      </c>
      <c r="Y1177" s="2">
        <f t="shared" ca="1" si="1139"/>
        <v>0.12446553361863122</v>
      </c>
      <c r="Z1177" s="2">
        <f t="shared" ca="1" si="1140"/>
        <v>0.12625174706608372</v>
      </c>
      <c r="AA1177" s="2">
        <f t="shared" ca="1" si="1141"/>
        <v>6215114.492297953</v>
      </c>
      <c r="AB1177" s="2">
        <f t="shared" ca="1" si="1142"/>
        <v>6366510.1741768932</v>
      </c>
      <c r="AC1177" s="2">
        <f t="shared" ca="1" si="1143"/>
        <v>6429326.0440971591</v>
      </c>
      <c r="AD1177" s="2">
        <f t="shared" ca="1" si="1144"/>
        <v>6492761.6936778491</v>
      </c>
      <c r="AE1177" s="2">
        <f t="shared" ca="1" si="1145"/>
        <v>6556823.238042864</v>
      </c>
      <c r="AF1177" s="2">
        <f t="shared" ca="1" si="1146"/>
        <v>998688.44194913958</v>
      </c>
      <c r="AG1177" s="2">
        <f t="shared" ca="1" si="1147"/>
        <v>1008542.1108421545</v>
      </c>
      <c r="AH1177" s="2">
        <f t="shared" ca="1" si="1148"/>
        <v>1018493.0020385173</v>
      </c>
      <c r="AI1177" s="2">
        <f t="shared" ca="1" si="1149"/>
        <v>1028542.0747927321</v>
      </c>
      <c r="AJ1177" s="2">
        <f t="shared" ca="1" si="1150"/>
        <v>1038690.2978238929</v>
      </c>
      <c r="AK1177" s="2">
        <f t="shared" ca="1" si="1151"/>
        <v>0</v>
      </c>
      <c r="AL1177" s="2">
        <f t="shared" ca="1" si="1152"/>
        <v>4926.8344465074688</v>
      </c>
      <c r="AM1177" s="2">
        <f t="shared" ca="1" si="1153"/>
        <v>4975.4455981814117</v>
      </c>
      <c r="AN1177" s="2">
        <f t="shared" ca="1" si="1154"/>
        <v>5024.5363771074262</v>
      </c>
      <c r="AO1177" s="2">
        <f t="shared" ca="1" si="1155"/>
        <v>5074.1115155803409</v>
      </c>
      <c r="AP1177" s="2">
        <f t="shared" ca="1" si="1156"/>
        <v>2223151.2646341827</v>
      </c>
      <c r="AQ1177" s="2">
        <f t="shared" ca="1" si="1157"/>
        <v>778251.44428580406</v>
      </c>
      <c r="AR1177" s="2">
        <f t="shared" ca="1" si="1158"/>
        <v>815052.36766214459</v>
      </c>
      <c r="AS1177" s="2">
        <f t="shared" ca="1" si="1159"/>
        <v>828797.26213035942</v>
      </c>
      <c r="AT1177" s="2">
        <f t="shared" ca="1" si="1160"/>
        <v>842677.77210524282</v>
      </c>
      <c r="AU1177" s="2">
        <f t="shared" ca="1" si="1161"/>
        <v>856695.235652045</v>
      </c>
      <c r="AV1177" s="2">
        <f t="shared" ca="1" si="1162"/>
        <v>2215023.3414288266</v>
      </c>
      <c r="AW1177" s="2">
        <f t="shared" ca="1" si="1163"/>
        <v>2314837.5965919038</v>
      </c>
      <c r="AX1177" s="2">
        <f t="shared" ca="1" si="1164"/>
        <v>2353909.0696959188</v>
      </c>
      <c r="AY1177" s="2">
        <f t="shared" ca="1" si="1165"/>
        <v>2393366.0457685832</v>
      </c>
      <c r="AZ1177" s="2">
        <f t="shared" ca="1" si="1166"/>
        <v>2433212.3284171624</v>
      </c>
      <c r="BA1177" s="2">
        <f t="shared" ca="1" si="1167"/>
        <v>49650454.45443368</v>
      </c>
      <c r="BB1177" s="2">
        <f t="shared" ca="1" si="1168"/>
        <v>993009.08908867359</v>
      </c>
      <c r="BC1177" s="2">
        <f t="shared" ca="1" si="1169"/>
        <v>23955764.647187419</v>
      </c>
      <c r="BD1177" s="2">
        <f t="shared" ca="1" si="1170"/>
        <v>-17997023.84202829</v>
      </c>
      <c r="BE1177" s="2">
        <f t="shared" ca="1" si="1171"/>
        <v>2215023.3414288266</v>
      </c>
      <c r="BF1177" s="2">
        <f t="shared" ca="1" si="1172"/>
        <v>2314837.5965919038</v>
      </c>
      <c r="BG1177" s="2">
        <f t="shared" ca="1" si="1173"/>
        <v>2353909.0696959188</v>
      </c>
      <c r="BH1177" s="2">
        <f t="shared" ca="1" si="1174"/>
        <v>2393366.0457685832</v>
      </c>
      <c r="BI1177" s="2">
        <f t="shared" ca="1" si="1175"/>
        <v>26388976.975604583</v>
      </c>
      <c r="BJ1177" s="2">
        <f t="shared" ca="1" si="1176"/>
        <v>0.17586142988002029</v>
      </c>
      <c r="BK1177" s="2">
        <f t="shared" ca="1" si="1177"/>
        <v>3996357.5316721462</v>
      </c>
    </row>
    <row r="1178" spans="1:63" x14ac:dyDescent="0.3">
      <c r="A1178" s="2">
        <v>1177</v>
      </c>
      <c r="B1178" s="2">
        <f t="shared" ca="1" si="1116"/>
        <v>0.95825830935229206</v>
      </c>
      <c r="C1178" s="2">
        <f t="shared" ca="1" si="1117"/>
        <v>7.71106509159429</v>
      </c>
      <c r="D1178" s="2">
        <f t="shared" ca="1" si="1118"/>
        <v>0.30155995362263321</v>
      </c>
      <c r="E1178" s="2">
        <f t="shared" ca="1" si="1119"/>
        <v>7.2766079495120213</v>
      </c>
      <c r="F1178" s="2">
        <f t="shared" ca="1" si="1120"/>
        <v>0.43366355419393521</v>
      </c>
      <c r="G1178" s="2">
        <f t="shared" ca="1" si="1121"/>
        <v>3.4988362781429291E-2</v>
      </c>
      <c r="H1178" s="2">
        <f t="shared" ca="1" si="1122"/>
        <v>3.4988362781429291E-2</v>
      </c>
      <c r="I1178" s="2">
        <f t="shared" ca="1" si="1123"/>
        <v>0.33050857606013961</v>
      </c>
      <c r="J1178" s="2">
        <f t="shared" ca="1" si="1124"/>
        <v>7.8074536524783446E-3</v>
      </c>
      <c r="K1178" s="2">
        <f t="shared" ca="1" si="1125"/>
        <v>7.8074536524783446E-3</v>
      </c>
      <c r="L1178" s="2">
        <f t="shared" ca="1" si="1126"/>
        <v>6.5013488312215539E-3</v>
      </c>
      <c r="M1178" s="2">
        <f t="shared" ca="1" si="1127"/>
        <v>-4.9673907972394009E-2</v>
      </c>
      <c r="N1178" s="2">
        <f t="shared" ca="1" si="1128"/>
        <v>-4.9673907972394009E-2</v>
      </c>
      <c r="O1178" s="2">
        <f t="shared" si="1129"/>
        <v>6000000</v>
      </c>
      <c r="P1178" s="2">
        <f t="shared" ca="1" si="1130"/>
        <v>46266390.54956574</v>
      </c>
      <c r="Q1178" s="2">
        <f t="shared" ca="1" si="1131"/>
        <v>1156659.7637391435</v>
      </c>
      <c r="R1178" s="2">
        <f t="shared" ca="1" si="1132"/>
        <v>27759834.329739444</v>
      </c>
      <c r="S1178" s="2">
        <f t="shared" ca="1" si="1133"/>
        <v>18506556.219826296</v>
      </c>
      <c r="T1178" s="2">
        <f t="shared" ca="1" si="1134"/>
        <v>47516304.601380296</v>
      </c>
      <c r="U1178" s="2">
        <f t="shared" ca="1" si="1135"/>
        <v>49178822.304806292</v>
      </c>
      <c r="V1178" s="2">
        <f t="shared" ca="1" si="1136"/>
        <v>50899508.780770302</v>
      </c>
      <c r="W1178" s="2">
        <f t="shared" ca="1" si="1137"/>
        <v>52680399.259388439</v>
      </c>
      <c r="X1178" s="2">
        <f t="shared" ca="1" si="1138"/>
        <v>54523600.180146463</v>
      </c>
      <c r="Y1178" s="2">
        <f t="shared" ca="1" si="1139"/>
        <v>0.12390372682623917</v>
      </c>
      <c r="Z1178" s="2">
        <f t="shared" ca="1" si="1140"/>
        <v>0.12546521755673484</v>
      </c>
      <c r="AA1178" s="2">
        <f t="shared" ca="1" si="1141"/>
        <v>5887447.2251217952</v>
      </c>
      <c r="AB1178" s="2">
        <f t="shared" ca="1" si="1142"/>
        <v>6170231.6396565251</v>
      </c>
      <c r="AC1178" s="2">
        <f t="shared" ca="1" si="1143"/>
        <v>6386117.9427102813</v>
      </c>
      <c r="AD1178" s="2">
        <f t="shared" ca="1" si="1144"/>
        <v>6609557.7540548239</v>
      </c>
      <c r="AE1178" s="2">
        <f t="shared" ca="1" si="1145"/>
        <v>6840815.3585785031</v>
      </c>
      <c r="AF1178" s="2">
        <f t="shared" ca="1" si="1146"/>
        <v>950326.09202760598</v>
      </c>
      <c r="AG1178" s="2">
        <f t="shared" ca="1" si="1147"/>
        <v>983576.44609612587</v>
      </c>
      <c r="AH1178" s="2">
        <f t="shared" ca="1" si="1148"/>
        <v>1017990.175615406</v>
      </c>
      <c r="AI1178" s="2">
        <f t="shared" ca="1" si="1149"/>
        <v>1053607.9851877687</v>
      </c>
      <c r="AJ1178" s="2">
        <f t="shared" ca="1" si="1150"/>
        <v>1090472.0036029292</v>
      </c>
      <c r="AK1178" s="2">
        <f t="shared" ca="1" si="1151"/>
        <v>0</v>
      </c>
      <c r="AL1178" s="2">
        <f t="shared" ca="1" si="1152"/>
        <v>16625.177034259959</v>
      </c>
      <c r="AM1178" s="2">
        <f t="shared" ca="1" si="1153"/>
        <v>17206.864759640099</v>
      </c>
      <c r="AN1178" s="2">
        <f t="shared" ca="1" si="1154"/>
        <v>17808.904786181374</v>
      </c>
      <c r="AO1178" s="2">
        <f t="shared" ca="1" si="1155"/>
        <v>18432.009207580239</v>
      </c>
      <c r="AP1178" s="2">
        <f t="shared" ca="1" si="1156"/>
        <v>2498385.0896765497</v>
      </c>
      <c r="AQ1178" s="2">
        <f t="shared" ca="1" si="1157"/>
        <v>634071.37128858641</v>
      </c>
      <c r="AR1178" s="2">
        <f t="shared" ca="1" si="1158"/>
        <v>698950.22700980084</v>
      </c>
      <c r="AS1178" s="2">
        <f t="shared" ca="1" si="1159"/>
        <v>746133.0961287648</v>
      </c>
      <c r="AT1178" s="2">
        <f t="shared" ca="1" si="1160"/>
        <v>794966.81658953137</v>
      </c>
      <c r="AU1178" s="2">
        <f t="shared" ca="1" si="1161"/>
        <v>845509.14897774626</v>
      </c>
      <c r="AV1178" s="2">
        <f t="shared" ca="1" si="1162"/>
        <v>1804664.6721290536</v>
      </c>
      <c r="AW1178" s="2">
        <f t="shared" ca="1" si="1163"/>
        <v>1972694.6998397885</v>
      </c>
      <c r="AX1178" s="2">
        <f t="shared" ca="1" si="1164"/>
        <v>2106402.7165299216</v>
      </c>
      <c r="AY1178" s="2">
        <f t="shared" ca="1" si="1165"/>
        <v>2244788.9578147922</v>
      </c>
      <c r="AZ1178" s="2">
        <f t="shared" ca="1" si="1166"/>
        <v>2388017.1071136976</v>
      </c>
      <c r="BA1178" s="2">
        <f t="shared" ca="1" si="1167"/>
        <v>49777931.419376262</v>
      </c>
      <c r="BB1178" s="2">
        <f t="shared" ca="1" si="1168"/>
        <v>995558.62838752521</v>
      </c>
      <c r="BC1178" s="2">
        <f t="shared" ca="1" si="1169"/>
        <v>21022538.461249292</v>
      </c>
      <c r="BD1178" s="2">
        <f t="shared" ca="1" si="1170"/>
        <v>-20163215.983565439</v>
      </c>
      <c r="BE1178" s="2">
        <f t="shared" ca="1" si="1171"/>
        <v>1804664.6721290536</v>
      </c>
      <c r="BF1178" s="2">
        <f t="shared" ca="1" si="1172"/>
        <v>1972694.6998397885</v>
      </c>
      <c r="BG1178" s="2">
        <f t="shared" ca="1" si="1173"/>
        <v>2106402.7165299216</v>
      </c>
      <c r="BH1178" s="2">
        <f t="shared" ca="1" si="1174"/>
        <v>2244788.9578147922</v>
      </c>
      <c r="BI1178" s="2">
        <f t="shared" ca="1" si="1175"/>
        <v>23410555.568362989</v>
      </c>
      <c r="BJ1178" s="2">
        <f t="shared" ca="1" si="1176"/>
        <v>0.10968113749466757</v>
      </c>
      <c r="BK1178" s="2">
        <f t="shared" ca="1" si="1177"/>
        <v>-769610.3543603383</v>
      </c>
    </row>
    <row r="1179" spans="1:63" x14ac:dyDescent="0.3">
      <c r="A1179" s="2">
        <v>1178</v>
      </c>
      <c r="B1179" s="2">
        <f t="shared" ca="1" si="1116"/>
        <v>0.26335682518379422</v>
      </c>
      <c r="C1179" s="2">
        <f t="shared" ca="1" si="1117"/>
        <v>6.7257504050068375</v>
      </c>
      <c r="D1179" s="2">
        <f t="shared" ca="1" si="1118"/>
        <v>0.52907157543136241</v>
      </c>
      <c r="E1179" s="2">
        <f t="shared" ca="1" si="1119"/>
        <v>7.5295069041269409</v>
      </c>
      <c r="F1179" s="2">
        <f t="shared" ca="1" si="1120"/>
        <v>0.64572279250818176</v>
      </c>
      <c r="G1179" s="2">
        <f t="shared" ca="1" si="1121"/>
        <v>5.1213947765787894E-2</v>
      </c>
      <c r="H1179" s="2">
        <f t="shared" ca="1" si="1122"/>
        <v>5.1213947765787894E-2</v>
      </c>
      <c r="I1179" s="2">
        <f t="shared" ca="1" si="1123"/>
        <v>0.77088259755617727</v>
      </c>
      <c r="J1179" s="2">
        <f t="shared" ca="1" si="1124"/>
        <v>1.3708783125494511E-2</v>
      </c>
      <c r="K1179" s="2">
        <f t="shared" ca="1" si="1125"/>
        <v>1.3708783125494511E-2</v>
      </c>
      <c r="L1179" s="2">
        <f t="shared" ca="1" si="1126"/>
        <v>0.17705922992367007</v>
      </c>
      <c r="M1179" s="2">
        <f t="shared" ca="1" si="1127"/>
        <v>-1.8532608215561332E-2</v>
      </c>
      <c r="N1179" s="2">
        <f t="shared" ca="1" si="1128"/>
        <v>-1.8532608215561332E-2</v>
      </c>
      <c r="O1179" s="2">
        <f t="shared" si="1129"/>
        <v>6000000</v>
      </c>
      <c r="P1179" s="2">
        <f t="shared" ca="1" si="1130"/>
        <v>40354502.430041023</v>
      </c>
      <c r="Q1179" s="2">
        <f t="shared" ca="1" si="1131"/>
        <v>1008862.5607510256</v>
      </c>
      <c r="R1179" s="2">
        <f t="shared" ca="1" si="1132"/>
        <v>24212701.458024614</v>
      </c>
      <c r="S1179" s="2">
        <f t="shared" ca="1" si="1133"/>
        <v>16141800.972016409</v>
      </c>
      <c r="T1179" s="2">
        <f t="shared" ca="1" si="1134"/>
        <v>49073369.589221932</v>
      </c>
      <c r="U1179" s="2">
        <f t="shared" ca="1" si="1135"/>
        <v>51586610.576055542</v>
      </c>
      <c r="V1179" s="2">
        <f t="shared" ca="1" si="1136"/>
        <v>54228564.555511683</v>
      </c>
      <c r="W1179" s="2">
        <f t="shared" ca="1" si="1137"/>
        <v>57005823.428071313</v>
      </c>
      <c r="X1179" s="2">
        <f t="shared" ca="1" si="1138"/>
        <v>59925316.691462278</v>
      </c>
      <c r="Y1179" s="2">
        <f t="shared" ca="1" si="1139"/>
        <v>0.12685439156274725</v>
      </c>
      <c r="Z1179" s="2">
        <f t="shared" ca="1" si="1140"/>
        <v>0.12959614818784615</v>
      </c>
      <c r="AA1179" s="2">
        <f t="shared" ca="1" si="1141"/>
        <v>6225172.4411745723</v>
      </c>
      <c r="AB1179" s="2">
        <f t="shared" ca="1" si="1142"/>
        <v>6685426.0287232054</v>
      </c>
      <c r="AC1179" s="2">
        <f t="shared" ca="1" si="1143"/>
        <v>7027813.0881502731</v>
      </c>
      <c r="AD1179" s="2">
        <f t="shared" ca="1" si="1144"/>
        <v>7387735.1405545212</v>
      </c>
      <c r="AE1179" s="2">
        <f t="shared" ca="1" si="1145"/>
        <v>7766090.2221503556</v>
      </c>
      <c r="AF1179" s="2">
        <f t="shared" ca="1" si="1146"/>
        <v>981467.39178443863</v>
      </c>
      <c r="AG1179" s="2">
        <f t="shared" ca="1" si="1147"/>
        <v>1031732.2115211108</v>
      </c>
      <c r="AH1179" s="2">
        <f t="shared" ca="1" si="1148"/>
        <v>1084571.2911102336</v>
      </c>
      <c r="AI1179" s="2">
        <f t="shared" ca="1" si="1149"/>
        <v>1140116.4685614263</v>
      </c>
      <c r="AJ1179" s="2">
        <f t="shared" ca="1" si="1150"/>
        <v>1198506.3338292455</v>
      </c>
      <c r="AK1179" s="2">
        <f t="shared" ca="1" si="1151"/>
        <v>0</v>
      </c>
      <c r="AL1179" s="2">
        <f t="shared" ca="1" si="1152"/>
        <v>25132.409868336097</v>
      </c>
      <c r="AM1179" s="2">
        <f t="shared" ca="1" si="1153"/>
        <v>26419.539794561417</v>
      </c>
      <c r="AN1179" s="2">
        <f t="shared" ca="1" si="1154"/>
        <v>27772.588725596295</v>
      </c>
      <c r="AO1179" s="2">
        <f t="shared" ca="1" si="1155"/>
        <v>29194.932633909659</v>
      </c>
      <c r="AP1179" s="2">
        <f t="shared" ca="1" si="1156"/>
        <v>2179143.131222215</v>
      </c>
      <c r="AQ1179" s="2">
        <f t="shared" ca="1" si="1157"/>
        <v>796786.09872365883</v>
      </c>
      <c r="AR1179" s="2">
        <f t="shared" ca="1" si="1158"/>
        <v>903383.17835476878</v>
      </c>
      <c r="AS1179" s="2">
        <f t="shared" ca="1" si="1159"/>
        <v>978665.65311263443</v>
      </c>
      <c r="AT1179" s="2">
        <f t="shared" ca="1" si="1160"/>
        <v>1057803.6406004289</v>
      </c>
      <c r="AU1179" s="2">
        <f t="shared" ca="1" si="1161"/>
        <v>1140994.5968457125</v>
      </c>
      <c r="AV1179" s="2">
        <f t="shared" ca="1" si="1162"/>
        <v>2267775.8194442592</v>
      </c>
      <c r="AW1179" s="2">
        <f t="shared" ca="1" si="1163"/>
        <v>2546035.0977567746</v>
      </c>
      <c r="AX1179" s="2">
        <f t="shared" ca="1" si="1164"/>
        <v>2759013.4729106291</v>
      </c>
      <c r="AY1179" s="2">
        <f t="shared" ca="1" si="1165"/>
        <v>2982899.3114448548</v>
      </c>
      <c r="AZ1179" s="2">
        <f t="shared" ca="1" si="1166"/>
        <v>3218251.2276192731</v>
      </c>
      <c r="BA1179" s="2">
        <f t="shared" ca="1" si="1167"/>
        <v>58474829.945753828</v>
      </c>
      <c r="BB1179" s="2">
        <f t="shared" ca="1" si="1168"/>
        <v>1169496.5989150766</v>
      </c>
      <c r="BC1179" s="2">
        <f t="shared" ca="1" si="1169"/>
        <v>33092631.888814136</v>
      </c>
      <c r="BD1179" s="2">
        <f t="shared" ca="1" si="1170"/>
        <v>-17650663.532767434</v>
      </c>
      <c r="BE1179" s="2">
        <f t="shared" ca="1" si="1171"/>
        <v>2267775.8194442592</v>
      </c>
      <c r="BF1179" s="2">
        <f t="shared" ca="1" si="1172"/>
        <v>2546035.0977567746</v>
      </c>
      <c r="BG1179" s="2">
        <f t="shared" ca="1" si="1173"/>
        <v>2759013.4729106291</v>
      </c>
      <c r="BH1179" s="2">
        <f t="shared" ca="1" si="1174"/>
        <v>2982899.3114448548</v>
      </c>
      <c r="BI1179" s="2">
        <f t="shared" ca="1" si="1175"/>
        <v>36310883.116433412</v>
      </c>
      <c r="BJ1179" s="2">
        <f t="shared" ca="1" si="1176"/>
        <v>0.2555954779819134</v>
      </c>
      <c r="BK1179" s="2">
        <f t="shared" ca="1" si="1177"/>
        <v>10867087.865060572</v>
      </c>
    </row>
    <row r="1180" spans="1:63" x14ac:dyDescent="0.3">
      <c r="A1180" s="2">
        <v>1179</v>
      </c>
      <c r="B1180" s="2">
        <f t="shared" ca="1" si="1116"/>
        <v>0.68048821550787464</v>
      </c>
      <c r="C1180" s="2">
        <f t="shared" ca="1" si="1117"/>
        <v>7.2006105023305285</v>
      </c>
      <c r="D1180" s="2">
        <f t="shared" ca="1" si="1118"/>
        <v>0.5516691778776277</v>
      </c>
      <c r="E1180" s="2">
        <f t="shared" ca="1" si="1119"/>
        <v>7.5530778045453024</v>
      </c>
      <c r="F1180" s="2">
        <f t="shared" ca="1" si="1120"/>
        <v>0.19024101997841192</v>
      </c>
      <c r="G1180" s="2">
        <f t="shared" ca="1" si="1121"/>
        <v>1.3689746033159266E-2</v>
      </c>
      <c r="H1180" s="2">
        <f t="shared" ca="1" si="1122"/>
        <v>1.3689746033159266E-2</v>
      </c>
      <c r="I1180" s="2">
        <f t="shared" ca="1" si="1123"/>
        <v>7.6193784007807297E-2</v>
      </c>
      <c r="J1180" s="2">
        <f t="shared" ca="1" si="1124"/>
        <v>2.8442558996142021E-3</v>
      </c>
      <c r="K1180" s="2">
        <f t="shared" ca="1" si="1125"/>
        <v>2.8442558996142021E-3</v>
      </c>
      <c r="L1180" s="2">
        <f t="shared" ca="1" si="1126"/>
        <v>4.5774898634178274E-2</v>
      </c>
      <c r="M1180" s="2">
        <f t="shared" ca="1" si="1127"/>
        <v>-3.3745571649768373E-2</v>
      </c>
      <c r="N1180" s="2">
        <f t="shared" ca="1" si="1128"/>
        <v>-3.3745571649768373E-2</v>
      </c>
      <c r="O1180" s="2">
        <f t="shared" si="1129"/>
        <v>6000000</v>
      </c>
      <c r="P1180" s="2">
        <f t="shared" ca="1" si="1130"/>
        <v>43203663.013983168</v>
      </c>
      <c r="Q1180" s="2">
        <f t="shared" ca="1" si="1131"/>
        <v>1080091.5753495793</v>
      </c>
      <c r="R1180" s="2">
        <f t="shared" ca="1" si="1132"/>
        <v>25922197.808389898</v>
      </c>
      <c r="S1180" s="2">
        <f t="shared" ca="1" si="1133"/>
        <v>17281465.205593269</v>
      </c>
      <c r="T1180" s="2">
        <f t="shared" ca="1" si="1134"/>
        <v>48312721.417511582</v>
      </c>
      <c r="U1180" s="2">
        <f t="shared" ca="1" si="1135"/>
        <v>48974110.30388809</v>
      </c>
      <c r="V1180" s="2">
        <f t="shared" ca="1" si="1136"/>
        <v>49644553.436148249</v>
      </c>
      <c r="W1180" s="2">
        <f t="shared" ca="1" si="1137"/>
        <v>50324174.764618725</v>
      </c>
      <c r="X1180" s="2">
        <f t="shared" ca="1" si="1138"/>
        <v>51013099.936474681</v>
      </c>
      <c r="Y1180" s="2">
        <f t="shared" ca="1" si="1139"/>
        <v>0.1214221279498071</v>
      </c>
      <c r="Z1180" s="2">
        <f t="shared" ca="1" si="1140"/>
        <v>0.12199097912972993</v>
      </c>
      <c r="AA1180" s="2">
        <f t="shared" ca="1" si="1141"/>
        <v>5866233.441560477</v>
      </c>
      <c r="AB1180" s="2">
        <f t="shared" ca="1" si="1142"/>
        <v>5974399.667978704</v>
      </c>
      <c r="AC1180" s="2">
        <f t="shared" ca="1" si="1143"/>
        <v>6056187.6821339233</v>
      </c>
      <c r="AD1180" s="2">
        <f t="shared" ca="1" si="1144"/>
        <v>6139095.3534314847</v>
      </c>
      <c r="AE1180" s="2">
        <f t="shared" ca="1" si="1145"/>
        <v>6223138.0096933106</v>
      </c>
      <c r="AF1180" s="2">
        <f t="shared" ca="1" si="1146"/>
        <v>966254.42835023161</v>
      </c>
      <c r="AG1180" s="2">
        <f t="shared" ca="1" si="1147"/>
        <v>979482.20607776183</v>
      </c>
      <c r="AH1180" s="2">
        <f t="shared" ca="1" si="1148"/>
        <v>992891.06872296496</v>
      </c>
      <c r="AI1180" s="2">
        <f t="shared" ca="1" si="1149"/>
        <v>1006483.4952923745</v>
      </c>
      <c r="AJ1180" s="2">
        <f t="shared" ca="1" si="1150"/>
        <v>1020261.9987294936</v>
      </c>
      <c r="AK1180" s="2">
        <f t="shared" ca="1" si="1151"/>
        <v>0</v>
      </c>
      <c r="AL1180" s="2">
        <f t="shared" ca="1" si="1152"/>
        <v>6613.8888637650762</v>
      </c>
      <c r="AM1180" s="2">
        <f t="shared" ca="1" si="1153"/>
        <v>6704.4313226015865</v>
      </c>
      <c r="AN1180" s="2">
        <f t="shared" ca="1" si="1154"/>
        <v>6796.2132847047596</v>
      </c>
      <c r="AO1180" s="2">
        <f t="shared" ca="1" si="1155"/>
        <v>6889.2517185595634</v>
      </c>
      <c r="AP1180" s="2">
        <f t="shared" ca="1" si="1156"/>
        <v>2332997.8027550909</v>
      </c>
      <c r="AQ1180" s="2">
        <f t="shared" ca="1" si="1157"/>
        <v>667415.11471834022</v>
      </c>
      <c r="AR1180" s="2">
        <f t="shared" ca="1" si="1158"/>
        <v>692099.1113779213</v>
      </c>
      <c r="AS1180" s="2">
        <f t="shared" ca="1" si="1159"/>
        <v>709877.69077052549</v>
      </c>
      <c r="AT1180" s="2">
        <f t="shared" ca="1" si="1160"/>
        <v>727899.65439984493</v>
      </c>
      <c r="AU1180" s="2">
        <f t="shared" ca="1" si="1161"/>
        <v>746168.33413426881</v>
      </c>
      <c r="AV1180" s="2">
        <f t="shared" ca="1" si="1162"/>
        <v>1899566.0957368142</v>
      </c>
      <c r="AW1180" s="2">
        <f t="shared" ca="1" si="1163"/>
        <v>1963206.6589041655</v>
      </c>
      <c r="AX1180" s="2">
        <f t="shared" ca="1" si="1164"/>
        <v>2013716.6885627401</v>
      </c>
      <c r="AY1180" s="2">
        <f t="shared" ca="1" si="1165"/>
        <v>2064918.1876994693</v>
      </c>
      <c r="AZ1180" s="2">
        <f t="shared" ca="1" si="1166"/>
        <v>2116820.6223558984</v>
      </c>
      <c r="BA1180" s="2">
        <f t="shared" ca="1" si="1167"/>
        <v>47003845.575636774</v>
      </c>
      <c r="BB1180" s="2">
        <f t="shared" ca="1" si="1168"/>
        <v>940076.91151273553</v>
      </c>
      <c r="BC1180" s="2">
        <f t="shared" ca="1" si="1169"/>
        <v>20141570.85573414</v>
      </c>
      <c r="BD1180" s="2">
        <f t="shared" ca="1" si="1170"/>
        <v>-18861556.78094285</v>
      </c>
      <c r="BE1180" s="2">
        <f t="shared" ca="1" si="1171"/>
        <v>1899566.0957368142</v>
      </c>
      <c r="BF1180" s="2">
        <f t="shared" ca="1" si="1172"/>
        <v>1963206.6589041655</v>
      </c>
      <c r="BG1180" s="2">
        <f t="shared" ca="1" si="1173"/>
        <v>2013716.6885627401</v>
      </c>
      <c r="BH1180" s="2">
        <f t="shared" ca="1" si="1174"/>
        <v>2064918.1876994693</v>
      </c>
      <c r="BI1180" s="2">
        <f t="shared" ca="1" si="1175"/>
        <v>22258391.478090037</v>
      </c>
      <c r="BJ1180" s="2">
        <f t="shared" ca="1" si="1176"/>
        <v>0.11677803522304719</v>
      </c>
      <c r="BK1180" s="2">
        <f t="shared" ca="1" si="1177"/>
        <v>-224833.6031017527</v>
      </c>
    </row>
    <row r="1181" spans="1:63" x14ac:dyDescent="0.3">
      <c r="A1181" s="2">
        <v>1180</v>
      </c>
      <c r="B1181" s="2">
        <f t="shared" ca="1" si="1116"/>
        <v>0.49139533255199108</v>
      </c>
      <c r="C1181" s="2">
        <f t="shared" ca="1" si="1117"/>
        <v>6.9913579903869145</v>
      </c>
      <c r="D1181" s="2">
        <f t="shared" ca="1" si="1118"/>
        <v>0.85001363997897339</v>
      </c>
      <c r="E1181" s="2">
        <f t="shared" ca="1" si="1119"/>
        <v>7.9523023461415479</v>
      </c>
      <c r="F1181" s="2">
        <f t="shared" ca="1" si="1120"/>
        <v>7.6951469447364196E-2</v>
      </c>
      <c r="G1181" s="2">
        <f t="shared" ca="1" si="1121"/>
        <v>-2.7764046249886126E-3</v>
      </c>
      <c r="H1181" s="2">
        <f t="shared" ca="1" si="1122"/>
        <v>-2.7764046249886126E-3</v>
      </c>
      <c r="I1181" s="2">
        <f t="shared" ca="1" si="1123"/>
        <v>0.19500976462992647</v>
      </c>
      <c r="J1181" s="2">
        <f t="shared" ca="1" si="1124"/>
        <v>5.7020902583102056E-3</v>
      </c>
      <c r="K1181" s="2">
        <f t="shared" ca="1" si="1125"/>
        <v>5.7020902583102056E-3</v>
      </c>
      <c r="L1181" s="2">
        <f t="shared" ca="1" si="1126"/>
        <v>0.74035489271697286</v>
      </c>
      <c r="M1181" s="2">
        <f t="shared" ca="1" si="1127"/>
        <v>1.2888798109158797E-2</v>
      </c>
      <c r="N1181" s="2">
        <f t="shared" ca="1" si="1128"/>
        <v>1.2888798109158797E-2</v>
      </c>
      <c r="O1181" s="2">
        <f t="shared" si="1129"/>
        <v>6000000</v>
      </c>
      <c r="P1181" s="2">
        <f t="shared" ca="1" si="1130"/>
        <v>41948147.942321487</v>
      </c>
      <c r="Q1181" s="2">
        <f t="shared" ca="1" si="1131"/>
        <v>1048703.6985580372</v>
      </c>
      <c r="R1181" s="2">
        <f t="shared" ca="1" si="1132"/>
        <v>25168888.765392892</v>
      </c>
      <c r="S1181" s="2">
        <f t="shared" ca="1" si="1133"/>
        <v>16779259.176928595</v>
      </c>
      <c r="T1181" s="2">
        <f t="shared" ca="1" si="1134"/>
        <v>50644439.905457936</v>
      </c>
      <c r="U1181" s="2">
        <f t="shared" ca="1" si="1135"/>
        <v>50503830.448274463</v>
      </c>
      <c r="V1181" s="2">
        <f t="shared" ca="1" si="1136"/>
        <v>50363611.379838236</v>
      </c>
      <c r="W1181" s="2">
        <f t="shared" ca="1" si="1137"/>
        <v>50223781.616272122</v>
      </c>
      <c r="X1181" s="2">
        <f t="shared" ca="1" si="1138"/>
        <v>50084340.076708287</v>
      </c>
      <c r="Y1181" s="2">
        <f t="shared" ca="1" si="1139"/>
        <v>0.1228510451291551</v>
      </c>
      <c r="Z1181" s="2">
        <f t="shared" ca="1" si="1140"/>
        <v>0.12399146318081714</v>
      </c>
      <c r="AA1181" s="2">
        <f t="shared" ca="1" si="1141"/>
        <v>6221722.3723661965</v>
      </c>
      <c r="AB1181" s="2">
        <f t="shared" ca="1" si="1142"/>
        <v>6262043.8335174546</v>
      </c>
      <c r="AC1181" s="2">
        <f t="shared" ca="1" si="1143"/>
        <v>6244657.8660561955</v>
      </c>
      <c r="AD1181" s="2">
        <f t="shared" ca="1" si="1144"/>
        <v>6227320.1690754052</v>
      </c>
      <c r="AE1181" s="2">
        <f t="shared" ca="1" si="1145"/>
        <v>6210030.6085566999</v>
      </c>
      <c r="AF1181" s="2">
        <f t="shared" ca="1" si="1146"/>
        <v>1012888.7981091588</v>
      </c>
      <c r="AG1181" s="2">
        <f t="shared" ca="1" si="1147"/>
        <v>1010076.6089654893</v>
      </c>
      <c r="AH1181" s="2">
        <f t="shared" ca="1" si="1148"/>
        <v>1007272.2275967647</v>
      </c>
      <c r="AI1181" s="2">
        <f t="shared" ca="1" si="1149"/>
        <v>1004475.6323254425</v>
      </c>
      <c r="AJ1181" s="2">
        <f t="shared" ca="1" si="1150"/>
        <v>1001686.8015341657</v>
      </c>
      <c r="AK1181" s="2">
        <f t="shared" ca="1" si="1151"/>
        <v>0</v>
      </c>
      <c r="AL1181" s="2">
        <f t="shared" ca="1" si="1152"/>
        <v>0</v>
      </c>
      <c r="AM1181" s="2">
        <f t="shared" ca="1" si="1153"/>
        <v>0</v>
      </c>
      <c r="AN1181" s="2">
        <f t="shared" ca="1" si="1154"/>
        <v>0</v>
      </c>
      <c r="AO1181" s="2">
        <f t="shared" ca="1" si="1155"/>
        <v>0</v>
      </c>
      <c r="AP1181" s="2">
        <f t="shared" ca="1" si="1156"/>
        <v>2265199.9888853603</v>
      </c>
      <c r="AQ1181" s="2">
        <f t="shared" ca="1" si="1157"/>
        <v>765344.73219663615</v>
      </c>
      <c r="AR1181" s="2">
        <f t="shared" ca="1" si="1158"/>
        <v>776559.48127331736</v>
      </c>
      <c r="AS1181" s="2">
        <f t="shared" ca="1" si="1159"/>
        <v>772768.26888925838</v>
      </c>
      <c r="AT1181" s="2">
        <f t="shared" ca="1" si="1160"/>
        <v>768987.58244479669</v>
      </c>
      <c r="AU1181" s="2">
        <f t="shared" ca="1" si="1161"/>
        <v>765217.39271566528</v>
      </c>
      <c r="AV1181" s="2">
        <f t="shared" ca="1" si="1162"/>
        <v>2178288.8531750408</v>
      </c>
      <c r="AW1181" s="2">
        <f t="shared" ca="1" si="1163"/>
        <v>2210207.7543932875</v>
      </c>
      <c r="AX1181" s="2">
        <f t="shared" ca="1" si="1164"/>
        <v>2199417.3806848121</v>
      </c>
      <c r="AY1181" s="2">
        <f t="shared" ca="1" si="1165"/>
        <v>2188656.9654198061</v>
      </c>
      <c r="AZ1181" s="2">
        <f t="shared" ca="1" si="1166"/>
        <v>2177926.4254215085</v>
      </c>
      <c r="BA1181" s="2">
        <f t="shared" ca="1" si="1167"/>
        <v>49384040.97803627</v>
      </c>
      <c r="BB1181" s="2">
        <f t="shared" ca="1" si="1168"/>
        <v>987680.81956072536</v>
      </c>
      <c r="BC1181" s="2">
        <f t="shared" ca="1" si="1169"/>
        <v>23227471.393082652</v>
      </c>
      <c r="BD1181" s="2">
        <f t="shared" ca="1" si="1170"/>
        <v>-18327962.875486631</v>
      </c>
      <c r="BE1181" s="2">
        <f t="shared" ca="1" si="1171"/>
        <v>2178288.8531750408</v>
      </c>
      <c r="BF1181" s="2">
        <f t="shared" ca="1" si="1172"/>
        <v>2210207.7543932875</v>
      </c>
      <c r="BG1181" s="2">
        <f t="shared" ca="1" si="1173"/>
        <v>2199417.3806848121</v>
      </c>
      <c r="BH1181" s="2">
        <f t="shared" ca="1" si="1174"/>
        <v>2188656.9654198061</v>
      </c>
      <c r="BI1181" s="2">
        <f t="shared" ca="1" si="1175"/>
        <v>25405397.818504162</v>
      </c>
      <c r="BJ1181" s="2">
        <f t="shared" ca="1" si="1176"/>
        <v>0.15854713820036692</v>
      </c>
      <c r="BK1181" s="2">
        <f t="shared" ca="1" si="1177"/>
        <v>2751039.8958487958</v>
      </c>
    </row>
    <row r="1182" spans="1:63" x14ac:dyDescent="0.3">
      <c r="A1182" s="2">
        <v>1181</v>
      </c>
      <c r="B1182" s="2">
        <f t="shared" ca="1" si="1116"/>
        <v>0.53496016006396685</v>
      </c>
      <c r="C1182" s="2">
        <f t="shared" ca="1" si="1117"/>
        <v>7.0355936126963563</v>
      </c>
      <c r="D1182" s="2">
        <f t="shared" ca="1" si="1118"/>
        <v>0.29116569957703498</v>
      </c>
      <c r="E1182" s="2">
        <f t="shared" ca="1" si="1119"/>
        <v>7.2631064140433299</v>
      </c>
      <c r="F1182" s="2">
        <f t="shared" ca="1" si="1120"/>
        <v>0.34273654308818491</v>
      </c>
      <c r="G1182" s="2">
        <f t="shared" ca="1" si="1121"/>
        <v>2.7849819411579525E-2</v>
      </c>
      <c r="H1182" s="2">
        <f t="shared" ca="1" si="1122"/>
        <v>2.7849819411579525E-2</v>
      </c>
      <c r="I1182" s="2">
        <f t="shared" ca="1" si="1123"/>
        <v>0.51220555761654429</v>
      </c>
      <c r="J1182" s="2">
        <f t="shared" ca="1" si="1124"/>
        <v>1.0152997851967651E-2</v>
      </c>
      <c r="K1182" s="2">
        <f t="shared" ca="1" si="1125"/>
        <v>1.0152997851967651E-2</v>
      </c>
      <c r="L1182" s="2">
        <f t="shared" ca="1" si="1126"/>
        <v>0.26013857262320172</v>
      </c>
      <c r="M1182" s="2">
        <f t="shared" ca="1" si="1127"/>
        <v>-1.2858365047064705E-2</v>
      </c>
      <c r="N1182" s="2">
        <f t="shared" ca="1" si="1128"/>
        <v>-1.2858365047064705E-2</v>
      </c>
      <c r="O1182" s="2">
        <f t="shared" si="1129"/>
        <v>6000000</v>
      </c>
      <c r="P1182" s="2">
        <f t="shared" ca="1" si="1130"/>
        <v>42213561.676178135</v>
      </c>
      <c r="Q1182" s="2">
        <f t="shared" ca="1" si="1131"/>
        <v>1055339.0419044534</v>
      </c>
      <c r="R1182" s="2">
        <f t="shared" ca="1" si="1132"/>
        <v>25328137.00570688</v>
      </c>
      <c r="S1182" s="2">
        <f t="shared" ca="1" si="1133"/>
        <v>16885424.670471255</v>
      </c>
      <c r="T1182" s="2">
        <f t="shared" ca="1" si="1134"/>
        <v>49357081.747646764</v>
      </c>
      <c r="U1182" s="2">
        <f t="shared" ca="1" si="1135"/>
        <v>50731667.561001293</v>
      </c>
      <c r="V1182" s="2">
        <f t="shared" ca="1" si="1136"/>
        <v>52144535.341023467</v>
      </c>
      <c r="W1182" s="2">
        <f t="shared" ca="1" si="1137"/>
        <v>53596751.233571693</v>
      </c>
      <c r="X1182" s="2">
        <f t="shared" ca="1" si="1138"/>
        <v>55089411.076474018</v>
      </c>
      <c r="Y1182" s="2">
        <f t="shared" ca="1" si="1139"/>
        <v>0.12507649892598383</v>
      </c>
      <c r="Z1182" s="2">
        <f t="shared" ca="1" si="1140"/>
        <v>0.12710709849637736</v>
      </c>
      <c r="AA1182" s="2">
        <f t="shared" ca="1" si="1141"/>
        <v>6173410.9821992368</v>
      </c>
      <c r="AB1182" s="2">
        <f t="shared" ca="1" si="1142"/>
        <v>6448355.0655616634</v>
      </c>
      <c r="AC1182" s="2">
        <f t="shared" ca="1" si="1143"/>
        <v>6627940.5896392995</v>
      </c>
      <c r="AD1182" s="2">
        <f t="shared" ca="1" si="1144"/>
        <v>6812527.5381314317</v>
      </c>
      <c r="AE1182" s="2">
        <f t="shared" ca="1" si="1145"/>
        <v>7002255.1998048052</v>
      </c>
      <c r="AF1182" s="2">
        <f t="shared" ca="1" si="1146"/>
        <v>987141.63495293527</v>
      </c>
      <c r="AG1182" s="2">
        <f t="shared" ca="1" si="1147"/>
        <v>1014633.3512200259</v>
      </c>
      <c r="AH1182" s="2">
        <f t="shared" ca="1" si="1148"/>
        <v>1042890.7068204693</v>
      </c>
      <c r="AI1182" s="2">
        <f t="shared" ca="1" si="1149"/>
        <v>1071935.024671434</v>
      </c>
      <c r="AJ1182" s="2">
        <f t="shared" ca="1" si="1150"/>
        <v>1101788.2215294803</v>
      </c>
      <c r="AK1182" s="2">
        <f t="shared" ca="1" si="1151"/>
        <v>0</v>
      </c>
      <c r="AL1182" s="2">
        <f t="shared" ca="1" si="1152"/>
        <v>13745.858133545295</v>
      </c>
      <c r="AM1182" s="2">
        <f t="shared" ca="1" si="1153"/>
        <v>14128.677800221742</v>
      </c>
      <c r="AN1182" s="2">
        <f t="shared" ca="1" si="1154"/>
        <v>14522.158925482259</v>
      </c>
      <c r="AO1182" s="2">
        <f t="shared" ca="1" si="1155"/>
        <v>14926.598429023252</v>
      </c>
      <c r="AP1182" s="2">
        <f t="shared" ca="1" si="1156"/>
        <v>2279532.3305136194</v>
      </c>
      <c r="AQ1182" s="2">
        <f t="shared" ca="1" si="1157"/>
        <v>755751.62435049738</v>
      </c>
      <c r="AR1182" s="2">
        <f t="shared" ca="1" si="1158"/>
        <v>820089.23979528481</v>
      </c>
      <c r="AS1182" s="2">
        <f t="shared" ca="1" si="1159"/>
        <v>859434.56359935482</v>
      </c>
      <c r="AT1182" s="2">
        <f t="shared" ca="1" si="1160"/>
        <v>899875.64756605832</v>
      </c>
      <c r="AU1182" s="2">
        <f t="shared" ca="1" si="1161"/>
        <v>941443.00841804349</v>
      </c>
      <c r="AV1182" s="2">
        <f t="shared" ca="1" si="1162"/>
        <v>2150985.3923821845</v>
      </c>
      <c r="AW1182" s="2">
        <f t="shared" ca="1" si="1163"/>
        <v>2320354.2858991879</v>
      </c>
      <c r="AX1182" s="2">
        <f t="shared" ca="1" si="1164"/>
        <v>2431954.3109056349</v>
      </c>
      <c r="AY1182" s="2">
        <f t="shared" ca="1" si="1165"/>
        <v>2546662.3764548372</v>
      </c>
      <c r="AZ1182" s="2">
        <f t="shared" ca="1" si="1166"/>
        <v>2664565.0409146394</v>
      </c>
      <c r="BA1182" s="2">
        <f t="shared" ca="1" si="1167"/>
        <v>50858124.654470541</v>
      </c>
      <c r="BB1182" s="2">
        <f t="shared" ca="1" si="1168"/>
        <v>1017162.4930894108</v>
      </c>
      <c r="BC1182" s="2">
        <f t="shared" ca="1" si="1169"/>
        <v>24512825.155674249</v>
      </c>
      <c r="BD1182" s="2">
        <f t="shared" ca="1" si="1170"/>
        <v>-18440763.712375708</v>
      </c>
      <c r="BE1182" s="2">
        <f t="shared" ca="1" si="1171"/>
        <v>2150985.3923821845</v>
      </c>
      <c r="BF1182" s="2">
        <f t="shared" ca="1" si="1172"/>
        <v>2320354.2858991879</v>
      </c>
      <c r="BG1182" s="2">
        <f t="shared" ca="1" si="1173"/>
        <v>2431954.3109056349</v>
      </c>
      <c r="BH1182" s="2">
        <f t="shared" ca="1" si="1174"/>
        <v>2546662.3764548372</v>
      </c>
      <c r="BI1182" s="2">
        <f t="shared" ca="1" si="1175"/>
        <v>27177390.196588889</v>
      </c>
      <c r="BJ1182" s="2">
        <f t="shared" ca="1" si="1176"/>
        <v>0.17562330407926208</v>
      </c>
      <c r="BK1182" s="2">
        <f t="shared" ca="1" si="1177"/>
        <v>4100179.2776678801</v>
      </c>
    </row>
    <row r="1183" spans="1:63" x14ac:dyDescent="0.3">
      <c r="A1183" s="2">
        <v>1182</v>
      </c>
      <c r="B1183" s="2">
        <f t="shared" ca="1" si="1116"/>
        <v>0.82730059334525607</v>
      </c>
      <c r="C1183" s="2">
        <f t="shared" ca="1" si="1117"/>
        <v>7.4122935993972092</v>
      </c>
      <c r="D1183" s="2">
        <f t="shared" ca="1" si="1118"/>
        <v>0.27379869531336654</v>
      </c>
      <c r="E1183" s="2">
        <f t="shared" ca="1" si="1119"/>
        <v>7.2399982369078542</v>
      </c>
      <c r="F1183" s="2">
        <f t="shared" ca="1" si="1120"/>
        <v>0.5463010460988682</v>
      </c>
      <c r="G1183" s="2">
        <f t="shared" ca="1" si="1121"/>
        <v>4.3489638902982741E-2</v>
      </c>
      <c r="H1183" s="2">
        <f t="shared" ca="1" si="1122"/>
        <v>4.3489638902982741E-2</v>
      </c>
      <c r="I1183" s="2">
        <f t="shared" ca="1" si="1123"/>
        <v>0.82364914507927145</v>
      </c>
      <c r="J1183" s="2">
        <f t="shared" ca="1" si="1124"/>
        <v>1.4646808110511216E-2</v>
      </c>
      <c r="K1183" s="2">
        <f t="shared" ca="1" si="1125"/>
        <v>1.4646808110511216E-2</v>
      </c>
      <c r="L1183" s="2">
        <f t="shared" ca="1" si="1126"/>
        <v>0.47567790712151437</v>
      </c>
      <c r="M1183" s="2">
        <f t="shared" ca="1" si="1127"/>
        <v>-1.2200852538488407E-3</v>
      </c>
      <c r="N1183" s="2">
        <f t="shared" ca="1" si="1128"/>
        <v>-1.2200852538488407E-3</v>
      </c>
      <c r="O1183" s="2">
        <f t="shared" si="1129"/>
        <v>6000000</v>
      </c>
      <c r="P1183" s="2">
        <f t="shared" ca="1" si="1130"/>
        <v>44473761.596383259</v>
      </c>
      <c r="Q1183" s="2">
        <f t="shared" ca="1" si="1131"/>
        <v>1111844.0399095814</v>
      </c>
      <c r="R1183" s="2">
        <f t="shared" ca="1" si="1132"/>
        <v>26684256.957829956</v>
      </c>
      <c r="S1183" s="2">
        <f t="shared" ca="1" si="1133"/>
        <v>17789504.638553303</v>
      </c>
      <c r="T1183" s="2">
        <f t="shared" ca="1" si="1134"/>
        <v>49938995.737307556</v>
      </c>
      <c r="U1183" s="2">
        <f t="shared" ca="1" si="1135"/>
        <v>52110824.629100651</v>
      </c>
      <c r="V1183" s="2">
        <f t="shared" ca="1" si="1136"/>
        <v>54377105.57515689</v>
      </c>
      <c r="W1183" s="2">
        <f t="shared" ca="1" si="1137"/>
        <v>56741946.261209823</v>
      </c>
      <c r="X1183" s="2">
        <f t="shared" ca="1" si="1138"/>
        <v>59209633.014762282</v>
      </c>
      <c r="Y1183" s="2">
        <f t="shared" ca="1" si="1139"/>
        <v>0.12732340405525561</v>
      </c>
      <c r="Z1183" s="2">
        <f t="shared" ca="1" si="1140"/>
        <v>0.13025276567735786</v>
      </c>
      <c r="AA1183" s="2">
        <f t="shared" ca="1" si="1141"/>
        <v>6358402.9323748974</v>
      </c>
      <c r="AB1183" s="2">
        <f t="shared" ca="1" si="1142"/>
        <v>6787579.0296681356</v>
      </c>
      <c r="AC1183" s="2">
        <f t="shared" ca="1" si="1143"/>
        <v>7082768.3906938601</v>
      </c>
      <c r="AD1183" s="2">
        <f t="shared" ca="1" si="1144"/>
        <v>7390795.4304385949</v>
      </c>
      <c r="AE1183" s="2">
        <f t="shared" ca="1" si="1145"/>
        <v>7712218.4549141834</v>
      </c>
      <c r="AF1183" s="2">
        <f t="shared" ca="1" si="1146"/>
        <v>998779.91474615119</v>
      </c>
      <c r="AG1183" s="2">
        <f t="shared" ca="1" si="1147"/>
        <v>1042216.492582013</v>
      </c>
      <c r="AH1183" s="2">
        <f t="shared" ca="1" si="1148"/>
        <v>1087542.1115031377</v>
      </c>
      <c r="AI1183" s="2">
        <f t="shared" ca="1" si="1149"/>
        <v>1134838.9252241964</v>
      </c>
      <c r="AJ1183" s="2">
        <f t="shared" ca="1" si="1150"/>
        <v>1184192.6602952457</v>
      </c>
      <c r="AK1183" s="2">
        <f t="shared" ca="1" si="1151"/>
        <v>0</v>
      </c>
      <c r="AL1183" s="2">
        <f t="shared" ca="1" si="1152"/>
        <v>21718.288917930946</v>
      </c>
      <c r="AM1183" s="2">
        <f t="shared" ca="1" si="1153"/>
        <v>22662.809460562392</v>
      </c>
      <c r="AN1183" s="2">
        <f t="shared" ca="1" si="1154"/>
        <v>23648.406860529332</v>
      </c>
      <c r="AO1183" s="2">
        <f t="shared" ca="1" si="1155"/>
        <v>24676.867535524594</v>
      </c>
      <c r="AP1183" s="2">
        <f t="shared" ca="1" si="1156"/>
        <v>2401583.126204696</v>
      </c>
      <c r="AQ1183" s="2">
        <f t="shared" ca="1" si="1157"/>
        <v>769090.37177025306</v>
      </c>
      <c r="AR1183" s="2">
        <f t="shared" ca="1" si="1158"/>
        <v>869382.64682917099</v>
      </c>
      <c r="AS1183" s="2">
        <f t="shared" ca="1" si="1159"/>
        <v>934347.21977636695</v>
      </c>
      <c r="AT1183" s="2">
        <f t="shared" ca="1" si="1160"/>
        <v>1002137.0785425227</v>
      </c>
      <c r="AU1183" s="2">
        <f t="shared" ca="1" si="1161"/>
        <v>1072875.093787703</v>
      </c>
      <c r="AV1183" s="2">
        <f t="shared" ca="1" si="1162"/>
        <v>2188949.5196537967</v>
      </c>
      <c r="AW1183" s="2">
        <f t="shared" ca="1" si="1163"/>
        <v>2452678.4751343247</v>
      </c>
      <c r="AX1183" s="2">
        <f t="shared" ca="1" si="1164"/>
        <v>2636633.1237490973</v>
      </c>
      <c r="AY1183" s="2">
        <f t="shared" ca="1" si="1165"/>
        <v>2828587.8936066502</v>
      </c>
      <c r="AZ1183" s="2">
        <f t="shared" ca="1" si="1166"/>
        <v>3028890.7070910144</v>
      </c>
      <c r="BA1183" s="2">
        <f t="shared" ca="1" si="1167"/>
        <v>55836448.016226903</v>
      </c>
      <c r="BB1183" s="2">
        <f t="shared" ca="1" si="1168"/>
        <v>1116728.9603245382</v>
      </c>
      <c r="BC1183" s="2">
        <f t="shared" ca="1" si="1169"/>
        <v>28035462.09807241</v>
      </c>
      <c r="BD1183" s="2">
        <f t="shared" ca="1" si="1170"/>
        <v>-19401348.678462885</v>
      </c>
      <c r="BE1183" s="2">
        <f t="shared" ca="1" si="1171"/>
        <v>2188949.5196537967</v>
      </c>
      <c r="BF1183" s="2">
        <f t="shared" ca="1" si="1172"/>
        <v>2452678.4751343247</v>
      </c>
      <c r="BG1183" s="2">
        <f t="shared" ca="1" si="1173"/>
        <v>2636633.1237490973</v>
      </c>
      <c r="BH1183" s="2">
        <f t="shared" ca="1" si="1174"/>
        <v>2828587.8936066502</v>
      </c>
      <c r="BI1183" s="2">
        <f t="shared" ca="1" si="1175"/>
        <v>31064352.805163424</v>
      </c>
      <c r="BJ1183" s="2">
        <f t="shared" ca="1" si="1176"/>
        <v>0.19241266224102582</v>
      </c>
      <c r="BK1183" s="2">
        <f t="shared" ca="1" si="1177"/>
        <v>5809400.9576183483</v>
      </c>
    </row>
    <row r="1184" spans="1:63" x14ac:dyDescent="0.3">
      <c r="A1184" s="2">
        <v>1183</v>
      </c>
      <c r="B1184" s="2">
        <f t="shared" ca="1" si="1116"/>
        <v>0.1036564966644864</v>
      </c>
      <c r="C1184" s="2">
        <f t="shared" ca="1" si="1117"/>
        <v>6.4553163661993418</v>
      </c>
      <c r="D1184" s="2">
        <f t="shared" ca="1" si="1118"/>
        <v>0.66071283394688995</v>
      </c>
      <c r="E1184" s="2">
        <f t="shared" ca="1" si="1119"/>
        <v>7.6762437665751957</v>
      </c>
      <c r="F1184" s="2">
        <f t="shared" ca="1" si="1120"/>
        <v>0.29084651781365534</v>
      </c>
      <c r="G1184" s="2">
        <f t="shared" ca="1" si="1121"/>
        <v>2.3472597757537562E-2</v>
      </c>
      <c r="H1184" s="2">
        <f t="shared" ca="1" si="1122"/>
        <v>2.3472597757537562E-2</v>
      </c>
      <c r="I1184" s="2">
        <f t="shared" ca="1" si="1123"/>
        <v>6.3871413798558208E-2</v>
      </c>
      <c r="J1184" s="2">
        <f t="shared" ca="1" si="1124"/>
        <v>2.3846826625083138E-3</v>
      </c>
      <c r="K1184" s="2">
        <f t="shared" ca="1" si="1125"/>
        <v>2.3846826625083138E-3</v>
      </c>
      <c r="L1184" s="2">
        <f t="shared" ca="1" si="1126"/>
        <v>0.66221468822204055</v>
      </c>
      <c r="M1184" s="2">
        <f t="shared" ca="1" si="1127"/>
        <v>8.3702999522282245E-3</v>
      </c>
      <c r="N1184" s="2">
        <f t="shared" ca="1" si="1128"/>
        <v>8.3702999522282245E-3</v>
      </c>
      <c r="O1184" s="2">
        <f t="shared" si="1129"/>
        <v>6000000</v>
      </c>
      <c r="P1184" s="2">
        <f t="shared" ca="1" si="1130"/>
        <v>38731898.197196051</v>
      </c>
      <c r="Q1184" s="2">
        <f t="shared" ca="1" si="1131"/>
        <v>968297.45492990129</v>
      </c>
      <c r="R1184" s="2">
        <f t="shared" ca="1" si="1132"/>
        <v>23239138.918317631</v>
      </c>
      <c r="S1184" s="2">
        <f t="shared" ca="1" si="1133"/>
        <v>15492759.278878421</v>
      </c>
      <c r="T1184" s="2">
        <f t="shared" ca="1" si="1134"/>
        <v>50418514.997611411</v>
      </c>
      <c r="U1184" s="2">
        <f t="shared" ca="1" si="1135"/>
        <v>51601968.51968272</v>
      </c>
      <c r="V1184" s="2">
        <f t="shared" ca="1" si="1136"/>
        <v>52813200.770242356</v>
      </c>
      <c r="W1184" s="2">
        <f t="shared" ca="1" si="1137"/>
        <v>54052863.788210332</v>
      </c>
      <c r="X1184" s="2">
        <f t="shared" ca="1" si="1138"/>
        <v>55321624.917553969</v>
      </c>
      <c r="Y1184" s="2">
        <f t="shared" ca="1" si="1139"/>
        <v>0.12119234133125416</v>
      </c>
      <c r="Z1184" s="2">
        <f t="shared" ca="1" si="1140"/>
        <v>0.12166927786375581</v>
      </c>
      <c r="AA1184" s="2">
        <f t="shared" ca="1" si="1141"/>
        <v>6110337.8790054787</v>
      </c>
      <c r="AB1184" s="2">
        <f t="shared" ca="1" si="1142"/>
        <v>6278374.2461380567</v>
      </c>
      <c r="AC1184" s="2">
        <f t="shared" ca="1" si="1143"/>
        <v>6425743.9993889397</v>
      </c>
      <c r="AD1184" s="2">
        <f t="shared" ca="1" si="1144"/>
        <v>6576572.903579507</v>
      </c>
      <c r="AE1184" s="2">
        <f t="shared" ca="1" si="1145"/>
        <v>6730942.153968351</v>
      </c>
      <c r="AF1184" s="2">
        <f t="shared" ca="1" si="1146"/>
        <v>1008370.2999522282</v>
      </c>
      <c r="AG1184" s="2">
        <f t="shared" ca="1" si="1147"/>
        <v>1032039.3703936544</v>
      </c>
      <c r="AH1184" s="2">
        <f t="shared" ca="1" si="1148"/>
        <v>1056264.0154048472</v>
      </c>
      <c r="AI1184" s="2">
        <f t="shared" ca="1" si="1149"/>
        <v>1081057.2757642067</v>
      </c>
      <c r="AJ1184" s="2">
        <f t="shared" ca="1" si="1150"/>
        <v>1106432.4983510794</v>
      </c>
      <c r="AK1184" s="2">
        <f t="shared" ca="1" si="1151"/>
        <v>0</v>
      </c>
      <c r="AL1184" s="2">
        <f t="shared" ca="1" si="1152"/>
        <v>11834.535220713095</v>
      </c>
      <c r="AM1184" s="2">
        <f t="shared" ca="1" si="1153"/>
        <v>12112.322505596354</v>
      </c>
      <c r="AN1184" s="2">
        <f t="shared" ca="1" si="1154"/>
        <v>12396.630179679767</v>
      </c>
      <c r="AO1184" s="2">
        <f t="shared" ca="1" si="1155"/>
        <v>12687.611293436363</v>
      </c>
      <c r="AP1184" s="2">
        <f t="shared" ca="1" si="1156"/>
        <v>2091522.5026485866</v>
      </c>
      <c r="AQ1184" s="2">
        <f t="shared" ca="1" si="1157"/>
        <v>782715.71986521257</v>
      </c>
      <c r="AR1184" s="2">
        <f t="shared" ca="1" si="1158"/>
        <v>820251.21700491221</v>
      </c>
      <c r="AS1184" s="2">
        <f t="shared" ca="1" si="1159"/>
        <v>852268.94514723157</v>
      </c>
      <c r="AT1184" s="2">
        <f t="shared" ca="1" si="1160"/>
        <v>885038.21254334575</v>
      </c>
      <c r="AU1184" s="2">
        <f t="shared" ca="1" si="1161"/>
        <v>918576.65977185813</v>
      </c>
      <c r="AV1184" s="2">
        <f t="shared" ca="1" si="1162"/>
        <v>2227729.3565394515</v>
      </c>
      <c r="AW1184" s="2">
        <f t="shared" ca="1" si="1163"/>
        <v>2322726.6208701907</v>
      </c>
      <c r="AX1184" s="2">
        <f t="shared" ca="1" si="1164"/>
        <v>2413576.2136826785</v>
      </c>
      <c r="AY1184" s="2">
        <f t="shared" ca="1" si="1165"/>
        <v>2506558.2824436883</v>
      </c>
      <c r="AZ1184" s="2">
        <f t="shared" ca="1" si="1166"/>
        <v>2601722.8819033913</v>
      </c>
      <c r="BA1184" s="2">
        <f t="shared" ca="1" si="1167"/>
        <v>51668352.752577774</v>
      </c>
      <c r="BB1184" s="2">
        <f t="shared" ca="1" si="1168"/>
        <v>1033367.0550515555</v>
      </c>
      <c r="BC1184" s="2">
        <f t="shared" ca="1" si="1169"/>
        <v>27395846.779208589</v>
      </c>
      <c r="BD1184" s="2">
        <f t="shared" ca="1" si="1170"/>
        <v>-16961056.733808324</v>
      </c>
      <c r="BE1184" s="2">
        <f t="shared" ca="1" si="1171"/>
        <v>2227729.3565394515</v>
      </c>
      <c r="BF1184" s="2">
        <f t="shared" ca="1" si="1172"/>
        <v>2322726.6208701907</v>
      </c>
      <c r="BG1184" s="2">
        <f t="shared" ca="1" si="1173"/>
        <v>2413576.2136826785</v>
      </c>
      <c r="BH1184" s="2">
        <f t="shared" ca="1" si="1174"/>
        <v>2506558.2824436883</v>
      </c>
      <c r="BI1184" s="2">
        <f t="shared" ca="1" si="1175"/>
        <v>29997569.661111981</v>
      </c>
      <c r="BJ1184" s="2">
        <f t="shared" ca="1" si="1176"/>
        <v>0.21973854013329897</v>
      </c>
      <c r="BK1184" s="2">
        <f t="shared" ca="1" si="1177"/>
        <v>7211976.3864773102</v>
      </c>
    </row>
    <row r="1185" spans="1:63" x14ac:dyDescent="0.3">
      <c r="A1185" s="2">
        <v>1184</v>
      </c>
      <c r="B1185" s="2">
        <f t="shared" ca="1" si="1116"/>
        <v>0.34932065763587217</v>
      </c>
      <c r="C1185" s="2">
        <f t="shared" ca="1" si="1117"/>
        <v>6.8358476627183595</v>
      </c>
      <c r="D1185" s="2">
        <f t="shared" ca="1" si="1118"/>
        <v>8.6953205637168685E-2</v>
      </c>
      <c r="E1185" s="2">
        <f t="shared" ca="1" si="1119"/>
        <v>6.9170208763051768</v>
      </c>
      <c r="F1185" s="2">
        <f t="shared" ca="1" si="1120"/>
        <v>0.64725229569801779</v>
      </c>
      <c r="G1185" s="2">
        <f t="shared" ca="1" si="1121"/>
        <v>5.133738257688393E-2</v>
      </c>
      <c r="H1185" s="2">
        <f t="shared" ca="1" si="1122"/>
        <v>5.133738257688393E-2</v>
      </c>
      <c r="I1185" s="2">
        <f t="shared" ca="1" si="1123"/>
        <v>0.53094377334210574</v>
      </c>
      <c r="J1185" s="2">
        <f t="shared" ca="1" si="1124"/>
        <v>1.0388212380415976E-2</v>
      </c>
      <c r="K1185" s="2">
        <f t="shared" ca="1" si="1125"/>
        <v>1.0388212380415976E-2</v>
      </c>
      <c r="L1185" s="2">
        <f t="shared" ca="1" si="1126"/>
        <v>0.92209652235633777</v>
      </c>
      <c r="M1185" s="2">
        <f t="shared" ca="1" si="1127"/>
        <v>2.8386316857894261E-2</v>
      </c>
      <c r="N1185" s="2">
        <f t="shared" ca="1" si="1128"/>
        <v>2.8386316857894261E-2</v>
      </c>
      <c r="O1185" s="2">
        <f t="shared" si="1129"/>
        <v>6000000</v>
      </c>
      <c r="P1185" s="2">
        <f t="shared" ca="1" si="1130"/>
        <v>41015085.976310156</v>
      </c>
      <c r="Q1185" s="2">
        <f t="shared" ca="1" si="1131"/>
        <v>1025377.149407754</v>
      </c>
      <c r="R1185" s="2">
        <f t="shared" ca="1" si="1132"/>
        <v>24609051.585786093</v>
      </c>
      <c r="S1185" s="2">
        <f t="shared" ca="1" si="1133"/>
        <v>16406034.390524063</v>
      </c>
      <c r="T1185" s="2">
        <f t="shared" ca="1" si="1134"/>
        <v>51419315.842894711</v>
      </c>
      <c r="U1185" s="2">
        <f t="shared" ca="1" si="1135"/>
        <v>54059048.932163022</v>
      </c>
      <c r="V1185" s="2">
        <f t="shared" ca="1" si="1136"/>
        <v>56834299.008935966</v>
      </c>
      <c r="W1185" s="2">
        <f t="shared" ca="1" si="1137"/>
        <v>59752023.160646729</v>
      </c>
      <c r="X1185" s="2">
        <f t="shared" ca="1" si="1138"/>
        <v>62819535.633387677</v>
      </c>
      <c r="Y1185" s="2">
        <f t="shared" ca="1" si="1139"/>
        <v>0.12519410619020799</v>
      </c>
      <c r="Z1185" s="2">
        <f t="shared" ca="1" si="1140"/>
        <v>0.12727174866629118</v>
      </c>
      <c r="AA1185" s="2">
        <f t="shared" ca="1" si="1141"/>
        <v>6437395.2878632043</v>
      </c>
      <c r="AB1185" s="2">
        <f t="shared" ca="1" si="1142"/>
        <v>6880189.688832989</v>
      </c>
      <c r="AC1185" s="2">
        <f t="shared" ca="1" si="1143"/>
        <v>7233400.6190901399</v>
      </c>
      <c r="AD1185" s="2">
        <f t="shared" ca="1" si="1144"/>
        <v>7604744.4740042398</v>
      </c>
      <c r="AE1185" s="2">
        <f t="shared" ca="1" si="1145"/>
        <v>7995152.1504656393</v>
      </c>
      <c r="AF1185" s="2">
        <f t="shared" ca="1" si="1146"/>
        <v>1028386.3168578942</v>
      </c>
      <c r="AG1185" s="2">
        <f t="shared" ca="1" si="1147"/>
        <v>1081180.9786432604</v>
      </c>
      <c r="AH1185" s="2">
        <f t="shared" ca="1" si="1148"/>
        <v>1136685.9801787194</v>
      </c>
      <c r="AI1185" s="2">
        <f t="shared" ca="1" si="1149"/>
        <v>1195040.4632129346</v>
      </c>
      <c r="AJ1185" s="2">
        <f t="shared" ca="1" si="1150"/>
        <v>1256390.7126677537</v>
      </c>
      <c r="AK1185" s="2">
        <f t="shared" ca="1" si="1151"/>
        <v>0</v>
      </c>
      <c r="AL1185" s="2">
        <f t="shared" ca="1" si="1152"/>
        <v>26397.33089268312</v>
      </c>
      <c r="AM1185" s="2">
        <f t="shared" ca="1" si="1153"/>
        <v>27752.500767729431</v>
      </c>
      <c r="AN1185" s="2">
        <f t="shared" ca="1" si="1154"/>
        <v>29177.241517107635</v>
      </c>
      <c r="AO1185" s="2">
        <f t="shared" ca="1" si="1155"/>
        <v>30675.124727409482</v>
      </c>
      <c r="AP1185" s="2">
        <f t="shared" ca="1" si="1156"/>
        <v>2214814.6427207482</v>
      </c>
      <c r="AQ1185" s="2">
        <f t="shared" ca="1" si="1157"/>
        <v>830490.52535398619</v>
      </c>
      <c r="AR1185" s="2">
        <f t="shared" ca="1" si="1158"/>
        <v>931890.4575419348</v>
      </c>
      <c r="AS1185" s="2">
        <f t="shared" ca="1" si="1159"/>
        <v>1009293.9990095749</v>
      </c>
      <c r="AT1185" s="2">
        <f t="shared" ca="1" si="1160"/>
        <v>1090671.2356983451</v>
      </c>
      <c r="AU1185" s="2">
        <f t="shared" ca="1" si="1161"/>
        <v>1176226.1667200557</v>
      </c>
      <c r="AV1185" s="2">
        <f t="shared" ca="1" si="1162"/>
        <v>2363703.8029305763</v>
      </c>
      <c r="AW1185" s="2">
        <f t="shared" ca="1" si="1163"/>
        <v>2625906.2790343617</v>
      </c>
      <c r="AX1185" s="2">
        <f t="shared" ca="1" si="1164"/>
        <v>2844853.4964133683</v>
      </c>
      <c r="AY1185" s="2">
        <f t="shared" ca="1" si="1165"/>
        <v>3075040.8908551042</v>
      </c>
      <c r="AZ1185" s="2">
        <f t="shared" ca="1" si="1166"/>
        <v>3317045.5036296719</v>
      </c>
      <c r="BA1185" s="2">
        <f t="shared" ca="1" si="1167"/>
        <v>55302634.334007055</v>
      </c>
      <c r="BB1185" s="2">
        <f t="shared" ca="1" si="1168"/>
        <v>1106052.6866801411</v>
      </c>
      <c r="BC1185" s="2">
        <f t="shared" ca="1" si="1169"/>
        <v>29587530.06154082</v>
      </c>
      <c r="BD1185" s="2">
        <f t="shared" ca="1" si="1170"/>
        <v>-17931411.539931819</v>
      </c>
      <c r="BE1185" s="2">
        <f t="shared" ca="1" si="1171"/>
        <v>2363703.8029305763</v>
      </c>
      <c r="BF1185" s="2">
        <f t="shared" ca="1" si="1172"/>
        <v>2625906.2790343617</v>
      </c>
      <c r="BG1185" s="2">
        <f t="shared" ca="1" si="1173"/>
        <v>2844853.4964133683</v>
      </c>
      <c r="BH1185" s="2">
        <f t="shared" ca="1" si="1174"/>
        <v>3075040.8908551042</v>
      </c>
      <c r="BI1185" s="2">
        <f t="shared" ca="1" si="1175"/>
        <v>32904575.565170493</v>
      </c>
      <c r="BJ1185" s="2">
        <f t="shared" ca="1" si="1176"/>
        <v>0.23481881074850852</v>
      </c>
      <c r="BK1185" s="2">
        <f t="shared" ca="1" si="1177"/>
        <v>8922489.1491245255</v>
      </c>
    </row>
    <row r="1186" spans="1:63" x14ac:dyDescent="0.3">
      <c r="A1186" s="2">
        <v>1185</v>
      </c>
      <c r="B1186" s="2">
        <f t="shared" ca="1" si="1116"/>
        <v>0.6053030110567188</v>
      </c>
      <c r="C1186" s="2">
        <f t="shared" ca="1" si="1117"/>
        <v>7.1115215377475023</v>
      </c>
      <c r="D1186" s="2">
        <f t="shared" ca="1" si="1118"/>
        <v>0.74633495123398819</v>
      </c>
      <c r="E1186" s="2">
        <f t="shared" ca="1" si="1119"/>
        <v>7.7877289156985077</v>
      </c>
      <c r="F1186" s="2">
        <f t="shared" ca="1" si="1120"/>
        <v>0.24018270615361603</v>
      </c>
      <c r="G1186" s="2">
        <f t="shared" ca="1" si="1121"/>
        <v>1.882855103420273E-2</v>
      </c>
      <c r="H1186" s="2">
        <f t="shared" ca="1" si="1122"/>
        <v>1.882855103420273E-2</v>
      </c>
      <c r="I1186" s="2">
        <f t="shared" ca="1" si="1123"/>
        <v>0.91213362321814151</v>
      </c>
      <c r="J1186" s="2">
        <f t="shared" ca="1" si="1124"/>
        <v>1.6770056798814381E-2</v>
      </c>
      <c r="K1186" s="2">
        <f t="shared" ca="1" si="1125"/>
        <v>1.6770056798814381E-2</v>
      </c>
      <c r="L1186" s="2">
        <f t="shared" ca="1" si="1126"/>
        <v>6.5475475481543421E-2</v>
      </c>
      <c r="M1186" s="2">
        <f t="shared" ca="1" si="1127"/>
        <v>-3.0207250069674046E-2</v>
      </c>
      <c r="N1186" s="2">
        <f t="shared" ca="1" si="1128"/>
        <v>-3.0207250069674046E-2</v>
      </c>
      <c r="O1186" s="2">
        <f t="shared" si="1129"/>
        <v>6000000</v>
      </c>
      <c r="P1186" s="2">
        <f t="shared" ca="1" si="1130"/>
        <v>42669129.226485014</v>
      </c>
      <c r="Q1186" s="2">
        <f t="shared" ca="1" si="1131"/>
        <v>1066728.2306621254</v>
      </c>
      <c r="R1186" s="2">
        <f t="shared" ca="1" si="1132"/>
        <v>25601477.535891008</v>
      </c>
      <c r="S1186" s="2">
        <f t="shared" ca="1" si="1133"/>
        <v>17067651.690594006</v>
      </c>
      <c r="T1186" s="2">
        <f t="shared" ca="1" si="1134"/>
        <v>48489637.496516295</v>
      </c>
      <c r="U1186" s="2">
        <f t="shared" ca="1" si="1135"/>
        <v>49402627.110749446</v>
      </c>
      <c r="V1186" s="2">
        <f t="shared" ca="1" si="1136"/>
        <v>50332806.99652788</v>
      </c>
      <c r="W1186" s="2">
        <f t="shared" ca="1" si="1137"/>
        <v>51280500.821756683</v>
      </c>
      <c r="X1186" s="2">
        <f t="shared" ca="1" si="1138"/>
        <v>52246038.348538607</v>
      </c>
      <c r="Y1186" s="2">
        <f t="shared" ca="1" si="1139"/>
        <v>0.12838502839940719</v>
      </c>
      <c r="Z1186" s="2">
        <f t="shared" ca="1" si="1140"/>
        <v>0.13173903975917006</v>
      </c>
      <c r="AA1186" s="2">
        <f t="shared" ca="1" si="1141"/>
        <v>6225343.487067204</v>
      </c>
      <c r="AB1186" s="2">
        <f t="shared" ca="1" si="1142"/>
        <v>6508254.6571504744</v>
      </c>
      <c r="AC1186" s="2">
        <f t="shared" ca="1" si="1143"/>
        <v>6630795.6621062197</v>
      </c>
      <c r="AD1186" s="2">
        <f t="shared" ca="1" si="1144"/>
        <v>6755643.9366275566</v>
      </c>
      <c r="AE1186" s="2">
        <f t="shared" ca="1" si="1145"/>
        <v>6882842.9232572513</v>
      </c>
      <c r="AF1186" s="2">
        <f t="shared" ca="1" si="1146"/>
        <v>969792.7499303259</v>
      </c>
      <c r="AG1186" s="2">
        <f t="shared" ca="1" si="1147"/>
        <v>988052.54221498896</v>
      </c>
      <c r="AH1186" s="2">
        <f t="shared" ca="1" si="1148"/>
        <v>1006656.1399305576</v>
      </c>
      <c r="AI1186" s="2">
        <f t="shared" ca="1" si="1149"/>
        <v>1025610.0164351336</v>
      </c>
      <c r="AJ1186" s="2">
        <f t="shared" ca="1" si="1150"/>
        <v>1044920.7669707722</v>
      </c>
      <c r="AK1186" s="2">
        <f t="shared" ca="1" si="1151"/>
        <v>0</v>
      </c>
      <c r="AL1186" s="2">
        <f t="shared" ca="1" si="1152"/>
        <v>9129.8961423315104</v>
      </c>
      <c r="AM1186" s="2">
        <f t="shared" ca="1" si="1153"/>
        <v>9301.7988577843462</v>
      </c>
      <c r="AN1186" s="2">
        <f t="shared" ca="1" si="1154"/>
        <v>9476.9382522880296</v>
      </c>
      <c r="AO1186" s="2">
        <f t="shared" ca="1" si="1155"/>
        <v>9655.3752678192413</v>
      </c>
      <c r="AP1186" s="2">
        <f t="shared" ca="1" si="1156"/>
        <v>2304132.9782301905</v>
      </c>
      <c r="AQ1186" s="2">
        <f t="shared" ca="1" si="1157"/>
        <v>767368.61731573881</v>
      </c>
      <c r="AR1186" s="2">
        <f t="shared" ca="1" si="1158"/>
        <v>836177.97554337676</v>
      </c>
      <c r="AS1186" s="2">
        <f t="shared" ca="1" si="1159"/>
        <v>863201.70142582268</v>
      </c>
      <c r="AT1186" s="2">
        <f t="shared" ca="1" si="1160"/>
        <v>890734.24491018057</v>
      </c>
      <c r="AU1186" s="2">
        <f t="shared" ca="1" si="1161"/>
        <v>918785.18629463506</v>
      </c>
      <c r="AV1186" s="2">
        <f t="shared" ca="1" si="1162"/>
        <v>2184049.1415909491</v>
      </c>
      <c r="AW1186" s="2">
        <f t="shared" ca="1" si="1163"/>
        <v>2370761.2650195863</v>
      </c>
      <c r="AX1186" s="2">
        <f t="shared" ca="1" si="1164"/>
        <v>2447503.0436618654</v>
      </c>
      <c r="AY1186" s="2">
        <f t="shared" ca="1" si="1165"/>
        <v>2525689.7587997643</v>
      </c>
      <c r="AZ1186" s="2">
        <f t="shared" ca="1" si="1166"/>
        <v>2605348.6164938342</v>
      </c>
      <c r="BA1186" s="2">
        <f t="shared" ca="1" si="1167"/>
        <v>53601714.85566134</v>
      </c>
      <c r="BB1186" s="2">
        <f t="shared" ca="1" si="1168"/>
        <v>1072034.2971132267</v>
      </c>
      <c r="BC1186" s="2">
        <f t="shared" ca="1" si="1169"/>
        <v>26928203.022657104</v>
      </c>
      <c r="BD1186" s="2">
        <f t="shared" ca="1" si="1170"/>
        <v>-18634379.921256132</v>
      </c>
      <c r="BE1186" s="2">
        <f t="shared" ca="1" si="1171"/>
        <v>2184049.1415909491</v>
      </c>
      <c r="BF1186" s="2">
        <f t="shared" ca="1" si="1172"/>
        <v>2370761.2650195863</v>
      </c>
      <c r="BG1186" s="2">
        <f t="shared" ca="1" si="1173"/>
        <v>2447503.0436618654</v>
      </c>
      <c r="BH1186" s="2">
        <f t="shared" ca="1" si="1174"/>
        <v>2525689.7587997643</v>
      </c>
      <c r="BI1186" s="2">
        <f t="shared" ca="1" si="1175"/>
        <v>29533551.63915094</v>
      </c>
      <c r="BJ1186" s="2">
        <f t="shared" ca="1" si="1176"/>
        <v>0.18942474932199116</v>
      </c>
      <c r="BK1186" s="2">
        <f t="shared" ca="1" si="1177"/>
        <v>5310956.4906802885</v>
      </c>
    </row>
    <row r="1187" spans="1:63" x14ac:dyDescent="0.3">
      <c r="A1187" s="2">
        <v>1186</v>
      </c>
      <c r="B1187" s="2">
        <f t="shared" ca="1" si="1116"/>
        <v>0.403305944028027</v>
      </c>
      <c r="C1187" s="2">
        <f t="shared" ca="1" si="1117"/>
        <v>6.898115743128943</v>
      </c>
      <c r="D1187" s="2">
        <f t="shared" ca="1" si="1118"/>
        <v>0.31548682349685209</v>
      </c>
      <c r="E1187" s="2">
        <f t="shared" ca="1" si="1119"/>
        <v>7.294338496482264</v>
      </c>
      <c r="F1187" s="2">
        <f t="shared" ca="1" si="1120"/>
        <v>0.83527688069707418</v>
      </c>
      <c r="G1187" s="2">
        <f t="shared" ca="1" si="1121"/>
        <v>6.9256896705176305E-2</v>
      </c>
      <c r="H1187" s="2">
        <f t="shared" ca="1" si="1122"/>
        <v>6.9256896705176305E-2</v>
      </c>
      <c r="I1187" s="2">
        <f t="shared" ca="1" si="1123"/>
        <v>0.46674345632595315</v>
      </c>
      <c r="J1187" s="2">
        <f t="shared" ca="1" si="1124"/>
        <v>9.5827071115272833E-3</v>
      </c>
      <c r="K1187" s="2">
        <f t="shared" ca="1" si="1125"/>
        <v>9.5827071115272833E-3</v>
      </c>
      <c r="L1187" s="2">
        <f t="shared" ca="1" si="1126"/>
        <v>4.965399548813354E-2</v>
      </c>
      <c r="M1187" s="2">
        <f t="shared" ca="1" si="1127"/>
        <v>-3.2964355460791614E-2</v>
      </c>
      <c r="N1187" s="2">
        <f t="shared" ca="1" si="1128"/>
        <v>-3.2964355460791614E-2</v>
      </c>
      <c r="O1187" s="2">
        <f t="shared" si="1129"/>
        <v>6000000</v>
      </c>
      <c r="P1187" s="2">
        <f t="shared" ca="1" si="1130"/>
        <v>41388694.458773658</v>
      </c>
      <c r="Q1187" s="2">
        <f t="shared" ca="1" si="1131"/>
        <v>1034717.3614693414</v>
      </c>
      <c r="R1187" s="2">
        <f t="shared" ca="1" si="1132"/>
        <v>24833216.675264195</v>
      </c>
      <c r="S1187" s="2">
        <f t="shared" ca="1" si="1133"/>
        <v>16555477.783509463</v>
      </c>
      <c r="T1187" s="2">
        <f t="shared" ca="1" si="1134"/>
        <v>48351782.226960421</v>
      </c>
      <c r="U1187" s="2">
        <f t="shared" ca="1" si="1135"/>
        <v>51700476.614164196</v>
      </c>
      <c r="V1187" s="2">
        <f t="shared" ca="1" si="1136"/>
        <v>55281091.182639748</v>
      </c>
      <c r="W1187" s="2">
        <f t="shared" ca="1" si="1137"/>
        <v>59109688.004425265</v>
      </c>
      <c r="X1187" s="2">
        <f t="shared" ca="1" si="1138"/>
        <v>63203441.560822949</v>
      </c>
      <c r="Y1187" s="2">
        <f t="shared" ca="1" si="1139"/>
        <v>0.12479135355576364</v>
      </c>
      <c r="Z1187" s="2">
        <f t="shared" ca="1" si="1140"/>
        <v>0.12670789497806909</v>
      </c>
      <c r="AA1187" s="2">
        <f t="shared" ca="1" si="1141"/>
        <v>6033884.3509359062</v>
      </c>
      <c r="AB1187" s="2">
        <f t="shared" ca="1" si="1142"/>
        <v>6550858.5611436339</v>
      </c>
      <c r="AC1187" s="2">
        <f t="shared" ca="1" si="1143"/>
        <v>7004550.6958429785</v>
      </c>
      <c r="AD1187" s="2">
        <f t="shared" ca="1" si="1144"/>
        <v>7489664.1398511464</v>
      </c>
      <c r="AE1187" s="2">
        <f t="shared" ca="1" si="1145"/>
        <v>8008375.0355412811</v>
      </c>
      <c r="AF1187" s="2">
        <f t="shared" ca="1" si="1146"/>
        <v>967035.64453920838</v>
      </c>
      <c r="AG1187" s="2">
        <f t="shared" ca="1" si="1147"/>
        <v>1034009.5322832839</v>
      </c>
      <c r="AH1187" s="2">
        <f t="shared" ca="1" si="1148"/>
        <v>1105621.8236527951</v>
      </c>
      <c r="AI1187" s="2">
        <f t="shared" ca="1" si="1149"/>
        <v>1182193.7600885052</v>
      </c>
      <c r="AJ1187" s="2">
        <f t="shared" ca="1" si="1150"/>
        <v>1264068.8312164589</v>
      </c>
      <c r="AK1187" s="2">
        <f t="shared" ca="1" si="1151"/>
        <v>0</v>
      </c>
      <c r="AL1187" s="2">
        <f t="shared" ca="1" si="1152"/>
        <v>33486.943872037751</v>
      </c>
      <c r="AM1187" s="2">
        <f t="shared" ca="1" si="1153"/>
        <v>35806.145684755516</v>
      </c>
      <c r="AN1187" s="2">
        <f t="shared" ca="1" si="1154"/>
        <v>38285.968217855174</v>
      </c>
      <c r="AO1187" s="2">
        <f t="shared" ca="1" si="1155"/>
        <v>40937.535563976839</v>
      </c>
      <c r="AP1187" s="2">
        <f t="shared" ca="1" si="1156"/>
        <v>2234989.5007737773</v>
      </c>
      <c r="AQ1187" s="2">
        <f t="shared" ca="1" si="1157"/>
        <v>736283.39346195944</v>
      </c>
      <c r="AR1187" s="2">
        <f t="shared" ca="1" si="1158"/>
        <v>853283.47730250901</v>
      </c>
      <c r="AS1187" s="2">
        <f t="shared" ca="1" si="1159"/>
        <v>952624.23656826548</v>
      </c>
      <c r="AT1187" s="2">
        <f t="shared" ca="1" si="1160"/>
        <v>1058845.0285371046</v>
      </c>
      <c r="AU1187" s="2">
        <f t="shared" ca="1" si="1161"/>
        <v>1172422.3429232717</v>
      </c>
      <c r="AV1187" s="2">
        <f t="shared" ca="1" si="1162"/>
        <v>2095575.8121609613</v>
      </c>
      <c r="AW1187" s="2">
        <f t="shared" ca="1" si="1163"/>
        <v>2395089.1069120262</v>
      </c>
      <c r="AX1187" s="2">
        <f t="shared" ca="1" si="1164"/>
        <v>2675508.9891633848</v>
      </c>
      <c r="AY1187" s="2">
        <f t="shared" ca="1" si="1165"/>
        <v>2975349.8822339037</v>
      </c>
      <c r="AZ1187" s="2">
        <f t="shared" ca="1" si="1166"/>
        <v>3295956.8250637967</v>
      </c>
      <c r="BA1187" s="2">
        <f t="shared" ca="1" si="1167"/>
        <v>58415798.316016287</v>
      </c>
      <c r="BB1187" s="2">
        <f t="shared" ca="1" si="1168"/>
        <v>1168315.9663203259</v>
      </c>
      <c r="BC1187" s="2">
        <f t="shared" ca="1" si="1169"/>
        <v>32414265.674431767</v>
      </c>
      <c r="BD1187" s="2">
        <f t="shared" ca="1" si="1170"/>
        <v>-18090195.144978806</v>
      </c>
      <c r="BE1187" s="2">
        <f t="shared" ca="1" si="1171"/>
        <v>2095575.8121609613</v>
      </c>
      <c r="BF1187" s="2">
        <f t="shared" ca="1" si="1172"/>
        <v>2395089.1069120262</v>
      </c>
      <c r="BG1187" s="2">
        <f t="shared" ca="1" si="1173"/>
        <v>2675508.9891633848</v>
      </c>
      <c r="BH1187" s="2">
        <f t="shared" ca="1" si="1174"/>
        <v>2975349.8822339037</v>
      </c>
      <c r="BI1187" s="2">
        <f t="shared" ca="1" si="1175"/>
        <v>35710222.499495566</v>
      </c>
      <c r="BJ1187" s="2">
        <f t="shared" ca="1" si="1176"/>
        <v>0.24000436242044909</v>
      </c>
      <c r="BK1187" s="2">
        <f t="shared" ca="1" si="1177"/>
        <v>9748407.420500569</v>
      </c>
    </row>
    <row r="1188" spans="1:63" x14ac:dyDescent="0.3">
      <c r="A1188" s="2">
        <v>1187</v>
      </c>
      <c r="B1188" s="2">
        <f t="shared" ca="1" si="1116"/>
        <v>0.16378954229811282</v>
      </c>
      <c r="C1188" s="2">
        <f t="shared" ca="1" si="1117"/>
        <v>6.5723452494746732</v>
      </c>
      <c r="D1188" s="2">
        <f t="shared" ca="1" si="1118"/>
        <v>0.97367915534408289</v>
      </c>
      <c r="E1188" s="2">
        <f t="shared" ca="1" si="1119"/>
        <v>8.2705622321590582</v>
      </c>
      <c r="F1188" s="2">
        <f t="shared" ca="1" si="1120"/>
        <v>0.36683646254713365</v>
      </c>
      <c r="G1188" s="2">
        <f t="shared" ca="1" si="1121"/>
        <v>2.9792685564762209E-2</v>
      </c>
      <c r="H1188" s="2">
        <f t="shared" ca="1" si="1122"/>
        <v>2.9792685564762209E-2</v>
      </c>
      <c r="I1188" s="2">
        <f t="shared" ca="1" si="1123"/>
        <v>0.25192033834897898</v>
      </c>
      <c r="J1188" s="2">
        <f t="shared" ca="1" si="1124"/>
        <v>6.6577052486846509E-3</v>
      </c>
      <c r="K1188" s="2">
        <f t="shared" ca="1" si="1125"/>
        <v>6.6577052486846509E-3</v>
      </c>
      <c r="L1188" s="2">
        <f t="shared" ca="1" si="1126"/>
        <v>0.82992050920225924</v>
      </c>
      <c r="M1188" s="2">
        <f t="shared" ca="1" si="1127"/>
        <v>1.9077023476102638E-2</v>
      </c>
      <c r="N1188" s="2">
        <f t="shared" ca="1" si="1128"/>
        <v>1.9077023476102638E-2</v>
      </c>
      <c r="O1188" s="2">
        <f t="shared" si="1129"/>
        <v>6000000</v>
      </c>
      <c r="P1188" s="2">
        <f t="shared" ca="1" si="1130"/>
        <v>39434071.496848039</v>
      </c>
      <c r="Q1188" s="2">
        <f t="shared" ca="1" si="1131"/>
        <v>985851.78742120101</v>
      </c>
      <c r="R1188" s="2">
        <f t="shared" ca="1" si="1132"/>
        <v>23660442.898108821</v>
      </c>
      <c r="S1188" s="2">
        <f t="shared" ca="1" si="1133"/>
        <v>15773628.598739216</v>
      </c>
      <c r="T1188" s="2">
        <f t="shared" ca="1" si="1134"/>
        <v>50953851.173805133</v>
      </c>
      <c r="U1188" s="2">
        <f t="shared" ca="1" si="1135"/>
        <v>52471903.240139991</v>
      </c>
      <c r="V1188" s="2">
        <f t="shared" ca="1" si="1136"/>
        <v>54035182.154358104</v>
      </c>
      <c r="W1188" s="2">
        <f t="shared" ca="1" si="1137"/>
        <v>55645035.345717542</v>
      </c>
      <c r="X1188" s="2">
        <f t="shared" ca="1" si="1138"/>
        <v>57302850.387012579</v>
      </c>
      <c r="Y1188" s="2">
        <f t="shared" ca="1" si="1139"/>
        <v>0.12332885262434232</v>
      </c>
      <c r="Z1188" s="2">
        <f t="shared" ca="1" si="1140"/>
        <v>0.12466039367407925</v>
      </c>
      <c r="AA1188" s="2">
        <f t="shared" ca="1" si="1141"/>
        <v>6284080.0020568846</v>
      </c>
      <c r="AB1188" s="2">
        <f t="shared" ca="1" si="1142"/>
        <v>6541168.1147440458</v>
      </c>
      <c r="AC1188" s="2">
        <f t="shared" ca="1" si="1143"/>
        <v>6736047.0796128623</v>
      </c>
      <c r="AD1188" s="2">
        <f t="shared" ca="1" si="1144"/>
        <v>6936732.0122052031</v>
      </c>
      <c r="AE1188" s="2">
        <f t="shared" ca="1" si="1145"/>
        <v>7143395.8878918523</v>
      </c>
      <c r="AF1188" s="2">
        <f t="shared" ca="1" si="1146"/>
        <v>1019077.0234761026</v>
      </c>
      <c r="AG1188" s="2">
        <f t="shared" ca="1" si="1147"/>
        <v>1049438.0648027998</v>
      </c>
      <c r="AH1188" s="2">
        <f t="shared" ca="1" si="1148"/>
        <v>1080703.6430871622</v>
      </c>
      <c r="AI1188" s="2">
        <f t="shared" ca="1" si="1149"/>
        <v>1112900.7069143509</v>
      </c>
      <c r="AJ1188" s="2">
        <f t="shared" ca="1" si="1150"/>
        <v>1146057.0077402515</v>
      </c>
      <c r="AK1188" s="2">
        <f t="shared" ca="1" si="1151"/>
        <v>0</v>
      </c>
      <c r="AL1188" s="2">
        <f t="shared" ca="1" si="1152"/>
        <v>15180.520663348585</v>
      </c>
      <c r="AM1188" s="2">
        <f t="shared" ca="1" si="1153"/>
        <v>15632.789142181129</v>
      </c>
      <c r="AN1188" s="2">
        <f t="shared" ca="1" si="1154"/>
        <v>16098.531913594381</v>
      </c>
      <c r="AO1188" s="2">
        <f t="shared" ca="1" si="1155"/>
        <v>16578.150412950366</v>
      </c>
      <c r="AP1188" s="2">
        <f t="shared" ca="1" si="1156"/>
        <v>2129439.8608297938</v>
      </c>
      <c r="AQ1188" s="2">
        <f t="shared" ca="1" si="1157"/>
        <v>815246.41061525699</v>
      </c>
      <c r="AR1188" s="2">
        <f t="shared" ca="1" si="1158"/>
        <v>874195.44916897744</v>
      </c>
      <c r="AS1188" s="2">
        <f t="shared" ca="1" si="1159"/>
        <v>916734.92968093581</v>
      </c>
      <c r="AT1188" s="2">
        <f t="shared" ca="1" si="1160"/>
        <v>960541.77555987507</v>
      </c>
      <c r="AU1188" s="2">
        <f t="shared" ca="1" si="1161"/>
        <v>1005653.7450236698</v>
      </c>
      <c r="AV1188" s="2">
        <f t="shared" ca="1" si="1162"/>
        <v>2320316.7071357314</v>
      </c>
      <c r="AW1188" s="2">
        <f t="shared" ca="1" si="1163"/>
        <v>2472914.2192791253</v>
      </c>
      <c r="AX1188" s="2">
        <f t="shared" ca="1" si="1164"/>
        <v>2593535.8568727896</v>
      </c>
      <c r="AY1188" s="2">
        <f t="shared" ca="1" si="1165"/>
        <v>2717751.1369875884</v>
      </c>
      <c r="AZ1188" s="2">
        <f t="shared" ca="1" si="1166"/>
        <v>2845667.1238851864</v>
      </c>
      <c r="BA1188" s="2">
        <f t="shared" ca="1" si="1167"/>
        <v>59079900.239758678</v>
      </c>
      <c r="BB1188" s="2">
        <f t="shared" ca="1" si="1168"/>
        <v>1181598.0047951736</v>
      </c>
      <c r="BC1188" s="2">
        <f t="shared" ca="1" si="1169"/>
        <v>34237859.336854689</v>
      </c>
      <c r="BD1188" s="2">
        <f t="shared" ca="1" si="1170"/>
        <v>-17259480.386160418</v>
      </c>
      <c r="BE1188" s="2">
        <f t="shared" ca="1" si="1171"/>
        <v>2320316.7071357314</v>
      </c>
      <c r="BF1188" s="2">
        <f t="shared" ca="1" si="1172"/>
        <v>2472914.2192791253</v>
      </c>
      <c r="BG1188" s="2">
        <f t="shared" ca="1" si="1173"/>
        <v>2593535.8568727896</v>
      </c>
      <c r="BH1188" s="2">
        <f t="shared" ca="1" si="1174"/>
        <v>2717751.1369875884</v>
      </c>
      <c r="BI1188" s="2">
        <f t="shared" ca="1" si="1175"/>
        <v>37083526.460739873</v>
      </c>
      <c r="BJ1188" s="2">
        <f t="shared" ca="1" si="1176"/>
        <v>0.2633962760811539</v>
      </c>
      <c r="BK1188" s="2">
        <f t="shared" ca="1" si="1177"/>
        <v>11399019.428468537</v>
      </c>
    </row>
    <row r="1189" spans="1:63" x14ac:dyDescent="0.3">
      <c r="A1189" s="2">
        <v>1188</v>
      </c>
      <c r="B1189" s="2">
        <f t="shared" ca="1" si="1116"/>
        <v>0.77988371890318464</v>
      </c>
      <c r="C1189" s="2">
        <f t="shared" ca="1" si="1117"/>
        <v>7.3364997647373205</v>
      </c>
      <c r="D1189" s="2">
        <f t="shared" ca="1" si="1118"/>
        <v>0.58268360727394897</v>
      </c>
      <c r="E1189" s="2">
        <f t="shared" ca="1" si="1119"/>
        <v>7.5864176088320754</v>
      </c>
      <c r="F1189" s="2">
        <f t="shared" ca="1" si="1120"/>
        <v>0.58888314854321866</v>
      </c>
      <c r="G1189" s="2">
        <f t="shared" ca="1" si="1121"/>
        <v>4.6740188750575458E-2</v>
      </c>
      <c r="H1189" s="2">
        <f t="shared" ca="1" si="1122"/>
        <v>4.6740188750575458E-2</v>
      </c>
      <c r="I1189" s="2">
        <f t="shared" ca="1" si="1123"/>
        <v>0.34906251867758054</v>
      </c>
      <c r="J1189" s="2">
        <f t="shared" ca="1" si="1124"/>
        <v>8.0607364600546738E-3</v>
      </c>
      <c r="K1189" s="2">
        <f t="shared" ca="1" si="1125"/>
        <v>8.0607364600546738E-3</v>
      </c>
      <c r="L1189" s="2">
        <f t="shared" ca="1" si="1126"/>
        <v>0.20162700495714803</v>
      </c>
      <c r="M1189" s="2">
        <f t="shared" ca="1" si="1127"/>
        <v>-1.6716476899726537E-2</v>
      </c>
      <c r="N1189" s="2">
        <f t="shared" ca="1" si="1128"/>
        <v>-1.6716476899726537E-2</v>
      </c>
      <c r="O1189" s="2">
        <f t="shared" si="1129"/>
        <v>6000000</v>
      </c>
      <c r="P1189" s="2">
        <f t="shared" ca="1" si="1130"/>
        <v>44018998.588423923</v>
      </c>
      <c r="Q1189" s="2">
        <f t="shared" ca="1" si="1131"/>
        <v>1100474.9647105981</v>
      </c>
      <c r="R1189" s="2">
        <f t="shared" ca="1" si="1132"/>
        <v>26411399.153054353</v>
      </c>
      <c r="S1189" s="2">
        <f t="shared" ca="1" si="1133"/>
        <v>17607599.43536957</v>
      </c>
      <c r="T1189" s="2">
        <f t="shared" ca="1" si="1134"/>
        <v>49164176.155013673</v>
      </c>
      <c r="U1189" s="2">
        <f t="shared" ca="1" si="1135"/>
        <v>51462119.028265551</v>
      </c>
      <c r="V1189" s="2">
        <f t="shared" ca="1" si="1136"/>
        <v>53867468.185151257</v>
      </c>
      <c r="W1189" s="2">
        <f t="shared" ca="1" si="1137"/>
        <v>56385243.815640844</v>
      </c>
      <c r="X1189" s="2">
        <f t="shared" ca="1" si="1138"/>
        <v>59020700.754331112</v>
      </c>
      <c r="Y1189" s="2">
        <f t="shared" ca="1" si="1139"/>
        <v>0.12403036823002733</v>
      </c>
      <c r="Z1189" s="2">
        <f t="shared" ca="1" si="1140"/>
        <v>0.12564251552203826</v>
      </c>
      <c r="AA1189" s="2">
        <f t="shared" ca="1" si="1141"/>
        <v>6097850.8722322751</v>
      </c>
      <c r="AB1189" s="2">
        <f t="shared" ca="1" si="1142"/>
        <v>6465830.0888058348</v>
      </c>
      <c r="AC1189" s="2">
        <f t="shared" ca="1" si="1143"/>
        <v>6768044.2075857688</v>
      </c>
      <c r="AD1189" s="2">
        <f t="shared" ca="1" si="1144"/>
        <v>7084383.8713205662</v>
      </c>
      <c r="AE1189" s="2">
        <f t="shared" ca="1" si="1145"/>
        <v>7415509.3106476218</v>
      </c>
      <c r="AF1189" s="2">
        <f t="shared" ca="1" si="1146"/>
        <v>983283.52310027345</v>
      </c>
      <c r="AG1189" s="2">
        <f t="shared" ca="1" si="1147"/>
        <v>1029242.3805653111</v>
      </c>
      <c r="AH1189" s="2">
        <f t="shared" ca="1" si="1148"/>
        <v>1077349.363703025</v>
      </c>
      <c r="AI1189" s="2">
        <f t="shared" ca="1" si="1149"/>
        <v>1127704.876312817</v>
      </c>
      <c r="AJ1189" s="2">
        <f t="shared" ca="1" si="1150"/>
        <v>1180414.0150866222</v>
      </c>
      <c r="AK1189" s="2">
        <f t="shared" ca="1" si="1151"/>
        <v>0</v>
      </c>
      <c r="AL1189" s="2">
        <f t="shared" ca="1" si="1152"/>
        <v>22979.428732518776</v>
      </c>
      <c r="AM1189" s="2">
        <f t="shared" ca="1" si="1153"/>
        <v>24053.491568857058</v>
      </c>
      <c r="AN1189" s="2">
        <f t="shared" ca="1" si="1154"/>
        <v>25177.75630489588</v>
      </c>
      <c r="AO1189" s="2">
        <f t="shared" ca="1" si="1155"/>
        <v>26354.569386902676</v>
      </c>
      <c r="AP1189" s="2">
        <f t="shared" ca="1" si="1156"/>
        <v>2377025.9237748915</v>
      </c>
      <c r="AQ1189" s="2">
        <f t="shared" ca="1" si="1157"/>
        <v>711760.77059284854</v>
      </c>
      <c r="AR1189" s="2">
        <f t="shared" ca="1" si="1158"/>
        <v>795486.06396106444</v>
      </c>
      <c r="AS1189" s="2">
        <f t="shared" ca="1" si="1159"/>
        <v>861553.91922804143</v>
      </c>
      <c r="AT1189" s="2">
        <f t="shared" ca="1" si="1160"/>
        <v>930709.79852054315</v>
      </c>
      <c r="AU1189" s="2">
        <f t="shared" ca="1" si="1161"/>
        <v>1003098.0366643881</v>
      </c>
      <c r="AV1189" s="2">
        <f t="shared" ca="1" si="1162"/>
        <v>2025780.6547642611</v>
      </c>
      <c r="AW1189" s="2">
        <f t="shared" ca="1" si="1163"/>
        <v>2241096.2917720489</v>
      </c>
      <c r="AX1189" s="2">
        <f t="shared" ca="1" si="1164"/>
        <v>2428061.5093109533</v>
      </c>
      <c r="AY1189" s="2">
        <f t="shared" ca="1" si="1165"/>
        <v>2623765.5164074199</v>
      </c>
      <c r="AZ1189" s="2">
        <f t="shared" ca="1" si="1166"/>
        <v>2828616.7657348178</v>
      </c>
      <c r="BA1189" s="2">
        <f t="shared" ca="1" si="1167"/>
        <v>56257150.412755325</v>
      </c>
      <c r="BB1189" s="2">
        <f t="shared" ca="1" si="1168"/>
        <v>1125143.0082551066</v>
      </c>
      <c r="BC1189" s="2">
        <f t="shared" ca="1" si="1169"/>
        <v>28720608.251445867</v>
      </c>
      <c r="BD1189" s="2">
        <f t="shared" ca="1" si="1170"/>
        <v>-19208074.400080167</v>
      </c>
      <c r="BE1189" s="2">
        <f t="shared" ca="1" si="1171"/>
        <v>2025780.6547642611</v>
      </c>
      <c r="BF1189" s="2">
        <f t="shared" ca="1" si="1172"/>
        <v>2241096.2917720489</v>
      </c>
      <c r="BG1189" s="2">
        <f t="shared" ca="1" si="1173"/>
        <v>2428061.5093109533</v>
      </c>
      <c r="BH1189" s="2">
        <f t="shared" ca="1" si="1174"/>
        <v>2623765.5164074199</v>
      </c>
      <c r="BI1189" s="2">
        <f t="shared" ca="1" si="1175"/>
        <v>31549225.017180685</v>
      </c>
      <c r="BJ1189" s="2">
        <f t="shared" ca="1" si="1176"/>
        <v>0.19069225970334491</v>
      </c>
      <c r="BK1189" s="2">
        <f t="shared" ca="1" si="1177"/>
        <v>5684820.7640239559</v>
      </c>
    </row>
    <row r="1190" spans="1:63" x14ac:dyDescent="0.3">
      <c r="A1190" s="2">
        <v>1189</v>
      </c>
      <c r="B1190" s="2">
        <f t="shared" ca="1" si="1116"/>
        <v>1.1640457678403604E-2</v>
      </c>
      <c r="C1190" s="2">
        <f t="shared" ca="1" si="1117"/>
        <v>6.1525808485911888</v>
      </c>
      <c r="D1190" s="2">
        <f t="shared" ca="1" si="1118"/>
        <v>0.99914277869644308</v>
      </c>
      <c r="E1190" s="2">
        <f t="shared" ca="1" si="1119"/>
        <v>8.4585941718219058</v>
      </c>
      <c r="F1190" s="2">
        <f t="shared" ca="1" si="1120"/>
        <v>0.96376498417970968</v>
      </c>
      <c r="G1190" s="2">
        <f t="shared" ca="1" si="1121"/>
        <v>9.3884619360754706E-2</v>
      </c>
      <c r="H1190" s="2">
        <f t="shared" ca="1" si="1122"/>
        <v>9.3884619360754706E-2</v>
      </c>
      <c r="I1190" s="2">
        <f t="shared" ca="1" si="1123"/>
        <v>0.3423596618088609</v>
      </c>
      <c r="J1190" s="2">
        <f t="shared" ca="1" si="1124"/>
        <v>7.9698416020292824E-3</v>
      </c>
      <c r="K1190" s="2">
        <f t="shared" ca="1" si="1125"/>
        <v>7.9698416020292824E-3</v>
      </c>
      <c r="L1190" s="2">
        <f t="shared" ca="1" si="1126"/>
        <v>0.86309035127906686</v>
      </c>
      <c r="M1190" s="2">
        <f t="shared" ca="1" si="1127"/>
        <v>2.1886188300221928E-2</v>
      </c>
      <c r="N1190" s="2">
        <f t="shared" ca="1" si="1128"/>
        <v>2.1886188300221928E-2</v>
      </c>
      <c r="O1190" s="2">
        <f t="shared" si="1129"/>
        <v>6000000</v>
      </c>
      <c r="P1190" s="2">
        <f t="shared" ca="1" si="1130"/>
        <v>36915485.091547132</v>
      </c>
      <c r="Q1190" s="2">
        <f t="shared" ca="1" si="1131"/>
        <v>922887.12728867831</v>
      </c>
      <c r="R1190" s="2">
        <f t="shared" ca="1" si="1132"/>
        <v>22149291.054928277</v>
      </c>
      <c r="S1190" s="2">
        <f t="shared" ca="1" si="1133"/>
        <v>14766194.036618853</v>
      </c>
      <c r="T1190" s="2">
        <f t="shared" ca="1" si="1134"/>
        <v>51094309.415011093</v>
      </c>
      <c r="U1190" s="2">
        <f t="shared" ca="1" si="1135"/>
        <v>55891279.205940038</v>
      </c>
      <c r="V1190" s="2">
        <f t="shared" ca="1" si="1136"/>
        <v>61138610.679775387</v>
      </c>
      <c r="W1190" s="2">
        <f t="shared" ca="1" si="1137"/>
        <v>66878585.871691473</v>
      </c>
      <c r="X1190" s="2">
        <f t="shared" ca="1" si="1138"/>
        <v>73157456.449640781</v>
      </c>
      <c r="Y1190" s="2">
        <f t="shared" ca="1" si="1139"/>
        <v>0.12398492080101464</v>
      </c>
      <c r="Z1190" s="2">
        <f t="shared" ca="1" si="1140"/>
        <v>0.12557888912142048</v>
      </c>
      <c r="AA1190" s="2">
        <f t="shared" ca="1" si="1141"/>
        <v>6334923.906202687</v>
      </c>
      <c r="AB1190" s="2">
        <f t="shared" ca="1" si="1142"/>
        <v>7018764.7542570988</v>
      </c>
      <c r="AC1190" s="2">
        <f t="shared" ca="1" si="1143"/>
        <v>7677718.8115932075</v>
      </c>
      <c r="AD1190" s="2">
        <f t="shared" ca="1" si="1144"/>
        <v>8398538.5197785422</v>
      </c>
      <c r="AE1190" s="2">
        <f t="shared" ca="1" si="1145"/>
        <v>9187032.1118945871</v>
      </c>
      <c r="AF1190" s="2">
        <f t="shared" ca="1" si="1146"/>
        <v>1021886.1883002219</v>
      </c>
      <c r="AG1190" s="2">
        <f t="shared" ca="1" si="1147"/>
        <v>1117825.5841188007</v>
      </c>
      <c r="AH1190" s="2">
        <f t="shared" ca="1" si="1148"/>
        <v>1222772.2135955077</v>
      </c>
      <c r="AI1190" s="2">
        <f t="shared" ca="1" si="1149"/>
        <v>1337571.7174338296</v>
      </c>
      <c r="AJ1190" s="2">
        <f t="shared" ca="1" si="1150"/>
        <v>1463149.1289928157</v>
      </c>
      <c r="AK1190" s="2">
        <f t="shared" ca="1" si="1151"/>
        <v>0</v>
      </c>
      <c r="AL1190" s="2">
        <f t="shared" ca="1" si="1152"/>
        <v>47969.697909289447</v>
      </c>
      <c r="AM1190" s="2">
        <f t="shared" ca="1" si="1153"/>
        <v>52473.314738353489</v>
      </c>
      <c r="AN1190" s="2">
        <f t="shared" ca="1" si="1154"/>
        <v>57399.751919160859</v>
      </c>
      <c r="AO1190" s="2">
        <f t="shared" ca="1" si="1155"/>
        <v>62788.705779493081</v>
      </c>
      <c r="AP1190" s="2">
        <f t="shared" ca="1" si="1156"/>
        <v>1993436.1949435449</v>
      </c>
      <c r="AQ1190" s="2">
        <f t="shared" ca="1" si="1157"/>
        <v>863096.39596931916</v>
      </c>
      <c r="AR1190" s="2">
        <f t="shared" ca="1" si="1158"/>
        <v>1015950.7735506358</v>
      </c>
      <c r="AS1190" s="2">
        <f t="shared" ca="1" si="1159"/>
        <v>1159992.7047940805</v>
      </c>
      <c r="AT1190" s="2">
        <f t="shared" ca="1" si="1160"/>
        <v>1317557.9579243038</v>
      </c>
      <c r="AU1190" s="2">
        <f t="shared" ca="1" si="1161"/>
        <v>1489916.1648691392</v>
      </c>
      <c r="AV1190" s="2">
        <f t="shared" ca="1" si="1162"/>
        <v>2456505.1269896007</v>
      </c>
      <c r="AW1190" s="2">
        <f t="shared" ca="1" si="1163"/>
        <v>2843582.5037348275</v>
      </c>
      <c r="AX1190" s="2">
        <f t="shared" ca="1" si="1164"/>
        <v>3249044.3835217212</v>
      </c>
      <c r="AY1190" s="2">
        <f t="shared" ca="1" si="1165"/>
        <v>3692572.8975577033</v>
      </c>
      <c r="AZ1190" s="2">
        <f t="shared" ca="1" si="1166"/>
        <v>4177741.9173095948</v>
      </c>
      <c r="BA1190" s="2">
        <f t="shared" ca="1" si="1167"/>
        <v>77709376.278012246</v>
      </c>
      <c r="BB1190" s="2">
        <f t="shared" ca="1" si="1168"/>
        <v>1554187.5255602449</v>
      </c>
      <c r="BC1190" s="2">
        <f t="shared" ca="1" si="1169"/>
        <v>54005897.697523728</v>
      </c>
      <c r="BD1190" s="2">
        <f t="shared" ca="1" si="1170"/>
        <v>-16189081.163907532</v>
      </c>
      <c r="BE1190" s="2">
        <f t="shared" ca="1" si="1171"/>
        <v>2456505.1269896007</v>
      </c>
      <c r="BF1190" s="2">
        <f t="shared" ca="1" si="1172"/>
        <v>2843582.5037348275</v>
      </c>
      <c r="BG1190" s="2">
        <f t="shared" ca="1" si="1173"/>
        <v>3249044.3835217212</v>
      </c>
      <c r="BH1190" s="2">
        <f t="shared" ca="1" si="1174"/>
        <v>3692572.8975577033</v>
      </c>
      <c r="BI1190" s="2">
        <f t="shared" ca="1" si="1175"/>
        <v>58183639.614833325</v>
      </c>
      <c r="BJ1190" s="2">
        <f t="shared" ca="1" si="1176"/>
        <v>0.39957653468872678</v>
      </c>
      <c r="BK1190" s="2">
        <f t="shared" ca="1" si="1177"/>
        <v>25945375.677073423</v>
      </c>
    </row>
    <row r="1191" spans="1:63" x14ac:dyDescent="0.3">
      <c r="A1191" s="2">
        <v>1190</v>
      </c>
      <c r="B1191" s="2">
        <f t="shared" ca="1" si="1116"/>
        <v>0.2327404616149541</v>
      </c>
      <c r="C1191" s="2">
        <f t="shared" ca="1" si="1117"/>
        <v>6.6822616237411481</v>
      </c>
      <c r="D1191" s="2">
        <f t="shared" ca="1" si="1118"/>
        <v>7.821152168135026E-2</v>
      </c>
      <c r="E1191" s="2">
        <f t="shared" ca="1" si="1119"/>
        <v>6.8955035314162192</v>
      </c>
      <c r="F1191" s="2">
        <f t="shared" ca="1" si="1120"/>
        <v>0.79619176467671782</v>
      </c>
      <c r="G1191" s="2">
        <f t="shared" ca="1" si="1121"/>
        <v>6.4842862199796125E-2</v>
      </c>
      <c r="H1191" s="2">
        <f t="shared" ca="1" si="1122"/>
        <v>6.4842862199796125E-2</v>
      </c>
      <c r="I1191" s="2">
        <f t="shared" ca="1" si="1123"/>
        <v>0.19994241217730013</v>
      </c>
      <c r="J1191" s="2">
        <f t="shared" ca="1" si="1124"/>
        <v>5.7908652492407861E-3</v>
      </c>
      <c r="K1191" s="2">
        <f t="shared" ca="1" si="1125"/>
        <v>5.7908652492407861E-3</v>
      </c>
      <c r="L1191" s="2">
        <f t="shared" ca="1" si="1126"/>
        <v>0.13657231393879099</v>
      </c>
      <c r="M1191" s="2">
        <f t="shared" ca="1" si="1127"/>
        <v>-2.1916990647302587E-2</v>
      </c>
      <c r="N1191" s="2">
        <f t="shared" ca="1" si="1128"/>
        <v>-2.1916990647302587E-2</v>
      </c>
      <c r="O1191" s="2">
        <f t="shared" si="1129"/>
        <v>6000000</v>
      </c>
      <c r="P1191" s="2">
        <f t="shared" ca="1" si="1130"/>
        <v>40093569.742446892</v>
      </c>
      <c r="Q1191" s="2">
        <f t="shared" ca="1" si="1131"/>
        <v>1002339.2435611724</v>
      </c>
      <c r="R1191" s="2">
        <f t="shared" ca="1" si="1132"/>
        <v>24056141.845468134</v>
      </c>
      <c r="S1191" s="2">
        <f t="shared" ca="1" si="1133"/>
        <v>16037427.896978758</v>
      </c>
      <c r="T1191" s="2">
        <f t="shared" ca="1" si="1134"/>
        <v>48904150.467634872</v>
      </c>
      <c r="U1191" s="2">
        <f t="shared" ca="1" si="1135"/>
        <v>52075235.557405815</v>
      </c>
      <c r="V1191" s="2">
        <f t="shared" ca="1" si="1136"/>
        <v>55451942.880676597</v>
      </c>
      <c r="W1191" s="2">
        <f t="shared" ca="1" si="1137"/>
        <v>59047605.571599275</v>
      </c>
      <c r="X1191" s="2">
        <f t="shared" ca="1" si="1138"/>
        <v>62876421.322906397</v>
      </c>
      <c r="Y1191" s="2">
        <f t="shared" ca="1" si="1139"/>
        <v>0.12289543262462038</v>
      </c>
      <c r="Z1191" s="2">
        <f t="shared" ca="1" si="1140"/>
        <v>0.12405360567446855</v>
      </c>
      <c r="AA1191" s="2">
        <f t="shared" ca="1" si="1141"/>
        <v>6010096.7288595187</v>
      </c>
      <c r="AB1191" s="2">
        <f t="shared" ca="1" si="1142"/>
        <v>6460120.7372434847</v>
      </c>
      <c r="AC1191" s="2">
        <f t="shared" ca="1" si="1143"/>
        <v>6879013.4560026079</v>
      </c>
      <c r="AD1191" s="2">
        <f t="shared" ca="1" si="1144"/>
        <v>7325068.3776007285</v>
      </c>
      <c r="AE1191" s="2">
        <f t="shared" ca="1" si="1145"/>
        <v>7800046.7770135766</v>
      </c>
      <c r="AF1191" s="2">
        <f t="shared" ca="1" si="1146"/>
        <v>978083.00935269741</v>
      </c>
      <c r="AG1191" s="2">
        <f t="shared" ca="1" si="1147"/>
        <v>1041504.7111481163</v>
      </c>
      <c r="AH1191" s="2">
        <f t="shared" ca="1" si="1148"/>
        <v>1109038.8576135319</v>
      </c>
      <c r="AI1191" s="2">
        <f t="shared" ca="1" si="1149"/>
        <v>1180952.1114319856</v>
      </c>
      <c r="AJ1191" s="2">
        <f t="shared" ca="1" si="1150"/>
        <v>1257528.426458128</v>
      </c>
      <c r="AK1191" s="2">
        <f t="shared" ca="1" si="1151"/>
        <v>0</v>
      </c>
      <c r="AL1191" s="2">
        <f t="shared" ca="1" si="1152"/>
        <v>31710.850897709432</v>
      </c>
      <c r="AM1191" s="2">
        <f t="shared" ca="1" si="1153"/>
        <v>33767.073232707829</v>
      </c>
      <c r="AN1191" s="2">
        <f t="shared" ca="1" si="1154"/>
        <v>35956.626909226776</v>
      </c>
      <c r="AO1191" s="2">
        <f t="shared" ca="1" si="1155"/>
        <v>38288.157513071223</v>
      </c>
      <c r="AP1191" s="2">
        <f t="shared" ca="1" si="1156"/>
        <v>2165052.7660921318</v>
      </c>
      <c r="AQ1191" s="2">
        <f t="shared" ca="1" si="1157"/>
        <v>745409.8478878194</v>
      </c>
      <c r="AR1191" s="2">
        <f t="shared" ca="1" si="1158"/>
        <v>845926.44760084141</v>
      </c>
      <c r="AS1191" s="2">
        <f t="shared" ca="1" si="1159"/>
        <v>937279.67639720556</v>
      </c>
      <c r="AT1191" s="2">
        <f t="shared" ca="1" si="1160"/>
        <v>1034556.510019919</v>
      </c>
      <c r="AU1191" s="2">
        <f t="shared" ca="1" si="1161"/>
        <v>1138141.0519604625</v>
      </c>
      <c r="AV1191" s="2">
        <f t="shared" ca="1" si="1162"/>
        <v>2121551.1055268701</v>
      </c>
      <c r="AW1191" s="2">
        <f t="shared" ca="1" si="1163"/>
        <v>2375925.9615046848</v>
      </c>
      <c r="AX1191" s="2">
        <f t="shared" ca="1" si="1164"/>
        <v>2633875.0826670313</v>
      </c>
      <c r="AY1191" s="2">
        <f t="shared" ca="1" si="1165"/>
        <v>2908550.3631474655</v>
      </c>
      <c r="AZ1191" s="2">
        <f t="shared" ca="1" si="1166"/>
        <v>3201036.3749897834</v>
      </c>
      <c r="BA1191" s="2">
        <f t="shared" ca="1" si="1167"/>
        <v>53785250.096108817</v>
      </c>
      <c r="BB1191" s="2">
        <f t="shared" ca="1" si="1168"/>
        <v>1075705.0019221765</v>
      </c>
      <c r="BC1191" s="2">
        <f t="shared" ca="1" si="1169"/>
        <v>28653403.248718508</v>
      </c>
      <c r="BD1191" s="2">
        <f t="shared" ca="1" si="1170"/>
        <v>-17539767.140539929</v>
      </c>
      <c r="BE1191" s="2">
        <f t="shared" ca="1" si="1171"/>
        <v>2121551.1055268701</v>
      </c>
      <c r="BF1191" s="2">
        <f t="shared" ca="1" si="1172"/>
        <v>2375925.9615046848</v>
      </c>
      <c r="BG1191" s="2">
        <f t="shared" ca="1" si="1173"/>
        <v>2633875.0826670313</v>
      </c>
      <c r="BH1191" s="2">
        <f t="shared" ca="1" si="1174"/>
        <v>2908550.3631474655</v>
      </c>
      <c r="BI1191" s="2">
        <f t="shared" ca="1" si="1175"/>
        <v>31854439.623708293</v>
      </c>
      <c r="BJ1191" s="2">
        <f t="shared" ca="1" si="1176"/>
        <v>0.2258061351270495</v>
      </c>
      <c r="BK1191" s="2">
        <f t="shared" ca="1" si="1177"/>
        <v>8046789.6611324698</v>
      </c>
    </row>
    <row r="1192" spans="1:63" x14ac:dyDescent="0.3">
      <c r="A1192" s="2">
        <v>1191</v>
      </c>
      <c r="B1192" s="2">
        <f t="shared" ca="1" si="1116"/>
        <v>8.8633770438299342E-2</v>
      </c>
      <c r="C1192" s="2">
        <f t="shared" ca="1" si="1117"/>
        <v>6.4210315200511703</v>
      </c>
      <c r="D1192" s="2">
        <f t="shared" ca="1" si="1118"/>
        <v>0.59591397426497728</v>
      </c>
      <c r="E1192" s="2">
        <f t="shared" ca="1" si="1119"/>
        <v>7.6010161005501571</v>
      </c>
      <c r="F1192" s="2">
        <f t="shared" ca="1" si="1120"/>
        <v>0.83642554101616529</v>
      </c>
      <c r="G1192" s="2">
        <f t="shared" ca="1" si="1121"/>
        <v>6.9396183570709022E-2</v>
      </c>
      <c r="H1192" s="2">
        <f t="shared" ca="1" si="1122"/>
        <v>6.9396183570709022E-2</v>
      </c>
      <c r="I1192" s="2">
        <f t="shared" ca="1" si="1123"/>
        <v>0.86114595142998329</v>
      </c>
      <c r="J1192" s="2">
        <f t="shared" ca="1" si="1124"/>
        <v>1.5427411519918478E-2</v>
      </c>
      <c r="K1192" s="2">
        <f t="shared" ca="1" si="1125"/>
        <v>1.5427411519918478E-2</v>
      </c>
      <c r="L1192" s="2">
        <f t="shared" ca="1" si="1126"/>
        <v>0.26838027304960266</v>
      </c>
      <c r="M1192" s="2">
        <f t="shared" ca="1" si="1127"/>
        <v>-1.2354381187880016E-2</v>
      </c>
      <c r="N1192" s="2">
        <f t="shared" ca="1" si="1128"/>
        <v>-1.2354381187880016E-2</v>
      </c>
      <c r="O1192" s="2">
        <f t="shared" si="1129"/>
        <v>6000000</v>
      </c>
      <c r="P1192" s="2">
        <f t="shared" ca="1" si="1130"/>
        <v>38526189.120307021</v>
      </c>
      <c r="Q1192" s="2">
        <f t="shared" ca="1" si="1131"/>
        <v>963154.72800767561</v>
      </c>
      <c r="R1192" s="2">
        <f t="shared" ca="1" si="1132"/>
        <v>23115713.472184211</v>
      </c>
      <c r="S1192" s="2">
        <f t="shared" ca="1" si="1133"/>
        <v>15410475.64812281</v>
      </c>
      <c r="T1192" s="2">
        <f t="shared" ca="1" si="1134"/>
        <v>49382280.940605998</v>
      </c>
      <c r="U1192" s="2">
        <f t="shared" ca="1" si="1135"/>
        <v>52809222.773900621</v>
      </c>
      <c r="V1192" s="2">
        <f t="shared" ca="1" si="1136"/>
        <v>56473981.291744702</v>
      </c>
      <c r="W1192" s="2">
        <f t="shared" ca="1" si="1137"/>
        <v>60393060.064435408</v>
      </c>
      <c r="X1192" s="2">
        <f t="shared" ca="1" si="1138"/>
        <v>64584107.947063826</v>
      </c>
      <c r="Y1192" s="2">
        <f t="shared" ca="1" si="1139"/>
        <v>0.12771370575995925</v>
      </c>
      <c r="Z1192" s="2">
        <f t="shared" ca="1" si="1140"/>
        <v>0.13079918806394292</v>
      </c>
      <c r="AA1192" s="2">
        <f t="shared" ca="1" si="1141"/>
        <v>6306794.097804198</v>
      </c>
      <c r="AB1192" s="2">
        <f t="shared" ca="1" si="1142"/>
        <v>6907403.4611140843</v>
      </c>
      <c r="AC1192" s="2">
        <f t="shared" ca="1" si="1143"/>
        <v>7386750.8996985089</v>
      </c>
      <c r="AD1192" s="2">
        <f t="shared" ca="1" si="1144"/>
        <v>7899363.2211250877</v>
      </c>
      <c r="AE1192" s="2">
        <f t="shared" ca="1" si="1145"/>
        <v>8447548.8813099917</v>
      </c>
      <c r="AF1192" s="2">
        <f t="shared" ca="1" si="1146"/>
        <v>987645.61881211994</v>
      </c>
      <c r="AG1192" s="2">
        <f t="shared" ca="1" si="1147"/>
        <v>1056184.4554780123</v>
      </c>
      <c r="AH1192" s="2">
        <f t="shared" ca="1" si="1148"/>
        <v>1129479.6258348941</v>
      </c>
      <c r="AI1192" s="2">
        <f t="shared" ca="1" si="1149"/>
        <v>1207861.2012887083</v>
      </c>
      <c r="AJ1192" s="2">
        <f t="shared" ca="1" si="1150"/>
        <v>1291682.1589412766</v>
      </c>
      <c r="AK1192" s="2">
        <f t="shared" ca="1" si="1151"/>
        <v>0</v>
      </c>
      <c r="AL1192" s="2">
        <f t="shared" ca="1" si="1152"/>
        <v>34269.418332946225</v>
      </c>
      <c r="AM1192" s="2">
        <f t="shared" ca="1" si="1153"/>
        <v>36647.585178440808</v>
      </c>
      <c r="AN1192" s="2">
        <f t="shared" ca="1" si="1154"/>
        <v>39190.78772690706</v>
      </c>
      <c r="AO1192" s="2">
        <f t="shared" ca="1" si="1155"/>
        <v>41910.478826284183</v>
      </c>
      <c r="AP1192" s="2">
        <f t="shared" ca="1" si="1156"/>
        <v>2080414.2124965789</v>
      </c>
      <c r="AQ1192" s="2">
        <f t="shared" ca="1" si="1157"/>
        <v>842070.90928883001</v>
      </c>
      <c r="AR1192" s="2">
        <f t="shared" ca="1" si="1158"/>
        <v>980409.24621626828</v>
      </c>
      <c r="AS1192" s="2">
        <f t="shared" ca="1" si="1159"/>
        <v>1085982.8359554294</v>
      </c>
      <c r="AT1192" s="2">
        <f t="shared" ca="1" si="1160"/>
        <v>1198882.8299083482</v>
      </c>
      <c r="AU1192" s="2">
        <f t="shared" ca="1" si="1161"/>
        <v>1319617.6525667557</v>
      </c>
      <c r="AV1192" s="2">
        <f t="shared" ca="1" si="1162"/>
        <v>2396663.3572066696</v>
      </c>
      <c r="AW1192" s="2">
        <f t="shared" ca="1" si="1163"/>
        <v>2756126.1285902783</v>
      </c>
      <c r="AX1192" s="2">
        <f t="shared" ca="1" si="1164"/>
        <v>3054226.6402331665</v>
      </c>
      <c r="AY1192" s="2">
        <f t="shared" ca="1" si="1165"/>
        <v>3373014.1897045448</v>
      </c>
      <c r="AZ1192" s="2">
        <f t="shared" ca="1" si="1166"/>
        <v>3713924.378479097</v>
      </c>
      <c r="BA1192" s="2">
        <f t="shared" ca="1" si="1167"/>
        <v>64209955.057021715</v>
      </c>
      <c r="BB1192" s="2">
        <f t="shared" ca="1" si="1168"/>
        <v>1284199.1011404344</v>
      </c>
      <c r="BC1192" s="2">
        <f t="shared" ca="1" si="1169"/>
        <v>39810042.483697072</v>
      </c>
      <c r="BD1192" s="2">
        <f t="shared" ca="1" si="1170"/>
        <v>-16873630.376130484</v>
      </c>
      <c r="BE1192" s="2">
        <f t="shared" ca="1" si="1171"/>
        <v>2396663.3572066696</v>
      </c>
      <c r="BF1192" s="2">
        <f t="shared" ca="1" si="1172"/>
        <v>2756126.1285902783</v>
      </c>
      <c r="BG1192" s="2">
        <f t="shared" ca="1" si="1173"/>
        <v>3054226.6402331665</v>
      </c>
      <c r="BH1192" s="2">
        <f t="shared" ca="1" si="1174"/>
        <v>3373014.1897045448</v>
      </c>
      <c r="BI1192" s="2">
        <f t="shared" ca="1" si="1175"/>
        <v>43523966.862176165</v>
      </c>
      <c r="BJ1192" s="2">
        <f t="shared" ca="1" si="1176"/>
        <v>0.31658417986552845</v>
      </c>
      <c r="BK1192" s="2">
        <f t="shared" ca="1" si="1177"/>
        <v>16477631.852987904</v>
      </c>
    </row>
    <row r="1193" spans="1:63" x14ac:dyDescent="0.3">
      <c r="A1193" s="2">
        <v>1192</v>
      </c>
      <c r="B1193" s="2">
        <f t="shared" ca="1" si="1116"/>
        <v>0.53288378115440338</v>
      </c>
      <c r="C1193" s="2">
        <f t="shared" ca="1" si="1117"/>
        <v>7.0334429982193534</v>
      </c>
      <c r="D1193" s="2">
        <f t="shared" ca="1" si="1118"/>
        <v>0.63514771573323858</v>
      </c>
      <c r="E1193" s="2">
        <f t="shared" ca="1" si="1119"/>
        <v>7.6457725311525486</v>
      </c>
      <c r="F1193" s="2">
        <f t="shared" ca="1" si="1120"/>
        <v>0.71699125897797167</v>
      </c>
      <c r="G1193" s="2">
        <f t="shared" ca="1" si="1121"/>
        <v>5.721779755451431E-2</v>
      </c>
      <c r="H1193" s="2">
        <f t="shared" ca="1" si="1122"/>
        <v>5.721779755451431E-2</v>
      </c>
      <c r="I1193" s="2">
        <f t="shared" ca="1" si="1123"/>
        <v>0.30979103821986864</v>
      </c>
      <c r="J1193" s="2">
        <f t="shared" ca="1" si="1124"/>
        <v>7.5177862972561488E-3</v>
      </c>
      <c r="K1193" s="2">
        <f t="shared" ca="1" si="1125"/>
        <v>7.5177862972561488E-3</v>
      </c>
      <c r="L1193" s="2">
        <f t="shared" ca="1" si="1126"/>
        <v>0.29239266384589224</v>
      </c>
      <c r="M1193" s="2">
        <f t="shared" ca="1" si="1127"/>
        <v>-1.0928165368968146E-2</v>
      </c>
      <c r="N1193" s="2">
        <f t="shared" ca="1" si="1128"/>
        <v>-1.0928165368968146E-2</v>
      </c>
      <c r="O1193" s="2">
        <f t="shared" si="1129"/>
        <v>6000000</v>
      </c>
      <c r="P1193" s="2">
        <f t="shared" ca="1" si="1130"/>
        <v>42200657.989316121</v>
      </c>
      <c r="Q1193" s="2">
        <f t="shared" ca="1" si="1131"/>
        <v>1055016.4497329032</v>
      </c>
      <c r="R1193" s="2">
        <f t="shared" ca="1" si="1132"/>
        <v>25320394.79358967</v>
      </c>
      <c r="S1193" s="2">
        <f t="shared" ca="1" si="1133"/>
        <v>16880263.195726451</v>
      </c>
      <c r="T1193" s="2">
        <f t="shared" ca="1" si="1134"/>
        <v>49453591.731551595</v>
      </c>
      <c r="U1193" s="2">
        <f t="shared" ca="1" si="1135"/>
        <v>52283217.331591114</v>
      </c>
      <c r="V1193" s="2">
        <f t="shared" ca="1" si="1136"/>
        <v>55274747.876368769</v>
      </c>
      <c r="W1193" s="2">
        <f t="shared" ca="1" si="1137"/>
        <v>58437447.210235655</v>
      </c>
      <c r="X1193" s="2">
        <f t="shared" ca="1" si="1138"/>
        <v>61781109.234313533</v>
      </c>
      <c r="Y1193" s="2">
        <f t="shared" ca="1" si="1139"/>
        <v>0.12375889314862806</v>
      </c>
      <c r="Z1193" s="2">
        <f t="shared" ca="1" si="1140"/>
        <v>0.12526245040807929</v>
      </c>
      <c r="AA1193" s="2">
        <f t="shared" ca="1" si="1141"/>
        <v>6120321.7749209702</v>
      </c>
      <c r="AB1193" s="2">
        <f t="shared" ca="1" si="1142"/>
        <v>6549123.9181732638</v>
      </c>
      <c r="AC1193" s="2">
        <f t="shared" ca="1" si="1143"/>
        <v>6923850.3646827294</v>
      </c>
      <c r="AD1193" s="2">
        <f t="shared" ca="1" si="1144"/>
        <v>7320017.8331468953</v>
      </c>
      <c r="AE1193" s="2">
        <f t="shared" ca="1" si="1145"/>
        <v>7738853.1316193286</v>
      </c>
      <c r="AF1193" s="2">
        <f t="shared" ca="1" si="1146"/>
        <v>989071.83463103196</v>
      </c>
      <c r="AG1193" s="2">
        <f t="shared" ca="1" si="1147"/>
        <v>1045664.3466318223</v>
      </c>
      <c r="AH1193" s="2">
        <f t="shared" ca="1" si="1148"/>
        <v>1105494.9575273753</v>
      </c>
      <c r="AI1193" s="2">
        <f t="shared" ca="1" si="1149"/>
        <v>1168748.9442047132</v>
      </c>
      <c r="AJ1193" s="2">
        <f t="shared" ca="1" si="1150"/>
        <v>1235622.1846862708</v>
      </c>
      <c r="AK1193" s="2">
        <f t="shared" ca="1" si="1151"/>
        <v>0</v>
      </c>
      <c r="AL1193" s="2">
        <f t="shared" ca="1" si="1152"/>
        <v>28296.256000395195</v>
      </c>
      <c r="AM1193" s="2">
        <f t="shared" ca="1" si="1153"/>
        <v>29915.30544777654</v>
      </c>
      <c r="AN1193" s="2">
        <f t="shared" ca="1" si="1154"/>
        <v>31626.993338668868</v>
      </c>
      <c r="AO1193" s="2">
        <f t="shared" ca="1" si="1155"/>
        <v>33436.620240778771</v>
      </c>
      <c r="AP1193" s="2">
        <f t="shared" ca="1" si="1156"/>
        <v>2278835.53142307</v>
      </c>
      <c r="AQ1193" s="2">
        <f t="shared" ca="1" si="1157"/>
        <v>741627.74630538572</v>
      </c>
      <c r="AR1193" s="2">
        <f t="shared" ca="1" si="1158"/>
        <v>838402.25043077662</v>
      </c>
      <c r="AS1193" s="2">
        <f t="shared" ca="1" si="1159"/>
        <v>920275.16769039375</v>
      </c>
      <c r="AT1193" s="2">
        <f t="shared" ca="1" si="1160"/>
        <v>1006832.6729549692</v>
      </c>
      <c r="AU1193" s="2">
        <f t="shared" ca="1" si="1161"/>
        <v>1098342.8080325967</v>
      </c>
      <c r="AV1193" s="2">
        <f t="shared" ca="1" si="1162"/>
        <v>2110786.6625614823</v>
      </c>
      <c r="AW1193" s="2">
        <f t="shared" ca="1" si="1163"/>
        <v>2357925.5336871999</v>
      </c>
      <c r="AX1193" s="2">
        <f t="shared" ca="1" si="1164"/>
        <v>2589329.4025941133</v>
      </c>
      <c r="AY1193" s="2">
        <f t="shared" ca="1" si="1165"/>
        <v>2833973.6912254742</v>
      </c>
      <c r="AZ1193" s="2">
        <f t="shared" ca="1" si="1166"/>
        <v>3092615.9872366129</v>
      </c>
      <c r="BA1193" s="2">
        <f t="shared" ca="1" si="1167"/>
        <v>59169510.696358941</v>
      </c>
      <c r="BB1193" s="2">
        <f t="shared" ca="1" si="1168"/>
        <v>1183390.2139271789</v>
      </c>
      <c r="BC1193" s="2">
        <f t="shared" ca="1" si="1169"/>
        <v>32665725.688842088</v>
      </c>
      <c r="BD1193" s="2">
        <f t="shared" ca="1" si="1170"/>
        <v>-18435279.645459354</v>
      </c>
      <c r="BE1193" s="2">
        <f t="shared" ca="1" si="1171"/>
        <v>2110786.6625614823</v>
      </c>
      <c r="BF1193" s="2">
        <f t="shared" ca="1" si="1172"/>
        <v>2357925.5336871999</v>
      </c>
      <c r="BG1193" s="2">
        <f t="shared" ca="1" si="1173"/>
        <v>2589329.4025941133</v>
      </c>
      <c r="BH1193" s="2">
        <f t="shared" ca="1" si="1174"/>
        <v>2833973.6912254742</v>
      </c>
      <c r="BI1193" s="2">
        <f t="shared" ca="1" si="1175"/>
        <v>35758341.6760787</v>
      </c>
      <c r="BJ1193" s="2">
        <f t="shared" ca="1" si="1176"/>
        <v>0.23272208527859917</v>
      </c>
      <c r="BK1193" s="2">
        <f t="shared" ca="1" si="1177"/>
        <v>9263393.5237480402</v>
      </c>
    </row>
    <row r="1194" spans="1:63" x14ac:dyDescent="0.3">
      <c r="A1194" s="2">
        <v>1193</v>
      </c>
      <c r="B1194" s="2">
        <f t="shared" ca="1" si="1116"/>
        <v>0.62579301586256375</v>
      </c>
      <c r="C1194" s="2">
        <f t="shared" ca="1" si="1117"/>
        <v>7.1348907766791108</v>
      </c>
      <c r="D1194" s="2">
        <f t="shared" ca="1" si="1118"/>
        <v>0.76985303006639227</v>
      </c>
      <c r="E1194" s="2">
        <f t="shared" ca="1" si="1119"/>
        <v>7.8215503409484128</v>
      </c>
      <c r="F1194" s="2">
        <f t="shared" ca="1" si="1120"/>
        <v>0.80209085053956231</v>
      </c>
      <c r="G1194" s="2">
        <f t="shared" ca="1" si="1121"/>
        <v>6.5473396383913543E-2</v>
      </c>
      <c r="H1194" s="2">
        <f t="shared" ca="1" si="1122"/>
        <v>6.5473396383913543E-2</v>
      </c>
      <c r="I1194" s="2">
        <f t="shared" ca="1" si="1123"/>
        <v>0.26701048341916833</v>
      </c>
      <c r="J1194" s="2">
        <f t="shared" ca="1" si="1124"/>
        <v>6.8906014430854109E-3</v>
      </c>
      <c r="K1194" s="2">
        <f t="shared" ca="1" si="1125"/>
        <v>6.8906014430854109E-3</v>
      </c>
      <c r="L1194" s="2">
        <f t="shared" ca="1" si="1126"/>
        <v>0.6862245341052301</v>
      </c>
      <c r="M1194" s="2">
        <f t="shared" ca="1" si="1127"/>
        <v>9.7035361614205007E-3</v>
      </c>
      <c r="N1194" s="2">
        <f t="shared" ca="1" si="1128"/>
        <v>9.7035361614205007E-3</v>
      </c>
      <c r="O1194" s="2">
        <f t="shared" si="1129"/>
        <v>6000000</v>
      </c>
      <c r="P1194" s="2">
        <f t="shared" ca="1" si="1130"/>
        <v>42809344.660074666</v>
      </c>
      <c r="Q1194" s="2">
        <f t="shared" ca="1" si="1131"/>
        <v>1070233.6165018666</v>
      </c>
      <c r="R1194" s="2">
        <f t="shared" ca="1" si="1132"/>
        <v>25685606.7960448</v>
      </c>
      <c r="S1194" s="2">
        <f t="shared" ca="1" si="1133"/>
        <v>17123737.864029866</v>
      </c>
      <c r="T1194" s="2">
        <f t="shared" ca="1" si="1134"/>
        <v>50485176.808071032</v>
      </c>
      <c r="U1194" s="2">
        <f t="shared" ca="1" si="1135"/>
        <v>53790612.800737828</v>
      </c>
      <c r="V1194" s="2">
        <f t="shared" ca="1" si="1136"/>
        <v>57312466.91437415</v>
      </c>
      <c r="W1194" s="2">
        <f t="shared" ca="1" si="1137"/>
        <v>61064908.778398901</v>
      </c>
      <c r="X1194" s="2">
        <f t="shared" ca="1" si="1138"/>
        <v>65063035.755994536</v>
      </c>
      <c r="Y1194" s="2">
        <f t="shared" ca="1" si="1139"/>
        <v>0.12344530072154269</v>
      </c>
      <c r="Z1194" s="2">
        <f t="shared" ca="1" si="1140"/>
        <v>0.12482342101015978</v>
      </c>
      <c r="AA1194" s="2">
        <f t="shared" ca="1" si="1141"/>
        <v>6232157.8330525812</v>
      </c>
      <c r="AB1194" s="2">
        <f t="shared" ca="1" si="1142"/>
        <v>6714328.3080209875</v>
      </c>
      <c r="AC1194" s="2">
        <f t="shared" ca="1" si="1143"/>
        <v>7153938.1867837775</v>
      </c>
      <c r="AD1194" s="2">
        <f t="shared" ca="1" si="1144"/>
        <v>7622330.8173930878</v>
      </c>
      <c r="AE1194" s="2">
        <f t="shared" ca="1" si="1145"/>
        <v>8121390.704369585</v>
      </c>
      <c r="AF1194" s="2">
        <f t="shared" ca="1" si="1146"/>
        <v>1009703.5361614206</v>
      </c>
      <c r="AG1194" s="2">
        <f t="shared" ca="1" si="1147"/>
        <v>1075812.2560147566</v>
      </c>
      <c r="AH1194" s="2">
        <f t="shared" ca="1" si="1148"/>
        <v>1146249.338287483</v>
      </c>
      <c r="AI1194" s="2">
        <f t="shared" ca="1" si="1149"/>
        <v>1221298.1755679781</v>
      </c>
      <c r="AJ1194" s="2">
        <f t="shared" ca="1" si="1150"/>
        <v>1301260.7151198906</v>
      </c>
      <c r="AK1194" s="2">
        <f t="shared" ca="1" si="1151"/>
        <v>0</v>
      </c>
      <c r="AL1194" s="2">
        <f t="shared" ca="1" si="1152"/>
        <v>33054.359926667959</v>
      </c>
      <c r="AM1194" s="2">
        <f t="shared" ca="1" si="1153"/>
        <v>35218.541136363223</v>
      </c>
      <c r="AN1194" s="2">
        <f t="shared" ca="1" si="1154"/>
        <v>37524.41864024751</v>
      </c>
      <c r="AO1194" s="2">
        <f t="shared" ca="1" si="1155"/>
        <v>39981.269775956345</v>
      </c>
      <c r="AP1194" s="2">
        <f t="shared" ca="1" si="1156"/>
        <v>2311704.6116440319</v>
      </c>
      <c r="AQ1194" s="2">
        <f t="shared" ca="1" si="1157"/>
        <v>756794.91816425335</v>
      </c>
      <c r="AR1194" s="2">
        <f t="shared" ca="1" si="1158"/>
        <v>864970.97449417168</v>
      </c>
      <c r="AS1194" s="2">
        <f t="shared" ca="1" si="1159"/>
        <v>960955.90158158832</v>
      </c>
      <c r="AT1194" s="2">
        <f t="shared" ca="1" si="1160"/>
        <v>1063225.2878470803</v>
      </c>
      <c r="AU1194" s="2">
        <f t="shared" ca="1" si="1161"/>
        <v>1172190.5981774721</v>
      </c>
      <c r="AV1194" s="2">
        <f t="shared" ca="1" si="1162"/>
        <v>2153954.7670828751</v>
      </c>
      <c r="AW1194" s="2">
        <f t="shared" ca="1" si="1163"/>
        <v>2428786.1059413594</v>
      </c>
      <c r="AX1194" s="2">
        <f t="shared" ca="1" si="1164"/>
        <v>2699809.7941343109</v>
      </c>
      <c r="AY1194" s="2">
        <f t="shared" ca="1" si="1165"/>
        <v>2988578.32369375</v>
      </c>
      <c r="AZ1194" s="2">
        <f t="shared" ca="1" si="1166"/>
        <v>3296253.5096522341</v>
      </c>
      <c r="BA1194" s="2">
        <f t="shared" ca="1" si="1167"/>
        <v>63521866.232737198</v>
      </c>
      <c r="BB1194" s="2">
        <f t="shared" ca="1" si="1168"/>
        <v>1270437.324654744</v>
      </c>
      <c r="BC1194" s="2">
        <f t="shared" ca="1" si="1169"/>
        <v>36565822.112037659</v>
      </c>
      <c r="BD1194" s="2">
        <f t="shared" ca="1" si="1170"/>
        <v>-18693971.480531733</v>
      </c>
      <c r="BE1194" s="2">
        <f t="shared" ca="1" si="1171"/>
        <v>2153954.7670828751</v>
      </c>
      <c r="BF1194" s="2">
        <f t="shared" ca="1" si="1172"/>
        <v>2428786.1059413594</v>
      </c>
      <c r="BG1194" s="2">
        <f t="shared" ca="1" si="1173"/>
        <v>2699809.7941343109</v>
      </c>
      <c r="BH1194" s="2">
        <f t="shared" ca="1" si="1174"/>
        <v>2988578.32369375</v>
      </c>
      <c r="BI1194" s="2">
        <f t="shared" ca="1" si="1175"/>
        <v>39862075.621689893</v>
      </c>
      <c r="BJ1194" s="2">
        <f t="shared" ca="1" si="1176"/>
        <v>0.25401473715316469</v>
      </c>
      <c r="BK1194" s="2">
        <f t="shared" ca="1" si="1177"/>
        <v>11605194.902373534</v>
      </c>
    </row>
    <row r="1195" spans="1:63" x14ac:dyDescent="0.3">
      <c r="A1195" s="2">
        <v>1194</v>
      </c>
      <c r="B1195" s="2">
        <f t="shared" ca="1" si="1116"/>
        <v>0.49079422733156641</v>
      </c>
      <c r="C1195" s="2">
        <f t="shared" ca="1" si="1117"/>
        <v>6.9907514595816309</v>
      </c>
      <c r="D1195" s="2">
        <f t="shared" ca="1" si="1118"/>
        <v>0.12724385712087349</v>
      </c>
      <c r="E1195" s="2">
        <f t="shared" ca="1" si="1119"/>
        <v>7.0044677534211148</v>
      </c>
      <c r="F1195" s="2">
        <f t="shared" ca="1" si="1120"/>
        <v>1.8926903231302528E-2</v>
      </c>
      <c r="G1195" s="2">
        <f t="shared" ca="1" si="1121"/>
        <v>-2.2293027446804725E-2</v>
      </c>
      <c r="H1195" s="2">
        <f t="shared" ca="1" si="1122"/>
        <v>-0.02</v>
      </c>
      <c r="I1195" s="2">
        <f t="shared" ca="1" si="1123"/>
        <v>0.42217741509943918</v>
      </c>
      <c r="J1195" s="2">
        <f t="shared" ca="1" si="1124"/>
        <v>9.0183688365915986E-3</v>
      </c>
      <c r="K1195" s="2">
        <f t="shared" ca="1" si="1125"/>
        <v>9.0183688365915986E-3</v>
      </c>
      <c r="L1195" s="2">
        <f t="shared" ca="1" si="1126"/>
        <v>0.40557655670394077</v>
      </c>
      <c r="M1195" s="2">
        <f t="shared" ca="1" si="1127"/>
        <v>-4.7787740737911654E-3</v>
      </c>
      <c r="N1195" s="2">
        <f t="shared" ca="1" si="1128"/>
        <v>-4.7787740737911654E-3</v>
      </c>
      <c r="O1195" s="2">
        <f t="shared" si="1129"/>
        <v>6000000</v>
      </c>
      <c r="P1195" s="2">
        <f t="shared" ca="1" si="1130"/>
        <v>41944508.757489786</v>
      </c>
      <c r="Q1195" s="2">
        <f t="shared" ca="1" si="1131"/>
        <v>1048612.7189372447</v>
      </c>
      <c r="R1195" s="2">
        <f t="shared" ca="1" si="1132"/>
        <v>25166705.25449387</v>
      </c>
      <c r="S1195" s="2">
        <f t="shared" ca="1" si="1133"/>
        <v>16777803.502995916</v>
      </c>
      <c r="T1195" s="2">
        <f t="shared" ca="1" si="1134"/>
        <v>49761061.296310447</v>
      </c>
      <c r="U1195" s="2">
        <f t="shared" ca="1" si="1135"/>
        <v>48765840.070384234</v>
      </c>
      <c r="V1195" s="2">
        <f t="shared" ca="1" si="1136"/>
        <v>47790523.268976547</v>
      </c>
      <c r="W1195" s="2">
        <f t="shared" ca="1" si="1137"/>
        <v>46834712.803597018</v>
      </c>
      <c r="X1195" s="2">
        <f t="shared" ca="1" si="1138"/>
        <v>45898018.547525078</v>
      </c>
      <c r="Y1195" s="2">
        <f t="shared" ca="1" si="1139"/>
        <v>0.1245091844182958</v>
      </c>
      <c r="Z1195" s="2">
        <f t="shared" ca="1" si="1140"/>
        <v>0.12631285818561411</v>
      </c>
      <c r="AA1195" s="2">
        <f t="shared" ca="1" si="1141"/>
        <v>6195709.1577924388</v>
      </c>
      <c r="AB1195" s="2">
        <f t="shared" ca="1" si="1142"/>
        <v>6159752.6411127821</v>
      </c>
      <c r="AC1195" s="2">
        <f t="shared" ca="1" si="1143"/>
        <v>6036557.5882905256</v>
      </c>
      <c r="AD1195" s="2">
        <f t="shared" ca="1" si="1144"/>
        <v>5915826.4365247153</v>
      </c>
      <c r="AE1195" s="2">
        <f t="shared" ca="1" si="1145"/>
        <v>5797509.9077942213</v>
      </c>
      <c r="AF1195" s="2">
        <f t="shared" ca="1" si="1146"/>
        <v>995221.22592620901</v>
      </c>
      <c r="AG1195" s="2">
        <f t="shared" ca="1" si="1147"/>
        <v>975316.80140768469</v>
      </c>
      <c r="AH1195" s="2">
        <f t="shared" ca="1" si="1148"/>
        <v>955810.46537953091</v>
      </c>
      <c r="AI1195" s="2">
        <f t="shared" ca="1" si="1149"/>
        <v>936694.25607194041</v>
      </c>
      <c r="AJ1195" s="2">
        <f t="shared" ca="1" si="1150"/>
        <v>917960.37095050153</v>
      </c>
      <c r="AK1195" s="2">
        <f t="shared" ca="1" si="1151"/>
        <v>0</v>
      </c>
      <c r="AL1195" s="2">
        <f t="shared" ca="1" si="1152"/>
        <v>0</v>
      </c>
      <c r="AM1195" s="2">
        <f t="shared" ca="1" si="1153"/>
        <v>0</v>
      </c>
      <c r="AN1195" s="2">
        <f t="shared" ca="1" si="1154"/>
        <v>0</v>
      </c>
      <c r="AO1195" s="2">
        <f t="shared" ca="1" si="1155"/>
        <v>0</v>
      </c>
      <c r="AP1195" s="2">
        <f t="shared" ca="1" si="1156"/>
        <v>2265003.4729044484</v>
      </c>
      <c r="AQ1195" s="2">
        <f t="shared" ca="1" si="1157"/>
        <v>763225.95933006308</v>
      </c>
      <c r="AR1195" s="2">
        <f t="shared" ca="1" si="1158"/>
        <v>759052.41536816885</v>
      </c>
      <c r="AS1195" s="2">
        <f t="shared" ca="1" si="1159"/>
        <v>732093.34900170215</v>
      </c>
      <c r="AT1195" s="2">
        <f t="shared" ca="1" si="1160"/>
        <v>705673.46396256494</v>
      </c>
      <c r="AU1195" s="2">
        <f t="shared" ca="1" si="1161"/>
        <v>679781.9766242106</v>
      </c>
      <c r="AV1195" s="2">
        <f t="shared" ca="1" si="1162"/>
        <v>2172258.4996317178</v>
      </c>
      <c r="AW1195" s="2">
        <f t="shared" ca="1" si="1163"/>
        <v>2160379.9514324805</v>
      </c>
      <c r="AX1195" s="2">
        <f t="shared" ca="1" si="1164"/>
        <v>2083650.3010048447</v>
      </c>
      <c r="AY1195" s="2">
        <f t="shared" ca="1" si="1165"/>
        <v>2008455.2435857616</v>
      </c>
      <c r="AZ1195" s="2">
        <f t="shared" ca="1" si="1166"/>
        <v>1934764.0873150611</v>
      </c>
      <c r="BA1195" s="2">
        <f t="shared" ca="1" si="1167"/>
        <v>40608471.199284047</v>
      </c>
      <c r="BB1195" s="2">
        <f t="shared" ca="1" si="1168"/>
        <v>812169.42398568091</v>
      </c>
      <c r="BC1195" s="2">
        <f t="shared" ca="1" si="1169"/>
        <v>14629596.520804496</v>
      </c>
      <c r="BD1195" s="2">
        <f t="shared" ca="1" si="1170"/>
        <v>-18326416.22193316</v>
      </c>
      <c r="BE1195" s="2">
        <f t="shared" ca="1" si="1171"/>
        <v>2172258.4996317178</v>
      </c>
      <c r="BF1195" s="2">
        <f t="shared" ca="1" si="1172"/>
        <v>2160379.9514324805</v>
      </c>
      <c r="BG1195" s="2">
        <f t="shared" ca="1" si="1173"/>
        <v>2083650.3010048447</v>
      </c>
      <c r="BH1195" s="2">
        <f t="shared" ca="1" si="1174"/>
        <v>2008455.2435857616</v>
      </c>
      <c r="BI1195" s="2">
        <f t="shared" ca="1" si="1175"/>
        <v>16564360.608119559</v>
      </c>
      <c r="BJ1195" s="2">
        <f t="shared" ca="1" si="1176"/>
        <v>7.9126712921495423E-2</v>
      </c>
      <c r="BK1195" s="2">
        <f t="shared" ca="1" si="1177"/>
        <v>-2506084.2325131465</v>
      </c>
    </row>
    <row r="1196" spans="1:63" x14ac:dyDescent="0.3">
      <c r="A1196" s="2">
        <v>1195</v>
      </c>
      <c r="B1196" s="2">
        <f t="shared" ca="1" si="1116"/>
        <v>0.20891365192663569</v>
      </c>
      <c r="C1196" s="2">
        <f t="shared" ca="1" si="1117"/>
        <v>6.6463956248716967</v>
      </c>
      <c r="D1196" s="2">
        <f t="shared" ca="1" si="1118"/>
        <v>0.38957524463564253</v>
      </c>
      <c r="E1196" s="2">
        <f t="shared" ca="1" si="1119"/>
        <v>7.3826950148671315</v>
      </c>
      <c r="F1196" s="2">
        <f t="shared" ca="1" si="1120"/>
        <v>0.55155575728802997</v>
      </c>
      <c r="G1196" s="2">
        <f t="shared" ca="1" si="1121"/>
        <v>4.3887788343407744E-2</v>
      </c>
      <c r="H1196" s="2">
        <f t="shared" ca="1" si="1122"/>
        <v>4.3887788343407744E-2</v>
      </c>
      <c r="I1196" s="2">
        <f t="shared" ca="1" si="1123"/>
        <v>0.62976994385688301</v>
      </c>
      <c r="J1196" s="2">
        <f t="shared" ca="1" si="1124"/>
        <v>1.165622049585591E-2</v>
      </c>
      <c r="K1196" s="2">
        <f t="shared" ca="1" si="1125"/>
        <v>1.165622049585591E-2</v>
      </c>
      <c r="L1196" s="2">
        <f t="shared" ca="1" si="1126"/>
        <v>0.95521007522486379</v>
      </c>
      <c r="M1196" s="2">
        <f t="shared" ca="1" si="1127"/>
        <v>3.3952363572855603E-2</v>
      </c>
      <c r="N1196" s="2">
        <f t="shared" ca="1" si="1128"/>
        <v>3.3952363572855603E-2</v>
      </c>
      <c r="O1196" s="2">
        <f t="shared" si="1129"/>
        <v>6000000</v>
      </c>
      <c r="P1196" s="2">
        <f t="shared" ca="1" si="1130"/>
        <v>39878373.749230184</v>
      </c>
      <c r="Q1196" s="2">
        <f t="shared" ca="1" si="1131"/>
        <v>996959.34373075468</v>
      </c>
      <c r="R1196" s="2">
        <f t="shared" ca="1" si="1132"/>
        <v>23927024.249538109</v>
      </c>
      <c r="S1196" s="2">
        <f t="shared" ca="1" si="1133"/>
        <v>15951349.499692075</v>
      </c>
      <c r="T1196" s="2">
        <f t="shared" ca="1" si="1134"/>
        <v>51697618.17864278</v>
      </c>
      <c r="U1196" s="2">
        <f t="shared" ca="1" si="1135"/>
        <v>53966512.303125359</v>
      </c>
      <c r="V1196" s="2">
        <f t="shared" ca="1" si="1136"/>
        <v>56334983.172716834</v>
      </c>
      <c r="W1196" s="2">
        <f t="shared" ca="1" si="1137"/>
        <v>58807400.990530461</v>
      </c>
      <c r="X1196" s="2">
        <f t="shared" ca="1" si="1138"/>
        <v>61388327.758228764</v>
      </c>
      <c r="Y1196" s="2">
        <f t="shared" ca="1" si="1139"/>
        <v>0.12582811024792795</v>
      </c>
      <c r="Z1196" s="2">
        <f t="shared" ca="1" si="1140"/>
        <v>0.12815935434709913</v>
      </c>
      <c r="AA1196" s="2">
        <f t="shared" ca="1" si="1141"/>
        <v>6505013.5997375473</v>
      </c>
      <c r="AB1196" s="2">
        <f t="shared" ca="1" si="1142"/>
        <v>6916313.3731333278</v>
      </c>
      <c r="AC1196" s="2">
        <f t="shared" ca="1" si="1143"/>
        <v>7219855.0705700833</v>
      </c>
      <c r="AD1196" s="2">
        <f t="shared" ca="1" si="1144"/>
        <v>7536718.5417773416</v>
      </c>
      <c r="AE1196" s="2">
        <f t="shared" ca="1" si="1145"/>
        <v>7867488.4499427015</v>
      </c>
      <c r="AF1196" s="2">
        <f t="shared" ca="1" si="1146"/>
        <v>1033952.3635728556</v>
      </c>
      <c r="AG1196" s="2">
        <f t="shared" ca="1" si="1147"/>
        <v>1079330.2460625072</v>
      </c>
      <c r="AH1196" s="2">
        <f t="shared" ca="1" si="1148"/>
        <v>1126699.6634543368</v>
      </c>
      <c r="AI1196" s="2">
        <f t="shared" ca="1" si="1149"/>
        <v>1176148.0198106093</v>
      </c>
      <c r="AJ1196" s="2">
        <f t="shared" ca="1" si="1150"/>
        <v>1227766.5551645753</v>
      </c>
      <c r="AK1196" s="2">
        <f t="shared" ca="1" si="1151"/>
        <v>0</v>
      </c>
      <c r="AL1196" s="2">
        <f t="shared" ca="1" si="1152"/>
        <v>22688.941244825797</v>
      </c>
      <c r="AM1196" s="2">
        <f t="shared" ca="1" si="1153"/>
        <v>23684.708695914745</v>
      </c>
      <c r="AN1196" s="2">
        <f t="shared" ca="1" si="1154"/>
        <v>24724.178178136273</v>
      </c>
      <c r="AO1196" s="2">
        <f t="shared" ca="1" si="1155"/>
        <v>25809.267676983029</v>
      </c>
      <c r="AP1196" s="2">
        <f t="shared" ca="1" si="1156"/>
        <v>2153432.1824584296</v>
      </c>
      <c r="AQ1196" s="2">
        <f t="shared" ca="1" si="1157"/>
        <v>862583.55396362825</v>
      </c>
      <c r="AR1196" s="2">
        <f t="shared" ca="1" si="1158"/>
        <v>957723.24559922179</v>
      </c>
      <c r="AS1196" s="2">
        <f t="shared" ca="1" si="1159"/>
        <v>1024328.0384109024</v>
      </c>
      <c r="AT1196" s="2">
        <f t="shared" ca="1" si="1160"/>
        <v>1093855.9682721586</v>
      </c>
      <c r="AU1196" s="2">
        <f t="shared" ca="1" si="1161"/>
        <v>1166435.3252031212</v>
      </c>
      <c r="AV1196" s="2">
        <f t="shared" ca="1" si="1162"/>
        <v>2455045.4997426337</v>
      </c>
      <c r="AW1196" s="2">
        <f t="shared" ca="1" si="1163"/>
        <v>2703138.7577683441</v>
      </c>
      <c r="AX1196" s="2">
        <f t="shared" ca="1" si="1164"/>
        <v>2891710.4775505001</v>
      </c>
      <c r="AY1196" s="2">
        <f t="shared" ca="1" si="1165"/>
        <v>3088558.1930580074</v>
      </c>
      <c r="AZ1196" s="2">
        <f t="shared" ca="1" si="1166"/>
        <v>3294045.1194395917</v>
      </c>
      <c r="BA1196" s="2">
        <f t="shared" ca="1" si="1167"/>
        <v>58083267.758916721</v>
      </c>
      <c r="BB1196" s="2">
        <f t="shared" ca="1" si="1168"/>
        <v>1161665.3551783345</v>
      </c>
      <c r="BC1196" s="2">
        <f t="shared" ca="1" si="1169"/>
        <v>32994578.154200278</v>
      </c>
      <c r="BD1196" s="2">
        <f t="shared" ca="1" si="1170"/>
        <v>-17448308.84342283</v>
      </c>
      <c r="BE1196" s="2">
        <f t="shared" ca="1" si="1171"/>
        <v>2455045.4997426337</v>
      </c>
      <c r="BF1196" s="2">
        <f t="shared" ca="1" si="1172"/>
        <v>2703138.7577683441</v>
      </c>
      <c r="BG1196" s="2">
        <f t="shared" ca="1" si="1173"/>
        <v>2891710.4775505001</v>
      </c>
      <c r="BH1196" s="2">
        <f t="shared" ca="1" si="1174"/>
        <v>3088558.1930580074</v>
      </c>
      <c r="BI1196" s="2">
        <f t="shared" ca="1" si="1175"/>
        <v>36288623.273639873</v>
      </c>
      <c r="BJ1196" s="2">
        <f t="shared" ca="1" si="1176"/>
        <v>0.26533923689166339</v>
      </c>
      <c r="BK1196" s="2">
        <f t="shared" ca="1" si="1177"/>
        <v>11510858.105652962</v>
      </c>
    </row>
    <row r="1197" spans="1:63" x14ac:dyDescent="0.3">
      <c r="A1197" s="2">
        <v>1196</v>
      </c>
      <c r="B1197" s="2">
        <f t="shared" ca="1" si="1116"/>
        <v>0.43629955082933092</v>
      </c>
      <c r="C1197" s="2">
        <f t="shared" ca="1" si="1117"/>
        <v>6.9341301310088772</v>
      </c>
      <c r="D1197" s="2">
        <f t="shared" ca="1" si="1118"/>
        <v>0.89784325560407507</v>
      </c>
      <c r="E1197" s="2">
        <f t="shared" ca="1" si="1119"/>
        <v>8.0479895036707116</v>
      </c>
      <c r="F1197" s="2">
        <f t="shared" ca="1" si="1120"/>
        <v>0.896090757465416</v>
      </c>
      <c r="G1197" s="2">
        <f t="shared" ca="1" si="1121"/>
        <v>7.7787601897730818E-2</v>
      </c>
      <c r="H1197" s="2">
        <f t="shared" ca="1" si="1122"/>
        <v>7.7787601897730818E-2</v>
      </c>
      <c r="I1197" s="2">
        <f t="shared" ca="1" si="1123"/>
        <v>0.18854976813682778</v>
      </c>
      <c r="J1197" s="2">
        <f t="shared" ca="1" si="1124"/>
        <v>5.5837344880723724E-3</v>
      </c>
      <c r="K1197" s="2">
        <f t="shared" ca="1" si="1125"/>
        <v>5.5837344880723724E-3</v>
      </c>
      <c r="L1197" s="2">
        <f t="shared" ca="1" si="1126"/>
        <v>1.7100644677687016E-2</v>
      </c>
      <c r="M1197" s="2">
        <f t="shared" ca="1" si="1127"/>
        <v>-4.2353809667770123E-2</v>
      </c>
      <c r="N1197" s="2">
        <f t="shared" ca="1" si="1128"/>
        <v>-4.2353809667770123E-2</v>
      </c>
      <c r="O1197" s="2">
        <f t="shared" si="1129"/>
        <v>6000000</v>
      </c>
      <c r="P1197" s="2">
        <f t="shared" ca="1" si="1130"/>
        <v>41604780.786053263</v>
      </c>
      <c r="Q1197" s="2">
        <f t="shared" ca="1" si="1131"/>
        <v>1040119.5196513316</v>
      </c>
      <c r="R1197" s="2">
        <f t="shared" ca="1" si="1132"/>
        <v>24962868.471631955</v>
      </c>
      <c r="S1197" s="2">
        <f t="shared" ca="1" si="1133"/>
        <v>16641912.314421305</v>
      </c>
      <c r="T1197" s="2">
        <f t="shared" ca="1" si="1134"/>
        <v>47882309.516611494</v>
      </c>
      <c r="U1197" s="2">
        <f t="shared" ca="1" si="1135"/>
        <v>51606959.547233596</v>
      </c>
      <c r="V1197" s="2">
        <f t="shared" ca="1" si="1136"/>
        <v>55621341.171646103</v>
      </c>
      <c r="W1197" s="2">
        <f t="shared" ca="1" si="1137"/>
        <v>59947991.915723972</v>
      </c>
      <c r="X1197" s="2">
        <f t="shared" ca="1" si="1138"/>
        <v>64611202.445432693</v>
      </c>
      <c r="Y1197" s="2">
        <f t="shared" ca="1" si="1139"/>
        <v>0.12279186724403618</v>
      </c>
      <c r="Z1197" s="2">
        <f t="shared" ca="1" si="1140"/>
        <v>0.12390861414165065</v>
      </c>
      <c r="AA1197" s="2">
        <f t="shared" ca="1" si="1141"/>
        <v>5879558.1935016084</v>
      </c>
      <c r="AB1197" s="2">
        <f t="shared" ca="1" si="1142"/>
        <v>6394546.8375619417</v>
      </c>
      <c r="AC1197" s="2">
        <f t="shared" ca="1" si="1143"/>
        <v>6891963.3012786042</v>
      </c>
      <c r="AD1197" s="2">
        <f t="shared" ca="1" si="1144"/>
        <v>7428072.598852234</v>
      </c>
      <c r="AE1197" s="2">
        <f t="shared" ca="1" si="1145"/>
        <v>8005884.5530391941</v>
      </c>
      <c r="AF1197" s="2">
        <f t="shared" ca="1" si="1146"/>
        <v>957646.19033222995</v>
      </c>
      <c r="AG1197" s="2">
        <f t="shared" ca="1" si="1147"/>
        <v>1032139.190944672</v>
      </c>
      <c r="AH1197" s="2">
        <f t="shared" ca="1" si="1148"/>
        <v>1112426.8234329221</v>
      </c>
      <c r="AI1197" s="2">
        <f t="shared" ca="1" si="1149"/>
        <v>1198959.8383144794</v>
      </c>
      <c r="AJ1197" s="2">
        <f t="shared" ca="1" si="1150"/>
        <v>1292224.0489086539</v>
      </c>
      <c r="AK1197" s="2">
        <f t="shared" ca="1" si="1151"/>
        <v>0</v>
      </c>
      <c r="AL1197" s="2">
        <f t="shared" ca="1" si="1152"/>
        <v>37246.500306221023</v>
      </c>
      <c r="AM1197" s="2">
        <f t="shared" ca="1" si="1153"/>
        <v>40143.816244125068</v>
      </c>
      <c r="AN1197" s="2">
        <f t="shared" ca="1" si="1154"/>
        <v>43266.507440778689</v>
      </c>
      <c r="AO1197" s="2">
        <f t="shared" ca="1" si="1155"/>
        <v>46632.105297087212</v>
      </c>
      <c r="AP1197" s="2">
        <f t="shared" ca="1" si="1156"/>
        <v>2246658.1624468761</v>
      </c>
      <c r="AQ1197" s="2">
        <f t="shared" ca="1" si="1157"/>
        <v>695565.9985878506</v>
      </c>
      <c r="AR1197" s="2">
        <f t="shared" ca="1" si="1158"/>
        <v>810094.86588430242</v>
      </c>
      <c r="AS1197" s="2">
        <f t="shared" ca="1" si="1159"/>
        <v>918548.36200368952</v>
      </c>
      <c r="AT1197" s="2">
        <f t="shared" ca="1" si="1160"/>
        <v>1035438.1955036285</v>
      </c>
      <c r="AU1197" s="2">
        <f t="shared" ca="1" si="1161"/>
        <v>1161420.6088377528</v>
      </c>
      <c r="AV1197" s="2">
        <f t="shared" ca="1" si="1162"/>
        <v>1979687.8421346517</v>
      </c>
      <c r="AW1197" s="2">
        <f t="shared" ca="1" si="1163"/>
        <v>2268408.1179798711</v>
      </c>
      <c r="AX1197" s="2">
        <f t="shared" ca="1" si="1164"/>
        <v>2574186.1371509908</v>
      </c>
      <c r="AY1197" s="2">
        <f t="shared" ca="1" si="1165"/>
        <v>2903749.8951464714</v>
      </c>
      <c r="AZ1197" s="2">
        <f t="shared" ca="1" si="1166"/>
        <v>3258949.627548825</v>
      </c>
      <c r="BA1197" s="2">
        <f t="shared" ca="1" si="1167"/>
        <v>64431274.85045892</v>
      </c>
      <c r="BB1197" s="2">
        <f t="shared" ca="1" si="1168"/>
        <v>1288625.4970091784</v>
      </c>
      <c r="BC1197" s="2">
        <f t="shared" ca="1" si="1169"/>
        <v>38179780.88181778</v>
      </c>
      <c r="BD1197" s="2">
        <f t="shared" ca="1" si="1170"/>
        <v>-18182031.834072638</v>
      </c>
      <c r="BE1197" s="2">
        <f t="shared" ca="1" si="1171"/>
        <v>1979687.8421346517</v>
      </c>
      <c r="BF1197" s="2">
        <f t="shared" ca="1" si="1172"/>
        <v>2268408.1179798711</v>
      </c>
      <c r="BG1197" s="2">
        <f t="shared" ca="1" si="1173"/>
        <v>2574186.1371509908</v>
      </c>
      <c r="BH1197" s="2">
        <f t="shared" ca="1" si="1174"/>
        <v>2903749.8951464714</v>
      </c>
      <c r="BI1197" s="2">
        <f t="shared" ca="1" si="1175"/>
        <v>41438730.509366602</v>
      </c>
      <c r="BJ1197" s="2">
        <f t="shared" ca="1" si="1176"/>
        <v>0.26497621759318224</v>
      </c>
      <c r="BK1197" s="2">
        <f t="shared" ca="1" si="1177"/>
        <v>12584996.617896486</v>
      </c>
    </row>
    <row r="1198" spans="1:63" x14ac:dyDescent="0.3">
      <c r="A1198" s="2">
        <v>1197</v>
      </c>
      <c r="B1198" s="2">
        <f t="shared" ca="1" si="1116"/>
        <v>0.24866783134916692</v>
      </c>
      <c r="C1198" s="2">
        <f t="shared" ca="1" si="1117"/>
        <v>6.7052202937368817</v>
      </c>
      <c r="D1198" s="2">
        <f t="shared" ca="1" si="1118"/>
        <v>0.22836059421050903</v>
      </c>
      <c r="E1198" s="2">
        <f t="shared" ca="1" si="1119"/>
        <v>7.175811503616961</v>
      </c>
      <c r="F1198" s="2">
        <f t="shared" ca="1" si="1120"/>
        <v>0.48481521385408843</v>
      </c>
      <c r="G1198" s="2">
        <f t="shared" ca="1" si="1121"/>
        <v>3.8857845712716096E-2</v>
      </c>
      <c r="H1198" s="2">
        <f t="shared" ca="1" si="1122"/>
        <v>3.8857845712716096E-2</v>
      </c>
      <c r="I1198" s="2">
        <f t="shared" ca="1" si="1123"/>
        <v>0.69289684896337422</v>
      </c>
      <c r="J1198" s="2">
        <f t="shared" ca="1" si="1124"/>
        <v>1.2520391878277111E-2</v>
      </c>
      <c r="K1198" s="2">
        <f t="shared" ca="1" si="1125"/>
        <v>1.2520391878277111E-2</v>
      </c>
      <c r="L1198" s="2">
        <f t="shared" ca="1" si="1126"/>
        <v>0.30582444495028538</v>
      </c>
      <c r="M1198" s="2">
        <f t="shared" ca="1" si="1127"/>
        <v>-1.0154423681999942E-2</v>
      </c>
      <c r="N1198" s="2">
        <f t="shared" ca="1" si="1128"/>
        <v>-1.0154423681999942E-2</v>
      </c>
      <c r="O1198" s="2">
        <f t="shared" si="1129"/>
        <v>6000000</v>
      </c>
      <c r="P1198" s="2">
        <f t="shared" ca="1" si="1130"/>
        <v>40231321.762421288</v>
      </c>
      <c r="Q1198" s="2">
        <f t="shared" ca="1" si="1131"/>
        <v>1005783.0440605322</v>
      </c>
      <c r="R1198" s="2">
        <f t="shared" ca="1" si="1132"/>
        <v>24138793.057452772</v>
      </c>
      <c r="S1198" s="2">
        <f t="shared" ca="1" si="1133"/>
        <v>16092528.704968516</v>
      </c>
      <c r="T1198" s="2">
        <f t="shared" ca="1" si="1134"/>
        <v>49492278.815900005</v>
      </c>
      <c r="U1198" s="2">
        <f t="shared" ca="1" si="1135"/>
        <v>51415442.150098972</v>
      </c>
      <c r="V1198" s="2">
        <f t="shared" ca="1" si="1136"/>
        <v>53413335.468418591</v>
      </c>
      <c r="W1198" s="2">
        <f t="shared" ca="1" si="1137"/>
        <v>55488862.617051944</v>
      </c>
      <c r="X1198" s="2">
        <f t="shared" ca="1" si="1138"/>
        <v>57645040.27939944</v>
      </c>
      <c r="Y1198" s="2">
        <f t="shared" ca="1" si="1139"/>
        <v>0.12626019593913856</v>
      </c>
      <c r="Z1198" s="2">
        <f t="shared" ca="1" si="1140"/>
        <v>0.12876427431479398</v>
      </c>
      <c r="AA1198" s="2">
        <f t="shared" ca="1" si="1141"/>
        <v>6248904.8207700113</v>
      </c>
      <c r="AB1198" s="2">
        <f t="shared" ca="1" si="1142"/>
        <v>6620472.0970317647</v>
      </c>
      <c r="AC1198" s="2">
        <f t="shared" ca="1" si="1143"/>
        <v>6877729.3803235665</v>
      </c>
      <c r="AD1198" s="2">
        <f t="shared" ca="1" si="1144"/>
        <v>7144983.1274379939</v>
      </c>
      <c r="AE1198" s="2">
        <f t="shared" ca="1" si="1145"/>
        <v>7422621.7794239381</v>
      </c>
      <c r="AF1198" s="2">
        <f t="shared" ca="1" si="1146"/>
        <v>989845.57631800009</v>
      </c>
      <c r="AG1198" s="2">
        <f t="shared" ca="1" si="1147"/>
        <v>1028308.8430019795</v>
      </c>
      <c r="AH1198" s="2">
        <f t="shared" ca="1" si="1148"/>
        <v>1068266.7093683719</v>
      </c>
      <c r="AI1198" s="2">
        <f t="shared" ca="1" si="1149"/>
        <v>1109777.252341039</v>
      </c>
      <c r="AJ1198" s="2">
        <f t="shared" ca="1" si="1150"/>
        <v>1152900.8055879888</v>
      </c>
      <c r="AK1198" s="2">
        <f t="shared" ca="1" si="1151"/>
        <v>0</v>
      </c>
      <c r="AL1198" s="2">
        <f t="shared" ca="1" si="1152"/>
        <v>19231.633341989665</v>
      </c>
      <c r="AM1198" s="2">
        <f t="shared" ca="1" si="1153"/>
        <v>19978.933183196186</v>
      </c>
      <c r="AN1198" s="2">
        <f t="shared" ca="1" si="1154"/>
        <v>20755.271486333535</v>
      </c>
      <c r="AO1198" s="2">
        <f t="shared" ca="1" si="1155"/>
        <v>21561.776623474954</v>
      </c>
      <c r="AP1198" s="2">
        <f t="shared" ca="1" si="1156"/>
        <v>2172491.3751707496</v>
      </c>
      <c r="AQ1198" s="2">
        <f t="shared" ca="1" si="1157"/>
        <v>802507.64601312799</v>
      </c>
      <c r="AR1198" s="2">
        <f t="shared" ca="1" si="1158"/>
        <v>889114.68850334932</v>
      </c>
      <c r="AS1198" s="2">
        <f t="shared" ca="1" si="1159"/>
        <v>945612.53690395562</v>
      </c>
      <c r="AT1198" s="2">
        <f t="shared" ca="1" si="1160"/>
        <v>1004305.7699808133</v>
      </c>
      <c r="AU1198" s="2">
        <f t="shared" ca="1" si="1161"/>
        <v>1065279.695652952</v>
      </c>
      <c r="AV1198" s="2">
        <f t="shared" ca="1" si="1162"/>
        <v>2284060.2232681336</v>
      </c>
      <c r="AW1198" s="2">
        <f t="shared" ca="1" si="1163"/>
        <v>2511325.557013697</v>
      </c>
      <c r="AX1198" s="2">
        <f t="shared" ca="1" si="1164"/>
        <v>2671379.8256972926</v>
      </c>
      <c r="AY1198" s="2">
        <f t="shared" ca="1" si="1165"/>
        <v>2837653.4584590578</v>
      </c>
      <c r="AZ1198" s="2">
        <f t="shared" ca="1" si="1166"/>
        <v>3010388.1263887724</v>
      </c>
      <c r="BA1198" s="2">
        <f t="shared" ca="1" si="1167"/>
        <v>53263334.751788095</v>
      </c>
      <c r="BB1198" s="2">
        <f t="shared" ca="1" si="1168"/>
        <v>1065266.6950357619</v>
      </c>
      <c r="BC1198" s="2">
        <f t="shared" ca="1" si="1169"/>
        <v>28059274.99929956</v>
      </c>
      <c r="BD1198" s="2">
        <f t="shared" ca="1" si="1170"/>
        <v>-17598311.749029048</v>
      </c>
      <c r="BE1198" s="2">
        <f t="shared" ca="1" si="1171"/>
        <v>2284060.2232681336</v>
      </c>
      <c r="BF1198" s="2">
        <f t="shared" ca="1" si="1172"/>
        <v>2511325.557013697</v>
      </c>
      <c r="BG1198" s="2">
        <f t="shared" ca="1" si="1173"/>
        <v>2671379.8256972926</v>
      </c>
      <c r="BH1198" s="2">
        <f t="shared" ca="1" si="1174"/>
        <v>2837653.4584590578</v>
      </c>
      <c r="BI1198" s="2">
        <f t="shared" ca="1" si="1175"/>
        <v>31069663.125688333</v>
      </c>
      <c r="BJ1198" s="2">
        <f t="shared" ca="1" si="1176"/>
        <v>0.22355628379186987</v>
      </c>
      <c r="BK1198" s="2">
        <f t="shared" ca="1" si="1177"/>
        <v>7777617.8177032322</v>
      </c>
    </row>
    <row r="1199" spans="1:63" x14ac:dyDescent="0.3">
      <c r="A1199" s="2">
        <v>1198</v>
      </c>
      <c r="B1199" s="2">
        <f t="shared" ca="1" si="1116"/>
        <v>0.62871756119456002</v>
      </c>
      <c r="C1199" s="2">
        <f t="shared" ca="1" si="1117"/>
        <v>7.1382779580335196</v>
      </c>
      <c r="D1199" s="2">
        <f t="shared" ca="1" si="1118"/>
        <v>0.46332480895780692</v>
      </c>
      <c r="E1199" s="2">
        <f t="shared" ca="1" si="1119"/>
        <v>7.4626264165893295</v>
      </c>
      <c r="F1199" s="2">
        <f t="shared" ca="1" si="1120"/>
        <v>0.29830784854506398</v>
      </c>
      <c r="G1199" s="2">
        <f t="shared" ca="1" si="1121"/>
        <v>2.4121793319987629E-2</v>
      </c>
      <c r="H1199" s="2">
        <f t="shared" ca="1" si="1122"/>
        <v>2.4121793319987629E-2</v>
      </c>
      <c r="I1199" s="2">
        <f t="shared" ca="1" si="1123"/>
        <v>0.46601014049202671</v>
      </c>
      <c r="J1199" s="2">
        <f t="shared" ca="1" si="1124"/>
        <v>9.5734835811758477E-3</v>
      </c>
      <c r="K1199" s="2">
        <f t="shared" ca="1" si="1125"/>
        <v>9.5734835811758477E-3</v>
      </c>
      <c r="L1199" s="2">
        <f t="shared" ca="1" si="1126"/>
        <v>0.85144822940766207</v>
      </c>
      <c r="M1199" s="2">
        <f t="shared" ca="1" si="1127"/>
        <v>2.0853297070582266E-2</v>
      </c>
      <c r="N1199" s="2">
        <f t="shared" ca="1" si="1128"/>
        <v>2.0853297070582266E-2</v>
      </c>
      <c r="O1199" s="2">
        <f t="shared" si="1129"/>
        <v>6000000</v>
      </c>
      <c r="P1199" s="2">
        <f t="shared" ca="1" si="1130"/>
        <v>42829667.748201117</v>
      </c>
      <c r="Q1199" s="2">
        <f t="shared" ca="1" si="1131"/>
        <v>1070741.6937050279</v>
      </c>
      <c r="R1199" s="2">
        <f t="shared" ca="1" si="1132"/>
        <v>25697800.64892067</v>
      </c>
      <c r="S1199" s="2">
        <f t="shared" ca="1" si="1133"/>
        <v>17131867.099280447</v>
      </c>
      <c r="T1199" s="2">
        <f t="shared" ca="1" si="1134"/>
        <v>51042664.853529118</v>
      </c>
      <c r="U1199" s="2">
        <f t="shared" ca="1" si="1135"/>
        <v>52273905.465627342</v>
      </c>
      <c r="V1199" s="2">
        <f t="shared" ca="1" si="1136"/>
        <v>53534845.80929777</v>
      </c>
      <c r="W1199" s="2">
        <f t="shared" ca="1" si="1137"/>
        <v>54826202.295327052</v>
      </c>
      <c r="X1199" s="2">
        <f t="shared" ca="1" si="1138"/>
        <v>56148708.615614757</v>
      </c>
      <c r="Y1199" s="2">
        <f t="shared" ca="1" si="1139"/>
        <v>0.12478674179058792</v>
      </c>
      <c r="Z1199" s="2">
        <f t="shared" ca="1" si="1140"/>
        <v>0.12670143850682308</v>
      </c>
      <c r="AA1199" s="2">
        <f t="shared" ca="1" si="1141"/>
        <v>6369447.8393808557</v>
      </c>
      <c r="AB1199" s="2">
        <f t="shared" ca="1" si="1142"/>
        <v>6623179.0188646661</v>
      </c>
      <c r="AC1199" s="2">
        <f t="shared" ca="1" si="1143"/>
        <v>6782941.9742789967</v>
      </c>
      <c r="AD1199" s="2">
        <f t="shared" ca="1" si="1144"/>
        <v>6946558.6986840228</v>
      </c>
      <c r="AE1199" s="2">
        <f t="shared" ca="1" si="1145"/>
        <v>7114122.1518988404</v>
      </c>
      <c r="AF1199" s="2">
        <f t="shared" ca="1" si="1146"/>
        <v>1020853.2970705824</v>
      </c>
      <c r="AG1199" s="2">
        <f t="shared" ca="1" si="1147"/>
        <v>1045478.1093125469</v>
      </c>
      <c r="AH1199" s="2">
        <f t="shared" ca="1" si="1148"/>
        <v>1070696.9161859555</v>
      </c>
      <c r="AI1199" s="2">
        <f t="shared" ca="1" si="1149"/>
        <v>1096524.0459065412</v>
      </c>
      <c r="AJ1199" s="2">
        <f t="shared" ca="1" si="1150"/>
        <v>1122974.1723122951</v>
      </c>
      <c r="AK1199" s="2">
        <f t="shared" ca="1" si="1151"/>
        <v>0</v>
      </c>
      <c r="AL1199" s="2">
        <f t="shared" ca="1" si="1152"/>
        <v>12312.406120982245</v>
      </c>
      <c r="AM1199" s="2">
        <f t="shared" ca="1" si="1153"/>
        <v>12609.403436704279</v>
      </c>
      <c r="AN1199" s="2">
        <f t="shared" ca="1" si="1154"/>
        <v>12913.564860292823</v>
      </c>
      <c r="AO1199" s="2">
        <f t="shared" ca="1" si="1155"/>
        <v>13225.063202877045</v>
      </c>
      <c r="AP1199" s="2">
        <f t="shared" ca="1" si="1156"/>
        <v>2312802.0584028601</v>
      </c>
      <c r="AQ1199" s="2">
        <f t="shared" ca="1" si="1157"/>
        <v>789306.04581592744</v>
      </c>
      <c r="AR1199" s="2">
        <f t="shared" ca="1" si="1158"/>
        <v>848873.70129880751</v>
      </c>
      <c r="AS1199" s="2">
        <f t="shared" ca="1" si="1159"/>
        <v>883855.17991944717</v>
      </c>
      <c r="AT1199" s="2">
        <f t="shared" ca="1" si="1160"/>
        <v>919680.47453740169</v>
      </c>
      <c r="AU1199" s="2">
        <f t="shared" ca="1" si="1161"/>
        <v>956369.93950775824</v>
      </c>
      <c r="AV1199" s="2">
        <f t="shared" ca="1" si="1162"/>
        <v>2246486.4380914853</v>
      </c>
      <c r="AW1199" s="2">
        <f t="shared" ca="1" si="1163"/>
        <v>2403712.7437294698</v>
      </c>
      <c r="AX1199" s="2">
        <f t="shared" ca="1" si="1164"/>
        <v>2502978.4163340298</v>
      </c>
      <c r="AY1199" s="2">
        <f t="shared" ca="1" si="1165"/>
        <v>2604638.5549769276</v>
      </c>
      <c r="AZ1199" s="2">
        <f t="shared" ca="1" si="1166"/>
        <v>2708750.9184730505</v>
      </c>
      <c r="BA1199" s="2">
        <f t="shared" ca="1" si="1167"/>
        <v>53090035.901603609</v>
      </c>
      <c r="BB1199" s="2">
        <f t="shared" ca="1" si="1168"/>
        <v>1061800.7180320723</v>
      </c>
      <c r="BC1199" s="2">
        <f t="shared" ca="1" si="1169"/>
        <v>26330434.534650866</v>
      </c>
      <c r="BD1199" s="2">
        <f t="shared" ca="1" si="1170"/>
        <v>-18702608.792985477</v>
      </c>
      <c r="BE1199" s="2">
        <f t="shared" ca="1" si="1171"/>
        <v>2246486.4380914853</v>
      </c>
      <c r="BF1199" s="2">
        <f t="shared" ca="1" si="1172"/>
        <v>2403712.7437294698</v>
      </c>
      <c r="BG1199" s="2">
        <f t="shared" ca="1" si="1173"/>
        <v>2502978.4163340298</v>
      </c>
      <c r="BH1199" s="2">
        <f t="shared" ca="1" si="1174"/>
        <v>2604638.5549769276</v>
      </c>
      <c r="BI1199" s="2">
        <f t="shared" ca="1" si="1175"/>
        <v>29039185.453123916</v>
      </c>
      <c r="BJ1199" s="2">
        <f t="shared" ca="1" si="1176"/>
        <v>0.18743418783428156</v>
      </c>
      <c r="BK1199" s="2">
        <f t="shared" ca="1" si="1177"/>
        <v>5133886.9334320202</v>
      </c>
    </row>
    <row r="1200" spans="1:63" x14ac:dyDescent="0.3">
      <c r="A1200" s="2">
        <v>1199</v>
      </c>
      <c r="B1200" s="2">
        <f t="shared" ca="1" si="1116"/>
        <v>0.49552411930903362</v>
      </c>
      <c r="C1200" s="2">
        <f t="shared" ca="1" si="1117"/>
        <v>6.9955140574688368</v>
      </c>
      <c r="D1200" s="2">
        <f t="shared" ca="1" si="1118"/>
        <v>5.2346639922268179E-2</v>
      </c>
      <c r="E1200" s="2">
        <f t="shared" ca="1" si="1119"/>
        <v>6.8235634093103492</v>
      </c>
      <c r="F1200" s="2">
        <f t="shared" ca="1" si="1120"/>
        <v>0.20042422532695936</v>
      </c>
      <c r="G1200" s="2">
        <f t="shared" ca="1" si="1121"/>
        <v>1.4796792943742736E-2</v>
      </c>
      <c r="H1200" s="2">
        <f t="shared" ca="1" si="1122"/>
        <v>1.4796792943742736E-2</v>
      </c>
      <c r="I1200" s="2">
        <f t="shared" ca="1" si="1123"/>
        <v>0.82505881511400114</v>
      </c>
      <c r="J1200" s="2">
        <f t="shared" ca="1" si="1124"/>
        <v>1.4674087398510605E-2</v>
      </c>
      <c r="K1200" s="2">
        <f t="shared" ca="1" si="1125"/>
        <v>1.4674087398510605E-2</v>
      </c>
      <c r="L1200" s="2">
        <f t="shared" ca="1" si="1126"/>
        <v>0.18770452207495025</v>
      </c>
      <c r="M1200" s="2">
        <f t="shared" ca="1" si="1127"/>
        <v>-1.7727739178593417E-2</v>
      </c>
      <c r="N1200" s="2">
        <f t="shared" ca="1" si="1128"/>
        <v>-1.7727739178593417E-2</v>
      </c>
      <c r="O1200" s="2">
        <f t="shared" si="1129"/>
        <v>6000000</v>
      </c>
      <c r="P1200" s="2">
        <f t="shared" ca="1" si="1130"/>
        <v>41973084.344813019</v>
      </c>
      <c r="Q1200" s="2">
        <f t="shared" ca="1" si="1131"/>
        <v>1049327.1086203256</v>
      </c>
      <c r="R1200" s="2">
        <f t="shared" ca="1" si="1132"/>
        <v>25183850.60688781</v>
      </c>
      <c r="S1200" s="2">
        <f t="shared" ca="1" si="1133"/>
        <v>16789233.737925209</v>
      </c>
      <c r="T1200" s="2">
        <f t="shared" ca="1" si="1134"/>
        <v>49113613.041070327</v>
      </c>
      <c r="U1200" s="2">
        <f t="shared" ca="1" si="1135"/>
        <v>49840337.003958143</v>
      </c>
      <c r="V1200" s="2">
        <f t="shared" ca="1" si="1136"/>
        <v>50577814.150852069</v>
      </c>
      <c r="W1200" s="2">
        <f t="shared" ca="1" si="1137"/>
        <v>51326203.594389327</v>
      </c>
      <c r="X1200" s="2">
        <f t="shared" ca="1" si="1138"/>
        <v>52085666.801563889</v>
      </c>
      <c r="Y1200" s="2">
        <f t="shared" ca="1" si="1139"/>
        <v>0.1273370436992553</v>
      </c>
      <c r="Z1200" s="2">
        <f t="shared" ca="1" si="1140"/>
        <v>0.13027186117895742</v>
      </c>
      <c r="AA1200" s="2">
        <f t="shared" ca="1" si="1141"/>
        <v>6253982.2900390876</v>
      </c>
      <c r="AB1200" s="2">
        <f t="shared" ca="1" si="1142"/>
        <v>6492793.4632920902</v>
      </c>
      <c r="AC1200" s="2">
        <f t="shared" ca="1" si="1143"/>
        <v>6588865.983794909</v>
      </c>
      <c r="AD1200" s="2">
        <f t="shared" ca="1" si="1144"/>
        <v>6686360.0694911918</v>
      </c>
      <c r="AE1200" s="2">
        <f t="shared" ca="1" si="1145"/>
        <v>6785296.7549867621</v>
      </c>
      <c r="AF1200" s="2">
        <f t="shared" ca="1" si="1146"/>
        <v>982272.26082140661</v>
      </c>
      <c r="AG1200" s="2">
        <f t="shared" ca="1" si="1147"/>
        <v>996806.74007916288</v>
      </c>
      <c r="AH1200" s="2">
        <f t="shared" ca="1" si="1148"/>
        <v>1011556.2830170414</v>
      </c>
      <c r="AI1200" s="2">
        <f t="shared" ca="1" si="1149"/>
        <v>1026524.0718877866</v>
      </c>
      <c r="AJ1200" s="2">
        <f t="shared" ca="1" si="1150"/>
        <v>1041713.3360312778</v>
      </c>
      <c r="AK1200" s="2">
        <f t="shared" ca="1" si="1151"/>
        <v>0</v>
      </c>
      <c r="AL1200" s="2">
        <f t="shared" ca="1" si="1152"/>
        <v>7267.2396288781611</v>
      </c>
      <c r="AM1200" s="2">
        <f t="shared" ca="1" si="1153"/>
        <v>7374.7714689392596</v>
      </c>
      <c r="AN1200" s="2">
        <f t="shared" ca="1" si="1154"/>
        <v>7483.8944353725765</v>
      </c>
      <c r="AO1200" s="2">
        <f t="shared" ca="1" si="1155"/>
        <v>7594.6320717456192</v>
      </c>
      <c r="AP1200" s="2">
        <f t="shared" ca="1" si="1156"/>
        <v>2266546.5546199027</v>
      </c>
      <c r="AQ1200" s="2">
        <f t="shared" ca="1" si="1157"/>
        <v>781342.50339542236</v>
      </c>
      <c r="AR1200" s="2">
        <f t="shared" ca="1" si="1158"/>
        <v>839654.44383418653</v>
      </c>
      <c r="AS1200" s="2">
        <f t="shared" ca="1" si="1159"/>
        <v>860798.41800107097</v>
      </c>
      <c r="AT1200" s="2">
        <f t="shared" ca="1" si="1160"/>
        <v>882255.25517571066</v>
      </c>
      <c r="AU1200" s="2">
        <f t="shared" ca="1" si="1161"/>
        <v>904029.58472725132</v>
      </c>
      <c r="AV1200" s="2">
        <f t="shared" ca="1" si="1162"/>
        <v>2223820.9712023558</v>
      </c>
      <c r="AW1200" s="2">
        <f t="shared" ca="1" si="1163"/>
        <v>2382518.4851299599</v>
      </c>
      <c r="AX1200" s="2">
        <f t="shared" ca="1" si="1164"/>
        <v>2442589.9566879552</v>
      </c>
      <c r="AY1200" s="2">
        <f t="shared" ca="1" si="1165"/>
        <v>2503550.2933724197</v>
      </c>
      <c r="AZ1200" s="2">
        <f t="shared" ca="1" si="1166"/>
        <v>2565412.6475365851</v>
      </c>
      <c r="BA1200" s="2">
        <f t="shared" ca="1" si="1167"/>
        <v>46299902.658639923</v>
      </c>
      <c r="BB1200" s="2">
        <f t="shared" ca="1" si="1168"/>
        <v>925998.05317279848</v>
      </c>
      <c r="BC1200" s="2">
        <f t="shared" ca="1" si="1169"/>
        <v>20190053.998579316</v>
      </c>
      <c r="BD1200" s="2">
        <f t="shared" ca="1" si="1170"/>
        <v>-18338560.846545536</v>
      </c>
      <c r="BE1200" s="2">
        <f t="shared" ca="1" si="1171"/>
        <v>2223820.9712023558</v>
      </c>
      <c r="BF1200" s="2">
        <f t="shared" ca="1" si="1172"/>
        <v>2382518.4851299599</v>
      </c>
      <c r="BG1200" s="2">
        <f t="shared" ca="1" si="1173"/>
        <v>2442589.9566879552</v>
      </c>
      <c r="BH1200" s="2">
        <f t="shared" ca="1" si="1174"/>
        <v>2503550.2933724197</v>
      </c>
      <c r="BI1200" s="2">
        <f t="shared" ca="1" si="1175"/>
        <v>22755466.646115899</v>
      </c>
      <c r="BJ1200" s="2">
        <f t="shared" ca="1" si="1176"/>
        <v>0.14604358171355747</v>
      </c>
      <c r="BK1200" s="2">
        <f t="shared" ca="1" si="1177"/>
        <v>1788024.3872525245</v>
      </c>
    </row>
    <row r="1201" spans="1:63" x14ac:dyDescent="0.3">
      <c r="A1201" s="2">
        <v>1200</v>
      </c>
      <c r="B1201" s="2">
        <f t="shared" ca="1" si="1116"/>
        <v>0.6582613575457984</v>
      </c>
      <c r="C1201" s="2">
        <f t="shared" ca="1" si="1117"/>
        <v>7.1732731497596056</v>
      </c>
      <c r="D1201" s="2">
        <f t="shared" ca="1" si="1118"/>
        <v>0.47388852015313343</v>
      </c>
      <c r="E1201" s="2">
        <f t="shared" ca="1" si="1119"/>
        <v>7.4735384123424549</v>
      </c>
      <c r="F1201" s="2">
        <f t="shared" ca="1" si="1120"/>
        <v>0.10923204902857531</v>
      </c>
      <c r="G1201" s="2">
        <f t="shared" ca="1" si="1121"/>
        <v>3.0813259674323107E-3</v>
      </c>
      <c r="H1201" s="2">
        <f t="shared" ca="1" si="1122"/>
        <v>3.0813259674323107E-3</v>
      </c>
      <c r="I1201" s="2">
        <f t="shared" ca="1" si="1123"/>
        <v>0.36040340617780342</v>
      </c>
      <c r="J1201" s="2">
        <f t="shared" ca="1" si="1124"/>
        <v>8.2130964274375849E-3</v>
      </c>
      <c r="K1201" s="2">
        <f t="shared" ca="1" si="1125"/>
        <v>8.2130964274375849E-3</v>
      </c>
      <c r="L1201" s="2">
        <f t="shared" ca="1" si="1126"/>
        <v>0.84432459021242612</v>
      </c>
      <c r="M1201" s="2">
        <f t="shared" ca="1" si="1127"/>
        <v>2.02478334021573E-2</v>
      </c>
      <c r="N1201" s="2">
        <f t="shared" ca="1" si="1128"/>
        <v>2.02478334021573E-2</v>
      </c>
      <c r="O1201" s="2">
        <f t="shared" si="1129"/>
        <v>6000000</v>
      </c>
      <c r="P1201" s="2">
        <f t="shared" ca="1" si="1130"/>
        <v>43039638.898557633</v>
      </c>
      <c r="Q1201" s="2">
        <f t="shared" ca="1" si="1131"/>
        <v>1075990.972463941</v>
      </c>
      <c r="R1201" s="2">
        <f t="shared" ca="1" si="1132"/>
        <v>25823783.339134578</v>
      </c>
      <c r="S1201" s="2">
        <f t="shared" ca="1" si="1133"/>
        <v>17215855.559423055</v>
      </c>
      <c r="T1201" s="2">
        <f t="shared" ca="1" si="1134"/>
        <v>51012391.670107871</v>
      </c>
      <c r="U1201" s="2">
        <f t="shared" ca="1" si="1135"/>
        <v>51169577.477221802</v>
      </c>
      <c r="V1201" s="2">
        <f t="shared" ca="1" si="1136"/>
        <v>51327247.625044905</v>
      </c>
      <c r="W1201" s="2">
        <f t="shared" ca="1" si="1137"/>
        <v>51485403.605988778</v>
      </c>
      <c r="X1201" s="2">
        <f t="shared" ca="1" si="1138"/>
        <v>51644046.917063646</v>
      </c>
      <c r="Y1201" s="2">
        <f t="shared" ca="1" si="1139"/>
        <v>0.12410654821371879</v>
      </c>
      <c r="Z1201" s="2">
        <f t="shared" ca="1" si="1140"/>
        <v>0.12574916749920631</v>
      </c>
      <c r="AA1201" s="2">
        <f t="shared" ca="1" si="1141"/>
        <v>6330971.8463033494</v>
      </c>
      <c r="AB1201" s="2">
        <f t="shared" ca="1" si="1142"/>
        <v>6434531.7690467788</v>
      </c>
      <c r="AC1201" s="2">
        <f t="shared" ca="1" si="1143"/>
        <v>6454358.6588750109</v>
      </c>
      <c r="AD1201" s="2">
        <f t="shared" ca="1" si="1144"/>
        <v>6474246.6418137234</v>
      </c>
      <c r="AE1201" s="2">
        <f t="shared" ca="1" si="1145"/>
        <v>6494195.9061107058</v>
      </c>
      <c r="AF1201" s="2">
        <f t="shared" ca="1" si="1146"/>
        <v>1020247.8334021574</v>
      </c>
      <c r="AG1201" s="2">
        <f t="shared" ca="1" si="1147"/>
        <v>1023391.549544436</v>
      </c>
      <c r="AH1201" s="2">
        <f t="shared" ca="1" si="1148"/>
        <v>1026544.9525008982</v>
      </c>
      <c r="AI1201" s="2">
        <f t="shared" ca="1" si="1149"/>
        <v>1029708.0721197756</v>
      </c>
      <c r="AJ1201" s="2">
        <f t="shared" ca="1" si="1150"/>
        <v>1032880.938341273</v>
      </c>
      <c r="AK1201" s="2">
        <f t="shared" ca="1" si="1151"/>
        <v>0</v>
      </c>
      <c r="AL1201" s="2">
        <f t="shared" ca="1" si="1152"/>
        <v>1571.8580711393058</v>
      </c>
      <c r="AM1201" s="2">
        <f t="shared" ca="1" si="1153"/>
        <v>1576.7014782310277</v>
      </c>
      <c r="AN1201" s="2">
        <f t="shared" ca="1" si="1154"/>
        <v>1581.5598094387353</v>
      </c>
      <c r="AO1201" s="2">
        <f t="shared" ca="1" si="1155"/>
        <v>1586.4331107486785</v>
      </c>
      <c r="AP1201" s="2">
        <f t="shared" ca="1" si="1156"/>
        <v>2324140.500522112</v>
      </c>
      <c r="AQ1201" s="2">
        <f t="shared" ca="1" si="1157"/>
        <v>776511.71321856068</v>
      </c>
      <c r="AR1201" s="2">
        <f t="shared" ca="1" si="1158"/>
        <v>802619.92693486006</v>
      </c>
      <c r="AS1201" s="2">
        <f t="shared" ca="1" si="1159"/>
        <v>806955.03352152021</v>
      </c>
      <c r="AT1201" s="2">
        <f t="shared" ca="1" si="1160"/>
        <v>811303.49798467744</v>
      </c>
      <c r="AU1201" s="2">
        <f t="shared" ca="1" si="1161"/>
        <v>815665.36148430349</v>
      </c>
      <c r="AV1201" s="2">
        <f t="shared" ca="1" si="1162"/>
        <v>2210071.7991605191</v>
      </c>
      <c r="AW1201" s="2">
        <f t="shared" ca="1" si="1163"/>
        <v>2282807.9339742321</v>
      </c>
      <c r="AX1201" s="2">
        <f t="shared" ca="1" si="1164"/>
        <v>2295141.4708522498</v>
      </c>
      <c r="AY1201" s="2">
        <f t="shared" ca="1" si="1165"/>
        <v>2307513.0113777197</v>
      </c>
      <c r="AZ1201" s="2">
        <f t="shared" ca="1" si="1166"/>
        <v>2319922.6726522692</v>
      </c>
      <c r="BA1201" s="2">
        <f t="shared" ca="1" si="1167"/>
        <v>48534622.561595477</v>
      </c>
      <c r="BB1201" s="2">
        <f t="shared" ca="1" si="1168"/>
        <v>970692.45123190957</v>
      </c>
      <c r="BC1201" s="2">
        <f t="shared" ca="1" si="1169"/>
        <v>21740146.771228991</v>
      </c>
      <c r="BD1201" s="2">
        <f t="shared" ca="1" si="1170"/>
        <v>-18791846.531886995</v>
      </c>
      <c r="BE1201" s="2">
        <f t="shared" ca="1" si="1171"/>
        <v>2210071.7991605191</v>
      </c>
      <c r="BF1201" s="2">
        <f t="shared" ca="1" si="1172"/>
        <v>2282807.9339742321</v>
      </c>
      <c r="BG1201" s="2">
        <f t="shared" ca="1" si="1173"/>
        <v>2295141.4708522498</v>
      </c>
      <c r="BH1201" s="2">
        <f t="shared" ca="1" si="1174"/>
        <v>2307513.0113777197</v>
      </c>
      <c r="BI1201" s="2">
        <f t="shared" ca="1" si="1175"/>
        <v>24060069.443881262</v>
      </c>
      <c r="BJ1201" s="2">
        <f t="shared" ca="1" si="1176"/>
        <v>0.14465063284994373</v>
      </c>
      <c r="BK1201" s="2">
        <f t="shared" ca="1" si="1177"/>
        <v>1753704.5214974135</v>
      </c>
    </row>
    <row r="1202" spans="1:63" x14ac:dyDescent="0.3">
      <c r="A1202" s="2">
        <v>1201</v>
      </c>
      <c r="B1202" s="2">
        <f t="shared" ca="1" si="1116"/>
        <v>0.12642572615655634</v>
      </c>
      <c r="C1202" s="2">
        <f t="shared" ca="1" si="1117"/>
        <v>6.5028433675739521</v>
      </c>
      <c r="D1202" s="2">
        <f t="shared" ca="1" si="1118"/>
        <v>0.89465934110918588</v>
      </c>
      <c r="E1202" s="2">
        <f t="shared" ca="1" si="1119"/>
        <v>8.0409996538327793</v>
      </c>
      <c r="F1202" s="2">
        <f t="shared" ca="1" si="1120"/>
        <v>0.24194804910348022</v>
      </c>
      <c r="G1202" s="2">
        <f t="shared" ca="1" si="1121"/>
        <v>1.899850089390473E-2</v>
      </c>
      <c r="H1202" s="2">
        <f t="shared" ca="1" si="1122"/>
        <v>1.899850089390473E-2</v>
      </c>
      <c r="I1202" s="2">
        <f t="shared" ca="1" si="1123"/>
        <v>0.19586922376315874</v>
      </c>
      <c r="J1202" s="2">
        <f t="shared" ca="1" si="1124"/>
        <v>5.7176553139715435E-3</v>
      </c>
      <c r="K1202" s="2">
        <f t="shared" ca="1" si="1125"/>
        <v>5.7176553139715435E-3</v>
      </c>
      <c r="L1202" s="2">
        <f t="shared" ca="1" si="1126"/>
        <v>2.8265644037074766E-2</v>
      </c>
      <c r="M1202" s="2">
        <f t="shared" ca="1" si="1127"/>
        <v>-3.8138347462194827E-2</v>
      </c>
      <c r="N1202" s="2">
        <f t="shared" ca="1" si="1128"/>
        <v>-3.8138347462194827E-2</v>
      </c>
      <c r="O1202" s="2">
        <f t="shared" si="1129"/>
        <v>6000000</v>
      </c>
      <c r="P1202" s="2">
        <f t="shared" ca="1" si="1130"/>
        <v>39017060.20544371</v>
      </c>
      <c r="Q1202" s="2">
        <f t="shared" ca="1" si="1131"/>
        <v>975426.50513609278</v>
      </c>
      <c r="R1202" s="2">
        <f t="shared" ca="1" si="1132"/>
        <v>23410236.123266224</v>
      </c>
      <c r="S1202" s="2">
        <f t="shared" ca="1" si="1133"/>
        <v>15606824.082177484</v>
      </c>
      <c r="T1202" s="2">
        <f t="shared" ca="1" si="1134"/>
        <v>48093082.626890257</v>
      </c>
      <c r="U1202" s="2">
        <f t="shared" ca="1" si="1135"/>
        <v>49006779.100167863</v>
      </c>
      <c r="V1202" s="2">
        <f t="shared" ca="1" si="1136"/>
        <v>49937834.436709791</v>
      </c>
      <c r="W1202" s="2">
        <f t="shared" ca="1" si="1137"/>
        <v>50886578.428895287</v>
      </c>
      <c r="X1202" s="2">
        <f t="shared" ca="1" si="1138"/>
        <v>51853347.134664401</v>
      </c>
      <c r="Y1202" s="2">
        <f t="shared" ca="1" si="1139"/>
        <v>0.12285882765698576</v>
      </c>
      <c r="Z1202" s="2">
        <f t="shared" ca="1" si="1140"/>
        <v>0.12400235871978008</v>
      </c>
      <c r="AA1202" s="2">
        <f t="shared" ca="1" si="1141"/>
        <v>5908659.749950286</v>
      </c>
      <c r="AB1202" s="2">
        <f t="shared" ca="1" si="1142"/>
        <v>6076956.2016800363</v>
      </c>
      <c r="AC1202" s="2">
        <f t="shared" ca="1" si="1143"/>
        <v>6192409.2595098745</v>
      </c>
      <c r="AD1202" s="2">
        <f t="shared" ca="1" si="1144"/>
        <v>6310055.7523620967</v>
      </c>
      <c r="AE1202" s="2">
        <f t="shared" ca="1" si="1145"/>
        <v>6429937.352213935</v>
      </c>
      <c r="AF1202" s="2">
        <f t="shared" ca="1" si="1146"/>
        <v>961861.65253780514</v>
      </c>
      <c r="AG1202" s="2">
        <f t="shared" ca="1" si="1147"/>
        <v>980135.58200335724</v>
      </c>
      <c r="AH1202" s="2">
        <f t="shared" ca="1" si="1148"/>
        <v>998756.68873419589</v>
      </c>
      <c r="AI1202" s="2">
        <f t="shared" ca="1" si="1149"/>
        <v>1017731.5685779058</v>
      </c>
      <c r="AJ1202" s="2">
        <f t="shared" ca="1" si="1150"/>
        <v>1037066.9426932881</v>
      </c>
      <c r="AK1202" s="2">
        <f t="shared" ca="1" si="1151"/>
        <v>0</v>
      </c>
      <c r="AL1202" s="2">
        <f t="shared" ca="1" si="1152"/>
        <v>9136.9647327760613</v>
      </c>
      <c r="AM1202" s="2">
        <f t="shared" ca="1" si="1153"/>
        <v>9310.5533654192841</v>
      </c>
      <c r="AN1202" s="2">
        <f t="shared" ca="1" si="1154"/>
        <v>9487.4399218549588</v>
      </c>
      <c r="AO1202" s="2">
        <f t="shared" ca="1" si="1155"/>
        <v>9667.6870576911424</v>
      </c>
      <c r="AP1202" s="2">
        <f t="shared" ca="1" si="1156"/>
        <v>2106921.2510939599</v>
      </c>
      <c r="AQ1202" s="2">
        <f t="shared" ca="1" si="1157"/>
        <v>738367.98004281556</v>
      </c>
      <c r="AR1202" s="2">
        <f t="shared" ca="1" si="1158"/>
        <v>777373.83583150711</v>
      </c>
      <c r="AS1202" s="2">
        <f t="shared" ca="1" si="1159"/>
        <v>802550.1431172468</v>
      </c>
      <c r="AT1202" s="2">
        <f t="shared" ca="1" si="1160"/>
        <v>828204.76249946002</v>
      </c>
      <c r="AU1202" s="2">
        <f t="shared" ca="1" si="1161"/>
        <v>854346.78119093855</v>
      </c>
      <c r="AV1202" s="2">
        <f t="shared" ca="1" si="1162"/>
        <v>2101508.8662757059</v>
      </c>
      <c r="AW1202" s="2">
        <f t="shared" ca="1" si="1163"/>
        <v>2203388.568018436</v>
      </c>
      <c r="AX1202" s="2">
        <f t="shared" ca="1" si="1164"/>
        <v>2274870.6231990517</v>
      </c>
      <c r="AY1202" s="2">
        <f t="shared" ca="1" si="1165"/>
        <v>2347710.7302689156</v>
      </c>
      <c r="AZ1202" s="2">
        <f t="shared" ca="1" si="1166"/>
        <v>2421934.6901780576</v>
      </c>
      <c r="BA1202" s="2">
        <f t="shared" ca="1" si="1167"/>
        <v>51703124.023318708</v>
      </c>
      <c r="BB1202" s="2">
        <f t="shared" ca="1" si="1168"/>
        <v>1034062.4804663742</v>
      </c>
      <c r="BC1202" s="2">
        <f t="shared" ca="1" si="1169"/>
        <v>27258825.419586111</v>
      </c>
      <c r="BD1202" s="2">
        <f t="shared" ca="1" si="1170"/>
        <v>-17082250.587313578</v>
      </c>
      <c r="BE1202" s="2">
        <f t="shared" ca="1" si="1171"/>
        <v>2101508.8662757059</v>
      </c>
      <c r="BF1202" s="2">
        <f t="shared" ca="1" si="1172"/>
        <v>2203388.568018436</v>
      </c>
      <c r="BG1202" s="2">
        <f t="shared" ca="1" si="1173"/>
        <v>2274870.6231990517</v>
      </c>
      <c r="BH1202" s="2">
        <f t="shared" ca="1" si="1174"/>
        <v>2347710.7302689156</v>
      </c>
      <c r="BI1202" s="2">
        <f t="shared" ca="1" si="1175"/>
        <v>29680760.10976417</v>
      </c>
      <c r="BJ1202" s="2">
        <f t="shared" ca="1" si="1176"/>
        <v>0.20969037987687056</v>
      </c>
      <c r="BK1202" s="2">
        <f t="shared" ca="1" si="1177"/>
        <v>6503505.463304989</v>
      </c>
    </row>
    <row r="1203" spans="1:63" x14ac:dyDescent="0.3">
      <c r="A1203" s="2">
        <v>1202</v>
      </c>
      <c r="B1203" s="2">
        <f t="shared" ca="1" si="1116"/>
        <v>0.50712223370391485</v>
      </c>
      <c r="C1203" s="2">
        <f t="shared" ca="1" si="1117"/>
        <v>7.0071477790767798</v>
      </c>
      <c r="D1203" s="2">
        <f t="shared" ca="1" si="1118"/>
        <v>0.99087451593123388</v>
      </c>
      <c r="E1203" s="2">
        <f t="shared" ca="1" si="1119"/>
        <v>8.3649038559486897</v>
      </c>
      <c r="F1203" s="2">
        <f t="shared" ca="1" si="1120"/>
        <v>0.83614764578907153</v>
      </c>
      <c r="G1203" s="2">
        <f t="shared" ca="1" si="1121"/>
        <v>6.9362427879730626E-2</v>
      </c>
      <c r="H1203" s="2">
        <f t="shared" ca="1" si="1122"/>
        <v>6.9362427879730626E-2</v>
      </c>
      <c r="I1203" s="2">
        <f t="shared" ca="1" si="1123"/>
        <v>0.3008052345187866</v>
      </c>
      <c r="J1203" s="2">
        <f t="shared" ca="1" si="1124"/>
        <v>7.3895701105622397E-3</v>
      </c>
      <c r="K1203" s="2">
        <f t="shared" ca="1" si="1125"/>
        <v>7.3895701105622397E-3</v>
      </c>
      <c r="L1203" s="2">
        <f t="shared" ca="1" si="1126"/>
        <v>0.29190778975388176</v>
      </c>
      <c r="M1203" s="2">
        <f t="shared" ca="1" si="1127"/>
        <v>-1.0956397811104652E-2</v>
      </c>
      <c r="N1203" s="2">
        <f t="shared" ca="1" si="1128"/>
        <v>-1.0956397811104652E-2</v>
      </c>
      <c r="O1203" s="2">
        <f t="shared" si="1129"/>
        <v>6000000</v>
      </c>
      <c r="P1203" s="2">
        <f t="shared" ca="1" si="1130"/>
        <v>42042886.674460679</v>
      </c>
      <c r="Q1203" s="2">
        <f t="shared" ca="1" si="1131"/>
        <v>1051072.1668615171</v>
      </c>
      <c r="R1203" s="2">
        <f t="shared" ca="1" si="1132"/>
        <v>25225732.004676405</v>
      </c>
      <c r="S1203" s="2">
        <f t="shared" ca="1" si="1133"/>
        <v>16817154.669784274</v>
      </c>
      <c r="T1203" s="2">
        <f t="shared" ca="1" si="1134"/>
        <v>49452180.109444767</v>
      </c>
      <c r="U1203" s="2">
        <f t="shared" ca="1" si="1135"/>
        <v>52882303.385781579</v>
      </c>
      <c r="V1203" s="2">
        <f t="shared" ca="1" si="1136"/>
        <v>56550348.340491891</v>
      </c>
      <c r="W1203" s="2">
        <f t="shared" ca="1" si="1137"/>
        <v>60472817.798832908</v>
      </c>
      <c r="X1203" s="2">
        <f t="shared" ca="1" si="1138"/>
        <v>64667359.262088552</v>
      </c>
      <c r="Y1203" s="2">
        <f t="shared" ca="1" si="1139"/>
        <v>0.12369478505528111</v>
      </c>
      <c r="Z1203" s="2">
        <f t="shared" ca="1" si="1140"/>
        <v>0.12517269907739356</v>
      </c>
      <c r="AA1203" s="2">
        <f t="shared" ca="1" si="1141"/>
        <v>6116976.7891528187</v>
      </c>
      <c r="AB1203" s="2">
        <f t="shared" ca="1" si="1142"/>
        <v>6619420.6482278686</v>
      </c>
      <c r="AC1203" s="2">
        <f t="shared" ca="1" si="1143"/>
        <v>7078559.7355461735</v>
      </c>
      <c r="AD1203" s="2">
        <f t="shared" ca="1" si="1144"/>
        <v>7569545.8246953608</v>
      </c>
      <c r="AE1203" s="2">
        <f t="shared" ca="1" si="1145"/>
        <v>8094587.9010431096</v>
      </c>
      <c r="AF1203" s="2">
        <f t="shared" ca="1" si="1146"/>
        <v>989043.60218889534</v>
      </c>
      <c r="AG1203" s="2">
        <f t="shared" ca="1" si="1147"/>
        <v>1057646.0677156316</v>
      </c>
      <c r="AH1203" s="2">
        <f t="shared" ca="1" si="1148"/>
        <v>1131006.9668098378</v>
      </c>
      <c r="AI1203" s="2">
        <f t="shared" ca="1" si="1149"/>
        <v>1209456.3559766582</v>
      </c>
      <c r="AJ1203" s="2">
        <f t="shared" ca="1" si="1150"/>
        <v>1293347.1852417712</v>
      </c>
      <c r="AK1203" s="2">
        <f t="shared" ca="1" si="1151"/>
        <v>0</v>
      </c>
      <c r="AL1203" s="2">
        <f t="shared" ca="1" si="1152"/>
        <v>34301.232763368113</v>
      </c>
      <c r="AM1203" s="2">
        <f t="shared" ca="1" si="1153"/>
        <v>36680.449547103126</v>
      </c>
      <c r="AN1203" s="2">
        <f t="shared" ca="1" si="1154"/>
        <v>39224.694583410172</v>
      </c>
      <c r="AO1203" s="2">
        <f t="shared" ca="1" si="1155"/>
        <v>41945.414632556436</v>
      </c>
      <c r="AP1203" s="2">
        <f t="shared" ca="1" si="1156"/>
        <v>2270315.8804208762</v>
      </c>
      <c r="AQ1203" s="2">
        <f t="shared" ca="1" si="1157"/>
        <v>742980.49970119225</v>
      </c>
      <c r="AR1203" s="2">
        <f t="shared" ca="1" si="1158"/>
        <v>855779.26202375384</v>
      </c>
      <c r="AS1203" s="2">
        <f t="shared" ca="1" si="1159"/>
        <v>956081.5909620194</v>
      </c>
      <c r="AT1203" s="2">
        <f t="shared" ca="1" si="1160"/>
        <v>1063341.132957435</v>
      </c>
      <c r="AU1203" s="2">
        <f t="shared" ca="1" si="1161"/>
        <v>1178040.4571989204</v>
      </c>
      <c r="AV1203" s="2">
        <f t="shared" ca="1" si="1162"/>
        <v>2114636.8068418545</v>
      </c>
      <c r="AW1203" s="2">
        <f t="shared" ca="1" si="1163"/>
        <v>2401378.2053042394</v>
      </c>
      <c r="AX1203" s="2">
        <f t="shared" ca="1" si="1164"/>
        <v>2684474.8478063368</v>
      </c>
      <c r="AY1203" s="2">
        <f t="shared" ca="1" si="1165"/>
        <v>2987207.7607569811</v>
      </c>
      <c r="AZ1203" s="2">
        <f t="shared" ca="1" si="1166"/>
        <v>3310938.9635489858</v>
      </c>
      <c r="BA1203" s="2">
        <f t="shared" ca="1" si="1167"/>
        <v>67710449.545751125</v>
      </c>
      <c r="BB1203" s="2">
        <f t="shared" ca="1" si="1168"/>
        <v>1354208.9909150226</v>
      </c>
      <c r="BC1203" s="2">
        <f t="shared" ca="1" si="1169"/>
        <v>41130508.5501597</v>
      </c>
      <c r="BD1203" s="2">
        <f t="shared" ca="1" si="1170"/>
        <v>-18368226.836645789</v>
      </c>
      <c r="BE1203" s="2">
        <f t="shared" ca="1" si="1171"/>
        <v>2114636.8068418545</v>
      </c>
      <c r="BF1203" s="2">
        <f t="shared" ca="1" si="1172"/>
        <v>2401378.2053042394</v>
      </c>
      <c r="BG1203" s="2">
        <f t="shared" ca="1" si="1173"/>
        <v>2684474.8478063368</v>
      </c>
      <c r="BH1203" s="2">
        <f t="shared" ca="1" si="1174"/>
        <v>2987207.7607569811</v>
      </c>
      <c r="BI1203" s="2">
        <f t="shared" ca="1" si="1175"/>
        <v>44441447.513708688</v>
      </c>
      <c r="BJ1203" s="2">
        <f t="shared" ca="1" si="1176"/>
        <v>0.28126727300335386</v>
      </c>
      <c r="BK1203" s="2">
        <f t="shared" ca="1" si="1177"/>
        <v>14460657.278464194</v>
      </c>
    </row>
    <row r="1204" spans="1:63" x14ac:dyDescent="0.3">
      <c r="A1204" s="2">
        <v>1203</v>
      </c>
      <c r="B1204" s="2">
        <f t="shared" ca="1" si="1116"/>
        <v>0.95050914072353909</v>
      </c>
      <c r="C1204" s="2">
        <f t="shared" ca="1" si="1117"/>
        <v>7.685386398016675</v>
      </c>
      <c r="D1204" s="2">
        <f t="shared" ca="1" si="1118"/>
        <v>0.68600770478556972</v>
      </c>
      <c r="E1204" s="2">
        <f t="shared" ca="1" si="1119"/>
        <v>7.7075452123755825</v>
      </c>
      <c r="F1204" s="2">
        <f t="shared" ca="1" si="1120"/>
        <v>0.65103683066030626</v>
      </c>
      <c r="G1204" s="2">
        <f t="shared" ca="1" si="1121"/>
        <v>5.1643636214427247E-2</v>
      </c>
      <c r="H1204" s="2">
        <f t="shared" ca="1" si="1122"/>
        <v>5.1643636214427247E-2</v>
      </c>
      <c r="I1204" s="2">
        <f t="shared" ca="1" si="1123"/>
        <v>0.75285917962358873</v>
      </c>
      <c r="J1204" s="2">
        <f t="shared" ca="1" si="1124"/>
        <v>1.3417573688731435E-2</v>
      </c>
      <c r="K1204" s="2">
        <f t="shared" ca="1" si="1125"/>
        <v>1.3417573688731435E-2</v>
      </c>
      <c r="L1204" s="2">
        <f t="shared" ca="1" si="1126"/>
        <v>6.6279310294621196E-2</v>
      </c>
      <c r="M1204" s="2">
        <f t="shared" ca="1" si="1127"/>
        <v>-3.008176692124119E-2</v>
      </c>
      <c r="N1204" s="2">
        <f t="shared" ca="1" si="1128"/>
        <v>-3.008176692124119E-2</v>
      </c>
      <c r="O1204" s="2">
        <f t="shared" si="1129"/>
        <v>6000000</v>
      </c>
      <c r="P1204" s="2">
        <f t="shared" ca="1" si="1130"/>
        <v>46112318.38810005</v>
      </c>
      <c r="Q1204" s="2">
        <f t="shared" ca="1" si="1131"/>
        <v>1152807.9597025013</v>
      </c>
      <c r="R1204" s="2">
        <f t="shared" ca="1" si="1132"/>
        <v>27667391.032860029</v>
      </c>
      <c r="S1204" s="2">
        <f t="shared" ca="1" si="1133"/>
        <v>18444927.355240021</v>
      </c>
      <c r="T1204" s="2">
        <f t="shared" ca="1" si="1134"/>
        <v>48495911.653937943</v>
      </c>
      <c r="U1204" s="2">
        <f t="shared" ca="1" si="1135"/>
        <v>51000416.87328092</v>
      </c>
      <c r="V1204" s="2">
        <f t="shared" ca="1" si="1136"/>
        <v>53634263.849068776</v>
      </c>
      <c r="W1204" s="2">
        <f t="shared" ca="1" si="1137"/>
        <v>56404132.25991869</v>
      </c>
      <c r="X1204" s="2">
        <f t="shared" ca="1" si="1138"/>
        <v>59317046.747340374</v>
      </c>
      <c r="Y1204" s="2">
        <f t="shared" ca="1" si="1139"/>
        <v>0.12670878684436571</v>
      </c>
      <c r="Z1204" s="2">
        <f t="shared" ca="1" si="1140"/>
        <v>0.12939230158211201</v>
      </c>
      <c r="AA1204" s="2">
        <f t="shared" ca="1" si="1141"/>
        <v>6144858.1325820135</v>
      </c>
      <c r="AB1204" s="2">
        <f t="shared" ca="1" si="1142"/>
        <v>6599061.3208809989</v>
      </c>
      <c r="AC1204" s="2">
        <f t="shared" ca="1" si="1143"/>
        <v>6939860.8430932751</v>
      </c>
      <c r="AD1204" s="2">
        <f t="shared" ca="1" si="1144"/>
        <v>7298260.4918527324</v>
      </c>
      <c r="AE1204" s="2">
        <f t="shared" ca="1" si="1145"/>
        <v>7675169.2016921025</v>
      </c>
      <c r="AF1204" s="2">
        <f t="shared" ca="1" si="1146"/>
        <v>969918.23307875893</v>
      </c>
      <c r="AG1204" s="2">
        <f t="shared" ca="1" si="1147"/>
        <v>1020008.3374656184</v>
      </c>
      <c r="AH1204" s="2">
        <f t="shared" ca="1" si="1148"/>
        <v>1072685.2769813756</v>
      </c>
      <c r="AI1204" s="2">
        <f t="shared" ca="1" si="1149"/>
        <v>1128082.6451983738</v>
      </c>
      <c r="AJ1204" s="2">
        <f t="shared" ca="1" si="1150"/>
        <v>1186340.9349468076</v>
      </c>
      <c r="AK1204" s="2">
        <f t="shared" ca="1" si="1151"/>
        <v>0</v>
      </c>
      <c r="AL1204" s="2">
        <f t="shared" ca="1" si="1152"/>
        <v>25045.052193429769</v>
      </c>
      <c r="AM1204" s="2">
        <f t="shared" ca="1" si="1153"/>
        <v>26338.469757878556</v>
      </c>
      <c r="AN1204" s="2">
        <f t="shared" ca="1" si="1154"/>
        <v>27698.684108499139</v>
      </c>
      <c r="AO1204" s="2">
        <f t="shared" ca="1" si="1155"/>
        <v>29129.14487421684</v>
      </c>
      <c r="AP1204" s="2">
        <f t="shared" ca="1" si="1156"/>
        <v>2490065.1929574027</v>
      </c>
      <c r="AQ1204" s="2">
        <f t="shared" ca="1" si="1157"/>
        <v>698067.42370192148</v>
      </c>
      <c r="AR1204" s="2">
        <f t="shared" ca="1" si="1158"/>
        <v>803136.82551907422</v>
      </c>
      <c r="AS1204" s="2">
        <f t="shared" ca="1" si="1159"/>
        <v>878048.69702016935</v>
      </c>
      <c r="AT1204" s="2">
        <f t="shared" ca="1" si="1160"/>
        <v>956829.28996120847</v>
      </c>
      <c r="AU1204" s="2">
        <f t="shared" ca="1" si="1161"/>
        <v>1039678.3991848521</v>
      </c>
      <c r="AV1204" s="2">
        <f t="shared" ca="1" si="1162"/>
        <v>1986807.2828439302</v>
      </c>
      <c r="AW1204" s="2">
        <f t="shared" ca="1" si="1163"/>
        <v>2260805.9127454744</v>
      </c>
      <c r="AX1204" s="2">
        <f t="shared" ca="1" si="1164"/>
        <v>2472723.2063764497</v>
      </c>
      <c r="AY1204" s="2">
        <f t="shared" ca="1" si="1165"/>
        <v>2695584.6796272476</v>
      </c>
      <c r="AZ1204" s="2">
        <f t="shared" ca="1" si="1166"/>
        <v>2929955.5297288238</v>
      </c>
      <c r="BA1204" s="2">
        <f t="shared" ca="1" si="1167"/>
        <v>59156713.634674489</v>
      </c>
      <c r="BB1204" s="2">
        <f t="shared" ca="1" si="1168"/>
        <v>1183134.2726934899</v>
      </c>
      <c r="BC1204" s="2">
        <f t="shared" ca="1" si="1169"/>
        <v>30306188.329120971</v>
      </c>
      <c r="BD1204" s="2">
        <f t="shared" ca="1" si="1170"/>
        <v>-20097735.314942524</v>
      </c>
      <c r="BE1204" s="2">
        <f t="shared" ca="1" si="1171"/>
        <v>1986807.2828439302</v>
      </c>
      <c r="BF1204" s="2">
        <f t="shared" ca="1" si="1172"/>
        <v>2260805.9127454744</v>
      </c>
      <c r="BG1204" s="2">
        <f t="shared" ca="1" si="1173"/>
        <v>2472723.2063764497</v>
      </c>
      <c r="BH1204" s="2">
        <f t="shared" ca="1" si="1174"/>
        <v>2695584.6796272476</v>
      </c>
      <c r="BI1204" s="2">
        <f t="shared" ca="1" si="1175"/>
        <v>33236143.858849794</v>
      </c>
      <c r="BJ1204" s="2">
        <f t="shared" ca="1" si="1176"/>
        <v>0.18869787422288531</v>
      </c>
      <c r="BK1204" s="2">
        <f t="shared" ca="1" si="1177"/>
        <v>5810709.3294180855</v>
      </c>
    </row>
    <row r="1205" spans="1:63" x14ac:dyDescent="0.3">
      <c r="A1205" s="2">
        <v>1204</v>
      </c>
      <c r="B1205" s="2">
        <f t="shared" ca="1" si="1116"/>
        <v>0.68558606344551587</v>
      </c>
      <c r="C1205" s="2">
        <f t="shared" ca="1" si="1117"/>
        <v>7.2070133209763432</v>
      </c>
      <c r="D1205" s="2">
        <f t="shared" ca="1" si="1118"/>
        <v>0.48838598321422022</v>
      </c>
      <c r="E1205" s="2">
        <f t="shared" ca="1" si="1119"/>
        <v>7.4883177456812362</v>
      </c>
      <c r="F1205" s="2">
        <f t="shared" ca="1" si="1120"/>
        <v>0.46265371847983228</v>
      </c>
      <c r="G1205" s="2">
        <f t="shared" ca="1" si="1121"/>
        <v>3.7187488144439201E-2</v>
      </c>
      <c r="H1205" s="2">
        <f t="shared" ca="1" si="1122"/>
        <v>3.7187488144439201E-2</v>
      </c>
      <c r="I1205" s="2">
        <f t="shared" ca="1" si="1123"/>
        <v>0.84759423342464391</v>
      </c>
      <c r="J1205" s="2">
        <f t="shared" ca="1" si="1124"/>
        <v>1.5130849219138895E-2</v>
      </c>
      <c r="K1205" s="2">
        <f t="shared" ca="1" si="1125"/>
        <v>1.5130849219138895E-2</v>
      </c>
      <c r="L1205" s="2">
        <f t="shared" ca="1" si="1126"/>
        <v>0.53676215839720176</v>
      </c>
      <c r="M1205" s="2">
        <f t="shared" ca="1" si="1127"/>
        <v>1.8455973578676912E-3</v>
      </c>
      <c r="N1205" s="2">
        <f t="shared" ca="1" si="1128"/>
        <v>1.8455973578676912E-3</v>
      </c>
      <c r="O1205" s="2">
        <f t="shared" si="1129"/>
        <v>6000000</v>
      </c>
      <c r="P1205" s="2">
        <f t="shared" ca="1" si="1130"/>
        <v>43242079.925858058</v>
      </c>
      <c r="Q1205" s="2">
        <f t="shared" ca="1" si="1131"/>
        <v>1081051.9981464515</v>
      </c>
      <c r="R1205" s="2">
        <f t="shared" ca="1" si="1132"/>
        <v>25945247.955514833</v>
      </c>
      <c r="S1205" s="2">
        <f t="shared" ca="1" si="1133"/>
        <v>17296831.970343225</v>
      </c>
      <c r="T1205" s="2">
        <f t="shared" ca="1" si="1134"/>
        <v>50092279.867893383</v>
      </c>
      <c r="U1205" s="2">
        <f t="shared" ca="1" si="1135"/>
        <v>51955085.931608595</v>
      </c>
      <c r="V1205" s="2">
        <f t="shared" ca="1" si="1136"/>
        <v>53887165.073733605</v>
      </c>
      <c r="W1205" s="2">
        <f t="shared" ca="1" si="1137"/>
        <v>55891093.386050507</v>
      </c>
      <c r="X1205" s="2">
        <f t="shared" ca="1" si="1138"/>
        <v>57969542.758724004</v>
      </c>
      <c r="Y1205" s="2">
        <f t="shared" ca="1" si="1139"/>
        <v>0.12756542460956943</v>
      </c>
      <c r="Z1205" s="2">
        <f t="shared" ca="1" si="1140"/>
        <v>0.13059159445339721</v>
      </c>
      <c r="AA1205" s="2">
        <f t="shared" ca="1" si="1141"/>
        <v>6390042.9510092065</v>
      </c>
      <c r="AB1205" s="2">
        <f t="shared" ca="1" si="1142"/>
        <v>6784897.5117720328</v>
      </c>
      <c r="AC1205" s="2">
        <f t="shared" ca="1" si="1143"/>
        <v>7037210.8075522892</v>
      </c>
      <c r="AD1205" s="2">
        <f t="shared" ca="1" si="1144"/>
        <v>7298907.0010280591</v>
      </c>
      <c r="AE1205" s="2">
        <f t="shared" ca="1" si="1145"/>
        <v>7570335.0185961546</v>
      </c>
      <c r="AF1205" s="2">
        <f t="shared" ca="1" si="1146"/>
        <v>1001845.5973578676</v>
      </c>
      <c r="AG1205" s="2">
        <f t="shared" ca="1" si="1147"/>
        <v>1039101.718632172</v>
      </c>
      <c r="AH1205" s="2">
        <f t="shared" ca="1" si="1148"/>
        <v>1077743.301474672</v>
      </c>
      <c r="AI1205" s="2">
        <f t="shared" ca="1" si="1149"/>
        <v>1117821.8677210102</v>
      </c>
      <c r="AJ1205" s="2">
        <f t="shared" ca="1" si="1150"/>
        <v>1159390.85517448</v>
      </c>
      <c r="AK1205" s="2">
        <f t="shared" ca="1" si="1151"/>
        <v>0</v>
      </c>
      <c r="AL1205" s="2">
        <f t="shared" ca="1" si="1152"/>
        <v>18628.060637152121</v>
      </c>
      <c r="AM1205" s="2">
        <f t="shared" ca="1" si="1153"/>
        <v>19320.791421250105</v>
      </c>
      <c r="AN1205" s="2">
        <f t="shared" ca="1" si="1154"/>
        <v>20039.283123169022</v>
      </c>
      <c r="AO1205" s="2">
        <f t="shared" ca="1" si="1155"/>
        <v>20784.493726734967</v>
      </c>
      <c r="AP1205" s="2">
        <f t="shared" ca="1" si="1156"/>
        <v>2335072.3159963349</v>
      </c>
      <c r="AQ1205" s="2">
        <f t="shared" ca="1" si="1157"/>
        <v>793812.50979030109</v>
      </c>
      <c r="AR1205" s="2">
        <f t="shared" ca="1" si="1158"/>
        <v>886788.10405731678</v>
      </c>
      <c r="AS1205" s="2">
        <f t="shared" ca="1" si="1159"/>
        <v>942342.74942113354</v>
      </c>
      <c r="AT1205" s="2">
        <f t="shared" ca="1" si="1160"/>
        <v>999963.33250078571</v>
      </c>
      <c r="AU1205" s="2">
        <f t="shared" ca="1" si="1161"/>
        <v>1059726.6803305885</v>
      </c>
      <c r="AV1205" s="2">
        <f t="shared" ca="1" si="1162"/>
        <v>2259312.527864703</v>
      </c>
      <c r="AW1205" s="2">
        <f t="shared" ca="1" si="1163"/>
        <v>2505307.3124490576</v>
      </c>
      <c r="AX1205" s="2">
        <f t="shared" ca="1" si="1164"/>
        <v>2662731.6492388984</v>
      </c>
      <c r="AY1205" s="2">
        <f t="shared" ca="1" si="1165"/>
        <v>2826010.2016867595</v>
      </c>
      <c r="AZ1205" s="2">
        <f t="shared" ca="1" si="1166"/>
        <v>2995360.6733680163</v>
      </c>
      <c r="BA1205" s="2">
        <f t="shared" ca="1" si="1167"/>
        <v>56689074.060505673</v>
      </c>
      <c r="BB1205" s="2">
        <f t="shared" ca="1" si="1168"/>
        <v>1133781.4812101135</v>
      </c>
      <c r="BC1205" s="2">
        <f t="shared" ca="1" si="1169"/>
        <v>29610044.623780727</v>
      </c>
      <c r="BD1205" s="2">
        <f t="shared" ca="1" si="1170"/>
        <v>-18877883.968489677</v>
      </c>
      <c r="BE1205" s="2">
        <f t="shared" ca="1" si="1171"/>
        <v>2259312.527864703</v>
      </c>
      <c r="BF1205" s="2">
        <f t="shared" ca="1" si="1172"/>
        <v>2505307.3124490576</v>
      </c>
      <c r="BG1205" s="2">
        <f t="shared" ca="1" si="1173"/>
        <v>2662731.6492388984</v>
      </c>
      <c r="BH1205" s="2">
        <f t="shared" ca="1" si="1174"/>
        <v>2826010.2016867595</v>
      </c>
      <c r="BI1205" s="2">
        <f t="shared" ca="1" si="1175"/>
        <v>32605405.297148742</v>
      </c>
      <c r="BJ1205" s="2">
        <f t="shared" ca="1" si="1176"/>
        <v>0.21144369936413043</v>
      </c>
      <c r="BK1205" s="2">
        <f t="shared" ca="1" si="1177"/>
        <v>7329017.984105099</v>
      </c>
    </row>
    <row r="1206" spans="1:63" x14ac:dyDescent="0.3">
      <c r="A1206" s="2">
        <v>1205</v>
      </c>
      <c r="B1206" s="2">
        <f t="shared" ca="1" si="1116"/>
        <v>0.38593936975696019</v>
      </c>
      <c r="C1206" s="2">
        <f t="shared" ca="1" si="1117"/>
        <v>6.878566297733939</v>
      </c>
      <c r="D1206" s="2">
        <f t="shared" ca="1" si="1118"/>
        <v>0.75181145982905295</v>
      </c>
      <c r="E1206" s="2">
        <f t="shared" ca="1" si="1119"/>
        <v>7.7954596673419658</v>
      </c>
      <c r="F1206" s="2">
        <f t="shared" ca="1" si="1120"/>
        <v>0.26593670682726445</v>
      </c>
      <c r="G1206" s="2">
        <f t="shared" ca="1" si="1121"/>
        <v>2.1245536535759144E-2</v>
      </c>
      <c r="H1206" s="2">
        <f t="shared" ca="1" si="1122"/>
        <v>2.1245536535759144E-2</v>
      </c>
      <c r="I1206" s="2">
        <f t="shared" ca="1" si="1123"/>
        <v>0.89760907376564336</v>
      </c>
      <c r="J1206" s="2">
        <f t="shared" ca="1" si="1124"/>
        <v>1.6340225398695077E-2</v>
      </c>
      <c r="K1206" s="2">
        <f t="shared" ca="1" si="1125"/>
        <v>1.6340225398695077E-2</v>
      </c>
      <c r="L1206" s="2">
        <f t="shared" ca="1" si="1126"/>
        <v>0.67101522460688823</v>
      </c>
      <c r="M1206" s="2">
        <f t="shared" ca="1" si="1127"/>
        <v>8.8543647107994193E-3</v>
      </c>
      <c r="N1206" s="2">
        <f t="shared" ca="1" si="1128"/>
        <v>8.8543647107994193E-3</v>
      </c>
      <c r="O1206" s="2">
        <f t="shared" si="1129"/>
        <v>6000000</v>
      </c>
      <c r="P1206" s="2">
        <f t="shared" ca="1" si="1130"/>
        <v>41271397.786403634</v>
      </c>
      <c r="Q1206" s="2">
        <f t="shared" ca="1" si="1131"/>
        <v>1031784.9446600908</v>
      </c>
      <c r="R1206" s="2">
        <f t="shared" ca="1" si="1132"/>
        <v>24762838.67184218</v>
      </c>
      <c r="S1206" s="2">
        <f t="shared" ca="1" si="1133"/>
        <v>16508559.114561453</v>
      </c>
      <c r="T1206" s="2">
        <f t="shared" ca="1" si="1134"/>
        <v>50442718.235539973</v>
      </c>
      <c r="U1206" s="2">
        <f t="shared" ca="1" si="1135"/>
        <v>51514400.848776139</v>
      </c>
      <c r="V1206" s="2">
        <f t="shared" ca="1" si="1136"/>
        <v>52608851.934126556</v>
      </c>
      <c r="W1206" s="2">
        <f t="shared" ca="1" si="1137"/>
        <v>53726555.219997384</v>
      </c>
      <c r="X1206" s="2">
        <f t="shared" ca="1" si="1138"/>
        <v>54868004.711864315</v>
      </c>
      <c r="Y1206" s="2">
        <f t="shared" ca="1" si="1139"/>
        <v>0.12817011269934753</v>
      </c>
      <c r="Z1206" s="2">
        <f t="shared" ca="1" si="1140"/>
        <v>0.13143815777908655</v>
      </c>
      <c r="AA1206" s="2">
        <f t="shared" ca="1" si="1141"/>
        <v>6465248.8811105909</v>
      </c>
      <c r="AB1206" s="2">
        <f t="shared" ca="1" si="1142"/>
        <v>6770957.9466565484</v>
      </c>
      <c r="AC1206" s="2">
        <f t="shared" ca="1" si="1143"/>
        <v>6914810.5810943283</v>
      </c>
      <c r="AD1206" s="2">
        <f t="shared" ca="1" si="1144"/>
        <v>7061719.4419328216</v>
      </c>
      <c r="AE1206" s="2">
        <f t="shared" ca="1" si="1145"/>
        <v>7211749.4603416855</v>
      </c>
      <c r="AF1206" s="2">
        <f t="shared" ca="1" si="1146"/>
        <v>1008854.3647107995</v>
      </c>
      <c r="AG1206" s="2">
        <f t="shared" ca="1" si="1147"/>
        <v>1030288.0169755229</v>
      </c>
      <c r="AH1206" s="2">
        <f t="shared" ca="1" si="1148"/>
        <v>1052177.0386825311</v>
      </c>
      <c r="AI1206" s="2">
        <f t="shared" ca="1" si="1149"/>
        <v>1074531.1043999477</v>
      </c>
      <c r="AJ1206" s="2">
        <f t="shared" ca="1" si="1150"/>
        <v>1097360.0942372864</v>
      </c>
      <c r="AK1206" s="2">
        <f t="shared" ca="1" si="1151"/>
        <v>0</v>
      </c>
      <c r="AL1206" s="2">
        <f t="shared" ca="1" si="1152"/>
        <v>10716.826132361666</v>
      </c>
      <c r="AM1206" s="2">
        <f t="shared" ca="1" si="1153"/>
        <v>10944.510853504165</v>
      </c>
      <c r="AN1206" s="2">
        <f t="shared" ca="1" si="1154"/>
        <v>11177.032858708277</v>
      </c>
      <c r="AO1206" s="2">
        <f t="shared" ca="1" si="1155"/>
        <v>11414.494918669314</v>
      </c>
      <c r="AP1206" s="2">
        <f t="shared" ca="1" si="1156"/>
        <v>2228655.4804657963</v>
      </c>
      <c r="AQ1206" s="2">
        <f t="shared" ca="1" si="1157"/>
        <v>839212.14934283879</v>
      </c>
      <c r="AR1206" s="2">
        <f t="shared" ca="1" si="1158"/>
        <v>913123.75679595966</v>
      </c>
      <c r="AS1206" s="2">
        <f t="shared" ca="1" si="1159"/>
        <v>944834.29610596015</v>
      </c>
      <c r="AT1206" s="2">
        <f t="shared" ca="1" si="1160"/>
        <v>977218.54283744027</v>
      </c>
      <c r="AU1206" s="2">
        <f t="shared" ca="1" si="1161"/>
        <v>1010290.8102660367</v>
      </c>
      <c r="AV1206" s="2">
        <f t="shared" ca="1" si="1162"/>
        <v>2388526.8865911565</v>
      </c>
      <c r="AW1206" s="2">
        <f t="shared" ca="1" si="1163"/>
        <v>2588173.8662869078</v>
      </c>
      <c r="AX1206" s="2">
        <f t="shared" ca="1" si="1164"/>
        <v>2678199.2549865362</v>
      </c>
      <c r="AY1206" s="2">
        <f t="shared" ca="1" si="1165"/>
        <v>2770137.2813709299</v>
      </c>
      <c r="AZ1206" s="2">
        <f t="shared" ca="1" si="1166"/>
        <v>2864028.5804538964</v>
      </c>
      <c r="BA1206" s="2">
        <f t="shared" ca="1" si="1167"/>
        <v>56218902.049068794</v>
      </c>
      <c r="BB1206" s="2">
        <f t="shared" ca="1" si="1168"/>
        <v>1124378.0409813758</v>
      </c>
      <c r="BC1206" s="2">
        <f t="shared" ca="1" si="1169"/>
        <v>30331685.336245239</v>
      </c>
      <c r="BD1206" s="2">
        <f t="shared" ca="1" si="1170"/>
        <v>-18040344.059221543</v>
      </c>
      <c r="BE1206" s="2">
        <f t="shared" ca="1" si="1171"/>
        <v>2388526.8865911565</v>
      </c>
      <c r="BF1206" s="2">
        <f t="shared" ca="1" si="1172"/>
        <v>2588173.8662869078</v>
      </c>
      <c r="BG1206" s="2">
        <f t="shared" ca="1" si="1173"/>
        <v>2678199.2549865362</v>
      </c>
      <c r="BH1206" s="2">
        <f t="shared" ca="1" si="1174"/>
        <v>2770137.2813709299</v>
      </c>
      <c r="BI1206" s="2">
        <f t="shared" ca="1" si="1175"/>
        <v>33195713.916699134</v>
      </c>
      <c r="BJ1206" s="2">
        <f t="shared" ca="1" si="1176"/>
        <v>0.2308878126779188</v>
      </c>
      <c r="BK1206" s="2">
        <f t="shared" ca="1" si="1177"/>
        <v>8658446.8150883541</v>
      </c>
    </row>
    <row r="1207" spans="1:63" x14ac:dyDescent="0.3">
      <c r="A1207" s="2">
        <v>1206</v>
      </c>
      <c r="B1207" s="2">
        <f t="shared" ca="1" si="1116"/>
        <v>0.62546391979003335</v>
      </c>
      <c r="C1207" s="2">
        <f t="shared" ca="1" si="1117"/>
        <v>7.1345104504270811</v>
      </c>
      <c r="D1207" s="2">
        <f t="shared" ca="1" si="1118"/>
        <v>0.12885422965858029</v>
      </c>
      <c r="E1207" s="2">
        <f t="shared" ca="1" si="1119"/>
        <v>7.0076499377692869</v>
      </c>
      <c r="F1207" s="2">
        <f t="shared" ca="1" si="1120"/>
        <v>5.1857466103641392E-2</v>
      </c>
      <c r="G1207" s="2">
        <f t="shared" ca="1" si="1121"/>
        <v>-8.8131312229383849E-3</v>
      </c>
      <c r="H1207" s="2">
        <f t="shared" ca="1" si="1122"/>
        <v>-8.8131312229383849E-3</v>
      </c>
      <c r="I1207" s="2">
        <f t="shared" ca="1" si="1123"/>
        <v>0.7763680318779278</v>
      </c>
      <c r="J1207" s="2">
        <f t="shared" ca="1" si="1124"/>
        <v>1.3799921778381236E-2</v>
      </c>
      <c r="K1207" s="2">
        <f t="shared" ca="1" si="1125"/>
        <v>1.3799921778381236E-2</v>
      </c>
      <c r="L1207" s="2">
        <f t="shared" ca="1" si="1126"/>
        <v>0.32127695296633851</v>
      </c>
      <c r="M1207" s="2">
        <f t="shared" ca="1" si="1127"/>
        <v>-9.2826196343090278E-3</v>
      </c>
      <c r="N1207" s="2">
        <f t="shared" ca="1" si="1128"/>
        <v>-9.2826196343090278E-3</v>
      </c>
      <c r="O1207" s="2">
        <f t="shared" si="1129"/>
        <v>6000000</v>
      </c>
      <c r="P1207" s="2">
        <f t="shared" ca="1" si="1130"/>
        <v>42807062.702562489</v>
      </c>
      <c r="Q1207" s="2">
        <f t="shared" ca="1" si="1131"/>
        <v>1070176.5675640623</v>
      </c>
      <c r="R1207" s="2">
        <f t="shared" ca="1" si="1132"/>
        <v>25684237.621537492</v>
      </c>
      <c r="S1207" s="2">
        <f t="shared" ca="1" si="1133"/>
        <v>17122825.081024997</v>
      </c>
      <c r="T1207" s="2">
        <f t="shared" ca="1" si="1134"/>
        <v>49535869.018284552</v>
      </c>
      <c r="U1207" s="2">
        <f t="shared" ca="1" si="1135"/>
        <v>49099302.904384121</v>
      </c>
      <c r="V1207" s="2">
        <f t="shared" ca="1" si="1136"/>
        <v>48666584.304932982</v>
      </c>
      <c r="W1207" s="2">
        <f t="shared" ca="1" si="1137"/>
        <v>48237679.311281413</v>
      </c>
      <c r="X1207" s="2">
        <f t="shared" ca="1" si="1138"/>
        <v>47812554.313621074</v>
      </c>
      <c r="Y1207" s="2">
        <f t="shared" ca="1" si="1139"/>
        <v>0.12689996088919062</v>
      </c>
      <c r="Z1207" s="2">
        <f t="shared" ca="1" si="1140"/>
        <v>0.12965994524486685</v>
      </c>
      <c r="AA1207" s="2">
        <f t="shared" ca="1" si="1141"/>
        <v>6286099.8410323784</v>
      </c>
      <c r="AB1207" s="2">
        <f t="shared" ca="1" si="1142"/>
        <v>6366212.9261435773</v>
      </c>
      <c r="AC1207" s="2">
        <f t="shared" ca="1" si="1143"/>
        <v>6310106.6562323067</v>
      </c>
      <c r="AD1207" s="2">
        <f t="shared" ca="1" si="1144"/>
        <v>6254494.8582401946</v>
      </c>
      <c r="AE1207" s="2">
        <f t="shared" ca="1" si="1145"/>
        <v>6199373.1743213311</v>
      </c>
      <c r="AF1207" s="2">
        <f t="shared" ca="1" si="1146"/>
        <v>990717.38036569103</v>
      </c>
      <c r="AG1207" s="2">
        <f t="shared" ca="1" si="1147"/>
        <v>981986.05808768247</v>
      </c>
      <c r="AH1207" s="2">
        <f t="shared" ca="1" si="1148"/>
        <v>973331.68609865964</v>
      </c>
      <c r="AI1207" s="2">
        <f t="shared" ca="1" si="1149"/>
        <v>964753.58622562827</v>
      </c>
      <c r="AJ1207" s="2">
        <f t="shared" ca="1" si="1150"/>
        <v>956251.08627242153</v>
      </c>
      <c r="AK1207" s="2">
        <f t="shared" ca="1" si="1151"/>
        <v>0</v>
      </c>
      <c r="AL1207" s="2">
        <f t="shared" ca="1" si="1152"/>
        <v>0</v>
      </c>
      <c r="AM1207" s="2">
        <f t="shared" ca="1" si="1153"/>
        <v>0</v>
      </c>
      <c r="AN1207" s="2">
        <f t="shared" ca="1" si="1154"/>
        <v>0</v>
      </c>
      <c r="AO1207" s="2">
        <f t="shared" ca="1" si="1155"/>
        <v>0</v>
      </c>
      <c r="AP1207" s="2">
        <f t="shared" ca="1" si="1156"/>
        <v>2311581.3859383743</v>
      </c>
      <c r="AQ1207" s="2">
        <f t="shared" ca="1" si="1157"/>
        <v>775788.27942936134</v>
      </c>
      <c r="AR1207" s="2">
        <f t="shared" ca="1" si="1158"/>
        <v>798887.82535055536</v>
      </c>
      <c r="AS1207" s="2">
        <f t="shared" ca="1" si="1159"/>
        <v>786550.33189077105</v>
      </c>
      <c r="AT1207" s="2">
        <f t="shared" ca="1" si="1160"/>
        <v>774321.57037981006</v>
      </c>
      <c r="AU1207" s="2">
        <f t="shared" ca="1" si="1161"/>
        <v>762200.58254873927</v>
      </c>
      <c r="AV1207" s="2">
        <f t="shared" ca="1" si="1162"/>
        <v>2208012.7952989517</v>
      </c>
      <c r="AW1207" s="2">
        <f t="shared" ca="1" si="1163"/>
        <v>2273757.6567669651</v>
      </c>
      <c r="AX1207" s="2">
        <f t="shared" ca="1" si="1164"/>
        <v>2238643.2523045018</v>
      </c>
      <c r="AY1207" s="2">
        <f t="shared" ca="1" si="1165"/>
        <v>2203838.315696382</v>
      </c>
      <c r="AZ1207" s="2">
        <f t="shared" ca="1" si="1166"/>
        <v>2169340.1195617961</v>
      </c>
      <c r="BA1207" s="2">
        <f t="shared" ca="1" si="1167"/>
        <v>43443037.039241463</v>
      </c>
      <c r="BB1207" s="2">
        <f t="shared" ca="1" si="1168"/>
        <v>868860.74078482925</v>
      </c>
      <c r="BC1207" s="2">
        <f t="shared" ca="1" si="1169"/>
        <v>16889938.676919144</v>
      </c>
      <c r="BD1207" s="2">
        <f t="shared" ca="1" si="1170"/>
        <v>-18693001.64858906</v>
      </c>
      <c r="BE1207" s="2">
        <f t="shared" ca="1" si="1171"/>
        <v>2208012.7952989517</v>
      </c>
      <c r="BF1207" s="2">
        <f t="shared" ca="1" si="1172"/>
        <v>2273757.6567669651</v>
      </c>
      <c r="BG1207" s="2">
        <f t="shared" ca="1" si="1173"/>
        <v>2238643.2523045018</v>
      </c>
      <c r="BH1207" s="2">
        <f t="shared" ca="1" si="1174"/>
        <v>2203838.315696382</v>
      </c>
      <c r="BI1207" s="2">
        <f t="shared" ca="1" si="1175"/>
        <v>19059278.796480939</v>
      </c>
      <c r="BJ1207" s="2">
        <f t="shared" ca="1" si="1176"/>
        <v>0.10313495780188098</v>
      </c>
      <c r="BK1207" s="2">
        <f t="shared" ca="1" si="1177"/>
        <v>-1100188.189628277</v>
      </c>
    </row>
    <row r="1208" spans="1:63" x14ac:dyDescent="0.3">
      <c r="A1208" s="2">
        <v>1207</v>
      </c>
      <c r="B1208" s="2">
        <f t="shared" ca="1" si="1116"/>
        <v>0.50467999128646579</v>
      </c>
      <c r="C1208" s="2">
        <f t="shared" ca="1" si="1117"/>
        <v>7.004690993998814</v>
      </c>
      <c r="D1208" s="2">
        <f t="shared" ca="1" si="1118"/>
        <v>0.19485573141866652</v>
      </c>
      <c r="E1208" s="2">
        <f t="shared" ca="1" si="1119"/>
        <v>7.1242687424798179</v>
      </c>
      <c r="F1208" s="2">
        <f t="shared" ca="1" si="1120"/>
        <v>0.58955023564741349</v>
      </c>
      <c r="G1208" s="2">
        <f t="shared" ca="1" si="1121"/>
        <v>4.679164507601815E-2</v>
      </c>
      <c r="H1208" s="2">
        <f t="shared" ca="1" si="1122"/>
        <v>4.679164507601815E-2</v>
      </c>
      <c r="I1208" s="2">
        <f t="shared" ca="1" si="1123"/>
        <v>0.92691299885871836</v>
      </c>
      <c r="J1208" s="2">
        <f t="shared" ca="1" si="1124"/>
        <v>1.7265896061497366E-2</v>
      </c>
      <c r="K1208" s="2">
        <f t="shared" ca="1" si="1125"/>
        <v>1.7265896061497366E-2</v>
      </c>
      <c r="L1208" s="2">
        <f t="shared" ca="1" si="1126"/>
        <v>0.62551806228001772</v>
      </c>
      <c r="M1208" s="2">
        <f t="shared" ca="1" si="1127"/>
        <v>6.4001175398095212E-3</v>
      </c>
      <c r="N1208" s="2">
        <f t="shared" ca="1" si="1128"/>
        <v>6.4001175398095212E-3</v>
      </c>
      <c r="O1208" s="2">
        <f t="shared" si="1129"/>
        <v>6000000</v>
      </c>
      <c r="P1208" s="2">
        <f t="shared" ca="1" si="1130"/>
        <v>42028145.963992886</v>
      </c>
      <c r="Q1208" s="2">
        <f t="shared" ca="1" si="1131"/>
        <v>1050703.6490998222</v>
      </c>
      <c r="R1208" s="2">
        <f t="shared" ca="1" si="1132"/>
        <v>25216887.578395732</v>
      </c>
      <c r="S1208" s="2">
        <f t="shared" ca="1" si="1133"/>
        <v>16811258.385597154</v>
      </c>
      <c r="T1208" s="2">
        <f t="shared" ca="1" si="1134"/>
        <v>50320005.876990482</v>
      </c>
      <c r="U1208" s="2">
        <f t="shared" ca="1" si="1135"/>
        <v>52674561.732209772</v>
      </c>
      <c r="V1208" s="2">
        <f t="shared" ca="1" si="1136"/>
        <v>55139291.12931814</v>
      </c>
      <c r="W1208" s="2">
        <f t="shared" ca="1" si="1137"/>
        <v>57719349.269584432</v>
      </c>
      <c r="X1208" s="2">
        <f t="shared" ca="1" si="1138"/>
        <v>60420132.574625559</v>
      </c>
      <c r="Y1208" s="2">
        <f t="shared" ca="1" si="1139"/>
        <v>0.12863294803074868</v>
      </c>
      <c r="Z1208" s="2">
        <f t="shared" ca="1" si="1140"/>
        <v>0.13208612724304816</v>
      </c>
      <c r="AA1208" s="2">
        <f t="shared" ca="1" si="1141"/>
        <v>6472810.7008818844</v>
      </c>
      <c r="AB1208" s="2">
        <f t="shared" ca="1" si="1142"/>
        <v>6957578.8634324558</v>
      </c>
      <c r="AC1208" s="2">
        <f t="shared" ca="1" si="1143"/>
        <v>7283135.424198593</v>
      </c>
      <c r="AD1208" s="2">
        <f t="shared" ca="1" si="1144"/>
        <v>7623925.3120082682</v>
      </c>
      <c r="AE1208" s="2">
        <f t="shared" ca="1" si="1145"/>
        <v>7980661.3192938305</v>
      </c>
      <c r="AF1208" s="2">
        <f t="shared" ca="1" si="1146"/>
        <v>1006400.1175398097</v>
      </c>
      <c r="AG1208" s="2">
        <f t="shared" ca="1" si="1147"/>
        <v>1053491.2346441955</v>
      </c>
      <c r="AH1208" s="2">
        <f t="shared" ca="1" si="1148"/>
        <v>1102785.8225863627</v>
      </c>
      <c r="AI1208" s="2">
        <f t="shared" ca="1" si="1149"/>
        <v>1154386.9853916888</v>
      </c>
      <c r="AJ1208" s="2">
        <f t="shared" ca="1" si="1150"/>
        <v>1208402.6514925112</v>
      </c>
      <c r="AK1208" s="2">
        <f t="shared" ca="1" si="1151"/>
        <v>0</v>
      </c>
      <c r="AL1208" s="2">
        <f t="shared" ca="1" si="1152"/>
        <v>23545.558552192899</v>
      </c>
      <c r="AM1208" s="2">
        <f t="shared" ca="1" si="1153"/>
        <v>24647.293971083687</v>
      </c>
      <c r="AN1208" s="2">
        <f t="shared" ca="1" si="1154"/>
        <v>25800.58140266292</v>
      </c>
      <c r="AO1208" s="2">
        <f t="shared" ca="1" si="1155"/>
        <v>27007.833050411271</v>
      </c>
      <c r="AP1208" s="2">
        <f t="shared" ca="1" si="1156"/>
        <v>2269519.8820556155</v>
      </c>
      <c r="AQ1208" s="2">
        <f t="shared" ca="1" si="1157"/>
        <v>831191.58233447932</v>
      </c>
      <c r="AR1208" s="2">
        <f t="shared" ca="1" si="1158"/>
        <v>944987.61415048782</v>
      </c>
      <c r="AS1208" s="2">
        <f t="shared" ca="1" si="1159"/>
        <v>1016815.72708472</v>
      </c>
      <c r="AT1208" s="2">
        <f t="shared" ca="1" si="1160"/>
        <v>1092004.7955858505</v>
      </c>
      <c r="AU1208" s="2">
        <f t="shared" ca="1" si="1161"/>
        <v>1170712.0842938833</v>
      </c>
      <c r="AV1208" s="2">
        <f t="shared" ca="1" si="1162"/>
        <v>2365699.1189519796</v>
      </c>
      <c r="AW1208" s="2">
        <f t="shared" ca="1" si="1163"/>
        <v>2666034.5740299649</v>
      </c>
      <c r="AX1208" s="2">
        <f t="shared" ca="1" si="1164"/>
        <v>2869366.6985008107</v>
      </c>
      <c r="AY1208" s="2">
        <f t="shared" ca="1" si="1165"/>
        <v>3082213.0675724507</v>
      </c>
      <c r="AZ1208" s="2">
        <f t="shared" ca="1" si="1166"/>
        <v>3305018.8684014096</v>
      </c>
      <c r="BA1208" s="2">
        <f t="shared" ca="1" si="1167"/>
        <v>56856375.981362782</v>
      </c>
      <c r="BB1208" s="2">
        <f t="shared" ca="1" si="1168"/>
        <v>1137127.5196272556</v>
      </c>
      <c r="BC1208" s="2">
        <f t="shared" ca="1" si="1169"/>
        <v>30502360.883339796</v>
      </c>
      <c r="BD1208" s="2">
        <f t="shared" ca="1" si="1170"/>
        <v>-18361962.034696978</v>
      </c>
      <c r="BE1208" s="2">
        <f t="shared" ca="1" si="1171"/>
        <v>2365699.1189519796</v>
      </c>
      <c r="BF1208" s="2">
        <f t="shared" ca="1" si="1172"/>
        <v>2666034.5740299649</v>
      </c>
      <c r="BG1208" s="2">
        <f t="shared" ca="1" si="1173"/>
        <v>2869366.6985008107</v>
      </c>
      <c r="BH1208" s="2">
        <f t="shared" ca="1" si="1174"/>
        <v>3082213.0675724507</v>
      </c>
      <c r="BI1208" s="2">
        <f t="shared" ca="1" si="1175"/>
        <v>33807379.751741208</v>
      </c>
      <c r="BJ1208" s="2">
        <f t="shared" ca="1" si="1176"/>
        <v>0.23362256680962745</v>
      </c>
      <c r="BK1208" s="2">
        <f t="shared" ca="1" si="1177"/>
        <v>9059991.619545687</v>
      </c>
    </row>
    <row r="1209" spans="1:63" x14ac:dyDescent="0.3">
      <c r="A1209" s="2">
        <v>1208</v>
      </c>
      <c r="B1209" s="2">
        <f t="shared" ca="1" si="1116"/>
        <v>0.34568032387737779</v>
      </c>
      <c r="C1209" s="2">
        <f t="shared" ca="1" si="1117"/>
        <v>6.83148099662876</v>
      </c>
      <c r="D1209" s="2">
        <f t="shared" ca="1" si="1118"/>
        <v>0.36230164935537268</v>
      </c>
      <c r="E1209" s="2">
        <f t="shared" ca="1" si="1119"/>
        <v>7.3512363354032448</v>
      </c>
      <c r="F1209" s="2">
        <f t="shared" ca="1" si="1120"/>
        <v>0.46422766055455433</v>
      </c>
      <c r="G1209" s="2">
        <f t="shared" ca="1" si="1121"/>
        <v>3.7306346289671999E-2</v>
      </c>
      <c r="H1209" s="2">
        <f t="shared" ca="1" si="1122"/>
        <v>3.7306346289671999E-2</v>
      </c>
      <c r="I1209" s="2">
        <f t="shared" ca="1" si="1123"/>
        <v>0.98677765829677078</v>
      </c>
      <c r="J1209" s="2">
        <f t="shared" ca="1" si="1124"/>
        <v>2.1098091909707607E-2</v>
      </c>
      <c r="K1209" s="2">
        <f t="shared" ca="1" si="1125"/>
        <v>2.1098091909707607E-2</v>
      </c>
      <c r="L1209" s="2">
        <f t="shared" ca="1" si="1126"/>
        <v>0.38974044130307772</v>
      </c>
      <c r="M1209" s="2">
        <f t="shared" ca="1" si="1127"/>
        <v>-5.599911948376838E-3</v>
      </c>
      <c r="N1209" s="2">
        <f t="shared" ca="1" si="1128"/>
        <v>-5.599911948376838E-3</v>
      </c>
      <c r="O1209" s="2">
        <f t="shared" si="1129"/>
        <v>6000000</v>
      </c>
      <c r="P1209" s="2">
        <f t="shared" ca="1" si="1130"/>
        <v>40988885.97977256</v>
      </c>
      <c r="Q1209" s="2">
        <f t="shared" ca="1" si="1131"/>
        <v>1024722.1494943141</v>
      </c>
      <c r="R1209" s="2">
        <f t="shared" ca="1" si="1132"/>
        <v>24593331.587863535</v>
      </c>
      <c r="S1209" s="2">
        <f t="shared" ca="1" si="1133"/>
        <v>16395554.391909026</v>
      </c>
      <c r="T1209" s="2">
        <f t="shared" ca="1" si="1134"/>
        <v>49720004.402581155</v>
      </c>
      <c r="U1209" s="2">
        <f t="shared" ca="1" si="1135"/>
        <v>51574876.10434787</v>
      </c>
      <c r="V1209" s="2">
        <f t="shared" ca="1" si="1136"/>
        <v>53498946.292143606</v>
      </c>
      <c r="W1209" s="2">
        <f t="shared" ca="1" si="1137"/>
        <v>55494796.508650884</v>
      </c>
      <c r="X1209" s="2">
        <f t="shared" ca="1" si="1138"/>
        <v>57565104.604477502</v>
      </c>
      <c r="Y1209" s="2">
        <f t="shared" ca="1" si="1139"/>
        <v>0.13054904595485381</v>
      </c>
      <c r="Z1209" s="2">
        <f t="shared" ca="1" si="1140"/>
        <v>0.13476866433679532</v>
      </c>
      <c r="AA1209" s="2">
        <f t="shared" ca="1" si="1141"/>
        <v>6490899.1396281011</v>
      </c>
      <c r="AB1209" s="2">
        <f t="shared" ca="1" si="1142"/>
        <v>6950677.1659186641</v>
      </c>
      <c r="AC1209" s="2">
        <f t="shared" ca="1" si="1143"/>
        <v>7209981.535218142</v>
      </c>
      <c r="AD1209" s="2">
        <f t="shared" ca="1" si="1144"/>
        <v>7478959.6031131316</v>
      </c>
      <c r="AE1209" s="2">
        <f t="shared" ca="1" si="1145"/>
        <v>7757972.2599533396</v>
      </c>
      <c r="AF1209" s="2">
        <f t="shared" ca="1" si="1146"/>
        <v>994400.08805162308</v>
      </c>
      <c r="AG1209" s="2">
        <f t="shared" ca="1" si="1147"/>
        <v>1031497.5220869575</v>
      </c>
      <c r="AH1209" s="2">
        <f t="shared" ca="1" si="1148"/>
        <v>1069978.9258428721</v>
      </c>
      <c r="AI1209" s="2">
        <f t="shared" ca="1" si="1149"/>
        <v>1109895.9301730178</v>
      </c>
      <c r="AJ1209" s="2">
        <f t="shared" ca="1" si="1150"/>
        <v>1151302.0920895501</v>
      </c>
      <c r="AK1209" s="2">
        <f t="shared" ca="1" si="1151"/>
        <v>0</v>
      </c>
      <c r="AL1209" s="2">
        <f t="shared" ca="1" si="1152"/>
        <v>18548.717017667146</v>
      </c>
      <c r="AM1209" s="2">
        <f t="shared" ca="1" si="1153"/>
        <v>19240.701877957359</v>
      </c>
      <c r="AN1209" s="2">
        <f t="shared" ca="1" si="1154"/>
        <v>19958.502165072783</v>
      </c>
      <c r="AO1209" s="2">
        <f t="shared" ca="1" si="1155"/>
        <v>20703.080958266186</v>
      </c>
      <c r="AP1209" s="2">
        <f t="shared" ca="1" si="1156"/>
        <v>2213399.8429077179</v>
      </c>
      <c r="AQ1209" s="2">
        <f t="shared" ca="1" si="1157"/>
        <v>853605.79425387771</v>
      </c>
      <c r="AR1209" s="2">
        <f t="shared" ca="1" si="1158"/>
        <v>963502.74824023712</v>
      </c>
      <c r="AS1209" s="2">
        <f t="shared" ca="1" si="1159"/>
        <v>1020916.7192815637</v>
      </c>
      <c r="AT1209" s="2">
        <f t="shared" ca="1" si="1160"/>
        <v>1080472.5958084229</v>
      </c>
      <c r="AU1209" s="2">
        <f t="shared" ca="1" si="1161"/>
        <v>1142250.2844885788</v>
      </c>
      <c r="AV1209" s="2">
        <f t="shared" ca="1" si="1162"/>
        <v>2429493.4144148831</v>
      </c>
      <c r="AW1209" s="2">
        <f t="shared" ca="1" si="1163"/>
        <v>2723728.3356660842</v>
      </c>
      <c r="AX1209" s="2">
        <f t="shared" ca="1" si="1164"/>
        <v>2886445.3453080314</v>
      </c>
      <c r="AY1209" s="2">
        <f t="shared" ca="1" si="1165"/>
        <v>3055232.7320588999</v>
      </c>
      <c r="AZ1209" s="2">
        <f t="shared" ca="1" si="1166"/>
        <v>3230316.959509227</v>
      </c>
      <c r="BA1209" s="2">
        <f t="shared" ca="1" si="1167"/>
        <v>57030687.566419415</v>
      </c>
      <c r="BB1209" s="2">
        <f t="shared" ca="1" si="1168"/>
        <v>1140613.7513283882</v>
      </c>
      <c r="BC1209" s="2">
        <f t="shared" ca="1" si="1169"/>
        <v>31296742.227227494</v>
      </c>
      <c r="BD1209" s="2">
        <f t="shared" ca="1" si="1170"/>
        <v>-17920276.541403338</v>
      </c>
      <c r="BE1209" s="2">
        <f t="shared" ca="1" si="1171"/>
        <v>2429493.4144148831</v>
      </c>
      <c r="BF1209" s="2">
        <f t="shared" ca="1" si="1172"/>
        <v>2723728.3356660842</v>
      </c>
      <c r="BG1209" s="2">
        <f t="shared" ca="1" si="1173"/>
        <v>2886445.3453080314</v>
      </c>
      <c r="BH1209" s="2">
        <f t="shared" ca="1" si="1174"/>
        <v>3055232.7320588999</v>
      </c>
      <c r="BI1209" s="2">
        <f t="shared" ca="1" si="1175"/>
        <v>34527059.186736718</v>
      </c>
      <c r="BJ1209" s="2">
        <f t="shared" ca="1" si="1176"/>
        <v>0.24669313342051113</v>
      </c>
      <c r="BK1209" s="2">
        <f t="shared" ca="1" si="1177"/>
        <v>10008004.610167433</v>
      </c>
    </row>
    <row r="1210" spans="1:63" x14ac:dyDescent="0.3">
      <c r="A1210" s="2">
        <v>1209</v>
      </c>
      <c r="B1210" s="2">
        <f t="shared" ca="1" si="1116"/>
        <v>0.60974036185908087</v>
      </c>
      <c r="C1210" s="2">
        <f t="shared" ca="1" si="1117"/>
        <v>7.1165299799756427</v>
      </c>
      <c r="D1210" s="2">
        <f t="shared" ca="1" si="1118"/>
        <v>0.10232297872835272</v>
      </c>
      <c r="E1210" s="2">
        <f t="shared" ca="1" si="1119"/>
        <v>6.9523781133705578</v>
      </c>
      <c r="F1210" s="2">
        <f t="shared" ca="1" si="1120"/>
        <v>0.83911247689039969</v>
      </c>
      <c r="G1210" s="2">
        <f t="shared" ca="1" si="1121"/>
        <v>6.9724503885968236E-2</v>
      </c>
      <c r="H1210" s="2">
        <f t="shared" ca="1" si="1122"/>
        <v>6.9724503885968236E-2</v>
      </c>
      <c r="I1210" s="2">
        <f t="shared" ca="1" si="1123"/>
        <v>0.85100894796115634</v>
      </c>
      <c r="J1210" s="2">
        <f t="shared" ca="1" si="1124"/>
        <v>1.5203852180338071E-2</v>
      </c>
      <c r="K1210" s="2">
        <f t="shared" ca="1" si="1125"/>
        <v>1.5203852180338071E-2</v>
      </c>
      <c r="L1210" s="2">
        <f t="shared" ca="1" si="1126"/>
        <v>0.46303260359219289</v>
      </c>
      <c r="M1210" s="2">
        <f t="shared" ca="1" si="1127"/>
        <v>-1.8559306148913336E-3</v>
      </c>
      <c r="N1210" s="2">
        <f t="shared" ca="1" si="1128"/>
        <v>-1.8559306148913336E-3</v>
      </c>
      <c r="O1210" s="2">
        <f t="shared" si="1129"/>
        <v>6000000</v>
      </c>
      <c r="P1210" s="2">
        <f t="shared" ca="1" si="1130"/>
        <v>42699179.87985386</v>
      </c>
      <c r="Q1210" s="2">
        <f t="shared" ca="1" si="1131"/>
        <v>1067479.4969963466</v>
      </c>
      <c r="R1210" s="2">
        <f t="shared" ca="1" si="1132"/>
        <v>25619507.927912313</v>
      </c>
      <c r="S1210" s="2">
        <f t="shared" ca="1" si="1133"/>
        <v>17079671.951941546</v>
      </c>
      <c r="T1210" s="2">
        <f t="shared" ca="1" si="1134"/>
        <v>49907203.469255432</v>
      </c>
      <c r="U1210" s="2">
        <f t="shared" ca="1" si="1135"/>
        <v>53386958.471485339</v>
      </c>
      <c r="V1210" s="2">
        <f t="shared" ca="1" si="1136"/>
        <v>57109337.664890438</v>
      </c>
      <c r="W1210" s="2">
        <f t="shared" ca="1" si="1137"/>
        <v>61091257.900831163</v>
      </c>
      <c r="X1210" s="2">
        <f t="shared" ca="1" si="1138"/>
        <v>65350815.549736351</v>
      </c>
      <c r="Y1210" s="2">
        <f t="shared" ca="1" si="1139"/>
        <v>0.12760192609016904</v>
      </c>
      <c r="Z1210" s="2">
        <f t="shared" ca="1" si="1140"/>
        <v>0.13064269652623664</v>
      </c>
      <c r="AA1210" s="2">
        <f t="shared" ca="1" si="1141"/>
        <v>6368255.2884509601</v>
      </c>
      <c r="AB1210" s="2">
        <f t="shared" ca="1" si="1142"/>
        <v>6974616.2140490571</v>
      </c>
      <c r="AC1210" s="2">
        <f t="shared" ca="1" si="1143"/>
        <v>7460917.8693686575</v>
      </c>
      <c r="AD1210" s="2">
        <f t="shared" ca="1" si="1144"/>
        <v>7981126.6663443418</v>
      </c>
      <c r="AE1210" s="2">
        <f t="shared" ca="1" si="1145"/>
        <v>8537606.7636062726</v>
      </c>
      <c r="AF1210" s="2">
        <f t="shared" ca="1" si="1146"/>
        <v>998144.06938510865</v>
      </c>
      <c r="AG1210" s="2">
        <f t="shared" ca="1" si="1147"/>
        <v>1067739.1694297069</v>
      </c>
      <c r="AH1210" s="2">
        <f t="shared" ca="1" si="1148"/>
        <v>1142186.7532978088</v>
      </c>
      <c r="AI1210" s="2">
        <f t="shared" ca="1" si="1149"/>
        <v>1221825.1580166232</v>
      </c>
      <c r="AJ1210" s="2">
        <f t="shared" ca="1" si="1150"/>
        <v>1307016.3109947271</v>
      </c>
      <c r="AK1210" s="2">
        <f t="shared" ca="1" si="1151"/>
        <v>0</v>
      </c>
      <c r="AL1210" s="2">
        <f t="shared" ca="1" si="1152"/>
        <v>34797.550022299067</v>
      </c>
      <c r="AM1210" s="2">
        <f t="shared" ca="1" si="1153"/>
        <v>37223.791934050991</v>
      </c>
      <c r="AN1210" s="2">
        <f t="shared" ca="1" si="1154"/>
        <v>39819.202359407245</v>
      </c>
      <c r="AO1210" s="2">
        <f t="shared" ca="1" si="1155"/>
        <v>42595.576489051877</v>
      </c>
      <c r="AP1210" s="2">
        <f t="shared" ca="1" si="1156"/>
        <v>2305755.7135121082</v>
      </c>
      <c r="AQ1210" s="2">
        <f t="shared" ca="1" si="1157"/>
        <v>796732.43144397333</v>
      </c>
      <c r="AR1210" s="2">
        <f t="shared" ca="1" si="1158"/>
        <v>936291.54608788283</v>
      </c>
      <c r="AS1210" s="2">
        <f t="shared" ca="1" si="1159"/>
        <v>1043373.6046652726</v>
      </c>
      <c r="AT1210" s="2">
        <f t="shared" ca="1" si="1160"/>
        <v>1157921.9066520589</v>
      </c>
      <c r="AU1210" s="2">
        <f t="shared" ca="1" si="1161"/>
        <v>1280457.0321658538</v>
      </c>
      <c r="AV1210" s="2">
        <f t="shared" ca="1" si="1162"/>
        <v>2267623.0741097699</v>
      </c>
      <c r="AW1210" s="2">
        <f t="shared" ca="1" si="1163"/>
        <v>2630032.2349970597</v>
      </c>
      <c r="AX1210" s="2">
        <f t="shared" ca="1" si="1164"/>
        <v>2932378.0059594172</v>
      </c>
      <c r="AY1210" s="2">
        <f t="shared" ca="1" si="1165"/>
        <v>3255804.6858041449</v>
      </c>
      <c r="AZ1210" s="2">
        <f t="shared" ca="1" si="1166"/>
        <v>3601782.1304445318</v>
      </c>
      <c r="BA1210" s="2">
        <f t="shared" ca="1" si="1167"/>
        <v>59356670.403860688</v>
      </c>
      <c r="BB1210" s="2">
        <f t="shared" ca="1" si="1168"/>
        <v>1187133.4080772137</v>
      </c>
      <c r="BC1210" s="2">
        <f t="shared" ca="1" si="1169"/>
        <v>32550029.067871165</v>
      </c>
      <c r="BD1210" s="2">
        <f t="shared" ca="1" si="1170"/>
        <v>-18647151.448937893</v>
      </c>
      <c r="BE1210" s="2">
        <f t="shared" ca="1" si="1171"/>
        <v>2267623.0741097699</v>
      </c>
      <c r="BF1210" s="2">
        <f t="shared" ca="1" si="1172"/>
        <v>2630032.2349970597</v>
      </c>
      <c r="BG1210" s="2">
        <f t="shared" ca="1" si="1173"/>
        <v>2932378.0059594172</v>
      </c>
      <c r="BH1210" s="2">
        <f t="shared" ca="1" si="1174"/>
        <v>3255804.6858041449</v>
      </c>
      <c r="BI1210" s="2">
        <f t="shared" ca="1" si="1175"/>
        <v>36151811.198315695</v>
      </c>
      <c r="BJ1210" s="2">
        <f t="shared" ca="1" si="1176"/>
        <v>0.24224616860081905</v>
      </c>
      <c r="BK1210" s="2">
        <f t="shared" ca="1" si="1177"/>
        <v>10143997.643730972</v>
      </c>
    </row>
    <row r="1211" spans="1:63" x14ac:dyDescent="0.3">
      <c r="A1211" s="2">
        <v>1210</v>
      </c>
      <c r="B1211" s="2">
        <f t="shared" ca="1" si="1116"/>
        <v>0.505461622964122</v>
      </c>
      <c r="C1211" s="2">
        <f t="shared" ca="1" si="1117"/>
        <v>7.005476619645493</v>
      </c>
      <c r="D1211" s="2">
        <f t="shared" ca="1" si="1118"/>
        <v>0.28281072876835922</v>
      </c>
      <c r="E1211" s="2">
        <f t="shared" ca="1" si="1119"/>
        <v>7.2520780927116002</v>
      </c>
      <c r="F1211" s="2">
        <f t="shared" ca="1" si="1120"/>
        <v>0.71860547871649227</v>
      </c>
      <c r="G1211" s="2">
        <f t="shared" ca="1" si="1121"/>
        <v>5.7361114396894328E-2</v>
      </c>
      <c r="H1211" s="2">
        <f t="shared" ca="1" si="1122"/>
        <v>5.7361114396894328E-2</v>
      </c>
      <c r="I1211" s="2">
        <f t="shared" ca="1" si="1123"/>
        <v>0.54988272825225604</v>
      </c>
      <c r="J1211" s="2">
        <f t="shared" ca="1" si="1124"/>
        <v>1.0626825327997066E-2</v>
      </c>
      <c r="K1211" s="2">
        <f t="shared" ca="1" si="1125"/>
        <v>1.0626825327997066E-2</v>
      </c>
      <c r="L1211" s="2">
        <f t="shared" ca="1" si="1126"/>
        <v>0.40912947426695145</v>
      </c>
      <c r="M1211" s="2">
        <f t="shared" ca="1" si="1127"/>
        <v>-4.5956972359459955E-3</v>
      </c>
      <c r="N1211" s="2">
        <f t="shared" ca="1" si="1128"/>
        <v>-4.5956972359459955E-3</v>
      </c>
      <c r="O1211" s="2">
        <f t="shared" si="1129"/>
        <v>6000000</v>
      </c>
      <c r="P1211" s="2">
        <f t="shared" ca="1" si="1130"/>
        <v>42032859.717872955</v>
      </c>
      <c r="Q1211" s="2">
        <f t="shared" ca="1" si="1131"/>
        <v>1050821.4929468238</v>
      </c>
      <c r="R1211" s="2">
        <f t="shared" ca="1" si="1132"/>
        <v>25219715.830723774</v>
      </c>
      <c r="S1211" s="2">
        <f t="shared" ca="1" si="1133"/>
        <v>16813143.887149181</v>
      </c>
      <c r="T1211" s="2">
        <f t="shared" ca="1" si="1134"/>
        <v>49770215.138202697</v>
      </c>
      <c r="U1211" s="2">
        <f t="shared" ca="1" si="1135"/>
        <v>52625090.142303184</v>
      </c>
      <c r="V1211" s="2">
        <f t="shared" ca="1" si="1136"/>
        <v>55643723.958102718</v>
      </c>
      <c r="W1211" s="2">
        <f t="shared" ca="1" si="1137"/>
        <v>58835509.973532662</v>
      </c>
      <c r="X1211" s="2">
        <f t="shared" ca="1" si="1138"/>
        <v>62210380.391724087</v>
      </c>
      <c r="Y1211" s="2">
        <f t="shared" ca="1" si="1139"/>
        <v>0.12531341266399854</v>
      </c>
      <c r="Z1211" s="2">
        <f t="shared" ca="1" si="1140"/>
        <v>0.12743877772959794</v>
      </c>
      <c r="AA1211" s="2">
        <f t="shared" ca="1" si="1141"/>
        <v>6236875.5079895817</v>
      </c>
      <c r="AB1211" s="2">
        <f t="shared" ca="1" si="1142"/>
        <v>6706477.1656450313</v>
      </c>
      <c r="AC1211" s="2">
        <f t="shared" ca="1" si="1143"/>
        <v>7091168.1695437562</v>
      </c>
      <c r="AD1211" s="2">
        <f t="shared" ca="1" si="1144"/>
        <v>7497925.478124572</v>
      </c>
      <c r="AE1211" s="2">
        <f t="shared" ca="1" si="1145"/>
        <v>7928014.839214664</v>
      </c>
      <c r="AF1211" s="2">
        <f t="shared" ca="1" si="1146"/>
        <v>995404.30276405392</v>
      </c>
      <c r="AG1211" s="2">
        <f t="shared" ca="1" si="1147"/>
        <v>1052501.8028460636</v>
      </c>
      <c r="AH1211" s="2">
        <f t="shared" ca="1" si="1148"/>
        <v>1112874.4791620544</v>
      </c>
      <c r="AI1211" s="2">
        <f t="shared" ca="1" si="1149"/>
        <v>1176710.1994706532</v>
      </c>
      <c r="AJ1211" s="2">
        <f t="shared" ca="1" si="1150"/>
        <v>1244207.6078344819</v>
      </c>
      <c r="AK1211" s="2">
        <f t="shared" ca="1" si="1151"/>
        <v>0</v>
      </c>
      <c r="AL1211" s="2">
        <f t="shared" ca="1" si="1152"/>
        <v>28548.750041004867</v>
      </c>
      <c r="AM1211" s="2">
        <f t="shared" ca="1" si="1153"/>
        <v>30186.338157995342</v>
      </c>
      <c r="AN1211" s="2">
        <f t="shared" ca="1" si="1154"/>
        <v>31917.86015429944</v>
      </c>
      <c r="AO1211" s="2">
        <f t="shared" ca="1" si="1155"/>
        <v>33748.704181914254</v>
      </c>
      <c r="AP1211" s="2">
        <f t="shared" ca="1" si="1156"/>
        <v>2269774.4247651394</v>
      </c>
      <c r="AQ1211" s="2">
        <f t="shared" ca="1" si="1157"/>
        <v>772641.16291970084</v>
      </c>
      <c r="AR1211" s="2">
        <f t="shared" ca="1" si="1158"/>
        <v>879892.24388879538</v>
      </c>
      <c r="AS1211" s="2">
        <f t="shared" ca="1" si="1159"/>
        <v>964215.00906030636</v>
      </c>
      <c r="AT1211" s="2">
        <f t="shared" ca="1" si="1160"/>
        <v>1053374.6220110827</v>
      </c>
      <c r="AU1211" s="2">
        <f t="shared" ca="1" si="1161"/>
        <v>1147648.5297199113</v>
      </c>
      <c r="AV1211" s="2">
        <f t="shared" ca="1" si="1162"/>
        <v>2199055.6175406869</v>
      </c>
      <c r="AW1211" s="2">
        <f t="shared" ca="1" si="1163"/>
        <v>2475759.9441040275</v>
      </c>
      <c r="AX1211" s="2">
        <f t="shared" ca="1" si="1164"/>
        <v>2714117.9183982606</v>
      </c>
      <c r="AY1211" s="2">
        <f t="shared" ca="1" si="1165"/>
        <v>2966148.3717233972</v>
      </c>
      <c r="AZ1211" s="2">
        <f t="shared" ca="1" si="1166"/>
        <v>3232635.5727132172</v>
      </c>
      <c r="BA1211" s="2">
        <f t="shared" ca="1" si="1167"/>
        <v>57494582.734161146</v>
      </c>
      <c r="BB1211" s="2">
        <f t="shared" ca="1" si="1168"/>
        <v>1149891.654683223</v>
      </c>
      <c r="BC1211" s="2">
        <f t="shared" ca="1" si="1169"/>
        <v>31124975.248754151</v>
      </c>
      <c r="BD1211" s="2">
        <f t="shared" ca="1" si="1170"/>
        <v>-18363965.380096003</v>
      </c>
      <c r="BE1211" s="2">
        <f t="shared" ca="1" si="1171"/>
        <v>2199055.6175406869</v>
      </c>
      <c r="BF1211" s="2">
        <f t="shared" ca="1" si="1172"/>
        <v>2475759.9441040275</v>
      </c>
      <c r="BG1211" s="2">
        <f t="shared" ca="1" si="1173"/>
        <v>2714117.9183982606</v>
      </c>
      <c r="BH1211" s="2">
        <f t="shared" ca="1" si="1174"/>
        <v>2966148.3717233972</v>
      </c>
      <c r="BI1211" s="2">
        <f t="shared" ca="1" si="1175"/>
        <v>34357610.82146737</v>
      </c>
      <c r="BJ1211" s="2">
        <f t="shared" ca="1" si="1176"/>
        <v>0.23030282077177433</v>
      </c>
      <c r="BK1211" s="2">
        <f t="shared" ca="1" si="1177"/>
        <v>8885465.3217332624</v>
      </c>
    </row>
    <row r="1212" spans="1:63" x14ac:dyDescent="0.3">
      <c r="A1212" s="2">
        <v>1211</v>
      </c>
      <c r="B1212" s="2">
        <f t="shared" ca="1" si="1116"/>
        <v>0.61564745660538989</v>
      </c>
      <c r="C1212" s="2">
        <f t="shared" ca="1" si="1117"/>
        <v>7.123241717011342</v>
      </c>
      <c r="D1212" s="2">
        <f t="shared" ca="1" si="1118"/>
        <v>0.33000583520476756</v>
      </c>
      <c r="E1212" s="2">
        <f t="shared" ca="1" si="1119"/>
        <v>7.3124110230723947</v>
      </c>
      <c r="F1212" s="2">
        <f t="shared" ca="1" si="1120"/>
        <v>0.7543315603185673</v>
      </c>
      <c r="G1212" s="2">
        <f t="shared" ca="1" si="1121"/>
        <v>6.0645521854859455E-2</v>
      </c>
      <c r="H1212" s="2">
        <f t="shared" ca="1" si="1122"/>
        <v>6.0645521854859455E-2</v>
      </c>
      <c r="I1212" s="2">
        <f t="shared" ca="1" si="1123"/>
        <v>0.4340115215642939</v>
      </c>
      <c r="J1212" s="2">
        <f t="shared" ca="1" si="1124"/>
        <v>9.1691492083677949E-3</v>
      </c>
      <c r="K1212" s="2">
        <f t="shared" ca="1" si="1125"/>
        <v>9.1691492083677949E-3</v>
      </c>
      <c r="L1212" s="2">
        <f t="shared" ca="1" si="1126"/>
        <v>0.36656487800467608</v>
      </c>
      <c r="M1212" s="2">
        <f t="shared" ca="1" si="1127"/>
        <v>-6.8193046362279601E-3</v>
      </c>
      <c r="N1212" s="2">
        <f t="shared" ca="1" si="1128"/>
        <v>-6.8193046362279601E-3</v>
      </c>
      <c r="O1212" s="2">
        <f t="shared" si="1129"/>
        <v>6000000</v>
      </c>
      <c r="P1212" s="2">
        <f t="shared" ca="1" si="1130"/>
        <v>42739450.302068055</v>
      </c>
      <c r="Q1212" s="2">
        <f t="shared" ca="1" si="1131"/>
        <v>1068486.2575517015</v>
      </c>
      <c r="R1212" s="2">
        <f t="shared" ca="1" si="1132"/>
        <v>25643670.181240831</v>
      </c>
      <c r="S1212" s="2">
        <f t="shared" ca="1" si="1133"/>
        <v>17095780.120827224</v>
      </c>
      <c r="T1212" s="2">
        <f t="shared" ca="1" si="1134"/>
        <v>49659034.768188603</v>
      </c>
      <c r="U1212" s="2">
        <f t="shared" ca="1" si="1135"/>
        <v>52670632.846514009</v>
      </c>
      <c r="V1212" s="2">
        <f t="shared" ca="1" si="1136"/>
        <v>55864870.86191655</v>
      </c>
      <c r="W1212" s="2">
        <f t="shared" ca="1" si="1137"/>
        <v>59252825.108691804</v>
      </c>
      <c r="X1212" s="2">
        <f t="shared" ca="1" si="1138"/>
        <v>62846243.608783133</v>
      </c>
      <c r="Y1212" s="2">
        <f t="shared" ca="1" si="1139"/>
        <v>0.12458457460418389</v>
      </c>
      <c r="Z1212" s="2">
        <f t="shared" ca="1" si="1140"/>
        <v>0.12641840444585745</v>
      </c>
      <c r="AA1212" s="2">
        <f t="shared" ca="1" si="1141"/>
        <v>6186749.7218491547</v>
      </c>
      <c r="AB1212" s="2">
        <f t="shared" ca="1" si="1142"/>
        <v>6658537.3656098722</v>
      </c>
      <c r="AC1212" s="2">
        <f t="shared" ca="1" si="1143"/>
        <v>7062347.8389373636</v>
      </c>
      <c r="AD1212" s="2">
        <f t="shared" ca="1" si="1144"/>
        <v>7490647.6091502579</v>
      </c>
      <c r="AE1212" s="2">
        <f t="shared" ca="1" si="1145"/>
        <v>7944921.8424380301</v>
      </c>
      <c r="AF1212" s="2">
        <f t="shared" ca="1" si="1146"/>
        <v>993180.6953637721</v>
      </c>
      <c r="AG1212" s="2">
        <f t="shared" ca="1" si="1147"/>
        <v>1053412.6569302802</v>
      </c>
      <c r="AH1212" s="2">
        <f t="shared" ca="1" si="1148"/>
        <v>1117297.4172383309</v>
      </c>
      <c r="AI1212" s="2">
        <f t="shared" ca="1" si="1149"/>
        <v>1185056.5021738361</v>
      </c>
      <c r="AJ1212" s="2">
        <f t="shared" ca="1" si="1150"/>
        <v>1256924.8721756628</v>
      </c>
      <c r="AK1212" s="2">
        <f t="shared" ca="1" si="1151"/>
        <v>0</v>
      </c>
      <c r="AL1212" s="2">
        <f t="shared" ca="1" si="1152"/>
        <v>30115.980783254057</v>
      </c>
      <c r="AM1212" s="2">
        <f t="shared" ca="1" si="1153"/>
        <v>31942.380154025406</v>
      </c>
      <c r="AN1212" s="2">
        <f t="shared" ca="1" si="1154"/>
        <v>33879.542467752544</v>
      </c>
      <c r="AO1212" s="2">
        <f t="shared" ca="1" si="1155"/>
        <v>35934.18500091329</v>
      </c>
      <c r="AP1212" s="2">
        <f t="shared" ca="1" si="1156"/>
        <v>2307930.3163116747</v>
      </c>
      <c r="AQ1212" s="2">
        <f t="shared" ca="1" si="1157"/>
        <v>750266.06464516406</v>
      </c>
      <c r="AR1212" s="2">
        <f t="shared" ca="1" si="1158"/>
        <v>857270.54201565858</v>
      </c>
      <c r="AS1212" s="2">
        <f t="shared" ca="1" si="1159"/>
        <v>945651.22740071302</v>
      </c>
      <c r="AT1212" s="2">
        <f t="shared" ca="1" si="1160"/>
        <v>1039391.8055728342</v>
      </c>
      <c r="AU1212" s="2">
        <f t="shared" ca="1" si="1161"/>
        <v>1138817.3300271803</v>
      </c>
      <c r="AV1212" s="2">
        <f t="shared" ca="1" si="1162"/>
        <v>2135372.6455285442</v>
      </c>
      <c r="AW1212" s="2">
        <f t="shared" ca="1" si="1163"/>
        <v>2409807.869569005</v>
      </c>
      <c r="AX1212" s="2">
        <f t="shared" ca="1" si="1164"/>
        <v>2659526.4978326191</v>
      </c>
      <c r="AY1212" s="2">
        <f t="shared" ca="1" si="1165"/>
        <v>2924389.4426241606</v>
      </c>
      <c r="AZ1212" s="2">
        <f t="shared" ca="1" si="1166"/>
        <v>3205315.1389225996</v>
      </c>
      <c r="BA1212" s="2">
        <f t="shared" ca="1" si="1167"/>
        <v>58096534.05809249</v>
      </c>
      <c r="BB1212" s="2">
        <f t="shared" ca="1" si="1168"/>
        <v>1161930.6811618498</v>
      </c>
      <c r="BC1212" s="2">
        <f t="shared" ca="1" si="1169"/>
        <v>31290933.195689809</v>
      </c>
      <c r="BD1212" s="2">
        <f t="shared" ca="1" si="1170"/>
        <v>-18664266.378378924</v>
      </c>
      <c r="BE1212" s="2">
        <f t="shared" ca="1" si="1171"/>
        <v>2135372.6455285442</v>
      </c>
      <c r="BF1212" s="2">
        <f t="shared" ca="1" si="1172"/>
        <v>2409807.869569005</v>
      </c>
      <c r="BG1212" s="2">
        <f t="shared" ca="1" si="1173"/>
        <v>2659526.4978326191</v>
      </c>
      <c r="BH1212" s="2">
        <f t="shared" ca="1" si="1174"/>
        <v>2924389.4426241606</v>
      </c>
      <c r="BI1212" s="2">
        <f t="shared" ca="1" si="1175"/>
        <v>34496248.334612407</v>
      </c>
      <c r="BJ1212" s="2">
        <f t="shared" ca="1" si="1176"/>
        <v>0.22397476063415422</v>
      </c>
      <c r="BK1212" s="2">
        <f t="shared" ca="1" si="1177"/>
        <v>8488998.9359122664</v>
      </c>
    </row>
    <row r="1213" spans="1:63" x14ac:dyDescent="0.3">
      <c r="A1213" s="2">
        <v>1212</v>
      </c>
      <c r="B1213" s="2">
        <f t="shared" ca="1" si="1116"/>
        <v>0.69121083044175002</v>
      </c>
      <c r="C1213" s="2">
        <f t="shared" ca="1" si="1117"/>
        <v>7.2141384733195677</v>
      </c>
      <c r="D1213" s="2">
        <f t="shared" ca="1" si="1118"/>
        <v>0.10067081660294208</v>
      </c>
      <c r="E1213" s="2">
        <f t="shared" ca="1" si="1119"/>
        <v>6.948711079878672</v>
      </c>
      <c r="F1213" s="2">
        <f t="shared" ca="1" si="1120"/>
        <v>0.17662366479711022</v>
      </c>
      <c r="G1213" s="2">
        <f t="shared" ca="1" si="1121"/>
        <v>1.2150731313552363E-2</v>
      </c>
      <c r="H1213" s="2">
        <f t="shared" ca="1" si="1122"/>
        <v>1.2150731313552363E-2</v>
      </c>
      <c r="I1213" s="2">
        <f t="shared" ca="1" si="1123"/>
        <v>0.21209898502938718</v>
      </c>
      <c r="J1213" s="2">
        <f t="shared" ca="1" si="1124"/>
        <v>6.0042028250639366E-3</v>
      </c>
      <c r="K1213" s="2">
        <f t="shared" ca="1" si="1125"/>
        <v>6.0042028250639366E-3</v>
      </c>
      <c r="L1213" s="2">
        <f t="shared" ca="1" si="1126"/>
        <v>0.76754282045415545</v>
      </c>
      <c r="M1213" s="2">
        <f t="shared" ca="1" si="1127"/>
        <v>1.4615573236905608E-2</v>
      </c>
      <c r="N1213" s="2">
        <f t="shared" ca="1" si="1128"/>
        <v>1.4615573236905608E-2</v>
      </c>
      <c r="O1213" s="2">
        <f t="shared" si="1129"/>
        <v>6000000</v>
      </c>
      <c r="P1213" s="2">
        <f t="shared" ca="1" si="1130"/>
        <v>43284830.839917406</v>
      </c>
      <c r="Q1213" s="2">
        <f t="shared" ca="1" si="1131"/>
        <v>1082120.7709979352</v>
      </c>
      <c r="R1213" s="2">
        <f t="shared" ca="1" si="1132"/>
        <v>25970898.503950443</v>
      </c>
      <c r="S1213" s="2">
        <f t="shared" ca="1" si="1133"/>
        <v>17313932.335966963</v>
      </c>
      <c r="T1213" s="2">
        <f t="shared" ca="1" si="1134"/>
        <v>50730778.661845274</v>
      </c>
      <c r="U1213" s="2">
        <f t="shared" ca="1" si="1135"/>
        <v>51347194.722692646</v>
      </c>
      <c r="V1213" s="2">
        <f t="shared" ca="1" si="1136"/>
        <v>51971100.689472735</v>
      </c>
      <c r="W1213" s="2">
        <f t="shared" ca="1" si="1137"/>
        <v>52602587.570020087</v>
      </c>
      <c r="X1213" s="2">
        <f t="shared" ca="1" si="1138"/>
        <v>53241747.477981009</v>
      </c>
      <c r="Y1213" s="2">
        <f t="shared" ca="1" si="1139"/>
        <v>0.12300210141253197</v>
      </c>
      <c r="Z1213" s="2">
        <f t="shared" ca="1" si="1140"/>
        <v>0.12420294197754475</v>
      </c>
      <c r="AA1213" s="2">
        <f t="shared" ca="1" si="1141"/>
        <v>6239992.3817010056</v>
      </c>
      <c r="AB1213" s="2">
        <f t="shared" ca="1" si="1142"/>
        <v>6377472.6468522865</v>
      </c>
      <c r="AC1213" s="2">
        <f t="shared" ca="1" si="1143"/>
        <v>6454963.6034437185</v>
      </c>
      <c r="AD1213" s="2">
        <f t="shared" ca="1" si="1144"/>
        <v>6533396.1318279216</v>
      </c>
      <c r="AE1213" s="2">
        <f t="shared" ca="1" si="1145"/>
        <v>6612781.6727907648</v>
      </c>
      <c r="AF1213" s="2">
        <f t="shared" ca="1" si="1146"/>
        <v>1014615.5732369055</v>
      </c>
      <c r="AG1213" s="2">
        <f t="shared" ca="1" si="1147"/>
        <v>1026943.8944538529</v>
      </c>
      <c r="AH1213" s="2">
        <f t="shared" ca="1" si="1148"/>
        <v>1039422.0137894547</v>
      </c>
      <c r="AI1213" s="2">
        <f t="shared" ca="1" si="1149"/>
        <v>1052051.7514004018</v>
      </c>
      <c r="AJ1213" s="2">
        <f t="shared" ca="1" si="1150"/>
        <v>1064834.9495596201</v>
      </c>
      <c r="AK1213" s="2">
        <f t="shared" ca="1" si="1151"/>
        <v>0</v>
      </c>
      <c r="AL1213" s="2">
        <f t="shared" ca="1" si="1152"/>
        <v>6164.1606084737186</v>
      </c>
      <c r="AM1213" s="2">
        <f t="shared" ca="1" si="1153"/>
        <v>6239.0596678008887</v>
      </c>
      <c r="AN1213" s="2">
        <f t="shared" ca="1" si="1154"/>
        <v>6314.8688054735212</v>
      </c>
      <c r="AO1213" s="2">
        <f t="shared" ca="1" si="1155"/>
        <v>6391.5990796092156</v>
      </c>
      <c r="AP1213" s="2">
        <f t="shared" ca="1" si="1156"/>
        <v>2337380.8653555396</v>
      </c>
      <c r="AQ1213" s="2">
        <f t="shared" ca="1" si="1157"/>
        <v>750878.94520822586</v>
      </c>
      <c r="AR1213" s="2">
        <f t="shared" ca="1" si="1158"/>
        <v>783418.45063115237</v>
      </c>
      <c r="AS1213" s="2">
        <f t="shared" ca="1" si="1159"/>
        <v>800321.78831766837</v>
      </c>
      <c r="AT1213" s="2">
        <f t="shared" ca="1" si="1160"/>
        <v>817430.51391871483</v>
      </c>
      <c r="AU1213" s="2">
        <f t="shared" ca="1" si="1161"/>
        <v>834747.12304765719</v>
      </c>
      <c r="AV1213" s="2">
        <f t="shared" ca="1" si="1162"/>
        <v>2137116.9979003356</v>
      </c>
      <c r="AW1213" s="2">
        <f t="shared" ca="1" si="1163"/>
        <v>2223565.2758032666</v>
      </c>
      <c r="AX1213" s="2">
        <f t="shared" ca="1" si="1164"/>
        <v>2271599.8763132556</v>
      </c>
      <c r="AY1213" s="2">
        <f t="shared" ca="1" si="1165"/>
        <v>2320218.1323477919</v>
      </c>
      <c r="AZ1213" s="2">
        <f t="shared" ca="1" si="1166"/>
        <v>2369427.1357483384</v>
      </c>
      <c r="BA1213" s="2">
        <f t="shared" ca="1" si="1167"/>
        <v>45950309.278539807</v>
      </c>
      <c r="BB1213" s="2">
        <f t="shared" ca="1" si="1168"/>
        <v>919006.18557079614</v>
      </c>
      <c r="BC1213" s="2">
        <f t="shared" ca="1" si="1169"/>
        <v>19060404.589018568</v>
      </c>
      <c r="BD1213" s="2">
        <f t="shared" ca="1" si="1170"/>
        <v>-18896053.106964897</v>
      </c>
      <c r="BE1213" s="2">
        <f t="shared" ca="1" si="1171"/>
        <v>2137116.9979003356</v>
      </c>
      <c r="BF1213" s="2">
        <f t="shared" ca="1" si="1172"/>
        <v>2223565.2758032666</v>
      </c>
      <c r="BG1213" s="2">
        <f t="shared" ca="1" si="1173"/>
        <v>2271599.8763132556</v>
      </c>
      <c r="BH1213" s="2">
        <f t="shared" ca="1" si="1174"/>
        <v>2320218.1323477919</v>
      </c>
      <c r="BI1213" s="2">
        <f t="shared" ca="1" si="1175"/>
        <v>21429831.724766906</v>
      </c>
      <c r="BJ1213" s="2">
        <f t="shared" ca="1" si="1176"/>
        <v>0.1205240486703707</v>
      </c>
      <c r="BK1213" s="2">
        <f t="shared" ca="1" si="1177"/>
        <v>35982.219945285469</v>
      </c>
    </row>
    <row r="1214" spans="1:63" x14ac:dyDescent="0.3">
      <c r="A1214" s="2">
        <v>1213</v>
      </c>
      <c r="B1214" s="2">
        <f t="shared" ca="1" si="1116"/>
        <v>0.81373550185246879</v>
      </c>
      <c r="C1214" s="2">
        <f t="shared" ca="1" si="1117"/>
        <v>7.3896484649850853</v>
      </c>
      <c r="D1214" s="2">
        <f t="shared" ca="1" si="1118"/>
        <v>0.66406970818661437</v>
      </c>
      <c r="E1214" s="2">
        <f t="shared" ca="1" si="1119"/>
        <v>7.68032897841465</v>
      </c>
      <c r="F1214" s="2">
        <f t="shared" ca="1" si="1120"/>
        <v>0.95901173249786864</v>
      </c>
      <c r="G1214" s="2">
        <f t="shared" ca="1" si="1121"/>
        <v>9.2179933837160458E-2</v>
      </c>
      <c r="H1214" s="2">
        <f t="shared" ca="1" si="1122"/>
        <v>9.2179933837160458E-2</v>
      </c>
      <c r="I1214" s="2">
        <f t="shared" ca="1" si="1123"/>
        <v>0.19926397955524844</v>
      </c>
      <c r="J1214" s="2">
        <f t="shared" ca="1" si="1124"/>
        <v>5.778734243035836E-3</v>
      </c>
      <c r="K1214" s="2">
        <f t="shared" ca="1" si="1125"/>
        <v>5.778734243035836E-3</v>
      </c>
      <c r="L1214" s="2">
        <f t="shared" ca="1" si="1126"/>
        <v>8.4242946726202361E-2</v>
      </c>
      <c r="M1214" s="2">
        <f t="shared" ca="1" si="1127"/>
        <v>-2.754170493384089E-2</v>
      </c>
      <c r="N1214" s="2">
        <f t="shared" ca="1" si="1128"/>
        <v>-2.754170493384089E-2</v>
      </c>
      <c r="O1214" s="2">
        <f t="shared" si="1129"/>
        <v>6000000</v>
      </c>
      <c r="P1214" s="2">
        <f t="shared" ca="1" si="1130"/>
        <v>44337890.78991051</v>
      </c>
      <c r="Q1214" s="2">
        <f t="shared" ca="1" si="1131"/>
        <v>1108447.2697477627</v>
      </c>
      <c r="R1214" s="2">
        <f t="shared" ca="1" si="1132"/>
        <v>26602734.473946307</v>
      </c>
      <c r="S1214" s="2">
        <f t="shared" ca="1" si="1133"/>
        <v>17735156.315964203</v>
      </c>
      <c r="T1214" s="2">
        <f t="shared" ca="1" si="1134"/>
        <v>48622914.753307953</v>
      </c>
      <c r="U1214" s="2">
        <f t="shared" ca="1" si="1135"/>
        <v>53104971.818237774</v>
      </c>
      <c r="V1214" s="2">
        <f t="shared" ca="1" si="1136"/>
        <v>58000184.606867202</v>
      </c>
      <c r="W1214" s="2">
        <f t="shared" ca="1" si="1137"/>
        <v>63346637.786471315</v>
      </c>
      <c r="X1214" s="2">
        <f t="shared" ca="1" si="1138"/>
        <v>69185926.66643481</v>
      </c>
      <c r="Y1214" s="2">
        <f t="shared" ca="1" si="1139"/>
        <v>0.12288936712151792</v>
      </c>
      <c r="Z1214" s="2">
        <f t="shared" ca="1" si="1140"/>
        <v>0.12404511397012508</v>
      </c>
      <c r="AA1214" s="2">
        <f t="shared" ca="1" si="1141"/>
        <v>5975239.2216375312</v>
      </c>
      <c r="AB1214" s="2">
        <f t="shared" ca="1" si="1142"/>
        <v>6587412.2815735852</v>
      </c>
      <c r="AC1214" s="2">
        <f t="shared" ca="1" si="1143"/>
        <v>7194639.5098471362</v>
      </c>
      <c r="AD1214" s="2">
        <f t="shared" ca="1" si="1144"/>
        <v>7857840.9038470658</v>
      </c>
      <c r="AE1214" s="2">
        <f t="shared" ca="1" si="1145"/>
        <v>8582176.1584666222</v>
      </c>
      <c r="AF1214" s="2">
        <f t="shared" ca="1" si="1146"/>
        <v>972458.2950661591</v>
      </c>
      <c r="AG1214" s="2">
        <f t="shared" ca="1" si="1147"/>
        <v>1062099.4363647555</v>
      </c>
      <c r="AH1214" s="2">
        <f t="shared" ca="1" si="1148"/>
        <v>1160003.692137344</v>
      </c>
      <c r="AI1214" s="2">
        <f t="shared" ca="1" si="1149"/>
        <v>1266932.7557294264</v>
      </c>
      <c r="AJ1214" s="2">
        <f t="shared" ca="1" si="1150"/>
        <v>1383718.5333286962</v>
      </c>
      <c r="AK1214" s="2">
        <f t="shared" ca="1" si="1151"/>
        <v>0</v>
      </c>
      <c r="AL1214" s="2">
        <f t="shared" ca="1" si="1152"/>
        <v>44820.570649298206</v>
      </c>
      <c r="AM1214" s="2">
        <f t="shared" ca="1" si="1153"/>
        <v>48952.127886294278</v>
      </c>
      <c r="AN1214" s="2">
        <f t="shared" ca="1" si="1154"/>
        <v>53464.531796041134</v>
      </c>
      <c r="AO1214" s="2">
        <f t="shared" ca="1" si="1155"/>
        <v>58392.888799634951</v>
      </c>
      <c r="AP1214" s="2">
        <f t="shared" ca="1" si="1156"/>
        <v>2394246.1026551677</v>
      </c>
      <c r="AQ1214" s="2">
        <f t="shared" ca="1" si="1157"/>
        <v>678219.05421821319</v>
      </c>
      <c r="AR1214" s="2">
        <f t="shared" ca="1" si="1158"/>
        <v>814077.35306395206</v>
      </c>
      <c r="AS1214" s="2">
        <f t="shared" ca="1" si="1159"/>
        <v>946501.32591420249</v>
      </c>
      <c r="AT1214" s="2">
        <f t="shared" ca="1" si="1160"/>
        <v>1091132.1318202426</v>
      </c>
      <c r="AU1214" s="2">
        <f t="shared" ca="1" si="1161"/>
        <v>1249094.9958455171</v>
      </c>
      <c r="AV1214" s="2">
        <f t="shared" ca="1" si="1162"/>
        <v>1930315.7696979912</v>
      </c>
      <c r="AW1214" s="2">
        <f t="shared" ca="1" si="1163"/>
        <v>2272168.8188404115</v>
      </c>
      <c r="AX1214" s="2">
        <f t="shared" ca="1" si="1164"/>
        <v>2644936.2612541281</v>
      </c>
      <c r="AY1214" s="2">
        <f t="shared" ca="1" si="1165"/>
        <v>3052065.3818461876</v>
      </c>
      <c r="AZ1214" s="2">
        <f t="shared" ca="1" si="1166"/>
        <v>3496723.6378376065</v>
      </c>
      <c r="BA1214" s="2">
        <f t="shared" ca="1" si="1167"/>
        <v>65913936.247730516</v>
      </c>
      <c r="BB1214" s="2">
        <f t="shared" ca="1" si="1168"/>
        <v>1318278.7249546105</v>
      </c>
      <c r="BC1214" s="2">
        <f t="shared" ca="1" si="1169"/>
        <v>37992923.048829593</v>
      </c>
      <c r="BD1214" s="2">
        <f t="shared" ca="1" si="1170"/>
        <v>-19343603.585711967</v>
      </c>
      <c r="BE1214" s="2">
        <f t="shared" ca="1" si="1171"/>
        <v>1930315.7696979912</v>
      </c>
      <c r="BF1214" s="2">
        <f t="shared" ca="1" si="1172"/>
        <v>2272168.8188404115</v>
      </c>
      <c r="BG1214" s="2">
        <f t="shared" ca="1" si="1173"/>
        <v>2644936.2612541281</v>
      </c>
      <c r="BH1214" s="2">
        <f t="shared" ca="1" si="1174"/>
        <v>3052065.3818461876</v>
      </c>
      <c r="BI1214" s="2">
        <f t="shared" ca="1" si="1175"/>
        <v>41489646.686667196</v>
      </c>
      <c r="BJ1214" s="2">
        <f t="shared" ca="1" si="1176"/>
        <v>0.24777936508475995</v>
      </c>
      <c r="BK1214" s="2">
        <f t="shared" ca="1" si="1177"/>
        <v>11555847.58678868</v>
      </c>
    </row>
    <row r="1215" spans="1:63" x14ac:dyDescent="0.3">
      <c r="A1215" s="2">
        <v>1214</v>
      </c>
      <c r="B1215" s="2">
        <f t="shared" ca="1" si="1116"/>
        <v>0.95093055187166298</v>
      </c>
      <c r="C1215" s="2">
        <f t="shared" ca="1" si="1117"/>
        <v>7.6867287177913139</v>
      </c>
      <c r="D1215" s="2">
        <f t="shared" ca="1" si="1118"/>
        <v>0.31385043049612915</v>
      </c>
      <c r="E1215" s="2">
        <f t="shared" ca="1" si="1119"/>
        <v>7.2922757480778131</v>
      </c>
      <c r="F1215" s="2">
        <f t="shared" ca="1" si="1120"/>
        <v>0.17834165593689533</v>
      </c>
      <c r="G1215" s="2">
        <f t="shared" ca="1" si="1121"/>
        <v>1.2348898302485214E-2</v>
      </c>
      <c r="H1215" s="2">
        <f t="shared" ca="1" si="1122"/>
        <v>1.2348898302485214E-2</v>
      </c>
      <c r="I1215" s="2">
        <f t="shared" ca="1" si="1123"/>
        <v>0.46512267713886135</v>
      </c>
      <c r="J1215" s="2">
        <f t="shared" ca="1" si="1124"/>
        <v>9.5623192633425766E-3</v>
      </c>
      <c r="K1215" s="2">
        <f t="shared" ca="1" si="1125"/>
        <v>9.5623192633425766E-3</v>
      </c>
      <c r="L1215" s="2">
        <f t="shared" ca="1" si="1126"/>
        <v>0.9397836802414018</v>
      </c>
      <c r="M1215" s="2">
        <f t="shared" ca="1" si="1127"/>
        <v>3.1059204313349756E-2</v>
      </c>
      <c r="N1215" s="2">
        <f t="shared" ca="1" si="1128"/>
        <v>3.1059204313349756E-2</v>
      </c>
      <c r="O1215" s="2">
        <f t="shared" si="1129"/>
        <v>6000000</v>
      </c>
      <c r="P1215" s="2">
        <f t="shared" ca="1" si="1130"/>
        <v>46120372.306747884</v>
      </c>
      <c r="Q1215" s="2">
        <f t="shared" ca="1" si="1131"/>
        <v>1153009.3076686971</v>
      </c>
      <c r="R1215" s="2">
        <f t="shared" ca="1" si="1132"/>
        <v>27672223.38404873</v>
      </c>
      <c r="S1215" s="2">
        <f t="shared" ca="1" si="1133"/>
        <v>18448148.922699153</v>
      </c>
      <c r="T1215" s="2">
        <f t="shared" ca="1" si="1134"/>
        <v>51552960.215667486</v>
      </c>
      <c r="U1215" s="2">
        <f t="shared" ca="1" si="1135"/>
        <v>52189582.478562832</v>
      </c>
      <c r="V1215" s="2">
        <f t="shared" ca="1" si="1136"/>
        <v>52834066.325039774</v>
      </c>
      <c r="W1215" s="2">
        <f t="shared" ca="1" si="1137"/>
        <v>53486508.836994454</v>
      </c>
      <c r="X1215" s="2">
        <f t="shared" ca="1" si="1138"/>
        <v>54147008.295177482</v>
      </c>
      <c r="Y1215" s="2">
        <f t="shared" ca="1" si="1139"/>
        <v>0.12478115963167129</v>
      </c>
      <c r="Z1215" s="2">
        <f t="shared" ca="1" si="1140"/>
        <v>0.1266936234843398</v>
      </c>
      <c r="AA1215" s="2">
        <f t="shared" ca="1" si="1141"/>
        <v>6432838.1581564033</v>
      </c>
      <c r="AB1215" s="2">
        <f t="shared" ca="1" si="1142"/>
        <v>6612087.3123439364</v>
      </c>
      <c r="AC1215" s="2">
        <f t="shared" ca="1" si="1143"/>
        <v>6693739.3061312251</v>
      </c>
      <c r="AD1215" s="2">
        <f t="shared" ca="1" si="1144"/>
        <v>6776399.6120859887</v>
      </c>
      <c r="AE1215" s="2">
        <f t="shared" ca="1" si="1145"/>
        <v>6860080.6817526398</v>
      </c>
      <c r="AF1215" s="2">
        <f t="shared" ca="1" si="1146"/>
        <v>1031059.2043133498</v>
      </c>
      <c r="AG1215" s="2">
        <f t="shared" ca="1" si="1147"/>
        <v>1043791.6495712567</v>
      </c>
      <c r="AH1215" s="2">
        <f t="shared" ca="1" si="1148"/>
        <v>1056681.3265007955</v>
      </c>
      <c r="AI1215" s="2">
        <f t="shared" ca="1" si="1149"/>
        <v>1069730.1767398892</v>
      </c>
      <c r="AJ1215" s="2">
        <f t="shared" ca="1" si="1150"/>
        <v>1082940.1659035496</v>
      </c>
      <c r="AK1215" s="2">
        <f t="shared" ca="1" si="1151"/>
        <v>0</v>
      </c>
      <c r="AL1215" s="2">
        <f t="shared" ca="1" si="1152"/>
        <v>6366.2226289534574</v>
      </c>
      <c r="AM1215" s="2">
        <f t="shared" ca="1" si="1153"/>
        <v>6444.8384647694229</v>
      </c>
      <c r="AN1215" s="2">
        <f t="shared" ca="1" si="1154"/>
        <v>6524.4251195468014</v>
      </c>
      <c r="AO1215" s="2">
        <f t="shared" ca="1" si="1155"/>
        <v>6604.9945818302785</v>
      </c>
      <c r="AP1215" s="2">
        <f t="shared" ca="1" si="1156"/>
        <v>2490500.1045643855</v>
      </c>
      <c r="AQ1215" s="2">
        <f t="shared" ca="1" si="1157"/>
        <v>756932.50081245368</v>
      </c>
      <c r="AR1215" s="2">
        <f t="shared" ca="1" si="1158"/>
        <v>800226.84513415652</v>
      </c>
      <c r="AS1215" s="2">
        <f t="shared" ca="1" si="1159"/>
        <v>818105.04751717136</v>
      </c>
      <c r="AT1215" s="2">
        <f t="shared" ca="1" si="1160"/>
        <v>836204.02600324573</v>
      </c>
      <c r="AU1215" s="2">
        <f t="shared" ca="1" si="1161"/>
        <v>854526.50693402323</v>
      </c>
      <c r="AV1215" s="2">
        <f t="shared" ca="1" si="1162"/>
        <v>2154346.3484662138</v>
      </c>
      <c r="AW1215" s="2">
        <f t="shared" ca="1" si="1163"/>
        <v>2271202.4904451836</v>
      </c>
      <c r="AX1215" s="2">
        <f t="shared" ca="1" si="1164"/>
        <v>2322007.9890841031</v>
      </c>
      <c r="AY1215" s="2">
        <f t="shared" ca="1" si="1165"/>
        <v>2373440.8796589207</v>
      </c>
      <c r="AZ1215" s="2">
        <f t="shared" ca="1" si="1166"/>
        <v>2425508.9097688505</v>
      </c>
      <c r="BA1215" s="2">
        <f t="shared" ca="1" si="1167"/>
        <v>50025599.985401884</v>
      </c>
      <c r="BB1215" s="2">
        <f t="shared" ca="1" si="1168"/>
        <v>1000511.9997080377</v>
      </c>
      <c r="BC1215" s="2">
        <f t="shared" ca="1" si="1169"/>
        <v>21352864.601645116</v>
      </c>
      <c r="BD1215" s="2">
        <f t="shared" ca="1" si="1170"/>
        <v>-20101158.230367851</v>
      </c>
      <c r="BE1215" s="2">
        <f t="shared" ca="1" si="1171"/>
        <v>2154346.3484662138</v>
      </c>
      <c r="BF1215" s="2">
        <f t="shared" ca="1" si="1172"/>
        <v>2271202.4904451836</v>
      </c>
      <c r="BG1215" s="2">
        <f t="shared" ca="1" si="1173"/>
        <v>2322007.9890841031</v>
      </c>
      <c r="BH1215" s="2">
        <f t="shared" ca="1" si="1174"/>
        <v>2373440.8796589207</v>
      </c>
      <c r="BI1215" s="2">
        <f t="shared" ca="1" si="1175"/>
        <v>23778373.511413965</v>
      </c>
      <c r="BJ1215" s="2">
        <f t="shared" ca="1" si="1176"/>
        <v>0.1238577760918611</v>
      </c>
      <c r="BK1215" s="2">
        <f t="shared" ca="1" si="1177"/>
        <v>286565.73973730579</v>
      </c>
    </row>
    <row r="1216" spans="1:63" x14ac:dyDescent="0.3">
      <c r="A1216" s="2">
        <v>1215</v>
      </c>
      <c r="B1216" s="2">
        <f t="shared" ca="1" si="1116"/>
        <v>0.61688499178351863</v>
      </c>
      <c r="C1216" s="2">
        <f t="shared" ca="1" si="1117"/>
        <v>7.1246543445969683</v>
      </c>
      <c r="D1216" s="2">
        <f t="shared" ca="1" si="1118"/>
        <v>0.93886406996717575</v>
      </c>
      <c r="E1216" s="2">
        <f t="shared" ca="1" si="1119"/>
        <v>8.1503260660763388</v>
      </c>
      <c r="F1216" s="2">
        <f t="shared" ca="1" si="1120"/>
        <v>1.3232167826541352E-2</v>
      </c>
      <c r="G1216" s="2">
        <f t="shared" ca="1" si="1121"/>
        <v>-2.6579876356338079E-2</v>
      </c>
      <c r="H1216" s="2">
        <f t="shared" ca="1" si="1122"/>
        <v>-0.02</v>
      </c>
      <c r="I1216" s="2">
        <f t="shared" ca="1" si="1123"/>
        <v>0.868000621540995</v>
      </c>
      <c r="J1216" s="2">
        <f t="shared" ca="1" si="1124"/>
        <v>1.5584948175761058E-2</v>
      </c>
      <c r="K1216" s="2">
        <f t="shared" ca="1" si="1125"/>
        <v>1.5584948175761058E-2</v>
      </c>
      <c r="L1216" s="2">
        <f t="shared" ca="1" si="1126"/>
        <v>0.14782951216035023</v>
      </c>
      <c r="M1216" s="2">
        <f t="shared" ca="1" si="1127"/>
        <v>-2.091575559987767E-2</v>
      </c>
      <c r="N1216" s="2">
        <f t="shared" ca="1" si="1128"/>
        <v>-2.091575559987767E-2</v>
      </c>
      <c r="O1216" s="2">
        <f t="shared" si="1129"/>
        <v>6000000</v>
      </c>
      <c r="P1216" s="2">
        <f t="shared" ca="1" si="1130"/>
        <v>42747926.06758181</v>
      </c>
      <c r="Q1216" s="2">
        <f t="shared" ca="1" si="1131"/>
        <v>1068698.1516895453</v>
      </c>
      <c r="R1216" s="2">
        <f t="shared" ca="1" si="1132"/>
        <v>25648755.640549086</v>
      </c>
      <c r="S1216" s="2">
        <f t="shared" ca="1" si="1133"/>
        <v>17099170.427032724</v>
      </c>
      <c r="T1216" s="2">
        <f t="shared" ca="1" si="1134"/>
        <v>48954212.220006116</v>
      </c>
      <c r="U1216" s="2">
        <f t="shared" ca="1" si="1135"/>
        <v>47975127.975605994</v>
      </c>
      <c r="V1216" s="2">
        <f t="shared" ca="1" si="1136"/>
        <v>47015625.416093871</v>
      </c>
      <c r="W1216" s="2">
        <f t="shared" ca="1" si="1137"/>
        <v>46075312.90777199</v>
      </c>
      <c r="X1216" s="2">
        <f t="shared" ca="1" si="1138"/>
        <v>45153806.649616547</v>
      </c>
      <c r="Y1216" s="2">
        <f t="shared" ca="1" si="1139"/>
        <v>0.12779247408788053</v>
      </c>
      <c r="Z1216" s="2">
        <f t="shared" ca="1" si="1140"/>
        <v>0.13090946372303275</v>
      </c>
      <c r="AA1216" s="2">
        <f t="shared" ca="1" si="1141"/>
        <v>6255979.8966177357</v>
      </c>
      <c r="AB1216" s="2">
        <f t="shared" ca="1" si="1142"/>
        <v>6280398.2753304467</v>
      </c>
      <c r="AC1216" s="2">
        <f t="shared" ca="1" si="1143"/>
        <v>6154790.3098238371</v>
      </c>
      <c r="AD1216" s="2">
        <f t="shared" ca="1" si="1144"/>
        <v>6031694.5036273599</v>
      </c>
      <c r="AE1216" s="2">
        <f t="shared" ca="1" si="1145"/>
        <v>5911060.613554812</v>
      </c>
      <c r="AF1216" s="2">
        <f t="shared" ca="1" si="1146"/>
        <v>979084.24440012232</v>
      </c>
      <c r="AG1216" s="2">
        <f t="shared" ca="1" si="1147"/>
        <v>959502.55951211986</v>
      </c>
      <c r="AH1216" s="2">
        <f t="shared" ca="1" si="1148"/>
        <v>940312.50832187745</v>
      </c>
      <c r="AI1216" s="2">
        <f t="shared" ca="1" si="1149"/>
        <v>921506.25815543986</v>
      </c>
      <c r="AJ1216" s="2">
        <f t="shared" ca="1" si="1150"/>
        <v>903076.13299233094</v>
      </c>
      <c r="AK1216" s="2">
        <f t="shared" ca="1" si="1151"/>
        <v>0</v>
      </c>
      <c r="AL1216" s="2">
        <f t="shared" ca="1" si="1152"/>
        <v>0</v>
      </c>
      <c r="AM1216" s="2">
        <f t="shared" ca="1" si="1153"/>
        <v>0</v>
      </c>
      <c r="AN1216" s="2">
        <f t="shared" ca="1" si="1154"/>
        <v>0</v>
      </c>
      <c r="AO1216" s="2">
        <f t="shared" ca="1" si="1155"/>
        <v>0</v>
      </c>
      <c r="AP1216" s="2">
        <f t="shared" ca="1" si="1156"/>
        <v>2308388.0076494175</v>
      </c>
      <c r="AQ1216" s="2">
        <f t="shared" ca="1" si="1157"/>
        <v>771811.98758773098</v>
      </c>
      <c r="AR1216" s="2">
        <f t="shared" ca="1" si="1158"/>
        <v>783252.0041239165</v>
      </c>
      <c r="AS1216" s="2">
        <f t="shared" ca="1" si="1159"/>
        <v>755583.34640166094</v>
      </c>
      <c r="AT1216" s="2">
        <f t="shared" ca="1" si="1160"/>
        <v>728468.06183385069</v>
      </c>
      <c r="AU1216" s="2">
        <f t="shared" ca="1" si="1161"/>
        <v>701895.08295739652</v>
      </c>
      <c r="AV1216" s="2">
        <f t="shared" ca="1" si="1162"/>
        <v>2196695.6569804647</v>
      </c>
      <c r="AW1216" s="2">
        <f t="shared" ca="1" si="1163"/>
        <v>2229255.7040449926</v>
      </c>
      <c r="AX1216" s="2">
        <f t="shared" ca="1" si="1164"/>
        <v>2150506.4474508814</v>
      </c>
      <c r="AY1216" s="2">
        <f t="shared" ca="1" si="1165"/>
        <v>2073332.1759886513</v>
      </c>
      <c r="AZ1216" s="2">
        <f t="shared" ca="1" si="1166"/>
        <v>1997701.3899556673</v>
      </c>
      <c r="BA1216" s="2">
        <f t="shared" ca="1" si="1167"/>
        <v>48177071.396812983</v>
      </c>
      <c r="BB1216" s="2">
        <f t="shared" ca="1" si="1168"/>
        <v>963541.42793625966</v>
      </c>
      <c r="BC1216" s="2">
        <f t="shared" ca="1" si="1169"/>
        <v>21564774.328327637</v>
      </c>
      <c r="BD1216" s="2">
        <f t="shared" ca="1" si="1170"/>
        <v>-18667868.578722268</v>
      </c>
      <c r="BE1216" s="2">
        <f t="shared" ca="1" si="1171"/>
        <v>2196695.6569804647</v>
      </c>
      <c r="BF1216" s="2">
        <f t="shared" ca="1" si="1172"/>
        <v>2229255.7040449926</v>
      </c>
      <c r="BG1216" s="2">
        <f t="shared" ca="1" si="1173"/>
        <v>2150506.4474508814</v>
      </c>
      <c r="BH1216" s="2">
        <f t="shared" ca="1" si="1174"/>
        <v>2073332.1759886513</v>
      </c>
      <c r="BI1216" s="2">
        <f t="shared" ca="1" si="1175"/>
        <v>23562475.718283303</v>
      </c>
      <c r="BJ1216" s="2">
        <f t="shared" ca="1" si="1176"/>
        <v>0.13836923018494662</v>
      </c>
      <c r="BK1216" s="2">
        <f t="shared" ca="1" si="1177"/>
        <v>1288925.4302978367</v>
      </c>
    </row>
    <row r="1217" spans="1:63" x14ac:dyDescent="0.3">
      <c r="A1217" s="2">
        <v>1216</v>
      </c>
      <c r="B1217" s="2">
        <f t="shared" ca="1" si="1116"/>
        <v>0.97030304143337054</v>
      </c>
      <c r="C1217" s="2">
        <f t="shared" ca="1" si="1117"/>
        <v>7.7562913273326961</v>
      </c>
      <c r="D1217" s="2">
        <f t="shared" ca="1" si="1118"/>
        <v>0.37348610301538188</v>
      </c>
      <c r="E1217" s="2">
        <f t="shared" ca="1" si="1119"/>
        <v>7.3642755382577736</v>
      </c>
      <c r="F1217" s="2">
        <f t="shared" ca="1" si="1120"/>
        <v>0.83837621605925494</v>
      </c>
      <c r="G1217" s="2">
        <f t="shared" ca="1" si="1121"/>
        <v>6.9634186162637501E-2</v>
      </c>
      <c r="H1217" s="2">
        <f t="shared" ca="1" si="1122"/>
        <v>6.9634186162637501E-2</v>
      </c>
      <c r="I1217" s="2">
        <f t="shared" ca="1" si="1123"/>
        <v>0.18129443474106999</v>
      </c>
      <c r="J1217" s="2">
        <f t="shared" ca="1" si="1124"/>
        <v>5.4477844329215951E-3</v>
      </c>
      <c r="K1217" s="2">
        <f t="shared" ca="1" si="1125"/>
        <v>5.4477844329215951E-3</v>
      </c>
      <c r="L1217" s="2">
        <f t="shared" ca="1" si="1126"/>
        <v>0.22353942528956727</v>
      </c>
      <c r="M1217" s="2">
        <f t="shared" ca="1" si="1127"/>
        <v>-1.520588056745493E-2</v>
      </c>
      <c r="N1217" s="2">
        <f t="shared" ca="1" si="1128"/>
        <v>-1.520588056745493E-2</v>
      </c>
      <c r="O1217" s="2">
        <f t="shared" si="1129"/>
        <v>6000000</v>
      </c>
      <c r="P1217" s="2">
        <f t="shared" ca="1" si="1130"/>
        <v>46537747.963996179</v>
      </c>
      <c r="Q1217" s="2">
        <f t="shared" ca="1" si="1131"/>
        <v>1163443.6990999046</v>
      </c>
      <c r="R1217" s="2">
        <f t="shared" ca="1" si="1132"/>
        <v>27922648.778397705</v>
      </c>
      <c r="S1217" s="2">
        <f t="shared" ca="1" si="1133"/>
        <v>18615099.185598474</v>
      </c>
      <c r="T1217" s="2">
        <f t="shared" ca="1" si="1134"/>
        <v>49239705.97162725</v>
      </c>
      <c r="U1217" s="2">
        <f t="shared" ca="1" si="1135"/>
        <v>52668472.823849075</v>
      </c>
      <c r="V1217" s="2">
        <f t="shared" ca="1" si="1136"/>
        <v>56335999.065366797</v>
      </c>
      <c r="W1217" s="2">
        <f t="shared" ca="1" si="1137"/>
        <v>60258910.511942722</v>
      </c>
      <c r="X1217" s="2">
        <f t="shared" ca="1" si="1138"/>
        <v>64454990.704489052</v>
      </c>
      <c r="Y1217" s="2">
        <f t="shared" ca="1" si="1139"/>
        <v>0.12272389221646079</v>
      </c>
      <c r="Z1217" s="2">
        <f t="shared" ca="1" si="1140"/>
        <v>0.12381344910304511</v>
      </c>
      <c r="AA1217" s="2">
        <f t="shared" ca="1" si="1141"/>
        <v>6042888.3684322033</v>
      </c>
      <c r="AB1217" s="2">
        <f t="shared" ca="1" si="1142"/>
        <v>6521065.2793107517</v>
      </c>
      <c r="AC1217" s="2">
        <f t="shared" ca="1" si="1143"/>
        <v>6975154.3529489888</v>
      </c>
      <c r="AD1217" s="2">
        <f t="shared" ca="1" si="1144"/>
        <v>7460863.5496753696</v>
      </c>
      <c r="AE1217" s="2">
        <f t="shared" ca="1" si="1145"/>
        <v>7980394.7110275012</v>
      </c>
      <c r="AF1217" s="2">
        <f t="shared" ca="1" si="1146"/>
        <v>984794.11943254503</v>
      </c>
      <c r="AG1217" s="2">
        <f t="shared" ca="1" si="1147"/>
        <v>1053369.4564769815</v>
      </c>
      <c r="AH1217" s="2">
        <f t="shared" ca="1" si="1148"/>
        <v>1126719.9813073359</v>
      </c>
      <c r="AI1217" s="2">
        <f t="shared" ca="1" si="1149"/>
        <v>1205178.2102388544</v>
      </c>
      <c r="AJ1217" s="2">
        <f t="shared" ca="1" si="1150"/>
        <v>1289099.8140897811</v>
      </c>
      <c r="AK1217" s="2">
        <f t="shared" ca="1" si="1151"/>
        <v>0</v>
      </c>
      <c r="AL1217" s="2">
        <f t="shared" ca="1" si="1152"/>
        <v>34287.668522218242</v>
      </c>
      <c r="AM1217" s="2">
        <f t="shared" ca="1" si="1153"/>
        <v>36675.262415177225</v>
      </c>
      <c r="AN1217" s="2">
        <f t="shared" ca="1" si="1154"/>
        <v>39229.114465759245</v>
      </c>
      <c r="AO1217" s="2">
        <f t="shared" ca="1" si="1155"/>
        <v>41960.801925463304</v>
      </c>
      <c r="AP1217" s="2">
        <f t="shared" ca="1" si="1156"/>
        <v>2513038.3900557933</v>
      </c>
      <c r="AQ1217" s="2">
        <f t="shared" ca="1" si="1157"/>
        <v>661714.52332540485</v>
      </c>
      <c r="AR1217" s="2">
        <f t="shared" ca="1" si="1158"/>
        <v>768210.93252227397</v>
      </c>
      <c r="AS1217" s="2">
        <f t="shared" ca="1" si="1159"/>
        <v>867202.95521232346</v>
      </c>
      <c r="AT1217" s="2">
        <f t="shared" ca="1" si="1160"/>
        <v>973088.20683898777</v>
      </c>
      <c r="AU1217" s="2">
        <f t="shared" ca="1" si="1161"/>
        <v>1086346.6917893011</v>
      </c>
      <c r="AV1217" s="2">
        <f t="shared" ca="1" si="1162"/>
        <v>1883341.3356184596</v>
      </c>
      <c r="AW1217" s="2">
        <f t="shared" ca="1" si="1163"/>
        <v>2152158.8317334848</v>
      </c>
      <c r="AX1217" s="2">
        <f t="shared" ca="1" si="1164"/>
        <v>2431517.7639583582</v>
      </c>
      <c r="AY1217" s="2">
        <f t="shared" ca="1" si="1165"/>
        <v>2730329.628075975</v>
      </c>
      <c r="AZ1217" s="2">
        <f t="shared" ca="1" si="1166"/>
        <v>3049949.0131671624</v>
      </c>
      <c r="BA1217" s="2">
        <f t="shared" ca="1" si="1167"/>
        <v>58769825.556061544</v>
      </c>
      <c r="BB1217" s="2">
        <f t="shared" ca="1" si="1168"/>
        <v>1175396.5111212309</v>
      </c>
      <c r="BC1217" s="2">
        <f t="shared" ca="1" si="1169"/>
        <v>29671780.266542606</v>
      </c>
      <c r="BD1217" s="2">
        <f t="shared" ca="1" si="1170"/>
        <v>-20278542.88469838</v>
      </c>
      <c r="BE1217" s="2">
        <f t="shared" ca="1" si="1171"/>
        <v>1883341.3356184596</v>
      </c>
      <c r="BF1217" s="2">
        <f t="shared" ca="1" si="1172"/>
        <v>2152158.8317334848</v>
      </c>
      <c r="BG1217" s="2">
        <f t="shared" ca="1" si="1173"/>
        <v>2431517.7639583582</v>
      </c>
      <c r="BH1217" s="2">
        <f t="shared" ca="1" si="1174"/>
        <v>2730329.628075975</v>
      </c>
      <c r="BI1217" s="2">
        <f t="shared" ca="1" si="1175"/>
        <v>32721729.279709768</v>
      </c>
      <c r="BJ1217" s="2">
        <f t="shared" ca="1" si="1176"/>
        <v>0.18074393929087917</v>
      </c>
      <c r="BK1217" s="2">
        <f t="shared" ca="1" si="1177"/>
        <v>5151767.8375225104</v>
      </c>
    </row>
    <row r="1218" spans="1:63" x14ac:dyDescent="0.3">
      <c r="A1218" s="2">
        <v>1217</v>
      </c>
      <c r="B1218" s="2">
        <f t="shared" ref="B1218:B1281" ca="1" si="1178">RAND()</f>
        <v>0.53786378241131505</v>
      </c>
      <c r="C1218" s="2">
        <f t="shared" ref="C1218:C1281" ca="1" si="1179">IF(B1218&lt;((P_Mode)-(P_Low))/((P_High)-(P_Low)), (P_Low)+SQRT(B1218*((P_High)-(P_Low))*((P_Mode)-(P_Low))), (P_High)-SQRT((1-B1218)*((P_High)-(P_Low))*((P_High)-(P_Mode))))</f>
        <v>7.0386091142634175</v>
      </c>
      <c r="D1218" s="2">
        <f t="shared" ref="D1218:D1281" ca="1" si="1180">RAND()</f>
        <v>0.46442479271599513</v>
      </c>
      <c r="E1218" s="2">
        <f t="shared" ref="E1218:E1281" ca="1" si="1181">IF(D1218&lt;((X_Mode)-(X_Low))/((X_High)-(X_Low)), (X_Low)+SQRT(D1218*((X_High)-(X_Low))*((X_Mode)-(X_Low))), (X_High)-SQRT((1-D1218)*((X_High)-(X_Low))*((X_High)-(X_Mode))))</f>
        <v>7.463768429360492</v>
      </c>
      <c r="F1218" s="2">
        <f t="shared" ref="F1218:F1281" ca="1" si="1182">RAND()</f>
        <v>0.56829907800768109</v>
      </c>
      <c r="G1218" s="2">
        <f t="shared" ref="G1218:G1281" ca="1" si="1183">NORMINV(F1218, g_Mean, g_SD)</f>
        <v>4.5161361735754246E-2</v>
      </c>
      <c r="H1218" s="2">
        <f t="shared" ref="H1218:H1281" ca="1" si="1184">MIN(MAX(G1218, g_Min), g_Max)</f>
        <v>4.5161361735754246E-2</v>
      </c>
      <c r="I1218" s="2">
        <f t="shared" ref="I1218:I1281" ca="1" si="1185">RAND()</f>
        <v>0.12789263207009183</v>
      </c>
      <c r="J1218" s="2">
        <f t="shared" ref="J1218:J1281" ca="1" si="1186">NORMINV(I1218, syn_Mean, syn_SD)</f>
        <v>4.3179530069770641E-3</v>
      </c>
      <c r="K1218" s="2">
        <f t="shared" ref="K1218:K1281" ca="1" si="1187">MIN(MAX(J1218, syn_Min), syn_Max)</f>
        <v>4.3179530069770641E-3</v>
      </c>
      <c r="L1218" s="2">
        <f t="shared" ref="L1218:L1281" ca="1" si="1188">RAND()</f>
        <v>0.42855111538228874</v>
      </c>
      <c r="M1218" s="2">
        <f t="shared" ref="M1218:M1281" ca="1" si="1189">NORMINV(L1218, shk_Mean, shk_SD)</f>
        <v>-3.6012823869244902E-3</v>
      </c>
      <c r="N1218" s="2">
        <f t="shared" ref="N1218:N1281" ca="1" si="1190">MIN(MAX(M1218, shk_Min), shk_Max)</f>
        <v>-3.6012823869244902E-3</v>
      </c>
      <c r="O1218" s="2">
        <f t="shared" ref="O1218:O1281" si="1191">BaseRev*BaseMargin</f>
        <v>6000000</v>
      </c>
      <c r="P1218" s="2">
        <f t="shared" ref="P1218:P1281" ca="1" si="1192">O1218*C1218</f>
        <v>42231654.685580507</v>
      </c>
      <c r="Q1218" s="2">
        <f t="shared" ref="Q1218:Q1281" ca="1" si="1193">P1218*TxnCostPct</f>
        <v>1055791.3671395127</v>
      </c>
      <c r="R1218" s="2">
        <f t="shared" ref="R1218:R1281" ca="1" si="1194">P1218*DebtPct</f>
        <v>25338992.811348304</v>
      </c>
      <c r="S1218" s="2">
        <f t="shared" ref="S1218:S1281" ca="1" si="1195">P1218*EqPct</f>
        <v>16892661.874232203</v>
      </c>
      <c r="T1218" s="2">
        <f t="shared" ref="T1218:T1281" ca="1" si="1196">BaseRev*(1+N1218)</f>
        <v>49819935.880653776</v>
      </c>
      <c r="U1218" s="2">
        <f t="shared" ref="U1218:U1281" ca="1" si="1197">T1218*(1+H1218)</f>
        <v>52069872.026612066</v>
      </c>
      <c r="V1218" s="2">
        <f t="shared" ref="V1218:V1281" ca="1" si="1198">U1218*(1+H1218)</f>
        <v>54421418.352740325</v>
      </c>
      <c r="W1218" s="2">
        <f t="shared" ref="W1218:W1281" ca="1" si="1199">V1218*(1+H1218)</f>
        <v>56879163.713141248</v>
      </c>
      <c r="X1218" s="2">
        <f t="shared" ref="X1218:X1281" ca="1" si="1200">W1218*(1+H1218)</f>
        <v>59447904.200817607</v>
      </c>
      <c r="Y1218" s="2">
        <f t="shared" ref="Y1218:Y1281" ca="1" si="1201">BaseMargin + SynReal_Y1*K1218</f>
        <v>0.12215897650348853</v>
      </c>
      <c r="Z1218" s="2">
        <f t="shared" ref="Z1218:Z1281" ca="1" si="1202">BaseMargin + SynReal_Y2toY5*K1218</f>
        <v>0.12302256710488393</v>
      </c>
      <c r="AA1218" s="2">
        <f t="shared" ref="AA1218:AA1281" ca="1" si="1203">T1218*Y1218</f>
        <v>6085952.3766500894</v>
      </c>
      <c r="AB1218" s="2">
        <f t="shared" ref="AB1218:AB1281" ca="1" si="1204">U1218*Z1218</f>
        <v>6405769.3255366012</v>
      </c>
      <c r="AC1218" s="2">
        <f t="shared" ref="AC1218:AC1281" ca="1" si="1205">V1218*Z1218</f>
        <v>6695062.5912429588</v>
      </c>
      <c r="AD1218" s="2">
        <f t="shared" ref="AD1218:AD1281" ca="1" si="1206">W1218*Z1218</f>
        <v>6997420.7347695986</v>
      </c>
      <c r="AE1218" s="2">
        <f t="shared" ref="AE1218:AE1281" ca="1" si="1207">X1218*Z1218</f>
        <v>7313433.7837897958</v>
      </c>
      <c r="AF1218" s="2">
        <f t="shared" ref="AF1218:AF1281" ca="1" si="1208">T1218*CapexPct</f>
        <v>996398.71761307551</v>
      </c>
      <c r="AG1218" s="2">
        <f t="shared" ref="AG1218:AG1281" ca="1" si="1209">U1218*CapexPct</f>
        <v>1041397.4405322414</v>
      </c>
      <c r="AH1218" s="2">
        <f t="shared" ref="AH1218:AH1281" ca="1" si="1210">V1218*CapexPct</f>
        <v>1088428.3670548066</v>
      </c>
      <c r="AI1218" s="2">
        <f t="shared" ref="AI1218:AI1281" ca="1" si="1211">W1218*CapexPct</f>
        <v>1137583.274262825</v>
      </c>
      <c r="AJ1218" s="2">
        <f t="shared" ref="AJ1218:AJ1281" ca="1" si="1212">X1218*CapexPct</f>
        <v>1188958.0840163522</v>
      </c>
      <c r="AK1218" s="2">
        <f t="shared" ref="AK1218:AK1281" ca="1" si="1213">MAX(T1218-BaseRev*(1+N1218),0)*WCPct</f>
        <v>0</v>
      </c>
      <c r="AL1218" s="2">
        <f t="shared" ref="AL1218:AL1281" ca="1" si="1214">MAX(U1218-T1218,0)*WCPct</f>
        <v>22499.361459582895</v>
      </c>
      <c r="AM1218" s="2">
        <f t="shared" ref="AM1218:AM1281" ca="1" si="1215">MAX(V1218-U1218,0)*WCPct</f>
        <v>23515.463261282592</v>
      </c>
      <c r="AN1218" s="2">
        <f t="shared" ref="AN1218:AN1281" ca="1" si="1216">MAX(W1218-V1218,0)*WCPct</f>
        <v>24577.453604009228</v>
      </c>
      <c r="AO1218" s="2">
        <f t="shared" ref="AO1218:AO1281" ca="1" si="1217">MAX(X1218-W1218,0)*WCPct</f>
        <v>25687.404876763598</v>
      </c>
      <c r="AP1218" s="2">
        <f t="shared" ref="AP1218:AP1281" ca="1" si="1218">R1218*DebtRate</f>
        <v>2280509.3530213474</v>
      </c>
      <c r="AQ1218" s="2">
        <f t="shared" ref="AQ1218:AQ1281" ca="1" si="1219">MAX(AA1218-AF1218-AP1218,0)*Tax</f>
        <v>730351.51956407318</v>
      </c>
      <c r="AR1218" s="2">
        <f t="shared" ref="AR1218:AR1281" ca="1" si="1220">MAX(AB1218-AG1218-AP1218,0)*Tax</f>
        <v>801804.25831558334</v>
      </c>
      <c r="AS1218" s="2">
        <f t="shared" ref="AS1218:AS1281" ca="1" si="1221">MAX(AC1218-AH1218-AP1218,0)*Tax</f>
        <v>864792.46650336939</v>
      </c>
      <c r="AT1218" s="2">
        <f t="shared" ref="AT1218:AT1281" ca="1" si="1222">MAX(AD1218-AI1218-AP1218,0)*Tax</f>
        <v>930625.30794621084</v>
      </c>
      <c r="AU1218" s="2">
        <f t="shared" ref="AU1218:AU1281" ca="1" si="1223">MAX(AE1218-AJ1218-AP1218,0)*Tax</f>
        <v>999431.25015554507</v>
      </c>
      <c r="AV1218" s="2">
        <f t="shared" ref="AV1218:AV1281" ca="1" si="1224">AA1218-AF1218-AK1218-AQ1218-AP1218</f>
        <v>2078692.7864515926</v>
      </c>
      <c r="AW1218" s="2">
        <f t="shared" ref="AW1218:AW1281" ca="1" si="1225">AB1218-AG1218-AL1218-AR1218-AP1218</f>
        <v>2259558.9122078461</v>
      </c>
      <c r="AX1218" s="2">
        <f t="shared" ref="AX1218:AX1281" ca="1" si="1226">AC1218-AH1218-AM1218-AS1218-AP1218</f>
        <v>2437816.9414021526</v>
      </c>
      <c r="AY1218" s="2">
        <f t="shared" ref="AY1218:AY1281" ca="1" si="1227">AD1218-AI1218-AN1218-AT1218-AP1218</f>
        <v>2624125.3459352064</v>
      </c>
      <c r="AZ1218" s="2">
        <f t="shared" ref="AZ1218:AZ1281" ca="1" si="1228">AE1218-AJ1218-AO1218-AU1218-AP1218</f>
        <v>2818847.6917197877</v>
      </c>
      <c r="BA1218" s="2">
        <f t="shared" ref="BA1218:BA1281" ca="1" si="1229">AE1218*E1218</f>
        <v>54585776.185668722</v>
      </c>
      <c r="BB1218" s="2">
        <f t="shared" ref="BB1218:BB1281" ca="1" si="1230">BA1218*SellCostPct</f>
        <v>1091715.5237133745</v>
      </c>
      <c r="BC1218" s="2">
        <f t="shared" ref="BC1218:BC1281" ca="1" si="1231">BA1218-R1218-BB1218</f>
        <v>28155067.850607045</v>
      </c>
      <c r="BD1218" s="2">
        <f t="shared" ref="BD1218:BD1281" ca="1" si="1232">-S1218-Q1218-IntegrationPct*BaseRev</f>
        <v>-18448453.241371714</v>
      </c>
      <c r="BE1218" s="2">
        <f t="shared" ref="BE1218:BE1281" ca="1" si="1233">AV1218</f>
        <v>2078692.7864515926</v>
      </c>
      <c r="BF1218" s="2">
        <f t="shared" ref="BF1218:BF1281" ca="1" si="1234">AW1218</f>
        <v>2259558.9122078461</v>
      </c>
      <c r="BG1218" s="2">
        <f t="shared" ref="BG1218:BG1281" ca="1" si="1235">AX1218</f>
        <v>2437816.9414021526</v>
      </c>
      <c r="BH1218" s="2">
        <f t="shared" ref="BH1218:BH1281" ca="1" si="1236">AY1218</f>
        <v>2624125.3459352064</v>
      </c>
      <c r="BI1218" s="2">
        <f t="shared" ref="BI1218:BI1281" ca="1" si="1237">AZ1218+BC1218</f>
        <v>30973915.542326834</v>
      </c>
      <c r="BJ1218" s="2">
        <f t="shared" ref="BJ1218:BJ1281" ca="1" si="1238">IF(MIN(BD1218:BI1218)*MAX(BD1218:BI1218)&gt;=0, "", IFERROR(IRR(BD1218:BI1218,0.12), IFERROR(IRR(BD1218:BI1218,0.5), IFERROR(IRR(BD1218:BI1218,-0.5),""))))</f>
        <v>0.19963776438875591</v>
      </c>
      <c r="BK1218" s="2">
        <f t="shared" ref="BK1218:BK1281" ca="1" si="1239">NPV(12%,BE1218:BI1218)+BD1218</f>
        <v>6187129.5410882235</v>
      </c>
    </row>
    <row r="1219" spans="1:63" x14ac:dyDescent="0.3">
      <c r="A1219" s="2">
        <v>1218</v>
      </c>
      <c r="B1219" s="2">
        <f t="shared" ca="1" si="1178"/>
        <v>0.43401618201999981</v>
      </c>
      <c r="C1219" s="2">
        <f t="shared" ca="1" si="1179"/>
        <v>6.9316825446685151</v>
      </c>
      <c r="D1219" s="2">
        <f t="shared" ca="1" si="1180"/>
        <v>6.4946514632396202E-2</v>
      </c>
      <c r="E1219" s="2">
        <f t="shared" ca="1" si="1181"/>
        <v>6.8604067552984995</v>
      </c>
      <c r="F1219" s="2">
        <f t="shared" ca="1" si="1182"/>
        <v>0.43561417933774127</v>
      </c>
      <c r="G1219" s="2">
        <f t="shared" ca="1" si="1183"/>
        <v>3.5137047715275191E-2</v>
      </c>
      <c r="H1219" s="2">
        <f t="shared" ca="1" si="1184"/>
        <v>3.5137047715275191E-2</v>
      </c>
      <c r="I1219" s="2">
        <f t="shared" ca="1" si="1185"/>
        <v>0.95021592113564934</v>
      </c>
      <c r="J1219" s="2">
        <f t="shared" ca="1" si="1186"/>
        <v>1.823475403095548E-2</v>
      </c>
      <c r="K1219" s="2">
        <f t="shared" ca="1" si="1187"/>
        <v>1.823475403095548E-2</v>
      </c>
      <c r="L1219" s="2">
        <f t="shared" ca="1" si="1188"/>
        <v>0.86849770488935119</v>
      </c>
      <c r="M1219" s="2">
        <f t="shared" ca="1" si="1189"/>
        <v>2.2386355740886234E-2</v>
      </c>
      <c r="N1219" s="2">
        <f t="shared" ca="1" si="1190"/>
        <v>2.2386355740886234E-2</v>
      </c>
      <c r="O1219" s="2">
        <f t="shared" si="1191"/>
        <v>6000000</v>
      </c>
      <c r="P1219" s="2">
        <f t="shared" ca="1" si="1192"/>
        <v>41590095.268011093</v>
      </c>
      <c r="Q1219" s="2">
        <f t="shared" ca="1" si="1193"/>
        <v>1039752.3817002773</v>
      </c>
      <c r="R1219" s="2">
        <f t="shared" ca="1" si="1194"/>
        <v>24954057.160806656</v>
      </c>
      <c r="S1219" s="2">
        <f t="shared" ca="1" si="1195"/>
        <v>16636038.107204437</v>
      </c>
      <c r="T1219" s="2">
        <f t="shared" ca="1" si="1196"/>
        <v>51119317.787044317</v>
      </c>
      <c r="U1219" s="2">
        <f t="shared" ca="1" si="1197"/>
        <v>52915499.695300013</v>
      </c>
      <c r="V1219" s="2">
        <f t="shared" ca="1" si="1198"/>
        <v>54774794.132971406</v>
      </c>
      <c r="W1219" s="2">
        <f t="shared" ca="1" si="1199"/>
        <v>56699418.688016005</v>
      </c>
      <c r="X1219" s="2">
        <f t="shared" ca="1" si="1200"/>
        <v>58691668.867885195</v>
      </c>
      <c r="Y1219" s="2">
        <f t="shared" ca="1" si="1201"/>
        <v>0.12911737701547774</v>
      </c>
      <c r="Z1219" s="2">
        <f t="shared" ca="1" si="1202"/>
        <v>0.13276432782166883</v>
      </c>
      <c r="AA1219" s="2">
        <f t="shared" ca="1" si="1203"/>
        <v>6600392.2274838183</v>
      </c>
      <c r="AB1219" s="2">
        <f t="shared" ca="1" si="1204"/>
        <v>7025290.7483942285</v>
      </c>
      <c r="AC1219" s="2">
        <f t="shared" ca="1" si="1205"/>
        <v>7272138.7246342385</v>
      </c>
      <c r="AD1219" s="2">
        <f t="shared" ca="1" si="1206"/>
        <v>7527660.2099938132</v>
      </c>
      <c r="AE1219" s="2">
        <f t="shared" ca="1" si="1207"/>
        <v>7792159.9659767449</v>
      </c>
      <c r="AF1219" s="2">
        <f t="shared" ca="1" si="1208"/>
        <v>1022386.3557408863</v>
      </c>
      <c r="AG1219" s="2">
        <f t="shared" ca="1" si="1209"/>
        <v>1058309.9939060002</v>
      </c>
      <c r="AH1219" s="2">
        <f t="shared" ca="1" si="1210"/>
        <v>1095495.8826594281</v>
      </c>
      <c r="AI1219" s="2">
        <f t="shared" ca="1" si="1211"/>
        <v>1133988.37376032</v>
      </c>
      <c r="AJ1219" s="2">
        <f t="shared" ca="1" si="1212"/>
        <v>1173833.3773577039</v>
      </c>
      <c r="AK1219" s="2">
        <f t="shared" ca="1" si="1213"/>
        <v>0</v>
      </c>
      <c r="AL1219" s="2">
        <f t="shared" ca="1" si="1214"/>
        <v>17961.819082556962</v>
      </c>
      <c r="AM1219" s="2">
        <f t="shared" ca="1" si="1215"/>
        <v>18592.944376713931</v>
      </c>
      <c r="AN1219" s="2">
        <f t="shared" ca="1" si="1216"/>
        <v>19246.24555044599</v>
      </c>
      <c r="AO1219" s="2">
        <f t="shared" ca="1" si="1217"/>
        <v>19922.501798691897</v>
      </c>
      <c r="AP1219" s="2">
        <f t="shared" ca="1" si="1218"/>
        <v>2245865.144472599</v>
      </c>
      <c r="AQ1219" s="2">
        <f t="shared" ca="1" si="1219"/>
        <v>866356.58909028664</v>
      </c>
      <c r="AR1219" s="2">
        <f t="shared" ca="1" si="1220"/>
        <v>967490.05860406358</v>
      </c>
      <c r="AS1219" s="2">
        <f t="shared" ca="1" si="1221"/>
        <v>1022002.2013505751</v>
      </c>
      <c r="AT1219" s="2">
        <f t="shared" ca="1" si="1222"/>
        <v>1078429.7398578324</v>
      </c>
      <c r="AU1219" s="2">
        <f t="shared" ca="1" si="1223"/>
        <v>1136839.975478075</v>
      </c>
      <c r="AV1219" s="2">
        <f t="shared" ca="1" si="1224"/>
        <v>2465784.1381800463</v>
      </c>
      <c r="AW1219" s="2">
        <f t="shared" ca="1" si="1225"/>
        <v>2735663.7323290082</v>
      </c>
      <c r="AX1219" s="2">
        <f t="shared" ca="1" si="1226"/>
        <v>2890182.5517749228</v>
      </c>
      <c r="AY1219" s="2">
        <f t="shared" ca="1" si="1227"/>
        <v>3050130.7063526157</v>
      </c>
      <c r="AZ1219" s="2">
        <f t="shared" ca="1" si="1228"/>
        <v>3215698.9668696746</v>
      </c>
      <c r="BA1219" s="2">
        <f t="shared" ca="1" si="1229"/>
        <v>53457386.868953384</v>
      </c>
      <c r="BB1219" s="2">
        <f t="shared" ca="1" si="1230"/>
        <v>1069147.7373790678</v>
      </c>
      <c r="BC1219" s="2">
        <f t="shared" ca="1" si="1231"/>
        <v>27434181.970767662</v>
      </c>
      <c r="BD1219" s="2">
        <f t="shared" ca="1" si="1232"/>
        <v>-18175790.488904715</v>
      </c>
      <c r="BE1219" s="2">
        <f t="shared" ca="1" si="1233"/>
        <v>2465784.1381800463</v>
      </c>
      <c r="BF1219" s="2">
        <f t="shared" ca="1" si="1234"/>
        <v>2735663.7323290082</v>
      </c>
      <c r="BG1219" s="2">
        <f t="shared" ca="1" si="1235"/>
        <v>2890182.5517749228</v>
      </c>
      <c r="BH1219" s="2">
        <f t="shared" ca="1" si="1236"/>
        <v>3050130.7063526157</v>
      </c>
      <c r="BI1219" s="2">
        <f t="shared" ca="1" si="1237"/>
        <v>30649880.937637337</v>
      </c>
      <c r="BJ1219" s="2">
        <f t="shared" ca="1" si="1238"/>
        <v>0.21986972124384629</v>
      </c>
      <c r="BK1219" s="2">
        <f t="shared" ca="1" si="1239"/>
        <v>7593810.4969703592</v>
      </c>
    </row>
    <row r="1220" spans="1:63" x14ac:dyDescent="0.3">
      <c r="A1220" s="2">
        <v>1219</v>
      </c>
      <c r="B1220" s="2">
        <f t="shared" ca="1" si="1178"/>
        <v>0.80420900996949141</v>
      </c>
      <c r="C1220" s="2">
        <f t="shared" ca="1" si="1179"/>
        <v>7.3742348842728473</v>
      </c>
      <c r="D1220" s="2">
        <f t="shared" ca="1" si="1180"/>
        <v>0.48546772535073446</v>
      </c>
      <c r="E1220" s="2">
        <f t="shared" ca="1" si="1181"/>
        <v>7.4853605688789608</v>
      </c>
      <c r="F1220" s="2">
        <f t="shared" ca="1" si="1182"/>
        <v>0.83835325248837433</v>
      </c>
      <c r="G1220" s="2">
        <f t="shared" ca="1" si="1183"/>
        <v>6.9631373521449325E-2</v>
      </c>
      <c r="H1220" s="2">
        <f t="shared" ca="1" si="1184"/>
        <v>6.9631373521449325E-2</v>
      </c>
      <c r="I1220" s="2">
        <f t="shared" ca="1" si="1185"/>
        <v>0.76544641799277946</v>
      </c>
      <c r="J1220" s="2">
        <f t="shared" ca="1" si="1186"/>
        <v>1.3619662598857335E-2</v>
      </c>
      <c r="K1220" s="2">
        <f t="shared" ca="1" si="1187"/>
        <v>1.3619662598857335E-2</v>
      </c>
      <c r="L1220" s="2">
        <f t="shared" ca="1" si="1188"/>
        <v>0.60073104349331097</v>
      </c>
      <c r="M1220" s="2">
        <f t="shared" ca="1" si="1189"/>
        <v>5.1047954777079345E-3</v>
      </c>
      <c r="N1220" s="2">
        <f t="shared" ca="1" si="1190"/>
        <v>5.1047954777079345E-3</v>
      </c>
      <c r="O1220" s="2">
        <f t="shared" si="1191"/>
        <v>6000000</v>
      </c>
      <c r="P1220" s="2">
        <f t="shared" ca="1" si="1192"/>
        <v>44245409.305637084</v>
      </c>
      <c r="Q1220" s="2">
        <f t="shared" ca="1" si="1193"/>
        <v>1106135.2326409272</v>
      </c>
      <c r="R1220" s="2">
        <f t="shared" ca="1" si="1194"/>
        <v>26547245.583382249</v>
      </c>
      <c r="S1220" s="2">
        <f t="shared" ca="1" si="1195"/>
        <v>17698163.722254835</v>
      </c>
      <c r="T1220" s="2">
        <f t="shared" ca="1" si="1196"/>
        <v>50255239.773885399</v>
      </c>
      <c r="U1220" s="2">
        <f t="shared" ca="1" si="1197"/>
        <v>53754581.145990811</v>
      </c>
      <c r="V1220" s="2">
        <f t="shared" ca="1" si="1198"/>
        <v>57497586.464256354</v>
      </c>
      <c r="W1220" s="2">
        <f t="shared" ca="1" si="1199"/>
        <v>61501222.383930817</v>
      </c>
      <c r="X1220" s="2">
        <f t="shared" ca="1" si="1200"/>
        <v>65783636.971772023</v>
      </c>
      <c r="Y1220" s="2">
        <f t="shared" ca="1" si="1201"/>
        <v>0.12680983129942866</v>
      </c>
      <c r="Z1220" s="2">
        <f t="shared" ca="1" si="1202"/>
        <v>0.12953376381920012</v>
      </c>
      <c r="AA1220" s="2">
        <f t="shared" ca="1" si="1203"/>
        <v>6372858.4776387447</v>
      </c>
      <c r="AB1220" s="2">
        <f t="shared" ca="1" si="1204"/>
        <v>6963033.2183648013</v>
      </c>
      <c r="AC1220" s="2">
        <f t="shared" ca="1" si="1205"/>
        <v>7447878.7852350203</v>
      </c>
      <c r="AD1220" s="2">
        <f t="shared" ca="1" si="1206"/>
        <v>7966484.8148721987</v>
      </c>
      <c r="AE1220" s="2">
        <f t="shared" ca="1" si="1207"/>
        <v>8521202.094669519</v>
      </c>
      <c r="AF1220" s="2">
        <f t="shared" ca="1" si="1208"/>
        <v>1005104.795477708</v>
      </c>
      <c r="AG1220" s="2">
        <f t="shared" ca="1" si="1209"/>
        <v>1075091.6229198163</v>
      </c>
      <c r="AH1220" s="2">
        <f t="shared" ca="1" si="1210"/>
        <v>1149951.729285127</v>
      </c>
      <c r="AI1220" s="2">
        <f t="shared" ca="1" si="1211"/>
        <v>1230024.4476786163</v>
      </c>
      <c r="AJ1220" s="2">
        <f t="shared" ca="1" si="1212"/>
        <v>1315672.7394354404</v>
      </c>
      <c r="AK1220" s="2">
        <f t="shared" ca="1" si="1213"/>
        <v>0</v>
      </c>
      <c r="AL1220" s="2">
        <f t="shared" ca="1" si="1214"/>
        <v>34993.413721054123</v>
      </c>
      <c r="AM1220" s="2">
        <f t="shared" ca="1" si="1215"/>
        <v>37430.053182655422</v>
      </c>
      <c r="AN1220" s="2">
        <f t="shared" ca="1" si="1216"/>
        <v>40036.359196744634</v>
      </c>
      <c r="AO1220" s="2">
        <f t="shared" ca="1" si="1217"/>
        <v>42824.145878412055</v>
      </c>
      <c r="AP1220" s="2">
        <f t="shared" ca="1" si="1218"/>
        <v>2389252.1025044024</v>
      </c>
      <c r="AQ1220" s="2">
        <f t="shared" ca="1" si="1219"/>
        <v>774410.410710725</v>
      </c>
      <c r="AR1220" s="2">
        <f t="shared" ca="1" si="1220"/>
        <v>909659.26816455147</v>
      </c>
      <c r="AS1220" s="2">
        <f t="shared" ca="1" si="1221"/>
        <v>1016255.4878958275</v>
      </c>
      <c r="AT1220" s="2">
        <f t="shared" ca="1" si="1222"/>
        <v>1130274.148819187</v>
      </c>
      <c r="AU1220" s="2">
        <f t="shared" ca="1" si="1223"/>
        <v>1252232.085709716</v>
      </c>
      <c r="AV1220" s="2">
        <f t="shared" ca="1" si="1224"/>
        <v>2204091.1689459095</v>
      </c>
      <c r="AW1220" s="2">
        <f t="shared" ca="1" si="1225"/>
        <v>2554036.8110549767</v>
      </c>
      <c r="AX1220" s="2">
        <f t="shared" ca="1" si="1226"/>
        <v>2854989.4123670077</v>
      </c>
      <c r="AY1220" s="2">
        <f t="shared" ca="1" si="1227"/>
        <v>3176897.7566732485</v>
      </c>
      <c r="AZ1220" s="2">
        <f t="shared" ca="1" si="1228"/>
        <v>3521221.0211415486</v>
      </c>
      <c r="BA1220" s="2">
        <f t="shared" ca="1" si="1229"/>
        <v>63784270.158888027</v>
      </c>
      <c r="BB1220" s="2">
        <f t="shared" ca="1" si="1230"/>
        <v>1275685.4031777605</v>
      </c>
      <c r="BC1220" s="2">
        <f t="shared" ca="1" si="1231"/>
        <v>35961339.172328018</v>
      </c>
      <c r="BD1220" s="2">
        <f t="shared" ca="1" si="1232"/>
        <v>-19304298.954895761</v>
      </c>
      <c r="BE1220" s="2">
        <f t="shared" ca="1" si="1233"/>
        <v>2204091.1689459095</v>
      </c>
      <c r="BF1220" s="2">
        <f t="shared" ca="1" si="1234"/>
        <v>2554036.8110549767</v>
      </c>
      <c r="BG1220" s="2">
        <f t="shared" ca="1" si="1235"/>
        <v>2854989.4123670077</v>
      </c>
      <c r="BH1220" s="2">
        <f t="shared" ca="1" si="1236"/>
        <v>3176897.7566732485</v>
      </c>
      <c r="BI1220" s="2">
        <f t="shared" ca="1" si="1237"/>
        <v>39482560.193469569</v>
      </c>
      <c r="BJ1220" s="2">
        <f t="shared" ca="1" si="1238"/>
        <v>0.24678007728058993</v>
      </c>
      <c r="BK1220" s="2">
        <f t="shared" ca="1" si="1239"/>
        <v>11154268.112968519</v>
      </c>
    </row>
    <row r="1221" spans="1:63" x14ac:dyDescent="0.3">
      <c r="A1221" s="2">
        <v>1220</v>
      </c>
      <c r="B1221" s="2">
        <f t="shared" ca="1" si="1178"/>
        <v>1.3587003775058393E-2</v>
      </c>
      <c r="C1221" s="2">
        <f t="shared" ca="1" si="1179"/>
        <v>6.1648454050015253</v>
      </c>
      <c r="D1221" s="2">
        <f t="shared" ca="1" si="1180"/>
        <v>5.8595637909651055E-2</v>
      </c>
      <c r="E1221" s="2">
        <f t="shared" ca="1" si="1181"/>
        <v>6.8423321133333861</v>
      </c>
      <c r="F1221" s="2">
        <f t="shared" ca="1" si="1182"/>
        <v>0.10940628313908018</v>
      </c>
      <c r="G1221" s="2">
        <f t="shared" ca="1" si="1183"/>
        <v>3.1092482133699695E-3</v>
      </c>
      <c r="H1221" s="2">
        <f t="shared" ca="1" si="1184"/>
        <v>3.1092482133699695E-3</v>
      </c>
      <c r="I1221" s="2">
        <f t="shared" ca="1" si="1185"/>
        <v>0.41411413594112634</v>
      </c>
      <c r="J1221" s="2">
        <f t="shared" ca="1" si="1186"/>
        <v>8.9151278482129479E-3</v>
      </c>
      <c r="K1221" s="2">
        <f t="shared" ca="1" si="1187"/>
        <v>8.9151278482129479E-3</v>
      </c>
      <c r="L1221" s="2">
        <f t="shared" ca="1" si="1188"/>
        <v>0.34047747383297022</v>
      </c>
      <c r="M1221" s="2">
        <f t="shared" ca="1" si="1189"/>
        <v>-8.2232073357171847E-3</v>
      </c>
      <c r="N1221" s="2">
        <f t="shared" ca="1" si="1190"/>
        <v>-8.2232073357171847E-3</v>
      </c>
      <c r="O1221" s="2">
        <f t="shared" si="1191"/>
        <v>6000000</v>
      </c>
      <c r="P1221" s="2">
        <f t="shared" ca="1" si="1192"/>
        <v>36989072.430009149</v>
      </c>
      <c r="Q1221" s="2">
        <f t="shared" ca="1" si="1193"/>
        <v>924726.81075022882</v>
      </c>
      <c r="R1221" s="2">
        <f t="shared" ca="1" si="1194"/>
        <v>22193443.458005488</v>
      </c>
      <c r="S1221" s="2">
        <f t="shared" ca="1" si="1195"/>
        <v>14795628.972003661</v>
      </c>
      <c r="T1221" s="2">
        <f t="shared" ca="1" si="1196"/>
        <v>49588839.633214146</v>
      </c>
      <c r="U1221" s="2">
        <f t="shared" ca="1" si="1197"/>
        <v>49743023.644246802</v>
      </c>
      <c r="V1221" s="2">
        <f t="shared" ca="1" si="1198"/>
        <v>49897687.051640294</v>
      </c>
      <c r="W1221" s="2">
        <f t="shared" ca="1" si="1199"/>
        <v>50052831.345956899</v>
      </c>
      <c r="X1221" s="2">
        <f t="shared" ca="1" si="1200"/>
        <v>50208458.02239342</v>
      </c>
      <c r="Y1221" s="2">
        <f t="shared" ca="1" si="1201"/>
        <v>0.12445756392410647</v>
      </c>
      <c r="Z1221" s="2">
        <f t="shared" ca="1" si="1202"/>
        <v>0.12624058949374906</v>
      </c>
      <c r="AA1221" s="2">
        <f t="shared" ca="1" si="1203"/>
        <v>6171706.1785730142</v>
      </c>
      <c r="AB1221" s="2">
        <f t="shared" ca="1" si="1204"/>
        <v>6279588.6280512139</v>
      </c>
      <c r="AC1221" s="2">
        <f t="shared" ca="1" si="1205"/>
        <v>6299113.4277736796</v>
      </c>
      <c r="AD1221" s="2">
        <f t="shared" ca="1" si="1206"/>
        <v>6318698.9349448001</v>
      </c>
      <c r="AE1221" s="2">
        <f t="shared" ca="1" si="1207"/>
        <v>6338345.3383190995</v>
      </c>
      <c r="AF1221" s="2">
        <f t="shared" ca="1" si="1208"/>
        <v>991776.79266428296</v>
      </c>
      <c r="AG1221" s="2">
        <f t="shared" ca="1" si="1209"/>
        <v>994860.47288493603</v>
      </c>
      <c r="AH1221" s="2">
        <f t="shared" ca="1" si="1210"/>
        <v>997953.74103280588</v>
      </c>
      <c r="AI1221" s="2">
        <f t="shared" ca="1" si="1211"/>
        <v>1001056.626919138</v>
      </c>
      <c r="AJ1221" s="2">
        <f t="shared" ca="1" si="1212"/>
        <v>1004169.1604478684</v>
      </c>
      <c r="AK1221" s="2">
        <f t="shared" ca="1" si="1213"/>
        <v>0</v>
      </c>
      <c r="AL1221" s="2">
        <f t="shared" ca="1" si="1214"/>
        <v>1541.8401103265585</v>
      </c>
      <c r="AM1221" s="2">
        <f t="shared" ca="1" si="1215"/>
        <v>1546.6340739349275</v>
      </c>
      <c r="AN1221" s="2">
        <f t="shared" ca="1" si="1216"/>
        <v>1551.4429431660474</v>
      </c>
      <c r="AO1221" s="2">
        <f t="shared" ca="1" si="1217"/>
        <v>1556.2667643652112</v>
      </c>
      <c r="AP1221" s="2">
        <f t="shared" ca="1" si="1218"/>
        <v>1997409.9112204937</v>
      </c>
      <c r="AQ1221" s="2">
        <f t="shared" ca="1" si="1219"/>
        <v>827455.06341894181</v>
      </c>
      <c r="AR1221" s="2">
        <f t="shared" ca="1" si="1220"/>
        <v>854702.74342590384</v>
      </c>
      <c r="AS1221" s="2">
        <f t="shared" ca="1" si="1221"/>
        <v>858974.94163529878</v>
      </c>
      <c r="AT1221" s="2">
        <f t="shared" ca="1" si="1222"/>
        <v>863260.42316934373</v>
      </c>
      <c r="AU1221" s="2">
        <f t="shared" ca="1" si="1223"/>
        <v>867559.22932919173</v>
      </c>
      <c r="AV1221" s="2">
        <f t="shared" ca="1" si="1224"/>
        <v>2355064.411269296</v>
      </c>
      <c r="AW1221" s="2">
        <f t="shared" ca="1" si="1225"/>
        <v>2431073.6604095539</v>
      </c>
      <c r="AX1221" s="2">
        <f t="shared" ca="1" si="1226"/>
        <v>2443228.1998111466</v>
      </c>
      <c r="AY1221" s="2">
        <f t="shared" ca="1" si="1227"/>
        <v>2455420.5306926584</v>
      </c>
      <c r="AZ1221" s="2">
        <f t="shared" ca="1" si="1228"/>
        <v>2467650.77055718</v>
      </c>
      <c r="BA1221" s="2">
        <f t="shared" ca="1" si="1229"/>
        <v>43369063.853777744</v>
      </c>
      <c r="BB1221" s="2">
        <f t="shared" ca="1" si="1230"/>
        <v>867381.27707555494</v>
      </c>
      <c r="BC1221" s="2">
        <f t="shared" ca="1" si="1231"/>
        <v>20308239.118696701</v>
      </c>
      <c r="BD1221" s="2">
        <f t="shared" ca="1" si="1232"/>
        <v>-16220355.78275389</v>
      </c>
      <c r="BE1221" s="2">
        <f t="shared" ca="1" si="1233"/>
        <v>2355064.411269296</v>
      </c>
      <c r="BF1221" s="2">
        <f t="shared" ca="1" si="1234"/>
        <v>2431073.6604095539</v>
      </c>
      <c r="BG1221" s="2">
        <f t="shared" ca="1" si="1235"/>
        <v>2443228.1998111466</v>
      </c>
      <c r="BH1221" s="2">
        <f t="shared" ca="1" si="1236"/>
        <v>2455420.5306926584</v>
      </c>
      <c r="BI1221" s="2">
        <f t="shared" ca="1" si="1237"/>
        <v>22775889.889253881</v>
      </c>
      <c r="BJ1221" s="2">
        <f t="shared" ca="1" si="1238"/>
        <v>0.18423894239441818</v>
      </c>
      <c r="BK1221" s="2">
        <f t="shared" ca="1" si="1239"/>
        <v>4043574.6336108204</v>
      </c>
    </row>
    <row r="1222" spans="1:63" x14ac:dyDescent="0.3">
      <c r="A1222" s="2">
        <v>1221</v>
      </c>
      <c r="B1222" s="2">
        <f t="shared" ca="1" si="1178"/>
        <v>0.7432403458862703</v>
      </c>
      <c r="C1222" s="2">
        <f t="shared" ca="1" si="1179"/>
        <v>7.2833973847190761</v>
      </c>
      <c r="D1222" s="2">
        <f t="shared" ca="1" si="1180"/>
        <v>3.3210817755103594E-2</v>
      </c>
      <c r="E1222" s="2">
        <f t="shared" ca="1" si="1181"/>
        <v>6.7577239521468799</v>
      </c>
      <c r="F1222" s="2">
        <f t="shared" ca="1" si="1182"/>
        <v>0.28731676708633813</v>
      </c>
      <c r="G1222" s="2">
        <f t="shared" ca="1" si="1183"/>
        <v>2.3162782228546244E-2</v>
      </c>
      <c r="H1222" s="2">
        <f t="shared" ca="1" si="1184"/>
        <v>2.3162782228546244E-2</v>
      </c>
      <c r="I1222" s="2">
        <f t="shared" ca="1" si="1185"/>
        <v>2.2594376965401786E-2</v>
      </c>
      <c r="J1222" s="2">
        <f t="shared" ca="1" si="1186"/>
        <v>-1.4465962939681082E-5</v>
      </c>
      <c r="K1222" s="2">
        <f t="shared" ca="1" si="1187"/>
        <v>0</v>
      </c>
      <c r="L1222" s="2">
        <f t="shared" ca="1" si="1188"/>
        <v>0.89708476869405684</v>
      </c>
      <c r="M1222" s="2">
        <f t="shared" ca="1" si="1189"/>
        <v>2.5302280131702146E-2</v>
      </c>
      <c r="N1222" s="2">
        <f t="shared" ca="1" si="1190"/>
        <v>2.5302280131702146E-2</v>
      </c>
      <c r="O1222" s="2">
        <f t="shared" si="1191"/>
        <v>6000000</v>
      </c>
      <c r="P1222" s="2">
        <f t="shared" ca="1" si="1192"/>
        <v>43700384.308314458</v>
      </c>
      <c r="Q1222" s="2">
        <f t="shared" ca="1" si="1193"/>
        <v>1092509.6077078616</v>
      </c>
      <c r="R1222" s="2">
        <f t="shared" ca="1" si="1194"/>
        <v>26220230.584988672</v>
      </c>
      <c r="S1222" s="2">
        <f t="shared" ca="1" si="1195"/>
        <v>17480153.723325785</v>
      </c>
      <c r="T1222" s="2">
        <f t="shared" ca="1" si="1196"/>
        <v>51265114.006585114</v>
      </c>
      <c r="U1222" s="2">
        <f t="shared" ca="1" si="1197"/>
        <v>52452556.678241245</v>
      </c>
      <c r="V1222" s="2">
        <f t="shared" ca="1" si="1198"/>
        <v>53667503.825909831</v>
      </c>
      <c r="W1222" s="2">
        <f t="shared" ca="1" si="1199"/>
        <v>54910592.529779054</v>
      </c>
      <c r="X1222" s="2">
        <f t="shared" ca="1" si="1200"/>
        <v>56182474.626586765</v>
      </c>
      <c r="Y1222" s="2">
        <f t="shared" ca="1" si="1201"/>
        <v>0.12</v>
      </c>
      <c r="Z1222" s="2">
        <f t="shared" ca="1" si="1202"/>
        <v>0.12</v>
      </c>
      <c r="AA1222" s="2">
        <f t="shared" ca="1" si="1203"/>
        <v>6151813.6807902139</v>
      </c>
      <c r="AB1222" s="2">
        <f t="shared" ca="1" si="1204"/>
        <v>6294306.8013889492</v>
      </c>
      <c r="AC1222" s="2">
        <f t="shared" ca="1" si="1205"/>
        <v>6440100.4591091797</v>
      </c>
      <c r="AD1222" s="2">
        <f t="shared" ca="1" si="1206"/>
        <v>6589271.1035734862</v>
      </c>
      <c r="AE1222" s="2">
        <f t="shared" ca="1" si="1207"/>
        <v>6741896.9551904118</v>
      </c>
      <c r="AF1222" s="2">
        <f t="shared" ca="1" si="1208"/>
        <v>1025302.2801317023</v>
      </c>
      <c r="AG1222" s="2">
        <f t="shared" ca="1" si="1209"/>
        <v>1049051.1335648249</v>
      </c>
      <c r="AH1222" s="2">
        <f t="shared" ca="1" si="1210"/>
        <v>1073350.0765181966</v>
      </c>
      <c r="AI1222" s="2">
        <f t="shared" ca="1" si="1211"/>
        <v>1098211.8505955811</v>
      </c>
      <c r="AJ1222" s="2">
        <f t="shared" ca="1" si="1212"/>
        <v>1123649.4925317352</v>
      </c>
      <c r="AK1222" s="2">
        <f t="shared" ca="1" si="1213"/>
        <v>0</v>
      </c>
      <c r="AL1222" s="2">
        <f t="shared" ca="1" si="1214"/>
        <v>11874.426716561318</v>
      </c>
      <c r="AM1222" s="2">
        <f t="shared" ca="1" si="1215"/>
        <v>12149.471476685852</v>
      </c>
      <c r="AN1222" s="2">
        <f t="shared" ca="1" si="1216"/>
        <v>12430.887038692235</v>
      </c>
      <c r="AO1222" s="2">
        <f t="shared" ca="1" si="1217"/>
        <v>12718.820968077109</v>
      </c>
      <c r="AP1222" s="2">
        <f t="shared" ca="1" si="1218"/>
        <v>2359820.7526489804</v>
      </c>
      <c r="AQ1222" s="2">
        <f t="shared" ca="1" si="1219"/>
        <v>719339.56848247815</v>
      </c>
      <c r="AR1222" s="2">
        <f t="shared" ca="1" si="1220"/>
        <v>750213.0779455374</v>
      </c>
      <c r="AS1222" s="2">
        <f t="shared" ca="1" si="1221"/>
        <v>781801.70378492074</v>
      </c>
      <c r="AT1222" s="2">
        <f t="shared" ca="1" si="1222"/>
        <v>814122.01008552045</v>
      </c>
      <c r="AU1222" s="2">
        <f t="shared" ca="1" si="1223"/>
        <v>847190.94460252102</v>
      </c>
      <c r="AV1222" s="2">
        <f t="shared" ca="1" si="1224"/>
        <v>2047351.0795270531</v>
      </c>
      <c r="AW1222" s="2">
        <f t="shared" ca="1" si="1225"/>
        <v>2123347.4105130443</v>
      </c>
      <c r="AX1222" s="2">
        <f t="shared" ca="1" si="1226"/>
        <v>2212978.4546803953</v>
      </c>
      <c r="AY1222" s="2">
        <f t="shared" ca="1" si="1227"/>
        <v>2304685.6032047123</v>
      </c>
      <c r="AZ1222" s="2">
        <f t="shared" ca="1" si="1228"/>
        <v>2398516.9444390973</v>
      </c>
      <c r="BA1222" s="2">
        <f t="shared" ca="1" si="1229"/>
        <v>45559878.536996365</v>
      </c>
      <c r="BB1222" s="2">
        <f t="shared" ca="1" si="1230"/>
        <v>911197.57073992735</v>
      </c>
      <c r="BC1222" s="2">
        <f t="shared" ca="1" si="1231"/>
        <v>18428450.381267764</v>
      </c>
      <c r="BD1222" s="2">
        <f t="shared" ca="1" si="1232"/>
        <v>-19072663.331033647</v>
      </c>
      <c r="BE1222" s="2">
        <f t="shared" ca="1" si="1233"/>
        <v>2047351.0795270531</v>
      </c>
      <c r="BF1222" s="2">
        <f t="shared" ca="1" si="1234"/>
        <v>2123347.4105130443</v>
      </c>
      <c r="BG1222" s="2">
        <f t="shared" ca="1" si="1235"/>
        <v>2212978.4546803953</v>
      </c>
      <c r="BH1222" s="2">
        <f t="shared" ca="1" si="1236"/>
        <v>2304685.6032047123</v>
      </c>
      <c r="BI1222" s="2">
        <f t="shared" ca="1" si="1237"/>
        <v>20826967.325706862</v>
      </c>
      <c r="BJ1222" s="2">
        <f t="shared" ca="1" si="1238"/>
        <v>0.10987516987182988</v>
      </c>
      <c r="BK1222" s="2">
        <f t="shared" ca="1" si="1239"/>
        <v>-694347.43763288856</v>
      </c>
    </row>
    <row r="1223" spans="1:63" x14ac:dyDescent="0.3">
      <c r="A1223" s="2">
        <v>1222</v>
      </c>
      <c r="B1223" s="2">
        <f t="shared" ca="1" si="1178"/>
        <v>0.19817880564284407</v>
      </c>
      <c r="C1223" s="2">
        <f t="shared" ca="1" si="1179"/>
        <v>6.6295693856007363</v>
      </c>
      <c r="D1223" s="2">
        <f t="shared" ca="1" si="1180"/>
        <v>0.9407095507033395</v>
      </c>
      <c r="E1223" s="2">
        <f t="shared" ca="1" si="1181"/>
        <v>8.1556442267170173</v>
      </c>
      <c r="F1223" s="2">
        <f t="shared" ca="1" si="1182"/>
        <v>0.79802422664912875</v>
      </c>
      <c r="G1223" s="2">
        <f t="shared" ca="1" si="1183"/>
        <v>6.5037542752902466E-2</v>
      </c>
      <c r="H1223" s="2">
        <f t="shared" ca="1" si="1184"/>
        <v>6.5037542752902466E-2</v>
      </c>
      <c r="I1223" s="2">
        <f t="shared" ca="1" si="1185"/>
        <v>0.14864843883176326</v>
      </c>
      <c r="J1223" s="2">
        <f t="shared" ca="1" si="1186"/>
        <v>4.7887617641254945E-3</v>
      </c>
      <c r="K1223" s="2">
        <f t="shared" ca="1" si="1187"/>
        <v>4.7887617641254945E-3</v>
      </c>
      <c r="L1223" s="2">
        <f t="shared" ca="1" si="1188"/>
        <v>0.30800354960810838</v>
      </c>
      <c r="M1223" s="2">
        <f t="shared" ca="1" si="1189"/>
        <v>-1.0030346180918321E-2</v>
      </c>
      <c r="N1223" s="2">
        <f t="shared" ca="1" si="1190"/>
        <v>-1.0030346180918321E-2</v>
      </c>
      <c r="O1223" s="2">
        <f t="shared" si="1191"/>
        <v>6000000</v>
      </c>
      <c r="P1223" s="2">
        <f t="shared" ca="1" si="1192"/>
        <v>39777416.313604414</v>
      </c>
      <c r="Q1223" s="2">
        <f t="shared" ca="1" si="1193"/>
        <v>994435.40784011036</v>
      </c>
      <c r="R1223" s="2">
        <f t="shared" ca="1" si="1194"/>
        <v>23866449.788162649</v>
      </c>
      <c r="S1223" s="2">
        <f t="shared" ca="1" si="1195"/>
        <v>15910966.525441766</v>
      </c>
      <c r="T1223" s="2">
        <f t="shared" ca="1" si="1196"/>
        <v>49498482.690954082</v>
      </c>
      <c r="U1223" s="2">
        <f t="shared" ca="1" si="1197"/>
        <v>52717742.375170805</v>
      </c>
      <c r="V1223" s="2">
        <f t="shared" ca="1" si="1198"/>
        <v>56146374.798732474</v>
      </c>
      <c r="W1223" s="2">
        <f t="shared" ca="1" si="1199"/>
        <v>59797997.050125517</v>
      </c>
      <c r="X1223" s="2">
        <f t="shared" ca="1" si="1200"/>
        <v>63687111.83981099</v>
      </c>
      <c r="Y1223" s="2">
        <f t="shared" ca="1" si="1201"/>
        <v>0.12239438088206274</v>
      </c>
      <c r="Z1223" s="2">
        <f t="shared" ca="1" si="1202"/>
        <v>0.12335213323488785</v>
      </c>
      <c r="AA1223" s="2">
        <f t="shared" ca="1" si="1203"/>
        <v>6058336.143560824</v>
      </c>
      <c r="AB1223" s="2">
        <f t="shared" ca="1" si="1204"/>
        <v>6502845.9813045617</v>
      </c>
      <c r="AC1223" s="2">
        <f t="shared" ca="1" si="1205"/>
        <v>6925775.1048291977</v>
      </c>
      <c r="AD1223" s="2">
        <f t="shared" ca="1" si="1206"/>
        <v>7376210.499306513</v>
      </c>
      <c r="AE1223" s="2">
        <f t="shared" ca="1" si="1207"/>
        <v>7855941.1050095689</v>
      </c>
      <c r="AF1223" s="2">
        <f t="shared" ca="1" si="1208"/>
        <v>989969.65381908161</v>
      </c>
      <c r="AG1223" s="2">
        <f t="shared" ca="1" si="1209"/>
        <v>1054354.847503416</v>
      </c>
      <c r="AH1223" s="2">
        <f t="shared" ca="1" si="1210"/>
        <v>1122927.4959746494</v>
      </c>
      <c r="AI1223" s="2">
        <f t="shared" ca="1" si="1211"/>
        <v>1195959.9410025103</v>
      </c>
      <c r="AJ1223" s="2">
        <f t="shared" ca="1" si="1212"/>
        <v>1273742.2367962198</v>
      </c>
      <c r="AK1223" s="2">
        <f t="shared" ca="1" si="1213"/>
        <v>0</v>
      </c>
      <c r="AL1223" s="2">
        <f t="shared" ca="1" si="1214"/>
        <v>32192.59684216723</v>
      </c>
      <c r="AM1223" s="2">
        <f t="shared" ca="1" si="1215"/>
        <v>34286.324235616703</v>
      </c>
      <c r="AN1223" s="2">
        <f t="shared" ca="1" si="1216"/>
        <v>36516.222513930428</v>
      </c>
      <c r="AO1223" s="2">
        <f t="shared" ca="1" si="1217"/>
        <v>38891.147896854731</v>
      </c>
      <c r="AP1223" s="2">
        <f t="shared" ca="1" si="1218"/>
        <v>2147980.4809346385</v>
      </c>
      <c r="AQ1223" s="2">
        <f t="shared" ca="1" si="1219"/>
        <v>759300.36228984711</v>
      </c>
      <c r="AR1223" s="2">
        <f t="shared" ca="1" si="1220"/>
        <v>858132.76974529179</v>
      </c>
      <c r="AS1223" s="2">
        <f t="shared" ca="1" si="1221"/>
        <v>950265.45325917646</v>
      </c>
      <c r="AT1223" s="2">
        <f t="shared" ca="1" si="1222"/>
        <v>1048390.2201160346</v>
      </c>
      <c r="AU1223" s="2">
        <f t="shared" ca="1" si="1223"/>
        <v>1152896.7806924647</v>
      </c>
      <c r="AV1223" s="2">
        <f t="shared" ca="1" si="1224"/>
        <v>2161085.6465172572</v>
      </c>
      <c r="AW1223" s="2">
        <f t="shared" ca="1" si="1225"/>
        <v>2410185.2862790478</v>
      </c>
      <c r="AX1223" s="2">
        <f t="shared" ca="1" si="1226"/>
        <v>2670315.3504251167</v>
      </c>
      <c r="AY1223" s="2">
        <f t="shared" ca="1" si="1227"/>
        <v>2947363.634739399</v>
      </c>
      <c r="AZ1223" s="2">
        <f t="shared" ca="1" si="1228"/>
        <v>3242430.4586893907</v>
      </c>
      <c r="BA1223" s="2">
        <f t="shared" ca="1" si="1229"/>
        <v>64070260.718500197</v>
      </c>
      <c r="BB1223" s="2">
        <f t="shared" ca="1" si="1230"/>
        <v>1281405.2143700039</v>
      </c>
      <c r="BC1223" s="2">
        <f t="shared" ca="1" si="1231"/>
        <v>38922405.715967543</v>
      </c>
      <c r="BD1223" s="2">
        <f t="shared" ca="1" si="1232"/>
        <v>-17405401.933281876</v>
      </c>
      <c r="BE1223" s="2">
        <f t="shared" ca="1" si="1233"/>
        <v>2161085.6465172572</v>
      </c>
      <c r="BF1223" s="2">
        <f t="shared" ca="1" si="1234"/>
        <v>2410185.2862790478</v>
      </c>
      <c r="BG1223" s="2">
        <f t="shared" ca="1" si="1235"/>
        <v>2670315.3504251167</v>
      </c>
      <c r="BH1223" s="2">
        <f t="shared" ca="1" si="1236"/>
        <v>2947363.634739399</v>
      </c>
      <c r="BI1223" s="2">
        <f t="shared" ca="1" si="1237"/>
        <v>42164836.174656935</v>
      </c>
      <c r="BJ1223" s="2">
        <f t="shared" ca="1" si="1238"/>
        <v>0.28695124521131921</v>
      </c>
      <c r="BK1223" s="2">
        <f t="shared" ca="1" si="1239"/>
        <v>14144764.784373153</v>
      </c>
    </row>
    <row r="1224" spans="1:63" x14ac:dyDescent="0.3">
      <c r="A1224" s="2">
        <v>1223</v>
      </c>
      <c r="B1224" s="2">
        <f t="shared" ca="1" si="1178"/>
        <v>0.80964737101154716</v>
      </c>
      <c r="C1224" s="2">
        <f t="shared" ca="1" si="1179"/>
        <v>7.3829868251188593</v>
      </c>
      <c r="D1224" s="2">
        <f t="shared" ca="1" si="1180"/>
        <v>0.39667790756359833</v>
      </c>
      <c r="E1224" s="2">
        <f t="shared" ca="1" si="1181"/>
        <v>7.390705234702927</v>
      </c>
      <c r="F1224" s="2">
        <f t="shared" ca="1" si="1182"/>
        <v>0.15902030711209636</v>
      </c>
      <c r="G1224" s="2">
        <f t="shared" ca="1" si="1183"/>
        <v>1.0045225912060769E-2</v>
      </c>
      <c r="H1224" s="2">
        <f t="shared" ca="1" si="1184"/>
        <v>1.0045225912060769E-2</v>
      </c>
      <c r="I1224" s="2">
        <f t="shared" ca="1" si="1185"/>
        <v>0.11272193117547391</v>
      </c>
      <c r="J1224" s="2">
        <f t="shared" ca="1" si="1186"/>
        <v>3.9391049224414033E-3</v>
      </c>
      <c r="K1224" s="2">
        <f t="shared" ca="1" si="1187"/>
        <v>3.9391049224414033E-3</v>
      </c>
      <c r="L1224" s="2">
        <f t="shared" ca="1" si="1188"/>
        <v>6.8468786720374375E-2</v>
      </c>
      <c r="M1224" s="2">
        <f t="shared" ca="1" si="1189"/>
        <v>-2.9745850080962272E-2</v>
      </c>
      <c r="N1224" s="2">
        <f t="shared" ca="1" si="1190"/>
        <v>-2.9745850080962272E-2</v>
      </c>
      <c r="O1224" s="2">
        <f t="shared" si="1191"/>
        <v>6000000</v>
      </c>
      <c r="P1224" s="2">
        <f t="shared" ca="1" si="1192"/>
        <v>44297920.950713158</v>
      </c>
      <c r="Q1224" s="2">
        <f t="shared" ca="1" si="1193"/>
        <v>1107448.0237678289</v>
      </c>
      <c r="R1224" s="2">
        <f t="shared" ca="1" si="1194"/>
        <v>26578752.570427895</v>
      </c>
      <c r="S1224" s="2">
        <f t="shared" ca="1" si="1195"/>
        <v>17719168.380285263</v>
      </c>
      <c r="T1224" s="2">
        <f t="shared" ca="1" si="1196"/>
        <v>48512707.495951883</v>
      </c>
      <c r="U1224" s="2">
        <f t="shared" ca="1" si="1197"/>
        <v>49000028.602354437</v>
      </c>
      <c r="V1224" s="2">
        <f t="shared" ca="1" si="1198"/>
        <v>49492244.959362522</v>
      </c>
      <c r="W1224" s="2">
        <f t="shared" ca="1" si="1199"/>
        <v>49989405.740874365</v>
      </c>
      <c r="X1224" s="2">
        <f t="shared" ca="1" si="1200"/>
        <v>50491560.614751115</v>
      </c>
      <c r="Y1224" s="2">
        <f t="shared" ca="1" si="1201"/>
        <v>0.1219695524612207</v>
      </c>
      <c r="Z1224" s="2">
        <f t="shared" ca="1" si="1202"/>
        <v>0.12275737344570897</v>
      </c>
      <c r="AA1224" s="2">
        <f t="shared" ca="1" si="1203"/>
        <v>5917073.2219633581</v>
      </c>
      <c r="AB1224" s="2">
        <f t="shared" ca="1" si="1204"/>
        <v>6015114.8099896451</v>
      </c>
      <c r="AC1224" s="2">
        <f t="shared" ca="1" si="1205"/>
        <v>6075537.9971429724</v>
      </c>
      <c r="AD1224" s="2">
        <f t="shared" ca="1" si="1206"/>
        <v>6136568.1488615824</v>
      </c>
      <c r="AE1224" s="2">
        <f t="shared" ca="1" si="1207"/>
        <v>6198211.3622416537</v>
      </c>
      <c r="AF1224" s="2">
        <f t="shared" ca="1" si="1208"/>
        <v>970254.14991903771</v>
      </c>
      <c r="AG1224" s="2">
        <f t="shared" ca="1" si="1209"/>
        <v>980000.57204708876</v>
      </c>
      <c r="AH1224" s="2">
        <f t="shared" ca="1" si="1210"/>
        <v>989844.89918725041</v>
      </c>
      <c r="AI1224" s="2">
        <f t="shared" ca="1" si="1211"/>
        <v>999788.11481748731</v>
      </c>
      <c r="AJ1224" s="2">
        <f t="shared" ca="1" si="1212"/>
        <v>1009831.2122950223</v>
      </c>
      <c r="AK1224" s="2">
        <f t="shared" ca="1" si="1213"/>
        <v>0</v>
      </c>
      <c r="AL1224" s="2">
        <f t="shared" ca="1" si="1214"/>
        <v>4873.211064025536</v>
      </c>
      <c r="AM1224" s="2">
        <f t="shared" ca="1" si="1215"/>
        <v>4922.1635700808465</v>
      </c>
      <c r="AN1224" s="2">
        <f t="shared" ca="1" si="1216"/>
        <v>4971.607815118432</v>
      </c>
      <c r="AO1224" s="2">
        <f t="shared" ca="1" si="1217"/>
        <v>5021.5487387675048</v>
      </c>
      <c r="AP1224" s="2">
        <f t="shared" ca="1" si="1218"/>
        <v>2392087.7313385103</v>
      </c>
      <c r="AQ1224" s="2">
        <f t="shared" ca="1" si="1219"/>
        <v>664230.14858351066</v>
      </c>
      <c r="AR1224" s="2">
        <f t="shared" ca="1" si="1220"/>
        <v>687186.89171705185</v>
      </c>
      <c r="AS1224" s="2">
        <f t="shared" ca="1" si="1221"/>
        <v>700337.39532047522</v>
      </c>
      <c r="AT1224" s="2">
        <f t="shared" ca="1" si="1222"/>
        <v>713619.99870345218</v>
      </c>
      <c r="AU1224" s="2">
        <f t="shared" ca="1" si="1223"/>
        <v>727036.02883811167</v>
      </c>
      <c r="AV1224" s="2">
        <f t="shared" ca="1" si="1224"/>
        <v>1890501.1921222992</v>
      </c>
      <c r="AW1224" s="2">
        <f t="shared" ca="1" si="1225"/>
        <v>1950966.4038229678</v>
      </c>
      <c r="AX1224" s="2">
        <f t="shared" ca="1" si="1226"/>
        <v>1988345.8077266561</v>
      </c>
      <c r="AY1224" s="2">
        <f t="shared" ca="1" si="1227"/>
        <v>2026100.6961870147</v>
      </c>
      <c r="AZ1224" s="2">
        <f t="shared" ca="1" si="1228"/>
        <v>2064234.8410312422</v>
      </c>
      <c r="BA1224" s="2">
        <f t="shared" ca="1" si="1229"/>
        <v>45809153.160714552</v>
      </c>
      <c r="BB1224" s="2">
        <f t="shared" ca="1" si="1230"/>
        <v>916183.063214291</v>
      </c>
      <c r="BC1224" s="2">
        <f t="shared" ca="1" si="1231"/>
        <v>18314217.527072366</v>
      </c>
      <c r="BD1224" s="2">
        <f t="shared" ca="1" si="1232"/>
        <v>-19326616.404053092</v>
      </c>
      <c r="BE1224" s="2">
        <f t="shared" ca="1" si="1233"/>
        <v>1890501.1921222992</v>
      </c>
      <c r="BF1224" s="2">
        <f t="shared" ca="1" si="1234"/>
        <v>1950966.4038229678</v>
      </c>
      <c r="BG1224" s="2">
        <f t="shared" ca="1" si="1235"/>
        <v>1988345.8077266561</v>
      </c>
      <c r="BH1224" s="2">
        <f t="shared" ca="1" si="1236"/>
        <v>2026100.6961870147</v>
      </c>
      <c r="BI1224" s="2">
        <f t="shared" ca="1" si="1237"/>
        <v>20378452.368103608</v>
      </c>
      <c r="BJ1224" s="2">
        <f t="shared" ca="1" si="1238"/>
        <v>9.3575398493804807E-2</v>
      </c>
      <c r="BK1224" s="2">
        <f t="shared" ca="1" si="1239"/>
        <v>-1817200.3941491805</v>
      </c>
    </row>
    <row r="1225" spans="1:63" x14ac:dyDescent="0.3">
      <c r="A1225" s="2">
        <v>1224</v>
      </c>
      <c r="B1225" s="2">
        <f t="shared" ca="1" si="1178"/>
        <v>0.34354585626983913</v>
      </c>
      <c r="C1225" s="2">
        <f t="shared" ca="1" si="1179"/>
        <v>6.828909954421877</v>
      </c>
      <c r="D1225" s="2">
        <f t="shared" ca="1" si="1180"/>
        <v>0.69655036487560607</v>
      </c>
      <c r="E1225" s="2">
        <f t="shared" ca="1" si="1181"/>
        <v>7.7209626002246186</v>
      </c>
      <c r="F1225" s="2">
        <f t="shared" ca="1" si="1182"/>
        <v>0.85408862391313756</v>
      </c>
      <c r="G1225" s="2">
        <f t="shared" ca="1" si="1183"/>
        <v>7.1623942641150545E-2</v>
      </c>
      <c r="H1225" s="2">
        <f t="shared" ca="1" si="1184"/>
        <v>7.1623942641150545E-2</v>
      </c>
      <c r="I1225" s="2">
        <f t="shared" ca="1" si="1185"/>
        <v>0.53347585490766458</v>
      </c>
      <c r="J1225" s="2">
        <f t="shared" ca="1" si="1186"/>
        <v>1.042005120015671E-2</v>
      </c>
      <c r="K1225" s="2">
        <f t="shared" ca="1" si="1187"/>
        <v>1.042005120015671E-2</v>
      </c>
      <c r="L1225" s="2">
        <f t="shared" ca="1" si="1188"/>
        <v>0.70419819171876952</v>
      </c>
      <c r="M1225" s="2">
        <f t="shared" ca="1" si="1189"/>
        <v>1.0730272655689061E-2</v>
      </c>
      <c r="N1225" s="2">
        <f t="shared" ca="1" si="1190"/>
        <v>1.0730272655689061E-2</v>
      </c>
      <c r="O1225" s="2">
        <f t="shared" si="1191"/>
        <v>6000000</v>
      </c>
      <c r="P1225" s="2">
        <f t="shared" ca="1" si="1192"/>
        <v>40973459.72653126</v>
      </c>
      <c r="Q1225" s="2">
        <f t="shared" ca="1" si="1193"/>
        <v>1024336.4931632816</v>
      </c>
      <c r="R1225" s="2">
        <f t="shared" ca="1" si="1194"/>
        <v>24584075.835918754</v>
      </c>
      <c r="S1225" s="2">
        <f t="shared" ca="1" si="1195"/>
        <v>16389383.890612505</v>
      </c>
      <c r="T1225" s="2">
        <f t="shared" ca="1" si="1196"/>
        <v>50536513.632784449</v>
      </c>
      <c r="U1225" s="2">
        <f t="shared" ca="1" si="1197"/>
        <v>54156137.986502722</v>
      </c>
      <c r="V1225" s="2">
        <f t="shared" ca="1" si="1198"/>
        <v>58035014.107314222</v>
      </c>
      <c r="W1225" s="2">
        <f t="shared" ca="1" si="1199"/>
        <v>62191710.628914855</v>
      </c>
      <c r="X1225" s="2">
        <f t="shared" ca="1" si="1200"/>
        <v>66646126.143755279</v>
      </c>
      <c r="Y1225" s="2">
        <f t="shared" ca="1" si="1201"/>
        <v>0.12521002560007835</v>
      </c>
      <c r="Z1225" s="2">
        <f t="shared" ca="1" si="1202"/>
        <v>0.1272940358401097</v>
      </c>
      <c r="AA1225" s="2">
        <f t="shared" ca="1" si="1203"/>
        <v>6327678.1656996496</v>
      </c>
      <c r="AB1225" s="2">
        <f t="shared" ca="1" si="1204"/>
        <v>6893753.3698158041</v>
      </c>
      <c r="AC1225" s="2">
        <f t="shared" ca="1" si="1205"/>
        <v>7387511.1657577287</v>
      </c>
      <c r="AD1225" s="2">
        <f t="shared" ca="1" si="1206"/>
        <v>7916633.8417548193</v>
      </c>
      <c r="AE1225" s="2">
        <f t="shared" ca="1" si="1207"/>
        <v>8483654.369947657</v>
      </c>
      <c r="AF1225" s="2">
        <f t="shared" ca="1" si="1208"/>
        <v>1010730.272655689</v>
      </c>
      <c r="AG1225" s="2">
        <f t="shared" ca="1" si="1209"/>
        <v>1083122.7597300545</v>
      </c>
      <c r="AH1225" s="2">
        <f t="shared" ca="1" si="1210"/>
        <v>1160700.2821462844</v>
      </c>
      <c r="AI1225" s="2">
        <f t="shared" ca="1" si="1211"/>
        <v>1243834.2125782971</v>
      </c>
      <c r="AJ1225" s="2">
        <f t="shared" ca="1" si="1212"/>
        <v>1332922.5228751057</v>
      </c>
      <c r="AK1225" s="2">
        <f t="shared" ca="1" si="1213"/>
        <v>0</v>
      </c>
      <c r="AL1225" s="2">
        <f t="shared" ca="1" si="1214"/>
        <v>36196.243537182738</v>
      </c>
      <c r="AM1225" s="2">
        <f t="shared" ca="1" si="1215"/>
        <v>38788.761208115</v>
      </c>
      <c r="AN1225" s="2">
        <f t="shared" ca="1" si="1216"/>
        <v>41566.965216006342</v>
      </c>
      <c r="AO1225" s="2">
        <f t="shared" ca="1" si="1217"/>
        <v>44544.155148404243</v>
      </c>
      <c r="AP1225" s="2">
        <f t="shared" ca="1" si="1218"/>
        <v>2212566.8252326879</v>
      </c>
      <c r="AQ1225" s="2">
        <f t="shared" ca="1" si="1219"/>
        <v>807139.07763093093</v>
      </c>
      <c r="AR1225" s="2">
        <f t="shared" ca="1" si="1220"/>
        <v>935496.58406179619</v>
      </c>
      <c r="AS1225" s="2">
        <f t="shared" ca="1" si="1221"/>
        <v>1043703.4551784768</v>
      </c>
      <c r="AT1225" s="2">
        <f t="shared" ca="1" si="1222"/>
        <v>1159660.5290253968</v>
      </c>
      <c r="AU1225" s="2">
        <f t="shared" ca="1" si="1223"/>
        <v>1283922.9056783644</v>
      </c>
      <c r="AV1225" s="2">
        <f t="shared" ca="1" si="1224"/>
        <v>2297241.990180342</v>
      </c>
      <c r="AW1225" s="2">
        <f t="shared" ca="1" si="1225"/>
        <v>2626370.9572540834</v>
      </c>
      <c r="AX1225" s="2">
        <f t="shared" ca="1" si="1226"/>
        <v>2931751.8419921645</v>
      </c>
      <c r="AY1225" s="2">
        <f t="shared" ca="1" si="1227"/>
        <v>3259005.3097024304</v>
      </c>
      <c r="AZ1225" s="2">
        <f t="shared" ca="1" si="1228"/>
        <v>3609697.9610130941</v>
      </c>
      <c r="BA1225" s="2">
        <f t="shared" ca="1" si="1229"/>
        <v>65501978.103598006</v>
      </c>
      <c r="BB1225" s="2">
        <f t="shared" ca="1" si="1230"/>
        <v>1310039.5620719602</v>
      </c>
      <c r="BC1225" s="2">
        <f t="shared" ca="1" si="1231"/>
        <v>39607862.705607295</v>
      </c>
      <c r="BD1225" s="2">
        <f t="shared" ca="1" si="1232"/>
        <v>-17913720.383775786</v>
      </c>
      <c r="BE1225" s="2">
        <f t="shared" ca="1" si="1233"/>
        <v>2297241.990180342</v>
      </c>
      <c r="BF1225" s="2">
        <f t="shared" ca="1" si="1234"/>
        <v>2626370.9572540834</v>
      </c>
      <c r="BG1225" s="2">
        <f t="shared" ca="1" si="1235"/>
        <v>2931751.8419921645</v>
      </c>
      <c r="BH1225" s="2">
        <f t="shared" ca="1" si="1236"/>
        <v>3259005.3097024304</v>
      </c>
      <c r="BI1225" s="2">
        <f t="shared" ca="1" si="1237"/>
        <v>43217560.666620389</v>
      </c>
      <c r="BJ1225" s="2">
        <f t="shared" ca="1" si="1238"/>
        <v>0.29149694199356824</v>
      </c>
      <c r="BK1225" s="2">
        <f t="shared" ca="1" si="1239"/>
        <v>14911839.788770907</v>
      </c>
    </row>
    <row r="1226" spans="1:63" x14ac:dyDescent="0.3">
      <c r="A1226" s="2">
        <v>1225</v>
      </c>
      <c r="B1226" s="2">
        <f t="shared" ca="1" si="1178"/>
        <v>0.87236606363984648</v>
      </c>
      <c r="C1226" s="2">
        <f t="shared" ca="1" si="1179"/>
        <v>7.4947595891852004</v>
      </c>
      <c r="D1226" s="2">
        <f t="shared" ca="1" si="1180"/>
        <v>0.3518020211823808</v>
      </c>
      <c r="E1226" s="2">
        <f t="shared" ca="1" si="1181"/>
        <v>7.3388110886038413</v>
      </c>
      <c r="F1226" s="2">
        <f t="shared" ca="1" si="1182"/>
        <v>0.59202473396899902</v>
      </c>
      <c r="G1226" s="2">
        <f t="shared" ca="1" si="1183"/>
        <v>4.6982693498236874E-2</v>
      </c>
      <c r="H1226" s="2">
        <f t="shared" ca="1" si="1184"/>
        <v>4.6982693498236874E-2</v>
      </c>
      <c r="I1226" s="2">
        <f t="shared" ca="1" si="1185"/>
        <v>0.91509406306806973</v>
      </c>
      <c r="J1226" s="2">
        <f t="shared" ca="1" si="1186"/>
        <v>1.6864042720812367E-2</v>
      </c>
      <c r="K1226" s="2">
        <f t="shared" ca="1" si="1187"/>
        <v>1.6864042720812367E-2</v>
      </c>
      <c r="L1226" s="2">
        <f t="shared" ca="1" si="1188"/>
        <v>0.6803833678628386</v>
      </c>
      <c r="M1226" s="2">
        <f t="shared" ca="1" si="1189"/>
        <v>9.3754218623080272E-3</v>
      </c>
      <c r="N1226" s="2">
        <f t="shared" ca="1" si="1190"/>
        <v>9.3754218623080272E-3</v>
      </c>
      <c r="O1226" s="2">
        <f t="shared" si="1191"/>
        <v>6000000</v>
      </c>
      <c r="P1226" s="2">
        <f t="shared" ca="1" si="1192"/>
        <v>44968557.535111204</v>
      </c>
      <c r="Q1226" s="2">
        <f t="shared" ca="1" si="1193"/>
        <v>1124213.9383777801</v>
      </c>
      <c r="R1226" s="2">
        <f t="shared" ca="1" si="1194"/>
        <v>26981134.521066722</v>
      </c>
      <c r="S1226" s="2">
        <f t="shared" ca="1" si="1195"/>
        <v>17987423.014044482</v>
      </c>
      <c r="T1226" s="2">
        <f t="shared" ca="1" si="1196"/>
        <v>50468771.093115404</v>
      </c>
      <c r="U1226" s="2">
        <f t="shared" ca="1" si="1197"/>
        <v>52839929.896615922</v>
      </c>
      <c r="V1226" s="2">
        <f t="shared" ca="1" si="1198"/>
        <v>55322492.127416953</v>
      </c>
      <c r="W1226" s="2">
        <f t="shared" ca="1" si="1199"/>
        <v>57921691.81859801</v>
      </c>
      <c r="X1226" s="2">
        <f t="shared" ca="1" si="1200"/>
        <v>60643008.912210539</v>
      </c>
      <c r="Y1226" s="2">
        <f t="shared" ca="1" si="1201"/>
        <v>0.12843202136040618</v>
      </c>
      <c r="Z1226" s="2">
        <f t="shared" ca="1" si="1202"/>
        <v>0.13180482990456865</v>
      </c>
      <c r="AA1226" s="2">
        <f t="shared" ca="1" si="1203"/>
        <v>6481806.287064448</v>
      </c>
      <c r="AB1226" s="2">
        <f t="shared" ca="1" si="1204"/>
        <v>6964557.9721927941</v>
      </c>
      <c r="AC1226" s="2">
        <f t="shared" ca="1" si="1205"/>
        <v>7291771.6647510296</v>
      </c>
      <c r="AD1226" s="2">
        <f t="shared" ca="1" si="1206"/>
        <v>7634358.7379351566</v>
      </c>
      <c r="AE1226" s="2">
        <f t="shared" ca="1" si="1207"/>
        <v>7993041.4745751508</v>
      </c>
      <c r="AF1226" s="2">
        <f t="shared" ca="1" si="1208"/>
        <v>1009375.4218623081</v>
      </c>
      <c r="AG1226" s="2">
        <f t="shared" ca="1" si="1209"/>
        <v>1056798.5979323185</v>
      </c>
      <c r="AH1226" s="2">
        <f t="shared" ca="1" si="1210"/>
        <v>1106449.8425483392</v>
      </c>
      <c r="AI1226" s="2">
        <f t="shared" ca="1" si="1211"/>
        <v>1158433.8363719601</v>
      </c>
      <c r="AJ1226" s="2">
        <f t="shared" ca="1" si="1212"/>
        <v>1212860.1782442108</v>
      </c>
      <c r="AK1226" s="2">
        <f t="shared" ca="1" si="1213"/>
        <v>0</v>
      </c>
      <c r="AL1226" s="2">
        <f t="shared" ca="1" si="1214"/>
        <v>23711.588035005181</v>
      </c>
      <c r="AM1226" s="2">
        <f t="shared" ca="1" si="1215"/>
        <v>24825.622308010312</v>
      </c>
      <c r="AN1226" s="2">
        <f t="shared" ca="1" si="1216"/>
        <v>25991.996911810562</v>
      </c>
      <c r="AO1226" s="2">
        <f t="shared" ca="1" si="1217"/>
        <v>27213.170936125294</v>
      </c>
      <c r="AP1226" s="2">
        <f t="shared" ca="1" si="1218"/>
        <v>2428302.1068960046</v>
      </c>
      <c r="AQ1226" s="2">
        <f t="shared" ca="1" si="1219"/>
        <v>791473.47715959523</v>
      </c>
      <c r="AR1226" s="2">
        <f t="shared" ca="1" si="1220"/>
        <v>904658.88951476256</v>
      </c>
      <c r="AS1226" s="2">
        <f t="shared" ca="1" si="1221"/>
        <v>976825.12597973819</v>
      </c>
      <c r="AT1226" s="2">
        <f t="shared" ca="1" si="1222"/>
        <v>1052381.9266134698</v>
      </c>
      <c r="AU1226" s="2">
        <f t="shared" ca="1" si="1223"/>
        <v>1131488.5892530833</v>
      </c>
      <c r="AV1226" s="2">
        <f t="shared" ca="1" si="1224"/>
        <v>2252655.2811465403</v>
      </c>
      <c r="AW1226" s="2">
        <f t="shared" ca="1" si="1225"/>
        <v>2551086.7898147032</v>
      </c>
      <c r="AX1226" s="2">
        <f t="shared" ca="1" si="1226"/>
        <v>2755368.9670189368</v>
      </c>
      <c r="AY1226" s="2">
        <f t="shared" ca="1" si="1227"/>
        <v>2969248.8711419115</v>
      </c>
      <c r="AZ1226" s="2">
        <f t="shared" ca="1" si="1228"/>
        <v>3193177.4292457262</v>
      </c>
      <c r="BA1226" s="2">
        <f t="shared" ca="1" si="1229"/>
        <v>58659421.405282512</v>
      </c>
      <c r="BB1226" s="2">
        <f t="shared" ca="1" si="1230"/>
        <v>1173188.4281056502</v>
      </c>
      <c r="BC1226" s="2">
        <f t="shared" ca="1" si="1231"/>
        <v>30505098.456110142</v>
      </c>
      <c r="BD1226" s="2">
        <f t="shared" ca="1" si="1232"/>
        <v>-19611636.952422261</v>
      </c>
      <c r="BE1226" s="2">
        <f t="shared" ca="1" si="1233"/>
        <v>2252655.2811465403</v>
      </c>
      <c r="BF1226" s="2">
        <f t="shared" ca="1" si="1234"/>
        <v>2551086.7898147032</v>
      </c>
      <c r="BG1226" s="2">
        <f t="shared" ca="1" si="1235"/>
        <v>2755368.9670189368</v>
      </c>
      <c r="BH1226" s="2">
        <f t="shared" ca="1" si="1236"/>
        <v>2969248.8711419115</v>
      </c>
      <c r="BI1226" s="2">
        <f t="shared" ca="1" si="1237"/>
        <v>33698275.885355867</v>
      </c>
      <c r="BJ1226" s="2">
        <f t="shared" ca="1" si="1238"/>
        <v>0.2088779288919822</v>
      </c>
      <c r="BK1226" s="2">
        <f t="shared" ca="1" si="1239"/>
        <v>7402908.4475071765</v>
      </c>
    </row>
    <row r="1227" spans="1:63" x14ac:dyDescent="0.3">
      <c r="A1227" s="2">
        <v>1226</v>
      </c>
      <c r="B1227" s="2">
        <f t="shared" ca="1" si="1178"/>
        <v>8.0408032559147857E-2</v>
      </c>
      <c r="C1227" s="2">
        <f t="shared" ca="1" si="1179"/>
        <v>6.4010187839968298</v>
      </c>
      <c r="D1227" s="2">
        <f t="shared" ca="1" si="1180"/>
        <v>0.36824760510736076</v>
      </c>
      <c r="E1227" s="2">
        <f t="shared" ca="1" si="1181"/>
        <v>7.3581929912407356</v>
      </c>
      <c r="F1227" s="2">
        <f t="shared" ca="1" si="1182"/>
        <v>0.10100127648849611</v>
      </c>
      <c r="G1227" s="2">
        <f t="shared" ca="1" si="1183"/>
        <v>1.723991251385365E-3</v>
      </c>
      <c r="H1227" s="2">
        <f t="shared" ca="1" si="1184"/>
        <v>1.723991251385365E-3</v>
      </c>
      <c r="I1227" s="2">
        <f t="shared" ca="1" si="1185"/>
        <v>0.58961403283748004</v>
      </c>
      <c r="J1227" s="2">
        <f t="shared" ca="1" si="1186"/>
        <v>1.1132761195093628E-2</v>
      </c>
      <c r="K1227" s="2">
        <f t="shared" ca="1" si="1187"/>
        <v>1.1132761195093628E-2</v>
      </c>
      <c r="L1227" s="2">
        <f t="shared" ca="1" si="1188"/>
        <v>0.34896909646786323</v>
      </c>
      <c r="M1227" s="2">
        <f t="shared" ca="1" si="1189"/>
        <v>-7.7621037569443885E-3</v>
      </c>
      <c r="N1227" s="2">
        <f t="shared" ca="1" si="1190"/>
        <v>-7.7621037569443885E-3</v>
      </c>
      <c r="O1227" s="2">
        <f t="shared" si="1191"/>
        <v>6000000</v>
      </c>
      <c r="P1227" s="2">
        <f t="shared" ca="1" si="1192"/>
        <v>38406112.703980982</v>
      </c>
      <c r="Q1227" s="2">
        <f t="shared" ca="1" si="1193"/>
        <v>960152.81759952463</v>
      </c>
      <c r="R1227" s="2">
        <f t="shared" ca="1" si="1194"/>
        <v>23043667.62238859</v>
      </c>
      <c r="S1227" s="2">
        <f t="shared" ca="1" si="1195"/>
        <v>15362445.081592394</v>
      </c>
      <c r="T1227" s="2">
        <f t="shared" ca="1" si="1196"/>
        <v>49611894.812152781</v>
      </c>
      <c r="U1227" s="2">
        <f t="shared" ca="1" si="1197"/>
        <v>49697425.284773581</v>
      </c>
      <c r="V1227" s="2">
        <f t="shared" ca="1" si="1198"/>
        <v>49783103.21118091</v>
      </c>
      <c r="W1227" s="2">
        <f t="shared" ca="1" si="1199"/>
        <v>49868928.845583797</v>
      </c>
      <c r="X1227" s="2">
        <f t="shared" ca="1" si="1200"/>
        <v>49954902.442629538</v>
      </c>
      <c r="Y1227" s="2">
        <f t="shared" ca="1" si="1201"/>
        <v>0.12556638059754682</v>
      </c>
      <c r="Z1227" s="2">
        <f t="shared" ca="1" si="1202"/>
        <v>0.12779293283656554</v>
      </c>
      <c r="AA1227" s="2">
        <f t="shared" ca="1" si="1203"/>
        <v>6229586.0661482345</v>
      </c>
      <c r="AB1227" s="2">
        <f t="shared" ca="1" si="1204"/>
        <v>6350979.7315673037</v>
      </c>
      <c r="AC1227" s="2">
        <f t="shared" ca="1" si="1205"/>
        <v>6361928.7650622521</v>
      </c>
      <c r="AD1227" s="2">
        <f t="shared" ca="1" si="1206"/>
        <v>6372896.6745951558</v>
      </c>
      <c r="AE1227" s="2">
        <f t="shared" ca="1" si="1207"/>
        <v>6383883.4927081401</v>
      </c>
      <c r="AF1227" s="2">
        <f t="shared" ca="1" si="1208"/>
        <v>992237.89624305558</v>
      </c>
      <c r="AG1227" s="2">
        <f t="shared" ca="1" si="1209"/>
        <v>993948.50569547166</v>
      </c>
      <c r="AH1227" s="2">
        <f t="shared" ca="1" si="1210"/>
        <v>995662.06422361825</v>
      </c>
      <c r="AI1227" s="2">
        <f t="shared" ca="1" si="1211"/>
        <v>997378.57691167598</v>
      </c>
      <c r="AJ1227" s="2">
        <f t="shared" ca="1" si="1212"/>
        <v>999098.04885259084</v>
      </c>
      <c r="AK1227" s="2">
        <f t="shared" ca="1" si="1213"/>
        <v>0</v>
      </c>
      <c r="AL1227" s="2">
        <f t="shared" ca="1" si="1214"/>
        <v>855.3047262080014</v>
      </c>
      <c r="AM1227" s="2">
        <f t="shared" ca="1" si="1215"/>
        <v>856.77926407329744</v>
      </c>
      <c r="AN1227" s="2">
        <f t="shared" ca="1" si="1216"/>
        <v>858.25634402886033</v>
      </c>
      <c r="AO1227" s="2">
        <f t="shared" ca="1" si="1217"/>
        <v>859.73597045741974</v>
      </c>
      <c r="AP1227" s="2">
        <f t="shared" ca="1" si="1218"/>
        <v>2073930.086014973</v>
      </c>
      <c r="AQ1227" s="2">
        <f t="shared" ca="1" si="1219"/>
        <v>822488.70181145368</v>
      </c>
      <c r="AR1227" s="2">
        <f t="shared" ca="1" si="1220"/>
        <v>853606.29636278341</v>
      </c>
      <c r="AS1227" s="2">
        <f t="shared" ca="1" si="1221"/>
        <v>856007.51985415188</v>
      </c>
      <c r="AT1227" s="2">
        <f t="shared" ca="1" si="1222"/>
        <v>858412.88303381181</v>
      </c>
      <c r="AU1227" s="2">
        <f t="shared" ca="1" si="1223"/>
        <v>860822.39303854981</v>
      </c>
      <c r="AV1227" s="2">
        <f t="shared" ca="1" si="1224"/>
        <v>2340929.3820787529</v>
      </c>
      <c r="AW1227" s="2">
        <f t="shared" ca="1" si="1225"/>
        <v>2428639.5387678677</v>
      </c>
      <c r="AX1227" s="2">
        <f t="shared" ca="1" si="1226"/>
        <v>2435472.3157054363</v>
      </c>
      <c r="AY1227" s="2">
        <f t="shared" ca="1" si="1227"/>
        <v>2442316.8722906662</v>
      </c>
      <c r="AZ1227" s="2">
        <f t="shared" ca="1" si="1228"/>
        <v>2449173.2288315697</v>
      </c>
      <c r="BA1227" s="2">
        <f t="shared" ca="1" si="1229"/>
        <v>46973846.772942461</v>
      </c>
      <c r="BB1227" s="2">
        <f t="shared" ca="1" si="1230"/>
        <v>939476.93545884918</v>
      </c>
      <c r="BC1227" s="2">
        <f t="shared" ca="1" si="1231"/>
        <v>22990702.215095021</v>
      </c>
      <c r="BD1227" s="2">
        <f t="shared" ca="1" si="1232"/>
        <v>-16822597.899191916</v>
      </c>
      <c r="BE1227" s="2">
        <f t="shared" ca="1" si="1233"/>
        <v>2340929.3820787529</v>
      </c>
      <c r="BF1227" s="2">
        <f t="shared" ca="1" si="1234"/>
        <v>2428639.5387678677</v>
      </c>
      <c r="BG1227" s="2">
        <f t="shared" ca="1" si="1235"/>
        <v>2435472.3157054363</v>
      </c>
      <c r="BH1227" s="2">
        <f t="shared" ca="1" si="1236"/>
        <v>2442316.8722906662</v>
      </c>
      <c r="BI1227" s="2">
        <f t="shared" ca="1" si="1237"/>
        <v>25439875.443926591</v>
      </c>
      <c r="BJ1227" s="2">
        <f t="shared" ca="1" si="1238"/>
        <v>0.19323647168760338</v>
      </c>
      <c r="BK1227" s="2">
        <f t="shared" ca="1" si="1239"/>
        <v>4924540.338574782</v>
      </c>
    </row>
    <row r="1228" spans="1:63" x14ac:dyDescent="0.3">
      <c r="A1228" s="2">
        <v>1227</v>
      </c>
      <c r="B1228" s="2">
        <f t="shared" ca="1" si="1178"/>
        <v>7.677659886107191E-2</v>
      </c>
      <c r="C1228" s="2">
        <f t="shared" ca="1" si="1179"/>
        <v>6.3918586450777166</v>
      </c>
      <c r="D1228" s="2">
        <f t="shared" ca="1" si="1180"/>
        <v>0.96878623902399497</v>
      </c>
      <c r="E1228" s="2">
        <f t="shared" ca="1" si="1181"/>
        <v>8.2501449981449042</v>
      </c>
      <c r="F1228" s="2">
        <f t="shared" ca="1" si="1182"/>
        <v>0.68806994101335672</v>
      </c>
      <c r="G1228" s="2">
        <f t="shared" ca="1" si="1183"/>
        <v>5.471160813667119E-2</v>
      </c>
      <c r="H1228" s="2">
        <f t="shared" ca="1" si="1184"/>
        <v>5.471160813667119E-2</v>
      </c>
      <c r="I1228" s="2">
        <f t="shared" ca="1" si="1185"/>
        <v>0.43003257679780504</v>
      </c>
      <c r="J1228" s="2">
        <f t="shared" ca="1" si="1186"/>
        <v>9.1185438628253925E-3</v>
      </c>
      <c r="K1228" s="2">
        <f t="shared" ca="1" si="1187"/>
        <v>9.1185438628253925E-3</v>
      </c>
      <c r="L1228" s="2">
        <f t="shared" ca="1" si="1188"/>
        <v>0.21003581046592856</v>
      </c>
      <c r="M1228" s="2">
        <f t="shared" ca="1" si="1189"/>
        <v>-1.6125939963771395E-2</v>
      </c>
      <c r="N1228" s="2">
        <f t="shared" ca="1" si="1190"/>
        <v>-1.6125939963771395E-2</v>
      </c>
      <c r="O1228" s="2">
        <f t="shared" si="1191"/>
        <v>6000000</v>
      </c>
      <c r="P1228" s="2">
        <f t="shared" ca="1" si="1192"/>
        <v>38351151.870466299</v>
      </c>
      <c r="Q1228" s="2">
        <f t="shared" ca="1" si="1193"/>
        <v>958778.79676165758</v>
      </c>
      <c r="R1228" s="2">
        <f t="shared" ca="1" si="1194"/>
        <v>23010691.122279778</v>
      </c>
      <c r="S1228" s="2">
        <f t="shared" ca="1" si="1195"/>
        <v>15340460.748186521</v>
      </c>
      <c r="T1228" s="2">
        <f t="shared" ca="1" si="1196"/>
        <v>49193703.00181143</v>
      </c>
      <c r="U1228" s="2">
        <f t="shared" ca="1" si="1197"/>
        <v>51885169.603238322</v>
      </c>
      <c r="V1228" s="2">
        <f t="shared" ca="1" si="1198"/>
        <v>54723890.670675419</v>
      </c>
      <c r="W1228" s="2">
        <f t="shared" ca="1" si="1199"/>
        <v>57717922.732763447</v>
      </c>
      <c r="X1228" s="2">
        <f t="shared" ca="1" si="1200"/>
        <v>60875763.103781067</v>
      </c>
      <c r="Y1228" s="2">
        <f t="shared" ca="1" si="1201"/>
        <v>0.1245592719314127</v>
      </c>
      <c r="Z1228" s="2">
        <f t="shared" ca="1" si="1202"/>
        <v>0.12638298070397777</v>
      </c>
      <c r="AA1228" s="2">
        <f t="shared" ca="1" si="1203"/>
        <v>6127531.8295157831</v>
      </c>
      <c r="AB1228" s="2">
        <f t="shared" ca="1" si="1204"/>
        <v>6557402.3887886824</v>
      </c>
      <c r="AC1228" s="2">
        <f t="shared" ca="1" si="1205"/>
        <v>6916168.4186785603</v>
      </c>
      <c r="AD1228" s="2">
        <f t="shared" ca="1" si="1206"/>
        <v>7294563.1150085228</v>
      </c>
      <c r="AE1228" s="2">
        <f t="shared" ca="1" si="1207"/>
        <v>7693660.3936850848</v>
      </c>
      <c r="AF1228" s="2">
        <f t="shared" ca="1" si="1208"/>
        <v>983874.06003622862</v>
      </c>
      <c r="AG1228" s="2">
        <f t="shared" ca="1" si="1209"/>
        <v>1037703.3920647665</v>
      </c>
      <c r="AH1228" s="2">
        <f t="shared" ca="1" si="1210"/>
        <v>1094477.8134135085</v>
      </c>
      <c r="AI1228" s="2">
        <f t="shared" ca="1" si="1211"/>
        <v>1154358.4546552689</v>
      </c>
      <c r="AJ1228" s="2">
        <f t="shared" ca="1" si="1212"/>
        <v>1217515.2620756214</v>
      </c>
      <c r="AK1228" s="2">
        <f t="shared" ca="1" si="1213"/>
        <v>0</v>
      </c>
      <c r="AL1228" s="2">
        <f t="shared" ca="1" si="1214"/>
        <v>26914.666014268922</v>
      </c>
      <c r="AM1228" s="2">
        <f t="shared" ca="1" si="1215"/>
        <v>28387.210674370974</v>
      </c>
      <c r="AN1228" s="2">
        <f t="shared" ca="1" si="1216"/>
        <v>29940.320620880277</v>
      </c>
      <c r="AO1228" s="2">
        <f t="shared" ca="1" si="1217"/>
        <v>31578.403710176201</v>
      </c>
      <c r="AP1228" s="2">
        <f t="shared" ca="1" si="1218"/>
        <v>2070962.2010051799</v>
      </c>
      <c r="AQ1228" s="2">
        <f t="shared" ca="1" si="1219"/>
        <v>798900.84780333738</v>
      </c>
      <c r="AR1228" s="2">
        <f t="shared" ca="1" si="1220"/>
        <v>896671.56688687147</v>
      </c>
      <c r="AS1228" s="2">
        <f t="shared" ca="1" si="1221"/>
        <v>975189.38510756684</v>
      </c>
      <c r="AT1228" s="2">
        <f t="shared" ca="1" si="1222"/>
        <v>1058003.0394304993</v>
      </c>
      <c r="AU1228" s="2">
        <f t="shared" ca="1" si="1223"/>
        <v>1145347.5619571134</v>
      </c>
      <c r="AV1228" s="2">
        <f t="shared" ca="1" si="1224"/>
        <v>2273794.7206710367</v>
      </c>
      <c r="AW1228" s="2">
        <f t="shared" ca="1" si="1225"/>
        <v>2525150.5628175964</v>
      </c>
      <c r="AX1228" s="2">
        <f t="shared" ca="1" si="1226"/>
        <v>2747151.8084779349</v>
      </c>
      <c r="AY1228" s="2">
        <f t="shared" ca="1" si="1227"/>
        <v>2981299.0992966942</v>
      </c>
      <c r="AZ1228" s="2">
        <f t="shared" ca="1" si="1228"/>
        <v>3228256.9649369936</v>
      </c>
      <c r="BA1228" s="2">
        <f t="shared" ca="1" si="1229"/>
        <v>63473813.814386554</v>
      </c>
      <c r="BB1228" s="2">
        <f t="shared" ca="1" si="1230"/>
        <v>1269476.276287731</v>
      </c>
      <c r="BC1228" s="2">
        <f t="shared" ca="1" si="1231"/>
        <v>39193646.415819041</v>
      </c>
      <c r="BD1228" s="2">
        <f t="shared" ca="1" si="1232"/>
        <v>-16799239.544948179</v>
      </c>
      <c r="BE1228" s="2">
        <f t="shared" ca="1" si="1233"/>
        <v>2273794.7206710367</v>
      </c>
      <c r="BF1228" s="2">
        <f t="shared" ca="1" si="1234"/>
        <v>2525150.5628175964</v>
      </c>
      <c r="BG1228" s="2">
        <f t="shared" ca="1" si="1235"/>
        <v>2747151.8084779349</v>
      </c>
      <c r="BH1228" s="2">
        <f t="shared" ca="1" si="1236"/>
        <v>2981299.0992966942</v>
      </c>
      <c r="BI1228" s="2">
        <f t="shared" ca="1" si="1237"/>
        <v>42421903.380756035</v>
      </c>
      <c r="BJ1228" s="2">
        <f t="shared" ca="1" si="1238"/>
        <v>0.30306949886924794</v>
      </c>
      <c r="BK1228" s="2">
        <f t="shared" ca="1" si="1239"/>
        <v>15165334.000061698</v>
      </c>
    </row>
    <row r="1229" spans="1:63" x14ac:dyDescent="0.3">
      <c r="A1229" s="2">
        <v>1228</v>
      </c>
      <c r="B1229" s="2">
        <f t="shared" ca="1" si="1178"/>
        <v>0.65892499316006248</v>
      </c>
      <c r="C1229" s="2">
        <f t="shared" ca="1" si="1179"/>
        <v>7.1740762664265691</v>
      </c>
      <c r="D1229" s="2">
        <f t="shared" ca="1" si="1180"/>
        <v>0.47048934709064971</v>
      </c>
      <c r="E1229" s="2">
        <f t="shared" ca="1" si="1181"/>
        <v>7.4700405631628506</v>
      </c>
      <c r="F1229" s="2">
        <f t="shared" ca="1" si="1182"/>
        <v>0.634252661982038</v>
      </c>
      <c r="G1229" s="2">
        <f t="shared" ca="1" si="1183"/>
        <v>5.029413875320507E-2</v>
      </c>
      <c r="H1229" s="2">
        <f t="shared" ca="1" si="1184"/>
        <v>5.029413875320507E-2</v>
      </c>
      <c r="I1229" s="2">
        <f t="shared" ca="1" si="1185"/>
        <v>0.98994418590650135</v>
      </c>
      <c r="J1229" s="2">
        <f t="shared" ca="1" si="1186"/>
        <v>2.1621293940173914E-2</v>
      </c>
      <c r="K1229" s="2">
        <f t="shared" ca="1" si="1187"/>
        <v>2.1621293940173914E-2</v>
      </c>
      <c r="L1229" s="2">
        <f t="shared" ca="1" si="1188"/>
        <v>0.66845152873465674</v>
      </c>
      <c r="M1229" s="2">
        <f t="shared" ca="1" si="1189"/>
        <v>8.7128276126609578E-3</v>
      </c>
      <c r="N1229" s="2">
        <f t="shared" ca="1" si="1190"/>
        <v>8.7128276126609578E-3</v>
      </c>
      <c r="O1229" s="2">
        <f t="shared" si="1191"/>
        <v>6000000</v>
      </c>
      <c r="P1229" s="2">
        <f t="shared" ca="1" si="1192"/>
        <v>43044457.598559417</v>
      </c>
      <c r="Q1229" s="2">
        <f t="shared" ca="1" si="1193"/>
        <v>1076111.4399639855</v>
      </c>
      <c r="R1229" s="2">
        <f t="shared" ca="1" si="1194"/>
        <v>25826674.559135649</v>
      </c>
      <c r="S1229" s="2">
        <f t="shared" ca="1" si="1195"/>
        <v>17217783.039423767</v>
      </c>
      <c r="T1229" s="2">
        <f t="shared" ca="1" si="1196"/>
        <v>50435641.380633049</v>
      </c>
      <c r="U1229" s="2">
        <f t="shared" ca="1" si="1197"/>
        <v>52972258.526337497</v>
      </c>
      <c r="V1229" s="2">
        <f t="shared" ca="1" si="1198"/>
        <v>55636452.646731764</v>
      </c>
      <c r="W1229" s="2">
        <f t="shared" ca="1" si="1199"/>
        <v>58434640.115882613</v>
      </c>
      <c r="X1229" s="2">
        <f t="shared" ca="1" si="1200"/>
        <v>61373560.013864413</v>
      </c>
      <c r="Y1229" s="2">
        <f t="shared" ca="1" si="1201"/>
        <v>0.13081064697008696</v>
      </c>
      <c r="Z1229" s="2">
        <f t="shared" ca="1" si="1202"/>
        <v>0.13513490575812173</v>
      </c>
      <c r="AA1229" s="2">
        <f t="shared" ca="1" si="1203"/>
        <v>6597518.879351899</v>
      </c>
      <c r="AB1229" s="2">
        <f t="shared" ca="1" si="1204"/>
        <v>7158401.1637514783</v>
      </c>
      <c r="AC1229" s="2">
        <f t="shared" ca="1" si="1205"/>
        <v>7518426.7851322992</v>
      </c>
      <c r="AD1229" s="2">
        <f t="shared" ca="1" si="1206"/>
        <v>7896559.5850695567</v>
      </c>
      <c r="AE1229" s="2">
        <f t="shared" ca="1" si="1207"/>
        <v>8293710.2485139957</v>
      </c>
      <c r="AF1229" s="2">
        <f t="shared" ca="1" si="1208"/>
        <v>1008712.8276126609</v>
      </c>
      <c r="AG1229" s="2">
        <f t="shared" ca="1" si="1209"/>
        <v>1059445.1705267499</v>
      </c>
      <c r="AH1229" s="2">
        <f t="shared" ca="1" si="1210"/>
        <v>1112729.0529346352</v>
      </c>
      <c r="AI1229" s="2">
        <f t="shared" ca="1" si="1211"/>
        <v>1168692.8023176524</v>
      </c>
      <c r="AJ1229" s="2">
        <f t="shared" ca="1" si="1212"/>
        <v>1227471.2002772882</v>
      </c>
      <c r="AK1229" s="2">
        <f t="shared" ca="1" si="1213"/>
        <v>0</v>
      </c>
      <c r="AL1229" s="2">
        <f t="shared" ca="1" si="1214"/>
        <v>25366.171457044482</v>
      </c>
      <c r="AM1229" s="2">
        <f t="shared" ca="1" si="1215"/>
        <v>26641.941203942672</v>
      </c>
      <c r="AN1229" s="2">
        <f t="shared" ca="1" si="1216"/>
        <v>27981.874691508488</v>
      </c>
      <c r="AO1229" s="2">
        <f t="shared" ca="1" si="1217"/>
        <v>29389.198979818</v>
      </c>
      <c r="AP1229" s="2">
        <f t="shared" ca="1" si="1218"/>
        <v>2324400.7103222082</v>
      </c>
      <c r="AQ1229" s="2">
        <f t="shared" ca="1" si="1219"/>
        <v>848745.38876842777</v>
      </c>
      <c r="AR1229" s="2">
        <f t="shared" ca="1" si="1220"/>
        <v>981384.37355465535</v>
      </c>
      <c r="AS1229" s="2">
        <f t="shared" ca="1" si="1221"/>
        <v>1061137.2256876184</v>
      </c>
      <c r="AT1229" s="2">
        <f t="shared" ca="1" si="1222"/>
        <v>1144901.178831721</v>
      </c>
      <c r="AU1229" s="2">
        <f t="shared" ca="1" si="1223"/>
        <v>1232877.9678577697</v>
      </c>
      <c r="AV1229" s="2">
        <f t="shared" ca="1" si="1224"/>
        <v>2415659.952648602</v>
      </c>
      <c r="AW1229" s="2">
        <f t="shared" ca="1" si="1225"/>
        <v>2767804.7378908205</v>
      </c>
      <c r="AX1229" s="2">
        <f t="shared" ca="1" si="1226"/>
        <v>2993517.8549838946</v>
      </c>
      <c r="AY1229" s="2">
        <f t="shared" ca="1" si="1227"/>
        <v>3230583.0189064671</v>
      </c>
      <c r="AZ1229" s="2">
        <f t="shared" ca="1" si="1228"/>
        <v>3479571.171076911</v>
      </c>
      <c r="BA1229" s="2">
        <f t="shared" ca="1" si="1229"/>
        <v>61954351.975518994</v>
      </c>
      <c r="BB1229" s="2">
        <f t="shared" ca="1" si="1230"/>
        <v>1239087.03951038</v>
      </c>
      <c r="BC1229" s="2">
        <f t="shared" ca="1" si="1231"/>
        <v>34888590.376872964</v>
      </c>
      <c r="BD1229" s="2">
        <f t="shared" ca="1" si="1232"/>
        <v>-18793894.479387753</v>
      </c>
      <c r="BE1229" s="2">
        <f t="shared" ca="1" si="1233"/>
        <v>2415659.952648602</v>
      </c>
      <c r="BF1229" s="2">
        <f t="shared" ca="1" si="1234"/>
        <v>2767804.7378908205</v>
      </c>
      <c r="BG1229" s="2">
        <f t="shared" ca="1" si="1235"/>
        <v>2993517.8549838946</v>
      </c>
      <c r="BH1229" s="2">
        <f t="shared" ca="1" si="1236"/>
        <v>3230583.0189064671</v>
      </c>
      <c r="BI1229" s="2">
        <f t="shared" ca="1" si="1237"/>
        <v>38368161.547949873</v>
      </c>
      <c r="BJ1229" s="2">
        <f t="shared" ca="1" si="1238"/>
        <v>0.25547401886633359</v>
      </c>
      <c r="BK1229" s="2">
        <f t="shared" ca="1" si="1239"/>
        <v>11524367.815165244</v>
      </c>
    </row>
    <row r="1230" spans="1:63" x14ac:dyDescent="0.3">
      <c r="A1230" s="2">
        <v>1229</v>
      </c>
      <c r="B1230" s="2">
        <f t="shared" ca="1" si="1178"/>
        <v>0.33815771825365126</v>
      </c>
      <c r="C1230" s="2">
        <f t="shared" ca="1" si="1179"/>
        <v>6.8223839957752723</v>
      </c>
      <c r="D1230" s="2">
        <f t="shared" ca="1" si="1180"/>
        <v>0.87620212775278716</v>
      </c>
      <c r="E1230" s="2">
        <f t="shared" ca="1" si="1181"/>
        <v>8.0024100639136417</v>
      </c>
      <c r="F1230" s="2">
        <f t="shared" ca="1" si="1182"/>
        <v>0.63764756072859785</v>
      </c>
      <c r="G1230" s="2">
        <f t="shared" ca="1" si="1183"/>
        <v>5.0565335851311413E-2</v>
      </c>
      <c r="H1230" s="2">
        <f t="shared" ca="1" si="1184"/>
        <v>5.0565335851311413E-2</v>
      </c>
      <c r="I1230" s="2">
        <f t="shared" ca="1" si="1185"/>
        <v>0.43928789275265956</v>
      </c>
      <c r="J1230" s="2">
        <f t="shared" ca="1" si="1186"/>
        <v>9.2361254572877662E-3</v>
      </c>
      <c r="K1230" s="2">
        <f t="shared" ca="1" si="1187"/>
        <v>9.2361254572877662E-3</v>
      </c>
      <c r="L1230" s="2">
        <f t="shared" ca="1" si="1188"/>
        <v>0.72232231008639614</v>
      </c>
      <c r="M1230" s="2">
        <f t="shared" ca="1" si="1189"/>
        <v>1.1795086160599726E-2</v>
      </c>
      <c r="N1230" s="2">
        <f t="shared" ca="1" si="1190"/>
        <v>1.1795086160599726E-2</v>
      </c>
      <c r="O1230" s="2">
        <f t="shared" si="1191"/>
        <v>6000000</v>
      </c>
      <c r="P1230" s="2">
        <f t="shared" ca="1" si="1192"/>
        <v>40934303.974651635</v>
      </c>
      <c r="Q1230" s="2">
        <f t="shared" ca="1" si="1193"/>
        <v>1023357.599366291</v>
      </c>
      <c r="R1230" s="2">
        <f t="shared" ca="1" si="1194"/>
        <v>24560582.384790979</v>
      </c>
      <c r="S1230" s="2">
        <f t="shared" ca="1" si="1195"/>
        <v>16373721.589860655</v>
      </c>
      <c r="T1230" s="2">
        <f t="shared" ca="1" si="1196"/>
        <v>50589754.308029987</v>
      </c>
      <c r="U1230" s="2">
        <f t="shared" ca="1" si="1197"/>
        <v>53147842.225250848</v>
      </c>
      <c r="V1230" s="2">
        <f t="shared" ca="1" si="1198"/>
        <v>55835280.717143163</v>
      </c>
      <c r="W1230" s="2">
        <f t="shared" ca="1" si="1199"/>
        <v>58658610.438957758</v>
      </c>
      <c r="X1230" s="2">
        <f t="shared" ca="1" si="1200"/>
        <v>61624702.776374899</v>
      </c>
      <c r="Y1230" s="2">
        <f t="shared" ca="1" si="1201"/>
        <v>0.12461806272864388</v>
      </c>
      <c r="Z1230" s="2">
        <f t="shared" ca="1" si="1202"/>
        <v>0.12646528782010144</v>
      </c>
      <c r="AA1230" s="2">
        <f t="shared" ca="1" si="1203"/>
        <v>6304397.1757847629</v>
      </c>
      <c r="AB1230" s="2">
        <f t="shared" ca="1" si="1204"/>
        <v>6721357.1640336895</v>
      </c>
      <c r="AC1230" s="2">
        <f t="shared" ca="1" si="1205"/>
        <v>7061224.8464096701</v>
      </c>
      <c r="AD1230" s="2">
        <f t="shared" ca="1" si="1206"/>
        <v>7418278.05229</v>
      </c>
      <c r="AE1230" s="2">
        <f t="shared" ca="1" si="1207"/>
        <v>7793385.7734424556</v>
      </c>
      <c r="AF1230" s="2">
        <f t="shared" ca="1" si="1208"/>
        <v>1011795.0861605997</v>
      </c>
      <c r="AG1230" s="2">
        <f t="shared" ca="1" si="1209"/>
        <v>1062956.8445050169</v>
      </c>
      <c r="AH1230" s="2">
        <f t="shared" ca="1" si="1210"/>
        <v>1116705.6143428632</v>
      </c>
      <c r="AI1230" s="2">
        <f t="shared" ca="1" si="1211"/>
        <v>1173172.2087791553</v>
      </c>
      <c r="AJ1230" s="2">
        <f t="shared" ca="1" si="1212"/>
        <v>1232494.055527498</v>
      </c>
      <c r="AK1230" s="2">
        <f t="shared" ca="1" si="1213"/>
        <v>0</v>
      </c>
      <c r="AL1230" s="2">
        <f t="shared" ca="1" si="1214"/>
        <v>25580.879172208606</v>
      </c>
      <c r="AM1230" s="2">
        <f t="shared" ca="1" si="1215"/>
        <v>26874.384918923155</v>
      </c>
      <c r="AN1230" s="2">
        <f t="shared" ca="1" si="1216"/>
        <v>28233.297218145952</v>
      </c>
      <c r="AO1230" s="2">
        <f t="shared" ca="1" si="1217"/>
        <v>29660.923374171405</v>
      </c>
      <c r="AP1230" s="2">
        <f t="shared" ca="1" si="1218"/>
        <v>2210452.4146311879</v>
      </c>
      <c r="AQ1230" s="2">
        <f t="shared" ca="1" si="1219"/>
        <v>801358.91549817345</v>
      </c>
      <c r="AR1230" s="2">
        <f t="shared" ca="1" si="1220"/>
        <v>896466.45527334616</v>
      </c>
      <c r="AS1230" s="2">
        <f t="shared" ca="1" si="1221"/>
        <v>970857.37253326084</v>
      </c>
      <c r="AT1230" s="2">
        <f t="shared" ca="1" si="1222"/>
        <v>1049009.8915087108</v>
      </c>
      <c r="AU1230" s="2">
        <f t="shared" ca="1" si="1223"/>
        <v>1131114.2188537801</v>
      </c>
      <c r="AV1230" s="2">
        <f t="shared" ca="1" si="1224"/>
        <v>2280790.7594948011</v>
      </c>
      <c r="AW1230" s="2">
        <f t="shared" ca="1" si="1225"/>
        <v>2525900.5704519302</v>
      </c>
      <c r="AX1230" s="2">
        <f t="shared" ca="1" si="1226"/>
        <v>2736335.0599834342</v>
      </c>
      <c r="AY1230" s="2">
        <f t="shared" ca="1" si="1227"/>
        <v>2957410.2401528005</v>
      </c>
      <c r="AZ1230" s="2">
        <f t="shared" ca="1" si="1228"/>
        <v>3189664.1610558182</v>
      </c>
      <c r="BA1230" s="2">
        <f t="shared" ca="1" si="1229"/>
        <v>62365868.745357305</v>
      </c>
      <c r="BB1230" s="2">
        <f t="shared" ca="1" si="1230"/>
        <v>1247317.3749071462</v>
      </c>
      <c r="BC1230" s="2">
        <f t="shared" ca="1" si="1231"/>
        <v>36557968.985659182</v>
      </c>
      <c r="BD1230" s="2">
        <f t="shared" ca="1" si="1232"/>
        <v>-17897079.189226948</v>
      </c>
      <c r="BE1230" s="2">
        <f t="shared" ca="1" si="1233"/>
        <v>2280790.7594948011</v>
      </c>
      <c r="BF1230" s="2">
        <f t="shared" ca="1" si="1234"/>
        <v>2525900.5704519302</v>
      </c>
      <c r="BG1230" s="2">
        <f t="shared" ca="1" si="1235"/>
        <v>2736335.0599834342</v>
      </c>
      <c r="BH1230" s="2">
        <f t="shared" ca="1" si="1236"/>
        <v>2957410.2401528005</v>
      </c>
      <c r="BI1230" s="2">
        <f t="shared" ca="1" si="1237"/>
        <v>39747633.146715</v>
      </c>
      <c r="BJ1230" s="2">
        <f t="shared" ca="1" si="1238"/>
        <v>0.26945417292262674</v>
      </c>
      <c r="BK1230" s="2">
        <f t="shared" ca="1" si="1239"/>
        <v>12534005.020486537</v>
      </c>
    </row>
    <row r="1231" spans="1:63" x14ac:dyDescent="0.3">
      <c r="A1231" s="2">
        <v>1230</v>
      </c>
      <c r="B1231" s="2">
        <f t="shared" ca="1" si="1178"/>
        <v>0.35161260179198517</v>
      </c>
      <c r="C1231" s="2">
        <f t="shared" ca="1" si="1179"/>
        <v>6.8385852393072337</v>
      </c>
      <c r="D1231" s="2">
        <f t="shared" ca="1" si="1180"/>
        <v>0.18104840795266863</v>
      </c>
      <c r="E1231" s="2">
        <f t="shared" ca="1" si="1181"/>
        <v>7.1017448096206044</v>
      </c>
      <c r="F1231" s="2">
        <f t="shared" ca="1" si="1182"/>
        <v>6.6739699703316724E-2</v>
      </c>
      <c r="G1231" s="2">
        <f t="shared" ca="1" si="1183"/>
        <v>-5.0156414193455665E-3</v>
      </c>
      <c r="H1231" s="2">
        <f t="shared" ca="1" si="1184"/>
        <v>-5.0156414193455665E-3</v>
      </c>
      <c r="I1231" s="2">
        <f t="shared" ca="1" si="1185"/>
        <v>0.714782550500903</v>
      </c>
      <c r="J1231" s="2">
        <f t="shared" ca="1" si="1186"/>
        <v>1.2837055582573151E-2</v>
      </c>
      <c r="K1231" s="2">
        <f t="shared" ca="1" si="1187"/>
        <v>1.2837055582573151E-2</v>
      </c>
      <c r="L1231" s="2">
        <f t="shared" ca="1" si="1188"/>
        <v>0.99920707953405163</v>
      </c>
      <c r="M1231" s="2">
        <f t="shared" ca="1" si="1189"/>
        <v>6.3169971186249327E-2</v>
      </c>
      <c r="N1231" s="2">
        <f t="shared" ca="1" si="1190"/>
        <v>0.05</v>
      </c>
      <c r="O1231" s="2">
        <f t="shared" si="1191"/>
        <v>6000000</v>
      </c>
      <c r="P1231" s="2">
        <f t="shared" ca="1" si="1192"/>
        <v>41031511.435843401</v>
      </c>
      <c r="Q1231" s="2">
        <f t="shared" ca="1" si="1193"/>
        <v>1025787.7858960851</v>
      </c>
      <c r="R1231" s="2">
        <f t="shared" ca="1" si="1194"/>
        <v>24618906.861506041</v>
      </c>
      <c r="S1231" s="2">
        <f t="shared" ca="1" si="1195"/>
        <v>16412604.574337361</v>
      </c>
      <c r="T1231" s="2">
        <f t="shared" ca="1" si="1196"/>
        <v>52500000</v>
      </c>
      <c r="U1231" s="2">
        <f t="shared" ca="1" si="1197"/>
        <v>52236678.825484358</v>
      </c>
      <c r="V1231" s="2">
        <f t="shared" ca="1" si="1198"/>
        <v>51974678.375558212</v>
      </c>
      <c r="W1231" s="2">
        <f t="shared" ca="1" si="1199"/>
        <v>51713992.025940605</v>
      </c>
      <c r="X1231" s="2">
        <f t="shared" ca="1" si="1200"/>
        <v>51454613.18557559</v>
      </c>
      <c r="Y1231" s="2">
        <f t="shared" ca="1" si="1201"/>
        <v>0.12641852779128657</v>
      </c>
      <c r="Z1231" s="2">
        <f t="shared" ca="1" si="1202"/>
        <v>0.12898593890780119</v>
      </c>
      <c r="AA1231" s="2">
        <f t="shared" ca="1" si="1203"/>
        <v>6636972.7090425445</v>
      </c>
      <c r="AB1231" s="2">
        <f t="shared" ca="1" si="1204"/>
        <v>6737797.0637303572</v>
      </c>
      <c r="AC1231" s="2">
        <f t="shared" ca="1" si="1205"/>
        <v>6704002.6897023674</v>
      </c>
      <c r="AD1231" s="2">
        <f t="shared" ca="1" si="1206"/>
        <v>6670377.8161364924</v>
      </c>
      <c r="AE1231" s="2">
        <f t="shared" ca="1" si="1207"/>
        <v>6636921.5928791948</v>
      </c>
      <c r="AF1231" s="2">
        <f t="shared" ca="1" si="1208"/>
        <v>1050000</v>
      </c>
      <c r="AG1231" s="2">
        <f t="shared" ca="1" si="1209"/>
        <v>1044733.5765096872</v>
      </c>
      <c r="AH1231" s="2">
        <f t="shared" ca="1" si="1210"/>
        <v>1039493.5675111642</v>
      </c>
      <c r="AI1231" s="2">
        <f t="shared" ca="1" si="1211"/>
        <v>1034279.8405188121</v>
      </c>
      <c r="AJ1231" s="2">
        <f t="shared" ca="1" si="1212"/>
        <v>1029092.2637115119</v>
      </c>
      <c r="AK1231" s="2">
        <f t="shared" ca="1" si="1213"/>
        <v>0</v>
      </c>
      <c r="AL1231" s="2">
        <f t="shared" ca="1" si="1214"/>
        <v>0</v>
      </c>
      <c r="AM1231" s="2">
        <f t="shared" ca="1" si="1215"/>
        <v>0</v>
      </c>
      <c r="AN1231" s="2">
        <f t="shared" ca="1" si="1216"/>
        <v>0</v>
      </c>
      <c r="AO1231" s="2">
        <f t="shared" ca="1" si="1217"/>
        <v>0</v>
      </c>
      <c r="AP1231" s="2">
        <f t="shared" ca="1" si="1218"/>
        <v>2215701.6175355436</v>
      </c>
      <c r="AQ1231" s="2">
        <f t="shared" ca="1" si="1219"/>
        <v>876530.48379182024</v>
      </c>
      <c r="AR1231" s="2">
        <f t="shared" ca="1" si="1220"/>
        <v>904114.08611813292</v>
      </c>
      <c r="AS1231" s="2">
        <f t="shared" ca="1" si="1221"/>
        <v>896689.95121047145</v>
      </c>
      <c r="AT1231" s="2">
        <f t="shared" ca="1" si="1222"/>
        <v>889303.05310135568</v>
      </c>
      <c r="AU1231" s="2">
        <f t="shared" ca="1" si="1223"/>
        <v>881953.20502435614</v>
      </c>
      <c r="AV1231" s="2">
        <f t="shared" ca="1" si="1224"/>
        <v>2494740.6077151811</v>
      </c>
      <c r="AW1231" s="2">
        <f t="shared" ca="1" si="1225"/>
        <v>2573247.7835669937</v>
      </c>
      <c r="AX1231" s="2">
        <f t="shared" ca="1" si="1226"/>
        <v>2552117.5534451874</v>
      </c>
      <c r="AY1231" s="2">
        <f t="shared" ca="1" si="1227"/>
        <v>2531093.3049807819</v>
      </c>
      <c r="AZ1231" s="2">
        <f t="shared" ca="1" si="1228"/>
        <v>2510174.506607783</v>
      </c>
      <c r="BA1231" s="2">
        <f t="shared" ca="1" si="1229"/>
        <v>47133723.474088736</v>
      </c>
      <c r="BB1231" s="2">
        <f t="shared" ca="1" si="1230"/>
        <v>942674.46948177472</v>
      </c>
      <c r="BC1231" s="2">
        <f t="shared" ca="1" si="1231"/>
        <v>21572142.143100921</v>
      </c>
      <c r="BD1231" s="2">
        <f t="shared" ca="1" si="1232"/>
        <v>-17938392.360233445</v>
      </c>
      <c r="BE1231" s="2">
        <f t="shared" ca="1" si="1233"/>
        <v>2494740.6077151811</v>
      </c>
      <c r="BF1231" s="2">
        <f t="shared" ca="1" si="1234"/>
        <v>2573247.7835669937</v>
      </c>
      <c r="BG1231" s="2">
        <f t="shared" ca="1" si="1235"/>
        <v>2552117.5534451874</v>
      </c>
      <c r="BH1231" s="2">
        <f t="shared" ca="1" si="1236"/>
        <v>2531093.3049807819</v>
      </c>
      <c r="BI1231" s="2">
        <f t="shared" ca="1" si="1237"/>
        <v>24082316.649708703</v>
      </c>
      <c r="BJ1231" s="2">
        <f t="shared" ca="1" si="1238"/>
        <v>0.1700338729701576</v>
      </c>
      <c r="BK1231" s="2">
        <f t="shared" ca="1" si="1239"/>
        <v>3430487.6224709339</v>
      </c>
    </row>
    <row r="1232" spans="1:63" x14ac:dyDescent="0.3">
      <c r="A1232" s="2">
        <v>1231</v>
      </c>
      <c r="B1232" s="2">
        <f t="shared" ca="1" si="1178"/>
        <v>1.0162685074480038E-2</v>
      </c>
      <c r="C1232" s="2">
        <f t="shared" ca="1" si="1179"/>
        <v>6.1425670724570018</v>
      </c>
      <c r="D1232" s="2">
        <f t="shared" ca="1" si="1180"/>
        <v>0.19015764808793278</v>
      </c>
      <c r="E1232" s="2">
        <f t="shared" ca="1" si="1181"/>
        <v>7.1166970862391565</v>
      </c>
      <c r="F1232" s="2">
        <f t="shared" ca="1" si="1182"/>
        <v>0.16445222508066537</v>
      </c>
      <c r="G1232" s="2">
        <f t="shared" ca="1" si="1183"/>
        <v>1.0710311482154795E-2</v>
      </c>
      <c r="H1232" s="2">
        <f t="shared" ca="1" si="1184"/>
        <v>1.0710311482154795E-2</v>
      </c>
      <c r="I1232" s="2">
        <f t="shared" ca="1" si="1185"/>
        <v>0.77758879695904681</v>
      </c>
      <c r="J1232" s="2">
        <f t="shared" ca="1" si="1186"/>
        <v>1.3820376203013351E-2</v>
      </c>
      <c r="K1232" s="2">
        <f t="shared" ca="1" si="1187"/>
        <v>1.3820376203013351E-2</v>
      </c>
      <c r="L1232" s="2">
        <f t="shared" ca="1" si="1188"/>
        <v>0.34826084038950744</v>
      </c>
      <c r="M1232" s="2">
        <f t="shared" ca="1" si="1189"/>
        <v>-7.8004020853168574E-3</v>
      </c>
      <c r="N1232" s="2">
        <f t="shared" ca="1" si="1190"/>
        <v>-7.8004020853168574E-3</v>
      </c>
      <c r="O1232" s="2">
        <f t="shared" si="1191"/>
        <v>6000000</v>
      </c>
      <c r="P1232" s="2">
        <f t="shared" ca="1" si="1192"/>
        <v>36855402.434742011</v>
      </c>
      <c r="Q1232" s="2">
        <f t="shared" ca="1" si="1193"/>
        <v>921385.06086855032</v>
      </c>
      <c r="R1232" s="2">
        <f t="shared" ca="1" si="1194"/>
        <v>22113241.460845206</v>
      </c>
      <c r="S1232" s="2">
        <f t="shared" ca="1" si="1195"/>
        <v>14742160.973896805</v>
      </c>
      <c r="T1232" s="2">
        <f t="shared" ca="1" si="1196"/>
        <v>49609979.895734161</v>
      </c>
      <c r="U1232" s="2">
        <f t="shared" ca="1" si="1197"/>
        <v>50141318.233040906</v>
      </c>
      <c r="V1232" s="2">
        <f t="shared" ca="1" si="1198"/>
        <v>50678347.369442619</v>
      </c>
      <c r="W1232" s="2">
        <f t="shared" ca="1" si="1199"/>
        <v>51221128.255170189</v>
      </c>
      <c r="X1232" s="2">
        <f t="shared" ca="1" si="1200"/>
        <v>51769722.493250459</v>
      </c>
      <c r="Y1232" s="2">
        <f t="shared" ca="1" si="1201"/>
        <v>0.12691018810150667</v>
      </c>
      <c r="Z1232" s="2">
        <f t="shared" ca="1" si="1202"/>
        <v>0.12967426334210935</v>
      </c>
      <c r="AA1232" s="2">
        <f t="shared" ca="1" si="1203"/>
        <v>6296011.8802795867</v>
      </c>
      <c r="AB1232" s="2">
        <f t="shared" ca="1" si="1204"/>
        <v>6502038.5048718555</v>
      </c>
      <c r="AC1232" s="2">
        <f t="shared" ca="1" si="1205"/>
        <v>6571677.3625279972</v>
      </c>
      <c r="AD1232" s="2">
        <f t="shared" ca="1" si="1206"/>
        <v>6642062.0740408972</v>
      </c>
      <c r="AE1232" s="2">
        <f t="shared" ca="1" si="1207"/>
        <v>6713200.6277376823</v>
      </c>
      <c r="AF1232" s="2">
        <f t="shared" ca="1" si="1208"/>
        <v>992199.59791468328</v>
      </c>
      <c r="AG1232" s="2">
        <f t="shared" ca="1" si="1209"/>
        <v>1002826.3646608181</v>
      </c>
      <c r="AH1232" s="2">
        <f t="shared" ca="1" si="1210"/>
        <v>1013566.9473888524</v>
      </c>
      <c r="AI1232" s="2">
        <f t="shared" ca="1" si="1211"/>
        <v>1024422.5651034038</v>
      </c>
      <c r="AJ1232" s="2">
        <f t="shared" ca="1" si="1212"/>
        <v>1035394.4498650092</v>
      </c>
      <c r="AK1232" s="2">
        <f t="shared" ca="1" si="1213"/>
        <v>0</v>
      </c>
      <c r="AL1232" s="2">
        <f t="shared" ca="1" si="1214"/>
        <v>5313.3833730674532</v>
      </c>
      <c r="AM1232" s="2">
        <f t="shared" ca="1" si="1215"/>
        <v>5370.2913640171291</v>
      </c>
      <c r="AN1232" s="2">
        <f t="shared" ca="1" si="1216"/>
        <v>5427.8088572756951</v>
      </c>
      <c r="AO1232" s="2">
        <f t="shared" ca="1" si="1217"/>
        <v>5485.9423808027059</v>
      </c>
      <c r="AP1232" s="2">
        <f t="shared" ca="1" si="1218"/>
        <v>1990191.7314760685</v>
      </c>
      <c r="AQ1232" s="2">
        <f t="shared" ca="1" si="1219"/>
        <v>861541.34323109698</v>
      </c>
      <c r="AR1232" s="2">
        <f t="shared" ca="1" si="1220"/>
        <v>912345.30627109192</v>
      </c>
      <c r="AS1232" s="2">
        <f t="shared" ca="1" si="1221"/>
        <v>927658.85775239998</v>
      </c>
      <c r="AT1232" s="2">
        <f t="shared" ca="1" si="1222"/>
        <v>943136.42213997035</v>
      </c>
      <c r="AU1232" s="2">
        <f t="shared" ca="1" si="1223"/>
        <v>958779.75606311706</v>
      </c>
      <c r="AV1232" s="2">
        <f t="shared" ca="1" si="1224"/>
        <v>2452079.2076577377</v>
      </c>
      <c r="AW1232" s="2">
        <f t="shared" ca="1" si="1225"/>
        <v>2591361.7190908091</v>
      </c>
      <c r="AX1232" s="2">
        <f t="shared" ca="1" si="1226"/>
        <v>2634889.5345466603</v>
      </c>
      <c r="AY1232" s="2">
        <f t="shared" ca="1" si="1227"/>
        <v>2678883.5464641778</v>
      </c>
      <c r="AZ1232" s="2">
        <f t="shared" ca="1" si="1228"/>
        <v>2723348.7479526848</v>
      </c>
      <c r="BA1232" s="2">
        <f t="shared" ca="1" si="1229"/>
        <v>47775815.34675964</v>
      </c>
      <c r="BB1232" s="2">
        <f t="shared" ca="1" si="1230"/>
        <v>955516.30693519278</v>
      </c>
      <c r="BC1232" s="2">
        <f t="shared" ca="1" si="1231"/>
        <v>24707057.578979243</v>
      </c>
      <c r="BD1232" s="2">
        <f t="shared" ca="1" si="1232"/>
        <v>-16163546.034765355</v>
      </c>
      <c r="BE1232" s="2">
        <f t="shared" ca="1" si="1233"/>
        <v>2452079.2076577377</v>
      </c>
      <c r="BF1232" s="2">
        <f t="shared" ca="1" si="1234"/>
        <v>2591361.7190908091</v>
      </c>
      <c r="BG1232" s="2">
        <f t="shared" ca="1" si="1235"/>
        <v>2634889.5345466603</v>
      </c>
      <c r="BH1232" s="2">
        <f t="shared" ca="1" si="1236"/>
        <v>2678883.5464641778</v>
      </c>
      <c r="BI1232" s="2">
        <f t="shared" ca="1" si="1237"/>
        <v>27430406.326931927</v>
      </c>
      <c r="BJ1232" s="2">
        <f t="shared" ca="1" si="1238"/>
        <v>0.22752735161949889</v>
      </c>
      <c r="BK1232" s="2">
        <f t="shared" ca="1" si="1239"/>
        <v>7234318.5603769869</v>
      </c>
    </row>
    <row r="1233" spans="1:63" x14ac:dyDescent="0.3">
      <c r="A1233" s="2">
        <v>1232</v>
      </c>
      <c r="B1233" s="2">
        <f t="shared" ca="1" si="1178"/>
        <v>0.15777261664960729</v>
      </c>
      <c r="C1233" s="2">
        <f t="shared" ca="1" si="1179"/>
        <v>6.5617341304382482</v>
      </c>
      <c r="D1233" s="2">
        <f t="shared" ca="1" si="1180"/>
        <v>0.80361731367928901</v>
      </c>
      <c r="E1233" s="2">
        <f t="shared" ca="1" si="1181"/>
        <v>7.8732900410545383</v>
      </c>
      <c r="F1233" s="2">
        <f t="shared" ca="1" si="1182"/>
        <v>6.0571285895744453E-2</v>
      </c>
      <c r="G1233" s="2">
        <f t="shared" ca="1" si="1183"/>
        <v>-6.4998680369265371E-3</v>
      </c>
      <c r="H1233" s="2">
        <f t="shared" ca="1" si="1184"/>
        <v>-6.4998680369265371E-3</v>
      </c>
      <c r="I1233" s="2">
        <f t="shared" ca="1" si="1185"/>
        <v>0.78872697446657225</v>
      </c>
      <c r="J1233" s="2">
        <f t="shared" ca="1" si="1186"/>
        <v>1.4010059703902868E-2</v>
      </c>
      <c r="K1233" s="2">
        <f t="shared" ca="1" si="1187"/>
        <v>1.4010059703902868E-2</v>
      </c>
      <c r="L1233" s="2">
        <f t="shared" ca="1" si="1188"/>
        <v>0.6847860950710204</v>
      </c>
      <c r="M1233" s="2">
        <f t="shared" ca="1" si="1189"/>
        <v>9.622495809684212E-3</v>
      </c>
      <c r="N1233" s="2">
        <f t="shared" ca="1" si="1190"/>
        <v>9.622495809684212E-3</v>
      </c>
      <c r="O1233" s="2">
        <f t="shared" si="1191"/>
        <v>6000000</v>
      </c>
      <c r="P1233" s="2">
        <f t="shared" ca="1" si="1192"/>
        <v>39370404.78262949</v>
      </c>
      <c r="Q1233" s="2">
        <f t="shared" ca="1" si="1193"/>
        <v>984260.11956573732</v>
      </c>
      <c r="R1233" s="2">
        <f t="shared" ca="1" si="1194"/>
        <v>23622242.869577695</v>
      </c>
      <c r="S1233" s="2">
        <f t="shared" ca="1" si="1195"/>
        <v>15748161.913051797</v>
      </c>
      <c r="T1233" s="2">
        <f t="shared" ca="1" si="1196"/>
        <v>50481124.790484212</v>
      </c>
      <c r="U1233" s="2">
        <f t="shared" ca="1" si="1197"/>
        <v>50153004.140990444</v>
      </c>
      <c r="V1233" s="2">
        <f t="shared" ca="1" si="1198"/>
        <v>49827016.232418574</v>
      </c>
      <c r="W1233" s="2">
        <f t="shared" ca="1" si="1199"/>
        <v>49503147.202234052</v>
      </c>
      <c r="X1233" s="2">
        <f t="shared" ca="1" si="1200"/>
        <v>49181383.278006978</v>
      </c>
      <c r="Y1233" s="2">
        <f t="shared" ca="1" si="1201"/>
        <v>0.12700502985195142</v>
      </c>
      <c r="Z1233" s="2">
        <f t="shared" ca="1" si="1202"/>
        <v>0.129807041792732</v>
      </c>
      <c r="AA1233" s="2">
        <f t="shared" ca="1" si="1203"/>
        <v>6411356.7609755322</v>
      </c>
      <c r="AB1233" s="2">
        <f t="shared" ca="1" si="1204"/>
        <v>6510213.104560608</v>
      </c>
      <c r="AC1233" s="2">
        <f t="shared" ca="1" si="1205"/>
        <v>6467897.5784886936</v>
      </c>
      <c r="AD1233" s="2">
        <f t="shared" ca="1" si="1206"/>
        <v>6425857.0977521604</v>
      </c>
      <c r="AE1233" s="2">
        <f t="shared" ca="1" si="1207"/>
        <v>6384089.8745926227</v>
      </c>
      <c r="AF1233" s="2">
        <f t="shared" ca="1" si="1208"/>
        <v>1009622.4958096843</v>
      </c>
      <c r="AG1233" s="2">
        <f t="shared" ca="1" si="1209"/>
        <v>1003060.0828198089</v>
      </c>
      <c r="AH1233" s="2">
        <f t="shared" ca="1" si="1210"/>
        <v>996540.32464837155</v>
      </c>
      <c r="AI1233" s="2">
        <f t="shared" ca="1" si="1211"/>
        <v>990062.94404468103</v>
      </c>
      <c r="AJ1233" s="2">
        <f t="shared" ca="1" si="1212"/>
        <v>983627.66556013958</v>
      </c>
      <c r="AK1233" s="2">
        <f t="shared" ca="1" si="1213"/>
        <v>0</v>
      </c>
      <c r="AL1233" s="2">
        <f t="shared" ca="1" si="1214"/>
        <v>0</v>
      </c>
      <c r="AM1233" s="2">
        <f t="shared" ca="1" si="1215"/>
        <v>0</v>
      </c>
      <c r="AN1233" s="2">
        <f t="shared" ca="1" si="1216"/>
        <v>0</v>
      </c>
      <c r="AO1233" s="2">
        <f t="shared" ca="1" si="1217"/>
        <v>0</v>
      </c>
      <c r="AP1233" s="2">
        <f t="shared" ca="1" si="1218"/>
        <v>2126001.8582619922</v>
      </c>
      <c r="AQ1233" s="2">
        <f t="shared" ca="1" si="1219"/>
        <v>851690.42579500249</v>
      </c>
      <c r="AR1233" s="2">
        <f t="shared" ca="1" si="1220"/>
        <v>879099.30250448978</v>
      </c>
      <c r="AS1233" s="2">
        <f t="shared" ca="1" si="1221"/>
        <v>869792.40285036573</v>
      </c>
      <c r="AT1233" s="2">
        <f t="shared" ca="1" si="1222"/>
        <v>860545.99681582663</v>
      </c>
      <c r="AU1233" s="2">
        <f t="shared" ca="1" si="1223"/>
        <v>851359.69120032771</v>
      </c>
      <c r="AV1233" s="2">
        <f t="shared" ca="1" si="1224"/>
        <v>2424041.9811088527</v>
      </c>
      <c r="AW1233" s="2">
        <f t="shared" ca="1" si="1225"/>
        <v>2502051.8609743165</v>
      </c>
      <c r="AX1233" s="2">
        <f t="shared" ca="1" si="1226"/>
        <v>2475562.9927279642</v>
      </c>
      <c r="AY1233" s="2">
        <f t="shared" ca="1" si="1227"/>
        <v>2449246.2986296602</v>
      </c>
      <c r="AZ1233" s="2">
        <f t="shared" ca="1" si="1228"/>
        <v>2423100.6595701631</v>
      </c>
      <c r="BA1233" s="2">
        <f t="shared" ca="1" si="1229"/>
        <v>50263791.230827212</v>
      </c>
      <c r="BB1233" s="2">
        <f t="shared" ca="1" si="1230"/>
        <v>1005275.8246165443</v>
      </c>
      <c r="BC1233" s="2">
        <f t="shared" ca="1" si="1231"/>
        <v>25636272.536632974</v>
      </c>
      <c r="BD1233" s="2">
        <f t="shared" ca="1" si="1232"/>
        <v>-17232422.032617532</v>
      </c>
      <c r="BE1233" s="2">
        <f t="shared" ca="1" si="1233"/>
        <v>2424041.9811088527</v>
      </c>
      <c r="BF1233" s="2">
        <f t="shared" ca="1" si="1234"/>
        <v>2502051.8609743165</v>
      </c>
      <c r="BG1233" s="2">
        <f t="shared" ca="1" si="1235"/>
        <v>2475562.9927279642</v>
      </c>
      <c r="BH1233" s="2">
        <f t="shared" ca="1" si="1236"/>
        <v>2449246.2986296602</v>
      </c>
      <c r="BI1233" s="2">
        <f t="shared" ca="1" si="1237"/>
        <v>28059373.196203135</v>
      </c>
      <c r="BJ1233" s="2">
        <f t="shared" ca="1" si="1238"/>
        <v>0.20714659565874571</v>
      </c>
      <c r="BK1233" s="2">
        <f t="shared" ca="1" si="1239"/>
        <v>6166760.6375281177</v>
      </c>
    </row>
    <row r="1234" spans="1:63" x14ac:dyDescent="0.3">
      <c r="A1234" s="2">
        <v>1233</v>
      </c>
      <c r="B1234" s="2">
        <f t="shared" ca="1" si="1178"/>
        <v>0.47976687041287736</v>
      </c>
      <c r="C1234" s="2">
        <f t="shared" ca="1" si="1179"/>
        <v>6.9795579313270633</v>
      </c>
      <c r="D1234" s="2">
        <f t="shared" ca="1" si="1180"/>
        <v>7.5034214860014714E-3</v>
      </c>
      <c r="E1234" s="2">
        <f t="shared" ca="1" si="1181"/>
        <v>6.6225024202699805</v>
      </c>
      <c r="F1234" s="2">
        <f t="shared" ca="1" si="1182"/>
        <v>0.28989009529727106</v>
      </c>
      <c r="G1234" s="2">
        <f t="shared" ca="1" si="1183"/>
        <v>2.3388825357749152E-2</v>
      </c>
      <c r="H1234" s="2">
        <f t="shared" ca="1" si="1184"/>
        <v>2.3388825357749152E-2</v>
      </c>
      <c r="I1234" s="2">
        <f t="shared" ca="1" si="1185"/>
        <v>0.74564893665656373</v>
      </c>
      <c r="J1234" s="2">
        <f t="shared" ca="1" si="1186"/>
        <v>1.3304299794007979E-2</v>
      </c>
      <c r="K1234" s="2">
        <f t="shared" ca="1" si="1187"/>
        <v>1.3304299794007979E-2</v>
      </c>
      <c r="L1234" s="2">
        <f t="shared" ca="1" si="1188"/>
        <v>0.43377881377972805</v>
      </c>
      <c r="M1234" s="2">
        <f t="shared" ca="1" si="1189"/>
        <v>-3.3352321708645539E-3</v>
      </c>
      <c r="N1234" s="2">
        <f t="shared" ca="1" si="1190"/>
        <v>-3.3352321708645539E-3</v>
      </c>
      <c r="O1234" s="2">
        <f t="shared" si="1191"/>
        <v>6000000</v>
      </c>
      <c r="P1234" s="2">
        <f t="shared" ca="1" si="1192"/>
        <v>41877347.587962382</v>
      </c>
      <c r="Q1234" s="2">
        <f t="shared" ca="1" si="1193"/>
        <v>1046933.6896990596</v>
      </c>
      <c r="R1234" s="2">
        <f t="shared" ca="1" si="1194"/>
        <v>25126408.552777428</v>
      </c>
      <c r="S1234" s="2">
        <f t="shared" ca="1" si="1195"/>
        <v>16750939.035184953</v>
      </c>
      <c r="T1234" s="2">
        <f t="shared" ca="1" si="1196"/>
        <v>49833238.391456775</v>
      </c>
      <c r="U1234" s="2">
        <f t="shared" ca="1" si="1197"/>
        <v>50998779.301205643</v>
      </c>
      <c r="V1234" s="2">
        <f t="shared" ca="1" si="1198"/>
        <v>52191580.843739934</v>
      </c>
      <c r="W1234" s="2">
        <f t="shared" ca="1" si="1199"/>
        <v>53412280.61323902</v>
      </c>
      <c r="X1234" s="2">
        <f t="shared" ca="1" si="1200"/>
        <v>54661531.116461165</v>
      </c>
      <c r="Y1234" s="2">
        <f t="shared" ca="1" si="1201"/>
        <v>0.12665214989700399</v>
      </c>
      <c r="Z1234" s="2">
        <f t="shared" ca="1" si="1202"/>
        <v>0.12931300985580557</v>
      </c>
      <c r="AA1234" s="2">
        <f t="shared" ca="1" si="1203"/>
        <v>6311486.7786079179</v>
      </c>
      <c r="AB1234" s="2">
        <f t="shared" ca="1" si="1204"/>
        <v>6594805.650410858</v>
      </c>
      <c r="AC1234" s="2">
        <f t="shared" ca="1" si="1205"/>
        <v>6749050.4080366157</v>
      </c>
      <c r="AD1234" s="2">
        <f t="shared" ca="1" si="1206"/>
        <v>6906902.7693608301</v>
      </c>
      <c r="AE1234" s="2">
        <f t="shared" ca="1" si="1207"/>
        <v>7068447.1119963657</v>
      </c>
      <c r="AF1234" s="2">
        <f t="shared" ca="1" si="1208"/>
        <v>996664.76782913553</v>
      </c>
      <c r="AG1234" s="2">
        <f t="shared" ca="1" si="1209"/>
        <v>1019975.5860241129</v>
      </c>
      <c r="AH1234" s="2">
        <f t="shared" ca="1" si="1210"/>
        <v>1043831.6168747987</v>
      </c>
      <c r="AI1234" s="2">
        <f t="shared" ca="1" si="1211"/>
        <v>1068245.6122647803</v>
      </c>
      <c r="AJ1234" s="2">
        <f t="shared" ca="1" si="1212"/>
        <v>1093230.6223292234</v>
      </c>
      <c r="AK1234" s="2">
        <f t="shared" ca="1" si="1213"/>
        <v>0</v>
      </c>
      <c r="AL1234" s="2">
        <f t="shared" ca="1" si="1214"/>
        <v>11655.409097488671</v>
      </c>
      <c r="AM1234" s="2">
        <f t="shared" ca="1" si="1215"/>
        <v>11928.015425342917</v>
      </c>
      <c r="AN1234" s="2">
        <f t="shared" ca="1" si="1216"/>
        <v>12206.997694990858</v>
      </c>
      <c r="AO1234" s="2">
        <f t="shared" ca="1" si="1217"/>
        <v>12492.505032221452</v>
      </c>
      <c r="AP1234" s="2">
        <f t="shared" ca="1" si="1218"/>
        <v>2261376.7697499683</v>
      </c>
      <c r="AQ1234" s="2">
        <f t="shared" ca="1" si="1219"/>
        <v>793895.7626674918</v>
      </c>
      <c r="AR1234" s="2">
        <f t="shared" ca="1" si="1220"/>
        <v>861497.85660556192</v>
      </c>
      <c r="AS1234" s="2">
        <f t="shared" ca="1" si="1221"/>
        <v>895398.92556708062</v>
      </c>
      <c r="AT1234" s="2">
        <f t="shared" ca="1" si="1222"/>
        <v>930092.90070998122</v>
      </c>
      <c r="AU1234" s="2">
        <f t="shared" ca="1" si="1223"/>
        <v>965598.32717846509</v>
      </c>
      <c r="AV1234" s="2">
        <f t="shared" ca="1" si="1224"/>
        <v>2259549.4783613225</v>
      </c>
      <c r="AW1234" s="2">
        <f t="shared" ca="1" si="1225"/>
        <v>2440300.0289337253</v>
      </c>
      <c r="AX1234" s="2">
        <f t="shared" ca="1" si="1226"/>
        <v>2536515.0804194249</v>
      </c>
      <c r="AY1234" s="2">
        <f t="shared" ca="1" si="1227"/>
        <v>2634980.4889411097</v>
      </c>
      <c r="AZ1234" s="2">
        <f t="shared" ca="1" si="1228"/>
        <v>2735748.8877064865</v>
      </c>
      <c r="BA1234" s="2">
        <f t="shared" ca="1" si="1229"/>
        <v>46810808.106746286</v>
      </c>
      <c r="BB1234" s="2">
        <f t="shared" ca="1" si="1230"/>
        <v>936216.16213492572</v>
      </c>
      <c r="BC1234" s="2">
        <f t="shared" ca="1" si="1231"/>
        <v>20748183.391833931</v>
      </c>
      <c r="BD1234" s="2">
        <f t="shared" ca="1" si="1232"/>
        <v>-18297872.724884015</v>
      </c>
      <c r="BE1234" s="2">
        <f t="shared" ca="1" si="1233"/>
        <v>2259549.4783613225</v>
      </c>
      <c r="BF1234" s="2">
        <f t="shared" ca="1" si="1234"/>
        <v>2440300.0289337253</v>
      </c>
      <c r="BG1234" s="2">
        <f t="shared" ca="1" si="1235"/>
        <v>2536515.0804194249</v>
      </c>
      <c r="BH1234" s="2">
        <f t="shared" ca="1" si="1236"/>
        <v>2634980.4889411097</v>
      </c>
      <c r="BI1234" s="2">
        <f t="shared" ca="1" si="1237"/>
        <v>23483932.27954042</v>
      </c>
      <c r="BJ1234" s="2">
        <f t="shared" ca="1" si="1238"/>
        <v>0.15562424521073748</v>
      </c>
      <c r="BK1234" s="2">
        <f t="shared" ca="1" si="1239"/>
        <v>2470407.3317411691</v>
      </c>
    </row>
    <row r="1235" spans="1:63" x14ac:dyDescent="0.3">
      <c r="A1235" s="2">
        <v>1234</v>
      </c>
      <c r="B1235" s="2">
        <f t="shared" ca="1" si="1178"/>
        <v>3.951306415151723E-2</v>
      </c>
      <c r="C1235" s="2">
        <f t="shared" ca="1" si="1179"/>
        <v>6.281115862773758</v>
      </c>
      <c r="D1235" s="2">
        <f t="shared" ca="1" si="1180"/>
        <v>0.56881063681368205</v>
      </c>
      <c r="E1235" s="2">
        <f t="shared" ca="1" si="1181"/>
        <v>7.5713565127711089</v>
      </c>
      <c r="F1235" s="2">
        <f t="shared" ca="1" si="1182"/>
        <v>0.32316530457831749</v>
      </c>
      <c r="G1235" s="2">
        <f t="shared" ca="1" si="1183"/>
        <v>2.6234028910988305E-2</v>
      </c>
      <c r="H1235" s="2">
        <f t="shared" ca="1" si="1184"/>
        <v>2.6234028910988305E-2</v>
      </c>
      <c r="I1235" s="2">
        <f t="shared" ca="1" si="1185"/>
        <v>0.76668998691877632</v>
      </c>
      <c r="J1235" s="2">
        <f t="shared" ca="1" si="1186"/>
        <v>1.3639947399492047E-2</v>
      </c>
      <c r="K1235" s="2">
        <f t="shared" ca="1" si="1187"/>
        <v>1.3639947399492047E-2</v>
      </c>
      <c r="L1235" s="2">
        <f t="shared" ca="1" si="1188"/>
        <v>0.91402654347660517</v>
      </c>
      <c r="M1235" s="2">
        <f t="shared" ca="1" si="1189"/>
        <v>2.7319493455042136E-2</v>
      </c>
      <c r="N1235" s="2">
        <f t="shared" ca="1" si="1190"/>
        <v>2.7319493455042136E-2</v>
      </c>
      <c r="O1235" s="2">
        <f t="shared" si="1191"/>
        <v>6000000</v>
      </c>
      <c r="P1235" s="2">
        <f t="shared" ca="1" si="1192"/>
        <v>37686695.176642545</v>
      </c>
      <c r="Q1235" s="2">
        <f t="shared" ca="1" si="1193"/>
        <v>942167.37941606366</v>
      </c>
      <c r="R1235" s="2">
        <f t="shared" ca="1" si="1194"/>
        <v>22612017.105985526</v>
      </c>
      <c r="S1235" s="2">
        <f t="shared" ca="1" si="1195"/>
        <v>15074678.070657019</v>
      </c>
      <c r="T1235" s="2">
        <f t="shared" ca="1" si="1196"/>
        <v>51365974.672752105</v>
      </c>
      <c r="U1235" s="2">
        <f t="shared" ca="1" si="1197"/>
        <v>52713511.137358181</v>
      </c>
      <c r="V1235" s="2">
        <f t="shared" ca="1" si="1198"/>
        <v>54096398.91253534</v>
      </c>
      <c r="W1235" s="2">
        <f t="shared" ca="1" si="1199"/>
        <v>55515565.405587152</v>
      </c>
      <c r="X1235" s="2">
        <f t="shared" ca="1" si="1200"/>
        <v>56971962.353447191</v>
      </c>
      <c r="Y1235" s="2">
        <f t="shared" ca="1" si="1201"/>
        <v>0.12681997369974601</v>
      </c>
      <c r="Z1235" s="2">
        <f t="shared" ca="1" si="1202"/>
        <v>0.12954796317964443</v>
      </c>
      <c r="AA1235" s="2">
        <f t="shared" ca="1" si="1203"/>
        <v>6514231.5570602417</v>
      </c>
      <c r="AB1235" s="2">
        <f t="shared" ca="1" si="1204"/>
        <v>6828927.9998922544</v>
      </c>
      <c r="AC1235" s="2">
        <f t="shared" ca="1" si="1205"/>
        <v>7008078.2944724848</v>
      </c>
      <c r="AD1235" s="2">
        <f t="shared" ca="1" si="1206"/>
        <v>7191928.4230601462</v>
      </c>
      <c r="AE1235" s="2">
        <f t="shared" ca="1" si="1207"/>
        <v>7380601.6812364655</v>
      </c>
      <c r="AF1235" s="2">
        <f t="shared" ca="1" si="1208"/>
        <v>1027319.4934550421</v>
      </c>
      <c r="AG1235" s="2">
        <f t="shared" ca="1" si="1209"/>
        <v>1054270.2227471636</v>
      </c>
      <c r="AH1235" s="2">
        <f t="shared" ca="1" si="1210"/>
        <v>1081927.9782507068</v>
      </c>
      <c r="AI1235" s="2">
        <f t="shared" ca="1" si="1211"/>
        <v>1110311.3081117431</v>
      </c>
      <c r="AJ1235" s="2">
        <f t="shared" ca="1" si="1212"/>
        <v>1139439.2470689439</v>
      </c>
      <c r="AK1235" s="2">
        <f t="shared" ca="1" si="1213"/>
        <v>0</v>
      </c>
      <c r="AL1235" s="2">
        <f t="shared" ca="1" si="1214"/>
        <v>13475.364646060765</v>
      </c>
      <c r="AM1235" s="2">
        <f t="shared" ca="1" si="1215"/>
        <v>13828.877751771584</v>
      </c>
      <c r="AN1235" s="2">
        <f t="shared" ca="1" si="1216"/>
        <v>14191.66493051812</v>
      </c>
      <c r="AO1235" s="2">
        <f t="shared" ca="1" si="1217"/>
        <v>14563.969478600398</v>
      </c>
      <c r="AP1235" s="2">
        <f t="shared" ca="1" si="1218"/>
        <v>2035081.5395386973</v>
      </c>
      <c r="AQ1235" s="2">
        <f t="shared" ca="1" si="1219"/>
        <v>897475.93625729065</v>
      </c>
      <c r="AR1235" s="2">
        <f t="shared" ca="1" si="1220"/>
        <v>972289.82177766226</v>
      </c>
      <c r="AS1235" s="2">
        <f t="shared" ca="1" si="1221"/>
        <v>1011677.881937601</v>
      </c>
      <c r="AT1235" s="2">
        <f t="shared" ca="1" si="1222"/>
        <v>1052099.2496065234</v>
      </c>
      <c r="AU1235" s="2">
        <f t="shared" ca="1" si="1223"/>
        <v>1093581.0326034941</v>
      </c>
      <c r="AV1235" s="2">
        <f t="shared" ca="1" si="1224"/>
        <v>2554354.5878092116</v>
      </c>
      <c r="AW1235" s="2">
        <f t="shared" ca="1" si="1225"/>
        <v>2753811.0511826705</v>
      </c>
      <c r="AX1235" s="2">
        <f t="shared" ca="1" si="1226"/>
        <v>2865562.0169937089</v>
      </c>
      <c r="AY1235" s="2">
        <f t="shared" ca="1" si="1227"/>
        <v>2980244.6608726643</v>
      </c>
      <c r="AZ1235" s="2">
        <f t="shared" ca="1" si="1228"/>
        <v>3097935.8925467292</v>
      </c>
      <c r="BA1235" s="2">
        <f t="shared" ca="1" si="1229"/>
        <v>55881166.607399106</v>
      </c>
      <c r="BB1235" s="2">
        <f t="shared" ca="1" si="1230"/>
        <v>1117623.3321479822</v>
      </c>
      <c r="BC1235" s="2">
        <f t="shared" ca="1" si="1231"/>
        <v>32151526.169265598</v>
      </c>
      <c r="BD1235" s="2">
        <f t="shared" ca="1" si="1232"/>
        <v>-16516845.450073082</v>
      </c>
      <c r="BE1235" s="2">
        <f t="shared" ca="1" si="1233"/>
        <v>2554354.5878092116</v>
      </c>
      <c r="BF1235" s="2">
        <f t="shared" ca="1" si="1234"/>
        <v>2753811.0511826705</v>
      </c>
      <c r="BG1235" s="2">
        <f t="shared" ca="1" si="1235"/>
        <v>2865562.0169937089</v>
      </c>
      <c r="BH1235" s="2">
        <f t="shared" ca="1" si="1236"/>
        <v>2980244.6608726643</v>
      </c>
      <c r="BI1235" s="2">
        <f t="shared" ca="1" si="1237"/>
        <v>35249462.061812326</v>
      </c>
      <c r="BJ1235" s="2">
        <f t="shared" ca="1" si="1238"/>
        <v>0.27794976183083797</v>
      </c>
      <c r="BK1235" s="2">
        <f t="shared" ca="1" si="1239"/>
        <v>11894290.825118203</v>
      </c>
    </row>
    <row r="1236" spans="1:63" x14ac:dyDescent="0.3">
      <c r="A1236" s="2">
        <v>1235</v>
      </c>
      <c r="B1236" s="2">
        <f t="shared" ca="1" si="1178"/>
        <v>0.48183449396461198</v>
      </c>
      <c r="C1236" s="2">
        <f t="shared" ca="1" si="1179"/>
        <v>6.9816664341461534</v>
      </c>
      <c r="D1236" s="2">
        <f t="shared" ca="1" si="1180"/>
        <v>0.92157696383595666</v>
      </c>
      <c r="E1236" s="2">
        <f t="shared" ca="1" si="1181"/>
        <v>8.1039620317089707</v>
      </c>
      <c r="F1236" s="2">
        <f t="shared" ca="1" si="1182"/>
        <v>0.84591668233797135</v>
      </c>
      <c r="G1236" s="2">
        <f t="shared" ca="1" si="1183"/>
        <v>7.0572295911454266E-2</v>
      </c>
      <c r="H1236" s="2">
        <f t="shared" ca="1" si="1184"/>
        <v>7.0572295911454266E-2</v>
      </c>
      <c r="I1236" s="2">
        <f t="shared" ca="1" si="1185"/>
        <v>0.92218565335794023</v>
      </c>
      <c r="J1236" s="2">
        <f t="shared" ca="1" si="1186"/>
        <v>1.7099639142652202E-2</v>
      </c>
      <c r="K1236" s="2">
        <f t="shared" ca="1" si="1187"/>
        <v>1.7099639142652202E-2</v>
      </c>
      <c r="L1236" s="2">
        <f t="shared" ca="1" si="1188"/>
        <v>0.84412303876471739</v>
      </c>
      <c r="M1236" s="2">
        <f t="shared" ca="1" si="1189"/>
        <v>2.0230972423663202E-2</v>
      </c>
      <c r="N1236" s="2">
        <f t="shared" ca="1" si="1190"/>
        <v>2.0230972423663202E-2</v>
      </c>
      <c r="O1236" s="2">
        <f t="shared" si="1191"/>
        <v>6000000</v>
      </c>
      <c r="P1236" s="2">
        <f t="shared" ca="1" si="1192"/>
        <v>41889998.604876921</v>
      </c>
      <c r="Q1236" s="2">
        <f t="shared" ca="1" si="1193"/>
        <v>1047249.965121923</v>
      </c>
      <c r="R1236" s="2">
        <f t="shared" ca="1" si="1194"/>
        <v>25133999.162926152</v>
      </c>
      <c r="S1236" s="2">
        <f t="shared" ca="1" si="1195"/>
        <v>16755999.441950768</v>
      </c>
      <c r="T1236" s="2">
        <f t="shared" ca="1" si="1196"/>
        <v>51011548.621183157</v>
      </c>
      <c r="U1236" s="2">
        <f t="shared" ca="1" si="1197"/>
        <v>54611550.725378834</v>
      </c>
      <c r="V1236" s="2">
        <f t="shared" ca="1" si="1198"/>
        <v>58465613.243353665</v>
      </c>
      <c r="W1236" s="2">
        <f t="shared" ca="1" si="1199"/>
        <v>62591665.80180826</v>
      </c>
      <c r="X1236" s="2">
        <f t="shared" ca="1" si="1200"/>
        <v>67008903.362364329</v>
      </c>
      <c r="Y1236" s="2">
        <f t="shared" ca="1" si="1201"/>
        <v>0.12854981957132611</v>
      </c>
      <c r="Z1236" s="2">
        <f t="shared" ca="1" si="1202"/>
        <v>0.13196974739985654</v>
      </c>
      <c r="AA1236" s="2">
        <f t="shared" ca="1" si="1203"/>
        <v>6557525.3713070238</v>
      </c>
      <c r="AB1236" s="2">
        <f t="shared" ca="1" si="1204"/>
        <v>7207072.5543426964</v>
      </c>
      <c r="AC1236" s="2">
        <f t="shared" ca="1" si="1205"/>
        <v>7715692.2113030897</v>
      </c>
      <c r="AD1236" s="2">
        <f t="shared" ca="1" si="1206"/>
        <v>8260206.3252008753</v>
      </c>
      <c r="AE1236" s="2">
        <f t="shared" ca="1" si="1207"/>
        <v>8843148.0502726175</v>
      </c>
      <c r="AF1236" s="2">
        <f t="shared" ca="1" si="1208"/>
        <v>1020230.9724236631</v>
      </c>
      <c r="AG1236" s="2">
        <f t="shared" ca="1" si="1209"/>
        <v>1092231.0145075766</v>
      </c>
      <c r="AH1236" s="2">
        <f t="shared" ca="1" si="1210"/>
        <v>1169312.2648670734</v>
      </c>
      <c r="AI1236" s="2">
        <f t="shared" ca="1" si="1211"/>
        <v>1251833.3160361652</v>
      </c>
      <c r="AJ1236" s="2">
        <f t="shared" ca="1" si="1212"/>
        <v>1340178.0672472867</v>
      </c>
      <c r="AK1236" s="2">
        <f t="shared" ca="1" si="1213"/>
        <v>0</v>
      </c>
      <c r="AL1236" s="2">
        <f t="shared" ca="1" si="1214"/>
        <v>36000.021041956767</v>
      </c>
      <c r="AM1236" s="2">
        <f t="shared" ca="1" si="1215"/>
        <v>38540.625179748313</v>
      </c>
      <c r="AN1236" s="2">
        <f t="shared" ca="1" si="1216"/>
        <v>41260.525584545954</v>
      </c>
      <c r="AO1236" s="2">
        <f t="shared" ca="1" si="1217"/>
        <v>44172.375605560694</v>
      </c>
      <c r="AP1236" s="2">
        <f t="shared" ca="1" si="1218"/>
        <v>2262059.9246633537</v>
      </c>
      <c r="AQ1236" s="2">
        <f t="shared" ca="1" si="1219"/>
        <v>851560.96329720179</v>
      </c>
      <c r="AR1236" s="2">
        <f t="shared" ca="1" si="1220"/>
        <v>1001723.2199446592</v>
      </c>
      <c r="AS1236" s="2">
        <f t="shared" ca="1" si="1221"/>
        <v>1113923.2056608922</v>
      </c>
      <c r="AT1236" s="2">
        <f t="shared" ca="1" si="1222"/>
        <v>1234041.4019703525</v>
      </c>
      <c r="AU1236" s="2">
        <f t="shared" ca="1" si="1223"/>
        <v>1362636.6151741142</v>
      </c>
      <c r="AV1236" s="2">
        <f t="shared" ca="1" si="1224"/>
        <v>2423673.5109228045</v>
      </c>
      <c r="AW1236" s="2">
        <f t="shared" ca="1" si="1225"/>
        <v>2815058.3741851505</v>
      </c>
      <c r="AX1236" s="2">
        <f t="shared" ca="1" si="1226"/>
        <v>3131856.1909320224</v>
      </c>
      <c r="AY1236" s="2">
        <f t="shared" ca="1" si="1227"/>
        <v>3471011.1569464579</v>
      </c>
      <c r="AZ1236" s="2">
        <f t="shared" ca="1" si="1228"/>
        <v>3834101.0675823018</v>
      </c>
      <c r="BA1236" s="2">
        <f t="shared" ca="1" si="1229"/>
        <v>71664536.040190503</v>
      </c>
      <c r="BB1236" s="2">
        <f t="shared" ca="1" si="1230"/>
        <v>1433290.7208038101</v>
      </c>
      <c r="BC1236" s="2">
        <f t="shared" ca="1" si="1231"/>
        <v>45097246.156460539</v>
      </c>
      <c r="BD1236" s="2">
        <f t="shared" ca="1" si="1232"/>
        <v>-18303249.407072693</v>
      </c>
      <c r="BE1236" s="2">
        <f t="shared" ca="1" si="1233"/>
        <v>2423673.5109228045</v>
      </c>
      <c r="BF1236" s="2">
        <f t="shared" ca="1" si="1234"/>
        <v>2815058.3741851505</v>
      </c>
      <c r="BG1236" s="2">
        <f t="shared" ca="1" si="1235"/>
        <v>3131856.1909320224</v>
      </c>
      <c r="BH1236" s="2">
        <f t="shared" ca="1" si="1236"/>
        <v>3471011.1569464579</v>
      </c>
      <c r="BI1236" s="2">
        <f t="shared" ca="1" si="1237"/>
        <v>48931347.22404284</v>
      </c>
      <c r="BJ1236" s="2">
        <f t="shared" ca="1" si="1238"/>
        <v>0.31760327375862607</v>
      </c>
      <c r="BK1236" s="2">
        <f t="shared" ca="1" si="1239"/>
        <v>18304936.317653053</v>
      </c>
    </row>
    <row r="1237" spans="1:63" x14ac:dyDescent="0.3">
      <c r="A1237" s="2">
        <v>1236</v>
      </c>
      <c r="B1237" s="2">
        <f t="shared" ca="1" si="1178"/>
        <v>0.31738692754549636</v>
      </c>
      <c r="C1237" s="2">
        <f t="shared" ca="1" si="1179"/>
        <v>6.7967269639537706</v>
      </c>
      <c r="D1237" s="2">
        <f t="shared" ca="1" si="1180"/>
        <v>0.77484140590552064</v>
      </c>
      <c r="E1237" s="2">
        <f t="shared" ca="1" si="1181"/>
        <v>7.8289432302785711</v>
      </c>
      <c r="F1237" s="2">
        <f t="shared" ca="1" si="1182"/>
        <v>0.67916037278064378</v>
      </c>
      <c r="G1237" s="2">
        <f t="shared" ca="1" si="1183"/>
        <v>5.3960566185270967E-2</v>
      </c>
      <c r="H1237" s="2">
        <f t="shared" ca="1" si="1184"/>
        <v>5.3960566185270967E-2</v>
      </c>
      <c r="I1237" s="2">
        <f t="shared" ca="1" si="1185"/>
        <v>0.96396772961721411</v>
      </c>
      <c r="J1237" s="2">
        <f t="shared" ca="1" si="1186"/>
        <v>1.8993550804998448E-2</v>
      </c>
      <c r="K1237" s="2">
        <f t="shared" ca="1" si="1187"/>
        <v>1.8993550804998448E-2</v>
      </c>
      <c r="L1237" s="2">
        <f t="shared" ca="1" si="1188"/>
        <v>0.10106305264260496</v>
      </c>
      <c r="M1237" s="2">
        <f t="shared" ca="1" si="1189"/>
        <v>-2.5510351627284426E-2</v>
      </c>
      <c r="N1237" s="2">
        <f t="shared" ca="1" si="1190"/>
        <v>-2.5510351627284426E-2</v>
      </c>
      <c r="O1237" s="2">
        <f t="shared" si="1191"/>
        <v>6000000</v>
      </c>
      <c r="P1237" s="2">
        <f t="shared" ca="1" si="1192"/>
        <v>40780361.783722624</v>
      </c>
      <c r="Q1237" s="2">
        <f t="shared" ca="1" si="1193"/>
        <v>1019509.0445930656</v>
      </c>
      <c r="R1237" s="2">
        <f t="shared" ca="1" si="1194"/>
        <v>24468217.070233572</v>
      </c>
      <c r="S1237" s="2">
        <f t="shared" ca="1" si="1195"/>
        <v>16312144.71348905</v>
      </c>
      <c r="T1237" s="2">
        <f t="shared" ca="1" si="1196"/>
        <v>48724482.418635778</v>
      </c>
      <c r="U1237" s="2">
        <f t="shared" ca="1" si="1197"/>
        <v>51353683.077029645</v>
      </c>
      <c r="V1237" s="2">
        <f t="shared" ca="1" si="1198"/>
        <v>54124756.891565129</v>
      </c>
      <c r="W1237" s="2">
        <f t="shared" ca="1" si="1199"/>
        <v>57045359.418074124</v>
      </c>
      <c r="X1237" s="2">
        <f t="shared" ca="1" si="1200"/>
        <v>60123559.310515679</v>
      </c>
      <c r="Y1237" s="2">
        <f t="shared" ca="1" si="1201"/>
        <v>0.12949677540249921</v>
      </c>
      <c r="Z1237" s="2">
        <f t="shared" ca="1" si="1202"/>
        <v>0.13329548556349891</v>
      </c>
      <c r="AA1237" s="2">
        <f t="shared" ca="1" si="1203"/>
        <v>6309663.3563690986</v>
      </c>
      <c r="AB1237" s="2">
        <f t="shared" ca="1" si="1204"/>
        <v>6845214.1212267028</v>
      </c>
      <c r="AC1237" s="2">
        <f t="shared" ca="1" si="1205"/>
        <v>7214585.7508675074</v>
      </c>
      <c r="AD1237" s="2">
        <f t="shared" ca="1" si="1206"/>
        <v>7603888.8827765053</v>
      </c>
      <c r="AE1237" s="2">
        <f t="shared" ca="1" si="1207"/>
        <v>8014199.0321010128</v>
      </c>
      <c r="AF1237" s="2">
        <f t="shared" ca="1" si="1208"/>
        <v>974489.64837271557</v>
      </c>
      <c r="AG1237" s="2">
        <f t="shared" ca="1" si="1209"/>
        <v>1027073.6615405929</v>
      </c>
      <c r="AH1237" s="2">
        <f t="shared" ca="1" si="1210"/>
        <v>1082495.1378313026</v>
      </c>
      <c r="AI1237" s="2">
        <f t="shared" ca="1" si="1211"/>
        <v>1140907.1883614825</v>
      </c>
      <c r="AJ1237" s="2">
        <f t="shared" ca="1" si="1212"/>
        <v>1202471.1862103136</v>
      </c>
      <c r="AK1237" s="2">
        <f t="shared" ca="1" si="1213"/>
        <v>0</v>
      </c>
      <c r="AL1237" s="2">
        <f t="shared" ca="1" si="1214"/>
        <v>26292.006583938673</v>
      </c>
      <c r="AM1237" s="2">
        <f t="shared" ca="1" si="1215"/>
        <v>27710.738145354837</v>
      </c>
      <c r="AN1237" s="2">
        <f t="shared" ca="1" si="1216"/>
        <v>29206.025265089946</v>
      </c>
      <c r="AO1237" s="2">
        <f t="shared" ca="1" si="1217"/>
        <v>30781.998924415559</v>
      </c>
      <c r="AP1237" s="2">
        <f t="shared" ca="1" si="1218"/>
        <v>2202139.5363210216</v>
      </c>
      <c r="AQ1237" s="2">
        <f t="shared" ca="1" si="1219"/>
        <v>814588.88463559409</v>
      </c>
      <c r="AR1237" s="2">
        <f t="shared" ca="1" si="1220"/>
        <v>940160.24007492291</v>
      </c>
      <c r="AS1237" s="2">
        <f t="shared" ca="1" si="1221"/>
        <v>1021787.2799459477</v>
      </c>
      <c r="AT1237" s="2">
        <f t="shared" ca="1" si="1222"/>
        <v>1107818.9611044403</v>
      </c>
      <c r="AU1237" s="2">
        <f t="shared" ca="1" si="1223"/>
        <v>1198492.9604881161</v>
      </c>
      <c r="AV1237" s="2">
        <f t="shared" ca="1" si="1224"/>
        <v>2318445.287039768</v>
      </c>
      <c r="AW1237" s="2">
        <f t="shared" ca="1" si="1225"/>
        <v>2649548.6767062265</v>
      </c>
      <c r="AX1237" s="2">
        <f t="shared" ca="1" si="1226"/>
        <v>2880453.0586238801</v>
      </c>
      <c r="AY1237" s="2">
        <f t="shared" ca="1" si="1227"/>
        <v>3123817.1717244703</v>
      </c>
      <c r="AZ1237" s="2">
        <f t="shared" ca="1" si="1228"/>
        <v>3380313.3501571454</v>
      </c>
      <c r="BA1237" s="2">
        <f t="shared" ca="1" si="1229"/>
        <v>62742709.258472301</v>
      </c>
      <c r="BB1237" s="2">
        <f t="shared" ca="1" si="1230"/>
        <v>1254854.185169446</v>
      </c>
      <c r="BC1237" s="2">
        <f t="shared" ca="1" si="1231"/>
        <v>37019638.003069282</v>
      </c>
      <c r="BD1237" s="2">
        <f t="shared" ca="1" si="1232"/>
        <v>-17831653.758082114</v>
      </c>
      <c r="BE1237" s="2">
        <f t="shared" ca="1" si="1233"/>
        <v>2318445.287039768</v>
      </c>
      <c r="BF1237" s="2">
        <f t="shared" ca="1" si="1234"/>
        <v>2649548.6767062265</v>
      </c>
      <c r="BG1237" s="2">
        <f t="shared" ca="1" si="1235"/>
        <v>2880453.0586238801</v>
      </c>
      <c r="BH1237" s="2">
        <f t="shared" ca="1" si="1236"/>
        <v>3123817.1717244703</v>
      </c>
      <c r="BI1237" s="2">
        <f t="shared" ca="1" si="1237"/>
        <v>40399951.353226423</v>
      </c>
      <c r="BJ1237" s="2">
        <f t="shared" ca="1" si="1238"/>
        <v>0.27810298553173829</v>
      </c>
      <c r="BK1237" s="2">
        <f t="shared" ca="1" si="1239"/>
        <v>13310099.90580862</v>
      </c>
    </row>
    <row r="1238" spans="1:63" x14ac:dyDescent="0.3">
      <c r="A1238" s="2">
        <v>1237</v>
      </c>
      <c r="B1238" s="2">
        <f t="shared" ca="1" si="1178"/>
        <v>3.8967889207211837E-2</v>
      </c>
      <c r="C1238" s="2">
        <f t="shared" ca="1" si="1179"/>
        <v>6.2791698021176785</v>
      </c>
      <c r="D1238" s="2">
        <f t="shared" ca="1" si="1180"/>
        <v>0.91742451429056782</v>
      </c>
      <c r="E1238" s="2">
        <f t="shared" ca="1" si="1181"/>
        <v>8.0936122892866162</v>
      </c>
      <c r="F1238" s="2">
        <f t="shared" ca="1" si="1182"/>
        <v>0.88942536181170107</v>
      </c>
      <c r="G1238" s="2">
        <f t="shared" ca="1" si="1183"/>
        <v>7.6704334614159514E-2</v>
      </c>
      <c r="H1238" s="2">
        <f t="shared" ca="1" si="1184"/>
        <v>7.6704334614159514E-2</v>
      </c>
      <c r="I1238" s="2">
        <f t="shared" ca="1" si="1185"/>
        <v>0.72783700622579406</v>
      </c>
      <c r="J1238" s="2">
        <f t="shared" ca="1" si="1186"/>
        <v>1.3031421460016854E-2</v>
      </c>
      <c r="K1238" s="2">
        <f t="shared" ca="1" si="1187"/>
        <v>1.3031421460016854E-2</v>
      </c>
      <c r="L1238" s="2">
        <f t="shared" ca="1" si="1188"/>
        <v>0.74624728169812138</v>
      </c>
      <c r="M1238" s="2">
        <f t="shared" ca="1" si="1189"/>
        <v>1.3254539300917217E-2</v>
      </c>
      <c r="N1238" s="2">
        <f t="shared" ca="1" si="1190"/>
        <v>1.3254539300917217E-2</v>
      </c>
      <c r="O1238" s="2">
        <f t="shared" si="1191"/>
        <v>6000000</v>
      </c>
      <c r="P1238" s="2">
        <f t="shared" ca="1" si="1192"/>
        <v>37675018.812706068</v>
      </c>
      <c r="Q1238" s="2">
        <f t="shared" ca="1" si="1193"/>
        <v>941875.47031765175</v>
      </c>
      <c r="R1238" s="2">
        <f t="shared" ca="1" si="1194"/>
        <v>22605011.28762364</v>
      </c>
      <c r="S1238" s="2">
        <f t="shared" ca="1" si="1195"/>
        <v>15070007.525082428</v>
      </c>
      <c r="T1238" s="2">
        <f t="shared" ca="1" si="1196"/>
        <v>50662726.965045854</v>
      </c>
      <c r="U1238" s="2">
        <f t="shared" ca="1" si="1197"/>
        <v>54548777.726638541</v>
      </c>
      <c r="V1238" s="2">
        <f t="shared" ca="1" si="1198"/>
        <v>58732905.426176041</v>
      </c>
      <c r="W1238" s="2">
        <f t="shared" ca="1" si="1199"/>
        <v>63237973.856847242</v>
      </c>
      <c r="X1238" s="2">
        <f t="shared" ca="1" si="1200"/>
        <v>68088600.563884333</v>
      </c>
      <c r="Y1238" s="2">
        <f t="shared" ca="1" si="1201"/>
        <v>0.12651571073000842</v>
      </c>
      <c r="Z1238" s="2">
        <f t="shared" ca="1" si="1202"/>
        <v>0.1291219950220118</v>
      </c>
      <c r="AA1238" s="2">
        <f t="shared" ca="1" si="1203"/>
        <v>6409630.9095031386</v>
      </c>
      <c r="AB1238" s="2">
        <f t="shared" ca="1" si="1204"/>
        <v>7043447.0060758498</v>
      </c>
      <c r="AC1238" s="2">
        <f t="shared" ca="1" si="1205"/>
        <v>7583709.9220669921</v>
      </c>
      <c r="AD1238" s="2">
        <f t="shared" ca="1" si="1206"/>
        <v>8165413.345545942</v>
      </c>
      <c r="AE1238" s="2">
        <f t="shared" ca="1" si="1207"/>
        <v>8791735.9430656228</v>
      </c>
      <c r="AF1238" s="2">
        <f t="shared" ca="1" si="1208"/>
        <v>1013254.5393009171</v>
      </c>
      <c r="AG1238" s="2">
        <f t="shared" ca="1" si="1209"/>
        <v>1090975.5545327708</v>
      </c>
      <c r="AH1238" s="2">
        <f t="shared" ca="1" si="1210"/>
        <v>1174658.1085235209</v>
      </c>
      <c r="AI1238" s="2">
        <f t="shared" ca="1" si="1211"/>
        <v>1264759.4771369449</v>
      </c>
      <c r="AJ1238" s="2">
        <f t="shared" ca="1" si="1212"/>
        <v>1361772.0112776866</v>
      </c>
      <c r="AK1238" s="2">
        <f t="shared" ca="1" si="1213"/>
        <v>0</v>
      </c>
      <c r="AL1238" s="2">
        <f t="shared" ca="1" si="1214"/>
        <v>38860.507615926865</v>
      </c>
      <c r="AM1238" s="2">
        <f t="shared" ca="1" si="1215"/>
        <v>41841.27699537501</v>
      </c>
      <c r="AN1238" s="2">
        <f t="shared" ca="1" si="1216"/>
        <v>45050.684306711999</v>
      </c>
      <c r="AO1238" s="2">
        <f t="shared" ca="1" si="1217"/>
        <v>48506.267070370915</v>
      </c>
      <c r="AP1238" s="2">
        <f t="shared" ca="1" si="1218"/>
        <v>2034451.0158861275</v>
      </c>
      <c r="AQ1238" s="2">
        <f t="shared" ca="1" si="1219"/>
        <v>874100.59212218458</v>
      </c>
      <c r="AR1238" s="2">
        <f t="shared" ca="1" si="1220"/>
        <v>1018685.3132708074</v>
      </c>
      <c r="AS1238" s="2">
        <f t="shared" ca="1" si="1221"/>
        <v>1137396.2073909095</v>
      </c>
      <c r="AT1238" s="2">
        <f t="shared" ca="1" si="1222"/>
        <v>1265212.741655946</v>
      </c>
      <c r="AU1238" s="2">
        <f t="shared" ca="1" si="1223"/>
        <v>1402833.3581344702</v>
      </c>
      <c r="AV1238" s="2">
        <f t="shared" ca="1" si="1224"/>
        <v>2487824.7621939094</v>
      </c>
      <c r="AW1238" s="2">
        <f t="shared" ca="1" si="1225"/>
        <v>2860474.6147702173</v>
      </c>
      <c r="AX1238" s="2">
        <f t="shared" ca="1" si="1226"/>
        <v>3195363.3132710592</v>
      </c>
      <c r="AY1238" s="2">
        <f t="shared" ca="1" si="1227"/>
        <v>3555939.4265602115</v>
      </c>
      <c r="AZ1238" s="2">
        <f t="shared" ca="1" si="1228"/>
        <v>3944173.2906969679</v>
      </c>
      <c r="BA1238" s="2">
        <f t="shared" ca="1" si="1229"/>
        <v>71156902.072958782</v>
      </c>
      <c r="BB1238" s="2">
        <f t="shared" ca="1" si="1230"/>
        <v>1423138.0414591758</v>
      </c>
      <c r="BC1238" s="2">
        <f t="shared" ca="1" si="1231"/>
        <v>47128752.743875965</v>
      </c>
      <c r="BD1238" s="2">
        <f t="shared" ca="1" si="1232"/>
        <v>-16511882.99540008</v>
      </c>
      <c r="BE1238" s="2">
        <f t="shared" ca="1" si="1233"/>
        <v>2487824.7621939094</v>
      </c>
      <c r="BF1238" s="2">
        <f t="shared" ca="1" si="1234"/>
        <v>2860474.6147702173</v>
      </c>
      <c r="BG1238" s="2">
        <f t="shared" ca="1" si="1235"/>
        <v>3195363.3132710592</v>
      </c>
      <c r="BH1238" s="2">
        <f t="shared" ca="1" si="1236"/>
        <v>3555939.4265602115</v>
      </c>
      <c r="BI1238" s="2">
        <f t="shared" ca="1" si="1237"/>
        <v>51072926.034572937</v>
      </c>
      <c r="BJ1238" s="2">
        <f t="shared" ca="1" si="1238"/>
        <v>0.36304856021503462</v>
      </c>
      <c r="BK1238" s="2">
        <f t="shared" ca="1" si="1239"/>
        <v>21504152.077898331</v>
      </c>
    </row>
    <row r="1239" spans="1:63" x14ac:dyDescent="0.3">
      <c r="A1239" s="2">
        <v>1238</v>
      </c>
      <c r="B1239" s="2">
        <f t="shared" ca="1" si="1178"/>
        <v>0.90062245817425646</v>
      </c>
      <c r="C1239" s="2">
        <f t="shared" ca="1" si="1179"/>
        <v>7.554180435992893</v>
      </c>
      <c r="D1239" s="2">
        <f t="shared" ca="1" si="1180"/>
        <v>0.50459141712699895</v>
      </c>
      <c r="E1239" s="2">
        <f t="shared" ca="1" si="1181"/>
        <v>7.5046020063582599</v>
      </c>
      <c r="F1239" s="2">
        <f t="shared" ca="1" si="1182"/>
        <v>0.18459771856375495</v>
      </c>
      <c r="G1239" s="2">
        <f t="shared" ca="1" si="1183"/>
        <v>1.3060556390411496E-2</v>
      </c>
      <c r="H1239" s="2">
        <f t="shared" ca="1" si="1184"/>
        <v>1.3060556390411496E-2</v>
      </c>
      <c r="I1239" s="2">
        <f t="shared" ca="1" si="1185"/>
        <v>0.88970305613925982</v>
      </c>
      <c r="J1239" s="2">
        <f t="shared" ca="1" si="1186"/>
        <v>1.6124752284666401E-2</v>
      </c>
      <c r="K1239" s="2">
        <f t="shared" ca="1" si="1187"/>
        <v>1.6124752284666401E-2</v>
      </c>
      <c r="L1239" s="2">
        <f t="shared" ca="1" si="1188"/>
        <v>0.99642769071349846</v>
      </c>
      <c r="M1239" s="2">
        <f t="shared" ca="1" si="1189"/>
        <v>5.3800544904819038E-2</v>
      </c>
      <c r="N1239" s="2">
        <f t="shared" ca="1" si="1190"/>
        <v>0.05</v>
      </c>
      <c r="O1239" s="2">
        <f t="shared" si="1191"/>
        <v>6000000</v>
      </c>
      <c r="P1239" s="2">
        <f t="shared" ca="1" si="1192"/>
        <v>45325082.615957357</v>
      </c>
      <c r="Q1239" s="2">
        <f t="shared" ca="1" si="1193"/>
        <v>1133127.0653989341</v>
      </c>
      <c r="R1239" s="2">
        <f t="shared" ca="1" si="1194"/>
        <v>27195049.569574412</v>
      </c>
      <c r="S1239" s="2">
        <f t="shared" ca="1" si="1195"/>
        <v>18130033.046382945</v>
      </c>
      <c r="T1239" s="2">
        <f t="shared" ca="1" si="1196"/>
        <v>52500000</v>
      </c>
      <c r="U1239" s="2">
        <f t="shared" ca="1" si="1197"/>
        <v>53185679.210496612</v>
      </c>
      <c r="V1239" s="2">
        <f t="shared" ca="1" si="1198"/>
        <v>53880313.772987641</v>
      </c>
      <c r="W1239" s="2">
        <f t="shared" ca="1" si="1199"/>
        <v>54584020.649352819</v>
      </c>
      <c r="X1239" s="2">
        <f t="shared" ca="1" si="1200"/>
        <v>55296918.329059079</v>
      </c>
      <c r="Y1239" s="2">
        <f t="shared" ca="1" si="1201"/>
        <v>0.12806237614233321</v>
      </c>
      <c r="Z1239" s="2">
        <f t="shared" ca="1" si="1202"/>
        <v>0.13128732659926648</v>
      </c>
      <c r="AA1239" s="2">
        <f t="shared" ca="1" si="1203"/>
        <v>6723274.747472493</v>
      </c>
      <c r="AB1239" s="2">
        <f t="shared" ca="1" si="1204"/>
        <v>6982605.6369122863</v>
      </c>
      <c r="AC1239" s="2">
        <f t="shared" ca="1" si="1205"/>
        <v>7073802.3515851842</v>
      </c>
      <c r="AD1239" s="2">
        <f t="shared" ca="1" si="1206"/>
        <v>7166190.1460926887</v>
      </c>
      <c r="AE1239" s="2">
        <f t="shared" ca="1" si="1207"/>
        <v>7259784.5766001446</v>
      </c>
      <c r="AF1239" s="2">
        <f t="shared" ca="1" si="1208"/>
        <v>1050000</v>
      </c>
      <c r="AG1239" s="2">
        <f t="shared" ca="1" si="1209"/>
        <v>1063713.5842099322</v>
      </c>
      <c r="AH1239" s="2">
        <f t="shared" ca="1" si="1210"/>
        <v>1077606.2754597529</v>
      </c>
      <c r="AI1239" s="2">
        <f t="shared" ca="1" si="1211"/>
        <v>1091680.4129870564</v>
      </c>
      <c r="AJ1239" s="2">
        <f t="shared" ca="1" si="1212"/>
        <v>1105938.3665811815</v>
      </c>
      <c r="AK1239" s="2">
        <f t="shared" ca="1" si="1213"/>
        <v>0</v>
      </c>
      <c r="AL1239" s="2">
        <f t="shared" ca="1" si="1214"/>
        <v>6856.792104966119</v>
      </c>
      <c r="AM1239" s="2">
        <f t="shared" ca="1" si="1215"/>
        <v>6946.3456249102956</v>
      </c>
      <c r="AN1239" s="2">
        <f t="shared" ca="1" si="1216"/>
        <v>7037.0687636517732</v>
      </c>
      <c r="AO1239" s="2">
        <f t="shared" ca="1" si="1217"/>
        <v>7128.9767970626053</v>
      </c>
      <c r="AP1239" s="2">
        <f t="shared" ca="1" si="1218"/>
        <v>2447554.4612616971</v>
      </c>
      <c r="AQ1239" s="2">
        <f t="shared" ca="1" si="1219"/>
        <v>838687.27441480698</v>
      </c>
      <c r="AR1239" s="2">
        <f t="shared" ca="1" si="1220"/>
        <v>902547.7737745709</v>
      </c>
      <c r="AS1239" s="2">
        <f t="shared" ca="1" si="1221"/>
        <v>922646.81986457109</v>
      </c>
      <c r="AT1239" s="2">
        <f t="shared" ca="1" si="1222"/>
        <v>943008.37067942321</v>
      </c>
      <c r="AU1239" s="2">
        <f t="shared" ca="1" si="1223"/>
        <v>963635.85467688902</v>
      </c>
      <c r="AV1239" s="2">
        <f t="shared" ca="1" si="1224"/>
        <v>2387033.0117959892</v>
      </c>
      <c r="AW1239" s="2">
        <f t="shared" ca="1" si="1225"/>
        <v>2561933.0255611204</v>
      </c>
      <c r="AX1239" s="2">
        <f t="shared" ca="1" si="1226"/>
        <v>2619048.4493742529</v>
      </c>
      <c r="AY1239" s="2">
        <f t="shared" ca="1" si="1227"/>
        <v>2676909.8324008603</v>
      </c>
      <c r="AZ1239" s="2">
        <f t="shared" ca="1" si="1228"/>
        <v>2735526.9172833133</v>
      </c>
      <c r="BA1239" s="2">
        <f t="shared" ca="1" si="1229"/>
        <v>54481793.899282195</v>
      </c>
      <c r="BB1239" s="2">
        <f t="shared" ca="1" si="1230"/>
        <v>1089635.8779856439</v>
      </c>
      <c r="BC1239" s="2">
        <f t="shared" ca="1" si="1231"/>
        <v>26197108.451722138</v>
      </c>
      <c r="BD1239" s="2">
        <f t="shared" ca="1" si="1232"/>
        <v>-19763160.11178188</v>
      </c>
      <c r="BE1239" s="2">
        <f t="shared" ca="1" si="1233"/>
        <v>2387033.0117959892</v>
      </c>
      <c r="BF1239" s="2">
        <f t="shared" ca="1" si="1234"/>
        <v>2561933.0255611204</v>
      </c>
      <c r="BG1239" s="2">
        <f t="shared" ca="1" si="1235"/>
        <v>2619048.4493742529</v>
      </c>
      <c r="BH1239" s="2">
        <f t="shared" ca="1" si="1236"/>
        <v>2676909.8324008603</v>
      </c>
      <c r="BI1239" s="2">
        <f t="shared" ca="1" si="1237"/>
        <v>28932635.369005449</v>
      </c>
      <c r="BJ1239" s="2">
        <f t="shared" ca="1" si="1238"/>
        <v>0.17588802133195225</v>
      </c>
      <c r="BK1239" s="2">
        <f t="shared" ca="1" si="1239"/>
        <v>4393042.547877878</v>
      </c>
    </row>
    <row r="1240" spans="1:63" x14ac:dyDescent="0.3">
      <c r="A1240" s="2">
        <v>1239</v>
      </c>
      <c r="B1240" s="2">
        <f t="shared" ca="1" si="1178"/>
        <v>0.98149021279933424</v>
      </c>
      <c r="C1240" s="2">
        <f t="shared" ca="1" si="1179"/>
        <v>7.8075952848776007</v>
      </c>
      <c r="D1240" s="2">
        <f t="shared" ca="1" si="1180"/>
        <v>0.89580305739174593</v>
      </c>
      <c r="E1240" s="2">
        <f t="shared" ca="1" si="1181"/>
        <v>8.0434982089668132</v>
      </c>
      <c r="F1240" s="2">
        <f t="shared" ca="1" si="1182"/>
        <v>0.98671694292433298</v>
      </c>
      <c r="G1240" s="2">
        <f t="shared" ca="1" si="1183"/>
        <v>0.1065350370665796</v>
      </c>
      <c r="H1240" s="2">
        <f t="shared" ca="1" si="1184"/>
        <v>0.1065350370665796</v>
      </c>
      <c r="I1240" s="2">
        <f t="shared" ca="1" si="1185"/>
        <v>0.57959229979100124</v>
      </c>
      <c r="J1240" s="2">
        <f t="shared" ca="1" si="1186"/>
        <v>1.1004252971451422E-2</v>
      </c>
      <c r="K1240" s="2">
        <f t="shared" ca="1" si="1187"/>
        <v>1.1004252971451422E-2</v>
      </c>
      <c r="L1240" s="2">
        <f t="shared" ca="1" si="1188"/>
        <v>0.28231375765394773</v>
      </c>
      <c r="M1240" s="2">
        <f t="shared" ca="1" si="1189"/>
        <v>-1.151963505636221E-2</v>
      </c>
      <c r="N1240" s="2">
        <f t="shared" ca="1" si="1190"/>
        <v>-1.151963505636221E-2</v>
      </c>
      <c r="O1240" s="2">
        <f t="shared" si="1191"/>
        <v>6000000</v>
      </c>
      <c r="P1240" s="2">
        <f t="shared" ca="1" si="1192"/>
        <v>46845571.709265605</v>
      </c>
      <c r="Q1240" s="2">
        <f t="shared" ca="1" si="1193"/>
        <v>1171139.2927316402</v>
      </c>
      <c r="R1240" s="2">
        <f t="shared" ca="1" si="1194"/>
        <v>28107343.025559362</v>
      </c>
      <c r="S1240" s="2">
        <f t="shared" ca="1" si="1195"/>
        <v>18738228.683706243</v>
      </c>
      <c r="T1240" s="2">
        <f t="shared" ca="1" si="1196"/>
        <v>49424018.247181892</v>
      </c>
      <c r="U1240" s="2">
        <f t="shared" ca="1" si="1197"/>
        <v>54689407.863124721</v>
      </c>
      <c r="V1240" s="2">
        <f t="shared" ca="1" si="1198"/>
        <v>60515745.956972003</v>
      </c>
      <c r="W1240" s="2">
        <f t="shared" ca="1" si="1199"/>
        <v>66962793.195609733</v>
      </c>
      <c r="X1240" s="2">
        <f t="shared" ca="1" si="1200"/>
        <v>74096676.850785717</v>
      </c>
      <c r="Y1240" s="2">
        <f t="shared" ca="1" si="1201"/>
        <v>0.1255021264857257</v>
      </c>
      <c r="Z1240" s="2">
        <f t="shared" ca="1" si="1202"/>
        <v>0.12770297708001599</v>
      </c>
      <c r="AA1240" s="2">
        <f t="shared" ca="1" si="1203"/>
        <v>6202819.389490637</v>
      </c>
      <c r="AB1240" s="2">
        <f t="shared" ca="1" si="1204"/>
        <v>6984000.1988642626</v>
      </c>
      <c r="AC1240" s="2">
        <f t="shared" ca="1" si="1205"/>
        <v>7728040.9189232662</v>
      </c>
      <c r="AD1240" s="2">
        <f t="shared" ca="1" si="1206"/>
        <v>8551348.0446728002</v>
      </c>
      <c r="AE1240" s="2">
        <f t="shared" ca="1" si="1207"/>
        <v>9462366.2255812399</v>
      </c>
      <c r="AF1240" s="2">
        <f t="shared" ca="1" si="1208"/>
        <v>988480.36494363786</v>
      </c>
      <c r="AG1240" s="2">
        <f t="shared" ca="1" si="1209"/>
        <v>1093788.1572624943</v>
      </c>
      <c r="AH1240" s="2">
        <f t="shared" ca="1" si="1210"/>
        <v>1210314.9191394402</v>
      </c>
      <c r="AI1240" s="2">
        <f t="shared" ca="1" si="1211"/>
        <v>1339255.8639121947</v>
      </c>
      <c r="AJ1240" s="2">
        <f t="shared" ca="1" si="1212"/>
        <v>1481933.5370157144</v>
      </c>
      <c r="AK1240" s="2">
        <f t="shared" ca="1" si="1213"/>
        <v>0</v>
      </c>
      <c r="AL1240" s="2">
        <f t="shared" ca="1" si="1214"/>
        <v>52653.896159428288</v>
      </c>
      <c r="AM1240" s="2">
        <f t="shared" ca="1" si="1215"/>
        <v>58263.380938472823</v>
      </c>
      <c r="AN1240" s="2">
        <f t="shared" ca="1" si="1216"/>
        <v>64470.472386377303</v>
      </c>
      <c r="AO1240" s="2">
        <f t="shared" ca="1" si="1217"/>
        <v>71338.836551759843</v>
      </c>
      <c r="AP1240" s="2">
        <f t="shared" ca="1" si="1218"/>
        <v>2529660.8723003427</v>
      </c>
      <c r="AQ1240" s="2">
        <f t="shared" ca="1" si="1219"/>
        <v>698016.31958413078</v>
      </c>
      <c r="AR1240" s="2">
        <f t="shared" ca="1" si="1220"/>
        <v>873743.30401837057</v>
      </c>
      <c r="AS1240" s="2">
        <f t="shared" ca="1" si="1221"/>
        <v>1036896.9331457057</v>
      </c>
      <c r="AT1240" s="2">
        <f t="shared" ca="1" si="1222"/>
        <v>1217432.1401996682</v>
      </c>
      <c r="AU1240" s="2">
        <f t="shared" ca="1" si="1223"/>
        <v>1417200.6722289475</v>
      </c>
      <c r="AV1240" s="2">
        <f t="shared" ca="1" si="1224"/>
        <v>1986661.8326625256</v>
      </c>
      <c r="AW1240" s="2">
        <f t="shared" ca="1" si="1225"/>
        <v>2434153.9691236261</v>
      </c>
      <c r="AX1240" s="2">
        <f t="shared" ca="1" si="1226"/>
        <v>2892904.8133993046</v>
      </c>
      <c r="AY1240" s="2">
        <f t="shared" ca="1" si="1227"/>
        <v>3400528.695874217</v>
      </c>
      <c r="AZ1240" s="2">
        <f t="shared" ca="1" si="1228"/>
        <v>3962232.3074844759</v>
      </c>
      <c r="BA1240" s="2">
        <f t="shared" ca="1" si="1229"/>
        <v>76110525.788050771</v>
      </c>
      <c r="BB1240" s="2">
        <f t="shared" ca="1" si="1230"/>
        <v>1522210.5157610155</v>
      </c>
      <c r="BC1240" s="2">
        <f t="shared" ca="1" si="1231"/>
        <v>46480972.246730387</v>
      </c>
      <c r="BD1240" s="2">
        <f t="shared" ca="1" si="1232"/>
        <v>-20409367.976437882</v>
      </c>
      <c r="BE1240" s="2">
        <f t="shared" ca="1" si="1233"/>
        <v>1986661.8326625256</v>
      </c>
      <c r="BF1240" s="2">
        <f t="shared" ca="1" si="1234"/>
        <v>2434153.9691236261</v>
      </c>
      <c r="BG1240" s="2">
        <f t="shared" ca="1" si="1235"/>
        <v>2892904.8133993046</v>
      </c>
      <c r="BH1240" s="2">
        <f t="shared" ca="1" si="1236"/>
        <v>3400528.695874217</v>
      </c>
      <c r="BI1240" s="2">
        <f t="shared" ca="1" si="1237"/>
        <v>50443204.554214865</v>
      </c>
      <c r="BJ1240" s="2">
        <f t="shared" ca="1" si="1238"/>
        <v>0.27934791191130204</v>
      </c>
      <c r="BK1240" s="2">
        <f t="shared" ca="1" si="1239"/>
        <v>16147968.792411081</v>
      </c>
    </row>
    <row r="1241" spans="1:63" x14ac:dyDescent="0.3">
      <c r="A1241" s="2">
        <v>1240</v>
      </c>
      <c r="B1241" s="2">
        <f t="shared" ca="1" si="1178"/>
        <v>0.75448798786237692</v>
      </c>
      <c r="C1241" s="2">
        <f t="shared" ca="1" si="1179"/>
        <v>7.29926893584254</v>
      </c>
      <c r="D1241" s="2">
        <f t="shared" ca="1" si="1180"/>
        <v>4.7834582241518264E-2</v>
      </c>
      <c r="E1241" s="2">
        <f t="shared" ca="1" si="1181"/>
        <v>6.8093043234147181</v>
      </c>
      <c r="F1241" s="2">
        <f t="shared" ca="1" si="1182"/>
        <v>0.74148149646339745</v>
      </c>
      <c r="G1241" s="2">
        <f t="shared" ca="1" si="1183"/>
        <v>5.9437585494097736E-2</v>
      </c>
      <c r="H1241" s="2">
        <f t="shared" ca="1" si="1184"/>
        <v>5.9437585494097736E-2</v>
      </c>
      <c r="I1241" s="2">
        <f t="shared" ca="1" si="1185"/>
        <v>0.46653002661873111</v>
      </c>
      <c r="J1241" s="2">
        <f t="shared" ca="1" si="1186"/>
        <v>9.5800227743850497E-3</v>
      </c>
      <c r="K1241" s="2">
        <f t="shared" ca="1" si="1187"/>
        <v>9.5800227743850497E-3</v>
      </c>
      <c r="L1241" s="2">
        <f t="shared" ca="1" si="1188"/>
        <v>0.88326860136141117</v>
      </c>
      <c r="M1241" s="2">
        <f t="shared" ca="1" si="1189"/>
        <v>2.3829722659091269E-2</v>
      </c>
      <c r="N1241" s="2">
        <f t="shared" ca="1" si="1190"/>
        <v>2.3829722659091269E-2</v>
      </c>
      <c r="O1241" s="2">
        <f t="shared" si="1191"/>
        <v>6000000</v>
      </c>
      <c r="P1241" s="2">
        <f t="shared" ca="1" si="1192"/>
        <v>43795613.615055241</v>
      </c>
      <c r="Q1241" s="2">
        <f t="shared" ca="1" si="1193"/>
        <v>1094890.3403763811</v>
      </c>
      <c r="R1241" s="2">
        <f t="shared" ca="1" si="1194"/>
        <v>26277368.169033144</v>
      </c>
      <c r="S1241" s="2">
        <f t="shared" ca="1" si="1195"/>
        <v>17518245.446022097</v>
      </c>
      <c r="T1241" s="2">
        <f t="shared" ca="1" si="1196"/>
        <v>51191486.132954568</v>
      </c>
      <c r="U1241" s="2">
        <f t="shared" ca="1" si="1197"/>
        <v>54234184.466551982</v>
      </c>
      <c r="V1241" s="2">
        <f t="shared" ca="1" si="1198"/>
        <v>57457733.44248534</v>
      </c>
      <c r="W1241" s="2">
        <f t="shared" ca="1" si="1199"/>
        <v>60872882.386270143</v>
      </c>
      <c r="X1241" s="2">
        <f t="shared" ca="1" si="1200"/>
        <v>64491019.53737624</v>
      </c>
      <c r="Y1241" s="2">
        <f t="shared" ca="1" si="1201"/>
        <v>0.12479001138719252</v>
      </c>
      <c r="Z1241" s="2">
        <f t="shared" ca="1" si="1202"/>
        <v>0.12670601594206954</v>
      </c>
      <c r="AA1241" s="2">
        <f t="shared" ca="1" si="1203"/>
        <v>6388186.1374587081</v>
      </c>
      <c r="AB1241" s="2">
        <f t="shared" ca="1" si="1204"/>
        <v>6871797.4416240752</v>
      </c>
      <c r="AC1241" s="2">
        <f t="shared" ca="1" si="1205"/>
        <v>7280240.4895587293</v>
      </c>
      <c r="AD1241" s="2">
        <f t="shared" ca="1" si="1206"/>
        <v>7712960.406074469</v>
      </c>
      <c r="AE1241" s="2">
        <f t="shared" ca="1" si="1207"/>
        <v>8171400.1496231118</v>
      </c>
      <c r="AF1241" s="2">
        <f t="shared" ca="1" si="1208"/>
        <v>1023829.7226590913</v>
      </c>
      <c r="AG1241" s="2">
        <f t="shared" ca="1" si="1209"/>
        <v>1084683.6893310396</v>
      </c>
      <c r="AH1241" s="2">
        <f t="shared" ca="1" si="1210"/>
        <v>1149154.6688497069</v>
      </c>
      <c r="AI1241" s="2">
        <f t="shared" ca="1" si="1211"/>
        <v>1217457.6477254028</v>
      </c>
      <c r="AJ1241" s="2">
        <f t="shared" ca="1" si="1212"/>
        <v>1289820.3907475248</v>
      </c>
      <c r="AK1241" s="2">
        <f t="shared" ca="1" si="1213"/>
        <v>0</v>
      </c>
      <c r="AL1241" s="2">
        <f t="shared" ca="1" si="1214"/>
        <v>30426.983335974142</v>
      </c>
      <c r="AM1241" s="2">
        <f t="shared" ca="1" si="1215"/>
        <v>32235.489759333581</v>
      </c>
      <c r="AN1241" s="2">
        <f t="shared" ca="1" si="1216"/>
        <v>34151.489437848031</v>
      </c>
      <c r="AO1241" s="2">
        <f t="shared" ca="1" si="1217"/>
        <v>36181.37151106097</v>
      </c>
      <c r="AP1241" s="2">
        <f t="shared" ca="1" si="1218"/>
        <v>2364963.135212983</v>
      </c>
      <c r="AQ1241" s="2">
        <f t="shared" ca="1" si="1219"/>
        <v>779842.25269252481</v>
      </c>
      <c r="AR1241" s="2">
        <f t="shared" ca="1" si="1220"/>
        <v>889759.16044081363</v>
      </c>
      <c r="AS1241" s="2">
        <f t="shared" ca="1" si="1221"/>
        <v>979191.89822897036</v>
      </c>
      <c r="AT1241" s="2">
        <f t="shared" ca="1" si="1222"/>
        <v>1073940.3020153819</v>
      </c>
      <c r="AU1241" s="2">
        <f t="shared" ca="1" si="1223"/>
        <v>1174320.322152277</v>
      </c>
      <c r="AV1241" s="2">
        <f t="shared" ca="1" si="1224"/>
        <v>2219551.0268941084</v>
      </c>
      <c r="AW1241" s="2">
        <f t="shared" ca="1" si="1225"/>
        <v>2501964.4733032649</v>
      </c>
      <c r="AX1241" s="2">
        <f t="shared" ca="1" si="1226"/>
        <v>2754695.2975077359</v>
      </c>
      <c r="AY1241" s="2">
        <f t="shared" ca="1" si="1227"/>
        <v>3022447.8316828534</v>
      </c>
      <c r="AZ1241" s="2">
        <f t="shared" ca="1" si="1228"/>
        <v>3306114.9299992668</v>
      </c>
      <c r="BA1241" s="2">
        <f t="shared" ca="1" si="1229"/>
        <v>55641550.367180333</v>
      </c>
      <c r="BB1241" s="2">
        <f t="shared" ca="1" si="1230"/>
        <v>1112831.0073436066</v>
      </c>
      <c r="BC1241" s="2">
        <f t="shared" ca="1" si="1231"/>
        <v>28251351.190803584</v>
      </c>
      <c r="BD1241" s="2">
        <f t="shared" ca="1" si="1232"/>
        <v>-19113135.786398478</v>
      </c>
      <c r="BE1241" s="2">
        <f t="shared" ca="1" si="1233"/>
        <v>2219551.0268941084</v>
      </c>
      <c r="BF1241" s="2">
        <f t="shared" ca="1" si="1234"/>
        <v>2501964.4733032649</v>
      </c>
      <c r="BG1241" s="2">
        <f t="shared" ca="1" si="1235"/>
        <v>2754695.2975077359</v>
      </c>
      <c r="BH1241" s="2">
        <f t="shared" ca="1" si="1236"/>
        <v>3022447.8316828534</v>
      </c>
      <c r="BI1241" s="2">
        <f t="shared" ca="1" si="1237"/>
        <v>31557466.12080285</v>
      </c>
      <c r="BJ1241" s="2">
        <f t="shared" ca="1" si="1238"/>
        <v>0.20316791459930195</v>
      </c>
      <c r="BK1241" s="2">
        <f t="shared" ca="1" si="1239"/>
        <v>6651268.6768211648</v>
      </c>
    </row>
    <row r="1242" spans="1:63" x14ac:dyDescent="0.3">
      <c r="A1242" s="2">
        <v>1241</v>
      </c>
      <c r="B1242" s="2">
        <f t="shared" ca="1" si="1178"/>
        <v>0.45286628117326688</v>
      </c>
      <c r="C1242" s="2">
        <f t="shared" ca="1" si="1179"/>
        <v>6.9516998278588336</v>
      </c>
      <c r="D1242" s="2">
        <f t="shared" ca="1" si="1180"/>
        <v>0.98399148747785048</v>
      </c>
      <c r="E1242" s="2">
        <f t="shared" ca="1" si="1181"/>
        <v>8.3210669816822538</v>
      </c>
      <c r="F1242" s="2">
        <f t="shared" ca="1" si="1182"/>
        <v>0.5367961701451639</v>
      </c>
      <c r="G1242" s="2">
        <f t="shared" ca="1" si="1183"/>
        <v>4.2770964604345943E-2</v>
      </c>
      <c r="H1242" s="2">
        <f t="shared" ca="1" si="1184"/>
        <v>4.2770964604345943E-2</v>
      </c>
      <c r="I1242" s="2">
        <f t="shared" ca="1" si="1185"/>
        <v>0.23112953213551479</v>
      </c>
      <c r="J1242" s="2">
        <f t="shared" ca="1" si="1186"/>
        <v>6.3243396462453888E-3</v>
      </c>
      <c r="K1242" s="2">
        <f t="shared" ca="1" si="1187"/>
        <v>6.3243396462453888E-3</v>
      </c>
      <c r="L1242" s="2">
        <f t="shared" ca="1" si="1188"/>
        <v>0.6376948377905548</v>
      </c>
      <c r="M1242" s="2">
        <f t="shared" ca="1" si="1189"/>
        <v>7.0460790459445964E-3</v>
      </c>
      <c r="N1242" s="2">
        <f t="shared" ca="1" si="1190"/>
        <v>7.0460790459445964E-3</v>
      </c>
      <c r="O1242" s="2">
        <f t="shared" si="1191"/>
        <v>6000000</v>
      </c>
      <c r="P1242" s="2">
        <f t="shared" ca="1" si="1192"/>
        <v>41710198.967152998</v>
      </c>
      <c r="Q1242" s="2">
        <f t="shared" ca="1" si="1193"/>
        <v>1042754.974178825</v>
      </c>
      <c r="R1242" s="2">
        <f t="shared" ca="1" si="1194"/>
        <v>25026119.380291797</v>
      </c>
      <c r="S1242" s="2">
        <f t="shared" ca="1" si="1195"/>
        <v>16684079.586861201</v>
      </c>
      <c r="T1242" s="2">
        <f t="shared" ca="1" si="1196"/>
        <v>50352303.952297226</v>
      </c>
      <c r="U1242" s="2">
        <f t="shared" ca="1" si="1197"/>
        <v>52505920.562388197</v>
      </c>
      <c r="V1242" s="2">
        <f t="shared" ca="1" si="1198"/>
        <v>54751649.432280704</v>
      </c>
      <c r="W1242" s="2">
        <f t="shared" ca="1" si="1199"/>
        <v>57093430.29217834</v>
      </c>
      <c r="X1242" s="2">
        <f t="shared" ca="1" si="1200"/>
        <v>59535371.378345795</v>
      </c>
      <c r="Y1242" s="2">
        <f t="shared" ca="1" si="1201"/>
        <v>0.1231621698231227</v>
      </c>
      <c r="Z1242" s="2">
        <f t="shared" ca="1" si="1202"/>
        <v>0.12442703775237177</v>
      </c>
      <c r="AA1242" s="2">
        <f t="shared" ca="1" si="1203"/>
        <v>6201499.0103583233</v>
      </c>
      <c r="AB1242" s="2">
        <f t="shared" ca="1" si="1204"/>
        <v>6533156.1600393094</v>
      </c>
      <c r="AC1242" s="2">
        <f t="shared" ca="1" si="1205"/>
        <v>6812585.5509150149</v>
      </c>
      <c r="AD1242" s="2">
        <f t="shared" ca="1" si="1206"/>
        <v>7103966.4063772801</v>
      </c>
      <c r="AE1242" s="2">
        <f t="shared" ca="1" si="1207"/>
        <v>7407809.9020949062</v>
      </c>
      <c r="AF1242" s="2">
        <f t="shared" ca="1" si="1208"/>
        <v>1007046.0790459445</v>
      </c>
      <c r="AG1242" s="2">
        <f t="shared" ca="1" si="1209"/>
        <v>1050118.411247764</v>
      </c>
      <c r="AH1242" s="2">
        <f t="shared" ca="1" si="1210"/>
        <v>1095032.9886456141</v>
      </c>
      <c r="AI1242" s="2">
        <f t="shared" ca="1" si="1211"/>
        <v>1141868.6058435668</v>
      </c>
      <c r="AJ1242" s="2">
        <f t="shared" ca="1" si="1212"/>
        <v>1190707.427566916</v>
      </c>
      <c r="AK1242" s="2">
        <f t="shared" ca="1" si="1213"/>
        <v>0</v>
      </c>
      <c r="AL1242" s="2">
        <f t="shared" ca="1" si="1214"/>
        <v>21536.166100909712</v>
      </c>
      <c r="AM1242" s="2">
        <f t="shared" ca="1" si="1215"/>
        <v>22457.28869892508</v>
      </c>
      <c r="AN1242" s="2">
        <f t="shared" ca="1" si="1216"/>
        <v>23417.80859897636</v>
      </c>
      <c r="AO1242" s="2">
        <f t="shared" ca="1" si="1217"/>
        <v>24419.410861674547</v>
      </c>
      <c r="AP1242" s="2">
        <f t="shared" ca="1" si="1218"/>
        <v>2252350.7442262615</v>
      </c>
      <c r="AQ1242" s="2">
        <f t="shared" ca="1" si="1219"/>
        <v>764946.56864239043</v>
      </c>
      <c r="AR1242" s="2">
        <f t="shared" ca="1" si="1220"/>
        <v>839978.62118697388</v>
      </c>
      <c r="AS1242" s="2">
        <f t="shared" ca="1" si="1221"/>
        <v>900952.47269121627</v>
      </c>
      <c r="AT1242" s="2">
        <f t="shared" ca="1" si="1222"/>
        <v>964534.23463993764</v>
      </c>
      <c r="AU1242" s="2">
        <f t="shared" ca="1" si="1223"/>
        <v>1030835.4498784496</v>
      </c>
      <c r="AV1242" s="2">
        <f t="shared" ca="1" si="1224"/>
        <v>2177155.6184437261</v>
      </c>
      <c r="AW1242" s="2">
        <f t="shared" ca="1" si="1225"/>
        <v>2369172.2172774007</v>
      </c>
      <c r="AX1242" s="2">
        <f t="shared" ca="1" si="1226"/>
        <v>2541792.0566529981</v>
      </c>
      <c r="AY1242" s="2">
        <f t="shared" ca="1" si="1227"/>
        <v>2721795.0130685377</v>
      </c>
      <c r="AZ1242" s="2">
        <f t="shared" ca="1" si="1228"/>
        <v>2909496.8695616047</v>
      </c>
      <c r="BA1242" s="2">
        <f t="shared" ca="1" si="1229"/>
        <v>61640882.382900774</v>
      </c>
      <c r="BB1242" s="2">
        <f t="shared" ca="1" si="1230"/>
        <v>1232817.6476580156</v>
      </c>
      <c r="BC1242" s="2">
        <f t="shared" ca="1" si="1231"/>
        <v>35381945.354950964</v>
      </c>
      <c r="BD1242" s="2">
        <f t="shared" ca="1" si="1232"/>
        <v>-18226834.561040025</v>
      </c>
      <c r="BE1242" s="2">
        <f t="shared" ca="1" si="1233"/>
        <v>2177155.6184437261</v>
      </c>
      <c r="BF1242" s="2">
        <f t="shared" ca="1" si="1234"/>
        <v>2369172.2172774007</v>
      </c>
      <c r="BG1242" s="2">
        <f t="shared" ca="1" si="1235"/>
        <v>2541792.0566529981</v>
      </c>
      <c r="BH1242" s="2">
        <f t="shared" ca="1" si="1236"/>
        <v>2721795.0130685377</v>
      </c>
      <c r="BI1242" s="2">
        <f t="shared" ca="1" si="1237"/>
        <v>38291442.22451257</v>
      </c>
      <c r="BJ1242" s="2">
        <f t="shared" ca="1" si="1238"/>
        <v>0.24991343827959112</v>
      </c>
      <c r="BK1242" s="2">
        <f t="shared" ca="1" si="1239"/>
        <v>10872283.949353904</v>
      </c>
    </row>
    <row r="1243" spans="1:63" x14ac:dyDescent="0.3">
      <c r="A1243" s="2">
        <v>1242</v>
      </c>
      <c r="B1243" s="2">
        <f t="shared" ca="1" si="1178"/>
        <v>0.88679732480119378</v>
      </c>
      <c r="C1243" s="2">
        <f t="shared" ca="1" si="1179"/>
        <v>7.524179287548753</v>
      </c>
      <c r="D1243" s="2">
        <f t="shared" ca="1" si="1180"/>
        <v>0.41609331672207794</v>
      </c>
      <c r="E1243" s="2">
        <f t="shared" ca="1" si="1181"/>
        <v>7.412242639566994</v>
      </c>
      <c r="F1243" s="2">
        <f t="shared" ca="1" si="1182"/>
        <v>0.46291068963967208</v>
      </c>
      <c r="G1243" s="2">
        <f t="shared" ca="1" si="1183"/>
        <v>3.720689659967516E-2</v>
      </c>
      <c r="H1243" s="2">
        <f t="shared" ca="1" si="1184"/>
        <v>3.720689659967516E-2</v>
      </c>
      <c r="I1243" s="2">
        <f t="shared" ca="1" si="1185"/>
        <v>5.5035775598148873E-2</v>
      </c>
      <c r="J1243" s="2">
        <f t="shared" ca="1" si="1186"/>
        <v>2.0106418980796962E-3</v>
      </c>
      <c r="K1243" s="2">
        <f t="shared" ca="1" si="1187"/>
        <v>2.0106418980796962E-3</v>
      </c>
      <c r="L1243" s="2">
        <f t="shared" ca="1" si="1188"/>
        <v>0.9110613888997654</v>
      </c>
      <c r="M1243" s="2">
        <f t="shared" ca="1" si="1189"/>
        <v>2.694639821509421E-2</v>
      </c>
      <c r="N1243" s="2">
        <f t="shared" ca="1" si="1190"/>
        <v>2.694639821509421E-2</v>
      </c>
      <c r="O1243" s="2">
        <f t="shared" si="1191"/>
        <v>6000000</v>
      </c>
      <c r="P1243" s="2">
        <f t="shared" ca="1" si="1192"/>
        <v>45145075.725292519</v>
      </c>
      <c r="Q1243" s="2">
        <f t="shared" ca="1" si="1193"/>
        <v>1128626.8931323129</v>
      </c>
      <c r="R1243" s="2">
        <f t="shared" ca="1" si="1194"/>
        <v>27087045.435175512</v>
      </c>
      <c r="S1243" s="2">
        <f t="shared" ca="1" si="1195"/>
        <v>18058030.290117007</v>
      </c>
      <c r="T1243" s="2">
        <f t="shared" ca="1" si="1196"/>
        <v>51347319.91075471</v>
      </c>
      <c r="U1243" s="2">
        <f t="shared" ca="1" si="1197"/>
        <v>53257794.333344609</v>
      </c>
      <c r="V1243" s="2">
        <f t="shared" ca="1" si="1198"/>
        <v>55239351.580232129</v>
      </c>
      <c r="W1243" s="2">
        <f t="shared" ca="1" si="1199"/>
        <v>57294636.422710933</v>
      </c>
      <c r="X1243" s="2">
        <f t="shared" ca="1" si="1200"/>
        <v>59426392.035806723</v>
      </c>
      <c r="Y1243" s="2">
        <f t="shared" ca="1" si="1201"/>
        <v>0.12100532094903985</v>
      </c>
      <c r="Z1243" s="2">
        <f t="shared" ca="1" si="1202"/>
        <v>0.12140744932865578</v>
      </c>
      <c r="AA1243" s="2">
        <f t="shared" ca="1" si="1203"/>
        <v>6213298.9256738974</v>
      </c>
      <c r="AB1243" s="2">
        <f t="shared" ca="1" si="1204"/>
        <v>6465892.9668815071</v>
      </c>
      <c r="AC1243" s="2">
        <f t="shared" ca="1" si="1205"/>
        <v>6706468.7779248338</v>
      </c>
      <c r="AD1243" s="2">
        <f t="shared" ca="1" si="1206"/>
        <v>6955995.668294034</v>
      </c>
      <c r="AE1243" s="2">
        <f t="shared" ca="1" si="1207"/>
        <v>7214806.6798720388</v>
      </c>
      <c r="AF1243" s="2">
        <f t="shared" ca="1" si="1208"/>
        <v>1026946.3982150942</v>
      </c>
      <c r="AG1243" s="2">
        <f t="shared" ca="1" si="1209"/>
        <v>1065155.8866668921</v>
      </c>
      <c r="AH1243" s="2">
        <f t="shared" ca="1" si="1210"/>
        <v>1104787.0316046425</v>
      </c>
      <c r="AI1243" s="2">
        <f t="shared" ca="1" si="1211"/>
        <v>1145892.7284542187</v>
      </c>
      <c r="AJ1243" s="2">
        <f t="shared" ca="1" si="1212"/>
        <v>1188527.8407161345</v>
      </c>
      <c r="AK1243" s="2">
        <f t="shared" ca="1" si="1213"/>
        <v>0</v>
      </c>
      <c r="AL1243" s="2">
        <f t="shared" ca="1" si="1214"/>
        <v>19104.744225898983</v>
      </c>
      <c r="AM1243" s="2">
        <f t="shared" ca="1" si="1215"/>
        <v>19815.572468875202</v>
      </c>
      <c r="AN1243" s="2">
        <f t="shared" ca="1" si="1216"/>
        <v>20552.848424788044</v>
      </c>
      <c r="AO1243" s="2">
        <f t="shared" ca="1" si="1217"/>
        <v>21317.556130957902</v>
      </c>
      <c r="AP1243" s="2">
        <f t="shared" ca="1" si="1218"/>
        <v>2437834.0891657961</v>
      </c>
      <c r="AQ1243" s="2">
        <f t="shared" ca="1" si="1219"/>
        <v>714614.79395618173</v>
      </c>
      <c r="AR1243" s="2">
        <f t="shared" ca="1" si="1220"/>
        <v>770354.7776726929</v>
      </c>
      <c r="AS1243" s="2">
        <f t="shared" ca="1" si="1221"/>
        <v>822600.39086014288</v>
      </c>
      <c r="AT1243" s="2">
        <f t="shared" ca="1" si="1222"/>
        <v>876789.90117524518</v>
      </c>
      <c r="AU1243" s="2">
        <f t="shared" ca="1" si="1223"/>
        <v>932995.63499742805</v>
      </c>
      <c r="AV1243" s="2">
        <f t="shared" ca="1" si="1224"/>
        <v>2033903.6443368248</v>
      </c>
      <c r="AW1243" s="2">
        <f t="shared" ca="1" si="1225"/>
        <v>2173443.469150227</v>
      </c>
      <c r="AX1243" s="2">
        <f t="shared" ca="1" si="1226"/>
        <v>2321431.6938253776</v>
      </c>
      <c r="AY1243" s="2">
        <f t="shared" ca="1" si="1227"/>
        <v>2474926.1010739873</v>
      </c>
      <c r="AZ1243" s="2">
        <f t="shared" ca="1" si="1228"/>
        <v>2634131.5588617218</v>
      </c>
      <c r="BA1243" s="2">
        <f t="shared" ca="1" si="1229"/>
        <v>53477897.708780304</v>
      </c>
      <c r="BB1243" s="2">
        <f t="shared" ca="1" si="1230"/>
        <v>1069557.9541756061</v>
      </c>
      <c r="BC1243" s="2">
        <f t="shared" ca="1" si="1231"/>
        <v>25321294.319429185</v>
      </c>
      <c r="BD1243" s="2">
        <f t="shared" ca="1" si="1232"/>
        <v>-19686657.183249321</v>
      </c>
      <c r="BE1243" s="2">
        <f t="shared" ca="1" si="1233"/>
        <v>2033903.6443368248</v>
      </c>
      <c r="BF1243" s="2">
        <f t="shared" ca="1" si="1234"/>
        <v>2173443.469150227</v>
      </c>
      <c r="BG1243" s="2">
        <f t="shared" ca="1" si="1235"/>
        <v>2321431.6938253776</v>
      </c>
      <c r="BH1243" s="2">
        <f t="shared" ca="1" si="1236"/>
        <v>2474926.1010739873</v>
      </c>
      <c r="BI1243" s="2">
        <f t="shared" ca="1" si="1237"/>
        <v>27955425.878290907</v>
      </c>
      <c r="BJ1243" s="2">
        <f t="shared" ca="1" si="1238"/>
        <v>0.15781860311609619</v>
      </c>
      <c r="BK1243" s="2">
        <f t="shared" ca="1" si="1239"/>
        <v>2949852.9529442005</v>
      </c>
    </row>
    <row r="1244" spans="1:63" x14ac:dyDescent="0.3">
      <c r="A1244" s="2">
        <v>1243</v>
      </c>
      <c r="B1244" s="2">
        <f t="shared" ca="1" si="1178"/>
        <v>5.7111488056084236E-2</v>
      </c>
      <c r="C1244" s="2">
        <f t="shared" ca="1" si="1179"/>
        <v>6.3379688981432585</v>
      </c>
      <c r="D1244" s="2">
        <f t="shared" ca="1" si="1180"/>
        <v>0.18971954001118829</v>
      </c>
      <c r="E1244" s="2">
        <f t="shared" ca="1" si="1181"/>
        <v>7.1159862660988287</v>
      </c>
      <c r="F1244" s="2">
        <f t="shared" ca="1" si="1182"/>
        <v>0.43324241889519477</v>
      </c>
      <c r="G1244" s="2">
        <f t="shared" ca="1" si="1183"/>
        <v>3.4956246021229091E-2</v>
      </c>
      <c r="H1244" s="2">
        <f t="shared" ca="1" si="1184"/>
        <v>3.4956246021229091E-2</v>
      </c>
      <c r="I1244" s="2">
        <f t="shared" ca="1" si="1185"/>
        <v>0.91325400633787557</v>
      </c>
      <c r="J1244" s="2">
        <f t="shared" ca="1" si="1186"/>
        <v>1.6805343383162454E-2</v>
      </c>
      <c r="K1244" s="2">
        <f t="shared" ca="1" si="1187"/>
        <v>1.6805343383162454E-2</v>
      </c>
      <c r="L1244" s="2">
        <f t="shared" ca="1" si="1188"/>
        <v>0.96776518263329725</v>
      </c>
      <c r="M1244" s="2">
        <f t="shared" ca="1" si="1189"/>
        <v>3.6978362686713666E-2</v>
      </c>
      <c r="N1244" s="2">
        <f t="shared" ca="1" si="1190"/>
        <v>3.6978362686713666E-2</v>
      </c>
      <c r="O1244" s="2">
        <f t="shared" si="1191"/>
        <v>6000000</v>
      </c>
      <c r="P1244" s="2">
        <f t="shared" ca="1" si="1192"/>
        <v>38027813.388859548</v>
      </c>
      <c r="Q1244" s="2">
        <f t="shared" ca="1" si="1193"/>
        <v>950695.33472148876</v>
      </c>
      <c r="R1244" s="2">
        <f t="shared" ca="1" si="1194"/>
        <v>22816688.033315729</v>
      </c>
      <c r="S1244" s="2">
        <f t="shared" ca="1" si="1195"/>
        <v>15211125.35554382</v>
      </c>
      <c r="T1244" s="2">
        <f t="shared" ca="1" si="1196"/>
        <v>51848918.134335689</v>
      </c>
      <c r="U1244" s="2">
        <f t="shared" ca="1" si="1197"/>
        <v>53661361.672574095</v>
      </c>
      <c r="V1244" s="2">
        <f t="shared" ca="1" si="1198"/>
        <v>55537161.433034755</v>
      </c>
      <c r="W1244" s="2">
        <f t="shared" ca="1" si="1199"/>
        <v>57478532.111408636</v>
      </c>
      <c r="X1244" s="2">
        <f t="shared" ca="1" si="1200"/>
        <v>59487765.82083416</v>
      </c>
      <c r="Y1244" s="2">
        <f t="shared" ca="1" si="1201"/>
        <v>0.12840267169158123</v>
      </c>
      <c r="Z1244" s="2">
        <f t="shared" ca="1" si="1202"/>
        <v>0.1317637403682137</v>
      </c>
      <c r="AA1244" s="2">
        <f t="shared" ca="1" si="1203"/>
        <v>6657539.6127667781</v>
      </c>
      <c r="AB1244" s="2">
        <f t="shared" ca="1" si="1204"/>
        <v>7070621.7272298671</v>
      </c>
      <c r="AC1244" s="2">
        <f t="shared" ca="1" si="1205"/>
        <v>7317784.1198499622</v>
      </c>
      <c r="AD1244" s="2">
        <f t="shared" ca="1" si="1206"/>
        <v>7573586.3818736812</v>
      </c>
      <c r="AE1244" s="2">
        <f t="shared" ca="1" si="1207"/>
        <v>7838330.5307014892</v>
      </c>
      <c r="AF1244" s="2">
        <f t="shared" ca="1" si="1208"/>
        <v>1036978.3626867138</v>
      </c>
      <c r="AG1244" s="2">
        <f t="shared" ca="1" si="1209"/>
        <v>1073227.2334514819</v>
      </c>
      <c r="AH1244" s="2">
        <f t="shared" ca="1" si="1210"/>
        <v>1110743.228660695</v>
      </c>
      <c r="AI1244" s="2">
        <f t="shared" ca="1" si="1211"/>
        <v>1149570.6422281729</v>
      </c>
      <c r="AJ1244" s="2">
        <f t="shared" ca="1" si="1212"/>
        <v>1189755.3164166831</v>
      </c>
      <c r="AK1244" s="2">
        <f t="shared" ca="1" si="1213"/>
        <v>0</v>
      </c>
      <c r="AL1244" s="2">
        <f t="shared" ca="1" si="1214"/>
        <v>18124.435382384061</v>
      </c>
      <c r="AM1244" s="2">
        <f t="shared" ca="1" si="1215"/>
        <v>18757.9976046066</v>
      </c>
      <c r="AN1244" s="2">
        <f t="shared" ca="1" si="1216"/>
        <v>19413.706783738806</v>
      </c>
      <c r="AO1244" s="2">
        <f t="shared" ca="1" si="1217"/>
        <v>20092.337094255239</v>
      </c>
      <c r="AP1244" s="2">
        <f t="shared" ca="1" si="1218"/>
        <v>2053501.9229984155</v>
      </c>
      <c r="AQ1244" s="2">
        <f t="shared" ca="1" si="1219"/>
        <v>927435.42504122865</v>
      </c>
      <c r="AR1244" s="2">
        <f t="shared" ca="1" si="1220"/>
        <v>1025412.0684027922</v>
      </c>
      <c r="AS1244" s="2">
        <f t="shared" ca="1" si="1221"/>
        <v>1079920.1317296214</v>
      </c>
      <c r="AT1244" s="2">
        <f t="shared" ca="1" si="1222"/>
        <v>1136333.5923282441</v>
      </c>
      <c r="AU1244" s="2">
        <f t="shared" ca="1" si="1223"/>
        <v>1194719.0557344614</v>
      </c>
      <c r="AV1244" s="2">
        <f t="shared" ca="1" si="1224"/>
        <v>2639623.9020404201</v>
      </c>
      <c r="AW1244" s="2">
        <f t="shared" ca="1" si="1225"/>
        <v>2900356.0669947937</v>
      </c>
      <c r="AX1244" s="2">
        <f t="shared" ca="1" si="1226"/>
        <v>3054860.8388566235</v>
      </c>
      <c r="AY1244" s="2">
        <f t="shared" ca="1" si="1227"/>
        <v>3214766.51753511</v>
      </c>
      <c r="AZ1244" s="2">
        <f t="shared" ca="1" si="1228"/>
        <v>3380261.8984576743</v>
      </c>
      <c r="BA1244" s="2">
        <f t="shared" ca="1" si="1229"/>
        <v>55777452.405614942</v>
      </c>
      <c r="BB1244" s="2">
        <f t="shared" ca="1" si="1230"/>
        <v>1115549.0481122988</v>
      </c>
      <c r="BC1244" s="2">
        <f t="shared" ca="1" si="1231"/>
        <v>31845215.324186914</v>
      </c>
      <c r="BD1244" s="2">
        <f t="shared" ca="1" si="1232"/>
        <v>-16661820.690265309</v>
      </c>
      <c r="BE1244" s="2">
        <f t="shared" ca="1" si="1233"/>
        <v>2639623.9020404201</v>
      </c>
      <c r="BF1244" s="2">
        <f t="shared" ca="1" si="1234"/>
        <v>2900356.0669947937</v>
      </c>
      <c r="BG1244" s="2">
        <f t="shared" ca="1" si="1235"/>
        <v>3054860.8388566235</v>
      </c>
      <c r="BH1244" s="2">
        <f t="shared" ca="1" si="1236"/>
        <v>3214766.51753511</v>
      </c>
      <c r="BI1244" s="2">
        <f t="shared" ca="1" si="1237"/>
        <v>35225477.22264459</v>
      </c>
      <c r="BJ1244" s="2">
        <f t="shared" ca="1" si="1238"/>
        <v>0.28149471328072817</v>
      </c>
      <c r="BK1244" s="2">
        <f t="shared" ca="1" si="1239"/>
        <v>12212446.090747435</v>
      </c>
    </row>
    <row r="1245" spans="1:63" x14ac:dyDescent="0.3">
      <c r="A1245" s="2">
        <v>1244</v>
      </c>
      <c r="B1245" s="2">
        <f t="shared" ca="1" si="1178"/>
        <v>0.40697086069664556</v>
      </c>
      <c r="C1245" s="2">
        <f t="shared" ca="1" si="1179"/>
        <v>6.9021871875577103</v>
      </c>
      <c r="D1245" s="2">
        <f t="shared" ca="1" si="1180"/>
        <v>0.16645827878385622</v>
      </c>
      <c r="E1245" s="2">
        <f t="shared" ca="1" si="1181"/>
        <v>7.0769892178955445</v>
      </c>
      <c r="F1245" s="2">
        <f t="shared" ca="1" si="1182"/>
        <v>0.61191754621629479</v>
      </c>
      <c r="G1245" s="2">
        <f t="shared" ca="1" si="1183"/>
        <v>4.8529609903939772E-2</v>
      </c>
      <c r="H1245" s="2">
        <f t="shared" ca="1" si="1184"/>
        <v>4.8529609903939772E-2</v>
      </c>
      <c r="I1245" s="2">
        <f t="shared" ca="1" si="1185"/>
        <v>0.89182110749084453</v>
      </c>
      <c r="J1245" s="2">
        <f t="shared" ca="1" si="1186"/>
        <v>1.6181355833077962E-2</v>
      </c>
      <c r="K1245" s="2">
        <f t="shared" ca="1" si="1187"/>
        <v>1.6181355833077962E-2</v>
      </c>
      <c r="L1245" s="2">
        <f t="shared" ca="1" si="1188"/>
        <v>0.16484362158060217</v>
      </c>
      <c r="M1245" s="2">
        <f t="shared" ca="1" si="1189"/>
        <v>-1.9494880735008997E-2</v>
      </c>
      <c r="N1245" s="2">
        <f t="shared" ca="1" si="1190"/>
        <v>-1.9494880735008997E-2</v>
      </c>
      <c r="O1245" s="2">
        <f t="shared" si="1191"/>
        <v>6000000</v>
      </c>
      <c r="P1245" s="2">
        <f t="shared" ca="1" si="1192"/>
        <v>41413123.125346258</v>
      </c>
      <c r="Q1245" s="2">
        <f t="shared" ca="1" si="1193"/>
        <v>1035328.0781336565</v>
      </c>
      <c r="R1245" s="2">
        <f t="shared" ca="1" si="1194"/>
        <v>24847873.875207756</v>
      </c>
      <c r="S1245" s="2">
        <f t="shared" ca="1" si="1195"/>
        <v>16565249.250138504</v>
      </c>
      <c r="T1245" s="2">
        <f t="shared" ca="1" si="1196"/>
        <v>49025255.963249549</v>
      </c>
      <c r="U1245" s="2">
        <f t="shared" ca="1" si="1197"/>
        <v>51404432.51058685</v>
      </c>
      <c r="V1245" s="2">
        <f t="shared" ca="1" si="1198"/>
        <v>53899069.567659035</v>
      </c>
      <c r="W1245" s="2">
        <f t="shared" ca="1" si="1199"/>
        <v>56514770.38796284</v>
      </c>
      <c r="X1245" s="2">
        <f t="shared" ca="1" si="1200"/>
        <v>59257410.148701407</v>
      </c>
      <c r="Y1245" s="2">
        <f t="shared" ca="1" si="1201"/>
        <v>0.12809067791653897</v>
      </c>
      <c r="Z1245" s="2">
        <f t="shared" ca="1" si="1202"/>
        <v>0.13132694908315456</v>
      </c>
      <c r="AA1245" s="2">
        <f t="shared" ca="1" si="1203"/>
        <v>6279678.2713644793</v>
      </c>
      <c r="AB1245" s="2">
        <f t="shared" ca="1" si="1204"/>
        <v>6750787.2909662947</v>
      </c>
      <c r="AC1245" s="2">
        <f t="shared" ca="1" si="1205"/>
        <v>7078400.3647413636</v>
      </c>
      <c r="AD1245" s="2">
        <f t="shared" ca="1" si="1206"/>
        <v>7421912.3731861673</v>
      </c>
      <c r="AE1245" s="2">
        <f t="shared" ca="1" si="1207"/>
        <v>7782094.885398116</v>
      </c>
      <c r="AF1245" s="2">
        <f t="shared" ca="1" si="1208"/>
        <v>980505.11926499102</v>
      </c>
      <c r="AG1245" s="2">
        <f t="shared" ca="1" si="1209"/>
        <v>1028088.650211737</v>
      </c>
      <c r="AH1245" s="2">
        <f t="shared" ca="1" si="1210"/>
        <v>1077981.3913531806</v>
      </c>
      <c r="AI1245" s="2">
        <f t="shared" ca="1" si="1211"/>
        <v>1130295.4077592569</v>
      </c>
      <c r="AJ1245" s="2">
        <f t="shared" ca="1" si="1212"/>
        <v>1185148.2029740282</v>
      </c>
      <c r="AK1245" s="2">
        <f t="shared" ca="1" si="1213"/>
        <v>0</v>
      </c>
      <c r="AL1245" s="2">
        <f t="shared" ca="1" si="1214"/>
        <v>23791.765473373012</v>
      </c>
      <c r="AM1245" s="2">
        <f t="shared" ca="1" si="1215"/>
        <v>24946.370570721851</v>
      </c>
      <c r="AN1245" s="2">
        <f t="shared" ca="1" si="1216"/>
        <v>26157.008203038051</v>
      </c>
      <c r="AO1245" s="2">
        <f t="shared" ca="1" si="1217"/>
        <v>27426.397607385665</v>
      </c>
      <c r="AP1245" s="2">
        <f t="shared" ca="1" si="1218"/>
        <v>2236308.6487686979</v>
      </c>
      <c r="AQ1245" s="2">
        <f t="shared" ca="1" si="1219"/>
        <v>796344.77086600557</v>
      </c>
      <c r="AR1245" s="2">
        <f t="shared" ca="1" si="1220"/>
        <v>906461.39791632374</v>
      </c>
      <c r="AS1245" s="2">
        <f t="shared" ca="1" si="1221"/>
        <v>978668.68440106616</v>
      </c>
      <c r="AT1245" s="2">
        <f t="shared" ca="1" si="1222"/>
        <v>1054380.1623311355</v>
      </c>
      <c r="AU1245" s="2">
        <f t="shared" ca="1" si="1223"/>
        <v>1133765.8887504016</v>
      </c>
      <c r="AV1245" s="2">
        <f t="shared" ca="1" si="1224"/>
        <v>2266519.7324647848</v>
      </c>
      <c r="AW1245" s="2">
        <f t="shared" ca="1" si="1225"/>
        <v>2556136.8285961635</v>
      </c>
      <c r="AX1245" s="2">
        <f t="shared" ca="1" si="1226"/>
        <v>2760495.269647697</v>
      </c>
      <c r="AY1245" s="2">
        <f t="shared" ca="1" si="1227"/>
        <v>2974771.1461240398</v>
      </c>
      <c r="AZ1245" s="2">
        <f t="shared" ca="1" si="1228"/>
        <v>3199445.7472976027</v>
      </c>
      <c r="BA1245" s="2">
        <f t="shared" ca="1" si="1229"/>
        <v>55073801.596602529</v>
      </c>
      <c r="BB1245" s="2">
        <f t="shared" ca="1" si="1230"/>
        <v>1101476.0319320506</v>
      </c>
      <c r="BC1245" s="2">
        <f t="shared" ca="1" si="1231"/>
        <v>29124451.689462721</v>
      </c>
      <c r="BD1245" s="2">
        <f t="shared" ca="1" si="1232"/>
        <v>-18100577.32827216</v>
      </c>
      <c r="BE1245" s="2">
        <f t="shared" ca="1" si="1233"/>
        <v>2266519.7324647848</v>
      </c>
      <c r="BF1245" s="2">
        <f t="shared" ca="1" si="1234"/>
        <v>2556136.8285961635</v>
      </c>
      <c r="BG1245" s="2">
        <f t="shared" ca="1" si="1235"/>
        <v>2760495.269647697</v>
      </c>
      <c r="BH1245" s="2">
        <f t="shared" ca="1" si="1236"/>
        <v>2974771.1461240398</v>
      </c>
      <c r="BI1245" s="2">
        <f t="shared" ca="1" si="1237"/>
        <v>32323897.436760325</v>
      </c>
      <c r="BJ1245" s="2">
        <f t="shared" ca="1" si="1238"/>
        <v>0.22489110572642823</v>
      </c>
      <c r="BK1245" s="2">
        <f t="shared" ca="1" si="1239"/>
        <v>8157671.9709330983</v>
      </c>
    </row>
    <row r="1246" spans="1:63" x14ac:dyDescent="0.3">
      <c r="A1246" s="2">
        <v>1245</v>
      </c>
      <c r="B1246" s="2">
        <f t="shared" ca="1" si="1178"/>
        <v>7.1216686784503991E-2</v>
      </c>
      <c r="C1246" s="2">
        <f t="shared" ca="1" si="1179"/>
        <v>6.3774034625821656</v>
      </c>
      <c r="D1246" s="2">
        <f t="shared" ca="1" si="1180"/>
        <v>0.56424474751028963</v>
      </c>
      <c r="E1246" s="2">
        <f t="shared" ca="1" si="1181"/>
        <v>7.5664527301847961</v>
      </c>
      <c r="F1246" s="2">
        <f t="shared" ca="1" si="1182"/>
        <v>0.60115500014485745</v>
      </c>
      <c r="G1246" s="2">
        <f t="shared" ca="1" si="1183"/>
        <v>4.7690134472421666E-2</v>
      </c>
      <c r="H1246" s="2">
        <f t="shared" ca="1" si="1184"/>
        <v>4.7690134472421666E-2</v>
      </c>
      <c r="I1246" s="2">
        <f t="shared" ca="1" si="1185"/>
        <v>0.30252569532134865</v>
      </c>
      <c r="J1246" s="2">
        <f t="shared" ca="1" si="1186"/>
        <v>7.4142495577671991E-3</v>
      </c>
      <c r="K1246" s="2">
        <f t="shared" ca="1" si="1187"/>
        <v>7.4142495577671991E-3</v>
      </c>
      <c r="L1246" s="2">
        <f t="shared" ca="1" si="1188"/>
        <v>0.30954228814622886</v>
      </c>
      <c r="M1246" s="2">
        <f t="shared" ca="1" si="1189"/>
        <v>-9.9429631645596688E-3</v>
      </c>
      <c r="N1246" s="2">
        <f t="shared" ca="1" si="1190"/>
        <v>-9.9429631645596688E-3</v>
      </c>
      <c r="O1246" s="2">
        <f t="shared" si="1191"/>
        <v>6000000</v>
      </c>
      <c r="P1246" s="2">
        <f t="shared" ca="1" si="1192"/>
        <v>38264420.775492996</v>
      </c>
      <c r="Q1246" s="2">
        <f t="shared" ca="1" si="1193"/>
        <v>956610.51938732492</v>
      </c>
      <c r="R1246" s="2">
        <f t="shared" ca="1" si="1194"/>
        <v>22958652.465295795</v>
      </c>
      <c r="S1246" s="2">
        <f t="shared" ca="1" si="1195"/>
        <v>15305768.310197199</v>
      </c>
      <c r="T1246" s="2">
        <f t="shared" ca="1" si="1196"/>
        <v>49502851.84177202</v>
      </c>
      <c r="U1246" s="2">
        <f t="shared" ca="1" si="1197"/>
        <v>51863649.502874494</v>
      </c>
      <c r="V1246" s="2">
        <f t="shared" ca="1" si="1198"/>
        <v>54337033.921897121</v>
      </c>
      <c r="W1246" s="2">
        <f t="shared" ca="1" si="1199"/>
        <v>56928374.376464933</v>
      </c>
      <c r="X1246" s="2">
        <f t="shared" ca="1" si="1200"/>
        <v>59643296.205774911</v>
      </c>
      <c r="Y1246" s="2">
        <f t="shared" ca="1" si="1201"/>
        <v>0.1237071247788836</v>
      </c>
      <c r="Z1246" s="2">
        <f t="shared" ca="1" si="1202"/>
        <v>0.12518997469043702</v>
      </c>
      <c r="AA1246" s="2">
        <f t="shared" ca="1" si="1203"/>
        <v>6123855.4697006792</v>
      </c>
      <c r="AB1246" s="2">
        <f t="shared" ca="1" si="1204"/>
        <v>6492808.9686185541</v>
      </c>
      <c r="AC1246" s="2">
        <f t="shared" ca="1" si="1205"/>
        <v>6802451.9014357189</v>
      </c>
      <c r="AD1246" s="2">
        <f t="shared" ca="1" si="1206"/>
        <v>7126861.7473573685</v>
      </c>
      <c r="AE1246" s="2">
        <f t="shared" ca="1" si="1207"/>
        <v>7466742.7424551994</v>
      </c>
      <c r="AF1246" s="2">
        <f t="shared" ca="1" si="1208"/>
        <v>990057.03683544043</v>
      </c>
      <c r="AG1246" s="2">
        <f t="shared" ca="1" si="1209"/>
        <v>1037272.99005749</v>
      </c>
      <c r="AH1246" s="2">
        <f t="shared" ca="1" si="1210"/>
        <v>1086740.6784379424</v>
      </c>
      <c r="AI1246" s="2">
        <f t="shared" ca="1" si="1211"/>
        <v>1138567.4875292988</v>
      </c>
      <c r="AJ1246" s="2">
        <f t="shared" ca="1" si="1212"/>
        <v>1192865.9241154983</v>
      </c>
      <c r="AK1246" s="2">
        <f t="shared" ca="1" si="1213"/>
        <v>0</v>
      </c>
      <c r="AL1246" s="2">
        <f t="shared" ca="1" si="1214"/>
        <v>23607.976611024736</v>
      </c>
      <c r="AM1246" s="2">
        <f t="shared" ca="1" si="1215"/>
        <v>24733.844190226271</v>
      </c>
      <c r="AN1246" s="2">
        <f t="shared" ca="1" si="1216"/>
        <v>25913.404545678124</v>
      </c>
      <c r="AO1246" s="2">
        <f t="shared" ca="1" si="1217"/>
        <v>27149.218293099777</v>
      </c>
      <c r="AP1246" s="2">
        <f t="shared" ca="1" si="1218"/>
        <v>2066278.7218766215</v>
      </c>
      <c r="AQ1246" s="2">
        <f t="shared" ca="1" si="1219"/>
        <v>797555.12485704059</v>
      </c>
      <c r="AR1246" s="2">
        <f t="shared" ca="1" si="1220"/>
        <v>881206.88673795515</v>
      </c>
      <c r="AS1246" s="2">
        <f t="shared" ca="1" si="1221"/>
        <v>948852.45029150031</v>
      </c>
      <c r="AT1246" s="2">
        <f t="shared" ca="1" si="1222"/>
        <v>1019724.0398673768</v>
      </c>
      <c r="AU1246" s="2">
        <f t="shared" ca="1" si="1223"/>
        <v>1093975.5050804007</v>
      </c>
      <c r="AV1246" s="2">
        <f t="shared" ca="1" si="1224"/>
        <v>2269964.5861315764</v>
      </c>
      <c r="AW1246" s="2">
        <f t="shared" ca="1" si="1225"/>
        <v>2484442.3933354635</v>
      </c>
      <c r="AX1246" s="2">
        <f t="shared" ca="1" si="1226"/>
        <v>2675846.2066394286</v>
      </c>
      <c r="AY1246" s="2">
        <f t="shared" ca="1" si="1227"/>
        <v>2876378.0935383942</v>
      </c>
      <c r="AZ1246" s="2">
        <f t="shared" ca="1" si="1228"/>
        <v>3086473.3730895789</v>
      </c>
      <c r="BA1246" s="2">
        <f t="shared" ca="1" si="1229"/>
        <v>56496756.009237655</v>
      </c>
      <c r="BB1246" s="2">
        <f t="shared" ca="1" si="1230"/>
        <v>1129935.1201847531</v>
      </c>
      <c r="BC1246" s="2">
        <f t="shared" ca="1" si="1231"/>
        <v>32408168.423757106</v>
      </c>
      <c r="BD1246" s="2">
        <f t="shared" ca="1" si="1232"/>
        <v>-16762378.829584524</v>
      </c>
      <c r="BE1246" s="2">
        <f t="shared" ca="1" si="1233"/>
        <v>2269964.5861315764</v>
      </c>
      <c r="BF1246" s="2">
        <f t="shared" ca="1" si="1234"/>
        <v>2484442.3933354635</v>
      </c>
      <c r="BG1246" s="2">
        <f t="shared" ca="1" si="1235"/>
        <v>2675846.2066394286</v>
      </c>
      <c r="BH1246" s="2">
        <f t="shared" ca="1" si="1236"/>
        <v>2876378.0935383942</v>
      </c>
      <c r="BI1246" s="2">
        <f t="shared" ca="1" si="1237"/>
        <v>35494641.796846688</v>
      </c>
      <c r="BJ1246" s="2">
        <f t="shared" ca="1" si="1238"/>
        <v>0.26476300645611506</v>
      </c>
      <c r="BK1246" s="2">
        <f t="shared" ca="1" si="1239"/>
        <v>11118175.274757389</v>
      </c>
    </row>
    <row r="1247" spans="1:63" x14ac:dyDescent="0.3">
      <c r="A1247" s="2">
        <v>1246</v>
      </c>
      <c r="B1247" s="2">
        <f t="shared" ca="1" si="1178"/>
        <v>1.2600717541872974E-3</v>
      </c>
      <c r="C1247" s="2">
        <f t="shared" ca="1" si="1179"/>
        <v>6.0502010309493199</v>
      </c>
      <c r="D1247" s="2">
        <f t="shared" ca="1" si="1180"/>
        <v>0.73398185932150639</v>
      </c>
      <c r="E1247" s="2">
        <f t="shared" ca="1" si="1181"/>
        <v>7.7705918280160367</v>
      </c>
      <c r="F1247" s="2">
        <f t="shared" ca="1" si="1182"/>
        <v>0.58353424666701392</v>
      </c>
      <c r="G1247" s="2">
        <f t="shared" ca="1" si="1183"/>
        <v>4.6328299348634194E-2</v>
      </c>
      <c r="H1247" s="2">
        <f t="shared" ca="1" si="1184"/>
        <v>4.6328299348634194E-2</v>
      </c>
      <c r="I1247" s="2">
        <f t="shared" ca="1" si="1185"/>
        <v>0.1854075580439859</v>
      </c>
      <c r="J1247" s="2">
        <f t="shared" ca="1" si="1186"/>
        <v>5.5252621524697577E-3</v>
      </c>
      <c r="K1247" s="2">
        <f t="shared" ca="1" si="1187"/>
        <v>5.5252621524697577E-3</v>
      </c>
      <c r="L1247" s="2">
        <f t="shared" ca="1" si="1188"/>
        <v>0.41315796726051823</v>
      </c>
      <c r="M1247" s="2">
        <f t="shared" ca="1" si="1189"/>
        <v>-4.3885786438318123E-3</v>
      </c>
      <c r="N1247" s="2">
        <f t="shared" ca="1" si="1190"/>
        <v>-4.3885786438318123E-3</v>
      </c>
      <c r="O1247" s="2">
        <f t="shared" si="1191"/>
        <v>6000000</v>
      </c>
      <c r="P1247" s="2">
        <f t="shared" ca="1" si="1192"/>
        <v>36301206.185695916</v>
      </c>
      <c r="Q1247" s="2">
        <f t="shared" ca="1" si="1193"/>
        <v>907530.154642398</v>
      </c>
      <c r="R1247" s="2">
        <f t="shared" ca="1" si="1194"/>
        <v>21780723.711417548</v>
      </c>
      <c r="S1247" s="2">
        <f t="shared" ca="1" si="1195"/>
        <v>14520482.474278368</v>
      </c>
      <c r="T1247" s="2">
        <f t="shared" ca="1" si="1196"/>
        <v>49780571.067808412</v>
      </c>
      <c r="U1247" s="2">
        <f t="shared" ca="1" si="1197"/>
        <v>52086820.265983805</v>
      </c>
      <c r="V1247" s="2">
        <f t="shared" ca="1" si="1198"/>
        <v>54499914.067384809</v>
      </c>
      <c r="W1247" s="2">
        <f t="shared" ca="1" si="1199"/>
        <v>57024802.400773458</v>
      </c>
      <c r="X1247" s="2">
        <f t="shared" ca="1" si="1200"/>
        <v>59666664.516693205</v>
      </c>
      <c r="Y1247" s="2">
        <f t="shared" ca="1" si="1201"/>
        <v>0.12276263107623488</v>
      </c>
      <c r="Z1247" s="2">
        <f t="shared" ca="1" si="1202"/>
        <v>0.12386768350672883</v>
      </c>
      <c r="AA1247" s="2">
        <f t="shared" ca="1" si="1203"/>
        <v>6111193.880761656</v>
      </c>
      <c r="AB1247" s="2">
        <f t="shared" ca="1" si="1204"/>
        <v>6451873.7675787508</v>
      </c>
      <c r="AC1247" s="2">
        <f t="shared" ca="1" si="1205"/>
        <v>6750778.1068427404</v>
      </c>
      <c r="AD1247" s="2">
        <f t="shared" ca="1" si="1206"/>
        <v>7063530.1758127576</v>
      </c>
      <c r="AE1247" s="2">
        <f t="shared" ca="1" si="1207"/>
        <v>7390771.5162559217</v>
      </c>
      <c r="AF1247" s="2">
        <f t="shared" ca="1" si="1208"/>
        <v>995611.42135616823</v>
      </c>
      <c r="AG1247" s="2">
        <f t="shared" ca="1" si="1209"/>
        <v>1041736.4053196762</v>
      </c>
      <c r="AH1247" s="2">
        <f t="shared" ca="1" si="1210"/>
        <v>1089998.2813476962</v>
      </c>
      <c r="AI1247" s="2">
        <f t="shared" ca="1" si="1211"/>
        <v>1140496.0480154692</v>
      </c>
      <c r="AJ1247" s="2">
        <f t="shared" ca="1" si="1212"/>
        <v>1193333.290333864</v>
      </c>
      <c r="AK1247" s="2">
        <f t="shared" ca="1" si="1213"/>
        <v>0</v>
      </c>
      <c r="AL1247" s="2">
        <f t="shared" ca="1" si="1214"/>
        <v>23062.49198175393</v>
      </c>
      <c r="AM1247" s="2">
        <f t="shared" ca="1" si="1215"/>
        <v>24130.938014010044</v>
      </c>
      <c r="AN1247" s="2">
        <f t="shared" ca="1" si="1216"/>
        <v>25248.88333388649</v>
      </c>
      <c r="AO1247" s="2">
        <f t="shared" ca="1" si="1217"/>
        <v>26418.621159197464</v>
      </c>
      <c r="AP1247" s="2">
        <f t="shared" ca="1" si="1218"/>
        <v>1960265.1340275793</v>
      </c>
      <c r="AQ1247" s="2">
        <f t="shared" ca="1" si="1219"/>
        <v>820382.50459825608</v>
      </c>
      <c r="AR1247" s="2">
        <f t="shared" ca="1" si="1220"/>
        <v>896966.77934018895</v>
      </c>
      <c r="AS1247" s="2">
        <f t="shared" ca="1" si="1221"/>
        <v>962133.81978154078</v>
      </c>
      <c r="AT1247" s="2">
        <f t="shared" ca="1" si="1222"/>
        <v>1030319.9383801245</v>
      </c>
      <c r="AU1247" s="2">
        <f t="shared" ca="1" si="1223"/>
        <v>1101665.0038925642</v>
      </c>
      <c r="AV1247" s="2">
        <f t="shared" ca="1" si="1224"/>
        <v>2334934.8207796519</v>
      </c>
      <c r="AW1247" s="2">
        <f t="shared" ca="1" si="1225"/>
        <v>2529842.9569095527</v>
      </c>
      <c r="AX1247" s="2">
        <f t="shared" ca="1" si="1226"/>
        <v>2714249.9336719136</v>
      </c>
      <c r="AY1247" s="2">
        <f t="shared" ca="1" si="1227"/>
        <v>2907200.1720556994</v>
      </c>
      <c r="AZ1247" s="2">
        <f t="shared" ca="1" si="1228"/>
        <v>3109089.4668427161</v>
      </c>
      <c r="BA1247" s="2">
        <f t="shared" ca="1" si="1229"/>
        <v>57430668.74695196</v>
      </c>
      <c r="BB1247" s="2">
        <f t="shared" ca="1" si="1230"/>
        <v>1148613.3749390391</v>
      </c>
      <c r="BC1247" s="2">
        <f t="shared" ca="1" si="1231"/>
        <v>34501331.660595372</v>
      </c>
      <c r="BD1247" s="2">
        <f t="shared" ca="1" si="1232"/>
        <v>-15928012.628920766</v>
      </c>
      <c r="BE1247" s="2">
        <f t="shared" ca="1" si="1233"/>
        <v>2334934.8207796519</v>
      </c>
      <c r="BF1247" s="2">
        <f t="shared" ca="1" si="1234"/>
        <v>2529842.9569095527</v>
      </c>
      <c r="BG1247" s="2">
        <f t="shared" ca="1" si="1235"/>
        <v>2714249.9336719136</v>
      </c>
      <c r="BH1247" s="2">
        <f t="shared" ca="1" si="1236"/>
        <v>2907200.1720556994</v>
      </c>
      <c r="BI1247" s="2">
        <f t="shared" ca="1" si="1237"/>
        <v>37610421.127438091</v>
      </c>
      <c r="BJ1247" s="2">
        <f t="shared" ca="1" si="1238"/>
        <v>0.2948733650264197</v>
      </c>
      <c r="BK1247" s="2">
        <f t="shared" ca="1" si="1239"/>
        <v>13294216.680226201</v>
      </c>
    </row>
    <row r="1248" spans="1:63" x14ac:dyDescent="0.3">
      <c r="A1248" s="2">
        <v>1247</v>
      </c>
      <c r="B1248" s="2">
        <f t="shared" ca="1" si="1178"/>
        <v>0.93111548349884055</v>
      </c>
      <c r="C1248" s="2">
        <f t="shared" ca="1" si="1179"/>
        <v>7.628827488891865</v>
      </c>
      <c r="D1248" s="2">
        <f t="shared" ca="1" si="1180"/>
        <v>0.4702813429896584</v>
      </c>
      <c r="E1248" s="2">
        <f t="shared" ca="1" si="1181"/>
        <v>7.4698261112072188</v>
      </c>
      <c r="F1248" s="2">
        <f t="shared" ca="1" si="1182"/>
        <v>6.9181418440574571E-2</v>
      </c>
      <c r="G1248" s="2">
        <f t="shared" ca="1" si="1183"/>
        <v>-4.4574586149161502E-3</v>
      </c>
      <c r="H1248" s="2">
        <f t="shared" ca="1" si="1184"/>
        <v>-4.4574586149161502E-3</v>
      </c>
      <c r="I1248" s="2">
        <f t="shared" ca="1" si="1185"/>
        <v>0.42986631811505405</v>
      </c>
      <c r="J1248" s="2">
        <f t="shared" ca="1" si="1186"/>
        <v>9.1164274074190688E-3</v>
      </c>
      <c r="K1248" s="2">
        <f t="shared" ca="1" si="1187"/>
        <v>9.1164274074190688E-3</v>
      </c>
      <c r="L1248" s="2">
        <f t="shared" ca="1" si="1188"/>
        <v>0.32878525758083343</v>
      </c>
      <c r="M1248" s="2">
        <f t="shared" ca="1" si="1189"/>
        <v>-8.8653982640973118E-3</v>
      </c>
      <c r="N1248" s="2">
        <f t="shared" ca="1" si="1190"/>
        <v>-8.8653982640973118E-3</v>
      </c>
      <c r="O1248" s="2">
        <f t="shared" si="1191"/>
        <v>6000000</v>
      </c>
      <c r="P1248" s="2">
        <f t="shared" ca="1" si="1192"/>
        <v>45772964.933351189</v>
      </c>
      <c r="Q1248" s="2">
        <f t="shared" ca="1" si="1193"/>
        <v>1144324.1233337799</v>
      </c>
      <c r="R1248" s="2">
        <f t="shared" ca="1" si="1194"/>
        <v>27463778.960010711</v>
      </c>
      <c r="S1248" s="2">
        <f t="shared" ca="1" si="1195"/>
        <v>18309185.973340478</v>
      </c>
      <c r="T1248" s="2">
        <f t="shared" ca="1" si="1196"/>
        <v>49556730.086795136</v>
      </c>
      <c r="U1248" s="2">
        <f t="shared" ca="1" si="1197"/>
        <v>49335833.013342671</v>
      </c>
      <c r="V1248" s="2">
        <f t="shared" ca="1" si="1198"/>
        <v>49115920.579453282</v>
      </c>
      <c r="W1248" s="2">
        <f t="shared" ca="1" si="1199"/>
        <v>48896988.396136858</v>
      </c>
      <c r="X1248" s="2">
        <f t="shared" ca="1" si="1200"/>
        <v>48679032.093967043</v>
      </c>
      <c r="Y1248" s="2">
        <f t="shared" ca="1" si="1201"/>
        <v>0.12455821370370954</v>
      </c>
      <c r="Z1248" s="2">
        <f t="shared" ca="1" si="1202"/>
        <v>0.12638149918519334</v>
      </c>
      <c r="AA1248" s="2">
        <f t="shared" ca="1" si="1203"/>
        <v>6172697.7766080806</v>
      </c>
      <c r="AB1248" s="2">
        <f t="shared" ca="1" si="1204"/>
        <v>6235136.5397766018</v>
      </c>
      <c r="AC1248" s="2">
        <f t="shared" ca="1" si="1205"/>
        <v>6207343.6766921962</v>
      </c>
      <c r="AD1248" s="2">
        <f t="shared" ca="1" si="1206"/>
        <v>6179674.6991447788</v>
      </c>
      <c r="AE1248" s="2">
        <f t="shared" ca="1" si="1207"/>
        <v>6152129.0549196964</v>
      </c>
      <c r="AF1248" s="2">
        <f t="shared" ca="1" si="1208"/>
        <v>991134.60173590272</v>
      </c>
      <c r="AG1248" s="2">
        <f t="shared" ca="1" si="1209"/>
        <v>986716.6602668534</v>
      </c>
      <c r="AH1248" s="2">
        <f t="shared" ca="1" si="1210"/>
        <v>982318.41158906568</v>
      </c>
      <c r="AI1248" s="2">
        <f t="shared" ca="1" si="1211"/>
        <v>977939.76792273717</v>
      </c>
      <c r="AJ1248" s="2">
        <f t="shared" ca="1" si="1212"/>
        <v>973580.64187934087</v>
      </c>
      <c r="AK1248" s="2">
        <f t="shared" ca="1" si="1213"/>
        <v>0</v>
      </c>
      <c r="AL1248" s="2">
        <f t="shared" ca="1" si="1214"/>
        <v>0</v>
      </c>
      <c r="AM1248" s="2">
        <f t="shared" ca="1" si="1215"/>
        <v>0</v>
      </c>
      <c r="AN1248" s="2">
        <f t="shared" ca="1" si="1216"/>
        <v>0</v>
      </c>
      <c r="AO1248" s="2">
        <f t="shared" ca="1" si="1217"/>
        <v>0</v>
      </c>
      <c r="AP1248" s="2">
        <f t="shared" ca="1" si="1218"/>
        <v>2471740.1064009639</v>
      </c>
      <c r="AQ1248" s="2">
        <f t="shared" ca="1" si="1219"/>
        <v>704553.99780251563</v>
      </c>
      <c r="AR1248" s="2">
        <f t="shared" ca="1" si="1220"/>
        <v>721936.74100828415</v>
      </c>
      <c r="AS1248" s="2">
        <f t="shared" ca="1" si="1221"/>
        <v>715854.14126256341</v>
      </c>
      <c r="AT1248" s="2">
        <f t="shared" ca="1" si="1222"/>
        <v>709798.65445348038</v>
      </c>
      <c r="AU1248" s="2">
        <f t="shared" ca="1" si="1223"/>
        <v>703770.15972624195</v>
      </c>
      <c r="AV1248" s="2">
        <f t="shared" ca="1" si="1224"/>
        <v>2005269.0706686983</v>
      </c>
      <c r="AW1248" s="2">
        <f t="shared" ca="1" si="1225"/>
        <v>2054743.0321005005</v>
      </c>
      <c r="AX1248" s="2">
        <f t="shared" ca="1" si="1226"/>
        <v>2037431.0174396029</v>
      </c>
      <c r="AY1248" s="2">
        <f t="shared" ca="1" si="1227"/>
        <v>2020196.1703675976</v>
      </c>
      <c r="AZ1248" s="2">
        <f t="shared" ca="1" si="1228"/>
        <v>2003038.1469131503</v>
      </c>
      <c r="BA1248" s="2">
        <f t="shared" ca="1" si="1229"/>
        <v>45955334.253955737</v>
      </c>
      <c r="BB1248" s="2">
        <f t="shared" ca="1" si="1230"/>
        <v>919106.68507911474</v>
      </c>
      <c r="BC1248" s="2">
        <f t="shared" ca="1" si="1231"/>
        <v>17572448.608865909</v>
      </c>
      <c r="BD1248" s="2">
        <f t="shared" ca="1" si="1232"/>
        <v>-19953510.096674256</v>
      </c>
      <c r="BE1248" s="2">
        <f t="shared" ca="1" si="1233"/>
        <v>2005269.0706686983</v>
      </c>
      <c r="BF1248" s="2">
        <f t="shared" ca="1" si="1234"/>
        <v>2054743.0321005005</v>
      </c>
      <c r="BG1248" s="2">
        <f t="shared" ca="1" si="1235"/>
        <v>2037431.0174396029</v>
      </c>
      <c r="BH1248" s="2">
        <f t="shared" ca="1" si="1236"/>
        <v>2020196.1703675976</v>
      </c>
      <c r="BI1248" s="2">
        <f t="shared" ca="1" si="1237"/>
        <v>19575486.755779058</v>
      </c>
      <c r="BJ1248" s="2">
        <f t="shared" ca="1" si="1238"/>
        <v>8.1175888210578862E-2</v>
      </c>
      <c r="BK1248" s="2">
        <f t="shared" ca="1" si="1239"/>
        <v>-2683331.4767645672</v>
      </c>
    </row>
    <row r="1249" spans="1:63" x14ac:dyDescent="0.3">
      <c r="A1249" s="2">
        <v>1248</v>
      </c>
      <c r="B1249" s="2">
        <f t="shared" ca="1" si="1178"/>
        <v>3.5957771974048258E-2</v>
      </c>
      <c r="C1249" s="2">
        <f t="shared" ca="1" si="1179"/>
        <v>6.2681707365617969</v>
      </c>
      <c r="D1249" s="2">
        <f t="shared" ca="1" si="1180"/>
        <v>0.59801804440699935</v>
      </c>
      <c r="E1249" s="2">
        <f t="shared" ca="1" si="1181"/>
        <v>7.6033596533804637</v>
      </c>
      <c r="F1249" s="2">
        <f t="shared" ca="1" si="1182"/>
        <v>0.72068909053554786</v>
      </c>
      <c r="G1249" s="2">
        <f t="shared" ca="1" si="1183"/>
        <v>5.7546693935625066E-2</v>
      </c>
      <c r="H1249" s="2">
        <f t="shared" ca="1" si="1184"/>
        <v>5.7546693935625066E-2</v>
      </c>
      <c r="I1249" s="2">
        <f t="shared" ca="1" si="1185"/>
        <v>0.84931315444017397</v>
      </c>
      <c r="J1249" s="2">
        <f t="shared" ca="1" si="1186"/>
        <v>1.5167460227684358E-2</v>
      </c>
      <c r="K1249" s="2">
        <f t="shared" ca="1" si="1187"/>
        <v>1.5167460227684358E-2</v>
      </c>
      <c r="L1249" s="2">
        <f t="shared" ca="1" si="1188"/>
        <v>0.32873950865818402</v>
      </c>
      <c r="M1249" s="2">
        <f t="shared" ca="1" si="1189"/>
        <v>-8.8679286097669962E-3</v>
      </c>
      <c r="N1249" s="2">
        <f t="shared" ca="1" si="1190"/>
        <v>-8.8679286097669962E-3</v>
      </c>
      <c r="O1249" s="2">
        <f t="shared" si="1191"/>
        <v>6000000</v>
      </c>
      <c r="P1249" s="2">
        <f t="shared" ca="1" si="1192"/>
        <v>37609024.419370778</v>
      </c>
      <c r="Q1249" s="2">
        <f t="shared" ca="1" si="1193"/>
        <v>940225.61048426945</v>
      </c>
      <c r="R1249" s="2">
        <f t="shared" ca="1" si="1194"/>
        <v>22565414.651622467</v>
      </c>
      <c r="S1249" s="2">
        <f t="shared" ca="1" si="1195"/>
        <v>15043609.767748311</v>
      </c>
      <c r="T1249" s="2">
        <f t="shared" ca="1" si="1196"/>
        <v>49556603.569511645</v>
      </c>
      <c r="U1249" s="2">
        <f t="shared" ca="1" si="1197"/>
        <v>52408422.267615438</v>
      </c>
      <c r="V1249" s="2">
        <f t="shared" ca="1" si="1198"/>
        <v>55424353.7034989</v>
      </c>
      <c r="W1249" s="2">
        <f t="shared" ca="1" si="1199"/>
        <v>58613842.022653982</v>
      </c>
      <c r="X1249" s="2">
        <f t="shared" ca="1" si="1200"/>
        <v>61986874.849922732</v>
      </c>
      <c r="Y1249" s="2">
        <f t="shared" ca="1" si="1201"/>
        <v>0.12758373011384216</v>
      </c>
      <c r="Z1249" s="2">
        <f t="shared" ca="1" si="1202"/>
        <v>0.13061722215937904</v>
      </c>
      <c r="AA1249" s="2">
        <f t="shared" ca="1" si="1203"/>
        <v>6322616.3351712413</v>
      </c>
      <c r="AB1249" s="2">
        <f t="shared" ca="1" si="1204"/>
        <v>6845442.534351673</v>
      </c>
      <c r="AC1249" s="2">
        <f t="shared" ca="1" si="1205"/>
        <v>7239375.1207299186</v>
      </c>
      <c r="AD1249" s="2">
        <f t="shared" ca="1" si="1206"/>
        <v>7655977.2250877423</v>
      </c>
      <c r="AE1249" s="2">
        <f t="shared" ca="1" si="1207"/>
        <v>8096553.4032379827</v>
      </c>
      <c r="AF1249" s="2">
        <f t="shared" ca="1" si="1208"/>
        <v>991132.07139023289</v>
      </c>
      <c r="AG1249" s="2">
        <f t="shared" ca="1" si="1209"/>
        <v>1048168.4453523088</v>
      </c>
      <c r="AH1249" s="2">
        <f t="shared" ca="1" si="1210"/>
        <v>1108487.074069978</v>
      </c>
      <c r="AI1249" s="2">
        <f t="shared" ca="1" si="1211"/>
        <v>1172276.8404530797</v>
      </c>
      <c r="AJ1249" s="2">
        <f t="shared" ca="1" si="1212"/>
        <v>1239737.4969984547</v>
      </c>
      <c r="AK1249" s="2">
        <f t="shared" ca="1" si="1213"/>
        <v>0</v>
      </c>
      <c r="AL1249" s="2">
        <f t="shared" ca="1" si="1214"/>
        <v>28518.186981037928</v>
      </c>
      <c r="AM1249" s="2">
        <f t="shared" ca="1" si="1215"/>
        <v>30159.314358834625</v>
      </c>
      <c r="AN1249" s="2">
        <f t="shared" ca="1" si="1216"/>
        <v>31894.883191550824</v>
      </c>
      <c r="AO1249" s="2">
        <f t="shared" ca="1" si="1217"/>
        <v>33730.328272687497</v>
      </c>
      <c r="AP1249" s="2">
        <f t="shared" ca="1" si="1218"/>
        <v>2030887.3186460219</v>
      </c>
      <c r="AQ1249" s="2">
        <f t="shared" ca="1" si="1219"/>
        <v>858155.20573509648</v>
      </c>
      <c r="AR1249" s="2">
        <f t="shared" ca="1" si="1220"/>
        <v>979260.5602918691</v>
      </c>
      <c r="AS1249" s="2">
        <f t="shared" ca="1" si="1221"/>
        <v>1066000.1892836189</v>
      </c>
      <c r="AT1249" s="2">
        <f t="shared" ca="1" si="1222"/>
        <v>1157731.3971570465</v>
      </c>
      <c r="AU1249" s="2">
        <f t="shared" ca="1" si="1223"/>
        <v>1254741.4327743116</v>
      </c>
      <c r="AV1249" s="2">
        <f t="shared" ca="1" si="1224"/>
        <v>2442441.7393998895</v>
      </c>
      <c r="AW1249" s="2">
        <f t="shared" ca="1" si="1225"/>
        <v>2758608.0230804356</v>
      </c>
      <c r="AX1249" s="2">
        <f t="shared" ca="1" si="1226"/>
        <v>3003841.2243714659</v>
      </c>
      <c r="AY1249" s="2">
        <f t="shared" ca="1" si="1227"/>
        <v>3263186.7856400432</v>
      </c>
      <c r="AZ1249" s="2">
        <f t="shared" ca="1" si="1228"/>
        <v>3537456.826546507</v>
      </c>
      <c r="BA1249" s="2">
        <f t="shared" ca="1" si="1229"/>
        <v>61561007.477619961</v>
      </c>
      <c r="BB1249" s="2">
        <f t="shared" ca="1" si="1230"/>
        <v>1231220.1495523993</v>
      </c>
      <c r="BC1249" s="2">
        <f t="shared" ca="1" si="1231"/>
        <v>37764372.676445097</v>
      </c>
      <c r="BD1249" s="2">
        <f t="shared" ca="1" si="1232"/>
        <v>-16483835.37823258</v>
      </c>
      <c r="BE1249" s="2">
        <f t="shared" ca="1" si="1233"/>
        <v>2442441.7393998895</v>
      </c>
      <c r="BF1249" s="2">
        <f t="shared" ca="1" si="1234"/>
        <v>2758608.0230804356</v>
      </c>
      <c r="BG1249" s="2">
        <f t="shared" ca="1" si="1235"/>
        <v>3003841.2243714659</v>
      </c>
      <c r="BH1249" s="2">
        <f t="shared" ca="1" si="1236"/>
        <v>3263186.7856400432</v>
      </c>
      <c r="BI1249" s="2">
        <f t="shared" ca="1" si="1237"/>
        <v>41301829.502991602</v>
      </c>
      <c r="BJ1249" s="2">
        <f t="shared" ca="1" si="1238"/>
        <v>0.31271125360534113</v>
      </c>
      <c r="BK1249" s="2">
        <f t="shared" ca="1" si="1239"/>
        <v>15543717.89823534</v>
      </c>
    </row>
    <row r="1250" spans="1:63" x14ac:dyDescent="0.3">
      <c r="A1250" s="2">
        <v>1249</v>
      </c>
      <c r="B1250" s="2">
        <f t="shared" ca="1" si="1178"/>
        <v>0.68725423752089931</v>
      </c>
      <c r="C1250" s="2">
        <f t="shared" ca="1" si="1179"/>
        <v>7.2091197783746255</v>
      </c>
      <c r="D1250" s="2">
        <f t="shared" ca="1" si="1180"/>
        <v>0.9351922621824853</v>
      </c>
      <c r="E1250" s="2">
        <f t="shared" ca="1" si="1181"/>
        <v>8.1399785067040735</v>
      </c>
      <c r="F1250" s="2">
        <f t="shared" ca="1" si="1182"/>
        <v>0.73021914999593618</v>
      </c>
      <c r="G1250" s="2">
        <f t="shared" ca="1" si="1183"/>
        <v>5.8404277602869079E-2</v>
      </c>
      <c r="H1250" s="2">
        <f t="shared" ca="1" si="1184"/>
        <v>5.8404277602869079E-2</v>
      </c>
      <c r="I1250" s="2">
        <f t="shared" ca="1" si="1185"/>
        <v>0.91005531190415034</v>
      </c>
      <c r="J1250" s="2">
        <f t="shared" ca="1" si="1186"/>
        <v>1.6705478608470603E-2</v>
      </c>
      <c r="K1250" s="2">
        <f t="shared" ca="1" si="1187"/>
        <v>1.6705478608470603E-2</v>
      </c>
      <c r="L1250" s="2">
        <f t="shared" ca="1" si="1188"/>
        <v>0.3653740171626545</v>
      </c>
      <c r="M1250" s="2">
        <f t="shared" ca="1" si="1189"/>
        <v>-6.8826129818780968E-3</v>
      </c>
      <c r="N1250" s="2">
        <f t="shared" ca="1" si="1190"/>
        <v>-6.8826129818780968E-3</v>
      </c>
      <c r="O1250" s="2">
        <f t="shared" si="1191"/>
        <v>6000000</v>
      </c>
      <c r="P1250" s="2">
        <f t="shared" ca="1" si="1192"/>
        <v>43254718.670247756</v>
      </c>
      <c r="Q1250" s="2">
        <f t="shared" ca="1" si="1193"/>
        <v>1081367.9667561939</v>
      </c>
      <c r="R1250" s="2">
        <f t="shared" ca="1" si="1194"/>
        <v>25952831.202148654</v>
      </c>
      <c r="S1250" s="2">
        <f t="shared" ca="1" si="1195"/>
        <v>17301887.468099102</v>
      </c>
      <c r="T1250" s="2">
        <f t="shared" ca="1" si="1196"/>
        <v>49655869.350906096</v>
      </c>
      <c r="U1250" s="2">
        <f t="shared" ca="1" si="1197"/>
        <v>52555984.529088214</v>
      </c>
      <c r="V1250" s="2">
        <f t="shared" ca="1" si="1198"/>
        <v>55625478.839217171</v>
      </c>
      <c r="W1250" s="2">
        <f t="shared" ca="1" si="1199"/>
        <v>58874244.747135326</v>
      </c>
      <c r="X1250" s="2">
        <f t="shared" ca="1" si="1200"/>
        <v>62312752.481006272</v>
      </c>
      <c r="Y1250" s="2">
        <f t="shared" ca="1" si="1201"/>
        <v>0.1283527393042353</v>
      </c>
      <c r="Z1250" s="2">
        <f t="shared" ca="1" si="1202"/>
        <v>0.13169383502592941</v>
      </c>
      <c r="AA1250" s="2">
        <f t="shared" ca="1" si="1203"/>
        <v>6373466.8537220182</v>
      </c>
      <c r="AB1250" s="2">
        <f t="shared" ca="1" si="1204"/>
        <v>6921299.1561990418</v>
      </c>
      <c r="AC1250" s="2">
        <f t="shared" ca="1" si="1205"/>
        <v>7325532.6334901936</v>
      </c>
      <c r="AD1250" s="2">
        <f t="shared" ca="1" si="1206"/>
        <v>7753375.0750054307</v>
      </c>
      <c r="AE1250" s="2">
        <f t="shared" ca="1" si="1207"/>
        <v>8206205.3452452132</v>
      </c>
      <c r="AF1250" s="2">
        <f t="shared" ca="1" si="1208"/>
        <v>993117.3870181219</v>
      </c>
      <c r="AG1250" s="2">
        <f t="shared" ca="1" si="1209"/>
        <v>1051119.6905817643</v>
      </c>
      <c r="AH1250" s="2">
        <f t="shared" ca="1" si="1210"/>
        <v>1112509.5767843435</v>
      </c>
      <c r="AI1250" s="2">
        <f t="shared" ca="1" si="1211"/>
        <v>1177484.8949427065</v>
      </c>
      <c r="AJ1250" s="2">
        <f t="shared" ca="1" si="1212"/>
        <v>1246255.0496201254</v>
      </c>
      <c r="AK1250" s="2">
        <f t="shared" ca="1" si="1213"/>
        <v>0</v>
      </c>
      <c r="AL1250" s="2">
        <f t="shared" ca="1" si="1214"/>
        <v>29001.151781821176</v>
      </c>
      <c r="AM1250" s="2">
        <f t="shared" ca="1" si="1215"/>
        <v>30694.943101289569</v>
      </c>
      <c r="AN1250" s="2">
        <f t="shared" ca="1" si="1216"/>
        <v>32487.659079181554</v>
      </c>
      <c r="AO1250" s="2">
        <f t="shared" ca="1" si="1217"/>
        <v>34385.07733870946</v>
      </c>
      <c r="AP1250" s="2">
        <f t="shared" ca="1" si="1218"/>
        <v>2335754.8081933786</v>
      </c>
      <c r="AQ1250" s="2">
        <f t="shared" ca="1" si="1219"/>
        <v>791594.6112127346</v>
      </c>
      <c r="AR1250" s="2">
        <f t="shared" ca="1" si="1220"/>
        <v>918950.41093021375</v>
      </c>
      <c r="AS1250" s="2">
        <f t="shared" ca="1" si="1221"/>
        <v>1008089.7446132427</v>
      </c>
      <c r="AT1250" s="2">
        <f t="shared" ca="1" si="1222"/>
        <v>1102435.1966860301</v>
      </c>
      <c r="AU1250" s="2">
        <f t="shared" ca="1" si="1223"/>
        <v>1202290.8267322443</v>
      </c>
      <c r="AV1250" s="2">
        <f t="shared" ca="1" si="1224"/>
        <v>2253000.0472977827</v>
      </c>
      <c r="AW1250" s="2">
        <f t="shared" ca="1" si="1225"/>
        <v>2586473.0947118639</v>
      </c>
      <c r="AX1250" s="2">
        <f t="shared" ca="1" si="1226"/>
        <v>2838483.5607979395</v>
      </c>
      <c r="AY1250" s="2">
        <f t="shared" ca="1" si="1227"/>
        <v>3105212.5161041333</v>
      </c>
      <c r="AZ1250" s="2">
        <f t="shared" ca="1" si="1228"/>
        <v>3387519.5833607554</v>
      </c>
      <c r="BA1250" s="2">
        <f t="shared" ca="1" si="1229"/>
        <v>66798335.131896116</v>
      </c>
      <c r="BB1250" s="2">
        <f t="shared" ca="1" si="1230"/>
        <v>1335966.7026379223</v>
      </c>
      <c r="BC1250" s="2">
        <f t="shared" ca="1" si="1231"/>
        <v>39509537.227109537</v>
      </c>
      <c r="BD1250" s="2">
        <f t="shared" ca="1" si="1232"/>
        <v>-18883255.434855297</v>
      </c>
      <c r="BE1250" s="2">
        <f t="shared" ca="1" si="1233"/>
        <v>2253000.0472977827</v>
      </c>
      <c r="BF1250" s="2">
        <f t="shared" ca="1" si="1234"/>
        <v>2586473.0947118639</v>
      </c>
      <c r="BG1250" s="2">
        <f t="shared" ca="1" si="1235"/>
        <v>2838483.5607979395</v>
      </c>
      <c r="BH1250" s="2">
        <f t="shared" ca="1" si="1236"/>
        <v>3105212.5161041333</v>
      </c>
      <c r="BI1250" s="2">
        <f t="shared" ca="1" si="1237"/>
        <v>42897056.81047029</v>
      </c>
      <c r="BJ1250" s="2">
        <f t="shared" ca="1" si="1238"/>
        <v>0.27093236951252631</v>
      </c>
      <c r="BK1250" s="2">
        <f t="shared" ca="1" si="1239"/>
        <v>13525009.554926198</v>
      </c>
    </row>
    <row r="1251" spans="1:63" x14ac:dyDescent="0.3">
      <c r="A1251" s="2">
        <v>1250</v>
      </c>
      <c r="B1251" s="2">
        <f t="shared" ca="1" si="1178"/>
        <v>0.59637913716765534</v>
      </c>
      <c r="C1251" s="2">
        <f t="shared" ca="1" si="1179"/>
        <v>7.1015336813966314</v>
      </c>
      <c r="D1251" s="2">
        <f t="shared" ca="1" si="1180"/>
        <v>0.35848196413758648</v>
      </c>
      <c r="E1251" s="2">
        <f t="shared" ca="1" si="1181"/>
        <v>7.3467372250439764</v>
      </c>
      <c r="F1251" s="2">
        <f t="shared" ca="1" si="1182"/>
        <v>0.73172919028746253</v>
      </c>
      <c r="G1251" s="2">
        <f t="shared" ca="1" si="1183"/>
        <v>5.8541534613267443E-2</v>
      </c>
      <c r="H1251" s="2">
        <f t="shared" ca="1" si="1184"/>
        <v>5.8541534613267443E-2</v>
      </c>
      <c r="I1251" s="2">
        <f t="shared" ca="1" si="1185"/>
        <v>0.60400434665834069</v>
      </c>
      <c r="J1251" s="2">
        <f t="shared" ca="1" si="1186"/>
        <v>1.1318628396114439E-2</v>
      </c>
      <c r="K1251" s="2">
        <f t="shared" ca="1" si="1187"/>
        <v>1.1318628396114439E-2</v>
      </c>
      <c r="L1251" s="2">
        <f t="shared" ca="1" si="1188"/>
        <v>0.55952706758225357</v>
      </c>
      <c r="M1251" s="2">
        <f t="shared" ca="1" si="1189"/>
        <v>2.9954054258228033E-3</v>
      </c>
      <c r="N1251" s="2">
        <f t="shared" ca="1" si="1190"/>
        <v>2.9954054258228033E-3</v>
      </c>
      <c r="O1251" s="2">
        <f t="shared" si="1191"/>
        <v>6000000</v>
      </c>
      <c r="P1251" s="2">
        <f t="shared" ca="1" si="1192"/>
        <v>42609202.088379785</v>
      </c>
      <c r="Q1251" s="2">
        <f t="shared" ca="1" si="1193"/>
        <v>1065230.0522094946</v>
      </c>
      <c r="R1251" s="2">
        <f t="shared" ca="1" si="1194"/>
        <v>25565521.253027871</v>
      </c>
      <c r="S1251" s="2">
        <f t="shared" ca="1" si="1195"/>
        <v>17043680.835351914</v>
      </c>
      <c r="T1251" s="2">
        <f t="shared" ca="1" si="1196"/>
        <v>50149770.271291137</v>
      </c>
      <c r="U1251" s="2">
        <f t="shared" ca="1" si="1197"/>
        <v>53085614.783475332</v>
      </c>
      <c r="V1251" s="2">
        <f t="shared" ca="1" si="1198"/>
        <v>56193328.13878873</v>
      </c>
      <c r="W1251" s="2">
        <f t="shared" ca="1" si="1199"/>
        <v>59482971.803060323</v>
      </c>
      <c r="X1251" s="2">
        <f t="shared" ca="1" si="1200"/>
        <v>62965196.255769186</v>
      </c>
      <c r="Y1251" s="2">
        <f t="shared" ca="1" si="1201"/>
        <v>0.1256593141980572</v>
      </c>
      <c r="Z1251" s="2">
        <f t="shared" ca="1" si="1202"/>
        <v>0.1279230398772801</v>
      </c>
      <c r="AA1251" s="2">
        <f t="shared" ca="1" si="1203"/>
        <v>6301785.7394805616</v>
      </c>
      <c r="AB1251" s="2">
        <f t="shared" ca="1" si="1204"/>
        <v>6790873.2168564452</v>
      </c>
      <c r="AC1251" s="2">
        <f t="shared" ca="1" si="1205"/>
        <v>7188421.3563353568</v>
      </c>
      <c r="AD1251" s="2">
        <f t="shared" ca="1" si="1206"/>
        <v>7609242.5739820134</v>
      </c>
      <c r="AE1251" s="2">
        <f t="shared" ca="1" si="1207"/>
        <v>8054699.3115075286</v>
      </c>
      <c r="AF1251" s="2">
        <f t="shared" ca="1" si="1208"/>
        <v>1002995.4054258227</v>
      </c>
      <c r="AG1251" s="2">
        <f t="shared" ca="1" si="1209"/>
        <v>1061712.2956695068</v>
      </c>
      <c r="AH1251" s="2">
        <f t="shared" ca="1" si="1210"/>
        <v>1123866.5627757746</v>
      </c>
      <c r="AI1251" s="2">
        <f t="shared" ca="1" si="1211"/>
        <v>1189659.4360612065</v>
      </c>
      <c r="AJ1251" s="2">
        <f t="shared" ca="1" si="1212"/>
        <v>1259303.9251153837</v>
      </c>
      <c r="AK1251" s="2">
        <f t="shared" ca="1" si="1213"/>
        <v>0</v>
      </c>
      <c r="AL1251" s="2">
        <f t="shared" ca="1" si="1214"/>
        <v>29358.445121841953</v>
      </c>
      <c r="AM1251" s="2">
        <f t="shared" ca="1" si="1215"/>
        <v>31077.133553133979</v>
      </c>
      <c r="AN1251" s="2">
        <f t="shared" ca="1" si="1216"/>
        <v>32896.436642715933</v>
      </c>
      <c r="AO1251" s="2">
        <f t="shared" ca="1" si="1217"/>
        <v>34822.244527088631</v>
      </c>
      <c r="AP1251" s="2">
        <f t="shared" ca="1" si="1218"/>
        <v>2300896.9127725083</v>
      </c>
      <c r="AQ1251" s="2">
        <f t="shared" ca="1" si="1219"/>
        <v>779452.28953338007</v>
      </c>
      <c r="AR1251" s="2">
        <f t="shared" ca="1" si="1220"/>
        <v>891348.64218775195</v>
      </c>
      <c r="AS1251" s="2">
        <f t="shared" ca="1" si="1221"/>
        <v>978551.04900463915</v>
      </c>
      <c r="AT1251" s="2">
        <f t="shared" ca="1" si="1222"/>
        <v>1070858.4185385578</v>
      </c>
      <c r="AU1251" s="2">
        <f t="shared" ca="1" si="1223"/>
        <v>1168569.6031411055</v>
      </c>
      <c r="AV1251" s="2">
        <f t="shared" ca="1" si="1224"/>
        <v>2218441.1317488505</v>
      </c>
      <c r="AW1251" s="2">
        <f t="shared" ca="1" si="1225"/>
        <v>2507556.9211048372</v>
      </c>
      <c r="AX1251" s="2">
        <f t="shared" ca="1" si="1226"/>
        <v>2754029.6982292999</v>
      </c>
      <c r="AY1251" s="2">
        <f t="shared" ca="1" si="1227"/>
        <v>3014931.3699670248</v>
      </c>
      <c r="AZ1251" s="2">
        <f t="shared" ca="1" si="1228"/>
        <v>3291106.6259514419</v>
      </c>
      <c r="BA1251" s="2">
        <f t="shared" ca="1" si="1229"/>
        <v>59175759.26838845</v>
      </c>
      <c r="BB1251" s="2">
        <f t="shared" ca="1" si="1230"/>
        <v>1183515.1853677691</v>
      </c>
      <c r="BC1251" s="2">
        <f t="shared" ca="1" si="1231"/>
        <v>32426722.829992808</v>
      </c>
      <c r="BD1251" s="2">
        <f t="shared" ca="1" si="1232"/>
        <v>-18608910.887561411</v>
      </c>
      <c r="BE1251" s="2">
        <f t="shared" ca="1" si="1233"/>
        <v>2218441.1317488505</v>
      </c>
      <c r="BF1251" s="2">
        <f t="shared" ca="1" si="1234"/>
        <v>2507556.9211048372</v>
      </c>
      <c r="BG1251" s="2">
        <f t="shared" ca="1" si="1235"/>
        <v>2754029.6982292999</v>
      </c>
      <c r="BH1251" s="2">
        <f t="shared" ca="1" si="1236"/>
        <v>3014931.3699670248</v>
      </c>
      <c r="BI1251" s="2">
        <f t="shared" ca="1" si="1237"/>
        <v>35717829.455944248</v>
      </c>
      <c r="BJ1251" s="2">
        <f t="shared" ca="1" si="1238"/>
        <v>0.23535080480203074</v>
      </c>
      <c r="BK1251" s="2">
        <f t="shared" ca="1" si="1239"/>
        <v>9514412.1411787383</v>
      </c>
    </row>
    <row r="1252" spans="1:63" x14ac:dyDescent="0.3">
      <c r="A1252" s="2">
        <v>1251</v>
      </c>
      <c r="B1252" s="2">
        <f t="shared" ca="1" si="1178"/>
        <v>0.28569443144413698</v>
      </c>
      <c r="C1252" s="2">
        <f t="shared" ca="1" si="1179"/>
        <v>6.7559026808315163</v>
      </c>
      <c r="D1252" s="2">
        <f t="shared" ca="1" si="1180"/>
        <v>0.84758457272901999</v>
      </c>
      <c r="E1252" s="2">
        <f t="shared" ca="1" si="1181"/>
        <v>7.9478851074803725</v>
      </c>
      <c r="F1252" s="2">
        <f t="shared" ca="1" si="1182"/>
        <v>6.8644507597011906E-2</v>
      </c>
      <c r="G1252" s="2">
        <f t="shared" ca="1" si="1183"/>
        <v>-4.5788778438834443E-3</v>
      </c>
      <c r="H1252" s="2">
        <f t="shared" ca="1" si="1184"/>
        <v>-4.5788778438834443E-3</v>
      </c>
      <c r="I1252" s="2">
        <f t="shared" ca="1" si="1185"/>
        <v>0.82598381273678911</v>
      </c>
      <c r="J1252" s="2">
        <f t="shared" ca="1" si="1186"/>
        <v>1.4692063376348373E-2</v>
      </c>
      <c r="K1252" s="2">
        <f t="shared" ca="1" si="1187"/>
        <v>1.4692063376348373E-2</v>
      </c>
      <c r="L1252" s="2">
        <f t="shared" ca="1" si="1188"/>
        <v>0.37097391596018381</v>
      </c>
      <c r="M1252" s="2">
        <f t="shared" ca="1" si="1189"/>
        <v>-6.585500176463888E-3</v>
      </c>
      <c r="N1252" s="2">
        <f t="shared" ca="1" si="1190"/>
        <v>-6.585500176463888E-3</v>
      </c>
      <c r="O1252" s="2">
        <f t="shared" si="1191"/>
        <v>6000000</v>
      </c>
      <c r="P1252" s="2">
        <f t="shared" ca="1" si="1192"/>
        <v>40535416.084989101</v>
      </c>
      <c r="Q1252" s="2">
        <f t="shared" ca="1" si="1193"/>
        <v>1013385.4021247276</v>
      </c>
      <c r="R1252" s="2">
        <f t="shared" ca="1" si="1194"/>
        <v>24321249.650993459</v>
      </c>
      <c r="S1252" s="2">
        <f t="shared" ca="1" si="1195"/>
        <v>16214166.433995642</v>
      </c>
      <c r="T1252" s="2">
        <f t="shared" ca="1" si="1196"/>
        <v>49670724.991176806</v>
      </c>
      <c r="U1252" s="2">
        <f t="shared" ca="1" si="1197"/>
        <v>49443288.809025079</v>
      </c>
      <c r="V1252" s="2">
        <f t="shared" ca="1" si="1198"/>
        <v>49216894.029368706</v>
      </c>
      <c r="W1252" s="2">
        <f t="shared" ca="1" si="1199"/>
        <v>48991535.883752868</v>
      </c>
      <c r="X1252" s="2">
        <f t="shared" ca="1" si="1200"/>
        <v>48767209.625556931</v>
      </c>
      <c r="Y1252" s="2">
        <f t="shared" ca="1" si="1201"/>
        <v>0.12734603168817418</v>
      </c>
      <c r="Z1252" s="2">
        <f t="shared" ca="1" si="1202"/>
        <v>0.13028444436344386</v>
      </c>
      <c r="AA1252" s="2">
        <f t="shared" ca="1" si="1203"/>
        <v>6325369.7187009873</v>
      </c>
      <c r="AB1252" s="2">
        <f t="shared" ca="1" si="1204"/>
        <v>6441691.4099851139</v>
      </c>
      <c r="AC1252" s="2">
        <f t="shared" ca="1" si="1205"/>
        <v>6412195.6919107996</v>
      </c>
      <c r="AD1252" s="2">
        <f t="shared" ca="1" si="1206"/>
        <v>6382835.0311264638</v>
      </c>
      <c r="AE1252" s="2">
        <f t="shared" ca="1" si="1207"/>
        <v>6353608.8092212761</v>
      </c>
      <c r="AF1252" s="2">
        <f t="shared" ca="1" si="1208"/>
        <v>993414.49982353614</v>
      </c>
      <c r="AG1252" s="2">
        <f t="shared" ca="1" si="1209"/>
        <v>988865.77618050156</v>
      </c>
      <c r="AH1252" s="2">
        <f t="shared" ca="1" si="1210"/>
        <v>984337.88058737409</v>
      </c>
      <c r="AI1252" s="2">
        <f t="shared" ca="1" si="1211"/>
        <v>979830.71767505736</v>
      </c>
      <c r="AJ1252" s="2">
        <f t="shared" ca="1" si="1212"/>
        <v>975344.19251113862</v>
      </c>
      <c r="AK1252" s="2">
        <f t="shared" ca="1" si="1213"/>
        <v>0</v>
      </c>
      <c r="AL1252" s="2">
        <f t="shared" ca="1" si="1214"/>
        <v>0</v>
      </c>
      <c r="AM1252" s="2">
        <f t="shared" ca="1" si="1215"/>
        <v>0</v>
      </c>
      <c r="AN1252" s="2">
        <f t="shared" ca="1" si="1216"/>
        <v>0</v>
      </c>
      <c r="AO1252" s="2">
        <f t="shared" ca="1" si="1217"/>
        <v>0</v>
      </c>
      <c r="AP1252" s="2">
        <f t="shared" ca="1" si="1218"/>
        <v>2188912.4685894111</v>
      </c>
      <c r="AQ1252" s="2">
        <f t="shared" ca="1" si="1219"/>
        <v>817191.11507489055</v>
      </c>
      <c r="AR1252" s="2">
        <f t="shared" ca="1" si="1220"/>
        <v>848617.42295595224</v>
      </c>
      <c r="AS1252" s="2">
        <f t="shared" ca="1" si="1221"/>
        <v>842125.78911084379</v>
      </c>
      <c r="AT1252" s="2">
        <f t="shared" ca="1" si="1222"/>
        <v>835663.87966411887</v>
      </c>
      <c r="AU1252" s="2">
        <f t="shared" ca="1" si="1223"/>
        <v>829231.55851138895</v>
      </c>
      <c r="AV1252" s="2">
        <f t="shared" ca="1" si="1224"/>
        <v>2325851.6352131497</v>
      </c>
      <c r="AW1252" s="2">
        <f t="shared" ca="1" si="1225"/>
        <v>2415295.7422592482</v>
      </c>
      <c r="AX1252" s="2">
        <f t="shared" ca="1" si="1226"/>
        <v>2396819.5536231706</v>
      </c>
      <c r="AY1252" s="2">
        <f t="shared" ca="1" si="1227"/>
        <v>2378427.965197877</v>
      </c>
      <c r="AZ1252" s="2">
        <f t="shared" ca="1" si="1228"/>
        <v>2360120.589609337</v>
      </c>
      <c r="BA1252" s="2">
        <f t="shared" ca="1" si="1229"/>
        <v>50497752.833565883</v>
      </c>
      <c r="BB1252" s="2">
        <f t="shared" ca="1" si="1230"/>
        <v>1009955.0566713177</v>
      </c>
      <c r="BC1252" s="2">
        <f t="shared" ca="1" si="1231"/>
        <v>25166548.125901107</v>
      </c>
      <c r="BD1252" s="2">
        <f t="shared" ca="1" si="1232"/>
        <v>-17727551.836120371</v>
      </c>
      <c r="BE1252" s="2">
        <f t="shared" ca="1" si="1233"/>
        <v>2325851.6352131497</v>
      </c>
      <c r="BF1252" s="2">
        <f t="shared" ca="1" si="1234"/>
        <v>2415295.7422592482</v>
      </c>
      <c r="BG1252" s="2">
        <f t="shared" ca="1" si="1235"/>
        <v>2396819.5536231706</v>
      </c>
      <c r="BH1252" s="2">
        <f t="shared" ca="1" si="1236"/>
        <v>2378427.965197877</v>
      </c>
      <c r="BI1252" s="2">
        <f t="shared" ca="1" si="1237"/>
        <v>27526668.715510443</v>
      </c>
      <c r="BJ1252" s="2">
        <f t="shared" ca="1" si="1238"/>
        <v>0.19125780144924054</v>
      </c>
      <c r="BK1252" s="2">
        <f t="shared" ca="1" si="1239"/>
        <v>5111474.2513681911</v>
      </c>
    </row>
    <row r="1253" spans="1:63" x14ac:dyDescent="0.3">
      <c r="A1253" s="2">
        <v>1252</v>
      </c>
      <c r="B1253" s="2">
        <f t="shared" ca="1" si="1178"/>
        <v>0.7183209997772374</v>
      </c>
      <c r="C1253" s="2">
        <f t="shared" ca="1" si="1179"/>
        <v>7.2494282176596796</v>
      </c>
      <c r="D1253" s="2">
        <f t="shared" ca="1" si="1180"/>
        <v>0.88732318155024636</v>
      </c>
      <c r="E1253" s="2">
        <f t="shared" ca="1" si="1181"/>
        <v>8.025285731308287</v>
      </c>
      <c r="F1253" s="2">
        <f t="shared" ca="1" si="1182"/>
        <v>5.2234325123826864E-2</v>
      </c>
      <c r="G1253" s="2">
        <f t="shared" ca="1" si="1183"/>
        <v>-8.7069542262423055E-3</v>
      </c>
      <c r="H1253" s="2">
        <f t="shared" ca="1" si="1184"/>
        <v>-8.7069542262423055E-3</v>
      </c>
      <c r="I1253" s="2">
        <f t="shared" ca="1" si="1185"/>
        <v>9.0843939406405116E-2</v>
      </c>
      <c r="J1253" s="2">
        <f t="shared" ca="1" si="1186"/>
        <v>3.3221196916719655E-3</v>
      </c>
      <c r="K1253" s="2">
        <f t="shared" ca="1" si="1187"/>
        <v>3.3221196916719655E-3</v>
      </c>
      <c r="L1253" s="2">
        <f t="shared" ca="1" si="1188"/>
        <v>0.16401199963499724</v>
      </c>
      <c r="M1253" s="2">
        <f t="shared" ca="1" si="1189"/>
        <v>-1.9562035127327421E-2</v>
      </c>
      <c r="N1253" s="2">
        <f t="shared" ca="1" si="1190"/>
        <v>-1.9562035127327421E-2</v>
      </c>
      <c r="O1253" s="2">
        <f t="shared" si="1191"/>
        <v>6000000</v>
      </c>
      <c r="P1253" s="2">
        <f t="shared" ca="1" si="1192"/>
        <v>43496569.305958077</v>
      </c>
      <c r="Q1253" s="2">
        <f t="shared" ca="1" si="1193"/>
        <v>1087414.2326489519</v>
      </c>
      <c r="R1253" s="2">
        <f t="shared" ca="1" si="1194"/>
        <v>26097941.583574846</v>
      </c>
      <c r="S1253" s="2">
        <f t="shared" ca="1" si="1195"/>
        <v>17398627.722383231</v>
      </c>
      <c r="T1253" s="2">
        <f t="shared" ca="1" si="1196"/>
        <v>49021898.243633628</v>
      </c>
      <c r="U1253" s="2">
        <f t="shared" ca="1" si="1197"/>
        <v>48595066.819542803</v>
      </c>
      <c r="V1253" s="2">
        <f t="shared" ca="1" si="1198"/>
        <v>48171951.797123857</v>
      </c>
      <c r="W1253" s="2">
        <f t="shared" ca="1" si="1199"/>
        <v>47752520.817837544</v>
      </c>
      <c r="X1253" s="2">
        <f t="shared" ca="1" si="1200"/>
        <v>47336741.804888949</v>
      </c>
      <c r="Y1253" s="2">
        <f t="shared" ca="1" si="1201"/>
        <v>0.12166105984583597</v>
      </c>
      <c r="Z1253" s="2">
        <f t="shared" ca="1" si="1202"/>
        <v>0.12232548378417037</v>
      </c>
      <c r="AA1253" s="2">
        <f t="shared" ca="1" si="1203"/>
        <v>5964056.0959751923</v>
      </c>
      <c r="AB1253" s="2">
        <f t="shared" ca="1" si="1204"/>
        <v>5944415.0582246585</v>
      </c>
      <c r="AC1253" s="2">
        <f t="shared" ca="1" si="1205"/>
        <v>5892657.3084109109</v>
      </c>
      <c r="AD1253" s="2">
        <f t="shared" ca="1" si="1206"/>
        <v>5841350.210955644</v>
      </c>
      <c r="AE1253" s="2">
        <f t="shared" ca="1" si="1207"/>
        <v>5790489.8420494022</v>
      </c>
      <c r="AF1253" s="2">
        <f t="shared" ca="1" si="1208"/>
        <v>980437.96487267257</v>
      </c>
      <c r="AG1253" s="2">
        <f t="shared" ca="1" si="1209"/>
        <v>971901.33639085607</v>
      </c>
      <c r="AH1253" s="2">
        <f t="shared" ca="1" si="1210"/>
        <v>963439.03594247717</v>
      </c>
      <c r="AI1253" s="2">
        <f t="shared" ca="1" si="1211"/>
        <v>955050.41635675088</v>
      </c>
      <c r="AJ1253" s="2">
        <f t="shared" ca="1" si="1212"/>
        <v>946734.83609777899</v>
      </c>
      <c r="AK1253" s="2">
        <f t="shared" ca="1" si="1213"/>
        <v>0</v>
      </c>
      <c r="AL1253" s="2">
        <f t="shared" ca="1" si="1214"/>
        <v>0</v>
      </c>
      <c r="AM1253" s="2">
        <f t="shared" ca="1" si="1215"/>
        <v>0</v>
      </c>
      <c r="AN1253" s="2">
        <f t="shared" ca="1" si="1216"/>
        <v>0</v>
      </c>
      <c r="AO1253" s="2">
        <f t="shared" ca="1" si="1217"/>
        <v>0</v>
      </c>
      <c r="AP1253" s="2">
        <f t="shared" ca="1" si="1218"/>
        <v>2348814.7425217363</v>
      </c>
      <c r="AQ1253" s="2">
        <f t="shared" ca="1" si="1219"/>
        <v>685048.88103100378</v>
      </c>
      <c r="AR1253" s="2">
        <f t="shared" ca="1" si="1220"/>
        <v>682161.73462113726</v>
      </c>
      <c r="AS1253" s="2">
        <f t="shared" ca="1" si="1221"/>
        <v>670904.91778614139</v>
      </c>
      <c r="AT1253" s="2">
        <f t="shared" ca="1" si="1222"/>
        <v>659746.11354006082</v>
      </c>
      <c r="AU1253" s="2">
        <f t="shared" ca="1" si="1223"/>
        <v>648684.46849177068</v>
      </c>
      <c r="AV1253" s="2">
        <f t="shared" ca="1" si="1224"/>
        <v>1949754.50754978</v>
      </c>
      <c r="AW1253" s="2">
        <f t="shared" ca="1" si="1225"/>
        <v>1941537.2446909291</v>
      </c>
      <c r="AX1253" s="2">
        <f t="shared" ca="1" si="1226"/>
        <v>1909498.6121605565</v>
      </c>
      <c r="AY1253" s="2">
        <f t="shared" ca="1" si="1227"/>
        <v>1877738.9385370961</v>
      </c>
      <c r="AZ1253" s="2">
        <f t="shared" ca="1" si="1228"/>
        <v>1846255.7949381168</v>
      </c>
      <c r="BA1253" s="2">
        <f t="shared" ca="1" si="1229"/>
        <v>46470335.506684646</v>
      </c>
      <c r="BB1253" s="2">
        <f t="shared" ca="1" si="1230"/>
        <v>929406.71013369295</v>
      </c>
      <c r="BC1253" s="2">
        <f t="shared" ca="1" si="1231"/>
        <v>19442987.212976106</v>
      </c>
      <c r="BD1253" s="2">
        <f t="shared" ca="1" si="1232"/>
        <v>-18986041.955032185</v>
      </c>
      <c r="BE1253" s="2">
        <f t="shared" ca="1" si="1233"/>
        <v>1949754.50754978</v>
      </c>
      <c r="BF1253" s="2">
        <f t="shared" ca="1" si="1234"/>
        <v>1941537.2446909291</v>
      </c>
      <c r="BG1253" s="2">
        <f t="shared" ca="1" si="1235"/>
        <v>1909498.6121605565</v>
      </c>
      <c r="BH1253" s="2">
        <f t="shared" ca="1" si="1236"/>
        <v>1877738.9385370961</v>
      </c>
      <c r="BI1253" s="2">
        <f t="shared" ca="1" si="1237"/>
        <v>21289243.007914223</v>
      </c>
      <c r="BJ1253" s="2">
        <f t="shared" ca="1" si="1238"/>
        <v>0.10452140245813779</v>
      </c>
      <c r="BK1253" s="2">
        <f t="shared" ca="1" si="1239"/>
        <v>-1064839.4537056014</v>
      </c>
    </row>
    <row r="1254" spans="1:63" x14ac:dyDescent="0.3">
      <c r="A1254" s="2">
        <v>1253</v>
      </c>
      <c r="B1254" s="2">
        <f t="shared" ca="1" si="1178"/>
        <v>0.32383144120301721</v>
      </c>
      <c r="C1254" s="2">
        <f t="shared" ca="1" si="1179"/>
        <v>6.804775050809873</v>
      </c>
      <c r="D1254" s="2">
        <f t="shared" ca="1" si="1180"/>
        <v>0.60114906333551121</v>
      </c>
      <c r="E1254" s="2">
        <f t="shared" ca="1" si="1181"/>
        <v>7.6068584248121818</v>
      </c>
      <c r="F1254" s="2">
        <f t="shared" ca="1" si="1182"/>
        <v>0.61074193282315281</v>
      </c>
      <c r="G1254" s="2">
        <f t="shared" ca="1" si="1183"/>
        <v>4.8437598685104777E-2</v>
      </c>
      <c r="H1254" s="2">
        <f t="shared" ca="1" si="1184"/>
        <v>4.8437598685104777E-2</v>
      </c>
      <c r="I1254" s="2">
        <f t="shared" ca="1" si="1185"/>
        <v>0.25763472885195371</v>
      </c>
      <c r="J1254" s="2">
        <f t="shared" ca="1" si="1186"/>
        <v>6.7467268569849793E-3</v>
      </c>
      <c r="K1254" s="2">
        <f t="shared" ca="1" si="1187"/>
        <v>6.7467268569849793E-3</v>
      </c>
      <c r="L1254" s="2">
        <f t="shared" ca="1" si="1188"/>
        <v>0.16314641069502744</v>
      </c>
      <c r="M1254" s="2">
        <f t="shared" ca="1" si="1189"/>
        <v>-1.9632167440940266E-2</v>
      </c>
      <c r="N1254" s="2">
        <f t="shared" ca="1" si="1190"/>
        <v>-1.9632167440940266E-2</v>
      </c>
      <c r="O1254" s="2">
        <f t="shared" si="1191"/>
        <v>6000000</v>
      </c>
      <c r="P1254" s="2">
        <f t="shared" ca="1" si="1192"/>
        <v>40828650.304859236</v>
      </c>
      <c r="Q1254" s="2">
        <f t="shared" ca="1" si="1193"/>
        <v>1020716.257621481</v>
      </c>
      <c r="R1254" s="2">
        <f t="shared" ca="1" si="1194"/>
        <v>24497190.182915542</v>
      </c>
      <c r="S1254" s="2">
        <f t="shared" ca="1" si="1195"/>
        <v>16331460.121943695</v>
      </c>
      <c r="T1254" s="2">
        <f t="shared" ca="1" si="1196"/>
        <v>49018391.627952985</v>
      </c>
      <c r="U1254" s="2">
        <f t="shared" ca="1" si="1197"/>
        <v>51392724.809817076</v>
      </c>
      <c r="V1254" s="2">
        <f t="shared" ca="1" si="1198"/>
        <v>53882064.989489026</v>
      </c>
      <c r="W1254" s="2">
        <f t="shared" ca="1" si="1199"/>
        <v>56491982.829774633</v>
      </c>
      <c r="X1254" s="2">
        <f t="shared" ca="1" si="1200"/>
        <v>59228318.823009096</v>
      </c>
      <c r="Y1254" s="2">
        <f t="shared" ca="1" si="1201"/>
        <v>0.12337336342849249</v>
      </c>
      <c r="Z1254" s="2">
        <f t="shared" ca="1" si="1202"/>
        <v>0.12472270879988948</v>
      </c>
      <c r="AA1254" s="2">
        <f t="shared" ca="1" si="1203"/>
        <v>6047563.8449956169</v>
      </c>
      <c r="AB1254" s="2">
        <f t="shared" ca="1" si="1204"/>
        <v>6409839.8508876702</v>
      </c>
      <c r="AC1254" s="2">
        <f t="shared" ca="1" si="1205"/>
        <v>6720317.1012207596</v>
      </c>
      <c r="AD1254" s="2">
        <f t="shared" ca="1" si="1206"/>
        <v>7045833.1240063375</v>
      </c>
      <c r="AE1254" s="2">
        <f t="shared" ca="1" si="1207"/>
        <v>7387116.361269176</v>
      </c>
      <c r="AF1254" s="2">
        <f t="shared" ca="1" si="1208"/>
        <v>980367.83255905972</v>
      </c>
      <c r="AG1254" s="2">
        <f t="shared" ca="1" si="1209"/>
        <v>1027854.4961963416</v>
      </c>
      <c r="AH1254" s="2">
        <f t="shared" ca="1" si="1210"/>
        <v>1077641.2997897805</v>
      </c>
      <c r="AI1254" s="2">
        <f t="shared" ca="1" si="1211"/>
        <v>1129839.6565954927</v>
      </c>
      <c r="AJ1254" s="2">
        <f t="shared" ca="1" si="1212"/>
        <v>1184566.376460182</v>
      </c>
      <c r="AK1254" s="2">
        <f t="shared" ca="1" si="1213"/>
        <v>0</v>
      </c>
      <c r="AL1254" s="2">
        <f t="shared" ca="1" si="1214"/>
        <v>23743.331818640901</v>
      </c>
      <c r="AM1254" s="2">
        <f t="shared" ca="1" si="1215"/>
        <v>24893.401796719507</v>
      </c>
      <c r="AN1254" s="2">
        <f t="shared" ca="1" si="1216"/>
        <v>26099.178402856069</v>
      </c>
      <c r="AO1254" s="2">
        <f t="shared" ca="1" si="1217"/>
        <v>27363.359932344632</v>
      </c>
      <c r="AP1254" s="2">
        <f t="shared" ca="1" si="1218"/>
        <v>2204747.1164623988</v>
      </c>
      <c r="AQ1254" s="2">
        <f t="shared" ca="1" si="1219"/>
        <v>744236.71295328136</v>
      </c>
      <c r="AR1254" s="2">
        <f t="shared" ca="1" si="1220"/>
        <v>826081.9419395217</v>
      </c>
      <c r="AS1254" s="2">
        <f t="shared" ca="1" si="1221"/>
        <v>893861.45809183083</v>
      </c>
      <c r="AT1254" s="2">
        <f t="shared" ca="1" si="1222"/>
        <v>964924.05124659603</v>
      </c>
      <c r="AU1254" s="2">
        <f t="shared" ca="1" si="1223"/>
        <v>1039428.7457701149</v>
      </c>
      <c r="AV1254" s="2">
        <f t="shared" ca="1" si="1224"/>
        <v>2118212.1830208772</v>
      </c>
      <c r="AW1254" s="2">
        <f t="shared" ca="1" si="1225"/>
        <v>2327412.964470767</v>
      </c>
      <c r="AX1254" s="2">
        <f t="shared" ca="1" si="1226"/>
        <v>2519173.8250800301</v>
      </c>
      <c r="AY1254" s="2">
        <f t="shared" ca="1" si="1227"/>
        <v>2720223.1212989944</v>
      </c>
      <c r="AZ1254" s="2">
        <f t="shared" ca="1" si="1228"/>
        <v>2931010.7626441359</v>
      </c>
      <c r="BA1254" s="2">
        <f t="shared" ca="1" si="1229"/>
        <v>56192748.327788338</v>
      </c>
      <c r="BB1254" s="2">
        <f t="shared" ca="1" si="1230"/>
        <v>1123854.9665557668</v>
      </c>
      <c r="BC1254" s="2">
        <f t="shared" ca="1" si="1231"/>
        <v>30571703.178317029</v>
      </c>
      <c r="BD1254" s="2">
        <f t="shared" ca="1" si="1232"/>
        <v>-17852176.379565176</v>
      </c>
      <c r="BE1254" s="2">
        <f t="shared" ca="1" si="1233"/>
        <v>2118212.1830208772</v>
      </c>
      <c r="BF1254" s="2">
        <f t="shared" ca="1" si="1234"/>
        <v>2327412.964470767</v>
      </c>
      <c r="BG1254" s="2">
        <f t="shared" ca="1" si="1235"/>
        <v>2519173.8250800301</v>
      </c>
      <c r="BH1254" s="2">
        <f t="shared" ca="1" si="1236"/>
        <v>2720223.1212989944</v>
      </c>
      <c r="BI1254" s="2">
        <f t="shared" ca="1" si="1237"/>
        <v>33502713.940961163</v>
      </c>
      <c r="BJ1254" s="2">
        <f t="shared" ca="1" si="1238"/>
        <v>0.2275035049405858</v>
      </c>
      <c r="BK1254" s="2">
        <f t="shared" ca="1" si="1239"/>
        <v>8426672.6338811219</v>
      </c>
    </row>
    <row r="1255" spans="1:63" x14ac:dyDescent="0.3">
      <c r="A1255" s="2">
        <v>1254</v>
      </c>
      <c r="B1255" s="2">
        <f t="shared" ca="1" si="1178"/>
        <v>0.24402303454895913</v>
      </c>
      <c r="C1255" s="2">
        <f t="shared" ca="1" si="1179"/>
        <v>6.6986029409456549</v>
      </c>
      <c r="D1255" s="2">
        <f t="shared" ca="1" si="1180"/>
        <v>0.44478867367874952</v>
      </c>
      <c r="E1255" s="2">
        <f t="shared" ca="1" si="1181"/>
        <v>7.4431740811523071</v>
      </c>
      <c r="F1255" s="2">
        <f t="shared" ca="1" si="1182"/>
        <v>0.671714012959158</v>
      </c>
      <c r="G1255" s="2">
        <f t="shared" ca="1" si="1183"/>
        <v>5.3339530462232124E-2</v>
      </c>
      <c r="H1255" s="2">
        <f t="shared" ca="1" si="1184"/>
        <v>5.3339530462232124E-2</v>
      </c>
      <c r="I1255" s="2">
        <f t="shared" ca="1" si="1185"/>
        <v>0.84842515169514521</v>
      </c>
      <c r="J1255" s="2">
        <f t="shared" ca="1" si="1186"/>
        <v>1.5148512340849175E-2</v>
      </c>
      <c r="K1255" s="2">
        <f t="shared" ca="1" si="1187"/>
        <v>1.5148512340849175E-2</v>
      </c>
      <c r="L1255" s="2">
        <f t="shared" ca="1" si="1188"/>
        <v>0.34604748581529043</v>
      </c>
      <c r="M1255" s="2">
        <f t="shared" ca="1" si="1189"/>
        <v>-7.9202726428354731E-3</v>
      </c>
      <c r="N1255" s="2">
        <f t="shared" ca="1" si="1190"/>
        <v>-7.9202726428354731E-3</v>
      </c>
      <c r="O1255" s="2">
        <f t="shared" si="1191"/>
        <v>6000000</v>
      </c>
      <c r="P1255" s="2">
        <f t="shared" ca="1" si="1192"/>
        <v>40191617.645673931</v>
      </c>
      <c r="Q1255" s="2">
        <f t="shared" ca="1" si="1193"/>
        <v>1004790.4411418483</v>
      </c>
      <c r="R1255" s="2">
        <f t="shared" ca="1" si="1194"/>
        <v>24114970.587404359</v>
      </c>
      <c r="S1255" s="2">
        <f t="shared" ca="1" si="1195"/>
        <v>16076647.058269573</v>
      </c>
      <c r="T1255" s="2">
        <f t="shared" ca="1" si="1196"/>
        <v>49603986.367858224</v>
      </c>
      <c r="U1255" s="2">
        <f t="shared" ca="1" si="1197"/>
        <v>52249839.709774747</v>
      </c>
      <c r="V1255" s="2">
        <f t="shared" ca="1" si="1198"/>
        <v>55036821.626621023</v>
      </c>
      <c r="W1255" s="2">
        <f t="shared" ca="1" si="1199"/>
        <v>57972459.850318611</v>
      </c>
      <c r="X1255" s="2">
        <f t="shared" ca="1" si="1200"/>
        <v>61064683.638475209</v>
      </c>
      <c r="Y1255" s="2">
        <f t="shared" ca="1" si="1201"/>
        <v>0.12757425617042459</v>
      </c>
      <c r="Z1255" s="2">
        <f t="shared" ca="1" si="1202"/>
        <v>0.13060395863859442</v>
      </c>
      <c r="AA1255" s="2">
        <f t="shared" ca="1" si="1203"/>
        <v>6328191.6639673943</v>
      </c>
      <c r="AB1255" s="2">
        <f t="shared" ca="1" si="1204"/>
        <v>6824035.9043286098</v>
      </c>
      <c r="AC1255" s="2">
        <f t="shared" ca="1" si="1205"/>
        <v>7188026.7753229113</v>
      </c>
      <c r="AD1255" s="2">
        <f t="shared" ca="1" si="1206"/>
        <v>7571432.7484685872</v>
      </c>
      <c r="AE1255" s="2">
        <f t="shared" ca="1" si="1207"/>
        <v>7975289.4161982695</v>
      </c>
      <c r="AF1255" s="2">
        <f t="shared" ca="1" si="1208"/>
        <v>992079.72735716449</v>
      </c>
      <c r="AG1255" s="2">
        <f t="shared" ca="1" si="1209"/>
        <v>1044996.794195495</v>
      </c>
      <c r="AH1255" s="2">
        <f t="shared" ca="1" si="1210"/>
        <v>1100736.4325324204</v>
      </c>
      <c r="AI1255" s="2">
        <f t="shared" ca="1" si="1211"/>
        <v>1159449.1970063723</v>
      </c>
      <c r="AJ1255" s="2">
        <f t="shared" ca="1" si="1212"/>
        <v>1221293.6727695041</v>
      </c>
      <c r="AK1255" s="2">
        <f t="shared" ca="1" si="1213"/>
        <v>0</v>
      </c>
      <c r="AL1255" s="2">
        <f t="shared" ca="1" si="1214"/>
        <v>26458.53341916524</v>
      </c>
      <c r="AM1255" s="2">
        <f t="shared" ca="1" si="1215"/>
        <v>27869.819168462753</v>
      </c>
      <c r="AN1255" s="2">
        <f t="shared" ca="1" si="1216"/>
        <v>29356.382236975878</v>
      </c>
      <c r="AO1255" s="2">
        <f t="shared" ca="1" si="1217"/>
        <v>30922.23788156599</v>
      </c>
      <c r="AP1255" s="2">
        <f t="shared" ca="1" si="1218"/>
        <v>2170347.3528663921</v>
      </c>
      <c r="AQ1255" s="2">
        <f t="shared" ca="1" si="1219"/>
        <v>823098.79177339771</v>
      </c>
      <c r="AR1255" s="2">
        <f t="shared" ca="1" si="1220"/>
        <v>938259.85688934801</v>
      </c>
      <c r="AS1255" s="2">
        <f t="shared" ca="1" si="1221"/>
        <v>1018405.1773802658</v>
      </c>
      <c r="AT1255" s="2">
        <f t="shared" ca="1" si="1222"/>
        <v>1102825.4116349136</v>
      </c>
      <c r="AU1255" s="2">
        <f t="shared" ca="1" si="1223"/>
        <v>1191748.5815462167</v>
      </c>
      <c r="AV1255" s="2">
        <f t="shared" ca="1" si="1224"/>
        <v>2342665.7919704397</v>
      </c>
      <c r="AW1255" s="2">
        <f t="shared" ca="1" si="1225"/>
        <v>2643973.3669582107</v>
      </c>
      <c r="AX1255" s="2">
        <f t="shared" ca="1" si="1226"/>
        <v>2870667.9933753707</v>
      </c>
      <c r="AY1255" s="2">
        <f t="shared" ca="1" si="1227"/>
        <v>3109454.4047239325</v>
      </c>
      <c r="AZ1255" s="2">
        <f t="shared" ca="1" si="1228"/>
        <v>3360977.5711345901</v>
      </c>
      <c r="BA1255" s="2">
        <f t="shared" ca="1" si="1229"/>
        <v>59361467.472335272</v>
      </c>
      <c r="BB1255" s="2">
        <f t="shared" ca="1" si="1230"/>
        <v>1187229.3494467055</v>
      </c>
      <c r="BC1255" s="2">
        <f t="shared" ca="1" si="1231"/>
        <v>34059267.535484202</v>
      </c>
      <c r="BD1255" s="2">
        <f t="shared" ca="1" si="1232"/>
        <v>-17581437.499411423</v>
      </c>
      <c r="BE1255" s="2">
        <f t="shared" ca="1" si="1233"/>
        <v>2342665.7919704397</v>
      </c>
      <c r="BF1255" s="2">
        <f t="shared" ca="1" si="1234"/>
        <v>2643973.3669582107</v>
      </c>
      <c r="BG1255" s="2">
        <f t="shared" ca="1" si="1235"/>
        <v>2870667.9933753707</v>
      </c>
      <c r="BH1255" s="2">
        <f t="shared" ca="1" si="1236"/>
        <v>3109454.4047239325</v>
      </c>
      <c r="BI1255" s="2">
        <f t="shared" ca="1" si="1237"/>
        <v>37420245.106618792</v>
      </c>
      <c r="BJ1255" s="2">
        <f t="shared" ca="1" si="1238"/>
        <v>0.2668877851261906</v>
      </c>
      <c r="BK1255" s="2">
        <f t="shared" ca="1" si="1239"/>
        <v>11870639.051783849</v>
      </c>
    </row>
    <row r="1256" spans="1:63" x14ac:dyDescent="0.3">
      <c r="A1256" s="2">
        <v>1255</v>
      </c>
      <c r="B1256" s="2">
        <f t="shared" ca="1" si="1178"/>
        <v>4.3963264119855072E-3</v>
      </c>
      <c r="C1256" s="2">
        <f t="shared" ca="1" si="1179"/>
        <v>6.0937691464393859</v>
      </c>
      <c r="D1256" s="2">
        <f t="shared" ca="1" si="1180"/>
        <v>0.16083878217870839</v>
      </c>
      <c r="E1256" s="2">
        <f t="shared" ca="1" si="1181"/>
        <v>7.0671662581266776</v>
      </c>
      <c r="F1256" s="2">
        <f t="shared" ca="1" si="1182"/>
        <v>0.55604534462578603</v>
      </c>
      <c r="G1256" s="2">
        <f t="shared" ca="1" si="1183"/>
        <v>4.4228504988277163E-2</v>
      </c>
      <c r="H1256" s="2">
        <f t="shared" ca="1" si="1184"/>
        <v>4.4228504988277163E-2</v>
      </c>
      <c r="I1256" s="2">
        <f t="shared" ca="1" si="1185"/>
        <v>1.1509475399846703E-2</v>
      </c>
      <c r="J1256" s="2">
        <f t="shared" ca="1" si="1186"/>
        <v>-1.3655998923309334E-3</v>
      </c>
      <c r="K1256" s="2">
        <f t="shared" ca="1" si="1187"/>
        <v>0</v>
      </c>
      <c r="L1256" s="2">
        <f t="shared" ca="1" si="1188"/>
        <v>0.4187539576964443</v>
      </c>
      <c r="M1256" s="2">
        <f t="shared" ca="1" si="1189"/>
        <v>-4.1016436880140957E-3</v>
      </c>
      <c r="N1256" s="2">
        <f t="shared" ca="1" si="1190"/>
        <v>-4.1016436880140957E-3</v>
      </c>
      <c r="O1256" s="2">
        <f t="shared" si="1191"/>
        <v>6000000</v>
      </c>
      <c r="P1256" s="2">
        <f t="shared" ca="1" si="1192"/>
        <v>36562614.878636315</v>
      </c>
      <c r="Q1256" s="2">
        <f t="shared" ca="1" si="1193"/>
        <v>914065.37196590798</v>
      </c>
      <c r="R1256" s="2">
        <f t="shared" ca="1" si="1194"/>
        <v>21937568.927181788</v>
      </c>
      <c r="S1256" s="2">
        <f t="shared" ca="1" si="1195"/>
        <v>14625045.951454528</v>
      </c>
      <c r="T1256" s="2">
        <f t="shared" ca="1" si="1196"/>
        <v>49794917.815599293</v>
      </c>
      <c r="U1256" s="2">
        <f t="shared" ca="1" si="1197"/>
        <v>51997272.586597376</v>
      </c>
      <c r="V1256" s="2">
        <f t="shared" ca="1" si="1198"/>
        <v>54297034.216570504</v>
      </c>
      <c r="W1256" s="2">
        <f t="shared" ca="1" si="1199"/>
        <v>56698510.865266748</v>
      </c>
      <c r="X1256" s="2">
        <f t="shared" ca="1" si="1200"/>
        <v>59206201.235899083</v>
      </c>
      <c r="Y1256" s="2">
        <f t="shared" ca="1" si="1201"/>
        <v>0.12</v>
      </c>
      <c r="Z1256" s="2">
        <f t="shared" ca="1" si="1202"/>
        <v>0.12</v>
      </c>
      <c r="AA1256" s="2">
        <f t="shared" ca="1" si="1203"/>
        <v>5975390.1378719145</v>
      </c>
      <c r="AB1256" s="2">
        <f t="shared" ca="1" si="1204"/>
        <v>6239672.7103916844</v>
      </c>
      <c r="AC1256" s="2">
        <f t="shared" ca="1" si="1205"/>
        <v>6515644.1059884606</v>
      </c>
      <c r="AD1256" s="2">
        <f t="shared" ca="1" si="1206"/>
        <v>6803821.3038320094</v>
      </c>
      <c r="AE1256" s="2">
        <f t="shared" ca="1" si="1207"/>
        <v>7104744.1483078897</v>
      </c>
      <c r="AF1256" s="2">
        <f t="shared" ca="1" si="1208"/>
        <v>995898.35631198587</v>
      </c>
      <c r="AG1256" s="2">
        <f t="shared" ca="1" si="1209"/>
        <v>1039945.4517319475</v>
      </c>
      <c r="AH1256" s="2">
        <f t="shared" ca="1" si="1210"/>
        <v>1085940.6843314101</v>
      </c>
      <c r="AI1256" s="2">
        <f t="shared" ca="1" si="1211"/>
        <v>1133970.217305335</v>
      </c>
      <c r="AJ1256" s="2">
        <f t="shared" ca="1" si="1212"/>
        <v>1184124.0247179817</v>
      </c>
      <c r="AK1256" s="2">
        <f t="shared" ca="1" si="1213"/>
        <v>0</v>
      </c>
      <c r="AL1256" s="2">
        <f t="shared" ca="1" si="1214"/>
        <v>22023.54770998083</v>
      </c>
      <c r="AM1256" s="2">
        <f t="shared" ca="1" si="1215"/>
        <v>22997.616299731286</v>
      </c>
      <c r="AN1256" s="2">
        <f t="shared" ca="1" si="1216"/>
        <v>24014.766486962439</v>
      </c>
      <c r="AO1256" s="2">
        <f t="shared" ca="1" si="1217"/>
        <v>25076.903706323355</v>
      </c>
      <c r="AP1256" s="2">
        <f t="shared" ca="1" si="1218"/>
        <v>1974381.2034463608</v>
      </c>
      <c r="AQ1256" s="2">
        <f t="shared" ca="1" si="1219"/>
        <v>781328.75030952762</v>
      </c>
      <c r="AR1256" s="2">
        <f t="shared" ca="1" si="1220"/>
        <v>838589.97435547784</v>
      </c>
      <c r="AS1256" s="2">
        <f t="shared" ca="1" si="1221"/>
        <v>898383.77673477924</v>
      </c>
      <c r="AT1256" s="2">
        <f t="shared" ca="1" si="1222"/>
        <v>960822.16960088152</v>
      </c>
      <c r="AU1256" s="2">
        <f t="shared" ca="1" si="1223"/>
        <v>1026022.1192373222</v>
      </c>
      <c r="AV1256" s="2">
        <f t="shared" ca="1" si="1224"/>
        <v>2223781.8278040397</v>
      </c>
      <c r="AW1256" s="2">
        <f t="shared" ca="1" si="1225"/>
        <v>2364732.5331479176</v>
      </c>
      <c r="AX1256" s="2">
        <f t="shared" ca="1" si="1226"/>
        <v>2533940.825176178</v>
      </c>
      <c r="AY1256" s="2">
        <f t="shared" ca="1" si="1227"/>
        <v>2710632.9469924695</v>
      </c>
      <c r="AZ1256" s="2">
        <f t="shared" ca="1" si="1228"/>
        <v>2895139.8971999013</v>
      </c>
      <c r="BA1256" s="2">
        <f t="shared" ca="1" si="1229"/>
        <v>50210408.11754448</v>
      </c>
      <c r="BB1256" s="2">
        <f t="shared" ca="1" si="1230"/>
        <v>1004208.1623508896</v>
      </c>
      <c r="BC1256" s="2">
        <f t="shared" ca="1" si="1231"/>
        <v>27268631.028011803</v>
      </c>
      <c r="BD1256" s="2">
        <f t="shared" ca="1" si="1232"/>
        <v>-16039111.323420435</v>
      </c>
      <c r="BE1256" s="2">
        <f t="shared" ca="1" si="1233"/>
        <v>2223781.8278040397</v>
      </c>
      <c r="BF1256" s="2">
        <f t="shared" ca="1" si="1234"/>
        <v>2364732.5331479176</v>
      </c>
      <c r="BG1256" s="2">
        <f t="shared" ca="1" si="1235"/>
        <v>2533940.825176178</v>
      </c>
      <c r="BH1256" s="2">
        <f t="shared" ca="1" si="1236"/>
        <v>2710632.9469924695</v>
      </c>
      <c r="BI1256" s="2">
        <f t="shared" ca="1" si="1237"/>
        <v>30163770.925211705</v>
      </c>
      <c r="BJ1256" s="2">
        <f t="shared" ca="1" si="1238"/>
        <v>0.2410888574547736</v>
      </c>
      <c r="BK1256" s="2">
        <f t="shared" ca="1" si="1239"/>
        <v>8473557.4260924272</v>
      </c>
    </row>
    <row r="1257" spans="1:63" x14ac:dyDescent="0.3">
      <c r="A1257" s="2">
        <v>1256</v>
      </c>
      <c r="B1257" s="2">
        <f t="shared" ca="1" si="1178"/>
        <v>0.94047212153823379</v>
      </c>
      <c r="C1257" s="2">
        <f t="shared" ca="1" si="1179"/>
        <v>7.6549554276277743</v>
      </c>
      <c r="D1257" s="2">
        <f t="shared" ca="1" si="1180"/>
        <v>0.10466100507565124</v>
      </c>
      <c r="E1257" s="2">
        <f t="shared" ca="1" si="1181"/>
        <v>6.9575172238848531</v>
      </c>
      <c r="F1257" s="2">
        <f t="shared" ca="1" si="1182"/>
        <v>0.85897315702606059</v>
      </c>
      <c r="G1257" s="2">
        <f t="shared" ca="1" si="1183"/>
        <v>7.2271520473507628E-2</v>
      </c>
      <c r="H1257" s="2">
        <f t="shared" ca="1" si="1184"/>
        <v>7.2271520473507628E-2</v>
      </c>
      <c r="I1257" s="2">
        <f t="shared" ca="1" si="1185"/>
        <v>0.22312720630755356</v>
      </c>
      <c r="J1257" s="2">
        <f t="shared" ca="1" si="1186"/>
        <v>6.1916284575794251E-3</v>
      </c>
      <c r="K1257" s="2">
        <f t="shared" ca="1" si="1187"/>
        <v>6.1916284575794251E-3</v>
      </c>
      <c r="L1257" s="2">
        <f t="shared" ca="1" si="1188"/>
        <v>0.28119681597091706</v>
      </c>
      <c r="M1257" s="2">
        <f t="shared" ca="1" si="1189"/>
        <v>-1.1585796440542263E-2</v>
      </c>
      <c r="N1257" s="2">
        <f t="shared" ca="1" si="1190"/>
        <v>-1.1585796440542263E-2</v>
      </c>
      <c r="O1257" s="2">
        <f t="shared" si="1191"/>
        <v>6000000</v>
      </c>
      <c r="P1257" s="2">
        <f t="shared" ca="1" si="1192"/>
        <v>45929732.565766647</v>
      </c>
      <c r="Q1257" s="2">
        <f t="shared" ca="1" si="1193"/>
        <v>1148243.3141441662</v>
      </c>
      <c r="R1257" s="2">
        <f t="shared" ca="1" si="1194"/>
        <v>27557839.539459988</v>
      </c>
      <c r="S1257" s="2">
        <f t="shared" ca="1" si="1195"/>
        <v>18371893.026306659</v>
      </c>
      <c r="T1257" s="2">
        <f t="shared" ca="1" si="1196"/>
        <v>49420710.17797289</v>
      </c>
      <c r="U1257" s="2">
        <f t="shared" ca="1" si="1197"/>
        <v>52992420.045415543</v>
      </c>
      <c r="V1257" s="2">
        <f t="shared" ca="1" si="1198"/>
        <v>56822262.815668508</v>
      </c>
      <c r="W1257" s="2">
        <f t="shared" ca="1" si="1199"/>
        <v>60928894.146102123</v>
      </c>
      <c r="X1257" s="2">
        <f t="shared" ca="1" si="1200"/>
        <v>65332317.966810323</v>
      </c>
      <c r="Y1257" s="2">
        <f t="shared" ca="1" si="1201"/>
        <v>0.12309581422878971</v>
      </c>
      <c r="Z1257" s="2">
        <f t="shared" ca="1" si="1202"/>
        <v>0.12433413992030559</v>
      </c>
      <c r="AA1257" s="2">
        <f t="shared" ca="1" si="1203"/>
        <v>6083482.559122608</v>
      </c>
      <c r="AB1257" s="2">
        <f t="shared" ca="1" si="1204"/>
        <v>6588766.9686423028</v>
      </c>
      <c r="AC1257" s="2">
        <f t="shared" ca="1" si="1205"/>
        <v>7064947.1755117057</v>
      </c>
      <c r="AD1257" s="2">
        <f t="shared" ca="1" si="1206"/>
        <v>7575541.6499509495</v>
      </c>
      <c r="AE1257" s="2">
        <f t="shared" ca="1" si="1207"/>
        <v>8123037.5634032898</v>
      </c>
      <c r="AF1257" s="2">
        <f t="shared" ca="1" si="1208"/>
        <v>988414.20355945779</v>
      </c>
      <c r="AG1257" s="2">
        <f t="shared" ca="1" si="1209"/>
        <v>1059848.4009083109</v>
      </c>
      <c r="AH1257" s="2">
        <f t="shared" ca="1" si="1210"/>
        <v>1136445.2563133703</v>
      </c>
      <c r="AI1257" s="2">
        <f t="shared" ca="1" si="1211"/>
        <v>1218577.8829220424</v>
      </c>
      <c r="AJ1257" s="2">
        <f t="shared" ca="1" si="1212"/>
        <v>1306646.3593362065</v>
      </c>
      <c r="AK1257" s="2">
        <f t="shared" ca="1" si="1213"/>
        <v>0</v>
      </c>
      <c r="AL1257" s="2">
        <f t="shared" ca="1" si="1214"/>
        <v>35717.098674426525</v>
      </c>
      <c r="AM1257" s="2">
        <f t="shared" ca="1" si="1215"/>
        <v>38298.427702529654</v>
      </c>
      <c r="AN1257" s="2">
        <f t="shared" ca="1" si="1216"/>
        <v>41066.313304336145</v>
      </c>
      <c r="AO1257" s="2">
        <f t="shared" ca="1" si="1217"/>
        <v>44034.238207082002</v>
      </c>
      <c r="AP1257" s="2">
        <f t="shared" ca="1" si="1218"/>
        <v>2480205.558551399</v>
      </c>
      <c r="AQ1257" s="2">
        <f t="shared" ca="1" si="1219"/>
        <v>679864.32722305541</v>
      </c>
      <c r="AR1257" s="2">
        <f t="shared" ca="1" si="1220"/>
        <v>792665.38238747418</v>
      </c>
      <c r="AS1257" s="2">
        <f t="shared" ca="1" si="1221"/>
        <v>896557.05376820348</v>
      </c>
      <c r="AT1257" s="2">
        <f t="shared" ca="1" si="1222"/>
        <v>1007957.1342041522</v>
      </c>
      <c r="AU1257" s="2">
        <f t="shared" ca="1" si="1223"/>
        <v>1127408.2678340778</v>
      </c>
      <c r="AV1257" s="2">
        <f t="shared" ca="1" si="1224"/>
        <v>1934998.4697886966</v>
      </c>
      <c r="AW1257" s="2">
        <f t="shared" ca="1" si="1225"/>
        <v>2220330.5281206919</v>
      </c>
      <c r="AX1257" s="2">
        <f t="shared" ca="1" si="1226"/>
        <v>2513440.8791762032</v>
      </c>
      <c r="AY1257" s="2">
        <f t="shared" ca="1" si="1227"/>
        <v>2827734.7609690204</v>
      </c>
      <c r="AZ1257" s="2">
        <f t="shared" ca="1" si="1228"/>
        <v>3164743.1394745242</v>
      </c>
      <c r="BA1257" s="2">
        <f t="shared" ca="1" si="1229"/>
        <v>56516173.757642038</v>
      </c>
      <c r="BB1257" s="2">
        <f t="shared" ca="1" si="1230"/>
        <v>1130323.4751528408</v>
      </c>
      <c r="BC1257" s="2">
        <f t="shared" ca="1" si="1231"/>
        <v>27828010.743029207</v>
      </c>
      <c r="BD1257" s="2">
        <f t="shared" ca="1" si="1232"/>
        <v>-20020136.340450823</v>
      </c>
      <c r="BE1257" s="2">
        <f t="shared" ca="1" si="1233"/>
        <v>1934998.4697886966</v>
      </c>
      <c r="BF1257" s="2">
        <f t="shared" ca="1" si="1234"/>
        <v>2220330.5281206919</v>
      </c>
      <c r="BG1257" s="2">
        <f t="shared" ca="1" si="1235"/>
        <v>2513440.8791762032</v>
      </c>
      <c r="BH1257" s="2">
        <f t="shared" ca="1" si="1236"/>
        <v>2827734.7609690204</v>
      </c>
      <c r="BI1257" s="2">
        <f t="shared" ca="1" si="1237"/>
        <v>30992753.882503733</v>
      </c>
      <c r="BJ1257" s="2">
        <f t="shared" ca="1" si="1238"/>
        <v>0.17647216547171696</v>
      </c>
      <c r="BK1257" s="2">
        <f t="shared" ca="1" si="1239"/>
        <v>4649789.7868585661</v>
      </c>
    </row>
    <row r="1258" spans="1:63" x14ac:dyDescent="0.3">
      <c r="A1258" s="2">
        <v>1257</v>
      </c>
      <c r="B1258" s="2">
        <f t="shared" ca="1" si="1178"/>
        <v>0.50648042759127399</v>
      </c>
      <c r="C1258" s="2">
        <f t="shared" ca="1" si="1179"/>
        <v>7.0065015627503726</v>
      </c>
      <c r="D1258" s="2">
        <f t="shared" ca="1" si="1180"/>
        <v>0.64820056272215032</v>
      </c>
      <c r="E1258" s="2">
        <f t="shared" ca="1" si="1181"/>
        <v>7.6611919918385976</v>
      </c>
      <c r="F1258" s="2">
        <f t="shared" ca="1" si="1182"/>
        <v>0.23743559485131416</v>
      </c>
      <c r="G1258" s="2">
        <f t="shared" ca="1" si="1183"/>
        <v>1.8562725368888821E-2</v>
      </c>
      <c r="H1258" s="2">
        <f t="shared" ca="1" si="1184"/>
        <v>1.8562725368888821E-2</v>
      </c>
      <c r="I1258" s="2">
        <f t="shared" ca="1" si="1185"/>
        <v>0.56334594801453064</v>
      </c>
      <c r="J1258" s="2">
        <f t="shared" ca="1" si="1186"/>
        <v>1.0797289632158058E-2</v>
      </c>
      <c r="K1258" s="2">
        <f t="shared" ca="1" si="1187"/>
        <v>1.0797289632158058E-2</v>
      </c>
      <c r="L1258" s="2">
        <f t="shared" ca="1" si="1188"/>
        <v>0.2643081631161619</v>
      </c>
      <c r="M1258" s="2">
        <f t="shared" ca="1" si="1189"/>
        <v>-1.260239232830225E-2</v>
      </c>
      <c r="N1258" s="2">
        <f t="shared" ca="1" si="1190"/>
        <v>-1.260239232830225E-2</v>
      </c>
      <c r="O1258" s="2">
        <f t="shared" si="1191"/>
        <v>6000000</v>
      </c>
      <c r="P1258" s="2">
        <f t="shared" ca="1" si="1192"/>
        <v>42039009.376502238</v>
      </c>
      <c r="Q1258" s="2">
        <f t="shared" ca="1" si="1193"/>
        <v>1050975.234412556</v>
      </c>
      <c r="R1258" s="2">
        <f t="shared" ca="1" si="1194"/>
        <v>25223405.625901341</v>
      </c>
      <c r="S1258" s="2">
        <f t="shared" ca="1" si="1195"/>
        <v>16815603.750600897</v>
      </c>
      <c r="T1258" s="2">
        <f t="shared" ca="1" si="1196"/>
        <v>49369880.383584887</v>
      </c>
      <c r="U1258" s="2">
        <f t="shared" ca="1" si="1197"/>
        <v>50286319.91464027</v>
      </c>
      <c r="V1258" s="2">
        <f t="shared" ca="1" si="1198"/>
        <v>51219771.061027825</v>
      </c>
      <c r="W1258" s="2">
        <f t="shared" ca="1" si="1199"/>
        <v>52170549.604691051</v>
      </c>
      <c r="X1258" s="2">
        <f t="shared" ca="1" si="1200"/>
        <v>53138977.189346924</v>
      </c>
      <c r="Y1258" s="2">
        <f t="shared" ca="1" si="1201"/>
        <v>0.12539864481607901</v>
      </c>
      <c r="Z1258" s="2">
        <f t="shared" ca="1" si="1202"/>
        <v>0.12755810274251064</v>
      </c>
      <c r="AA1258" s="2">
        <f t="shared" ca="1" si="1203"/>
        <v>6190916.0948334681</v>
      </c>
      <c r="AB1258" s="2">
        <f t="shared" ca="1" si="1204"/>
        <v>6414427.5622144425</v>
      </c>
      <c r="AC1258" s="2">
        <f t="shared" ca="1" si="1205"/>
        <v>6533496.8194504604</v>
      </c>
      <c r="AD1258" s="2">
        <f t="shared" ca="1" si="1206"/>
        <v>6654776.3266084287</v>
      </c>
      <c r="AE1258" s="2">
        <f t="shared" ca="1" si="1207"/>
        <v>6778307.1119506443</v>
      </c>
      <c r="AF1258" s="2">
        <f t="shared" ca="1" si="1208"/>
        <v>987397.60767169774</v>
      </c>
      <c r="AG1258" s="2">
        <f t="shared" ca="1" si="1209"/>
        <v>1005726.3982928054</v>
      </c>
      <c r="AH1258" s="2">
        <f t="shared" ca="1" si="1210"/>
        <v>1024395.4212205565</v>
      </c>
      <c r="AI1258" s="2">
        <f t="shared" ca="1" si="1211"/>
        <v>1043410.9920938211</v>
      </c>
      <c r="AJ1258" s="2">
        <f t="shared" ca="1" si="1212"/>
        <v>1062779.5437869385</v>
      </c>
      <c r="AK1258" s="2">
        <f t="shared" ca="1" si="1213"/>
        <v>0</v>
      </c>
      <c r="AL1258" s="2">
        <f t="shared" ca="1" si="1214"/>
        <v>9164.3953105538349</v>
      </c>
      <c r="AM1258" s="2">
        <f t="shared" ca="1" si="1215"/>
        <v>9334.5114638755476</v>
      </c>
      <c r="AN1258" s="2">
        <f t="shared" ca="1" si="1216"/>
        <v>9507.7854366322608</v>
      </c>
      <c r="AO1258" s="2">
        <f t="shared" ca="1" si="1217"/>
        <v>9684.2758465587358</v>
      </c>
      <c r="AP1258" s="2">
        <f t="shared" ca="1" si="1218"/>
        <v>2270106.5063311206</v>
      </c>
      <c r="AQ1258" s="2">
        <f t="shared" ca="1" si="1219"/>
        <v>762687.11501596903</v>
      </c>
      <c r="AR1258" s="2">
        <f t="shared" ca="1" si="1220"/>
        <v>816034.61097353441</v>
      </c>
      <c r="AS1258" s="2">
        <f t="shared" ca="1" si="1221"/>
        <v>842138.67189368361</v>
      </c>
      <c r="AT1258" s="2">
        <f t="shared" ca="1" si="1222"/>
        <v>868727.29532770661</v>
      </c>
      <c r="AU1258" s="2">
        <f t="shared" ca="1" si="1223"/>
        <v>895809.4760764722</v>
      </c>
      <c r="AV1258" s="2">
        <f t="shared" ca="1" si="1224"/>
        <v>2170724.8658146812</v>
      </c>
      <c r="AW1258" s="2">
        <f t="shared" ca="1" si="1225"/>
        <v>2313395.6513064289</v>
      </c>
      <c r="AX1258" s="2">
        <f t="shared" ca="1" si="1226"/>
        <v>2387521.7085412238</v>
      </c>
      <c r="AY1258" s="2">
        <f t="shared" ca="1" si="1227"/>
        <v>2463023.7474191487</v>
      </c>
      <c r="AZ1258" s="2">
        <f t="shared" ca="1" si="1228"/>
        <v>2539927.3099095542</v>
      </c>
      <c r="BA1258" s="2">
        <f t="shared" ca="1" si="1229"/>
        <v>51929912.164298885</v>
      </c>
      <c r="BB1258" s="2">
        <f t="shared" ca="1" si="1230"/>
        <v>1038598.2432859777</v>
      </c>
      <c r="BC1258" s="2">
        <f t="shared" ca="1" si="1231"/>
        <v>25667908.295111567</v>
      </c>
      <c r="BD1258" s="2">
        <f t="shared" ca="1" si="1232"/>
        <v>-18366578.985013451</v>
      </c>
      <c r="BE1258" s="2">
        <f t="shared" ca="1" si="1233"/>
        <v>2170724.8658146812</v>
      </c>
      <c r="BF1258" s="2">
        <f t="shared" ca="1" si="1234"/>
        <v>2313395.6513064289</v>
      </c>
      <c r="BG1258" s="2">
        <f t="shared" ca="1" si="1235"/>
        <v>2387521.7085412238</v>
      </c>
      <c r="BH1258" s="2">
        <f t="shared" ca="1" si="1236"/>
        <v>2463023.7474191487</v>
      </c>
      <c r="BI1258" s="2">
        <f t="shared" ca="1" si="1237"/>
        <v>28207835.605021119</v>
      </c>
      <c r="BJ1258" s="2">
        <f t="shared" ca="1" si="1238"/>
        <v>0.18292772210385566</v>
      </c>
      <c r="BK1258" s="2">
        <f t="shared" ca="1" si="1239"/>
        <v>4686363.4425563738</v>
      </c>
    </row>
    <row r="1259" spans="1:63" x14ac:dyDescent="0.3">
      <c r="A1259" s="2">
        <v>1258</v>
      </c>
      <c r="B1259" s="2">
        <f t="shared" ca="1" si="1178"/>
        <v>0.87954410739740629</v>
      </c>
      <c r="C1259" s="2">
        <f t="shared" ca="1" si="1179"/>
        <v>7.5091723467395228</v>
      </c>
      <c r="D1259" s="2">
        <f t="shared" ca="1" si="1180"/>
        <v>0.60462617517468464</v>
      </c>
      <c r="E1259" s="2">
        <f t="shared" ca="1" si="1181"/>
        <v>7.6107600719431057</v>
      </c>
      <c r="F1259" s="2">
        <f t="shared" ca="1" si="1182"/>
        <v>0.31832959852421872</v>
      </c>
      <c r="G1259" s="2">
        <f t="shared" ca="1" si="1183"/>
        <v>2.5828752164869351E-2</v>
      </c>
      <c r="H1259" s="2">
        <f t="shared" ca="1" si="1184"/>
        <v>2.5828752164869351E-2</v>
      </c>
      <c r="I1259" s="2">
        <f t="shared" ca="1" si="1185"/>
        <v>0.9643458915301526</v>
      </c>
      <c r="J1259" s="2">
        <f t="shared" ca="1" si="1186"/>
        <v>1.9017548070139032E-2</v>
      </c>
      <c r="K1259" s="2">
        <f t="shared" ca="1" si="1187"/>
        <v>1.9017548070139032E-2</v>
      </c>
      <c r="L1259" s="2">
        <f t="shared" ca="1" si="1188"/>
        <v>0.26441633576778667</v>
      </c>
      <c r="M1259" s="2">
        <f t="shared" ca="1" si="1189"/>
        <v>-1.259577914379433E-2</v>
      </c>
      <c r="N1259" s="2">
        <f t="shared" ca="1" si="1190"/>
        <v>-1.259577914379433E-2</v>
      </c>
      <c r="O1259" s="2">
        <f t="shared" si="1191"/>
        <v>6000000</v>
      </c>
      <c r="P1259" s="2">
        <f t="shared" ca="1" si="1192"/>
        <v>45055034.080437139</v>
      </c>
      <c r="Q1259" s="2">
        <f t="shared" ca="1" si="1193"/>
        <v>1126375.8520109286</v>
      </c>
      <c r="R1259" s="2">
        <f t="shared" ca="1" si="1194"/>
        <v>27033020.448262282</v>
      </c>
      <c r="S1259" s="2">
        <f t="shared" ca="1" si="1195"/>
        <v>18022013.632174857</v>
      </c>
      <c r="T1259" s="2">
        <f t="shared" ca="1" si="1196"/>
        <v>49370211.042810284</v>
      </c>
      <c r="U1259" s="2">
        <f t="shared" ca="1" si="1197"/>
        <v>50645381.988162324</v>
      </c>
      <c r="V1259" s="2">
        <f t="shared" ca="1" si="1198"/>
        <v>51953489.007829703</v>
      </c>
      <c r="W1259" s="2">
        <f t="shared" ca="1" si="1199"/>
        <v>53295382.799513198</v>
      </c>
      <c r="X1259" s="2">
        <f t="shared" ca="1" si="1200"/>
        <v>54671936.033373661</v>
      </c>
      <c r="Y1259" s="2">
        <f t="shared" ca="1" si="1201"/>
        <v>0.12950877403506952</v>
      </c>
      <c r="Z1259" s="2">
        <f t="shared" ca="1" si="1202"/>
        <v>0.13331228364909731</v>
      </c>
      <c r="AA1259" s="2">
        <f t="shared" ca="1" si="1203"/>
        <v>6393875.506007011</v>
      </c>
      <c r="AB1259" s="2">
        <f t="shared" ca="1" si="1204"/>
        <v>6751651.5291227791</v>
      </c>
      <c r="AC1259" s="2">
        <f t="shared" ca="1" si="1205"/>
        <v>6926038.2631720528</v>
      </c>
      <c r="AD1259" s="2">
        <f t="shared" ca="1" si="1206"/>
        <v>7104929.1889559254</v>
      </c>
      <c r="AE1259" s="2">
        <f t="shared" ca="1" si="1207"/>
        <v>7288440.6441264134</v>
      </c>
      <c r="AF1259" s="2">
        <f t="shared" ca="1" si="1208"/>
        <v>987404.22085620568</v>
      </c>
      <c r="AG1259" s="2">
        <f t="shared" ca="1" si="1209"/>
        <v>1012907.6397632465</v>
      </c>
      <c r="AH1259" s="2">
        <f t="shared" ca="1" si="1210"/>
        <v>1039069.7801565941</v>
      </c>
      <c r="AI1259" s="2">
        <f t="shared" ca="1" si="1211"/>
        <v>1065907.6559902639</v>
      </c>
      <c r="AJ1259" s="2">
        <f t="shared" ca="1" si="1212"/>
        <v>1093438.7206674733</v>
      </c>
      <c r="AK1259" s="2">
        <f t="shared" ca="1" si="1213"/>
        <v>0</v>
      </c>
      <c r="AL1259" s="2">
        <f t="shared" ca="1" si="1214"/>
        <v>12751.709453520403</v>
      </c>
      <c r="AM1259" s="2">
        <f t="shared" ca="1" si="1215"/>
        <v>13081.070196673796</v>
      </c>
      <c r="AN1259" s="2">
        <f t="shared" ca="1" si="1216"/>
        <v>13418.937916834951</v>
      </c>
      <c r="AO1259" s="2">
        <f t="shared" ca="1" si="1217"/>
        <v>13765.532338604629</v>
      </c>
      <c r="AP1259" s="2">
        <f t="shared" ca="1" si="1218"/>
        <v>2432971.8403436053</v>
      </c>
      <c r="AQ1259" s="2">
        <f t="shared" ca="1" si="1219"/>
        <v>773109.8556498721</v>
      </c>
      <c r="AR1259" s="2">
        <f t="shared" ca="1" si="1220"/>
        <v>859500.73274414125</v>
      </c>
      <c r="AS1259" s="2">
        <f t="shared" ca="1" si="1221"/>
        <v>898039.12709468196</v>
      </c>
      <c r="AT1259" s="2">
        <f t="shared" ca="1" si="1222"/>
        <v>937572.92008173477</v>
      </c>
      <c r="AU1259" s="2">
        <f t="shared" ca="1" si="1223"/>
        <v>978127.82160998718</v>
      </c>
      <c r="AV1259" s="2">
        <f t="shared" ca="1" si="1224"/>
        <v>2200389.5891573285</v>
      </c>
      <c r="AW1259" s="2">
        <f t="shared" ca="1" si="1225"/>
        <v>2433519.6068182657</v>
      </c>
      <c r="AX1259" s="2">
        <f t="shared" ca="1" si="1226"/>
        <v>2542876.4453804973</v>
      </c>
      <c r="AY1259" s="2">
        <f t="shared" ca="1" si="1227"/>
        <v>2655057.8346234872</v>
      </c>
      <c r="AZ1259" s="2">
        <f t="shared" ca="1" si="1228"/>
        <v>2770136.7291667438</v>
      </c>
      <c r="BA1259" s="2">
        <f t="shared" ca="1" si="1229"/>
        <v>55470573.0410446</v>
      </c>
      <c r="BB1259" s="2">
        <f t="shared" ca="1" si="1230"/>
        <v>1109411.4608208921</v>
      </c>
      <c r="BC1259" s="2">
        <f t="shared" ca="1" si="1231"/>
        <v>27328141.131961428</v>
      </c>
      <c r="BD1259" s="2">
        <f t="shared" ca="1" si="1232"/>
        <v>-19648389.484185785</v>
      </c>
      <c r="BE1259" s="2">
        <f t="shared" ca="1" si="1233"/>
        <v>2200389.5891573285</v>
      </c>
      <c r="BF1259" s="2">
        <f t="shared" ca="1" si="1234"/>
        <v>2433519.6068182657</v>
      </c>
      <c r="BG1259" s="2">
        <f t="shared" ca="1" si="1235"/>
        <v>2542876.4453804973</v>
      </c>
      <c r="BH1259" s="2">
        <f t="shared" ca="1" si="1236"/>
        <v>2655057.8346234872</v>
      </c>
      <c r="BI1259" s="2">
        <f t="shared" ca="1" si="1237"/>
        <v>30098277.86112817</v>
      </c>
      <c r="BJ1259" s="2">
        <f t="shared" ca="1" si="1238"/>
        <v>0.18054407937005101</v>
      </c>
      <c r="BK1259" s="2">
        <f t="shared" ca="1" si="1239"/>
        <v>4832108.6578678265</v>
      </c>
    </row>
    <row r="1260" spans="1:63" x14ac:dyDescent="0.3">
      <c r="A1260" s="2">
        <v>1259</v>
      </c>
      <c r="B1260" s="2">
        <f t="shared" ca="1" si="1178"/>
        <v>0.47012325899674823</v>
      </c>
      <c r="C1260" s="2">
        <f t="shared" ca="1" si="1179"/>
        <v>6.969663095097208</v>
      </c>
      <c r="D1260" s="2">
        <f t="shared" ca="1" si="1180"/>
        <v>0.28053471215378056</v>
      </c>
      <c r="E1260" s="2">
        <f t="shared" ca="1" si="1181"/>
        <v>7.2490456757151467</v>
      </c>
      <c r="F1260" s="2">
        <f t="shared" ca="1" si="1182"/>
        <v>0.65876223078704454</v>
      </c>
      <c r="G1260" s="2">
        <f t="shared" ca="1" si="1183"/>
        <v>5.2272621353033136E-2</v>
      </c>
      <c r="H1260" s="2">
        <f t="shared" ca="1" si="1184"/>
        <v>5.2272621353033136E-2</v>
      </c>
      <c r="I1260" s="2">
        <f t="shared" ca="1" si="1185"/>
        <v>4.0013039827734964E-2</v>
      </c>
      <c r="J1260" s="2">
        <f t="shared" ca="1" si="1186"/>
        <v>1.2473261442533835E-3</v>
      </c>
      <c r="K1260" s="2">
        <f t="shared" ca="1" si="1187"/>
        <v>1.2473261442533835E-3</v>
      </c>
      <c r="L1260" s="2">
        <f t="shared" ca="1" si="1188"/>
        <v>0.77539925953540401</v>
      </c>
      <c r="M1260" s="2">
        <f t="shared" ca="1" si="1189"/>
        <v>1.5134938998495082E-2</v>
      </c>
      <c r="N1260" s="2">
        <f t="shared" ca="1" si="1190"/>
        <v>1.5134938998495082E-2</v>
      </c>
      <c r="O1260" s="2">
        <f t="shared" si="1191"/>
        <v>6000000</v>
      </c>
      <c r="P1260" s="2">
        <f t="shared" ca="1" si="1192"/>
        <v>41817978.570583247</v>
      </c>
      <c r="Q1260" s="2">
        <f t="shared" ca="1" si="1193"/>
        <v>1045449.4642645812</v>
      </c>
      <c r="R1260" s="2">
        <f t="shared" ca="1" si="1194"/>
        <v>25090787.142349947</v>
      </c>
      <c r="S1260" s="2">
        <f t="shared" ca="1" si="1195"/>
        <v>16727191.428233299</v>
      </c>
      <c r="T1260" s="2">
        <f t="shared" ca="1" si="1196"/>
        <v>50756746.94992476</v>
      </c>
      <c r="U1260" s="2">
        <f t="shared" ca="1" si="1197"/>
        <v>53409935.164349899</v>
      </c>
      <c r="V1260" s="2">
        <f t="shared" ca="1" si="1198"/>
        <v>56201812.481686011</v>
      </c>
      <c r="W1260" s="2">
        <f t="shared" ca="1" si="1199"/>
        <v>59139628.544895351</v>
      </c>
      <c r="X1260" s="2">
        <f t="shared" ca="1" si="1200"/>
        <v>62231011.954781696</v>
      </c>
      <c r="Y1260" s="2">
        <f t="shared" ca="1" si="1201"/>
        <v>0.12062366307212669</v>
      </c>
      <c r="Z1260" s="2">
        <f t="shared" ca="1" si="1202"/>
        <v>0.12087312830097736</v>
      </c>
      <c r="AA1260" s="2">
        <f t="shared" ca="1" si="1203"/>
        <v>6122464.7427249178</v>
      </c>
      <c r="AB1260" s="2">
        <f t="shared" ca="1" si="1204"/>
        <v>6455825.9456673479</v>
      </c>
      <c r="AC1260" s="2">
        <f t="shared" ca="1" si="1205"/>
        <v>6793288.8908463046</v>
      </c>
      <c r="AD1260" s="2">
        <f t="shared" ca="1" si="1206"/>
        <v>7148391.9087792793</v>
      </c>
      <c r="AE1260" s="2">
        <f t="shared" ca="1" si="1207"/>
        <v>7522057.0923099844</v>
      </c>
      <c r="AF1260" s="2">
        <f t="shared" ca="1" si="1208"/>
        <v>1015134.9389984952</v>
      </c>
      <c r="AG1260" s="2">
        <f t="shared" ca="1" si="1209"/>
        <v>1068198.703286998</v>
      </c>
      <c r="AH1260" s="2">
        <f t="shared" ca="1" si="1210"/>
        <v>1124036.2496337201</v>
      </c>
      <c r="AI1260" s="2">
        <f t="shared" ca="1" si="1211"/>
        <v>1182792.570897907</v>
      </c>
      <c r="AJ1260" s="2">
        <f t="shared" ca="1" si="1212"/>
        <v>1244620.2390956338</v>
      </c>
      <c r="AK1260" s="2">
        <f t="shared" ca="1" si="1213"/>
        <v>0</v>
      </c>
      <c r="AL1260" s="2">
        <f t="shared" ca="1" si="1214"/>
        <v>26531.882144251391</v>
      </c>
      <c r="AM1260" s="2">
        <f t="shared" ca="1" si="1215"/>
        <v>27918.773173361122</v>
      </c>
      <c r="AN1260" s="2">
        <f t="shared" ca="1" si="1216"/>
        <v>29378.160632093401</v>
      </c>
      <c r="AO1260" s="2">
        <f t="shared" ca="1" si="1217"/>
        <v>30913.834098863452</v>
      </c>
      <c r="AP1260" s="2">
        <f t="shared" ca="1" si="1218"/>
        <v>2258170.8428114951</v>
      </c>
      <c r="AQ1260" s="2">
        <f t="shared" ca="1" si="1219"/>
        <v>740781.32983788115</v>
      </c>
      <c r="AR1260" s="2">
        <f t="shared" ca="1" si="1220"/>
        <v>813658.66388790228</v>
      </c>
      <c r="AS1260" s="2">
        <f t="shared" ca="1" si="1221"/>
        <v>886881.26758428325</v>
      </c>
      <c r="AT1260" s="2">
        <f t="shared" ca="1" si="1222"/>
        <v>963931.40871816815</v>
      </c>
      <c r="AU1260" s="2">
        <f t="shared" ca="1" si="1223"/>
        <v>1045009.1627047425</v>
      </c>
      <c r="AV1260" s="2">
        <f t="shared" ca="1" si="1224"/>
        <v>2108377.6310770465</v>
      </c>
      <c r="AW1260" s="2">
        <f t="shared" ca="1" si="1225"/>
        <v>2289265.8535367008</v>
      </c>
      <c r="AX1260" s="2">
        <f t="shared" ca="1" si="1226"/>
        <v>2496281.7576434454</v>
      </c>
      <c r="AY1260" s="2">
        <f t="shared" ca="1" si="1227"/>
        <v>2714118.925719616</v>
      </c>
      <c r="AZ1260" s="2">
        <f t="shared" ca="1" si="1228"/>
        <v>2943343.0135992495</v>
      </c>
      <c r="BA1260" s="2">
        <f t="shared" ca="1" si="1229"/>
        <v>54527735.43749214</v>
      </c>
      <c r="BB1260" s="2">
        <f t="shared" ca="1" si="1230"/>
        <v>1090554.7087498428</v>
      </c>
      <c r="BC1260" s="2">
        <f t="shared" ca="1" si="1231"/>
        <v>28346393.58639235</v>
      </c>
      <c r="BD1260" s="2">
        <f t="shared" ca="1" si="1232"/>
        <v>-18272640.892497882</v>
      </c>
      <c r="BE1260" s="2">
        <f t="shared" ca="1" si="1233"/>
        <v>2108377.6310770465</v>
      </c>
      <c r="BF1260" s="2">
        <f t="shared" ca="1" si="1234"/>
        <v>2289265.8535367008</v>
      </c>
      <c r="BG1260" s="2">
        <f t="shared" ca="1" si="1235"/>
        <v>2496281.7576434454</v>
      </c>
      <c r="BH1260" s="2">
        <f t="shared" ca="1" si="1236"/>
        <v>2714118.925719616</v>
      </c>
      <c r="BI1260" s="2">
        <f t="shared" ca="1" si="1237"/>
        <v>31289736.599991601</v>
      </c>
      <c r="BJ1260" s="2">
        <f t="shared" ca="1" si="1238"/>
        <v>0.20633065586133159</v>
      </c>
      <c r="BK1260" s="2">
        <f t="shared" ca="1" si="1239"/>
        <v>6691140.405275017</v>
      </c>
    </row>
    <row r="1261" spans="1:63" x14ac:dyDescent="0.3">
      <c r="A1261" s="2">
        <v>1260</v>
      </c>
      <c r="B1261" s="2">
        <f t="shared" ca="1" si="1178"/>
        <v>0.26168543446877879</v>
      </c>
      <c r="C1261" s="2">
        <f t="shared" ca="1" si="1179"/>
        <v>6.7234437565820562</v>
      </c>
      <c r="D1261" s="2">
        <f t="shared" ca="1" si="1180"/>
        <v>0.39932005731610831</v>
      </c>
      <c r="E1261" s="2">
        <f t="shared" ca="1" si="1181"/>
        <v>7.3936666686366994</v>
      </c>
      <c r="F1261" s="2">
        <f t="shared" ca="1" si="1182"/>
        <v>0.23243133769746549</v>
      </c>
      <c r="G1261" s="2">
        <f t="shared" ca="1" si="1183"/>
        <v>1.8074102019983555E-2</v>
      </c>
      <c r="H1261" s="2">
        <f t="shared" ca="1" si="1184"/>
        <v>1.8074102019983555E-2</v>
      </c>
      <c r="I1261" s="2">
        <f t="shared" ca="1" si="1185"/>
        <v>0.76041475892669019</v>
      </c>
      <c r="J1261" s="2">
        <f t="shared" ca="1" si="1186"/>
        <v>1.3538186831157359E-2</v>
      </c>
      <c r="K1261" s="2">
        <f t="shared" ca="1" si="1187"/>
        <v>1.3538186831157359E-2</v>
      </c>
      <c r="L1261" s="2">
        <f t="shared" ca="1" si="1188"/>
        <v>0.58689591390232687</v>
      </c>
      <c r="M1261" s="2">
        <f t="shared" ca="1" si="1189"/>
        <v>4.3913457060098804E-3</v>
      </c>
      <c r="N1261" s="2">
        <f t="shared" ca="1" si="1190"/>
        <v>4.3913457060098804E-3</v>
      </c>
      <c r="O1261" s="2">
        <f t="shared" si="1191"/>
        <v>6000000</v>
      </c>
      <c r="P1261" s="2">
        <f t="shared" ca="1" si="1192"/>
        <v>40340662.539492339</v>
      </c>
      <c r="Q1261" s="2">
        <f t="shared" ca="1" si="1193"/>
        <v>1008516.5634873086</v>
      </c>
      <c r="R1261" s="2">
        <f t="shared" ca="1" si="1194"/>
        <v>24204397.523695402</v>
      </c>
      <c r="S1261" s="2">
        <f t="shared" ca="1" si="1195"/>
        <v>16136265.015796937</v>
      </c>
      <c r="T1261" s="2">
        <f t="shared" ca="1" si="1196"/>
        <v>50219567.285300493</v>
      </c>
      <c r="U1261" s="2">
        <f t="shared" ca="1" si="1197"/>
        <v>51127240.867814437</v>
      </c>
      <c r="V1261" s="2">
        <f t="shared" ca="1" si="1198"/>
        <v>52051319.835259587</v>
      </c>
      <c r="W1261" s="2">
        <f t="shared" ca="1" si="1199"/>
        <v>52992100.700236857</v>
      </c>
      <c r="X1261" s="2">
        <f t="shared" ca="1" si="1200"/>
        <v>53949885.334546179</v>
      </c>
      <c r="Y1261" s="2">
        <f t="shared" ca="1" si="1201"/>
        <v>0.12676909341557868</v>
      </c>
      <c r="Z1261" s="2">
        <f t="shared" ca="1" si="1202"/>
        <v>0.12947673078181016</v>
      </c>
      <c r="AA1261" s="2">
        <f t="shared" ca="1" si="1203"/>
        <v>6366289.0164801972</v>
      </c>
      <c r="AB1261" s="2">
        <f t="shared" ca="1" si="1204"/>
        <v>6619788.0014587715</v>
      </c>
      <c r="AC1261" s="2">
        <f t="shared" ca="1" si="1205"/>
        <v>6739434.7251478005</v>
      </c>
      <c r="AD1261" s="2">
        <f t="shared" ca="1" si="1206"/>
        <v>6861243.955927141</v>
      </c>
      <c r="AE1261" s="2">
        <f t="shared" ca="1" si="1207"/>
        <v>6985254.7791705634</v>
      </c>
      <c r="AF1261" s="2">
        <f t="shared" ca="1" si="1208"/>
        <v>1004391.3457060099</v>
      </c>
      <c r="AG1261" s="2">
        <f t="shared" ca="1" si="1209"/>
        <v>1022544.8173562888</v>
      </c>
      <c r="AH1261" s="2">
        <f t="shared" ca="1" si="1210"/>
        <v>1041026.3967051917</v>
      </c>
      <c r="AI1261" s="2">
        <f t="shared" ca="1" si="1211"/>
        <v>1059842.0140047371</v>
      </c>
      <c r="AJ1261" s="2">
        <f t="shared" ca="1" si="1212"/>
        <v>1078997.7066909235</v>
      </c>
      <c r="AK1261" s="2">
        <f t="shared" ca="1" si="1213"/>
        <v>0</v>
      </c>
      <c r="AL1261" s="2">
        <f t="shared" ca="1" si="1214"/>
        <v>9076.7358251394326</v>
      </c>
      <c r="AM1261" s="2">
        <f t="shared" ca="1" si="1215"/>
        <v>9240.7896744515001</v>
      </c>
      <c r="AN1261" s="2">
        <f t="shared" ca="1" si="1216"/>
        <v>9407.8086497727036</v>
      </c>
      <c r="AO1261" s="2">
        <f t="shared" ca="1" si="1217"/>
        <v>9577.846343093217</v>
      </c>
      <c r="AP1261" s="2">
        <f t="shared" ca="1" si="1218"/>
        <v>2178395.7771325861</v>
      </c>
      <c r="AQ1261" s="2">
        <f t="shared" ca="1" si="1219"/>
        <v>827710.49234681623</v>
      </c>
      <c r="AR1261" s="2">
        <f t="shared" ca="1" si="1220"/>
        <v>888900.32581217319</v>
      </c>
      <c r="AS1261" s="2">
        <f t="shared" ca="1" si="1221"/>
        <v>915203.263340606</v>
      </c>
      <c r="AT1261" s="2">
        <f t="shared" ca="1" si="1222"/>
        <v>941981.60284535261</v>
      </c>
      <c r="AU1261" s="2">
        <f t="shared" ca="1" si="1223"/>
        <v>969243.93679023406</v>
      </c>
      <c r="AV1261" s="2">
        <f t="shared" ca="1" si="1224"/>
        <v>2355791.4012947842</v>
      </c>
      <c r="AW1261" s="2">
        <f t="shared" ca="1" si="1225"/>
        <v>2520870.3453325848</v>
      </c>
      <c r="AX1261" s="2">
        <f t="shared" ca="1" si="1226"/>
        <v>2595568.4982949649</v>
      </c>
      <c r="AY1261" s="2">
        <f t="shared" ca="1" si="1227"/>
        <v>2671616.7532946928</v>
      </c>
      <c r="AZ1261" s="2">
        <f t="shared" ca="1" si="1228"/>
        <v>2749039.5122137261</v>
      </c>
      <c r="BA1261" s="2">
        <f t="shared" ca="1" si="1229"/>
        <v>51646645.432688601</v>
      </c>
      <c r="BB1261" s="2">
        <f t="shared" ca="1" si="1230"/>
        <v>1032932.9086537721</v>
      </c>
      <c r="BC1261" s="2">
        <f t="shared" ca="1" si="1231"/>
        <v>26409315.000339426</v>
      </c>
      <c r="BD1261" s="2">
        <f t="shared" ca="1" si="1232"/>
        <v>-17644781.579284247</v>
      </c>
      <c r="BE1261" s="2">
        <f t="shared" ca="1" si="1233"/>
        <v>2355791.4012947842</v>
      </c>
      <c r="BF1261" s="2">
        <f t="shared" ca="1" si="1234"/>
        <v>2520870.3453325848</v>
      </c>
      <c r="BG1261" s="2">
        <f t="shared" ca="1" si="1235"/>
        <v>2595568.4982949649</v>
      </c>
      <c r="BH1261" s="2">
        <f t="shared" ca="1" si="1236"/>
        <v>2671616.7532946928</v>
      </c>
      <c r="BI1261" s="2">
        <f t="shared" ca="1" si="1237"/>
        <v>29158354.512553152</v>
      </c>
      <c r="BJ1261" s="2">
        <f t="shared" ca="1" si="1238"/>
        <v>0.20961183505774938</v>
      </c>
      <c r="BK1261" s="2">
        <f t="shared" ca="1" si="1239"/>
        <v>6558794.5590496287</v>
      </c>
    </row>
    <row r="1262" spans="1:63" x14ac:dyDescent="0.3">
      <c r="A1262" s="2">
        <v>1261</v>
      </c>
      <c r="B1262" s="2">
        <f t="shared" ca="1" si="1178"/>
        <v>0.58973909423186932</v>
      </c>
      <c r="C1262" s="2">
        <f t="shared" ca="1" si="1179"/>
        <v>7.0941734097873583</v>
      </c>
      <c r="D1262" s="2">
        <f t="shared" ca="1" si="1180"/>
        <v>0.48176048309570674</v>
      </c>
      <c r="E1262" s="2">
        <f t="shared" ca="1" si="1181"/>
        <v>7.4815910381576503</v>
      </c>
      <c r="F1262" s="2">
        <f t="shared" ca="1" si="1182"/>
        <v>0.78837670371155144</v>
      </c>
      <c r="G1262" s="2">
        <f t="shared" ca="1" si="1183"/>
        <v>6.4024043856370172E-2</v>
      </c>
      <c r="H1262" s="2">
        <f t="shared" ca="1" si="1184"/>
        <v>6.4024043856370172E-2</v>
      </c>
      <c r="I1262" s="2">
        <f t="shared" ca="1" si="1185"/>
        <v>0.82572411018751612</v>
      </c>
      <c r="J1262" s="2">
        <f t="shared" ca="1" si="1186"/>
        <v>1.4687010320273183E-2</v>
      </c>
      <c r="K1262" s="2">
        <f t="shared" ca="1" si="1187"/>
        <v>1.4687010320273183E-2</v>
      </c>
      <c r="L1262" s="2">
        <f t="shared" ca="1" si="1188"/>
        <v>0.38141250974774232</v>
      </c>
      <c r="M1262" s="2">
        <f t="shared" ca="1" si="1189"/>
        <v>-6.0354624987536652E-3</v>
      </c>
      <c r="N1262" s="2">
        <f t="shared" ca="1" si="1190"/>
        <v>-6.0354624987536652E-3</v>
      </c>
      <c r="O1262" s="2">
        <f t="shared" si="1191"/>
        <v>6000000</v>
      </c>
      <c r="P1262" s="2">
        <f t="shared" ca="1" si="1192"/>
        <v>42565040.458724149</v>
      </c>
      <c r="Q1262" s="2">
        <f t="shared" ca="1" si="1193"/>
        <v>1064126.0114681039</v>
      </c>
      <c r="R1262" s="2">
        <f t="shared" ca="1" si="1194"/>
        <v>25539024.275234487</v>
      </c>
      <c r="S1262" s="2">
        <f t="shared" ca="1" si="1195"/>
        <v>17026016.183489662</v>
      </c>
      <c r="T1262" s="2">
        <f t="shared" ca="1" si="1196"/>
        <v>49698226.875062317</v>
      </c>
      <c r="U1262" s="2">
        <f t="shared" ca="1" si="1197"/>
        <v>52880108.332095139</v>
      </c>
      <c r="V1262" s="2">
        <f t="shared" ca="1" si="1198"/>
        <v>56265706.707078807</v>
      </c>
      <c r="W1262" s="2">
        <f t="shared" ca="1" si="1199"/>
        <v>59868064.780902483</v>
      </c>
      <c r="X1262" s="2">
        <f t="shared" ca="1" si="1200"/>
        <v>63701060.386030994</v>
      </c>
      <c r="Y1262" s="2">
        <f t="shared" ca="1" si="1201"/>
        <v>0.12734350516013659</v>
      </c>
      <c r="Z1262" s="2">
        <f t="shared" ca="1" si="1202"/>
        <v>0.13028090722419122</v>
      </c>
      <c r="AA1262" s="2">
        <f t="shared" ca="1" si="1203"/>
        <v>6328746.4105141377</v>
      </c>
      <c r="AB1262" s="2">
        <f t="shared" ca="1" si="1204"/>
        <v>6889268.4876188682</v>
      </c>
      <c r="AC1262" s="2">
        <f t="shared" ca="1" si="1205"/>
        <v>7330347.3154084878</v>
      </c>
      <c r="AD1262" s="2">
        <f t="shared" ca="1" si="1206"/>
        <v>7799665.7934126267</v>
      </c>
      <c r="AE1262" s="2">
        <f t="shared" ca="1" si="1207"/>
        <v>8299031.9382351069</v>
      </c>
      <c r="AF1262" s="2">
        <f t="shared" ca="1" si="1208"/>
        <v>993964.53750124632</v>
      </c>
      <c r="AG1262" s="2">
        <f t="shared" ca="1" si="1209"/>
        <v>1057602.1666419029</v>
      </c>
      <c r="AH1262" s="2">
        <f t="shared" ca="1" si="1210"/>
        <v>1125314.1341415762</v>
      </c>
      <c r="AI1262" s="2">
        <f t="shared" ca="1" si="1211"/>
        <v>1197361.2956180496</v>
      </c>
      <c r="AJ1262" s="2">
        <f t="shared" ca="1" si="1212"/>
        <v>1274021.2077206199</v>
      </c>
      <c r="AK1262" s="2">
        <f t="shared" ca="1" si="1213"/>
        <v>0</v>
      </c>
      <c r="AL1262" s="2">
        <f t="shared" ca="1" si="1214"/>
        <v>31818.814570328221</v>
      </c>
      <c r="AM1262" s="2">
        <f t="shared" ca="1" si="1215"/>
        <v>33855.983749836683</v>
      </c>
      <c r="AN1262" s="2">
        <f t="shared" ca="1" si="1216"/>
        <v>36023.580738236757</v>
      </c>
      <c r="AO1262" s="2">
        <f t="shared" ca="1" si="1217"/>
        <v>38329.956051285117</v>
      </c>
      <c r="AP1262" s="2">
        <f t="shared" ca="1" si="1218"/>
        <v>2298512.1847711038</v>
      </c>
      <c r="AQ1262" s="2">
        <f t="shared" ca="1" si="1219"/>
        <v>789430.1189428647</v>
      </c>
      <c r="AR1262" s="2">
        <f t="shared" ca="1" si="1220"/>
        <v>918620.07541352394</v>
      </c>
      <c r="AS1262" s="2">
        <f t="shared" ca="1" si="1221"/>
        <v>1015695.45908891</v>
      </c>
      <c r="AT1262" s="2">
        <f t="shared" ca="1" si="1222"/>
        <v>1118986.001386103</v>
      </c>
      <c r="AU1262" s="2">
        <f t="shared" ca="1" si="1223"/>
        <v>1228889.6218932797</v>
      </c>
      <c r="AV1262" s="2">
        <f t="shared" ca="1" si="1224"/>
        <v>2246839.569298923</v>
      </c>
      <c r="AW1262" s="2">
        <f t="shared" ca="1" si="1225"/>
        <v>2582715.246222009</v>
      </c>
      <c r="AX1262" s="2">
        <f t="shared" ca="1" si="1226"/>
        <v>2856969.5536570605</v>
      </c>
      <c r="AY1262" s="2">
        <f t="shared" ca="1" si="1227"/>
        <v>3148782.7308991328</v>
      </c>
      <c r="AZ1262" s="2">
        <f t="shared" ca="1" si="1228"/>
        <v>3459278.9677988179</v>
      </c>
      <c r="BA1262" s="2">
        <f t="shared" ca="1" si="1229"/>
        <v>62089962.974483892</v>
      </c>
      <c r="BB1262" s="2">
        <f t="shared" ca="1" si="1230"/>
        <v>1241799.2594896778</v>
      </c>
      <c r="BC1262" s="2">
        <f t="shared" ca="1" si="1231"/>
        <v>35309139.439759724</v>
      </c>
      <c r="BD1262" s="2">
        <f t="shared" ca="1" si="1232"/>
        <v>-18590142.194957767</v>
      </c>
      <c r="BE1262" s="2">
        <f t="shared" ca="1" si="1233"/>
        <v>2246839.569298923</v>
      </c>
      <c r="BF1262" s="2">
        <f t="shared" ca="1" si="1234"/>
        <v>2582715.246222009</v>
      </c>
      <c r="BG1262" s="2">
        <f t="shared" ca="1" si="1235"/>
        <v>2856969.5536570605</v>
      </c>
      <c r="BH1262" s="2">
        <f t="shared" ca="1" si="1236"/>
        <v>3148782.7308991328</v>
      </c>
      <c r="BI1262" s="2">
        <f t="shared" ca="1" si="1237"/>
        <v>38768418.407558545</v>
      </c>
      <c r="BJ1262" s="2">
        <f t="shared" ca="1" si="1238"/>
        <v>0.25511792722567961</v>
      </c>
      <c r="BK1262" s="2">
        <f t="shared" ca="1" si="1239"/>
        <v>11507773.950627435</v>
      </c>
    </row>
    <row r="1263" spans="1:63" x14ac:dyDescent="0.3">
      <c r="A1263" s="2">
        <v>1262</v>
      </c>
      <c r="B1263" s="2">
        <f t="shared" ca="1" si="1178"/>
        <v>4.23580829901814E-2</v>
      </c>
      <c r="C1263" s="2">
        <f t="shared" ca="1" si="1179"/>
        <v>6.2910604163749557</v>
      </c>
      <c r="D1263" s="2">
        <f t="shared" ca="1" si="1180"/>
        <v>0.70966022100702086</v>
      </c>
      <c r="E1263" s="2">
        <f t="shared" ca="1" si="1181"/>
        <v>7.7379766683454116</v>
      </c>
      <c r="F1263" s="2">
        <f t="shared" ca="1" si="1182"/>
        <v>0.58084496676785713</v>
      </c>
      <c r="G1263" s="2">
        <f t="shared" ca="1" si="1183"/>
        <v>4.6121667380594297E-2</v>
      </c>
      <c r="H1263" s="2">
        <f t="shared" ca="1" si="1184"/>
        <v>4.6121667380594297E-2</v>
      </c>
      <c r="I1263" s="2">
        <f t="shared" ca="1" si="1185"/>
        <v>0.27112874619407046</v>
      </c>
      <c r="J1263" s="2">
        <f t="shared" ca="1" si="1186"/>
        <v>6.9529860751912764E-3</v>
      </c>
      <c r="K1263" s="2">
        <f t="shared" ca="1" si="1187"/>
        <v>6.9529860751912764E-3</v>
      </c>
      <c r="L1263" s="2">
        <f t="shared" ca="1" si="1188"/>
        <v>0.36254029065911209</v>
      </c>
      <c r="M1263" s="2">
        <f t="shared" ca="1" si="1189"/>
        <v>-7.033538135541275E-3</v>
      </c>
      <c r="N1263" s="2">
        <f t="shared" ca="1" si="1190"/>
        <v>-7.033538135541275E-3</v>
      </c>
      <c r="O1263" s="2">
        <f t="shared" si="1191"/>
        <v>6000000</v>
      </c>
      <c r="P1263" s="2">
        <f t="shared" ca="1" si="1192"/>
        <v>37746362.498249732</v>
      </c>
      <c r="Q1263" s="2">
        <f t="shared" ca="1" si="1193"/>
        <v>943659.06245624332</v>
      </c>
      <c r="R1263" s="2">
        <f t="shared" ca="1" si="1194"/>
        <v>22647817.498949837</v>
      </c>
      <c r="S1263" s="2">
        <f t="shared" ca="1" si="1195"/>
        <v>15098544.999299893</v>
      </c>
      <c r="T1263" s="2">
        <f t="shared" ca="1" si="1196"/>
        <v>49648323.093222931</v>
      </c>
      <c r="U1263" s="2">
        <f t="shared" ca="1" si="1197"/>
        <v>51938186.536932833</v>
      </c>
      <c r="V1263" s="2">
        <f t="shared" ca="1" si="1198"/>
        <v>54333662.300740503</v>
      </c>
      <c r="W1263" s="2">
        <f t="shared" ca="1" si="1199"/>
        <v>56839621.400944784</v>
      </c>
      <c r="X1263" s="2">
        <f t="shared" ca="1" si="1200"/>
        <v>59461159.513238065</v>
      </c>
      <c r="Y1263" s="2">
        <f t="shared" ca="1" si="1201"/>
        <v>0.12347649303759563</v>
      </c>
      <c r="Z1263" s="2">
        <f t="shared" ca="1" si="1202"/>
        <v>0.12486709025263389</v>
      </c>
      <c r="AA1263" s="2">
        <f t="shared" ca="1" si="1203"/>
        <v>6130400.8207486393</v>
      </c>
      <c r="AB1263" s="2">
        <f t="shared" ca="1" si="1204"/>
        <v>6485370.2258653259</v>
      </c>
      <c r="AC1263" s="2">
        <f t="shared" ca="1" si="1205"/>
        <v>6784486.3142626956</v>
      </c>
      <c r="AD1263" s="2">
        <f t="shared" ca="1" si="1206"/>
        <v>7097398.1353973132</v>
      </c>
      <c r="AE1263" s="2">
        <f t="shared" ca="1" si="1207"/>
        <v>7424741.9714657571</v>
      </c>
      <c r="AF1263" s="2">
        <f t="shared" ca="1" si="1208"/>
        <v>992966.46186445863</v>
      </c>
      <c r="AG1263" s="2">
        <f t="shared" ca="1" si="1209"/>
        <v>1038763.7307386567</v>
      </c>
      <c r="AH1263" s="2">
        <f t="shared" ca="1" si="1210"/>
        <v>1086673.2460148102</v>
      </c>
      <c r="AI1263" s="2">
        <f t="shared" ca="1" si="1211"/>
        <v>1136792.4280188957</v>
      </c>
      <c r="AJ1263" s="2">
        <f t="shared" ca="1" si="1212"/>
        <v>1189223.1902647612</v>
      </c>
      <c r="AK1263" s="2">
        <f t="shared" ca="1" si="1213"/>
        <v>0</v>
      </c>
      <c r="AL1263" s="2">
        <f t="shared" ca="1" si="1214"/>
        <v>22898.634437099026</v>
      </c>
      <c r="AM1263" s="2">
        <f t="shared" ca="1" si="1215"/>
        <v>23954.757638076695</v>
      </c>
      <c r="AN1263" s="2">
        <f t="shared" ca="1" si="1216"/>
        <v>25059.591002042816</v>
      </c>
      <c r="AO1263" s="2">
        <f t="shared" ca="1" si="1217"/>
        <v>26215.381122932806</v>
      </c>
      <c r="AP1263" s="2">
        <f t="shared" ca="1" si="1218"/>
        <v>2038303.5749054851</v>
      </c>
      <c r="AQ1263" s="2">
        <f t="shared" ca="1" si="1219"/>
        <v>805774.00383446098</v>
      </c>
      <c r="AR1263" s="2">
        <f t="shared" ca="1" si="1220"/>
        <v>886158.75925750798</v>
      </c>
      <c r="AS1263" s="2">
        <f t="shared" ca="1" si="1221"/>
        <v>951472.46826902416</v>
      </c>
      <c r="AT1263" s="2">
        <f t="shared" ca="1" si="1222"/>
        <v>1019798.5544429624</v>
      </c>
      <c r="AU1263" s="2">
        <f t="shared" ca="1" si="1223"/>
        <v>1091275.9536368328</v>
      </c>
      <c r="AV1263" s="2">
        <f t="shared" ca="1" si="1224"/>
        <v>2293356.7801442351</v>
      </c>
      <c r="AW1263" s="2">
        <f t="shared" ca="1" si="1225"/>
        <v>2499245.5265265778</v>
      </c>
      <c r="AX1263" s="2">
        <f t="shared" ca="1" si="1226"/>
        <v>2684082.2674353002</v>
      </c>
      <c r="AY1263" s="2">
        <f t="shared" ca="1" si="1227"/>
        <v>2877443.9870279273</v>
      </c>
      <c r="AZ1263" s="2">
        <f t="shared" ca="1" si="1228"/>
        <v>3079723.8715357454</v>
      </c>
      <c r="BA1263" s="2">
        <f t="shared" ca="1" si="1229"/>
        <v>57452480.143686943</v>
      </c>
      <c r="BB1263" s="2">
        <f t="shared" ca="1" si="1230"/>
        <v>1149049.6028737389</v>
      </c>
      <c r="BC1263" s="2">
        <f t="shared" ca="1" si="1231"/>
        <v>33655613.041863367</v>
      </c>
      <c r="BD1263" s="2">
        <f t="shared" ca="1" si="1232"/>
        <v>-16542204.061756136</v>
      </c>
      <c r="BE1263" s="2">
        <f t="shared" ca="1" si="1233"/>
        <v>2293356.7801442351</v>
      </c>
      <c r="BF1263" s="2">
        <f t="shared" ca="1" si="1234"/>
        <v>2499245.5265265778</v>
      </c>
      <c r="BG1263" s="2">
        <f t="shared" ca="1" si="1235"/>
        <v>2684082.2674353002</v>
      </c>
      <c r="BH1263" s="2">
        <f t="shared" ca="1" si="1236"/>
        <v>2877443.9870279273</v>
      </c>
      <c r="BI1263" s="2">
        <f t="shared" ca="1" si="1237"/>
        <v>36735336.913399115</v>
      </c>
      <c r="BJ1263" s="2">
        <f t="shared" ca="1" si="1238"/>
        <v>0.27652124967327407</v>
      </c>
      <c r="BK1263" s="2">
        <f t="shared" ca="1" si="1239"/>
        <v>12081580.286112918</v>
      </c>
    </row>
    <row r="1264" spans="1:63" x14ac:dyDescent="0.3">
      <c r="A1264" s="2">
        <v>1263</v>
      </c>
      <c r="B1264" s="2">
        <f t="shared" ca="1" si="1178"/>
        <v>0.14286727613881856</v>
      </c>
      <c r="C1264" s="2">
        <f t="shared" ca="1" si="1179"/>
        <v>6.5345414411227978</v>
      </c>
      <c r="D1264" s="2">
        <f t="shared" ca="1" si="1180"/>
        <v>0.80406498670042337</v>
      </c>
      <c r="E1264" s="2">
        <f t="shared" ca="1" si="1181"/>
        <v>7.8740047711051204</v>
      </c>
      <c r="F1264" s="2">
        <f t="shared" ca="1" si="1182"/>
        <v>0.68880967148126337</v>
      </c>
      <c r="G1264" s="2">
        <f t="shared" ca="1" si="1183"/>
        <v>5.4774374535522682E-2</v>
      </c>
      <c r="H1264" s="2">
        <f t="shared" ca="1" si="1184"/>
        <v>5.4774374535522682E-2</v>
      </c>
      <c r="I1264" s="2">
        <f t="shared" ca="1" si="1185"/>
        <v>1.2042434582684169E-2</v>
      </c>
      <c r="J1264" s="2">
        <f t="shared" ca="1" si="1186"/>
        <v>-1.2788635579218804E-3</v>
      </c>
      <c r="K1264" s="2">
        <f t="shared" ca="1" si="1187"/>
        <v>0</v>
      </c>
      <c r="L1264" s="2">
        <f t="shared" ca="1" si="1188"/>
        <v>0.42170421000401648</v>
      </c>
      <c r="M1264" s="2">
        <f t="shared" ca="1" si="1189"/>
        <v>-3.9507121393439395E-3</v>
      </c>
      <c r="N1264" s="2">
        <f t="shared" ca="1" si="1190"/>
        <v>-3.9507121393439395E-3</v>
      </c>
      <c r="O1264" s="2">
        <f t="shared" si="1191"/>
        <v>6000000</v>
      </c>
      <c r="P1264" s="2">
        <f t="shared" ca="1" si="1192"/>
        <v>39207248.646736786</v>
      </c>
      <c r="Q1264" s="2">
        <f t="shared" ca="1" si="1193"/>
        <v>980181.21616841969</v>
      </c>
      <c r="R1264" s="2">
        <f t="shared" ca="1" si="1194"/>
        <v>23524349.188042071</v>
      </c>
      <c r="S1264" s="2">
        <f t="shared" ca="1" si="1195"/>
        <v>15682899.458694715</v>
      </c>
      <c r="T1264" s="2">
        <f t="shared" ca="1" si="1196"/>
        <v>49802464.393032804</v>
      </c>
      <c r="U1264" s="2">
        <f t="shared" ca="1" si="1197"/>
        <v>52530363.230488814</v>
      </c>
      <c r="V1264" s="2">
        <f t="shared" ca="1" si="1198"/>
        <v>55407681.020562656</v>
      </c>
      <c r="W1264" s="2">
        <f t="shared" ca="1" si="1199"/>
        <v>58442602.092927724</v>
      </c>
      <c r="X1264" s="2">
        <f t="shared" ca="1" si="1200"/>
        <v>61643759.06879627</v>
      </c>
      <c r="Y1264" s="2">
        <f t="shared" ca="1" si="1201"/>
        <v>0.12</v>
      </c>
      <c r="Z1264" s="2">
        <f t="shared" ca="1" si="1202"/>
        <v>0.12</v>
      </c>
      <c r="AA1264" s="2">
        <f t="shared" ca="1" si="1203"/>
        <v>5976295.727163936</v>
      </c>
      <c r="AB1264" s="2">
        <f t="shared" ca="1" si="1204"/>
        <v>6303643.5876586577</v>
      </c>
      <c r="AC1264" s="2">
        <f t="shared" ca="1" si="1205"/>
        <v>6648921.7224675184</v>
      </c>
      <c r="AD1264" s="2">
        <f t="shared" ca="1" si="1206"/>
        <v>7013112.251151327</v>
      </c>
      <c r="AE1264" s="2">
        <f t="shared" ca="1" si="1207"/>
        <v>7397251.0882555516</v>
      </c>
      <c r="AF1264" s="2">
        <f t="shared" ca="1" si="1208"/>
        <v>996049.28786065616</v>
      </c>
      <c r="AG1264" s="2">
        <f t="shared" ca="1" si="1209"/>
        <v>1050607.2646097762</v>
      </c>
      <c r="AH1264" s="2">
        <f t="shared" ca="1" si="1210"/>
        <v>1108153.6204112531</v>
      </c>
      <c r="AI1264" s="2">
        <f t="shared" ca="1" si="1211"/>
        <v>1168852.0418585546</v>
      </c>
      <c r="AJ1264" s="2">
        <f t="shared" ca="1" si="1212"/>
        <v>1232875.1813759254</v>
      </c>
      <c r="AK1264" s="2">
        <f t="shared" ca="1" si="1213"/>
        <v>0</v>
      </c>
      <c r="AL1264" s="2">
        <f t="shared" ca="1" si="1214"/>
        <v>27278.988374560104</v>
      </c>
      <c r="AM1264" s="2">
        <f t="shared" ca="1" si="1215"/>
        <v>28773.177900738418</v>
      </c>
      <c r="AN1264" s="2">
        <f t="shared" ca="1" si="1216"/>
        <v>30349.210723650678</v>
      </c>
      <c r="AO1264" s="2">
        <f t="shared" ca="1" si="1217"/>
        <v>32011.569758685455</v>
      </c>
      <c r="AP1264" s="2">
        <f t="shared" ca="1" si="1218"/>
        <v>2117191.4269237863</v>
      </c>
      <c r="AQ1264" s="2">
        <f t="shared" ca="1" si="1219"/>
        <v>744394.30321866833</v>
      </c>
      <c r="AR1264" s="2">
        <f t="shared" ca="1" si="1220"/>
        <v>815319.67299252469</v>
      </c>
      <c r="AS1264" s="2">
        <f t="shared" ca="1" si="1221"/>
        <v>890129.93553444452</v>
      </c>
      <c r="AT1264" s="2">
        <f t="shared" ca="1" si="1222"/>
        <v>969037.88341593638</v>
      </c>
      <c r="AU1264" s="2">
        <f t="shared" ca="1" si="1223"/>
        <v>1052267.9647885184</v>
      </c>
      <c r="AV1264" s="2">
        <f t="shared" ca="1" si="1224"/>
        <v>2118660.7091608252</v>
      </c>
      <c r="AW1264" s="2">
        <f t="shared" ca="1" si="1225"/>
        <v>2293246.2347580101</v>
      </c>
      <c r="AX1264" s="2">
        <f t="shared" ca="1" si="1226"/>
        <v>2504673.5616972959</v>
      </c>
      <c r="AY1264" s="2">
        <f t="shared" ca="1" si="1227"/>
        <v>2727681.6882293988</v>
      </c>
      <c r="AZ1264" s="2">
        <f t="shared" ca="1" si="1228"/>
        <v>2962904.9454086358</v>
      </c>
      <c r="BA1264" s="2">
        <f t="shared" ca="1" si="1229"/>
        <v>58245990.361986756</v>
      </c>
      <c r="BB1264" s="2">
        <f t="shared" ca="1" si="1230"/>
        <v>1164919.8072397353</v>
      </c>
      <c r="BC1264" s="2">
        <f t="shared" ca="1" si="1231"/>
        <v>33556721.366704948</v>
      </c>
      <c r="BD1264" s="2">
        <f t="shared" ca="1" si="1232"/>
        <v>-17163080.674863137</v>
      </c>
      <c r="BE1264" s="2">
        <f t="shared" ca="1" si="1233"/>
        <v>2118660.7091608252</v>
      </c>
      <c r="BF1264" s="2">
        <f t="shared" ca="1" si="1234"/>
        <v>2293246.2347580101</v>
      </c>
      <c r="BG1264" s="2">
        <f t="shared" ca="1" si="1235"/>
        <v>2504673.5616972959</v>
      </c>
      <c r="BH1264" s="2">
        <f t="shared" ca="1" si="1236"/>
        <v>2727681.6882293988</v>
      </c>
      <c r="BI1264" s="2">
        <f t="shared" ca="1" si="1237"/>
        <v>36519626.312113583</v>
      </c>
      <c r="BJ1264" s="2">
        <f t="shared" ca="1" si="1238"/>
        <v>0.25637510914264316</v>
      </c>
      <c r="BK1264" s="2">
        <f t="shared" ca="1" si="1239"/>
        <v>10795227.454408925</v>
      </c>
    </row>
    <row r="1265" spans="1:63" x14ac:dyDescent="0.3">
      <c r="A1265" s="2">
        <v>1264</v>
      </c>
      <c r="B1265" s="2">
        <f t="shared" ca="1" si="1178"/>
        <v>0.87001897677686579</v>
      </c>
      <c r="C1265" s="2">
        <f t="shared" ca="1" si="1179"/>
        <v>7.4901352665203564</v>
      </c>
      <c r="D1265" s="2">
        <f t="shared" ca="1" si="1180"/>
        <v>0.45393857427854156</v>
      </c>
      <c r="E1265" s="2">
        <f t="shared" ca="1" si="1181"/>
        <v>7.4528258752558534</v>
      </c>
      <c r="F1265" s="2">
        <f t="shared" ca="1" si="1182"/>
        <v>0.58154245241046243</v>
      </c>
      <c r="G1265" s="2">
        <f t="shared" ca="1" si="1183"/>
        <v>4.6175230705426104E-2</v>
      </c>
      <c r="H1265" s="2">
        <f t="shared" ca="1" si="1184"/>
        <v>4.6175230705426104E-2</v>
      </c>
      <c r="I1265" s="2">
        <f t="shared" ca="1" si="1185"/>
        <v>0.37349073260553278</v>
      </c>
      <c r="J1265" s="2">
        <f t="shared" ca="1" si="1186"/>
        <v>8.3868895698630107E-3</v>
      </c>
      <c r="K1265" s="2">
        <f t="shared" ca="1" si="1187"/>
        <v>8.3868895698630107E-3</v>
      </c>
      <c r="L1265" s="2">
        <f t="shared" ca="1" si="1188"/>
        <v>0.1724449638645259</v>
      </c>
      <c r="M1265" s="2">
        <f t="shared" ca="1" si="1189"/>
        <v>-1.8890950508314325E-2</v>
      </c>
      <c r="N1265" s="2">
        <f t="shared" ca="1" si="1190"/>
        <v>-1.8890950508314325E-2</v>
      </c>
      <c r="O1265" s="2">
        <f t="shared" si="1191"/>
        <v>6000000</v>
      </c>
      <c r="P1265" s="2">
        <f t="shared" ca="1" si="1192"/>
        <v>44940811.599122137</v>
      </c>
      <c r="Q1265" s="2">
        <f t="shared" ca="1" si="1193"/>
        <v>1123520.2899780534</v>
      </c>
      <c r="R1265" s="2">
        <f t="shared" ca="1" si="1194"/>
        <v>26964486.959473282</v>
      </c>
      <c r="S1265" s="2">
        <f t="shared" ca="1" si="1195"/>
        <v>17976324.639648855</v>
      </c>
      <c r="T1265" s="2">
        <f t="shared" ca="1" si="1196"/>
        <v>49055452.474584281</v>
      </c>
      <c r="U1265" s="2">
        <f t="shared" ca="1" si="1197"/>
        <v>51320599.309957281</v>
      </c>
      <c r="V1265" s="2">
        <f t="shared" ca="1" si="1198"/>
        <v>53690339.823035292</v>
      </c>
      <c r="W1265" s="2">
        <f t="shared" ca="1" si="1199"/>
        <v>56169503.651016675</v>
      </c>
      <c r="X1265" s="2">
        <f t="shared" ca="1" si="1200"/>
        <v>58763143.440711647</v>
      </c>
      <c r="Y1265" s="2">
        <f t="shared" ca="1" si="1201"/>
        <v>0.12419344478493149</v>
      </c>
      <c r="Z1265" s="2">
        <f t="shared" ca="1" si="1202"/>
        <v>0.12587082269890409</v>
      </c>
      <c r="AA1265" s="2">
        <f t="shared" ca="1" si="1203"/>
        <v>6092365.6283021141</v>
      </c>
      <c r="AB1265" s="2">
        <f t="shared" ca="1" si="1204"/>
        <v>6459766.0565451328</v>
      </c>
      <c r="AC1265" s="2">
        <f t="shared" ca="1" si="1205"/>
        <v>6758047.2445091847</v>
      </c>
      <c r="AD1265" s="2">
        <f t="shared" ca="1" si="1206"/>
        <v>7070101.6351425657</v>
      </c>
      <c r="AE1265" s="2">
        <f t="shared" ca="1" si="1207"/>
        <v>7396565.2092560846</v>
      </c>
      <c r="AF1265" s="2">
        <f t="shared" ca="1" si="1208"/>
        <v>981109.0494916857</v>
      </c>
      <c r="AG1265" s="2">
        <f t="shared" ca="1" si="1209"/>
        <v>1026411.9861991457</v>
      </c>
      <c r="AH1265" s="2">
        <f t="shared" ca="1" si="1210"/>
        <v>1073806.7964607058</v>
      </c>
      <c r="AI1265" s="2">
        <f t="shared" ca="1" si="1211"/>
        <v>1123390.0730203334</v>
      </c>
      <c r="AJ1265" s="2">
        <f t="shared" ca="1" si="1212"/>
        <v>1175262.868814233</v>
      </c>
      <c r="AK1265" s="2">
        <f t="shared" ca="1" si="1213"/>
        <v>0</v>
      </c>
      <c r="AL1265" s="2">
        <f t="shared" ca="1" si="1214"/>
        <v>22651.468353729993</v>
      </c>
      <c r="AM1265" s="2">
        <f t="shared" ca="1" si="1215"/>
        <v>23697.405130780116</v>
      </c>
      <c r="AN1265" s="2">
        <f t="shared" ca="1" si="1216"/>
        <v>24791.638279813826</v>
      </c>
      <c r="AO1265" s="2">
        <f t="shared" ca="1" si="1217"/>
        <v>25936.397896949726</v>
      </c>
      <c r="AP1265" s="2">
        <f t="shared" ca="1" si="1218"/>
        <v>2426803.8263525954</v>
      </c>
      <c r="AQ1265" s="2">
        <f t="shared" ca="1" si="1219"/>
        <v>697957.71563903661</v>
      </c>
      <c r="AR1265" s="2">
        <f t="shared" ca="1" si="1220"/>
        <v>781703.06343828177</v>
      </c>
      <c r="AS1265" s="2">
        <f t="shared" ca="1" si="1221"/>
        <v>846933.52164092974</v>
      </c>
      <c r="AT1265" s="2">
        <f t="shared" ca="1" si="1222"/>
        <v>915176.0113001056</v>
      </c>
      <c r="AU1265" s="2">
        <f t="shared" ca="1" si="1223"/>
        <v>986569.61366320669</v>
      </c>
      <c r="AV1265" s="2">
        <f t="shared" ca="1" si="1224"/>
        <v>1986495.0368187958</v>
      </c>
      <c r="AW1265" s="2">
        <f t="shared" ca="1" si="1225"/>
        <v>2202195.7122013802</v>
      </c>
      <c r="AX1265" s="2">
        <f t="shared" ca="1" si="1226"/>
        <v>2386805.6949241739</v>
      </c>
      <c r="AY1265" s="2">
        <f t="shared" ca="1" si="1227"/>
        <v>2579940.0861897171</v>
      </c>
      <c r="AZ1265" s="2">
        <f t="shared" ca="1" si="1228"/>
        <v>2781992.5025290996</v>
      </c>
      <c r="BA1265" s="2">
        <f t="shared" ca="1" si="1229"/>
        <v>55125312.579560973</v>
      </c>
      <c r="BB1265" s="2">
        <f t="shared" ca="1" si="1230"/>
        <v>1102506.2515912196</v>
      </c>
      <c r="BC1265" s="2">
        <f t="shared" ca="1" si="1231"/>
        <v>27058319.36849647</v>
      </c>
      <c r="BD1265" s="2">
        <f t="shared" ca="1" si="1232"/>
        <v>-19599844.929626908</v>
      </c>
      <c r="BE1265" s="2">
        <f t="shared" ca="1" si="1233"/>
        <v>1986495.0368187958</v>
      </c>
      <c r="BF1265" s="2">
        <f t="shared" ca="1" si="1234"/>
        <v>2202195.7122013802</v>
      </c>
      <c r="BG1265" s="2">
        <f t="shared" ca="1" si="1235"/>
        <v>2386805.6949241739</v>
      </c>
      <c r="BH1265" s="2">
        <f t="shared" ca="1" si="1236"/>
        <v>2579940.0861897171</v>
      </c>
      <c r="BI1265" s="2">
        <f t="shared" ca="1" si="1237"/>
        <v>29840311.87102557</v>
      </c>
      <c r="BJ1265" s="2">
        <f t="shared" ca="1" si="1238"/>
        <v>0.17261580101450869</v>
      </c>
      <c r="BK1265" s="2">
        <f t="shared" ca="1" si="1239"/>
        <v>4200062.3458119631</v>
      </c>
    </row>
    <row r="1266" spans="1:63" x14ac:dyDescent="0.3">
      <c r="A1266" s="2">
        <v>1265</v>
      </c>
      <c r="B1266" s="2">
        <f t="shared" ca="1" si="1178"/>
        <v>0.68490646736671856</v>
      </c>
      <c r="C1266" s="2">
        <f t="shared" ca="1" si="1179"/>
        <v>7.2061567753853648</v>
      </c>
      <c r="D1266" s="2">
        <f t="shared" ca="1" si="1180"/>
        <v>0.56623131837002993</v>
      </c>
      <c r="E1266" s="2">
        <f t="shared" ca="1" si="1181"/>
        <v>7.5685831420572525</v>
      </c>
      <c r="F1266" s="2">
        <f t="shared" ca="1" si="1182"/>
        <v>0.49452048647206692</v>
      </c>
      <c r="G1266" s="2">
        <f t="shared" ca="1" si="1183"/>
        <v>3.9587933937087073E-2</v>
      </c>
      <c r="H1266" s="2">
        <f t="shared" ca="1" si="1184"/>
        <v>3.9587933937087073E-2</v>
      </c>
      <c r="I1266" s="2">
        <f t="shared" ca="1" si="1185"/>
        <v>0.74082591463781344</v>
      </c>
      <c r="J1266" s="2">
        <f t="shared" ca="1" si="1186"/>
        <v>1.3229468725283728E-2</v>
      </c>
      <c r="K1266" s="2">
        <f t="shared" ca="1" si="1187"/>
        <v>1.3229468725283728E-2</v>
      </c>
      <c r="L1266" s="2">
        <f t="shared" ca="1" si="1188"/>
        <v>0.21052117831843098</v>
      </c>
      <c r="M1266" s="2">
        <f t="shared" ca="1" si="1189"/>
        <v>-1.6092283605727828E-2</v>
      </c>
      <c r="N1266" s="2">
        <f t="shared" ca="1" si="1190"/>
        <v>-1.6092283605727828E-2</v>
      </c>
      <c r="O1266" s="2">
        <f t="shared" si="1191"/>
        <v>6000000</v>
      </c>
      <c r="P1266" s="2">
        <f t="shared" ca="1" si="1192"/>
        <v>43236940.652312189</v>
      </c>
      <c r="Q1266" s="2">
        <f t="shared" ca="1" si="1193"/>
        <v>1080923.5163078047</v>
      </c>
      <c r="R1266" s="2">
        <f t="shared" ca="1" si="1194"/>
        <v>25942164.391387314</v>
      </c>
      <c r="S1266" s="2">
        <f t="shared" ca="1" si="1195"/>
        <v>17294776.260924876</v>
      </c>
      <c r="T1266" s="2">
        <f t="shared" ca="1" si="1196"/>
        <v>49195385.819713607</v>
      </c>
      <c r="U1266" s="2">
        <f t="shared" ca="1" si="1197"/>
        <v>51142929.503553942</v>
      </c>
      <c r="V1266" s="2">
        <f t="shared" ca="1" si="1198"/>
        <v>53167572.418089733</v>
      </c>
      <c r="W1266" s="2">
        <f t="shared" ca="1" si="1199"/>
        <v>55272366.762572363</v>
      </c>
      <c r="X1266" s="2">
        <f t="shared" ca="1" si="1200"/>
        <v>57460485.56651552</v>
      </c>
      <c r="Y1266" s="2">
        <f t="shared" ca="1" si="1201"/>
        <v>0.12661473436264187</v>
      </c>
      <c r="Z1266" s="2">
        <f t="shared" ca="1" si="1202"/>
        <v>0.12926062810769862</v>
      </c>
      <c r="AA1266" s="2">
        <f t="shared" ca="1" si="1203"/>
        <v>6228860.7074307166</v>
      </c>
      <c r="AB1266" s="2">
        <f t="shared" ca="1" si="1204"/>
        <v>6610767.1908971332</v>
      </c>
      <c r="AC1266" s="2">
        <f t="shared" ca="1" si="1205"/>
        <v>6872473.8057238311</v>
      </c>
      <c r="AD1266" s="2">
        <f t="shared" ca="1" si="1206"/>
        <v>7144540.8447291879</v>
      </c>
      <c r="AE1266" s="2">
        <f t="shared" ca="1" si="1207"/>
        <v>7427378.4557011463</v>
      </c>
      <c r="AF1266" s="2">
        <f t="shared" ca="1" si="1208"/>
        <v>983907.71639427217</v>
      </c>
      <c r="AG1266" s="2">
        <f t="shared" ca="1" si="1209"/>
        <v>1022858.5900710789</v>
      </c>
      <c r="AH1266" s="2">
        <f t="shared" ca="1" si="1210"/>
        <v>1063351.4483617947</v>
      </c>
      <c r="AI1266" s="2">
        <f t="shared" ca="1" si="1211"/>
        <v>1105447.3352514473</v>
      </c>
      <c r="AJ1266" s="2">
        <f t="shared" ca="1" si="1212"/>
        <v>1149209.7113303104</v>
      </c>
      <c r="AK1266" s="2">
        <f t="shared" ca="1" si="1213"/>
        <v>0</v>
      </c>
      <c r="AL1266" s="2">
        <f t="shared" ca="1" si="1214"/>
        <v>19475.436838403344</v>
      </c>
      <c r="AM1266" s="2">
        <f t="shared" ca="1" si="1215"/>
        <v>20246.429145357906</v>
      </c>
      <c r="AN1266" s="2">
        <f t="shared" ca="1" si="1216"/>
        <v>21047.943444826305</v>
      </c>
      <c r="AO1266" s="2">
        <f t="shared" ca="1" si="1217"/>
        <v>21881.188039431574</v>
      </c>
      <c r="AP1266" s="2">
        <f t="shared" ca="1" si="1218"/>
        <v>2334794.795224858</v>
      </c>
      <c r="AQ1266" s="2">
        <f t="shared" ca="1" si="1219"/>
        <v>756641.13091101265</v>
      </c>
      <c r="AR1266" s="2">
        <f t="shared" ca="1" si="1220"/>
        <v>845809.58945631119</v>
      </c>
      <c r="AS1266" s="2">
        <f t="shared" ca="1" si="1221"/>
        <v>903325.16615566646</v>
      </c>
      <c r="AT1266" s="2">
        <f t="shared" ca="1" si="1222"/>
        <v>963117.66570574942</v>
      </c>
      <c r="AU1266" s="2">
        <f t="shared" ca="1" si="1223"/>
        <v>1025277.2267779543</v>
      </c>
      <c r="AV1266" s="2">
        <f t="shared" ca="1" si="1224"/>
        <v>2153517.0649005738</v>
      </c>
      <c r="AW1266" s="2">
        <f t="shared" ca="1" si="1225"/>
        <v>2387828.7793064821</v>
      </c>
      <c r="AX1266" s="2">
        <f t="shared" ca="1" si="1226"/>
        <v>2550755.9668361549</v>
      </c>
      <c r="AY1266" s="2">
        <f t="shared" ca="1" si="1227"/>
        <v>2720133.1051023058</v>
      </c>
      <c r="AZ1266" s="2">
        <f t="shared" ca="1" si="1228"/>
        <v>2896215.5343285925</v>
      </c>
      <c r="BA1266" s="2">
        <f t="shared" ca="1" si="1229"/>
        <v>56214731.369498923</v>
      </c>
      <c r="BB1266" s="2">
        <f t="shared" ca="1" si="1230"/>
        <v>1124294.6273899784</v>
      </c>
      <c r="BC1266" s="2">
        <f t="shared" ca="1" si="1231"/>
        <v>29148272.350721631</v>
      </c>
      <c r="BD1266" s="2">
        <f t="shared" ca="1" si="1232"/>
        <v>-18875699.77723268</v>
      </c>
      <c r="BE1266" s="2">
        <f t="shared" ca="1" si="1233"/>
        <v>2153517.0649005738</v>
      </c>
      <c r="BF1266" s="2">
        <f t="shared" ca="1" si="1234"/>
        <v>2387828.7793064821</v>
      </c>
      <c r="BG1266" s="2">
        <f t="shared" ca="1" si="1235"/>
        <v>2550755.9668361549</v>
      </c>
      <c r="BH1266" s="2">
        <f t="shared" ca="1" si="1236"/>
        <v>2720133.1051023058</v>
      </c>
      <c r="BI1266" s="2">
        <f t="shared" ca="1" si="1237"/>
        <v>32044487.885050222</v>
      </c>
      <c r="BJ1266" s="2">
        <f t="shared" ca="1" si="1238"/>
        <v>0.20371489024771572</v>
      </c>
      <c r="BK1266" s="2">
        <f t="shared" ca="1" si="1239"/>
        <v>6677820.2818047516</v>
      </c>
    </row>
    <row r="1267" spans="1:63" x14ac:dyDescent="0.3">
      <c r="A1267" s="2">
        <v>1266</v>
      </c>
      <c r="B1267" s="2">
        <f t="shared" ca="1" si="1178"/>
        <v>0.59774763519252205</v>
      </c>
      <c r="C1267" s="2">
        <f t="shared" ca="1" si="1179"/>
        <v>7.1030581236139341</v>
      </c>
      <c r="D1267" s="2">
        <f t="shared" ca="1" si="1180"/>
        <v>0.73043178724043711</v>
      </c>
      <c r="E1267" s="2">
        <f t="shared" ca="1" si="1181"/>
        <v>7.7657409002817017</v>
      </c>
      <c r="F1267" s="2">
        <f t="shared" ca="1" si="1182"/>
        <v>0.11899446710681327</v>
      </c>
      <c r="G1267" s="2">
        <f t="shared" ca="1" si="1183"/>
        <v>4.5991490967061954E-3</v>
      </c>
      <c r="H1267" s="2">
        <f t="shared" ca="1" si="1184"/>
        <v>4.5991490967061954E-3</v>
      </c>
      <c r="I1267" s="2">
        <f t="shared" ca="1" si="1185"/>
        <v>8.5550996697173476E-3</v>
      </c>
      <c r="J1267" s="2">
        <f t="shared" ca="1" si="1186"/>
        <v>-1.9216555958725488E-3</v>
      </c>
      <c r="K1267" s="2">
        <f t="shared" ca="1" si="1187"/>
        <v>0</v>
      </c>
      <c r="L1267" s="2">
        <f t="shared" ca="1" si="1188"/>
        <v>0.16796860506226197</v>
      </c>
      <c r="M1267" s="2">
        <f t="shared" ca="1" si="1189"/>
        <v>-1.9244475449804295E-2</v>
      </c>
      <c r="N1267" s="2">
        <f t="shared" ca="1" si="1190"/>
        <v>-1.9244475449804295E-2</v>
      </c>
      <c r="O1267" s="2">
        <f t="shared" si="1191"/>
        <v>6000000</v>
      </c>
      <c r="P1267" s="2">
        <f t="shared" ca="1" si="1192"/>
        <v>42618348.741683602</v>
      </c>
      <c r="Q1267" s="2">
        <f t="shared" ca="1" si="1193"/>
        <v>1065458.7185420902</v>
      </c>
      <c r="R1267" s="2">
        <f t="shared" ca="1" si="1194"/>
        <v>25571009.24501016</v>
      </c>
      <c r="S1267" s="2">
        <f t="shared" ca="1" si="1195"/>
        <v>17047339.496673442</v>
      </c>
      <c r="T1267" s="2">
        <f t="shared" ca="1" si="1196"/>
        <v>49037776.227509782</v>
      </c>
      <c r="U1267" s="2">
        <f t="shared" ca="1" si="1197"/>
        <v>49263308.271751009</v>
      </c>
      <c r="V1267" s="2">
        <f t="shared" ca="1" si="1198"/>
        <v>49489877.571489789</v>
      </c>
      <c r="W1267" s="2">
        <f t="shared" ca="1" si="1199"/>
        <v>49717488.897218801</v>
      </c>
      <c r="X1267" s="2">
        <f t="shared" ca="1" si="1200"/>
        <v>49946147.041370943</v>
      </c>
      <c r="Y1267" s="2">
        <f t="shared" ca="1" si="1201"/>
        <v>0.12</v>
      </c>
      <c r="Z1267" s="2">
        <f t="shared" ca="1" si="1202"/>
        <v>0.12</v>
      </c>
      <c r="AA1267" s="2">
        <f t="shared" ca="1" si="1203"/>
        <v>5884533.1473011738</v>
      </c>
      <c r="AB1267" s="2">
        <f t="shared" ca="1" si="1204"/>
        <v>5911596.9926101211</v>
      </c>
      <c r="AC1267" s="2">
        <f t="shared" ca="1" si="1205"/>
        <v>5938785.3085787743</v>
      </c>
      <c r="AD1267" s="2">
        <f t="shared" ca="1" si="1206"/>
        <v>5966098.6676662555</v>
      </c>
      <c r="AE1267" s="2">
        <f t="shared" ca="1" si="1207"/>
        <v>5993537.6449645134</v>
      </c>
      <c r="AF1267" s="2">
        <f t="shared" ca="1" si="1208"/>
        <v>980755.52455019567</v>
      </c>
      <c r="AG1267" s="2">
        <f t="shared" ca="1" si="1209"/>
        <v>985266.16543502023</v>
      </c>
      <c r="AH1267" s="2">
        <f t="shared" ca="1" si="1210"/>
        <v>989797.5514297958</v>
      </c>
      <c r="AI1267" s="2">
        <f t="shared" ca="1" si="1211"/>
        <v>994349.77794437599</v>
      </c>
      <c r="AJ1267" s="2">
        <f t="shared" ca="1" si="1212"/>
        <v>998922.94082741893</v>
      </c>
      <c r="AK1267" s="2">
        <f t="shared" ca="1" si="1213"/>
        <v>0</v>
      </c>
      <c r="AL1267" s="2">
        <f t="shared" ca="1" si="1214"/>
        <v>2255.3204424122723</v>
      </c>
      <c r="AM1267" s="2">
        <f t="shared" ca="1" si="1215"/>
        <v>2265.6929973877968</v>
      </c>
      <c r="AN1267" s="2">
        <f t="shared" ca="1" si="1216"/>
        <v>2276.1132572901251</v>
      </c>
      <c r="AO1267" s="2">
        <f t="shared" ca="1" si="1217"/>
        <v>2286.5814415214213</v>
      </c>
      <c r="AP1267" s="2">
        <f t="shared" ca="1" si="1218"/>
        <v>2301390.8320509144</v>
      </c>
      <c r="AQ1267" s="2">
        <f t="shared" ca="1" si="1219"/>
        <v>676620.5655820166</v>
      </c>
      <c r="AR1267" s="2">
        <f t="shared" ca="1" si="1220"/>
        <v>682484.39873228862</v>
      </c>
      <c r="AS1267" s="2">
        <f t="shared" ca="1" si="1221"/>
        <v>688375.20052549662</v>
      </c>
      <c r="AT1267" s="2">
        <f t="shared" ca="1" si="1222"/>
        <v>694293.09499445104</v>
      </c>
      <c r="AU1267" s="2">
        <f t="shared" ca="1" si="1223"/>
        <v>700238.20674240682</v>
      </c>
      <c r="AV1267" s="2">
        <f t="shared" ca="1" si="1224"/>
        <v>1925766.2251180471</v>
      </c>
      <c r="AW1267" s="2">
        <f t="shared" ca="1" si="1225"/>
        <v>1940200.2759494861</v>
      </c>
      <c r="AX1267" s="2">
        <f t="shared" ca="1" si="1226"/>
        <v>1956956.0315751801</v>
      </c>
      <c r="AY1267" s="2">
        <f t="shared" ca="1" si="1227"/>
        <v>1973788.8494192245</v>
      </c>
      <c r="AZ1267" s="2">
        <f t="shared" ca="1" si="1228"/>
        <v>1990699.0839022514</v>
      </c>
      <c r="BA1267" s="2">
        <f t="shared" ca="1" si="1229"/>
        <v>46544260.426878989</v>
      </c>
      <c r="BB1267" s="2">
        <f t="shared" ca="1" si="1230"/>
        <v>930885.20853757975</v>
      </c>
      <c r="BC1267" s="2">
        <f t="shared" ca="1" si="1231"/>
        <v>20042365.97333125</v>
      </c>
      <c r="BD1267" s="2">
        <f t="shared" ca="1" si="1232"/>
        <v>-18612798.215215534</v>
      </c>
      <c r="BE1267" s="2">
        <f t="shared" ca="1" si="1233"/>
        <v>1925766.2251180471</v>
      </c>
      <c r="BF1267" s="2">
        <f t="shared" ca="1" si="1234"/>
        <v>1940200.2759494861</v>
      </c>
      <c r="BG1267" s="2">
        <f t="shared" ca="1" si="1235"/>
        <v>1956956.0315751801</v>
      </c>
      <c r="BH1267" s="2">
        <f t="shared" ca="1" si="1236"/>
        <v>1973788.8494192245</v>
      </c>
      <c r="BI1267" s="2">
        <f t="shared" ca="1" si="1237"/>
        <v>22033065.057233501</v>
      </c>
      <c r="BJ1267" s="2">
        <f t="shared" ca="1" si="1238"/>
        <v>0.11713442283217379</v>
      </c>
      <c r="BK1267" s="2">
        <f t="shared" ca="1" si="1239"/>
        <v>-197194.33129245788</v>
      </c>
    </row>
    <row r="1268" spans="1:63" x14ac:dyDescent="0.3">
      <c r="A1268" s="2">
        <v>1267</v>
      </c>
      <c r="B1268" s="2">
        <f t="shared" ca="1" si="1178"/>
        <v>0.96044465722659966</v>
      </c>
      <c r="C1268" s="2">
        <f t="shared" ca="1" si="1179"/>
        <v>7.7187337817177459</v>
      </c>
      <c r="D1268" s="2">
        <f t="shared" ca="1" si="1180"/>
        <v>0.85234060798623013</v>
      </c>
      <c r="E1268" s="2">
        <f t="shared" ca="1" si="1181"/>
        <v>7.9565675901940152</v>
      </c>
      <c r="F1268" s="2">
        <f t="shared" ca="1" si="1182"/>
        <v>1.1800809099786758E-2</v>
      </c>
      <c r="G1268" s="2">
        <f t="shared" ca="1" si="1183"/>
        <v>-2.7906591539058535E-2</v>
      </c>
      <c r="H1268" s="2">
        <f t="shared" ca="1" si="1184"/>
        <v>-0.02</v>
      </c>
      <c r="I1268" s="2">
        <f t="shared" ca="1" si="1185"/>
        <v>0.55060414551076309</v>
      </c>
      <c r="J1268" s="2">
        <f t="shared" ca="1" si="1186"/>
        <v>1.0635939329589875E-2</v>
      </c>
      <c r="K1268" s="2">
        <f t="shared" ca="1" si="1187"/>
        <v>1.0635939329589875E-2</v>
      </c>
      <c r="L1268" s="2">
        <f t="shared" ca="1" si="1188"/>
        <v>0.15983352835199238</v>
      </c>
      <c r="M1268" s="2">
        <f t="shared" ca="1" si="1189"/>
        <v>-1.9902846138063156E-2</v>
      </c>
      <c r="N1268" s="2">
        <f t="shared" ca="1" si="1190"/>
        <v>-1.9902846138063156E-2</v>
      </c>
      <c r="O1268" s="2">
        <f t="shared" si="1191"/>
        <v>6000000</v>
      </c>
      <c r="P1268" s="2">
        <f t="shared" ca="1" si="1192"/>
        <v>46312402.690306477</v>
      </c>
      <c r="Q1268" s="2">
        <f t="shared" ca="1" si="1193"/>
        <v>1157810.0672576621</v>
      </c>
      <c r="R1268" s="2">
        <f t="shared" ca="1" si="1194"/>
        <v>27787441.614183884</v>
      </c>
      <c r="S1268" s="2">
        <f t="shared" ca="1" si="1195"/>
        <v>18524961.076122593</v>
      </c>
      <c r="T1268" s="2">
        <f t="shared" ca="1" si="1196"/>
        <v>49004857.693096846</v>
      </c>
      <c r="U1268" s="2">
        <f t="shared" ca="1" si="1197"/>
        <v>48024760.539234906</v>
      </c>
      <c r="V1268" s="2">
        <f t="shared" ca="1" si="1198"/>
        <v>47064265.32845021</v>
      </c>
      <c r="W1268" s="2">
        <f t="shared" ca="1" si="1199"/>
        <v>46122980.021881208</v>
      </c>
      <c r="X1268" s="2">
        <f t="shared" ca="1" si="1200"/>
        <v>45200520.421443582</v>
      </c>
      <c r="Y1268" s="2">
        <f t="shared" ca="1" si="1201"/>
        <v>0.12531796966479494</v>
      </c>
      <c r="Z1268" s="2">
        <f t="shared" ca="1" si="1202"/>
        <v>0.12744515753071289</v>
      </c>
      <c r="AA1268" s="2">
        <f t="shared" ca="1" si="1203"/>
        <v>6141189.2698111041</v>
      </c>
      <c r="AB1268" s="2">
        <f t="shared" ca="1" si="1204"/>
        <v>6120523.1722975569</v>
      </c>
      <c r="AC1268" s="2">
        <f t="shared" ca="1" si="1205"/>
        <v>5998112.7088516057</v>
      </c>
      <c r="AD1268" s="2">
        <f t="shared" ca="1" si="1206"/>
        <v>5878150.4546745745</v>
      </c>
      <c r="AE1268" s="2">
        <f t="shared" ca="1" si="1207"/>
        <v>5760587.4455810823</v>
      </c>
      <c r="AF1268" s="2">
        <f t="shared" ca="1" si="1208"/>
        <v>980097.153861937</v>
      </c>
      <c r="AG1268" s="2">
        <f t="shared" ca="1" si="1209"/>
        <v>960495.21078469814</v>
      </c>
      <c r="AH1268" s="2">
        <f t="shared" ca="1" si="1210"/>
        <v>941285.3065690042</v>
      </c>
      <c r="AI1268" s="2">
        <f t="shared" ca="1" si="1211"/>
        <v>922459.60043762415</v>
      </c>
      <c r="AJ1268" s="2">
        <f t="shared" ca="1" si="1212"/>
        <v>904010.40842887165</v>
      </c>
      <c r="AK1268" s="2">
        <f t="shared" ca="1" si="1213"/>
        <v>0</v>
      </c>
      <c r="AL1268" s="2">
        <f t="shared" ca="1" si="1214"/>
        <v>0</v>
      </c>
      <c r="AM1268" s="2">
        <f t="shared" ca="1" si="1215"/>
        <v>0</v>
      </c>
      <c r="AN1268" s="2">
        <f t="shared" ca="1" si="1216"/>
        <v>0</v>
      </c>
      <c r="AO1268" s="2">
        <f t="shared" ca="1" si="1217"/>
        <v>0</v>
      </c>
      <c r="AP1268" s="2">
        <f t="shared" ca="1" si="1218"/>
        <v>2500869.7452765494</v>
      </c>
      <c r="AQ1268" s="2">
        <f t="shared" ca="1" si="1219"/>
        <v>691657.81637488061</v>
      </c>
      <c r="AR1268" s="2">
        <f t="shared" ca="1" si="1220"/>
        <v>691381.13622144051</v>
      </c>
      <c r="AS1268" s="2">
        <f t="shared" ca="1" si="1221"/>
        <v>664548.99082157353</v>
      </c>
      <c r="AT1268" s="2">
        <f t="shared" ca="1" si="1222"/>
        <v>638253.48832970427</v>
      </c>
      <c r="AU1268" s="2">
        <f t="shared" ca="1" si="1223"/>
        <v>612483.89588767185</v>
      </c>
      <c r="AV1268" s="2">
        <f t="shared" ca="1" si="1224"/>
        <v>1968564.5542977373</v>
      </c>
      <c r="AW1268" s="2">
        <f t="shared" ca="1" si="1225"/>
        <v>1967777.0800148691</v>
      </c>
      <c r="AX1268" s="2">
        <f t="shared" ca="1" si="1226"/>
        <v>1891408.666184478</v>
      </c>
      <c r="AY1268" s="2">
        <f t="shared" ca="1" si="1227"/>
        <v>1816567.6206306969</v>
      </c>
      <c r="AZ1268" s="2">
        <f t="shared" ca="1" si="1228"/>
        <v>1743223.3959879889</v>
      </c>
      <c r="BA1268" s="2">
        <f t="shared" ca="1" si="1229"/>
        <v>45834503.36998897</v>
      </c>
      <c r="BB1268" s="2">
        <f t="shared" ca="1" si="1230"/>
        <v>916690.06739977945</v>
      </c>
      <c r="BC1268" s="2">
        <f t="shared" ca="1" si="1231"/>
        <v>17130371.688405305</v>
      </c>
      <c r="BD1268" s="2">
        <f t="shared" ca="1" si="1232"/>
        <v>-20182771.143380255</v>
      </c>
      <c r="BE1268" s="2">
        <f t="shared" ca="1" si="1233"/>
        <v>1968564.5542977373</v>
      </c>
      <c r="BF1268" s="2">
        <f t="shared" ca="1" si="1234"/>
        <v>1967777.0800148691</v>
      </c>
      <c r="BG1268" s="2">
        <f t="shared" ca="1" si="1235"/>
        <v>1891408.666184478</v>
      </c>
      <c r="BH1268" s="2">
        <f t="shared" ca="1" si="1236"/>
        <v>1816567.6206306969</v>
      </c>
      <c r="BI1268" s="2">
        <f t="shared" ca="1" si="1237"/>
        <v>18873595.084393293</v>
      </c>
      <c r="BJ1268" s="2">
        <f t="shared" ca="1" si="1238"/>
        <v>6.6948594644083315E-2</v>
      </c>
      <c r="BK1268" s="2">
        <f t="shared" ca="1" si="1239"/>
        <v>-3646310.7717948798</v>
      </c>
    </row>
    <row r="1269" spans="1:63" x14ac:dyDescent="0.3">
      <c r="A1269" s="2">
        <v>1268</v>
      </c>
      <c r="B1269" s="2">
        <f t="shared" ca="1" si="1178"/>
        <v>0.46987266999633326</v>
      </c>
      <c r="C1269" s="2">
        <f t="shared" ca="1" si="1179"/>
        <v>6.9694046317161202</v>
      </c>
      <c r="D1269" s="2">
        <f t="shared" ca="1" si="1180"/>
        <v>0.27335774054552042</v>
      </c>
      <c r="E1269" s="2">
        <f t="shared" ca="1" si="1181"/>
        <v>7.2394021105535478</v>
      </c>
      <c r="F1269" s="2">
        <f t="shared" ca="1" si="1182"/>
        <v>0.55029963877524057</v>
      </c>
      <c r="G1269" s="2">
        <f t="shared" ca="1" si="1183"/>
        <v>4.3792552585825616E-2</v>
      </c>
      <c r="H1269" s="2">
        <f t="shared" ca="1" si="1184"/>
        <v>4.3792552585825616E-2</v>
      </c>
      <c r="I1269" s="2">
        <f t="shared" ca="1" si="1185"/>
        <v>0.63232924632566412</v>
      </c>
      <c r="J1269" s="2">
        <f t="shared" ca="1" si="1186"/>
        <v>1.1690143849278503E-2</v>
      </c>
      <c r="K1269" s="2">
        <f t="shared" ca="1" si="1187"/>
        <v>1.1690143849278503E-2</v>
      </c>
      <c r="L1269" s="2">
        <f t="shared" ca="1" si="1188"/>
        <v>0.63447630440122416</v>
      </c>
      <c r="M1269" s="2">
        <f t="shared" ca="1" si="1189"/>
        <v>6.8746520246393099E-3</v>
      </c>
      <c r="N1269" s="2">
        <f t="shared" ca="1" si="1190"/>
        <v>6.8746520246393099E-3</v>
      </c>
      <c r="O1269" s="2">
        <f t="shared" si="1191"/>
        <v>6000000</v>
      </c>
      <c r="P1269" s="2">
        <f t="shared" ca="1" si="1192"/>
        <v>41816427.790296718</v>
      </c>
      <c r="Q1269" s="2">
        <f t="shared" ca="1" si="1193"/>
        <v>1045410.694757418</v>
      </c>
      <c r="R1269" s="2">
        <f t="shared" ca="1" si="1194"/>
        <v>25089856.67417803</v>
      </c>
      <c r="S1269" s="2">
        <f t="shared" ca="1" si="1195"/>
        <v>16726571.116118688</v>
      </c>
      <c r="T1269" s="2">
        <f t="shared" ca="1" si="1196"/>
        <v>50343732.601231962</v>
      </c>
      <c r="U1269" s="2">
        <f t="shared" ca="1" si="1197"/>
        <v>52548413.158538155</v>
      </c>
      <c r="V1269" s="2">
        <f t="shared" ca="1" si="1198"/>
        <v>54849642.30508513</v>
      </c>
      <c r="W1269" s="2">
        <f t="shared" ca="1" si="1199"/>
        <v>57251648.150044292</v>
      </c>
      <c r="X1269" s="2">
        <f t="shared" ca="1" si="1200"/>
        <v>59758843.962280288</v>
      </c>
      <c r="Y1269" s="2">
        <f t="shared" ca="1" si="1201"/>
        <v>0.12584507192463926</v>
      </c>
      <c r="Z1269" s="2">
        <f t="shared" ca="1" si="1202"/>
        <v>0.12818310069449496</v>
      </c>
      <c r="AA1269" s="2">
        <f t="shared" ca="1" si="1203"/>
        <v>6335510.6501568425</v>
      </c>
      <c r="AB1269" s="2">
        <f t="shared" ca="1" si="1204"/>
        <v>6735818.5352368196</v>
      </c>
      <c r="AC1269" s="2">
        <f t="shared" ca="1" si="1205"/>
        <v>7030797.2226497578</v>
      </c>
      <c r="AD1269" s="2">
        <f t="shared" ca="1" si="1206"/>
        <v>7338693.7797429236</v>
      </c>
      <c r="AE1269" s="2">
        <f t="shared" ca="1" si="1207"/>
        <v>7660073.9130035862</v>
      </c>
      <c r="AF1269" s="2">
        <f t="shared" ca="1" si="1208"/>
        <v>1006874.6520246393</v>
      </c>
      <c r="AG1269" s="2">
        <f t="shared" ca="1" si="1209"/>
        <v>1050968.2631707632</v>
      </c>
      <c r="AH1269" s="2">
        <f t="shared" ca="1" si="1210"/>
        <v>1096992.8461017027</v>
      </c>
      <c r="AI1269" s="2">
        <f t="shared" ca="1" si="1211"/>
        <v>1145032.9630008859</v>
      </c>
      <c r="AJ1269" s="2">
        <f t="shared" ca="1" si="1212"/>
        <v>1195176.8792456058</v>
      </c>
      <c r="AK1269" s="2">
        <f t="shared" ca="1" si="1213"/>
        <v>0</v>
      </c>
      <c r="AL1269" s="2">
        <f t="shared" ca="1" si="1214"/>
        <v>22046.805573061927</v>
      </c>
      <c r="AM1269" s="2">
        <f t="shared" ca="1" si="1215"/>
        <v>23012.291465469749</v>
      </c>
      <c r="AN1269" s="2">
        <f t="shared" ca="1" si="1216"/>
        <v>24020.058449591623</v>
      </c>
      <c r="AO1269" s="2">
        <f t="shared" ca="1" si="1217"/>
        <v>25071.958122359963</v>
      </c>
      <c r="AP1269" s="2">
        <f t="shared" ca="1" si="1218"/>
        <v>2258087.1006760225</v>
      </c>
      <c r="AQ1269" s="2">
        <f t="shared" ca="1" si="1219"/>
        <v>798342.71333860687</v>
      </c>
      <c r="AR1269" s="2">
        <f t="shared" ca="1" si="1220"/>
        <v>890958.42456140893</v>
      </c>
      <c r="AS1269" s="2">
        <f t="shared" ca="1" si="1221"/>
        <v>955686.49172672862</v>
      </c>
      <c r="AT1269" s="2">
        <f t="shared" ca="1" si="1222"/>
        <v>1023249.1661771639</v>
      </c>
      <c r="AU1269" s="2">
        <f t="shared" ca="1" si="1223"/>
        <v>1093770.5826013093</v>
      </c>
      <c r="AV1269" s="2">
        <f t="shared" ca="1" si="1224"/>
        <v>2272206.1841175733</v>
      </c>
      <c r="AW1269" s="2">
        <f t="shared" ca="1" si="1225"/>
        <v>2513757.9412555629</v>
      </c>
      <c r="AX1269" s="2">
        <f t="shared" ca="1" si="1226"/>
        <v>2697018.4926798344</v>
      </c>
      <c r="AY1269" s="2">
        <f t="shared" ca="1" si="1227"/>
        <v>2888304.4914392596</v>
      </c>
      <c r="AZ1269" s="2">
        <f t="shared" ca="1" si="1228"/>
        <v>3087967.39235829</v>
      </c>
      <c r="BA1269" s="2">
        <f t="shared" ca="1" si="1229"/>
        <v>55454355.252794333</v>
      </c>
      <c r="BB1269" s="2">
        <f t="shared" ca="1" si="1230"/>
        <v>1109087.1050558868</v>
      </c>
      <c r="BC1269" s="2">
        <f t="shared" ca="1" si="1231"/>
        <v>29255411.473560415</v>
      </c>
      <c r="BD1269" s="2">
        <f t="shared" ca="1" si="1232"/>
        <v>-18271981.810876105</v>
      </c>
      <c r="BE1269" s="2">
        <f t="shared" ca="1" si="1233"/>
        <v>2272206.1841175733</v>
      </c>
      <c r="BF1269" s="2">
        <f t="shared" ca="1" si="1234"/>
        <v>2513757.9412555629</v>
      </c>
      <c r="BG1269" s="2">
        <f t="shared" ca="1" si="1235"/>
        <v>2697018.4926798344</v>
      </c>
      <c r="BH1269" s="2">
        <f t="shared" ca="1" si="1236"/>
        <v>2888304.4914392596</v>
      </c>
      <c r="BI1269" s="2">
        <f t="shared" ca="1" si="1237"/>
        <v>32343378.865918703</v>
      </c>
      <c r="BJ1269" s="2">
        <f t="shared" ca="1" si="1238"/>
        <v>0.22057941606201825</v>
      </c>
      <c r="BK1269" s="2">
        <f t="shared" ca="1" si="1239"/>
        <v>7868482.1355998032</v>
      </c>
    </row>
    <row r="1270" spans="1:63" x14ac:dyDescent="0.3">
      <c r="A1270" s="2">
        <v>1269</v>
      </c>
      <c r="B1270" s="2">
        <f t="shared" ca="1" si="1178"/>
        <v>0.72162328999860592</v>
      </c>
      <c r="C1270" s="2">
        <f t="shared" ca="1" si="1179"/>
        <v>7.2538408882799938</v>
      </c>
      <c r="D1270" s="2">
        <f t="shared" ca="1" si="1180"/>
        <v>0.99224021032514409</v>
      </c>
      <c r="E1270" s="2">
        <f t="shared" ca="1" si="1181"/>
        <v>8.3754223962756065</v>
      </c>
      <c r="F1270" s="2">
        <f t="shared" ca="1" si="1182"/>
        <v>0.24798965155040342</v>
      </c>
      <c r="G1270" s="2">
        <f t="shared" ca="1" si="1183"/>
        <v>1.9575111286446553E-2</v>
      </c>
      <c r="H1270" s="2">
        <f t="shared" ca="1" si="1184"/>
        <v>1.9575111286446553E-2</v>
      </c>
      <c r="I1270" s="2">
        <f t="shared" ca="1" si="1185"/>
        <v>2.5766119210624439E-2</v>
      </c>
      <c r="J1270" s="2">
        <f t="shared" ca="1" si="1186"/>
        <v>2.6489589048687805E-4</v>
      </c>
      <c r="K1270" s="2">
        <f t="shared" ca="1" si="1187"/>
        <v>2.6489589048687805E-4</v>
      </c>
      <c r="L1270" s="2">
        <f t="shared" ca="1" si="1188"/>
        <v>0.50823762993548993</v>
      </c>
      <c r="M1270" s="2">
        <f t="shared" ca="1" si="1189"/>
        <v>4.130028730621447E-4</v>
      </c>
      <c r="N1270" s="2">
        <f t="shared" ca="1" si="1190"/>
        <v>4.130028730621447E-4</v>
      </c>
      <c r="O1270" s="2">
        <f t="shared" si="1191"/>
        <v>6000000</v>
      </c>
      <c r="P1270" s="2">
        <f t="shared" ca="1" si="1192"/>
        <v>43523045.329679966</v>
      </c>
      <c r="Q1270" s="2">
        <f t="shared" ca="1" si="1193"/>
        <v>1088076.1332419992</v>
      </c>
      <c r="R1270" s="2">
        <f t="shared" ca="1" si="1194"/>
        <v>26113827.197807979</v>
      </c>
      <c r="S1270" s="2">
        <f t="shared" ca="1" si="1195"/>
        <v>17409218.131871987</v>
      </c>
      <c r="T1270" s="2">
        <f t="shared" ca="1" si="1196"/>
        <v>50020650.14365311</v>
      </c>
      <c r="U1270" s="2">
        <f t="shared" ca="1" si="1197"/>
        <v>50999809.936835535</v>
      </c>
      <c r="V1270" s="2">
        <f t="shared" ca="1" si="1198"/>
        <v>51998136.891936719</v>
      </c>
      <c r="W1270" s="2">
        <f t="shared" ca="1" si="1199"/>
        <v>53016006.208284266</v>
      </c>
      <c r="X1270" s="2">
        <f t="shared" ca="1" si="1200"/>
        <v>54053800.429774374</v>
      </c>
      <c r="Y1270" s="2">
        <f t="shared" ca="1" si="1201"/>
        <v>0.12013244794524343</v>
      </c>
      <c r="Z1270" s="2">
        <f t="shared" ca="1" si="1202"/>
        <v>0.12018542712334081</v>
      </c>
      <c r="AA1270" s="2">
        <f t="shared" ca="1" si="1203"/>
        <v>6009103.1495696409</v>
      </c>
      <c r="AB1270" s="2">
        <f t="shared" ca="1" si="1204"/>
        <v>6129433.9404677795</v>
      </c>
      <c r="AC1270" s="2">
        <f t="shared" ca="1" si="1205"/>
        <v>6249418.2919753594</v>
      </c>
      <c r="AD1270" s="2">
        <f t="shared" ca="1" si="1206"/>
        <v>6371751.3505163323</v>
      </c>
      <c r="AE1270" s="2">
        <f t="shared" ca="1" si="1207"/>
        <v>6496479.0922922557</v>
      </c>
      <c r="AF1270" s="2">
        <f t="shared" ca="1" si="1208"/>
        <v>1000413.0028730622</v>
      </c>
      <c r="AG1270" s="2">
        <f t="shared" ca="1" si="1209"/>
        <v>1019996.1987367107</v>
      </c>
      <c r="AH1270" s="2">
        <f t="shared" ca="1" si="1210"/>
        <v>1039962.7378387344</v>
      </c>
      <c r="AI1270" s="2">
        <f t="shared" ca="1" si="1211"/>
        <v>1060320.1241656854</v>
      </c>
      <c r="AJ1270" s="2">
        <f t="shared" ca="1" si="1212"/>
        <v>1081076.0085954876</v>
      </c>
      <c r="AK1270" s="2">
        <f t="shared" ca="1" si="1213"/>
        <v>0</v>
      </c>
      <c r="AL1270" s="2">
        <f t="shared" ca="1" si="1214"/>
        <v>9791.5979318242516</v>
      </c>
      <c r="AM1270" s="2">
        <f t="shared" ca="1" si="1215"/>
        <v>9983.2695510118465</v>
      </c>
      <c r="AN1270" s="2">
        <f t="shared" ca="1" si="1216"/>
        <v>10178.693163475469</v>
      </c>
      <c r="AO1270" s="2">
        <f t="shared" ca="1" si="1217"/>
        <v>10377.942214901075</v>
      </c>
      <c r="AP1270" s="2">
        <f t="shared" ca="1" si="1218"/>
        <v>2350244.4478027178</v>
      </c>
      <c r="AQ1270" s="2">
        <f t="shared" ca="1" si="1219"/>
        <v>691195.88171240385</v>
      </c>
      <c r="AR1270" s="2">
        <f t="shared" ca="1" si="1220"/>
        <v>717390.25642137136</v>
      </c>
      <c r="AS1270" s="2">
        <f t="shared" ca="1" si="1221"/>
        <v>743394.88764681574</v>
      </c>
      <c r="AT1270" s="2">
        <f t="shared" ca="1" si="1222"/>
        <v>769908.56242246146</v>
      </c>
      <c r="AU1270" s="2">
        <f t="shared" ca="1" si="1223"/>
        <v>796941.24533245305</v>
      </c>
      <c r="AV1270" s="2">
        <f t="shared" ca="1" si="1224"/>
        <v>1967249.8171814568</v>
      </c>
      <c r="AW1270" s="2">
        <f t="shared" ca="1" si="1225"/>
        <v>2032011.4395751553</v>
      </c>
      <c r="AX1270" s="2">
        <f t="shared" ca="1" si="1226"/>
        <v>2105832.9491360793</v>
      </c>
      <c r="AY1270" s="2">
        <f t="shared" ca="1" si="1227"/>
        <v>2181099.5229619918</v>
      </c>
      <c r="AZ1270" s="2">
        <f t="shared" ca="1" si="1228"/>
        <v>2257839.4483466959</v>
      </c>
      <c r="BA1270" s="2">
        <f t="shared" ca="1" si="1229"/>
        <v>54410756.486520782</v>
      </c>
      <c r="BB1270" s="2">
        <f t="shared" ca="1" si="1230"/>
        <v>1088215.1297304158</v>
      </c>
      <c r="BC1270" s="2">
        <f t="shared" ca="1" si="1231"/>
        <v>27208714.158982389</v>
      </c>
      <c r="BD1270" s="2">
        <f t="shared" ca="1" si="1232"/>
        <v>-18997294.265113987</v>
      </c>
      <c r="BE1270" s="2">
        <f t="shared" ca="1" si="1233"/>
        <v>1967249.8171814568</v>
      </c>
      <c r="BF1270" s="2">
        <f t="shared" ca="1" si="1234"/>
        <v>2032011.4395751553</v>
      </c>
      <c r="BG1270" s="2">
        <f t="shared" ca="1" si="1235"/>
        <v>2105832.9491360793</v>
      </c>
      <c r="BH1270" s="2">
        <f t="shared" ca="1" si="1236"/>
        <v>2181099.5229619918</v>
      </c>
      <c r="BI1270" s="2">
        <f t="shared" ca="1" si="1237"/>
        <v>29466553.607329085</v>
      </c>
      <c r="BJ1270" s="2">
        <f t="shared" ca="1" si="1238"/>
        <v>0.17127374321750444</v>
      </c>
      <c r="BK1270" s="2">
        <f t="shared" ca="1" si="1239"/>
        <v>3984218.2029863447</v>
      </c>
    </row>
    <row r="1271" spans="1:63" x14ac:dyDescent="0.3">
      <c r="A1271" s="2">
        <v>1270</v>
      </c>
      <c r="B1271" s="2">
        <f t="shared" ca="1" si="1178"/>
        <v>0.99156723518276502</v>
      </c>
      <c r="C1271" s="2">
        <f t="shared" ca="1" si="1179"/>
        <v>7.8701326460018919</v>
      </c>
      <c r="D1271" s="2">
        <f t="shared" ca="1" si="1180"/>
        <v>0.76223420667107689</v>
      </c>
      <c r="E1271" s="2">
        <f t="shared" ca="1" si="1181"/>
        <v>7.8104120167390922</v>
      </c>
      <c r="F1271" s="2">
        <f t="shared" ca="1" si="1182"/>
        <v>0.26940248167789493</v>
      </c>
      <c r="G1271" s="2">
        <f t="shared" ca="1" si="1183"/>
        <v>2.1561366400032141E-2</v>
      </c>
      <c r="H1271" s="2">
        <f t="shared" ca="1" si="1184"/>
        <v>2.1561366400032141E-2</v>
      </c>
      <c r="I1271" s="2">
        <f t="shared" ca="1" si="1185"/>
        <v>0.83933126879310316</v>
      </c>
      <c r="J1271" s="2">
        <f t="shared" ca="1" si="1186"/>
        <v>1.4958565873381589E-2</v>
      </c>
      <c r="K1271" s="2">
        <f t="shared" ca="1" si="1187"/>
        <v>1.4958565873381589E-2</v>
      </c>
      <c r="L1271" s="2">
        <f t="shared" ca="1" si="1188"/>
        <v>0.47316832931866015</v>
      </c>
      <c r="M1271" s="2">
        <f t="shared" ca="1" si="1189"/>
        <v>-1.3461562219200854E-3</v>
      </c>
      <c r="N1271" s="2">
        <f t="shared" ca="1" si="1190"/>
        <v>-1.3461562219200854E-3</v>
      </c>
      <c r="O1271" s="2">
        <f t="shared" si="1191"/>
        <v>6000000</v>
      </c>
      <c r="P1271" s="2">
        <f t="shared" ca="1" si="1192"/>
        <v>47220795.876011349</v>
      </c>
      <c r="Q1271" s="2">
        <f t="shared" ca="1" si="1193"/>
        <v>1180519.8969002839</v>
      </c>
      <c r="R1271" s="2">
        <f t="shared" ca="1" si="1194"/>
        <v>28332477.525606807</v>
      </c>
      <c r="S1271" s="2">
        <f t="shared" ca="1" si="1195"/>
        <v>18888318.350404542</v>
      </c>
      <c r="T1271" s="2">
        <f t="shared" ca="1" si="1196"/>
        <v>49932692.188903995</v>
      </c>
      <c r="U1271" s="2">
        <f t="shared" ca="1" si="1197"/>
        <v>51009309.260528974</v>
      </c>
      <c r="V1271" s="2">
        <f t="shared" ca="1" si="1198"/>
        <v>52109139.667307787</v>
      </c>
      <c r="W1271" s="2">
        <f t="shared" ca="1" si="1199"/>
        <v>53232683.920465052</v>
      </c>
      <c r="X1271" s="2">
        <f t="shared" ca="1" si="1200"/>
        <v>54380453.32293129</v>
      </c>
      <c r="Y1271" s="2">
        <f t="shared" ca="1" si="1201"/>
        <v>0.12747928293669078</v>
      </c>
      <c r="Z1271" s="2">
        <f t="shared" ca="1" si="1202"/>
        <v>0.13047099611136712</v>
      </c>
      <c r="AA1271" s="2">
        <f t="shared" ca="1" si="1203"/>
        <v>6365383.795339982</v>
      </c>
      <c r="AB1271" s="2">
        <f t="shared" ca="1" si="1204"/>
        <v>6655235.3901739987</v>
      </c>
      <c r="AC1271" s="2">
        <f t="shared" ca="1" si="1205"/>
        <v>6798731.3589000003</v>
      </c>
      <c r="AD1271" s="2">
        <f t="shared" ca="1" si="1206"/>
        <v>6945321.296784631</v>
      </c>
      <c r="AE1271" s="2">
        <f t="shared" ca="1" si="1207"/>
        <v>7095071.9140305491</v>
      </c>
      <c r="AF1271" s="2">
        <f t="shared" ca="1" si="1208"/>
        <v>998653.84377807996</v>
      </c>
      <c r="AG1271" s="2">
        <f t="shared" ca="1" si="1209"/>
        <v>1020186.1852105795</v>
      </c>
      <c r="AH1271" s="2">
        <f t="shared" ca="1" si="1210"/>
        <v>1042182.7933461558</v>
      </c>
      <c r="AI1271" s="2">
        <f t="shared" ca="1" si="1211"/>
        <v>1064653.678409301</v>
      </c>
      <c r="AJ1271" s="2">
        <f t="shared" ca="1" si="1212"/>
        <v>1087609.0664586257</v>
      </c>
      <c r="AK1271" s="2">
        <f t="shared" ca="1" si="1213"/>
        <v>0</v>
      </c>
      <c r="AL1271" s="2">
        <f t="shared" ca="1" si="1214"/>
        <v>10766.170716249793</v>
      </c>
      <c r="AM1271" s="2">
        <f t="shared" ca="1" si="1215"/>
        <v>10998.304067788124</v>
      </c>
      <c r="AN1271" s="2">
        <f t="shared" ca="1" si="1216"/>
        <v>11235.442531572655</v>
      </c>
      <c r="AO1271" s="2">
        <f t="shared" ca="1" si="1217"/>
        <v>11477.694024662376</v>
      </c>
      <c r="AP1271" s="2">
        <f t="shared" ca="1" si="1218"/>
        <v>2549922.9773046128</v>
      </c>
      <c r="AQ1271" s="2">
        <f t="shared" ca="1" si="1219"/>
        <v>732369.8133068952</v>
      </c>
      <c r="AR1271" s="2">
        <f t="shared" ca="1" si="1220"/>
        <v>802132.81919128983</v>
      </c>
      <c r="AS1271" s="2">
        <f t="shared" ca="1" si="1221"/>
        <v>833722.65294480044</v>
      </c>
      <c r="AT1271" s="2">
        <f t="shared" ca="1" si="1222"/>
        <v>865993.60667838657</v>
      </c>
      <c r="AU1271" s="2">
        <f t="shared" ca="1" si="1223"/>
        <v>898960.36626950081</v>
      </c>
      <c r="AV1271" s="2">
        <f t="shared" ca="1" si="1224"/>
        <v>2084437.1609503939</v>
      </c>
      <c r="AW1271" s="2">
        <f t="shared" ca="1" si="1225"/>
        <v>2272227.2377512674</v>
      </c>
      <c r="AX1271" s="2">
        <f t="shared" ca="1" si="1226"/>
        <v>2361904.631236644</v>
      </c>
      <c r="AY1271" s="2">
        <f t="shared" ca="1" si="1227"/>
        <v>2453515.5918607586</v>
      </c>
      <c r="AZ1271" s="2">
        <f t="shared" ca="1" si="1228"/>
        <v>2547101.8099731472</v>
      </c>
      <c r="BA1271" s="2">
        <f t="shared" ca="1" si="1229"/>
        <v>55415434.936972231</v>
      </c>
      <c r="BB1271" s="2">
        <f t="shared" ca="1" si="1230"/>
        <v>1108308.6987394446</v>
      </c>
      <c r="BC1271" s="2">
        <f t="shared" ca="1" si="1231"/>
        <v>25974648.71262598</v>
      </c>
      <c r="BD1271" s="2">
        <f t="shared" ca="1" si="1232"/>
        <v>-20568838.247304827</v>
      </c>
      <c r="BE1271" s="2">
        <f t="shared" ca="1" si="1233"/>
        <v>2084437.1609503939</v>
      </c>
      <c r="BF1271" s="2">
        <f t="shared" ca="1" si="1234"/>
        <v>2272227.2377512674</v>
      </c>
      <c r="BG1271" s="2">
        <f t="shared" ca="1" si="1235"/>
        <v>2361904.631236644</v>
      </c>
      <c r="BH1271" s="2">
        <f t="shared" ca="1" si="1236"/>
        <v>2453515.5918607586</v>
      </c>
      <c r="BI1271" s="2">
        <f t="shared" ca="1" si="1237"/>
        <v>28521750.522599127</v>
      </c>
      <c r="BJ1271" s="2">
        <f t="shared" ca="1" si="1238"/>
        <v>0.15130816529857638</v>
      </c>
      <c r="BK1271" s="2">
        <f t="shared" ca="1" si="1239"/>
        <v>2528089.7996642105</v>
      </c>
    </row>
    <row r="1272" spans="1:63" x14ac:dyDescent="0.3">
      <c r="A1272" s="2">
        <v>1271</v>
      </c>
      <c r="B1272" s="2">
        <f t="shared" ca="1" si="1178"/>
        <v>0.62841564761514523</v>
      </c>
      <c r="C1272" s="2">
        <f t="shared" ca="1" si="1179"/>
        <v>7.1379276684815194</v>
      </c>
      <c r="D1272" s="2">
        <f t="shared" ca="1" si="1180"/>
        <v>0.24690008865085955</v>
      </c>
      <c r="E1272" s="2">
        <f t="shared" ca="1" si="1181"/>
        <v>7.2027091697862771</v>
      </c>
      <c r="F1272" s="2">
        <f t="shared" ca="1" si="1182"/>
        <v>0.72504863895286931</v>
      </c>
      <c r="G1272" s="2">
        <f t="shared" ca="1" si="1183"/>
        <v>5.7937177035918747E-2</v>
      </c>
      <c r="H1272" s="2">
        <f t="shared" ca="1" si="1184"/>
        <v>5.7937177035918747E-2</v>
      </c>
      <c r="I1272" s="2">
        <f t="shared" ca="1" si="1185"/>
        <v>0.7289714589689259</v>
      </c>
      <c r="J1272" s="2">
        <f t="shared" ca="1" si="1186"/>
        <v>1.3048526205542015E-2</v>
      </c>
      <c r="K1272" s="2">
        <f t="shared" ca="1" si="1187"/>
        <v>1.3048526205542015E-2</v>
      </c>
      <c r="L1272" s="2">
        <f t="shared" ca="1" si="1188"/>
        <v>0.42353131272466948</v>
      </c>
      <c r="M1272" s="2">
        <f t="shared" ca="1" si="1189"/>
        <v>-3.857352883522922E-3</v>
      </c>
      <c r="N1272" s="2">
        <f t="shared" ca="1" si="1190"/>
        <v>-3.857352883522922E-3</v>
      </c>
      <c r="O1272" s="2">
        <f t="shared" si="1191"/>
        <v>6000000</v>
      </c>
      <c r="P1272" s="2">
        <f t="shared" ca="1" si="1192"/>
        <v>42827566.010889113</v>
      </c>
      <c r="Q1272" s="2">
        <f t="shared" ca="1" si="1193"/>
        <v>1070689.1502722278</v>
      </c>
      <c r="R1272" s="2">
        <f t="shared" ca="1" si="1194"/>
        <v>25696539.606533468</v>
      </c>
      <c r="S1272" s="2">
        <f t="shared" ca="1" si="1195"/>
        <v>17131026.404355645</v>
      </c>
      <c r="T1272" s="2">
        <f t="shared" ca="1" si="1196"/>
        <v>49807132.355823852</v>
      </c>
      <c r="U1272" s="2">
        <f t="shared" ca="1" si="1197"/>
        <v>52692817.000774652</v>
      </c>
      <c r="V1272" s="2">
        <f t="shared" ca="1" si="1198"/>
        <v>55745690.067869797</v>
      </c>
      <c r="W1272" s="2">
        <f t="shared" ca="1" si="1199"/>
        <v>58975437.982321426</v>
      </c>
      <c r="X1272" s="2">
        <f t="shared" ca="1" si="1200"/>
        <v>62392308.373474024</v>
      </c>
      <c r="Y1272" s="2">
        <f t="shared" ca="1" si="1201"/>
        <v>0.12652426310277101</v>
      </c>
      <c r="Z1272" s="2">
        <f t="shared" ca="1" si="1202"/>
        <v>0.12913396834387941</v>
      </c>
      <c r="AA1272" s="2">
        <f t="shared" ca="1" si="1203"/>
        <v>6301810.7185827959</v>
      </c>
      <c r="AB1272" s="2">
        <f t="shared" ca="1" si="1204"/>
        <v>6804432.5625278652</v>
      </c>
      <c r="AC1272" s="2">
        <f t="shared" ca="1" si="1205"/>
        <v>7198662.1765320115</v>
      </c>
      <c r="AD1272" s="2">
        <f t="shared" ca="1" si="1206"/>
        <v>7615732.3414755184</v>
      </c>
      <c r="AE1272" s="2">
        <f t="shared" ca="1" si="1207"/>
        <v>8056966.3744017575</v>
      </c>
      <c r="AF1272" s="2">
        <f t="shared" ca="1" si="1208"/>
        <v>996142.64711647702</v>
      </c>
      <c r="AG1272" s="2">
        <f t="shared" ca="1" si="1209"/>
        <v>1053856.3400154931</v>
      </c>
      <c r="AH1272" s="2">
        <f t="shared" ca="1" si="1210"/>
        <v>1114913.8013573959</v>
      </c>
      <c r="AI1272" s="2">
        <f t="shared" ca="1" si="1211"/>
        <v>1179508.7596464285</v>
      </c>
      <c r="AJ1272" s="2">
        <f t="shared" ca="1" si="1212"/>
        <v>1247846.1674694805</v>
      </c>
      <c r="AK1272" s="2">
        <f t="shared" ca="1" si="1213"/>
        <v>0</v>
      </c>
      <c r="AL1272" s="2">
        <f t="shared" ca="1" si="1214"/>
        <v>28856.846449507997</v>
      </c>
      <c r="AM1272" s="2">
        <f t="shared" ca="1" si="1215"/>
        <v>30528.730670951456</v>
      </c>
      <c r="AN1272" s="2">
        <f t="shared" ca="1" si="1216"/>
        <v>32297.479144516288</v>
      </c>
      <c r="AO1272" s="2">
        <f t="shared" ca="1" si="1217"/>
        <v>34168.703911525983</v>
      </c>
      <c r="AP1272" s="2">
        <f t="shared" ca="1" si="1218"/>
        <v>2312688.5645880122</v>
      </c>
      <c r="AQ1272" s="2">
        <f t="shared" ca="1" si="1219"/>
        <v>778174.67178835988</v>
      </c>
      <c r="AR1272" s="2">
        <f t="shared" ca="1" si="1220"/>
        <v>893850.79106033349</v>
      </c>
      <c r="AS1272" s="2">
        <f t="shared" ca="1" si="1221"/>
        <v>980475.55075251695</v>
      </c>
      <c r="AT1272" s="2">
        <f t="shared" ca="1" si="1222"/>
        <v>1072119.1044826801</v>
      </c>
      <c r="AU1272" s="2">
        <f t="shared" ca="1" si="1223"/>
        <v>1169072.2270095088</v>
      </c>
      <c r="AV1272" s="2">
        <f t="shared" ca="1" si="1224"/>
        <v>2214804.8350899471</v>
      </c>
      <c r="AW1272" s="2">
        <f t="shared" ca="1" si="1225"/>
        <v>2515180.0204145182</v>
      </c>
      <c r="AX1272" s="2">
        <f t="shared" ca="1" si="1226"/>
        <v>2760055.5291631352</v>
      </c>
      <c r="AY1272" s="2">
        <f t="shared" ca="1" si="1227"/>
        <v>3019118.4336138815</v>
      </c>
      <c r="AZ1272" s="2">
        <f t="shared" ca="1" si="1228"/>
        <v>3293190.7114232294</v>
      </c>
      <c r="BA1272" s="2">
        <f t="shared" ca="1" si="1229"/>
        <v>58031985.585563235</v>
      </c>
      <c r="BB1272" s="2">
        <f t="shared" ca="1" si="1230"/>
        <v>1160639.7117112647</v>
      </c>
      <c r="BC1272" s="2">
        <f t="shared" ca="1" si="1231"/>
        <v>31174806.267318502</v>
      </c>
      <c r="BD1272" s="2">
        <f t="shared" ca="1" si="1232"/>
        <v>-18701715.554627873</v>
      </c>
      <c r="BE1272" s="2">
        <f t="shared" ca="1" si="1233"/>
        <v>2214804.8350899471</v>
      </c>
      <c r="BF1272" s="2">
        <f t="shared" ca="1" si="1234"/>
        <v>2515180.0204145182</v>
      </c>
      <c r="BG1272" s="2">
        <f t="shared" ca="1" si="1235"/>
        <v>2760055.5291631352</v>
      </c>
      <c r="BH1272" s="2">
        <f t="shared" ca="1" si="1236"/>
        <v>3019118.4336138815</v>
      </c>
      <c r="BI1272" s="2">
        <f t="shared" ca="1" si="1237"/>
        <v>34467996.978741735</v>
      </c>
      <c r="BJ1272" s="2">
        <f t="shared" ca="1" si="1238"/>
        <v>0.22689725713372222</v>
      </c>
      <c r="BK1272" s="2">
        <f t="shared" ca="1" si="1239"/>
        <v>8722199.3781288303</v>
      </c>
    </row>
    <row r="1273" spans="1:63" x14ac:dyDescent="0.3">
      <c r="A1273" s="2">
        <v>1272</v>
      </c>
      <c r="B1273" s="2">
        <f t="shared" ca="1" si="1178"/>
        <v>0.46595763642141974</v>
      </c>
      <c r="C1273" s="2">
        <f t="shared" ca="1" si="1179"/>
        <v>6.9653575880692289</v>
      </c>
      <c r="D1273" s="2">
        <f t="shared" ca="1" si="1180"/>
        <v>0.39378375942340127</v>
      </c>
      <c r="E1273" s="2">
        <f t="shared" ca="1" si="1181"/>
        <v>7.3874500092099851</v>
      </c>
      <c r="F1273" s="2">
        <f t="shared" ca="1" si="1182"/>
        <v>0.565096450195122</v>
      </c>
      <c r="G1273" s="2">
        <f t="shared" ca="1" si="1183"/>
        <v>4.4917105463134113E-2</v>
      </c>
      <c r="H1273" s="2">
        <f t="shared" ca="1" si="1184"/>
        <v>4.4917105463134113E-2</v>
      </c>
      <c r="I1273" s="2">
        <f t="shared" ca="1" si="1185"/>
        <v>0.94712467634635877</v>
      </c>
      <c r="J1273" s="2">
        <f t="shared" ca="1" si="1186"/>
        <v>1.8087957843532426E-2</v>
      </c>
      <c r="K1273" s="2">
        <f t="shared" ca="1" si="1187"/>
        <v>1.8087957843532426E-2</v>
      </c>
      <c r="L1273" s="2">
        <f t="shared" ca="1" si="1188"/>
        <v>0.13854377539435814</v>
      </c>
      <c r="M1273" s="2">
        <f t="shared" ca="1" si="1189"/>
        <v>-2.1737703866599487E-2</v>
      </c>
      <c r="N1273" s="2">
        <f t="shared" ca="1" si="1190"/>
        <v>-2.1737703866599487E-2</v>
      </c>
      <c r="O1273" s="2">
        <f t="shared" si="1191"/>
        <v>6000000</v>
      </c>
      <c r="P1273" s="2">
        <f t="shared" ca="1" si="1192"/>
        <v>41792145.528415374</v>
      </c>
      <c r="Q1273" s="2">
        <f t="shared" ca="1" si="1193"/>
        <v>1044803.6382103844</v>
      </c>
      <c r="R1273" s="2">
        <f t="shared" ca="1" si="1194"/>
        <v>25075287.317049224</v>
      </c>
      <c r="S1273" s="2">
        <f t="shared" ca="1" si="1195"/>
        <v>16716858.211366151</v>
      </c>
      <c r="T1273" s="2">
        <f t="shared" ca="1" si="1196"/>
        <v>48913114.806670025</v>
      </c>
      <c r="U1273" s="2">
        <f t="shared" ca="1" si="1197"/>
        <v>51110150.342971608</v>
      </c>
      <c r="V1273" s="2">
        <f t="shared" ca="1" si="1198"/>
        <v>53405870.356163502</v>
      </c>
      <c r="W1273" s="2">
        <f t="shared" ca="1" si="1199"/>
        <v>55804707.467301764</v>
      </c>
      <c r="X1273" s="2">
        <f t="shared" ca="1" si="1200"/>
        <v>58311293.397949904</v>
      </c>
      <c r="Y1273" s="2">
        <f t="shared" ca="1" si="1201"/>
        <v>0.12904397892176622</v>
      </c>
      <c r="Z1273" s="2">
        <f t="shared" ca="1" si="1202"/>
        <v>0.1326615704904727</v>
      </c>
      <c r="AA1273" s="2">
        <f t="shared" ca="1" si="1203"/>
        <v>6311942.9561098581</v>
      </c>
      <c r="AB1273" s="2">
        <f t="shared" ca="1" si="1204"/>
        <v>6780352.8125027856</v>
      </c>
      <c r="AC1273" s="2">
        <f t="shared" ca="1" si="1205"/>
        <v>7084906.6348592304</v>
      </c>
      <c r="AD1273" s="2">
        <f t="shared" ca="1" si="1206"/>
        <v>7403140.133373661</v>
      </c>
      <c r="AE1273" s="2">
        <f t="shared" ca="1" si="1207"/>
        <v>7735667.7595027667</v>
      </c>
      <c r="AF1273" s="2">
        <f t="shared" ca="1" si="1208"/>
        <v>978262.29613340052</v>
      </c>
      <c r="AG1273" s="2">
        <f t="shared" ca="1" si="1209"/>
        <v>1022203.0068594322</v>
      </c>
      <c r="AH1273" s="2">
        <f t="shared" ca="1" si="1210"/>
        <v>1068117.40712327</v>
      </c>
      <c r="AI1273" s="2">
        <f t="shared" ca="1" si="1211"/>
        <v>1116094.1493460352</v>
      </c>
      <c r="AJ1273" s="2">
        <f t="shared" ca="1" si="1212"/>
        <v>1166225.8679589981</v>
      </c>
      <c r="AK1273" s="2">
        <f t="shared" ca="1" si="1213"/>
        <v>0</v>
      </c>
      <c r="AL1273" s="2">
        <f t="shared" ca="1" si="1214"/>
        <v>21970.355363015831</v>
      </c>
      <c r="AM1273" s="2">
        <f t="shared" ca="1" si="1215"/>
        <v>22957.200131918937</v>
      </c>
      <c r="AN1273" s="2">
        <f t="shared" ca="1" si="1216"/>
        <v>23988.371111382618</v>
      </c>
      <c r="AO1273" s="2">
        <f t="shared" ca="1" si="1217"/>
        <v>25065.859306481405</v>
      </c>
      <c r="AP1273" s="2">
        <f t="shared" ca="1" si="1218"/>
        <v>2256775.8585344302</v>
      </c>
      <c r="AQ1273" s="2">
        <f t="shared" ca="1" si="1219"/>
        <v>799995.24837492709</v>
      </c>
      <c r="AR1273" s="2">
        <f t="shared" ca="1" si="1220"/>
        <v>910357.22624832008</v>
      </c>
      <c r="AS1273" s="2">
        <f t="shared" ca="1" si="1221"/>
        <v>977603.47599239799</v>
      </c>
      <c r="AT1273" s="2">
        <f t="shared" ca="1" si="1222"/>
        <v>1047870.2326282309</v>
      </c>
      <c r="AU1273" s="2">
        <f t="shared" ca="1" si="1223"/>
        <v>1121293.168582428</v>
      </c>
      <c r="AV1273" s="2">
        <f t="shared" ca="1" si="1224"/>
        <v>2276909.5530671002</v>
      </c>
      <c r="AW1273" s="2">
        <f t="shared" ca="1" si="1225"/>
        <v>2569046.3654975872</v>
      </c>
      <c r="AX1273" s="2">
        <f t="shared" ca="1" si="1226"/>
        <v>2759452.6930772131</v>
      </c>
      <c r="AY1273" s="2">
        <f t="shared" ca="1" si="1227"/>
        <v>2958411.5217535822</v>
      </c>
      <c r="AZ1273" s="2">
        <f t="shared" ca="1" si="1228"/>
        <v>3166307.0051204283</v>
      </c>
      <c r="BA1273" s="2">
        <f t="shared" ca="1" si="1229"/>
        <v>57146858.861184098</v>
      </c>
      <c r="BB1273" s="2">
        <f t="shared" ca="1" si="1230"/>
        <v>1142937.1772236819</v>
      </c>
      <c r="BC1273" s="2">
        <f t="shared" ca="1" si="1231"/>
        <v>30928634.366911191</v>
      </c>
      <c r="BD1273" s="2">
        <f t="shared" ca="1" si="1232"/>
        <v>-18261661.849576537</v>
      </c>
      <c r="BE1273" s="2">
        <f t="shared" ca="1" si="1233"/>
        <v>2276909.5530671002</v>
      </c>
      <c r="BF1273" s="2">
        <f t="shared" ca="1" si="1234"/>
        <v>2569046.3654975872</v>
      </c>
      <c r="BG1273" s="2">
        <f t="shared" ca="1" si="1235"/>
        <v>2759452.6930772131</v>
      </c>
      <c r="BH1273" s="2">
        <f t="shared" ca="1" si="1236"/>
        <v>2958411.5217535822</v>
      </c>
      <c r="BI1273" s="2">
        <f t="shared" ca="1" si="1237"/>
        <v>34094941.372031622</v>
      </c>
      <c r="BJ1273" s="2">
        <f t="shared" ca="1" si="1238"/>
        <v>0.23284873697926334</v>
      </c>
      <c r="BK1273" s="2">
        <f t="shared" ca="1" si="1239"/>
        <v>9009954.4480237812</v>
      </c>
    </row>
    <row r="1274" spans="1:63" x14ac:dyDescent="0.3">
      <c r="A1274" s="2">
        <v>1273</v>
      </c>
      <c r="B1274" s="2">
        <f t="shared" ca="1" si="1178"/>
        <v>0.81401709367226927</v>
      </c>
      <c r="C1274" s="2">
        <f t="shared" ca="1" si="1179"/>
        <v>7.390109999544622</v>
      </c>
      <c r="D1274" s="2">
        <f t="shared" ca="1" si="1180"/>
        <v>0.62937521149605291</v>
      </c>
      <c r="E1274" s="2">
        <f t="shared" ca="1" si="1181"/>
        <v>7.6390414777656854</v>
      </c>
      <c r="F1274" s="2">
        <f t="shared" ca="1" si="1182"/>
        <v>0.9538646918911361</v>
      </c>
      <c r="G1274" s="2">
        <f t="shared" ca="1" si="1183"/>
        <v>9.0506197908023445E-2</v>
      </c>
      <c r="H1274" s="2">
        <f t="shared" ca="1" si="1184"/>
        <v>9.0506197908023445E-2</v>
      </c>
      <c r="I1274" s="2">
        <f t="shared" ca="1" si="1185"/>
        <v>0.42795239102880622</v>
      </c>
      <c r="J1274" s="2">
        <f t="shared" ca="1" si="1186"/>
        <v>9.0920518146584677E-3</v>
      </c>
      <c r="K1274" s="2">
        <f t="shared" ca="1" si="1187"/>
        <v>9.0920518146584677E-3</v>
      </c>
      <c r="L1274" s="2">
        <f t="shared" ca="1" si="1188"/>
        <v>0.15660570112782168</v>
      </c>
      <c r="M1274" s="2">
        <f t="shared" ca="1" si="1189"/>
        <v>-2.0170128607536295E-2</v>
      </c>
      <c r="N1274" s="2">
        <f t="shared" ca="1" si="1190"/>
        <v>-2.0170128607536295E-2</v>
      </c>
      <c r="O1274" s="2">
        <f t="shared" si="1191"/>
        <v>6000000</v>
      </c>
      <c r="P1274" s="2">
        <f t="shared" ca="1" si="1192"/>
        <v>44340659.997267731</v>
      </c>
      <c r="Q1274" s="2">
        <f t="shared" ca="1" si="1193"/>
        <v>1108516.4999316933</v>
      </c>
      <c r="R1274" s="2">
        <f t="shared" ca="1" si="1194"/>
        <v>26604395.998360638</v>
      </c>
      <c r="S1274" s="2">
        <f t="shared" ca="1" si="1195"/>
        <v>17736263.998907093</v>
      </c>
      <c r="T1274" s="2">
        <f t="shared" ca="1" si="1196"/>
        <v>48991493.569623187</v>
      </c>
      <c r="U1274" s="2">
        <f t="shared" ca="1" si="1197"/>
        <v>53425527.382445164</v>
      </c>
      <c r="V1274" s="2">
        <f t="shared" ca="1" si="1198"/>
        <v>58260868.737061277</v>
      </c>
      <c r="W1274" s="2">
        <f t="shared" ca="1" si="1199"/>
        <v>63533838.453271121</v>
      </c>
      <c r="X1274" s="2">
        <f t="shared" ca="1" si="1200"/>
        <v>69284044.610179275</v>
      </c>
      <c r="Y1274" s="2">
        <f t="shared" ca="1" si="1201"/>
        <v>0.12454602590732923</v>
      </c>
      <c r="Z1274" s="2">
        <f t="shared" ca="1" si="1202"/>
        <v>0.12636443627026092</v>
      </c>
      <c r="AA1274" s="2">
        <f t="shared" ca="1" si="1203"/>
        <v>6101695.8273610426</v>
      </c>
      <c r="AB1274" s="2">
        <f t="shared" ca="1" si="1204"/>
        <v>6751086.6501240721</v>
      </c>
      <c r="AC1274" s="2">
        <f t="shared" ca="1" si="1205"/>
        <v>7362101.8345744163</v>
      </c>
      <c r="AD1274" s="2">
        <f t="shared" ca="1" si="1206"/>
        <v>8028417.680233431</v>
      </c>
      <c r="AE1274" s="2">
        <f t="shared" ca="1" si="1207"/>
        <v>8755039.2396889143</v>
      </c>
      <c r="AF1274" s="2">
        <f t="shared" ca="1" si="1208"/>
        <v>979829.8713924638</v>
      </c>
      <c r="AG1274" s="2">
        <f t="shared" ca="1" si="1209"/>
        <v>1068510.5476489032</v>
      </c>
      <c r="AH1274" s="2">
        <f t="shared" ca="1" si="1210"/>
        <v>1165217.3747412255</v>
      </c>
      <c r="AI1274" s="2">
        <f t="shared" ca="1" si="1211"/>
        <v>1270676.7690654225</v>
      </c>
      <c r="AJ1274" s="2">
        <f t="shared" ca="1" si="1212"/>
        <v>1385680.8922035855</v>
      </c>
      <c r="AK1274" s="2">
        <f t="shared" ca="1" si="1213"/>
        <v>0</v>
      </c>
      <c r="AL1274" s="2">
        <f t="shared" ca="1" si="1214"/>
        <v>44340.338128219766</v>
      </c>
      <c r="AM1274" s="2">
        <f t="shared" ca="1" si="1215"/>
        <v>48353.413546161129</v>
      </c>
      <c r="AN1274" s="2">
        <f t="shared" ca="1" si="1216"/>
        <v>52729.69716209844</v>
      </c>
      <c r="AO1274" s="2">
        <f t="shared" ca="1" si="1217"/>
        <v>57502.061569081547</v>
      </c>
      <c r="AP1274" s="2">
        <f t="shared" ca="1" si="1218"/>
        <v>2394395.6398524572</v>
      </c>
      <c r="AQ1274" s="2">
        <f t="shared" ca="1" si="1219"/>
        <v>709142.28219019179</v>
      </c>
      <c r="AR1274" s="2">
        <f t="shared" ca="1" si="1220"/>
        <v>854926.9202819051</v>
      </c>
      <c r="AS1274" s="2">
        <f t="shared" ca="1" si="1221"/>
        <v>988647.09319499077</v>
      </c>
      <c r="AT1274" s="2">
        <f t="shared" ca="1" si="1222"/>
        <v>1134469.7705420437</v>
      </c>
      <c r="AU1274" s="2">
        <f t="shared" ca="1" si="1223"/>
        <v>1293490.3039845466</v>
      </c>
      <c r="AV1274" s="2">
        <f t="shared" ca="1" si="1224"/>
        <v>2018328.0339259305</v>
      </c>
      <c r="AW1274" s="2">
        <f t="shared" ca="1" si="1225"/>
        <v>2388913.2042125878</v>
      </c>
      <c r="AX1274" s="2">
        <f t="shared" ca="1" si="1226"/>
        <v>2765488.3132395823</v>
      </c>
      <c r="AY1274" s="2">
        <f t="shared" ca="1" si="1227"/>
        <v>3176145.8036114103</v>
      </c>
      <c r="AZ1274" s="2">
        <f t="shared" ca="1" si="1228"/>
        <v>3623970.3420792441</v>
      </c>
      <c r="BA1274" s="2">
        <f t="shared" ca="1" si="1229"/>
        <v>66880107.891449764</v>
      </c>
      <c r="BB1274" s="2">
        <f t="shared" ca="1" si="1230"/>
        <v>1337602.1578289953</v>
      </c>
      <c r="BC1274" s="2">
        <f t="shared" ca="1" si="1231"/>
        <v>38938109.735260136</v>
      </c>
      <c r="BD1274" s="2">
        <f t="shared" ca="1" si="1232"/>
        <v>-19344780.498838786</v>
      </c>
      <c r="BE1274" s="2">
        <f t="shared" ca="1" si="1233"/>
        <v>2018328.0339259305</v>
      </c>
      <c r="BF1274" s="2">
        <f t="shared" ca="1" si="1234"/>
        <v>2388913.2042125878</v>
      </c>
      <c r="BG1274" s="2">
        <f t="shared" ca="1" si="1235"/>
        <v>2765488.3132395823</v>
      </c>
      <c r="BH1274" s="2">
        <f t="shared" ca="1" si="1236"/>
        <v>3176145.8036114103</v>
      </c>
      <c r="BI1274" s="2">
        <f t="shared" ca="1" si="1237"/>
        <v>42562080.077339381</v>
      </c>
      <c r="BJ1274" s="2">
        <f t="shared" ca="1" si="1238"/>
        <v>0.2570021677336749</v>
      </c>
      <c r="BK1274" s="2">
        <f t="shared" ca="1" si="1239"/>
        <v>12499510.389175229</v>
      </c>
    </row>
    <row r="1275" spans="1:63" x14ac:dyDescent="0.3">
      <c r="A1275" s="2">
        <v>1274</v>
      </c>
      <c r="B1275" s="2">
        <f t="shared" ca="1" si="1178"/>
        <v>9.5893697242286358E-3</v>
      </c>
      <c r="C1275" s="2">
        <f t="shared" ca="1" si="1179"/>
        <v>6.1384873259488293</v>
      </c>
      <c r="D1275" s="2">
        <f t="shared" ca="1" si="1180"/>
        <v>5.4042584879982258E-2</v>
      </c>
      <c r="E1275" s="2">
        <f t="shared" ca="1" si="1181"/>
        <v>6.8287630906290495</v>
      </c>
      <c r="F1275" s="2">
        <f t="shared" ca="1" si="1182"/>
        <v>0.85149782993915413</v>
      </c>
      <c r="G1275" s="2">
        <f t="shared" ca="1" si="1183"/>
        <v>7.128636978478553E-2</v>
      </c>
      <c r="H1275" s="2">
        <f t="shared" ca="1" si="1184"/>
        <v>7.128636978478553E-2</v>
      </c>
      <c r="I1275" s="2">
        <f t="shared" ca="1" si="1185"/>
        <v>0.8395586132948033</v>
      </c>
      <c r="J1275" s="2">
        <f t="shared" ca="1" si="1186"/>
        <v>1.4963227188164908E-2</v>
      </c>
      <c r="K1275" s="2">
        <f t="shared" ca="1" si="1187"/>
        <v>1.4963227188164908E-2</v>
      </c>
      <c r="L1275" s="2">
        <f t="shared" ca="1" si="1188"/>
        <v>0.69579530983390747</v>
      </c>
      <c r="M1275" s="2">
        <f t="shared" ca="1" si="1189"/>
        <v>1.0246905603749872E-2</v>
      </c>
      <c r="N1275" s="2">
        <f t="shared" ca="1" si="1190"/>
        <v>1.0246905603749872E-2</v>
      </c>
      <c r="O1275" s="2">
        <f t="shared" si="1191"/>
        <v>6000000</v>
      </c>
      <c r="P1275" s="2">
        <f t="shared" ca="1" si="1192"/>
        <v>36830923.955692977</v>
      </c>
      <c r="Q1275" s="2">
        <f t="shared" ca="1" si="1193"/>
        <v>920773.09889232449</v>
      </c>
      <c r="R1275" s="2">
        <f t="shared" ca="1" si="1194"/>
        <v>22098554.373415787</v>
      </c>
      <c r="S1275" s="2">
        <f t="shared" ca="1" si="1195"/>
        <v>14732369.582277192</v>
      </c>
      <c r="T1275" s="2">
        <f t="shared" ca="1" si="1196"/>
        <v>50512345.280187495</v>
      </c>
      <c r="U1275" s="2">
        <f t="shared" ca="1" si="1197"/>
        <v>54113187.00452771</v>
      </c>
      <c r="V1275" s="2">
        <f t="shared" ca="1" si="1198"/>
        <v>57970719.663565733</v>
      </c>
      <c r="W1275" s="2">
        <f t="shared" ca="1" si="1199"/>
        <v>62103241.822192825</v>
      </c>
      <c r="X1275" s="2">
        <f t="shared" ca="1" si="1200"/>
        <v>66530356.483563624</v>
      </c>
      <c r="Y1275" s="2">
        <f t="shared" ca="1" si="1201"/>
        <v>0.12748161359408244</v>
      </c>
      <c r="Z1275" s="2">
        <f t="shared" ca="1" si="1202"/>
        <v>0.13047425903171544</v>
      </c>
      <c r="AA1275" s="2">
        <f t="shared" ca="1" si="1203"/>
        <v>6439395.2827397361</v>
      </c>
      <c r="AB1275" s="2">
        <f t="shared" ca="1" si="1204"/>
        <v>7060377.9782604063</v>
      </c>
      <c r="AC1275" s="2">
        <f t="shared" ca="1" si="1205"/>
        <v>7563686.6936390353</v>
      </c>
      <c r="AD1275" s="2">
        <f t="shared" ca="1" si="1206"/>
        <v>8102874.4602180505</v>
      </c>
      <c r="AE1275" s="2">
        <f t="shared" ca="1" si="1207"/>
        <v>8680498.9653088488</v>
      </c>
      <c r="AF1275" s="2">
        <f t="shared" ca="1" si="1208"/>
        <v>1010246.9056037499</v>
      </c>
      <c r="AG1275" s="2">
        <f t="shared" ca="1" si="1209"/>
        <v>1082263.7400905541</v>
      </c>
      <c r="AH1275" s="2">
        <f t="shared" ca="1" si="1210"/>
        <v>1159414.3932713147</v>
      </c>
      <c r="AI1275" s="2">
        <f t="shared" ca="1" si="1211"/>
        <v>1242064.8364438566</v>
      </c>
      <c r="AJ1275" s="2">
        <f t="shared" ca="1" si="1212"/>
        <v>1330607.1296712726</v>
      </c>
      <c r="AK1275" s="2">
        <f t="shared" ca="1" si="1213"/>
        <v>0</v>
      </c>
      <c r="AL1275" s="2">
        <f t="shared" ca="1" si="1214"/>
        <v>36008.417243402153</v>
      </c>
      <c r="AM1275" s="2">
        <f t="shared" ca="1" si="1215"/>
        <v>38575.326590380224</v>
      </c>
      <c r="AN1275" s="2">
        <f t="shared" ca="1" si="1216"/>
        <v>41325.221586270927</v>
      </c>
      <c r="AO1275" s="2">
        <f t="shared" ca="1" si="1217"/>
        <v>44271.146613707991</v>
      </c>
      <c r="AP1275" s="2">
        <f t="shared" ca="1" si="1218"/>
        <v>1988869.8936074208</v>
      </c>
      <c r="AQ1275" s="2">
        <f t="shared" ca="1" si="1219"/>
        <v>894472.40571742714</v>
      </c>
      <c r="AR1275" s="2">
        <f t="shared" ca="1" si="1220"/>
        <v>1037203.5295862323</v>
      </c>
      <c r="AS1275" s="2">
        <f t="shared" ca="1" si="1221"/>
        <v>1148004.6257576779</v>
      </c>
      <c r="AT1275" s="2">
        <f t="shared" ca="1" si="1222"/>
        <v>1266704.3298433612</v>
      </c>
      <c r="AU1275" s="2">
        <f t="shared" ca="1" si="1223"/>
        <v>1393865.7049278403</v>
      </c>
      <c r="AV1275" s="2">
        <f t="shared" ca="1" si="1224"/>
        <v>2545806.0778111387</v>
      </c>
      <c r="AW1275" s="2">
        <f t="shared" ca="1" si="1225"/>
        <v>2916032.3977327971</v>
      </c>
      <c r="AX1275" s="2">
        <f t="shared" ca="1" si="1226"/>
        <v>3228822.4544122405</v>
      </c>
      <c r="AY1275" s="2">
        <f t="shared" ca="1" si="1227"/>
        <v>3563910.1787371412</v>
      </c>
      <c r="AZ1275" s="2">
        <f t="shared" ca="1" si="1228"/>
        <v>3922885.0904886071</v>
      </c>
      <c r="BA1275" s="2">
        <f t="shared" ca="1" si="1229"/>
        <v>59277070.942544721</v>
      </c>
      <c r="BB1275" s="2">
        <f t="shared" ca="1" si="1230"/>
        <v>1185541.4188508946</v>
      </c>
      <c r="BC1275" s="2">
        <f t="shared" ca="1" si="1231"/>
        <v>35992975.150278039</v>
      </c>
      <c r="BD1275" s="2">
        <f t="shared" ca="1" si="1232"/>
        <v>-16153142.681169515</v>
      </c>
      <c r="BE1275" s="2">
        <f t="shared" ca="1" si="1233"/>
        <v>2545806.0778111387</v>
      </c>
      <c r="BF1275" s="2">
        <f t="shared" ca="1" si="1234"/>
        <v>2916032.3977327971</v>
      </c>
      <c r="BG1275" s="2">
        <f t="shared" ca="1" si="1235"/>
        <v>3228822.4544122405</v>
      </c>
      <c r="BH1275" s="2">
        <f t="shared" ca="1" si="1236"/>
        <v>3563910.1787371412</v>
      </c>
      <c r="BI1275" s="2">
        <f t="shared" ca="1" si="1237"/>
        <v>39915860.240766644</v>
      </c>
      <c r="BJ1275" s="2">
        <f t="shared" ca="1" si="1238"/>
        <v>0.31973616883028555</v>
      </c>
      <c r="BK1275" s="2">
        <f t="shared" ca="1" si="1239"/>
        <v>15657014.098813055</v>
      </c>
    </row>
    <row r="1276" spans="1:63" x14ac:dyDescent="0.3">
      <c r="A1276" s="2">
        <v>1275</v>
      </c>
      <c r="B1276" s="2">
        <f t="shared" ca="1" si="1178"/>
        <v>0.10876925085283806</v>
      </c>
      <c r="C1276" s="2">
        <f t="shared" ca="1" si="1179"/>
        <v>6.4664102289891119</v>
      </c>
      <c r="D1276" s="2">
        <f t="shared" ca="1" si="1180"/>
        <v>0.35479664980009429</v>
      </c>
      <c r="E1276" s="2">
        <f t="shared" ca="1" si="1181"/>
        <v>7.3423736104604584</v>
      </c>
      <c r="F1276" s="2">
        <f t="shared" ca="1" si="1182"/>
        <v>0.28006157350353111</v>
      </c>
      <c r="G1276" s="2">
        <f t="shared" ca="1" si="1183"/>
        <v>2.2520241943360962E-2</v>
      </c>
      <c r="H1276" s="2">
        <f t="shared" ca="1" si="1184"/>
        <v>2.2520241943360962E-2</v>
      </c>
      <c r="I1276" s="2">
        <f t="shared" ca="1" si="1185"/>
        <v>0.50989400789318162</v>
      </c>
      <c r="J1276" s="2">
        <f t="shared" ca="1" si="1186"/>
        <v>1.0124015714158746E-2</v>
      </c>
      <c r="K1276" s="2">
        <f t="shared" ca="1" si="1187"/>
        <v>1.0124015714158746E-2</v>
      </c>
      <c r="L1276" s="2">
        <f t="shared" ca="1" si="1188"/>
        <v>0.73143793012843172</v>
      </c>
      <c r="M1276" s="2">
        <f t="shared" ca="1" si="1189"/>
        <v>1.2343353343411911E-2</v>
      </c>
      <c r="N1276" s="2">
        <f t="shared" ca="1" si="1190"/>
        <v>1.2343353343411911E-2</v>
      </c>
      <c r="O1276" s="2">
        <f t="shared" si="1191"/>
        <v>6000000</v>
      </c>
      <c r="P1276" s="2">
        <f t="shared" ca="1" si="1192"/>
        <v>38798461.373934671</v>
      </c>
      <c r="Q1276" s="2">
        <f t="shared" ca="1" si="1193"/>
        <v>969961.53434836678</v>
      </c>
      <c r="R1276" s="2">
        <f t="shared" ca="1" si="1194"/>
        <v>23279076.824360803</v>
      </c>
      <c r="S1276" s="2">
        <f t="shared" ca="1" si="1195"/>
        <v>15519384.549573869</v>
      </c>
      <c r="T1276" s="2">
        <f t="shared" ca="1" si="1196"/>
        <v>50617167.667170592</v>
      </c>
      <c r="U1276" s="2">
        <f t="shared" ca="1" si="1197"/>
        <v>51757078.529522941</v>
      </c>
      <c r="V1276" s="2">
        <f t="shared" ca="1" si="1198"/>
        <v>52922660.460289329</v>
      </c>
      <c r="W1276" s="2">
        <f t="shared" ca="1" si="1199"/>
        <v>54114491.578141391</v>
      </c>
      <c r="X1276" s="2">
        <f t="shared" ca="1" si="1200"/>
        <v>55333163.021123104</v>
      </c>
      <c r="Y1276" s="2">
        <f t="shared" ca="1" si="1201"/>
        <v>0.12506200785707938</v>
      </c>
      <c r="Z1276" s="2">
        <f t="shared" ca="1" si="1202"/>
        <v>0.12708681099991112</v>
      </c>
      <c r="AA1276" s="2">
        <f t="shared" ca="1" si="1203"/>
        <v>6330284.6204947932</v>
      </c>
      <c r="AB1276" s="2">
        <f t="shared" ca="1" si="1204"/>
        <v>6577642.0569890393</v>
      </c>
      <c r="AC1276" s="2">
        <f t="shared" ca="1" si="1205"/>
        <v>6725772.1475292593</v>
      </c>
      <c r="AD1276" s="2">
        <f t="shared" ca="1" si="1206"/>
        <v>6877238.1635475373</v>
      </c>
      <c r="AE1276" s="2">
        <f t="shared" ca="1" si="1207"/>
        <v>7032115.230892743</v>
      </c>
      <c r="AF1276" s="2">
        <f t="shared" ca="1" si="1208"/>
        <v>1012343.3533434118</v>
      </c>
      <c r="AG1276" s="2">
        <f t="shared" ca="1" si="1209"/>
        <v>1035141.5705904588</v>
      </c>
      <c r="AH1276" s="2">
        <f t="shared" ca="1" si="1210"/>
        <v>1058453.2092057867</v>
      </c>
      <c r="AI1276" s="2">
        <f t="shared" ca="1" si="1211"/>
        <v>1082289.8315628278</v>
      </c>
      <c r="AJ1276" s="2">
        <f t="shared" ca="1" si="1212"/>
        <v>1106663.2604224621</v>
      </c>
      <c r="AK1276" s="2">
        <f t="shared" ca="1" si="1213"/>
        <v>0</v>
      </c>
      <c r="AL1276" s="2">
        <f t="shared" ca="1" si="1214"/>
        <v>11399.108623523489</v>
      </c>
      <c r="AM1276" s="2">
        <f t="shared" ca="1" si="1215"/>
        <v>11655.819307663887</v>
      </c>
      <c r="AN1276" s="2">
        <f t="shared" ca="1" si="1216"/>
        <v>11918.31117852062</v>
      </c>
      <c r="AO1276" s="2">
        <f t="shared" ca="1" si="1217"/>
        <v>12186.714429817126</v>
      </c>
      <c r="AP1276" s="2">
        <f t="shared" ca="1" si="1218"/>
        <v>2095116.9141924721</v>
      </c>
      <c r="AQ1276" s="2">
        <f t="shared" ca="1" si="1219"/>
        <v>837934.33176931657</v>
      </c>
      <c r="AR1276" s="2">
        <f t="shared" ca="1" si="1220"/>
        <v>896319.7287735882</v>
      </c>
      <c r="AS1276" s="2">
        <f t="shared" ca="1" si="1221"/>
        <v>928772.52627406013</v>
      </c>
      <c r="AT1276" s="2">
        <f t="shared" ca="1" si="1222"/>
        <v>961956.1686259819</v>
      </c>
      <c r="AU1276" s="2">
        <f t="shared" ca="1" si="1223"/>
        <v>995887.11463223037</v>
      </c>
      <c r="AV1276" s="2">
        <f t="shared" ca="1" si="1224"/>
        <v>2384890.0211895932</v>
      </c>
      <c r="AW1276" s="2">
        <f t="shared" ca="1" si="1225"/>
        <v>2539664.7348089968</v>
      </c>
      <c r="AX1276" s="2">
        <f t="shared" ca="1" si="1226"/>
        <v>2631773.6785492771</v>
      </c>
      <c r="AY1276" s="2">
        <f t="shared" ca="1" si="1227"/>
        <v>2725956.937987736</v>
      </c>
      <c r="AZ1276" s="2">
        <f t="shared" ca="1" si="1228"/>
        <v>2822261.2272157618</v>
      </c>
      <c r="BA1276" s="2">
        <f t="shared" ca="1" si="1229"/>
        <v>51632417.29702393</v>
      </c>
      <c r="BB1276" s="2">
        <f t="shared" ca="1" si="1230"/>
        <v>1032648.3459404786</v>
      </c>
      <c r="BC1276" s="2">
        <f t="shared" ca="1" si="1231"/>
        <v>27320692.126722649</v>
      </c>
      <c r="BD1276" s="2">
        <f t="shared" ca="1" si="1232"/>
        <v>-16989346.083922237</v>
      </c>
      <c r="BE1276" s="2">
        <f t="shared" ca="1" si="1233"/>
        <v>2384890.0211895932</v>
      </c>
      <c r="BF1276" s="2">
        <f t="shared" ca="1" si="1234"/>
        <v>2539664.7348089968</v>
      </c>
      <c r="BG1276" s="2">
        <f t="shared" ca="1" si="1235"/>
        <v>2631773.6785492771</v>
      </c>
      <c r="BH1276" s="2">
        <f t="shared" ca="1" si="1236"/>
        <v>2725956.937987736</v>
      </c>
      <c r="BI1276" s="2">
        <f t="shared" ca="1" si="1237"/>
        <v>30142953.353938412</v>
      </c>
      <c r="BJ1276" s="2">
        <f t="shared" ca="1" si="1238"/>
        <v>0.2289203936269395</v>
      </c>
      <c r="BK1276" s="2">
        <f t="shared" ca="1" si="1239"/>
        <v>7874185.8638961576</v>
      </c>
    </row>
    <row r="1277" spans="1:63" x14ac:dyDescent="0.3">
      <c r="A1277" s="2">
        <v>1276</v>
      </c>
      <c r="B1277" s="2">
        <f t="shared" ca="1" si="1178"/>
        <v>0.97414217324912622</v>
      </c>
      <c r="C1277" s="2">
        <f t="shared" ca="1" si="1179"/>
        <v>7.7725892405761163</v>
      </c>
      <c r="D1277" s="2">
        <f t="shared" ca="1" si="1180"/>
        <v>2.3914267050671678E-2</v>
      </c>
      <c r="E1277" s="2">
        <f t="shared" ca="1" si="1181"/>
        <v>6.718697357325925</v>
      </c>
      <c r="F1277" s="2">
        <f t="shared" ca="1" si="1182"/>
        <v>3.4205020765984528E-2</v>
      </c>
      <c r="G1277" s="2">
        <f t="shared" ca="1" si="1183"/>
        <v>-1.466888856200934E-2</v>
      </c>
      <c r="H1277" s="2">
        <f t="shared" ca="1" si="1184"/>
        <v>-1.466888856200934E-2</v>
      </c>
      <c r="I1277" s="2">
        <f t="shared" ca="1" si="1185"/>
        <v>0.38740507268599933</v>
      </c>
      <c r="J1277" s="2">
        <f t="shared" ca="1" si="1186"/>
        <v>8.5695562340247118E-3</v>
      </c>
      <c r="K1277" s="2">
        <f t="shared" ca="1" si="1187"/>
        <v>8.5695562340247118E-3</v>
      </c>
      <c r="L1277" s="2">
        <f t="shared" ca="1" si="1188"/>
        <v>7.19909887201865E-2</v>
      </c>
      <c r="M1277" s="2">
        <f t="shared" ca="1" si="1189"/>
        <v>-2.922243899932556E-2</v>
      </c>
      <c r="N1277" s="2">
        <f t="shared" ca="1" si="1190"/>
        <v>-2.922243899932556E-2</v>
      </c>
      <c r="O1277" s="2">
        <f t="shared" si="1191"/>
        <v>6000000</v>
      </c>
      <c r="P1277" s="2">
        <f t="shared" ca="1" si="1192"/>
        <v>46635535.443456694</v>
      </c>
      <c r="Q1277" s="2">
        <f t="shared" ca="1" si="1193"/>
        <v>1165888.3860864174</v>
      </c>
      <c r="R1277" s="2">
        <f t="shared" ca="1" si="1194"/>
        <v>27981321.266074017</v>
      </c>
      <c r="S1277" s="2">
        <f t="shared" ca="1" si="1195"/>
        <v>18654214.177382678</v>
      </c>
      <c r="T1277" s="2">
        <f t="shared" ca="1" si="1196"/>
        <v>48538878.050033726</v>
      </c>
      <c r="U1277" s="2">
        <f t="shared" ca="1" si="1197"/>
        <v>47826866.656992823</v>
      </c>
      <c r="V1277" s="2">
        <f t="shared" ca="1" si="1198"/>
        <v>47125299.679731317</v>
      </c>
      <c r="W1277" s="2">
        <f t="shared" ca="1" si="1199"/>
        <v>46434023.910278045</v>
      </c>
      <c r="X1277" s="2">
        <f t="shared" ca="1" si="1200"/>
        <v>45752888.388052501</v>
      </c>
      <c r="Y1277" s="2">
        <f t="shared" ca="1" si="1201"/>
        <v>0.12428477811701236</v>
      </c>
      <c r="Z1277" s="2">
        <f t="shared" ca="1" si="1202"/>
        <v>0.12599868936381731</v>
      </c>
      <c r="AA1277" s="2">
        <f t="shared" ca="1" si="1203"/>
        <v>6032643.6884971634</v>
      </c>
      <c r="AB1277" s="2">
        <f t="shared" ca="1" si="1204"/>
        <v>6026122.5151591506</v>
      </c>
      <c r="AC1277" s="2">
        <f t="shared" ca="1" si="1205"/>
        <v>5937725.9955232656</v>
      </c>
      <c r="AD1277" s="2">
        <f t="shared" ca="1" si="1206"/>
        <v>5850626.1545831887</v>
      </c>
      <c r="AE1277" s="2">
        <f t="shared" ca="1" si="1207"/>
        <v>5764803.9715036312</v>
      </c>
      <c r="AF1277" s="2">
        <f t="shared" ca="1" si="1208"/>
        <v>970777.5610006745</v>
      </c>
      <c r="AG1277" s="2">
        <f t="shared" ca="1" si="1209"/>
        <v>956537.33313985646</v>
      </c>
      <c r="AH1277" s="2">
        <f t="shared" ca="1" si="1210"/>
        <v>942505.99359462631</v>
      </c>
      <c r="AI1277" s="2">
        <f t="shared" ca="1" si="1211"/>
        <v>928680.47820556094</v>
      </c>
      <c r="AJ1277" s="2">
        <f t="shared" ca="1" si="1212"/>
        <v>915057.76776105003</v>
      </c>
      <c r="AK1277" s="2">
        <f t="shared" ca="1" si="1213"/>
        <v>0</v>
      </c>
      <c r="AL1277" s="2">
        <f t="shared" ca="1" si="1214"/>
        <v>0</v>
      </c>
      <c r="AM1277" s="2">
        <f t="shared" ca="1" si="1215"/>
        <v>0</v>
      </c>
      <c r="AN1277" s="2">
        <f t="shared" ca="1" si="1216"/>
        <v>0</v>
      </c>
      <c r="AO1277" s="2">
        <f t="shared" ca="1" si="1217"/>
        <v>0</v>
      </c>
      <c r="AP1277" s="2">
        <f t="shared" ca="1" si="1218"/>
        <v>2518318.9139466616</v>
      </c>
      <c r="AQ1277" s="2">
        <f t="shared" ca="1" si="1219"/>
        <v>661322.27552295499</v>
      </c>
      <c r="AR1277" s="2">
        <f t="shared" ca="1" si="1220"/>
        <v>663329.22969888453</v>
      </c>
      <c r="AS1277" s="2">
        <f t="shared" ca="1" si="1221"/>
        <v>643994.28287531424</v>
      </c>
      <c r="AT1277" s="2">
        <f t="shared" ca="1" si="1222"/>
        <v>624942.95823205123</v>
      </c>
      <c r="AU1277" s="2">
        <f t="shared" ca="1" si="1223"/>
        <v>606171.09534693917</v>
      </c>
      <c r="AV1277" s="2">
        <f t="shared" ca="1" si="1224"/>
        <v>1882224.938026872</v>
      </c>
      <c r="AW1277" s="2">
        <f t="shared" ca="1" si="1225"/>
        <v>1887937.0383737483</v>
      </c>
      <c r="AX1277" s="2">
        <f t="shared" ca="1" si="1226"/>
        <v>1832906.8051066636</v>
      </c>
      <c r="AY1277" s="2">
        <f t="shared" ca="1" si="1227"/>
        <v>1778683.8041989156</v>
      </c>
      <c r="AZ1277" s="2">
        <f t="shared" ca="1" si="1228"/>
        <v>1725256.194448981</v>
      </c>
      <c r="BA1277" s="2">
        <f t="shared" ca="1" si="1229"/>
        <v>38731973.208843447</v>
      </c>
      <c r="BB1277" s="2">
        <f t="shared" ca="1" si="1230"/>
        <v>774639.4641768689</v>
      </c>
      <c r="BC1277" s="2">
        <f t="shared" ca="1" si="1231"/>
        <v>9976012.4785925616</v>
      </c>
      <c r="BD1277" s="2">
        <f t="shared" ca="1" si="1232"/>
        <v>-20320102.563469097</v>
      </c>
      <c r="BE1277" s="2">
        <f t="shared" ca="1" si="1233"/>
        <v>1882224.938026872</v>
      </c>
      <c r="BF1277" s="2">
        <f t="shared" ca="1" si="1234"/>
        <v>1887937.0383737483</v>
      </c>
      <c r="BG1277" s="2">
        <f t="shared" ca="1" si="1235"/>
        <v>1832906.8051066636</v>
      </c>
      <c r="BH1277" s="2">
        <f t="shared" ca="1" si="1236"/>
        <v>1778683.8041989156</v>
      </c>
      <c r="BI1277" s="2">
        <f t="shared" ca="1" si="1237"/>
        <v>11701268.673041543</v>
      </c>
      <c r="BJ1277" s="2">
        <f t="shared" ca="1" si="1238"/>
        <v>-1.5432024567006764E-2</v>
      </c>
      <c r="BK1277" s="2">
        <f t="shared" ca="1" si="1239"/>
        <v>-8059866.0705400985</v>
      </c>
    </row>
    <row r="1278" spans="1:63" x14ac:dyDescent="0.3">
      <c r="A1278" s="2">
        <v>1277</v>
      </c>
      <c r="B1278" s="2">
        <f t="shared" ca="1" si="1178"/>
        <v>0.62311337920148735</v>
      </c>
      <c r="C1278" s="2">
        <f t="shared" ca="1" si="1179"/>
        <v>7.1317988472726928</v>
      </c>
      <c r="D1278" s="2">
        <f t="shared" ca="1" si="1180"/>
        <v>0.886195339124216</v>
      </c>
      <c r="E1278" s="2">
        <f t="shared" ca="1" si="1181"/>
        <v>8.0229158127211004</v>
      </c>
      <c r="F1278" s="2">
        <f t="shared" ca="1" si="1182"/>
        <v>0.25818926127155972</v>
      </c>
      <c r="G1278" s="2">
        <f t="shared" ca="1" si="1183"/>
        <v>2.0531863292594984E-2</v>
      </c>
      <c r="H1278" s="2">
        <f t="shared" ca="1" si="1184"/>
        <v>2.0531863292594984E-2</v>
      </c>
      <c r="I1278" s="2">
        <f t="shared" ca="1" si="1185"/>
        <v>0.12836058040520371</v>
      </c>
      <c r="J1278" s="2">
        <f t="shared" ca="1" si="1186"/>
        <v>4.3291251469123786E-3</v>
      </c>
      <c r="K1278" s="2">
        <f t="shared" ca="1" si="1187"/>
        <v>4.3291251469123786E-3</v>
      </c>
      <c r="L1278" s="2">
        <f t="shared" ca="1" si="1188"/>
        <v>0.96903255626689733</v>
      </c>
      <c r="M1278" s="2">
        <f t="shared" ca="1" si="1189"/>
        <v>3.7335231956160272E-2</v>
      </c>
      <c r="N1278" s="2">
        <f t="shared" ca="1" si="1190"/>
        <v>3.7335231956160272E-2</v>
      </c>
      <c r="O1278" s="2">
        <f t="shared" si="1191"/>
        <v>6000000</v>
      </c>
      <c r="P1278" s="2">
        <f t="shared" ca="1" si="1192"/>
        <v>42790793.083636157</v>
      </c>
      <c r="Q1278" s="2">
        <f t="shared" ca="1" si="1193"/>
        <v>1069769.8270909039</v>
      </c>
      <c r="R1278" s="2">
        <f t="shared" ca="1" si="1194"/>
        <v>25674475.850181695</v>
      </c>
      <c r="S1278" s="2">
        <f t="shared" ca="1" si="1195"/>
        <v>17116317.233454462</v>
      </c>
      <c r="T1278" s="2">
        <f t="shared" ca="1" si="1196"/>
        <v>51866761.597808011</v>
      </c>
      <c r="U1278" s="2">
        <f t="shared" ca="1" si="1197"/>
        <v>52931682.856363826</v>
      </c>
      <c r="V1278" s="2">
        <f t="shared" ca="1" si="1198"/>
        <v>54018468.932617687</v>
      </c>
      <c r="W1278" s="2">
        <f t="shared" ca="1" si="1199"/>
        <v>55127568.752017483</v>
      </c>
      <c r="X1278" s="2">
        <f t="shared" ca="1" si="1200"/>
        <v>56259440.457287043</v>
      </c>
      <c r="Y1278" s="2">
        <f t="shared" ca="1" si="1201"/>
        <v>0.12216456257345619</v>
      </c>
      <c r="Z1278" s="2">
        <f t="shared" ca="1" si="1202"/>
        <v>0.12303038760283866</v>
      </c>
      <c r="AA1278" s="2">
        <f t="shared" ca="1" si="1203"/>
        <v>6336280.2426979514</v>
      </c>
      <c r="AB1278" s="2">
        <f t="shared" ca="1" si="1204"/>
        <v>6512205.4582889713</v>
      </c>
      <c r="AC1278" s="2">
        <f t="shared" ca="1" si="1205"/>
        <v>6645913.1704918519</v>
      </c>
      <c r="AD1278" s="2">
        <f t="shared" ca="1" si="1206"/>
        <v>6782366.1511628479</v>
      </c>
      <c r="AE1278" s="2">
        <f t="shared" ca="1" si="1207"/>
        <v>6921620.765778848</v>
      </c>
      <c r="AF1278" s="2">
        <f t="shared" ca="1" si="1208"/>
        <v>1037335.2319561603</v>
      </c>
      <c r="AG1278" s="2">
        <f t="shared" ca="1" si="1209"/>
        <v>1058633.6571272765</v>
      </c>
      <c r="AH1278" s="2">
        <f t="shared" ca="1" si="1210"/>
        <v>1080369.3786523538</v>
      </c>
      <c r="AI1278" s="2">
        <f t="shared" ca="1" si="1211"/>
        <v>1102551.3750403498</v>
      </c>
      <c r="AJ1278" s="2">
        <f t="shared" ca="1" si="1212"/>
        <v>1125188.8091457409</v>
      </c>
      <c r="AK1278" s="2">
        <f t="shared" ca="1" si="1213"/>
        <v>0</v>
      </c>
      <c r="AL1278" s="2">
        <f t="shared" ca="1" si="1214"/>
        <v>10649.212585558147</v>
      </c>
      <c r="AM1278" s="2">
        <f t="shared" ca="1" si="1215"/>
        <v>10867.860762538612</v>
      </c>
      <c r="AN1278" s="2">
        <f t="shared" ca="1" si="1216"/>
        <v>11090.998193997964</v>
      </c>
      <c r="AO1278" s="2">
        <f t="shared" ca="1" si="1217"/>
        <v>11318.717052695602</v>
      </c>
      <c r="AP1278" s="2">
        <f t="shared" ca="1" si="1218"/>
        <v>2310702.8265163526</v>
      </c>
      <c r="AQ1278" s="2">
        <f t="shared" ca="1" si="1219"/>
        <v>776942.96789861401</v>
      </c>
      <c r="AR1278" s="2">
        <f t="shared" ca="1" si="1220"/>
        <v>817145.9334077891</v>
      </c>
      <c r="AS1278" s="2">
        <f t="shared" ca="1" si="1221"/>
        <v>846258.65098401788</v>
      </c>
      <c r="AT1278" s="2">
        <f t="shared" ca="1" si="1222"/>
        <v>875969.1068975979</v>
      </c>
      <c r="AU1278" s="2">
        <f t="shared" ca="1" si="1223"/>
        <v>906289.57383035612</v>
      </c>
      <c r="AV1278" s="2">
        <f t="shared" ca="1" si="1224"/>
        <v>2211299.2163268244</v>
      </c>
      <c r="AW1278" s="2">
        <f t="shared" ca="1" si="1225"/>
        <v>2315073.8286519954</v>
      </c>
      <c r="AX1278" s="2">
        <f t="shared" ca="1" si="1226"/>
        <v>2397714.453576589</v>
      </c>
      <c r="AY1278" s="2">
        <f t="shared" ca="1" si="1227"/>
        <v>2482051.8445145497</v>
      </c>
      <c r="AZ1278" s="2">
        <f t="shared" ca="1" si="1228"/>
        <v>2568120.839233703</v>
      </c>
      <c r="BA1278" s="2">
        <f t="shared" ca="1" si="1229"/>
        <v>55531580.691425852</v>
      </c>
      <c r="BB1278" s="2">
        <f t="shared" ca="1" si="1230"/>
        <v>1110631.613828517</v>
      </c>
      <c r="BC1278" s="2">
        <f t="shared" ca="1" si="1231"/>
        <v>28746473.22741564</v>
      </c>
      <c r="BD1278" s="2">
        <f t="shared" ca="1" si="1232"/>
        <v>-18686087.060545366</v>
      </c>
      <c r="BE1278" s="2">
        <f t="shared" ca="1" si="1233"/>
        <v>2211299.2163268244</v>
      </c>
      <c r="BF1278" s="2">
        <f t="shared" ca="1" si="1234"/>
        <v>2315073.8286519954</v>
      </c>
      <c r="BG1278" s="2">
        <f t="shared" ca="1" si="1235"/>
        <v>2397714.453576589</v>
      </c>
      <c r="BH1278" s="2">
        <f t="shared" ca="1" si="1236"/>
        <v>2482051.8445145497</v>
      </c>
      <c r="BI1278" s="2">
        <f t="shared" ca="1" si="1237"/>
        <v>31314594.066649344</v>
      </c>
      <c r="BJ1278" s="2">
        <f t="shared" ca="1" si="1238"/>
        <v>0.1989656742591821</v>
      </c>
      <c r="BK1278" s="2">
        <f t="shared" ca="1" si="1239"/>
        <v>6186626.1780491471</v>
      </c>
    </row>
    <row r="1279" spans="1:63" x14ac:dyDescent="0.3">
      <c r="A1279" s="2">
        <v>1278</v>
      </c>
      <c r="B1279" s="2">
        <f t="shared" ca="1" si="1178"/>
        <v>0.78266229074254368</v>
      </c>
      <c r="C1279" s="2">
        <f t="shared" ca="1" si="1179"/>
        <v>7.340700812593469</v>
      </c>
      <c r="D1279" s="2">
        <f t="shared" ca="1" si="1180"/>
        <v>0.22509000829741155</v>
      </c>
      <c r="E1279" s="2">
        <f t="shared" ca="1" si="1181"/>
        <v>7.1709545562814396</v>
      </c>
      <c r="F1279" s="2">
        <f t="shared" ca="1" si="1182"/>
        <v>4.169091721284901E-2</v>
      </c>
      <c r="G1279" s="2">
        <f t="shared" ca="1" si="1183"/>
        <v>-1.1941766408624488E-2</v>
      </c>
      <c r="H1279" s="2">
        <f t="shared" ca="1" si="1184"/>
        <v>-1.1941766408624488E-2</v>
      </c>
      <c r="I1279" s="2">
        <f t="shared" ca="1" si="1185"/>
        <v>1.0583627907436721E-2</v>
      </c>
      <c r="J1279" s="2">
        <f t="shared" ca="1" si="1186"/>
        <v>-1.524939078364625E-3</v>
      </c>
      <c r="K1279" s="2">
        <f t="shared" ca="1" si="1187"/>
        <v>0</v>
      </c>
      <c r="L1279" s="2">
        <f t="shared" ca="1" si="1188"/>
        <v>0.35687867517644289</v>
      </c>
      <c r="M1279" s="2">
        <f t="shared" ca="1" si="1189"/>
        <v>-7.3362910903584993E-3</v>
      </c>
      <c r="N1279" s="2">
        <f t="shared" ca="1" si="1190"/>
        <v>-7.3362910903584993E-3</v>
      </c>
      <c r="O1279" s="2">
        <f t="shared" si="1191"/>
        <v>6000000</v>
      </c>
      <c r="P1279" s="2">
        <f t="shared" ca="1" si="1192"/>
        <v>44044204.875560813</v>
      </c>
      <c r="Q1279" s="2">
        <f t="shared" ca="1" si="1193"/>
        <v>1101105.1218890203</v>
      </c>
      <c r="R1279" s="2">
        <f t="shared" ca="1" si="1194"/>
        <v>26426522.925336488</v>
      </c>
      <c r="S1279" s="2">
        <f t="shared" ca="1" si="1195"/>
        <v>17617681.950224325</v>
      </c>
      <c r="T1279" s="2">
        <f t="shared" ca="1" si="1196"/>
        <v>49633185.445482075</v>
      </c>
      <c r="U1279" s="2">
        <f t="shared" ca="1" si="1197"/>
        <v>49040477.538776182</v>
      </c>
      <c r="V1279" s="2">
        <f t="shared" ca="1" si="1198"/>
        <v>48454847.611440718</v>
      </c>
      <c r="W1279" s="2">
        <f t="shared" ca="1" si="1199"/>
        <v>47876211.139899395</v>
      </c>
      <c r="X1279" s="2">
        <f t="shared" ca="1" si="1200"/>
        <v>47304484.609936729</v>
      </c>
      <c r="Y1279" s="2">
        <f t="shared" ca="1" si="1201"/>
        <v>0.12</v>
      </c>
      <c r="Z1279" s="2">
        <f t="shared" ca="1" si="1202"/>
        <v>0.12</v>
      </c>
      <c r="AA1279" s="2">
        <f t="shared" ca="1" si="1203"/>
        <v>5955982.2534578489</v>
      </c>
      <c r="AB1279" s="2">
        <f t="shared" ca="1" si="1204"/>
        <v>5884857.3046531416</v>
      </c>
      <c r="AC1279" s="2">
        <f t="shared" ca="1" si="1205"/>
        <v>5814581.7133728862</v>
      </c>
      <c r="AD1279" s="2">
        <f t="shared" ca="1" si="1206"/>
        <v>5745145.336787927</v>
      </c>
      <c r="AE1279" s="2">
        <f t="shared" ca="1" si="1207"/>
        <v>5676538.1531924075</v>
      </c>
      <c r="AF1279" s="2">
        <f t="shared" ca="1" si="1208"/>
        <v>992663.70890964149</v>
      </c>
      <c r="AG1279" s="2">
        <f t="shared" ca="1" si="1209"/>
        <v>980809.55077552365</v>
      </c>
      <c r="AH1279" s="2">
        <f t="shared" ca="1" si="1210"/>
        <v>969096.95222881436</v>
      </c>
      <c r="AI1279" s="2">
        <f t="shared" ca="1" si="1211"/>
        <v>957524.22279798798</v>
      </c>
      <c r="AJ1279" s="2">
        <f t="shared" ca="1" si="1212"/>
        <v>946089.69219873461</v>
      </c>
      <c r="AK1279" s="2">
        <f t="shared" ca="1" si="1213"/>
        <v>0</v>
      </c>
      <c r="AL1279" s="2">
        <f t="shared" ca="1" si="1214"/>
        <v>0</v>
      </c>
      <c r="AM1279" s="2">
        <f t="shared" ca="1" si="1215"/>
        <v>0</v>
      </c>
      <c r="AN1279" s="2">
        <f t="shared" ca="1" si="1216"/>
        <v>0</v>
      </c>
      <c r="AO1279" s="2">
        <f t="shared" ca="1" si="1217"/>
        <v>0</v>
      </c>
      <c r="AP1279" s="2">
        <f t="shared" ca="1" si="1218"/>
        <v>2378387.0632802839</v>
      </c>
      <c r="AQ1279" s="2">
        <f t="shared" ca="1" si="1219"/>
        <v>672082.1851296603</v>
      </c>
      <c r="AR1279" s="2">
        <f t="shared" ca="1" si="1220"/>
        <v>656671.779555307</v>
      </c>
      <c r="AS1279" s="2">
        <f t="shared" ca="1" si="1221"/>
        <v>641445.40144458483</v>
      </c>
      <c r="AT1279" s="2">
        <f t="shared" ca="1" si="1222"/>
        <v>626400.85318451037</v>
      </c>
      <c r="AU1279" s="2">
        <f t="shared" ca="1" si="1223"/>
        <v>611535.96340548107</v>
      </c>
      <c r="AV1279" s="2">
        <f t="shared" ca="1" si="1224"/>
        <v>1912849.2961382638</v>
      </c>
      <c r="AW1279" s="2">
        <f t="shared" ca="1" si="1225"/>
        <v>1868988.9110420276</v>
      </c>
      <c r="AX1279" s="2">
        <f t="shared" ca="1" si="1226"/>
        <v>1825652.2964192028</v>
      </c>
      <c r="AY1279" s="2">
        <f t="shared" ca="1" si="1227"/>
        <v>1782833.1975251446</v>
      </c>
      <c r="AZ1279" s="2">
        <f t="shared" ca="1" si="1228"/>
        <v>1740525.4343079077</v>
      </c>
      <c r="BA1279" s="2">
        <f t="shared" ca="1" si="1229"/>
        <v>40706197.133540526</v>
      </c>
      <c r="BB1279" s="2">
        <f t="shared" ca="1" si="1230"/>
        <v>814123.9426708105</v>
      </c>
      <c r="BC1279" s="2">
        <f t="shared" ca="1" si="1231"/>
        <v>13465550.265533227</v>
      </c>
      <c r="BD1279" s="2">
        <f t="shared" ca="1" si="1232"/>
        <v>-19218787.072113346</v>
      </c>
      <c r="BE1279" s="2">
        <f t="shared" ca="1" si="1233"/>
        <v>1912849.2961382638</v>
      </c>
      <c r="BF1279" s="2">
        <f t="shared" ca="1" si="1234"/>
        <v>1868988.9110420276</v>
      </c>
      <c r="BG1279" s="2">
        <f t="shared" ca="1" si="1235"/>
        <v>1825652.2964192028</v>
      </c>
      <c r="BH1279" s="2">
        <f t="shared" ca="1" si="1236"/>
        <v>1782833.1975251446</v>
      </c>
      <c r="BI1279" s="2">
        <f t="shared" ca="1" si="1237"/>
        <v>15206075.699841134</v>
      </c>
      <c r="BJ1279" s="2">
        <f t="shared" ca="1" si="1238"/>
        <v>3.9917265639805466E-2</v>
      </c>
      <c r="BK1279" s="2">
        <f t="shared" ca="1" si="1239"/>
        <v>-4960117.7037998326</v>
      </c>
    </row>
    <row r="1280" spans="1:63" x14ac:dyDescent="0.3">
      <c r="A1280" s="2">
        <v>1279</v>
      </c>
      <c r="B1280" s="2">
        <f t="shared" ca="1" si="1178"/>
        <v>0.30099551359025467</v>
      </c>
      <c r="C1280" s="2">
        <f t="shared" ca="1" si="1179"/>
        <v>6.7758808073283614</v>
      </c>
      <c r="D1280" s="2">
        <f t="shared" ca="1" si="1180"/>
        <v>0.49498917698692857</v>
      </c>
      <c r="E1280" s="2">
        <f t="shared" ca="1" si="1181"/>
        <v>7.4949765595097491</v>
      </c>
      <c r="F1280" s="2">
        <f t="shared" ca="1" si="1182"/>
        <v>0.16949830392254395</v>
      </c>
      <c r="G1280" s="2">
        <f t="shared" ca="1" si="1183"/>
        <v>1.1315508971882247E-2</v>
      </c>
      <c r="H1280" s="2">
        <f t="shared" ca="1" si="1184"/>
        <v>1.1315508971882247E-2</v>
      </c>
      <c r="I1280" s="2">
        <f t="shared" ca="1" si="1185"/>
        <v>0.59928508284505966</v>
      </c>
      <c r="J1280" s="2">
        <f t="shared" ca="1" si="1186"/>
        <v>1.1257485304118384E-2</v>
      </c>
      <c r="K1280" s="2">
        <f t="shared" ca="1" si="1187"/>
        <v>1.1257485304118384E-2</v>
      </c>
      <c r="L1280" s="2">
        <f t="shared" ca="1" si="1188"/>
        <v>0.31467440123739798</v>
      </c>
      <c r="M1280" s="2">
        <f t="shared" ca="1" si="1189"/>
        <v>-9.6528723746600997E-3</v>
      </c>
      <c r="N1280" s="2">
        <f t="shared" ca="1" si="1190"/>
        <v>-9.6528723746600997E-3</v>
      </c>
      <c r="O1280" s="2">
        <f t="shared" si="1191"/>
        <v>6000000</v>
      </c>
      <c r="P1280" s="2">
        <f t="shared" ca="1" si="1192"/>
        <v>40655284.843970172</v>
      </c>
      <c r="Q1280" s="2">
        <f t="shared" ca="1" si="1193"/>
        <v>1016382.1210992543</v>
      </c>
      <c r="R1280" s="2">
        <f t="shared" ca="1" si="1194"/>
        <v>24393170.906382103</v>
      </c>
      <c r="S1280" s="2">
        <f t="shared" ca="1" si="1195"/>
        <v>16262113.93758807</v>
      </c>
      <c r="T1280" s="2">
        <f t="shared" ca="1" si="1196"/>
        <v>49517356.381266996</v>
      </c>
      <c r="U1280" s="2">
        <f t="shared" ca="1" si="1197"/>
        <v>50077670.47166311</v>
      </c>
      <c r="V1280" s="2">
        <f t="shared" ca="1" si="1198"/>
        <v>50644324.801176175</v>
      </c>
      <c r="W1280" s="2">
        <f t="shared" ca="1" si="1199"/>
        <v>51217391.112838797</v>
      </c>
      <c r="X1280" s="2">
        <f t="shared" ca="1" si="1200"/>
        <v>51796941.961492524</v>
      </c>
      <c r="Y1280" s="2">
        <f t="shared" ca="1" si="1201"/>
        <v>0.1256287426520592</v>
      </c>
      <c r="Z1280" s="2">
        <f t="shared" ca="1" si="1202"/>
        <v>0.12788023971288287</v>
      </c>
      <c r="AA1280" s="2">
        <f t="shared" ca="1" si="1203"/>
        <v>6220803.2216324927</v>
      </c>
      <c r="AB1280" s="2">
        <f t="shared" ca="1" si="1204"/>
        <v>6403944.5041790344</v>
      </c>
      <c r="AC1280" s="2">
        <f t="shared" ca="1" si="1205"/>
        <v>6476408.3956715083</v>
      </c>
      <c r="AD1280" s="2">
        <f t="shared" ca="1" si="1206"/>
        <v>6549692.2529783025</v>
      </c>
      <c r="AE1280" s="2">
        <f t="shared" ca="1" si="1207"/>
        <v>6623805.3544299453</v>
      </c>
      <c r="AF1280" s="2">
        <f t="shared" ca="1" si="1208"/>
        <v>990347.1276253399</v>
      </c>
      <c r="AG1280" s="2">
        <f t="shared" ca="1" si="1209"/>
        <v>1001553.4094332622</v>
      </c>
      <c r="AH1280" s="2">
        <f t="shared" ca="1" si="1210"/>
        <v>1012886.4960235235</v>
      </c>
      <c r="AI1280" s="2">
        <f t="shared" ca="1" si="1211"/>
        <v>1024347.8222567759</v>
      </c>
      <c r="AJ1280" s="2">
        <f t="shared" ca="1" si="1212"/>
        <v>1035938.8392298504</v>
      </c>
      <c r="AK1280" s="2">
        <f t="shared" ca="1" si="1213"/>
        <v>0</v>
      </c>
      <c r="AL1280" s="2">
        <f t="shared" ca="1" si="1214"/>
        <v>5603.1409039611372</v>
      </c>
      <c r="AM1280" s="2">
        <f t="shared" ca="1" si="1215"/>
        <v>5666.5432951306557</v>
      </c>
      <c r="AN1280" s="2">
        <f t="shared" ca="1" si="1216"/>
        <v>5730.6631166262177</v>
      </c>
      <c r="AO1280" s="2">
        <f t="shared" ca="1" si="1217"/>
        <v>5795.5084865372628</v>
      </c>
      <c r="AP1280" s="2">
        <f t="shared" ca="1" si="1218"/>
        <v>2195385.3815743891</v>
      </c>
      <c r="AQ1280" s="2">
        <f t="shared" ca="1" si="1219"/>
        <v>789118.38523251866</v>
      </c>
      <c r="AR1280" s="2">
        <f t="shared" ca="1" si="1220"/>
        <v>833821.48542455956</v>
      </c>
      <c r="AS1280" s="2">
        <f t="shared" ca="1" si="1221"/>
        <v>849715.49469913484</v>
      </c>
      <c r="AT1280" s="2">
        <f t="shared" ca="1" si="1222"/>
        <v>865789.35277825594</v>
      </c>
      <c r="AU1280" s="2">
        <f t="shared" ca="1" si="1223"/>
        <v>882045.09474268369</v>
      </c>
      <c r="AV1280" s="2">
        <f t="shared" ca="1" si="1224"/>
        <v>2245952.3272002456</v>
      </c>
      <c r="AW1280" s="2">
        <f t="shared" ca="1" si="1225"/>
        <v>2367581.0868428624</v>
      </c>
      <c r="AX1280" s="2">
        <f t="shared" ca="1" si="1226"/>
        <v>2412754.48007933</v>
      </c>
      <c r="AY1280" s="2">
        <f t="shared" ca="1" si="1227"/>
        <v>2458439.0332522555</v>
      </c>
      <c r="AZ1280" s="2">
        <f t="shared" ca="1" si="1228"/>
        <v>2504640.5303964852</v>
      </c>
      <c r="BA1280" s="2">
        <f t="shared" ca="1" si="1229"/>
        <v>49645265.866207607</v>
      </c>
      <c r="BB1280" s="2">
        <f t="shared" ca="1" si="1230"/>
        <v>992905.31732415222</v>
      </c>
      <c r="BC1280" s="2">
        <f t="shared" ca="1" si="1231"/>
        <v>24259189.642501354</v>
      </c>
      <c r="BD1280" s="2">
        <f t="shared" ca="1" si="1232"/>
        <v>-17778496.058687326</v>
      </c>
      <c r="BE1280" s="2">
        <f t="shared" ca="1" si="1233"/>
        <v>2245952.3272002456</v>
      </c>
      <c r="BF1280" s="2">
        <f t="shared" ca="1" si="1234"/>
        <v>2367581.0868428624</v>
      </c>
      <c r="BG1280" s="2">
        <f t="shared" ca="1" si="1235"/>
        <v>2412754.48007933</v>
      </c>
      <c r="BH1280" s="2">
        <f t="shared" ca="1" si="1236"/>
        <v>2458439.0332522555</v>
      </c>
      <c r="BI1280" s="2">
        <f t="shared" ca="1" si="1237"/>
        <v>26763830.172897838</v>
      </c>
      <c r="BJ1280" s="2">
        <f t="shared" ca="1" si="1238"/>
        <v>0.18423607181249202</v>
      </c>
      <c r="BK1280" s="2">
        <f t="shared" ca="1" si="1239"/>
        <v>4580489.1002324335</v>
      </c>
    </row>
    <row r="1281" spans="1:63" x14ac:dyDescent="0.3">
      <c r="A1281" s="2">
        <v>1280</v>
      </c>
      <c r="B1281" s="2">
        <f t="shared" ca="1" si="1178"/>
        <v>0.44463469578885084</v>
      </c>
      <c r="C1281" s="2">
        <f t="shared" ca="1" si="1179"/>
        <v>6.9430108120152711</v>
      </c>
      <c r="D1281" s="2">
        <f t="shared" ca="1" si="1180"/>
        <v>0.13179637572777059</v>
      </c>
      <c r="E1281" s="2">
        <f t="shared" ca="1" si="1181"/>
        <v>7.0134128469911339</v>
      </c>
      <c r="F1281" s="2">
        <f t="shared" ca="1" si="1182"/>
        <v>0.16443092322312436</v>
      </c>
      <c r="G1281" s="2">
        <f t="shared" ca="1" si="1183"/>
        <v>1.0707731402817531E-2</v>
      </c>
      <c r="H1281" s="2">
        <f t="shared" ca="1" si="1184"/>
        <v>1.0707731402817531E-2</v>
      </c>
      <c r="I1281" s="2">
        <f t="shared" ca="1" si="1185"/>
        <v>0.99923306947306245</v>
      </c>
      <c r="J1281" s="2">
        <f t="shared" ca="1" si="1186"/>
        <v>2.5840998638948807E-2</v>
      </c>
      <c r="K1281" s="2">
        <f t="shared" ca="1" si="1187"/>
        <v>2.5840998638948807E-2</v>
      </c>
      <c r="L1281" s="2">
        <f t="shared" ca="1" si="1188"/>
        <v>0.32417072971474736</v>
      </c>
      <c r="M1281" s="2">
        <f t="shared" ca="1" si="1189"/>
        <v>-9.1213494576809946E-3</v>
      </c>
      <c r="N1281" s="2">
        <f t="shared" ca="1" si="1190"/>
        <v>-9.1213494576809946E-3</v>
      </c>
      <c r="O1281" s="2">
        <f t="shared" si="1191"/>
        <v>6000000</v>
      </c>
      <c r="P1281" s="2">
        <f t="shared" ca="1" si="1192"/>
        <v>41658064.872091629</v>
      </c>
      <c r="Q1281" s="2">
        <f t="shared" ca="1" si="1193"/>
        <v>1041451.6218022908</v>
      </c>
      <c r="R1281" s="2">
        <f t="shared" ca="1" si="1194"/>
        <v>24994838.923254978</v>
      </c>
      <c r="S1281" s="2">
        <f t="shared" ca="1" si="1195"/>
        <v>16663225.948836653</v>
      </c>
      <c r="T1281" s="2">
        <f t="shared" ca="1" si="1196"/>
        <v>49543932.527115956</v>
      </c>
      <c r="U1281" s="2">
        <f t="shared" ca="1" si="1197"/>
        <v>50074435.649255626</v>
      </c>
      <c r="V1281" s="2">
        <f t="shared" ca="1" si="1198"/>
        <v>50610619.256335519</v>
      </c>
      <c r="W1281" s="2">
        <f t="shared" ca="1" si="1199"/>
        <v>51152544.173462622</v>
      </c>
      <c r="X1281" s="2">
        <f t="shared" ca="1" si="1200"/>
        <v>51700271.877042815</v>
      </c>
      <c r="Y1281" s="2">
        <f t="shared" ca="1" si="1201"/>
        <v>0.13292049931947439</v>
      </c>
      <c r="Z1281" s="2">
        <f t="shared" ca="1" si="1202"/>
        <v>0.13808869904726417</v>
      </c>
      <c r="AA1281" s="2">
        <f t="shared" ca="1" si="1203"/>
        <v>6585404.2497546012</v>
      </c>
      <c r="AB1281" s="2">
        <f t="shared" ca="1" si="1204"/>
        <v>6914713.6743316567</v>
      </c>
      <c r="AC1281" s="2">
        <f t="shared" ca="1" si="1205"/>
        <v>6988754.5710837888</v>
      </c>
      <c r="AD1281" s="2">
        <f t="shared" ca="1" si="1206"/>
        <v>7063588.2778711664</v>
      </c>
      <c r="AE1281" s="2">
        <f t="shared" ca="1" si="1207"/>
        <v>7139223.2838907009</v>
      </c>
      <c r="AF1281" s="2">
        <f t="shared" ca="1" si="1208"/>
        <v>990878.65054231917</v>
      </c>
      <c r="AG1281" s="2">
        <f t="shared" ca="1" si="1209"/>
        <v>1001488.7129851126</v>
      </c>
      <c r="AH1281" s="2">
        <f t="shared" ca="1" si="1210"/>
        <v>1012212.3851267104</v>
      </c>
      <c r="AI1281" s="2">
        <f t="shared" ca="1" si="1211"/>
        <v>1023050.8834692525</v>
      </c>
      <c r="AJ1281" s="2">
        <f t="shared" ca="1" si="1212"/>
        <v>1034005.4375408563</v>
      </c>
      <c r="AK1281" s="2">
        <f t="shared" ca="1" si="1213"/>
        <v>0</v>
      </c>
      <c r="AL1281" s="2">
        <f t="shared" ca="1" si="1214"/>
        <v>5305.0312213966999</v>
      </c>
      <c r="AM1281" s="2">
        <f t="shared" ca="1" si="1215"/>
        <v>5361.8360707989332</v>
      </c>
      <c r="AN1281" s="2">
        <f t="shared" ca="1" si="1216"/>
        <v>5419.2491712710262</v>
      </c>
      <c r="AO1281" s="2">
        <f t="shared" ca="1" si="1217"/>
        <v>5477.2770358019325</v>
      </c>
      <c r="AP1281" s="2">
        <f t="shared" ca="1" si="1218"/>
        <v>2249535.5030929479</v>
      </c>
      <c r="AQ1281" s="2">
        <f t="shared" ca="1" si="1219"/>
        <v>869697.42499102699</v>
      </c>
      <c r="AR1281" s="2">
        <f t="shared" ca="1" si="1220"/>
        <v>952559.25914593507</v>
      </c>
      <c r="AS1281" s="2">
        <f t="shared" ca="1" si="1221"/>
        <v>969021.73754467384</v>
      </c>
      <c r="AT1281" s="2">
        <f t="shared" ca="1" si="1222"/>
        <v>985660.49174033105</v>
      </c>
      <c r="AU1281" s="2">
        <f t="shared" ca="1" si="1223"/>
        <v>1002477.4092467932</v>
      </c>
      <c r="AV1281" s="2">
        <f t="shared" ca="1" si="1224"/>
        <v>2475292.671128307</v>
      </c>
      <c r="AW1281" s="2">
        <f t="shared" ca="1" si="1225"/>
        <v>2705825.1678862651</v>
      </c>
      <c r="AX1281" s="2">
        <f t="shared" ca="1" si="1226"/>
        <v>2752623.1092486572</v>
      </c>
      <c r="AY1281" s="2">
        <f t="shared" ca="1" si="1227"/>
        <v>2799922.1503973636</v>
      </c>
      <c r="AZ1281" s="2">
        <f t="shared" ca="1" si="1228"/>
        <v>2847727.6569743021</v>
      </c>
      <c r="BA1281" s="2">
        <f t="shared" ca="1" si="1229"/>
        <v>50070320.296777271</v>
      </c>
      <c r="BB1281" s="2">
        <f t="shared" ca="1" si="1230"/>
        <v>1001406.4059355455</v>
      </c>
      <c r="BC1281" s="2">
        <f t="shared" ca="1" si="1231"/>
        <v>24074074.967586748</v>
      </c>
      <c r="BD1281" s="2">
        <f t="shared" ca="1" si="1232"/>
        <v>-18204677.570638943</v>
      </c>
      <c r="BE1281" s="2">
        <f t="shared" ca="1" si="1233"/>
        <v>2475292.671128307</v>
      </c>
      <c r="BF1281" s="2">
        <f t="shared" ca="1" si="1234"/>
        <v>2705825.1678862651</v>
      </c>
      <c r="BG1281" s="2">
        <f t="shared" ca="1" si="1235"/>
        <v>2752623.1092486572</v>
      </c>
      <c r="BH1281" s="2">
        <f t="shared" ca="1" si="1236"/>
        <v>2799922.1503973636</v>
      </c>
      <c r="BI1281" s="2">
        <f t="shared" ca="1" si="1237"/>
        <v>26921802.624561049</v>
      </c>
      <c r="BJ1281" s="2">
        <f t="shared" ca="1" si="1238"/>
        <v>0.19159825012850384</v>
      </c>
      <c r="BK1281" s="2">
        <f t="shared" ca="1" si="1239"/>
        <v>5177290.146075286</v>
      </c>
    </row>
    <row r="1282" spans="1:63" x14ac:dyDescent="0.3">
      <c r="A1282" s="2">
        <v>1281</v>
      </c>
      <c r="B1282" s="2">
        <f t="shared" ref="B1282:B1345" ca="1" si="1240">RAND()</f>
        <v>0.25801603479172253</v>
      </c>
      <c r="C1282" s="2">
        <f t="shared" ref="C1282:C1345" ca="1" si="1241">IF(B1282&lt;((P_Mode)-(P_Low))/((P_High)-(P_Low)), (P_Low)+SQRT(B1282*((P_High)-(P_Low))*((P_Mode)-(P_Low))), (P_High)-SQRT((1-B1282)*((P_High)-(P_Low))*((P_High)-(P_Mode))))</f>
        <v>6.7183537217718339</v>
      </c>
      <c r="D1282" s="2">
        <f t="shared" ref="D1282:D1345" ca="1" si="1242">RAND()</f>
        <v>0.50391812780634582</v>
      </c>
      <c r="E1282" s="2">
        <f t="shared" ref="E1282:E1345" ca="1" si="1243">IF(D1282&lt;((X_Mode)-(X_Low))/((X_High)-(X_Low)), (X_Low)+SQRT(D1282*((X_High)-(X_Low))*((X_Mode)-(X_Low))), (X_High)-SQRT((1-D1282)*((X_High)-(X_Low))*((X_High)-(X_Mode))))</f>
        <v>7.5039258338922208</v>
      </c>
      <c r="F1282" s="2">
        <f t="shared" ref="F1282:F1345" ca="1" si="1244">RAND()</f>
        <v>0.89790253511479834</v>
      </c>
      <c r="G1282" s="2">
        <f t="shared" ref="G1282:G1345" ca="1" si="1245">NORMINV(F1282, g_Mean, g_SD)</f>
        <v>7.8090712333251544E-2</v>
      </c>
      <c r="H1282" s="2">
        <f t="shared" ref="H1282:H1345" ca="1" si="1246">MIN(MAX(G1282, g_Min), g_Max)</f>
        <v>7.8090712333251544E-2</v>
      </c>
      <c r="I1282" s="2">
        <f t="shared" ref="I1282:I1345" ca="1" si="1247">RAND()</f>
        <v>0.6769125588699495</v>
      </c>
      <c r="J1282" s="2">
        <f t="shared" ref="J1282:J1345" ca="1" si="1248">NORMINV(I1282, syn_Mean, syn_SD)</f>
        <v>1.2295412784264867E-2</v>
      </c>
      <c r="K1282" s="2">
        <f t="shared" ref="K1282:K1345" ca="1" si="1249">MIN(MAX(J1282, syn_Min), syn_Max)</f>
        <v>1.2295412784264867E-2</v>
      </c>
      <c r="L1282" s="2">
        <f t="shared" ref="L1282:L1345" ca="1" si="1250">RAND()</f>
        <v>3.1233449674856861E-2</v>
      </c>
      <c r="M1282" s="2">
        <f t="shared" ref="M1282:M1345" ca="1" si="1251">NORMINV(L1282, shk_Mean, shk_SD)</f>
        <v>-3.7259341405497706E-2</v>
      </c>
      <c r="N1282" s="2">
        <f t="shared" ref="N1282:N1345" ca="1" si="1252">MIN(MAX(M1282, shk_Min), shk_Max)</f>
        <v>-3.7259341405497706E-2</v>
      </c>
      <c r="O1282" s="2">
        <f t="shared" ref="O1282:O1345" si="1253">BaseRev*BaseMargin</f>
        <v>6000000</v>
      </c>
      <c r="P1282" s="2">
        <f t="shared" ref="P1282:P1345" ca="1" si="1254">O1282*C1282</f>
        <v>40310122.330631003</v>
      </c>
      <c r="Q1282" s="2">
        <f t="shared" ref="Q1282:Q1345" ca="1" si="1255">P1282*TxnCostPct</f>
        <v>1007753.0582657751</v>
      </c>
      <c r="R1282" s="2">
        <f t="shared" ref="R1282:R1345" ca="1" si="1256">P1282*DebtPct</f>
        <v>24186073.398378599</v>
      </c>
      <c r="S1282" s="2">
        <f t="shared" ref="S1282:S1345" ca="1" si="1257">P1282*EqPct</f>
        <v>16124048.932252401</v>
      </c>
      <c r="T1282" s="2">
        <f t="shared" ref="T1282:T1345" ca="1" si="1258">BaseRev*(1+N1282)</f>
        <v>48137032.929725118</v>
      </c>
      <c r="U1282" s="2">
        <f t="shared" ref="U1282:U1345" ca="1" si="1259">T1282*(1+H1282)</f>
        <v>51896088.120816536</v>
      </c>
      <c r="V1282" s="2">
        <f t="shared" ref="V1282:V1345" ca="1" si="1260">U1282*(1+H1282)</f>
        <v>55948690.609480292</v>
      </c>
      <c r="W1282" s="2">
        <f t="shared" ref="W1282:W1345" ca="1" si="1261">V1282*(1+H1282)</f>
        <v>60317763.713287309</v>
      </c>
      <c r="X1282" s="2">
        <f t="shared" ref="X1282:X1345" ca="1" si="1262">W1282*(1+H1282)</f>
        <v>65028020.848006666</v>
      </c>
      <c r="Y1282" s="2">
        <f t="shared" ref="Y1282:Y1345" ca="1" si="1263">BaseMargin + SynReal_Y1*K1282</f>
        <v>0.12614770639213244</v>
      </c>
      <c r="Z1282" s="2">
        <f t="shared" ref="Z1282:Z1345" ca="1" si="1264">BaseMargin + SynReal_Y2toY5*K1282</f>
        <v>0.12860678894898539</v>
      </c>
      <c r="AA1282" s="2">
        <f t="shared" ref="AA1282:AA1345" ca="1" si="1265">T1282*Y1282</f>
        <v>6072376.2966073751</v>
      </c>
      <c r="AB1282" s="2">
        <f t="shared" ref="AB1282:AB1345" ca="1" si="1266">U1282*Z1282</f>
        <v>6674189.2522318</v>
      </c>
      <c r="AC1282" s="2">
        <f t="shared" ref="AC1282:AC1345" ca="1" si="1267">V1282*Z1282</f>
        <v>7195381.4451855123</v>
      </c>
      <c r="AD1282" s="2">
        <f t="shared" ref="AD1282:AD1345" ca="1" si="1268">W1282*Z1282</f>
        <v>7757273.9077495104</v>
      </c>
      <c r="AE1282" s="2">
        <f t="shared" ref="AE1282:AE1345" ca="1" si="1269">X1282*Z1282</f>
        <v>8363044.9529698156</v>
      </c>
      <c r="AF1282" s="2">
        <f t="shared" ref="AF1282:AF1345" ca="1" si="1270">T1282*CapexPct</f>
        <v>962740.65859450237</v>
      </c>
      <c r="AG1282" s="2">
        <f t="shared" ref="AG1282:AG1345" ca="1" si="1271">U1282*CapexPct</f>
        <v>1037921.7624163307</v>
      </c>
      <c r="AH1282" s="2">
        <f t="shared" ref="AH1282:AH1345" ca="1" si="1272">V1282*CapexPct</f>
        <v>1118973.8121896058</v>
      </c>
      <c r="AI1282" s="2">
        <f t="shared" ref="AI1282:AI1345" ca="1" si="1273">W1282*CapexPct</f>
        <v>1206355.2742657461</v>
      </c>
      <c r="AJ1282" s="2">
        <f t="shared" ref="AJ1282:AJ1345" ca="1" si="1274">X1282*CapexPct</f>
        <v>1300560.4169601332</v>
      </c>
      <c r="AK1282" s="2">
        <f t="shared" ref="AK1282:AK1345" ca="1" si="1275">MAX(T1282-BaseRev*(1+N1282),0)*WCPct</f>
        <v>0</v>
      </c>
      <c r="AL1282" s="2">
        <f t="shared" ref="AL1282:AL1345" ca="1" si="1276">MAX(U1282-T1282,0)*WCPct</f>
        <v>37590.551910914182</v>
      </c>
      <c r="AM1282" s="2">
        <f t="shared" ref="AM1282:AM1345" ca="1" si="1277">MAX(V1282-U1282,0)*WCPct</f>
        <v>40526.024886637555</v>
      </c>
      <c r="AN1282" s="2">
        <f t="shared" ref="AN1282:AN1345" ca="1" si="1278">MAX(W1282-V1282,0)*WCPct</f>
        <v>43690.731038070175</v>
      </c>
      <c r="AO1282" s="2">
        <f t="shared" ref="AO1282:AO1345" ca="1" si="1279">MAX(X1282-W1282,0)*WCPct</f>
        <v>47102.571347193567</v>
      </c>
      <c r="AP1282" s="2">
        <f t="shared" ref="AP1282:AP1345" ca="1" si="1280">R1282*DebtRate</f>
        <v>2176746.605854074</v>
      </c>
      <c r="AQ1282" s="2">
        <f t="shared" ref="AQ1282:AQ1345" ca="1" si="1281">MAX(AA1282-AF1282-AP1282,0)*Tax</f>
        <v>762551.14836128778</v>
      </c>
      <c r="AR1282" s="2">
        <f t="shared" ref="AR1282:AR1345" ca="1" si="1282">MAX(AB1282-AG1282-AP1282,0)*Tax</f>
        <v>899475.42982996267</v>
      </c>
      <c r="AS1282" s="2">
        <f t="shared" ref="AS1282:AS1345" ca="1" si="1283">MAX(AC1282-AH1282-AP1282,0)*Tax</f>
        <v>1013911.8670568764</v>
      </c>
      <c r="AT1282" s="2">
        <f t="shared" ref="AT1282:AT1345" ca="1" si="1284">MAX(AD1282-AI1282-AP1282,0)*Tax</f>
        <v>1137284.7271837194</v>
      </c>
      <c r="AU1282" s="2">
        <f t="shared" ref="AU1282:AU1345" ca="1" si="1285">MAX(AE1282-AJ1282-AP1282,0)*Tax</f>
        <v>1270291.8618404584</v>
      </c>
      <c r="AV1282" s="2">
        <f t="shared" ref="AV1282:AV1345" ca="1" si="1286">AA1282-AF1282-AK1282-AQ1282-AP1282</f>
        <v>2170337.883797511</v>
      </c>
      <c r="AW1282" s="2">
        <f t="shared" ref="AW1282:AW1345" ca="1" si="1287">AB1282-AG1282-AL1282-AR1282-AP1282</f>
        <v>2522454.9022205179</v>
      </c>
      <c r="AX1282" s="2">
        <f t="shared" ref="AX1282:AX1345" ca="1" si="1288">AC1282-AH1282-AM1282-AS1282-AP1282</f>
        <v>2845223.1351983179</v>
      </c>
      <c r="AY1282" s="2">
        <f t="shared" ref="AY1282:AY1345" ca="1" si="1289">AD1282-AI1282-AN1282-AT1282-AP1282</f>
        <v>3193196.5694079003</v>
      </c>
      <c r="AZ1282" s="2">
        <f t="shared" ref="AZ1282:AZ1345" ca="1" si="1290">AE1282-AJ1282-AO1282-AU1282-AP1282</f>
        <v>3568343.496967956</v>
      </c>
      <c r="BA1282" s="2">
        <f t="shared" ref="BA1282:BA1345" ca="1" si="1291">AE1282*E1282</f>
        <v>62755669.072592154</v>
      </c>
      <c r="BB1282" s="2">
        <f t="shared" ref="BB1282:BB1345" ca="1" si="1292">BA1282*SellCostPct</f>
        <v>1255113.3814518431</v>
      </c>
      <c r="BC1282" s="2">
        <f t="shared" ref="BC1282:BC1345" ca="1" si="1293">BA1282-R1282-BB1282</f>
        <v>37314482.292761713</v>
      </c>
      <c r="BD1282" s="2">
        <f t="shared" ref="BD1282:BD1345" ca="1" si="1294">-S1282-Q1282-IntegrationPct*BaseRev</f>
        <v>-17631801.990518175</v>
      </c>
      <c r="BE1282" s="2">
        <f t="shared" ref="BE1282:BE1345" ca="1" si="1295">AV1282</f>
        <v>2170337.883797511</v>
      </c>
      <c r="BF1282" s="2">
        <f t="shared" ref="BF1282:BF1345" ca="1" si="1296">AW1282</f>
        <v>2522454.9022205179</v>
      </c>
      <c r="BG1282" s="2">
        <f t="shared" ref="BG1282:BG1345" ca="1" si="1297">AX1282</f>
        <v>2845223.1351983179</v>
      </c>
      <c r="BH1282" s="2">
        <f t="shared" ref="BH1282:BH1345" ca="1" si="1298">AY1282</f>
        <v>3193196.5694079003</v>
      </c>
      <c r="BI1282" s="2">
        <f t="shared" ref="BI1282:BI1345" ca="1" si="1299">AZ1282+BC1282</f>
        <v>40882825.78972967</v>
      </c>
      <c r="BJ1282" s="2">
        <f t="shared" ref="BJ1282:BJ1345" ca="1" si="1300">IF(MIN(BD1282:BI1282)*MAX(BD1282:BI1282)&gt;=0, "", IFERROR(IRR(BD1282:BI1282,0.12), IFERROR(IRR(BD1282:BI1282,0.5), IFERROR(IRR(BD1282:BI1282,-0.5),""))))</f>
        <v>0.2808437402787356</v>
      </c>
      <c r="BK1282" s="2">
        <f t="shared" ref="BK1282:BK1345" ca="1" si="1301">NPV(12%,BE1282:BI1282)+BD1282</f>
        <v>13569406.362665121</v>
      </c>
    </row>
    <row r="1283" spans="1:63" x14ac:dyDescent="0.3">
      <c r="A1283" s="2">
        <v>1282</v>
      </c>
      <c r="B1283" s="2">
        <f t="shared" ca="1" si="1240"/>
        <v>0.59105034955770763</v>
      </c>
      <c r="C1283" s="2">
        <f t="shared" ca="1" si="1241"/>
        <v>7.0956221470620893</v>
      </c>
      <c r="D1283" s="2">
        <f t="shared" ca="1" si="1242"/>
        <v>0.77257635457325291</v>
      </c>
      <c r="E1283" s="2">
        <f t="shared" ca="1" si="1243"/>
        <v>7.825576326888287</v>
      </c>
      <c r="F1283" s="2">
        <f t="shared" ca="1" si="1244"/>
        <v>0.25634191771423964</v>
      </c>
      <c r="G1283" s="2">
        <f t="shared" ca="1" si="1245"/>
        <v>2.0360067285598738E-2</v>
      </c>
      <c r="H1283" s="2">
        <f t="shared" ca="1" si="1246"/>
        <v>2.0360067285598738E-2</v>
      </c>
      <c r="I1283" s="2">
        <f t="shared" ca="1" si="1247"/>
        <v>0.5627380376587835</v>
      </c>
      <c r="J1283" s="2">
        <f t="shared" ca="1" si="1248"/>
        <v>1.0789574069795126E-2</v>
      </c>
      <c r="K1283" s="2">
        <f t="shared" ca="1" si="1249"/>
        <v>1.0789574069795126E-2</v>
      </c>
      <c r="L1283" s="2">
        <f t="shared" ca="1" si="1250"/>
        <v>0.64573937631326228</v>
      </c>
      <c r="M1283" s="2">
        <f t="shared" ca="1" si="1251"/>
        <v>7.4768567332619907E-3</v>
      </c>
      <c r="N1283" s="2">
        <f t="shared" ca="1" si="1252"/>
        <v>7.4768567332619907E-3</v>
      </c>
      <c r="O1283" s="2">
        <f t="shared" si="1253"/>
        <v>6000000</v>
      </c>
      <c r="P1283" s="2">
        <f t="shared" ca="1" si="1254"/>
        <v>42573732.882372536</v>
      </c>
      <c r="Q1283" s="2">
        <f t="shared" ca="1" si="1255"/>
        <v>1064343.3220593135</v>
      </c>
      <c r="R1283" s="2">
        <f t="shared" ca="1" si="1256"/>
        <v>25544239.729423519</v>
      </c>
      <c r="S1283" s="2">
        <f t="shared" ca="1" si="1257"/>
        <v>17029493.152949017</v>
      </c>
      <c r="T1283" s="2">
        <f t="shared" ca="1" si="1258"/>
        <v>50373842.836663097</v>
      </c>
      <c r="U1283" s="2">
        <f t="shared" ca="1" si="1259"/>
        <v>51399457.666251734</v>
      </c>
      <c r="V1283" s="2">
        <f t="shared" ca="1" si="1260"/>
        <v>52445954.082779907</v>
      </c>
      <c r="W1283" s="2">
        <f t="shared" ca="1" si="1261"/>
        <v>53513757.236762732</v>
      </c>
      <c r="X1283" s="2">
        <f t="shared" ca="1" si="1262"/>
        <v>54603300.934808418</v>
      </c>
      <c r="Y1283" s="2">
        <f t="shared" ca="1" si="1263"/>
        <v>0.12539478703489756</v>
      </c>
      <c r="Z1283" s="2">
        <f t="shared" ca="1" si="1264"/>
        <v>0.12755270184885659</v>
      </c>
      <c r="AA1283" s="2">
        <f t="shared" ca="1" si="1265"/>
        <v>6316617.2946327692</v>
      </c>
      <c r="AB1283" s="2">
        <f t="shared" ca="1" si="1266"/>
        <v>6556139.6988963336</v>
      </c>
      <c r="AC1283" s="2">
        <f t="shared" ca="1" si="1267"/>
        <v>6689623.1442996487</v>
      </c>
      <c r="AD1283" s="2">
        <f t="shared" ca="1" si="1268"/>
        <v>6825824.3216328882</v>
      </c>
      <c r="AE1283" s="2">
        <f t="shared" ca="1" si="1269"/>
        <v>6964798.5641010106</v>
      </c>
      <c r="AF1283" s="2">
        <f t="shared" ca="1" si="1270"/>
        <v>1007476.856733262</v>
      </c>
      <c r="AG1283" s="2">
        <f t="shared" ca="1" si="1271"/>
        <v>1027989.1533250347</v>
      </c>
      <c r="AH1283" s="2">
        <f t="shared" ca="1" si="1272"/>
        <v>1048919.0816555982</v>
      </c>
      <c r="AI1283" s="2">
        <f t="shared" ca="1" si="1273"/>
        <v>1070275.1447352546</v>
      </c>
      <c r="AJ1283" s="2">
        <f t="shared" ca="1" si="1274"/>
        <v>1092066.0186961684</v>
      </c>
      <c r="AK1283" s="2">
        <f t="shared" ca="1" si="1275"/>
        <v>0</v>
      </c>
      <c r="AL1283" s="2">
        <f t="shared" ca="1" si="1276"/>
        <v>10256.148295886367</v>
      </c>
      <c r="AM1283" s="2">
        <f t="shared" ca="1" si="1277"/>
        <v>10464.964165281728</v>
      </c>
      <c r="AN1283" s="2">
        <f t="shared" ca="1" si="1278"/>
        <v>10678.031539828256</v>
      </c>
      <c r="AO1283" s="2">
        <f t="shared" ca="1" si="1279"/>
        <v>10895.43698045686</v>
      </c>
      <c r="AP1283" s="2">
        <f t="shared" ca="1" si="1280"/>
        <v>2298981.5756481164</v>
      </c>
      <c r="AQ1283" s="2">
        <f t="shared" ca="1" si="1281"/>
        <v>782641.30418536172</v>
      </c>
      <c r="AR1283" s="2">
        <f t="shared" ca="1" si="1282"/>
        <v>839583.93218002759</v>
      </c>
      <c r="AS1283" s="2">
        <f t="shared" ca="1" si="1283"/>
        <v>868847.84661894292</v>
      </c>
      <c r="AT1283" s="2">
        <f t="shared" ca="1" si="1284"/>
        <v>898707.57632487454</v>
      </c>
      <c r="AU1283" s="2">
        <f t="shared" ca="1" si="1285"/>
        <v>929175.25213674875</v>
      </c>
      <c r="AV1283" s="2">
        <f t="shared" ca="1" si="1286"/>
        <v>2227517.5580660296</v>
      </c>
      <c r="AW1283" s="2">
        <f t="shared" ca="1" si="1287"/>
        <v>2379328.8894472686</v>
      </c>
      <c r="AX1283" s="2">
        <f t="shared" ca="1" si="1288"/>
        <v>2462409.6762117096</v>
      </c>
      <c r="AY1283" s="2">
        <f t="shared" ca="1" si="1289"/>
        <v>2547181.9933848144</v>
      </c>
      <c r="AZ1283" s="2">
        <f t="shared" ca="1" si="1290"/>
        <v>2633680.2806395194</v>
      </c>
      <c r="BA1283" s="2">
        <f t="shared" ca="1" si="1291"/>
        <v>54503562.764774404</v>
      </c>
      <c r="BB1283" s="2">
        <f t="shared" ca="1" si="1292"/>
        <v>1090071.2552954881</v>
      </c>
      <c r="BC1283" s="2">
        <f t="shared" ca="1" si="1293"/>
        <v>27869251.780055396</v>
      </c>
      <c r="BD1283" s="2">
        <f t="shared" ca="1" si="1294"/>
        <v>-18593836.475008331</v>
      </c>
      <c r="BE1283" s="2">
        <f t="shared" ca="1" si="1295"/>
        <v>2227517.5580660296</v>
      </c>
      <c r="BF1283" s="2">
        <f t="shared" ca="1" si="1296"/>
        <v>2379328.8894472686</v>
      </c>
      <c r="BG1283" s="2">
        <f t="shared" ca="1" si="1297"/>
        <v>2462409.6762117096</v>
      </c>
      <c r="BH1283" s="2">
        <f t="shared" ca="1" si="1298"/>
        <v>2547181.9933848144</v>
      </c>
      <c r="BI1283" s="2">
        <f t="shared" ca="1" si="1299"/>
        <v>30502932.060694914</v>
      </c>
      <c r="BJ1283" s="2">
        <f t="shared" ca="1" si="1300"/>
        <v>0.19726626185472984</v>
      </c>
      <c r="BK1283" s="2">
        <f t="shared" ca="1" si="1301"/>
        <v>5971462.5156318322</v>
      </c>
    </row>
    <row r="1284" spans="1:63" x14ac:dyDescent="0.3">
      <c r="A1284" s="2">
        <v>1283</v>
      </c>
      <c r="B1284" s="2">
        <f t="shared" ca="1" si="1240"/>
        <v>0.88178744967287759</v>
      </c>
      <c r="C1284" s="2">
        <f t="shared" ca="1" si="1241"/>
        <v>7.5137643568656811</v>
      </c>
      <c r="D1284" s="2">
        <f t="shared" ca="1" si="1242"/>
        <v>0.93323838295940309</v>
      </c>
      <c r="E1284" s="2">
        <f t="shared" ca="1" si="1243"/>
        <v>8.1345916885439067</v>
      </c>
      <c r="F1284" s="2">
        <f t="shared" ca="1" si="1244"/>
        <v>0.35690282397977691</v>
      </c>
      <c r="G1284" s="2">
        <f t="shared" ca="1" si="1245"/>
        <v>2.8997505678467074E-2</v>
      </c>
      <c r="H1284" s="2">
        <f t="shared" ca="1" si="1246"/>
        <v>2.8997505678467074E-2</v>
      </c>
      <c r="I1284" s="2">
        <f t="shared" ca="1" si="1247"/>
        <v>2.2422456964744653E-2</v>
      </c>
      <c r="J1284" s="2">
        <f t="shared" ca="1" si="1248"/>
        <v>-3.053121502330329E-5</v>
      </c>
      <c r="K1284" s="2">
        <f t="shared" ca="1" si="1249"/>
        <v>0</v>
      </c>
      <c r="L1284" s="2">
        <f t="shared" ca="1" si="1250"/>
        <v>0.45757779040901292</v>
      </c>
      <c r="M1284" s="2">
        <f t="shared" ca="1" si="1251"/>
        <v>-2.1307581471185773E-3</v>
      </c>
      <c r="N1284" s="2">
        <f t="shared" ca="1" si="1252"/>
        <v>-2.1307581471185773E-3</v>
      </c>
      <c r="O1284" s="2">
        <f t="shared" si="1253"/>
        <v>6000000</v>
      </c>
      <c r="P1284" s="2">
        <f t="shared" ca="1" si="1254"/>
        <v>45082586.14119409</v>
      </c>
      <c r="Q1284" s="2">
        <f t="shared" ca="1" si="1255"/>
        <v>1127064.6535298524</v>
      </c>
      <c r="R1284" s="2">
        <f t="shared" ca="1" si="1256"/>
        <v>27049551.684716452</v>
      </c>
      <c r="S1284" s="2">
        <f t="shared" ca="1" si="1257"/>
        <v>18033034.456477638</v>
      </c>
      <c r="T1284" s="2">
        <f t="shared" ca="1" si="1258"/>
        <v>49893462.092644073</v>
      </c>
      <c r="U1284" s="2">
        <f t="shared" ca="1" si="1259"/>
        <v>51340248.042993903</v>
      </c>
      <c r="V1284" s="2">
        <f t="shared" ca="1" si="1260"/>
        <v>52828987.177154526</v>
      </c>
      <c r="W1284" s="2">
        <f t="shared" ca="1" si="1261"/>
        <v>54360896.032811724</v>
      </c>
      <c r="X1284" s="2">
        <f t="shared" ca="1" si="1262"/>
        <v>55937226.424209736</v>
      </c>
      <c r="Y1284" s="2">
        <f t="shared" ca="1" si="1263"/>
        <v>0.12</v>
      </c>
      <c r="Z1284" s="2">
        <f t="shared" ca="1" si="1264"/>
        <v>0.12</v>
      </c>
      <c r="AA1284" s="2">
        <f t="shared" ca="1" si="1265"/>
        <v>5987215.4511172883</v>
      </c>
      <c r="AB1284" s="2">
        <f t="shared" ca="1" si="1266"/>
        <v>6160829.7651592679</v>
      </c>
      <c r="AC1284" s="2">
        <f t="shared" ca="1" si="1267"/>
        <v>6339478.4612585427</v>
      </c>
      <c r="AD1284" s="2">
        <f t="shared" ca="1" si="1268"/>
        <v>6523307.5239374069</v>
      </c>
      <c r="AE1284" s="2">
        <f t="shared" ca="1" si="1269"/>
        <v>6712467.1709051682</v>
      </c>
      <c r="AF1284" s="2">
        <f t="shared" ca="1" si="1270"/>
        <v>997869.2418528815</v>
      </c>
      <c r="AG1284" s="2">
        <f t="shared" ca="1" si="1271"/>
        <v>1026804.9608598781</v>
      </c>
      <c r="AH1284" s="2">
        <f t="shared" ca="1" si="1272"/>
        <v>1056579.7435430905</v>
      </c>
      <c r="AI1284" s="2">
        <f t="shared" ca="1" si="1273"/>
        <v>1087217.9206562345</v>
      </c>
      <c r="AJ1284" s="2">
        <f t="shared" ca="1" si="1274"/>
        <v>1118744.5284841948</v>
      </c>
      <c r="AK1284" s="2">
        <f t="shared" ca="1" si="1275"/>
        <v>0</v>
      </c>
      <c r="AL1284" s="2">
        <f t="shared" ca="1" si="1276"/>
        <v>14467.859503498301</v>
      </c>
      <c r="AM1284" s="2">
        <f t="shared" ca="1" si="1277"/>
        <v>14887.39134160623</v>
      </c>
      <c r="AN1284" s="2">
        <f t="shared" ca="1" si="1278"/>
        <v>15319.088556571976</v>
      </c>
      <c r="AO1284" s="2">
        <f t="shared" ca="1" si="1279"/>
        <v>15763.303913980128</v>
      </c>
      <c r="AP1284" s="2">
        <f t="shared" ca="1" si="1280"/>
        <v>2434459.6516244807</v>
      </c>
      <c r="AQ1284" s="2">
        <f t="shared" ca="1" si="1281"/>
        <v>664270.50498638081</v>
      </c>
      <c r="AR1284" s="2">
        <f t="shared" ca="1" si="1282"/>
        <v>701886.93969547644</v>
      </c>
      <c r="AS1284" s="2">
        <f t="shared" ca="1" si="1283"/>
        <v>740594.15718365263</v>
      </c>
      <c r="AT1284" s="2">
        <f t="shared" ca="1" si="1284"/>
        <v>780423.78743073973</v>
      </c>
      <c r="AU1284" s="2">
        <f t="shared" ca="1" si="1285"/>
        <v>821408.37760708819</v>
      </c>
      <c r="AV1284" s="2">
        <f t="shared" ca="1" si="1286"/>
        <v>1890616.052653545</v>
      </c>
      <c r="AW1284" s="2">
        <f t="shared" ca="1" si="1287"/>
        <v>1983210.3534759344</v>
      </c>
      <c r="AX1284" s="2">
        <f t="shared" ca="1" si="1288"/>
        <v>2092957.5175657128</v>
      </c>
      <c r="AY1284" s="2">
        <f t="shared" ca="1" si="1289"/>
        <v>2205887.0756693794</v>
      </c>
      <c r="AZ1284" s="2">
        <f t="shared" ca="1" si="1290"/>
        <v>2322091.3092754246</v>
      </c>
      <c r="BA1284" s="2">
        <f t="shared" ca="1" si="1291"/>
        <v>54603179.658069015</v>
      </c>
      <c r="BB1284" s="2">
        <f t="shared" ca="1" si="1292"/>
        <v>1092063.5931613804</v>
      </c>
      <c r="BC1284" s="2">
        <f t="shared" ca="1" si="1293"/>
        <v>26461564.380191181</v>
      </c>
      <c r="BD1284" s="2">
        <f t="shared" ca="1" si="1294"/>
        <v>-19660099.110007491</v>
      </c>
      <c r="BE1284" s="2">
        <f t="shared" ca="1" si="1295"/>
        <v>1890616.052653545</v>
      </c>
      <c r="BF1284" s="2">
        <f t="shared" ca="1" si="1296"/>
        <v>1983210.3534759344</v>
      </c>
      <c r="BG1284" s="2">
        <f t="shared" ca="1" si="1297"/>
        <v>2092957.5175657128</v>
      </c>
      <c r="BH1284" s="2">
        <f t="shared" ca="1" si="1298"/>
        <v>2205887.0756693794</v>
      </c>
      <c r="BI1284" s="2">
        <f t="shared" ca="1" si="1299"/>
        <v>28783655.689466607</v>
      </c>
      <c r="BJ1284" s="2">
        <f t="shared" ca="1" si="1300"/>
        <v>0.15589657924560041</v>
      </c>
      <c r="BK1284" s="2">
        <f t="shared" ca="1" si="1301"/>
        <v>2833180.2686755322</v>
      </c>
    </row>
    <row r="1285" spans="1:63" x14ac:dyDescent="0.3">
      <c r="A1285" s="2">
        <v>1284</v>
      </c>
      <c r="B1285" s="2">
        <f t="shared" ca="1" si="1240"/>
        <v>0.74714570199890096</v>
      </c>
      <c r="C1285" s="2">
        <f t="shared" ca="1" si="1241"/>
        <v>7.2888680881846195</v>
      </c>
      <c r="D1285" s="2">
        <f t="shared" ca="1" si="1242"/>
        <v>0.27513309337194114</v>
      </c>
      <c r="E1285" s="2">
        <f t="shared" ca="1" si="1243"/>
        <v>7.2417992900669841</v>
      </c>
      <c r="F1285" s="2">
        <f t="shared" ca="1" si="1244"/>
        <v>0.15949413066083418</v>
      </c>
      <c r="G1285" s="2">
        <f t="shared" ca="1" si="1245"/>
        <v>1.0103825901580456E-2</v>
      </c>
      <c r="H1285" s="2">
        <f t="shared" ca="1" si="1246"/>
        <v>1.0103825901580456E-2</v>
      </c>
      <c r="I1285" s="2">
        <f t="shared" ca="1" si="1247"/>
        <v>0.62872700872570764</v>
      </c>
      <c r="J1285" s="2">
        <f t="shared" ca="1" si="1248"/>
        <v>1.1642418395215771E-2</v>
      </c>
      <c r="K1285" s="2">
        <f t="shared" ca="1" si="1249"/>
        <v>1.1642418395215771E-2</v>
      </c>
      <c r="L1285" s="2">
        <f t="shared" ca="1" si="1250"/>
        <v>0.38621337162264635</v>
      </c>
      <c r="M1285" s="2">
        <f t="shared" ca="1" si="1251"/>
        <v>-5.7840415209643673E-3</v>
      </c>
      <c r="N1285" s="2">
        <f t="shared" ca="1" si="1252"/>
        <v>-5.7840415209643673E-3</v>
      </c>
      <c r="O1285" s="2">
        <f t="shared" si="1253"/>
        <v>6000000</v>
      </c>
      <c r="P1285" s="2">
        <f t="shared" ca="1" si="1254"/>
        <v>43733208.52910772</v>
      </c>
      <c r="Q1285" s="2">
        <f t="shared" ca="1" si="1255"/>
        <v>1093330.213227693</v>
      </c>
      <c r="R1285" s="2">
        <f t="shared" ca="1" si="1256"/>
        <v>26239925.117464632</v>
      </c>
      <c r="S1285" s="2">
        <f t="shared" ca="1" si="1257"/>
        <v>17493283.411643088</v>
      </c>
      <c r="T1285" s="2">
        <f t="shared" ca="1" si="1258"/>
        <v>49710797.923951782</v>
      </c>
      <c r="U1285" s="2">
        <f t="shared" ca="1" si="1259"/>
        <v>50213067.171604037</v>
      </c>
      <c r="V1285" s="2">
        <f t="shared" ca="1" si="1260"/>
        <v>50720411.260290287</v>
      </c>
      <c r="W1285" s="2">
        <f t="shared" ca="1" si="1261"/>
        <v>51232881.465320818</v>
      </c>
      <c r="X1285" s="2">
        <f t="shared" ca="1" si="1262"/>
        <v>51750529.580082729</v>
      </c>
      <c r="Y1285" s="2">
        <f t="shared" ca="1" si="1263"/>
        <v>0.12582120919760789</v>
      </c>
      <c r="Z1285" s="2">
        <f t="shared" ca="1" si="1264"/>
        <v>0.12814969287665104</v>
      </c>
      <c r="AA1285" s="2">
        <f t="shared" ca="1" si="1265"/>
        <v>6254672.7049695496</v>
      </c>
      <c r="AB1285" s="2">
        <f t="shared" ca="1" si="1266"/>
        <v>6434789.1364357062</v>
      </c>
      <c r="AC1285" s="2">
        <f t="shared" ca="1" si="1267"/>
        <v>6499805.1255836338</v>
      </c>
      <c r="AD1285" s="2">
        <f t="shared" ca="1" si="1268"/>
        <v>6565478.0249667307</v>
      </c>
      <c r="AE1285" s="2">
        <f t="shared" ca="1" si="1269"/>
        <v>6631814.4718916463</v>
      </c>
      <c r="AF1285" s="2">
        <f t="shared" ca="1" si="1270"/>
        <v>994215.95847903565</v>
      </c>
      <c r="AG1285" s="2">
        <f t="shared" ca="1" si="1271"/>
        <v>1004261.3434320808</v>
      </c>
      <c r="AH1285" s="2">
        <f t="shared" ca="1" si="1272"/>
        <v>1014408.2252058057</v>
      </c>
      <c r="AI1285" s="2">
        <f t="shared" ca="1" si="1273"/>
        <v>1024657.6293064164</v>
      </c>
      <c r="AJ1285" s="2">
        <f t="shared" ca="1" si="1274"/>
        <v>1035010.5916016547</v>
      </c>
      <c r="AK1285" s="2">
        <f t="shared" ca="1" si="1275"/>
        <v>0</v>
      </c>
      <c r="AL1285" s="2">
        <f t="shared" ca="1" si="1276"/>
        <v>5022.6924765225504</v>
      </c>
      <c r="AM1285" s="2">
        <f t="shared" ca="1" si="1277"/>
        <v>5073.4408868625014</v>
      </c>
      <c r="AN1285" s="2">
        <f t="shared" ca="1" si="1278"/>
        <v>5124.7020503053072</v>
      </c>
      <c r="AO1285" s="2">
        <f t="shared" ca="1" si="1279"/>
        <v>5176.4811476191135</v>
      </c>
      <c r="AP1285" s="2">
        <f t="shared" ca="1" si="1280"/>
        <v>2361593.2605718169</v>
      </c>
      <c r="AQ1285" s="2">
        <f t="shared" ca="1" si="1281"/>
        <v>753704.50633886119</v>
      </c>
      <c r="AR1285" s="2">
        <f t="shared" ca="1" si="1282"/>
        <v>797922.97843227023</v>
      </c>
      <c r="AS1285" s="2">
        <f t="shared" ca="1" si="1283"/>
        <v>812188.94634956284</v>
      </c>
      <c r="AT1285" s="2">
        <f t="shared" ca="1" si="1284"/>
        <v>826599.05512300949</v>
      </c>
      <c r="AU1285" s="2">
        <f t="shared" ca="1" si="1285"/>
        <v>841154.76112672535</v>
      </c>
      <c r="AV1285" s="2">
        <f t="shared" ca="1" si="1286"/>
        <v>2145158.9795798361</v>
      </c>
      <c r="AW1285" s="2">
        <f t="shared" ca="1" si="1287"/>
        <v>2265988.8615230154</v>
      </c>
      <c r="AX1285" s="2">
        <f t="shared" ca="1" si="1288"/>
        <v>2306541.2525695851</v>
      </c>
      <c r="AY1285" s="2">
        <f t="shared" ca="1" si="1289"/>
        <v>2347503.3779151831</v>
      </c>
      <c r="AZ1285" s="2">
        <f t="shared" ca="1" si="1290"/>
        <v>2388879.3774438305</v>
      </c>
      <c r="BA1285" s="2">
        <f t="shared" ca="1" si="1291"/>
        <v>48026269.334400877</v>
      </c>
      <c r="BB1285" s="2">
        <f t="shared" ca="1" si="1292"/>
        <v>960525.38668801752</v>
      </c>
      <c r="BC1285" s="2">
        <f t="shared" ca="1" si="1293"/>
        <v>20825818.830248229</v>
      </c>
      <c r="BD1285" s="2">
        <f t="shared" ca="1" si="1294"/>
        <v>-19086613.624870781</v>
      </c>
      <c r="BE1285" s="2">
        <f t="shared" ca="1" si="1295"/>
        <v>2145158.9795798361</v>
      </c>
      <c r="BF1285" s="2">
        <f t="shared" ca="1" si="1296"/>
        <v>2265988.8615230154</v>
      </c>
      <c r="BG1285" s="2">
        <f t="shared" ca="1" si="1297"/>
        <v>2306541.2525695851</v>
      </c>
      <c r="BH1285" s="2">
        <f t="shared" ca="1" si="1298"/>
        <v>2347503.3779151831</v>
      </c>
      <c r="BI1285" s="2">
        <f t="shared" ca="1" si="1299"/>
        <v>23214698.207692061</v>
      </c>
      <c r="BJ1285" s="2">
        <f t="shared" ca="1" si="1300"/>
        <v>0.13323945260916892</v>
      </c>
      <c r="BK1285" s="2">
        <f t="shared" ca="1" si="1301"/>
        <v>941413.89019041508</v>
      </c>
    </row>
    <row r="1286" spans="1:63" x14ac:dyDescent="0.3">
      <c r="A1286" s="2">
        <v>1285</v>
      </c>
      <c r="B1286" s="2">
        <f t="shared" ca="1" si="1240"/>
        <v>0.47326380537932522</v>
      </c>
      <c r="C1286" s="2">
        <f t="shared" ca="1" si="1241"/>
        <v>6.9728965056770686</v>
      </c>
      <c r="D1286" s="2">
        <f t="shared" ca="1" si="1242"/>
        <v>0.40631738412178608</v>
      </c>
      <c r="E1286" s="2">
        <f t="shared" ca="1" si="1243"/>
        <v>7.4014625717374916</v>
      </c>
      <c r="F1286" s="2">
        <f t="shared" ca="1" si="1244"/>
        <v>0.47343962627774394</v>
      </c>
      <c r="G1286" s="2">
        <f t="shared" ca="1" si="1245"/>
        <v>3.8001212683170679E-2</v>
      </c>
      <c r="H1286" s="2">
        <f t="shared" ca="1" si="1246"/>
        <v>3.8001212683170679E-2</v>
      </c>
      <c r="I1286" s="2">
        <f t="shared" ca="1" si="1247"/>
        <v>0.10809030243845352</v>
      </c>
      <c r="J1286" s="2">
        <f t="shared" ca="1" si="1248"/>
        <v>3.8162593580149048E-3</v>
      </c>
      <c r="K1286" s="2">
        <f t="shared" ca="1" si="1249"/>
        <v>3.8162593580149048E-3</v>
      </c>
      <c r="L1286" s="2">
        <f t="shared" ca="1" si="1250"/>
        <v>0.13317974851708958</v>
      </c>
      <c r="M1286" s="2">
        <f t="shared" ca="1" si="1251"/>
        <v>-2.2229706789980399E-2</v>
      </c>
      <c r="N1286" s="2">
        <f t="shared" ca="1" si="1252"/>
        <v>-2.2229706789980399E-2</v>
      </c>
      <c r="O1286" s="2">
        <f t="shared" si="1253"/>
        <v>6000000</v>
      </c>
      <c r="P1286" s="2">
        <f t="shared" ca="1" si="1254"/>
        <v>41837379.034062415</v>
      </c>
      <c r="Q1286" s="2">
        <f t="shared" ca="1" si="1255"/>
        <v>1045934.4758515605</v>
      </c>
      <c r="R1286" s="2">
        <f t="shared" ca="1" si="1256"/>
        <v>25102427.420437448</v>
      </c>
      <c r="S1286" s="2">
        <f t="shared" ca="1" si="1257"/>
        <v>16734951.613624968</v>
      </c>
      <c r="T1286" s="2">
        <f t="shared" ca="1" si="1258"/>
        <v>48888514.660500981</v>
      </c>
      <c r="U1286" s="2">
        <f t="shared" ca="1" si="1259"/>
        <v>50746337.503878981</v>
      </c>
      <c r="V1286" s="2">
        <f t="shared" ca="1" si="1260"/>
        <v>52674759.868255839</v>
      </c>
      <c r="W1286" s="2">
        <f t="shared" ca="1" si="1261"/>
        <v>54676464.621044368</v>
      </c>
      <c r="X1286" s="2">
        <f t="shared" ca="1" si="1262"/>
        <v>56754236.581872523</v>
      </c>
      <c r="Y1286" s="2">
        <f t="shared" ca="1" si="1263"/>
        <v>0.12190812967900745</v>
      </c>
      <c r="Z1286" s="2">
        <f t="shared" ca="1" si="1264"/>
        <v>0.12267138155061043</v>
      </c>
      <c r="AA1286" s="2">
        <f t="shared" ca="1" si="1265"/>
        <v>5959907.3850464104</v>
      </c>
      <c r="AB1286" s="2">
        <f t="shared" ca="1" si="1266"/>
        <v>6225123.3302343898</v>
      </c>
      <c r="AC1286" s="2">
        <f t="shared" ca="1" si="1267"/>
        <v>6461685.5658855941</v>
      </c>
      <c r="AD1286" s="2">
        <f t="shared" ca="1" si="1268"/>
        <v>6707237.453366586</v>
      </c>
      <c r="AE1286" s="2">
        <f t="shared" ca="1" si="1269"/>
        <v>6962120.6103484966</v>
      </c>
      <c r="AF1286" s="2">
        <f t="shared" ca="1" si="1270"/>
        <v>977770.29321001959</v>
      </c>
      <c r="AG1286" s="2">
        <f t="shared" ca="1" si="1271"/>
        <v>1014926.7500775796</v>
      </c>
      <c r="AH1286" s="2">
        <f t="shared" ca="1" si="1272"/>
        <v>1053495.1973651168</v>
      </c>
      <c r="AI1286" s="2">
        <f t="shared" ca="1" si="1273"/>
        <v>1093529.2924208874</v>
      </c>
      <c r="AJ1286" s="2">
        <f t="shared" ca="1" si="1274"/>
        <v>1135084.7316374504</v>
      </c>
      <c r="AK1286" s="2">
        <f t="shared" ca="1" si="1275"/>
        <v>0</v>
      </c>
      <c r="AL1286" s="2">
        <f t="shared" ca="1" si="1276"/>
        <v>18578.228433780001</v>
      </c>
      <c r="AM1286" s="2">
        <f t="shared" ca="1" si="1277"/>
        <v>19284.223643768579</v>
      </c>
      <c r="AN1286" s="2">
        <f t="shared" ca="1" si="1278"/>
        <v>20017.04752788529</v>
      </c>
      <c r="AO1286" s="2">
        <f t="shared" ca="1" si="1279"/>
        <v>20777.719608281554</v>
      </c>
      <c r="AP1286" s="2">
        <f t="shared" ca="1" si="1280"/>
        <v>2259218.46783937</v>
      </c>
      <c r="AQ1286" s="2">
        <f t="shared" ca="1" si="1281"/>
        <v>707958.84223922552</v>
      </c>
      <c r="AR1286" s="2">
        <f t="shared" ca="1" si="1282"/>
        <v>767254.30920253461</v>
      </c>
      <c r="AS1286" s="2">
        <f t="shared" ca="1" si="1283"/>
        <v>818732.69417708809</v>
      </c>
      <c r="AT1286" s="2">
        <f t="shared" ca="1" si="1284"/>
        <v>872167.32020764542</v>
      </c>
      <c r="AU1286" s="2">
        <f t="shared" ca="1" si="1285"/>
        <v>927632.52682663593</v>
      </c>
      <c r="AV1286" s="2">
        <f t="shared" ca="1" si="1286"/>
        <v>2014959.7817577957</v>
      </c>
      <c r="AW1286" s="2">
        <f t="shared" ca="1" si="1287"/>
        <v>2165145.5746811251</v>
      </c>
      <c r="AX1286" s="2">
        <f t="shared" ca="1" si="1288"/>
        <v>2310954.9828602509</v>
      </c>
      <c r="AY1286" s="2">
        <f t="shared" ca="1" si="1289"/>
        <v>2462305.3253707984</v>
      </c>
      <c r="AZ1286" s="2">
        <f t="shared" ca="1" si="1290"/>
        <v>2619407.164436759</v>
      </c>
      <c r="BA1286" s="2">
        <f t="shared" ca="1" si="1291"/>
        <v>51529875.117416576</v>
      </c>
      <c r="BB1286" s="2">
        <f t="shared" ca="1" si="1292"/>
        <v>1030597.5023483315</v>
      </c>
      <c r="BC1286" s="2">
        <f t="shared" ca="1" si="1293"/>
        <v>25396850.194630798</v>
      </c>
      <c r="BD1286" s="2">
        <f t="shared" ca="1" si="1294"/>
        <v>-18280886.08947653</v>
      </c>
      <c r="BE1286" s="2">
        <f t="shared" ca="1" si="1295"/>
        <v>2014959.7817577957</v>
      </c>
      <c r="BF1286" s="2">
        <f t="shared" ca="1" si="1296"/>
        <v>2165145.5746811251</v>
      </c>
      <c r="BG1286" s="2">
        <f t="shared" ca="1" si="1297"/>
        <v>2310954.9828602509</v>
      </c>
      <c r="BH1286" s="2">
        <f t="shared" ca="1" si="1298"/>
        <v>2462305.3253707984</v>
      </c>
      <c r="BI1286" s="2">
        <f t="shared" ca="1" si="1299"/>
        <v>28016257.359067556</v>
      </c>
      <c r="BJ1286" s="2">
        <f t="shared" ca="1" si="1300"/>
        <v>0.1785080390974636</v>
      </c>
      <c r="BK1286" s="2">
        <f t="shared" ca="1" si="1301"/>
        <v>4351134.4218485728</v>
      </c>
    </row>
    <row r="1287" spans="1:63" x14ac:dyDescent="0.3">
      <c r="A1287" s="2">
        <v>1286</v>
      </c>
      <c r="B1287" s="2">
        <f t="shared" ca="1" si="1240"/>
        <v>4.7189947182345038E-2</v>
      </c>
      <c r="C1287" s="2">
        <f t="shared" ca="1" si="1241"/>
        <v>6.3072131090378303</v>
      </c>
      <c r="D1287" s="2">
        <f t="shared" ca="1" si="1242"/>
        <v>0.96530608265744255</v>
      </c>
      <c r="E1287" s="2">
        <f t="shared" ca="1" si="1243"/>
        <v>8.2365842930174527</v>
      </c>
      <c r="F1287" s="2">
        <f t="shared" ca="1" si="1244"/>
        <v>0.61039092867149425</v>
      </c>
      <c r="G1287" s="2">
        <f t="shared" ca="1" si="1245"/>
        <v>4.8410142215503355E-2</v>
      </c>
      <c r="H1287" s="2">
        <f t="shared" ca="1" si="1246"/>
        <v>4.8410142215503355E-2</v>
      </c>
      <c r="I1287" s="2">
        <f t="shared" ca="1" si="1247"/>
        <v>0.67925259306641272</v>
      </c>
      <c r="J1287" s="2">
        <f t="shared" ca="1" si="1248"/>
        <v>1.2328049091355455E-2</v>
      </c>
      <c r="K1287" s="2">
        <f t="shared" ca="1" si="1249"/>
        <v>1.2328049091355455E-2</v>
      </c>
      <c r="L1287" s="2">
        <f t="shared" ca="1" si="1250"/>
        <v>6.6728148665701315E-2</v>
      </c>
      <c r="M1287" s="2">
        <f t="shared" ca="1" si="1251"/>
        <v>-3.0012212829892488E-2</v>
      </c>
      <c r="N1287" s="2">
        <f t="shared" ca="1" si="1252"/>
        <v>-3.0012212829892488E-2</v>
      </c>
      <c r="O1287" s="2">
        <f t="shared" si="1253"/>
        <v>6000000</v>
      </c>
      <c r="P1287" s="2">
        <f t="shared" ca="1" si="1254"/>
        <v>37843278.654226981</v>
      </c>
      <c r="Q1287" s="2">
        <f t="shared" ca="1" si="1255"/>
        <v>946081.96635567455</v>
      </c>
      <c r="R1287" s="2">
        <f t="shared" ca="1" si="1256"/>
        <v>22705967.192536186</v>
      </c>
      <c r="S1287" s="2">
        <f t="shared" ca="1" si="1257"/>
        <v>15137311.461690793</v>
      </c>
      <c r="T1287" s="2">
        <f t="shared" ca="1" si="1258"/>
        <v>48499389.358505376</v>
      </c>
      <c r="U1287" s="2">
        <f t="shared" ca="1" si="1259"/>
        <v>50847251.694715694</v>
      </c>
      <c r="V1287" s="2">
        <f t="shared" ca="1" si="1260"/>
        <v>53308774.380524382</v>
      </c>
      <c r="W1287" s="2">
        <f t="shared" ca="1" si="1261"/>
        <v>55889459.729619756</v>
      </c>
      <c r="X1287" s="2">
        <f t="shared" ca="1" si="1262"/>
        <v>58595076.423478298</v>
      </c>
      <c r="Y1287" s="2">
        <f t="shared" ca="1" si="1263"/>
        <v>0.12616402454567771</v>
      </c>
      <c r="Z1287" s="2">
        <f t="shared" ca="1" si="1264"/>
        <v>0.12862963436394881</v>
      </c>
      <c r="AA1287" s="2">
        <f t="shared" ca="1" si="1265"/>
        <v>6118878.1494768523</v>
      </c>
      <c r="AB1287" s="2">
        <f t="shared" ca="1" si="1266"/>
        <v>6540463.3939029565</v>
      </c>
      <c r="AC1287" s="2">
        <f t="shared" ca="1" si="1267"/>
        <v>6857088.1569570927</v>
      </c>
      <c r="AD1287" s="2">
        <f t="shared" ca="1" si="1268"/>
        <v>7189040.7698196303</v>
      </c>
      <c r="AE1287" s="2">
        <f t="shared" ca="1" si="1269"/>
        <v>7537063.2558796508</v>
      </c>
      <c r="AF1287" s="2">
        <f t="shared" ca="1" si="1270"/>
        <v>969987.78717010748</v>
      </c>
      <c r="AG1287" s="2">
        <f t="shared" ca="1" si="1271"/>
        <v>1016945.0338943138</v>
      </c>
      <c r="AH1287" s="2">
        <f t="shared" ca="1" si="1272"/>
        <v>1066175.4876104877</v>
      </c>
      <c r="AI1287" s="2">
        <f t="shared" ca="1" si="1273"/>
        <v>1117789.1945923951</v>
      </c>
      <c r="AJ1287" s="2">
        <f t="shared" ca="1" si="1274"/>
        <v>1171901.528469566</v>
      </c>
      <c r="AK1287" s="2">
        <f t="shared" ca="1" si="1275"/>
        <v>0</v>
      </c>
      <c r="AL1287" s="2">
        <f t="shared" ca="1" si="1276"/>
        <v>23478.623362103179</v>
      </c>
      <c r="AM1287" s="2">
        <f t="shared" ca="1" si="1277"/>
        <v>24615.226858086884</v>
      </c>
      <c r="AN1287" s="2">
        <f t="shared" ca="1" si="1278"/>
        <v>25806.853490953745</v>
      </c>
      <c r="AO1287" s="2">
        <f t="shared" ca="1" si="1279"/>
        <v>27056.166938585415</v>
      </c>
      <c r="AP1287" s="2">
        <f t="shared" ca="1" si="1280"/>
        <v>2043537.0473282568</v>
      </c>
      <c r="AQ1287" s="2">
        <f t="shared" ca="1" si="1281"/>
        <v>807391.86189440684</v>
      </c>
      <c r="AR1287" s="2">
        <f t="shared" ca="1" si="1282"/>
        <v>904795.14129690034</v>
      </c>
      <c r="AS1287" s="2">
        <f t="shared" ca="1" si="1283"/>
        <v>974317.66172477033</v>
      </c>
      <c r="AT1287" s="2">
        <f t="shared" ca="1" si="1284"/>
        <v>1047205.7772537344</v>
      </c>
      <c r="AU1287" s="2">
        <f t="shared" ca="1" si="1285"/>
        <v>1123622.4168212751</v>
      </c>
      <c r="AV1287" s="2">
        <f t="shared" ca="1" si="1286"/>
        <v>2297961.4530840805</v>
      </c>
      <c r="AW1287" s="2">
        <f t="shared" ca="1" si="1287"/>
        <v>2551707.5480213827</v>
      </c>
      <c r="AX1287" s="2">
        <f t="shared" ca="1" si="1288"/>
        <v>2748442.7334354902</v>
      </c>
      <c r="AY1287" s="2">
        <f t="shared" ca="1" si="1289"/>
        <v>2954701.8971542912</v>
      </c>
      <c r="AZ1287" s="2">
        <f t="shared" ca="1" si="1290"/>
        <v>3170946.0963219674</v>
      </c>
      <c r="BA1287" s="2">
        <f t="shared" ca="1" si="1291"/>
        <v>62079656.82885731</v>
      </c>
      <c r="BB1287" s="2">
        <f t="shared" ca="1" si="1292"/>
        <v>1241593.1365771461</v>
      </c>
      <c r="BC1287" s="2">
        <f t="shared" ca="1" si="1293"/>
        <v>38132096.499743983</v>
      </c>
      <c r="BD1287" s="2">
        <f t="shared" ca="1" si="1294"/>
        <v>-16583393.428046467</v>
      </c>
      <c r="BE1287" s="2">
        <f t="shared" ca="1" si="1295"/>
        <v>2297961.4530840805</v>
      </c>
      <c r="BF1287" s="2">
        <f t="shared" ca="1" si="1296"/>
        <v>2551707.5480213827</v>
      </c>
      <c r="BG1287" s="2">
        <f t="shared" ca="1" si="1297"/>
        <v>2748442.7334354902</v>
      </c>
      <c r="BH1287" s="2">
        <f t="shared" ca="1" si="1298"/>
        <v>2954701.8971542912</v>
      </c>
      <c r="BI1287" s="2">
        <f t="shared" ca="1" si="1299"/>
        <v>41303042.596065953</v>
      </c>
      <c r="BJ1287" s="2">
        <f t="shared" ca="1" si="1300"/>
        <v>0.30198391123688739</v>
      </c>
      <c r="BK1287" s="2">
        <f t="shared" ca="1" si="1301"/>
        <v>14773072.817674758</v>
      </c>
    </row>
    <row r="1288" spans="1:63" x14ac:dyDescent="0.3">
      <c r="A1288" s="2">
        <v>1287</v>
      </c>
      <c r="B1288" s="2">
        <f t="shared" ca="1" si="1240"/>
        <v>0.63367885897842291</v>
      </c>
      <c r="C1288" s="2">
        <f t="shared" ca="1" si="1241"/>
        <v>7.1440547435477235</v>
      </c>
      <c r="D1288" s="2">
        <f t="shared" ca="1" si="1242"/>
        <v>0.14623724637389512</v>
      </c>
      <c r="E1288" s="2">
        <f t="shared" ca="1" si="1243"/>
        <v>7.0408091093424652</v>
      </c>
      <c r="F1288" s="2">
        <f t="shared" ca="1" si="1244"/>
        <v>0.83734016373746245</v>
      </c>
      <c r="G1288" s="2">
        <f t="shared" ca="1" si="1245"/>
        <v>6.9507545781715377E-2</v>
      </c>
      <c r="H1288" s="2">
        <f t="shared" ca="1" si="1246"/>
        <v>6.9507545781715377E-2</v>
      </c>
      <c r="I1288" s="2">
        <f t="shared" ca="1" si="1247"/>
        <v>0.98360931530119877</v>
      </c>
      <c r="J1288" s="2">
        <f t="shared" ca="1" si="1248"/>
        <v>2.0673754101299791E-2</v>
      </c>
      <c r="K1288" s="2">
        <f t="shared" ca="1" si="1249"/>
        <v>2.0673754101299791E-2</v>
      </c>
      <c r="L1288" s="2">
        <f t="shared" ca="1" si="1250"/>
        <v>0.7237936362699039</v>
      </c>
      <c r="M1288" s="2">
        <f t="shared" ca="1" si="1251"/>
        <v>1.1882972005135318E-2</v>
      </c>
      <c r="N1288" s="2">
        <f t="shared" ca="1" si="1252"/>
        <v>1.1882972005135318E-2</v>
      </c>
      <c r="O1288" s="2">
        <f t="shared" si="1253"/>
        <v>6000000</v>
      </c>
      <c r="P1288" s="2">
        <f t="shared" ca="1" si="1254"/>
        <v>42864328.461286344</v>
      </c>
      <c r="Q1288" s="2">
        <f t="shared" ca="1" si="1255"/>
        <v>1071608.2115321585</v>
      </c>
      <c r="R1288" s="2">
        <f t="shared" ca="1" si="1256"/>
        <v>25718597.076771807</v>
      </c>
      <c r="S1288" s="2">
        <f t="shared" ca="1" si="1257"/>
        <v>17145731.384514537</v>
      </c>
      <c r="T1288" s="2">
        <f t="shared" ca="1" si="1258"/>
        <v>50594148.600256763</v>
      </c>
      <c r="U1288" s="2">
        <f t="shared" ca="1" si="1259"/>
        <v>54110823.700376019</v>
      </c>
      <c r="V1288" s="2">
        <f t="shared" ca="1" si="1260"/>
        <v>57871934.256016232</v>
      </c>
      <c r="W1288" s="2">
        <f t="shared" ca="1" si="1261"/>
        <v>61894470.375792705</v>
      </c>
      <c r="X1288" s="2">
        <f t="shared" ca="1" si="1262"/>
        <v>66196603.10907314</v>
      </c>
      <c r="Y1288" s="2">
        <f t="shared" ca="1" si="1263"/>
        <v>0.13033687705064989</v>
      </c>
      <c r="Z1288" s="2">
        <f t="shared" ca="1" si="1264"/>
        <v>0.13447162787090985</v>
      </c>
      <c r="AA1288" s="2">
        <f t="shared" ca="1" si="1265"/>
        <v>6594283.3255939763</v>
      </c>
      <c r="AB1288" s="2">
        <f t="shared" ca="1" si="1266"/>
        <v>7276370.5484253736</v>
      </c>
      <c r="AC1288" s="2">
        <f t="shared" ca="1" si="1267"/>
        <v>7782133.2074447749</v>
      </c>
      <c r="AD1288" s="2">
        <f t="shared" ca="1" si="1268"/>
        <v>8323050.1876406502</v>
      </c>
      <c r="AE1288" s="2">
        <f t="shared" ca="1" si="1269"/>
        <v>8901564.9796015974</v>
      </c>
      <c r="AF1288" s="2">
        <f t="shared" ca="1" si="1270"/>
        <v>1011882.9720051353</v>
      </c>
      <c r="AG1288" s="2">
        <f t="shared" ca="1" si="1271"/>
        <v>1082216.4740075204</v>
      </c>
      <c r="AH1288" s="2">
        <f t="shared" ca="1" si="1272"/>
        <v>1157438.6851203246</v>
      </c>
      <c r="AI1288" s="2">
        <f t="shared" ca="1" si="1273"/>
        <v>1237889.4075158541</v>
      </c>
      <c r="AJ1288" s="2">
        <f t="shared" ca="1" si="1274"/>
        <v>1323932.0621814628</v>
      </c>
      <c r="AK1288" s="2">
        <f t="shared" ca="1" si="1275"/>
        <v>0</v>
      </c>
      <c r="AL1288" s="2">
        <f t="shared" ca="1" si="1276"/>
        <v>35166.751001192555</v>
      </c>
      <c r="AM1288" s="2">
        <f t="shared" ca="1" si="1277"/>
        <v>37611.10555640213</v>
      </c>
      <c r="AN1288" s="2">
        <f t="shared" ca="1" si="1278"/>
        <v>40225.361197764723</v>
      </c>
      <c r="AO1288" s="2">
        <f t="shared" ca="1" si="1279"/>
        <v>43021.327332804351</v>
      </c>
      <c r="AP1288" s="2">
        <f t="shared" ca="1" si="1280"/>
        <v>2314673.7369094626</v>
      </c>
      <c r="AQ1288" s="2">
        <f t="shared" ca="1" si="1281"/>
        <v>849608.92033663834</v>
      </c>
      <c r="AR1288" s="2">
        <f t="shared" ca="1" si="1282"/>
        <v>1008664.8877521817</v>
      </c>
      <c r="AS1288" s="2">
        <f t="shared" ca="1" si="1283"/>
        <v>1120605.4042078969</v>
      </c>
      <c r="AT1288" s="2">
        <f t="shared" ca="1" si="1284"/>
        <v>1240326.6312359869</v>
      </c>
      <c r="AU1288" s="2">
        <f t="shared" ca="1" si="1285"/>
        <v>1368369.3869327747</v>
      </c>
      <c r="AV1288" s="2">
        <f t="shared" ca="1" si="1286"/>
        <v>2418117.6963427397</v>
      </c>
      <c r="AW1288" s="2">
        <f t="shared" ca="1" si="1287"/>
        <v>2835648.698755017</v>
      </c>
      <c r="AX1288" s="2">
        <f t="shared" ca="1" si="1288"/>
        <v>3151804.2756506889</v>
      </c>
      <c r="AY1288" s="2">
        <f t="shared" ca="1" si="1289"/>
        <v>3489935.050781582</v>
      </c>
      <c r="AZ1288" s="2">
        <f t="shared" ca="1" si="1290"/>
        <v>3851568.4662450938</v>
      </c>
      <c r="BA1288" s="2">
        <f t="shared" ca="1" si="1291"/>
        <v>62674219.795782804</v>
      </c>
      <c r="BB1288" s="2">
        <f t="shared" ca="1" si="1292"/>
        <v>1253484.3959156561</v>
      </c>
      <c r="BC1288" s="2">
        <f t="shared" ca="1" si="1293"/>
        <v>35702138.323095337</v>
      </c>
      <c r="BD1288" s="2">
        <f t="shared" ca="1" si="1294"/>
        <v>-18717339.596046694</v>
      </c>
      <c r="BE1288" s="2">
        <f t="shared" ca="1" si="1295"/>
        <v>2418117.6963427397</v>
      </c>
      <c r="BF1288" s="2">
        <f t="shared" ca="1" si="1296"/>
        <v>2835648.698755017</v>
      </c>
      <c r="BG1288" s="2">
        <f t="shared" ca="1" si="1297"/>
        <v>3151804.2756506889</v>
      </c>
      <c r="BH1288" s="2">
        <f t="shared" ca="1" si="1298"/>
        <v>3489935.050781582</v>
      </c>
      <c r="BI1288" s="2">
        <f t="shared" ca="1" si="1299"/>
        <v>39553706.789340429</v>
      </c>
      <c r="BJ1288" s="2">
        <f t="shared" ca="1" si="1300"/>
        <v>0.26660105883977092</v>
      </c>
      <c r="BK1288" s="2">
        <f t="shared" ca="1" si="1301"/>
        <v>12607400.164038431</v>
      </c>
    </row>
    <row r="1289" spans="1:63" x14ac:dyDescent="0.3">
      <c r="A1289" s="2">
        <v>1288</v>
      </c>
      <c r="B1289" s="2">
        <f t="shared" ca="1" si="1240"/>
        <v>0.93191457581106896</v>
      </c>
      <c r="C1289" s="2">
        <f t="shared" ca="1" si="1241"/>
        <v>7.6309866555558425</v>
      </c>
      <c r="D1289" s="2">
        <f t="shared" ca="1" si="1242"/>
        <v>0.72543842741897635</v>
      </c>
      <c r="E1289" s="2">
        <f t="shared" ca="1" si="1243"/>
        <v>7.7589715625146045</v>
      </c>
      <c r="F1289" s="2">
        <f t="shared" ca="1" si="1244"/>
        <v>0.32485722909882497</v>
      </c>
      <c r="G1289" s="2">
        <f t="shared" ca="1" si="1245"/>
        <v>2.6375232824134485E-2</v>
      </c>
      <c r="H1289" s="2">
        <f t="shared" ca="1" si="1246"/>
        <v>2.6375232824134485E-2</v>
      </c>
      <c r="I1289" s="2">
        <f t="shared" ca="1" si="1247"/>
        <v>0.66862519535345988</v>
      </c>
      <c r="J1289" s="2">
        <f t="shared" ca="1" si="1248"/>
        <v>1.218060039820465E-2</v>
      </c>
      <c r="K1289" s="2">
        <f t="shared" ca="1" si="1249"/>
        <v>1.218060039820465E-2</v>
      </c>
      <c r="L1289" s="2">
        <f t="shared" ca="1" si="1250"/>
        <v>0.1305237117968413</v>
      </c>
      <c r="M1289" s="2">
        <f t="shared" ca="1" si="1251"/>
        <v>-2.2478378423234479E-2</v>
      </c>
      <c r="N1289" s="2">
        <f t="shared" ca="1" si="1252"/>
        <v>-2.2478378423234479E-2</v>
      </c>
      <c r="O1289" s="2">
        <f t="shared" si="1253"/>
        <v>6000000</v>
      </c>
      <c r="P1289" s="2">
        <f t="shared" ca="1" si="1254"/>
        <v>45785919.933335058</v>
      </c>
      <c r="Q1289" s="2">
        <f t="shared" ca="1" si="1255"/>
        <v>1144647.9983333766</v>
      </c>
      <c r="R1289" s="2">
        <f t="shared" ca="1" si="1256"/>
        <v>27471551.960001033</v>
      </c>
      <c r="S1289" s="2">
        <f t="shared" ca="1" si="1257"/>
        <v>18314367.973334026</v>
      </c>
      <c r="T1289" s="2">
        <f t="shared" ca="1" si="1258"/>
        <v>48876081.078838274</v>
      </c>
      <c r="U1289" s="2">
        <f t="shared" ca="1" si="1259"/>
        <v>50165199.096823908</v>
      </c>
      <c r="V1289" s="2">
        <f t="shared" ca="1" si="1260"/>
        <v>51488317.902671695</v>
      </c>
      <c r="W1289" s="2">
        <f t="shared" ca="1" si="1261"/>
        <v>52846334.275077708</v>
      </c>
      <c r="X1289" s="2">
        <f t="shared" ca="1" si="1262"/>
        <v>54240168.645484917</v>
      </c>
      <c r="Y1289" s="2">
        <f t="shared" ca="1" si="1263"/>
        <v>0.12609030019910233</v>
      </c>
      <c r="Z1289" s="2">
        <f t="shared" ca="1" si="1264"/>
        <v>0.12852642027874325</v>
      </c>
      <c r="AA1289" s="2">
        <f t="shared" ca="1" si="1265"/>
        <v>6162799.735786383</v>
      </c>
      <c r="AB1289" s="2">
        <f t="shared" ca="1" si="1266"/>
        <v>6447553.4624852212</v>
      </c>
      <c r="AC1289" s="2">
        <f t="shared" ca="1" si="1267"/>
        <v>6617609.1862043226</v>
      </c>
      <c r="AD1289" s="2">
        <f t="shared" ca="1" si="1268"/>
        <v>6792150.1692295922</v>
      </c>
      <c r="AE1289" s="2">
        <f t="shared" ca="1" si="1269"/>
        <v>6971294.7113195062</v>
      </c>
      <c r="AF1289" s="2">
        <f t="shared" ca="1" si="1270"/>
        <v>977521.62157676555</v>
      </c>
      <c r="AG1289" s="2">
        <f t="shared" ca="1" si="1271"/>
        <v>1003303.9819364782</v>
      </c>
      <c r="AH1289" s="2">
        <f t="shared" ca="1" si="1272"/>
        <v>1029766.3580534339</v>
      </c>
      <c r="AI1289" s="2">
        <f t="shared" ca="1" si="1273"/>
        <v>1056926.6855015543</v>
      </c>
      <c r="AJ1289" s="2">
        <f t="shared" ca="1" si="1274"/>
        <v>1084803.3729096984</v>
      </c>
      <c r="AK1289" s="2">
        <f t="shared" ca="1" si="1275"/>
        <v>0</v>
      </c>
      <c r="AL1289" s="2">
        <f t="shared" ca="1" si="1276"/>
        <v>12891.180179856345</v>
      </c>
      <c r="AM1289" s="2">
        <f t="shared" ca="1" si="1277"/>
        <v>13231.188058477865</v>
      </c>
      <c r="AN1289" s="2">
        <f t="shared" ca="1" si="1278"/>
        <v>13580.163724060134</v>
      </c>
      <c r="AO1289" s="2">
        <f t="shared" ca="1" si="1279"/>
        <v>13938.343704072089</v>
      </c>
      <c r="AP1289" s="2">
        <f t="shared" ca="1" si="1280"/>
        <v>2472439.6764000929</v>
      </c>
      <c r="AQ1289" s="2">
        <f t="shared" ca="1" si="1281"/>
        <v>705337.99383047642</v>
      </c>
      <c r="AR1289" s="2">
        <f t="shared" ca="1" si="1282"/>
        <v>772670.54907864914</v>
      </c>
      <c r="AS1289" s="2">
        <f t="shared" ca="1" si="1283"/>
        <v>810004.81945520698</v>
      </c>
      <c r="AT1289" s="2">
        <f t="shared" ca="1" si="1284"/>
        <v>848323.78990526579</v>
      </c>
      <c r="AU1289" s="2">
        <f t="shared" ca="1" si="1285"/>
        <v>887653.43212252588</v>
      </c>
      <c r="AV1289" s="2">
        <f t="shared" ca="1" si="1286"/>
        <v>2007500.4439790477</v>
      </c>
      <c r="AW1289" s="2">
        <f t="shared" ca="1" si="1287"/>
        <v>2186248.0748901446</v>
      </c>
      <c r="AX1289" s="2">
        <f t="shared" ca="1" si="1288"/>
        <v>2292167.1442371109</v>
      </c>
      <c r="AY1289" s="2">
        <f t="shared" ca="1" si="1289"/>
        <v>2400879.8536986192</v>
      </c>
      <c r="AZ1289" s="2">
        <f t="shared" ca="1" si="1290"/>
        <v>2512459.8861831171</v>
      </c>
      <c r="BA1289" s="2">
        <f t="shared" ca="1" si="1291"/>
        <v>54090077.419036508</v>
      </c>
      <c r="BB1289" s="2">
        <f t="shared" ca="1" si="1292"/>
        <v>1081801.5483807302</v>
      </c>
      <c r="BC1289" s="2">
        <f t="shared" ca="1" si="1293"/>
        <v>25536723.910654746</v>
      </c>
      <c r="BD1289" s="2">
        <f t="shared" ca="1" si="1294"/>
        <v>-19959015.971667401</v>
      </c>
      <c r="BE1289" s="2">
        <f t="shared" ca="1" si="1295"/>
        <v>2007500.4439790477</v>
      </c>
      <c r="BF1289" s="2">
        <f t="shared" ca="1" si="1296"/>
        <v>2186248.0748901446</v>
      </c>
      <c r="BG1289" s="2">
        <f t="shared" ca="1" si="1297"/>
        <v>2292167.1442371109</v>
      </c>
      <c r="BH1289" s="2">
        <f t="shared" ca="1" si="1298"/>
        <v>2400879.8536986192</v>
      </c>
      <c r="BI1289" s="2">
        <f t="shared" ca="1" si="1299"/>
        <v>28049183.796837863</v>
      </c>
      <c r="BJ1289" s="2">
        <f t="shared" ca="1" si="1300"/>
        <v>0.15362613077369325</v>
      </c>
      <c r="BK1289" s="2">
        <f t="shared" ca="1" si="1301"/>
        <v>2649440.7355093583</v>
      </c>
    </row>
    <row r="1290" spans="1:63" x14ac:dyDescent="0.3">
      <c r="A1290" s="2">
        <v>1289</v>
      </c>
      <c r="B1290" s="2">
        <f t="shared" ca="1" si="1240"/>
        <v>0.3290988563675814</v>
      </c>
      <c r="C1290" s="2">
        <f t="shared" ca="1" si="1241"/>
        <v>6.811293851039907</v>
      </c>
      <c r="D1290" s="2">
        <f t="shared" ca="1" si="1242"/>
        <v>0.64122383897066493</v>
      </c>
      <c r="E1290" s="2">
        <f t="shared" ca="1" si="1243"/>
        <v>7.6529153985234588</v>
      </c>
      <c r="F1290" s="2">
        <f t="shared" ca="1" si="1244"/>
        <v>0.33955941514873433</v>
      </c>
      <c r="G1290" s="2">
        <f t="shared" ca="1" si="1245"/>
        <v>2.7590024089670262E-2</v>
      </c>
      <c r="H1290" s="2">
        <f t="shared" ca="1" si="1246"/>
        <v>2.7590024089670262E-2</v>
      </c>
      <c r="I1290" s="2">
        <f t="shared" ca="1" si="1247"/>
        <v>0.44638382763390261</v>
      </c>
      <c r="J1290" s="2">
        <f t="shared" ca="1" si="1248"/>
        <v>9.3259851355439599E-3</v>
      </c>
      <c r="K1290" s="2">
        <f t="shared" ca="1" si="1249"/>
        <v>9.3259851355439599E-3</v>
      </c>
      <c r="L1290" s="2">
        <f t="shared" ca="1" si="1250"/>
        <v>5.8169865923160535E-2</v>
      </c>
      <c r="M1290" s="2">
        <f t="shared" ca="1" si="1251"/>
        <v>-3.1406481858037176E-2</v>
      </c>
      <c r="N1290" s="2">
        <f t="shared" ca="1" si="1252"/>
        <v>-3.1406481858037176E-2</v>
      </c>
      <c r="O1290" s="2">
        <f t="shared" si="1253"/>
        <v>6000000</v>
      </c>
      <c r="P1290" s="2">
        <f t="shared" ca="1" si="1254"/>
        <v>40867763.106239446</v>
      </c>
      <c r="Q1290" s="2">
        <f t="shared" ca="1" si="1255"/>
        <v>1021694.0776559862</v>
      </c>
      <c r="R1290" s="2">
        <f t="shared" ca="1" si="1256"/>
        <v>24520657.863743667</v>
      </c>
      <c r="S1290" s="2">
        <f t="shared" ca="1" si="1257"/>
        <v>16347105.242495779</v>
      </c>
      <c r="T1290" s="2">
        <f t="shared" ca="1" si="1258"/>
        <v>48429675.907098144</v>
      </c>
      <c r="U1290" s="2">
        <f t="shared" ca="1" si="1259"/>
        <v>49765851.832029909</v>
      </c>
      <c r="V1290" s="2">
        <f t="shared" ca="1" si="1260"/>
        <v>51138892.882918574</v>
      </c>
      <c r="W1290" s="2">
        <f t="shared" ca="1" si="1261"/>
        <v>52549816.169477366</v>
      </c>
      <c r="X1290" s="2">
        <f t="shared" ca="1" si="1262"/>
        <v>53999666.86350099</v>
      </c>
      <c r="Y1290" s="2">
        <f t="shared" ca="1" si="1263"/>
        <v>0.12466299256777197</v>
      </c>
      <c r="Z1290" s="2">
        <f t="shared" ca="1" si="1264"/>
        <v>0.12652818959488077</v>
      </c>
      <c r="AA1290" s="2">
        <f t="shared" ca="1" si="1265"/>
        <v>6037388.3276661811</v>
      </c>
      <c r="AB1290" s="2">
        <f t="shared" ca="1" si="1266"/>
        <v>6296783.135953825</v>
      </c>
      <c r="AC1290" s="2">
        <f t="shared" ca="1" si="1267"/>
        <v>6470511.5343622202</v>
      </c>
      <c r="AD1290" s="2">
        <f t="shared" ca="1" si="1268"/>
        <v>6649033.1034677634</v>
      </c>
      <c r="AE1290" s="2">
        <f t="shared" ca="1" si="1269"/>
        <v>6832480.0869654538</v>
      </c>
      <c r="AF1290" s="2">
        <f t="shared" ca="1" si="1270"/>
        <v>968593.51814196294</v>
      </c>
      <c r="AG1290" s="2">
        <f t="shared" ca="1" si="1271"/>
        <v>995317.03664059821</v>
      </c>
      <c r="AH1290" s="2">
        <f t="shared" ca="1" si="1272"/>
        <v>1022777.8576583714</v>
      </c>
      <c r="AI1290" s="2">
        <f t="shared" ca="1" si="1273"/>
        <v>1050996.3233895474</v>
      </c>
      <c r="AJ1290" s="2">
        <f t="shared" ca="1" si="1274"/>
        <v>1079993.3372700198</v>
      </c>
      <c r="AK1290" s="2">
        <f t="shared" ca="1" si="1275"/>
        <v>0</v>
      </c>
      <c r="AL1290" s="2">
        <f t="shared" ca="1" si="1276"/>
        <v>13361.759249317647</v>
      </c>
      <c r="AM1290" s="2">
        <f t="shared" ca="1" si="1277"/>
        <v>13730.410508886651</v>
      </c>
      <c r="AN1290" s="2">
        <f t="shared" ca="1" si="1278"/>
        <v>14109.232865587921</v>
      </c>
      <c r="AO1290" s="2">
        <f t="shared" ca="1" si="1279"/>
        <v>14498.506940236241</v>
      </c>
      <c r="AP1290" s="2">
        <f t="shared" ca="1" si="1280"/>
        <v>2206859.2077369299</v>
      </c>
      <c r="AQ1290" s="2">
        <f t="shared" ca="1" si="1281"/>
        <v>744103.25646469509</v>
      </c>
      <c r="AR1290" s="2">
        <f t="shared" ca="1" si="1282"/>
        <v>804597.7918098371</v>
      </c>
      <c r="AS1290" s="2">
        <f t="shared" ca="1" si="1283"/>
        <v>842627.36193139898</v>
      </c>
      <c r="AT1290" s="2">
        <f t="shared" ca="1" si="1284"/>
        <v>881706.16880873428</v>
      </c>
      <c r="AU1290" s="2">
        <f t="shared" ca="1" si="1285"/>
        <v>921863.16090921115</v>
      </c>
      <c r="AV1290" s="2">
        <f t="shared" ca="1" si="1286"/>
        <v>2117832.345322594</v>
      </c>
      <c r="AW1290" s="2">
        <f t="shared" ca="1" si="1287"/>
        <v>2276647.3405171419</v>
      </c>
      <c r="AX1290" s="2">
        <f t="shared" ca="1" si="1288"/>
        <v>2384516.6965266336</v>
      </c>
      <c r="AY1290" s="2">
        <f t="shared" ca="1" si="1289"/>
        <v>2495362.1706669638</v>
      </c>
      <c r="AZ1290" s="2">
        <f t="shared" ca="1" si="1290"/>
        <v>2609265.8741090568</v>
      </c>
      <c r="BA1290" s="2">
        <f t="shared" ca="1" si="1291"/>
        <v>52288392.067642823</v>
      </c>
      <c r="BB1290" s="2">
        <f t="shared" ca="1" si="1292"/>
        <v>1045767.8413528565</v>
      </c>
      <c r="BC1290" s="2">
        <f t="shared" ca="1" si="1293"/>
        <v>26721966.362546299</v>
      </c>
      <c r="BD1290" s="2">
        <f t="shared" ca="1" si="1294"/>
        <v>-17868799.320151765</v>
      </c>
      <c r="BE1290" s="2">
        <f t="shared" ca="1" si="1295"/>
        <v>2117832.345322594</v>
      </c>
      <c r="BF1290" s="2">
        <f t="shared" ca="1" si="1296"/>
        <v>2276647.3405171419</v>
      </c>
      <c r="BG1290" s="2">
        <f t="shared" ca="1" si="1297"/>
        <v>2384516.6965266336</v>
      </c>
      <c r="BH1290" s="2">
        <f t="shared" ca="1" si="1298"/>
        <v>2495362.1706669638</v>
      </c>
      <c r="BI1290" s="2">
        <f t="shared" ca="1" si="1299"/>
        <v>29331232.236655354</v>
      </c>
      <c r="BJ1290" s="2">
        <f t="shared" ca="1" si="1300"/>
        <v>0.19750891811723759</v>
      </c>
      <c r="BK1290" s="2">
        <f t="shared" ca="1" si="1301"/>
        <v>5763480.2771391682</v>
      </c>
    </row>
    <row r="1291" spans="1:63" x14ac:dyDescent="0.3">
      <c r="A1291" s="2">
        <v>1290</v>
      </c>
      <c r="B1291" s="2">
        <f t="shared" ca="1" si="1240"/>
        <v>0.59566550370813309</v>
      </c>
      <c r="C1291" s="2">
        <f t="shared" ca="1" si="1241"/>
        <v>7.1007397525834168</v>
      </c>
      <c r="D1291" s="2">
        <f t="shared" ca="1" si="1242"/>
        <v>0.34947186834425581</v>
      </c>
      <c r="E1291" s="2">
        <f t="shared" ca="1" si="1243"/>
        <v>7.3360285501635163</v>
      </c>
      <c r="F1291" s="2">
        <f t="shared" ca="1" si="1244"/>
        <v>0.33997806601755698</v>
      </c>
      <c r="G1291" s="2">
        <f t="shared" ca="1" si="1245"/>
        <v>2.7624310240547224E-2</v>
      </c>
      <c r="H1291" s="2">
        <f t="shared" ca="1" si="1246"/>
        <v>2.7624310240547224E-2</v>
      </c>
      <c r="I1291" s="2">
        <f t="shared" ca="1" si="1247"/>
        <v>0.66683226079925861</v>
      </c>
      <c r="J1291" s="2">
        <f t="shared" ca="1" si="1248"/>
        <v>1.2155913868383803E-2</v>
      </c>
      <c r="K1291" s="2">
        <f t="shared" ca="1" si="1249"/>
        <v>1.2155913868383803E-2</v>
      </c>
      <c r="L1291" s="2">
        <f t="shared" ca="1" si="1250"/>
        <v>2.809145022585513E-2</v>
      </c>
      <c r="M1291" s="2">
        <f t="shared" ca="1" si="1251"/>
        <v>-3.8192284772782872E-2</v>
      </c>
      <c r="N1291" s="2">
        <f t="shared" ca="1" si="1252"/>
        <v>-3.8192284772782872E-2</v>
      </c>
      <c r="O1291" s="2">
        <f t="shared" si="1253"/>
        <v>6000000</v>
      </c>
      <c r="P1291" s="2">
        <f t="shared" ca="1" si="1254"/>
        <v>42604438.515500501</v>
      </c>
      <c r="Q1291" s="2">
        <f t="shared" ca="1" si="1255"/>
        <v>1065110.9628875125</v>
      </c>
      <c r="R1291" s="2">
        <f t="shared" ca="1" si="1256"/>
        <v>25562663.1093003</v>
      </c>
      <c r="S1291" s="2">
        <f t="shared" ca="1" si="1257"/>
        <v>17041775.4062002</v>
      </c>
      <c r="T1291" s="2">
        <f t="shared" ca="1" si="1258"/>
        <v>48090385.761360854</v>
      </c>
      <c r="U1291" s="2">
        <f t="shared" ca="1" si="1259"/>
        <v>49418849.497220278</v>
      </c>
      <c r="V1291" s="2">
        <f t="shared" ca="1" si="1260"/>
        <v>50784011.127462395</v>
      </c>
      <c r="W1291" s="2">
        <f t="shared" ca="1" si="1261"/>
        <v>52186884.406106815</v>
      </c>
      <c r="X1291" s="2">
        <f t="shared" ca="1" si="1262"/>
        <v>53628511.091428682</v>
      </c>
      <c r="Y1291" s="2">
        <f t="shared" ca="1" si="1263"/>
        <v>0.12607795693419191</v>
      </c>
      <c r="Z1291" s="2">
        <f t="shared" ca="1" si="1264"/>
        <v>0.12850913970786865</v>
      </c>
      <c r="AA1291" s="2">
        <f t="shared" ca="1" si="1265"/>
        <v>6063137.5849695299</v>
      </c>
      <c r="AB1291" s="2">
        <f t="shared" ca="1" si="1266"/>
        <v>6350773.8342404151</v>
      </c>
      <c r="AC1291" s="2">
        <f t="shared" ca="1" si="1267"/>
        <v>6526209.5809050212</v>
      </c>
      <c r="AD1291" s="2">
        <f t="shared" ca="1" si="1268"/>
        <v>6706491.619062772</v>
      </c>
      <c r="AE1291" s="2">
        <f t="shared" ca="1" si="1269"/>
        <v>6891753.8241733918</v>
      </c>
      <c r="AF1291" s="2">
        <f t="shared" ca="1" si="1270"/>
        <v>961807.71522721706</v>
      </c>
      <c r="AG1291" s="2">
        <f t="shared" ca="1" si="1271"/>
        <v>988376.98994440562</v>
      </c>
      <c r="AH1291" s="2">
        <f t="shared" ca="1" si="1272"/>
        <v>1015680.2225492479</v>
      </c>
      <c r="AI1291" s="2">
        <f t="shared" ca="1" si="1273"/>
        <v>1043737.6881221363</v>
      </c>
      <c r="AJ1291" s="2">
        <f t="shared" ca="1" si="1274"/>
        <v>1072570.2218285736</v>
      </c>
      <c r="AK1291" s="2">
        <f t="shared" ca="1" si="1275"/>
        <v>0</v>
      </c>
      <c r="AL1291" s="2">
        <f t="shared" ca="1" si="1276"/>
        <v>13284.637358594238</v>
      </c>
      <c r="AM1291" s="2">
        <f t="shared" ca="1" si="1277"/>
        <v>13651.616302421167</v>
      </c>
      <c r="AN1291" s="2">
        <f t="shared" ca="1" si="1278"/>
        <v>14028.732786444203</v>
      </c>
      <c r="AO1291" s="2">
        <f t="shared" ca="1" si="1279"/>
        <v>14416.266853218674</v>
      </c>
      <c r="AP1291" s="2">
        <f t="shared" ca="1" si="1280"/>
        <v>2300639.6798370271</v>
      </c>
      <c r="AQ1291" s="2">
        <f t="shared" ca="1" si="1281"/>
        <v>728179.44937537424</v>
      </c>
      <c r="AR1291" s="2">
        <f t="shared" ca="1" si="1282"/>
        <v>796056.86275933543</v>
      </c>
      <c r="AS1291" s="2">
        <f t="shared" ca="1" si="1283"/>
        <v>834571.31641487416</v>
      </c>
      <c r="AT1291" s="2">
        <f t="shared" ca="1" si="1284"/>
        <v>874149.70528693823</v>
      </c>
      <c r="AU1291" s="2">
        <f t="shared" ca="1" si="1285"/>
        <v>914821.41985202581</v>
      </c>
      <c r="AV1291" s="2">
        <f t="shared" ca="1" si="1286"/>
        <v>2072510.7405299111</v>
      </c>
      <c r="AW1291" s="2">
        <f t="shared" ca="1" si="1287"/>
        <v>2252415.6643410516</v>
      </c>
      <c r="AX1291" s="2">
        <f t="shared" ca="1" si="1288"/>
        <v>2361666.7458014512</v>
      </c>
      <c r="AY1291" s="2">
        <f t="shared" ca="1" si="1289"/>
        <v>2473935.8130302266</v>
      </c>
      <c r="AZ1291" s="2">
        <f t="shared" ca="1" si="1290"/>
        <v>2589306.2358025466</v>
      </c>
      <c r="BA1291" s="2">
        <f t="shared" ca="1" si="1291"/>
        <v>50558102.814834595</v>
      </c>
      <c r="BB1291" s="2">
        <f t="shared" ca="1" si="1292"/>
        <v>1011162.0562966919</v>
      </c>
      <c r="BC1291" s="2">
        <f t="shared" ca="1" si="1293"/>
        <v>23984277.649237603</v>
      </c>
      <c r="BD1291" s="2">
        <f t="shared" ca="1" si="1294"/>
        <v>-18606886.369087711</v>
      </c>
      <c r="BE1291" s="2">
        <f t="shared" ca="1" si="1295"/>
        <v>2072510.7405299111</v>
      </c>
      <c r="BF1291" s="2">
        <f t="shared" ca="1" si="1296"/>
        <v>2252415.6643410516</v>
      </c>
      <c r="BG1291" s="2">
        <f t="shared" ca="1" si="1297"/>
        <v>2361666.7458014512</v>
      </c>
      <c r="BH1291" s="2">
        <f t="shared" ca="1" si="1298"/>
        <v>2473935.8130302266</v>
      </c>
      <c r="BI1291" s="2">
        <f t="shared" ca="1" si="1299"/>
        <v>26573583.885040149</v>
      </c>
      <c r="BJ1291" s="2">
        <f t="shared" ca="1" si="1300"/>
        <v>0.16577689757260328</v>
      </c>
      <c r="BK1291" s="2">
        <f t="shared" ca="1" si="1301"/>
        <v>3370965.4511911459</v>
      </c>
    </row>
    <row r="1292" spans="1:63" x14ac:dyDescent="0.3">
      <c r="A1292" s="2">
        <v>1291</v>
      </c>
      <c r="B1292" s="2">
        <f t="shared" ca="1" si="1240"/>
        <v>0.62407687414616375</v>
      </c>
      <c r="C1292" s="2">
        <f t="shared" ca="1" si="1241"/>
        <v>7.1329093174830716</v>
      </c>
      <c r="D1292" s="2">
        <f t="shared" ca="1" si="1242"/>
        <v>0.39015841129716267</v>
      </c>
      <c r="E1292" s="2">
        <f t="shared" ca="1" si="1243"/>
        <v>7.3833554338964156</v>
      </c>
      <c r="F1292" s="2">
        <f t="shared" ca="1" si="1244"/>
        <v>0.93526993789434976</v>
      </c>
      <c r="G1292" s="2">
        <f t="shared" ca="1" si="1245"/>
        <v>8.5487028242925006E-2</v>
      </c>
      <c r="H1292" s="2">
        <f t="shared" ca="1" si="1246"/>
        <v>8.5487028242925006E-2</v>
      </c>
      <c r="I1292" s="2">
        <f t="shared" ca="1" si="1247"/>
        <v>0.79090736263807893</v>
      </c>
      <c r="J1292" s="2">
        <f t="shared" ca="1" si="1248"/>
        <v>1.4047868100302235E-2</v>
      </c>
      <c r="K1292" s="2">
        <f t="shared" ca="1" si="1249"/>
        <v>1.4047868100302235E-2</v>
      </c>
      <c r="L1292" s="2">
        <f t="shared" ca="1" si="1250"/>
        <v>0.30334570787782522</v>
      </c>
      <c r="M1292" s="2">
        <f t="shared" ca="1" si="1251"/>
        <v>-1.0296039195336462E-2</v>
      </c>
      <c r="N1292" s="2">
        <f t="shared" ca="1" si="1252"/>
        <v>-1.0296039195336462E-2</v>
      </c>
      <c r="O1292" s="2">
        <f t="shared" si="1253"/>
        <v>6000000</v>
      </c>
      <c r="P1292" s="2">
        <f t="shared" ca="1" si="1254"/>
        <v>42797455.904898427</v>
      </c>
      <c r="Q1292" s="2">
        <f t="shared" ca="1" si="1255"/>
        <v>1069936.3976224607</v>
      </c>
      <c r="R1292" s="2">
        <f t="shared" ca="1" si="1256"/>
        <v>25678473.542939056</v>
      </c>
      <c r="S1292" s="2">
        <f t="shared" ca="1" si="1257"/>
        <v>17118982.361959372</v>
      </c>
      <c r="T1292" s="2">
        <f t="shared" ca="1" si="1258"/>
        <v>49485198.040233172</v>
      </c>
      <c r="U1292" s="2">
        <f t="shared" ca="1" si="1259"/>
        <v>53715540.562705323</v>
      </c>
      <c r="V1292" s="2">
        <f t="shared" ca="1" si="1260"/>
        <v>58307522.495873295</v>
      </c>
      <c r="W1292" s="2">
        <f t="shared" ca="1" si="1261"/>
        <v>63292059.318252996</v>
      </c>
      <c r="X1292" s="2">
        <f t="shared" ca="1" si="1262"/>
        <v>68702709.380745366</v>
      </c>
      <c r="Y1292" s="2">
        <f t="shared" ca="1" si="1263"/>
        <v>0.12702393405015111</v>
      </c>
      <c r="Z1292" s="2">
        <f t="shared" ca="1" si="1264"/>
        <v>0.12983350767021157</v>
      </c>
      <c r="AA1292" s="2">
        <f t="shared" ca="1" si="1265"/>
        <v>6285804.5323212454</v>
      </c>
      <c r="AB1292" s="2">
        <f t="shared" ca="1" si="1266"/>
        <v>6974077.0476575624</v>
      </c>
      <c r="AC1292" s="2">
        <f t="shared" ca="1" si="1267"/>
        <v>7570270.1691989992</v>
      </c>
      <c r="AD1292" s="2">
        <f t="shared" ca="1" si="1268"/>
        <v>8217430.0689598862</v>
      </c>
      <c r="AE1292" s="2">
        <f t="shared" ca="1" si="1269"/>
        <v>8919913.7453493197</v>
      </c>
      <c r="AF1292" s="2">
        <f t="shared" ca="1" si="1270"/>
        <v>989703.96080466348</v>
      </c>
      <c r="AG1292" s="2">
        <f t="shared" ca="1" si="1271"/>
        <v>1074310.8112541065</v>
      </c>
      <c r="AH1292" s="2">
        <f t="shared" ca="1" si="1272"/>
        <v>1166150.4499174659</v>
      </c>
      <c r="AI1292" s="2">
        <f t="shared" ca="1" si="1273"/>
        <v>1265841.18636506</v>
      </c>
      <c r="AJ1292" s="2">
        <f t="shared" ca="1" si="1274"/>
        <v>1374054.1876149073</v>
      </c>
      <c r="AK1292" s="2">
        <f t="shared" ca="1" si="1275"/>
        <v>0</v>
      </c>
      <c r="AL1292" s="2">
        <f t="shared" ca="1" si="1276"/>
        <v>42303.425224721504</v>
      </c>
      <c r="AM1292" s="2">
        <f t="shared" ca="1" si="1277"/>
        <v>45919.819331679719</v>
      </c>
      <c r="AN1292" s="2">
        <f t="shared" ca="1" si="1278"/>
        <v>49845.368223797006</v>
      </c>
      <c r="AO1292" s="2">
        <f t="shared" ca="1" si="1279"/>
        <v>54106.500624923705</v>
      </c>
      <c r="AP1292" s="2">
        <f t="shared" ca="1" si="1280"/>
        <v>2311062.6188645149</v>
      </c>
      <c r="AQ1292" s="2">
        <f t="shared" ca="1" si="1281"/>
        <v>776109.86768953747</v>
      </c>
      <c r="AR1292" s="2">
        <f t="shared" ca="1" si="1282"/>
        <v>933062.9405601247</v>
      </c>
      <c r="AS1292" s="2">
        <f t="shared" ca="1" si="1283"/>
        <v>1064194.8461084249</v>
      </c>
      <c r="AT1292" s="2">
        <f t="shared" ca="1" si="1284"/>
        <v>1206536.8285698809</v>
      </c>
      <c r="AU1292" s="2">
        <f t="shared" ca="1" si="1285"/>
        <v>1361047.2041061732</v>
      </c>
      <c r="AV1292" s="2">
        <f t="shared" ca="1" si="1286"/>
        <v>2208928.0849625291</v>
      </c>
      <c r="AW1292" s="2">
        <f t="shared" ca="1" si="1287"/>
        <v>2613337.2517540948</v>
      </c>
      <c r="AX1292" s="2">
        <f t="shared" ca="1" si="1288"/>
        <v>2982942.434976914</v>
      </c>
      <c r="AY1292" s="2">
        <f t="shared" ca="1" si="1289"/>
        <v>3384144.0669366335</v>
      </c>
      <c r="AZ1292" s="2">
        <f t="shared" ca="1" si="1290"/>
        <v>3819643.2341387998</v>
      </c>
      <c r="BA1292" s="2">
        <f t="shared" ca="1" si="1291"/>
        <v>65858893.621612228</v>
      </c>
      <c r="BB1292" s="2">
        <f t="shared" ca="1" si="1292"/>
        <v>1317177.8724322447</v>
      </c>
      <c r="BC1292" s="2">
        <f t="shared" ca="1" si="1293"/>
        <v>38863242.206240922</v>
      </c>
      <c r="BD1292" s="2">
        <f t="shared" ca="1" si="1294"/>
        <v>-18688918.759581834</v>
      </c>
      <c r="BE1292" s="2">
        <f t="shared" ca="1" si="1295"/>
        <v>2208928.0849625291</v>
      </c>
      <c r="BF1292" s="2">
        <f t="shared" ca="1" si="1296"/>
        <v>2613337.2517540948</v>
      </c>
      <c r="BG1292" s="2">
        <f t="shared" ca="1" si="1297"/>
        <v>2982942.434976914</v>
      </c>
      <c r="BH1292" s="2">
        <f t="shared" ca="1" si="1298"/>
        <v>3384144.0669366335</v>
      </c>
      <c r="BI1292" s="2">
        <f t="shared" ca="1" si="1299"/>
        <v>42682885.440379724</v>
      </c>
      <c r="BJ1292" s="2">
        <f t="shared" ca="1" si="1300"/>
        <v>0.27563690281412212</v>
      </c>
      <c r="BK1292" s="2">
        <f t="shared" ca="1" si="1301"/>
        <v>13859974.634686612</v>
      </c>
    </row>
    <row r="1293" spans="1:63" x14ac:dyDescent="0.3">
      <c r="A1293" s="2">
        <v>1292</v>
      </c>
      <c r="B1293" s="2">
        <f t="shared" ca="1" si="1240"/>
        <v>0.54281078036142472</v>
      </c>
      <c r="C1293" s="2">
        <f t="shared" ca="1" si="1241"/>
        <v>7.0437686267031649</v>
      </c>
      <c r="D1293" s="2">
        <f t="shared" ca="1" si="1242"/>
        <v>0.59229623444384027</v>
      </c>
      <c r="E1293" s="2">
        <f t="shared" ca="1" si="1243"/>
        <v>7.5970008133379521</v>
      </c>
      <c r="F1293" s="2">
        <f t="shared" ca="1" si="1244"/>
        <v>0.91625042665722622</v>
      </c>
      <c r="G1293" s="2">
        <f t="shared" ca="1" si="1245"/>
        <v>8.1408527081626825E-2</v>
      </c>
      <c r="H1293" s="2">
        <f t="shared" ca="1" si="1246"/>
        <v>8.1408527081626825E-2</v>
      </c>
      <c r="I1293" s="2">
        <f t="shared" ca="1" si="1247"/>
        <v>0.82610254379157733</v>
      </c>
      <c r="J1293" s="2">
        <f t="shared" ca="1" si="1248"/>
        <v>1.469437513417449E-2</v>
      </c>
      <c r="K1293" s="2">
        <f t="shared" ca="1" si="1249"/>
        <v>1.469437513417449E-2</v>
      </c>
      <c r="L1293" s="2">
        <f t="shared" ca="1" si="1250"/>
        <v>0.25692653556655332</v>
      </c>
      <c r="M1293" s="2">
        <f t="shared" ca="1" si="1251"/>
        <v>-1.3056997352067286E-2</v>
      </c>
      <c r="N1293" s="2">
        <f t="shared" ca="1" si="1252"/>
        <v>-1.3056997352067286E-2</v>
      </c>
      <c r="O1293" s="2">
        <f t="shared" si="1253"/>
        <v>6000000</v>
      </c>
      <c r="P1293" s="2">
        <f t="shared" ca="1" si="1254"/>
        <v>42262611.760218993</v>
      </c>
      <c r="Q1293" s="2">
        <f t="shared" ca="1" si="1255"/>
        <v>1056565.2940054748</v>
      </c>
      <c r="R1293" s="2">
        <f t="shared" ca="1" si="1256"/>
        <v>25357567.056131396</v>
      </c>
      <c r="S1293" s="2">
        <f t="shared" ca="1" si="1257"/>
        <v>16905044.704087596</v>
      </c>
      <c r="T1293" s="2">
        <f t="shared" ca="1" si="1258"/>
        <v>49347150.132396631</v>
      </c>
      <c r="U1293" s="2">
        <f t="shared" ca="1" si="1259"/>
        <v>53364428.94035095</v>
      </c>
      <c r="V1293" s="2">
        <f t="shared" ca="1" si="1260"/>
        <v>57708748.498937063</v>
      </c>
      <c r="W1293" s="2">
        <f t="shared" ca="1" si="1261"/>
        <v>62406732.713959582</v>
      </c>
      <c r="X1293" s="2">
        <f t="shared" ca="1" si="1262"/>
        <v>67487172.904179811</v>
      </c>
      <c r="Y1293" s="2">
        <f t="shared" ca="1" si="1263"/>
        <v>0.12734718756708724</v>
      </c>
      <c r="Z1293" s="2">
        <f t="shared" ca="1" si="1264"/>
        <v>0.13028606259392214</v>
      </c>
      <c r="AA1293" s="2">
        <f t="shared" ca="1" si="1265"/>
        <v>6284220.7838115273</v>
      </c>
      <c r="AB1293" s="2">
        <f t="shared" ca="1" si="1266"/>
        <v>6952641.3292114744</v>
      </c>
      <c r="AC1293" s="2">
        <f t="shared" ca="1" si="1267"/>
        <v>7518645.6191494251</v>
      </c>
      <c r="AD1293" s="2">
        <f t="shared" ca="1" si="1268"/>
        <v>8130727.4846531069</v>
      </c>
      <c r="AE1293" s="2">
        <f t="shared" ca="1" si="1269"/>
        <v>8792638.0332808178</v>
      </c>
      <c r="AF1293" s="2">
        <f t="shared" ca="1" si="1270"/>
        <v>986943.00264793262</v>
      </c>
      <c r="AG1293" s="2">
        <f t="shared" ca="1" si="1271"/>
        <v>1067288.5788070189</v>
      </c>
      <c r="AH1293" s="2">
        <f t="shared" ca="1" si="1272"/>
        <v>1154174.9699787414</v>
      </c>
      <c r="AI1293" s="2">
        <f t="shared" ca="1" si="1273"/>
        <v>1248134.6542791917</v>
      </c>
      <c r="AJ1293" s="2">
        <f t="shared" ca="1" si="1274"/>
        <v>1349743.4580835963</v>
      </c>
      <c r="AK1293" s="2">
        <f t="shared" ca="1" si="1275"/>
        <v>0</v>
      </c>
      <c r="AL1293" s="2">
        <f t="shared" ca="1" si="1276"/>
        <v>40172.788079543192</v>
      </c>
      <c r="AM1293" s="2">
        <f t="shared" ca="1" si="1277"/>
        <v>43443.195585861133</v>
      </c>
      <c r="AN1293" s="2">
        <f t="shared" ca="1" si="1278"/>
        <v>46979.842150225195</v>
      </c>
      <c r="AO1293" s="2">
        <f t="shared" ca="1" si="1279"/>
        <v>50804.401902202291</v>
      </c>
      <c r="AP1293" s="2">
        <f t="shared" ca="1" si="1280"/>
        <v>2282181.0350518255</v>
      </c>
      <c r="AQ1293" s="2">
        <f t="shared" ca="1" si="1281"/>
        <v>783925.15398906008</v>
      </c>
      <c r="AR1293" s="2">
        <f t="shared" ca="1" si="1282"/>
        <v>936824.64599168394</v>
      </c>
      <c r="AS1293" s="2">
        <f t="shared" ca="1" si="1283"/>
        <v>1061395.2996709032</v>
      </c>
      <c r="AT1293" s="2">
        <f t="shared" ca="1" si="1284"/>
        <v>1196107.0667837432</v>
      </c>
      <c r="AU1293" s="2">
        <f t="shared" ca="1" si="1285"/>
        <v>1341785.5204378031</v>
      </c>
      <c r="AV1293" s="2">
        <f t="shared" ca="1" si="1286"/>
        <v>2231171.5921227094</v>
      </c>
      <c r="AW1293" s="2">
        <f t="shared" ca="1" si="1287"/>
        <v>2626174.2812814033</v>
      </c>
      <c r="AX1293" s="2">
        <f t="shared" ca="1" si="1288"/>
        <v>2977451.1188620944</v>
      </c>
      <c r="AY1293" s="2">
        <f t="shared" ca="1" si="1289"/>
        <v>3357324.8863881212</v>
      </c>
      <c r="AZ1293" s="2">
        <f t="shared" ca="1" si="1290"/>
        <v>3768123.6178053906</v>
      </c>
      <c r="BA1293" s="2">
        <f t="shared" ca="1" si="1291"/>
        <v>66797678.290220581</v>
      </c>
      <c r="BB1293" s="2">
        <f t="shared" ca="1" si="1292"/>
        <v>1335953.5658044117</v>
      </c>
      <c r="BC1293" s="2">
        <f t="shared" ca="1" si="1293"/>
        <v>40104157.668284766</v>
      </c>
      <c r="BD1293" s="2">
        <f t="shared" ca="1" si="1294"/>
        <v>-18461609.998093072</v>
      </c>
      <c r="BE1293" s="2">
        <f t="shared" ca="1" si="1295"/>
        <v>2231171.5921227094</v>
      </c>
      <c r="BF1293" s="2">
        <f t="shared" ca="1" si="1296"/>
        <v>2626174.2812814033</v>
      </c>
      <c r="BG1293" s="2">
        <f t="shared" ca="1" si="1297"/>
        <v>2977451.1188620944</v>
      </c>
      <c r="BH1293" s="2">
        <f t="shared" ca="1" si="1298"/>
        <v>3357324.8863881212</v>
      </c>
      <c r="BI1293" s="2">
        <f t="shared" ca="1" si="1299"/>
        <v>43872281.286090158</v>
      </c>
      <c r="BJ1293" s="2">
        <f t="shared" ca="1" si="1300"/>
        <v>0.28536527025456948</v>
      </c>
      <c r="BK1293" s="2">
        <f t="shared" ca="1" si="1301"/>
        <v>14771319.73227527</v>
      </c>
    </row>
    <row r="1294" spans="1:63" x14ac:dyDescent="0.3">
      <c r="A1294" s="2">
        <v>1293</v>
      </c>
      <c r="B1294" s="2">
        <f t="shared" ca="1" si="1240"/>
        <v>0.50874195957408941</v>
      </c>
      <c r="C1294" s="2">
        <f t="shared" ca="1" si="1241"/>
        <v>7.0087805082365353</v>
      </c>
      <c r="D1294" s="2">
        <f t="shared" ca="1" si="1242"/>
        <v>0.1593102735724885</v>
      </c>
      <c r="E1294" s="2">
        <f t="shared" ca="1" si="1243"/>
        <v>7.0644648325139281</v>
      </c>
      <c r="F1294" s="2">
        <f t="shared" ca="1" si="1244"/>
        <v>0.68291683154421323</v>
      </c>
      <c r="G1294" s="2">
        <f t="shared" ca="1" si="1245"/>
        <v>5.427612775804324E-2</v>
      </c>
      <c r="H1294" s="2">
        <f t="shared" ca="1" si="1246"/>
        <v>5.427612775804324E-2</v>
      </c>
      <c r="I1294" s="2">
        <f t="shared" ca="1" si="1247"/>
        <v>0.24534722896628736</v>
      </c>
      <c r="J1294" s="2">
        <f t="shared" ca="1" si="1248"/>
        <v>6.5539764872191621E-3</v>
      </c>
      <c r="K1294" s="2">
        <f t="shared" ca="1" si="1249"/>
        <v>6.5539764872191621E-3</v>
      </c>
      <c r="L1294" s="2">
        <f t="shared" ca="1" si="1250"/>
        <v>0.12950304946630486</v>
      </c>
      <c r="M1294" s="2">
        <f t="shared" ca="1" si="1251"/>
        <v>-2.2574867831496339E-2</v>
      </c>
      <c r="N1294" s="2">
        <f t="shared" ca="1" si="1252"/>
        <v>-2.2574867831496339E-2</v>
      </c>
      <c r="O1294" s="2">
        <f t="shared" si="1253"/>
        <v>6000000</v>
      </c>
      <c r="P1294" s="2">
        <f t="shared" ca="1" si="1254"/>
        <v>42052683.049419209</v>
      </c>
      <c r="Q1294" s="2">
        <f t="shared" ca="1" si="1255"/>
        <v>1051317.0762354804</v>
      </c>
      <c r="R1294" s="2">
        <f t="shared" ca="1" si="1256"/>
        <v>25231609.829651523</v>
      </c>
      <c r="S1294" s="2">
        <f t="shared" ca="1" si="1257"/>
        <v>16821073.219767686</v>
      </c>
      <c r="T1294" s="2">
        <f t="shared" ca="1" si="1258"/>
        <v>48871256.608425185</v>
      </c>
      <c r="U1294" s="2">
        <f t="shared" ca="1" si="1259"/>
        <v>51523799.175800189</v>
      </c>
      <c r="V1294" s="2">
        <f t="shared" ca="1" si="1260"/>
        <v>54320311.482445687</v>
      </c>
      <c r="W1294" s="2">
        <f t="shared" ca="1" si="1261"/>
        <v>57268607.64832361</v>
      </c>
      <c r="X1294" s="2">
        <f t="shared" ca="1" si="1262"/>
        <v>60376925.913569279</v>
      </c>
      <c r="Y1294" s="2">
        <f t="shared" ca="1" si="1263"/>
        <v>0.12327698824360958</v>
      </c>
      <c r="Z1294" s="2">
        <f t="shared" ca="1" si="1264"/>
        <v>0.1245877835410534</v>
      </c>
      <c r="AA1294" s="2">
        <f t="shared" ca="1" si="1265"/>
        <v>6024701.326367259</v>
      </c>
      <c r="AB1294" s="2">
        <f t="shared" ca="1" si="1266"/>
        <v>6419235.9389272993</v>
      </c>
      <c r="AC1294" s="2">
        <f t="shared" ca="1" si="1267"/>
        <v>6767647.208857541</v>
      </c>
      <c r="AD1294" s="2">
        <f t="shared" ca="1" si="1268"/>
        <v>7134968.8933868576</v>
      </c>
      <c r="AE1294" s="2">
        <f t="shared" ca="1" si="1269"/>
        <v>7522227.3765939875</v>
      </c>
      <c r="AF1294" s="2">
        <f t="shared" ca="1" si="1270"/>
        <v>977425.13216850371</v>
      </c>
      <c r="AG1294" s="2">
        <f t="shared" ca="1" si="1271"/>
        <v>1030475.9835160038</v>
      </c>
      <c r="AH1294" s="2">
        <f t="shared" ca="1" si="1272"/>
        <v>1086406.2296489137</v>
      </c>
      <c r="AI1294" s="2">
        <f t="shared" ca="1" si="1273"/>
        <v>1145372.1529664723</v>
      </c>
      <c r="AJ1294" s="2">
        <f t="shared" ca="1" si="1274"/>
        <v>1207538.5182713857</v>
      </c>
      <c r="AK1294" s="2">
        <f t="shared" ca="1" si="1275"/>
        <v>0</v>
      </c>
      <c r="AL1294" s="2">
        <f t="shared" ca="1" si="1276"/>
        <v>26525.425673750044</v>
      </c>
      <c r="AM1294" s="2">
        <f t="shared" ca="1" si="1277"/>
        <v>27965.123066454977</v>
      </c>
      <c r="AN1294" s="2">
        <f t="shared" ca="1" si="1278"/>
        <v>29482.961658779233</v>
      </c>
      <c r="AO1294" s="2">
        <f t="shared" ca="1" si="1279"/>
        <v>31083.182652456686</v>
      </c>
      <c r="AP1294" s="2">
        <f t="shared" ca="1" si="1280"/>
        <v>2270844.8846686371</v>
      </c>
      <c r="AQ1294" s="2">
        <f t="shared" ca="1" si="1281"/>
        <v>721872.14047783078</v>
      </c>
      <c r="AR1294" s="2">
        <f t="shared" ca="1" si="1282"/>
        <v>810657.91839309118</v>
      </c>
      <c r="AS1294" s="2">
        <f t="shared" ca="1" si="1283"/>
        <v>886702.98458039761</v>
      </c>
      <c r="AT1294" s="2">
        <f t="shared" ca="1" si="1284"/>
        <v>966875.48249545461</v>
      </c>
      <c r="AU1294" s="2">
        <f t="shared" ca="1" si="1285"/>
        <v>1051399.4331500309</v>
      </c>
      <c r="AV1294" s="2">
        <f t="shared" ca="1" si="1286"/>
        <v>2054559.1690522879</v>
      </c>
      <c r="AW1294" s="2">
        <f t="shared" ca="1" si="1287"/>
        <v>2280731.7266758168</v>
      </c>
      <c r="AX1294" s="2">
        <f t="shared" ca="1" si="1288"/>
        <v>2495727.9868931379</v>
      </c>
      <c r="AY1294" s="2">
        <f t="shared" ca="1" si="1289"/>
        <v>2722393.4115975145</v>
      </c>
      <c r="AZ1294" s="2">
        <f t="shared" ca="1" si="1290"/>
        <v>2961361.3578514773</v>
      </c>
      <c r="BA1294" s="2">
        <f t="shared" ca="1" si="1291"/>
        <v>53140510.764121726</v>
      </c>
      <c r="BB1294" s="2">
        <f t="shared" ca="1" si="1292"/>
        <v>1062810.2152824346</v>
      </c>
      <c r="BC1294" s="2">
        <f t="shared" ca="1" si="1293"/>
        <v>26846090.719187766</v>
      </c>
      <c r="BD1294" s="2">
        <f t="shared" ca="1" si="1294"/>
        <v>-18372390.296003167</v>
      </c>
      <c r="BE1294" s="2">
        <f t="shared" ca="1" si="1295"/>
        <v>2054559.1690522879</v>
      </c>
      <c r="BF1294" s="2">
        <f t="shared" ca="1" si="1296"/>
        <v>2280731.7266758168</v>
      </c>
      <c r="BG1294" s="2">
        <f t="shared" ca="1" si="1297"/>
        <v>2495727.9868931379</v>
      </c>
      <c r="BH1294" s="2">
        <f t="shared" ca="1" si="1298"/>
        <v>2722393.4115975145</v>
      </c>
      <c r="BI1294" s="2">
        <f t="shared" ca="1" si="1299"/>
        <v>29807452.077039242</v>
      </c>
      <c r="BJ1294" s="2">
        <f t="shared" ca="1" si="1300"/>
        <v>0.19457748376012773</v>
      </c>
      <c r="BK1294" s="2">
        <f t="shared" ca="1" si="1301"/>
        <v>5700311.8259934261</v>
      </c>
    </row>
    <row r="1295" spans="1:63" x14ac:dyDescent="0.3">
      <c r="A1295" s="2">
        <v>1294</v>
      </c>
      <c r="B1295" s="2">
        <f t="shared" ca="1" si="1240"/>
        <v>0.89866450229151584</v>
      </c>
      <c r="C1295" s="2">
        <f t="shared" ca="1" si="1241"/>
        <v>7.5498100451842927</v>
      </c>
      <c r="D1295" s="2">
        <f t="shared" ca="1" si="1242"/>
        <v>0.33919218056401268</v>
      </c>
      <c r="E1295" s="2">
        <f t="shared" ca="1" si="1243"/>
        <v>7.3236409175897137</v>
      </c>
      <c r="F1295" s="2">
        <f t="shared" ca="1" si="1244"/>
        <v>0.38343537186666399</v>
      </c>
      <c r="G1295" s="2">
        <f t="shared" ca="1" si="1245"/>
        <v>3.1105883086092401E-2</v>
      </c>
      <c r="H1295" s="2">
        <f t="shared" ca="1" si="1246"/>
        <v>3.1105883086092401E-2</v>
      </c>
      <c r="I1295" s="2">
        <f t="shared" ca="1" si="1247"/>
        <v>0.93473813964780594</v>
      </c>
      <c r="J1295" s="2">
        <f t="shared" ca="1" si="1248"/>
        <v>1.7560199337725412E-2</v>
      </c>
      <c r="K1295" s="2">
        <f t="shared" ca="1" si="1249"/>
        <v>1.7560199337725412E-2</v>
      </c>
      <c r="L1295" s="2">
        <f t="shared" ca="1" si="1250"/>
        <v>1.0418617575237432E-2</v>
      </c>
      <c r="M1295" s="2">
        <f t="shared" ca="1" si="1251"/>
        <v>-4.6218414112013398E-2</v>
      </c>
      <c r="N1295" s="2">
        <f t="shared" ca="1" si="1252"/>
        <v>-4.6218414112013398E-2</v>
      </c>
      <c r="O1295" s="2">
        <f t="shared" si="1253"/>
        <v>6000000</v>
      </c>
      <c r="P1295" s="2">
        <f t="shared" ca="1" si="1254"/>
        <v>45298860.271105759</v>
      </c>
      <c r="Q1295" s="2">
        <f t="shared" ca="1" si="1255"/>
        <v>1132471.5067776439</v>
      </c>
      <c r="R1295" s="2">
        <f t="shared" ca="1" si="1256"/>
        <v>27179316.162663456</v>
      </c>
      <c r="S1295" s="2">
        <f t="shared" ca="1" si="1257"/>
        <v>18119544.108442303</v>
      </c>
      <c r="T1295" s="2">
        <f t="shared" ca="1" si="1258"/>
        <v>47689079.294399329</v>
      </c>
      <c r="U1295" s="2">
        <f t="shared" ca="1" si="1259"/>
        <v>49172490.219414301</v>
      </c>
      <c r="V1295" s="2">
        <f t="shared" ca="1" si="1260"/>
        <v>50702043.951231427</v>
      </c>
      <c r="W1295" s="2">
        <f t="shared" ca="1" si="1261"/>
        <v>52279175.802604355</v>
      </c>
      <c r="X1295" s="2">
        <f t="shared" ca="1" si="1262"/>
        <v>53905365.732957438</v>
      </c>
      <c r="Y1295" s="2">
        <f t="shared" ca="1" si="1263"/>
        <v>0.1287800996688627</v>
      </c>
      <c r="Z1295" s="2">
        <f t="shared" ca="1" si="1264"/>
        <v>0.13229213953640778</v>
      </c>
      <c r="AA1295" s="2">
        <f t="shared" ca="1" si="1265"/>
        <v>6141404.384649042</v>
      </c>
      <c r="AB1295" s="2">
        <f t="shared" ca="1" si="1266"/>
        <v>6505133.9374594036</v>
      </c>
      <c r="AC1295" s="2">
        <f t="shared" ca="1" si="1267"/>
        <v>6707481.8731773878</v>
      </c>
      <c r="AD1295" s="2">
        <f t="shared" ca="1" si="1268"/>
        <v>6916124.020126529</v>
      </c>
      <c r="AE1295" s="2">
        <f t="shared" ca="1" si="1269"/>
        <v>7131256.1653054999</v>
      </c>
      <c r="AF1295" s="2">
        <f t="shared" ca="1" si="1270"/>
        <v>953781.58588798658</v>
      </c>
      <c r="AG1295" s="2">
        <f t="shared" ca="1" si="1271"/>
        <v>983449.80438828608</v>
      </c>
      <c r="AH1295" s="2">
        <f t="shared" ca="1" si="1272"/>
        <v>1014040.8790246285</v>
      </c>
      <c r="AI1295" s="2">
        <f t="shared" ca="1" si="1273"/>
        <v>1045583.5160520871</v>
      </c>
      <c r="AJ1295" s="2">
        <f t="shared" ca="1" si="1274"/>
        <v>1078107.3146591487</v>
      </c>
      <c r="AK1295" s="2">
        <f t="shared" ca="1" si="1275"/>
        <v>0</v>
      </c>
      <c r="AL1295" s="2">
        <f t="shared" ca="1" si="1276"/>
        <v>14834.109250149728</v>
      </c>
      <c r="AM1295" s="2">
        <f t="shared" ca="1" si="1277"/>
        <v>15295.537318171264</v>
      </c>
      <c r="AN1295" s="2">
        <f t="shared" ca="1" si="1278"/>
        <v>15771.318513729275</v>
      </c>
      <c r="AO1295" s="2">
        <f t="shared" ca="1" si="1279"/>
        <v>16261.899303530827</v>
      </c>
      <c r="AP1295" s="2">
        <f t="shared" ca="1" si="1280"/>
        <v>2446138.454639711</v>
      </c>
      <c r="AQ1295" s="2">
        <f t="shared" ca="1" si="1281"/>
        <v>712785.92947154969</v>
      </c>
      <c r="AR1295" s="2">
        <f t="shared" ca="1" si="1282"/>
        <v>799641.87639216566</v>
      </c>
      <c r="AS1295" s="2">
        <f t="shared" ca="1" si="1283"/>
        <v>844298.66027339257</v>
      </c>
      <c r="AT1295" s="2">
        <f t="shared" ca="1" si="1284"/>
        <v>890344.53285303013</v>
      </c>
      <c r="AU1295" s="2">
        <f t="shared" ca="1" si="1285"/>
        <v>937822.70296172658</v>
      </c>
      <c r="AV1295" s="2">
        <f t="shared" ca="1" si="1286"/>
        <v>2028698.4146497953</v>
      </c>
      <c r="AW1295" s="2">
        <f t="shared" ca="1" si="1287"/>
        <v>2261069.6927890903</v>
      </c>
      <c r="AX1295" s="2">
        <f t="shared" ca="1" si="1288"/>
        <v>2387708.3419214846</v>
      </c>
      <c r="AY1295" s="2">
        <f t="shared" ca="1" si="1289"/>
        <v>2518286.198067972</v>
      </c>
      <c r="AZ1295" s="2">
        <f t="shared" ca="1" si="1290"/>
        <v>2652925.7937413822</v>
      </c>
      <c r="BA1295" s="2">
        <f t="shared" ca="1" si="1291"/>
        <v>52226759.446045272</v>
      </c>
      <c r="BB1295" s="2">
        <f t="shared" ca="1" si="1292"/>
        <v>1044535.1889209055</v>
      </c>
      <c r="BC1295" s="2">
        <f t="shared" ca="1" si="1293"/>
        <v>24002908.094460912</v>
      </c>
      <c r="BD1295" s="2">
        <f t="shared" ca="1" si="1294"/>
        <v>-19752015.615219947</v>
      </c>
      <c r="BE1295" s="2">
        <f t="shared" ca="1" si="1295"/>
        <v>2028698.4146497953</v>
      </c>
      <c r="BF1295" s="2">
        <f t="shared" ca="1" si="1296"/>
        <v>2261069.6927890903</v>
      </c>
      <c r="BG1295" s="2">
        <f t="shared" ca="1" si="1297"/>
        <v>2387708.3419214846</v>
      </c>
      <c r="BH1295" s="2">
        <f t="shared" ca="1" si="1298"/>
        <v>2518286.198067972</v>
      </c>
      <c r="BI1295" s="2">
        <f t="shared" ca="1" si="1299"/>
        <v>26655833.888202295</v>
      </c>
      <c r="BJ1295" s="2">
        <f t="shared" ca="1" si="1300"/>
        <v>0.14977857731454836</v>
      </c>
      <c r="BK1295" s="2">
        <f t="shared" ca="1" si="1301"/>
        <v>2287009.2213392109</v>
      </c>
    </row>
    <row r="1296" spans="1:63" x14ac:dyDescent="0.3">
      <c r="A1296" s="2">
        <v>1295</v>
      </c>
      <c r="B1296" s="2">
        <f t="shared" ca="1" si="1240"/>
        <v>0.42132943891564201</v>
      </c>
      <c r="C1296" s="2">
        <f t="shared" ca="1" si="1241"/>
        <v>6.9179645297239345</v>
      </c>
      <c r="D1296" s="2">
        <f t="shared" ca="1" si="1242"/>
        <v>0.37606868580292552</v>
      </c>
      <c r="E1296" s="2">
        <f t="shared" ca="1" si="1243"/>
        <v>7.3672585379261779</v>
      </c>
      <c r="F1296" s="2">
        <f t="shared" ca="1" si="1244"/>
        <v>0.6687798470040488</v>
      </c>
      <c r="G1296" s="2">
        <f t="shared" ca="1" si="1245"/>
        <v>5.3096393483554327E-2</v>
      </c>
      <c r="H1296" s="2">
        <f t="shared" ca="1" si="1246"/>
        <v>5.3096393483554327E-2</v>
      </c>
      <c r="I1296" s="2">
        <f t="shared" ca="1" si="1247"/>
        <v>0.99253888953614999</v>
      </c>
      <c r="J1296" s="2">
        <f t="shared" ca="1" si="1248"/>
        <v>2.2171306198033994E-2</v>
      </c>
      <c r="K1296" s="2">
        <f t="shared" ca="1" si="1249"/>
        <v>2.2171306198033994E-2</v>
      </c>
      <c r="L1296" s="2">
        <f t="shared" ca="1" si="1250"/>
        <v>0.49292026898383023</v>
      </c>
      <c r="M1296" s="2">
        <f t="shared" ca="1" si="1251"/>
        <v>-3.5494371028995818E-4</v>
      </c>
      <c r="N1296" s="2">
        <f t="shared" ca="1" si="1252"/>
        <v>-3.5494371028995818E-4</v>
      </c>
      <c r="O1296" s="2">
        <f t="shared" si="1253"/>
        <v>6000000</v>
      </c>
      <c r="P1296" s="2">
        <f t="shared" ca="1" si="1254"/>
        <v>41507787.178343609</v>
      </c>
      <c r="Q1296" s="2">
        <f t="shared" ca="1" si="1255"/>
        <v>1037694.6794585902</v>
      </c>
      <c r="R1296" s="2">
        <f t="shared" ca="1" si="1256"/>
        <v>24904672.307006165</v>
      </c>
      <c r="S1296" s="2">
        <f t="shared" ca="1" si="1257"/>
        <v>16603114.871337444</v>
      </c>
      <c r="T1296" s="2">
        <f t="shared" ca="1" si="1258"/>
        <v>49982252.814485498</v>
      </c>
      <c r="U1296" s="2">
        <f t="shared" ca="1" si="1259"/>
        <v>52636130.177117907</v>
      </c>
      <c r="V1296" s="2">
        <f t="shared" ca="1" si="1260"/>
        <v>55430918.856453739</v>
      </c>
      <c r="W1296" s="2">
        <f t="shared" ca="1" si="1261"/>
        <v>58374100.73521097</v>
      </c>
      <c r="X1296" s="2">
        <f t="shared" ca="1" si="1262"/>
        <v>61473554.957096361</v>
      </c>
      <c r="Y1296" s="2">
        <f t="shared" ca="1" si="1263"/>
        <v>0.13108565309901699</v>
      </c>
      <c r="Z1296" s="2">
        <f t="shared" ca="1" si="1264"/>
        <v>0.13551991433862379</v>
      </c>
      <c r="AA1296" s="2">
        <f t="shared" ca="1" si="1265"/>
        <v>6551956.2535470109</v>
      </c>
      <c r="AB1296" s="2">
        <f t="shared" ca="1" si="1266"/>
        <v>7133243.8527196692</v>
      </c>
      <c r="AC1296" s="2">
        <f t="shared" ca="1" si="1267"/>
        <v>7511993.3751378171</v>
      </c>
      <c r="AD1296" s="2">
        <f t="shared" ca="1" si="1268"/>
        <v>7910853.1312299864</v>
      </c>
      <c r="AE1296" s="2">
        <f t="shared" ca="1" si="1269"/>
        <v>8330890.9018763807</v>
      </c>
      <c r="AF1296" s="2">
        <f t="shared" ca="1" si="1270"/>
        <v>999645.05628970999</v>
      </c>
      <c r="AG1296" s="2">
        <f t="shared" ca="1" si="1271"/>
        <v>1052722.6035423581</v>
      </c>
      <c r="AH1296" s="2">
        <f t="shared" ca="1" si="1272"/>
        <v>1108618.3771290749</v>
      </c>
      <c r="AI1296" s="2">
        <f t="shared" ca="1" si="1273"/>
        <v>1167482.0147042195</v>
      </c>
      <c r="AJ1296" s="2">
        <f t="shared" ca="1" si="1274"/>
        <v>1229471.0991419272</v>
      </c>
      <c r="AK1296" s="2">
        <f t="shared" ca="1" si="1275"/>
        <v>0</v>
      </c>
      <c r="AL1296" s="2">
        <f t="shared" ca="1" si="1276"/>
        <v>26538.773626324088</v>
      </c>
      <c r="AM1296" s="2">
        <f t="shared" ca="1" si="1277"/>
        <v>27947.886793358328</v>
      </c>
      <c r="AN1296" s="2">
        <f t="shared" ca="1" si="1278"/>
        <v>29431.818787572309</v>
      </c>
      <c r="AO1296" s="2">
        <f t="shared" ca="1" si="1279"/>
        <v>30994.542218853905</v>
      </c>
      <c r="AP1296" s="2">
        <f t="shared" ca="1" si="1280"/>
        <v>2241420.507630555</v>
      </c>
      <c r="AQ1296" s="2">
        <f t="shared" ca="1" si="1281"/>
        <v>860831.57930295391</v>
      </c>
      <c r="AR1296" s="2">
        <f t="shared" ca="1" si="1282"/>
        <v>998166.19280215655</v>
      </c>
      <c r="AS1296" s="2">
        <f t="shared" ca="1" si="1283"/>
        <v>1082108.1674983287</v>
      </c>
      <c r="AT1296" s="2">
        <f t="shared" ca="1" si="1284"/>
        <v>1170507.1583127552</v>
      </c>
      <c r="AU1296" s="2">
        <f t="shared" ca="1" si="1285"/>
        <v>1263599.8167270136</v>
      </c>
      <c r="AV1296" s="2">
        <f t="shared" ca="1" si="1286"/>
        <v>2450059.1103237923</v>
      </c>
      <c r="AW1296" s="2">
        <f t="shared" ca="1" si="1287"/>
        <v>2814395.7751182755</v>
      </c>
      <c r="AX1296" s="2">
        <f t="shared" ca="1" si="1288"/>
        <v>3051898.4360865001</v>
      </c>
      <c r="AY1296" s="2">
        <f t="shared" ca="1" si="1289"/>
        <v>3302011.6317948848</v>
      </c>
      <c r="AZ1296" s="2">
        <f t="shared" ca="1" si="1290"/>
        <v>3565404.9361580312</v>
      </c>
      <c r="BA1296" s="2">
        <f t="shared" ca="1" si="1291"/>
        <v>61375827.125380285</v>
      </c>
      <c r="BB1296" s="2">
        <f t="shared" ca="1" si="1292"/>
        <v>1227516.5425076056</v>
      </c>
      <c r="BC1296" s="2">
        <f t="shared" ca="1" si="1293"/>
        <v>35243638.275866516</v>
      </c>
      <c r="BD1296" s="2">
        <f t="shared" ca="1" si="1294"/>
        <v>-18140809.550796032</v>
      </c>
      <c r="BE1296" s="2">
        <f t="shared" ca="1" si="1295"/>
        <v>2450059.1103237923</v>
      </c>
      <c r="BF1296" s="2">
        <f t="shared" ca="1" si="1296"/>
        <v>2814395.7751182755</v>
      </c>
      <c r="BG1296" s="2">
        <f t="shared" ca="1" si="1297"/>
        <v>3051898.4360865001</v>
      </c>
      <c r="BH1296" s="2">
        <f t="shared" ca="1" si="1298"/>
        <v>3302011.6317948848</v>
      </c>
      <c r="BI1296" s="2">
        <f t="shared" ca="1" si="1299"/>
        <v>38809043.212024547</v>
      </c>
      <c r="BJ1296" s="2">
        <f t="shared" ca="1" si="1300"/>
        <v>0.27067585349744028</v>
      </c>
      <c r="BK1296" s="2">
        <f t="shared" ca="1" si="1301"/>
        <v>12582424.782702554</v>
      </c>
    </row>
    <row r="1297" spans="1:63" x14ac:dyDescent="0.3">
      <c r="A1297" s="2">
        <v>1296</v>
      </c>
      <c r="B1297" s="2">
        <f t="shared" ca="1" si="1240"/>
        <v>0.73348517206289243</v>
      </c>
      <c r="C1297" s="2">
        <f t="shared" ca="1" si="1241"/>
        <v>7.2699112000076873</v>
      </c>
      <c r="D1297" s="2">
        <f t="shared" ca="1" si="1242"/>
        <v>0.22347556893031051</v>
      </c>
      <c r="E1297" s="2">
        <f t="shared" ca="1" si="1243"/>
        <v>7.1685440433214715</v>
      </c>
      <c r="F1297" s="2">
        <f t="shared" ca="1" si="1244"/>
        <v>0.38972589003386782</v>
      </c>
      <c r="G1297" s="2">
        <f t="shared" ca="1" si="1245"/>
        <v>3.1598994088133069E-2</v>
      </c>
      <c r="H1297" s="2">
        <f t="shared" ca="1" si="1246"/>
        <v>3.1598994088133069E-2</v>
      </c>
      <c r="I1297" s="2">
        <f t="shared" ca="1" si="1247"/>
        <v>0.8256616058106937</v>
      </c>
      <c r="J1297" s="2">
        <f t="shared" ca="1" si="1248"/>
        <v>1.4685794881505634E-2</v>
      </c>
      <c r="K1297" s="2">
        <f t="shared" ca="1" si="1249"/>
        <v>1.4685794881505634E-2</v>
      </c>
      <c r="L1297" s="2">
        <f t="shared" ca="1" si="1250"/>
        <v>0.47673132111449479</v>
      </c>
      <c r="M1297" s="2">
        <f t="shared" ca="1" si="1251"/>
        <v>-1.1671807561150912E-3</v>
      </c>
      <c r="N1297" s="2">
        <f t="shared" ca="1" si="1252"/>
        <v>-1.1671807561150912E-3</v>
      </c>
      <c r="O1297" s="2">
        <f t="shared" si="1253"/>
        <v>6000000</v>
      </c>
      <c r="P1297" s="2">
        <f t="shared" ca="1" si="1254"/>
        <v>43619467.200046122</v>
      </c>
      <c r="Q1297" s="2">
        <f t="shared" ca="1" si="1255"/>
        <v>1090486.6800011531</v>
      </c>
      <c r="R1297" s="2">
        <f t="shared" ca="1" si="1256"/>
        <v>26171680.320027672</v>
      </c>
      <c r="S1297" s="2">
        <f t="shared" ca="1" si="1257"/>
        <v>17447786.88001845</v>
      </c>
      <c r="T1297" s="2">
        <f t="shared" ca="1" si="1258"/>
        <v>49941640.962194242</v>
      </c>
      <c r="U1297" s="2">
        <f t="shared" ca="1" si="1259"/>
        <v>51519746.57971029</v>
      </c>
      <c r="V1297" s="2">
        <f t="shared" ca="1" si="1260"/>
        <v>53147718.747304671</v>
      </c>
      <c r="W1297" s="2">
        <f t="shared" ca="1" si="1261"/>
        <v>54827133.197798513</v>
      </c>
      <c r="X1297" s="2">
        <f t="shared" ca="1" si="1262"/>
        <v>56559615.45558504</v>
      </c>
      <c r="Y1297" s="2">
        <f t="shared" ca="1" si="1263"/>
        <v>0.12734289744075281</v>
      </c>
      <c r="Z1297" s="2">
        <f t="shared" ca="1" si="1264"/>
        <v>0.13028005641705392</v>
      </c>
      <c r="AA1297" s="2">
        <f t="shared" ca="1" si="1265"/>
        <v>6359713.2630716003</v>
      </c>
      <c r="AB1297" s="2">
        <f t="shared" ca="1" si="1266"/>
        <v>6711995.4909969773</v>
      </c>
      <c r="AC1297" s="2">
        <f t="shared" ca="1" si="1267"/>
        <v>6924087.7968365671</v>
      </c>
      <c r="AD1297" s="2">
        <f t="shared" ca="1" si="1268"/>
        <v>7142882.0061945207</v>
      </c>
      <c r="AE1297" s="2">
        <f t="shared" ca="1" si="1269"/>
        <v>7368589.8924804945</v>
      </c>
      <c r="AF1297" s="2">
        <f t="shared" ca="1" si="1270"/>
        <v>998832.81924388488</v>
      </c>
      <c r="AG1297" s="2">
        <f t="shared" ca="1" si="1271"/>
        <v>1030394.9315942058</v>
      </c>
      <c r="AH1297" s="2">
        <f t="shared" ca="1" si="1272"/>
        <v>1062954.3749460934</v>
      </c>
      <c r="AI1297" s="2">
        <f t="shared" ca="1" si="1273"/>
        <v>1096542.6639559702</v>
      </c>
      <c r="AJ1297" s="2">
        <f t="shared" ca="1" si="1274"/>
        <v>1131192.3091117009</v>
      </c>
      <c r="AK1297" s="2">
        <f t="shared" ca="1" si="1275"/>
        <v>0</v>
      </c>
      <c r="AL1297" s="2">
        <f t="shared" ca="1" si="1276"/>
        <v>15781.056175160484</v>
      </c>
      <c r="AM1297" s="2">
        <f t="shared" ca="1" si="1277"/>
        <v>16279.721675943807</v>
      </c>
      <c r="AN1297" s="2">
        <f t="shared" ca="1" si="1278"/>
        <v>16794.144504938424</v>
      </c>
      <c r="AO1297" s="2">
        <f t="shared" ca="1" si="1279"/>
        <v>17324.822577865274</v>
      </c>
      <c r="AP1297" s="2">
        <f t="shared" ca="1" si="1280"/>
        <v>2355451.2288024905</v>
      </c>
      <c r="AQ1297" s="2">
        <f t="shared" ca="1" si="1281"/>
        <v>781411.59590655856</v>
      </c>
      <c r="AR1297" s="2">
        <f t="shared" ca="1" si="1282"/>
        <v>864798.82595607301</v>
      </c>
      <c r="AS1297" s="2">
        <f t="shared" ca="1" si="1283"/>
        <v>911477.3702028757</v>
      </c>
      <c r="AT1297" s="2">
        <f t="shared" ca="1" si="1284"/>
        <v>959630.9094933758</v>
      </c>
      <c r="AU1297" s="2">
        <f t="shared" ca="1" si="1285"/>
        <v>1009306.0521872387</v>
      </c>
      <c r="AV1297" s="2">
        <f t="shared" ca="1" si="1286"/>
        <v>2224017.6191186667</v>
      </c>
      <c r="AW1297" s="2">
        <f t="shared" ca="1" si="1287"/>
        <v>2445569.4484690479</v>
      </c>
      <c r="AX1297" s="2">
        <f t="shared" ca="1" si="1288"/>
        <v>2577925.1012091641</v>
      </c>
      <c r="AY1297" s="2">
        <f t="shared" ca="1" si="1289"/>
        <v>2714463.0594377466</v>
      </c>
      <c r="AZ1297" s="2">
        <f t="shared" ca="1" si="1290"/>
        <v>2855315.4798011989</v>
      </c>
      <c r="BA1297" s="2">
        <f t="shared" ca="1" si="1291"/>
        <v>52822061.181419849</v>
      </c>
      <c r="BB1297" s="2">
        <f t="shared" ca="1" si="1292"/>
        <v>1056441.2236283971</v>
      </c>
      <c r="BC1297" s="2">
        <f t="shared" ca="1" si="1293"/>
        <v>25593939.63776378</v>
      </c>
      <c r="BD1297" s="2">
        <f t="shared" ca="1" si="1294"/>
        <v>-19038273.560019605</v>
      </c>
      <c r="BE1297" s="2">
        <f t="shared" ca="1" si="1295"/>
        <v>2224017.6191186667</v>
      </c>
      <c r="BF1297" s="2">
        <f t="shared" ca="1" si="1296"/>
        <v>2445569.4484690479</v>
      </c>
      <c r="BG1297" s="2">
        <f t="shared" ca="1" si="1297"/>
        <v>2577925.1012091641</v>
      </c>
      <c r="BH1297" s="2">
        <f t="shared" ca="1" si="1298"/>
        <v>2714463.0594377466</v>
      </c>
      <c r="BI1297" s="2">
        <f t="shared" ca="1" si="1299"/>
        <v>28449255.11756498</v>
      </c>
      <c r="BJ1297" s="2">
        <f t="shared" ca="1" si="1300"/>
        <v>0.18011189472523559</v>
      </c>
      <c r="BK1297" s="2">
        <f t="shared" ca="1" si="1301"/>
        <v>4599927.3422099911</v>
      </c>
    </row>
    <row r="1298" spans="1:63" x14ac:dyDescent="0.3">
      <c r="A1298" s="2">
        <v>1297</v>
      </c>
      <c r="B1298" s="2">
        <f t="shared" ca="1" si="1240"/>
        <v>0.13146878427451625</v>
      </c>
      <c r="C1298" s="2">
        <f t="shared" ca="1" si="1241"/>
        <v>6.5127743836708625</v>
      </c>
      <c r="D1298" s="2">
        <f t="shared" ca="1" si="1242"/>
        <v>0.17063041452614403</v>
      </c>
      <c r="E1298" s="2">
        <f t="shared" ca="1" si="1243"/>
        <v>7.0841753410169659</v>
      </c>
      <c r="F1298" s="2">
        <f t="shared" ca="1" si="1244"/>
        <v>3.196300315309375E-3</v>
      </c>
      <c r="G1298" s="2">
        <f t="shared" ca="1" si="1245"/>
        <v>-4.1807991784719369E-2</v>
      </c>
      <c r="H1298" s="2">
        <f t="shared" ca="1" si="1246"/>
        <v>-0.02</v>
      </c>
      <c r="I1298" s="2">
        <f t="shared" ca="1" si="1247"/>
        <v>0.52308258322276879</v>
      </c>
      <c r="J1298" s="2">
        <f t="shared" ca="1" si="1248"/>
        <v>1.0289458882409772E-2</v>
      </c>
      <c r="K1298" s="2">
        <f t="shared" ca="1" si="1249"/>
        <v>1.0289458882409772E-2</v>
      </c>
      <c r="L1298" s="2">
        <f t="shared" ca="1" si="1250"/>
        <v>0.72103284203357731</v>
      </c>
      <c r="M1298" s="2">
        <f t="shared" ca="1" si="1251"/>
        <v>1.1718250025683583E-2</v>
      </c>
      <c r="N1298" s="2">
        <f t="shared" ca="1" si="1252"/>
        <v>1.1718250025683583E-2</v>
      </c>
      <c r="O1298" s="2">
        <f t="shared" si="1253"/>
        <v>6000000</v>
      </c>
      <c r="P1298" s="2">
        <f t="shared" ca="1" si="1254"/>
        <v>39076646.302025177</v>
      </c>
      <c r="Q1298" s="2">
        <f t="shared" ca="1" si="1255"/>
        <v>976916.15755062946</v>
      </c>
      <c r="R1298" s="2">
        <f t="shared" ca="1" si="1256"/>
        <v>23445987.781215105</v>
      </c>
      <c r="S1298" s="2">
        <f t="shared" ca="1" si="1257"/>
        <v>15630658.520810071</v>
      </c>
      <c r="T1298" s="2">
        <f t="shared" ca="1" si="1258"/>
        <v>50585912.501284182</v>
      </c>
      <c r="U1298" s="2">
        <f t="shared" ca="1" si="1259"/>
        <v>49574194.2512585</v>
      </c>
      <c r="V1298" s="2">
        <f t="shared" ca="1" si="1260"/>
        <v>48582710.366233326</v>
      </c>
      <c r="W1298" s="2">
        <f t="shared" ca="1" si="1261"/>
        <v>47611056.158908658</v>
      </c>
      <c r="X1298" s="2">
        <f t="shared" ca="1" si="1262"/>
        <v>46658835.035730481</v>
      </c>
      <c r="Y1298" s="2">
        <f t="shared" ca="1" si="1263"/>
        <v>0.12514472944120489</v>
      </c>
      <c r="Z1298" s="2">
        <f t="shared" ca="1" si="1264"/>
        <v>0.12720262121768683</v>
      </c>
      <c r="AA1298" s="2">
        <f t="shared" ca="1" si="1265"/>
        <v>6330560.3335096734</v>
      </c>
      <c r="AB1298" s="2">
        <f t="shared" ca="1" si="1266"/>
        <v>6305967.4535148628</v>
      </c>
      <c r="AC1298" s="2">
        <f t="shared" ca="1" si="1267"/>
        <v>6179848.1044445653</v>
      </c>
      <c r="AD1298" s="2">
        <f t="shared" ca="1" si="1268"/>
        <v>6056251.1423556739</v>
      </c>
      <c r="AE1298" s="2">
        <f t="shared" ca="1" si="1269"/>
        <v>5935126.1195085598</v>
      </c>
      <c r="AF1298" s="2">
        <f t="shared" ca="1" si="1270"/>
        <v>1011718.2500256837</v>
      </c>
      <c r="AG1298" s="2">
        <f t="shared" ca="1" si="1271"/>
        <v>991483.88502517005</v>
      </c>
      <c r="AH1298" s="2">
        <f t="shared" ca="1" si="1272"/>
        <v>971654.20732466655</v>
      </c>
      <c r="AI1298" s="2">
        <f t="shared" ca="1" si="1273"/>
        <v>952221.12317817321</v>
      </c>
      <c r="AJ1298" s="2">
        <f t="shared" ca="1" si="1274"/>
        <v>933176.70071460959</v>
      </c>
      <c r="AK1298" s="2">
        <f t="shared" ca="1" si="1275"/>
        <v>0</v>
      </c>
      <c r="AL1298" s="2">
        <f t="shared" ca="1" si="1276"/>
        <v>0</v>
      </c>
      <c r="AM1298" s="2">
        <f t="shared" ca="1" si="1277"/>
        <v>0</v>
      </c>
      <c r="AN1298" s="2">
        <f t="shared" ca="1" si="1278"/>
        <v>0</v>
      </c>
      <c r="AO1298" s="2">
        <f t="shared" ca="1" si="1279"/>
        <v>0</v>
      </c>
      <c r="AP1298" s="2">
        <f t="shared" ca="1" si="1280"/>
        <v>2110138.9003093592</v>
      </c>
      <c r="AQ1298" s="2">
        <f t="shared" ca="1" si="1281"/>
        <v>834262.82762540388</v>
      </c>
      <c r="AR1298" s="2">
        <f t="shared" ca="1" si="1282"/>
        <v>833129.6137268868</v>
      </c>
      <c r="AS1298" s="2">
        <f t="shared" ca="1" si="1283"/>
        <v>805494.29917074018</v>
      </c>
      <c r="AT1298" s="2">
        <f t="shared" ca="1" si="1284"/>
        <v>778411.69090571697</v>
      </c>
      <c r="AU1298" s="2">
        <f t="shared" ca="1" si="1285"/>
        <v>751870.73480599374</v>
      </c>
      <c r="AV1298" s="2">
        <f t="shared" ca="1" si="1286"/>
        <v>2374440.355549226</v>
      </c>
      <c r="AW1298" s="2">
        <f t="shared" ca="1" si="1287"/>
        <v>2371215.054453447</v>
      </c>
      <c r="AX1298" s="2">
        <f t="shared" ca="1" si="1288"/>
        <v>2292560.6976397992</v>
      </c>
      <c r="AY1298" s="2">
        <f t="shared" ca="1" si="1289"/>
        <v>2215479.4279624247</v>
      </c>
      <c r="AZ1298" s="2">
        <f t="shared" ca="1" si="1290"/>
        <v>2139939.7836785973</v>
      </c>
      <c r="BA1298" s="2">
        <f t="shared" ca="1" si="1291"/>
        <v>42045474.101648256</v>
      </c>
      <c r="BB1298" s="2">
        <f t="shared" ca="1" si="1292"/>
        <v>840909.48203296517</v>
      </c>
      <c r="BC1298" s="2">
        <f t="shared" ca="1" si="1293"/>
        <v>17758576.838400185</v>
      </c>
      <c r="BD1298" s="2">
        <f t="shared" ca="1" si="1294"/>
        <v>-17107574.678360701</v>
      </c>
      <c r="BE1298" s="2">
        <f t="shared" ca="1" si="1295"/>
        <v>2374440.355549226</v>
      </c>
      <c r="BF1298" s="2">
        <f t="shared" ca="1" si="1296"/>
        <v>2371215.054453447</v>
      </c>
      <c r="BG1298" s="2">
        <f t="shared" ca="1" si="1297"/>
        <v>2292560.6976397992</v>
      </c>
      <c r="BH1298" s="2">
        <f t="shared" ca="1" si="1298"/>
        <v>2215479.4279624247</v>
      </c>
      <c r="BI1298" s="2">
        <f t="shared" ca="1" si="1299"/>
        <v>19898516.622078784</v>
      </c>
      <c r="BJ1298" s="2">
        <f t="shared" ca="1" si="1300"/>
        <v>0.13989265191208688</v>
      </c>
      <c r="BK1298" s="2">
        <f t="shared" ca="1" si="1301"/>
        <v>1233508.8477746807</v>
      </c>
    </row>
    <row r="1299" spans="1:63" x14ac:dyDescent="0.3">
      <c r="A1299" s="2">
        <v>1298</v>
      </c>
      <c r="B1299" s="2">
        <f t="shared" ca="1" si="1240"/>
        <v>0.41650567605274025</v>
      </c>
      <c r="C1299" s="2">
        <f t="shared" ca="1" si="1241"/>
        <v>6.9126945557553636</v>
      </c>
      <c r="D1299" s="2">
        <f t="shared" ca="1" si="1242"/>
        <v>0.72625715227460408</v>
      </c>
      <c r="E1299" s="2">
        <f t="shared" ca="1" si="1243"/>
        <v>7.7600772368342819</v>
      </c>
      <c r="F1299" s="2">
        <f t="shared" ca="1" si="1244"/>
        <v>0.36738234425764305</v>
      </c>
      <c r="G1299" s="2">
        <f t="shared" ca="1" si="1245"/>
        <v>2.9836170719736758E-2</v>
      </c>
      <c r="H1299" s="2">
        <f t="shared" ca="1" si="1246"/>
        <v>2.9836170719736758E-2</v>
      </c>
      <c r="I1299" s="2">
        <f t="shared" ca="1" si="1247"/>
        <v>0.48820295938521119</v>
      </c>
      <c r="J1299" s="2">
        <f t="shared" ca="1" si="1248"/>
        <v>9.8521244675523461E-3</v>
      </c>
      <c r="K1299" s="2">
        <f t="shared" ca="1" si="1249"/>
        <v>9.8521244675523461E-3</v>
      </c>
      <c r="L1299" s="2">
        <f t="shared" ca="1" si="1250"/>
        <v>0.63758749606807641</v>
      </c>
      <c r="M1299" s="2">
        <f t="shared" ca="1" si="1251"/>
        <v>7.0403534790611745E-3</v>
      </c>
      <c r="N1299" s="2">
        <f t="shared" ca="1" si="1252"/>
        <v>7.0403534790611745E-3</v>
      </c>
      <c r="O1299" s="2">
        <f t="shared" si="1253"/>
        <v>6000000</v>
      </c>
      <c r="P1299" s="2">
        <f t="shared" ca="1" si="1254"/>
        <v>41476167.334532179</v>
      </c>
      <c r="Q1299" s="2">
        <f t="shared" ca="1" si="1255"/>
        <v>1036904.1833633045</v>
      </c>
      <c r="R1299" s="2">
        <f t="shared" ca="1" si="1256"/>
        <v>24885700.400719307</v>
      </c>
      <c r="S1299" s="2">
        <f t="shared" ca="1" si="1257"/>
        <v>16590466.933812872</v>
      </c>
      <c r="T1299" s="2">
        <f t="shared" ca="1" si="1258"/>
        <v>50352017.673953056</v>
      </c>
      <c r="U1299" s="2">
        <f t="shared" ca="1" si="1259"/>
        <v>51854329.069356322</v>
      </c>
      <c r="V1299" s="2">
        <f t="shared" ca="1" si="1260"/>
        <v>53401463.684027046</v>
      </c>
      <c r="W1299" s="2">
        <f t="shared" ca="1" si="1261"/>
        <v>54994758.871187501</v>
      </c>
      <c r="X1299" s="2">
        <f t="shared" ca="1" si="1262"/>
        <v>56635591.885559008</v>
      </c>
      <c r="Y1299" s="2">
        <f t="shared" ca="1" si="1263"/>
        <v>0.12492606223377617</v>
      </c>
      <c r="Z1299" s="2">
        <f t="shared" ca="1" si="1264"/>
        <v>0.12689648712728663</v>
      </c>
      <c r="AA1299" s="2">
        <f t="shared" ca="1" si="1265"/>
        <v>6290279.2935324572</v>
      </c>
      <c r="AB1299" s="2">
        <f t="shared" ca="1" si="1266"/>
        <v>6580132.2012436595</v>
      </c>
      <c r="AC1299" s="2">
        <f t="shared" ca="1" si="1267"/>
        <v>6776458.1489584027</v>
      </c>
      <c r="AD1299" s="2">
        <f t="shared" ca="1" si="1268"/>
        <v>6978641.7111658771</v>
      </c>
      <c r="AE1299" s="2">
        <f t="shared" ca="1" si="1269"/>
        <v>7186857.6566520976</v>
      </c>
      <c r="AF1299" s="2">
        <f t="shared" ca="1" si="1270"/>
        <v>1007040.3534790612</v>
      </c>
      <c r="AG1299" s="2">
        <f t="shared" ca="1" si="1271"/>
        <v>1037086.5813871265</v>
      </c>
      <c r="AH1299" s="2">
        <f t="shared" ca="1" si="1272"/>
        <v>1068029.273680541</v>
      </c>
      <c r="AI1299" s="2">
        <f t="shared" ca="1" si="1273"/>
        <v>1099895.1774237501</v>
      </c>
      <c r="AJ1299" s="2">
        <f t="shared" ca="1" si="1274"/>
        <v>1132711.8377111801</v>
      </c>
      <c r="AK1299" s="2">
        <f t="shared" ca="1" si="1275"/>
        <v>0</v>
      </c>
      <c r="AL1299" s="2">
        <f t="shared" ca="1" si="1276"/>
        <v>15023.11395403266</v>
      </c>
      <c r="AM1299" s="2">
        <f t="shared" ca="1" si="1277"/>
        <v>15471.346146707237</v>
      </c>
      <c r="AN1299" s="2">
        <f t="shared" ca="1" si="1278"/>
        <v>15932.951871604548</v>
      </c>
      <c r="AO1299" s="2">
        <f t="shared" ca="1" si="1279"/>
        <v>16408.330143715069</v>
      </c>
      <c r="AP1299" s="2">
        <f t="shared" ca="1" si="1280"/>
        <v>2239713.0360647375</v>
      </c>
      <c r="AQ1299" s="2">
        <f t="shared" ca="1" si="1281"/>
        <v>791316.73503705126</v>
      </c>
      <c r="AR1299" s="2">
        <f t="shared" ca="1" si="1282"/>
        <v>858866.47178586677</v>
      </c>
      <c r="AS1299" s="2">
        <f t="shared" ca="1" si="1283"/>
        <v>901866.11819541245</v>
      </c>
      <c r="AT1299" s="2">
        <f t="shared" ca="1" si="1284"/>
        <v>946148.70939612132</v>
      </c>
      <c r="AU1299" s="2">
        <f t="shared" ca="1" si="1285"/>
        <v>991752.52354780666</v>
      </c>
      <c r="AV1299" s="2">
        <f t="shared" ca="1" si="1286"/>
        <v>2252209.1689516073</v>
      </c>
      <c r="AW1299" s="2">
        <f t="shared" ca="1" si="1287"/>
        <v>2429442.9980518958</v>
      </c>
      <c r="AX1299" s="2">
        <f t="shared" ca="1" si="1288"/>
        <v>2551378.3748710044</v>
      </c>
      <c r="AY1299" s="2">
        <f t="shared" ca="1" si="1289"/>
        <v>2676951.8364096638</v>
      </c>
      <c r="AZ1299" s="2">
        <f t="shared" ca="1" si="1290"/>
        <v>2806271.9291846575</v>
      </c>
      <c r="BA1299" s="2">
        <f t="shared" ca="1" si="1291"/>
        <v>55770570.505754113</v>
      </c>
      <c r="BB1299" s="2">
        <f t="shared" ca="1" si="1292"/>
        <v>1115411.4101150823</v>
      </c>
      <c r="BC1299" s="2">
        <f t="shared" ca="1" si="1293"/>
        <v>29769458.694919724</v>
      </c>
      <c r="BD1299" s="2">
        <f t="shared" ca="1" si="1294"/>
        <v>-18127371.117176175</v>
      </c>
      <c r="BE1299" s="2">
        <f t="shared" ca="1" si="1295"/>
        <v>2252209.1689516073</v>
      </c>
      <c r="BF1299" s="2">
        <f t="shared" ca="1" si="1296"/>
        <v>2429442.9980518958</v>
      </c>
      <c r="BG1299" s="2">
        <f t="shared" ca="1" si="1297"/>
        <v>2551378.3748710044</v>
      </c>
      <c r="BH1299" s="2">
        <f t="shared" ca="1" si="1298"/>
        <v>2676951.8364096638</v>
      </c>
      <c r="BI1299" s="2">
        <f t="shared" ca="1" si="1299"/>
        <v>32575730.624104381</v>
      </c>
      <c r="BJ1299" s="2">
        <f t="shared" ca="1" si="1300"/>
        <v>0.2202851638163581</v>
      </c>
      <c r="BK1299" s="2">
        <f t="shared" ca="1" si="1301"/>
        <v>7821883.4301972277</v>
      </c>
    </row>
    <row r="1300" spans="1:63" x14ac:dyDescent="0.3">
      <c r="A1300" s="2">
        <v>1299</v>
      </c>
      <c r="B1300" s="2">
        <f t="shared" ca="1" si="1240"/>
        <v>0.85491691211460341</v>
      </c>
      <c r="C1300" s="2">
        <f t="shared" ca="1" si="1241"/>
        <v>7.4613292510533054</v>
      </c>
      <c r="D1300" s="2">
        <f t="shared" ca="1" si="1242"/>
        <v>0.25558349111671819</v>
      </c>
      <c r="E1300" s="2">
        <f t="shared" ca="1" si="1243"/>
        <v>7.2149594269841026</v>
      </c>
      <c r="F1300" s="2">
        <f t="shared" ca="1" si="1244"/>
        <v>0.90027235439823128</v>
      </c>
      <c r="G1300" s="2">
        <f t="shared" ca="1" si="1245"/>
        <v>7.8493150093174313E-2</v>
      </c>
      <c r="H1300" s="2">
        <f t="shared" ca="1" si="1246"/>
        <v>7.8493150093174313E-2</v>
      </c>
      <c r="I1300" s="2">
        <f t="shared" ca="1" si="1247"/>
        <v>0.96517647769869663</v>
      </c>
      <c r="J1300" s="2">
        <f t="shared" ca="1" si="1248"/>
        <v>1.9070996607414605E-2</v>
      </c>
      <c r="K1300" s="2">
        <f t="shared" ca="1" si="1249"/>
        <v>1.9070996607414605E-2</v>
      </c>
      <c r="L1300" s="2">
        <f t="shared" ca="1" si="1250"/>
        <v>0.92278848107643674</v>
      </c>
      <c r="M1300" s="2">
        <f t="shared" ca="1" si="1251"/>
        <v>2.8481619166363121E-2</v>
      </c>
      <c r="N1300" s="2">
        <f t="shared" ca="1" si="1252"/>
        <v>2.8481619166363121E-2</v>
      </c>
      <c r="O1300" s="2">
        <f t="shared" si="1253"/>
        <v>6000000</v>
      </c>
      <c r="P1300" s="2">
        <f t="shared" ca="1" si="1254"/>
        <v>44767975.506319836</v>
      </c>
      <c r="Q1300" s="2">
        <f t="shared" ca="1" si="1255"/>
        <v>1119199.387657996</v>
      </c>
      <c r="R1300" s="2">
        <f t="shared" ca="1" si="1256"/>
        <v>26860785.303791899</v>
      </c>
      <c r="S1300" s="2">
        <f t="shared" ca="1" si="1257"/>
        <v>17907190.202527937</v>
      </c>
      <c r="T1300" s="2">
        <f t="shared" ca="1" si="1258"/>
        <v>51424080.958318152</v>
      </c>
      <c r="U1300" s="2">
        <f t="shared" ca="1" si="1259"/>
        <v>55460519.063382961</v>
      </c>
      <c r="V1300" s="2">
        <f t="shared" ca="1" si="1260"/>
        <v>59813789.910470434</v>
      </c>
      <c r="W1300" s="2">
        <f t="shared" ca="1" si="1261"/>
        <v>64508762.699554585</v>
      </c>
      <c r="X1300" s="2">
        <f t="shared" ca="1" si="1262"/>
        <v>69572258.692455679</v>
      </c>
      <c r="Y1300" s="2">
        <f t="shared" ca="1" si="1263"/>
        <v>0.12953549830370731</v>
      </c>
      <c r="Z1300" s="2">
        <f t="shared" ca="1" si="1264"/>
        <v>0.13334969762519022</v>
      </c>
      <c r="AA1300" s="2">
        <f t="shared" ca="1" si="1265"/>
        <v>6661243.9517459283</v>
      </c>
      <c r="AB1300" s="2">
        <f t="shared" ca="1" si="1266"/>
        <v>7395643.4472382162</v>
      </c>
      <c r="AC1300" s="2">
        <f t="shared" ca="1" si="1267"/>
        <v>7976150.7983778864</v>
      </c>
      <c r="AD1300" s="2">
        <f t="shared" ca="1" si="1268"/>
        <v>8602224.0001607537</v>
      </c>
      <c r="AE1300" s="2">
        <f t="shared" ca="1" si="1269"/>
        <v>9277439.6597404778</v>
      </c>
      <c r="AF1300" s="2">
        <f t="shared" ca="1" si="1270"/>
        <v>1028481.619166363</v>
      </c>
      <c r="AG1300" s="2">
        <f t="shared" ca="1" si="1271"/>
        <v>1109210.3812676591</v>
      </c>
      <c r="AH1300" s="2">
        <f t="shared" ca="1" si="1272"/>
        <v>1196275.7982094088</v>
      </c>
      <c r="AI1300" s="2">
        <f t="shared" ca="1" si="1273"/>
        <v>1290175.2539910916</v>
      </c>
      <c r="AJ1300" s="2">
        <f t="shared" ca="1" si="1274"/>
        <v>1391445.1738491135</v>
      </c>
      <c r="AK1300" s="2">
        <f t="shared" ca="1" si="1275"/>
        <v>0</v>
      </c>
      <c r="AL1300" s="2">
        <f t="shared" ca="1" si="1276"/>
        <v>40364.381050648095</v>
      </c>
      <c r="AM1300" s="2">
        <f t="shared" ca="1" si="1277"/>
        <v>43532.708470874728</v>
      </c>
      <c r="AN1300" s="2">
        <f t="shared" ca="1" si="1278"/>
        <v>46949.727890841517</v>
      </c>
      <c r="AO1300" s="2">
        <f t="shared" ca="1" si="1279"/>
        <v>50634.959929010947</v>
      </c>
      <c r="AP1300" s="2">
        <f t="shared" ca="1" si="1280"/>
        <v>2417470.6773412707</v>
      </c>
      <c r="AQ1300" s="2">
        <f t="shared" ca="1" si="1281"/>
        <v>835975.83036195661</v>
      </c>
      <c r="AR1300" s="2">
        <f t="shared" ca="1" si="1282"/>
        <v>1005930.2210436144</v>
      </c>
      <c r="AS1300" s="2">
        <f t="shared" ca="1" si="1283"/>
        <v>1134225.1239350738</v>
      </c>
      <c r="AT1300" s="2">
        <f t="shared" ca="1" si="1284"/>
        <v>1272590.2978953817</v>
      </c>
      <c r="AU1300" s="2">
        <f t="shared" ca="1" si="1285"/>
        <v>1421816.1902230242</v>
      </c>
      <c r="AV1300" s="2">
        <f t="shared" ca="1" si="1286"/>
        <v>2379315.8248763378</v>
      </c>
      <c r="AW1300" s="2">
        <f t="shared" ca="1" si="1287"/>
        <v>2822667.7865350232</v>
      </c>
      <c r="AX1300" s="2">
        <f t="shared" ca="1" si="1288"/>
        <v>3184646.4904212593</v>
      </c>
      <c r="AY1300" s="2">
        <f t="shared" ca="1" si="1289"/>
        <v>3575038.0430421685</v>
      </c>
      <c r="AZ1300" s="2">
        <f t="shared" ca="1" si="1290"/>
        <v>3996072.6583980587</v>
      </c>
      <c r="BA1300" s="2">
        <f t="shared" ca="1" si="1291"/>
        <v>66936350.731320746</v>
      </c>
      <c r="BB1300" s="2">
        <f t="shared" ca="1" si="1292"/>
        <v>1338727.014626415</v>
      </c>
      <c r="BC1300" s="2">
        <f t="shared" ca="1" si="1293"/>
        <v>38736838.41290243</v>
      </c>
      <c r="BD1300" s="2">
        <f t="shared" ca="1" si="1294"/>
        <v>-19526389.590185933</v>
      </c>
      <c r="BE1300" s="2">
        <f t="shared" ca="1" si="1295"/>
        <v>2379315.8248763378</v>
      </c>
      <c r="BF1300" s="2">
        <f t="shared" ca="1" si="1296"/>
        <v>2822667.7865350232</v>
      </c>
      <c r="BG1300" s="2">
        <f t="shared" ca="1" si="1297"/>
        <v>3184646.4904212593</v>
      </c>
      <c r="BH1300" s="2">
        <f t="shared" ca="1" si="1298"/>
        <v>3575038.0430421685</v>
      </c>
      <c r="BI1300" s="2">
        <f t="shared" ca="1" si="1299"/>
        <v>42732911.071300492</v>
      </c>
      <c r="BJ1300" s="2">
        <f t="shared" ca="1" si="1300"/>
        <v>0.26937439416420017</v>
      </c>
      <c r="BK1300" s="2">
        <f t="shared" ca="1" si="1301"/>
        <v>13634784.15733318</v>
      </c>
    </row>
    <row r="1301" spans="1:63" x14ac:dyDescent="0.3">
      <c r="A1301" s="2">
        <v>1300</v>
      </c>
      <c r="B1301" s="2">
        <f t="shared" ca="1" si="1240"/>
        <v>0.54673951698944889</v>
      </c>
      <c r="C1301" s="2">
        <f t="shared" ca="1" si="1241"/>
        <v>7.0478860540769803</v>
      </c>
      <c r="D1301" s="2">
        <f t="shared" ca="1" si="1242"/>
        <v>0.67969034804578288</v>
      </c>
      <c r="E1301" s="2">
        <f t="shared" ca="1" si="1243"/>
        <v>7.6996130286489954</v>
      </c>
      <c r="F1301" s="2">
        <f t="shared" ca="1" si="1244"/>
        <v>0.57065281674183987</v>
      </c>
      <c r="G1301" s="2">
        <f t="shared" ca="1" si="1245"/>
        <v>4.5341092870671652E-2</v>
      </c>
      <c r="H1301" s="2">
        <f t="shared" ca="1" si="1246"/>
        <v>4.5341092870671652E-2</v>
      </c>
      <c r="I1301" s="2">
        <f t="shared" ca="1" si="1247"/>
        <v>9.9412848721901814E-2</v>
      </c>
      <c r="J1301" s="2">
        <f t="shared" ca="1" si="1248"/>
        <v>3.5754780607225719E-3</v>
      </c>
      <c r="K1301" s="2">
        <f t="shared" ca="1" si="1249"/>
        <v>3.5754780607225719E-3</v>
      </c>
      <c r="L1301" s="2">
        <f t="shared" ca="1" si="1250"/>
        <v>0.48537042291029753</v>
      </c>
      <c r="M1301" s="2">
        <f t="shared" ca="1" si="1251"/>
        <v>-7.3358268705548454E-4</v>
      </c>
      <c r="N1301" s="2">
        <f t="shared" ca="1" si="1252"/>
        <v>-7.3358268705548454E-4</v>
      </c>
      <c r="O1301" s="2">
        <f t="shared" si="1253"/>
        <v>6000000</v>
      </c>
      <c r="P1301" s="2">
        <f t="shared" ca="1" si="1254"/>
        <v>42287316.324461885</v>
      </c>
      <c r="Q1301" s="2">
        <f t="shared" ca="1" si="1255"/>
        <v>1057182.9081115471</v>
      </c>
      <c r="R1301" s="2">
        <f t="shared" ca="1" si="1256"/>
        <v>25372389.794677131</v>
      </c>
      <c r="S1301" s="2">
        <f t="shared" ca="1" si="1257"/>
        <v>16914926.529784754</v>
      </c>
      <c r="T1301" s="2">
        <f t="shared" ca="1" si="1258"/>
        <v>49963320.865647227</v>
      </c>
      <c r="U1301" s="2">
        <f t="shared" ca="1" si="1259"/>
        <v>52228712.437143706</v>
      </c>
      <c r="V1301" s="2">
        <f t="shared" ca="1" si="1260"/>
        <v>54596819.338271841</v>
      </c>
      <c r="W1301" s="2">
        <f t="shared" ca="1" si="1261"/>
        <v>57072298.794331707</v>
      </c>
      <c r="X1301" s="2">
        <f t="shared" ca="1" si="1262"/>
        <v>59660019.194308221</v>
      </c>
      <c r="Y1301" s="2">
        <f t="shared" ca="1" si="1263"/>
        <v>0.12178773903036128</v>
      </c>
      <c r="Z1301" s="2">
        <f t="shared" ca="1" si="1264"/>
        <v>0.12250283464250579</v>
      </c>
      <c r="AA1301" s="2">
        <f t="shared" ca="1" si="1265"/>
        <v>6084919.8826756487</v>
      </c>
      <c r="AB1301" s="2">
        <f t="shared" ca="1" si="1266"/>
        <v>6398165.323278401</v>
      </c>
      <c r="AC1301" s="2">
        <f t="shared" ca="1" si="1267"/>
        <v>6688265.1314030774</v>
      </c>
      <c r="AD1301" s="2">
        <f t="shared" ca="1" si="1268"/>
        <v>6991518.3818696998</v>
      </c>
      <c r="AE1301" s="2">
        <f t="shared" ca="1" si="1269"/>
        <v>7308521.4661290618</v>
      </c>
      <c r="AF1301" s="2">
        <f t="shared" ca="1" si="1270"/>
        <v>999266.41731294454</v>
      </c>
      <c r="AG1301" s="2">
        <f t="shared" ca="1" si="1271"/>
        <v>1044574.2487428741</v>
      </c>
      <c r="AH1301" s="2">
        <f t="shared" ca="1" si="1272"/>
        <v>1091936.3867654367</v>
      </c>
      <c r="AI1301" s="2">
        <f t="shared" ca="1" si="1273"/>
        <v>1141445.9758866341</v>
      </c>
      <c r="AJ1301" s="2">
        <f t="shared" ca="1" si="1274"/>
        <v>1193200.3838861645</v>
      </c>
      <c r="AK1301" s="2">
        <f t="shared" ca="1" si="1275"/>
        <v>0</v>
      </c>
      <c r="AL1301" s="2">
        <f t="shared" ca="1" si="1276"/>
        <v>22653.915714964791</v>
      </c>
      <c r="AM1301" s="2">
        <f t="shared" ca="1" si="1277"/>
        <v>23681.069011281357</v>
      </c>
      <c r="AN1301" s="2">
        <f t="shared" ca="1" si="1278"/>
        <v>24754.794560598657</v>
      </c>
      <c r="AO1301" s="2">
        <f t="shared" ca="1" si="1279"/>
        <v>25877.203999765145</v>
      </c>
      <c r="AP1301" s="2">
        <f t="shared" ca="1" si="1280"/>
        <v>2283515.0815209416</v>
      </c>
      <c r="AQ1301" s="2">
        <f t="shared" ca="1" si="1281"/>
        <v>728555.9797988584</v>
      </c>
      <c r="AR1301" s="2">
        <f t="shared" ca="1" si="1282"/>
        <v>798219.75818379235</v>
      </c>
      <c r="AS1301" s="2">
        <f t="shared" ca="1" si="1283"/>
        <v>861331.55241034168</v>
      </c>
      <c r="AT1301" s="2">
        <f t="shared" ca="1" si="1284"/>
        <v>927304.90436015243</v>
      </c>
      <c r="AU1301" s="2">
        <f t="shared" ca="1" si="1285"/>
        <v>996269.56018770835</v>
      </c>
      <c r="AV1301" s="2">
        <f t="shared" ca="1" si="1286"/>
        <v>2073582.4040429047</v>
      </c>
      <c r="AW1301" s="2">
        <f t="shared" ca="1" si="1287"/>
        <v>2249202.3191158283</v>
      </c>
      <c r="AX1301" s="2">
        <f t="shared" ca="1" si="1288"/>
        <v>2427801.0416950756</v>
      </c>
      <c r="AY1301" s="2">
        <f t="shared" ca="1" si="1289"/>
        <v>2614497.6255413736</v>
      </c>
      <c r="AZ1301" s="2">
        <f t="shared" ca="1" si="1290"/>
        <v>2809659.2365344814</v>
      </c>
      <c r="BA1301" s="2">
        <f t="shared" ca="1" si="1291"/>
        <v>56272787.100768179</v>
      </c>
      <c r="BB1301" s="2">
        <f t="shared" ca="1" si="1292"/>
        <v>1125455.7420153636</v>
      </c>
      <c r="BC1301" s="2">
        <f t="shared" ca="1" si="1293"/>
        <v>29774941.564075686</v>
      </c>
      <c r="BD1301" s="2">
        <f t="shared" ca="1" si="1294"/>
        <v>-18472109.4378963</v>
      </c>
      <c r="BE1301" s="2">
        <f t="shared" ca="1" si="1295"/>
        <v>2073582.4040429047</v>
      </c>
      <c r="BF1301" s="2">
        <f t="shared" ca="1" si="1296"/>
        <v>2249202.3191158283</v>
      </c>
      <c r="BG1301" s="2">
        <f t="shared" ca="1" si="1297"/>
        <v>2427801.0416950756</v>
      </c>
      <c r="BH1301" s="2">
        <f t="shared" ca="1" si="1298"/>
        <v>2614497.6255413736</v>
      </c>
      <c r="BI1301" s="2">
        <f t="shared" ca="1" si="1299"/>
        <v>32584600.800610166</v>
      </c>
      <c r="BJ1301" s="2">
        <f t="shared" ca="1" si="1300"/>
        <v>0.20890822096589523</v>
      </c>
      <c r="BK1301" s="2">
        <f t="shared" ca="1" si="1301"/>
        <v>7051352.6522423849</v>
      </c>
    </row>
    <row r="1302" spans="1:63" x14ac:dyDescent="0.3">
      <c r="A1302" s="2">
        <v>1301</v>
      </c>
      <c r="B1302" s="2">
        <f t="shared" ca="1" si="1240"/>
        <v>0.83440785698577602</v>
      </c>
      <c r="C1302" s="2">
        <f t="shared" ca="1" si="1241"/>
        <v>7.4245138698209594</v>
      </c>
      <c r="D1302" s="2">
        <f t="shared" ca="1" si="1242"/>
        <v>0.75489794055642334</v>
      </c>
      <c r="E1302" s="2">
        <f t="shared" ca="1" si="1243"/>
        <v>7.7998542159755919</v>
      </c>
      <c r="F1302" s="2">
        <f t="shared" ca="1" si="1244"/>
        <v>0.20362898934990781</v>
      </c>
      <c r="G1302" s="2">
        <f t="shared" ca="1" si="1245"/>
        <v>1.5138140955547403E-2</v>
      </c>
      <c r="H1302" s="2">
        <f t="shared" ca="1" si="1246"/>
        <v>1.5138140955547403E-2</v>
      </c>
      <c r="I1302" s="2">
        <f t="shared" ca="1" si="1247"/>
        <v>0.40745251264829707</v>
      </c>
      <c r="J1302" s="2">
        <f t="shared" ca="1" si="1248"/>
        <v>8.8294850535764156E-3</v>
      </c>
      <c r="K1302" s="2">
        <f t="shared" ca="1" si="1249"/>
        <v>8.8294850535764156E-3</v>
      </c>
      <c r="L1302" s="2">
        <f t="shared" ca="1" si="1250"/>
        <v>0.73935217296085609</v>
      </c>
      <c r="M1302" s="2">
        <f t="shared" ca="1" si="1251"/>
        <v>1.2826989423783637E-2</v>
      </c>
      <c r="N1302" s="2">
        <f t="shared" ca="1" si="1252"/>
        <v>1.2826989423783637E-2</v>
      </c>
      <c r="O1302" s="2">
        <f t="shared" si="1253"/>
        <v>6000000</v>
      </c>
      <c r="P1302" s="2">
        <f t="shared" ca="1" si="1254"/>
        <v>44547083.218925759</v>
      </c>
      <c r="Q1302" s="2">
        <f t="shared" ca="1" si="1255"/>
        <v>1113677.0804731441</v>
      </c>
      <c r="R1302" s="2">
        <f t="shared" ca="1" si="1256"/>
        <v>26728249.931355454</v>
      </c>
      <c r="S1302" s="2">
        <f t="shared" ca="1" si="1257"/>
        <v>17818833.287570305</v>
      </c>
      <c r="T1302" s="2">
        <f t="shared" ca="1" si="1258"/>
        <v>50641349.471189179</v>
      </c>
      <c r="U1302" s="2">
        <f t="shared" ca="1" si="1259"/>
        <v>51407965.35766317</v>
      </c>
      <c r="V1302" s="2">
        <f t="shared" ca="1" si="1260"/>
        <v>52186186.383485369</v>
      </c>
      <c r="W1302" s="2">
        <f t="shared" ca="1" si="1261"/>
        <v>52976188.228891037</v>
      </c>
      <c r="X1302" s="2">
        <f t="shared" ca="1" si="1262"/>
        <v>53778149.2335876</v>
      </c>
      <c r="Y1302" s="2">
        <f t="shared" ca="1" si="1263"/>
        <v>0.12441474252678821</v>
      </c>
      <c r="Z1302" s="2">
        <f t="shared" ca="1" si="1264"/>
        <v>0.1261806395375035</v>
      </c>
      <c r="AA1302" s="2">
        <f t="shared" ca="1" si="1265"/>
        <v>6300530.4556671036</v>
      </c>
      <c r="AB1302" s="2">
        <f t="shared" ca="1" si="1266"/>
        <v>6486689.9461517632</v>
      </c>
      <c r="AC1302" s="2">
        <f t="shared" ca="1" si="1267"/>
        <v>6584886.3728915406</v>
      </c>
      <c r="AD1302" s="2">
        <f t="shared" ca="1" si="1268"/>
        <v>6684569.3109806357</v>
      </c>
      <c r="AE1302" s="2">
        <f t="shared" ca="1" si="1269"/>
        <v>6785761.2634373866</v>
      </c>
      <c r="AF1302" s="2">
        <f t="shared" ca="1" si="1270"/>
        <v>1012826.9894237836</v>
      </c>
      <c r="AG1302" s="2">
        <f t="shared" ca="1" si="1271"/>
        <v>1028159.3071532634</v>
      </c>
      <c r="AH1302" s="2">
        <f t="shared" ca="1" si="1272"/>
        <v>1043723.7276697074</v>
      </c>
      <c r="AI1302" s="2">
        <f t="shared" ca="1" si="1273"/>
        <v>1059523.7645778207</v>
      </c>
      <c r="AJ1302" s="2">
        <f t="shared" ca="1" si="1274"/>
        <v>1075562.984671752</v>
      </c>
      <c r="AK1302" s="2">
        <f t="shared" ca="1" si="1275"/>
        <v>0</v>
      </c>
      <c r="AL1302" s="2">
        <f t="shared" ca="1" si="1276"/>
        <v>7666.1588647399103</v>
      </c>
      <c r="AM1302" s="2">
        <f t="shared" ca="1" si="1277"/>
        <v>7782.2102582219986</v>
      </c>
      <c r="AN1302" s="2">
        <f t="shared" ca="1" si="1278"/>
        <v>7900.0184540566806</v>
      </c>
      <c r="AO1302" s="2">
        <f t="shared" ca="1" si="1279"/>
        <v>8019.6100469656294</v>
      </c>
      <c r="AP1302" s="2">
        <f t="shared" ca="1" si="1280"/>
        <v>2405542.4938219907</v>
      </c>
      <c r="AQ1302" s="2">
        <f t="shared" ca="1" si="1281"/>
        <v>749361.85282954574</v>
      </c>
      <c r="AR1302" s="2">
        <f t="shared" ca="1" si="1282"/>
        <v>793776.91774589242</v>
      </c>
      <c r="AS1302" s="2">
        <f t="shared" ca="1" si="1283"/>
        <v>815261.23936395906</v>
      </c>
      <c r="AT1302" s="2">
        <f t="shared" ca="1" si="1284"/>
        <v>837070.79367101425</v>
      </c>
      <c r="AU1302" s="2">
        <f t="shared" ca="1" si="1285"/>
        <v>859210.50408534741</v>
      </c>
      <c r="AV1302" s="2">
        <f t="shared" ca="1" si="1286"/>
        <v>2132799.1195917837</v>
      </c>
      <c r="AW1302" s="2">
        <f t="shared" ca="1" si="1287"/>
        <v>2251545.0685658762</v>
      </c>
      <c r="AX1302" s="2">
        <f t="shared" ca="1" si="1288"/>
        <v>2312576.7017776612</v>
      </c>
      <c r="AY1302" s="2">
        <f t="shared" ca="1" si="1289"/>
        <v>2374532.2404557532</v>
      </c>
      <c r="AZ1302" s="2">
        <f t="shared" ca="1" si="1290"/>
        <v>2437425.6708113309</v>
      </c>
      <c r="BA1302" s="2">
        <f t="shared" ca="1" si="1291"/>
        <v>52927948.599225961</v>
      </c>
      <c r="BB1302" s="2">
        <f t="shared" ca="1" si="1292"/>
        <v>1058558.9719845192</v>
      </c>
      <c r="BC1302" s="2">
        <f t="shared" ca="1" si="1293"/>
        <v>25141139.695885986</v>
      </c>
      <c r="BD1302" s="2">
        <f t="shared" ca="1" si="1294"/>
        <v>-19432510.368043449</v>
      </c>
      <c r="BE1302" s="2">
        <f t="shared" ca="1" si="1295"/>
        <v>2132799.1195917837</v>
      </c>
      <c r="BF1302" s="2">
        <f t="shared" ca="1" si="1296"/>
        <v>2251545.0685658762</v>
      </c>
      <c r="BG1302" s="2">
        <f t="shared" ca="1" si="1297"/>
        <v>2312576.7017776612</v>
      </c>
      <c r="BH1302" s="2">
        <f t="shared" ca="1" si="1298"/>
        <v>2374532.2404557532</v>
      </c>
      <c r="BI1302" s="2">
        <f t="shared" ca="1" si="1299"/>
        <v>27578565.366697319</v>
      </c>
      <c r="BJ1302" s="2">
        <f t="shared" ca="1" si="1300"/>
        <v>0.16004165269462978</v>
      </c>
      <c r="BK1302" s="2">
        <f t="shared" ca="1" si="1301"/>
        <v>3070615.7195529044</v>
      </c>
    </row>
    <row r="1303" spans="1:63" x14ac:dyDescent="0.3">
      <c r="A1303" s="2">
        <v>1302</v>
      </c>
      <c r="B1303" s="2">
        <f t="shared" ca="1" si="1240"/>
        <v>0.59837681931291542</v>
      </c>
      <c r="C1303" s="2">
        <f t="shared" ca="1" si="1241"/>
        <v>7.1037598751594695</v>
      </c>
      <c r="D1303" s="2">
        <f t="shared" ca="1" si="1242"/>
        <v>0.77880817593714369</v>
      </c>
      <c r="E1303" s="2">
        <f t="shared" ca="1" si="1243"/>
        <v>7.8348807263913391</v>
      </c>
      <c r="F1303" s="2">
        <f t="shared" ca="1" si="1244"/>
        <v>0.47801648760031601</v>
      </c>
      <c r="G1303" s="2">
        <f t="shared" ca="1" si="1245"/>
        <v>3.8346027671565391E-2</v>
      </c>
      <c r="H1303" s="2">
        <f t="shared" ca="1" si="1246"/>
        <v>3.8346027671565391E-2</v>
      </c>
      <c r="I1303" s="2">
        <f t="shared" ca="1" si="1247"/>
        <v>0.9184617926730857</v>
      </c>
      <c r="J1303" s="2">
        <f t="shared" ca="1" si="1248"/>
        <v>1.6973995760874282E-2</v>
      </c>
      <c r="K1303" s="2">
        <f t="shared" ca="1" si="1249"/>
        <v>1.6973995760874282E-2</v>
      </c>
      <c r="L1303" s="2">
        <f t="shared" ca="1" si="1250"/>
        <v>0.12566079682616893</v>
      </c>
      <c r="M1303" s="2">
        <f t="shared" ca="1" si="1251"/>
        <v>-2.2942905063085918E-2</v>
      </c>
      <c r="N1303" s="2">
        <f t="shared" ca="1" si="1252"/>
        <v>-2.2942905063085918E-2</v>
      </c>
      <c r="O1303" s="2">
        <f t="shared" si="1253"/>
        <v>6000000</v>
      </c>
      <c r="P1303" s="2">
        <f t="shared" ca="1" si="1254"/>
        <v>42622559.250956818</v>
      </c>
      <c r="Q1303" s="2">
        <f t="shared" ca="1" si="1255"/>
        <v>1065563.9812739205</v>
      </c>
      <c r="R1303" s="2">
        <f t="shared" ca="1" si="1256"/>
        <v>25573535.55057409</v>
      </c>
      <c r="S1303" s="2">
        <f t="shared" ca="1" si="1257"/>
        <v>17049023.700382728</v>
      </c>
      <c r="T1303" s="2">
        <f t="shared" ca="1" si="1258"/>
        <v>48852854.7468457</v>
      </c>
      <c r="U1303" s="2">
        <f t="shared" ca="1" si="1259"/>
        <v>50726167.666803211</v>
      </c>
      <c r="V1303" s="2">
        <f t="shared" ca="1" si="1260"/>
        <v>52671314.695826918</v>
      </c>
      <c r="W1303" s="2">
        <f t="shared" ca="1" si="1261"/>
        <v>54691050.386650831</v>
      </c>
      <c r="X1303" s="2">
        <f t="shared" ca="1" si="1262"/>
        <v>56788234.918164328</v>
      </c>
      <c r="Y1303" s="2">
        <f t="shared" ca="1" si="1263"/>
        <v>0.12848699788043713</v>
      </c>
      <c r="Z1303" s="2">
        <f t="shared" ca="1" si="1264"/>
        <v>0.13188179703261199</v>
      </c>
      <c r="AA1303" s="2">
        <f t="shared" ca="1" si="1265"/>
        <v>6276956.644311267</v>
      </c>
      <c r="AB1303" s="2">
        <f t="shared" ca="1" si="1266"/>
        <v>6689858.1484755864</v>
      </c>
      <c r="AC1303" s="2">
        <f t="shared" ca="1" si="1267"/>
        <v>6946387.6341558788</v>
      </c>
      <c r="AD1303" s="2">
        <f t="shared" ca="1" si="1268"/>
        <v>7212754.0065926407</v>
      </c>
      <c r="AE1303" s="2">
        <f t="shared" ca="1" si="1269"/>
        <v>7489334.4713176368</v>
      </c>
      <c r="AF1303" s="2">
        <f t="shared" ca="1" si="1270"/>
        <v>977057.09493691404</v>
      </c>
      <c r="AG1303" s="2">
        <f t="shared" ca="1" si="1271"/>
        <v>1014523.3533360643</v>
      </c>
      <c r="AH1303" s="2">
        <f t="shared" ca="1" si="1272"/>
        <v>1053426.2939165384</v>
      </c>
      <c r="AI1303" s="2">
        <f t="shared" ca="1" si="1273"/>
        <v>1093821.0077330167</v>
      </c>
      <c r="AJ1303" s="2">
        <f t="shared" ca="1" si="1274"/>
        <v>1135764.6983632867</v>
      </c>
      <c r="AK1303" s="2">
        <f t="shared" ca="1" si="1275"/>
        <v>0</v>
      </c>
      <c r="AL1303" s="2">
        <f t="shared" ca="1" si="1276"/>
        <v>18733.129199575113</v>
      </c>
      <c r="AM1303" s="2">
        <f t="shared" ca="1" si="1277"/>
        <v>19451.47029023707</v>
      </c>
      <c r="AN1303" s="2">
        <f t="shared" ca="1" si="1278"/>
        <v>20197.356908239126</v>
      </c>
      <c r="AO1303" s="2">
        <f t="shared" ca="1" si="1279"/>
        <v>20971.845315134971</v>
      </c>
      <c r="AP1303" s="2">
        <f t="shared" ca="1" si="1280"/>
        <v>2301618.199551668</v>
      </c>
      <c r="AQ1303" s="2">
        <f t="shared" ca="1" si="1281"/>
        <v>779553.15095389821</v>
      </c>
      <c r="AR1303" s="2">
        <f t="shared" ca="1" si="1282"/>
        <v>877166.31485284213</v>
      </c>
      <c r="AS1303" s="2">
        <f t="shared" ca="1" si="1283"/>
        <v>933749.21657879488</v>
      </c>
      <c r="AT1303" s="2">
        <f t="shared" ca="1" si="1284"/>
        <v>992501.84782006848</v>
      </c>
      <c r="AU1303" s="2">
        <f t="shared" ca="1" si="1285"/>
        <v>1053507.4090846975</v>
      </c>
      <c r="AV1303" s="2">
        <f t="shared" ca="1" si="1286"/>
        <v>2218728.1988687869</v>
      </c>
      <c r="AW1303" s="2">
        <f t="shared" ca="1" si="1287"/>
        <v>2477817.1515354374</v>
      </c>
      <c r="AX1303" s="2">
        <f t="shared" ca="1" si="1288"/>
        <v>2638142.4538186407</v>
      </c>
      <c r="AY1303" s="2">
        <f t="shared" ca="1" si="1289"/>
        <v>2804615.5945796473</v>
      </c>
      <c r="AZ1303" s="2">
        <f t="shared" ca="1" si="1290"/>
        <v>2977472.31900285</v>
      </c>
      <c r="BA1303" s="2">
        <f t="shared" ca="1" si="1291"/>
        <v>58678042.302824825</v>
      </c>
      <c r="BB1303" s="2">
        <f t="shared" ca="1" si="1292"/>
        <v>1173560.8460564965</v>
      </c>
      <c r="BC1303" s="2">
        <f t="shared" ca="1" si="1293"/>
        <v>31930945.90619424</v>
      </c>
      <c r="BD1303" s="2">
        <f t="shared" ca="1" si="1294"/>
        <v>-18614587.681656647</v>
      </c>
      <c r="BE1303" s="2">
        <f t="shared" ca="1" si="1295"/>
        <v>2218728.1988687869</v>
      </c>
      <c r="BF1303" s="2">
        <f t="shared" ca="1" si="1296"/>
        <v>2477817.1515354374</v>
      </c>
      <c r="BG1303" s="2">
        <f t="shared" ca="1" si="1297"/>
        <v>2638142.4538186407</v>
      </c>
      <c r="BH1303" s="2">
        <f t="shared" ca="1" si="1298"/>
        <v>2804615.5945796473</v>
      </c>
      <c r="BI1303" s="2">
        <f t="shared" ca="1" si="1299"/>
        <v>34908418.225197092</v>
      </c>
      <c r="BJ1303" s="2">
        <f t="shared" ca="1" si="1300"/>
        <v>0.22790579663077115</v>
      </c>
      <c r="BK1303" s="2">
        <f t="shared" ca="1" si="1301"/>
        <v>8809855.8961678892</v>
      </c>
    </row>
    <row r="1304" spans="1:63" x14ac:dyDescent="0.3">
      <c r="A1304" s="2">
        <v>1303</v>
      </c>
      <c r="B1304" s="2">
        <f t="shared" ca="1" si="1240"/>
        <v>0.8345626007847553</v>
      </c>
      <c r="C1304" s="2">
        <f t="shared" ca="1" si="1241"/>
        <v>7.4247828249865195</v>
      </c>
      <c r="D1304" s="2">
        <f t="shared" ca="1" si="1242"/>
        <v>0.87811581439487119</v>
      </c>
      <c r="E1304" s="2">
        <f t="shared" ca="1" si="1243"/>
        <v>8.0062709536494161</v>
      </c>
      <c r="F1304" s="2">
        <f t="shared" ca="1" si="1244"/>
        <v>0.78499558942574987</v>
      </c>
      <c r="G1304" s="2">
        <f t="shared" ca="1" si="1245"/>
        <v>6.3675296736248416E-2</v>
      </c>
      <c r="H1304" s="2">
        <f t="shared" ca="1" si="1246"/>
        <v>6.3675296736248416E-2</v>
      </c>
      <c r="I1304" s="2">
        <f t="shared" ca="1" si="1247"/>
        <v>0.17719134771460354</v>
      </c>
      <c r="J1304" s="2">
        <f t="shared" ca="1" si="1248"/>
        <v>5.3693910908051016E-3</v>
      </c>
      <c r="K1304" s="2">
        <f t="shared" ca="1" si="1249"/>
        <v>5.3693910908051016E-3</v>
      </c>
      <c r="L1304" s="2">
        <f t="shared" ca="1" si="1250"/>
        <v>0.6176153567157241</v>
      </c>
      <c r="M1304" s="2">
        <f t="shared" ca="1" si="1251"/>
        <v>5.9844761147763601E-3</v>
      </c>
      <c r="N1304" s="2">
        <f t="shared" ca="1" si="1252"/>
        <v>5.9844761147763601E-3</v>
      </c>
      <c r="O1304" s="2">
        <f t="shared" si="1253"/>
        <v>6000000</v>
      </c>
      <c r="P1304" s="2">
        <f t="shared" ca="1" si="1254"/>
        <v>44548696.949919119</v>
      </c>
      <c r="Q1304" s="2">
        <f t="shared" ca="1" si="1255"/>
        <v>1113717.4237479779</v>
      </c>
      <c r="R1304" s="2">
        <f t="shared" ca="1" si="1256"/>
        <v>26729218.169951472</v>
      </c>
      <c r="S1304" s="2">
        <f t="shared" ca="1" si="1257"/>
        <v>17819478.779967647</v>
      </c>
      <c r="T1304" s="2">
        <f t="shared" ca="1" si="1258"/>
        <v>50299223.805738814</v>
      </c>
      <c r="U1304" s="2">
        <f t="shared" ca="1" si="1259"/>
        <v>53502041.807172202</v>
      </c>
      <c r="V1304" s="2">
        <f t="shared" ca="1" si="1260"/>
        <v>56908800.19523906</v>
      </c>
      <c r="W1304" s="2">
        <f t="shared" ca="1" si="1261"/>
        <v>60532484.934574775</v>
      </c>
      <c r="X1304" s="2">
        <f t="shared" ca="1" si="1262"/>
        <v>64386908.874966308</v>
      </c>
      <c r="Y1304" s="2">
        <f t="shared" ca="1" si="1263"/>
        <v>0.12268469554540255</v>
      </c>
      <c r="Z1304" s="2">
        <f t="shared" ca="1" si="1264"/>
        <v>0.12375857376356357</v>
      </c>
      <c r="AA1304" s="2">
        <f t="shared" ca="1" si="1265"/>
        <v>6170944.9587771306</v>
      </c>
      <c r="AB1304" s="2">
        <f t="shared" ca="1" si="1266"/>
        <v>6621336.3874941831</v>
      </c>
      <c r="AC1304" s="2">
        <f t="shared" ca="1" si="1267"/>
        <v>7042951.9467583941</v>
      </c>
      <c r="AD1304" s="2">
        <f t="shared" ca="1" si="1268"/>
        <v>7491414.0018673725</v>
      </c>
      <c r="AE1304" s="2">
        <f t="shared" ca="1" si="1269"/>
        <v>7968432.0114103639</v>
      </c>
      <c r="AF1304" s="2">
        <f t="shared" ca="1" si="1270"/>
        <v>1005984.4761147763</v>
      </c>
      <c r="AG1304" s="2">
        <f t="shared" ca="1" si="1271"/>
        <v>1070040.8361434441</v>
      </c>
      <c r="AH1304" s="2">
        <f t="shared" ca="1" si="1272"/>
        <v>1138176.0039047813</v>
      </c>
      <c r="AI1304" s="2">
        <f t="shared" ca="1" si="1273"/>
        <v>1210649.6986914955</v>
      </c>
      <c r="AJ1304" s="2">
        <f t="shared" ca="1" si="1274"/>
        <v>1287738.1774993262</v>
      </c>
      <c r="AK1304" s="2">
        <f t="shared" ca="1" si="1275"/>
        <v>0</v>
      </c>
      <c r="AL1304" s="2">
        <f t="shared" ca="1" si="1276"/>
        <v>32028.180014333873</v>
      </c>
      <c r="AM1304" s="2">
        <f t="shared" ca="1" si="1277"/>
        <v>34067.583880668579</v>
      </c>
      <c r="AN1304" s="2">
        <f t="shared" ca="1" si="1278"/>
        <v>36236.847393357159</v>
      </c>
      <c r="AO1304" s="2">
        <f t="shared" ca="1" si="1279"/>
        <v>38544.23940391533</v>
      </c>
      <c r="AP1304" s="2">
        <f t="shared" ca="1" si="1280"/>
        <v>2405629.6352956323</v>
      </c>
      <c r="AQ1304" s="2">
        <f t="shared" ca="1" si="1281"/>
        <v>717426.02031534782</v>
      </c>
      <c r="AR1304" s="2">
        <f t="shared" ca="1" si="1282"/>
        <v>817873.13817432779</v>
      </c>
      <c r="AS1304" s="2">
        <f t="shared" ca="1" si="1283"/>
        <v>909778.03996507498</v>
      </c>
      <c r="AT1304" s="2">
        <f t="shared" ca="1" si="1284"/>
        <v>1007535.0136488636</v>
      </c>
      <c r="AU1304" s="2">
        <f t="shared" ca="1" si="1285"/>
        <v>1111516.6916400054</v>
      </c>
      <c r="AV1304" s="2">
        <f t="shared" ca="1" si="1286"/>
        <v>2041904.8270513741</v>
      </c>
      <c r="AW1304" s="2">
        <f t="shared" ca="1" si="1287"/>
        <v>2295764.5978664448</v>
      </c>
      <c r="AX1304" s="2">
        <f t="shared" ca="1" si="1288"/>
        <v>2555300.6837122375</v>
      </c>
      <c r="AY1304" s="2">
        <f t="shared" ca="1" si="1289"/>
        <v>2831362.8068380235</v>
      </c>
      <c r="AZ1304" s="2">
        <f t="shared" ca="1" si="1290"/>
        <v>3125003.2675714847</v>
      </c>
      <c r="BA1304" s="2">
        <f t="shared" ca="1" si="1291"/>
        <v>63797425.759084992</v>
      </c>
      <c r="BB1304" s="2">
        <f t="shared" ca="1" si="1292"/>
        <v>1275948.5151816998</v>
      </c>
      <c r="BC1304" s="2">
        <f t="shared" ca="1" si="1293"/>
        <v>35792259.073951818</v>
      </c>
      <c r="BD1304" s="2">
        <f t="shared" ca="1" si="1294"/>
        <v>-19433196.203715626</v>
      </c>
      <c r="BE1304" s="2">
        <f t="shared" ca="1" si="1295"/>
        <v>2041904.8270513741</v>
      </c>
      <c r="BF1304" s="2">
        <f t="shared" ca="1" si="1296"/>
        <v>2295764.5978664448</v>
      </c>
      <c r="BG1304" s="2">
        <f t="shared" ca="1" si="1297"/>
        <v>2555300.6837122375</v>
      </c>
      <c r="BH1304" s="2">
        <f t="shared" ca="1" si="1298"/>
        <v>2831362.8068380235</v>
      </c>
      <c r="BI1304" s="2">
        <f t="shared" ca="1" si="1299"/>
        <v>38917262.341523305</v>
      </c>
      <c r="BJ1304" s="2">
        <f t="shared" ca="1" si="1300"/>
        <v>0.23265780589921992</v>
      </c>
      <c r="BK1304" s="2">
        <f t="shared" ca="1" si="1301"/>
        <v>9920997.1956546791</v>
      </c>
    </row>
    <row r="1305" spans="1:63" x14ac:dyDescent="0.3">
      <c r="A1305" s="2">
        <v>1304</v>
      </c>
      <c r="B1305" s="2">
        <f t="shared" ca="1" si="1240"/>
        <v>0.23133378698937201</v>
      </c>
      <c r="C1305" s="2">
        <f t="shared" ca="1" si="1241"/>
        <v>6.68019671711847</v>
      </c>
      <c r="D1305" s="2">
        <f t="shared" ca="1" si="1242"/>
        <v>0.79851459975715933</v>
      </c>
      <c r="E1305" s="2">
        <f t="shared" ca="1" si="1243"/>
        <v>7.8652001886533984</v>
      </c>
      <c r="F1305" s="2">
        <f t="shared" ca="1" si="1244"/>
        <v>0.15917490539354084</v>
      </c>
      <c r="G1305" s="2">
        <f t="shared" ca="1" si="1245"/>
        <v>1.0064358363454273E-2</v>
      </c>
      <c r="H1305" s="2">
        <f t="shared" ca="1" si="1246"/>
        <v>1.0064358363454273E-2</v>
      </c>
      <c r="I1305" s="2">
        <f t="shared" ca="1" si="1247"/>
        <v>8.3794403751008772E-2</v>
      </c>
      <c r="J1305" s="2">
        <f t="shared" ca="1" si="1248"/>
        <v>3.1000351199346318E-3</v>
      </c>
      <c r="K1305" s="2">
        <f t="shared" ca="1" si="1249"/>
        <v>3.1000351199346318E-3</v>
      </c>
      <c r="L1305" s="2">
        <f t="shared" ca="1" si="1250"/>
        <v>0.33319205259541518</v>
      </c>
      <c r="M1305" s="2">
        <f t="shared" ca="1" si="1251"/>
        <v>-8.6223178590114531E-3</v>
      </c>
      <c r="N1305" s="2">
        <f t="shared" ca="1" si="1252"/>
        <v>-8.6223178590114531E-3</v>
      </c>
      <c r="O1305" s="2">
        <f t="shared" si="1253"/>
        <v>6000000</v>
      </c>
      <c r="P1305" s="2">
        <f t="shared" ca="1" si="1254"/>
        <v>40081180.302710816</v>
      </c>
      <c r="Q1305" s="2">
        <f t="shared" ca="1" si="1255"/>
        <v>1002029.5075677704</v>
      </c>
      <c r="R1305" s="2">
        <f t="shared" ca="1" si="1256"/>
        <v>24048708.181626488</v>
      </c>
      <c r="S1305" s="2">
        <f t="shared" ca="1" si="1257"/>
        <v>16032472.121084327</v>
      </c>
      <c r="T1305" s="2">
        <f t="shared" ca="1" si="1258"/>
        <v>49568884.107049428</v>
      </c>
      <c r="U1305" s="2">
        <f t="shared" ca="1" si="1259"/>
        <v>50067763.120379306</v>
      </c>
      <c r="V1305" s="2">
        <f t="shared" ca="1" si="1260"/>
        <v>50571663.030879349</v>
      </c>
      <c r="W1305" s="2">
        <f t="shared" ca="1" si="1261"/>
        <v>51080634.370657973</v>
      </c>
      <c r="X1305" s="2">
        <f t="shared" ca="1" si="1262"/>
        <v>51594728.180396855</v>
      </c>
      <c r="Y1305" s="2">
        <f t="shared" ca="1" si="1263"/>
        <v>0.1215500175599673</v>
      </c>
      <c r="Z1305" s="2">
        <f t="shared" ca="1" si="1264"/>
        <v>0.12217002458395423</v>
      </c>
      <c r="AA1305" s="2">
        <f t="shared" ca="1" si="1265"/>
        <v>6025098.7336398419</v>
      </c>
      <c r="AB1305" s="2">
        <f t="shared" ca="1" si="1266"/>
        <v>6116779.8512803372</v>
      </c>
      <c r="AC1305" s="2">
        <f t="shared" ca="1" si="1267"/>
        <v>6178341.3157339795</v>
      </c>
      <c r="AD1305" s="2">
        <f t="shared" ca="1" si="1268"/>
        <v>6240522.3568272619</v>
      </c>
      <c r="AE1305" s="2">
        <f t="shared" ca="1" si="1269"/>
        <v>6303329.2102015205</v>
      </c>
      <c r="AF1305" s="2">
        <f t="shared" ca="1" si="1270"/>
        <v>991377.68214098853</v>
      </c>
      <c r="AG1305" s="2">
        <f t="shared" ca="1" si="1271"/>
        <v>1001355.2624075861</v>
      </c>
      <c r="AH1305" s="2">
        <f t="shared" ca="1" si="1272"/>
        <v>1011433.260617587</v>
      </c>
      <c r="AI1305" s="2">
        <f t="shared" ca="1" si="1273"/>
        <v>1021612.6874131595</v>
      </c>
      <c r="AJ1305" s="2">
        <f t="shared" ca="1" si="1274"/>
        <v>1031894.5636079371</v>
      </c>
      <c r="AK1305" s="2">
        <f t="shared" ca="1" si="1275"/>
        <v>0</v>
      </c>
      <c r="AL1305" s="2">
        <f t="shared" ca="1" si="1276"/>
        <v>4988.7901332987849</v>
      </c>
      <c r="AM1305" s="2">
        <f t="shared" ca="1" si="1277"/>
        <v>5038.9991050004219</v>
      </c>
      <c r="AN1305" s="2">
        <f t="shared" ca="1" si="1278"/>
        <v>5089.713397786245</v>
      </c>
      <c r="AO1305" s="2">
        <f t="shared" ca="1" si="1279"/>
        <v>5140.9380973888192</v>
      </c>
      <c r="AP1305" s="2">
        <f t="shared" ca="1" si="1280"/>
        <v>2164383.7363463836</v>
      </c>
      <c r="AQ1305" s="2">
        <f t="shared" ca="1" si="1281"/>
        <v>746027.7019396422</v>
      </c>
      <c r="AR1305" s="2">
        <f t="shared" ca="1" si="1282"/>
        <v>767270.62165685557</v>
      </c>
      <c r="AS1305" s="2">
        <f t="shared" ca="1" si="1283"/>
        <v>780656.32288020244</v>
      </c>
      <c r="AT1305" s="2">
        <f t="shared" ca="1" si="1284"/>
        <v>794176.74259760685</v>
      </c>
      <c r="AU1305" s="2">
        <f t="shared" ca="1" si="1285"/>
        <v>807833.23666427203</v>
      </c>
      <c r="AV1305" s="2">
        <f t="shared" ca="1" si="1286"/>
        <v>2123309.6132128276</v>
      </c>
      <c r="AW1305" s="2">
        <f t="shared" ca="1" si="1287"/>
        <v>2178781.4407362137</v>
      </c>
      <c r="AX1305" s="2">
        <f t="shared" ca="1" si="1288"/>
        <v>2216828.9967848053</v>
      </c>
      <c r="AY1305" s="2">
        <f t="shared" ca="1" si="1289"/>
        <v>2255259.4770723255</v>
      </c>
      <c r="AZ1305" s="2">
        <f t="shared" ca="1" si="1290"/>
        <v>2294076.7354855398</v>
      </c>
      <c r="BA1305" s="2">
        <f t="shared" ca="1" si="1291"/>
        <v>49576946.093221478</v>
      </c>
      <c r="BB1305" s="2">
        <f t="shared" ca="1" si="1292"/>
        <v>991538.92186442961</v>
      </c>
      <c r="BC1305" s="2">
        <f t="shared" ca="1" si="1293"/>
        <v>24536698.989730559</v>
      </c>
      <c r="BD1305" s="2">
        <f t="shared" ca="1" si="1294"/>
        <v>-17534501.628652096</v>
      </c>
      <c r="BE1305" s="2">
        <f t="shared" ca="1" si="1295"/>
        <v>2123309.6132128276</v>
      </c>
      <c r="BF1305" s="2">
        <f t="shared" ca="1" si="1296"/>
        <v>2178781.4407362137</v>
      </c>
      <c r="BG1305" s="2">
        <f t="shared" ca="1" si="1297"/>
        <v>2216828.9967848053</v>
      </c>
      <c r="BH1305" s="2">
        <f t="shared" ca="1" si="1298"/>
        <v>2255259.4770723255</v>
      </c>
      <c r="BI1305" s="2">
        <f t="shared" ca="1" si="1299"/>
        <v>26830775.725216098</v>
      </c>
      <c r="BJ1305" s="2">
        <f t="shared" ca="1" si="1300"/>
        <v>0.18114815002325346</v>
      </c>
      <c r="BK1305" s="2">
        <f t="shared" ca="1" si="1301"/>
        <v>4333877.7191939354</v>
      </c>
    </row>
    <row r="1306" spans="1:63" x14ac:dyDescent="0.3">
      <c r="A1306" s="2">
        <v>1305</v>
      </c>
      <c r="B1306" s="2">
        <f t="shared" ca="1" si="1240"/>
        <v>6.2624150496653486E-2</v>
      </c>
      <c r="C1306" s="2">
        <f t="shared" ca="1" si="1241"/>
        <v>6.3539043670164395</v>
      </c>
      <c r="D1306" s="2">
        <f t="shared" ca="1" si="1242"/>
        <v>0.26099145592927175</v>
      </c>
      <c r="E1306" s="2">
        <f t="shared" ca="1" si="1243"/>
        <v>7.2224838488565286</v>
      </c>
      <c r="F1306" s="2">
        <f t="shared" ca="1" si="1244"/>
        <v>0.75822533474712306</v>
      </c>
      <c r="G1306" s="2">
        <f t="shared" ca="1" si="1245"/>
        <v>6.1018160894680373E-2</v>
      </c>
      <c r="H1306" s="2">
        <f t="shared" ca="1" si="1246"/>
        <v>6.1018160894680373E-2</v>
      </c>
      <c r="I1306" s="2">
        <f t="shared" ca="1" si="1247"/>
        <v>0.45650610811878445</v>
      </c>
      <c r="J1306" s="2">
        <f t="shared" ca="1" si="1248"/>
        <v>9.4538005138880467E-3</v>
      </c>
      <c r="K1306" s="2">
        <f t="shared" ca="1" si="1249"/>
        <v>9.4538005138880467E-3</v>
      </c>
      <c r="L1306" s="2">
        <f t="shared" ca="1" si="1250"/>
        <v>0.38206540177482451</v>
      </c>
      <c r="M1306" s="2">
        <f t="shared" ca="1" si="1251"/>
        <v>-6.0012153638135859E-3</v>
      </c>
      <c r="N1306" s="2">
        <f t="shared" ca="1" si="1252"/>
        <v>-6.0012153638135859E-3</v>
      </c>
      <c r="O1306" s="2">
        <f t="shared" si="1253"/>
        <v>6000000</v>
      </c>
      <c r="P1306" s="2">
        <f t="shared" ca="1" si="1254"/>
        <v>38123426.202098638</v>
      </c>
      <c r="Q1306" s="2">
        <f t="shared" ca="1" si="1255"/>
        <v>953085.65505246597</v>
      </c>
      <c r="R1306" s="2">
        <f t="shared" ca="1" si="1256"/>
        <v>22874055.72125918</v>
      </c>
      <c r="S1306" s="2">
        <f t="shared" ca="1" si="1257"/>
        <v>15249370.480839456</v>
      </c>
      <c r="T1306" s="2">
        <f t="shared" ca="1" si="1258"/>
        <v>49699939.231809318</v>
      </c>
      <c r="U1306" s="2">
        <f t="shared" ca="1" si="1259"/>
        <v>52732538.1203117</v>
      </c>
      <c r="V1306" s="2">
        <f t="shared" ca="1" si="1260"/>
        <v>55950180.615721755</v>
      </c>
      <c r="W1306" s="2">
        <f t="shared" ca="1" si="1261"/>
        <v>59364157.738618299</v>
      </c>
      <c r="X1306" s="2">
        <f t="shared" ca="1" si="1262"/>
        <v>62986449.466890499</v>
      </c>
      <c r="Y1306" s="2">
        <f t="shared" ca="1" si="1263"/>
        <v>0.12472690025694402</v>
      </c>
      <c r="Z1306" s="2">
        <f t="shared" ca="1" si="1264"/>
        <v>0.12661766035972163</v>
      </c>
      <c r="AA1306" s="2">
        <f t="shared" ca="1" si="1265"/>
        <v>6198919.3633420598</v>
      </c>
      <c r="AB1306" s="2">
        <f t="shared" ca="1" si="1266"/>
        <v>6676870.6016237009</v>
      </c>
      <c r="AC1306" s="2">
        <f t="shared" ca="1" si="1267"/>
        <v>7084280.966266538</v>
      </c>
      <c r="AD1306" s="2">
        <f t="shared" ca="1" si="1268"/>
        <v>7516550.762089313</v>
      </c>
      <c r="AE1306" s="2">
        <f t="shared" ca="1" si="1269"/>
        <v>7975196.8658635113</v>
      </c>
      <c r="AF1306" s="2">
        <f t="shared" ca="1" si="1270"/>
        <v>993998.78463618644</v>
      </c>
      <c r="AG1306" s="2">
        <f t="shared" ca="1" si="1271"/>
        <v>1054650.7624062339</v>
      </c>
      <c r="AH1306" s="2">
        <f t="shared" ca="1" si="1272"/>
        <v>1119003.6123144352</v>
      </c>
      <c r="AI1306" s="2">
        <f t="shared" ca="1" si="1273"/>
        <v>1187283.1547723659</v>
      </c>
      <c r="AJ1306" s="2">
        <f t="shared" ca="1" si="1274"/>
        <v>1259728.9893378101</v>
      </c>
      <c r="AK1306" s="2">
        <f t="shared" ca="1" si="1275"/>
        <v>0</v>
      </c>
      <c r="AL1306" s="2">
        <f t="shared" ca="1" si="1276"/>
        <v>30325.988885023817</v>
      </c>
      <c r="AM1306" s="2">
        <f t="shared" ca="1" si="1277"/>
        <v>32176.424954100548</v>
      </c>
      <c r="AN1306" s="2">
        <f t="shared" ca="1" si="1278"/>
        <v>34139.771228965445</v>
      </c>
      <c r="AO1306" s="2">
        <f t="shared" ca="1" si="1279"/>
        <v>36222.917282721995</v>
      </c>
      <c r="AP1306" s="2">
        <f t="shared" ca="1" si="1280"/>
        <v>2058665.0149133261</v>
      </c>
      <c r="AQ1306" s="2">
        <f t="shared" ca="1" si="1281"/>
        <v>818026.44658606232</v>
      </c>
      <c r="AR1306" s="2">
        <f t="shared" ca="1" si="1282"/>
        <v>926524.25431907678</v>
      </c>
      <c r="AS1306" s="2">
        <f t="shared" ca="1" si="1283"/>
        <v>1015719.2081500818</v>
      </c>
      <c r="AT1306" s="2">
        <f t="shared" ca="1" si="1284"/>
        <v>1110356.6740249414</v>
      </c>
      <c r="AU1306" s="2">
        <f t="shared" ca="1" si="1285"/>
        <v>1210768.7440192176</v>
      </c>
      <c r="AV1306" s="2">
        <f t="shared" ca="1" si="1286"/>
        <v>2328229.117206485</v>
      </c>
      <c r="AW1306" s="2">
        <f t="shared" ca="1" si="1287"/>
        <v>2606704.581100041</v>
      </c>
      <c r="AX1306" s="2">
        <f t="shared" ca="1" si="1288"/>
        <v>2858716.7059345935</v>
      </c>
      <c r="AY1306" s="2">
        <f t="shared" ca="1" si="1289"/>
        <v>3126106.1471497137</v>
      </c>
      <c r="AZ1306" s="2">
        <f t="shared" ca="1" si="1290"/>
        <v>3409811.2003104351</v>
      </c>
      <c r="BA1306" s="2">
        <f t="shared" ca="1" si="1291"/>
        <v>57600730.555150419</v>
      </c>
      <c r="BB1306" s="2">
        <f t="shared" ca="1" si="1292"/>
        <v>1152014.6111030085</v>
      </c>
      <c r="BC1306" s="2">
        <f t="shared" ca="1" si="1293"/>
        <v>33574660.222788237</v>
      </c>
      <c r="BD1306" s="2">
        <f t="shared" ca="1" si="1294"/>
        <v>-16702456.135891922</v>
      </c>
      <c r="BE1306" s="2">
        <f t="shared" ca="1" si="1295"/>
        <v>2328229.117206485</v>
      </c>
      <c r="BF1306" s="2">
        <f t="shared" ca="1" si="1296"/>
        <v>2606704.581100041</v>
      </c>
      <c r="BG1306" s="2">
        <f t="shared" ca="1" si="1297"/>
        <v>2858716.7059345935</v>
      </c>
      <c r="BH1306" s="2">
        <f t="shared" ca="1" si="1298"/>
        <v>3126106.1471497137</v>
      </c>
      <c r="BI1306" s="2">
        <f t="shared" ca="1" si="1299"/>
        <v>36984471.423098668</v>
      </c>
      <c r="BJ1306" s="2">
        <f t="shared" ca="1" si="1300"/>
        <v>0.2799826589766139</v>
      </c>
      <c r="BK1306" s="2">
        <f t="shared" ca="1" si="1301"/>
        <v>12461826.181178857</v>
      </c>
    </row>
    <row r="1307" spans="1:63" x14ac:dyDescent="0.3">
      <c r="A1307" s="2">
        <v>1306</v>
      </c>
      <c r="B1307" s="2">
        <f t="shared" ca="1" si="1240"/>
        <v>0.76143424314230002</v>
      </c>
      <c r="C1307" s="2">
        <f t="shared" ca="1" si="1241"/>
        <v>7.3092529307225398</v>
      </c>
      <c r="D1307" s="2">
        <f t="shared" ca="1" si="1242"/>
        <v>0.47540800884663026</v>
      </c>
      <c r="E1307" s="2">
        <f t="shared" ca="1" si="1243"/>
        <v>7.4750979528710237</v>
      </c>
      <c r="F1307" s="2">
        <f t="shared" ca="1" si="1244"/>
        <v>6.0981160228087306E-2</v>
      </c>
      <c r="G1307" s="2">
        <f t="shared" ca="1" si="1245"/>
        <v>-6.3976778868515202E-3</v>
      </c>
      <c r="H1307" s="2">
        <f t="shared" ca="1" si="1246"/>
        <v>-6.3976778868515202E-3</v>
      </c>
      <c r="I1307" s="2">
        <f t="shared" ca="1" si="1247"/>
        <v>0.70879361419540698</v>
      </c>
      <c r="J1307" s="2">
        <f t="shared" ca="1" si="1248"/>
        <v>1.2749319170367757E-2</v>
      </c>
      <c r="K1307" s="2">
        <f t="shared" ca="1" si="1249"/>
        <v>1.2749319170367757E-2</v>
      </c>
      <c r="L1307" s="2">
        <f t="shared" ca="1" si="1250"/>
        <v>0.74029859314889013</v>
      </c>
      <c r="M1307" s="2">
        <f t="shared" ca="1" si="1251"/>
        <v>1.2885324487247584E-2</v>
      </c>
      <c r="N1307" s="2">
        <f t="shared" ca="1" si="1252"/>
        <v>1.2885324487247584E-2</v>
      </c>
      <c r="O1307" s="2">
        <f t="shared" si="1253"/>
        <v>6000000</v>
      </c>
      <c r="P1307" s="2">
        <f t="shared" ca="1" si="1254"/>
        <v>43855517.584335238</v>
      </c>
      <c r="Q1307" s="2">
        <f t="shared" ca="1" si="1255"/>
        <v>1096387.9396083809</v>
      </c>
      <c r="R1307" s="2">
        <f t="shared" ca="1" si="1256"/>
        <v>26313310.550601143</v>
      </c>
      <c r="S1307" s="2">
        <f t="shared" ca="1" si="1257"/>
        <v>17542207.033734094</v>
      </c>
      <c r="T1307" s="2">
        <f t="shared" ca="1" si="1258"/>
        <v>50644266.224362381</v>
      </c>
      <c r="U1307" s="2">
        <f t="shared" ca="1" si="1259"/>
        <v>50320260.522242956</v>
      </c>
      <c r="V1307" s="2">
        <f t="shared" ca="1" si="1260"/>
        <v>49998327.704239197</v>
      </c>
      <c r="W1307" s="2">
        <f t="shared" ca="1" si="1261"/>
        <v>49678454.508706227</v>
      </c>
      <c r="X1307" s="2">
        <f t="shared" ca="1" si="1262"/>
        <v>49360627.758842915</v>
      </c>
      <c r="Y1307" s="2">
        <f t="shared" ca="1" si="1263"/>
        <v>0.12637465958518387</v>
      </c>
      <c r="Z1307" s="2">
        <f t="shared" ca="1" si="1264"/>
        <v>0.12892452341925742</v>
      </c>
      <c r="AA1307" s="2">
        <f t="shared" ca="1" si="1265"/>
        <v>6400151.9040452214</v>
      </c>
      <c r="AB1307" s="2">
        <f t="shared" ca="1" si="1266"/>
        <v>6487515.6061630463</v>
      </c>
      <c r="AC1307" s="2">
        <f t="shared" ca="1" si="1267"/>
        <v>6446010.5710288938</v>
      </c>
      <c r="AD1307" s="2">
        <f t="shared" ca="1" si="1268"/>
        <v>6404771.0717402101</v>
      </c>
      <c r="AE1307" s="2">
        <f t="shared" ca="1" si="1269"/>
        <v>6363795.4094841909</v>
      </c>
      <c r="AF1307" s="2">
        <f t="shared" ca="1" si="1270"/>
        <v>1012885.3244872476</v>
      </c>
      <c r="AG1307" s="2">
        <f t="shared" ca="1" si="1271"/>
        <v>1006405.2104448591</v>
      </c>
      <c r="AH1307" s="2">
        <f t="shared" ca="1" si="1272"/>
        <v>999966.554084784</v>
      </c>
      <c r="AI1307" s="2">
        <f t="shared" ca="1" si="1273"/>
        <v>993569.09017412458</v>
      </c>
      <c r="AJ1307" s="2">
        <f t="shared" ca="1" si="1274"/>
        <v>987212.55517685832</v>
      </c>
      <c r="AK1307" s="2">
        <f t="shared" ca="1" si="1275"/>
        <v>0</v>
      </c>
      <c r="AL1307" s="2">
        <f t="shared" ca="1" si="1276"/>
        <v>0</v>
      </c>
      <c r="AM1307" s="2">
        <f t="shared" ca="1" si="1277"/>
        <v>0</v>
      </c>
      <c r="AN1307" s="2">
        <f t="shared" ca="1" si="1278"/>
        <v>0</v>
      </c>
      <c r="AO1307" s="2">
        <f t="shared" ca="1" si="1279"/>
        <v>0</v>
      </c>
      <c r="AP1307" s="2">
        <f t="shared" ca="1" si="1280"/>
        <v>2368197.949554103</v>
      </c>
      <c r="AQ1307" s="2">
        <f t="shared" ca="1" si="1281"/>
        <v>784957.84380100644</v>
      </c>
      <c r="AR1307" s="2">
        <f t="shared" ca="1" si="1282"/>
        <v>809357.23600266187</v>
      </c>
      <c r="AS1307" s="2">
        <f t="shared" ca="1" si="1283"/>
        <v>800239.97752140171</v>
      </c>
      <c r="AT1307" s="2">
        <f t="shared" ca="1" si="1284"/>
        <v>791181.04832311545</v>
      </c>
      <c r="AU1307" s="2">
        <f t="shared" ca="1" si="1285"/>
        <v>782180.07523583982</v>
      </c>
      <c r="AV1307" s="2">
        <f t="shared" ca="1" si="1286"/>
        <v>2234110.7862028643</v>
      </c>
      <c r="AW1307" s="2">
        <f t="shared" ca="1" si="1287"/>
        <v>2303555.2101614219</v>
      </c>
      <c r="AX1307" s="2">
        <f t="shared" ca="1" si="1288"/>
        <v>2277606.0898686047</v>
      </c>
      <c r="AY1307" s="2">
        <f t="shared" ca="1" si="1289"/>
        <v>2251822.9836888672</v>
      </c>
      <c r="AZ1307" s="2">
        <f t="shared" ca="1" si="1290"/>
        <v>2226204.8295173901</v>
      </c>
      <c r="BA1307" s="2">
        <f t="shared" ca="1" si="1291"/>
        <v>47569994.037925296</v>
      </c>
      <c r="BB1307" s="2">
        <f t="shared" ca="1" si="1292"/>
        <v>951399.8807585059</v>
      </c>
      <c r="BC1307" s="2">
        <f t="shared" ca="1" si="1293"/>
        <v>20305283.606565647</v>
      </c>
      <c r="BD1307" s="2">
        <f t="shared" ca="1" si="1294"/>
        <v>-19138594.973342475</v>
      </c>
      <c r="BE1307" s="2">
        <f t="shared" ca="1" si="1295"/>
        <v>2234110.7862028643</v>
      </c>
      <c r="BF1307" s="2">
        <f t="shared" ca="1" si="1296"/>
        <v>2303555.2101614219</v>
      </c>
      <c r="BG1307" s="2">
        <f t="shared" ca="1" si="1297"/>
        <v>2277606.0898686047</v>
      </c>
      <c r="BH1307" s="2">
        <f t="shared" ca="1" si="1298"/>
        <v>2251822.9836888672</v>
      </c>
      <c r="BI1307" s="2">
        <f t="shared" ca="1" si="1299"/>
        <v>22531488.436083037</v>
      </c>
      <c r="BJ1307" s="2">
        <f t="shared" ca="1" si="1300"/>
        <v>0.12753874954928945</v>
      </c>
      <c r="BK1307" s="2">
        <f t="shared" ca="1" si="1301"/>
        <v>529727.79071074724</v>
      </c>
    </row>
    <row r="1308" spans="1:63" x14ac:dyDescent="0.3">
      <c r="A1308" s="2">
        <v>1307</v>
      </c>
      <c r="B1308" s="2">
        <f t="shared" ca="1" si="1240"/>
        <v>0.67677138521424696</v>
      </c>
      <c r="C1308" s="2">
        <f t="shared" ca="1" si="1241"/>
        <v>7.1959743601280453</v>
      </c>
      <c r="D1308" s="2">
        <f t="shared" ca="1" si="1242"/>
        <v>0.18127775157982362</v>
      </c>
      <c r="E1308" s="2">
        <f t="shared" ca="1" si="1243"/>
        <v>7.1021258200406683</v>
      </c>
      <c r="F1308" s="2">
        <f t="shared" ca="1" si="1244"/>
        <v>1.5410790155967469E-4</v>
      </c>
      <c r="G1308" s="2">
        <f t="shared" ca="1" si="1245"/>
        <v>-6.8248852824141809E-2</v>
      </c>
      <c r="H1308" s="2">
        <f t="shared" ca="1" si="1246"/>
        <v>-0.02</v>
      </c>
      <c r="I1308" s="2">
        <f t="shared" ca="1" si="1247"/>
        <v>0.74071401789837454</v>
      </c>
      <c r="J1308" s="2">
        <f t="shared" ca="1" si="1248"/>
        <v>1.3227741224987754E-2</v>
      </c>
      <c r="K1308" s="2">
        <f t="shared" ca="1" si="1249"/>
        <v>1.3227741224987754E-2</v>
      </c>
      <c r="L1308" s="2">
        <f t="shared" ca="1" si="1250"/>
        <v>0.94564677536309161</v>
      </c>
      <c r="M1308" s="2">
        <f t="shared" ca="1" si="1251"/>
        <v>3.2080689899099742E-2</v>
      </c>
      <c r="N1308" s="2">
        <f t="shared" ca="1" si="1252"/>
        <v>3.2080689899099742E-2</v>
      </c>
      <c r="O1308" s="2">
        <f t="shared" si="1253"/>
        <v>6000000</v>
      </c>
      <c r="P1308" s="2">
        <f t="shared" ca="1" si="1254"/>
        <v>43175846.16076827</v>
      </c>
      <c r="Q1308" s="2">
        <f t="shared" ca="1" si="1255"/>
        <v>1079396.1540192068</v>
      </c>
      <c r="R1308" s="2">
        <f t="shared" ca="1" si="1256"/>
        <v>25905507.696460962</v>
      </c>
      <c r="S1308" s="2">
        <f t="shared" ca="1" si="1257"/>
        <v>17270338.464307308</v>
      </c>
      <c r="T1308" s="2">
        <f t="shared" ca="1" si="1258"/>
        <v>51604034.494954988</v>
      </c>
      <c r="U1308" s="2">
        <f t="shared" ca="1" si="1259"/>
        <v>50571953.805055887</v>
      </c>
      <c r="V1308" s="2">
        <f t="shared" ca="1" si="1260"/>
        <v>49560514.72895477</v>
      </c>
      <c r="W1308" s="2">
        <f t="shared" ca="1" si="1261"/>
        <v>48569304.434375674</v>
      </c>
      <c r="X1308" s="2">
        <f t="shared" ca="1" si="1262"/>
        <v>47597918.345688157</v>
      </c>
      <c r="Y1308" s="2">
        <f t="shared" ca="1" si="1263"/>
        <v>0.12661387061249388</v>
      </c>
      <c r="Z1308" s="2">
        <f t="shared" ca="1" si="1264"/>
        <v>0.12925941885749143</v>
      </c>
      <c r="AA1308" s="2">
        <f t="shared" ca="1" si="1265"/>
        <v>6533786.5466269022</v>
      </c>
      <c r="AB1308" s="2">
        <f t="shared" ca="1" si="1266"/>
        <v>6536901.3593294257</v>
      </c>
      <c r="AC1308" s="2">
        <f t="shared" ca="1" si="1267"/>
        <v>6406163.3321428373</v>
      </c>
      <c r="AD1308" s="2">
        <f t="shared" ca="1" si="1268"/>
        <v>6278040.0654999809</v>
      </c>
      <c r="AE1308" s="2">
        <f t="shared" ca="1" si="1269"/>
        <v>6152479.2641899809</v>
      </c>
      <c r="AF1308" s="2">
        <f t="shared" ca="1" si="1270"/>
        <v>1032080.6898990998</v>
      </c>
      <c r="AG1308" s="2">
        <f t="shared" ca="1" si="1271"/>
        <v>1011439.0761011178</v>
      </c>
      <c r="AH1308" s="2">
        <f t="shared" ca="1" si="1272"/>
        <v>991210.29457909544</v>
      </c>
      <c r="AI1308" s="2">
        <f t="shared" ca="1" si="1273"/>
        <v>971386.08868751349</v>
      </c>
      <c r="AJ1308" s="2">
        <f t="shared" ca="1" si="1274"/>
        <v>951958.36691376311</v>
      </c>
      <c r="AK1308" s="2">
        <f t="shared" ca="1" si="1275"/>
        <v>0</v>
      </c>
      <c r="AL1308" s="2">
        <f t="shared" ca="1" si="1276"/>
        <v>0</v>
      </c>
      <c r="AM1308" s="2">
        <f t="shared" ca="1" si="1277"/>
        <v>0</v>
      </c>
      <c r="AN1308" s="2">
        <f t="shared" ca="1" si="1278"/>
        <v>0</v>
      </c>
      <c r="AO1308" s="2">
        <f t="shared" ca="1" si="1279"/>
        <v>0</v>
      </c>
      <c r="AP1308" s="2">
        <f t="shared" ca="1" si="1280"/>
        <v>2331495.6926814867</v>
      </c>
      <c r="AQ1308" s="2">
        <f t="shared" ca="1" si="1281"/>
        <v>824254.64265204209</v>
      </c>
      <c r="AR1308" s="2">
        <f t="shared" ca="1" si="1282"/>
        <v>830431.31354217359</v>
      </c>
      <c r="AS1308" s="2">
        <f t="shared" ca="1" si="1283"/>
        <v>801698.90966938646</v>
      </c>
      <c r="AT1308" s="2">
        <f t="shared" ca="1" si="1284"/>
        <v>773541.1538740549</v>
      </c>
      <c r="AU1308" s="2">
        <f t="shared" ca="1" si="1285"/>
        <v>745946.55319463019</v>
      </c>
      <c r="AV1308" s="2">
        <f t="shared" ca="1" si="1286"/>
        <v>2345955.5213942733</v>
      </c>
      <c r="AW1308" s="2">
        <f t="shared" ca="1" si="1287"/>
        <v>2363535.277004648</v>
      </c>
      <c r="AX1308" s="2">
        <f t="shared" ca="1" si="1288"/>
        <v>2281758.4352128692</v>
      </c>
      <c r="AY1308" s="2">
        <f t="shared" ca="1" si="1289"/>
        <v>2201617.1302569257</v>
      </c>
      <c r="AZ1308" s="2">
        <f t="shared" ca="1" si="1290"/>
        <v>2123078.6514001014</v>
      </c>
      <c r="BA1308" s="2">
        <f t="shared" ca="1" si="1291"/>
        <v>43695681.839468479</v>
      </c>
      <c r="BB1308" s="2">
        <f t="shared" ca="1" si="1292"/>
        <v>873913.63678936963</v>
      </c>
      <c r="BC1308" s="2">
        <f t="shared" ca="1" si="1293"/>
        <v>16916260.506218147</v>
      </c>
      <c r="BD1308" s="2">
        <f t="shared" ca="1" si="1294"/>
        <v>-18849734.618326515</v>
      </c>
      <c r="BE1308" s="2">
        <f t="shared" ca="1" si="1295"/>
        <v>2345955.5213942733</v>
      </c>
      <c r="BF1308" s="2">
        <f t="shared" ca="1" si="1296"/>
        <v>2363535.277004648</v>
      </c>
      <c r="BG1308" s="2">
        <f t="shared" ca="1" si="1297"/>
        <v>2281758.4352128692</v>
      </c>
      <c r="BH1308" s="2">
        <f t="shared" ca="1" si="1298"/>
        <v>2201617.1302569257</v>
      </c>
      <c r="BI1308" s="2">
        <f t="shared" ca="1" si="1299"/>
        <v>19039339.157618247</v>
      </c>
      <c r="BJ1308" s="2">
        <f t="shared" ca="1" si="1300"/>
        <v>0.10402287188767034</v>
      </c>
      <c r="BK1308" s="2">
        <f t="shared" ca="1" si="1301"/>
        <v>-1044225.1963830069</v>
      </c>
    </row>
    <row r="1309" spans="1:63" x14ac:dyDescent="0.3">
      <c r="A1309" s="2">
        <v>1308</v>
      </c>
      <c r="B1309" s="2">
        <f t="shared" ca="1" si="1240"/>
        <v>0.1097358731400363</v>
      </c>
      <c r="C1309" s="2">
        <f t="shared" ca="1" si="1241"/>
        <v>6.4684781171837944</v>
      </c>
      <c r="D1309" s="2">
        <f t="shared" ca="1" si="1242"/>
        <v>2.5616204062088976E-2</v>
      </c>
      <c r="E1309" s="2">
        <f t="shared" ca="1" si="1243"/>
        <v>6.7263457711647776</v>
      </c>
      <c r="F1309" s="2">
        <f t="shared" ca="1" si="1244"/>
        <v>0.97768245266120768</v>
      </c>
      <c r="G1309" s="2">
        <f t="shared" ca="1" si="1245"/>
        <v>0.100242314306683</v>
      </c>
      <c r="H1309" s="2">
        <f t="shared" ca="1" si="1246"/>
        <v>0.100242314306683</v>
      </c>
      <c r="I1309" s="2">
        <f t="shared" ca="1" si="1247"/>
        <v>0.89216301617255112</v>
      </c>
      <c r="J1309" s="2">
        <f t="shared" ca="1" si="1248"/>
        <v>1.6190567651161218E-2</v>
      </c>
      <c r="K1309" s="2">
        <f t="shared" ca="1" si="1249"/>
        <v>1.6190567651161218E-2</v>
      </c>
      <c r="L1309" s="2">
        <f t="shared" ca="1" si="1250"/>
        <v>0.86601839362298283</v>
      </c>
      <c r="M1309" s="2">
        <f t="shared" ca="1" si="1251"/>
        <v>2.215530493306361E-2</v>
      </c>
      <c r="N1309" s="2">
        <f t="shared" ca="1" si="1252"/>
        <v>2.215530493306361E-2</v>
      </c>
      <c r="O1309" s="2">
        <f t="shared" si="1253"/>
        <v>6000000</v>
      </c>
      <c r="P1309" s="2">
        <f t="shared" ca="1" si="1254"/>
        <v>38810868.703102767</v>
      </c>
      <c r="Q1309" s="2">
        <f t="shared" ca="1" si="1255"/>
        <v>970271.71757756919</v>
      </c>
      <c r="R1309" s="2">
        <f t="shared" ca="1" si="1256"/>
        <v>23286521.22186166</v>
      </c>
      <c r="S1309" s="2">
        <f t="shared" ca="1" si="1257"/>
        <v>15524347.481241107</v>
      </c>
      <c r="T1309" s="2">
        <f t="shared" ca="1" si="1258"/>
        <v>51107765.246653184</v>
      </c>
      <c r="U1309" s="2">
        <f t="shared" ca="1" si="1259"/>
        <v>56230925.914020367</v>
      </c>
      <c r="V1309" s="2">
        <f t="shared" ca="1" si="1260"/>
        <v>61867644.063249409</v>
      </c>
      <c r="W1309" s="2">
        <f t="shared" ca="1" si="1261"/>
        <v>68069399.884851649</v>
      </c>
      <c r="X1309" s="2">
        <f t="shared" ca="1" si="1262"/>
        <v>74892834.062776238</v>
      </c>
      <c r="Y1309" s="2">
        <f t="shared" ca="1" si="1263"/>
        <v>0.12809528382558061</v>
      </c>
      <c r="Z1309" s="2">
        <f t="shared" ca="1" si="1264"/>
        <v>0.13133339735581284</v>
      </c>
      <c r="AA1309" s="2">
        <f t="shared" ca="1" si="1265"/>
        <v>6546663.6949611846</v>
      </c>
      <c r="AB1309" s="2">
        <f t="shared" ca="1" si="1266"/>
        <v>7384998.5367513103</v>
      </c>
      <c r="AC1309" s="2">
        <f t="shared" ca="1" si="1267"/>
        <v>8125287.8812267296</v>
      </c>
      <c r="AD1309" s="2">
        <f t="shared" ca="1" si="1268"/>
        <v>8939785.5428489428</v>
      </c>
      <c r="AE1309" s="2">
        <f t="shared" ca="1" si="1269"/>
        <v>9835930.3350695465</v>
      </c>
      <c r="AF1309" s="2">
        <f t="shared" ca="1" si="1270"/>
        <v>1022155.3049330637</v>
      </c>
      <c r="AG1309" s="2">
        <f t="shared" ca="1" si="1271"/>
        <v>1124618.5182804074</v>
      </c>
      <c r="AH1309" s="2">
        <f t="shared" ca="1" si="1272"/>
        <v>1237352.8812649881</v>
      </c>
      <c r="AI1309" s="2">
        <f t="shared" ca="1" si="1273"/>
        <v>1361387.997697033</v>
      </c>
      <c r="AJ1309" s="2">
        <f t="shared" ca="1" si="1274"/>
        <v>1497856.6812555247</v>
      </c>
      <c r="AK1309" s="2">
        <f t="shared" ca="1" si="1275"/>
        <v>0</v>
      </c>
      <c r="AL1309" s="2">
        <f t="shared" ca="1" si="1276"/>
        <v>51231.606673671828</v>
      </c>
      <c r="AM1309" s="2">
        <f t="shared" ca="1" si="1277"/>
        <v>56367.181492290423</v>
      </c>
      <c r="AN1309" s="2">
        <f t="shared" ca="1" si="1278"/>
        <v>62017.5582160224</v>
      </c>
      <c r="AO1309" s="2">
        <f t="shared" ca="1" si="1279"/>
        <v>68234.341779245879</v>
      </c>
      <c r="AP1309" s="2">
        <f t="shared" ca="1" si="1280"/>
        <v>2095786.9099675494</v>
      </c>
      <c r="AQ1309" s="2">
        <f t="shared" ca="1" si="1281"/>
        <v>891467.58481574873</v>
      </c>
      <c r="AR1309" s="2">
        <f t="shared" ca="1" si="1282"/>
        <v>1082794.208210872</v>
      </c>
      <c r="AS1309" s="2">
        <f t="shared" ca="1" si="1283"/>
        <v>1245958.5033984899</v>
      </c>
      <c r="AT1309" s="2">
        <f t="shared" ca="1" si="1284"/>
        <v>1425478.7651479337</v>
      </c>
      <c r="AU1309" s="2">
        <f t="shared" ca="1" si="1285"/>
        <v>1622994.553400083</v>
      </c>
      <c r="AV1309" s="2">
        <f t="shared" ca="1" si="1286"/>
        <v>2537253.8952448228</v>
      </c>
      <c r="AW1309" s="2">
        <f t="shared" ca="1" si="1287"/>
        <v>3030567.2936188094</v>
      </c>
      <c r="AX1309" s="2">
        <f t="shared" ca="1" si="1288"/>
        <v>3489822.4051034115</v>
      </c>
      <c r="AY1309" s="2">
        <f t="shared" ca="1" si="1289"/>
        <v>3995114.3118204046</v>
      </c>
      <c r="AZ1309" s="2">
        <f t="shared" ca="1" si="1290"/>
        <v>4551057.8486671429</v>
      </c>
      <c r="BA1309" s="2">
        <f t="shared" ca="1" si="1291"/>
        <v>66159868.414766401</v>
      </c>
      <c r="BB1309" s="2">
        <f t="shared" ca="1" si="1292"/>
        <v>1323197.368295328</v>
      </c>
      <c r="BC1309" s="2">
        <f t="shared" ca="1" si="1293"/>
        <v>41550149.824609414</v>
      </c>
      <c r="BD1309" s="2">
        <f t="shared" ca="1" si="1294"/>
        <v>-16994619.198818676</v>
      </c>
      <c r="BE1309" s="2">
        <f t="shared" ca="1" si="1295"/>
        <v>2537253.8952448228</v>
      </c>
      <c r="BF1309" s="2">
        <f t="shared" ca="1" si="1296"/>
        <v>3030567.2936188094</v>
      </c>
      <c r="BG1309" s="2">
        <f t="shared" ca="1" si="1297"/>
        <v>3489822.4051034115</v>
      </c>
      <c r="BH1309" s="2">
        <f t="shared" ca="1" si="1298"/>
        <v>3995114.3118204046</v>
      </c>
      <c r="BI1309" s="2">
        <f t="shared" ca="1" si="1299"/>
        <v>46101207.673276559</v>
      </c>
      <c r="BJ1309" s="2">
        <f t="shared" ca="1" si="1300"/>
        <v>0.33895144143064848</v>
      </c>
      <c r="BK1309" s="2">
        <f t="shared" ca="1" si="1301"/>
        <v>18868753.098434567</v>
      </c>
    </row>
    <row r="1310" spans="1:63" x14ac:dyDescent="0.3">
      <c r="A1310" s="2">
        <v>1309</v>
      </c>
      <c r="B1310" s="2">
        <f t="shared" ca="1" si="1240"/>
        <v>0.52176331982798763</v>
      </c>
      <c r="C1310" s="2">
        <f t="shared" ca="1" si="1241"/>
        <v>7.0220054395120464</v>
      </c>
      <c r="D1310" s="2">
        <f t="shared" ca="1" si="1242"/>
        <v>0.21254900219422845</v>
      </c>
      <c r="E1310" s="2">
        <f t="shared" ca="1" si="1243"/>
        <v>7.151995402122175</v>
      </c>
      <c r="F1310" s="2">
        <f t="shared" ca="1" si="1244"/>
        <v>0.32947749743151178</v>
      </c>
      <c r="G1310" s="2">
        <f t="shared" ca="1" si="1245"/>
        <v>2.6759307736909543E-2</v>
      </c>
      <c r="H1310" s="2">
        <f t="shared" ca="1" si="1246"/>
        <v>2.6759307736909543E-2</v>
      </c>
      <c r="I1310" s="2">
        <f t="shared" ca="1" si="1247"/>
        <v>0.72726531573327935</v>
      </c>
      <c r="J1310" s="2">
        <f t="shared" ca="1" si="1248"/>
        <v>1.3022815216747084E-2</v>
      </c>
      <c r="K1310" s="2">
        <f t="shared" ca="1" si="1249"/>
        <v>1.3022815216747084E-2</v>
      </c>
      <c r="L1310" s="2">
        <f t="shared" ca="1" si="1250"/>
        <v>0.47196823175325231</v>
      </c>
      <c r="M1310" s="2">
        <f t="shared" ca="1" si="1251"/>
        <v>-1.4064628385783635E-3</v>
      </c>
      <c r="N1310" s="2">
        <f t="shared" ca="1" si="1252"/>
        <v>-1.4064628385783635E-3</v>
      </c>
      <c r="O1310" s="2">
        <f t="shared" si="1253"/>
        <v>6000000</v>
      </c>
      <c r="P1310" s="2">
        <f t="shared" ca="1" si="1254"/>
        <v>42132032.63707228</v>
      </c>
      <c r="Q1310" s="2">
        <f t="shared" ca="1" si="1255"/>
        <v>1053300.815926807</v>
      </c>
      <c r="R1310" s="2">
        <f t="shared" ca="1" si="1256"/>
        <v>25279219.582243368</v>
      </c>
      <c r="S1310" s="2">
        <f t="shared" ca="1" si="1257"/>
        <v>16852813.054828912</v>
      </c>
      <c r="T1310" s="2">
        <f t="shared" ca="1" si="1258"/>
        <v>49929676.858071081</v>
      </c>
      <c r="U1310" s="2">
        <f t="shared" ca="1" si="1259"/>
        <v>51265760.446320653</v>
      </c>
      <c r="V1310" s="2">
        <f t="shared" ca="1" si="1260"/>
        <v>52637596.70647043</v>
      </c>
      <c r="W1310" s="2">
        <f t="shared" ca="1" si="1261"/>
        <v>54046142.355270207</v>
      </c>
      <c r="X1310" s="2">
        <f t="shared" ca="1" si="1262"/>
        <v>55492379.710547701</v>
      </c>
      <c r="Y1310" s="2">
        <f t="shared" ca="1" si="1263"/>
        <v>0.12651140760837354</v>
      </c>
      <c r="Z1310" s="2">
        <f t="shared" ca="1" si="1264"/>
        <v>0.12911597065172295</v>
      </c>
      <c r="AA1310" s="2">
        <f t="shared" ca="1" si="1265"/>
        <v>6316673.7007458061</v>
      </c>
      <c r="AB1310" s="2">
        <f t="shared" ca="1" si="1266"/>
        <v>6619228.4212253969</v>
      </c>
      <c r="AC1310" s="2">
        <f t="shared" ca="1" si="1267"/>
        <v>6796354.3915298646</v>
      </c>
      <c r="AD1310" s="2">
        <f t="shared" ca="1" si="1268"/>
        <v>6978220.1301819086</v>
      </c>
      <c r="AE1310" s="2">
        <f t="shared" ca="1" si="1269"/>
        <v>7164952.4701013425</v>
      </c>
      <c r="AF1310" s="2">
        <f t="shared" ca="1" si="1270"/>
        <v>998593.53716142161</v>
      </c>
      <c r="AG1310" s="2">
        <f t="shared" ca="1" si="1271"/>
        <v>1025315.2089264131</v>
      </c>
      <c r="AH1310" s="2">
        <f t="shared" ca="1" si="1272"/>
        <v>1052751.9341294086</v>
      </c>
      <c r="AI1310" s="2">
        <f t="shared" ca="1" si="1273"/>
        <v>1080922.8471054041</v>
      </c>
      <c r="AJ1310" s="2">
        <f t="shared" ca="1" si="1274"/>
        <v>1109847.5942109539</v>
      </c>
      <c r="AK1310" s="2">
        <f t="shared" ca="1" si="1275"/>
        <v>0</v>
      </c>
      <c r="AL1310" s="2">
        <f t="shared" ca="1" si="1276"/>
        <v>13360.835882495716</v>
      </c>
      <c r="AM1310" s="2">
        <f t="shared" ca="1" si="1277"/>
        <v>13718.362601497769</v>
      </c>
      <c r="AN1310" s="2">
        <f t="shared" ca="1" si="1278"/>
        <v>14085.45648799777</v>
      </c>
      <c r="AO1310" s="2">
        <f t="shared" ca="1" si="1279"/>
        <v>14462.373552774936</v>
      </c>
      <c r="AP1310" s="2">
        <f t="shared" ca="1" si="1280"/>
        <v>2275129.762401903</v>
      </c>
      <c r="AQ1310" s="2">
        <f t="shared" ca="1" si="1281"/>
        <v>791167.10430744512</v>
      </c>
      <c r="AR1310" s="2">
        <f t="shared" ca="1" si="1282"/>
        <v>862883.69697324105</v>
      </c>
      <c r="AS1310" s="2">
        <f t="shared" ca="1" si="1283"/>
        <v>901802.90069962386</v>
      </c>
      <c r="AT1310" s="2">
        <f t="shared" ca="1" si="1284"/>
        <v>941763.55537539639</v>
      </c>
      <c r="AU1310" s="2">
        <f t="shared" ca="1" si="1285"/>
        <v>982793.5295070064</v>
      </c>
      <c r="AV1310" s="2">
        <f t="shared" ca="1" si="1286"/>
        <v>2251783.2968750363</v>
      </c>
      <c r="AW1310" s="2">
        <f t="shared" ca="1" si="1287"/>
        <v>2442538.9170413436</v>
      </c>
      <c r="AX1310" s="2">
        <f t="shared" ca="1" si="1288"/>
        <v>2552951.431697431</v>
      </c>
      <c r="AY1310" s="2">
        <f t="shared" ca="1" si="1289"/>
        <v>2666318.5088112075</v>
      </c>
      <c r="AZ1310" s="2">
        <f t="shared" ca="1" si="1290"/>
        <v>2782719.2104287045</v>
      </c>
      <c r="BA1310" s="2">
        <f t="shared" ca="1" si="1291"/>
        <v>51243707.122588724</v>
      </c>
      <c r="BB1310" s="2">
        <f t="shared" ca="1" si="1292"/>
        <v>1024874.1424517744</v>
      </c>
      <c r="BC1310" s="2">
        <f t="shared" ca="1" si="1293"/>
        <v>24939613.397893582</v>
      </c>
      <c r="BD1310" s="2">
        <f t="shared" ca="1" si="1294"/>
        <v>-18406113.870755717</v>
      </c>
      <c r="BE1310" s="2">
        <f t="shared" ca="1" si="1295"/>
        <v>2251783.2968750363</v>
      </c>
      <c r="BF1310" s="2">
        <f t="shared" ca="1" si="1296"/>
        <v>2442538.9170413436</v>
      </c>
      <c r="BG1310" s="2">
        <f t="shared" ca="1" si="1297"/>
        <v>2552951.431697431</v>
      </c>
      <c r="BH1310" s="2">
        <f t="shared" ca="1" si="1298"/>
        <v>2666318.5088112075</v>
      </c>
      <c r="BI1310" s="2">
        <f t="shared" ca="1" si="1299"/>
        <v>27722332.608322285</v>
      </c>
      <c r="BJ1310" s="2">
        <f t="shared" ca="1" si="1300"/>
        <v>0.18474870052986647</v>
      </c>
      <c r="BK1310" s="2">
        <f t="shared" ca="1" si="1301"/>
        <v>4793614.0433406606</v>
      </c>
    </row>
    <row r="1311" spans="1:63" x14ac:dyDescent="0.3">
      <c r="A1311" s="2">
        <v>1310</v>
      </c>
      <c r="B1311" s="2">
        <f t="shared" ca="1" si="1240"/>
        <v>0.67421084660245045</v>
      </c>
      <c r="C1311" s="2">
        <f t="shared" ca="1" si="1241"/>
        <v>7.1927959943142632</v>
      </c>
      <c r="D1311" s="2">
        <f t="shared" ca="1" si="1242"/>
        <v>0.54511064422886679</v>
      </c>
      <c r="E1311" s="2">
        <f t="shared" ca="1" si="1243"/>
        <v>7.5461767923025427</v>
      </c>
      <c r="F1311" s="2">
        <f t="shared" ca="1" si="1244"/>
        <v>0.47203468582307317</v>
      </c>
      <c r="G1311" s="2">
        <f t="shared" ca="1" si="1245"/>
        <v>3.7895315354151513E-2</v>
      </c>
      <c r="H1311" s="2">
        <f t="shared" ca="1" si="1246"/>
        <v>3.7895315354151513E-2</v>
      </c>
      <c r="I1311" s="2">
        <f t="shared" ca="1" si="1247"/>
        <v>7.5885475691898185E-2</v>
      </c>
      <c r="J1311" s="2">
        <f t="shared" ca="1" si="1248"/>
        <v>2.8334795100870237E-3</v>
      </c>
      <c r="K1311" s="2">
        <f t="shared" ca="1" si="1249"/>
        <v>2.8334795100870237E-3</v>
      </c>
      <c r="L1311" s="2">
        <f t="shared" ca="1" si="1250"/>
        <v>0.39057426078492197</v>
      </c>
      <c r="M1311" s="2">
        <f t="shared" ca="1" si="1251"/>
        <v>-5.5564525215671704E-3</v>
      </c>
      <c r="N1311" s="2">
        <f t="shared" ca="1" si="1252"/>
        <v>-5.5564525215671704E-3</v>
      </c>
      <c r="O1311" s="2">
        <f t="shared" si="1253"/>
        <v>6000000</v>
      </c>
      <c r="P1311" s="2">
        <f t="shared" ca="1" si="1254"/>
        <v>43156775.96588558</v>
      </c>
      <c r="Q1311" s="2">
        <f t="shared" ca="1" si="1255"/>
        <v>1078919.3991471396</v>
      </c>
      <c r="R1311" s="2">
        <f t="shared" ca="1" si="1256"/>
        <v>25894065.579531346</v>
      </c>
      <c r="S1311" s="2">
        <f t="shared" ca="1" si="1257"/>
        <v>17262710.386354234</v>
      </c>
      <c r="T1311" s="2">
        <f t="shared" ca="1" si="1258"/>
        <v>49722177.37392164</v>
      </c>
      <c r="U1311" s="2">
        <f t="shared" ca="1" si="1259"/>
        <v>51606414.965601459</v>
      </c>
      <c r="V1311" s="2">
        <f t="shared" ca="1" si="1260"/>
        <v>53562056.335020125</v>
      </c>
      <c r="W1311" s="2">
        <f t="shared" ca="1" si="1261"/>
        <v>55591807.350852542</v>
      </c>
      <c r="X1311" s="2">
        <f t="shared" ca="1" si="1262"/>
        <v>57698476.421520337</v>
      </c>
      <c r="Y1311" s="2">
        <f t="shared" ca="1" si="1263"/>
        <v>0.12141673975504351</v>
      </c>
      <c r="Z1311" s="2">
        <f t="shared" ca="1" si="1264"/>
        <v>0.12198343565706091</v>
      </c>
      <c r="AA1311" s="2">
        <f t="shared" ca="1" si="1265"/>
        <v>6037104.6702635568</v>
      </c>
      <c r="AB1311" s="2">
        <f t="shared" ca="1" si="1266"/>
        <v>6295127.799448031</v>
      </c>
      <c r="AC1311" s="2">
        <f t="shared" ca="1" si="1267"/>
        <v>6533683.6526027992</v>
      </c>
      <c r="AD1311" s="2">
        <f t="shared" ca="1" si="1268"/>
        <v>6781279.6550424462</v>
      </c>
      <c r="AE1311" s="2">
        <f t="shared" ca="1" si="1269"/>
        <v>7038258.3860749723</v>
      </c>
      <c r="AF1311" s="2">
        <f t="shared" ca="1" si="1270"/>
        <v>994443.54747843277</v>
      </c>
      <c r="AG1311" s="2">
        <f t="shared" ca="1" si="1271"/>
        <v>1032128.2993120292</v>
      </c>
      <c r="AH1311" s="2">
        <f t="shared" ca="1" si="1272"/>
        <v>1071241.1267004025</v>
      </c>
      <c r="AI1311" s="2">
        <f t="shared" ca="1" si="1273"/>
        <v>1111836.1470170508</v>
      </c>
      <c r="AJ1311" s="2">
        <f t="shared" ca="1" si="1274"/>
        <v>1153969.5284304067</v>
      </c>
      <c r="AK1311" s="2">
        <f t="shared" ca="1" si="1275"/>
        <v>0</v>
      </c>
      <c r="AL1311" s="2">
        <f t="shared" ca="1" si="1276"/>
        <v>18842.375916798188</v>
      </c>
      <c r="AM1311" s="2">
        <f t="shared" ca="1" si="1277"/>
        <v>19556.413694186656</v>
      </c>
      <c r="AN1311" s="2">
        <f t="shared" ca="1" si="1278"/>
        <v>20297.510158324167</v>
      </c>
      <c r="AO1311" s="2">
        <f t="shared" ca="1" si="1279"/>
        <v>21066.69070667796</v>
      </c>
      <c r="AP1311" s="2">
        <f t="shared" ca="1" si="1280"/>
        <v>2330465.9021578212</v>
      </c>
      <c r="AQ1311" s="2">
        <f t="shared" ca="1" si="1281"/>
        <v>705170.75736309879</v>
      </c>
      <c r="AR1311" s="2">
        <f t="shared" ca="1" si="1282"/>
        <v>762458.735474327</v>
      </c>
      <c r="AS1311" s="2">
        <f t="shared" ca="1" si="1283"/>
        <v>814313.9221735897</v>
      </c>
      <c r="AT1311" s="2">
        <f t="shared" ca="1" si="1284"/>
        <v>868134.17752556934</v>
      </c>
      <c r="AU1311" s="2">
        <f t="shared" ca="1" si="1285"/>
        <v>923993.96842655353</v>
      </c>
      <c r="AV1311" s="2">
        <f t="shared" ca="1" si="1286"/>
        <v>2007024.4632642041</v>
      </c>
      <c r="AW1311" s="2">
        <f t="shared" ca="1" si="1287"/>
        <v>2151232.4865870555</v>
      </c>
      <c r="AX1311" s="2">
        <f t="shared" ca="1" si="1288"/>
        <v>2298106.2878767992</v>
      </c>
      <c r="AY1311" s="2">
        <f t="shared" ca="1" si="1289"/>
        <v>2450545.9181836802</v>
      </c>
      <c r="AZ1311" s="2">
        <f t="shared" ca="1" si="1290"/>
        <v>2608762.2963535129</v>
      </c>
      <c r="BA1311" s="2">
        <f t="shared" ca="1" si="1291"/>
        <v>53111942.091227703</v>
      </c>
      <c r="BB1311" s="2">
        <f t="shared" ca="1" si="1292"/>
        <v>1062238.8418245541</v>
      </c>
      <c r="BC1311" s="2">
        <f t="shared" ca="1" si="1293"/>
        <v>26155637.669871803</v>
      </c>
      <c r="BD1311" s="2">
        <f t="shared" ca="1" si="1294"/>
        <v>-18841629.785501372</v>
      </c>
      <c r="BE1311" s="2">
        <f t="shared" ca="1" si="1295"/>
        <v>2007024.4632642041</v>
      </c>
      <c r="BF1311" s="2">
        <f t="shared" ca="1" si="1296"/>
        <v>2151232.4865870555</v>
      </c>
      <c r="BG1311" s="2">
        <f t="shared" ca="1" si="1297"/>
        <v>2298106.2878767992</v>
      </c>
      <c r="BH1311" s="2">
        <f t="shared" ca="1" si="1298"/>
        <v>2450545.9181836802</v>
      </c>
      <c r="BI1311" s="2">
        <f t="shared" ca="1" si="1299"/>
        <v>28764399.966225315</v>
      </c>
      <c r="BJ1311" s="2">
        <f t="shared" ca="1" si="1300"/>
        <v>0.17454905055444758</v>
      </c>
      <c r="BK1311" s="2">
        <f t="shared" ca="1" si="1301"/>
        <v>4180111.6354299635</v>
      </c>
    </row>
    <row r="1312" spans="1:63" x14ac:dyDescent="0.3">
      <c r="A1312" s="2">
        <v>1311</v>
      </c>
      <c r="B1312" s="2">
        <f t="shared" ca="1" si="1240"/>
        <v>0.33414743853817541</v>
      </c>
      <c r="C1312" s="2">
        <f t="shared" ca="1" si="1241"/>
        <v>6.8174930440538013</v>
      </c>
      <c r="D1312" s="2">
        <f t="shared" ca="1" si="1242"/>
        <v>9.0651716225080836E-3</v>
      </c>
      <c r="E1312" s="2">
        <f t="shared" ca="1" si="1243"/>
        <v>6.634648963029858</v>
      </c>
      <c r="F1312" s="2">
        <f t="shared" ca="1" si="1244"/>
        <v>0.92365524862135051</v>
      </c>
      <c r="G1312" s="2">
        <f t="shared" ca="1" si="1245"/>
        <v>8.2902876375958529E-2</v>
      </c>
      <c r="H1312" s="2">
        <f t="shared" ca="1" si="1246"/>
        <v>8.2902876375958529E-2</v>
      </c>
      <c r="I1312" s="2">
        <f t="shared" ca="1" si="1247"/>
        <v>9.5133223960889746E-2</v>
      </c>
      <c r="J1312" s="2">
        <f t="shared" ca="1" si="1248"/>
        <v>3.4510435121424344E-3</v>
      </c>
      <c r="K1312" s="2">
        <f t="shared" ca="1" si="1249"/>
        <v>3.4510435121424344E-3</v>
      </c>
      <c r="L1312" s="2">
        <f t="shared" ca="1" si="1250"/>
        <v>0.106628453149892</v>
      </c>
      <c r="M1312" s="2">
        <f t="shared" ca="1" si="1251"/>
        <v>-2.4893191781888563E-2</v>
      </c>
      <c r="N1312" s="2">
        <f t="shared" ca="1" si="1252"/>
        <v>-2.4893191781888563E-2</v>
      </c>
      <c r="O1312" s="2">
        <f t="shared" si="1253"/>
        <v>6000000</v>
      </c>
      <c r="P1312" s="2">
        <f t="shared" ca="1" si="1254"/>
        <v>40904958.26432281</v>
      </c>
      <c r="Q1312" s="2">
        <f t="shared" ca="1" si="1255"/>
        <v>1022623.9566080703</v>
      </c>
      <c r="R1312" s="2">
        <f t="shared" ca="1" si="1256"/>
        <v>24542974.958593685</v>
      </c>
      <c r="S1312" s="2">
        <f t="shared" ca="1" si="1257"/>
        <v>16361983.305729125</v>
      </c>
      <c r="T1312" s="2">
        <f t="shared" ca="1" si="1258"/>
        <v>48755340.41090557</v>
      </c>
      <c r="U1312" s="2">
        <f t="shared" ca="1" si="1259"/>
        <v>52797298.369658649</v>
      </c>
      <c r="V1312" s="2">
        <f t="shared" ca="1" si="1260"/>
        <v>57174346.269383058</v>
      </c>
      <c r="W1312" s="2">
        <f t="shared" ca="1" si="1261"/>
        <v>61914264.030029967</v>
      </c>
      <c r="X1312" s="2">
        <f t="shared" ca="1" si="1262"/>
        <v>67047134.606819995</v>
      </c>
      <c r="Y1312" s="2">
        <f t="shared" ca="1" si="1263"/>
        <v>0.12172552175607121</v>
      </c>
      <c r="Z1312" s="2">
        <f t="shared" ca="1" si="1264"/>
        <v>0.1224157304584997</v>
      </c>
      <c r="AA1312" s="2">
        <f t="shared" ca="1" si="1265"/>
        <v>5934769.2499123439</v>
      </c>
      <c r="AB1312" s="2">
        <f t="shared" ca="1" si="1266"/>
        <v>6463219.8461571187</v>
      </c>
      <c r="AC1312" s="2">
        <f t="shared" ca="1" si="1267"/>
        <v>6999039.362053724</v>
      </c>
      <c r="AD1312" s="2">
        <f t="shared" ca="1" si="1268"/>
        <v>7579279.8570365319</v>
      </c>
      <c r="AE1312" s="2">
        <f t="shared" ca="1" si="1269"/>
        <v>8207623.9580432232</v>
      </c>
      <c r="AF1312" s="2">
        <f t="shared" ca="1" si="1270"/>
        <v>975106.8082181114</v>
      </c>
      <c r="AG1312" s="2">
        <f t="shared" ca="1" si="1271"/>
        <v>1055945.9673931729</v>
      </c>
      <c r="AH1312" s="2">
        <f t="shared" ca="1" si="1272"/>
        <v>1143486.9253876612</v>
      </c>
      <c r="AI1312" s="2">
        <f t="shared" ca="1" si="1273"/>
        <v>1238285.2806005995</v>
      </c>
      <c r="AJ1312" s="2">
        <f t="shared" ca="1" si="1274"/>
        <v>1340942.6921363999</v>
      </c>
      <c r="AK1312" s="2">
        <f t="shared" ca="1" si="1275"/>
        <v>0</v>
      </c>
      <c r="AL1312" s="2">
        <f t="shared" ca="1" si="1276"/>
        <v>40419.579587530796</v>
      </c>
      <c r="AM1312" s="2">
        <f t="shared" ca="1" si="1277"/>
        <v>43770.478997244092</v>
      </c>
      <c r="AN1312" s="2">
        <f t="shared" ca="1" si="1278"/>
        <v>47399.177606469093</v>
      </c>
      <c r="AO1312" s="2">
        <f t="shared" ca="1" si="1279"/>
        <v>51328.705767900276</v>
      </c>
      <c r="AP1312" s="2">
        <f t="shared" ca="1" si="1280"/>
        <v>2208867.7462734315</v>
      </c>
      <c r="AQ1312" s="2">
        <f t="shared" ca="1" si="1281"/>
        <v>715206.62080940837</v>
      </c>
      <c r="AR1312" s="2">
        <f t="shared" ca="1" si="1282"/>
        <v>831585.59444753372</v>
      </c>
      <c r="AS1312" s="2">
        <f t="shared" ca="1" si="1283"/>
        <v>948138.01950208424</v>
      </c>
      <c r="AT1312" s="2">
        <f t="shared" ca="1" si="1284"/>
        <v>1074352.9758422505</v>
      </c>
      <c r="AU1312" s="2">
        <f t="shared" ca="1" si="1285"/>
        <v>1211031.515104682</v>
      </c>
      <c r="AV1312" s="2">
        <f t="shared" ca="1" si="1286"/>
        <v>2035588.0746113923</v>
      </c>
      <c r="AW1312" s="2">
        <f t="shared" ca="1" si="1287"/>
        <v>2326400.9584554504</v>
      </c>
      <c r="AX1312" s="2">
        <f t="shared" ca="1" si="1288"/>
        <v>2654776.1918933024</v>
      </c>
      <c r="AY1312" s="2">
        <f t="shared" ca="1" si="1289"/>
        <v>3010374.6767137819</v>
      </c>
      <c r="AZ1312" s="2">
        <f t="shared" ca="1" si="1290"/>
        <v>3395453.2987608095</v>
      </c>
      <c r="BA1312" s="2">
        <f t="shared" ca="1" si="1291"/>
        <v>54454703.782170489</v>
      </c>
      <c r="BB1312" s="2">
        <f t="shared" ca="1" si="1292"/>
        <v>1089094.0756434097</v>
      </c>
      <c r="BC1312" s="2">
        <f t="shared" ca="1" si="1293"/>
        <v>28822634.747933395</v>
      </c>
      <c r="BD1312" s="2">
        <f t="shared" ca="1" si="1294"/>
        <v>-17884607.262337197</v>
      </c>
      <c r="BE1312" s="2">
        <f t="shared" ca="1" si="1295"/>
        <v>2035588.0746113923</v>
      </c>
      <c r="BF1312" s="2">
        <f t="shared" ca="1" si="1296"/>
        <v>2326400.9584554504</v>
      </c>
      <c r="BG1312" s="2">
        <f t="shared" ca="1" si="1297"/>
        <v>2654776.1918933024</v>
      </c>
      <c r="BH1312" s="2">
        <f t="shared" ca="1" si="1298"/>
        <v>3010374.6767137819</v>
      </c>
      <c r="BI1312" s="2">
        <f t="shared" ca="1" si="1299"/>
        <v>32218088.046694204</v>
      </c>
      <c r="BJ1312" s="2">
        <f t="shared" ca="1" si="1300"/>
        <v>0.22145930060976782</v>
      </c>
      <c r="BK1312" s="2">
        <f t="shared" ca="1" si="1301"/>
        <v>7871647.8739832565</v>
      </c>
    </row>
    <row r="1313" spans="1:63" x14ac:dyDescent="0.3">
      <c r="A1313" s="2">
        <v>1312</v>
      </c>
      <c r="B1313" s="2">
        <f t="shared" ca="1" si="1240"/>
        <v>0.62425839305355679</v>
      </c>
      <c r="C1313" s="2">
        <f t="shared" ca="1" si="1241"/>
        <v>7.1331186852325823</v>
      </c>
      <c r="D1313" s="2">
        <f t="shared" ca="1" si="1242"/>
        <v>0.88917431482368725</v>
      </c>
      <c r="E1313" s="2">
        <f t="shared" ca="1" si="1243"/>
        <v>8.0292013483954889</v>
      </c>
      <c r="F1313" s="2">
        <f t="shared" ca="1" si="1244"/>
        <v>0.51154147405647077</v>
      </c>
      <c r="G1313" s="2">
        <f t="shared" ca="1" si="1245"/>
        <v>4.0868026657908285E-2</v>
      </c>
      <c r="H1313" s="2">
        <f t="shared" ca="1" si="1246"/>
        <v>4.0868026657908285E-2</v>
      </c>
      <c r="I1313" s="2">
        <f t="shared" ca="1" si="1247"/>
        <v>0.96952822401491989</v>
      </c>
      <c r="J1313" s="2">
        <f t="shared" ca="1" si="1248"/>
        <v>1.9369523847469722E-2</v>
      </c>
      <c r="K1313" s="2">
        <f t="shared" ca="1" si="1249"/>
        <v>1.9369523847469722E-2</v>
      </c>
      <c r="L1313" s="2">
        <f t="shared" ca="1" si="1250"/>
        <v>0.12829722086835926</v>
      </c>
      <c r="M1313" s="2">
        <f t="shared" ca="1" si="1251"/>
        <v>-2.2689543549798592E-2</v>
      </c>
      <c r="N1313" s="2">
        <f t="shared" ca="1" si="1252"/>
        <v>-2.2689543549798592E-2</v>
      </c>
      <c r="O1313" s="2">
        <f t="shared" si="1253"/>
        <v>6000000</v>
      </c>
      <c r="P1313" s="2">
        <f t="shared" ca="1" si="1254"/>
        <v>42798712.111395493</v>
      </c>
      <c r="Q1313" s="2">
        <f t="shared" ca="1" si="1255"/>
        <v>1069967.8027848874</v>
      </c>
      <c r="R1313" s="2">
        <f t="shared" ca="1" si="1256"/>
        <v>25679227.266837295</v>
      </c>
      <c r="S1313" s="2">
        <f t="shared" ca="1" si="1257"/>
        <v>17119484.844558198</v>
      </c>
      <c r="T1313" s="2">
        <f t="shared" ca="1" si="1258"/>
        <v>48865522.822510071</v>
      </c>
      <c r="U1313" s="2">
        <f t="shared" ca="1" si="1259"/>
        <v>50862560.311873034</v>
      </c>
      <c r="V1313" s="2">
        <f t="shared" ca="1" si="1260"/>
        <v>52941212.782588124</v>
      </c>
      <c r="W1313" s="2">
        <f t="shared" ca="1" si="1261"/>
        <v>55104815.67788893</v>
      </c>
      <c r="X1313" s="2">
        <f t="shared" ca="1" si="1262"/>
        <v>57356840.753992014</v>
      </c>
      <c r="Y1313" s="2">
        <f t="shared" ca="1" si="1263"/>
        <v>0.12968476192373485</v>
      </c>
      <c r="Z1313" s="2">
        <f t="shared" ca="1" si="1264"/>
        <v>0.1335586666932288</v>
      </c>
      <c r="AA1313" s="2">
        <f t="shared" ca="1" si="1265"/>
        <v>6337113.6935160505</v>
      </c>
      <c r="AB1313" s="2">
        <f t="shared" ca="1" si="1266"/>
        <v>6793135.7398576979</v>
      </c>
      <c r="AC1313" s="2">
        <f t="shared" ca="1" si="1267"/>
        <v>7070757.7923649913</v>
      </c>
      <c r="AD1313" s="2">
        <f t="shared" ca="1" si="1268"/>
        <v>7359725.7103149761</v>
      </c>
      <c r="AE1313" s="2">
        <f t="shared" ca="1" si="1269"/>
        <v>7660503.176839021</v>
      </c>
      <c r="AF1313" s="2">
        <f t="shared" ca="1" si="1270"/>
        <v>977310.45645020145</v>
      </c>
      <c r="AG1313" s="2">
        <f t="shared" ca="1" si="1271"/>
        <v>1017251.2062374607</v>
      </c>
      <c r="AH1313" s="2">
        <f t="shared" ca="1" si="1272"/>
        <v>1058824.2556517625</v>
      </c>
      <c r="AI1313" s="2">
        <f t="shared" ca="1" si="1273"/>
        <v>1102096.3135577787</v>
      </c>
      <c r="AJ1313" s="2">
        <f t="shared" ca="1" si="1274"/>
        <v>1147136.8150798404</v>
      </c>
      <c r="AK1313" s="2">
        <f t="shared" ca="1" si="1275"/>
        <v>0</v>
      </c>
      <c r="AL1313" s="2">
        <f t="shared" ca="1" si="1276"/>
        <v>19970.374893629625</v>
      </c>
      <c r="AM1313" s="2">
        <f t="shared" ca="1" si="1277"/>
        <v>20786.524707150907</v>
      </c>
      <c r="AN1313" s="2">
        <f t="shared" ca="1" si="1278"/>
        <v>21636.028953008055</v>
      </c>
      <c r="AO1313" s="2">
        <f t="shared" ca="1" si="1279"/>
        <v>22520.250761030838</v>
      </c>
      <c r="AP1313" s="2">
        <f t="shared" ca="1" si="1280"/>
        <v>2311130.4540153565</v>
      </c>
      <c r="AQ1313" s="2">
        <f t="shared" ca="1" si="1281"/>
        <v>792654.9235931281</v>
      </c>
      <c r="AR1313" s="2">
        <f t="shared" ca="1" si="1282"/>
        <v>900836.06069726904</v>
      </c>
      <c r="AS1313" s="2">
        <f t="shared" ca="1" si="1283"/>
        <v>962208.80150144675</v>
      </c>
      <c r="AT1313" s="2">
        <f t="shared" ca="1" si="1284"/>
        <v>1026089.7251128787</v>
      </c>
      <c r="AU1313" s="2">
        <f t="shared" ca="1" si="1285"/>
        <v>1092581.3360133942</v>
      </c>
      <c r="AV1313" s="2">
        <f t="shared" ca="1" si="1286"/>
        <v>2256017.8594573643</v>
      </c>
      <c r="AW1313" s="2">
        <f t="shared" ca="1" si="1287"/>
        <v>2543947.6440139823</v>
      </c>
      <c r="AX1313" s="2">
        <f t="shared" ca="1" si="1288"/>
        <v>2717807.756489275</v>
      </c>
      <c r="AY1313" s="2">
        <f t="shared" ca="1" si="1289"/>
        <v>2898773.188675954</v>
      </c>
      <c r="AZ1313" s="2">
        <f t="shared" ca="1" si="1290"/>
        <v>3087134.3209693981</v>
      </c>
      <c r="BA1313" s="2">
        <f t="shared" ca="1" si="1291"/>
        <v>61507722.436863795</v>
      </c>
      <c r="BB1313" s="2">
        <f t="shared" ca="1" si="1292"/>
        <v>1230154.448737276</v>
      </c>
      <c r="BC1313" s="2">
        <f t="shared" ca="1" si="1293"/>
        <v>34598340.721289217</v>
      </c>
      <c r="BD1313" s="2">
        <f t="shared" ca="1" si="1294"/>
        <v>-18689452.647343084</v>
      </c>
      <c r="BE1313" s="2">
        <f t="shared" ca="1" si="1295"/>
        <v>2256017.8594573643</v>
      </c>
      <c r="BF1313" s="2">
        <f t="shared" ca="1" si="1296"/>
        <v>2543947.6440139823</v>
      </c>
      <c r="BG1313" s="2">
        <f t="shared" ca="1" si="1297"/>
        <v>2717807.756489275</v>
      </c>
      <c r="BH1313" s="2">
        <f t="shared" ca="1" si="1298"/>
        <v>2898773.188675954</v>
      </c>
      <c r="BI1313" s="2">
        <f t="shared" ca="1" si="1299"/>
        <v>37685475.042258613</v>
      </c>
      <c r="BJ1313" s="2">
        <f t="shared" ca="1" si="1300"/>
        <v>0.24463651420951615</v>
      </c>
      <c r="BK1313" s="2">
        <f t="shared" ca="1" si="1301"/>
        <v>10513323.754017476</v>
      </c>
    </row>
    <row r="1314" spans="1:63" x14ac:dyDescent="0.3">
      <c r="A1314" s="2">
        <v>1313</v>
      </c>
      <c r="B1314" s="2">
        <f t="shared" ca="1" si="1240"/>
        <v>0.44867256823624124</v>
      </c>
      <c r="C1314" s="2">
        <f t="shared" ca="1" si="1241"/>
        <v>6.9472830287049812</v>
      </c>
      <c r="D1314" s="2">
        <f t="shared" ca="1" si="1242"/>
        <v>0.33323491327574761</v>
      </c>
      <c r="E1314" s="2">
        <f t="shared" ca="1" si="1243"/>
        <v>7.3163760325680167</v>
      </c>
      <c r="F1314" s="2">
        <f t="shared" ca="1" si="1244"/>
        <v>2.116814252280963E-2</v>
      </c>
      <c r="G1314" s="2">
        <f t="shared" ca="1" si="1245"/>
        <v>-2.090597897940126E-2</v>
      </c>
      <c r="H1314" s="2">
        <f t="shared" ca="1" si="1246"/>
        <v>-0.02</v>
      </c>
      <c r="I1314" s="2">
        <f t="shared" ca="1" si="1247"/>
        <v>0.8150270616702876</v>
      </c>
      <c r="J1314" s="2">
        <f t="shared" ca="1" si="1248"/>
        <v>1.4482873749785151E-2</v>
      </c>
      <c r="K1314" s="2">
        <f t="shared" ca="1" si="1249"/>
        <v>1.4482873749785151E-2</v>
      </c>
      <c r="L1314" s="2">
        <f t="shared" ca="1" si="1250"/>
        <v>2.5210083943477679E-2</v>
      </c>
      <c r="M1314" s="2">
        <f t="shared" ca="1" si="1251"/>
        <v>-3.9127640523508186E-2</v>
      </c>
      <c r="N1314" s="2">
        <f t="shared" ca="1" si="1252"/>
        <v>-3.9127640523508186E-2</v>
      </c>
      <c r="O1314" s="2">
        <f t="shared" si="1253"/>
        <v>6000000</v>
      </c>
      <c r="P1314" s="2">
        <f t="shared" ca="1" si="1254"/>
        <v>41683698.172229886</v>
      </c>
      <c r="Q1314" s="2">
        <f t="shared" ca="1" si="1255"/>
        <v>1042092.4543057472</v>
      </c>
      <c r="R1314" s="2">
        <f t="shared" ca="1" si="1256"/>
        <v>25010218.903337929</v>
      </c>
      <c r="S1314" s="2">
        <f t="shared" ca="1" si="1257"/>
        <v>16673479.268891955</v>
      </c>
      <c r="T1314" s="2">
        <f t="shared" ca="1" si="1258"/>
        <v>48043617.97382459</v>
      </c>
      <c r="U1314" s="2">
        <f t="shared" ca="1" si="1259"/>
        <v>47082745.614348099</v>
      </c>
      <c r="V1314" s="2">
        <f t="shared" ca="1" si="1260"/>
        <v>46141090.702061139</v>
      </c>
      <c r="W1314" s="2">
        <f t="shared" ca="1" si="1261"/>
        <v>45218268.888019912</v>
      </c>
      <c r="X1314" s="2">
        <f t="shared" ca="1" si="1262"/>
        <v>44313903.510259517</v>
      </c>
      <c r="Y1314" s="2">
        <f t="shared" ca="1" si="1263"/>
        <v>0.12724143687489256</v>
      </c>
      <c r="Z1314" s="2">
        <f t="shared" ca="1" si="1264"/>
        <v>0.13013801162484961</v>
      </c>
      <c r="AA1314" s="2">
        <f t="shared" ca="1" si="1265"/>
        <v>6113138.9836578555</v>
      </c>
      <c r="AB1314" s="2">
        <f t="shared" ca="1" si="1266"/>
        <v>6127254.8960898705</v>
      </c>
      <c r="AC1314" s="2">
        <f t="shared" ca="1" si="1267"/>
        <v>6004709.7981680734</v>
      </c>
      <c r="AD1314" s="2">
        <f t="shared" ca="1" si="1268"/>
        <v>5884615.6022047112</v>
      </c>
      <c r="AE1314" s="2">
        <f t="shared" ca="1" si="1269"/>
        <v>5766923.2901606169</v>
      </c>
      <c r="AF1314" s="2">
        <f t="shared" ca="1" si="1270"/>
        <v>960872.35947649181</v>
      </c>
      <c r="AG1314" s="2">
        <f t="shared" ca="1" si="1271"/>
        <v>941654.91228696203</v>
      </c>
      <c r="AH1314" s="2">
        <f t="shared" ca="1" si="1272"/>
        <v>922821.81404122279</v>
      </c>
      <c r="AI1314" s="2">
        <f t="shared" ca="1" si="1273"/>
        <v>904365.3777603982</v>
      </c>
      <c r="AJ1314" s="2">
        <f t="shared" ca="1" si="1274"/>
        <v>886278.07020519034</v>
      </c>
      <c r="AK1314" s="2">
        <f t="shared" ca="1" si="1275"/>
        <v>0</v>
      </c>
      <c r="AL1314" s="2">
        <f t="shared" ca="1" si="1276"/>
        <v>0</v>
      </c>
      <c r="AM1314" s="2">
        <f t="shared" ca="1" si="1277"/>
        <v>0</v>
      </c>
      <c r="AN1314" s="2">
        <f t="shared" ca="1" si="1278"/>
        <v>0</v>
      </c>
      <c r="AO1314" s="2">
        <f t="shared" ca="1" si="1279"/>
        <v>0</v>
      </c>
      <c r="AP1314" s="2">
        <f t="shared" ca="1" si="1280"/>
        <v>2250919.7013004133</v>
      </c>
      <c r="AQ1314" s="2">
        <f t="shared" ca="1" si="1281"/>
        <v>754350.19994904718</v>
      </c>
      <c r="AR1314" s="2">
        <f t="shared" ca="1" si="1282"/>
        <v>763016.87345064862</v>
      </c>
      <c r="AS1314" s="2">
        <f t="shared" ca="1" si="1283"/>
        <v>736051.75353487383</v>
      </c>
      <c r="AT1314" s="2">
        <f t="shared" ca="1" si="1284"/>
        <v>709625.93601741397</v>
      </c>
      <c r="AU1314" s="2">
        <f t="shared" ca="1" si="1285"/>
        <v>683728.63485030353</v>
      </c>
      <c r="AV1314" s="2">
        <f t="shared" ca="1" si="1286"/>
        <v>2146996.7229319029</v>
      </c>
      <c r="AW1314" s="2">
        <f t="shared" ca="1" si="1287"/>
        <v>2171663.4090518458</v>
      </c>
      <c r="AX1314" s="2">
        <f t="shared" ca="1" si="1288"/>
        <v>2094916.5292915637</v>
      </c>
      <c r="AY1314" s="2">
        <f t="shared" ca="1" si="1289"/>
        <v>2019704.587126486</v>
      </c>
      <c r="AZ1314" s="2">
        <f t="shared" ca="1" si="1290"/>
        <v>1945996.8838047097</v>
      </c>
      <c r="BA1314" s="2">
        <f t="shared" ca="1" si="1291"/>
        <v>42192979.341789424</v>
      </c>
      <c r="BB1314" s="2">
        <f t="shared" ca="1" si="1292"/>
        <v>843859.58683578856</v>
      </c>
      <c r="BC1314" s="2">
        <f t="shared" ca="1" si="1293"/>
        <v>16338900.851615706</v>
      </c>
      <c r="BD1314" s="2">
        <f t="shared" ca="1" si="1294"/>
        <v>-18215571.723197702</v>
      </c>
      <c r="BE1314" s="2">
        <f t="shared" ca="1" si="1295"/>
        <v>2146996.7229319029</v>
      </c>
      <c r="BF1314" s="2">
        <f t="shared" ca="1" si="1296"/>
        <v>2171663.4090518458</v>
      </c>
      <c r="BG1314" s="2">
        <f t="shared" ca="1" si="1297"/>
        <v>2094916.5292915637</v>
      </c>
      <c r="BH1314" s="2">
        <f t="shared" ca="1" si="1298"/>
        <v>2019704.587126486</v>
      </c>
      <c r="BI1314" s="2">
        <f t="shared" ca="1" si="1299"/>
        <v>18284897.735420417</v>
      </c>
      <c r="BJ1314" s="2">
        <f t="shared" ca="1" si="1300"/>
        <v>9.755754157452734E-2</v>
      </c>
      <c r="BK1314" s="2">
        <f t="shared" ca="1" si="1301"/>
        <v>-1417352.5759700201</v>
      </c>
    </row>
    <row r="1315" spans="1:63" x14ac:dyDescent="0.3">
      <c r="A1315" s="2">
        <v>1314</v>
      </c>
      <c r="B1315" s="2">
        <f t="shared" ca="1" si="1240"/>
        <v>0.51319012988774404</v>
      </c>
      <c r="C1315" s="2">
        <f t="shared" ca="1" si="1241"/>
        <v>7.0132782863316976</v>
      </c>
      <c r="D1315" s="2">
        <f t="shared" ca="1" si="1242"/>
        <v>0.59699687677271274</v>
      </c>
      <c r="E1315" s="2">
        <f t="shared" ca="1" si="1243"/>
        <v>7.6022214936552697</v>
      </c>
      <c r="F1315" s="2">
        <f t="shared" ca="1" si="1244"/>
        <v>0.35037452523355117</v>
      </c>
      <c r="G1315" s="2">
        <f t="shared" ca="1" si="1245"/>
        <v>2.8470714303898775E-2</v>
      </c>
      <c r="H1315" s="2">
        <f t="shared" ca="1" si="1246"/>
        <v>2.8470714303898775E-2</v>
      </c>
      <c r="I1315" s="2">
        <f t="shared" ca="1" si="1247"/>
        <v>0.31112804377928716</v>
      </c>
      <c r="J1315" s="2">
        <f t="shared" ca="1" si="1248"/>
        <v>7.5367229387360794E-3</v>
      </c>
      <c r="K1315" s="2">
        <f t="shared" ca="1" si="1249"/>
        <v>7.5367229387360794E-3</v>
      </c>
      <c r="L1315" s="2">
        <f t="shared" ca="1" si="1250"/>
        <v>0.30578120489274074</v>
      </c>
      <c r="M1315" s="2">
        <f t="shared" ca="1" si="1251"/>
        <v>-1.0156889699633439E-2</v>
      </c>
      <c r="N1315" s="2">
        <f t="shared" ca="1" si="1252"/>
        <v>-1.0156889699633439E-2</v>
      </c>
      <c r="O1315" s="2">
        <f t="shared" si="1253"/>
        <v>6000000</v>
      </c>
      <c r="P1315" s="2">
        <f t="shared" ca="1" si="1254"/>
        <v>42079669.717990182</v>
      </c>
      <c r="Q1315" s="2">
        <f t="shared" ca="1" si="1255"/>
        <v>1051991.7429497547</v>
      </c>
      <c r="R1315" s="2">
        <f t="shared" ca="1" si="1256"/>
        <v>25247801.830794107</v>
      </c>
      <c r="S1315" s="2">
        <f t="shared" ca="1" si="1257"/>
        <v>16831867.887196075</v>
      </c>
      <c r="T1315" s="2">
        <f t="shared" ca="1" si="1258"/>
        <v>49492155.515018329</v>
      </c>
      <c r="U1315" s="2">
        <f t="shared" ca="1" si="1259"/>
        <v>50901232.534970537</v>
      </c>
      <c r="V1315" s="2">
        <f t="shared" ca="1" si="1260"/>
        <v>52350426.984189995</v>
      </c>
      <c r="W1315" s="2">
        <f t="shared" ca="1" si="1261"/>
        <v>53840881.034543976</v>
      </c>
      <c r="X1315" s="2">
        <f t="shared" ca="1" si="1262"/>
        <v>55373769.376348674</v>
      </c>
      <c r="Y1315" s="2">
        <f t="shared" ca="1" si="1263"/>
        <v>0.12376836146936804</v>
      </c>
      <c r="Z1315" s="2">
        <f t="shared" ca="1" si="1264"/>
        <v>0.12527570605711524</v>
      </c>
      <c r="AA1315" s="2">
        <f t="shared" ca="1" si="1265"/>
        <v>6125562.9936809652</v>
      </c>
      <c r="AB1315" s="2">
        <f t="shared" ca="1" si="1266"/>
        <v>6376687.8449958405</v>
      </c>
      <c r="AC1315" s="2">
        <f t="shared" ca="1" si="1267"/>
        <v>6558236.7028358597</v>
      </c>
      <c r="AD1315" s="2">
        <f t="shared" ca="1" si="1268"/>
        <v>6744954.3863396421</v>
      </c>
      <c r="AE1315" s="2">
        <f t="shared" ca="1" si="1269"/>
        <v>6936988.0556659466</v>
      </c>
      <c r="AF1315" s="2">
        <f t="shared" ca="1" si="1270"/>
        <v>989843.11030036665</v>
      </c>
      <c r="AG1315" s="2">
        <f t="shared" ca="1" si="1271"/>
        <v>1018024.6506994107</v>
      </c>
      <c r="AH1315" s="2">
        <f t="shared" ca="1" si="1272"/>
        <v>1047008.5396838</v>
      </c>
      <c r="AI1315" s="2">
        <f t="shared" ca="1" si="1273"/>
        <v>1076817.6206908796</v>
      </c>
      <c r="AJ1315" s="2">
        <f t="shared" ca="1" si="1274"/>
        <v>1107475.3875269736</v>
      </c>
      <c r="AK1315" s="2">
        <f t="shared" ca="1" si="1275"/>
        <v>0</v>
      </c>
      <c r="AL1315" s="2">
        <f t="shared" ca="1" si="1276"/>
        <v>14090.770199522078</v>
      </c>
      <c r="AM1315" s="2">
        <f t="shared" ca="1" si="1277"/>
        <v>14491.944492194578</v>
      </c>
      <c r="AN1315" s="2">
        <f t="shared" ca="1" si="1278"/>
        <v>14904.540503539816</v>
      </c>
      <c r="AO1315" s="2">
        <f t="shared" ca="1" si="1279"/>
        <v>15328.883418046982</v>
      </c>
      <c r="AP1315" s="2">
        <f t="shared" ca="1" si="1280"/>
        <v>2272302.1647714698</v>
      </c>
      <c r="AQ1315" s="2">
        <f t="shared" ca="1" si="1281"/>
        <v>744488.60683837347</v>
      </c>
      <c r="AR1315" s="2">
        <f t="shared" ca="1" si="1282"/>
        <v>802453.86767648964</v>
      </c>
      <c r="AS1315" s="2">
        <f t="shared" ca="1" si="1283"/>
        <v>842120.75957895338</v>
      </c>
      <c r="AT1315" s="2">
        <f t="shared" ca="1" si="1284"/>
        <v>882916.99622809619</v>
      </c>
      <c r="AU1315" s="2">
        <f t="shared" ca="1" si="1285"/>
        <v>924874.730875551</v>
      </c>
      <c r="AV1315" s="2">
        <f t="shared" ca="1" si="1286"/>
        <v>2118929.1117707551</v>
      </c>
      <c r="AW1315" s="2">
        <f t="shared" ca="1" si="1287"/>
        <v>2269816.3916489477</v>
      </c>
      <c r="AX1315" s="2">
        <f t="shared" ca="1" si="1288"/>
        <v>2382313.2943094415</v>
      </c>
      <c r="AY1315" s="2">
        <f t="shared" ca="1" si="1289"/>
        <v>2498013.0641456568</v>
      </c>
      <c r="AZ1315" s="2">
        <f t="shared" ca="1" si="1290"/>
        <v>2617006.889073906</v>
      </c>
      <c r="BA1315" s="2">
        <f t="shared" ca="1" si="1291"/>
        <v>52736519.698013537</v>
      </c>
      <c r="BB1315" s="2">
        <f t="shared" ca="1" si="1292"/>
        <v>1054730.3939602708</v>
      </c>
      <c r="BC1315" s="2">
        <f t="shared" ca="1" si="1293"/>
        <v>26433987.473259158</v>
      </c>
      <c r="BD1315" s="2">
        <f t="shared" ca="1" si="1294"/>
        <v>-18383859.630145829</v>
      </c>
      <c r="BE1315" s="2">
        <f t="shared" ca="1" si="1295"/>
        <v>2118929.1117707551</v>
      </c>
      <c r="BF1315" s="2">
        <f t="shared" ca="1" si="1296"/>
        <v>2269816.3916489477</v>
      </c>
      <c r="BG1315" s="2">
        <f t="shared" ca="1" si="1297"/>
        <v>2382313.2943094415</v>
      </c>
      <c r="BH1315" s="2">
        <f t="shared" ca="1" si="1298"/>
        <v>2498013.0641456568</v>
      </c>
      <c r="BI1315" s="2">
        <f t="shared" ca="1" si="1299"/>
        <v>29050994.362333063</v>
      </c>
      <c r="BJ1315" s="2">
        <f t="shared" ca="1" si="1300"/>
        <v>0.18736631683563276</v>
      </c>
      <c r="BK1315" s="2">
        <f t="shared" ca="1" si="1301"/>
        <v>5085055.4889602922</v>
      </c>
    </row>
    <row r="1316" spans="1:63" x14ac:dyDescent="0.3">
      <c r="A1316" s="2">
        <v>1315</v>
      </c>
      <c r="B1316" s="2">
        <f t="shared" ca="1" si="1240"/>
        <v>0.90206000979841372</v>
      </c>
      <c r="C1316" s="2">
        <f t="shared" ca="1" si="1241"/>
        <v>7.5574166966511589</v>
      </c>
      <c r="D1316" s="2">
        <f t="shared" ca="1" si="1242"/>
        <v>0.91859575917970593</v>
      </c>
      <c r="E1316" s="2">
        <f t="shared" ca="1" si="1243"/>
        <v>8.096504669617369</v>
      </c>
      <c r="F1316" s="2">
        <f t="shared" ca="1" si="1244"/>
        <v>0.71193536912725852</v>
      </c>
      <c r="G1316" s="2">
        <f t="shared" ca="1" si="1245"/>
        <v>5.6771426819256274E-2</v>
      </c>
      <c r="H1316" s="2">
        <f t="shared" ca="1" si="1246"/>
        <v>5.6771426819256274E-2</v>
      </c>
      <c r="I1316" s="2">
        <f t="shared" ca="1" si="1247"/>
        <v>0.60913890148450056</v>
      </c>
      <c r="J1316" s="2">
        <f t="shared" ca="1" si="1248"/>
        <v>1.1385377088156809E-2</v>
      </c>
      <c r="K1316" s="2">
        <f t="shared" ca="1" si="1249"/>
        <v>1.1385377088156809E-2</v>
      </c>
      <c r="L1316" s="2">
        <f t="shared" ca="1" si="1250"/>
        <v>0.56514081862528764</v>
      </c>
      <c r="M1316" s="2">
        <f t="shared" ca="1" si="1251"/>
        <v>3.2803247116208471E-3</v>
      </c>
      <c r="N1316" s="2">
        <f t="shared" ca="1" si="1252"/>
        <v>3.2803247116208471E-3</v>
      </c>
      <c r="O1316" s="2">
        <f t="shared" si="1253"/>
        <v>6000000</v>
      </c>
      <c r="P1316" s="2">
        <f t="shared" ca="1" si="1254"/>
        <v>45344500.179906957</v>
      </c>
      <c r="Q1316" s="2">
        <f t="shared" ca="1" si="1255"/>
        <v>1133612.5044976741</v>
      </c>
      <c r="R1316" s="2">
        <f t="shared" ca="1" si="1256"/>
        <v>27206700.107944172</v>
      </c>
      <c r="S1316" s="2">
        <f t="shared" ca="1" si="1257"/>
        <v>18137800.071962785</v>
      </c>
      <c r="T1316" s="2">
        <f t="shared" ca="1" si="1258"/>
        <v>50164016.23558104</v>
      </c>
      <c r="U1316" s="2">
        <f t="shared" ca="1" si="1259"/>
        <v>53011899.012259312</v>
      </c>
      <c r="V1316" s="2">
        <f t="shared" ca="1" si="1260"/>
        <v>56021460.157583594</v>
      </c>
      <c r="W1316" s="2">
        <f t="shared" ca="1" si="1261"/>
        <v>59201878.383227736</v>
      </c>
      <c r="X1316" s="2">
        <f t="shared" ca="1" si="1262"/>
        <v>62562853.489423662</v>
      </c>
      <c r="Y1316" s="2">
        <f t="shared" ca="1" si="1263"/>
        <v>0.12569268854407839</v>
      </c>
      <c r="Z1316" s="2">
        <f t="shared" ca="1" si="1264"/>
        <v>0.12796976396170975</v>
      </c>
      <c r="AA1316" s="2">
        <f t="shared" ca="1" si="1265"/>
        <v>6305250.068818979</v>
      </c>
      <c r="AB1316" s="2">
        <f t="shared" ca="1" si="1266"/>
        <v>6783920.2037608186</v>
      </c>
      <c r="AC1316" s="2">
        <f t="shared" ca="1" si="1267"/>
        <v>7169053.0331563</v>
      </c>
      <c r="AD1316" s="2">
        <f t="shared" ca="1" si="1268"/>
        <v>7576050.4027915001</v>
      </c>
      <c r="AE1316" s="2">
        <f t="shared" ca="1" si="1269"/>
        <v>8006153.5938125756</v>
      </c>
      <c r="AF1316" s="2">
        <f t="shared" ca="1" si="1270"/>
        <v>1003280.3247116208</v>
      </c>
      <c r="AG1316" s="2">
        <f t="shared" ca="1" si="1271"/>
        <v>1060237.9802451862</v>
      </c>
      <c r="AH1316" s="2">
        <f t="shared" ca="1" si="1272"/>
        <v>1120429.2031516719</v>
      </c>
      <c r="AI1316" s="2">
        <f t="shared" ca="1" si="1273"/>
        <v>1184037.5676645548</v>
      </c>
      <c r="AJ1316" s="2">
        <f t="shared" ca="1" si="1274"/>
        <v>1251257.0697884732</v>
      </c>
      <c r="AK1316" s="2">
        <f t="shared" ca="1" si="1275"/>
        <v>0</v>
      </c>
      <c r="AL1316" s="2">
        <f t="shared" ca="1" si="1276"/>
        <v>28478.827766782717</v>
      </c>
      <c r="AM1316" s="2">
        <f t="shared" ca="1" si="1277"/>
        <v>30095.611453242826</v>
      </c>
      <c r="AN1316" s="2">
        <f t="shared" ca="1" si="1278"/>
        <v>31804.182256441414</v>
      </c>
      <c r="AO1316" s="2">
        <f t="shared" ca="1" si="1279"/>
        <v>33609.751061959265</v>
      </c>
      <c r="AP1316" s="2">
        <f t="shared" ca="1" si="1280"/>
        <v>2448603.0097149755</v>
      </c>
      <c r="AQ1316" s="2">
        <f t="shared" ca="1" si="1281"/>
        <v>741875.35094201949</v>
      </c>
      <c r="AR1316" s="2">
        <f t="shared" ca="1" si="1282"/>
        <v>851520.59558817092</v>
      </c>
      <c r="AS1316" s="2">
        <f t="shared" ca="1" si="1283"/>
        <v>936005.41327530961</v>
      </c>
      <c r="AT1316" s="2">
        <f t="shared" ca="1" si="1284"/>
        <v>1025286.5546071123</v>
      </c>
      <c r="AU1316" s="2">
        <f t="shared" ca="1" si="1285"/>
        <v>1119636.313720373</v>
      </c>
      <c r="AV1316" s="2">
        <f t="shared" ca="1" si="1286"/>
        <v>2111491.3834503633</v>
      </c>
      <c r="AW1316" s="2">
        <f t="shared" ca="1" si="1287"/>
        <v>2395079.7904457035</v>
      </c>
      <c r="AX1316" s="2">
        <f t="shared" ca="1" si="1288"/>
        <v>2633919.7955610999</v>
      </c>
      <c r="AY1316" s="2">
        <f t="shared" ca="1" si="1289"/>
        <v>2886319.0885484167</v>
      </c>
      <c r="AZ1316" s="2">
        <f t="shared" ca="1" si="1290"/>
        <v>3153047.4495267947</v>
      </c>
      <c r="BA1316" s="2">
        <f t="shared" ca="1" si="1291"/>
        <v>64821859.957977399</v>
      </c>
      <c r="BB1316" s="2">
        <f t="shared" ca="1" si="1292"/>
        <v>1296437.1991595479</v>
      </c>
      <c r="BC1316" s="2">
        <f t="shared" ca="1" si="1293"/>
        <v>36318722.650873676</v>
      </c>
      <c r="BD1316" s="2">
        <f t="shared" ca="1" si="1294"/>
        <v>-19771412.576460458</v>
      </c>
      <c r="BE1316" s="2">
        <f t="shared" ca="1" si="1295"/>
        <v>2111491.3834503633</v>
      </c>
      <c r="BF1316" s="2">
        <f t="shared" ca="1" si="1296"/>
        <v>2395079.7904457035</v>
      </c>
      <c r="BG1316" s="2">
        <f t="shared" ca="1" si="1297"/>
        <v>2633919.7955610999</v>
      </c>
      <c r="BH1316" s="2">
        <f t="shared" ca="1" si="1298"/>
        <v>2886319.0885484167</v>
      </c>
      <c r="BI1316" s="2">
        <f t="shared" ca="1" si="1299"/>
        <v>39471770.10040047</v>
      </c>
      <c r="BJ1316" s="2">
        <f t="shared" ca="1" si="1300"/>
        <v>0.23331217970042761</v>
      </c>
      <c r="BK1316" s="2">
        <f t="shared" ca="1" si="1301"/>
        <v>10129612.975864261</v>
      </c>
    </row>
    <row r="1317" spans="1:63" x14ac:dyDescent="0.3">
      <c r="A1317" s="2">
        <v>1316</v>
      </c>
      <c r="B1317" s="2">
        <f t="shared" ca="1" si="1240"/>
        <v>0.86405943593096246</v>
      </c>
      <c r="C1317" s="2">
        <f t="shared" ca="1" si="1241"/>
        <v>7.4785777832331313</v>
      </c>
      <c r="D1317" s="2">
        <f t="shared" ca="1" si="1242"/>
        <v>0.10585519467834892</v>
      </c>
      <c r="E1317" s="2">
        <f t="shared" ca="1" si="1243"/>
        <v>6.960119972786118</v>
      </c>
      <c r="F1317" s="2">
        <f t="shared" ca="1" si="1244"/>
        <v>0.54648526634390349</v>
      </c>
      <c r="G1317" s="2">
        <f t="shared" ca="1" si="1245"/>
        <v>4.3503586469634613E-2</v>
      </c>
      <c r="H1317" s="2">
        <f t="shared" ca="1" si="1246"/>
        <v>4.3503586469634613E-2</v>
      </c>
      <c r="I1317" s="2">
        <f t="shared" ca="1" si="1247"/>
        <v>0.10933556383067156</v>
      </c>
      <c r="J1317" s="2">
        <f t="shared" ca="1" si="1248"/>
        <v>3.8496531332234294E-3</v>
      </c>
      <c r="K1317" s="2">
        <f t="shared" ca="1" si="1249"/>
        <v>3.8496531332234294E-3</v>
      </c>
      <c r="L1317" s="2">
        <f t="shared" ca="1" si="1250"/>
        <v>0.157168437985026</v>
      </c>
      <c r="M1317" s="2">
        <f t="shared" ca="1" si="1251"/>
        <v>-2.0123272115551837E-2</v>
      </c>
      <c r="N1317" s="2">
        <f t="shared" ca="1" si="1252"/>
        <v>-2.0123272115551837E-2</v>
      </c>
      <c r="O1317" s="2">
        <f t="shared" si="1253"/>
        <v>6000000</v>
      </c>
      <c r="P1317" s="2">
        <f t="shared" ca="1" si="1254"/>
        <v>44871466.699398786</v>
      </c>
      <c r="Q1317" s="2">
        <f t="shared" ca="1" si="1255"/>
        <v>1121786.6674849696</v>
      </c>
      <c r="R1317" s="2">
        <f t="shared" ca="1" si="1256"/>
        <v>26922880.019639272</v>
      </c>
      <c r="S1317" s="2">
        <f t="shared" ca="1" si="1257"/>
        <v>17948586.679759514</v>
      </c>
      <c r="T1317" s="2">
        <f t="shared" ca="1" si="1258"/>
        <v>48993836.394222409</v>
      </c>
      <c r="U1317" s="2">
        <f t="shared" ca="1" si="1259"/>
        <v>51125243.9922776</v>
      </c>
      <c r="V1317" s="2">
        <f t="shared" ca="1" si="1260"/>
        <v>53349375.465076819</v>
      </c>
      <c r="W1317" s="2">
        <f t="shared" ca="1" si="1261"/>
        <v>55670264.633722797</v>
      </c>
      <c r="X1317" s="2">
        <f t="shared" ca="1" si="1262"/>
        <v>58092120.805003405</v>
      </c>
      <c r="Y1317" s="2">
        <f t="shared" ca="1" si="1263"/>
        <v>0.12192482656661172</v>
      </c>
      <c r="Z1317" s="2">
        <f t="shared" ca="1" si="1264"/>
        <v>0.1226947571932564</v>
      </c>
      <c r="AA1317" s="2">
        <f t="shared" ca="1" si="1265"/>
        <v>5973565.005198516</v>
      </c>
      <c r="AB1317" s="2">
        <f t="shared" ca="1" si="1266"/>
        <v>6272799.398078491</v>
      </c>
      <c r="AC1317" s="2">
        <f t="shared" ca="1" si="1267"/>
        <v>6545688.6690994706</v>
      </c>
      <c r="AD1317" s="2">
        <f t="shared" ca="1" si="1268"/>
        <v>6830449.6021189475</v>
      </c>
      <c r="AE1317" s="2">
        <f t="shared" ca="1" si="1269"/>
        <v>7127598.6570112109</v>
      </c>
      <c r="AF1317" s="2">
        <f t="shared" ca="1" si="1270"/>
        <v>979876.72788444813</v>
      </c>
      <c r="AG1317" s="2">
        <f t="shared" ca="1" si="1271"/>
        <v>1022504.879845552</v>
      </c>
      <c r="AH1317" s="2">
        <f t="shared" ca="1" si="1272"/>
        <v>1066987.5093015365</v>
      </c>
      <c r="AI1317" s="2">
        <f t="shared" ca="1" si="1273"/>
        <v>1113405.292674456</v>
      </c>
      <c r="AJ1317" s="2">
        <f t="shared" ca="1" si="1274"/>
        <v>1161842.416100068</v>
      </c>
      <c r="AK1317" s="2">
        <f t="shared" ca="1" si="1275"/>
        <v>0</v>
      </c>
      <c r="AL1317" s="2">
        <f t="shared" ca="1" si="1276"/>
        <v>21314.075980551916</v>
      </c>
      <c r="AM1317" s="2">
        <f t="shared" ca="1" si="1277"/>
        <v>22241.314727992194</v>
      </c>
      <c r="AN1317" s="2">
        <f t="shared" ca="1" si="1278"/>
        <v>23208.891686459781</v>
      </c>
      <c r="AO1317" s="2">
        <f t="shared" ca="1" si="1279"/>
        <v>24218.561712806077</v>
      </c>
      <c r="AP1317" s="2">
        <f t="shared" ca="1" si="1280"/>
        <v>2423059.2017675345</v>
      </c>
      <c r="AQ1317" s="2">
        <f t="shared" ca="1" si="1281"/>
        <v>668363.55964209873</v>
      </c>
      <c r="AR1317" s="2">
        <f t="shared" ca="1" si="1282"/>
        <v>735081.1822810052</v>
      </c>
      <c r="AS1317" s="2">
        <f t="shared" ca="1" si="1283"/>
        <v>794466.90908790391</v>
      </c>
      <c r="AT1317" s="2">
        <f t="shared" ca="1" si="1284"/>
        <v>856436.12799600896</v>
      </c>
      <c r="AU1317" s="2">
        <f t="shared" ca="1" si="1285"/>
        <v>921101.23017733824</v>
      </c>
      <c r="AV1317" s="2">
        <f t="shared" ca="1" si="1286"/>
        <v>1902265.5159044345</v>
      </c>
      <c r="AW1317" s="2">
        <f t="shared" ca="1" si="1287"/>
        <v>2070840.0582038476</v>
      </c>
      <c r="AX1317" s="2">
        <f t="shared" ca="1" si="1288"/>
        <v>2238933.7342145038</v>
      </c>
      <c r="AY1317" s="2">
        <f t="shared" ca="1" si="1289"/>
        <v>2414340.0879944884</v>
      </c>
      <c r="AZ1317" s="2">
        <f t="shared" ca="1" si="1290"/>
        <v>2597377.2472534641</v>
      </c>
      <c r="BA1317" s="2">
        <f t="shared" ca="1" si="1291"/>
        <v>49608941.77066724</v>
      </c>
      <c r="BB1317" s="2">
        <f t="shared" ca="1" si="1292"/>
        <v>992178.83541334479</v>
      </c>
      <c r="BC1317" s="2">
        <f t="shared" ca="1" si="1293"/>
        <v>21693882.915614624</v>
      </c>
      <c r="BD1317" s="2">
        <f t="shared" ca="1" si="1294"/>
        <v>-19570373.347244482</v>
      </c>
      <c r="BE1317" s="2">
        <f t="shared" ca="1" si="1295"/>
        <v>1902265.5159044345</v>
      </c>
      <c r="BF1317" s="2">
        <f t="shared" ca="1" si="1296"/>
        <v>2070840.0582038476</v>
      </c>
      <c r="BG1317" s="2">
        <f t="shared" ca="1" si="1297"/>
        <v>2238933.7342145038</v>
      </c>
      <c r="BH1317" s="2">
        <f t="shared" ca="1" si="1298"/>
        <v>2414340.0879944884</v>
      </c>
      <c r="BI1317" s="2">
        <f t="shared" ca="1" si="1299"/>
        <v>24291260.162868086</v>
      </c>
      <c r="BJ1317" s="2">
        <f t="shared" ca="1" si="1300"/>
        <v>0.12932937948142764</v>
      </c>
      <c r="BK1317" s="2">
        <f t="shared" ca="1" si="1301"/>
        <v>690437.97920284048</v>
      </c>
    </row>
    <row r="1318" spans="1:63" x14ac:dyDescent="0.3">
      <c r="A1318" s="2">
        <v>1317</v>
      </c>
      <c r="B1318" s="2">
        <f t="shared" ca="1" si="1240"/>
        <v>0.39205298947472134</v>
      </c>
      <c r="C1318" s="2">
        <f t="shared" ca="1" si="1241"/>
        <v>6.8854975883363219</v>
      </c>
      <c r="D1318" s="2">
        <f t="shared" ca="1" si="1242"/>
        <v>0.96725423213279516</v>
      </c>
      <c r="E1318" s="2">
        <f t="shared" ca="1" si="1243"/>
        <v>8.2440868590040566</v>
      </c>
      <c r="F1318" s="2">
        <f t="shared" ca="1" si="1244"/>
        <v>0.46543342895716167</v>
      </c>
      <c r="G1318" s="2">
        <f t="shared" ca="1" si="1245"/>
        <v>3.7397372660457957E-2</v>
      </c>
      <c r="H1318" s="2">
        <f t="shared" ca="1" si="1246"/>
        <v>3.7397372660457957E-2</v>
      </c>
      <c r="I1318" s="2">
        <f t="shared" ca="1" si="1247"/>
        <v>0.83751733562855135</v>
      </c>
      <c r="J1318" s="2">
        <f t="shared" ca="1" si="1248"/>
        <v>1.4921527472742318E-2</v>
      </c>
      <c r="K1318" s="2">
        <f t="shared" ca="1" si="1249"/>
        <v>1.4921527472742318E-2</v>
      </c>
      <c r="L1318" s="2">
        <f t="shared" ca="1" si="1250"/>
        <v>0.40480054297942525</v>
      </c>
      <c r="M1318" s="2">
        <f t="shared" ca="1" si="1251"/>
        <v>-4.8188137721255318E-3</v>
      </c>
      <c r="N1318" s="2">
        <f t="shared" ca="1" si="1252"/>
        <v>-4.8188137721255318E-3</v>
      </c>
      <c r="O1318" s="2">
        <f t="shared" si="1253"/>
        <v>6000000</v>
      </c>
      <c r="P1318" s="2">
        <f t="shared" ca="1" si="1254"/>
        <v>41312985.530017935</v>
      </c>
      <c r="Q1318" s="2">
        <f t="shared" ca="1" si="1255"/>
        <v>1032824.6382504484</v>
      </c>
      <c r="R1318" s="2">
        <f t="shared" ca="1" si="1256"/>
        <v>24787791.318010759</v>
      </c>
      <c r="S1318" s="2">
        <f t="shared" ca="1" si="1257"/>
        <v>16525194.212007174</v>
      </c>
      <c r="T1318" s="2">
        <f t="shared" ca="1" si="1258"/>
        <v>49759059.311393723</v>
      </c>
      <c r="U1318" s="2">
        <f t="shared" ca="1" si="1259"/>
        <v>51619917.395695746</v>
      </c>
      <c r="V1318" s="2">
        <f t="shared" ca="1" si="1260"/>
        <v>53550366.683244638</v>
      </c>
      <c r="W1318" s="2">
        <f t="shared" ca="1" si="1261"/>
        <v>55553009.702202111</v>
      </c>
      <c r="X1318" s="2">
        <f t="shared" ca="1" si="1262"/>
        <v>57630546.308445401</v>
      </c>
      <c r="Y1318" s="2">
        <f t="shared" ca="1" si="1263"/>
        <v>0.12746076373637116</v>
      </c>
      <c r="Z1318" s="2">
        <f t="shared" ca="1" si="1264"/>
        <v>0.13044506923091961</v>
      </c>
      <c r="AA1318" s="2">
        <f t="shared" ca="1" si="1265"/>
        <v>6342327.7026336351</v>
      </c>
      <c r="AB1318" s="2">
        <f t="shared" ca="1" si="1266"/>
        <v>6733563.6983758835</v>
      </c>
      <c r="AC1318" s="2">
        <f t="shared" ca="1" si="1267"/>
        <v>6985381.2893369775</v>
      </c>
      <c r="AD1318" s="2">
        <f t="shared" ca="1" si="1268"/>
        <v>7246616.1965897037</v>
      </c>
      <c r="AE1318" s="2">
        <f t="shared" ca="1" si="1269"/>
        <v>7517620.6030208794</v>
      </c>
      <c r="AF1318" s="2">
        <f t="shared" ca="1" si="1270"/>
        <v>995181.18622787448</v>
      </c>
      <c r="AG1318" s="2">
        <f t="shared" ca="1" si="1271"/>
        <v>1032398.3479139149</v>
      </c>
      <c r="AH1318" s="2">
        <f t="shared" ca="1" si="1272"/>
        <v>1071007.3336648927</v>
      </c>
      <c r="AI1318" s="2">
        <f t="shared" ca="1" si="1273"/>
        <v>1111060.1940440421</v>
      </c>
      <c r="AJ1318" s="2">
        <f t="shared" ca="1" si="1274"/>
        <v>1152610.9261689081</v>
      </c>
      <c r="AK1318" s="2">
        <f t="shared" ca="1" si="1275"/>
        <v>0</v>
      </c>
      <c r="AL1318" s="2">
        <f t="shared" ca="1" si="1276"/>
        <v>18608.580843020231</v>
      </c>
      <c r="AM1318" s="2">
        <f t="shared" ca="1" si="1277"/>
        <v>19304.492875488922</v>
      </c>
      <c r="AN1318" s="2">
        <f t="shared" ca="1" si="1278"/>
        <v>20026.430189574734</v>
      </c>
      <c r="AO1318" s="2">
        <f t="shared" ca="1" si="1279"/>
        <v>20775.366062432902</v>
      </c>
      <c r="AP1318" s="2">
        <f t="shared" ca="1" si="1280"/>
        <v>2230901.2186209681</v>
      </c>
      <c r="AQ1318" s="2">
        <f t="shared" ca="1" si="1281"/>
        <v>810223.77742404607</v>
      </c>
      <c r="AR1318" s="2">
        <f t="shared" ca="1" si="1282"/>
        <v>902268.6742786601</v>
      </c>
      <c r="AS1318" s="2">
        <f t="shared" ca="1" si="1283"/>
        <v>957702.91163329047</v>
      </c>
      <c r="AT1318" s="2">
        <f t="shared" ca="1" si="1284"/>
        <v>1015210.2438204202</v>
      </c>
      <c r="AU1318" s="2">
        <f t="shared" ca="1" si="1285"/>
        <v>1074868.1991400609</v>
      </c>
      <c r="AV1318" s="2">
        <f t="shared" ca="1" si="1286"/>
        <v>2306021.5203607464</v>
      </c>
      <c r="AW1318" s="2">
        <f t="shared" ca="1" si="1287"/>
        <v>2549386.8767193202</v>
      </c>
      <c r="AX1318" s="2">
        <f t="shared" ca="1" si="1288"/>
        <v>2706465.3325423384</v>
      </c>
      <c r="AY1318" s="2">
        <f t="shared" ca="1" si="1289"/>
        <v>2869418.1099146977</v>
      </c>
      <c r="AZ1318" s="2">
        <f t="shared" ca="1" si="1290"/>
        <v>3038464.8930285098</v>
      </c>
      <c r="BA1318" s="2">
        <f t="shared" ca="1" si="1291"/>
        <v>61975917.224342585</v>
      </c>
      <c r="BB1318" s="2">
        <f t="shared" ca="1" si="1292"/>
        <v>1239518.3444868517</v>
      </c>
      <c r="BC1318" s="2">
        <f t="shared" ca="1" si="1293"/>
        <v>35948607.561844967</v>
      </c>
      <c r="BD1318" s="2">
        <f t="shared" ca="1" si="1294"/>
        <v>-18058018.850257624</v>
      </c>
      <c r="BE1318" s="2">
        <f t="shared" ca="1" si="1295"/>
        <v>2306021.5203607464</v>
      </c>
      <c r="BF1318" s="2">
        <f t="shared" ca="1" si="1296"/>
        <v>2549386.8767193202</v>
      </c>
      <c r="BG1318" s="2">
        <f t="shared" ca="1" si="1297"/>
        <v>2706465.3325423384</v>
      </c>
      <c r="BH1318" s="2">
        <f t="shared" ca="1" si="1298"/>
        <v>2869418.1099146977</v>
      </c>
      <c r="BI1318" s="2">
        <f t="shared" ca="1" si="1299"/>
        <v>38987072.45487348</v>
      </c>
      <c r="BJ1318" s="2">
        <f t="shared" ca="1" si="1300"/>
        <v>0.26246002798734147</v>
      </c>
      <c r="BK1318" s="2">
        <f t="shared" ca="1" si="1301"/>
        <v>11905572.130598787</v>
      </c>
    </row>
    <row r="1319" spans="1:63" x14ac:dyDescent="0.3">
      <c r="A1319" s="2">
        <v>1318</v>
      </c>
      <c r="B1319" s="2">
        <f t="shared" ca="1" si="1240"/>
        <v>0.74666658363796778</v>
      </c>
      <c r="C1319" s="2">
        <f t="shared" ca="1" si="1241"/>
        <v>7.2881946665526698</v>
      </c>
      <c r="D1319" s="2">
        <f t="shared" ca="1" si="1242"/>
        <v>0.71216537925990775</v>
      </c>
      <c r="E1319" s="2">
        <f t="shared" ca="1" si="1243"/>
        <v>7.741271299158794</v>
      </c>
      <c r="F1319" s="2">
        <f t="shared" ca="1" si="1244"/>
        <v>0.53507702029525739</v>
      </c>
      <c r="G1319" s="2">
        <f t="shared" ca="1" si="1245"/>
        <v>4.2641159414049133E-2</v>
      </c>
      <c r="H1319" s="2">
        <f t="shared" ca="1" si="1246"/>
        <v>4.2641159414049133E-2</v>
      </c>
      <c r="I1319" s="2">
        <f t="shared" ca="1" si="1247"/>
        <v>0.7061214254532141</v>
      </c>
      <c r="J1319" s="2">
        <f t="shared" ca="1" si="1248"/>
        <v>1.2710445341427049E-2</v>
      </c>
      <c r="K1319" s="2">
        <f t="shared" ca="1" si="1249"/>
        <v>1.2710445341427049E-2</v>
      </c>
      <c r="L1319" s="2">
        <f t="shared" ca="1" si="1250"/>
        <v>0.53504449739829607</v>
      </c>
      <c r="M1319" s="2">
        <f t="shared" ca="1" si="1251"/>
        <v>1.7591361613996993E-3</v>
      </c>
      <c r="N1319" s="2">
        <f t="shared" ca="1" si="1252"/>
        <v>1.7591361613996993E-3</v>
      </c>
      <c r="O1319" s="2">
        <f t="shared" si="1253"/>
        <v>6000000</v>
      </c>
      <c r="P1319" s="2">
        <f t="shared" ca="1" si="1254"/>
        <v>43729167.999316022</v>
      </c>
      <c r="Q1319" s="2">
        <f t="shared" ca="1" si="1255"/>
        <v>1093229.1999829006</v>
      </c>
      <c r="R1319" s="2">
        <f t="shared" ca="1" si="1256"/>
        <v>26237500.799589612</v>
      </c>
      <c r="S1319" s="2">
        <f t="shared" ca="1" si="1257"/>
        <v>17491667.19972641</v>
      </c>
      <c r="T1319" s="2">
        <f t="shared" ca="1" si="1258"/>
        <v>50087956.808069989</v>
      </c>
      <c r="U1319" s="2">
        <f t="shared" ca="1" si="1259"/>
        <v>52223765.359046914</v>
      </c>
      <c r="V1319" s="2">
        <f t="shared" ca="1" si="1260"/>
        <v>54450647.262923934</v>
      </c>
      <c r="W1319" s="2">
        <f t="shared" ca="1" si="1261"/>
        <v>56772485.993060432</v>
      </c>
      <c r="X1319" s="2">
        <f t="shared" ca="1" si="1262"/>
        <v>59193330.6186224</v>
      </c>
      <c r="Y1319" s="2">
        <f t="shared" ca="1" si="1263"/>
        <v>0.12635522267071353</v>
      </c>
      <c r="Z1319" s="2">
        <f t="shared" ca="1" si="1264"/>
        <v>0.12889731173899893</v>
      </c>
      <c r="AA1319" s="2">
        <f t="shared" ca="1" si="1265"/>
        <v>6328874.9356047651</v>
      </c>
      <c r="AB1319" s="2">
        <f t="shared" ca="1" si="1266"/>
        <v>6731502.9636694035</v>
      </c>
      <c r="AC1319" s="2">
        <f t="shared" ca="1" si="1267"/>
        <v>7018542.0546393748</v>
      </c>
      <c r="AD1319" s="2">
        <f t="shared" ca="1" si="1268"/>
        <v>7317820.8252454605</v>
      </c>
      <c r="AE1319" s="2">
        <f t="shared" ca="1" si="1269"/>
        <v>7629861.1896182019</v>
      </c>
      <c r="AF1319" s="2">
        <f t="shared" ca="1" si="1270"/>
        <v>1001759.1361613998</v>
      </c>
      <c r="AG1319" s="2">
        <f t="shared" ca="1" si="1271"/>
        <v>1044475.3071809383</v>
      </c>
      <c r="AH1319" s="2">
        <f t="shared" ca="1" si="1272"/>
        <v>1089012.9452584786</v>
      </c>
      <c r="AI1319" s="2">
        <f t="shared" ca="1" si="1273"/>
        <v>1135449.7198612087</v>
      </c>
      <c r="AJ1319" s="2">
        <f t="shared" ca="1" si="1274"/>
        <v>1183866.612372448</v>
      </c>
      <c r="AK1319" s="2">
        <f t="shared" ca="1" si="1275"/>
        <v>0</v>
      </c>
      <c r="AL1319" s="2">
        <f t="shared" ca="1" si="1276"/>
        <v>21358.085509769247</v>
      </c>
      <c r="AM1319" s="2">
        <f t="shared" ca="1" si="1277"/>
        <v>22268.819038770198</v>
      </c>
      <c r="AN1319" s="2">
        <f t="shared" ca="1" si="1278"/>
        <v>23218.38730136499</v>
      </c>
      <c r="AO1319" s="2">
        <f t="shared" ca="1" si="1279"/>
        <v>24208.446255619674</v>
      </c>
      <c r="AP1319" s="2">
        <f t="shared" ca="1" si="1280"/>
        <v>2361375.0719630648</v>
      </c>
      <c r="AQ1319" s="2">
        <f t="shared" ca="1" si="1281"/>
        <v>771092.58914487809</v>
      </c>
      <c r="AR1319" s="2">
        <f t="shared" ca="1" si="1282"/>
        <v>864669.67197660415</v>
      </c>
      <c r="AS1319" s="2">
        <f t="shared" ca="1" si="1283"/>
        <v>927720.04972863616</v>
      </c>
      <c r="AT1319" s="2">
        <f t="shared" ca="1" si="1284"/>
        <v>993458.96868950874</v>
      </c>
      <c r="AU1319" s="2">
        <f t="shared" ca="1" si="1285"/>
        <v>1062001.0713734992</v>
      </c>
      <c r="AV1319" s="2">
        <f t="shared" ca="1" si="1286"/>
        <v>2194648.1383354221</v>
      </c>
      <c r="AW1319" s="2">
        <f t="shared" ca="1" si="1287"/>
        <v>2439624.8270390262</v>
      </c>
      <c r="AX1319" s="2">
        <f t="shared" ca="1" si="1288"/>
        <v>2618165.1686504255</v>
      </c>
      <c r="AY1319" s="2">
        <f t="shared" ca="1" si="1289"/>
        <v>2804318.6774303135</v>
      </c>
      <c r="AZ1319" s="2">
        <f t="shared" ca="1" si="1290"/>
        <v>2998409.9876535707</v>
      </c>
      <c r="BA1319" s="2">
        <f t="shared" ca="1" si="1291"/>
        <v>59064825.44375696</v>
      </c>
      <c r="BB1319" s="2">
        <f t="shared" ca="1" si="1292"/>
        <v>1181296.5088751393</v>
      </c>
      <c r="BC1319" s="2">
        <f t="shared" ca="1" si="1293"/>
        <v>31646028.13529221</v>
      </c>
      <c r="BD1319" s="2">
        <f t="shared" ca="1" si="1294"/>
        <v>-19084896.39970931</v>
      </c>
      <c r="BE1319" s="2">
        <f t="shared" ca="1" si="1295"/>
        <v>2194648.1383354221</v>
      </c>
      <c r="BF1319" s="2">
        <f t="shared" ca="1" si="1296"/>
        <v>2439624.8270390262</v>
      </c>
      <c r="BG1319" s="2">
        <f t="shared" ca="1" si="1297"/>
        <v>2618165.1686504255</v>
      </c>
      <c r="BH1319" s="2">
        <f t="shared" ca="1" si="1298"/>
        <v>2804318.6774303135</v>
      </c>
      <c r="BI1319" s="2">
        <f t="shared" ca="1" si="1299"/>
        <v>34644438.122945778</v>
      </c>
      <c r="BJ1319" s="2">
        <f t="shared" ca="1" si="1300"/>
        <v>0.21813222774340346</v>
      </c>
      <c r="BK1319" s="2">
        <f t="shared" ca="1" si="1301"/>
        <v>8123402.9042129964</v>
      </c>
    </row>
    <row r="1320" spans="1:63" x14ac:dyDescent="0.3">
      <c r="A1320" s="2">
        <v>1319</v>
      </c>
      <c r="B1320" s="2">
        <f t="shared" ca="1" si="1240"/>
        <v>0.32727026159221817</v>
      </c>
      <c r="C1320" s="2">
        <f t="shared" ca="1" si="1241"/>
        <v>6.8090367872874733</v>
      </c>
      <c r="D1320" s="2">
        <f t="shared" ca="1" si="1242"/>
        <v>5.0162105955037117E-2</v>
      </c>
      <c r="E1320" s="2">
        <f t="shared" ca="1" si="1243"/>
        <v>6.816739975232168</v>
      </c>
      <c r="F1320" s="2">
        <f t="shared" ca="1" si="1244"/>
        <v>1.3434847334307776E-2</v>
      </c>
      <c r="G1320" s="2">
        <f t="shared" ca="1" si="1245"/>
        <v>-2.640216811511676E-2</v>
      </c>
      <c r="H1320" s="2">
        <f t="shared" ca="1" si="1246"/>
        <v>-0.02</v>
      </c>
      <c r="I1320" s="2">
        <f t="shared" ca="1" si="1247"/>
        <v>0.26312977846313113</v>
      </c>
      <c r="J1320" s="2">
        <f t="shared" ca="1" si="1248"/>
        <v>6.8313692571999249E-3</v>
      </c>
      <c r="K1320" s="2">
        <f t="shared" ca="1" si="1249"/>
        <v>6.8313692571999249E-3</v>
      </c>
      <c r="L1320" s="2">
        <f t="shared" ca="1" si="1250"/>
        <v>0.35325111597679637</v>
      </c>
      <c r="M1320" s="2">
        <f t="shared" ca="1" si="1251"/>
        <v>-7.5311565858255094E-3</v>
      </c>
      <c r="N1320" s="2">
        <f t="shared" ca="1" si="1252"/>
        <v>-7.5311565858255094E-3</v>
      </c>
      <c r="O1320" s="2">
        <f t="shared" si="1253"/>
        <v>6000000</v>
      </c>
      <c r="P1320" s="2">
        <f t="shared" ca="1" si="1254"/>
        <v>40854220.723724842</v>
      </c>
      <c r="Q1320" s="2">
        <f t="shared" ca="1" si="1255"/>
        <v>1021355.5180931211</v>
      </c>
      <c r="R1320" s="2">
        <f t="shared" ca="1" si="1256"/>
        <v>24512532.434234906</v>
      </c>
      <c r="S1320" s="2">
        <f t="shared" ca="1" si="1257"/>
        <v>16341688.289489938</v>
      </c>
      <c r="T1320" s="2">
        <f t="shared" ca="1" si="1258"/>
        <v>49623442.170708723</v>
      </c>
      <c r="U1320" s="2">
        <f t="shared" ca="1" si="1259"/>
        <v>48630973.327294551</v>
      </c>
      <c r="V1320" s="2">
        <f t="shared" ca="1" si="1260"/>
        <v>47658353.860748656</v>
      </c>
      <c r="W1320" s="2">
        <f t="shared" ca="1" si="1261"/>
        <v>46705186.783533685</v>
      </c>
      <c r="X1320" s="2">
        <f t="shared" ca="1" si="1262"/>
        <v>45771083.047863014</v>
      </c>
      <c r="Y1320" s="2">
        <f t="shared" ca="1" si="1263"/>
        <v>0.12341568462859996</v>
      </c>
      <c r="Z1320" s="2">
        <f t="shared" ca="1" si="1264"/>
        <v>0.12478195848003994</v>
      </c>
      <c r="AA1320" s="2">
        <f t="shared" ca="1" si="1265"/>
        <v>6124311.0891257552</v>
      </c>
      <c r="AB1320" s="2">
        <f t="shared" ca="1" si="1266"/>
        <v>6068268.0945703983</v>
      </c>
      <c r="AC1320" s="2">
        <f t="shared" ca="1" si="1267"/>
        <v>5946902.7326789899</v>
      </c>
      <c r="AD1320" s="2">
        <f t="shared" ca="1" si="1268"/>
        <v>5827964.6780254105</v>
      </c>
      <c r="AE1320" s="2">
        <f t="shared" ca="1" si="1269"/>
        <v>5711405.3844649028</v>
      </c>
      <c r="AF1320" s="2">
        <f t="shared" ca="1" si="1270"/>
        <v>992468.84341417451</v>
      </c>
      <c r="AG1320" s="2">
        <f t="shared" ca="1" si="1271"/>
        <v>972619.46654589102</v>
      </c>
      <c r="AH1320" s="2">
        <f t="shared" ca="1" si="1272"/>
        <v>953167.07721497316</v>
      </c>
      <c r="AI1320" s="2">
        <f t="shared" ca="1" si="1273"/>
        <v>934103.73567067366</v>
      </c>
      <c r="AJ1320" s="2">
        <f t="shared" ca="1" si="1274"/>
        <v>915421.66095726029</v>
      </c>
      <c r="AK1320" s="2">
        <f t="shared" ca="1" si="1275"/>
        <v>0</v>
      </c>
      <c r="AL1320" s="2">
        <f t="shared" ca="1" si="1276"/>
        <v>0</v>
      </c>
      <c r="AM1320" s="2">
        <f t="shared" ca="1" si="1277"/>
        <v>0</v>
      </c>
      <c r="AN1320" s="2">
        <f t="shared" ca="1" si="1278"/>
        <v>0</v>
      </c>
      <c r="AO1320" s="2">
        <f t="shared" ca="1" si="1279"/>
        <v>0</v>
      </c>
      <c r="AP1320" s="2">
        <f t="shared" ca="1" si="1280"/>
        <v>2206127.9190811412</v>
      </c>
      <c r="AQ1320" s="2">
        <f t="shared" ca="1" si="1281"/>
        <v>760685.7249239143</v>
      </c>
      <c r="AR1320" s="2">
        <f t="shared" ca="1" si="1282"/>
        <v>751275.3843252752</v>
      </c>
      <c r="AS1320" s="2">
        <f t="shared" ca="1" si="1283"/>
        <v>724778.01145954768</v>
      </c>
      <c r="AT1320" s="2">
        <f t="shared" ca="1" si="1284"/>
        <v>698810.58605113486</v>
      </c>
      <c r="AU1320" s="2">
        <f t="shared" ca="1" si="1285"/>
        <v>673362.5091508904</v>
      </c>
      <c r="AV1320" s="2">
        <f t="shared" ca="1" si="1286"/>
        <v>2165028.6017065253</v>
      </c>
      <c r="AW1320" s="2">
        <f t="shared" ca="1" si="1287"/>
        <v>2138245.3246180909</v>
      </c>
      <c r="AX1320" s="2">
        <f t="shared" ca="1" si="1288"/>
        <v>2062829.7249233276</v>
      </c>
      <c r="AY1320" s="2">
        <f t="shared" ca="1" si="1289"/>
        <v>1988922.4372224612</v>
      </c>
      <c r="AZ1320" s="2">
        <f t="shared" ca="1" si="1290"/>
        <v>1916493.2952756109</v>
      </c>
      <c r="BA1320" s="2">
        <f t="shared" ca="1" si="1291"/>
        <v>38933165.399038151</v>
      </c>
      <c r="BB1320" s="2">
        <f t="shared" ca="1" si="1292"/>
        <v>778663.30798076303</v>
      </c>
      <c r="BC1320" s="2">
        <f t="shared" ca="1" si="1293"/>
        <v>13641969.656822482</v>
      </c>
      <c r="BD1320" s="2">
        <f t="shared" ca="1" si="1294"/>
        <v>-17863043.80758306</v>
      </c>
      <c r="BE1320" s="2">
        <f t="shared" ca="1" si="1295"/>
        <v>2165028.6017065253</v>
      </c>
      <c r="BF1320" s="2">
        <f t="shared" ca="1" si="1296"/>
        <v>2138245.3246180909</v>
      </c>
      <c r="BG1320" s="2">
        <f t="shared" ca="1" si="1297"/>
        <v>2062829.7249233276</v>
      </c>
      <c r="BH1320" s="2">
        <f t="shared" ca="1" si="1298"/>
        <v>1988922.4372224612</v>
      </c>
      <c r="BI1320" s="2">
        <f t="shared" ca="1" si="1299"/>
        <v>15558462.952098094</v>
      </c>
      <c r="BJ1320" s="2">
        <f t="shared" ca="1" si="1300"/>
        <v>7.4824263650517864E-2</v>
      </c>
      <c r="BK1320" s="2">
        <f t="shared" ca="1" si="1301"/>
        <v>-2664819.1436457373</v>
      </c>
    </row>
    <row r="1321" spans="1:63" x14ac:dyDescent="0.3">
      <c r="A1321" s="2">
        <v>1320</v>
      </c>
      <c r="B1321" s="2">
        <f t="shared" ca="1" si="1240"/>
        <v>0.2552049948038807</v>
      </c>
      <c r="C1321" s="2">
        <f t="shared" ca="1" si="1241"/>
        <v>6.7144298353286773</v>
      </c>
      <c r="D1321" s="2">
        <f t="shared" ca="1" si="1242"/>
        <v>0.67677227475268265</v>
      </c>
      <c r="E1321" s="2">
        <f t="shared" ca="1" si="1243"/>
        <v>7.6959754664846134</v>
      </c>
      <c r="F1321" s="2">
        <f t="shared" ca="1" si="1244"/>
        <v>0.32030393895158082</v>
      </c>
      <c r="G1321" s="2">
        <f t="shared" ca="1" si="1245"/>
        <v>2.599452841677263E-2</v>
      </c>
      <c r="H1321" s="2">
        <f t="shared" ca="1" si="1246"/>
        <v>2.599452841677263E-2</v>
      </c>
      <c r="I1321" s="2">
        <f t="shared" ca="1" si="1247"/>
        <v>2.9224391069638922E-2</v>
      </c>
      <c r="J1321" s="2">
        <f t="shared" ca="1" si="1248"/>
        <v>5.3841593504606704E-4</v>
      </c>
      <c r="K1321" s="2">
        <f t="shared" ca="1" si="1249"/>
        <v>5.3841593504606704E-4</v>
      </c>
      <c r="L1321" s="2">
        <f t="shared" ca="1" si="1250"/>
        <v>0.32258965138138762</v>
      </c>
      <c r="M1321" s="2">
        <f t="shared" ca="1" si="1251"/>
        <v>-9.2093887780569893E-3</v>
      </c>
      <c r="N1321" s="2">
        <f t="shared" ca="1" si="1252"/>
        <v>-9.2093887780569893E-3</v>
      </c>
      <c r="O1321" s="2">
        <f t="shared" si="1253"/>
        <v>6000000</v>
      </c>
      <c r="P1321" s="2">
        <f t="shared" ca="1" si="1254"/>
        <v>40286579.011972062</v>
      </c>
      <c r="Q1321" s="2">
        <f t="shared" ca="1" si="1255"/>
        <v>1007164.4752993016</v>
      </c>
      <c r="R1321" s="2">
        <f t="shared" ca="1" si="1256"/>
        <v>24171947.407183237</v>
      </c>
      <c r="S1321" s="2">
        <f t="shared" ca="1" si="1257"/>
        <v>16114631.604788825</v>
      </c>
      <c r="T1321" s="2">
        <f t="shared" ca="1" si="1258"/>
        <v>49539530.561097153</v>
      </c>
      <c r="U1321" s="2">
        <f t="shared" ca="1" si="1259"/>
        <v>50827287.296021171</v>
      </c>
      <c r="V1321" s="2">
        <f t="shared" ca="1" si="1260"/>
        <v>52148518.659985058</v>
      </c>
      <c r="W1321" s="2">
        <f t="shared" ca="1" si="1261"/>
        <v>53504094.810184635</v>
      </c>
      <c r="X1321" s="2">
        <f t="shared" ca="1" si="1262"/>
        <v>54894908.523141675</v>
      </c>
      <c r="Y1321" s="2">
        <f t="shared" ca="1" si="1263"/>
        <v>0.12026920796752302</v>
      </c>
      <c r="Z1321" s="2">
        <f t="shared" ca="1" si="1264"/>
        <v>0.12037689115453225</v>
      </c>
      <c r="AA1321" s="2">
        <f t="shared" ca="1" si="1265"/>
        <v>5958080.1036660559</v>
      </c>
      <c r="AB1321" s="2">
        <f t="shared" ca="1" si="1266"/>
        <v>6118430.8305132799</v>
      </c>
      <c r="AC1321" s="2">
        <f t="shared" ca="1" si="1267"/>
        <v>6277476.5546031157</v>
      </c>
      <c r="AD1321" s="2">
        <f t="shared" ca="1" si="1268"/>
        <v>6440656.5972873699</v>
      </c>
      <c r="AE1321" s="2">
        <f t="shared" ca="1" si="1269"/>
        <v>6608078.4282282302</v>
      </c>
      <c r="AF1321" s="2">
        <f t="shared" ca="1" si="1270"/>
        <v>990790.61122194305</v>
      </c>
      <c r="AG1321" s="2">
        <f t="shared" ca="1" si="1271"/>
        <v>1016545.7459204234</v>
      </c>
      <c r="AH1321" s="2">
        <f t="shared" ca="1" si="1272"/>
        <v>1042970.3731997012</v>
      </c>
      <c r="AI1321" s="2">
        <f t="shared" ca="1" si="1273"/>
        <v>1070081.8962036928</v>
      </c>
      <c r="AJ1321" s="2">
        <f t="shared" ca="1" si="1274"/>
        <v>1097898.1704628335</v>
      </c>
      <c r="AK1321" s="2">
        <f t="shared" ca="1" si="1275"/>
        <v>0</v>
      </c>
      <c r="AL1321" s="2">
        <f t="shared" ca="1" si="1276"/>
        <v>12877.567349240184</v>
      </c>
      <c r="AM1321" s="2">
        <f t="shared" ca="1" si="1277"/>
        <v>13212.313639638871</v>
      </c>
      <c r="AN1321" s="2">
        <f t="shared" ca="1" si="1278"/>
        <v>13555.761501995772</v>
      </c>
      <c r="AO1321" s="2">
        <f t="shared" ca="1" si="1279"/>
        <v>13908.137129570396</v>
      </c>
      <c r="AP1321" s="2">
        <f t="shared" ca="1" si="1280"/>
        <v>2175475.2666464914</v>
      </c>
      <c r="AQ1321" s="2">
        <f t="shared" ca="1" si="1281"/>
        <v>725871.69870738161</v>
      </c>
      <c r="AR1321" s="2">
        <f t="shared" ca="1" si="1282"/>
        <v>760866.55266605492</v>
      </c>
      <c r="AS1321" s="2">
        <f t="shared" ca="1" si="1283"/>
        <v>795348.03783679998</v>
      </c>
      <c r="AT1321" s="2">
        <f t="shared" ca="1" si="1284"/>
        <v>830725.85295366822</v>
      </c>
      <c r="AU1321" s="2">
        <f t="shared" ca="1" si="1285"/>
        <v>867023.29769091541</v>
      </c>
      <c r="AV1321" s="2">
        <f t="shared" ca="1" si="1286"/>
        <v>2065942.5270902403</v>
      </c>
      <c r="AW1321" s="2">
        <f t="shared" ca="1" si="1287"/>
        <v>2152665.6979310699</v>
      </c>
      <c r="AX1321" s="2">
        <f t="shared" ca="1" si="1288"/>
        <v>2250470.5632804837</v>
      </c>
      <c r="AY1321" s="2">
        <f t="shared" ca="1" si="1289"/>
        <v>2350817.819981521</v>
      </c>
      <c r="AZ1321" s="2">
        <f t="shared" ca="1" si="1290"/>
        <v>2453773.5562984198</v>
      </c>
      <c r="BA1321" s="2">
        <f t="shared" ca="1" si="1291"/>
        <v>50855609.464250661</v>
      </c>
      <c r="BB1321" s="2">
        <f t="shared" ca="1" si="1292"/>
        <v>1017112.1892850132</v>
      </c>
      <c r="BC1321" s="2">
        <f t="shared" ca="1" si="1293"/>
        <v>25666549.86778241</v>
      </c>
      <c r="BD1321" s="2">
        <f t="shared" ca="1" si="1294"/>
        <v>-17621796.080088127</v>
      </c>
      <c r="BE1321" s="2">
        <f t="shared" ca="1" si="1295"/>
        <v>2065942.5270902403</v>
      </c>
      <c r="BF1321" s="2">
        <f t="shared" ca="1" si="1296"/>
        <v>2152665.6979310699</v>
      </c>
      <c r="BG1321" s="2">
        <f t="shared" ca="1" si="1297"/>
        <v>2250470.5632804837</v>
      </c>
      <c r="BH1321" s="2">
        <f t="shared" ca="1" si="1298"/>
        <v>2350817.819981521</v>
      </c>
      <c r="BI1321" s="2">
        <f t="shared" ca="1" si="1299"/>
        <v>28120323.42408083</v>
      </c>
      <c r="BJ1321" s="2">
        <f t="shared" ca="1" si="1300"/>
        <v>0.18878661003059483</v>
      </c>
      <c r="BK1321" s="2">
        <f t="shared" ca="1" si="1301"/>
        <v>4990941.7979407907</v>
      </c>
    </row>
    <row r="1322" spans="1:63" x14ac:dyDescent="0.3">
      <c r="A1322" s="2">
        <v>1321</v>
      </c>
      <c r="B1322" s="2">
        <f t="shared" ca="1" si="1240"/>
        <v>0.75831312038222731</v>
      </c>
      <c r="C1322" s="2">
        <f t="shared" ca="1" si="1241"/>
        <v>7.3047491393492958</v>
      </c>
      <c r="D1322" s="2">
        <f t="shared" ca="1" si="1242"/>
        <v>0.65346702184366834</v>
      </c>
      <c r="E1322" s="2">
        <f t="shared" ca="1" si="1243"/>
        <v>7.667494170403196</v>
      </c>
      <c r="F1322" s="2">
        <f t="shared" ca="1" si="1244"/>
        <v>0.94496396516861891</v>
      </c>
      <c r="G1322" s="2">
        <f t="shared" ca="1" si="1245"/>
        <v>8.7936078736810516E-2</v>
      </c>
      <c r="H1322" s="2">
        <f t="shared" ca="1" si="1246"/>
        <v>8.7936078736810516E-2</v>
      </c>
      <c r="I1322" s="2">
        <f t="shared" ca="1" si="1247"/>
        <v>3.5532299277752477E-2</v>
      </c>
      <c r="J1322" s="2">
        <f t="shared" ca="1" si="1248"/>
        <v>9.7467779173408819E-4</v>
      </c>
      <c r="K1322" s="2">
        <f t="shared" ca="1" si="1249"/>
        <v>9.7467779173408819E-4</v>
      </c>
      <c r="L1322" s="2">
        <f t="shared" ca="1" si="1250"/>
        <v>0.87116925022038216</v>
      </c>
      <c r="M1322" s="2">
        <f t="shared" ca="1" si="1251"/>
        <v>2.2638712515136966E-2</v>
      </c>
      <c r="N1322" s="2">
        <f t="shared" ca="1" si="1252"/>
        <v>2.2638712515136966E-2</v>
      </c>
      <c r="O1322" s="2">
        <f t="shared" si="1253"/>
        <v>6000000</v>
      </c>
      <c r="P1322" s="2">
        <f t="shared" ca="1" si="1254"/>
        <v>43828494.836095773</v>
      </c>
      <c r="Q1322" s="2">
        <f t="shared" ca="1" si="1255"/>
        <v>1095712.3709023944</v>
      </c>
      <c r="R1322" s="2">
        <f t="shared" ca="1" si="1256"/>
        <v>26297096.901657462</v>
      </c>
      <c r="S1322" s="2">
        <f t="shared" ca="1" si="1257"/>
        <v>17531397.934438311</v>
      </c>
      <c r="T1322" s="2">
        <f t="shared" ca="1" si="1258"/>
        <v>51131935.625756852</v>
      </c>
      <c r="U1322" s="2">
        <f t="shared" ca="1" si="1259"/>
        <v>55628277.542908929</v>
      </c>
      <c r="V1322" s="2">
        <f t="shared" ca="1" si="1260"/>
        <v>60520010.136915311</v>
      </c>
      <c r="W1322" s="2">
        <f t="shared" ca="1" si="1261"/>
        <v>65841902.513467662</v>
      </c>
      <c r="X1322" s="2">
        <f t="shared" ca="1" si="1262"/>
        <v>71631781.237073347</v>
      </c>
      <c r="Y1322" s="2">
        <f t="shared" ca="1" si="1263"/>
        <v>0.12048733889586705</v>
      </c>
      <c r="Z1322" s="2">
        <f t="shared" ca="1" si="1264"/>
        <v>0.12068227445421385</v>
      </c>
      <c r="AA1322" s="2">
        <f t="shared" ca="1" si="1265"/>
        <v>6160750.8561422238</v>
      </c>
      <c r="AB1322" s="2">
        <f t="shared" ca="1" si="1266"/>
        <v>6713347.0578485169</v>
      </c>
      <c r="AC1322" s="2">
        <f t="shared" ca="1" si="1267"/>
        <v>7303692.4733150182</v>
      </c>
      <c r="AD1322" s="2">
        <f t="shared" ca="1" si="1268"/>
        <v>7945950.5497178975</v>
      </c>
      <c r="AE1322" s="2">
        <f t="shared" ca="1" si="1269"/>
        <v>8644686.2828966919</v>
      </c>
      <c r="AF1322" s="2">
        <f t="shared" ca="1" si="1270"/>
        <v>1022638.712515137</v>
      </c>
      <c r="AG1322" s="2">
        <f t="shared" ca="1" si="1271"/>
        <v>1112565.5508581786</v>
      </c>
      <c r="AH1322" s="2">
        <f t="shared" ca="1" si="1272"/>
        <v>1210400.2027383063</v>
      </c>
      <c r="AI1322" s="2">
        <f t="shared" ca="1" si="1273"/>
        <v>1316838.0502693532</v>
      </c>
      <c r="AJ1322" s="2">
        <f t="shared" ca="1" si="1274"/>
        <v>1432635.6247414669</v>
      </c>
      <c r="AK1322" s="2">
        <f t="shared" ca="1" si="1275"/>
        <v>0</v>
      </c>
      <c r="AL1322" s="2">
        <f t="shared" ca="1" si="1276"/>
        <v>44963.419171520771</v>
      </c>
      <c r="AM1322" s="2">
        <f t="shared" ca="1" si="1277"/>
        <v>48917.32594006382</v>
      </c>
      <c r="AN1322" s="2">
        <f t="shared" ca="1" si="1278"/>
        <v>53218.923765523512</v>
      </c>
      <c r="AO1322" s="2">
        <f t="shared" ca="1" si="1279"/>
        <v>57898.787236056851</v>
      </c>
      <c r="AP1322" s="2">
        <f t="shared" ca="1" si="1280"/>
        <v>2366738.7211491717</v>
      </c>
      <c r="AQ1322" s="2">
        <f t="shared" ca="1" si="1281"/>
        <v>720557.08984425792</v>
      </c>
      <c r="AR1322" s="2">
        <f t="shared" ca="1" si="1282"/>
        <v>840851.12431870319</v>
      </c>
      <c r="AS1322" s="2">
        <f t="shared" ca="1" si="1283"/>
        <v>968903.9228511604</v>
      </c>
      <c r="AT1322" s="2">
        <f t="shared" ca="1" si="1284"/>
        <v>1108217.182357837</v>
      </c>
      <c r="AU1322" s="2">
        <f t="shared" ca="1" si="1285"/>
        <v>1259781.1036215739</v>
      </c>
      <c r="AV1322" s="2">
        <f t="shared" ca="1" si="1286"/>
        <v>2050816.3326336574</v>
      </c>
      <c r="AW1322" s="2">
        <f t="shared" ca="1" si="1287"/>
        <v>2348228.2423509425</v>
      </c>
      <c r="AX1322" s="2">
        <f t="shared" ca="1" si="1288"/>
        <v>2708732.3006363157</v>
      </c>
      <c r="AY1322" s="2">
        <f t="shared" ca="1" si="1289"/>
        <v>3100937.6721760118</v>
      </c>
      <c r="AZ1322" s="2">
        <f t="shared" ca="1" si="1290"/>
        <v>3527632.0461484222</v>
      </c>
      <c r="BA1322" s="2">
        <f t="shared" ca="1" si="1291"/>
        <v>66283081.679074861</v>
      </c>
      <c r="BB1322" s="2">
        <f t="shared" ca="1" si="1292"/>
        <v>1325661.6335814972</v>
      </c>
      <c r="BC1322" s="2">
        <f t="shared" ca="1" si="1293"/>
        <v>38660323.143835902</v>
      </c>
      <c r="BD1322" s="2">
        <f t="shared" ca="1" si="1294"/>
        <v>-19127110.305340704</v>
      </c>
      <c r="BE1322" s="2">
        <f t="shared" ca="1" si="1295"/>
        <v>2050816.3326336574</v>
      </c>
      <c r="BF1322" s="2">
        <f t="shared" ca="1" si="1296"/>
        <v>2348228.2423509425</v>
      </c>
      <c r="BG1322" s="2">
        <f t="shared" ca="1" si="1297"/>
        <v>2708732.3006363157</v>
      </c>
      <c r="BH1322" s="2">
        <f t="shared" ca="1" si="1298"/>
        <v>3100937.6721760118</v>
      </c>
      <c r="BI1322" s="2">
        <f t="shared" ca="1" si="1299"/>
        <v>42187955.189984322</v>
      </c>
      <c r="BJ1322" s="2">
        <f t="shared" ca="1" si="1300"/>
        <v>0.25762235395095545</v>
      </c>
      <c r="BK1322" s="2">
        <f t="shared" ca="1" si="1301"/>
        <v>12413271.745365426</v>
      </c>
    </row>
    <row r="1323" spans="1:63" x14ac:dyDescent="0.3">
      <c r="A1323" s="2">
        <v>1322</v>
      </c>
      <c r="B1323" s="2">
        <f t="shared" ca="1" si="1240"/>
        <v>0.58332848359894307</v>
      </c>
      <c r="C1323" s="2">
        <f t="shared" ca="1" si="1241"/>
        <v>7.0871237582223348</v>
      </c>
      <c r="D1323" s="2">
        <f t="shared" ca="1" si="1242"/>
        <v>0.18844173732481528</v>
      </c>
      <c r="E1323" s="2">
        <f t="shared" ca="1" si="1243"/>
        <v>7.1139083601398747</v>
      </c>
      <c r="F1323" s="2">
        <f t="shared" ca="1" si="1244"/>
        <v>4.5773357980559815E-2</v>
      </c>
      <c r="G1323" s="2">
        <f t="shared" ca="1" si="1245"/>
        <v>-1.0618838447444004E-2</v>
      </c>
      <c r="H1323" s="2">
        <f t="shared" ca="1" si="1246"/>
        <v>-1.0618838447444004E-2</v>
      </c>
      <c r="I1323" s="2">
        <f t="shared" ca="1" si="1247"/>
        <v>0.32329688833606574</v>
      </c>
      <c r="J1323" s="2">
        <f t="shared" ca="1" si="1248"/>
        <v>7.7075035791664675E-3</v>
      </c>
      <c r="K1323" s="2">
        <f t="shared" ca="1" si="1249"/>
        <v>7.7075035791664675E-3</v>
      </c>
      <c r="L1323" s="2">
        <f t="shared" ca="1" si="1250"/>
        <v>0.24636290678796102</v>
      </c>
      <c r="M1323" s="2">
        <f t="shared" ca="1" si="1251"/>
        <v>-1.3719597045427284E-2</v>
      </c>
      <c r="N1323" s="2">
        <f t="shared" ca="1" si="1252"/>
        <v>-1.3719597045427284E-2</v>
      </c>
      <c r="O1323" s="2">
        <f t="shared" si="1253"/>
        <v>6000000</v>
      </c>
      <c r="P1323" s="2">
        <f t="shared" ca="1" si="1254"/>
        <v>42522742.549334012</v>
      </c>
      <c r="Q1323" s="2">
        <f t="shared" ca="1" si="1255"/>
        <v>1063068.5637333503</v>
      </c>
      <c r="R1323" s="2">
        <f t="shared" ca="1" si="1256"/>
        <v>25513645.529600408</v>
      </c>
      <c r="S1323" s="2">
        <f t="shared" ca="1" si="1257"/>
        <v>17009097.019733604</v>
      </c>
      <c r="T1323" s="2">
        <f t="shared" ca="1" si="1258"/>
        <v>49314020.147728637</v>
      </c>
      <c r="U1323" s="2">
        <f t="shared" ca="1" si="1259"/>
        <v>48790362.534585908</v>
      </c>
      <c r="V1323" s="2">
        <f t="shared" ca="1" si="1260"/>
        <v>48272265.557038911</v>
      </c>
      <c r="W1323" s="2">
        <f t="shared" ca="1" si="1261"/>
        <v>47759670.167596593</v>
      </c>
      <c r="X1323" s="2">
        <f t="shared" ca="1" si="1262"/>
        <v>47252517.945783675</v>
      </c>
      <c r="Y1323" s="2">
        <f t="shared" ca="1" si="1263"/>
        <v>0.12385375178958323</v>
      </c>
      <c r="Z1323" s="2">
        <f t="shared" ca="1" si="1264"/>
        <v>0.12539525250541653</v>
      </c>
      <c r="AA1323" s="2">
        <f t="shared" ca="1" si="1265"/>
        <v>6107726.4111232888</v>
      </c>
      <c r="AB1323" s="2">
        <f t="shared" ca="1" si="1266"/>
        <v>6118079.8298552139</v>
      </c>
      <c r="AC1323" s="2">
        <f t="shared" ca="1" si="1267"/>
        <v>6053112.9285334153</v>
      </c>
      <c r="AD1323" s="2">
        <f t="shared" ca="1" si="1268"/>
        <v>5988835.900241184</v>
      </c>
      <c r="AE1323" s="2">
        <f t="shared" ca="1" si="1269"/>
        <v>5925241.4193282695</v>
      </c>
      <c r="AF1323" s="2">
        <f t="shared" ca="1" si="1270"/>
        <v>986280.40295457281</v>
      </c>
      <c r="AG1323" s="2">
        <f t="shared" ca="1" si="1271"/>
        <v>975807.25069171819</v>
      </c>
      <c r="AH1323" s="2">
        <f t="shared" ca="1" si="1272"/>
        <v>965445.31114077824</v>
      </c>
      <c r="AI1323" s="2">
        <f t="shared" ca="1" si="1273"/>
        <v>955193.40335193183</v>
      </c>
      <c r="AJ1323" s="2">
        <f t="shared" ca="1" si="1274"/>
        <v>945050.35891567357</v>
      </c>
      <c r="AK1323" s="2">
        <f t="shared" ca="1" si="1275"/>
        <v>0</v>
      </c>
      <c r="AL1323" s="2">
        <f t="shared" ca="1" si="1276"/>
        <v>0</v>
      </c>
      <c r="AM1323" s="2">
        <f t="shared" ca="1" si="1277"/>
        <v>0</v>
      </c>
      <c r="AN1323" s="2">
        <f t="shared" ca="1" si="1278"/>
        <v>0</v>
      </c>
      <c r="AO1323" s="2">
        <f t="shared" ca="1" si="1279"/>
        <v>0</v>
      </c>
      <c r="AP1323" s="2">
        <f t="shared" ca="1" si="1280"/>
        <v>2296228.0976640368</v>
      </c>
      <c r="AQ1323" s="2">
        <f t="shared" ca="1" si="1281"/>
        <v>734556.65673121659</v>
      </c>
      <c r="AR1323" s="2">
        <f t="shared" ca="1" si="1282"/>
        <v>739971.56518985925</v>
      </c>
      <c r="AS1323" s="2">
        <f t="shared" ca="1" si="1283"/>
        <v>725774.27512943605</v>
      </c>
      <c r="AT1323" s="2">
        <f t="shared" ca="1" si="1284"/>
        <v>711727.74379855604</v>
      </c>
      <c r="AU1323" s="2">
        <f t="shared" ca="1" si="1285"/>
        <v>697830.37031462544</v>
      </c>
      <c r="AV1323" s="2">
        <f t="shared" ca="1" si="1286"/>
        <v>2090661.253773463</v>
      </c>
      <c r="AW1323" s="2">
        <f t="shared" ca="1" si="1287"/>
        <v>2106072.9163095998</v>
      </c>
      <c r="AX1323" s="2">
        <f t="shared" ca="1" si="1288"/>
        <v>2065665.2445991645</v>
      </c>
      <c r="AY1323" s="2">
        <f t="shared" ca="1" si="1289"/>
        <v>2025686.6554266596</v>
      </c>
      <c r="AZ1323" s="2">
        <f t="shared" ca="1" si="1290"/>
        <v>1986132.5924339341</v>
      </c>
      <c r="BA1323" s="2">
        <f t="shared" ca="1" si="1291"/>
        <v>42151624.468806431</v>
      </c>
      <c r="BB1323" s="2">
        <f t="shared" ca="1" si="1292"/>
        <v>843032.48937612865</v>
      </c>
      <c r="BC1323" s="2">
        <f t="shared" ca="1" si="1293"/>
        <v>15794946.449829895</v>
      </c>
      <c r="BD1323" s="2">
        <f t="shared" ca="1" si="1294"/>
        <v>-18572165.583466955</v>
      </c>
      <c r="BE1323" s="2">
        <f t="shared" ca="1" si="1295"/>
        <v>2090661.253773463</v>
      </c>
      <c r="BF1323" s="2">
        <f t="shared" ca="1" si="1296"/>
        <v>2106072.9163095998</v>
      </c>
      <c r="BG1323" s="2">
        <f t="shared" ca="1" si="1297"/>
        <v>2065665.2445991645</v>
      </c>
      <c r="BH1323" s="2">
        <f t="shared" ca="1" si="1298"/>
        <v>2025686.6554266596</v>
      </c>
      <c r="BI1323" s="2">
        <f t="shared" ca="1" si="1299"/>
        <v>17781079.042263828</v>
      </c>
      <c r="BJ1323" s="2">
        <f t="shared" ca="1" si="1300"/>
        <v>8.5690573076231846E-2</v>
      </c>
      <c r="BK1323" s="2">
        <f t="shared" ca="1" si="1301"/>
        <v>-2179433.3325395677</v>
      </c>
    </row>
    <row r="1324" spans="1:63" x14ac:dyDescent="0.3">
      <c r="A1324" s="2">
        <v>1323</v>
      </c>
      <c r="B1324" s="2">
        <f t="shared" ca="1" si="1240"/>
        <v>0.39113171774646527</v>
      </c>
      <c r="C1324" s="2">
        <f t="shared" ca="1" si="1241"/>
        <v>6.8844565763749683</v>
      </c>
      <c r="D1324" s="2">
        <f t="shared" ca="1" si="1242"/>
        <v>0.90359290992501118</v>
      </c>
      <c r="E1324" s="2">
        <f t="shared" ca="1" si="1243"/>
        <v>8.0608938850915681</v>
      </c>
      <c r="F1324" s="2">
        <f t="shared" ca="1" si="1244"/>
        <v>0.98976573586567373</v>
      </c>
      <c r="G1324" s="2">
        <f t="shared" ca="1" si="1245"/>
        <v>0.10952940193160104</v>
      </c>
      <c r="H1324" s="2">
        <f t="shared" ca="1" si="1246"/>
        <v>0.10952940193160104</v>
      </c>
      <c r="I1324" s="2">
        <f t="shared" ca="1" si="1247"/>
        <v>0.62334110355091987</v>
      </c>
      <c r="J1324" s="2">
        <f t="shared" ca="1" si="1248"/>
        <v>1.1571338072877534E-2</v>
      </c>
      <c r="K1324" s="2">
        <f t="shared" ca="1" si="1249"/>
        <v>1.1571338072877534E-2</v>
      </c>
      <c r="L1324" s="2">
        <f t="shared" ca="1" si="1250"/>
        <v>0.51924286403931352</v>
      </c>
      <c r="M1324" s="2">
        <f t="shared" ca="1" si="1251"/>
        <v>9.6506852076986768E-4</v>
      </c>
      <c r="N1324" s="2">
        <f t="shared" ca="1" si="1252"/>
        <v>9.6506852076986768E-4</v>
      </c>
      <c r="O1324" s="2">
        <f t="shared" si="1253"/>
        <v>6000000</v>
      </c>
      <c r="P1324" s="2">
        <f t="shared" ca="1" si="1254"/>
        <v>41306739.458249807</v>
      </c>
      <c r="Q1324" s="2">
        <f t="shared" ca="1" si="1255"/>
        <v>1032668.4864562452</v>
      </c>
      <c r="R1324" s="2">
        <f t="shared" ca="1" si="1256"/>
        <v>24784043.674949884</v>
      </c>
      <c r="S1324" s="2">
        <f t="shared" ca="1" si="1257"/>
        <v>16522695.783299923</v>
      </c>
      <c r="T1324" s="2">
        <f t="shared" ca="1" si="1258"/>
        <v>50048253.426038489</v>
      </c>
      <c r="U1324" s="2">
        <f t="shared" ca="1" si="1259"/>
        <v>55530008.691513687</v>
      </c>
      <c r="V1324" s="2">
        <f t="shared" ca="1" si="1260"/>
        <v>61612177.332751796</v>
      </c>
      <c r="W1324" s="2">
        <f t="shared" ca="1" si="1261"/>
        <v>68360522.267711848</v>
      </c>
      <c r="X1324" s="2">
        <f t="shared" ca="1" si="1262"/>
        <v>75848009.387426227</v>
      </c>
      <c r="Y1324" s="2">
        <f t="shared" ca="1" si="1263"/>
        <v>0.12578566903643876</v>
      </c>
      <c r="Z1324" s="2">
        <f t="shared" ca="1" si="1264"/>
        <v>0.12809993665101427</v>
      </c>
      <c r="AA1324" s="2">
        <f t="shared" ca="1" si="1265"/>
        <v>6295353.0412994893</v>
      </c>
      <c r="AB1324" s="2">
        <f t="shared" ca="1" si="1266"/>
        <v>7113390.5956131751</v>
      </c>
      <c r="AC1324" s="2">
        <f t="shared" ca="1" si="1267"/>
        <v>7892516.0132565619</v>
      </c>
      <c r="AD1324" s="2">
        <f t="shared" ca="1" si="1268"/>
        <v>8756978.5719241388</v>
      </c>
      <c r="AE1324" s="2">
        <f t="shared" ca="1" si="1269"/>
        <v>9716125.1976348348</v>
      </c>
      <c r="AF1324" s="2">
        <f t="shared" ca="1" si="1270"/>
        <v>1000965.0685207698</v>
      </c>
      <c r="AG1324" s="2">
        <f t="shared" ca="1" si="1271"/>
        <v>1110600.1738302738</v>
      </c>
      <c r="AH1324" s="2">
        <f t="shared" ca="1" si="1272"/>
        <v>1232243.546655036</v>
      </c>
      <c r="AI1324" s="2">
        <f t="shared" ca="1" si="1273"/>
        <v>1367210.445354237</v>
      </c>
      <c r="AJ1324" s="2">
        <f t="shared" ca="1" si="1274"/>
        <v>1516960.1877485246</v>
      </c>
      <c r="AK1324" s="2">
        <f t="shared" ca="1" si="1275"/>
        <v>0</v>
      </c>
      <c r="AL1324" s="2">
        <f t="shared" ca="1" si="1276"/>
        <v>54817.552654751984</v>
      </c>
      <c r="AM1324" s="2">
        <f t="shared" ca="1" si="1277"/>
        <v>60821.686412381081</v>
      </c>
      <c r="AN1324" s="2">
        <f t="shared" ca="1" si="1278"/>
        <v>67483.449349600531</v>
      </c>
      <c r="AO1324" s="2">
        <f t="shared" ca="1" si="1279"/>
        <v>74874.871197143788</v>
      </c>
      <c r="AP1324" s="2">
        <f t="shared" ca="1" si="1280"/>
        <v>2230563.9307454894</v>
      </c>
      <c r="AQ1324" s="2">
        <f t="shared" ca="1" si="1281"/>
        <v>796594.2509286399</v>
      </c>
      <c r="AR1324" s="2">
        <f t="shared" ca="1" si="1282"/>
        <v>980778.88766972721</v>
      </c>
      <c r="AS1324" s="2">
        <f t="shared" ca="1" si="1283"/>
        <v>1151724.2193225694</v>
      </c>
      <c r="AT1324" s="2">
        <f t="shared" ca="1" si="1284"/>
        <v>1341393.0909143474</v>
      </c>
      <c r="AU1324" s="2">
        <f t="shared" ca="1" si="1285"/>
        <v>1551836.2805766137</v>
      </c>
      <c r="AV1324" s="2">
        <f t="shared" ca="1" si="1286"/>
        <v>2267229.791104591</v>
      </c>
      <c r="AW1324" s="2">
        <f t="shared" ca="1" si="1287"/>
        <v>2736630.0507129333</v>
      </c>
      <c r="AX1324" s="2">
        <f t="shared" ca="1" si="1288"/>
        <v>3217162.6301210863</v>
      </c>
      <c r="AY1324" s="2">
        <f t="shared" ca="1" si="1289"/>
        <v>3750327.6555604641</v>
      </c>
      <c r="AZ1324" s="2">
        <f t="shared" ca="1" si="1290"/>
        <v>4341889.9273670632</v>
      </c>
      <c r="BA1324" s="2">
        <f t="shared" ca="1" si="1291"/>
        <v>78320654.192398742</v>
      </c>
      <c r="BB1324" s="2">
        <f t="shared" ca="1" si="1292"/>
        <v>1566413.0838479749</v>
      </c>
      <c r="BC1324" s="2">
        <f t="shared" ca="1" si="1293"/>
        <v>51970197.43360088</v>
      </c>
      <c r="BD1324" s="2">
        <f t="shared" ca="1" si="1294"/>
        <v>-18055364.269756168</v>
      </c>
      <c r="BE1324" s="2">
        <f t="shared" ca="1" si="1295"/>
        <v>2267229.791104591</v>
      </c>
      <c r="BF1324" s="2">
        <f t="shared" ca="1" si="1296"/>
        <v>2736630.0507129333</v>
      </c>
      <c r="BG1324" s="2">
        <f t="shared" ca="1" si="1297"/>
        <v>3217162.6301210863</v>
      </c>
      <c r="BH1324" s="2">
        <f t="shared" ca="1" si="1298"/>
        <v>3750327.6555604641</v>
      </c>
      <c r="BI1324" s="2">
        <f t="shared" ca="1" si="1299"/>
        <v>56312087.360967942</v>
      </c>
      <c r="BJ1324" s="2">
        <f t="shared" ca="1" si="1300"/>
        <v>0.35215604414522916</v>
      </c>
      <c r="BK1324" s="2">
        <f t="shared" ca="1" si="1301"/>
        <v>22776877.274639577</v>
      </c>
    </row>
    <row r="1325" spans="1:63" x14ac:dyDescent="0.3">
      <c r="A1325" s="2">
        <v>1324</v>
      </c>
      <c r="B1325" s="2">
        <f t="shared" ca="1" si="1240"/>
        <v>0.33851729434383215</v>
      </c>
      <c r="C1325" s="2">
        <f t="shared" ca="1" si="1241"/>
        <v>6.8228211158494076</v>
      </c>
      <c r="D1325" s="2">
        <f t="shared" ca="1" si="1242"/>
        <v>0.30368328131397804</v>
      </c>
      <c r="E1325" s="2">
        <f t="shared" ca="1" si="1243"/>
        <v>7.2793372585908855</v>
      </c>
      <c r="F1325" s="2">
        <f t="shared" ca="1" si="1244"/>
        <v>0.90441597272032603</v>
      </c>
      <c r="G1325" s="2">
        <f t="shared" ca="1" si="1245"/>
        <v>7.9213945017082565E-2</v>
      </c>
      <c r="H1325" s="2">
        <f t="shared" ca="1" si="1246"/>
        <v>7.9213945017082565E-2</v>
      </c>
      <c r="I1325" s="2">
        <f t="shared" ca="1" si="1247"/>
        <v>0.13338875109643467</v>
      </c>
      <c r="J1325" s="2">
        <f t="shared" ca="1" si="1248"/>
        <v>4.4474288798302857E-3</v>
      </c>
      <c r="K1325" s="2">
        <f t="shared" ca="1" si="1249"/>
        <v>4.4474288798302857E-3</v>
      </c>
      <c r="L1325" s="2">
        <f t="shared" ca="1" si="1250"/>
        <v>0.32580268416191749</v>
      </c>
      <c r="M1325" s="2">
        <f t="shared" ca="1" si="1251"/>
        <v>-9.0306621705986134E-3</v>
      </c>
      <c r="N1325" s="2">
        <f t="shared" ca="1" si="1252"/>
        <v>-9.0306621705986134E-3</v>
      </c>
      <c r="O1325" s="2">
        <f t="shared" si="1253"/>
        <v>6000000</v>
      </c>
      <c r="P1325" s="2">
        <f t="shared" ca="1" si="1254"/>
        <v>40936926.695096448</v>
      </c>
      <c r="Q1325" s="2">
        <f t="shared" ca="1" si="1255"/>
        <v>1023423.1673774113</v>
      </c>
      <c r="R1325" s="2">
        <f t="shared" ca="1" si="1256"/>
        <v>24562156.01705787</v>
      </c>
      <c r="S1325" s="2">
        <f t="shared" ca="1" si="1257"/>
        <v>16374770.67803858</v>
      </c>
      <c r="T1325" s="2">
        <f t="shared" ca="1" si="1258"/>
        <v>49548466.891470067</v>
      </c>
      <c r="U1325" s="2">
        <f t="shared" ca="1" si="1259"/>
        <v>53473396.423491716</v>
      </c>
      <c r="V1325" s="2">
        <f t="shared" ca="1" si="1260"/>
        <v>57709235.107658848</v>
      </c>
      <c r="W1325" s="2">
        <f t="shared" ca="1" si="1261"/>
        <v>62280611.28445483</v>
      </c>
      <c r="X1325" s="2">
        <f t="shared" ca="1" si="1262"/>
        <v>67214104.202371925</v>
      </c>
      <c r="Y1325" s="2">
        <f t="shared" ca="1" si="1263"/>
        <v>0.12222371443991514</v>
      </c>
      <c r="Z1325" s="2">
        <f t="shared" ca="1" si="1264"/>
        <v>0.12311320021588119</v>
      </c>
      <c r="AA1325" s="2">
        <f t="shared" ca="1" si="1265"/>
        <v>6055997.6682786271</v>
      </c>
      <c r="AB1325" s="2">
        <f t="shared" ca="1" si="1266"/>
        <v>6583280.9601085214</v>
      </c>
      <c r="AC1325" s="2">
        <f t="shared" ca="1" si="1267"/>
        <v>7104768.6161145642</v>
      </c>
      <c r="AD1325" s="2">
        <f t="shared" ca="1" si="1268"/>
        <v>7667565.366630557</v>
      </c>
      <c r="AE1325" s="2">
        <f t="shared" ca="1" si="1269"/>
        <v>8274943.4679977167</v>
      </c>
      <c r="AF1325" s="2">
        <f t="shared" ca="1" si="1270"/>
        <v>990969.33782940137</v>
      </c>
      <c r="AG1325" s="2">
        <f t="shared" ca="1" si="1271"/>
        <v>1069467.9284698344</v>
      </c>
      <c r="AH1325" s="2">
        <f t="shared" ca="1" si="1272"/>
        <v>1154184.702153177</v>
      </c>
      <c r="AI1325" s="2">
        <f t="shared" ca="1" si="1273"/>
        <v>1245612.2256890966</v>
      </c>
      <c r="AJ1325" s="2">
        <f t="shared" ca="1" si="1274"/>
        <v>1344282.0840474386</v>
      </c>
      <c r="AK1325" s="2">
        <f t="shared" ca="1" si="1275"/>
        <v>0</v>
      </c>
      <c r="AL1325" s="2">
        <f t="shared" ca="1" si="1276"/>
        <v>39249.295320216494</v>
      </c>
      <c r="AM1325" s="2">
        <f t="shared" ca="1" si="1277"/>
        <v>42358.386841671316</v>
      </c>
      <c r="AN1325" s="2">
        <f t="shared" ca="1" si="1278"/>
        <v>45713.761767959819</v>
      </c>
      <c r="AO1325" s="2">
        <f t="shared" ca="1" si="1279"/>
        <v>49334.929179170955</v>
      </c>
      <c r="AP1325" s="2">
        <f t="shared" ca="1" si="1280"/>
        <v>2210594.041535208</v>
      </c>
      <c r="AQ1325" s="2">
        <f t="shared" ca="1" si="1281"/>
        <v>742152.91511764459</v>
      </c>
      <c r="AR1325" s="2">
        <f t="shared" ca="1" si="1282"/>
        <v>858836.93742690468</v>
      </c>
      <c r="AS1325" s="2">
        <f t="shared" ca="1" si="1283"/>
        <v>972397.3668308066</v>
      </c>
      <c r="AT1325" s="2">
        <f t="shared" ca="1" si="1284"/>
        <v>1094953.3658456258</v>
      </c>
      <c r="AU1325" s="2">
        <f t="shared" ca="1" si="1285"/>
        <v>1227217.5090279183</v>
      </c>
      <c r="AV1325" s="2">
        <f t="shared" ca="1" si="1286"/>
        <v>2112281.3737963727</v>
      </c>
      <c r="AW1325" s="2">
        <f t="shared" ca="1" si="1287"/>
        <v>2405132.7573563587</v>
      </c>
      <c r="AX1325" s="2">
        <f t="shared" ca="1" si="1288"/>
        <v>2725234.1187537014</v>
      </c>
      <c r="AY1325" s="2">
        <f t="shared" ca="1" si="1289"/>
        <v>3070691.9717926662</v>
      </c>
      <c r="AZ1325" s="2">
        <f t="shared" ca="1" si="1290"/>
        <v>3443514.9042079803</v>
      </c>
      <c r="BA1325" s="2">
        <f t="shared" ca="1" si="1291"/>
        <v>60236104.299329057</v>
      </c>
      <c r="BB1325" s="2">
        <f t="shared" ca="1" si="1292"/>
        <v>1204722.0859865812</v>
      </c>
      <c r="BC1325" s="2">
        <f t="shared" ca="1" si="1293"/>
        <v>34469226.196284607</v>
      </c>
      <c r="BD1325" s="2">
        <f t="shared" ca="1" si="1294"/>
        <v>-17898193.845415991</v>
      </c>
      <c r="BE1325" s="2">
        <f t="shared" ca="1" si="1295"/>
        <v>2112281.3737963727</v>
      </c>
      <c r="BF1325" s="2">
        <f t="shared" ca="1" si="1296"/>
        <v>2405132.7573563587</v>
      </c>
      <c r="BG1325" s="2">
        <f t="shared" ca="1" si="1297"/>
        <v>2725234.1187537014</v>
      </c>
      <c r="BH1325" s="2">
        <f t="shared" ca="1" si="1298"/>
        <v>3070691.9717926662</v>
      </c>
      <c r="BI1325" s="2">
        <f t="shared" ca="1" si="1299"/>
        <v>37912741.100492589</v>
      </c>
      <c r="BJ1325" s="2">
        <f t="shared" ca="1" si="1300"/>
        <v>0.25679137073818747</v>
      </c>
      <c r="BK1325" s="2">
        <f t="shared" ca="1" si="1301"/>
        <v>11309084.327772792</v>
      </c>
    </row>
    <row r="1326" spans="1:63" x14ac:dyDescent="0.3">
      <c r="A1326" s="2">
        <v>1325</v>
      </c>
      <c r="B1326" s="2">
        <f t="shared" ca="1" si="1240"/>
        <v>0.52292966158757304</v>
      </c>
      <c r="C1326" s="2">
        <f t="shared" ca="1" si="1241"/>
        <v>7.0231987526498267</v>
      </c>
      <c r="D1326" s="2">
        <f t="shared" ca="1" si="1242"/>
        <v>0.66542563958061918</v>
      </c>
      <c r="E1326" s="2">
        <f t="shared" ca="1" si="1243"/>
        <v>7.6819848896024219</v>
      </c>
      <c r="F1326" s="2">
        <f t="shared" ca="1" si="1244"/>
        <v>0.335923279016902</v>
      </c>
      <c r="G1326" s="2">
        <f t="shared" ca="1" si="1245"/>
        <v>2.7291547693842601E-2</v>
      </c>
      <c r="H1326" s="2">
        <f t="shared" ca="1" si="1246"/>
        <v>2.7291547693842601E-2</v>
      </c>
      <c r="I1326" s="2">
        <f t="shared" ca="1" si="1247"/>
        <v>0.56776625602215713</v>
      </c>
      <c r="J1326" s="2">
        <f t="shared" ca="1" si="1248"/>
        <v>1.0853450243670376E-2</v>
      </c>
      <c r="K1326" s="2">
        <f t="shared" ca="1" si="1249"/>
        <v>1.0853450243670376E-2</v>
      </c>
      <c r="L1326" s="2">
        <f t="shared" ca="1" si="1250"/>
        <v>0.37824108287591407</v>
      </c>
      <c r="M1326" s="2">
        <f t="shared" ca="1" si="1251"/>
        <v>-6.2020722358842317E-3</v>
      </c>
      <c r="N1326" s="2">
        <f t="shared" ca="1" si="1252"/>
        <v>-6.2020722358842317E-3</v>
      </c>
      <c r="O1326" s="2">
        <f t="shared" si="1253"/>
        <v>6000000</v>
      </c>
      <c r="P1326" s="2">
        <f t="shared" ca="1" si="1254"/>
        <v>42139192.515898958</v>
      </c>
      <c r="Q1326" s="2">
        <f t="shared" ca="1" si="1255"/>
        <v>1053479.812897474</v>
      </c>
      <c r="R1326" s="2">
        <f t="shared" ca="1" si="1256"/>
        <v>25283515.509539373</v>
      </c>
      <c r="S1326" s="2">
        <f t="shared" ca="1" si="1257"/>
        <v>16855677.006359585</v>
      </c>
      <c r="T1326" s="2">
        <f t="shared" ca="1" si="1258"/>
        <v>49689896.388205789</v>
      </c>
      <c r="U1326" s="2">
        <f t="shared" ca="1" si="1259"/>
        <v>51046010.565386608</v>
      </c>
      <c r="V1326" s="2">
        <f t="shared" ca="1" si="1260"/>
        <v>52439135.197312251</v>
      </c>
      <c r="W1326" s="2">
        <f t="shared" ca="1" si="1261"/>
        <v>53870280.356573559</v>
      </c>
      <c r="X1326" s="2">
        <f t="shared" ca="1" si="1262"/>
        <v>55340483.682205662</v>
      </c>
      <c r="Y1326" s="2">
        <f t="shared" ca="1" si="1263"/>
        <v>0.12542672512183517</v>
      </c>
      <c r="Z1326" s="2">
        <f t="shared" ca="1" si="1264"/>
        <v>0.12759741517056924</v>
      </c>
      <c r="AA1326" s="2">
        <f t="shared" ca="1" si="1265"/>
        <v>6232440.9756159578</v>
      </c>
      <c r="AB1326" s="2">
        <f t="shared" ca="1" si="1266"/>
        <v>6513339.0029128995</v>
      </c>
      <c r="AC1326" s="2">
        <f t="shared" ca="1" si="1267"/>
        <v>6691098.1049570618</v>
      </c>
      <c r="AD1326" s="2">
        <f t="shared" ca="1" si="1268"/>
        <v>6873708.5280126771</v>
      </c>
      <c r="AE1326" s="2">
        <f t="shared" ca="1" si="1269"/>
        <v>7061302.6721385084</v>
      </c>
      <c r="AF1326" s="2">
        <f t="shared" ca="1" si="1270"/>
        <v>993797.92776411586</v>
      </c>
      <c r="AG1326" s="2">
        <f t="shared" ca="1" si="1271"/>
        <v>1020920.2113077322</v>
      </c>
      <c r="AH1326" s="2">
        <f t="shared" ca="1" si="1272"/>
        <v>1048782.7039462451</v>
      </c>
      <c r="AI1326" s="2">
        <f t="shared" ca="1" si="1273"/>
        <v>1077405.6071314712</v>
      </c>
      <c r="AJ1326" s="2">
        <f t="shared" ca="1" si="1274"/>
        <v>1106809.6736441134</v>
      </c>
      <c r="AK1326" s="2">
        <f t="shared" ca="1" si="1275"/>
        <v>0</v>
      </c>
      <c r="AL1326" s="2">
        <f t="shared" ca="1" si="1276"/>
        <v>13561.141771808192</v>
      </c>
      <c r="AM1326" s="2">
        <f t="shared" ca="1" si="1277"/>
        <v>13931.246319256425</v>
      </c>
      <c r="AN1326" s="2">
        <f t="shared" ca="1" si="1278"/>
        <v>14311.451592613086</v>
      </c>
      <c r="AO1326" s="2">
        <f t="shared" ca="1" si="1279"/>
        <v>14702.033256321029</v>
      </c>
      <c r="AP1326" s="2">
        <f t="shared" ca="1" si="1280"/>
        <v>2275516.3958585435</v>
      </c>
      <c r="AQ1326" s="2">
        <f t="shared" ca="1" si="1281"/>
        <v>770412.92951825762</v>
      </c>
      <c r="AR1326" s="2">
        <f t="shared" ca="1" si="1282"/>
        <v>836394.62289412215</v>
      </c>
      <c r="AS1326" s="2">
        <f t="shared" ca="1" si="1283"/>
        <v>875367.7413395911</v>
      </c>
      <c r="AT1326" s="2">
        <f t="shared" ca="1" si="1284"/>
        <v>915404.49650589237</v>
      </c>
      <c r="AU1326" s="2">
        <f t="shared" ca="1" si="1285"/>
        <v>956533.91668532148</v>
      </c>
      <c r="AV1326" s="2">
        <f t="shared" ca="1" si="1286"/>
        <v>2192713.7224750412</v>
      </c>
      <c r="AW1326" s="2">
        <f t="shared" ca="1" si="1287"/>
        <v>2366946.6310806931</v>
      </c>
      <c r="AX1326" s="2">
        <f t="shared" ca="1" si="1288"/>
        <v>2477500.0174934254</v>
      </c>
      <c r="AY1326" s="2">
        <f t="shared" ca="1" si="1289"/>
        <v>2591070.5769241578</v>
      </c>
      <c r="AZ1326" s="2">
        <f t="shared" ca="1" si="1290"/>
        <v>2707740.652694209</v>
      </c>
      <c r="BA1326" s="2">
        <f t="shared" ca="1" si="1291"/>
        <v>54244820.428277224</v>
      </c>
      <c r="BB1326" s="2">
        <f t="shared" ca="1" si="1292"/>
        <v>1084896.4085655445</v>
      </c>
      <c r="BC1326" s="2">
        <f t="shared" ca="1" si="1293"/>
        <v>27876408.510172307</v>
      </c>
      <c r="BD1326" s="2">
        <f t="shared" ca="1" si="1294"/>
        <v>-18409156.819257058</v>
      </c>
      <c r="BE1326" s="2">
        <f t="shared" ca="1" si="1295"/>
        <v>2192713.7224750412</v>
      </c>
      <c r="BF1326" s="2">
        <f t="shared" ca="1" si="1296"/>
        <v>2366946.6310806931</v>
      </c>
      <c r="BG1326" s="2">
        <f t="shared" ca="1" si="1297"/>
        <v>2477500.0174934254</v>
      </c>
      <c r="BH1326" s="2">
        <f t="shared" ca="1" si="1298"/>
        <v>2591070.5769241578</v>
      </c>
      <c r="BI1326" s="2">
        <f t="shared" ca="1" si="1299"/>
        <v>30584149.162866518</v>
      </c>
      <c r="BJ1326" s="2">
        <f t="shared" ca="1" si="1300"/>
        <v>0.20057319058675316</v>
      </c>
      <c r="BK1326" s="2">
        <f t="shared" ca="1" si="1301"/>
        <v>6199914.017664507</v>
      </c>
    </row>
    <row r="1327" spans="1:63" x14ac:dyDescent="0.3">
      <c r="A1327" s="2">
        <v>1326</v>
      </c>
      <c r="B1327" s="2">
        <f t="shared" ca="1" si="1240"/>
        <v>0.19688759606122386</v>
      </c>
      <c r="C1327" s="2">
        <f t="shared" ca="1" si="1241"/>
        <v>6.6275150931431437</v>
      </c>
      <c r="D1327" s="2">
        <f t="shared" ca="1" si="1242"/>
        <v>0.76878211602235036</v>
      </c>
      <c r="E1327" s="2">
        <f t="shared" ca="1" si="1243"/>
        <v>7.8199737005414427</v>
      </c>
      <c r="F1327" s="2">
        <f t="shared" ca="1" si="1244"/>
        <v>9.2558813622061531E-2</v>
      </c>
      <c r="G1327" s="2">
        <f t="shared" ca="1" si="1245"/>
        <v>2.4515821076090405E-4</v>
      </c>
      <c r="H1327" s="2">
        <f t="shared" ca="1" si="1246"/>
        <v>2.4515821076090405E-4</v>
      </c>
      <c r="I1327" s="2">
        <f t="shared" ca="1" si="1247"/>
        <v>0.65269071074682461</v>
      </c>
      <c r="J1327" s="2">
        <f t="shared" ca="1" si="1248"/>
        <v>1.1962975369364659E-2</v>
      </c>
      <c r="K1327" s="2">
        <f t="shared" ca="1" si="1249"/>
        <v>1.1962975369364659E-2</v>
      </c>
      <c r="L1327" s="2">
        <f t="shared" ca="1" si="1250"/>
        <v>0.96318498201641045</v>
      </c>
      <c r="M1327" s="2">
        <f t="shared" ca="1" si="1251"/>
        <v>3.577810999070101E-2</v>
      </c>
      <c r="N1327" s="2">
        <f t="shared" ca="1" si="1252"/>
        <v>3.577810999070101E-2</v>
      </c>
      <c r="O1327" s="2">
        <f t="shared" si="1253"/>
        <v>6000000</v>
      </c>
      <c r="P1327" s="2">
        <f t="shared" ca="1" si="1254"/>
        <v>39765090.558858864</v>
      </c>
      <c r="Q1327" s="2">
        <f t="shared" ca="1" si="1255"/>
        <v>994127.26397147169</v>
      </c>
      <c r="R1327" s="2">
        <f t="shared" ca="1" si="1256"/>
        <v>23859054.335315317</v>
      </c>
      <c r="S1327" s="2">
        <f t="shared" ca="1" si="1257"/>
        <v>15906036.223543547</v>
      </c>
      <c r="T1327" s="2">
        <f t="shared" ca="1" si="1258"/>
        <v>51788905.499535054</v>
      </c>
      <c r="U1327" s="2">
        <f t="shared" ca="1" si="1259"/>
        <v>51801601.974944592</v>
      </c>
      <c r="V1327" s="2">
        <f t="shared" ca="1" si="1260"/>
        <v>51814301.562999323</v>
      </c>
      <c r="W1327" s="2">
        <f t="shared" ca="1" si="1261"/>
        <v>51827004.264462337</v>
      </c>
      <c r="X1327" s="2">
        <f t="shared" ca="1" si="1262"/>
        <v>51839710.080096915</v>
      </c>
      <c r="Y1327" s="2">
        <f t="shared" ca="1" si="1263"/>
        <v>0.12598148768468231</v>
      </c>
      <c r="Z1327" s="2">
        <f t="shared" ca="1" si="1264"/>
        <v>0.12837408275855525</v>
      </c>
      <c r="AA1327" s="2">
        <f t="shared" ca="1" si="1265"/>
        <v>6524443.3603928518</v>
      </c>
      <c r="AB1327" s="2">
        <f t="shared" ca="1" si="1266"/>
        <v>6649983.138957276</v>
      </c>
      <c r="AC1327" s="2">
        <f t="shared" ca="1" si="1267"/>
        <v>6651613.4369252138</v>
      </c>
      <c r="AD1327" s="2">
        <f t="shared" ca="1" si="1268"/>
        <v>6653244.1345740836</v>
      </c>
      <c r="AE1327" s="2">
        <f t="shared" ca="1" si="1269"/>
        <v>6654875.2320018718</v>
      </c>
      <c r="AF1327" s="2">
        <f t="shared" ca="1" si="1270"/>
        <v>1035778.1099907011</v>
      </c>
      <c r="AG1327" s="2">
        <f t="shared" ca="1" si="1271"/>
        <v>1036032.0394988918</v>
      </c>
      <c r="AH1327" s="2">
        <f t="shared" ca="1" si="1272"/>
        <v>1036286.0312599865</v>
      </c>
      <c r="AI1327" s="2">
        <f t="shared" ca="1" si="1273"/>
        <v>1036540.0852892468</v>
      </c>
      <c r="AJ1327" s="2">
        <f t="shared" ca="1" si="1274"/>
        <v>1036794.2016019383</v>
      </c>
      <c r="AK1327" s="2">
        <f t="shared" ca="1" si="1275"/>
        <v>0</v>
      </c>
      <c r="AL1327" s="2">
        <f t="shared" ca="1" si="1276"/>
        <v>126.96475409537554</v>
      </c>
      <c r="AM1327" s="2">
        <f t="shared" ca="1" si="1277"/>
        <v>126.99588054731488</v>
      </c>
      <c r="AN1327" s="2">
        <f t="shared" ca="1" si="1278"/>
        <v>127.02701463013888</v>
      </c>
      <c r="AO1327" s="2">
        <f t="shared" ca="1" si="1279"/>
        <v>127.05815634578467</v>
      </c>
      <c r="AP1327" s="2">
        <f t="shared" ca="1" si="1280"/>
        <v>2147314.8901783787</v>
      </c>
      <c r="AQ1327" s="2">
        <f t="shared" ca="1" si="1281"/>
        <v>868751.09365818079</v>
      </c>
      <c r="AR1327" s="2">
        <f t="shared" ca="1" si="1282"/>
        <v>901325.4144128015</v>
      </c>
      <c r="AS1327" s="2">
        <f t="shared" ca="1" si="1283"/>
        <v>901683.2540265806</v>
      </c>
      <c r="AT1327" s="2">
        <f t="shared" ca="1" si="1284"/>
        <v>902041.18136767927</v>
      </c>
      <c r="AU1327" s="2">
        <f t="shared" ca="1" si="1285"/>
        <v>902399.1964576043</v>
      </c>
      <c r="AV1327" s="2">
        <f t="shared" ca="1" si="1286"/>
        <v>2472599.2665655911</v>
      </c>
      <c r="AW1327" s="2">
        <f t="shared" ca="1" si="1287"/>
        <v>2565183.8301131092</v>
      </c>
      <c r="AX1327" s="2">
        <f t="shared" ca="1" si="1288"/>
        <v>2566202.265579721</v>
      </c>
      <c r="AY1327" s="2">
        <f t="shared" ca="1" si="1289"/>
        <v>2567220.9507241491</v>
      </c>
      <c r="AZ1327" s="2">
        <f t="shared" ca="1" si="1290"/>
        <v>2568239.8856076049</v>
      </c>
      <c r="BA1327" s="2">
        <f t="shared" ca="1" si="1291"/>
        <v>52040949.294639267</v>
      </c>
      <c r="BB1327" s="2">
        <f t="shared" ca="1" si="1292"/>
        <v>1040818.9858927854</v>
      </c>
      <c r="BC1327" s="2">
        <f t="shared" ca="1" si="1293"/>
        <v>27141075.973431166</v>
      </c>
      <c r="BD1327" s="2">
        <f t="shared" ca="1" si="1294"/>
        <v>-17400163.487515017</v>
      </c>
      <c r="BE1327" s="2">
        <f t="shared" ca="1" si="1295"/>
        <v>2472599.2665655911</v>
      </c>
      <c r="BF1327" s="2">
        <f t="shared" ca="1" si="1296"/>
        <v>2565183.8301131092</v>
      </c>
      <c r="BG1327" s="2">
        <f t="shared" ca="1" si="1297"/>
        <v>2566202.265579721</v>
      </c>
      <c r="BH1327" s="2">
        <f t="shared" ca="1" si="1298"/>
        <v>2567220.9507241491</v>
      </c>
      <c r="BI1327" s="2">
        <f t="shared" ca="1" si="1299"/>
        <v>29709315.85903877</v>
      </c>
      <c r="BJ1327" s="2">
        <f t="shared" ca="1" si="1300"/>
        <v>0.21850014625556269</v>
      </c>
      <c r="BK1327" s="2">
        <f t="shared" ca="1" si="1301"/>
        <v>7168414.366644036</v>
      </c>
    </row>
    <row r="1328" spans="1:63" x14ac:dyDescent="0.3">
      <c r="A1328" s="2">
        <v>1327</v>
      </c>
      <c r="B1328" s="2">
        <f t="shared" ca="1" si="1240"/>
        <v>0.99589594491784927</v>
      </c>
      <c r="C1328" s="2">
        <f t="shared" ca="1" si="1241"/>
        <v>7.9094013787946995</v>
      </c>
      <c r="D1328" s="2">
        <f t="shared" ca="1" si="1242"/>
        <v>0.41514623421560659</v>
      </c>
      <c r="E1328" s="2">
        <f t="shared" ca="1" si="1243"/>
        <v>7.4112038566814853</v>
      </c>
      <c r="F1328" s="2">
        <f t="shared" ca="1" si="1244"/>
        <v>0.37840681306742985</v>
      </c>
      <c r="G1328" s="2">
        <f t="shared" ca="1" si="1245"/>
        <v>3.0709967356363752E-2</v>
      </c>
      <c r="H1328" s="2">
        <f t="shared" ca="1" si="1246"/>
        <v>3.0709967356363752E-2</v>
      </c>
      <c r="I1328" s="2">
        <f t="shared" ca="1" si="1247"/>
        <v>0.55770260234289171</v>
      </c>
      <c r="J1328" s="2">
        <f t="shared" ca="1" si="1248"/>
        <v>1.0725735096421817E-2</v>
      </c>
      <c r="K1328" s="2">
        <f t="shared" ca="1" si="1249"/>
        <v>1.0725735096421817E-2</v>
      </c>
      <c r="L1328" s="2">
        <f t="shared" ca="1" si="1250"/>
        <v>0.76348828434342864</v>
      </c>
      <c r="M1328" s="2">
        <f t="shared" ca="1" si="1251"/>
        <v>1.4351368530028514E-2</v>
      </c>
      <c r="N1328" s="2">
        <f t="shared" ca="1" si="1252"/>
        <v>1.4351368530028514E-2</v>
      </c>
      <c r="O1328" s="2">
        <f t="shared" si="1253"/>
        <v>6000000</v>
      </c>
      <c r="P1328" s="2">
        <f t="shared" ca="1" si="1254"/>
        <v>47456408.272768199</v>
      </c>
      <c r="Q1328" s="2">
        <f t="shared" ca="1" si="1255"/>
        <v>1186410.2068192051</v>
      </c>
      <c r="R1328" s="2">
        <f t="shared" ca="1" si="1256"/>
        <v>28473844.963660918</v>
      </c>
      <c r="S1328" s="2">
        <f t="shared" ca="1" si="1257"/>
        <v>18982563.309107281</v>
      </c>
      <c r="T1328" s="2">
        <f t="shared" ca="1" si="1258"/>
        <v>50717568.426501423</v>
      </c>
      <c r="U1328" s="2">
        <f t="shared" ca="1" si="1259"/>
        <v>52275103.297273427</v>
      </c>
      <c r="V1328" s="2">
        <f t="shared" ca="1" si="1260"/>
        <v>53880470.013083242</v>
      </c>
      <c r="W1328" s="2">
        <f t="shared" ca="1" si="1261"/>
        <v>55535137.488330565</v>
      </c>
      <c r="X1328" s="2">
        <f t="shared" ca="1" si="1262"/>
        <v>57240619.74772837</v>
      </c>
      <c r="Y1328" s="2">
        <f t="shared" ca="1" si="1263"/>
        <v>0.12536286754821091</v>
      </c>
      <c r="Z1328" s="2">
        <f t="shared" ca="1" si="1264"/>
        <v>0.12750801456749528</v>
      </c>
      <c r="AA1328" s="2">
        <f t="shared" ca="1" si="1265"/>
        <v>6358099.8130188212</v>
      </c>
      <c r="AB1328" s="2">
        <f t="shared" ca="1" si="1266"/>
        <v>6665494.6327460604</v>
      </c>
      <c r="AC1328" s="2">
        <f t="shared" ca="1" si="1267"/>
        <v>6870191.75533171</v>
      </c>
      <c r="AD1328" s="2">
        <f t="shared" ca="1" si="1268"/>
        <v>7081175.1198699065</v>
      </c>
      <c r="AE1328" s="2">
        <f t="shared" ca="1" si="1269"/>
        <v>7298637.7766458066</v>
      </c>
      <c r="AF1328" s="2">
        <f t="shared" ca="1" si="1270"/>
        <v>1014351.3685300285</v>
      </c>
      <c r="AG1328" s="2">
        <f t="shared" ca="1" si="1271"/>
        <v>1045502.0659454686</v>
      </c>
      <c r="AH1328" s="2">
        <f t="shared" ca="1" si="1272"/>
        <v>1077609.4002616648</v>
      </c>
      <c r="AI1328" s="2">
        <f t="shared" ca="1" si="1273"/>
        <v>1110702.7497666113</v>
      </c>
      <c r="AJ1328" s="2">
        <f t="shared" ca="1" si="1274"/>
        <v>1144812.3949545675</v>
      </c>
      <c r="AK1328" s="2">
        <f t="shared" ca="1" si="1275"/>
        <v>0</v>
      </c>
      <c r="AL1328" s="2">
        <f t="shared" ca="1" si="1276"/>
        <v>15575.348707720041</v>
      </c>
      <c r="AM1328" s="2">
        <f t="shared" ca="1" si="1277"/>
        <v>16053.667158098147</v>
      </c>
      <c r="AN1328" s="2">
        <f t="shared" ca="1" si="1278"/>
        <v>16546.674752473235</v>
      </c>
      <c r="AO1328" s="2">
        <f t="shared" ca="1" si="1279"/>
        <v>17054.822593978046</v>
      </c>
      <c r="AP1328" s="2">
        <f t="shared" ca="1" si="1280"/>
        <v>2562646.0467294827</v>
      </c>
      <c r="AQ1328" s="2">
        <f t="shared" ca="1" si="1281"/>
        <v>723086.62341742066</v>
      </c>
      <c r="AR1328" s="2">
        <f t="shared" ca="1" si="1282"/>
        <v>794910.09521848836</v>
      </c>
      <c r="AS1328" s="2">
        <f t="shared" ca="1" si="1283"/>
        <v>839783.44016854628</v>
      </c>
      <c r="AT1328" s="2">
        <f t="shared" ca="1" si="1284"/>
        <v>886034.8440771912</v>
      </c>
      <c r="AU1328" s="2">
        <f t="shared" ca="1" si="1285"/>
        <v>933706.62709005666</v>
      </c>
      <c r="AV1328" s="2">
        <f t="shared" ca="1" si="1286"/>
        <v>2058015.7743418897</v>
      </c>
      <c r="AW1328" s="2">
        <f t="shared" ca="1" si="1287"/>
        <v>2246861.0761449011</v>
      </c>
      <c r="AX1328" s="2">
        <f t="shared" ca="1" si="1288"/>
        <v>2374099.201013918</v>
      </c>
      <c r="AY1328" s="2">
        <f t="shared" ca="1" si="1289"/>
        <v>2505244.804544148</v>
      </c>
      <c r="AZ1328" s="2">
        <f t="shared" ca="1" si="1290"/>
        <v>2640417.885277722</v>
      </c>
      <c r="BA1328" s="2">
        <f t="shared" ca="1" si="1291"/>
        <v>54091692.438798584</v>
      </c>
      <c r="BB1328" s="2">
        <f t="shared" ca="1" si="1292"/>
        <v>1081833.8487759717</v>
      </c>
      <c r="BC1328" s="2">
        <f t="shared" ca="1" si="1293"/>
        <v>24536013.626361694</v>
      </c>
      <c r="BD1328" s="2">
        <f t="shared" ca="1" si="1294"/>
        <v>-20668973.515926488</v>
      </c>
      <c r="BE1328" s="2">
        <f t="shared" ca="1" si="1295"/>
        <v>2058015.7743418897</v>
      </c>
      <c r="BF1328" s="2">
        <f t="shared" ca="1" si="1296"/>
        <v>2246861.0761449011</v>
      </c>
      <c r="BG1328" s="2">
        <f t="shared" ca="1" si="1297"/>
        <v>2374099.201013918</v>
      </c>
      <c r="BH1328" s="2">
        <f t="shared" ca="1" si="1298"/>
        <v>2505244.804544148</v>
      </c>
      <c r="BI1328" s="2">
        <f t="shared" ca="1" si="1299"/>
        <v>27176431.511639416</v>
      </c>
      <c r="BJ1328" s="2">
        <f t="shared" ca="1" si="1300"/>
        <v>0.14086473982018211</v>
      </c>
      <c r="BK1328" s="2">
        <f t="shared" ca="1" si="1301"/>
        <v>1662326.8259680532</v>
      </c>
    </row>
    <row r="1329" spans="1:63" x14ac:dyDescent="0.3">
      <c r="A1329" s="2">
        <v>1328</v>
      </c>
      <c r="B1329" s="2">
        <f t="shared" ca="1" si="1240"/>
        <v>0.13944557931566426</v>
      </c>
      <c r="C1329" s="2">
        <f t="shared" ca="1" si="1241"/>
        <v>6.5281014662272092</v>
      </c>
      <c r="D1329" s="2">
        <f t="shared" ca="1" si="1242"/>
        <v>0.39976159297158143</v>
      </c>
      <c r="E1329" s="2">
        <f t="shared" ca="1" si="1243"/>
        <v>7.3941606041104491</v>
      </c>
      <c r="F1329" s="2">
        <f t="shared" ca="1" si="1244"/>
        <v>0.15532085792924832</v>
      </c>
      <c r="G1329" s="2">
        <f t="shared" ca="1" si="1245"/>
        <v>9.5837068724728483E-3</v>
      </c>
      <c r="H1329" s="2">
        <f t="shared" ca="1" si="1246"/>
        <v>9.5837068724728483E-3</v>
      </c>
      <c r="I1329" s="2">
        <f t="shared" ca="1" si="1247"/>
        <v>0.90574521367808092</v>
      </c>
      <c r="J1329" s="2">
        <f t="shared" ca="1" si="1248"/>
        <v>1.6575004907043483E-2</v>
      </c>
      <c r="K1329" s="2">
        <f t="shared" ca="1" si="1249"/>
        <v>1.6575004907043483E-2</v>
      </c>
      <c r="L1329" s="2">
        <f t="shared" ca="1" si="1250"/>
        <v>0.18404614967027766</v>
      </c>
      <c r="M1329" s="2">
        <f t="shared" ca="1" si="1251"/>
        <v>-1.8001050490910397E-2</v>
      </c>
      <c r="N1329" s="2">
        <f t="shared" ca="1" si="1252"/>
        <v>-1.8001050490910397E-2</v>
      </c>
      <c r="O1329" s="2">
        <f t="shared" si="1253"/>
        <v>6000000</v>
      </c>
      <c r="P1329" s="2">
        <f t="shared" ca="1" si="1254"/>
        <v>39168608.797363259</v>
      </c>
      <c r="Q1329" s="2">
        <f t="shared" ca="1" si="1255"/>
        <v>979215.21993408154</v>
      </c>
      <c r="R1329" s="2">
        <f t="shared" ca="1" si="1256"/>
        <v>23501165.278417956</v>
      </c>
      <c r="S1329" s="2">
        <f t="shared" ca="1" si="1257"/>
        <v>15667443.518945305</v>
      </c>
      <c r="T1329" s="2">
        <f t="shared" ca="1" si="1258"/>
        <v>49099947.475454479</v>
      </c>
      <c r="U1329" s="2">
        <f t="shared" ca="1" si="1259"/>
        <v>49570506.979513049</v>
      </c>
      <c r="V1329" s="2">
        <f t="shared" ca="1" si="1260"/>
        <v>50045576.187924571</v>
      </c>
      <c r="W1329" s="2">
        <f t="shared" ca="1" si="1261"/>
        <v>50525198.320373647</v>
      </c>
      <c r="X1329" s="2">
        <f t="shared" ca="1" si="1262"/>
        <v>51009417.010749668</v>
      </c>
      <c r="Y1329" s="2">
        <f t="shared" ca="1" si="1263"/>
        <v>0.12828750245352175</v>
      </c>
      <c r="Z1329" s="2">
        <f t="shared" ca="1" si="1264"/>
        <v>0.13160250343493043</v>
      </c>
      <c r="AA1329" s="2">
        <f t="shared" ca="1" si="1265"/>
        <v>6298909.6322251558</v>
      </c>
      <c r="AB1329" s="2">
        <f t="shared" ca="1" si="1266"/>
        <v>6523602.8150426093</v>
      </c>
      <c r="AC1329" s="2">
        <f t="shared" ca="1" si="1267"/>
        <v>6586123.112174416</v>
      </c>
      <c r="AD1329" s="2">
        <f t="shared" ca="1" si="1268"/>
        <v>6649242.585507514</v>
      </c>
      <c r="AE1329" s="2">
        <f t="shared" ca="1" si="1269"/>
        <v>6712966.9773709821</v>
      </c>
      <c r="AF1329" s="2">
        <f t="shared" ca="1" si="1270"/>
        <v>981998.94950908958</v>
      </c>
      <c r="AG1329" s="2">
        <f t="shared" ca="1" si="1271"/>
        <v>991410.13959026104</v>
      </c>
      <c r="AH1329" s="2">
        <f t="shared" ca="1" si="1272"/>
        <v>1000911.5237584915</v>
      </c>
      <c r="AI1329" s="2">
        <f t="shared" ca="1" si="1273"/>
        <v>1010503.966407473</v>
      </c>
      <c r="AJ1329" s="2">
        <f t="shared" ca="1" si="1274"/>
        <v>1020188.3402149933</v>
      </c>
      <c r="AK1329" s="2">
        <f t="shared" ca="1" si="1275"/>
        <v>0</v>
      </c>
      <c r="AL1329" s="2">
        <f t="shared" ca="1" si="1276"/>
        <v>4705.5950405856966</v>
      </c>
      <c r="AM1329" s="2">
        <f t="shared" ca="1" si="1277"/>
        <v>4750.6920841152223</v>
      </c>
      <c r="AN1329" s="2">
        <f t="shared" ca="1" si="1278"/>
        <v>4796.2213244907562</v>
      </c>
      <c r="AO1329" s="2">
        <f t="shared" ca="1" si="1279"/>
        <v>4842.18690376021</v>
      </c>
      <c r="AP1329" s="2">
        <f t="shared" ca="1" si="1280"/>
        <v>2115104.8750576158</v>
      </c>
      <c r="AQ1329" s="2">
        <f t="shared" ca="1" si="1281"/>
        <v>832469.50999119703</v>
      </c>
      <c r="AR1329" s="2">
        <f t="shared" ca="1" si="1282"/>
        <v>888442.82810263033</v>
      </c>
      <c r="AS1329" s="2">
        <f t="shared" ca="1" si="1283"/>
        <v>902227.74547316029</v>
      </c>
      <c r="AT1329" s="2">
        <f t="shared" ca="1" si="1284"/>
        <v>916144.77345103049</v>
      </c>
      <c r="AU1329" s="2">
        <f t="shared" ca="1" si="1285"/>
        <v>930195.17814557708</v>
      </c>
      <c r="AV1329" s="2">
        <f t="shared" ca="1" si="1286"/>
        <v>2369336.2976672533</v>
      </c>
      <c r="AW1329" s="2">
        <f t="shared" ca="1" si="1287"/>
        <v>2523939.3772515156</v>
      </c>
      <c r="AX1329" s="2">
        <f t="shared" ca="1" si="1288"/>
        <v>2563128.2758010332</v>
      </c>
      <c r="AY1329" s="2">
        <f t="shared" ca="1" si="1289"/>
        <v>2602692.7492669043</v>
      </c>
      <c r="AZ1329" s="2">
        <f t="shared" ca="1" si="1290"/>
        <v>2642636.3970490363</v>
      </c>
      <c r="BA1329" s="2">
        <f t="shared" ca="1" si="1291"/>
        <v>49636755.960770912</v>
      </c>
      <c r="BB1329" s="2">
        <f t="shared" ca="1" si="1292"/>
        <v>992735.11921541824</v>
      </c>
      <c r="BC1329" s="2">
        <f t="shared" ca="1" si="1293"/>
        <v>25142855.563137539</v>
      </c>
      <c r="BD1329" s="2">
        <f t="shared" ca="1" si="1294"/>
        <v>-17146658.738879386</v>
      </c>
      <c r="BE1329" s="2">
        <f t="shared" ca="1" si="1295"/>
        <v>2369336.2976672533</v>
      </c>
      <c r="BF1329" s="2">
        <f t="shared" ca="1" si="1296"/>
        <v>2523939.3772515156</v>
      </c>
      <c r="BG1329" s="2">
        <f t="shared" ca="1" si="1297"/>
        <v>2563128.2758010332</v>
      </c>
      <c r="BH1329" s="2">
        <f t="shared" ca="1" si="1298"/>
        <v>2602692.7492669043</v>
      </c>
      <c r="BI1329" s="2">
        <f t="shared" ca="1" si="1299"/>
        <v>27785491.960186575</v>
      </c>
      <c r="BJ1329" s="2">
        <f t="shared" ca="1" si="1300"/>
        <v>0.20838813380500087</v>
      </c>
      <c r="BK1329" s="2">
        <f t="shared" ca="1" si="1301"/>
        <v>6225565.8287609518</v>
      </c>
    </row>
    <row r="1330" spans="1:63" x14ac:dyDescent="0.3">
      <c r="A1330" s="2">
        <v>1329</v>
      </c>
      <c r="B1330" s="2">
        <f t="shared" ca="1" si="1240"/>
        <v>9.1941105072033902E-2</v>
      </c>
      <c r="C1330" s="2">
        <f t="shared" ca="1" si="1241"/>
        <v>6.4288148903012434</v>
      </c>
      <c r="D1330" s="2">
        <f t="shared" ca="1" si="1242"/>
        <v>0.14461795451767812</v>
      </c>
      <c r="E1330" s="2">
        <f t="shared" ca="1" si="1243"/>
        <v>7.0378065721384928</v>
      </c>
      <c r="F1330" s="2">
        <f t="shared" ca="1" si="1244"/>
        <v>0.96716610189872876</v>
      </c>
      <c r="G1330" s="2">
        <f t="shared" ca="1" si="1245"/>
        <v>9.5220537139215522E-2</v>
      </c>
      <c r="H1330" s="2">
        <f t="shared" ca="1" si="1246"/>
        <v>9.5220537139215522E-2</v>
      </c>
      <c r="I1330" s="2">
        <f t="shared" ca="1" si="1247"/>
        <v>0.76496562345574348</v>
      </c>
      <c r="J1330" s="2">
        <f t="shared" ca="1" si="1248"/>
        <v>1.3611835952645717E-2</v>
      </c>
      <c r="K1330" s="2">
        <f t="shared" ca="1" si="1249"/>
        <v>1.3611835952645717E-2</v>
      </c>
      <c r="L1330" s="2">
        <f t="shared" ca="1" si="1250"/>
        <v>5.5832764486283715E-2</v>
      </c>
      <c r="M1330" s="2">
        <f t="shared" ca="1" si="1251"/>
        <v>-3.1815028474094925E-2</v>
      </c>
      <c r="N1330" s="2">
        <f t="shared" ca="1" si="1252"/>
        <v>-3.1815028474094925E-2</v>
      </c>
      <c r="O1330" s="2">
        <f t="shared" si="1253"/>
        <v>6000000</v>
      </c>
      <c r="P1330" s="2">
        <f t="shared" ca="1" si="1254"/>
        <v>38572889.341807462</v>
      </c>
      <c r="Q1330" s="2">
        <f t="shared" ca="1" si="1255"/>
        <v>964322.23354518658</v>
      </c>
      <c r="R1330" s="2">
        <f t="shared" ca="1" si="1256"/>
        <v>23143733.605084475</v>
      </c>
      <c r="S1330" s="2">
        <f t="shared" ca="1" si="1257"/>
        <v>15429155.736722985</v>
      </c>
      <c r="T1330" s="2">
        <f t="shared" ca="1" si="1258"/>
        <v>48409248.576295257</v>
      </c>
      <c r="U1330" s="2">
        <f t="shared" ca="1" si="1259"/>
        <v>53018803.2282359</v>
      </c>
      <c r="V1330" s="2">
        <f t="shared" ca="1" si="1260"/>
        <v>58067282.150106899</v>
      </c>
      <c r="W1330" s="2">
        <f t="shared" ca="1" si="1261"/>
        <v>63596479.946654469</v>
      </c>
      <c r="X1330" s="2">
        <f t="shared" ca="1" si="1262"/>
        <v>69652170.927338257</v>
      </c>
      <c r="Y1330" s="2">
        <f t="shared" ca="1" si="1263"/>
        <v>0.12680591797632285</v>
      </c>
      <c r="Z1330" s="2">
        <f t="shared" ca="1" si="1264"/>
        <v>0.129528285166852</v>
      </c>
      <c r="AA1330" s="2">
        <f t="shared" ca="1" si="1265"/>
        <v>6138579.2042611195</v>
      </c>
      <c r="AB1330" s="2">
        <f t="shared" ca="1" si="1266"/>
        <v>6867434.6637521526</v>
      </c>
      <c r="AC1330" s="2">
        <f t="shared" ca="1" si="1267"/>
        <v>7521355.4812031016</v>
      </c>
      <c r="AD1330" s="2">
        <f t="shared" ca="1" si="1268"/>
        <v>8237542.9901382448</v>
      </c>
      <c r="AE1330" s="2">
        <f t="shared" ca="1" si="1269"/>
        <v>9021926.2583665885</v>
      </c>
      <c r="AF1330" s="2">
        <f t="shared" ca="1" si="1270"/>
        <v>968184.97152590519</v>
      </c>
      <c r="AG1330" s="2">
        <f t="shared" ca="1" si="1271"/>
        <v>1060376.0645647179</v>
      </c>
      <c r="AH1330" s="2">
        <f t="shared" ca="1" si="1272"/>
        <v>1161345.643002138</v>
      </c>
      <c r="AI1330" s="2">
        <f t="shared" ca="1" si="1273"/>
        <v>1271929.5989330893</v>
      </c>
      <c r="AJ1330" s="2">
        <f t="shared" ca="1" si="1274"/>
        <v>1393043.4185467651</v>
      </c>
      <c r="AK1330" s="2">
        <f t="shared" ca="1" si="1275"/>
        <v>0</v>
      </c>
      <c r="AL1330" s="2">
        <f t="shared" ca="1" si="1276"/>
        <v>46095.546519406438</v>
      </c>
      <c r="AM1330" s="2">
        <f t="shared" ca="1" si="1277"/>
        <v>50484.789218709993</v>
      </c>
      <c r="AN1330" s="2">
        <f t="shared" ca="1" si="1278"/>
        <v>55291.977965475693</v>
      </c>
      <c r="AO1330" s="2">
        <f t="shared" ca="1" si="1279"/>
        <v>60556.909806837888</v>
      </c>
      <c r="AP1330" s="2">
        <f t="shared" ca="1" si="1280"/>
        <v>2082936.0244576028</v>
      </c>
      <c r="AQ1330" s="2">
        <f t="shared" ca="1" si="1281"/>
        <v>802739.13415217912</v>
      </c>
      <c r="AR1330" s="2">
        <f t="shared" ca="1" si="1282"/>
        <v>968271.86942975631</v>
      </c>
      <c r="AS1330" s="2">
        <f t="shared" ca="1" si="1283"/>
        <v>1112039.1915732739</v>
      </c>
      <c r="AT1330" s="2">
        <f t="shared" ca="1" si="1284"/>
        <v>1269496.1153543638</v>
      </c>
      <c r="AU1330" s="2">
        <f t="shared" ca="1" si="1285"/>
        <v>1441946.1719941774</v>
      </c>
      <c r="AV1330" s="2">
        <f t="shared" ca="1" si="1286"/>
        <v>2284719.0741254324</v>
      </c>
      <c r="AW1330" s="2">
        <f t="shared" ca="1" si="1287"/>
        <v>2709755.1587806698</v>
      </c>
      <c r="AX1330" s="2">
        <f t="shared" ca="1" si="1288"/>
        <v>3114549.8329513771</v>
      </c>
      <c r="AY1330" s="2">
        <f t="shared" ca="1" si="1289"/>
        <v>3557889.2734277127</v>
      </c>
      <c r="AZ1330" s="2">
        <f t="shared" ca="1" si="1290"/>
        <v>4043443.7335612047</v>
      </c>
      <c r="BA1330" s="2">
        <f t="shared" ca="1" si="1291"/>
        <v>63494571.914481215</v>
      </c>
      <c r="BB1330" s="2">
        <f t="shared" ca="1" si="1292"/>
        <v>1269891.4382896244</v>
      </c>
      <c r="BC1330" s="2">
        <f t="shared" ca="1" si="1293"/>
        <v>39080946.871107116</v>
      </c>
      <c r="BD1330" s="2">
        <f t="shared" ca="1" si="1294"/>
        <v>-16893477.970268171</v>
      </c>
      <c r="BE1330" s="2">
        <f t="shared" ca="1" si="1295"/>
        <v>2284719.0741254324</v>
      </c>
      <c r="BF1330" s="2">
        <f t="shared" ca="1" si="1296"/>
        <v>2709755.1587806698</v>
      </c>
      <c r="BG1330" s="2">
        <f t="shared" ca="1" si="1297"/>
        <v>3114549.8329513771</v>
      </c>
      <c r="BH1330" s="2">
        <f t="shared" ca="1" si="1298"/>
        <v>3557889.2734277127</v>
      </c>
      <c r="BI1330" s="2">
        <f t="shared" ca="1" si="1299"/>
        <v>43124390.604668319</v>
      </c>
      <c r="BJ1330" s="2">
        <f t="shared" ca="1" si="1300"/>
        <v>0.31380768981098828</v>
      </c>
      <c r="BK1330" s="2">
        <f t="shared" ca="1" si="1301"/>
        <v>16254565.368467852</v>
      </c>
    </row>
    <row r="1331" spans="1:63" x14ac:dyDescent="0.3">
      <c r="A1331" s="2">
        <v>1330</v>
      </c>
      <c r="B1331" s="2">
        <f t="shared" ca="1" si="1240"/>
        <v>0.51329581445821748</v>
      </c>
      <c r="C1331" s="2">
        <f t="shared" ca="1" si="1241"/>
        <v>7.0133853989102102</v>
      </c>
      <c r="D1331" s="2">
        <f t="shared" ca="1" si="1242"/>
        <v>0.10317909392647207</v>
      </c>
      <c r="E1331" s="2">
        <f t="shared" ca="1" si="1243"/>
        <v>6.9542666484048157</v>
      </c>
      <c r="F1331" s="2">
        <f t="shared" ca="1" si="1244"/>
        <v>0.46624441601911937</v>
      </c>
      <c r="G1331" s="2">
        <f t="shared" ca="1" si="1245"/>
        <v>3.7458582507450093E-2</v>
      </c>
      <c r="H1331" s="2">
        <f t="shared" ca="1" si="1246"/>
        <v>3.7458582507450093E-2</v>
      </c>
      <c r="I1331" s="2">
        <f t="shared" ca="1" si="1247"/>
        <v>1.0654622665970281E-2</v>
      </c>
      <c r="J1331" s="2">
        <f t="shared" ca="1" si="1248"/>
        <v>-1.5122999430290211E-3</v>
      </c>
      <c r="K1331" s="2">
        <f t="shared" ca="1" si="1249"/>
        <v>0</v>
      </c>
      <c r="L1331" s="2">
        <f t="shared" ca="1" si="1250"/>
        <v>0.1051544601735882</v>
      </c>
      <c r="M1331" s="2">
        <f t="shared" ca="1" si="1251"/>
        <v>-2.5054328825029965E-2</v>
      </c>
      <c r="N1331" s="2">
        <f t="shared" ca="1" si="1252"/>
        <v>-2.5054328825029965E-2</v>
      </c>
      <c r="O1331" s="2">
        <f t="shared" si="1253"/>
        <v>6000000</v>
      </c>
      <c r="P1331" s="2">
        <f t="shared" ca="1" si="1254"/>
        <v>42080312.393461265</v>
      </c>
      <c r="Q1331" s="2">
        <f t="shared" ca="1" si="1255"/>
        <v>1052007.8098365318</v>
      </c>
      <c r="R1331" s="2">
        <f t="shared" ca="1" si="1256"/>
        <v>25248187.436076757</v>
      </c>
      <c r="S1331" s="2">
        <f t="shared" ca="1" si="1257"/>
        <v>16832124.957384508</v>
      </c>
      <c r="T1331" s="2">
        <f t="shared" ca="1" si="1258"/>
        <v>48747283.558748499</v>
      </c>
      <c r="U1331" s="2">
        <f t="shared" ca="1" si="1259"/>
        <v>50573287.701947942</v>
      </c>
      <c r="V1331" s="2">
        <f t="shared" ca="1" si="1260"/>
        <v>52467691.372004367</v>
      </c>
      <c r="W1331" s="2">
        <f t="shared" ca="1" si="1261"/>
        <v>54433056.718238018</v>
      </c>
      <c r="X1331" s="2">
        <f t="shared" ca="1" si="1262"/>
        <v>56472041.864450842</v>
      </c>
      <c r="Y1331" s="2">
        <f t="shared" ca="1" si="1263"/>
        <v>0.12</v>
      </c>
      <c r="Z1331" s="2">
        <f t="shared" ca="1" si="1264"/>
        <v>0.12</v>
      </c>
      <c r="AA1331" s="2">
        <f t="shared" ca="1" si="1265"/>
        <v>5849674.0270498199</v>
      </c>
      <c r="AB1331" s="2">
        <f t="shared" ca="1" si="1266"/>
        <v>6068794.5242337529</v>
      </c>
      <c r="AC1331" s="2">
        <f t="shared" ca="1" si="1267"/>
        <v>6296122.9646405242</v>
      </c>
      <c r="AD1331" s="2">
        <f t="shared" ca="1" si="1268"/>
        <v>6531966.806188562</v>
      </c>
      <c r="AE1331" s="2">
        <f t="shared" ca="1" si="1269"/>
        <v>6776645.0237341011</v>
      </c>
      <c r="AF1331" s="2">
        <f t="shared" ca="1" si="1270"/>
        <v>974945.67117496999</v>
      </c>
      <c r="AG1331" s="2">
        <f t="shared" ca="1" si="1271"/>
        <v>1011465.7540389589</v>
      </c>
      <c r="AH1331" s="2">
        <f t="shared" ca="1" si="1272"/>
        <v>1049353.8274400875</v>
      </c>
      <c r="AI1331" s="2">
        <f t="shared" ca="1" si="1273"/>
        <v>1088661.1343647605</v>
      </c>
      <c r="AJ1331" s="2">
        <f t="shared" ca="1" si="1274"/>
        <v>1129440.8372890169</v>
      </c>
      <c r="AK1331" s="2">
        <f t="shared" ca="1" si="1275"/>
        <v>0</v>
      </c>
      <c r="AL1331" s="2">
        <f t="shared" ca="1" si="1276"/>
        <v>18260.041431994439</v>
      </c>
      <c r="AM1331" s="2">
        <f t="shared" ca="1" si="1277"/>
        <v>18944.036700564251</v>
      </c>
      <c r="AN1331" s="2">
        <f t="shared" ca="1" si="1278"/>
        <v>19653.653462336511</v>
      </c>
      <c r="AO1331" s="2">
        <f t="shared" ca="1" si="1279"/>
        <v>20389.851462128237</v>
      </c>
      <c r="AP1331" s="2">
        <f t="shared" ca="1" si="1280"/>
        <v>2272336.869246908</v>
      </c>
      <c r="AQ1331" s="2">
        <f t="shared" ca="1" si="1281"/>
        <v>676621.78652326483</v>
      </c>
      <c r="AR1331" s="2">
        <f t="shared" ca="1" si="1282"/>
        <v>724097.89424645039</v>
      </c>
      <c r="AS1331" s="2">
        <f t="shared" ca="1" si="1283"/>
        <v>773352.38966791751</v>
      </c>
      <c r="AT1331" s="2">
        <f t="shared" ca="1" si="1284"/>
        <v>824451.88866999233</v>
      </c>
      <c r="AU1331" s="2">
        <f t="shared" ca="1" si="1285"/>
        <v>877465.50247152592</v>
      </c>
      <c r="AV1331" s="2">
        <f t="shared" ca="1" si="1286"/>
        <v>1925769.7001046767</v>
      </c>
      <c r="AW1331" s="2">
        <f t="shared" ca="1" si="1287"/>
        <v>2042633.9652694413</v>
      </c>
      <c r="AX1331" s="2">
        <f t="shared" ca="1" si="1288"/>
        <v>2182135.8415850471</v>
      </c>
      <c r="AY1331" s="2">
        <f t="shared" ca="1" si="1289"/>
        <v>2326863.2604445643</v>
      </c>
      <c r="AZ1331" s="2">
        <f t="shared" ca="1" si="1290"/>
        <v>2477011.9632645217</v>
      </c>
      <c r="BA1331" s="2">
        <f t="shared" ca="1" si="1291"/>
        <v>47126596.476632521</v>
      </c>
      <c r="BB1331" s="2">
        <f t="shared" ca="1" si="1292"/>
        <v>942531.92953265039</v>
      </c>
      <c r="BC1331" s="2">
        <f t="shared" ca="1" si="1293"/>
        <v>20935877.111023113</v>
      </c>
      <c r="BD1331" s="2">
        <f t="shared" ca="1" si="1294"/>
        <v>-18384132.767221041</v>
      </c>
      <c r="BE1331" s="2">
        <f t="shared" ca="1" si="1295"/>
        <v>1925769.7001046767</v>
      </c>
      <c r="BF1331" s="2">
        <f t="shared" ca="1" si="1296"/>
        <v>2042633.9652694413</v>
      </c>
      <c r="BG1331" s="2">
        <f t="shared" ca="1" si="1297"/>
        <v>2182135.8415850471</v>
      </c>
      <c r="BH1331" s="2">
        <f t="shared" ca="1" si="1298"/>
        <v>2326863.2604445643</v>
      </c>
      <c r="BI1331" s="2">
        <f t="shared" ca="1" si="1299"/>
        <v>23412889.074287634</v>
      </c>
      <c r="BJ1331" s="2">
        <f t="shared" ca="1" si="1300"/>
        <v>0.13830779888536915</v>
      </c>
      <c r="BK1331" s="2">
        <f t="shared" ca="1" si="1301"/>
        <v>1280746.6449916773</v>
      </c>
    </row>
    <row r="1332" spans="1:63" x14ac:dyDescent="0.3">
      <c r="A1332" s="2">
        <v>1331</v>
      </c>
      <c r="B1332" s="2">
        <f t="shared" ca="1" si="1240"/>
        <v>0.51953555924282757</v>
      </c>
      <c r="C1332" s="2">
        <f t="shared" ca="1" si="1241"/>
        <v>7.0197301996315788</v>
      </c>
      <c r="D1332" s="2">
        <f t="shared" ca="1" si="1242"/>
        <v>0.59560062499506328</v>
      </c>
      <c r="E1332" s="2">
        <f t="shared" ca="1" si="1243"/>
        <v>7.6006676087175142</v>
      </c>
      <c r="F1332" s="2">
        <f t="shared" ca="1" si="1244"/>
        <v>0.36191245809455586</v>
      </c>
      <c r="G1332" s="2">
        <f t="shared" ca="1" si="1245"/>
        <v>2.939945400908316E-2</v>
      </c>
      <c r="H1332" s="2">
        <f t="shared" ca="1" si="1246"/>
        <v>2.939945400908316E-2</v>
      </c>
      <c r="I1332" s="2">
        <f t="shared" ca="1" si="1247"/>
        <v>0.71840042236881041</v>
      </c>
      <c r="J1332" s="2">
        <f t="shared" ca="1" si="1248"/>
        <v>1.289048112729725E-2</v>
      </c>
      <c r="K1332" s="2">
        <f t="shared" ca="1" si="1249"/>
        <v>1.289048112729725E-2</v>
      </c>
      <c r="L1332" s="2">
        <f t="shared" ca="1" si="1250"/>
        <v>5.5987473362941853E-2</v>
      </c>
      <c r="M1332" s="2">
        <f t="shared" ca="1" si="1251"/>
        <v>-3.1787571672967502E-2</v>
      </c>
      <c r="N1332" s="2">
        <f t="shared" ca="1" si="1252"/>
        <v>-3.1787571672967502E-2</v>
      </c>
      <c r="O1332" s="2">
        <f t="shared" si="1253"/>
        <v>6000000</v>
      </c>
      <c r="P1332" s="2">
        <f t="shared" ca="1" si="1254"/>
        <v>42118381.197789475</v>
      </c>
      <c r="Q1332" s="2">
        <f t="shared" ca="1" si="1255"/>
        <v>1052959.529944737</v>
      </c>
      <c r="R1332" s="2">
        <f t="shared" ca="1" si="1256"/>
        <v>25271028.718673684</v>
      </c>
      <c r="S1332" s="2">
        <f t="shared" ca="1" si="1257"/>
        <v>16847352.479115792</v>
      </c>
      <c r="T1332" s="2">
        <f t="shared" ca="1" si="1258"/>
        <v>48410621.416351624</v>
      </c>
      <c r="U1332" s="2">
        <f t="shared" ca="1" si="1259"/>
        <v>49833867.254232787</v>
      </c>
      <c r="V1332" s="2">
        <f t="shared" ca="1" si="1260"/>
        <v>51298955.74266836</v>
      </c>
      <c r="W1332" s="2">
        <f t="shared" ca="1" si="1261"/>
        <v>52807117.032738931</v>
      </c>
      <c r="X1332" s="2">
        <f t="shared" ca="1" si="1262"/>
        <v>54359617.441295214</v>
      </c>
      <c r="Y1332" s="2">
        <f t="shared" ca="1" si="1263"/>
        <v>0.12644524056364861</v>
      </c>
      <c r="Z1332" s="2">
        <f t="shared" ca="1" si="1264"/>
        <v>0.12902333678910807</v>
      </c>
      <c r="AA1332" s="2">
        <f t="shared" ca="1" si="1265"/>
        <v>6121292.670826301</v>
      </c>
      <c r="AB1332" s="2">
        <f t="shared" ca="1" si="1266"/>
        <v>6429731.8382465811</v>
      </c>
      <c r="AC1332" s="2">
        <f t="shared" ca="1" si="1267"/>
        <v>6618762.4437158499</v>
      </c>
      <c r="AD1332" s="2">
        <f t="shared" ca="1" si="1268"/>
        <v>6813350.4457769208</v>
      </c>
      <c r="AE1332" s="2">
        <f t="shared" ca="1" si="1269"/>
        <v>7013659.2288553054</v>
      </c>
      <c r="AF1332" s="2">
        <f t="shared" ca="1" si="1270"/>
        <v>968212.42832703248</v>
      </c>
      <c r="AG1332" s="2">
        <f t="shared" ca="1" si="1271"/>
        <v>996677.3450846558</v>
      </c>
      <c r="AH1332" s="2">
        <f t="shared" ca="1" si="1272"/>
        <v>1025979.1148533672</v>
      </c>
      <c r="AI1332" s="2">
        <f t="shared" ca="1" si="1273"/>
        <v>1056142.3406547788</v>
      </c>
      <c r="AJ1332" s="2">
        <f t="shared" ca="1" si="1274"/>
        <v>1087192.3488259043</v>
      </c>
      <c r="AK1332" s="2">
        <f t="shared" ca="1" si="1275"/>
        <v>0</v>
      </c>
      <c r="AL1332" s="2">
        <f t="shared" ca="1" si="1276"/>
        <v>14232.458378811629</v>
      </c>
      <c r="AM1332" s="2">
        <f t="shared" ca="1" si="1277"/>
        <v>14650.884884355739</v>
      </c>
      <c r="AN1332" s="2">
        <f t="shared" ca="1" si="1278"/>
        <v>15081.61290070571</v>
      </c>
      <c r="AO1332" s="2">
        <f t="shared" ca="1" si="1279"/>
        <v>15525.004085562825</v>
      </c>
      <c r="AP1332" s="2">
        <f t="shared" ca="1" si="1280"/>
        <v>2274392.5846806313</v>
      </c>
      <c r="AQ1332" s="2">
        <f t="shared" ca="1" si="1281"/>
        <v>748458.79103284574</v>
      </c>
      <c r="AR1332" s="2">
        <f t="shared" ca="1" si="1282"/>
        <v>821252.09620513639</v>
      </c>
      <c r="AS1332" s="2">
        <f t="shared" ca="1" si="1283"/>
        <v>862781.59348728135</v>
      </c>
      <c r="AT1332" s="2">
        <f t="shared" ca="1" si="1284"/>
        <v>905532.03531479265</v>
      </c>
      <c r="AU1332" s="2">
        <f t="shared" ca="1" si="1285"/>
        <v>949539.31679068005</v>
      </c>
      <c r="AV1332" s="2">
        <f t="shared" ca="1" si="1286"/>
        <v>2130228.8667857912</v>
      </c>
      <c r="AW1332" s="2">
        <f t="shared" ca="1" si="1287"/>
        <v>2323177.3538973457</v>
      </c>
      <c r="AX1332" s="2">
        <f t="shared" ca="1" si="1288"/>
        <v>2440958.2658102144</v>
      </c>
      <c r="AY1332" s="2">
        <f t="shared" ca="1" si="1289"/>
        <v>2562201.8722260115</v>
      </c>
      <c r="AZ1332" s="2">
        <f t="shared" ca="1" si="1290"/>
        <v>2687009.974472526</v>
      </c>
      <c r="BA1332" s="2">
        <f t="shared" ca="1" si="1291"/>
        <v>53308492.519343175</v>
      </c>
      <c r="BB1332" s="2">
        <f t="shared" ca="1" si="1292"/>
        <v>1066169.8503868636</v>
      </c>
      <c r="BC1332" s="2">
        <f t="shared" ca="1" si="1293"/>
        <v>26971293.950282626</v>
      </c>
      <c r="BD1332" s="2">
        <f t="shared" ca="1" si="1294"/>
        <v>-18400312.009060528</v>
      </c>
      <c r="BE1332" s="2">
        <f t="shared" ca="1" si="1295"/>
        <v>2130228.8667857912</v>
      </c>
      <c r="BF1332" s="2">
        <f t="shared" ca="1" si="1296"/>
        <v>2323177.3538973457</v>
      </c>
      <c r="BG1332" s="2">
        <f t="shared" ca="1" si="1297"/>
        <v>2440958.2658102144</v>
      </c>
      <c r="BH1332" s="2">
        <f t="shared" ca="1" si="1298"/>
        <v>2562201.8722260115</v>
      </c>
      <c r="BI1332" s="2">
        <f t="shared" ca="1" si="1299"/>
        <v>29658303.924755152</v>
      </c>
      <c r="BJ1332" s="2">
        <f t="shared" ca="1" si="1300"/>
        <v>0.19288830217127706</v>
      </c>
      <c r="BK1332" s="2">
        <f t="shared" ca="1" si="1301"/>
        <v>5548370.4451951124</v>
      </c>
    </row>
    <row r="1333" spans="1:63" x14ac:dyDescent="0.3">
      <c r="A1333" s="2">
        <v>1332</v>
      </c>
      <c r="B1333" s="2">
        <f t="shared" ca="1" si="1240"/>
        <v>0.38211687601482003</v>
      </c>
      <c r="C1333" s="2">
        <f t="shared" ca="1" si="1241"/>
        <v>6.8742046396751961</v>
      </c>
      <c r="D1333" s="2">
        <f t="shared" ca="1" si="1242"/>
        <v>0.42216448156676034</v>
      </c>
      <c r="E1333" s="2">
        <f t="shared" ca="1" si="1243"/>
        <v>7.4188737471130191</v>
      </c>
      <c r="F1333" s="2">
        <f t="shared" ca="1" si="1244"/>
        <v>0.36833664748231598</v>
      </c>
      <c r="G1333" s="2">
        <f t="shared" ca="1" si="1245"/>
        <v>2.9912139689816701E-2</v>
      </c>
      <c r="H1333" s="2">
        <f t="shared" ca="1" si="1246"/>
        <v>2.9912139689816701E-2</v>
      </c>
      <c r="I1333" s="2">
        <f t="shared" ca="1" si="1247"/>
        <v>0.50238333275358371</v>
      </c>
      <c r="J1333" s="2">
        <f t="shared" ca="1" si="1248"/>
        <v>1.0029870824023814E-2</v>
      </c>
      <c r="K1333" s="2">
        <f t="shared" ca="1" si="1249"/>
        <v>1.0029870824023814E-2</v>
      </c>
      <c r="L1333" s="2">
        <f t="shared" ca="1" si="1250"/>
        <v>0.27527265636483234</v>
      </c>
      <c r="M1333" s="2">
        <f t="shared" ca="1" si="1251"/>
        <v>-1.1938863726333822E-2</v>
      </c>
      <c r="N1333" s="2">
        <f t="shared" ca="1" si="1252"/>
        <v>-1.1938863726333822E-2</v>
      </c>
      <c r="O1333" s="2">
        <f t="shared" si="1253"/>
        <v>6000000</v>
      </c>
      <c r="P1333" s="2">
        <f t="shared" ca="1" si="1254"/>
        <v>41245227.838051178</v>
      </c>
      <c r="Q1333" s="2">
        <f t="shared" ca="1" si="1255"/>
        <v>1031130.6959512795</v>
      </c>
      <c r="R1333" s="2">
        <f t="shared" ca="1" si="1256"/>
        <v>24747136.702830706</v>
      </c>
      <c r="S1333" s="2">
        <f t="shared" ca="1" si="1257"/>
        <v>16498091.135220472</v>
      </c>
      <c r="T1333" s="2">
        <f t="shared" ca="1" si="1258"/>
        <v>49403056.813683309</v>
      </c>
      <c r="U1333" s="2">
        <f t="shared" ca="1" si="1259"/>
        <v>50880807.950198159</v>
      </c>
      <c r="V1333" s="2">
        <f t="shared" ca="1" si="1260"/>
        <v>52402761.785135224</v>
      </c>
      <c r="W1333" s="2">
        <f t="shared" ca="1" si="1261"/>
        <v>53970240.515784383</v>
      </c>
      <c r="X1333" s="2">
        <f t="shared" ca="1" si="1262"/>
        <v>55584605.889185533</v>
      </c>
      <c r="Y1333" s="2">
        <f t="shared" ca="1" si="1263"/>
        <v>0.12501493541201189</v>
      </c>
      <c r="Z1333" s="2">
        <f t="shared" ca="1" si="1264"/>
        <v>0.12702090957681667</v>
      </c>
      <c r="AA1333" s="2">
        <f t="shared" ca="1" si="1265"/>
        <v>6176119.9567185724</v>
      </c>
      <c r="AB1333" s="2">
        <f t="shared" ca="1" si="1266"/>
        <v>6462926.5058374945</v>
      </c>
      <c r="AC1333" s="2">
        <f t="shared" ca="1" si="1267"/>
        <v>6656246.4662851254</v>
      </c>
      <c r="AD1333" s="2">
        <f t="shared" ca="1" si="1268"/>
        <v>6855349.0403944952</v>
      </c>
      <c r="AE1333" s="2">
        <f t="shared" ca="1" si="1269"/>
        <v>7060407.1985132266</v>
      </c>
      <c r="AF1333" s="2">
        <f t="shared" ca="1" si="1270"/>
        <v>988061.13627366617</v>
      </c>
      <c r="AG1333" s="2">
        <f t="shared" ca="1" si="1271"/>
        <v>1017616.1590039632</v>
      </c>
      <c r="AH1333" s="2">
        <f t="shared" ca="1" si="1272"/>
        <v>1048055.2357027045</v>
      </c>
      <c r="AI1333" s="2">
        <f t="shared" ca="1" si="1273"/>
        <v>1079404.8103156877</v>
      </c>
      <c r="AJ1333" s="2">
        <f t="shared" ca="1" si="1274"/>
        <v>1111692.1177837106</v>
      </c>
      <c r="AK1333" s="2">
        <f t="shared" ca="1" si="1275"/>
        <v>0</v>
      </c>
      <c r="AL1333" s="2">
        <f t="shared" ca="1" si="1276"/>
        <v>14777.511365148501</v>
      </c>
      <c r="AM1333" s="2">
        <f t="shared" ca="1" si="1277"/>
        <v>15219.538349370659</v>
      </c>
      <c r="AN1333" s="2">
        <f t="shared" ca="1" si="1278"/>
        <v>15674.787306491584</v>
      </c>
      <c r="AO1333" s="2">
        <f t="shared" ca="1" si="1279"/>
        <v>16143.653734011501</v>
      </c>
      <c r="AP1333" s="2">
        <f t="shared" ca="1" si="1280"/>
        <v>2227242.3032547636</v>
      </c>
      <c r="AQ1333" s="2">
        <f t="shared" ca="1" si="1281"/>
        <v>769812.2944694371</v>
      </c>
      <c r="AR1333" s="2">
        <f t="shared" ca="1" si="1282"/>
        <v>836697.69133047946</v>
      </c>
      <c r="AS1333" s="2">
        <f t="shared" ca="1" si="1283"/>
        <v>879046.72110519093</v>
      </c>
      <c r="AT1333" s="2">
        <f t="shared" ca="1" si="1284"/>
        <v>922662.50097425131</v>
      </c>
      <c r="AU1333" s="2">
        <f t="shared" ca="1" si="1285"/>
        <v>967582.92214343569</v>
      </c>
      <c r="AV1333" s="2">
        <f t="shared" ca="1" si="1286"/>
        <v>2191004.2227207059</v>
      </c>
      <c r="AW1333" s="2">
        <f t="shared" ca="1" si="1287"/>
        <v>2366592.8408831395</v>
      </c>
      <c r="AX1333" s="2">
        <f t="shared" ca="1" si="1288"/>
        <v>2486682.6678730957</v>
      </c>
      <c r="AY1333" s="2">
        <f t="shared" ca="1" si="1289"/>
        <v>2610364.6385433013</v>
      </c>
      <c r="AZ1333" s="2">
        <f t="shared" ca="1" si="1290"/>
        <v>2737746.201597305</v>
      </c>
      <c r="BA1333" s="2">
        <f t="shared" ca="1" si="1291"/>
        <v>52380269.608977556</v>
      </c>
      <c r="BB1333" s="2">
        <f t="shared" ca="1" si="1292"/>
        <v>1047605.3921795512</v>
      </c>
      <c r="BC1333" s="2">
        <f t="shared" ca="1" si="1293"/>
        <v>26585527.513967298</v>
      </c>
      <c r="BD1333" s="2">
        <f t="shared" ca="1" si="1294"/>
        <v>-18029221.831171751</v>
      </c>
      <c r="BE1333" s="2">
        <f t="shared" ca="1" si="1295"/>
        <v>2191004.2227207059</v>
      </c>
      <c r="BF1333" s="2">
        <f t="shared" ca="1" si="1296"/>
        <v>2366592.8408831395</v>
      </c>
      <c r="BG1333" s="2">
        <f t="shared" ca="1" si="1297"/>
        <v>2486682.6678730957</v>
      </c>
      <c r="BH1333" s="2">
        <f t="shared" ca="1" si="1298"/>
        <v>2610364.6385433013</v>
      </c>
      <c r="BI1333" s="2">
        <f t="shared" ca="1" si="1299"/>
        <v>29323273.715564601</v>
      </c>
      <c r="BJ1333" s="2">
        <f t="shared" ca="1" si="1300"/>
        <v>0.19873414787603449</v>
      </c>
      <c r="BK1333" s="2">
        <f t="shared" ca="1" si="1301"/>
        <v>5881383.7909163609</v>
      </c>
    </row>
    <row r="1334" spans="1:63" x14ac:dyDescent="0.3">
      <c r="A1334" s="2">
        <v>1333</v>
      </c>
      <c r="B1334" s="2">
        <f t="shared" ca="1" si="1240"/>
        <v>0.84924228905523802</v>
      </c>
      <c r="C1334" s="2">
        <f t="shared" ca="1" si="1241"/>
        <v>7.450895800517312</v>
      </c>
      <c r="D1334" s="2">
        <f t="shared" ca="1" si="1242"/>
        <v>0.36550799940448198</v>
      </c>
      <c r="E1334" s="2">
        <f t="shared" ca="1" si="1243"/>
        <v>7.354994736129389</v>
      </c>
      <c r="F1334" s="2">
        <f t="shared" ca="1" si="1244"/>
        <v>0.38459682777358428</v>
      </c>
      <c r="G1334" s="2">
        <f t="shared" ca="1" si="1245"/>
        <v>3.1197106206739551E-2</v>
      </c>
      <c r="H1334" s="2">
        <f t="shared" ca="1" si="1246"/>
        <v>3.1197106206739551E-2</v>
      </c>
      <c r="I1334" s="2">
        <f t="shared" ca="1" si="1247"/>
        <v>0.90403291675271003</v>
      </c>
      <c r="J1334" s="2">
        <f t="shared" ca="1" si="1248"/>
        <v>1.6524393334275463E-2</v>
      </c>
      <c r="K1334" s="2">
        <f t="shared" ca="1" si="1249"/>
        <v>1.6524393334275463E-2</v>
      </c>
      <c r="L1334" s="2">
        <f t="shared" ca="1" si="1250"/>
        <v>0.83040763815678964</v>
      </c>
      <c r="M1334" s="2">
        <f t="shared" ca="1" si="1251"/>
        <v>1.911554740469799E-2</v>
      </c>
      <c r="N1334" s="2">
        <f t="shared" ca="1" si="1252"/>
        <v>1.911554740469799E-2</v>
      </c>
      <c r="O1334" s="2">
        <f t="shared" si="1253"/>
        <v>6000000</v>
      </c>
      <c r="P1334" s="2">
        <f t="shared" ca="1" si="1254"/>
        <v>44705374.803103872</v>
      </c>
      <c r="Q1334" s="2">
        <f t="shared" ca="1" si="1255"/>
        <v>1117634.3700775967</v>
      </c>
      <c r="R1334" s="2">
        <f t="shared" ca="1" si="1256"/>
        <v>26823224.881862324</v>
      </c>
      <c r="S1334" s="2">
        <f t="shared" ca="1" si="1257"/>
        <v>17882149.921241548</v>
      </c>
      <c r="T1334" s="2">
        <f t="shared" ca="1" si="1258"/>
        <v>50955777.370234899</v>
      </c>
      <c r="U1334" s="2">
        <f t="shared" ca="1" si="1259"/>
        <v>52545450.16870109</v>
      </c>
      <c r="V1334" s="2">
        <f t="shared" ca="1" si="1260"/>
        <v>54184716.158294998</v>
      </c>
      <c r="W1334" s="2">
        <f t="shared" ca="1" si="1261"/>
        <v>55875122.503067367</v>
      </c>
      <c r="X1334" s="2">
        <f t="shared" ca="1" si="1262"/>
        <v>57618264.634110145</v>
      </c>
      <c r="Y1334" s="2">
        <f t="shared" ca="1" si="1263"/>
        <v>0.12826219666713773</v>
      </c>
      <c r="Z1334" s="2">
        <f t="shared" ca="1" si="1264"/>
        <v>0.13156707533399281</v>
      </c>
      <c r="AA1334" s="2">
        <f t="shared" ca="1" si="1265"/>
        <v>6535699.9383879546</v>
      </c>
      <c r="AB1334" s="2">
        <f t="shared" ca="1" si="1266"/>
        <v>6913251.2008040613</v>
      </c>
      <c r="AC1334" s="2">
        <f t="shared" ca="1" si="1267"/>
        <v>7128924.6327494159</v>
      </c>
      <c r="AD1334" s="2">
        <f t="shared" ca="1" si="1268"/>
        <v>7351326.4516571416</v>
      </c>
      <c r="AE1334" s="2">
        <f t="shared" ca="1" si="1269"/>
        <v>7580666.5637299037</v>
      </c>
      <c r="AF1334" s="2">
        <f t="shared" ca="1" si="1270"/>
        <v>1019115.547404698</v>
      </c>
      <c r="AG1334" s="2">
        <f t="shared" ca="1" si="1271"/>
        <v>1050909.0033740217</v>
      </c>
      <c r="AH1334" s="2">
        <f t="shared" ca="1" si="1272"/>
        <v>1083694.3231659001</v>
      </c>
      <c r="AI1334" s="2">
        <f t="shared" ca="1" si="1273"/>
        <v>1117502.4500613473</v>
      </c>
      <c r="AJ1334" s="2">
        <f t="shared" ca="1" si="1274"/>
        <v>1152365.292682203</v>
      </c>
      <c r="AK1334" s="2">
        <f t="shared" ca="1" si="1275"/>
        <v>0</v>
      </c>
      <c r="AL1334" s="2">
        <f t="shared" ca="1" si="1276"/>
        <v>15896.727984661908</v>
      </c>
      <c r="AM1334" s="2">
        <f t="shared" ca="1" si="1277"/>
        <v>16392.659895939083</v>
      </c>
      <c r="AN1334" s="2">
        <f t="shared" ca="1" si="1278"/>
        <v>16904.063447723685</v>
      </c>
      <c r="AO1334" s="2">
        <f t="shared" ca="1" si="1279"/>
        <v>17431.421310427784</v>
      </c>
      <c r="AP1334" s="2">
        <f t="shared" ca="1" si="1280"/>
        <v>2414090.2393676089</v>
      </c>
      <c r="AQ1334" s="2">
        <f t="shared" ca="1" si="1281"/>
        <v>806648.47942006844</v>
      </c>
      <c r="AR1334" s="2">
        <f t="shared" ca="1" si="1282"/>
        <v>896545.50909623201</v>
      </c>
      <c r="AS1334" s="2">
        <f t="shared" ca="1" si="1283"/>
        <v>944096.41825613589</v>
      </c>
      <c r="AT1334" s="2">
        <f t="shared" ca="1" si="1284"/>
        <v>993130.77817932819</v>
      </c>
      <c r="AU1334" s="2">
        <f t="shared" ca="1" si="1285"/>
        <v>1043694.8682368238</v>
      </c>
      <c r="AV1334" s="2">
        <f t="shared" ca="1" si="1286"/>
        <v>2295845.6721955789</v>
      </c>
      <c r="AW1334" s="2">
        <f t="shared" ca="1" si="1287"/>
        <v>2535809.7209815364</v>
      </c>
      <c r="AX1334" s="2">
        <f t="shared" ca="1" si="1288"/>
        <v>2670650.9920638325</v>
      </c>
      <c r="AY1334" s="2">
        <f t="shared" ca="1" si="1289"/>
        <v>2809698.9206011333</v>
      </c>
      <c r="AZ1334" s="2">
        <f t="shared" ca="1" si="1290"/>
        <v>2953084.7421328397</v>
      </c>
      <c r="BA1334" s="2">
        <f t="shared" ca="1" si="1291"/>
        <v>55755762.672585502</v>
      </c>
      <c r="BB1334" s="2">
        <f t="shared" ca="1" si="1292"/>
        <v>1115115.2534517101</v>
      </c>
      <c r="BC1334" s="2">
        <f t="shared" ca="1" si="1293"/>
        <v>27817422.53727147</v>
      </c>
      <c r="BD1334" s="2">
        <f t="shared" ca="1" si="1294"/>
        <v>-19499784.291319143</v>
      </c>
      <c r="BE1334" s="2">
        <f t="shared" ca="1" si="1295"/>
        <v>2295845.6721955789</v>
      </c>
      <c r="BF1334" s="2">
        <f t="shared" ca="1" si="1296"/>
        <v>2535809.7209815364</v>
      </c>
      <c r="BG1334" s="2">
        <f t="shared" ca="1" si="1297"/>
        <v>2670650.9920638325</v>
      </c>
      <c r="BH1334" s="2">
        <f t="shared" ca="1" si="1298"/>
        <v>2809698.9206011333</v>
      </c>
      <c r="BI1334" s="2">
        <f t="shared" ca="1" si="1299"/>
        <v>30770507.279404309</v>
      </c>
      <c r="BJ1334" s="2">
        <f t="shared" ca="1" si="1300"/>
        <v>0.191493427593598</v>
      </c>
      <c r="BK1334" s="2">
        <f t="shared" ca="1" si="1301"/>
        <v>5718153.1784887202</v>
      </c>
    </row>
    <row r="1335" spans="1:63" x14ac:dyDescent="0.3">
      <c r="A1335" s="2">
        <v>1334</v>
      </c>
      <c r="B1335" s="2">
        <f t="shared" ca="1" si="1240"/>
        <v>0.79893923420194179</v>
      </c>
      <c r="C1335" s="2">
        <f t="shared" ca="1" si="1241"/>
        <v>7.3658694680145764</v>
      </c>
      <c r="D1335" s="2">
        <f t="shared" ca="1" si="1242"/>
        <v>0.37176682629520752</v>
      </c>
      <c r="E1335" s="2">
        <f t="shared" ca="1" si="1243"/>
        <v>7.3622839744483342</v>
      </c>
      <c r="F1335" s="2">
        <f t="shared" ca="1" si="1244"/>
        <v>0.44357426995669058</v>
      </c>
      <c r="G1335" s="2">
        <f t="shared" ca="1" si="1245"/>
        <v>3.5742602942615713E-2</v>
      </c>
      <c r="H1335" s="2">
        <f t="shared" ca="1" si="1246"/>
        <v>3.5742602942615713E-2</v>
      </c>
      <c r="I1335" s="2">
        <f t="shared" ca="1" si="1247"/>
        <v>0.28896974745851234</v>
      </c>
      <c r="J1335" s="2">
        <f t="shared" ca="1" si="1248"/>
        <v>7.2180150411295029E-3</v>
      </c>
      <c r="K1335" s="2">
        <f t="shared" ca="1" si="1249"/>
        <v>7.2180150411295029E-3</v>
      </c>
      <c r="L1335" s="2">
        <f t="shared" ca="1" si="1250"/>
        <v>0.17037460333504173</v>
      </c>
      <c r="M1335" s="2">
        <f t="shared" ca="1" si="1251"/>
        <v>-1.9053719295219897E-2</v>
      </c>
      <c r="N1335" s="2">
        <f t="shared" ca="1" si="1252"/>
        <v>-1.9053719295219897E-2</v>
      </c>
      <c r="O1335" s="2">
        <f t="shared" si="1253"/>
        <v>6000000</v>
      </c>
      <c r="P1335" s="2">
        <f t="shared" ca="1" si="1254"/>
        <v>44195216.808087461</v>
      </c>
      <c r="Q1335" s="2">
        <f t="shared" ca="1" si="1255"/>
        <v>1104880.4202021866</v>
      </c>
      <c r="R1335" s="2">
        <f t="shared" ca="1" si="1256"/>
        <v>26517130.084852476</v>
      </c>
      <c r="S1335" s="2">
        <f t="shared" ca="1" si="1257"/>
        <v>17678086.723234985</v>
      </c>
      <c r="T1335" s="2">
        <f t="shared" ca="1" si="1258"/>
        <v>49047314.035239004</v>
      </c>
      <c r="U1335" s="2">
        <f t="shared" ca="1" si="1259"/>
        <v>50800392.706202336</v>
      </c>
      <c r="V1335" s="2">
        <f t="shared" ca="1" si="1260"/>
        <v>52616130.972029082</v>
      </c>
      <c r="W1335" s="2">
        <f t="shared" ca="1" si="1261"/>
        <v>54496768.449738987</v>
      </c>
      <c r="X1335" s="2">
        <f t="shared" ca="1" si="1262"/>
        <v>56444624.806093678</v>
      </c>
      <c r="Y1335" s="2">
        <f t="shared" ca="1" si="1263"/>
        <v>0.12360900752056475</v>
      </c>
      <c r="Z1335" s="2">
        <f t="shared" ca="1" si="1264"/>
        <v>0.12505261052879066</v>
      </c>
      <c r="AA1335" s="2">
        <f t="shared" ca="1" si="1265"/>
        <v>6062689.8094453588</v>
      </c>
      <c r="AB1335" s="2">
        <f t="shared" ca="1" si="1266"/>
        <v>6352721.7237983383</v>
      </c>
      <c r="AC1335" s="2">
        <f t="shared" ca="1" si="1267"/>
        <v>6579784.5339769926</v>
      </c>
      <c r="AD1335" s="2">
        <f t="shared" ca="1" si="1268"/>
        <v>6814963.1600228958</v>
      </c>
      <c r="AE1335" s="2">
        <f t="shared" ca="1" si="1269"/>
        <v>7058547.6823201487</v>
      </c>
      <c r="AF1335" s="2">
        <f t="shared" ca="1" si="1270"/>
        <v>980946.28070478013</v>
      </c>
      <c r="AG1335" s="2">
        <f t="shared" ca="1" si="1271"/>
        <v>1016007.8541240467</v>
      </c>
      <c r="AH1335" s="2">
        <f t="shared" ca="1" si="1272"/>
        <v>1052322.6194405816</v>
      </c>
      <c r="AI1335" s="2">
        <f t="shared" ca="1" si="1273"/>
        <v>1089935.3689947797</v>
      </c>
      <c r="AJ1335" s="2">
        <f t="shared" ca="1" si="1274"/>
        <v>1128892.4961218736</v>
      </c>
      <c r="AK1335" s="2">
        <f t="shared" ca="1" si="1275"/>
        <v>0</v>
      </c>
      <c r="AL1335" s="2">
        <f t="shared" ca="1" si="1276"/>
        <v>17530.786709633321</v>
      </c>
      <c r="AM1335" s="2">
        <f t="shared" ca="1" si="1277"/>
        <v>18157.38265826747</v>
      </c>
      <c r="AN1335" s="2">
        <f t="shared" ca="1" si="1278"/>
        <v>18806.374777099045</v>
      </c>
      <c r="AO1335" s="2">
        <f t="shared" ca="1" si="1279"/>
        <v>19478.563563546912</v>
      </c>
      <c r="AP1335" s="2">
        <f t="shared" ca="1" si="1280"/>
        <v>2386541.7076367228</v>
      </c>
      <c r="AQ1335" s="2">
        <f t="shared" ca="1" si="1281"/>
        <v>700752.47348700243</v>
      </c>
      <c r="AR1335" s="2">
        <f t="shared" ca="1" si="1282"/>
        <v>767044.76212976791</v>
      </c>
      <c r="AS1335" s="2">
        <f t="shared" ca="1" si="1283"/>
        <v>816639.25379391899</v>
      </c>
      <c r="AT1335" s="2">
        <f t="shared" ca="1" si="1284"/>
        <v>868006.38168176217</v>
      </c>
      <c r="AU1335" s="2">
        <f t="shared" ca="1" si="1285"/>
        <v>921209.50442600378</v>
      </c>
      <c r="AV1335" s="2">
        <f t="shared" ca="1" si="1286"/>
        <v>1994449.3476168527</v>
      </c>
      <c r="AW1335" s="2">
        <f t="shared" ca="1" si="1287"/>
        <v>2165596.6131981672</v>
      </c>
      <c r="AX1335" s="2">
        <f t="shared" ca="1" si="1288"/>
        <v>2306123.5704475013</v>
      </c>
      <c r="AY1335" s="2">
        <f t="shared" ca="1" si="1289"/>
        <v>2451673.3269325313</v>
      </c>
      <c r="AZ1335" s="2">
        <f t="shared" ca="1" si="1290"/>
        <v>2602425.4105720022</v>
      </c>
      <c r="BA1335" s="2">
        <f t="shared" ca="1" si="1291"/>
        <v>51967032.48442506</v>
      </c>
      <c r="BB1335" s="2">
        <f t="shared" ca="1" si="1292"/>
        <v>1039340.6496885013</v>
      </c>
      <c r="BC1335" s="2">
        <f t="shared" ca="1" si="1293"/>
        <v>24410561.749884084</v>
      </c>
      <c r="BD1335" s="2">
        <f t="shared" ca="1" si="1294"/>
        <v>-19282967.143437173</v>
      </c>
      <c r="BE1335" s="2">
        <f t="shared" ca="1" si="1295"/>
        <v>1994449.3476168527</v>
      </c>
      <c r="BF1335" s="2">
        <f t="shared" ca="1" si="1296"/>
        <v>2165596.6131981672</v>
      </c>
      <c r="BG1335" s="2">
        <f t="shared" ca="1" si="1297"/>
        <v>2306123.5704475013</v>
      </c>
      <c r="BH1335" s="2">
        <f t="shared" ca="1" si="1298"/>
        <v>2451673.3269325313</v>
      </c>
      <c r="BI1335" s="2">
        <f t="shared" ca="1" si="1299"/>
        <v>27012987.160456087</v>
      </c>
      <c r="BJ1335" s="2">
        <f t="shared" ca="1" si="1300"/>
        <v>0.15619971687740519</v>
      </c>
      <c r="BK1335" s="2">
        <f t="shared" ca="1" si="1301"/>
        <v>2751621.8600306027</v>
      </c>
    </row>
    <row r="1336" spans="1:63" x14ac:dyDescent="0.3">
      <c r="A1336" s="2">
        <v>1335</v>
      </c>
      <c r="B1336" s="2">
        <f t="shared" ca="1" si="1240"/>
        <v>0.18824197842755241</v>
      </c>
      <c r="C1336" s="2">
        <f t="shared" ca="1" si="1241"/>
        <v>6.6135828850734875</v>
      </c>
      <c r="D1336" s="2">
        <f t="shared" ca="1" si="1242"/>
        <v>0.21239297183480665</v>
      </c>
      <c r="E1336" s="2">
        <f t="shared" ca="1" si="1243"/>
        <v>7.1517560461319967</v>
      </c>
      <c r="F1336" s="2">
        <f t="shared" ca="1" si="1244"/>
        <v>0.38631318516590529</v>
      </c>
      <c r="G1336" s="2">
        <f t="shared" ca="1" si="1245"/>
        <v>3.1331763829680143E-2</v>
      </c>
      <c r="H1336" s="2">
        <f t="shared" ca="1" si="1246"/>
        <v>3.1331763829680143E-2</v>
      </c>
      <c r="I1336" s="2">
        <f t="shared" ca="1" si="1247"/>
        <v>0.87833400398154182</v>
      </c>
      <c r="J1336" s="2">
        <f t="shared" ca="1" si="1248"/>
        <v>1.5833494440279171E-2</v>
      </c>
      <c r="K1336" s="2">
        <f t="shared" ca="1" si="1249"/>
        <v>1.5833494440279171E-2</v>
      </c>
      <c r="L1336" s="2">
        <f t="shared" ca="1" si="1250"/>
        <v>0.10538068044234283</v>
      </c>
      <c r="M1336" s="2">
        <f t="shared" ca="1" si="1251"/>
        <v>-2.5029492773780141E-2</v>
      </c>
      <c r="N1336" s="2">
        <f t="shared" ca="1" si="1252"/>
        <v>-2.5029492773780141E-2</v>
      </c>
      <c r="O1336" s="2">
        <f t="shared" si="1253"/>
        <v>6000000</v>
      </c>
      <c r="P1336" s="2">
        <f t="shared" ca="1" si="1254"/>
        <v>39681497.310440928</v>
      </c>
      <c r="Q1336" s="2">
        <f t="shared" ca="1" si="1255"/>
        <v>992037.43276102329</v>
      </c>
      <c r="R1336" s="2">
        <f t="shared" ca="1" si="1256"/>
        <v>23808898.386264555</v>
      </c>
      <c r="S1336" s="2">
        <f t="shared" ca="1" si="1257"/>
        <v>15872598.924176373</v>
      </c>
      <c r="T1336" s="2">
        <f t="shared" ca="1" si="1258"/>
        <v>48748525.361310989</v>
      </c>
      <c r="U1336" s="2">
        <f t="shared" ca="1" si="1259"/>
        <v>50275902.644976757</v>
      </c>
      <c r="V1336" s="2">
        <f t="shared" ca="1" si="1260"/>
        <v>51851135.352973163</v>
      </c>
      <c r="W1336" s="2">
        <f t="shared" ca="1" si="1261"/>
        <v>53475722.880153298</v>
      </c>
      <c r="X1336" s="2">
        <f t="shared" ca="1" si="1262"/>
        <v>55151211.600055687</v>
      </c>
      <c r="Y1336" s="2">
        <f t="shared" ca="1" si="1263"/>
        <v>0.12791674722013957</v>
      </c>
      <c r="Z1336" s="2">
        <f t="shared" ca="1" si="1264"/>
        <v>0.13108344610819542</v>
      </c>
      <c r="AA1336" s="2">
        <f t="shared" ca="1" si="1265"/>
        <v>6235752.7959973812</v>
      </c>
      <c r="AB1336" s="2">
        <f t="shared" ca="1" si="1266"/>
        <v>6590338.5749036903</v>
      </c>
      <c r="AC1336" s="2">
        <f t="shared" ca="1" si="1267"/>
        <v>6796825.5066902041</v>
      </c>
      <c r="AD1336" s="2">
        <f t="shared" ca="1" si="1268"/>
        <v>7009782.0382573679</v>
      </c>
      <c r="AE1336" s="2">
        <f t="shared" ca="1" si="1269"/>
        <v>7229410.8735775817</v>
      </c>
      <c r="AF1336" s="2">
        <f t="shared" ca="1" si="1270"/>
        <v>974970.50722621975</v>
      </c>
      <c r="AG1336" s="2">
        <f t="shared" ca="1" si="1271"/>
        <v>1005518.0528995352</v>
      </c>
      <c r="AH1336" s="2">
        <f t="shared" ca="1" si="1272"/>
        <v>1037022.7070594633</v>
      </c>
      <c r="AI1336" s="2">
        <f t="shared" ca="1" si="1273"/>
        <v>1069514.457603066</v>
      </c>
      <c r="AJ1336" s="2">
        <f t="shared" ca="1" si="1274"/>
        <v>1103024.2320011137</v>
      </c>
      <c r="AK1336" s="2">
        <f t="shared" ca="1" si="1275"/>
        <v>0</v>
      </c>
      <c r="AL1336" s="2">
        <f t="shared" ca="1" si="1276"/>
        <v>15273.772836657688</v>
      </c>
      <c r="AM1336" s="2">
        <f t="shared" ca="1" si="1277"/>
        <v>15752.327079964058</v>
      </c>
      <c r="AN1336" s="2">
        <f t="shared" ca="1" si="1278"/>
        <v>16245.875271801353</v>
      </c>
      <c r="AO1336" s="2">
        <f t="shared" ca="1" si="1279"/>
        <v>16754.887199023888</v>
      </c>
      <c r="AP1336" s="2">
        <f t="shared" ca="1" si="1280"/>
        <v>2142800.8547638101</v>
      </c>
      <c r="AQ1336" s="2">
        <f t="shared" ca="1" si="1281"/>
        <v>810675.17284191144</v>
      </c>
      <c r="AR1336" s="2">
        <f t="shared" ca="1" si="1282"/>
        <v>894925.11348248983</v>
      </c>
      <c r="AS1336" s="2">
        <f t="shared" ca="1" si="1283"/>
        <v>940420.50566540204</v>
      </c>
      <c r="AT1336" s="2">
        <f t="shared" ca="1" si="1284"/>
        <v>987341.3487315278</v>
      </c>
      <c r="AU1336" s="2">
        <f t="shared" ca="1" si="1285"/>
        <v>1035732.3045712911</v>
      </c>
      <c r="AV1336" s="2">
        <f t="shared" ca="1" si="1286"/>
        <v>2307306.2611654405</v>
      </c>
      <c r="AW1336" s="2">
        <f t="shared" ca="1" si="1287"/>
        <v>2531820.780921198</v>
      </c>
      <c r="AX1336" s="2">
        <f t="shared" ca="1" si="1288"/>
        <v>2660829.1121215648</v>
      </c>
      <c r="AY1336" s="2">
        <f t="shared" ca="1" si="1289"/>
        <v>2793879.5018871627</v>
      </c>
      <c r="AZ1336" s="2">
        <f t="shared" ca="1" si="1290"/>
        <v>2931098.5950423428</v>
      </c>
      <c r="BA1336" s="2">
        <f t="shared" ca="1" si="1291"/>
        <v>51702982.925080873</v>
      </c>
      <c r="BB1336" s="2">
        <f t="shared" ca="1" si="1292"/>
        <v>1034059.6585016175</v>
      </c>
      <c r="BC1336" s="2">
        <f t="shared" ca="1" si="1293"/>
        <v>26860024.8803147</v>
      </c>
      <c r="BD1336" s="2">
        <f t="shared" ca="1" si="1294"/>
        <v>-17364636.356937397</v>
      </c>
      <c r="BE1336" s="2">
        <f t="shared" ca="1" si="1295"/>
        <v>2307306.2611654405</v>
      </c>
      <c r="BF1336" s="2">
        <f t="shared" ca="1" si="1296"/>
        <v>2531820.780921198</v>
      </c>
      <c r="BG1336" s="2">
        <f t="shared" ca="1" si="1297"/>
        <v>2660829.1121215648</v>
      </c>
      <c r="BH1336" s="2">
        <f t="shared" ca="1" si="1298"/>
        <v>2793879.5018871627</v>
      </c>
      <c r="BI1336" s="2">
        <f t="shared" ca="1" si="1299"/>
        <v>29791123.475357044</v>
      </c>
      <c r="BJ1336" s="2">
        <f t="shared" ca="1" si="1300"/>
        <v>0.21959546868751922</v>
      </c>
      <c r="BK1336" s="2">
        <f t="shared" ca="1" si="1301"/>
        <v>7287580.6038053893</v>
      </c>
    </row>
    <row r="1337" spans="1:63" x14ac:dyDescent="0.3">
      <c r="A1337" s="2">
        <v>1336</v>
      </c>
      <c r="B1337" s="2">
        <f t="shared" ca="1" si="1240"/>
        <v>0.37379445285608415</v>
      </c>
      <c r="C1337" s="2">
        <f t="shared" ca="1" si="1241"/>
        <v>6.8646322372616977</v>
      </c>
      <c r="D1337" s="2">
        <f t="shared" ca="1" si="1242"/>
        <v>0.76677708749730578</v>
      </c>
      <c r="E1337" s="2">
        <f t="shared" ca="1" si="1243"/>
        <v>7.8170316076088229</v>
      </c>
      <c r="F1337" s="2">
        <f t="shared" ca="1" si="1244"/>
        <v>0.65795832152775646</v>
      </c>
      <c r="G1337" s="2">
        <f t="shared" ca="1" si="1245"/>
        <v>5.2206921538971204E-2</v>
      </c>
      <c r="H1337" s="2">
        <f t="shared" ca="1" si="1246"/>
        <v>5.2206921538971204E-2</v>
      </c>
      <c r="I1337" s="2">
        <f t="shared" ca="1" si="1247"/>
        <v>0.36346275553264351</v>
      </c>
      <c r="J1337" s="2">
        <f t="shared" ca="1" si="1248"/>
        <v>8.2539090492193476E-3</v>
      </c>
      <c r="K1337" s="2">
        <f t="shared" ca="1" si="1249"/>
        <v>8.2539090492193476E-3</v>
      </c>
      <c r="L1337" s="2">
        <f t="shared" ca="1" si="1250"/>
        <v>4.0604529086288532E-2</v>
      </c>
      <c r="M1337" s="2">
        <f t="shared" ca="1" si="1251"/>
        <v>-3.4874270226315972E-2</v>
      </c>
      <c r="N1337" s="2">
        <f t="shared" ca="1" si="1252"/>
        <v>-3.4874270226315972E-2</v>
      </c>
      <c r="O1337" s="2">
        <f t="shared" si="1253"/>
        <v>6000000</v>
      </c>
      <c r="P1337" s="2">
        <f t="shared" ca="1" si="1254"/>
        <v>41187793.423570186</v>
      </c>
      <c r="Q1337" s="2">
        <f t="shared" ca="1" si="1255"/>
        <v>1029694.8355892547</v>
      </c>
      <c r="R1337" s="2">
        <f t="shared" ca="1" si="1256"/>
        <v>24712676.05414211</v>
      </c>
      <c r="S1337" s="2">
        <f t="shared" ca="1" si="1257"/>
        <v>16475117.369428076</v>
      </c>
      <c r="T1337" s="2">
        <f t="shared" ca="1" si="1258"/>
        <v>48256286.4886842</v>
      </c>
      <c r="U1337" s="2">
        <f t="shared" ca="1" si="1259"/>
        <v>50775598.651161045</v>
      </c>
      <c r="V1337" s="2">
        <f t="shared" ca="1" si="1260"/>
        <v>53426436.346036494</v>
      </c>
      <c r="W1337" s="2">
        <f t="shared" ca="1" si="1261"/>
        <v>56215666.116460852</v>
      </c>
      <c r="X1337" s="2">
        <f t="shared" ca="1" si="1262"/>
        <v>59150512.986663923</v>
      </c>
      <c r="Y1337" s="2">
        <f t="shared" ca="1" si="1263"/>
        <v>0.12412695452460967</v>
      </c>
      <c r="Z1337" s="2">
        <f t="shared" ca="1" si="1264"/>
        <v>0.12577773633445355</v>
      </c>
      <c r="AA1337" s="2">
        <f t="shared" ca="1" si="1265"/>
        <v>5989905.87850744</v>
      </c>
      <c r="AB1337" s="2">
        <f t="shared" ca="1" si="1266"/>
        <v>6386439.8593697688</v>
      </c>
      <c r="AC1337" s="2">
        <f t="shared" ca="1" si="1267"/>
        <v>6719856.2240212439</v>
      </c>
      <c r="AD1337" s="2">
        <f t="shared" ca="1" si="1268"/>
        <v>7070679.2306618877</v>
      </c>
      <c r="AE1337" s="2">
        <f t="shared" ca="1" si="1269"/>
        <v>7439817.6264842851</v>
      </c>
      <c r="AF1337" s="2">
        <f t="shared" ca="1" si="1270"/>
        <v>965125.72977368406</v>
      </c>
      <c r="AG1337" s="2">
        <f t="shared" ca="1" si="1271"/>
        <v>1015511.9730232209</v>
      </c>
      <c r="AH1337" s="2">
        <f t="shared" ca="1" si="1272"/>
        <v>1068528.72692073</v>
      </c>
      <c r="AI1337" s="2">
        <f t="shared" ca="1" si="1273"/>
        <v>1124313.3223292171</v>
      </c>
      <c r="AJ1337" s="2">
        <f t="shared" ca="1" si="1274"/>
        <v>1183010.2597332785</v>
      </c>
      <c r="AK1337" s="2">
        <f t="shared" ca="1" si="1275"/>
        <v>0</v>
      </c>
      <c r="AL1337" s="2">
        <f t="shared" ca="1" si="1276"/>
        <v>25193.12162476845</v>
      </c>
      <c r="AM1337" s="2">
        <f t="shared" ca="1" si="1277"/>
        <v>26508.376948754489</v>
      </c>
      <c r="AN1337" s="2">
        <f t="shared" ca="1" si="1278"/>
        <v>27892.297704243585</v>
      </c>
      <c r="AO1337" s="2">
        <f t="shared" ca="1" si="1279"/>
        <v>29348.468702030703</v>
      </c>
      <c r="AP1337" s="2">
        <f t="shared" ca="1" si="1280"/>
        <v>2224140.8448727899</v>
      </c>
      <c r="AQ1337" s="2">
        <f t="shared" ca="1" si="1281"/>
        <v>728166.21900385106</v>
      </c>
      <c r="AR1337" s="2">
        <f t="shared" ca="1" si="1282"/>
        <v>818164.6307831771</v>
      </c>
      <c r="AS1337" s="2">
        <f t="shared" ca="1" si="1283"/>
        <v>891068.52957920812</v>
      </c>
      <c r="AT1337" s="2">
        <f t="shared" ca="1" si="1284"/>
        <v>967778.51649956882</v>
      </c>
      <c r="AU1337" s="2">
        <f t="shared" ca="1" si="1285"/>
        <v>1048493.2956883365</v>
      </c>
      <c r="AV1337" s="2">
        <f t="shared" ca="1" si="1286"/>
        <v>2072473.0848571151</v>
      </c>
      <c r="AW1337" s="2">
        <f t="shared" ca="1" si="1287"/>
        <v>2303429.2890658122</v>
      </c>
      <c r="AX1337" s="2">
        <f t="shared" ca="1" si="1288"/>
        <v>2509609.745699761</v>
      </c>
      <c r="AY1337" s="2">
        <f t="shared" ca="1" si="1289"/>
        <v>2726554.2492560674</v>
      </c>
      <c r="AZ1337" s="2">
        <f t="shared" ca="1" si="1290"/>
        <v>2954824.7574878498</v>
      </c>
      <c r="BA1337" s="2">
        <f t="shared" ca="1" si="1291"/>
        <v>58157289.541072905</v>
      </c>
      <c r="BB1337" s="2">
        <f t="shared" ca="1" si="1292"/>
        <v>1163145.7908214582</v>
      </c>
      <c r="BC1337" s="2">
        <f t="shared" ca="1" si="1293"/>
        <v>32281467.696109336</v>
      </c>
      <c r="BD1337" s="2">
        <f t="shared" ca="1" si="1294"/>
        <v>-18004812.205017332</v>
      </c>
      <c r="BE1337" s="2">
        <f t="shared" ca="1" si="1295"/>
        <v>2072473.0848571151</v>
      </c>
      <c r="BF1337" s="2">
        <f t="shared" ca="1" si="1296"/>
        <v>2303429.2890658122</v>
      </c>
      <c r="BG1337" s="2">
        <f t="shared" ca="1" si="1297"/>
        <v>2509609.745699761</v>
      </c>
      <c r="BH1337" s="2">
        <f t="shared" ca="1" si="1298"/>
        <v>2726554.2492560674</v>
      </c>
      <c r="BI1337" s="2">
        <f t="shared" ca="1" si="1299"/>
        <v>35236292.453597188</v>
      </c>
      <c r="BJ1337" s="2">
        <f t="shared" ca="1" si="1300"/>
        <v>0.23421689232823284</v>
      </c>
      <c r="BK1337" s="2">
        <f t="shared" ca="1" si="1301"/>
        <v>9194973.7167800106</v>
      </c>
    </row>
    <row r="1338" spans="1:63" x14ac:dyDescent="0.3">
      <c r="A1338" s="2">
        <v>1337</v>
      </c>
      <c r="B1338" s="2">
        <f t="shared" ca="1" si="1240"/>
        <v>0.54672468651078465</v>
      </c>
      <c r="C1338" s="2">
        <f t="shared" ca="1" si="1241"/>
        <v>7.0478704778348531</v>
      </c>
      <c r="D1338" s="2">
        <f t="shared" ca="1" si="1242"/>
        <v>0.67580646485721052</v>
      </c>
      <c r="E1338" s="2">
        <f t="shared" ca="1" si="1243"/>
        <v>7.6947751430279991</v>
      </c>
      <c r="F1338" s="2">
        <f t="shared" ca="1" si="1244"/>
        <v>0.35415070938135085</v>
      </c>
      <c r="G1338" s="2">
        <f t="shared" ca="1" si="1245"/>
        <v>2.8775850740522815E-2</v>
      </c>
      <c r="H1338" s="2">
        <f t="shared" ca="1" si="1246"/>
        <v>2.8775850740522815E-2</v>
      </c>
      <c r="I1338" s="2">
        <f t="shared" ca="1" si="1247"/>
        <v>7.4022303389494892E-3</v>
      </c>
      <c r="J1338" s="2">
        <f t="shared" ca="1" si="1248"/>
        <v>-2.1856372197331195E-3</v>
      </c>
      <c r="K1338" s="2">
        <f t="shared" ca="1" si="1249"/>
        <v>0</v>
      </c>
      <c r="L1338" s="2">
        <f t="shared" ca="1" si="1250"/>
        <v>0.66061087259642248</v>
      </c>
      <c r="M1338" s="2">
        <f t="shared" ca="1" si="1251"/>
        <v>8.282617707799457E-3</v>
      </c>
      <c r="N1338" s="2">
        <f t="shared" ca="1" si="1252"/>
        <v>8.282617707799457E-3</v>
      </c>
      <c r="O1338" s="2">
        <f t="shared" si="1253"/>
        <v>6000000</v>
      </c>
      <c r="P1338" s="2">
        <f t="shared" ca="1" si="1254"/>
        <v>42287222.867009118</v>
      </c>
      <c r="Q1338" s="2">
        <f t="shared" ca="1" si="1255"/>
        <v>1057180.571675228</v>
      </c>
      <c r="R1338" s="2">
        <f t="shared" ca="1" si="1256"/>
        <v>25372333.720205471</v>
      </c>
      <c r="S1338" s="2">
        <f t="shared" ca="1" si="1257"/>
        <v>16914889.146803647</v>
      </c>
      <c r="T1338" s="2">
        <f t="shared" ca="1" si="1258"/>
        <v>50414130.885389976</v>
      </c>
      <c r="U1338" s="2">
        <f t="shared" ca="1" si="1259"/>
        <v>51864840.390961148</v>
      </c>
      <c r="V1338" s="2">
        <f t="shared" ca="1" si="1260"/>
        <v>53357295.296732493</v>
      </c>
      <c r="W1338" s="2">
        <f t="shared" ca="1" si="1261"/>
        <v>54892696.862109274</v>
      </c>
      <c r="X1338" s="2">
        <f t="shared" ca="1" si="1262"/>
        <v>56472280.913758099</v>
      </c>
      <c r="Y1338" s="2">
        <f t="shared" ca="1" si="1263"/>
        <v>0.12</v>
      </c>
      <c r="Z1338" s="2">
        <f t="shared" ca="1" si="1264"/>
        <v>0.12</v>
      </c>
      <c r="AA1338" s="2">
        <f t="shared" ca="1" si="1265"/>
        <v>6049695.706246797</v>
      </c>
      <c r="AB1338" s="2">
        <f t="shared" ca="1" si="1266"/>
        <v>6223780.8469153373</v>
      </c>
      <c r="AC1338" s="2">
        <f t="shared" ca="1" si="1267"/>
        <v>6402875.435607899</v>
      </c>
      <c r="AD1338" s="2">
        <f t="shared" ca="1" si="1268"/>
        <v>6587123.6234531123</v>
      </c>
      <c r="AE1338" s="2">
        <f t="shared" ca="1" si="1269"/>
        <v>6776673.7096509719</v>
      </c>
      <c r="AF1338" s="2">
        <f t="shared" ca="1" si="1270"/>
        <v>1008282.6177077995</v>
      </c>
      <c r="AG1338" s="2">
        <f t="shared" ca="1" si="1271"/>
        <v>1037296.807819223</v>
      </c>
      <c r="AH1338" s="2">
        <f t="shared" ca="1" si="1272"/>
        <v>1067145.90593465</v>
      </c>
      <c r="AI1338" s="2">
        <f t="shared" ca="1" si="1273"/>
        <v>1097853.9372421855</v>
      </c>
      <c r="AJ1338" s="2">
        <f t="shared" ca="1" si="1274"/>
        <v>1129445.6182751621</v>
      </c>
      <c r="AK1338" s="2">
        <f t="shared" ca="1" si="1275"/>
        <v>0</v>
      </c>
      <c r="AL1338" s="2">
        <f t="shared" ca="1" si="1276"/>
        <v>14507.095055711718</v>
      </c>
      <c r="AM1338" s="2">
        <f t="shared" ca="1" si="1277"/>
        <v>14924.54905771345</v>
      </c>
      <c r="AN1338" s="2">
        <f t="shared" ca="1" si="1278"/>
        <v>15354.01565376781</v>
      </c>
      <c r="AO1338" s="2">
        <f t="shared" ca="1" si="1279"/>
        <v>15795.840516488255</v>
      </c>
      <c r="AP1338" s="2">
        <f t="shared" ca="1" si="1280"/>
        <v>2283510.0348184924</v>
      </c>
      <c r="AQ1338" s="2">
        <f t="shared" ca="1" si="1281"/>
        <v>717054.79396733141</v>
      </c>
      <c r="AR1338" s="2">
        <f t="shared" ca="1" si="1282"/>
        <v>754773.24111218168</v>
      </c>
      <c r="AS1338" s="2">
        <f t="shared" ca="1" si="1283"/>
        <v>793577.06866223668</v>
      </c>
      <c r="AT1338" s="2">
        <f t="shared" ca="1" si="1284"/>
        <v>833497.50936203299</v>
      </c>
      <c r="AU1338" s="2">
        <f t="shared" ca="1" si="1285"/>
        <v>874566.69470490259</v>
      </c>
      <c r="AV1338" s="2">
        <f t="shared" ca="1" si="1286"/>
        <v>2040848.2597531737</v>
      </c>
      <c r="AW1338" s="2">
        <f t="shared" ca="1" si="1287"/>
        <v>2133693.6681097285</v>
      </c>
      <c r="AX1338" s="2">
        <f t="shared" ca="1" si="1288"/>
        <v>2243717.877134806</v>
      </c>
      <c r="AY1338" s="2">
        <f t="shared" ca="1" si="1289"/>
        <v>2356908.126376634</v>
      </c>
      <c r="AZ1338" s="2">
        <f t="shared" ca="1" si="1290"/>
        <v>2473355.5213359273</v>
      </c>
      <c r="BA1338" s="2">
        <f t="shared" ca="1" si="1291"/>
        <v>52144980.413433641</v>
      </c>
      <c r="BB1338" s="2">
        <f t="shared" ca="1" si="1292"/>
        <v>1042899.6082686728</v>
      </c>
      <c r="BC1338" s="2">
        <f t="shared" ca="1" si="1293"/>
        <v>25729747.084959496</v>
      </c>
      <c r="BD1338" s="2">
        <f t="shared" ca="1" si="1294"/>
        <v>-18472069.718478873</v>
      </c>
      <c r="BE1338" s="2">
        <f t="shared" ca="1" si="1295"/>
        <v>2040848.2597531737</v>
      </c>
      <c r="BF1338" s="2">
        <f t="shared" ca="1" si="1296"/>
        <v>2133693.6681097285</v>
      </c>
      <c r="BG1338" s="2">
        <f t="shared" ca="1" si="1297"/>
        <v>2243717.877134806</v>
      </c>
      <c r="BH1338" s="2">
        <f t="shared" ca="1" si="1298"/>
        <v>2356908.126376634</v>
      </c>
      <c r="BI1338" s="2">
        <f t="shared" ca="1" si="1299"/>
        <v>28203102.606295422</v>
      </c>
      <c r="BJ1338" s="2">
        <f t="shared" ca="1" si="1300"/>
        <v>0.17534023182207692</v>
      </c>
      <c r="BK1338" s="2">
        <f t="shared" ca="1" si="1301"/>
        <v>4149173.3799770102</v>
      </c>
    </row>
    <row r="1339" spans="1:63" x14ac:dyDescent="0.3">
      <c r="A1339" s="2">
        <v>1338</v>
      </c>
      <c r="B1339" s="2">
        <f t="shared" ca="1" si="1240"/>
        <v>0.66918901439924305</v>
      </c>
      <c r="C1339" s="2">
        <f t="shared" ca="1" si="1241"/>
        <v>7.1865985178268277</v>
      </c>
      <c r="D1339" s="2">
        <f t="shared" ca="1" si="1242"/>
        <v>0.11358606910324998</v>
      </c>
      <c r="E1339" s="2">
        <f t="shared" ca="1" si="1243"/>
        <v>6.9766257842443062</v>
      </c>
      <c r="F1339" s="2">
        <f t="shared" ca="1" si="1244"/>
        <v>0.23129912841767197</v>
      </c>
      <c r="G1339" s="2">
        <f t="shared" ca="1" si="1245"/>
        <v>1.7962744519558364E-2</v>
      </c>
      <c r="H1339" s="2">
        <f t="shared" ca="1" si="1246"/>
        <v>1.7962744519558364E-2</v>
      </c>
      <c r="I1339" s="2">
        <f t="shared" ca="1" si="1247"/>
        <v>0.34633174564411839</v>
      </c>
      <c r="J1339" s="2">
        <f t="shared" ca="1" si="1248"/>
        <v>8.0237845261821299E-3</v>
      </c>
      <c r="K1339" s="2">
        <f t="shared" ca="1" si="1249"/>
        <v>8.0237845261821299E-3</v>
      </c>
      <c r="L1339" s="2">
        <f t="shared" ca="1" si="1250"/>
        <v>0.70908559197631005</v>
      </c>
      <c r="M1339" s="2">
        <f t="shared" ca="1" si="1251"/>
        <v>1.1014307125619563E-2</v>
      </c>
      <c r="N1339" s="2">
        <f t="shared" ca="1" si="1252"/>
        <v>1.1014307125619563E-2</v>
      </c>
      <c r="O1339" s="2">
        <f t="shared" si="1253"/>
        <v>6000000</v>
      </c>
      <c r="P1339" s="2">
        <f t="shared" ca="1" si="1254"/>
        <v>43119591.106960967</v>
      </c>
      <c r="Q1339" s="2">
        <f t="shared" ca="1" si="1255"/>
        <v>1077989.7776740242</v>
      </c>
      <c r="R1339" s="2">
        <f t="shared" ca="1" si="1256"/>
        <v>25871754.66417658</v>
      </c>
      <c r="S1339" s="2">
        <f t="shared" ca="1" si="1257"/>
        <v>17247836.442784388</v>
      </c>
      <c r="T1339" s="2">
        <f t="shared" ca="1" si="1258"/>
        <v>50550715.356280975</v>
      </c>
      <c r="U1339" s="2">
        <f t="shared" ca="1" si="1259"/>
        <v>51458744.941506758</v>
      </c>
      <c r="V1339" s="2">
        <f t="shared" ca="1" si="1260"/>
        <v>52383085.230188154</v>
      </c>
      <c r="W1339" s="2">
        <f t="shared" ca="1" si="1261"/>
        <v>53324029.207324266</v>
      </c>
      <c r="X1339" s="2">
        <f t="shared" ca="1" si="1262"/>
        <v>54281875.120728895</v>
      </c>
      <c r="Y1339" s="2">
        <f t="shared" ca="1" si="1263"/>
        <v>0.12401189226309106</v>
      </c>
      <c r="Z1339" s="2">
        <f t="shared" ca="1" si="1264"/>
        <v>0.12561664916832749</v>
      </c>
      <c r="AA1339" s="2">
        <f t="shared" ca="1" si="1265"/>
        <v>6268889.8665852994</v>
      </c>
      <c r="AB1339" s="2">
        <f t="shared" ca="1" si="1266"/>
        <v>6464075.1099597011</v>
      </c>
      <c r="AC1339" s="2">
        <f t="shared" ca="1" si="1267"/>
        <v>6580187.6397151425</v>
      </c>
      <c r="AD1339" s="2">
        <f t="shared" ca="1" si="1268"/>
        <v>6698385.8691781005</v>
      </c>
      <c r="AE1339" s="2">
        <f t="shared" ca="1" si="1269"/>
        <v>6818707.2632395662</v>
      </c>
      <c r="AF1339" s="2">
        <f t="shared" ca="1" si="1270"/>
        <v>1011014.3071256195</v>
      </c>
      <c r="AG1339" s="2">
        <f t="shared" ca="1" si="1271"/>
        <v>1029174.8988301352</v>
      </c>
      <c r="AH1339" s="2">
        <f t="shared" ca="1" si="1272"/>
        <v>1047661.7046037631</v>
      </c>
      <c r="AI1339" s="2">
        <f t="shared" ca="1" si="1273"/>
        <v>1066480.5841464854</v>
      </c>
      <c r="AJ1339" s="2">
        <f t="shared" ca="1" si="1274"/>
        <v>1085637.5024145779</v>
      </c>
      <c r="AK1339" s="2">
        <f t="shared" ca="1" si="1275"/>
        <v>0</v>
      </c>
      <c r="AL1339" s="2">
        <f t="shared" ca="1" si="1276"/>
        <v>9080.2958522578338</v>
      </c>
      <c r="AM1339" s="2">
        <f t="shared" ca="1" si="1277"/>
        <v>9243.402886813954</v>
      </c>
      <c r="AN1339" s="2">
        <f t="shared" ca="1" si="1278"/>
        <v>9409.439771361127</v>
      </c>
      <c r="AO1339" s="2">
        <f t="shared" ca="1" si="1279"/>
        <v>9578.4591340462866</v>
      </c>
      <c r="AP1339" s="2">
        <f t="shared" ca="1" si="1280"/>
        <v>2328457.919775892</v>
      </c>
      <c r="AQ1339" s="2">
        <f t="shared" ca="1" si="1281"/>
        <v>761648.58631778485</v>
      </c>
      <c r="AR1339" s="2">
        <f t="shared" ca="1" si="1282"/>
        <v>807674.9957519552</v>
      </c>
      <c r="AS1339" s="2">
        <f t="shared" ca="1" si="1283"/>
        <v>833057.68398722669</v>
      </c>
      <c r="AT1339" s="2">
        <f t="shared" ca="1" si="1284"/>
        <v>858896.31496648793</v>
      </c>
      <c r="AU1339" s="2">
        <f t="shared" ca="1" si="1285"/>
        <v>885199.07867276517</v>
      </c>
      <c r="AV1339" s="2">
        <f t="shared" ca="1" si="1286"/>
        <v>2167769.0533660026</v>
      </c>
      <c r="AW1339" s="2">
        <f t="shared" ca="1" si="1287"/>
        <v>2289686.9997494603</v>
      </c>
      <c r="AX1339" s="2">
        <f t="shared" ca="1" si="1288"/>
        <v>2361766.9284614474</v>
      </c>
      <c r="AY1339" s="2">
        <f t="shared" ca="1" si="1289"/>
        <v>2435141.6105178744</v>
      </c>
      <c r="AZ1339" s="2">
        <f t="shared" ca="1" si="1290"/>
        <v>2509834.3032422857</v>
      </c>
      <c r="BA1339" s="2">
        <f t="shared" ca="1" si="1291"/>
        <v>47571568.907931089</v>
      </c>
      <c r="BB1339" s="2">
        <f t="shared" ca="1" si="1292"/>
        <v>951431.37815862184</v>
      </c>
      <c r="BC1339" s="2">
        <f t="shared" ca="1" si="1293"/>
        <v>20748382.865595888</v>
      </c>
      <c r="BD1339" s="2">
        <f t="shared" ca="1" si="1294"/>
        <v>-18825826.220458411</v>
      </c>
      <c r="BE1339" s="2">
        <f t="shared" ca="1" si="1295"/>
        <v>2167769.0533660026</v>
      </c>
      <c r="BF1339" s="2">
        <f t="shared" ca="1" si="1296"/>
        <v>2289686.9997494603</v>
      </c>
      <c r="BG1339" s="2">
        <f t="shared" ca="1" si="1297"/>
        <v>2361766.9284614474</v>
      </c>
      <c r="BH1339" s="2">
        <f t="shared" ca="1" si="1298"/>
        <v>2435141.6105178744</v>
      </c>
      <c r="BI1339" s="2">
        <f t="shared" ca="1" si="1299"/>
        <v>23258217.168838173</v>
      </c>
      <c r="BJ1339" s="2">
        <f t="shared" ca="1" si="1300"/>
        <v>0.1393008184310951</v>
      </c>
      <c r="BK1339" s="2">
        <f t="shared" ca="1" si="1301"/>
        <v>1360978.9249244817</v>
      </c>
    </row>
    <row r="1340" spans="1:63" x14ac:dyDescent="0.3">
      <c r="A1340" s="2">
        <v>1339</v>
      </c>
      <c r="B1340" s="2">
        <f t="shared" ca="1" si="1240"/>
        <v>0.41041266100109619</v>
      </c>
      <c r="C1340" s="2">
        <f t="shared" ca="1" si="1241"/>
        <v>6.9059941070460624</v>
      </c>
      <c r="D1340" s="2">
        <f t="shared" ca="1" si="1242"/>
        <v>0.77377816440568536</v>
      </c>
      <c r="E1340" s="2">
        <f t="shared" ca="1" si="1243"/>
        <v>7.8273606678251495</v>
      </c>
      <c r="F1340" s="2">
        <f t="shared" ca="1" si="1244"/>
        <v>0.90943869886532636</v>
      </c>
      <c r="G1340" s="2">
        <f t="shared" ca="1" si="1245"/>
        <v>8.0119195724725228E-2</v>
      </c>
      <c r="H1340" s="2">
        <f t="shared" ca="1" si="1246"/>
        <v>8.0119195724725228E-2</v>
      </c>
      <c r="I1340" s="2">
        <f t="shared" ca="1" si="1247"/>
        <v>0.36750362142961523</v>
      </c>
      <c r="J1340" s="2">
        <f t="shared" ca="1" si="1248"/>
        <v>8.3076381343234421E-3</v>
      </c>
      <c r="K1340" s="2">
        <f t="shared" ca="1" si="1249"/>
        <v>8.3076381343234421E-3</v>
      </c>
      <c r="L1340" s="2">
        <f t="shared" ca="1" si="1250"/>
        <v>9.3144660622633713E-2</v>
      </c>
      <c r="M1340" s="2">
        <f t="shared" ca="1" si="1251"/>
        <v>-2.6432724102878506E-2</v>
      </c>
      <c r="N1340" s="2">
        <f t="shared" ca="1" si="1252"/>
        <v>-2.6432724102878506E-2</v>
      </c>
      <c r="O1340" s="2">
        <f t="shared" si="1253"/>
        <v>6000000</v>
      </c>
      <c r="P1340" s="2">
        <f t="shared" ca="1" si="1254"/>
        <v>41435964.642276376</v>
      </c>
      <c r="Q1340" s="2">
        <f t="shared" ca="1" si="1255"/>
        <v>1035899.1160569094</v>
      </c>
      <c r="R1340" s="2">
        <f t="shared" ca="1" si="1256"/>
        <v>24861578.785365824</v>
      </c>
      <c r="S1340" s="2">
        <f t="shared" ca="1" si="1257"/>
        <v>16574385.856910551</v>
      </c>
      <c r="T1340" s="2">
        <f t="shared" ca="1" si="1258"/>
        <v>48678363.794856071</v>
      </c>
      <c r="U1340" s="2">
        <f t="shared" ca="1" si="1259"/>
        <v>52578435.15129552</v>
      </c>
      <c r="V1340" s="2">
        <f t="shared" ca="1" si="1260"/>
        <v>56790977.088081934</v>
      </c>
      <c r="W1340" s="2">
        <f t="shared" ca="1" si="1261"/>
        <v>61341024.496800348</v>
      </c>
      <c r="X1340" s="2">
        <f t="shared" ca="1" si="1262"/>
        <v>66255618.044414654</v>
      </c>
      <c r="Y1340" s="2">
        <f t="shared" ca="1" si="1263"/>
        <v>0.12415381906716172</v>
      </c>
      <c r="Z1340" s="2">
        <f t="shared" ca="1" si="1264"/>
        <v>0.12581534669402641</v>
      </c>
      <c r="AA1340" s="2">
        <f t="shared" ca="1" si="1265"/>
        <v>6043604.7710720366</v>
      </c>
      <c r="AB1340" s="2">
        <f t="shared" ca="1" si="1266"/>
        <v>6615174.0471896315</v>
      </c>
      <c r="AC1340" s="2">
        <f t="shared" ca="1" si="1267"/>
        <v>7145176.4714295389</v>
      </c>
      <c r="AD1340" s="2">
        <f t="shared" ca="1" si="1268"/>
        <v>7717642.2636317033</v>
      </c>
      <c r="AE1340" s="2">
        <f t="shared" ca="1" si="1269"/>
        <v>8335973.5546850218</v>
      </c>
      <c r="AF1340" s="2">
        <f t="shared" ca="1" si="1270"/>
        <v>973567.27589712141</v>
      </c>
      <c r="AG1340" s="2">
        <f t="shared" ca="1" si="1271"/>
        <v>1051568.7030259105</v>
      </c>
      <c r="AH1340" s="2">
        <f t="shared" ca="1" si="1272"/>
        <v>1135819.5417616386</v>
      </c>
      <c r="AI1340" s="2">
        <f t="shared" ca="1" si="1273"/>
        <v>1226820.489936007</v>
      </c>
      <c r="AJ1340" s="2">
        <f t="shared" ca="1" si="1274"/>
        <v>1325112.360888293</v>
      </c>
      <c r="AK1340" s="2">
        <f t="shared" ca="1" si="1275"/>
        <v>0</v>
      </c>
      <c r="AL1340" s="2">
        <f t="shared" ca="1" si="1276"/>
        <v>39000.713564394493</v>
      </c>
      <c r="AM1340" s="2">
        <f t="shared" ca="1" si="1277"/>
        <v>42125.419367864131</v>
      </c>
      <c r="AN1340" s="2">
        <f t="shared" ca="1" si="1278"/>
        <v>45500.47408718415</v>
      </c>
      <c r="AO1340" s="2">
        <f t="shared" ca="1" si="1279"/>
        <v>49145.935476143066</v>
      </c>
      <c r="AP1340" s="2">
        <f t="shared" ca="1" si="1280"/>
        <v>2237542.0906829243</v>
      </c>
      <c r="AQ1340" s="2">
        <f t="shared" ca="1" si="1281"/>
        <v>736448.80516791774</v>
      </c>
      <c r="AR1340" s="2">
        <f t="shared" ca="1" si="1282"/>
        <v>864776.44590500731</v>
      </c>
      <c r="AS1340" s="2">
        <f t="shared" ca="1" si="1283"/>
        <v>980671.85813609383</v>
      </c>
      <c r="AT1340" s="2">
        <f t="shared" ca="1" si="1284"/>
        <v>1105852.7175833208</v>
      </c>
      <c r="AU1340" s="2">
        <f t="shared" ca="1" si="1285"/>
        <v>1241062.9668095892</v>
      </c>
      <c r="AV1340" s="2">
        <f t="shared" ca="1" si="1286"/>
        <v>2096046.5993240732</v>
      </c>
      <c r="AW1340" s="2">
        <f t="shared" ca="1" si="1287"/>
        <v>2422286.0940113957</v>
      </c>
      <c r="AX1340" s="2">
        <f t="shared" ca="1" si="1288"/>
        <v>2749017.5614810181</v>
      </c>
      <c r="AY1340" s="2">
        <f t="shared" ca="1" si="1289"/>
        <v>3101926.4913422666</v>
      </c>
      <c r="AZ1340" s="2">
        <f t="shared" ca="1" si="1290"/>
        <v>3483110.2008280721</v>
      </c>
      <c r="BA1340" s="2">
        <f t="shared" ca="1" si="1291"/>
        <v>65248671.529972136</v>
      </c>
      <c r="BB1340" s="2">
        <f t="shared" ca="1" si="1292"/>
        <v>1304973.4305994427</v>
      </c>
      <c r="BC1340" s="2">
        <f t="shared" ca="1" si="1293"/>
        <v>39082119.314006872</v>
      </c>
      <c r="BD1340" s="2">
        <f t="shared" ca="1" si="1294"/>
        <v>-18110284.972967461</v>
      </c>
      <c r="BE1340" s="2">
        <f t="shared" ca="1" si="1295"/>
        <v>2096046.5993240732</v>
      </c>
      <c r="BF1340" s="2">
        <f t="shared" ca="1" si="1296"/>
        <v>2422286.0940113957</v>
      </c>
      <c r="BG1340" s="2">
        <f t="shared" ca="1" si="1297"/>
        <v>2749017.5614810181</v>
      </c>
      <c r="BH1340" s="2">
        <f t="shared" ca="1" si="1298"/>
        <v>3101926.4913422666</v>
      </c>
      <c r="BI1340" s="2">
        <f t="shared" ca="1" si="1299"/>
        <v>42565229.514834948</v>
      </c>
      <c r="BJ1340" s="2">
        <f t="shared" ca="1" si="1300"/>
        <v>0.27762935823855339</v>
      </c>
      <c r="BK1340" s="2">
        <f t="shared" ca="1" si="1301"/>
        <v>13772897.959651887</v>
      </c>
    </row>
    <row r="1341" spans="1:63" x14ac:dyDescent="0.3">
      <c r="A1341" s="2">
        <v>1340</v>
      </c>
      <c r="B1341" s="2">
        <f t="shared" ca="1" si="1240"/>
        <v>0.52796344646240656</v>
      </c>
      <c r="C1341" s="2">
        <f t="shared" ca="1" si="1241"/>
        <v>7.0283657544759004</v>
      </c>
      <c r="D1341" s="2">
        <f t="shared" ca="1" si="1242"/>
        <v>0.29468719582591441</v>
      </c>
      <c r="E1341" s="2">
        <f t="shared" ca="1" si="1243"/>
        <v>7.2677072304282593</v>
      </c>
      <c r="F1341" s="2">
        <f t="shared" ca="1" si="1244"/>
        <v>0.18678134562871396</v>
      </c>
      <c r="G1341" s="2">
        <f t="shared" ca="1" si="1245"/>
        <v>1.3305408132159038E-2</v>
      </c>
      <c r="H1341" s="2">
        <f t="shared" ca="1" si="1246"/>
        <v>1.3305408132159038E-2</v>
      </c>
      <c r="I1341" s="2">
        <f t="shared" ca="1" si="1247"/>
        <v>0.82577535930290413</v>
      </c>
      <c r="J1341" s="2">
        <f t="shared" ca="1" si="1248"/>
        <v>1.4688007099752359E-2</v>
      </c>
      <c r="K1341" s="2">
        <f t="shared" ca="1" si="1249"/>
        <v>1.4688007099752359E-2</v>
      </c>
      <c r="L1341" s="2">
        <f t="shared" ca="1" si="1250"/>
        <v>0.59912661170227821</v>
      </c>
      <c r="M1341" s="2">
        <f t="shared" ca="1" si="1251"/>
        <v>5.0217418089351182E-3</v>
      </c>
      <c r="N1341" s="2">
        <f t="shared" ca="1" si="1252"/>
        <v>5.0217418089351182E-3</v>
      </c>
      <c r="O1341" s="2">
        <f t="shared" si="1253"/>
        <v>6000000</v>
      </c>
      <c r="P1341" s="2">
        <f t="shared" ca="1" si="1254"/>
        <v>42170194.526855402</v>
      </c>
      <c r="Q1341" s="2">
        <f t="shared" ca="1" si="1255"/>
        <v>1054254.8631713851</v>
      </c>
      <c r="R1341" s="2">
        <f t="shared" ca="1" si="1256"/>
        <v>25302116.71611324</v>
      </c>
      <c r="S1341" s="2">
        <f t="shared" ca="1" si="1257"/>
        <v>16868077.810742162</v>
      </c>
      <c r="T1341" s="2">
        <f t="shared" ca="1" si="1258"/>
        <v>50251087.090446755</v>
      </c>
      <c r="U1341" s="2">
        <f t="shared" ca="1" si="1259"/>
        <v>50919698.313269816</v>
      </c>
      <c r="V1341" s="2">
        <f t="shared" ca="1" si="1260"/>
        <v>51597205.681294285</v>
      </c>
      <c r="W1341" s="2">
        <f t="shared" ca="1" si="1261"/>
        <v>52283727.561362863</v>
      </c>
      <c r="X1341" s="2">
        <f t="shared" ca="1" si="1262"/>
        <v>52979383.895237409</v>
      </c>
      <c r="Y1341" s="2">
        <f t="shared" ca="1" si="1263"/>
        <v>0.12734400354987618</v>
      </c>
      <c r="Z1341" s="2">
        <f t="shared" ca="1" si="1264"/>
        <v>0.13028160496982666</v>
      </c>
      <c r="AA1341" s="2">
        <f t="shared" ca="1" si="1265"/>
        <v>6399174.6128309891</v>
      </c>
      <c r="AB1341" s="2">
        <f t="shared" ca="1" si="1266"/>
        <v>6633900.020832167</v>
      </c>
      <c r="AC1341" s="2">
        <f t="shared" ca="1" si="1267"/>
        <v>6722166.7681172779</v>
      </c>
      <c r="AD1341" s="2">
        <f t="shared" ca="1" si="1268"/>
        <v>6811607.9404995153</v>
      </c>
      <c r="AE1341" s="2">
        <f t="shared" ca="1" si="1269"/>
        <v>6902239.1641841168</v>
      </c>
      <c r="AF1341" s="2">
        <f t="shared" ca="1" si="1270"/>
        <v>1005021.7418089351</v>
      </c>
      <c r="AG1341" s="2">
        <f t="shared" ca="1" si="1271"/>
        <v>1018393.9662653963</v>
      </c>
      <c r="AH1341" s="2">
        <f t="shared" ca="1" si="1272"/>
        <v>1031944.1136258857</v>
      </c>
      <c r="AI1341" s="2">
        <f t="shared" ca="1" si="1273"/>
        <v>1045674.5512272572</v>
      </c>
      <c r="AJ1341" s="2">
        <f t="shared" ca="1" si="1274"/>
        <v>1059587.6779047481</v>
      </c>
      <c r="AK1341" s="2">
        <f t="shared" ca="1" si="1275"/>
        <v>0</v>
      </c>
      <c r="AL1341" s="2">
        <f t="shared" ca="1" si="1276"/>
        <v>6686.1122282306105</v>
      </c>
      <c r="AM1341" s="2">
        <f t="shared" ca="1" si="1277"/>
        <v>6775.0736802446845</v>
      </c>
      <c r="AN1341" s="2">
        <f t="shared" ca="1" si="1278"/>
        <v>6865.2188006857787</v>
      </c>
      <c r="AO1341" s="2">
        <f t="shared" ca="1" si="1279"/>
        <v>6956.56333874546</v>
      </c>
      <c r="AP1341" s="2">
        <f t="shared" ca="1" si="1280"/>
        <v>2277190.5044501913</v>
      </c>
      <c r="AQ1341" s="2">
        <f t="shared" ca="1" si="1281"/>
        <v>810410.21530868439</v>
      </c>
      <c r="AR1341" s="2">
        <f t="shared" ca="1" si="1282"/>
        <v>867962.04303031066</v>
      </c>
      <c r="AS1341" s="2">
        <f t="shared" ca="1" si="1283"/>
        <v>887388.35901071224</v>
      </c>
      <c r="AT1341" s="2">
        <f t="shared" ca="1" si="1284"/>
        <v>907073.15005373734</v>
      </c>
      <c r="AU1341" s="2">
        <f t="shared" ca="1" si="1285"/>
        <v>927019.85527558613</v>
      </c>
      <c r="AV1341" s="2">
        <f t="shared" ca="1" si="1286"/>
        <v>2306552.1512631788</v>
      </c>
      <c r="AW1341" s="2">
        <f t="shared" ca="1" si="1287"/>
        <v>2463667.3948580385</v>
      </c>
      <c r="AX1341" s="2">
        <f t="shared" ca="1" si="1288"/>
        <v>2518868.7173502441</v>
      </c>
      <c r="AY1341" s="2">
        <f t="shared" ca="1" si="1289"/>
        <v>2574804.5159676434</v>
      </c>
      <c r="AZ1341" s="2">
        <f t="shared" ca="1" si="1290"/>
        <v>2631484.5632148455</v>
      </c>
      <c r="BA1341" s="2">
        <f t="shared" ca="1" si="1291"/>
        <v>50163453.479686007</v>
      </c>
      <c r="BB1341" s="2">
        <f t="shared" ca="1" si="1292"/>
        <v>1003269.0695937201</v>
      </c>
      <c r="BC1341" s="2">
        <f t="shared" ca="1" si="1293"/>
        <v>23858067.693979047</v>
      </c>
      <c r="BD1341" s="2">
        <f t="shared" ca="1" si="1294"/>
        <v>-18422332.673913546</v>
      </c>
      <c r="BE1341" s="2">
        <f t="shared" ca="1" si="1295"/>
        <v>2306552.1512631788</v>
      </c>
      <c r="BF1341" s="2">
        <f t="shared" ca="1" si="1296"/>
        <v>2463667.3948580385</v>
      </c>
      <c r="BG1341" s="2">
        <f t="shared" ca="1" si="1297"/>
        <v>2518868.7173502441</v>
      </c>
      <c r="BH1341" s="2">
        <f t="shared" ca="1" si="1298"/>
        <v>2574804.5159676434</v>
      </c>
      <c r="BI1341" s="2">
        <f t="shared" ca="1" si="1299"/>
        <v>26489552.257193893</v>
      </c>
      <c r="BJ1341" s="2">
        <f t="shared" ca="1" si="1300"/>
        <v>0.17588172138938085</v>
      </c>
      <c r="BK1341" s="2">
        <f t="shared" ca="1" si="1301"/>
        <v>4061208.6180110835</v>
      </c>
    </row>
    <row r="1342" spans="1:63" x14ac:dyDescent="0.3">
      <c r="A1342" s="2">
        <v>1341</v>
      </c>
      <c r="B1342" s="2">
        <f t="shared" ca="1" si="1240"/>
        <v>0.45045463981013534</v>
      </c>
      <c r="C1342" s="2">
        <f t="shared" ca="1" si="1241"/>
        <v>6.9491624095065454</v>
      </c>
      <c r="D1342" s="2">
        <f t="shared" ca="1" si="1242"/>
        <v>0.42736162912345055</v>
      </c>
      <c r="E1342" s="2">
        <f t="shared" ca="1" si="1243"/>
        <v>7.4245124435327527</v>
      </c>
      <c r="F1342" s="2">
        <f t="shared" ca="1" si="1244"/>
        <v>0.72850042831116879</v>
      </c>
      <c r="G1342" s="2">
        <f t="shared" ca="1" si="1245"/>
        <v>5.8248519437262017E-2</v>
      </c>
      <c r="H1342" s="2">
        <f t="shared" ca="1" si="1246"/>
        <v>5.8248519437262017E-2</v>
      </c>
      <c r="I1342" s="2">
        <f t="shared" ca="1" si="1247"/>
        <v>0.74240911078995298</v>
      </c>
      <c r="J1342" s="2">
        <f t="shared" ca="1" si="1248"/>
        <v>1.3253952152316138E-2</v>
      </c>
      <c r="K1342" s="2">
        <f t="shared" ca="1" si="1249"/>
        <v>1.3253952152316138E-2</v>
      </c>
      <c r="L1342" s="2">
        <f t="shared" ca="1" si="1250"/>
        <v>0.49511533097968885</v>
      </c>
      <c r="M1342" s="2">
        <f t="shared" ca="1" si="1251"/>
        <v>-2.4488710851851015E-4</v>
      </c>
      <c r="N1342" s="2">
        <f t="shared" ca="1" si="1252"/>
        <v>-2.4488710851851015E-4</v>
      </c>
      <c r="O1342" s="2">
        <f t="shared" si="1253"/>
        <v>6000000</v>
      </c>
      <c r="P1342" s="2">
        <f t="shared" ca="1" si="1254"/>
        <v>41694974.457039274</v>
      </c>
      <c r="Q1342" s="2">
        <f t="shared" ca="1" si="1255"/>
        <v>1042374.3614259819</v>
      </c>
      <c r="R1342" s="2">
        <f t="shared" ca="1" si="1256"/>
        <v>25016984.674223565</v>
      </c>
      <c r="S1342" s="2">
        <f t="shared" ca="1" si="1257"/>
        <v>16677989.78281571</v>
      </c>
      <c r="T1342" s="2">
        <f t="shared" ca="1" si="1258"/>
        <v>49987755.644574076</v>
      </c>
      <c r="U1342" s="2">
        <f t="shared" ca="1" si="1259"/>
        <v>52899468.40086215</v>
      </c>
      <c r="V1342" s="2">
        <f t="shared" ca="1" si="1260"/>
        <v>55980784.114230596</v>
      </c>
      <c r="W1342" s="2">
        <f t="shared" ca="1" si="1261"/>
        <v>59241581.905821525</v>
      </c>
      <c r="X1342" s="2">
        <f t="shared" ca="1" si="1262"/>
        <v>62692316.340956919</v>
      </c>
      <c r="Y1342" s="2">
        <f t="shared" ca="1" si="1263"/>
        <v>0.12662697607615805</v>
      </c>
      <c r="Z1342" s="2">
        <f t="shared" ca="1" si="1264"/>
        <v>0.12927776650662129</v>
      </c>
      <c r="AA1342" s="2">
        <f t="shared" ca="1" si="1265"/>
        <v>6329798.3381063165</v>
      </c>
      <c r="AB1342" s="2">
        <f t="shared" ca="1" si="1266"/>
        <v>6838725.1242510481</v>
      </c>
      <c r="AC1342" s="2">
        <f t="shared" ca="1" si="1267"/>
        <v>7237070.737577077</v>
      </c>
      <c r="AD1342" s="2">
        <f t="shared" ca="1" si="1268"/>
        <v>7658619.3931036759</v>
      </c>
      <c r="AE1342" s="2">
        <f t="shared" ca="1" si="1269"/>
        <v>8104722.6336854668</v>
      </c>
      <c r="AF1342" s="2">
        <f t="shared" ca="1" si="1270"/>
        <v>999755.11289148149</v>
      </c>
      <c r="AG1342" s="2">
        <f t="shared" ca="1" si="1271"/>
        <v>1057989.368017243</v>
      </c>
      <c r="AH1342" s="2">
        <f t="shared" ca="1" si="1272"/>
        <v>1119615.682284612</v>
      </c>
      <c r="AI1342" s="2">
        <f t="shared" ca="1" si="1273"/>
        <v>1184831.6381164305</v>
      </c>
      <c r="AJ1342" s="2">
        <f t="shared" ca="1" si="1274"/>
        <v>1253846.3268191384</v>
      </c>
      <c r="AK1342" s="2">
        <f t="shared" ca="1" si="1275"/>
        <v>0</v>
      </c>
      <c r="AL1342" s="2">
        <f t="shared" ca="1" si="1276"/>
        <v>29117.127562880742</v>
      </c>
      <c r="AM1342" s="2">
        <f t="shared" ca="1" si="1277"/>
        <v>30813.157133684457</v>
      </c>
      <c r="AN1342" s="2">
        <f t="shared" ca="1" si="1278"/>
        <v>32607.97791590929</v>
      </c>
      <c r="AO1342" s="2">
        <f t="shared" ca="1" si="1279"/>
        <v>34507.344351353946</v>
      </c>
      <c r="AP1342" s="2">
        <f t="shared" ca="1" si="1280"/>
        <v>2251528.6206801208</v>
      </c>
      <c r="AQ1342" s="2">
        <f t="shared" ca="1" si="1281"/>
        <v>800413.79717902583</v>
      </c>
      <c r="AR1342" s="2">
        <f t="shared" ca="1" si="1282"/>
        <v>917593.85524395795</v>
      </c>
      <c r="AS1342" s="2">
        <f t="shared" ca="1" si="1283"/>
        <v>1005140.8729992094</v>
      </c>
      <c r="AT1342" s="2">
        <f t="shared" ca="1" si="1284"/>
        <v>1097787.3749198525</v>
      </c>
      <c r="AU1342" s="2">
        <f t="shared" ca="1" si="1285"/>
        <v>1195830.3984084139</v>
      </c>
      <c r="AV1342" s="2">
        <f t="shared" ca="1" si="1286"/>
        <v>2278100.8073556889</v>
      </c>
      <c r="AW1342" s="2">
        <f t="shared" ca="1" si="1287"/>
        <v>2582496.152746846</v>
      </c>
      <c r="AX1342" s="2">
        <f t="shared" ca="1" si="1288"/>
        <v>2829972.4044794505</v>
      </c>
      <c r="AY1342" s="2">
        <f t="shared" ca="1" si="1289"/>
        <v>3091863.7814713633</v>
      </c>
      <c r="AZ1342" s="2">
        <f t="shared" ca="1" si="1290"/>
        <v>3369009.9434264395</v>
      </c>
      <c r="BA1342" s="2">
        <f t="shared" ca="1" si="1291"/>
        <v>60173614.045179293</v>
      </c>
      <c r="BB1342" s="2">
        <f t="shared" ca="1" si="1292"/>
        <v>1203472.280903586</v>
      </c>
      <c r="BC1342" s="2">
        <f t="shared" ca="1" si="1293"/>
        <v>33953157.090052143</v>
      </c>
      <c r="BD1342" s="2">
        <f t="shared" ca="1" si="1294"/>
        <v>-18220364.144241691</v>
      </c>
      <c r="BE1342" s="2">
        <f t="shared" ca="1" si="1295"/>
        <v>2278100.8073556889</v>
      </c>
      <c r="BF1342" s="2">
        <f t="shared" ca="1" si="1296"/>
        <v>2582496.152746846</v>
      </c>
      <c r="BG1342" s="2">
        <f t="shared" ca="1" si="1297"/>
        <v>2829972.4044794505</v>
      </c>
      <c r="BH1342" s="2">
        <f t="shared" ca="1" si="1298"/>
        <v>3091863.7814713633</v>
      </c>
      <c r="BI1342" s="2">
        <f t="shared" ca="1" si="1299"/>
        <v>37322167.03347858</v>
      </c>
      <c r="BJ1342" s="2">
        <f t="shared" ca="1" si="1300"/>
        <v>0.25332784526849017</v>
      </c>
      <c r="BK1342" s="2">
        <f t="shared" ca="1" si="1301"/>
        <v>11029258.232390091</v>
      </c>
    </row>
    <row r="1343" spans="1:63" x14ac:dyDescent="0.3">
      <c r="A1343" s="2">
        <v>1342</v>
      </c>
      <c r="B1343" s="2">
        <f t="shared" ca="1" si="1240"/>
        <v>0.17830548720028816</v>
      </c>
      <c r="C1343" s="2">
        <f t="shared" ca="1" si="1241"/>
        <v>6.597169133831092</v>
      </c>
      <c r="D1343" s="2">
        <f t="shared" ca="1" si="1242"/>
        <v>0.83391306992741454</v>
      </c>
      <c r="E1343" s="2">
        <f t="shared" ca="1" si="1243"/>
        <v>7.9236547387674889</v>
      </c>
      <c r="F1343" s="2">
        <f t="shared" ca="1" si="1244"/>
        <v>0.87376149088571198</v>
      </c>
      <c r="G1343" s="2">
        <f t="shared" ca="1" si="1245"/>
        <v>7.4330608330159642E-2</v>
      </c>
      <c r="H1343" s="2">
        <f t="shared" ca="1" si="1246"/>
        <v>7.4330608330159642E-2</v>
      </c>
      <c r="I1343" s="2">
        <f t="shared" ca="1" si="1247"/>
        <v>0.83509317810950412</v>
      </c>
      <c r="J1343" s="2">
        <f t="shared" ca="1" si="1248"/>
        <v>1.4872446556158377E-2</v>
      </c>
      <c r="K1343" s="2">
        <f t="shared" ca="1" si="1249"/>
        <v>1.4872446556158377E-2</v>
      </c>
      <c r="L1343" s="2">
        <f t="shared" ca="1" si="1250"/>
        <v>0.13351253329346691</v>
      </c>
      <c r="M1343" s="2">
        <f t="shared" ca="1" si="1251"/>
        <v>-2.2198791448514357E-2</v>
      </c>
      <c r="N1343" s="2">
        <f t="shared" ca="1" si="1252"/>
        <v>-2.2198791448514357E-2</v>
      </c>
      <c r="O1343" s="2">
        <f t="shared" si="1253"/>
        <v>6000000</v>
      </c>
      <c r="P1343" s="2">
        <f t="shared" ca="1" si="1254"/>
        <v>39583014.802986555</v>
      </c>
      <c r="Q1343" s="2">
        <f t="shared" ca="1" si="1255"/>
        <v>989575.37007466389</v>
      </c>
      <c r="R1343" s="2">
        <f t="shared" ca="1" si="1256"/>
        <v>23749808.881791931</v>
      </c>
      <c r="S1343" s="2">
        <f t="shared" ca="1" si="1257"/>
        <v>15833205.921194622</v>
      </c>
      <c r="T1343" s="2">
        <f t="shared" ca="1" si="1258"/>
        <v>48890060.427574284</v>
      </c>
      <c r="U1343" s="2">
        <f t="shared" ca="1" si="1259"/>
        <v>52524088.360454142</v>
      </c>
      <c r="V1343" s="2">
        <f t="shared" ca="1" si="1260"/>
        <v>56428235.800273754</v>
      </c>
      <c r="W1343" s="2">
        <f t="shared" ca="1" si="1261"/>
        <v>60622580.894305788</v>
      </c>
      <c r="X1343" s="2">
        <f t="shared" ca="1" si="1262"/>
        <v>65128694.210723847</v>
      </c>
      <c r="Y1343" s="2">
        <f t="shared" ca="1" si="1263"/>
        <v>0.12743622327807919</v>
      </c>
      <c r="Z1343" s="2">
        <f t="shared" ca="1" si="1264"/>
        <v>0.13041071258931086</v>
      </c>
      <c r="AA1343" s="2">
        <f t="shared" ca="1" si="1265"/>
        <v>6230364.6567271398</v>
      </c>
      <c r="AB1343" s="2">
        <f t="shared" ca="1" si="1266"/>
        <v>6849703.7911907528</v>
      </c>
      <c r="AC1343" s="2">
        <f t="shared" ca="1" si="1267"/>
        <v>7358846.4408713626</v>
      </c>
      <c r="AD1343" s="2">
        <f t="shared" ca="1" si="1268"/>
        <v>7905833.9734295597</v>
      </c>
      <c r="AE1343" s="2">
        <f t="shared" ca="1" si="1269"/>
        <v>8493479.4220318217</v>
      </c>
      <c r="AF1343" s="2">
        <f t="shared" ca="1" si="1270"/>
        <v>977801.20855148567</v>
      </c>
      <c r="AG1343" s="2">
        <f t="shared" ca="1" si="1271"/>
        <v>1050481.7672090828</v>
      </c>
      <c r="AH1343" s="2">
        <f t="shared" ca="1" si="1272"/>
        <v>1128564.716005475</v>
      </c>
      <c r="AI1343" s="2">
        <f t="shared" ca="1" si="1273"/>
        <v>1212451.6178861158</v>
      </c>
      <c r="AJ1343" s="2">
        <f t="shared" ca="1" si="1274"/>
        <v>1302573.8842144769</v>
      </c>
      <c r="AK1343" s="2">
        <f t="shared" ca="1" si="1275"/>
        <v>0</v>
      </c>
      <c r="AL1343" s="2">
        <f t="shared" ca="1" si="1276"/>
        <v>36340.279328798577</v>
      </c>
      <c r="AM1343" s="2">
        <f t="shared" ca="1" si="1277"/>
        <v>39041.474398196115</v>
      </c>
      <c r="AN1343" s="2">
        <f t="shared" ca="1" si="1278"/>
        <v>41943.450940320341</v>
      </c>
      <c r="AO1343" s="2">
        <f t="shared" ca="1" si="1279"/>
        <v>45061.133164180595</v>
      </c>
      <c r="AP1343" s="2">
        <f t="shared" ca="1" si="1280"/>
        <v>2137482.7993612736</v>
      </c>
      <c r="AQ1343" s="2">
        <f t="shared" ca="1" si="1281"/>
        <v>809920.9686917389</v>
      </c>
      <c r="AR1343" s="2">
        <f t="shared" ca="1" si="1282"/>
        <v>952052.19840130303</v>
      </c>
      <c r="AS1343" s="2">
        <f t="shared" ca="1" si="1283"/>
        <v>1064127.7206311997</v>
      </c>
      <c r="AT1343" s="2">
        <f t="shared" ca="1" si="1284"/>
        <v>1184533.8846073644</v>
      </c>
      <c r="AU1343" s="2">
        <f t="shared" ca="1" si="1285"/>
        <v>1313889.9119985786</v>
      </c>
      <c r="AV1343" s="2">
        <f t="shared" ca="1" si="1286"/>
        <v>2305159.6801226409</v>
      </c>
      <c r="AW1343" s="2">
        <f t="shared" ca="1" si="1287"/>
        <v>2673346.7468902944</v>
      </c>
      <c r="AX1343" s="2">
        <f t="shared" ca="1" si="1288"/>
        <v>2989629.730475218</v>
      </c>
      <c r="AY1343" s="2">
        <f t="shared" ca="1" si="1289"/>
        <v>3329422.2206344856</v>
      </c>
      <c r="AZ1343" s="2">
        <f t="shared" ca="1" si="1290"/>
        <v>3694471.6932933126</v>
      </c>
      <c r="BA1343" s="2">
        <f t="shared" ca="1" si="1291"/>
        <v>67299398.471006602</v>
      </c>
      <c r="BB1343" s="2">
        <f t="shared" ca="1" si="1292"/>
        <v>1345987.969420132</v>
      </c>
      <c r="BC1343" s="2">
        <f t="shared" ca="1" si="1293"/>
        <v>42203601.619794533</v>
      </c>
      <c r="BD1343" s="2">
        <f t="shared" ca="1" si="1294"/>
        <v>-17322781.291269287</v>
      </c>
      <c r="BE1343" s="2">
        <f t="shared" ca="1" si="1295"/>
        <v>2305159.6801226409</v>
      </c>
      <c r="BF1343" s="2">
        <f t="shared" ca="1" si="1296"/>
        <v>2673346.7468902944</v>
      </c>
      <c r="BG1343" s="2">
        <f t="shared" ca="1" si="1297"/>
        <v>2989629.730475218</v>
      </c>
      <c r="BH1343" s="2">
        <f t="shared" ca="1" si="1298"/>
        <v>3329422.2206344856</v>
      </c>
      <c r="BI1343" s="2">
        <f t="shared" ca="1" si="1299"/>
        <v>45898073.313087843</v>
      </c>
      <c r="BJ1343" s="2">
        <f t="shared" ca="1" si="1300"/>
        <v>0.31641646270151447</v>
      </c>
      <c r="BK1343" s="2">
        <f t="shared" ca="1" si="1301"/>
        <v>17154239.479617529</v>
      </c>
    </row>
    <row r="1344" spans="1:63" x14ac:dyDescent="0.3">
      <c r="A1344" s="2">
        <v>1343</v>
      </c>
      <c r="B1344" s="2">
        <f t="shared" ca="1" si="1240"/>
        <v>0.10807699858094288</v>
      </c>
      <c r="C1344" s="2">
        <f t="shared" ca="1" si="1241"/>
        <v>6.4649236465935944</v>
      </c>
      <c r="D1344" s="2">
        <f t="shared" ca="1" si="1242"/>
        <v>9.1657298139237509E-2</v>
      </c>
      <c r="E1344" s="2">
        <f t="shared" ca="1" si="1243"/>
        <v>6.9281525385636238</v>
      </c>
      <c r="F1344" s="2">
        <f t="shared" ca="1" si="1244"/>
        <v>0.5736309360636721</v>
      </c>
      <c r="G1344" s="2">
        <f t="shared" ca="1" si="1245"/>
        <v>4.5568777513152581E-2</v>
      </c>
      <c r="H1344" s="2">
        <f t="shared" ca="1" si="1246"/>
        <v>4.5568777513152581E-2</v>
      </c>
      <c r="I1344" s="2">
        <f t="shared" ca="1" si="1247"/>
        <v>0.67909009376863605</v>
      </c>
      <c r="J1344" s="2">
        <f t="shared" ca="1" si="1248"/>
        <v>1.2325779532540243E-2</v>
      </c>
      <c r="K1344" s="2">
        <f t="shared" ca="1" si="1249"/>
        <v>1.2325779532540243E-2</v>
      </c>
      <c r="L1344" s="2">
        <f t="shared" ca="1" si="1250"/>
        <v>0.76166983191824034</v>
      </c>
      <c r="M1344" s="2">
        <f t="shared" ca="1" si="1251"/>
        <v>1.4233684569573649E-2</v>
      </c>
      <c r="N1344" s="2">
        <f t="shared" ca="1" si="1252"/>
        <v>1.4233684569573649E-2</v>
      </c>
      <c r="O1344" s="2">
        <f t="shared" si="1253"/>
        <v>6000000</v>
      </c>
      <c r="P1344" s="2">
        <f t="shared" ca="1" si="1254"/>
        <v>38789541.879561566</v>
      </c>
      <c r="Q1344" s="2">
        <f t="shared" ca="1" si="1255"/>
        <v>969738.54698903917</v>
      </c>
      <c r="R1344" s="2">
        <f t="shared" ca="1" si="1256"/>
        <v>23273725.127736937</v>
      </c>
      <c r="S1344" s="2">
        <f t="shared" ca="1" si="1257"/>
        <v>15515816.751824627</v>
      </c>
      <c r="T1344" s="2">
        <f t="shared" ca="1" si="1258"/>
        <v>50711684.228478685</v>
      </c>
      <c r="U1344" s="2">
        <f t="shared" ca="1" si="1259"/>
        <v>53022553.684403479</v>
      </c>
      <c r="V1344" s="2">
        <f t="shared" ca="1" si="1260"/>
        <v>55438726.636427253</v>
      </c>
      <c r="W1344" s="2">
        <f t="shared" ca="1" si="1261"/>
        <v>57965001.636135094</v>
      </c>
      <c r="X1344" s="2">
        <f t="shared" ca="1" si="1262"/>
        <v>60606395.899241656</v>
      </c>
      <c r="Y1344" s="2">
        <f t="shared" ca="1" si="1263"/>
        <v>0.1261628897662701</v>
      </c>
      <c r="Z1344" s="2">
        <f t="shared" ca="1" si="1264"/>
        <v>0.12862804567277816</v>
      </c>
      <c r="AA1344" s="2">
        <f t="shared" ca="1" si="1265"/>
        <v>6397932.6271794541</v>
      </c>
      <c r="AB1344" s="2">
        <f t="shared" ca="1" si="1266"/>
        <v>6820187.4570047827</v>
      </c>
      <c r="AC1344" s="2">
        <f t="shared" ca="1" si="1267"/>
        <v>7130975.0618310282</v>
      </c>
      <c r="AD1344" s="2">
        <f t="shared" ca="1" si="1268"/>
        <v>7455924.8778754454</v>
      </c>
      <c r="AE1344" s="2">
        <f t="shared" ca="1" si="1269"/>
        <v>7795682.2597901309</v>
      </c>
      <c r="AF1344" s="2">
        <f t="shared" ca="1" si="1270"/>
        <v>1014233.6845695737</v>
      </c>
      <c r="AG1344" s="2">
        <f t="shared" ca="1" si="1271"/>
        <v>1060451.0736880696</v>
      </c>
      <c r="AH1344" s="2">
        <f t="shared" ca="1" si="1272"/>
        <v>1108774.5327285451</v>
      </c>
      <c r="AI1344" s="2">
        <f t="shared" ca="1" si="1273"/>
        <v>1159300.032722702</v>
      </c>
      <c r="AJ1344" s="2">
        <f t="shared" ca="1" si="1274"/>
        <v>1212127.9179848332</v>
      </c>
      <c r="AK1344" s="2">
        <f t="shared" ca="1" si="1275"/>
        <v>0</v>
      </c>
      <c r="AL1344" s="2">
        <f t="shared" ca="1" si="1276"/>
        <v>23108.694559247942</v>
      </c>
      <c r="AM1344" s="2">
        <f t="shared" ca="1" si="1277"/>
        <v>24161.729520237743</v>
      </c>
      <c r="AN1344" s="2">
        <f t="shared" ca="1" si="1278"/>
        <v>25262.749997078405</v>
      </c>
      <c r="AO1344" s="2">
        <f t="shared" ca="1" si="1279"/>
        <v>26413.942631065624</v>
      </c>
      <c r="AP1344" s="2">
        <f t="shared" ca="1" si="1280"/>
        <v>2094635.2614963243</v>
      </c>
      <c r="AQ1344" s="2">
        <f t="shared" ca="1" si="1281"/>
        <v>855156.55708952458</v>
      </c>
      <c r="AR1344" s="2">
        <f t="shared" ca="1" si="1282"/>
        <v>952926.29167330125</v>
      </c>
      <c r="AS1344" s="2">
        <f t="shared" ca="1" si="1283"/>
        <v>1021166.9695776013</v>
      </c>
      <c r="AT1344" s="2">
        <f t="shared" ca="1" si="1284"/>
        <v>1092517.291750669</v>
      </c>
      <c r="AU1344" s="2">
        <f t="shared" ca="1" si="1285"/>
        <v>1167118.9608803333</v>
      </c>
      <c r="AV1344" s="2">
        <f t="shared" ca="1" si="1286"/>
        <v>2433907.1240240317</v>
      </c>
      <c r="AW1344" s="2">
        <f t="shared" ca="1" si="1287"/>
        <v>2689066.1355878394</v>
      </c>
      <c r="AX1344" s="2">
        <f t="shared" ca="1" si="1288"/>
        <v>2882236.5685083196</v>
      </c>
      <c r="AY1344" s="2">
        <f t="shared" ca="1" si="1289"/>
        <v>3084209.5419086721</v>
      </c>
      <c r="AZ1344" s="2">
        <f t="shared" ca="1" si="1290"/>
        <v>3295386.1767975744</v>
      </c>
      <c r="BA1344" s="2">
        <f t="shared" ca="1" si="1291"/>
        <v>54009675.838000402</v>
      </c>
      <c r="BB1344" s="2">
        <f t="shared" ca="1" si="1292"/>
        <v>1080193.5167600079</v>
      </c>
      <c r="BC1344" s="2">
        <f t="shared" ca="1" si="1293"/>
        <v>29655757.193503458</v>
      </c>
      <c r="BD1344" s="2">
        <f t="shared" ca="1" si="1294"/>
        <v>-16985555.298813663</v>
      </c>
      <c r="BE1344" s="2">
        <f t="shared" ca="1" si="1295"/>
        <v>2433907.1240240317</v>
      </c>
      <c r="BF1344" s="2">
        <f t="shared" ca="1" si="1296"/>
        <v>2689066.1355878394</v>
      </c>
      <c r="BG1344" s="2">
        <f t="shared" ca="1" si="1297"/>
        <v>2882236.5685083196</v>
      </c>
      <c r="BH1344" s="2">
        <f t="shared" ca="1" si="1298"/>
        <v>3084209.5419086721</v>
      </c>
      <c r="BI1344" s="2">
        <f t="shared" ca="1" si="1299"/>
        <v>32951143.370301031</v>
      </c>
      <c r="BJ1344" s="2">
        <f t="shared" ca="1" si="1300"/>
        <v>0.25401103399073888</v>
      </c>
      <c r="BK1344" s="2">
        <f t="shared" ca="1" si="1301"/>
        <v>10040236.776946533</v>
      </c>
    </row>
    <row r="1345" spans="1:63" x14ac:dyDescent="0.3">
      <c r="A1345" s="2">
        <v>1344</v>
      </c>
      <c r="B1345" s="2">
        <f t="shared" ca="1" si="1240"/>
        <v>0.86437410322456987</v>
      </c>
      <c r="C1345" s="2">
        <f t="shared" ca="1" si="1241"/>
        <v>7.4791816117389285</v>
      </c>
      <c r="D1345" s="2">
        <f t="shared" ca="1" si="1242"/>
        <v>0.32665870493675764</v>
      </c>
      <c r="E1345" s="2">
        <f t="shared" ca="1" si="1243"/>
        <v>7.3082805267192299</v>
      </c>
      <c r="F1345" s="2">
        <f t="shared" ca="1" si="1244"/>
        <v>0.5597941216386827</v>
      </c>
      <c r="G1345" s="2">
        <f t="shared" ca="1" si="1245"/>
        <v>4.4513417827917109E-2</v>
      </c>
      <c r="H1345" s="2">
        <f t="shared" ca="1" si="1246"/>
        <v>4.4513417827917109E-2</v>
      </c>
      <c r="I1345" s="2">
        <f t="shared" ca="1" si="1247"/>
        <v>0.81173542926990749</v>
      </c>
      <c r="J1345" s="2">
        <f t="shared" ca="1" si="1248"/>
        <v>1.4421547684488854E-2</v>
      </c>
      <c r="K1345" s="2">
        <f t="shared" ca="1" si="1249"/>
        <v>1.4421547684488854E-2</v>
      </c>
      <c r="L1345" s="2">
        <f t="shared" ca="1" si="1250"/>
        <v>0.55817671980494776</v>
      </c>
      <c r="M1345" s="2">
        <f t="shared" ca="1" si="1251"/>
        <v>2.926962909122823E-3</v>
      </c>
      <c r="N1345" s="2">
        <f t="shared" ca="1" si="1252"/>
        <v>2.926962909122823E-3</v>
      </c>
      <c r="O1345" s="2">
        <f t="shared" si="1253"/>
        <v>6000000</v>
      </c>
      <c r="P1345" s="2">
        <f t="shared" ca="1" si="1254"/>
        <v>44875089.670433573</v>
      </c>
      <c r="Q1345" s="2">
        <f t="shared" ca="1" si="1255"/>
        <v>1121877.2417608395</v>
      </c>
      <c r="R1345" s="2">
        <f t="shared" ca="1" si="1256"/>
        <v>26925053.802260142</v>
      </c>
      <c r="S1345" s="2">
        <f t="shared" ca="1" si="1257"/>
        <v>17950035.868173432</v>
      </c>
      <c r="T1345" s="2">
        <f t="shared" ca="1" si="1258"/>
        <v>50146348.145456143</v>
      </c>
      <c r="U1345" s="2">
        <f t="shared" ca="1" si="1259"/>
        <v>52378533.492999032</v>
      </c>
      <c r="V1345" s="2">
        <f t="shared" ca="1" si="1260"/>
        <v>54710081.039586455</v>
      </c>
      <c r="W1345" s="2">
        <f t="shared" ca="1" si="1261"/>
        <v>57145413.736300774</v>
      </c>
      <c r="X1345" s="2">
        <f t="shared" ca="1" si="1262"/>
        <v>59689151.414893925</v>
      </c>
      <c r="Y1345" s="2">
        <f t="shared" ca="1" si="1263"/>
        <v>0.12721077384224441</v>
      </c>
      <c r="Z1345" s="2">
        <f t="shared" ca="1" si="1264"/>
        <v>0.13009508337914219</v>
      </c>
      <c r="AA1345" s="2">
        <f t="shared" ca="1" si="1265"/>
        <v>6379155.7529460741</v>
      </c>
      <c r="AB1345" s="2">
        <f t="shared" ca="1" si="1266"/>
        <v>6814189.682048901</v>
      </c>
      <c r="AC1345" s="2">
        <f t="shared" ca="1" si="1267"/>
        <v>7117512.5545246257</v>
      </c>
      <c r="AD1345" s="2">
        <f t="shared" ca="1" si="1268"/>
        <v>7434337.3647596268</v>
      </c>
      <c r="AE1345" s="2">
        <f t="shared" ca="1" si="1269"/>
        <v>7765265.1301508686</v>
      </c>
      <c r="AF1345" s="2">
        <f t="shared" ca="1" si="1270"/>
        <v>1002926.9629091229</v>
      </c>
      <c r="AG1345" s="2">
        <f t="shared" ca="1" si="1271"/>
        <v>1047570.6698599807</v>
      </c>
      <c r="AH1345" s="2">
        <f t="shared" ca="1" si="1272"/>
        <v>1094201.6207917291</v>
      </c>
      <c r="AI1345" s="2">
        <f t="shared" ca="1" si="1273"/>
        <v>1142908.2747260155</v>
      </c>
      <c r="AJ1345" s="2">
        <f t="shared" ca="1" si="1274"/>
        <v>1193783.0282978786</v>
      </c>
      <c r="AK1345" s="2">
        <f t="shared" ca="1" si="1275"/>
        <v>0</v>
      </c>
      <c r="AL1345" s="2">
        <f t="shared" ca="1" si="1276"/>
        <v>22321.853475428896</v>
      </c>
      <c r="AM1345" s="2">
        <f t="shared" ca="1" si="1277"/>
        <v>23315.475465874224</v>
      </c>
      <c r="AN1345" s="2">
        <f t="shared" ca="1" si="1278"/>
        <v>24353.326967143192</v>
      </c>
      <c r="AO1345" s="2">
        <f t="shared" ca="1" si="1279"/>
        <v>25437.376785931512</v>
      </c>
      <c r="AP1345" s="2">
        <f t="shared" ca="1" si="1280"/>
        <v>2423254.8422034127</v>
      </c>
      <c r="AQ1345" s="2">
        <f t="shared" ca="1" si="1281"/>
        <v>767773.22643672</v>
      </c>
      <c r="AR1345" s="2">
        <f t="shared" ca="1" si="1282"/>
        <v>869274.68419623212</v>
      </c>
      <c r="AS1345" s="2">
        <f t="shared" ca="1" si="1283"/>
        <v>936014.58379766601</v>
      </c>
      <c r="AT1345" s="2">
        <f t="shared" ca="1" si="1284"/>
        <v>1005725.3044358516</v>
      </c>
      <c r="AU1345" s="2">
        <f t="shared" ca="1" si="1285"/>
        <v>1078539.0875088901</v>
      </c>
      <c r="AV1345" s="2">
        <f t="shared" ca="1" si="1286"/>
        <v>2185200.7213968183</v>
      </c>
      <c r="AW1345" s="2">
        <f t="shared" ca="1" si="1287"/>
        <v>2451767.6323138471</v>
      </c>
      <c r="AX1345" s="2">
        <f t="shared" ca="1" si="1288"/>
        <v>2640726.0322659439</v>
      </c>
      <c r="AY1345" s="2">
        <f t="shared" ca="1" si="1289"/>
        <v>2838095.6164272032</v>
      </c>
      <c r="AZ1345" s="2">
        <f t="shared" ca="1" si="1290"/>
        <v>3044250.7953547561</v>
      </c>
      <c r="BA1345" s="2">
        <f t="shared" ca="1" si="1291"/>
        <v>56750735.935493462</v>
      </c>
      <c r="BB1345" s="2">
        <f t="shared" ca="1" si="1292"/>
        <v>1135014.7187098693</v>
      </c>
      <c r="BC1345" s="2">
        <f t="shared" ca="1" si="1293"/>
        <v>28690667.414523453</v>
      </c>
      <c r="BD1345" s="2">
        <f t="shared" ca="1" si="1294"/>
        <v>-19571913.10993427</v>
      </c>
      <c r="BE1345" s="2">
        <f t="shared" ca="1" si="1295"/>
        <v>2185200.7213968183</v>
      </c>
      <c r="BF1345" s="2">
        <f t="shared" ca="1" si="1296"/>
        <v>2451767.6323138471</v>
      </c>
      <c r="BG1345" s="2">
        <f t="shared" ca="1" si="1297"/>
        <v>2640726.0322659439</v>
      </c>
      <c r="BH1345" s="2">
        <f t="shared" ca="1" si="1298"/>
        <v>2838095.6164272032</v>
      </c>
      <c r="BI1345" s="2">
        <f t="shared" ca="1" si="1299"/>
        <v>31734918.20987821</v>
      </c>
      <c r="BJ1345" s="2">
        <f t="shared" ca="1" si="1300"/>
        <v>0.19404414594533881</v>
      </c>
      <c r="BK1345" s="2">
        <f t="shared" ca="1" si="1301"/>
        <v>6024215.6668524966</v>
      </c>
    </row>
    <row r="1346" spans="1:63" x14ac:dyDescent="0.3">
      <c r="A1346" s="2">
        <v>1345</v>
      </c>
      <c r="B1346" s="2">
        <f t="shared" ref="B1346:B1409" ca="1" si="1302">RAND()</f>
        <v>0.45624859526155481</v>
      </c>
      <c r="C1346" s="2">
        <f t="shared" ref="C1346:C1409" ca="1" si="1303">IF(B1346&lt;((P_Mode)-(P_Low))/((P_High)-(P_Low)), (P_Low)+SQRT(B1346*((P_High)-(P_Low))*((P_Mode)-(P_Low))), (P_High)-SQRT((1-B1346)*((P_High)-(P_Low))*((P_High)-(P_Mode))))</f>
        <v>6.9552471881785936</v>
      </c>
      <c r="D1346" s="2">
        <f t="shared" ref="D1346:D1409" ca="1" si="1304">RAND()</f>
        <v>0.6735304670682325</v>
      </c>
      <c r="E1346" s="2">
        <f t="shared" ref="E1346:E1409" ca="1" si="1305">IF(D1346&lt;((X_Mode)-(X_Low))/((X_High)-(X_Low)), (X_Low)+SQRT(D1346*((X_High)-(X_Low))*((X_Mode)-(X_Low))), (X_High)-SQRT((1-D1346)*((X_High)-(X_Low))*((X_High)-(X_Mode))))</f>
        <v>7.6919535496869411</v>
      </c>
      <c r="F1346" s="2">
        <f t="shared" ref="F1346:F1409" ca="1" si="1306">RAND()</f>
        <v>0.16813944706841455</v>
      </c>
      <c r="G1346" s="2">
        <f t="shared" ref="G1346:G1409" ca="1" si="1307">NORMINV(F1346, g_Mean, g_SD)</f>
        <v>1.1153690804851506E-2</v>
      </c>
      <c r="H1346" s="2">
        <f t="shared" ref="H1346:H1409" ca="1" si="1308">MIN(MAX(G1346, g_Min), g_Max)</f>
        <v>1.1153690804851506E-2</v>
      </c>
      <c r="I1346" s="2">
        <f t="shared" ref="I1346:I1409" ca="1" si="1309">RAND()</f>
        <v>0.45257951243549055</v>
      </c>
      <c r="J1346" s="2">
        <f t="shared" ref="J1346:J1409" ca="1" si="1310">NORMINV(I1346, syn_Mean, syn_SD)</f>
        <v>9.4042658177346059E-3</v>
      </c>
      <c r="K1346" s="2">
        <f t="shared" ref="K1346:K1409" ca="1" si="1311">MIN(MAX(J1346, syn_Min), syn_Max)</f>
        <v>9.4042658177346059E-3</v>
      </c>
      <c r="L1346" s="2">
        <f t="shared" ref="L1346:L1409" ca="1" si="1312">RAND()</f>
        <v>0.68464862551599792</v>
      </c>
      <c r="M1346" s="2">
        <f t="shared" ref="M1346:M1409" ca="1" si="1313">NORMINV(L1346, shk_Mean, shk_SD)</f>
        <v>9.6147591850338065E-3</v>
      </c>
      <c r="N1346" s="2">
        <f t="shared" ref="N1346:N1409" ca="1" si="1314">MIN(MAX(M1346, shk_Min), shk_Max)</f>
        <v>9.6147591850338065E-3</v>
      </c>
      <c r="O1346" s="2">
        <f t="shared" ref="O1346:O1409" si="1315">BaseRev*BaseMargin</f>
        <v>6000000</v>
      </c>
      <c r="P1346" s="2">
        <f t="shared" ref="P1346:P1409" ca="1" si="1316">O1346*C1346</f>
        <v>41731483.129071563</v>
      </c>
      <c r="Q1346" s="2">
        <f t="shared" ref="Q1346:Q1409" ca="1" si="1317">P1346*TxnCostPct</f>
        <v>1043287.0782267891</v>
      </c>
      <c r="R1346" s="2">
        <f t="shared" ref="R1346:R1409" ca="1" si="1318">P1346*DebtPct</f>
        <v>25038889.877442937</v>
      </c>
      <c r="S1346" s="2">
        <f t="shared" ref="S1346:S1409" ca="1" si="1319">P1346*EqPct</f>
        <v>16692593.251628626</v>
      </c>
      <c r="T1346" s="2">
        <f t="shared" ref="T1346:T1409" ca="1" si="1320">BaseRev*(1+N1346)</f>
        <v>50480737.959251687</v>
      </c>
      <c r="U1346" s="2">
        <f t="shared" ref="U1346:U1409" ca="1" si="1321">T1346*(1+H1346)</f>
        <v>51043784.502049908</v>
      </c>
      <c r="V1346" s="2">
        <f t="shared" ref="V1346:V1409" ca="1" si="1322">U1346*(1+H1346)</f>
        <v>51613111.091895245</v>
      </c>
      <c r="W1346" s="2">
        <f t="shared" ref="W1346:W1409" ca="1" si="1323">V1346*(1+H1346)</f>
        <v>52188787.774490699</v>
      </c>
      <c r="X1346" s="2">
        <f t="shared" ref="X1346:X1409" ca="1" si="1324">W1346*(1+H1346)</f>
        <v>52770885.376807384</v>
      </c>
      <c r="Y1346" s="2">
        <f t="shared" ref="Y1346:Y1409" ca="1" si="1325">BaseMargin + SynReal_Y1*K1346</f>
        <v>0.12470213290886729</v>
      </c>
      <c r="Z1346" s="2">
        <f t="shared" ref="Z1346:Z1409" ca="1" si="1326">BaseMargin + SynReal_Y2toY5*K1346</f>
        <v>0.12658298607241422</v>
      </c>
      <c r="AA1346" s="2">
        <f t="shared" ref="AA1346:AA1409" ca="1" si="1327">T1346*Y1346</f>
        <v>6295055.6943323063</v>
      </c>
      <c r="AB1346" s="2">
        <f t="shared" ref="AB1346:AB1409" ca="1" si="1328">U1346*Z1346</f>
        <v>6461274.662706296</v>
      </c>
      <c r="AC1346" s="2">
        <f t="shared" ref="AC1346:AC1409" ca="1" si="1329">V1346*Z1346</f>
        <v>6533341.7224993436</v>
      </c>
      <c r="AD1346" s="2">
        <f t="shared" ref="AD1346:AD1409" ca="1" si="1330">W1346*Z1346</f>
        <v>6606212.5959945377</v>
      </c>
      <c r="AE1346" s="2">
        <f t="shared" ref="AE1346:AE1409" ca="1" si="1331">X1346*Z1346</f>
        <v>6679896.2486813767</v>
      </c>
      <c r="AF1346" s="2">
        <f t="shared" ref="AF1346:AF1409" ca="1" si="1332">T1346*CapexPct</f>
        <v>1009614.7591850337</v>
      </c>
      <c r="AG1346" s="2">
        <f t="shared" ref="AG1346:AG1409" ca="1" si="1333">U1346*CapexPct</f>
        <v>1020875.6900409982</v>
      </c>
      <c r="AH1346" s="2">
        <f t="shared" ref="AH1346:AH1409" ca="1" si="1334">V1346*CapexPct</f>
        <v>1032262.2218379049</v>
      </c>
      <c r="AI1346" s="2">
        <f t="shared" ref="AI1346:AI1409" ca="1" si="1335">W1346*CapexPct</f>
        <v>1043775.755489814</v>
      </c>
      <c r="AJ1346" s="2">
        <f t="shared" ref="AJ1346:AJ1409" ca="1" si="1336">X1346*CapexPct</f>
        <v>1055417.7075361477</v>
      </c>
      <c r="AK1346" s="2">
        <f t="shared" ref="AK1346:AK1409" ca="1" si="1337">MAX(T1346-BaseRev*(1+N1346),0)*WCPct</f>
        <v>0</v>
      </c>
      <c r="AL1346" s="2">
        <f t="shared" ref="AL1346:AL1409" ca="1" si="1338">MAX(U1346-T1346,0)*WCPct</f>
        <v>5630.4654279822116</v>
      </c>
      <c r="AM1346" s="2">
        <f t="shared" ref="AM1346:AM1409" ca="1" si="1339">MAX(V1346-U1346,0)*WCPct</f>
        <v>5693.26589845337</v>
      </c>
      <c r="AN1346" s="2">
        <f t="shared" ref="AN1346:AN1409" ca="1" si="1340">MAX(W1346-V1346,0)*WCPct</f>
        <v>5756.7668259545417</v>
      </c>
      <c r="AO1346" s="2">
        <f t="shared" ref="AO1346:AO1409" ca="1" si="1341">MAX(X1346-W1346,0)*WCPct</f>
        <v>5820.9760231668506</v>
      </c>
      <c r="AP1346" s="2">
        <f t="shared" ref="AP1346:AP1409" ca="1" si="1342">R1346*DebtRate</f>
        <v>2253500.0889698644</v>
      </c>
      <c r="AQ1346" s="2">
        <f t="shared" ref="AQ1346:AQ1409" ca="1" si="1343">MAX(AA1346-AF1346-AP1346,0)*Tax</f>
        <v>788304.62000612612</v>
      </c>
      <c r="AR1346" s="2">
        <f t="shared" ref="AR1346:AR1409" ca="1" si="1344">MAX(AB1346-AG1346-AP1346,0)*Tax</f>
        <v>828593.70976081269</v>
      </c>
      <c r="AS1346" s="2">
        <f t="shared" ref="AS1346:AS1409" ca="1" si="1345">MAX(AC1346-AH1346-AP1346,0)*Tax</f>
        <v>844370.64703980926</v>
      </c>
      <c r="AT1346" s="2">
        <f t="shared" ref="AT1346:AT1409" ca="1" si="1346">MAX(AD1346-AI1346-AP1346,0)*Tax</f>
        <v>860323.55539906339</v>
      </c>
      <c r="AU1346" s="2">
        <f t="shared" ref="AU1346:AU1409" ca="1" si="1347">MAX(AE1346-AJ1346-AP1346,0)*Tax</f>
        <v>876454.39756559476</v>
      </c>
      <c r="AV1346" s="2">
        <f t="shared" ref="AV1346:AV1409" ca="1" si="1348">AA1346-AF1346-AK1346-AQ1346-AP1346</f>
        <v>2243636.2261712817</v>
      </c>
      <c r="AW1346" s="2">
        <f t="shared" ref="AW1346:AW1409" ca="1" si="1349">AB1346-AG1346-AL1346-AR1346-AP1346</f>
        <v>2352674.7085066377</v>
      </c>
      <c r="AX1346" s="2">
        <f t="shared" ref="AX1346:AX1409" ca="1" si="1350">AC1346-AH1346-AM1346-AS1346-AP1346</f>
        <v>2397515.4987533116</v>
      </c>
      <c r="AY1346" s="2">
        <f t="shared" ref="AY1346:AY1409" ca="1" si="1351">AD1346-AI1346-AN1346-AT1346-AP1346</f>
        <v>2442856.4293098417</v>
      </c>
      <c r="AZ1346" s="2">
        <f t="shared" ref="AZ1346:AZ1409" ca="1" si="1352">AE1346-AJ1346-AO1346-AU1346-AP1346</f>
        <v>2488703.078586603</v>
      </c>
      <c r="BA1346" s="2">
        <f t="shared" ref="BA1346:BA1409" ca="1" si="1353">AE1346*E1346</f>
        <v>51381451.661585197</v>
      </c>
      <c r="BB1346" s="2">
        <f t="shared" ref="BB1346:BB1409" ca="1" si="1354">BA1346*SellCostPct</f>
        <v>1027629.0332317039</v>
      </c>
      <c r="BC1346" s="2">
        <f t="shared" ref="BC1346:BC1409" ca="1" si="1355">BA1346-R1346-BB1346</f>
        <v>25314932.750910554</v>
      </c>
      <c r="BD1346" s="2">
        <f t="shared" ref="BD1346:BD1409" ca="1" si="1356">-S1346-Q1346-IntegrationPct*BaseRev</f>
        <v>-18235880.329855416</v>
      </c>
      <c r="BE1346" s="2">
        <f t="shared" ref="BE1346:BE1409" ca="1" si="1357">AV1346</f>
        <v>2243636.2261712817</v>
      </c>
      <c r="BF1346" s="2">
        <f t="shared" ref="BF1346:BF1409" ca="1" si="1358">AW1346</f>
        <v>2352674.7085066377</v>
      </c>
      <c r="BG1346" s="2">
        <f t="shared" ref="BG1346:BG1409" ca="1" si="1359">AX1346</f>
        <v>2397515.4987533116</v>
      </c>
      <c r="BH1346" s="2">
        <f t="shared" ref="BH1346:BH1409" ca="1" si="1360">AY1346</f>
        <v>2442856.4293098417</v>
      </c>
      <c r="BI1346" s="2">
        <f t="shared" ref="BI1346:BI1409" ca="1" si="1361">AZ1346+BC1346</f>
        <v>27803635.829497159</v>
      </c>
      <c r="BJ1346" s="2">
        <f t="shared" ref="BJ1346:BJ1409" ca="1" si="1362">IF(MIN(BD1346:BI1346)*MAX(BD1346:BI1346)&gt;=0, "", IFERROR(IRR(BD1346:BI1346,0.12), IFERROR(IRR(BD1346:BI1346,0.5), IFERROR(IRR(BD1346:BI1346,-0.5),""))))</f>
        <v>0.18358891221137874</v>
      </c>
      <c r="BK1346" s="2">
        <f t="shared" ref="BK1346:BK1409" ca="1" si="1363">NPV(12%,BE1346:BI1346)+BD1346</f>
        <v>4678417.4300348386</v>
      </c>
    </row>
    <row r="1347" spans="1:63" x14ac:dyDescent="0.3">
      <c r="A1347" s="2">
        <v>1346</v>
      </c>
      <c r="B1347" s="2">
        <f t="shared" ca="1" si="1302"/>
        <v>5.3589494981210906E-2</v>
      </c>
      <c r="C1347" s="2">
        <f t="shared" ca="1" si="1303"/>
        <v>6.3273820244949652</v>
      </c>
      <c r="D1347" s="2">
        <f t="shared" ca="1" si="1304"/>
        <v>0.11466620911039205</v>
      </c>
      <c r="E1347" s="2">
        <f t="shared" ca="1" si="1305"/>
        <v>6.9788866444376829</v>
      </c>
      <c r="F1347" s="2">
        <f t="shared" ca="1" si="1306"/>
        <v>0.63219365975721131</v>
      </c>
      <c r="G1347" s="2">
        <f t="shared" ca="1" si="1307"/>
        <v>5.0130068324310183E-2</v>
      </c>
      <c r="H1347" s="2">
        <f t="shared" ca="1" si="1308"/>
        <v>5.0130068324310183E-2</v>
      </c>
      <c r="I1347" s="2">
        <f t="shared" ca="1" si="1309"/>
        <v>0.5394947363909115</v>
      </c>
      <c r="J1347" s="2">
        <f t="shared" ca="1" si="1310"/>
        <v>1.0495804448767233E-2</v>
      </c>
      <c r="K1347" s="2">
        <f t="shared" ca="1" si="1311"/>
        <v>1.0495804448767233E-2</v>
      </c>
      <c r="L1347" s="2">
        <f t="shared" ca="1" si="1312"/>
        <v>0.34856207519282167</v>
      </c>
      <c r="M1347" s="2">
        <f t="shared" ca="1" si="1313"/>
        <v>-7.7841095890006312E-3</v>
      </c>
      <c r="N1347" s="2">
        <f t="shared" ca="1" si="1314"/>
        <v>-7.7841095890006312E-3</v>
      </c>
      <c r="O1347" s="2">
        <f t="shared" si="1315"/>
        <v>6000000</v>
      </c>
      <c r="P1347" s="2">
        <f t="shared" ca="1" si="1316"/>
        <v>37964292.146969788</v>
      </c>
      <c r="Q1347" s="2">
        <f t="shared" ca="1" si="1317"/>
        <v>949107.30367424479</v>
      </c>
      <c r="R1347" s="2">
        <f t="shared" ca="1" si="1318"/>
        <v>22778575.288181871</v>
      </c>
      <c r="S1347" s="2">
        <f t="shared" ca="1" si="1319"/>
        <v>15185716.858787917</v>
      </c>
      <c r="T1347" s="2">
        <f t="shared" ca="1" si="1320"/>
        <v>49610794.520549968</v>
      </c>
      <c r="U1347" s="2">
        <f t="shared" ca="1" si="1321"/>
        <v>52097787.03948845</v>
      </c>
      <c r="V1347" s="2">
        <f t="shared" ca="1" si="1322"/>
        <v>54709452.663323373</v>
      </c>
      <c r="W1347" s="2">
        <f t="shared" ca="1" si="1323"/>
        <v>57452041.263321392</v>
      </c>
      <c r="X1347" s="2">
        <f t="shared" ca="1" si="1324"/>
        <v>60332116.017222784</v>
      </c>
      <c r="Y1347" s="2">
        <f t="shared" ca="1" si="1325"/>
        <v>0.12524790222438362</v>
      </c>
      <c r="Z1347" s="2">
        <f t="shared" ca="1" si="1326"/>
        <v>0.12734706311413707</v>
      </c>
      <c r="AA1347" s="2">
        <f t="shared" ca="1" si="1327"/>
        <v>6213647.9413838293</v>
      </c>
      <c r="AB1347" s="2">
        <f t="shared" ca="1" si="1328"/>
        <v>6634500.1742246076</v>
      </c>
      <c r="AC1347" s="2">
        <f t="shared" ca="1" si="1329"/>
        <v>6967088.1212561363</v>
      </c>
      <c r="AD1347" s="2">
        <f t="shared" ca="1" si="1330"/>
        <v>7316348.7247961964</v>
      </c>
      <c r="AE1347" s="2">
        <f t="shared" ca="1" si="1331"/>
        <v>7683117.7862547096</v>
      </c>
      <c r="AF1347" s="2">
        <f t="shared" ca="1" si="1332"/>
        <v>992215.89041099942</v>
      </c>
      <c r="AG1347" s="2">
        <f t="shared" ca="1" si="1333"/>
        <v>1041955.740789769</v>
      </c>
      <c r="AH1347" s="2">
        <f t="shared" ca="1" si="1334"/>
        <v>1094189.0532664675</v>
      </c>
      <c r="AI1347" s="2">
        <f t="shared" ca="1" si="1335"/>
        <v>1149040.8252664278</v>
      </c>
      <c r="AJ1347" s="2">
        <f t="shared" ca="1" si="1336"/>
        <v>1206642.3203444558</v>
      </c>
      <c r="AK1347" s="2">
        <f t="shared" ca="1" si="1337"/>
        <v>0</v>
      </c>
      <c r="AL1347" s="2">
        <f t="shared" ca="1" si="1338"/>
        <v>24869.92518938482</v>
      </c>
      <c r="AM1347" s="2">
        <f t="shared" ca="1" si="1339"/>
        <v>26116.656238349231</v>
      </c>
      <c r="AN1347" s="2">
        <f t="shared" ca="1" si="1340"/>
        <v>27425.885999980197</v>
      </c>
      <c r="AO1347" s="2">
        <f t="shared" ca="1" si="1341"/>
        <v>28800.747539013923</v>
      </c>
      <c r="AP1347" s="2">
        <f t="shared" ca="1" si="1342"/>
        <v>2050071.7759363684</v>
      </c>
      <c r="AQ1347" s="2">
        <f t="shared" ca="1" si="1343"/>
        <v>824553.67150947999</v>
      </c>
      <c r="AR1347" s="2">
        <f t="shared" ca="1" si="1344"/>
        <v>921042.89094960224</v>
      </c>
      <c r="AS1347" s="2">
        <f t="shared" ca="1" si="1345"/>
        <v>993935.09593385819</v>
      </c>
      <c r="AT1347" s="2">
        <f t="shared" ca="1" si="1346"/>
        <v>1070481.3921342839</v>
      </c>
      <c r="AU1347" s="2">
        <f t="shared" ca="1" si="1347"/>
        <v>1150864.9593932102</v>
      </c>
      <c r="AV1347" s="2">
        <f t="shared" ca="1" si="1348"/>
        <v>2346806.6035269811</v>
      </c>
      <c r="AW1347" s="2">
        <f t="shared" ca="1" si="1349"/>
        <v>2596559.8413594826</v>
      </c>
      <c r="AX1347" s="2">
        <f t="shared" ca="1" si="1350"/>
        <v>2802775.539881093</v>
      </c>
      <c r="AY1347" s="2">
        <f t="shared" ca="1" si="1351"/>
        <v>3019328.8454591357</v>
      </c>
      <c r="AZ1347" s="2">
        <f t="shared" ca="1" si="1352"/>
        <v>3246737.9830416613</v>
      </c>
      <c r="BA1347" s="2">
        <f t="shared" ca="1" si="1353"/>
        <v>53619608.106134608</v>
      </c>
      <c r="BB1347" s="2">
        <f t="shared" ca="1" si="1354"/>
        <v>1072392.1621226922</v>
      </c>
      <c r="BC1347" s="2">
        <f t="shared" ca="1" si="1355"/>
        <v>29768640.655830044</v>
      </c>
      <c r="BD1347" s="2">
        <f t="shared" ca="1" si="1356"/>
        <v>-16634824.162462162</v>
      </c>
      <c r="BE1347" s="2">
        <f t="shared" ca="1" si="1357"/>
        <v>2346806.6035269811</v>
      </c>
      <c r="BF1347" s="2">
        <f t="shared" ca="1" si="1358"/>
        <v>2596559.8413594826</v>
      </c>
      <c r="BG1347" s="2">
        <f t="shared" ca="1" si="1359"/>
        <v>2802775.539881093</v>
      </c>
      <c r="BH1347" s="2">
        <f t="shared" ca="1" si="1360"/>
        <v>3019328.8454591357</v>
      </c>
      <c r="BI1347" s="2">
        <f t="shared" ca="1" si="1361"/>
        <v>33015378.638871707</v>
      </c>
      <c r="BJ1347" s="2">
        <f t="shared" ca="1" si="1362"/>
        <v>0.25731378772799274</v>
      </c>
      <c r="BK1347" s="2">
        <f t="shared" ca="1" si="1363"/>
        <v>10178111.310322212</v>
      </c>
    </row>
    <row r="1348" spans="1:63" x14ac:dyDescent="0.3">
      <c r="A1348" s="2">
        <v>1347</v>
      </c>
      <c r="B1348" s="2">
        <f t="shared" ca="1" si="1302"/>
        <v>0.27600733444585557</v>
      </c>
      <c r="C1348" s="2">
        <f t="shared" ca="1" si="1303"/>
        <v>6.7429768966069616</v>
      </c>
      <c r="D1348" s="2">
        <f t="shared" ca="1" si="1304"/>
        <v>0.27853784844845975</v>
      </c>
      <c r="E1348" s="2">
        <f t="shared" ca="1" si="1305"/>
        <v>7.2463750376968132</v>
      </c>
      <c r="F1348" s="2">
        <f t="shared" ca="1" si="1306"/>
        <v>0.55212021932455024</v>
      </c>
      <c r="G1348" s="2">
        <f t="shared" ca="1" si="1307"/>
        <v>4.3930597145220435E-2</v>
      </c>
      <c r="H1348" s="2">
        <f t="shared" ca="1" si="1308"/>
        <v>4.3930597145220435E-2</v>
      </c>
      <c r="I1348" s="2">
        <f t="shared" ca="1" si="1309"/>
        <v>9.2759388516595598E-2</v>
      </c>
      <c r="J1348" s="2">
        <f t="shared" ca="1" si="1310"/>
        <v>3.3802368443281742E-3</v>
      </c>
      <c r="K1348" s="2">
        <f t="shared" ca="1" si="1311"/>
        <v>3.3802368443281742E-3</v>
      </c>
      <c r="L1348" s="2">
        <f t="shared" ca="1" si="1312"/>
        <v>0.71247536513661125</v>
      </c>
      <c r="M1348" s="2">
        <f t="shared" ca="1" si="1313"/>
        <v>1.1212615431510508E-2</v>
      </c>
      <c r="N1348" s="2">
        <f t="shared" ca="1" si="1314"/>
        <v>1.1212615431510508E-2</v>
      </c>
      <c r="O1348" s="2">
        <f t="shared" si="1315"/>
        <v>6000000</v>
      </c>
      <c r="P1348" s="2">
        <f t="shared" ca="1" si="1316"/>
        <v>40457861.379641771</v>
      </c>
      <c r="Q1348" s="2">
        <f t="shared" ca="1" si="1317"/>
        <v>1011446.5344910444</v>
      </c>
      <c r="R1348" s="2">
        <f t="shared" ca="1" si="1318"/>
        <v>24274716.827785064</v>
      </c>
      <c r="S1348" s="2">
        <f t="shared" ca="1" si="1319"/>
        <v>16183144.55185671</v>
      </c>
      <c r="T1348" s="2">
        <f t="shared" ca="1" si="1320"/>
        <v>50560630.771575518</v>
      </c>
      <c r="U1348" s="2">
        <f t="shared" ca="1" si="1321"/>
        <v>52781789.473409839</v>
      </c>
      <c r="V1348" s="2">
        <f t="shared" ca="1" si="1322"/>
        <v>55100525.003370039</v>
      </c>
      <c r="W1348" s="2">
        <f t="shared" ca="1" si="1323"/>
        <v>57521123.969783232</v>
      </c>
      <c r="X1348" s="2">
        <f t="shared" ca="1" si="1324"/>
        <v>60048061.294240057</v>
      </c>
      <c r="Y1348" s="2">
        <f t="shared" ca="1" si="1325"/>
        <v>0.12169011842216408</v>
      </c>
      <c r="Z1348" s="2">
        <f t="shared" ca="1" si="1326"/>
        <v>0.12236616579102971</v>
      </c>
      <c r="AA1348" s="2">
        <f t="shared" ca="1" si="1327"/>
        <v>6152729.1460923385</v>
      </c>
      <c r="AB1348" s="2">
        <f t="shared" ca="1" si="1328"/>
        <v>6458705.201450495</v>
      </c>
      <c r="AC1348" s="2">
        <f t="shared" ca="1" si="1329"/>
        <v>6742439.9777351562</v>
      </c>
      <c r="AD1348" s="2">
        <f t="shared" ca="1" si="1330"/>
        <v>7038639.3921728684</v>
      </c>
      <c r="AE1348" s="2">
        <f t="shared" ca="1" si="1331"/>
        <v>7347851.0237608934</v>
      </c>
      <c r="AF1348" s="2">
        <f t="shared" ca="1" si="1332"/>
        <v>1011212.6154315104</v>
      </c>
      <c r="AG1348" s="2">
        <f t="shared" ca="1" si="1333"/>
        <v>1055635.7894681967</v>
      </c>
      <c r="AH1348" s="2">
        <f t="shared" ca="1" si="1334"/>
        <v>1102010.5000674007</v>
      </c>
      <c r="AI1348" s="2">
        <f t="shared" ca="1" si="1335"/>
        <v>1150422.4793956648</v>
      </c>
      <c r="AJ1348" s="2">
        <f t="shared" ca="1" si="1336"/>
        <v>1200961.2258848012</v>
      </c>
      <c r="AK1348" s="2">
        <f t="shared" ca="1" si="1337"/>
        <v>0</v>
      </c>
      <c r="AL1348" s="2">
        <f t="shared" ca="1" si="1338"/>
        <v>22211.587018343209</v>
      </c>
      <c r="AM1348" s="2">
        <f t="shared" ca="1" si="1339"/>
        <v>23187.355299602001</v>
      </c>
      <c r="AN1348" s="2">
        <f t="shared" ca="1" si="1340"/>
        <v>24205.989664131925</v>
      </c>
      <c r="AO1348" s="2">
        <f t="shared" ca="1" si="1341"/>
        <v>25269.373244568258</v>
      </c>
      <c r="AP1348" s="2">
        <f t="shared" ca="1" si="1342"/>
        <v>2184724.5145006557</v>
      </c>
      <c r="AQ1348" s="2">
        <f t="shared" ca="1" si="1343"/>
        <v>768765.92420164496</v>
      </c>
      <c r="AR1348" s="2">
        <f t="shared" ca="1" si="1344"/>
        <v>836769.67334522703</v>
      </c>
      <c r="AS1348" s="2">
        <f t="shared" ca="1" si="1345"/>
        <v>898483.29042344599</v>
      </c>
      <c r="AT1348" s="2">
        <f t="shared" ca="1" si="1346"/>
        <v>962908.02355190262</v>
      </c>
      <c r="AU1348" s="2">
        <f t="shared" ca="1" si="1347"/>
        <v>1030162.9736776134</v>
      </c>
      <c r="AV1348" s="2">
        <f t="shared" ca="1" si="1348"/>
        <v>2188026.0919585279</v>
      </c>
      <c r="AW1348" s="2">
        <f t="shared" ca="1" si="1349"/>
        <v>2359363.6371180718</v>
      </c>
      <c r="AX1348" s="2">
        <f t="shared" ca="1" si="1350"/>
        <v>2534034.3174440512</v>
      </c>
      <c r="AY1348" s="2">
        <f t="shared" ca="1" si="1351"/>
        <v>2716378.3850605139</v>
      </c>
      <c r="AZ1348" s="2">
        <f t="shared" ca="1" si="1352"/>
        <v>2906732.9364532535</v>
      </c>
      <c r="BA1348" s="2">
        <f t="shared" ca="1" si="1353"/>
        <v>53245284.239295915</v>
      </c>
      <c r="BB1348" s="2">
        <f t="shared" ca="1" si="1354"/>
        <v>1064905.6847859183</v>
      </c>
      <c r="BC1348" s="2">
        <f t="shared" ca="1" si="1355"/>
        <v>27905661.726724934</v>
      </c>
      <c r="BD1348" s="2">
        <f t="shared" ca="1" si="1356"/>
        <v>-17694591.086347755</v>
      </c>
      <c r="BE1348" s="2">
        <f t="shared" ca="1" si="1357"/>
        <v>2188026.0919585279</v>
      </c>
      <c r="BF1348" s="2">
        <f t="shared" ca="1" si="1358"/>
        <v>2359363.6371180718</v>
      </c>
      <c r="BG1348" s="2">
        <f t="shared" ca="1" si="1359"/>
        <v>2534034.3174440512</v>
      </c>
      <c r="BH1348" s="2">
        <f t="shared" ca="1" si="1360"/>
        <v>2716378.3850605139</v>
      </c>
      <c r="BI1348" s="2">
        <f t="shared" ca="1" si="1361"/>
        <v>30812394.663178187</v>
      </c>
      <c r="BJ1348" s="2">
        <f t="shared" ca="1" si="1362"/>
        <v>0.21501451514269698</v>
      </c>
      <c r="BK1348" s="2">
        <f t="shared" ca="1" si="1363"/>
        <v>7153637.2518620826</v>
      </c>
    </row>
    <row r="1349" spans="1:63" x14ac:dyDescent="0.3">
      <c r="A1349" s="2">
        <v>1348</v>
      </c>
      <c r="B1349" s="2">
        <f t="shared" ca="1" si="1302"/>
        <v>0.10219111833960526</v>
      </c>
      <c r="C1349" s="2">
        <f t="shared" ca="1" si="1303"/>
        <v>6.4520865367152735</v>
      </c>
      <c r="D1349" s="2">
        <f t="shared" ca="1" si="1304"/>
        <v>9.1435010855307475E-2</v>
      </c>
      <c r="E1349" s="2">
        <f t="shared" ca="1" si="1305"/>
        <v>6.9276330456251189</v>
      </c>
      <c r="F1349" s="2">
        <f t="shared" ca="1" si="1306"/>
        <v>0.75894483176981964</v>
      </c>
      <c r="G1349" s="2">
        <f t="shared" ca="1" si="1307"/>
        <v>6.1087372316512484E-2</v>
      </c>
      <c r="H1349" s="2">
        <f t="shared" ca="1" si="1308"/>
        <v>6.1087372316512484E-2</v>
      </c>
      <c r="I1349" s="2">
        <f t="shared" ca="1" si="1309"/>
        <v>0.10664942574860115</v>
      </c>
      <c r="J1349" s="2">
        <f t="shared" ca="1" si="1310"/>
        <v>3.7772723251229311E-3</v>
      </c>
      <c r="K1349" s="2">
        <f t="shared" ca="1" si="1311"/>
        <v>3.7772723251229311E-3</v>
      </c>
      <c r="L1349" s="2">
        <f t="shared" ca="1" si="1312"/>
        <v>0.4628652577091471</v>
      </c>
      <c r="M1349" s="2">
        <f t="shared" ca="1" si="1313"/>
        <v>-1.8643564578786171E-3</v>
      </c>
      <c r="N1349" s="2">
        <f t="shared" ca="1" si="1314"/>
        <v>-1.8643564578786171E-3</v>
      </c>
      <c r="O1349" s="2">
        <f t="shared" si="1315"/>
        <v>6000000</v>
      </c>
      <c r="P1349" s="2">
        <f t="shared" ca="1" si="1316"/>
        <v>38712519.220291644</v>
      </c>
      <c r="Q1349" s="2">
        <f t="shared" ca="1" si="1317"/>
        <v>967812.98050729115</v>
      </c>
      <c r="R1349" s="2">
        <f t="shared" ca="1" si="1318"/>
        <v>23227511.532174986</v>
      </c>
      <c r="S1349" s="2">
        <f t="shared" ca="1" si="1319"/>
        <v>15485007.688116658</v>
      </c>
      <c r="T1349" s="2">
        <f t="shared" ca="1" si="1320"/>
        <v>49906782.177106068</v>
      </c>
      <c r="U1349" s="2">
        <f t="shared" ca="1" si="1321"/>
        <v>52955456.361078031</v>
      </c>
      <c r="V1349" s="2">
        <f t="shared" ca="1" si="1322"/>
        <v>56190366.039998032</v>
      </c>
      <c r="W1349" s="2">
        <f t="shared" ca="1" si="1323"/>
        <v>59622887.850884505</v>
      </c>
      <c r="X1349" s="2">
        <f t="shared" ca="1" si="1324"/>
        <v>63265093.39961715</v>
      </c>
      <c r="Y1349" s="2">
        <f t="shared" ca="1" si="1325"/>
        <v>0.12188863616256146</v>
      </c>
      <c r="Z1349" s="2">
        <f t="shared" ca="1" si="1326"/>
        <v>0.12264409062758605</v>
      </c>
      <c r="AA1349" s="2">
        <f t="shared" ca="1" si="1327"/>
        <v>6083069.6148294881</v>
      </c>
      <c r="AB1349" s="2">
        <f t="shared" ca="1" si="1328"/>
        <v>6494673.7891732324</v>
      </c>
      <c r="AC1349" s="2">
        <f t="shared" ca="1" si="1329"/>
        <v>6891416.3450067518</v>
      </c>
      <c r="AD1349" s="2">
        <f t="shared" ca="1" si="1330"/>
        <v>7312394.861062278</v>
      </c>
      <c r="AE1349" s="2">
        <f t="shared" ca="1" si="1331"/>
        <v>7759089.8484653421</v>
      </c>
      <c r="AF1349" s="2">
        <f t="shared" ca="1" si="1332"/>
        <v>998135.6435421214</v>
      </c>
      <c r="AG1349" s="2">
        <f t="shared" ca="1" si="1333"/>
        <v>1059109.1272215606</v>
      </c>
      <c r="AH1349" s="2">
        <f t="shared" ca="1" si="1334"/>
        <v>1123807.3207999608</v>
      </c>
      <c r="AI1349" s="2">
        <f t="shared" ca="1" si="1335"/>
        <v>1192457.7570176902</v>
      </c>
      <c r="AJ1349" s="2">
        <f t="shared" ca="1" si="1336"/>
        <v>1265301.8679923431</v>
      </c>
      <c r="AK1349" s="2">
        <f t="shared" ca="1" si="1337"/>
        <v>0</v>
      </c>
      <c r="AL1349" s="2">
        <f t="shared" ca="1" si="1338"/>
        <v>30486.741839719638</v>
      </c>
      <c r="AM1349" s="2">
        <f t="shared" ca="1" si="1339"/>
        <v>32349.096789200008</v>
      </c>
      <c r="AN1349" s="2">
        <f t="shared" ca="1" si="1340"/>
        <v>34325.218108864727</v>
      </c>
      <c r="AO1349" s="2">
        <f t="shared" ca="1" si="1341"/>
        <v>36422.055487326455</v>
      </c>
      <c r="AP1349" s="2">
        <f t="shared" ca="1" si="1342"/>
        <v>2090476.0378957486</v>
      </c>
      <c r="AQ1349" s="2">
        <f t="shared" ca="1" si="1343"/>
        <v>778559.06268182083</v>
      </c>
      <c r="AR1349" s="2">
        <f t="shared" ca="1" si="1344"/>
        <v>869723.04225454025</v>
      </c>
      <c r="AS1349" s="2">
        <f t="shared" ca="1" si="1345"/>
        <v>956054.57644087111</v>
      </c>
      <c r="AT1349" s="2">
        <f t="shared" ca="1" si="1346"/>
        <v>1047659.8771986985</v>
      </c>
      <c r="AU1349" s="2">
        <f t="shared" ca="1" si="1347"/>
        <v>1144861.105070085</v>
      </c>
      <c r="AV1349" s="2">
        <f t="shared" ca="1" si="1348"/>
        <v>2215898.8707097974</v>
      </c>
      <c r="AW1349" s="2">
        <f t="shared" ca="1" si="1349"/>
        <v>2444878.8399616638</v>
      </c>
      <c r="AX1349" s="2">
        <f t="shared" ca="1" si="1350"/>
        <v>2688729.3130809721</v>
      </c>
      <c r="AY1349" s="2">
        <f t="shared" ca="1" si="1351"/>
        <v>2947475.9708412774</v>
      </c>
      <c r="AZ1349" s="2">
        <f t="shared" ca="1" si="1352"/>
        <v>3222028.7820198387</v>
      </c>
      <c r="BA1349" s="2">
        <f t="shared" ca="1" si="1353"/>
        <v>53752127.2382029</v>
      </c>
      <c r="BB1349" s="2">
        <f t="shared" ca="1" si="1354"/>
        <v>1075042.544764058</v>
      </c>
      <c r="BC1349" s="2">
        <f t="shared" ca="1" si="1355"/>
        <v>29449573.161263857</v>
      </c>
      <c r="BD1349" s="2">
        <f t="shared" ca="1" si="1356"/>
        <v>-16952820.66862395</v>
      </c>
      <c r="BE1349" s="2">
        <f t="shared" ca="1" si="1357"/>
        <v>2215898.8707097974</v>
      </c>
      <c r="BF1349" s="2">
        <f t="shared" ca="1" si="1358"/>
        <v>2444878.8399616638</v>
      </c>
      <c r="BG1349" s="2">
        <f t="shared" ca="1" si="1359"/>
        <v>2688729.3130809721</v>
      </c>
      <c r="BH1349" s="2">
        <f t="shared" ca="1" si="1360"/>
        <v>2947475.9708412774</v>
      </c>
      <c r="BI1349" s="2">
        <f t="shared" ca="1" si="1361"/>
        <v>32671601.943283696</v>
      </c>
      <c r="BJ1349" s="2">
        <f t="shared" ca="1" si="1362"/>
        <v>0.24403982316930994</v>
      </c>
      <c r="BK1349" s="2">
        <f t="shared" ca="1" si="1363"/>
        <v>9300405.9523784034</v>
      </c>
    </row>
    <row r="1350" spans="1:63" x14ac:dyDescent="0.3">
      <c r="A1350" s="2">
        <v>1349</v>
      </c>
      <c r="B1350" s="2">
        <f t="shared" ca="1" si="1302"/>
        <v>0.51370884121934024</v>
      </c>
      <c r="C1350" s="2">
        <f t="shared" ca="1" si="1303"/>
        <v>7.0138041180570063</v>
      </c>
      <c r="D1350" s="2">
        <f t="shared" ca="1" si="1304"/>
        <v>0.24903471036179992</v>
      </c>
      <c r="E1350" s="2">
        <f t="shared" ca="1" si="1305"/>
        <v>7.2057403351967348</v>
      </c>
      <c r="F1350" s="2">
        <f t="shared" ca="1" si="1306"/>
        <v>0.13013961995660417</v>
      </c>
      <c r="G1350" s="2">
        <f t="shared" ca="1" si="1307"/>
        <v>6.2280588002278162E-3</v>
      </c>
      <c r="H1350" s="2">
        <f t="shared" ca="1" si="1308"/>
        <v>6.2280588002278162E-3</v>
      </c>
      <c r="I1350" s="2">
        <f t="shared" ca="1" si="1309"/>
        <v>0.18744147875500761</v>
      </c>
      <c r="J1350" s="2">
        <f t="shared" ca="1" si="1310"/>
        <v>5.5631799870749015E-3</v>
      </c>
      <c r="K1350" s="2">
        <f t="shared" ca="1" si="1311"/>
        <v>5.5631799870749015E-3</v>
      </c>
      <c r="L1350" s="2">
        <f t="shared" ca="1" si="1312"/>
        <v>0.11671239419448654</v>
      </c>
      <c r="M1350" s="2">
        <f t="shared" ca="1" si="1313"/>
        <v>-2.3831660289329523E-2</v>
      </c>
      <c r="N1350" s="2">
        <f t="shared" ca="1" si="1314"/>
        <v>-2.3831660289329523E-2</v>
      </c>
      <c r="O1350" s="2">
        <f t="shared" si="1315"/>
        <v>6000000</v>
      </c>
      <c r="P1350" s="2">
        <f t="shared" ca="1" si="1316"/>
        <v>42082824.708342038</v>
      </c>
      <c r="Q1350" s="2">
        <f t="shared" ca="1" si="1317"/>
        <v>1052070.617708551</v>
      </c>
      <c r="R1350" s="2">
        <f t="shared" ca="1" si="1318"/>
        <v>25249694.825005222</v>
      </c>
      <c r="S1350" s="2">
        <f t="shared" ca="1" si="1319"/>
        <v>16833129.883336816</v>
      </c>
      <c r="T1350" s="2">
        <f t="shared" ca="1" si="1320"/>
        <v>48808416.985533528</v>
      </c>
      <c r="U1350" s="2">
        <f t="shared" ca="1" si="1321"/>
        <v>49112398.676465474</v>
      </c>
      <c r="V1350" s="2">
        <f t="shared" ca="1" si="1322"/>
        <v>49418273.583242737</v>
      </c>
      <c r="W1350" s="2">
        <f t="shared" ca="1" si="1323"/>
        <v>49726053.496924922</v>
      </c>
      <c r="X1350" s="2">
        <f t="shared" ca="1" si="1324"/>
        <v>50035750.282007046</v>
      </c>
      <c r="Y1350" s="2">
        <f t="shared" ca="1" si="1325"/>
        <v>0.12278158999353744</v>
      </c>
      <c r="Z1350" s="2">
        <f t="shared" ca="1" si="1326"/>
        <v>0.12389422599095243</v>
      </c>
      <c r="AA1350" s="2">
        <f t="shared" ca="1" si="1327"/>
        <v>5992775.0425513862</v>
      </c>
      <c r="AB1350" s="2">
        <f t="shared" ca="1" si="1328"/>
        <v>6084742.6205797661</v>
      </c>
      <c r="AC1350" s="2">
        <f t="shared" ca="1" si="1329"/>
        <v>6122638.7554049902</v>
      </c>
      <c r="AD1350" s="2">
        <f t="shared" ca="1" si="1330"/>
        <v>6160770.9095862061</v>
      </c>
      <c r="AE1350" s="2">
        <f t="shared" ca="1" si="1331"/>
        <v>6199140.5530658429</v>
      </c>
      <c r="AF1350" s="2">
        <f t="shared" ca="1" si="1332"/>
        <v>976168.33971067052</v>
      </c>
      <c r="AG1350" s="2">
        <f t="shared" ca="1" si="1333"/>
        <v>982247.9735293095</v>
      </c>
      <c r="AH1350" s="2">
        <f t="shared" ca="1" si="1334"/>
        <v>988365.47166485479</v>
      </c>
      <c r="AI1350" s="2">
        <f t="shared" ca="1" si="1335"/>
        <v>994521.06993849843</v>
      </c>
      <c r="AJ1350" s="2">
        <f t="shared" ca="1" si="1336"/>
        <v>1000715.005640141</v>
      </c>
      <c r="AK1350" s="2">
        <f t="shared" ca="1" si="1337"/>
        <v>0</v>
      </c>
      <c r="AL1350" s="2">
        <f t="shared" ca="1" si="1338"/>
        <v>3039.8169093194606</v>
      </c>
      <c r="AM1350" s="2">
        <f t="shared" ca="1" si="1339"/>
        <v>3058.7490677726269</v>
      </c>
      <c r="AN1350" s="2">
        <f t="shared" ca="1" si="1340"/>
        <v>3077.7991368218513</v>
      </c>
      <c r="AO1350" s="2">
        <f t="shared" ca="1" si="1341"/>
        <v>3096.9678508212419</v>
      </c>
      <c r="AP1350" s="2">
        <f t="shared" ca="1" si="1342"/>
        <v>2272472.5342504699</v>
      </c>
      <c r="AQ1350" s="2">
        <f t="shared" ca="1" si="1343"/>
        <v>713474.88383346389</v>
      </c>
      <c r="AR1350" s="2">
        <f t="shared" ca="1" si="1344"/>
        <v>735805.74932799675</v>
      </c>
      <c r="AS1350" s="2">
        <f t="shared" ca="1" si="1345"/>
        <v>744068.19486731291</v>
      </c>
      <c r="AT1350" s="2">
        <f t="shared" ca="1" si="1346"/>
        <v>752382.09940328181</v>
      </c>
      <c r="AU1350" s="2">
        <f t="shared" ca="1" si="1347"/>
        <v>760747.78342556045</v>
      </c>
      <c r="AV1350" s="2">
        <f t="shared" ca="1" si="1348"/>
        <v>2030659.2847567815</v>
      </c>
      <c r="AW1350" s="2">
        <f t="shared" ca="1" si="1349"/>
        <v>2091176.5465626707</v>
      </c>
      <c r="AX1350" s="2">
        <f t="shared" ca="1" si="1350"/>
        <v>2114673.8055545799</v>
      </c>
      <c r="AY1350" s="2">
        <f t="shared" ca="1" si="1351"/>
        <v>2138317.4068571338</v>
      </c>
      <c r="AZ1350" s="2">
        <f t="shared" ca="1" si="1352"/>
        <v>2162108.261898851</v>
      </c>
      <c r="BA1350" s="2">
        <f t="shared" ca="1" si="1353"/>
        <v>44669397.126780339</v>
      </c>
      <c r="BB1350" s="2">
        <f t="shared" ca="1" si="1354"/>
        <v>893387.94253560679</v>
      </c>
      <c r="BC1350" s="2">
        <f t="shared" ca="1" si="1355"/>
        <v>18526314.359239511</v>
      </c>
      <c r="BD1350" s="2">
        <f t="shared" ca="1" si="1356"/>
        <v>-18385200.501045369</v>
      </c>
      <c r="BE1350" s="2">
        <f t="shared" ca="1" si="1357"/>
        <v>2030659.2847567815</v>
      </c>
      <c r="BF1350" s="2">
        <f t="shared" ca="1" si="1358"/>
        <v>2091176.5465626707</v>
      </c>
      <c r="BG1350" s="2">
        <f t="shared" ca="1" si="1359"/>
        <v>2114673.8055545799</v>
      </c>
      <c r="BH1350" s="2">
        <f t="shared" ca="1" si="1360"/>
        <v>2138317.4068571338</v>
      </c>
      <c r="BI1350" s="2">
        <f t="shared" ca="1" si="1361"/>
        <v>20688422.621138364</v>
      </c>
      <c r="BJ1350" s="2">
        <f t="shared" ca="1" si="1362"/>
        <v>0.11547170850170096</v>
      </c>
      <c r="BK1350" s="2">
        <f t="shared" ca="1" si="1363"/>
        <v>-301749.70166535676</v>
      </c>
    </row>
    <row r="1351" spans="1:63" x14ac:dyDescent="0.3">
      <c r="A1351" s="2">
        <v>1350</v>
      </c>
      <c r="B1351" s="2">
        <f t="shared" ca="1" si="1302"/>
        <v>0.63361897141454937</v>
      </c>
      <c r="C1351" s="2">
        <f t="shared" ca="1" si="1303"/>
        <v>7.1439847798252059</v>
      </c>
      <c r="D1351" s="2">
        <f t="shared" ca="1" si="1304"/>
        <v>0.32830801656543185</v>
      </c>
      <c r="E1351" s="2">
        <f t="shared" ca="1" si="1305"/>
        <v>7.3103184763602913</v>
      </c>
      <c r="F1351" s="2">
        <f t="shared" ca="1" si="1306"/>
        <v>0.57323358302920746</v>
      </c>
      <c r="G1351" s="2">
        <f t="shared" ca="1" si="1307"/>
        <v>4.5538380620240924E-2</v>
      </c>
      <c r="H1351" s="2">
        <f t="shared" ca="1" si="1308"/>
        <v>4.5538380620240924E-2</v>
      </c>
      <c r="I1351" s="2">
        <f t="shared" ca="1" si="1309"/>
        <v>0.29973567052675765</v>
      </c>
      <c r="J1351" s="2">
        <f t="shared" ca="1" si="1310"/>
        <v>7.3741954833551112E-3</v>
      </c>
      <c r="K1351" s="2">
        <f t="shared" ca="1" si="1311"/>
        <v>7.3741954833551112E-3</v>
      </c>
      <c r="L1351" s="2">
        <f t="shared" ca="1" si="1312"/>
        <v>0.74640703632200467</v>
      </c>
      <c r="M1351" s="2">
        <f t="shared" ca="1" si="1313"/>
        <v>1.3264516709789518E-2</v>
      </c>
      <c r="N1351" s="2">
        <f t="shared" ca="1" si="1314"/>
        <v>1.3264516709789518E-2</v>
      </c>
      <c r="O1351" s="2">
        <f t="shared" si="1315"/>
        <v>6000000</v>
      </c>
      <c r="P1351" s="2">
        <f t="shared" ca="1" si="1316"/>
        <v>42863908.678951234</v>
      </c>
      <c r="Q1351" s="2">
        <f t="shared" ca="1" si="1317"/>
        <v>1071597.7169737809</v>
      </c>
      <c r="R1351" s="2">
        <f t="shared" ca="1" si="1318"/>
        <v>25718345.207370739</v>
      </c>
      <c r="S1351" s="2">
        <f t="shared" ca="1" si="1319"/>
        <v>17145563.471580494</v>
      </c>
      <c r="T1351" s="2">
        <f t="shared" ca="1" si="1320"/>
        <v>50663225.835489482</v>
      </c>
      <c r="U1351" s="2">
        <f t="shared" ca="1" si="1321"/>
        <v>52970347.097035229</v>
      </c>
      <c r="V1351" s="2">
        <f t="shared" ca="1" si="1322"/>
        <v>55382530.924726292</v>
      </c>
      <c r="W1351" s="2">
        <f t="shared" ca="1" si="1323"/>
        <v>57904561.697688743</v>
      </c>
      <c r="X1351" s="2">
        <f t="shared" ca="1" si="1324"/>
        <v>60541441.667926319</v>
      </c>
      <c r="Y1351" s="2">
        <f t="shared" ca="1" si="1325"/>
        <v>0.12368709774167755</v>
      </c>
      <c r="Z1351" s="2">
        <f t="shared" ca="1" si="1326"/>
        <v>0.12516193683834859</v>
      </c>
      <c r="AA1351" s="2">
        <f t="shared" ca="1" si="1327"/>
        <v>6266387.3658228703</v>
      </c>
      <c r="AB1351" s="2">
        <f t="shared" ca="1" si="1328"/>
        <v>6629871.2376645245</v>
      </c>
      <c r="AC1351" s="2">
        <f t="shared" ca="1" si="1329"/>
        <v>6931784.8375484794</v>
      </c>
      <c r="AD1351" s="2">
        <f t="shared" ca="1" si="1330"/>
        <v>7247447.0938583771</v>
      </c>
      <c r="AE1351" s="2">
        <f t="shared" ca="1" si="1331"/>
        <v>7577484.0981435589</v>
      </c>
      <c r="AF1351" s="2">
        <f t="shared" ca="1" si="1332"/>
        <v>1013264.5167097896</v>
      </c>
      <c r="AG1351" s="2">
        <f t="shared" ca="1" si="1333"/>
        <v>1059406.9419407046</v>
      </c>
      <c r="AH1351" s="2">
        <f t="shared" ca="1" si="1334"/>
        <v>1107650.6184945258</v>
      </c>
      <c r="AI1351" s="2">
        <f t="shared" ca="1" si="1335"/>
        <v>1158091.2339537749</v>
      </c>
      <c r="AJ1351" s="2">
        <f t="shared" ca="1" si="1336"/>
        <v>1210828.8333585265</v>
      </c>
      <c r="AK1351" s="2">
        <f t="shared" ca="1" si="1337"/>
        <v>0</v>
      </c>
      <c r="AL1351" s="2">
        <f t="shared" ca="1" si="1338"/>
        <v>23071.212615457476</v>
      </c>
      <c r="AM1351" s="2">
        <f t="shared" ca="1" si="1339"/>
        <v>24121.838276910632</v>
      </c>
      <c r="AN1351" s="2">
        <f t="shared" ca="1" si="1340"/>
        <v>25220.30772962451</v>
      </c>
      <c r="AO1351" s="2">
        <f t="shared" ca="1" si="1341"/>
        <v>26368.799702375756</v>
      </c>
      <c r="AP1351" s="2">
        <f t="shared" ca="1" si="1342"/>
        <v>2314651.0686633666</v>
      </c>
      <c r="AQ1351" s="2">
        <f t="shared" ca="1" si="1343"/>
        <v>764002.66291692574</v>
      </c>
      <c r="AR1351" s="2">
        <f t="shared" ca="1" si="1344"/>
        <v>846511.43903571798</v>
      </c>
      <c r="AS1351" s="2">
        <f t="shared" ca="1" si="1345"/>
        <v>912465.61910155276</v>
      </c>
      <c r="AT1351" s="2">
        <f t="shared" ca="1" si="1346"/>
        <v>981423.24572272133</v>
      </c>
      <c r="AU1351" s="2">
        <f t="shared" ca="1" si="1347"/>
        <v>1053521.0909916332</v>
      </c>
      <c r="AV1351" s="2">
        <f t="shared" ca="1" si="1348"/>
        <v>2174469.1175327883</v>
      </c>
      <c r="AW1351" s="2">
        <f t="shared" ca="1" si="1349"/>
        <v>2386230.5754092778</v>
      </c>
      <c r="AX1351" s="2">
        <f t="shared" ca="1" si="1350"/>
        <v>2572895.6930121235</v>
      </c>
      <c r="AY1351" s="2">
        <f t="shared" ca="1" si="1351"/>
        <v>2768061.23778889</v>
      </c>
      <c r="AZ1351" s="2">
        <f t="shared" ca="1" si="1352"/>
        <v>2972114.305427657</v>
      </c>
      <c r="BA1351" s="2">
        <f t="shared" ca="1" si="1353"/>
        <v>55393822.006985158</v>
      </c>
      <c r="BB1351" s="2">
        <f t="shared" ca="1" si="1354"/>
        <v>1107876.4401397032</v>
      </c>
      <c r="BC1351" s="2">
        <f t="shared" ca="1" si="1355"/>
        <v>28567600.359474715</v>
      </c>
      <c r="BD1351" s="2">
        <f t="shared" ca="1" si="1356"/>
        <v>-18717161.188554276</v>
      </c>
      <c r="BE1351" s="2">
        <f t="shared" ca="1" si="1357"/>
        <v>2174469.1175327883</v>
      </c>
      <c r="BF1351" s="2">
        <f t="shared" ca="1" si="1358"/>
        <v>2386230.5754092778</v>
      </c>
      <c r="BG1351" s="2">
        <f t="shared" ca="1" si="1359"/>
        <v>2572895.6930121235</v>
      </c>
      <c r="BH1351" s="2">
        <f t="shared" ca="1" si="1360"/>
        <v>2768061.23778889</v>
      </c>
      <c r="BI1351" s="2">
        <f t="shared" ca="1" si="1361"/>
        <v>31539714.66490237</v>
      </c>
      <c r="BJ1351" s="2">
        <f t="shared" ca="1" si="1362"/>
        <v>0.20388052381806188</v>
      </c>
      <c r="BK1351" s="2">
        <f t="shared" ca="1" si="1363"/>
        <v>6613587.9153825305</v>
      </c>
    </row>
    <row r="1352" spans="1:63" x14ac:dyDescent="0.3">
      <c r="A1352" s="2">
        <v>1351</v>
      </c>
      <c r="B1352" s="2">
        <f t="shared" ca="1" si="1302"/>
        <v>0.51879141266845419</v>
      </c>
      <c r="C1352" s="2">
        <f t="shared" ca="1" si="1303"/>
        <v>7.0189713690910489</v>
      </c>
      <c r="D1352" s="2">
        <f t="shared" ca="1" si="1304"/>
        <v>0.30177566230906638</v>
      </c>
      <c r="E1352" s="2">
        <f t="shared" ca="1" si="1305"/>
        <v>7.2768856573641534</v>
      </c>
      <c r="F1352" s="2">
        <f t="shared" ca="1" si="1306"/>
        <v>0.62103104128584008</v>
      </c>
      <c r="G1352" s="2">
        <f t="shared" ca="1" si="1307"/>
        <v>4.9245693841591012E-2</v>
      </c>
      <c r="H1352" s="2">
        <f t="shared" ca="1" si="1308"/>
        <v>4.9245693841591012E-2</v>
      </c>
      <c r="I1352" s="2">
        <f t="shared" ca="1" si="1309"/>
        <v>0.67496382597287496</v>
      </c>
      <c r="J1352" s="2">
        <f t="shared" ca="1" si="1310"/>
        <v>1.2268308426002256E-2</v>
      </c>
      <c r="K1352" s="2">
        <f t="shared" ca="1" si="1311"/>
        <v>1.2268308426002256E-2</v>
      </c>
      <c r="L1352" s="2">
        <f t="shared" ca="1" si="1312"/>
        <v>0.27986432594315602</v>
      </c>
      <c r="M1352" s="2">
        <f t="shared" ca="1" si="1313"/>
        <v>-1.1664891974807783E-2</v>
      </c>
      <c r="N1352" s="2">
        <f t="shared" ca="1" si="1314"/>
        <v>-1.1664891974807783E-2</v>
      </c>
      <c r="O1352" s="2">
        <f t="shared" si="1315"/>
        <v>6000000</v>
      </c>
      <c r="P1352" s="2">
        <f t="shared" ca="1" si="1316"/>
        <v>42113828.214546293</v>
      </c>
      <c r="Q1352" s="2">
        <f t="shared" ca="1" si="1317"/>
        <v>1052845.7053636573</v>
      </c>
      <c r="R1352" s="2">
        <f t="shared" ca="1" si="1318"/>
        <v>25268296.928727776</v>
      </c>
      <c r="S1352" s="2">
        <f t="shared" ca="1" si="1319"/>
        <v>16845531.285818517</v>
      </c>
      <c r="T1352" s="2">
        <f t="shared" ca="1" si="1320"/>
        <v>49416755.401259609</v>
      </c>
      <c r="U1352" s="2">
        <f t="shared" ca="1" si="1321"/>
        <v>51850317.808394827</v>
      </c>
      <c r="V1352" s="2">
        <f t="shared" ca="1" si="1322"/>
        <v>54403722.684776232</v>
      </c>
      <c r="W1352" s="2">
        <f t="shared" ca="1" si="1323"/>
        <v>57082871.755953543</v>
      </c>
      <c r="X1352" s="2">
        <f t="shared" ca="1" si="1324"/>
        <v>59893957.382046036</v>
      </c>
      <c r="Y1352" s="2">
        <f t="shared" ca="1" si="1325"/>
        <v>0.12613415421300112</v>
      </c>
      <c r="Z1352" s="2">
        <f t="shared" ca="1" si="1326"/>
        <v>0.12858781589820156</v>
      </c>
      <c r="AA1352" s="2">
        <f t="shared" ca="1" si="1327"/>
        <v>6233140.6464886349</v>
      </c>
      <c r="AB1352" s="2">
        <f t="shared" ca="1" si="1328"/>
        <v>6667319.1206091158</v>
      </c>
      <c r="AC1352" s="2">
        <f t="shared" ca="1" si="1329"/>
        <v>6995655.8767668186</v>
      </c>
      <c r="AD1352" s="2">
        <f t="shared" ca="1" si="1330"/>
        <v>7340161.8042952036</v>
      </c>
      <c r="AE1352" s="2">
        <f t="shared" ca="1" si="1331"/>
        <v>7701633.1652572658</v>
      </c>
      <c r="AF1352" s="2">
        <f t="shared" ca="1" si="1332"/>
        <v>988335.10802519217</v>
      </c>
      <c r="AG1352" s="2">
        <f t="shared" ca="1" si="1333"/>
        <v>1037006.3561678965</v>
      </c>
      <c r="AH1352" s="2">
        <f t="shared" ca="1" si="1334"/>
        <v>1088074.4536955247</v>
      </c>
      <c r="AI1352" s="2">
        <f t="shared" ca="1" si="1335"/>
        <v>1141657.4351190708</v>
      </c>
      <c r="AJ1352" s="2">
        <f t="shared" ca="1" si="1336"/>
        <v>1197879.1476409207</v>
      </c>
      <c r="AK1352" s="2">
        <f t="shared" ca="1" si="1337"/>
        <v>0</v>
      </c>
      <c r="AL1352" s="2">
        <f t="shared" ca="1" si="1338"/>
        <v>24335.624071352184</v>
      </c>
      <c r="AM1352" s="2">
        <f t="shared" ca="1" si="1339"/>
        <v>25534.048763814048</v>
      </c>
      <c r="AN1352" s="2">
        <f t="shared" ca="1" si="1340"/>
        <v>26791.490711773113</v>
      </c>
      <c r="AO1352" s="2">
        <f t="shared" ca="1" si="1341"/>
        <v>28110.856260924935</v>
      </c>
      <c r="AP1352" s="2">
        <f t="shared" ca="1" si="1342"/>
        <v>2274146.7235854999</v>
      </c>
      <c r="AQ1352" s="2">
        <f t="shared" ca="1" si="1343"/>
        <v>772371.29186826514</v>
      </c>
      <c r="AR1352" s="2">
        <f t="shared" ca="1" si="1344"/>
        <v>872603.17062248709</v>
      </c>
      <c r="AS1352" s="2">
        <f t="shared" ca="1" si="1345"/>
        <v>944693.02186630655</v>
      </c>
      <c r="AT1352" s="2">
        <f t="shared" ca="1" si="1346"/>
        <v>1020332.9878535646</v>
      </c>
      <c r="AU1352" s="2">
        <f t="shared" ca="1" si="1347"/>
        <v>1099697.8964480199</v>
      </c>
      <c r="AV1352" s="2">
        <f t="shared" ca="1" si="1348"/>
        <v>2198287.5230096779</v>
      </c>
      <c r="AW1352" s="2">
        <f t="shared" ca="1" si="1349"/>
        <v>2459227.2461618795</v>
      </c>
      <c r="AX1352" s="2">
        <f t="shared" ca="1" si="1350"/>
        <v>2663207.6288556731</v>
      </c>
      <c r="AY1352" s="2">
        <f t="shared" ca="1" si="1351"/>
        <v>2877233.1670252956</v>
      </c>
      <c r="AZ1352" s="2">
        <f t="shared" ca="1" si="1352"/>
        <v>3101798.5413219002</v>
      </c>
      <c r="BA1352" s="2">
        <f t="shared" ca="1" si="1353"/>
        <v>56043903.918540686</v>
      </c>
      <c r="BB1352" s="2">
        <f t="shared" ca="1" si="1354"/>
        <v>1120878.0783708137</v>
      </c>
      <c r="BC1352" s="2">
        <f t="shared" ca="1" si="1355"/>
        <v>29654728.911442097</v>
      </c>
      <c r="BD1352" s="2">
        <f t="shared" ca="1" si="1356"/>
        <v>-18398376.991182175</v>
      </c>
      <c r="BE1352" s="2">
        <f t="shared" ca="1" si="1357"/>
        <v>2198287.5230096779</v>
      </c>
      <c r="BF1352" s="2">
        <f t="shared" ca="1" si="1358"/>
        <v>2459227.2461618795</v>
      </c>
      <c r="BG1352" s="2">
        <f t="shared" ca="1" si="1359"/>
        <v>2663207.6288556731</v>
      </c>
      <c r="BH1352" s="2">
        <f t="shared" ca="1" si="1360"/>
        <v>2877233.1670252956</v>
      </c>
      <c r="BI1352" s="2">
        <f t="shared" ca="1" si="1361"/>
        <v>32756527.452763997</v>
      </c>
      <c r="BJ1352" s="2">
        <f t="shared" ca="1" si="1362"/>
        <v>0.21904745065162068</v>
      </c>
      <c r="BK1352" s="2">
        <f t="shared" ca="1" si="1363"/>
        <v>7835946.2861955278</v>
      </c>
    </row>
    <row r="1353" spans="1:63" x14ac:dyDescent="0.3">
      <c r="A1353" s="2">
        <v>1352</v>
      </c>
      <c r="B1353" s="2">
        <f t="shared" ca="1" si="1302"/>
        <v>0.80173686672824107</v>
      </c>
      <c r="C1353" s="2">
        <f t="shared" ca="1" si="1303"/>
        <v>7.3702966837124659</v>
      </c>
      <c r="D1353" s="2">
        <f t="shared" ca="1" si="1304"/>
        <v>0.8795618808085377</v>
      </c>
      <c r="E1353" s="2">
        <f t="shared" ca="1" si="1305"/>
        <v>8.0092085591792337</v>
      </c>
      <c r="F1353" s="2">
        <f t="shared" ca="1" si="1306"/>
        <v>0.6291755524326571</v>
      </c>
      <c r="G1353" s="2">
        <f t="shared" ca="1" si="1307"/>
        <v>4.9890117031078082E-2</v>
      </c>
      <c r="H1353" s="2">
        <f t="shared" ca="1" si="1308"/>
        <v>4.9890117031078082E-2</v>
      </c>
      <c r="I1353" s="2">
        <f t="shared" ca="1" si="1309"/>
        <v>0.44540159426034653</v>
      </c>
      <c r="J1353" s="2">
        <f t="shared" ca="1" si="1310"/>
        <v>9.3135602105542635E-3</v>
      </c>
      <c r="K1353" s="2">
        <f t="shared" ca="1" si="1311"/>
        <v>9.3135602105542635E-3</v>
      </c>
      <c r="L1353" s="2">
        <f t="shared" ca="1" si="1312"/>
        <v>0.45359966838521948</v>
      </c>
      <c r="M1353" s="2">
        <f t="shared" ca="1" si="1313"/>
        <v>-2.331437234165679E-3</v>
      </c>
      <c r="N1353" s="2">
        <f t="shared" ca="1" si="1314"/>
        <v>-2.331437234165679E-3</v>
      </c>
      <c r="O1353" s="2">
        <f t="shared" si="1315"/>
        <v>6000000</v>
      </c>
      <c r="P1353" s="2">
        <f t="shared" ca="1" si="1316"/>
        <v>44221780.102274798</v>
      </c>
      <c r="Q1353" s="2">
        <f t="shared" ca="1" si="1317"/>
        <v>1105544.50255687</v>
      </c>
      <c r="R1353" s="2">
        <f t="shared" ca="1" si="1318"/>
        <v>26533068.061364878</v>
      </c>
      <c r="S1353" s="2">
        <f t="shared" ca="1" si="1319"/>
        <v>17688712.04090992</v>
      </c>
      <c r="T1353" s="2">
        <f t="shared" ca="1" si="1320"/>
        <v>49883428.138291717</v>
      </c>
      <c r="U1353" s="2">
        <f t="shared" ca="1" si="1321"/>
        <v>52372118.206022464</v>
      </c>
      <c r="V1353" s="2">
        <f t="shared" ca="1" si="1322"/>
        <v>54984969.31248638</v>
      </c>
      <c r="W1353" s="2">
        <f t="shared" ca="1" si="1323"/>
        <v>57728175.866436563</v>
      </c>
      <c r="X1353" s="2">
        <f t="shared" ca="1" si="1324"/>
        <v>60608241.316403747</v>
      </c>
      <c r="Y1353" s="2">
        <f t="shared" ca="1" si="1325"/>
        <v>0.12465678010527713</v>
      </c>
      <c r="Z1353" s="2">
        <f t="shared" ca="1" si="1326"/>
        <v>0.12651949214738797</v>
      </c>
      <c r="AA1353" s="2">
        <f t="shared" ca="1" si="1327"/>
        <v>6218307.5323324241</v>
      </c>
      <c r="AB1353" s="2">
        <f t="shared" ca="1" si="1328"/>
        <v>6626093.7981089335</v>
      </c>
      <c r="AC1353" s="2">
        <f t="shared" ca="1" si="1329"/>
        <v>6956670.3931554891</v>
      </c>
      <c r="AD1353" s="2">
        <f t="shared" ca="1" si="1330"/>
        <v>7303739.4932166524</v>
      </c>
      <c r="AE1353" s="2">
        <f t="shared" ca="1" si="1331"/>
        <v>7668123.9112977395</v>
      </c>
      <c r="AF1353" s="2">
        <f t="shared" ca="1" si="1332"/>
        <v>997668.56276583439</v>
      </c>
      <c r="AG1353" s="2">
        <f t="shared" ca="1" si="1333"/>
        <v>1047442.3641204493</v>
      </c>
      <c r="AH1353" s="2">
        <f t="shared" ca="1" si="1334"/>
        <v>1099699.3862497276</v>
      </c>
      <c r="AI1353" s="2">
        <f t="shared" ca="1" si="1335"/>
        <v>1154563.5173287313</v>
      </c>
      <c r="AJ1353" s="2">
        <f t="shared" ca="1" si="1336"/>
        <v>1212164.826328075</v>
      </c>
      <c r="AK1353" s="2">
        <f t="shared" ca="1" si="1337"/>
        <v>0</v>
      </c>
      <c r="AL1353" s="2">
        <f t="shared" ca="1" si="1338"/>
        <v>24886.900677307473</v>
      </c>
      <c r="AM1353" s="2">
        <f t="shared" ca="1" si="1339"/>
        <v>26128.511064639166</v>
      </c>
      <c r="AN1353" s="2">
        <f t="shared" ca="1" si="1340"/>
        <v>27432.065539501833</v>
      </c>
      <c r="AO1353" s="2">
        <f t="shared" ca="1" si="1341"/>
        <v>28800.654499671833</v>
      </c>
      <c r="AP1353" s="2">
        <f t="shared" ca="1" si="1342"/>
        <v>2387976.1255228389</v>
      </c>
      <c r="AQ1353" s="2">
        <f t="shared" ca="1" si="1343"/>
        <v>736492.33945137507</v>
      </c>
      <c r="AR1353" s="2">
        <f t="shared" ca="1" si="1344"/>
        <v>829575.58020106785</v>
      </c>
      <c r="AS1353" s="2">
        <f t="shared" ca="1" si="1345"/>
        <v>901938.66915955988</v>
      </c>
      <c r="AT1353" s="2">
        <f t="shared" ca="1" si="1346"/>
        <v>977911.96109492134</v>
      </c>
      <c r="AU1353" s="2">
        <f t="shared" ca="1" si="1347"/>
        <v>1057675.5694561745</v>
      </c>
      <c r="AV1353" s="2">
        <f t="shared" ca="1" si="1348"/>
        <v>2096170.5045923749</v>
      </c>
      <c r="AW1353" s="2">
        <f t="shared" ca="1" si="1349"/>
        <v>2336212.8275872702</v>
      </c>
      <c r="AX1353" s="2">
        <f t="shared" ca="1" si="1350"/>
        <v>2540927.7011587238</v>
      </c>
      <c r="AY1353" s="2">
        <f t="shared" ca="1" si="1351"/>
        <v>2755855.8237306587</v>
      </c>
      <c r="AZ1353" s="2">
        <f t="shared" ca="1" si="1352"/>
        <v>2981506.7354909796</v>
      </c>
      <c r="BA1353" s="2">
        <f t="shared" ca="1" si="1353"/>
        <v>61415603.663212799</v>
      </c>
      <c r="BB1353" s="2">
        <f t="shared" ca="1" si="1354"/>
        <v>1228312.0732642559</v>
      </c>
      <c r="BC1353" s="2">
        <f t="shared" ca="1" si="1355"/>
        <v>33654223.528583661</v>
      </c>
      <c r="BD1353" s="2">
        <f t="shared" ca="1" si="1356"/>
        <v>-19294256.543466792</v>
      </c>
      <c r="BE1353" s="2">
        <f t="shared" ca="1" si="1357"/>
        <v>2096170.5045923749</v>
      </c>
      <c r="BF1353" s="2">
        <f t="shared" ca="1" si="1358"/>
        <v>2336212.8275872702</v>
      </c>
      <c r="BG1353" s="2">
        <f t="shared" ca="1" si="1359"/>
        <v>2540927.7011587238</v>
      </c>
      <c r="BH1353" s="2">
        <f t="shared" ca="1" si="1360"/>
        <v>2755855.8237306587</v>
      </c>
      <c r="BI1353" s="2">
        <f t="shared" ca="1" si="1361"/>
        <v>36635730.264074638</v>
      </c>
      <c r="BJ1353" s="2">
        <f t="shared" ca="1" si="1362"/>
        <v>0.2228827052787512</v>
      </c>
      <c r="BK1353" s="2">
        <f t="shared" ca="1" si="1363"/>
        <v>8787814.4039770849</v>
      </c>
    </row>
    <row r="1354" spans="1:63" x14ac:dyDescent="0.3">
      <c r="A1354" s="2">
        <v>1353</v>
      </c>
      <c r="B1354" s="2">
        <f t="shared" ca="1" si="1302"/>
        <v>8.23855069917101E-2</v>
      </c>
      <c r="C1354" s="2">
        <f t="shared" ca="1" si="1303"/>
        <v>6.4059199600702339</v>
      </c>
      <c r="D1354" s="2">
        <f t="shared" ca="1" si="1304"/>
        <v>0.69296634701454807</v>
      </c>
      <c r="E1354" s="2">
        <f t="shared" ca="1" si="1305"/>
        <v>7.7163755325598213</v>
      </c>
      <c r="F1354" s="2">
        <f t="shared" ca="1" si="1306"/>
        <v>0.94032976708080196</v>
      </c>
      <c r="G1354" s="2">
        <f t="shared" ca="1" si="1307"/>
        <v>8.6726435925099349E-2</v>
      </c>
      <c r="H1354" s="2">
        <f t="shared" ca="1" si="1308"/>
        <v>8.6726435925099349E-2</v>
      </c>
      <c r="I1354" s="2">
        <f t="shared" ca="1" si="1309"/>
        <v>0.75726778720292764</v>
      </c>
      <c r="J1354" s="2">
        <f t="shared" ca="1" si="1310"/>
        <v>1.348770391761012E-2</v>
      </c>
      <c r="K1354" s="2">
        <f t="shared" ca="1" si="1311"/>
        <v>1.348770391761012E-2</v>
      </c>
      <c r="L1354" s="2">
        <f t="shared" ca="1" si="1312"/>
        <v>0.52403904073569196</v>
      </c>
      <c r="M1354" s="2">
        <f t="shared" ca="1" si="1313"/>
        <v>1.2058690017881782E-3</v>
      </c>
      <c r="N1354" s="2">
        <f t="shared" ca="1" si="1314"/>
        <v>1.2058690017881782E-3</v>
      </c>
      <c r="O1354" s="2">
        <f t="shared" si="1315"/>
        <v>6000000</v>
      </c>
      <c r="P1354" s="2">
        <f t="shared" ca="1" si="1316"/>
        <v>38435519.760421403</v>
      </c>
      <c r="Q1354" s="2">
        <f t="shared" ca="1" si="1317"/>
        <v>960887.99401053507</v>
      </c>
      <c r="R1354" s="2">
        <f t="shared" ca="1" si="1318"/>
        <v>23061311.856252842</v>
      </c>
      <c r="S1354" s="2">
        <f t="shared" ca="1" si="1319"/>
        <v>15374207.904168561</v>
      </c>
      <c r="T1354" s="2">
        <f t="shared" ca="1" si="1320"/>
        <v>50060293.45008941</v>
      </c>
      <c r="U1354" s="2">
        <f t="shared" ca="1" si="1321"/>
        <v>54401844.282380261</v>
      </c>
      <c r="V1354" s="2">
        <f t="shared" ca="1" si="1322"/>
        <v>59119922.344743349</v>
      </c>
      <c r="W1354" s="2">
        <f t="shared" ca="1" si="1323"/>
        <v>64247182.501871586</v>
      </c>
      <c r="X1354" s="2">
        <f t="shared" ca="1" si="1324"/>
        <v>69819111.658488318</v>
      </c>
      <c r="Y1354" s="2">
        <f t="shared" ca="1" si="1325"/>
        <v>0.12674385195880505</v>
      </c>
      <c r="Z1354" s="2">
        <f t="shared" ca="1" si="1326"/>
        <v>0.12944139274232708</v>
      </c>
      <c r="AA1354" s="2">
        <f t="shared" ca="1" si="1327"/>
        <v>6344834.42205247</v>
      </c>
      <c r="AB1354" s="2">
        <f t="shared" ca="1" si="1328"/>
        <v>7041850.4916625042</v>
      </c>
      <c r="AC1354" s="2">
        <f t="shared" ca="1" si="1329"/>
        <v>7652565.0871218024</v>
      </c>
      <c r="AD1354" s="2">
        <f t="shared" ca="1" si="1330"/>
        <v>8316244.7828127239</v>
      </c>
      <c r="AE1354" s="2">
        <f t="shared" ca="1" si="1331"/>
        <v>9037483.0531067736</v>
      </c>
      <c r="AF1354" s="2">
        <f t="shared" ca="1" si="1332"/>
        <v>1001205.8690017882</v>
      </c>
      <c r="AG1354" s="2">
        <f t="shared" ca="1" si="1333"/>
        <v>1088036.8856476052</v>
      </c>
      <c r="AH1354" s="2">
        <f t="shared" ca="1" si="1334"/>
        <v>1182398.4468948671</v>
      </c>
      <c r="AI1354" s="2">
        <f t="shared" ca="1" si="1335"/>
        <v>1284943.6500374319</v>
      </c>
      <c r="AJ1354" s="2">
        <f t="shared" ca="1" si="1336"/>
        <v>1396382.2331697664</v>
      </c>
      <c r="AK1354" s="2">
        <f t="shared" ca="1" si="1337"/>
        <v>0</v>
      </c>
      <c r="AL1354" s="2">
        <f t="shared" ca="1" si="1338"/>
        <v>43415.508322908507</v>
      </c>
      <c r="AM1354" s="2">
        <f t="shared" ca="1" si="1339"/>
        <v>47180.780623630882</v>
      </c>
      <c r="AN1354" s="2">
        <f t="shared" ca="1" si="1340"/>
        <v>51272.601571282372</v>
      </c>
      <c r="AO1354" s="2">
        <f t="shared" ca="1" si="1341"/>
        <v>55719.291566167325</v>
      </c>
      <c r="AP1354" s="2">
        <f t="shared" ca="1" si="1342"/>
        <v>2075518.0670627556</v>
      </c>
      <c r="AQ1354" s="2">
        <f t="shared" ca="1" si="1343"/>
        <v>849708.72635686083</v>
      </c>
      <c r="AR1354" s="2">
        <f t="shared" ca="1" si="1344"/>
        <v>1008356.8401275573</v>
      </c>
      <c r="AS1354" s="2">
        <f t="shared" ca="1" si="1345"/>
        <v>1142608.6290226867</v>
      </c>
      <c r="AT1354" s="2">
        <f t="shared" ca="1" si="1346"/>
        <v>1288503.5970852594</v>
      </c>
      <c r="AU1354" s="2">
        <f t="shared" ca="1" si="1347"/>
        <v>1447051.5157473055</v>
      </c>
      <c r="AV1354" s="2">
        <f t="shared" ca="1" si="1348"/>
        <v>2418401.7596310652</v>
      </c>
      <c r="AW1354" s="2">
        <f t="shared" ca="1" si="1349"/>
        <v>2826523.1905016773</v>
      </c>
      <c r="AX1354" s="2">
        <f t="shared" ca="1" si="1350"/>
        <v>3204859.1635178621</v>
      </c>
      <c r="AY1354" s="2">
        <f t="shared" ca="1" si="1351"/>
        <v>3616006.867055994</v>
      </c>
      <c r="AZ1354" s="2">
        <f t="shared" ca="1" si="1352"/>
        <v>4062811.9455607799</v>
      </c>
      <c r="BA1354" s="2">
        <f t="shared" ca="1" si="1353"/>
        <v>69736613.106917143</v>
      </c>
      <c r="BB1354" s="2">
        <f t="shared" ca="1" si="1354"/>
        <v>1394732.262138343</v>
      </c>
      <c r="BC1354" s="2">
        <f t="shared" ca="1" si="1355"/>
        <v>45280568.988525957</v>
      </c>
      <c r="BD1354" s="2">
        <f t="shared" ca="1" si="1356"/>
        <v>-16835095.898179095</v>
      </c>
      <c r="BE1354" s="2">
        <f t="shared" ca="1" si="1357"/>
        <v>2418401.7596310652</v>
      </c>
      <c r="BF1354" s="2">
        <f t="shared" ca="1" si="1358"/>
        <v>2826523.1905016773</v>
      </c>
      <c r="BG1354" s="2">
        <f t="shared" ca="1" si="1359"/>
        <v>3204859.1635178621</v>
      </c>
      <c r="BH1354" s="2">
        <f t="shared" ca="1" si="1360"/>
        <v>3616006.867055994</v>
      </c>
      <c r="BI1354" s="2">
        <f t="shared" ca="1" si="1361"/>
        <v>49343380.93408674</v>
      </c>
      <c r="BJ1354" s="2">
        <f t="shared" ca="1" si="1362"/>
        <v>0.3480811874329377</v>
      </c>
      <c r="BK1354" s="2">
        <f t="shared" ca="1" si="1363"/>
        <v>20155431.048649538</v>
      </c>
    </row>
    <row r="1355" spans="1:63" x14ac:dyDescent="0.3">
      <c r="A1355" s="2">
        <v>1354</v>
      </c>
      <c r="B1355" s="2">
        <f t="shared" ca="1" si="1302"/>
        <v>0.22844285960718669</v>
      </c>
      <c r="C1355" s="2">
        <f t="shared" ca="1" si="1303"/>
        <v>6.6759332209725848</v>
      </c>
      <c r="D1355" s="2">
        <f t="shared" ca="1" si="1304"/>
        <v>0.99073554508882244</v>
      </c>
      <c r="E1355" s="2">
        <f t="shared" ca="1" si="1305"/>
        <v>8.3638790617783023</v>
      </c>
      <c r="F1355" s="2">
        <f t="shared" ca="1" si="1306"/>
        <v>0.14230958738271515</v>
      </c>
      <c r="G1355" s="2">
        <f t="shared" ca="1" si="1307"/>
        <v>7.8999910726134312E-3</v>
      </c>
      <c r="H1355" s="2">
        <f t="shared" ca="1" si="1308"/>
        <v>7.8999910726134312E-3</v>
      </c>
      <c r="I1355" s="2">
        <f t="shared" ca="1" si="1309"/>
        <v>0.38591788607598676</v>
      </c>
      <c r="J1355" s="2">
        <f t="shared" ca="1" si="1310"/>
        <v>8.5501276714594846E-3</v>
      </c>
      <c r="K1355" s="2">
        <f t="shared" ca="1" si="1311"/>
        <v>8.5501276714594846E-3</v>
      </c>
      <c r="L1355" s="2">
        <f t="shared" ca="1" si="1312"/>
        <v>0.48952926759224769</v>
      </c>
      <c r="M1355" s="2">
        <f t="shared" ca="1" si="1313"/>
        <v>-5.2498495974396219E-4</v>
      </c>
      <c r="N1355" s="2">
        <f t="shared" ca="1" si="1314"/>
        <v>-5.2498495974396219E-4</v>
      </c>
      <c r="O1355" s="2">
        <f t="shared" si="1315"/>
        <v>6000000</v>
      </c>
      <c r="P1355" s="2">
        <f t="shared" ca="1" si="1316"/>
        <v>40055599.325835511</v>
      </c>
      <c r="Q1355" s="2">
        <f t="shared" ca="1" si="1317"/>
        <v>1001389.9831458878</v>
      </c>
      <c r="R1355" s="2">
        <f t="shared" ca="1" si="1318"/>
        <v>24033359.595501307</v>
      </c>
      <c r="S1355" s="2">
        <f t="shared" ca="1" si="1319"/>
        <v>16022239.730334206</v>
      </c>
      <c r="T1355" s="2">
        <f t="shared" ca="1" si="1320"/>
        <v>49973750.752012804</v>
      </c>
      <c r="U1355" s="2">
        <f t="shared" ca="1" si="1321"/>
        <v>50368542.936818711</v>
      </c>
      <c r="V1355" s="2">
        <f t="shared" ca="1" si="1322"/>
        <v>50766453.976360127</v>
      </c>
      <c r="W1355" s="2">
        <f t="shared" ca="1" si="1323"/>
        <v>51167508.509561613</v>
      </c>
      <c r="X1355" s="2">
        <f t="shared" ca="1" si="1324"/>
        <v>51571731.36999502</v>
      </c>
      <c r="Y1355" s="2">
        <f t="shared" ca="1" si="1325"/>
        <v>0.12427506383572974</v>
      </c>
      <c r="Z1355" s="2">
        <f t="shared" ca="1" si="1326"/>
        <v>0.12598508937002165</v>
      </c>
      <c r="AA1355" s="2">
        <f t="shared" ca="1" si="1327"/>
        <v>6210491.0648172386</v>
      </c>
      <c r="AB1355" s="2">
        <f t="shared" ca="1" si="1328"/>
        <v>6345685.3833328784</v>
      </c>
      <c r="AC1355" s="2">
        <f t="shared" ca="1" si="1329"/>
        <v>6395816.2412108211</v>
      </c>
      <c r="AD1355" s="2">
        <f t="shared" ca="1" si="1330"/>
        <v>6446343.132418463</v>
      </c>
      <c r="AE1355" s="2">
        <f t="shared" ca="1" si="1331"/>
        <v>6497269.1856155712</v>
      </c>
      <c r="AF1355" s="2">
        <f t="shared" ca="1" si="1332"/>
        <v>999475.01504025608</v>
      </c>
      <c r="AG1355" s="2">
        <f t="shared" ca="1" si="1333"/>
        <v>1007370.8587363743</v>
      </c>
      <c r="AH1355" s="2">
        <f t="shared" ca="1" si="1334"/>
        <v>1015329.0795272025</v>
      </c>
      <c r="AI1355" s="2">
        <f t="shared" ca="1" si="1335"/>
        <v>1023350.1701912322</v>
      </c>
      <c r="AJ1355" s="2">
        <f t="shared" ca="1" si="1336"/>
        <v>1031434.6273999005</v>
      </c>
      <c r="AK1355" s="2">
        <f t="shared" ca="1" si="1337"/>
        <v>0</v>
      </c>
      <c r="AL1355" s="2">
        <f t="shared" ca="1" si="1338"/>
        <v>3947.921848059073</v>
      </c>
      <c r="AM1355" s="2">
        <f t="shared" ca="1" si="1339"/>
        <v>3979.1103954141586</v>
      </c>
      <c r="AN1355" s="2">
        <f t="shared" ca="1" si="1340"/>
        <v>4010.545332014859</v>
      </c>
      <c r="AO1355" s="2">
        <f t="shared" ca="1" si="1341"/>
        <v>4042.2286043340714</v>
      </c>
      <c r="AP1355" s="2">
        <f t="shared" ca="1" si="1342"/>
        <v>2163002.3635951178</v>
      </c>
      <c r="AQ1355" s="2">
        <f t="shared" ca="1" si="1343"/>
        <v>792483.5584072849</v>
      </c>
      <c r="AR1355" s="2">
        <f t="shared" ca="1" si="1344"/>
        <v>825581.16186036041</v>
      </c>
      <c r="AS1355" s="2">
        <f t="shared" ca="1" si="1345"/>
        <v>836546.04750301037</v>
      </c>
      <c r="AT1355" s="2">
        <f t="shared" ca="1" si="1346"/>
        <v>847597.55564434943</v>
      </c>
      <c r="AU1355" s="2">
        <f t="shared" ca="1" si="1347"/>
        <v>858736.37060134369</v>
      </c>
      <c r="AV1355" s="2">
        <f t="shared" ca="1" si="1348"/>
        <v>2255530.1277745795</v>
      </c>
      <c r="AW1355" s="2">
        <f t="shared" ca="1" si="1349"/>
        <v>2345783.0772929667</v>
      </c>
      <c r="AX1355" s="2">
        <f t="shared" ca="1" si="1350"/>
        <v>2376959.640190077</v>
      </c>
      <c r="AY1355" s="2">
        <f t="shared" ca="1" si="1351"/>
        <v>2408382.4976557493</v>
      </c>
      <c r="AZ1355" s="2">
        <f t="shared" ca="1" si="1352"/>
        <v>2440053.5954148741</v>
      </c>
      <c r="BA1355" s="2">
        <f t="shared" ca="1" si="1353"/>
        <v>54342373.700307436</v>
      </c>
      <c r="BB1355" s="2">
        <f t="shared" ca="1" si="1354"/>
        <v>1086847.4740061488</v>
      </c>
      <c r="BC1355" s="2">
        <f t="shared" ca="1" si="1355"/>
        <v>29222166.630799979</v>
      </c>
      <c r="BD1355" s="2">
        <f t="shared" ca="1" si="1356"/>
        <v>-17523629.713480093</v>
      </c>
      <c r="BE1355" s="2">
        <f t="shared" ca="1" si="1357"/>
        <v>2255530.1277745795</v>
      </c>
      <c r="BF1355" s="2">
        <f t="shared" ca="1" si="1358"/>
        <v>2345783.0772929667</v>
      </c>
      <c r="BG1355" s="2">
        <f t="shared" ca="1" si="1359"/>
        <v>2376959.640190077</v>
      </c>
      <c r="BH1355" s="2">
        <f t="shared" ca="1" si="1360"/>
        <v>2408382.4976557493</v>
      </c>
      <c r="BI1355" s="2">
        <f t="shared" ca="1" si="1361"/>
        <v>31662220.226214852</v>
      </c>
      <c r="BJ1355" s="2">
        <f t="shared" ca="1" si="1362"/>
        <v>0.22020990702522192</v>
      </c>
      <c r="BK1355" s="2">
        <f t="shared" ca="1" si="1363"/>
        <v>7548717.9860555716</v>
      </c>
    </row>
    <row r="1356" spans="1:63" x14ac:dyDescent="0.3">
      <c r="A1356" s="2">
        <v>1355</v>
      </c>
      <c r="B1356" s="2">
        <f t="shared" ca="1" si="1302"/>
        <v>0.29314022572342457</v>
      </c>
      <c r="C1356" s="2">
        <f t="shared" ca="1" si="1303"/>
        <v>6.7656895267971535</v>
      </c>
      <c r="D1356" s="2">
        <f t="shared" ca="1" si="1304"/>
        <v>0.62525334070352356</v>
      </c>
      <c r="E1356" s="2">
        <f t="shared" ca="1" si="1305"/>
        <v>7.6342671782859606</v>
      </c>
      <c r="F1356" s="2">
        <f t="shared" ca="1" si="1306"/>
        <v>0.91178555465402333</v>
      </c>
      <c r="G1356" s="2">
        <f t="shared" ca="1" si="1307"/>
        <v>8.0554976321537422E-2</v>
      </c>
      <c r="H1356" s="2">
        <f t="shared" ca="1" si="1308"/>
        <v>8.0554976321537422E-2</v>
      </c>
      <c r="I1356" s="2">
        <f t="shared" ca="1" si="1309"/>
        <v>4.0350975043150328E-2</v>
      </c>
      <c r="J1356" s="2">
        <f t="shared" ca="1" si="1310"/>
        <v>1.2668618172337418E-3</v>
      </c>
      <c r="K1356" s="2">
        <f t="shared" ca="1" si="1311"/>
        <v>1.2668618172337418E-3</v>
      </c>
      <c r="L1356" s="2">
        <f t="shared" ca="1" si="1312"/>
        <v>0.16333846900894589</v>
      </c>
      <c r="M1356" s="2">
        <f t="shared" ca="1" si="1313"/>
        <v>-1.9616585544373951E-2</v>
      </c>
      <c r="N1356" s="2">
        <f t="shared" ca="1" si="1314"/>
        <v>-1.9616585544373951E-2</v>
      </c>
      <c r="O1356" s="2">
        <f t="shared" si="1315"/>
        <v>6000000</v>
      </c>
      <c r="P1356" s="2">
        <f t="shared" ca="1" si="1316"/>
        <v>40594137.160782918</v>
      </c>
      <c r="Q1356" s="2">
        <f t="shared" ca="1" si="1317"/>
        <v>1014853.429019573</v>
      </c>
      <c r="R1356" s="2">
        <f t="shared" ca="1" si="1318"/>
        <v>24356482.296469752</v>
      </c>
      <c r="S1356" s="2">
        <f t="shared" ca="1" si="1319"/>
        <v>16237654.864313168</v>
      </c>
      <c r="T1356" s="2">
        <f t="shared" ca="1" si="1320"/>
        <v>49019170.722781301</v>
      </c>
      <c r="U1356" s="2">
        <f t="shared" ca="1" si="1321"/>
        <v>52967908.859656349</v>
      </c>
      <c r="V1356" s="2">
        <f t="shared" ca="1" si="1322"/>
        <v>57234737.50364732</v>
      </c>
      <c r="W1356" s="2">
        <f t="shared" ca="1" si="1323"/>
        <v>61845280.42802304</v>
      </c>
      <c r="X1356" s="2">
        <f t="shared" ca="1" si="1324"/>
        <v>66827225.52850128</v>
      </c>
      <c r="Y1356" s="2">
        <f t="shared" ca="1" si="1325"/>
        <v>0.12063343090861686</v>
      </c>
      <c r="Z1356" s="2">
        <f t="shared" ca="1" si="1326"/>
        <v>0.12088680327206361</v>
      </c>
      <c r="AA1356" s="2">
        <f t="shared" ca="1" si="1327"/>
        <v>5913350.7445843322</v>
      </c>
      <c r="AB1356" s="2">
        <f t="shared" ca="1" si="1328"/>
        <v>6403121.1780498717</v>
      </c>
      <c r="AC1356" s="2">
        <f t="shared" ca="1" si="1329"/>
        <v>6918924.4529316146</v>
      </c>
      <c r="AD1356" s="2">
        <f t="shared" ca="1" si="1330"/>
        <v>7476278.248408027</v>
      </c>
      <c r="AE1356" s="2">
        <f t="shared" ca="1" si="1331"/>
        <v>8078529.6656817608</v>
      </c>
      <c r="AF1356" s="2">
        <f t="shared" ca="1" si="1332"/>
        <v>980383.41445562604</v>
      </c>
      <c r="AG1356" s="2">
        <f t="shared" ca="1" si="1333"/>
        <v>1059358.1771931271</v>
      </c>
      <c r="AH1356" s="2">
        <f t="shared" ca="1" si="1334"/>
        <v>1144694.7500729465</v>
      </c>
      <c r="AI1356" s="2">
        <f t="shared" ca="1" si="1335"/>
        <v>1236905.6085604609</v>
      </c>
      <c r="AJ1356" s="2">
        <f t="shared" ca="1" si="1336"/>
        <v>1336544.5105700255</v>
      </c>
      <c r="AK1356" s="2">
        <f t="shared" ca="1" si="1337"/>
        <v>0</v>
      </c>
      <c r="AL1356" s="2">
        <f t="shared" ca="1" si="1338"/>
        <v>39487.381368750481</v>
      </c>
      <c r="AM1356" s="2">
        <f t="shared" ca="1" si="1339"/>
        <v>42668.286439909709</v>
      </c>
      <c r="AN1356" s="2">
        <f t="shared" ca="1" si="1340"/>
        <v>46105.429243757208</v>
      </c>
      <c r="AO1356" s="2">
        <f t="shared" ca="1" si="1341"/>
        <v>49819.451004782393</v>
      </c>
      <c r="AP1356" s="2">
        <f t="shared" ca="1" si="1342"/>
        <v>2192083.4066822776</v>
      </c>
      <c r="AQ1356" s="2">
        <f t="shared" ca="1" si="1343"/>
        <v>712629.82009607146</v>
      </c>
      <c r="AR1356" s="2">
        <f t="shared" ca="1" si="1344"/>
        <v>819436.69448536134</v>
      </c>
      <c r="AS1356" s="2">
        <f t="shared" ca="1" si="1345"/>
        <v>931358.03700586152</v>
      </c>
      <c r="AT1356" s="2">
        <f t="shared" ca="1" si="1346"/>
        <v>1052295.2006229751</v>
      </c>
      <c r="AU1356" s="2">
        <f t="shared" ca="1" si="1347"/>
        <v>1182974.4545916594</v>
      </c>
      <c r="AV1356" s="2">
        <f t="shared" ca="1" si="1348"/>
        <v>2028254.1033503567</v>
      </c>
      <c r="AW1356" s="2">
        <f t="shared" ca="1" si="1349"/>
        <v>2292755.5183203542</v>
      </c>
      <c r="AX1356" s="2">
        <f t="shared" ca="1" si="1350"/>
        <v>2608119.9727306194</v>
      </c>
      <c r="AY1356" s="2">
        <f t="shared" ca="1" si="1351"/>
        <v>2948888.6032985565</v>
      </c>
      <c r="AZ1356" s="2">
        <f t="shared" ca="1" si="1352"/>
        <v>3317107.8428330156</v>
      </c>
      <c r="BA1356" s="2">
        <f t="shared" ca="1" si="1353"/>
        <v>61673653.875523724</v>
      </c>
      <c r="BB1356" s="2">
        <f t="shared" ca="1" si="1354"/>
        <v>1233473.0775104745</v>
      </c>
      <c r="BC1356" s="2">
        <f t="shared" ca="1" si="1355"/>
        <v>36083698.501543492</v>
      </c>
      <c r="BD1356" s="2">
        <f t="shared" ca="1" si="1356"/>
        <v>-17752508.293332741</v>
      </c>
      <c r="BE1356" s="2">
        <f t="shared" ca="1" si="1357"/>
        <v>2028254.1033503567</v>
      </c>
      <c r="BF1356" s="2">
        <f t="shared" ca="1" si="1358"/>
        <v>2292755.5183203542</v>
      </c>
      <c r="BG1356" s="2">
        <f t="shared" ca="1" si="1359"/>
        <v>2608119.9727306194</v>
      </c>
      <c r="BH1356" s="2">
        <f t="shared" ca="1" si="1360"/>
        <v>2948888.6032985565</v>
      </c>
      <c r="BI1356" s="2">
        <f t="shared" ca="1" si="1361"/>
        <v>39400806.344376504</v>
      </c>
      <c r="BJ1356" s="2">
        <f t="shared" ca="1" si="1362"/>
        <v>0.26306952479931467</v>
      </c>
      <c r="BK1356" s="2">
        <f t="shared" ca="1" si="1363"/>
        <v>11973759.488181736</v>
      </c>
    </row>
    <row r="1357" spans="1:63" x14ac:dyDescent="0.3">
      <c r="A1357" s="2">
        <v>1356</v>
      </c>
      <c r="B1357" s="2">
        <f t="shared" ca="1" si="1302"/>
        <v>0.68002186811607113</v>
      </c>
      <c r="C1357" s="2">
        <f t="shared" ca="1" si="1303"/>
        <v>7.2000273356121109</v>
      </c>
      <c r="D1357" s="2">
        <f t="shared" ca="1" si="1304"/>
        <v>6.5712942249625428E-2</v>
      </c>
      <c r="E1357" s="2">
        <f t="shared" ca="1" si="1305"/>
        <v>6.8625270810563688</v>
      </c>
      <c r="F1357" s="2">
        <f t="shared" ca="1" si="1306"/>
        <v>0.90800972806641922</v>
      </c>
      <c r="G1357" s="2">
        <f t="shared" ca="1" si="1307"/>
        <v>7.985794803252351E-2</v>
      </c>
      <c r="H1357" s="2">
        <f t="shared" ca="1" si="1308"/>
        <v>7.985794803252351E-2</v>
      </c>
      <c r="I1357" s="2">
        <f t="shared" ca="1" si="1309"/>
        <v>0.44795828841176821</v>
      </c>
      <c r="J1357" s="2">
        <f t="shared" ca="1" si="1310"/>
        <v>9.3458928931411285E-3</v>
      </c>
      <c r="K1357" s="2">
        <f t="shared" ca="1" si="1311"/>
        <v>9.3458928931411285E-3</v>
      </c>
      <c r="L1357" s="2">
        <f t="shared" ca="1" si="1312"/>
        <v>0.48212286943743543</v>
      </c>
      <c r="M1357" s="2">
        <f t="shared" ca="1" si="1313"/>
        <v>-8.9652657498465855E-4</v>
      </c>
      <c r="N1357" s="2">
        <f t="shared" ca="1" si="1314"/>
        <v>-8.9652657498465855E-4</v>
      </c>
      <c r="O1357" s="2">
        <f t="shared" si="1315"/>
        <v>6000000</v>
      </c>
      <c r="P1357" s="2">
        <f t="shared" ca="1" si="1316"/>
        <v>43200164.013672665</v>
      </c>
      <c r="Q1357" s="2">
        <f t="shared" ca="1" si="1317"/>
        <v>1080004.1003418167</v>
      </c>
      <c r="R1357" s="2">
        <f t="shared" ca="1" si="1318"/>
        <v>25920098.408203598</v>
      </c>
      <c r="S1357" s="2">
        <f t="shared" ca="1" si="1319"/>
        <v>17280065.605469067</v>
      </c>
      <c r="T1357" s="2">
        <f t="shared" ca="1" si="1320"/>
        <v>49955173.671250768</v>
      </c>
      <c r="U1357" s="2">
        <f t="shared" ca="1" si="1321"/>
        <v>53944491.334245197</v>
      </c>
      <c r="V1357" s="2">
        <f t="shared" ca="1" si="1322"/>
        <v>58252387.719856262</v>
      </c>
      <c r="W1357" s="2">
        <f t="shared" ca="1" si="1323"/>
        <v>62904303.87115895</v>
      </c>
      <c r="X1357" s="2">
        <f t="shared" ca="1" si="1324"/>
        <v>67927712.500724018</v>
      </c>
      <c r="Y1357" s="2">
        <f t="shared" ca="1" si="1325"/>
        <v>0.12467294644657057</v>
      </c>
      <c r="Z1357" s="2">
        <f t="shared" ca="1" si="1326"/>
        <v>0.12654212502519879</v>
      </c>
      <c r="AA1357" s="2">
        <f t="shared" ca="1" si="1327"/>
        <v>6228058.6918449793</v>
      </c>
      <c r="AB1357" s="2">
        <f t="shared" ca="1" si="1328"/>
        <v>6826250.5668388084</v>
      </c>
      <c r="AC1357" s="2">
        <f t="shared" ca="1" si="1329"/>
        <v>7371380.9298624061</v>
      </c>
      <c r="AD1357" s="2">
        <f t="shared" ca="1" si="1330"/>
        <v>7960044.2850872921</v>
      </c>
      <c r="AE1357" s="2">
        <f t="shared" ca="1" si="1331"/>
        <v>8595717.0879423767</v>
      </c>
      <c r="AF1357" s="2">
        <f t="shared" ca="1" si="1332"/>
        <v>999103.47342501534</v>
      </c>
      <c r="AG1357" s="2">
        <f t="shared" ca="1" si="1333"/>
        <v>1078889.8266849041</v>
      </c>
      <c r="AH1357" s="2">
        <f t="shared" ca="1" si="1334"/>
        <v>1165047.7543971252</v>
      </c>
      <c r="AI1357" s="2">
        <f t="shared" ca="1" si="1335"/>
        <v>1258086.0774231791</v>
      </c>
      <c r="AJ1357" s="2">
        <f t="shared" ca="1" si="1336"/>
        <v>1358554.2500144804</v>
      </c>
      <c r="AK1357" s="2">
        <f t="shared" ca="1" si="1337"/>
        <v>0</v>
      </c>
      <c r="AL1357" s="2">
        <f t="shared" ca="1" si="1338"/>
        <v>39893.176629944297</v>
      </c>
      <c r="AM1357" s="2">
        <f t="shared" ca="1" si="1339"/>
        <v>43078.963856110648</v>
      </c>
      <c r="AN1357" s="2">
        <f t="shared" ca="1" si="1340"/>
        <v>46519.161513026876</v>
      </c>
      <c r="AO1357" s="2">
        <f t="shared" ca="1" si="1341"/>
        <v>50234.086295650675</v>
      </c>
      <c r="AP1357" s="2">
        <f t="shared" ca="1" si="1342"/>
        <v>2332808.8567383238</v>
      </c>
      <c r="AQ1357" s="2">
        <f t="shared" ca="1" si="1343"/>
        <v>752998.05403722636</v>
      </c>
      <c r="AR1357" s="2">
        <f t="shared" ca="1" si="1344"/>
        <v>887783.48968805093</v>
      </c>
      <c r="AS1357" s="2">
        <f t="shared" ca="1" si="1345"/>
        <v>1007116.322869009</v>
      </c>
      <c r="AT1357" s="2">
        <f t="shared" ca="1" si="1346"/>
        <v>1135978.8312407054</v>
      </c>
      <c r="AU1357" s="2">
        <f t="shared" ca="1" si="1347"/>
        <v>1275132.035109289</v>
      </c>
      <c r="AV1357" s="2">
        <f t="shared" ca="1" si="1348"/>
        <v>2143148.3076444133</v>
      </c>
      <c r="AW1357" s="2">
        <f t="shared" ca="1" si="1349"/>
        <v>2486875.2170975846</v>
      </c>
      <c r="AX1357" s="2">
        <f t="shared" ca="1" si="1350"/>
        <v>2823329.0320018376</v>
      </c>
      <c r="AY1357" s="2">
        <f t="shared" ca="1" si="1351"/>
        <v>3186651.3581720577</v>
      </c>
      <c r="AZ1357" s="2">
        <f t="shared" ca="1" si="1352"/>
        <v>3578987.8597846334</v>
      </c>
      <c r="BA1357" s="2">
        <f t="shared" ca="1" si="1353"/>
        <v>58988341.297103547</v>
      </c>
      <c r="BB1357" s="2">
        <f t="shared" ca="1" si="1354"/>
        <v>1179766.8259420709</v>
      </c>
      <c r="BC1357" s="2">
        <f t="shared" ca="1" si="1355"/>
        <v>31888476.062957879</v>
      </c>
      <c r="BD1357" s="2">
        <f t="shared" ca="1" si="1356"/>
        <v>-18860069.705810882</v>
      </c>
      <c r="BE1357" s="2">
        <f t="shared" ca="1" si="1357"/>
        <v>2143148.3076444133</v>
      </c>
      <c r="BF1357" s="2">
        <f t="shared" ca="1" si="1358"/>
        <v>2486875.2170975846</v>
      </c>
      <c r="BG1357" s="2">
        <f t="shared" ca="1" si="1359"/>
        <v>2823329.0320018376</v>
      </c>
      <c r="BH1357" s="2">
        <f t="shared" ca="1" si="1360"/>
        <v>3186651.3581720577</v>
      </c>
      <c r="BI1357" s="2">
        <f t="shared" ca="1" si="1361"/>
        <v>35467463.922742516</v>
      </c>
      <c r="BJ1357" s="2">
        <f t="shared" ca="1" si="1362"/>
        <v>0.23053024526945176</v>
      </c>
      <c r="BK1357" s="2">
        <f t="shared" ca="1" si="1363"/>
        <v>9195933.1859185398</v>
      </c>
    </row>
    <row r="1358" spans="1:63" x14ac:dyDescent="0.3">
      <c r="A1358" s="2">
        <v>1357</v>
      </c>
      <c r="B1358" s="2">
        <f t="shared" ca="1" si="1302"/>
        <v>0.63141074161790944</v>
      </c>
      <c r="C1358" s="2">
        <f t="shared" ca="1" si="1303"/>
        <v>7.1414089933127762</v>
      </c>
      <c r="D1358" s="2">
        <f t="shared" ca="1" si="1304"/>
        <v>0.45118693751718419</v>
      </c>
      <c r="E1358" s="2">
        <f t="shared" ca="1" si="1305"/>
        <v>7.4499336161197629</v>
      </c>
      <c r="F1358" s="2">
        <f t="shared" ca="1" si="1306"/>
        <v>0.5506395500639929</v>
      </c>
      <c r="G1358" s="2">
        <f t="shared" ca="1" si="1307"/>
        <v>4.381831999610851E-2</v>
      </c>
      <c r="H1358" s="2">
        <f t="shared" ca="1" si="1308"/>
        <v>4.381831999610851E-2</v>
      </c>
      <c r="I1358" s="2">
        <f t="shared" ca="1" si="1309"/>
        <v>0.52216900918331222</v>
      </c>
      <c r="J1358" s="2">
        <f t="shared" ca="1" si="1310"/>
        <v>1.027799047811135E-2</v>
      </c>
      <c r="K1358" s="2">
        <f t="shared" ca="1" si="1311"/>
        <v>1.027799047811135E-2</v>
      </c>
      <c r="L1358" s="2">
        <f t="shared" ca="1" si="1312"/>
        <v>0.73362375002175917</v>
      </c>
      <c r="M1358" s="2">
        <f t="shared" ca="1" si="1313"/>
        <v>1.2476196089480543E-2</v>
      </c>
      <c r="N1358" s="2">
        <f t="shared" ca="1" si="1314"/>
        <v>1.2476196089480543E-2</v>
      </c>
      <c r="O1358" s="2">
        <f t="shared" si="1315"/>
        <v>6000000</v>
      </c>
      <c r="P1358" s="2">
        <f t="shared" ca="1" si="1316"/>
        <v>42848453.959876657</v>
      </c>
      <c r="Q1358" s="2">
        <f t="shared" ca="1" si="1317"/>
        <v>1071211.3489969166</v>
      </c>
      <c r="R1358" s="2">
        <f t="shared" ca="1" si="1318"/>
        <v>25709072.375925992</v>
      </c>
      <c r="S1358" s="2">
        <f t="shared" ca="1" si="1319"/>
        <v>17139381.583950665</v>
      </c>
      <c r="T1358" s="2">
        <f t="shared" ca="1" si="1320"/>
        <v>50623809.804474026</v>
      </c>
      <c r="U1358" s="2">
        <f t="shared" ca="1" si="1321"/>
        <v>52842060.101908602</v>
      </c>
      <c r="V1358" s="2">
        <f t="shared" ca="1" si="1322"/>
        <v>55157510.400707625</v>
      </c>
      <c r="W1358" s="2">
        <f t="shared" ca="1" si="1323"/>
        <v>57574419.841634512</v>
      </c>
      <c r="X1358" s="2">
        <f t="shared" ca="1" si="1324"/>
        <v>60097234.193845548</v>
      </c>
      <c r="Y1358" s="2">
        <f t="shared" ca="1" si="1325"/>
        <v>0.12513899523905567</v>
      </c>
      <c r="Z1358" s="2">
        <f t="shared" ca="1" si="1326"/>
        <v>0.12719459333467795</v>
      </c>
      <c r="AA1358" s="2">
        <f t="shared" ca="1" si="1327"/>
        <v>6335012.694104935</v>
      </c>
      <c r="AB1358" s="2">
        <f t="shared" ca="1" si="1328"/>
        <v>6721224.3456288753</v>
      </c>
      <c r="AC1358" s="2">
        <f t="shared" ca="1" si="1329"/>
        <v>7015737.104771276</v>
      </c>
      <c r="AD1358" s="2">
        <f t="shared" ca="1" si="1330"/>
        <v>7323154.9182367148</v>
      </c>
      <c r="AE1358" s="2">
        <f t="shared" ca="1" si="1331"/>
        <v>7644043.2638250869</v>
      </c>
      <c r="AF1358" s="2">
        <f t="shared" ca="1" si="1332"/>
        <v>1012476.1960894805</v>
      </c>
      <c r="AG1358" s="2">
        <f t="shared" ca="1" si="1333"/>
        <v>1056841.2020381722</v>
      </c>
      <c r="AH1358" s="2">
        <f t="shared" ca="1" si="1334"/>
        <v>1103150.2080141525</v>
      </c>
      <c r="AI1358" s="2">
        <f t="shared" ca="1" si="1335"/>
        <v>1151488.3968326903</v>
      </c>
      <c r="AJ1358" s="2">
        <f t="shared" ca="1" si="1336"/>
        <v>1201944.6838769109</v>
      </c>
      <c r="AK1358" s="2">
        <f t="shared" ca="1" si="1337"/>
        <v>0</v>
      </c>
      <c r="AL1358" s="2">
        <f t="shared" ca="1" si="1338"/>
        <v>22182.50297434576</v>
      </c>
      <c r="AM1358" s="2">
        <f t="shared" ca="1" si="1339"/>
        <v>23154.502987990232</v>
      </c>
      <c r="AN1358" s="2">
        <f t="shared" ca="1" si="1340"/>
        <v>24169.09440926887</v>
      </c>
      <c r="AO1358" s="2">
        <f t="shared" ca="1" si="1341"/>
        <v>25228.14352211036</v>
      </c>
      <c r="AP1358" s="2">
        <f t="shared" ca="1" si="1342"/>
        <v>2313816.5138333393</v>
      </c>
      <c r="AQ1358" s="2">
        <f t="shared" ca="1" si="1343"/>
        <v>782267.1958873499</v>
      </c>
      <c r="AR1358" s="2">
        <f t="shared" ca="1" si="1344"/>
        <v>871147.32373691478</v>
      </c>
      <c r="AS1358" s="2">
        <f t="shared" ca="1" si="1345"/>
        <v>935680.29956018401</v>
      </c>
      <c r="AT1358" s="2">
        <f t="shared" ca="1" si="1346"/>
        <v>1003041.0019683781</v>
      </c>
      <c r="AU1358" s="2">
        <f t="shared" ca="1" si="1347"/>
        <v>1073353.3371898574</v>
      </c>
      <c r="AV1358" s="2">
        <f t="shared" ca="1" si="1348"/>
        <v>2226452.7882947652</v>
      </c>
      <c r="AW1358" s="2">
        <f t="shared" ca="1" si="1349"/>
        <v>2457236.8030461045</v>
      </c>
      <c r="AX1358" s="2">
        <f t="shared" ca="1" si="1350"/>
        <v>2639935.5803756109</v>
      </c>
      <c r="AY1358" s="2">
        <f t="shared" ca="1" si="1351"/>
        <v>2830639.9111930374</v>
      </c>
      <c r="AZ1358" s="2">
        <f t="shared" ca="1" si="1352"/>
        <v>3029700.5854028678</v>
      </c>
      <c r="BA1358" s="2">
        <f t="shared" ca="1" si="1353"/>
        <v>56947614.874244347</v>
      </c>
      <c r="BB1358" s="2">
        <f t="shared" ca="1" si="1354"/>
        <v>1138952.2974848871</v>
      </c>
      <c r="BC1358" s="2">
        <f t="shared" ca="1" si="1355"/>
        <v>30099590.20083347</v>
      </c>
      <c r="BD1358" s="2">
        <f t="shared" ca="1" si="1356"/>
        <v>-18710592.93294758</v>
      </c>
      <c r="BE1358" s="2">
        <f t="shared" ca="1" si="1357"/>
        <v>2226452.7882947652</v>
      </c>
      <c r="BF1358" s="2">
        <f t="shared" ca="1" si="1358"/>
        <v>2457236.8030461045</v>
      </c>
      <c r="BG1358" s="2">
        <f t="shared" ca="1" si="1359"/>
        <v>2639935.5803756109</v>
      </c>
      <c r="BH1358" s="2">
        <f t="shared" ca="1" si="1360"/>
        <v>2830639.9111930374</v>
      </c>
      <c r="BI1358" s="2">
        <f t="shared" ca="1" si="1361"/>
        <v>33129290.786236338</v>
      </c>
      <c r="BJ1358" s="2">
        <f t="shared" ca="1" si="1362"/>
        <v>0.21609151655901071</v>
      </c>
      <c r="BK1358" s="2">
        <f t="shared" ca="1" si="1363"/>
        <v>7712631.6190468594</v>
      </c>
    </row>
    <row r="1359" spans="1:63" x14ac:dyDescent="0.3">
      <c r="A1359" s="2">
        <v>1358</v>
      </c>
      <c r="B1359" s="2">
        <f t="shared" ca="1" si="1302"/>
        <v>0.41612961871008058</v>
      </c>
      <c r="C1359" s="2">
        <f t="shared" ca="1" si="1303"/>
        <v>6.9122824329231385</v>
      </c>
      <c r="D1359" s="2">
        <f t="shared" ca="1" si="1304"/>
        <v>0.35295729220125294</v>
      </c>
      <c r="E1359" s="2">
        <f t="shared" ca="1" si="1305"/>
        <v>7.3401872317540331</v>
      </c>
      <c r="F1359" s="2">
        <f t="shared" ca="1" si="1306"/>
        <v>0.77901767971089808</v>
      </c>
      <c r="G1359" s="2">
        <f t="shared" ca="1" si="1307"/>
        <v>6.3066395491618132E-2</v>
      </c>
      <c r="H1359" s="2">
        <f t="shared" ca="1" si="1308"/>
        <v>6.3066395491618132E-2</v>
      </c>
      <c r="I1359" s="2">
        <f t="shared" ca="1" si="1309"/>
        <v>0.50253521047515171</v>
      </c>
      <c r="J1359" s="2">
        <f t="shared" ca="1" si="1310"/>
        <v>1.0031774365159323E-2</v>
      </c>
      <c r="K1359" s="2">
        <f t="shared" ca="1" si="1311"/>
        <v>1.0031774365159323E-2</v>
      </c>
      <c r="L1359" s="2">
        <f t="shared" ca="1" si="1312"/>
        <v>0.64435239141723799</v>
      </c>
      <c r="M1359" s="2">
        <f t="shared" ca="1" si="1313"/>
        <v>7.4023426524891843E-3</v>
      </c>
      <c r="N1359" s="2">
        <f t="shared" ca="1" si="1314"/>
        <v>7.4023426524891843E-3</v>
      </c>
      <c r="O1359" s="2">
        <f t="shared" si="1315"/>
        <v>6000000</v>
      </c>
      <c r="P1359" s="2">
        <f t="shared" ca="1" si="1316"/>
        <v>41473694.597538829</v>
      </c>
      <c r="Q1359" s="2">
        <f t="shared" ca="1" si="1317"/>
        <v>1036842.3649384708</v>
      </c>
      <c r="R1359" s="2">
        <f t="shared" ca="1" si="1318"/>
        <v>24884216.758523297</v>
      </c>
      <c r="S1359" s="2">
        <f t="shared" ca="1" si="1319"/>
        <v>16589477.839015532</v>
      </c>
      <c r="T1359" s="2">
        <f t="shared" ca="1" si="1320"/>
        <v>50370117.132624462</v>
      </c>
      <c r="U1359" s="2">
        <f t="shared" ca="1" si="1321"/>
        <v>53546778.860669687</v>
      </c>
      <c r="V1359" s="2">
        <f t="shared" ca="1" si="1322"/>
        <v>56923781.193598904</v>
      </c>
      <c r="W1359" s="2">
        <f t="shared" ca="1" si="1323"/>
        <v>60513758.891232751</v>
      </c>
      <c r="X1359" s="2">
        <f t="shared" ca="1" si="1324"/>
        <v>64330143.54215166</v>
      </c>
      <c r="Y1359" s="2">
        <f t="shared" ca="1" si="1325"/>
        <v>0.12501588718257967</v>
      </c>
      <c r="Z1359" s="2">
        <f t="shared" ca="1" si="1326"/>
        <v>0.12702224205561152</v>
      </c>
      <c r="AA1359" s="2">
        <f t="shared" ca="1" si="1327"/>
        <v>6297064.8808255028</v>
      </c>
      <c r="AB1359" s="2">
        <f t="shared" ca="1" si="1328"/>
        <v>6801631.9057382876</v>
      </c>
      <c r="AC1359" s="2">
        <f t="shared" ca="1" si="1329"/>
        <v>7230586.3134939866</v>
      </c>
      <c r="AD1359" s="2">
        <f t="shared" ca="1" si="1330"/>
        <v>7686593.3295770809</v>
      </c>
      <c r="AE1359" s="2">
        <f t="shared" ca="1" si="1331"/>
        <v>8171359.0644834228</v>
      </c>
      <c r="AF1359" s="2">
        <f t="shared" ca="1" si="1332"/>
        <v>1007402.3426524893</v>
      </c>
      <c r="AG1359" s="2">
        <f t="shared" ca="1" si="1333"/>
        <v>1070935.5772133938</v>
      </c>
      <c r="AH1359" s="2">
        <f t="shared" ca="1" si="1334"/>
        <v>1138475.6238719781</v>
      </c>
      <c r="AI1359" s="2">
        <f t="shared" ca="1" si="1335"/>
        <v>1210275.1778246551</v>
      </c>
      <c r="AJ1359" s="2">
        <f t="shared" ca="1" si="1336"/>
        <v>1286602.8708430333</v>
      </c>
      <c r="AK1359" s="2">
        <f t="shared" ca="1" si="1337"/>
        <v>0</v>
      </c>
      <c r="AL1359" s="2">
        <f t="shared" ca="1" si="1338"/>
        <v>31766.617280452254</v>
      </c>
      <c r="AM1359" s="2">
        <f t="shared" ca="1" si="1339"/>
        <v>33770.023329292162</v>
      </c>
      <c r="AN1359" s="2">
        <f t="shared" ca="1" si="1340"/>
        <v>35899.776976338479</v>
      </c>
      <c r="AO1359" s="2">
        <f t="shared" ca="1" si="1341"/>
        <v>38163.846509189083</v>
      </c>
      <c r="AP1359" s="2">
        <f t="shared" ca="1" si="1342"/>
        <v>2239579.5082670967</v>
      </c>
      <c r="AQ1359" s="2">
        <f t="shared" ca="1" si="1343"/>
        <v>793021.58777553833</v>
      </c>
      <c r="AR1359" s="2">
        <f t="shared" ca="1" si="1344"/>
        <v>907690.37326702732</v>
      </c>
      <c r="AS1359" s="2">
        <f t="shared" ca="1" si="1345"/>
        <v>1001658.107152277</v>
      </c>
      <c r="AT1359" s="2">
        <f t="shared" ca="1" si="1346"/>
        <v>1101552.0473061854</v>
      </c>
      <c r="AU1359" s="2">
        <f t="shared" ca="1" si="1347"/>
        <v>1207745.9381970563</v>
      </c>
      <c r="AV1359" s="2">
        <f t="shared" ca="1" si="1348"/>
        <v>2257061.442130378</v>
      </c>
      <c r="AW1359" s="2">
        <f t="shared" ca="1" si="1349"/>
        <v>2551659.8297103173</v>
      </c>
      <c r="AX1359" s="2">
        <f t="shared" ca="1" si="1350"/>
        <v>2817103.0508733424</v>
      </c>
      <c r="AY1359" s="2">
        <f t="shared" ca="1" si="1351"/>
        <v>3099286.8192028045</v>
      </c>
      <c r="AZ1359" s="2">
        <f t="shared" ca="1" si="1352"/>
        <v>3399266.9006670476</v>
      </c>
      <c r="BA1359" s="2">
        <f t="shared" ca="1" si="1353"/>
        <v>59979305.471198797</v>
      </c>
      <c r="BB1359" s="2">
        <f t="shared" ca="1" si="1354"/>
        <v>1199586.1094239759</v>
      </c>
      <c r="BC1359" s="2">
        <f t="shared" ca="1" si="1355"/>
        <v>33895502.603251524</v>
      </c>
      <c r="BD1359" s="2">
        <f t="shared" ca="1" si="1356"/>
        <v>-18126320.203954004</v>
      </c>
      <c r="BE1359" s="2">
        <f t="shared" ca="1" si="1357"/>
        <v>2257061.442130378</v>
      </c>
      <c r="BF1359" s="2">
        <f t="shared" ca="1" si="1358"/>
        <v>2551659.8297103173</v>
      </c>
      <c r="BG1359" s="2">
        <f t="shared" ca="1" si="1359"/>
        <v>2817103.0508733424</v>
      </c>
      <c r="BH1359" s="2">
        <f t="shared" ca="1" si="1360"/>
        <v>3099286.8192028045</v>
      </c>
      <c r="BI1359" s="2">
        <f t="shared" ca="1" si="1361"/>
        <v>37294769.503918573</v>
      </c>
      <c r="BJ1359" s="2">
        <f t="shared" ca="1" si="1362"/>
        <v>0.25408853421402955</v>
      </c>
      <c r="BK1359" s="2">
        <f t="shared" ca="1" si="1363"/>
        <v>11059945.726147637</v>
      </c>
    </row>
    <row r="1360" spans="1:63" x14ac:dyDescent="0.3">
      <c r="A1360" s="2">
        <v>1359</v>
      </c>
      <c r="B1360" s="2">
        <f t="shared" ca="1" si="1302"/>
        <v>0.11766737873449951</v>
      </c>
      <c r="C1360" s="2">
        <f t="shared" ca="1" si="1303"/>
        <v>6.4851131388336114</v>
      </c>
      <c r="D1360" s="2">
        <f t="shared" ca="1" si="1304"/>
        <v>6.1298886828748955E-2</v>
      </c>
      <c r="E1360" s="2">
        <f t="shared" ca="1" si="1305"/>
        <v>6.850139648793875</v>
      </c>
      <c r="F1360" s="2">
        <f t="shared" ca="1" si="1306"/>
        <v>0.16764009854574524</v>
      </c>
      <c r="G1360" s="2">
        <f t="shared" ca="1" si="1307"/>
        <v>1.109401510684753E-2</v>
      </c>
      <c r="H1360" s="2">
        <f t="shared" ca="1" si="1308"/>
        <v>1.109401510684753E-2</v>
      </c>
      <c r="I1360" s="2">
        <f t="shared" ca="1" si="1309"/>
        <v>0.48885278920711028</v>
      </c>
      <c r="J1360" s="2">
        <f t="shared" ca="1" si="1310"/>
        <v>9.8602722465265247E-3</v>
      </c>
      <c r="K1360" s="2">
        <f t="shared" ca="1" si="1311"/>
        <v>9.8602722465265247E-3</v>
      </c>
      <c r="L1360" s="2">
        <f t="shared" ca="1" si="1312"/>
        <v>0.62476611512568403</v>
      </c>
      <c r="M1360" s="2">
        <f t="shared" ca="1" si="1313"/>
        <v>6.360452635661114E-3</v>
      </c>
      <c r="N1360" s="2">
        <f t="shared" ca="1" si="1314"/>
        <v>6.360452635661114E-3</v>
      </c>
      <c r="O1360" s="2">
        <f t="shared" si="1315"/>
        <v>6000000</v>
      </c>
      <c r="P1360" s="2">
        <f t="shared" ca="1" si="1316"/>
        <v>38910678.833001666</v>
      </c>
      <c r="Q1360" s="2">
        <f t="shared" ca="1" si="1317"/>
        <v>972766.97082504164</v>
      </c>
      <c r="R1360" s="2">
        <f t="shared" ca="1" si="1318"/>
        <v>23346407.299800999</v>
      </c>
      <c r="S1360" s="2">
        <f t="shared" ca="1" si="1319"/>
        <v>15564271.533200666</v>
      </c>
      <c r="T1360" s="2">
        <f t="shared" ca="1" si="1320"/>
        <v>50318022.631783053</v>
      </c>
      <c r="U1360" s="2">
        <f t="shared" ca="1" si="1321"/>
        <v>50876251.535006747</v>
      </c>
      <c r="V1360" s="2">
        <f t="shared" ca="1" si="1322"/>
        <v>51440673.438115887</v>
      </c>
      <c r="W1360" s="2">
        <f t="shared" ca="1" si="1323"/>
        <v>52011357.04634475</v>
      </c>
      <c r="X1360" s="2">
        <f t="shared" ca="1" si="1324"/>
        <v>52588371.827144533</v>
      </c>
      <c r="Y1360" s="2">
        <f t="shared" ca="1" si="1325"/>
        <v>0.12493013612326326</v>
      </c>
      <c r="Z1360" s="2">
        <f t="shared" ca="1" si="1326"/>
        <v>0.12690219057256857</v>
      </c>
      <c r="AA1360" s="2">
        <f t="shared" ca="1" si="1327"/>
        <v>6286237.4168420983</v>
      </c>
      <c r="AB1360" s="2">
        <f t="shared" ca="1" si="1328"/>
        <v>6456307.7679133601</v>
      </c>
      <c r="AC1360" s="2">
        <f t="shared" ca="1" si="1329"/>
        <v>6527934.1438250486</v>
      </c>
      <c r="AD1360" s="2">
        <f t="shared" ca="1" si="1330"/>
        <v>6600355.1438331483</v>
      </c>
      <c r="AE1360" s="2">
        <f t="shared" ca="1" si="1331"/>
        <v>6673579.5835093921</v>
      </c>
      <c r="AF1360" s="2">
        <f t="shared" ca="1" si="1332"/>
        <v>1006360.4526356611</v>
      </c>
      <c r="AG1360" s="2">
        <f t="shared" ca="1" si="1333"/>
        <v>1017525.0307001349</v>
      </c>
      <c r="AH1360" s="2">
        <f t="shared" ca="1" si="1334"/>
        <v>1028813.4687623178</v>
      </c>
      <c r="AI1360" s="2">
        <f t="shared" ca="1" si="1335"/>
        <v>1040227.140926895</v>
      </c>
      <c r="AJ1360" s="2">
        <f t="shared" ca="1" si="1336"/>
        <v>1051767.4365428907</v>
      </c>
      <c r="AK1360" s="2">
        <f t="shared" ca="1" si="1337"/>
        <v>0</v>
      </c>
      <c r="AL1360" s="2">
        <f t="shared" ca="1" si="1338"/>
        <v>5582.289032236934</v>
      </c>
      <c r="AM1360" s="2">
        <f t="shared" ca="1" si="1339"/>
        <v>5644.2190310914075</v>
      </c>
      <c r="AN1360" s="2">
        <f t="shared" ca="1" si="1340"/>
        <v>5706.8360822886234</v>
      </c>
      <c r="AO1360" s="2">
        <f t="shared" ca="1" si="1341"/>
        <v>5770.1478079978378</v>
      </c>
      <c r="AP1360" s="2">
        <f t="shared" ca="1" si="1342"/>
        <v>2101176.6569820899</v>
      </c>
      <c r="AQ1360" s="2">
        <f t="shared" ca="1" si="1343"/>
        <v>826462.07987833046</v>
      </c>
      <c r="AR1360" s="2">
        <f t="shared" ca="1" si="1344"/>
        <v>867777.58086009522</v>
      </c>
      <c r="AS1360" s="2">
        <f t="shared" ca="1" si="1345"/>
        <v>883465.44470096671</v>
      </c>
      <c r="AT1360" s="2">
        <f t="shared" ca="1" si="1346"/>
        <v>899327.34994028264</v>
      </c>
      <c r="AU1360" s="2">
        <f t="shared" ca="1" si="1347"/>
        <v>915365.22739594697</v>
      </c>
      <c r="AV1360" s="2">
        <f t="shared" ca="1" si="1348"/>
        <v>2352238.2273460175</v>
      </c>
      <c r="AW1360" s="2">
        <f t="shared" ca="1" si="1349"/>
        <v>2464246.2103388035</v>
      </c>
      <c r="AX1360" s="2">
        <f t="shared" ca="1" si="1350"/>
        <v>2508834.3543485827</v>
      </c>
      <c r="AY1360" s="2">
        <f t="shared" ca="1" si="1351"/>
        <v>2553917.1599015924</v>
      </c>
      <c r="AZ1360" s="2">
        <f t="shared" ca="1" si="1352"/>
        <v>2599500.1147804665</v>
      </c>
      <c r="BA1360" s="2">
        <f t="shared" ca="1" si="1353"/>
        <v>45714952.104379006</v>
      </c>
      <c r="BB1360" s="2">
        <f t="shared" ca="1" si="1354"/>
        <v>914299.04208758008</v>
      </c>
      <c r="BC1360" s="2">
        <f t="shared" ca="1" si="1355"/>
        <v>21454245.762490425</v>
      </c>
      <c r="BD1360" s="2">
        <f t="shared" ca="1" si="1356"/>
        <v>-17037038.504025709</v>
      </c>
      <c r="BE1360" s="2">
        <f t="shared" ca="1" si="1357"/>
        <v>2352238.2273460175</v>
      </c>
      <c r="BF1360" s="2">
        <f t="shared" ca="1" si="1358"/>
        <v>2464246.2103388035</v>
      </c>
      <c r="BG1360" s="2">
        <f t="shared" ca="1" si="1359"/>
        <v>2508834.3543485827</v>
      </c>
      <c r="BH1360" s="2">
        <f t="shared" ca="1" si="1360"/>
        <v>2553917.1599015924</v>
      </c>
      <c r="BI1360" s="2">
        <f t="shared" ca="1" si="1361"/>
        <v>24053745.877270892</v>
      </c>
      <c r="BJ1360" s="2">
        <f t="shared" ca="1" si="1362"/>
        <v>0.18147267579159809</v>
      </c>
      <c r="BK1360" s="2">
        <f t="shared" ca="1" si="1363"/>
        <v>4085196.8463430591</v>
      </c>
    </row>
    <row r="1361" spans="1:63" x14ac:dyDescent="0.3">
      <c r="A1361" s="2">
        <v>1360</v>
      </c>
      <c r="B1361" s="2">
        <f t="shared" ca="1" si="1302"/>
        <v>0.8086360820888433</v>
      </c>
      <c r="C1361" s="2">
        <f t="shared" ca="1" si="1303"/>
        <v>7.3813499892327545</v>
      </c>
      <c r="D1361" s="2">
        <f t="shared" ca="1" si="1304"/>
        <v>0.53861664375716978</v>
      </c>
      <c r="E1361" s="2">
        <f t="shared" ca="1" si="1305"/>
        <v>7.539392529445216</v>
      </c>
      <c r="F1361" s="2">
        <f t="shared" ca="1" si="1306"/>
        <v>0.8759330084477116</v>
      </c>
      <c r="G1361" s="2">
        <f t="shared" ca="1" si="1307"/>
        <v>7.4646809279855439E-2</v>
      </c>
      <c r="H1361" s="2">
        <f t="shared" ca="1" si="1308"/>
        <v>7.4646809279855439E-2</v>
      </c>
      <c r="I1361" s="2">
        <f t="shared" ca="1" si="1309"/>
        <v>0.37680131027385755</v>
      </c>
      <c r="J1361" s="2">
        <f t="shared" ca="1" si="1310"/>
        <v>8.4305370635257924E-3</v>
      </c>
      <c r="K1361" s="2">
        <f t="shared" ca="1" si="1311"/>
        <v>8.4305370635257924E-3</v>
      </c>
      <c r="L1361" s="2">
        <f t="shared" ca="1" si="1312"/>
        <v>0.61536936630921502</v>
      </c>
      <c r="M1361" s="2">
        <f t="shared" ca="1" si="1313"/>
        <v>5.8668265534408117E-3</v>
      </c>
      <c r="N1361" s="2">
        <f t="shared" ca="1" si="1314"/>
        <v>5.8668265534408117E-3</v>
      </c>
      <c r="O1361" s="2">
        <f t="shared" si="1315"/>
        <v>6000000</v>
      </c>
      <c r="P1361" s="2">
        <f t="shared" ca="1" si="1316"/>
        <v>44288099.93539653</v>
      </c>
      <c r="Q1361" s="2">
        <f t="shared" ca="1" si="1317"/>
        <v>1107202.4983849132</v>
      </c>
      <c r="R1361" s="2">
        <f t="shared" ca="1" si="1318"/>
        <v>26572859.961237919</v>
      </c>
      <c r="S1361" s="2">
        <f t="shared" ca="1" si="1319"/>
        <v>17715239.974158611</v>
      </c>
      <c r="T1361" s="2">
        <f t="shared" ca="1" si="1320"/>
        <v>50293341.327672035</v>
      </c>
      <c r="U1361" s="2">
        <f t="shared" ca="1" si="1321"/>
        <v>54047578.785805434</v>
      </c>
      <c r="V1361" s="2">
        <f t="shared" ca="1" si="1322"/>
        <v>58082058.09146741</v>
      </c>
      <c r="W1361" s="2">
        <f t="shared" ca="1" si="1323"/>
        <v>62417698.404402658</v>
      </c>
      <c r="X1361" s="2">
        <f t="shared" ca="1" si="1324"/>
        <v>67076980.432883635</v>
      </c>
      <c r="Y1361" s="2">
        <f t="shared" ca="1" si="1325"/>
        <v>0.12421526853176289</v>
      </c>
      <c r="Z1361" s="2">
        <f t="shared" ca="1" si="1326"/>
        <v>0.12590137594446804</v>
      </c>
      <c r="AA1361" s="2">
        <f t="shared" ca="1" si="1327"/>
        <v>6247200.8983763903</v>
      </c>
      <c r="AB1361" s="2">
        <f t="shared" ca="1" si="1328"/>
        <v>6804664.5355999451</v>
      </c>
      <c r="AC1361" s="2">
        <f t="shared" ca="1" si="1329"/>
        <v>7312611.0314022703</v>
      </c>
      <c r="AD1361" s="2">
        <f t="shared" ca="1" si="1330"/>
        <v>7858474.1124011222</v>
      </c>
      <c r="AE1361" s="2">
        <f t="shared" ca="1" si="1331"/>
        <v>8445084.1307002101</v>
      </c>
      <c r="AF1361" s="2">
        <f t="shared" ca="1" si="1332"/>
        <v>1005866.8265534407</v>
      </c>
      <c r="AG1361" s="2">
        <f t="shared" ca="1" si="1333"/>
        <v>1080951.5757161088</v>
      </c>
      <c r="AH1361" s="2">
        <f t="shared" ca="1" si="1334"/>
        <v>1161641.1618293482</v>
      </c>
      <c r="AI1361" s="2">
        <f t="shared" ca="1" si="1335"/>
        <v>1248353.9680880532</v>
      </c>
      <c r="AJ1361" s="2">
        <f t="shared" ca="1" si="1336"/>
        <v>1341539.6086576728</v>
      </c>
      <c r="AK1361" s="2">
        <f t="shared" ca="1" si="1337"/>
        <v>0</v>
      </c>
      <c r="AL1361" s="2">
        <f t="shared" ca="1" si="1338"/>
        <v>37542.374581333999</v>
      </c>
      <c r="AM1361" s="2">
        <f t="shared" ca="1" si="1339"/>
        <v>40344.793056619761</v>
      </c>
      <c r="AN1361" s="2">
        <f t="shared" ca="1" si="1340"/>
        <v>43356.403129352482</v>
      </c>
      <c r="AO1361" s="2">
        <f t="shared" ca="1" si="1341"/>
        <v>46592.820284809772</v>
      </c>
      <c r="AP1361" s="2">
        <f t="shared" ca="1" si="1342"/>
        <v>2391557.3965114127</v>
      </c>
      <c r="AQ1361" s="2">
        <f t="shared" ca="1" si="1343"/>
        <v>740941.93558099959</v>
      </c>
      <c r="AR1361" s="2">
        <f t="shared" ca="1" si="1344"/>
        <v>866360.44647683017</v>
      </c>
      <c r="AS1361" s="2">
        <f t="shared" ca="1" si="1345"/>
        <v>977447.24299599265</v>
      </c>
      <c r="AT1361" s="2">
        <f t="shared" ca="1" si="1346"/>
        <v>1096826.3144284305</v>
      </c>
      <c r="AU1361" s="2">
        <f t="shared" ca="1" si="1347"/>
        <v>1225116.6526380922</v>
      </c>
      <c r="AV1361" s="2">
        <f t="shared" ca="1" si="1348"/>
        <v>2108834.7397305374</v>
      </c>
      <c r="AW1361" s="2">
        <f t="shared" ca="1" si="1349"/>
        <v>2428252.7423142591</v>
      </c>
      <c r="AX1361" s="2">
        <f t="shared" ca="1" si="1350"/>
        <v>2741620.4370088982</v>
      </c>
      <c r="AY1361" s="2">
        <f t="shared" ca="1" si="1351"/>
        <v>3078380.0302438741</v>
      </c>
      <c r="AZ1361" s="2">
        <f t="shared" ca="1" si="1352"/>
        <v>3440277.6526082219</v>
      </c>
      <c r="BA1361" s="2">
        <f t="shared" ca="1" si="1353"/>
        <v>63670804.205537513</v>
      </c>
      <c r="BB1361" s="2">
        <f t="shared" ca="1" si="1354"/>
        <v>1273416.0841107504</v>
      </c>
      <c r="BC1361" s="2">
        <f t="shared" ca="1" si="1355"/>
        <v>35824528.160188839</v>
      </c>
      <c r="BD1361" s="2">
        <f t="shared" ca="1" si="1356"/>
        <v>-19322442.472543523</v>
      </c>
      <c r="BE1361" s="2">
        <f t="shared" ca="1" si="1357"/>
        <v>2108834.7397305374</v>
      </c>
      <c r="BF1361" s="2">
        <f t="shared" ca="1" si="1358"/>
        <v>2428252.7423142591</v>
      </c>
      <c r="BG1361" s="2">
        <f t="shared" ca="1" si="1359"/>
        <v>2741620.4370088982</v>
      </c>
      <c r="BH1361" s="2">
        <f t="shared" ca="1" si="1360"/>
        <v>3078380.0302438741</v>
      </c>
      <c r="BI1361" s="2">
        <f t="shared" ca="1" si="1361"/>
        <v>39264805.812797062</v>
      </c>
      <c r="BJ1361" s="2">
        <f t="shared" ca="1" si="1362"/>
        <v>0.24139190956105794</v>
      </c>
      <c r="BK1361" s="2">
        <f t="shared" ca="1" si="1363"/>
        <v>10683936.645491283</v>
      </c>
    </row>
    <row r="1362" spans="1:63" x14ac:dyDescent="0.3">
      <c r="A1362" s="2">
        <v>1361</v>
      </c>
      <c r="B1362" s="2">
        <f t="shared" ca="1" si="1302"/>
        <v>0.3655480598582177</v>
      </c>
      <c r="C1362" s="2">
        <f t="shared" ca="1" si="1303"/>
        <v>6.8550415894659364</v>
      </c>
      <c r="D1362" s="2">
        <f t="shared" ca="1" si="1304"/>
        <v>0.36155861151405388</v>
      </c>
      <c r="E1362" s="2">
        <f t="shared" ca="1" si="1305"/>
        <v>7.3503629948604932</v>
      </c>
      <c r="F1362" s="2">
        <f t="shared" ca="1" si="1306"/>
        <v>0.35994033984719465</v>
      </c>
      <c r="G1362" s="2">
        <f t="shared" ca="1" si="1307"/>
        <v>2.9241451997229717E-2</v>
      </c>
      <c r="H1362" s="2">
        <f t="shared" ca="1" si="1308"/>
        <v>2.9241451997229717E-2</v>
      </c>
      <c r="I1362" s="2">
        <f t="shared" ca="1" si="1309"/>
        <v>0.1696802436935988</v>
      </c>
      <c r="J1362" s="2">
        <f t="shared" ca="1" si="1310"/>
        <v>5.2228519631950287E-3</v>
      </c>
      <c r="K1362" s="2">
        <f t="shared" ca="1" si="1311"/>
        <v>5.2228519631950287E-3</v>
      </c>
      <c r="L1362" s="2">
        <f t="shared" ca="1" si="1312"/>
        <v>0.19185208916381591</v>
      </c>
      <c r="M1362" s="2">
        <f t="shared" ca="1" si="1313"/>
        <v>-1.742183060560382E-2</v>
      </c>
      <c r="N1362" s="2">
        <f t="shared" ca="1" si="1314"/>
        <v>-1.742183060560382E-2</v>
      </c>
      <c r="O1362" s="2">
        <f t="shared" si="1315"/>
        <v>6000000</v>
      </c>
      <c r="P1362" s="2">
        <f t="shared" ca="1" si="1316"/>
        <v>41130249.536795616</v>
      </c>
      <c r="Q1362" s="2">
        <f t="shared" ca="1" si="1317"/>
        <v>1028256.2384198904</v>
      </c>
      <c r="R1362" s="2">
        <f t="shared" ca="1" si="1318"/>
        <v>24678149.72207737</v>
      </c>
      <c r="S1362" s="2">
        <f t="shared" ca="1" si="1319"/>
        <v>16452099.814718246</v>
      </c>
      <c r="T1362" s="2">
        <f t="shared" ca="1" si="1320"/>
        <v>49128908.469719805</v>
      </c>
      <c r="U1362" s="2">
        <f t="shared" ca="1" si="1321"/>
        <v>50565509.08841341</v>
      </c>
      <c r="V1362" s="2">
        <f t="shared" ca="1" si="1322"/>
        <v>52044117.995137736</v>
      </c>
      <c r="W1362" s="2">
        <f t="shared" ca="1" si="1323"/>
        <v>53565963.573230714</v>
      </c>
      <c r="X1362" s="2">
        <f t="shared" ca="1" si="1324"/>
        <v>55132310.125742696</v>
      </c>
      <c r="Y1362" s="2">
        <f t="shared" ca="1" si="1325"/>
        <v>0.12261142598159751</v>
      </c>
      <c r="Z1362" s="2">
        <f t="shared" ca="1" si="1326"/>
        <v>0.12365599637423652</v>
      </c>
      <c r="AA1362" s="2">
        <f t="shared" ca="1" si="1327"/>
        <v>6023765.5243917285</v>
      </c>
      <c r="AB1362" s="2">
        <f t="shared" ca="1" si="1328"/>
        <v>6252728.4084982723</v>
      </c>
      <c r="AC1362" s="2">
        <f t="shared" ca="1" si="1329"/>
        <v>6435567.2661070898</v>
      </c>
      <c r="AD1362" s="2">
        <f t="shared" ca="1" si="1330"/>
        <v>6623752.5973939029</v>
      </c>
      <c r="AE1362" s="2">
        <f t="shared" ca="1" si="1331"/>
        <v>6817440.7410121225</v>
      </c>
      <c r="AF1362" s="2">
        <f t="shared" ca="1" si="1332"/>
        <v>982578.16939439613</v>
      </c>
      <c r="AG1362" s="2">
        <f t="shared" ca="1" si="1333"/>
        <v>1011310.1817682682</v>
      </c>
      <c r="AH1362" s="2">
        <f t="shared" ca="1" si="1334"/>
        <v>1040882.3599027548</v>
      </c>
      <c r="AI1362" s="2">
        <f t="shared" ca="1" si="1335"/>
        <v>1071319.2714646142</v>
      </c>
      <c r="AJ1362" s="2">
        <f t="shared" ca="1" si="1336"/>
        <v>1102646.202514854</v>
      </c>
      <c r="AK1362" s="2">
        <f t="shared" ca="1" si="1337"/>
        <v>0</v>
      </c>
      <c r="AL1362" s="2">
        <f t="shared" ca="1" si="1338"/>
        <v>14366.006186936051</v>
      </c>
      <c r="AM1362" s="2">
        <f t="shared" ca="1" si="1339"/>
        <v>14786.089067243263</v>
      </c>
      <c r="AN1362" s="2">
        <f t="shared" ca="1" si="1340"/>
        <v>15218.455780929775</v>
      </c>
      <c r="AO1362" s="2">
        <f t="shared" ca="1" si="1341"/>
        <v>15663.465525119827</v>
      </c>
      <c r="AP1362" s="2">
        <f t="shared" ca="1" si="1342"/>
        <v>2221033.474986963</v>
      </c>
      <c r="AQ1362" s="2">
        <f t="shared" ca="1" si="1343"/>
        <v>733240.00880269601</v>
      </c>
      <c r="AR1362" s="2">
        <f t="shared" ca="1" si="1344"/>
        <v>785300.03545319068</v>
      </c>
      <c r="AS1362" s="2">
        <f t="shared" ca="1" si="1345"/>
        <v>825149.37211651681</v>
      </c>
      <c r="AT1362" s="2">
        <f t="shared" ca="1" si="1346"/>
        <v>866163.96124500479</v>
      </c>
      <c r="AU1362" s="2">
        <f t="shared" ca="1" si="1347"/>
        <v>908377.87651267939</v>
      </c>
      <c r="AV1362" s="2">
        <f t="shared" ca="1" si="1348"/>
        <v>2086913.8712076731</v>
      </c>
      <c r="AW1362" s="2">
        <f t="shared" ca="1" si="1349"/>
        <v>2220718.7101029139</v>
      </c>
      <c r="AX1362" s="2">
        <f t="shared" ca="1" si="1350"/>
        <v>2333715.9700336121</v>
      </c>
      <c r="AY1362" s="2">
        <f t="shared" ca="1" si="1351"/>
        <v>2450017.4339163909</v>
      </c>
      <c r="AZ1362" s="2">
        <f t="shared" ca="1" si="1352"/>
        <v>2569719.7214725064</v>
      </c>
      <c r="BA1362" s="2">
        <f t="shared" ca="1" si="1353"/>
        <v>50110664.142389804</v>
      </c>
      <c r="BB1362" s="2">
        <f t="shared" ca="1" si="1354"/>
        <v>1002213.2828477961</v>
      </c>
      <c r="BC1362" s="2">
        <f t="shared" ca="1" si="1355"/>
        <v>24430301.137464639</v>
      </c>
      <c r="BD1362" s="2">
        <f t="shared" ca="1" si="1356"/>
        <v>-17980356.053138137</v>
      </c>
      <c r="BE1362" s="2">
        <f t="shared" ca="1" si="1357"/>
        <v>2086913.8712076731</v>
      </c>
      <c r="BF1362" s="2">
        <f t="shared" ca="1" si="1358"/>
        <v>2220718.7101029139</v>
      </c>
      <c r="BG1362" s="2">
        <f t="shared" ca="1" si="1359"/>
        <v>2333715.9700336121</v>
      </c>
      <c r="BH1362" s="2">
        <f t="shared" ca="1" si="1360"/>
        <v>2450017.4339163909</v>
      </c>
      <c r="BI1362" s="2">
        <f t="shared" ca="1" si="1361"/>
        <v>27000020.858937144</v>
      </c>
      <c r="BJ1362" s="2">
        <f t="shared" ca="1" si="1362"/>
        <v>0.17790308754546769</v>
      </c>
      <c r="BK1362" s="2">
        <f t="shared" ca="1" si="1363"/>
        <v>4191963.5062151402</v>
      </c>
    </row>
    <row r="1363" spans="1:63" x14ac:dyDescent="0.3">
      <c r="A1363" s="2">
        <v>1362</v>
      </c>
      <c r="B1363" s="2">
        <f t="shared" ca="1" si="1302"/>
        <v>0.63219633798984576</v>
      </c>
      <c r="C1363" s="2">
        <f t="shared" ca="1" si="1303"/>
        <v>7.1423244646019635</v>
      </c>
      <c r="D1363" s="2">
        <f t="shared" ca="1" si="1304"/>
        <v>9.5591222372508389E-2</v>
      </c>
      <c r="E1363" s="2">
        <f t="shared" ca="1" si="1305"/>
        <v>6.93724414775388</v>
      </c>
      <c r="F1363" s="2">
        <f t="shared" ca="1" si="1306"/>
        <v>0.65483761737033752</v>
      </c>
      <c r="G1363" s="2">
        <f t="shared" ca="1" si="1307"/>
        <v>5.1952431174860515E-2</v>
      </c>
      <c r="H1363" s="2">
        <f t="shared" ca="1" si="1308"/>
        <v>5.1952431174860515E-2</v>
      </c>
      <c r="I1363" s="2">
        <f t="shared" ca="1" si="1309"/>
        <v>0.20886898559989209</v>
      </c>
      <c r="J1363" s="2">
        <f t="shared" ca="1" si="1310"/>
        <v>5.9482406467195707E-3</v>
      </c>
      <c r="K1363" s="2">
        <f t="shared" ca="1" si="1311"/>
        <v>5.9482406467195707E-3</v>
      </c>
      <c r="L1363" s="2">
        <f t="shared" ca="1" si="1312"/>
        <v>0.39696696172495483</v>
      </c>
      <c r="M1363" s="2">
        <f t="shared" ca="1" si="1313"/>
        <v>-5.224112943233045E-3</v>
      </c>
      <c r="N1363" s="2">
        <f t="shared" ca="1" si="1314"/>
        <v>-5.224112943233045E-3</v>
      </c>
      <c r="O1363" s="2">
        <f t="shared" si="1315"/>
        <v>6000000</v>
      </c>
      <c r="P1363" s="2">
        <f t="shared" ca="1" si="1316"/>
        <v>42853946.787611783</v>
      </c>
      <c r="Q1363" s="2">
        <f t="shared" ca="1" si="1317"/>
        <v>1071348.6696902947</v>
      </c>
      <c r="R1363" s="2">
        <f t="shared" ca="1" si="1318"/>
        <v>25712368.072567068</v>
      </c>
      <c r="S1363" s="2">
        <f t="shared" ca="1" si="1319"/>
        <v>17141578.715044715</v>
      </c>
      <c r="T1363" s="2">
        <f t="shared" ca="1" si="1320"/>
        <v>49738794.352838352</v>
      </c>
      <c r="U1363" s="2">
        <f t="shared" ca="1" si="1321"/>
        <v>52322845.643174723</v>
      </c>
      <c r="V1363" s="2">
        <f t="shared" ca="1" si="1322"/>
        <v>55041144.680324607</v>
      </c>
      <c r="W1363" s="2">
        <f t="shared" ca="1" si="1323"/>
        <v>57900665.961114712</v>
      </c>
      <c r="X1363" s="2">
        <f t="shared" ca="1" si="1324"/>
        <v>60908746.32443811</v>
      </c>
      <c r="Y1363" s="2">
        <f t="shared" ca="1" si="1325"/>
        <v>0.12297412032335978</v>
      </c>
      <c r="Z1363" s="2">
        <f t="shared" ca="1" si="1326"/>
        <v>0.12416376845270369</v>
      </c>
      <c r="AA1363" s="2">
        <f t="shared" ca="1" si="1327"/>
        <v>6116584.4814847913</v>
      </c>
      <c r="AB1363" s="2">
        <f t="shared" ca="1" si="1328"/>
        <v>6496601.6912257019</v>
      </c>
      <c r="AC1363" s="2">
        <f t="shared" ca="1" si="1329"/>
        <v>6834115.9434595881</v>
      </c>
      <c r="AD1363" s="2">
        <f t="shared" ca="1" si="1330"/>
        <v>7189164.8816531887</v>
      </c>
      <c r="AE1363" s="2">
        <f t="shared" ca="1" si="1331"/>
        <v>7562659.4753720006</v>
      </c>
      <c r="AF1363" s="2">
        <f t="shared" ca="1" si="1332"/>
        <v>994775.88705676701</v>
      </c>
      <c r="AG1363" s="2">
        <f t="shared" ca="1" si="1333"/>
        <v>1046456.9128634945</v>
      </c>
      <c r="AH1363" s="2">
        <f t="shared" ca="1" si="1334"/>
        <v>1100822.8936064921</v>
      </c>
      <c r="AI1363" s="2">
        <f t="shared" ca="1" si="1335"/>
        <v>1158013.3192222943</v>
      </c>
      <c r="AJ1363" s="2">
        <f t="shared" ca="1" si="1336"/>
        <v>1218174.9264887623</v>
      </c>
      <c r="AK1363" s="2">
        <f t="shared" ca="1" si="1337"/>
        <v>0</v>
      </c>
      <c r="AL1363" s="2">
        <f t="shared" ca="1" si="1338"/>
        <v>25840.512903363706</v>
      </c>
      <c r="AM1363" s="2">
        <f t="shared" ca="1" si="1339"/>
        <v>27182.99037149884</v>
      </c>
      <c r="AN1363" s="2">
        <f t="shared" ca="1" si="1340"/>
        <v>28595.212807901054</v>
      </c>
      <c r="AO1363" s="2">
        <f t="shared" ca="1" si="1341"/>
        <v>30080.80363323398</v>
      </c>
      <c r="AP1363" s="2">
        <f t="shared" ca="1" si="1342"/>
        <v>2314113.1265310361</v>
      </c>
      <c r="AQ1363" s="2">
        <f t="shared" ca="1" si="1343"/>
        <v>730000.82165321696</v>
      </c>
      <c r="AR1363" s="2">
        <f t="shared" ca="1" si="1344"/>
        <v>815368.22947610449</v>
      </c>
      <c r="AS1363" s="2">
        <f t="shared" ca="1" si="1345"/>
        <v>888986.78006373555</v>
      </c>
      <c r="AT1363" s="2">
        <f t="shared" ca="1" si="1346"/>
        <v>966429.9933339631</v>
      </c>
      <c r="AU1363" s="2">
        <f t="shared" ca="1" si="1347"/>
        <v>1047896.5698115728</v>
      </c>
      <c r="AV1363" s="2">
        <f t="shared" ca="1" si="1348"/>
        <v>2077694.6462437711</v>
      </c>
      <c r="AW1363" s="2">
        <f t="shared" ca="1" si="1349"/>
        <v>2294822.9094517031</v>
      </c>
      <c r="AX1363" s="2">
        <f t="shared" ca="1" si="1350"/>
        <v>2503010.1528868251</v>
      </c>
      <c r="AY1363" s="2">
        <f t="shared" ca="1" si="1351"/>
        <v>2722013.2297579939</v>
      </c>
      <c r="AZ1363" s="2">
        <f t="shared" ca="1" si="1352"/>
        <v>2952394.0489073959</v>
      </c>
      <c r="BA1363" s="2">
        <f t="shared" ca="1" si="1353"/>
        <v>52464015.186979838</v>
      </c>
      <c r="BB1363" s="2">
        <f t="shared" ca="1" si="1354"/>
        <v>1049280.3037395969</v>
      </c>
      <c r="BC1363" s="2">
        <f t="shared" ca="1" si="1355"/>
        <v>25702366.810673174</v>
      </c>
      <c r="BD1363" s="2">
        <f t="shared" ca="1" si="1356"/>
        <v>-18712927.384735011</v>
      </c>
      <c r="BE1363" s="2">
        <f t="shared" ca="1" si="1357"/>
        <v>2077694.6462437711</v>
      </c>
      <c r="BF1363" s="2">
        <f t="shared" ca="1" si="1358"/>
        <v>2294822.9094517031</v>
      </c>
      <c r="BG1363" s="2">
        <f t="shared" ca="1" si="1359"/>
        <v>2503010.1528868251</v>
      </c>
      <c r="BH1363" s="2">
        <f t="shared" ca="1" si="1360"/>
        <v>2722013.2297579939</v>
      </c>
      <c r="BI1363" s="2">
        <f t="shared" ca="1" si="1361"/>
        <v>28654760.859580569</v>
      </c>
      <c r="BJ1363" s="2">
        <f t="shared" ca="1" si="1362"/>
        <v>0.18226376693766566</v>
      </c>
      <c r="BK1363" s="2">
        <f t="shared" ca="1" si="1363"/>
        <v>4742538.5543082841</v>
      </c>
    </row>
    <row r="1364" spans="1:63" x14ac:dyDescent="0.3">
      <c r="A1364" s="2">
        <v>1363</v>
      </c>
      <c r="B1364" s="2">
        <f t="shared" ca="1" si="1302"/>
        <v>0.21323603414931769</v>
      </c>
      <c r="C1364" s="2">
        <f t="shared" ca="1" si="1303"/>
        <v>6.6530482894079395</v>
      </c>
      <c r="D1364" s="2">
        <f t="shared" ca="1" si="1304"/>
        <v>0.96457385711089949</v>
      </c>
      <c r="E1364" s="2">
        <f t="shared" ca="1" si="1305"/>
        <v>8.2338190732261207</v>
      </c>
      <c r="F1364" s="2">
        <f t="shared" ca="1" si="1306"/>
        <v>0.71124402810762399</v>
      </c>
      <c r="G1364" s="2">
        <f t="shared" ca="1" si="1307"/>
        <v>5.6710679948832977E-2</v>
      </c>
      <c r="H1364" s="2">
        <f t="shared" ca="1" si="1308"/>
        <v>5.6710679948832977E-2</v>
      </c>
      <c r="I1364" s="2">
        <f t="shared" ca="1" si="1309"/>
        <v>0.31953198089411017</v>
      </c>
      <c r="J1364" s="2">
        <f t="shared" ca="1" si="1310"/>
        <v>7.6549603081223043E-3</v>
      </c>
      <c r="K1364" s="2">
        <f t="shared" ca="1" si="1311"/>
        <v>7.6549603081223043E-3</v>
      </c>
      <c r="L1364" s="2">
        <f t="shared" ca="1" si="1312"/>
        <v>0.30684458758367728</v>
      </c>
      <c r="M1364" s="2">
        <f t="shared" ca="1" si="1313"/>
        <v>-1.0096288729757643E-2</v>
      </c>
      <c r="N1364" s="2">
        <f t="shared" ca="1" si="1314"/>
        <v>-1.0096288729757643E-2</v>
      </c>
      <c r="O1364" s="2">
        <f t="shared" si="1315"/>
        <v>6000000</v>
      </c>
      <c r="P1364" s="2">
        <f t="shared" ca="1" si="1316"/>
        <v>39918289.73644764</v>
      </c>
      <c r="Q1364" s="2">
        <f t="shared" ca="1" si="1317"/>
        <v>997957.24341119104</v>
      </c>
      <c r="R1364" s="2">
        <f t="shared" ca="1" si="1318"/>
        <v>23950973.841868583</v>
      </c>
      <c r="S1364" s="2">
        <f t="shared" ca="1" si="1319"/>
        <v>15967315.894579057</v>
      </c>
      <c r="T1364" s="2">
        <f t="shared" ca="1" si="1320"/>
        <v>49495185.563512117</v>
      </c>
      <c r="U1364" s="2">
        <f t="shared" ca="1" si="1321"/>
        <v>52302091.191012554</v>
      </c>
      <c r="V1364" s="2">
        <f t="shared" ca="1" si="1322"/>
        <v>55268178.345200747</v>
      </c>
      <c r="W1364" s="2">
        <f t="shared" ca="1" si="1323"/>
        <v>58402474.318690449</v>
      </c>
      <c r="X1364" s="2">
        <f t="shared" ca="1" si="1324"/>
        <v>61714518.347997643</v>
      </c>
      <c r="Y1364" s="2">
        <f t="shared" ca="1" si="1325"/>
        <v>0.12382748015406114</v>
      </c>
      <c r="Z1364" s="2">
        <f t="shared" ca="1" si="1326"/>
        <v>0.12535847221568561</v>
      </c>
      <c r="AA1364" s="2">
        <f t="shared" ca="1" si="1327"/>
        <v>6128864.1080873702</v>
      </c>
      <c r="AB1364" s="2">
        <f t="shared" ca="1" si="1328"/>
        <v>6556510.2453908026</v>
      </c>
      <c r="AC1364" s="2">
        <f t="shared" ca="1" si="1329"/>
        <v>6928334.3994984049</v>
      </c>
      <c r="AD1364" s="2">
        <f t="shared" ca="1" si="1330"/>
        <v>7321244.9542068485</v>
      </c>
      <c r="AE1364" s="2">
        <f t="shared" ca="1" si="1331"/>
        <v>7736437.7336318819</v>
      </c>
      <c r="AF1364" s="2">
        <f t="shared" ca="1" si="1332"/>
        <v>989903.71127024235</v>
      </c>
      <c r="AG1364" s="2">
        <f t="shared" ca="1" si="1333"/>
        <v>1046041.8238202512</v>
      </c>
      <c r="AH1364" s="2">
        <f t="shared" ca="1" si="1334"/>
        <v>1105363.5669040149</v>
      </c>
      <c r="AI1364" s="2">
        <f t="shared" ca="1" si="1335"/>
        <v>1168049.4863738089</v>
      </c>
      <c r="AJ1364" s="2">
        <f t="shared" ca="1" si="1336"/>
        <v>1234290.366959953</v>
      </c>
      <c r="AK1364" s="2">
        <f t="shared" ca="1" si="1337"/>
        <v>0</v>
      </c>
      <c r="AL1364" s="2">
        <f t="shared" ca="1" si="1338"/>
        <v>28069.056275004372</v>
      </c>
      <c r="AM1364" s="2">
        <f t="shared" ca="1" si="1339"/>
        <v>29660.871541881934</v>
      </c>
      <c r="AN1364" s="2">
        <f t="shared" ca="1" si="1340"/>
        <v>31342.959734897016</v>
      </c>
      <c r="AO1364" s="2">
        <f t="shared" ca="1" si="1341"/>
        <v>33120.440293071944</v>
      </c>
      <c r="AP1364" s="2">
        <f t="shared" ca="1" si="1342"/>
        <v>2155587.6457681726</v>
      </c>
      <c r="AQ1364" s="2">
        <f t="shared" ca="1" si="1343"/>
        <v>775676.91527272854</v>
      </c>
      <c r="AR1364" s="2">
        <f t="shared" ca="1" si="1344"/>
        <v>872269.0017086186</v>
      </c>
      <c r="AS1364" s="2">
        <f t="shared" ca="1" si="1345"/>
        <v>953519.62857481663</v>
      </c>
      <c r="AT1364" s="2">
        <f t="shared" ca="1" si="1346"/>
        <v>1039378.0337368654</v>
      </c>
      <c r="AU1364" s="2">
        <f t="shared" ca="1" si="1347"/>
        <v>1130105.5274349765</v>
      </c>
      <c r="AV1364" s="2">
        <f t="shared" ca="1" si="1348"/>
        <v>2207695.8357762271</v>
      </c>
      <c r="AW1364" s="2">
        <f t="shared" ca="1" si="1349"/>
        <v>2454542.7178187561</v>
      </c>
      <c r="AX1364" s="2">
        <f t="shared" ca="1" si="1350"/>
        <v>2684202.686709519</v>
      </c>
      <c r="AY1364" s="2">
        <f t="shared" ca="1" si="1351"/>
        <v>2926886.8285931046</v>
      </c>
      <c r="AZ1364" s="2">
        <f t="shared" ca="1" si="1352"/>
        <v>3183333.753175708</v>
      </c>
      <c r="BA1364" s="2">
        <f t="shared" ca="1" si="1353"/>
        <v>63700428.570004448</v>
      </c>
      <c r="BB1364" s="2">
        <f t="shared" ca="1" si="1354"/>
        <v>1274008.571400089</v>
      </c>
      <c r="BC1364" s="2">
        <f t="shared" ca="1" si="1355"/>
        <v>38475446.156735778</v>
      </c>
      <c r="BD1364" s="2">
        <f t="shared" ca="1" si="1356"/>
        <v>-17465273.137990247</v>
      </c>
      <c r="BE1364" s="2">
        <f t="shared" ca="1" si="1357"/>
        <v>2207695.8357762271</v>
      </c>
      <c r="BF1364" s="2">
        <f t="shared" ca="1" si="1358"/>
        <v>2454542.7178187561</v>
      </c>
      <c r="BG1364" s="2">
        <f t="shared" ca="1" si="1359"/>
        <v>2684202.686709519</v>
      </c>
      <c r="BH1364" s="2">
        <f t="shared" ca="1" si="1360"/>
        <v>2926886.8285931046</v>
      </c>
      <c r="BI1364" s="2">
        <f t="shared" ca="1" si="1361"/>
        <v>41658779.909911484</v>
      </c>
      <c r="BJ1364" s="2">
        <f t="shared" ca="1" si="1362"/>
        <v>0.28443226846091374</v>
      </c>
      <c r="BK1364" s="2">
        <f t="shared" ca="1" si="1363"/>
        <v>13871592.728968725</v>
      </c>
    </row>
    <row r="1365" spans="1:63" x14ac:dyDescent="0.3">
      <c r="A1365" s="2">
        <v>1364</v>
      </c>
      <c r="B1365" s="2">
        <f t="shared" ca="1" si="1302"/>
        <v>0.32628002105396769</v>
      </c>
      <c r="C1365" s="2">
        <f t="shared" ca="1" si="1303"/>
        <v>6.8078118853470375</v>
      </c>
      <c r="D1365" s="2">
        <f t="shared" ca="1" si="1304"/>
        <v>0.79058264587576943</v>
      </c>
      <c r="E1365" s="2">
        <f t="shared" ca="1" si="1305"/>
        <v>7.8528255967295513</v>
      </c>
      <c r="F1365" s="2">
        <f t="shared" ca="1" si="1306"/>
        <v>0.82720752574751921</v>
      </c>
      <c r="G1365" s="2">
        <f t="shared" ca="1" si="1307"/>
        <v>6.8295628368912314E-2</v>
      </c>
      <c r="H1365" s="2">
        <f t="shared" ca="1" si="1308"/>
        <v>6.8295628368912314E-2</v>
      </c>
      <c r="I1365" s="2">
        <f t="shared" ca="1" si="1309"/>
        <v>0.25777965996406504</v>
      </c>
      <c r="J1365" s="2">
        <f t="shared" ca="1" si="1310"/>
        <v>6.7489711923619453E-3</v>
      </c>
      <c r="K1365" s="2">
        <f t="shared" ca="1" si="1311"/>
        <v>6.7489711923619453E-3</v>
      </c>
      <c r="L1365" s="2">
        <f t="shared" ca="1" si="1312"/>
        <v>4.5878830496065226E-2</v>
      </c>
      <c r="M1365" s="2">
        <f t="shared" ca="1" si="1313"/>
        <v>-3.3723960831935192E-2</v>
      </c>
      <c r="N1365" s="2">
        <f t="shared" ca="1" si="1314"/>
        <v>-3.3723960831935192E-2</v>
      </c>
      <c r="O1365" s="2">
        <f t="shared" si="1315"/>
        <v>6000000</v>
      </c>
      <c r="P1365" s="2">
        <f t="shared" ca="1" si="1316"/>
        <v>40846871.312082224</v>
      </c>
      <c r="Q1365" s="2">
        <f t="shared" ca="1" si="1317"/>
        <v>1021171.7828020556</v>
      </c>
      <c r="R1365" s="2">
        <f t="shared" ca="1" si="1318"/>
        <v>24508122.787249334</v>
      </c>
      <c r="S1365" s="2">
        <f t="shared" ca="1" si="1319"/>
        <v>16338748.524832889</v>
      </c>
      <c r="T1365" s="2">
        <f t="shared" ca="1" si="1320"/>
        <v>48313801.958403237</v>
      </c>
      <c r="U1365" s="2">
        <f t="shared" ca="1" si="1321"/>
        <v>51613423.422043569</v>
      </c>
      <c r="V1365" s="2">
        <f t="shared" ca="1" si="1322"/>
        <v>55138394.606922768</v>
      </c>
      <c r="W1365" s="2">
        <f t="shared" ca="1" si="1323"/>
        <v>58904105.913855597</v>
      </c>
      <c r="X1365" s="2">
        <f t="shared" ca="1" si="1324"/>
        <v>62926998.840751328</v>
      </c>
      <c r="Y1365" s="2">
        <f t="shared" ca="1" si="1325"/>
        <v>0.12337448559618097</v>
      </c>
      <c r="Z1365" s="2">
        <f t="shared" ca="1" si="1326"/>
        <v>0.12472427983465335</v>
      </c>
      <c r="AA1365" s="2">
        <f t="shared" ca="1" si="1327"/>
        <v>5960690.4638137603</v>
      </c>
      <c r="AB1365" s="2">
        <f t="shared" ca="1" si="1328"/>
        <v>6437447.0661154138</v>
      </c>
      <c r="AC1365" s="2">
        <f t="shared" ca="1" si="1329"/>
        <v>6877096.558587377</v>
      </c>
      <c r="AD1365" s="2">
        <f t="shared" ca="1" si="1330"/>
        <v>7346772.189409785</v>
      </c>
      <c r="AE1365" s="2">
        <f t="shared" ca="1" si="1331"/>
        <v>7848524.6125687761</v>
      </c>
      <c r="AF1365" s="2">
        <f t="shared" ca="1" si="1332"/>
        <v>966276.03916806472</v>
      </c>
      <c r="AG1365" s="2">
        <f t="shared" ca="1" si="1333"/>
        <v>1032268.4684408715</v>
      </c>
      <c r="AH1365" s="2">
        <f t="shared" ca="1" si="1334"/>
        <v>1102767.8921384553</v>
      </c>
      <c r="AI1365" s="2">
        <f t="shared" ca="1" si="1335"/>
        <v>1178082.118277112</v>
      </c>
      <c r="AJ1365" s="2">
        <f t="shared" ca="1" si="1336"/>
        <v>1258539.9768150265</v>
      </c>
      <c r="AK1365" s="2">
        <f t="shared" ca="1" si="1337"/>
        <v>0</v>
      </c>
      <c r="AL1365" s="2">
        <f t="shared" ca="1" si="1338"/>
        <v>32996.214636403325</v>
      </c>
      <c r="AM1365" s="2">
        <f t="shared" ca="1" si="1339"/>
        <v>35249.711848791987</v>
      </c>
      <c r="AN1365" s="2">
        <f t="shared" ca="1" si="1340"/>
        <v>37657.113069328298</v>
      </c>
      <c r="AO1365" s="2">
        <f t="shared" ca="1" si="1341"/>
        <v>40228.929268957305</v>
      </c>
      <c r="AP1365" s="2">
        <f t="shared" ca="1" si="1342"/>
        <v>2205731.0508524398</v>
      </c>
      <c r="AQ1365" s="2">
        <f t="shared" ca="1" si="1343"/>
        <v>725057.67718624661</v>
      </c>
      <c r="AR1365" s="2">
        <f t="shared" ca="1" si="1344"/>
        <v>831856.36217374657</v>
      </c>
      <c r="AS1365" s="2">
        <f t="shared" ca="1" si="1345"/>
        <v>927835.38005508541</v>
      </c>
      <c r="AT1365" s="2">
        <f t="shared" ca="1" si="1346"/>
        <v>1030369.3452728606</v>
      </c>
      <c r="AU1365" s="2">
        <f t="shared" ca="1" si="1347"/>
        <v>1139905.9320743408</v>
      </c>
      <c r="AV1365" s="2">
        <f t="shared" ca="1" si="1348"/>
        <v>2063625.696607009</v>
      </c>
      <c r="AW1365" s="2">
        <f t="shared" ca="1" si="1349"/>
        <v>2334594.9700119528</v>
      </c>
      <c r="AX1365" s="2">
        <f t="shared" ca="1" si="1350"/>
        <v>2605512.5236926046</v>
      </c>
      <c r="AY1365" s="2">
        <f t="shared" ca="1" si="1351"/>
        <v>2894932.5619380441</v>
      </c>
      <c r="AZ1365" s="2">
        <f t="shared" ca="1" si="1352"/>
        <v>3204118.7235580119</v>
      </c>
      <c r="BA1365" s="2">
        <f t="shared" ca="1" si="1353"/>
        <v>61633094.97414197</v>
      </c>
      <c r="BB1365" s="2">
        <f t="shared" ca="1" si="1354"/>
        <v>1232661.8994828395</v>
      </c>
      <c r="BC1365" s="2">
        <f t="shared" ca="1" si="1355"/>
        <v>35892310.287409797</v>
      </c>
      <c r="BD1365" s="2">
        <f t="shared" ca="1" si="1356"/>
        <v>-17859920.307634946</v>
      </c>
      <c r="BE1365" s="2">
        <f t="shared" ca="1" si="1357"/>
        <v>2063625.696607009</v>
      </c>
      <c r="BF1365" s="2">
        <f t="shared" ca="1" si="1358"/>
        <v>2334594.9700119528</v>
      </c>
      <c r="BG1365" s="2">
        <f t="shared" ca="1" si="1359"/>
        <v>2605512.5236926046</v>
      </c>
      <c r="BH1365" s="2">
        <f t="shared" ca="1" si="1360"/>
        <v>2894932.5619380441</v>
      </c>
      <c r="BI1365" s="2">
        <f t="shared" ca="1" si="1361"/>
        <v>39096429.010967806</v>
      </c>
      <c r="BJ1365" s="2">
        <f t="shared" ca="1" si="1362"/>
        <v>0.26017260910284579</v>
      </c>
      <c r="BK1365" s="2">
        <f t="shared" ca="1" si="1363"/>
        <v>11722425.564607296</v>
      </c>
    </row>
    <row r="1366" spans="1:63" x14ac:dyDescent="0.3">
      <c r="A1366" s="2">
        <v>1365</v>
      </c>
      <c r="B1366" s="2">
        <f t="shared" ca="1" si="1302"/>
        <v>0.89395395262057553</v>
      </c>
      <c r="C1366" s="2">
        <f t="shared" ca="1" si="1303"/>
        <v>7.5394654250125743</v>
      </c>
      <c r="D1366" s="2">
        <f t="shared" ca="1" si="1304"/>
        <v>0.71757038282229013</v>
      </c>
      <c r="E1366" s="2">
        <f t="shared" ca="1" si="1305"/>
        <v>7.7484288228281901</v>
      </c>
      <c r="F1366" s="2">
        <f t="shared" ca="1" si="1306"/>
        <v>0.94326053478044536</v>
      </c>
      <c r="G1366" s="2">
        <f t="shared" ca="1" si="1307"/>
        <v>8.7482437719689762E-2</v>
      </c>
      <c r="H1366" s="2">
        <f t="shared" ca="1" si="1308"/>
        <v>8.7482437719689762E-2</v>
      </c>
      <c r="I1366" s="2">
        <f t="shared" ca="1" si="1309"/>
        <v>0.4265643441424547</v>
      </c>
      <c r="J1366" s="2">
        <f t="shared" ca="1" si="1310"/>
        <v>9.0743603055407074E-3</v>
      </c>
      <c r="K1366" s="2">
        <f t="shared" ca="1" si="1311"/>
        <v>9.0743603055407074E-3</v>
      </c>
      <c r="L1366" s="2">
        <f t="shared" ca="1" si="1312"/>
        <v>0.53609886127443485</v>
      </c>
      <c r="M1366" s="2">
        <f t="shared" ca="1" si="1313"/>
        <v>1.8122052432880027E-3</v>
      </c>
      <c r="N1366" s="2">
        <f t="shared" ca="1" si="1314"/>
        <v>1.8122052432880027E-3</v>
      </c>
      <c r="O1366" s="2">
        <f t="shared" si="1315"/>
        <v>6000000</v>
      </c>
      <c r="P1366" s="2">
        <f t="shared" ca="1" si="1316"/>
        <v>45236792.550075449</v>
      </c>
      <c r="Q1366" s="2">
        <f t="shared" ca="1" si="1317"/>
        <v>1130919.8137518864</v>
      </c>
      <c r="R1366" s="2">
        <f t="shared" ca="1" si="1318"/>
        <v>27142075.530045267</v>
      </c>
      <c r="S1366" s="2">
        <f t="shared" ca="1" si="1319"/>
        <v>18094717.020030182</v>
      </c>
      <c r="T1366" s="2">
        <f t="shared" ca="1" si="1320"/>
        <v>50090610.262164406</v>
      </c>
      <c r="U1366" s="2">
        <f t="shared" ca="1" si="1321"/>
        <v>54472658.954765454</v>
      </c>
      <c r="V1366" s="2">
        <f t="shared" ca="1" si="1322"/>
        <v>59238059.949201621</v>
      </c>
      <c r="W1366" s="2">
        <f t="shared" ca="1" si="1323"/>
        <v>64420349.839342892</v>
      </c>
      <c r="X1366" s="2">
        <f t="shared" ca="1" si="1324"/>
        <v>70055999.082043827</v>
      </c>
      <c r="Y1366" s="2">
        <f t="shared" ca="1" si="1325"/>
        <v>0.12453718015277035</v>
      </c>
      <c r="Z1366" s="2">
        <f t="shared" ca="1" si="1326"/>
        <v>0.12635205221387849</v>
      </c>
      <c r="AA1366" s="2">
        <f t="shared" ca="1" si="1327"/>
        <v>6238143.3541813763</v>
      </c>
      <c r="AB1366" s="2">
        <f t="shared" ca="1" si="1328"/>
        <v>6882732.2484813202</v>
      </c>
      <c r="AC1366" s="2">
        <f t="shared" ca="1" si="1329"/>
        <v>7484850.4437503871</v>
      </c>
      <c r="AD1366" s="2">
        <f t="shared" ca="1" si="1330"/>
        <v>8139643.4065369722</v>
      </c>
      <c r="AE1366" s="2">
        <f t="shared" ca="1" si="1331"/>
        <v>8851719.2539098244</v>
      </c>
      <c r="AF1366" s="2">
        <f t="shared" ca="1" si="1332"/>
        <v>1001812.2052432882</v>
      </c>
      <c r="AG1366" s="2">
        <f t="shared" ca="1" si="1333"/>
        <v>1089453.179095309</v>
      </c>
      <c r="AH1366" s="2">
        <f t="shared" ca="1" si="1334"/>
        <v>1184761.1989840325</v>
      </c>
      <c r="AI1366" s="2">
        <f t="shared" ca="1" si="1335"/>
        <v>1288406.996786858</v>
      </c>
      <c r="AJ1366" s="2">
        <f t="shared" ca="1" si="1336"/>
        <v>1401119.9816408765</v>
      </c>
      <c r="AK1366" s="2">
        <f t="shared" ca="1" si="1337"/>
        <v>0</v>
      </c>
      <c r="AL1366" s="2">
        <f t="shared" ca="1" si="1338"/>
        <v>43820.486926010475</v>
      </c>
      <c r="AM1366" s="2">
        <f t="shared" ca="1" si="1339"/>
        <v>47654.009944361671</v>
      </c>
      <c r="AN1366" s="2">
        <f t="shared" ca="1" si="1340"/>
        <v>51822.898901412715</v>
      </c>
      <c r="AO1366" s="2">
        <f t="shared" ca="1" si="1341"/>
        <v>56356.492427009347</v>
      </c>
      <c r="AP1366" s="2">
        <f t="shared" ca="1" si="1342"/>
        <v>2442786.7977040741</v>
      </c>
      <c r="AQ1366" s="2">
        <f t="shared" ca="1" si="1343"/>
        <v>726321.53132084361</v>
      </c>
      <c r="AR1366" s="2">
        <f t="shared" ca="1" si="1344"/>
        <v>871127.99063730368</v>
      </c>
      <c r="AS1366" s="2">
        <f t="shared" ca="1" si="1345"/>
        <v>1002898.636236193</v>
      </c>
      <c r="AT1366" s="2">
        <f t="shared" ca="1" si="1346"/>
        <v>1146196.8991319705</v>
      </c>
      <c r="AU1366" s="2">
        <f t="shared" ca="1" si="1347"/>
        <v>1302031.2433868675</v>
      </c>
      <c r="AV1366" s="2">
        <f t="shared" ca="1" si="1348"/>
        <v>2067222.8199131698</v>
      </c>
      <c r="AW1366" s="2">
        <f t="shared" ca="1" si="1349"/>
        <v>2435543.7941186228</v>
      </c>
      <c r="AX1366" s="2">
        <f t="shared" ca="1" si="1350"/>
        <v>2806749.8008817262</v>
      </c>
      <c r="AY1366" s="2">
        <f t="shared" ca="1" si="1351"/>
        <v>3210429.8140126574</v>
      </c>
      <c r="AZ1366" s="2">
        <f t="shared" ca="1" si="1352"/>
        <v>3649424.7387509975</v>
      </c>
      <c r="BA1366" s="2">
        <f t="shared" ca="1" si="1353"/>
        <v>68586916.598578125</v>
      </c>
      <c r="BB1366" s="2">
        <f t="shared" ca="1" si="1354"/>
        <v>1371738.3319715625</v>
      </c>
      <c r="BC1366" s="2">
        <f t="shared" ca="1" si="1355"/>
        <v>40073102.736561291</v>
      </c>
      <c r="BD1366" s="2">
        <f t="shared" ca="1" si="1356"/>
        <v>-19725636.833782069</v>
      </c>
      <c r="BE1366" s="2">
        <f t="shared" ca="1" si="1357"/>
        <v>2067222.8199131698</v>
      </c>
      <c r="BF1366" s="2">
        <f t="shared" ca="1" si="1358"/>
        <v>2435543.7941186228</v>
      </c>
      <c r="BG1366" s="2">
        <f t="shared" ca="1" si="1359"/>
        <v>2806749.8008817262</v>
      </c>
      <c r="BH1366" s="2">
        <f t="shared" ca="1" si="1360"/>
        <v>3210429.8140126574</v>
      </c>
      <c r="BI1366" s="2">
        <f t="shared" ca="1" si="1361"/>
        <v>43722527.475312285</v>
      </c>
      <c r="BJ1366" s="2">
        <f t="shared" ca="1" si="1362"/>
        <v>0.25838454126760002</v>
      </c>
      <c r="BK1366" s="2">
        <f t="shared" ca="1" si="1363"/>
        <v>12909109.972496685</v>
      </c>
    </row>
    <row r="1367" spans="1:63" x14ac:dyDescent="0.3">
      <c r="A1367" s="2">
        <v>1366</v>
      </c>
      <c r="B1367" s="2">
        <f t="shared" ca="1" si="1302"/>
        <v>0.43588439941290358</v>
      </c>
      <c r="C1367" s="2">
        <f t="shared" ca="1" si="1303"/>
        <v>6.9336855995600484</v>
      </c>
      <c r="D1367" s="2">
        <f t="shared" ca="1" si="1304"/>
        <v>0.12581151922653599</v>
      </c>
      <c r="E1367" s="2">
        <f t="shared" ca="1" si="1305"/>
        <v>7.0016204127157025</v>
      </c>
      <c r="F1367" s="2">
        <f t="shared" ca="1" si="1306"/>
        <v>0.97720495214467529</v>
      </c>
      <c r="G1367" s="2">
        <f t="shared" ca="1" si="1307"/>
        <v>9.9975063279816034E-2</v>
      </c>
      <c r="H1367" s="2">
        <f t="shared" ca="1" si="1308"/>
        <v>9.9975063279816034E-2</v>
      </c>
      <c r="I1367" s="2">
        <f t="shared" ca="1" si="1309"/>
        <v>0.22476291890477695</v>
      </c>
      <c r="J1367" s="2">
        <f t="shared" ca="1" si="1310"/>
        <v>6.2189711829783705E-3</v>
      </c>
      <c r="K1367" s="2">
        <f t="shared" ca="1" si="1311"/>
        <v>6.2189711829783705E-3</v>
      </c>
      <c r="L1367" s="2">
        <f t="shared" ca="1" si="1312"/>
        <v>0.43180109737219052</v>
      </c>
      <c r="M1367" s="2">
        <f t="shared" ca="1" si="1313"/>
        <v>-3.4358110086399212E-3</v>
      </c>
      <c r="N1367" s="2">
        <f t="shared" ca="1" si="1314"/>
        <v>-3.4358110086399212E-3</v>
      </c>
      <c r="O1367" s="2">
        <f t="shared" si="1315"/>
        <v>6000000</v>
      </c>
      <c r="P1367" s="2">
        <f t="shared" ca="1" si="1316"/>
        <v>41602113.597360291</v>
      </c>
      <c r="Q1367" s="2">
        <f t="shared" ca="1" si="1317"/>
        <v>1040052.8399340073</v>
      </c>
      <c r="R1367" s="2">
        <f t="shared" ca="1" si="1318"/>
        <v>24961268.158416174</v>
      </c>
      <c r="S1367" s="2">
        <f t="shared" ca="1" si="1319"/>
        <v>16640845.438944116</v>
      </c>
      <c r="T1367" s="2">
        <f t="shared" ca="1" si="1320"/>
        <v>49828209.449568003</v>
      </c>
      <c r="U1367" s="2">
        <f t="shared" ca="1" si="1321"/>
        <v>54809787.842408486</v>
      </c>
      <c r="V1367" s="2">
        <f t="shared" ca="1" si="1322"/>
        <v>60289399.850306563</v>
      </c>
      <c r="W1367" s="2">
        <f t="shared" ca="1" si="1323"/>
        <v>66316836.415443093</v>
      </c>
      <c r="X1367" s="2">
        <f t="shared" ca="1" si="1324"/>
        <v>72946866.332594216</v>
      </c>
      <c r="Y1367" s="2">
        <f t="shared" ca="1" si="1325"/>
        <v>0.12310948559148918</v>
      </c>
      <c r="Z1367" s="2">
        <f t="shared" ca="1" si="1326"/>
        <v>0.12435327982808486</v>
      </c>
      <c r="AA1367" s="2">
        <f t="shared" ca="1" si="1327"/>
        <v>6134325.2332812976</v>
      </c>
      <c r="AB1367" s="2">
        <f t="shared" ca="1" si="1328"/>
        <v>6815776.8848849861</v>
      </c>
      <c r="AC1367" s="2">
        <f t="shared" ca="1" si="1329"/>
        <v>7497184.6102524698</v>
      </c>
      <c r="AD1367" s="2">
        <f t="shared" ca="1" si="1330"/>
        <v>8246716.1160829235</v>
      </c>
      <c r="AE1367" s="2">
        <f t="shared" ca="1" si="1331"/>
        <v>9071182.0816389918</v>
      </c>
      <c r="AF1367" s="2">
        <f t="shared" ca="1" si="1332"/>
        <v>996564.18899136013</v>
      </c>
      <c r="AG1367" s="2">
        <f t="shared" ca="1" si="1333"/>
        <v>1096195.7568481697</v>
      </c>
      <c r="AH1367" s="2">
        <f t="shared" ca="1" si="1334"/>
        <v>1205787.9970061313</v>
      </c>
      <c r="AI1367" s="2">
        <f t="shared" ca="1" si="1335"/>
        <v>1326336.7283088618</v>
      </c>
      <c r="AJ1367" s="2">
        <f t="shared" ca="1" si="1336"/>
        <v>1458937.3266518842</v>
      </c>
      <c r="AK1367" s="2">
        <f t="shared" ca="1" si="1337"/>
        <v>0</v>
      </c>
      <c r="AL1367" s="2">
        <f t="shared" ca="1" si="1338"/>
        <v>49815.783928404824</v>
      </c>
      <c r="AM1367" s="2">
        <f t="shared" ca="1" si="1339"/>
        <v>54796.120078980777</v>
      </c>
      <c r="AN1367" s="2">
        <f t="shared" ca="1" si="1340"/>
        <v>60274.365651365297</v>
      </c>
      <c r="AO1367" s="2">
        <f t="shared" ca="1" si="1341"/>
        <v>66300.299171511229</v>
      </c>
      <c r="AP1367" s="2">
        <f t="shared" ca="1" si="1342"/>
        <v>2246514.1342574558</v>
      </c>
      <c r="AQ1367" s="2">
        <f t="shared" ca="1" si="1343"/>
        <v>751724.19660844514</v>
      </c>
      <c r="AR1367" s="2">
        <f t="shared" ca="1" si="1344"/>
        <v>902997.41838263383</v>
      </c>
      <c r="AS1367" s="2">
        <f t="shared" ca="1" si="1345"/>
        <v>1051669.4445371095</v>
      </c>
      <c r="AT1367" s="2">
        <f t="shared" ca="1" si="1346"/>
        <v>1215204.9659143174</v>
      </c>
      <c r="AU1367" s="2">
        <f t="shared" ca="1" si="1347"/>
        <v>1395089.9613897095</v>
      </c>
      <c r="AV1367" s="2">
        <f t="shared" ca="1" si="1348"/>
        <v>2139522.7134240367</v>
      </c>
      <c r="AW1367" s="2">
        <f t="shared" ca="1" si="1349"/>
        <v>2520253.7914683227</v>
      </c>
      <c r="AX1367" s="2">
        <f t="shared" ca="1" si="1350"/>
        <v>2938416.914372792</v>
      </c>
      <c r="AY1367" s="2">
        <f t="shared" ca="1" si="1351"/>
        <v>3398385.9219509228</v>
      </c>
      <c r="AZ1367" s="2">
        <f t="shared" ca="1" si="1352"/>
        <v>3904340.3601684314</v>
      </c>
      <c r="BA1367" s="2">
        <f t="shared" ca="1" si="1353"/>
        <v>63512973.630264483</v>
      </c>
      <c r="BB1367" s="2">
        <f t="shared" ca="1" si="1354"/>
        <v>1270259.4726052897</v>
      </c>
      <c r="BC1367" s="2">
        <f t="shared" ca="1" si="1355"/>
        <v>37281445.999243021</v>
      </c>
      <c r="BD1367" s="2">
        <f t="shared" ca="1" si="1356"/>
        <v>-18180898.278878123</v>
      </c>
      <c r="BE1367" s="2">
        <f t="shared" ca="1" si="1357"/>
        <v>2139522.7134240367</v>
      </c>
      <c r="BF1367" s="2">
        <f t="shared" ca="1" si="1358"/>
        <v>2520253.7914683227</v>
      </c>
      <c r="BG1367" s="2">
        <f t="shared" ca="1" si="1359"/>
        <v>2938416.914372792</v>
      </c>
      <c r="BH1367" s="2">
        <f t="shared" ca="1" si="1360"/>
        <v>3398385.9219509228</v>
      </c>
      <c r="BI1367" s="2">
        <f t="shared" ca="1" si="1361"/>
        <v>41185786.359411456</v>
      </c>
      <c r="BJ1367" s="2">
        <f t="shared" ca="1" si="1362"/>
        <v>0.27457165106152148</v>
      </c>
      <c r="BK1367" s="2">
        <f t="shared" ca="1" si="1363"/>
        <v>13359684.815047394</v>
      </c>
    </row>
    <row r="1368" spans="1:63" x14ac:dyDescent="0.3">
      <c r="A1368" s="2">
        <v>1367</v>
      </c>
      <c r="B1368" s="2">
        <f t="shared" ca="1" si="1302"/>
        <v>0.40889487719962092</v>
      </c>
      <c r="C1368" s="2">
        <f t="shared" ca="1" si="1303"/>
        <v>6.9043172863543205</v>
      </c>
      <c r="D1368" s="2">
        <f t="shared" ca="1" si="1304"/>
        <v>0.30761489684591292</v>
      </c>
      <c r="E1368" s="2">
        <f t="shared" ca="1" si="1305"/>
        <v>7.2843658544912735</v>
      </c>
      <c r="F1368" s="2">
        <f t="shared" ca="1" si="1306"/>
        <v>0.57559709924232993</v>
      </c>
      <c r="G1368" s="2">
        <f t="shared" ca="1" si="1307"/>
        <v>4.5719270753989572E-2</v>
      </c>
      <c r="H1368" s="2">
        <f t="shared" ca="1" si="1308"/>
        <v>4.5719270753989572E-2</v>
      </c>
      <c r="I1368" s="2">
        <f t="shared" ca="1" si="1309"/>
        <v>0.47514242132498608</v>
      </c>
      <c r="J1368" s="2">
        <f t="shared" ca="1" si="1310"/>
        <v>9.6882545897255031E-3</v>
      </c>
      <c r="K1368" s="2">
        <f t="shared" ca="1" si="1311"/>
        <v>9.6882545897255031E-3</v>
      </c>
      <c r="L1368" s="2">
        <f t="shared" ca="1" si="1312"/>
        <v>0.16799392307696348</v>
      </c>
      <c r="M1368" s="2">
        <f t="shared" ca="1" si="1313"/>
        <v>-1.9242459036173602E-2</v>
      </c>
      <c r="N1368" s="2">
        <f t="shared" ca="1" si="1314"/>
        <v>-1.9242459036173602E-2</v>
      </c>
      <c r="O1368" s="2">
        <f t="shared" si="1315"/>
        <v>6000000</v>
      </c>
      <c r="P1368" s="2">
        <f t="shared" ca="1" si="1316"/>
        <v>41425903.718125924</v>
      </c>
      <c r="Q1368" s="2">
        <f t="shared" ca="1" si="1317"/>
        <v>1035647.5929531482</v>
      </c>
      <c r="R1368" s="2">
        <f t="shared" ca="1" si="1318"/>
        <v>24855542.230875555</v>
      </c>
      <c r="S1368" s="2">
        <f t="shared" ca="1" si="1319"/>
        <v>16570361.487250371</v>
      </c>
      <c r="T1368" s="2">
        <f t="shared" ca="1" si="1320"/>
        <v>49037877.048191316</v>
      </c>
      <c r="U1368" s="2">
        <f t="shared" ca="1" si="1321"/>
        <v>51279853.026158422</v>
      </c>
      <c r="V1368" s="2">
        <f t="shared" ca="1" si="1322"/>
        <v>53624330.510886148</v>
      </c>
      <c r="W1368" s="2">
        <f t="shared" ca="1" si="1323"/>
        <v>56075995.796514772</v>
      </c>
      <c r="X1368" s="2">
        <f t="shared" ca="1" si="1324"/>
        <v>58639749.431135207</v>
      </c>
      <c r="Y1368" s="2">
        <f t="shared" ca="1" si="1325"/>
        <v>0.12484412729486274</v>
      </c>
      <c r="Z1368" s="2">
        <f t="shared" ca="1" si="1326"/>
        <v>0.12678177821280784</v>
      </c>
      <c r="AA1368" s="2">
        <f t="shared" ca="1" si="1327"/>
        <v>6122090.9644742245</v>
      </c>
      <c r="AB1368" s="2">
        <f t="shared" ca="1" si="1328"/>
        <v>6501350.9531477997</v>
      </c>
      <c r="AC1368" s="2">
        <f t="shared" ca="1" si="1329"/>
        <v>6798587.9776414717</v>
      </c>
      <c r="AD1368" s="2">
        <f t="shared" ca="1" si="1330"/>
        <v>7109414.4621360805</v>
      </c>
      <c r="AE1368" s="2">
        <f t="shared" ca="1" si="1331"/>
        <v>7434451.7068328084</v>
      </c>
      <c r="AF1368" s="2">
        <f t="shared" ca="1" si="1332"/>
        <v>980757.54096382635</v>
      </c>
      <c r="AG1368" s="2">
        <f t="shared" ca="1" si="1333"/>
        <v>1025597.0605231684</v>
      </c>
      <c r="AH1368" s="2">
        <f t="shared" ca="1" si="1334"/>
        <v>1072486.6102177231</v>
      </c>
      <c r="AI1368" s="2">
        <f t="shared" ca="1" si="1335"/>
        <v>1121519.9159302954</v>
      </c>
      <c r="AJ1368" s="2">
        <f t="shared" ca="1" si="1336"/>
        <v>1172794.9886227043</v>
      </c>
      <c r="AK1368" s="2">
        <f t="shared" ca="1" si="1337"/>
        <v>0</v>
      </c>
      <c r="AL1368" s="2">
        <f t="shared" ca="1" si="1338"/>
        <v>22419.759779671058</v>
      </c>
      <c r="AM1368" s="2">
        <f t="shared" ca="1" si="1339"/>
        <v>23444.774847277255</v>
      </c>
      <c r="AN1368" s="2">
        <f t="shared" ca="1" si="1340"/>
        <v>24516.652856286244</v>
      </c>
      <c r="AO1368" s="2">
        <f t="shared" ca="1" si="1341"/>
        <v>25637.536346204357</v>
      </c>
      <c r="AP1368" s="2">
        <f t="shared" ca="1" si="1342"/>
        <v>2236998.8007787997</v>
      </c>
      <c r="AQ1368" s="2">
        <f t="shared" ca="1" si="1343"/>
        <v>755127.00191021548</v>
      </c>
      <c r="AR1368" s="2">
        <f t="shared" ca="1" si="1344"/>
        <v>842076.32387991634</v>
      </c>
      <c r="AS1368" s="2">
        <f t="shared" ca="1" si="1345"/>
        <v>907166.6673276868</v>
      </c>
      <c r="AT1368" s="2">
        <f t="shared" ca="1" si="1346"/>
        <v>975232.89381101623</v>
      </c>
      <c r="AU1368" s="2">
        <f t="shared" ca="1" si="1347"/>
        <v>1046411.0585321392</v>
      </c>
      <c r="AV1368" s="2">
        <f t="shared" ca="1" si="1348"/>
        <v>2149207.6208213829</v>
      </c>
      <c r="AW1368" s="2">
        <f t="shared" ca="1" si="1349"/>
        <v>2374259.0081862444</v>
      </c>
      <c r="AX1368" s="2">
        <f t="shared" ca="1" si="1350"/>
        <v>2558491.1244699843</v>
      </c>
      <c r="AY1368" s="2">
        <f t="shared" ca="1" si="1351"/>
        <v>2751146.1987596825</v>
      </c>
      <c r="AZ1368" s="2">
        <f t="shared" ca="1" si="1352"/>
        <v>2952609.3225529604</v>
      </c>
      <c r="BA1368" s="2">
        <f t="shared" ca="1" si="1353"/>
        <v>54155266.160117276</v>
      </c>
      <c r="BB1368" s="2">
        <f t="shared" ca="1" si="1354"/>
        <v>1083105.3232023455</v>
      </c>
      <c r="BC1368" s="2">
        <f t="shared" ca="1" si="1355"/>
        <v>28216618.606039375</v>
      </c>
      <c r="BD1368" s="2">
        <f t="shared" ca="1" si="1356"/>
        <v>-18106009.080203518</v>
      </c>
      <c r="BE1368" s="2">
        <f t="shared" ca="1" si="1357"/>
        <v>2149207.6208213829</v>
      </c>
      <c r="BF1368" s="2">
        <f t="shared" ca="1" si="1358"/>
        <v>2374259.0081862444</v>
      </c>
      <c r="BG1368" s="2">
        <f t="shared" ca="1" si="1359"/>
        <v>2558491.1244699843</v>
      </c>
      <c r="BH1368" s="2">
        <f t="shared" ca="1" si="1360"/>
        <v>2751146.1987596825</v>
      </c>
      <c r="BI1368" s="2">
        <f t="shared" ca="1" si="1361"/>
        <v>31169227.928592335</v>
      </c>
      <c r="BJ1368" s="2">
        <f t="shared" ca="1" si="1362"/>
        <v>0.2105941151886046</v>
      </c>
      <c r="BK1368" s="2">
        <f t="shared" ca="1" si="1363"/>
        <v>6961414.6315239519</v>
      </c>
    </row>
    <row r="1369" spans="1:63" x14ac:dyDescent="0.3">
      <c r="A1369" s="2">
        <v>1368</v>
      </c>
      <c r="B1369" s="2">
        <f t="shared" ca="1" si="1302"/>
        <v>0.34492559048061189</v>
      </c>
      <c r="C1369" s="2">
        <f t="shared" ca="1" si="1303"/>
        <v>6.8305728029265245</v>
      </c>
      <c r="D1369" s="2">
        <f t="shared" ca="1" si="1304"/>
        <v>0.69256538612839313</v>
      </c>
      <c r="E1369" s="2">
        <f t="shared" ca="1" si="1305"/>
        <v>7.715864024710501</v>
      </c>
      <c r="F1369" s="2">
        <f t="shared" ca="1" si="1306"/>
        <v>0.55803692510846592</v>
      </c>
      <c r="G1369" s="2">
        <f t="shared" ca="1" si="1307"/>
        <v>4.4379819057597407E-2</v>
      </c>
      <c r="H1369" s="2">
        <f t="shared" ca="1" si="1308"/>
        <v>4.4379819057597407E-2</v>
      </c>
      <c r="I1369" s="2">
        <f t="shared" ca="1" si="1309"/>
        <v>0.96129012075677667</v>
      </c>
      <c r="J1369" s="2">
        <f t="shared" ca="1" si="1310"/>
        <v>1.8829287512562978E-2</v>
      </c>
      <c r="K1369" s="2">
        <f t="shared" ca="1" si="1311"/>
        <v>1.8829287512562978E-2</v>
      </c>
      <c r="L1369" s="2">
        <f t="shared" ca="1" si="1312"/>
        <v>0.67757365717919904</v>
      </c>
      <c r="M1369" s="2">
        <f t="shared" ca="1" si="1313"/>
        <v>9.218492449911922E-3</v>
      </c>
      <c r="N1369" s="2">
        <f t="shared" ca="1" si="1314"/>
        <v>9.218492449911922E-3</v>
      </c>
      <c r="O1369" s="2">
        <f t="shared" si="1315"/>
        <v>6000000</v>
      </c>
      <c r="P1369" s="2">
        <f t="shared" ca="1" si="1316"/>
        <v>40983436.817559145</v>
      </c>
      <c r="Q1369" s="2">
        <f t="shared" ca="1" si="1317"/>
        <v>1024585.9204389787</v>
      </c>
      <c r="R1369" s="2">
        <f t="shared" ca="1" si="1318"/>
        <v>24590062.090535488</v>
      </c>
      <c r="S1369" s="2">
        <f t="shared" ca="1" si="1319"/>
        <v>16393374.727023659</v>
      </c>
      <c r="T1369" s="2">
        <f t="shared" ca="1" si="1320"/>
        <v>50460924.622495599</v>
      </c>
      <c r="U1369" s="2">
        <f t="shared" ca="1" si="1321"/>
        <v>52700371.32672102</v>
      </c>
      <c r="V1369" s="2">
        <f t="shared" ca="1" si="1322"/>
        <v>55039204.270469099</v>
      </c>
      <c r="W1369" s="2">
        <f t="shared" ca="1" si="1323"/>
        <v>57481834.197066665</v>
      </c>
      <c r="X1369" s="2">
        <f t="shared" ca="1" si="1324"/>
        <v>60032867.597831301</v>
      </c>
      <c r="Y1369" s="2">
        <f t="shared" ca="1" si="1325"/>
        <v>0.12941464375628148</v>
      </c>
      <c r="Z1369" s="2">
        <f t="shared" ca="1" si="1326"/>
        <v>0.13318050125879408</v>
      </c>
      <c r="AA1369" s="2">
        <f t="shared" ca="1" si="1327"/>
        <v>6530382.5836328408</v>
      </c>
      <c r="AB1369" s="2">
        <f t="shared" ca="1" si="1328"/>
        <v>7018661.8698172839</v>
      </c>
      <c r="AC1369" s="2">
        <f t="shared" ca="1" si="1329"/>
        <v>7330148.8136262344</v>
      </c>
      <c r="AD1369" s="2">
        <f t="shared" ca="1" si="1330"/>
        <v>7655459.4916402297</v>
      </c>
      <c r="AE1369" s="2">
        <f t="shared" ca="1" si="1331"/>
        <v>7995207.3986819899</v>
      </c>
      <c r="AF1369" s="2">
        <f t="shared" ca="1" si="1332"/>
        <v>1009218.492449912</v>
      </c>
      <c r="AG1369" s="2">
        <f t="shared" ca="1" si="1333"/>
        <v>1054007.4265344203</v>
      </c>
      <c r="AH1369" s="2">
        <f t="shared" ca="1" si="1334"/>
        <v>1100784.0854093819</v>
      </c>
      <c r="AI1369" s="2">
        <f t="shared" ca="1" si="1335"/>
        <v>1149636.6839413333</v>
      </c>
      <c r="AJ1369" s="2">
        <f t="shared" ca="1" si="1336"/>
        <v>1200657.3519566262</v>
      </c>
      <c r="AK1369" s="2">
        <f t="shared" ca="1" si="1337"/>
        <v>0</v>
      </c>
      <c r="AL1369" s="2">
        <f t="shared" ca="1" si="1338"/>
        <v>22394.467042254211</v>
      </c>
      <c r="AM1369" s="2">
        <f t="shared" ca="1" si="1339"/>
        <v>23388.329437480792</v>
      </c>
      <c r="AN1369" s="2">
        <f t="shared" ca="1" si="1340"/>
        <v>24426.299265975656</v>
      </c>
      <c r="AO1369" s="2">
        <f t="shared" ca="1" si="1341"/>
        <v>25510.334007646368</v>
      </c>
      <c r="AP1369" s="2">
        <f t="shared" ca="1" si="1342"/>
        <v>2213105.5881481939</v>
      </c>
      <c r="AQ1369" s="2">
        <f t="shared" ca="1" si="1343"/>
        <v>860095.210789031</v>
      </c>
      <c r="AR1369" s="2">
        <f t="shared" ca="1" si="1344"/>
        <v>975402.70233501401</v>
      </c>
      <c r="AS1369" s="2">
        <f t="shared" ca="1" si="1345"/>
        <v>1044227.3764178514</v>
      </c>
      <c r="AT1369" s="2">
        <f t="shared" ca="1" si="1346"/>
        <v>1116106.4770831827</v>
      </c>
      <c r="AU1369" s="2">
        <f t="shared" ca="1" si="1347"/>
        <v>1191175.559230064</v>
      </c>
      <c r="AV1369" s="2">
        <f t="shared" ca="1" si="1348"/>
        <v>2447963.2922457033</v>
      </c>
      <c r="AW1369" s="2">
        <f t="shared" ca="1" si="1349"/>
        <v>2753751.6857574009</v>
      </c>
      <c r="AX1369" s="2">
        <f t="shared" ca="1" si="1350"/>
        <v>2948643.4342133268</v>
      </c>
      <c r="AY1369" s="2">
        <f t="shared" ca="1" si="1351"/>
        <v>3152184.4432015433</v>
      </c>
      <c r="AZ1369" s="2">
        <f t="shared" ca="1" si="1352"/>
        <v>3364758.5653394596</v>
      </c>
      <c r="BA1369" s="2">
        <f t="shared" ca="1" si="1353"/>
        <v>61689933.137589596</v>
      </c>
      <c r="BB1369" s="2">
        <f t="shared" ca="1" si="1354"/>
        <v>1233798.662751792</v>
      </c>
      <c r="BC1369" s="2">
        <f t="shared" ca="1" si="1355"/>
        <v>35866072.384302318</v>
      </c>
      <c r="BD1369" s="2">
        <f t="shared" ca="1" si="1356"/>
        <v>-17917960.647462636</v>
      </c>
      <c r="BE1369" s="2">
        <f t="shared" ca="1" si="1357"/>
        <v>2447963.2922457033</v>
      </c>
      <c r="BF1369" s="2">
        <f t="shared" ca="1" si="1358"/>
        <v>2753751.6857574009</v>
      </c>
      <c r="BG1369" s="2">
        <f t="shared" ca="1" si="1359"/>
        <v>2948643.4342133268</v>
      </c>
      <c r="BH1369" s="2">
        <f t="shared" ca="1" si="1360"/>
        <v>3152184.4432015433</v>
      </c>
      <c r="BI1369" s="2">
        <f t="shared" ca="1" si="1361"/>
        <v>39230830.949641779</v>
      </c>
      <c r="BJ1369" s="2">
        <f t="shared" ca="1" si="1362"/>
        <v>0.27420589394643069</v>
      </c>
      <c r="BK1369" s="2">
        <f t="shared" ca="1" si="1363"/>
        <v>12825678.255074568</v>
      </c>
    </row>
    <row r="1370" spans="1:63" x14ac:dyDescent="0.3">
      <c r="A1370" s="2">
        <v>1369</v>
      </c>
      <c r="B1370" s="2">
        <f t="shared" ca="1" si="1302"/>
        <v>0.41345172827819232</v>
      </c>
      <c r="C1370" s="2">
        <f t="shared" ca="1" si="1303"/>
        <v>6.9093423208871254</v>
      </c>
      <c r="D1370" s="2">
        <f t="shared" ca="1" si="1304"/>
        <v>0.25116628228326898</v>
      </c>
      <c r="E1370" s="2">
        <f t="shared" ca="1" si="1305"/>
        <v>7.2087542342494597</v>
      </c>
      <c r="F1370" s="2">
        <f t="shared" ca="1" si="1306"/>
        <v>0.65711859543049489</v>
      </c>
      <c r="G1370" s="2">
        <f t="shared" ca="1" si="1307"/>
        <v>5.2138357032889618E-2</v>
      </c>
      <c r="H1370" s="2">
        <f t="shared" ca="1" si="1308"/>
        <v>5.2138357032889618E-2</v>
      </c>
      <c r="I1370" s="2">
        <f t="shared" ca="1" si="1309"/>
        <v>0.72033653327068792</v>
      </c>
      <c r="J1370" s="2">
        <f t="shared" ca="1" si="1310"/>
        <v>1.2919207656171135E-2</v>
      </c>
      <c r="K1370" s="2">
        <f t="shared" ca="1" si="1311"/>
        <v>1.2919207656171135E-2</v>
      </c>
      <c r="L1370" s="2">
        <f t="shared" ca="1" si="1312"/>
        <v>0.13426224399787157</v>
      </c>
      <c r="M1370" s="2">
        <f t="shared" ca="1" si="1313"/>
        <v>-2.2129337771133479E-2</v>
      </c>
      <c r="N1370" s="2">
        <f t="shared" ca="1" si="1314"/>
        <v>-2.2129337771133479E-2</v>
      </c>
      <c r="O1370" s="2">
        <f t="shared" si="1315"/>
        <v>6000000</v>
      </c>
      <c r="P1370" s="2">
        <f t="shared" ca="1" si="1316"/>
        <v>41456053.925322756</v>
      </c>
      <c r="Q1370" s="2">
        <f t="shared" ca="1" si="1317"/>
        <v>1036401.348133069</v>
      </c>
      <c r="R1370" s="2">
        <f t="shared" ca="1" si="1318"/>
        <v>24873632.355193652</v>
      </c>
      <c r="S1370" s="2">
        <f t="shared" ca="1" si="1319"/>
        <v>16582421.570129104</v>
      </c>
      <c r="T1370" s="2">
        <f t="shared" ca="1" si="1320"/>
        <v>48893533.111443326</v>
      </c>
      <c r="U1370" s="2">
        <f t="shared" ca="1" si="1321"/>
        <v>51442761.59740717</v>
      </c>
      <c r="V1370" s="2">
        <f t="shared" ca="1" si="1322"/>
        <v>54124902.66833061</v>
      </c>
      <c r="W1370" s="2">
        <f t="shared" ca="1" si="1323"/>
        <v>56946886.168022439</v>
      </c>
      <c r="X1370" s="2">
        <f t="shared" ca="1" si="1324"/>
        <v>59916003.250962123</v>
      </c>
      <c r="Y1370" s="2">
        <f t="shared" ca="1" si="1325"/>
        <v>0.12645960382808558</v>
      </c>
      <c r="Z1370" s="2">
        <f t="shared" ca="1" si="1326"/>
        <v>0.12904344535931978</v>
      </c>
      <c r="AA1370" s="2">
        <f t="shared" ca="1" si="1327"/>
        <v>6183056.8270285074</v>
      </c>
      <c r="AB1370" s="2">
        <f t="shared" ca="1" si="1328"/>
        <v>6638351.195327526</v>
      </c>
      <c r="AC1370" s="2">
        <f t="shared" ca="1" si="1329"/>
        <v>6984463.9200592218</v>
      </c>
      <c r="AD1370" s="2">
        <f t="shared" ca="1" si="1330"/>
        <v>7348622.3936066069</v>
      </c>
      <c r="AE1370" s="2">
        <f t="shared" ca="1" si="1331"/>
        <v>7731767.4916643566</v>
      </c>
      <c r="AF1370" s="2">
        <f t="shared" ca="1" si="1332"/>
        <v>977870.66222886648</v>
      </c>
      <c r="AG1370" s="2">
        <f t="shared" ca="1" si="1333"/>
        <v>1028855.2319481435</v>
      </c>
      <c r="AH1370" s="2">
        <f t="shared" ca="1" si="1334"/>
        <v>1082498.0533666122</v>
      </c>
      <c r="AI1370" s="2">
        <f t="shared" ca="1" si="1335"/>
        <v>1138937.7233604488</v>
      </c>
      <c r="AJ1370" s="2">
        <f t="shared" ca="1" si="1336"/>
        <v>1198320.0650192425</v>
      </c>
      <c r="AK1370" s="2">
        <f t="shared" ca="1" si="1337"/>
        <v>0</v>
      </c>
      <c r="AL1370" s="2">
        <f t="shared" ca="1" si="1338"/>
        <v>25492.284859638439</v>
      </c>
      <c r="AM1370" s="2">
        <f t="shared" ca="1" si="1339"/>
        <v>26821.410709234402</v>
      </c>
      <c r="AN1370" s="2">
        <f t="shared" ca="1" si="1340"/>
        <v>28219.834996918293</v>
      </c>
      <c r="AO1370" s="2">
        <f t="shared" ca="1" si="1341"/>
        <v>29691.170829396844</v>
      </c>
      <c r="AP1370" s="2">
        <f t="shared" ca="1" si="1342"/>
        <v>2238626.9119674284</v>
      </c>
      <c r="AQ1370" s="2">
        <f t="shared" ca="1" si="1343"/>
        <v>771305.40573637525</v>
      </c>
      <c r="AR1370" s="2">
        <f t="shared" ca="1" si="1344"/>
        <v>876425.95336710801</v>
      </c>
      <c r="AS1370" s="2">
        <f t="shared" ca="1" si="1345"/>
        <v>952468.12822854728</v>
      </c>
      <c r="AT1370" s="2">
        <f t="shared" ca="1" si="1346"/>
        <v>1032475.0171524697</v>
      </c>
      <c r="AU1370" s="2">
        <f t="shared" ca="1" si="1347"/>
        <v>1116653.3338161984</v>
      </c>
      <c r="AV1370" s="2">
        <f t="shared" ca="1" si="1348"/>
        <v>2195253.8470958369</v>
      </c>
      <c r="AW1370" s="2">
        <f t="shared" ca="1" si="1349"/>
        <v>2468950.8131852075</v>
      </c>
      <c r="AX1370" s="2">
        <f t="shared" ca="1" si="1350"/>
        <v>2684049.4157874007</v>
      </c>
      <c r="AY1370" s="2">
        <f t="shared" ca="1" si="1351"/>
        <v>2910362.9061293416</v>
      </c>
      <c r="AZ1370" s="2">
        <f t="shared" ca="1" si="1352"/>
        <v>3148476.0100320904</v>
      </c>
      <c r="BA1370" s="2">
        <f t="shared" ca="1" si="1353"/>
        <v>55736411.643767752</v>
      </c>
      <c r="BB1370" s="2">
        <f t="shared" ca="1" si="1354"/>
        <v>1114728.2328753551</v>
      </c>
      <c r="BC1370" s="2">
        <f t="shared" ca="1" si="1355"/>
        <v>29748051.055698745</v>
      </c>
      <c r="BD1370" s="2">
        <f t="shared" ca="1" si="1356"/>
        <v>-18118822.918262172</v>
      </c>
      <c r="BE1370" s="2">
        <f t="shared" ca="1" si="1357"/>
        <v>2195253.8470958369</v>
      </c>
      <c r="BF1370" s="2">
        <f t="shared" ca="1" si="1358"/>
        <v>2468950.8131852075</v>
      </c>
      <c r="BG1370" s="2">
        <f t="shared" ca="1" si="1359"/>
        <v>2684049.4157874007</v>
      </c>
      <c r="BH1370" s="2">
        <f t="shared" ca="1" si="1360"/>
        <v>2910362.9061293416</v>
      </c>
      <c r="BI1370" s="2">
        <f t="shared" ca="1" si="1361"/>
        <v>32896527.065730836</v>
      </c>
      <c r="BJ1370" s="2">
        <f t="shared" ca="1" si="1362"/>
        <v>0.22493941711975673</v>
      </c>
      <c r="BK1370" s="2">
        <f t="shared" ca="1" si="1363"/>
        <v>8235872.148593884</v>
      </c>
    </row>
    <row r="1371" spans="1:63" x14ac:dyDescent="0.3">
      <c r="A1371" s="2">
        <v>1370</v>
      </c>
      <c r="B1371" s="2">
        <f t="shared" ca="1" si="1302"/>
        <v>0.30212664986783144</v>
      </c>
      <c r="C1371" s="2">
        <f t="shared" ca="1" si="1303"/>
        <v>6.7773373139993103</v>
      </c>
      <c r="D1371" s="2">
        <f t="shared" ca="1" si="1304"/>
        <v>0.50065707554654992</v>
      </c>
      <c r="E1371" s="2">
        <f t="shared" ca="1" si="1305"/>
        <v>7.500657291562649</v>
      </c>
      <c r="F1371" s="2">
        <f t="shared" ca="1" si="1306"/>
        <v>0.96711183660377831</v>
      </c>
      <c r="G1371" s="2">
        <f t="shared" ca="1" si="1307"/>
        <v>9.5198347074926193E-2</v>
      </c>
      <c r="H1371" s="2">
        <f t="shared" ca="1" si="1308"/>
        <v>9.5198347074926193E-2</v>
      </c>
      <c r="I1371" s="2">
        <f t="shared" ca="1" si="1309"/>
        <v>0.98445746170575443</v>
      </c>
      <c r="J1371" s="2">
        <f t="shared" ca="1" si="1310"/>
        <v>2.0779909623610135E-2</v>
      </c>
      <c r="K1371" s="2">
        <f t="shared" ca="1" si="1311"/>
        <v>2.0779909623610135E-2</v>
      </c>
      <c r="L1371" s="2">
        <f t="shared" ca="1" si="1312"/>
        <v>0.56974694793763148</v>
      </c>
      <c r="M1371" s="2">
        <f t="shared" ca="1" si="1313"/>
        <v>3.5145990157188322E-3</v>
      </c>
      <c r="N1371" s="2">
        <f t="shared" ca="1" si="1314"/>
        <v>3.5145990157188322E-3</v>
      </c>
      <c r="O1371" s="2">
        <f t="shared" si="1315"/>
        <v>6000000</v>
      </c>
      <c r="P1371" s="2">
        <f t="shared" ca="1" si="1316"/>
        <v>40664023.883995861</v>
      </c>
      <c r="Q1371" s="2">
        <f t="shared" ca="1" si="1317"/>
        <v>1016600.5970998965</v>
      </c>
      <c r="R1371" s="2">
        <f t="shared" ca="1" si="1318"/>
        <v>24398414.330397516</v>
      </c>
      <c r="S1371" s="2">
        <f t="shared" ca="1" si="1319"/>
        <v>16265609.553598344</v>
      </c>
      <c r="T1371" s="2">
        <f t="shared" ca="1" si="1320"/>
        <v>50175729.950785942</v>
      </c>
      <c r="U1371" s="2">
        <f t="shared" ca="1" si="1321"/>
        <v>54952376.505378634</v>
      </c>
      <c r="V1371" s="2">
        <f t="shared" ca="1" si="1322"/>
        <v>60183751.916529693</v>
      </c>
      <c r="W1371" s="2">
        <f t="shared" ca="1" si="1323"/>
        <v>65913145.619750746</v>
      </c>
      <c r="X1371" s="2">
        <f t="shared" ca="1" si="1324"/>
        <v>72187968.133259937</v>
      </c>
      <c r="Y1371" s="2">
        <f t="shared" ca="1" si="1325"/>
        <v>0.13038995481180507</v>
      </c>
      <c r="Z1371" s="2">
        <f t="shared" ca="1" si="1326"/>
        <v>0.13454593673652709</v>
      </c>
      <c r="AA1371" s="2">
        <f t="shared" ca="1" si="1327"/>
        <v>6542411.1609323137</v>
      </c>
      <c r="AB1371" s="2">
        <f t="shared" ca="1" si="1328"/>
        <v>7393618.9728144919</v>
      </c>
      <c r="AC1371" s="2">
        <f t="shared" ca="1" si="1329"/>
        <v>8097479.2779282453</v>
      </c>
      <c r="AD1371" s="2">
        <f t="shared" ca="1" si="1330"/>
        <v>8868345.9206604809</v>
      </c>
      <c r="AE1371" s="2">
        <f t="shared" ca="1" si="1331"/>
        <v>9712597.7935960256</v>
      </c>
      <c r="AF1371" s="2">
        <f t="shared" ca="1" si="1332"/>
        <v>1003514.5990157189</v>
      </c>
      <c r="AG1371" s="2">
        <f t="shared" ca="1" si="1333"/>
        <v>1099047.5301075727</v>
      </c>
      <c r="AH1371" s="2">
        <f t="shared" ca="1" si="1334"/>
        <v>1203675.0383305938</v>
      </c>
      <c r="AI1371" s="2">
        <f t="shared" ca="1" si="1335"/>
        <v>1318262.9123950149</v>
      </c>
      <c r="AJ1371" s="2">
        <f t="shared" ca="1" si="1336"/>
        <v>1443759.3626651987</v>
      </c>
      <c r="AK1371" s="2">
        <f t="shared" ca="1" si="1337"/>
        <v>0</v>
      </c>
      <c r="AL1371" s="2">
        <f t="shared" ca="1" si="1338"/>
        <v>47766.465545926912</v>
      </c>
      <c r="AM1371" s="2">
        <f t="shared" ca="1" si="1339"/>
        <v>52313.754111510592</v>
      </c>
      <c r="AN1371" s="2">
        <f t="shared" ca="1" si="1340"/>
        <v>57293.937032210531</v>
      </c>
      <c r="AO1371" s="2">
        <f t="shared" ca="1" si="1341"/>
        <v>62748.225135091918</v>
      </c>
      <c r="AP1371" s="2">
        <f t="shared" ca="1" si="1342"/>
        <v>2195857.2897357764</v>
      </c>
      <c r="AQ1371" s="2">
        <f t="shared" ca="1" si="1343"/>
        <v>869190.21076701267</v>
      </c>
      <c r="AR1371" s="2">
        <f t="shared" ca="1" si="1344"/>
        <v>1065665.6797724972</v>
      </c>
      <c r="AS1371" s="2">
        <f t="shared" ca="1" si="1345"/>
        <v>1221466.2069640874</v>
      </c>
      <c r="AT1371" s="2">
        <f t="shared" ca="1" si="1346"/>
        <v>1392098.6868177191</v>
      </c>
      <c r="AU1371" s="2">
        <f t="shared" ca="1" si="1347"/>
        <v>1578975.0967107131</v>
      </c>
      <c r="AV1371" s="2">
        <f t="shared" ca="1" si="1348"/>
        <v>2473849.061413805</v>
      </c>
      <c r="AW1371" s="2">
        <f t="shared" ca="1" si="1349"/>
        <v>2985282.0076527186</v>
      </c>
      <c r="AX1371" s="2">
        <f t="shared" ca="1" si="1350"/>
        <v>3424166.9887862764</v>
      </c>
      <c r="AY1371" s="2">
        <f t="shared" ca="1" si="1351"/>
        <v>3904833.0946797589</v>
      </c>
      <c r="AZ1371" s="2">
        <f t="shared" ca="1" si="1352"/>
        <v>4431257.8193492452</v>
      </c>
      <c r="BA1371" s="2">
        <f t="shared" ca="1" si="1353"/>
        <v>72850867.460551322</v>
      </c>
      <c r="BB1371" s="2">
        <f t="shared" ca="1" si="1354"/>
        <v>1457017.3492110264</v>
      </c>
      <c r="BC1371" s="2">
        <f t="shared" ca="1" si="1355"/>
        <v>46995435.780942775</v>
      </c>
      <c r="BD1371" s="2">
        <f t="shared" ca="1" si="1356"/>
        <v>-17782210.150698241</v>
      </c>
      <c r="BE1371" s="2">
        <f t="shared" ca="1" si="1357"/>
        <v>2473849.061413805</v>
      </c>
      <c r="BF1371" s="2">
        <f t="shared" ca="1" si="1358"/>
        <v>2985282.0076527186</v>
      </c>
      <c r="BG1371" s="2">
        <f t="shared" ca="1" si="1359"/>
        <v>3424166.9887862764</v>
      </c>
      <c r="BH1371" s="2">
        <f t="shared" ca="1" si="1360"/>
        <v>3904833.0946797589</v>
      </c>
      <c r="BI1371" s="2">
        <f t="shared" ca="1" si="1361"/>
        <v>51426693.60029202</v>
      </c>
      <c r="BJ1371" s="2">
        <f t="shared" ca="1" si="1362"/>
        <v>0.34484094009899269</v>
      </c>
      <c r="BK1371" s="2">
        <f t="shared" ca="1" si="1363"/>
        <v>20906165.695672255</v>
      </c>
    </row>
    <row r="1372" spans="1:63" x14ac:dyDescent="0.3">
      <c r="A1372" s="2">
        <v>1371</v>
      </c>
      <c r="B1372" s="2">
        <f t="shared" ca="1" si="1302"/>
        <v>0.14242830642479798</v>
      </c>
      <c r="C1372" s="2">
        <f t="shared" ca="1" si="1303"/>
        <v>6.5337196013353793</v>
      </c>
      <c r="D1372" s="2">
        <f t="shared" ca="1" si="1304"/>
        <v>0.8887262790555388</v>
      </c>
      <c r="E1372" s="2">
        <f t="shared" ca="1" si="1305"/>
        <v>8.0282506577758461</v>
      </c>
      <c r="F1372" s="2">
        <f t="shared" ca="1" si="1306"/>
        <v>0.3044744360742514</v>
      </c>
      <c r="G1372" s="2">
        <f t="shared" ca="1" si="1307"/>
        <v>2.4652766554069221E-2</v>
      </c>
      <c r="H1372" s="2">
        <f t="shared" ca="1" si="1308"/>
        <v>2.4652766554069221E-2</v>
      </c>
      <c r="I1372" s="2">
        <f t="shared" ca="1" si="1309"/>
        <v>0.74568540499335678</v>
      </c>
      <c r="J1372" s="2">
        <f t="shared" ca="1" si="1310"/>
        <v>1.3304868421965731E-2</v>
      </c>
      <c r="K1372" s="2">
        <f t="shared" ca="1" si="1311"/>
        <v>1.3304868421965731E-2</v>
      </c>
      <c r="L1372" s="2">
        <f t="shared" ca="1" si="1312"/>
        <v>0.34376924115691032</v>
      </c>
      <c r="M1372" s="2">
        <f t="shared" ca="1" si="1313"/>
        <v>-8.0439554259056079E-3</v>
      </c>
      <c r="N1372" s="2">
        <f t="shared" ca="1" si="1314"/>
        <v>-8.0439554259056079E-3</v>
      </c>
      <c r="O1372" s="2">
        <f t="shared" si="1315"/>
        <v>6000000</v>
      </c>
      <c r="P1372" s="2">
        <f t="shared" ca="1" si="1316"/>
        <v>39202317.608012274</v>
      </c>
      <c r="Q1372" s="2">
        <f t="shared" ca="1" si="1317"/>
        <v>980057.94020030694</v>
      </c>
      <c r="R1372" s="2">
        <f t="shared" ca="1" si="1318"/>
        <v>23521390.564807363</v>
      </c>
      <c r="S1372" s="2">
        <f t="shared" ca="1" si="1319"/>
        <v>15680927.043204911</v>
      </c>
      <c r="T1372" s="2">
        <f t="shared" ca="1" si="1320"/>
        <v>49597802.228704721</v>
      </c>
      <c r="U1372" s="2">
        <f t="shared" ca="1" si="1321"/>
        <v>50820525.268643871</v>
      </c>
      <c r="V1372" s="2">
        <f t="shared" ca="1" si="1322"/>
        <v>52073391.814246923</v>
      </c>
      <c r="W1372" s="2">
        <f t="shared" ca="1" si="1323"/>
        <v>53357144.986322135</v>
      </c>
      <c r="X1372" s="2">
        <f t="shared" ca="1" si="1324"/>
        <v>54672546.225661561</v>
      </c>
      <c r="Y1372" s="2">
        <f t="shared" ca="1" si="1325"/>
        <v>0.12665243421098285</v>
      </c>
      <c r="Z1372" s="2">
        <f t="shared" ca="1" si="1326"/>
        <v>0.12931340789537601</v>
      </c>
      <c r="AA1372" s="2">
        <f t="shared" ca="1" si="1327"/>
        <v>6281682.383780363</v>
      </c>
      <c r="AB1372" s="2">
        <f t="shared" ca="1" si="1328"/>
        <v>6571775.3135214085</v>
      </c>
      <c r="AC1372" s="2">
        <f t="shared" ca="1" si="1329"/>
        <v>6733787.7561714463</v>
      </c>
      <c r="AD1372" s="2">
        <f t="shared" ca="1" si="1330"/>
        <v>6899794.2537489915</v>
      </c>
      <c r="AE1372" s="2">
        <f t="shared" ca="1" si="1331"/>
        <v>7069893.2707577739</v>
      </c>
      <c r="AF1372" s="2">
        <f t="shared" ca="1" si="1332"/>
        <v>991956.04457409447</v>
      </c>
      <c r="AG1372" s="2">
        <f t="shared" ca="1" si="1333"/>
        <v>1016410.5053728775</v>
      </c>
      <c r="AH1372" s="2">
        <f t="shared" ca="1" si="1334"/>
        <v>1041467.8362849385</v>
      </c>
      <c r="AI1372" s="2">
        <f t="shared" ca="1" si="1335"/>
        <v>1067142.8997264428</v>
      </c>
      <c r="AJ1372" s="2">
        <f t="shared" ca="1" si="1336"/>
        <v>1093450.9245132313</v>
      </c>
      <c r="AK1372" s="2">
        <f t="shared" ca="1" si="1337"/>
        <v>0</v>
      </c>
      <c r="AL1372" s="2">
        <f t="shared" ca="1" si="1338"/>
        <v>12227.230399391503</v>
      </c>
      <c r="AM1372" s="2">
        <f t="shared" ca="1" si="1339"/>
        <v>12528.665456030518</v>
      </c>
      <c r="AN1372" s="2">
        <f t="shared" ca="1" si="1340"/>
        <v>12837.53172075212</v>
      </c>
      <c r="AO1372" s="2">
        <f t="shared" ca="1" si="1341"/>
        <v>13154.012393394261</v>
      </c>
      <c r="AP1372" s="2">
        <f t="shared" ca="1" si="1342"/>
        <v>2116925.1508326624</v>
      </c>
      <c r="AQ1372" s="2">
        <f t="shared" ca="1" si="1343"/>
        <v>824928.30897713779</v>
      </c>
      <c r="AR1372" s="2">
        <f t="shared" ca="1" si="1344"/>
        <v>893994.3109021259</v>
      </c>
      <c r="AS1372" s="2">
        <f t="shared" ca="1" si="1345"/>
        <v>929602.6399539999</v>
      </c>
      <c r="AT1372" s="2">
        <f t="shared" ca="1" si="1346"/>
        <v>966088.81282937049</v>
      </c>
      <c r="AU1372" s="2">
        <f t="shared" ca="1" si="1347"/>
        <v>1003474.470807089</v>
      </c>
      <c r="AV1372" s="2">
        <f t="shared" ca="1" si="1348"/>
        <v>2347872.8793964684</v>
      </c>
      <c r="AW1372" s="2">
        <f t="shared" ca="1" si="1349"/>
        <v>2532218.1160143511</v>
      </c>
      <c r="AX1372" s="2">
        <f t="shared" ca="1" si="1350"/>
        <v>2633263.4636438154</v>
      </c>
      <c r="AY1372" s="2">
        <f t="shared" ca="1" si="1351"/>
        <v>2736799.8586397637</v>
      </c>
      <c r="AZ1372" s="2">
        <f t="shared" ca="1" si="1352"/>
        <v>2842888.7122113965</v>
      </c>
      <c r="BA1372" s="2">
        <f t="shared" ca="1" si="1353"/>
        <v>56758875.301366128</v>
      </c>
      <c r="BB1372" s="2">
        <f t="shared" ca="1" si="1354"/>
        <v>1135177.5060273225</v>
      </c>
      <c r="BC1372" s="2">
        <f t="shared" ca="1" si="1355"/>
        <v>32102307.230531443</v>
      </c>
      <c r="BD1372" s="2">
        <f t="shared" ca="1" si="1356"/>
        <v>-17160984.983405218</v>
      </c>
      <c r="BE1372" s="2">
        <f t="shared" ca="1" si="1357"/>
        <v>2347872.8793964684</v>
      </c>
      <c r="BF1372" s="2">
        <f t="shared" ca="1" si="1358"/>
        <v>2532218.1160143511</v>
      </c>
      <c r="BG1372" s="2">
        <f t="shared" ca="1" si="1359"/>
        <v>2633263.4636438154</v>
      </c>
      <c r="BH1372" s="2">
        <f t="shared" ca="1" si="1360"/>
        <v>2736799.8586397637</v>
      </c>
      <c r="BI1372" s="2">
        <f t="shared" ca="1" si="1361"/>
        <v>34945195.942742839</v>
      </c>
      <c r="BJ1372" s="2">
        <f t="shared" ca="1" si="1362"/>
        <v>0.25459522521219613</v>
      </c>
      <c r="BK1372" s="2">
        <f t="shared" ca="1" si="1363"/>
        <v>10396432.230307572</v>
      </c>
    </row>
    <row r="1373" spans="1:63" x14ac:dyDescent="0.3">
      <c r="A1373" s="2">
        <v>1372</v>
      </c>
      <c r="B1373" s="2">
        <f t="shared" ca="1" si="1302"/>
        <v>0.27108619499831221</v>
      </c>
      <c r="C1373" s="2">
        <f t="shared" ca="1" si="1303"/>
        <v>6.7363235633854348</v>
      </c>
      <c r="D1373" s="2">
        <f t="shared" ca="1" si="1304"/>
        <v>0.81667354125122937</v>
      </c>
      <c r="E1373" s="2">
        <f t="shared" ca="1" si="1305"/>
        <v>7.8944812822896875</v>
      </c>
      <c r="F1373" s="2">
        <f t="shared" ca="1" si="1306"/>
        <v>0.72771498208346475</v>
      </c>
      <c r="G1373" s="2">
        <f t="shared" ca="1" si="1307"/>
        <v>5.8177502513630922E-2</v>
      </c>
      <c r="H1373" s="2">
        <f t="shared" ca="1" si="1308"/>
        <v>5.8177502513630922E-2</v>
      </c>
      <c r="I1373" s="2">
        <f t="shared" ca="1" si="1309"/>
        <v>0.88836342547684277</v>
      </c>
      <c r="J1373" s="2">
        <f t="shared" ca="1" si="1310"/>
        <v>1.6089353014236779E-2</v>
      </c>
      <c r="K1373" s="2">
        <f t="shared" ca="1" si="1311"/>
        <v>1.6089353014236779E-2</v>
      </c>
      <c r="L1373" s="2">
        <f t="shared" ca="1" si="1312"/>
        <v>0.51506005785112252</v>
      </c>
      <c r="M1373" s="2">
        <f t="shared" ca="1" si="1313"/>
        <v>7.5517874593055356E-4</v>
      </c>
      <c r="N1373" s="2">
        <f t="shared" ca="1" si="1314"/>
        <v>7.5517874593055356E-4</v>
      </c>
      <c r="O1373" s="2">
        <f t="shared" si="1315"/>
        <v>6000000</v>
      </c>
      <c r="P1373" s="2">
        <f t="shared" ca="1" si="1316"/>
        <v>40417941.380312607</v>
      </c>
      <c r="Q1373" s="2">
        <f t="shared" ca="1" si="1317"/>
        <v>1010448.5345078153</v>
      </c>
      <c r="R1373" s="2">
        <f t="shared" ca="1" si="1318"/>
        <v>24250764.828187563</v>
      </c>
      <c r="S1373" s="2">
        <f t="shared" ca="1" si="1319"/>
        <v>16167176.552125044</v>
      </c>
      <c r="T1373" s="2">
        <f t="shared" ca="1" si="1320"/>
        <v>50037758.937296525</v>
      </c>
      <c r="U1373" s="2">
        <f t="shared" ca="1" si="1321"/>
        <v>52948830.783647545</v>
      </c>
      <c r="V1373" s="2">
        <f t="shared" ca="1" si="1322"/>
        <v>56029261.519657016</v>
      </c>
      <c r="W1373" s="2">
        <f t="shared" ca="1" si="1323"/>
        <v>59288904.022553742</v>
      </c>
      <c r="X1373" s="2">
        <f t="shared" ca="1" si="1324"/>
        <v>62738184.385356277</v>
      </c>
      <c r="Y1373" s="2">
        <f t="shared" ca="1" si="1325"/>
        <v>0.12804467650711837</v>
      </c>
      <c r="Z1373" s="2">
        <f t="shared" ca="1" si="1326"/>
        <v>0.13126254710996574</v>
      </c>
      <c r="AA1373" s="2">
        <f t="shared" ca="1" si="1327"/>
        <v>6407068.6562673049</v>
      </c>
      <c r="AB1373" s="2">
        <f t="shared" ca="1" si="1328"/>
        <v>6950198.3951561395</v>
      </c>
      <c r="AC1373" s="2">
        <f t="shared" ca="1" si="1329"/>
        <v>7354543.5797605691</v>
      </c>
      <c r="AD1373" s="2">
        <f t="shared" ca="1" si="1330"/>
        <v>7782412.557358698</v>
      </c>
      <c r="AE1373" s="2">
        <f t="shared" ca="1" si="1331"/>
        <v>8235173.8834765451</v>
      </c>
      <c r="AF1373" s="2">
        <f t="shared" ca="1" si="1332"/>
        <v>1000755.1787459305</v>
      </c>
      <c r="AG1373" s="2">
        <f t="shared" ca="1" si="1333"/>
        <v>1058976.6156729509</v>
      </c>
      <c r="AH1373" s="2">
        <f t="shared" ca="1" si="1334"/>
        <v>1120585.2303931403</v>
      </c>
      <c r="AI1373" s="2">
        <f t="shared" ca="1" si="1335"/>
        <v>1185778.0804510748</v>
      </c>
      <c r="AJ1373" s="2">
        <f t="shared" ca="1" si="1336"/>
        <v>1254763.6877071257</v>
      </c>
      <c r="AK1373" s="2">
        <f t="shared" ca="1" si="1337"/>
        <v>0</v>
      </c>
      <c r="AL1373" s="2">
        <f t="shared" ca="1" si="1338"/>
        <v>29110.718463510202</v>
      </c>
      <c r="AM1373" s="2">
        <f t="shared" ca="1" si="1339"/>
        <v>30804.30736009471</v>
      </c>
      <c r="AN1373" s="2">
        <f t="shared" ca="1" si="1340"/>
        <v>32596.425028967264</v>
      </c>
      <c r="AO1373" s="2">
        <f t="shared" ca="1" si="1341"/>
        <v>34492.803628025351</v>
      </c>
      <c r="AP1373" s="2">
        <f t="shared" ca="1" si="1342"/>
        <v>2182568.8345368807</v>
      </c>
      <c r="AQ1373" s="2">
        <f t="shared" ca="1" si="1343"/>
        <v>838173.60717596847</v>
      </c>
      <c r="AR1373" s="2">
        <f t="shared" ca="1" si="1344"/>
        <v>964249.76568604016</v>
      </c>
      <c r="AS1373" s="2">
        <f t="shared" ca="1" si="1345"/>
        <v>1053361.2738559425</v>
      </c>
      <c r="AT1373" s="2">
        <f t="shared" ca="1" si="1346"/>
        <v>1147657.0670163929</v>
      </c>
      <c r="AU1373" s="2">
        <f t="shared" ca="1" si="1347"/>
        <v>1247438.7539204604</v>
      </c>
      <c r="AV1373" s="2">
        <f t="shared" ca="1" si="1348"/>
        <v>2385571.0358085255</v>
      </c>
      <c r="AW1373" s="2">
        <f t="shared" ca="1" si="1349"/>
        <v>2715292.4607967581</v>
      </c>
      <c r="AX1373" s="2">
        <f t="shared" ca="1" si="1350"/>
        <v>2967223.9336145106</v>
      </c>
      <c r="AY1373" s="2">
        <f t="shared" ca="1" si="1351"/>
        <v>3233812.1503253817</v>
      </c>
      <c r="AZ1373" s="2">
        <f t="shared" ca="1" si="1352"/>
        <v>3515909.8036840535</v>
      </c>
      <c r="BA1373" s="2">
        <f t="shared" ca="1" si="1353"/>
        <v>65012426.079506464</v>
      </c>
      <c r="BB1373" s="2">
        <f t="shared" ca="1" si="1354"/>
        <v>1300248.5215901292</v>
      </c>
      <c r="BC1373" s="2">
        <f t="shared" ca="1" si="1355"/>
        <v>39461412.729728773</v>
      </c>
      <c r="BD1373" s="2">
        <f t="shared" ca="1" si="1356"/>
        <v>-17677625.086632859</v>
      </c>
      <c r="BE1373" s="2">
        <f t="shared" ca="1" si="1357"/>
        <v>2385571.0358085255</v>
      </c>
      <c r="BF1373" s="2">
        <f t="shared" ca="1" si="1358"/>
        <v>2715292.4607967581</v>
      </c>
      <c r="BG1373" s="2">
        <f t="shared" ca="1" si="1359"/>
        <v>2967223.9336145106</v>
      </c>
      <c r="BH1373" s="2">
        <f t="shared" ca="1" si="1360"/>
        <v>3233812.1503253817</v>
      </c>
      <c r="BI1373" s="2">
        <f t="shared" ca="1" si="1361"/>
        <v>42977322.533412829</v>
      </c>
      <c r="BJ1373" s="2">
        <f t="shared" ca="1" si="1362"/>
        <v>0.29678581407605975</v>
      </c>
      <c r="BK1373" s="2">
        <f t="shared" ca="1" si="1363"/>
        <v>15170608.040811054</v>
      </c>
    </row>
    <row r="1374" spans="1:63" x14ac:dyDescent="0.3">
      <c r="A1374" s="2">
        <v>1373</v>
      </c>
      <c r="B1374" s="2">
        <f t="shared" ca="1" si="1302"/>
        <v>0.16348158877427021</v>
      </c>
      <c r="C1374" s="2">
        <f t="shared" ca="1" si="1303"/>
        <v>6.5718069408012987</v>
      </c>
      <c r="D1374" s="2">
        <f t="shared" ca="1" si="1304"/>
        <v>0.55478935769375526</v>
      </c>
      <c r="E1374" s="2">
        <f t="shared" ca="1" si="1305"/>
        <v>7.5563786328126685</v>
      </c>
      <c r="F1374" s="2">
        <f t="shared" ca="1" si="1306"/>
        <v>0.48094639849375176</v>
      </c>
      <c r="G1374" s="2">
        <f t="shared" ca="1" si="1307"/>
        <v>3.8566645959474059E-2</v>
      </c>
      <c r="H1374" s="2">
        <f t="shared" ca="1" si="1308"/>
        <v>3.8566645959474059E-2</v>
      </c>
      <c r="I1374" s="2">
        <f t="shared" ca="1" si="1309"/>
        <v>0.22112057965780818</v>
      </c>
      <c r="J1374" s="2">
        <f t="shared" ca="1" si="1310"/>
        <v>6.1579291056554223E-3</v>
      </c>
      <c r="K1374" s="2">
        <f t="shared" ca="1" si="1311"/>
        <v>6.1579291056554223E-3</v>
      </c>
      <c r="L1374" s="2">
        <f t="shared" ca="1" si="1312"/>
        <v>0.74311642082946772</v>
      </c>
      <c r="M1374" s="2">
        <f t="shared" ca="1" si="1313"/>
        <v>1.3059662477327798E-2</v>
      </c>
      <c r="N1374" s="2">
        <f t="shared" ca="1" si="1314"/>
        <v>1.3059662477327798E-2</v>
      </c>
      <c r="O1374" s="2">
        <f t="shared" si="1315"/>
        <v>6000000</v>
      </c>
      <c r="P1374" s="2">
        <f t="shared" ca="1" si="1316"/>
        <v>39430841.644807793</v>
      </c>
      <c r="Q1374" s="2">
        <f t="shared" ca="1" si="1317"/>
        <v>985771.04112019483</v>
      </c>
      <c r="R1374" s="2">
        <f t="shared" ca="1" si="1318"/>
        <v>23658504.986884676</v>
      </c>
      <c r="S1374" s="2">
        <f t="shared" ca="1" si="1319"/>
        <v>15772336.657923117</v>
      </c>
      <c r="T1374" s="2">
        <f t="shared" ca="1" si="1320"/>
        <v>50652983.123866394</v>
      </c>
      <c r="U1374" s="2">
        <f t="shared" ca="1" si="1321"/>
        <v>52606498.790795758</v>
      </c>
      <c r="V1374" s="2">
        <f t="shared" ca="1" si="1322"/>
        <v>54635355.004827879</v>
      </c>
      <c r="W1374" s="2">
        <f t="shared" ca="1" si="1323"/>
        <v>56742457.398169249</v>
      </c>
      <c r="X1374" s="2">
        <f t="shared" ca="1" si="1324"/>
        <v>58930823.663514979</v>
      </c>
      <c r="Y1374" s="2">
        <f t="shared" ca="1" si="1325"/>
        <v>0.12307896455282771</v>
      </c>
      <c r="Z1374" s="2">
        <f t="shared" ca="1" si="1326"/>
        <v>0.12431055037395879</v>
      </c>
      <c r="AA1374" s="2">
        <f t="shared" ca="1" si="1327"/>
        <v>6234316.7143973326</v>
      </c>
      <c r="AB1374" s="2">
        <f t="shared" ca="1" si="1328"/>
        <v>6539542.8179308185</v>
      </c>
      <c r="AC1374" s="2">
        <f t="shared" ca="1" si="1329"/>
        <v>6791751.0505267773</v>
      </c>
      <c r="AD1374" s="2">
        <f t="shared" ca="1" si="1330"/>
        <v>7053686.108737329</v>
      </c>
      <c r="AE1374" s="2">
        <f t="shared" ca="1" si="1331"/>
        <v>7325723.1236022608</v>
      </c>
      <c r="AF1374" s="2">
        <f t="shared" ca="1" si="1332"/>
        <v>1013059.6624773279</v>
      </c>
      <c r="AG1374" s="2">
        <f t="shared" ca="1" si="1333"/>
        <v>1052129.9758159153</v>
      </c>
      <c r="AH1374" s="2">
        <f t="shared" ca="1" si="1334"/>
        <v>1092707.1000965575</v>
      </c>
      <c r="AI1374" s="2">
        <f t="shared" ca="1" si="1335"/>
        <v>1134849.1479633851</v>
      </c>
      <c r="AJ1374" s="2">
        <f t="shared" ca="1" si="1336"/>
        <v>1178616.4732702996</v>
      </c>
      <c r="AK1374" s="2">
        <f t="shared" ca="1" si="1337"/>
        <v>0</v>
      </c>
      <c r="AL1374" s="2">
        <f t="shared" ca="1" si="1338"/>
        <v>19535.156669293643</v>
      </c>
      <c r="AM1374" s="2">
        <f t="shared" ca="1" si="1339"/>
        <v>20288.56214032121</v>
      </c>
      <c r="AN1374" s="2">
        <f t="shared" ca="1" si="1340"/>
        <v>21071.0239334137</v>
      </c>
      <c r="AO1374" s="2">
        <f t="shared" ca="1" si="1341"/>
        <v>21883.662653457301</v>
      </c>
      <c r="AP1374" s="2">
        <f t="shared" ca="1" si="1342"/>
        <v>2129265.4488196205</v>
      </c>
      <c r="AQ1374" s="2">
        <f t="shared" ca="1" si="1343"/>
        <v>803917.81680610008</v>
      </c>
      <c r="AR1374" s="2">
        <f t="shared" ca="1" si="1344"/>
        <v>873118.32225677348</v>
      </c>
      <c r="AS1374" s="2">
        <f t="shared" ca="1" si="1345"/>
        <v>928142.41041875584</v>
      </c>
      <c r="AT1374" s="2">
        <f t="shared" ca="1" si="1346"/>
        <v>985288.5931081241</v>
      </c>
      <c r="AU1374" s="2">
        <f t="shared" ca="1" si="1347"/>
        <v>1044638.7123932085</v>
      </c>
      <c r="AV1374" s="2">
        <f t="shared" ca="1" si="1348"/>
        <v>2288073.7862942843</v>
      </c>
      <c r="AW1374" s="2">
        <f t="shared" ca="1" si="1349"/>
        <v>2465493.9143692153</v>
      </c>
      <c r="AX1374" s="2">
        <f t="shared" ca="1" si="1350"/>
        <v>2621347.5290515218</v>
      </c>
      <c r="AY1374" s="2">
        <f t="shared" ca="1" si="1351"/>
        <v>2783211.8949127859</v>
      </c>
      <c r="AZ1374" s="2">
        <f t="shared" ca="1" si="1352"/>
        <v>2951318.8264656747</v>
      </c>
      <c r="BA1374" s="2">
        <f t="shared" ca="1" si="1353"/>
        <v>55355937.681089804</v>
      </c>
      <c r="BB1374" s="2">
        <f t="shared" ca="1" si="1354"/>
        <v>1107118.7536217961</v>
      </c>
      <c r="BC1374" s="2">
        <f t="shared" ca="1" si="1355"/>
        <v>30590313.940583333</v>
      </c>
      <c r="BD1374" s="2">
        <f t="shared" ca="1" si="1356"/>
        <v>-17258107.699043311</v>
      </c>
      <c r="BE1374" s="2">
        <f t="shared" ca="1" si="1357"/>
        <v>2288073.7862942843</v>
      </c>
      <c r="BF1374" s="2">
        <f t="shared" ca="1" si="1358"/>
        <v>2465493.9143692153</v>
      </c>
      <c r="BG1374" s="2">
        <f t="shared" ca="1" si="1359"/>
        <v>2621347.5290515218</v>
      </c>
      <c r="BH1374" s="2">
        <f t="shared" ca="1" si="1360"/>
        <v>2783211.8949127859</v>
      </c>
      <c r="BI1374" s="2">
        <f t="shared" ca="1" si="1361"/>
        <v>33541632.767049007</v>
      </c>
      <c r="BJ1374" s="2">
        <f t="shared" ca="1" si="1362"/>
        <v>0.24323239068933789</v>
      </c>
      <c r="BK1374" s="2">
        <f t="shared" ca="1" si="1363"/>
        <v>9417320.0638645291</v>
      </c>
    </row>
    <row r="1375" spans="1:63" x14ac:dyDescent="0.3">
      <c r="A1375" s="2">
        <v>1374</v>
      </c>
      <c r="B1375" s="2">
        <f t="shared" ca="1" si="1302"/>
        <v>0.82451682660028902</v>
      </c>
      <c r="C1375" s="2">
        <f t="shared" ca="1" si="1303"/>
        <v>7.4075758725377385</v>
      </c>
      <c r="D1375" s="2">
        <f t="shared" ca="1" si="1304"/>
        <v>0.8089069082832322</v>
      </c>
      <c r="E1375" s="2">
        <f t="shared" ca="1" si="1305"/>
        <v>7.8817879138729694</v>
      </c>
      <c r="F1375" s="2">
        <f t="shared" ca="1" si="1306"/>
        <v>0.62956065880408418</v>
      </c>
      <c r="G1375" s="2">
        <f t="shared" ca="1" si="1307"/>
        <v>4.9920698974920602E-2</v>
      </c>
      <c r="H1375" s="2">
        <f t="shared" ca="1" si="1308"/>
        <v>4.9920698974920602E-2</v>
      </c>
      <c r="I1375" s="2">
        <f t="shared" ca="1" si="1309"/>
        <v>0.22098902616523808</v>
      </c>
      <c r="J1375" s="2">
        <f t="shared" ca="1" si="1310"/>
        <v>6.1557137008104584E-3</v>
      </c>
      <c r="K1375" s="2">
        <f t="shared" ca="1" si="1311"/>
        <v>6.1557137008104584E-3</v>
      </c>
      <c r="L1375" s="2">
        <f t="shared" ca="1" si="1312"/>
        <v>0.78444134790726416</v>
      </c>
      <c r="M1375" s="2">
        <f t="shared" ca="1" si="1313"/>
        <v>1.5745622917918839E-2</v>
      </c>
      <c r="N1375" s="2">
        <f t="shared" ca="1" si="1314"/>
        <v>1.5745622917918839E-2</v>
      </c>
      <c r="O1375" s="2">
        <f t="shared" si="1315"/>
        <v>6000000</v>
      </c>
      <c r="P1375" s="2">
        <f t="shared" ca="1" si="1316"/>
        <v>44445455.23522643</v>
      </c>
      <c r="Q1375" s="2">
        <f t="shared" ca="1" si="1317"/>
        <v>1111136.3808806608</v>
      </c>
      <c r="R1375" s="2">
        <f t="shared" ca="1" si="1318"/>
        <v>26667273.141135857</v>
      </c>
      <c r="S1375" s="2">
        <f t="shared" ca="1" si="1319"/>
        <v>17778182.094090573</v>
      </c>
      <c r="T1375" s="2">
        <f t="shared" ca="1" si="1320"/>
        <v>50787281.145895943</v>
      </c>
      <c r="U1375" s="2">
        <f t="shared" ca="1" si="1321"/>
        <v>53322617.719734877</v>
      </c>
      <c r="V1375" s="2">
        <f t="shared" ca="1" si="1322"/>
        <v>55984520.067476526</v>
      </c>
      <c r="W1375" s="2">
        <f t="shared" ca="1" si="1323"/>
        <v>58779306.441020422</v>
      </c>
      <c r="X1375" s="2">
        <f t="shared" ca="1" si="1324"/>
        <v>61713610.503817216</v>
      </c>
      <c r="Y1375" s="2">
        <f t="shared" ca="1" si="1325"/>
        <v>0.12307785685040523</v>
      </c>
      <c r="Z1375" s="2">
        <f t="shared" ca="1" si="1326"/>
        <v>0.12430899959056732</v>
      </c>
      <c r="AA1375" s="2">
        <f t="shared" ca="1" si="1327"/>
        <v>6250789.718695865</v>
      </c>
      <c r="AB1375" s="2">
        <f t="shared" ca="1" si="1328"/>
        <v>6628481.2642905004</v>
      </c>
      <c r="AC1375" s="2">
        <f t="shared" ca="1" si="1329"/>
        <v>6959379.6821460472</v>
      </c>
      <c r="AD1375" s="2">
        <f t="shared" ca="1" si="1330"/>
        <v>7306796.7803106382</v>
      </c>
      <c r="AE1375" s="2">
        <f t="shared" ca="1" si="1331"/>
        <v>7671557.1828514449</v>
      </c>
      <c r="AF1375" s="2">
        <f t="shared" ca="1" si="1332"/>
        <v>1015745.6229179188</v>
      </c>
      <c r="AG1375" s="2">
        <f t="shared" ca="1" si="1333"/>
        <v>1066452.3543946976</v>
      </c>
      <c r="AH1375" s="2">
        <f t="shared" ca="1" si="1334"/>
        <v>1119690.4013495306</v>
      </c>
      <c r="AI1375" s="2">
        <f t="shared" ca="1" si="1335"/>
        <v>1175586.1288204084</v>
      </c>
      <c r="AJ1375" s="2">
        <f t="shared" ca="1" si="1336"/>
        <v>1234272.2100763444</v>
      </c>
      <c r="AK1375" s="2">
        <f t="shared" ca="1" si="1337"/>
        <v>0</v>
      </c>
      <c r="AL1375" s="2">
        <f t="shared" ca="1" si="1338"/>
        <v>25353.365738389344</v>
      </c>
      <c r="AM1375" s="2">
        <f t="shared" ca="1" si="1339"/>
        <v>26619.023477416486</v>
      </c>
      <c r="AN1375" s="2">
        <f t="shared" ca="1" si="1340"/>
        <v>27947.863735438958</v>
      </c>
      <c r="AO1375" s="2">
        <f t="shared" ca="1" si="1341"/>
        <v>29343.040627967941</v>
      </c>
      <c r="AP1375" s="2">
        <f t="shared" ca="1" si="1342"/>
        <v>2400054.5827022269</v>
      </c>
      <c r="AQ1375" s="2">
        <f t="shared" ca="1" si="1343"/>
        <v>737097.27339968714</v>
      </c>
      <c r="AR1375" s="2">
        <f t="shared" ca="1" si="1344"/>
        <v>822113.32507032971</v>
      </c>
      <c r="AS1375" s="2">
        <f t="shared" ca="1" si="1345"/>
        <v>894305.02150451532</v>
      </c>
      <c r="AT1375" s="2">
        <f t="shared" ca="1" si="1346"/>
        <v>970100.57788488083</v>
      </c>
      <c r="AU1375" s="2">
        <f t="shared" ca="1" si="1347"/>
        <v>1049679.9014189471</v>
      </c>
      <c r="AV1375" s="2">
        <f t="shared" ca="1" si="1348"/>
        <v>2097892.2396760322</v>
      </c>
      <c r="AW1375" s="2">
        <f t="shared" ca="1" si="1349"/>
        <v>2314507.6363848569</v>
      </c>
      <c r="AX1375" s="2">
        <f t="shared" ca="1" si="1350"/>
        <v>2518710.6531123575</v>
      </c>
      <c r="AY1375" s="2">
        <f t="shared" ca="1" si="1351"/>
        <v>2733107.6271676831</v>
      </c>
      <c r="AZ1375" s="2">
        <f t="shared" ca="1" si="1352"/>
        <v>2958207.4480259586</v>
      </c>
      <c r="BA1375" s="2">
        <f t="shared" ca="1" si="1353"/>
        <v>60465586.684383884</v>
      </c>
      <c r="BB1375" s="2">
        <f t="shared" ca="1" si="1354"/>
        <v>1209311.7336876777</v>
      </c>
      <c r="BC1375" s="2">
        <f t="shared" ca="1" si="1355"/>
        <v>32589001.809560351</v>
      </c>
      <c r="BD1375" s="2">
        <f t="shared" ca="1" si="1356"/>
        <v>-19389318.474971235</v>
      </c>
      <c r="BE1375" s="2">
        <f t="shared" ca="1" si="1357"/>
        <v>2097892.2396760322</v>
      </c>
      <c r="BF1375" s="2">
        <f t="shared" ca="1" si="1358"/>
        <v>2314507.6363848569</v>
      </c>
      <c r="BG1375" s="2">
        <f t="shared" ca="1" si="1359"/>
        <v>2518710.6531123575</v>
      </c>
      <c r="BH1375" s="2">
        <f t="shared" ca="1" si="1360"/>
        <v>2733107.6271676831</v>
      </c>
      <c r="BI1375" s="2">
        <f t="shared" ca="1" si="1361"/>
        <v>35547209.257586308</v>
      </c>
      <c r="BJ1375" s="2">
        <f t="shared" ca="1" si="1362"/>
        <v>0.21483436369029363</v>
      </c>
      <c r="BK1375" s="2">
        <f t="shared" ca="1" si="1363"/>
        <v>8029059.8921762295</v>
      </c>
    </row>
    <row r="1376" spans="1:63" x14ac:dyDescent="0.3">
      <c r="A1376" s="2">
        <v>1375</v>
      </c>
      <c r="B1376" s="2">
        <f t="shared" ca="1" si="1302"/>
        <v>0.47998495860521451</v>
      </c>
      <c r="C1376" s="2">
        <f t="shared" ca="1" si="1303"/>
        <v>6.9797805454337363</v>
      </c>
      <c r="D1376" s="2">
        <f t="shared" ca="1" si="1304"/>
        <v>0.66766775393303401</v>
      </c>
      <c r="E1376" s="2">
        <f t="shared" ca="1" si="1305"/>
        <v>7.6847304175096856</v>
      </c>
      <c r="F1376" s="2">
        <f t="shared" ca="1" si="1306"/>
        <v>0.82654173048028912</v>
      </c>
      <c r="G1376" s="2">
        <f t="shared" ca="1" si="1307"/>
        <v>6.8217610433616002E-2</v>
      </c>
      <c r="H1376" s="2">
        <f t="shared" ca="1" si="1308"/>
        <v>6.8217610433616002E-2</v>
      </c>
      <c r="I1376" s="2">
        <f t="shared" ca="1" si="1309"/>
        <v>0.46284111480460499</v>
      </c>
      <c r="J1376" s="2">
        <f t="shared" ca="1" si="1310"/>
        <v>9.5336069807014385E-3</v>
      </c>
      <c r="K1376" s="2">
        <f t="shared" ca="1" si="1311"/>
        <v>9.5336069807014385E-3</v>
      </c>
      <c r="L1376" s="2">
        <f t="shared" ca="1" si="1312"/>
        <v>0.95771349146856499</v>
      </c>
      <c r="M1376" s="2">
        <f t="shared" ca="1" si="1313"/>
        <v>3.4494946637694202E-2</v>
      </c>
      <c r="N1376" s="2">
        <f t="shared" ca="1" si="1314"/>
        <v>3.4494946637694202E-2</v>
      </c>
      <c r="O1376" s="2">
        <f t="shared" si="1315"/>
        <v>6000000</v>
      </c>
      <c r="P1376" s="2">
        <f t="shared" ca="1" si="1316"/>
        <v>41878683.272602417</v>
      </c>
      <c r="Q1376" s="2">
        <f t="shared" ca="1" si="1317"/>
        <v>1046967.0818150605</v>
      </c>
      <c r="R1376" s="2">
        <f t="shared" ca="1" si="1318"/>
        <v>25127209.963561449</v>
      </c>
      <c r="S1376" s="2">
        <f t="shared" ca="1" si="1319"/>
        <v>16751473.309040967</v>
      </c>
      <c r="T1376" s="2">
        <f t="shared" ca="1" si="1320"/>
        <v>51724747.331884712</v>
      </c>
      <c r="U1376" s="2">
        <f t="shared" ca="1" si="1321"/>
        <v>55253285.995148443</v>
      </c>
      <c r="V1376" s="2">
        <f t="shared" ca="1" si="1322"/>
        <v>59022533.134342656</v>
      </c>
      <c r="W1376" s="2">
        <f t="shared" ca="1" si="1323"/>
        <v>63048909.30650644</v>
      </c>
      <c r="X1376" s="2">
        <f t="shared" ca="1" si="1324"/>
        <v>67349955.239842087</v>
      </c>
      <c r="Y1376" s="2">
        <f t="shared" ca="1" si="1325"/>
        <v>0.12476680349035071</v>
      </c>
      <c r="Z1376" s="2">
        <f t="shared" ca="1" si="1326"/>
        <v>0.126673524886491</v>
      </c>
      <c r="AA1376" s="2">
        <f t="shared" ca="1" si="1327"/>
        <v>6453531.3859453024</v>
      </c>
      <c r="AB1376" s="2">
        <f t="shared" ca="1" si="1328"/>
        <v>6999128.4985668408</v>
      </c>
      <c r="AC1376" s="2">
        <f t="shared" ca="1" si="1329"/>
        <v>7476592.3198568942</v>
      </c>
      <c r="AD1376" s="2">
        <f t="shared" ca="1" si="1330"/>
        <v>7986627.5821038578</v>
      </c>
      <c r="AE1376" s="2">
        <f t="shared" ca="1" si="1331"/>
        <v>8531456.2311781924</v>
      </c>
      <c r="AF1376" s="2">
        <f t="shared" ca="1" si="1332"/>
        <v>1034494.9466376943</v>
      </c>
      <c r="AG1376" s="2">
        <f t="shared" ca="1" si="1333"/>
        <v>1105065.719902969</v>
      </c>
      <c r="AH1376" s="2">
        <f t="shared" ca="1" si="1334"/>
        <v>1180450.6626868532</v>
      </c>
      <c r="AI1376" s="2">
        <f t="shared" ca="1" si="1335"/>
        <v>1260978.1861301288</v>
      </c>
      <c r="AJ1376" s="2">
        <f t="shared" ca="1" si="1336"/>
        <v>1346999.1047968417</v>
      </c>
      <c r="AK1376" s="2">
        <f t="shared" ca="1" si="1337"/>
        <v>0</v>
      </c>
      <c r="AL1376" s="2">
        <f t="shared" ca="1" si="1338"/>
        <v>35285.38663263731</v>
      </c>
      <c r="AM1376" s="2">
        <f t="shared" ca="1" si="1339"/>
        <v>37692.471391942127</v>
      </c>
      <c r="AN1376" s="2">
        <f t="shared" ca="1" si="1340"/>
        <v>40263.761721637849</v>
      </c>
      <c r="AO1376" s="2">
        <f t="shared" ca="1" si="1341"/>
        <v>43010.45933335647</v>
      </c>
      <c r="AP1376" s="2">
        <f t="shared" ca="1" si="1342"/>
        <v>2261448.8967205305</v>
      </c>
      <c r="AQ1376" s="2">
        <f t="shared" ca="1" si="1343"/>
        <v>820972.76107264007</v>
      </c>
      <c r="AR1376" s="2">
        <f t="shared" ca="1" si="1344"/>
        <v>944479.60930526874</v>
      </c>
      <c r="AS1376" s="2">
        <f t="shared" ca="1" si="1345"/>
        <v>1049020.1177168726</v>
      </c>
      <c r="AT1376" s="2">
        <f t="shared" ca="1" si="1346"/>
        <v>1160692.1298058317</v>
      </c>
      <c r="AU1376" s="2">
        <f t="shared" ca="1" si="1347"/>
        <v>1279982.1397118133</v>
      </c>
      <c r="AV1376" s="2">
        <f t="shared" ca="1" si="1348"/>
        <v>2336614.7815144369</v>
      </c>
      <c r="AW1376" s="2">
        <f t="shared" ca="1" si="1349"/>
        <v>2652848.8860054351</v>
      </c>
      <c r="AX1376" s="2">
        <f t="shared" ca="1" si="1350"/>
        <v>2947980.1713406947</v>
      </c>
      <c r="AY1376" s="2">
        <f t="shared" ca="1" si="1351"/>
        <v>3263244.6077257283</v>
      </c>
      <c r="AZ1376" s="2">
        <f t="shared" ca="1" si="1352"/>
        <v>3600015.6306156507</v>
      </c>
      <c r="BA1376" s="2">
        <f t="shared" ca="1" si="1353"/>
        <v>65561941.2053876</v>
      </c>
      <c r="BB1376" s="2">
        <f t="shared" ca="1" si="1354"/>
        <v>1311238.8241077519</v>
      </c>
      <c r="BC1376" s="2">
        <f t="shared" ca="1" si="1355"/>
        <v>39123492.417718396</v>
      </c>
      <c r="BD1376" s="2">
        <f t="shared" ca="1" si="1356"/>
        <v>-18298440.390856028</v>
      </c>
      <c r="BE1376" s="2">
        <f t="shared" ca="1" si="1357"/>
        <v>2336614.7815144369</v>
      </c>
      <c r="BF1376" s="2">
        <f t="shared" ca="1" si="1358"/>
        <v>2652848.8860054351</v>
      </c>
      <c r="BG1376" s="2">
        <f t="shared" ca="1" si="1359"/>
        <v>2947980.1713406947</v>
      </c>
      <c r="BH1376" s="2">
        <f t="shared" ca="1" si="1360"/>
        <v>3263244.6077257283</v>
      </c>
      <c r="BI1376" s="2">
        <f t="shared" ca="1" si="1361"/>
        <v>42723508.048334047</v>
      </c>
      <c r="BJ1376" s="2">
        <f t="shared" ca="1" si="1362"/>
        <v>0.28340913754240016</v>
      </c>
      <c r="BK1376" s="2">
        <f t="shared" ca="1" si="1363"/>
        <v>14317288.533423431</v>
      </c>
    </row>
    <row r="1377" spans="1:63" x14ac:dyDescent="0.3">
      <c r="A1377" s="2">
        <v>1376</v>
      </c>
      <c r="B1377" s="2">
        <f t="shared" ca="1" si="1302"/>
        <v>0.45086958497158491</v>
      </c>
      <c r="C1377" s="2">
        <f t="shared" ca="1" si="1303"/>
        <v>6.9495994786978192</v>
      </c>
      <c r="D1377" s="2">
        <f t="shared" ca="1" si="1304"/>
        <v>0.91860774855719396</v>
      </c>
      <c r="E1377" s="2">
        <f t="shared" ca="1" si="1305"/>
        <v>8.0965343845064215</v>
      </c>
      <c r="F1377" s="2">
        <f t="shared" ca="1" si="1306"/>
        <v>0.8674645055019462</v>
      </c>
      <c r="G1377" s="2">
        <f t="shared" ca="1" si="1307"/>
        <v>7.3434563083069615E-2</v>
      </c>
      <c r="H1377" s="2">
        <f t="shared" ca="1" si="1308"/>
        <v>7.3434563083069615E-2</v>
      </c>
      <c r="I1377" s="2">
        <f t="shared" ca="1" si="1309"/>
        <v>0.94781025952537024</v>
      </c>
      <c r="J1377" s="2">
        <f t="shared" ca="1" si="1310"/>
        <v>1.8119913965482008E-2</v>
      </c>
      <c r="K1377" s="2">
        <f t="shared" ca="1" si="1311"/>
        <v>1.8119913965482008E-2</v>
      </c>
      <c r="L1377" s="2">
        <f t="shared" ca="1" si="1312"/>
        <v>0.9140744951558003</v>
      </c>
      <c r="M1377" s="2">
        <f t="shared" ca="1" si="1313"/>
        <v>2.7325605500457036E-2</v>
      </c>
      <c r="N1377" s="2">
        <f t="shared" ca="1" si="1314"/>
        <v>2.7325605500457036E-2</v>
      </c>
      <c r="O1377" s="2">
        <f t="shared" si="1315"/>
        <v>6000000</v>
      </c>
      <c r="P1377" s="2">
        <f t="shared" ca="1" si="1316"/>
        <v>41697596.872186914</v>
      </c>
      <c r="Q1377" s="2">
        <f t="shared" ca="1" si="1317"/>
        <v>1042439.9218046729</v>
      </c>
      <c r="R1377" s="2">
        <f t="shared" ca="1" si="1318"/>
        <v>25018558.123312149</v>
      </c>
      <c r="S1377" s="2">
        <f t="shared" ca="1" si="1319"/>
        <v>16679038.748874767</v>
      </c>
      <c r="T1377" s="2">
        <f t="shared" ca="1" si="1320"/>
        <v>51366280.275022849</v>
      </c>
      <c r="U1377" s="2">
        <f t="shared" ca="1" si="1321"/>
        <v>55138340.624221653</v>
      </c>
      <c r="V1377" s="2">
        <f t="shared" ca="1" si="1322"/>
        <v>59187400.577086844</v>
      </c>
      <c r="W1377" s="2">
        <f t="shared" ca="1" si="1323"/>
        <v>63533801.478487842</v>
      </c>
      <c r="X1377" s="2">
        <f t="shared" ca="1" si="1324"/>
        <v>68199378.431067079</v>
      </c>
      <c r="Y1377" s="2">
        <f t="shared" ca="1" si="1325"/>
        <v>0.129059956982741</v>
      </c>
      <c r="Z1377" s="2">
        <f t="shared" ca="1" si="1326"/>
        <v>0.1326839397758374</v>
      </c>
      <c r="AA1377" s="2">
        <f t="shared" ca="1" si="1327"/>
        <v>6629329.922657867</v>
      </c>
      <c r="AB1377" s="2">
        <f t="shared" ca="1" si="1328"/>
        <v>7315972.266723834</v>
      </c>
      <c r="AC1377" s="2">
        <f t="shared" ca="1" si="1329"/>
        <v>7853217.4936585538</v>
      </c>
      <c r="AD1377" s="2">
        <f t="shared" ca="1" si="1330"/>
        <v>8429915.0891016889</v>
      </c>
      <c r="AE1377" s="2">
        <f t="shared" ca="1" si="1331"/>
        <v>9048962.2204972487</v>
      </c>
      <c r="AF1377" s="2">
        <f t="shared" ca="1" si="1332"/>
        <v>1027325.605500457</v>
      </c>
      <c r="AG1377" s="2">
        <f t="shared" ca="1" si="1333"/>
        <v>1102766.8124844332</v>
      </c>
      <c r="AH1377" s="2">
        <f t="shared" ca="1" si="1334"/>
        <v>1183748.011541737</v>
      </c>
      <c r="AI1377" s="2">
        <f t="shared" ca="1" si="1335"/>
        <v>1270676.0295697569</v>
      </c>
      <c r="AJ1377" s="2">
        <f t="shared" ca="1" si="1336"/>
        <v>1363987.5686213416</v>
      </c>
      <c r="AK1377" s="2">
        <f t="shared" ca="1" si="1337"/>
        <v>0</v>
      </c>
      <c r="AL1377" s="2">
        <f t="shared" ca="1" si="1338"/>
        <v>37720.603491988033</v>
      </c>
      <c r="AM1377" s="2">
        <f t="shared" ca="1" si="1339"/>
        <v>40490.59952865191</v>
      </c>
      <c r="AN1377" s="2">
        <f t="shared" ca="1" si="1340"/>
        <v>43464.009014009986</v>
      </c>
      <c r="AO1377" s="2">
        <f t="shared" ca="1" si="1341"/>
        <v>46655.769525792377</v>
      </c>
      <c r="AP1377" s="2">
        <f t="shared" ca="1" si="1342"/>
        <v>2251670.2310980936</v>
      </c>
      <c r="AQ1377" s="2">
        <f t="shared" ca="1" si="1343"/>
        <v>871086.86237542238</v>
      </c>
      <c r="AR1377" s="2">
        <f t="shared" ca="1" si="1344"/>
        <v>1029999.15801674</v>
      </c>
      <c r="AS1377" s="2">
        <f t="shared" ca="1" si="1345"/>
        <v>1148627.8052648681</v>
      </c>
      <c r="AT1377" s="2">
        <f t="shared" ca="1" si="1346"/>
        <v>1275967.8953927979</v>
      </c>
      <c r="AU1377" s="2">
        <f t="shared" ca="1" si="1347"/>
        <v>1412659.1494022319</v>
      </c>
      <c r="AV1377" s="2">
        <f t="shared" ca="1" si="1348"/>
        <v>2479247.2236838941</v>
      </c>
      <c r="AW1377" s="2">
        <f t="shared" ca="1" si="1349"/>
        <v>2893815.4616325791</v>
      </c>
      <c r="AX1377" s="2">
        <f t="shared" ca="1" si="1350"/>
        <v>3228680.8462252035</v>
      </c>
      <c r="AY1377" s="2">
        <f t="shared" ca="1" si="1351"/>
        <v>3588136.9240270299</v>
      </c>
      <c r="AZ1377" s="2">
        <f t="shared" ca="1" si="1352"/>
        <v>3973989.5018497896</v>
      </c>
      <c r="BA1377" s="2">
        <f t="shared" ca="1" si="1353"/>
        <v>73265233.762355551</v>
      </c>
      <c r="BB1377" s="2">
        <f t="shared" ca="1" si="1354"/>
        <v>1465304.6752471111</v>
      </c>
      <c r="BC1377" s="2">
        <f t="shared" ca="1" si="1355"/>
        <v>46781370.963796295</v>
      </c>
      <c r="BD1377" s="2">
        <f t="shared" ca="1" si="1356"/>
        <v>-18221478.670679439</v>
      </c>
      <c r="BE1377" s="2">
        <f t="shared" ca="1" si="1357"/>
        <v>2479247.2236838941</v>
      </c>
      <c r="BF1377" s="2">
        <f t="shared" ca="1" si="1358"/>
        <v>2893815.4616325791</v>
      </c>
      <c r="BG1377" s="2">
        <f t="shared" ca="1" si="1359"/>
        <v>3228680.8462252035</v>
      </c>
      <c r="BH1377" s="2">
        <f t="shared" ca="1" si="1360"/>
        <v>3588136.9240270299</v>
      </c>
      <c r="BI1377" s="2">
        <f t="shared" ca="1" si="1361"/>
        <v>50755360.465646088</v>
      </c>
      <c r="BJ1377" s="2">
        <f t="shared" ca="1" si="1362"/>
        <v>0.32989043031948984</v>
      </c>
      <c r="BK1377" s="2">
        <f t="shared" ca="1" si="1363"/>
        <v>19677458.626404759</v>
      </c>
    </row>
    <row r="1378" spans="1:63" x14ac:dyDescent="0.3">
      <c r="A1378" s="2">
        <v>1377</v>
      </c>
      <c r="B1378" s="2">
        <f t="shared" ca="1" si="1302"/>
        <v>0.38848052056536075</v>
      </c>
      <c r="C1378" s="2">
        <f t="shared" ca="1" si="1303"/>
        <v>6.8814539359097111</v>
      </c>
      <c r="D1378" s="2">
        <f t="shared" ca="1" si="1304"/>
        <v>0.21070081101240157</v>
      </c>
      <c r="E1378" s="2">
        <f t="shared" ca="1" si="1305"/>
        <v>7.1491545440223021</v>
      </c>
      <c r="F1378" s="2">
        <f t="shared" ca="1" si="1306"/>
        <v>0.2599409712821138</v>
      </c>
      <c r="G1378" s="2">
        <f t="shared" ca="1" si="1307"/>
        <v>2.0694178050504788E-2</v>
      </c>
      <c r="H1378" s="2">
        <f t="shared" ca="1" si="1308"/>
        <v>2.0694178050504788E-2</v>
      </c>
      <c r="I1378" s="2">
        <f t="shared" ca="1" si="1309"/>
        <v>4.0890008588805427E-2</v>
      </c>
      <c r="J1378" s="2">
        <f t="shared" ca="1" si="1310"/>
        <v>1.2977495655290376E-3</v>
      </c>
      <c r="K1378" s="2">
        <f t="shared" ca="1" si="1311"/>
        <v>1.2977495655290376E-3</v>
      </c>
      <c r="L1378" s="2">
        <f t="shared" ca="1" si="1312"/>
        <v>0.22404523821686884</v>
      </c>
      <c r="M1378" s="2">
        <f t="shared" ca="1" si="1313"/>
        <v>-1.5172046668078538E-2</v>
      </c>
      <c r="N1378" s="2">
        <f t="shared" ca="1" si="1314"/>
        <v>-1.5172046668078538E-2</v>
      </c>
      <c r="O1378" s="2">
        <f t="shared" si="1315"/>
        <v>6000000</v>
      </c>
      <c r="P1378" s="2">
        <f t="shared" ca="1" si="1316"/>
        <v>41288723.615458265</v>
      </c>
      <c r="Q1378" s="2">
        <f t="shared" ca="1" si="1317"/>
        <v>1032218.0903864567</v>
      </c>
      <c r="R1378" s="2">
        <f t="shared" ca="1" si="1318"/>
        <v>24773234.16927496</v>
      </c>
      <c r="S1378" s="2">
        <f t="shared" ca="1" si="1319"/>
        <v>16515489.446183307</v>
      </c>
      <c r="T1378" s="2">
        <f t="shared" ca="1" si="1320"/>
        <v>49241397.66659607</v>
      </c>
      <c r="U1378" s="2">
        <f t="shared" ca="1" si="1321"/>
        <v>50260407.917364322</v>
      </c>
      <c r="V1378" s="2">
        <f t="shared" ca="1" si="1322"/>
        <v>51300505.747697257</v>
      </c>
      <c r="W1378" s="2">
        <f t="shared" ca="1" si="1323"/>
        <v>52362127.547721051</v>
      </c>
      <c r="X1378" s="2">
        <f t="shared" ca="1" si="1324"/>
        <v>53445718.738296829</v>
      </c>
      <c r="Y1378" s="2">
        <f t="shared" ca="1" si="1325"/>
        <v>0.12064887478276451</v>
      </c>
      <c r="Z1378" s="2">
        <f t="shared" ca="1" si="1326"/>
        <v>0.12090842469587032</v>
      </c>
      <c r="AA1378" s="2">
        <f t="shared" ca="1" si="1327"/>
        <v>5940919.2212054618</v>
      </c>
      <c r="AB1378" s="2">
        <f t="shared" ca="1" si="1328"/>
        <v>6076906.7458603689</v>
      </c>
      <c r="AC1378" s="2">
        <f t="shared" ca="1" si="1329"/>
        <v>6202663.3360555163</v>
      </c>
      <c r="AD1378" s="2">
        <f t="shared" ca="1" si="1330"/>
        <v>6331022.3555191876</v>
      </c>
      <c r="AE1378" s="2">
        <f t="shared" ca="1" si="1331"/>
        <v>6462037.6593860276</v>
      </c>
      <c r="AF1378" s="2">
        <f t="shared" ca="1" si="1332"/>
        <v>984827.95333192137</v>
      </c>
      <c r="AG1378" s="2">
        <f t="shared" ca="1" si="1333"/>
        <v>1005208.1583472864</v>
      </c>
      <c r="AH1378" s="2">
        <f t="shared" ca="1" si="1334"/>
        <v>1026010.1149539452</v>
      </c>
      <c r="AI1378" s="2">
        <f t="shared" ca="1" si="1335"/>
        <v>1047242.5509544211</v>
      </c>
      <c r="AJ1378" s="2">
        <f t="shared" ca="1" si="1336"/>
        <v>1068914.3747659365</v>
      </c>
      <c r="AK1378" s="2">
        <f t="shared" ca="1" si="1337"/>
        <v>0</v>
      </c>
      <c r="AL1378" s="2">
        <f t="shared" ca="1" si="1338"/>
        <v>10190.102507682517</v>
      </c>
      <c r="AM1378" s="2">
        <f t="shared" ca="1" si="1339"/>
        <v>10400.978303329348</v>
      </c>
      <c r="AN1378" s="2">
        <f t="shared" ca="1" si="1340"/>
        <v>10616.218000237943</v>
      </c>
      <c r="AO1378" s="2">
        <f t="shared" ca="1" si="1341"/>
        <v>10835.911905757785</v>
      </c>
      <c r="AP1378" s="2">
        <f t="shared" ca="1" si="1342"/>
        <v>2229591.0752347461</v>
      </c>
      <c r="AQ1378" s="2">
        <f t="shared" ca="1" si="1343"/>
        <v>708890.05008608662</v>
      </c>
      <c r="AR1378" s="2">
        <f t="shared" ca="1" si="1344"/>
        <v>738947.95319236757</v>
      </c>
      <c r="AS1378" s="2">
        <f t="shared" ca="1" si="1345"/>
        <v>766236.15792537446</v>
      </c>
      <c r="AT1378" s="2">
        <f t="shared" ca="1" si="1346"/>
        <v>794089.06962580536</v>
      </c>
      <c r="AU1378" s="2">
        <f t="shared" ca="1" si="1347"/>
        <v>822518.3744401898</v>
      </c>
      <c r="AV1378" s="2">
        <f t="shared" ca="1" si="1348"/>
        <v>2017610.1425527078</v>
      </c>
      <c r="AW1378" s="2">
        <f t="shared" ca="1" si="1349"/>
        <v>2092969.4565782868</v>
      </c>
      <c r="AX1378" s="2">
        <f t="shared" ca="1" si="1350"/>
        <v>2170425.0096381209</v>
      </c>
      <c r="AY1378" s="2">
        <f t="shared" ca="1" si="1351"/>
        <v>2249483.4417039775</v>
      </c>
      <c r="AZ1378" s="2">
        <f t="shared" ca="1" si="1352"/>
        <v>2330177.9230393977</v>
      </c>
      <c r="BA1378" s="2">
        <f t="shared" ca="1" si="1353"/>
        <v>46198105.896242857</v>
      </c>
      <c r="BB1378" s="2">
        <f t="shared" ca="1" si="1354"/>
        <v>923962.11792485719</v>
      </c>
      <c r="BC1378" s="2">
        <f t="shared" ca="1" si="1355"/>
        <v>20500909.609043039</v>
      </c>
      <c r="BD1378" s="2">
        <f t="shared" ca="1" si="1356"/>
        <v>-18047707.536569763</v>
      </c>
      <c r="BE1378" s="2">
        <f t="shared" ca="1" si="1357"/>
        <v>2017610.1425527078</v>
      </c>
      <c r="BF1378" s="2">
        <f t="shared" ca="1" si="1358"/>
        <v>2092969.4565782868</v>
      </c>
      <c r="BG1378" s="2">
        <f t="shared" ca="1" si="1359"/>
        <v>2170425.0096381209</v>
      </c>
      <c r="BH1378" s="2">
        <f t="shared" ca="1" si="1360"/>
        <v>2249483.4417039775</v>
      </c>
      <c r="BI1378" s="2">
        <f t="shared" ca="1" si="1361"/>
        <v>22831087.532082438</v>
      </c>
      <c r="BJ1378" s="2">
        <f t="shared" ca="1" si="1362"/>
        <v>0.13980289939262835</v>
      </c>
      <c r="BK1378" s="2">
        <f t="shared" ca="1" si="1363"/>
        <v>1351657.7838564292</v>
      </c>
    </row>
    <row r="1379" spans="1:63" x14ac:dyDescent="0.3">
      <c r="A1379" s="2">
        <v>1378</v>
      </c>
      <c r="B1379" s="2">
        <f t="shared" ca="1" si="1302"/>
        <v>0.64199538889037955</v>
      </c>
      <c r="C1379" s="2">
        <f t="shared" ca="1" si="1303"/>
        <v>7.1538267185621844</v>
      </c>
      <c r="D1379" s="2">
        <f t="shared" ca="1" si="1304"/>
        <v>0.73150797820536195</v>
      </c>
      <c r="E1379" s="2">
        <f t="shared" ca="1" si="1305"/>
        <v>7.7672080489052329</v>
      </c>
      <c r="F1379" s="2">
        <f t="shared" ca="1" si="1306"/>
        <v>0.32806223735235551</v>
      </c>
      <c r="G1379" s="2">
        <f t="shared" ca="1" si="1307"/>
        <v>2.6641892921631525E-2</v>
      </c>
      <c r="H1379" s="2">
        <f t="shared" ca="1" si="1308"/>
        <v>2.6641892921631525E-2</v>
      </c>
      <c r="I1379" s="2">
        <f t="shared" ca="1" si="1309"/>
        <v>0.69308118366259985</v>
      </c>
      <c r="J1379" s="2">
        <f t="shared" ca="1" si="1310"/>
        <v>1.2523015495769254E-2</v>
      </c>
      <c r="K1379" s="2">
        <f t="shared" ca="1" si="1311"/>
        <v>1.2523015495769254E-2</v>
      </c>
      <c r="L1379" s="2">
        <f t="shared" ca="1" si="1312"/>
        <v>0.56678340664848914</v>
      </c>
      <c r="M1379" s="2">
        <f t="shared" ca="1" si="1313"/>
        <v>3.3638157884820813E-3</v>
      </c>
      <c r="N1379" s="2">
        <f t="shared" ca="1" si="1314"/>
        <v>3.3638157884820813E-3</v>
      </c>
      <c r="O1379" s="2">
        <f t="shared" si="1315"/>
        <v>6000000</v>
      </c>
      <c r="P1379" s="2">
        <f t="shared" ca="1" si="1316"/>
        <v>42922960.311373107</v>
      </c>
      <c r="Q1379" s="2">
        <f t="shared" ca="1" si="1317"/>
        <v>1073074.0077843277</v>
      </c>
      <c r="R1379" s="2">
        <f t="shared" ca="1" si="1318"/>
        <v>25753776.186823864</v>
      </c>
      <c r="S1379" s="2">
        <f t="shared" ca="1" si="1319"/>
        <v>17169184.124549244</v>
      </c>
      <c r="T1379" s="2">
        <f t="shared" ca="1" si="1320"/>
        <v>50168190.789424106</v>
      </c>
      <c r="U1379" s="2">
        <f t="shared" ca="1" si="1321"/>
        <v>51504766.35650792</v>
      </c>
      <c r="V1379" s="2">
        <f t="shared" ca="1" si="1322"/>
        <v>52876950.826731652</v>
      </c>
      <c r="W1379" s="2">
        <f t="shared" ca="1" si="1323"/>
        <v>54285692.88867981</v>
      </c>
      <c r="X1379" s="2">
        <f t="shared" ca="1" si="1324"/>
        <v>55731966.505796589</v>
      </c>
      <c r="Y1379" s="2">
        <f t="shared" ca="1" si="1325"/>
        <v>0.12626150774788461</v>
      </c>
      <c r="Z1379" s="2">
        <f t="shared" ca="1" si="1326"/>
        <v>0.12876611084703848</v>
      </c>
      <c r="AA1379" s="2">
        <f t="shared" ca="1" si="1327"/>
        <v>6334311.410056225</v>
      </c>
      <c r="AB1379" s="2">
        <f t="shared" ca="1" si="1328"/>
        <v>6632068.4538129168</v>
      </c>
      <c r="AC1379" s="2">
        <f t="shared" ca="1" si="1329"/>
        <v>6808759.3114083307</v>
      </c>
      <c r="AD1379" s="2">
        <f t="shared" ca="1" si="1330"/>
        <v>6990157.5479120333</v>
      </c>
      <c r="AE1379" s="2">
        <f t="shared" ca="1" si="1331"/>
        <v>7176388.57680884</v>
      </c>
      <c r="AF1379" s="2">
        <f t="shared" ca="1" si="1332"/>
        <v>1003363.8157884822</v>
      </c>
      <c r="AG1379" s="2">
        <f t="shared" ca="1" si="1333"/>
        <v>1030095.3271301584</v>
      </c>
      <c r="AH1379" s="2">
        <f t="shared" ca="1" si="1334"/>
        <v>1057539.016534633</v>
      </c>
      <c r="AI1379" s="2">
        <f t="shared" ca="1" si="1335"/>
        <v>1085713.8577735962</v>
      </c>
      <c r="AJ1379" s="2">
        <f t="shared" ca="1" si="1336"/>
        <v>1114639.3301159318</v>
      </c>
      <c r="AK1379" s="2">
        <f t="shared" ca="1" si="1337"/>
        <v>0</v>
      </c>
      <c r="AL1379" s="2">
        <f t="shared" ca="1" si="1338"/>
        <v>13365.755670838133</v>
      </c>
      <c r="AM1379" s="2">
        <f t="shared" ca="1" si="1339"/>
        <v>13721.844702237324</v>
      </c>
      <c r="AN1379" s="2">
        <f t="shared" ca="1" si="1340"/>
        <v>14087.420619481578</v>
      </c>
      <c r="AO1379" s="2">
        <f t="shared" ca="1" si="1341"/>
        <v>14462.736171167791</v>
      </c>
      <c r="AP1379" s="2">
        <f t="shared" ca="1" si="1342"/>
        <v>2317839.8568141474</v>
      </c>
      <c r="AQ1379" s="2">
        <f t="shared" ca="1" si="1343"/>
        <v>783408.01173793478</v>
      </c>
      <c r="AR1379" s="2">
        <f t="shared" ca="1" si="1344"/>
        <v>853874.65016583889</v>
      </c>
      <c r="AS1379" s="2">
        <f t="shared" ca="1" si="1345"/>
        <v>892678.91389548313</v>
      </c>
      <c r="AT1379" s="2">
        <f t="shared" ca="1" si="1346"/>
        <v>932516.99666431523</v>
      </c>
      <c r="AU1379" s="2">
        <f t="shared" ca="1" si="1347"/>
        <v>973416.44136847777</v>
      </c>
      <c r="AV1379" s="2">
        <f t="shared" ca="1" si="1348"/>
        <v>2229699.72571566</v>
      </c>
      <c r="AW1379" s="2">
        <f t="shared" ca="1" si="1349"/>
        <v>2416892.8640319337</v>
      </c>
      <c r="AX1379" s="2">
        <f t="shared" ca="1" si="1350"/>
        <v>2526979.6794618298</v>
      </c>
      <c r="AY1379" s="2">
        <f t="shared" ca="1" si="1351"/>
        <v>2639999.4160404927</v>
      </c>
      <c r="AZ1379" s="2">
        <f t="shared" ca="1" si="1352"/>
        <v>2756030.2123391158</v>
      </c>
      <c r="BA1379" s="2">
        <f t="shared" ca="1" si="1353"/>
        <v>55740503.115861192</v>
      </c>
      <c r="BB1379" s="2">
        <f t="shared" ca="1" si="1354"/>
        <v>1114810.0623172238</v>
      </c>
      <c r="BC1379" s="2">
        <f t="shared" ca="1" si="1355"/>
        <v>28871916.866720106</v>
      </c>
      <c r="BD1379" s="2">
        <f t="shared" ca="1" si="1356"/>
        <v>-18742258.132333573</v>
      </c>
      <c r="BE1379" s="2">
        <f t="shared" ca="1" si="1357"/>
        <v>2229699.72571566</v>
      </c>
      <c r="BF1379" s="2">
        <f t="shared" ca="1" si="1358"/>
        <v>2416892.8640319337</v>
      </c>
      <c r="BG1379" s="2">
        <f t="shared" ca="1" si="1359"/>
        <v>2526979.6794618298</v>
      </c>
      <c r="BH1379" s="2">
        <f t="shared" ca="1" si="1360"/>
        <v>2639999.4160404927</v>
      </c>
      <c r="BI1379" s="2">
        <f t="shared" ca="1" si="1361"/>
        <v>31627947.079059221</v>
      </c>
      <c r="BJ1379" s="2">
        <f t="shared" ca="1" si="1362"/>
        <v>0.2037173368342835</v>
      </c>
      <c r="BK1379" s="2">
        <f t="shared" ca="1" si="1363"/>
        <v>6598245.5303448252</v>
      </c>
    </row>
    <row r="1380" spans="1:63" x14ac:dyDescent="0.3">
      <c r="A1380" s="2">
        <v>1379</v>
      </c>
      <c r="B1380" s="2">
        <f t="shared" ca="1" si="1302"/>
        <v>0.81136190693809196</v>
      </c>
      <c r="C1380" s="2">
        <f t="shared" ca="1" si="1303"/>
        <v>7.3857718777817025</v>
      </c>
      <c r="D1380" s="2">
        <f t="shared" ca="1" si="1304"/>
        <v>0.11631243030956662</v>
      </c>
      <c r="E1380" s="2">
        <f t="shared" ca="1" si="1305"/>
        <v>6.9823119951018562</v>
      </c>
      <c r="F1380" s="2">
        <f t="shared" ca="1" si="1306"/>
        <v>0.26549247089783801</v>
      </c>
      <c r="G1380" s="2">
        <f t="shared" ca="1" si="1307"/>
        <v>2.1204904144600661E-2</v>
      </c>
      <c r="H1380" s="2">
        <f t="shared" ca="1" si="1308"/>
        <v>2.1204904144600661E-2</v>
      </c>
      <c r="I1380" s="2">
        <f t="shared" ca="1" si="1309"/>
        <v>3.0365916210909449E-2</v>
      </c>
      <c r="J1380" s="2">
        <f t="shared" ca="1" si="1310"/>
        <v>6.2278602669731987E-4</v>
      </c>
      <c r="K1380" s="2">
        <f t="shared" ca="1" si="1311"/>
        <v>6.2278602669731987E-4</v>
      </c>
      <c r="L1380" s="2">
        <f t="shared" ca="1" si="1312"/>
        <v>0.19193756303118492</v>
      </c>
      <c r="M1380" s="2">
        <f t="shared" ca="1" si="1313"/>
        <v>-1.741556929141088E-2</v>
      </c>
      <c r="N1380" s="2">
        <f t="shared" ca="1" si="1314"/>
        <v>-1.741556929141088E-2</v>
      </c>
      <c r="O1380" s="2">
        <f t="shared" si="1315"/>
        <v>6000000</v>
      </c>
      <c r="P1380" s="2">
        <f t="shared" ca="1" si="1316"/>
        <v>44314631.266690217</v>
      </c>
      <c r="Q1380" s="2">
        <f t="shared" ca="1" si="1317"/>
        <v>1107865.7816672556</v>
      </c>
      <c r="R1380" s="2">
        <f t="shared" ca="1" si="1318"/>
        <v>26588778.760014128</v>
      </c>
      <c r="S1380" s="2">
        <f t="shared" ca="1" si="1319"/>
        <v>17725852.506676089</v>
      </c>
      <c r="T1380" s="2">
        <f t="shared" ca="1" si="1320"/>
        <v>49129221.535429455</v>
      </c>
      <c r="U1380" s="2">
        <f t="shared" ca="1" si="1321"/>
        <v>50171001.968787089</v>
      </c>
      <c r="V1380" s="2">
        <f t="shared" ca="1" si="1322"/>
        <v>51234873.256373793</v>
      </c>
      <c r="W1380" s="2">
        <f t="shared" ca="1" si="1323"/>
        <v>52321303.832635969</v>
      </c>
      <c r="X1380" s="2">
        <f t="shared" ca="1" si="1324"/>
        <v>53430772.065127544</v>
      </c>
      <c r="Y1380" s="2">
        <f t="shared" ca="1" si="1325"/>
        <v>0.12031139301334866</v>
      </c>
      <c r="Z1380" s="2">
        <f t="shared" ca="1" si="1326"/>
        <v>0.12043595021868812</v>
      </c>
      <c r="AA1380" s="2">
        <f t="shared" ca="1" si="1327"/>
        <v>5910805.0805889256</v>
      </c>
      <c r="AB1380" s="2">
        <f t="shared" ca="1" si="1328"/>
        <v>6042392.2955345456</v>
      </c>
      <c r="AC1380" s="2">
        <f t="shared" ca="1" si="1329"/>
        <v>6170520.6449654298</v>
      </c>
      <c r="AD1380" s="2">
        <f t="shared" ca="1" si="1330"/>
        <v>6301365.9437642014</v>
      </c>
      <c r="AE1380" s="2">
        <f t="shared" ca="1" si="1331"/>
        <v>6434985.8045817725</v>
      </c>
      <c r="AF1380" s="2">
        <f t="shared" ca="1" si="1332"/>
        <v>982584.43070858915</v>
      </c>
      <c r="AG1380" s="2">
        <f t="shared" ca="1" si="1333"/>
        <v>1003420.0393757418</v>
      </c>
      <c r="AH1380" s="2">
        <f t="shared" ca="1" si="1334"/>
        <v>1024697.4651274759</v>
      </c>
      <c r="AI1380" s="2">
        <f t="shared" ca="1" si="1335"/>
        <v>1046426.0766527194</v>
      </c>
      <c r="AJ1380" s="2">
        <f t="shared" ca="1" si="1336"/>
        <v>1068615.441302551</v>
      </c>
      <c r="AK1380" s="2">
        <f t="shared" ca="1" si="1337"/>
        <v>0</v>
      </c>
      <c r="AL1380" s="2">
        <f t="shared" ca="1" si="1338"/>
        <v>10417.804333576336</v>
      </c>
      <c r="AM1380" s="2">
        <f t="shared" ca="1" si="1339"/>
        <v>10638.712875867039</v>
      </c>
      <c r="AN1380" s="2">
        <f t="shared" ca="1" si="1340"/>
        <v>10864.305762621761</v>
      </c>
      <c r="AO1380" s="2">
        <f t="shared" ca="1" si="1341"/>
        <v>11094.682324915751</v>
      </c>
      <c r="AP1380" s="2">
        <f t="shared" ca="1" si="1342"/>
        <v>2392990.0884012715</v>
      </c>
      <c r="AQ1380" s="2">
        <f t="shared" ca="1" si="1343"/>
        <v>659159.94598455692</v>
      </c>
      <c r="AR1380" s="2">
        <f t="shared" ca="1" si="1344"/>
        <v>687955.36361695838</v>
      </c>
      <c r="AS1380" s="2">
        <f t="shared" ca="1" si="1345"/>
        <v>715736.60377353756</v>
      </c>
      <c r="AT1380" s="2">
        <f t="shared" ca="1" si="1346"/>
        <v>744106.94246465468</v>
      </c>
      <c r="AU1380" s="2">
        <f t="shared" ca="1" si="1347"/>
        <v>773078.87146826705</v>
      </c>
      <c r="AV1380" s="2">
        <f t="shared" ca="1" si="1348"/>
        <v>1876070.6154945078</v>
      </c>
      <c r="AW1380" s="2">
        <f t="shared" ca="1" si="1349"/>
        <v>1947608.9998069978</v>
      </c>
      <c r="AX1380" s="2">
        <f t="shared" ca="1" si="1350"/>
        <v>2026457.7747872784</v>
      </c>
      <c r="AY1380" s="2">
        <f t="shared" ca="1" si="1351"/>
        <v>2106978.5304829343</v>
      </c>
      <c r="AZ1380" s="2">
        <f t="shared" ca="1" si="1352"/>
        <v>2189206.7210847666</v>
      </c>
      <c r="BA1380" s="2">
        <f t="shared" ca="1" si="1353"/>
        <v>44931078.571641482</v>
      </c>
      <c r="BB1380" s="2">
        <f t="shared" ca="1" si="1354"/>
        <v>898621.57143282972</v>
      </c>
      <c r="BC1380" s="2">
        <f t="shared" ca="1" si="1355"/>
        <v>17443678.240194526</v>
      </c>
      <c r="BD1380" s="2">
        <f t="shared" ca="1" si="1356"/>
        <v>-19333718.288343344</v>
      </c>
      <c r="BE1380" s="2">
        <f t="shared" ca="1" si="1357"/>
        <v>1876070.6154945078</v>
      </c>
      <c r="BF1380" s="2">
        <f t="shared" ca="1" si="1358"/>
        <v>1947608.9998069978</v>
      </c>
      <c r="BG1380" s="2">
        <f t="shared" ca="1" si="1359"/>
        <v>2026457.7747872784</v>
      </c>
      <c r="BH1380" s="2">
        <f t="shared" ca="1" si="1360"/>
        <v>2106978.5304829343</v>
      </c>
      <c r="BI1380" s="2">
        <f t="shared" ca="1" si="1361"/>
        <v>19632884.961279292</v>
      </c>
      <c r="BJ1380" s="2">
        <f t="shared" ca="1" si="1362"/>
        <v>8.7874208883810034E-2</v>
      </c>
      <c r="BK1380" s="2">
        <f t="shared" ca="1" si="1363"/>
        <v>-2184391.5219673403</v>
      </c>
    </row>
    <row r="1381" spans="1:63" x14ac:dyDescent="0.3">
      <c r="A1381" s="2">
        <v>1380</v>
      </c>
      <c r="B1381" s="2">
        <f t="shared" ca="1" si="1302"/>
        <v>0.78223991537730708</v>
      </c>
      <c r="C1381" s="2">
        <f t="shared" ca="1" si="1303"/>
        <v>7.3400604806155449</v>
      </c>
      <c r="D1381" s="2">
        <f t="shared" ca="1" si="1304"/>
        <v>0.4357762302394933</v>
      </c>
      <c r="E1381" s="2">
        <f t="shared" ca="1" si="1305"/>
        <v>7.4335697405544945</v>
      </c>
      <c r="F1381" s="2">
        <f t="shared" ca="1" si="1306"/>
        <v>0.84559908439671494</v>
      </c>
      <c r="G1381" s="2">
        <f t="shared" ca="1" si="1307"/>
        <v>7.0532181155011184E-2</v>
      </c>
      <c r="H1381" s="2">
        <f t="shared" ca="1" si="1308"/>
        <v>7.0532181155011184E-2</v>
      </c>
      <c r="I1381" s="2">
        <f t="shared" ca="1" si="1309"/>
        <v>0.41693656947844404</v>
      </c>
      <c r="J1381" s="2">
        <f t="shared" ca="1" si="1310"/>
        <v>8.9513162365236192E-3</v>
      </c>
      <c r="K1381" s="2">
        <f t="shared" ca="1" si="1311"/>
        <v>8.9513162365236192E-3</v>
      </c>
      <c r="L1381" s="2">
        <f t="shared" ca="1" si="1312"/>
        <v>0.32970027104997057</v>
      </c>
      <c r="M1381" s="2">
        <f t="shared" ca="1" si="1313"/>
        <v>-8.8148191396892981E-3</v>
      </c>
      <c r="N1381" s="2">
        <f t="shared" ca="1" si="1314"/>
        <v>-8.8148191396892981E-3</v>
      </c>
      <c r="O1381" s="2">
        <f t="shared" si="1315"/>
        <v>6000000</v>
      </c>
      <c r="P1381" s="2">
        <f t="shared" ca="1" si="1316"/>
        <v>44040362.88369327</v>
      </c>
      <c r="Q1381" s="2">
        <f t="shared" ca="1" si="1317"/>
        <v>1101009.0720923317</v>
      </c>
      <c r="R1381" s="2">
        <f t="shared" ca="1" si="1318"/>
        <v>26424217.730215963</v>
      </c>
      <c r="S1381" s="2">
        <f t="shared" ca="1" si="1319"/>
        <v>17616145.153477307</v>
      </c>
      <c r="T1381" s="2">
        <f t="shared" ca="1" si="1320"/>
        <v>49559259.043015532</v>
      </c>
      <c r="U1381" s="2">
        <f t="shared" ca="1" si="1321"/>
        <v>53054781.679745637</v>
      </c>
      <c r="V1381" s="2">
        <f t="shared" ca="1" si="1322"/>
        <v>56796851.152321026</v>
      </c>
      <c r="W1381" s="2">
        <f t="shared" ca="1" si="1323"/>
        <v>60802856.946830742</v>
      </c>
      <c r="X1381" s="2">
        <f t="shared" ca="1" si="1324"/>
        <v>65091415.06774684</v>
      </c>
      <c r="Y1381" s="2">
        <f t="shared" ca="1" si="1325"/>
        <v>0.12447565811826181</v>
      </c>
      <c r="Z1381" s="2">
        <f t="shared" ca="1" si="1326"/>
        <v>0.12626592136556652</v>
      </c>
      <c r="AA1381" s="2">
        <f t="shared" ca="1" si="1327"/>
        <v>6168921.3852327764</v>
      </c>
      <c r="AB1381" s="2">
        <f t="shared" ca="1" si="1328"/>
        <v>6699010.891642062</v>
      </c>
      <c r="AC1381" s="2">
        <f t="shared" ca="1" si="1329"/>
        <v>7171506.7414107528</v>
      </c>
      <c r="AD1381" s="2">
        <f t="shared" ca="1" si="1330"/>
        <v>7677328.7540503209</v>
      </c>
      <c r="AE1381" s="2">
        <f t="shared" ca="1" si="1331"/>
        <v>8218827.4965175744</v>
      </c>
      <c r="AF1381" s="2">
        <f t="shared" ca="1" si="1332"/>
        <v>991185.18086031068</v>
      </c>
      <c r="AG1381" s="2">
        <f t="shared" ca="1" si="1333"/>
        <v>1061095.6335949127</v>
      </c>
      <c r="AH1381" s="2">
        <f t="shared" ca="1" si="1334"/>
        <v>1135937.0230464207</v>
      </c>
      <c r="AI1381" s="2">
        <f t="shared" ca="1" si="1335"/>
        <v>1216057.1389366149</v>
      </c>
      <c r="AJ1381" s="2">
        <f t="shared" ca="1" si="1336"/>
        <v>1301828.3013549368</v>
      </c>
      <c r="AK1381" s="2">
        <f t="shared" ca="1" si="1337"/>
        <v>0</v>
      </c>
      <c r="AL1381" s="2">
        <f t="shared" ca="1" si="1338"/>
        <v>34955.226367301046</v>
      </c>
      <c r="AM1381" s="2">
        <f t="shared" ca="1" si="1339"/>
        <v>37420.694725753892</v>
      </c>
      <c r="AN1381" s="2">
        <f t="shared" ca="1" si="1340"/>
        <v>40060.057945097164</v>
      </c>
      <c r="AO1381" s="2">
        <f t="shared" ca="1" si="1341"/>
        <v>42885.581209160984</v>
      </c>
      <c r="AP1381" s="2">
        <f t="shared" ca="1" si="1342"/>
        <v>2378179.5957194366</v>
      </c>
      <c r="AQ1381" s="2">
        <f t="shared" ca="1" si="1343"/>
        <v>727884.71824978758</v>
      </c>
      <c r="AR1381" s="2">
        <f t="shared" ca="1" si="1344"/>
        <v>847531.2722052054</v>
      </c>
      <c r="AS1381" s="2">
        <f t="shared" ca="1" si="1345"/>
        <v>950921.43188767275</v>
      </c>
      <c r="AT1381" s="2">
        <f t="shared" ca="1" si="1346"/>
        <v>1061603.9250425103</v>
      </c>
      <c r="AU1381" s="2">
        <f t="shared" ca="1" si="1347"/>
        <v>1180093.0958552323</v>
      </c>
      <c r="AV1381" s="2">
        <f t="shared" ca="1" si="1348"/>
        <v>2071671.8904032414</v>
      </c>
      <c r="AW1381" s="2">
        <f t="shared" ca="1" si="1349"/>
        <v>2377249.1637552059</v>
      </c>
      <c r="AX1381" s="2">
        <f t="shared" ca="1" si="1350"/>
        <v>2669047.9960314683</v>
      </c>
      <c r="AY1381" s="2">
        <f t="shared" ca="1" si="1351"/>
        <v>2981428.0364066628</v>
      </c>
      <c r="AZ1381" s="2">
        <f t="shared" ca="1" si="1352"/>
        <v>3315840.9223788069</v>
      </c>
      <c r="BA1381" s="2">
        <f t="shared" ca="1" si="1353"/>
        <v>61095227.380950294</v>
      </c>
      <c r="BB1381" s="2">
        <f t="shared" ca="1" si="1354"/>
        <v>1221904.5476190059</v>
      </c>
      <c r="BC1381" s="2">
        <f t="shared" ca="1" si="1355"/>
        <v>33449105.103115328</v>
      </c>
      <c r="BD1381" s="2">
        <f t="shared" ca="1" si="1356"/>
        <v>-19217154.225569639</v>
      </c>
      <c r="BE1381" s="2">
        <f t="shared" ca="1" si="1357"/>
        <v>2071671.8904032414</v>
      </c>
      <c r="BF1381" s="2">
        <f t="shared" ca="1" si="1358"/>
        <v>2377249.1637552059</v>
      </c>
      <c r="BG1381" s="2">
        <f t="shared" ca="1" si="1359"/>
        <v>2669047.9960314683</v>
      </c>
      <c r="BH1381" s="2">
        <f t="shared" ca="1" si="1360"/>
        <v>2981428.0364066628</v>
      </c>
      <c r="BI1381" s="2">
        <f t="shared" ca="1" si="1361"/>
        <v>36764946.025494136</v>
      </c>
      <c r="BJ1381" s="2">
        <f t="shared" ca="1" si="1362"/>
        <v>0.22745534930612821</v>
      </c>
      <c r="BK1381" s="2">
        <f t="shared" ca="1" si="1363"/>
        <v>9183626.0827429518</v>
      </c>
    </row>
    <row r="1382" spans="1:63" x14ac:dyDescent="0.3">
      <c r="A1382" s="2">
        <v>1381</v>
      </c>
      <c r="B1382" s="2">
        <f t="shared" ca="1" si="1302"/>
        <v>0.78871129096187453</v>
      </c>
      <c r="C1382" s="2">
        <f t="shared" ca="1" si="1303"/>
        <v>7.3499404503614683</v>
      </c>
      <c r="D1382" s="2">
        <f t="shared" ca="1" si="1304"/>
        <v>0.17809499333066181</v>
      </c>
      <c r="E1382" s="2">
        <f t="shared" ca="1" si="1305"/>
        <v>7.0968165435553239</v>
      </c>
      <c r="F1382" s="2">
        <f t="shared" ca="1" si="1306"/>
        <v>0.57263751279917441</v>
      </c>
      <c r="G1382" s="2">
        <f t="shared" ca="1" si="1307"/>
        <v>4.5492792818853559E-2</v>
      </c>
      <c r="H1382" s="2">
        <f t="shared" ca="1" si="1308"/>
        <v>4.5492792818853559E-2</v>
      </c>
      <c r="I1382" s="2">
        <f t="shared" ca="1" si="1309"/>
        <v>0.31318611416140285</v>
      </c>
      <c r="J1382" s="2">
        <f t="shared" ca="1" si="1310"/>
        <v>7.5658035765591592E-3</v>
      </c>
      <c r="K1382" s="2">
        <f t="shared" ca="1" si="1311"/>
        <v>7.5658035765591592E-3</v>
      </c>
      <c r="L1382" s="2">
        <f t="shared" ca="1" si="1312"/>
        <v>0.13926942337224291</v>
      </c>
      <c r="M1382" s="2">
        <f t="shared" ca="1" si="1313"/>
        <v>-2.1672150779521157E-2</v>
      </c>
      <c r="N1382" s="2">
        <f t="shared" ca="1" si="1314"/>
        <v>-2.1672150779521157E-2</v>
      </c>
      <c r="O1382" s="2">
        <f t="shared" si="1315"/>
        <v>6000000</v>
      </c>
      <c r="P1382" s="2">
        <f t="shared" ca="1" si="1316"/>
        <v>44099642.702168807</v>
      </c>
      <c r="Q1382" s="2">
        <f t="shared" ca="1" si="1317"/>
        <v>1102491.0675542203</v>
      </c>
      <c r="R1382" s="2">
        <f t="shared" ca="1" si="1318"/>
        <v>26459785.621301282</v>
      </c>
      <c r="S1382" s="2">
        <f t="shared" ca="1" si="1319"/>
        <v>17639857.080867525</v>
      </c>
      <c r="T1382" s="2">
        <f t="shared" ca="1" si="1320"/>
        <v>48916392.461023942</v>
      </c>
      <c r="U1382" s="2">
        <f t="shared" ca="1" si="1321"/>
        <v>51141735.768699035</v>
      </c>
      <c r="V1382" s="2">
        <f t="shared" ca="1" si="1322"/>
        <v>53468316.15842101</v>
      </c>
      <c r="W1382" s="2">
        <f t="shared" ca="1" si="1323"/>
        <v>55900739.187789015</v>
      </c>
      <c r="X1382" s="2">
        <f t="shared" ca="1" si="1324"/>
        <v>58443819.934079871</v>
      </c>
      <c r="Y1382" s="2">
        <f t="shared" ca="1" si="1325"/>
        <v>0.12378290178827958</v>
      </c>
      <c r="Z1382" s="2">
        <f t="shared" ca="1" si="1326"/>
        <v>0.1252960625035914</v>
      </c>
      <c r="AA1382" s="2">
        <f t="shared" ca="1" si="1327"/>
        <v>6055013.0038398663</v>
      </c>
      <c r="AB1382" s="2">
        <f t="shared" ca="1" si="1328"/>
        <v>6407858.1214170707</v>
      </c>
      <c r="AC1382" s="2">
        <f t="shared" ca="1" si="1329"/>
        <v>6699369.4833473051</v>
      </c>
      <c r="AD1382" s="2">
        <f t="shared" ca="1" si="1330"/>
        <v>7004142.5112701738</v>
      </c>
      <c r="AE1382" s="2">
        <f t="shared" ca="1" si="1331"/>
        <v>7322780.5154091129</v>
      </c>
      <c r="AF1382" s="2">
        <f t="shared" ca="1" si="1332"/>
        <v>978327.84922047891</v>
      </c>
      <c r="AG1382" s="2">
        <f t="shared" ca="1" si="1333"/>
        <v>1022834.7153739807</v>
      </c>
      <c r="AH1382" s="2">
        <f t="shared" ca="1" si="1334"/>
        <v>1069366.3231684202</v>
      </c>
      <c r="AI1382" s="2">
        <f t="shared" ca="1" si="1335"/>
        <v>1118014.7837557804</v>
      </c>
      <c r="AJ1382" s="2">
        <f t="shared" ca="1" si="1336"/>
        <v>1168876.3986815976</v>
      </c>
      <c r="AK1382" s="2">
        <f t="shared" ca="1" si="1337"/>
        <v>0</v>
      </c>
      <c r="AL1382" s="2">
        <f t="shared" ca="1" si="1338"/>
        <v>22253.433076750935</v>
      </c>
      <c r="AM1382" s="2">
        <f t="shared" ca="1" si="1339"/>
        <v>23265.803897219746</v>
      </c>
      <c r="AN1382" s="2">
        <f t="shared" ca="1" si="1340"/>
        <v>24324.230293680059</v>
      </c>
      <c r="AO1382" s="2">
        <f t="shared" ca="1" si="1341"/>
        <v>25430.807462908553</v>
      </c>
      <c r="AP1382" s="2">
        <f t="shared" ca="1" si="1342"/>
        <v>2381380.7059171153</v>
      </c>
      <c r="AQ1382" s="2">
        <f t="shared" ca="1" si="1343"/>
        <v>700779.1566625908</v>
      </c>
      <c r="AR1382" s="2">
        <f t="shared" ca="1" si="1344"/>
        <v>780947.10203275341</v>
      </c>
      <c r="AS1382" s="2">
        <f t="shared" ca="1" si="1345"/>
        <v>844641.83810806007</v>
      </c>
      <c r="AT1382" s="2">
        <f t="shared" ca="1" si="1346"/>
        <v>911234.22561529244</v>
      </c>
      <c r="AU1382" s="2">
        <f t="shared" ca="1" si="1347"/>
        <v>980856.08681070397</v>
      </c>
      <c r="AV1382" s="2">
        <f t="shared" ca="1" si="1348"/>
        <v>1994525.2920396812</v>
      </c>
      <c r="AW1382" s="2">
        <f t="shared" ca="1" si="1349"/>
        <v>2200442.1650164705</v>
      </c>
      <c r="AX1382" s="2">
        <f t="shared" ca="1" si="1350"/>
        <v>2380714.8122564899</v>
      </c>
      <c r="AY1382" s="2">
        <f t="shared" ca="1" si="1351"/>
        <v>2569188.5656883055</v>
      </c>
      <c r="AZ1382" s="2">
        <f t="shared" ca="1" si="1352"/>
        <v>2766236.5165367872</v>
      </c>
      <c r="BA1382" s="2">
        <f t="shared" ca="1" si="1353"/>
        <v>51968429.906579971</v>
      </c>
      <c r="BB1382" s="2">
        <f t="shared" ca="1" si="1354"/>
        <v>1039368.5981315995</v>
      </c>
      <c r="BC1382" s="2">
        <f t="shared" ca="1" si="1355"/>
        <v>24469275.687147088</v>
      </c>
      <c r="BD1382" s="2">
        <f t="shared" ca="1" si="1356"/>
        <v>-19242348.148421746</v>
      </c>
      <c r="BE1382" s="2">
        <f t="shared" ca="1" si="1357"/>
        <v>1994525.2920396812</v>
      </c>
      <c r="BF1382" s="2">
        <f t="shared" ca="1" si="1358"/>
        <v>2200442.1650164705</v>
      </c>
      <c r="BG1382" s="2">
        <f t="shared" ca="1" si="1359"/>
        <v>2380714.8122564899</v>
      </c>
      <c r="BH1382" s="2">
        <f t="shared" ca="1" si="1360"/>
        <v>2569188.5656883055</v>
      </c>
      <c r="BI1382" s="2">
        <f t="shared" ca="1" si="1361"/>
        <v>27235512.203683876</v>
      </c>
      <c r="BJ1382" s="2">
        <f t="shared" ca="1" si="1362"/>
        <v>0.16034363544342578</v>
      </c>
      <c r="BK1382" s="2">
        <f t="shared" ca="1" si="1363"/>
        <v>3074129.6400301121</v>
      </c>
    </row>
    <row r="1383" spans="1:63" x14ac:dyDescent="0.3">
      <c r="A1383" s="2">
        <v>1382</v>
      </c>
      <c r="B1383" s="2">
        <f t="shared" ca="1" si="1302"/>
        <v>0.72728636954194348</v>
      </c>
      <c r="C1383" s="2">
        <f t="shared" ca="1" si="1303"/>
        <v>7.2614695260748459</v>
      </c>
      <c r="D1383" s="2">
        <f t="shared" ca="1" si="1304"/>
        <v>0.58611476491206893</v>
      </c>
      <c r="E1383" s="2">
        <f t="shared" ca="1" si="1305"/>
        <v>7.5901810783590715</v>
      </c>
      <c r="F1383" s="2">
        <f t="shared" ca="1" si="1306"/>
        <v>0.39943390734816342</v>
      </c>
      <c r="G1383" s="2">
        <f t="shared" ca="1" si="1307"/>
        <v>3.2355620898784118E-2</v>
      </c>
      <c r="H1383" s="2">
        <f t="shared" ca="1" si="1308"/>
        <v>3.2355620898784118E-2</v>
      </c>
      <c r="I1383" s="2">
        <f t="shared" ca="1" si="1309"/>
        <v>0.97091079566845395</v>
      </c>
      <c r="J1383" s="2">
        <f t="shared" ca="1" si="1310"/>
        <v>1.9471756021981132E-2</v>
      </c>
      <c r="K1383" s="2">
        <f t="shared" ca="1" si="1311"/>
        <v>1.9471756021981132E-2</v>
      </c>
      <c r="L1383" s="2">
        <f t="shared" ca="1" si="1312"/>
        <v>0.94158788315153241</v>
      </c>
      <c r="M1383" s="2">
        <f t="shared" ca="1" si="1313"/>
        <v>3.1364877062895931E-2</v>
      </c>
      <c r="N1383" s="2">
        <f t="shared" ca="1" si="1314"/>
        <v>3.1364877062895931E-2</v>
      </c>
      <c r="O1383" s="2">
        <f t="shared" si="1315"/>
        <v>6000000</v>
      </c>
      <c r="P1383" s="2">
        <f t="shared" ca="1" si="1316"/>
        <v>43568817.156449072</v>
      </c>
      <c r="Q1383" s="2">
        <f t="shared" ca="1" si="1317"/>
        <v>1089220.4289112268</v>
      </c>
      <c r="R1383" s="2">
        <f t="shared" ca="1" si="1318"/>
        <v>26141290.293869443</v>
      </c>
      <c r="S1383" s="2">
        <f t="shared" ca="1" si="1319"/>
        <v>17427526.862579629</v>
      </c>
      <c r="T1383" s="2">
        <f t="shared" ca="1" si="1320"/>
        <v>51568243.853144802</v>
      </c>
      <c r="U1383" s="2">
        <f t="shared" ca="1" si="1321"/>
        <v>53236766.401673205</v>
      </c>
      <c r="V1383" s="2">
        <f t="shared" ca="1" si="1322"/>
        <v>54959275.033242866</v>
      </c>
      <c r="W1383" s="2">
        <f t="shared" ca="1" si="1323"/>
        <v>56737516.501090482</v>
      </c>
      <c r="X1383" s="2">
        <f t="shared" ca="1" si="1324"/>
        <v>58573294.075738274</v>
      </c>
      <c r="Y1383" s="2">
        <f t="shared" ca="1" si="1325"/>
        <v>0.12973587801099057</v>
      </c>
      <c r="Z1383" s="2">
        <f t="shared" ca="1" si="1326"/>
        <v>0.13363022921538678</v>
      </c>
      <c r="AA1383" s="2">
        <f t="shared" ca="1" si="1327"/>
        <v>6690251.3937726086</v>
      </c>
      <c r="AB1383" s="2">
        <f t="shared" ca="1" si="1328"/>
        <v>7114041.2969415924</v>
      </c>
      <c r="AC1383" s="2">
        <f t="shared" ca="1" si="1329"/>
        <v>7344220.5202037282</v>
      </c>
      <c r="AD1383" s="2">
        <f t="shared" ca="1" si="1330"/>
        <v>7581847.3351525106</v>
      </c>
      <c r="AE1383" s="2">
        <f t="shared" ca="1" si="1331"/>
        <v>7827162.7132411618</v>
      </c>
      <c r="AF1383" s="2">
        <f t="shared" ca="1" si="1332"/>
        <v>1031364.877062896</v>
      </c>
      <c r="AG1383" s="2">
        <f t="shared" ca="1" si="1333"/>
        <v>1064735.328033464</v>
      </c>
      <c r="AH1383" s="2">
        <f t="shared" ca="1" si="1334"/>
        <v>1099185.5006648574</v>
      </c>
      <c r="AI1383" s="2">
        <f t="shared" ca="1" si="1335"/>
        <v>1134750.3300218096</v>
      </c>
      <c r="AJ1383" s="2">
        <f t="shared" ca="1" si="1336"/>
        <v>1171465.8815147656</v>
      </c>
      <c r="AK1383" s="2">
        <f t="shared" ca="1" si="1337"/>
        <v>0</v>
      </c>
      <c r="AL1383" s="2">
        <f t="shared" ca="1" si="1338"/>
        <v>16685.225485284031</v>
      </c>
      <c r="AM1383" s="2">
        <f t="shared" ca="1" si="1339"/>
        <v>17225.086315696612</v>
      </c>
      <c r="AN1383" s="2">
        <f t="shared" ca="1" si="1340"/>
        <v>17782.414678476154</v>
      </c>
      <c r="AO1383" s="2">
        <f t="shared" ca="1" si="1341"/>
        <v>18357.775746477917</v>
      </c>
      <c r="AP1383" s="2">
        <f t="shared" ca="1" si="1342"/>
        <v>2352716.1264482499</v>
      </c>
      <c r="AQ1383" s="2">
        <f t="shared" ca="1" si="1343"/>
        <v>859604.30146798026</v>
      </c>
      <c r="AR1383" s="2">
        <f t="shared" ca="1" si="1344"/>
        <v>961113.35903956846</v>
      </c>
      <c r="AS1383" s="2">
        <f t="shared" ca="1" si="1345"/>
        <v>1012002.9122035615</v>
      </c>
      <c r="AT1383" s="2">
        <f t="shared" ca="1" si="1346"/>
        <v>1064539.0284574372</v>
      </c>
      <c r="AU1383" s="2">
        <f t="shared" ca="1" si="1347"/>
        <v>1118774.9833723183</v>
      </c>
      <c r="AV1383" s="2">
        <f t="shared" ca="1" si="1348"/>
        <v>2446566.0887934822</v>
      </c>
      <c r="AW1383" s="2">
        <f t="shared" ca="1" si="1349"/>
        <v>2718791.2579350262</v>
      </c>
      <c r="AX1383" s="2">
        <f t="shared" ca="1" si="1350"/>
        <v>2863090.8945713625</v>
      </c>
      <c r="AY1383" s="2">
        <f t="shared" ca="1" si="1351"/>
        <v>3012059.4355465374</v>
      </c>
      <c r="AZ1383" s="2">
        <f t="shared" ca="1" si="1352"/>
        <v>3165847.9461593502</v>
      </c>
      <c r="BA1383" s="2">
        <f t="shared" ca="1" si="1353"/>
        <v>59409582.323280714</v>
      </c>
      <c r="BB1383" s="2">
        <f t="shared" ca="1" si="1354"/>
        <v>1188191.6464656142</v>
      </c>
      <c r="BC1383" s="2">
        <f t="shared" ca="1" si="1355"/>
        <v>32080100.382945657</v>
      </c>
      <c r="BD1383" s="2">
        <f t="shared" ca="1" si="1356"/>
        <v>-19016747.291490857</v>
      </c>
      <c r="BE1383" s="2">
        <f t="shared" ca="1" si="1357"/>
        <v>2446566.0887934822</v>
      </c>
      <c r="BF1383" s="2">
        <f t="shared" ca="1" si="1358"/>
        <v>2718791.2579350262</v>
      </c>
      <c r="BG1383" s="2">
        <f t="shared" ca="1" si="1359"/>
        <v>2863090.8945713625</v>
      </c>
      <c r="BH1383" s="2">
        <f t="shared" ca="1" si="1360"/>
        <v>3012059.4355465374</v>
      </c>
      <c r="BI1383" s="2">
        <f t="shared" ca="1" si="1361"/>
        <v>35245948.329105005</v>
      </c>
      <c r="BJ1383" s="2">
        <f t="shared" ca="1" si="1362"/>
        <v>0.2322703778124513</v>
      </c>
      <c r="BK1383" s="2">
        <f t="shared" ca="1" si="1363"/>
        <v>9286697.8696997724</v>
      </c>
    </row>
    <row r="1384" spans="1:63" x14ac:dyDescent="0.3">
      <c r="A1384" s="2">
        <v>1383</v>
      </c>
      <c r="B1384" s="2">
        <f t="shared" ca="1" si="1302"/>
        <v>0.48704805845010202</v>
      </c>
      <c r="C1384" s="2">
        <f t="shared" ca="1" si="1303"/>
        <v>6.9869630777796115</v>
      </c>
      <c r="D1384" s="2">
        <f t="shared" ca="1" si="1304"/>
        <v>0.34223380621103194</v>
      </c>
      <c r="E1384" s="2">
        <f t="shared" ca="1" si="1305"/>
        <v>7.3273255782471995</v>
      </c>
      <c r="F1384" s="2">
        <f t="shared" ca="1" si="1306"/>
        <v>0.49520261713141078</v>
      </c>
      <c r="G1384" s="2">
        <f t="shared" ca="1" si="1307"/>
        <v>3.963923363861397E-2</v>
      </c>
      <c r="H1384" s="2">
        <f t="shared" ca="1" si="1308"/>
        <v>3.963923363861397E-2</v>
      </c>
      <c r="I1384" s="2">
        <f t="shared" ca="1" si="1309"/>
        <v>0.86799534840829518</v>
      </c>
      <c r="J1384" s="2">
        <f t="shared" ca="1" si="1310"/>
        <v>1.5584824851122149E-2</v>
      </c>
      <c r="K1384" s="2">
        <f t="shared" ca="1" si="1311"/>
        <v>1.5584824851122149E-2</v>
      </c>
      <c r="L1384" s="2">
        <f t="shared" ca="1" si="1312"/>
        <v>0.1514087942648098</v>
      </c>
      <c r="M1384" s="2">
        <f t="shared" ca="1" si="1313"/>
        <v>-2.0608199676038486E-2</v>
      </c>
      <c r="N1384" s="2">
        <f t="shared" ca="1" si="1314"/>
        <v>-2.0608199676038486E-2</v>
      </c>
      <c r="O1384" s="2">
        <f t="shared" si="1315"/>
        <v>6000000</v>
      </c>
      <c r="P1384" s="2">
        <f t="shared" ca="1" si="1316"/>
        <v>41921778.466677666</v>
      </c>
      <c r="Q1384" s="2">
        <f t="shared" ca="1" si="1317"/>
        <v>1048044.4616669416</v>
      </c>
      <c r="R1384" s="2">
        <f t="shared" ca="1" si="1318"/>
        <v>25153067.080006599</v>
      </c>
      <c r="S1384" s="2">
        <f t="shared" ca="1" si="1319"/>
        <v>16768711.386671066</v>
      </c>
      <c r="T1384" s="2">
        <f t="shared" ca="1" si="1320"/>
        <v>48969590.016198076</v>
      </c>
      <c r="U1384" s="2">
        <f t="shared" ca="1" si="1321"/>
        <v>50910707.036037289</v>
      </c>
      <c r="V1384" s="2">
        <f t="shared" ca="1" si="1322"/>
        <v>52928768.446945801</v>
      </c>
      <c r="W1384" s="2">
        <f t="shared" ca="1" si="1323"/>
        <v>55026824.265618384</v>
      </c>
      <c r="X1384" s="2">
        <f t="shared" ca="1" si="1324"/>
        <v>57208045.409074187</v>
      </c>
      <c r="Y1384" s="2">
        <f t="shared" ca="1" si="1325"/>
        <v>0.12779241242556108</v>
      </c>
      <c r="Z1384" s="2">
        <f t="shared" ca="1" si="1326"/>
        <v>0.13090937739578551</v>
      </c>
      <c r="AA1384" s="2">
        <f t="shared" ca="1" si="1327"/>
        <v>6257942.043660623</v>
      </c>
      <c r="AB1384" s="2">
        <f t="shared" ca="1" si="1328"/>
        <v>6664688.9608668778</v>
      </c>
      <c r="AC1384" s="2">
        <f t="shared" ca="1" si="1329"/>
        <v>6928872.1237153718</v>
      </c>
      <c r="AD1384" s="2">
        <f t="shared" ca="1" si="1330"/>
        <v>7203527.3046794049</v>
      </c>
      <c r="AE1384" s="2">
        <f t="shared" ca="1" si="1331"/>
        <v>7489069.6065317271</v>
      </c>
      <c r="AF1384" s="2">
        <f t="shared" ca="1" si="1332"/>
        <v>979391.80032396154</v>
      </c>
      <c r="AG1384" s="2">
        <f t="shared" ca="1" si="1333"/>
        <v>1018214.1407207458</v>
      </c>
      <c r="AH1384" s="2">
        <f t="shared" ca="1" si="1334"/>
        <v>1058575.3689389161</v>
      </c>
      <c r="AI1384" s="2">
        <f t="shared" ca="1" si="1335"/>
        <v>1100536.4853123678</v>
      </c>
      <c r="AJ1384" s="2">
        <f t="shared" ca="1" si="1336"/>
        <v>1144160.9081814839</v>
      </c>
      <c r="AK1384" s="2">
        <f t="shared" ca="1" si="1337"/>
        <v>0</v>
      </c>
      <c r="AL1384" s="2">
        <f t="shared" ca="1" si="1338"/>
        <v>19411.170198392123</v>
      </c>
      <c r="AM1384" s="2">
        <f t="shared" ca="1" si="1339"/>
        <v>20180.614109085127</v>
      </c>
      <c r="AN1384" s="2">
        <f t="shared" ca="1" si="1340"/>
        <v>20980.558186725826</v>
      </c>
      <c r="AO1384" s="2">
        <f t="shared" ca="1" si="1341"/>
        <v>21812.211434558034</v>
      </c>
      <c r="AP1384" s="2">
        <f t="shared" ca="1" si="1342"/>
        <v>2263776.0372005939</v>
      </c>
      <c r="AQ1384" s="2">
        <f t="shared" ca="1" si="1343"/>
        <v>783841.29359537771</v>
      </c>
      <c r="AR1384" s="2">
        <f t="shared" ca="1" si="1344"/>
        <v>879501.68356584001</v>
      </c>
      <c r="AS1384" s="2">
        <f t="shared" ca="1" si="1345"/>
        <v>937695.38656972407</v>
      </c>
      <c r="AT1384" s="2">
        <f t="shared" ca="1" si="1346"/>
        <v>998195.84336327529</v>
      </c>
      <c r="AU1384" s="2">
        <f t="shared" ca="1" si="1347"/>
        <v>1061094.491898909</v>
      </c>
      <c r="AV1384" s="2">
        <f t="shared" ca="1" si="1348"/>
        <v>2230932.9125406905</v>
      </c>
      <c r="AW1384" s="2">
        <f t="shared" ca="1" si="1349"/>
        <v>2483785.9291813062</v>
      </c>
      <c r="AX1384" s="2">
        <f t="shared" ca="1" si="1350"/>
        <v>2648644.7168970522</v>
      </c>
      <c r="AY1384" s="2">
        <f t="shared" ca="1" si="1351"/>
        <v>2820038.3806164418</v>
      </c>
      <c r="AZ1384" s="2">
        <f t="shared" ca="1" si="1352"/>
        <v>2998225.9578161822</v>
      </c>
      <c r="BA1384" s="2">
        <f t="shared" ca="1" si="1353"/>
        <v>54874851.285213612</v>
      </c>
      <c r="BB1384" s="2">
        <f t="shared" ca="1" si="1354"/>
        <v>1097497.0257042723</v>
      </c>
      <c r="BC1384" s="2">
        <f t="shared" ca="1" si="1355"/>
        <v>28624287.179502741</v>
      </c>
      <c r="BD1384" s="2">
        <f t="shared" ca="1" si="1356"/>
        <v>-18316755.848338008</v>
      </c>
      <c r="BE1384" s="2">
        <f t="shared" ca="1" si="1357"/>
        <v>2230932.9125406905</v>
      </c>
      <c r="BF1384" s="2">
        <f t="shared" ca="1" si="1358"/>
        <v>2483785.9291813062</v>
      </c>
      <c r="BG1384" s="2">
        <f t="shared" ca="1" si="1359"/>
        <v>2648644.7168970522</v>
      </c>
      <c r="BH1384" s="2">
        <f t="shared" ca="1" si="1360"/>
        <v>2820038.3806164418</v>
      </c>
      <c r="BI1384" s="2">
        <f t="shared" ca="1" si="1361"/>
        <v>31622513.137318924</v>
      </c>
      <c r="BJ1384" s="2">
        <f t="shared" ca="1" si="1362"/>
        <v>0.21363034351629651</v>
      </c>
      <c r="BK1384" s="2">
        <f t="shared" ca="1" si="1363"/>
        <v>7276109.0388186127</v>
      </c>
    </row>
    <row r="1385" spans="1:63" x14ac:dyDescent="0.3">
      <c r="A1385" s="2">
        <v>1384</v>
      </c>
      <c r="B1385" s="2">
        <f t="shared" ca="1" si="1302"/>
        <v>0.40286512534881525</v>
      </c>
      <c r="C1385" s="2">
        <f t="shared" ca="1" si="1303"/>
        <v>6.8976247828004924</v>
      </c>
      <c r="D1385" s="2">
        <f t="shared" ca="1" si="1304"/>
        <v>0.5365326813214697</v>
      </c>
      <c r="E1385" s="2">
        <f t="shared" ca="1" si="1305"/>
        <v>7.5372255521893718</v>
      </c>
      <c r="F1385" s="2">
        <f t="shared" ca="1" si="1306"/>
        <v>0.95033125391715356</v>
      </c>
      <c r="G1385" s="2">
        <f t="shared" ca="1" si="1307"/>
        <v>8.9442219230451467E-2</v>
      </c>
      <c r="H1385" s="2">
        <f t="shared" ca="1" si="1308"/>
        <v>8.9442219230451467E-2</v>
      </c>
      <c r="I1385" s="2">
        <f t="shared" ca="1" si="1309"/>
        <v>0.74458491761712764</v>
      </c>
      <c r="J1385" s="2">
        <f t="shared" ca="1" si="1310"/>
        <v>1.3287727966104773E-2</v>
      </c>
      <c r="K1385" s="2">
        <f t="shared" ca="1" si="1311"/>
        <v>1.3287727966104773E-2</v>
      </c>
      <c r="L1385" s="2">
        <f t="shared" ca="1" si="1312"/>
        <v>0.10891297262178146</v>
      </c>
      <c r="M1385" s="2">
        <f t="shared" ca="1" si="1313"/>
        <v>-2.4646594238145778E-2</v>
      </c>
      <c r="N1385" s="2">
        <f t="shared" ca="1" si="1314"/>
        <v>-2.4646594238145778E-2</v>
      </c>
      <c r="O1385" s="2">
        <f t="shared" si="1315"/>
        <v>6000000</v>
      </c>
      <c r="P1385" s="2">
        <f t="shared" ca="1" si="1316"/>
        <v>41385748.696802951</v>
      </c>
      <c r="Q1385" s="2">
        <f t="shared" ca="1" si="1317"/>
        <v>1034643.7174200738</v>
      </c>
      <c r="R1385" s="2">
        <f t="shared" ca="1" si="1318"/>
        <v>24831449.218081769</v>
      </c>
      <c r="S1385" s="2">
        <f t="shared" ca="1" si="1319"/>
        <v>16554299.478721181</v>
      </c>
      <c r="T1385" s="2">
        <f t="shared" ca="1" si="1320"/>
        <v>48767670.28809271</v>
      </c>
      <c r="U1385" s="2">
        <f t="shared" ca="1" si="1321"/>
        <v>53129558.945358671</v>
      </c>
      <c r="V1385" s="2">
        <f t="shared" ca="1" si="1322"/>
        <v>57881584.604166627</v>
      </c>
      <c r="W1385" s="2">
        <f t="shared" ca="1" si="1323"/>
        <v>63058641.983738415</v>
      </c>
      <c r="X1385" s="2">
        <f t="shared" ca="1" si="1324"/>
        <v>68698746.864422485</v>
      </c>
      <c r="Y1385" s="2">
        <f t="shared" ca="1" si="1325"/>
        <v>0.12664386398305238</v>
      </c>
      <c r="Z1385" s="2">
        <f t="shared" ca="1" si="1326"/>
        <v>0.12930140957627334</v>
      </c>
      <c r="AA1385" s="2">
        <f t="shared" ca="1" si="1327"/>
        <v>6176126.2027355582</v>
      </c>
      <c r="AB1385" s="2">
        <f t="shared" ca="1" si="1328"/>
        <v>6869726.8618005784</v>
      </c>
      <c r="AC1385" s="2">
        <f t="shared" ca="1" si="1329"/>
        <v>7484170.4778270666</v>
      </c>
      <c r="AD1385" s="2">
        <f t="shared" ca="1" si="1330"/>
        <v>8153571.2944629462</v>
      </c>
      <c r="AE1385" s="2">
        <f t="shared" ca="1" si="1331"/>
        <v>8882844.8056934159</v>
      </c>
      <c r="AF1385" s="2">
        <f t="shared" ca="1" si="1332"/>
        <v>975353.40576185426</v>
      </c>
      <c r="AG1385" s="2">
        <f t="shared" ca="1" si="1333"/>
        <v>1062591.1789071735</v>
      </c>
      <c r="AH1385" s="2">
        <f t="shared" ca="1" si="1334"/>
        <v>1157631.6920833325</v>
      </c>
      <c r="AI1385" s="2">
        <f t="shared" ca="1" si="1335"/>
        <v>1261172.8396747683</v>
      </c>
      <c r="AJ1385" s="2">
        <f t="shared" ca="1" si="1336"/>
        <v>1373974.9372884498</v>
      </c>
      <c r="AK1385" s="2">
        <f t="shared" ca="1" si="1337"/>
        <v>0</v>
      </c>
      <c r="AL1385" s="2">
        <f t="shared" ca="1" si="1338"/>
        <v>43618.886572659612</v>
      </c>
      <c r="AM1385" s="2">
        <f t="shared" ca="1" si="1339"/>
        <v>47520.256588079559</v>
      </c>
      <c r="AN1385" s="2">
        <f t="shared" ca="1" si="1340"/>
        <v>51770.573795717879</v>
      </c>
      <c r="AO1385" s="2">
        <f t="shared" ca="1" si="1341"/>
        <v>56401.048806840707</v>
      </c>
      <c r="AP1385" s="2">
        <f t="shared" ca="1" si="1342"/>
        <v>2234830.4296273589</v>
      </c>
      <c r="AQ1385" s="2">
        <f t="shared" ca="1" si="1343"/>
        <v>771145.01551004965</v>
      </c>
      <c r="AR1385" s="2">
        <f t="shared" ca="1" si="1344"/>
        <v>928799.365849172</v>
      </c>
      <c r="AS1385" s="2">
        <f t="shared" ca="1" si="1345"/>
        <v>1063844.1725902576</v>
      </c>
      <c r="AT1385" s="2">
        <f t="shared" ca="1" si="1346"/>
        <v>1210967.686541813</v>
      </c>
      <c r="AU1385" s="2">
        <f t="shared" ca="1" si="1347"/>
        <v>1371250.2540821778</v>
      </c>
      <c r="AV1385" s="2">
        <f t="shared" ca="1" si="1348"/>
        <v>2194797.3518362949</v>
      </c>
      <c r="AW1385" s="2">
        <f t="shared" ca="1" si="1349"/>
        <v>2599887.0008442141</v>
      </c>
      <c r="AX1385" s="2">
        <f t="shared" ca="1" si="1350"/>
        <v>2980343.9269380374</v>
      </c>
      <c r="AY1385" s="2">
        <f t="shared" ca="1" si="1351"/>
        <v>3394829.7648232877</v>
      </c>
      <c r="AZ1385" s="2">
        <f t="shared" ca="1" si="1352"/>
        <v>3846388.1358885886</v>
      </c>
      <c r="BA1385" s="2">
        <f t="shared" ca="1" si="1353"/>
        <v>66952004.845605053</v>
      </c>
      <c r="BB1385" s="2">
        <f t="shared" ca="1" si="1354"/>
        <v>1339040.0969121011</v>
      </c>
      <c r="BC1385" s="2">
        <f t="shared" ca="1" si="1355"/>
        <v>40781515.530611187</v>
      </c>
      <c r="BD1385" s="2">
        <f t="shared" ca="1" si="1356"/>
        <v>-18088943.196141254</v>
      </c>
      <c r="BE1385" s="2">
        <f t="shared" ca="1" si="1357"/>
        <v>2194797.3518362949</v>
      </c>
      <c r="BF1385" s="2">
        <f t="shared" ca="1" si="1358"/>
        <v>2599887.0008442141</v>
      </c>
      <c r="BG1385" s="2">
        <f t="shared" ca="1" si="1359"/>
        <v>2980343.9269380374</v>
      </c>
      <c r="BH1385" s="2">
        <f t="shared" ca="1" si="1360"/>
        <v>3394829.7648232877</v>
      </c>
      <c r="BI1385" s="2">
        <f t="shared" ca="1" si="1361"/>
        <v>44627903.666499779</v>
      </c>
      <c r="BJ1385" s="2">
        <f t="shared" ca="1" si="1362"/>
        <v>0.29481052021019072</v>
      </c>
      <c r="BK1385" s="2">
        <f t="shared" ca="1" si="1363"/>
        <v>15545207.978298899</v>
      </c>
    </row>
    <row r="1386" spans="1:63" x14ac:dyDescent="0.3">
      <c r="A1386" s="2">
        <v>1385</v>
      </c>
      <c r="B1386" s="2">
        <f t="shared" ca="1" si="1302"/>
        <v>0.46912556974309771</v>
      </c>
      <c r="C1386" s="2">
        <f t="shared" ca="1" si="1303"/>
        <v>6.9686336456505087</v>
      </c>
      <c r="D1386" s="2">
        <f t="shared" ca="1" si="1304"/>
        <v>0.26858021197276061</v>
      </c>
      <c r="E1386" s="2">
        <f t="shared" ca="1" si="1305"/>
        <v>7.2329122893945232</v>
      </c>
      <c r="F1386" s="2">
        <f t="shared" ca="1" si="1306"/>
        <v>0.16801526174349524</v>
      </c>
      <c r="G1386" s="2">
        <f t="shared" ca="1" si="1307"/>
        <v>1.1138860444927894E-2</v>
      </c>
      <c r="H1386" s="2">
        <f t="shared" ca="1" si="1308"/>
        <v>1.1138860444927894E-2</v>
      </c>
      <c r="I1386" s="2">
        <f t="shared" ca="1" si="1309"/>
        <v>0.30241618456640196</v>
      </c>
      <c r="J1386" s="2">
        <f t="shared" ca="1" si="1310"/>
        <v>7.4126805440856303E-3</v>
      </c>
      <c r="K1386" s="2">
        <f t="shared" ca="1" si="1311"/>
        <v>7.4126805440856303E-3</v>
      </c>
      <c r="L1386" s="2">
        <f t="shared" ca="1" si="1312"/>
        <v>0.82917035911092762</v>
      </c>
      <c r="M1386" s="2">
        <f t="shared" ca="1" si="1313"/>
        <v>1.9017836908581845E-2</v>
      </c>
      <c r="N1386" s="2">
        <f t="shared" ca="1" si="1314"/>
        <v>1.9017836908581845E-2</v>
      </c>
      <c r="O1386" s="2">
        <f t="shared" si="1315"/>
        <v>6000000</v>
      </c>
      <c r="P1386" s="2">
        <f t="shared" ca="1" si="1316"/>
        <v>41811801.873903051</v>
      </c>
      <c r="Q1386" s="2">
        <f t="shared" ca="1" si="1317"/>
        <v>1045295.0468475763</v>
      </c>
      <c r="R1386" s="2">
        <f t="shared" ca="1" si="1318"/>
        <v>25087081.124341831</v>
      </c>
      <c r="S1386" s="2">
        <f t="shared" ca="1" si="1319"/>
        <v>16724720.74956122</v>
      </c>
      <c r="T1386" s="2">
        <f t="shared" ca="1" si="1320"/>
        <v>50950891.845429093</v>
      </c>
      <c r="U1386" s="2">
        <f t="shared" ca="1" si="1321"/>
        <v>51518426.719239943</v>
      </c>
      <c r="V1386" s="2">
        <f t="shared" ca="1" si="1322"/>
        <v>52092283.284807801</v>
      </c>
      <c r="W1386" s="2">
        <f t="shared" ca="1" si="1323"/>
        <v>52672531.958574921</v>
      </c>
      <c r="X1386" s="2">
        <f t="shared" ca="1" si="1324"/>
        <v>53259243.941342488</v>
      </c>
      <c r="Y1386" s="2">
        <f t="shared" ca="1" si="1325"/>
        <v>0.12370634027204282</v>
      </c>
      <c r="Z1386" s="2">
        <f t="shared" ca="1" si="1326"/>
        <v>0.12518887638085993</v>
      </c>
      <c r="AA1386" s="2">
        <f t="shared" ca="1" si="1327"/>
        <v>6302948.363794703</v>
      </c>
      <c r="AB1386" s="2">
        <f t="shared" ca="1" si="1328"/>
        <v>6449533.9538913202</v>
      </c>
      <c r="AC1386" s="2">
        <f t="shared" ca="1" si="1329"/>
        <v>6521374.4125385396</v>
      </c>
      <c r="AD1386" s="2">
        <f t="shared" ca="1" si="1330"/>
        <v>6594015.0920289299</v>
      </c>
      <c r="AE1386" s="2">
        <f t="shared" ca="1" si="1331"/>
        <v>6667464.9059107881</v>
      </c>
      <c r="AF1386" s="2">
        <f t="shared" ca="1" si="1332"/>
        <v>1019017.8369085819</v>
      </c>
      <c r="AG1386" s="2">
        <f t="shared" ca="1" si="1333"/>
        <v>1030368.5343847988</v>
      </c>
      <c r="AH1386" s="2">
        <f t="shared" ca="1" si="1334"/>
        <v>1041845.6656961561</v>
      </c>
      <c r="AI1386" s="2">
        <f t="shared" ca="1" si="1335"/>
        <v>1053450.6391714984</v>
      </c>
      <c r="AJ1386" s="2">
        <f t="shared" ca="1" si="1336"/>
        <v>1065184.8788268499</v>
      </c>
      <c r="AK1386" s="2">
        <f t="shared" ca="1" si="1337"/>
        <v>0</v>
      </c>
      <c r="AL1386" s="2">
        <f t="shared" ca="1" si="1338"/>
        <v>5675.3487381085006</v>
      </c>
      <c r="AM1386" s="2">
        <f t="shared" ca="1" si="1339"/>
        <v>5738.5656556785852</v>
      </c>
      <c r="AN1386" s="2">
        <f t="shared" ca="1" si="1340"/>
        <v>5802.4867376711964</v>
      </c>
      <c r="AO1386" s="2">
        <f t="shared" ca="1" si="1341"/>
        <v>5867.1198276756704</v>
      </c>
      <c r="AP1386" s="2">
        <f t="shared" ca="1" si="1342"/>
        <v>2257837.3011907646</v>
      </c>
      <c r="AQ1386" s="2">
        <f t="shared" ca="1" si="1343"/>
        <v>786784.23868079274</v>
      </c>
      <c r="AR1386" s="2">
        <f t="shared" ca="1" si="1344"/>
        <v>821945.31076209666</v>
      </c>
      <c r="AS1386" s="2">
        <f t="shared" ca="1" si="1345"/>
        <v>837639.77586942096</v>
      </c>
      <c r="AT1386" s="2">
        <f t="shared" ca="1" si="1346"/>
        <v>853509.05943333334</v>
      </c>
      <c r="AU1386" s="2">
        <f t="shared" ca="1" si="1347"/>
        <v>869555.10873222514</v>
      </c>
      <c r="AV1386" s="2">
        <f t="shared" ca="1" si="1348"/>
        <v>2239308.9870145638</v>
      </c>
      <c r="AW1386" s="2">
        <f t="shared" ca="1" si="1349"/>
        <v>2333707.4588155514</v>
      </c>
      <c r="AX1386" s="2">
        <f t="shared" ca="1" si="1350"/>
        <v>2378313.1041265195</v>
      </c>
      <c r="AY1386" s="2">
        <f t="shared" ca="1" si="1351"/>
        <v>2423415.6054956615</v>
      </c>
      <c r="AZ1386" s="2">
        <f t="shared" ca="1" si="1352"/>
        <v>2469020.4973332724</v>
      </c>
      <c r="BA1386" s="2">
        <f t="shared" ca="1" si="1353"/>
        <v>48225188.857068837</v>
      </c>
      <c r="BB1386" s="2">
        <f t="shared" ca="1" si="1354"/>
        <v>964503.77714137675</v>
      </c>
      <c r="BC1386" s="2">
        <f t="shared" ca="1" si="1355"/>
        <v>22173603.955585629</v>
      </c>
      <c r="BD1386" s="2">
        <f t="shared" ca="1" si="1356"/>
        <v>-18270015.796408795</v>
      </c>
      <c r="BE1386" s="2">
        <f t="shared" ca="1" si="1357"/>
        <v>2239308.9870145638</v>
      </c>
      <c r="BF1386" s="2">
        <f t="shared" ca="1" si="1358"/>
        <v>2333707.4588155514</v>
      </c>
      <c r="BG1386" s="2">
        <f t="shared" ca="1" si="1359"/>
        <v>2378313.1041265195</v>
      </c>
      <c r="BH1386" s="2">
        <f t="shared" ca="1" si="1360"/>
        <v>2423415.6054956615</v>
      </c>
      <c r="BI1386" s="2">
        <f t="shared" ca="1" si="1361"/>
        <v>24642624.452918902</v>
      </c>
      <c r="BJ1386" s="2">
        <f t="shared" ca="1" si="1362"/>
        <v>0.15983602834570387</v>
      </c>
      <c r="BK1386" s="2">
        <f t="shared" ca="1" si="1363"/>
        <v>2805632.1552622356</v>
      </c>
    </row>
    <row r="1387" spans="1:63" x14ac:dyDescent="0.3">
      <c r="A1387" s="2">
        <v>1386</v>
      </c>
      <c r="B1387" s="2">
        <f t="shared" ca="1" si="1302"/>
        <v>0.77643259384605023</v>
      </c>
      <c r="C1387" s="2">
        <f t="shared" ca="1" si="1303"/>
        <v>7.331318601793126</v>
      </c>
      <c r="D1387" s="2">
        <f t="shared" ca="1" si="1304"/>
        <v>0.96974578248457333</v>
      </c>
      <c r="E1387" s="2">
        <f t="shared" ca="1" si="1305"/>
        <v>8.2540153764341078</v>
      </c>
      <c r="F1387" s="2">
        <f t="shared" ca="1" si="1306"/>
        <v>0.56969816806951801</v>
      </c>
      <c r="G1387" s="2">
        <f t="shared" ca="1" si="1307"/>
        <v>4.5268173296074674E-2</v>
      </c>
      <c r="H1387" s="2">
        <f t="shared" ca="1" si="1308"/>
        <v>4.5268173296074674E-2</v>
      </c>
      <c r="I1387" s="2">
        <f t="shared" ca="1" si="1309"/>
        <v>9.1931149565185E-2</v>
      </c>
      <c r="J1387" s="2">
        <f t="shared" ca="1" si="1310"/>
        <v>3.3552171577439036E-3</v>
      </c>
      <c r="K1387" s="2">
        <f t="shared" ca="1" si="1311"/>
        <v>3.3552171577439036E-3</v>
      </c>
      <c r="L1387" s="2">
        <f t="shared" ca="1" si="1312"/>
        <v>0.99139295174915465</v>
      </c>
      <c r="M1387" s="2">
        <f t="shared" ca="1" si="1313"/>
        <v>4.7642053748135862E-2</v>
      </c>
      <c r="N1387" s="2">
        <f t="shared" ca="1" si="1314"/>
        <v>4.7642053748135862E-2</v>
      </c>
      <c r="O1387" s="2">
        <f t="shared" si="1315"/>
        <v>6000000</v>
      </c>
      <c r="P1387" s="2">
        <f t="shared" ca="1" si="1316"/>
        <v>43987911.610758759</v>
      </c>
      <c r="Q1387" s="2">
        <f t="shared" ca="1" si="1317"/>
        <v>1099697.790268969</v>
      </c>
      <c r="R1387" s="2">
        <f t="shared" ca="1" si="1318"/>
        <v>26392746.966455255</v>
      </c>
      <c r="S1387" s="2">
        <f t="shared" ca="1" si="1319"/>
        <v>17595164.644303504</v>
      </c>
      <c r="T1387" s="2">
        <f t="shared" ca="1" si="1320"/>
        <v>52382102.687406793</v>
      </c>
      <c r="U1387" s="2">
        <f t="shared" ca="1" si="1321"/>
        <v>54753344.789473101</v>
      </c>
      <c r="V1387" s="2">
        <f t="shared" ca="1" si="1322"/>
        <v>57231928.689942695</v>
      </c>
      <c r="W1387" s="2">
        <f t="shared" ca="1" si="1323"/>
        <v>59822713.555947609</v>
      </c>
      <c r="X1387" s="2">
        <f t="shared" ca="1" si="1324"/>
        <v>62530778.520239681</v>
      </c>
      <c r="Y1387" s="2">
        <f t="shared" ca="1" si="1325"/>
        <v>0.12167760857887194</v>
      </c>
      <c r="Z1387" s="2">
        <f t="shared" ca="1" si="1326"/>
        <v>0.12234865201042072</v>
      </c>
      <c r="AA1387" s="2">
        <f t="shared" ca="1" si="1327"/>
        <v>6373728.9873365602</v>
      </c>
      <c r="AB1387" s="2">
        <f t="shared" ca="1" si="1328"/>
        <v>6698997.928053827</v>
      </c>
      <c r="AC1387" s="2">
        <f t="shared" ca="1" si="1329"/>
        <v>7002249.3271710128</v>
      </c>
      <c r="AD1387" s="2">
        <f t="shared" ca="1" si="1330"/>
        <v>7319228.3631757125</v>
      </c>
      <c r="AE1387" s="2">
        <f t="shared" ca="1" si="1331"/>
        <v>7650556.4611134958</v>
      </c>
      <c r="AF1387" s="2">
        <f t="shared" ca="1" si="1332"/>
        <v>1047642.0537481359</v>
      </c>
      <c r="AG1387" s="2">
        <f t="shared" ca="1" si="1333"/>
        <v>1095066.8957894621</v>
      </c>
      <c r="AH1387" s="2">
        <f t="shared" ca="1" si="1334"/>
        <v>1144638.5737988539</v>
      </c>
      <c r="AI1387" s="2">
        <f t="shared" ca="1" si="1335"/>
        <v>1196454.2711189522</v>
      </c>
      <c r="AJ1387" s="2">
        <f t="shared" ca="1" si="1336"/>
        <v>1250615.5704047936</v>
      </c>
      <c r="AK1387" s="2">
        <f t="shared" ca="1" si="1337"/>
        <v>0</v>
      </c>
      <c r="AL1387" s="2">
        <f t="shared" ca="1" si="1338"/>
        <v>23712.421020663081</v>
      </c>
      <c r="AM1387" s="2">
        <f t="shared" ca="1" si="1339"/>
        <v>24785.839004695939</v>
      </c>
      <c r="AN1387" s="2">
        <f t="shared" ca="1" si="1340"/>
        <v>25907.848660049141</v>
      </c>
      <c r="AO1387" s="2">
        <f t="shared" ca="1" si="1341"/>
        <v>27080.649642920718</v>
      </c>
      <c r="AP1387" s="2">
        <f t="shared" ca="1" si="1342"/>
        <v>2375347.226980973</v>
      </c>
      <c r="AQ1387" s="2">
        <f t="shared" ca="1" si="1343"/>
        <v>767192.32371793746</v>
      </c>
      <c r="AR1387" s="2">
        <f t="shared" ca="1" si="1344"/>
        <v>839431.78937368188</v>
      </c>
      <c r="AS1387" s="2">
        <f t="shared" ca="1" si="1345"/>
        <v>905388.51686170837</v>
      </c>
      <c r="AT1387" s="2">
        <f t="shared" ca="1" si="1346"/>
        <v>974330.98491970485</v>
      </c>
      <c r="AU1387" s="2">
        <f t="shared" ca="1" si="1347"/>
        <v>1046394.3525692095</v>
      </c>
      <c r="AV1387" s="2">
        <f t="shared" ca="1" si="1348"/>
        <v>2183547.3828895139</v>
      </c>
      <c r="AW1387" s="2">
        <f t="shared" ca="1" si="1349"/>
        <v>2365439.5948890466</v>
      </c>
      <c r="AX1387" s="2">
        <f t="shared" ca="1" si="1350"/>
        <v>2552089.1705247816</v>
      </c>
      <c r="AY1387" s="2">
        <f t="shared" ca="1" si="1351"/>
        <v>2747188.031496034</v>
      </c>
      <c r="AZ1387" s="2">
        <f t="shared" ca="1" si="1352"/>
        <v>2951118.6615155982</v>
      </c>
      <c r="BA1387" s="2">
        <f t="shared" ca="1" si="1353"/>
        <v>63147810.668308109</v>
      </c>
      <c r="BB1387" s="2">
        <f t="shared" ca="1" si="1354"/>
        <v>1262956.2133661623</v>
      </c>
      <c r="BC1387" s="2">
        <f t="shared" ca="1" si="1355"/>
        <v>35492107.488486692</v>
      </c>
      <c r="BD1387" s="2">
        <f t="shared" ca="1" si="1356"/>
        <v>-19194862.434572473</v>
      </c>
      <c r="BE1387" s="2">
        <f t="shared" ca="1" si="1357"/>
        <v>2183547.3828895139</v>
      </c>
      <c r="BF1387" s="2">
        <f t="shared" ca="1" si="1358"/>
        <v>2365439.5948890466</v>
      </c>
      <c r="BG1387" s="2">
        <f t="shared" ca="1" si="1359"/>
        <v>2552089.1705247816</v>
      </c>
      <c r="BH1387" s="2">
        <f t="shared" ca="1" si="1360"/>
        <v>2747188.031496034</v>
      </c>
      <c r="BI1387" s="2">
        <f t="shared" ca="1" si="1361"/>
        <v>38443226.150002293</v>
      </c>
      <c r="BJ1387" s="2">
        <f t="shared" ca="1" si="1362"/>
        <v>0.23562549061816829</v>
      </c>
      <c r="BK1387" s="2">
        <f t="shared" ca="1" si="1363"/>
        <v>10016580.664775752</v>
      </c>
    </row>
    <row r="1388" spans="1:63" x14ac:dyDescent="0.3">
      <c r="A1388" s="2">
        <v>1387</v>
      </c>
      <c r="B1388" s="2">
        <f t="shared" ca="1" si="1302"/>
        <v>0.60093199853888035</v>
      </c>
      <c r="C1388" s="2">
        <f t="shared" ca="1" si="1303"/>
        <v>7.1066154227197345</v>
      </c>
      <c r="D1388" s="2">
        <f t="shared" ca="1" si="1304"/>
        <v>0.22217610585917602</v>
      </c>
      <c r="E1388" s="2">
        <f t="shared" ca="1" si="1305"/>
        <v>7.1665974885328865</v>
      </c>
      <c r="F1388" s="2">
        <f t="shared" ca="1" si="1306"/>
        <v>0.95498154106376543</v>
      </c>
      <c r="G1388" s="2">
        <f t="shared" ca="1" si="1307"/>
        <v>9.0856090022721714E-2</v>
      </c>
      <c r="H1388" s="2">
        <f t="shared" ca="1" si="1308"/>
        <v>9.0856090022721714E-2</v>
      </c>
      <c r="I1388" s="2">
        <f t="shared" ca="1" si="1309"/>
        <v>8.2280184278179958E-2</v>
      </c>
      <c r="J1388" s="2">
        <f t="shared" ca="1" si="1310"/>
        <v>3.0505184872153847E-3</v>
      </c>
      <c r="K1388" s="2">
        <f t="shared" ca="1" si="1311"/>
        <v>3.0505184872153847E-3</v>
      </c>
      <c r="L1388" s="2">
        <f t="shared" ca="1" si="1312"/>
        <v>0.20898397366519228</v>
      </c>
      <c r="M1388" s="2">
        <f t="shared" ca="1" si="1313"/>
        <v>-1.6199033609969164E-2</v>
      </c>
      <c r="N1388" s="2">
        <f t="shared" ca="1" si="1314"/>
        <v>-1.6199033609969164E-2</v>
      </c>
      <c r="O1388" s="2">
        <f t="shared" si="1315"/>
        <v>6000000</v>
      </c>
      <c r="P1388" s="2">
        <f t="shared" ca="1" si="1316"/>
        <v>42639692.536318406</v>
      </c>
      <c r="Q1388" s="2">
        <f t="shared" ca="1" si="1317"/>
        <v>1065992.3134079601</v>
      </c>
      <c r="R1388" s="2">
        <f t="shared" ca="1" si="1318"/>
        <v>25583815.521791045</v>
      </c>
      <c r="S1388" s="2">
        <f t="shared" ca="1" si="1319"/>
        <v>17055877.014527362</v>
      </c>
      <c r="T1388" s="2">
        <f t="shared" ca="1" si="1320"/>
        <v>49190048.319501542</v>
      </c>
      <c r="U1388" s="2">
        <f t="shared" ca="1" si="1321"/>
        <v>53659263.777840205</v>
      </c>
      <c r="V1388" s="2">
        <f t="shared" ca="1" si="1322"/>
        <v>58534534.67819263</v>
      </c>
      <c r="W1388" s="2">
        <f t="shared" ca="1" si="1323"/>
        <v>63852753.630352631</v>
      </c>
      <c r="X1388" s="2">
        <f t="shared" ca="1" si="1324"/>
        <v>69654165.16239062</v>
      </c>
      <c r="Y1388" s="2">
        <f t="shared" ca="1" si="1325"/>
        <v>0.12152525924360769</v>
      </c>
      <c r="Z1388" s="2">
        <f t="shared" ca="1" si="1326"/>
        <v>0.12213536294105076</v>
      </c>
      <c r="AA1388" s="2">
        <f t="shared" ca="1" si="1327"/>
        <v>5977833.374233013</v>
      </c>
      <c r="AB1388" s="2">
        <f t="shared" ca="1" si="1328"/>
        <v>6553693.656656092</v>
      </c>
      <c r="AC1388" s="2">
        <f t="shared" ca="1" si="1329"/>
        <v>7149136.637506579</v>
      </c>
      <c r="AD1388" s="2">
        <f t="shared" ca="1" si="1330"/>
        <v>7798679.2394286152</v>
      </c>
      <c r="AE1388" s="2">
        <f t="shared" ca="1" si="1331"/>
        <v>8507236.7424644716</v>
      </c>
      <c r="AF1388" s="2">
        <f t="shared" ca="1" si="1332"/>
        <v>983800.96639003081</v>
      </c>
      <c r="AG1388" s="2">
        <f t="shared" ca="1" si="1333"/>
        <v>1073185.2755568041</v>
      </c>
      <c r="AH1388" s="2">
        <f t="shared" ca="1" si="1334"/>
        <v>1170690.6935638527</v>
      </c>
      <c r="AI1388" s="2">
        <f t="shared" ca="1" si="1335"/>
        <v>1277055.0726070527</v>
      </c>
      <c r="AJ1388" s="2">
        <f t="shared" ca="1" si="1336"/>
        <v>1393083.3032478124</v>
      </c>
      <c r="AK1388" s="2">
        <f t="shared" ca="1" si="1337"/>
        <v>0</v>
      </c>
      <c r="AL1388" s="2">
        <f t="shared" ca="1" si="1338"/>
        <v>44692.154583386633</v>
      </c>
      <c r="AM1388" s="2">
        <f t="shared" ca="1" si="1339"/>
        <v>48752.709003524258</v>
      </c>
      <c r="AN1388" s="2">
        <f t="shared" ca="1" si="1340"/>
        <v>53182.189521600012</v>
      </c>
      <c r="AO1388" s="2">
        <f t="shared" ca="1" si="1341"/>
        <v>58014.115320379882</v>
      </c>
      <c r="AP1388" s="2">
        <f t="shared" ca="1" si="1342"/>
        <v>2302543.396961194</v>
      </c>
      <c r="AQ1388" s="2">
        <f t="shared" ca="1" si="1343"/>
        <v>699787.1428292651</v>
      </c>
      <c r="AR1388" s="2">
        <f t="shared" ca="1" si="1344"/>
        <v>826270.89587590436</v>
      </c>
      <c r="AS1388" s="2">
        <f t="shared" ca="1" si="1345"/>
        <v>955734.66221519851</v>
      </c>
      <c r="AT1388" s="2">
        <f t="shared" ca="1" si="1346"/>
        <v>1096961.0001636958</v>
      </c>
      <c r="AU1388" s="2">
        <f t="shared" ca="1" si="1347"/>
        <v>1251018.6109864209</v>
      </c>
      <c r="AV1388" s="2">
        <f t="shared" ca="1" si="1348"/>
        <v>1991701.8680525231</v>
      </c>
      <c r="AW1388" s="2">
        <f t="shared" ca="1" si="1349"/>
        <v>2307001.9336788016</v>
      </c>
      <c r="AX1388" s="2">
        <f t="shared" ca="1" si="1350"/>
        <v>2671415.1757628103</v>
      </c>
      <c r="AY1388" s="2">
        <f t="shared" ca="1" si="1351"/>
        <v>3068937.5801750734</v>
      </c>
      <c r="AZ1388" s="2">
        <f t="shared" ca="1" si="1352"/>
        <v>3502577.3159486647</v>
      </c>
      <c r="BA1388" s="2">
        <f t="shared" ca="1" si="1353"/>
        <v>60967941.472900577</v>
      </c>
      <c r="BB1388" s="2">
        <f t="shared" ca="1" si="1354"/>
        <v>1219358.8294580115</v>
      </c>
      <c r="BC1388" s="2">
        <f t="shared" ca="1" si="1355"/>
        <v>34164767.121651515</v>
      </c>
      <c r="BD1388" s="2">
        <f t="shared" ca="1" si="1356"/>
        <v>-18621869.327935323</v>
      </c>
      <c r="BE1388" s="2">
        <f t="shared" ca="1" si="1357"/>
        <v>1991701.8680525231</v>
      </c>
      <c r="BF1388" s="2">
        <f t="shared" ca="1" si="1358"/>
        <v>2307001.9336788016</v>
      </c>
      <c r="BG1388" s="2">
        <f t="shared" ca="1" si="1359"/>
        <v>2671415.1757628103</v>
      </c>
      <c r="BH1388" s="2">
        <f t="shared" ca="1" si="1360"/>
        <v>3068937.5801750734</v>
      </c>
      <c r="BI1388" s="2">
        <f t="shared" ca="1" si="1361"/>
        <v>37667344.437600181</v>
      </c>
      <c r="BJ1388" s="2">
        <f t="shared" ca="1" si="1362"/>
        <v>0.24051658171560297</v>
      </c>
      <c r="BK1388" s="2">
        <f t="shared" ca="1" si="1363"/>
        <v>10220852.415435519</v>
      </c>
    </row>
    <row r="1389" spans="1:63" x14ac:dyDescent="0.3">
      <c r="A1389" s="2">
        <v>1388</v>
      </c>
      <c r="B1389" s="2">
        <f t="shared" ca="1" si="1302"/>
        <v>0.74679650753038174</v>
      </c>
      <c r="C1389" s="2">
        <f t="shared" ca="1" si="1303"/>
        <v>7.2883772172427044</v>
      </c>
      <c r="D1389" s="2">
        <f t="shared" ca="1" si="1304"/>
        <v>0.73968452771477289</v>
      </c>
      <c r="E1389" s="2">
        <f t="shared" ca="1" si="1305"/>
        <v>7.7784523961854948</v>
      </c>
      <c r="F1389" s="2">
        <f t="shared" ca="1" si="1306"/>
        <v>0.34947364049691509</v>
      </c>
      <c r="G1389" s="2">
        <f t="shared" ca="1" si="1307"/>
        <v>2.8397742493522775E-2</v>
      </c>
      <c r="H1389" s="2">
        <f t="shared" ca="1" si="1308"/>
        <v>2.8397742493522775E-2</v>
      </c>
      <c r="I1389" s="2">
        <f t="shared" ca="1" si="1309"/>
        <v>0.95606341755033741</v>
      </c>
      <c r="J1389" s="2">
        <f t="shared" ca="1" si="1310"/>
        <v>1.8533625358461061E-2</v>
      </c>
      <c r="K1389" s="2">
        <f t="shared" ca="1" si="1311"/>
        <v>1.8533625358461061E-2</v>
      </c>
      <c r="L1389" s="2">
        <f t="shared" ca="1" si="1312"/>
        <v>3.6544383486947218E-2</v>
      </c>
      <c r="M1389" s="2">
        <f t="shared" ca="1" si="1313"/>
        <v>-3.5845519849687812E-2</v>
      </c>
      <c r="N1389" s="2">
        <f t="shared" ca="1" si="1314"/>
        <v>-3.5845519849687812E-2</v>
      </c>
      <c r="O1389" s="2">
        <f t="shared" si="1315"/>
        <v>6000000</v>
      </c>
      <c r="P1389" s="2">
        <f t="shared" ca="1" si="1316"/>
        <v>43730263.303456225</v>
      </c>
      <c r="Q1389" s="2">
        <f t="shared" ca="1" si="1317"/>
        <v>1093256.5825864056</v>
      </c>
      <c r="R1389" s="2">
        <f t="shared" ca="1" si="1318"/>
        <v>26238157.982073735</v>
      </c>
      <c r="S1389" s="2">
        <f t="shared" ca="1" si="1319"/>
        <v>17492105.321382489</v>
      </c>
      <c r="T1389" s="2">
        <f t="shared" ca="1" si="1320"/>
        <v>48207724.007515609</v>
      </c>
      <c r="U1389" s="2">
        <f t="shared" ca="1" si="1321"/>
        <v>49576714.540079847</v>
      </c>
      <c r="V1389" s="2">
        <f t="shared" ca="1" si="1322"/>
        <v>50984581.313263915</v>
      </c>
      <c r="W1389" s="2">
        <f t="shared" ca="1" si="1323"/>
        <v>52432428.324538052</v>
      </c>
      <c r="X1389" s="2">
        <f t="shared" ca="1" si="1324"/>
        <v>53921390.922408365</v>
      </c>
      <c r="Y1389" s="2">
        <f t="shared" ca="1" si="1325"/>
        <v>0.12926681267923051</v>
      </c>
      <c r="Z1389" s="2">
        <f t="shared" ca="1" si="1326"/>
        <v>0.13297353775092274</v>
      </c>
      <c r="AA1389" s="2">
        <f t="shared" ca="1" si="1327"/>
        <v>6231658.8289715638</v>
      </c>
      <c r="AB1389" s="2">
        <f t="shared" ca="1" si="1328"/>
        <v>6592391.1224620277</v>
      </c>
      <c r="AC1389" s="2">
        <f t="shared" ca="1" si="1329"/>
        <v>6779600.14797429</v>
      </c>
      <c r="AD1389" s="2">
        <f t="shared" ca="1" si="1330"/>
        <v>6972125.4871855117</v>
      </c>
      <c r="AE1389" s="2">
        <f t="shared" ca="1" si="1331"/>
        <v>7170118.1114031319</v>
      </c>
      <c r="AF1389" s="2">
        <f t="shared" ca="1" si="1332"/>
        <v>964154.48015031219</v>
      </c>
      <c r="AG1389" s="2">
        <f t="shared" ca="1" si="1333"/>
        <v>991534.29080159694</v>
      </c>
      <c r="AH1389" s="2">
        <f t="shared" ca="1" si="1334"/>
        <v>1019691.6262652783</v>
      </c>
      <c r="AI1389" s="2">
        <f t="shared" ca="1" si="1335"/>
        <v>1048648.566490761</v>
      </c>
      <c r="AJ1389" s="2">
        <f t="shared" ca="1" si="1336"/>
        <v>1078427.8184481673</v>
      </c>
      <c r="AK1389" s="2">
        <f t="shared" ca="1" si="1337"/>
        <v>0</v>
      </c>
      <c r="AL1389" s="2">
        <f t="shared" ca="1" si="1338"/>
        <v>13689.905325642378</v>
      </c>
      <c r="AM1389" s="2">
        <f t="shared" ca="1" si="1339"/>
        <v>14078.667731840686</v>
      </c>
      <c r="AN1389" s="2">
        <f t="shared" ca="1" si="1340"/>
        <v>14478.470112741366</v>
      </c>
      <c r="AO1389" s="2">
        <f t="shared" ca="1" si="1341"/>
        <v>14889.625978703127</v>
      </c>
      <c r="AP1389" s="2">
        <f t="shared" ca="1" si="1342"/>
        <v>2361434.2183866361</v>
      </c>
      <c r="AQ1389" s="2">
        <f t="shared" ca="1" si="1343"/>
        <v>755578.23391300009</v>
      </c>
      <c r="AR1389" s="2">
        <f t="shared" ca="1" si="1344"/>
        <v>842249.87945118663</v>
      </c>
      <c r="AS1389" s="2">
        <f t="shared" ca="1" si="1345"/>
        <v>883603.31886381772</v>
      </c>
      <c r="AT1389" s="2">
        <f t="shared" ca="1" si="1346"/>
        <v>926131.10260010988</v>
      </c>
      <c r="AU1389" s="2">
        <f t="shared" ca="1" si="1347"/>
        <v>969866.57938776538</v>
      </c>
      <c r="AV1389" s="2">
        <f t="shared" ca="1" si="1348"/>
        <v>2150491.8965216158</v>
      </c>
      <c r="AW1389" s="2">
        <f t="shared" ca="1" si="1349"/>
        <v>2383482.8284969656</v>
      </c>
      <c r="AX1389" s="2">
        <f t="shared" ca="1" si="1350"/>
        <v>2500792.3167267172</v>
      </c>
      <c r="AY1389" s="2">
        <f t="shared" ca="1" si="1351"/>
        <v>2621433.1295952639</v>
      </c>
      <c r="AZ1389" s="2">
        <f t="shared" ca="1" si="1352"/>
        <v>2745499.8692018604</v>
      </c>
      <c r="BA1389" s="2">
        <f t="shared" ca="1" si="1353"/>
        <v>55772422.404576704</v>
      </c>
      <c r="BB1389" s="2">
        <f t="shared" ca="1" si="1354"/>
        <v>1115448.4480915342</v>
      </c>
      <c r="BC1389" s="2">
        <f t="shared" ca="1" si="1355"/>
        <v>28418815.974411435</v>
      </c>
      <c r="BD1389" s="2">
        <f t="shared" ca="1" si="1356"/>
        <v>-19085361.903968893</v>
      </c>
      <c r="BE1389" s="2">
        <f t="shared" ca="1" si="1357"/>
        <v>2150491.8965216158</v>
      </c>
      <c r="BF1389" s="2">
        <f t="shared" ca="1" si="1358"/>
        <v>2383482.8284969656</v>
      </c>
      <c r="BG1389" s="2">
        <f t="shared" ca="1" si="1359"/>
        <v>2500792.3167267172</v>
      </c>
      <c r="BH1389" s="2">
        <f t="shared" ca="1" si="1360"/>
        <v>2621433.1295952639</v>
      </c>
      <c r="BI1389" s="2">
        <f t="shared" ca="1" si="1361"/>
        <v>31164315.843613297</v>
      </c>
      <c r="BJ1389" s="2">
        <f t="shared" ca="1" si="1362"/>
        <v>0.19382810294144615</v>
      </c>
      <c r="BK1389" s="2">
        <f t="shared" ca="1" si="1363"/>
        <v>5864270.5345021784</v>
      </c>
    </row>
    <row r="1390" spans="1:63" x14ac:dyDescent="0.3">
      <c r="A1390" s="2">
        <v>1389</v>
      </c>
      <c r="B1390" s="2">
        <f t="shared" ca="1" si="1302"/>
        <v>2.7253197846322852E-2</v>
      </c>
      <c r="C1390" s="2">
        <f t="shared" ca="1" si="1303"/>
        <v>6.233466048265365</v>
      </c>
      <c r="D1390" s="2">
        <f t="shared" ca="1" si="1304"/>
        <v>1.2373489389057135E-2</v>
      </c>
      <c r="E1390" s="2">
        <f t="shared" ca="1" si="1305"/>
        <v>6.6573117248590021</v>
      </c>
      <c r="F1390" s="2">
        <f t="shared" ca="1" si="1306"/>
        <v>0.8203302637569545</v>
      </c>
      <c r="G1390" s="2">
        <f t="shared" ca="1" si="1307"/>
        <v>6.7498733224177238E-2</v>
      </c>
      <c r="H1390" s="2">
        <f t="shared" ca="1" si="1308"/>
        <v>6.7498733224177238E-2</v>
      </c>
      <c r="I1390" s="2">
        <f t="shared" ca="1" si="1309"/>
        <v>0.72718578681174284</v>
      </c>
      <c r="J1390" s="2">
        <f t="shared" ca="1" si="1310"/>
        <v>1.302161869617326E-2</v>
      </c>
      <c r="K1390" s="2">
        <f t="shared" ca="1" si="1311"/>
        <v>1.302161869617326E-2</v>
      </c>
      <c r="L1390" s="2">
        <f t="shared" ca="1" si="1312"/>
        <v>0.18621174198691071</v>
      </c>
      <c r="M1390" s="2">
        <f t="shared" ca="1" si="1313"/>
        <v>-1.7838860042141184E-2</v>
      </c>
      <c r="N1390" s="2">
        <f t="shared" ca="1" si="1314"/>
        <v>-1.7838860042141184E-2</v>
      </c>
      <c r="O1390" s="2">
        <f t="shared" si="1315"/>
        <v>6000000</v>
      </c>
      <c r="P1390" s="2">
        <f t="shared" ca="1" si="1316"/>
        <v>37400796.289592192</v>
      </c>
      <c r="Q1390" s="2">
        <f t="shared" ca="1" si="1317"/>
        <v>935019.90723980486</v>
      </c>
      <c r="R1390" s="2">
        <f t="shared" ca="1" si="1318"/>
        <v>22440477.773755316</v>
      </c>
      <c r="S1390" s="2">
        <f t="shared" ca="1" si="1319"/>
        <v>14960318.515836878</v>
      </c>
      <c r="T1390" s="2">
        <f t="shared" ca="1" si="1320"/>
        <v>49108056.997892939</v>
      </c>
      <c r="U1390" s="2">
        <f t="shared" ca="1" si="1321"/>
        <v>52422788.636351399</v>
      </c>
      <c r="V1390" s="2">
        <f t="shared" ca="1" si="1322"/>
        <v>55961260.461383909</v>
      </c>
      <c r="W1390" s="2">
        <f t="shared" ca="1" si="1323"/>
        <v>59738574.652155556</v>
      </c>
      <c r="X1390" s="2">
        <f t="shared" ca="1" si="1324"/>
        <v>63770852.765794002</v>
      </c>
      <c r="Y1390" s="2">
        <f t="shared" ca="1" si="1325"/>
        <v>0.12651080934808662</v>
      </c>
      <c r="Z1390" s="2">
        <f t="shared" ca="1" si="1326"/>
        <v>0.12911513308732128</v>
      </c>
      <c r="AA1390" s="2">
        <f t="shared" ca="1" si="1327"/>
        <v>6212700.0363154048</v>
      </c>
      <c r="AB1390" s="2">
        <f t="shared" ca="1" si="1328"/>
        <v>6768575.331591025</v>
      </c>
      <c r="AC1390" s="2">
        <f t="shared" ca="1" si="1329"/>
        <v>7225445.5922058336</v>
      </c>
      <c r="AD1390" s="2">
        <f t="shared" ca="1" si="1330"/>
        <v>7713154.0166599425</v>
      </c>
      <c r="AE1390" s="2">
        <f t="shared" ca="1" si="1331"/>
        <v>8233782.1419474632</v>
      </c>
      <c r="AF1390" s="2">
        <f t="shared" ca="1" si="1332"/>
        <v>982161.13995785883</v>
      </c>
      <c r="AG1390" s="2">
        <f t="shared" ca="1" si="1333"/>
        <v>1048455.772727028</v>
      </c>
      <c r="AH1390" s="2">
        <f t="shared" ca="1" si="1334"/>
        <v>1119225.2092276781</v>
      </c>
      <c r="AI1390" s="2">
        <f t="shared" ca="1" si="1335"/>
        <v>1194771.4930431112</v>
      </c>
      <c r="AJ1390" s="2">
        <f t="shared" ca="1" si="1336"/>
        <v>1275417.0553158801</v>
      </c>
      <c r="AK1390" s="2">
        <f t="shared" ca="1" si="1337"/>
        <v>0</v>
      </c>
      <c r="AL1390" s="2">
        <f t="shared" ca="1" si="1338"/>
        <v>33147.316384584607</v>
      </c>
      <c r="AM1390" s="2">
        <f t="shared" ca="1" si="1339"/>
        <v>35384.718250325102</v>
      </c>
      <c r="AN1390" s="2">
        <f t="shared" ca="1" si="1340"/>
        <v>37773.141907716468</v>
      </c>
      <c r="AO1390" s="2">
        <f t="shared" ca="1" si="1341"/>
        <v>40322.781136384459</v>
      </c>
      <c r="AP1390" s="2">
        <f t="shared" ca="1" si="1342"/>
        <v>2019642.9996379784</v>
      </c>
      <c r="AQ1390" s="2">
        <f t="shared" ca="1" si="1343"/>
        <v>834832.93314708758</v>
      </c>
      <c r="AR1390" s="2">
        <f t="shared" ca="1" si="1344"/>
        <v>962123.905398765</v>
      </c>
      <c r="AS1390" s="2">
        <f t="shared" ca="1" si="1345"/>
        <v>1062510.119668446</v>
      </c>
      <c r="AT1390" s="2">
        <f t="shared" ca="1" si="1346"/>
        <v>1169672.276234502</v>
      </c>
      <c r="AU1390" s="2">
        <f t="shared" ca="1" si="1347"/>
        <v>1284067.7426183373</v>
      </c>
      <c r="AV1390" s="2">
        <f t="shared" ca="1" si="1348"/>
        <v>2376062.9635724798</v>
      </c>
      <c r="AW1390" s="2">
        <f t="shared" ca="1" si="1349"/>
        <v>2705205.33744267</v>
      </c>
      <c r="AX1390" s="2">
        <f t="shared" ca="1" si="1350"/>
        <v>2988682.5454214066</v>
      </c>
      <c r="AY1390" s="2">
        <f t="shared" ca="1" si="1351"/>
        <v>3291294.1058366355</v>
      </c>
      <c r="AZ1390" s="2">
        <f t="shared" ca="1" si="1352"/>
        <v>3614331.5632388834</v>
      </c>
      <c r="BA1390" s="2">
        <f t="shared" ca="1" si="1353"/>
        <v>54814854.393521518</v>
      </c>
      <c r="BB1390" s="2">
        <f t="shared" ca="1" si="1354"/>
        <v>1096297.0878704304</v>
      </c>
      <c r="BC1390" s="2">
        <f t="shared" ca="1" si="1355"/>
        <v>31278079.531895772</v>
      </c>
      <c r="BD1390" s="2">
        <f t="shared" ca="1" si="1356"/>
        <v>-16395338.423076682</v>
      </c>
      <c r="BE1390" s="2">
        <f t="shared" ca="1" si="1357"/>
        <v>2376062.9635724798</v>
      </c>
      <c r="BF1390" s="2">
        <f t="shared" ca="1" si="1358"/>
        <v>2705205.33744267</v>
      </c>
      <c r="BG1390" s="2">
        <f t="shared" ca="1" si="1359"/>
        <v>2988682.5454214066</v>
      </c>
      <c r="BH1390" s="2">
        <f t="shared" ca="1" si="1360"/>
        <v>3291294.1058366355</v>
      </c>
      <c r="BI1390" s="2">
        <f t="shared" ca="1" si="1361"/>
        <v>34892411.095134653</v>
      </c>
      <c r="BJ1390" s="2">
        <f t="shared" ca="1" si="1362"/>
        <v>0.27840012681896753</v>
      </c>
      <c r="BK1390" s="2">
        <f t="shared" ca="1" si="1363"/>
        <v>11900572.722930081</v>
      </c>
    </row>
    <row r="1391" spans="1:63" x14ac:dyDescent="0.3">
      <c r="A1391" s="2">
        <v>1390</v>
      </c>
      <c r="B1391" s="2">
        <f t="shared" ca="1" si="1302"/>
        <v>0.3346323437114237</v>
      </c>
      <c r="C1391" s="2">
        <f t="shared" ca="1" si="1303"/>
        <v>6.8180859902374857</v>
      </c>
      <c r="D1391" s="2">
        <f t="shared" ca="1" si="1304"/>
        <v>0.29552467034728014</v>
      </c>
      <c r="E1391" s="2">
        <f t="shared" ca="1" si="1305"/>
        <v>7.2687973339538585</v>
      </c>
      <c r="F1391" s="2">
        <f t="shared" ca="1" si="1306"/>
        <v>0.59955600457253921</v>
      </c>
      <c r="G1391" s="2">
        <f t="shared" ca="1" si="1307"/>
        <v>4.7565941282368053E-2</v>
      </c>
      <c r="H1391" s="2">
        <f t="shared" ca="1" si="1308"/>
        <v>4.7565941282368053E-2</v>
      </c>
      <c r="I1391" s="2">
        <f t="shared" ca="1" si="1309"/>
        <v>0.39937097718616199</v>
      </c>
      <c r="J1391" s="2">
        <f t="shared" ca="1" si="1310"/>
        <v>8.72512206140846E-3</v>
      </c>
      <c r="K1391" s="2">
        <f t="shared" ca="1" si="1311"/>
        <v>8.72512206140846E-3</v>
      </c>
      <c r="L1391" s="2">
        <f t="shared" ca="1" si="1312"/>
        <v>0.32157990738859765</v>
      </c>
      <c r="M1391" s="2">
        <f t="shared" ca="1" si="1313"/>
        <v>-9.265707851862582E-3</v>
      </c>
      <c r="N1391" s="2">
        <f t="shared" ca="1" si="1314"/>
        <v>-9.265707851862582E-3</v>
      </c>
      <c r="O1391" s="2">
        <f t="shared" si="1315"/>
        <v>6000000</v>
      </c>
      <c r="P1391" s="2">
        <f t="shared" ca="1" si="1316"/>
        <v>40908515.941424914</v>
      </c>
      <c r="Q1391" s="2">
        <f t="shared" ca="1" si="1317"/>
        <v>1022712.8985356229</v>
      </c>
      <c r="R1391" s="2">
        <f t="shared" ca="1" si="1318"/>
        <v>24545109.564854946</v>
      </c>
      <c r="S1391" s="2">
        <f t="shared" ca="1" si="1319"/>
        <v>16363406.376569966</v>
      </c>
      <c r="T1391" s="2">
        <f t="shared" ca="1" si="1320"/>
        <v>49536714.60740687</v>
      </c>
      <c r="U1391" s="2">
        <f t="shared" ca="1" si="1321"/>
        <v>51892975.065744214</v>
      </c>
      <c r="V1391" s="2">
        <f t="shared" ca="1" si="1322"/>
        <v>54361313.270688795</v>
      </c>
      <c r="W1391" s="2">
        <f t="shared" ca="1" si="1323"/>
        <v>56947060.305754796</v>
      </c>
      <c r="X1391" s="2">
        <f t="shared" ca="1" si="1324"/>
        <v>59655800.832461804</v>
      </c>
      <c r="Y1391" s="2">
        <f t="shared" ca="1" si="1325"/>
        <v>0.12436256103070423</v>
      </c>
      <c r="Z1391" s="2">
        <f t="shared" ca="1" si="1326"/>
        <v>0.12610758544298592</v>
      </c>
      <c r="AA1391" s="2">
        <f t="shared" ca="1" si="1327"/>
        <v>6160512.6936242143</v>
      </c>
      <c r="AB1391" s="2">
        <f t="shared" ca="1" si="1328"/>
        <v>6544097.7869940763</v>
      </c>
      <c r="AC1391" s="2">
        <f t="shared" ca="1" si="1329"/>
        <v>6855373.9580763113</v>
      </c>
      <c r="AD1391" s="2">
        <f t="shared" ca="1" si="1330"/>
        <v>7181456.2732348451</v>
      </c>
      <c r="AE1391" s="2">
        <f t="shared" ca="1" si="1331"/>
        <v>7523049.000649428</v>
      </c>
      <c r="AF1391" s="2">
        <f t="shared" ca="1" si="1332"/>
        <v>990734.29214813747</v>
      </c>
      <c r="AG1391" s="2">
        <f t="shared" ca="1" si="1333"/>
        <v>1037859.5013148843</v>
      </c>
      <c r="AH1391" s="2">
        <f t="shared" ca="1" si="1334"/>
        <v>1087226.2654137758</v>
      </c>
      <c r="AI1391" s="2">
        <f t="shared" ca="1" si="1335"/>
        <v>1138941.2061150959</v>
      </c>
      <c r="AJ1391" s="2">
        <f t="shared" ca="1" si="1336"/>
        <v>1193116.0166492362</v>
      </c>
      <c r="AK1391" s="2">
        <f t="shared" ca="1" si="1337"/>
        <v>0</v>
      </c>
      <c r="AL1391" s="2">
        <f t="shared" ca="1" si="1338"/>
        <v>23562.604583373442</v>
      </c>
      <c r="AM1391" s="2">
        <f t="shared" ca="1" si="1339"/>
        <v>24683.382049445809</v>
      </c>
      <c r="AN1391" s="2">
        <f t="shared" ca="1" si="1340"/>
        <v>25857.470350660013</v>
      </c>
      <c r="AO1391" s="2">
        <f t="shared" ca="1" si="1341"/>
        <v>27087.405267070084</v>
      </c>
      <c r="AP1391" s="2">
        <f t="shared" ca="1" si="1342"/>
        <v>2209059.860836945</v>
      </c>
      <c r="AQ1391" s="2">
        <f t="shared" ca="1" si="1343"/>
        <v>769786.82056617434</v>
      </c>
      <c r="AR1391" s="2">
        <f t="shared" ca="1" si="1344"/>
        <v>857266.3904589843</v>
      </c>
      <c r="AS1391" s="2">
        <f t="shared" ca="1" si="1345"/>
        <v>925362.83627465344</v>
      </c>
      <c r="AT1391" s="2">
        <f t="shared" ca="1" si="1346"/>
        <v>996698.35363352916</v>
      </c>
      <c r="AU1391" s="2">
        <f t="shared" ca="1" si="1347"/>
        <v>1071427.0120224443</v>
      </c>
      <c r="AV1391" s="2">
        <f t="shared" ca="1" si="1348"/>
        <v>2190931.7200729572</v>
      </c>
      <c r="AW1391" s="2">
        <f t="shared" ca="1" si="1349"/>
        <v>2416349.4297998897</v>
      </c>
      <c r="AX1391" s="2">
        <f t="shared" ca="1" si="1350"/>
        <v>2609041.6135014906</v>
      </c>
      <c r="AY1391" s="2">
        <f t="shared" ca="1" si="1351"/>
        <v>2810899.3822986144</v>
      </c>
      <c r="AZ1391" s="2">
        <f t="shared" ca="1" si="1352"/>
        <v>3022358.7058737329</v>
      </c>
      <c r="BA1391" s="2">
        <f t="shared" ca="1" si="1353"/>
        <v>54683518.519124798</v>
      </c>
      <c r="BB1391" s="2">
        <f t="shared" ca="1" si="1354"/>
        <v>1093670.3703824959</v>
      </c>
      <c r="BC1391" s="2">
        <f t="shared" ca="1" si="1355"/>
        <v>29044738.583887357</v>
      </c>
      <c r="BD1391" s="2">
        <f t="shared" ca="1" si="1356"/>
        <v>-17886119.275105588</v>
      </c>
      <c r="BE1391" s="2">
        <f t="shared" ca="1" si="1357"/>
        <v>2190931.7200729572</v>
      </c>
      <c r="BF1391" s="2">
        <f t="shared" ca="1" si="1358"/>
        <v>2416349.4297998897</v>
      </c>
      <c r="BG1391" s="2">
        <f t="shared" ca="1" si="1359"/>
        <v>2609041.6135014906</v>
      </c>
      <c r="BH1391" s="2">
        <f t="shared" ca="1" si="1360"/>
        <v>2810899.3822986144</v>
      </c>
      <c r="BI1391" s="2">
        <f t="shared" ca="1" si="1361"/>
        <v>32067097.289761089</v>
      </c>
      <c r="BJ1391" s="2">
        <f t="shared" ca="1" si="1362"/>
        <v>0.22172110683845503</v>
      </c>
      <c r="BK1391" s="2">
        <f t="shared" ca="1" si="1363"/>
        <v>7835542.5795270912</v>
      </c>
    </row>
    <row r="1392" spans="1:63" x14ac:dyDescent="0.3">
      <c r="A1392" s="2">
        <v>1391</v>
      </c>
      <c r="B1392" s="2">
        <f t="shared" ca="1" si="1302"/>
        <v>0.87501487001958111</v>
      </c>
      <c r="C1392" s="2">
        <f t="shared" ca="1" si="1303"/>
        <v>7.5000297409236847</v>
      </c>
      <c r="D1392" s="2">
        <f t="shared" ca="1" si="1304"/>
        <v>0.62305723299196858</v>
      </c>
      <c r="E1392" s="2">
        <f t="shared" ca="1" si="1305"/>
        <v>7.6317341800945622</v>
      </c>
      <c r="F1392" s="2">
        <f t="shared" ca="1" si="1306"/>
        <v>0.99123292720652167</v>
      </c>
      <c r="G1392" s="2">
        <f t="shared" ca="1" si="1307"/>
        <v>0.11125934511837685</v>
      </c>
      <c r="H1392" s="2">
        <f t="shared" ca="1" si="1308"/>
        <v>0.11125934511837685</v>
      </c>
      <c r="I1392" s="2">
        <f t="shared" ca="1" si="1309"/>
        <v>0.11828207068617869</v>
      </c>
      <c r="J1392" s="2">
        <f t="shared" ca="1" si="1310"/>
        <v>4.0819078482572605E-3</v>
      </c>
      <c r="K1392" s="2">
        <f t="shared" ca="1" si="1311"/>
        <v>4.0819078482572605E-3</v>
      </c>
      <c r="L1392" s="2">
        <f t="shared" ca="1" si="1312"/>
        <v>0.68600408298459592</v>
      </c>
      <c r="M1392" s="2">
        <f t="shared" ca="1" si="1313"/>
        <v>9.6911058360865873E-3</v>
      </c>
      <c r="N1392" s="2">
        <f t="shared" ca="1" si="1314"/>
        <v>9.6911058360865873E-3</v>
      </c>
      <c r="O1392" s="2">
        <f t="shared" si="1315"/>
        <v>6000000</v>
      </c>
      <c r="P1392" s="2">
        <f t="shared" ca="1" si="1316"/>
        <v>45000178.445542105</v>
      </c>
      <c r="Q1392" s="2">
        <f t="shared" ca="1" si="1317"/>
        <v>1125004.4611385528</v>
      </c>
      <c r="R1392" s="2">
        <f t="shared" ca="1" si="1318"/>
        <v>27000107.06732526</v>
      </c>
      <c r="S1392" s="2">
        <f t="shared" ca="1" si="1319"/>
        <v>18000071.378216844</v>
      </c>
      <c r="T1392" s="2">
        <f t="shared" ca="1" si="1320"/>
        <v>50484555.291804336</v>
      </c>
      <c r="U1392" s="2">
        <f t="shared" ca="1" si="1321"/>
        <v>56101433.852162972</v>
      </c>
      <c r="V1392" s="2">
        <f t="shared" ca="1" si="1322"/>
        <v>62343242.642756559</v>
      </c>
      <c r="W1392" s="2">
        <f t="shared" ca="1" si="1323"/>
        <v>69279510.99174571</v>
      </c>
      <c r="X1392" s="2">
        <f t="shared" ca="1" si="1324"/>
        <v>76987504.014808729</v>
      </c>
      <c r="Y1392" s="2">
        <f t="shared" ca="1" si="1325"/>
        <v>0.12204095392412863</v>
      </c>
      <c r="Z1392" s="2">
        <f t="shared" ca="1" si="1326"/>
        <v>0.12285733549378008</v>
      </c>
      <c r="AA1392" s="2">
        <f t="shared" ca="1" si="1327"/>
        <v>6161183.2862472171</v>
      </c>
      <c r="AB1392" s="2">
        <f t="shared" ca="1" si="1328"/>
        <v>6892472.6804572977</v>
      </c>
      <c r="AC1392" s="2">
        <f t="shared" ca="1" si="1329"/>
        <v>7659324.6771312794</v>
      </c>
      <c r="AD1392" s="2">
        <f t="shared" ca="1" si="1330"/>
        <v>8511496.1247579269</v>
      </c>
      <c r="AE1392" s="2">
        <f t="shared" ca="1" si="1331"/>
        <v>9458479.6095760968</v>
      </c>
      <c r="AF1392" s="2">
        <f t="shared" ca="1" si="1332"/>
        <v>1009691.1058360868</v>
      </c>
      <c r="AG1392" s="2">
        <f t="shared" ca="1" si="1333"/>
        <v>1122028.6770432594</v>
      </c>
      <c r="AH1392" s="2">
        <f t="shared" ca="1" si="1334"/>
        <v>1246864.8528551313</v>
      </c>
      <c r="AI1392" s="2">
        <f t="shared" ca="1" si="1335"/>
        <v>1385590.2198349142</v>
      </c>
      <c r="AJ1392" s="2">
        <f t="shared" ca="1" si="1336"/>
        <v>1539750.0802961746</v>
      </c>
      <c r="AK1392" s="2">
        <f t="shared" ca="1" si="1337"/>
        <v>0</v>
      </c>
      <c r="AL1392" s="2">
        <f t="shared" ca="1" si="1338"/>
        <v>56168.785603586359</v>
      </c>
      <c r="AM1392" s="2">
        <f t="shared" ca="1" si="1339"/>
        <v>62418.08790593587</v>
      </c>
      <c r="AN1392" s="2">
        <f t="shared" ca="1" si="1340"/>
        <v>69362.683489891511</v>
      </c>
      <c r="AO1392" s="2">
        <f t="shared" ca="1" si="1341"/>
        <v>77079.930230630198</v>
      </c>
      <c r="AP1392" s="2">
        <f t="shared" ca="1" si="1342"/>
        <v>2430009.6360592735</v>
      </c>
      <c r="AQ1392" s="2">
        <f t="shared" ca="1" si="1343"/>
        <v>707585.46153148275</v>
      </c>
      <c r="AR1392" s="2">
        <f t="shared" ca="1" si="1344"/>
        <v>868512.935512239</v>
      </c>
      <c r="AS1392" s="2">
        <f t="shared" ca="1" si="1345"/>
        <v>1035437.0489363875</v>
      </c>
      <c r="AT1392" s="2">
        <f t="shared" ca="1" si="1346"/>
        <v>1220933.0299045723</v>
      </c>
      <c r="AU1392" s="2">
        <f t="shared" ca="1" si="1347"/>
        <v>1427067.1722373685</v>
      </c>
      <c r="AV1392" s="2">
        <f t="shared" ca="1" si="1348"/>
        <v>2013897.0828203741</v>
      </c>
      <c r="AW1392" s="2">
        <f t="shared" ca="1" si="1349"/>
        <v>2415752.6462389394</v>
      </c>
      <c r="AX1392" s="2">
        <f t="shared" ca="1" si="1350"/>
        <v>2884595.0513745514</v>
      </c>
      <c r="AY1392" s="2">
        <f t="shared" ca="1" si="1351"/>
        <v>3405600.555469275</v>
      </c>
      <c r="AZ1392" s="2">
        <f t="shared" ca="1" si="1352"/>
        <v>3984572.7907526498</v>
      </c>
      <c r="BA1392" s="2">
        <f t="shared" ca="1" si="1353"/>
        <v>72184602.128129363</v>
      </c>
      <c r="BB1392" s="2">
        <f t="shared" ca="1" si="1354"/>
        <v>1443692.0425625872</v>
      </c>
      <c r="BC1392" s="2">
        <f t="shared" ca="1" si="1355"/>
        <v>43740803.01824151</v>
      </c>
      <c r="BD1392" s="2">
        <f t="shared" ca="1" si="1356"/>
        <v>-19625075.839355398</v>
      </c>
      <c r="BE1392" s="2">
        <f t="shared" ca="1" si="1357"/>
        <v>2013897.0828203741</v>
      </c>
      <c r="BF1392" s="2">
        <f t="shared" ca="1" si="1358"/>
        <v>2415752.6462389394</v>
      </c>
      <c r="BG1392" s="2">
        <f t="shared" ca="1" si="1359"/>
        <v>2884595.0513745514</v>
      </c>
      <c r="BH1392" s="2">
        <f t="shared" ca="1" si="1360"/>
        <v>3405600.555469275</v>
      </c>
      <c r="BI1392" s="2">
        <f t="shared" ca="1" si="1361"/>
        <v>47725375.808994159</v>
      </c>
      <c r="BJ1392" s="2">
        <f t="shared" ca="1" si="1362"/>
        <v>0.27933644027376237</v>
      </c>
      <c r="BK1392" s="2">
        <f t="shared" ca="1" si="1363"/>
        <v>15397048.209900323</v>
      </c>
    </row>
    <row r="1393" spans="1:63" x14ac:dyDescent="0.3">
      <c r="A1393" s="2">
        <v>1392</v>
      </c>
      <c r="B1393" s="2">
        <f t="shared" ca="1" si="1302"/>
        <v>0.68375928726004553</v>
      </c>
      <c r="C1393" s="2">
        <f t="shared" ca="1" si="1303"/>
        <v>7.2047129917571215</v>
      </c>
      <c r="D1393" s="2">
        <f t="shared" ca="1" si="1304"/>
        <v>0.23460727217368427</v>
      </c>
      <c r="E1393" s="2">
        <f t="shared" ca="1" si="1305"/>
        <v>7.1849923680942496</v>
      </c>
      <c r="F1393" s="2">
        <f t="shared" ca="1" si="1306"/>
        <v>0.33906909043888389</v>
      </c>
      <c r="G1393" s="2">
        <f t="shared" ca="1" si="1307"/>
        <v>2.754984745959518E-2</v>
      </c>
      <c r="H1393" s="2">
        <f t="shared" ca="1" si="1308"/>
        <v>2.754984745959518E-2</v>
      </c>
      <c r="I1393" s="2">
        <f t="shared" ca="1" si="1309"/>
        <v>0.32063470008575989</v>
      </c>
      <c r="J1393" s="2">
        <f t="shared" ca="1" si="1310"/>
        <v>7.6703764981381293E-3</v>
      </c>
      <c r="K1393" s="2">
        <f t="shared" ca="1" si="1311"/>
        <v>7.6703764981381293E-3</v>
      </c>
      <c r="L1393" s="2">
        <f t="shared" ca="1" si="1312"/>
        <v>0.53013578641942538</v>
      </c>
      <c r="M1393" s="2">
        <f t="shared" ca="1" si="1313"/>
        <v>1.5122239623469086E-3</v>
      </c>
      <c r="N1393" s="2">
        <f t="shared" ca="1" si="1314"/>
        <v>1.5122239623469086E-3</v>
      </c>
      <c r="O1393" s="2">
        <f t="shared" si="1315"/>
        <v>6000000</v>
      </c>
      <c r="P1393" s="2">
        <f t="shared" ca="1" si="1316"/>
        <v>43228277.950542726</v>
      </c>
      <c r="Q1393" s="2">
        <f t="shared" ca="1" si="1317"/>
        <v>1080706.9487635682</v>
      </c>
      <c r="R1393" s="2">
        <f t="shared" ca="1" si="1318"/>
        <v>25936966.770325635</v>
      </c>
      <c r="S1393" s="2">
        <f t="shared" ca="1" si="1319"/>
        <v>17291311.180217091</v>
      </c>
      <c r="T1393" s="2">
        <f t="shared" ca="1" si="1320"/>
        <v>50075611.198117346</v>
      </c>
      <c r="U1393" s="2">
        <f t="shared" ca="1" si="1321"/>
        <v>51455186.648071475</v>
      </c>
      <c r="V1393" s="2">
        <f t="shared" ca="1" si="1322"/>
        <v>52872769.191230841</v>
      </c>
      <c r="W1393" s="2">
        <f t="shared" ca="1" si="1323"/>
        <v>54329405.917215638</v>
      </c>
      <c r="X1393" s="2">
        <f t="shared" ca="1" si="1324"/>
        <v>55826172.762805358</v>
      </c>
      <c r="Y1393" s="2">
        <f t="shared" ca="1" si="1325"/>
        <v>0.12383518824906906</v>
      </c>
      <c r="Z1393" s="2">
        <f t="shared" ca="1" si="1326"/>
        <v>0.12536926354869668</v>
      </c>
      <c r="AA1393" s="2">
        <f t="shared" ca="1" si="1327"/>
        <v>6201122.739406052</v>
      </c>
      <c r="AB1393" s="2">
        <f t="shared" ca="1" si="1328"/>
        <v>6450898.8558294512</v>
      </c>
      <c r="AC1393" s="2">
        <f t="shared" ca="1" si="1329"/>
        <v>6628620.1352848299</v>
      </c>
      <c r="AD1393" s="2">
        <f t="shared" ca="1" si="1330"/>
        <v>6811237.608879528</v>
      </c>
      <c r="AE1393" s="2">
        <f t="shared" ca="1" si="1331"/>
        <v>6998886.1660152171</v>
      </c>
      <c r="AF1393" s="2">
        <f t="shared" ca="1" si="1332"/>
        <v>1001512.2239623469</v>
      </c>
      <c r="AG1393" s="2">
        <f t="shared" ca="1" si="1333"/>
        <v>1029103.7329614295</v>
      </c>
      <c r="AH1393" s="2">
        <f t="shared" ca="1" si="1334"/>
        <v>1057455.3838246169</v>
      </c>
      <c r="AI1393" s="2">
        <f t="shared" ca="1" si="1335"/>
        <v>1086588.1183443128</v>
      </c>
      <c r="AJ1393" s="2">
        <f t="shared" ca="1" si="1336"/>
        <v>1116523.4552561073</v>
      </c>
      <c r="AK1393" s="2">
        <f t="shared" ca="1" si="1337"/>
        <v>0</v>
      </c>
      <c r="AL1393" s="2">
        <f t="shared" ca="1" si="1338"/>
        <v>13795.754499541297</v>
      </c>
      <c r="AM1393" s="2">
        <f t="shared" ca="1" si="1339"/>
        <v>14175.825431593657</v>
      </c>
      <c r="AN1393" s="2">
        <f t="shared" ca="1" si="1340"/>
        <v>14566.36725984797</v>
      </c>
      <c r="AO1393" s="2">
        <f t="shared" ca="1" si="1341"/>
        <v>14967.668455897197</v>
      </c>
      <c r="AP1393" s="2">
        <f t="shared" ca="1" si="1342"/>
        <v>2334327.0093293069</v>
      </c>
      <c r="AQ1393" s="2">
        <f t="shared" ca="1" si="1343"/>
        <v>744973.7115897435</v>
      </c>
      <c r="AR1393" s="2">
        <f t="shared" ca="1" si="1344"/>
        <v>802741.70952006592</v>
      </c>
      <c r="AS1393" s="2">
        <f t="shared" ca="1" si="1345"/>
        <v>841577.8129540357</v>
      </c>
      <c r="AT1393" s="2">
        <f t="shared" ca="1" si="1346"/>
        <v>881483.84511353623</v>
      </c>
      <c r="AU1393" s="2">
        <f t="shared" ca="1" si="1347"/>
        <v>922489.28237174882</v>
      </c>
      <c r="AV1393" s="2">
        <f t="shared" ca="1" si="1348"/>
        <v>2120309.7945246547</v>
      </c>
      <c r="AW1393" s="2">
        <f t="shared" ca="1" si="1349"/>
        <v>2270930.6495191073</v>
      </c>
      <c r="AX1393" s="2">
        <f t="shared" ca="1" si="1350"/>
        <v>2381084.103745277</v>
      </c>
      <c r="AY1393" s="2">
        <f t="shared" ca="1" si="1351"/>
        <v>2494272.2688325243</v>
      </c>
      <c r="AZ1393" s="2">
        <f t="shared" ca="1" si="1352"/>
        <v>2610578.7506021569</v>
      </c>
      <c r="BA1393" s="2">
        <f t="shared" ca="1" si="1353"/>
        <v>50286943.687979758</v>
      </c>
      <c r="BB1393" s="2">
        <f t="shared" ca="1" si="1354"/>
        <v>1005738.8737595952</v>
      </c>
      <c r="BC1393" s="2">
        <f t="shared" ca="1" si="1355"/>
        <v>23344238.043894529</v>
      </c>
      <c r="BD1393" s="2">
        <f t="shared" ca="1" si="1356"/>
        <v>-18872018.128980659</v>
      </c>
      <c r="BE1393" s="2">
        <f t="shared" ca="1" si="1357"/>
        <v>2120309.7945246547</v>
      </c>
      <c r="BF1393" s="2">
        <f t="shared" ca="1" si="1358"/>
        <v>2270930.6495191073</v>
      </c>
      <c r="BG1393" s="2">
        <f t="shared" ca="1" si="1359"/>
        <v>2381084.103745277</v>
      </c>
      <c r="BH1393" s="2">
        <f t="shared" ca="1" si="1360"/>
        <v>2494272.2688325243</v>
      </c>
      <c r="BI1393" s="2">
        <f t="shared" ca="1" si="1361"/>
        <v>25954816.794496685</v>
      </c>
      <c r="BJ1393" s="2">
        <f t="shared" ca="1" si="1362"/>
        <v>0.15855956786996295</v>
      </c>
      <c r="BK1393" s="2">
        <f t="shared" ca="1" si="1363"/>
        <v>2838911.4634590708</v>
      </c>
    </row>
    <row r="1394" spans="1:63" x14ac:dyDescent="0.3">
      <c r="A1394" s="2">
        <v>1393</v>
      </c>
      <c r="B1394" s="2">
        <f t="shared" ca="1" si="1302"/>
        <v>0.8890171213035658</v>
      </c>
      <c r="C1394" s="2">
        <f t="shared" ca="1" si="1303"/>
        <v>7.5288675797688418</v>
      </c>
      <c r="D1394" s="2">
        <f t="shared" ca="1" si="1304"/>
        <v>0.89676766963628951</v>
      </c>
      <c r="E1394" s="2">
        <f t="shared" ca="1" si="1305"/>
        <v>8.0456161746635111</v>
      </c>
      <c r="F1394" s="2">
        <f t="shared" ca="1" si="1306"/>
        <v>0.55336683831216582</v>
      </c>
      <c r="G1394" s="2">
        <f t="shared" ca="1" si="1307"/>
        <v>4.4025169222105025E-2</v>
      </c>
      <c r="H1394" s="2">
        <f t="shared" ca="1" si="1308"/>
        <v>4.4025169222105025E-2</v>
      </c>
      <c r="I1394" s="2">
        <f t="shared" ca="1" si="1309"/>
        <v>0.19520397782196597</v>
      </c>
      <c r="J1394" s="2">
        <f t="shared" ca="1" si="1310"/>
        <v>5.7056111547613957E-3</v>
      </c>
      <c r="K1394" s="2">
        <f t="shared" ca="1" si="1311"/>
        <v>5.7056111547613957E-3</v>
      </c>
      <c r="L1394" s="2">
        <f t="shared" ca="1" si="1312"/>
        <v>0.76002534629495944</v>
      </c>
      <c r="M1394" s="2">
        <f t="shared" ca="1" si="1313"/>
        <v>1.4127681955450671E-2</v>
      </c>
      <c r="N1394" s="2">
        <f t="shared" ca="1" si="1314"/>
        <v>1.4127681955450671E-2</v>
      </c>
      <c r="O1394" s="2">
        <f t="shared" si="1315"/>
        <v>6000000</v>
      </c>
      <c r="P1394" s="2">
        <f t="shared" ca="1" si="1316"/>
        <v>45173205.478613049</v>
      </c>
      <c r="Q1394" s="2">
        <f t="shared" ca="1" si="1317"/>
        <v>1129330.1369653263</v>
      </c>
      <c r="R1394" s="2">
        <f t="shared" ca="1" si="1318"/>
        <v>27103923.287167829</v>
      </c>
      <c r="S1394" s="2">
        <f t="shared" ca="1" si="1319"/>
        <v>18069282.19144522</v>
      </c>
      <c r="T1394" s="2">
        <f t="shared" ca="1" si="1320"/>
        <v>50706384.097772539</v>
      </c>
      <c r="U1394" s="2">
        <f t="shared" ca="1" si="1321"/>
        <v>52938741.238318026</v>
      </c>
      <c r="V1394" s="2">
        <f t="shared" ca="1" si="1322"/>
        <v>55269378.279740207</v>
      </c>
      <c r="W1394" s="2">
        <f t="shared" ca="1" si="1323"/>
        <v>57702622.011306301</v>
      </c>
      <c r="X1394" s="2">
        <f t="shared" ca="1" si="1324"/>
        <v>60242989.709913217</v>
      </c>
      <c r="Y1394" s="2">
        <f t="shared" ca="1" si="1325"/>
        <v>0.12285280557738069</v>
      </c>
      <c r="Z1394" s="2">
        <f t="shared" ca="1" si="1326"/>
        <v>0.12399392780833297</v>
      </c>
      <c r="AA1394" s="2">
        <f t="shared" ca="1" si="1327"/>
        <v>6229421.5470956378</v>
      </c>
      <c r="AB1394" s="2">
        <f t="shared" ca="1" si="1328"/>
        <v>6564082.459368025</v>
      </c>
      <c r="AC1394" s="2">
        <f t="shared" ca="1" si="1329"/>
        <v>6853067.3004295537</v>
      </c>
      <c r="AD1394" s="2">
        <f t="shared" ca="1" si="1330"/>
        <v>7154774.7480214387</v>
      </c>
      <c r="AE1394" s="2">
        <f t="shared" ca="1" si="1331"/>
        <v>7469764.9170491258</v>
      </c>
      <c r="AF1394" s="2">
        <f t="shared" ca="1" si="1332"/>
        <v>1014127.6819554508</v>
      </c>
      <c r="AG1394" s="2">
        <f t="shared" ca="1" si="1333"/>
        <v>1058774.8247663605</v>
      </c>
      <c r="AH1394" s="2">
        <f t="shared" ca="1" si="1334"/>
        <v>1105387.5655948042</v>
      </c>
      <c r="AI1394" s="2">
        <f t="shared" ca="1" si="1335"/>
        <v>1154052.440226126</v>
      </c>
      <c r="AJ1394" s="2">
        <f t="shared" ca="1" si="1336"/>
        <v>1204859.7941982644</v>
      </c>
      <c r="AK1394" s="2">
        <f t="shared" ca="1" si="1337"/>
        <v>0</v>
      </c>
      <c r="AL1394" s="2">
        <f t="shared" ca="1" si="1338"/>
        <v>22323.571405454873</v>
      </c>
      <c r="AM1394" s="2">
        <f t="shared" ca="1" si="1339"/>
        <v>23306.370414221808</v>
      </c>
      <c r="AN1394" s="2">
        <f t="shared" ca="1" si="1340"/>
        <v>24332.43731566094</v>
      </c>
      <c r="AO1394" s="2">
        <f t="shared" ca="1" si="1341"/>
        <v>25403.676986069157</v>
      </c>
      <c r="AP1394" s="2">
        <f t="shared" ca="1" si="1342"/>
        <v>2439353.0958451047</v>
      </c>
      <c r="AQ1394" s="2">
        <f t="shared" ca="1" si="1343"/>
        <v>721744.60001672129</v>
      </c>
      <c r="AR1394" s="2">
        <f t="shared" ca="1" si="1344"/>
        <v>797148.18007670564</v>
      </c>
      <c r="AS1394" s="2">
        <f t="shared" ca="1" si="1345"/>
        <v>860164.92613730766</v>
      </c>
      <c r="AT1394" s="2">
        <f t="shared" ca="1" si="1346"/>
        <v>925955.99510705401</v>
      </c>
      <c r="AU1394" s="2">
        <f t="shared" ca="1" si="1347"/>
        <v>994643.52702149679</v>
      </c>
      <c r="AV1394" s="2">
        <f t="shared" ca="1" si="1348"/>
        <v>2054196.1692783604</v>
      </c>
      <c r="AW1394" s="2">
        <f t="shared" ca="1" si="1349"/>
        <v>2246482.7872744002</v>
      </c>
      <c r="AX1394" s="2">
        <f t="shared" ca="1" si="1350"/>
        <v>2424855.3424381153</v>
      </c>
      <c r="AY1394" s="2">
        <f t="shared" ca="1" si="1351"/>
        <v>2611080.7795274933</v>
      </c>
      <c r="AZ1394" s="2">
        <f t="shared" ca="1" si="1352"/>
        <v>2805504.8229981908</v>
      </c>
      <c r="BA1394" s="2">
        <f t="shared" ca="1" si="1353"/>
        <v>60098861.437544487</v>
      </c>
      <c r="BB1394" s="2">
        <f t="shared" ca="1" si="1354"/>
        <v>1201977.2287508899</v>
      </c>
      <c r="BC1394" s="2">
        <f t="shared" ca="1" si="1355"/>
        <v>31792960.921625771</v>
      </c>
      <c r="BD1394" s="2">
        <f t="shared" ca="1" si="1356"/>
        <v>-19698612.328410547</v>
      </c>
      <c r="BE1394" s="2">
        <f t="shared" ca="1" si="1357"/>
        <v>2054196.1692783604</v>
      </c>
      <c r="BF1394" s="2">
        <f t="shared" ca="1" si="1358"/>
        <v>2246482.7872744002</v>
      </c>
      <c r="BG1394" s="2">
        <f t="shared" ca="1" si="1359"/>
        <v>2424855.3424381153</v>
      </c>
      <c r="BH1394" s="2">
        <f t="shared" ca="1" si="1360"/>
        <v>2611080.7795274933</v>
      </c>
      <c r="BI1394" s="2">
        <f t="shared" ca="1" si="1361"/>
        <v>34598465.744623959</v>
      </c>
      <c r="BJ1394" s="2">
        <f t="shared" ca="1" si="1362"/>
        <v>0.20202052409379911</v>
      </c>
      <c r="BK1394" s="2">
        <f t="shared" ca="1" si="1363"/>
        <v>6943825.5244753286</v>
      </c>
    </row>
    <row r="1395" spans="1:63" x14ac:dyDescent="0.3">
      <c r="A1395" s="2">
        <v>1394</v>
      </c>
      <c r="B1395" s="2">
        <f t="shared" ca="1" si="1302"/>
        <v>0.45215274351033619</v>
      </c>
      <c r="C1395" s="2">
        <f t="shared" ca="1" si="1303"/>
        <v>6.9509497815450993</v>
      </c>
      <c r="D1395" s="2">
        <f t="shared" ca="1" si="1304"/>
        <v>0.1384038492972689</v>
      </c>
      <c r="E1395" s="2">
        <f t="shared" ca="1" si="1305"/>
        <v>7.0261251738840649</v>
      </c>
      <c r="F1395" s="2">
        <f t="shared" ca="1" si="1306"/>
        <v>0.32782297265111005</v>
      </c>
      <c r="G1395" s="2">
        <f t="shared" ca="1" si="1307"/>
        <v>2.6622022516723687E-2</v>
      </c>
      <c r="H1395" s="2">
        <f t="shared" ca="1" si="1308"/>
        <v>2.6622022516723687E-2</v>
      </c>
      <c r="I1395" s="2">
        <f t="shared" ca="1" si="1309"/>
        <v>0.96739426313724286</v>
      </c>
      <c r="J1395" s="2">
        <f t="shared" ca="1" si="1310"/>
        <v>1.9219028088723888E-2</v>
      </c>
      <c r="K1395" s="2">
        <f t="shared" ca="1" si="1311"/>
        <v>1.9219028088723888E-2</v>
      </c>
      <c r="L1395" s="2">
        <f t="shared" ca="1" si="1312"/>
        <v>0.13208071138263944</v>
      </c>
      <c r="M1395" s="2">
        <f t="shared" ca="1" si="1313"/>
        <v>-2.233218556563878E-2</v>
      </c>
      <c r="N1395" s="2">
        <f t="shared" ca="1" si="1314"/>
        <v>-2.233218556563878E-2</v>
      </c>
      <c r="O1395" s="2">
        <f t="shared" si="1315"/>
        <v>6000000</v>
      </c>
      <c r="P1395" s="2">
        <f t="shared" ca="1" si="1316"/>
        <v>41705698.689270593</v>
      </c>
      <c r="Q1395" s="2">
        <f t="shared" ca="1" si="1317"/>
        <v>1042642.4672317649</v>
      </c>
      <c r="R1395" s="2">
        <f t="shared" ca="1" si="1318"/>
        <v>25023419.213562354</v>
      </c>
      <c r="S1395" s="2">
        <f t="shared" ca="1" si="1319"/>
        <v>16682279.475708239</v>
      </c>
      <c r="T1395" s="2">
        <f t="shared" ca="1" si="1320"/>
        <v>48883390.721718065</v>
      </c>
      <c r="U1395" s="2">
        <f t="shared" ca="1" si="1321"/>
        <v>50184765.450205445</v>
      </c>
      <c r="V1395" s="2">
        <f t="shared" ca="1" si="1322"/>
        <v>51520785.406017311</v>
      </c>
      <c r="W1395" s="2">
        <f t="shared" ca="1" si="1323"/>
        <v>52892372.915175594</v>
      </c>
      <c r="X1395" s="2">
        <f t="shared" ca="1" si="1324"/>
        <v>54300474.857886352</v>
      </c>
      <c r="Y1395" s="2">
        <f t="shared" ca="1" si="1325"/>
        <v>0.12960951404436194</v>
      </c>
      <c r="Z1395" s="2">
        <f t="shared" ca="1" si="1326"/>
        <v>0.13345331966210672</v>
      </c>
      <c r="AA1395" s="2">
        <f t="shared" ca="1" si="1327"/>
        <v>6335752.5162825501</v>
      </c>
      <c r="AB1395" s="2">
        <f t="shared" ca="1" si="1328"/>
        <v>6697323.5457941163</v>
      </c>
      <c r="AC1395" s="2">
        <f t="shared" ca="1" si="1329"/>
        <v>6875619.8440320306</v>
      </c>
      <c r="AD1395" s="2">
        <f t="shared" ca="1" si="1330"/>
        <v>7058662.7503362838</v>
      </c>
      <c r="AE1395" s="2">
        <f t="shared" ca="1" si="1331"/>
        <v>7246578.6290136958</v>
      </c>
      <c r="AF1395" s="2">
        <f t="shared" ca="1" si="1332"/>
        <v>977667.81443436129</v>
      </c>
      <c r="AG1395" s="2">
        <f t="shared" ca="1" si="1333"/>
        <v>1003695.3090041089</v>
      </c>
      <c r="AH1395" s="2">
        <f t="shared" ca="1" si="1334"/>
        <v>1030415.7081203462</v>
      </c>
      <c r="AI1395" s="2">
        <f t="shared" ca="1" si="1335"/>
        <v>1057847.4583035118</v>
      </c>
      <c r="AJ1395" s="2">
        <f t="shared" ca="1" si="1336"/>
        <v>1086009.4971577271</v>
      </c>
      <c r="AK1395" s="2">
        <f t="shared" ca="1" si="1337"/>
        <v>0</v>
      </c>
      <c r="AL1395" s="2">
        <f t="shared" ca="1" si="1338"/>
        <v>13013.747284873798</v>
      </c>
      <c r="AM1395" s="2">
        <f t="shared" ca="1" si="1339"/>
        <v>13360.199558118657</v>
      </c>
      <c r="AN1395" s="2">
        <f t="shared" ca="1" si="1340"/>
        <v>13715.875091582835</v>
      </c>
      <c r="AO1395" s="2">
        <f t="shared" ca="1" si="1341"/>
        <v>14081.019427107572</v>
      </c>
      <c r="AP1395" s="2">
        <f t="shared" ca="1" si="1342"/>
        <v>2252107.729220612</v>
      </c>
      <c r="AQ1395" s="2">
        <f t="shared" ca="1" si="1343"/>
        <v>807554.01288316993</v>
      </c>
      <c r="AR1395" s="2">
        <f t="shared" ca="1" si="1344"/>
        <v>894795.33196804277</v>
      </c>
      <c r="AS1395" s="2">
        <f t="shared" ca="1" si="1345"/>
        <v>934205.06573967892</v>
      </c>
      <c r="AT1395" s="2">
        <f t="shared" ca="1" si="1346"/>
        <v>974663.96633116156</v>
      </c>
      <c r="AU1395" s="2">
        <f t="shared" ca="1" si="1347"/>
        <v>1016199.9646851927</v>
      </c>
      <c r="AV1395" s="2">
        <f t="shared" ca="1" si="1348"/>
        <v>2298422.9597444069</v>
      </c>
      <c r="AW1395" s="2">
        <f t="shared" ca="1" si="1349"/>
        <v>2533711.4283164786</v>
      </c>
      <c r="AX1395" s="2">
        <f t="shared" ca="1" si="1350"/>
        <v>2645531.141393275</v>
      </c>
      <c r="AY1395" s="2">
        <f t="shared" ca="1" si="1351"/>
        <v>2760327.7213894157</v>
      </c>
      <c r="AZ1395" s="2">
        <f t="shared" ca="1" si="1352"/>
        <v>2878180.4185230564</v>
      </c>
      <c r="BA1395" s="2">
        <f t="shared" ca="1" si="1353"/>
        <v>50915368.529843405</v>
      </c>
      <c r="BB1395" s="2">
        <f t="shared" ca="1" si="1354"/>
        <v>1018307.3705968681</v>
      </c>
      <c r="BC1395" s="2">
        <f t="shared" ca="1" si="1355"/>
        <v>24873641.945684183</v>
      </c>
      <c r="BD1395" s="2">
        <f t="shared" ca="1" si="1356"/>
        <v>-18224921.942940004</v>
      </c>
      <c r="BE1395" s="2">
        <f t="shared" ca="1" si="1357"/>
        <v>2298422.9597444069</v>
      </c>
      <c r="BF1395" s="2">
        <f t="shared" ca="1" si="1358"/>
        <v>2533711.4283164786</v>
      </c>
      <c r="BG1395" s="2">
        <f t="shared" ca="1" si="1359"/>
        <v>2645531.141393275</v>
      </c>
      <c r="BH1395" s="2">
        <f t="shared" ca="1" si="1360"/>
        <v>2760327.7213894157</v>
      </c>
      <c r="BI1395" s="2">
        <f t="shared" ca="1" si="1361"/>
        <v>27751822.364207238</v>
      </c>
      <c r="BJ1395" s="2">
        <f t="shared" ca="1" si="1362"/>
        <v>0.19115515517155601</v>
      </c>
      <c r="BK1395" s="2">
        <f t="shared" ca="1" si="1363"/>
        <v>5231504.9373767972</v>
      </c>
    </row>
    <row r="1396" spans="1:63" x14ac:dyDescent="0.3">
      <c r="A1396" s="2">
        <v>1395</v>
      </c>
      <c r="B1396" s="2">
        <f t="shared" ca="1" si="1302"/>
        <v>0.45155189122012007</v>
      </c>
      <c r="C1396" s="2">
        <f t="shared" ca="1" si="1303"/>
        <v>6.9503177270998577</v>
      </c>
      <c r="D1396" s="2">
        <f t="shared" ca="1" si="1304"/>
        <v>0.27819599852611998</v>
      </c>
      <c r="E1396" s="2">
        <f t="shared" ca="1" si="1305"/>
        <v>7.2459168834744521</v>
      </c>
      <c r="F1396" s="2">
        <f t="shared" ca="1" si="1306"/>
        <v>7.6670508165742834E-2</v>
      </c>
      <c r="G1396" s="2">
        <f t="shared" ca="1" si="1307"/>
        <v>-2.834877004789009E-3</v>
      </c>
      <c r="H1396" s="2">
        <f t="shared" ca="1" si="1308"/>
        <v>-2.834877004789009E-3</v>
      </c>
      <c r="I1396" s="2">
        <f t="shared" ca="1" si="1309"/>
        <v>0.69374574988724214</v>
      </c>
      <c r="J1396" s="2">
        <f t="shared" ca="1" si="1310"/>
        <v>1.2532479977097322E-2</v>
      </c>
      <c r="K1396" s="2">
        <f t="shared" ca="1" si="1311"/>
        <v>1.2532479977097322E-2</v>
      </c>
      <c r="L1396" s="2">
        <f t="shared" ca="1" si="1312"/>
        <v>0.3728491720424314</v>
      </c>
      <c r="M1396" s="2">
        <f t="shared" ca="1" si="1313"/>
        <v>-6.4863322440632133E-3</v>
      </c>
      <c r="N1396" s="2">
        <f t="shared" ca="1" si="1314"/>
        <v>-6.4863322440632133E-3</v>
      </c>
      <c r="O1396" s="2">
        <f t="shared" si="1315"/>
        <v>6000000</v>
      </c>
      <c r="P1396" s="2">
        <f t="shared" ca="1" si="1316"/>
        <v>41701906.362599149</v>
      </c>
      <c r="Q1396" s="2">
        <f t="shared" ca="1" si="1317"/>
        <v>1042547.6590649788</v>
      </c>
      <c r="R1396" s="2">
        <f t="shared" ca="1" si="1318"/>
        <v>25021143.817559488</v>
      </c>
      <c r="S1396" s="2">
        <f t="shared" ca="1" si="1319"/>
        <v>16680762.545039661</v>
      </c>
      <c r="T1396" s="2">
        <f t="shared" ca="1" si="1320"/>
        <v>49675683.387796834</v>
      </c>
      <c r="U1396" s="2">
        <f t="shared" ca="1" si="1321"/>
        <v>49534858.935263589</v>
      </c>
      <c r="V1396" s="2">
        <f t="shared" ca="1" si="1322"/>
        <v>49394433.702732541</v>
      </c>
      <c r="W1396" s="2">
        <f t="shared" ca="1" si="1323"/>
        <v>49254406.558464088</v>
      </c>
      <c r="X1396" s="2">
        <f t="shared" ca="1" si="1324"/>
        <v>49114776.373926967</v>
      </c>
      <c r="Y1396" s="2">
        <f t="shared" ca="1" si="1325"/>
        <v>0.12626623998854866</v>
      </c>
      <c r="Z1396" s="2">
        <f t="shared" ca="1" si="1326"/>
        <v>0.12877273598396813</v>
      </c>
      <c r="AA1396" s="2">
        <f t="shared" ca="1" si="1327"/>
        <v>6272361.7602387154</v>
      </c>
      <c r="AB1396" s="2">
        <f t="shared" ca="1" si="1328"/>
        <v>6378739.3116738023</v>
      </c>
      <c r="AC1396" s="2">
        <f t="shared" ca="1" si="1329"/>
        <v>6360656.3702795943</v>
      </c>
      <c r="AD1396" s="2">
        <f t="shared" ca="1" si="1330"/>
        <v>6342624.691800124</v>
      </c>
      <c r="AE1396" s="2">
        <f t="shared" ca="1" si="1331"/>
        <v>6324644.1309113326</v>
      </c>
      <c r="AF1396" s="2">
        <f t="shared" ca="1" si="1332"/>
        <v>993513.66775593674</v>
      </c>
      <c r="AG1396" s="2">
        <f t="shared" ca="1" si="1333"/>
        <v>990697.1787052718</v>
      </c>
      <c r="AH1396" s="2">
        <f t="shared" ca="1" si="1334"/>
        <v>987888.67405465082</v>
      </c>
      <c r="AI1396" s="2">
        <f t="shared" ca="1" si="1335"/>
        <v>985088.13116928178</v>
      </c>
      <c r="AJ1396" s="2">
        <f t="shared" ca="1" si="1336"/>
        <v>982295.52747853938</v>
      </c>
      <c r="AK1396" s="2">
        <f t="shared" ca="1" si="1337"/>
        <v>0</v>
      </c>
      <c r="AL1396" s="2">
        <f t="shared" ca="1" si="1338"/>
        <v>0</v>
      </c>
      <c r="AM1396" s="2">
        <f t="shared" ca="1" si="1339"/>
        <v>0</v>
      </c>
      <c r="AN1396" s="2">
        <f t="shared" ca="1" si="1340"/>
        <v>0</v>
      </c>
      <c r="AO1396" s="2">
        <f t="shared" ca="1" si="1341"/>
        <v>0</v>
      </c>
      <c r="AP1396" s="2">
        <f t="shared" ca="1" si="1342"/>
        <v>2251902.9435803536</v>
      </c>
      <c r="AQ1396" s="2">
        <f t="shared" ca="1" si="1343"/>
        <v>787005.73871463072</v>
      </c>
      <c r="AR1396" s="2">
        <f t="shared" ca="1" si="1344"/>
        <v>815396.18924092595</v>
      </c>
      <c r="AS1396" s="2">
        <f t="shared" ca="1" si="1345"/>
        <v>811424.83568759344</v>
      </c>
      <c r="AT1396" s="2">
        <f t="shared" ca="1" si="1346"/>
        <v>807464.74043312704</v>
      </c>
      <c r="AU1396" s="2">
        <f t="shared" ca="1" si="1347"/>
        <v>803515.87156163435</v>
      </c>
      <c r="AV1396" s="2">
        <f t="shared" ca="1" si="1348"/>
        <v>2239939.4101877948</v>
      </c>
      <c r="AW1396" s="2">
        <f t="shared" ca="1" si="1349"/>
        <v>2320743.0001472505</v>
      </c>
      <c r="AX1396" s="2">
        <f t="shared" ca="1" si="1350"/>
        <v>2309439.9169569965</v>
      </c>
      <c r="AY1396" s="2">
        <f t="shared" ca="1" si="1351"/>
        <v>2298168.8766173618</v>
      </c>
      <c r="AZ1396" s="2">
        <f t="shared" ca="1" si="1352"/>
        <v>2286929.7882908052</v>
      </c>
      <c r="BA1396" s="2">
        <f t="shared" ca="1" si="1353"/>
        <v>45827845.690138027</v>
      </c>
      <c r="BB1396" s="2">
        <f t="shared" ca="1" si="1354"/>
        <v>916556.91380276054</v>
      </c>
      <c r="BC1396" s="2">
        <f t="shared" ca="1" si="1355"/>
        <v>19890144.958775777</v>
      </c>
      <c r="BD1396" s="2">
        <f t="shared" ca="1" si="1356"/>
        <v>-18223310.20410464</v>
      </c>
      <c r="BE1396" s="2">
        <f t="shared" ca="1" si="1357"/>
        <v>2239939.4101877948</v>
      </c>
      <c r="BF1396" s="2">
        <f t="shared" ca="1" si="1358"/>
        <v>2320743.0001472505</v>
      </c>
      <c r="BG1396" s="2">
        <f t="shared" ca="1" si="1359"/>
        <v>2309439.9169569965</v>
      </c>
      <c r="BH1396" s="2">
        <f t="shared" ca="1" si="1360"/>
        <v>2298168.8766173618</v>
      </c>
      <c r="BI1396" s="2">
        <f t="shared" ca="1" si="1361"/>
        <v>22177074.747066583</v>
      </c>
      <c r="BJ1396" s="2">
        <f t="shared" ca="1" si="1362"/>
        <v>0.13945395663348004</v>
      </c>
      <c r="BK1396" s="2">
        <f t="shared" ca="1" si="1363"/>
        <v>1314927.1864193529</v>
      </c>
    </row>
    <row r="1397" spans="1:63" x14ac:dyDescent="0.3">
      <c r="A1397" s="2">
        <v>1396</v>
      </c>
      <c r="B1397" s="2">
        <f t="shared" ca="1" si="1302"/>
        <v>0.62580681307946928</v>
      </c>
      <c r="C1397" s="2">
        <f t="shared" ca="1" si="1303"/>
        <v>7.1349067253520797</v>
      </c>
      <c r="D1397" s="2">
        <f t="shared" ca="1" si="1304"/>
        <v>0.47716807053859189</v>
      </c>
      <c r="E1397" s="2">
        <f t="shared" ca="1" si="1305"/>
        <v>7.4769012954629472</v>
      </c>
      <c r="F1397" s="2">
        <f t="shared" ca="1" si="1306"/>
        <v>0.53502652046558552</v>
      </c>
      <c r="G1397" s="2">
        <f t="shared" ca="1" si="1307"/>
        <v>4.2637347160831847E-2</v>
      </c>
      <c r="H1397" s="2">
        <f t="shared" ca="1" si="1308"/>
        <v>4.2637347160831847E-2</v>
      </c>
      <c r="I1397" s="2">
        <f t="shared" ca="1" si="1309"/>
        <v>0.57358560716471141</v>
      </c>
      <c r="J1397" s="2">
        <f t="shared" ca="1" si="1310"/>
        <v>1.0927551605687938E-2</v>
      </c>
      <c r="K1397" s="2">
        <f t="shared" ca="1" si="1311"/>
        <v>1.0927551605687938E-2</v>
      </c>
      <c r="L1397" s="2">
        <f t="shared" ca="1" si="1312"/>
        <v>0.78113597017991654</v>
      </c>
      <c r="M1397" s="2">
        <f t="shared" ca="1" si="1313"/>
        <v>1.5520708839115112E-2</v>
      </c>
      <c r="N1397" s="2">
        <f t="shared" ca="1" si="1314"/>
        <v>1.5520708839115112E-2</v>
      </c>
      <c r="O1397" s="2">
        <f t="shared" si="1315"/>
        <v>6000000</v>
      </c>
      <c r="P1397" s="2">
        <f t="shared" ca="1" si="1316"/>
        <v>42809440.35211248</v>
      </c>
      <c r="Q1397" s="2">
        <f t="shared" ca="1" si="1317"/>
        <v>1070236.0088028121</v>
      </c>
      <c r="R1397" s="2">
        <f t="shared" ca="1" si="1318"/>
        <v>25685664.211267486</v>
      </c>
      <c r="S1397" s="2">
        <f t="shared" ca="1" si="1319"/>
        <v>17123776.140844993</v>
      </c>
      <c r="T1397" s="2">
        <f t="shared" ca="1" si="1320"/>
        <v>50776035.44195576</v>
      </c>
      <c r="U1397" s="2">
        <f t="shared" ca="1" si="1321"/>
        <v>52940990.892545134</v>
      </c>
      <c r="V1397" s="2">
        <f t="shared" ca="1" si="1322"/>
        <v>55198254.300269023</v>
      </c>
      <c r="W1397" s="2">
        <f t="shared" ca="1" si="1323"/>
        <v>57551761.431541473</v>
      </c>
      <c r="X1397" s="2">
        <f t="shared" ca="1" si="1324"/>
        <v>60005615.86341548</v>
      </c>
      <c r="Y1397" s="2">
        <f t="shared" ca="1" si="1325"/>
        <v>0.12546377580284396</v>
      </c>
      <c r="Z1397" s="2">
        <f t="shared" ca="1" si="1326"/>
        <v>0.12764928612398155</v>
      </c>
      <c r="AA1397" s="2">
        <f t="shared" ca="1" si="1327"/>
        <v>6370553.1268467959</v>
      </c>
      <c r="AB1397" s="2">
        <f t="shared" ca="1" si="1328"/>
        <v>6757879.6941295946</v>
      </c>
      <c r="AC1397" s="2">
        <f t="shared" ca="1" si="1329"/>
        <v>7046017.756719335</v>
      </c>
      <c r="AD1397" s="2">
        <f t="shared" ca="1" si="1330"/>
        <v>7346441.2619139636</v>
      </c>
      <c r="AE1397" s="2">
        <f t="shared" ca="1" si="1331"/>
        <v>7659674.028394849</v>
      </c>
      <c r="AF1397" s="2">
        <f t="shared" ca="1" si="1332"/>
        <v>1015520.7088391152</v>
      </c>
      <c r="AG1397" s="2">
        <f t="shared" ca="1" si="1333"/>
        <v>1058819.8178509027</v>
      </c>
      <c r="AH1397" s="2">
        <f t="shared" ca="1" si="1334"/>
        <v>1103965.0860053804</v>
      </c>
      <c r="AI1397" s="2">
        <f t="shared" ca="1" si="1335"/>
        <v>1151035.2286308294</v>
      </c>
      <c r="AJ1397" s="2">
        <f t="shared" ca="1" si="1336"/>
        <v>1200112.3172683096</v>
      </c>
      <c r="AK1397" s="2">
        <f t="shared" ca="1" si="1337"/>
        <v>0</v>
      </c>
      <c r="AL1397" s="2">
        <f t="shared" ca="1" si="1338"/>
        <v>21649.554505893739</v>
      </c>
      <c r="AM1397" s="2">
        <f t="shared" ca="1" si="1339"/>
        <v>22572.634077238887</v>
      </c>
      <c r="AN1397" s="2">
        <f t="shared" ca="1" si="1340"/>
        <v>23535.0713127245</v>
      </c>
      <c r="AO1397" s="2">
        <f t="shared" ca="1" si="1341"/>
        <v>24538.544318740071</v>
      </c>
      <c r="AP1397" s="2">
        <f t="shared" ca="1" si="1342"/>
        <v>2311709.7790140738</v>
      </c>
      <c r="AQ1397" s="2">
        <f t="shared" ca="1" si="1343"/>
        <v>791263.8861383379</v>
      </c>
      <c r="AR1397" s="2">
        <f t="shared" ca="1" si="1344"/>
        <v>880711.02528880071</v>
      </c>
      <c r="AS1397" s="2">
        <f t="shared" ca="1" si="1345"/>
        <v>943889.151841969</v>
      </c>
      <c r="AT1397" s="2">
        <f t="shared" ca="1" si="1346"/>
        <v>1009761.0261099557</v>
      </c>
      <c r="AU1397" s="2">
        <f t="shared" ca="1" si="1347"/>
        <v>1078441.5023492412</v>
      </c>
      <c r="AV1397" s="2">
        <f t="shared" ca="1" si="1348"/>
        <v>2252058.7528552697</v>
      </c>
      <c r="AW1397" s="2">
        <f t="shared" ca="1" si="1349"/>
        <v>2484989.5174699235</v>
      </c>
      <c r="AX1397" s="2">
        <f t="shared" ca="1" si="1350"/>
        <v>2663881.1057806727</v>
      </c>
      <c r="AY1397" s="2">
        <f t="shared" ca="1" si="1351"/>
        <v>2850400.1568463794</v>
      </c>
      <c r="AZ1397" s="2">
        <f t="shared" ca="1" si="1352"/>
        <v>3044871.8854444842</v>
      </c>
      <c r="BA1397" s="2">
        <f t="shared" ca="1" si="1353"/>
        <v>57270626.665729336</v>
      </c>
      <c r="BB1397" s="2">
        <f t="shared" ca="1" si="1354"/>
        <v>1145412.5333145868</v>
      </c>
      <c r="BC1397" s="2">
        <f t="shared" ca="1" si="1355"/>
        <v>30439549.921147265</v>
      </c>
      <c r="BD1397" s="2">
        <f t="shared" ca="1" si="1356"/>
        <v>-18694012.149647806</v>
      </c>
      <c r="BE1397" s="2">
        <f t="shared" ca="1" si="1357"/>
        <v>2252058.7528552697</v>
      </c>
      <c r="BF1397" s="2">
        <f t="shared" ca="1" si="1358"/>
        <v>2484989.5174699235</v>
      </c>
      <c r="BG1397" s="2">
        <f t="shared" ca="1" si="1359"/>
        <v>2663881.1057806727</v>
      </c>
      <c r="BH1397" s="2">
        <f t="shared" ca="1" si="1360"/>
        <v>2850400.1568463794</v>
      </c>
      <c r="BI1397" s="2">
        <f t="shared" ca="1" si="1361"/>
        <v>33484421.806591749</v>
      </c>
      <c r="BJ1397" s="2">
        <f t="shared" ca="1" si="1362"/>
        <v>0.21943440579531592</v>
      </c>
      <c r="BK1397" s="2">
        <f t="shared" ca="1" si="1363"/>
        <v>8005311.9883299768</v>
      </c>
    </row>
    <row r="1398" spans="1:63" x14ac:dyDescent="0.3">
      <c r="A1398" s="2">
        <v>1397</v>
      </c>
      <c r="B1398" s="2">
        <f t="shared" ca="1" si="1302"/>
        <v>0.80958635029527692</v>
      </c>
      <c r="C1398" s="2">
        <f t="shared" ca="1" si="1303"/>
        <v>7.3828879361011923</v>
      </c>
      <c r="D1398" s="2">
        <f t="shared" ca="1" si="1304"/>
        <v>0.20012161147172636</v>
      </c>
      <c r="E1398" s="2">
        <f t="shared" ca="1" si="1305"/>
        <v>7.1326477874326697</v>
      </c>
      <c r="F1398" s="2">
        <f t="shared" ca="1" si="1306"/>
        <v>0.86180910736721394</v>
      </c>
      <c r="G1398" s="2">
        <f t="shared" ca="1" si="1307"/>
        <v>7.2654500344998194E-2</v>
      </c>
      <c r="H1398" s="2">
        <f t="shared" ca="1" si="1308"/>
        <v>7.2654500344998194E-2</v>
      </c>
      <c r="I1398" s="2">
        <f t="shared" ca="1" si="1309"/>
        <v>0.36129338166461511</v>
      </c>
      <c r="J1398" s="2">
        <f t="shared" ca="1" si="1310"/>
        <v>8.22498112613761E-3</v>
      </c>
      <c r="K1398" s="2">
        <f t="shared" ca="1" si="1311"/>
        <v>8.22498112613761E-3</v>
      </c>
      <c r="L1398" s="2">
        <f t="shared" ca="1" si="1312"/>
        <v>0.6267868744689169</v>
      </c>
      <c r="M1398" s="2">
        <f t="shared" ca="1" si="1313"/>
        <v>6.4671040721470865E-3</v>
      </c>
      <c r="N1398" s="2">
        <f t="shared" ca="1" si="1314"/>
        <v>6.4671040721470865E-3</v>
      </c>
      <c r="O1398" s="2">
        <f t="shared" si="1315"/>
        <v>6000000</v>
      </c>
      <c r="P1398" s="2">
        <f t="shared" ca="1" si="1316"/>
        <v>44297327.616607152</v>
      </c>
      <c r="Q1398" s="2">
        <f t="shared" ca="1" si="1317"/>
        <v>1107433.1904151789</v>
      </c>
      <c r="R1398" s="2">
        <f t="shared" ca="1" si="1318"/>
        <v>26578396.56996429</v>
      </c>
      <c r="S1398" s="2">
        <f t="shared" ca="1" si="1319"/>
        <v>17718931.046642862</v>
      </c>
      <c r="T1398" s="2">
        <f t="shared" ca="1" si="1320"/>
        <v>50323355.203607358</v>
      </c>
      <c r="U1398" s="2">
        <f t="shared" ca="1" si="1321"/>
        <v>53979573.43160931</v>
      </c>
      <c r="V1398" s="2">
        <f t="shared" ca="1" si="1322"/>
        <v>57901432.368119016</v>
      </c>
      <c r="W1398" s="2">
        <f t="shared" ca="1" si="1323"/>
        <v>62108232.006084405</v>
      </c>
      <c r="X1398" s="2">
        <f t="shared" ca="1" si="1324"/>
        <v>66620674.569797687</v>
      </c>
      <c r="Y1398" s="2">
        <f t="shared" ca="1" si="1325"/>
        <v>0.12411249056306881</v>
      </c>
      <c r="Z1398" s="2">
        <f t="shared" ca="1" si="1326"/>
        <v>0.12575748678829632</v>
      </c>
      <c r="AA1398" s="2">
        <f t="shared" ca="1" si="1327"/>
        <v>6245756.9478096776</v>
      </c>
      <c r="AB1398" s="2">
        <f t="shared" ca="1" si="1328"/>
        <v>6788335.4926634785</v>
      </c>
      <c r="AC1398" s="2">
        <f t="shared" ca="1" si="1329"/>
        <v>7281538.6160571603</v>
      </c>
      <c r="AD1398" s="2">
        <f t="shared" ca="1" si="1330"/>
        <v>7810575.1659496017</v>
      </c>
      <c r="AE1398" s="2">
        <f t="shared" ca="1" si="1331"/>
        <v>8378048.6020387216</v>
      </c>
      <c r="AF1398" s="2">
        <f t="shared" ca="1" si="1332"/>
        <v>1006467.1040721472</v>
      </c>
      <c r="AG1398" s="2">
        <f t="shared" ca="1" si="1333"/>
        <v>1079591.4686321863</v>
      </c>
      <c r="AH1398" s="2">
        <f t="shared" ca="1" si="1334"/>
        <v>1158028.6473623803</v>
      </c>
      <c r="AI1398" s="2">
        <f t="shared" ca="1" si="1335"/>
        <v>1242164.6401216881</v>
      </c>
      <c r="AJ1398" s="2">
        <f t="shared" ca="1" si="1336"/>
        <v>1332413.4913959538</v>
      </c>
      <c r="AK1398" s="2">
        <f t="shared" ca="1" si="1337"/>
        <v>0</v>
      </c>
      <c r="AL1398" s="2">
        <f t="shared" ca="1" si="1338"/>
        <v>36562.182280019522</v>
      </c>
      <c r="AM1398" s="2">
        <f t="shared" ca="1" si="1339"/>
        <v>39218.589365097061</v>
      </c>
      <c r="AN1398" s="2">
        <f t="shared" ca="1" si="1340"/>
        <v>42067.996379653887</v>
      </c>
      <c r="AO1398" s="2">
        <f t="shared" ca="1" si="1341"/>
        <v>45124.425637132823</v>
      </c>
      <c r="AP1398" s="2">
        <f t="shared" ca="1" si="1342"/>
        <v>2392055.6912967861</v>
      </c>
      <c r="AQ1398" s="2">
        <f t="shared" ca="1" si="1343"/>
        <v>740280.87963459361</v>
      </c>
      <c r="AR1398" s="2">
        <f t="shared" ca="1" si="1344"/>
        <v>862338.96651097178</v>
      </c>
      <c r="AS1398" s="2">
        <f t="shared" ca="1" si="1345"/>
        <v>970178.11212347844</v>
      </c>
      <c r="AT1398" s="2">
        <f t="shared" ca="1" si="1346"/>
        <v>1085852.2569780932</v>
      </c>
      <c r="AU1398" s="2">
        <f t="shared" ca="1" si="1347"/>
        <v>1209930.6490299553</v>
      </c>
      <c r="AV1398" s="2">
        <f t="shared" ca="1" si="1348"/>
        <v>2106953.2728061508</v>
      </c>
      <c r="AW1398" s="2">
        <f t="shared" ca="1" si="1349"/>
        <v>2417787.1839435147</v>
      </c>
      <c r="AX1398" s="2">
        <f t="shared" ca="1" si="1350"/>
        <v>2722057.575909419</v>
      </c>
      <c r="AY1398" s="2">
        <f t="shared" ca="1" si="1351"/>
        <v>3048434.5811733808</v>
      </c>
      <c r="AZ1398" s="2">
        <f t="shared" ca="1" si="1352"/>
        <v>3398524.3446788937</v>
      </c>
      <c r="BA1398" s="2">
        <f t="shared" ca="1" si="1353"/>
        <v>59757669.82433486</v>
      </c>
      <c r="BB1398" s="2">
        <f t="shared" ca="1" si="1354"/>
        <v>1195153.3964866973</v>
      </c>
      <c r="BC1398" s="2">
        <f t="shared" ca="1" si="1355"/>
        <v>31984119.857883874</v>
      </c>
      <c r="BD1398" s="2">
        <f t="shared" ca="1" si="1356"/>
        <v>-19326364.23705804</v>
      </c>
      <c r="BE1398" s="2">
        <f t="shared" ca="1" si="1357"/>
        <v>2106953.2728061508</v>
      </c>
      <c r="BF1398" s="2">
        <f t="shared" ca="1" si="1358"/>
        <v>2417787.1839435147</v>
      </c>
      <c r="BG1398" s="2">
        <f t="shared" ca="1" si="1359"/>
        <v>2722057.575909419</v>
      </c>
      <c r="BH1398" s="2">
        <f t="shared" ca="1" si="1360"/>
        <v>3048434.5811733808</v>
      </c>
      <c r="BI1398" s="2">
        <f t="shared" ca="1" si="1361"/>
        <v>35382644.202562764</v>
      </c>
      <c r="BJ1398" s="2">
        <f t="shared" ca="1" si="1362"/>
        <v>0.21987468108276853</v>
      </c>
      <c r="BK1398" s="2">
        <f t="shared" ca="1" si="1363"/>
        <v>8434193.8324776925</v>
      </c>
    </row>
    <row r="1399" spans="1:63" x14ac:dyDescent="0.3">
      <c r="A1399" s="2">
        <v>1398</v>
      </c>
      <c r="B1399" s="2">
        <f t="shared" ca="1" si="1302"/>
        <v>0.28898565219460459</v>
      </c>
      <c r="C1399" s="2">
        <f t="shared" ca="1" si="1303"/>
        <v>6.7602442399579292</v>
      </c>
      <c r="D1399" s="2">
        <f t="shared" ca="1" si="1304"/>
        <v>6.4324916304916102E-2</v>
      </c>
      <c r="E1399" s="2">
        <f t="shared" ca="1" si="1305"/>
        <v>6.8586778953459948</v>
      </c>
      <c r="F1399" s="2">
        <f t="shared" ca="1" si="1306"/>
        <v>0.54660911261434852</v>
      </c>
      <c r="G1399" s="2">
        <f t="shared" ca="1" si="1307"/>
        <v>4.3512963465635199E-2</v>
      </c>
      <c r="H1399" s="2">
        <f t="shared" ca="1" si="1308"/>
        <v>4.3512963465635199E-2</v>
      </c>
      <c r="I1399" s="2">
        <f t="shared" ca="1" si="1309"/>
        <v>1.7535285980044391E-2</v>
      </c>
      <c r="J1399" s="2">
        <f t="shared" ca="1" si="1310"/>
        <v>-5.3771306682589073E-4</v>
      </c>
      <c r="K1399" s="2">
        <f t="shared" ca="1" si="1311"/>
        <v>0</v>
      </c>
      <c r="L1399" s="2">
        <f t="shared" ca="1" si="1312"/>
        <v>0.78851424222986255</v>
      </c>
      <c r="M1399" s="2">
        <f t="shared" ca="1" si="1313"/>
        <v>1.6025532653645775E-2</v>
      </c>
      <c r="N1399" s="2">
        <f t="shared" ca="1" si="1314"/>
        <v>1.6025532653645775E-2</v>
      </c>
      <c r="O1399" s="2">
        <f t="shared" si="1315"/>
        <v>6000000</v>
      </c>
      <c r="P1399" s="2">
        <f t="shared" ca="1" si="1316"/>
        <v>40561465.439747572</v>
      </c>
      <c r="Q1399" s="2">
        <f t="shared" ca="1" si="1317"/>
        <v>1014036.6359936893</v>
      </c>
      <c r="R1399" s="2">
        <f t="shared" ca="1" si="1318"/>
        <v>24336879.263848543</v>
      </c>
      <c r="S1399" s="2">
        <f t="shared" ca="1" si="1319"/>
        <v>16224586.175899029</v>
      </c>
      <c r="T1399" s="2">
        <f t="shared" ca="1" si="1320"/>
        <v>50801276.632682294</v>
      </c>
      <c r="U1399" s="2">
        <f t="shared" ca="1" si="1321"/>
        <v>53011790.726807825</v>
      </c>
      <c r="V1399" s="2">
        <f t="shared" ca="1" si="1322"/>
        <v>55318490.839951314</v>
      </c>
      <c r="W1399" s="2">
        <f t="shared" ca="1" si="1323"/>
        <v>57725562.310844198</v>
      </c>
      <c r="X1399" s="2">
        <f t="shared" ca="1" si="1324"/>
        <v>60237372.59470921</v>
      </c>
      <c r="Y1399" s="2">
        <f t="shared" ca="1" si="1325"/>
        <v>0.12</v>
      </c>
      <c r="Z1399" s="2">
        <f t="shared" ca="1" si="1326"/>
        <v>0.12</v>
      </c>
      <c r="AA1399" s="2">
        <f t="shared" ca="1" si="1327"/>
        <v>6096153.1959218746</v>
      </c>
      <c r="AB1399" s="2">
        <f t="shared" ca="1" si="1328"/>
        <v>6361414.8872169387</v>
      </c>
      <c r="AC1399" s="2">
        <f t="shared" ca="1" si="1329"/>
        <v>6638218.9007941578</v>
      </c>
      <c r="AD1399" s="2">
        <f t="shared" ca="1" si="1330"/>
        <v>6927067.4773013033</v>
      </c>
      <c r="AE1399" s="2">
        <f t="shared" ca="1" si="1331"/>
        <v>7228484.7113651047</v>
      </c>
      <c r="AF1399" s="2">
        <f t="shared" ca="1" si="1332"/>
        <v>1016025.5326536458</v>
      </c>
      <c r="AG1399" s="2">
        <f t="shared" ca="1" si="1333"/>
        <v>1060235.8145361566</v>
      </c>
      <c r="AH1399" s="2">
        <f t="shared" ca="1" si="1334"/>
        <v>1106369.8167990262</v>
      </c>
      <c r="AI1399" s="2">
        <f t="shared" ca="1" si="1335"/>
        <v>1154511.2462168839</v>
      </c>
      <c r="AJ1399" s="2">
        <f t="shared" ca="1" si="1336"/>
        <v>1204747.4518941843</v>
      </c>
      <c r="AK1399" s="2">
        <f t="shared" ca="1" si="1337"/>
        <v>0</v>
      </c>
      <c r="AL1399" s="2">
        <f t="shared" ca="1" si="1338"/>
        <v>22105.140941255315</v>
      </c>
      <c r="AM1399" s="2">
        <f t="shared" ca="1" si="1339"/>
        <v>23067.001131434889</v>
      </c>
      <c r="AN1399" s="2">
        <f t="shared" ca="1" si="1340"/>
        <v>24070.714708928837</v>
      </c>
      <c r="AO1399" s="2">
        <f t="shared" ca="1" si="1341"/>
        <v>25118.102838650124</v>
      </c>
      <c r="AP1399" s="2">
        <f t="shared" ca="1" si="1342"/>
        <v>2190319.1337463688</v>
      </c>
      <c r="AQ1399" s="2">
        <f t="shared" ca="1" si="1343"/>
        <v>751350.21767568367</v>
      </c>
      <c r="AR1399" s="2">
        <f t="shared" ca="1" si="1344"/>
        <v>808823.58412294765</v>
      </c>
      <c r="AS1399" s="2">
        <f t="shared" ca="1" si="1345"/>
        <v>868797.78706467838</v>
      </c>
      <c r="AT1399" s="2">
        <f t="shared" ca="1" si="1346"/>
        <v>931381.64530789317</v>
      </c>
      <c r="AU1399" s="2">
        <f t="shared" ca="1" si="1347"/>
        <v>996688.71268838341</v>
      </c>
      <c r="AV1399" s="2">
        <f t="shared" ca="1" si="1348"/>
        <v>2138458.3118461762</v>
      </c>
      <c r="AW1399" s="2">
        <f t="shared" ca="1" si="1349"/>
        <v>2279931.2138702106</v>
      </c>
      <c r="AX1399" s="2">
        <f t="shared" ca="1" si="1350"/>
        <v>2449665.16205265</v>
      </c>
      <c r="AY1399" s="2">
        <f t="shared" ca="1" si="1351"/>
        <v>2626784.7373212287</v>
      </c>
      <c r="AZ1399" s="2">
        <f t="shared" ca="1" si="1352"/>
        <v>2811611.3101975173</v>
      </c>
      <c r="BA1399" s="2">
        <f t="shared" ca="1" si="1353"/>
        <v>49577848.306686319</v>
      </c>
      <c r="BB1399" s="2">
        <f t="shared" ca="1" si="1354"/>
        <v>991556.96613372641</v>
      </c>
      <c r="BC1399" s="2">
        <f t="shared" ca="1" si="1355"/>
        <v>24249412.076704051</v>
      </c>
      <c r="BD1399" s="2">
        <f t="shared" ca="1" si="1356"/>
        <v>-17738622.811892718</v>
      </c>
      <c r="BE1399" s="2">
        <f t="shared" ca="1" si="1357"/>
        <v>2138458.3118461762</v>
      </c>
      <c r="BF1399" s="2">
        <f t="shared" ca="1" si="1358"/>
        <v>2279931.2138702106</v>
      </c>
      <c r="BG1399" s="2">
        <f t="shared" ca="1" si="1359"/>
        <v>2449665.16205265</v>
      </c>
      <c r="BH1399" s="2">
        <f t="shared" ca="1" si="1360"/>
        <v>2626784.7373212287</v>
      </c>
      <c r="BI1399" s="2">
        <f t="shared" ca="1" si="1361"/>
        <v>27061023.386901569</v>
      </c>
      <c r="BJ1399" s="2">
        <f t="shared" ca="1" si="1362"/>
        <v>0.18622709961681472</v>
      </c>
      <c r="BK1399" s="2">
        <f t="shared" ca="1" si="1363"/>
        <v>4756406.0491844378</v>
      </c>
    </row>
    <row r="1400" spans="1:63" x14ac:dyDescent="0.3">
      <c r="A1400" s="2">
        <v>1399</v>
      </c>
      <c r="B1400" s="2">
        <f t="shared" ca="1" si="1302"/>
        <v>0.34441975217601661</v>
      </c>
      <c r="C1400" s="2">
        <f t="shared" ca="1" si="1303"/>
        <v>6.8299635560384768</v>
      </c>
      <c r="D1400" s="2">
        <f t="shared" ca="1" si="1304"/>
        <v>0.29652651554489062</v>
      </c>
      <c r="E1400" s="2">
        <f t="shared" ca="1" si="1305"/>
        <v>7.2700993644262937</v>
      </c>
      <c r="F1400" s="2">
        <f t="shared" ca="1" si="1306"/>
        <v>0.40204845466015271</v>
      </c>
      <c r="G1400" s="2">
        <f t="shared" ca="1" si="1307"/>
        <v>3.2558546077243754E-2</v>
      </c>
      <c r="H1400" s="2">
        <f t="shared" ca="1" si="1308"/>
        <v>3.2558546077243754E-2</v>
      </c>
      <c r="I1400" s="2">
        <f t="shared" ca="1" si="1309"/>
        <v>0.92895951174252589</v>
      </c>
      <c r="J1400" s="2">
        <f t="shared" ca="1" si="1310"/>
        <v>1.7340427927598552E-2</v>
      </c>
      <c r="K1400" s="2">
        <f t="shared" ca="1" si="1311"/>
        <v>1.7340427927598552E-2</v>
      </c>
      <c r="L1400" s="2">
        <f t="shared" ca="1" si="1312"/>
        <v>0.20435859972226</v>
      </c>
      <c r="M1400" s="2">
        <f t="shared" ca="1" si="1313"/>
        <v>-1.6523063750327905E-2</v>
      </c>
      <c r="N1400" s="2">
        <f t="shared" ca="1" si="1314"/>
        <v>-1.6523063750327905E-2</v>
      </c>
      <c r="O1400" s="2">
        <f t="shared" si="1315"/>
        <v>6000000</v>
      </c>
      <c r="P1400" s="2">
        <f t="shared" ca="1" si="1316"/>
        <v>40979781.336230859</v>
      </c>
      <c r="Q1400" s="2">
        <f t="shared" ca="1" si="1317"/>
        <v>1024494.5334057715</v>
      </c>
      <c r="R1400" s="2">
        <f t="shared" ca="1" si="1318"/>
        <v>24587868.801738515</v>
      </c>
      <c r="S1400" s="2">
        <f t="shared" ca="1" si="1319"/>
        <v>16391912.534492344</v>
      </c>
      <c r="T1400" s="2">
        <f t="shared" ca="1" si="1320"/>
        <v>49173846.812483609</v>
      </c>
      <c r="U1400" s="2">
        <f t="shared" ca="1" si="1321"/>
        <v>50774875.769723184</v>
      </c>
      <c r="V1400" s="2">
        <f t="shared" ca="1" si="1322"/>
        <v>52428031.902038045</v>
      </c>
      <c r="W1400" s="2">
        <f t="shared" ca="1" si="1323"/>
        <v>54135012.394459754</v>
      </c>
      <c r="X1400" s="2">
        <f t="shared" ca="1" si="1324"/>
        <v>55897569.689896934</v>
      </c>
      <c r="Y1400" s="2">
        <f t="shared" ca="1" si="1325"/>
        <v>0.12867021396379927</v>
      </c>
      <c r="Z1400" s="2">
        <f t="shared" ca="1" si="1326"/>
        <v>0.13213829954931899</v>
      </c>
      <c r="AA1400" s="2">
        <f t="shared" ca="1" si="1327"/>
        <v>6327209.3907853542</v>
      </c>
      <c r="AB1400" s="2">
        <f t="shared" ca="1" si="1328"/>
        <v>6709305.7440391406</v>
      </c>
      <c r="AC1400" s="2">
        <f t="shared" ca="1" si="1329"/>
        <v>6927750.9842527555</v>
      </c>
      <c r="AD1400" s="2">
        <f t="shared" ca="1" si="1330"/>
        <v>7153308.4838852193</v>
      </c>
      <c r="AE1400" s="2">
        <f t="shared" ca="1" si="1331"/>
        <v>7386209.8077625353</v>
      </c>
      <c r="AF1400" s="2">
        <f t="shared" ca="1" si="1332"/>
        <v>983476.9362496722</v>
      </c>
      <c r="AG1400" s="2">
        <f t="shared" ca="1" si="1333"/>
        <v>1015497.5153944637</v>
      </c>
      <c r="AH1400" s="2">
        <f t="shared" ca="1" si="1334"/>
        <v>1048560.6380407609</v>
      </c>
      <c r="AI1400" s="2">
        <f t="shared" ca="1" si="1335"/>
        <v>1082700.2478891951</v>
      </c>
      <c r="AJ1400" s="2">
        <f t="shared" ca="1" si="1336"/>
        <v>1117951.3937979387</v>
      </c>
      <c r="AK1400" s="2">
        <f t="shared" ca="1" si="1337"/>
        <v>0</v>
      </c>
      <c r="AL1400" s="2">
        <f t="shared" ca="1" si="1338"/>
        <v>16010.289572395757</v>
      </c>
      <c r="AM1400" s="2">
        <f t="shared" ca="1" si="1339"/>
        <v>16531.56132314861</v>
      </c>
      <c r="AN1400" s="2">
        <f t="shared" ca="1" si="1340"/>
        <v>17069.804924217089</v>
      </c>
      <c r="AO1400" s="2">
        <f t="shared" ca="1" si="1341"/>
        <v>17625.572954371797</v>
      </c>
      <c r="AP1400" s="2">
        <f t="shared" ca="1" si="1342"/>
        <v>2212908.1921564662</v>
      </c>
      <c r="AQ1400" s="2">
        <f t="shared" ca="1" si="1343"/>
        <v>814014.30821859604</v>
      </c>
      <c r="AR1400" s="2">
        <f t="shared" ca="1" si="1344"/>
        <v>905034.00948693475</v>
      </c>
      <c r="AS1400" s="2">
        <f t="shared" ca="1" si="1345"/>
        <v>953233.36005443754</v>
      </c>
      <c r="AT1400" s="2">
        <f t="shared" ca="1" si="1346"/>
        <v>1003002.0113982853</v>
      </c>
      <c r="AU1400" s="2">
        <f t="shared" ca="1" si="1347"/>
        <v>1054391.0576701139</v>
      </c>
      <c r="AV1400" s="2">
        <f t="shared" ca="1" si="1348"/>
        <v>2316809.9541606191</v>
      </c>
      <c r="AW1400" s="2">
        <f t="shared" ca="1" si="1349"/>
        <v>2559855.7374288798</v>
      </c>
      <c r="AX1400" s="2">
        <f t="shared" ca="1" si="1350"/>
        <v>2696517.2326779435</v>
      </c>
      <c r="AY1400" s="2">
        <f t="shared" ca="1" si="1351"/>
        <v>2837628.2275170558</v>
      </c>
      <c r="AZ1400" s="2">
        <f t="shared" ca="1" si="1352"/>
        <v>2983333.5911836452</v>
      </c>
      <c r="BA1400" s="2">
        <f t="shared" ca="1" si="1353"/>
        <v>53698479.228933662</v>
      </c>
      <c r="BB1400" s="2">
        <f t="shared" ca="1" si="1354"/>
        <v>1073969.5845786734</v>
      </c>
      <c r="BC1400" s="2">
        <f t="shared" ca="1" si="1355"/>
        <v>28036640.842616472</v>
      </c>
      <c r="BD1400" s="2">
        <f t="shared" ca="1" si="1356"/>
        <v>-17916407.067898117</v>
      </c>
      <c r="BE1400" s="2">
        <f t="shared" ca="1" si="1357"/>
        <v>2316809.9541606191</v>
      </c>
      <c r="BF1400" s="2">
        <f t="shared" ca="1" si="1358"/>
        <v>2559855.7374288798</v>
      </c>
      <c r="BG1400" s="2">
        <f t="shared" ca="1" si="1359"/>
        <v>2696517.2326779435</v>
      </c>
      <c r="BH1400" s="2">
        <f t="shared" ca="1" si="1360"/>
        <v>2837628.2275170558</v>
      </c>
      <c r="BI1400" s="2">
        <f t="shared" ca="1" si="1361"/>
        <v>31019974.433800116</v>
      </c>
      <c r="BJ1400" s="2">
        <f t="shared" ca="1" si="1362"/>
        <v>0.21908651942969137</v>
      </c>
      <c r="BK1400" s="2">
        <f t="shared" ca="1" si="1363"/>
        <v>7517132.8695389926</v>
      </c>
    </row>
    <row r="1401" spans="1:63" x14ac:dyDescent="0.3">
      <c r="A1401" s="2">
        <v>1400</v>
      </c>
      <c r="B1401" s="2">
        <f t="shared" ca="1" si="1302"/>
        <v>0.66180761817885658</v>
      </c>
      <c r="C1401" s="2">
        <f t="shared" ca="1" si="1303"/>
        <v>7.1775738552050488</v>
      </c>
      <c r="D1401" s="2">
        <f t="shared" ca="1" si="1304"/>
        <v>0.33384836348318292</v>
      </c>
      <c r="E1401" s="2">
        <f t="shared" ca="1" si="1305"/>
        <v>7.3171271179971731</v>
      </c>
      <c r="F1401" s="2">
        <f t="shared" ca="1" si="1306"/>
        <v>0.68725376850755704</v>
      </c>
      <c r="G1401" s="2">
        <f t="shared" ca="1" si="1307"/>
        <v>5.4642430234330269E-2</v>
      </c>
      <c r="H1401" s="2">
        <f t="shared" ca="1" si="1308"/>
        <v>5.4642430234330269E-2</v>
      </c>
      <c r="I1401" s="2">
        <f t="shared" ca="1" si="1309"/>
        <v>0.29038289280512009</v>
      </c>
      <c r="J1401" s="2">
        <f t="shared" ca="1" si="1310"/>
        <v>7.2386675486145477E-3</v>
      </c>
      <c r="K1401" s="2">
        <f t="shared" ca="1" si="1311"/>
        <v>7.2386675486145477E-3</v>
      </c>
      <c r="L1401" s="2">
        <f t="shared" ca="1" si="1312"/>
        <v>0.85910339940314695</v>
      </c>
      <c r="M1401" s="2">
        <f t="shared" ca="1" si="1313"/>
        <v>2.1525995860750467E-2</v>
      </c>
      <c r="N1401" s="2">
        <f t="shared" ca="1" si="1314"/>
        <v>2.1525995860750467E-2</v>
      </c>
      <c r="O1401" s="2">
        <f t="shared" si="1315"/>
        <v>6000000</v>
      </c>
      <c r="P1401" s="2">
        <f t="shared" ca="1" si="1316"/>
        <v>43065443.131230295</v>
      </c>
      <c r="Q1401" s="2">
        <f t="shared" ca="1" si="1317"/>
        <v>1076636.0782807574</v>
      </c>
      <c r="R1401" s="2">
        <f t="shared" ca="1" si="1318"/>
        <v>25839265.878738176</v>
      </c>
      <c r="S1401" s="2">
        <f t="shared" ca="1" si="1319"/>
        <v>17226177.252492119</v>
      </c>
      <c r="T1401" s="2">
        <f t="shared" ca="1" si="1320"/>
        <v>51076299.793037526</v>
      </c>
      <c r="U1401" s="2">
        <f t="shared" ca="1" si="1321"/>
        <v>53867232.941106312</v>
      </c>
      <c r="V1401" s="2">
        <f t="shared" ca="1" si="1322"/>
        <v>56810669.459007129</v>
      </c>
      <c r="W1401" s="2">
        <f t="shared" ca="1" si="1323"/>
        <v>59914942.501486525</v>
      </c>
      <c r="X1401" s="2">
        <f t="shared" ca="1" si="1324"/>
        <v>63188840.567117907</v>
      </c>
      <c r="Y1401" s="2">
        <f t="shared" ca="1" si="1325"/>
        <v>0.12361933377430727</v>
      </c>
      <c r="Z1401" s="2">
        <f t="shared" ca="1" si="1326"/>
        <v>0.12506706728403016</v>
      </c>
      <c r="AA1401" s="2">
        <f t="shared" ca="1" si="1327"/>
        <v>6314018.1520720869</v>
      </c>
      <c r="AB1401" s="2">
        <f t="shared" ca="1" si="1328"/>
        <v>6737016.8466498693</v>
      </c>
      <c r="AC1401" s="2">
        <f t="shared" ca="1" si="1329"/>
        <v>7105143.8196804421</v>
      </c>
      <c r="AD1401" s="2">
        <f t="shared" ca="1" si="1330"/>
        <v>7493386.145152214</v>
      </c>
      <c r="AE1401" s="2">
        <f t="shared" ca="1" si="1331"/>
        <v>7902842.9748075902</v>
      </c>
      <c r="AF1401" s="2">
        <f t="shared" ca="1" si="1332"/>
        <v>1021525.9958607506</v>
      </c>
      <c r="AG1401" s="2">
        <f t="shared" ca="1" si="1333"/>
        <v>1077344.6588221262</v>
      </c>
      <c r="AH1401" s="2">
        <f t="shared" ca="1" si="1334"/>
        <v>1136213.3891801427</v>
      </c>
      <c r="AI1401" s="2">
        <f t="shared" ca="1" si="1335"/>
        <v>1198298.8500297305</v>
      </c>
      <c r="AJ1401" s="2">
        <f t="shared" ca="1" si="1336"/>
        <v>1263776.8113423581</v>
      </c>
      <c r="AK1401" s="2">
        <f t="shared" ca="1" si="1337"/>
        <v>0</v>
      </c>
      <c r="AL1401" s="2">
        <f t="shared" ca="1" si="1338"/>
        <v>27909.331480687859</v>
      </c>
      <c r="AM1401" s="2">
        <f t="shared" ca="1" si="1339"/>
        <v>29434.365179008171</v>
      </c>
      <c r="AN1401" s="2">
        <f t="shared" ca="1" si="1340"/>
        <v>31042.730424793961</v>
      </c>
      <c r="AO1401" s="2">
        <f t="shared" ca="1" si="1341"/>
        <v>32738.980656313823</v>
      </c>
      <c r="AP1401" s="2">
        <f t="shared" ca="1" si="1342"/>
        <v>2325533.9290864356</v>
      </c>
      <c r="AQ1401" s="2">
        <f t="shared" ca="1" si="1343"/>
        <v>771409.13905247417</v>
      </c>
      <c r="AR1401" s="2">
        <f t="shared" ca="1" si="1344"/>
        <v>866875.94727274007</v>
      </c>
      <c r="AS1401" s="2">
        <f t="shared" ca="1" si="1345"/>
        <v>947283.09036760475</v>
      </c>
      <c r="AT1401" s="2">
        <f t="shared" ca="1" si="1346"/>
        <v>1032083.8751693725</v>
      </c>
      <c r="AU1401" s="2">
        <f t="shared" ca="1" si="1347"/>
        <v>1121518.3809384871</v>
      </c>
      <c r="AV1401" s="2">
        <f t="shared" ca="1" si="1348"/>
        <v>2195549.0880724266</v>
      </c>
      <c r="AW1401" s="2">
        <f t="shared" ca="1" si="1349"/>
        <v>2439352.9799878802</v>
      </c>
      <c r="AX1401" s="2">
        <f t="shared" ca="1" si="1350"/>
        <v>2666679.0458672512</v>
      </c>
      <c r="AY1401" s="2">
        <f t="shared" ca="1" si="1351"/>
        <v>2906426.7604418816</v>
      </c>
      <c r="AZ1401" s="2">
        <f t="shared" ca="1" si="1352"/>
        <v>3159274.8727839952</v>
      </c>
      <c r="BA1401" s="2">
        <f t="shared" ca="1" si="1353"/>
        <v>57826106.640238069</v>
      </c>
      <c r="BB1401" s="2">
        <f t="shared" ca="1" si="1354"/>
        <v>1156522.1328047614</v>
      </c>
      <c r="BC1401" s="2">
        <f t="shared" ca="1" si="1355"/>
        <v>30830318.62869513</v>
      </c>
      <c r="BD1401" s="2">
        <f t="shared" ca="1" si="1356"/>
        <v>-18802813.330772877</v>
      </c>
      <c r="BE1401" s="2">
        <f t="shared" ca="1" si="1357"/>
        <v>2195549.0880724266</v>
      </c>
      <c r="BF1401" s="2">
        <f t="shared" ca="1" si="1358"/>
        <v>2439352.9799878802</v>
      </c>
      <c r="BG1401" s="2">
        <f t="shared" ca="1" si="1359"/>
        <v>2666679.0458672512</v>
      </c>
      <c r="BH1401" s="2">
        <f t="shared" ca="1" si="1360"/>
        <v>2906426.7604418816</v>
      </c>
      <c r="BI1401" s="2">
        <f t="shared" ca="1" si="1361"/>
        <v>33989593.501479127</v>
      </c>
      <c r="BJ1401" s="2">
        <f t="shared" ca="1" si="1362"/>
        <v>0.21988005883023143</v>
      </c>
      <c r="BK1401" s="2">
        <f t="shared" ca="1" si="1363"/>
        <v>8133920.0054625049</v>
      </c>
    </row>
    <row r="1402" spans="1:63" x14ac:dyDescent="0.3">
      <c r="A1402" s="2">
        <v>1401</v>
      </c>
      <c r="B1402" s="2">
        <f t="shared" ca="1" si="1302"/>
        <v>0.53993073692018712</v>
      </c>
      <c r="C1402" s="2">
        <f t="shared" ca="1" si="1303"/>
        <v>7.0407614863030021</v>
      </c>
      <c r="D1402" s="2">
        <f t="shared" ca="1" si="1304"/>
        <v>0.64465617899697336</v>
      </c>
      <c r="E1402" s="2">
        <f t="shared" ca="1" si="1305"/>
        <v>7.6569770809722586</v>
      </c>
      <c r="F1402" s="2">
        <f t="shared" ca="1" si="1306"/>
        <v>0.67245194224462168</v>
      </c>
      <c r="G1402" s="2">
        <f t="shared" ca="1" si="1307"/>
        <v>5.3400815806790077E-2</v>
      </c>
      <c r="H1402" s="2">
        <f t="shared" ca="1" si="1308"/>
        <v>5.3400815806790077E-2</v>
      </c>
      <c r="I1402" s="2">
        <f t="shared" ca="1" si="1309"/>
        <v>0.64819677659825625</v>
      </c>
      <c r="J1402" s="2">
        <f t="shared" ca="1" si="1310"/>
        <v>1.1902283404483578E-2</v>
      </c>
      <c r="K1402" s="2">
        <f t="shared" ca="1" si="1311"/>
        <v>1.1902283404483578E-2</v>
      </c>
      <c r="L1402" s="2">
        <f t="shared" ca="1" si="1312"/>
        <v>0.44149352586882817</v>
      </c>
      <c r="M1402" s="2">
        <f t="shared" ca="1" si="1313"/>
        <v>-2.9436733476072281E-3</v>
      </c>
      <c r="N1402" s="2">
        <f t="shared" ca="1" si="1314"/>
        <v>-2.9436733476072281E-3</v>
      </c>
      <c r="O1402" s="2">
        <f t="shared" si="1315"/>
        <v>6000000</v>
      </c>
      <c r="P1402" s="2">
        <f t="shared" ca="1" si="1316"/>
        <v>42244568.91781801</v>
      </c>
      <c r="Q1402" s="2">
        <f t="shared" ca="1" si="1317"/>
        <v>1056114.2229454503</v>
      </c>
      <c r="R1402" s="2">
        <f t="shared" ca="1" si="1318"/>
        <v>25346741.350690804</v>
      </c>
      <c r="S1402" s="2">
        <f t="shared" ca="1" si="1319"/>
        <v>16897827.567127205</v>
      </c>
      <c r="T1402" s="2">
        <f t="shared" ca="1" si="1320"/>
        <v>49852816.332619637</v>
      </c>
      <c r="U1402" s="2">
        <f t="shared" ca="1" si="1321"/>
        <v>52514997.39504759</v>
      </c>
      <c r="V1402" s="2">
        <f t="shared" ca="1" si="1322"/>
        <v>55319341.098034583</v>
      </c>
      <c r="W1402" s="2">
        <f t="shared" ca="1" si="1323"/>
        <v>58273439.042563714</v>
      </c>
      <c r="X1402" s="2">
        <f t="shared" ca="1" si="1324"/>
        <v>61385288.227303863</v>
      </c>
      <c r="Y1402" s="2">
        <f t="shared" ca="1" si="1325"/>
        <v>0.12595114170224178</v>
      </c>
      <c r="Z1402" s="2">
        <f t="shared" ca="1" si="1326"/>
        <v>0.12833159838313851</v>
      </c>
      <c r="AA1402" s="2">
        <f t="shared" ca="1" si="1327"/>
        <v>6279019.1341656093</v>
      </c>
      <c r="AB1402" s="2">
        <f t="shared" ca="1" si="1328"/>
        <v>6739333.5547928121</v>
      </c>
      <c r="AC1402" s="2">
        <f t="shared" ca="1" si="1329"/>
        <v>7099219.464612823</v>
      </c>
      <c r="AD1402" s="2">
        <f t="shared" ca="1" si="1330"/>
        <v>7478323.5756145902</v>
      </c>
      <c r="AE1402" s="2">
        <f t="shared" ca="1" si="1331"/>
        <v>7877672.1554195601</v>
      </c>
      <c r="AF1402" s="2">
        <f t="shared" ca="1" si="1332"/>
        <v>997056.32665239275</v>
      </c>
      <c r="AG1402" s="2">
        <f t="shared" ca="1" si="1333"/>
        <v>1050299.9479009518</v>
      </c>
      <c r="AH1402" s="2">
        <f t="shared" ca="1" si="1334"/>
        <v>1106386.8219606916</v>
      </c>
      <c r="AI1402" s="2">
        <f t="shared" ca="1" si="1335"/>
        <v>1165468.7808512743</v>
      </c>
      <c r="AJ1402" s="2">
        <f t="shared" ca="1" si="1336"/>
        <v>1227705.7645460772</v>
      </c>
      <c r="AK1402" s="2">
        <f t="shared" ca="1" si="1337"/>
        <v>0</v>
      </c>
      <c r="AL1402" s="2">
        <f t="shared" ca="1" si="1338"/>
        <v>26621.810624279529</v>
      </c>
      <c r="AM1402" s="2">
        <f t="shared" ca="1" si="1339"/>
        <v>28043.437029869929</v>
      </c>
      <c r="AN1402" s="2">
        <f t="shared" ca="1" si="1340"/>
        <v>29540.979445291312</v>
      </c>
      <c r="AO1402" s="2">
        <f t="shared" ca="1" si="1341"/>
        <v>31118.491847401485</v>
      </c>
      <c r="AP1402" s="2">
        <f t="shared" ca="1" si="1342"/>
        <v>2281206.7215621723</v>
      </c>
      <c r="AQ1402" s="2">
        <f t="shared" ca="1" si="1343"/>
        <v>780196.5823472715</v>
      </c>
      <c r="AR1402" s="2">
        <f t="shared" ca="1" si="1344"/>
        <v>886034.99018571887</v>
      </c>
      <c r="AS1402" s="2">
        <f t="shared" ca="1" si="1345"/>
        <v>965022.73948338942</v>
      </c>
      <c r="AT1402" s="2">
        <f t="shared" ca="1" si="1346"/>
        <v>1048228.4990322973</v>
      </c>
      <c r="AU1402" s="2">
        <f t="shared" ca="1" si="1347"/>
        <v>1135877.5140209408</v>
      </c>
      <c r="AV1402" s="2">
        <f t="shared" ca="1" si="1348"/>
        <v>2220559.5036037723</v>
      </c>
      <c r="AW1402" s="2">
        <f t="shared" ca="1" si="1349"/>
        <v>2495170.0845196899</v>
      </c>
      <c r="AX1402" s="2">
        <f t="shared" ca="1" si="1350"/>
        <v>2718559.7445767</v>
      </c>
      <c r="AY1402" s="2">
        <f t="shared" ca="1" si="1351"/>
        <v>2953878.5947235543</v>
      </c>
      <c r="AZ1402" s="2">
        <f t="shared" ca="1" si="1352"/>
        <v>3201763.6634429684</v>
      </c>
      <c r="BA1402" s="2">
        <f t="shared" ca="1" si="1353"/>
        <v>60319155.145460904</v>
      </c>
      <c r="BB1402" s="2">
        <f t="shared" ca="1" si="1354"/>
        <v>1206383.1029092181</v>
      </c>
      <c r="BC1402" s="2">
        <f t="shared" ca="1" si="1355"/>
        <v>33766030.691860884</v>
      </c>
      <c r="BD1402" s="2">
        <f t="shared" ca="1" si="1356"/>
        <v>-18453941.790072657</v>
      </c>
      <c r="BE1402" s="2">
        <f t="shared" ca="1" si="1357"/>
        <v>2220559.5036037723</v>
      </c>
      <c r="BF1402" s="2">
        <f t="shared" ca="1" si="1358"/>
        <v>2495170.0845196899</v>
      </c>
      <c r="BG1402" s="2">
        <f t="shared" ca="1" si="1359"/>
        <v>2718559.7445767</v>
      </c>
      <c r="BH1402" s="2">
        <f t="shared" ca="1" si="1360"/>
        <v>2953878.5947235543</v>
      </c>
      <c r="BI1402" s="2">
        <f t="shared" ca="1" si="1361"/>
        <v>36967794.355303854</v>
      </c>
      <c r="BJ1402" s="2">
        <f t="shared" ca="1" si="1362"/>
        <v>0.24396004608515098</v>
      </c>
      <c r="BK1402" s="2">
        <f t="shared" ca="1" si="1363"/>
        <v>10306614.629618928</v>
      </c>
    </row>
    <row r="1403" spans="1:63" x14ac:dyDescent="0.3">
      <c r="A1403" s="2">
        <v>1402</v>
      </c>
      <c r="B1403" s="2">
        <f t="shared" ca="1" si="1302"/>
        <v>0.54307044777341307</v>
      </c>
      <c r="C1403" s="2">
        <f t="shared" ca="1" si="1303"/>
        <v>7.0440402181821797</v>
      </c>
      <c r="D1403" s="2">
        <f t="shared" ca="1" si="1304"/>
        <v>0.78591987601098434</v>
      </c>
      <c r="E1403" s="2">
        <f t="shared" ca="1" si="1305"/>
        <v>7.8456604490189887</v>
      </c>
      <c r="F1403" s="2">
        <f t="shared" ca="1" si="1306"/>
        <v>0.99718592004497975</v>
      </c>
      <c r="G1403" s="2">
        <f t="shared" ca="1" si="1307"/>
        <v>0.12306079714053358</v>
      </c>
      <c r="H1403" s="2">
        <f t="shared" ca="1" si="1308"/>
        <v>0.12</v>
      </c>
      <c r="I1403" s="2">
        <f t="shared" ca="1" si="1309"/>
        <v>0.79253784794350213</v>
      </c>
      <c r="J1403" s="2">
        <f t="shared" ca="1" si="1310"/>
        <v>1.4076292973341495E-2</v>
      </c>
      <c r="K1403" s="2">
        <f t="shared" ca="1" si="1311"/>
        <v>1.4076292973341495E-2</v>
      </c>
      <c r="L1403" s="2">
        <f t="shared" ca="1" si="1312"/>
        <v>0.35126084658825152</v>
      </c>
      <c r="M1403" s="2">
        <f t="shared" ca="1" si="1313"/>
        <v>-7.6383733541397951E-3</v>
      </c>
      <c r="N1403" s="2">
        <f t="shared" ca="1" si="1314"/>
        <v>-7.6383733541397951E-3</v>
      </c>
      <c r="O1403" s="2">
        <f t="shared" si="1315"/>
        <v>6000000</v>
      </c>
      <c r="P1403" s="2">
        <f t="shared" ca="1" si="1316"/>
        <v>42264241.30909308</v>
      </c>
      <c r="Q1403" s="2">
        <f t="shared" ca="1" si="1317"/>
        <v>1056606.032727327</v>
      </c>
      <c r="R1403" s="2">
        <f t="shared" ca="1" si="1318"/>
        <v>25358544.785455849</v>
      </c>
      <c r="S1403" s="2">
        <f t="shared" ca="1" si="1319"/>
        <v>16905696.523637231</v>
      </c>
      <c r="T1403" s="2">
        <f t="shared" ca="1" si="1320"/>
        <v>49618081.332293011</v>
      </c>
      <c r="U1403" s="2">
        <f t="shared" ca="1" si="1321"/>
        <v>55572251.092168175</v>
      </c>
      <c r="V1403" s="2">
        <f t="shared" ca="1" si="1322"/>
        <v>62240921.223228365</v>
      </c>
      <c r="W1403" s="2">
        <f t="shared" ca="1" si="1323"/>
        <v>69709831.770015776</v>
      </c>
      <c r="X1403" s="2">
        <f t="shared" ca="1" si="1324"/>
        <v>78075011.582417682</v>
      </c>
      <c r="Y1403" s="2">
        <f t="shared" ca="1" si="1325"/>
        <v>0.12703814648667075</v>
      </c>
      <c r="Z1403" s="2">
        <f t="shared" ca="1" si="1326"/>
        <v>0.12985340508133905</v>
      </c>
      <c r="AA1403" s="2">
        <f t="shared" ca="1" si="1327"/>
        <v>6303389.0846793829</v>
      </c>
      <c r="AB1403" s="2">
        <f t="shared" ca="1" si="1328"/>
        <v>7216246.0323532009</v>
      </c>
      <c r="AC1403" s="2">
        <f t="shared" ca="1" si="1329"/>
        <v>8082195.5562355854</v>
      </c>
      <c r="AD1403" s="2">
        <f t="shared" ca="1" si="1330"/>
        <v>9052059.0229838565</v>
      </c>
      <c r="AE1403" s="2">
        <f t="shared" ca="1" si="1331"/>
        <v>10138306.105741922</v>
      </c>
      <c r="AF1403" s="2">
        <f t="shared" ca="1" si="1332"/>
        <v>992361.62664586026</v>
      </c>
      <c r="AG1403" s="2">
        <f t="shared" ca="1" si="1333"/>
        <v>1111445.0218433635</v>
      </c>
      <c r="AH1403" s="2">
        <f t="shared" ca="1" si="1334"/>
        <v>1244818.4244645673</v>
      </c>
      <c r="AI1403" s="2">
        <f t="shared" ca="1" si="1335"/>
        <v>1394196.6354003155</v>
      </c>
      <c r="AJ1403" s="2">
        <f t="shared" ca="1" si="1336"/>
        <v>1561500.2316483536</v>
      </c>
      <c r="AK1403" s="2">
        <f t="shared" ca="1" si="1337"/>
        <v>0</v>
      </c>
      <c r="AL1403" s="2">
        <f t="shared" ca="1" si="1338"/>
        <v>59541.697598751634</v>
      </c>
      <c r="AM1403" s="2">
        <f t="shared" ca="1" si="1339"/>
        <v>66686.7013106019</v>
      </c>
      <c r="AN1403" s="2">
        <f t="shared" ca="1" si="1340"/>
        <v>74689.105467874106</v>
      </c>
      <c r="AO1403" s="2">
        <f t="shared" ca="1" si="1341"/>
        <v>83651.798124019057</v>
      </c>
      <c r="AP1403" s="2">
        <f t="shared" ca="1" si="1342"/>
        <v>2282269.0306910262</v>
      </c>
      <c r="AQ1403" s="2">
        <f t="shared" ca="1" si="1343"/>
        <v>787477.19110904913</v>
      </c>
      <c r="AR1403" s="2">
        <f t="shared" ca="1" si="1344"/>
        <v>993858.31475289096</v>
      </c>
      <c r="AS1403" s="2">
        <f t="shared" ca="1" si="1345"/>
        <v>1184328.1062807976</v>
      </c>
      <c r="AT1403" s="2">
        <f t="shared" ca="1" si="1346"/>
        <v>1397654.2727920539</v>
      </c>
      <c r="AU1403" s="2">
        <f t="shared" ca="1" si="1347"/>
        <v>1636579.579284661</v>
      </c>
      <c r="AV1403" s="2">
        <f t="shared" ca="1" si="1348"/>
        <v>2241281.2362334472</v>
      </c>
      <c r="AW1403" s="2">
        <f t="shared" ca="1" si="1349"/>
        <v>2769131.9674671688</v>
      </c>
      <c r="AX1403" s="2">
        <f t="shared" ca="1" si="1350"/>
        <v>3304093.2934885914</v>
      </c>
      <c r="AY1403" s="2">
        <f t="shared" ca="1" si="1351"/>
        <v>3903249.9786325856</v>
      </c>
      <c r="AZ1403" s="2">
        <f t="shared" ca="1" si="1352"/>
        <v>4574305.4659938626</v>
      </c>
      <c r="BA1403" s="2">
        <f t="shared" ca="1" si="1353"/>
        <v>79541707.233867124</v>
      </c>
      <c r="BB1403" s="2">
        <f t="shared" ca="1" si="1354"/>
        <v>1590834.1446773426</v>
      </c>
      <c r="BC1403" s="2">
        <f t="shared" ca="1" si="1355"/>
        <v>52592328.30373393</v>
      </c>
      <c r="BD1403" s="2">
        <f t="shared" ca="1" si="1356"/>
        <v>-18462302.556364559</v>
      </c>
      <c r="BE1403" s="2">
        <f t="shared" ca="1" si="1357"/>
        <v>2241281.2362334472</v>
      </c>
      <c r="BF1403" s="2">
        <f t="shared" ca="1" si="1358"/>
        <v>2769131.9674671688</v>
      </c>
      <c r="BG1403" s="2">
        <f t="shared" ca="1" si="1359"/>
        <v>3304093.2934885914</v>
      </c>
      <c r="BH1403" s="2">
        <f t="shared" ca="1" si="1360"/>
        <v>3903249.9786325856</v>
      </c>
      <c r="BI1403" s="2">
        <f t="shared" ca="1" si="1361"/>
        <v>57166633.769727796</v>
      </c>
      <c r="BJ1403" s="2">
        <f t="shared" ca="1" si="1362"/>
        <v>0.34972583142885316</v>
      </c>
      <c r="BK1403" s="2">
        <f t="shared" ca="1" si="1363"/>
        <v>23016633.97631935</v>
      </c>
    </row>
    <row r="1404" spans="1:63" x14ac:dyDescent="0.3">
      <c r="A1404" s="2">
        <v>1403</v>
      </c>
      <c r="B1404" s="2">
        <f t="shared" ca="1" si="1302"/>
        <v>0.17951989513733824</v>
      </c>
      <c r="C1404" s="2">
        <f t="shared" ca="1" si="1303"/>
        <v>6.5991992909497448</v>
      </c>
      <c r="D1404" s="2">
        <f t="shared" ca="1" si="1304"/>
        <v>0.9949880949637161</v>
      </c>
      <c r="E1404" s="2">
        <f t="shared" ca="1" si="1305"/>
        <v>8.3998810204178653</v>
      </c>
      <c r="F1404" s="2">
        <f t="shared" ca="1" si="1306"/>
        <v>0.34382325012617065</v>
      </c>
      <c r="G1404" s="2">
        <f t="shared" ca="1" si="1307"/>
        <v>2.7938470286707234E-2</v>
      </c>
      <c r="H1404" s="2">
        <f t="shared" ca="1" si="1308"/>
        <v>2.7938470286707234E-2</v>
      </c>
      <c r="I1404" s="2">
        <f t="shared" ca="1" si="1309"/>
        <v>0.611108779208825</v>
      </c>
      <c r="J1404" s="2">
        <f t="shared" ca="1" si="1310"/>
        <v>1.1411050321923804E-2</v>
      </c>
      <c r="K1404" s="2">
        <f t="shared" ca="1" si="1311"/>
        <v>1.1411050321923804E-2</v>
      </c>
      <c r="L1404" s="2">
        <f t="shared" ca="1" si="1312"/>
        <v>0.77131953704571132</v>
      </c>
      <c r="M1404" s="2">
        <f t="shared" ca="1" si="1313"/>
        <v>1.4863989343581907E-2</v>
      </c>
      <c r="N1404" s="2">
        <f t="shared" ca="1" si="1314"/>
        <v>1.4863989343581907E-2</v>
      </c>
      <c r="O1404" s="2">
        <f t="shared" si="1315"/>
        <v>6000000</v>
      </c>
      <c r="P1404" s="2">
        <f t="shared" ca="1" si="1316"/>
        <v>39595195.745698467</v>
      </c>
      <c r="Q1404" s="2">
        <f t="shared" ca="1" si="1317"/>
        <v>989879.89364246174</v>
      </c>
      <c r="R1404" s="2">
        <f t="shared" ca="1" si="1318"/>
        <v>23757117.447419081</v>
      </c>
      <c r="S1404" s="2">
        <f t="shared" ca="1" si="1319"/>
        <v>15838078.298279388</v>
      </c>
      <c r="T1404" s="2">
        <f t="shared" ca="1" si="1320"/>
        <v>50743199.46717909</v>
      </c>
      <c r="U1404" s="2">
        <f t="shared" ca="1" si="1321"/>
        <v>52160886.837745324</v>
      </c>
      <c r="V1404" s="2">
        <f t="shared" ca="1" si="1322"/>
        <v>53618182.224789962</v>
      </c>
      <c r="W1404" s="2">
        <f t="shared" ca="1" si="1323"/>
        <v>55116192.215704508</v>
      </c>
      <c r="X1404" s="2">
        <f t="shared" ca="1" si="1324"/>
        <v>56656054.314239405</v>
      </c>
      <c r="Y1404" s="2">
        <f t="shared" ca="1" si="1325"/>
        <v>0.1257055251609619</v>
      </c>
      <c r="Z1404" s="2">
        <f t="shared" ca="1" si="1326"/>
        <v>0.12798773522534665</v>
      </c>
      <c r="AA1404" s="2">
        <f t="shared" ca="1" si="1327"/>
        <v>6378700.5373691889</v>
      </c>
      <c r="AB1404" s="2">
        <f t="shared" ca="1" si="1328"/>
        <v>6675953.7737086173</v>
      </c>
      <c r="AC1404" s="2">
        <f t="shared" ca="1" si="1329"/>
        <v>6862469.7098508058</v>
      </c>
      <c r="AD1404" s="2">
        <f t="shared" ca="1" si="1330"/>
        <v>7054196.6159329005</v>
      </c>
      <c r="AE1404" s="2">
        <f t="shared" ca="1" si="1331"/>
        <v>7251280.0784837315</v>
      </c>
      <c r="AF1404" s="2">
        <f t="shared" ca="1" si="1332"/>
        <v>1014863.9893435818</v>
      </c>
      <c r="AG1404" s="2">
        <f t="shared" ca="1" si="1333"/>
        <v>1043217.7367549065</v>
      </c>
      <c r="AH1404" s="2">
        <f t="shared" ca="1" si="1334"/>
        <v>1072363.6444957992</v>
      </c>
      <c r="AI1404" s="2">
        <f t="shared" ca="1" si="1335"/>
        <v>1102323.8443140902</v>
      </c>
      <c r="AJ1404" s="2">
        <f t="shared" ca="1" si="1336"/>
        <v>1133121.0862847881</v>
      </c>
      <c r="AK1404" s="2">
        <f t="shared" ca="1" si="1337"/>
        <v>0</v>
      </c>
      <c r="AL1404" s="2">
        <f t="shared" ca="1" si="1338"/>
        <v>14176.873705662339</v>
      </c>
      <c r="AM1404" s="2">
        <f t="shared" ca="1" si="1339"/>
        <v>14572.953870446385</v>
      </c>
      <c r="AN1404" s="2">
        <f t="shared" ca="1" si="1340"/>
        <v>14980.09990914546</v>
      </c>
      <c r="AO1404" s="2">
        <f t="shared" ca="1" si="1341"/>
        <v>15398.620985348971</v>
      </c>
      <c r="AP1404" s="2">
        <f t="shared" ca="1" si="1342"/>
        <v>2138140.5702677174</v>
      </c>
      <c r="AQ1404" s="2">
        <f t="shared" ca="1" si="1343"/>
        <v>838680.95421705139</v>
      </c>
      <c r="AR1404" s="2">
        <f t="shared" ca="1" si="1344"/>
        <v>908594.82133835834</v>
      </c>
      <c r="AS1404" s="2">
        <f t="shared" ca="1" si="1345"/>
        <v>949511.02872269519</v>
      </c>
      <c r="AT1404" s="2">
        <f t="shared" ca="1" si="1346"/>
        <v>991570.37235128426</v>
      </c>
      <c r="AU1404" s="2">
        <f t="shared" ca="1" si="1347"/>
        <v>1034804.7897021187</v>
      </c>
      <c r="AV1404" s="2">
        <f t="shared" ca="1" si="1348"/>
        <v>2387015.0235408386</v>
      </c>
      <c r="AW1404" s="2">
        <f t="shared" ca="1" si="1349"/>
        <v>2571823.7716419725</v>
      </c>
      <c r="AX1404" s="2">
        <f t="shared" ca="1" si="1350"/>
        <v>2687881.5124941478</v>
      </c>
      <c r="AY1404" s="2">
        <f t="shared" ca="1" si="1351"/>
        <v>2807181.7290906636</v>
      </c>
      <c r="AZ1404" s="2">
        <f t="shared" ca="1" si="1352"/>
        <v>2929815.0112437587</v>
      </c>
      <c r="BA1404" s="2">
        <f t="shared" ca="1" si="1353"/>
        <v>60909889.904989667</v>
      </c>
      <c r="BB1404" s="2">
        <f t="shared" ca="1" si="1354"/>
        <v>1218197.7980997933</v>
      </c>
      <c r="BC1404" s="2">
        <f t="shared" ca="1" si="1355"/>
        <v>35934574.659470789</v>
      </c>
      <c r="BD1404" s="2">
        <f t="shared" ca="1" si="1356"/>
        <v>-17327958.191921849</v>
      </c>
      <c r="BE1404" s="2">
        <f t="shared" ca="1" si="1357"/>
        <v>2387015.0235408386</v>
      </c>
      <c r="BF1404" s="2">
        <f t="shared" ca="1" si="1358"/>
        <v>2571823.7716419725</v>
      </c>
      <c r="BG1404" s="2">
        <f t="shared" ca="1" si="1359"/>
        <v>2687881.5124941478</v>
      </c>
      <c r="BH1404" s="2">
        <f t="shared" ca="1" si="1360"/>
        <v>2807181.7290906636</v>
      </c>
      <c r="BI1404" s="2">
        <f t="shared" ca="1" si="1361"/>
        <v>38864389.67071455</v>
      </c>
      <c r="BJ1404" s="2">
        <f t="shared" ca="1" si="1362"/>
        <v>0.27535835118445884</v>
      </c>
      <c r="BK1404" s="2">
        <f t="shared" ca="1" si="1363"/>
        <v>12603441.524384029</v>
      </c>
    </row>
    <row r="1405" spans="1:63" x14ac:dyDescent="0.3">
      <c r="A1405" s="2">
        <v>1404</v>
      </c>
      <c r="B1405" s="2">
        <f t="shared" ca="1" si="1302"/>
        <v>0.22944969544481519</v>
      </c>
      <c r="C1405" s="2">
        <f t="shared" ca="1" si="1303"/>
        <v>6.6774211325974635</v>
      </c>
      <c r="D1405" s="2">
        <f t="shared" ca="1" si="1304"/>
        <v>0.23123676941506266</v>
      </c>
      <c r="E1405" s="2">
        <f t="shared" ca="1" si="1305"/>
        <v>7.1800540705194882</v>
      </c>
      <c r="F1405" s="2">
        <f t="shared" ca="1" si="1306"/>
        <v>5.0097726534194531E-2</v>
      </c>
      <c r="G1405" s="2">
        <f t="shared" ca="1" si="1307"/>
        <v>-9.3172043297950827E-3</v>
      </c>
      <c r="H1405" s="2">
        <f t="shared" ca="1" si="1308"/>
        <v>-9.3172043297950827E-3</v>
      </c>
      <c r="I1405" s="2">
        <f t="shared" ca="1" si="1309"/>
        <v>0.65373358703400808</v>
      </c>
      <c r="J1405" s="2">
        <f t="shared" ca="1" si="1310"/>
        <v>1.1977100849751298E-2</v>
      </c>
      <c r="K1405" s="2">
        <f t="shared" ca="1" si="1311"/>
        <v>1.1977100849751298E-2</v>
      </c>
      <c r="L1405" s="2">
        <f t="shared" ca="1" si="1312"/>
        <v>0.78165904065160452</v>
      </c>
      <c r="M1405" s="2">
        <f t="shared" ca="1" si="1313"/>
        <v>1.5556169915413136E-2</v>
      </c>
      <c r="N1405" s="2">
        <f t="shared" ca="1" si="1314"/>
        <v>1.5556169915413136E-2</v>
      </c>
      <c r="O1405" s="2">
        <f t="shared" si="1315"/>
        <v>6000000</v>
      </c>
      <c r="P1405" s="2">
        <f t="shared" ca="1" si="1316"/>
        <v>40064526.795584783</v>
      </c>
      <c r="Q1405" s="2">
        <f t="shared" ca="1" si="1317"/>
        <v>1001613.1698896196</v>
      </c>
      <c r="R1405" s="2">
        <f t="shared" ca="1" si="1318"/>
        <v>24038716.07735087</v>
      </c>
      <c r="S1405" s="2">
        <f t="shared" ca="1" si="1319"/>
        <v>16025810.718233913</v>
      </c>
      <c r="T1405" s="2">
        <f t="shared" ca="1" si="1320"/>
        <v>50777808.495770663</v>
      </c>
      <c r="U1405" s="2">
        <f t="shared" ca="1" si="1321"/>
        <v>50304701.278596364</v>
      </c>
      <c r="V1405" s="2">
        <f t="shared" ca="1" si="1322"/>
        <v>49836002.098034374</v>
      </c>
      <c r="W1405" s="2">
        <f t="shared" ca="1" si="1323"/>
        <v>49371669.883506894</v>
      </c>
      <c r="X1405" s="2">
        <f t="shared" ca="1" si="1324"/>
        <v>48911663.947099067</v>
      </c>
      <c r="Y1405" s="2">
        <f t="shared" ca="1" si="1325"/>
        <v>0.12598855042487564</v>
      </c>
      <c r="Z1405" s="2">
        <f t="shared" ca="1" si="1326"/>
        <v>0.1283839705948259</v>
      </c>
      <c r="AA1405" s="2">
        <f t="shared" ca="1" si="1327"/>
        <v>6397422.4861340811</v>
      </c>
      <c r="AB1405" s="2">
        <f t="shared" ca="1" si="1328"/>
        <v>6458317.2897328166</v>
      </c>
      <c r="AC1405" s="2">
        <f t="shared" ca="1" si="1329"/>
        <v>6398143.8279177267</v>
      </c>
      <c r="AD1405" s="2">
        <f t="shared" ca="1" si="1330"/>
        <v>6338531.0145416008</v>
      </c>
      <c r="AE1405" s="2">
        <f t="shared" ca="1" si="1331"/>
        <v>6279473.6259283731</v>
      </c>
      <c r="AF1405" s="2">
        <f t="shared" ca="1" si="1332"/>
        <v>1015556.1699154133</v>
      </c>
      <c r="AG1405" s="2">
        <f t="shared" ca="1" si="1333"/>
        <v>1006094.0255719273</v>
      </c>
      <c r="AH1405" s="2">
        <f t="shared" ca="1" si="1334"/>
        <v>996720.04196068749</v>
      </c>
      <c r="AI1405" s="2">
        <f t="shared" ca="1" si="1335"/>
        <v>987433.39767013793</v>
      </c>
      <c r="AJ1405" s="2">
        <f t="shared" ca="1" si="1336"/>
        <v>978233.27894198138</v>
      </c>
      <c r="AK1405" s="2">
        <f t="shared" ca="1" si="1337"/>
        <v>0</v>
      </c>
      <c r="AL1405" s="2">
        <f t="shared" ca="1" si="1338"/>
        <v>0</v>
      </c>
      <c r="AM1405" s="2">
        <f t="shared" ca="1" si="1339"/>
        <v>0</v>
      </c>
      <c r="AN1405" s="2">
        <f t="shared" ca="1" si="1340"/>
        <v>0</v>
      </c>
      <c r="AO1405" s="2">
        <f t="shared" ca="1" si="1341"/>
        <v>0</v>
      </c>
      <c r="AP1405" s="2">
        <f t="shared" ca="1" si="1342"/>
        <v>2163484.446961578</v>
      </c>
      <c r="AQ1405" s="2">
        <f t="shared" ca="1" si="1343"/>
        <v>836779.28600684332</v>
      </c>
      <c r="AR1405" s="2">
        <f t="shared" ca="1" si="1344"/>
        <v>855072.092471821</v>
      </c>
      <c r="AS1405" s="2">
        <f t="shared" ca="1" si="1345"/>
        <v>841864.22813882004</v>
      </c>
      <c r="AT1405" s="2">
        <f t="shared" ca="1" si="1346"/>
        <v>828779.42417657014</v>
      </c>
      <c r="AU1405" s="2">
        <f t="shared" ca="1" si="1347"/>
        <v>815816.53400645161</v>
      </c>
      <c r="AV1405" s="2">
        <f t="shared" ca="1" si="1348"/>
        <v>2381602.583250246</v>
      </c>
      <c r="AW1405" s="2">
        <f t="shared" ca="1" si="1349"/>
        <v>2433666.72472749</v>
      </c>
      <c r="AX1405" s="2">
        <f t="shared" ca="1" si="1350"/>
        <v>2396075.1108566411</v>
      </c>
      <c r="AY1405" s="2">
        <f t="shared" ca="1" si="1351"/>
        <v>2358833.7457333151</v>
      </c>
      <c r="AZ1405" s="2">
        <f t="shared" ca="1" si="1352"/>
        <v>2321939.3660183623</v>
      </c>
      <c r="BA1405" s="2">
        <f t="shared" ca="1" si="1353"/>
        <v>45086960.168566786</v>
      </c>
      <c r="BB1405" s="2">
        <f t="shared" ca="1" si="1354"/>
        <v>901739.20337133575</v>
      </c>
      <c r="BC1405" s="2">
        <f t="shared" ca="1" si="1355"/>
        <v>20146504.887844581</v>
      </c>
      <c r="BD1405" s="2">
        <f t="shared" ca="1" si="1356"/>
        <v>-17527423.888123535</v>
      </c>
      <c r="BE1405" s="2">
        <f t="shared" ca="1" si="1357"/>
        <v>2381602.583250246</v>
      </c>
      <c r="BF1405" s="2">
        <f t="shared" ca="1" si="1358"/>
        <v>2433666.72472749</v>
      </c>
      <c r="BG1405" s="2">
        <f t="shared" ca="1" si="1359"/>
        <v>2396075.1108566411</v>
      </c>
      <c r="BH1405" s="2">
        <f t="shared" ca="1" si="1360"/>
        <v>2358833.7457333151</v>
      </c>
      <c r="BI1405" s="2">
        <f t="shared" ca="1" si="1361"/>
        <v>22468444.253862944</v>
      </c>
      <c r="BJ1405" s="2">
        <f t="shared" ca="1" si="1362"/>
        <v>0.15781894329447432</v>
      </c>
      <c r="BK1405" s="2">
        <f t="shared" ca="1" si="1363"/>
        <v>2492870.3041389398</v>
      </c>
    </row>
    <row r="1406" spans="1:63" x14ac:dyDescent="0.3">
      <c r="A1406" s="2">
        <v>1405</v>
      </c>
      <c r="B1406" s="2">
        <f t="shared" ca="1" si="1302"/>
        <v>0.37663406532888288</v>
      </c>
      <c r="C1406" s="2">
        <f t="shared" ca="1" si="1303"/>
        <v>6.8679102088682713</v>
      </c>
      <c r="D1406" s="2">
        <f t="shared" ca="1" si="1304"/>
        <v>0.80676326987466329</v>
      </c>
      <c r="E1406" s="2">
        <f t="shared" ca="1" si="1305"/>
        <v>7.8783301034707618</v>
      </c>
      <c r="F1406" s="2">
        <f t="shared" ca="1" si="1306"/>
        <v>0.85162650442407606</v>
      </c>
      <c r="G1406" s="2">
        <f t="shared" ca="1" si="1307"/>
        <v>7.1303042183842313E-2</v>
      </c>
      <c r="H1406" s="2">
        <f t="shared" ca="1" si="1308"/>
        <v>7.1303042183842313E-2</v>
      </c>
      <c r="I1406" s="2">
        <f t="shared" ca="1" si="1309"/>
        <v>0.16606486700631196</v>
      </c>
      <c r="J1406" s="2">
        <f t="shared" ca="1" si="1310"/>
        <v>5.1508349308723037E-3</v>
      </c>
      <c r="K1406" s="2">
        <f t="shared" ca="1" si="1311"/>
        <v>5.1508349308723037E-3</v>
      </c>
      <c r="L1406" s="2">
        <f t="shared" ca="1" si="1312"/>
        <v>0.28000623934223945</v>
      </c>
      <c r="M1406" s="2">
        <f t="shared" ca="1" si="1313"/>
        <v>-1.1656459445730911E-2</v>
      </c>
      <c r="N1406" s="2">
        <f t="shared" ca="1" si="1314"/>
        <v>-1.1656459445730911E-2</v>
      </c>
      <c r="O1406" s="2">
        <f t="shared" si="1315"/>
        <v>6000000</v>
      </c>
      <c r="P1406" s="2">
        <f t="shared" ca="1" si="1316"/>
        <v>41207461.253209628</v>
      </c>
      <c r="Q1406" s="2">
        <f t="shared" ca="1" si="1317"/>
        <v>1030186.5313302408</v>
      </c>
      <c r="R1406" s="2">
        <f t="shared" ca="1" si="1318"/>
        <v>24724476.751925778</v>
      </c>
      <c r="S1406" s="2">
        <f t="shared" ca="1" si="1319"/>
        <v>16482984.501283852</v>
      </c>
      <c r="T1406" s="2">
        <f t="shared" ca="1" si="1320"/>
        <v>49417177.027713455</v>
      </c>
      <c r="U1406" s="2">
        <f t="shared" ca="1" si="1321"/>
        <v>52940772.085926913</v>
      </c>
      <c r="V1406" s="2">
        <f t="shared" ca="1" si="1322"/>
        <v>56715610.191214941</v>
      </c>
      <c r="W1406" s="2">
        <f t="shared" ca="1" si="1323"/>
        <v>60759605.737161495</v>
      </c>
      <c r="X1406" s="2">
        <f t="shared" ca="1" si="1324"/>
        <v>65091950.468111947</v>
      </c>
      <c r="Y1406" s="2">
        <f t="shared" ca="1" si="1325"/>
        <v>0.12257541746543615</v>
      </c>
      <c r="Z1406" s="2">
        <f t="shared" ca="1" si="1326"/>
        <v>0.12360558445161061</v>
      </c>
      <c r="AA1406" s="2">
        <f t="shared" ca="1" si="1327"/>
        <v>6057331.1041353382</v>
      </c>
      <c r="AB1406" s="2">
        <f t="shared" ca="1" si="1328"/>
        <v>6543775.0750005087</v>
      </c>
      <c r="AC1406" s="2">
        <f t="shared" ca="1" si="1329"/>
        <v>7010366.1452148464</v>
      </c>
      <c r="AD1406" s="2">
        <f t="shared" ca="1" si="1330"/>
        <v>7510226.5781912804</v>
      </c>
      <c r="AE1406" s="2">
        <f t="shared" ca="1" si="1331"/>
        <v>8045728.5807062667</v>
      </c>
      <c r="AF1406" s="2">
        <f t="shared" ca="1" si="1332"/>
        <v>988343.5405542691</v>
      </c>
      <c r="AG1406" s="2">
        <f t="shared" ca="1" si="1333"/>
        <v>1058815.4417185383</v>
      </c>
      <c r="AH1406" s="2">
        <f t="shared" ca="1" si="1334"/>
        <v>1134312.2038242989</v>
      </c>
      <c r="AI1406" s="2">
        <f t="shared" ca="1" si="1335"/>
        <v>1215192.1147432299</v>
      </c>
      <c r="AJ1406" s="2">
        <f t="shared" ca="1" si="1336"/>
        <v>1301839.0093622389</v>
      </c>
      <c r="AK1406" s="2">
        <f t="shared" ca="1" si="1337"/>
        <v>0</v>
      </c>
      <c r="AL1406" s="2">
        <f t="shared" ca="1" si="1338"/>
        <v>35235.950582134574</v>
      </c>
      <c r="AM1406" s="2">
        <f t="shared" ca="1" si="1339"/>
        <v>37748.381052880286</v>
      </c>
      <c r="AN1406" s="2">
        <f t="shared" ca="1" si="1340"/>
        <v>40439.955459465535</v>
      </c>
      <c r="AO1406" s="2">
        <f t="shared" ca="1" si="1341"/>
        <v>43323.447309504525</v>
      </c>
      <c r="AP1406" s="2">
        <f t="shared" ca="1" si="1342"/>
        <v>2225202.9076733198</v>
      </c>
      <c r="AQ1406" s="2">
        <f t="shared" ca="1" si="1343"/>
        <v>739384.0105360148</v>
      </c>
      <c r="AR1406" s="2">
        <f t="shared" ca="1" si="1344"/>
        <v>847536.74865824915</v>
      </c>
      <c r="AS1406" s="2">
        <f t="shared" ca="1" si="1345"/>
        <v>949221.26876647933</v>
      </c>
      <c r="AT1406" s="2">
        <f t="shared" ca="1" si="1346"/>
        <v>1058156.20450143</v>
      </c>
      <c r="AU1406" s="2">
        <f t="shared" ca="1" si="1347"/>
        <v>1174858.5325543841</v>
      </c>
      <c r="AV1406" s="2">
        <f t="shared" ca="1" si="1348"/>
        <v>2104400.6453717342</v>
      </c>
      <c r="AW1406" s="2">
        <f t="shared" ca="1" si="1349"/>
        <v>2376984.0263682669</v>
      </c>
      <c r="AX1406" s="2">
        <f t="shared" ca="1" si="1350"/>
        <v>2663881.383897868</v>
      </c>
      <c r="AY1406" s="2">
        <f t="shared" ca="1" si="1351"/>
        <v>2971235.3958138358</v>
      </c>
      <c r="AZ1406" s="2">
        <f t="shared" ca="1" si="1352"/>
        <v>3300504.6838068189</v>
      </c>
      <c r="BA1406" s="2">
        <f t="shared" ca="1" si="1353"/>
        <v>63386905.681733266</v>
      </c>
      <c r="BB1406" s="2">
        <f t="shared" ca="1" si="1354"/>
        <v>1267738.1136346653</v>
      </c>
      <c r="BC1406" s="2">
        <f t="shared" ca="1" si="1355"/>
        <v>37394690.816172816</v>
      </c>
      <c r="BD1406" s="2">
        <f t="shared" ca="1" si="1356"/>
        <v>-18013171.032614093</v>
      </c>
      <c r="BE1406" s="2">
        <f t="shared" ca="1" si="1357"/>
        <v>2104400.6453717342</v>
      </c>
      <c r="BF1406" s="2">
        <f t="shared" ca="1" si="1358"/>
        <v>2376984.0263682669</v>
      </c>
      <c r="BG1406" s="2">
        <f t="shared" ca="1" si="1359"/>
        <v>2663881.383897868</v>
      </c>
      <c r="BH1406" s="2">
        <f t="shared" ca="1" si="1360"/>
        <v>2971235.3958138358</v>
      </c>
      <c r="BI1406" s="2">
        <f t="shared" ca="1" si="1361"/>
        <v>40695195.499979638</v>
      </c>
      <c r="BJ1406" s="2">
        <f t="shared" ca="1" si="1362"/>
        <v>0.2679301253421984</v>
      </c>
      <c r="BK1406" s="2">
        <f t="shared" ca="1" si="1363"/>
        <v>12636594.014116108</v>
      </c>
    </row>
    <row r="1407" spans="1:63" x14ac:dyDescent="0.3">
      <c r="A1407" s="2">
        <v>1406</v>
      </c>
      <c r="B1407" s="2">
        <f t="shared" ca="1" si="1302"/>
        <v>0.28541134536161683</v>
      </c>
      <c r="C1407" s="2">
        <f t="shared" ca="1" si="1303"/>
        <v>6.7555280873159074</v>
      </c>
      <c r="D1407" s="2">
        <f t="shared" ca="1" si="1304"/>
        <v>0.37820383382240741</v>
      </c>
      <c r="E1407" s="2">
        <f t="shared" ca="1" si="1305"/>
        <v>7.3697170043438351</v>
      </c>
      <c r="F1407" s="2">
        <f t="shared" ca="1" si="1306"/>
        <v>0.80826740166310407</v>
      </c>
      <c r="G1407" s="2">
        <f t="shared" ca="1" si="1307"/>
        <v>6.6145879998906656E-2</v>
      </c>
      <c r="H1407" s="2">
        <f t="shared" ca="1" si="1308"/>
        <v>6.6145879998906656E-2</v>
      </c>
      <c r="I1407" s="2">
        <f t="shared" ca="1" si="1309"/>
        <v>0.83846512109534277</v>
      </c>
      <c r="J1407" s="2">
        <f t="shared" ca="1" si="1310"/>
        <v>1.4940846325464861E-2</v>
      </c>
      <c r="K1407" s="2">
        <f t="shared" ca="1" si="1311"/>
        <v>1.4940846325464861E-2</v>
      </c>
      <c r="L1407" s="2">
        <f t="shared" ca="1" si="1312"/>
        <v>0.27444813877008534</v>
      </c>
      <c r="M1407" s="2">
        <f t="shared" ca="1" si="1313"/>
        <v>-1.1988296974688416E-2</v>
      </c>
      <c r="N1407" s="2">
        <f t="shared" ca="1" si="1314"/>
        <v>-1.1988296974688416E-2</v>
      </c>
      <c r="O1407" s="2">
        <f t="shared" si="1315"/>
        <v>6000000</v>
      </c>
      <c r="P1407" s="2">
        <f t="shared" ca="1" si="1316"/>
        <v>40533168.523895442</v>
      </c>
      <c r="Q1407" s="2">
        <f t="shared" ca="1" si="1317"/>
        <v>1013329.2130973861</v>
      </c>
      <c r="R1407" s="2">
        <f t="shared" ca="1" si="1318"/>
        <v>24319901.114337265</v>
      </c>
      <c r="S1407" s="2">
        <f t="shared" ca="1" si="1319"/>
        <v>16213267.409558177</v>
      </c>
      <c r="T1407" s="2">
        <f t="shared" ca="1" si="1320"/>
        <v>49400585.151265584</v>
      </c>
      <c r="U1407" s="2">
        <f t="shared" ca="1" si="1321"/>
        <v>52668230.32855697</v>
      </c>
      <c r="V1407" s="2">
        <f t="shared" ca="1" si="1322"/>
        <v>56152016.771624483</v>
      </c>
      <c r="W1407" s="2">
        <f t="shared" ca="1" si="1323"/>
        <v>59866241.334696956</v>
      </c>
      <c r="X1407" s="2">
        <f t="shared" ca="1" si="1324"/>
        <v>63826146.55000741</v>
      </c>
      <c r="Y1407" s="2">
        <f t="shared" ca="1" si="1325"/>
        <v>0.12747042316273244</v>
      </c>
      <c r="Z1407" s="2">
        <f t="shared" ca="1" si="1326"/>
        <v>0.1304585924278254</v>
      </c>
      <c r="AA1407" s="2">
        <f t="shared" ca="1" si="1327"/>
        <v>6297113.4937184211</v>
      </c>
      <c r="AB1407" s="2">
        <f t="shared" ca="1" si="1328"/>
        <v>6871023.1943280464</v>
      </c>
      <c r="AC1407" s="2">
        <f t="shared" ca="1" si="1329"/>
        <v>7325513.0700097745</v>
      </c>
      <c r="AD1407" s="2">
        <f t="shared" ca="1" si="1330"/>
        <v>7810065.5784690641</v>
      </c>
      <c r="AE1407" s="2">
        <f t="shared" ca="1" si="1331"/>
        <v>8326669.2390060714</v>
      </c>
      <c r="AF1407" s="2">
        <f t="shared" ca="1" si="1332"/>
        <v>988011.7030253117</v>
      </c>
      <c r="AG1407" s="2">
        <f t="shared" ca="1" si="1333"/>
        <v>1053364.6065711393</v>
      </c>
      <c r="AH1407" s="2">
        <f t="shared" ca="1" si="1334"/>
        <v>1123040.3354324896</v>
      </c>
      <c r="AI1407" s="2">
        <f t="shared" ca="1" si="1335"/>
        <v>1197324.826693939</v>
      </c>
      <c r="AJ1407" s="2">
        <f t="shared" ca="1" si="1336"/>
        <v>1276522.9310001482</v>
      </c>
      <c r="AK1407" s="2">
        <f t="shared" ca="1" si="1337"/>
        <v>0</v>
      </c>
      <c r="AL1407" s="2">
        <f t="shared" ca="1" si="1338"/>
        <v>32676.451772913861</v>
      </c>
      <c r="AM1407" s="2">
        <f t="shared" ca="1" si="1339"/>
        <v>34837.864430675138</v>
      </c>
      <c r="AN1407" s="2">
        <f t="shared" ca="1" si="1340"/>
        <v>37142.245630724727</v>
      </c>
      <c r="AO1407" s="2">
        <f t="shared" ca="1" si="1341"/>
        <v>39599.052153104545</v>
      </c>
      <c r="AP1407" s="2">
        <f t="shared" ca="1" si="1342"/>
        <v>2188791.1002903539</v>
      </c>
      <c r="AQ1407" s="2">
        <f t="shared" ca="1" si="1343"/>
        <v>811280.77950471663</v>
      </c>
      <c r="AR1407" s="2">
        <f t="shared" ca="1" si="1344"/>
        <v>943505.54674130399</v>
      </c>
      <c r="AS1407" s="2">
        <f t="shared" ca="1" si="1345"/>
        <v>1043557.2249146021</v>
      </c>
      <c r="AT1407" s="2">
        <f t="shared" ca="1" si="1346"/>
        <v>1150226.9093860404</v>
      </c>
      <c r="AU1407" s="2">
        <f t="shared" ca="1" si="1347"/>
        <v>1263952.3540060481</v>
      </c>
      <c r="AV1407" s="2">
        <f t="shared" ca="1" si="1348"/>
        <v>2309029.9108980396</v>
      </c>
      <c r="AW1407" s="2">
        <f t="shared" ca="1" si="1349"/>
        <v>2652685.4889523354</v>
      </c>
      <c r="AX1407" s="2">
        <f t="shared" ca="1" si="1350"/>
        <v>2935286.544941654</v>
      </c>
      <c r="AY1407" s="2">
        <f t="shared" ca="1" si="1351"/>
        <v>3236580.4964680062</v>
      </c>
      <c r="AZ1407" s="2">
        <f t="shared" ca="1" si="1352"/>
        <v>3557803.8015564163</v>
      </c>
      <c r="BA1407" s="2">
        <f t="shared" ca="1" si="1353"/>
        <v>61365195.880249783</v>
      </c>
      <c r="BB1407" s="2">
        <f t="shared" ca="1" si="1354"/>
        <v>1227303.9176049957</v>
      </c>
      <c r="BC1407" s="2">
        <f t="shared" ca="1" si="1355"/>
        <v>35817990.84830752</v>
      </c>
      <c r="BD1407" s="2">
        <f t="shared" ca="1" si="1356"/>
        <v>-17726596.622655563</v>
      </c>
      <c r="BE1407" s="2">
        <f t="shared" ca="1" si="1357"/>
        <v>2309029.9108980396</v>
      </c>
      <c r="BF1407" s="2">
        <f t="shared" ca="1" si="1358"/>
        <v>2652685.4889523354</v>
      </c>
      <c r="BG1407" s="2">
        <f t="shared" ca="1" si="1359"/>
        <v>2935286.544941654</v>
      </c>
      <c r="BH1407" s="2">
        <f t="shared" ca="1" si="1360"/>
        <v>3236580.4964680062</v>
      </c>
      <c r="BI1407" s="2">
        <f t="shared" ca="1" si="1361"/>
        <v>39375794.649863936</v>
      </c>
      <c r="BJ1407" s="2">
        <f t="shared" ca="1" si="1362"/>
        <v>0.27576410141192209</v>
      </c>
      <c r="BK1407" s="2">
        <f t="shared" ca="1" si="1363"/>
        <v>12938809.608895153</v>
      </c>
    </row>
    <row r="1408" spans="1:63" x14ac:dyDescent="0.3">
      <c r="A1408" s="2">
        <v>1407</v>
      </c>
      <c r="B1408" s="2">
        <f t="shared" ca="1" si="1302"/>
        <v>0.70519181587295188</v>
      </c>
      <c r="C1408" s="2">
        <f t="shared" ca="1" si="1303"/>
        <v>7.2321351888163541</v>
      </c>
      <c r="D1408" s="2">
        <f t="shared" ca="1" si="1304"/>
        <v>0.58320009072266443</v>
      </c>
      <c r="E1408" s="2">
        <f t="shared" ca="1" si="1305"/>
        <v>7.5869831225247415</v>
      </c>
      <c r="F1408" s="2">
        <f t="shared" ca="1" si="1306"/>
        <v>1.1865202553071108E-2</v>
      </c>
      <c r="G1408" s="2">
        <f t="shared" ca="1" si="1307"/>
        <v>-2.7843985187736585E-2</v>
      </c>
      <c r="H1408" s="2">
        <f t="shared" ca="1" si="1308"/>
        <v>-0.02</v>
      </c>
      <c r="I1408" s="2">
        <f t="shared" ca="1" si="1309"/>
        <v>0.62412060298772654</v>
      </c>
      <c r="J1408" s="2">
        <f t="shared" ca="1" si="1310"/>
        <v>1.1581605521443432E-2</v>
      </c>
      <c r="K1408" s="2">
        <f t="shared" ca="1" si="1311"/>
        <v>1.1581605521443432E-2</v>
      </c>
      <c r="L1408" s="2">
        <f t="shared" ca="1" si="1312"/>
        <v>0.74664869452657778</v>
      </c>
      <c r="M1408" s="2">
        <f t="shared" ca="1" si="1313"/>
        <v>1.3279615650155754E-2</v>
      </c>
      <c r="N1408" s="2">
        <f t="shared" ca="1" si="1314"/>
        <v>1.3279615650155754E-2</v>
      </c>
      <c r="O1408" s="2">
        <f t="shared" si="1315"/>
        <v>6000000</v>
      </c>
      <c r="P1408" s="2">
        <f t="shared" ca="1" si="1316"/>
        <v>43392811.132898122</v>
      </c>
      <c r="Q1408" s="2">
        <f t="shared" ca="1" si="1317"/>
        <v>1084820.2783224531</v>
      </c>
      <c r="R1408" s="2">
        <f t="shared" ca="1" si="1318"/>
        <v>26035686.679738872</v>
      </c>
      <c r="S1408" s="2">
        <f t="shared" ca="1" si="1319"/>
        <v>17357124.45315925</v>
      </c>
      <c r="T1408" s="2">
        <f t="shared" ca="1" si="1320"/>
        <v>50663980.782507792</v>
      </c>
      <c r="U1408" s="2">
        <f t="shared" ca="1" si="1321"/>
        <v>49650701.166857637</v>
      </c>
      <c r="V1408" s="2">
        <f t="shared" ca="1" si="1322"/>
        <v>48657687.143520482</v>
      </c>
      <c r="W1408" s="2">
        <f t="shared" ca="1" si="1323"/>
        <v>47684533.400650069</v>
      </c>
      <c r="X1408" s="2">
        <f t="shared" ca="1" si="1324"/>
        <v>46730842.73263707</v>
      </c>
      <c r="Y1408" s="2">
        <f t="shared" ca="1" si="1325"/>
        <v>0.12579080276072171</v>
      </c>
      <c r="Z1408" s="2">
        <f t="shared" ca="1" si="1326"/>
        <v>0.12810712386501039</v>
      </c>
      <c r="AA1408" s="2">
        <f t="shared" ca="1" si="1327"/>
        <v>6373062.813685433</v>
      </c>
      <c r="AB1408" s="2">
        <f t="shared" ca="1" si="1328"/>
        <v>6360608.5243672468</v>
      </c>
      <c r="AC1408" s="2">
        <f t="shared" ca="1" si="1329"/>
        <v>6233396.3538799016</v>
      </c>
      <c r="AD1408" s="2">
        <f t="shared" ca="1" si="1330"/>
        <v>6108728.4268023036</v>
      </c>
      <c r="AE1408" s="2">
        <f t="shared" ca="1" si="1331"/>
        <v>5986553.8582662577</v>
      </c>
      <c r="AF1408" s="2">
        <f t="shared" ca="1" si="1332"/>
        <v>1013279.6156501558</v>
      </c>
      <c r="AG1408" s="2">
        <f t="shared" ca="1" si="1333"/>
        <v>993014.02333715279</v>
      </c>
      <c r="AH1408" s="2">
        <f t="shared" ca="1" si="1334"/>
        <v>973153.74287040962</v>
      </c>
      <c r="AI1408" s="2">
        <f t="shared" ca="1" si="1335"/>
        <v>953690.66801300144</v>
      </c>
      <c r="AJ1408" s="2">
        <f t="shared" ca="1" si="1336"/>
        <v>934616.85465274146</v>
      </c>
      <c r="AK1408" s="2">
        <f t="shared" ca="1" si="1337"/>
        <v>0</v>
      </c>
      <c r="AL1408" s="2">
        <f t="shared" ca="1" si="1338"/>
        <v>0</v>
      </c>
      <c r="AM1408" s="2">
        <f t="shared" ca="1" si="1339"/>
        <v>0</v>
      </c>
      <c r="AN1408" s="2">
        <f t="shared" ca="1" si="1340"/>
        <v>0</v>
      </c>
      <c r="AO1408" s="2">
        <f t="shared" ca="1" si="1341"/>
        <v>0</v>
      </c>
      <c r="AP1408" s="2">
        <f t="shared" ca="1" si="1342"/>
        <v>2343211.8011764982</v>
      </c>
      <c r="AQ1408" s="2">
        <f t="shared" ca="1" si="1343"/>
        <v>784308.56318328262</v>
      </c>
      <c r="AR1408" s="2">
        <f t="shared" ca="1" si="1344"/>
        <v>786339.50196193496</v>
      </c>
      <c r="AS1408" s="2">
        <f t="shared" ca="1" si="1345"/>
        <v>758428.01055657829</v>
      </c>
      <c r="AT1408" s="2">
        <f t="shared" ca="1" si="1346"/>
        <v>731074.74897932902</v>
      </c>
      <c r="AU1408" s="2">
        <f t="shared" ca="1" si="1347"/>
        <v>704268.55263362487</v>
      </c>
      <c r="AV1408" s="2">
        <f t="shared" ca="1" si="1348"/>
        <v>2232262.8336754967</v>
      </c>
      <c r="AW1408" s="2">
        <f t="shared" ca="1" si="1349"/>
        <v>2238043.1978916605</v>
      </c>
      <c r="AX1408" s="2">
        <f t="shared" ca="1" si="1350"/>
        <v>2158602.7992764148</v>
      </c>
      <c r="AY1408" s="2">
        <f t="shared" ca="1" si="1351"/>
        <v>2080751.2086334745</v>
      </c>
      <c r="AZ1408" s="2">
        <f t="shared" ca="1" si="1352"/>
        <v>2004456.649803394</v>
      </c>
      <c r="BA1408" s="2">
        <f t="shared" ca="1" si="1353"/>
        <v>45419883.084751472</v>
      </c>
      <c r="BB1408" s="2">
        <f t="shared" ca="1" si="1354"/>
        <v>908397.66169502947</v>
      </c>
      <c r="BC1408" s="2">
        <f t="shared" ca="1" si="1355"/>
        <v>18475798.743317571</v>
      </c>
      <c r="BD1408" s="2">
        <f t="shared" ca="1" si="1356"/>
        <v>-18941944.731481705</v>
      </c>
      <c r="BE1408" s="2">
        <f t="shared" ca="1" si="1357"/>
        <v>2232262.8336754967</v>
      </c>
      <c r="BF1408" s="2">
        <f t="shared" ca="1" si="1358"/>
        <v>2238043.1978916605</v>
      </c>
      <c r="BG1408" s="2">
        <f t="shared" ca="1" si="1359"/>
        <v>2158602.7992764148</v>
      </c>
      <c r="BH1408" s="2">
        <f t="shared" ca="1" si="1360"/>
        <v>2080751.2086334745</v>
      </c>
      <c r="BI1408" s="2">
        <f t="shared" ca="1" si="1361"/>
        <v>20480255.393120963</v>
      </c>
      <c r="BJ1408" s="2">
        <f t="shared" ca="1" si="1362"/>
        <v>0.10983480673625468</v>
      </c>
      <c r="BK1408" s="2">
        <f t="shared" ca="1" si="1363"/>
        <v>-684845.81346460059</v>
      </c>
    </row>
    <row r="1409" spans="1:63" x14ac:dyDescent="0.3">
      <c r="A1409" s="2">
        <v>1408</v>
      </c>
      <c r="B1409" s="2">
        <f t="shared" ca="1" si="1302"/>
        <v>0.28315477807807943</v>
      </c>
      <c r="C1409" s="2">
        <f t="shared" ca="1" si="1303"/>
        <v>6.7525354185393258</v>
      </c>
      <c r="D1409" s="2">
        <f t="shared" ca="1" si="1304"/>
        <v>0.9135999619482188</v>
      </c>
      <c r="E1409" s="2">
        <f t="shared" ca="1" si="1305"/>
        <v>8.0843077146451208</v>
      </c>
      <c r="F1409" s="2">
        <f t="shared" ca="1" si="1306"/>
        <v>0.99147415589563304</v>
      </c>
      <c r="G1409" s="2">
        <f t="shared" ca="1" si="1307"/>
        <v>0.11156773966375638</v>
      </c>
      <c r="H1409" s="2">
        <f t="shared" ca="1" si="1308"/>
        <v>0.11156773966375638</v>
      </c>
      <c r="I1409" s="2">
        <f t="shared" ca="1" si="1309"/>
        <v>0.27767903429507212</v>
      </c>
      <c r="J1409" s="2">
        <f t="shared" ca="1" si="1310"/>
        <v>7.0512485095536055E-3</v>
      </c>
      <c r="K1409" s="2">
        <f t="shared" ca="1" si="1311"/>
        <v>7.0512485095536055E-3</v>
      </c>
      <c r="L1409" s="2">
        <f t="shared" ca="1" si="1312"/>
        <v>0.89020555079330221</v>
      </c>
      <c r="M1409" s="2">
        <f t="shared" ca="1" si="1313"/>
        <v>2.4552440044395777E-2</v>
      </c>
      <c r="N1409" s="2">
        <f t="shared" ca="1" si="1314"/>
        <v>2.4552440044395777E-2</v>
      </c>
      <c r="O1409" s="2">
        <f t="shared" si="1315"/>
        <v>6000000</v>
      </c>
      <c r="P1409" s="2">
        <f t="shared" ca="1" si="1316"/>
        <v>40515212.511235952</v>
      </c>
      <c r="Q1409" s="2">
        <f t="shared" ca="1" si="1317"/>
        <v>1012880.3127808989</v>
      </c>
      <c r="R1409" s="2">
        <f t="shared" ca="1" si="1318"/>
        <v>24309127.506741572</v>
      </c>
      <c r="S1409" s="2">
        <f t="shared" ca="1" si="1319"/>
        <v>16206085.004494382</v>
      </c>
      <c r="T1409" s="2">
        <f t="shared" ca="1" si="1320"/>
        <v>51227622.002219789</v>
      </c>
      <c r="U1409" s="2">
        <f t="shared" ca="1" si="1321"/>
        <v>56942971.997356765</v>
      </c>
      <c r="V1409" s="2">
        <f t="shared" ca="1" si="1322"/>
        <v>63295970.672838435</v>
      </c>
      <c r="W1409" s="2">
        <f t="shared" ca="1" si="1323"/>
        <v>70357759.050630435</v>
      </c>
      <c r="X1409" s="2">
        <f t="shared" ca="1" si="1324"/>
        <v>78207415.19571647</v>
      </c>
      <c r="Y1409" s="2">
        <f t="shared" ca="1" si="1325"/>
        <v>0.1235256242547768</v>
      </c>
      <c r="Z1409" s="2">
        <f t="shared" ca="1" si="1326"/>
        <v>0.12493587395668752</v>
      </c>
      <c r="AA1409" s="2">
        <f t="shared" ca="1" si="1327"/>
        <v>6327923.9869119385</v>
      </c>
      <c r="AB1409" s="2">
        <f t="shared" ca="1" si="1328"/>
        <v>7114219.9721809523</v>
      </c>
      <c r="AC1409" s="2">
        <f t="shared" ca="1" si="1329"/>
        <v>7907937.4139479324</v>
      </c>
      <c r="AD1409" s="2">
        <f t="shared" ca="1" si="1330"/>
        <v>8790208.1166245546</v>
      </c>
      <c r="AE1409" s="2">
        <f t="shared" ca="1" si="1331"/>
        <v>9770911.7673703618</v>
      </c>
      <c r="AF1409" s="2">
        <f t="shared" ca="1" si="1332"/>
        <v>1024552.4400443957</v>
      </c>
      <c r="AG1409" s="2">
        <f t="shared" ca="1" si="1333"/>
        <v>1138859.4399471353</v>
      </c>
      <c r="AH1409" s="2">
        <f t="shared" ca="1" si="1334"/>
        <v>1265919.4134567687</v>
      </c>
      <c r="AI1409" s="2">
        <f t="shared" ca="1" si="1335"/>
        <v>1407155.1810126088</v>
      </c>
      <c r="AJ1409" s="2">
        <f t="shared" ca="1" si="1336"/>
        <v>1564148.3039143295</v>
      </c>
      <c r="AK1409" s="2">
        <f t="shared" ca="1" si="1337"/>
        <v>0</v>
      </c>
      <c r="AL1409" s="2">
        <f t="shared" ca="1" si="1338"/>
        <v>57153.499951369762</v>
      </c>
      <c r="AM1409" s="2">
        <f t="shared" ca="1" si="1339"/>
        <v>63529.986754816695</v>
      </c>
      <c r="AN1409" s="2">
        <f t="shared" ca="1" si="1340"/>
        <v>70617.883777920011</v>
      </c>
      <c r="AO1409" s="2">
        <f t="shared" ca="1" si="1341"/>
        <v>78496.561450860347</v>
      </c>
      <c r="AP1409" s="2">
        <f t="shared" ca="1" si="1342"/>
        <v>2187821.4756067414</v>
      </c>
      <c r="AQ1409" s="2">
        <f t="shared" ca="1" si="1343"/>
        <v>810043.01852780837</v>
      </c>
      <c r="AR1409" s="2">
        <f t="shared" ca="1" si="1344"/>
        <v>984760.15472303983</v>
      </c>
      <c r="AS1409" s="2">
        <f t="shared" ca="1" si="1345"/>
        <v>1158091.0964699499</v>
      </c>
      <c r="AT1409" s="2">
        <f t="shared" ca="1" si="1346"/>
        <v>1350760.1796013531</v>
      </c>
      <c r="AU1409" s="2">
        <f t="shared" ca="1" si="1347"/>
        <v>1564924.9168408159</v>
      </c>
      <c r="AV1409" s="2">
        <f t="shared" ca="1" si="1348"/>
        <v>2305507.0527329929</v>
      </c>
      <c r="AW1409" s="2">
        <f t="shared" ca="1" si="1349"/>
        <v>2745625.4019526662</v>
      </c>
      <c r="AX1409" s="2">
        <f t="shared" ca="1" si="1350"/>
        <v>3232575.4416596554</v>
      </c>
      <c r="AY1409" s="2">
        <f t="shared" ca="1" si="1351"/>
        <v>3773853.3966259304</v>
      </c>
      <c r="AZ1409" s="2">
        <f t="shared" ca="1" si="1352"/>
        <v>4375520.509557615</v>
      </c>
      <c r="BA1409" s="2">
        <f t="shared" ca="1" si="1353"/>
        <v>78991057.380069003</v>
      </c>
      <c r="BB1409" s="2">
        <f t="shared" ca="1" si="1354"/>
        <v>1579821.14760138</v>
      </c>
      <c r="BC1409" s="2">
        <f t="shared" ca="1" si="1355"/>
        <v>53102108.725726053</v>
      </c>
      <c r="BD1409" s="2">
        <f t="shared" ca="1" si="1356"/>
        <v>-17718965.317275282</v>
      </c>
      <c r="BE1409" s="2">
        <f t="shared" ca="1" si="1357"/>
        <v>2305507.0527329929</v>
      </c>
      <c r="BF1409" s="2">
        <f t="shared" ca="1" si="1358"/>
        <v>2745625.4019526662</v>
      </c>
      <c r="BG1409" s="2">
        <f t="shared" ca="1" si="1359"/>
        <v>3232575.4416596554</v>
      </c>
      <c r="BH1409" s="2">
        <f t="shared" ca="1" si="1360"/>
        <v>3773853.3966259304</v>
      </c>
      <c r="BI1409" s="2">
        <f t="shared" ca="1" si="1361"/>
        <v>57477629.235283665</v>
      </c>
      <c r="BJ1409" s="2">
        <f t="shared" ca="1" si="1362"/>
        <v>0.36372118873715231</v>
      </c>
      <c r="BK1409" s="2">
        <f t="shared" ca="1" si="1363"/>
        <v>23841904.722031865</v>
      </c>
    </row>
    <row r="1410" spans="1:63" x14ac:dyDescent="0.3">
      <c r="A1410" s="2">
        <v>1409</v>
      </c>
      <c r="B1410" s="2">
        <f t="shared" ref="B1410:B1473" ca="1" si="1364">RAND()</f>
        <v>0.37354595244653344</v>
      </c>
      <c r="C1410" s="2">
        <f t="shared" ref="C1410:C1473" ca="1" si="1365">IF(B1410&lt;((P_Mode)-(P_Low))/((P_High)-(P_Low)), (P_Low)+SQRT(B1410*((P_High)-(P_Low))*((P_Mode)-(P_Low))), (P_High)-SQRT((1-B1410)*((P_High)-(P_Low))*((P_High)-(P_Mode))))</f>
        <v>6.8643447835748574</v>
      </c>
      <c r="D1410" s="2">
        <f t="shared" ref="D1410:D1473" ca="1" si="1366">RAND()</f>
        <v>0.72804099705080982</v>
      </c>
      <c r="E1410" s="2">
        <f t="shared" ref="E1410:E1473" ca="1" si="1367">IF(D1410&lt;((X_Mode)-(X_Low))/((X_High)-(X_Low)), (X_Low)+SQRT(D1410*((X_High)-(X_Low))*((X_Mode)-(X_Low))), (X_High)-SQRT((1-D1410)*((X_High)-(X_Low))*((X_High)-(X_Mode))))</f>
        <v>7.7624920299424689</v>
      </c>
      <c r="F1410" s="2">
        <f t="shared" ref="F1410:F1473" ca="1" si="1368">RAND()</f>
        <v>0.94902240365228008</v>
      </c>
      <c r="G1410" s="2">
        <f t="shared" ref="G1410:G1473" ca="1" si="1369">NORMINV(F1410, g_Mean, g_SD)</f>
        <v>8.906343633181163E-2</v>
      </c>
      <c r="H1410" s="2">
        <f t="shared" ref="H1410:H1473" ca="1" si="1370">MIN(MAX(G1410, g_Min), g_Max)</f>
        <v>8.906343633181163E-2</v>
      </c>
      <c r="I1410" s="2">
        <f t="shared" ref="I1410:I1473" ca="1" si="1371">RAND()</f>
        <v>0.30742101840507419</v>
      </c>
      <c r="J1410" s="2">
        <f t="shared" ref="J1410:J1473" ca="1" si="1372">NORMINV(I1410, syn_Mean, syn_SD)</f>
        <v>7.4841306674191801E-3</v>
      </c>
      <c r="K1410" s="2">
        <f t="shared" ref="K1410:K1473" ca="1" si="1373">MIN(MAX(J1410, syn_Min), syn_Max)</f>
        <v>7.4841306674191801E-3</v>
      </c>
      <c r="L1410" s="2">
        <f t="shared" ref="L1410:L1473" ca="1" si="1374">RAND()</f>
        <v>0.41086080479204379</v>
      </c>
      <c r="M1410" s="2">
        <f t="shared" ref="M1410:M1473" ca="1" si="1375">NORMINV(L1410, shk_Mean, shk_SD)</f>
        <v>-4.5066245150674937E-3</v>
      </c>
      <c r="N1410" s="2">
        <f t="shared" ref="N1410:N1473" ca="1" si="1376">MIN(MAX(M1410, shk_Min), shk_Max)</f>
        <v>-4.5066245150674937E-3</v>
      </c>
      <c r="O1410" s="2">
        <f t="shared" ref="O1410:O1473" si="1377">BaseRev*BaseMargin</f>
        <v>6000000</v>
      </c>
      <c r="P1410" s="2">
        <f t="shared" ref="P1410:P1473" ca="1" si="1378">O1410*C1410</f>
        <v>41186068.701449148</v>
      </c>
      <c r="Q1410" s="2">
        <f t="shared" ref="Q1410:Q1473" ca="1" si="1379">P1410*TxnCostPct</f>
        <v>1029651.7175362287</v>
      </c>
      <c r="R1410" s="2">
        <f t="shared" ref="R1410:R1473" ca="1" si="1380">P1410*DebtPct</f>
        <v>24711641.220869489</v>
      </c>
      <c r="S1410" s="2">
        <f t="shared" ref="S1410:S1473" ca="1" si="1381">P1410*EqPct</f>
        <v>16474427.480579659</v>
      </c>
      <c r="T1410" s="2">
        <f t="shared" ref="T1410:T1473" ca="1" si="1382">BaseRev*(1+N1410)</f>
        <v>49774668.774246626</v>
      </c>
      <c r="U1410" s="2">
        <f t="shared" ref="U1410:U1473" ca="1" si="1383">T1410*(1+H1410)</f>
        <v>54207771.817558758</v>
      </c>
      <c r="V1410" s="2">
        <f t="shared" ref="V1410:V1473" ca="1" si="1384">U1410*(1+H1410)</f>
        <v>59035702.251521282</v>
      </c>
      <c r="W1410" s="2">
        <f t="shared" ref="W1410:W1473" ca="1" si="1385">V1410*(1+H1410)</f>
        <v>64293624.760303438</v>
      </c>
      <c r="X1410" s="2">
        <f t="shared" ref="X1410:X1473" ca="1" si="1386">W1410*(1+H1410)</f>
        <v>70019835.915684119</v>
      </c>
      <c r="Y1410" s="2">
        <f t="shared" ref="Y1410:Y1473" ca="1" si="1387">BaseMargin + SynReal_Y1*K1410</f>
        <v>0.12374206533370959</v>
      </c>
      <c r="Z1410" s="2">
        <f t="shared" ref="Z1410:Z1473" ca="1" si="1388">BaseMargin + SynReal_Y2toY5*K1410</f>
        <v>0.12523889146719341</v>
      </c>
      <c r="AA1410" s="2">
        <f t="shared" ref="AA1410:AA1473" ca="1" si="1389">T1410*Y1410</f>
        <v>6159220.3154265806</v>
      </c>
      <c r="AB1410" s="2">
        <f t="shared" ref="AB1410:AB1473" ca="1" si="1390">U1410*Z1410</f>
        <v>6788921.2513376269</v>
      </c>
      <c r="AC1410" s="2">
        <f t="shared" ref="AC1410:AC1473" ca="1" si="1391">V1410*Z1410</f>
        <v>7393565.9069678197</v>
      </c>
      <c r="AD1410" s="2">
        <f t="shared" ref="AD1410:AD1473" ca="1" si="1392">W1410*Z1410</f>
        <v>8052062.2933881013</v>
      </c>
      <c r="AE1410" s="2">
        <f t="shared" ref="AE1410:AE1473" ca="1" si="1393">X1410*Z1410</f>
        <v>8769206.6307950541</v>
      </c>
      <c r="AF1410" s="2">
        <f t="shared" ref="AF1410:AF1473" ca="1" si="1394">T1410*CapexPct</f>
        <v>995493.37548493256</v>
      </c>
      <c r="AG1410" s="2">
        <f t="shared" ref="AG1410:AG1473" ca="1" si="1395">U1410*CapexPct</f>
        <v>1084155.4363511752</v>
      </c>
      <c r="AH1410" s="2">
        <f t="shared" ref="AH1410:AH1473" ca="1" si="1396">V1410*CapexPct</f>
        <v>1180714.0450304258</v>
      </c>
      <c r="AI1410" s="2">
        <f t="shared" ref="AI1410:AI1473" ca="1" si="1397">W1410*CapexPct</f>
        <v>1285872.4952060687</v>
      </c>
      <c r="AJ1410" s="2">
        <f t="shared" ref="AJ1410:AJ1473" ca="1" si="1398">X1410*CapexPct</f>
        <v>1400396.7183136824</v>
      </c>
      <c r="AK1410" s="2">
        <f t="shared" ref="AK1410:AK1473" ca="1" si="1399">MAX(T1410-BaseRev*(1+N1410),0)*WCPct</f>
        <v>0</v>
      </c>
      <c r="AL1410" s="2">
        <f t="shared" ref="AL1410:AL1473" ca="1" si="1400">MAX(U1410-T1410,0)*WCPct</f>
        <v>44331.030433121326</v>
      </c>
      <c r="AM1410" s="2">
        <f t="shared" ref="AM1410:AM1473" ca="1" si="1401">MAX(V1410-U1410,0)*WCPct</f>
        <v>48279.30433962524</v>
      </c>
      <c r="AN1410" s="2">
        <f t="shared" ref="AN1410:AN1473" ca="1" si="1402">MAX(W1410-V1410,0)*WCPct</f>
        <v>52579.225087821556</v>
      </c>
      <c r="AO1410" s="2">
        <f t="shared" ref="AO1410:AO1473" ca="1" si="1403">MAX(X1410-W1410,0)*WCPct</f>
        <v>57262.111553806812</v>
      </c>
      <c r="AP1410" s="2">
        <f t="shared" ref="AP1410:AP1473" ca="1" si="1404">R1410*DebtRate</f>
        <v>2224047.7098782538</v>
      </c>
      <c r="AQ1410" s="2">
        <f t="shared" ref="AQ1410:AQ1473" ca="1" si="1405">MAX(AA1410-AF1410-AP1410,0)*Tax</f>
        <v>764316.59981648263</v>
      </c>
      <c r="AR1410" s="2">
        <f t="shared" ref="AR1410:AR1473" ca="1" si="1406">MAX(AB1410-AG1410-AP1410,0)*Tax</f>
        <v>904986.70732813142</v>
      </c>
      <c r="AS1410" s="2">
        <f t="shared" ref="AS1410:AS1473" ca="1" si="1407">MAX(AC1410-AH1410-AP1410,0)*Tax</f>
        <v>1037089.0795353766</v>
      </c>
      <c r="AT1410" s="2">
        <f t="shared" ref="AT1410:AT1473" ca="1" si="1408">MAX(AD1410-AI1410-AP1410,0)*Tax</f>
        <v>1180956.9429589827</v>
      </c>
      <c r="AU1410" s="2">
        <f t="shared" ref="AU1410:AU1473" ca="1" si="1409">MAX(AE1410-AJ1410-AP1410,0)*Tax</f>
        <v>1337638.1726768105</v>
      </c>
      <c r="AV1410" s="2">
        <f t="shared" ref="AV1410:AV1473" ca="1" si="1410">AA1410-AF1410-AK1410-AQ1410-AP1410</f>
        <v>2175362.6302469121</v>
      </c>
      <c r="AW1410" s="2">
        <f t="shared" ref="AW1410:AW1473" ca="1" si="1411">AB1410-AG1410-AL1410-AR1410-AP1410</f>
        <v>2531400.3673469452</v>
      </c>
      <c r="AX1410" s="2">
        <f t="shared" ref="AX1410:AX1473" ca="1" si="1412">AC1410-AH1410-AM1410-AS1410-AP1410</f>
        <v>2903435.7681841394</v>
      </c>
      <c r="AY1410" s="2">
        <f t="shared" ref="AY1410:AY1473" ca="1" si="1413">AD1410-AI1410-AN1410-AT1410-AP1410</f>
        <v>3308605.9202569751</v>
      </c>
      <c r="AZ1410" s="2">
        <f t="shared" ref="AZ1410:AZ1473" ca="1" si="1414">AE1410-AJ1410-AO1410-AU1410-AP1410</f>
        <v>3749861.9183724998</v>
      </c>
      <c r="BA1410" s="2">
        <f t="shared" ref="BA1410:BA1473" ca="1" si="1415">AE1410*E1410</f>
        <v>68070896.580465257</v>
      </c>
      <c r="BB1410" s="2">
        <f t="shared" ref="BB1410:BB1473" ca="1" si="1416">BA1410*SellCostPct</f>
        <v>1361417.9316093051</v>
      </c>
      <c r="BC1410" s="2">
        <f t="shared" ref="BC1410:BC1473" ca="1" si="1417">BA1410-R1410-BB1410</f>
        <v>41997837.427986465</v>
      </c>
      <c r="BD1410" s="2">
        <f t="shared" ref="BD1410:BD1473" ca="1" si="1418">-S1410-Q1410-IntegrationPct*BaseRev</f>
        <v>-18004079.198115889</v>
      </c>
      <c r="BE1410" s="2">
        <f t="shared" ref="BE1410:BE1473" ca="1" si="1419">AV1410</f>
        <v>2175362.6302469121</v>
      </c>
      <c r="BF1410" s="2">
        <f t="shared" ref="BF1410:BF1473" ca="1" si="1420">AW1410</f>
        <v>2531400.3673469452</v>
      </c>
      <c r="BG1410" s="2">
        <f t="shared" ref="BG1410:BG1473" ca="1" si="1421">AX1410</f>
        <v>2903435.7681841394</v>
      </c>
      <c r="BH1410" s="2">
        <f t="shared" ref="BH1410:BH1473" ca="1" si="1422">AY1410</f>
        <v>3308605.9202569751</v>
      </c>
      <c r="BI1410" s="2">
        <f t="shared" ref="BI1410:BI1473" ca="1" si="1423">AZ1410+BC1410</f>
        <v>45747699.346358962</v>
      </c>
      <c r="BJ1410" s="2">
        <f t="shared" ref="BJ1410:BJ1473" ca="1" si="1424">IF(MIN(BD1410:BI1410)*MAX(BD1410:BI1410)&gt;=0, "", IFERROR(IRR(BD1410:BI1410,0.12), IFERROR(IRR(BD1410:BI1410,0.5), IFERROR(IRR(BD1410:BI1410,-0.5),""))))</f>
        <v>0.29945047964053972</v>
      </c>
      <c r="BK1410" s="2">
        <f t="shared" ref="BK1410:BK1473" ca="1" si="1425">NPV(12%,BE1410:BI1410)+BD1410</f>
        <v>16083986.042777222</v>
      </c>
    </row>
    <row r="1411" spans="1:63" x14ac:dyDescent="0.3">
      <c r="A1411" s="2">
        <v>1410</v>
      </c>
      <c r="B1411" s="2">
        <f t="shared" ca="1" si="1364"/>
        <v>0.47273782589462854</v>
      </c>
      <c r="C1411" s="2">
        <f t="shared" ca="1" si="1365"/>
        <v>6.9723557228654833</v>
      </c>
      <c r="D1411" s="2">
        <f t="shared" ca="1" si="1366"/>
        <v>0.81722080239033934</v>
      </c>
      <c r="E1411" s="2">
        <f t="shared" ca="1" si="1367"/>
        <v>7.8953857467613577</v>
      </c>
      <c r="F1411" s="2">
        <f t="shared" ca="1" si="1368"/>
        <v>0.67210040377228819</v>
      </c>
      <c r="G1411" s="2">
        <f t="shared" ca="1" si="1369"/>
        <v>5.3371613426091417E-2</v>
      </c>
      <c r="H1411" s="2">
        <f t="shared" ca="1" si="1370"/>
        <v>5.3371613426091417E-2</v>
      </c>
      <c r="I1411" s="2">
        <f t="shared" ca="1" si="1371"/>
        <v>7.2818949939577049E-2</v>
      </c>
      <c r="J1411" s="2">
        <f t="shared" ca="1" si="1372"/>
        <v>2.7244335385585685E-3</v>
      </c>
      <c r="K1411" s="2">
        <f t="shared" ca="1" si="1373"/>
        <v>2.7244335385585685E-3</v>
      </c>
      <c r="L1411" s="2">
        <f t="shared" ca="1" si="1374"/>
        <v>0.37044484417193169</v>
      </c>
      <c r="M1411" s="2">
        <f t="shared" ca="1" si="1375"/>
        <v>-6.6135079345428626E-3</v>
      </c>
      <c r="N1411" s="2">
        <f t="shared" ca="1" si="1376"/>
        <v>-6.6135079345428626E-3</v>
      </c>
      <c r="O1411" s="2">
        <f t="shared" si="1377"/>
        <v>6000000</v>
      </c>
      <c r="P1411" s="2">
        <f t="shared" ca="1" si="1378"/>
        <v>41834134.3371929</v>
      </c>
      <c r="Q1411" s="2">
        <f t="shared" ca="1" si="1379"/>
        <v>1045853.3584298226</v>
      </c>
      <c r="R1411" s="2">
        <f t="shared" ca="1" si="1380"/>
        <v>25100480.602315739</v>
      </c>
      <c r="S1411" s="2">
        <f t="shared" ca="1" si="1381"/>
        <v>16733653.734877162</v>
      </c>
      <c r="T1411" s="2">
        <f t="shared" ca="1" si="1382"/>
        <v>49669324.603272855</v>
      </c>
      <c r="U1411" s="2">
        <f t="shared" ca="1" si="1383"/>
        <v>52320256.595133781</v>
      </c>
      <c r="V1411" s="2">
        <f t="shared" ca="1" si="1384"/>
        <v>55112673.104483165</v>
      </c>
      <c r="W1411" s="2">
        <f t="shared" ca="1" si="1385"/>
        <v>58054125.388294183</v>
      </c>
      <c r="X1411" s="2">
        <f t="shared" ca="1" si="1386"/>
        <v>61152567.726308055</v>
      </c>
      <c r="Y1411" s="2">
        <f t="shared" ca="1" si="1387"/>
        <v>0.12136221676927927</v>
      </c>
      <c r="Z1411" s="2">
        <f t="shared" ca="1" si="1388"/>
        <v>0.12190710347699099</v>
      </c>
      <c r="AA1411" s="2">
        <f t="shared" ca="1" si="1389"/>
        <v>6027979.3392860964</v>
      </c>
      <c r="AB1411" s="2">
        <f t="shared" ca="1" si="1390"/>
        <v>6378210.9346856941</v>
      </c>
      <c r="AC1411" s="2">
        <f t="shared" ca="1" si="1391"/>
        <v>6718626.3430418074</v>
      </c>
      <c r="AD1411" s="2">
        <f t="shared" ca="1" si="1392"/>
        <v>7077210.2709769886</v>
      </c>
      <c r="AE1411" s="2">
        <f t="shared" ca="1" si="1393"/>
        <v>7454932.4016947355</v>
      </c>
      <c r="AF1411" s="2">
        <f t="shared" ca="1" si="1394"/>
        <v>993386.49206545716</v>
      </c>
      <c r="AG1411" s="2">
        <f t="shared" ca="1" si="1395"/>
        <v>1046405.1319026756</v>
      </c>
      <c r="AH1411" s="2">
        <f t="shared" ca="1" si="1396"/>
        <v>1102253.4620896634</v>
      </c>
      <c r="AI1411" s="2">
        <f t="shared" ca="1" si="1397"/>
        <v>1161082.5077658836</v>
      </c>
      <c r="AJ1411" s="2">
        <f t="shared" ca="1" si="1398"/>
        <v>1223051.3545261612</v>
      </c>
      <c r="AK1411" s="2">
        <f t="shared" ca="1" si="1399"/>
        <v>0</v>
      </c>
      <c r="AL1411" s="2">
        <f t="shared" ca="1" si="1400"/>
        <v>26509.319918609261</v>
      </c>
      <c r="AM1411" s="2">
        <f t="shared" ca="1" si="1401"/>
        <v>27924.165093493833</v>
      </c>
      <c r="AN1411" s="2">
        <f t="shared" ca="1" si="1402"/>
        <v>29414.522838110181</v>
      </c>
      <c r="AO1411" s="2">
        <f t="shared" ca="1" si="1403"/>
        <v>30984.423380138727</v>
      </c>
      <c r="AP1411" s="2">
        <f t="shared" ca="1" si="1404"/>
        <v>2259043.2542084162</v>
      </c>
      <c r="AQ1411" s="2">
        <f t="shared" ca="1" si="1405"/>
        <v>721642.89418317785</v>
      </c>
      <c r="AR1411" s="2">
        <f t="shared" ca="1" si="1406"/>
        <v>798918.26262939651</v>
      </c>
      <c r="AS1411" s="2">
        <f t="shared" ca="1" si="1407"/>
        <v>872905.70295336924</v>
      </c>
      <c r="AT1411" s="2">
        <f t="shared" ca="1" si="1408"/>
        <v>950841.97234069917</v>
      </c>
      <c r="AU1411" s="2">
        <f t="shared" ca="1" si="1409"/>
        <v>1032937.8261696411</v>
      </c>
      <c r="AV1411" s="2">
        <f t="shared" ca="1" si="1410"/>
        <v>2053906.6988290451</v>
      </c>
      <c r="AW1411" s="2">
        <f t="shared" ca="1" si="1411"/>
        <v>2247334.9660265963</v>
      </c>
      <c r="AX1411" s="2">
        <f t="shared" ca="1" si="1412"/>
        <v>2456499.7586968648</v>
      </c>
      <c r="AY1411" s="2">
        <f t="shared" ca="1" si="1413"/>
        <v>2676828.0138238794</v>
      </c>
      <c r="AZ1411" s="2">
        <f t="shared" ca="1" si="1414"/>
        <v>2908915.543410379</v>
      </c>
      <c r="BA1411" s="2">
        <f t="shared" ca="1" si="1415"/>
        <v>58859567.02741003</v>
      </c>
      <c r="BB1411" s="2">
        <f t="shared" ca="1" si="1416"/>
        <v>1177191.3405482005</v>
      </c>
      <c r="BC1411" s="2">
        <f t="shared" ca="1" si="1417"/>
        <v>32581895.084546089</v>
      </c>
      <c r="BD1411" s="2">
        <f t="shared" ca="1" si="1418"/>
        <v>-18279507.093306985</v>
      </c>
      <c r="BE1411" s="2">
        <f t="shared" ca="1" si="1419"/>
        <v>2053906.6988290451</v>
      </c>
      <c r="BF1411" s="2">
        <f t="shared" ca="1" si="1420"/>
        <v>2247334.9660265963</v>
      </c>
      <c r="BG1411" s="2">
        <f t="shared" ca="1" si="1421"/>
        <v>2456499.7586968648</v>
      </c>
      <c r="BH1411" s="2">
        <f t="shared" ca="1" si="1422"/>
        <v>2676828.0138238794</v>
      </c>
      <c r="BI1411" s="2">
        <f t="shared" ca="1" si="1423"/>
        <v>35490810.627956465</v>
      </c>
      <c r="BJ1411" s="2">
        <f t="shared" ca="1" si="1424"/>
        <v>0.22954507125502177</v>
      </c>
      <c r="BK1411" s="2">
        <f t="shared" ca="1" si="1425"/>
        <v>8933999.5333173834</v>
      </c>
    </row>
    <row r="1412" spans="1:63" x14ac:dyDescent="0.3">
      <c r="A1412" s="2">
        <v>1411</v>
      </c>
      <c r="B1412" s="2">
        <f t="shared" ca="1" si="1364"/>
        <v>0.33086562521249419</v>
      </c>
      <c r="C1412" s="2">
        <f t="shared" ca="1" si="1365"/>
        <v>6.8134686536216309</v>
      </c>
      <c r="D1412" s="2">
        <f t="shared" ca="1" si="1366"/>
        <v>0.26346197033185481</v>
      </c>
      <c r="E1412" s="2">
        <f t="shared" ca="1" si="1367"/>
        <v>7.2258952683849849</v>
      </c>
      <c r="F1412" s="2">
        <f t="shared" ca="1" si="1368"/>
        <v>0.59664285024521091</v>
      </c>
      <c r="G1412" s="2">
        <f t="shared" ca="1" si="1369"/>
        <v>4.7340009310708489E-2</v>
      </c>
      <c r="H1412" s="2">
        <f t="shared" ca="1" si="1370"/>
        <v>4.7340009310708489E-2</v>
      </c>
      <c r="I1412" s="2">
        <f t="shared" ca="1" si="1371"/>
        <v>0.5703133611586203</v>
      </c>
      <c r="J1412" s="2">
        <f t="shared" ca="1" si="1372"/>
        <v>1.088586006871169E-2</v>
      </c>
      <c r="K1412" s="2">
        <f t="shared" ca="1" si="1373"/>
        <v>1.088586006871169E-2</v>
      </c>
      <c r="L1412" s="2">
        <f t="shared" ca="1" si="1374"/>
        <v>0.63497220794867604</v>
      </c>
      <c r="M1412" s="2">
        <f t="shared" ca="1" si="1375"/>
        <v>6.9010318623951563E-3</v>
      </c>
      <c r="N1412" s="2">
        <f t="shared" ca="1" si="1376"/>
        <v>6.9010318623951563E-3</v>
      </c>
      <c r="O1412" s="2">
        <f t="shared" si="1377"/>
        <v>6000000</v>
      </c>
      <c r="P1412" s="2">
        <f t="shared" ca="1" si="1378"/>
        <v>40880811.921729788</v>
      </c>
      <c r="Q1412" s="2">
        <f t="shared" ca="1" si="1379"/>
        <v>1022020.2980432448</v>
      </c>
      <c r="R1412" s="2">
        <f t="shared" ca="1" si="1380"/>
        <v>24528487.153037872</v>
      </c>
      <c r="S1412" s="2">
        <f t="shared" ca="1" si="1381"/>
        <v>16352324.768691916</v>
      </c>
      <c r="T1412" s="2">
        <f t="shared" ca="1" si="1382"/>
        <v>50345051.593119763</v>
      </c>
      <c r="U1412" s="2">
        <f t="shared" ca="1" si="1383"/>
        <v>52728386.80428616</v>
      </c>
      <c r="V1412" s="2">
        <f t="shared" ca="1" si="1384"/>
        <v>55224549.126539707</v>
      </c>
      <c r="W1412" s="2">
        <f t="shared" ca="1" si="1385"/>
        <v>57838879.796369784</v>
      </c>
      <c r="X1412" s="2">
        <f t="shared" ca="1" si="1386"/>
        <v>60576972.904450886</v>
      </c>
      <c r="Y1412" s="2">
        <f t="shared" ca="1" si="1387"/>
        <v>0.12544293003435583</v>
      </c>
      <c r="Z1412" s="2">
        <f t="shared" ca="1" si="1388"/>
        <v>0.12762010204809818</v>
      </c>
      <c r="AA1412" s="2">
        <f t="shared" ca="1" si="1389"/>
        <v>6315430.7845717566</v>
      </c>
      <c r="AB1412" s="2">
        <f t="shared" ca="1" si="1390"/>
        <v>6729202.1047945926</v>
      </c>
      <c r="AC1412" s="2">
        <f t="shared" ca="1" si="1391"/>
        <v>7047762.5950892083</v>
      </c>
      <c r="AD1412" s="2">
        <f t="shared" ca="1" si="1392"/>
        <v>7381403.7419603961</v>
      </c>
      <c r="AE1412" s="2">
        <f t="shared" ca="1" si="1393"/>
        <v>7730839.4638309004</v>
      </c>
      <c r="AF1412" s="2">
        <f t="shared" ca="1" si="1394"/>
        <v>1006901.0318623952</v>
      </c>
      <c r="AG1412" s="2">
        <f t="shared" ca="1" si="1395"/>
        <v>1054567.7360857232</v>
      </c>
      <c r="AH1412" s="2">
        <f t="shared" ca="1" si="1396"/>
        <v>1104490.9825307941</v>
      </c>
      <c r="AI1412" s="2">
        <f t="shared" ca="1" si="1397"/>
        <v>1156777.5959273956</v>
      </c>
      <c r="AJ1412" s="2">
        <f t="shared" ca="1" si="1398"/>
        <v>1211539.4580890178</v>
      </c>
      <c r="AK1412" s="2">
        <f t="shared" ca="1" si="1399"/>
        <v>0</v>
      </c>
      <c r="AL1412" s="2">
        <f t="shared" ca="1" si="1400"/>
        <v>23833.352111663968</v>
      </c>
      <c r="AM1412" s="2">
        <f t="shared" ca="1" si="1401"/>
        <v>24961.623222535476</v>
      </c>
      <c r="AN1412" s="2">
        <f t="shared" ca="1" si="1402"/>
        <v>26143.306698300763</v>
      </c>
      <c r="AO1412" s="2">
        <f t="shared" ca="1" si="1403"/>
        <v>27380.931080811024</v>
      </c>
      <c r="AP1412" s="2">
        <f t="shared" ca="1" si="1404"/>
        <v>2207563.8437734083</v>
      </c>
      <c r="AQ1412" s="2">
        <f t="shared" ca="1" si="1405"/>
        <v>806251.13632334792</v>
      </c>
      <c r="AR1412" s="2">
        <f t="shared" ca="1" si="1406"/>
        <v>901438.33648321987</v>
      </c>
      <c r="AS1412" s="2">
        <f t="shared" ca="1" si="1407"/>
        <v>971284.01988410158</v>
      </c>
      <c r="AT1412" s="2">
        <f t="shared" ca="1" si="1408"/>
        <v>1044436.198587494</v>
      </c>
      <c r="AU1412" s="2">
        <f t="shared" ca="1" si="1409"/>
        <v>1121051.4021118036</v>
      </c>
      <c r="AV1412" s="2">
        <f t="shared" ca="1" si="1410"/>
        <v>2294714.7726126057</v>
      </c>
      <c r="AW1412" s="2">
        <f t="shared" ca="1" si="1411"/>
        <v>2541798.8363405778</v>
      </c>
      <c r="AX1412" s="2">
        <f t="shared" ca="1" si="1412"/>
        <v>2739462.1256783693</v>
      </c>
      <c r="AY1412" s="2">
        <f t="shared" ca="1" si="1413"/>
        <v>2946482.796973797</v>
      </c>
      <c r="AZ1412" s="2">
        <f t="shared" ca="1" si="1414"/>
        <v>3163303.8287758599</v>
      </c>
      <c r="BA1412" s="2">
        <f t="shared" ca="1" si="1415"/>
        <v>55862236.302339613</v>
      </c>
      <c r="BB1412" s="2">
        <f t="shared" ca="1" si="1416"/>
        <v>1117244.7260467922</v>
      </c>
      <c r="BC1412" s="2">
        <f t="shared" ca="1" si="1417"/>
        <v>30216504.423254948</v>
      </c>
      <c r="BD1412" s="2">
        <f t="shared" ca="1" si="1418"/>
        <v>-17874345.06673516</v>
      </c>
      <c r="BE1412" s="2">
        <f t="shared" ca="1" si="1419"/>
        <v>2294714.7726126057</v>
      </c>
      <c r="BF1412" s="2">
        <f t="shared" ca="1" si="1420"/>
        <v>2541798.8363405778</v>
      </c>
      <c r="BG1412" s="2">
        <f t="shared" ca="1" si="1421"/>
        <v>2739462.1256783693</v>
      </c>
      <c r="BH1412" s="2">
        <f t="shared" ca="1" si="1422"/>
        <v>2946482.796973797</v>
      </c>
      <c r="BI1412" s="2">
        <f t="shared" ca="1" si="1423"/>
        <v>33379808.252030808</v>
      </c>
      <c r="BJ1412" s="2">
        <f t="shared" ca="1" si="1424"/>
        <v>0.23482392095635318</v>
      </c>
      <c r="BK1412" s="2">
        <f t="shared" ca="1" si="1425"/>
        <v>8963851.6359248981</v>
      </c>
    </row>
    <row r="1413" spans="1:63" x14ac:dyDescent="0.3">
      <c r="A1413" s="2">
        <v>1412</v>
      </c>
      <c r="B1413" s="2">
        <f t="shared" ca="1" si="1364"/>
        <v>0.41128726467746424</v>
      </c>
      <c r="C1413" s="2">
        <f t="shared" ca="1" si="1365"/>
        <v>6.9069589457935399</v>
      </c>
      <c r="D1413" s="2">
        <f t="shared" ca="1" si="1366"/>
        <v>0.91796110182983448</v>
      </c>
      <c r="E1413" s="2">
        <f t="shared" ca="1" si="1367"/>
        <v>8.094934824577166</v>
      </c>
      <c r="F1413" s="2">
        <f t="shared" ca="1" si="1368"/>
        <v>0.14794237600748761</v>
      </c>
      <c r="G1413" s="2">
        <f t="shared" ca="1" si="1369"/>
        <v>8.6410269033890472E-3</v>
      </c>
      <c r="H1413" s="2">
        <f t="shared" ca="1" si="1370"/>
        <v>8.6410269033890472E-3</v>
      </c>
      <c r="I1413" s="2">
        <f t="shared" ca="1" si="1371"/>
        <v>0.5092458449798799</v>
      </c>
      <c r="J1413" s="2">
        <f t="shared" ca="1" si="1372"/>
        <v>1.0115889857771001E-2</v>
      </c>
      <c r="K1413" s="2">
        <f t="shared" ca="1" si="1373"/>
        <v>1.0115889857771001E-2</v>
      </c>
      <c r="L1413" s="2">
        <f t="shared" ca="1" si="1374"/>
        <v>0.37345480653111529</v>
      </c>
      <c r="M1413" s="2">
        <f t="shared" ca="1" si="1375"/>
        <v>-6.4543390297558565E-3</v>
      </c>
      <c r="N1413" s="2">
        <f t="shared" ca="1" si="1376"/>
        <v>-6.4543390297558565E-3</v>
      </c>
      <c r="O1413" s="2">
        <f t="shared" si="1377"/>
        <v>6000000</v>
      </c>
      <c r="P1413" s="2">
        <f t="shared" ca="1" si="1378"/>
        <v>41441753.674761236</v>
      </c>
      <c r="Q1413" s="2">
        <f t="shared" ca="1" si="1379"/>
        <v>1036043.841869031</v>
      </c>
      <c r="R1413" s="2">
        <f t="shared" ca="1" si="1380"/>
        <v>24865052.204856742</v>
      </c>
      <c r="S1413" s="2">
        <f t="shared" ca="1" si="1381"/>
        <v>16576701.469904495</v>
      </c>
      <c r="T1413" s="2">
        <f t="shared" ca="1" si="1382"/>
        <v>49677283.048512205</v>
      </c>
      <c r="U1413" s="2">
        <f t="shared" ca="1" si="1383"/>
        <v>50106545.787821665</v>
      </c>
      <c r="V1413" s="2">
        <f t="shared" ca="1" si="1384"/>
        <v>50539517.798010126</v>
      </c>
      <c r="W1413" s="2">
        <f t="shared" ca="1" si="1385"/>
        <v>50976231.130987033</v>
      </c>
      <c r="X1413" s="2">
        <f t="shared" ca="1" si="1386"/>
        <v>51416718.115623266</v>
      </c>
      <c r="Y1413" s="2">
        <f t="shared" ca="1" si="1387"/>
        <v>0.1250579449288855</v>
      </c>
      <c r="Z1413" s="2">
        <f t="shared" ca="1" si="1388"/>
        <v>0.12708112290043969</v>
      </c>
      <c r="AA1413" s="2">
        <f t="shared" ca="1" si="1389"/>
        <v>6212538.9276974965</v>
      </c>
      <c r="AB1413" s="2">
        <f t="shared" ca="1" si="1390"/>
        <v>6367596.1033786731</v>
      </c>
      <c r="AC1413" s="2">
        <f t="shared" ca="1" si="1391"/>
        <v>6422618.6726178834</v>
      </c>
      <c r="AD1413" s="2">
        <f t="shared" ca="1" si="1392"/>
        <v>6478116.6933581829</v>
      </c>
      <c r="AE1413" s="2">
        <f t="shared" ca="1" si="1393"/>
        <v>6534094.2739887834</v>
      </c>
      <c r="AF1413" s="2">
        <f t="shared" ca="1" si="1394"/>
        <v>993545.66097024409</v>
      </c>
      <c r="AG1413" s="2">
        <f t="shared" ca="1" si="1395"/>
        <v>1002130.9157564333</v>
      </c>
      <c r="AH1413" s="2">
        <f t="shared" ca="1" si="1396"/>
        <v>1010790.3559602025</v>
      </c>
      <c r="AI1413" s="2">
        <f t="shared" ca="1" si="1397"/>
        <v>1019524.6226197407</v>
      </c>
      <c r="AJ1413" s="2">
        <f t="shared" ca="1" si="1398"/>
        <v>1028334.3623124653</v>
      </c>
      <c r="AK1413" s="2">
        <f t="shared" ca="1" si="1399"/>
        <v>0</v>
      </c>
      <c r="AL1413" s="2">
        <f t="shared" ca="1" si="1400"/>
        <v>4292.627393094599</v>
      </c>
      <c r="AM1413" s="2">
        <f t="shared" ca="1" si="1401"/>
        <v>4329.7201018846035</v>
      </c>
      <c r="AN1413" s="2">
        <f t="shared" ca="1" si="1402"/>
        <v>4367.1333297690753</v>
      </c>
      <c r="AO1413" s="2">
        <f t="shared" ca="1" si="1403"/>
        <v>4404.8698463623223</v>
      </c>
      <c r="AP1413" s="2">
        <f t="shared" ca="1" si="1404"/>
        <v>2237854.6984371068</v>
      </c>
      <c r="AQ1413" s="2">
        <f t="shared" ca="1" si="1405"/>
        <v>775096.02775543777</v>
      </c>
      <c r="AR1413" s="2">
        <f t="shared" ca="1" si="1406"/>
        <v>813178.72718813457</v>
      </c>
      <c r="AS1413" s="2">
        <f t="shared" ca="1" si="1407"/>
        <v>825233.14073734928</v>
      </c>
      <c r="AT1413" s="2">
        <f t="shared" ca="1" si="1408"/>
        <v>837391.71679834719</v>
      </c>
      <c r="AU1413" s="2">
        <f t="shared" ca="1" si="1409"/>
        <v>849655.35544219508</v>
      </c>
      <c r="AV1413" s="2">
        <f t="shared" ca="1" si="1410"/>
        <v>2206042.5405347077</v>
      </c>
      <c r="AW1413" s="2">
        <f t="shared" ca="1" si="1411"/>
        <v>2310139.1346039036</v>
      </c>
      <c r="AX1413" s="2">
        <f t="shared" ca="1" si="1412"/>
        <v>2344410.7573813405</v>
      </c>
      <c r="AY1413" s="2">
        <f t="shared" ca="1" si="1413"/>
        <v>2378978.5221732194</v>
      </c>
      <c r="AZ1413" s="2">
        <f t="shared" ca="1" si="1414"/>
        <v>2413844.9879506538</v>
      </c>
      <c r="BA1413" s="2">
        <f t="shared" ca="1" si="1415"/>
        <v>52893067.285582058</v>
      </c>
      <c r="BB1413" s="2">
        <f t="shared" ca="1" si="1416"/>
        <v>1057861.3457116412</v>
      </c>
      <c r="BC1413" s="2">
        <f t="shared" ca="1" si="1417"/>
        <v>26970153.735013675</v>
      </c>
      <c r="BD1413" s="2">
        <f t="shared" ca="1" si="1418"/>
        <v>-18112745.311773527</v>
      </c>
      <c r="BE1413" s="2">
        <f t="shared" ca="1" si="1419"/>
        <v>2206042.5405347077</v>
      </c>
      <c r="BF1413" s="2">
        <f t="shared" ca="1" si="1420"/>
        <v>2310139.1346039036</v>
      </c>
      <c r="BG1413" s="2">
        <f t="shared" ca="1" si="1421"/>
        <v>2344410.7573813405</v>
      </c>
      <c r="BH1413" s="2">
        <f t="shared" ca="1" si="1422"/>
        <v>2378978.5221732194</v>
      </c>
      <c r="BI1413" s="2">
        <f t="shared" ca="1" si="1423"/>
        <v>29383998.722964328</v>
      </c>
      <c r="BJ1413" s="2">
        <f t="shared" ca="1" si="1424"/>
        <v>0.19418514153411093</v>
      </c>
      <c r="BK1413" s="2">
        <f t="shared" ca="1" si="1425"/>
        <v>5552423.4350410327</v>
      </c>
    </row>
    <row r="1414" spans="1:63" x14ac:dyDescent="0.3">
      <c r="A1414" s="2">
        <v>1413</v>
      </c>
      <c r="B1414" s="2">
        <f t="shared" ca="1" si="1364"/>
        <v>0.2071877544399775</v>
      </c>
      <c r="C1414" s="2">
        <f t="shared" ca="1" si="1365"/>
        <v>6.6437200547442616</v>
      </c>
      <c r="D1414" s="2">
        <f t="shared" ca="1" si="1366"/>
        <v>0.39522659490843659</v>
      </c>
      <c r="E1414" s="2">
        <f t="shared" ca="1" si="1367"/>
        <v>7.3890743443699591</v>
      </c>
      <c r="F1414" s="2">
        <f t="shared" ca="1" si="1368"/>
        <v>0.51824353397296874</v>
      </c>
      <c r="G1414" s="2">
        <f t="shared" ca="1" si="1369"/>
        <v>4.1372371245677053E-2</v>
      </c>
      <c r="H1414" s="2">
        <f t="shared" ca="1" si="1370"/>
        <v>4.1372371245677053E-2</v>
      </c>
      <c r="I1414" s="2">
        <f t="shared" ca="1" si="1371"/>
        <v>0.88455560146536005</v>
      </c>
      <c r="J1414" s="2">
        <f t="shared" ca="1" si="1372"/>
        <v>1.5990362455824809E-2</v>
      </c>
      <c r="K1414" s="2">
        <f t="shared" ca="1" si="1373"/>
        <v>1.5990362455824809E-2</v>
      </c>
      <c r="L1414" s="2">
        <f t="shared" ca="1" si="1374"/>
        <v>0.36539420446838733</v>
      </c>
      <c r="M1414" s="2">
        <f t="shared" ca="1" si="1375"/>
        <v>-6.881539214670428E-3</v>
      </c>
      <c r="N1414" s="2">
        <f t="shared" ca="1" si="1376"/>
        <v>-6.881539214670428E-3</v>
      </c>
      <c r="O1414" s="2">
        <f t="shared" si="1377"/>
        <v>6000000</v>
      </c>
      <c r="P1414" s="2">
        <f t="shared" ca="1" si="1378"/>
        <v>39862320.328465573</v>
      </c>
      <c r="Q1414" s="2">
        <f t="shared" ca="1" si="1379"/>
        <v>996558.00821163936</v>
      </c>
      <c r="R1414" s="2">
        <f t="shared" ca="1" si="1380"/>
        <v>23917392.197079342</v>
      </c>
      <c r="S1414" s="2">
        <f t="shared" ca="1" si="1381"/>
        <v>15944928.13138623</v>
      </c>
      <c r="T1414" s="2">
        <f t="shared" ca="1" si="1382"/>
        <v>49655923.039266482</v>
      </c>
      <c r="U1414" s="2">
        <f t="shared" ca="1" si="1383"/>
        <v>51710306.32179378</v>
      </c>
      <c r="V1414" s="2">
        <f t="shared" ca="1" si="1384"/>
        <v>53849684.312166713</v>
      </c>
      <c r="W1414" s="2">
        <f t="shared" ca="1" si="1385"/>
        <v>56077573.442992188</v>
      </c>
      <c r="X1414" s="2">
        <f t="shared" ca="1" si="1386"/>
        <v>58397635.630032383</v>
      </c>
      <c r="Y1414" s="2">
        <f t="shared" ca="1" si="1387"/>
        <v>0.1279951812279124</v>
      </c>
      <c r="Z1414" s="2">
        <f t="shared" ca="1" si="1388"/>
        <v>0.13119325371907736</v>
      </c>
      <c r="AA1414" s="2">
        <f t="shared" ca="1" si="1389"/>
        <v>6355718.8684501844</v>
      </c>
      <c r="AB1414" s="2">
        <f t="shared" ca="1" si="1390"/>
        <v>6784043.3371663019</v>
      </c>
      <c r="AC1414" s="2">
        <f t="shared" ca="1" si="1391"/>
        <v>7064715.2966583073</v>
      </c>
      <c r="AD1414" s="2">
        <f t="shared" ca="1" si="1392"/>
        <v>7356999.3206566684</v>
      </c>
      <c r="AE1414" s="2">
        <f t="shared" ca="1" si="1393"/>
        <v>7661375.8278050702</v>
      </c>
      <c r="AF1414" s="2">
        <f t="shared" ca="1" si="1394"/>
        <v>993118.46078532969</v>
      </c>
      <c r="AG1414" s="2">
        <f t="shared" ca="1" si="1395"/>
        <v>1034206.1264358757</v>
      </c>
      <c r="AH1414" s="2">
        <f t="shared" ca="1" si="1396"/>
        <v>1076993.6862433343</v>
      </c>
      <c r="AI1414" s="2">
        <f t="shared" ca="1" si="1397"/>
        <v>1121551.4688598437</v>
      </c>
      <c r="AJ1414" s="2">
        <f t="shared" ca="1" si="1398"/>
        <v>1167952.7126006477</v>
      </c>
      <c r="AK1414" s="2">
        <f t="shared" ca="1" si="1399"/>
        <v>0</v>
      </c>
      <c r="AL1414" s="2">
        <f t="shared" ca="1" si="1400"/>
        <v>20543.832825272977</v>
      </c>
      <c r="AM1414" s="2">
        <f t="shared" ca="1" si="1401"/>
        <v>21393.779903729333</v>
      </c>
      <c r="AN1414" s="2">
        <f t="shared" ca="1" si="1402"/>
        <v>22278.891308254748</v>
      </c>
      <c r="AO1414" s="2">
        <f t="shared" ca="1" si="1403"/>
        <v>23200.621870401948</v>
      </c>
      <c r="AP1414" s="2">
        <f t="shared" ca="1" si="1404"/>
        <v>2152565.2977371407</v>
      </c>
      <c r="AQ1414" s="2">
        <f t="shared" ca="1" si="1405"/>
        <v>834609.12858120573</v>
      </c>
      <c r="AR1414" s="2">
        <f t="shared" ca="1" si="1406"/>
        <v>935290.69737825426</v>
      </c>
      <c r="AS1414" s="2">
        <f t="shared" ca="1" si="1407"/>
        <v>997140.64129623631</v>
      </c>
      <c r="AT1414" s="2">
        <f t="shared" ca="1" si="1408"/>
        <v>1061549.4640555179</v>
      </c>
      <c r="AU1414" s="2">
        <f t="shared" ca="1" si="1409"/>
        <v>1128623.0325414932</v>
      </c>
      <c r="AV1414" s="2">
        <f t="shared" ca="1" si="1410"/>
        <v>2375425.981346509</v>
      </c>
      <c r="AW1414" s="2">
        <f t="shared" ca="1" si="1411"/>
        <v>2641437.3827897576</v>
      </c>
      <c r="AX1414" s="2">
        <f t="shared" ca="1" si="1412"/>
        <v>2816621.8914778656</v>
      </c>
      <c r="AY1414" s="2">
        <f t="shared" ca="1" si="1413"/>
        <v>2999054.1986959116</v>
      </c>
      <c r="AZ1414" s="2">
        <f t="shared" ca="1" si="1414"/>
        <v>3189034.1630553869</v>
      </c>
      <c r="BA1414" s="2">
        <f t="shared" ca="1" si="1415"/>
        <v>56610475.571810603</v>
      </c>
      <c r="BB1414" s="2">
        <f t="shared" ca="1" si="1416"/>
        <v>1132209.5114362121</v>
      </c>
      <c r="BC1414" s="2">
        <f t="shared" ca="1" si="1417"/>
        <v>31560873.863295048</v>
      </c>
      <c r="BD1414" s="2">
        <f t="shared" ca="1" si="1418"/>
        <v>-17441486.13959787</v>
      </c>
      <c r="BE1414" s="2">
        <f t="shared" ca="1" si="1419"/>
        <v>2375425.981346509</v>
      </c>
      <c r="BF1414" s="2">
        <f t="shared" ca="1" si="1420"/>
        <v>2641437.3827897576</v>
      </c>
      <c r="BG1414" s="2">
        <f t="shared" ca="1" si="1421"/>
        <v>2816621.8914778656</v>
      </c>
      <c r="BH1414" s="2">
        <f t="shared" ca="1" si="1422"/>
        <v>2999054.1986959116</v>
      </c>
      <c r="BI1414" s="2">
        <f t="shared" ca="1" si="1423"/>
        <v>34749908.026350439</v>
      </c>
      <c r="BJ1414" s="2">
        <f t="shared" ca="1" si="1424"/>
        <v>0.2536460939629499</v>
      </c>
      <c r="BK1414" s="2">
        <f t="shared" ca="1" si="1425"/>
        <v>10413967.661872681</v>
      </c>
    </row>
    <row r="1415" spans="1:63" x14ac:dyDescent="0.3">
      <c r="A1415" s="2">
        <v>1414</v>
      </c>
      <c r="B1415" s="2">
        <f t="shared" ca="1" si="1364"/>
        <v>0.80421036275970781</v>
      </c>
      <c r="C1415" s="2">
        <f t="shared" ca="1" si="1365"/>
        <v>7.3742370460944624</v>
      </c>
      <c r="D1415" s="2">
        <f t="shared" ca="1" si="1366"/>
        <v>0.55104245959741038</v>
      </c>
      <c r="E1415" s="2">
        <f t="shared" ca="1" si="1367"/>
        <v>7.5524161879785101</v>
      </c>
      <c r="F1415" s="2">
        <f t="shared" ca="1" si="1368"/>
        <v>0.67409575548364942</v>
      </c>
      <c r="G1415" s="2">
        <f t="shared" ca="1" si="1369"/>
        <v>5.3537536959236326E-2</v>
      </c>
      <c r="H1415" s="2">
        <f t="shared" ca="1" si="1370"/>
        <v>5.3537536959236326E-2</v>
      </c>
      <c r="I1415" s="2">
        <f t="shared" ca="1" si="1371"/>
        <v>0.2131429578804529</v>
      </c>
      <c r="J1415" s="2">
        <f t="shared" ca="1" si="1372"/>
        <v>6.022183592198466E-3</v>
      </c>
      <c r="K1415" s="2">
        <f t="shared" ca="1" si="1373"/>
        <v>6.022183592198466E-3</v>
      </c>
      <c r="L1415" s="2">
        <f t="shared" ca="1" si="1374"/>
        <v>0.76288256676635047</v>
      </c>
      <c r="M1415" s="2">
        <f t="shared" ca="1" si="1375"/>
        <v>1.4312113564728333E-2</v>
      </c>
      <c r="N1415" s="2">
        <f t="shared" ca="1" si="1376"/>
        <v>1.4312113564728333E-2</v>
      </c>
      <c r="O1415" s="2">
        <f t="shared" si="1377"/>
        <v>6000000</v>
      </c>
      <c r="P1415" s="2">
        <f t="shared" ca="1" si="1378"/>
        <v>44245422.276566774</v>
      </c>
      <c r="Q1415" s="2">
        <f t="shared" ca="1" si="1379"/>
        <v>1106135.5569141693</v>
      </c>
      <c r="R1415" s="2">
        <f t="shared" ca="1" si="1380"/>
        <v>26547253.365940064</v>
      </c>
      <c r="S1415" s="2">
        <f t="shared" ca="1" si="1381"/>
        <v>17698168.910626709</v>
      </c>
      <c r="T1415" s="2">
        <f t="shared" ca="1" si="1382"/>
        <v>50715605.678236417</v>
      </c>
      <c r="U1415" s="2">
        <f t="shared" ca="1" si="1383"/>
        <v>53430794.291645057</v>
      </c>
      <c r="V1415" s="2">
        <f t="shared" ca="1" si="1384"/>
        <v>56291347.415795356</v>
      </c>
      <c r="W1415" s="2">
        <f t="shared" ca="1" si="1385"/>
        <v>59305047.508553714</v>
      </c>
      <c r="X1415" s="2">
        <f t="shared" ca="1" si="1386"/>
        <v>62480093.681412175</v>
      </c>
      <c r="Y1415" s="2">
        <f t="shared" ca="1" si="1387"/>
        <v>0.12301109179609923</v>
      </c>
      <c r="Z1415" s="2">
        <f t="shared" ca="1" si="1388"/>
        <v>0.12421552851453892</v>
      </c>
      <c r="AA1415" s="2">
        <f t="shared" ca="1" si="1389"/>
        <v>6238582.0255803112</v>
      </c>
      <c r="AB1415" s="2">
        <f t="shared" ca="1" si="1390"/>
        <v>6636934.3518882999</v>
      </c>
      <c r="AC1415" s="2">
        <f t="shared" ca="1" si="1391"/>
        <v>6992259.4700485449</v>
      </c>
      <c r="AD1415" s="2">
        <f t="shared" ca="1" si="1392"/>
        <v>7366607.8198548388</v>
      </c>
      <c r="AE1415" s="2">
        <f t="shared" ca="1" si="1393"/>
        <v>7760997.8582745166</v>
      </c>
      <c r="AF1415" s="2">
        <f t="shared" ca="1" si="1394"/>
        <v>1014312.1135647284</v>
      </c>
      <c r="AG1415" s="2">
        <f t="shared" ca="1" si="1395"/>
        <v>1068615.8858329011</v>
      </c>
      <c r="AH1415" s="2">
        <f t="shared" ca="1" si="1396"/>
        <v>1125826.948315907</v>
      </c>
      <c r="AI1415" s="2">
        <f t="shared" ca="1" si="1397"/>
        <v>1186100.9501710744</v>
      </c>
      <c r="AJ1415" s="2">
        <f t="shared" ca="1" si="1398"/>
        <v>1249601.8736282436</v>
      </c>
      <c r="AK1415" s="2">
        <f t="shared" ca="1" si="1399"/>
        <v>0</v>
      </c>
      <c r="AL1415" s="2">
        <f t="shared" ca="1" si="1400"/>
        <v>27151.886134086402</v>
      </c>
      <c r="AM1415" s="2">
        <f t="shared" ca="1" si="1401"/>
        <v>28605.531241502988</v>
      </c>
      <c r="AN1415" s="2">
        <f t="shared" ca="1" si="1402"/>
        <v>30137.000927583576</v>
      </c>
      <c r="AO1415" s="2">
        <f t="shared" ca="1" si="1403"/>
        <v>31750.461728584618</v>
      </c>
      <c r="AP1415" s="2">
        <f t="shared" ca="1" si="1404"/>
        <v>2389252.8029346056</v>
      </c>
      <c r="AQ1415" s="2">
        <f t="shared" ca="1" si="1405"/>
        <v>737104.44836105395</v>
      </c>
      <c r="AR1415" s="2">
        <f t="shared" ca="1" si="1406"/>
        <v>826557.0724114062</v>
      </c>
      <c r="AS1415" s="2">
        <f t="shared" ca="1" si="1407"/>
        <v>904066.72688748839</v>
      </c>
      <c r="AT1415" s="2">
        <f t="shared" ca="1" si="1408"/>
        <v>985726.05735478143</v>
      </c>
      <c r="AU1415" s="2">
        <f t="shared" ca="1" si="1409"/>
        <v>1071757.2272450335</v>
      </c>
      <c r="AV1415" s="2">
        <f t="shared" ca="1" si="1410"/>
        <v>2097912.6607199227</v>
      </c>
      <c r="AW1415" s="2">
        <f t="shared" ca="1" si="1411"/>
        <v>2325356.7045753011</v>
      </c>
      <c r="AX1415" s="2">
        <f t="shared" ca="1" si="1412"/>
        <v>2544507.4606690407</v>
      </c>
      <c r="AY1415" s="2">
        <f t="shared" ca="1" si="1413"/>
        <v>2775391.0084667942</v>
      </c>
      <c r="AZ1415" s="2">
        <f t="shared" ca="1" si="1414"/>
        <v>3018635.4927380485</v>
      </c>
      <c r="BA1415" s="2">
        <f t="shared" ca="1" si="1415"/>
        <v>58614285.859699003</v>
      </c>
      <c r="BB1415" s="2">
        <f t="shared" ca="1" si="1416"/>
        <v>1172285.71719398</v>
      </c>
      <c r="BC1415" s="2">
        <f t="shared" ca="1" si="1417"/>
        <v>30894746.776564959</v>
      </c>
      <c r="BD1415" s="2">
        <f t="shared" ca="1" si="1418"/>
        <v>-19304304.467540879</v>
      </c>
      <c r="BE1415" s="2">
        <f t="shared" ca="1" si="1419"/>
        <v>2097912.6607199227</v>
      </c>
      <c r="BF1415" s="2">
        <f t="shared" ca="1" si="1420"/>
        <v>2325356.7045753011</v>
      </c>
      <c r="BG1415" s="2">
        <f t="shared" ca="1" si="1421"/>
        <v>2544507.4606690407</v>
      </c>
      <c r="BH1415" s="2">
        <f t="shared" ca="1" si="1422"/>
        <v>2775391.0084667942</v>
      </c>
      <c r="BI1415" s="2">
        <f t="shared" ca="1" si="1423"/>
        <v>33913382.269303009</v>
      </c>
      <c r="BJ1415" s="2">
        <f t="shared" ca="1" si="1424"/>
        <v>0.20734512236315727</v>
      </c>
      <c r="BK1415" s="2">
        <f t="shared" ca="1" si="1425"/>
        <v>7240897.143977426</v>
      </c>
    </row>
    <row r="1416" spans="1:63" x14ac:dyDescent="0.3">
      <c r="A1416" s="2">
        <v>1415</v>
      </c>
      <c r="B1416" s="2">
        <f t="shared" ca="1" si="1364"/>
        <v>0.2642637104927007</v>
      </c>
      <c r="C1416" s="2">
        <f t="shared" ca="1" si="1365"/>
        <v>6.7269989140194095</v>
      </c>
      <c r="D1416" s="2">
        <f t="shared" ca="1" si="1366"/>
        <v>0.83707720574656275</v>
      </c>
      <c r="E1416" s="2">
        <f t="shared" ca="1" si="1367"/>
        <v>7.9291711390382629</v>
      </c>
      <c r="F1416" s="2">
        <f t="shared" ca="1" si="1368"/>
        <v>0.51933883504433498</v>
      </c>
      <c r="G1416" s="2">
        <f t="shared" ca="1" si="1369"/>
        <v>4.1454828139044907E-2</v>
      </c>
      <c r="H1416" s="2">
        <f t="shared" ca="1" si="1370"/>
        <v>4.1454828139044907E-2</v>
      </c>
      <c r="I1416" s="2">
        <f t="shared" ca="1" si="1371"/>
        <v>0.62081470958860607</v>
      </c>
      <c r="J1416" s="2">
        <f t="shared" ca="1" si="1372"/>
        <v>1.1538106038673548E-2</v>
      </c>
      <c r="K1416" s="2">
        <f t="shared" ca="1" si="1373"/>
        <v>1.1538106038673548E-2</v>
      </c>
      <c r="L1416" s="2">
        <f t="shared" ca="1" si="1374"/>
        <v>0.17454216933975941</v>
      </c>
      <c r="M1416" s="2">
        <f t="shared" ca="1" si="1375"/>
        <v>-1.8727337043610518E-2</v>
      </c>
      <c r="N1416" s="2">
        <f t="shared" ca="1" si="1376"/>
        <v>-1.8727337043610518E-2</v>
      </c>
      <c r="O1416" s="2">
        <f t="shared" si="1377"/>
        <v>6000000</v>
      </c>
      <c r="P1416" s="2">
        <f t="shared" ca="1" si="1378"/>
        <v>40361993.484116457</v>
      </c>
      <c r="Q1416" s="2">
        <f t="shared" ca="1" si="1379"/>
        <v>1009049.8371029114</v>
      </c>
      <c r="R1416" s="2">
        <f t="shared" ca="1" si="1380"/>
        <v>24217196.090469874</v>
      </c>
      <c r="S1416" s="2">
        <f t="shared" ca="1" si="1381"/>
        <v>16144797.393646583</v>
      </c>
      <c r="T1416" s="2">
        <f t="shared" ca="1" si="1382"/>
        <v>49063633.147819474</v>
      </c>
      <c r="U1416" s="2">
        <f t="shared" ca="1" si="1383"/>
        <v>51097557.627839483</v>
      </c>
      <c r="V1416" s="2">
        <f t="shared" ca="1" si="1384"/>
        <v>53215798.097626515</v>
      </c>
      <c r="W1416" s="2">
        <f t="shared" ca="1" si="1385"/>
        <v>55421849.862045743</v>
      </c>
      <c r="X1416" s="2">
        <f t="shared" ca="1" si="1386"/>
        <v>57719353.123224802</v>
      </c>
      <c r="Y1416" s="2">
        <f t="shared" ca="1" si="1387"/>
        <v>0.12576905301933677</v>
      </c>
      <c r="Z1416" s="2">
        <f t="shared" ca="1" si="1388"/>
        <v>0.12807667422707147</v>
      </c>
      <c r="AA1416" s="2">
        <f t="shared" ca="1" si="1389"/>
        <v>6170686.6786893969</v>
      </c>
      <c r="AB1416" s="2">
        <f t="shared" ca="1" si="1390"/>
        <v>6544405.2420998085</v>
      </c>
      <c r="AC1416" s="2">
        <f t="shared" ca="1" si="1391"/>
        <v>6815702.4366833214</v>
      </c>
      <c r="AD1416" s="2">
        <f t="shared" ca="1" si="1392"/>
        <v>7098246.2098428989</v>
      </c>
      <c r="AE1416" s="2">
        <f t="shared" ca="1" si="1393"/>
        <v>7392502.7865605634</v>
      </c>
      <c r="AF1416" s="2">
        <f t="shared" ca="1" si="1394"/>
        <v>981272.66295638948</v>
      </c>
      <c r="AG1416" s="2">
        <f t="shared" ca="1" si="1395"/>
        <v>1021951.1525567897</v>
      </c>
      <c r="AH1416" s="2">
        <f t="shared" ca="1" si="1396"/>
        <v>1064315.9619525303</v>
      </c>
      <c r="AI1416" s="2">
        <f t="shared" ca="1" si="1397"/>
        <v>1108436.997240915</v>
      </c>
      <c r="AJ1416" s="2">
        <f t="shared" ca="1" si="1398"/>
        <v>1154387.0624644961</v>
      </c>
      <c r="AK1416" s="2">
        <f t="shared" ca="1" si="1399"/>
        <v>0</v>
      </c>
      <c r="AL1416" s="2">
        <f t="shared" ca="1" si="1400"/>
        <v>20339.244800200089</v>
      </c>
      <c r="AM1416" s="2">
        <f t="shared" ca="1" si="1401"/>
        <v>21182.404697870315</v>
      </c>
      <c r="AN1416" s="2">
        <f t="shared" ca="1" si="1402"/>
        <v>22060.517644192278</v>
      </c>
      <c r="AO1416" s="2">
        <f t="shared" ca="1" si="1403"/>
        <v>22975.032611790597</v>
      </c>
      <c r="AP1416" s="2">
        <f t="shared" ca="1" si="1404"/>
        <v>2179547.6481422884</v>
      </c>
      <c r="AQ1416" s="2">
        <f t="shared" ca="1" si="1405"/>
        <v>782565.25557358691</v>
      </c>
      <c r="AR1416" s="2">
        <f t="shared" ca="1" si="1406"/>
        <v>869155.67476418987</v>
      </c>
      <c r="AS1416" s="2">
        <f t="shared" ca="1" si="1407"/>
        <v>928678.09491301083</v>
      </c>
      <c r="AT1416" s="2">
        <f t="shared" ca="1" si="1408"/>
        <v>990668.00675952085</v>
      </c>
      <c r="AU1416" s="2">
        <f t="shared" ca="1" si="1409"/>
        <v>1055227.6997479824</v>
      </c>
      <c r="AV1416" s="2">
        <f t="shared" ca="1" si="1410"/>
        <v>2227301.1120171323</v>
      </c>
      <c r="AW1416" s="2">
        <f t="shared" ca="1" si="1411"/>
        <v>2453411.5218363404</v>
      </c>
      <c r="AX1416" s="2">
        <f t="shared" ca="1" si="1412"/>
        <v>2621978.3269776227</v>
      </c>
      <c r="AY1416" s="2">
        <f t="shared" ca="1" si="1413"/>
        <v>2797533.0400559828</v>
      </c>
      <c r="AZ1416" s="2">
        <f t="shared" ca="1" si="1414"/>
        <v>2980365.3435940053</v>
      </c>
      <c r="BA1416" s="2">
        <f t="shared" ca="1" si="1415"/>
        <v>58616419.740455955</v>
      </c>
      <c r="BB1416" s="2">
        <f t="shared" ca="1" si="1416"/>
        <v>1172328.3948091192</v>
      </c>
      <c r="BC1416" s="2">
        <f t="shared" ca="1" si="1417"/>
        <v>33226895.255176961</v>
      </c>
      <c r="BD1416" s="2">
        <f t="shared" ca="1" si="1418"/>
        <v>-17653847.230749495</v>
      </c>
      <c r="BE1416" s="2">
        <f t="shared" ca="1" si="1419"/>
        <v>2227301.1120171323</v>
      </c>
      <c r="BF1416" s="2">
        <f t="shared" ca="1" si="1420"/>
        <v>2453411.5218363404</v>
      </c>
      <c r="BG1416" s="2">
        <f t="shared" ca="1" si="1421"/>
        <v>2621978.3269776227</v>
      </c>
      <c r="BH1416" s="2">
        <f t="shared" ca="1" si="1422"/>
        <v>2797533.0400559828</v>
      </c>
      <c r="BI1416" s="2">
        <f t="shared" ca="1" si="1423"/>
        <v>36207260.598770969</v>
      </c>
      <c r="BJ1416" s="2">
        <f t="shared" ca="1" si="1424"/>
        <v>0.25087492932688771</v>
      </c>
      <c r="BK1416" s="2">
        <f t="shared" ca="1" si="1425"/>
        <v>10479786.361702185</v>
      </c>
    </row>
    <row r="1417" spans="1:63" x14ac:dyDescent="0.3">
      <c r="A1417" s="2">
        <v>1416</v>
      </c>
      <c r="B1417" s="2">
        <f t="shared" ca="1" si="1364"/>
        <v>0.69858629526921101</v>
      </c>
      <c r="C1417" s="2">
        <f t="shared" ca="1" si="1365"/>
        <v>7.2235803908571228</v>
      </c>
      <c r="D1417" s="2">
        <f t="shared" ca="1" si="1366"/>
        <v>0.81587307226272376</v>
      </c>
      <c r="E1417" s="2">
        <f t="shared" ca="1" si="1367"/>
        <v>7.8931607663684291</v>
      </c>
      <c r="F1417" s="2">
        <f t="shared" ca="1" si="1368"/>
        <v>0.29890034123458775</v>
      </c>
      <c r="G1417" s="2">
        <f t="shared" ca="1" si="1369"/>
        <v>2.4173023712323112E-2</v>
      </c>
      <c r="H1417" s="2">
        <f t="shared" ca="1" si="1370"/>
        <v>2.4173023712323112E-2</v>
      </c>
      <c r="I1417" s="2">
        <f t="shared" ca="1" si="1371"/>
        <v>0.39390238497497043</v>
      </c>
      <c r="J1417" s="2">
        <f t="shared" ca="1" si="1372"/>
        <v>8.6541883681680067E-3</v>
      </c>
      <c r="K1417" s="2">
        <f t="shared" ca="1" si="1373"/>
        <v>8.6541883681680067E-3</v>
      </c>
      <c r="L1417" s="2">
        <f t="shared" ca="1" si="1374"/>
        <v>0.94804097930476772</v>
      </c>
      <c r="M1417" s="2">
        <f t="shared" ca="1" si="1375"/>
        <v>3.2522972568217949E-2</v>
      </c>
      <c r="N1417" s="2">
        <f t="shared" ca="1" si="1376"/>
        <v>3.2522972568217949E-2</v>
      </c>
      <c r="O1417" s="2">
        <f t="shared" si="1377"/>
        <v>6000000</v>
      </c>
      <c r="P1417" s="2">
        <f t="shared" ca="1" si="1378"/>
        <v>43341482.345142737</v>
      </c>
      <c r="Q1417" s="2">
        <f t="shared" ca="1" si="1379"/>
        <v>1083537.0586285684</v>
      </c>
      <c r="R1417" s="2">
        <f t="shared" ca="1" si="1380"/>
        <v>26004889.407085642</v>
      </c>
      <c r="S1417" s="2">
        <f t="shared" ca="1" si="1381"/>
        <v>17336592.938057095</v>
      </c>
      <c r="T1417" s="2">
        <f t="shared" ca="1" si="1382"/>
        <v>51626148.628410898</v>
      </c>
      <c r="U1417" s="2">
        <f t="shared" ca="1" si="1383"/>
        <v>52874108.743381396</v>
      </c>
      <c r="V1417" s="2">
        <f t="shared" ca="1" si="1384"/>
        <v>54152235.827803113</v>
      </c>
      <c r="W1417" s="2">
        <f t="shared" ca="1" si="1385"/>
        <v>55461259.108543918</v>
      </c>
      <c r="X1417" s="2">
        <f t="shared" ca="1" si="1386"/>
        <v>56801925.440090053</v>
      </c>
      <c r="Y1417" s="2">
        <f t="shared" ca="1" si="1387"/>
        <v>0.124327094184084</v>
      </c>
      <c r="Z1417" s="2">
        <f t="shared" ca="1" si="1388"/>
        <v>0.1260579318577176</v>
      </c>
      <c r="AA1417" s="2">
        <f t="shared" ca="1" si="1389"/>
        <v>6418529.042885961</v>
      </c>
      <c r="AB1417" s="2">
        <f t="shared" ca="1" si="1390"/>
        <v>6665200.7970107226</v>
      </c>
      <c r="AC1417" s="2">
        <f t="shared" ca="1" si="1391"/>
        <v>6826318.8539242586</v>
      </c>
      <c r="AD1417" s="2">
        <f t="shared" ca="1" si="1392"/>
        <v>6991331.6214480493</v>
      </c>
      <c r="AE1417" s="2">
        <f t="shared" ca="1" si="1393"/>
        <v>7160333.2465140279</v>
      </c>
      <c r="AF1417" s="2">
        <f t="shared" ca="1" si="1394"/>
        <v>1032522.972568218</v>
      </c>
      <c r="AG1417" s="2">
        <f t="shared" ca="1" si="1395"/>
        <v>1057482.1748676279</v>
      </c>
      <c r="AH1417" s="2">
        <f t="shared" ca="1" si="1396"/>
        <v>1083044.7165560622</v>
      </c>
      <c r="AI1417" s="2">
        <f t="shared" ca="1" si="1397"/>
        <v>1109225.1821708784</v>
      </c>
      <c r="AJ1417" s="2">
        <f t="shared" ca="1" si="1398"/>
        <v>1136038.5088018011</v>
      </c>
      <c r="AK1417" s="2">
        <f t="shared" ca="1" si="1399"/>
        <v>0</v>
      </c>
      <c r="AL1417" s="2">
        <f t="shared" ca="1" si="1400"/>
        <v>12479.601149704979</v>
      </c>
      <c r="AM1417" s="2">
        <f t="shared" ca="1" si="1401"/>
        <v>12781.270844217166</v>
      </c>
      <c r="AN1417" s="2">
        <f t="shared" ca="1" si="1402"/>
        <v>13090.232807408051</v>
      </c>
      <c r="AO1417" s="2">
        <f t="shared" ca="1" si="1403"/>
        <v>13406.663315461352</v>
      </c>
      <c r="AP1417" s="2">
        <f t="shared" ca="1" si="1404"/>
        <v>2340440.0466377079</v>
      </c>
      <c r="AQ1417" s="2">
        <f t="shared" ca="1" si="1405"/>
        <v>791847.16615680931</v>
      </c>
      <c r="AR1417" s="2">
        <f t="shared" ca="1" si="1406"/>
        <v>849492.4296314005</v>
      </c>
      <c r="AS1417" s="2">
        <f t="shared" ca="1" si="1407"/>
        <v>884736.86358992709</v>
      </c>
      <c r="AT1417" s="2">
        <f t="shared" ca="1" si="1408"/>
        <v>920833.26208626048</v>
      </c>
      <c r="AU1417" s="2">
        <f t="shared" ca="1" si="1409"/>
        <v>957802.21967937495</v>
      </c>
      <c r="AV1417" s="2">
        <f t="shared" ca="1" si="1410"/>
        <v>2253718.8575232257</v>
      </c>
      <c r="AW1417" s="2">
        <f t="shared" ca="1" si="1411"/>
        <v>2405306.5447242805</v>
      </c>
      <c r="AX1417" s="2">
        <f t="shared" ca="1" si="1412"/>
        <v>2505315.9562963438</v>
      </c>
      <c r="AY1417" s="2">
        <f t="shared" ca="1" si="1413"/>
        <v>2607742.8977457951</v>
      </c>
      <c r="AZ1417" s="2">
        <f t="shared" ca="1" si="1414"/>
        <v>2712645.8080796828</v>
      </c>
      <c r="BA1417" s="2">
        <f t="shared" ca="1" si="1415"/>
        <v>56517661.455508009</v>
      </c>
      <c r="BB1417" s="2">
        <f t="shared" ca="1" si="1416"/>
        <v>1130353.2291101601</v>
      </c>
      <c r="BC1417" s="2">
        <f t="shared" ca="1" si="1417"/>
        <v>29382418.819312207</v>
      </c>
      <c r="BD1417" s="2">
        <f t="shared" ca="1" si="1418"/>
        <v>-18920129.996685661</v>
      </c>
      <c r="BE1417" s="2">
        <f t="shared" ca="1" si="1419"/>
        <v>2253718.8575232257</v>
      </c>
      <c r="BF1417" s="2">
        <f t="shared" ca="1" si="1420"/>
        <v>2405306.5447242805</v>
      </c>
      <c r="BG1417" s="2">
        <f t="shared" ca="1" si="1421"/>
        <v>2505315.9562963438</v>
      </c>
      <c r="BH1417" s="2">
        <f t="shared" ca="1" si="1422"/>
        <v>2607742.8977457951</v>
      </c>
      <c r="BI1417" s="2">
        <f t="shared" ca="1" si="1423"/>
        <v>32095064.62739189</v>
      </c>
      <c r="BJ1417" s="2">
        <f t="shared" ca="1" si="1424"/>
        <v>0.20358065472647824</v>
      </c>
      <c r="BK1417" s="2">
        <f t="shared" ca="1" si="1425"/>
        <v>6661718.4075123556</v>
      </c>
    </row>
    <row r="1418" spans="1:63" x14ac:dyDescent="0.3">
      <c r="A1418" s="2">
        <v>1417</v>
      </c>
      <c r="B1418" s="2">
        <f t="shared" ca="1" si="1364"/>
        <v>0.88970777233007892</v>
      </c>
      <c r="C1418" s="2">
        <f t="shared" ca="1" si="1365"/>
        <v>7.530335805771994</v>
      </c>
      <c r="D1418" s="2">
        <f t="shared" ca="1" si="1366"/>
        <v>0.56836137232208583</v>
      </c>
      <c r="E1418" s="2">
        <f t="shared" ca="1" si="1367"/>
        <v>7.5708728529658451</v>
      </c>
      <c r="F1418" s="2">
        <f t="shared" ca="1" si="1368"/>
        <v>0.19446765039215841</v>
      </c>
      <c r="G1418" s="2">
        <f t="shared" ca="1" si="1369"/>
        <v>1.4153505737825801E-2</v>
      </c>
      <c r="H1418" s="2">
        <f t="shared" ca="1" si="1370"/>
        <v>1.4153505737825801E-2</v>
      </c>
      <c r="I1418" s="2">
        <f t="shared" ca="1" si="1371"/>
        <v>0.85210569943528958</v>
      </c>
      <c r="J1418" s="2">
        <f t="shared" ca="1" si="1372"/>
        <v>1.5227536146371415E-2</v>
      </c>
      <c r="K1418" s="2">
        <f t="shared" ca="1" si="1373"/>
        <v>1.5227536146371415E-2</v>
      </c>
      <c r="L1418" s="2">
        <f t="shared" ca="1" si="1374"/>
        <v>0.86209403542691498</v>
      </c>
      <c r="M1418" s="2">
        <f t="shared" ca="1" si="1375"/>
        <v>2.1795515429393526E-2</v>
      </c>
      <c r="N1418" s="2">
        <f t="shared" ca="1" si="1376"/>
        <v>2.1795515429393526E-2</v>
      </c>
      <c r="O1418" s="2">
        <f t="shared" si="1377"/>
        <v>6000000</v>
      </c>
      <c r="P1418" s="2">
        <f t="shared" ca="1" si="1378"/>
        <v>45182014.834631965</v>
      </c>
      <c r="Q1418" s="2">
        <f t="shared" ca="1" si="1379"/>
        <v>1129550.3708657993</v>
      </c>
      <c r="R1418" s="2">
        <f t="shared" ca="1" si="1380"/>
        <v>27109208.900779177</v>
      </c>
      <c r="S1418" s="2">
        <f t="shared" ca="1" si="1381"/>
        <v>18072805.933852788</v>
      </c>
      <c r="T1418" s="2">
        <f t="shared" ca="1" si="1382"/>
        <v>51089775.771469682</v>
      </c>
      <c r="U1418" s="2">
        <f t="shared" ca="1" si="1383"/>
        <v>51812875.205995411</v>
      </c>
      <c r="V1418" s="2">
        <f t="shared" ca="1" si="1384"/>
        <v>52546209.03251671</v>
      </c>
      <c r="W1418" s="2">
        <f t="shared" ca="1" si="1385"/>
        <v>53289922.103559427</v>
      </c>
      <c r="X1418" s="2">
        <f t="shared" ca="1" si="1386"/>
        <v>54044161.321820438</v>
      </c>
      <c r="Y1418" s="2">
        <f t="shared" ca="1" si="1387"/>
        <v>0.1276137680731857</v>
      </c>
      <c r="Z1418" s="2">
        <f t="shared" ca="1" si="1388"/>
        <v>0.13065927530245999</v>
      </c>
      <c r="AA1418" s="2">
        <f t="shared" ca="1" si="1389"/>
        <v>6519758.7962113936</v>
      </c>
      <c r="AB1418" s="2">
        <f t="shared" ca="1" si="1390"/>
        <v>6769832.7257521581</v>
      </c>
      <c r="AC1418" s="2">
        <f t="shared" ca="1" si="1391"/>
        <v>6865649.5920802113</v>
      </c>
      <c r="AD1418" s="2">
        <f t="shared" ca="1" si="1392"/>
        <v>6962822.602975619</v>
      </c>
      <c r="AE1418" s="2">
        <f t="shared" ca="1" si="1393"/>
        <v>7061370.9526382964</v>
      </c>
      <c r="AF1418" s="2">
        <f t="shared" ca="1" si="1394"/>
        <v>1021795.5154293936</v>
      </c>
      <c r="AG1418" s="2">
        <f t="shared" ca="1" si="1395"/>
        <v>1036257.5041199082</v>
      </c>
      <c r="AH1418" s="2">
        <f t="shared" ca="1" si="1396"/>
        <v>1050924.1806503343</v>
      </c>
      <c r="AI1418" s="2">
        <f t="shared" ca="1" si="1397"/>
        <v>1065798.4420711885</v>
      </c>
      <c r="AJ1418" s="2">
        <f t="shared" ca="1" si="1398"/>
        <v>1080883.2264364087</v>
      </c>
      <c r="AK1418" s="2">
        <f t="shared" ca="1" si="1399"/>
        <v>0</v>
      </c>
      <c r="AL1418" s="2">
        <f t="shared" ca="1" si="1400"/>
        <v>7230.9943452572825</v>
      </c>
      <c r="AM1418" s="2">
        <f t="shared" ca="1" si="1401"/>
        <v>7333.3382652129976</v>
      </c>
      <c r="AN1418" s="2">
        <f t="shared" ca="1" si="1402"/>
        <v>7437.1307104271655</v>
      </c>
      <c r="AO1418" s="2">
        <f t="shared" ca="1" si="1403"/>
        <v>7542.3921826101096</v>
      </c>
      <c r="AP1418" s="2">
        <f t="shared" ca="1" si="1404"/>
        <v>2439828.8010701258</v>
      </c>
      <c r="AQ1418" s="2">
        <f t="shared" ca="1" si="1405"/>
        <v>795114.9647250874</v>
      </c>
      <c r="AR1418" s="2">
        <f t="shared" ca="1" si="1406"/>
        <v>856374.06934615225</v>
      </c>
      <c r="AS1418" s="2">
        <f t="shared" ca="1" si="1407"/>
        <v>877473.11869353522</v>
      </c>
      <c r="AT1418" s="2">
        <f t="shared" ca="1" si="1408"/>
        <v>898870.79355691932</v>
      </c>
      <c r="AU1418" s="2">
        <f t="shared" ca="1" si="1409"/>
        <v>920571.32053425827</v>
      </c>
      <c r="AV1418" s="2">
        <f t="shared" ca="1" si="1410"/>
        <v>2263019.514986787</v>
      </c>
      <c r="AW1418" s="2">
        <f t="shared" ca="1" si="1411"/>
        <v>2430141.3568707146</v>
      </c>
      <c r="AX1418" s="2">
        <f t="shared" ca="1" si="1412"/>
        <v>2490090.1534010023</v>
      </c>
      <c r="AY1418" s="2">
        <f t="shared" ca="1" si="1413"/>
        <v>2550887.435566959</v>
      </c>
      <c r="AZ1418" s="2">
        <f t="shared" ca="1" si="1414"/>
        <v>2612545.2124148943</v>
      </c>
      <c r="BA1418" s="2">
        <f t="shared" ca="1" si="1415"/>
        <v>53460741.650050849</v>
      </c>
      <c r="BB1418" s="2">
        <f t="shared" ca="1" si="1416"/>
        <v>1069214.8330010171</v>
      </c>
      <c r="BC1418" s="2">
        <f t="shared" ca="1" si="1417"/>
        <v>25282317.916270655</v>
      </c>
      <c r="BD1418" s="2">
        <f t="shared" ca="1" si="1418"/>
        <v>-19702356.304718588</v>
      </c>
      <c r="BE1418" s="2">
        <f t="shared" ca="1" si="1419"/>
        <v>2263019.514986787</v>
      </c>
      <c r="BF1418" s="2">
        <f t="shared" ca="1" si="1420"/>
        <v>2430141.3568707146</v>
      </c>
      <c r="BG1418" s="2">
        <f t="shared" ca="1" si="1421"/>
        <v>2490090.1534010023</v>
      </c>
      <c r="BH1418" s="2">
        <f t="shared" ca="1" si="1422"/>
        <v>2550887.435566959</v>
      </c>
      <c r="BI1418" s="2">
        <f t="shared" ca="1" si="1423"/>
        <v>27894863.128685549</v>
      </c>
      <c r="BJ1418" s="2">
        <f t="shared" ca="1" si="1424"/>
        <v>0.16483936789359066</v>
      </c>
      <c r="BK1418" s="2">
        <f t="shared" ca="1" si="1425"/>
        <v>3477317.1884981021</v>
      </c>
    </row>
    <row r="1419" spans="1:63" x14ac:dyDescent="0.3">
      <c r="A1419" s="2">
        <v>1418</v>
      </c>
      <c r="B1419" s="2">
        <f t="shared" ca="1" si="1364"/>
        <v>0.1494731218370956</v>
      </c>
      <c r="C1419" s="2">
        <f t="shared" ca="1" si="1365"/>
        <v>6.5467597677903804</v>
      </c>
      <c r="D1419" s="2">
        <f t="shared" ca="1" si="1366"/>
        <v>0.89141579159798034</v>
      </c>
      <c r="E1419" s="2">
        <f t="shared" ca="1" si="1367"/>
        <v>8.0339866774393247</v>
      </c>
      <c r="F1419" s="2">
        <f t="shared" ca="1" si="1368"/>
        <v>0.12328436613559501</v>
      </c>
      <c r="G1419" s="2">
        <f t="shared" ca="1" si="1369"/>
        <v>5.2382820200019831E-3</v>
      </c>
      <c r="H1419" s="2">
        <f t="shared" ca="1" si="1370"/>
        <v>5.2382820200019831E-3</v>
      </c>
      <c r="I1419" s="2">
        <f t="shared" ca="1" si="1371"/>
        <v>0.83751102278961864</v>
      </c>
      <c r="J1419" s="2">
        <f t="shared" ca="1" si="1372"/>
        <v>1.4921399043521338E-2</v>
      </c>
      <c r="K1419" s="2">
        <f t="shared" ca="1" si="1373"/>
        <v>1.4921399043521338E-2</v>
      </c>
      <c r="L1419" s="2">
        <f t="shared" ca="1" si="1374"/>
        <v>0.94392794046075401</v>
      </c>
      <c r="M1419" s="2">
        <f t="shared" ca="1" si="1375"/>
        <v>3.1772585123847626E-2</v>
      </c>
      <c r="N1419" s="2">
        <f t="shared" ca="1" si="1376"/>
        <v>3.1772585123847626E-2</v>
      </c>
      <c r="O1419" s="2">
        <f t="shared" si="1377"/>
        <v>6000000</v>
      </c>
      <c r="P1419" s="2">
        <f t="shared" ca="1" si="1378"/>
        <v>39280558.606742285</v>
      </c>
      <c r="Q1419" s="2">
        <f t="shared" ca="1" si="1379"/>
        <v>982013.96516855713</v>
      </c>
      <c r="R1419" s="2">
        <f t="shared" ca="1" si="1380"/>
        <v>23568335.164045371</v>
      </c>
      <c r="S1419" s="2">
        <f t="shared" ca="1" si="1381"/>
        <v>15712223.442696914</v>
      </c>
      <c r="T1419" s="2">
        <f t="shared" ca="1" si="1382"/>
        <v>51588629.256192386</v>
      </c>
      <c r="U1419" s="2">
        <f t="shared" ca="1" si="1383"/>
        <v>51858865.045261644</v>
      </c>
      <c r="V1419" s="2">
        <f t="shared" ca="1" si="1384"/>
        <v>52130516.405605942</v>
      </c>
      <c r="W1419" s="2">
        <f t="shared" ca="1" si="1385"/>
        <v>52403590.752386838</v>
      </c>
      <c r="X1419" s="2">
        <f t="shared" ca="1" si="1386"/>
        <v>52678095.539608605</v>
      </c>
      <c r="Y1419" s="2">
        <f t="shared" ca="1" si="1387"/>
        <v>0.12746069952176067</v>
      </c>
      <c r="Z1419" s="2">
        <f t="shared" ca="1" si="1388"/>
        <v>0.13044497933046492</v>
      </c>
      <c r="AA1419" s="2">
        <f t="shared" ca="1" si="1389"/>
        <v>6575522.7723630499</v>
      </c>
      <c r="AB1419" s="2">
        <f t="shared" ca="1" si="1390"/>
        <v>6764728.5789305251</v>
      </c>
      <c r="AC1419" s="2">
        <f t="shared" ca="1" si="1391"/>
        <v>6800164.1350157298</v>
      </c>
      <c r="AD1419" s="2">
        <f t="shared" ca="1" si="1392"/>
        <v>6835785.3125372436</v>
      </c>
      <c r="AE1419" s="2">
        <f t="shared" ca="1" si="1393"/>
        <v>6871593.0838325005</v>
      </c>
      <c r="AF1419" s="2">
        <f t="shared" ca="1" si="1394"/>
        <v>1031772.5851238477</v>
      </c>
      <c r="AG1419" s="2">
        <f t="shared" ca="1" si="1395"/>
        <v>1037177.3009052329</v>
      </c>
      <c r="AH1419" s="2">
        <f t="shared" ca="1" si="1396"/>
        <v>1042610.3281121189</v>
      </c>
      <c r="AI1419" s="2">
        <f t="shared" ca="1" si="1397"/>
        <v>1048071.8150477367</v>
      </c>
      <c r="AJ1419" s="2">
        <f t="shared" ca="1" si="1398"/>
        <v>1053561.9107921722</v>
      </c>
      <c r="AK1419" s="2">
        <f t="shared" ca="1" si="1399"/>
        <v>0</v>
      </c>
      <c r="AL1419" s="2">
        <f t="shared" ca="1" si="1400"/>
        <v>2702.3578906925768</v>
      </c>
      <c r="AM1419" s="2">
        <f t="shared" ca="1" si="1401"/>
        <v>2716.513603442982</v>
      </c>
      <c r="AN1419" s="2">
        <f t="shared" ca="1" si="1402"/>
        <v>2730.7434678089621</v>
      </c>
      <c r="AO1419" s="2">
        <f t="shared" ca="1" si="1403"/>
        <v>2745.0478722176699</v>
      </c>
      <c r="AP1419" s="2">
        <f t="shared" ca="1" si="1404"/>
        <v>2121150.1647640835</v>
      </c>
      <c r="AQ1419" s="2">
        <f t="shared" ca="1" si="1405"/>
        <v>889876.00584353076</v>
      </c>
      <c r="AR1419" s="2">
        <f t="shared" ca="1" si="1406"/>
        <v>937664.28944791423</v>
      </c>
      <c r="AS1419" s="2">
        <f t="shared" ca="1" si="1407"/>
        <v>945464.94695627713</v>
      </c>
      <c r="AT1419" s="2">
        <f t="shared" ca="1" si="1408"/>
        <v>953306.46650860994</v>
      </c>
      <c r="AU1419" s="2">
        <f t="shared" ca="1" si="1409"/>
        <v>961189.06215182377</v>
      </c>
      <c r="AV1419" s="2">
        <f t="shared" ca="1" si="1410"/>
        <v>2532724.0166315879</v>
      </c>
      <c r="AW1419" s="2">
        <f t="shared" ca="1" si="1411"/>
        <v>2666034.465922602</v>
      </c>
      <c r="AX1419" s="2">
        <f t="shared" ca="1" si="1412"/>
        <v>2688222.1815798073</v>
      </c>
      <c r="AY1419" s="2">
        <f t="shared" ca="1" si="1413"/>
        <v>2710526.122749004</v>
      </c>
      <c r="AZ1419" s="2">
        <f t="shared" ca="1" si="1414"/>
        <v>2732946.8982522036</v>
      </c>
      <c r="BA1419" s="2">
        <f t="shared" ca="1" si="1415"/>
        <v>55206287.288294517</v>
      </c>
      <c r="BB1419" s="2">
        <f t="shared" ca="1" si="1416"/>
        <v>1104125.7457658905</v>
      </c>
      <c r="BC1419" s="2">
        <f t="shared" ca="1" si="1417"/>
        <v>30533826.378483254</v>
      </c>
      <c r="BD1419" s="2">
        <f t="shared" ca="1" si="1418"/>
        <v>-17194237.407865472</v>
      </c>
      <c r="BE1419" s="2">
        <f t="shared" ca="1" si="1419"/>
        <v>2532724.0166315879</v>
      </c>
      <c r="BF1419" s="2">
        <f t="shared" ca="1" si="1420"/>
        <v>2666034.465922602</v>
      </c>
      <c r="BG1419" s="2">
        <f t="shared" ca="1" si="1421"/>
        <v>2688222.1815798073</v>
      </c>
      <c r="BH1419" s="2">
        <f t="shared" ca="1" si="1422"/>
        <v>2710526.122749004</v>
      </c>
      <c r="BI1419" s="2">
        <f t="shared" ca="1" si="1423"/>
        <v>33266773.276735459</v>
      </c>
      <c r="BJ1419" s="2">
        <f t="shared" ca="1" si="1424"/>
        <v>0.24864778065764392</v>
      </c>
      <c r="BK1419" s="2">
        <f t="shared" ca="1" si="1425"/>
        <v>9704942.0387428217</v>
      </c>
    </row>
    <row r="1420" spans="1:63" x14ac:dyDescent="0.3">
      <c r="A1420" s="2">
        <v>1419</v>
      </c>
      <c r="B1420" s="2">
        <f t="shared" ca="1" si="1364"/>
        <v>0.7849233206337678</v>
      </c>
      <c r="C1420" s="2">
        <f t="shared" ca="1" si="1365"/>
        <v>7.3441392230568558</v>
      </c>
      <c r="D1420" s="2">
        <f t="shared" ca="1" si="1366"/>
        <v>0.91520831144580428</v>
      </c>
      <c r="E1420" s="2">
        <f t="shared" ca="1" si="1367"/>
        <v>8.0881949768295787</v>
      </c>
      <c r="F1420" s="2">
        <f t="shared" ca="1" si="1368"/>
        <v>3.0498782960166837E-2</v>
      </c>
      <c r="G1420" s="2">
        <f t="shared" ca="1" si="1369"/>
        <v>-1.6205392907020631E-2</v>
      </c>
      <c r="H1420" s="2">
        <f t="shared" ca="1" si="1370"/>
        <v>-1.6205392907020631E-2</v>
      </c>
      <c r="I1420" s="2">
        <f t="shared" ca="1" si="1371"/>
        <v>0.80856239874850644</v>
      </c>
      <c r="J1420" s="2">
        <f t="shared" ca="1" si="1372"/>
        <v>1.4363054452634357E-2</v>
      </c>
      <c r="K1420" s="2">
        <f t="shared" ca="1" si="1373"/>
        <v>1.4363054452634357E-2</v>
      </c>
      <c r="L1420" s="2">
        <f t="shared" ca="1" si="1374"/>
        <v>0.15452367249142951</v>
      </c>
      <c r="M1420" s="2">
        <f t="shared" ca="1" si="1375"/>
        <v>-2.0344460502997319E-2</v>
      </c>
      <c r="N1420" s="2">
        <f t="shared" ca="1" si="1376"/>
        <v>-2.0344460502997319E-2</v>
      </c>
      <c r="O1420" s="2">
        <f t="shared" si="1377"/>
        <v>6000000</v>
      </c>
      <c r="P1420" s="2">
        <f t="shared" ca="1" si="1378"/>
        <v>44064835.338341132</v>
      </c>
      <c r="Q1420" s="2">
        <f t="shared" ca="1" si="1379"/>
        <v>1101620.8834585284</v>
      </c>
      <c r="R1420" s="2">
        <f t="shared" ca="1" si="1380"/>
        <v>26438901.203004677</v>
      </c>
      <c r="S1420" s="2">
        <f t="shared" ca="1" si="1381"/>
        <v>17625934.135336455</v>
      </c>
      <c r="T1420" s="2">
        <f t="shared" ca="1" si="1382"/>
        <v>48982776.974850133</v>
      </c>
      <c r="U1420" s="2">
        <f t="shared" ca="1" si="1383"/>
        <v>48188991.828295723</v>
      </c>
      <c r="V1420" s="2">
        <f t="shared" ca="1" si="1384"/>
        <v>47408070.281924985</v>
      </c>
      <c r="W1420" s="2">
        <f t="shared" ca="1" si="1385"/>
        <v>46639803.876042746</v>
      </c>
      <c r="X1420" s="2">
        <f t="shared" ca="1" si="1386"/>
        <v>45883987.529125087</v>
      </c>
      <c r="Y1420" s="2">
        <f t="shared" ca="1" si="1387"/>
        <v>0.12718152722631718</v>
      </c>
      <c r="Z1420" s="2">
        <f t="shared" ca="1" si="1388"/>
        <v>0.13005413811684405</v>
      </c>
      <c r="AA1420" s="2">
        <f t="shared" ca="1" si="1389"/>
        <v>6229704.3834475242</v>
      </c>
      <c r="AB1420" s="2">
        <f t="shared" ca="1" si="1390"/>
        <v>6267177.7989486409</v>
      </c>
      <c r="AC1420" s="2">
        <f t="shared" ca="1" si="1391"/>
        <v>6165615.7202985222</v>
      </c>
      <c r="AD1420" s="2">
        <f t="shared" ca="1" si="1392"/>
        <v>6065699.4950373815</v>
      </c>
      <c r="AE1420" s="2">
        <f t="shared" ca="1" si="1393"/>
        <v>5967402.4514643839</v>
      </c>
      <c r="AF1420" s="2">
        <f t="shared" ca="1" si="1394"/>
        <v>979655.53949700273</v>
      </c>
      <c r="AG1420" s="2">
        <f t="shared" ca="1" si="1395"/>
        <v>963779.83656591445</v>
      </c>
      <c r="AH1420" s="2">
        <f t="shared" ca="1" si="1396"/>
        <v>948161.40563849977</v>
      </c>
      <c r="AI1420" s="2">
        <f t="shared" ca="1" si="1397"/>
        <v>932796.07752085489</v>
      </c>
      <c r="AJ1420" s="2">
        <f t="shared" ca="1" si="1398"/>
        <v>917679.75058250176</v>
      </c>
      <c r="AK1420" s="2">
        <f t="shared" ca="1" si="1399"/>
        <v>0</v>
      </c>
      <c r="AL1420" s="2">
        <f t="shared" ca="1" si="1400"/>
        <v>0</v>
      </c>
      <c r="AM1420" s="2">
        <f t="shared" ca="1" si="1401"/>
        <v>0</v>
      </c>
      <c r="AN1420" s="2">
        <f t="shared" ca="1" si="1402"/>
        <v>0</v>
      </c>
      <c r="AO1420" s="2">
        <f t="shared" ca="1" si="1403"/>
        <v>0</v>
      </c>
      <c r="AP1420" s="2">
        <f t="shared" ca="1" si="1404"/>
        <v>2379501.1082704207</v>
      </c>
      <c r="AQ1420" s="2">
        <f t="shared" ca="1" si="1405"/>
        <v>746342.41127682617</v>
      </c>
      <c r="AR1420" s="2">
        <f t="shared" ca="1" si="1406"/>
        <v>760213.18206919951</v>
      </c>
      <c r="AS1420" s="2">
        <f t="shared" ca="1" si="1407"/>
        <v>737867.8336612964</v>
      </c>
      <c r="AT1420" s="2">
        <f t="shared" ca="1" si="1408"/>
        <v>715884.60040398757</v>
      </c>
      <c r="AU1420" s="2">
        <f t="shared" ca="1" si="1409"/>
        <v>694257.61407897982</v>
      </c>
      <c r="AV1420" s="2">
        <f t="shared" ca="1" si="1410"/>
        <v>2124205.3244032739</v>
      </c>
      <c r="AW1420" s="2">
        <f t="shared" ca="1" si="1411"/>
        <v>2163683.6720431065</v>
      </c>
      <c r="AX1420" s="2">
        <f t="shared" ca="1" si="1412"/>
        <v>2100085.3727283049</v>
      </c>
      <c r="AY1420" s="2">
        <f t="shared" ca="1" si="1413"/>
        <v>2037517.7088421183</v>
      </c>
      <c r="AZ1420" s="2">
        <f t="shared" ca="1" si="1414"/>
        <v>1975963.978532481</v>
      </c>
      <c r="BA1420" s="2">
        <f t="shared" ca="1" si="1415"/>
        <v>48265514.53265474</v>
      </c>
      <c r="BB1420" s="2">
        <f t="shared" ca="1" si="1416"/>
        <v>965310.29065309477</v>
      </c>
      <c r="BC1420" s="2">
        <f t="shared" ca="1" si="1417"/>
        <v>20861303.038996968</v>
      </c>
      <c r="BD1420" s="2">
        <f t="shared" ca="1" si="1418"/>
        <v>-19227555.018794984</v>
      </c>
      <c r="BE1420" s="2">
        <f t="shared" ca="1" si="1419"/>
        <v>2124205.3244032739</v>
      </c>
      <c r="BF1420" s="2">
        <f t="shared" ca="1" si="1420"/>
        <v>2163683.6720431065</v>
      </c>
      <c r="BG1420" s="2">
        <f t="shared" ca="1" si="1421"/>
        <v>2100085.3727283049</v>
      </c>
      <c r="BH1420" s="2">
        <f t="shared" ca="1" si="1422"/>
        <v>2037517.7088421183</v>
      </c>
      <c r="BI1420" s="2">
        <f t="shared" ca="1" si="1423"/>
        <v>22837267.01752945</v>
      </c>
      <c r="BJ1420" s="2">
        <f t="shared" ca="1" si="1424"/>
        <v>0.12200416956704196</v>
      </c>
      <c r="BK1420" s="2">
        <f t="shared" ca="1" si="1425"/>
        <v>142089.4973353669</v>
      </c>
    </row>
    <row r="1421" spans="1:63" x14ac:dyDescent="0.3">
      <c r="A1421" s="2">
        <v>1420</v>
      </c>
      <c r="B1421" s="2">
        <f t="shared" ca="1" si="1364"/>
        <v>0.42394098810803127</v>
      </c>
      <c r="C1421" s="2">
        <f t="shared" ca="1" si="1365"/>
        <v>6.9208050696081465</v>
      </c>
      <c r="D1421" s="2">
        <f t="shared" ca="1" si="1366"/>
        <v>0.35944150692027987</v>
      </c>
      <c r="E1421" s="2">
        <f t="shared" ca="1" si="1367"/>
        <v>7.3478696915449682</v>
      </c>
      <c r="F1421" s="2">
        <f t="shared" ca="1" si="1368"/>
        <v>0.2099093262802344</v>
      </c>
      <c r="G1421" s="2">
        <f t="shared" ca="1" si="1369"/>
        <v>1.5797922809180489E-2</v>
      </c>
      <c r="H1421" s="2">
        <f t="shared" ca="1" si="1370"/>
        <v>1.5797922809180489E-2</v>
      </c>
      <c r="I1421" s="2">
        <f t="shared" ca="1" si="1371"/>
        <v>0.76630340086371773</v>
      </c>
      <c r="J1421" s="2">
        <f t="shared" ca="1" si="1372"/>
        <v>1.3633635095742691E-2</v>
      </c>
      <c r="K1421" s="2">
        <f t="shared" ca="1" si="1373"/>
        <v>1.3633635095742691E-2</v>
      </c>
      <c r="L1421" s="2">
        <f t="shared" ca="1" si="1374"/>
        <v>0.24439393846833968</v>
      </c>
      <c r="M1421" s="2">
        <f t="shared" ca="1" si="1375"/>
        <v>-1.384476005077463E-2</v>
      </c>
      <c r="N1421" s="2">
        <f t="shared" ca="1" si="1376"/>
        <v>-1.384476005077463E-2</v>
      </c>
      <c r="O1421" s="2">
        <f t="shared" si="1377"/>
        <v>6000000</v>
      </c>
      <c r="P1421" s="2">
        <f t="shared" ca="1" si="1378"/>
        <v>41524830.417648882</v>
      </c>
      <c r="Q1421" s="2">
        <f t="shared" ca="1" si="1379"/>
        <v>1038120.7604412221</v>
      </c>
      <c r="R1421" s="2">
        <f t="shared" ca="1" si="1380"/>
        <v>24914898.25058933</v>
      </c>
      <c r="S1421" s="2">
        <f t="shared" ca="1" si="1381"/>
        <v>16609932.167059554</v>
      </c>
      <c r="T1421" s="2">
        <f t="shared" ca="1" si="1382"/>
        <v>49307761.997461267</v>
      </c>
      <c r="U1421" s="2">
        <f t="shared" ca="1" si="1383"/>
        <v>50086722.2153906</v>
      </c>
      <c r="V1421" s="2">
        <f t="shared" ca="1" si="1384"/>
        <v>50877988.386714205</v>
      </c>
      <c r="W1421" s="2">
        <f t="shared" ca="1" si="1385"/>
        <v>51681754.919933893</v>
      </c>
      <c r="X1421" s="2">
        <f t="shared" ca="1" si="1386"/>
        <v>52498219.294801988</v>
      </c>
      <c r="Y1421" s="2">
        <f t="shared" ca="1" si="1387"/>
        <v>0.12681681754787133</v>
      </c>
      <c r="Z1421" s="2">
        <f t="shared" ca="1" si="1388"/>
        <v>0.12954354456701989</v>
      </c>
      <c r="AA1421" s="2">
        <f t="shared" ca="1" si="1389"/>
        <v>6253053.456925909</v>
      </c>
      <c r="AB1421" s="2">
        <f t="shared" ca="1" si="1390"/>
        <v>6488411.5315253977</v>
      </c>
      <c r="AC1421" s="2">
        <f t="shared" ca="1" si="1391"/>
        <v>6590914.9560546316</v>
      </c>
      <c r="AD1421" s="2">
        <f t="shared" ca="1" si="1392"/>
        <v>6695037.7217722554</v>
      </c>
      <c r="AE1421" s="2">
        <f t="shared" ca="1" si="1393"/>
        <v>6800805.4109053649</v>
      </c>
      <c r="AF1421" s="2">
        <f t="shared" ca="1" si="1394"/>
        <v>986155.23994922533</v>
      </c>
      <c r="AG1421" s="2">
        <f t="shared" ca="1" si="1395"/>
        <v>1001734.444307812</v>
      </c>
      <c r="AH1421" s="2">
        <f t="shared" ca="1" si="1396"/>
        <v>1017559.7677342842</v>
      </c>
      <c r="AI1421" s="2">
        <f t="shared" ca="1" si="1397"/>
        <v>1033635.0983986779</v>
      </c>
      <c r="AJ1421" s="2">
        <f t="shared" ca="1" si="1398"/>
        <v>1049964.3858960397</v>
      </c>
      <c r="AK1421" s="2">
        <f t="shared" ca="1" si="1399"/>
        <v>0</v>
      </c>
      <c r="AL1421" s="2">
        <f t="shared" ca="1" si="1400"/>
        <v>7789.6021792933343</v>
      </c>
      <c r="AM1421" s="2">
        <f t="shared" ca="1" si="1401"/>
        <v>7912.6617132360489</v>
      </c>
      <c r="AN1421" s="2">
        <f t="shared" ca="1" si="1402"/>
        <v>8037.665332196877</v>
      </c>
      <c r="AO1421" s="2">
        <f t="shared" ca="1" si="1403"/>
        <v>8164.6437486809491</v>
      </c>
      <c r="AP1421" s="2">
        <f t="shared" ca="1" si="1404"/>
        <v>2242340.8425530395</v>
      </c>
      <c r="AQ1421" s="2">
        <f t="shared" ca="1" si="1405"/>
        <v>786384.9173501475</v>
      </c>
      <c r="AR1421" s="2">
        <f t="shared" ca="1" si="1406"/>
        <v>843527.42361278215</v>
      </c>
      <c r="AS1421" s="2">
        <f t="shared" ca="1" si="1407"/>
        <v>866063.72989950003</v>
      </c>
      <c r="AT1421" s="2">
        <f t="shared" ca="1" si="1408"/>
        <v>888956.06301333988</v>
      </c>
      <c r="AU1421" s="2">
        <f t="shared" ca="1" si="1409"/>
        <v>912210.04743863421</v>
      </c>
      <c r="AV1421" s="2">
        <f t="shared" ca="1" si="1410"/>
        <v>2238172.4570734962</v>
      </c>
      <c r="AW1421" s="2">
        <f t="shared" ca="1" si="1411"/>
        <v>2393019.2188724712</v>
      </c>
      <c r="AX1421" s="2">
        <f t="shared" ca="1" si="1412"/>
        <v>2457037.954154572</v>
      </c>
      <c r="AY1421" s="2">
        <f t="shared" ca="1" si="1413"/>
        <v>2522068.0524750003</v>
      </c>
      <c r="AZ1421" s="2">
        <f t="shared" ca="1" si="1414"/>
        <v>2588125.4912689696</v>
      </c>
      <c r="BA1421" s="2">
        <f t="shared" ca="1" si="1415"/>
        <v>49971431.956886552</v>
      </c>
      <c r="BB1421" s="2">
        <f t="shared" ca="1" si="1416"/>
        <v>999428.63913773105</v>
      </c>
      <c r="BC1421" s="2">
        <f t="shared" ca="1" si="1417"/>
        <v>24057105.067159493</v>
      </c>
      <c r="BD1421" s="2">
        <f t="shared" ca="1" si="1418"/>
        <v>-18148052.927500777</v>
      </c>
      <c r="BE1421" s="2">
        <f t="shared" ca="1" si="1419"/>
        <v>2238172.4570734962</v>
      </c>
      <c r="BF1421" s="2">
        <f t="shared" ca="1" si="1420"/>
        <v>2393019.2188724712</v>
      </c>
      <c r="BG1421" s="2">
        <f t="shared" ca="1" si="1421"/>
        <v>2457037.954154572</v>
      </c>
      <c r="BH1421" s="2">
        <f t="shared" ca="1" si="1422"/>
        <v>2522068.0524750003</v>
      </c>
      <c r="BI1421" s="2">
        <f t="shared" ca="1" si="1423"/>
        <v>26645230.558428463</v>
      </c>
      <c r="BJ1421" s="2">
        <f t="shared" ca="1" si="1424"/>
        <v>0.17856313791273792</v>
      </c>
      <c r="BK1421" s="2">
        <f t="shared" ca="1" si="1425"/>
        <v>4228925.9297668971</v>
      </c>
    </row>
    <row r="1422" spans="1:63" x14ac:dyDescent="0.3">
      <c r="A1422" s="2">
        <v>1421</v>
      </c>
      <c r="B1422" s="2">
        <f t="shared" ca="1" si="1364"/>
        <v>0.6386846809417297</v>
      </c>
      <c r="C1422" s="2">
        <f t="shared" ca="1" si="1365"/>
        <v>7.149923157522486</v>
      </c>
      <c r="D1422" s="2">
        <f t="shared" ca="1" si="1366"/>
        <v>0.91072249946322903</v>
      </c>
      <c r="E1422" s="2">
        <f t="shared" ca="1" si="1367"/>
        <v>8.0774423103604178</v>
      </c>
      <c r="F1422" s="2">
        <f t="shared" ca="1" si="1368"/>
        <v>0.76826919164395724</v>
      </c>
      <c r="G1422" s="2">
        <f t="shared" ca="1" si="1369"/>
        <v>6.1994762220937791E-2</v>
      </c>
      <c r="H1422" s="2">
        <f t="shared" ca="1" si="1370"/>
        <v>6.1994762220937791E-2</v>
      </c>
      <c r="I1422" s="2">
        <f t="shared" ca="1" si="1371"/>
        <v>0.3849411257116212</v>
      </c>
      <c r="J1422" s="2">
        <f t="shared" ca="1" si="1372"/>
        <v>8.5373553999254764E-3</v>
      </c>
      <c r="K1422" s="2">
        <f t="shared" ca="1" si="1373"/>
        <v>8.5373553999254764E-3</v>
      </c>
      <c r="L1422" s="2">
        <f t="shared" ca="1" si="1374"/>
        <v>0.3759493567557568</v>
      </c>
      <c r="M1422" s="2">
        <f t="shared" ca="1" si="1375"/>
        <v>-6.3227350018547346E-3</v>
      </c>
      <c r="N1422" s="2">
        <f t="shared" ca="1" si="1376"/>
        <v>-6.3227350018547346E-3</v>
      </c>
      <c r="O1422" s="2">
        <f t="shared" si="1377"/>
        <v>6000000</v>
      </c>
      <c r="P1422" s="2">
        <f t="shared" ca="1" si="1378"/>
        <v>42899538.945134915</v>
      </c>
      <c r="Q1422" s="2">
        <f t="shared" ca="1" si="1379"/>
        <v>1072488.4736283729</v>
      </c>
      <c r="R1422" s="2">
        <f t="shared" ca="1" si="1380"/>
        <v>25739723.367080949</v>
      </c>
      <c r="S1422" s="2">
        <f t="shared" ca="1" si="1381"/>
        <v>17159815.578053966</v>
      </c>
      <c r="T1422" s="2">
        <f t="shared" ca="1" si="1382"/>
        <v>49683863.249907263</v>
      </c>
      <c r="U1422" s="2">
        <f t="shared" ca="1" si="1383"/>
        <v>52764002.538302854</v>
      </c>
      <c r="V1422" s="2">
        <f t="shared" ca="1" si="1384"/>
        <v>56035094.329489894</v>
      </c>
      <c r="W1422" s="2">
        <f t="shared" ca="1" si="1385"/>
        <v>59508976.678474441</v>
      </c>
      <c r="X1422" s="2">
        <f t="shared" ca="1" si="1386"/>
        <v>63198221.537667796</v>
      </c>
      <c r="Y1422" s="2">
        <f t="shared" ca="1" si="1387"/>
        <v>0.12426867769996273</v>
      </c>
      <c r="Z1422" s="2">
        <f t="shared" ca="1" si="1388"/>
        <v>0.12597614877994784</v>
      </c>
      <c r="AA1422" s="2">
        <f t="shared" ca="1" si="1389"/>
        <v>6174147.9890917484</v>
      </c>
      <c r="AB1422" s="2">
        <f t="shared" ca="1" si="1390"/>
        <v>6647005.8339907853</v>
      </c>
      <c r="AC1422" s="2">
        <f t="shared" ca="1" si="1391"/>
        <v>7059085.3801502306</v>
      </c>
      <c r="AD1422" s="2">
        <f t="shared" ca="1" si="1392"/>
        <v>7496711.6997899422</v>
      </c>
      <c r="AE1422" s="2">
        <f t="shared" ca="1" si="1393"/>
        <v>7961468.5590573419</v>
      </c>
      <c r="AF1422" s="2">
        <f t="shared" ca="1" si="1394"/>
        <v>993677.26499814529</v>
      </c>
      <c r="AG1422" s="2">
        <f t="shared" ca="1" si="1395"/>
        <v>1055280.0507660571</v>
      </c>
      <c r="AH1422" s="2">
        <f t="shared" ca="1" si="1396"/>
        <v>1120701.8865897979</v>
      </c>
      <c r="AI1422" s="2">
        <f t="shared" ca="1" si="1397"/>
        <v>1190179.5335694889</v>
      </c>
      <c r="AJ1422" s="2">
        <f t="shared" ca="1" si="1398"/>
        <v>1263964.4307533558</v>
      </c>
      <c r="AK1422" s="2">
        <f t="shared" ca="1" si="1399"/>
        <v>0</v>
      </c>
      <c r="AL1422" s="2">
        <f t="shared" ca="1" si="1400"/>
        <v>30801.392883955912</v>
      </c>
      <c r="AM1422" s="2">
        <f t="shared" ca="1" si="1401"/>
        <v>32710.917911870405</v>
      </c>
      <c r="AN1422" s="2">
        <f t="shared" ca="1" si="1402"/>
        <v>34738.823489845468</v>
      </c>
      <c r="AO1422" s="2">
        <f t="shared" ca="1" si="1403"/>
        <v>36892.448591933549</v>
      </c>
      <c r="AP1422" s="2">
        <f t="shared" ca="1" si="1404"/>
        <v>2316575.1030372852</v>
      </c>
      <c r="AQ1422" s="2">
        <f t="shared" ca="1" si="1405"/>
        <v>744612.86147464265</v>
      </c>
      <c r="AR1422" s="2">
        <f t="shared" ca="1" si="1406"/>
        <v>851539.17684873519</v>
      </c>
      <c r="AS1422" s="2">
        <f t="shared" ca="1" si="1407"/>
        <v>941670.18153601838</v>
      </c>
      <c r="AT1422" s="2">
        <f t="shared" ca="1" si="1408"/>
        <v>1037388.8364276239</v>
      </c>
      <c r="AU1422" s="2">
        <f t="shared" ca="1" si="1409"/>
        <v>1139041.5465693425</v>
      </c>
      <c r="AV1422" s="2">
        <f t="shared" ca="1" si="1410"/>
        <v>2119282.7595816753</v>
      </c>
      <c r="AW1422" s="2">
        <f t="shared" ca="1" si="1411"/>
        <v>2392810.1104547526</v>
      </c>
      <c r="AX1422" s="2">
        <f t="shared" ca="1" si="1412"/>
        <v>2647427.291075259</v>
      </c>
      <c r="AY1422" s="2">
        <f t="shared" ca="1" si="1413"/>
        <v>2917829.4032656993</v>
      </c>
      <c r="AZ1422" s="2">
        <f t="shared" ca="1" si="1414"/>
        <v>3204995.0301054246</v>
      </c>
      <c r="BA1422" s="2">
        <f t="shared" ca="1" si="1415"/>
        <v>64308302.991533965</v>
      </c>
      <c r="BB1422" s="2">
        <f t="shared" ca="1" si="1416"/>
        <v>1286166.0598306793</v>
      </c>
      <c r="BC1422" s="2">
        <f t="shared" ca="1" si="1417"/>
        <v>37282413.564622335</v>
      </c>
      <c r="BD1422" s="2">
        <f t="shared" ca="1" si="1418"/>
        <v>-18732304.051682338</v>
      </c>
      <c r="BE1422" s="2">
        <f t="shared" ca="1" si="1419"/>
        <v>2119282.7595816753</v>
      </c>
      <c r="BF1422" s="2">
        <f t="shared" ca="1" si="1420"/>
        <v>2392810.1104547526</v>
      </c>
      <c r="BG1422" s="2">
        <f t="shared" ca="1" si="1421"/>
        <v>2647427.291075259</v>
      </c>
      <c r="BH1422" s="2">
        <f t="shared" ca="1" si="1422"/>
        <v>2917829.4032656993</v>
      </c>
      <c r="BI1422" s="2">
        <f t="shared" ca="1" si="1423"/>
        <v>40487408.594727762</v>
      </c>
      <c r="BJ1422" s="2">
        <f t="shared" ca="1" si="1424"/>
        <v>0.25493403695518158</v>
      </c>
      <c r="BK1422" s="2">
        <f t="shared" ca="1" si="1425"/>
        <v>11779809.012027495</v>
      </c>
    </row>
    <row r="1423" spans="1:63" x14ac:dyDescent="0.3">
      <c r="A1423" s="2">
        <v>1422</v>
      </c>
      <c r="B1423" s="2">
        <f t="shared" ca="1" si="1364"/>
        <v>0.63609843115702702</v>
      </c>
      <c r="C1423" s="2">
        <f t="shared" ca="1" si="1365"/>
        <v>7.1468862105873878</v>
      </c>
      <c r="D1423" s="2">
        <f t="shared" ca="1" si="1366"/>
        <v>0.60046376683580982</v>
      </c>
      <c r="E1423" s="2">
        <f t="shared" ca="1" si="1367"/>
        <v>7.6060914664640569</v>
      </c>
      <c r="F1423" s="2">
        <f t="shared" ca="1" si="1368"/>
        <v>5.5458312978560076E-2</v>
      </c>
      <c r="G1423" s="2">
        <f t="shared" ca="1" si="1369"/>
        <v>-7.822599852569681E-3</v>
      </c>
      <c r="H1423" s="2">
        <f t="shared" ca="1" si="1370"/>
        <v>-7.822599852569681E-3</v>
      </c>
      <c r="I1423" s="2">
        <f t="shared" ca="1" si="1371"/>
        <v>0.9328552040980721</v>
      </c>
      <c r="J1423" s="2">
        <f t="shared" ca="1" si="1372"/>
        <v>1.7486992626090787E-2</v>
      </c>
      <c r="K1423" s="2">
        <f t="shared" ca="1" si="1373"/>
        <v>1.7486992626090787E-2</v>
      </c>
      <c r="L1423" s="2">
        <f t="shared" ca="1" si="1374"/>
        <v>0.77336159847902886</v>
      </c>
      <c r="M1423" s="2">
        <f t="shared" ca="1" si="1375"/>
        <v>1.4999266182752448E-2</v>
      </c>
      <c r="N1423" s="2">
        <f t="shared" ca="1" si="1376"/>
        <v>1.4999266182752448E-2</v>
      </c>
      <c r="O1423" s="2">
        <f t="shared" si="1377"/>
        <v>6000000</v>
      </c>
      <c r="P1423" s="2">
        <f t="shared" ca="1" si="1378"/>
        <v>42881317.263524324</v>
      </c>
      <c r="Q1423" s="2">
        <f t="shared" ca="1" si="1379"/>
        <v>1072032.9315881082</v>
      </c>
      <c r="R1423" s="2">
        <f t="shared" ca="1" si="1380"/>
        <v>25728790.358114593</v>
      </c>
      <c r="S1423" s="2">
        <f t="shared" ca="1" si="1381"/>
        <v>17152526.905409731</v>
      </c>
      <c r="T1423" s="2">
        <f t="shared" ca="1" si="1382"/>
        <v>50749963.309137627</v>
      </c>
      <c r="U1423" s="2">
        <f t="shared" ca="1" si="1383"/>
        <v>50352966.653637648</v>
      </c>
      <c r="V1423" s="2">
        <f t="shared" ca="1" si="1384"/>
        <v>49959075.544116452</v>
      </c>
      <c r="W1423" s="2">
        <f t="shared" ca="1" si="1385"/>
        <v>49568265.687130526</v>
      </c>
      <c r="X1423" s="2">
        <f t="shared" ca="1" si="1386"/>
        <v>49180512.979274243</v>
      </c>
      <c r="Y1423" s="2">
        <f t="shared" ca="1" si="1387"/>
        <v>0.12874349631304538</v>
      </c>
      <c r="Z1423" s="2">
        <f t="shared" ca="1" si="1388"/>
        <v>0.13224089483826354</v>
      </c>
      <c r="AA1423" s="2">
        <f t="shared" ca="1" si="1389"/>
        <v>6533727.7141771484</v>
      </c>
      <c r="AB1423" s="2">
        <f t="shared" ca="1" si="1390"/>
        <v>6658721.3680382874</v>
      </c>
      <c r="AC1423" s="2">
        <f t="shared" ca="1" si="1391"/>
        <v>6606632.8552463679</v>
      </c>
      <c r="AD1423" s="2">
        <f t="shared" ca="1" si="1392"/>
        <v>6554951.8100469345</v>
      </c>
      <c r="AE1423" s="2">
        <f t="shared" ca="1" si="1393"/>
        <v>6503675.0449840603</v>
      </c>
      <c r="AF1423" s="2">
        <f t="shared" ca="1" si="1394"/>
        <v>1014999.2661827526</v>
      </c>
      <c r="AG1423" s="2">
        <f t="shared" ca="1" si="1395"/>
        <v>1007059.3330727529</v>
      </c>
      <c r="AH1423" s="2">
        <f t="shared" ca="1" si="1396"/>
        <v>999181.51088232908</v>
      </c>
      <c r="AI1423" s="2">
        <f t="shared" ca="1" si="1397"/>
        <v>991365.31374261051</v>
      </c>
      <c r="AJ1423" s="2">
        <f t="shared" ca="1" si="1398"/>
        <v>983610.25958548486</v>
      </c>
      <c r="AK1423" s="2">
        <f t="shared" ca="1" si="1399"/>
        <v>0</v>
      </c>
      <c r="AL1423" s="2">
        <f t="shared" ca="1" si="1400"/>
        <v>0</v>
      </c>
      <c r="AM1423" s="2">
        <f t="shared" ca="1" si="1401"/>
        <v>0</v>
      </c>
      <c r="AN1423" s="2">
        <f t="shared" ca="1" si="1402"/>
        <v>0</v>
      </c>
      <c r="AO1423" s="2">
        <f t="shared" ca="1" si="1403"/>
        <v>0</v>
      </c>
      <c r="AP1423" s="2">
        <f t="shared" ca="1" si="1404"/>
        <v>2315591.132230313</v>
      </c>
      <c r="AQ1423" s="2">
        <f t="shared" ca="1" si="1405"/>
        <v>832815.70209866157</v>
      </c>
      <c r="AR1423" s="2">
        <f t="shared" ca="1" si="1406"/>
        <v>867378.43471115769</v>
      </c>
      <c r="AS1423" s="2">
        <f t="shared" ca="1" si="1407"/>
        <v>855883.65515476873</v>
      </c>
      <c r="AT1423" s="2">
        <f t="shared" ca="1" si="1408"/>
        <v>844478.79465924285</v>
      </c>
      <c r="AU1423" s="2">
        <f t="shared" ca="1" si="1409"/>
        <v>833163.14982374827</v>
      </c>
      <c r="AV1423" s="2">
        <f t="shared" ca="1" si="1410"/>
        <v>2370321.613665421</v>
      </c>
      <c r="AW1423" s="2">
        <f t="shared" ca="1" si="1411"/>
        <v>2468692.4680240643</v>
      </c>
      <c r="AX1423" s="2">
        <f t="shared" ca="1" si="1412"/>
        <v>2435976.5569789573</v>
      </c>
      <c r="AY1423" s="2">
        <f t="shared" ca="1" si="1413"/>
        <v>2403516.5694147679</v>
      </c>
      <c r="AZ1423" s="2">
        <f t="shared" ca="1" si="1414"/>
        <v>2371310.5033445139</v>
      </c>
      <c r="BA1423" s="2">
        <f t="shared" ca="1" si="1415"/>
        <v>49467547.260308504</v>
      </c>
      <c r="BB1423" s="2">
        <f t="shared" ca="1" si="1416"/>
        <v>989350.94520617009</v>
      </c>
      <c r="BC1423" s="2">
        <f t="shared" ca="1" si="1417"/>
        <v>22749405.956987742</v>
      </c>
      <c r="BD1423" s="2">
        <f t="shared" ca="1" si="1418"/>
        <v>-18724559.836997841</v>
      </c>
      <c r="BE1423" s="2">
        <f t="shared" ca="1" si="1419"/>
        <v>2370321.613665421</v>
      </c>
      <c r="BF1423" s="2">
        <f t="shared" ca="1" si="1420"/>
        <v>2468692.4680240643</v>
      </c>
      <c r="BG1423" s="2">
        <f t="shared" ca="1" si="1421"/>
        <v>2435976.5569789573</v>
      </c>
      <c r="BH1423" s="2">
        <f t="shared" ca="1" si="1422"/>
        <v>2403516.5694147679</v>
      </c>
      <c r="BI1423" s="2">
        <f t="shared" ca="1" si="1423"/>
        <v>25120716.460332256</v>
      </c>
      <c r="BJ1423" s="2">
        <f t="shared" ca="1" si="1424"/>
        <v>0.16002810804059719</v>
      </c>
      <c r="BK1423" s="2">
        <f t="shared" ca="1" si="1425"/>
        <v>2875352.6511846781</v>
      </c>
    </row>
    <row r="1424" spans="1:63" x14ac:dyDescent="0.3">
      <c r="A1424" s="2">
        <v>1423</v>
      </c>
      <c r="B1424" s="2">
        <f t="shared" ca="1" si="1364"/>
        <v>0.17700269530745727</v>
      </c>
      <c r="C1424" s="2">
        <f t="shared" ca="1" si="1365"/>
        <v>6.594983521296947</v>
      </c>
      <c r="D1424" s="2">
        <f t="shared" ca="1" si="1366"/>
        <v>0.68846136572279404</v>
      </c>
      <c r="E1424" s="2">
        <f t="shared" ca="1" si="1367"/>
        <v>7.7106475637876244</v>
      </c>
      <c r="F1424" s="2">
        <f t="shared" ca="1" si="1368"/>
        <v>5.7620350449226199E-2</v>
      </c>
      <c r="G1424" s="2">
        <f t="shared" ca="1" si="1369"/>
        <v>-7.2520463076552258E-3</v>
      </c>
      <c r="H1424" s="2">
        <f t="shared" ca="1" si="1370"/>
        <v>-7.2520463076552258E-3</v>
      </c>
      <c r="I1424" s="2">
        <f t="shared" ca="1" si="1371"/>
        <v>0.22570715669466335</v>
      </c>
      <c r="J1424" s="2">
        <f t="shared" ca="1" si="1372"/>
        <v>6.2347037749592516E-3</v>
      </c>
      <c r="K1424" s="2">
        <f t="shared" ca="1" si="1373"/>
        <v>6.2347037749592516E-3</v>
      </c>
      <c r="L1424" s="2">
        <f t="shared" ca="1" si="1374"/>
        <v>0.87469972022570064</v>
      </c>
      <c r="M1424" s="2">
        <f t="shared" ca="1" si="1375"/>
        <v>2.297783792776964E-2</v>
      </c>
      <c r="N1424" s="2">
        <f t="shared" ca="1" si="1376"/>
        <v>2.297783792776964E-2</v>
      </c>
      <c r="O1424" s="2">
        <f t="shared" si="1377"/>
        <v>6000000</v>
      </c>
      <c r="P1424" s="2">
        <f t="shared" ca="1" si="1378"/>
        <v>39569901.127781682</v>
      </c>
      <c r="Q1424" s="2">
        <f t="shared" ca="1" si="1379"/>
        <v>989247.52819454204</v>
      </c>
      <c r="R1424" s="2">
        <f t="shared" ca="1" si="1380"/>
        <v>23741940.676669009</v>
      </c>
      <c r="S1424" s="2">
        <f t="shared" ca="1" si="1381"/>
        <v>15827960.451112673</v>
      </c>
      <c r="T1424" s="2">
        <f t="shared" ca="1" si="1382"/>
        <v>51148891.896388479</v>
      </c>
      <c r="U1424" s="2">
        <f t="shared" ca="1" si="1383"/>
        <v>50777957.763770618</v>
      </c>
      <c r="V1424" s="2">
        <f t="shared" ca="1" si="1384"/>
        <v>50409713.662659593</v>
      </c>
      <c r="W1424" s="2">
        <f t="shared" ca="1" si="1385"/>
        <v>50044140.084822349</v>
      </c>
      <c r="X1424" s="2">
        <f t="shared" ca="1" si="1386"/>
        <v>49681217.663500436</v>
      </c>
      <c r="Y1424" s="2">
        <f t="shared" ca="1" si="1387"/>
        <v>0.12311735188747962</v>
      </c>
      <c r="Z1424" s="2">
        <f t="shared" ca="1" si="1388"/>
        <v>0.12436429264247147</v>
      </c>
      <c r="AA1424" s="2">
        <f t="shared" ca="1" si="1389"/>
        <v>6297316.1222623149</v>
      </c>
      <c r="AB1424" s="2">
        <f t="shared" ca="1" si="1390"/>
        <v>6314964.7991206255</v>
      </c>
      <c r="AC1424" s="2">
        <f t="shared" ca="1" si="1391"/>
        <v>6269168.3819661895</v>
      </c>
      <c r="AD1424" s="2">
        <f t="shared" ca="1" si="1392"/>
        <v>6223704.0825496837</v>
      </c>
      <c r="AE1424" s="2">
        <f t="shared" ca="1" si="1393"/>
        <v>6178569.4923378909</v>
      </c>
      <c r="AF1424" s="2">
        <f t="shared" ca="1" si="1394"/>
        <v>1022977.8379277696</v>
      </c>
      <c r="AG1424" s="2">
        <f t="shared" ca="1" si="1395"/>
        <v>1015559.1552754124</v>
      </c>
      <c r="AH1424" s="2">
        <f t="shared" ca="1" si="1396"/>
        <v>1008194.2732531918</v>
      </c>
      <c r="AI1424" s="2">
        <f t="shared" ca="1" si="1397"/>
        <v>1000882.801696447</v>
      </c>
      <c r="AJ1424" s="2">
        <f t="shared" ca="1" si="1398"/>
        <v>993624.35327000869</v>
      </c>
      <c r="AK1424" s="2">
        <f t="shared" ca="1" si="1399"/>
        <v>0</v>
      </c>
      <c r="AL1424" s="2">
        <f t="shared" ca="1" si="1400"/>
        <v>0</v>
      </c>
      <c r="AM1424" s="2">
        <f t="shared" ca="1" si="1401"/>
        <v>0</v>
      </c>
      <c r="AN1424" s="2">
        <f t="shared" ca="1" si="1402"/>
        <v>0</v>
      </c>
      <c r="AO1424" s="2">
        <f t="shared" ca="1" si="1403"/>
        <v>0</v>
      </c>
      <c r="AP1424" s="2">
        <f t="shared" ca="1" si="1404"/>
        <v>2136774.660900211</v>
      </c>
      <c r="AQ1424" s="2">
        <f t="shared" ca="1" si="1405"/>
        <v>815766.54209292692</v>
      </c>
      <c r="AR1424" s="2">
        <f t="shared" ca="1" si="1406"/>
        <v>822284.05556570075</v>
      </c>
      <c r="AS1424" s="2">
        <f t="shared" ca="1" si="1407"/>
        <v>812291.8564313245</v>
      </c>
      <c r="AT1424" s="2">
        <f t="shared" ca="1" si="1408"/>
        <v>802372.1211877868</v>
      </c>
      <c r="AU1424" s="2">
        <f t="shared" ca="1" si="1409"/>
        <v>792524.32432359469</v>
      </c>
      <c r="AV1424" s="2">
        <f t="shared" ca="1" si="1410"/>
        <v>2321797.0813414073</v>
      </c>
      <c r="AW1424" s="2">
        <f t="shared" ca="1" si="1411"/>
        <v>2340346.9273793017</v>
      </c>
      <c r="AX1424" s="2">
        <f t="shared" ca="1" si="1412"/>
        <v>2311907.5913814623</v>
      </c>
      <c r="AY1424" s="2">
        <f t="shared" ca="1" si="1413"/>
        <v>2283674.4987652395</v>
      </c>
      <c r="AZ1424" s="2">
        <f t="shared" ca="1" si="1414"/>
        <v>2255646.1538440771</v>
      </c>
      <c r="BA1424" s="2">
        <f t="shared" ca="1" si="1415"/>
        <v>47640771.803787701</v>
      </c>
      <c r="BB1424" s="2">
        <f t="shared" ca="1" si="1416"/>
        <v>952815.436075754</v>
      </c>
      <c r="BC1424" s="2">
        <f t="shared" ca="1" si="1417"/>
        <v>22946015.691042937</v>
      </c>
      <c r="BD1424" s="2">
        <f t="shared" ca="1" si="1418"/>
        <v>-17317207.979307216</v>
      </c>
      <c r="BE1424" s="2">
        <f t="shared" ca="1" si="1419"/>
        <v>2321797.0813414073</v>
      </c>
      <c r="BF1424" s="2">
        <f t="shared" ca="1" si="1420"/>
        <v>2340346.9273793017</v>
      </c>
      <c r="BG1424" s="2">
        <f t="shared" ca="1" si="1421"/>
        <v>2311907.5913814623</v>
      </c>
      <c r="BH1424" s="2">
        <f t="shared" ca="1" si="1422"/>
        <v>2283674.4987652395</v>
      </c>
      <c r="BI1424" s="2">
        <f t="shared" ca="1" si="1423"/>
        <v>25201661.844887014</v>
      </c>
      <c r="BJ1424" s="2">
        <f t="shared" ca="1" si="1424"/>
        <v>0.17884746223978665</v>
      </c>
      <c r="BK1424" s="2">
        <f t="shared" ca="1" si="1425"/>
        <v>4018521.6978856809</v>
      </c>
    </row>
    <row r="1425" spans="1:63" x14ac:dyDescent="0.3">
      <c r="A1425" s="2">
        <v>1424</v>
      </c>
      <c r="B1425" s="2">
        <f t="shared" ca="1" si="1364"/>
        <v>0.10174351972278439</v>
      </c>
      <c r="C1425" s="2">
        <f t="shared" ca="1" si="1365"/>
        <v>6.4510953773267561</v>
      </c>
      <c r="D1425" s="2">
        <f t="shared" ca="1" si="1366"/>
        <v>0.59938028815492728</v>
      </c>
      <c r="E1425" s="2">
        <f t="shared" ca="1" si="1367"/>
        <v>7.6048802182444266</v>
      </c>
      <c r="F1425" s="2">
        <f t="shared" ca="1" si="1368"/>
        <v>0.34867031182293107</v>
      </c>
      <c r="G1425" s="2">
        <f t="shared" ca="1" si="1369"/>
        <v>2.8332614805229306E-2</v>
      </c>
      <c r="H1425" s="2">
        <f t="shared" ca="1" si="1370"/>
        <v>2.8332614805229306E-2</v>
      </c>
      <c r="I1425" s="2">
        <f t="shared" ca="1" si="1371"/>
        <v>0.1975425798830891</v>
      </c>
      <c r="J1425" s="2">
        <f t="shared" ca="1" si="1372"/>
        <v>5.7478418745623133E-3</v>
      </c>
      <c r="K1425" s="2">
        <f t="shared" ca="1" si="1373"/>
        <v>5.7478418745623133E-3</v>
      </c>
      <c r="L1425" s="2">
        <f t="shared" ca="1" si="1374"/>
        <v>0.13978326485138848</v>
      </c>
      <c r="M1425" s="2">
        <f t="shared" ca="1" si="1375"/>
        <v>-2.1625872166932521E-2</v>
      </c>
      <c r="N1425" s="2">
        <f t="shared" ca="1" si="1376"/>
        <v>-2.1625872166932521E-2</v>
      </c>
      <c r="O1425" s="2">
        <f t="shared" si="1377"/>
        <v>6000000</v>
      </c>
      <c r="P1425" s="2">
        <f t="shared" ca="1" si="1378"/>
        <v>38706572.263960533</v>
      </c>
      <c r="Q1425" s="2">
        <f t="shared" ca="1" si="1379"/>
        <v>967664.30659901339</v>
      </c>
      <c r="R1425" s="2">
        <f t="shared" ca="1" si="1380"/>
        <v>23223943.35837632</v>
      </c>
      <c r="S1425" s="2">
        <f t="shared" ca="1" si="1381"/>
        <v>15482628.905584214</v>
      </c>
      <c r="T1425" s="2">
        <f t="shared" ca="1" si="1382"/>
        <v>48918706.391653374</v>
      </c>
      <c r="U1425" s="2">
        <f t="shared" ca="1" si="1383"/>
        <v>50304701.256618194</v>
      </c>
      <c r="V1425" s="2">
        <f t="shared" ca="1" si="1384"/>
        <v>51729964.980214089</v>
      </c>
      <c r="W1425" s="2">
        <f t="shared" ca="1" si="1385"/>
        <v>53195610.151886493</v>
      </c>
      <c r="X1425" s="2">
        <f t="shared" ca="1" si="1386"/>
        <v>54702780.883649036</v>
      </c>
      <c r="Y1425" s="2">
        <f t="shared" ca="1" si="1387"/>
        <v>0.12287392093728115</v>
      </c>
      <c r="Z1425" s="2">
        <f t="shared" ca="1" si="1388"/>
        <v>0.12402348931219362</v>
      </c>
      <c r="AA1425" s="2">
        <f t="shared" ca="1" si="1389"/>
        <v>6010833.2615220873</v>
      </c>
      <c r="AB1425" s="2">
        <f t="shared" ca="1" si="1390"/>
        <v>6238964.5786532797</v>
      </c>
      <c r="AC1425" s="2">
        <f t="shared" ca="1" si="1391"/>
        <v>6415730.7588437321</v>
      </c>
      <c r="AD1425" s="2">
        <f t="shared" ca="1" si="1392"/>
        <v>6597505.1871281127</v>
      </c>
      <c r="AE1425" s="2">
        <f t="shared" ca="1" si="1393"/>
        <v>6784429.7602705155</v>
      </c>
      <c r="AF1425" s="2">
        <f t="shared" ca="1" si="1394"/>
        <v>978374.12783306744</v>
      </c>
      <c r="AG1425" s="2">
        <f t="shared" ca="1" si="1395"/>
        <v>1006094.0251323639</v>
      </c>
      <c r="AH1425" s="2">
        <f t="shared" ca="1" si="1396"/>
        <v>1034599.2996042818</v>
      </c>
      <c r="AI1425" s="2">
        <f t="shared" ca="1" si="1397"/>
        <v>1063912.20303773</v>
      </c>
      <c r="AJ1425" s="2">
        <f t="shared" ca="1" si="1398"/>
        <v>1094055.6176729808</v>
      </c>
      <c r="AK1425" s="2">
        <f t="shared" ca="1" si="1399"/>
        <v>0</v>
      </c>
      <c r="AL1425" s="2">
        <f t="shared" ca="1" si="1400"/>
        <v>13859.948649648204</v>
      </c>
      <c r="AM1425" s="2">
        <f t="shared" ca="1" si="1401"/>
        <v>14252.63723595895</v>
      </c>
      <c r="AN1425" s="2">
        <f t="shared" ca="1" si="1402"/>
        <v>14656.451716724039</v>
      </c>
      <c r="AO1425" s="2">
        <f t="shared" ca="1" si="1403"/>
        <v>15071.707317625434</v>
      </c>
      <c r="AP1425" s="2">
        <f t="shared" ca="1" si="1404"/>
        <v>2090154.9022538688</v>
      </c>
      <c r="AQ1425" s="2">
        <f t="shared" ca="1" si="1405"/>
        <v>764999.10017313925</v>
      </c>
      <c r="AR1425" s="2">
        <f t="shared" ca="1" si="1406"/>
        <v>817106.06932943221</v>
      </c>
      <c r="AS1425" s="2">
        <f t="shared" ca="1" si="1407"/>
        <v>855653.90481625113</v>
      </c>
      <c r="AT1425" s="2">
        <f t="shared" ca="1" si="1408"/>
        <v>895293.90127749345</v>
      </c>
      <c r="AU1425" s="2">
        <f t="shared" ca="1" si="1409"/>
        <v>936057.00248935306</v>
      </c>
      <c r="AV1425" s="2">
        <f t="shared" ca="1" si="1410"/>
        <v>2177305.1312620118</v>
      </c>
      <c r="AW1425" s="2">
        <f t="shared" ca="1" si="1411"/>
        <v>2311749.6332879663</v>
      </c>
      <c r="AX1425" s="2">
        <f t="shared" ca="1" si="1412"/>
        <v>2421070.014933371</v>
      </c>
      <c r="AY1425" s="2">
        <f t="shared" ca="1" si="1413"/>
        <v>2533487.7288422957</v>
      </c>
      <c r="AZ1425" s="2">
        <f t="shared" ca="1" si="1414"/>
        <v>2649090.5305366879</v>
      </c>
      <c r="BA1425" s="2">
        <f t="shared" ca="1" si="1415"/>
        <v>51594775.675950021</v>
      </c>
      <c r="BB1425" s="2">
        <f t="shared" ca="1" si="1416"/>
        <v>1031895.5135190004</v>
      </c>
      <c r="BC1425" s="2">
        <f t="shared" ca="1" si="1417"/>
        <v>27338936.8040547</v>
      </c>
      <c r="BD1425" s="2">
        <f t="shared" ca="1" si="1418"/>
        <v>-16950293.21218323</v>
      </c>
      <c r="BE1425" s="2">
        <f t="shared" ca="1" si="1419"/>
        <v>2177305.1312620118</v>
      </c>
      <c r="BF1425" s="2">
        <f t="shared" ca="1" si="1420"/>
        <v>2311749.6332879663</v>
      </c>
      <c r="BG1425" s="2">
        <f t="shared" ca="1" si="1421"/>
        <v>2421070.014933371</v>
      </c>
      <c r="BH1425" s="2">
        <f t="shared" ca="1" si="1422"/>
        <v>2533487.7288422957</v>
      </c>
      <c r="BI1425" s="2">
        <f t="shared" ca="1" si="1423"/>
        <v>29988027.334591389</v>
      </c>
      <c r="BJ1425" s="2">
        <f t="shared" ca="1" si="1424"/>
        <v>0.21929370981455376</v>
      </c>
      <c r="BK1425" s="2">
        <f t="shared" ca="1" si="1425"/>
        <v>7186001.0085011125</v>
      </c>
    </row>
    <row r="1426" spans="1:63" x14ac:dyDescent="0.3">
      <c r="A1426" s="2">
        <v>1425</v>
      </c>
      <c r="B1426" s="2">
        <f t="shared" ca="1" si="1364"/>
        <v>0.47125598290307513</v>
      </c>
      <c r="C1426" s="2">
        <f t="shared" ca="1" si="1365"/>
        <v>6.9708305546315223</v>
      </c>
      <c r="D1426" s="2">
        <f t="shared" ca="1" si="1366"/>
        <v>0.35835090852781004</v>
      </c>
      <c r="E1426" s="2">
        <f t="shared" ca="1" si="1367"/>
        <v>7.3465824337036647</v>
      </c>
      <c r="F1426" s="2">
        <f t="shared" ca="1" si="1368"/>
        <v>0.34917953717534245</v>
      </c>
      <c r="G1426" s="2">
        <f t="shared" ca="1" si="1369"/>
        <v>2.8373905226920924E-2</v>
      </c>
      <c r="H1426" s="2">
        <f t="shared" ca="1" si="1370"/>
        <v>2.8373905226920924E-2</v>
      </c>
      <c r="I1426" s="2">
        <f t="shared" ca="1" si="1371"/>
        <v>0.8676586273883532</v>
      </c>
      <c r="J1426" s="2">
        <f t="shared" ca="1" si="1372"/>
        <v>1.5576956860177226E-2</v>
      </c>
      <c r="K1426" s="2">
        <f t="shared" ca="1" si="1373"/>
        <v>1.5576956860177226E-2</v>
      </c>
      <c r="L1426" s="2">
        <f t="shared" ca="1" si="1374"/>
        <v>0.11696562033097546</v>
      </c>
      <c r="M1426" s="2">
        <f t="shared" ca="1" si="1375"/>
        <v>-2.3805860531826796E-2</v>
      </c>
      <c r="N1426" s="2">
        <f t="shared" ca="1" si="1376"/>
        <v>-2.3805860531826796E-2</v>
      </c>
      <c r="O1426" s="2">
        <f t="shared" si="1377"/>
        <v>6000000</v>
      </c>
      <c r="P1426" s="2">
        <f t="shared" ca="1" si="1378"/>
        <v>41824983.327789135</v>
      </c>
      <c r="Q1426" s="2">
        <f t="shared" ca="1" si="1379"/>
        <v>1045624.5831947285</v>
      </c>
      <c r="R1426" s="2">
        <f t="shared" ca="1" si="1380"/>
        <v>25094989.99667348</v>
      </c>
      <c r="S1426" s="2">
        <f t="shared" ca="1" si="1381"/>
        <v>16729993.331115656</v>
      </c>
      <c r="T1426" s="2">
        <f t="shared" ca="1" si="1382"/>
        <v>48809706.973408662</v>
      </c>
      <c r="U1426" s="2">
        <f t="shared" ca="1" si="1383"/>
        <v>50194628.973225944</v>
      </c>
      <c r="V1426" s="2">
        <f t="shared" ca="1" si="1384"/>
        <v>51618846.618612714</v>
      </c>
      <c r="W1426" s="2">
        <f t="shared" ca="1" si="1385"/>
        <v>53083474.880492203</v>
      </c>
      <c r="X1426" s="2">
        <f t="shared" ca="1" si="1386"/>
        <v>54589660.365866929</v>
      </c>
      <c r="Y1426" s="2">
        <f t="shared" ca="1" si="1387"/>
        <v>0.12778847843008861</v>
      </c>
      <c r="Z1426" s="2">
        <f t="shared" ca="1" si="1388"/>
        <v>0.13090386980212404</v>
      </c>
      <c r="AA1426" s="2">
        <f t="shared" ca="1" si="1389"/>
        <v>6237318.1867503785</v>
      </c>
      <c r="AB1426" s="2">
        <f t="shared" ca="1" si="1390"/>
        <v>6570671.1758770924</v>
      </c>
      <c r="AC1426" s="2">
        <f t="shared" ca="1" si="1391"/>
        <v>6757106.7770986892</v>
      </c>
      <c r="AD1426" s="2">
        <f t="shared" ca="1" si="1392"/>
        <v>6948832.2844002731</v>
      </c>
      <c r="AE1426" s="2">
        <f t="shared" ca="1" si="1393"/>
        <v>7145997.7930756155</v>
      </c>
      <c r="AF1426" s="2">
        <f t="shared" ca="1" si="1394"/>
        <v>976194.13946817326</v>
      </c>
      <c r="AG1426" s="2">
        <f t="shared" ca="1" si="1395"/>
        <v>1003892.5794645189</v>
      </c>
      <c r="AH1426" s="2">
        <f t="shared" ca="1" si="1396"/>
        <v>1032376.9323722543</v>
      </c>
      <c r="AI1426" s="2">
        <f t="shared" ca="1" si="1397"/>
        <v>1061669.497609844</v>
      </c>
      <c r="AJ1426" s="2">
        <f t="shared" ca="1" si="1398"/>
        <v>1091793.2073173386</v>
      </c>
      <c r="AK1426" s="2">
        <f t="shared" ca="1" si="1399"/>
        <v>0</v>
      </c>
      <c r="AL1426" s="2">
        <f t="shared" ca="1" si="1400"/>
        <v>13849.219998172819</v>
      </c>
      <c r="AM1426" s="2">
        <f t="shared" ca="1" si="1401"/>
        <v>14242.176453867703</v>
      </c>
      <c r="AN1426" s="2">
        <f t="shared" ca="1" si="1402"/>
        <v>14646.282618794889</v>
      </c>
      <c r="AO1426" s="2">
        <f t="shared" ca="1" si="1403"/>
        <v>15061.854853747263</v>
      </c>
      <c r="AP1426" s="2">
        <f t="shared" ca="1" si="1404"/>
        <v>2258549.0997006129</v>
      </c>
      <c r="AQ1426" s="2">
        <f t="shared" ca="1" si="1405"/>
        <v>780669.48637121392</v>
      </c>
      <c r="AR1426" s="2">
        <f t="shared" ca="1" si="1406"/>
        <v>860139.6691451096</v>
      </c>
      <c r="AS1426" s="2">
        <f t="shared" ca="1" si="1407"/>
        <v>901206.99370671378</v>
      </c>
      <c r="AT1426" s="2">
        <f t="shared" ca="1" si="1408"/>
        <v>943439.55864335212</v>
      </c>
      <c r="AU1426" s="2">
        <f t="shared" ca="1" si="1409"/>
        <v>986870.4263749927</v>
      </c>
      <c r="AV1426" s="2">
        <f t="shared" ca="1" si="1410"/>
        <v>2221905.4612103784</v>
      </c>
      <c r="AW1426" s="2">
        <f t="shared" ca="1" si="1411"/>
        <v>2434240.6075686775</v>
      </c>
      <c r="AX1426" s="2">
        <f t="shared" ca="1" si="1412"/>
        <v>2550731.5748652406</v>
      </c>
      <c r="AY1426" s="2">
        <f t="shared" ca="1" si="1413"/>
        <v>2670527.8458276689</v>
      </c>
      <c r="AZ1426" s="2">
        <f t="shared" ca="1" si="1414"/>
        <v>2793723.2048289245</v>
      </c>
      <c r="BA1426" s="2">
        <f t="shared" ca="1" si="1415"/>
        <v>52498661.857894473</v>
      </c>
      <c r="BB1426" s="2">
        <f t="shared" ca="1" si="1416"/>
        <v>1049973.2371578894</v>
      </c>
      <c r="BC1426" s="2">
        <f t="shared" ca="1" si="1417"/>
        <v>26353698.624063104</v>
      </c>
      <c r="BD1426" s="2">
        <f t="shared" ca="1" si="1418"/>
        <v>-18275617.914310385</v>
      </c>
      <c r="BE1426" s="2">
        <f t="shared" ca="1" si="1419"/>
        <v>2221905.4612103784</v>
      </c>
      <c r="BF1426" s="2">
        <f t="shared" ca="1" si="1420"/>
        <v>2434240.6075686775</v>
      </c>
      <c r="BG1426" s="2">
        <f t="shared" ca="1" si="1421"/>
        <v>2550731.5748652406</v>
      </c>
      <c r="BH1426" s="2">
        <f t="shared" ca="1" si="1422"/>
        <v>2670527.8458276689</v>
      </c>
      <c r="BI1426" s="2">
        <f t="shared" ca="1" si="1423"/>
        <v>29147421.82889203</v>
      </c>
      <c r="BJ1426" s="2">
        <f t="shared" ca="1" si="1424"/>
        <v>0.19585539936287355</v>
      </c>
      <c r="BK1426" s="2">
        <f t="shared" ca="1" si="1425"/>
        <v>5700546.9543663524</v>
      </c>
    </row>
    <row r="1427" spans="1:63" x14ac:dyDescent="0.3">
      <c r="A1427" s="2">
        <v>1426</v>
      </c>
      <c r="B1427" s="2">
        <f t="shared" ca="1" si="1364"/>
        <v>4.0365712415215138E-2</v>
      </c>
      <c r="C1427" s="2">
        <f t="shared" ca="1" si="1365"/>
        <v>6.2841327591644971</v>
      </c>
      <c r="D1427" s="2">
        <f t="shared" ca="1" si="1366"/>
        <v>0.65569364389516616</v>
      </c>
      <c r="E1427" s="2">
        <f t="shared" ca="1" si="1367"/>
        <v>7.6701730829807531</v>
      </c>
      <c r="F1427" s="2">
        <f t="shared" ca="1" si="1368"/>
        <v>0.1329817534951393</v>
      </c>
      <c r="G1427" s="2">
        <f t="shared" ca="1" si="1369"/>
        <v>6.6278116905581358E-3</v>
      </c>
      <c r="H1427" s="2">
        <f t="shared" ca="1" si="1370"/>
        <v>6.6278116905581358E-3</v>
      </c>
      <c r="I1427" s="2">
        <f t="shared" ca="1" si="1371"/>
        <v>0.33001617125815397</v>
      </c>
      <c r="J1427" s="2">
        <f t="shared" ca="1" si="1372"/>
        <v>7.8006574376368702E-3</v>
      </c>
      <c r="K1427" s="2">
        <f t="shared" ca="1" si="1373"/>
        <v>7.8006574376368702E-3</v>
      </c>
      <c r="L1427" s="2">
        <f t="shared" ca="1" si="1374"/>
        <v>0.14444281650677482</v>
      </c>
      <c r="M1427" s="2">
        <f t="shared" ca="1" si="1375"/>
        <v>-2.1211388091031132E-2</v>
      </c>
      <c r="N1427" s="2">
        <f t="shared" ca="1" si="1376"/>
        <v>-2.1211388091031132E-2</v>
      </c>
      <c r="O1427" s="2">
        <f t="shared" si="1377"/>
        <v>6000000</v>
      </c>
      <c r="P1427" s="2">
        <f t="shared" ca="1" si="1378"/>
        <v>37704796.554986984</v>
      </c>
      <c r="Q1427" s="2">
        <f t="shared" ca="1" si="1379"/>
        <v>942619.91387467459</v>
      </c>
      <c r="R1427" s="2">
        <f t="shared" ca="1" si="1380"/>
        <v>22622877.93299219</v>
      </c>
      <c r="S1427" s="2">
        <f t="shared" ca="1" si="1381"/>
        <v>15081918.621994793</v>
      </c>
      <c r="T1427" s="2">
        <f t="shared" ca="1" si="1382"/>
        <v>48939430.595448442</v>
      </c>
      <c r="U1427" s="2">
        <f t="shared" ca="1" si="1383"/>
        <v>49263791.925678208</v>
      </c>
      <c r="V1427" s="2">
        <f t="shared" ca="1" si="1384"/>
        <v>49590303.061724439</v>
      </c>
      <c r="W1427" s="2">
        <f t="shared" ca="1" si="1385"/>
        <v>49918978.252095252</v>
      </c>
      <c r="X1427" s="2">
        <f t="shared" ca="1" si="1386"/>
        <v>50249831.839735202</v>
      </c>
      <c r="Y1427" s="2">
        <f t="shared" ca="1" si="1387"/>
        <v>0.12390032871881843</v>
      </c>
      <c r="Z1427" s="2">
        <f t="shared" ca="1" si="1388"/>
        <v>0.1254604602063458</v>
      </c>
      <c r="AA1427" s="2">
        <f t="shared" ca="1" si="1389"/>
        <v>6063611.5380878616</v>
      </c>
      <c r="AB1427" s="2">
        <f t="shared" ca="1" si="1390"/>
        <v>6180658.00650525</v>
      </c>
      <c r="AC1427" s="2">
        <f t="shared" ca="1" si="1391"/>
        <v>6221622.2438961072</v>
      </c>
      <c r="AD1427" s="2">
        <f t="shared" ca="1" si="1392"/>
        <v>6262857.9845384378</v>
      </c>
      <c r="AE1427" s="2">
        <f t="shared" ca="1" si="1393"/>
        <v>6304367.027904666</v>
      </c>
      <c r="AF1427" s="2">
        <f t="shared" ca="1" si="1394"/>
        <v>978788.61190896889</v>
      </c>
      <c r="AG1427" s="2">
        <f t="shared" ca="1" si="1395"/>
        <v>985275.8385135642</v>
      </c>
      <c r="AH1427" s="2">
        <f t="shared" ca="1" si="1396"/>
        <v>991806.06123448885</v>
      </c>
      <c r="AI1427" s="2">
        <f t="shared" ca="1" si="1397"/>
        <v>998379.56504190504</v>
      </c>
      <c r="AJ1427" s="2">
        <f t="shared" ca="1" si="1398"/>
        <v>1004996.636794704</v>
      </c>
      <c r="AK1427" s="2">
        <f t="shared" ca="1" si="1399"/>
        <v>0</v>
      </c>
      <c r="AL1427" s="2">
        <f t="shared" ca="1" si="1400"/>
        <v>3243.6133022976669</v>
      </c>
      <c r="AM1427" s="2">
        <f t="shared" ca="1" si="1401"/>
        <v>3265.1113604623079</v>
      </c>
      <c r="AN1427" s="2">
        <f t="shared" ca="1" si="1402"/>
        <v>3286.7519037081302</v>
      </c>
      <c r="AO1427" s="2">
        <f t="shared" ca="1" si="1403"/>
        <v>3308.5358763995023</v>
      </c>
      <c r="AP1427" s="2">
        <f t="shared" ca="1" si="1404"/>
        <v>2036059.0139692971</v>
      </c>
      <c r="AQ1427" s="2">
        <f t="shared" ca="1" si="1405"/>
        <v>792678.61717449501</v>
      </c>
      <c r="AR1427" s="2">
        <f t="shared" ca="1" si="1406"/>
        <v>821424.02004582109</v>
      </c>
      <c r="AS1427" s="2">
        <f t="shared" ca="1" si="1407"/>
        <v>830376.86386000353</v>
      </c>
      <c r="AT1427" s="2">
        <f t="shared" ca="1" si="1408"/>
        <v>839389.04543708125</v>
      </c>
      <c r="AU1427" s="2">
        <f t="shared" ca="1" si="1409"/>
        <v>848460.95805657294</v>
      </c>
      <c r="AV1427" s="2">
        <f t="shared" ca="1" si="1410"/>
        <v>2256085.295035101</v>
      </c>
      <c r="AW1427" s="2">
        <f t="shared" ca="1" si="1411"/>
        <v>2334655.5206742692</v>
      </c>
      <c r="AX1427" s="2">
        <f t="shared" ca="1" si="1412"/>
        <v>2360115.193471855</v>
      </c>
      <c r="AY1427" s="2">
        <f t="shared" ca="1" si="1413"/>
        <v>2385743.6081864457</v>
      </c>
      <c r="AZ1427" s="2">
        <f t="shared" ca="1" si="1414"/>
        <v>2411541.8832076923</v>
      </c>
      <c r="BA1427" s="2">
        <f t="shared" ca="1" si="1415"/>
        <v>48355586.282665737</v>
      </c>
      <c r="BB1427" s="2">
        <f t="shared" ca="1" si="1416"/>
        <v>967111.72565331473</v>
      </c>
      <c r="BC1427" s="2">
        <f t="shared" ca="1" si="1417"/>
        <v>24765596.624020234</v>
      </c>
      <c r="BD1427" s="2">
        <f t="shared" ca="1" si="1418"/>
        <v>-16524538.535869468</v>
      </c>
      <c r="BE1427" s="2">
        <f t="shared" ca="1" si="1419"/>
        <v>2256085.295035101</v>
      </c>
      <c r="BF1427" s="2">
        <f t="shared" ca="1" si="1420"/>
        <v>2334655.5206742692</v>
      </c>
      <c r="BG1427" s="2">
        <f t="shared" ca="1" si="1421"/>
        <v>2360115.193471855</v>
      </c>
      <c r="BH1427" s="2">
        <f t="shared" ca="1" si="1422"/>
        <v>2385743.6081864457</v>
      </c>
      <c r="BI1427" s="2">
        <f t="shared" ca="1" si="1423"/>
        <v>27177138.507227927</v>
      </c>
      <c r="BJ1427" s="2">
        <f t="shared" ca="1" si="1424"/>
        <v>0.20740335412695909</v>
      </c>
      <c r="BK1427" s="2">
        <f t="shared" ca="1" si="1425"/>
        <v>5968101.243273858</v>
      </c>
    </row>
    <row r="1428" spans="1:63" x14ac:dyDescent="0.3">
      <c r="A1428" s="2">
        <v>1427</v>
      </c>
      <c r="B1428" s="2">
        <f t="shared" ca="1" si="1364"/>
        <v>0.57365642223603119</v>
      </c>
      <c r="C1428" s="2">
        <f t="shared" ca="1" si="1365"/>
        <v>7.0765893895303469</v>
      </c>
      <c r="D1428" s="2">
        <f t="shared" ca="1" si="1366"/>
        <v>0.16538516142031745</v>
      </c>
      <c r="E1428" s="2">
        <f t="shared" ca="1" si="1367"/>
        <v>7.0751263538046532</v>
      </c>
      <c r="F1428" s="2">
        <f t="shared" ca="1" si="1368"/>
        <v>0.13047397670926186</v>
      </c>
      <c r="G1428" s="2">
        <f t="shared" ca="1" si="1369"/>
        <v>6.2753979120065764E-3</v>
      </c>
      <c r="H1428" s="2">
        <f t="shared" ca="1" si="1370"/>
        <v>6.2753979120065764E-3</v>
      </c>
      <c r="I1428" s="2">
        <f t="shared" ca="1" si="1371"/>
        <v>0.46705196341521726</v>
      </c>
      <c r="J1428" s="2">
        <f t="shared" ca="1" si="1372"/>
        <v>9.5865870386687459E-3</v>
      </c>
      <c r="K1428" s="2">
        <f t="shared" ca="1" si="1373"/>
        <v>9.5865870386687459E-3</v>
      </c>
      <c r="L1428" s="2">
        <f t="shared" ca="1" si="1374"/>
        <v>0.67616117629371519</v>
      </c>
      <c r="M1428" s="2">
        <f t="shared" ca="1" si="1375"/>
        <v>9.1398162998231353E-3</v>
      </c>
      <c r="N1428" s="2">
        <f t="shared" ca="1" si="1376"/>
        <v>9.1398162998231353E-3</v>
      </c>
      <c r="O1428" s="2">
        <f t="shared" si="1377"/>
        <v>6000000</v>
      </c>
      <c r="P1428" s="2">
        <f t="shared" ca="1" si="1378"/>
        <v>42459536.337182082</v>
      </c>
      <c r="Q1428" s="2">
        <f t="shared" ca="1" si="1379"/>
        <v>1061488.4084295521</v>
      </c>
      <c r="R1428" s="2">
        <f t="shared" ca="1" si="1380"/>
        <v>25475721.802309249</v>
      </c>
      <c r="S1428" s="2">
        <f t="shared" ca="1" si="1381"/>
        <v>16983814.534872834</v>
      </c>
      <c r="T1428" s="2">
        <f t="shared" ca="1" si="1382"/>
        <v>50456990.814991154</v>
      </c>
      <c r="U1428" s="2">
        <f t="shared" ca="1" si="1383"/>
        <v>50773628.509797677</v>
      </c>
      <c r="V1428" s="2">
        <f t="shared" ca="1" si="1384"/>
        <v>51092253.232133053</v>
      </c>
      <c r="W1428" s="2">
        <f t="shared" ca="1" si="1385"/>
        <v>51412877.451385684</v>
      </c>
      <c r="X1428" s="2">
        <f t="shared" ca="1" si="1386"/>
        <v>51735513.715194352</v>
      </c>
      <c r="Y1428" s="2">
        <f t="shared" ca="1" si="1387"/>
        <v>0.12479329351933437</v>
      </c>
      <c r="Z1428" s="2">
        <f t="shared" ca="1" si="1388"/>
        <v>0.12671061092706812</v>
      </c>
      <c r="AA1428" s="2">
        <f t="shared" ca="1" si="1389"/>
        <v>6296694.0648775492</v>
      </c>
      <c r="AB1428" s="2">
        <f t="shared" ca="1" si="1390"/>
        <v>6433557.487460467</v>
      </c>
      <c r="AC1428" s="2">
        <f t="shared" ca="1" si="1391"/>
        <v>6473930.62068405</v>
      </c>
      <c r="AD1428" s="2">
        <f t="shared" ca="1" si="1392"/>
        <v>6514557.1113835648</v>
      </c>
      <c r="AE1428" s="2">
        <f t="shared" ca="1" si="1393"/>
        <v>6555438.5494779879</v>
      </c>
      <c r="AF1428" s="2">
        <f t="shared" ca="1" si="1394"/>
        <v>1009139.8162998231</v>
      </c>
      <c r="AG1428" s="2">
        <f t="shared" ca="1" si="1395"/>
        <v>1015472.5701959536</v>
      </c>
      <c r="AH1428" s="2">
        <f t="shared" ca="1" si="1396"/>
        <v>1021845.0646426611</v>
      </c>
      <c r="AI1428" s="2">
        <f t="shared" ca="1" si="1397"/>
        <v>1028257.5490277137</v>
      </c>
      <c r="AJ1428" s="2">
        <f t="shared" ca="1" si="1398"/>
        <v>1034710.274303887</v>
      </c>
      <c r="AK1428" s="2">
        <f t="shared" ca="1" si="1399"/>
        <v>0</v>
      </c>
      <c r="AL1428" s="2">
        <f t="shared" ca="1" si="1400"/>
        <v>3166.3769480652363</v>
      </c>
      <c r="AM1428" s="2">
        <f t="shared" ca="1" si="1401"/>
        <v>3186.2472233537587</v>
      </c>
      <c r="AN1428" s="2">
        <f t="shared" ca="1" si="1402"/>
        <v>3206.2421925263106</v>
      </c>
      <c r="AO1428" s="2">
        <f t="shared" ca="1" si="1403"/>
        <v>3226.3626380866767</v>
      </c>
      <c r="AP1428" s="2">
        <f t="shared" ca="1" si="1404"/>
        <v>2292814.9622078324</v>
      </c>
      <c r="AQ1428" s="2">
        <f t="shared" ca="1" si="1405"/>
        <v>778632.21445617243</v>
      </c>
      <c r="AR1428" s="2">
        <f t="shared" ca="1" si="1406"/>
        <v>812570.18831473717</v>
      </c>
      <c r="AS1428" s="2">
        <f t="shared" ca="1" si="1407"/>
        <v>821410.35439672472</v>
      </c>
      <c r="AT1428" s="2">
        <f t="shared" ca="1" si="1408"/>
        <v>830305.99603848485</v>
      </c>
      <c r="AU1428" s="2">
        <f t="shared" ca="1" si="1409"/>
        <v>839257.46137122985</v>
      </c>
      <c r="AV1428" s="2">
        <f t="shared" ca="1" si="1410"/>
        <v>2216107.071913721</v>
      </c>
      <c r="AW1428" s="2">
        <f t="shared" ca="1" si="1411"/>
        <v>2309533.3897938794</v>
      </c>
      <c r="AX1428" s="2">
        <f t="shared" ca="1" si="1412"/>
        <v>2334673.9922134774</v>
      </c>
      <c r="AY1428" s="2">
        <f t="shared" ca="1" si="1413"/>
        <v>2359972.3619170068</v>
      </c>
      <c r="AZ1428" s="2">
        <f t="shared" ca="1" si="1414"/>
        <v>2385429.4889569515</v>
      </c>
      <c r="BA1428" s="2">
        <f t="shared" ca="1" si="1415"/>
        <v>46380556.042158663</v>
      </c>
      <c r="BB1428" s="2">
        <f t="shared" ca="1" si="1416"/>
        <v>927611.12084317324</v>
      </c>
      <c r="BC1428" s="2">
        <f t="shared" ca="1" si="1417"/>
        <v>19977223.119006243</v>
      </c>
      <c r="BD1428" s="2">
        <f t="shared" ca="1" si="1418"/>
        <v>-18545302.943302386</v>
      </c>
      <c r="BE1428" s="2">
        <f t="shared" ca="1" si="1419"/>
        <v>2216107.071913721</v>
      </c>
      <c r="BF1428" s="2">
        <f t="shared" ca="1" si="1420"/>
        <v>2309533.3897938794</v>
      </c>
      <c r="BG1428" s="2">
        <f t="shared" ca="1" si="1421"/>
        <v>2334673.9922134774</v>
      </c>
      <c r="BH1428" s="2">
        <f t="shared" ca="1" si="1422"/>
        <v>2359972.3619170068</v>
      </c>
      <c r="BI1428" s="2">
        <f t="shared" ca="1" si="1423"/>
        <v>22362652.607963193</v>
      </c>
      <c r="BJ1428" s="2">
        <f t="shared" ca="1" si="1424"/>
        <v>0.13638090024154392</v>
      </c>
      <c r="BK1428" s="2">
        <f t="shared" ca="1" si="1425"/>
        <v>1125259.5516744703</v>
      </c>
    </row>
    <row r="1429" spans="1:63" x14ac:dyDescent="0.3">
      <c r="A1429" s="2">
        <v>1428</v>
      </c>
      <c r="B1429" s="2">
        <f t="shared" ca="1" si="1364"/>
        <v>0.74482102351659207</v>
      </c>
      <c r="C1429" s="2">
        <f t="shared" ca="1" si="1365"/>
        <v>7.2856065839001483</v>
      </c>
      <c r="D1429" s="2">
        <f t="shared" ca="1" si="1366"/>
        <v>0.77550117332120505</v>
      </c>
      <c r="E1429" s="2">
        <f t="shared" ca="1" si="1367"/>
        <v>7.8299271283229039</v>
      </c>
      <c r="F1429" s="2">
        <f t="shared" ca="1" si="1368"/>
        <v>6.1598780154651367E-3</v>
      </c>
      <c r="G1429" s="2">
        <f t="shared" ca="1" si="1369"/>
        <v>-3.5085515972876895E-2</v>
      </c>
      <c r="H1429" s="2">
        <f t="shared" ca="1" si="1370"/>
        <v>-0.02</v>
      </c>
      <c r="I1429" s="2">
        <f t="shared" ca="1" si="1371"/>
        <v>0.20005652103229932</v>
      </c>
      <c r="J1429" s="2">
        <f t="shared" ca="1" si="1372"/>
        <v>5.7929031878239156E-3</v>
      </c>
      <c r="K1429" s="2">
        <f t="shared" ca="1" si="1373"/>
        <v>5.7929031878239156E-3</v>
      </c>
      <c r="L1429" s="2">
        <f t="shared" ca="1" si="1374"/>
        <v>0.79950253870214572</v>
      </c>
      <c r="M1429" s="2">
        <f t="shared" ca="1" si="1375"/>
        <v>1.6796913416212145E-2</v>
      </c>
      <c r="N1429" s="2">
        <f t="shared" ca="1" si="1376"/>
        <v>1.6796913416212145E-2</v>
      </c>
      <c r="O1429" s="2">
        <f t="shared" si="1377"/>
        <v>6000000</v>
      </c>
      <c r="P1429" s="2">
        <f t="shared" ca="1" si="1378"/>
        <v>43713639.503400892</v>
      </c>
      <c r="Q1429" s="2">
        <f t="shared" ca="1" si="1379"/>
        <v>1092840.9875850223</v>
      </c>
      <c r="R1429" s="2">
        <f t="shared" ca="1" si="1380"/>
        <v>26228183.702040534</v>
      </c>
      <c r="S1429" s="2">
        <f t="shared" ca="1" si="1381"/>
        <v>17485455.801360358</v>
      </c>
      <c r="T1429" s="2">
        <f t="shared" ca="1" si="1382"/>
        <v>50839845.67081061</v>
      </c>
      <c r="U1429" s="2">
        <f t="shared" ca="1" si="1383"/>
        <v>49823048.757394396</v>
      </c>
      <c r="V1429" s="2">
        <f t="shared" ca="1" si="1384"/>
        <v>48826587.782246508</v>
      </c>
      <c r="W1429" s="2">
        <f t="shared" ca="1" si="1385"/>
        <v>47850056.026601575</v>
      </c>
      <c r="X1429" s="2">
        <f t="shared" ca="1" si="1386"/>
        <v>46893054.906069539</v>
      </c>
      <c r="Y1429" s="2">
        <f t="shared" ca="1" si="1387"/>
        <v>0.12289645159391195</v>
      </c>
      <c r="Z1429" s="2">
        <f t="shared" ca="1" si="1388"/>
        <v>0.12405503223147674</v>
      </c>
      <c r="AA1429" s="2">
        <f t="shared" ca="1" si="1389"/>
        <v>6248036.6325247306</v>
      </c>
      <c r="AB1429" s="2">
        <f t="shared" ca="1" si="1390"/>
        <v>6180799.9194689989</v>
      </c>
      <c r="AC1429" s="2">
        <f t="shared" ca="1" si="1391"/>
        <v>6057183.9210796189</v>
      </c>
      <c r="AD1429" s="2">
        <f t="shared" ca="1" si="1392"/>
        <v>5936040.2426580265</v>
      </c>
      <c r="AE1429" s="2">
        <f t="shared" ca="1" si="1393"/>
        <v>5817319.4378048647</v>
      </c>
      <c r="AF1429" s="2">
        <f t="shared" ca="1" si="1394"/>
        <v>1016796.9134162122</v>
      </c>
      <c r="AG1429" s="2">
        <f t="shared" ca="1" si="1395"/>
        <v>996460.97514788795</v>
      </c>
      <c r="AH1429" s="2">
        <f t="shared" ca="1" si="1396"/>
        <v>976531.75564493018</v>
      </c>
      <c r="AI1429" s="2">
        <f t="shared" ca="1" si="1397"/>
        <v>957001.12053203152</v>
      </c>
      <c r="AJ1429" s="2">
        <f t="shared" ca="1" si="1398"/>
        <v>937861.09812139079</v>
      </c>
      <c r="AK1429" s="2">
        <f t="shared" ca="1" si="1399"/>
        <v>0</v>
      </c>
      <c r="AL1429" s="2">
        <f t="shared" ca="1" si="1400"/>
        <v>0</v>
      </c>
      <c r="AM1429" s="2">
        <f t="shared" ca="1" si="1401"/>
        <v>0</v>
      </c>
      <c r="AN1429" s="2">
        <f t="shared" ca="1" si="1402"/>
        <v>0</v>
      </c>
      <c r="AO1429" s="2">
        <f t="shared" ca="1" si="1403"/>
        <v>0</v>
      </c>
      <c r="AP1429" s="2">
        <f t="shared" ca="1" si="1404"/>
        <v>2360536.5331836478</v>
      </c>
      <c r="AQ1429" s="2">
        <f t="shared" ca="1" si="1405"/>
        <v>746382.82834046637</v>
      </c>
      <c r="AR1429" s="2">
        <f t="shared" ca="1" si="1406"/>
        <v>734188.6268957404</v>
      </c>
      <c r="AS1429" s="2">
        <f t="shared" ca="1" si="1407"/>
        <v>707230.06438527058</v>
      </c>
      <c r="AT1429" s="2">
        <f t="shared" ca="1" si="1408"/>
        <v>680810.67312501033</v>
      </c>
      <c r="AU1429" s="2">
        <f t="shared" ca="1" si="1409"/>
        <v>654919.66968995484</v>
      </c>
      <c r="AV1429" s="2">
        <f t="shared" ca="1" si="1410"/>
        <v>2124320.3575844043</v>
      </c>
      <c r="AW1429" s="2">
        <f t="shared" ca="1" si="1411"/>
        <v>2089613.7842417224</v>
      </c>
      <c r="AX1429" s="2">
        <f t="shared" ca="1" si="1412"/>
        <v>2012885.5678657698</v>
      </c>
      <c r="AY1429" s="2">
        <f t="shared" ca="1" si="1413"/>
        <v>1937691.9158173376</v>
      </c>
      <c r="AZ1429" s="2">
        <f t="shared" ca="1" si="1414"/>
        <v>1864002.1368098711</v>
      </c>
      <c r="BA1429" s="2">
        <f t="shared" ca="1" si="1415"/>
        <v>45549187.280188456</v>
      </c>
      <c r="BB1429" s="2">
        <f t="shared" ca="1" si="1416"/>
        <v>910983.74560376909</v>
      </c>
      <c r="BC1429" s="2">
        <f t="shared" ca="1" si="1417"/>
        <v>18410019.832544152</v>
      </c>
      <c r="BD1429" s="2">
        <f t="shared" ca="1" si="1418"/>
        <v>-19078296.788945381</v>
      </c>
      <c r="BE1429" s="2">
        <f t="shared" ca="1" si="1419"/>
        <v>2124320.3575844043</v>
      </c>
      <c r="BF1429" s="2">
        <f t="shared" ca="1" si="1420"/>
        <v>2089613.7842417224</v>
      </c>
      <c r="BG1429" s="2">
        <f t="shared" ca="1" si="1421"/>
        <v>2012885.5678657698</v>
      </c>
      <c r="BH1429" s="2">
        <f t="shared" ca="1" si="1422"/>
        <v>1937691.9158173376</v>
      </c>
      <c r="BI1429" s="2">
        <f t="shared" ca="1" si="1423"/>
        <v>20274021.969354022</v>
      </c>
      <c r="BJ1429" s="2">
        <f t="shared" ca="1" si="1424"/>
        <v>0.10005925998503851</v>
      </c>
      <c r="BK1429" s="2">
        <f t="shared" ca="1" si="1425"/>
        <v>-1347559.8986788876</v>
      </c>
    </row>
    <row r="1430" spans="1:63" x14ac:dyDescent="0.3">
      <c r="A1430" s="2">
        <v>1429</v>
      </c>
      <c r="B1430" s="2">
        <f t="shared" ca="1" si="1364"/>
        <v>0.94801977415405791</v>
      </c>
      <c r="C1430" s="2">
        <f t="shared" ca="1" si="1365"/>
        <v>7.6775710129472161</v>
      </c>
      <c r="D1430" s="2">
        <f t="shared" ca="1" si="1366"/>
        <v>8.1343991943359173E-2</v>
      </c>
      <c r="E1430" s="2">
        <f t="shared" ca="1" si="1367"/>
        <v>6.9033459853360615</v>
      </c>
      <c r="F1430" s="2">
        <f t="shared" ca="1" si="1368"/>
        <v>0.74058665118394396</v>
      </c>
      <c r="G1430" s="2">
        <f t="shared" ca="1" si="1369"/>
        <v>5.935465217595709E-2</v>
      </c>
      <c r="H1430" s="2">
        <f t="shared" ca="1" si="1370"/>
        <v>5.935465217595709E-2</v>
      </c>
      <c r="I1430" s="2">
        <f t="shared" ca="1" si="1371"/>
        <v>0.21808545087196041</v>
      </c>
      <c r="J1430" s="2">
        <f t="shared" ca="1" si="1372"/>
        <v>6.1066225842169464E-3</v>
      </c>
      <c r="K1430" s="2">
        <f t="shared" ca="1" si="1373"/>
        <v>6.1066225842169464E-3</v>
      </c>
      <c r="L1430" s="2">
        <f t="shared" ca="1" si="1374"/>
        <v>0.20874564880564883</v>
      </c>
      <c r="M1430" s="2">
        <f t="shared" ca="1" si="1375"/>
        <v>-1.6215625219955909E-2</v>
      </c>
      <c r="N1430" s="2">
        <f t="shared" ca="1" si="1376"/>
        <v>-1.6215625219955909E-2</v>
      </c>
      <c r="O1430" s="2">
        <f t="shared" si="1377"/>
        <v>6000000</v>
      </c>
      <c r="P1430" s="2">
        <f t="shared" ca="1" si="1378"/>
        <v>46065426.0776833</v>
      </c>
      <c r="Q1430" s="2">
        <f t="shared" ca="1" si="1379"/>
        <v>1151635.6519420824</v>
      </c>
      <c r="R1430" s="2">
        <f t="shared" ca="1" si="1380"/>
        <v>27639255.646609981</v>
      </c>
      <c r="S1430" s="2">
        <f t="shared" ca="1" si="1381"/>
        <v>18426170.431073319</v>
      </c>
      <c r="T1430" s="2">
        <f t="shared" ca="1" si="1382"/>
        <v>49189218.739002205</v>
      </c>
      <c r="U1430" s="2">
        <f t="shared" ca="1" si="1383"/>
        <v>52108827.708062753</v>
      </c>
      <c r="V1430" s="2">
        <f t="shared" ca="1" si="1384"/>
        <v>55201729.051971696</v>
      </c>
      <c r="W1430" s="2">
        <f t="shared" ca="1" si="1385"/>
        <v>58478208.479362905</v>
      </c>
      <c r="X1430" s="2">
        <f t="shared" ca="1" si="1386"/>
        <v>61949162.203528598</v>
      </c>
      <c r="Y1430" s="2">
        <f t="shared" ca="1" si="1387"/>
        <v>0.12305331129210847</v>
      </c>
      <c r="Z1430" s="2">
        <f t="shared" ca="1" si="1388"/>
        <v>0.12427463580895186</v>
      </c>
      <c r="AA1430" s="2">
        <f t="shared" ca="1" si="1389"/>
        <v>6052896.2457060535</v>
      </c>
      <c r="AB1430" s="2">
        <f t="shared" ca="1" si="1390"/>
        <v>6475805.5858509187</v>
      </c>
      <c r="AC1430" s="2">
        <f t="shared" ca="1" si="1391"/>
        <v>6860174.7739582201</v>
      </c>
      <c r="AD1430" s="2">
        <f t="shared" ca="1" si="1392"/>
        <v>7267358.0615327852</v>
      </c>
      <c r="AE1430" s="2">
        <f t="shared" ca="1" si="1393"/>
        <v>7698709.571513202</v>
      </c>
      <c r="AF1430" s="2">
        <f t="shared" ca="1" si="1394"/>
        <v>983784.37478004408</v>
      </c>
      <c r="AG1430" s="2">
        <f t="shared" ca="1" si="1395"/>
        <v>1042176.5541612551</v>
      </c>
      <c r="AH1430" s="2">
        <f t="shared" ca="1" si="1396"/>
        <v>1104034.5810394338</v>
      </c>
      <c r="AI1430" s="2">
        <f t="shared" ca="1" si="1397"/>
        <v>1169564.169587258</v>
      </c>
      <c r="AJ1430" s="2">
        <f t="shared" ca="1" si="1398"/>
        <v>1238983.2440705721</v>
      </c>
      <c r="AK1430" s="2">
        <f t="shared" ca="1" si="1399"/>
        <v>0</v>
      </c>
      <c r="AL1430" s="2">
        <f t="shared" ca="1" si="1400"/>
        <v>29196.089690605477</v>
      </c>
      <c r="AM1430" s="2">
        <f t="shared" ca="1" si="1401"/>
        <v>30929.013439089435</v>
      </c>
      <c r="AN1430" s="2">
        <f t="shared" ca="1" si="1402"/>
        <v>32764.794273912088</v>
      </c>
      <c r="AO1430" s="2">
        <f t="shared" ca="1" si="1403"/>
        <v>34709.53724165693</v>
      </c>
      <c r="AP1430" s="2">
        <f t="shared" ca="1" si="1404"/>
        <v>2487533.0081948983</v>
      </c>
      <c r="AQ1430" s="2">
        <f t="shared" ca="1" si="1405"/>
        <v>671210.50431008893</v>
      </c>
      <c r="AR1430" s="2">
        <f t="shared" ca="1" si="1406"/>
        <v>765984.96610863903</v>
      </c>
      <c r="AS1430" s="2">
        <f t="shared" ca="1" si="1407"/>
        <v>849837.86802821106</v>
      </c>
      <c r="AT1430" s="2">
        <f t="shared" ca="1" si="1408"/>
        <v>938667.82977516344</v>
      </c>
      <c r="AU1430" s="2">
        <f t="shared" ca="1" si="1409"/>
        <v>1032770.2630044103</v>
      </c>
      <c r="AV1430" s="2">
        <f t="shared" ca="1" si="1410"/>
        <v>1910368.3584210221</v>
      </c>
      <c r="AW1430" s="2">
        <f t="shared" ca="1" si="1411"/>
        <v>2150914.9676955212</v>
      </c>
      <c r="AX1430" s="2">
        <f t="shared" ca="1" si="1412"/>
        <v>2387840.3032565881</v>
      </c>
      <c r="AY1430" s="2">
        <f t="shared" ca="1" si="1413"/>
        <v>2638828.2597015528</v>
      </c>
      <c r="AZ1430" s="2">
        <f t="shared" ca="1" si="1414"/>
        <v>2904713.5190016646</v>
      </c>
      <c r="BA1430" s="2">
        <f t="shared" ca="1" si="1415"/>
        <v>53146855.812773973</v>
      </c>
      <c r="BB1430" s="2">
        <f t="shared" ca="1" si="1416"/>
        <v>1062937.1162554794</v>
      </c>
      <c r="BC1430" s="2">
        <f t="shared" ca="1" si="1417"/>
        <v>24444663.049908511</v>
      </c>
      <c r="BD1430" s="2">
        <f t="shared" ca="1" si="1418"/>
        <v>-20077806.083015401</v>
      </c>
      <c r="BE1430" s="2">
        <f t="shared" ca="1" si="1419"/>
        <v>1910368.3584210221</v>
      </c>
      <c r="BF1430" s="2">
        <f t="shared" ca="1" si="1420"/>
        <v>2150914.9676955212</v>
      </c>
      <c r="BG1430" s="2">
        <f t="shared" ca="1" si="1421"/>
        <v>2387840.3032565881</v>
      </c>
      <c r="BH1430" s="2">
        <f t="shared" ca="1" si="1422"/>
        <v>2638828.2597015528</v>
      </c>
      <c r="BI1430" s="2">
        <f t="shared" ca="1" si="1423"/>
        <v>27349376.568910174</v>
      </c>
      <c r="BJ1430" s="2">
        <f t="shared" ca="1" si="1424"/>
        <v>0.14843949209732044</v>
      </c>
      <c r="BK1430" s="2">
        <f t="shared" ca="1" si="1425"/>
        <v>2237987.5746661536</v>
      </c>
    </row>
    <row r="1431" spans="1:63" x14ac:dyDescent="0.3">
      <c r="A1431" s="2">
        <v>1430</v>
      </c>
      <c r="B1431" s="2">
        <f t="shared" ca="1" si="1364"/>
        <v>0.76723549908923694</v>
      </c>
      <c r="C1431" s="2">
        <f t="shared" ca="1" si="1365"/>
        <v>7.3177031424507906</v>
      </c>
      <c r="D1431" s="2">
        <f t="shared" ca="1" si="1366"/>
        <v>0.87725403951208158</v>
      </c>
      <c r="E1431" s="2">
        <f t="shared" ca="1" si="1367"/>
        <v>8.0045285871255167</v>
      </c>
      <c r="F1431" s="2">
        <f t="shared" ca="1" si="1368"/>
        <v>0.64435588832597857</v>
      </c>
      <c r="G1431" s="2">
        <f t="shared" ca="1" si="1369"/>
        <v>5.1103795585135996E-2</v>
      </c>
      <c r="H1431" s="2">
        <f t="shared" ca="1" si="1370"/>
        <v>5.1103795585135996E-2</v>
      </c>
      <c r="I1431" s="2">
        <f t="shared" ca="1" si="1371"/>
        <v>0.56260655686118899</v>
      </c>
      <c r="J1431" s="2">
        <f t="shared" ca="1" si="1372"/>
        <v>1.0787905571168105E-2</v>
      </c>
      <c r="K1431" s="2">
        <f t="shared" ca="1" si="1373"/>
        <v>1.0787905571168105E-2</v>
      </c>
      <c r="L1431" s="2">
        <f t="shared" ca="1" si="1374"/>
        <v>7.3665483705073087E-2</v>
      </c>
      <c r="M1431" s="2">
        <f t="shared" ca="1" si="1375"/>
        <v>-2.8980473762632099E-2</v>
      </c>
      <c r="N1431" s="2">
        <f t="shared" ca="1" si="1376"/>
        <v>-2.8980473762632099E-2</v>
      </c>
      <c r="O1431" s="2">
        <f t="shared" si="1377"/>
        <v>6000000</v>
      </c>
      <c r="P1431" s="2">
        <f t="shared" ca="1" si="1378"/>
        <v>43906218.854704745</v>
      </c>
      <c r="Q1431" s="2">
        <f t="shared" ca="1" si="1379"/>
        <v>1097655.4713676188</v>
      </c>
      <c r="R1431" s="2">
        <f t="shared" ca="1" si="1380"/>
        <v>26343731.312822845</v>
      </c>
      <c r="S1431" s="2">
        <f t="shared" ca="1" si="1381"/>
        <v>17562487.5418819</v>
      </c>
      <c r="T1431" s="2">
        <f t="shared" ca="1" si="1382"/>
        <v>48550976.311868392</v>
      </c>
      <c r="U1431" s="2">
        <f t="shared" ca="1" si="1383"/>
        <v>51032115.480768889</v>
      </c>
      <c r="V1431" s="2">
        <f t="shared" ca="1" si="1384"/>
        <v>53640050.278575152</v>
      </c>
      <c r="W1431" s="2">
        <f t="shared" ca="1" si="1385"/>
        <v>56381260.44318787</v>
      </c>
      <c r="X1431" s="2">
        <f t="shared" ca="1" si="1386"/>
        <v>59262556.851708852</v>
      </c>
      <c r="Y1431" s="2">
        <f t="shared" ca="1" si="1387"/>
        <v>0.12539395278558405</v>
      </c>
      <c r="Z1431" s="2">
        <f t="shared" ca="1" si="1388"/>
        <v>0.12755153389981766</v>
      </c>
      <c r="AA1431" s="2">
        <f t="shared" ca="1" si="1389"/>
        <v>6087998.831344435</v>
      </c>
      <c r="AB1431" s="2">
        <f t="shared" ca="1" si="1390"/>
        <v>6509224.6077247029</v>
      </c>
      <c r="AC1431" s="2">
        <f t="shared" ca="1" si="1391"/>
        <v>6841870.691495602</v>
      </c>
      <c r="AD1431" s="2">
        <f t="shared" ca="1" si="1392"/>
        <v>7191516.2527337261</v>
      </c>
      <c r="AE1431" s="2">
        <f t="shared" ca="1" si="1393"/>
        <v>7559030.029260613</v>
      </c>
      <c r="AF1431" s="2">
        <f t="shared" ca="1" si="1394"/>
        <v>971019.52623736789</v>
      </c>
      <c r="AG1431" s="2">
        <f t="shared" ca="1" si="1395"/>
        <v>1020642.3096153778</v>
      </c>
      <c r="AH1431" s="2">
        <f t="shared" ca="1" si="1396"/>
        <v>1072801.005571503</v>
      </c>
      <c r="AI1431" s="2">
        <f t="shared" ca="1" si="1397"/>
        <v>1127625.2088637573</v>
      </c>
      <c r="AJ1431" s="2">
        <f t="shared" ca="1" si="1398"/>
        <v>1185251.1370341771</v>
      </c>
      <c r="AK1431" s="2">
        <f t="shared" ca="1" si="1399"/>
        <v>0</v>
      </c>
      <c r="AL1431" s="2">
        <f t="shared" ca="1" si="1400"/>
        <v>24811.391689004973</v>
      </c>
      <c r="AM1431" s="2">
        <f t="shared" ca="1" si="1401"/>
        <v>26079.347978062629</v>
      </c>
      <c r="AN1431" s="2">
        <f t="shared" ca="1" si="1402"/>
        <v>27412.101646127179</v>
      </c>
      <c r="AO1431" s="2">
        <f t="shared" ca="1" si="1403"/>
        <v>28812.964085209816</v>
      </c>
      <c r="AP1431" s="2">
        <f t="shared" ca="1" si="1404"/>
        <v>2370935.8181540561</v>
      </c>
      <c r="AQ1431" s="2">
        <f t="shared" ca="1" si="1405"/>
        <v>713971.30660778296</v>
      </c>
      <c r="AR1431" s="2">
        <f t="shared" ca="1" si="1406"/>
        <v>810588.08478836983</v>
      </c>
      <c r="AS1431" s="2">
        <f t="shared" ca="1" si="1407"/>
        <v>883514.80562021118</v>
      </c>
      <c r="AT1431" s="2">
        <f t="shared" ca="1" si="1408"/>
        <v>960168.35868613725</v>
      </c>
      <c r="AU1431" s="2">
        <f t="shared" ca="1" si="1409"/>
        <v>1040739.1992588189</v>
      </c>
      <c r="AV1431" s="2">
        <f t="shared" ca="1" si="1410"/>
        <v>2032072.1803452284</v>
      </c>
      <c r="AW1431" s="2">
        <f t="shared" ca="1" si="1411"/>
        <v>2282247.0034778933</v>
      </c>
      <c r="AX1431" s="2">
        <f t="shared" ca="1" si="1412"/>
        <v>2488539.7141717686</v>
      </c>
      <c r="AY1431" s="2">
        <f t="shared" ca="1" si="1413"/>
        <v>2705374.7653836482</v>
      </c>
      <c r="AZ1431" s="2">
        <f t="shared" ca="1" si="1414"/>
        <v>2933290.9107283507</v>
      </c>
      <c r="BA1431" s="2">
        <f t="shared" ca="1" si="1415"/>
        <v>60506471.960156806</v>
      </c>
      <c r="BB1431" s="2">
        <f t="shared" ca="1" si="1416"/>
        <v>1210129.4392031361</v>
      </c>
      <c r="BC1431" s="2">
        <f t="shared" ca="1" si="1417"/>
        <v>32952611.208130829</v>
      </c>
      <c r="BD1431" s="2">
        <f t="shared" ca="1" si="1418"/>
        <v>-19160143.01324952</v>
      </c>
      <c r="BE1431" s="2">
        <f t="shared" ca="1" si="1419"/>
        <v>2032072.1803452284</v>
      </c>
      <c r="BF1431" s="2">
        <f t="shared" ca="1" si="1420"/>
        <v>2282247.0034778933</v>
      </c>
      <c r="BG1431" s="2">
        <f t="shared" ca="1" si="1421"/>
        <v>2488539.7141717686</v>
      </c>
      <c r="BH1431" s="2">
        <f t="shared" ca="1" si="1422"/>
        <v>2705374.7653836482</v>
      </c>
      <c r="BI1431" s="2">
        <f t="shared" ca="1" si="1423"/>
        <v>35885902.118859179</v>
      </c>
      <c r="BJ1431" s="2">
        <f t="shared" ca="1" si="1424"/>
        <v>0.21860754367523416</v>
      </c>
      <c r="BK1431" s="2">
        <f t="shared" ca="1" si="1425"/>
        <v>8326833.0766426548</v>
      </c>
    </row>
    <row r="1432" spans="1:63" x14ac:dyDescent="0.3">
      <c r="A1432" s="2">
        <v>1431</v>
      </c>
      <c r="B1432" s="2">
        <f t="shared" ca="1" si="1364"/>
        <v>0.62893971423234996</v>
      </c>
      <c r="C1432" s="2">
        <f t="shared" ca="1" si="1365"/>
        <v>7.1385357978793893</v>
      </c>
      <c r="D1432" s="2">
        <f t="shared" ca="1" si="1366"/>
        <v>0.53335832734524868</v>
      </c>
      <c r="E1432" s="2">
        <f t="shared" ca="1" si="1367"/>
        <v>7.5339340885273396</v>
      </c>
      <c r="F1432" s="2">
        <f t="shared" ca="1" si="1368"/>
        <v>0.92218649861785085</v>
      </c>
      <c r="G1432" s="2">
        <f t="shared" ca="1" si="1369"/>
        <v>8.2598009042392201E-2</v>
      </c>
      <c r="H1432" s="2">
        <f t="shared" ca="1" si="1370"/>
        <v>8.2598009042392201E-2</v>
      </c>
      <c r="I1432" s="2">
        <f t="shared" ca="1" si="1371"/>
        <v>0.30738544953786195</v>
      </c>
      <c r="J1432" s="2">
        <f t="shared" ca="1" si="1372"/>
        <v>7.4836247038774836E-3</v>
      </c>
      <c r="K1432" s="2">
        <f t="shared" ca="1" si="1373"/>
        <v>7.4836247038774836E-3</v>
      </c>
      <c r="L1432" s="2">
        <f t="shared" ca="1" si="1374"/>
        <v>0.45297385999518525</v>
      </c>
      <c r="M1432" s="2">
        <f t="shared" ca="1" si="1375"/>
        <v>-2.3630274277510891E-3</v>
      </c>
      <c r="N1432" s="2">
        <f t="shared" ca="1" si="1376"/>
        <v>-2.3630274277510891E-3</v>
      </c>
      <c r="O1432" s="2">
        <f t="shared" si="1377"/>
        <v>6000000</v>
      </c>
      <c r="P1432" s="2">
        <f t="shared" ca="1" si="1378"/>
        <v>42831214.787276335</v>
      </c>
      <c r="Q1432" s="2">
        <f t="shared" ca="1" si="1379"/>
        <v>1070780.3696819085</v>
      </c>
      <c r="R1432" s="2">
        <f t="shared" ca="1" si="1380"/>
        <v>25698728.872365799</v>
      </c>
      <c r="S1432" s="2">
        <f t="shared" ca="1" si="1381"/>
        <v>17132485.914910536</v>
      </c>
      <c r="T1432" s="2">
        <f t="shared" ca="1" si="1382"/>
        <v>49881848.628612444</v>
      </c>
      <c r="U1432" s="2">
        <f t="shared" ca="1" si="1383"/>
        <v>54001990.012689807</v>
      </c>
      <c r="V1432" s="2">
        <f t="shared" ca="1" si="1384"/>
        <v>58462446.872065127</v>
      </c>
      <c r="W1432" s="2">
        <f t="shared" ca="1" si="1385"/>
        <v>63291328.587444328</v>
      </c>
      <c r="X1432" s="2">
        <f t="shared" ca="1" si="1386"/>
        <v>68519066.318415061</v>
      </c>
      <c r="Y1432" s="2">
        <f t="shared" ca="1" si="1387"/>
        <v>0.12374181235193873</v>
      </c>
      <c r="Z1432" s="2">
        <f t="shared" ca="1" si="1388"/>
        <v>0.12523853729271422</v>
      </c>
      <c r="AA1432" s="2">
        <f t="shared" ca="1" si="1389"/>
        <v>6172470.3527695732</v>
      </c>
      <c r="AB1432" s="2">
        <f t="shared" ca="1" si="1390"/>
        <v>6763130.2400850337</v>
      </c>
      <c r="AC1432" s="2">
        <f t="shared" ca="1" si="1391"/>
        <v>7321751.3328104522</v>
      </c>
      <c r="AD1432" s="2">
        <f t="shared" ca="1" si="1392"/>
        <v>7926513.4156040763</v>
      </c>
      <c r="AE1432" s="2">
        <f t="shared" ca="1" si="1393"/>
        <v>8581227.6423807833</v>
      </c>
      <c r="AF1432" s="2">
        <f t="shared" ca="1" si="1394"/>
        <v>997636.97257224889</v>
      </c>
      <c r="AG1432" s="2">
        <f t="shared" ca="1" si="1395"/>
        <v>1080039.8002537962</v>
      </c>
      <c r="AH1432" s="2">
        <f t="shared" ca="1" si="1396"/>
        <v>1169248.9374413025</v>
      </c>
      <c r="AI1432" s="2">
        <f t="shared" ca="1" si="1397"/>
        <v>1265826.5717488865</v>
      </c>
      <c r="AJ1432" s="2">
        <f t="shared" ca="1" si="1398"/>
        <v>1370381.3263683012</v>
      </c>
      <c r="AK1432" s="2">
        <f t="shared" ca="1" si="1399"/>
        <v>0</v>
      </c>
      <c r="AL1432" s="2">
        <f t="shared" ca="1" si="1400"/>
        <v>41201.413840773625</v>
      </c>
      <c r="AM1432" s="2">
        <f t="shared" ca="1" si="1401"/>
        <v>44604.568593753203</v>
      </c>
      <c r="AN1432" s="2">
        <f t="shared" ca="1" si="1402"/>
        <v>48288.817153792006</v>
      </c>
      <c r="AO1432" s="2">
        <f t="shared" ca="1" si="1403"/>
        <v>52277.377309707328</v>
      </c>
      <c r="AP1432" s="2">
        <f t="shared" ca="1" si="1404"/>
        <v>2312885.5985129219</v>
      </c>
      <c r="AQ1432" s="2">
        <f t="shared" ca="1" si="1405"/>
        <v>744106.42323794449</v>
      </c>
      <c r="AR1432" s="2">
        <f t="shared" ca="1" si="1406"/>
        <v>876253.25874276203</v>
      </c>
      <c r="AS1432" s="2">
        <f t="shared" ca="1" si="1407"/>
        <v>998300.36718261929</v>
      </c>
      <c r="AT1432" s="2">
        <f t="shared" ca="1" si="1408"/>
        <v>1130428.3237889896</v>
      </c>
      <c r="AU1432" s="2">
        <f t="shared" ca="1" si="1409"/>
        <v>1273469.7865498855</v>
      </c>
      <c r="AV1432" s="2">
        <f t="shared" ca="1" si="1410"/>
        <v>2117841.3584464579</v>
      </c>
      <c r="AW1432" s="2">
        <f t="shared" ca="1" si="1411"/>
        <v>2452750.16873478</v>
      </c>
      <c r="AX1432" s="2">
        <f t="shared" ca="1" si="1412"/>
        <v>2796711.8610798554</v>
      </c>
      <c r="AY1432" s="2">
        <f t="shared" ca="1" si="1413"/>
        <v>3169084.1043994869</v>
      </c>
      <c r="AZ1432" s="2">
        <f t="shared" ca="1" si="1414"/>
        <v>3572213.5536399675</v>
      </c>
      <c r="BA1432" s="2">
        <f t="shared" ca="1" si="1415"/>
        <v>64650403.456345677</v>
      </c>
      <c r="BB1432" s="2">
        <f t="shared" ca="1" si="1416"/>
        <v>1293008.0691269136</v>
      </c>
      <c r="BC1432" s="2">
        <f t="shared" ca="1" si="1417"/>
        <v>37658666.514852963</v>
      </c>
      <c r="BD1432" s="2">
        <f t="shared" ca="1" si="1418"/>
        <v>-18703266.284592446</v>
      </c>
      <c r="BE1432" s="2">
        <f t="shared" ca="1" si="1419"/>
        <v>2117841.3584464579</v>
      </c>
      <c r="BF1432" s="2">
        <f t="shared" ca="1" si="1420"/>
        <v>2452750.16873478</v>
      </c>
      <c r="BG1432" s="2">
        <f t="shared" ca="1" si="1421"/>
        <v>2796711.8610798554</v>
      </c>
      <c r="BH1432" s="2">
        <f t="shared" ca="1" si="1422"/>
        <v>3169084.1043994869</v>
      </c>
      <c r="BI1432" s="2">
        <f t="shared" ca="1" si="1423"/>
        <v>41230880.068492934</v>
      </c>
      <c r="BJ1432" s="2">
        <f t="shared" ca="1" si="1424"/>
        <v>0.26258208755034773</v>
      </c>
      <c r="BK1432" s="2">
        <f t="shared" ca="1" si="1425"/>
        <v>12543144.055061337</v>
      </c>
    </row>
    <row r="1433" spans="1:63" x14ac:dyDescent="0.3">
      <c r="A1433" s="2">
        <v>1432</v>
      </c>
      <c r="B1433" s="2">
        <f t="shared" ca="1" si="1364"/>
        <v>0.29247547798405127</v>
      </c>
      <c r="C1433" s="2">
        <f t="shared" ca="1" si="1365"/>
        <v>6.7648208652802975</v>
      </c>
      <c r="D1433" s="2">
        <f t="shared" ca="1" si="1366"/>
        <v>0.29577430172979724</v>
      </c>
      <c r="E1433" s="2">
        <f t="shared" ca="1" si="1367"/>
        <v>7.2691219691697766</v>
      </c>
      <c r="F1433" s="2">
        <f t="shared" ca="1" si="1368"/>
        <v>0.68045803395261062</v>
      </c>
      <c r="G1433" s="2">
        <f t="shared" ca="1" si="1369"/>
        <v>5.4069399988004876E-2</v>
      </c>
      <c r="H1433" s="2">
        <f t="shared" ca="1" si="1370"/>
        <v>5.4069399988004876E-2</v>
      </c>
      <c r="I1433" s="2">
        <f t="shared" ca="1" si="1371"/>
        <v>0.40348837248708291</v>
      </c>
      <c r="J1433" s="2">
        <f t="shared" ca="1" si="1372"/>
        <v>8.7783596472549661E-3</v>
      </c>
      <c r="K1433" s="2">
        <f t="shared" ca="1" si="1373"/>
        <v>8.7783596472549661E-3</v>
      </c>
      <c r="L1433" s="2">
        <f t="shared" ca="1" si="1374"/>
        <v>0.95819746532208083</v>
      </c>
      <c r="M1433" s="2">
        <f t="shared" ca="1" si="1375"/>
        <v>3.4602821919574603E-2</v>
      </c>
      <c r="N1433" s="2">
        <f t="shared" ca="1" si="1376"/>
        <v>3.4602821919574603E-2</v>
      </c>
      <c r="O1433" s="2">
        <f t="shared" si="1377"/>
        <v>6000000</v>
      </c>
      <c r="P1433" s="2">
        <f t="shared" ca="1" si="1378"/>
        <v>40588925.191681787</v>
      </c>
      <c r="Q1433" s="2">
        <f t="shared" ca="1" si="1379"/>
        <v>1014723.1297920448</v>
      </c>
      <c r="R1433" s="2">
        <f t="shared" ca="1" si="1380"/>
        <v>24353355.115009073</v>
      </c>
      <c r="S1433" s="2">
        <f t="shared" ca="1" si="1381"/>
        <v>16235570.076672716</v>
      </c>
      <c r="T1433" s="2">
        <f t="shared" ca="1" si="1382"/>
        <v>51730141.095978729</v>
      </c>
      <c r="U1433" s="2">
        <f t="shared" ca="1" si="1383"/>
        <v>54527158.786333129</v>
      </c>
      <c r="V1433" s="2">
        <f t="shared" ca="1" si="1384"/>
        <v>57475409.544960827</v>
      </c>
      <c r="W1433" s="2">
        <f t="shared" ca="1" si="1385"/>
        <v>60583070.453121707</v>
      </c>
      <c r="X1433" s="2">
        <f t="shared" ca="1" si="1386"/>
        <v>63858760.721953027</v>
      </c>
      <c r="Y1433" s="2">
        <f t="shared" ca="1" si="1387"/>
        <v>0.12438917982362747</v>
      </c>
      <c r="Z1433" s="2">
        <f t="shared" ca="1" si="1388"/>
        <v>0.12614485175307846</v>
      </c>
      <c r="AA1433" s="2">
        <f t="shared" ca="1" si="1389"/>
        <v>6434669.8230893202</v>
      </c>
      <c r="AB1433" s="2">
        <f t="shared" ca="1" si="1390"/>
        <v>6878320.3616185626</v>
      </c>
      <c r="AC1433" s="2">
        <f t="shared" ca="1" si="1391"/>
        <v>7250227.016496554</v>
      </c>
      <c r="AD1433" s="2">
        <f t="shared" ca="1" si="1392"/>
        <v>7642242.4410553453</v>
      </c>
      <c r="AE1433" s="2">
        <f t="shared" ca="1" si="1393"/>
        <v>8055453.9044060744</v>
      </c>
      <c r="AF1433" s="2">
        <f t="shared" ca="1" si="1394"/>
        <v>1034602.8219195746</v>
      </c>
      <c r="AG1433" s="2">
        <f t="shared" ca="1" si="1395"/>
        <v>1090543.1757266626</v>
      </c>
      <c r="AH1433" s="2">
        <f t="shared" ca="1" si="1396"/>
        <v>1149508.1908992166</v>
      </c>
      <c r="AI1433" s="2">
        <f t="shared" ca="1" si="1397"/>
        <v>1211661.4090624342</v>
      </c>
      <c r="AJ1433" s="2">
        <f t="shared" ca="1" si="1398"/>
        <v>1277175.2144390605</v>
      </c>
      <c r="AK1433" s="2">
        <f t="shared" ca="1" si="1399"/>
        <v>0</v>
      </c>
      <c r="AL1433" s="2">
        <f t="shared" ca="1" si="1400"/>
        <v>27970.176903543994</v>
      </c>
      <c r="AM1433" s="2">
        <f t="shared" ca="1" si="1401"/>
        <v>29482.507586276977</v>
      </c>
      <c r="AN1433" s="2">
        <f t="shared" ca="1" si="1402"/>
        <v>31076.609081608804</v>
      </c>
      <c r="AO1433" s="2">
        <f t="shared" ca="1" si="1403"/>
        <v>32756.902688313203</v>
      </c>
      <c r="AP1433" s="2">
        <f t="shared" ca="1" si="1404"/>
        <v>2191801.9603508166</v>
      </c>
      <c r="AQ1433" s="2">
        <f t="shared" ca="1" si="1405"/>
        <v>834148.91061292158</v>
      </c>
      <c r="AR1433" s="2">
        <f t="shared" ca="1" si="1406"/>
        <v>934953.55864068179</v>
      </c>
      <c r="AS1433" s="2">
        <f t="shared" ca="1" si="1407"/>
        <v>1016318.3849640954</v>
      </c>
      <c r="AT1433" s="2">
        <f t="shared" ca="1" si="1408"/>
        <v>1102082.5586269449</v>
      </c>
      <c r="AU1433" s="2">
        <f t="shared" ca="1" si="1409"/>
        <v>1192483.9497002112</v>
      </c>
      <c r="AV1433" s="2">
        <f t="shared" ca="1" si="1410"/>
        <v>2374116.130206008</v>
      </c>
      <c r="AW1433" s="2">
        <f t="shared" ca="1" si="1411"/>
        <v>2633051.4899968575</v>
      </c>
      <c r="AX1433" s="2">
        <f t="shared" ca="1" si="1412"/>
        <v>2863115.9726961483</v>
      </c>
      <c r="AY1433" s="2">
        <f t="shared" ca="1" si="1413"/>
        <v>3105619.9039335405</v>
      </c>
      <c r="AZ1433" s="2">
        <f t="shared" ca="1" si="1414"/>
        <v>3361235.8772276728</v>
      </c>
      <c r="BA1433" s="2">
        <f t="shared" ca="1" si="1415"/>
        <v>58556076.948152646</v>
      </c>
      <c r="BB1433" s="2">
        <f t="shared" ca="1" si="1416"/>
        <v>1171121.5389630529</v>
      </c>
      <c r="BC1433" s="2">
        <f t="shared" ca="1" si="1417"/>
        <v>33031600.294180524</v>
      </c>
      <c r="BD1433" s="2">
        <f t="shared" ca="1" si="1418"/>
        <v>-17750293.20646476</v>
      </c>
      <c r="BE1433" s="2">
        <f t="shared" ca="1" si="1419"/>
        <v>2374116.130206008</v>
      </c>
      <c r="BF1433" s="2">
        <f t="shared" ca="1" si="1420"/>
        <v>2633051.4899968575</v>
      </c>
      <c r="BG1433" s="2">
        <f t="shared" ca="1" si="1421"/>
        <v>2863115.9726961483</v>
      </c>
      <c r="BH1433" s="2">
        <f t="shared" ca="1" si="1422"/>
        <v>3105619.9039335405</v>
      </c>
      <c r="BI1433" s="2">
        <f t="shared" ca="1" si="1423"/>
        <v>36392836.171408199</v>
      </c>
      <c r="BJ1433" s="2">
        <f t="shared" ca="1" si="1424"/>
        <v>0.25851715052757118</v>
      </c>
      <c r="BK1433" s="2">
        <f t="shared" ca="1" si="1425"/>
        <v>11130365.455056213</v>
      </c>
    </row>
    <row r="1434" spans="1:63" x14ac:dyDescent="0.3">
      <c r="A1434" s="2">
        <v>1433</v>
      </c>
      <c r="B1434" s="2">
        <f t="shared" ca="1" si="1364"/>
        <v>0.56880106477847248</v>
      </c>
      <c r="C1434" s="2">
        <f t="shared" ca="1" si="1365"/>
        <v>7.0713462052825848</v>
      </c>
      <c r="D1434" s="2">
        <f t="shared" ca="1" si="1366"/>
        <v>0.82264401034497647</v>
      </c>
      <c r="E1434" s="2">
        <f t="shared" ca="1" si="1367"/>
        <v>7.9044229862477504</v>
      </c>
      <c r="F1434" s="2">
        <f t="shared" ca="1" si="1368"/>
        <v>0.92619899693346275</v>
      </c>
      <c r="G1434" s="2">
        <f t="shared" ca="1" si="1369"/>
        <v>8.3441613868597608E-2</v>
      </c>
      <c r="H1434" s="2">
        <f t="shared" ca="1" si="1370"/>
        <v>8.3441613868597608E-2</v>
      </c>
      <c r="I1434" s="2">
        <f t="shared" ca="1" si="1371"/>
        <v>5.2444485818531339E-3</v>
      </c>
      <c r="J1434" s="2">
        <f t="shared" ca="1" si="1372"/>
        <v>-2.7964041436953548E-3</v>
      </c>
      <c r="K1434" s="2">
        <f t="shared" ca="1" si="1373"/>
        <v>0</v>
      </c>
      <c r="L1434" s="2">
        <f t="shared" ca="1" si="1374"/>
        <v>0.42530526156954751</v>
      </c>
      <c r="M1434" s="2">
        <f t="shared" ca="1" si="1375"/>
        <v>-3.7667899924527159E-3</v>
      </c>
      <c r="N1434" s="2">
        <f t="shared" ca="1" si="1376"/>
        <v>-3.7667899924527159E-3</v>
      </c>
      <c r="O1434" s="2">
        <f t="shared" si="1377"/>
        <v>6000000</v>
      </c>
      <c r="P1434" s="2">
        <f t="shared" ca="1" si="1378"/>
        <v>42428077.23169551</v>
      </c>
      <c r="Q1434" s="2">
        <f t="shared" ca="1" si="1379"/>
        <v>1060701.9307923878</v>
      </c>
      <c r="R1434" s="2">
        <f t="shared" ca="1" si="1380"/>
        <v>25456846.339017306</v>
      </c>
      <c r="S1434" s="2">
        <f t="shared" ca="1" si="1381"/>
        <v>16971230.892678205</v>
      </c>
      <c r="T1434" s="2">
        <f t="shared" ca="1" si="1382"/>
        <v>49811660.500377364</v>
      </c>
      <c r="U1434" s="2">
        <f t="shared" ca="1" si="1383"/>
        <v>53968025.842003532</v>
      </c>
      <c r="V1434" s="2">
        <f t="shared" ca="1" si="1384"/>
        <v>58471205.01556249</v>
      </c>
      <c r="W1434" s="2">
        <f t="shared" ca="1" si="1385"/>
        <v>63350136.726902664</v>
      </c>
      <c r="X1434" s="2">
        <f t="shared" ca="1" si="1386"/>
        <v>68636174.374191746</v>
      </c>
      <c r="Y1434" s="2">
        <f t="shared" ca="1" si="1387"/>
        <v>0.12</v>
      </c>
      <c r="Z1434" s="2">
        <f t="shared" ca="1" si="1388"/>
        <v>0.12</v>
      </c>
      <c r="AA1434" s="2">
        <f t="shared" ca="1" si="1389"/>
        <v>5977399.2600452835</v>
      </c>
      <c r="AB1434" s="2">
        <f t="shared" ca="1" si="1390"/>
        <v>6476163.1010404238</v>
      </c>
      <c r="AC1434" s="2">
        <f t="shared" ca="1" si="1391"/>
        <v>7016544.6018674988</v>
      </c>
      <c r="AD1434" s="2">
        <f t="shared" ca="1" si="1392"/>
        <v>7602016.407228319</v>
      </c>
      <c r="AE1434" s="2">
        <f t="shared" ca="1" si="1393"/>
        <v>8236340.9249030091</v>
      </c>
      <c r="AF1434" s="2">
        <f t="shared" ca="1" si="1394"/>
        <v>996233.21000754728</v>
      </c>
      <c r="AG1434" s="2">
        <f t="shared" ca="1" si="1395"/>
        <v>1079360.5168400707</v>
      </c>
      <c r="AH1434" s="2">
        <f t="shared" ca="1" si="1396"/>
        <v>1169424.1003112497</v>
      </c>
      <c r="AI1434" s="2">
        <f t="shared" ca="1" si="1397"/>
        <v>1267002.7345380534</v>
      </c>
      <c r="AJ1434" s="2">
        <f t="shared" ca="1" si="1398"/>
        <v>1372723.4874838348</v>
      </c>
      <c r="AK1434" s="2">
        <f t="shared" ca="1" si="1399"/>
        <v>0</v>
      </c>
      <c r="AL1434" s="2">
        <f t="shared" ca="1" si="1400"/>
        <v>41563.653416261674</v>
      </c>
      <c r="AM1434" s="2">
        <f t="shared" ca="1" si="1401"/>
        <v>45031.791735589577</v>
      </c>
      <c r="AN1434" s="2">
        <f t="shared" ca="1" si="1402"/>
        <v>48789.317113401739</v>
      </c>
      <c r="AO1434" s="2">
        <f t="shared" ca="1" si="1403"/>
        <v>52860.376472890828</v>
      </c>
      <c r="AP1434" s="2">
        <f t="shared" ca="1" si="1404"/>
        <v>2291116.1705115573</v>
      </c>
      <c r="AQ1434" s="2">
        <f t="shared" ca="1" si="1405"/>
        <v>699412.96867680654</v>
      </c>
      <c r="AR1434" s="2">
        <f t="shared" ca="1" si="1406"/>
        <v>807478.46755908697</v>
      </c>
      <c r="AS1434" s="2">
        <f t="shared" ca="1" si="1407"/>
        <v>924561.12607161992</v>
      </c>
      <c r="AT1434" s="2">
        <f t="shared" ca="1" si="1408"/>
        <v>1051413.3505664642</v>
      </c>
      <c r="AU1434" s="2">
        <f t="shared" ca="1" si="1409"/>
        <v>1188850.3293959806</v>
      </c>
      <c r="AV1434" s="2">
        <f t="shared" ca="1" si="1410"/>
        <v>1990636.9108493724</v>
      </c>
      <c r="AW1434" s="2">
        <f t="shared" ca="1" si="1411"/>
        <v>2256644.292713447</v>
      </c>
      <c r="AX1434" s="2">
        <f t="shared" ca="1" si="1412"/>
        <v>2586411.4132374828</v>
      </c>
      <c r="AY1434" s="2">
        <f t="shared" ca="1" si="1413"/>
        <v>2943694.8344988427</v>
      </c>
      <c r="AZ1434" s="2">
        <f t="shared" ca="1" si="1414"/>
        <v>3330790.561038746</v>
      </c>
      <c r="BA1434" s="2">
        <f t="shared" ca="1" si="1415"/>
        <v>65103522.529376402</v>
      </c>
      <c r="BB1434" s="2">
        <f t="shared" ca="1" si="1416"/>
        <v>1302070.4505875281</v>
      </c>
      <c r="BC1434" s="2">
        <f t="shared" ca="1" si="1417"/>
        <v>38344605.739771575</v>
      </c>
      <c r="BD1434" s="2">
        <f t="shared" ca="1" si="1418"/>
        <v>-18531932.823470592</v>
      </c>
      <c r="BE1434" s="2">
        <f t="shared" ca="1" si="1419"/>
        <v>1990636.9108493724</v>
      </c>
      <c r="BF1434" s="2">
        <f t="shared" ca="1" si="1420"/>
        <v>2256644.292713447</v>
      </c>
      <c r="BG1434" s="2">
        <f t="shared" ca="1" si="1421"/>
        <v>2586411.4132374828</v>
      </c>
      <c r="BH1434" s="2">
        <f t="shared" ca="1" si="1422"/>
        <v>2943694.8344988427</v>
      </c>
      <c r="BI1434" s="2">
        <f t="shared" ca="1" si="1423"/>
        <v>41675396.300810322</v>
      </c>
      <c r="BJ1434" s="2">
        <f t="shared" ca="1" si="1424"/>
        <v>0.26085214404329493</v>
      </c>
      <c r="BK1434" s="2">
        <f t="shared" ca="1" si="1425"/>
        <v>12403871.500265837</v>
      </c>
    </row>
    <row r="1435" spans="1:63" x14ac:dyDescent="0.3">
      <c r="A1435" s="2">
        <v>1434</v>
      </c>
      <c r="B1435" s="2">
        <f t="shared" ca="1" si="1364"/>
        <v>6.9955819833845245E-2</v>
      </c>
      <c r="C1435" s="2">
        <f t="shared" ca="1" si="1365"/>
        <v>6.3740476435799192</v>
      </c>
      <c r="D1435" s="2">
        <f t="shared" ca="1" si="1366"/>
        <v>0.63563994925096035</v>
      </c>
      <c r="E1435" s="2">
        <f t="shared" ca="1" si="1367"/>
        <v>7.6463489580056265</v>
      </c>
      <c r="F1435" s="2">
        <f t="shared" ca="1" si="1368"/>
        <v>0.60888831234513341</v>
      </c>
      <c r="G1435" s="2">
        <f t="shared" ca="1" si="1369"/>
        <v>4.8292682886318536E-2</v>
      </c>
      <c r="H1435" s="2">
        <f t="shared" ca="1" si="1370"/>
        <v>4.8292682886318536E-2</v>
      </c>
      <c r="I1435" s="2">
        <f t="shared" ca="1" si="1371"/>
        <v>0.58767235089382475</v>
      </c>
      <c r="J1435" s="2">
        <f t="shared" ca="1" si="1372"/>
        <v>1.1107807229668804E-2</v>
      </c>
      <c r="K1435" s="2">
        <f t="shared" ca="1" si="1373"/>
        <v>1.1107807229668804E-2</v>
      </c>
      <c r="L1435" s="2">
        <f t="shared" ca="1" si="1374"/>
        <v>0.99481314749416982</v>
      </c>
      <c r="M1435" s="2">
        <f t="shared" ca="1" si="1375"/>
        <v>5.126234226864735E-2</v>
      </c>
      <c r="N1435" s="2">
        <f t="shared" ca="1" si="1376"/>
        <v>0.05</v>
      </c>
      <c r="O1435" s="2">
        <f t="shared" si="1377"/>
        <v>6000000</v>
      </c>
      <c r="P1435" s="2">
        <f t="shared" ca="1" si="1378"/>
        <v>38244285.861479513</v>
      </c>
      <c r="Q1435" s="2">
        <f t="shared" ca="1" si="1379"/>
        <v>956107.14653698786</v>
      </c>
      <c r="R1435" s="2">
        <f t="shared" ca="1" si="1380"/>
        <v>22946571.516887706</v>
      </c>
      <c r="S1435" s="2">
        <f t="shared" ca="1" si="1381"/>
        <v>15297714.344591806</v>
      </c>
      <c r="T1435" s="2">
        <f t="shared" ca="1" si="1382"/>
        <v>52500000</v>
      </c>
      <c r="U1435" s="2">
        <f t="shared" ca="1" si="1383"/>
        <v>55035365.851531729</v>
      </c>
      <c r="V1435" s="2">
        <f t="shared" ca="1" si="1384"/>
        <v>57693171.322132282</v>
      </c>
      <c r="W1435" s="2">
        <f t="shared" ca="1" si="1385"/>
        <v>60479329.349498063</v>
      </c>
      <c r="X1435" s="2">
        <f t="shared" ca="1" si="1386"/>
        <v>63400038.422950596</v>
      </c>
      <c r="Y1435" s="2">
        <f t="shared" ca="1" si="1387"/>
        <v>0.1255539036148344</v>
      </c>
      <c r="Z1435" s="2">
        <f t="shared" ca="1" si="1388"/>
        <v>0.12777546506076815</v>
      </c>
      <c r="AA1435" s="2">
        <f t="shared" ca="1" si="1389"/>
        <v>6591579.9397788057</v>
      </c>
      <c r="AB1435" s="2">
        <f t="shared" ca="1" si="1390"/>
        <v>7032169.4664689852</v>
      </c>
      <c r="AC1435" s="2">
        <f t="shared" ca="1" si="1391"/>
        <v>7371771.7965160245</v>
      </c>
      <c r="AD1435" s="2">
        <f t="shared" ca="1" si="1392"/>
        <v>7727774.4341954794</v>
      </c>
      <c r="AE1435" s="2">
        <f t="shared" ca="1" si="1393"/>
        <v>8100969.394363082</v>
      </c>
      <c r="AF1435" s="2">
        <f t="shared" ca="1" si="1394"/>
        <v>1050000</v>
      </c>
      <c r="AG1435" s="2">
        <f t="shared" ca="1" si="1395"/>
        <v>1100707.3170306345</v>
      </c>
      <c r="AH1435" s="2">
        <f t="shared" ca="1" si="1396"/>
        <v>1153863.4264426457</v>
      </c>
      <c r="AI1435" s="2">
        <f t="shared" ca="1" si="1397"/>
        <v>1209586.5869899613</v>
      </c>
      <c r="AJ1435" s="2">
        <f t="shared" ca="1" si="1398"/>
        <v>1268000.768459012</v>
      </c>
      <c r="AK1435" s="2">
        <f t="shared" ca="1" si="1399"/>
        <v>0</v>
      </c>
      <c r="AL1435" s="2">
        <f t="shared" ca="1" si="1400"/>
        <v>25353.658515317293</v>
      </c>
      <c r="AM1435" s="2">
        <f t="shared" ca="1" si="1401"/>
        <v>26578.054706005529</v>
      </c>
      <c r="AN1435" s="2">
        <f t="shared" ca="1" si="1402"/>
        <v>27861.580273657815</v>
      </c>
      <c r="AO1435" s="2">
        <f t="shared" ca="1" si="1403"/>
        <v>29207.090734525322</v>
      </c>
      <c r="AP1435" s="2">
        <f t="shared" ca="1" si="1404"/>
        <v>2065191.4365198934</v>
      </c>
      <c r="AQ1435" s="2">
        <f t="shared" ca="1" si="1405"/>
        <v>903861.01084731729</v>
      </c>
      <c r="AR1435" s="2">
        <f t="shared" ca="1" si="1406"/>
        <v>1005230.3853587989</v>
      </c>
      <c r="AS1435" s="2">
        <f t="shared" ca="1" si="1407"/>
        <v>1079706.4027239063</v>
      </c>
      <c r="AT1435" s="2">
        <f t="shared" ca="1" si="1408"/>
        <v>1157779.0667782626</v>
      </c>
      <c r="AU1435" s="2">
        <f t="shared" ca="1" si="1409"/>
        <v>1239622.0692398862</v>
      </c>
      <c r="AV1435" s="2">
        <f t="shared" ca="1" si="1410"/>
        <v>2572527.4924115953</v>
      </c>
      <c r="AW1435" s="2">
        <f t="shared" ca="1" si="1411"/>
        <v>2835686.6690443405</v>
      </c>
      <c r="AX1435" s="2">
        <f t="shared" ca="1" si="1412"/>
        <v>3046432.4761235737</v>
      </c>
      <c r="AY1435" s="2">
        <f t="shared" ca="1" si="1413"/>
        <v>3267355.7636337033</v>
      </c>
      <c r="AZ1435" s="2">
        <f t="shared" ca="1" si="1414"/>
        <v>3498948.0294097648</v>
      </c>
      <c r="BA1435" s="2">
        <f t="shared" ca="1" si="1415"/>
        <v>61942838.887423627</v>
      </c>
      <c r="BB1435" s="2">
        <f t="shared" ca="1" si="1416"/>
        <v>1238856.7777484725</v>
      </c>
      <c r="BC1435" s="2">
        <f t="shared" ca="1" si="1417"/>
        <v>37757410.592787452</v>
      </c>
      <c r="BD1435" s="2">
        <f t="shared" ca="1" si="1418"/>
        <v>-16753821.491128793</v>
      </c>
      <c r="BE1435" s="2">
        <f t="shared" ca="1" si="1419"/>
        <v>2572527.4924115953</v>
      </c>
      <c r="BF1435" s="2">
        <f t="shared" ca="1" si="1420"/>
        <v>2835686.6690443405</v>
      </c>
      <c r="BG1435" s="2">
        <f t="shared" ca="1" si="1421"/>
        <v>3046432.4761235737</v>
      </c>
      <c r="BH1435" s="2">
        <f t="shared" ca="1" si="1422"/>
        <v>3267355.7636337033</v>
      </c>
      <c r="BI1435" s="2">
        <f t="shared" ca="1" si="1423"/>
        <v>41256358.622197218</v>
      </c>
      <c r="BJ1435" s="2">
        <f t="shared" ca="1" si="1424"/>
        <v>0.31040515659565049</v>
      </c>
      <c r="BK1435" s="2">
        <f t="shared" ca="1" si="1425"/>
        <v>15458490.077446258</v>
      </c>
    </row>
    <row r="1436" spans="1:63" x14ac:dyDescent="0.3">
      <c r="A1436" s="2">
        <v>1435</v>
      </c>
      <c r="B1436" s="2">
        <f t="shared" ca="1" si="1364"/>
        <v>4.4255805894585998E-2</v>
      </c>
      <c r="C1436" s="2">
        <f t="shared" ca="1" si="1365"/>
        <v>6.2975090112738972</v>
      </c>
      <c r="D1436" s="2">
        <f t="shared" ca="1" si="1366"/>
        <v>0.99401126475469204</v>
      </c>
      <c r="E1436" s="2">
        <f t="shared" ca="1" si="1367"/>
        <v>8.3905583694811892</v>
      </c>
      <c r="F1436" s="2">
        <f t="shared" ca="1" si="1368"/>
        <v>0.18749362258856828</v>
      </c>
      <c r="G1436" s="2">
        <f t="shared" ca="1" si="1369"/>
        <v>1.3384892406602011E-2</v>
      </c>
      <c r="H1436" s="2">
        <f t="shared" ca="1" si="1370"/>
        <v>1.3384892406602011E-2</v>
      </c>
      <c r="I1436" s="2">
        <f t="shared" ca="1" si="1371"/>
        <v>0.22386832638815757</v>
      </c>
      <c r="J1436" s="2">
        <f t="shared" ca="1" si="1372"/>
        <v>6.2040311540064053E-3</v>
      </c>
      <c r="K1436" s="2">
        <f t="shared" ca="1" si="1373"/>
        <v>6.2040311540064053E-3</v>
      </c>
      <c r="L1436" s="2">
        <f t="shared" ca="1" si="1374"/>
        <v>0.64913950667961373</v>
      </c>
      <c r="M1436" s="2">
        <f t="shared" ca="1" si="1375"/>
        <v>7.6599670227530227E-3</v>
      </c>
      <c r="N1436" s="2">
        <f t="shared" ca="1" si="1376"/>
        <v>7.6599670227530227E-3</v>
      </c>
      <c r="O1436" s="2">
        <f t="shared" si="1377"/>
        <v>6000000</v>
      </c>
      <c r="P1436" s="2">
        <f t="shared" ca="1" si="1378"/>
        <v>37785054.067643382</v>
      </c>
      <c r="Q1436" s="2">
        <f t="shared" ca="1" si="1379"/>
        <v>944626.35169108456</v>
      </c>
      <c r="R1436" s="2">
        <f t="shared" ca="1" si="1380"/>
        <v>22671032.440586027</v>
      </c>
      <c r="S1436" s="2">
        <f t="shared" ca="1" si="1381"/>
        <v>15114021.627057353</v>
      </c>
      <c r="T1436" s="2">
        <f t="shared" ca="1" si="1382"/>
        <v>50382998.351137653</v>
      </c>
      <c r="U1436" s="2">
        <f t="shared" ca="1" si="1383"/>
        <v>51057369.363189638</v>
      </c>
      <c r="V1436" s="2">
        <f t="shared" ca="1" si="1384"/>
        <v>51740766.758680068</v>
      </c>
      <c r="W1436" s="2">
        <f t="shared" ca="1" si="1385"/>
        <v>52433311.354780093</v>
      </c>
      <c r="X1436" s="2">
        <f t="shared" ca="1" si="1386"/>
        <v>53135125.585785687</v>
      </c>
      <c r="Y1436" s="2">
        <f t="shared" ca="1" si="1387"/>
        <v>0.1231020155770032</v>
      </c>
      <c r="Z1436" s="2">
        <f t="shared" ca="1" si="1388"/>
        <v>0.12434282180780448</v>
      </c>
      <c r="AA1436" s="2">
        <f t="shared" ca="1" si="1389"/>
        <v>6202248.6478378745</v>
      </c>
      <c r="AB1436" s="2">
        <f t="shared" ca="1" si="1390"/>
        <v>6348617.3807023447</v>
      </c>
      <c r="AC1436" s="2">
        <f t="shared" ca="1" si="1391"/>
        <v>6433592.9412737293</v>
      </c>
      <c r="AD1436" s="2">
        <f t="shared" ca="1" si="1392"/>
        <v>6519705.8905805526</v>
      </c>
      <c r="AE1436" s="2">
        <f t="shared" ca="1" si="1393"/>
        <v>6606971.4524486624</v>
      </c>
      <c r="AF1436" s="2">
        <f t="shared" ca="1" si="1394"/>
        <v>1007659.9670227531</v>
      </c>
      <c r="AG1436" s="2">
        <f t="shared" ca="1" si="1395"/>
        <v>1021147.3872637928</v>
      </c>
      <c r="AH1436" s="2">
        <f t="shared" ca="1" si="1396"/>
        <v>1034815.3351736014</v>
      </c>
      <c r="AI1436" s="2">
        <f t="shared" ca="1" si="1397"/>
        <v>1048666.2270956018</v>
      </c>
      <c r="AJ1436" s="2">
        <f t="shared" ca="1" si="1398"/>
        <v>1062702.5117157137</v>
      </c>
      <c r="AK1436" s="2">
        <f t="shared" ca="1" si="1399"/>
        <v>0</v>
      </c>
      <c r="AL1436" s="2">
        <f t="shared" ca="1" si="1400"/>
        <v>6743.7101205198469</v>
      </c>
      <c r="AM1436" s="2">
        <f t="shared" ca="1" si="1401"/>
        <v>6833.9739549043034</v>
      </c>
      <c r="AN1436" s="2">
        <f t="shared" ca="1" si="1402"/>
        <v>6925.4459610002486</v>
      </c>
      <c r="AO1436" s="2">
        <f t="shared" ca="1" si="1403"/>
        <v>7018.1423100559414</v>
      </c>
      <c r="AP1436" s="2">
        <f t="shared" ca="1" si="1404"/>
        <v>2040392.9196527423</v>
      </c>
      <c r="AQ1436" s="2">
        <f t="shared" ca="1" si="1405"/>
        <v>820090.89790221851</v>
      </c>
      <c r="AR1436" s="2">
        <f t="shared" ca="1" si="1406"/>
        <v>854640.03918431059</v>
      </c>
      <c r="AS1436" s="2">
        <f t="shared" ca="1" si="1407"/>
        <v>873180.01847632031</v>
      </c>
      <c r="AT1436" s="2">
        <f t="shared" ca="1" si="1408"/>
        <v>891968.1533963742</v>
      </c>
      <c r="AU1436" s="2">
        <f t="shared" ca="1" si="1409"/>
        <v>911007.76548085362</v>
      </c>
      <c r="AV1436" s="2">
        <f t="shared" ca="1" si="1410"/>
        <v>2334104.8632601602</v>
      </c>
      <c r="AW1436" s="2">
        <f t="shared" ca="1" si="1411"/>
        <v>2425693.3244809797</v>
      </c>
      <c r="AX1436" s="2">
        <f t="shared" ca="1" si="1412"/>
        <v>2478370.6940161614</v>
      </c>
      <c r="AY1436" s="2">
        <f t="shared" ca="1" si="1413"/>
        <v>2531753.1444748333</v>
      </c>
      <c r="AZ1436" s="2">
        <f t="shared" ca="1" si="1414"/>
        <v>2585850.1132892966</v>
      </c>
      <c r="BA1436" s="2">
        <f t="shared" ca="1" si="1415"/>
        <v>55436179.617266409</v>
      </c>
      <c r="BB1436" s="2">
        <f t="shared" ca="1" si="1416"/>
        <v>1108723.5923453283</v>
      </c>
      <c r="BC1436" s="2">
        <f t="shared" ca="1" si="1417"/>
        <v>31656423.584335055</v>
      </c>
      <c r="BD1436" s="2">
        <f t="shared" ca="1" si="1418"/>
        <v>-16558647.978748437</v>
      </c>
      <c r="BE1436" s="2">
        <f t="shared" ca="1" si="1419"/>
        <v>2334104.8632601602</v>
      </c>
      <c r="BF1436" s="2">
        <f t="shared" ca="1" si="1420"/>
        <v>2425693.3244809797</v>
      </c>
      <c r="BG1436" s="2">
        <f t="shared" ca="1" si="1421"/>
        <v>2478370.6940161614</v>
      </c>
      <c r="BH1436" s="2">
        <f t="shared" ca="1" si="1422"/>
        <v>2531753.1444748333</v>
      </c>
      <c r="BI1436" s="2">
        <f t="shared" ca="1" si="1423"/>
        <v>34242273.697624356</v>
      </c>
      <c r="BJ1436" s="2">
        <f t="shared" ca="1" si="1424"/>
        <v>0.25712942254207638</v>
      </c>
      <c r="BK1436" s="2">
        <f t="shared" ca="1" si="1425"/>
        <v>10262137.984714638</v>
      </c>
    </row>
    <row r="1437" spans="1:63" x14ac:dyDescent="0.3">
      <c r="A1437" s="2">
        <v>1436</v>
      </c>
      <c r="B1437" s="2">
        <f t="shared" ca="1" si="1364"/>
        <v>0.88565608373928184</v>
      </c>
      <c r="C1437" s="2">
        <f t="shared" ca="1" si="1365"/>
        <v>7.5217868335967353</v>
      </c>
      <c r="D1437" s="2">
        <f t="shared" ca="1" si="1366"/>
        <v>0.63478199809163149</v>
      </c>
      <c r="E1437" s="2">
        <f t="shared" ca="1" si="1367"/>
        <v>7.6453445116207721</v>
      </c>
      <c r="F1437" s="2">
        <f t="shared" ca="1" si="1368"/>
        <v>0.29496606674347181</v>
      </c>
      <c r="G1437" s="2">
        <f t="shared" ca="1" si="1369"/>
        <v>2.383196859113627E-2</v>
      </c>
      <c r="H1437" s="2">
        <f t="shared" ca="1" si="1370"/>
        <v>2.383196859113627E-2</v>
      </c>
      <c r="I1437" s="2">
        <f t="shared" ca="1" si="1371"/>
        <v>0.39890605524827638</v>
      </c>
      <c r="J1437" s="2">
        <f t="shared" ca="1" si="1372"/>
        <v>8.7191016794802532E-3</v>
      </c>
      <c r="K1437" s="2">
        <f t="shared" ca="1" si="1373"/>
        <v>8.7191016794802532E-3</v>
      </c>
      <c r="L1437" s="2">
        <f t="shared" ca="1" si="1374"/>
        <v>1.4175127040708002E-2</v>
      </c>
      <c r="M1437" s="2">
        <f t="shared" ca="1" si="1375"/>
        <v>-4.3848106055300304E-2</v>
      </c>
      <c r="N1437" s="2">
        <f t="shared" ca="1" si="1376"/>
        <v>-4.3848106055300304E-2</v>
      </c>
      <c r="O1437" s="2">
        <f t="shared" si="1377"/>
        <v>6000000</v>
      </c>
      <c r="P1437" s="2">
        <f t="shared" ca="1" si="1378"/>
        <v>45130721.00158041</v>
      </c>
      <c r="Q1437" s="2">
        <f t="shared" ca="1" si="1379"/>
        <v>1128268.0250395103</v>
      </c>
      <c r="R1437" s="2">
        <f t="shared" ca="1" si="1380"/>
        <v>27078432.600948244</v>
      </c>
      <c r="S1437" s="2">
        <f t="shared" ca="1" si="1381"/>
        <v>18052288.400632165</v>
      </c>
      <c r="T1437" s="2">
        <f t="shared" ca="1" si="1382"/>
        <v>47807594.697234981</v>
      </c>
      <c r="U1437" s="2">
        <f t="shared" ca="1" si="1383"/>
        <v>48946943.792477258</v>
      </c>
      <c r="V1437" s="2">
        <f t="shared" ca="1" si="1384"/>
        <v>50113445.819571689</v>
      </c>
      <c r="W1437" s="2">
        <f t="shared" ca="1" si="1385"/>
        <v>51307747.886337332</v>
      </c>
      <c r="X1437" s="2">
        <f t="shared" ca="1" si="1386"/>
        <v>52530512.522446468</v>
      </c>
      <c r="Y1437" s="2">
        <f t="shared" ca="1" si="1387"/>
        <v>0.12435955083974012</v>
      </c>
      <c r="Z1437" s="2">
        <f t="shared" ca="1" si="1388"/>
        <v>0.12610337117563616</v>
      </c>
      <c r="AA1437" s="2">
        <f t="shared" ca="1" si="1389"/>
        <v>5945331.0032764841</v>
      </c>
      <c r="AB1437" s="2">
        <f t="shared" ca="1" si="1390"/>
        <v>6172374.6209757598</v>
      </c>
      <c r="AC1437" s="2">
        <f t="shared" ca="1" si="1391"/>
        <v>6319474.4590755813</v>
      </c>
      <c r="AD1437" s="2">
        <f t="shared" ca="1" si="1392"/>
        <v>6470079.975896758</v>
      </c>
      <c r="AE1437" s="2">
        <f t="shared" ca="1" si="1393"/>
        <v>6624274.7186644701</v>
      </c>
      <c r="AF1437" s="2">
        <f t="shared" ca="1" si="1394"/>
        <v>956151.89394469967</v>
      </c>
      <c r="AG1437" s="2">
        <f t="shared" ca="1" si="1395"/>
        <v>978938.87584954512</v>
      </c>
      <c r="AH1437" s="2">
        <f t="shared" ca="1" si="1396"/>
        <v>1002268.9163914338</v>
      </c>
      <c r="AI1437" s="2">
        <f t="shared" ca="1" si="1397"/>
        <v>1026154.9577267467</v>
      </c>
      <c r="AJ1437" s="2">
        <f t="shared" ca="1" si="1398"/>
        <v>1050610.2504489294</v>
      </c>
      <c r="AK1437" s="2">
        <f t="shared" ca="1" si="1399"/>
        <v>0</v>
      </c>
      <c r="AL1437" s="2">
        <f t="shared" ca="1" si="1400"/>
        <v>11393.490952422768</v>
      </c>
      <c r="AM1437" s="2">
        <f t="shared" ca="1" si="1401"/>
        <v>11665.020270944313</v>
      </c>
      <c r="AN1437" s="2">
        <f t="shared" ca="1" si="1402"/>
        <v>11943.020667656438</v>
      </c>
      <c r="AO1437" s="2">
        <f t="shared" ca="1" si="1403"/>
        <v>12227.646361091362</v>
      </c>
      <c r="AP1437" s="2">
        <f t="shared" ca="1" si="1404"/>
        <v>2437058.9340853421</v>
      </c>
      <c r="AQ1437" s="2">
        <f t="shared" ca="1" si="1405"/>
        <v>663551.24556407507</v>
      </c>
      <c r="AR1437" s="2">
        <f t="shared" ca="1" si="1406"/>
        <v>716657.97087062697</v>
      </c>
      <c r="AS1437" s="2">
        <f t="shared" ca="1" si="1407"/>
        <v>748838.11823568936</v>
      </c>
      <c r="AT1437" s="2">
        <f t="shared" ca="1" si="1408"/>
        <v>781785.181862014</v>
      </c>
      <c r="AU1437" s="2">
        <f t="shared" ca="1" si="1409"/>
        <v>815517.43887385179</v>
      </c>
      <c r="AV1437" s="2">
        <f t="shared" ca="1" si="1410"/>
        <v>1888568.9296823675</v>
      </c>
      <c r="AW1437" s="2">
        <f t="shared" ca="1" si="1411"/>
        <v>2028325.3492178228</v>
      </c>
      <c r="AX1437" s="2">
        <f t="shared" ca="1" si="1412"/>
        <v>2119643.4700921709</v>
      </c>
      <c r="AY1437" s="2">
        <f t="shared" ca="1" si="1413"/>
        <v>2213137.8815549985</v>
      </c>
      <c r="AZ1437" s="2">
        <f t="shared" ca="1" si="1414"/>
        <v>2308860.448895256</v>
      </c>
      <c r="BA1437" s="2">
        <f t="shared" ca="1" si="1415"/>
        <v>50644862.363809638</v>
      </c>
      <c r="BB1437" s="2">
        <f t="shared" ca="1" si="1416"/>
        <v>1012897.2472761928</v>
      </c>
      <c r="BC1437" s="2">
        <f t="shared" ca="1" si="1417"/>
        <v>22553532.515585199</v>
      </c>
      <c r="BD1437" s="2">
        <f t="shared" ca="1" si="1418"/>
        <v>-19680556.425671674</v>
      </c>
      <c r="BE1437" s="2">
        <f t="shared" ca="1" si="1419"/>
        <v>1888568.9296823675</v>
      </c>
      <c r="BF1437" s="2">
        <f t="shared" ca="1" si="1420"/>
        <v>2028325.3492178228</v>
      </c>
      <c r="BG1437" s="2">
        <f t="shared" ca="1" si="1421"/>
        <v>2119643.4700921709</v>
      </c>
      <c r="BH1437" s="2">
        <f t="shared" ca="1" si="1422"/>
        <v>2213137.8815549985</v>
      </c>
      <c r="BI1437" s="2">
        <f t="shared" ca="1" si="1423"/>
        <v>24862392.964480456</v>
      </c>
      <c r="BJ1437" s="2">
        <f t="shared" ca="1" si="1424"/>
        <v>0.1286280193632765</v>
      </c>
      <c r="BK1437" s="2">
        <f t="shared" ca="1" si="1425"/>
        <v>645433.3366756998</v>
      </c>
    </row>
    <row r="1438" spans="1:63" x14ac:dyDescent="0.3">
      <c r="A1438" s="2">
        <v>1437</v>
      </c>
      <c r="B1438" s="2">
        <f t="shared" ca="1" si="1364"/>
        <v>0.61162557900504089</v>
      </c>
      <c r="C1438" s="2">
        <f t="shared" ca="1" si="1365"/>
        <v>7.1186664411303076</v>
      </c>
      <c r="D1438" s="2">
        <f t="shared" ca="1" si="1366"/>
        <v>0.6378340972257206</v>
      </c>
      <c r="E1438" s="2">
        <f t="shared" ca="1" si="1367"/>
        <v>7.64892314944621</v>
      </c>
      <c r="F1438" s="2">
        <f t="shared" ca="1" si="1368"/>
        <v>0.45511281448294783</v>
      </c>
      <c r="G1438" s="2">
        <f t="shared" ca="1" si="1369"/>
        <v>3.66173815361183E-2</v>
      </c>
      <c r="H1438" s="2">
        <f t="shared" ca="1" si="1370"/>
        <v>3.66173815361183E-2</v>
      </c>
      <c r="I1438" s="2">
        <f t="shared" ca="1" si="1371"/>
        <v>0.58366042848818744</v>
      </c>
      <c r="J1438" s="2">
        <f t="shared" ca="1" si="1372"/>
        <v>1.105633364728094E-2</v>
      </c>
      <c r="K1438" s="2">
        <f t="shared" ca="1" si="1373"/>
        <v>1.105633364728094E-2</v>
      </c>
      <c r="L1438" s="2">
        <f t="shared" ca="1" si="1374"/>
        <v>0.59620590181855948</v>
      </c>
      <c r="M1438" s="2">
        <f t="shared" ca="1" si="1375"/>
        <v>4.8707717467560462E-3</v>
      </c>
      <c r="N1438" s="2">
        <f t="shared" ca="1" si="1376"/>
        <v>4.8707717467560462E-3</v>
      </c>
      <c r="O1438" s="2">
        <f t="shared" si="1377"/>
        <v>6000000</v>
      </c>
      <c r="P1438" s="2">
        <f t="shared" ca="1" si="1378"/>
        <v>42711998.646781847</v>
      </c>
      <c r="Q1438" s="2">
        <f t="shared" ca="1" si="1379"/>
        <v>1067799.9661695461</v>
      </c>
      <c r="R1438" s="2">
        <f t="shared" ca="1" si="1380"/>
        <v>25627199.188069109</v>
      </c>
      <c r="S1438" s="2">
        <f t="shared" ca="1" si="1381"/>
        <v>17084799.458712738</v>
      </c>
      <c r="T1438" s="2">
        <f t="shared" ca="1" si="1382"/>
        <v>50243538.587337799</v>
      </c>
      <c r="U1438" s="2">
        <f t="shared" ca="1" si="1383"/>
        <v>52083325.409515031</v>
      </c>
      <c r="V1438" s="2">
        <f t="shared" ca="1" si="1384"/>
        <v>53990480.407705054</v>
      </c>
      <c r="W1438" s="2">
        <f t="shared" ca="1" si="1385"/>
        <v>55967470.428112313</v>
      </c>
      <c r="X1438" s="2">
        <f t="shared" ca="1" si="1386"/>
        <v>58016852.646389924</v>
      </c>
      <c r="Y1438" s="2">
        <f t="shared" ca="1" si="1387"/>
        <v>0.12552816682364046</v>
      </c>
      <c r="Z1438" s="2">
        <f t="shared" ca="1" si="1388"/>
        <v>0.12773943355309667</v>
      </c>
      <c r="AA1438" s="2">
        <f t="shared" ca="1" si="1389"/>
        <v>6306979.2936013555</v>
      </c>
      <c r="AB1438" s="2">
        <f t="shared" ca="1" si="1390"/>
        <v>6653094.4853730565</v>
      </c>
      <c r="AC1438" s="2">
        <f t="shared" ca="1" si="1391"/>
        <v>6896713.3845398072</v>
      </c>
      <c r="AD1438" s="2">
        <f t="shared" ca="1" si="1392"/>
        <v>7149252.9698867556</v>
      </c>
      <c r="AE1438" s="2">
        <f t="shared" ca="1" si="1393"/>
        <v>7411039.8935833257</v>
      </c>
      <c r="AF1438" s="2">
        <f t="shared" ca="1" si="1394"/>
        <v>1004870.771746756</v>
      </c>
      <c r="AG1438" s="2">
        <f t="shared" ca="1" si="1395"/>
        <v>1041666.5081903007</v>
      </c>
      <c r="AH1438" s="2">
        <f t="shared" ca="1" si="1396"/>
        <v>1079809.6081541011</v>
      </c>
      <c r="AI1438" s="2">
        <f t="shared" ca="1" si="1397"/>
        <v>1119349.4085622462</v>
      </c>
      <c r="AJ1438" s="2">
        <f t="shared" ca="1" si="1398"/>
        <v>1160337.0529277986</v>
      </c>
      <c r="AK1438" s="2">
        <f t="shared" ca="1" si="1399"/>
        <v>0</v>
      </c>
      <c r="AL1438" s="2">
        <f t="shared" ca="1" si="1400"/>
        <v>18397.868221772314</v>
      </c>
      <c r="AM1438" s="2">
        <f t="shared" ca="1" si="1401"/>
        <v>19071.549981900229</v>
      </c>
      <c r="AN1438" s="2">
        <f t="shared" ca="1" si="1402"/>
        <v>19769.900204072594</v>
      </c>
      <c r="AO1438" s="2">
        <f t="shared" ca="1" si="1403"/>
        <v>20493.822182776108</v>
      </c>
      <c r="AP1438" s="2">
        <f t="shared" ca="1" si="1404"/>
        <v>2306447.9269262198</v>
      </c>
      <c r="AQ1438" s="2">
        <f t="shared" ca="1" si="1405"/>
        <v>778871.75468137884</v>
      </c>
      <c r="AR1438" s="2">
        <f t="shared" ca="1" si="1406"/>
        <v>859294.81306669943</v>
      </c>
      <c r="AS1438" s="2">
        <f t="shared" ca="1" si="1407"/>
        <v>912718.5208594664</v>
      </c>
      <c r="AT1438" s="2">
        <f t="shared" ca="1" si="1408"/>
        <v>968098.46494355518</v>
      </c>
      <c r="AU1438" s="2">
        <f t="shared" ca="1" si="1409"/>
        <v>1025506.2775696199</v>
      </c>
      <c r="AV1438" s="2">
        <f t="shared" ca="1" si="1410"/>
        <v>2216788.8402470015</v>
      </c>
      <c r="AW1438" s="2">
        <f t="shared" ca="1" si="1411"/>
        <v>2427287.3689680649</v>
      </c>
      <c r="AX1438" s="2">
        <f t="shared" ca="1" si="1412"/>
        <v>2578665.7786181197</v>
      </c>
      <c r="AY1438" s="2">
        <f t="shared" ca="1" si="1413"/>
        <v>2735587.2692506611</v>
      </c>
      <c r="AZ1438" s="2">
        <f t="shared" ca="1" si="1414"/>
        <v>2898254.8139769109</v>
      </c>
      <c r="BA1438" s="2">
        <f t="shared" ca="1" si="1415"/>
        <v>56686474.603498876</v>
      </c>
      <c r="BB1438" s="2">
        <f t="shared" ca="1" si="1416"/>
        <v>1133729.4920699776</v>
      </c>
      <c r="BC1438" s="2">
        <f t="shared" ca="1" si="1417"/>
        <v>29925545.923359789</v>
      </c>
      <c r="BD1438" s="2">
        <f t="shared" ca="1" si="1418"/>
        <v>-18652599.424882285</v>
      </c>
      <c r="BE1438" s="2">
        <f t="shared" ca="1" si="1419"/>
        <v>2216788.8402470015</v>
      </c>
      <c r="BF1438" s="2">
        <f t="shared" ca="1" si="1420"/>
        <v>2427287.3689680649</v>
      </c>
      <c r="BG1438" s="2">
        <f t="shared" ca="1" si="1421"/>
        <v>2578665.7786181197</v>
      </c>
      <c r="BH1438" s="2">
        <f t="shared" ca="1" si="1422"/>
        <v>2735587.2692506611</v>
      </c>
      <c r="BI1438" s="2">
        <f t="shared" ca="1" si="1423"/>
        <v>32823800.737336699</v>
      </c>
      <c r="BJ1438" s="2">
        <f t="shared" ca="1" si="1424"/>
        <v>0.21350922119336557</v>
      </c>
      <c r="BK1438" s="2">
        <f t="shared" ca="1" si="1425"/>
        <v>7460759.531652987</v>
      </c>
    </row>
    <row r="1439" spans="1:63" x14ac:dyDescent="0.3">
      <c r="A1439" s="2">
        <v>1438</v>
      </c>
      <c r="B1439" s="2">
        <f t="shared" ca="1" si="1364"/>
        <v>0.20572129400119687</v>
      </c>
      <c r="C1439" s="2">
        <f t="shared" ca="1" si="1365"/>
        <v>6.6414379065836329</v>
      </c>
      <c r="D1439" s="2">
        <f t="shared" ca="1" si="1366"/>
        <v>2.9989228020086633E-2</v>
      </c>
      <c r="E1439" s="2">
        <f t="shared" ca="1" si="1367"/>
        <v>6.7449049939061538</v>
      </c>
      <c r="F1439" s="2">
        <f t="shared" ca="1" si="1368"/>
        <v>0.96406857038418148</v>
      </c>
      <c r="G1439" s="2">
        <f t="shared" ca="1" si="1369"/>
        <v>9.3999578029154568E-2</v>
      </c>
      <c r="H1439" s="2">
        <f t="shared" ca="1" si="1370"/>
        <v>9.3999578029154568E-2</v>
      </c>
      <c r="I1439" s="2">
        <f t="shared" ca="1" si="1371"/>
        <v>0.75117455624066054</v>
      </c>
      <c r="J1439" s="2">
        <f t="shared" ca="1" si="1372"/>
        <v>1.3390952718343918E-2</v>
      </c>
      <c r="K1439" s="2">
        <f t="shared" ca="1" si="1373"/>
        <v>1.3390952718343918E-2</v>
      </c>
      <c r="L1439" s="2">
        <f t="shared" ca="1" si="1374"/>
        <v>0.47360832233834516</v>
      </c>
      <c r="M1439" s="2">
        <f t="shared" ca="1" si="1375"/>
        <v>-1.3240490392219381E-3</v>
      </c>
      <c r="N1439" s="2">
        <f t="shared" ca="1" si="1376"/>
        <v>-1.3240490392219381E-3</v>
      </c>
      <c r="O1439" s="2">
        <f t="shared" si="1377"/>
        <v>6000000</v>
      </c>
      <c r="P1439" s="2">
        <f t="shared" ca="1" si="1378"/>
        <v>39848627.4395018</v>
      </c>
      <c r="Q1439" s="2">
        <f t="shared" ca="1" si="1379"/>
        <v>996215.68598754506</v>
      </c>
      <c r="R1439" s="2">
        <f t="shared" ca="1" si="1380"/>
        <v>23909176.463701081</v>
      </c>
      <c r="S1439" s="2">
        <f t="shared" ca="1" si="1381"/>
        <v>15939450.975800721</v>
      </c>
      <c r="T1439" s="2">
        <f t="shared" ca="1" si="1382"/>
        <v>49933797.548038907</v>
      </c>
      <c r="U1439" s="2">
        <f t="shared" ca="1" si="1383"/>
        <v>54627553.446947791</v>
      </c>
      <c r="V1439" s="2">
        <f t="shared" ca="1" si="1384"/>
        <v>59762520.419725969</v>
      </c>
      <c r="W1439" s="2">
        <f t="shared" ca="1" si="1385"/>
        <v>65380172.121138938</v>
      </c>
      <c r="X1439" s="2">
        <f t="shared" ca="1" si="1386"/>
        <v>71525880.711999491</v>
      </c>
      <c r="Y1439" s="2">
        <f t="shared" ca="1" si="1387"/>
        <v>0.12669547635917194</v>
      </c>
      <c r="Z1439" s="2">
        <f t="shared" ca="1" si="1388"/>
        <v>0.12937366690284074</v>
      </c>
      <c r="AA1439" s="2">
        <f t="shared" ca="1" si="1389"/>
        <v>6326386.2667712411</v>
      </c>
      <c r="AB1439" s="2">
        <f t="shared" ca="1" si="1390"/>
        <v>7067366.9033625536</v>
      </c>
      <c r="AC1439" s="2">
        <f t="shared" ca="1" si="1391"/>
        <v>7731696.410055846</v>
      </c>
      <c r="AD1439" s="2">
        <f t="shared" ca="1" si="1392"/>
        <v>8458472.6100506242</v>
      </c>
      <c r="AE1439" s="2">
        <f t="shared" ca="1" si="1393"/>
        <v>9253565.4661665428</v>
      </c>
      <c r="AF1439" s="2">
        <f t="shared" ca="1" si="1394"/>
        <v>998675.95096077817</v>
      </c>
      <c r="AG1439" s="2">
        <f t="shared" ca="1" si="1395"/>
        <v>1092551.0689389559</v>
      </c>
      <c r="AH1439" s="2">
        <f t="shared" ca="1" si="1396"/>
        <v>1195250.4083945195</v>
      </c>
      <c r="AI1439" s="2">
        <f t="shared" ca="1" si="1397"/>
        <v>1307603.4424227788</v>
      </c>
      <c r="AJ1439" s="2">
        <f t="shared" ca="1" si="1398"/>
        <v>1430517.6142399898</v>
      </c>
      <c r="AK1439" s="2">
        <f t="shared" ca="1" si="1399"/>
        <v>0</v>
      </c>
      <c r="AL1439" s="2">
        <f t="shared" ca="1" si="1400"/>
        <v>46937.558989088837</v>
      </c>
      <c r="AM1439" s="2">
        <f t="shared" ca="1" si="1401"/>
        <v>51349.669727781788</v>
      </c>
      <c r="AN1439" s="2">
        <f t="shared" ca="1" si="1402"/>
        <v>56176.517014129684</v>
      </c>
      <c r="AO1439" s="2">
        <f t="shared" ca="1" si="1403"/>
        <v>61457.085908605535</v>
      </c>
      <c r="AP1439" s="2">
        <f t="shared" ca="1" si="1404"/>
        <v>2151825.8817330971</v>
      </c>
      <c r="AQ1439" s="2">
        <f t="shared" ca="1" si="1405"/>
        <v>825729.95286011498</v>
      </c>
      <c r="AR1439" s="2">
        <f t="shared" ca="1" si="1406"/>
        <v>993977.38769953023</v>
      </c>
      <c r="AS1439" s="2">
        <f t="shared" ca="1" si="1407"/>
        <v>1140001.2311813398</v>
      </c>
      <c r="AT1439" s="2">
        <f t="shared" ca="1" si="1408"/>
        <v>1299751.2543326344</v>
      </c>
      <c r="AU1439" s="2">
        <f t="shared" ca="1" si="1409"/>
        <v>1474517.7122502986</v>
      </c>
      <c r="AV1439" s="2">
        <f t="shared" ca="1" si="1410"/>
        <v>2350154.4812172502</v>
      </c>
      <c r="AW1439" s="2">
        <f t="shared" ca="1" si="1411"/>
        <v>2782075.0060018813</v>
      </c>
      <c r="AX1439" s="2">
        <f t="shared" ca="1" si="1412"/>
        <v>3193269.2190191075</v>
      </c>
      <c r="AY1439" s="2">
        <f t="shared" ca="1" si="1413"/>
        <v>3643115.5145479832</v>
      </c>
      <c r="AZ1439" s="2">
        <f t="shared" ca="1" si="1414"/>
        <v>4135247.1720345514</v>
      </c>
      <c r="BA1439" s="2">
        <f t="shared" ca="1" si="1415"/>
        <v>62414419.92418424</v>
      </c>
      <c r="BB1439" s="2">
        <f t="shared" ca="1" si="1416"/>
        <v>1248288.3984836848</v>
      </c>
      <c r="BC1439" s="2">
        <f t="shared" ca="1" si="1417"/>
        <v>37256955.061999477</v>
      </c>
      <c r="BD1439" s="2">
        <f t="shared" ca="1" si="1418"/>
        <v>-17435666.661788266</v>
      </c>
      <c r="BE1439" s="2">
        <f t="shared" ca="1" si="1419"/>
        <v>2350154.4812172502</v>
      </c>
      <c r="BF1439" s="2">
        <f t="shared" ca="1" si="1420"/>
        <v>2782075.0060018813</v>
      </c>
      <c r="BG1439" s="2">
        <f t="shared" ca="1" si="1421"/>
        <v>3193269.2190191075</v>
      </c>
      <c r="BH1439" s="2">
        <f t="shared" ca="1" si="1422"/>
        <v>3643115.5145479832</v>
      </c>
      <c r="BI1439" s="2">
        <f t="shared" ca="1" si="1423"/>
        <v>41392202.234034032</v>
      </c>
      <c r="BJ1439" s="2">
        <f t="shared" ca="1" si="1424"/>
        <v>0.29807542919823482</v>
      </c>
      <c r="BK1439" s="2">
        <f t="shared" ca="1" si="1425"/>
        <v>14955757.607443724</v>
      </c>
    </row>
    <row r="1440" spans="1:63" x14ac:dyDescent="0.3">
      <c r="A1440" s="2">
        <v>1439</v>
      </c>
      <c r="B1440" s="2">
        <f t="shared" ca="1" si="1364"/>
        <v>0.47723002851614527</v>
      </c>
      <c r="C1440" s="2">
        <f t="shared" ca="1" si="1365"/>
        <v>6.9769647163701922</v>
      </c>
      <c r="D1440" s="2">
        <f t="shared" ca="1" si="1366"/>
        <v>0.5927894919625144</v>
      </c>
      <c r="E1440" s="2">
        <f t="shared" ca="1" si="1367"/>
        <v>7.5975472222465203</v>
      </c>
      <c r="F1440" s="2">
        <f t="shared" ca="1" si="1368"/>
        <v>0.2657879733301346</v>
      </c>
      <c r="G1440" s="2">
        <f t="shared" ca="1" si="1369"/>
        <v>2.1231936343032765E-2</v>
      </c>
      <c r="H1440" s="2">
        <f t="shared" ca="1" si="1370"/>
        <v>2.1231936343032765E-2</v>
      </c>
      <c r="I1440" s="2">
        <f t="shared" ca="1" si="1371"/>
        <v>0.45350453530714019</v>
      </c>
      <c r="J1440" s="2">
        <f t="shared" ca="1" si="1372"/>
        <v>9.4159402295543038E-3</v>
      </c>
      <c r="K1440" s="2">
        <f t="shared" ca="1" si="1373"/>
        <v>9.4159402295543038E-3</v>
      </c>
      <c r="L1440" s="2">
        <f t="shared" ca="1" si="1374"/>
        <v>0.49768683739788067</v>
      </c>
      <c r="M1440" s="2">
        <f t="shared" ca="1" si="1375"/>
        <v>-1.1596542543451243E-4</v>
      </c>
      <c r="N1440" s="2">
        <f t="shared" ca="1" si="1376"/>
        <v>-1.1596542543451243E-4</v>
      </c>
      <c r="O1440" s="2">
        <f t="shared" si="1377"/>
        <v>6000000</v>
      </c>
      <c r="P1440" s="2">
        <f t="shared" ca="1" si="1378"/>
        <v>41861788.298221156</v>
      </c>
      <c r="Q1440" s="2">
        <f t="shared" ca="1" si="1379"/>
        <v>1046544.7074555289</v>
      </c>
      <c r="R1440" s="2">
        <f t="shared" ca="1" si="1380"/>
        <v>25117072.978932694</v>
      </c>
      <c r="S1440" s="2">
        <f t="shared" ca="1" si="1381"/>
        <v>16744715.319288462</v>
      </c>
      <c r="T1440" s="2">
        <f t="shared" ca="1" si="1382"/>
        <v>49994201.728728279</v>
      </c>
      <c r="U1440" s="2">
        <f t="shared" ca="1" si="1383"/>
        <v>51055675.437353373</v>
      </c>
      <c r="V1440" s="2">
        <f t="shared" ca="1" si="1384"/>
        <v>52139686.288189799</v>
      </c>
      <c r="W1440" s="2">
        <f t="shared" ca="1" si="1385"/>
        <v>53246712.788406335</v>
      </c>
      <c r="X1440" s="2">
        <f t="shared" ca="1" si="1386"/>
        <v>54377243.604805522</v>
      </c>
      <c r="Y1440" s="2">
        <f t="shared" ca="1" si="1387"/>
        <v>0.12470797011477715</v>
      </c>
      <c r="Z1440" s="2">
        <f t="shared" ca="1" si="1388"/>
        <v>0.126591158160688</v>
      </c>
      <c r="AA1440" s="2">
        <f t="shared" ca="1" si="1389"/>
        <v>6234675.4150983859</v>
      </c>
      <c r="AB1440" s="2">
        <f t="shared" ca="1" si="1390"/>
        <v>6463197.0842907541</v>
      </c>
      <c r="AC1440" s="2">
        <f t="shared" ca="1" si="1391"/>
        <v>6600423.2733568903</v>
      </c>
      <c r="AD1440" s="2">
        <f t="shared" ca="1" si="1392"/>
        <v>6740563.0401338749</v>
      </c>
      <c r="AE1440" s="2">
        <f t="shared" ca="1" si="1393"/>
        <v>6883678.2455181954</v>
      </c>
      <c r="AF1440" s="2">
        <f t="shared" ca="1" si="1394"/>
        <v>999884.03457456559</v>
      </c>
      <c r="AG1440" s="2">
        <f t="shared" ca="1" si="1395"/>
        <v>1021113.5087470674</v>
      </c>
      <c r="AH1440" s="2">
        <f t="shared" ca="1" si="1396"/>
        <v>1042793.725763796</v>
      </c>
      <c r="AI1440" s="2">
        <f t="shared" ca="1" si="1397"/>
        <v>1064934.2557681268</v>
      </c>
      <c r="AJ1440" s="2">
        <f t="shared" ca="1" si="1398"/>
        <v>1087544.8720961104</v>
      </c>
      <c r="AK1440" s="2">
        <f t="shared" ca="1" si="1399"/>
        <v>0</v>
      </c>
      <c r="AL1440" s="2">
        <f t="shared" ca="1" si="1400"/>
        <v>10614.737086250931</v>
      </c>
      <c r="AM1440" s="2">
        <f t="shared" ca="1" si="1401"/>
        <v>10840.108508364261</v>
      </c>
      <c r="AN1440" s="2">
        <f t="shared" ca="1" si="1402"/>
        <v>11070.265002165363</v>
      </c>
      <c r="AO1440" s="2">
        <f t="shared" ca="1" si="1403"/>
        <v>11305.308163991869</v>
      </c>
      <c r="AP1440" s="2">
        <f t="shared" ca="1" si="1404"/>
        <v>2260536.5681039426</v>
      </c>
      <c r="AQ1440" s="2">
        <f t="shared" ca="1" si="1405"/>
        <v>773306.25122916827</v>
      </c>
      <c r="AR1440" s="2">
        <f t="shared" ca="1" si="1406"/>
        <v>827202.22193433356</v>
      </c>
      <c r="AS1440" s="2">
        <f t="shared" ca="1" si="1407"/>
        <v>857244.17466717947</v>
      </c>
      <c r="AT1440" s="2">
        <f t="shared" ca="1" si="1408"/>
        <v>887923.97622806951</v>
      </c>
      <c r="AU1440" s="2">
        <f t="shared" ca="1" si="1409"/>
        <v>919255.16938271711</v>
      </c>
      <c r="AV1440" s="2">
        <f t="shared" ca="1" si="1410"/>
        <v>2200948.5611907099</v>
      </c>
      <c r="AW1440" s="2">
        <f t="shared" ca="1" si="1411"/>
        <v>2343730.0484191594</v>
      </c>
      <c r="AX1440" s="2">
        <f t="shared" ca="1" si="1412"/>
        <v>2429008.696313608</v>
      </c>
      <c r="AY1440" s="2">
        <f t="shared" ca="1" si="1413"/>
        <v>2516097.975031571</v>
      </c>
      <c r="AZ1440" s="2">
        <f t="shared" ca="1" si="1414"/>
        <v>2605036.3277714332</v>
      </c>
      <c r="BA1440" s="2">
        <f t="shared" ca="1" si="1415"/>
        <v>52299070.533075564</v>
      </c>
      <c r="BB1440" s="2">
        <f t="shared" ca="1" si="1416"/>
        <v>1045981.4106615112</v>
      </c>
      <c r="BC1440" s="2">
        <f t="shared" ca="1" si="1417"/>
        <v>26136016.143481359</v>
      </c>
      <c r="BD1440" s="2">
        <f t="shared" ca="1" si="1418"/>
        <v>-18291260.026743993</v>
      </c>
      <c r="BE1440" s="2">
        <f t="shared" ca="1" si="1419"/>
        <v>2200948.5611907099</v>
      </c>
      <c r="BF1440" s="2">
        <f t="shared" ca="1" si="1420"/>
        <v>2343730.0484191594</v>
      </c>
      <c r="BG1440" s="2">
        <f t="shared" ca="1" si="1421"/>
        <v>2429008.696313608</v>
      </c>
      <c r="BH1440" s="2">
        <f t="shared" ca="1" si="1422"/>
        <v>2516097.975031571</v>
      </c>
      <c r="BI1440" s="2">
        <f t="shared" ca="1" si="1423"/>
        <v>28741052.471252792</v>
      </c>
      <c r="BJ1440" s="2">
        <f t="shared" ca="1" si="1424"/>
        <v>0.18925864495057576</v>
      </c>
      <c r="BK1440" s="2">
        <f t="shared" ca="1" si="1425"/>
        <v>5178671.0581880175</v>
      </c>
    </row>
    <row r="1441" spans="1:63" x14ac:dyDescent="0.3">
      <c r="A1441" s="2">
        <v>1440</v>
      </c>
      <c r="B1441" s="2">
        <f t="shared" ca="1" si="1364"/>
        <v>0.72205851291879741</v>
      </c>
      <c r="C1441" s="2">
        <f t="shared" ca="1" si="1365"/>
        <v>7.2544244007731979</v>
      </c>
      <c r="D1441" s="2">
        <f t="shared" ca="1" si="1366"/>
        <v>0.84483916944835635</v>
      </c>
      <c r="E1441" s="2">
        <f t="shared" ca="1" si="1367"/>
        <v>7.9429347784116411</v>
      </c>
      <c r="F1441" s="2">
        <f t="shared" ca="1" si="1368"/>
        <v>0.2707090902782594</v>
      </c>
      <c r="G1441" s="2">
        <f t="shared" ca="1" si="1369"/>
        <v>2.1679904981205873E-2</v>
      </c>
      <c r="H1441" s="2">
        <f t="shared" ca="1" si="1370"/>
        <v>2.1679904981205873E-2</v>
      </c>
      <c r="I1441" s="2">
        <f t="shared" ca="1" si="1371"/>
        <v>0.76192842688862894</v>
      </c>
      <c r="J1441" s="2">
        <f t="shared" ca="1" si="1372"/>
        <v>1.3562597455089361E-2</v>
      </c>
      <c r="K1441" s="2">
        <f t="shared" ca="1" si="1373"/>
        <v>1.3562597455089361E-2</v>
      </c>
      <c r="L1441" s="2">
        <f t="shared" ca="1" si="1374"/>
        <v>0.77469704862396449</v>
      </c>
      <c r="M1441" s="2">
        <f t="shared" ca="1" si="1375"/>
        <v>1.5088105578023826E-2</v>
      </c>
      <c r="N1441" s="2">
        <f t="shared" ca="1" si="1376"/>
        <v>1.5088105578023826E-2</v>
      </c>
      <c r="O1441" s="2">
        <f t="shared" si="1377"/>
        <v>6000000</v>
      </c>
      <c r="P1441" s="2">
        <f t="shared" ca="1" si="1378"/>
        <v>43526546.404639184</v>
      </c>
      <c r="Q1441" s="2">
        <f t="shared" ca="1" si="1379"/>
        <v>1088163.6601159796</v>
      </c>
      <c r="R1441" s="2">
        <f t="shared" ca="1" si="1380"/>
        <v>26115927.842783511</v>
      </c>
      <c r="S1441" s="2">
        <f t="shared" ca="1" si="1381"/>
        <v>17410618.561855674</v>
      </c>
      <c r="T1441" s="2">
        <f t="shared" ca="1" si="1382"/>
        <v>50754405.278901197</v>
      </c>
      <c r="U1441" s="2">
        <f t="shared" ca="1" si="1383"/>
        <v>51854755.962725393</v>
      </c>
      <c r="V1441" s="2">
        <f t="shared" ca="1" si="1384"/>
        <v>52978962.144820906</v>
      </c>
      <c r="W1441" s="2">
        <f t="shared" ca="1" si="1385"/>
        <v>54127541.010123529</v>
      </c>
      <c r="X1441" s="2">
        <f t="shared" ca="1" si="1386"/>
        <v>55301020.95608934</v>
      </c>
      <c r="Y1441" s="2">
        <f t="shared" ca="1" si="1387"/>
        <v>0.12678129872754468</v>
      </c>
      <c r="Z1441" s="2">
        <f t="shared" ca="1" si="1388"/>
        <v>0.12949381821856254</v>
      </c>
      <c r="AA1441" s="2">
        <f t="shared" ca="1" si="1389"/>
        <v>6434709.4174032435</v>
      </c>
      <c r="AB1441" s="2">
        <f t="shared" ca="1" si="1390"/>
        <v>6714870.3424050836</v>
      </c>
      <c r="AC1441" s="2">
        <f t="shared" ca="1" si="1391"/>
        <v>6860448.0933895446</v>
      </c>
      <c r="AD1441" s="2">
        <f t="shared" ca="1" si="1392"/>
        <v>7009181.9561827248</v>
      </c>
      <c r="AE1441" s="2">
        <f t="shared" ca="1" si="1393"/>
        <v>7161140.354988751</v>
      </c>
      <c r="AF1441" s="2">
        <f t="shared" ca="1" si="1394"/>
        <v>1015088.1055780239</v>
      </c>
      <c r="AG1441" s="2">
        <f t="shared" ca="1" si="1395"/>
        <v>1037095.1192545079</v>
      </c>
      <c r="AH1441" s="2">
        <f t="shared" ca="1" si="1396"/>
        <v>1059579.2428964181</v>
      </c>
      <c r="AI1441" s="2">
        <f t="shared" ca="1" si="1397"/>
        <v>1082550.8202024705</v>
      </c>
      <c r="AJ1441" s="2">
        <f t="shared" ca="1" si="1398"/>
        <v>1106020.4191217867</v>
      </c>
      <c r="AK1441" s="2">
        <f t="shared" ca="1" si="1399"/>
        <v>0</v>
      </c>
      <c r="AL1441" s="2">
        <f t="shared" ca="1" si="1400"/>
        <v>11003.506838241965</v>
      </c>
      <c r="AM1441" s="2">
        <f t="shared" ca="1" si="1401"/>
        <v>11242.061820955128</v>
      </c>
      <c r="AN1441" s="2">
        <f t="shared" ca="1" si="1402"/>
        <v>11485.788653026224</v>
      </c>
      <c r="AO1441" s="2">
        <f t="shared" ca="1" si="1403"/>
        <v>11734.799459658116</v>
      </c>
      <c r="AP1441" s="2">
        <f t="shared" ca="1" si="1404"/>
        <v>2350433.5058505158</v>
      </c>
      <c r="AQ1441" s="2">
        <f t="shared" ca="1" si="1405"/>
        <v>797988.82955342298</v>
      </c>
      <c r="AR1441" s="2">
        <f t="shared" ca="1" si="1406"/>
        <v>865108.84649801557</v>
      </c>
      <c r="AS1441" s="2">
        <f t="shared" ca="1" si="1407"/>
        <v>897113.18960707879</v>
      </c>
      <c r="AT1441" s="2">
        <f t="shared" ca="1" si="1408"/>
        <v>929811.38383373199</v>
      </c>
      <c r="AU1441" s="2">
        <f t="shared" ca="1" si="1409"/>
        <v>963218.47180427657</v>
      </c>
      <c r="AV1441" s="2">
        <f t="shared" ca="1" si="1410"/>
        <v>2271198.9764212803</v>
      </c>
      <c r="AW1441" s="2">
        <f t="shared" ca="1" si="1411"/>
        <v>2451229.3639638028</v>
      </c>
      <c r="AX1441" s="2">
        <f t="shared" ca="1" si="1412"/>
        <v>2542080.0932145766</v>
      </c>
      <c r="AY1441" s="2">
        <f t="shared" ca="1" si="1413"/>
        <v>2634900.4576429804</v>
      </c>
      <c r="AZ1441" s="2">
        <f t="shared" ca="1" si="1414"/>
        <v>2729733.1587525127</v>
      </c>
      <c r="BA1441" s="2">
        <f t="shared" ca="1" si="1415"/>
        <v>56880470.778727233</v>
      </c>
      <c r="BB1441" s="2">
        <f t="shared" ca="1" si="1416"/>
        <v>1137609.4155745448</v>
      </c>
      <c r="BC1441" s="2">
        <f t="shared" ca="1" si="1417"/>
        <v>29626933.52036918</v>
      </c>
      <c r="BD1441" s="2">
        <f t="shared" ca="1" si="1418"/>
        <v>-18998782.221971653</v>
      </c>
      <c r="BE1441" s="2">
        <f t="shared" ca="1" si="1419"/>
        <v>2271198.9764212803</v>
      </c>
      <c r="BF1441" s="2">
        <f t="shared" ca="1" si="1420"/>
        <v>2451229.3639638028</v>
      </c>
      <c r="BG1441" s="2">
        <f t="shared" ca="1" si="1421"/>
        <v>2542080.0932145766</v>
      </c>
      <c r="BH1441" s="2">
        <f t="shared" ca="1" si="1422"/>
        <v>2634900.4576429804</v>
      </c>
      <c r="BI1441" s="2">
        <f t="shared" ca="1" si="1423"/>
        <v>32356666.679121692</v>
      </c>
      <c r="BJ1441" s="2">
        <f t="shared" ca="1" si="1424"/>
        <v>0.2051947297980552</v>
      </c>
      <c r="BK1441" s="2">
        <f t="shared" ca="1" si="1425"/>
        <v>6827149.9580090195</v>
      </c>
    </row>
    <row r="1442" spans="1:63" x14ac:dyDescent="0.3">
      <c r="A1442" s="2">
        <v>1441</v>
      </c>
      <c r="B1442" s="2">
        <f t="shared" ca="1" si="1364"/>
        <v>0.6971555263738628</v>
      </c>
      <c r="C1442" s="2">
        <f t="shared" ca="1" si="1365"/>
        <v>7.2217397946366049</v>
      </c>
      <c r="D1442" s="2">
        <f t="shared" ca="1" si="1366"/>
        <v>7.6063231626530059E-2</v>
      </c>
      <c r="E1442" s="2">
        <f t="shared" ca="1" si="1367"/>
        <v>6.8900339257719256</v>
      </c>
      <c r="F1442" s="2">
        <f t="shared" ca="1" si="1368"/>
        <v>0.53333246191015737</v>
      </c>
      <c r="G1442" s="2">
        <f t="shared" ca="1" si="1369"/>
        <v>4.2509486257522336E-2</v>
      </c>
      <c r="H1442" s="2">
        <f t="shared" ca="1" si="1370"/>
        <v>4.2509486257522336E-2</v>
      </c>
      <c r="I1442" s="2">
        <f t="shared" ca="1" si="1371"/>
        <v>0.35547751680735307</v>
      </c>
      <c r="J1442" s="2">
        <f t="shared" ca="1" si="1372"/>
        <v>8.147131229969103E-3</v>
      </c>
      <c r="K1442" s="2">
        <f t="shared" ca="1" si="1373"/>
        <v>8.147131229969103E-3</v>
      </c>
      <c r="L1442" s="2">
        <f t="shared" ca="1" si="1374"/>
        <v>0.62935049437441681</v>
      </c>
      <c r="M1442" s="2">
        <f t="shared" ca="1" si="1375"/>
        <v>6.6026721257949027E-3</v>
      </c>
      <c r="N1442" s="2">
        <f t="shared" ca="1" si="1376"/>
        <v>6.6026721257949027E-3</v>
      </c>
      <c r="O1442" s="2">
        <f t="shared" si="1377"/>
        <v>6000000</v>
      </c>
      <c r="P1442" s="2">
        <f t="shared" ca="1" si="1378"/>
        <v>43330438.767819628</v>
      </c>
      <c r="Q1442" s="2">
        <f t="shared" ca="1" si="1379"/>
        <v>1083260.9691954907</v>
      </c>
      <c r="R1442" s="2">
        <f t="shared" ca="1" si="1380"/>
        <v>25998263.260691777</v>
      </c>
      <c r="S1442" s="2">
        <f t="shared" ca="1" si="1381"/>
        <v>17332175.507127851</v>
      </c>
      <c r="T1442" s="2">
        <f t="shared" ca="1" si="1382"/>
        <v>50330133.606289737</v>
      </c>
      <c r="U1442" s="2">
        <f t="shared" ca="1" si="1383"/>
        <v>52469641.729165576</v>
      </c>
      <c r="V1442" s="2">
        <f t="shared" ca="1" si="1384"/>
        <v>54700099.243188664</v>
      </c>
      <c r="W1442" s="2">
        <f t="shared" ca="1" si="1385"/>
        <v>57025372.360252105</v>
      </c>
      <c r="X1442" s="2">
        <f t="shared" ca="1" si="1386"/>
        <v>59449491.642930336</v>
      </c>
      <c r="Y1442" s="2">
        <f t="shared" ca="1" si="1387"/>
        <v>0.12407356561498455</v>
      </c>
      <c r="Z1442" s="2">
        <f t="shared" ca="1" si="1388"/>
        <v>0.12570299186097836</v>
      </c>
      <c r="AA1442" s="2">
        <f t="shared" ca="1" si="1389"/>
        <v>6244639.134410928</v>
      </c>
      <c r="AB1442" s="2">
        <f t="shared" ca="1" si="1390"/>
        <v>6595590.9472297505</v>
      </c>
      <c r="AC1442" s="2">
        <f t="shared" ca="1" si="1391"/>
        <v>6875966.1299612531</v>
      </c>
      <c r="AD1442" s="2">
        <f t="shared" ca="1" si="1392"/>
        <v>7168259.9176700301</v>
      </c>
      <c r="AE1442" s="2">
        <f t="shared" ca="1" si="1393"/>
        <v>7472978.964130573</v>
      </c>
      <c r="AF1442" s="2">
        <f t="shared" ca="1" si="1394"/>
        <v>1006602.6721257948</v>
      </c>
      <c r="AG1442" s="2">
        <f t="shared" ca="1" si="1395"/>
        <v>1049392.8345833116</v>
      </c>
      <c r="AH1442" s="2">
        <f t="shared" ca="1" si="1396"/>
        <v>1094001.9848637732</v>
      </c>
      <c r="AI1442" s="2">
        <f t="shared" ca="1" si="1397"/>
        <v>1140507.4472050422</v>
      </c>
      <c r="AJ1442" s="2">
        <f t="shared" ca="1" si="1398"/>
        <v>1188989.8328586067</v>
      </c>
      <c r="AK1442" s="2">
        <f t="shared" ca="1" si="1399"/>
        <v>0</v>
      </c>
      <c r="AL1442" s="2">
        <f t="shared" ca="1" si="1400"/>
        <v>21395.081228758394</v>
      </c>
      <c r="AM1442" s="2">
        <f t="shared" ca="1" si="1401"/>
        <v>22304.575140230878</v>
      </c>
      <c r="AN1442" s="2">
        <f t="shared" ca="1" si="1402"/>
        <v>23252.731170634404</v>
      </c>
      <c r="AO1442" s="2">
        <f t="shared" ca="1" si="1403"/>
        <v>24241.192826782317</v>
      </c>
      <c r="AP1442" s="2">
        <f t="shared" ca="1" si="1404"/>
        <v>2339843.6934622596</v>
      </c>
      <c r="AQ1442" s="2">
        <f t="shared" ca="1" si="1405"/>
        <v>753530.11989394715</v>
      </c>
      <c r="AR1442" s="2">
        <f t="shared" ca="1" si="1406"/>
        <v>833652.14898788673</v>
      </c>
      <c r="AS1442" s="2">
        <f t="shared" ca="1" si="1407"/>
        <v>894951.31742515741</v>
      </c>
      <c r="AT1442" s="2">
        <f t="shared" ca="1" si="1408"/>
        <v>958856.28202070936</v>
      </c>
      <c r="AU1442" s="2">
        <f t="shared" ca="1" si="1409"/>
        <v>1025477.8138305236</v>
      </c>
      <c r="AV1442" s="2">
        <f t="shared" ca="1" si="1410"/>
        <v>2144662.6489289259</v>
      </c>
      <c r="AW1442" s="2">
        <f t="shared" ca="1" si="1411"/>
        <v>2351307.1889675348</v>
      </c>
      <c r="AX1442" s="2">
        <f t="shared" ca="1" si="1412"/>
        <v>2524864.5590698314</v>
      </c>
      <c r="AY1442" s="2">
        <f t="shared" ca="1" si="1413"/>
        <v>2705799.7638113839</v>
      </c>
      <c r="AZ1442" s="2">
        <f t="shared" ca="1" si="1414"/>
        <v>2894426.4311524001</v>
      </c>
      <c r="BA1442" s="2">
        <f t="shared" ca="1" si="1415"/>
        <v>51489078.589439593</v>
      </c>
      <c r="BB1442" s="2">
        <f t="shared" ca="1" si="1416"/>
        <v>1029781.5717887919</v>
      </c>
      <c r="BC1442" s="2">
        <f t="shared" ca="1" si="1417"/>
        <v>24461033.756959025</v>
      </c>
      <c r="BD1442" s="2">
        <f t="shared" ca="1" si="1418"/>
        <v>-18915436.476323344</v>
      </c>
      <c r="BE1442" s="2">
        <f t="shared" ca="1" si="1419"/>
        <v>2144662.6489289259</v>
      </c>
      <c r="BF1442" s="2">
        <f t="shared" ca="1" si="1420"/>
        <v>2351307.1889675348</v>
      </c>
      <c r="BG1442" s="2">
        <f t="shared" ca="1" si="1421"/>
        <v>2524864.5590698314</v>
      </c>
      <c r="BH1442" s="2">
        <f t="shared" ca="1" si="1422"/>
        <v>2705799.7638113839</v>
      </c>
      <c r="BI1442" s="2">
        <f t="shared" ca="1" si="1423"/>
        <v>27355460.188111424</v>
      </c>
      <c r="BJ1442" s="2">
        <f t="shared" ca="1" si="1424"/>
        <v>0.1719974502151016</v>
      </c>
      <c r="BK1442" s="2">
        <f t="shared" ca="1" si="1425"/>
        <v>3912844.7333494537</v>
      </c>
    </row>
    <row r="1443" spans="1:63" x14ac:dyDescent="0.3">
      <c r="A1443" s="2">
        <v>1442</v>
      </c>
      <c r="B1443" s="2">
        <f t="shared" ca="1" si="1364"/>
        <v>0.89661829307572172</v>
      </c>
      <c r="C1443" s="2">
        <f t="shared" ca="1" si="1365"/>
        <v>7.5452875481707622</v>
      </c>
      <c r="D1443" s="2">
        <f t="shared" ca="1" si="1366"/>
        <v>0.65792469522080177</v>
      </c>
      <c r="E1443" s="2">
        <f t="shared" ca="1" si="1367"/>
        <v>7.6728660268382178</v>
      </c>
      <c r="F1443" s="2">
        <f t="shared" ca="1" si="1368"/>
        <v>0.42433067573439198</v>
      </c>
      <c r="G1443" s="2">
        <f t="shared" ca="1" si="1369"/>
        <v>3.4275198310128714E-2</v>
      </c>
      <c r="H1443" s="2">
        <f t="shared" ca="1" si="1370"/>
        <v>3.4275198310128714E-2</v>
      </c>
      <c r="I1443" s="2">
        <f t="shared" ca="1" si="1371"/>
        <v>0.4144193651021213</v>
      </c>
      <c r="J1443" s="2">
        <f t="shared" ca="1" si="1372"/>
        <v>8.9190441120186783E-3</v>
      </c>
      <c r="K1443" s="2">
        <f t="shared" ca="1" si="1373"/>
        <v>8.9190441120186783E-3</v>
      </c>
      <c r="L1443" s="2">
        <f t="shared" ca="1" si="1374"/>
        <v>0.34652527928850885</v>
      </c>
      <c r="M1443" s="2">
        <f t="shared" ca="1" si="1375"/>
        <v>-7.8943724257969482E-3</v>
      </c>
      <c r="N1443" s="2">
        <f t="shared" ca="1" si="1376"/>
        <v>-7.8943724257969482E-3</v>
      </c>
      <c r="O1443" s="2">
        <f t="shared" si="1377"/>
        <v>6000000</v>
      </c>
      <c r="P1443" s="2">
        <f t="shared" ca="1" si="1378"/>
        <v>45271725.289024577</v>
      </c>
      <c r="Q1443" s="2">
        <f t="shared" ca="1" si="1379"/>
        <v>1131793.1322256145</v>
      </c>
      <c r="R1443" s="2">
        <f t="shared" ca="1" si="1380"/>
        <v>27163035.173414744</v>
      </c>
      <c r="S1443" s="2">
        <f t="shared" ca="1" si="1381"/>
        <v>18108690.115609832</v>
      </c>
      <c r="T1443" s="2">
        <f t="shared" ca="1" si="1382"/>
        <v>49605281.378710151</v>
      </c>
      <c r="U1443" s="2">
        <f t="shared" ca="1" si="1383"/>
        <v>51305512.235195182</v>
      </c>
      <c r="V1443" s="2">
        <f t="shared" ca="1" si="1384"/>
        <v>53064018.841459237</v>
      </c>
      <c r="W1443" s="2">
        <f t="shared" ca="1" si="1385"/>
        <v>54882798.610382661</v>
      </c>
      <c r="X1443" s="2">
        <f t="shared" ca="1" si="1386"/>
        <v>56763917.416568391</v>
      </c>
      <c r="Y1443" s="2">
        <f t="shared" ca="1" si="1387"/>
        <v>0.12445952205600934</v>
      </c>
      <c r="Z1443" s="2">
        <f t="shared" ca="1" si="1388"/>
        <v>0.12624333087841308</v>
      </c>
      <c r="AA1443" s="2">
        <f t="shared" ca="1" si="1389"/>
        <v>6173849.6118481252</v>
      </c>
      <c r="AB1443" s="2">
        <f t="shared" ca="1" si="1390"/>
        <v>6476978.7569942158</v>
      </c>
      <c r="AC1443" s="2">
        <f t="shared" ca="1" si="1391"/>
        <v>6698978.4883406842</v>
      </c>
      <c r="AD1443" s="2">
        <f t="shared" ca="1" si="1392"/>
        <v>6928587.3045038478</v>
      </c>
      <c r="AE1443" s="2">
        <f t="shared" ca="1" si="1393"/>
        <v>7166066.0083747581</v>
      </c>
      <c r="AF1443" s="2">
        <f t="shared" ca="1" si="1394"/>
        <v>992105.62757420307</v>
      </c>
      <c r="AG1443" s="2">
        <f t="shared" ca="1" si="1395"/>
        <v>1026110.2447039037</v>
      </c>
      <c r="AH1443" s="2">
        <f t="shared" ca="1" si="1396"/>
        <v>1061280.3768291848</v>
      </c>
      <c r="AI1443" s="2">
        <f t="shared" ca="1" si="1397"/>
        <v>1097655.9722076533</v>
      </c>
      <c r="AJ1443" s="2">
        <f t="shared" ca="1" si="1398"/>
        <v>1135278.3483313678</v>
      </c>
      <c r="AK1443" s="2">
        <f t="shared" ca="1" si="1399"/>
        <v>0</v>
      </c>
      <c r="AL1443" s="2">
        <f t="shared" ca="1" si="1400"/>
        <v>17002.308564850315</v>
      </c>
      <c r="AM1443" s="2">
        <f t="shared" ca="1" si="1401"/>
        <v>17585.066062640548</v>
      </c>
      <c r="AN1443" s="2">
        <f t="shared" ca="1" si="1402"/>
        <v>18187.797689234241</v>
      </c>
      <c r="AO1443" s="2">
        <f t="shared" ca="1" si="1403"/>
        <v>18811.188061857298</v>
      </c>
      <c r="AP1443" s="2">
        <f t="shared" ca="1" si="1404"/>
        <v>2444673.1656073271</v>
      </c>
      <c r="AQ1443" s="2">
        <f t="shared" ca="1" si="1405"/>
        <v>711638.41285331466</v>
      </c>
      <c r="AR1443" s="2">
        <f t="shared" ca="1" si="1406"/>
        <v>781610.79013757606</v>
      </c>
      <c r="AS1443" s="2">
        <f t="shared" ca="1" si="1407"/>
        <v>830186.48593508487</v>
      </c>
      <c r="AT1443" s="2">
        <f t="shared" ca="1" si="1408"/>
        <v>880427.12333910551</v>
      </c>
      <c r="AU1443" s="2">
        <f t="shared" ca="1" si="1409"/>
        <v>932389.76855337655</v>
      </c>
      <c r="AV1443" s="2">
        <f t="shared" ca="1" si="1410"/>
        <v>2025432.40581328</v>
      </c>
      <c r="AW1443" s="2">
        <f t="shared" ca="1" si="1411"/>
        <v>2207582.2479805588</v>
      </c>
      <c r="AX1443" s="2">
        <f t="shared" ca="1" si="1412"/>
        <v>2345253.3939064476</v>
      </c>
      <c r="AY1443" s="2">
        <f t="shared" ca="1" si="1413"/>
        <v>2487643.2456605281</v>
      </c>
      <c r="AZ1443" s="2">
        <f t="shared" ca="1" si="1414"/>
        <v>2634913.5378208295</v>
      </c>
      <c r="BA1443" s="2">
        <f t="shared" ca="1" si="1415"/>
        <v>54984264.421738841</v>
      </c>
      <c r="BB1443" s="2">
        <f t="shared" ca="1" si="1416"/>
        <v>1099685.2884347769</v>
      </c>
      <c r="BC1443" s="2">
        <f t="shared" ca="1" si="1417"/>
        <v>26721543.959889319</v>
      </c>
      <c r="BD1443" s="2">
        <f t="shared" ca="1" si="1418"/>
        <v>-19740483.247835446</v>
      </c>
      <c r="BE1443" s="2">
        <f t="shared" ca="1" si="1419"/>
        <v>2025432.40581328</v>
      </c>
      <c r="BF1443" s="2">
        <f t="shared" ca="1" si="1420"/>
        <v>2207582.2479805588</v>
      </c>
      <c r="BG1443" s="2">
        <f t="shared" ca="1" si="1421"/>
        <v>2345253.3939064476</v>
      </c>
      <c r="BH1443" s="2">
        <f t="shared" ca="1" si="1422"/>
        <v>2487643.2456605281</v>
      </c>
      <c r="BI1443" s="2">
        <f t="shared" ca="1" si="1423"/>
        <v>29356457.49771015</v>
      </c>
      <c r="BJ1443" s="2">
        <f t="shared" ca="1" si="1424"/>
        <v>0.16693981404210434</v>
      </c>
      <c r="BK1443" s="2">
        <f t="shared" ca="1" si="1425"/>
        <v>3735699.2654509656</v>
      </c>
    </row>
    <row r="1444" spans="1:63" x14ac:dyDescent="0.3">
      <c r="A1444" s="2">
        <v>1443</v>
      </c>
      <c r="B1444" s="2">
        <f t="shared" ca="1" si="1364"/>
        <v>5.4309704742543152E-2</v>
      </c>
      <c r="C1444" s="2">
        <f t="shared" ca="1" si="1365"/>
        <v>6.3295745886519263</v>
      </c>
      <c r="D1444" s="2">
        <f t="shared" ca="1" si="1366"/>
        <v>0.99783537605013595</v>
      </c>
      <c r="E1444" s="2">
        <f t="shared" ca="1" si="1367"/>
        <v>8.4342029795528095</v>
      </c>
      <c r="F1444" s="2">
        <f t="shared" ca="1" si="1368"/>
        <v>0.70531045754548305</v>
      </c>
      <c r="G1444" s="2">
        <f t="shared" ca="1" si="1369"/>
        <v>5.6192081061414767E-2</v>
      </c>
      <c r="H1444" s="2">
        <f t="shared" ca="1" si="1370"/>
        <v>5.6192081061414767E-2</v>
      </c>
      <c r="I1444" s="2">
        <f t="shared" ca="1" si="1371"/>
        <v>0.9486131023132891</v>
      </c>
      <c r="J1444" s="2">
        <f t="shared" ca="1" si="1372"/>
        <v>1.8157762409995261E-2</v>
      </c>
      <c r="K1444" s="2">
        <f t="shared" ca="1" si="1373"/>
        <v>1.8157762409995261E-2</v>
      </c>
      <c r="L1444" s="2">
        <f t="shared" ca="1" si="1374"/>
        <v>0.17244145050971216</v>
      </c>
      <c r="M1444" s="2">
        <f t="shared" ca="1" si="1375"/>
        <v>-1.8891225663069791E-2</v>
      </c>
      <c r="N1444" s="2">
        <f t="shared" ca="1" si="1376"/>
        <v>-1.8891225663069791E-2</v>
      </c>
      <c r="O1444" s="2">
        <f t="shared" si="1377"/>
        <v>6000000</v>
      </c>
      <c r="P1444" s="2">
        <f t="shared" ca="1" si="1378"/>
        <v>37977447.531911559</v>
      </c>
      <c r="Q1444" s="2">
        <f t="shared" ca="1" si="1379"/>
        <v>949436.18829778908</v>
      </c>
      <c r="R1444" s="2">
        <f t="shared" ca="1" si="1380"/>
        <v>22786468.519146934</v>
      </c>
      <c r="S1444" s="2">
        <f t="shared" ca="1" si="1381"/>
        <v>15190979.012764625</v>
      </c>
      <c r="T1444" s="2">
        <f t="shared" ca="1" si="1382"/>
        <v>49055438.716846511</v>
      </c>
      <c r="U1444" s="2">
        <f t="shared" ca="1" si="1383"/>
        <v>51811965.905726813</v>
      </c>
      <c r="V1444" s="2">
        <f t="shared" ca="1" si="1384"/>
        <v>54723388.093852669</v>
      </c>
      <c r="W1444" s="2">
        <f t="shared" ca="1" si="1385"/>
        <v>57798409.153577693</v>
      </c>
      <c r="X1444" s="2">
        <f t="shared" ca="1" si="1386"/>
        <v>61046222.045956343</v>
      </c>
      <c r="Y1444" s="2">
        <f t="shared" ca="1" si="1387"/>
        <v>0.12907888120499764</v>
      </c>
      <c r="Z1444" s="2">
        <f t="shared" ca="1" si="1388"/>
        <v>0.13271043368699667</v>
      </c>
      <c r="AA1444" s="2">
        <f t="shared" ca="1" si="1389"/>
        <v>6332021.1465908727</v>
      </c>
      <c r="AB1444" s="2">
        <f t="shared" ca="1" si="1390"/>
        <v>6875988.4655248905</v>
      </c>
      <c r="AC1444" s="2">
        <f t="shared" ca="1" si="1391"/>
        <v>7262364.5667570177</v>
      </c>
      <c r="AD1444" s="2">
        <f t="shared" ca="1" si="1392"/>
        <v>7670451.945189774</v>
      </c>
      <c r="AE1444" s="2">
        <f t="shared" ca="1" si="1393"/>
        <v>8101470.6026715636</v>
      </c>
      <c r="AF1444" s="2">
        <f t="shared" ca="1" si="1394"/>
        <v>981108.77433693025</v>
      </c>
      <c r="AG1444" s="2">
        <f t="shared" ca="1" si="1395"/>
        <v>1036239.3181145362</v>
      </c>
      <c r="AH1444" s="2">
        <f t="shared" ca="1" si="1396"/>
        <v>1094467.7618770534</v>
      </c>
      <c r="AI1444" s="2">
        <f t="shared" ca="1" si="1397"/>
        <v>1155968.1830715539</v>
      </c>
      <c r="AJ1444" s="2">
        <f t="shared" ca="1" si="1398"/>
        <v>1220924.4409191268</v>
      </c>
      <c r="AK1444" s="2">
        <f t="shared" ca="1" si="1399"/>
        <v>0</v>
      </c>
      <c r="AL1444" s="2">
        <f t="shared" ca="1" si="1400"/>
        <v>27565.271888803021</v>
      </c>
      <c r="AM1444" s="2">
        <f t="shared" ca="1" si="1401"/>
        <v>29114.221881258563</v>
      </c>
      <c r="AN1444" s="2">
        <f t="shared" ca="1" si="1402"/>
        <v>30750.21059725024</v>
      </c>
      <c r="AO1444" s="2">
        <f t="shared" ca="1" si="1403"/>
        <v>32478.128923786506</v>
      </c>
      <c r="AP1444" s="2">
        <f t="shared" ca="1" si="1404"/>
        <v>2050782.1667232241</v>
      </c>
      <c r="AQ1444" s="2">
        <f t="shared" ca="1" si="1405"/>
        <v>858033.85343798669</v>
      </c>
      <c r="AR1444" s="2">
        <f t="shared" ca="1" si="1406"/>
        <v>985131.41497865389</v>
      </c>
      <c r="AS1444" s="2">
        <f t="shared" ca="1" si="1407"/>
        <v>1070449.8059207525</v>
      </c>
      <c r="AT1444" s="2">
        <f t="shared" ca="1" si="1408"/>
        <v>1160562.4148026989</v>
      </c>
      <c r="AU1444" s="2">
        <f t="shared" ca="1" si="1409"/>
        <v>1255738.6387075952</v>
      </c>
      <c r="AV1444" s="2">
        <f t="shared" ca="1" si="1410"/>
        <v>2442096.3520927308</v>
      </c>
      <c r="AW1444" s="2">
        <f t="shared" ca="1" si="1411"/>
        <v>2776270.2938196734</v>
      </c>
      <c r="AX1444" s="2">
        <f t="shared" ca="1" si="1412"/>
        <v>3017550.610354729</v>
      </c>
      <c r="AY1444" s="2">
        <f t="shared" ca="1" si="1413"/>
        <v>3272388.969995047</v>
      </c>
      <c r="AZ1444" s="2">
        <f t="shared" ca="1" si="1414"/>
        <v>3541547.2273978302</v>
      </c>
      <c r="BA1444" s="2">
        <f t="shared" ca="1" si="1415"/>
        <v>68329447.495811999</v>
      </c>
      <c r="BB1444" s="2">
        <f t="shared" ca="1" si="1416"/>
        <v>1366588.9499162401</v>
      </c>
      <c r="BC1444" s="2">
        <f t="shared" ca="1" si="1417"/>
        <v>44176390.026748821</v>
      </c>
      <c r="BD1444" s="2">
        <f t="shared" ca="1" si="1418"/>
        <v>-16640415.201062415</v>
      </c>
      <c r="BE1444" s="2">
        <f t="shared" ca="1" si="1419"/>
        <v>2442096.3520927308</v>
      </c>
      <c r="BF1444" s="2">
        <f t="shared" ca="1" si="1420"/>
        <v>2776270.2938196734</v>
      </c>
      <c r="BG1444" s="2">
        <f t="shared" ca="1" si="1421"/>
        <v>3017550.610354729</v>
      </c>
      <c r="BH1444" s="2">
        <f t="shared" ca="1" si="1422"/>
        <v>3272388.969995047</v>
      </c>
      <c r="BI1444" s="2">
        <f t="shared" ca="1" si="1423"/>
        <v>47717937.25414665</v>
      </c>
      <c r="BJ1444" s="2">
        <f t="shared" ca="1" si="1424"/>
        <v>0.34083089122357801</v>
      </c>
      <c r="BK1444" s="2">
        <f t="shared" ca="1" si="1425"/>
        <v>19057188.019838821</v>
      </c>
    </row>
    <row r="1445" spans="1:63" x14ac:dyDescent="0.3">
      <c r="A1445" s="2">
        <v>1444</v>
      </c>
      <c r="B1445" s="2">
        <f t="shared" ca="1" si="1364"/>
        <v>0.68460087269241787</v>
      </c>
      <c r="C1445" s="2">
        <f t="shared" ca="1" si="1365"/>
        <v>7.2057719127258437</v>
      </c>
      <c r="D1445" s="2">
        <f t="shared" ca="1" si="1366"/>
        <v>0.41781027490430067</v>
      </c>
      <c r="E1445" s="2">
        <f t="shared" ca="1" si="1367"/>
        <v>7.4141228308102809</v>
      </c>
      <c r="F1445" s="2">
        <f t="shared" ca="1" si="1368"/>
        <v>0.50982862240032978</v>
      </c>
      <c r="G1445" s="2">
        <f t="shared" ca="1" si="1369"/>
        <v>4.0739175868511397E-2</v>
      </c>
      <c r="H1445" s="2">
        <f t="shared" ca="1" si="1370"/>
        <v>4.0739175868511397E-2</v>
      </c>
      <c r="I1445" s="2">
        <f t="shared" ca="1" si="1371"/>
        <v>0.12687095769834422</v>
      </c>
      <c r="J1445" s="2">
        <f t="shared" ca="1" si="1372"/>
        <v>4.2934616973314653E-3</v>
      </c>
      <c r="K1445" s="2">
        <f t="shared" ca="1" si="1373"/>
        <v>4.2934616973314653E-3</v>
      </c>
      <c r="L1445" s="2">
        <f t="shared" ca="1" si="1374"/>
        <v>0.60335464111023007</v>
      </c>
      <c r="M1445" s="2">
        <f t="shared" ca="1" si="1375"/>
        <v>5.240797042722691E-3</v>
      </c>
      <c r="N1445" s="2">
        <f t="shared" ca="1" si="1376"/>
        <v>5.240797042722691E-3</v>
      </c>
      <c r="O1445" s="2">
        <f t="shared" si="1377"/>
        <v>6000000</v>
      </c>
      <c r="P1445" s="2">
        <f t="shared" ca="1" si="1378"/>
        <v>43234631.476355061</v>
      </c>
      <c r="Q1445" s="2">
        <f t="shared" ca="1" si="1379"/>
        <v>1080865.7869088766</v>
      </c>
      <c r="R1445" s="2">
        <f t="shared" ca="1" si="1380"/>
        <v>25940778.885813035</v>
      </c>
      <c r="S1445" s="2">
        <f t="shared" ca="1" si="1381"/>
        <v>17293852.590542026</v>
      </c>
      <c r="T1445" s="2">
        <f t="shared" ca="1" si="1382"/>
        <v>50262039.852136128</v>
      </c>
      <c r="U1445" s="2">
        <f t="shared" ca="1" si="1383"/>
        <v>52309673.933182433</v>
      </c>
      <c r="V1445" s="2">
        <f t="shared" ca="1" si="1384"/>
        <v>54440726.939170837</v>
      </c>
      <c r="W1445" s="2">
        <f t="shared" ca="1" si="1385"/>
        <v>56658597.288355321</v>
      </c>
      <c r="X1445" s="2">
        <f t="shared" ca="1" si="1386"/>
        <v>58966821.847748794</v>
      </c>
      <c r="Y1445" s="2">
        <f t="shared" ca="1" si="1387"/>
        <v>0.12214673084866573</v>
      </c>
      <c r="Z1445" s="2">
        <f t="shared" ca="1" si="1388"/>
        <v>0.12300542318813203</v>
      </c>
      <c r="AA1445" s="2">
        <f t="shared" ca="1" si="1389"/>
        <v>6139343.8537237821</v>
      </c>
      <c r="AB1445" s="2">
        <f t="shared" ca="1" si="1390"/>
        <v>6434373.5789843043</v>
      </c>
      <c r="AC1445" s="2">
        <f t="shared" ca="1" si="1391"/>
        <v>6696504.6558222482</v>
      </c>
      <c r="AD1445" s="2">
        <f t="shared" ca="1" si="1392"/>
        <v>6969314.7367000962</v>
      </c>
      <c r="AE1445" s="2">
        <f t="shared" ca="1" si="1393"/>
        <v>7253238.8754415298</v>
      </c>
      <c r="AF1445" s="2">
        <f t="shared" ca="1" si="1394"/>
        <v>1005240.7970427226</v>
      </c>
      <c r="AG1445" s="2">
        <f t="shared" ca="1" si="1395"/>
        <v>1046193.4786636487</v>
      </c>
      <c r="AH1445" s="2">
        <f t="shared" ca="1" si="1396"/>
        <v>1088814.5387834169</v>
      </c>
      <c r="AI1445" s="2">
        <f t="shared" ca="1" si="1397"/>
        <v>1133171.9457671065</v>
      </c>
      <c r="AJ1445" s="2">
        <f t="shared" ca="1" si="1398"/>
        <v>1179336.4369549758</v>
      </c>
      <c r="AK1445" s="2">
        <f t="shared" ca="1" si="1399"/>
        <v>0</v>
      </c>
      <c r="AL1445" s="2">
        <f t="shared" ca="1" si="1400"/>
        <v>20476.340810463058</v>
      </c>
      <c r="AM1445" s="2">
        <f t="shared" ca="1" si="1401"/>
        <v>21310.53005988404</v>
      </c>
      <c r="AN1445" s="2">
        <f t="shared" ca="1" si="1402"/>
        <v>22178.703491844833</v>
      </c>
      <c r="AO1445" s="2">
        <f t="shared" ca="1" si="1403"/>
        <v>23082.245593934731</v>
      </c>
      <c r="AP1445" s="2">
        <f t="shared" ca="1" si="1404"/>
        <v>2334670.0997231728</v>
      </c>
      <c r="AQ1445" s="2">
        <f t="shared" ca="1" si="1405"/>
        <v>727852.56880905048</v>
      </c>
      <c r="AR1445" s="2">
        <f t="shared" ca="1" si="1406"/>
        <v>793912.60015534563</v>
      </c>
      <c r="AS1445" s="2">
        <f t="shared" ca="1" si="1407"/>
        <v>850985.20450207114</v>
      </c>
      <c r="AT1445" s="2">
        <f t="shared" ca="1" si="1408"/>
        <v>910382.89971455245</v>
      </c>
      <c r="AU1445" s="2">
        <f t="shared" ca="1" si="1409"/>
        <v>972200.40807847911</v>
      </c>
      <c r="AV1445" s="2">
        <f t="shared" ca="1" si="1410"/>
        <v>2071580.3881488363</v>
      </c>
      <c r="AW1445" s="2">
        <f t="shared" ca="1" si="1411"/>
        <v>2239121.0596316741</v>
      </c>
      <c r="AX1445" s="2">
        <f t="shared" ca="1" si="1412"/>
        <v>2400724.2827537027</v>
      </c>
      <c r="AY1445" s="2">
        <f t="shared" ca="1" si="1413"/>
        <v>2568911.0880034189</v>
      </c>
      <c r="AZ1445" s="2">
        <f t="shared" ca="1" si="1414"/>
        <v>2743949.685090967</v>
      </c>
      <c r="BA1445" s="2">
        <f t="shared" ca="1" si="1415"/>
        <v>53776403.943731733</v>
      </c>
      <c r="BB1445" s="2">
        <f t="shared" ca="1" si="1416"/>
        <v>1075528.0788746346</v>
      </c>
      <c r="BC1445" s="2">
        <f t="shared" ca="1" si="1417"/>
        <v>26760096.979044065</v>
      </c>
      <c r="BD1445" s="2">
        <f t="shared" ca="1" si="1418"/>
        <v>-18874718.377450902</v>
      </c>
      <c r="BE1445" s="2">
        <f t="shared" ca="1" si="1419"/>
        <v>2071580.3881488363</v>
      </c>
      <c r="BF1445" s="2">
        <f t="shared" ca="1" si="1420"/>
        <v>2239121.0596316741</v>
      </c>
      <c r="BG1445" s="2">
        <f t="shared" ca="1" si="1421"/>
        <v>2400724.2827537027</v>
      </c>
      <c r="BH1445" s="2">
        <f t="shared" ca="1" si="1422"/>
        <v>2568911.0880034189</v>
      </c>
      <c r="BI1445" s="2">
        <f t="shared" ca="1" si="1423"/>
        <v>29504046.664135031</v>
      </c>
      <c r="BJ1445" s="2">
        <f t="shared" ca="1" si="1424"/>
        <v>0.18257468298980006</v>
      </c>
      <c r="BK1445" s="2">
        <f t="shared" ca="1" si="1425"/>
        <v>4842686.5617003478</v>
      </c>
    </row>
    <row r="1446" spans="1:63" x14ac:dyDescent="0.3">
      <c r="A1446" s="2">
        <v>1445</v>
      </c>
      <c r="B1446" s="2">
        <f t="shared" ca="1" si="1364"/>
        <v>0.82933548145298841</v>
      </c>
      <c r="C1446" s="2">
        <f t="shared" ca="1" si="1365"/>
        <v>7.4157662821318651</v>
      </c>
      <c r="D1446" s="2">
        <f t="shared" ca="1" si="1366"/>
        <v>0.31732484707708386</v>
      </c>
      <c r="E1446" s="2">
        <f t="shared" ca="1" si="1367"/>
        <v>7.2966490407664892</v>
      </c>
      <c r="F1446" s="2">
        <f t="shared" ca="1" si="1368"/>
        <v>0.54210416233554637</v>
      </c>
      <c r="G1446" s="2">
        <f t="shared" ca="1" si="1369"/>
        <v>4.3172085340484008E-2</v>
      </c>
      <c r="H1446" s="2">
        <f t="shared" ca="1" si="1370"/>
        <v>4.3172085340484008E-2</v>
      </c>
      <c r="I1446" s="2">
        <f t="shared" ca="1" si="1371"/>
        <v>4.2832070701309677E-3</v>
      </c>
      <c r="J1446" s="2">
        <f t="shared" ca="1" si="1372"/>
        <v>-3.1444484937571023E-3</v>
      </c>
      <c r="K1446" s="2">
        <f t="shared" ca="1" si="1373"/>
        <v>0</v>
      </c>
      <c r="L1446" s="2">
        <f t="shared" ca="1" si="1374"/>
        <v>0.6855723129077459</v>
      </c>
      <c r="M1446" s="2">
        <f t="shared" ca="1" si="1375"/>
        <v>9.6667709465853655E-3</v>
      </c>
      <c r="N1446" s="2">
        <f t="shared" ca="1" si="1376"/>
        <v>9.6667709465853655E-3</v>
      </c>
      <c r="O1446" s="2">
        <f t="shared" si="1377"/>
        <v>6000000</v>
      </c>
      <c r="P1446" s="2">
        <f t="shared" ca="1" si="1378"/>
        <v>44494597.692791194</v>
      </c>
      <c r="Q1446" s="2">
        <f t="shared" ca="1" si="1379"/>
        <v>1112364.9423197799</v>
      </c>
      <c r="R1446" s="2">
        <f t="shared" ca="1" si="1380"/>
        <v>26696758.615674715</v>
      </c>
      <c r="S1446" s="2">
        <f t="shared" ca="1" si="1381"/>
        <v>17797839.077116478</v>
      </c>
      <c r="T1446" s="2">
        <f t="shared" ca="1" si="1382"/>
        <v>50483338.547329269</v>
      </c>
      <c r="U1446" s="2">
        <f t="shared" ca="1" si="1383"/>
        <v>52662809.547367111</v>
      </c>
      <c r="V1446" s="2">
        <f t="shared" ca="1" si="1384"/>
        <v>54936372.855415702</v>
      </c>
      <c r="W1446" s="2">
        <f t="shared" ca="1" si="1385"/>
        <v>57308090.632626355</v>
      </c>
      <c r="X1446" s="2">
        <f t="shared" ca="1" si="1386"/>
        <v>59782200.412118293</v>
      </c>
      <c r="Y1446" s="2">
        <f t="shared" ca="1" si="1387"/>
        <v>0.12</v>
      </c>
      <c r="Z1446" s="2">
        <f t="shared" ca="1" si="1388"/>
        <v>0.12</v>
      </c>
      <c r="AA1446" s="2">
        <f t="shared" ca="1" si="1389"/>
        <v>6058000.6256795125</v>
      </c>
      <c r="AB1446" s="2">
        <f t="shared" ca="1" si="1390"/>
        <v>6319537.1456840532</v>
      </c>
      <c r="AC1446" s="2">
        <f t="shared" ca="1" si="1391"/>
        <v>6592364.742649884</v>
      </c>
      <c r="AD1446" s="2">
        <f t="shared" ca="1" si="1392"/>
        <v>6876970.8759151623</v>
      </c>
      <c r="AE1446" s="2">
        <f t="shared" ca="1" si="1393"/>
        <v>7173864.0494541945</v>
      </c>
      <c r="AF1446" s="2">
        <f t="shared" ca="1" si="1394"/>
        <v>1009666.7709465855</v>
      </c>
      <c r="AG1446" s="2">
        <f t="shared" ca="1" si="1395"/>
        <v>1053256.1909473422</v>
      </c>
      <c r="AH1446" s="2">
        <f t="shared" ca="1" si="1396"/>
        <v>1098727.4571083141</v>
      </c>
      <c r="AI1446" s="2">
        <f t="shared" ca="1" si="1397"/>
        <v>1146161.8126525271</v>
      </c>
      <c r="AJ1446" s="2">
        <f t="shared" ca="1" si="1398"/>
        <v>1195644.0082423659</v>
      </c>
      <c r="AK1446" s="2">
        <f t="shared" ca="1" si="1399"/>
        <v>0</v>
      </c>
      <c r="AL1446" s="2">
        <f t="shared" ca="1" si="1400"/>
        <v>21794.710000378414</v>
      </c>
      <c r="AM1446" s="2">
        <f t="shared" ca="1" si="1401"/>
        <v>22735.63308048591</v>
      </c>
      <c r="AN1446" s="2">
        <f t="shared" ca="1" si="1402"/>
        <v>23717.17777210653</v>
      </c>
      <c r="AO1446" s="2">
        <f t="shared" ca="1" si="1403"/>
        <v>24741.097794919388</v>
      </c>
      <c r="AP1446" s="2">
        <f t="shared" ca="1" si="1404"/>
        <v>2402708.2754107243</v>
      </c>
      <c r="AQ1446" s="2">
        <f t="shared" ca="1" si="1405"/>
        <v>687862.65062377264</v>
      </c>
      <c r="AR1446" s="2">
        <f t="shared" ca="1" si="1406"/>
        <v>744528.89662475663</v>
      </c>
      <c r="AS1446" s="2">
        <f t="shared" ca="1" si="1407"/>
        <v>803641.54263401986</v>
      </c>
      <c r="AT1446" s="2">
        <f t="shared" ca="1" si="1408"/>
        <v>865306.20484149677</v>
      </c>
      <c r="AU1446" s="2">
        <f t="shared" ca="1" si="1409"/>
        <v>929633.0591082871</v>
      </c>
      <c r="AV1446" s="2">
        <f t="shared" ca="1" si="1410"/>
        <v>1957762.9286984303</v>
      </c>
      <c r="AW1446" s="2">
        <f t="shared" ca="1" si="1411"/>
        <v>2097249.0727008521</v>
      </c>
      <c r="AX1446" s="2">
        <f t="shared" ca="1" si="1412"/>
        <v>2264551.8344163396</v>
      </c>
      <c r="AY1446" s="2">
        <f t="shared" ca="1" si="1413"/>
        <v>2439077.4052383075</v>
      </c>
      <c r="AZ1446" s="2">
        <f t="shared" ca="1" si="1414"/>
        <v>2621137.6088978979</v>
      </c>
      <c r="BA1446" s="2">
        <f t="shared" ca="1" si="1415"/>
        <v>52345168.235039152</v>
      </c>
      <c r="BB1446" s="2">
        <f t="shared" ca="1" si="1416"/>
        <v>1046903.364700783</v>
      </c>
      <c r="BC1446" s="2">
        <f t="shared" ca="1" si="1417"/>
        <v>24601506.254663654</v>
      </c>
      <c r="BD1446" s="2">
        <f t="shared" ca="1" si="1418"/>
        <v>-19410204.019436259</v>
      </c>
      <c r="BE1446" s="2">
        <f t="shared" ca="1" si="1419"/>
        <v>1957762.9286984303</v>
      </c>
      <c r="BF1446" s="2">
        <f t="shared" ca="1" si="1420"/>
        <v>2097249.0727008521</v>
      </c>
      <c r="BG1446" s="2">
        <f t="shared" ca="1" si="1421"/>
        <v>2264551.8344163396</v>
      </c>
      <c r="BH1446" s="2">
        <f t="shared" ca="1" si="1422"/>
        <v>2439077.4052383075</v>
      </c>
      <c r="BI1446" s="2">
        <f t="shared" ca="1" si="1423"/>
        <v>27222643.863561552</v>
      </c>
      <c r="BJ1446" s="2">
        <f t="shared" ca="1" si="1424"/>
        <v>0.15416377095734091</v>
      </c>
      <c r="BK1446" s="2">
        <f t="shared" ca="1" si="1425"/>
        <v>2618512.9793225452</v>
      </c>
    </row>
    <row r="1447" spans="1:63" x14ac:dyDescent="0.3">
      <c r="A1447" s="2">
        <v>1446</v>
      </c>
      <c r="B1447" s="2">
        <f t="shared" ca="1" si="1364"/>
        <v>0.33443547759799275</v>
      </c>
      <c r="C1447" s="2">
        <f t="shared" ca="1" si="1365"/>
        <v>6.81784531251086</v>
      </c>
      <c r="D1447" s="2">
        <f t="shared" ca="1" si="1366"/>
        <v>0.70018504566818907</v>
      </c>
      <c r="E1447" s="2">
        <f t="shared" ca="1" si="1367"/>
        <v>7.7256422605386952</v>
      </c>
      <c r="F1447" s="2">
        <f t="shared" ca="1" si="1368"/>
        <v>0.77296595663135492</v>
      </c>
      <c r="G1447" s="2">
        <f t="shared" ca="1" si="1369"/>
        <v>6.2459505005551239E-2</v>
      </c>
      <c r="H1447" s="2">
        <f t="shared" ca="1" si="1370"/>
        <v>6.2459505005551239E-2</v>
      </c>
      <c r="I1447" s="2">
        <f t="shared" ca="1" si="1371"/>
        <v>0.92036564418575162</v>
      </c>
      <c r="J1447" s="2">
        <f t="shared" ca="1" si="1372"/>
        <v>1.7037676598366708E-2</v>
      </c>
      <c r="K1447" s="2">
        <f t="shared" ca="1" si="1373"/>
        <v>1.7037676598366708E-2</v>
      </c>
      <c r="L1447" s="2">
        <f t="shared" ca="1" si="1374"/>
        <v>6.4668814997027368E-2</v>
      </c>
      <c r="M1447" s="2">
        <f t="shared" ca="1" si="1375"/>
        <v>-3.0334381199261254E-2</v>
      </c>
      <c r="N1447" s="2">
        <f t="shared" ca="1" si="1376"/>
        <v>-3.0334381199261254E-2</v>
      </c>
      <c r="O1447" s="2">
        <f t="shared" si="1377"/>
        <v>6000000</v>
      </c>
      <c r="P1447" s="2">
        <f t="shared" ca="1" si="1378"/>
        <v>40907071.875065163</v>
      </c>
      <c r="Q1447" s="2">
        <f t="shared" ca="1" si="1379"/>
        <v>1022676.7968766291</v>
      </c>
      <c r="R1447" s="2">
        <f t="shared" ca="1" si="1380"/>
        <v>24544243.125039097</v>
      </c>
      <c r="S1447" s="2">
        <f t="shared" ca="1" si="1381"/>
        <v>16362828.750026066</v>
      </c>
      <c r="T1447" s="2">
        <f t="shared" ca="1" si="1382"/>
        <v>48483280.940036938</v>
      </c>
      <c r="U1447" s="2">
        <f t="shared" ca="1" si="1383"/>
        <v>51511522.668596722</v>
      </c>
      <c r="V1447" s="2">
        <f t="shared" ca="1" si="1384"/>
        <v>54728906.876559503</v>
      </c>
      <c r="W1447" s="2">
        <f t="shared" ca="1" si="1385"/>
        <v>58147247.309564315</v>
      </c>
      <c r="X1447" s="2">
        <f t="shared" ca="1" si="1386"/>
        <v>61779095.59395507</v>
      </c>
      <c r="Y1447" s="2">
        <f t="shared" ca="1" si="1387"/>
        <v>0.12851883829918334</v>
      </c>
      <c r="Z1447" s="2">
        <f t="shared" ca="1" si="1388"/>
        <v>0.1319263736188567</v>
      </c>
      <c r="AA1447" s="2">
        <f t="shared" ca="1" si="1389"/>
        <v>6231014.9433464846</v>
      </c>
      <c r="AB1447" s="2">
        <f t="shared" ca="1" si="1390"/>
        <v>6795728.3852534974</v>
      </c>
      <c r="AC1447" s="2">
        <f t="shared" ca="1" si="1391"/>
        <v>7220186.2163486052</v>
      </c>
      <c r="AD1447" s="2">
        <f t="shared" ca="1" si="1392"/>
        <v>7671155.473469642</v>
      </c>
      <c r="AE1447" s="2">
        <f t="shared" ca="1" si="1393"/>
        <v>8150292.0471631801</v>
      </c>
      <c r="AF1447" s="2">
        <f t="shared" ca="1" si="1394"/>
        <v>969665.61880073883</v>
      </c>
      <c r="AG1447" s="2">
        <f t="shared" ca="1" si="1395"/>
        <v>1030230.4533719345</v>
      </c>
      <c r="AH1447" s="2">
        <f t="shared" ca="1" si="1396"/>
        <v>1094578.1375311902</v>
      </c>
      <c r="AI1447" s="2">
        <f t="shared" ca="1" si="1397"/>
        <v>1162944.9461912864</v>
      </c>
      <c r="AJ1447" s="2">
        <f t="shared" ca="1" si="1398"/>
        <v>1235581.9118791015</v>
      </c>
      <c r="AK1447" s="2">
        <f t="shared" ca="1" si="1399"/>
        <v>0</v>
      </c>
      <c r="AL1447" s="2">
        <f t="shared" ca="1" si="1400"/>
        <v>30282.417285597847</v>
      </c>
      <c r="AM1447" s="2">
        <f t="shared" ca="1" si="1401"/>
        <v>32173.842079627811</v>
      </c>
      <c r="AN1447" s="2">
        <f t="shared" ca="1" si="1402"/>
        <v>34183.404330048113</v>
      </c>
      <c r="AO1447" s="2">
        <f t="shared" ca="1" si="1403"/>
        <v>36318.48284390755</v>
      </c>
      <c r="AP1447" s="2">
        <f t="shared" ca="1" si="1404"/>
        <v>2208981.8812535186</v>
      </c>
      <c r="AQ1447" s="2">
        <f t="shared" ca="1" si="1405"/>
        <v>793615.53525597905</v>
      </c>
      <c r="AR1447" s="2">
        <f t="shared" ca="1" si="1406"/>
        <v>924694.17316329153</v>
      </c>
      <c r="AS1447" s="2">
        <f t="shared" ca="1" si="1407"/>
        <v>1018322.8113666131</v>
      </c>
      <c r="AT1447" s="2">
        <f t="shared" ca="1" si="1408"/>
        <v>1117799.4479664573</v>
      </c>
      <c r="AU1447" s="2">
        <f t="shared" ca="1" si="1409"/>
        <v>1223489.3460479453</v>
      </c>
      <c r="AV1447" s="2">
        <f t="shared" ca="1" si="1410"/>
        <v>2258751.9080362483</v>
      </c>
      <c r="AW1447" s="2">
        <f t="shared" ca="1" si="1411"/>
        <v>2601539.4601791552</v>
      </c>
      <c r="AX1447" s="2">
        <f t="shared" ca="1" si="1412"/>
        <v>2866129.5441176551</v>
      </c>
      <c r="AY1447" s="2">
        <f t="shared" ca="1" si="1413"/>
        <v>3147245.7937283316</v>
      </c>
      <c r="AZ1447" s="2">
        <f t="shared" ca="1" si="1414"/>
        <v>3445920.4251387068</v>
      </c>
      <c r="BA1447" s="2">
        <f t="shared" ca="1" si="1415"/>
        <v>62966240.675296299</v>
      </c>
      <c r="BB1447" s="2">
        <f t="shared" ca="1" si="1416"/>
        <v>1259324.8135059259</v>
      </c>
      <c r="BC1447" s="2">
        <f t="shared" ca="1" si="1417"/>
        <v>37162672.736751281</v>
      </c>
      <c r="BD1447" s="2">
        <f t="shared" ca="1" si="1418"/>
        <v>-17885505.546902694</v>
      </c>
      <c r="BE1447" s="2">
        <f t="shared" ca="1" si="1419"/>
        <v>2258751.9080362483</v>
      </c>
      <c r="BF1447" s="2">
        <f t="shared" ca="1" si="1420"/>
        <v>2601539.4601791552</v>
      </c>
      <c r="BG1447" s="2">
        <f t="shared" ca="1" si="1421"/>
        <v>2866129.5441176551</v>
      </c>
      <c r="BH1447" s="2">
        <f t="shared" ca="1" si="1422"/>
        <v>3147245.7937283316</v>
      </c>
      <c r="BI1447" s="2">
        <f t="shared" ca="1" si="1423"/>
        <v>40608593.161889985</v>
      </c>
      <c r="BJ1447" s="2">
        <f t="shared" ca="1" si="1424"/>
        <v>0.27694062108028983</v>
      </c>
      <c r="BK1447" s="2">
        <f t="shared" ca="1" si="1425"/>
        <v>13287760.887274235</v>
      </c>
    </row>
    <row r="1448" spans="1:63" x14ac:dyDescent="0.3">
      <c r="A1448" s="2">
        <v>1447</v>
      </c>
      <c r="B1448" s="2">
        <f t="shared" ca="1" si="1364"/>
        <v>0.37429026351714056</v>
      </c>
      <c r="C1448" s="2">
        <f t="shared" ca="1" si="1365"/>
        <v>6.8652054825498281</v>
      </c>
      <c r="D1448" s="2">
        <f t="shared" ca="1" si="1366"/>
        <v>0.49124188613710495</v>
      </c>
      <c r="E1448" s="2">
        <f t="shared" ca="1" si="1367"/>
        <v>7.4912031942413275</v>
      </c>
      <c r="F1448" s="2">
        <f t="shared" ca="1" si="1368"/>
        <v>0.97531855350806451</v>
      </c>
      <c r="G1448" s="2">
        <f t="shared" ca="1" si="1369"/>
        <v>9.8963314331534824E-2</v>
      </c>
      <c r="H1448" s="2">
        <f t="shared" ca="1" si="1370"/>
        <v>9.8963314331534824E-2</v>
      </c>
      <c r="I1448" s="2">
        <f t="shared" ca="1" si="1371"/>
        <v>0.84159639172891398</v>
      </c>
      <c r="J1448" s="2">
        <f t="shared" ca="1" si="1372"/>
        <v>1.5005202626285252E-2</v>
      </c>
      <c r="K1448" s="2">
        <f t="shared" ca="1" si="1373"/>
        <v>1.5005202626285252E-2</v>
      </c>
      <c r="L1448" s="2">
        <f t="shared" ca="1" si="1374"/>
        <v>0.54138937940087384</v>
      </c>
      <c r="M1448" s="2">
        <f t="shared" ca="1" si="1375"/>
        <v>2.078692195646025E-3</v>
      </c>
      <c r="N1448" s="2">
        <f t="shared" ca="1" si="1376"/>
        <v>2.078692195646025E-3</v>
      </c>
      <c r="O1448" s="2">
        <f t="shared" si="1377"/>
        <v>6000000</v>
      </c>
      <c r="P1448" s="2">
        <f t="shared" ca="1" si="1378"/>
        <v>41191232.895298965</v>
      </c>
      <c r="Q1448" s="2">
        <f t="shared" ca="1" si="1379"/>
        <v>1029780.8223824742</v>
      </c>
      <c r="R1448" s="2">
        <f t="shared" ca="1" si="1380"/>
        <v>24714739.73717938</v>
      </c>
      <c r="S1448" s="2">
        <f t="shared" ca="1" si="1381"/>
        <v>16476493.158119587</v>
      </c>
      <c r="T1448" s="2">
        <f t="shared" ca="1" si="1382"/>
        <v>50103934.609782293</v>
      </c>
      <c r="U1448" s="2">
        <f t="shared" ca="1" si="1383"/>
        <v>55062386.039816849</v>
      </c>
      <c r="V1448" s="2">
        <f t="shared" ca="1" si="1384"/>
        <v>60511542.257319562</v>
      </c>
      <c r="W1448" s="2">
        <f t="shared" ca="1" si="1385"/>
        <v>66499965.034416638</v>
      </c>
      <c r="X1448" s="2">
        <f t="shared" ca="1" si="1386"/>
        <v>73081021.977153689</v>
      </c>
      <c r="Y1448" s="2">
        <f t="shared" ca="1" si="1387"/>
        <v>0.12750260131314262</v>
      </c>
      <c r="Z1448" s="2">
        <f t="shared" ca="1" si="1388"/>
        <v>0.13050364183839966</v>
      </c>
      <c r="AA1448" s="2">
        <f t="shared" ca="1" si="1389"/>
        <v>6388381.9987708395</v>
      </c>
      <c r="AB1448" s="2">
        <f t="shared" ca="1" si="1390"/>
        <v>7185841.9065079559</v>
      </c>
      <c r="AC1448" s="2">
        <f t="shared" ca="1" si="1391"/>
        <v>7896976.6378384186</v>
      </c>
      <c r="AD1448" s="2">
        <f t="shared" ca="1" si="1392"/>
        <v>8678487.6191176102</v>
      </c>
      <c r="AE1448" s="2">
        <f t="shared" ca="1" si="1393"/>
        <v>9537339.5172906797</v>
      </c>
      <c r="AF1448" s="2">
        <f t="shared" ca="1" si="1394"/>
        <v>1002078.6921956459</v>
      </c>
      <c r="AG1448" s="2">
        <f t="shared" ca="1" si="1395"/>
        <v>1101247.7207963369</v>
      </c>
      <c r="AH1448" s="2">
        <f t="shared" ca="1" si="1396"/>
        <v>1210230.8451463913</v>
      </c>
      <c r="AI1448" s="2">
        <f t="shared" ca="1" si="1397"/>
        <v>1329999.3006883329</v>
      </c>
      <c r="AJ1448" s="2">
        <f t="shared" ca="1" si="1398"/>
        <v>1461620.4395430738</v>
      </c>
      <c r="AK1448" s="2">
        <f t="shared" ca="1" si="1399"/>
        <v>0</v>
      </c>
      <c r="AL1448" s="2">
        <f t="shared" ca="1" si="1400"/>
        <v>49584.51430034556</v>
      </c>
      <c r="AM1448" s="2">
        <f t="shared" ca="1" si="1401"/>
        <v>54491.562175027131</v>
      </c>
      <c r="AN1448" s="2">
        <f t="shared" ca="1" si="1402"/>
        <v>59884.227770970763</v>
      </c>
      <c r="AO1448" s="2">
        <f t="shared" ca="1" si="1403"/>
        <v>65810.569427370501</v>
      </c>
      <c r="AP1448" s="2">
        <f t="shared" ca="1" si="1404"/>
        <v>2224326.5763461441</v>
      </c>
      <c r="AQ1448" s="2">
        <f t="shared" ca="1" si="1405"/>
        <v>822113.94985955302</v>
      </c>
      <c r="AR1448" s="2">
        <f t="shared" ca="1" si="1406"/>
        <v>1003669.5784350234</v>
      </c>
      <c r="AS1448" s="2">
        <f t="shared" ca="1" si="1407"/>
        <v>1160228.9962499295</v>
      </c>
      <c r="AT1448" s="2">
        <f t="shared" ca="1" si="1408"/>
        <v>1332282.0529416148</v>
      </c>
      <c r="AU1448" s="2">
        <f t="shared" ca="1" si="1409"/>
        <v>1521362.05036438</v>
      </c>
      <c r="AV1448" s="2">
        <f t="shared" ca="1" si="1410"/>
        <v>2339862.7803694969</v>
      </c>
      <c r="AW1448" s="2">
        <f t="shared" ca="1" si="1411"/>
        <v>2807013.5166301057</v>
      </c>
      <c r="AX1448" s="2">
        <f t="shared" ca="1" si="1412"/>
        <v>3247698.6579209268</v>
      </c>
      <c r="AY1448" s="2">
        <f t="shared" ca="1" si="1413"/>
        <v>3731995.4613705473</v>
      </c>
      <c r="AZ1448" s="2">
        <f t="shared" ca="1" si="1414"/>
        <v>4264219.8816097118</v>
      </c>
      <c r="BA1448" s="2">
        <f t="shared" ca="1" si="1415"/>
        <v>71446148.256491974</v>
      </c>
      <c r="BB1448" s="2">
        <f t="shared" ca="1" si="1416"/>
        <v>1428922.9651298395</v>
      </c>
      <c r="BC1448" s="2">
        <f t="shared" ca="1" si="1417"/>
        <v>45302485.554182753</v>
      </c>
      <c r="BD1448" s="2">
        <f t="shared" ca="1" si="1418"/>
        <v>-18006273.980502062</v>
      </c>
      <c r="BE1448" s="2">
        <f t="shared" ca="1" si="1419"/>
        <v>2339862.7803694969</v>
      </c>
      <c r="BF1448" s="2">
        <f t="shared" ca="1" si="1420"/>
        <v>2807013.5166301057</v>
      </c>
      <c r="BG1448" s="2">
        <f t="shared" ca="1" si="1421"/>
        <v>3247698.6579209268</v>
      </c>
      <c r="BH1448" s="2">
        <f t="shared" ca="1" si="1422"/>
        <v>3731995.4613705473</v>
      </c>
      <c r="BI1448" s="2">
        <f t="shared" ca="1" si="1423"/>
        <v>49566705.435792461</v>
      </c>
      <c r="BJ1448" s="2">
        <f t="shared" ca="1" si="1424"/>
        <v>0.3268249112226691</v>
      </c>
      <c r="BK1448" s="2">
        <f t="shared" ca="1" si="1425"/>
        <v>19129501.359462604</v>
      </c>
    </row>
    <row r="1449" spans="1:63" x14ac:dyDescent="0.3">
      <c r="A1449" s="2">
        <v>1448</v>
      </c>
      <c r="B1449" s="2">
        <f t="shared" ca="1" si="1364"/>
        <v>0.46743535721497331</v>
      </c>
      <c r="C1449" s="2">
        <f t="shared" ca="1" si="1365"/>
        <v>6.9668871260027956</v>
      </c>
      <c r="D1449" s="2">
        <f t="shared" ca="1" si="1366"/>
        <v>0.21841072475417389</v>
      </c>
      <c r="E1449" s="2">
        <f t="shared" ca="1" si="1367"/>
        <v>7.1609246927663905</v>
      </c>
      <c r="F1449" s="2">
        <f t="shared" ca="1" si="1368"/>
        <v>0.10278520276662018</v>
      </c>
      <c r="G1449" s="2">
        <f t="shared" ca="1" si="1369"/>
        <v>2.024802885691547E-3</v>
      </c>
      <c r="H1449" s="2">
        <f t="shared" ca="1" si="1370"/>
        <v>2.024802885691547E-3</v>
      </c>
      <c r="I1449" s="2">
        <f t="shared" ca="1" si="1371"/>
        <v>0.5546816252629474</v>
      </c>
      <c r="J1449" s="2">
        <f t="shared" ca="1" si="1372"/>
        <v>1.0687492682427182E-2</v>
      </c>
      <c r="K1449" s="2">
        <f t="shared" ca="1" si="1373"/>
        <v>1.0687492682427182E-2</v>
      </c>
      <c r="L1449" s="2">
        <f t="shared" ca="1" si="1374"/>
        <v>0.55518258693320766</v>
      </c>
      <c r="M1449" s="2">
        <f t="shared" ca="1" si="1375"/>
        <v>2.7753259710462616E-3</v>
      </c>
      <c r="N1449" s="2">
        <f t="shared" ca="1" si="1376"/>
        <v>2.7753259710462616E-3</v>
      </c>
      <c r="O1449" s="2">
        <f t="shared" si="1377"/>
        <v>6000000</v>
      </c>
      <c r="P1449" s="2">
        <f t="shared" ca="1" si="1378"/>
        <v>41801322.756016776</v>
      </c>
      <c r="Q1449" s="2">
        <f t="shared" ca="1" si="1379"/>
        <v>1045033.0689004194</v>
      </c>
      <c r="R1449" s="2">
        <f t="shared" ca="1" si="1380"/>
        <v>25080793.653610066</v>
      </c>
      <c r="S1449" s="2">
        <f t="shared" ca="1" si="1381"/>
        <v>16720529.10240671</v>
      </c>
      <c r="T1449" s="2">
        <f t="shared" ca="1" si="1382"/>
        <v>50138766.298552319</v>
      </c>
      <c r="U1449" s="2">
        <f t="shared" ca="1" si="1383"/>
        <v>50240287.417238638</v>
      </c>
      <c r="V1449" s="2">
        <f t="shared" ca="1" si="1384"/>
        <v>50342014.096179031</v>
      </c>
      <c r="W1449" s="2">
        <f t="shared" ca="1" si="1385"/>
        <v>50443946.751592495</v>
      </c>
      <c r="X1449" s="2">
        <f t="shared" ca="1" si="1386"/>
        <v>50546085.80054079</v>
      </c>
      <c r="Y1449" s="2">
        <f t="shared" ca="1" si="1387"/>
        <v>0.12534374634121359</v>
      </c>
      <c r="Z1449" s="2">
        <f t="shared" ca="1" si="1388"/>
        <v>0.12748124487769902</v>
      </c>
      <c r="AA1449" s="2">
        <f t="shared" ca="1" si="1389"/>
        <v>6284580.804787131</v>
      </c>
      <c r="AB1449" s="2">
        <f t="shared" ca="1" si="1390"/>
        <v>6404694.3829629794</v>
      </c>
      <c r="AC1449" s="2">
        <f t="shared" ca="1" si="1391"/>
        <v>6417662.6266315747</v>
      </c>
      <c r="AD1449" s="2">
        <f t="shared" ca="1" si="1392"/>
        <v>6430657.1284373729</v>
      </c>
      <c r="AE1449" s="2">
        <f t="shared" ca="1" si="1393"/>
        <v>6443677.9415479256</v>
      </c>
      <c r="AF1449" s="2">
        <f t="shared" ca="1" si="1394"/>
        <v>1002775.3259710465</v>
      </c>
      <c r="AG1449" s="2">
        <f t="shared" ca="1" si="1395"/>
        <v>1004805.7483447727</v>
      </c>
      <c r="AH1449" s="2">
        <f t="shared" ca="1" si="1396"/>
        <v>1006840.2819235807</v>
      </c>
      <c r="AI1449" s="2">
        <f t="shared" ca="1" si="1397"/>
        <v>1008878.9350318499</v>
      </c>
      <c r="AJ1449" s="2">
        <f t="shared" ca="1" si="1398"/>
        <v>1010921.7160108158</v>
      </c>
      <c r="AK1449" s="2">
        <f t="shared" ca="1" si="1399"/>
        <v>0</v>
      </c>
      <c r="AL1449" s="2">
        <f t="shared" ca="1" si="1400"/>
        <v>1015.211186863184</v>
      </c>
      <c r="AM1449" s="2">
        <f t="shared" ca="1" si="1401"/>
        <v>1017.2667894039304</v>
      </c>
      <c r="AN1449" s="2">
        <f t="shared" ca="1" si="1402"/>
        <v>1019.3265541346371</v>
      </c>
      <c r="AO1449" s="2">
        <f t="shared" ca="1" si="1403"/>
        <v>1021.3904894829542</v>
      </c>
      <c r="AP1449" s="2">
        <f t="shared" ca="1" si="1404"/>
        <v>2257271.4288249058</v>
      </c>
      <c r="AQ1449" s="2">
        <f t="shared" ca="1" si="1405"/>
        <v>786378.8529977065</v>
      </c>
      <c r="AR1449" s="2">
        <f t="shared" ca="1" si="1406"/>
        <v>817080.47350625833</v>
      </c>
      <c r="AS1449" s="2">
        <f t="shared" ca="1" si="1407"/>
        <v>819923.23812960286</v>
      </c>
      <c r="AT1449" s="2">
        <f t="shared" ca="1" si="1408"/>
        <v>822771.75879096054</v>
      </c>
      <c r="AU1449" s="2">
        <f t="shared" ca="1" si="1409"/>
        <v>825626.04714517319</v>
      </c>
      <c r="AV1449" s="2">
        <f t="shared" ca="1" si="1410"/>
        <v>2238155.1969934725</v>
      </c>
      <c r="AW1449" s="2">
        <f t="shared" ca="1" si="1411"/>
        <v>2324521.5211001798</v>
      </c>
      <c r="AX1449" s="2">
        <f t="shared" ca="1" si="1412"/>
        <v>2332610.4109640815</v>
      </c>
      <c r="AY1449" s="2">
        <f t="shared" ca="1" si="1413"/>
        <v>2340715.6792355222</v>
      </c>
      <c r="AZ1449" s="2">
        <f t="shared" ca="1" si="1414"/>
        <v>2348837.3590775481</v>
      </c>
      <c r="BA1449" s="2">
        <f t="shared" ca="1" si="1415"/>
        <v>46142692.48386465</v>
      </c>
      <c r="BB1449" s="2">
        <f t="shared" ca="1" si="1416"/>
        <v>922853.84967729298</v>
      </c>
      <c r="BC1449" s="2">
        <f t="shared" ca="1" si="1417"/>
        <v>20139044.98057729</v>
      </c>
      <c r="BD1449" s="2">
        <f t="shared" ca="1" si="1418"/>
        <v>-18265562.171307132</v>
      </c>
      <c r="BE1449" s="2">
        <f t="shared" ca="1" si="1419"/>
        <v>2238155.1969934725</v>
      </c>
      <c r="BF1449" s="2">
        <f t="shared" ca="1" si="1420"/>
        <v>2324521.5211001798</v>
      </c>
      <c r="BG1449" s="2">
        <f t="shared" ca="1" si="1421"/>
        <v>2332610.4109640815</v>
      </c>
      <c r="BH1449" s="2">
        <f t="shared" ca="1" si="1422"/>
        <v>2340715.6792355222</v>
      </c>
      <c r="BI1449" s="2">
        <f t="shared" ca="1" si="1423"/>
        <v>22487882.339654837</v>
      </c>
      <c r="BJ1449" s="2">
        <f t="shared" ca="1" si="1424"/>
        <v>0.14194821052543105</v>
      </c>
      <c r="BK1449" s="2">
        <f t="shared" ca="1" si="1425"/>
        <v>1493986.5226961076</v>
      </c>
    </row>
    <row r="1450" spans="1:63" x14ac:dyDescent="0.3">
      <c r="A1450" s="2">
        <v>1449</v>
      </c>
      <c r="B1450" s="2">
        <f t="shared" ca="1" si="1364"/>
        <v>0.58336336415732204</v>
      </c>
      <c r="C1450" s="2">
        <f t="shared" ca="1" si="1365"/>
        <v>7.0871619685369396</v>
      </c>
      <c r="D1450" s="2">
        <f t="shared" ca="1" si="1366"/>
        <v>0.48171344622475953</v>
      </c>
      <c r="E1450" s="2">
        <f t="shared" ca="1" si="1367"/>
        <v>7.4815431179777683</v>
      </c>
      <c r="F1450" s="2">
        <f t="shared" ca="1" si="1368"/>
        <v>0.69049971247628084</v>
      </c>
      <c r="G1450" s="2">
        <f t="shared" ca="1" si="1369"/>
        <v>5.4918018701878513E-2</v>
      </c>
      <c r="H1450" s="2">
        <f t="shared" ca="1" si="1370"/>
        <v>5.4918018701878513E-2</v>
      </c>
      <c r="I1450" s="2">
        <f t="shared" ca="1" si="1371"/>
        <v>0.38907799165614998</v>
      </c>
      <c r="J1450" s="2">
        <f t="shared" ca="1" si="1372"/>
        <v>8.5913854318599957E-3</v>
      </c>
      <c r="K1450" s="2">
        <f t="shared" ca="1" si="1373"/>
        <v>8.5913854318599957E-3</v>
      </c>
      <c r="L1450" s="2">
        <f t="shared" ca="1" si="1374"/>
        <v>0.2719205256930719</v>
      </c>
      <c r="M1450" s="2">
        <f t="shared" ca="1" si="1375"/>
        <v>-1.2140297173250105E-2</v>
      </c>
      <c r="N1450" s="2">
        <f t="shared" ca="1" si="1376"/>
        <v>-1.2140297173250105E-2</v>
      </c>
      <c r="O1450" s="2">
        <f t="shared" si="1377"/>
        <v>6000000</v>
      </c>
      <c r="P1450" s="2">
        <f t="shared" ca="1" si="1378"/>
        <v>42522971.811221637</v>
      </c>
      <c r="Q1450" s="2">
        <f t="shared" ca="1" si="1379"/>
        <v>1063074.2952805411</v>
      </c>
      <c r="R1450" s="2">
        <f t="shared" ca="1" si="1380"/>
        <v>25513783.08673298</v>
      </c>
      <c r="S1450" s="2">
        <f t="shared" ca="1" si="1381"/>
        <v>17009188.724488657</v>
      </c>
      <c r="T1450" s="2">
        <f t="shared" ca="1" si="1382"/>
        <v>49392985.141337492</v>
      </c>
      <c r="U1450" s="2">
        <f t="shared" ca="1" si="1383"/>
        <v>52105550.023071073</v>
      </c>
      <c r="V1450" s="2">
        <f t="shared" ca="1" si="1384"/>
        <v>54967083.593709759</v>
      </c>
      <c r="W1450" s="2">
        <f t="shared" ca="1" si="1385"/>
        <v>57985766.918496832</v>
      </c>
      <c r="X1450" s="2">
        <f t="shared" ca="1" si="1386"/>
        <v>61170230.350569613</v>
      </c>
      <c r="Y1450" s="2">
        <f t="shared" ca="1" si="1387"/>
        <v>0.12429569271593</v>
      </c>
      <c r="Z1450" s="2">
        <f t="shared" ca="1" si="1388"/>
        <v>0.12601396980230201</v>
      </c>
      <c r="AA1450" s="2">
        <f t="shared" ca="1" si="1389"/>
        <v>6139335.3034501811</v>
      </c>
      <c r="AB1450" s="2">
        <f t="shared" ca="1" si="1390"/>
        <v>6566027.207139615</v>
      </c>
      <c r="AC1450" s="2">
        <f t="shared" ca="1" si="1391"/>
        <v>6926620.4120983519</v>
      </c>
      <c r="AD1450" s="2">
        <f t="shared" ca="1" si="1392"/>
        <v>7307016.6814307822</v>
      </c>
      <c r="AE1450" s="2">
        <f t="shared" ca="1" si="1393"/>
        <v>7708303.5601965366</v>
      </c>
      <c r="AF1450" s="2">
        <f t="shared" ca="1" si="1394"/>
        <v>987859.70282674988</v>
      </c>
      <c r="AG1450" s="2">
        <f t="shared" ca="1" si="1395"/>
        <v>1042111.0004614214</v>
      </c>
      <c r="AH1450" s="2">
        <f t="shared" ca="1" si="1396"/>
        <v>1099341.6718741951</v>
      </c>
      <c r="AI1450" s="2">
        <f t="shared" ca="1" si="1397"/>
        <v>1159715.3383699367</v>
      </c>
      <c r="AJ1450" s="2">
        <f t="shared" ca="1" si="1398"/>
        <v>1223404.6070113922</v>
      </c>
      <c r="AK1450" s="2">
        <f t="shared" ca="1" si="1399"/>
        <v>0</v>
      </c>
      <c r="AL1450" s="2">
        <f t="shared" ca="1" si="1400"/>
        <v>27125.648817335816</v>
      </c>
      <c r="AM1450" s="2">
        <f t="shared" ca="1" si="1401"/>
        <v>28615.335706386864</v>
      </c>
      <c r="AN1450" s="2">
        <f t="shared" ca="1" si="1402"/>
        <v>30186.833247870731</v>
      </c>
      <c r="AO1450" s="2">
        <f t="shared" ca="1" si="1403"/>
        <v>31844.634320727811</v>
      </c>
      <c r="AP1450" s="2">
        <f t="shared" ca="1" si="1404"/>
        <v>2296240.4778059679</v>
      </c>
      <c r="AQ1450" s="2">
        <f t="shared" ca="1" si="1405"/>
        <v>742361.13193254056</v>
      </c>
      <c r="AR1450" s="2">
        <f t="shared" ca="1" si="1406"/>
        <v>839195.68950677861</v>
      </c>
      <c r="AS1450" s="2">
        <f t="shared" ca="1" si="1407"/>
        <v>918069.94822872907</v>
      </c>
      <c r="AT1450" s="2">
        <f t="shared" ca="1" si="1408"/>
        <v>1001275.8249662683</v>
      </c>
      <c r="AU1450" s="2">
        <f t="shared" ca="1" si="1409"/>
        <v>1089051.2035985861</v>
      </c>
      <c r="AV1450" s="2">
        <f t="shared" ca="1" si="1410"/>
        <v>2112873.9908849229</v>
      </c>
      <c r="AW1450" s="2">
        <f t="shared" ca="1" si="1411"/>
        <v>2361354.3905481105</v>
      </c>
      <c r="AX1450" s="2">
        <f t="shared" ca="1" si="1412"/>
        <v>2584352.9784830729</v>
      </c>
      <c r="AY1450" s="2">
        <f t="shared" ca="1" si="1413"/>
        <v>2819598.2070407378</v>
      </c>
      <c r="AZ1450" s="2">
        <f t="shared" ca="1" si="1414"/>
        <v>3067762.6374598634</v>
      </c>
      <c r="BA1450" s="2">
        <f t="shared" ca="1" si="1415"/>
        <v>57670005.452071927</v>
      </c>
      <c r="BB1450" s="2">
        <f t="shared" ca="1" si="1416"/>
        <v>1153400.1090414387</v>
      </c>
      <c r="BC1450" s="2">
        <f t="shared" ca="1" si="1417"/>
        <v>31002822.25629751</v>
      </c>
      <c r="BD1450" s="2">
        <f t="shared" ca="1" si="1418"/>
        <v>-18572263.019769199</v>
      </c>
      <c r="BE1450" s="2">
        <f t="shared" ca="1" si="1419"/>
        <v>2112873.9908849229</v>
      </c>
      <c r="BF1450" s="2">
        <f t="shared" ca="1" si="1420"/>
        <v>2361354.3905481105</v>
      </c>
      <c r="BG1450" s="2">
        <f t="shared" ca="1" si="1421"/>
        <v>2584352.9784830729</v>
      </c>
      <c r="BH1450" s="2">
        <f t="shared" ca="1" si="1422"/>
        <v>2819598.2070407378</v>
      </c>
      <c r="BI1450" s="2">
        <f t="shared" ca="1" si="1423"/>
        <v>34070584.893757373</v>
      </c>
      <c r="BJ1450" s="2">
        <f t="shared" ca="1" si="1424"/>
        <v>0.22076181392678196</v>
      </c>
      <c r="BK1450" s="2">
        <f t="shared" ca="1" si="1425"/>
        <v>8160650.7744552493</v>
      </c>
    </row>
    <row r="1451" spans="1:63" x14ac:dyDescent="0.3">
      <c r="A1451" s="2">
        <v>1450</v>
      </c>
      <c r="B1451" s="2">
        <f t="shared" ca="1" si="1364"/>
        <v>0.95831057160914923</v>
      </c>
      <c r="C1451" s="2">
        <f t="shared" ca="1" si="1365"/>
        <v>7.7112460272451626</v>
      </c>
      <c r="D1451" s="2">
        <f t="shared" ca="1" si="1366"/>
        <v>0.11995109645673796</v>
      </c>
      <c r="E1451" s="2">
        <f t="shared" ca="1" si="1367"/>
        <v>6.9897981144445902</v>
      </c>
      <c r="F1451" s="2">
        <f t="shared" ca="1" si="1368"/>
        <v>0.2051302430257721</v>
      </c>
      <c r="G1451" s="2">
        <f t="shared" ca="1" si="1369"/>
        <v>1.5296940478416395E-2</v>
      </c>
      <c r="H1451" s="2">
        <f t="shared" ca="1" si="1370"/>
        <v>1.5296940478416395E-2</v>
      </c>
      <c r="I1451" s="2">
        <f t="shared" ca="1" si="1371"/>
        <v>9.8374309529979387E-2</v>
      </c>
      <c r="J1451" s="2">
        <f t="shared" ca="1" si="1372"/>
        <v>3.5456479728401347E-3</v>
      </c>
      <c r="K1451" s="2">
        <f t="shared" ca="1" si="1373"/>
        <v>3.5456479728401347E-3</v>
      </c>
      <c r="L1451" s="2">
        <f t="shared" ca="1" si="1374"/>
        <v>0.32716669815793131</v>
      </c>
      <c r="M1451" s="2">
        <f t="shared" ca="1" si="1375"/>
        <v>-8.9550065344864965E-3</v>
      </c>
      <c r="N1451" s="2">
        <f t="shared" ca="1" si="1376"/>
        <v>-8.9550065344864965E-3</v>
      </c>
      <c r="O1451" s="2">
        <f t="shared" si="1377"/>
        <v>6000000</v>
      </c>
      <c r="P1451" s="2">
        <f t="shared" ca="1" si="1378"/>
        <v>46267476.163470976</v>
      </c>
      <c r="Q1451" s="2">
        <f t="shared" ca="1" si="1379"/>
        <v>1156686.9040867744</v>
      </c>
      <c r="R1451" s="2">
        <f t="shared" ca="1" si="1380"/>
        <v>27760485.698082585</v>
      </c>
      <c r="S1451" s="2">
        <f t="shared" ca="1" si="1381"/>
        <v>18506990.465388391</v>
      </c>
      <c r="T1451" s="2">
        <f t="shared" ca="1" si="1382"/>
        <v>49552249.673275679</v>
      </c>
      <c r="U1451" s="2">
        <f t="shared" ca="1" si="1383"/>
        <v>50310247.487099409</v>
      </c>
      <c r="V1451" s="2">
        <f t="shared" ca="1" si="1384"/>
        <v>51079840.348363973</v>
      </c>
      <c r="W1451" s="2">
        <f t="shared" ca="1" si="1385"/>
        <v>51861205.625819914</v>
      </c>
      <c r="X1451" s="2">
        <f t="shared" ca="1" si="1386"/>
        <v>52654523.401416995</v>
      </c>
      <c r="Y1451" s="2">
        <f t="shared" ca="1" si="1387"/>
        <v>0.12177282398642006</v>
      </c>
      <c r="Z1451" s="2">
        <f t="shared" ca="1" si="1388"/>
        <v>0.1224819535809881</v>
      </c>
      <c r="AA1451" s="2">
        <f t="shared" ca="1" si="1389"/>
        <v>6034117.3775949404</v>
      </c>
      <c r="AB1451" s="2">
        <f t="shared" ca="1" si="1390"/>
        <v>6162097.3973629326</v>
      </c>
      <c r="AC1451" s="2">
        <f t="shared" ca="1" si="1391"/>
        <v>6256358.6344725993</v>
      </c>
      <c r="AD1451" s="2">
        <f t="shared" ca="1" si="1392"/>
        <v>6352061.7801157534</v>
      </c>
      <c r="AE1451" s="2">
        <f t="shared" ca="1" si="1393"/>
        <v>6449228.8910814077</v>
      </c>
      <c r="AF1451" s="2">
        <f t="shared" ca="1" si="1394"/>
        <v>991044.99346551357</v>
      </c>
      <c r="AG1451" s="2">
        <f t="shared" ca="1" si="1395"/>
        <v>1006204.9497419882</v>
      </c>
      <c r="AH1451" s="2">
        <f t="shared" ca="1" si="1396"/>
        <v>1021596.8069672795</v>
      </c>
      <c r="AI1451" s="2">
        <f t="shared" ca="1" si="1397"/>
        <v>1037224.1125163983</v>
      </c>
      <c r="AJ1451" s="2">
        <f t="shared" ca="1" si="1398"/>
        <v>1053090.46802834</v>
      </c>
      <c r="AK1451" s="2">
        <f t="shared" ca="1" si="1399"/>
        <v>0</v>
      </c>
      <c r="AL1451" s="2">
        <f t="shared" ca="1" si="1400"/>
        <v>7579.9781382372976</v>
      </c>
      <c r="AM1451" s="2">
        <f t="shared" ca="1" si="1401"/>
        <v>7695.9286126456409</v>
      </c>
      <c r="AN1451" s="2">
        <f t="shared" ca="1" si="1402"/>
        <v>7813.6527745594085</v>
      </c>
      <c r="AO1451" s="2">
        <f t="shared" ca="1" si="1403"/>
        <v>7933.1777559708062</v>
      </c>
      <c r="AP1451" s="2">
        <f t="shared" ca="1" si="1404"/>
        <v>2498443.7128274324</v>
      </c>
      <c r="AQ1451" s="2">
        <f t="shared" ca="1" si="1405"/>
        <v>661603.45453851845</v>
      </c>
      <c r="AR1451" s="2">
        <f t="shared" ca="1" si="1406"/>
        <v>690936.67104631301</v>
      </c>
      <c r="AS1451" s="2">
        <f t="shared" ca="1" si="1407"/>
        <v>711442.7098162506</v>
      </c>
      <c r="AT1451" s="2">
        <f t="shared" ca="1" si="1408"/>
        <v>732262.42824069981</v>
      </c>
      <c r="AU1451" s="2">
        <f t="shared" ca="1" si="1409"/>
        <v>753400.62465866504</v>
      </c>
      <c r="AV1451" s="2">
        <f t="shared" ca="1" si="1410"/>
        <v>1883025.2167634754</v>
      </c>
      <c r="AW1451" s="2">
        <f t="shared" ca="1" si="1411"/>
        <v>1958932.0856089615</v>
      </c>
      <c r="AX1451" s="2">
        <f t="shared" ca="1" si="1412"/>
        <v>2017179.4762489903</v>
      </c>
      <c r="AY1451" s="2">
        <f t="shared" ca="1" si="1413"/>
        <v>2076317.8737566634</v>
      </c>
      <c r="AZ1451" s="2">
        <f t="shared" ca="1" si="1414"/>
        <v>2136360.9078109995</v>
      </c>
      <c r="BA1451" s="2">
        <f t="shared" ca="1" si="1415"/>
        <v>45078807.942502402</v>
      </c>
      <c r="BB1451" s="2">
        <f t="shared" ca="1" si="1416"/>
        <v>901576.15885004809</v>
      </c>
      <c r="BC1451" s="2">
        <f t="shared" ca="1" si="1417"/>
        <v>16416746.085569769</v>
      </c>
      <c r="BD1451" s="2">
        <f t="shared" ca="1" si="1418"/>
        <v>-20163677.369475167</v>
      </c>
      <c r="BE1451" s="2">
        <f t="shared" ca="1" si="1419"/>
        <v>1883025.2167634754</v>
      </c>
      <c r="BF1451" s="2">
        <f t="shared" ca="1" si="1420"/>
        <v>1958932.0856089615</v>
      </c>
      <c r="BG1451" s="2">
        <f t="shared" ca="1" si="1421"/>
        <v>2017179.4762489903</v>
      </c>
      <c r="BH1451" s="2">
        <f t="shared" ca="1" si="1422"/>
        <v>2076317.8737566634</v>
      </c>
      <c r="BI1451" s="2">
        <f t="shared" ca="1" si="1423"/>
        <v>18553106.99338077</v>
      </c>
      <c r="BJ1451" s="2">
        <f t="shared" ca="1" si="1424"/>
        <v>6.6991319586651388E-2</v>
      </c>
      <c r="BK1451" s="2">
        <f t="shared" ca="1" si="1425"/>
        <v>-3637898.9714811891</v>
      </c>
    </row>
    <row r="1452" spans="1:63" x14ac:dyDescent="0.3">
      <c r="A1452" s="2">
        <v>1451</v>
      </c>
      <c r="B1452" s="2">
        <f t="shared" ca="1" si="1364"/>
        <v>6.061132499267452E-2</v>
      </c>
      <c r="C1452" s="2">
        <f t="shared" ca="1" si="1365"/>
        <v>6.3481704323824024</v>
      </c>
      <c r="D1452" s="2">
        <f t="shared" ca="1" si="1366"/>
        <v>0.36509395611610651</v>
      </c>
      <c r="E1452" s="2">
        <f t="shared" ca="1" si="1367"/>
        <v>7.3545103347720335</v>
      </c>
      <c r="F1452" s="2">
        <f t="shared" ca="1" si="1368"/>
        <v>0.10461659433143189</v>
      </c>
      <c r="G1452" s="2">
        <f t="shared" ca="1" si="1369"/>
        <v>2.3296972161309173E-3</v>
      </c>
      <c r="H1452" s="2">
        <f t="shared" ca="1" si="1370"/>
        <v>2.3296972161309173E-3</v>
      </c>
      <c r="I1452" s="2">
        <f t="shared" ca="1" si="1371"/>
        <v>0.42624626358495543</v>
      </c>
      <c r="J1452" s="2">
        <f t="shared" ca="1" si="1372"/>
        <v>9.0703045491143837E-3</v>
      </c>
      <c r="K1452" s="2">
        <f t="shared" ca="1" si="1373"/>
        <v>9.0703045491143837E-3</v>
      </c>
      <c r="L1452" s="2">
        <f t="shared" ca="1" si="1374"/>
        <v>0.18721619015678903</v>
      </c>
      <c r="M1452" s="2">
        <f t="shared" ca="1" si="1375"/>
        <v>-1.7764029693500261E-2</v>
      </c>
      <c r="N1452" s="2">
        <f t="shared" ca="1" si="1376"/>
        <v>-1.7764029693500261E-2</v>
      </c>
      <c r="O1452" s="2">
        <f t="shared" si="1377"/>
        <v>6000000</v>
      </c>
      <c r="P1452" s="2">
        <f t="shared" ca="1" si="1378"/>
        <v>38089022.594294414</v>
      </c>
      <c r="Q1452" s="2">
        <f t="shared" ca="1" si="1379"/>
        <v>952225.56485736044</v>
      </c>
      <c r="R1452" s="2">
        <f t="shared" ca="1" si="1380"/>
        <v>22853413.556576647</v>
      </c>
      <c r="S1452" s="2">
        <f t="shared" ca="1" si="1381"/>
        <v>15235609.037717767</v>
      </c>
      <c r="T1452" s="2">
        <f t="shared" ca="1" si="1382"/>
        <v>49111798.515324987</v>
      </c>
      <c r="U1452" s="2">
        <f t="shared" ca="1" si="1383"/>
        <v>49226214.13560532</v>
      </c>
      <c r="V1452" s="2">
        <f t="shared" ca="1" si="1384"/>
        <v>49340896.309637703</v>
      </c>
      <c r="W1452" s="2">
        <f t="shared" ca="1" si="1385"/>
        <v>49455845.658411667</v>
      </c>
      <c r="X1452" s="2">
        <f t="shared" ca="1" si="1386"/>
        <v>49571062.804363467</v>
      </c>
      <c r="Y1452" s="2">
        <f t="shared" ca="1" si="1387"/>
        <v>0.12453515227455719</v>
      </c>
      <c r="Z1452" s="2">
        <f t="shared" ca="1" si="1388"/>
        <v>0.12634921318438005</v>
      </c>
      <c r="AA1452" s="2">
        <f t="shared" ca="1" si="1389"/>
        <v>6116145.3065833692</v>
      </c>
      <c r="AB1452" s="2">
        <f t="shared" ca="1" si="1390"/>
        <v>6219693.4240795393</v>
      </c>
      <c r="AC1452" s="2">
        <f t="shared" ca="1" si="1391"/>
        <v>6234183.4265348054</v>
      </c>
      <c r="AD1452" s="2">
        <f t="shared" ca="1" si="1392"/>
        <v>6248707.1863084529</v>
      </c>
      <c r="AE1452" s="2">
        <f t="shared" ca="1" si="1393"/>
        <v>6263264.7820448121</v>
      </c>
      <c r="AF1452" s="2">
        <f t="shared" ca="1" si="1394"/>
        <v>982235.97030649974</v>
      </c>
      <c r="AG1452" s="2">
        <f t="shared" ca="1" si="1395"/>
        <v>984524.28271210648</v>
      </c>
      <c r="AH1452" s="2">
        <f t="shared" ca="1" si="1396"/>
        <v>986817.92619275406</v>
      </c>
      <c r="AI1452" s="2">
        <f t="shared" ca="1" si="1397"/>
        <v>989116.91316823335</v>
      </c>
      <c r="AJ1452" s="2">
        <f t="shared" ca="1" si="1398"/>
        <v>991421.2560872694</v>
      </c>
      <c r="AK1452" s="2">
        <f t="shared" ca="1" si="1399"/>
        <v>0</v>
      </c>
      <c r="AL1452" s="2">
        <f t="shared" ca="1" si="1400"/>
        <v>1144.1562028033286</v>
      </c>
      <c r="AM1452" s="2">
        <f t="shared" ca="1" si="1401"/>
        <v>1146.8217403238266</v>
      </c>
      <c r="AN1452" s="2">
        <f t="shared" ca="1" si="1402"/>
        <v>1149.4934877396374</v>
      </c>
      <c r="AO1452" s="2">
        <f t="shared" ca="1" si="1403"/>
        <v>1152.1714595180006</v>
      </c>
      <c r="AP1452" s="2">
        <f t="shared" ca="1" si="1404"/>
        <v>2056807.2200918982</v>
      </c>
      <c r="AQ1452" s="2">
        <f t="shared" ca="1" si="1405"/>
        <v>800046.55020809255</v>
      </c>
      <c r="AR1452" s="2">
        <f t="shared" ca="1" si="1406"/>
        <v>826374.09953163902</v>
      </c>
      <c r="AS1452" s="2">
        <f t="shared" ca="1" si="1407"/>
        <v>829545.15286503988</v>
      </c>
      <c r="AT1452" s="2">
        <f t="shared" ca="1" si="1408"/>
        <v>832723.59379256377</v>
      </c>
      <c r="AU1452" s="2">
        <f t="shared" ca="1" si="1409"/>
        <v>835909.43952506757</v>
      </c>
      <c r="AV1452" s="2">
        <f t="shared" ca="1" si="1410"/>
        <v>2277055.5659768786</v>
      </c>
      <c r="AW1452" s="2">
        <f t="shared" ca="1" si="1411"/>
        <v>2350843.6655410919</v>
      </c>
      <c r="AX1452" s="2">
        <f t="shared" ca="1" si="1412"/>
        <v>2359866.3056447897</v>
      </c>
      <c r="AY1452" s="2">
        <f t="shared" ca="1" si="1413"/>
        <v>2368909.9657680187</v>
      </c>
      <c r="AZ1452" s="2">
        <f t="shared" ca="1" si="1414"/>
        <v>2377974.6948810583</v>
      </c>
      <c r="BA1452" s="2">
        <f t="shared" ca="1" si="1415"/>
        <v>46063245.568962276</v>
      </c>
      <c r="BB1452" s="2">
        <f t="shared" ca="1" si="1416"/>
        <v>921264.91137924558</v>
      </c>
      <c r="BC1452" s="2">
        <f t="shared" ca="1" si="1417"/>
        <v>22288567.101006385</v>
      </c>
      <c r="BD1452" s="2">
        <f t="shared" ca="1" si="1418"/>
        <v>-16687834.602575127</v>
      </c>
      <c r="BE1452" s="2">
        <f t="shared" ca="1" si="1419"/>
        <v>2277055.5659768786</v>
      </c>
      <c r="BF1452" s="2">
        <f t="shared" ca="1" si="1420"/>
        <v>2350843.6655410919</v>
      </c>
      <c r="BG1452" s="2">
        <f t="shared" ca="1" si="1421"/>
        <v>2359866.3056447897</v>
      </c>
      <c r="BH1452" s="2">
        <f t="shared" ca="1" si="1422"/>
        <v>2368909.9657680187</v>
      </c>
      <c r="BI1452" s="2">
        <f t="shared" ca="1" si="1423"/>
        <v>24666541.795887444</v>
      </c>
      <c r="BJ1452" s="2">
        <f t="shared" ca="1" si="1424"/>
        <v>0.18648512397035732</v>
      </c>
      <c r="BK1452" s="2">
        <f t="shared" ca="1" si="1425"/>
        <v>4400978.4873280339</v>
      </c>
    </row>
    <row r="1453" spans="1:63" x14ac:dyDescent="0.3">
      <c r="A1453" s="2">
        <v>1452</v>
      </c>
      <c r="B1453" s="2">
        <f t="shared" ca="1" si="1364"/>
        <v>0.91035131303260564</v>
      </c>
      <c r="C1453" s="2">
        <f t="shared" ca="1" si="1365"/>
        <v>7.5765647936994505</v>
      </c>
      <c r="D1453" s="2">
        <f t="shared" ca="1" si="1366"/>
        <v>0.71449941877765211</v>
      </c>
      <c r="E1453" s="2">
        <f t="shared" ca="1" si="1367"/>
        <v>7.7443538113345003</v>
      </c>
      <c r="F1453" s="2">
        <f t="shared" ca="1" si="1368"/>
        <v>3.9043364585928608E-2</v>
      </c>
      <c r="G1453" s="2">
        <f t="shared" ca="1" si="1369"/>
        <v>-1.2856905103623424E-2</v>
      </c>
      <c r="H1453" s="2">
        <f t="shared" ca="1" si="1370"/>
        <v>-1.2856905103623424E-2</v>
      </c>
      <c r="I1453" s="2">
        <f t="shared" ca="1" si="1371"/>
        <v>0.94590743375775677</v>
      </c>
      <c r="J1453" s="2">
        <f t="shared" ca="1" si="1372"/>
        <v>1.8032020913170271E-2</v>
      </c>
      <c r="K1453" s="2">
        <f t="shared" ca="1" si="1373"/>
        <v>1.8032020913170271E-2</v>
      </c>
      <c r="L1453" s="2">
        <f t="shared" ca="1" si="1374"/>
        <v>0.2519176756526772</v>
      </c>
      <c r="M1453" s="2">
        <f t="shared" ca="1" si="1375"/>
        <v>-1.3369345911387756E-2</v>
      </c>
      <c r="N1453" s="2">
        <f t="shared" ca="1" si="1376"/>
        <v>-1.3369345911387756E-2</v>
      </c>
      <c r="O1453" s="2">
        <f t="shared" si="1377"/>
        <v>6000000</v>
      </c>
      <c r="P1453" s="2">
        <f t="shared" ca="1" si="1378"/>
        <v>45459388.762196705</v>
      </c>
      <c r="Q1453" s="2">
        <f t="shared" ca="1" si="1379"/>
        <v>1136484.7190549176</v>
      </c>
      <c r="R1453" s="2">
        <f t="shared" ca="1" si="1380"/>
        <v>27275633.257318024</v>
      </c>
      <c r="S1453" s="2">
        <f t="shared" ca="1" si="1381"/>
        <v>18183755.504878681</v>
      </c>
      <c r="T1453" s="2">
        <f t="shared" ca="1" si="1382"/>
        <v>49331532.704430617</v>
      </c>
      <c r="U1453" s="2">
        <f t="shared" ca="1" si="1383"/>
        <v>48697281.869833454</v>
      </c>
      <c r="V1453" s="2">
        <f t="shared" ca="1" si="1384"/>
        <v>48071185.538028605</v>
      </c>
      <c r="W1453" s="2">
        <f t="shared" ca="1" si="1385"/>
        <v>47453138.867347494</v>
      </c>
      <c r="X1453" s="2">
        <f t="shared" ca="1" si="1386"/>
        <v>46843038.364060938</v>
      </c>
      <c r="Y1453" s="2">
        <f t="shared" ca="1" si="1387"/>
        <v>0.12901601045658512</v>
      </c>
      <c r="Z1453" s="2">
        <f t="shared" ca="1" si="1388"/>
        <v>0.1326224146392192</v>
      </c>
      <c r="AA1453" s="2">
        <f t="shared" ca="1" si="1389"/>
        <v>6364557.5392341912</v>
      </c>
      <c r="AB1453" s="2">
        <f t="shared" ca="1" si="1390"/>
        <v>6458351.1079439837</v>
      </c>
      <c r="AC1453" s="2">
        <f t="shared" ca="1" si="1391"/>
        <v>6375316.7006232673</v>
      </c>
      <c r="AD1453" s="2">
        <f t="shared" ca="1" si="1392"/>
        <v>6293349.8587978082</v>
      </c>
      <c r="AE1453" s="2">
        <f t="shared" ca="1" si="1393"/>
        <v>6212436.8568793423</v>
      </c>
      <c r="AF1453" s="2">
        <f t="shared" ca="1" si="1394"/>
        <v>986630.65408861241</v>
      </c>
      <c r="AG1453" s="2">
        <f t="shared" ca="1" si="1395"/>
        <v>973945.63739666913</v>
      </c>
      <c r="AH1453" s="2">
        <f t="shared" ca="1" si="1396"/>
        <v>961423.71076057211</v>
      </c>
      <c r="AI1453" s="2">
        <f t="shared" ca="1" si="1397"/>
        <v>949062.77734694991</v>
      </c>
      <c r="AJ1453" s="2">
        <f t="shared" ca="1" si="1398"/>
        <v>936860.76728121878</v>
      </c>
      <c r="AK1453" s="2">
        <f t="shared" ca="1" si="1399"/>
        <v>0</v>
      </c>
      <c r="AL1453" s="2">
        <f t="shared" ca="1" si="1400"/>
        <v>0</v>
      </c>
      <c r="AM1453" s="2">
        <f t="shared" ca="1" si="1401"/>
        <v>0</v>
      </c>
      <c r="AN1453" s="2">
        <f t="shared" ca="1" si="1402"/>
        <v>0</v>
      </c>
      <c r="AO1453" s="2">
        <f t="shared" ca="1" si="1403"/>
        <v>0</v>
      </c>
      <c r="AP1453" s="2">
        <f t="shared" ca="1" si="1404"/>
        <v>2454806.9931586222</v>
      </c>
      <c r="AQ1453" s="2">
        <f t="shared" ca="1" si="1405"/>
        <v>760011.1719166087</v>
      </c>
      <c r="AR1453" s="2">
        <f t="shared" ca="1" si="1406"/>
        <v>787695.60412106011</v>
      </c>
      <c r="AS1453" s="2">
        <f t="shared" ca="1" si="1407"/>
        <v>769362.359143059</v>
      </c>
      <c r="AT1453" s="2">
        <f t="shared" ca="1" si="1408"/>
        <v>751264.82295598136</v>
      </c>
      <c r="AU1453" s="2">
        <f t="shared" ca="1" si="1409"/>
        <v>733399.9650742705</v>
      </c>
      <c r="AV1453" s="2">
        <f t="shared" ca="1" si="1410"/>
        <v>2163108.7200703477</v>
      </c>
      <c r="AW1453" s="2">
        <f t="shared" ca="1" si="1411"/>
        <v>2241902.8732676324</v>
      </c>
      <c r="AX1453" s="2">
        <f t="shared" ca="1" si="1412"/>
        <v>2189723.6375610144</v>
      </c>
      <c r="AY1453" s="2">
        <f t="shared" ca="1" si="1413"/>
        <v>2138215.2653362541</v>
      </c>
      <c r="AZ1453" s="2">
        <f t="shared" ca="1" si="1414"/>
        <v>2087369.1313652317</v>
      </c>
      <c r="BA1453" s="2">
        <f t="shared" ca="1" si="1415"/>
        <v>48111309.050248459</v>
      </c>
      <c r="BB1453" s="2">
        <f t="shared" ca="1" si="1416"/>
        <v>962226.18100496917</v>
      </c>
      <c r="BC1453" s="2">
        <f t="shared" ca="1" si="1417"/>
        <v>19873449.611925468</v>
      </c>
      <c r="BD1453" s="2">
        <f t="shared" ca="1" si="1418"/>
        <v>-19820240.2239336</v>
      </c>
      <c r="BE1453" s="2">
        <f t="shared" ca="1" si="1419"/>
        <v>2163108.7200703477</v>
      </c>
      <c r="BF1453" s="2">
        <f t="shared" ca="1" si="1420"/>
        <v>2241902.8732676324</v>
      </c>
      <c r="BG1453" s="2">
        <f t="shared" ca="1" si="1421"/>
        <v>2189723.6375610144</v>
      </c>
      <c r="BH1453" s="2">
        <f t="shared" ca="1" si="1422"/>
        <v>2138215.2653362541</v>
      </c>
      <c r="BI1453" s="2">
        <f t="shared" ca="1" si="1423"/>
        <v>21960818.7432907</v>
      </c>
      <c r="BJ1453" s="2">
        <f t="shared" ca="1" si="1424"/>
        <v>0.10986848955547823</v>
      </c>
      <c r="BK1453" s="2">
        <f t="shared" ca="1" si="1425"/>
        <v>-723027.08926926553</v>
      </c>
    </row>
    <row r="1454" spans="1:63" x14ac:dyDescent="0.3">
      <c r="A1454" s="2">
        <v>1453</v>
      </c>
      <c r="B1454" s="2">
        <f t="shared" ca="1" si="1364"/>
        <v>0.1880802915858808</v>
      </c>
      <c r="C1454" s="2">
        <f t="shared" ca="1" si="1365"/>
        <v>6.6133193158312897</v>
      </c>
      <c r="D1454" s="2">
        <f t="shared" ca="1" si="1366"/>
        <v>0.74414694301458761</v>
      </c>
      <c r="E1454" s="2">
        <f t="shared" ca="1" si="1367"/>
        <v>7.7846636357832599</v>
      </c>
      <c r="F1454" s="2">
        <f t="shared" ca="1" si="1368"/>
        <v>0.25894323025655741</v>
      </c>
      <c r="G1454" s="2">
        <f t="shared" ca="1" si="1369"/>
        <v>2.0601796213075355E-2</v>
      </c>
      <c r="H1454" s="2">
        <f t="shared" ca="1" si="1370"/>
        <v>2.0601796213075355E-2</v>
      </c>
      <c r="I1454" s="2">
        <f t="shared" ca="1" si="1371"/>
        <v>0.29011853151407829</v>
      </c>
      <c r="J1454" s="2">
        <f t="shared" ca="1" si="1372"/>
        <v>7.2348076139307407E-3</v>
      </c>
      <c r="K1454" s="2">
        <f t="shared" ca="1" si="1373"/>
        <v>7.2348076139307407E-3</v>
      </c>
      <c r="L1454" s="2">
        <f t="shared" ca="1" si="1374"/>
        <v>1.6860196599127075E-2</v>
      </c>
      <c r="M1454" s="2">
        <f t="shared" ca="1" si="1375"/>
        <v>-4.2467989015123456E-2</v>
      </c>
      <c r="N1454" s="2">
        <f t="shared" ca="1" si="1376"/>
        <v>-4.2467989015123456E-2</v>
      </c>
      <c r="O1454" s="2">
        <f t="shared" si="1377"/>
        <v>6000000</v>
      </c>
      <c r="P1454" s="2">
        <f t="shared" ca="1" si="1378"/>
        <v>39679915.89498774</v>
      </c>
      <c r="Q1454" s="2">
        <f t="shared" ca="1" si="1379"/>
        <v>991997.89737469354</v>
      </c>
      <c r="R1454" s="2">
        <f t="shared" ca="1" si="1380"/>
        <v>23807949.536992643</v>
      </c>
      <c r="S1454" s="2">
        <f t="shared" ca="1" si="1381"/>
        <v>15871966.357995097</v>
      </c>
      <c r="T1454" s="2">
        <f t="shared" ca="1" si="1382"/>
        <v>47876600.549243823</v>
      </c>
      <c r="U1454" s="2">
        <f t="shared" ca="1" si="1383"/>
        <v>48862944.517134152</v>
      </c>
      <c r="V1454" s="2">
        <f t="shared" ca="1" si="1384"/>
        <v>49869608.942446955</v>
      </c>
      <c r="W1454" s="2">
        <f t="shared" ca="1" si="1385"/>
        <v>50897012.463105008</v>
      </c>
      <c r="X1454" s="2">
        <f t="shared" ca="1" si="1386"/>
        <v>51945582.341724254</v>
      </c>
      <c r="Y1454" s="2">
        <f t="shared" ca="1" si="1387"/>
        <v>0.12361740380696537</v>
      </c>
      <c r="Z1454" s="2">
        <f t="shared" ca="1" si="1388"/>
        <v>0.12506436532975151</v>
      </c>
      <c r="AA1454" s="2">
        <f t="shared" ca="1" si="1389"/>
        <v>5918381.0630006539</v>
      </c>
      <c r="AB1454" s="2">
        <f t="shared" ca="1" si="1390"/>
        <v>6111013.1441782443</v>
      </c>
      <c r="AC1454" s="2">
        <f t="shared" ca="1" si="1391"/>
        <v>6236910.9916300289</v>
      </c>
      <c r="AD1454" s="2">
        <f t="shared" ca="1" si="1392"/>
        <v>6365402.560878681</v>
      </c>
      <c r="AE1454" s="2">
        <f t="shared" ca="1" si="1393"/>
        <v>6496541.2872520909</v>
      </c>
      <c r="AF1454" s="2">
        <f t="shared" ca="1" si="1394"/>
        <v>957532.01098487643</v>
      </c>
      <c r="AG1454" s="2">
        <f t="shared" ca="1" si="1395"/>
        <v>977258.89034268307</v>
      </c>
      <c r="AH1454" s="2">
        <f t="shared" ca="1" si="1396"/>
        <v>997392.17884893913</v>
      </c>
      <c r="AI1454" s="2">
        <f t="shared" ca="1" si="1397"/>
        <v>1017940.2492621002</v>
      </c>
      <c r="AJ1454" s="2">
        <f t="shared" ca="1" si="1398"/>
        <v>1038911.6468344851</v>
      </c>
      <c r="AK1454" s="2">
        <f t="shared" ca="1" si="1399"/>
        <v>0</v>
      </c>
      <c r="AL1454" s="2">
        <f t="shared" ca="1" si="1400"/>
        <v>9863.4396789032962</v>
      </c>
      <c r="AM1454" s="2">
        <f t="shared" ca="1" si="1401"/>
        <v>10066.644253128023</v>
      </c>
      <c r="AN1454" s="2">
        <f t="shared" ca="1" si="1402"/>
        <v>10274.035206580535</v>
      </c>
      <c r="AO1454" s="2">
        <f t="shared" ca="1" si="1403"/>
        <v>10485.698786192463</v>
      </c>
      <c r="AP1454" s="2">
        <f t="shared" ca="1" si="1404"/>
        <v>2142715.4583293376</v>
      </c>
      <c r="AQ1454" s="2">
        <f t="shared" ca="1" si="1405"/>
        <v>732714.73435847438</v>
      </c>
      <c r="AR1454" s="2">
        <f t="shared" ca="1" si="1406"/>
        <v>777670.08683161798</v>
      </c>
      <c r="AS1454" s="2">
        <f t="shared" ca="1" si="1407"/>
        <v>805168.87215745565</v>
      </c>
      <c r="AT1454" s="2">
        <f t="shared" ca="1" si="1408"/>
        <v>833234.18185468332</v>
      </c>
      <c r="AU1454" s="2">
        <f t="shared" ca="1" si="1409"/>
        <v>861877.68734294968</v>
      </c>
      <c r="AV1454" s="2">
        <f t="shared" ca="1" si="1410"/>
        <v>2085418.8593279654</v>
      </c>
      <c r="AW1454" s="2">
        <f t="shared" ca="1" si="1411"/>
        <v>2203505.2689957013</v>
      </c>
      <c r="AX1454" s="2">
        <f t="shared" ca="1" si="1412"/>
        <v>2281567.8380411686</v>
      </c>
      <c r="AY1454" s="2">
        <f t="shared" ca="1" si="1413"/>
        <v>2361238.6362259798</v>
      </c>
      <c r="AZ1454" s="2">
        <f t="shared" ca="1" si="1414"/>
        <v>2442550.7959591253</v>
      </c>
      <c r="BA1454" s="2">
        <f t="shared" ca="1" si="1415"/>
        <v>50573388.717235923</v>
      </c>
      <c r="BB1454" s="2">
        <f t="shared" ca="1" si="1416"/>
        <v>1011467.7743447184</v>
      </c>
      <c r="BC1454" s="2">
        <f t="shared" ca="1" si="1417"/>
        <v>25753971.40589856</v>
      </c>
      <c r="BD1454" s="2">
        <f t="shared" ca="1" si="1418"/>
        <v>-17363964.25536979</v>
      </c>
      <c r="BE1454" s="2">
        <f t="shared" ca="1" si="1419"/>
        <v>2085418.8593279654</v>
      </c>
      <c r="BF1454" s="2">
        <f t="shared" ca="1" si="1420"/>
        <v>2203505.2689957013</v>
      </c>
      <c r="BG1454" s="2">
        <f t="shared" ca="1" si="1421"/>
        <v>2281567.8380411686</v>
      </c>
      <c r="BH1454" s="2">
        <f t="shared" ca="1" si="1422"/>
        <v>2361238.6362259798</v>
      </c>
      <c r="BI1454" s="2">
        <f t="shared" ca="1" si="1423"/>
        <v>28196522.201857686</v>
      </c>
      <c r="BJ1454" s="2">
        <f t="shared" ca="1" si="1424"/>
        <v>0.19482735287783548</v>
      </c>
      <c r="BK1454" s="2">
        <f t="shared" ca="1" si="1425"/>
        <v>5378686.4757383727</v>
      </c>
    </row>
    <row r="1455" spans="1:63" x14ac:dyDescent="0.3">
      <c r="A1455" s="2">
        <v>1454</v>
      </c>
      <c r="B1455" s="2">
        <f t="shared" ca="1" si="1364"/>
        <v>8.7183066985976776E-2</v>
      </c>
      <c r="C1455" s="2">
        <f t="shared" ca="1" si="1365"/>
        <v>6.4175717111730073</v>
      </c>
      <c r="D1455" s="2">
        <f t="shared" ca="1" si="1366"/>
        <v>0.70137420551251528</v>
      </c>
      <c r="E1455" s="2">
        <f t="shared" ca="1" si="1367"/>
        <v>7.727179458751924</v>
      </c>
      <c r="F1455" s="2">
        <f t="shared" ca="1" si="1368"/>
        <v>0.43761025276460441</v>
      </c>
      <c r="G1455" s="2">
        <f t="shared" ca="1" si="1369"/>
        <v>3.5289073381045068E-2</v>
      </c>
      <c r="H1455" s="2">
        <f t="shared" ca="1" si="1370"/>
        <v>3.5289073381045068E-2</v>
      </c>
      <c r="I1455" s="2">
        <f t="shared" ca="1" si="1371"/>
        <v>0.54497869071477101</v>
      </c>
      <c r="J1455" s="2">
        <f t="shared" ca="1" si="1372"/>
        <v>1.0564923920006446E-2</v>
      </c>
      <c r="K1455" s="2">
        <f t="shared" ca="1" si="1373"/>
        <v>1.0564923920006446E-2</v>
      </c>
      <c r="L1455" s="2">
        <f t="shared" ca="1" si="1374"/>
        <v>0.18654647173821637</v>
      </c>
      <c r="M1455" s="2">
        <f t="shared" ca="1" si="1375"/>
        <v>-1.7813895320063965E-2</v>
      </c>
      <c r="N1455" s="2">
        <f t="shared" ca="1" si="1376"/>
        <v>-1.7813895320063965E-2</v>
      </c>
      <c r="O1455" s="2">
        <f t="shared" si="1377"/>
        <v>6000000</v>
      </c>
      <c r="P1455" s="2">
        <f t="shared" ca="1" si="1378"/>
        <v>38505430.267038047</v>
      </c>
      <c r="Q1455" s="2">
        <f t="shared" ca="1" si="1379"/>
        <v>962635.75667595118</v>
      </c>
      <c r="R1455" s="2">
        <f t="shared" ca="1" si="1380"/>
        <v>23103258.160222828</v>
      </c>
      <c r="S1455" s="2">
        <f t="shared" ca="1" si="1381"/>
        <v>15402172.106815219</v>
      </c>
      <c r="T1455" s="2">
        <f t="shared" ca="1" si="1382"/>
        <v>49109305.233996801</v>
      </c>
      <c r="U1455" s="2">
        <f t="shared" ca="1" si="1383"/>
        <v>50842327.110091455</v>
      </c>
      <c r="V1455" s="2">
        <f t="shared" ca="1" si="1384"/>
        <v>52636505.722342573</v>
      </c>
      <c r="W1455" s="2">
        <f t="shared" ca="1" si="1385"/>
        <v>54493999.235300124</v>
      </c>
      <c r="X1455" s="2">
        <f t="shared" ca="1" si="1386"/>
        <v>56417041.973141246</v>
      </c>
      <c r="Y1455" s="2">
        <f t="shared" ca="1" si="1387"/>
        <v>0.12528246196000323</v>
      </c>
      <c r="Z1455" s="2">
        <f t="shared" ca="1" si="1388"/>
        <v>0.12739544674400452</v>
      </c>
      <c r="AA1455" s="2">
        <f t="shared" ca="1" si="1389"/>
        <v>6152534.664860392</v>
      </c>
      <c r="AB1455" s="2">
        <f t="shared" ca="1" si="1390"/>
        <v>6477080.9756949134</v>
      </c>
      <c r="AC1455" s="2">
        <f t="shared" ca="1" si="1391"/>
        <v>6705651.1615411825</v>
      </c>
      <c r="AD1455" s="2">
        <f t="shared" ca="1" si="1392"/>
        <v>6942287.3774485001</v>
      </c>
      <c r="AE1455" s="2">
        <f t="shared" ca="1" si="1393"/>
        <v>7187274.2661435837</v>
      </c>
      <c r="AF1455" s="2">
        <f t="shared" ca="1" si="1394"/>
        <v>982186.10467993608</v>
      </c>
      <c r="AG1455" s="2">
        <f t="shared" ca="1" si="1395"/>
        <v>1016846.5422018291</v>
      </c>
      <c r="AH1455" s="2">
        <f t="shared" ca="1" si="1396"/>
        <v>1052730.1144468514</v>
      </c>
      <c r="AI1455" s="2">
        <f t="shared" ca="1" si="1397"/>
        <v>1089879.9847060025</v>
      </c>
      <c r="AJ1455" s="2">
        <f t="shared" ca="1" si="1398"/>
        <v>1128340.8394628249</v>
      </c>
      <c r="AK1455" s="2">
        <f t="shared" ca="1" si="1399"/>
        <v>0</v>
      </c>
      <c r="AL1455" s="2">
        <f t="shared" ca="1" si="1400"/>
        <v>17330.218760946544</v>
      </c>
      <c r="AM1455" s="2">
        <f t="shared" ca="1" si="1401"/>
        <v>17941.786122511177</v>
      </c>
      <c r="AN1455" s="2">
        <f t="shared" ca="1" si="1402"/>
        <v>18574.935129575508</v>
      </c>
      <c r="AO1455" s="2">
        <f t="shared" ca="1" si="1403"/>
        <v>19230.427378411219</v>
      </c>
      <c r="AP1455" s="2">
        <f t="shared" ca="1" si="1404"/>
        <v>2079293.2344200546</v>
      </c>
      <c r="AQ1455" s="2">
        <f t="shared" ca="1" si="1405"/>
        <v>803674.38469770423</v>
      </c>
      <c r="AR1455" s="2">
        <f t="shared" ca="1" si="1406"/>
        <v>879044.71175898775</v>
      </c>
      <c r="AS1455" s="2">
        <f t="shared" ca="1" si="1407"/>
        <v>929143.23129531194</v>
      </c>
      <c r="AT1455" s="2">
        <f t="shared" ca="1" si="1408"/>
        <v>981009.68116383522</v>
      </c>
      <c r="AU1455" s="2">
        <f t="shared" ca="1" si="1409"/>
        <v>1034706.4499877831</v>
      </c>
      <c r="AV1455" s="2">
        <f t="shared" ca="1" si="1410"/>
        <v>2287380.9410626963</v>
      </c>
      <c r="AW1455" s="2">
        <f t="shared" ca="1" si="1411"/>
        <v>2484566.2685530949</v>
      </c>
      <c r="AX1455" s="2">
        <f t="shared" ca="1" si="1412"/>
        <v>2626542.7952564536</v>
      </c>
      <c r="AY1455" s="2">
        <f t="shared" ca="1" si="1413"/>
        <v>2773529.5420290325</v>
      </c>
      <c r="AZ1455" s="2">
        <f t="shared" ca="1" si="1414"/>
        <v>2925703.3148945095</v>
      </c>
      <c r="BA1455" s="2">
        <f t="shared" ca="1" si="1415"/>
        <v>55537358.073761009</v>
      </c>
      <c r="BB1455" s="2">
        <f t="shared" ca="1" si="1416"/>
        <v>1110747.1614752202</v>
      </c>
      <c r="BC1455" s="2">
        <f t="shared" ca="1" si="1417"/>
        <v>31323352.752062961</v>
      </c>
      <c r="BD1455" s="2">
        <f t="shared" ca="1" si="1418"/>
        <v>-16864807.86349117</v>
      </c>
      <c r="BE1455" s="2">
        <f t="shared" ca="1" si="1419"/>
        <v>2287380.9410626963</v>
      </c>
      <c r="BF1455" s="2">
        <f t="shared" ca="1" si="1420"/>
        <v>2484566.2685530949</v>
      </c>
      <c r="BG1455" s="2">
        <f t="shared" ca="1" si="1421"/>
        <v>2626542.7952564536</v>
      </c>
      <c r="BH1455" s="2">
        <f t="shared" ca="1" si="1422"/>
        <v>2773529.5420290325</v>
      </c>
      <c r="BI1455" s="2">
        <f t="shared" ca="1" si="1423"/>
        <v>34249056.066957474</v>
      </c>
      <c r="BJ1455" s="2">
        <f t="shared" ca="1" si="1424"/>
        <v>0.25468941062793538</v>
      </c>
      <c r="BK1455" s="2">
        <f t="shared" ca="1" si="1425"/>
        <v>10224161.20788544</v>
      </c>
    </row>
    <row r="1456" spans="1:63" x14ac:dyDescent="0.3">
      <c r="A1456" s="2">
        <v>1455</v>
      </c>
      <c r="B1456" s="2">
        <f t="shared" ca="1" si="1364"/>
        <v>0.66789425435340743</v>
      </c>
      <c r="C1456" s="2">
        <f t="shared" ca="1" si="1365"/>
        <v>7.1850082875923302</v>
      </c>
      <c r="D1456" s="2">
        <f t="shared" ca="1" si="1366"/>
        <v>0.24990448325321946</v>
      </c>
      <c r="E1456" s="2">
        <f t="shared" ca="1" si="1367"/>
        <v>7.206971687202846</v>
      </c>
      <c r="F1456" s="2">
        <f t="shared" ca="1" si="1368"/>
        <v>0.45946824117482155</v>
      </c>
      <c r="G1456" s="2">
        <f t="shared" ca="1" si="1369"/>
        <v>3.6946795831687015E-2</v>
      </c>
      <c r="H1456" s="2">
        <f t="shared" ca="1" si="1370"/>
        <v>3.6946795831687015E-2</v>
      </c>
      <c r="I1456" s="2">
        <f t="shared" ca="1" si="1371"/>
        <v>0.44158359858689011</v>
      </c>
      <c r="J1456" s="2">
        <f t="shared" ca="1" si="1372"/>
        <v>9.2652228321462096E-3</v>
      </c>
      <c r="K1456" s="2">
        <f t="shared" ca="1" si="1373"/>
        <v>9.2652228321462096E-3</v>
      </c>
      <c r="L1456" s="2">
        <f t="shared" ca="1" si="1374"/>
        <v>7.4600704308534271E-2</v>
      </c>
      <c r="M1456" s="2">
        <f t="shared" ca="1" si="1375"/>
        <v>-2.8847159802089073E-2</v>
      </c>
      <c r="N1456" s="2">
        <f t="shared" ca="1" si="1376"/>
        <v>-2.8847159802089073E-2</v>
      </c>
      <c r="O1456" s="2">
        <f t="shared" si="1377"/>
        <v>6000000</v>
      </c>
      <c r="P1456" s="2">
        <f t="shared" ca="1" si="1378"/>
        <v>43110049.725553982</v>
      </c>
      <c r="Q1456" s="2">
        <f t="shared" ca="1" si="1379"/>
        <v>1077751.2431388495</v>
      </c>
      <c r="R1456" s="2">
        <f t="shared" ca="1" si="1380"/>
        <v>25866029.83533239</v>
      </c>
      <c r="S1456" s="2">
        <f t="shared" ca="1" si="1381"/>
        <v>17244019.890221592</v>
      </c>
      <c r="T1456" s="2">
        <f t="shared" ca="1" si="1382"/>
        <v>48557642.009895548</v>
      </c>
      <c r="U1456" s="2">
        <f t="shared" ca="1" si="1383"/>
        <v>50351691.2953033</v>
      </c>
      <c r="V1456" s="2">
        <f t="shared" ca="1" si="1384"/>
        <v>52212024.953370996</v>
      </c>
      <c r="W1456" s="2">
        <f t="shared" ca="1" si="1385"/>
        <v>54141091.979282133</v>
      </c>
      <c r="X1456" s="2">
        <f t="shared" ca="1" si="1386"/>
        <v>56141431.850745253</v>
      </c>
      <c r="Y1456" s="2">
        <f t="shared" ca="1" si="1387"/>
        <v>0.1246326114160731</v>
      </c>
      <c r="Z1456" s="2">
        <f t="shared" ca="1" si="1388"/>
        <v>0.12648565598250233</v>
      </c>
      <c r="AA1456" s="2">
        <f t="shared" ca="1" si="1389"/>
        <v>6051865.7279000981</v>
      </c>
      <c r="AB1456" s="2">
        <f t="shared" ca="1" si="1390"/>
        <v>6368766.7033148902</v>
      </c>
      <c r="AC1456" s="2">
        <f t="shared" ca="1" si="1391"/>
        <v>6604072.2264019111</v>
      </c>
      <c r="AD1456" s="2">
        <f t="shared" ca="1" si="1392"/>
        <v>6848071.5346084964</v>
      </c>
      <c r="AE1456" s="2">
        <f t="shared" ca="1" si="1393"/>
        <v>7101085.8354384629</v>
      </c>
      <c r="AF1456" s="2">
        <f t="shared" ca="1" si="1394"/>
        <v>971152.84019791102</v>
      </c>
      <c r="AG1456" s="2">
        <f t="shared" ca="1" si="1395"/>
        <v>1007033.825906066</v>
      </c>
      <c r="AH1456" s="2">
        <f t="shared" ca="1" si="1396"/>
        <v>1044240.4990674199</v>
      </c>
      <c r="AI1456" s="2">
        <f t="shared" ca="1" si="1397"/>
        <v>1082821.8395856428</v>
      </c>
      <c r="AJ1456" s="2">
        <f t="shared" ca="1" si="1398"/>
        <v>1122828.637014905</v>
      </c>
      <c r="AK1456" s="2">
        <f t="shared" ca="1" si="1399"/>
        <v>0</v>
      </c>
      <c r="AL1456" s="2">
        <f t="shared" ca="1" si="1400"/>
        <v>17940.492854077518</v>
      </c>
      <c r="AM1456" s="2">
        <f t="shared" ca="1" si="1401"/>
        <v>18603.336580676958</v>
      </c>
      <c r="AN1456" s="2">
        <f t="shared" ca="1" si="1402"/>
        <v>19290.670259111375</v>
      </c>
      <c r="AO1456" s="2">
        <f t="shared" ca="1" si="1403"/>
        <v>20003.398714631199</v>
      </c>
      <c r="AP1456" s="2">
        <f t="shared" ca="1" si="1404"/>
        <v>2327942.6851799148</v>
      </c>
      <c r="AQ1456" s="2">
        <f t="shared" ca="1" si="1405"/>
        <v>715720.25265579089</v>
      </c>
      <c r="AR1456" s="2">
        <f t="shared" ca="1" si="1406"/>
        <v>788785.44997951644</v>
      </c>
      <c r="AS1456" s="2">
        <f t="shared" ca="1" si="1407"/>
        <v>840291.15096018987</v>
      </c>
      <c r="AT1456" s="2">
        <f t="shared" ca="1" si="1408"/>
        <v>893699.82255916402</v>
      </c>
      <c r="AU1456" s="2">
        <f t="shared" ca="1" si="1409"/>
        <v>949081.77344334719</v>
      </c>
      <c r="AV1456" s="2">
        <f t="shared" ca="1" si="1410"/>
        <v>2037049.9498664816</v>
      </c>
      <c r="AW1456" s="2">
        <f t="shared" ca="1" si="1411"/>
        <v>2227064.2493953151</v>
      </c>
      <c r="AX1456" s="2">
        <f t="shared" ca="1" si="1412"/>
        <v>2372994.554613709</v>
      </c>
      <c r="AY1456" s="2">
        <f t="shared" ca="1" si="1413"/>
        <v>2524316.5170246628</v>
      </c>
      <c r="AZ1456" s="2">
        <f t="shared" ca="1" si="1414"/>
        <v>2681229.3410856654</v>
      </c>
      <c r="BA1456" s="2">
        <f t="shared" ca="1" si="1415"/>
        <v>51177324.56440217</v>
      </c>
      <c r="BB1456" s="2">
        <f t="shared" ca="1" si="1416"/>
        <v>1023546.4912880434</v>
      </c>
      <c r="BC1456" s="2">
        <f t="shared" ca="1" si="1417"/>
        <v>24287748.237781737</v>
      </c>
      <c r="BD1456" s="2">
        <f t="shared" ca="1" si="1418"/>
        <v>-18821771.133360442</v>
      </c>
      <c r="BE1456" s="2">
        <f t="shared" ca="1" si="1419"/>
        <v>2037049.9498664816</v>
      </c>
      <c r="BF1456" s="2">
        <f t="shared" ca="1" si="1420"/>
        <v>2227064.2493953151</v>
      </c>
      <c r="BG1456" s="2">
        <f t="shared" ca="1" si="1421"/>
        <v>2372994.554613709</v>
      </c>
      <c r="BH1456" s="2">
        <f t="shared" ca="1" si="1422"/>
        <v>2524316.5170246628</v>
      </c>
      <c r="BI1456" s="2">
        <f t="shared" ca="1" si="1423"/>
        <v>26968977.578867402</v>
      </c>
      <c r="BJ1456" s="2">
        <f t="shared" ca="1" si="1424"/>
        <v>0.16508864869503093</v>
      </c>
      <c r="BK1456" s="2">
        <f t="shared" ca="1" si="1425"/>
        <v>3368647.0331153721</v>
      </c>
    </row>
    <row r="1457" spans="1:63" x14ac:dyDescent="0.3">
      <c r="A1457" s="2">
        <v>1456</v>
      </c>
      <c r="B1457" s="2">
        <f t="shared" ca="1" si="1364"/>
        <v>5.5781722668252876E-2</v>
      </c>
      <c r="C1457" s="2">
        <f t="shared" ca="1" si="1365"/>
        <v>6.33401114552737</v>
      </c>
      <c r="D1457" s="2">
        <f t="shared" ca="1" si="1366"/>
        <v>0.90822908564152582</v>
      </c>
      <c r="E1457" s="2">
        <f t="shared" ca="1" si="1367"/>
        <v>8.0715821797392771</v>
      </c>
      <c r="F1457" s="2">
        <f t="shared" ca="1" si="1368"/>
        <v>0.48051939328659798</v>
      </c>
      <c r="G1457" s="2">
        <f t="shared" ca="1" si="1369"/>
        <v>3.8534498159265261E-2</v>
      </c>
      <c r="H1457" s="2">
        <f t="shared" ca="1" si="1370"/>
        <v>3.8534498159265261E-2</v>
      </c>
      <c r="I1457" s="2">
        <f t="shared" ca="1" si="1371"/>
        <v>0.2405719255474017</v>
      </c>
      <c r="J1457" s="2">
        <f t="shared" ca="1" si="1372"/>
        <v>6.4776799148529556E-3</v>
      </c>
      <c r="K1457" s="2">
        <f t="shared" ca="1" si="1373"/>
        <v>6.4776799148529556E-3</v>
      </c>
      <c r="L1457" s="2">
        <f t="shared" ca="1" si="1374"/>
        <v>0.53488357977230672</v>
      </c>
      <c r="M1457" s="2">
        <f t="shared" ca="1" si="1375"/>
        <v>1.7510378259401938E-3</v>
      </c>
      <c r="N1457" s="2">
        <f t="shared" ca="1" si="1376"/>
        <v>1.7510378259401938E-3</v>
      </c>
      <c r="O1457" s="2">
        <f t="shared" si="1377"/>
        <v>6000000</v>
      </c>
      <c r="P1457" s="2">
        <f t="shared" ca="1" si="1378"/>
        <v>38004066.873164222</v>
      </c>
      <c r="Q1457" s="2">
        <f t="shared" ca="1" si="1379"/>
        <v>950101.67182910559</v>
      </c>
      <c r="R1457" s="2">
        <f t="shared" ca="1" si="1380"/>
        <v>22802440.123898532</v>
      </c>
      <c r="S1457" s="2">
        <f t="shared" ca="1" si="1381"/>
        <v>15201626.749265689</v>
      </c>
      <c r="T1457" s="2">
        <f t="shared" ca="1" si="1382"/>
        <v>50087551.891297013</v>
      </c>
      <c r="U1457" s="2">
        <f t="shared" ca="1" si="1383"/>
        <v>52017650.567454301</v>
      </c>
      <c r="V1457" s="2">
        <f t="shared" ca="1" si="1384"/>
        <v>54022124.62749517</v>
      </c>
      <c r="W1457" s="2">
        <f t="shared" ca="1" si="1385"/>
        <v>56103840.089512981</v>
      </c>
      <c r="X1457" s="2">
        <f t="shared" ca="1" si="1386"/>
        <v>58265773.41217003</v>
      </c>
      <c r="Y1457" s="2">
        <f t="shared" ca="1" si="1387"/>
        <v>0.12323883995742647</v>
      </c>
      <c r="Z1457" s="2">
        <f t="shared" ca="1" si="1388"/>
        <v>0.12453437594039707</v>
      </c>
      <c r="AA1457" s="2">
        <f t="shared" ca="1" si="1389"/>
        <v>6172731.7913908465</v>
      </c>
      <c r="AB1457" s="2">
        <f t="shared" ca="1" si="1390"/>
        <v>6477985.6513035623</v>
      </c>
      <c r="AC1457" s="2">
        <f t="shared" ca="1" si="1391"/>
        <v>6727611.5774594666</v>
      </c>
      <c r="AD1457" s="2">
        <f t="shared" ca="1" si="1392"/>
        <v>6986856.7134073302</v>
      </c>
      <c r="AE1457" s="2">
        <f t="shared" ca="1" si="1393"/>
        <v>7256091.7305691745</v>
      </c>
      <c r="AF1457" s="2">
        <f t="shared" ca="1" si="1394"/>
        <v>1001751.0378259403</v>
      </c>
      <c r="AG1457" s="2">
        <f t="shared" ca="1" si="1395"/>
        <v>1040353.0113490861</v>
      </c>
      <c r="AH1457" s="2">
        <f t="shared" ca="1" si="1396"/>
        <v>1080442.4925499035</v>
      </c>
      <c r="AI1457" s="2">
        <f t="shared" ca="1" si="1397"/>
        <v>1122076.8017902595</v>
      </c>
      <c r="AJ1457" s="2">
        <f t="shared" ca="1" si="1398"/>
        <v>1165315.4682434006</v>
      </c>
      <c r="AK1457" s="2">
        <f t="shared" ca="1" si="1399"/>
        <v>0</v>
      </c>
      <c r="AL1457" s="2">
        <f t="shared" ca="1" si="1400"/>
        <v>19300.986761572884</v>
      </c>
      <c r="AM1457" s="2">
        <f t="shared" ca="1" si="1401"/>
        <v>20044.740600408688</v>
      </c>
      <c r="AN1457" s="2">
        <f t="shared" ca="1" si="1402"/>
        <v>20817.15462017812</v>
      </c>
      <c r="AO1457" s="2">
        <f t="shared" ca="1" si="1403"/>
        <v>21619.333226570488</v>
      </c>
      <c r="AP1457" s="2">
        <f t="shared" ca="1" si="1404"/>
        <v>2052219.6111508678</v>
      </c>
      <c r="AQ1457" s="2">
        <f t="shared" ca="1" si="1405"/>
        <v>810877.89702765003</v>
      </c>
      <c r="AR1457" s="2">
        <f t="shared" ca="1" si="1406"/>
        <v>880207.38748893829</v>
      </c>
      <c r="AS1457" s="2">
        <f t="shared" ca="1" si="1407"/>
        <v>934686.86317726073</v>
      </c>
      <c r="AT1457" s="2">
        <f t="shared" ca="1" si="1408"/>
        <v>991265.67812121275</v>
      </c>
      <c r="AU1457" s="2">
        <f t="shared" ca="1" si="1409"/>
        <v>1050024.7293054757</v>
      </c>
      <c r="AV1457" s="2">
        <f t="shared" ca="1" si="1410"/>
        <v>2307883.2453863886</v>
      </c>
      <c r="AW1457" s="2">
        <f t="shared" ca="1" si="1411"/>
        <v>2485904.6545530981</v>
      </c>
      <c r="AX1457" s="2">
        <f t="shared" ca="1" si="1412"/>
        <v>2640217.8699810258</v>
      </c>
      <c r="AY1457" s="2">
        <f t="shared" ca="1" si="1413"/>
        <v>2800477.4677248118</v>
      </c>
      <c r="AZ1457" s="2">
        <f t="shared" ca="1" si="1414"/>
        <v>2966912.5886428594</v>
      </c>
      <c r="BA1457" s="2">
        <f t="shared" ca="1" si="1415"/>
        <v>58568140.707015678</v>
      </c>
      <c r="BB1457" s="2">
        <f t="shared" ca="1" si="1416"/>
        <v>1171362.8141403135</v>
      </c>
      <c r="BC1457" s="2">
        <f t="shared" ca="1" si="1417"/>
        <v>34594337.76897683</v>
      </c>
      <c r="BD1457" s="2">
        <f t="shared" ca="1" si="1418"/>
        <v>-16651728.421094796</v>
      </c>
      <c r="BE1457" s="2">
        <f t="shared" ca="1" si="1419"/>
        <v>2307883.2453863886</v>
      </c>
      <c r="BF1457" s="2">
        <f t="shared" ca="1" si="1420"/>
        <v>2485904.6545530981</v>
      </c>
      <c r="BG1457" s="2">
        <f t="shared" ca="1" si="1421"/>
        <v>2640217.8699810258</v>
      </c>
      <c r="BH1457" s="2">
        <f t="shared" ca="1" si="1422"/>
        <v>2800477.4677248118</v>
      </c>
      <c r="BI1457" s="2">
        <f t="shared" ca="1" si="1423"/>
        <v>37561250.357619688</v>
      </c>
      <c r="BJ1457" s="2">
        <f t="shared" ca="1" si="1424"/>
        <v>0.27815814321455523</v>
      </c>
      <c r="BK1457" s="2">
        <f t="shared" ca="1" si="1425"/>
        <v>12362900.766178316</v>
      </c>
    </row>
    <row r="1458" spans="1:63" x14ac:dyDescent="0.3">
      <c r="A1458" s="2">
        <v>1457</v>
      </c>
      <c r="B1458" s="2">
        <f t="shared" ca="1" si="1364"/>
        <v>0.35062087125904495</v>
      </c>
      <c r="C1458" s="2">
        <f t="shared" ca="1" si="1365"/>
        <v>6.8374017808185563</v>
      </c>
      <c r="D1458" s="2">
        <f t="shared" ca="1" si="1366"/>
        <v>0.33448545353313608</v>
      </c>
      <c r="E1458" s="2">
        <f t="shared" ca="1" si="1367"/>
        <v>7.3179064170589889</v>
      </c>
      <c r="F1458" s="2">
        <f t="shared" ca="1" si="1368"/>
        <v>0.37568066443478287</v>
      </c>
      <c r="G1458" s="2">
        <f t="shared" ca="1" si="1369"/>
        <v>3.0494654425506251E-2</v>
      </c>
      <c r="H1458" s="2">
        <f t="shared" ca="1" si="1370"/>
        <v>3.0494654425506251E-2</v>
      </c>
      <c r="I1458" s="2">
        <f t="shared" ca="1" si="1371"/>
        <v>0.25926670282227582</v>
      </c>
      <c r="J1458" s="2">
        <f t="shared" ca="1" si="1372"/>
        <v>6.771961162353797E-3</v>
      </c>
      <c r="K1458" s="2">
        <f t="shared" ca="1" si="1373"/>
        <v>6.771961162353797E-3</v>
      </c>
      <c r="L1458" s="2">
        <f t="shared" ca="1" si="1374"/>
        <v>0.1115757163927602</v>
      </c>
      <c r="M1458" s="2">
        <f t="shared" ca="1" si="1375"/>
        <v>-2.4363818219412851E-2</v>
      </c>
      <c r="N1458" s="2">
        <f t="shared" ca="1" si="1376"/>
        <v>-2.4363818219412851E-2</v>
      </c>
      <c r="O1458" s="2">
        <f t="shared" si="1377"/>
        <v>6000000</v>
      </c>
      <c r="P1458" s="2">
        <f t="shared" ca="1" si="1378"/>
        <v>41024410.68491134</v>
      </c>
      <c r="Q1458" s="2">
        <f t="shared" ca="1" si="1379"/>
        <v>1025610.2671227836</v>
      </c>
      <c r="R1458" s="2">
        <f t="shared" ca="1" si="1380"/>
        <v>24614646.410946805</v>
      </c>
      <c r="S1458" s="2">
        <f t="shared" ca="1" si="1381"/>
        <v>16409764.273964537</v>
      </c>
      <c r="T1458" s="2">
        <f t="shared" ca="1" si="1382"/>
        <v>48781809.089029357</v>
      </c>
      <c r="U1458" s="2">
        <f t="shared" ca="1" si="1383"/>
        <v>50269393.499450326</v>
      </c>
      <c r="V1458" s="2">
        <f t="shared" ca="1" si="1384"/>
        <v>51802341.282395855</v>
      </c>
      <c r="W1458" s="2">
        <f t="shared" ca="1" si="1385"/>
        <v>53382035.778234653</v>
      </c>
      <c r="X1458" s="2">
        <f t="shared" ca="1" si="1386"/>
        <v>55009902.511821933</v>
      </c>
      <c r="Y1458" s="2">
        <f t="shared" ca="1" si="1387"/>
        <v>0.12338598058117689</v>
      </c>
      <c r="Z1458" s="2">
        <f t="shared" ca="1" si="1388"/>
        <v>0.12474037281364765</v>
      </c>
      <c r="AA1458" s="2">
        <f t="shared" ca="1" si="1389"/>
        <v>6018991.3489736542</v>
      </c>
      <c r="AB1458" s="2">
        <f t="shared" ca="1" si="1390"/>
        <v>6270622.8862373894</v>
      </c>
      <c r="AC1458" s="2">
        <f t="shared" ca="1" si="1391"/>
        <v>6461843.3641858697</v>
      </c>
      <c r="AD1458" s="2">
        <f t="shared" ca="1" si="1392"/>
        <v>6658895.0445284685</v>
      </c>
      <c r="AE1458" s="2">
        <f t="shared" ca="1" si="1393"/>
        <v>6861955.7477670806</v>
      </c>
      <c r="AF1458" s="2">
        <f t="shared" ca="1" si="1394"/>
        <v>975636.18178058718</v>
      </c>
      <c r="AG1458" s="2">
        <f t="shared" ca="1" si="1395"/>
        <v>1005387.8699890065</v>
      </c>
      <c r="AH1458" s="2">
        <f t="shared" ca="1" si="1396"/>
        <v>1036046.8256479171</v>
      </c>
      <c r="AI1458" s="2">
        <f t="shared" ca="1" si="1397"/>
        <v>1067640.7155646931</v>
      </c>
      <c r="AJ1458" s="2">
        <f t="shared" ca="1" si="1398"/>
        <v>1100198.0502364386</v>
      </c>
      <c r="AK1458" s="2">
        <f t="shared" ca="1" si="1399"/>
        <v>0</v>
      </c>
      <c r="AL1458" s="2">
        <f t="shared" ca="1" si="1400"/>
        <v>14875.844104209691</v>
      </c>
      <c r="AM1458" s="2">
        <f t="shared" ca="1" si="1401"/>
        <v>15329.477829455287</v>
      </c>
      <c r="AN1458" s="2">
        <f t="shared" ca="1" si="1402"/>
        <v>15796.944958387987</v>
      </c>
      <c r="AO1458" s="2">
        <f t="shared" ca="1" si="1403"/>
        <v>16278.6673358728</v>
      </c>
      <c r="AP1458" s="2">
        <f t="shared" ca="1" si="1404"/>
        <v>2215318.1769852126</v>
      </c>
      <c r="AQ1458" s="2">
        <f t="shared" ca="1" si="1405"/>
        <v>735289.61745404219</v>
      </c>
      <c r="AR1458" s="2">
        <f t="shared" ca="1" si="1406"/>
        <v>792978.3782084242</v>
      </c>
      <c r="AS1458" s="2">
        <f t="shared" ca="1" si="1407"/>
        <v>834724.37400371255</v>
      </c>
      <c r="AT1458" s="2">
        <f t="shared" ca="1" si="1408"/>
        <v>877743.39951442624</v>
      </c>
      <c r="AU1458" s="2">
        <f t="shared" ca="1" si="1409"/>
        <v>922074.27534181171</v>
      </c>
      <c r="AV1458" s="2">
        <f t="shared" ca="1" si="1410"/>
        <v>2092747.3727538129</v>
      </c>
      <c r="AW1458" s="2">
        <f t="shared" ca="1" si="1411"/>
        <v>2242062.6169505361</v>
      </c>
      <c r="AX1458" s="2">
        <f t="shared" ca="1" si="1412"/>
        <v>2360424.509719572</v>
      </c>
      <c r="AY1458" s="2">
        <f t="shared" ca="1" si="1413"/>
        <v>2482395.8075057482</v>
      </c>
      <c r="AZ1458" s="2">
        <f t="shared" ca="1" si="1414"/>
        <v>2608086.5778677454</v>
      </c>
      <c r="BA1458" s="2">
        <f t="shared" ca="1" si="1415"/>
        <v>50215150.000159532</v>
      </c>
      <c r="BB1458" s="2">
        <f t="shared" ca="1" si="1416"/>
        <v>1004303.0000031907</v>
      </c>
      <c r="BC1458" s="2">
        <f t="shared" ca="1" si="1417"/>
        <v>24596200.589209534</v>
      </c>
      <c r="BD1458" s="2">
        <f t="shared" ca="1" si="1418"/>
        <v>-17935374.541087322</v>
      </c>
      <c r="BE1458" s="2">
        <f t="shared" ca="1" si="1419"/>
        <v>2092747.3727538129</v>
      </c>
      <c r="BF1458" s="2">
        <f t="shared" ca="1" si="1420"/>
        <v>2242062.6169505361</v>
      </c>
      <c r="BG1458" s="2">
        <f t="shared" ca="1" si="1421"/>
        <v>2360424.509719572</v>
      </c>
      <c r="BH1458" s="2">
        <f t="shared" ca="1" si="1422"/>
        <v>2482395.8075057482</v>
      </c>
      <c r="BI1458" s="2">
        <f t="shared" ca="1" si="1423"/>
        <v>27204287.167077281</v>
      </c>
      <c r="BJ1458" s="2">
        <f t="shared" ca="1" si="1424"/>
        <v>0.18090622558719094</v>
      </c>
      <c r="BK1458" s="2">
        <f t="shared" ca="1" si="1425"/>
        <v>4414662.5753702298</v>
      </c>
    </row>
    <row r="1459" spans="1:63" x14ac:dyDescent="0.3">
      <c r="A1459" s="2">
        <v>1458</v>
      </c>
      <c r="B1459" s="2">
        <f t="shared" ca="1" si="1364"/>
        <v>0.26983835091356312</v>
      </c>
      <c r="C1459" s="2">
        <f t="shared" ca="1" si="1365"/>
        <v>6.7346269133561103</v>
      </c>
      <c r="D1459" s="2">
        <f t="shared" ca="1" si="1366"/>
        <v>0.16658088496856049</v>
      </c>
      <c r="E1459" s="2">
        <f t="shared" ca="1" si="1367"/>
        <v>7.0772016718072814</v>
      </c>
      <c r="F1459" s="2">
        <f t="shared" ca="1" si="1368"/>
        <v>9.2111942295236338E-2</v>
      </c>
      <c r="G1459" s="2">
        <f t="shared" ca="1" si="1369"/>
        <v>1.6415673536061132E-4</v>
      </c>
      <c r="H1459" s="2">
        <f t="shared" ca="1" si="1370"/>
        <v>1.6415673536061132E-4</v>
      </c>
      <c r="I1459" s="2">
        <f t="shared" ca="1" si="1371"/>
        <v>0.23685931796656612</v>
      </c>
      <c r="J1459" s="2">
        <f t="shared" ca="1" si="1372"/>
        <v>6.4177913531474791E-3</v>
      </c>
      <c r="K1459" s="2">
        <f t="shared" ca="1" si="1373"/>
        <v>6.4177913531474791E-3</v>
      </c>
      <c r="L1459" s="2">
        <f t="shared" ca="1" si="1374"/>
        <v>0.99065052172694512</v>
      </c>
      <c r="M1459" s="2">
        <f t="shared" ca="1" si="1375"/>
        <v>4.7029575439857231E-2</v>
      </c>
      <c r="N1459" s="2">
        <f t="shared" ca="1" si="1376"/>
        <v>4.7029575439857231E-2</v>
      </c>
      <c r="O1459" s="2">
        <f t="shared" si="1377"/>
        <v>6000000</v>
      </c>
      <c r="P1459" s="2">
        <f t="shared" ca="1" si="1378"/>
        <v>40407761.480136663</v>
      </c>
      <c r="Q1459" s="2">
        <f t="shared" ca="1" si="1379"/>
        <v>1010194.0370034166</v>
      </c>
      <c r="R1459" s="2">
        <f t="shared" ca="1" si="1380"/>
        <v>24244656.888081998</v>
      </c>
      <c r="S1459" s="2">
        <f t="shared" ca="1" si="1381"/>
        <v>16163104.592054665</v>
      </c>
      <c r="T1459" s="2">
        <f t="shared" ca="1" si="1382"/>
        <v>52351478.771992862</v>
      </c>
      <c r="U1459" s="2">
        <f t="shared" ca="1" si="1383"/>
        <v>52360072.61983937</v>
      </c>
      <c r="V1459" s="2">
        <f t="shared" ca="1" si="1384"/>
        <v>52368667.878423885</v>
      </c>
      <c r="W1459" s="2">
        <f t="shared" ca="1" si="1385"/>
        <v>52377264.547977984</v>
      </c>
      <c r="X1459" s="2">
        <f t="shared" ca="1" si="1386"/>
        <v>52385862.628733292</v>
      </c>
      <c r="Y1459" s="2">
        <f t="shared" ca="1" si="1387"/>
        <v>0.12320889567657374</v>
      </c>
      <c r="Z1459" s="2">
        <f t="shared" ca="1" si="1388"/>
        <v>0.12449245394720324</v>
      </c>
      <c r="AA1459" s="2">
        <f t="shared" ca="1" si="1389"/>
        <v>6450167.8865328329</v>
      </c>
      <c r="AB1459" s="2">
        <f t="shared" ca="1" si="1390"/>
        <v>6518433.9292975701</v>
      </c>
      <c r="AC1459" s="2">
        <f t="shared" ca="1" si="1391"/>
        <v>6519503.9741310664</v>
      </c>
      <c r="AD1459" s="2">
        <f t="shared" ca="1" si="1392"/>
        <v>6520574.1946196295</v>
      </c>
      <c r="AE1459" s="2">
        <f t="shared" ca="1" si="1393"/>
        <v>6521644.5907920944</v>
      </c>
      <c r="AF1459" s="2">
        <f t="shared" ca="1" si="1394"/>
        <v>1047029.5754398573</v>
      </c>
      <c r="AG1459" s="2">
        <f t="shared" ca="1" si="1395"/>
        <v>1047201.4523967875</v>
      </c>
      <c r="AH1459" s="2">
        <f t="shared" ca="1" si="1396"/>
        <v>1047373.3575684777</v>
      </c>
      <c r="AI1459" s="2">
        <f t="shared" ca="1" si="1397"/>
        <v>1047545.2909595597</v>
      </c>
      <c r="AJ1459" s="2">
        <f t="shared" ca="1" si="1398"/>
        <v>1047717.2525746658</v>
      </c>
      <c r="AK1459" s="2">
        <f t="shared" ca="1" si="1399"/>
        <v>0</v>
      </c>
      <c r="AL1459" s="2">
        <f t="shared" ca="1" si="1400"/>
        <v>85.938478465080266</v>
      </c>
      <c r="AM1459" s="2">
        <f t="shared" ca="1" si="1401"/>
        <v>85.952585845142607</v>
      </c>
      <c r="AN1459" s="2">
        <f t="shared" ca="1" si="1402"/>
        <v>85.966695540994408</v>
      </c>
      <c r="AO1459" s="2">
        <f t="shared" ca="1" si="1403"/>
        <v>85.980807553082713</v>
      </c>
      <c r="AP1459" s="2">
        <f t="shared" ca="1" si="1404"/>
        <v>2182019.1199273798</v>
      </c>
      <c r="AQ1459" s="2">
        <f t="shared" ca="1" si="1405"/>
        <v>837490.98970305489</v>
      </c>
      <c r="AR1459" s="2">
        <f t="shared" ca="1" si="1406"/>
        <v>855195.47281308472</v>
      </c>
      <c r="AS1459" s="2">
        <f t="shared" ca="1" si="1407"/>
        <v>855428.98912515421</v>
      </c>
      <c r="AT1459" s="2">
        <f t="shared" ca="1" si="1408"/>
        <v>855662.54377049953</v>
      </c>
      <c r="AU1459" s="2">
        <f t="shared" ca="1" si="1409"/>
        <v>855896.13675541279</v>
      </c>
      <c r="AV1459" s="2">
        <f t="shared" ca="1" si="1410"/>
        <v>2383628.2014625412</v>
      </c>
      <c r="AW1459" s="2">
        <f t="shared" ca="1" si="1411"/>
        <v>2433931.9456818528</v>
      </c>
      <c r="AX1459" s="2">
        <f t="shared" ca="1" si="1412"/>
        <v>2434596.5549242091</v>
      </c>
      <c r="AY1459" s="2">
        <f t="shared" ca="1" si="1413"/>
        <v>2435261.2732666503</v>
      </c>
      <c r="AZ1459" s="2">
        <f t="shared" ca="1" si="1414"/>
        <v>2435926.1007270836</v>
      </c>
      <c r="BA1459" s="2">
        <f t="shared" ca="1" si="1415"/>
        <v>46154994.000886723</v>
      </c>
      <c r="BB1459" s="2">
        <f t="shared" ca="1" si="1416"/>
        <v>923099.88001773448</v>
      </c>
      <c r="BC1459" s="2">
        <f t="shared" ca="1" si="1417"/>
        <v>20987237.232786991</v>
      </c>
      <c r="BD1459" s="2">
        <f t="shared" ca="1" si="1418"/>
        <v>-17673298.629058082</v>
      </c>
      <c r="BE1459" s="2">
        <f t="shared" ca="1" si="1419"/>
        <v>2383628.2014625412</v>
      </c>
      <c r="BF1459" s="2">
        <f t="shared" ca="1" si="1420"/>
        <v>2433931.9456818528</v>
      </c>
      <c r="BG1459" s="2">
        <f t="shared" ca="1" si="1421"/>
        <v>2434596.5549242091</v>
      </c>
      <c r="BH1459" s="2">
        <f t="shared" ca="1" si="1422"/>
        <v>2435261.2732666503</v>
      </c>
      <c r="BI1459" s="2">
        <f t="shared" ca="1" si="1423"/>
        <v>23423163.333514076</v>
      </c>
      <c r="BJ1459" s="2">
        <f t="shared" ca="1" si="1424"/>
        <v>0.16404891362586627</v>
      </c>
      <c r="BK1459" s="2">
        <f t="shared" ca="1" si="1425"/>
        <v>2966738.7073157132</v>
      </c>
    </row>
    <row r="1460" spans="1:63" x14ac:dyDescent="0.3">
      <c r="A1460" s="2">
        <v>1459</v>
      </c>
      <c r="B1460" s="2">
        <f t="shared" ca="1" si="1364"/>
        <v>0.11148069456578913</v>
      </c>
      <c r="C1460" s="2">
        <f t="shared" ca="1" si="1365"/>
        <v>6.4721878748248187</v>
      </c>
      <c r="D1460" s="2">
        <f t="shared" ca="1" si="1366"/>
        <v>0.30027835760330823</v>
      </c>
      <c r="E1460" s="2">
        <f t="shared" ca="1" si="1367"/>
        <v>7.2749559440423797</v>
      </c>
      <c r="F1460" s="2">
        <f t="shared" ca="1" si="1368"/>
        <v>0.82009590015836131</v>
      </c>
      <c r="G1460" s="2">
        <f t="shared" ca="1" si="1369"/>
        <v>6.7471918664129396E-2</v>
      </c>
      <c r="H1460" s="2">
        <f t="shared" ca="1" si="1370"/>
        <v>6.7471918664129396E-2</v>
      </c>
      <c r="I1460" s="2">
        <f t="shared" ca="1" si="1371"/>
        <v>0.16436037621349386</v>
      </c>
      <c r="J1460" s="2">
        <f t="shared" ca="1" si="1372"/>
        <v>5.1165308678545662E-3</v>
      </c>
      <c r="K1460" s="2">
        <f t="shared" ca="1" si="1373"/>
        <v>5.1165308678545662E-3</v>
      </c>
      <c r="L1460" s="2">
        <f t="shared" ca="1" si="1374"/>
        <v>0.98338419400124111</v>
      </c>
      <c r="M1460" s="2">
        <f t="shared" ca="1" si="1375"/>
        <v>4.2585476519364368E-2</v>
      </c>
      <c r="N1460" s="2">
        <f t="shared" ca="1" si="1376"/>
        <v>4.2585476519364368E-2</v>
      </c>
      <c r="O1460" s="2">
        <f t="shared" si="1377"/>
        <v>6000000</v>
      </c>
      <c r="P1460" s="2">
        <f t="shared" ca="1" si="1378"/>
        <v>38833127.248948909</v>
      </c>
      <c r="Q1460" s="2">
        <f t="shared" ca="1" si="1379"/>
        <v>970828.18122372276</v>
      </c>
      <c r="R1460" s="2">
        <f t="shared" ca="1" si="1380"/>
        <v>23299876.349369343</v>
      </c>
      <c r="S1460" s="2">
        <f t="shared" ca="1" si="1381"/>
        <v>15533250.899579564</v>
      </c>
      <c r="T1460" s="2">
        <f t="shared" ca="1" si="1382"/>
        <v>52129273.825968213</v>
      </c>
      <c r="U1460" s="2">
        <f t="shared" ca="1" si="1383"/>
        <v>55646535.949574076</v>
      </c>
      <c r="V1460" s="2">
        <f t="shared" ca="1" si="1384"/>
        <v>59401114.497104295</v>
      </c>
      <c r="W1460" s="2">
        <f t="shared" ca="1" si="1385"/>
        <v>63409021.663011558</v>
      </c>
      <c r="X1460" s="2">
        <f t="shared" ca="1" si="1386"/>
        <v>67687350.015230298</v>
      </c>
      <c r="Y1460" s="2">
        <f t="shared" ca="1" si="1387"/>
        <v>0.12255826543392728</v>
      </c>
      <c r="Z1460" s="2">
        <f t="shared" ca="1" si="1388"/>
        <v>0.12358157160749819</v>
      </c>
      <c r="AA1460" s="2">
        <f t="shared" ca="1" si="1389"/>
        <v>6388873.3784408905</v>
      </c>
      <c r="AB1460" s="2">
        <f t="shared" ca="1" si="1390"/>
        <v>6876886.3671615114</v>
      </c>
      <c r="AC1460" s="2">
        <f t="shared" ca="1" si="1391"/>
        <v>7340883.0847890936</v>
      </c>
      <c r="AD1460" s="2">
        <f t="shared" ca="1" si="1392"/>
        <v>7836186.5512088668</v>
      </c>
      <c r="AE1460" s="2">
        <f t="shared" ca="1" si="1393"/>
        <v>8364909.0928289769</v>
      </c>
      <c r="AF1460" s="2">
        <f t="shared" ca="1" si="1394"/>
        <v>1042585.4765193643</v>
      </c>
      <c r="AG1460" s="2">
        <f t="shared" ca="1" si="1395"/>
        <v>1112930.7189914815</v>
      </c>
      <c r="AH1460" s="2">
        <f t="shared" ca="1" si="1396"/>
        <v>1188022.289942086</v>
      </c>
      <c r="AI1460" s="2">
        <f t="shared" ca="1" si="1397"/>
        <v>1268180.4332602313</v>
      </c>
      <c r="AJ1460" s="2">
        <f t="shared" ca="1" si="1398"/>
        <v>1353747.000304606</v>
      </c>
      <c r="AK1460" s="2">
        <f t="shared" ca="1" si="1399"/>
        <v>0</v>
      </c>
      <c r="AL1460" s="2">
        <f t="shared" ca="1" si="1400"/>
        <v>35172.621236058621</v>
      </c>
      <c r="AM1460" s="2">
        <f t="shared" ca="1" si="1401"/>
        <v>37545.785475302189</v>
      </c>
      <c r="AN1460" s="2">
        <f t="shared" ca="1" si="1402"/>
        <v>40079.071659072637</v>
      </c>
      <c r="AO1460" s="2">
        <f t="shared" ca="1" si="1403"/>
        <v>42783.283522187397</v>
      </c>
      <c r="AP1460" s="2">
        <f t="shared" ca="1" si="1404"/>
        <v>2096988.8714432409</v>
      </c>
      <c r="AQ1460" s="2">
        <f t="shared" ca="1" si="1405"/>
        <v>844817.74792435428</v>
      </c>
      <c r="AR1460" s="2">
        <f t="shared" ca="1" si="1406"/>
        <v>953411.36194896512</v>
      </c>
      <c r="AS1460" s="2">
        <f t="shared" ca="1" si="1407"/>
        <v>1054526.7000849794</v>
      </c>
      <c r="AT1460" s="2">
        <f t="shared" ca="1" si="1408"/>
        <v>1162464.4840914027</v>
      </c>
      <c r="AU1460" s="2">
        <f t="shared" ca="1" si="1409"/>
        <v>1277685.037481094</v>
      </c>
      <c r="AV1460" s="2">
        <f t="shared" ca="1" si="1410"/>
        <v>2404481.2825539317</v>
      </c>
      <c r="AW1460" s="2">
        <f t="shared" ca="1" si="1411"/>
        <v>2678382.7935417648</v>
      </c>
      <c r="AX1460" s="2">
        <f t="shared" ca="1" si="1412"/>
        <v>2963799.4378434848</v>
      </c>
      <c r="AY1460" s="2">
        <f t="shared" ca="1" si="1413"/>
        <v>3268473.6907549193</v>
      </c>
      <c r="AZ1460" s="2">
        <f t="shared" ca="1" si="1414"/>
        <v>3593704.9000778487</v>
      </c>
      <c r="BA1460" s="2">
        <f t="shared" ca="1" si="1415"/>
        <v>60854345.126250319</v>
      </c>
      <c r="BB1460" s="2">
        <f t="shared" ca="1" si="1416"/>
        <v>1217086.9025250063</v>
      </c>
      <c r="BC1460" s="2">
        <f t="shared" ca="1" si="1417"/>
        <v>36337381.874355972</v>
      </c>
      <c r="BD1460" s="2">
        <f t="shared" ca="1" si="1418"/>
        <v>-17004079.080803286</v>
      </c>
      <c r="BE1460" s="2">
        <f t="shared" ca="1" si="1419"/>
        <v>2404481.2825539317</v>
      </c>
      <c r="BF1460" s="2">
        <f t="shared" ca="1" si="1420"/>
        <v>2678382.7935417648</v>
      </c>
      <c r="BG1460" s="2">
        <f t="shared" ca="1" si="1421"/>
        <v>2963799.4378434848</v>
      </c>
      <c r="BH1460" s="2">
        <f t="shared" ca="1" si="1422"/>
        <v>3268473.6907549193</v>
      </c>
      <c r="BI1460" s="2">
        <f t="shared" ca="1" si="1423"/>
        <v>39931086.774433821</v>
      </c>
      <c r="BJ1460" s="2">
        <f t="shared" ca="1" si="1424"/>
        <v>0.29387902278310385</v>
      </c>
      <c r="BK1460" s="2">
        <f t="shared" ca="1" si="1425"/>
        <v>14122688.603387106</v>
      </c>
    </row>
    <row r="1461" spans="1:63" x14ac:dyDescent="0.3">
      <c r="A1461" s="2">
        <v>1460</v>
      </c>
      <c r="B1461" s="2">
        <f t="shared" ca="1" si="1364"/>
        <v>0.57839264396741785</v>
      </c>
      <c r="C1461" s="2">
        <f t="shared" ca="1" si="1365"/>
        <v>7.0817327665297185</v>
      </c>
      <c r="D1461" s="2">
        <f t="shared" ca="1" si="1366"/>
        <v>0.46528131589471688</v>
      </c>
      <c r="E1461" s="2">
        <f t="shared" ca="1" si="1367"/>
        <v>7.4646567429865573</v>
      </c>
      <c r="F1461" s="2">
        <f t="shared" ca="1" si="1368"/>
        <v>0.87711138904943065</v>
      </c>
      <c r="G1461" s="2">
        <f t="shared" ca="1" si="1369"/>
        <v>7.4820019219131451E-2</v>
      </c>
      <c r="H1461" s="2">
        <f t="shared" ca="1" si="1370"/>
        <v>7.4820019219131451E-2</v>
      </c>
      <c r="I1461" s="2">
        <f t="shared" ca="1" si="1371"/>
        <v>0.86247734075060434</v>
      </c>
      <c r="J1461" s="2">
        <f t="shared" ca="1" si="1372"/>
        <v>1.5457586559541332E-2</v>
      </c>
      <c r="K1461" s="2">
        <f t="shared" ca="1" si="1373"/>
        <v>1.5457586559541332E-2</v>
      </c>
      <c r="L1461" s="2">
        <f t="shared" ca="1" si="1374"/>
        <v>2.3844212936120823E-2</v>
      </c>
      <c r="M1461" s="2">
        <f t="shared" ca="1" si="1375"/>
        <v>-3.9602688496992035E-2</v>
      </c>
      <c r="N1461" s="2">
        <f t="shared" ca="1" si="1376"/>
        <v>-3.9602688496992035E-2</v>
      </c>
      <c r="O1461" s="2">
        <f t="shared" si="1377"/>
        <v>6000000</v>
      </c>
      <c r="P1461" s="2">
        <f t="shared" ca="1" si="1378"/>
        <v>42490396.599178314</v>
      </c>
      <c r="Q1461" s="2">
        <f t="shared" ca="1" si="1379"/>
        <v>1062259.9149794579</v>
      </c>
      <c r="R1461" s="2">
        <f t="shared" ca="1" si="1380"/>
        <v>25494237.959506989</v>
      </c>
      <c r="S1461" s="2">
        <f t="shared" ca="1" si="1381"/>
        <v>16996158.639671326</v>
      </c>
      <c r="T1461" s="2">
        <f t="shared" ca="1" si="1382"/>
        <v>48019865.5751504</v>
      </c>
      <c r="U1461" s="2">
        <f t="shared" ca="1" si="1383"/>
        <v>51612712.840383261</v>
      </c>
      <c r="V1461" s="2">
        <f t="shared" ca="1" si="1384"/>
        <v>55474377.00705225</v>
      </c>
      <c r="W1461" s="2">
        <f t="shared" ca="1" si="1385"/>
        <v>59624970.96088925</v>
      </c>
      <c r="X1461" s="2">
        <f t="shared" ca="1" si="1386"/>
        <v>64086112.434123144</v>
      </c>
      <c r="Y1461" s="2">
        <f t="shared" ca="1" si="1387"/>
        <v>0.12772879327977066</v>
      </c>
      <c r="Z1461" s="2">
        <f t="shared" ca="1" si="1388"/>
        <v>0.13082031059167892</v>
      </c>
      <c r="AA1461" s="2">
        <f t="shared" ca="1" si="1389"/>
        <v>6133519.4833707605</v>
      </c>
      <c r="AB1461" s="2">
        <f t="shared" ca="1" si="1390"/>
        <v>6751991.124258073</v>
      </c>
      <c r="AC1461" s="2">
        <f t="shared" ca="1" si="1391"/>
        <v>7257175.2299424671</v>
      </c>
      <c r="AD1461" s="2">
        <f t="shared" ca="1" si="1392"/>
        <v>7800157.2201233683</v>
      </c>
      <c r="AE1461" s="2">
        <f t="shared" ca="1" si="1393"/>
        <v>8383765.1332452465</v>
      </c>
      <c r="AF1461" s="2">
        <f t="shared" ca="1" si="1394"/>
        <v>960397.31150300801</v>
      </c>
      <c r="AG1461" s="2">
        <f t="shared" ca="1" si="1395"/>
        <v>1032254.2568076652</v>
      </c>
      <c r="AH1461" s="2">
        <f t="shared" ca="1" si="1396"/>
        <v>1109487.5401410451</v>
      </c>
      <c r="AI1461" s="2">
        <f t="shared" ca="1" si="1397"/>
        <v>1192499.4192177851</v>
      </c>
      <c r="AJ1461" s="2">
        <f t="shared" ca="1" si="1398"/>
        <v>1281722.2486824628</v>
      </c>
      <c r="AK1461" s="2">
        <f t="shared" ca="1" si="1399"/>
        <v>0</v>
      </c>
      <c r="AL1461" s="2">
        <f t="shared" ca="1" si="1400"/>
        <v>35928.472652328608</v>
      </c>
      <c r="AM1461" s="2">
        <f t="shared" ca="1" si="1401"/>
        <v>38616.641666689888</v>
      </c>
      <c r="AN1461" s="2">
        <f t="shared" ca="1" si="1402"/>
        <v>41505.939538369996</v>
      </c>
      <c r="AO1461" s="2">
        <f t="shared" ca="1" si="1403"/>
        <v>44611.414732338933</v>
      </c>
      <c r="AP1461" s="2">
        <f t="shared" ca="1" si="1404"/>
        <v>2294481.416355629</v>
      </c>
      <c r="AQ1461" s="2">
        <f t="shared" ca="1" si="1405"/>
        <v>748446.5964331521</v>
      </c>
      <c r="AR1461" s="2">
        <f t="shared" ca="1" si="1406"/>
        <v>890566.41728464246</v>
      </c>
      <c r="AS1461" s="2">
        <f t="shared" ca="1" si="1407"/>
        <v>1001833.6310959063</v>
      </c>
      <c r="AT1461" s="2">
        <f t="shared" ca="1" si="1408"/>
        <v>1121425.8599829883</v>
      </c>
      <c r="AU1461" s="2">
        <f t="shared" ca="1" si="1409"/>
        <v>1249965.9817338602</v>
      </c>
      <c r="AV1461" s="2">
        <f t="shared" ca="1" si="1410"/>
        <v>2130194.159078971</v>
      </c>
      <c r="AW1461" s="2">
        <f t="shared" ca="1" si="1411"/>
        <v>2498760.5611578082</v>
      </c>
      <c r="AX1461" s="2">
        <f t="shared" ca="1" si="1412"/>
        <v>2812756.0006831973</v>
      </c>
      <c r="AY1461" s="2">
        <f t="shared" ca="1" si="1413"/>
        <v>3150244.5850285958</v>
      </c>
      <c r="AZ1461" s="2">
        <f t="shared" ca="1" si="1414"/>
        <v>3512984.0717409556</v>
      </c>
      <c r="BA1461" s="2">
        <f t="shared" ca="1" si="1415"/>
        <v>62581928.933494724</v>
      </c>
      <c r="BB1461" s="2">
        <f t="shared" ca="1" si="1416"/>
        <v>1251638.5786698945</v>
      </c>
      <c r="BC1461" s="2">
        <f t="shared" ca="1" si="1417"/>
        <v>35836052.395317838</v>
      </c>
      <c r="BD1461" s="2">
        <f t="shared" ca="1" si="1418"/>
        <v>-18558418.554650784</v>
      </c>
      <c r="BE1461" s="2">
        <f t="shared" ca="1" si="1419"/>
        <v>2130194.159078971</v>
      </c>
      <c r="BF1461" s="2">
        <f t="shared" ca="1" si="1420"/>
        <v>2498760.5611578082</v>
      </c>
      <c r="BG1461" s="2">
        <f t="shared" ca="1" si="1421"/>
        <v>2812756.0006831973</v>
      </c>
      <c r="BH1461" s="2">
        <f t="shared" ca="1" si="1422"/>
        <v>3150244.5850285958</v>
      </c>
      <c r="BI1461" s="2">
        <f t="shared" ca="1" si="1423"/>
        <v>39349036.467058793</v>
      </c>
      <c r="BJ1461" s="2">
        <f t="shared" ca="1" si="1424"/>
        <v>0.25593253635613467</v>
      </c>
      <c r="BK1461" s="2">
        <f t="shared" ca="1" si="1425"/>
        <v>11667338.723223604</v>
      </c>
    </row>
    <row r="1462" spans="1:63" x14ac:dyDescent="0.3">
      <c r="A1462" s="2">
        <v>1461</v>
      </c>
      <c r="B1462" s="2">
        <f t="shared" ca="1" si="1364"/>
        <v>0.61902546040267392</v>
      </c>
      <c r="C1462" s="2">
        <f t="shared" ca="1" si="1365"/>
        <v>7.1271030535082325</v>
      </c>
      <c r="D1462" s="2">
        <f t="shared" ca="1" si="1366"/>
        <v>0.77534854593625557</v>
      </c>
      <c r="E1462" s="2">
        <f t="shared" ca="1" si="1367"/>
        <v>7.8296993897306306</v>
      </c>
      <c r="F1462" s="2">
        <f t="shared" ca="1" si="1368"/>
        <v>0.27971050245290341</v>
      </c>
      <c r="G1462" s="2">
        <f t="shared" ca="1" si="1369"/>
        <v>2.2488948179362232E-2</v>
      </c>
      <c r="H1462" s="2">
        <f t="shared" ca="1" si="1370"/>
        <v>2.2488948179362232E-2</v>
      </c>
      <c r="I1462" s="2">
        <f t="shared" ca="1" si="1371"/>
        <v>0.26481531960881777</v>
      </c>
      <c r="J1462" s="2">
        <f t="shared" ca="1" si="1372"/>
        <v>6.8571502551965577E-3</v>
      </c>
      <c r="K1462" s="2">
        <f t="shared" ca="1" si="1373"/>
        <v>6.8571502551965577E-3</v>
      </c>
      <c r="L1462" s="2">
        <f t="shared" ca="1" si="1374"/>
        <v>0.32109127974143348</v>
      </c>
      <c r="M1462" s="2">
        <f t="shared" ca="1" si="1375"/>
        <v>-9.292987725462068E-3</v>
      </c>
      <c r="N1462" s="2">
        <f t="shared" ca="1" si="1376"/>
        <v>-9.292987725462068E-3</v>
      </c>
      <c r="O1462" s="2">
        <f t="shared" si="1377"/>
        <v>6000000</v>
      </c>
      <c r="P1462" s="2">
        <f t="shared" ca="1" si="1378"/>
        <v>42762618.321049392</v>
      </c>
      <c r="Q1462" s="2">
        <f t="shared" ca="1" si="1379"/>
        <v>1069065.4580262348</v>
      </c>
      <c r="R1462" s="2">
        <f t="shared" ca="1" si="1380"/>
        <v>25657570.992629636</v>
      </c>
      <c r="S1462" s="2">
        <f t="shared" ca="1" si="1381"/>
        <v>17105047.328419756</v>
      </c>
      <c r="T1462" s="2">
        <f t="shared" ca="1" si="1382"/>
        <v>49535350.613726899</v>
      </c>
      <c r="U1462" s="2">
        <f t="shared" ca="1" si="1383"/>
        <v>50649348.546725541</v>
      </c>
      <c r="V1462" s="2">
        <f t="shared" ca="1" si="1384"/>
        <v>51788399.121511303</v>
      </c>
      <c r="W1462" s="2">
        <f t="shared" ca="1" si="1385"/>
        <v>52953065.745647095</v>
      </c>
      <c r="X1462" s="2">
        <f t="shared" ca="1" si="1386"/>
        <v>54143924.497139312</v>
      </c>
      <c r="Y1462" s="2">
        <f t="shared" ca="1" si="1387"/>
        <v>0.12342857512759828</v>
      </c>
      <c r="Z1462" s="2">
        <f t="shared" ca="1" si="1388"/>
        <v>0.12480000517863758</v>
      </c>
      <c r="AA1462" s="2">
        <f t="shared" ca="1" si="1389"/>
        <v>6114077.7446983121</v>
      </c>
      <c r="AB1462" s="2">
        <f t="shared" ca="1" si="1390"/>
        <v>6321038.9609259674</v>
      </c>
      <c r="AC1462" s="2">
        <f t="shared" ca="1" si="1391"/>
        <v>6463192.4785579611</v>
      </c>
      <c r="AD1462" s="2">
        <f t="shared" ca="1" si="1392"/>
        <v>6608542.8792814938</v>
      </c>
      <c r="AE1462" s="2">
        <f t="shared" ca="1" si="1393"/>
        <v>6757162.0576347485</v>
      </c>
      <c r="AF1462" s="2">
        <f t="shared" ca="1" si="1394"/>
        <v>990707.01227453805</v>
      </c>
      <c r="AG1462" s="2">
        <f t="shared" ca="1" si="1395"/>
        <v>1012986.9709345108</v>
      </c>
      <c r="AH1462" s="2">
        <f t="shared" ca="1" si="1396"/>
        <v>1035767.9824302261</v>
      </c>
      <c r="AI1462" s="2">
        <f t="shared" ca="1" si="1397"/>
        <v>1059061.314912942</v>
      </c>
      <c r="AJ1462" s="2">
        <f t="shared" ca="1" si="1398"/>
        <v>1082878.4899427863</v>
      </c>
      <c r="AK1462" s="2">
        <f t="shared" ca="1" si="1399"/>
        <v>0</v>
      </c>
      <c r="AL1462" s="2">
        <f t="shared" ca="1" si="1400"/>
        <v>11139.979329986423</v>
      </c>
      <c r="AM1462" s="2">
        <f t="shared" ca="1" si="1401"/>
        <v>11390.505747857616</v>
      </c>
      <c r="AN1462" s="2">
        <f t="shared" ca="1" si="1402"/>
        <v>11646.666241357923</v>
      </c>
      <c r="AO1462" s="2">
        <f t="shared" ca="1" si="1403"/>
        <v>11908.587514922172</v>
      </c>
      <c r="AP1462" s="2">
        <f t="shared" ca="1" si="1404"/>
        <v>2309181.389336667</v>
      </c>
      <c r="AQ1462" s="2">
        <f t="shared" ca="1" si="1405"/>
        <v>731689.22920264781</v>
      </c>
      <c r="AR1462" s="2">
        <f t="shared" ca="1" si="1406"/>
        <v>779706.35617024521</v>
      </c>
      <c r="AS1462" s="2">
        <f t="shared" ca="1" si="1407"/>
        <v>810743.20776567771</v>
      </c>
      <c r="AT1462" s="2">
        <f t="shared" ca="1" si="1408"/>
        <v>842478.04550829006</v>
      </c>
      <c r="AU1462" s="2">
        <f t="shared" ca="1" si="1409"/>
        <v>874926.56637237675</v>
      </c>
      <c r="AV1462" s="2">
        <f t="shared" ca="1" si="1410"/>
        <v>2082500.1138844592</v>
      </c>
      <c r="AW1462" s="2">
        <f t="shared" ca="1" si="1411"/>
        <v>2208024.2651545573</v>
      </c>
      <c r="AX1462" s="2">
        <f t="shared" ca="1" si="1412"/>
        <v>2296109.3932775324</v>
      </c>
      <c r="AY1462" s="2">
        <f t="shared" ca="1" si="1413"/>
        <v>2386175.4632822368</v>
      </c>
      <c r="AZ1462" s="2">
        <f t="shared" ca="1" si="1414"/>
        <v>2478267.0244679963</v>
      </c>
      <c r="BA1462" s="2">
        <f t="shared" ca="1" si="1415"/>
        <v>52906547.638973765</v>
      </c>
      <c r="BB1462" s="2">
        <f t="shared" ca="1" si="1416"/>
        <v>1058130.9527794754</v>
      </c>
      <c r="BC1462" s="2">
        <f t="shared" ca="1" si="1417"/>
        <v>26190845.693564653</v>
      </c>
      <c r="BD1462" s="2">
        <f t="shared" ca="1" si="1418"/>
        <v>-18674112.78644599</v>
      </c>
      <c r="BE1462" s="2">
        <f t="shared" ca="1" si="1419"/>
        <v>2082500.1138844592</v>
      </c>
      <c r="BF1462" s="2">
        <f t="shared" ca="1" si="1420"/>
        <v>2208024.2651545573</v>
      </c>
      <c r="BG1462" s="2">
        <f t="shared" ca="1" si="1421"/>
        <v>2296109.3932775324</v>
      </c>
      <c r="BH1462" s="2">
        <f t="shared" ca="1" si="1422"/>
        <v>2386175.4632822368</v>
      </c>
      <c r="BI1462" s="2">
        <f t="shared" ca="1" si="1423"/>
        <v>28669112.718032651</v>
      </c>
      <c r="BJ1462" s="2">
        <f t="shared" ca="1" si="1424"/>
        <v>0.17749629739538419</v>
      </c>
      <c r="BK1462" s="2">
        <f t="shared" ca="1" si="1425"/>
        <v>4363893.1848529018</v>
      </c>
    </row>
    <row r="1463" spans="1:63" x14ac:dyDescent="0.3">
      <c r="A1463" s="2">
        <v>1462</v>
      </c>
      <c r="B1463" s="2">
        <f t="shared" ca="1" si="1364"/>
        <v>7.8156903877349193E-2</v>
      </c>
      <c r="C1463" s="2">
        <f t="shared" ca="1" si="1365"/>
        <v>6.395365410417627</v>
      </c>
      <c r="D1463" s="2">
        <f t="shared" ca="1" si="1366"/>
        <v>0.74587479543070156</v>
      </c>
      <c r="E1463" s="2">
        <f t="shared" ca="1" si="1367"/>
        <v>7.7870831681475066</v>
      </c>
      <c r="F1463" s="2">
        <f t="shared" ca="1" si="1368"/>
        <v>0.14116654474860035</v>
      </c>
      <c r="G1463" s="2">
        <f t="shared" ca="1" si="1369"/>
        <v>7.7472097556656877E-3</v>
      </c>
      <c r="H1463" s="2">
        <f t="shared" ca="1" si="1370"/>
        <v>7.7472097556656877E-3</v>
      </c>
      <c r="I1463" s="2">
        <f t="shared" ca="1" si="1371"/>
        <v>0.49903919796616469</v>
      </c>
      <c r="J1463" s="2">
        <f t="shared" ca="1" si="1372"/>
        <v>9.9879581206373039E-3</v>
      </c>
      <c r="K1463" s="2">
        <f t="shared" ca="1" si="1373"/>
        <v>9.9879581206373039E-3</v>
      </c>
      <c r="L1463" s="2">
        <f t="shared" ca="1" si="1374"/>
        <v>0.94321297371787494</v>
      </c>
      <c r="M1463" s="2">
        <f t="shared" ca="1" si="1375"/>
        <v>3.1646617794209686E-2</v>
      </c>
      <c r="N1463" s="2">
        <f t="shared" ca="1" si="1376"/>
        <v>3.1646617794209686E-2</v>
      </c>
      <c r="O1463" s="2">
        <f t="shared" si="1377"/>
        <v>6000000</v>
      </c>
      <c r="P1463" s="2">
        <f t="shared" ca="1" si="1378"/>
        <v>38372192.462505765</v>
      </c>
      <c r="Q1463" s="2">
        <f t="shared" ca="1" si="1379"/>
        <v>959304.8115626442</v>
      </c>
      <c r="R1463" s="2">
        <f t="shared" ca="1" si="1380"/>
        <v>23023315.47750346</v>
      </c>
      <c r="S1463" s="2">
        <f t="shared" ca="1" si="1381"/>
        <v>15348876.985002307</v>
      </c>
      <c r="T1463" s="2">
        <f t="shared" ca="1" si="1382"/>
        <v>51582330.889710478</v>
      </c>
      <c r="U1463" s="2">
        <f t="shared" ca="1" si="1383"/>
        <v>51981950.026799217</v>
      </c>
      <c r="V1463" s="2">
        <f t="shared" ca="1" si="1384"/>
        <v>52384665.097165361</v>
      </c>
      <c r="W1463" s="2">
        <f t="shared" ca="1" si="1385"/>
        <v>52790500.085653402</v>
      </c>
      <c r="X1463" s="2">
        <f t="shared" ca="1" si="1386"/>
        <v>53199479.162923448</v>
      </c>
      <c r="Y1463" s="2">
        <f t="shared" ca="1" si="1387"/>
        <v>0.12499397906031864</v>
      </c>
      <c r="Z1463" s="2">
        <f t="shared" ca="1" si="1388"/>
        <v>0.12699157068444611</v>
      </c>
      <c r="AA1463" s="2">
        <f t="shared" ca="1" si="1389"/>
        <v>6447480.7871108996</v>
      </c>
      <c r="AB1463" s="2">
        <f t="shared" ca="1" si="1390"/>
        <v>6601269.481143618</v>
      </c>
      <c r="AC1463" s="2">
        <f t="shared" ca="1" si="1391"/>
        <v>6652410.9004677115</v>
      </c>
      <c r="AD1463" s="2">
        <f t="shared" ca="1" si="1392"/>
        <v>6703948.5230945125</v>
      </c>
      <c r="AE1463" s="2">
        <f t="shared" ca="1" si="1393"/>
        <v>6755885.4184941109</v>
      </c>
      <c r="AF1463" s="2">
        <f t="shared" ca="1" si="1394"/>
        <v>1031646.6177942096</v>
      </c>
      <c r="AG1463" s="2">
        <f t="shared" ca="1" si="1395"/>
        <v>1039639.0005359844</v>
      </c>
      <c r="AH1463" s="2">
        <f t="shared" ca="1" si="1396"/>
        <v>1047693.3019433073</v>
      </c>
      <c r="AI1463" s="2">
        <f t="shared" ca="1" si="1397"/>
        <v>1055810.001713068</v>
      </c>
      <c r="AJ1463" s="2">
        <f t="shared" ca="1" si="1398"/>
        <v>1063989.5832584689</v>
      </c>
      <c r="AK1463" s="2">
        <f t="shared" ca="1" si="1399"/>
        <v>0</v>
      </c>
      <c r="AL1463" s="2">
        <f t="shared" ca="1" si="1400"/>
        <v>3996.191370887384</v>
      </c>
      <c r="AM1463" s="2">
        <f t="shared" ca="1" si="1401"/>
        <v>4027.1507036614421</v>
      </c>
      <c r="AN1463" s="2">
        <f t="shared" ca="1" si="1402"/>
        <v>4058.3498848804088</v>
      </c>
      <c r="AO1463" s="2">
        <f t="shared" ca="1" si="1403"/>
        <v>4089.790772700459</v>
      </c>
      <c r="AP1463" s="2">
        <f t="shared" ca="1" si="1404"/>
        <v>2072098.3929753113</v>
      </c>
      <c r="AQ1463" s="2">
        <f t="shared" ca="1" si="1405"/>
        <v>869371.30184875859</v>
      </c>
      <c r="AR1463" s="2">
        <f t="shared" ca="1" si="1406"/>
        <v>907278.34278440382</v>
      </c>
      <c r="AS1463" s="2">
        <f t="shared" ca="1" si="1407"/>
        <v>918480.99344276427</v>
      </c>
      <c r="AT1463" s="2">
        <f t="shared" ca="1" si="1408"/>
        <v>929770.43338559463</v>
      </c>
      <c r="AU1463" s="2">
        <f t="shared" ca="1" si="1409"/>
        <v>941147.33498768613</v>
      </c>
      <c r="AV1463" s="2">
        <f t="shared" ca="1" si="1410"/>
        <v>2474364.4744926202</v>
      </c>
      <c r="AW1463" s="2">
        <f t="shared" ca="1" si="1411"/>
        <v>2578257.5534770307</v>
      </c>
      <c r="AX1463" s="2">
        <f t="shared" ca="1" si="1412"/>
        <v>2610111.0614026678</v>
      </c>
      <c r="AY1463" s="2">
        <f t="shared" ca="1" si="1413"/>
        <v>2642211.3451356576</v>
      </c>
      <c r="AZ1463" s="2">
        <f t="shared" ca="1" si="1414"/>
        <v>2674560.3164999443</v>
      </c>
      <c r="BA1463" s="2">
        <f t="shared" ca="1" si="1415"/>
        <v>52608641.628288664</v>
      </c>
      <c r="BB1463" s="2">
        <f t="shared" ca="1" si="1416"/>
        <v>1052172.8325657733</v>
      </c>
      <c r="BC1463" s="2">
        <f t="shared" ca="1" si="1417"/>
        <v>28533153.318219431</v>
      </c>
      <c r="BD1463" s="2">
        <f t="shared" ca="1" si="1418"/>
        <v>-16808181.796564952</v>
      </c>
      <c r="BE1463" s="2">
        <f t="shared" ca="1" si="1419"/>
        <v>2474364.4744926202</v>
      </c>
      <c r="BF1463" s="2">
        <f t="shared" ca="1" si="1420"/>
        <v>2578257.5534770307</v>
      </c>
      <c r="BG1463" s="2">
        <f t="shared" ca="1" si="1421"/>
        <v>2610111.0614026678</v>
      </c>
      <c r="BH1463" s="2">
        <f t="shared" ca="1" si="1422"/>
        <v>2642211.3451356576</v>
      </c>
      <c r="BI1463" s="2">
        <f t="shared" ca="1" si="1423"/>
        <v>31207713.634719376</v>
      </c>
      <c r="BJ1463" s="2">
        <f t="shared" ca="1" si="1424"/>
        <v>0.23992297818378439</v>
      </c>
      <c r="BK1463" s="2">
        <f t="shared" ca="1" si="1425"/>
        <v>8701536.731720347</v>
      </c>
    </row>
    <row r="1464" spans="1:63" x14ac:dyDescent="0.3">
      <c r="A1464" s="2">
        <v>1463</v>
      </c>
      <c r="B1464" s="2">
        <f t="shared" ca="1" si="1364"/>
        <v>0.75566691919870688</v>
      </c>
      <c r="C1464" s="2">
        <f t="shared" ca="1" si="1365"/>
        <v>7.3009533909655335</v>
      </c>
      <c r="D1464" s="2">
        <f t="shared" ca="1" si="1366"/>
        <v>0.34228634285080561</v>
      </c>
      <c r="E1464" s="2">
        <f t="shared" ca="1" si="1367"/>
        <v>7.3273890775817696</v>
      </c>
      <c r="F1464" s="2">
        <f t="shared" ca="1" si="1368"/>
        <v>0.41496117360564921</v>
      </c>
      <c r="G1464" s="2">
        <f t="shared" ca="1" si="1369"/>
        <v>3.3555965151993772E-2</v>
      </c>
      <c r="H1464" s="2">
        <f t="shared" ca="1" si="1370"/>
        <v>3.3555965151993772E-2</v>
      </c>
      <c r="I1464" s="2">
        <f t="shared" ca="1" si="1371"/>
        <v>0.39029923509269326</v>
      </c>
      <c r="J1464" s="2">
        <f t="shared" ca="1" si="1372"/>
        <v>8.6073039499408727E-3</v>
      </c>
      <c r="K1464" s="2">
        <f t="shared" ca="1" si="1373"/>
        <v>8.6073039499408727E-3</v>
      </c>
      <c r="L1464" s="2">
        <f t="shared" ca="1" si="1374"/>
        <v>0.82767630412277404</v>
      </c>
      <c r="M1464" s="2">
        <f t="shared" ca="1" si="1375"/>
        <v>1.8900449899912155E-2</v>
      </c>
      <c r="N1464" s="2">
        <f t="shared" ca="1" si="1376"/>
        <v>1.8900449899912155E-2</v>
      </c>
      <c r="O1464" s="2">
        <f t="shared" si="1377"/>
        <v>6000000</v>
      </c>
      <c r="P1464" s="2">
        <f t="shared" ca="1" si="1378"/>
        <v>43805720.345793203</v>
      </c>
      <c r="Q1464" s="2">
        <f t="shared" ca="1" si="1379"/>
        <v>1095143.0086448302</v>
      </c>
      <c r="R1464" s="2">
        <f t="shared" ca="1" si="1380"/>
        <v>26283432.207475919</v>
      </c>
      <c r="S1464" s="2">
        <f t="shared" ca="1" si="1381"/>
        <v>17522288.138317283</v>
      </c>
      <c r="T1464" s="2">
        <f t="shared" ca="1" si="1382"/>
        <v>50945022.494995609</v>
      </c>
      <c r="U1464" s="2">
        <f t="shared" ca="1" si="1383"/>
        <v>52654531.894505218</v>
      </c>
      <c r="V1464" s="2">
        <f t="shared" ca="1" si="1384"/>
        <v>54421405.531851776</v>
      </c>
      <c r="W1464" s="2">
        <f t="shared" ca="1" si="1385"/>
        <v>56247568.319401108</v>
      </c>
      <c r="X1464" s="2">
        <f t="shared" ca="1" si="1386"/>
        <v>58135009.761811316</v>
      </c>
      <c r="Y1464" s="2">
        <f t="shared" ca="1" si="1387"/>
        <v>0.12430365197497042</v>
      </c>
      <c r="Z1464" s="2">
        <f t="shared" ca="1" si="1388"/>
        <v>0.12602511276495862</v>
      </c>
      <c r="AA1464" s="2">
        <f t="shared" ca="1" si="1389"/>
        <v>6332652.3460749732</v>
      </c>
      <c r="AB1464" s="2">
        <f t="shared" ca="1" si="1390"/>
        <v>6635793.3195911301</v>
      </c>
      <c r="AC1464" s="2">
        <f t="shared" ca="1" si="1391"/>
        <v>6858463.7689791629</v>
      </c>
      <c r="AD1464" s="2">
        <f t="shared" ca="1" si="1392"/>
        <v>7088606.1402072385</v>
      </c>
      <c r="AE1464" s="2">
        <f t="shared" ca="1" si="1393"/>
        <v>7326471.1608242411</v>
      </c>
      <c r="AF1464" s="2">
        <f t="shared" ca="1" si="1394"/>
        <v>1018900.4498999122</v>
      </c>
      <c r="AG1464" s="2">
        <f t="shared" ca="1" si="1395"/>
        <v>1053090.6378901044</v>
      </c>
      <c r="AH1464" s="2">
        <f t="shared" ca="1" si="1396"/>
        <v>1088428.1106370355</v>
      </c>
      <c r="AI1464" s="2">
        <f t="shared" ca="1" si="1397"/>
        <v>1124951.3663880222</v>
      </c>
      <c r="AJ1464" s="2">
        <f t="shared" ca="1" si="1398"/>
        <v>1162700.1952362263</v>
      </c>
      <c r="AK1464" s="2">
        <f t="shared" ca="1" si="1399"/>
        <v>0</v>
      </c>
      <c r="AL1464" s="2">
        <f t="shared" ca="1" si="1400"/>
        <v>17095.093995096089</v>
      </c>
      <c r="AM1464" s="2">
        <f t="shared" ca="1" si="1401"/>
        <v>17668.736373465585</v>
      </c>
      <c r="AN1464" s="2">
        <f t="shared" ca="1" si="1402"/>
        <v>18261.627875493319</v>
      </c>
      <c r="AO1464" s="2">
        <f t="shared" ca="1" si="1403"/>
        <v>18874.414424102084</v>
      </c>
      <c r="AP1464" s="2">
        <f t="shared" ca="1" si="1404"/>
        <v>2365508.8986728326</v>
      </c>
      <c r="AQ1464" s="2">
        <f t="shared" ca="1" si="1405"/>
        <v>766543.17935057951</v>
      </c>
      <c r="AR1464" s="2">
        <f t="shared" ca="1" si="1406"/>
        <v>836470.38358733023</v>
      </c>
      <c r="AS1464" s="2">
        <f t="shared" ca="1" si="1407"/>
        <v>885176.95751401677</v>
      </c>
      <c r="AT1464" s="2">
        <f t="shared" ca="1" si="1408"/>
        <v>935517.92753805988</v>
      </c>
      <c r="AU1464" s="2">
        <f t="shared" ca="1" si="1409"/>
        <v>987548.13739794737</v>
      </c>
      <c r="AV1464" s="2">
        <f t="shared" ca="1" si="1410"/>
        <v>2181699.8181516496</v>
      </c>
      <c r="AW1464" s="2">
        <f t="shared" ca="1" si="1411"/>
        <v>2363628.3054457665</v>
      </c>
      <c r="AX1464" s="2">
        <f t="shared" ca="1" si="1412"/>
        <v>2501681.0657818126</v>
      </c>
      <c r="AY1464" s="2">
        <f t="shared" ca="1" si="1413"/>
        <v>2644366.3197328313</v>
      </c>
      <c r="AZ1464" s="2">
        <f t="shared" ca="1" si="1414"/>
        <v>2791839.5150931324</v>
      </c>
      <c r="BA1464" s="2">
        <f t="shared" ca="1" si="1415"/>
        <v>53683904.761041373</v>
      </c>
      <c r="BB1464" s="2">
        <f t="shared" ca="1" si="1416"/>
        <v>1073678.0952208275</v>
      </c>
      <c r="BC1464" s="2">
        <f t="shared" ca="1" si="1417"/>
        <v>26326794.458344627</v>
      </c>
      <c r="BD1464" s="2">
        <f t="shared" ca="1" si="1418"/>
        <v>-19117431.146962114</v>
      </c>
      <c r="BE1464" s="2">
        <f t="shared" ca="1" si="1419"/>
        <v>2181699.8181516496</v>
      </c>
      <c r="BF1464" s="2">
        <f t="shared" ca="1" si="1420"/>
        <v>2363628.3054457665</v>
      </c>
      <c r="BG1464" s="2">
        <f t="shared" ca="1" si="1421"/>
        <v>2501681.0657818126</v>
      </c>
      <c r="BH1464" s="2">
        <f t="shared" ca="1" si="1422"/>
        <v>2644366.3197328313</v>
      </c>
      <c r="BI1464" s="2">
        <f t="shared" ca="1" si="1423"/>
        <v>29118633.97343776</v>
      </c>
      <c r="BJ1464" s="2">
        <f t="shared" ca="1" si="1424"/>
        <v>0.18065220807320115</v>
      </c>
      <c r="BK1464" s="2">
        <f t="shared" ca="1" si="1425"/>
        <v>4698669.8225882985</v>
      </c>
    </row>
    <row r="1465" spans="1:63" x14ac:dyDescent="0.3">
      <c r="A1465" s="2">
        <v>1464</v>
      </c>
      <c r="B1465" s="2">
        <f t="shared" ca="1" si="1364"/>
        <v>0.65915401664667594</v>
      </c>
      <c r="C1465" s="2">
        <f t="shared" ca="1" si="1365"/>
        <v>7.1743536067379399</v>
      </c>
      <c r="D1465" s="2">
        <f t="shared" ca="1" si="1366"/>
        <v>0.35366090302719544</v>
      </c>
      <c r="E1465" s="2">
        <f t="shared" ca="1" si="1367"/>
        <v>7.3410242600867059</v>
      </c>
      <c r="F1465" s="2">
        <f t="shared" ca="1" si="1368"/>
        <v>4.0083068896639262E-2</v>
      </c>
      <c r="G1465" s="2">
        <f t="shared" ca="1" si="1369"/>
        <v>-1.2491687420363627E-2</v>
      </c>
      <c r="H1465" s="2">
        <f t="shared" ca="1" si="1370"/>
        <v>-1.2491687420363627E-2</v>
      </c>
      <c r="I1465" s="2">
        <f t="shared" ca="1" si="1371"/>
        <v>0.28913653306608955</v>
      </c>
      <c r="J1465" s="2">
        <f t="shared" ca="1" si="1372"/>
        <v>7.2204550055350609E-3</v>
      </c>
      <c r="K1465" s="2">
        <f t="shared" ca="1" si="1373"/>
        <v>7.2204550055350609E-3</v>
      </c>
      <c r="L1465" s="2">
        <f t="shared" ca="1" si="1374"/>
        <v>0.90444864364376121</v>
      </c>
      <c r="M1465" s="2">
        <f t="shared" ca="1" si="1375"/>
        <v>2.6146479049138062E-2</v>
      </c>
      <c r="N1465" s="2">
        <f t="shared" ca="1" si="1376"/>
        <v>2.6146479049138062E-2</v>
      </c>
      <c r="O1465" s="2">
        <f t="shared" si="1377"/>
        <v>6000000</v>
      </c>
      <c r="P1465" s="2">
        <f t="shared" ca="1" si="1378"/>
        <v>43046121.640427642</v>
      </c>
      <c r="Q1465" s="2">
        <f t="shared" ca="1" si="1379"/>
        <v>1076153.0410106911</v>
      </c>
      <c r="R1465" s="2">
        <f t="shared" ca="1" si="1380"/>
        <v>25827672.984256584</v>
      </c>
      <c r="S1465" s="2">
        <f t="shared" ca="1" si="1381"/>
        <v>17218448.656171057</v>
      </c>
      <c r="T1465" s="2">
        <f t="shared" ca="1" si="1382"/>
        <v>51307323.952456906</v>
      </c>
      <c r="U1465" s="2">
        <f t="shared" ca="1" si="1383"/>
        <v>50666408.89926748</v>
      </c>
      <c r="V1465" s="2">
        <f t="shared" ca="1" si="1384"/>
        <v>50033499.956585497</v>
      </c>
      <c r="W1465" s="2">
        <f t="shared" ca="1" si="1385"/>
        <v>49408497.114581048</v>
      </c>
      <c r="X1465" s="2">
        <f t="shared" ca="1" si="1386"/>
        <v>48791301.612715766</v>
      </c>
      <c r="Y1465" s="2">
        <f t="shared" ca="1" si="1387"/>
        <v>0.12361022750276753</v>
      </c>
      <c r="Z1465" s="2">
        <f t="shared" ca="1" si="1388"/>
        <v>0.12505431850387455</v>
      </c>
      <c r="AA1465" s="2">
        <f t="shared" ca="1" si="1389"/>
        <v>6342109.9863213915</v>
      </c>
      <c r="AB1465" s="2">
        <f t="shared" ca="1" si="1390"/>
        <v>6336053.2359365392</v>
      </c>
      <c r="AC1465" s="2">
        <f t="shared" ca="1" si="1391"/>
        <v>6256905.239434436</v>
      </c>
      <c r="AD1465" s="2">
        <f t="shared" ca="1" si="1392"/>
        <v>6178745.9349645851</v>
      </c>
      <c r="AE1465" s="2">
        <f t="shared" ca="1" si="1393"/>
        <v>6101562.9720951654</v>
      </c>
      <c r="AF1465" s="2">
        <f t="shared" ca="1" si="1394"/>
        <v>1026146.4790491381</v>
      </c>
      <c r="AG1465" s="2">
        <f t="shared" ca="1" si="1395"/>
        <v>1013328.1779853497</v>
      </c>
      <c r="AH1465" s="2">
        <f t="shared" ca="1" si="1396"/>
        <v>1000669.9991317099</v>
      </c>
      <c r="AI1465" s="2">
        <f t="shared" ca="1" si="1397"/>
        <v>988169.942291621</v>
      </c>
      <c r="AJ1465" s="2">
        <f t="shared" ca="1" si="1398"/>
        <v>975826.03225431533</v>
      </c>
      <c r="AK1465" s="2">
        <f t="shared" ca="1" si="1399"/>
        <v>0</v>
      </c>
      <c r="AL1465" s="2">
        <f t="shared" ca="1" si="1400"/>
        <v>0</v>
      </c>
      <c r="AM1465" s="2">
        <f t="shared" ca="1" si="1401"/>
        <v>0</v>
      </c>
      <c r="AN1465" s="2">
        <f t="shared" ca="1" si="1402"/>
        <v>0</v>
      </c>
      <c r="AO1465" s="2">
        <f t="shared" ca="1" si="1403"/>
        <v>0</v>
      </c>
      <c r="AP1465" s="2">
        <f t="shared" ca="1" si="1404"/>
        <v>2324490.5685830927</v>
      </c>
      <c r="AQ1465" s="2">
        <f t="shared" ca="1" si="1405"/>
        <v>777782.96405918186</v>
      </c>
      <c r="AR1465" s="2">
        <f t="shared" ca="1" si="1406"/>
        <v>779540.96723570523</v>
      </c>
      <c r="AS1465" s="2">
        <f t="shared" ca="1" si="1407"/>
        <v>762253.61464710464</v>
      </c>
      <c r="AT1465" s="2">
        <f t="shared" ca="1" si="1408"/>
        <v>745182.21026336658</v>
      </c>
      <c r="AU1465" s="2">
        <f t="shared" ca="1" si="1409"/>
        <v>728324.05652701703</v>
      </c>
      <c r="AV1465" s="2">
        <f t="shared" ca="1" si="1410"/>
        <v>2213689.9746299796</v>
      </c>
      <c r="AW1465" s="2">
        <f t="shared" ca="1" si="1411"/>
        <v>2218693.522132392</v>
      </c>
      <c r="AX1465" s="2">
        <f t="shared" ca="1" si="1412"/>
        <v>2169491.0570725286</v>
      </c>
      <c r="AY1465" s="2">
        <f t="shared" ca="1" si="1413"/>
        <v>2120903.2138265045</v>
      </c>
      <c r="AZ1465" s="2">
        <f t="shared" ca="1" si="1414"/>
        <v>2072922.3147307411</v>
      </c>
      <c r="BA1465" s="2">
        <f t="shared" ca="1" si="1415"/>
        <v>44791721.802597351</v>
      </c>
      <c r="BB1465" s="2">
        <f t="shared" ca="1" si="1416"/>
        <v>895834.43605194706</v>
      </c>
      <c r="BC1465" s="2">
        <f t="shared" ca="1" si="1417"/>
        <v>18068214.382288821</v>
      </c>
      <c r="BD1465" s="2">
        <f t="shared" ca="1" si="1418"/>
        <v>-18794601.69718175</v>
      </c>
      <c r="BE1465" s="2">
        <f t="shared" ca="1" si="1419"/>
        <v>2213689.9746299796</v>
      </c>
      <c r="BF1465" s="2">
        <f t="shared" ca="1" si="1420"/>
        <v>2218693.522132392</v>
      </c>
      <c r="BG1465" s="2">
        <f t="shared" ca="1" si="1421"/>
        <v>2169491.0570725286</v>
      </c>
      <c r="BH1465" s="2">
        <f t="shared" ca="1" si="1422"/>
        <v>2120903.2138265045</v>
      </c>
      <c r="BI1465" s="2">
        <f t="shared" ca="1" si="1423"/>
        <v>20141136.697019562</v>
      </c>
      <c r="BJ1465" s="2">
        <f t="shared" ca="1" si="1424"/>
        <v>0.10907343283475956</v>
      </c>
      <c r="BK1465" s="2">
        <f t="shared" ca="1" si="1425"/>
        <v>-728668.81550205499</v>
      </c>
    </row>
    <row r="1466" spans="1:63" x14ac:dyDescent="0.3">
      <c r="A1466" s="2">
        <v>1465</v>
      </c>
      <c r="B1466" s="2">
        <f t="shared" ca="1" si="1364"/>
        <v>0.7357781116173987</v>
      </c>
      <c r="C1466" s="2">
        <f t="shared" ca="1" si="1365"/>
        <v>7.2730586153167485</v>
      </c>
      <c r="D1466" s="2">
        <f t="shared" ca="1" si="1366"/>
        <v>0.63637010749208578</v>
      </c>
      <c r="E1466" s="2">
        <f t="shared" ca="1" si="1367"/>
        <v>7.6472047226820328</v>
      </c>
      <c r="F1466" s="2">
        <f t="shared" ca="1" si="1368"/>
        <v>0.23834530873964033</v>
      </c>
      <c r="G1466" s="2">
        <f t="shared" ca="1" si="1369"/>
        <v>1.8650939815104552E-2</v>
      </c>
      <c r="H1466" s="2">
        <f t="shared" ca="1" si="1370"/>
        <v>1.8650939815104552E-2</v>
      </c>
      <c r="I1466" s="2">
        <f t="shared" ca="1" si="1371"/>
        <v>0.38410646096804335</v>
      </c>
      <c r="J1466" s="2">
        <f t="shared" ca="1" si="1372"/>
        <v>8.5264336286464959E-3</v>
      </c>
      <c r="K1466" s="2">
        <f t="shared" ca="1" si="1373"/>
        <v>8.5264336286464959E-3</v>
      </c>
      <c r="L1466" s="2">
        <f t="shared" ca="1" si="1374"/>
        <v>0.90392225980928986</v>
      </c>
      <c r="M1466" s="2">
        <f t="shared" ca="1" si="1375"/>
        <v>2.608458202610155E-2</v>
      </c>
      <c r="N1466" s="2">
        <f t="shared" ca="1" si="1376"/>
        <v>2.608458202610155E-2</v>
      </c>
      <c r="O1466" s="2">
        <f t="shared" si="1377"/>
        <v>6000000</v>
      </c>
      <c r="P1466" s="2">
        <f t="shared" ca="1" si="1378"/>
        <v>43638351.691900492</v>
      </c>
      <c r="Q1466" s="2">
        <f t="shared" ca="1" si="1379"/>
        <v>1090958.7922975123</v>
      </c>
      <c r="R1466" s="2">
        <f t="shared" ca="1" si="1380"/>
        <v>26183011.015140295</v>
      </c>
      <c r="S1466" s="2">
        <f t="shared" ca="1" si="1381"/>
        <v>17455340.676760197</v>
      </c>
      <c r="T1466" s="2">
        <f t="shared" ca="1" si="1382"/>
        <v>51304229.101305075</v>
      </c>
      <c r="U1466" s="2">
        <f t="shared" ca="1" si="1383"/>
        <v>52261101.190533847</v>
      </c>
      <c r="V1466" s="2">
        <f t="shared" ca="1" si="1384"/>
        <v>53235819.843509577</v>
      </c>
      <c r="W1466" s="2">
        <f t="shared" ca="1" si="1385"/>
        <v>54228717.915418617</v>
      </c>
      <c r="X1466" s="2">
        <f t="shared" ca="1" si="1386"/>
        <v>55240134.469509371</v>
      </c>
      <c r="Y1466" s="2">
        <f t="shared" ca="1" si="1387"/>
        <v>0.12426321681432324</v>
      </c>
      <c r="Z1466" s="2">
        <f t="shared" ca="1" si="1388"/>
        <v>0.12596850354005254</v>
      </c>
      <c r="AA1466" s="2">
        <f t="shared" ca="1" si="1389"/>
        <v>6375228.5443071844</v>
      </c>
      <c r="AB1466" s="2">
        <f t="shared" ca="1" si="1390"/>
        <v>6583252.7103268066</v>
      </c>
      <c r="AC1466" s="2">
        <f t="shared" ca="1" si="1391"/>
        <v>6706036.5604147352</v>
      </c>
      <c r="AD1466" s="2">
        <f t="shared" ca="1" si="1392"/>
        <v>6831110.444700921</v>
      </c>
      <c r="AE1466" s="2">
        <f t="shared" ca="1" si="1393"/>
        <v>6958517.0744753694</v>
      </c>
      <c r="AF1466" s="2">
        <f t="shared" ca="1" si="1394"/>
        <v>1026084.5820261015</v>
      </c>
      <c r="AG1466" s="2">
        <f t="shared" ca="1" si="1395"/>
        <v>1045222.023810677</v>
      </c>
      <c r="AH1466" s="2">
        <f t="shared" ca="1" si="1396"/>
        <v>1064716.3968701917</v>
      </c>
      <c r="AI1466" s="2">
        <f t="shared" ca="1" si="1397"/>
        <v>1084574.3583083723</v>
      </c>
      <c r="AJ1466" s="2">
        <f t="shared" ca="1" si="1398"/>
        <v>1104802.6893901874</v>
      </c>
      <c r="AK1466" s="2">
        <f t="shared" ca="1" si="1399"/>
        <v>0</v>
      </c>
      <c r="AL1466" s="2">
        <f t="shared" ca="1" si="1400"/>
        <v>9568.7208922877162</v>
      </c>
      <c r="AM1466" s="2">
        <f t="shared" ca="1" si="1401"/>
        <v>9747.1865297573058</v>
      </c>
      <c r="AN1466" s="2">
        <f t="shared" ca="1" si="1402"/>
        <v>9928.980719090403</v>
      </c>
      <c r="AO1466" s="2">
        <f t="shared" ca="1" si="1403"/>
        <v>10114.165540907532</v>
      </c>
      <c r="AP1466" s="2">
        <f t="shared" ca="1" si="1404"/>
        <v>2356470.9913626267</v>
      </c>
      <c r="AQ1466" s="2">
        <f t="shared" ca="1" si="1405"/>
        <v>778094.97243879864</v>
      </c>
      <c r="AR1466" s="2">
        <f t="shared" ca="1" si="1406"/>
        <v>827205.52073991077</v>
      </c>
      <c r="AS1466" s="2">
        <f t="shared" ca="1" si="1407"/>
        <v>854060.78476729826</v>
      </c>
      <c r="AT1466" s="2">
        <f t="shared" ca="1" si="1408"/>
        <v>881416.92470777978</v>
      </c>
      <c r="AU1466" s="2">
        <f t="shared" ca="1" si="1409"/>
        <v>909283.28236786451</v>
      </c>
      <c r="AV1466" s="2">
        <f t="shared" ca="1" si="1410"/>
        <v>2214577.9984796578</v>
      </c>
      <c r="AW1466" s="2">
        <f t="shared" ca="1" si="1411"/>
        <v>2344785.4535213038</v>
      </c>
      <c r="AX1466" s="2">
        <f t="shared" ca="1" si="1412"/>
        <v>2421041.2008848609</v>
      </c>
      <c r="AY1466" s="2">
        <f t="shared" ca="1" si="1413"/>
        <v>2498719.1896030521</v>
      </c>
      <c r="AZ1466" s="2">
        <f t="shared" ca="1" si="1414"/>
        <v>2577845.9458137834</v>
      </c>
      <c r="BA1466" s="2">
        <f t="shared" ca="1" si="1415"/>
        <v>53213204.634791605</v>
      </c>
      <c r="BB1466" s="2">
        <f t="shared" ca="1" si="1416"/>
        <v>1064264.092695832</v>
      </c>
      <c r="BC1466" s="2">
        <f t="shared" ca="1" si="1417"/>
        <v>25965929.526955478</v>
      </c>
      <c r="BD1466" s="2">
        <f t="shared" ca="1" si="1418"/>
        <v>-19046299.469057709</v>
      </c>
      <c r="BE1466" s="2">
        <f t="shared" ca="1" si="1419"/>
        <v>2214577.9984796578</v>
      </c>
      <c r="BF1466" s="2">
        <f t="shared" ca="1" si="1420"/>
        <v>2344785.4535213038</v>
      </c>
      <c r="BG1466" s="2">
        <f t="shared" ca="1" si="1421"/>
        <v>2421041.2008848609</v>
      </c>
      <c r="BH1466" s="2">
        <f t="shared" ca="1" si="1422"/>
        <v>2498719.1896030521</v>
      </c>
      <c r="BI1466" s="2">
        <f t="shared" ca="1" si="1423"/>
        <v>28543775.47276926</v>
      </c>
      <c r="BJ1466" s="2">
        <f t="shared" ca="1" si="1424"/>
        <v>0.17626617262254585</v>
      </c>
      <c r="BK1466" s="2">
        <f t="shared" ca="1" si="1425"/>
        <v>4307986.2136502489</v>
      </c>
    </row>
    <row r="1467" spans="1:63" x14ac:dyDescent="0.3">
      <c r="A1467" s="2">
        <v>1466</v>
      </c>
      <c r="B1467" s="2">
        <f t="shared" ca="1" si="1364"/>
        <v>0.51945559055122303</v>
      </c>
      <c r="C1467" s="2">
        <f t="shared" ca="1" si="1365"/>
        <v>7.0196486247790775</v>
      </c>
      <c r="D1467" s="2">
        <f t="shared" ca="1" si="1366"/>
        <v>0.7781900300677469</v>
      </c>
      <c r="E1467" s="2">
        <f t="shared" ca="1" si="1367"/>
        <v>7.8339519988285335</v>
      </c>
      <c r="F1467" s="2">
        <f t="shared" ca="1" si="1368"/>
        <v>0.50214298131063329</v>
      </c>
      <c r="G1467" s="2">
        <f t="shared" ca="1" si="1369"/>
        <v>4.0161150501352966E-2</v>
      </c>
      <c r="H1467" s="2">
        <f t="shared" ca="1" si="1370"/>
        <v>4.0161150501352966E-2</v>
      </c>
      <c r="I1467" s="2">
        <f t="shared" ca="1" si="1371"/>
        <v>0.50532460366170961</v>
      </c>
      <c r="J1467" s="2">
        <f t="shared" ca="1" si="1372"/>
        <v>1.006673599187257E-2</v>
      </c>
      <c r="K1467" s="2">
        <f t="shared" ca="1" si="1373"/>
        <v>1.006673599187257E-2</v>
      </c>
      <c r="L1467" s="2">
        <f t="shared" ca="1" si="1374"/>
        <v>0.52558729615342303</v>
      </c>
      <c r="M1467" s="2">
        <f t="shared" ca="1" si="1375"/>
        <v>1.2836375401208834E-3</v>
      </c>
      <c r="N1467" s="2">
        <f t="shared" ca="1" si="1376"/>
        <v>1.2836375401208834E-3</v>
      </c>
      <c r="O1467" s="2">
        <f t="shared" si="1377"/>
        <v>6000000</v>
      </c>
      <c r="P1467" s="2">
        <f t="shared" ca="1" si="1378"/>
        <v>42117891.748674467</v>
      </c>
      <c r="Q1467" s="2">
        <f t="shared" ca="1" si="1379"/>
        <v>1052947.2937168616</v>
      </c>
      <c r="R1467" s="2">
        <f t="shared" ca="1" si="1380"/>
        <v>25270735.049204681</v>
      </c>
      <c r="S1467" s="2">
        <f t="shared" ca="1" si="1381"/>
        <v>16847156.699469786</v>
      </c>
      <c r="T1467" s="2">
        <f t="shared" ca="1" si="1382"/>
        <v>50064181.877006039</v>
      </c>
      <c r="U1467" s="2">
        <f t="shared" ca="1" si="1383"/>
        <v>52074817.020095587</v>
      </c>
      <c r="V1467" s="2">
        <f t="shared" ca="1" si="1384"/>
        <v>54166201.583770066</v>
      </c>
      <c r="W1467" s="2">
        <f t="shared" ca="1" si="1385"/>
        <v>56341578.557662487</v>
      </c>
      <c r="X1467" s="2">
        <f t="shared" ca="1" si="1386"/>
        <v>58604321.173600577</v>
      </c>
      <c r="Y1467" s="2">
        <f t="shared" ca="1" si="1387"/>
        <v>0.12503336799593628</v>
      </c>
      <c r="Z1467" s="2">
        <f t="shared" ca="1" si="1388"/>
        <v>0.12704671519431079</v>
      </c>
      <c r="AA1467" s="2">
        <f t="shared" ca="1" si="1389"/>
        <v>6259693.2760431804</v>
      </c>
      <c r="AB1467" s="2">
        <f t="shared" ca="1" si="1390"/>
        <v>6615934.4467479326</v>
      </c>
      <c r="AC1467" s="2">
        <f t="shared" ca="1" si="1391"/>
        <v>6881637.9857708616</v>
      </c>
      <c r="AD1467" s="2">
        <f t="shared" ca="1" si="1392"/>
        <v>7158012.4846132342</v>
      </c>
      <c r="AE1467" s="2">
        <f t="shared" ca="1" si="1393"/>
        <v>7445486.5012983503</v>
      </c>
      <c r="AF1467" s="2">
        <f t="shared" ca="1" si="1394"/>
        <v>1001283.6375401207</v>
      </c>
      <c r="AG1467" s="2">
        <f t="shared" ca="1" si="1395"/>
        <v>1041496.3404019118</v>
      </c>
      <c r="AH1467" s="2">
        <f t="shared" ca="1" si="1396"/>
        <v>1083324.0316754014</v>
      </c>
      <c r="AI1467" s="2">
        <f t="shared" ca="1" si="1397"/>
        <v>1126831.5711532498</v>
      </c>
      <c r="AJ1467" s="2">
        <f t="shared" ca="1" si="1398"/>
        <v>1172086.4234720115</v>
      </c>
      <c r="AK1467" s="2">
        <f t="shared" ca="1" si="1399"/>
        <v>0</v>
      </c>
      <c r="AL1467" s="2">
        <f t="shared" ca="1" si="1400"/>
        <v>20106.351430895476</v>
      </c>
      <c r="AM1467" s="2">
        <f t="shared" ca="1" si="1401"/>
        <v>20913.845636744798</v>
      </c>
      <c r="AN1467" s="2">
        <f t="shared" ca="1" si="1402"/>
        <v>21753.769738924206</v>
      </c>
      <c r="AO1467" s="2">
        <f t="shared" ca="1" si="1403"/>
        <v>22627.426159380899</v>
      </c>
      <c r="AP1467" s="2">
        <f t="shared" ca="1" si="1404"/>
        <v>2274366.1544284211</v>
      </c>
      <c r="AQ1467" s="2">
        <f t="shared" ca="1" si="1405"/>
        <v>775851.30585940613</v>
      </c>
      <c r="AR1467" s="2">
        <f t="shared" ca="1" si="1406"/>
        <v>858018.70749857591</v>
      </c>
      <c r="AS1467" s="2">
        <f t="shared" ca="1" si="1407"/>
        <v>916226.42791343026</v>
      </c>
      <c r="AT1467" s="2">
        <f t="shared" ca="1" si="1408"/>
        <v>976771.83734820655</v>
      </c>
      <c r="AU1467" s="2">
        <f t="shared" ca="1" si="1409"/>
        <v>1039748.8200834587</v>
      </c>
      <c r="AV1467" s="2">
        <f t="shared" ca="1" si="1410"/>
        <v>2208192.1782152322</v>
      </c>
      <c r="AW1467" s="2">
        <f t="shared" ca="1" si="1411"/>
        <v>2421946.8929881281</v>
      </c>
      <c r="AX1467" s="2">
        <f t="shared" ca="1" si="1412"/>
        <v>2586807.5261168643</v>
      </c>
      <c r="AY1467" s="2">
        <f t="shared" ca="1" si="1413"/>
        <v>2758289.1519444329</v>
      </c>
      <c r="AZ1467" s="2">
        <f t="shared" ca="1" si="1414"/>
        <v>2936657.6771550779</v>
      </c>
      <c r="BA1467" s="2">
        <f t="shared" ca="1" si="1415"/>
        <v>58327583.859097078</v>
      </c>
      <c r="BB1467" s="2">
        <f t="shared" ca="1" si="1416"/>
        <v>1166551.6771819417</v>
      </c>
      <c r="BC1467" s="2">
        <f t="shared" ca="1" si="1417"/>
        <v>31890297.132710457</v>
      </c>
      <c r="BD1467" s="2">
        <f t="shared" ca="1" si="1418"/>
        <v>-18400103.993186649</v>
      </c>
      <c r="BE1467" s="2">
        <f t="shared" ca="1" si="1419"/>
        <v>2208192.1782152322</v>
      </c>
      <c r="BF1467" s="2">
        <f t="shared" ca="1" si="1420"/>
        <v>2421946.8929881281</v>
      </c>
      <c r="BG1467" s="2">
        <f t="shared" ca="1" si="1421"/>
        <v>2586807.5261168643</v>
      </c>
      <c r="BH1467" s="2">
        <f t="shared" ca="1" si="1422"/>
        <v>2758289.1519444329</v>
      </c>
      <c r="BI1467" s="2">
        <f t="shared" ca="1" si="1423"/>
        <v>34826954.809865534</v>
      </c>
      <c r="BJ1467" s="2">
        <f t="shared" ca="1" si="1424"/>
        <v>0.22938154824679335</v>
      </c>
      <c r="BK1467" s="2">
        <f t="shared" ca="1" si="1425"/>
        <v>8858187.9863073602</v>
      </c>
    </row>
    <row r="1468" spans="1:63" x14ac:dyDescent="0.3">
      <c r="A1468" s="2">
        <v>1467</v>
      </c>
      <c r="B1468" s="2">
        <f t="shared" ca="1" si="1364"/>
        <v>0.87480606675518557</v>
      </c>
      <c r="C1468" s="2">
        <f t="shared" ca="1" si="1365"/>
        <v>7.4996122838341961</v>
      </c>
      <c r="D1468" s="2">
        <f t="shared" ca="1" si="1366"/>
        <v>0.12987998237980425</v>
      </c>
      <c r="E1468" s="2">
        <f t="shared" ca="1" si="1367"/>
        <v>7.0096665230909405</v>
      </c>
      <c r="F1468" s="2">
        <f t="shared" ca="1" si="1368"/>
        <v>0.34008684768176956</v>
      </c>
      <c r="G1468" s="2">
        <f t="shared" ca="1" si="1369"/>
        <v>2.7633216459740814E-2</v>
      </c>
      <c r="H1468" s="2">
        <f t="shared" ca="1" si="1370"/>
        <v>2.7633216459740814E-2</v>
      </c>
      <c r="I1468" s="2">
        <f t="shared" ca="1" si="1371"/>
        <v>0.93528803658668247</v>
      </c>
      <c r="J1468" s="2">
        <f t="shared" ca="1" si="1372"/>
        <v>1.7581887465283653E-2</v>
      </c>
      <c r="K1468" s="2">
        <f t="shared" ca="1" si="1373"/>
        <v>1.7581887465283653E-2</v>
      </c>
      <c r="L1468" s="2">
        <f t="shared" ca="1" si="1374"/>
        <v>0.39554183176535351</v>
      </c>
      <c r="M1468" s="2">
        <f t="shared" ca="1" si="1375"/>
        <v>-5.2980735954069368E-3</v>
      </c>
      <c r="N1468" s="2">
        <f t="shared" ca="1" si="1376"/>
        <v>-5.2980735954069368E-3</v>
      </c>
      <c r="O1468" s="2">
        <f t="shared" si="1377"/>
        <v>6000000</v>
      </c>
      <c r="P1468" s="2">
        <f t="shared" ca="1" si="1378"/>
        <v>44997673.70300518</v>
      </c>
      <c r="Q1468" s="2">
        <f t="shared" ca="1" si="1379"/>
        <v>1124941.8425751296</v>
      </c>
      <c r="R1468" s="2">
        <f t="shared" ca="1" si="1380"/>
        <v>26998604.221803106</v>
      </c>
      <c r="S1468" s="2">
        <f t="shared" ca="1" si="1381"/>
        <v>17999069.481202073</v>
      </c>
      <c r="T1468" s="2">
        <f t="shared" ca="1" si="1382"/>
        <v>49735096.320229657</v>
      </c>
      <c r="U1468" s="2">
        <f t="shared" ca="1" si="1383"/>
        <v>51109437.002492622</v>
      </c>
      <c r="V1468" s="2">
        <f t="shared" ca="1" si="1384"/>
        <v>52521755.138317987</v>
      </c>
      <c r="W1468" s="2">
        <f t="shared" ca="1" si="1385"/>
        <v>53973100.166900635</v>
      </c>
      <c r="X1468" s="2">
        <f t="shared" ca="1" si="1386"/>
        <v>55464550.526815876</v>
      </c>
      <c r="Y1468" s="2">
        <f t="shared" ca="1" si="1387"/>
        <v>0.12879094373264183</v>
      </c>
      <c r="Z1468" s="2">
        <f t="shared" ca="1" si="1388"/>
        <v>0.13230732122569855</v>
      </c>
      <c r="AA1468" s="2">
        <f t="shared" ca="1" si="1389"/>
        <v>6405429.9917162191</v>
      </c>
      <c r="AB1468" s="2">
        <f t="shared" ca="1" si="1390"/>
        <v>6762152.6991533944</v>
      </c>
      <c r="AC1468" s="2">
        <f t="shared" ca="1" si="1391"/>
        <v>6949012.7284229212</v>
      </c>
      <c r="AD1468" s="2">
        <f t="shared" ca="1" si="1392"/>
        <v>7141036.3013289263</v>
      </c>
      <c r="AE1468" s="2">
        <f t="shared" ca="1" si="1393"/>
        <v>7338366.1031904155</v>
      </c>
      <c r="AF1468" s="2">
        <f t="shared" ca="1" si="1394"/>
        <v>994701.92640459316</v>
      </c>
      <c r="AG1468" s="2">
        <f t="shared" ca="1" si="1395"/>
        <v>1022188.7400498524</v>
      </c>
      <c r="AH1468" s="2">
        <f t="shared" ca="1" si="1396"/>
        <v>1050435.1027663597</v>
      </c>
      <c r="AI1468" s="2">
        <f t="shared" ca="1" si="1397"/>
        <v>1079462.0033380126</v>
      </c>
      <c r="AJ1468" s="2">
        <f t="shared" ca="1" si="1398"/>
        <v>1109291.0105363175</v>
      </c>
      <c r="AK1468" s="2">
        <f t="shared" ca="1" si="1399"/>
        <v>0</v>
      </c>
      <c r="AL1468" s="2">
        <f t="shared" ca="1" si="1400"/>
        <v>13743.406822629646</v>
      </c>
      <c r="AM1468" s="2">
        <f t="shared" ca="1" si="1401"/>
        <v>14123.181358253658</v>
      </c>
      <c r="AN1468" s="2">
        <f t="shared" ca="1" si="1402"/>
        <v>14513.450285826475</v>
      </c>
      <c r="AO1468" s="2">
        <f t="shared" ca="1" si="1403"/>
        <v>14914.503599152416</v>
      </c>
      <c r="AP1468" s="2">
        <f t="shared" ca="1" si="1404"/>
        <v>2429874.3799622795</v>
      </c>
      <c r="AQ1468" s="2">
        <f t="shared" ca="1" si="1405"/>
        <v>775021.95819083008</v>
      </c>
      <c r="AR1468" s="2">
        <f t="shared" ca="1" si="1406"/>
        <v>860623.29057672841</v>
      </c>
      <c r="AS1468" s="2">
        <f t="shared" ca="1" si="1407"/>
        <v>901862.84388051345</v>
      </c>
      <c r="AT1468" s="2">
        <f t="shared" ca="1" si="1408"/>
        <v>944241.97868744493</v>
      </c>
      <c r="AU1468" s="2">
        <f t="shared" ca="1" si="1409"/>
        <v>987792.18529987277</v>
      </c>
      <c r="AV1468" s="2">
        <f t="shared" ca="1" si="1410"/>
        <v>2205831.7271585157</v>
      </c>
      <c r="AW1468" s="2">
        <f t="shared" ca="1" si="1411"/>
        <v>2435722.8817419056</v>
      </c>
      <c r="AX1468" s="2">
        <f t="shared" ca="1" si="1412"/>
        <v>2552717.2204555152</v>
      </c>
      <c r="AY1468" s="2">
        <f t="shared" ca="1" si="1413"/>
        <v>2672944.4890553625</v>
      </c>
      <c r="AZ1468" s="2">
        <f t="shared" ca="1" si="1414"/>
        <v>2796494.023792794</v>
      </c>
      <c r="BA1468" s="2">
        <f t="shared" ca="1" si="1415"/>
        <v>51439499.207719177</v>
      </c>
      <c r="BB1468" s="2">
        <f t="shared" ca="1" si="1416"/>
        <v>1028789.9841543835</v>
      </c>
      <c r="BC1468" s="2">
        <f t="shared" ca="1" si="1417"/>
        <v>23412105.001761686</v>
      </c>
      <c r="BD1468" s="2">
        <f t="shared" ca="1" si="1418"/>
        <v>-19624011.323777203</v>
      </c>
      <c r="BE1468" s="2">
        <f t="shared" ca="1" si="1419"/>
        <v>2205831.7271585157</v>
      </c>
      <c r="BF1468" s="2">
        <f t="shared" ca="1" si="1420"/>
        <v>2435722.8817419056</v>
      </c>
      <c r="BG1468" s="2">
        <f t="shared" ca="1" si="1421"/>
        <v>2552717.2204555152</v>
      </c>
      <c r="BH1468" s="2">
        <f t="shared" ca="1" si="1422"/>
        <v>2672944.4890553625</v>
      </c>
      <c r="BI1468" s="2">
        <f t="shared" ca="1" si="1423"/>
        <v>26208599.025554478</v>
      </c>
      <c r="BJ1468" s="2">
        <f t="shared" ca="1" si="1424"/>
        <v>0.15530319750148136</v>
      </c>
      <c r="BK1468" s="2">
        <f t="shared" ca="1" si="1425"/>
        <v>2674365.8374933153</v>
      </c>
    </row>
    <row r="1469" spans="1:63" x14ac:dyDescent="0.3">
      <c r="A1469" s="2">
        <v>1468</v>
      </c>
      <c r="B1469" s="2">
        <f t="shared" ca="1" si="1364"/>
        <v>0.57805275487118335</v>
      </c>
      <c r="C1469" s="2">
        <f t="shared" ca="1" si="1365"/>
        <v>7.0813626992889773</v>
      </c>
      <c r="D1469" s="2">
        <f t="shared" ca="1" si="1366"/>
        <v>0.22201484398176297</v>
      </c>
      <c r="E1469" s="2">
        <f t="shared" ca="1" si="1367"/>
        <v>7.1663555266999186</v>
      </c>
      <c r="F1469" s="2">
        <f t="shared" ca="1" si="1368"/>
        <v>0.82777814812333728</v>
      </c>
      <c r="G1469" s="2">
        <f t="shared" ca="1" si="1369"/>
        <v>6.8362646546017161E-2</v>
      </c>
      <c r="H1469" s="2">
        <f t="shared" ca="1" si="1370"/>
        <v>6.8362646546017161E-2</v>
      </c>
      <c r="I1469" s="2">
        <f t="shared" ca="1" si="1371"/>
        <v>0.10481313371518985</v>
      </c>
      <c r="J1469" s="2">
        <f t="shared" ca="1" si="1372"/>
        <v>3.7270311667321762E-3</v>
      </c>
      <c r="K1469" s="2">
        <f t="shared" ca="1" si="1373"/>
        <v>3.7270311667321762E-3</v>
      </c>
      <c r="L1469" s="2">
        <f t="shared" ca="1" si="1374"/>
        <v>0.10212322955707076</v>
      </c>
      <c r="M1469" s="2">
        <f t="shared" ca="1" si="1375"/>
        <v>-2.5390916405662281E-2</v>
      </c>
      <c r="N1469" s="2">
        <f t="shared" ca="1" si="1376"/>
        <v>-2.5390916405662281E-2</v>
      </c>
      <c r="O1469" s="2">
        <f t="shared" si="1377"/>
        <v>6000000</v>
      </c>
      <c r="P1469" s="2">
        <f t="shared" ca="1" si="1378"/>
        <v>42488176.195733868</v>
      </c>
      <c r="Q1469" s="2">
        <f t="shared" ca="1" si="1379"/>
        <v>1062204.4048933468</v>
      </c>
      <c r="R1469" s="2">
        <f t="shared" ca="1" si="1380"/>
        <v>25492905.717440318</v>
      </c>
      <c r="S1469" s="2">
        <f t="shared" ca="1" si="1381"/>
        <v>16995270.478293549</v>
      </c>
      <c r="T1469" s="2">
        <f t="shared" ca="1" si="1382"/>
        <v>48730454.179716885</v>
      </c>
      <c r="U1469" s="2">
        <f t="shared" ca="1" si="1383"/>
        <v>52061796.994831756</v>
      </c>
      <c r="V1469" s="2">
        <f t="shared" ca="1" si="1384"/>
        <v>55620879.221339941</v>
      </c>
      <c r="W1469" s="2">
        <f t="shared" ca="1" si="1385"/>
        <v>59423269.728127114</v>
      </c>
      <c r="X1469" s="2">
        <f t="shared" ca="1" si="1386"/>
        <v>63485601.71315971</v>
      </c>
      <c r="Y1469" s="2">
        <f t="shared" ca="1" si="1387"/>
        <v>0.12186351558336608</v>
      </c>
      <c r="Z1469" s="2">
        <f t="shared" ca="1" si="1388"/>
        <v>0.12260892181671251</v>
      </c>
      <c r="AA1469" s="2">
        <f t="shared" ca="1" si="1389"/>
        <v>5938464.4623144353</v>
      </c>
      <c r="AB1469" s="2">
        <f t="shared" ca="1" si="1390"/>
        <v>6383240.7973768851</v>
      </c>
      <c r="AC1469" s="2">
        <f t="shared" ca="1" si="1391"/>
        <v>6819616.031826078</v>
      </c>
      <c r="AD1469" s="2">
        <f t="shared" ca="1" si="1392"/>
        <v>7285823.0321893571</v>
      </c>
      <c r="AE1469" s="2">
        <f t="shared" ca="1" si="1393"/>
        <v>7783901.1769357491</v>
      </c>
      <c r="AF1469" s="2">
        <f t="shared" ca="1" si="1394"/>
        <v>974609.08359433769</v>
      </c>
      <c r="AG1469" s="2">
        <f t="shared" ca="1" si="1395"/>
        <v>1041235.9398966351</v>
      </c>
      <c r="AH1469" s="2">
        <f t="shared" ca="1" si="1396"/>
        <v>1112417.5844267989</v>
      </c>
      <c r="AI1469" s="2">
        <f t="shared" ca="1" si="1397"/>
        <v>1188465.3945625422</v>
      </c>
      <c r="AJ1469" s="2">
        <f t="shared" ca="1" si="1398"/>
        <v>1269712.0342631943</v>
      </c>
      <c r="AK1469" s="2">
        <f t="shared" ca="1" si="1399"/>
        <v>0</v>
      </c>
      <c r="AL1469" s="2">
        <f t="shared" ca="1" si="1400"/>
        <v>33313.428151148706</v>
      </c>
      <c r="AM1469" s="2">
        <f t="shared" ca="1" si="1401"/>
        <v>35590.822265081857</v>
      </c>
      <c r="AN1469" s="2">
        <f t="shared" ca="1" si="1402"/>
        <v>38023.905067871732</v>
      </c>
      <c r="AO1469" s="2">
        <f t="shared" ca="1" si="1403"/>
        <v>40623.319850325955</v>
      </c>
      <c r="AP1469" s="2">
        <f t="shared" ca="1" si="1404"/>
        <v>2294361.5145696285</v>
      </c>
      <c r="AQ1469" s="2">
        <f t="shared" ca="1" si="1405"/>
        <v>694068.40467912192</v>
      </c>
      <c r="AR1469" s="2">
        <f t="shared" ca="1" si="1406"/>
        <v>792387.2691567617</v>
      </c>
      <c r="AS1469" s="2">
        <f t="shared" ca="1" si="1407"/>
        <v>887337.60253570916</v>
      </c>
      <c r="AT1469" s="2">
        <f t="shared" ca="1" si="1408"/>
        <v>988778.99199486838</v>
      </c>
      <c r="AU1469" s="2">
        <f t="shared" ca="1" si="1409"/>
        <v>1097155.1833067609</v>
      </c>
      <c r="AV1469" s="2">
        <f t="shared" ca="1" si="1410"/>
        <v>1975425.4594713473</v>
      </c>
      <c r="AW1469" s="2">
        <f t="shared" ca="1" si="1411"/>
        <v>2221942.6456027119</v>
      </c>
      <c r="AX1469" s="2">
        <f t="shared" ca="1" si="1412"/>
        <v>2489908.5080288597</v>
      </c>
      <c r="AY1469" s="2">
        <f t="shared" ca="1" si="1413"/>
        <v>2776193.2259944468</v>
      </c>
      <c r="AZ1469" s="2">
        <f t="shared" ca="1" si="1414"/>
        <v>3082049.1249458394</v>
      </c>
      <c r="BA1469" s="2">
        <f t="shared" ca="1" si="1415"/>
        <v>55782203.218619503</v>
      </c>
      <c r="BB1469" s="2">
        <f t="shared" ca="1" si="1416"/>
        <v>1115644.06437239</v>
      </c>
      <c r="BC1469" s="2">
        <f t="shared" ca="1" si="1417"/>
        <v>29173653.436806794</v>
      </c>
      <c r="BD1469" s="2">
        <f t="shared" ca="1" si="1418"/>
        <v>-18557474.883186895</v>
      </c>
      <c r="BE1469" s="2">
        <f t="shared" ca="1" si="1419"/>
        <v>1975425.4594713473</v>
      </c>
      <c r="BF1469" s="2">
        <f t="shared" ca="1" si="1420"/>
        <v>2221942.6456027119</v>
      </c>
      <c r="BG1469" s="2">
        <f t="shared" ca="1" si="1421"/>
        <v>2489908.5080288597</v>
      </c>
      <c r="BH1469" s="2">
        <f t="shared" ca="1" si="1422"/>
        <v>2776193.2259944468</v>
      </c>
      <c r="BI1469" s="2">
        <f t="shared" ca="1" si="1423"/>
        <v>32255702.561752632</v>
      </c>
      <c r="BJ1469" s="2">
        <f t="shared" ca="1" si="1424"/>
        <v>0.20574628700940489</v>
      </c>
      <c r="BK1469" s="2">
        <f t="shared" ca="1" si="1425"/>
        <v>6816957.4845796078</v>
      </c>
    </row>
    <row r="1470" spans="1:63" x14ac:dyDescent="0.3">
      <c r="A1470" s="2">
        <v>1469</v>
      </c>
      <c r="B1470" s="2">
        <f t="shared" ca="1" si="1364"/>
        <v>6.6540469904306621E-2</v>
      </c>
      <c r="C1470" s="2">
        <f t="shared" ca="1" si="1365"/>
        <v>6.3648026038950558</v>
      </c>
      <c r="D1470" s="2">
        <f t="shared" ca="1" si="1366"/>
        <v>0.77088938518599737</v>
      </c>
      <c r="E1470" s="2">
        <f t="shared" ca="1" si="1367"/>
        <v>7.8230795987503363</v>
      </c>
      <c r="F1470" s="2">
        <f t="shared" ca="1" si="1368"/>
        <v>0.716894790771885</v>
      </c>
      <c r="G1470" s="2">
        <f t="shared" ca="1" si="1369"/>
        <v>5.7209245186655558E-2</v>
      </c>
      <c r="H1470" s="2">
        <f t="shared" ca="1" si="1370"/>
        <v>5.7209245186655558E-2</v>
      </c>
      <c r="I1470" s="2">
        <f t="shared" ca="1" si="1371"/>
        <v>6.7441696503567128E-2</v>
      </c>
      <c r="J1470" s="2">
        <f t="shared" ca="1" si="1372"/>
        <v>2.5244050950414343E-3</v>
      </c>
      <c r="K1470" s="2">
        <f t="shared" ca="1" si="1373"/>
        <v>2.5244050950414343E-3</v>
      </c>
      <c r="L1470" s="2">
        <f t="shared" ca="1" si="1374"/>
        <v>0.84648029564874294</v>
      </c>
      <c r="M1470" s="2">
        <f t="shared" ca="1" si="1375"/>
        <v>2.0429079310222708E-2</v>
      </c>
      <c r="N1470" s="2">
        <f t="shared" ca="1" si="1376"/>
        <v>2.0429079310222708E-2</v>
      </c>
      <c r="O1470" s="2">
        <f t="shared" si="1377"/>
        <v>6000000</v>
      </c>
      <c r="P1470" s="2">
        <f t="shared" ca="1" si="1378"/>
        <v>38188815.623370335</v>
      </c>
      <c r="Q1470" s="2">
        <f t="shared" ca="1" si="1379"/>
        <v>954720.39058425836</v>
      </c>
      <c r="R1470" s="2">
        <f t="shared" ca="1" si="1380"/>
        <v>22913289.374022201</v>
      </c>
      <c r="S1470" s="2">
        <f t="shared" ca="1" si="1381"/>
        <v>15275526.249348134</v>
      </c>
      <c r="T1470" s="2">
        <f t="shared" ca="1" si="1382"/>
        <v>51021453.965511136</v>
      </c>
      <c r="U1470" s="2">
        <f t="shared" ca="1" si="1383"/>
        <v>53940352.835203715</v>
      </c>
      <c r="V1470" s="2">
        <f t="shared" ca="1" si="1384"/>
        <v>57026239.706007592</v>
      </c>
      <c r="W1470" s="2">
        <f t="shared" ca="1" si="1385"/>
        <v>60288667.83542157</v>
      </c>
      <c r="X1470" s="2">
        <f t="shared" ca="1" si="1386"/>
        <v>63737737.015595034</v>
      </c>
      <c r="Y1470" s="2">
        <f t="shared" ca="1" si="1387"/>
        <v>0.12126220254752071</v>
      </c>
      <c r="Z1470" s="2">
        <f t="shared" ca="1" si="1388"/>
        <v>0.121767083566529</v>
      </c>
      <c r="AA1470" s="2">
        <f t="shared" ca="1" si="1389"/>
        <v>6186973.8850348154</v>
      </c>
      <c r="AB1470" s="2">
        <f t="shared" ca="1" si="1390"/>
        <v>6568159.4512923099</v>
      </c>
      <c r="AC1470" s="2">
        <f t="shared" ca="1" si="1391"/>
        <v>6943918.8957663411</v>
      </c>
      <c r="AD1470" s="2">
        <f t="shared" ca="1" si="1392"/>
        <v>7341175.2544304878</v>
      </c>
      <c r="AE1470" s="2">
        <f t="shared" ca="1" si="1393"/>
        <v>7761158.3495194092</v>
      </c>
      <c r="AF1470" s="2">
        <f t="shared" ca="1" si="1394"/>
        <v>1020429.0793102228</v>
      </c>
      <c r="AG1470" s="2">
        <f t="shared" ca="1" si="1395"/>
        <v>1078807.0567040744</v>
      </c>
      <c r="AH1470" s="2">
        <f t="shared" ca="1" si="1396"/>
        <v>1140524.7941201518</v>
      </c>
      <c r="AI1470" s="2">
        <f t="shared" ca="1" si="1397"/>
        <v>1205773.3567084314</v>
      </c>
      <c r="AJ1470" s="2">
        <f t="shared" ca="1" si="1398"/>
        <v>1274754.7403119006</v>
      </c>
      <c r="AK1470" s="2">
        <f t="shared" ca="1" si="1399"/>
        <v>0</v>
      </c>
      <c r="AL1470" s="2">
        <f t="shared" ca="1" si="1400"/>
        <v>29188.98869692579</v>
      </c>
      <c r="AM1470" s="2">
        <f t="shared" ca="1" si="1401"/>
        <v>30858.868708038779</v>
      </c>
      <c r="AN1470" s="2">
        <f t="shared" ca="1" si="1402"/>
        <v>32624.281294139775</v>
      </c>
      <c r="AO1470" s="2">
        <f t="shared" ca="1" si="1403"/>
        <v>34490.69180173464</v>
      </c>
      <c r="AP1470" s="2">
        <f t="shared" ca="1" si="1404"/>
        <v>2062196.0436619979</v>
      </c>
      <c r="AQ1470" s="2">
        <f t="shared" ca="1" si="1405"/>
        <v>807130.6781362748</v>
      </c>
      <c r="AR1470" s="2">
        <f t="shared" ca="1" si="1406"/>
        <v>891060.65124082193</v>
      </c>
      <c r="AS1470" s="2">
        <f t="shared" ca="1" si="1407"/>
        <v>972711.49507588998</v>
      </c>
      <c r="AT1470" s="2">
        <f t="shared" ca="1" si="1408"/>
        <v>1059033.5220556152</v>
      </c>
      <c r="AU1470" s="2">
        <f t="shared" ca="1" si="1409"/>
        <v>1150293.9670418331</v>
      </c>
      <c r="AV1470" s="2">
        <f t="shared" ca="1" si="1410"/>
        <v>2297218.0839263201</v>
      </c>
      <c r="AW1470" s="2">
        <f t="shared" ca="1" si="1411"/>
        <v>2506906.7109884908</v>
      </c>
      <c r="AX1470" s="2">
        <f t="shared" ca="1" si="1412"/>
        <v>2737627.6942002634</v>
      </c>
      <c r="AY1470" s="2">
        <f t="shared" ca="1" si="1413"/>
        <v>2981548.0507103028</v>
      </c>
      <c r="AZ1470" s="2">
        <f t="shared" ca="1" si="1414"/>
        <v>3239422.9067019438</v>
      </c>
      <c r="BA1470" s="2">
        <f t="shared" ca="1" si="1415"/>
        <v>60716159.546796121</v>
      </c>
      <c r="BB1470" s="2">
        <f t="shared" ca="1" si="1416"/>
        <v>1214323.1909359226</v>
      </c>
      <c r="BC1470" s="2">
        <f t="shared" ca="1" si="1417"/>
        <v>36588546.981837995</v>
      </c>
      <c r="BD1470" s="2">
        <f t="shared" ca="1" si="1418"/>
        <v>-16730246.639932392</v>
      </c>
      <c r="BE1470" s="2">
        <f t="shared" ca="1" si="1419"/>
        <v>2297218.0839263201</v>
      </c>
      <c r="BF1470" s="2">
        <f t="shared" ca="1" si="1420"/>
        <v>2506906.7109884908</v>
      </c>
      <c r="BG1470" s="2">
        <f t="shared" ca="1" si="1421"/>
        <v>2737627.6942002634</v>
      </c>
      <c r="BH1470" s="2">
        <f t="shared" ca="1" si="1422"/>
        <v>2981548.0507103028</v>
      </c>
      <c r="BI1470" s="2">
        <f t="shared" ca="1" si="1423"/>
        <v>39827969.88853994</v>
      </c>
      <c r="BJ1470" s="2">
        <f t="shared" ca="1" si="1424"/>
        <v>0.29109308588521876</v>
      </c>
      <c r="BK1470" s="2">
        <f t="shared" ca="1" si="1425"/>
        <v>13762208.346560476</v>
      </c>
    </row>
    <row r="1471" spans="1:63" x14ac:dyDescent="0.3">
      <c r="A1471" s="2">
        <v>1470</v>
      </c>
      <c r="B1471" s="2">
        <f t="shared" ca="1" si="1364"/>
        <v>0.60577720867134821</v>
      </c>
      <c r="C1471" s="2">
        <f t="shared" ca="1" si="1365"/>
        <v>7.1120554168996222</v>
      </c>
      <c r="D1471" s="2">
        <f t="shared" ca="1" si="1366"/>
        <v>0.58174547215003836</v>
      </c>
      <c r="E1471" s="2">
        <f t="shared" ca="1" si="1367"/>
        <v>7.5853913100675658</v>
      </c>
      <c r="F1471" s="2">
        <f t="shared" ca="1" si="1368"/>
        <v>0.43602368495160349</v>
      </c>
      <c r="G1471" s="2">
        <f t="shared" ca="1" si="1369"/>
        <v>3.516824668541766E-2</v>
      </c>
      <c r="H1471" s="2">
        <f t="shared" ca="1" si="1370"/>
        <v>3.516824668541766E-2</v>
      </c>
      <c r="I1471" s="2">
        <f t="shared" ca="1" si="1371"/>
        <v>0.68334874870183304</v>
      </c>
      <c r="J1471" s="2">
        <f t="shared" ca="1" si="1372"/>
        <v>1.2385418630535147E-2</v>
      </c>
      <c r="K1471" s="2">
        <f t="shared" ca="1" si="1373"/>
        <v>1.2385418630535147E-2</v>
      </c>
      <c r="L1471" s="2">
        <f t="shared" ca="1" si="1374"/>
        <v>0.97980545109781636</v>
      </c>
      <c r="M1471" s="2">
        <f t="shared" ca="1" si="1375"/>
        <v>4.0994945770841576E-2</v>
      </c>
      <c r="N1471" s="2">
        <f t="shared" ca="1" si="1376"/>
        <v>4.0994945770841576E-2</v>
      </c>
      <c r="O1471" s="2">
        <f t="shared" si="1377"/>
        <v>6000000</v>
      </c>
      <c r="P1471" s="2">
        <f t="shared" ca="1" si="1378"/>
        <v>42672332.501397736</v>
      </c>
      <c r="Q1471" s="2">
        <f t="shared" ca="1" si="1379"/>
        <v>1066808.3125349435</v>
      </c>
      <c r="R1471" s="2">
        <f t="shared" ca="1" si="1380"/>
        <v>25603399.500838641</v>
      </c>
      <c r="S1471" s="2">
        <f t="shared" ca="1" si="1381"/>
        <v>17068933.000559095</v>
      </c>
      <c r="T1471" s="2">
        <f t="shared" ca="1" si="1382"/>
        <v>52049747.288542084</v>
      </c>
      <c r="U1471" s="2">
        <f t="shared" ca="1" si="1383"/>
        <v>53880245.641099185</v>
      </c>
      <c r="V1471" s="2">
        <f t="shared" ca="1" si="1384"/>
        <v>55775119.411276266</v>
      </c>
      <c r="W1471" s="2">
        <f t="shared" ca="1" si="1385"/>
        <v>57736632.569640659</v>
      </c>
      <c r="X1471" s="2">
        <f t="shared" ca="1" si="1386"/>
        <v>59767128.706635103</v>
      </c>
      <c r="Y1471" s="2">
        <f t="shared" ca="1" si="1387"/>
        <v>0.12619270931526758</v>
      </c>
      <c r="Z1471" s="2">
        <f t="shared" ca="1" si="1388"/>
        <v>0.1286697930413746</v>
      </c>
      <c r="AA1471" s="2">
        <f t="shared" ca="1" si="1389"/>
        <v>6568298.6295161275</v>
      </c>
      <c r="AB1471" s="2">
        <f t="shared" ca="1" si="1390"/>
        <v>6932760.055658658</v>
      </c>
      <c r="AC1471" s="2">
        <f t="shared" ca="1" si="1391"/>
        <v>7176573.0715068728</v>
      </c>
      <c r="AD1471" s="2">
        <f t="shared" ca="1" si="1392"/>
        <v>7428960.5636415519</v>
      </c>
      <c r="AE1471" s="2">
        <f t="shared" ca="1" si="1393"/>
        <v>7690224.0813599378</v>
      </c>
      <c r="AF1471" s="2">
        <f t="shared" ca="1" si="1394"/>
        <v>1040994.9457708417</v>
      </c>
      <c r="AG1471" s="2">
        <f t="shared" ca="1" si="1395"/>
        <v>1077604.9128219837</v>
      </c>
      <c r="AH1471" s="2">
        <f t="shared" ca="1" si="1396"/>
        <v>1115502.3882255254</v>
      </c>
      <c r="AI1471" s="2">
        <f t="shared" ca="1" si="1397"/>
        <v>1154732.6513928133</v>
      </c>
      <c r="AJ1471" s="2">
        <f t="shared" ca="1" si="1398"/>
        <v>1195342.5741327021</v>
      </c>
      <c r="AK1471" s="2">
        <f t="shared" ca="1" si="1399"/>
        <v>0</v>
      </c>
      <c r="AL1471" s="2">
        <f t="shared" ca="1" si="1400"/>
        <v>18304.983525571002</v>
      </c>
      <c r="AM1471" s="2">
        <f t="shared" ca="1" si="1401"/>
        <v>18948.737701770813</v>
      </c>
      <c r="AN1471" s="2">
        <f t="shared" ca="1" si="1402"/>
        <v>19615.131583643928</v>
      </c>
      <c r="AO1471" s="2">
        <f t="shared" ca="1" si="1403"/>
        <v>20304.961369944438</v>
      </c>
      <c r="AP1471" s="2">
        <f t="shared" ca="1" si="1404"/>
        <v>2304305.9550754777</v>
      </c>
      <c r="AQ1471" s="2">
        <f t="shared" ca="1" si="1405"/>
        <v>837979.40945415001</v>
      </c>
      <c r="AR1471" s="2">
        <f t="shared" ca="1" si="1406"/>
        <v>923220.78881791106</v>
      </c>
      <c r="AS1471" s="2">
        <f t="shared" ca="1" si="1407"/>
        <v>976758.82933352608</v>
      </c>
      <c r="AT1471" s="2">
        <f t="shared" ca="1" si="1408"/>
        <v>1032179.7088650478</v>
      </c>
      <c r="AU1471" s="2">
        <f t="shared" ca="1" si="1409"/>
        <v>1089549.643559457</v>
      </c>
      <c r="AV1471" s="2">
        <f t="shared" ca="1" si="1410"/>
        <v>2385018.3192156577</v>
      </c>
      <c r="AW1471" s="2">
        <f t="shared" ca="1" si="1411"/>
        <v>2609323.4154177136</v>
      </c>
      <c r="AX1471" s="2">
        <f t="shared" ca="1" si="1412"/>
        <v>2761057.1611705725</v>
      </c>
      <c r="AY1471" s="2">
        <f t="shared" ca="1" si="1413"/>
        <v>2918127.1167245689</v>
      </c>
      <c r="AZ1471" s="2">
        <f t="shared" ca="1" si="1414"/>
        <v>3080720.9472223562</v>
      </c>
      <c r="BA1471" s="2">
        <f t="shared" ca="1" si="1415"/>
        <v>58333358.919220001</v>
      </c>
      <c r="BB1471" s="2">
        <f t="shared" ca="1" si="1416"/>
        <v>1166667.1783844</v>
      </c>
      <c r="BC1471" s="2">
        <f t="shared" ca="1" si="1417"/>
        <v>31563292.239996959</v>
      </c>
      <c r="BD1471" s="2">
        <f t="shared" ca="1" si="1418"/>
        <v>-18635741.313094039</v>
      </c>
      <c r="BE1471" s="2">
        <f t="shared" ca="1" si="1419"/>
        <v>2385018.3192156577</v>
      </c>
      <c r="BF1471" s="2">
        <f t="shared" ca="1" si="1420"/>
        <v>2609323.4154177136</v>
      </c>
      <c r="BG1471" s="2">
        <f t="shared" ca="1" si="1421"/>
        <v>2761057.1611705725</v>
      </c>
      <c r="BH1471" s="2">
        <f t="shared" ca="1" si="1422"/>
        <v>2918127.1167245689</v>
      </c>
      <c r="BI1471" s="2">
        <f t="shared" ca="1" si="1423"/>
        <v>34644013.187219314</v>
      </c>
      <c r="BJ1471" s="2">
        <f t="shared" ca="1" si="1424"/>
        <v>0.23148936977954104</v>
      </c>
      <c r="BK1471" s="2">
        <f t="shared" ca="1" si="1425"/>
        <v>9051607.9408486634</v>
      </c>
    </row>
    <row r="1472" spans="1:63" x14ac:dyDescent="0.3">
      <c r="A1472" s="2">
        <v>1471</v>
      </c>
      <c r="B1472" s="2">
        <f t="shared" ca="1" si="1364"/>
        <v>0.25031997053501231</v>
      </c>
      <c r="C1472" s="2">
        <f t="shared" ca="1" si="1365"/>
        <v>6.7075591431605028</v>
      </c>
      <c r="D1472" s="2">
        <f t="shared" ca="1" si="1366"/>
        <v>0.5362358244876666</v>
      </c>
      <c r="E1472" s="2">
        <f t="shared" ca="1" si="1367"/>
        <v>7.5369172667809545</v>
      </c>
      <c r="F1472" s="2">
        <f t="shared" ca="1" si="1368"/>
        <v>0.49282416125013084</v>
      </c>
      <c r="G1472" s="2">
        <f t="shared" ca="1" si="1369"/>
        <v>3.9460356089922551E-2</v>
      </c>
      <c r="H1472" s="2">
        <f t="shared" ca="1" si="1370"/>
        <v>3.9460356089922551E-2</v>
      </c>
      <c r="I1472" s="2">
        <f t="shared" ca="1" si="1371"/>
        <v>0.25922683121791179</v>
      </c>
      <c r="J1472" s="2">
        <f t="shared" ca="1" si="1372"/>
        <v>6.7713456313708113E-3</v>
      </c>
      <c r="K1472" s="2">
        <f t="shared" ca="1" si="1373"/>
        <v>6.7713456313708113E-3</v>
      </c>
      <c r="L1472" s="2">
        <f t="shared" ca="1" si="1374"/>
        <v>0.16106711645271932</v>
      </c>
      <c r="M1472" s="2">
        <f t="shared" ca="1" si="1375"/>
        <v>-1.9801632131847744E-2</v>
      </c>
      <c r="N1472" s="2">
        <f t="shared" ca="1" si="1376"/>
        <v>-1.9801632131847744E-2</v>
      </c>
      <c r="O1472" s="2">
        <f t="shared" si="1377"/>
        <v>6000000</v>
      </c>
      <c r="P1472" s="2">
        <f t="shared" ca="1" si="1378"/>
        <v>40245354.85896302</v>
      </c>
      <c r="Q1472" s="2">
        <f t="shared" ca="1" si="1379"/>
        <v>1006133.8714740756</v>
      </c>
      <c r="R1472" s="2">
        <f t="shared" ca="1" si="1380"/>
        <v>24147212.915377811</v>
      </c>
      <c r="S1472" s="2">
        <f t="shared" ca="1" si="1381"/>
        <v>16098141.94358521</v>
      </c>
      <c r="T1472" s="2">
        <f t="shared" ca="1" si="1382"/>
        <v>49009918.393407613</v>
      </c>
      <c r="U1472" s="2">
        <f t="shared" ca="1" si="1383"/>
        <v>50943867.22514952</v>
      </c>
      <c r="V1472" s="2">
        <f t="shared" ca="1" si="1384"/>
        <v>52954130.366451651</v>
      </c>
      <c r="W1472" s="2">
        <f t="shared" ca="1" si="1385"/>
        <v>55043719.207144007</v>
      </c>
      <c r="X1472" s="2">
        <f t="shared" ca="1" si="1386"/>
        <v>57215763.967571616</v>
      </c>
      <c r="Y1472" s="2">
        <f t="shared" ca="1" si="1387"/>
        <v>0.1233856728156854</v>
      </c>
      <c r="Z1472" s="2">
        <f t="shared" ca="1" si="1388"/>
        <v>0.12473994194195956</v>
      </c>
      <c r="AA1472" s="2">
        <f t="shared" ca="1" si="1389"/>
        <v>6047121.755612433</v>
      </c>
      <c r="AB1472" s="2">
        <f t="shared" ca="1" si="1390"/>
        <v>6354735.0399640473</v>
      </c>
      <c r="AC1472" s="2">
        <f t="shared" ca="1" si="1391"/>
        <v>6605495.1474981364</v>
      </c>
      <c r="AD1472" s="2">
        <f t="shared" ca="1" si="1392"/>
        <v>6866150.3381686676</v>
      </c>
      <c r="AE1472" s="2">
        <f t="shared" ca="1" si="1393"/>
        <v>7137091.0754797449</v>
      </c>
      <c r="AF1472" s="2">
        <f t="shared" ca="1" si="1394"/>
        <v>980198.36786815233</v>
      </c>
      <c r="AG1472" s="2">
        <f t="shared" ca="1" si="1395"/>
        <v>1018877.3445029904</v>
      </c>
      <c r="AH1472" s="2">
        <f t="shared" ca="1" si="1396"/>
        <v>1059082.6073290331</v>
      </c>
      <c r="AI1472" s="2">
        <f t="shared" ca="1" si="1397"/>
        <v>1100874.3841428801</v>
      </c>
      <c r="AJ1472" s="2">
        <f t="shared" ca="1" si="1398"/>
        <v>1144315.2793514323</v>
      </c>
      <c r="AK1472" s="2">
        <f t="shared" ca="1" si="1399"/>
        <v>0</v>
      </c>
      <c r="AL1472" s="2">
        <f t="shared" ca="1" si="1400"/>
        <v>19339.488317419069</v>
      </c>
      <c r="AM1472" s="2">
        <f t="shared" ca="1" si="1401"/>
        <v>20102.63141302131</v>
      </c>
      <c r="AN1472" s="2">
        <f t="shared" ca="1" si="1402"/>
        <v>20895.888406923561</v>
      </c>
      <c r="AO1472" s="2">
        <f t="shared" ca="1" si="1403"/>
        <v>21720.447604276091</v>
      </c>
      <c r="AP1472" s="2">
        <f t="shared" ca="1" si="1404"/>
        <v>2173249.1623840029</v>
      </c>
      <c r="AQ1472" s="2">
        <f t="shared" ca="1" si="1405"/>
        <v>752355.29859367223</v>
      </c>
      <c r="AR1472" s="2">
        <f t="shared" ca="1" si="1406"/>
        <v>822278.21860003413</v>
      </c>
      <c r="AS1472" s="2">
        <f t="shared" ca="1" si="1407"/>
        <v>877022.47822412604</v>
      </c>
      <c r="AT1472" s="2">
        <f t="shared" ca="1" si="1408"/>
        <v>933926.96582686401</v>
      </c>
      <c r="AU1472" s="2">
        <f t="shared" ca="1" si="1409"/>
        <v>993076.92477352044</v>
      </c>
      <c r="AV1472" s="2">
        <f t="shared" ca="1" si="1410"/>
        <v>2141318.9267666056</v>
      </c>
      <c r="AW1472" s="2">
        <f t="shared" ca="1" si="1411"/>
        <v>2320990.8261596016</v>
      </c>
      <c r="AX1472" s="2">
        <f t="shared" ca="1" si="1412"/>
        <v>2476038.2681479533</v>
      </c>
      <c r="AY1472" s="2">
        <f t="shared" ca="1" si="1413"/>
        <v>2637203.937407996</v>
      </c>
      <c r="AZ1472" s="2">
        <f t="shared" ca="1" si="1414"/>
        <v>2804729.2613665122</v>
      </c>
      <c r="BA1472" s="2">
        <f t="shared" ca="1" si="1415"/>
        <v>53791664.961371541</v>
      </c>
      <c r="BB1472" s="2">
        <f t="shared" ca="1" si="1416"/>
        <v>1075833.299227431</v>
      </c>
      <c r="BC1472" s="2">
        <f t="shared" ca="1" si="1417"/>
        <v>28568618.746766299</v>
      </c>
      <c r="BD1472" s="2">
        <f t="shared" ca="1" si="1418"/>
        <v>-17604275.815059286</v>
      </c>
      <c r="BE1472" s="2">
        <f t="shared" ca="1" si="1419"/>
        <v>2141318.9267666056</v>
      </c>
      <c r="BF1472" s="2">
        <f t="shared" ca="1" si="1420"/>
        <v>2320990.8261596016</v>
      </c>
      <c r="BG1472" s="2">
        <f t="shared" ca="1" si="1421"/>
        <v>2476038.2681479533</v>
      </c>
      <c r="BH1472" s="2">
        <f t="shared" ca="1" si="1422"/>
        <v>2637203.937407996</v>
      </c>
      <c r="BI1472" s="2">
        <f t="shared" ca="1" si="1423"/>
        <v>31373348.008132812</v>
      </c>
      <c r="BJ1472" s="2">
        <f t="shared" ca="1" si="1424"/>
        <v>0.21784172490809772</v>
      </c>
      <c r="BK1472" s="2">
        <f t="shared" ca="1" si="1425"/>
        <v>7398361.8846871853</v>
      </c>
    </row>
    <row r="1473" spans="1:63" x14ac:dyDescent="0.3">
      <c r="A1473" s="2">
        <v>1472</v>
      </c>
      <c r="B1473" s="2">
        <f t="shared" ca="1" si="1364"/>
        <v>0.21981977786177676</v>
      </c>
      <c r="C1473" s="2">
        <f t="shared" ca="1" si="1365"/>
        <v>6.6630532073096047</v>
      </c>
      <c r="D1473" s="2">
        <f t="shared" ca="1" si="1366"/>
        <v>0.33590672506759589</v>
      </c>
      <c r="E1473" s="2">
        <f t="shared" ca="1" si="1367"/>
        <v>7.3196422696122934</v>
      </c>
      <c r="F1473" s="2">
        <f t="shared" ca="1" si="1368"/>
        <v>0.90756237797473172</v>
      </c>
      <c r="G1473" s="2">
        <f t="shared" ca="1" si="1369"/>
        <v>7.9776780755277082E-2</v>
      </c>
      <c r="H1473" s="2">
        <f t="shared" ca="1" si="1370"/>
        <v>7.9776780755277082E-2</v>
      </c>
      <c r="I1473" s="2">
        <f t="shared" ca="1" si="1371"/>
        <v>9.1038666254216305E-2</v>
      </c>
      <c r="J1473" s="2">
        <f t="shared" ca="1" si="1372"/>
        <v>3.3280691858368792E-3</v>
      </c>
      <c r="K1473" s="2">
        <f t="shared" ca="1" si="1373"/>
        <v>3.3280691858368792E-3</v>
      </c>
      <c r="L1473" s="2">
        <f t="shared" ca="1" si="1374"/>
        <v>0.51867650374155949</v>
      </c>
      <c r="M1473" s="2">
        <f t="shared" ca="1" si="1375"/>
        <v>9.366433168201062E-4</v>
      </c>
      <c r="N1473" s="2">
        <f t="shared" ca="1" si="1376"/>
        <v>9.366433168201062E-4</v>
      </c>
      <c r="O1473" s="2">
        <f t="shared" si="1377"/>
        <v>6000000</v>
      </c>
      <c r="P1473" s="2">
        <f t="shared" ca="1" si="1378"/>
        <v>39978319.24385763</v>
      </c>
      <c r="Q1473" s="2">
        <f t="shared" ca="1" si="1379"/>
        <v>999457.98109644081</v>
      </c>
      <c r="R1473" s="2">
        <f t="shared" ca="1" si="1380"/>
        <v>23986991.546314579</v>
      </c>
      <c r="S1473" s="2">
        <f t="shared" ca="1" si="1381"/>
        <v>15991327.697543053</v>
      </c>
      <c r="T1473" s="2">
        <f t="shared" ca="1" si="1382"/>
        <v>50046832.165841006</v>
      </c>
      <c r="U1473" s="2">
        <f t="shared" ca="1" si="1383"/>
        <v>54039407.323031455</v>
      </c>
      <c r="V1473" s="2">
        <f t="shared" ca="1" si="1384"/>
        <v>58350497.273186058</v>
      </c>
      <c r="W1473" s="2">
        <f t="shared" ca="1" si="1385"/>
        <v>63005512.101110421</v>
      </c>
      <c r="X1473" s="2">
        <f t="shared" ca="1" si="1386"/>
        <v>68031889.026374668</v>
      </c>
      <c r="Y1473" s="2">
        <f t="shared" ca="1" si="1387"/>
        <v>0.12166403459291844</v>
      </c>
      <c r="Z1473" s="2">
        <f t="shared" ca="1" si="1388"/>
        <v>0.12232964843008581</v>
      </c>
      <c r="AA1473" s="2">
        <f t="shared" ca="1" si="1389"/>
        <v>6088899.5198908634</v>
      </c>
      <c r="AB1473" s="2">
        <f t="shared" ca="1" si="1390"/>
        <v>6610621.6991966423</v>
      </c>
      <c r="AC1473" s="2">
        <f t="shared" ca="1" si="1391"/>
        <v>7137995.8171495311</v>
      </c>
      <c r="AD1473" s="2">
        <f t="shared" ca="1" si="1392"/>
        <v>7707442.1444863556</v>
      </c>
      <c r="AE1473" s="2">
        <f t="shared" ca="1" si="1393"/>
        <v>8322317.0666310266</v>
      </c>
      <c r="AF1473" s="2">
        <f t="shared" ca="1" si="1394"/>
        <v>1000936.6433168201</v>
      </c>
      <c r="AG1473" s="2">
        <f t="shared" ca="1" si="1395"/>
        <v>1080788.1464606291</v>
      </c>
      <c r="AH1473" s="2">
        <f t="shared" ca="1" si="1396"/>
        <v>1167009.9454637212</v>
      </c>
      <c r="AI1473" s="2">
        <f t="shared" ca="1" si="1397"/>
        <v>1260110.2420222084</v>
      </c>
      <c r="AJ1473" s="2">
        <f t="shared" ca="1" si="1398"/>
        <v>1360637.7805274935</v>
      </c>
      <c r="AK1473" s="2">
        <f t="shared" ca="1" si="1399"/>
        <v>0</v>
      </c>
      <c r="AL1473" s="2">
        <f t="shared" ca="1" si="1400"/>
        <v>39925.751571904497</v>
      </c>
      <c r="AM1473" s="2">
        <f t="shared" ca="1" si="1401"/>
        <v>43110.899501546024</v>
      </c>
      <c r="AN1473" s="2">
        <f t="shared" ca="1" si="1402"/>
        <v>46550.148279243636</v>
      </c>
      <c r="AO1473" s="2">
        <f t="shared" ca="1" si="1403"/>
        <v>50263.769252642465</v>
      </c>
      <c r="AP1473" s="2">
        <f t="shared" ca="1" si="1404"/>
        <v>2158829.2391683119</v>
      </c>
      <c r="AQ1473" s="2">
        <f t="shared" ca="1" si="1405"/>
        <v>761574.74572549015</v>
      </c>
      <c r="AR1473" s="2">
        <f t="shared" ca="1" si="1406"/>
        <v>876461.12152760231</v>
      </c>
      <c r="AS1473" s="2">
        <f t="shared" ca="1" si="1407"/>
        <v>991160.72445454961</v>
      </c>
      <c r="AT1473" s="2">
        <f t="shared" ca="1" si="1408"/>
        <v>1115010.6924569171</v>
      </c>
      <c r="AU1473" s="2">
        <f t="shared" ca="1" si="1409"/>
        <v>1248741.0122031576</v>
      </c>
      <c r="AV1473" s="2">
        <f t="shared" ca="1" si="1410"/>
        <v>2167558.8916802411</v>
      </c>
      <c r="AW1473" s="2">
        <f t="shared" ca="1" si="1411"/>
        <v>2454617.4404681944</v>
      </c>
      <c r="AX1473" s="2">
        <f t="shared" ca="1" si="1412"/>
        <v>2777885.008561403</v>
      </c>
      <c r="AY1473" s="2">
        <f t="shared" ca="1" si="1413"/>
        <v>3126941.8225596747</v>
      </c>
      <c r="AZ1473" s="2">
        <f t="shared" ca="1" si="1414"/>
        <v>3503845.2654794217</v>
      </c>
      <c r="BA1473" s="2">
        <f t="shared" ca="1" si="1415"/>
        <v>60916383.78202825</v>
      </c>
      <c r="BB1473" s="2">
        <f t="shared" ca="1" si="1416"/>
        <v>1218327.6756405651</v>
      </c>
      <c r="BC1473" s="2">
        <f t="shared" ca="1" si="1417"/>
        <v>35711064.560073107</v>
      </c>
      <c r="BD1473" s="2">
        <f t="shared" ca="1" si="1418"/>
        <v>-17490785.678639494</v>
      </c>
      <c r="BE1473" s="2">
        <f t="shared" ca="1" si="1419"/>
        <v>2167558.8916802411</v>
      </c>
      <c r="BF1473" s="2">
        <f t="shared" ca="1" si="1420"/>
        <v>2454617.4404681944</v>
      </c>
      <c r="BG1473" s="2">
        <f t="shared" ca="1" si="1421"/>
        <v>2777885.008561403</v>
      </c>
      <c r="BH1473" s="2">
        <f t="shared" ca="1" si="1422"/>
        <v>3126941.8225596747</v>
      </c>
      <c r="BI1473" s="2">
        <f t="shared" ca="1" si="1423"/>
        <v>39214909.825552531</v>
      </c>
      <c r="BJ1473" s="2">
        <f t="shared" ca="1" si="1424"/>
        <v>0.27289802050774425</v>
      </c>
      <c r="BK1473" s="2">
        <f t="shared" ca="1" si="1425"/>
        <v>12617405.473381411</v>
      </c>
    </row>
    <row r="1474" spans="1:63" x14ac:dyDescent="0.3">
      <c r="A1474" s="2">
        <v>1473</v>
      </c>
      <c r="B1474" s="2">
        <f t="shared" ref="B1474:B1537" ca="1" si="1426">RAND()</f>
        <v>0.59192953377792057</v>
      </c>
      <c r="C1474" s="2">
        <f t="shared" ref="C1474:C1537" ca="1" si="1427">IF(B1474&lt;((P_Mode)-(P_Low))/((P_High)-(P_Low)), (P_Low)+SQRT(B1474*((P_High)-(P_Low))*((P_Mode)-(P_Low))), (P_High)-SQRT((1-B1474)*((P_High)-(P_Low))*((P_High)-(P_Mode))))</f>
        <v>7.0965948126980019</v>
      </c>
      <c r="D1474" s="2">
        <f t="shared" ref="D1474:D1537" ca="1" si="1428">RAND()</f>
        <v>0.97547793871567567</v>
      </c>
      <c r="E1474" s="2">
        <f t="shared" ref="E1474:E1537" ca="1" si="1429">IF(D1474&lt;((X_Mode)-(X_Low))/((X_High)-(X_Low)), (X_Low)+SQRT(D1474*((X_High)-(X_Low))*((X_Mode)-(X_Low))), (X_High)-SQRT((1-D1474)*((X_High)-(X_Low))*((X_High)-(X_Mode))))</f>
        <v>8.2785409234900307</v>
      </c>
      <c r="F1474" s="2">
        <f t="shared" ref="F1474:F1537" ca="1" si="1430">RAND()</f>
        <v>6.065266181788509E-2</v>
      </c>
      <c r="G1474" s="2">
        <f t="shared" ref="G1474:G1537" ca="1" si="1431">NORMINV(F1474, g_Mean, g_SD)</f>
        <v>-6.4795364019060372E-3</v>
      </c>
      <c r="H1474" s="2">
        <f t="shared" ref="H1474:H1537" ca="1" si="1432">MIN(MAX(G1474, g_Min), g_Max)</f>
        <v>-6.4795364019060372E-3</v>
      </c>
      <c r="I1474" s="2">
        <f t="shared" ref="I1474:I1537" ca="1" si="1433">RAND()</f>
        <v>0.36107536268354501</v>
      </c>
      <c r="J1474" s="2">
        <f t="shared" ref="J1474:J1537" ca="1" si="1434">NORMINV(I1474, syn_Mean, syn_SD)</f>
        <v>8.222070638870458E-3</v>
      </c>
      <c r="K1474" s="2">
        <f t="shared" ref="K1474:K1537" ca="1" si="1435">MIN(MAX(J1474, syn_Min), syn_Max)</f>
        <v>8.222070638870458E-3</v>
      </c>
      <c r="L1474" s="2">
        <f t="shared" ref="L1474:L1537" ca="1" si="1436">RAND()</f>
        <v>0.21005380810682528</v>
      </c>
      <c r="M1474" s="2">
        <f t="shared" ref="M1474:M1537" ca="1" si="1437">NORMINV(L1474, shk_Mean, shk_SD)</f>
        <v>-1.6124691157055275E-2</v>
      </c>
      <c r="N1474" s="2">
        <f t="shared" ref="N1474:N1537" ca="1" si="1438">MIN(MAX(M1474, shk_Min), shk_Max)</f>
        <v>-1.6124691157055275E-2</v>
      </c>
      <c r="O1474" s="2">
        <f t="shared" ref="O1474:O1537" si="1439">BaseRev*BaseMargin</f>
        <v>6000000</v>
      </c>
      <c r="P1474" s="2">
        <f t="shared" ref="P1474:P1537" ca="1" si="1440">O1474*C1474</f>
        <v>42579568.87618801</v>
      </c>
      <c r="Q1474" s="2">
        <f t="shared" ref="Q1474:Q1537" ca="1" si="1441">P1474*TxnCostPct</f>
        <v>1064489.2219047004</v>
      </c>
      <c r="R1474" s="2">
        <f t="shared" ref="R1474:R1537" ca="1" si="1442">P1474*DebtPct</f>
        <v>25547741.325712804</v>
      </c>
      <c r="S1474" s="2">
        <f t="shared" ref="S1474:S1537" ca="1" si="1443">P1474*EqPct</f>
        <v>17031827.550475206</v>
      </c>
      <c r="T1474" s="2">
        <f t="shared" ref="T1474:T1537" ca="1" si="1444">BaseRev*(1+N1474)</f>
        <v>49193765.442147233</v>
      </c>
      <c r="U1474" s="2">
        <f t="shared" ref="U1474:U1537" ca="1" si="1445">T1474*(1+H1474)</f>
        <v>48875012.648218013</v>
      </c>
      <c r="V1474" s="2">
        <f t="shared" ref="V1474:V1537" ca="1" si="1446">U1474*(1+H1474)</f>
        <v>48558325.224620268</v>
      </c>
      <c r="W1474" s="2">
        <f t="shared" ref="W1474:W1537" ca="1" si="1447">V1474*(1+H1474)</f>
        <v>48243689.788711749</v>
      </c>
      <c r="X1474" s="2">
        <f t="shared" ref="X1474:X1537" ca="1" si="1448">W1474*(1+H1474)</f>
        <v>47931093.044563532</v>
      </c>
      <c r="Y1474" s="2">
        <f t="shared" ref="Y1474:Y1537" ca="1" si="1449">BaseMargin + SynReal_Y1*K1474</f>
        <v>0.12411103531943522</v>
      </c>
      <c r="Z1474" s="2">
        <f t="shared" ref="Z1474:Z1537" ca="1" si="1450">BaseMargin + SynReal_Y2toY5*K1474</f>
        <v>0.12575544944720932</v>
      </c>
      <c r="AA1474" s="2">
        <f t="shared" ref="AA1474:AA1537" ca="1" si="1451">T1474*Y1474</f>
        <v>6105489.1602863474</v>
      </c>
      <c r="AB1474" s="2">
        <f t="shared" ref="AB1474:AB1537" ca="1" si="1452">U1474*Z1474</f>
        <v>6146299.1823146967</v>
      </c>
      <c r="AC1474" s="2">
        <f t="shared" ref="AC1474:AC1537" ca="1" si="1453">V1474*Z1474</f>
        <v>6106474.0130258827</v>
      </c>
      <c r="AD1474" s="2">
        <f t="shared" ref="AD1474:AD1537" ca="1" si="1454">W1474*Z1474</f>
        <v>6066906.8923711888</v>
      </c>
      <c r="AE1474" s="2">
        <f t="shared" ref="AE1474:AE1537" ca="1" si="1455">X1474*Z1474</f>
        <v>6027596.1483150953</v>
      </c>
      <c r="AF1474" s="2">
        <f t="shared" ref="AF1474:AF1537" ca="1" si="1456">T1474*CapexPct</f>
        <v>983875.30884294468</v>
      </c>
      <c r="AG1474" s="2">
        <f t="shared" ref="AG1474:AG1537" ca="1" si="1457">U1474*CapexPct</f>
        <v>977500.25296436029</v>
      </c>
      <c r="AH1474" s="2">
        <f t="shared" ref="AH1474:AH1537" ca="1" si="1458">V1474*CapexPct</f>
        <v>971166.50449240534</v>
      </c>
      <c r="AI1474" s="2">
        <f t="shared" ref="AI1474:AI1537" ca="1" si="1459">W1474*CapexPct</f>
        <v>964873.79577423504</v>
      </c>
      <c r="AJ1474" s="2">
        <f t="shared" ref="AJ1474:AJ1537" ca="1" si="1460">X1474*CapexPct</f>
        <v>958621.86089127068</v>
      </c>
      <c r="AK1474" s="2">
        <f t="shared" ref="AK1474:AK1537" ca="1" si="1461">MAX(T1474-BaseRev*(1+N1474),0)*WCPct</f>
        <v>0</v>
      </c>
      <c r="AL1474" s="2">
        <f t="shared" ref="AL1474:AL1537" ca="1" si="1462">MAX(U1474-T1474,0)*WCPct</f>
        <v>0</v>
      </c>
      <c r="AM1474" s="2">
        <f t="shared" ref="AM1474:AM1537" ca="1" si="1463">MAX(V1474-U1474,0)*WCPct</f>
        <v>0</v>
      </c>
      <c r="AN1474" s="2">
        <f t="shared" ref="AN1474:AN1537" ca="1" si="1464">MAX(W1474-V1474,0)*WCPct</f>
        <v>0</v>
      </c>
      <c r="AO1474" s="2">
        <f t="shared" ref="AO1474:AO1537" ca="1" si="1465">MAX(X1474-W1474,0)*WCPct</f>
        <v>0</v>
      </c>
      <c r="AP1474" s="2">
        <f t="shared" ref="AP1474:AP1537" ca="1" si="1466">R1474*DebtRate</f>
        <v>2299296.7193141524</v>
      </c>
      <c r="AQ1474" s="2">
        <f t="shared" ref="AQ1474:AQ1537" ca="1" si="1467">MAX(AA1474-AF1474-AP1474,0)*Tax</f>
        <v>733802.45435360505</v>
      </c>
      <c r="AR1474" s="2">
        <f t="shared" ref="AR1474:AR1537" ca="1" si="1468">MAX(AB1474-AG1474-AP1474,0)*Tax</f>
        <v>746070.57460940781</v>
      </c>
      <c r="AS1474" s="2">
        <f t="shared" ref="AS1474:AS1537" ca="1" si="1469">MAX(AC1474-AH1474-AP1474,0)*Tax</f>
        <v>737362.8051970246</v>
      </c>
      <c r="AT1474" s="2">
        <f t="shared" ref="AT1474:AT1537" ca="1" si="1470">MAX(AD1474-AI1474-AP1474,0)*Tax</f>
        <v>728711.45809352829</v>
      </c>
      <c r="AU1474" s="2">
        <f t="shared" ref="AU1474:AU1537" ca="1" si="1471">MAX(AE1474-AJ1474-AP1474,0)*Tax</f>
        <v>720116.16770851484</v>
      </c>
      <c r="AV1474" s="2">
        <f t="shared" ref="AV1474:AV1537" ca="1" si="1472">AA1474-AF1474-AK1474-AQ1474-AP1474</f>
        <v>2088514.6777756447</v>
      </c>
      <c r="AW1474" s="2">
        <f t="shared" ref="AW1474:AW1537" ca="1" si="1473">AB1474-AG1474-AL1474-AR1474-AP1474</f>
        <v>2123431.6354267756</v>
      </c>
      <c r="AX1474" s="2">
        <f t="shared" ref="AX1474:AX1537" ca="1" si="1474">AC1474-AH1474-AM1474-AS1474-AP1474</f>
        <v>2098647.9840223007</v>
      </c>
      <c r="AY1474" s="2">
        <f t="shared" ref="AY1474:AY1537" ca="1" si="1475">AD1474-AI1474-AN1474-AT1474-AP1474</f>
        <v>2074024.9191892724</v>
      </c>
      <c r="AZ1474" s="2">
        <f t="shared" ref="AZ1474:AZ1537" ca="1" si="1476">AE1474-AJ1474-AO1474-AU1474-AP1474</f>
        <v>2049561.4004011573</v>
      </c>
      <c r="BA1474" s="2">
        <f t="shared" ref="BA1474:BA1537" ca="1" si="1477">AE1474*E1474</f>
        <v>49899701.384097405</v>
      </c>
      <c r="BB1474" s="2">
        <f t="shared" ref="BB1474:BB1537" ca="1" si="1478">BA1474*SellCostPct</f>
        <v>997994.02768194815</v>
      </c>
      <c r="BC1474" s="2">
        <f t="shared" ref="BC1474:BC1537" ca="1" si="1479">BA1474-R1474-BB1474</f>
        <v>23353966.030702654</v>
      </c>
      <c r="BD1474" s="2">
        <f t="shared" ref="BD1474:BD1537" ca="1" si="1480">-S1474-Q1474-IntegrationPct*BaseRev</f>
        <v>-18596316.772379905</v>
      </c>
      <c r="BE1474" s="2">
        <f t="shared" ref="BE1474:BE1537" ca="1" si="1481">AV1474</f>
        <v>2088514.6777756447</v>
      </c>
      <c r="BF1474" s="2">
        <f t="shared" ref="BF1474:BF1537" ca="1" si="1482">AW1474</f>
        <v>2123431.6354267756</v>
      </c>
      <c r="BG1474" s="2">
        <f t="shared" ref="BG1474:BG1537" ca="1" si="1483">AX1474</f>
        <v>2098647.9840223007</v>
      </c>
      <c r="BH1474" s="2">
        <f t="shared" ref="BH1474:BH1537" ca="1" si="1484">AY1474</f>
        <v>2074024.9191892724</v>
      </c>
      <c r="BI1474" s="2">
        <f t="shared" ref="BI1474:BI1537" ca="1" si="1485">AZ1474+BC1474</f>
        <v>25403527.431103811</v>
      </c>
      <c r="BJ1474" s="2">
        <f t="shared" ref="BJ1474:BJ1537" ca="1" si="1486">IF(MIN(BD1474:BI1474)*MAX(BD1474:BI1474)&gt;=0, "", IFERROR(IRR(BD1474:BI1474,0.12), IFERROR(IRR(BD1474:BI1474,0.5), IFERROR(IRR(BD1474:BI1474,-0.5),""))))</f>
        <v>0.15031618194928997</v>
      </c>
      <c r="BK1474" s="2">
        <f t="shared" ref="BK1474:BK1537" ca="1" si="1487">NPV(12%,BE1474:BI1474)+BD1474</f>
        <v>2187715.3825342655</v>
      </c>
    </row>
    <row r="1475" spans="1:63" x14ac:dyDescent="0.3">
      <c r="A1475" s="2">
        <v>1474</v>
      </c>
      <c r="B1475" s="2">
        <f t="shared" ca="1" si="1426"/>
        <v>8.5611243925014735E-2</v>
      </c>
      <c r="C1475" s="2">
        <f t="shared" ca="1" si="1427"/>
        <v>6.4137903912007017</v>
      </c>
      <c r="D1475" s="2">
        <f t="shared" ca="1" si="1428"/>
        <v>0.55147762029047587</v>
      </c>
      <c r="E1475" s="2">
        <f t="shared" ca="1" si="1429"/>
        <v>7.5528755311897768</v>
      </c>
      <c r="F1475" s="2">
        <f t="shared" ca="1" si="1430"/>
        <v>0.19816508641946462</v>
      </c>
      <c r="G1475" s="2">
        <f t="shared" ca="1" si="1431"/>
        <v>1.4554192642476715E-2</v>
      </c>
      <c r="H1475" s="2">
        <f t="shared" ca="1" si="1432"/>
        <v>1.4554192642476715E-2</v>
      </c>
      <c r="I1475" s="2">
        <f t="shared" ca="1" si="1433"/>
        <v>0.4164022810796314</v>
      </c>
      <c r="J1475" s="2">
        <f t="shared" ca="1" si="1434"/>
        <v>8.9444700239905556E-3</v>
      </c>
      <c r="K1475" s="2">
        <f t="shared" ca="1" si="1435"/>
        <v>8.9444700239905556E-3</v>
      </c>
      <c r="L1475" s="2">
        <f t="shared" ca="1" si="1436"/>
        <v>0.89732595875823029</v>
      </c>
      <c r="M1475" s="2">
        <f t="shared" ca="1" si="1437"/>
        <v>2.5329220066664083E-2</v>
      </c>
      <c r="N1475" s="2">
        <f t="shared" ca="1" si="1438"/>
        <v>2.5329220066664083E-2</v>
      </c>
      <c r="O1475" s="2">
        <f t="shared" si="1439"/>
        <v>6000000</v>
      </c>
      <c r="P1475" s="2">
        <f t="shared" ca="1" si="1440"/>
        <v>38482742.347204208</v>
      </c>
      <c r="Q1475" s="2">
        <f t="shared" ca="1" si="1441"/>
        <v>962068.55868010526</v>
      </c>
      <c r="R1475" s="2">
        <f t="shared" ca="1" si="1442"/>
        <v>23089645.408322524</v>
      </c>
      <c r="S1475" s="2">
        <f t="shared" ca="1" si="1443"/>
        <v>15393096.938881684</v>
      </c>
      <c r="T1475" s="2">
        <f t="shared" ca="1" si="1444"/>
        <v>51266461.003333211</v>
      </c>
      <c r="U1475" s="2">
        <f t="shared" ca="1" si="1445"/>
        <v>52012602.952873744</v>
      </c>
      <c r="V1475" s="2">
        <f t="shared" ca="1" si="1446"/>
        <v>52769604.396086529</v>
      </c>
      <c r="W1475" s="2">
        <f t="shared" ca="1" si="1447"/>
        <v>53537623.384134464</v>
      </c>
      <c r="X1475" s="2">
        <f t="shared" ca="1" si="1448"/>
        <v>54316820.268487528</v>
      </c>
      <c r="Y1475" s="2">
        <f t="shared" ca="1" si="1449"/>
        <v>0.12447223501199528</v>
      </c>
      <c r="Z1475" s="2">
        <f t="shared" ca="1" si="1450"/>
        <v>0.12626112901679337</v>
      </c>
      <c r="AA1475" s="2">
        <f t="shared" ca="1" si="1451"/>
        <v>6381250.9822401823</v>
      </c>
      <c r="AB1475" s="2">
        <f t="shared" ca="1" si="1452"/>
        <v>6567169.9719320396</v>
      </c>
      <c r="AC1475" s="2">
        <f t="shared" ca="1" si="1453"/>
        <v>6662749.8288194276</v>
      </c>
      <c r="AD1475" s="2">
        <f t="shared" ca="1" si="1454"/>
        <v>6759720.7733566957</v>
      </c>
      <c r="AE1475" s="2">
        <f t="shared" ca="1" si="1455"/>
        <v>6858103.0517014805</v>
      </c>
      <c r="AF1475" s="2">
        <f t="shared" ca="1" si="1456"/>
        <v>1025329.2200666643</v>
      </c>
      <c r="AG1475" s="2">
        <f t="shared" ca="1" si="1457"/>
        <v>1040252.059057475</v>
      </c>
      <c r="AH1475" s="2">
        <f t="shared" ca="1" si="1458"/>
        <v>1055392.0879217307</v>
      </c>
      <c r="AI1475" s="2">
        <f t="shared" ca="1" si="1459"/>
        <v>1070752.4676826892</v>
      </c>
      <c r="AJ1475" s="2">
        <f t="shared" ca="1" si="1460"/>
        <v>1086336.4053697507</v>
      </c>
      <c r="AK1475" s="2">
        <f t="shared" ca="1" si="1461"/>
        <v>0</v>
      </c>
      <c r="AL1475" s="2">
        <f t="shared" ca="1" si="1462"/>
        <v>7461.419495405331</v>
      </c>
      <c r="AM1475" s="2">
        <f t="shared" ca="1" si="1463"/>
        <v>7570.0144321278485</v>
      </c>
      <c r="AN1475" s="2">
        <f t="shared" ca="1" si="1464"/>
        <v>7680.1898804793509</v>
      </c>
      <c r="AO1475" s="2">
        <f t="shared" ca="1" si="1465"/>
        <v>7791.9688435306398</v>
      </c>
      <c r="AP1475" s="2">
        <f t="shared" ca="1" si="1466"/>
        <v>2078068.086749027</v>
      </c>
      <c r="AQ1475" s="2">
        <f t="shared" ca="1" si="1467"/>
        <v>852241.95561036782</v>
      </c>
      <c r="AR1475" s="2">
        <f t="shared" ca="1" si="1468"/>
        <v>896700.95479263982</v>
      </c>
      <c r="AS1475" s="2">
        <f t="shared" ca="1" si="1469"/>
        <v>917615.31007865409</v>
      </c>
      <c r="AT1475" s="2">
        <f t="shared" ca="1" si="1470"/>
        <v>938834.05692049465</v>
      </c>
      <c r="AU1475" s="2">
        <f t="shared" ca="1" si="1471"/>
        <v>960361.62549150269</v>
      </c>
      <c r="AV1475" s="2">
        <f t="shared" ca="1" si="1472"/>
        <v>2425611.7198141241</v>
      </c>
      <c r="AW1475" s="2">
        <f t="shared" ca="1" si="1473"/>
        <v>2544687.4518374917</v>
      </c>
      <c r="AX1475" s="2">
        <f t="shared" ca="1" si="1474"/>
        <v>2604104.3296378874</v>
      </c>
      <c r="AY1475" s="2">
        <f t="shared" ca="1" si="1475"/>
        <v>2664385.9721240052</v>
      </c>
      <c r="AZ1475" s="2">
        <f t="shared" ca="1" si="1476"/>
        <v>2725544.9652476688</v>
      </c>
      <c r="BA1475" s="2">
        <f t="shared" ca="1" si="1477"/>
        <v>51798398.729574047</v>
      </c>
      <c r="BB1475" s="2">
        <f t="shared" ca="1" si="1478"/>
        <v>1035967.9745914809</v>
      </c>
      <c r="BC1475" s="2">
        <f t="shared" ca="1" si="1479"/>
        <v>27672785.34666004</v>
      </c>
      <c r="BD1475" s="2">
        <f t="shared" ca="1" si="1480"/>
        <v>-16855165.49756179</v>
      </c>
      <c r="BE1475" s="2">
        <f t="shared" ca="1" si="1481"/>
        <v>2425611.7198141241</v>
      </c>
      <c r="BF1475" s="2">
        <f t="shared" ca="1" si="1482"/>
        <v>2544687.4518374917</v>
      </c>
      <c r="BG1475" s="2">
        <f t="shared" ca="1" si="1483"/>
        <v>2604104.3296378874</v>
      </c>
      <c r="BH1475" s="2">
        <f t="shared" ca="1" si="1484"/>
        <v>2664385.9721240052</v>
      </c>
      <c r="BI1475" s="2">
        <f t="shared" ca="1" si="1485"/>
        <v>30398330.311907709</v>
      </c>
      <c r="BJ1475" s="2">
        <f t="shared" ca="1" si="1486"/>
        <v>0.23290294221832819</v>
      </c>
      <c r="BK1475" s="2">
        <f t="shared" ca="1" si="1487"/>
        <v>8134812.9753538445</v>
      </c>
    </row>
    <row r="1476" spans="1:63" x14ac:dyDescent="0.3">
      <c r="A1476" s="2">
        <v>1475</v>
      </c>
      <c r="B1476" s="2">
        <f t="shared" ca="1" si="1426"/>
        <v>5.211887682929961E-2</v>
      </c>
      <c r="C1476" s="2">
        <f t="shared" ca="1" si="1427"/>
        <v>6.3228587208959972</v>
      </c>
      <c r="D1476" s="2">
        <f t="shared" ca="1" si="1428"/>
        <v>0.1036850526323716</v>
      </c>
      <c r="E1476" s="2">
        <f t="shared" ca="1" si="1429"/>
        <v>6.9553790786418972</v>
      </c>
      <c r="F1476" s="2">
        <f t="shared" ca="1" si="1430"/>
        <v>0.60123834179273006</v>
      </c>
      <c r="G1476" s="2">
        <f t="shared" ca="1" si="1431"/>
        <v>4.7696611173257839E-2</v>
      </c>
      <c r="H1476" s="2">
        <f t="shared" ca="1" si="1432"/>
        <v>4.7696611173257839E-2</v>
      </c>
      <c r="I1476" s="2">
        <f t="shared" ca="1" si="1433"/>
        <v>4.6411010573388034E-2</v>
      </c>
      <c r="J1476" s="2">
        <f t="shared" ca="1" si="1434"/>
        <v>1.5965211111622409E-3</v>
      </c>
      <c r="K1476" s="2">
        <f t="shared" ca="1" si="1435"/>
        <v>1.5965211111622409E-3</v>
      </c>
      <c r="L1476" s="2">
        <f t="shared" ca="1" si="1436"/>
        <v>0.38354725818585311</v>
      </c>
      <c r="M1476" s="2">
        <f t="shared" ca="1" si="1437"/>
        <v>-5.9235503778551921E-3</v>
      </c>
      <c r="N1476" s="2">
        <f t="shared" ca="1" si="1438"/>
        <v>-5.9235503778551921E-3</v>
      </c>
      <c r="O1476" s="2">
        <f t="shared" si="1439"/>
        <v>6000000</v>
      </c>
      <c r="P1476" s="2">
        <f t="shared" ca="1" si="1440"/>
        <v>37937152.325375982</v>
      </c>
      <c r="Q1476" s="2">
        <f t="shared" ca="1" si="1441"/>
        <v>948428.80813439959</v>
      </c>
      <c r="R1476" s="2">
        <f t="shared" ca="1" si="1442"/>
        <v>22762291.395225588</v>
      </c>
      <c r="S1476" s="2">
        <f t="shared" ca="1" si="1443"/>
        <v>15174860.930150393</v>
      </c>
      <c r="T1476" s="2">
        <f t="shared" ca="1" si="1444"/>
        <v>49703822.481107242</v>
      </c>
      <c r="U1476" s="2">
        <f t="shared" ca="1" si="1445"/>
        <v>52074526.375813238</v>
      </c>
      <c r="V1476" s="2">
        <f t="shared" ca="1" si="1446"/>
        <v>54558304.812391959</v>
      </c>
      <c r="W1476" s="2">
        <f t="shared" ca="1" si="1447"/>
        <v>57160551.063300692</v>
      </c>
      <c r="X1476" s="2">
        <f t="shared" ca="1" si="1448"/>
        <v>59886915.641816087</v>
      </c>
      <c r="Y1476" s="2">
        <f t="shared" ca="1" si="1449"/>
        <v>0.12079826055558111</v>
      </c>
      <c r="Z1476" s="2">
        <f t="shared" ca="1" si="1450"/>
        <v>0.12111756477781356</v>
      </c>
      <c r="AA1476" s="2">
        <f t="shared" ca="1" si="1451"/>
        <v>6004135.2986811427</v>
      </c>
      <c r="AB1476" s="2">
        <f t="shared" ca="1" si="1452"/>
        <v>6307139.821596521</v>
      </c>
      <c r="AC1476" s="2">
        <f t="shared" ca="1" si="1453"/>
        <v>6607969.01728258</v>
      </c>
      <c r="AD1476" s="2">
        <f t="shared" ca="1" si="1454"/>
        <v>6923146.7461448414</v>
      </c>
      <c r="AE1476" s="2">
        <f t="shared" ca="1" si="1455"/>
        <v>7253357.3845911156</v>
      </c>
      <c r="AF1476" s="2">
        <f t="shared" ca="1" si="1456"/>
        <v>994076.44962214492</v>
      </c>
      <c r="AG1476" s="2">
        <f t="shared" ca="1" si="1457"/>
        <v>1041490.5275162648</v>
      </c>
      <c r="AH1476" s="2">
        <f t="shared" ca="1" si="1458"/>
        <v>1091166.0962478393</v>
      </c>
      <c r="AI1476" s="2">
        <f t="shared" ca="1" si="1459"/>
        <v>1143211.0212660138</v>
      </c>
      <c r="AJ1476" s="2">
        <f t="shared" ca="1" si="1460"/>
        <v>1197738.3128363218</v>
      </c>
      <c r="AK1476" s="2">
        <f t="shared" ca="1" si="1461"/>
        <v>0</v>
      </c>
      <c r="AL1476" s="2">
        <f t="shared" ca="1" si="1462"/>
        <v>23707.038947059958</v>
      </c>
      <c r="AM1476" s="2">
        <f t="shared" ca="1" si="1463"/>
        <v>24837.784365787207</v>
      </c>
      <c r="AN1476" s="2">
        <f t="shared" ca="1" si="1464"/>
        <v>26022.462509087323</v>
      </c>
      <c r="AO1476" s="2">
        <f t="shared" ca="1" si="1465"/>
        <v>27263.645785153956</v>
      </c>
      <c r="AP1476" s="2">
        <f t="shared" ca="1" si="1466"/>
        <v>2048606.2255703029</v>
      </c>
      <c r="AQ1476" s="2">
        <f t="shared" ca="1" si="1467"/>
        <v>769977.68210706068</v>
      </c>
      <c r="AR1476" s="2">
        <f t="shared" ca="1" si="1468"/>
        <v>836431.19781258795</v>
      </c>
      <c r="AS1476" s="2">
        <f t="shared" ca="1" si="1469"/>
        <v>901731.14082075376</v>
      </c>
      <c r="AT1476" s="2">
        <f t="shared" ca="1" si="1470"/>
        <v>970145.66982021637</v>
      </c>
      <c r="AU1476" s="2">
        <f t="shared" ca="1" si="1471"/>
        <v>1041823.3400079677</v>
      </c>
      <c r="AV1476" s="2">
        <f t="shared" ca="1" si="1472"/>
        <v>2191474.9413816347</v>
      </c>
      <c r="AW1476" s="2">
        <f t="shared" ca="1" si="1473"/>
        <v>2356904.8317503058</v>
      </c>
      <c r="AX1476" s="2">
        <f t="shared" ca="1" si="1474"/>
        <v>2541627.7702778964</v>
      </c>
      <c r="AY1476" s="2">
        <f t="shared" ca="1" si="1475"/>
        <v>2735161.3669792204</v>
      </c>
      <c r="AZ1476" s="2">
        <f t="shared" ca="1" si="1476"/>
        <v>2937925.8603913696</v>
      </c>
      <c r="BA1476" s="2">
        <f t="shared" ca="1" si="1477"/>
        <v>50449850.202697754</v>
      </c>
      <c r="BB1476" s="2">
        <f t="shared" ca="1" si="1478"/>
        <v>1008997.0040539551</v>
      </c>
      <c r="BC1476" s="2">
        <f t="shared" ca="1" si="1479"/>
        <v>26678561.803418212</v>
      </c>
      <c r="BD1476" s="2">
        <f t="shared" ca="1" si="1480"/>
        <v>-16623289.738284793</v>
      </c>
      <c r="BE1476" s="2">
        <f t="shared" ca="1" si="1481"/>
        <v>2191474.9413816347</v>
      </c>
      <c r="BF1476" s="2">
        <f t="shared" ca="1" si="1482"/>
        <v>2356904.8317503058</v>
      </c>
      <c r="BG1476" s="2">
        <f t="shared" ca="1" si="1483"/>
        <v>2541627.7702778964</v>
      </c>
      <c r="BH1476" s="2">
        <f t="shared" ca="1" si="1484"/>
        <v>2735161.3669792204</v>
      </c>
      <c r="BI1476" s="2">
        <f t="shared" ca="1" si="1485"/>
        <v>29616487.663809583</v>
      </c>
      <c r="BJ1476" s="2">
        <f t="shared" ca="1" si="1486"/>
        <v>0.22626789488641252</v>
      </c>
      <c r="BK1476" s="2">
        <f t="shared" ca="1" si="1487"/>
        <v>7564809.8311137669</v>
      </c>
    </row>
    <row r="1477" spans="1:63" x14ac:dyDescent="0.3">
      <c r="A1477" s="2">
        <v>1476</v>
      </c>
      <c r="B1477" s="2">
        <f t="shared" ca="1" si="1426"/>
        <v>0.97795185765127401</v>
      </c>
      <c r="C1477" s="2">
        <f t="shared" ca="1" si="1427"/>
        <v>7.790008846144767</v>
      </c>
      <c r="D1477" s="2">
        <f t="shared" ca="1" si="1428"/>
        <v>1.7942763361430636E-2</v>
      </c>
      <c r="E1477" s="2">
        <f t="shared" ca="1" si="1429"/>
        <v>6.6894347558471283</v>
      </c>
      <c r="F1477" s="2">
        <f t="shared" ca="1" si="1430"/>
        <v>0.30262893310659666</v>
      </c>
      <c r="G1477" s="2">
        <f t="shared" ca="1" si="1431"/>
        <v>2.4494370774640117E-2</v>
      </c>
      <c r="H1477" s="2">
        <f t="shared" ca="1" si="1432"/>
        <v>2.4494370774640117E-2</v>
      </c>
      <c r="I1477" s="2">
        <f t="shared" ca="1" si="1433"/>
        <v>0.63800474686238862</v>
      </c>
      <c r="J1477" s="2">
        <f t="shared" ca="1" si="1434"/>
        <v>1.1765653180340035E-2</v>
      </c>
      <c r="K1477" s="2">
        <f t="shared" ca="1" si="1435"/>
        <v>1.1765653180340035E-2</v>
      </c>
      <c r="L1477" s="2">
        <f t="shared" ca="1" si="1436"/>
        <v>0.29157985828163047</v>
      </c>
      <c r="M1477" s="2">
        <f t="shared" ca="1" si="1437"/>
        <v>-1.0975504439666516E-2</v>
      </c>
      <c r="N1477" s="2">
        <f t="shared" ca="1" si="1438"/>
        <v>-1.0975504439666516E-2</v>
      </c>
      <c r="O1477" s="2">
        <f t="shared" si="1439"/>
        <v>6000000</v>
      </c>
      <c r="P1477" s="2">
        <f t="shared" ca="1" si="1440"/>
        <v>46740053.076868601</v>
      </c>
      <c r="Q1477" s="2">
        <f t="shared" ca="1" si="1441"/>
        <v>1168501.3269217152</v>
      </c>
      <c r="R1477" s="2">
        <f t="shared" ca="1" si="1442"/>
        <v>28044031.846121158</v>
      </c>
      <c r="S1477" s="2">
        <f t="shared" ca="1" si="1443"/>
        <v>18696021.230747443</v>
      </c>
      <c r="T1477" s="2">
        <f t="shared" ca="1" si="1444"/>
        <v>49451224.778016672</v>
      </c>
      <c r="U1477" s="2">
        <f t="shared" ca="1" si="1445"/>
        <v>50662501.412989482</v>
      </c>
      <c r="V1477" s="2">
        <f t="shared" ca="1" si="1446"/>
        <v>51903447.506969973</v>
      </c>
      <c r="W1477" s="2">
        <f t="shared" ca="1" si="1447"/>
        <v>53174789.794687763</v>
      </c>
      <c r="X1477" s="2">
        <f t="shared" ca="1" si="1448"/>
        <v>54477272.811782397</v>
      </c>
      <c r="Y1477" s="2">
        <f t="shared" ca="1" si="1449"/>
        <v>0.12588282659017003</v>
      </c>
      <c r="Z1477" s="2">
        <f t="shared" ca="1" si="1450"/>
        <v>0.12823595722623801</v>
      </c>
      <c r="AA1477" s="2">
        <f t="shared" ca="1" si="1451"/>
        <v>6225059.9534025919</v>
      </c>
      <c r="AB1477" s="2">
        <f t="shared" ca="1" si="1452"/>
        <v>6496754.3641703418</v>
      </c>
      <c r="AC1477" s="2">
        <f t="shared" ca="1" si="1453"/>
        <v>6655888.2743980912</v>
      </c>
      <c r="AD1477" s="2">
        <f t="shared" ca="1" si="1454"/>
        <v>6818920.0696257772</v>
      </c>
      <c r="AE1477" s="2">
        <f t="shared" ca="1" si="1455"/>
        <v>6985945.2260938268</v>
      </c>
      <c r="AF1477" s="2">
        <f t="shared" ca="1" si="1456"/>
        <v>989024.49556033348</v>
      </c>
      <c r="AG1477" s="2">
        <f t="shared" ca="1" si="1457"/>
        <v>1013250.0282597897</v>
      </c>
      <c r="AH1477" s="2">
        <f t="shared" ca="1" si="1458"/>
        <v>1038068.9501393995</v>
      </c>
      <c r="AI1477" s="2">
        <f t="shared" ca="1" si="1459"/>
        <v>1063495.7958937553</v>
      </c>
      <c r="AJ1477" s="2">
        <f t="shared" ca="1" si="1460"/>
        <v>1089545.4562356479</v>
      </c>
      <c r="AK1477" s="2">
        <f t="shared" ca="1" si="1461"/>
        <v>0</v>
      </c>
      <c r="AL1477" s="2">
        <f t="shared" ca="1" si="1462"/>
        <v>12112.766349728108</v>
      </c>
      <c r="AM1477" s="2">
        <f t="shared" ca="1" si="1463"/>
        <v>12409.460939804912</v>
      </c>
      <c r="AN1477" s="2">
        <f t="shared" ca="1" si="1464"/>
        <v>12713.422877177894</v>
      </c>
      <c r="AO1477" s="2">
        <f t="shared" ca="1" si="1465"/>
        <v>13024.830170946345</v>
      </c>
      <c r="AP1477" s="2">
        <f t="shared" ca="1" si="1466"/>
        <v>2523962.866150904</v>
      </c>
      <c r="AQ1477" s="2">
        <f t="shared" ca="1" si="1467"/>
        <v>705138.87383975228</v>
      </c>
      <c r="AR1477" s="2">
        <f t="shared" ca="1" si="1468"/>
        <v>769480.7821375085</v>
      </c>
      <c r="AS1477" s="2">
        <f t="shared" ca="1" si="1469"/>
        <v>804402.67910802481</v>
      </c>
      <c r="AT1477" s="2">
        <f t="shared" ca="1" si="1470"/>
        <v>840179.9659710906</v>
      </c>
      <c r="AU1477" s="2">
        <f t="shared" ca="1" si="1471"/>
        <v>876833.59496389143</v>
      </c>
      <c r="AV1477" s="2">
        <f t="shared" ca="1" si="1472"/>
        <v>2006933.717851602</v>
      </c>
      <c r="AW1477" s="2">
        <f t="shared" ca="1" si="1473"/>
        <v>2177947.9212724115</v>
      </c>
      <c r="AX1477" s="2">
        <f t="shared" ca="1" si="1474"/>
        <v>2277044.3180599581</v>
      </c>
      <c r="AY1477" s="2">
        <f t="shared" ca="1" si="1475"/>
        <v>2378568.018732849</v>
      </c>
      <c r="AZ1477" s="2">
        <f t="shared" ca="1" si="1476"/>
        <v>2482578.4785724371</v>
      </c>
      <c r="BA1477" s="2">
        <f t="shared" ca="1" si="1477"/>
        <v>46732024.797876373</v>
      </c>
      <c r="BB1477" s="2">
        <f t="shared" ca="1" si="1478"/>
        <v>934640.49595752743</v>
      </c>
      <c r="BC1477" s="2">
        <f t="shared" ca="1" si="1479"/>
        <v>17753352.455797687</v>
      </c>
      <c r="BD1477" s="2">
        <f t="shared" ca="1" si="1480"/>
        <v>-20364522.557669159</v>
      </c>
      <c r="BE1477" s="2">
        <f t="shared" ca="1" si="1481"/>
        <v>2006933.717851602</v>
      </c>
      <c r="BF1477" s="2">
        <f t="shared" ca="1" si="1482"/>
        <v>2177947.9212724115</v>
      </c>
      <c r="BG1477" s="2">
        <f t="shared" ca="1" si="1483"/>
        <v>2277044.3180599581</v>
      </c>
      <c r="BH1477" s="2">
        <f t="shared" ca="1" si="1484"/>
        <v>2378568.018732849</v>
      </c>
      <c r="BI1477" s="2">
        <f t="shared" ca="1" si="1485"/>
        <v>20235930.934370123</v>
      </c>
      <c r="BJ1477" s="2">
        <f t="shared" ca="1" si="1486"/>
        <v>8.8762350231542886E-2</v>
      </c>
      <c r="BK1477" s="2">
        <f t="shared" ca="1" si="1487"/>
        <v>-2221581.8957416825</v>
      </c>
    </row>
    <row r="1478" spans="1:63" x14ac:dyDescent="0.3">
      <c r="A1478" s="2">
        <v>1477</v>
      </c>
      <c r="B1478" s="2">
        <f t="shared" ca="1" si="1426"/>
        <v>0.33702195530019885</v>
      </c>
      <c r="C1478" s="2">
        <f t="shared" ca="1" si="1427"/>
        <v>6.8210017725927257</v>
      </c>
      <c r="D1478" s="2">
        <f t="shared" ca="1" si="1428"/>
        <v>0.74700965100704175</v>
      </c>
      <c r="E1478" s="2">
        <f t="shared" ca="1" si="1429"/>
        <v>7.7886767978015081</v>
      </c>
      <c r="F1478" s="2">
        <f t="shared" ca="1" si="1430"/>
        <v>0.14483356120403068</v>
      </c>
      <c r="G1478" s="2">
        <f t="shared" ca="1" si="1431"/>
        <v>8.2344357202324622E-3</v>
      </c>
      <c r="H1478" s="2">
        <f t="shared" ca="1" si="1432"/>
        <v>8.2344357202324622E-3</v>
      </c>
      <c r="I1478" s="2">
        <f t="shared" ca="1" si="1433"/>
        <v>0.53036841325645079</v>
      </c>
      <c r="J1478" s="2">
        <f t="shared" ca="1" si="1434"/>
        <v>1.0380979946518215E-2</v>
      </c>
      <c r="K1478" s="2">
        <f t="shared" ca="1" si="1435"/>
        <v>1.0380979946518215E-2</v>
      </c>
      <c r="L1478" s="2">
        <f t="shared" ca="1" si="1436"/>
        <v>0.47015478178871772</v>
      </c>
      <c r="M1478" s="2">
        <f t="shared" ca="1" si="1437"/>
        <v>-1.4976157351889695E-3</v>
      </c>
      <c r="N1478" s="2">
        <f t="shared" ca="1" si="1438"/>
        <v>-1.4976157351889695E-3</v>
      </c>
      <c r="O1478" s="2">
        <f t="shared" si="1439"/>
        <v>6000000</v>
      </c>
      <c r="P1478" s="2">
        <f t="shared" ca="1" si="1440"/>
        <v>40926010.635556355</v>
      </c>
      <c r="Q1478" s="2">
        <f t="shared" ca="1" si="1441"/>
        <v>1023150.2658889089</v>
      </c>
      <c r="R1478" s="2">
        <f t="shared" ca="1" si="1442"/>
        <v>24555606.381333813</v>
      </c>
      <c r="S1478" s="2">
        <f t="shared" ca="1" si="1443"/>
        <v>16370404.254222542</v>
      </c>
      <c r="T1478" s="2">
        <f t="shared" ca="1" si="1444"/>
        <v>49925119.213240556</v>
      </c>
      <c r="U1478" s="2">
        <f t="shared" ca="1" si="1445"/>
        <v>50336224.398226924</v>
      </c>
      <c r="V1478" s="2">
        <f t="shared" ca="1" si="1446"/>
        <v>50750714.802433319</v>
      </c>
      <c r="W1478" s="2">
        <f t="shared" ca="1" si="1447"/>
        <v>51168618.301229805</v>
      </c>
      <c r="X1478" s="2">
        <f t="shared" ca="1" si="1448"/>
        <v>51589962.999524392</v>
      </c>
      <c r="Y1478" s="2">
        <f t="shared" ca="1" si="1449"/>
        <v>0.1251904899732591</v>
      </c>
      <c r="Z1478" s="2">
        <f t="shared" ca="1" si="1450"/>
        <v>0.12726668596256274</v>
      </c>
      <c r="AA1478" s="2">
        <f t="shared" ca="1" si="1451"/>
        <v>6250150.1362789571</v>
      </c>
      <c r="AB1478" s="2">
        <f t="shared" ca="1" si="1452"/>
        <v>6406124.4630302349</v>
      </c>
      <c r="AC1478" s="2">
        <f t="shared" ca="1" si="1453"/>
        <v>6458875.2831368661</v>
      </c>
      <c r="AD1478" s="2">
        <f t="shared" ca="1" si="1454"/>
        <v>6512060.4764808547</v>
      </c>
      <c r="AE1478" s="2">
        <f t="shared" ca="1" si="1455"/>
        <v>6565683.6198807023</v>
      </c>
      <c r="AF1478" s="2">
        <f t="shared" ca="1" si="1456"/>
        <v>998502.38426481117</v>
      </c>
      <c r="AG1478" s="2">
        <f t="shared" ca="1" si="1457"/>
        <v>1006724.4879645385</v>
      </c>
      <c r="AH1478" s="2">
        <f t="shared" ca="1" si="1458"/>
        <v>1015014.2960486665</v>
      </c>
      <c r="AI1478" s="2">
        <f t="shared" ca="1" si="1459"/>
        <v>1023372.3660245962</v>
      </c>
      <c r="AJ1478" s="2">
        <f t="shared" ca="1" si="1460"/>
        <v>1031799.2599904878</v>
      </c>
      <c r="AK1478" s="2">
        <f t="shared" ca="1" si="1461"/>
        <v>0</v>
      </c>
      <c r="AL1478" s="2">
        <f t="shared" ca="1" si="1462"/>
        <v>4111.0518498636784</v>
      </c>
      <c r="AM1478" s="2">
        <f t="shared" ca="1" si="1463"/>
        <v>4144.9040420639512</v>
      </c>
      <c r="AN1478" s="2">
        <f t="shared" ca="1" si="1464"/>
        <v>4179.0349879648538</v>
      </c>
      <c r="AO1478" s="2">
        <f t="shared" ca="1" si="1465"/>
        <v>4213.446982945874</v>
      </c>
      <c r="AP1478" s="2">
        <f t="shared" ca="1" si="1466"/>
        <v>2210004.574320043</v>
      </c>
      <c r="AQ1478" s="2">
        <f t="shared" ca="1" si="1467"/>
        <v>790827.22620046686</v>
      </c>
      <c r="AR1478" s="2">
        <f t="shared" ca="1" si="1468"/>
        <v>829242.80419386982</v>
      </c>
      <c r="AS1478" s="2">
        <f t="shared" ca="1" si="1469"/>
        <v>840802.66731972073</v>
      </c>
      <c r="AT1478" s="2">
        <f t="shared" ca="1" si="1470"/>
        <v>852457.71939541597</v>
      </c>
      <c r="AU1478" s="2">
        <f t="shared" ca="1" si="1471"/>
        <v>864208.74424824456</v>
      </c>
      <c r="AV1478" s="2">
        <f t="shared" ca="1" si="1472"/>
        <v>2250815.9514936362</v>
      </c>
      <c r="AW1478" s="2">
        <f t="shared" ca="1" si="1473"/>
        <v>2356041.5447019194</v>
      </c>
      <c r="AX1478" s="2">
        <f t="shared" ca="1" si="1474"/>
        <v>2388908.8414063719</v>
      </c>
      <c r="AY1478" s="2">
        <f t="shared" ca="1" si="1475"/>
        <v>2422046.7817528346</v>
      </c>
      <c r="AZ1478" s="2">
        <f t="shared" ca="1" si="1476"/>
        <v>2455457.59433898</v>
      </c>
      <c r="BA1478" s="2">
        <f t="shared" ca="1" si="1477"/>
        <v>51137987.671870247</v>
      </c>
      <c r="BB1478" s="2">
        <f t="shared" ca="1" si="1478"/>
        <v>1022759.753437405</v>
      </c>
      <c r="BC1478" s="2">
        <f t="shared" ca="1" si="1479"/>
        <v>25559621.53709903</v>
      </c>
      <c r="BD1478" s="2">
        <f t="shared" ca="1" si="1480"/>
        <v>-17893554.520111449</v>
      </c>
      <c r="BE1478" s="2">
        <f t="shared" ca="1" si="1481"/>
        <v>2250815.9514936362</v>
      </c>
      <c r="BF1478" s="2">
        <f t="shared" ca="1" si="1482"/>
        <v>2356041.5447019194</v>
      </c>
      <c r="BG1478" s="2">
        <f t="shared" ca="1" si="1483"/>
        <v>2388908.8414063719</v>
      </c>
      <c r="BH1478" s="2">
        <f t="shared" ca="1" si="1484"/>
        <v>2422046.7817528346</v>
      </c>
      <c r="BI1478" s="2">
        <f t="shared" ca="1" si="1485"/>
        <v>28015079.131438009</v>
      </c>
      <c r="BJ1478" s="2">
        <f t="shared" ca="1" si="1486"/>
        <v>0.19043662492057489</v>
      </c>
      <c r="BK1478" s="2">
        <f t="shared" ca="1" si="1487"/>
        <v>5130465.3820743151</v>
      </c>
    </row>
    <row r="1479" spans="1:63" x14ac:dyDescent="0.3">
      <c r="A1479" s="2">
        <v>1478</v>
      </c>
      <c r="B1479" s="2">
        <f t="shared" ca="1" si="1426"/>
        <v>0.95397377173625642</v>
      </c>
      <c r="C1479" s="2">
        <f t="shared" ca="1" si="1427"/>
        <v>7.6965985225357541</v>
      </c>
      <c r="D1479" s="2">
        <f t="shared" ca="1" si="1428"/>
        <v>0.47000522509867948</v>
      </c>
      <c r="E1479" s="2">
        <f t="shared" ca="1" si="1429"/>
        <v>7.4695413607460797</v>
      </c>
      <c r="F1479" s="2">
        <f t="shared" ca="1" si="1430"/>
        <v>2.5386240149038342E-2</v>
      </c>
      <c r="G1479" s="2">
        <f t="shared" ca="1" si="1431"/>
        <v>-1.8601933093866513E-2</v>
      </c>
      <c r="H1479" s="2">
        <f t="shared" ca="1" si="1432"/>
        <v>-1.8601933093866513E-2</v>
      </c>
      <c r="I1479" s="2">
        <f t="shared" ca="1" si="1433"/>
        <v>0.44175379396862979</v>
      </c>
      <c r="J1479" s="2">
        <f t="shared" ca="1" si="1434"/>
        <v>9.2673790043948483E-3</v>
      </c>
      <c r="K1479" s="2">
        <f t="shared" ca="1" si="1435"/>
        <v>9.2673790043948483E-3</v>
      </c>
      <c r="L1479" s="2">
        <f t="shared" ca="1" si="1436"/>
        <v>0.63083009922845124</v>
      </c>
      <c r="M1479" s="2">
        <f t="shared" ca="1" si="1437"/>
        <v>6.6810537384012674E-3</v>
      </c>
      <c r="N1479" s="2">
        <f t="shared" ca="1" si="1438"/>
        <v>6.6810537384012674E-3</v>
      </c>
      <c r="O1479" s="2">
        <f t="shared" si="1439"/>
        <v>6000000</v>
      </c>
      <c r="P1479" s="2">
        <f t="shared" ca="1" si="1440"/>
        <v>46179591.135214522</v>
      </c>
      <c r="Q1479" s="2">
        <f t="shared" ca="1" si="1441"/>
        <v>1154489.778380363</v>
      </c>
      <c r="R1479" s="2">
        <f t="shared" ca="1" si="1442"/>
        <v>27707754.681128714</v>
      </c>
      <c r="S1479" s="2">
        <f t="shared" ca="1" si="1443"/>
        <v>18471836.454085808</v>
      </c>
      <c r="T1479" s="2">
        <f t="shared" ca="1" si="1444"/>
        <v>50334052.686920062</v>
      </c>
      <c r="U1479" s="2">
        <f t="shared" ca="1" si="1445"/>
        <v>49397742.006494828</v>
      </c>
      <c r="V1479" s="2">
        <f t="shared" ca="1" si="1446"/>
        <v>48478848.514701933</v>
      </c>
      <c r="W1479" s="2">
        <f t="shared" ca="1" si="1447"/>
        <v>47577048.218163759</v>
      </c>
      <c r="X1479" s="2">
        <f t="shared" ca="1" si="1448"/>
        <v>46692023.150405817</v>
      </c>
      <c r="Y1479" s="2">
        <f t="shared" ca="1" si="1449"/>
        <v>0.12463368950219741</v>
      </c>
      <c r="Z1479" s="2">
        <f t="shared" ca="1" si="1450"/>
        <v>0.12648716530307638</v>
      </c>
      <c r="AA1479" s="2">
        <f t="shared" ca="1" si="1451"/>
        <v>6273318.6939688409</v>
      </c>
      <c r="AB1479" s="2">
        <f t="shared" ca="1" si="1452"/>
        <v>6248180.3587742308</v>
      </c>
      <c r="AC1479" s="2">
        <f t="shared" ca="1" si="1453"/>
        <v>6131952.1257819021</v>
      </c>
      <c r="AD1479" s="2">
        <f t="shared" ca="1" si="1454"/>
        <v>6017885.9626033148</v>
      </c>
      <c r="AE1479" s="2">
        <f t="shared" ca="1" si="1455"/>
        <v>5905941.6505604498</v>
      </c>
      <c r="AF1479" s="2">
        <f t="shared" ca="1" si="1456"/>
        <v>1006681.0537384013</v>
      </c>
      <c r="AG1479" s="2">
        <f t="shared" ca="1" si="1457"/>
        <v>987954.84012989653</v>
      </c>
      <c r="AH1479" s="2">
        <f t="shared" ca="1" si="1458"/>
        <v>969576.97029403865</v>
      </c>
      <c r="AI1479" s="2">
        <f t="shared" ca="1" si="1459"/>
        <v>951540.96436327521</v>
      </c>
      <c r="AJ1479" s="2">
        <f t="shared" ca="1" si="1460"/>
        <v>933840.46300811635</v>
      </c>
      <c r="AK1479" s="2">
        <f t="shared" ca="1" si="1461"/>
        <v>0</v>
      </c>
      <c r="AL1479" s="2">
        <f t="shared" ca="1" si="1462"/>
        <v>0</v>
      </c>
      <c r="AM1479" s="2">
        <f t="shared" ca="1" si="1463"/>
        <v>0</v>
      </c>
      <c r="AN1479" s="2">
        <f t="shared" ca="1" si="1464"/>
        <v>0</v>
      </c>
      <c r="AO1479" s="2">
        <f t="shared" ca="1" si="1465"/>
        <v>0</v>
      </c>
      <c r="AP1479" s="2">
        <f t="shared" ca="1" si="1466"/>
        <v>2493697.9213015842</v>
      </c>
      <c r="AQ1479" s="2">
        <f t="shared" ca="1" si="1467"/>
        <v>720964.32692150248</v>
      </c>
      <c r="AR1479" s="2">
        <f t="shared" ca="1" si="1468"/>
        <v>719297.17530911521</v>
      </c>
      <c r="AS1479" s="2">
        <f t="shared" ca="1" si="1469"/>
        <v>693856.08088843257</v>
      </c>
      <c r="AT1479" s="2">
        <f t="shared" ca="1" si="1470"/>
        <v>668888.24000399839</v>
      </c>
      <c r="AU1479" s="2">
        <f t="shared" ca="1" si="1471"/>
        <v>644384.84922519489</v>
      </c>
      <c r="AV1479" s="2">
        <f t="shared" ca="1" si="1472"/>
        <v>2051975.3920073532</v>
      </c>
      <c r="AW1479" s="2">
        <f t="shared" ca="1" si="1473"/>
        <v>2047230.4220336354</v>
      </c>
      <c r="AX1479" s="2">
        <f t="shared" ca="1" si="1474"/>
        <v>1974821.1532978467</v>
      </c>
      <c r="AY1479" s="2">
        <f t="shared" ca="1" si="1475"/>
        <v>1903758.8369344571</v>
      </c>
      <c r="AZ1479" s="2">
        <f t="shared" ca="1" si="1476"/>
        <v>1834018.4170255545</v>
      </c>
      <c r="BA1479" s="2">
        <f t="shared" ca="1" si="1477"/>
        <v>44114675.433014251</v>
      </c>
      <c r="BB1479" s="2">
        <f t="shared" ca="1" si="1478"/>
        <v>882293.50866028504</v>
      </c>
      <c r="BC1479" s="2">
        <f t="shared" ca="1" si="1479"/>
        <v>15524627.243225252</v>
      </c>
      <c r="BD1479" s="2">
        <f t="shared" ca="1" si="1480"/>
        <v>-20126326.232466172</v>
      </c>
      <c r="BE1479" s="2">
        <f t="shared" ca="1" si="1481"/>
        <v>2051975.3920073532</v>
      </c>
      <c r="BF1479" s="2">
        <f t="shared" ca="1" si="1482"/>
        <v>2047230.4220336354</v>
      </c>
      <c r="BG1479" s="2">
        <f t="shared" ca="1" si="1483"/>
        <v>1974821.1532978467</v>
      </c>
      <c r="BH1479" s="2">
        <f t="shared" ca="1" si="1484"/>
        <v>1903758.8369344571</v>
      </c>
      <c r="BI1479" s="2">
        <f t="shared" ca="1" si="1485"/>
        <v>17358645.660250805</v>
      </c>
      <c r="BJ1479" s="2">
        <f t="shared" ca="1" si="1486"/>
        <v>5.7016645862101312E-2</v>
      </c>
      <c r="BK1479" s="2">
        <f t="shared" ca="1" si="1487"/>
        <v>-4196892.214158183</v>
      </c>
    </row>
    <row r="1480" spans="1:63" x14ac:dyDescent="0.3">
      <c r="A1480" s="2">
        <v>1479</v>
      </c>
      <c r="B1480" s="2">
        <f t="shared" ca="1" si="1426"/>
        <v>0.31339846425159013</v>
      </c>
      <c r="C1480" s="2">
        <f t="shared" ca="1" si="1427"/>
        <v>6.7917050767193423</v>
      </c>
      <c r="D1480" s="2">
        <f t="shared" ca="1" si="1428"/>
        <v>0.89993788628884164</v>
      </c>
      <c r="E1480" s="2">
        <f t="shared" ca="1" si="1429"/>
        <v>8.0526475355803697</v>
      </c>
      <c r="F1480" s="2">
        <f t="shared" ca="1" si="1430"/>
        <v>0.52481027043778405</v>
      </c>
      <c r="G1480" s="2">
        <f t="shared" ca="1" si="1431"/>
        <v>4.1866908028389299E-2</v>
      </c>
      <c r="H1480" s="2">
        <f t="shared" ca="1" si="1432"/>
        <v>4.1866908028389299E-2</v>
      </c>
      <c r="I1480" s="2">
        <f t="shared" ca="1" si="1433"/>
        <v>0.58252508697231586</v>
      </c>
      <c r="J1480" s="2">
        <f t="shared" ca="1" si="1434"/>
        <v>1.104178757738563E-2</v>
      </c>
      <c r="K1480" s="2">
        <f t="shared" ca="1" si="1435"/>
        <v>1.104178757738563E-2</v>
      </c>
      <c r="L1480" s="2">
        <f t="shared" ca="1" si="1436"/>
        <v>0.79710378605278498</v>
      </c>
      <c r="M1480" s="2">
        <f t="shared" ca="1" si="1437"/>
        <v>1.662641597916039E-2</v>
      </c>
      <c r="N1480" s="2">
        <f t="shared" ca="1" si="1438"/>
        <v>1.662641597916039E-2</v>
      </c>
      <c r="O1480" s="2">
        <f t="shared" si="1439"/>
        <v>6000000</v>
      </c>
      <c r="P1480" s="2">
        <f t="shared" ca="1" si="1440"/>
        <v>40750230.460316055</v>
      </c>
      <c r="Q1480" s="2">
        <f t="shared" ca="1" si="1441"/>
        <v>1018755.7615079014</v>
      </c>
      <c r="R1480" s="2">
        <f t="shared" ca="1" si="1442"/>
        <v>24450138.276189633</v>
      </c>
      <c r="S1480" s="2">
        <f t="shared" ca="1" si="1443"/>
        <v>16300092.184126422</v>
      </c>
      <c r="T1480" s="2">
        <f t="shared" ca="1" si="1444"/>
        <v>50831320.798958026</v>
      </c>
      <c r="U1480" s="2">
        <f t="shared" ca="1" si="1445"/>
        <v>52959471.031809554</v>
      </c>
      <c r="V1480" s="2">
        <f t="shared" ca="1" si="1446"/>
        <v>55176720.334730476</v>
      </c>
      <c r="W1480" s="2">
        <f t="shared" ca="1" si="1447"/>
        <v>57486799.010292798</v>
      </c>
      <c r="X1480" s="2">
        <f t="shared" ca="1" si="1448"/>
        <v>59893593.537303232</v>
      </c>
      <c r="Y1480" s="2">
        <f t="shared" ca="1" si="1449"/>
        <v>0.1255208937886928</v>
      </c>
      <c r="Z1480" s="2">
        <f t="shared" ca="1" si="1450"/>
        <v>0.12772925130416993</v>
      </c>
      <c r="AA1480" s="2">
        <f t="shared" ca="1" si="1451"/>
        <v>6380392.8191449819</v>
      </c>
      <c r="AB1480" s="2">
        <f t="shared" ca="1" si="1452"/>
        <v>6764473.5843579099</v>
      </c>
      <c r="AC1480" s="2">
        <f t="shared" ca="1" si="1453"/>
        <v>7047681.177774692</v>
      </c>
      <c r="AD1480" s="2">
        <f t="shared" ca="1" si="1454"/>
        <v>7342745.7974579958</v>
      </c>
      <c r="AE1480" s="2">
        <f t="shared" ca="1" si="1455"/>
        <v>7650163.860436012</v>
      </c>
      <c r="AF1480" s="2">
        <f t="shared" ca="1" si="1456"/>
        <v>1016626.4159791606</v>
      </c>
      <c r="AG1480" s="2">
        <f t="shared" ca="1" si="1457"/>
        <v>1059189.420636191</v>
      </c>
      <c r="AH1480" s="2">
        <f t="shared" ca="1" si="1458"/>
        <v>1103534.4066946094</v>
      </c>
      <c r="AI1480" s="2">
        <f t="shared" ca="1" si="1459"/>
        <v>1149735.980205856</v>
      </c>
      <c r="AJ1480" s="2">
        <f t="shared" ca="1" si="1460"/>
        <v>1197871.8707460647</v>
      </c>
      <c r="AK1480" s="2">
        <f t="shared" ca="1" si="1461"/>
        <v>0</v>
      </c>
      <c r="AL1480" s="2">
        <f t="shared" ca="1" si="1462"/>
        <v>21281.502328515278</v>
      </c>
      <c r="AM1480" s="2">
        <f t="shared" ca="1" si="1463"/>
        <v>22172.493029209229</v>
      </c>
      <c r="AN1480" s="2">
        <f t="shared" ca="1" si="1464"/>
        <v>23100.786755623223</v>
      </c>
      <c r="AO1480" s="2">
        <f t="shared" ca="1" si="1465"/>
        <v>24067.945270104334</v>
      </c>
      <c r="AP1480" s="2">
        <f t="shared" ca="1" si="1466"/>
        <v>2200512.444857067</v>
      </c>
      <c r="AQ1480" s="2">
        <f t="shared" ca="1" si="1467"/>
        <v>822446.02916027606</v>
      </c>
      <c r="AR1480" s="2">
        <f t="shared" ca="1" si="1468"/>
        <v>911240.64690480952</v>
      </c>
      <c r="AS1480" s="2">
        <f t="shared" ca="1" si="1469"/>
        <v>973344.92481798399</v>
      </c>
      <c r="AT1480" s="2">
        <f t="shared" ca="1" si="1470"/>
        <v>1038049.3168227189</v>
      </c>
      <c r="AU1480" s="2">
        <f t="shared" ca="1" si="1471"/>
        <v>1105462.6816565488</v>
      </c>
      <c r="AV1480" s="2">
        <f t="shared" ca="1" si="1472"/>
        <v>2340807.929148478</v>
      </c>
      <c r="AW1480" s="2">
        <f t="shared" ca="1" si="1473"/>
        <v>2572249.5696313274</v>
      </c>
      <c r="AX1480" s="2">
        <f t="shared" ca="1" si="1474"/>
        <v>2748116.9083758225</v>
      </c>
      <c r="AY1480" s="2">
        <f t="shared" ca="1" si="1475"/>
        <v>2931347.2688167305</v>
      </c>
      <c r="AZ1480" s="2">
        <f t="shared" ca="1" si="1476"/>
        <v>3122248.9179062271</v>
      </c>
      <c r="BA1480" s="2">
        <f t="shared" ca="1" si="1477"/>
        <v>61604073.157526061</v>
      </c>
      <c r="BB1480" s="2">
        <f t="shared" ca="1" si="1478"/>
        <v>1232081.4631505213</v>
      </c>
      <c r="BC1480" s="2">
        <f t="shared" ca="1" si="1479"/>
        <v>35921853.418185905</v>
      </c>
      <c r="BD1480" s="2">
        <f t="shared" ca="1" si="1480"/>
        <v>-17818847.945634324</v>
      </c>
      <c r="BE1480" s="2">
        <f t="shared" ca="1" si="1481"/>
        <v>2340807.929148478</v>
      </c>
      <c r="BF1480" s="2">
        <f t="shared" ca="1" si="1482"/>
        <v>2572249.5696313274</v>
      </c>
      <c r="BG1480" s="2">
        <f t="shared" ca="1" si="1483"/>
        <v>2748116.9083758225</v>
      </c>
      <c r="BH1480" s="2">
        <f t="shared" ca="1" si="1484"/>
        <v>2931347.2688167305</v>
      </c>
      <c r="BI1480" s="2">
        <f t="shared" ca="1" si="1485"/>
        <v>39044102.336092129</v>
      </c>
      <c r="BJ1480" s="2">
        <f t="shared" ca="1" si="1486"/>
        <v>0.26835113820832612</v>
      </c>
      <c r="BK1480" s="2">
        <f t="shared" ca="1" si="1487"/>
        <v>12295392.482809465</v>
      </c>
    </row>
    <row r="1481" spans="1:63" x14ac:dyDescent="0.3">
      <c r="A1481" s="2">
        <v>1480</v>
      </c>
      <c r="B1481" s="2">
        <f t="shared" ca="1" si="1426"/>
        <v>0.23305814916257717</v>
      </c>
      <c r="C1481" s="2">
        <f t="shared" ca="1" si="1427"/>
        <v>6.6827271038454192</v>
      </c>
      <c r="D1481" s="2">
        <f t="shared" ca="1" si="1428"/>
        <v>0.84410733307775898</v>
      </c>
      <c r="E1481" s="2">
        <f t="shared" ca="1" si="1429"/>
        <v>7.9416225883468403</v>
      </c>
      <c r="F1481" s="2">
        <f t="shared" ca="1" si="1430"/>
        <v>0.49897860992493792</v>
      </c>
      <c r="G1481" s="2">
        <f t="shared" ca="1" si="1431"/>
        <v>3.9923192558842274E-2</v>
      </c>
      <c r="H1481" s="2">
        <f t="shared" ca="1" si="1432"/>
        <v>3.9923192558842274E-2</v>
      </c>
      <c r="I1481" s="2">
        <f t="shared" ca="1" si="1433"/>
        <v>7.6128699352509765E-2</v>
      </c>
      <c r="J1481" s="2">
        <f t="shared" ca="1" si="1434"/>
        <v>2.8419837447810495E-3</v>
      </c>
      <c r="K1481" s="2">
        <f t="shared" ca="1" si="1435"/>
        <v>2.8419837447810495E-3</v>
      </c>
      <c r="L1481" s="2">
        <f t="shared" ca="1" si="1436"/>
        <v>0.7972258823712447</v>
      </c>
      <c r="M1481" s="2">
        <f t="shared" ca="1" si="1437"/>
        <v>1.6635065056693769E-2</v>
      </c>
      <c r="N1481" s="2">
        <f t="shared" ca="1" si="1438"/>
        <v>1.6635065056693769E-2</v>
      </c>
      <c r="O1481" s="2">
        <f t="shared" si="1439"/>
        <v>6000000</v>
      </c>
      <c r="P1481" s="2">
        <f t="shared" ca="1" si="1440"/>
        <v>40096362.623072512</v>
      </c>
      <c r="Q1481" s="2">
        <f t="shared" ca="1" si="1441"/>
        <v>1002409.0655768128</v>
      </c>
      <c r="R1481" s="2">
        <f t="shared" ca="1" si="1442"/>
        <v>24057817.573843505</v>
      </c>
      <c r="S1481" s="2">
        <f t="shared" ca="1" si="1443"/>
        <v>16038545.049229005</v>
      </c>
      <c r="T1481" s="2">
        <f t="shared" ca="1" si="1444"/>
        <v>50831753.252834685</v>
      </c>
      <c r="U1481" s="2">
        <f t="shared" ca="1" si="1445"/>
        <v>52861119.126051165</v>
      </c>
      <c r="V1481" s="2">
        <f t="shared" ca="1" si="1446"/>
        <v>54971503.763796411</v>
      </c>
      <c r="W1481" s="2">
        <f t="shared" ca="1" si="1447"/>
        <v>57166141.69380758</v>
      </c>
      <c r="X1481" s="2">
        <f t="shared" ca="1" si="1448"/>
        <v>59448396.576495528</v>
      </c>
      <c r="Y1481" s="2">
        <f t="shared" ca="1" si="1449"/>
        <v>0.12142099187239053</v>
      </c>
      <c r="Z1481" s="2">
        <f t="shared" ca="1" si="1450"/>
        <v>0.12198938862134673</v>
      </c>
      <c r="AA1481" s="2">
        <f t="shared" ca="1" si="1451"/>
        <v>6172041.8985718014</v>
      </c>
      <c r="AB1481" s="2">
        <f t="shared" ca="1" si="1452"/>
        <v>6448495.6040271595</v>
      </c>
      <c r="AC1481" s="2">
        <f t="shared" ca="1" si="1453"/>
        <v>6705940.1357415849</v>
      </c>
      <c r="AD1481" s="2">
        <f t="shared" ca="1" si="1454"/>
        <v>6973662.6750688655</v>
      </c>
      <c r="AE1481" s="2">
        <f t="shared" ca="1" si="1455"/>
        <v>7252073.5528860511</v>
      </c>
      <c r="AF1481" s="2">
        <f t="shared" ca="1" si="1456"/>
        <v>1016635.0650566937</v>
      </c>
      <c r="AG1481" s="2">
        <f t="shared" ca="1" si="1457"/>
        <v>1057222.3825210233</v>
      </c>
      <c r="AH1481" s="2">
        <f t="shared" ca="1" si="1458"/>
        <v>1099430.0752759282</v>
      </c>
      <c r="AI1481" s="2">
        <f t="shared" ca="1" si="1459"/>
        <v>1143322.8338761516</v>
      </c>
      <c r="AJ1481" s="2">
        <f t="shared" ca="1" si="1460"/>
        <v>1188967.9315299105</v>
      </c>
      <c r="AK1481" s="2">
        <f t="shared" ca="1" si="1461"/>
        <v>0</v>
      </c>
      <c r="AL1481" s="2">
        <f t="shared" ca="1" si="1462"/>
        <v>20293.6587321648</v>
      </c>
      <c r="AM1481" s="2">
        <f t="shared" ca="1" si="1463"/>
        <v>21103.846377452464</v>
      </c>
      <c r="AN1481" s="2">
        <f t="shared" ca="1" si="1464"/>
        <v>21946.379300111683</v>
      </c>
      <c r="AO1481" s="2">
        <f t="shared" ca="1" si="1465"/>
        <v>22822.548826879487</v>
      </c>
      <c r="AP1481" s="2">
        <f t="shared" ca="1" si="1466"/>
        <v>2165203.5816459153</v>
      </c>
      <c r="AQ1481" s="2">
        <f t="shared" ca="1" si="1467"/>
        <v>777452.84548599005</v>
      </c>
      <c r="AR1481" s="2">
        <f t="shared" ca="1" si="1468"/>
        <v>838778.10636365751</v>
      </c>
      <c r="AS1481" s="2">
        <f t="shared" ca="1" si="1469"/>
        <v>894739.68449313263</v>
      </c>
      <c r="AT1481" s="2">
        <f t="shared" ca="1" si="1470"/>
        <v>952935.42748216772</v>
      </c>
      <c r="AU1481" s="2">
        <f t="shared" ca="1" si="1471"/>
        <v>1013454.5303246587</v>
      </c>
      <c r="AV1481" s="2">
        <f t="shared" ca="1" si="1472"/>
        <v>2212750.4063832024</v>
      </c>
      <c r="AW1481" s="2">
        <f t="shared" ca="1" si="1473"/>
        <v>2366997.8747643987</v>
      </c>
      <c r="AX1481" s="2">
        <f t="shared" ca="1" si="1474"/>
        <v>2525462.9479491552</v>
      </c>
      <c r="AY1481" s="2">
        <f t="shared" ca="1" si="1475"/>
        <v>2690254.4527645186</v>
      </c>
      <c r="AZ1481" s="2">
        <f t="shared" ca="1" si="1476"/>
        <v>2861624.9605586873</v>
      </c>
      <c r="BA1481" s="2">
        <f t="shared" ca="1" si="1477"/>
        <v>57593231.139952585</v>
      </c>
      <c r="BB1481" s="2">
        <f t="shared" ca="1" si="1478"/>
        <v>1151864.6227990517</v>
      </c>
      <c r="BC1481" s="2">
        <f t="shared" ca="1" si="1479"/>
        <v>32383548.94331003</v>
      </c>
      <c r="BD1481" s="2">
        <f t="shared" ca="1" si="1480"/>
        <v>-17540954.114805818</v>
      </c>
      <c r="BE1481" s="2">
        <f t="shared" ca="1" si="1481"/>
        <v>2212750.4063832024</v>
      </c>
      <c r="BF1481" s="2">
        <f t="shared" ca="1" si="1482"/>
        <v>2366997.8747643987</v>
      </c>
      <c r="BG1481" s="2">
        <f t="shared" ca="1" si="1483"/>
        <v>2525462.9479491552</v>
      </c>
      <c r="BH1481" s="2">
        <f t="shared" ca="1" si="1484"/>
        <v>2690254.4527645186</v>
      </c>
      <c r="BI1481" s="2">
        <f t="shared" ca="1" si="1485"/>
        <v>35245173.90386872</v>
      </c>
      <c r="BJ1481" s="2">
        <f t="shared" ca="1" si="1486"/>
        <v>0.24456491020135251</v>
      </c>
      <c r="BK1481" s="2">
        <f t="shared" ca="1" si="1487"/>
        <v>9828010.2955351584</v>
      </c>
    </row>
    <row r="1482" spans="1:63" x14ac:dyDescent="0.3">
      <c r="A1482" s="2">
        <v>1481</v>
      </c>
      <c r="B1482" s="2">
        <f t="shared" ca="1" si="1426"/>
        <v>0.99451248546748816</v>
      </c>
      <c r="C1482" s="2">
        <f t="shared" ca="1" si="1427"/>
        <v>7.8952382270815171</v>
      </c>
      <c r="D1482" s="2">
        <f t="shared" ca="1" si="1428"/>
        <v>0.60717419035496389</v>
      </c>
      <c r="E1482" s="2">
        <f t="shared" ca="1" si="1429"/>
        <v>7.6136300889075308</v>
      </c>
      <c r="F1482" s="2">
        <f t="shared" ca="1" si="1430"/>
        <v>1.595292797811898E-2</v>
      </c>
      <c r="G1482" s="2">
        <f t="shared" ca="1" si="1431"/>
        <v>-2.4367642900839794E-2</v>
      </c>
      <c r="H1482" s="2">
        <f t="shared" ca="1" si="1432"/>
        <v>-0.02</v>
      </c>
      <c r="I1482" s="2">
        <f t="shared" ca="1" si="1433"/>
        <v>0.80212967284197478</v>
      </c>
      <c r="J1482" s="2">
        <f t="shared" ca="1" si="1434"/>
        <v>1.4246263860273559E-2</v>
      </c>
      <c r="K1482" s="2">
        <f t="shared" ca="1" si="1435"/>
        <v>1.4246263860273559E-2</v>
      </c>
      <c r="L1482" s="2">
        <f t="shared" ca="1" si="1436"/>
        <v>0.16324127741386696</v>
      </c>
      <c r="M1482" s="2">
        <f t="shared" ca="1" si="1437"/>
        <v>-1.9624469313745233E-2</v>
      </c>
      <c r="N1482" s="2">
        <f t="shared" ca="1" si="1438"/>
        <v>-1.9624469313745233E-2</v>
      </c>
      <c r="O1482" s="2">
        <f t="shared" si="1439"/>
        <v>6000000</v>
      </c>
      <c r="P1482" s="2">
        <f t="shared" ca="1" si="1440"/>
        <v>47371429.362489104</v>
      </c>
      <c r="Q1482" s="2">
        <f t="shared" ca="1" si="1441"/>
        <v>1184285.7340622277</v>
      </c>
      <c r="R1482" s="2">
        <f t="shared" ca="1" si="1442"/>
        <v>28422857.617493462</v>
      </c>
      <c r="S1482" s="2">
        <f t="shared" ca="1" si="1443"/>
        <v>18948571.744995642</v>
      </c>
      <c r="T1482" s="2">
        <f t="shared" ca="1" si="1444"/>
        <v>49018776.534312733</v>
      </c>
      <c r="U1482" s="2">
        <f t="shared" ca="1" si="1445"/>
        <v>48038401.003626481</v>
      </c>
      <c r="V1482" s="2">
        <f t="shared" ca="1" si="1446"/>
        <v>47077632.983553953</v>
      </c>
      <c r="W1482" s="2">
        <f t="shared" ca="1" si="1447"/>
        <v>46136080.32388287</v>
      </c>
      <c r="X1482" s="2">
        <f t="shared" ca="1" si="1448"/>
        <v>45213358.717405215</v>
      </c>
      <c r="Y1482" s="2">
        <f t="shared" ca="1" si="1449"/>
        <v>0.12712313193013677</v>
      </c>
      <c r="Z1482" s="2">
        <f t="shared" ca="1" si="1450"/>
        <v>0.1299723847021915</v>
      </c>
      <c r="AA1482" s="2">
        <f t="shared" ca="1" si="1451"/>
        <v>6231420.3964253301</v>
      </c>
      <c r="AB1482" s="2">
        <f t="shared" ca="1" si="1452"/>
        <v>6243665.5357214827</v>
      </c>
      <c r="AC1482" s="2">
        <f t="shared" ca="1" si="1453"/>
        <v>6118792.2250070535</v>
      </c>
      <c r="AD1482" s="2">
        <f t="shared" ca="1" si="1454"/>
        <v>5996416.3805069122</v>
      </c>
      <c r="AE1482" s="2">
        <f t="shared" ca="1" si="1455"/>
        <v>5876488.0528967744</v>
      </c>
      <c r="AF1482" s="2">
        <f t="shared" ca="1" si="1456"/>
        <v>980375.53068625461</v>
      </c>
      <c r="AG1482" s="2">
        <f t="shared" ca="1" si="1457"/>
        <v>960768.02007252967</v>
      </c>
      <c r="AH1482" s="2">
        <f t="shared" ca="1" si="1458"/>
        <v>941552.65967107913</v>
      </c>
      <c r="AI1482" s="2">
        <f t="shared" ca="1" si="1459"/>
        <v>922721.60647765745</v>
      </c>
      <c r="AJ1482" s="2">
        <f t="shared" ca="1" si="1460"/>
        <v>904267.17434810428</v>
      </c>
      <c r="AK1482" s="2">
        <f t="shared" ca="1" si="1461"/>
        <v>0</v>
      </c>
      <c r="AL1482" s="2">
        <f t="shared" ca="1" si="1462"/>
        <v>0</v>
      </c>
      <c r="AM1482" s="2">
        <f t="shared" ca="1" si="1463"/>
        <v>0</v>
      </c>
      <c r="AN1482" s="2">
        <f t="shared" ca="1" si="1464"/>
        <v>0</v>
      </c>
      <c r="AO1482" s="2">
        <f t="shared" ca="1" si="1465"/>
        <v>0</v>
      </c>
      <c r="AP1482" s="2">
        <f t="shared" ca="1" si="1466"/>
        <v>2558057.1855744114</v>
      </c>
      <c r="AQ1482" s="2">
        <f t="shared" ca="1" si="1467"/>
        <v>700176.79684281268</v>
      </c>
      <c r="AR1482" s="2">
        <f t="shared" ca="1" si="1468"/>
        <v>708458.48581938073</v>
      </c>
      <c r="AS1482" s="2">
        <f t="shared" ca="1" si="1469"/>
        <v>680987.41873800626</v>
      </c>
      <c r="AT1482" s="2">
        <f t="shared" ca="1" si="1470"/>
        <v>654065.77299825929</v>
      </c>
      <c r="AU1482" s="2">
        <f t="shared" ca="1" si="1471"/>
        <v>627682.56017330743</v>
      </c>
      <c r="AV1482" s="2">
        <f t="shared" ca="1" si="1472"/>
        <v>1992810.8833218515</v>
      </c>
      <c r="AW1482" s="2">
        <f t="shared" ca="1" si="1473"/>
        <v>2016381.8442551605</v>
      </c>
      <c r="AX1482" s="2">
        <f t="shared" ca="1" si="1474"/>
        <v>1938194.9610235561</v>
      </c>
      <c r="AY1482" s="2">
        <f t="shared" ca="1" si="1475"/>
        <v>1861571.8154565841</v>
      </c>
      <c r="AZ1482" s="2">
        <f t="shared" ca="1" si="1476"/>
        <v>1786481.1328009516</v>
      </c>
      <c r="BA1482" s="2">
        <f t="shared" ca="1" si="1477"/>
        <v>44741406.256640509</v>
      </c>
      <c r="BB1482" s="2">
        <f t="shared" ca="1" si="1478"/>
        <v>894828.12513281021</v>
      </c>
      <c r="BC1482" s="2">
        <f t="shared" ca="1" si="1479"/>
        <v>15423720.514014237</v>
      </c>
      <c r="BD1482" s="2">
        <f t="shared" ca="1" si="1480"/>
        <v>-20632857.479057871</v>
      </c>
      <c r="BE1482" s="2">
        <f t="shared" ca="1" si="1481"/>
        <v>1992810.8833218515</v>
      </c>
      <c r="BF1482" s="2">
        <f t="shared" ca="1" si="1482"/>
        <v>2016381.8442551605</v>
      </c>
      <c r="BG1482" s="2">
        <f t="shared" ca="1" si="1483"/>
        <v>1938194.9610235561</v>
      </c>
      <c r="BH1482" s="2">
        <f t="shared" ca="1" si="1484"/>
        <v>1861571.8154565841</v>
      </c>
      <c r="BI1482" s="2">
        <f t="shared" ca="1" si="1485"/>
        <v>17210201.646815188</v>
      </c>
      <c r="BJ1482" s="2">
        <f t="shared" ca="1" si="1486"/>
        <v>4.7328496033275602E-2</v>
      </c>
      <c r="BK1482" s="2">
        <f t="shared" ca="1" si="1487"/>
        <v>-4917952.7471002452</v>
      </c>
    </row>
    <row r="1483" spans="1:63" x14ac:dyDescent="0.3">
      <c r="A1483" s="2">
        <v>1482</v>
      </c>
      <c r="B1483" s="2">
        <f t="shared" ca="1" si="1426"/>
        <v>0.42462977881904129</v>
      </c>
      <c r="C1483" s="2">
        <f t="shared" ca="1" si="1427"/>
        <v>6.9215527969889097</v>
      </c>
      <c r="D1483" s="2">
        <f t="shared" ca="1" si="1428"/>
        <v>0.85265607167684143</v>
      </c>
      <c r="E1483" s="2">
        <f t="shared" ca="1" si="1429"/>
        <v>7.9571484027413044</v>
      </c>
      <c r="F1483" s="2">
        <f t="shared" ca="1" si="1430"/>
        <v>0.17916573424093118</v>
      </c>
      <c r="G1483" s="2">
        <f t="shared" ca="1" si="1431"/>
        <v>1.244352715316277E-2</v>
      </c>
      <c r="H1483" s="2">
        <f t="shared" ca="1" si="1432"/>
        <v>1.244352715316277E-2</v>
      </c>
      <c r="I1483" s="2">
        <f t="shared" ca="1" si="1433"/>
        <v>0.96351608454800597</v>
      </c>
      <c r="J1483" s="2">
        <f t="shared" ca="1" si="1434"/>
        <v>1.8965159267062659E-2</v>
      </c>
      <c r="K1483" s="2">
        <f t="shared" ca="1" si="1435"/>
        <v>1.8965159267062659E-2</v>
      </c>
      <c r="L1483" s="2">
        <f t="shared" ca="1" si="1436"/>
        <v>0.9154750383052358</v>
      </c>
      <c r="M1483" s="2">
        <f t="shared" ca="1" si="1437"/>
        <v>2.7505259974411125E-2</v>
      </c>
      <c r="N1483" s="2">
        <f t="shared" ca="1" si="1438"/>
        <v>2.7505259974411125E-2</v>
      </c>
      <c r="O1483" s="2">
        <f t="shared" si="1439"/>
        <v>6000000</v>
      </c>
      <c r="P1483" s="2">
        <f t="shared" ca="1" si="1440"/>
        <v>41529316.781933457</v>
      </c>
      <c r="Q1483" s="2">
        <f t="shared" ca="1" si="1441"/>
        <v>1038232.9195483364</v>
      </c>
      <c r="R1483" s="2">
        <f t="shared" ca="1" si="1442"/>
        <v>24917590.069160074</v>
      </c>
      <c r="S1483" s="2">
        <f t="shared" ca="1" si="1443"/>
        <v>16611726.712773383</v>
      </c>
      <c r="T1483" s="2">
        <f t="shared" ca="1" si="1444"/>
        <v>51375262.998720564</v>
      </c>
      <c r="U1483" s="2">
        <f t="shared" ca="1" si="1445"/>
        <v>52014552.478846014</v>
      </c>
      <c r="V1483" s="2">
        <f t="shared" ca="1" si="1446"/>
        <v>52661796.974976137</v>
      </c>
      <c r="W1483" s="2">
        <f t="shared" ca="1" si="1447"/>
        <v>53317095.475568593</v>
      </c>
      <c r="X1483" s="2">
        <f t="shared" ca="1" si="1448"/>
        <v>53980548.200846598</v>
      </c>
      <c r="Y1483" s="2">
        <f t="shared" ca="1" si="1449"/>
        <v>0.12948257963353133</v>
      </c>
      <c r="Z1483" s="2">
        <f t="shared" ca="1" si="1450"/>
        <v>0.13327561148694386</v>
      </c>
      <c r="AA1483" s="2">
        <f t="shared" ca="1" si="1451"/>
        <v>6652201.5824254509</v>
      </c>
      <c r="AB1483" s="2">
        <f t="shared" ca="1" si="1452"/>
        <v>6932271.2878379337</v>
      </c>
      <c r="AC1483" s="2">
        <f t="shared" ca="1" si="1453"/>
        <v>7018533.1938412348</v>
      </c>
      <c r="AD1483" s="2">
        <f t="shared" ca="1" si="1454"/>
        <v>7105868.5022141719</v>
      </c>
      <c r="AE1483" s="2">
        <f t="shared" ca="1" si="1455"/>
        <v>7194290.5698682778</v>
      </c>
      <c r="AF1483" s="2">
        <f t="shared" ca="1" si="1456"/>
        <v>1027505.2599744113</v>
      </c>
      <c r="AG1483" s="2">
        <f t="shared" ca="1" si="1457"/>
        <v>1040291.0495769203</v>
      </c>
      <c r="AH1483" s="2">
        <f t="shared" ca="1" si="1458"/>
        <v>1053235.9394995228</v>
      </c>
      <c r="AI1483" s="2">
        <f t="shared" ca="1" si="1459"/>
        <v>1066341.909511372</v>
      </c>
      <c r="AJ1483" s="2">
        <f t="shared" ca="1" si="1460"/>
        <v>1079610.9640169321</v>
      </c>
      <c r="AK1483" s="2">
        <f t="shared" ca="1" si="1461"/>
        <v>0</v>
      </c>
      <c r="AL1483" s="2">
        <f t="shared" ca="1" si="1462"/>
        <v>6392.8948012544961</v>
      </c>
      <c r="AM1483" s="2">
        <f t="shared" ca="1" si="1463"/>
        <v>6472.4449613012375</v>
      </c>
      <c r="AN1483" s="2">
        <f t="shared" ca="1" si="1464"/>
        <v>6552.9850059245528</v>
      </c>
      <c r="AO1483" s="2">
        <f t="shared" ca="1" si="1465"/>
        <v>6634.5272527800498</v>
      </c>
      <c r="AP1483" s="2">
        <f t="shared" ca="1" si="1466"/>
        <v>2242583.1062244065</v>
      </c>
      <c r="AQ1483" s="2">
        <f t="shared" ca="1" si="1467"/>
        <v>879349.43621892459</v>
      </c>
      <c r="AR1483" s="2">
        <f t="shared" ca="1" si="1468"/>
        <v>948843.25432951783</v>
      </c>
      <c r="AS1483" s="2">
        <f t="shared" ca="1" si="1469"/>
        <v>967905.67851049954</v>
      </c>
      <c r="AT1483" s="2">
        <f t="shared" ca="1" si="1470"/>
        <v>987205.30648438248</v>
      </c>
      <c r="AU1483" s="2">
        <f t="shared" ca="1" si="1471"/>
        <v>1006745.0899030042</v>
      </c>
      <c r="AV1483" s="2">
        <f t="shared" ca="1" si="1472"/>
        <v>2502763.7800077079</v>
      </c>
      <c r="AW1483" s="2">
        <f t="shared" ca="1" si="1473"/>
        <v>2694160.9829058349</v>
      </c>
      <c r="AX1483" s="2">
        <f t="shared" ca="1" si="1474"/>
        <v>2748336.0246455055</v>
      </c>
      <c r="AY1483" s="2">
        <f t="shared" ca="1" si="1475"/>
        <v>2803185.1949880868</v>
      </c>
      <c r="AZ1483" s="2">
        <f t="shared" ca="1" si="1476"/>
        <v>2858716.8824711544</v>
      </c>
      <c r="BA1483" s="2">
        <f t="shared" ca="1" si="1477"/>
        <v>57246037.716884196</v>
      </c>
      <c r="BB1483" s="2">
        <f t="shared" ca="1" si="1478"/>
        <v>1144920.754337684</v>
      </c>
      <c r="BC1483" s="2">
        <f t="shared" ca="1" si="1479"/>
        <v>31183526.893386438</v>
      </c>
      <c r="BD1483" s="2">
        <f t="shared" ca="1" si="1480"/>
        <v>-18149959.632321719</v>
      </c>
      <c r="BE1483" s="2">
        <f t="shared" ca="1" si="1481"/>
        <v>2502763.7800077079</v>
      </c>
      <c r="BF1483" s="2">
        <f t="shared" ca="1" si="1482"/>
        <v>2694160.9829058349</v>
      </c>
      <c r="BG1483" s="2">
        <f t="shared" ca="1" si="1483"/>
        <v>2748336.0246455055</v>
      </c>
      <c r="BH1483" s="2">
        <f t="shared" ca="1" si="1484"/>
        <v>2803185.1949880868</v>
      </c>
      <c r="BI1483" s="2">
        <f t="shared" ca="1" si="1485"/>
        <v>34042243.77585759</v>
      </c>
      <c r="BJ1483" s="2">
        <f t="shared" ca="1" si="1486"/>
        <v>0.23761976772303783</v>
      </c>
      <c r="BK1483" s="2">
        <f t="shared" ca="1" si="1487"/>
        <v>9286589.0388210006</v>
      </c>
    </row>
    <row r="1484" spans="1:63" x14ac:dyDescent="0.3">
      <c r="A1484" s="2">
        <v>1483</v>
      </c>
      <c r="B1484" s="2">
        <f t="shared" ca="1" si="1426"/>
        <v>0.86726622286463217</v>
      </c>
      <c r="C1484" s="2">
        <f t="shared" ca="1" si="1427"/>
        <v>7.4847645642322966</v>
      </c>
      <c r="D1484" s="2">
        <f t="shared" ca="1" si="1428"/>
        <v>0.61336081160620082</v>
      </c>
      <c r="E1484" s="2">
        <f t="shared" ca="1" si="1429"/>
        <v>7.6206375168409792</v>
      </c>
      <c r="F1484" s="2">
        <f t="shared" ca="1" si="1430"/>
        <v>0.28940420924070664</v>
      </c>
      <c r="G1484" s="2">
        <f t="shared" ca="1" si="1431"/>
        <v>2.3346217300829607E-2</v>
      </c>
      <c r="H1484" s="2">
        <f t="shared" ca="1" si="1432"/>
        <v>2.3346217300829607E-2</v>
      </c>
      <c r="I1484" s="2">
        <f t="shared" ca="1" si="1433"/>
        <v>3.2766126052573341E-2</v>
      </c>
      <c r="J1484" s="2">
        <f t="shared" ca="1" si="1434"/>
        <v>7.9195119059819429E-4</v>
      </c>
      <c r="K1484" s="2">
        <f t="shared" ca="1" si="1435"/>
        <v>7.9195119059819429E-4</v>
      </c>
      <c r="L1484" s="2">
        <f t="shared" ca="1" si="1436"/>
        <v>0.80293551983544231</v>
      </c>
      <c r="M1484" s="2">
        <f t="shared" ca="1" si="1437"/>
        <v>1.7043067875992714E-2</v>
      </c>
      <c r="N1484" s="2">
        <f t="shared" ca="1" si="1438"/>
        <v>1.7043067875992714E-2</v>
      </c>
      <c r="O1484" s="2">
        <f t="shared" si="1439"/>
        <v>6000000</v>
      </c>
      <c r="P1484" s="2">
        <f t="shared" ca="1" si="1440"/>
        <v>44908587.385393783</v>
      </c>
      <c r="Q1484" s="2">
        <f t="shared" ca="1" si="1441"/>
        <v>1122714.6846348445</v>
      </c>
      <c r="R1484" s="2">
        <f t="shared" ca="1" si="1442"/>
        <v>26945152.431236271</v>
      </c>
      <c r="S1484" s="2">
        <f t="shared" ca="1" si="1443"/>
        <v>17963434.954157513</v>
      </c>
      <c r="T1484" s="2">
        <f t="shared" ca="1" si="1444"/>
        <v>50852153.39379964</v>
      </c>
      <c r="U1484" s="2">
        <f t="shared" ca="1" si="1445"/>
        <v>52039358.817146406</v>
      </c>
      <c r="V1484" s="2">
        <f t="shared" ca="1" si="1446"/>
        <v>53254280.996287353</v>
      </c>
      <c r="W1484" s="2">
        <f t="shared" ca="1" si="1447"/>
        <v>54497567.012626119</v>
      </c>
      <c r="X1484" s="2">
        <f t="shared" ca="1" si="1448"/>
        <v>55769879.054469414</v>
      </c>
      <c r="Y1484" s="2">
        <f t="shared" ca="1" si="1449"/>
        <v>0.12039597559529909</v>
      </c>
      <c r="Z1484" s="2">
        <f t="shared" ca="1" si="1450"/>
        <v>0.12055436583341873</v>
      </c>
      <c r="AA1484" s="2">
        <f t="shared" ca="1" si="1451"/>
        <v>6122394.618968307</v>
      </c>
      <c r="AB1484" s="2">
        <f t="shared" ca="1" si="1452"/>
        <v>6273571.9005788127</v>
      </c>
      <c r="AC1484" s="2">
        <f t="shared" ca="1" si="1453"/>
        <v>6420036.0734221051</v>
      </c>
      <c r="AD1484" s="2">
        <f t="shared" ca="1" si="1454"/>
        <v>6569919.630671382</v>
      </c>
      <c r="AE1484" s="2">
        <f t="shared" ca="1" si="1455"/>
        <v>6723302.4020180227</v>
      </c>
      <c r="AF1484" s="2">
        <f t="shared" ca="1" si="1456"/>
        <v>1017043.0678759929</v>
      </c>
      <c r="AG1484" s="2">
        <f t="shared" ca="1" si="1457"/>
        <v>1040787.1763429281</v>
      </c>
      <c r="AH1484" s="2">
        <f t="shared" ca="1" si="1458"/>
        <v>1065085.6199257472</v>
      </c>
      <c r="AI1484" s="2">
        <f t="shared" ca="1" si="1459"/>
        <v>1089951.3402525224</v>
      </c>
      <c r="AJ1484" s="2">
        <f t="shared" ca="1" si="1460"/>
        <v>1115397.5810893883</v>
      </c>
      <c r="AK1484" s="2">
        <f t="shared" ca="1" si="1461"/>
        <v>0</v>
      </c>
      <c r="AL1484" s="2">
        <f t="shared" ca="1" si="1462"/>
        <v>11872.054233467654</v>
      </c>
      <c r="AM1484" s="2">
        <f t="shared" ca="1" si="1463"/>
        <v>12149.221791409478</v>
      </c>
      <c r="AN1484" s="2">
        <f t="shared" ca="1" si="1464"/>
        <v>12432.860163387657</v>
      </c>
      <c r="AO1484" s="2">
        <f t="shared" ca="1" si="1465"/>
        <v>12723.120418432951</v>
      </c>
      <c r="AP1484" s="2">
        <f t="shared" ca="1" si="1466"/>
        <v>2425063.7188112643</v>
      </c>
      <c r="AQ1484" s="2">
        <f t="shared" ca="1" si="1467"/>
        <v>696874.83639307308</v>
      </c>
      <c r="AR1484" s="2">
        <f t="shared" ca="1" si="1468"/>
        <v>730007.46141040139</v>
      </c>
      <c r="AS1484" s="2">
        <f t="shared" ca="1" si="1469"/>
        <v>761770.55101812421</v>
      </c>
      <c r="AT1484" s="2">
        <f t="shared" ca="1" si="1470"/>
        <v>794275.18861797475</v>
      </c>
      <c r="AU1484" s="2">
        <f t="shared" ca="1" si="1471"/>
        <v>827538.68655051617</v>
      </c>
      <c r="AV1484" s="2">
        <f t="shared" ca="1" si="1472"/>
        <v>1983412.9958879771</v>
      </c>
      <c r="AW1484" s="2">
        <f t="shared" ca="1" si="1473"/>
        <v>2065841.489780752</v>
      </c>
      <c r="AX1484" s="2">
        <f t="shared" ca="1" si="1474"/>
        <v>2155966.9618755588</v>
      </c>
      <c r="AY1484" s="2">
        <f t="shared" ca="1" si="1475"/>
        <v>2248196.5228262329</v>
      </c>
      <c r="AZ1484" s="2">
        <f t="shared" ca="1" si="1476"/>
        <v>2342579.2951484211</v>
      </c>
      <c r="BA1484" s="2">
        <f t="shared" ca="1" si="1477"/>
        <v>51235850.521885619</v>
      </c>
      <c r="BB1484" s="2">
        <f t="shared" ca="1" si="1478"/>
        <v>1024717.0104377124</v>
      </c>
      <c r="BC1484" s="2">
        <f t="shared" ca="1" si="1479"/>
        <v>23265981.080211636</v>
      </c>
      <c r="BD1484" s="2">
        <f t="shared" ca="1" si="1480"/>
        <v>-19586149.638792358</v>
      </c>
      <c r="BE1484" s="2">
        <f t="shared" ca="1" si="1481"/>
        <v>1983412.9958879771</v>
      </c>
      <c r="BF1484" s="2">
        <f t="shared" ca="1" si="1482"/>
        <v>2065841.489780752</v>
      </c>
      <c r="BG1484" s="2">
        <f t="shared" ca="1" si="1483"/>
        <v>2155966.9618755588</v>
      </c>
      <c r="BH1484" s="2">
        <f t="shared" ca="1" si="1484"/>
        <v>2248196.5228262329</v>
      </c>
      <c r="BI1484" s="2">
        <f t="shared" ca="1" si="1485"/>
        <v>25608560.375360057</v>
      </c>
      <c r="BJ1484" s="2">
        <f t="shared" ca="1" si="1486"/>
        <v>0.13762322179300801</v>
      </c>
      <c r="BK1484" s="2">
        <f t="shared" ca="1" si="1487"/>
        <v>1325960.1352007277</v>
      </c>
    </row>
    <row r="1485" spans="1:63" x14ac:dyDescent="0.3">
      <c r="A1485" s="2">
        <v>1484</v>
      </c>
      <c r="B1485" s="2">
        <f t="shared" ca="1" si="1426"/>
        <v>0.77693389990170447</v>
      </c>
      <c r="C1485" s="2">
        <f t="shared" ca="1" si="1427"/>
        <v>7.3320687159620448</v>
      </c>
      <c r="D1485" s="2">
        <f t="shared" ca="1" si="1428"/>
        <v>3.2133712714313867E-2</v>
      </c>
      <c r="E1485" s="2">
        <f t="shared" ca="1" si="1429"/>
        <v>6.7535102077404927</v>
      </c>
      <c r="F1485" s="2">
        <f t="shared" ca="1" si="1430"/>
        <v>0.50059600427153139</v>
      </c>
      <c r="G1485" s="2">
        <f t="shared" ca="1" si="1431"/>
        <v>4.0044818851436667E-2</v>
      </c>
      <c r="H1485" s="2">
        <f t="shared" ca="1" si="1432"/>
        <v>4.0044818851436667E-2</v>
      </c>
      <c r="I1485" s="2">
        <f t="shared" ca="1" si="1433"/>
        <v>0.92891862131896363</v>
      </c>
      <c r="J1485" s="2">
        <f t="shared" ca="1" si="1434"/>
        <v>1.7338922715629167E-2</v>
      </c>
      <c r="K1485" s="2">
        <f t="shared" ca="1" si="1435"/>
        <v>1.7338922715629167E-2</v>
      </c>
      <c r="L1485" s="2">
        <f t="shared" ca="1" si="1436"/>
        <v>0.83997048683910358</v>
      </c>
      <c r="M1485" s="2">
        <f t="shared" ca="1" si="1437"/>
        <v>1.9886731855970844E-2</v>
      </c>
      <c r="N1485" s="2">
        <f t="shared" ca="1" si="1438"/>
        <v>1.9886731855970844E-2</v>
      </c>
      <c r="O1485" s="2">
        <f t="shared" si="1439"/>
        <v>6000000</v>
      </c>
      <c r="P1485" s="2">
        <f t="shared" ca="1" si="1440"/>
        <v>43992412.295772269</v>
      </c>
      <c r="Q1485" s="2">
        <f t="shared" ca="1" si="1441"/>
        <v>1099810.3073943069</v>
      </c>
      <c r="R1485" s="2">
        <f t="shared" ca="1" si="1442"/>
        <v>26395447.377463359</v>
      </c>
      <c r="S1485" s="2">
        <f t="shared" ca="1" si="1443"/>
        <v>17596964.91830891</v>
      </c>
      <c r="T1485" s="2">
        <f t="shared" ca="1" si="1444"/>
        <v>50994336.592798539</v>
      </c>
      <c r="U1485" s="2">
        <f t="shared" ca="1" si="1445"/>
        <v>53036395.564106345</v>
      </c>
      <c r="V1485" s="2">
        <f t="shared" ca="1" si="1446"/>
        <v>55160228.417004123</v>
      </c>
      <c r="W1485" s="2">
        <f t="shared" ca="1" si="1447"/>
        <v>57369109.771766923</v>
      </c>
      <c r="X1485" s="2">
        <f t="shared" ca="1" si="1448"/>
        <v>59666445.380245514</v>
      </c>
      <c r="Y1485" s="2">
        <f t="shared" ca="1" si="1449"/>
        <v>0.12866946135781457</v>
      </c>
      <c r="Z1485" s="2">
        <f t="shared" ca="1" si="1450"/>
        <v>0.13213724590094042</v>
      </c>
      <c r="AA1485" s="2">
        <f t="shared" ca="1" si="1451"/>
        <v>6561413.8216944812</v>
      </c>
      <c r="AB1485" s="2">
        <f t="shared" ca="1" si="1452"/>
        <v>7008083.2423538659</v>
      </c>
      <c r="AC1485" s="2">
        <f t="shared" ca="1" si="1453"/>
        <v>7288720.6662897151</v>
      </c>
      <c r="AD1485" s="2">
        <f t="shared" ca="1" si="1454"/>
        <v>7580596.16503001</v>
      </c>
      <c r="AE1485" s="2">
        <f t="shared" ca="1" si="1455"/>
        <v>7884159.7652445324</v>
      </c>
      <c r="AF1485" s="2">
        <f t="shared" ca="1" si="1456"/>
        <v>1019886.7318559708</v>
      </c>
      <c r="AG1485" s="2">
        <f t="shared" ca="1" si="1457"/>
        <v>1060727.911282127</v>
      </c>
      <c r="AH1485" s="2">
        <f t="shared" ca="1" si="1458"/>
        <v>1103204.5683400824</v>
      </c>
      <c r="AI1485" s="2">
        <f t="shared" ca="1" si="1459"/>
        <v>1147382.1954353384</v>
      </c>
      <c r="AJ1485" s="2">
        <f t="shared" ca="1" si="1460"/>
        <v>1193328.9076049102</v>
      </c>
      <c r="AK1485" s="2">
        <f t="shared" ca="1" si="1461"/>
        <v>0</v>
      </c>
      <c r="AL1485" s="2">
        <f t="shared" ca="1" si="1462"/>
        <v>20420.589713078069</v>
      </c>
      <c r="AM1485" s="2">
        <f t="shared" ca="1" si="1463"/>
        <v>21238.328528977781</v>
      </c>
      <c r="AN1485" s="2">
        <f t="shared" ca="1" si="1464"/>
        <v>22088.813547628</v>
      </c>
      <c r="AO1485" s="2">
        <f t="shared" ca="1" si="1465"/>
        <v>22973.356084785908</v>
      </c>
      <c r="AP1485" s="2">
        <f t="shared" ca="1" si="1466"/>
        <v>2375590.2639717022</v>
      </c>
      <c r="AQ1485" s="2">
        <f t="shared" ca="1" si="1467"/>
        <v>823143.57472537016</v>
      </c>
      <c r="AR1485" s="2">
        <f t="shared" ca="1" si="1468"/>
        <v>928658.91744600958</v>
      </c>
      <c r="AS1485" s="2">
        <f t="shared" ca="1" si="1469"/>
        <v>990580.7168342619</v>
      </c>
      <c r="AT1485" s="2">
        <f t="shared" ca="1" si="1470"/>
        <v>1054982.163461972</v>
      </c>
      <c r="AU1485" s="2">
        <f t="shared" ca="1" si="1471"/>
        <v>1121962.5543536593</v>
      </c>
      <c r="AV1485" s="2">
        <f t="shared" ca="1" si="1472"/>
        <v>2342793.2511414383</v>
      </c>
      <c r="AW1485" s="2">
        <f t="shared" ca="1" si="1473"/>
        <v>2622685.5599409491</v>
      </c>
      <c r="AX1485" s="2">
        <f t="shared" ca="1" si="1474"/>
        <v>2798106.7886146903</v>
      </c>
      <c r="AY1485" s="2">
        <f t="shared" ca="1" si="1475"/>
        <v>2980552.7286133692</v>
      </c>
      <c r="AZ1485" s="2">
        <f t="shared" ca="1" si="1476"/>
        <v>3170304.6832294744</v>
      </c>
      <c r="BA1485" s="2">
        <f t="shared" ca="1" si="1477"/>
        <v>53245753.454035833</v>
      </c>
      <c r="BB1485" s="2">
        <f t="shared" ca="1" si="1478"/>
        <v>1064915.0690807167</v>
      </c>
      <c r="BC1485" s="2">
        <f t="shared" ca="1" si="1479"/>
        <v>25785391.007491756</v>
      </c>
      <c r="BD1485" s="2">
        <f t="shared" ca="1" si="1480"/>
        <v>-19196775.225703217</v>
      </c>
      <c r="BE1485" s="2">
        <f t="shared" ca="1" si="1481"/>
        <v>2342793.2511414383</v>
      </c>
      <c r="BF1485" s="2">
        <f t="shared" ca="1" si="1482"/>
        <v>2622685.5599409491</v>
      </c>
      <c r="BG1485" s="2">
        <f t="shared" ca="1" si="1483"/>
        <v>2798106.7886146903</v>
      </c>
      <c r="BH1485" s="2">
        <f t="shared" ca="1" si="1484"/>
        <v>2980552.7286133692</v>
      </c>
      <c r="BI1485" s="2">
        <f t="shared" ca="1" si="1485"/>
        <v>28955695.690721229</v>
      </c>
      <c r="BJ1485" s="2">
        <f t="shared" ca="1" si="1486"/>
        <v>0.18853611619420896</v>
      </c>
      <c r="BK1485" s="2">
        <f t="shared" ca="1" si="1487"/>
        <v>5301864.980954051</v>
      </c>
    </row>
    <row r="1486" spans="1:63" x14ac:dyDescent="0.3">
      <c r="A1486" s="2">
        <v>1485</v>
      </c>
      <c r="B1486" s="2">
        <f t="shared" ca="1" si="1426"/>
        <v>0.25306078856395053</v>
      </c>
      <c r="C1486" s="2">
        <f t="shared" ca="1" si="1427"/>
        <v>6.7114222214184069</v>
      </c>
      <c r="D1486" s="2">
        <f t="shared" ca="1" si="1428"/>
        <v>0.17259005695506779</v>
      </c>
      <c r="E1486" s="2">
        <f t="shared" ca="1" si="1429"/>
        <v>7.0875203093597152</v>
      </c>
      <c r="F1486" s="2">
        <f t="shared" ca="1" si="1430"/>
        <v>1.7626179627361904E-2</v>
      </c>
      <c r="G1486" s="2">
        <f t="shared" ca="1" si="1431"/>
        <v>-2.3163429654182589E-2</v>
      </c>
      <c r="H1486" s="2">
        <f t="shared" ca="1" si="1432"/>
        <v>-0.02</v>
      </c>
      <c r="I1486" s="2">
        <f t="shared" ca="1" si="1433"/>
        <v>0.56412390755986042</v>
      </c>
      <c r="J1486" s="2">
        <f t="shared" ca="1" si="1434"/>
        <v>1.0807166221486772E-2</v>
      </c>
      <c r="K1486" s="2">
        <f t="shared" ca="1" si="1435"/>
        <v>1.0807166221486772E-2</v>
      </c>
      <c r="L1486" s="2">
        <f t="shared" ca="1" si="1436"/>
        <v>0.62082060468444311</v>
      </c>
      <c r="M1486" s="2">
        <f t="shared" ca="1" si="1437"/>
        <v>6.1527340112244346E-3</v>
      </c>
      <c r="N1486" s="2">
        <f t="shared" ca="1" si="1438"/>
        <v>6.1527340112244346E-3</v>
      </c>
      <c r="O1486" s="2">
        <f t="shared" si="1439"/>
        <v>6000000</v>
      </c>
      <c r="P1486" s="2">
        <f t="shared" ca="1" si="1440"/>
        <v>40268533.328510441</v>
      </c>
      <c r="Q1486" s="2">
        <f t="shared" ca="1" si="1441"/>
        <v>1006713.3332127611</v>
      </c>
      <c r="R1486" s="2">
        <f t="shared" ca="1" si="1442"/>
        <v>24161119.997106265</v>
      </c>
      <c r="S1486" s="2">
        <f t="shared" ca="1" si="1443"/>
        <v>16107413.331404177</v>
      </c>
      <c r="T1486" s="2">
        <f t="shared" ca="1" si="1444"/>
        <v>50307636.700561218</v>
      </c>
      <c r="U1486" s="2">
        <f t="shared" ca="1" si="1445"/>
        <v>49301483.966549993</v>
      </c>
      <c r="V1486" s="2">
        <f t="shared" ca="1" si="1446"/>
        <v>48315454.287218995</v>
      </c>
      <c r="W1486" s="2">
        <f t="shared" ca="1" si="1447"/>
        <v>47349145.201474614</v>
      </c>
      <c r="X1486" s="2">
        <f t="shared" ca="1" si="1448"/>
        <v>46402162.297445118</v>
      </c>
      <c r="Y1486" s="2">
        <f t="shared" ca="1" si="1449"/>
        <v>0.12540358311074337</v>
      </c>
      <c r="Z1486" s="2">
        <f t="shared" ca="1" si="1450"/>
        <v>0.12756501635504072</v>
      </c>
      <c r="AA1486" s="2">
        <f t="shared" ca="1" si="1451"/>
        <v>6308757.9000839125</v>
      </c>
      <c r="AB1486" s="2">
        <f t="shared" ca="1" si="1452"/>
        <v>6289144.6085207276</v>
      </c>
      <c r="AC1486" s="2">
        <f t="shared" ca="1" si="1453"/>
        <v>6163361.7163503133</v>
      </c>
      <c r="AD1486" s="2">
        <f t="shared" ca="1" si="1454"/>
        <v>6040094.4820233071</v>
      </c>
      <c r="AE1486" s="2">
        <f t="shared" ca="1" si="1455"/>
        <v>5919292.5923828408</v>
      </c>
      <c r="AF1486" s="2">
        <f t="shared" ca="1" si="1456"/>
        <v>1006152.7340112244</v>
      </c>
      <c r="AG1486" s="2">
        <f t="shared" ca="1" si="1457"/>
        <v>986029.67933099985</v>
      </c>
      <c r="AH1486" s="2">
        <f t="shared" ca="1" si="1458"/>
        <v>966309.0857443799</v>
      </c>
      <c r="AI1486" s="2">
        <f t="shared" ca="1" si="1459"/>
        <v>946982.90402949229</v>
      </c>
      <c r="AJ1486" s="2">
        <f t="shared" ca="1" si="1460"/>
        <v>928043.24594890233</v>
      </c>
      <c r="AK1486" s="2">
        <f t="shared" ca="1" si="1461"/>
        <v>0</v>
      </c>
      <c r="AL1486" s="2">
        <f t="shared" ca="1" si="1462"/>
        <v>0</v>
      </c>
      <c r="AM1486" s="2">
        <f t="shared" ca="1" si="1463"/>
        <v>0</v>
      </c>
      <c r="AN1486" s="2">
        <f t="shared" ca="1" si="1464"/>
        <v>0</v>
      </c>
      <c r="AO1486" s="2">
        <f t="shared" ca="1" si="1465"/>
        <v>0</v>
      </c>
      <c r="AP1486" s="2">
        <f t="shared" ca="1" si="1466"/>
        <v>2174500.7997395638</v>
      </c>
      <c r="AQ1486" s="2">
        <f t="shared" ca="1" si="1467"/>
        <v>813307.13524661236</v>
      </c>
      <c r="AR1486" s="2">
        <f t="shared" ca="1" si="1468"/>
        <v>813439.67365704267</v>
      </c>
      <c r="AS1486" s="2">
        <f t="shared" ca="1" si="1469"/>
        <v>785863.4760252561</v>
      </c>
      <c r="AT1486" s="2">
        <f t="shared" ca="1" si="1470"/>
        <v>758838.80234610534</v>
      </c>
      <c r="AU1486" s="2">
        <f t="shared" ca="1" si="1471"/>
        <v>732354.62214053748</v>
      </c>
      <c r="AV1486" s="2">
        <f t="shared" ca="1" si="1472"/>
        <v>2314797.2310865121</v>
      </c>
      <c r="AW1486" s="2">
        <f t="shared" ca="1" si="1473"/>
        <v>2315174.4557931209</v>
      </c>
      <c r="AX1486" s="2">
        <f t="shared" ca="1" si="1474"/>
        <v>2236688.3548411131</v>
      </c>
      <c r="AY1486" s="2">
        <f t="shared" ca="1" si="1475"/>
        <v>2159771.9759081453</v>
      </c>
      <c r="AZ1486" s="2">
        <f t="shared" ca="1" si="1476"/>
        <v>2084393.9245538376</v>
      </c>
      <c r="BA1486" s="2">
        <f t="shared" ca="1" si="1477"/>
        <v>41953106.465555906</v>
      </c>
      <c r="BB1486" s="2">
        <f t="shared" ca="1" si="1478"/>
        <v>839062.12931111816</v>
      </c>
      <c r="BC1486" s="2">
        <f t="shared" ca="1" si="1479"/>
        <v>16952924.339138523</v>
      </c>
      <c r="BD1486" s="2">
        <f t="shared" ca="1" si="1480"/>
        <v>-17614126.664616939</v>
      </c>
      <c r="BE1486" s="2">
        <f t="shared" ca="1" si="1481"/>
        <v>2314797.2310865121</v>
      </c>
      <c r="BF1486" s="2">
        <f t="shared" ca="1" si="1482"/>
        <v>2315174.4557931209</v>
      </c>
      <c r="BG1486" s="2">
        <f t="shared" ca="1" si="1483"/>
        <v>2236688.3548411131</v>
      </c>
      <c r="BH1486" s="2">
        <f t="shared" ca="1" si="1484"/>
        <v>2159771.9759081453</v>
      </c>
      <c r="BI1486" s="2">
        <f t="shared" ca="1" si="1485"/>
        <v>19037318.26369236</v>
      </c>
      <c r="BJ1486" s="2">
        <f t="shared" ca="1" si="1486"/>
        <v>0.12104518424677346</v>
      </c>
      <c r="BK1486" s="2">
        <f t="shared" ca="1" si="1487"/>
        <v>65189.85013852641</v>
      </c>
    </row>
    <row r="1487" spans="1:63" x14ac:dyDescent="0.3">
      <c r="A1487" s="2">
        <v>1486</v>
      </c>
      <c r="B1487" s="2">
        <f t="shared" ca="1" si="1426"/>
        <v>0.88672813692630936</v>
      </c>
      <c r="C1487" s="2">
        <f t="shared" ca="1" si="1427"/>
        <v>7.5240339023130103</v>
      </c>
      <c r="D1487" s="2">
        <f t="shared" ca="1" si="1428"/>
        <v>0.93094483925863758</v>
      </c>
      <c r="E1487" s="2">
        <f t="shared" ca="1" si="1429"/>
        <v>8.1283680295201659</v>
      </c>
      <c r="F1487" s="2">
        <f t="shared" ca="1" si="1430"/>
        <v>6.7711207383425065E-2</v>
      </c>
      <c r="G1487" s="2">
        <f t="shared" ca="1" si="1431"/>
        <v>-4.79169306869133E-3</v>
      </c>
      <c r="H1487" s="2">
        <f t="shared" ca="1" si="1432"/>
        <v>-4.79169306869133E-3</v>
      </c>
      <c r="I1487" s="2">
        <f t="shared" ca="1" si="1433"/>
        <v>0.14311605836680452</v>
      </c>
      <c r="J1487" s="2">
        <f t="shared" ca="1" si="1434"/>
        <v>4.6678810999007236E-3</v>
      </c>
      <c r="K1487" s="2">
        <f t="shared" ca="1" si="1435"/>
        <v>4.6678810999007236E-3</v>
      </c>
      <c r="L1487" s="2">
        <f t="shared" ca="1" si="1436"/>
        <v>0.25189812362397312</v>
      </c>
      <c r="M1487" s="2">
        <f t="shared" ca="1" si="1437"/>
        <v>-1.337057152217805E-2</v>
      </c>
      <c r="N1487" s="2">
        <f t="shared" ca="1" si="1438"/>
        <v>-1.337057152217805E-2</v>
      </c>
      <c r="O1487" s="2">
        <f t="shared" si="1439"/>
        <v>6000000</v>
      </c>
      <c r="P1487" s="2">
        <f t="shared" ca="1" si="1440"/>
        <v>45144203.413878061</v>
      </c>
      <c r="Q1487" s="2">
        <f t="shared" ca="1" si="1441"/>
        <v>1128605.0853469516</v>
      </c>
      <c r="R1487" s="2">
        <f t="shared" ca="1" si="1442"/>
        <v>27086522.048326835</v>
      </c>
      <c r="S1487" s="2">
        <f t="shared" ca="1" si="1443"/>
        <v>18057681.365551226</v>
      </c>
      <c r="T1487" s="2">
        <f t="shared" ca="1" si="1444"/>
        <v>49331471.423891097</v>
      </c>
      <c r="U1487" s="2">
        <f t="shared" ca="1" si="1445"/>
        <v>49095090.154200897</v>
      </c>
      <c r="V1487" s="2">
        <f t="shared" ca="1" si="1446"/>
        <v>48859841.551002234</v>
      </c>
      <c r="W1487" s="2">
        <f t="shared" ca="1" si="1447"/>
        <v>48625720.186904944</v>
      </c>
      <c r="X1487" s="2">
        <f t="shared" ca="1" si="1448"/>
        <v>48392720.660525225</v>
      </c>
      <c r="Y1487" s="2">
        <f t="shared" ca="1" si="1449"/>
        <v>0.12233394054995035</v>
      </c>
      <c r="Z1487" s="2">
        <f t="shared" ca="1" si="1450"/>
        <v>0.1232675167699305</v>
      </c>
      <c r="AA1487" s="2">
        <f t="shared" ca="1" si="1451"/>
        <v>6034913.2924118685</v>
      </c>
      <c r="AB1487" s="2">
        <f t="shared" ca="1" si="1452"/>
        <v>6051829.8489042092</v>
      </c>
      <c r="AC1487" s="2">
        <f t="shared" ca="1" si="1453"/>
        <v>6022831.3377643153</v>
      </c>
      <c r="AD1487" s="2">
        <f t="shared" ca="1" si="1454"/>
        <v>5993971.7785892533</v>
      </c>
      <c r="AE1487" s="2">
        <f t="shared" ca="1" si="1455"/>
        <v>5965250.5055638552</v>
      </c>
      <c r="AF1487" s="2">
        <f t="shared" ca="1" si="1456"/>
        <v>986629.42847782199</v>
      </c>
      <c r="AG1487" s="2">
        <f t="shared" ca="1" si="1457"/>
        <v>981901.80308401794</v>
      </c>
      <c r="AH1487" s="2">
        <f t="shared" ca="1" si="1458"/>
        <v>977196.83102004474</v>
      </c>
      <c r="AI1487" s="2">
        <f t="shared" ca="1" si="1459"/>
        <v>972514.40373809892</v>
      </c>
      <c r="AJ1487" s="2">
        <f t="shared" ca="1" si="1460"/>
        <v>967854.41321050457</v>
      </c>
      <c r="AK1487" s="2">
        <f t="shared" ca="1" si="1461"/>
        <v>0</v>
      </c>
      <c r="AL1487" s="2">
        <f t="shared" ca="1" si="1462"/>
        <v>0</v>
      </c>
      <c r="AM1487" s="2">
        <f t="shared" ca="1" si="1463"/>
        <v>0</v>
      </c>
      <c r="AN1487" s="2">
        <f t="shared" ca="1" si="1464"/>
        <v>0</v>
      </c>
      <c r="AO1487" s="2">
        <f t="shared" ca="1" si="1465"/>
        <v>0</v>
      </c>
      <c r="AP1487" s="2">
        <f t="shared" ca="1" si="1466"/>
        <v>2437786.9843494152</v>
      </c>
      <c r="AQ1487" s="2">
        <f t="shared" ca="1" si="1467"/>
        <v>678729.18869200419</v>
      </c>
      <c r="AR1487" s="2">
        <f t="shared" ca="1" si="1468"/>
        <v>684356.67598240182</v>
      </c>
      <c r="AS1487" s="2">
        <f t="shared" ca="1" si="1469"/>
        <v>678040.35582266236</v>
      </c>
      <c r="AT1487" s="2">
        <f t="shared" ca="1" si="1470"/>
        <v>671754.30153045221</v>
      </c>
      <c r="AU1487" s="2">
        <f t="shared" ca="1" si="1471"/>
        <v>665498.36808102322</v>
      </c>
      <c r="AV1487" s="2">
        <f t="shared" ca="1" si="1472"/>
        <v>1931767.690892627</v>
      </c>
      <c r="AW1487" s="2">
        <f t="shared" ca="1" si="1473"/>
        <v>1947784.3854883746</v>
      </c>
      <c r="AX1487" s="2">
        <f t="shared" ca="1" si="1474"/>
        <v>1929807.1665721922</v>
      </c>
      <c r="AY1487" s="2">
        <f t="shared" ca="1" si="1475"/>
        <v>1911916.0889712865</v>
      </c>
      <c r="AZ1487" s="2">
        <f t="shared" ca="1" si="1476"/>
        <v>1894110.7399229123</v>
      </c>
      <c r="BA1487" s="2">
        <f t="shared" ca="1" si="1477"/>
        <v>48487751.497504249</v>
      </c>
      <c r="BB1487" s="2">
        <f t="shared" ca="1" si="1478"/>
        <v>969755.02995008498</v>
      </c>
      <c r="BC1487" s="2">
        <f t="shared" ca="1" si="1479"/>
        <v>20431474.419227328</v>
      </c>
      <c r="BD1487" s="2">
        <f t="shared" ca="1" si="1480"/>
        <v>-19686286.450898178</v>
      </c>
      <c r="BE1487" s="2">
        <f t="shared" ca="1" si="1481"/>
        <v>1931767.690892627</v>
      </c>
      <c r="BF1487" s="2">
        <f t="shared" ca="1" si="1482"/>
        <v>1947784.3854883746</v>
      </c>
      <c r="BG1487" s="2">
        <f t="shared" ca="1" si="1483"/>
        <v>1929807.1665721922</v>
      </c>
      <c r="BH1487" s="2">
        <f t="shared" ca="1" si="1484"/>
        <v>1911916.0889712865</v>
      </c>
      <c r="BI1487" s="2">
        <f t="shared" ca="1" si="1485"/>
        <v>22325585.159150239</v>
      </c>
      <c r="BJ1487" s="2">
        <f t="shared" ca="1" si="1486"/>
        <v>0.10394570843838014</v>
      </c>
      <c r="BK1487" s="2">
        <f t="shared" ca="1" si="1487"/>
        <v>-1151939.6317196339</v>
      </c>
    </row>
    <row r="1488" spans="1:63" x14ac:dyDescent="0.3">
      <c r="A1488" s="2">
        <v>1487</v>
      </c>
      <c r="B1488" s="2">
        <f t="shared" ca="1" si="1426"/>
        <v>0.89880397872966145</v>
      </c>
      <c r="C1488" s="2">
        <f t="shared" ca="1" si="1427"/>
        <v>7.5501199687242417</v>
      </c>
      <c r="D1488" s="2">
        <f t="shared" ca="1" si="1428"/>
        <v>0.75980586646563963</v>
      </c>
      <c r="E1488" s="2">
        <f t="shared" ca="1" si="1429"/>
        <v>7.8068995259930052</v>
      </c>
      <c r="F1488" s="2">
        <f t="shared" ca="1" si="1430"/>
        <v>0.34489057057303463</v>
      </c>
      <c r="G1488" s="2">
        <f t="shared" ca="1" si="1431"/>
        <v>2.8025437245151438E-2</v>
      </c>
      <c r="H1488" s="2">
        <f t="shared" ca="1" si="1432"/>
        <v>2.8025437245151438E-2</v>
      </c>
      <c r="I1488" s="2">
        <f t="shared" ca="1" si="1433"/>
        <v>0.16559411183300377</v>
      </c>
      <c r="J1488" s="2">
        <f t="shared" ca="1" si="1434"/>
        <v>5.1413835160625185E-3</v>
      </c>
      <c r="K1488" s="2">
        <f t="shared" ca="1" si="1435"/>
        <v>5.1413835160625185E-3</v>
      </c>
      <c r="L1488" s="2">
        <f t="shared" ca="1" si="1436"/>
        <v>0.20810421583058802</v>
      </c>
      <c r="M1488" s="2">
        <f t="shared" ca="1" si="1437"/>
        <v>-1.6260335806530125E-2</v>
      </c>
      <c r="N1488" s="2">
        <f t="shared" ca="1" si="1438"/>
        <v>-1.6260335806530125E-2</v>
      </c>
      <c r="O1488" s="2">
        <f t="shared" si="1439"/>
        <v>6000000</v>
      </c>
      <c r="P1488" s="2">
        <f t="shared" ca="1" si="1440"/>
        <v>45300719.812345453</v>
      </c>
      <c r="Q1488" s="2">
        <f t="shared" ca="1" si="1441"/>
        <v>1132517.9953086365</v>
      </c>
      <c r="R1488" s="2">
        <f t="shared" ca="1" si="1442"/>
        <v>27180431.887407269</v>
      </c>
      <c r="S1488" s="2">
        <f t="shared" ca="1" si="1443"/>
        <v>18120287.924938183</v>
      </c>
      <c r="T1488" s="2">
        <f t="shared" ca="1" si="1444"/>
        <v>49186983.209673494</v>
      </c>
      <c r="U1488" s="2">
        <f t="shared" ca="1" si="1445"/>
        <v>50565469.920894511</v>
      </c>
      <c r="V1488" s="2">
        <f t="shared" ca="1" si="1446"/>
        <v>51982589.324934132</v>
      </c>
      <c r="W1488" s="2">
        <f t="shared" ca="1" si="1447"/>
        <v>53439424.119900547</v>
      </c>
      <c r="X1488" s="2">
        <f t="shared" ca="1" si="1448"/>
        <v>54937087.346989848</v>
      </c>
      <c r="Y1488" s="2">
        <f t="shared" ca="1" si="1449"/>
        <v>0.12257069175803126</v>
      </c>
      <c r="Z1488" s="2">
        <f t="shared" ca="1" si="1450"/>
        <v>0.12359896846124376</v>
      </c>
      <c r="AA1488" s="2">
        <f t="shared" ca="1" si="1451"/>
        <v>6028882.5575003484</v>
      </c>
      <c r="AB1488" s="2">
        <f t="shared" ca="1" si="1452"/>
        <v>6249839.9219806101</v>
      </c>
      <c r="AC1488" s="2">
        <f t="shared" ca="1" si="1453"/>
        <v>6424994.4185063206</v>
      </c>
      <c r="AD1488" s="2">
        <f t="shared" ca="1" si="1454"/>
        <v>6605057.6963826166</v>
      </c>
      <c r="AE1488" s="2">
        <f t="shared" ca="1" si="1455"/>
        <v>6790167.3263531914</v>
      </c>
      <c r="AF1488" s="2">
        <f t="shared" ca="1" si="1456"/>
        <v>983739.66419346991</v>
      </c>
      <c r="AG1488" s="2">
        <f t="shared" ca="1" si="1457"/>
        <v>1011309.3984178902</v>
      </c>
      <c r="AH1488" s="2">
        <f t="shared" ca="1" si="1458"/>
        <v>1039651.7864986827</v>
      </c>
      <c r="AI1488" s="2">
        <f t="shared" ca="1" si="1459"/>
        <v>1068788.482398011</v>
      </c>
      <c r="AJ1488" s="2">
        <f t="shared" ca="1" si="1460"/>
        <v>1098741.746939797</v>
      </c>
      <c r="AK1488" s="2">
        <f t="shared" ca="1" si="1461"/>
        <v>0</v>
      </c>
      <c r="AL1488" s="2">
        <f t="shared" ca="1" si="1462"/>
        <v>13784.86711221017</v>
      </c>
      <c r="AM1488" s="2">
        <f t="shared" ca="1" si="1463"/>
        <v>14171.194040396214</v>
      </c>
      <c r="AN1488" s="2">
        <f t="shared" ca="1" si="1464"/>
        <v>14568.347949664147</v>
      </c>
      <c r="AO1488" s="2">
        <f t="shared" ca="1" si="1465"/>
        <v>14976.632270893007</v>
      </c>
      <c r="AP1488" s="2">
        <f t="shared" ca="1" si="1466"/>
        <v>2446238.8698666543</v>
      </c>
      <c r="AQ1488" s="2">
        <f t="shared" ca="1" si="1467"/>
        <v>675715.04609445832</v>
      </c>
      <c r="AR1488" s="2">
        <f t="shared" ca="1" si="1468"/>
        <v>725995.82996097708</v>
      </c>
      <c r="AS1488" s="2">
        <f t="shared" ca="1" si="1469"/>
        <v>764166.97815665579</v>
      </c>
      <c r="AT1488" s="2">
        <f t="shared" ca="1" si="1470"/>
        <v>803407.88947066746</v>
      </c>
      <c r="AU1488" s="2">
        <f t="shared" ca="1" si="1471"/>
        <v>843748.54448215244</v>
      </c>
      <c r="AV1488" s="2">
        <f t="shared" ca="1" si="1472"/>
        <v>1923188.9773457656</v>
      </c>
      <c r="AW1488" s="2">
        <f t="shared" ca="1" si="1473"/>
        <v>2052510.956622879</v>
      </c>
      <c r="AX1488" s="2">
        <f t="shared" ca="1" si="1474"/>
        <v>2160765.5899439314</v>
      </c>
      <c r="AY1488" s="2">
        <f t="shared" ca="1" si="1475"/>
        <v>2272054.1066976199</v>
      </c>
      <c r="AZ1488" s="2">
        <f t="shared" ca="1" si="1476"/>
        <v>2386461.5327936951</v>
      </c>
      <c r="BA1488" s="2">
        <f t="shared" ca="1" si="1477"/>
        <v>53010154.081519924</v>
      </c>
      <c r="BB1488" s="2">
        <f t="shared" ca="1" si="1478"/>
        <v>1060203.0816303985</v>
      </c>
      <c r="BC1488" s="2">
        <f t="shared" ca="1" si="1479"/>
        <v>24769519.112482257</v>
      </c>
      <c r="BD1488" s="2">
        <f t="shared" ca="1" si="1480"/>
        <v>-19752805.920246821</v>
      </c>
      <c r="BE1488" s="2">
        <f t="shared" ca="1" si="1481"/>
        <v>1923188.9773457656</v>
      </c>
      <c r="BF1488" s="2">
        <f t="shared" ca="1" si="1482"/>
        <v>2052510.956622879</v>
      </c>
      <c r="BG1488" s="2">
        <f t="shared" ca="1" si="1483"/>
        <v>2160765.5899439314</v>
      </c>
      <c r="BH1488" s="2">
        <f t="shared" ca="1" si="1484"/>
        <v>2272054.1066976199</v>
      </c>
      <c r="BI1488" s="2">
        <f t="shared" ca="1" si="1485"/>
        <v>27155980.64527595</v>
      </c>
      <c r="BJ1488" s="2">
        <f t="shared" ca="1" si="1486"/>
        <v>0.14572107396421985</v>
      </c>
      <c r="BK1488" s="2">
        <f t="shared" ca="1" si="1487"/>
        <v>1991530.7019679397</v>
      </c>
    </row>
    <row r="1489" spans="1:63" x14ac:dyDescent="0.3">
      <c r="A1489" s="2">
        <v>1488</v>
      </c>
      <c r="B1489" s="2">
        <f t="shared" ca="1" si="1426"/>
        <v>0.19501252166662808</v>
      </c>
      <c r="C1489" s="2">
        <f t="shared" ca="1" si="1427"/>
        <v>6.6245198502315645</v>
      </c>
      <c r="D1489" s="2">
        <f t="shared" ca="1" si="1428"/>
        <v>0.20696030257346976</v>
      </c>
      <c r="E1489" s="2">
        <f t="shared" ca="1" si="1429"/>
        <v>7.1433666179923696</v>
      </c>
      <c r="F1489" s="2">
        <f t="shared" ca="1" si="1430"/>
        <v>0.19927124120526118</v>
      </c>
      <c r="G1489" s="2">
        <f t="shared" ca="1" si="1431"/>
        <v>1.4673185317664868E-2</v>
      </c>
      <c r="H1489" s="2">
        <f t="shared" ca="1" si="1432"/>
        <v>1.4673185317664868E-2</v>
      </c>
      <c r="I1489" s="2">
        <f t="shared" ca="1" si="1433"/>
        <v>0.25622741049357733</v>
      </c>
      <c r="J1489" s="2">
        <f t="shared" ca="1" si="1434"/>
        <v>6.7248995624540741E-3</v>
      </c>
      <c r="K1489" s="2">
        <f t="shared" ca="1" si="1435"/>
        <v>6.7248995624540741E-3</v>
      </c>
      <c r="L1489" s="2">
        <f t="shared" ca="1" si="1436"/>
        <v>0.43680230111408469</v>
      </c>
      <c r="M1489" s="2">
        <f t="shared" ca="1" si="1437"/>
        <v>-3.1816315544912362E-3</v>
      </c>
      <c r="N1489" s="2">
        <f t="shared" ca="1" si="1438"/>
        <v>-3.1816315544912362E-3</v>
      </c>
      <c r="O1489" s="2">
        <f t="shared" si="1439"/>
        <v>6000000</v>
      </c>
      <c r="P1489" s="2">
        <f t="shared" ca="1" si="1440"/>
        <v>39747119.101389386</v>
      </c>
      <c r="Q1489" s="2">
        <f t="shared" ca="1" si="1441"/>
        <v>993677.97753473464</v>
      </c>
      <c r="R1489" s="2">
        <f t="shared" ca="1" si="1442"/>
        <v>23848271.460833631</v>
      </c>
      <c r="S1489" s="2">
        <f t="shared" ca="1" si="1443"/>
        <v>15898847.640555754</v>
      </c>
      <c r="T1489" s="2">
        <f t="shared" ca="1" si="1444"/>
        <v>49840918.422275439</v>
      </c>
      <c r="U1489" s="2">
        <f t="shared" ca="1" si="1445"/>
        <v>50572243.454688109</v>
      </c>
      <c r="V1489" s="2">
        <f t="shared" ca="1" si="1446"/>
        <v>51314299.354828812</v>
      </c>
      <c r="W1489" s="2">
        <f t="shared" ca="1" si="1447"/>
        <v>52067243.578708351</v>
      </c>
      <c r="X1489" s="2">
        <f t="shared" ca="1" si="1448"/>
        <v>52831235.89271874</v>
      </c>
      <c r="Y1489" s="2">
        <f t="shared" ca="1" si="1449"/>
        <v>0.12336244978122703</v>
      </c>
      <c r="Z1489" s="2">
        <f t="shared" ca="1" si="1450"/>
        <v>0.12470742969371784</v>
      </c>
      <c r="AA1489" s="2">
        <f t="shared" ca="1" si="1451"/>
        <v>6148497.7959181871</v>
      </c>
      <c r="AB1489" s="2">
        <f t="shared" ca="1" si="1452"/>
        <v>6306734.4950791001</v>
      </c>
      <c r="AC1489" s="2">
        <f t="shared" ca="1" si="1453"/>
        <v>6399274.3790747048</v>
      </c>
      <c r="AD1489" s="2">
        <f t="shared" ca="1" si="1454"/>
        <v>6493172.1179374531</v>
      </c>
      <c r="AE1489" s="2">
        <f t="shared" ca="1" si="1455"/>
        <v>6588447.6357234446</v>
      </c>
      <c r="AF1489" s="2">
        <f t="shared" ca="1" si="1456"/>
        <v>996818.36844550876</v>
      </c>
      <c r="AG1489" s="2">
        <f t="shared" ca="1" si="1457"/>
        <v>1011444.8690937622</v>
      </c>
      <c r="AH1489" s="2">
        <f t="shared" ca="1" si="1458"/>
        <v>1026285.9870965763</v>
      </c>
      <c r="AI1489" s="2">
        <f t="shared" ca="1" si="1459"/>
        <v>1041344.871574167</v>
      </c>
      <c r="AJ1489" s="2">
        <f t="shared" ca="1" si="1460"/>
        <v>1056624.7178543748</v>
      </c>
      <c r="AK1489" s="2">
        <f t="shared" ca="1" si="1461"/>
        <v>0</v>
      </c>
      <c r="AL1489" s="2">
        <f t="shared" ca="1" si="1462"/>
        <v>7313.2503241267059</v>
      </c>
      <c r="AM1489" s="2">
        <f t="shared" ca="1" si="1463"/>
        <v>7420.5590014070276</v>
      </c>
      <c r="AN1489" s="2">
        <f t="shared" ca="1" si="1464"/>
        <v>7529.4422387953846</v>
      </c>
      <c r="AO1489" s="2">
        <f t="shared" ca="1" si="1465"/>
        <v>7639.9231401038915</v>
      </c>
      <c r="AP1489" s="2">
        <f t="shared" ca="1" si="1466"/>
        <v>2146344.4314750265</v>
      </c>
      <c r="AQ1489" s="2">
        <f t="shared" ca="1" si="1467"/>
        <v>781387.09895938938</v>
      </c>
      <c r="AR1489" s="2">
        <f t="shared" ca="1" si="1468"/>
        <v>818725.75057268084</v>
      </c>
      <c r="AS1489" s="2">
        <f t="shared" ca="1" si="1469"/>
        <v>838927.42973080662</v>
      </c>
      <c r="AT1489" s="2">
        <f t="shared" ca="1" si="1470"/>
        <v>859425.53187094745</v>
      </c>
      <c r="AU1489" s="2">
        <f t="shared" ca="1" si="1471"/>
        <v>880224.40646245121</v>
      </c>
      <c r="AV1489" s="2">
        <f t="shared" ca="1" si="1472"/>
        <v>2223947.8970382623</v>
      </c>
      <c r="AW1489" s="2">
        <f t="shared" ca="1" si="1473"/>
        <v>2322906.1936135041</v>
      </c>
      <c r="AX1489" s="2">
        <f t="shared" ca="1" si="1474"/>
        <v>2380295.9717708891</v>
      </c>
      <c r="AY1489" s="2">
        <f t="shared" ca="1" si="1475"/>
        <v>2438527.8407785166</v>
      </c>
      <c r="AZ1489" s="2">
        <f t="shared" ca="1" si="1476"/>
        <v>2497614.1567914877</v>
      </c>
      <c r="BA1489" s="2">
        <f t="shared" ca="1" si="1477"/>
        <v>47063696.905417606</v>
      </c>
      <c r="BB1489" s="2">
        <f t="shared" ca="1" si="1478"/>
        <v>941273.93810835213</v>
      </c>
      <c r="BC1489" s="2">
        <f t="shared" ca="1" si="1479"/>
        <v>22274151.506475624</v>
      </c>
      <c r="BD1489" s="2">
        <f t="shared" ca="1" si="1480"/>
        <v>-17392525.618090488</v>
      </c>
      <c r="BE1489" s="2">
        <f t="shared" ca="1" si="1481"/>
        <v>2223947.8970382623</v>
      </c>
      <c r="BF1489" s="2">
        <f t="shared" ca="1" si="1482"/>
        <v>2322906.1936135041</v>
      </c>
      <c r="BG1489" s="2">
        <f t="shared" ca="1" si="1483"/>
        <v>2380295.9717708891</v>
      </c>
      <c r="BH1489" s="2">
        <f t="shared" ca="1" si="1484"/>
        <v>2438527.8407785166</v>
      </c>
      <c r="BI1489" s="2">
        <f t="shared" ca="1" si="1485"/>
        <v>24771765.663267113</v>
      </c>
      <c r="BJ1489" s="2">
        <f t="shared" ca="1" si="1486"/>
        <v>0.17482609540753069</v>
      </c>
      <c r="BK1489" s="2">
        <f t="shared" ca="1" si="1487"/>
        <v>3745090.0278664827</v>
      </c>
    </row>
    <row r="1490" spans="1:63" x14ac:dyDescent="0.3">
      <c r="A1490" s="2">
        <v>1489</v>
      </c>
      <c r="B1490" s="2">
        <f t="shared" ca="1" si="1426"/>
        <v>0.32458984065098062</v>
      </c>
      <c r="C1490" s="2">
        <f t="shared" ca="1" si="1427"/>
        <v>6.8057168741573939</v>
      </c>
      <c r="D1490" s="2">
        <f t="shared" ca="1" si="1428"/>
        <v>0.2974299499812334</v>
      </c>
      <c r="E1490" s="2">
        <f t="shared" ca="1" si="1429"/>
        <v>7.2712716123146679</v>
      </c>
      <c r="F1490" s="2">
        <f t="shared" ca="1" si="1430"/>
        <v>0.59320899032865182</v>
      </c>
      <c r="G1490" s="2">
        <f t="shared" ca="1" si="1431"/>
        <v>4.7074226111757878E-2</v>
      </c>
      <c r="H1490" s="2">
        <f t="shared" ca="1" si="1432"/>
        <v>4.7074226111757878E-2</v>
      </c>
      <c r="I1490" s="2">
        <f t="shared" ca="1" si="1433"/>
        <v>0.35880577942182579</v>
      </c>
      <c r="J1490" s="2">
        <f t="shared" ca="1" si="1434"/>
        <v>8.1917363744609048E-3</v>
      </c>
      <c r="K1490" s="2">
        <f t="shared" ca="1" si="1435"/>
        <v>8.1917363744609048E-3</v>
      </c>
      <c r="L1490" s="2">
        <f t="shared" ca="1" si="1436"/>
        <v>0.35121776543084204</v>
      </c>
      <c r="M1490" s="2">
        <f t="shared" ca="1" si="1437"/>
        <v>-7.6406965746285129E-3</v>
      </c>
      <c r="N1490" s="2">
        <f t="shared" ca="1" si="1438"/>
        <v>-7.6406965746285129E-3</v>
      </c>
      <c r="O1490" s="2">
        <f t="shared" si="1439"/>
        <v>6000000</v>
      </c>
      <c r="P1490" s="2">
        <f t="shared" ca="1" si="1440"/>
        <v>40834301.244944364</v>
      </c>
      <c r="Q1490" s="2">
        <f t="shared" ca="1" si="1441"/>
        <v>1020857.5311236092</v>
      </c>
      <c r="R1490" s="2">
        <f t="shared" ca="1" si="1442"/>
        <v>24500580.746966619</v>
      </c>
      <c r="S1490" s="2">
        <f t="shared" ca="1" si="1443"/>
        <v>16333720.497977747</v>
      </c>
      <c r="T1490" s="2">
        <f t="shared" ca="1" si="1444"/>
        <v>49617965.171268575</v>
      </c>
      <c r="U1490" s="2">
        <f t="shared" ca="1" si="1445"/>
        <v>51953692.482946195</v>
      </c>
      <c r="V1490" s="2">
        <f t="shared" ca="1" si="1446"/>
        <v>54399372.350229137</v>
      </c>
      <c r="W1490" s="2">
        <f t="shared" ca="1" si="1447"/>
        <v>56960180.704581529</v>
      </c>
      <c r="X1490" s="2">
        <f t="shared" ca="1" si="1448"/>
        <v>59641537.130435586</v>
      </c>
      <c r="Y1490" s="2">
        <f t="shared" ca="1" si="1449"/>
        <v>0.12409586818723045</v>
      </c>
      <c r="Z1490" s="2">
        <f t="shared" ca="1" si="1450"/>
        <v>0.12573421546212263</v>
      </c>
      <c r="AA1490" s="2">
        <f t="shared" ca="1" si="1451"/>
        <v>6157384.4656123361</v>
      </c>
      <c r="AB1490" s="2">
        <f t="shared" ca="1" si="1452"/>
        <v>6532356.7647036174</v>
      </c>
      <c r="AC1490" s="2">
        <f t="shared" ca="1" si="1453"/>
        <v>6839862.4040879468</v>
      </c>
      <c r="AD1490" s="2">
        <f t="shared" ca="1" si="1454"/>
        <v>7161843.6334712943</v>
      </c>
      <c r="AE1490" s="2">
        <f t="shared" ca="1" si="1455"/>
        <v>7498981.8800503751</v>
      </c>
      <c r="AF1490" s="2">
        <f t="shared" ca="1" si="1456"/>
        <v>992359.30342537153</v>
      </c>
      <c r="AG1490" s="2">
        <f t="shared" ca="1" si="1457"/>
        <v>1039073.8496589239</v>
      </c>
      <c r="AH1490" s="2">
        <f t="shared" ca="1" si="1458"/>
        <v>1087987.4470045827</v>
      </c>
      <c r="AI1490" s="2">
        <f t="shared" ca="1" si="1459"/>
        <v>1139203.6140916306</v>
      </c>
      <c r="AJ1490" s="2">
        <f t="shared" ca="1" si="1460"/>
        <v>1192830.7426087118</v>
      </c>
      <c r="AK1490" s="2">
        <f t="shared" ca="1" si="1461"/>
        <v>0</v>
      </c>
      <c r="AL1490" s="2">
        <f t="shared" ca="1" si="1462"/>
        <v>23357.273116776199</v>
      </c>
      <c r="AM1490" s="2">
        <f t="shared" ca="1" si="1463"/>
        <v>24456.79867282942</v>
      </c>
      <c r="AN1490" s="2">
        <f t="shared" ca="1" si="1464"/>
        <v>25608.083543523924</v>
      </c>
      <c r="AO1490" s="2">
        <f t="shared" ca="1" si="1465"/>
        <v>26813.564258540573</v>
      </c>
      <c r="AP1490" s="2">
        <f t="shared" ca="1" si="1466"/>
        <v>2205052.2672269954</v>
      </c>
      <c r="AQ1490" s="2">
        <f t="shared" ca="1" si="1467"/>
        <v>769592.95268959191</v>
      </c>
      <c r="AR1490" s="2">
        <f t="shared" ca="1" si="1468"/>
        <v>854939.96843260142</v>
      </c>
      <c r="AS1490" s="2">
        <f t="shared" ca="1" si="1469"/>
        <v>922173.89936265582</v>
      </c>
      <c r="AT1490" s="2">
        <f t="shared" ca="1" si="1470"/>
        <v>992572.81555969396</v>
      </c>
      <c r="AU1490" s="2">
        <f t="shared" ca="1" si="1471"/>
        <v>1066285.7062558136</v>
      </c>
      <c r="AV1490" s="2">
        <f t="shared" ca="1" si="1472"/>
        <v>2190379.9422703772</v>
      </c>
      <c r="AW1490" s="2">
        <f t="shared" ca="1" si="1473"/>
        <v>2409933.4062683205</v>
      </c>
      <c r="AX1490" s="2">
        <f t="shared" ca="1" si="1474"/>
        <v>2600191.9918208835</v>
      </c>
      <c r="AY1490" s="2">
        <f t="shared" ca="1" si="1475"/>
        <v>2799406.853049451</v>
      </c>
      <c r="AZ1490" s="2">
        <f t="shared" ca="1" si="1476"/>
        <v>3007999.5997003135</v>
      </c>
      <c r="BA1490" s="2">
        <f t="shared" ca="1" si="1477"/>
        <v>54527134.065672368</v>
      </c>
      <c r="BB1490" s="2">
        <f t="shared" ca="1" si="1478"/>
        <v>1090542.6813134474</v>
      </c>
      <c r="BC1490" s="2">
        <f t="shared" ca="1" si="1479"/>
        <v>28936010.637392301</v>
      </c>
      <c r="BD1490" s="2">
        <f t="shared" ca="1" si="1480"/>
        <v>-17854578.029101357</v>
      </c>
      <c r="BE1490" s="2">
        <f t="shared" ca="1" si="1481"/>
        <v>2190379.9422703772</v>
      </c>
      <c r="BF1490" s="2">
        <f t="shared" ca="1" si="1482"/>
        <v>2409933.4062683205</v>
      </c>
      <c r="BG1490" s="2">
        <f t="shared" ca="1" si="1483"/>
        <v>2600191.9918208835</v>
      </c>
      <c r="BH1490" s="2">
        <f t="shared" ca="1" si="1484"/>
        <v>2799406.853049451</v>
      </c>
      <c r="BI1490" s="2">
        <f t="shared" ca="1" si="1485"/>
        <v>31944010.237092614</v>
      </c>
      <c r="BJ1490" s="2">
        <f t="shared" ca="1" si="1486"/>
        <v>0.22124565590604539</v>
      </c>
      <c r="BK1490" s="2">
        <f t="shared" ca="1" si="1487"/>
        <v>7778030.7568087652</v>
      </c>
    </row>
    <row r="1491" spans="1:63" x14ac:dyDescent="0.3">
      <c r="A1491" s="2">
        <v>1490</v>
      </c>
      <c r="B1491" s="2">
        <f t="shared" ca="1" si="1426"/>
        <v>0.99051300542939957</v>
      </c>
      <c r="C1491" s="2">
        <f t="shared" ca="1" si="1427"/>
        <v>7.8622538960942965</v>
      </c>
      <c r="D1491" s="2">
        <f t="shared" ca="1" si="1428"/>
        <v>1.8847516997005376E-2</v>
      </c>
      <c r="E1491" s="2">
        <f t="shared" ca="1" si="1429"/>
        <v>6.6941520898522873</v>
      </c>
      <c r="F1491" s="2">
        <f t="shared" ca="1" si="1430"/>
        <v>0.4988537034395385</v>
      </c>
      <c r="G1491" s="2">
        <f t="shared" ca="1" si="1431"/>
        <v>3.9913799700300123E-2</v>
      </c>
      <c r="H1491" s="2">
        <f t="shared" ca="1" si="1432"/>
        <v>3.9913799700300123E-2</v>
      </c>
      <c r="I1491" s="2">
        <f t="shared" ca="1" si="1433"/>
        <v>5.3509479049507203E-4</v>
      </c>
      <c r="J1491" s="2">
        <f t="shared" ca="1" si="1434"/>
        <v>-6.3569665758451428E-3</v>
      </c>
      <c r="K1491" s="2">
        <f t="shared" ca="1" si="1435"/>
        <v>0</v>
      </c>
      <c r="L1491" s="2">
        <f t="shared" ca="1" si="1436"/>
        <v>0.15690260148209478</v>
      </c>
      <c r="M1491" s="2">
        <f t="shared" ca="1" si="1437"/>
        <v>-2.0145393310326255E-2</v>
      </c>
      <c r="N1491" s="2">
        <f t="shared" ca="1" si="1438"/>
        <v>-2.0145393310326255E-2</v>
      </c>
      <c r="O1491" s="2">
        <f t="shared" si="1439"/>
        <v>6000000</v>
      </c>
      <c r="P1491" s="2">
        <f t="shared" ca="1" si="1440"/>
        <v>47173523.376565777</v>
      </c>
      <c r="Q1491" s="2">
        <f t="shared" ca="1" si="1441"/>
        <v>1179338.0844141445</v>
      </c>
      <c r="R1491" s="2">
        <f t="shared" ca="1" si="1442"/>
        <v>28304114.025939465</v>
      </c>
      <c r="S1491" s="2">
        <f t="shared" ca="1" si="1443"/>
        <v>18869409.350626312</v>
      </c>
      <c r="T1491" s="2">
        <f t="shared" ca="1" si="1444"/>
        <v>48992730.334483683</v>
      </c>
      <c r="U1491" s="2">
        <f t="shared" ca="1" si="1445"/>
        <v>50948216.359825082</v>
      </c>
      <c r="V1491" s="2">
        <f t="shared" ca="1" si="1446"/>
        <v>52981753.262698695</v>
      </c>
      <c r="W1491" s="2">
        <f t="shared" ca="1" si="1447"/>
        <v>55096456.350196771</v>
      </c>
      <c r="X1491" s="2">
        <f t="shared" ca="1" si="1448"/>
        <v>57295565.273154847</v>
      </c>
      <c r="Y1491" s="2">
        <f t="shared" ca="1" si="1449"/>
        <v>0.12</v>
      </c>
      <c r="Z1491" s="2">
        <f t="shared" ca="1" si="1450"/>
        <v>0.12</v>
      </c>
      <c r="AA1491" s="2">
        <f t="shared" ca="1" si="1451"/>
        <v>5879127.6401380422</v>
      </c>
      <c r="AB1491" s="2">
        <f t="shared" ca="1" si="1452"/>
        <v>6113785.96317901</v>
      </c>
      <c r="AC1491" s="2">
        <f t="shared" ca="1" si="1453"/>
        <v>6357810.3915238436</v>
      </c>
      <c r="AD1491" s="2">
        <f t="shared" ca="1" si="1454"/>
        <v>6611574.7620236119</v>
      </c>
      <c r="AE1491" s="2">
        <f t="shared" ca="1" si="1455"/>
        <v>6875467.8327785814</v>
      </c>
      <c r="AF1491" s="2">
        <f t="shared" ca="1" si="1456"/>
        <v>979854.60668967373</v>
      </c>
      <c r="AG1491" s="2">
        <f t="shared" ca="1" si="1457"/>
        <v>1018964.3271965017</v>
      </c>
      <c r="AH1491" s="2">
        <f t="shared" ca="1" si="1458"/>
        <v>1059635.0652539739</v>
      </c>
      <c r="AI1491" s="2">
        <f t="shared" ca="1" si="1459"/>
        <v>1101929.1270039354</v>
      </c>
      <c r="AJ1491" s="2">
        <f t="shared" ca="1" si="1460"/>
        <v>1145911.3054630971</v>
      </c>
      <c r="AK1491" s="2">
        <f t="shared" ca="1" si="1461"/>
        <v>0</v>
      </c>
      <c r="AL1491" s="2">
        <f t="shared" ca="1" si="1462"/>
        <v>19554.86025341399</v>
      </c>
      <c r="AM1491" s="2">
        <f t="shared" ca="1" si="1463"/>
        <v>20335.369028736131</v>
      </c>
      <c r="AN1491" s="2">
        <f t="shared" ca="1" si="1464"/>
        <v>21147.030874980763</v>
      </c>
      <c r="AO1491" s="2">
        <f t="shared" ca="1" si="1465"/>
        <v>21991.089229580761</v>
      </c>
      <c r="AP1491" s="2">
        <f t="shared" ca="1" si="1466"/>
        <v>2547370.2623345517</v>
      </c>
      <c r="AQ1491" s="2">
        <f t="shared" ca="1" si="1467"/>
        <v>611494.72048959229</v>
      </c>
      <c r="AR1491" s="2">
        <f t="shared" ca="1" si="1468"/>
        <v>662337.35714846861</v>
      </c>
      <c r="AS1491" s="2">
        <f t="shared" ca="1" si="1469"/>
        <v>715209.31662318273</v>
      </c>
      <c r="AT1491" s="2">
        <f t="shared" ca="1" si="1470"/>
        <v>770191.59689813259</v>
      </c>
      <c r="AU1491" s="2">
        <f t="shared" ca="1" si="1471"/>
        <v>827368.42889504251</v>
      </c>
      <c r="AV1491" s="2">
        <f t="shared" ca="1" si="1472"/>
        <v>1740408.0506242244</v>
      </c>
      <c r="AW1491" s="2">
        <f t="shared" ca="1" si="1473"/>
        <v>1865559.1562460735</v>
      </c>
      <c r="AX1491" s="2">
        <f t="shared" ca="1" si="1474"/>
        <v>2015260.3782833992</v>
      </c>
      <c r="AY1491" s="2">
        <f t="shared" ca="1" si="1475"/>
        <v>2170936.7449120115</v>
      </c>
      <c r="AZ1491" s="2">
        <f t="shared" ca="1" si="1476"/>
        <v>2332826.7468563095</v>
      </c>
      <c r="BA1491" s="2">
        <f t="shared" ca="1" si="1477"/>
        <v>46025427.361506917</v>
      </c>
      <c r="BB1491" s="2">
        <f t="shared" ca="1" si="1478"/>
        <v>920508.54723013833</v>
      </c>
      <c r="BC1491" s="2">
        <f t="shared" ca="1" si="1479"/>
        <v>16800804.788337313</v>
      </c>
      <c r="BD1491" s="2">
        <f t="shared" ca="1" si="1480"/>
        <v>-20548747.435040455</v>
      </c>
      <c r="BE1491" s="2">
        <f t="shared" ca="1" si="1481"/>
        <v>1740408.0506242244</v>
      </c>
      <c r="BF1491" s="2">
        <f t="shared" ca="1" si="1482"/>
        <v>1865559.1562460735</v>
      </c>
      <c r="BG1491" s="2">
        <f t="shared" ca="1" si="1483"/>
        <v>2015260.3782833992</v>
      </c>
      <c r="BH1491" s="2">
        <f t="shared" ca="1" si="1484"/>
        <v>2170936.7449120115</v>
      </c>
      <c r="BI1491" s="2">
        <f t="shared" ca="1" si="1485"/>
        <v>19133631.535193622</v>
      </c>
      <c r="BJ1491" s="2">
        <f t="shared" ca="1" si="1486"/>
        <v>6.5633219231600037E-2</v>
      </c>
      <c r="BK1491" s="2">
        <f t="shared" ca="1" si="1487"/>
        <v>-3836570.8775647487</v>
      </c>
    </row>
    <row r="1492" spans="1:63" x14ac:dyDescent="0.3">
      <c r="A1492" s="2">
        <v>1491</v>
      </c>
      <c r="B1492" s="2">
        <f t="shared" ca="1" si="1426"/>
        <v>0.86737751678701314</v>
      </c>
      <c r="C1492" s="2">
        <f t="shared" ca="1" si="1427"/>
        <v>7.4849806154852292</v>
      </c>
      <c r="D1492" s="2">
        <f t="shared" ca="1" si="1428"/>
        <v>0.5533354186188234</v>
      </c>
      <c r="E1492" s="2">
        <f t="shared" ca="1" si="1429"/>
        <v>7.5548390810225206</v>
      </c>
      <c r="F1492" s="2">
        <f t="shared" ca="1" si="1430"/>
        <v>0.29015194271454281</v>
      </c>
      <c r="G1492" s="2">
        <f t="shared" ca="1" si="1431"/>
        <v>2.3411773247411262E-2</v>
      </c>
      <c r="H1492" s="2">
        <f t="shared" ca="1" si="1432"/>
        <v>2.3411773247411262E-2</v>
      </c>
      <c r="I1492" s="2">
        <f t="shared" ca="1" si="1433"/>
        <v>0.6934263582737773</v>
      </c>
      <c r="J1492" s="2">
        <f t="shared" ca="1" si="1434"/>
        <v>1.2527930201436293E-2</v>
      </c>
      <c r="K1492" s="2">
        <f t="shared" ca="1" si="1435"/>
        <v>1.2527930201436293E-2</v>
      </c>
      <c r="L1492" s="2">
        <f t="shared" ca="1" si="1436"/>
        <v>0.35463253660558824</v>
      </c>
      <c r="M1492" s="2">
        <f t="shared" ca="1" si="1437"/>
        <v>-7.4568660200786049E-3</v>
      </c>
      <c r="N1492" s="2">
        <f t="shared" ca="1" si="1438"/>
        <v>-7.4568660200786049E-3</v>
      </c>
      <c r="O1492" s="2">
        <f t="shared" si="1439"/>
        <v>6000000</v>
      </c>
      <c r="P1492" s="2">
        <f t="shared" ca="1" si="1440"/>
        <v>44909883.692911372</v>
      </c>
      <c r="Q1492" s="2">
        <f t="shared" ca="1" si="1441"/>
        <v>1122747.0923227842</v>
      </c>
      <c r="R1492" s="2">
        <f t="shared" ca="1" si="1442"/>
        <v>26945930.215746824</v>
      </c>
      <c r="S1492" s="2">
        <f t="shared" ca="1" si="1443"/>
        <v>17963953.477164548</v>
      </c>
      <c r="T1492" s="2">
        <f t="shared" ca="1" si="1444"/>
        <v>49627156.698996074</v>
      </c>
      <c r="U1492" s="2">
        <f t="shared" ca="1" si="1445"/>
        <v>50789016.438546717</v>
      </c>
      <c r="V1492" s="2">
        <f t="shared" ca="1" si="1446"/>
        <v>51978077.374865018</v>
      </c>
      <c r="W1492" s="2">
        <f t="shared" ca="1" si="1447"/>
        <v>53194976.336201757</v>
      </c>
      <c r="X1492" s="2">
        <f t="shared" ca="1" si="1448"/>
        <v>54440365.060086325</v>
      </c>
      <c r="Y1492" s="2">
        <f t="shared" ca="1" si="1449"/>
        <v>0.12626396510071813</v>
      </c>
      <c r="Z1492" s="2">
        <f t="shared" ca="1" si="1450"/>
        <v>0.12876955114100541</v>
      </c>
      <c r="AA1492" s="2">
        <f t="shared" ca="1" si="1451"/>
        <v>6266121.5814899104</v>
      </c>
      <c r="AB1492" s="2">
        <f t="shared" ca="1" si="1452"/>
        <v>6540078.8496848056</v>
      </c>
      <c r="AC1492" s="2">
        <f t="shared" ca="1" si="1453"/>
        <v>6693193.6927338168</v>
      </c>
      <c r="AD1492" s="2">
        <f t="shared" ca="1" si="1454"/>
        <v>6849893.2257691044</v>
      </c>
      <c r="AE1492" s="2">
        <f t="shared" ca="1" si="1455"/>
        <v>7010261.37273979</v>
      </c>
      <c r="AF1492" s="2">
        <f t="shared" ca="1" si="1456"/>
        <v>992543.13397992146</v>
      </c>
      <c r="AG1492" s="2">
        <f t="shared" ca="1" si="1457"/>
        <v>1015780.3287709344</v>
      </c>
      <c r="AH1492" s="2">
        <f t="shared" ca="1" si="1458"/>
        <v>1039561.5474973004</v>
      </c>
      <c r="AI1492" s="2">
        <f t="shared" ca="1" si="1459"/>
        <v>1063899.5267240352</v>
      </c>
      <c r="AJ1492" s="2">
        <f t="shared" ca="1" si="1460"/>
        <v>1088807.3012017265</v>
      </c>
      <c r="AK1492" s="2">
        <f t="shared" ca="1" si="1461"/>
        <v>0</v>
      </c>
      <c r="AL1492" s="2">
        <f t="shared" ca="1" si="1462"/>
        <v>11618.597395506427</v>
      </c>
      <c r="AM1492" s="2">
        <f t="shared" ca="1" si="1463"/>
        <v>11890.609363183006</v>
      </c>
      <c r="AN1492" s="2">
        <f t="shared" ca="1" si="1464"/>
        <v>12168.989613367394</v>
      </c>
      <c r="AO1492" s="2">
        <f t="shared" ca="1" si="1465"/>
        <v>12453.887238845677</v>
      </c>
      <c r="AP1492" s="2">
        <f t="shared" ca="1" si="1466"/>
        <v>2425133.7194172139</v>
      </c>
      <c r="AQ1492" s="2">
        <f t="shared" ca="1" si="1467"/>
        <v>740595.6293041216</v>
      </c>
      <c r="AR1492" s="2">
        <f t="shared" ca="1" si="1468"/>
        <v>805782.8483891309</v>
      </c>
      <c r="AS1492" s="2">
        <f t="shared" ca="1" si="1469"/>
        <v>839409.59071301867</v>
      </c>
      <c r="AT1492" s="2">
        <f t="shared" ca="1" si="1470"/>
        <v>873823.59470324253</v>
      </c>
      <c r="AU1492" s="2">
        <f t="shared" ca="1" si="1471"/>
        <v>909043.29155142093</v>
      </c>
      <c r="AV1492" s="2">
        <f t="shared" ca="1" si="1472"/>
        <v>2107849.098788654</v>
      </c>
      <c r="AW1492" s="2">
        <f t="shared" ca="1" si="1473"/>
        <v>2281763.3557120194</v>
      </c>
      <c r="AX1492" s="2">
        <f t="shared" ca="1" si="1474"/>
        <v>2377198.2257431005</v>
      </c>
      <c r="AY1492" s="2">
        <f t="shared" ca="1" si="1475"/>
        <v>2474867.3953112462</v>
      </c>
      <c r="AZ1492" s="2">
        <f t="shared" ca="1" si="1476"/>
        <v>2574823.1733305831</v>
      </c>
      <c r="BA1492" s="2">
        <f t="shared" ca="1" si="1477"/>
        <v>52961396.586957149</v>
      </c>
      <c r="BB1492" s="2">
        <f t="shared" ca="1" si="1478"/>
        <v>1059227.9317391431</v>
      </c>
      <c r="BC1492" s="2">
        <f t="shared" ca="1" si="1479"/>
        <v>24956238.439471181</v>
      </c>
      <c r="BD1492" s="2">
        <f t="shared" ca="1" si="1480"/>
        <v>-19586700.569487333</v>
      </c>
      <c r="BE1492" s="2">
        <f t="shared" ca="1" si="1481"/>
        <v>2107849.098788654</v>
      </c>
      <c r="BF1492" s="2">
        <f t="shared" ca="1" si="1482"/>
        <v>2281763.3557120194</v>
      </c>
      <c r="BG1492" s="2">
        <f t="shared" ca="1" si="1483"/>
        <v>2377198.2257431005</v>
      </c>
      <c r="BH1492" s="2">
        <f t="shared" ca="1" si="1484"/>
        <v>2474867.3953112462</v>
      </c>
      <c r="BI1492" s="2">
        <f t="shared" ca="1" si="1485"/>
        <v>27531061.612801764</v>
      </c>
      <c r="BJ1492" s="2">
        <f t="shared" ca="1" si="1486"/>
        <v>0.15890937949924555</v>
      </c>
      <c r="BK1492" s="2">
        <f t="shared" ca="1" si="1487"/>
        <v>3001044.7707681246</v>
      </c>
    </row>
    <row r="1493" spans="1:63" x14ac:dyDescent="0.3">
      <c r="A1493" s="2">
        <v>1492</v>
      </c>
      <c r="B1493" s="2">
        <f t="shared" ca="1" si="1426"/>
        <v>0.52469954328741564</v>
      </c>
      <c r="C1493" s="2">
        <f t="shared" ca="1" si="1427"/>
        <v>7.0250123521679013</v>
      </c>
      <c r="D1493" s="2">
        <f t="shared" ca="1" si="1428"/>
        <v>0.40034096972713995</v>
      </c>
      <c r="E1493" s="2">
        <f t="shared" ca="1" si="1429"/>
        <v>7.3948083255392074</v>
      </c>
      <c r="F1493" s="2">
        <f t="shared" ca="1" si="1430"/>
        <v>0.98413182786285736</v>
      </c>
      <c r="G1493" s="2">
        <f t="shared" ca="1" si="1431"/>
        <v>0.10443147216987636</v>
      </c>
      <c r="H1493" s="2">
        <f t="shared" ca="1" si="1432"/>
        <v>0.10443147216987636</v>
      </c>
      <c r="I1493" s="2">
        <f t="shared" ca="1" si="1433"/>
        <v>0.874633168713561</v>
      </c>
      <c r="J1493" s="2">
        <f t="shared" ca="1" si="1434"/>
        <v>1.5742846009958136E-2</v>
      </c>
      <c r="K1493" s="2">
        <f t="shared" ca="1" si="1435"/>
        <v>1.5742846009958136E-2</v>
      </c>
      <c r="L1493" s="2">
        <f t="shared" ca="1" si="1436"/>
        <v>0.37807041993373347</v>
      </c>
      <c r="M1493" s="2">
        <f t="shared" ca="1" si="1437"/>
        <v>-6.2110500622477851E-3</v>
      </c>
      <c r="N1493" s="2">
        <f t="shared" ca="1" si="1438"/>
        <v>-6.2110500622477851E-3</v>
      </c>
      <c r="O1493" s="2">
        <f t="shared" si="1439"/>
        <v>6000000</v>
      </c>
      <c r="P1493" s="2">
        <f t="shared" ca="1" si="1440"/>
        <v>42150074.113007411</v>
      </c>
      <c r="Q1493" s="2">
        <f t="shared" ca="1" si="1441"/>
        <v>1053751.8528251853</v>
      </c>
      <c r="R1493" s="2">
        <f t="shared" ca="1" si="1442"/>
        <v>25290044.467804447</v>
      </c>
      <c r="S1493" s="2">
        <f t="shared" ca="1" si="1443"/>
        <v>16860029.645202965</v>
      </c>
      <c r="T1493" s="2">
        <f t="shared" ca="1" si="1444"/>
        <v>49689447.496887609</v>
      </c>
      <c r="U1493" s="2">
        <f t="shared" ca="1" si="1445"/>
        <v>54878589.650295369</v>
      </c>
      <c r="V1493" s="2">
        <f t="shared" ca="1" si="1446"/>
        <v>60609641.55808226</v>
      </c>
      <c r="W1493" s="2">
        <f t="shared" ca="1" si="1447"/>
        <v>66939195.653681315</v>
      </c>
      <c r="X1493" s="2">
        <f t="shared" ca="1" si="1448"/>
        <v>73929754.401662648</v>
      </c>
      <c r="Y1493" s="2">
        <f t="shared" ca="1" si="1449"/>
        <v>0.12787142300497906</v>
      </c>
      <c r="Z1493" s="2">
        <f t="shared" ca="1" si="1450"/>
        <v>0.13101999220697069</v>
      </c>
      <c r="AA1493" s="2">
        <f t="shared" ca="1" si="1451"/>
        <v>6353860.3597582132</v>
      </c>
      <c r="AB1493" s="2">
        <f t="shared" ca="1" si="1452"/>
        <v>7190192.3883112418</v>
      </c>
      <c r="AC1493" s="2">
        <f t="shared" ca="1" si="1453"/>
        <v>7941074.7646072246</v>
      </c>
      <c r="AD1493" s="2">
        <f t="shared" ca="1" si="1454"/>
        <v>8770372.8928862121</v>
      </c>
      <c r="AE1493" s="2">
        <f t="shared" ca="1" si="1455"/>
        <v>9686275.8455690965</v>
      </c>
      <c r="AF1493" s="2">
        <f t="shared" ca="1" si="1456"/>
        <v>993788.94993775222</v>
      </c>
      <c r="AG1493" s="2">
        <f t="shared" ca="1" si="1457"/>
        <v>1097571.7930059074</v>
      </c>
      <c r="AH1493" s="2">
        <f t="shared" ca="1" si="1458"/>
        <v>1212192.8311616452</v>
      </c>
      <c r="AI1493" s="2">
        <f t="shared" ca="1" si="1459"/>
        <v>1338783.9130736263</v>
      </c>
      <c r="AJ1493" s="2">
        <f t="shared" ca="1" si="1460"/>
        <v>1478595.0880332531</v>
      </c>
      <c r="AK1493" s="2">
        <f t="shared" ca="1" si="1461"/>
        <v>0</v>
      </c>
      <c r="AL1493" s="2">
        <f t="shared" ca="1" si="1462"/>
        <v>51891.421534077599</v>
      </c>
      <c r="AM1493" s="2">
        <f t="shared" ca="1" si="1463"/>
        <v>57310.519077868907</v>
      </c>
      <c r="AN1493" s="2">
        <f t="shared" ca="1" si="1464"/>
        <v>63295.540955990553</v>
      </c>
      <c r="AO1493" s="2">
        <f t="shared" ca="1" si="1465"/>
        <v>69905.58747981333</v>
      </c>
      <c r="AP1493" s="2">
        <f t="shared" ca="1" si="1466"/>
        <v>2276104.0021024002</v>
      </c>
      <c r="AQ1493" s="2">
        <f t="shared" ca="1" si="1467"/>
        <v>801831.52600669581</v>
      </c>
      <c r="AR1493" s="2">
        <f t="shared" ca="1" si="1468"/>
        <v>992294.31423276302</v>
      </c>
      <c r="AS1493" s="2">
        <f t="shared" ca="1" si="1469"/>
        <v>1157722.2621492266</v>
      </c>
      <c r="AT1493" s="2">
        <f t="shared" ca="1" si="1470"/>
        <v>1340426.0942046484</v>
      </c>
      <c r="AU1493" s="2">
        <f t="shared" ca="1" si="1471"/>
        <v>1542209.9564126953</v>
      </c>
      <c r="AV1493" s="2">
        <f t="shared" ca="1" si="1472"/>
        <v>2282135.8817113647</v>
      </c>
      <c r="AW1493" s="2">
        <f t="shared" ca="1" si="1473"/>
        <v>2772330.8574360944</v>
      </c>
      <c r="AX1493" s="2">
        <f t="shared" ca="1" si="1474"/>
        <v>3237745.1501160832</v>
      </c>
      <c r="AY1493" s="2">
        <f t="shared" ca="1" si="1475"/>
        <v>3751763.3425495466</v>
      </c>
      <c r="AZ1493" s="2">
        <f t="shared" ca="1" si="1476"/>
        <v>4319461.2115409346</v>
      </c>
      <c r="BA1493" s="2">
        <f t="shared" ca="1" si="1477"/>
        <v>71628153.266283676</v>
      </c>
      <c r="BB1493" s="2">
        <f t="shared" ca="1" si="1478"/>
        <v>1432563.0653256734</v>
      </c>
      <c r="BC1493" s="2">
        <f t="shared" ca="1" si="1479"/>
        <v>44905545.733153559</v>
      </c>
      <c r="BD1493" s="2">
        <f t="shared" ca="1" si="1480"/>
        <v>-18413781.498028152</v>
      </c>
      <c r="BE1493" s="2">
        <f t="shared" ca="1" si="1481"/>
        <v>2282135.8817113647</v>
      </c>
      <c r="BF1493" s="2">
        <f t="shared" ca="1" si="1482"/>
        <v>2772330.8574360944</v>
      </c>
      <c r="BG1493" s="2">
        <f t="shared" ca="1" si="1483"/>
        <v>3237745.1501160832</v>
      </c>
      <c r="BH1493" s="2">
        <f t="shared" ca="1" si="1484"/>
        <v>3751763.3425495466</v>
      </c>
      <c r="BI1493" s="2">
        <f t="shared" ca="1" si="1485"/>
        <v>49225006.944694497</v>
      </c>
      <c r="BJ1493" s="2">
        <f t="shared" ca="1" si="1486"/>
        <v>0.31709885427595563</v>
      </c>
      <c r="BK1493" s="2">
        <f t="shared" ca="1" si="1487"/>
        <v>18454392.399769522</v>
      </c>
    </row>
    <row r="1494" spans="1:63" x14ac:dyDescent="0.3">
      <c r="A1494" s="2">
        <v>1493</v>
      </c>
      <c r="B1494" s="2">
        <f t="shared" ca="1" si="1426"/>
        <v>0.58025714534964745</v>
      </c>
      <c r="C1494" s="2">
        <f t="shared" ca="1" si="1427"/>
        <v>7.0837654725449903</v>
      </c>
      <c r="D1494" s="2">
        <f t="shared" ca="1" si="1428"/>
        <v>0.94785124097993734</v>
      </c>
      <c r="E1494" s="2">
        <f t="shared" ca="1" si="1429"/>
        <v>8.1770487373609981</v>
      </c>
      <c r="F1494" s="2">
        <f t="shared" ca="1" si="1430"/>
        <v>5.750479383579199E-3</v>
      </c>
      <c r="G1494" s="2">
        <f t="shared" ca="1" si="1431"/>
        <v>-3.5812923302881321E-2</v>
      </c>
      <c r="H1494" s="2">
        <f t="shared" ca="1" si="1432"/>
        <v>-0.02</v>
      </c>
      <c r="I1494" s="2">
        <f t="shared" ca="1" si="1433"/>
        <v>0.71389683792570613</v>
      </c>
      <c r="J1494" s="2">
        <f t="shared" ca="1" si="1434"/>
        <v>1.2824025600042071E-2</v>
      </c>
      <c r="K1494" s="2">
        <f t="shared" ca="1" si="1435"/>
        <v>1.2824025600042071E-2</v>
      </c>
      <c r="L1494" s="2">
        <f t="shared" ca="1" si="1436"/>
        <v>0.33957684801704235</v>
      </c>
      <c r="M1494" s="2">
        <f t="shared" ca="1" si="1437"/>
        <v>-8.2723652611219646E-3</v>
      </c>
      <c r="N1494" s="2">
        <f t="shared" ca="1" si="1438"/>
        <v>-8.2723652611219646E-3</v>
      </c>
      <c r="O1494" s="2">
        <f t="shared" si="1439"/>
        <v>6000000</v>
      </c>
      <c r="P1494" s="2">
        <f t="shared" ca="1" si="1440"/>
        <v>42502592.835269943</v>
      </c>
      <c r="Q1494" s="2">
        <f t="shared" ca="1" si="1441"/>
        <v>1062564.8208817486</v>
      </c>
      <c r="R1494" s="2">
        <f t="shared" ca="1" si="1442"/>
        <v>25501555.701161966</v>
      </c>
      <c r="S1494" s="2">
        <f t="shared" ca="1" si="1443"/>
        <v>17001037.134107977</v>
      </c>
      <c r="T1494" s="2">
        <f t="shared" ca="1" si="1444"/>
        <v>49586381.736943901</v>
      </c>
      <c r="U1494" s="2">
        <f t="shared" ca="1" si="1445"/>
        <v>48594654.102205023</v>
      </c>
      <c r="V1494" s="2">
        <f t="shared" ca="1" si="1446"/>
        <v>47622761.020160921</v>
      </c>
      <c r="W1494" s="2">
        <f t="shared" ca="1" si="1447"/>
        <v>46670305.799757704</v>
      </c>
      <c r="X1494" s="2">
        <f t="shared" ca="1" si="1448"/>
        <v>45736899.68376255</v>
      </c>
      <c r="Y1494" s="2">
        <f t="shared" ca="1" si="1449"/>
        <v>0.12641201280002104</v>
      </c>
      <c r="Z1494" s="2">
        <f t="shared" ca="1" si="1450"/>
        <v>0.12897681792002944</v>
      </c>
      <c r="AA1494" s="2">
        <f t="shared" ca="1" si="1451"/>
        <v>6268314.322837282</v>
      </c>
      <c r="AB1494" s="2">
        <f t="shared" ca="1" si="1452"/>
        <v>6267583.854026909</v>
      </c>
      <c r="AC1494" s="2">
        <f t="shared" ca="1" si="1453"/>
        <v>6142232.1769463699</v>
      </c>
      <c r="AD1494" s="2">
        <f t="shared" ca="1" si="1454"/>
        <v>6019387.5334074432</v>
      </c>
      <c r="AE1494" s="2">
        <f t="shared" ca="1" si="1455"/>
        <v>5898999.7827392947</v>
      </c>
      <c r="AF1494" s="2">
        <f t="shared" ca="1" si="1456"/>
        <v>991727.634738878</v>
      </c>
      <c r="AG1494" s="2">
        <f t="shared" ca="1" si="1457"/>
        <v>971893.08204410051</v>
      </c>
      <c r="AH1494" s="2">
        <f t="shared" ca="1" si="1458"/>
        <v>952455.22040321841</v>
      </c>
      <c r="AI1494" s="2">
        <f t="shared" ca="1" si="1459"/>
        <v>933406.11599515413</v>
      </c>
      <c r="AJ1494" s="2">
        <f t="shared" ca="1" si="1460"/>
        <v>914737.99367525103</v>
      </c>
      <c r="AK1494" s="2">
        <f t="shared" ca="1" si="1461"/>
        <v>0</v>
      </c>
      <c r="AL1494" s="2">
        <f t="shared" ca="1" si="1462"/>
        <v>0</v>
      </c>
      <c r="AM1494" s="2">
        <f t="shared" ca="1" si="1463"/>
        <v>0</v>
      </c>
      <c r="AN1494" s="2">
        <f t="shared" ca="1" si="1464"/>
        <v>0</v>
      </c>
      <c r="AO1494" s="2">
        <f t="shared" ca="1" si="1465"/>
        <v>0</v>
      </c>
      <c r="AP1494" s="2">
        <f t="shared" ca="1" si="1466"/>
        <v>2295140.0131045766</v>
      </c>
      <c r="AQ1494" s="2">
        <f t="shared" ca="1" si="1467"/>
        <v>775176.13549839507</v>
      </c>
      <c r="AR1494" s="2">
        <f t="shared" ca="1" si="1468"/>
        <v>780143.19730834034</v>
      </c>
      <c r="AS1494" s="2">
        <f t="shared" ca="1" si="1469"/>
        <v>752605.60529402946</v>
      </c>
      <c r="AT1494" s="2">
        <f t="shared" ca="1" si="1470"/>
        <v>725618.76512000535</v>
      </c>
      <c r="AU1494" s="2">
        <f t="shared" ca="1" si="1471"/>
        <v>699171.66174946155</v>
      </c>
      <c r="AV1494" s="2">
        <f t="shared" ca="1" si="1472"/>
        <v>2206270.5394954318</v>
      </c>
      <c r="AW1494" s="2">
        <f t="shared" ca="1" si="1473"/>
        <v>2220407.5615698919</v>
      </c>
      <c r="AX1494" s="2">
        <f t="shared" ca="1" si="1474"/>
        <v>2142031.3381445454</v>
      </c>
      <c r="AY1494" s="2">
        <f t="shared" ca="1" si="1475"/>
        <v>2065222.6391877076</v>
      </c>
      <c r="AZ1494" s="2">
        <f t="shared" ca="1" si="1476"/>
        <v>1989950.1142100058</v>
      </c>
      <c r="BA1494" s="2">
        <f t="shared" ca="1" si="1477"/>
        <v>48236408.725141153</v>
      </c>
      <c r="BB1494" s="2">
        <f t="shared" ca="1" si="1478"/>
        <v>964728.17450282304</v>
      </c>
      <c r="BC1494" s="2">
        <f t="shared" ca="1" si="1479"/>
        <v>21770124.849476364</v>
      </c>
      <c r="BD1494" s="2">
        <f t="shared" ca="1" si="1480"/>
        <v>-18563601.954989724</v>
      </c>
      <c r="BE1494" s="2">
        <f t="shared" ca="1" si="1481"/>
        <v>2206270.5394954318</v>
      </c>
      <c r="BF1494" s="2">
        <f t="shared" ca="1" si="1482"/>
        <v>2220407.5615698919</v>
      </c>
      <c r="BG1494" s="2">
        <f t="shared" ca="1" si="1483"/>
        <v>2142031.3381445454</v>
      </c>
      <c r="BH1494" s="2">
        <f t="shared" ca="1" si="1484"/>
        <v>2065222.6391877076</v>
      </c>
      <c r="BI1494" s="2">
        <f t="shared" ca="1" si="1485"/>
        <v>23760074.963686369</v>
      </c>
      <c r="BJ1494" s="2">
        <f t="shared" ca="1" si="1486"/>
        <v>0.14133562842087777</v>
      </c>
      <c r="BK1494" s="2">
        <f t="shared" ca="1" si="1487"/>
        <v>1495624.3171316683</v>
      </c>
    </row>
    <row r="1495" spans="1:63" x14ac:dyDescent="0.3">
      <c r="A1495" s="2">
        <v>1494</v>
      </c>
      <c r="B1495" s="2">
        <f t="shared" ca="1" si="1426"/>
        <v>0.9542179712936848</v>
      </c>
      <c r="C1495" s="2">
        <f t="shared" ca="1" si="1427"/>
        <v>7.6974044656432774</v>
      </c>
      <c r="D1495" s="2">
        <f t="shared" ca="1" si="1428"/>
        <v>9.3664707144986648E-2</v>
      </c>
      <c r="E1495" s="2">
        <f t="shared" ca="1" si="1429"/>
        <v>6.9328156816590329</v>
      </c>
      <c r="F1495" s="2">
        <f t="shared" ca="1" si="1430"/>
        <v>0.84116301633299406</v>
      </c>
      <c r="G1495" s="2">
        <f t="shared" ca="1" si="1431"/>
        <v>6.9977477249288503E-2</v>
      </c>
      <c r="H1495" s="2">
        <f t="shared" ca="1" si="1432"/>
        <v>6.9977477249288503E-2</v>
      </c>
      <c r="I1495" s="2">
        <f t="shared" ca="1" si="1433"/>
        <v>0.6457007420188039</v>
      </c>
      <c r="J1495" s="2">
        <f t="shared" ca="1" si="1434"/>
        <v>1.1868694937913041E-2</v>
      </c>
      <c r="K1495" s="2">
        <f t="shared" ca="1" si="1435"/>
        <v>1.1868694937913041E-2</v>
      </c>
      <c r="L1495" s="2">
        <f t="shared" ca="1" si="1436"/>
        <v>0.34055355142225641</v>
      </c>
      <c r="M1495" s="2">
        <f t="shared" ca="1" si="1437"/>
        <v>-8.2190571502271693E-3</v>
      </c>
      <c r="N1495" s="2">
        <f t="shared" ca="1" si="1438"/>
        <v>-8.2190571502271693E-3</v>
      </c>
      <c r="O1495" s="2">
        <f t="shared" si="1439"/>
        <v>6000000</v>
      </c>
      <c r="P1495" s="2">
        <f t="shared" ca="1" si="1440"/>
        <v>46184426.793859668</v>
      </c>
      <c r="Q1495" s="2">
        <f t="shared" ca="1" si="1441"/>
        <v>1154610.6698464917</v>
      </c>
      <c r="R1495" s="2">
        <f t="shared" ca="1" si="1442"/>
        <v>27710656.076315802</v>
      </c>
      <c r="S1495" s="2">
        <f t="shared" ca="1" si="1443"/>
        <v>18473770.717543866</v>
      </c>
      <c r="T1495" s="2">
        <f t="shared" ca="1" si="1444"/>
        <v>49589047.142488644</v>
      </c>
      <c r="U1495" s="2">
        <f t="shared" ca="1" si="1445"/>
        <v>53059163.56071604</v>
      </c>
      <c r="V1495" s="2">
        <f t="shared" ca="1" si="1446"/>
        <v>56772109.971652322</v>
      </c>
      <c r="W1495" s="2">
        <f t="shared" ca="1" si="1447"/>
        <v>60744879.005587727</v>
      </c>
      <c r="X1495" s="2">
        <f t="shared" ca="1" si="1448"/>
        <v>64995652.394212022</v>
      </c>
      <c r="Y1495" s="2">
        <f t="shared" ca="1" si="1449"/>
        <v>0.12593434746895651</v>
      </c>
      <c r="Z1495" s="2">
        <f t="shared" ca="1" si="1450"/>
        <v>0.12830808645653913</v>
      </c>
      <c r="AA1495" s="2">
        <f t="shared" ca="1" si="1451"/>
        <v>6244964.2934966302</v>
      </c>
      <c r="AB1495" s="2">
        <f t="shared" ca="1" si="1452"/>
        <v>6807919.7454600045</v>
      </c>
      <c r="AC1495" s="2">
        <f t="shared" ca="1" si="1453"/>
        <v>7284320.7945629135</v>
      </c>
      <c r="AD1495" s="2">
        <f t="shared" ca="1" si="1454"/>
        <v>7794059.1872409582</v>
      </c>
      <c r="AE1495" s="2">
        <f t="shared" ca="1" si="1455"/>
        <v>8339467.7866957206</v>
      </c>
      <c r="AF1495" s="2">
        <f t="shared" ca="1" si="1456"/>
        <v>991780.94284977287</v>
      </c>
      <c r="AG1495" s="2">
        <f t="shared" ca="1" si="1457"/>
        <v>1061183.2712143208</v>
      </c>
      <c r="AH1495" s="2">
        <f t="shared" ca="1" si="1458"/>
        <v>1135442.1994330464</v>
      </c>
      <c r="AI1495" s="2">
        <f t="shared" ca="1" si="1459"/>
        <v>1214897.5801117546</v>
      </c>
      <c r="AJ1495" s="2">
        <f t="shared" ca="1" si="1460"/>
        <v>1299913.0478842405</v>
      </c>
      <c r="AK1495" s="2">
        <f t="shared" ca="1" si="1461"/>
        <v>0</v>
      </c>
      <c r="AL1495" s="2">
        <f t="shared" ca="1" si="1462"/>
        <v>34701.164182273969</v>
      </c>
      <c r="AM1495" s="2">
        <f t="shared" ca="1" si="1463"/>
        <v>37129.464109362809</v>
      </c>
      <c r="AN1495" s="2">
        <f t="shared" ca="1" si="1464"/>
        <v>39727.690339354056</v>
      </c>
      <c r="AO1495" s="2">
        <f t="shared" ca="1" si="1465"/>
        <v>42507.733886242953</v>
      </c>
      <c r="AP1495" s="2">
        <f t="shared" ca="1" si="1466"/>
        <v>2493959.0468684221</v>
      </c>
      <c r="AQ1495" s="2">
        <f t="shared" ca="1" si="1467"/>
        <v>717398.31898239313</v>
      </c>
      <c r="AR1495" s="2">
        <f t="shared" ca="1" si="1468"/>
        <v>845722.13111808815</v>
      </c>
      <c r="AS1495" s="2">
        <f t="shared" ca="1" si="1469"/>
        <v>950279.0825479757</v>
      </c>
      <c r="AT1495" s="2">
        <f t="shared" ca="1" si="1470"/>
        <v>1062152.665667803</v>
      </c>
      <c r="AU1495" s="2">
        <f t="shared" ca="1" si="1471"/>
        <v>1181854.879905195</v>
      </c>
      <c r="AV1495" s="2">
        <f t="shared" ca="1" si="1472"/>
        <v>2041825.9847960416</v>
      </c>
      <c r="AW1495" s="2">
        <f t="shared" ca="1" si="1473"/>
        <v>2372354.1320769005</v>
      </c>
      <c r="AX1495" s="2">
        <f t="shared" ca="1" si="1474"/>
        <v>2667511.0016041063</v>
      </c>
      <c r="AY1495" s="2">
        <f t="shared" ca="1" si="1475"/>
        <v>2983322.2042536242</v>
      </c>
      <c r="AZ1495" s="2">
        <f t="shared" ca="1" si="1476"/>
        <v>3321233.07815162</v>
      </c>
      <c r="BA1495" s="2">
        <f t="shared" ca="1" si="1477"/>
        <v>57815993.04829444</v>
      </c>
      <c r="BB1495" s="2">
        <f t="shared" ca="1" si="1478"/>
        <v>1156319.8609658887</v>
      </c>
      <c r="BC1495" s="2">
        <f t="shared" ca="1" si="1479"/>
        <v>28949017.111012749</v>
      </c>
      <c r="BD1495" s="2">
        <f t="shared" ca="1" si="1480"/>
        <v>-20128381.387390357</v>
      </c>
      <c r="BE1495" s="2">
        <f t="shared" ca="1" si="1481"/>
        <v>2041825.9847960416</v>
      </c>
      <c r="BF1495" s="2">
        <f t="shared" ca="1" si="1482"/>
        <v>2372354.1320769005</v>
      </c>
      <c r="BG1495" s="2">
        <f t="shared" ca="1" si="1483"/>
        <v>2667511.0016041063</v>
      </c>
      <c r="BH1495" s="2">
        <f t="shared" ca="1" si="1484"/>
        <v>2983322.2042536242</v>
      </c>
      <c r="BI1495" s="2">
        <f t="shared" ca="1" si="1485"/>
        <v>32270250.18916437</v>
      </c>
      <c r="BJ1495" s="2">
        <f t="shared" ca="1" si="1486"/>
        <v>0.18795717479479435</v>
      </c>
      <c r="BK1495" s="2">
        <f t="shared" ca="1" si="1487"/>
        <v>5691547.151447244</v>
      </c>
    </row>
    <row r="1496" spans="1:63" x14ac:dyDescent="0.3">
      <c r="A1496" s="2">
        <v>1495</v>
      </c>
      <c r="B1496" s="2">
        <f t="shared" ca="1" si="1426"/>
        <v>0.11491112796439296</v>
      </c>
      <c r="C1496" s="2">
        <f t="shared" ca="1" si="1427"/>
        <v>6.4793978055110246</v>
      </c>
      <c r="D1496" s="2">
        <f t="shared" ca="1" si="1428"/>
        <v>9.2203978815597165E-2</v>
      </c>
      <c r="E1496" s="2">
        <f t="shared" ca="1" si="1429"/>
        <v>6.9294274765675743</v>
      </c>
      <c r="F1496" s="2">
        <f t="shared" ca="1" si="1430"/>
        <v>0.57957772093226856</v>
      </c>
      <c r="G1496" s="2">
        <f t="shared" ca="1" si="1431"/>
        <v>4.6024399181820386E-2</v>
      </c>
      <c r="H1496" s="2">
        <f t="shared" ca="1" si="1432"/>
        <v>4.6024399181820386E-2</v>
      </c>
      <c r="I1496" s="2">
        <f t="shared" ca="1" si="1433"/>
        <v>0.64027977723250562</v>
      </c>
      <c r="J1496" s="2">
        <f t="shared" ca="1" si="1434"/>
        <v>1.1796033628693192E-2</v>
      </c>
      <c r="K1496" s="2">
        <f t="shared" ca="1" si="1435"/>
        <v>1.1796033628693192E-2</v>
      </c>
      <c r="L1496" s="2">
        <f t="shared" ca="1" si="1436"/>
        <v>0.49724877843828252</v>
      </c>
      <c r="M1496" s="2">
        <f t="shared" ca="1" si="1437"/>
        <v>-1.3792688841021076E-4</v>
      </c>
      <c r="N1496" s="2">
        <f t="shared" ca="1" si="1438"/>
        <v>-1.3792688841021076E-4</v>
      </c>
      <c r="O1496" s="2">
        <f t="shared" si="1439"/>
        <v>6000000</v>
      </c>
      <c r="P1496" s="2">
        <f t="shared" ca="1" si="1440"/>
        <v>38876386.833066151</v>
      </c>
      <c r="Q1496" s="2">
        <f t="shared" ca="1" si="1441"/>
        <v>971909.67082665383</v>
      </c>
      <c r="R1496" s="2">
        <f t="shared" ca="1" si="1442"/>
        <v>23325832.099839691</v>
      </c>
      <c r="S1496" s="2">
        <f t="shared" ca="1" si="1443"/>
        <v>15550554.733226461</v>
      </c>
      <c r="T1496" s="2">
        <f t="shared" ca="1" si="1444"/>
        <v>49993103.655579492</v>
      </c>
      <c r="U1496" s="2">
        <f t="shared" ca="1" si="1445"/>
        <v>52294006.214562006</v>
      </c>
      <c r="V1496" s="2">
        <f t="shared" ca="1" si="1446"/>
        <v>54700806.431397602</v>
      </c>
      <c r="W1496" s="2">
        <f t="shared" ca="1" si="1447"/>
        <v>57218378.18216373</v>
      </c>
      <c r="X1496" s="2">
        <f t="shared" ca="1" si="1448"/>
        <v>59851819.660155989</v>
      </c>
      <c r="Y1496" s="2">
        <f t="shared" ca="1" si="1449"/>
        <v>0.12589801681434659</v>
      </c>
      <c r="Z1496" s="2">
        <f t="shared" ca="1" si="1450"/>
        <v>0.12825722354008523</v>
      </c>
      <c r="AA1496" s="2">
        <f t="shared" ca="1" si="1451"/>
        <v>6294032.6046315189</v>
      </c>
      <c r="AB1496" s="2">
        <f t="shared" ca="1" si="1452"/>
        <v>6707084.0448676851</v>
      </c>
      <c r="AC1496" s="2">
        <f t="shared" ca="1" si="1453"/>
        <v>7015773.5582946939</v>
      </c>
      <c r="AD1496" s="2">
        <f t="shared" ca="1" si="1454"/>
        <v>7338670.3211109089</v>
      </c>
      <c r="AE1496" s="2">
        <f t="shared" ca="1" si="1455"/>
        <v>7676428.2134334948</v>
      </c>
      <c r="AF1496" s="2">
        <f t="shared" ca="1" si="1456"/>
        <v>999862.07311158988</v>
      </c>
      <c r="AG1496" s="2">
        <f t="shared" ca="1" si="1457"/>
        <v>1045880.1242912401</v>
      </c>
      <c r="AH1496" s="2">
        <f t="shared" ca="1" si="1458"/>
        <v>1094016.128627952</v>
      </c>
      <c r="AI1496" s="2">
        <f t="shared" ca="1" si="1459"/>
        <v>1144367.5636432746</v>
      </c>
      <c r="AJ1496" s="2">
        <f t="shared" ca="1" si="1460"/>
        <v>1197036.3932031197</v>
      </c>
      <c r="AK1496" s="2">
        <f t="shared" ca="1" si="1461"/>
        <v>0</v>
      </c>
      <c r="AL1496" s="2">
        <f t="shared" ca="1" si="1462"/>
        <v>23009.025589825138</v>
      </c>
      <c r="AM1496" s="2">
        <f t="shared" ca="1" si="1463"/>
        <v>24068.002168355957</v>
      </c>
      <c r="AN1496" s="2">
        <f t="shared" ca="1" si="1464"/>
        <v>25175.717507661284</v>
      </c>
      <c r="AO1496" s="2">
        <f t="shared" ca="1" si="1465"/>
        <v>26334.41477992259</v>
      </c>
      <c r="AP1496" s="2">
        <f t="shared" ca="1" si="1466"/>
        <v>2099324.8889855719</v>
      </c>
      <c r="AQ1496" s="2">
        <f t="shared" ca="1" si="1467"/>
        <v>830659.8670589329</v>
      </c>
      <c r="AR1496" s="2">
        <f t="shared" ca="1" si="1468"/>
        <v>926088.54821362696</v>
      </c>
      <c r="AS1496" s="2">
        <f t="shared" ca="1" si="1469"/>
        <v>993832.46057710424</v>
      </c>
      <c r="AT1496" s="2">
        <f t="shared" ca="1" si="1470"/>
        <v>1064694.2458053362</v>
      </c>
      <c r="AU1496" s="2">
        <f t="shared" ca="1" si="1471"/>
        <v>1138817.4021236489</v>
      </c>
      <c r="AV1496" s="2">
        <f t="shared" ca="1" si="1472"/>
        <v>2364185.7754754242</v>
      </c>
      <c r="AW1496" s="2">
        <f t="shared" ca="1" si="1473"/>
        <v>2612781.4577874201</v>
      </c>
      <c r="AX1496" s="2">
        <f t="shared" ca="1" si="1474"/>
        <v>2804532.0779357101</v>
      </c>
      <c r="AY1496" s="2">
        <f t="shared" ca="1" si="1475"/>
        <v>3005107.9051690646</v>
      </c>
      <c r="AZ1496" s="2">
        <f t="shared" ca="1" si="1476"/>
        <v>3214915.1143412315</v>
      </c>
      <c r="BA1496" s="2">
        <f t="shared" ca="1" si="1477"/>
        <v>53193252.584064595</v>
      </c>
      <c r="BB1496" s="2">
        <f t="shared" ca="1" si="1478"/>
        <v>1063865.051681292</v>
      </c>
      <c r="BC1496" s="2">
        <f t="shared" ca="1" si="1479"/>
        <v>28803555.432543613</v>
      </c>
      <c r="BD1496" s="2">
        <f t="shared" ca="1" si="1480"/>
        <v>-17022464.404053114</v>
      </c>
      <c r="BE1496" s="2">
        <f t="shared" ca="1" si="1481"/>
        <v>2364185.7754754242</v>
      </c>
      <c r="BF1496" s="2">
        <f t="shared" ca="1" si="1482"/>
        <v>2612781.4577874201</v>
      </c>
      <c r="BG1496" s="2">
        <f t="shared" ca="1" si="1483"/>
        <v>2804532.0779357101</v>
      </c>
      <c r="BH1496" s="2">
        <f t="shared" ca="1" si="1484"/>
        <v>3005107.9051690646</v>
      </c>
      <c r="BI1496" s="2">
        <f t="shared" ca="1" si="1485"/>
        <v>32018470.546884846</v>
      </c>
      <c r="BJ1496" s="2">
        <f t="shared" ca="1" si="1486"/>
        <v>0.24445964106937446</v>
      </c>
      <c r="BK1496" s="2">
        <f t="shared" ca="1" si="1487"/>
        <v>9245460.1402117237</v>
      </c>
    </row>
    <row r="1497" spans="1:63" x14ac:dyDescent="0.3">
      <c r="A1497" s="2">
        <v>1496</v>
      </c>
      <c r="B1497" s="2">
        <f t="shared" ca="1" si="1426"/>
        <v>0.77799312358537565</v>
      </c>
      <c r="C1497" s="2">
        <f t="shared" ca="1" si="1427"/>
        <v>7.3336564303384861</v>
      </c>
      <c r="D1497" s="2">
        <f t="shared" ca="1" si="1428"/>
        <v>0.13640445954661162</v>
      </c>
      <c r="E1497" s="2">
        <f t="shared" ca="1" si="1429"/>
        <v>7.0223111324615086</v>
      </c>
      <c r="F1497" s="2">
        <f t="shared" ca="1" si="1430"/>
        <v>0.50708594449555611</v>
      </c>
      <c r="G1497" s="2">
        <f t="shared" ca="1" si="1431"/>
        <v>4.0532882885581344E-2</v>
      </c>
      <c r="H1497" s="2">
        <f t="shared" ca="1" si="1432"/>
        <v>4.0532882885581344E-2</v>
      </c>
      <c r="I1497" s="2">
        <f t="shared" ca="1" si="1433"/>
        <v>0.30410182290931032</v>
      </c>
      <c r="J1497" s="2">
        <f t="shared" ca="1" si="1434"/>
        <v>7.4368034192200923E-3</v>
      </c>
      <c r="K1497" s="2">
        <f t="shared" ca="1" si="1435"/>
        <v>7.4368034192200923E-3</v>
      </c>
      <c r="L1497" s="2">
        <f t="shared" ca="1" si="1436"/>
        <v>0.19295009057178025</v>
      </c>
      <c r="M1497" s="2">
        <f t="shared" ca="1" si="1437"/>
        <v>-1.7341526877958022E-2</v>
      </c>
      <c r="N1497" s="2">
        <f t="shared" ca="1" si="1438"/>
        <v>-1.7341526877958022E-2</v>
      </c>
      <c r="O1497" s="2">
        <f t="shared" si="1439"/>
        <v>6000000</v>
      </c>
      <c r="P1497" s="2">
        <f t="shared" ca="1" si="1440"/>
        <v>44001938.582030915</v>
      </c>
      <c r="Q1497" s="2">
        <f t="shared" ca="1" si="1441"/>
        <v>1100048.4645507729</v>
      </c>
      <c r="R1497" s="2">
        <f t="shared" ca="1" si="1442"/>
        <v>26401163.149218548</v>
      </c>
      <c r="S1497" s="2">
        <f t="shared" ca="1" si="1443"/>
        <v>17600775.432812367</v>
      </c>
      <c r="T1497" s="2">
        <f t="shared" ca="1" si="1444"/>
        <v>49132923.656102099</v>
      </c>
      <c r="U1497" s="2">
        <f t="shared" ca="1" si="1445"/>
        <v>51124422.696481094</v>
      </c>
      <c r="V1497" s="2">
        <f t="shared" ca="1" si="1446"/>
        <v>53196642.934230521</v>
      </c>
      <c r="W1497" s="2">
        <f t="shared" ca="1" si="1447"/>
        <v>55352856.232189775</v>
      </c>
      <c r="X1497" s="2">
        <f t="shared" ca="1" si="1448"/>
        <v>57596467.071231544</v>
      </c>
      <c r="Y1497" s="2">
        <f t="shared" ca="1" si="1449"/>
        <v>0.12371840170961004</v>
      </c>
      <c r="Z1497" s="2">
        <f t="shared" ca="1" si="1450"/>
        <v>0.12520576239345407</v>
      </c>
      <c r="AA1497" s="2">
        <f t="shared" ca="1" si="1451"/>
        <v>6078646.7860532412</v>
      </c>
      <c r="AB1497" s="2">
        <f t="shared" ca="1" si="1452"/>
        <v>6401072.320638122</v>
      </c>
      <c r="AC1497" s="2">
        <f t="shared" ca="1" si="1453"/>
        <v>6660526.2353526838</v>
      </c>
      <c r="AD1497" s="2">
        <f t="shared" ca="1" si="1454"/>
        <v>6930496.5652065761</v>
      </c>
      <c r="AE1497" s="2">
        <f t="shared" ca="1" si="1455"/>
        <v>7211409.5708230184</v>
      </c>
      <c r="AF1497" s="2">
        <f t="shared" ca="1" si="1456"/>
        <v>982658.47312204202</v>
      </c>
      <c r="AG1497" s="2">
        <f t="shared" ca="1" si="1457"/>
        <v>1022488.4539296218</v>
      </c>
      <c r="AH1497" s="2">
        <f t="shared" ca="1" si="1458"/>
        <v>1063932.8586846103</v>
      </c>
      <c r="AI1497" s="2">
        <f t="shared" ca="1" si="1459"/>
        <v>1107057.1246437954</v>
      </c>
      <c r="AJ1497" s="2">
        <f t="shared" ca="1" si="1460"/>
        <v>1151929.341424631</v>
      </c>
      <c r="AK1497" s="2">
        <f t="shared" ca="1" si="1461"/>
        <v>0</v>
      </c>
      <c r="AL1497" s="2">
        <f t="shared" ca="1" si="1462"/>
        <v>19914.990403789954</v>
      </c>
      <c r="AM1497" s="2">
        <f t="shared" ca="1" si="1463"/>
        <v>20722.202377494275</v>
      </c>
      <c r="AN1497" s="2">
        <f t="shared" ca="1" si="1464"/>
        <v>21562.132979592534</v>
      </c>
      <c r="AO1497" s="2">
        <f t="shared" ca="1" si="1465"/>
        <v>22436.108390417696</v>
      </c>
      <c r="AP1497" s="2">
        <f t="shared" ca="1" si="1466"/>
        <v>2376104.6834296691</v>
      </c>
      <c r="AQ1497" s="2">
        <f t="shared" ca="1" si="1467"/>
        <v>707169.7436703979</v>
      </c>
      <c r="AR1497" s="2">
        <f t="shared" ca="1" si="1468"/>
        <v>780644.58765249618</v>
      </c>
      <c r="AS1497" s="2">
        <f t="shared" ca="1" si="1469"/>
        <v>837327.06024198513</v>
      </c>
      <c r="AT1497" s="2">
        <f t="shared" ca="1" si="1470"/>
        <v>896307.03685460915</v>
      </c>
      <c r="AU1497" s="2">
        <f t="shared" ca="1" si="1471"/>
        <v>957677.6419518668</v>
      </c>
      <c r="AV1497" s="2">
        <f t="shared" ca="1" si="1472"/>
        <v>2012713.885831133</v>
      </c>
      <c r="AW1497" s="2">
        <f t="shared" ca="1" si="1473"/>
        <v>2201919.6052225451</v>
      </c>
      <c r="AX1497" s="2">
        <f t="shared" ca="1" si="1474"/>
        <v>2362439.4306189246</v>
      </c>
      <c r="AY1497" s="2">
        <f t="shared" ca="1" si="1475"/>
        <v>2529465.5872989106</v>
      </c>
      <c r="AZ1497" s="2">
        <f t="shared" ca="1" si="1476"/>
        <v>2703261.795626434</v>
      </c>
      <c r="BA1497" s="2">
        <f t="shared" ca="1" si="1477"/>
        <v>50640761.709929951</v>
      </c>
      <c r="BB1497" s="2">
        <f t="shared" ca="1" si="1478"/>
        <v>1012815.234198599</v>
      </c>
      <c r="BC1497" s="2">
        <f t="shared" ca="1" si="1479"/>
        <v>23226783.326512802</v>
      </c>
      <c r="BD1497" s="2">
        <f t="shared" ca="1" si="1480"/>
        <v>-19200823.897363141</v>
      </c>
      <c r="BE1497" s="2">
        <f t="shared" ca="1" si="1481"/>
        <v>2012713.885831133</v>
      </c>
      <c r="BF1497" s="2">
        <f t="shared" ca="1" si="1482"/>
        <v>2201919.6052225451</v>
      </c>
      <c r="BG1497" s="2">
        <f t="shared" ca="1" si="1483"/>
        <v>2362439.4306189246</v>
      </c>
      <c r="BH1497" s="2">
        <f t="shared" ca="1" si="1484"/>
        <v>2529465.5872989106</v>
      </c>
      <c r="BI1497" s="2">
        <f t="shared" ca="1" si="1485"/>
        <v>25930045.122139238</v>
      </c>
      <c r="BJ1497" s="2">
        <f t="shared" ca="1" si="1486"/>
        <v>0.1515256359360253</v>
      </c>
      <c r="BK1497" s="2">
        <f t="shared" ca="1" si="1487"/>
        <v>2354061.7053702436</v>
      </c>
    </row>
    <row r="1498" spans="1:63" x14ac:dyDescent="0.3">
      <c r="A1498" s="2">
        <v>1497</v>
      </c>
      <c r="B1498" s="2">
        <f t="shared" ca="1" si="1426"/>
        <v>0.7349186130719626</v>
      </c>
      <c r="C1498" s="2">
        <f t="shared" ca="1" si="1427"/>
        <v>7.2718772261108198</v>
      </c>
      <c r="D1498" s="2">
        <f t="shared" ca="1" si="1428"/>
        <v>0.68743326726056608</v>
      </c>
      <c r="E1498" s="2">
        <f t="shared" ca="1" si="1429"/>
        <v>7.7093461784833597</v>
      </c>
      <c r="F1498" s="2">
        <f t="shared" ca="1" si="1430"/>
        <v>1.433689971578711E-2</v>
      </c>
      <c r="G1498" s="2">
        <f t="shared" ca="1" si="1431"/>
        <v>-2.5638271525164506E-2</v>
      </c>
      <c r="H1498" s="2">
        <f t="shared" ca="1" si="1432"/>
        <v>-0.02</v>
      </c>
      <c r="I1498" s="2">
        <f t="shared" ca="1" si="1433"/>
        <v>0.44407950989408773</v>
      </c>
      <c r="J1498" s="2">
        <f t="shared" ca="1" si="1434"/>
        <v>9.2968295743431351E-3</v>
      </c>
      <c r="K1498" s="2">
        <f t="shared" ca="1" si="1435"/>
        <v>9.2968295743431351E-3</v>
      </c>
      <c r="L1498" s="2">
        <f t="shared" ca="1" si="1436"/>
        <v>0.27155731510643133</v>
      </c>
      <c r="M1498" s="2">
        <f t="shared" ca="1" si="1437"/>
        <v>-1.2162196685311117E-2</v>
      </c>
      <c r="N1498" s="2">
        <f t="shared" ca="1" si="1438"/>
        <v>-1.2162196685311117E-2</v>
      </c>
      <c r="O1498" s="2">
        <f t="shared" si="1439"/>
        <v>6000000</v>
      </c>
      <c r="P1498" s="2">
        <f t="shared" ca="1" si="1440"/>
        <v>43631263.356664918</v>
      </c>
      <c r="Q1498" s="2">
        <f t="shared" ca="1" si="1441"/>
        <v>1090781.5839166229</v>
      </c>
      <c r="R1498" s="2">
        <f t="shared" ca="1" si="1442"/>
        <v>26178758.013998952</v>
      </c>
      <c r="S1498" s="2">
        <f t="shared" ca="1" si="1443"/>
        <v>17452505.342665967</v>
      </c>
      <c r="T1498" s="2">
        <f t="shared" ca="1" si="1444"/>
        <v>49391890.16573444</v>
      </c>
      <c r="U1498" s="2">
        <f t="shared" ca="1" si="1445"/>
        <v>48404052.362419747</v>
      </c>
      <c r="V1498" s="2">
        <f t="shared" ca="1" si="1446"/>
        <v>47435971.315171354</v>
      </c>
      <c r="W1498" s="2">
        <f t="shared" ca="1" si="1447"/>
        <v>46487251.888867922</v>
      </c>
      <c r="X1498" s="2">
        <f t="shared" ca="1" si="1448"/>
        <v>45557506.851090565</v>
      </c>
      <c r="Y1498" s="2">
        <f t="shared" ca="1" si="1449"/>
        <v>0.12464841478717156</v>
      </c>
      <c r="Z1498" s="2">
        <f t="shared" ca="1" si="1450"/>
        <v>0.12650778070204019</v>
      </c>
      <c r="AA1498" s="2">
        <f t="shared" ca="1" si="1451"/>
        <v>6156620.8125008866</v>
      </c>
      <c r="AB1498" s="2">
        <f t="shared" ca="1" si="1452"/>
        <v>6123489.2413550681</v>
      </c>
      <c r="AC1498" s="2">
        <f t="shared" ca="1" si="1453"/>
        <v>6001019.456527967</v>
      </c>
      <c r="AD1498" s="2">
        <f t="shared" ca="1" si="1454"/>
        <v>5880999.0673974063</v>
      </c>
      <c r="AE1498" s="2">
        <f t="shared" ca="1" si="1455"/>
        <v>5763379.0860494589</v>
      </c>
      <c r="AF1498" s="2">
        <f t="shared" ca="1" si="1456"/>
        <v>987837.80331468885</v>
      </c>
      <c r="AG1498" s="2">
        <f t="shared" ca="1" si="1457"/>
        <v>968081.04724839493</v>
      </c>
      <c r="AH1498" s="2">
        <f t="shared" ca="1" si="1458"/>
        <v>948719.42630342708</v>
      </c>
      <c r="AI1498" s="2">
        <f t="shared" ca="1" si="1459"/>
        <v>929745.03777735843</v>
      </c>
      <c r="AJ1498" s="2">
        <f t="shared" ca="1" si="1460"/>
        <v>911150.13702181133</v>
      </c>
      <c r="AK1498" s="2">
        <f t="shared" ca="1" si="1461"/>
        <v>0</v>
      </c>
      <c r="AL1498" s="2">
        <f t="shared" ca="1" si="1462"/>
        <v>0</v>
      </c>
      <c r="AM1498" s="2">
        <f t="shared" ca="1" si="1463"/>
        <v>0</v>
      </c>
      <c r="AN1498" s="2">
        <f t="shared" ca="1" si="1464"/>
        <v>0</v>
      </c>
      <c r="AO1498" s="2">
        <f t="shared" ca="1" si="1465"/>
        <v>0</v>
      </c>
      <c r="AP1498" s="2">
        <f t="shared" ca="1" si="1466"/>
        <v>2356088.2212599055</v>
      </c>
      <c r="AQ1498" s="2">
        <f t="shared" ca="1" si="1467"/>
        <v>731300.6448608361</v>
      </c>
      <c r="AR1498" s="2">
        <f t="shared" ca="1" si="1468"/>
        <v>727823.19294015958</v>
      </c>
      <c r="AS1498" s="2">
        <f t="shared" ca="1" si="1469"/>
        <v>701015.07033080503</v>
      </c>
      <c r="AT1498" s="2">
        <f t="shared" ca="1" si="1470"/>
        <v>674743.11017363693</v>
      </c>
      <c r="AU1498" s="2">
        <f t="shared" ca="1" si="1471"/>
        <v>648996.58921961288</v>
      </c>
      <c r="AV1498" s="2">
        <f t="shared" ca="1" si="1472"/>
        <v>2081394.1430654568</v>
      </c>
      <c r="AW1498" s="2">
        <f t="shared" ca="1" si="1473"/>
        <v>2071496.7799066077</v>
      </c>
      <c r="AX1498" s="2">
        <f t="shared" ca="1" si="1474"/>
        <v>1995196.7386338296</v>
      </c>
      <c r="AY1498" s="2">
        <f t="shared" ca="1" si="1475"/>
        <v>1920422.6981865051</v>
      </c>
      <c r="AZ1498" s="2">
        <f t="shared" ca="1" si="1476"/>
        <v>1847144.1385481288</v>
      </c>
      <c r="BA1498" s="2">
        <f t="shared" ca="1" si="1477"/>
        <v>44431884.532186314</v>
      </c>
      <c r="BB1498" s="2">
        <f t="shared" ca="1" si="1478"/>
        <v>888637.69064372627</v>
      </c>
      <c r="BC1498" s="2">
        <f t="shared" ca="1" si="1479"/>
        <v>17364488.827543635</v>
      </c>
      <c r="BD1498" s="2">
        <f t="shared" ca="1" si="1480"/>
        <v>-19043286.92658259</v>
      </c>
      <c r="BE1498" s="2">
        <f t="shared" ca="1" si="1481"/>
        <v>2081394.1430654568</v>
      </c>
      <c r="BF1498" s="2">
        <f t="shared" ca="1" si="1482"/>
        <v>2071496.7799066077</v>
      </c>
      <c r="BG1498" s="2">
        <f t="shared" ca="1" si="1483"/>
        <v>1995196.7386338296</v>
      </c>
      <c r="BH1498" s="2">
        <f t="shared" ca="1" si="1484"/>
        <v>1920422.6981865051</v>
      </c>
      <c r="BI1498" s="2">
        <f t="shared" ca="1" si="1485"/>
        <v>19211632.966091763</v>
      </c>
      <c r="BJ1498" s="2">
        <f t="shared" ca="1" si="1486"/>
        <v>8.9960309858618137E-2</v>
      </c>
      <c r="BK1498" s="2">
        <f t="shared" ca="1" si="1487"/>
        <v>-1991713.2894303352</v>
      </c>
    </row>
    <row r="1499" spans="1:63" x14ac:dyDescent="0.3">
      <c r="A1499" s="2">
        <v>1498</v>
      </c>
      <c r="B1499" s="2">
        <f t="shared" ca="1" si="1426"/>
        <v>0.30926266387110002</v>
      </c>
      <c r="C1499" s="2">
        <f t="shared" ca="1" si="1427"/>
        <v>6.7864638120995782</v>
      </c>
      <c r="D1499" s="2">
        <f t="shared" ca="1" si="1428"/>
        <v>0.50947050511339353</v>
      </c>
      <c r="E1499" s="2">
        <f t="shared" ca="1" si="1429"/>
        <v>7.5095157801493189</v>
      </c>
      <c r="F1499" s="2">
        <f t="shared" ca="1" si="1430"/>
        <v>0.43809056049842998</v>
      </c>
      <c r="G1499" s="2">
        <f t="shared" ca="1" si="1431"/>
        <v>3.5325636554711048E-2</v>
      </c>
      <c r="H1499" s="2">
        <f t="shared" ca="1" si="1432"/>
        <v>3.5325636554711048E-2</v>
      </c>
      <c r="I1499" s="2">
        <f t="shared" ca="1" si="1433"/>
        <v>0.16108924141546954</v>
      </c>
      <c r="J1499" s="2">
        <f t="shared" ca="1" si="1434"/>
        <v>5.0500446395487474E-3</v>
      </c>
      <c r="K1499" s="2">
        <f t="shared" ca="1" si="1435"/>
        <v>5.0500446395487474E-3</v>
      </c>
      <c r="L1499" s="2">
        <f t="shared" ca="1" si="1436"/>
        <v>0.25779176420108585</v>
      </c>
      <c r="M1499" s="2">
        <f t="shared" ca="1" si="1437"/>
        <v>-1.3003365586913016E-2</v>
      </c>
      <c r="N1499" s="2">
        <f t="shared" ca="1" si="1438"/>
        <v>-1.3003365586913016E-2</v>
      </c>
      <c r="O1499" s="2">
        <f t="shared" si="1439"/>
        <v>6000000</v>
      </c>
      <c r="P1499" s="2">
        <f t="shared" ca="1" si="1440"/>
        <v>40718782.872597471</v>
      </c>
      <c r="Q1499" s="2">
        <f t="shared" ca="1" si="1441"/>
        <v>1017969.5718149368</v>
      </c>
      <c r="R1499" s="2">
        <f t="shared" ca="1" si="1442"/>
        <v>24431269.723558482</v>
      </c>
      <c r="S1499" s="2">
        <f t="shared" ca="1" si="1443"/>
        <v>16287513.149038989</v>
      </c>
      <c r="T1499" s="2">
        <f t="shared" ca="1" si="1444"/>
        <v>49349831.720654346</v>
      </c>
      <c r="U1499" s="2">
        <f t="shared" ca="1" si="1445"/>
        <v>51093145.940054327</v>
      </c>
      <c r="V1499" s="2">
        <f t="shared" ca="1" si="1446"/>
        <v>52898043.843969494</v>
      </c>
      <c r="W1499" s="2">
        <f t="shared" ca="1" si="1447"/>
        <v>54766700.915256731</v>
      </c>
      <c r="X1499" s="2">
        <f t="shared" ca="1" si="1448"/>
        <v>56701369.487089649</v>
      </c>
      <c r="Y1499" s="2">
        <f t="shared" ca="1" si="1449"/>
        <v>0.12252502231977437</v>
      </c>
      <c r="Z1499" s="2">
        <f t="shared" ca="1" si="1450"/>
        <v>0.12353503124768411</v>
      </c>
      <c r="AA1499" s="2">
        <f t="shared" ca="1" si="1451"/>
        <v>6046589.233050283</v>
      </c>
      <c r="AB1499" s="2">
        <f t="shared" ca="1" si="1452"/>
        <v>6311793.3802470956</v>
      </c>
      <c r="AC1499" s="2">
        <f t="shared" ca="1" si="1453"/>
        <v>6534761.499206136</v>
      </c>
      <c r="AD1499" s="2">
        <f t="shared" ca="1" si="1454"/>
        <v>6765606.1088988101</v>
      </c>
      <c r="AE1499" s="2">
        <f t="shared" ca="1" si="1455"/>
        <v>7004605.4513741024</v>
      </c>
      <c r="AF1499" s="2">
        <f t="shared" ca="1" si="1456"/>
        <v>986996.63441308693</v>
      </c>
      <c r="AG1499" s="2">
        <f t="shared" ca="1" si="1457"/>
        <v>1021862.9188010866</v>
      </c>
      <c r="AH1499" s="2">
        <f t="shared" ca="1" si="1458"/>
        <v>1057960.8768793899</v>
      </c>
      <c r="AI1499" s="2">
        <f t="shared" ca="1" si="1459"/>
        <v>1095334.0183051347</v>
      </c>
      <c r="AJ1499" s="2">
        <f t="shared" ca="1" si="1460"/>
        <v>1134027.389741793</v>
      </c>
      <c r="AK1499" s="2">
        <f t="shared" ca="1" si="1461"/>
        <v>0</v>
      </c>
      <c r="AL1499" s="2">
        <f t="shared" ca="1" si="1462"/>
        <v>17433.142193999811</v>
      </c>
      <c r="AM1499" s="2">
        <f t="shared" ca="1" si="1463"/>
        <v>18048.979039151669</v>
      </c>
      <c r="AN1499" s="2">
        <f t="shared" ca="1" si="1464"/>
        <v>18686.57071287237</v>
      </c>
      <c r="AO1499" s="2">
        <f t="shared" ca="1" si="1465"/>
        <v>19346.685718329176</v>
      </c>
      <c r="AP1499" s="2">
        <f t="shared" ca="1" si="1466"/>
        <v>2198814.2751202635</v>
      </c>
      <c r="AQ1499" s="2">
        <f t="shared" ca="1" si="1467"/>
        <v>743802.36411440256</v>
      </c>
      <c r="AR1499" s="2">
        <f t="shared" ca="1" si="1468"/>
        <v>803690.20844469382</v>
      </c>
      <c r="AS1499" s="2">
        <f t="shared" ca="1" si="1469"/>
        <v>852276.45027368562</v>
      </c>
      <c r="AT1499" s="2">
        <f t="shared" ca="1" si="1470"/>
        <v>902579.03202308703</v>
      </c>
      <c r="AU1499" s="2">
        <f t="shared" ca="1" si="1471"/>
        <v>954658.58449313196</v>
      </c>
      <c r="AV1499" s="2">
        <f t="shared" ca="1" si="1472"/>
        <v>2116975.95940253</v>
      </c>
      <c r="AW1499" s="2">
        <f t="shared" ca="1" si="1473"/>
        <v>2269992.8356870511</v>
      </c>
      <c r="AX1499" s="2">
        <f t="shared" ca="1" si="1474"/>
        <v>2407660.9178936468</v>
      </c>
      <c r="AY1499" s="2">
        <f t="shared" ca="1" si="1475"/>
        <v>2550192.2127374518</v>
      </c>
      <c r="AZ1499" s="2">
        <f t="shared" ca="1" si="1476"/>
        <v>2697758.5163005837</v>
      </c>
      <c r="BA1499" s="2">
        <f t="shared" ca="1" si="1477"/>
        <v>52601195.170813762</v>
      </c>
      <c r="BB1499" s="2">
        <f t="shared" ca="1" si="1478"/>
        <v>1052023.9034162753</v>
      </c>
      <c r="BC1499" s="2">
        <f t="shared" ca="1" si="1479"/>
        <v>27117901.543839004</v>
      </c>
      <c r="BD1499" s="2">
        <f t="shared" ca="1" si="1480"/>
        <v>-17805482.720853925</v>
      </c>
      <c r="BE1499" s="2">
        <f t="shared" ca="1" si="1481"/>
        <v>2116975.95940253</v>
      </c>
      <c r="BF1499" s="2">
        <f t="shared" ca="1" si="1482"/>
        <v>2269992.8356870511</v>
      </c>
      <c r="BG1499" s="2">
        <f t="shared" ca="1" si="1483"/>
        <v>2407660.9178936468</v>
      </c>
      <c r="BH1499" s="2">
        <f t="shared" ca="1" si="1484"/>
        <v>2550192.2127374518</v>
      </c>
      <c r="BI1499" s="2">
        <f t="shared" ca="1" si="1485"/>
        <v>29815660.060139589</v>
      </c>
      <c r="BJ1499" s="2">
        <f t="shared" ca="1" si="1486"/>
        <v>0.20229205433025488</v>
      </c>
      <c r="BK1499" s="2">
        <f t="shared" ca="1" si="1487"/>
        <v>6146923.754940372</v>
      </c>
    </row>
    <row r="1500" spans="1:63" x14ac:dyDescent="0.3">
      <c r="A1500" s="2">
        <v>1499</v>
      </c>
      <c r="B1500" s="2">
        <f t="shared" ca="1" si="1426"/>
        <v>0.27880469905552718</v>
      </c>
      <c r="C1500" s="2">
        <f t="shared" ca="1" si="1427"/>
        <v>6.7467324809535567</v>
      </c>
      <c r="D1500" s="2">
        <f t="shared" ca="1" si="1428"/>
        <v>0.65507886734949383</v>
      </c>
      <c r="E1500" s="2">
        <f t="shared" ca="1" si="1429"/>
        <v>7.6694325642664456</v>
      </c>
      <c r="F1500" s="2">
        <f t="shared" ca="1" si="1430"/>
        <v>7.7147126861096482E-2</v>
      </c>
      <c r="G1500" s="2">
        <f t="shared" ca="1" si="1431"/>
        <v>-2.7357810838700425E-3</v>
      </c>
      <c r="H1500" s="2">
        <f t="shared" ca="1" si="1432"/>
        <v>-2.7357810838700425E-3</v>
      </c>
      <c r="I1500" s="2">
        <f t="shared" ca="1" si="1433"/>
        <v>0.80041959230200188</v>
      </c>
      <c r="J1500" s="2">
        <f t="shared" ca="1" si="1434"/>
        <v>1.4215604639688958E-2</v>
      </c>
      <c r="K1500" s="2">
        <f t="shared" ca="1" si="1435"/>
        <v>1.4215604639688958E-2</v>
      </c>
      <c r="L1500" s="2">
        <f t="shared" ca="1" si="1436"/>
        <v>0.37098056355564202</v>
      </c>
      <c r="M1500" s="2">
        <f t="shared" ca="1" si="1437"/>
        <v>-6.5851483513803249E-3</v>
      </c>
      <c r="N1500" s="2">
        <f t="shared" ca="1" si="1438"/>
        <v>-6.5851483513803249E-3</v>
      </c>
      <c r="O1500" s="2">
        <f t="shared" si="1439"/>
        <v>6000000</v>
      </c>
      <c r="P1500" s="2">
        <f t="shared" ca="1" si="1440"/>
        <v>40480394.885721341</v>
      </c>
      <c r="Q1500" s="2">
        <f t="shared" ca="1" si="1441"/>
        <v>1012009.8721430335</v>
      </c>
      <c r="R1500" s="2">
        <f t="shared" ca="1" si="1442"/>
        <v>24288236.931432802</v>
      </c>
      <c r="S1500" s="2">
        <f t="shared" ca="1" si="1443"/>
        <v>16192157.954288537</v>
      </c>
      <c r="T1500" s="2">
        <f t="shared" ca="1" si="1444"/>
        <v>49670742.582430981</v>
      </c>
      <c r="U1500" s="2">
        <f t="shared" ca="1" si="1445"/>
        <v>49534854.304452188</v>
      </c>
      <c r="V1500" s="2">
        <f t="shared" ca="1" si="1446"/>
        <v>49399337.787053809</v>
      </c>
      <c r="W1500" s="2">
        <f t="shared" ca="1" si="1447"/>
        <v>49264192.013180278</v>
      </c>
      <c r="X1500" s="2">
        <f t="shared" ca="1" si="1448"/>
        <v>49129415.968558475</v>
      </c>
      <c r="Y1500" s="2">
        <f t="shared" ca="1" si="1449"/>
        <v>0.12710780231984448</v>
      </c>
      <c r="Z1500" s="2">
        <f t="shared" ca="1" si="1450"/>
        <v>0.12995092324778226</v>
      </c>
      <c r="AA1500" s="2">
        <f t="shared" ca="1" si="1451"/>
        <v>6313538.9292475181</v>
      </c>
      <c r="AB1500" s="2">
        <f t="shared" ca="1" si="1452"/>
        <v>6437100.0498079434</v>
      </c>
      <c r="AC1500" s="2">
        <f t="shared" ca="1" si="1453"/>
        <v>6419489.5532566998</v>
      </c>
      <c r="AD1500" s="2">
        <f t="shared" ca="1" si="1454"/>
        <v>6401927.2351687979</v>
      </c>
      <c r="AE1500" s="2">
        <f t="shared" ca="1" si="1455"/>
        <v>6384412.9637385104</v>
      </c>
      <c r="AF1500" s="2">
        <f t="shared" ca="1" si="1456"/>
        <v>993414.85164861963</v>
      </c>
      <c r="AG1500" s="2">
        <f t="shared" ca="1" si="1457"/>
        <v>990697.08608904376</v>
      </c>
      <c r="AH1500" s="2">
        <f t="shared" ca="1" si="1458"/>
        <v>987986.75574107619</v>
      </c>
      <c r="AI1500" s="2">
        <f t="shared" ca="1" si="1459"/>
        <v>985283.84026360558</v>
      </c>
      <c r="AJ1500" s="2">
        <f t="shared" ca="1" si="1460"/>
        <v>982588.31937116955</v>
      </c>
      <c r="AK1500" s="2">
        <f t="shared" ca="1" si="1461"/>
        <v>0</v>
      </c>
      <c r="AL1500" s="2">
        <f t="shared" ca="1" si="1462"/>
        <v>0</v>
      </c>
      <c r="AM1500" s="2">
        <f t="shared" ca="1" si="1463"/>
        <v>0</v>
      </c>
      <c r="AN1500" s="2">
        <f t="shared" ca="1" si="1464"/>
        <v>0</v>
      </c>
      <c r="AO1500" s="2">
        <f t="shared" ca="1" si="1465"/>
        <v>0</v>
      </c>
      <c r="AP1500" s="2">
        <f t="shared" ca="1" si="1466"/>
        <v>2185941.3238289519</v>
      </c>
      <c r="AQ1500" s="2">
        <f t="shared" ca="1" si="1467"/>
        <v>814887.51598018617</v>
      </c>
      <c r="AR1500" s="2">
        <f t="shared" ca="1" si="1468"/>
        <v>847720.02637138637</v>
      </c>
      <c r="AS1500" s="2">
        <f t="shared" ca="1" si="1469"/>
        <v>843845.98315853463</v>
      </c>
      <c r="AT1500" s="2">
        <f t="shared" ca="1" si="1470"/>
        <v>839982.53847982269</v>
      </c>
      <c r="AU1500" s="2">
        <f t="shared" ca="1" si="1471"/>
        <v>836129.66333998123</v>
      </c>
      <c r="AV1500" s="2">
        <f t="shared" ca="1" si="1472"/>
        <v>2319295.2377897608</v>
      </c>
      <c r="AW1500" s="2">
        <f t="shared" ca="1" si="1473"/>
        <v>2412741.6135185608</v>
      </c>
      <c r="AX1500" s="2">
        <f t="shared" ca="1" si="1474"/>
        <v>2401715.490528137</v>
      </c>
      <c r="AY1500" s="2">
        <f t="shared" ca="1" si="1475"/>
        <v>2390719.5325964182</v>
      </c>
      <c r="AZ1500" s="2">
        <f t="shared" ca="1" si="1476"/>
        <v>2379753.6571984082</v>
      </c>
      <c r="BA1500" s="2">
        <f t="shared" ca="1" si="1477"/>
        <v>48964824.687820978</v>
      </c>
      <c r="BB1500" s="2">
        <f t="shared" ca="1" si="1478"/>
        <v>979296.49375641963</v>
      </c>
      <c r="BC1500" s="2">
        <f t="shared" ca="1" si="1479"/>
        <v>23697291.262631755</v>
      </c>
      <c r="BD1500" s="2">
        <f t="shared" ca="1" si="1480"/>
        <v>-17704167.826431569</v>
      </c>
      <c r="BE1500" s="2">
        <f t="shared" ca="1" si="1481"/>
        <v>2319295.2377897608</v>
      </c>
      <c r="BF1500" s="2">
        <f t="shared" ca="1" si="1482"/>
        <v>2412741.6135185608</v>
      </c>
      <c r="BG1500" s="2">
        <f t="shared" ca="1" si="1483"/>
        <v>2401715.490528137</v>
      </c>
      <c r="BH1500" s="2">
        <f t="shared" ca="1" si="1484"/>
        <v>2390719.5325964182</v>
      </c>
      <c r="BI1500" s="2">
        <f t="shared" ca="1" si="1485"/>
        <v>26077044.919830162</v>
      </c>
      <c r="BJ1500" s="2">
        <f t="shared" ca="1" si="1486"/>
        <v>0.1814442821132416</v>
      </c>
      <c r="BK1500" s="2">
        <f t="shared" ca="1" si="1487"/>
        <v>4315709.0711110346</v>
      </c>
    </row>
    <row r="1501" spans="1:63" x14ac:dyDescent="0.3">
      <c r="A1501" s="2">
        <v>1500</v>
      </c>
      <c r="B1501" s="2">
        <f t="shared" ca="1" si="1426"/>
        <v>0.98311706410637056</v>
      </c>
      <c r="C1501" s="2">
        <f t="shared" ca="1" si="1427"/>
        <v>7.8162450768353162</v>
      </c>
      <c r="D1501" s="2">
        <f t="shared" ca="1" si="1428"/>
        <v>0.17799156064814003</v>
      </c>
      <c r="E1501" s="2">
        <f t="shared" ca="1" si="1429"/>
        <v>7.0966432110535411</v>
      </c>
      <c r="F1501" s="2">
        <f t="shared" ca="1" si="1430"/>
        <v>0.73247121406760696</v>
      </c>
      <c r="G1501" s="2">
        <f t="shared" ca="1" si="1431"/>
        <v>5.8609124105856537E-2</v>
      </c>
      <c r="H1501" s="2">
        <f t="shared" ca="1" si="1432"/>
        <v>5.8609124105856537E-2</v>
      </c>
      <c r="I1501" s="2">
        <f t="shared" ca="1" si="1433"/>
        <v>0.13325557424910095</v>
      </c>
      <c r="J1501" s="2">
        <f t="shared" ca="1" si="1434"/>
        <v>4.4443355021948428E-3</v>
      </c>
      <c r="K1501" s="2">
        <f t="shared" ca="1" si="1435"/>
        <v>4.4443355021948428E-3</v>
      </c>
      <c r="L1501" s="2">
        <f t="shared" ca="1" si="1436"/>
        <v>0.26092041720033909</v>
      </c>
      <c r="M1501" s="2">
        <f t="shared" ca="1" si="1437"/>
        <v>-1.2810207865534098E-2</v>
      </c>
      <c r="N1501" s="2">
        <f t="shared" ca="1" si="1438"/>
        <v>-1.2810207865534098E-2</v>
      </c>
      <c r="O1501" s="2">
        <f t="shared" si="1439"/>
        <v>6000000</v>
      </c>
      <c r="P1501" s="2">
        <f t="shared" ca="1" si="1440"/>
        <v>46897470.461011894</v>
      </c>
      <c r="Q1501" s="2">
        <f t="shared" ca="1" si="1441"/>
        <v>1172436.7615252973</v>
      </c>
      <c r="R1501" s="2">
        <f t="shared" ca="1" si="1442"/>
        <v>28138482.276607137</v>
      </c>
      <c r="S1501" s="2">
        <f t="shared" ca="1" si="1443"/>
        <v>18758988.184404757</v>
      </c>
      <c r="T1501" s="2">
        <f t="shared" ca="1" si="1444"/>
        <v>49359489.606723294</v>
      </c>
      <c r="U1501" s="2">
        <f t="shared" ca="1" si="1445"/>
        <v>52252406.058885477</v>
      </c>
      <c r="V1501" s="2">
        <f t="shared" ca="1" si="1446"/>
        <v>55314873.810420312</v>
      </c>
      <c r="W1501" s="2">
        <f t="shared" ca="1" si="1447"/>
        <v>58556830.114475034</v>
      </c>
      <c r="X1501" s="2">
        <f t="shared" ca="1" si="1448"/>
        <v>61988794.637899861</v>
      </c>
      <c r="Y1501" s="2">
        <f t="shared" ca="1" si="1449"/>
        <v>0.12222216775109741</v>
      </c>
      <c r="Z1501" s="2">
        <f t="shared" ca="1" si="1450"/>
        <v>0.12311103485153639</v>
      </c>
      <c r="AA1501" s="2">
        <f t="shared" ca="1" si="1451"/>
        <v>6032823.8188214833</v>
      </c>
      <c r="AB1501" s="2">
        <f t="shared" ca="1" si="1452"/>
        <v>6432847.783392081</v>
      </c>
      <c r="AC1501" s="2">
        <f t="shared" ca="1" si="1453"/>
        <v>6809871.357482993</v>
      </c>
      <c r="AD1501" s="2">
        <f t="shared" ca="1" si="1454"/>
        <v>7208991.9530186318</v>
      </c>
      <c r="AE1501" s="2">
        <f t="shared" ca="1" si="1455"/>
        <v>7631504.6570712216</v>
      </c>
      <c r="AF1501" s="2">
        <f t="shared" ca="1" si="1456"/>
        <v>987189.79213446588</v>
      </c>
      <c r="AG1501" s="2">
        <f t="shared" ca="1" si="1457"/>
        <v>1045048.1211777095</v>
      </c>
      <c r="AH1501" s="2">
        <f t="shared" ca="1" si="1458"/>
        <v>1106297.4762084063</v>
      </c>
      <c r="AI1501" s="2">
        <f t="shared" ca="1" si="1459"/>
        <v>1171136.6022895006</v>
      </c>
      <c r="AJ1501" s="2">
        <f t="shared" ca="1" si="1460"/>
        <v>1239775.8927579971</v>
      </c>
      <c r="AK1501" s="2">
        <f t="shared" ca="1" si="1461"/>
        <v>0</v>
      </c>
      <c r="AL1501" s="2">
        <f t="shared" ca="1" si="1462"/>
        <v>28929.164521621839</v>
      </c>
      <c r="AM1501" s="2">
        <f t="shared" ca="1" si="1463"/>
        <v>30624.677515348347</v>
      </c>
      <c r="AN1501" s="2">
        <f t="shared" ca="1" si="1464"/>
        <v>32419.563040547222</v>
      </c>
      <c r="AO1501" s="2">
        <f t="shared" ca="1" si="1465"/>
        <v>34319.645234248266</v>
      </c>
      <c r="AP1501" s="2">
        <f t="shared" ca="1" si="1466"/>
        <v>2532463.4048946421</v>
      </c>
      <c r="AQ1501" s="2">
        <f t="shared" ca="1" si="1467"/>
        <v>653424.36166601768</v>
      </c>
      <c r="AR1501" s="2">
        <f t="shared" ca="1" si="1468"/>
        <v>742387.42690312967</v>
      </c>
      <c r="AS1501" s="2">
        <f t="shared" ca="1" si="1469"/>
        <v>824488.72385878558</v>
      </c>
      <c r="AT1501" s="2">
        <f t="shared" ca="1" si="1470"/>
        <v>911401.9059169672</v>
      </c>
      <c r="AU1501" s="2">
        <f t="shared" ca="1" si="1471"/>
        <v>1003408.9934488315</v>
      </c>
      <c r="AV1501" s="2">
        <f t="shared" ca="1" si="1472"/>
        <v>1859746.2601263584</v>
      </c>
      <c r="AW1501" s="2">
        <f t="shared" ca="1" si="1473"/>
        <v>2084019.6658949782</v>
      </c>
      <c r="AX1501" s="2">
        <f t="shared" ca="1" si="1474"/>
        <v>2315997.0750058102</v>
      </c>
      <c r="AY1501" s="2">
        <f t="shared" ca="1" si="1475"/>
        <v>2561570.4768769746</v>
      </c>
      <c r="AZ1501" s="2">
        <f t="shared" ca="1" si="1476"/>
        <v>2821536.7207355029</v>
      </c>
      <c r="BA1501" s="2">
        <f t="shared" ca="1" si="1477"/>
        <v>54158065.714727968</v>
      </c>
      <c r="BB1501" s="2">
        <f t="shared" ca="1" si="1478"/>
        <v>1083161.3142945594</v>
      </c>
      <c r="BC1501" s="2">
        <f t="shared" ca="1" si="1479"/>
        <v>24936422.123826273</v>
      </c>
      <c r="BD1501" s="2">
        <f t="shared" ca="1" si="1480"/>
        <v>-20431424.945930053</v>
      </c>
      <c r="BE1501" s="2">
        <f t="shared" ca="1" si="1481"/>
        <v>1859746.2601263584</v>
      </c>
      <c r="BF1501" s="2">
        <f t="shared" ca="1" si="1482"/>
        <v>2084019.6658949782</v>
      </c>
      <c r="BG1501" s="2">
        <f t="shared" ca="1" si="1483"/>
        <v>2315997.0750058102</v>
      </c>
      <c r="BH1501" s="2">
        <f t="shared" ca="1" si="1484"/>
        <v>2561570.4768769746</v>
      </c>
      <c r="BI1501" s="2">
        <f t="shared" ca="1" si="1485"/>
        <v>27757958.844561774</v>
      </c>
      <c r="BJ1501" s="2">
        <f t="shared" ca="1" si="1486"/>
        <v>0.14393895864082262</v>
      </c>
      <c r="BK1501" s="2">
        <f t="shared" ca="1" si="1487"/>
        <v>1917447.1321551651</v>
      </c>
    </row>
    <row r="1502" spans="1:63" x14ac:dyDescent="0.3">
      <c r="A1502" s="2">
        <v>1501</v>
      </c>
      <c r="B1502" s="2">
        <f t="shared" ca="1" si="1426"/>
        <v>0.68378563783136515</v>
      </c>
      <c r="C1502" s="2">
        <f t="shared" ca="1" si="1427"/>
        <v>7.2047461258583709</v>
      </c>
      <c r="D1502" s="2">
        <f t="shared" ca="1" si="1428"/>
        <v>0.72043997317036568</v>
      </c>
      <c r="E1502" s="2">
        <f t="shared" ca="1" si="1429"/>
        <v>7.7522566926683538</v>
      </c>
      <c r="F1502" s="2">
        <f t="shared" ca="1" si="1430"/>
        <v>0.11869004432211616</v>
      </c>
      <c r="G1502" s="2">
        <f t="shared" ca="1" si="1431"/>
        <v>4.5531815387992239E-3</v>
      </c>
      <c r="H1502" s="2">
        <f t="shared" ca="1" si="1432"/>
        <v>4.5531815387992239E-3</v>
      </c>
      <c r="I1502" s="2">
        <f t="shared" ca="1" si="1433"/>
        <v>0.97542429227442728</v>
      </c>
      <c r="J1502" s="2">
        <f t="shared" ca="1" si="1434"/>
        <v>1.9836379345462354E-2</v>
      </c>
      <c r="K1502" s="2">
        <f t="shared" ca="1" si="1435"/>
        <v>1.9836379345462354E-2</v>
      </c>
      <c r="L1502" s="2">
        <f t="shared" ca="1" si="1436"/>
        <v>0.63579612241123296</v>
      </c>
      <c r="M1502" s="2">
        <f t="shared" ca="1" si="1437"/>
        <v>6.9448869892533198E-3</v>
      </c>
      <c r="N1502" s="2">
        <f t="shared" ca="1" si="1438"/>
        <v>6.9448869892533198E-3</v>
      </c>
      <c r="O1502" s="2">
        <f t="shared" si="1439"/>
        <v>6000000</v>
      </c>
      <c r="P1502" s="2">
        <f t="shared" ca="1" si="1440"/>
        <v>43228476.755150229</v>
      </c>
      <c r="Q1502" s="2">
        <f t="shared" ca="1" si="1441"/>
        <v>1080711.9188787558</v>
      </c>
      <c r="R1502" s="2">
        <f t="shared" ca="1" si="1442"/>
        <v>25937086.053090136</v>
      </c>
      <c r="S1502" s="2">
        <f t="shared" ca="1" si="1443"/>
        <v>17291390.702060092</v>
      </c>
      <c r="T1502" s="2">
        <f t="shared" ca="1" si="1444"/>
        <v>50347244.349462658</v>
      </c>
      <c r="U1502" s="2">
        <f t="shared" ca="1" si="1445"/>
        <v>50576484.492964044</v>
      </c>
      <c r="V1502" s="2">
        <f t="shared" ca="1" si="1446"/>
        <v>50806768.408454768</v>
      </c>
      <c r="W1502" s="2">
        <f t="shared" ca="1" si="1447"/>
        <v>51038100.848418191</v>
      </c>
      <c r="X1502" s="2">
        <f t="shared" ca="1" si="1448"/>
        <v>51270486.58697658</v>
      </c>
      <c r="Y1502" s="2">
        <f t="shared" ca="1" si="1449"/>
        <v>0.12991818967273117</v>
      </c>
      <c r="Z1502" s="2">
        <f t="shared" ca="1" si="1450"/>
        <v>0.13388546554182365</v>
      </c>
      <c r="AA1502" s="2">
        <f t="shared" ca="1" si="1451"/>
        <v>6541022.8408928318</v>
      </c>
      <c r="AB1502" s="2">
        <f t="shared" ca="1" si="1452"/>
        <v>6771456.1718093157</v>
      </c>
      <c r="AC1502" s="2">
        <f t="shared" ca="1" si="1453"/>
        <v>6802287.8410415854</v>
      </c>
      <c r="AD1502" s="2">
        <f t="shared" ca="1" si="1454"/>
        <v>6833259.892461014</v>
      </c>
      <c r="AE1502" s="2">
        <f t="shared" ca="1" si="1455"/>
        <v>6864372.9652531845</v>
      </c>
      <c r="AF1502" s="2">
        <f t="shared" ca="1" si="1456"/>
        <v>1006944.8869892532</v>
      </c>
      <c r="AG1502" s="2">
        <f t="shared" ca="1" si="1457"/>
        <v>1011529.6898592809</v>
      </c>
      <c r="AH1502" s="2">
        <f t="shared" ca="1" si="1458"/>
        <v>1016135.3681690954</v>
      </c>
      <c r="AI1502" s="2">
        <f t="shared" ca="1" si="1459"/>
        <v>1020762.0169683639</v>
      </c>
      <c r="AJ1502" s="2">
        <f t="shared" ca="1" si="1460"/>
        <v>1025409.7317395316</v>
      </c>
      <c r="AK1502" s="2">
        <f t="shared" ca="1" si="1461"/>
        <v>0</v>
      </c>
      <c r="AL1502" s="2">
        <f t="shared" ca="1" si="1462"/>
        <v>2292.4014350138605</v>
      </c>
      <c r="AM1502" s="2">
        <f t="shared" ca="1" si="1463"/>
        <v>2302.8391549072417</v>
      </c>
      <c r="AN1502" s="2">
        <f t="shared" ca="1" si="1464"/>
        <v>2313.3243996342271</v>
      </c>
      <c r="AO1502" s="2">
        <f t="shared" ca="1" si="1465"/>
        <v>2323.8573855838927</v>
      </c>
      <c r="AP1502" s="2">
        <f t="shared" ca="1" si="1466"/>
        <v>2334337.744778112</v>
      </c>
      <c r="AQ1502" s="2">
        <f t="shared" ca="1" si="1467"/>
        <v>831932.45437262126</v>
      </c>
      <c r="AR1502" s="2">
        <f t="shared" ca="1" si="1468"/>
        <v>890653.07166469982</v>
      </c>
      <c r="AS1502" s="2">
        <f t="shared" ca="1" si="1469"/>
        <v>897471.82930453832</v>
      </c>
      <c r="AT1502" s="2">
        <f t="shared" ca="1" si="1470"/>
        <v>904321.63398577995</v>
      </c>
      <c r="AU1502" s="2">
        <f t="shared" ca="1" si="1471"/>
        <v>911202.6270712408</v>
      </c>
      <c r="AV1502" s="2">
        <f t="shared" ca="1" si="1472"/>
        <v>2367807.754752845</v>
      </c>
      <c r="AW1502" s="2">
        <f t="shared" ca="1" si="1473"/>
        <v>2532643.2640722091</v>
      </c>
      <c r="AX1502" s="2">
        <f t="shared" ca="1" si="1474"/>
        <v>2552040.0596349319</v>
      </c>
      <c r="AY1502" s="2">
        <f t="shared" ca="1" si="1475"/>
        <v>2571525.1723291236</v>
      </c>
      <c r="AZ1502" s="2">
        <f t="shared" ca="1" si="1476"/>
        <v>2591099.0042787162</v>
      </c>
      <c r="BA1502" s="2">
        <f t="shared" ca="1" si="1477"/>
        <v>53214381.260855712</v>
      </c>
      <c r="BB1502" s="2">
        <f t="shared" ca="1" si="1478"/>
        <v>1064287.6252171143</v>
      </c>
      <c r="BC1502" s="2">
        <f t="shared" ca="1" si="1479"/>
        <v>26213007.582548462</v>
      </c>
      <c r="BD1502" s="2">
        <f t="shared" ca="1" si="1480"/>
        <v>-18872102.620938849</v>
      </c>
      <c r="BE1502" s="2">
        <f t="shared" ca="1" si="1481"/>
        <v>2367807.754752845</v>
      </c>
      <c r="BF1502" s="2">
        <f t="shared" ca="1" si="1482"/>
        <v>2532643.2640722091</v>
      </c>
      <c r="BG1502" s="2">
        <f t="shared" ca="1" si="1483"/>
        <v>2552040.0596349319</v>
      </c>
      <c r="BH1502" s="2">
        <f t="shared" ca="1" si="1484"/>
        <v>2571525.1723291236</v>
      </c>
      <c r="BI1502" s="2">
        <f t="shared" ca="1" si="1485"/>
        <v>28804106.586827178</v>
      </c>
      <c r="BJ1502" s="2">
        <f t="shared" ca="1" si="1486"/>
        <v>0.18645937119295852</v>
      </c>
      <c r="BK1502" s="2">
        <f t="shared" ca="1" si="1487"/>
        <v>5055985.2244556583</v>
      </c>
    </row>
    <row r="1503" spans="1:63" x14ac:dyDescent="0.3">
      <c r="A1503" s="2">
        <v>1502</v>
      </c>
      <c r="B1503" s="2">
        <f t="shared" ca="1" si="1426"/>
        <v>0.24849929446728058</v>
      </c>
      <c r="C1503" s="2">
        <f t="shared" ca="1" si="1427"/>
        <v>6.7049812684990719</v>
      </c>
      <c r="D1503" s="2">
        <f t="shared" ca="1" si="1428"/>
        <v>0.22855048682683454</v>
      </c>
      <c r="E1503" s="2">
        <f t="shared" ca="1" si="1429"/>
        <v>7.1760924298153839</v>
      </c>
      <c r="F1503" s="2">
        <f t="shared" ca="1" si="1430"/>
        <v>0.71005854736291996</v>
      </c>
      <c r="G1503" s="2">
        <f t="shared" ca="1" si="1431"/>
        <v>5.6606673001112759E-2</v>
      </c>
      <c r="H1503" s="2">
        <f t="shared" ca="1" si="1432"/>
        <v>5.6606673001112759E-2</v>
      </c>
      <c r="I1503" s="2">
        <f t="shared" ca="1" si="1433"/>
        <v>0.30261386313868477</v>
      </c>
      <c r="J1503" s="2">
        <f t="shared" ca="1" si="1434"/>
        <v>7.4155125958292809E-3</v>
      </c>
      <c r="K1503" s="2">
        <f t="shared" ca="1" si="1435"/>
        <v>7.4155125958292809E-3</v>
      </c>
      <c r="L1503" s="2">
        <f t="shared" ca="1" si="1436"/>
        <v>0.26829176855891756</v>
      </c>
      <c r="M1503" s="2">
        <f t="shared" ca="1" si="1437"/>
        <v>-1.2359751253775838E-2</v>
      </c>
      <c r="N1503" s="2">
        <f t="shared" ca="1" si="1438"/>
        <v>-1.2359751253775838E-2</v>
      </c>
      <c r="O1503" s="2">
        <f t="shared" si="1439"/>
        <v>6000000</v>
      </c>
      <c r="P1503" s="2">
        <f t="shared" ca="1" si="1440"/>
        <v>40229887.610994428</v>
      </c>
      <c r="Q1503" s="2">
        <f t="shared" ca="1" si="1441"/>
        <v>1005747.1902748607</v>
      </c>
      <c r="R1503" s="2">
        <f t="shared" ca="1" si="1442"/>
        <v>24137932.566596657</v>
      </c>
      <c r="S1503" s="2">
        <f t="shared" ca="1" si="1443"/>
        <v>16091955.044397771</v>
      </c>
      <c r="T1503" s="2">
        <f t="shared" ca="1" si="1444"/>
        <v>49382012.43731121</v>
      </c>
      <c r="U1503" s="2">
        <f t="shared" ca="1" si="1445"/>
        <v>52177363.867486969</v>
      </c>
      <c r="V1503" s="2">
        <f t="shared" ca="1" si="1446"/>
        <v>55130950.841993883</v>
      </c>
      <c r="W1503" s="2">
        <f t="shared" ca="1" si="1447"/>
        <v>58251730.548547052</v>
      </c>
      <c r="X1503" s="2">
        <f t="shared" ca="1" si="1448"/>
        <v>61549167.211457588</v>
      </c>
      <c r="Y1503" s="2">
        <f t="shared" ca="1" si="1449"/>
        <v>0.12370775629791464</v>
      </c>
      <c r="Z1503" s="2">
        <f t="shared" ca="1" si="1450"/>
        <v>0.1251908588170805</v>
      </c>
      <c r="AA1503" s="2">
        <f t="shared" ca="1" si="1451"/>
        <v>6108937.9600954847</v>
      </c>
      <c r="AB1503" s="2">
        <f t="shared" ca="1" si="1452"/>
        <v>6532128.9933819985</v>
      </c>
      <c r="AC1503" s="2">
        <f t="shared" ca="1" si="1453"/>
        <v>6901891.0833114618</v>
      </c>
      <c r="AD1503" s="2">
        <f t="shared" ca="1" si="1454"/>
        <v>7292584.174953769</v>
      </c>
      <c r="AE1503" s="2">
        <f t="shared" ca="1" si="1455"/>
        <v>7705393.1026784675</v>
      </c>
      <c r="AF1503" s="2">
        <f t="shared" ca="1" si="1456"/>
        <v>987640.24874622421</v>
      </c>
      <c r="AG1503" s="2">
        <f t="shared" ca="1" si="1457"/>
        <v>1043547.2773497395</v>
      </c>
      <c r="AH1503" s="2">
        <f t="shared" ca="1" si="1458"/>
        <v>1102619.0168398777</v>
      </c>
      <c r="AI1503" s="2">
        <f t="shared" ca="1" si="1459"/>
        <v>1165034.6109709411</v>
      </c>
      <c r="AJ1503" s="2">
        <f t="shared" ca="1" si="1460"/>
        <v>1230983.3442291517</v>
      </c>
      <c r="AK1503" s="2">
        <f t="shared" ca="1" si="1461"/>
        <v>0</v>
      </c>
      <c r="AL1503" s="2">
        <f t="shared" ca="1" si="1462"/>
        <v>27953.51430175759</v>
      </c>
      <c r="AM1503" s="2">
        <f t="shared" ca="1" si="1463"/>
        <v>29535.869745069147</v>
      </c>
      <c r="AN1503" s="2">
        <f t="shared" ca="1" si="1464"/>
        <v>31207.797065531686</v>
      </c>
      <c r="AO1503" s="2">
        <f t="shared" ca="1" si="1465"/>
        <v>32974.36662910536</v>
      </c>
      <c r="AP1503" s="2">
        <f t="shared" ca="1" si="1466"/>
        <v>2172413.930993699</v>
      </c>
      <c r="AQ1503" s="2">
        <f t="shared" ca="1" si="1467"/>
        <v>766709.78289244592</v>
      </c>
      <c r="AR1503" s="2">
        <f t="shared" ca="1" si="1468"/>
        <v>862203.6241100257</v>
      </c>
      <c r="AS1503" s="2">
        <f t="shared" ca="1" si="1469"/>
        <v>942983.11522425013</v>
      </c>
      <c r="AT1503" s="2">
        <f t="shared" ca="1" si="1470"/>
        <v>1028335.2645771735</v>
      </c>
      <c r="AU1503" s="2">
        <f t="shared" ca="1" si="1471"/>
        <v>1118518.9151384607</v>
      </c>
      <c r="AV1503" s="2">
        <f t="shared" ca="1" si="1472"/>
        <v>2182173.997463115</v>
      </c>
      <c r="AW1503" s="2">
        <f t="shared" ca="1" si="1473"/>
        <v>2426010.6466267775</v>
      </c>
      <c r="AX1503" s="2">
        <f t="shared" ca="1" si="1474"/>
        <v>2654339.1505085654</v>
      </c>
      <c r="AY1503" s="2">
        <f t="shared" ca="1" si="1475"/>
        <v>2895592.5713464231</v>
      </c>
      <c r="AZ1503" s="2">
        <f t="shared" ca="1" si="1476"/>
        <v>3150502.5456880513</v>
      </c>
      <c r="BA1503" s="2">
        <f t="shared" ca="1" si="1477"/>
        <v>55294613.112882622</v>
      </c>
      <c r="BB1503" s="2">
        <f t="shared" ca="1" si="1478"/>
        <v>1105892.2622576524</v>
      </c>
      <c r="BC1503" s="2">
        <f t="shared" ca="1" si="1479"/>
        <v>30050788.284028314</v>
      </c>
      <c r="BD1503" s="2">
        <f t="shared" ca="1" si="1480"/>
        <v>-17597702.234672632</v>
      </c>
      <c r="BE1503" s="2">
        <f t="shared" ca="1" si="1481"/>
        <v>2182173.997463115</v>
      </c>
      <c r="BF1503" s="2">
        <f t="shared" ca="1" si="1482"/>
        <v>2426010.6466267775</v>
      </c>
      <c r="BG1503" s="2">
        <f t="shared" ca="1" si="1483"/>
        <v>2654339.1505085654</v>
      </c>
      <c r="BH1503" s="2">
        <f t="shared" ca="1" si="1484"/>
        <v>2895592.5713464231</v>
      </c>
      <c r="BI1503" s="2">
        <f t="shared" ca="1" si="1485"/>
        <v>33201290.829716366</v>
      </c>
      <c r="BJ1503" s="2">
        <f t="shared" ca="1" si="1486"/>
        <v>0.23448602872855639</v>
      </c>
      <c r="BK1503" s="2">
        <f t="shared" ca="1" si="1487"/>
        <v>8853479.9067038186</v>
      </c>
    </row>
    <row r="1504" spans="1:63" x14ac:dyDescent="0.3">
      <c r="A1504" s="2">
        <v>1503</v>
      </c>
      <c r="B1504" s="2">
        <f t="shared" ca="1" si="1426"/>
        <v>9.8067279994007883E-2</v>
      </c>
      <c r="C1504" s="2">
        <f t="shared" ca="1" si="1427"/>
        <v>6.4428708163652422</v>
      </c>
      <c r="D1504" s="2">
        <f t="shared" ca="1" si="1428"/>
        <v>0.96036535757697905</v>
      </c>
      <c r="E1504" s="2">
        <f t="shared" ca="1" si="1429"/>
        <v>8.2184519848302209</v>
      </c>
      <c r="F1504" s="2">
        <f t="shared" ca="1" si="1430"/>
        <v>0.94311718283355017</v>
      </c>
      <c r="G1504" s="2">
        <f t="shared" ca="1" si="1431"/>
        <v>8.7444753744875592E-2</v>
      </c>
      <c r="H1504" s="2">
        <f t="shared" ca="1" si="1432"/>
        <v>8.7444753744875592E-2</v>
      </c>
      <c r="I1504" s="2">
        <f t="shared" ca="1" si="1433"/>
        <v>0.36462867429648593</v>
      </c>
      <c r="J1504" s="2">
        <f t="shared" ca="1" si="1434"/>
        <v>8.2694320368688276E-3</v>
      </c>
      <c r="K1504" s="2">
        <f t="shared" ca="1" si="1435"/>
        <v>8.2694320368688276E-3</v>
      </c>
      <c r="L1504" s="2">
        <f t="shared" ca="1" si="1436"/>
        <v>0.30674196199187231</v>
      </c>
      <c r="M1504" s="2">
        <f t="shared" ca="1" si="1437"/>
        <v>-1.010213319699578E-2</v>
      </c>
      <c r="N1504" s="2">
        <f t="shared" ca="1" si="1438"/>
        <v>-1.010213319699578E-2</v>
      </c>
      <c r="O1504" s="2">
        <f t="shared" si="1439"/>
        <v>6000000</v>
      </c>
      <c r="P1504" s="2">
        <f t="shared" ca="1" si="1440"/>
        <v>38657224.898191452</v>
      </c>
      <c r="Q1504" s="2">
        <f t="shared" ca="1" si="1441"/>
        <v>966430.62245478632</v>
      </c>
      <c r="R1504" s="2">
        <f t="shared" ca="1" si="1442"/>
        <v>23194334.938914869</v>
      </c>
      <c r="S1504" s="2">
        <f t="shared" ca="1" si="1443"/>
        <v>15462889.959276581</v>
      </c>
      <c r="T1504" s="2">
        <f t="shared" ca="1" si="1444"/>
        <v>49494893.340150207</v>
      </c>
      <c r="U1504" s="2">
        <f t="shared" ca="1" si="1445"/>
        <v>53822962.099908523</v>
      </c>
      <c r="V1504" s="2">
        <f t="shared" ca="1" si="1446"/>
        <v>58529497.766554788</v>
      </c>
      <c r="W1504" s="2">
        <f t="shared" ca="1" si="1447"/>
        <v>63647595.285562411</v>
      </c>
      <c r="X1504" s="2">
        <f t="shared" ca="1" si="1448"/>
        <v>69213243.581761912</v>
      </c>
      <c r="Y1504" s="2">
        <f t="shared" ca="1" si="1449"/>
        <v>0.12413471601843441</v>
      </c>
      <c r="Z1504" s="2">
        <f t="shared" ca="1" si="1450"/>
        <v>0.12578860242580817</v>
      </c>
      <c r="AA1504" s="2">
        <f t="shared" ca="1" si="1451"/>
        <v>6144034.5291422466</v>
      </c>
      <c r="AB1504" s="2">
        <f t="shared" ca="1" si="1452"/>
        <v>6770315.1809647344</v>
      </c>
      <c r="AC1504" s="2">
        <f t="shared" ca="1" si="1453"/>
        <v>7362343.7247393876</v>
      </c>
      <c r="AD1504" s="2">
        <f t="shared" ca="1" si="1454"/>
        <v>8006142.0587343527</v>
      </c>
      <c r="AE1504" s="2">
        <f t="shared" ca="1" si="1455"/>
        <v>8706237.1795068681</v>
      </c>
      <c r="AF1504" s="2">
        <f t="shared" ca="1" si="1456"/>
        <v>989897.86680300417</v>
      </c>
      <c r="AG1504" s="2">
        <f t="shared" ca="1" si="1457"/>
        <v>1076459.2419981705</v>
      </c>
      <c r="AH1504" s="2">
        <f t="shared" ca="1" si="1458"/>
        <v>1170589.9553310957</v>
      </c>
      <c r="AI1504" s="2">
        <f t="shared" ca="1" si="1459"/>
        <v>1272951.9057112483</v>
      </c>
      <c r="AJ1504" s="2">
        <f t="shared" ca="1" si="1460"/>
        <v>1384264.8716352382</v>
      </c>
      <c r="AK1504" s="2">
        <f t="shared" ca="1" si="1461"/>
        <v>0</v>
      </c>
      <c r="AL1504" s="2">
        <f t="shared" ca="1" si="1462"/>
        <v>43280.687597583157</v>
      </c>
      <c r="AM1504" s="2">
        <f t="shared" ca="1" si="1463"/>
        <v>47065.356666462649</v>
      </c>
      <c r="AN1504" s="2">
        <f t="shared" ca="1" si="1464"/>
        <v>51180.975190076235</v>
      </c>
      <c r="AO1504" s="2">
        <f t="shared" ca="1" si="1465"/>
        <v>55656.482961995003</v>
      </c>
      <c r="AP1504" s="2">
        <f t="shared" ca="1" si="1466"/>
        <v>2087490.144502338</v>
      </c>
      <c r="AQ1504" s="2">
        <f t="shared" ca="1" si="1467"/>
        <v>797328.09463759512</v>
      </c>
      <c r="AR1504" s="2">
        <f t="shared" ca="1" si="1468"/>
        <v>937655.10656069871</v>
      </c>
      <c r="AS1504" s="2">
        <f t="shared" ca="1" si="1469"/>
        <v>1067108.5424755481</v>
      </c>
      <c r="AT1504" s="2">
        <f t="shared" ca="1" si="1470"/>
        <v>1207882.0022153992</v>
      </c>
      <c r="AU1504" s="2">
        <f t="shared" ca="1" si="1471"/>
        <v>1360965.3624760162</v>
      </c>
      <c r="AV1504" s="2">
        <f t="shared" ca="1" si="1472"/>
        <v>2269318.423199309</v>
      </c>
      <c r="AW1504" s="2">
        <f t="shared" ca="1" si="1473"/>
        <v>2625430.0003059441</v>
      </c>
      <c r="AX1504" s="2">
        <f t="shared" ca="1" si="1474"/>
        <v>2990089.725763943</v>
      </c>
      <c r="AY1504" s="2">
        <f t="shared" ca="1" si="1475"/>
        <v>3386637.0311152907</v>
      </c>
      <c r="AZ1504" s="2">
        <f t="shared" ca="1" si="1476"/>
        <v>3817860.3179312814</v>
      </c>
      <c r="BA1504" s="2">
        <f t="shared" ca="1" si="1477"/>
        <v>71551792.228320882</v>
      </c>
      <c r="BB1504" s="2">
        <f t="shared" ca="1" si="1478"/>
        <v>1431035.8445664176</v>
      </c>
      <c r="BC1504" s="2">
        <f t="shared" ca="1" si="1479"/>
        <v>46926421.444839597</v>
      </c>
      <c r="BD1504" s="2">
        <f t="shared" ca="1" si="1480"/>
        <v>-16929320.581731368</v>
      </c>
      <c r="BE1504" s="2">
        <f t="shared" ca="1" si="1481"/>
        <v>2269318.423199309</v>
      </c>
      <c r="BF1504" s="2">
        <f t="shared" ca="1" si="1482"/>
        <v>2625430.0003059441</v>
      </c>
      <c r="BG1504" s="2">
        <f t="shared" ca="1" si="1483"/>
        <v>2990089.725763943</v>
      </c>
      <c r="BH1504" s="2">
        <f t="shared" ca="1" si="1484"/>
        <v>3386637.0311152907</v>
      </c>
      <c r="BI1504" s="2">
        <f t="shared" ca="1" si="1485"/>
        <v>50744281.762770876</v>
      </c>
      <c r="BJ1504" s="2">
        <f t="shared" ca="1" si="1486"/>
        <v>0.34502946185272809</v>
      </c>
      <c r="BK1504" s="2">
        <f t="shared" ca="1" si="1487"/>
        <v>20264057.414627466</v>
      </c>
    </row>
    <row r="1505" spans="1:63" x14ac:dyDescent="0.3">
      <c r="A1505" s="2">
        <v>1504</v>
      </c>
      <c r="B1505" s="2">
        <f t="shared" ca="1" si="1426"/>
        <v>0.50760750294046586</v>
      </c>
      <c r="C1505" s="2">
        <f t="shared" ca="1" si="1427"/>
        <v>7.0076366622455923</v>
      </c>
      <c r="D1505" s="2">
        <f t="shared" ca="1" si="1428"/>
        <v>0.29285831240918403</v>
      </c>
      <c r="E1505" s="2">
        <f t="shared" ca="1" si="1429"/>
        <v>7.265321255956195</v>
      </c>
      <c r="F1505" s="2">
        <f t="shared" ca="1" si="1430"/>
        <v>0.5617946439925493</v>
      </c>
      <c r="G1505" s="2">
        <f t="shared" ca="1" si="1431"/>
        <v>4.4665625727527379E-2</v>
      </c>
      <c r="H1505" s="2">
        <f t="shared" ca="1" si="1432"/>
        <v>4.4665625727527379E-2</v>
      </c>
      <c r="I1505" s="2">
        <f t="shared" ca="1" si="1433"/>
        <v>0.29675004160353491</v>
      </c>
      <c r="J1505" s="2">
        <f t="shared" ca="1" si="1434"/>
        <v>7.3311457453398791E-3</v>
      </c>
      <c r="K1505" s="2">
        <f t="shared" ca="1" si="1435"/>
        <v>7.3311457453398791E-3</v>
      </c>
      <c r="L1505" s="2">
        <f t="shared" ca="1" si="1436"/>
        <v>0.83310265784852522</v>
      </c>
      <c r="M1505" s="2">
        <f t="shared" ca="1" si="1437"/>
        <v>1.9329974512421515E-2</v>
      </c>
      <c r="N1505" s="2">
        <f t="shared" ca="1" si="1438"/>
        <v>1.9329974512421515E-2</v>
      </c>
      <c r="O1505" s="2">
        <f t="shared" si="1439"/>
        <v>6000000</v>
      </c>
      <c r="P1505" s="2">
        <f t="shared" ca="1" si="1440"/>
        <v>42045819.973473556</v>
      </c>
      <c r="Q1505" s="2">
        <f t="shared" ca="1" si="1441"/>
        <v>1051145.499336839</v>
      </c>
      <c r="R1505" s="2">
        <f t="shared" ca="1" si="1442"/>
        <v>25227491.984084133</v>
      </c>
      <c r="S1505" s="2">
        <f t="shared" ca="1" si="1443"/>
        <v>16818327.989389423</v>
      </c>
      <c r="T1505" s="2">
        <f t="shared" ca="1" si="1444"/>
        <v>50966498.725621082</v>
      </c>
      <c r="U1505" s="2">
        <f t="shared" ca="1" si="1445"/>
        <v>53242949.282342173</v>
      </c>
      <c r="V1505" s="2">
        <f t="shared" ca="1" si="1446"/>
        <v>55621078.927616984</v>
      </c>
      <c r="W1505" s="2">
        <f t="shared" ca="1" si="1447"/>
        <v>58105429.221559182</v>
      </c>
      <c r="X1505" s="2">
        <f t="shared" ca="1" si="1448"/>
        <v>60700744.575906672</v>
      </c>
      <c r="Y1505" s="2">
        <f t="shared" ca="1" si="1449"/>
        <v>0.12366557287266994</v>
      </c>
      <c r="Z1505" s="2">
        <f t="shared" ca="1" si="1450"/>
        <v>0.1251318020217379</v>
      </c>
      <c r="AA1505" s="2">
        <f t="shared" ca="1" si="1451"/>
        <v>6302801.2622181335</v>
      </c>
      <c r="AB1505" s="2">
        <f t="shared" ca="1" si="1452"/>
        <v>6662386.1886514733</v>
      </c>
      <c r="AC1505" s="2">
        <f t="shared" ca="1" si="1453"/>
        <v>6959965.8366060266</v>
      </c>
      <c r="AD1505" s="2">
        <f t="shared" ca="1" si="1454"/>
        <v>7270837.0657402482</v>
      </c>
      <c r="AE1505" s="2">
        <f t="shared" ca="1" si="1455"/>
        <v>7595593.552844435</v>
      </c>
      <c r="AF1505" s="2">
        <f t="shared" ca="1" si="1456"/>
        <v>1019329.9745124216</v>
      </c>
      <c r="AG1505" s="2">
        <f t="shared" ca="1" si="1457"/>
        <v>1064858.9856468434</v>
      </c>
      <c r="AH1505" s="2">
        <f t="shared" ca="1" si="1458"/>
        <v>1112421.5785523397</v>
      </c>
      <c r="AI1505" s="2">
        <f t="shared" ca="1" si="1459"/>
        <v>1162108.5844311838</v>
      </c>
      <c r="AJ1505" s="2">
        <f t="shared" ca="1" si="1460"/>
        <v>1214014.8915181335</v>
      </c>
      <c r="AK1505" s="2">
        <f t="shared" ca="1" si="1461"/>
        <v>0</v>
      </c>
      <c r="AL1505" s="2">
        <f t="shared" ca="1" si="1462"/>
        <v>22764.505567210912</v>
      </c>
      <c r="AM1505" s="2">
        <f t="shared" ca="1" si="1463"/>
        <v>23781.296452748105</v>
      </c>
      <c r="AN1505" s="2">
        <f t="shared" ca="1" si="1464"/>
        <v>24843.502939421982</v>
      </c>
      <c r="AO1505" s="2">
        <f t="shared" ca="1" si="1465"/>
        <v>25953.153543474898</v>
      </c>
      <c r="AP1505" s="2">
        <f t="shared" ca="1" si="1466"/>
        <v>2270474.2785675717</v>
      </c>
      <c r="AQ1505" s="2">
        <f t="shared" ca="1" si="1467"/>
        <v>783379.22237591655</v>
      </c>
      <c r="AR1505" s="2">
        <f t="shared" ca="1" si="1468"/>
        <v>865033.7603536353</v>
      </c>
      <c r="AS1505" s="2">
        <f t="shared" ca="1" si="1469"/>
        <v>930038.19466638984</v>
      </c>
      <c r="AT1505" s="2">
        <f t="shared" ca="1" si="1470"/>
        <v>997946.09271278826</v>
      </c>
      <c r="AU1505" s="2">
        <f t="shared" ca="1" si="1471"/>
        <v>1068887.1395172698</v>
      </c>
      <c r="AV1505" s="2">
        <f t="shared" ca="1" si="1472"/>
        <v>2229617.786762224</v>
      </c>
      <c r="AW1505" s="2">
        <f t="shared" ca="1" si="1473"/>
        <v>2439254.6585162128</v>
      </c>
      <c r="AX1505" s="2">
        <f t="shared" ca="1" si="1474"/>
        <v>2623250.4883669778</v>
      </c>
      <c r="AY1505" s="2">
        <f t="shared" ca="1" si="1475"/>
        <v>2815464.6070892834</v>
      </c>
      <c r="AZ1505" s="2">
        <f t="shared" ca="1" si="1476"/>
        <v>3016264.0896979845</v>
      </c>
      <c r="BA1505" s="2">
        <f t="shared" ca="1" si="1477"/>
        <v>55184427.291084506</v>
      </c>
      <c r="BB1505" s="2">
        <f t="shared" ca="1" si="1478"/>
        <v>1103688.5458216902</v>
      </c>
      <c r="BC1505" s="2">
        <f t="shared" ca="1" si="1479"/>
        <v>28853246.761178683</v>
      </c>
      <c r="BD1505" s="2">
        <f t="shared" ca="1" si="1480"/>
        <v>-18369473.488726262</v>
      </c>
      <c r="BE1505" s="2">
        <f t="shared" ca="1" si="1481"/>
        <v>2229617.786762224</v>
      </c>
      <c r="BF1505" s="2">
        <f t="shared" ca="1" si="1482"/>
        <v>2439254.6585162128</v>
      </c>
      <c r="BG1505" s="2">
        <f t="shared" ca="1" si="1483"/>
        <v>2623250.4883669778</v>
      </c>
      <c r="BH1505" s="2">
        <f t="shared" ca="1" si="1484"/>
        <v>2815464.6070892834</v>
      </c>
      <c r="BI1505" s="2">
        <f t="shared" ca="1" si="1485"/>
        <v>31869510.850876667</v>
      </c>
      <c r="BJ1505" s="2">
        <f t="shared" ca="1" si="1486"/>
        <v>0.21352496268361865</v>
      </c>
      <c r="BK1505" s="2">
        <f t="shared" ca="1" si="1487"/>
        <v>7305888.4325860702</v>
      </c>
    </row>
    <row r="1506" spans="1:63" x14ac:dyDescent="0.3">
      <c r="A1506" s="2">
        <v>1505</v>
      </c>
      <c r="B1506" s="2">
        <f t="shared" ca="1" si="1426"/>
        <v>0.94660192152092992</v>
      </c>
      <c r="C1506" s="2">
        <f t="shared" ca="1" si="1427"/>
        <v>7.6732031870440895</v>
      </c>
      <c r="D1506" s="2">
        <f t="shared" ca="1" si="1428"/>
        <v>0.28595978696737701</v>
      </c>
      <c r="E1506" s="2">
        <f t="shared" ca="1" si="1429"/>
        <v>7.2562536439150254</v>
      </c>
      <c r="F1506" s="2">
        <f t="shared" ca="1" si="1430"/>
        <v>0.62434768857477774</v>
      </c>
      <c r="G1506" s="2">
        <f t="shared" ca="1" si="1431"/>
        <v>4.9507587468367087E-2</v>
      </c>
      <c r="H1506" s="2">
        <f t="shared" ca="1" si="1432"/>
        <v>4.9507587468367087E-2</v>
      </c>
      <c r="I1506" s="2">
        <f t="shared" ca="1" si="1433"/>
        <v>0.75534993572755249</v>
      </c>
      <c r="J1506" s="2">
        <f t="shared" ca="1" si="1434"/>
        <v>1.3457112021786673E-2</v>
      </c>
      <c r="K1506" s="2">
        <f t="shared" ca="1" si="1435"/>
        <v>1.3457112021786673E-2</v>
      </c>
      <c r="L1506" s="2">
        <f t="shared" ca="1" si="1436"/>
        <v>7.5514773064313867E-2</v>
      </c>
      <c r="M1506" s="2">
        <f t="shared" ca="1" si="1437"/>
        <v>-2.8718088012047088E-2</v>
      </c>
      <c r="N1506" s="2">
        <f t="shared" ca="1" si="1438"/>
        <v>-2.8718088012047088E-2</v>
      </c>
      <c r="O1506" s="2">
        <f t="shared" si="1439"/>
        <v>6000000</v>
      </c>
      <c r="P1506" s="2">
        <f t="shared" ca="1" si="1440"/>
        <v>46039219.122264534</v>
      </c>
      <c r="Q1506" s="2">
        <f t="shared" ca="1" si="1441"/>
        <v>1150980.4780566134</v>
      </c>
      <c r="R1506" s="2">
        <f t="shared" ca="1" si="1442"/>
        <v>27623531.473358721</v>
      </c>
      <c r="S1506" s="2">
        <f t="shared" ca="1" si="1443"/>
        <v>18415687.648905814</v>
      </c>
      <c r="T1506" s="2">
        <f t="shared" ca="1" si="1444"/>
        <v>48564095.599397644</v>
      </c>
      <c r="U1506" s="2">
        <f t="shared" ca="1" si="1445"/>
        <v>50968386.810106963</v>
      </c>
      <c r="V1506" s="2">
        <f t="shared" ca="1" si="1446"/>
        <v>53491708.678229898</v>
      </c>
      <c r="W1506" s="2">
        <f t="shared" ca="1" si="1447"/>
        <v>56139954.124449775</v>
      </c>
      <c r="X1506" s="2">
        <f t="shared" ca="1" si="1448"/>
        <v>58919307.813736081</v>
      </c>
      <c r="Y1506" s="2">
        <f t="shared" ca="1" si="1449"/>
        <v>0.12672855601089333</v>
      </c>
      <c r="Z1506" s="2">
        <f t="shared" ca="1" si="1450"/>
        <v>0.12941997841525066</v>
      </c>
      <c r="AA1506" s="2">
        <f t="shared" ca="1" si="1451"/>
        <v>6154457.7092866432</v>
      </c>
      <c r="AB1506" s="2">
        <f t="shared" ca="1" si="1452"/>
        <v>6596327.5208241893</v>
      </c>
      <c r="AC1506" s="2">
        <f t="shared" ca="1" si="1453"/>
        <v>6922895.78253139</v>
      </c>
      <c r="AD1506" s="2">
        <f t="shared" ca="1" si="1454"/>
        <v>7265631.6510194521</v>
      </c>
      <c r="AE1506" s="2">
        <f t="shared" ca="1" si="1455"/>
        <v>7625335.5454952335</v>
      </c>
      <c r="AF1506" s="2">
        <f t="shared" ca="1" si="1456"/>
        <v>971281.91198795289</v>
      </c>
      <c r="AG1506" s="2">
        <f t="shared" ca="1" si="1457"/>
        <v>1019367.7362021393</v>
      </c>
      <c r="AH1506" s="2">
        <f t="shared" ca="1" si="1458"/>
        <v>1069834.173564598</v>
      </c>
      <c r="AI1506" s="2">
        <f t="shared" ca="1" si="1459"/>
        <v>1122799.0824889955</v>
      </c>
      <c r="AJ1506" s="2">
        <f t="shared" ca="1" si="1460"/>
        <v>1178386.1562747217</v>
      </c>
      <c r="AK1506" s="2">
        <f t="shared" ca="1" si="1461"/>
        <v>0</v>
      </c>
      <c r="AL1506" s="2">
        <f t="shared" ca="1" si="1462"/>
        <v>24042.912107093187</v>
      </c>
      <c r="AM1506" s="2">
        <f t="shared" ca="1" si="1463"/>
        <v>25233.218681229355</v>
      </c>
      <c r="AN1506" s="2">
        <f t="shared" ca="1" si="1464"/>
        <v>26482.454462198766</v>
      </c>
      <c r="AO1506" s="2">
        <f t="shared" ca="1" si="1465"/>
        <v>27793.536892863067</v>
      </c>
      <c r="AP1506" s="2">
        <f t="shared" ca="1" si="1466"/>
        <v>2486117.8326022848</v>
      </c>
      <c r="AQ1506" s="2">
        <f t="shared" ca="1" si="1467"/>
        <v>701235.07082106546</v>
      </c>
      <c r="AR1506" s="2">
        <f t="shared" ca="1" si="1468"/>
        <v>803618.90752513893</v>
      </c>
      <c r="AS1506" s="2">
        <f t="shared" ca="1" si="1469"/>
        <v>875405.38185477187</v>
      </c>
      <c r="AT1506" s="2">
        <f t="shared" ca="1" si="1470"/>
        <v>950745.83134132484</v>
      </c>
      <c r="AU1506" s="2">
        <f t="shared" ca="1" si="1471"/>
        <v>1029816.2047207389</v>
      </c>
      <c r="AV1506" s="2">
        <f t="shared" ca="1" si="1472"/>
        <v>1995822.89387534</v>
      </c>
      <c r="AW1506" s="2">
        <f t="shared" ca="1" si="1473"/>
        <v>2263180.1323875329</v>
      </c>
      <c r="AX1506" s="2">
        <f t="shared" ca="1" si="1474"/>
        <v>2466305.1758285062</v>
      </c>
      <c r="AY1506" s="2">
        <f t="shared" ca="1" si="1475"/>
        <v>2679486.4501246493</v>
      </c>
      <c r="AZ1506" s="2">
        <f t="shared" ca="1" si="1476"/>
        <v>2903221.8150046244</v>
      </c>
      <c r="BA1506" s="2">
        <f t="shared" ca="1" si="1477"/>
        <v>55331368.838074557</v>
      </c>
      <c r="BB1506" s="2">
        <f t="shared" ca="1" si="1478"/>
        <v>1106627.3767614912</v>
      </c>
      <c r="BC1506" s="2">
        <f t="shared" ca="1" si="1479"/>
        <v>26601209.987954345</v>
      </c>
      <c r="BD1506" s="2">
        <f t="shared" ca="1" si="1480"/>
        <v>-20066668.126962427</v>
      </c>
      <c r="BE1506" s="2">
        <f t="shared" ca="1" si="1481"/>
        <v>1995822.89387534</v>
      </c>
      <c r="BF1506" s="2">
        <f t="shared" ca="1" si="1482"/>
        <v>2263180.1323875329</v>
      </c>
      <c r="BG1506" s="2">
        <f t="shared" ca="1" si="1483"/>
        <v>2466305.1758285062</v>
      </c>
      <c r="BH1506" s="2">
        <f t="shared" ca="1" si="1484"/>
        <v>2679486.4501246493</v>
      </c>
      <c r="BI1506" s="2">
        <f t="shared" ca="1" si="1485"/>
        <v>29504431.802958969</v>
      </c>
      <c r="BJ1506" s="2">
        <f t="shared" ca="1" si="1486"/>
        <v>0.1660666909602253</v>
      </c>
      <c r="BK1506" s="2">
        <f t="shared" ca="1" si="1487"/>
        <v>3719446.3018929884</v>
      </c>
    </row>
    <row r="1507" spans="1:63" x14ac:dyDescent="0.3">
      <c r="A1507" s="2">
        <v>1506</v>
      </c>
      <c r="B1507" s="2">
        <f t="shared" ca="1" si="1426"/>
        <v>0.52275668572538347</v>
      </c>
      <c r="C1507" s="2">
        <f t="shared" ca="1" si="1427"/>
        <v>7.023021684708799</v>
      </c>
      <c r="D1507" s="2">
        <f t="shared" ca="1" si="1428"/>
        <v>1.8199912670767815E-2</v>
      </c>
      <c r="E1507" s="2">
        <f t="shared" ca="1" si="1429"/>
        <v>6.6907873825532906</v>
      </c>
      <c r="F1507" s="2">
        <f t="shared" ca="1" si="1430"/>
        <v>0.76530996688830566</v>
      </c>
      <c r="G1507" s="2">
        <f t="shared" ca="1" si="1431"/>
        <v>6.1704642818199609E-2</v>
      </c>
      <c r="H1507" s="2">
        <f t="shared" ca="1" si="1432"/>
        <v>6.1704642818199609E-2</v>
      </c>
      <c r="I1507" s="2">
        <f t="shared" ca="1" si="1433"/>
        <v>0.69623583400647748</v>
      </c>
      <c r="J1507" s="2">
        <f t="shared" ca="1" si="1434"/>
        <v>1.2568023935560352E-2</v>
      </c>
      <c r="K1507" s="2">
        <f t="shared" ca="1" si="1435"/>
        <v>1.2568023935560352E-2</v>
      </c>
      <c r="L1507" s="2">
        <f t="shared" ca="1" si="1436"/>
        <v>6.1997699708267406E-2</v>
      </c>
      <c r="M1507" s="2">
        <f t="shared" ca="1" si="1437"/>
        <v>-3.0764353608078797E-2</v>
      </c>
      <c r="N1507" s="2">
        <f t="shared" ca="1" si="1438"/>
        <v>-3.0764353608078797E-2</v>
      </c>
      <c r="O1507" s="2">
        <f t="shared" si="1439"/>
        <v>6000000</v>
      </c>
      <c r="P1507" s="2">
        <f t="shared" ca="1" si="1440"/>
        <v>42138130.108252794</v>
      </c>
      <c r="Q1507" s="2">
        <f t="shared" ca="1" si="1441"/>
        <v>1053453.2527063198</v>
      </c>
      <c r="R1507" s="2">
        <f t="shared" ca="1" si="1442"/>
        <v>25282878.064951677</v>
      </c>
      <c r="S1507" s="2">
        <f t="shared" ca="1" si="1443"/>
        <v>16855252.043301117</v>
      </c>
      <c r="T1507" s="2">
        <f t="shared" ca="1" si="1444"/>
        <v>48461782.31959606</v>
      </c>
      <c r="U1507" s="2">
        <f t="shared" ca="1" si="1445"/>
        <v>51452099.287960075</v>
      </c>
      <c r="V1507" s="2">
        <f t="shared" ca="1" si="1446"/>
        <v>54626932.696770191</v>
      </c>
      <c r="W1507" s="2">
        <f t="shared" ca="1" si="1447"/>
        <v>57997668.067078225</v>
      </c>
      <c r="X1507" s="2">
        <f t="shared" ca="1" si="1448"/>
        <v>61576393.459445782</v>
      </c>
      <c r="Y1507" s="2">
        <f t="shared" ca="1" si="1449"/>
        <v>0.12628401196778016</v>
      </c>
      <c r="Z1507" s="2">
        <f t="shared" ca="1" si="1450"/>
        <v>0.12879761675489224</v>
      </c>
      <c r="AA1507" s="2">
        <f t="shared" ca="1" si="1451"/>
        <v>6119948.2984278258</v>
      </c>
      <c r="AB1507" s="2">
        <f t="shared" ca="1" si="1452"/>
        <v>6626907.7653253451</v>
      </c>
      <c r="AC1507" s="2">
        <f t="shared" ca="1" si="1453"/>
        <v>7035818.7419738993</v>
      </c>
      <c r="AD1507" s="2">
        <f t="shared" ca="1" si="1454"/>
        <v>7469961.4243809925</v>
      </c>
      <c r="AE1507" s="2">
        <f t="shared" ca="1" si="1455"/>
        <v>7930892.7259381507</v>
      </c>
      <c r="AF1507" s="2">
        <f t="shared" ca="1" si="1456"/>
        <v>969235.64639192121</v>
      </c>
      <c r="AG1507" s="2">
        <f t="shared" ca="1" si="1457"/>
        <v>1029041.9857592016</v>
      </c>
      <c r="AH1507" s="2">
        <f t="shared" ca="1" si="1458"/>
        <v>1092538.6539354038</v>
      </c>
      <c r="AI1507" s="2">
        <f t="shared" ca="1" si="1459"/>
        <v>1159953.3613415645</v>
      </c>
      <c r="AJ1507" s="2">
        <f t="shared" ca="1" si="1460"/>
        <v>1231527.8691889157</v>
      </c>
      <c r="AK1507" s="2">
        <f t="shared" ca="1" si="1461"/>
        <v>0</v>
      </c>
      <c r="AL1507" s="2">
        <f t="shared" ca="1" si="1462"/>
        <v>29903.169683640153</v>
      </c>
      <c r="AM1507" s="2">
        <f t="shared" ca="1" si="1463"/>
        <v>31748.334088101165</v>
      </c>
      <c r="AN1507" s="2">
        <f t="shared" ca="1" si="1464"/>
        <v>33707.353703080342</v>
      </c>
      <c r="AO1507" s="2">
        <f t="shared" ca="1" si="1465"/>
        <v>35787.253923675569</v>
      </c>
      <c r="AP1507" s="2">
        <f t="shared" ca="1" si="1466"/>
        <v>2275459.025845651</v>
      </c>
      <c r="AQ1507" s="2">
        <f t="shared" ca="1" si="1467"/>
        <v>747565.94280946604</v>
      </c>
      <c r="AR1507" s="2">
        <f t="shared" ca="1" si="1468"/>
        <v>863825.75596732809</v>
      </c>
      <c r="AS1507" s="2">
        <f t="shared" ca="1" si="1469"/>
        <v>953633.47617013962</v>
      </c>
      <c r="AT1507" s="2">
        <f t="shared" ca="1" si="1470"/>
        <v>1048982.7496703819</v>
      </c>
      <c r="AU1507" s="2">
        <f t="shared" ca="1" si="1471"/>
        <v>1150215.5160349319</v>
      </c>
      <c r="AV1507" s="2">
        <f t="shared" ca="1" si="1472"/>
        <v>2127687.6833807877</v>
      </c>
      <c r="AW1507" s="2">
        <f t="shared" ca="1" si="1473"/>
        <v>2428677.8280695244</v>
      </c>
      <c r="AX1507" s="2">
        <f t="shared" ca="1" si="1474"/>
        <v>2682439.2519346043</v>
      </c>
      <c r="AY1507" s="2">
        <f t="shared" ca="1" si="1475"/>
        <v>2951858.9338203142</v>
      </c>
      <c r="AZ1507" s="2">
        <f t="shared" ca="1" si="1476"/>
        <v>3237903.0609449758</v>
      </c>
      <c r="BA1507" s="2">
        <f t="shared" ca="1" si="1477"/>
        <v>53063916.983090654</v>
      </c>
      <c r="BB1507" s="2">
        <f t="shared" ca="1" si="1478"/>
        <v>1061278.3396618131</v>
      </c>
      <c r="BC1507" s="2">
        <f t="shared" ca="1" si="1479"/>
        <v>26719760.578477163</v>
      </c>
      <c r="BD1507" s="2">
        <f t="shared" ca="1" si="1480"/>
        <v>-18408705.296007436</v>
      </c>
      <c r="BE1507" s="2">
        <f t="shared" ca="1" si="1481"/>
        <v>2127687.6833807877</v>
      </c>
      <c r="BF1507" s="2">
        <f t="shared" ca="1" si="1482"/>
        <v>2428677.8280695244</v>
      </c>
      <c r="BG1507" s="2">
        <f t="shared" ca="1" si="1483"/>
        <v>2682439.2519346043</v>
      </c>
      <c r="BH1507" s="2">
        <f t="shared" ca="1" si="1484"/>
        <v>2951858.9338203142</v>
      </c>
      <c r="BI1507" s="2">
        <f t="shared" ca="1" si="1485"/>
        <v>29957663.639422137</v>
      </c>
      <c r="BJ1507" s="2">
        <f t="shared" ca="1" si="1486"/>
        <v>0.20105115190076384</v>
      </c>
      <c r="BK1507" s="2">
        <f t="shared" ca="1" si="1487"/>
        <v>6211192.8213719614</v>
      </c>
    </row>
    <row r="1508" spans="1:63" x14ac:dyDescent="0.3">
      <c r="A1508" s="2">
        <v>1507</v>
      </c>
      <c r="B1508" s="2">
        <f t="shared" ca="1" si="1426"/>
        <v>0.55833774192614338</v>
      </c>
      <c r="C1508" s="2">
        <f t="shared" ca="1" si="1427"/>
        <v>7.0601465453871475</v>
      </c>
      <c r="D1508" s="2">
        <f t="shared" ca="1" si="1428"/>
        <v>0.39750412375736388</v>
      </c>
      <c r="E1508" s="2">
        <f t="shared" ca="1" si="1429"/>
        <v>7.3916323499709549</v>
      </c>
      <c r="F1508" s="2">
        <f t="shared" ca="1" si="1430"/>
        <v>0.42952658431880952</v>
      </c>
      <c r="G1508" s="2">
        <f t="shared" ca="1" si="1431"/>
        <v>3.4672612836783565E-2</v>
      </c>
      <c r="H1508" s="2">
        <f t="shared" ca="1" si="1432"/>
        <v>3.4672612836783565E-2</v>
      </c>
      <c r="I1508" s="2">
        <f t="shared" ca="1" si="1433"/>
        <v>0.16540962824435512</v>
      </c>
      <c r="J1508" s="2">
        <f t="shared" ca="1" si="1434"/>
        <v>5.1376748761621229E-3</v>
      </c>
      <c r="K1508" s="2">
        <f t="shared" ca="1" si="1435"/>
        <v>5.1376748761621229E-3</v>
      </c>
      <c r="L1508" s="2">
        <f t="shared" ca="1" si="1436"/>
        <v>0.604033065709776</v>
      </c>
      <c r="M1508" s="2">
        <f t="shared" ca="1" si="1437"/>
        <v>5.276004308132496E-3</v>
      </c>
      <c r="N1508" s="2">
        <f t="shared" ca="1" si="1438"/>
        <v>5.276004308132496E-3</v>
      </c>
      <c r="O1508" s="2">
        <f t="shared" si="1439"/>
        <v>6000000</v>
      </c>
      <c r="P1508" s="2">
        <f t="shared" ca="1" si="1440"/>
        <v>42360879.272322886</v>
      </c>
      <c r="Q1508" s="2">
        <f t="shared" ca="1" si="1441"/>
        <v>1059021.9818080722</v>
      </c>
      <c r="R1508" s="2">
        <f t="shared" ca="1" si="1442"/>
        <v>25416527.563393731</v>
      </c>
      <c r="S1508" s="2">
        <f t="shared" ca="1" si="1443"/>
        <v>16944351.708929155</v>
      </c>
      <c r="T1508" s="2">
        <f t="shared" ca="1" si="1444"/>
        <v>50263800.215406626</v>
      </c>
      <c r="U1508" s="2">
        <f t="shared" ca="1" si="1445"/>
        <v>52006577.499980859</v>
      </c>
      <c r="V1508" s="2">
        <f t="shared" ca="1" si="1446"/>
        <v>53809781.426603876</v>
      </c>
      <c r="W1508" s="2">
        <f t="shared" ca="1" si="1447"/>
        <v>55675507.144840457</v>
      </c>
      <c r="X1508" s="2">
        <f t="shared" ca="1" si="1448"/>
        <v>57605922.448565088</v>
      </c>
      <c r="Y1508" s="2">
        <f t="shared" ca="1" si="1449"/>
        <v>0.12256883743808106</v>
      </c>
      <c r="Z1508" s="2">
        <f t="shared" ca="1" si="1450"/>
        <v>0.12359637241331348</v>
      </c>
      <c r="AA1508" s="2">
        <f t="shared" ca="1" si="1451"/>
        <v>6160775.5576223582</v>
      </c>
      <c r="AB1508" s="2">
        <f t="shared" ca="1" si="1452"/>
        <v>6427824.320629484</v>
      </c>
      <c r="AC1508" s="2">
        <f t="shared" ca="1" si="1453"/>
        <v>6650693.7846815316</v>
      </c>
      <c r="AD1508" s="2">
        <f t="shared" ca="1" si="1454"/>
        <v>6881290.7153737964</v>
      </c>
      <c r="AE1508" s="2">
        <f t="shared" ca="1" si="1455"/>
        <v>7119883.0441653058</v>
      </c>
      <c r="AF1508" s="2">
        <f t="shared" ca="1" si="1456"/>
        <v>1005276.0043081326</v>
      </c>
      <c r="AG1508" s="2">
        <f t="shared" ca="1" si="1457"/>
        <v>1040131.5499996172</v>
      </c>
      <c r="AH1508" s="2">
        <f t="shared" ca="1" si="1458"/>
        <v>1076195.6285320777</v>
      </c>
      <c r="AI1508" s="2">
        <f t="shared" ca="1" si="1459"/>
        <v>1113510.1428968091</v>
      </c>
      <c r="AJ1508" s="2">
        <f t="shared" ca="1" si="1460"/>
        <v>1152118.4489713018</v>
      </c>
      <c r="AK1508" s="2">
        <f t="shared" ca="1" si="1461"/>
        <v>0</v>
      </c>
      <c r="AL1508" s="2">
        <f t="shared" ca="1" si="1462"/>
        <v>17427.772845742329</v>
      </c>
      <c r="AM1508" s="2">
        <f t="shared" ca="1" si="1463"/>
        <v>18032.039266230167</v>
      </c>
      <c r="AN1508" s="2">
        <f t="shared" ca="1" si="1464"/>
        <v>18657.257182365804</v>
      </c>
      <c r="AO1508" s="2">
        <f t="shared" ca="1" si="1465"/>
        <v>19304.153037246317</v>
      </c>
      <c r="AP1508" s="2">
        <f t="shared" ca="1" si="1466"/>
        <v>2287487.4807054359</v>
      </c>
      <c r="AQ1508" s="2">
        <f t="shared" ca="1" si="1467"/>
        <v>745683.13887828542</v>
      </c>
      <c r="AR1508" s="2">
        <f t="shared" ca="1" si="1468"/>
        <v>806053.37538035214</v>
      </c>
      <c r="AS1508" s="2">
        <f t="shared" ca="1" si="1469"/>
        <v>854622.77561544487</v>
      </c>
      <c r="AT1508" s="2">
        <f t="shared" ca="1" si="1470"/>
        <v>904876.20386060327</v>
      </c>
      <c r="AU1508" s="2">
        <f t="shared" ca="1" si="1471"/>
        <v>956872.04976702784</v>
      </c>
      <c r="AV1508" s="2">
        <f t="shared" ca="1" si="1472"/>
        <v>2122328.933730504</v>
      </c>
      <c r="AW1508" s="2">
        <f t="shared" ca="1" si="1473"/>
        <v>2276724.1416983367</v>
      </c>
      <c r="AX1508" s="2">
        <f t="shared" ca="1" si="1474"/>
        <v>2414355.8605623436</v>
      </c>
      <c r="AY1508" s="2">
        <f t="shared" ca="1" si="1475"/>
        <v>2556759.6307285815</v>
      </c>
      <c r="AZ1508" s="2">
        <f t="shared" ca="1" si="1476"/>
        <v>2704100.9116842947</v>
      </c>
      <c r="BA1508" s="2">
        <f t="shared" ca="1" si="1477"/>
        <v>52627557.837261952</v>
      </c>
      <c r="BB1508" s="2">
        <f t="shared" ca="1" si="1478"/>
        <v>1052551.1567452392</v>
      </c>
      <c r="BC1508" s="2">
        <f t="shared" ca="1" si="1479"/>
        <v>26158479.117122982</v>
      </c>
      <c r="BD1508" s="2">
        <f t="shared" ca="1" si="1480"/>
        <v>-18503373.690737229</v>
      </c>
      <c r="BE1508" s="2">
        <f t="shared" ca="1" si="1481"/>
        <v>2122328.933730504</v>
      </c>
      <c r="BF1508" s="2">
        <f t="shared" ca="1" si="1482"/>
        <v>2276724.1416983367</v>
      </c>
      <c r="BG1508" s="2">
        <f t="shared" ca="1" si="1483"/>
        <v>2414355.8605623436</v>
      </c>
      <c r="BH1508" s="2">
        <f t="shared" ca="1" si="1484"/>
        <v>2556759.6307285815</v>
      </c>
      <c r="BI1508" s="2">
        <f t="shared" ca="1" si="1485"/>
        <v>28862580.028807275</v>
      </c>
      <c r="BJ1508" s="2">
        <f t="shared" ca="1" si="1486"/>
        <v>0.18513501124412191</v>
      </c>
      <c r="BK1508" s="2">
        <f t="shared" ca="1" si="1487"/>
        <v>4927314.2177479975</v>
      </c>
    </row>
    <row r="1509" spans="1:63" x14ac:dyDescent="0.3">
      <c r="A1509" s="2">
        <v>1508</v>
      </c>
      <c r="B1509" s="2">
        <f t="shared" ca="1" si="1426"/>
        <v>0.78387829505977014</v>
      </c>
      <c r="C1509" s="2">
        <f t="shared" ca="1" si="1427"/>
        <v>7.3425477888998625</v>
      </c>
      <c r="D1509" s="2">
        <f t="shared" ca="1" si="1428"/>
        <v>0.80368413561175178</v>
      </c>
      <c r="E1509" s="2">
        <f t="shared" ca="1" si="1429"/>
        <v>7.8733966735034864</v>
      </c>
      <c r="F1509" s="2">
        <f t="shared" ca="1" si="1430"/>
        <v>0.3884531154304055</v>
      </c>
      <c r="G1509" s="2">
        <f t="shared" ca="1" si="1431"/>
        <v>3.1499409129640249E-2</v>
      </c>
      <c r="H1509" s="2">
        <f t="shared" ca="1" si="1432"/>
        <v>3.1499409129640249E-2</v>
      </c>
      <c r="I1509" s="2">
        <f t="shared" ca="1" si="1433"/>
        <v>0.29130508053804749</v>
      </c>
      <c r="J1509" s="2">
        <f t="shared" ca="1" si="1434"/>
        <v>7.2521195423585327E-3</v>
      </c>
      <c r="K1509" s="2">
        <f t="shared" ca="1" si="1435"/>
        <v>7.2521195423585327E-3</v>
      </c>
      <c r="L1509" s="2">
        <f t="shared" ca="1" si="1436"/>
        <v>0.90337693659037954</v>
      </c>
      <c r="M1509" s="2">
        <f t="shared" ca="1" si="1437"/>
        <v>2.6020720332678805E-2</v>
      </c>
      <c r="N1509" s="2">
        <f t="shared" ca="1" si="1438"/>
        <v>2.6020720332678805E-2</v>
      </c>
      <c r="O1509" s="2">
        <f t="shared" si="1439"/>
        <v>6000000</v>
      </c>
      <c r="P1509" s="2">
        <f t="shared" ca="1" si="1440"/>
        <v>44055286.733399175</v>
      </c>
      <c r="Q1509" s="2">
        <f t="shared" ca="1" si="1441"/>
        <v>1101382.1683349793</v>
      </c>
      <c r="R1509" s="2">
        <f t="shared" ca="1" si="1442"/>
        <v>26433172.040039506</v>
      </c>
      <c r="S1509" s="2">
        <f t="shared" ca="1" si="1443"/>
        <v>17622114.693359669</v>
      </c>
      <c r="T1509" s="2">
        <f t="shared" ca="1" si="1444"/>
        <v>51301036.016633935</v>
      </c>
      <c r="U1509" s="2">
        <f t="shared" ca="1" si="1445"/>
        <v>52916988.338896304</v>
      </c>
      <c r="V1509" s="2">
        <f t="shared" ca="1" si="1446"/>
        <v>54583842.204491608</v>
      </c>
      <c r="W1509" s="2">
        <f t="shared" ca="1" si="1447"/>
        <v>56303200.98195862</v>
      </c>
      <c r="X1509" s="2">
        <f t="shared" ca="1" si="1448"/>
        <v>58076718.5449977</v>
      </c>
      <c r="Y1509" s="2">
        <f t="shared" ca="1" si="1449"/>
        <v>0.12362605977117926</v>
      </c>
      <c r="Z1509" s="2">
        <f t="shared" ca="1" si="1450"/>
        <v>0.12507648367965096</v>
      </c>
      <c r="AA1509" s="2">
        <f t="shared" ca="1" si="1451"/>
        <v>6342144.9449158069</v>
      </c>
      <c r="AB1509" s="2">
        <f t="shared" ca="1" si="1452"/>
        <v>6618670.8283462441</v>
      </c>
      <c r="AC1509" s="2">
        <f t="shared" ca="1" si="1453"/>
        <v>6827155.0486627379</v>
      </c>
      <c r="AD1509" s="2">
        <f t="shared" ca="1" si="1454"/>
        <v>7042206.398732055</v>
      </c>
      <c r="AE1509" s="2">
        <f t="shared" ca="1" si="1455"/>
        <v>7264031.739261087</v>
      </c>
      <c r="AF1509" s="2">
        <f t="shared" ca="1" si="1456"/>
        <v>1026020.7203326788</v>
      </c>
      <c r="AG1509" s="2">
        <f t="shared" ca="1" si="1457"/>
        <v>1058339.7667779261</v>
      </c>
      <c r="AH1509" s="2">
        <f t="shared" ca="1" si="1458"/>
        <v>1091676.8440898322</v>
      </c>
      <c r="AI1509" s="2">
        <f t="shared" ca="1" si="1459"/>
        <v>1126064.0196391724</v>
      </c>
      <c r="AJ1509" s="2">
        <f t="shared" ca="1" si="1460"/>
        <v>1161534.3708999541</v>
      </c>
      <c r="AK1509" s="2">
        <f t="shared" ca="1" si="1461"/>
        <v>0</v>
      </c>
      <c r="AL1509" s="2">
        <f t="shared" ca="1" si="1462"/>
        <v>16159.523222623691</v>
      </c>
      <c r="AM1509" s="2">
        <f t="shared" ca="1" si="1463"/>
        <v>16668.538655953034</v>
      </c>
      <c r="AN1509" s="2">
        <f t="shared" ca="1" si="1464"/>
        <v>17193.587774670123</v>
      </c>
      <c r="AO1509" s="2">
        <f t="shared" ca="1" si="1465"/>
        <v>17735.175630390793</v>
      </c>
      <c r="AP1509" s="2">
        <f t="shared" ca="1" si="1466"/>
        <v>2378985.4836035552</v>
      </c>
      <c r="AQ1509" s="2">
        <f t="shared" ca="1" si="1467"/>
        <v>763656.07265468908</v>
      </c>
      <c r="AR1509" s="2">
        <f t="shared" ca="1" si="1468"/>
        <v>827149.85027083836</v>
      </c>
      <c r="AS1509" s="2">
        <f t="shared" ca="1" si="1469"/>
        <v>872688.10745203122</v>
      </c>
      <c r="AT1509" s="2">
        <f t="shared" ca="1" si="1470"/>
        <v>919660.79282722506</v>
      </c>
      <c r="AU1509" s="2">
        <f t="shared" ca="1" si="1471"/>
        <v>968113.09003697033</v>
      </c>
      <c r="AV1509" s="2">
        <f t="shared" ca="1" si="1472"/>
        <v>2173482.6683248845</v>
      </c>
      <c r="AW1509" s="2">
        <f t="shared" ca="1" si="1473"/>
        <v>2338036.2044713008</v>
      </c>
      <c r="AX1509" s="2">
        <f t="shared" ca="1" si="1474"/>
        <v>2467136.0748613658</v>
      </c>
      <c r="AY1509" s="2">
        <f t="shared" ca="1" si="1475"/>
        <v>2600302.5148874321</v>
      </c>
      <c r="AZ1509" s="2">
        <f t="shared" ca="1" si="1476"/>
        <v>2737663.6190902167</v>
      </c>
      <c r="BA1509" s="2">
        <f t="shared" ca="1" si="1477"/>
        <v>57192603.332121991</v>
      </c>
      <c r="BB1509" s="2">
        <f t="shared" ca="1" si="1478"/>
        <v>1143852.0666424399</v>
      </c>
      <c r="BC1509" s="2">
        <f t="shared" ca="1" si="1479"/>
        <v>29615579.225440044</v>
      </c>
      <c r="BD1509" s="2">
        <f t="shared" ca="1" si="1480"/>
        <v>-19223496.861694649</v>
      </c>
      <c r="BE1509" s="2">
        <f t="shared" ca="1" si="1481"/>
        <v>2173482.6683248845</v>
      </c>
      <c r="BF1509" s="2">
        <f t="shared" ca="1" si="1482"/>
        <v>2338036.2044713008</v>
      </c>
      <c r="BG1509" s="2">
        <f t="shared" ca="1" si="1483"/>
        <v>2467136.0748613658</v>
      </c>
      <c r="BH1509" s="2">
        <f t="shared" ca="1" si="1484"/>
        <v>2600302.5148874321</v>
      </c>
      <c r="BI1509" s="2">
        <f t="shared" ca="1" si="1485"/>
        <v>32353242.844530262</v>
      </c>
      <c r="BJ1509" s="2">
        <f t="shared" ca="1" si="1486"/>
        <v>0.19842076400125253</v>
      </c>
      <c r="BK1509" s="2">
        <f t="shared" ca="1" si="1487"/>
        <v>6347677.6551513858</v>
      </c>
    </row>
    <row r="1510" spans="1:63" x14ac:dyDescent="0.3">
      <c r="A1510" s="2">
        <v>1509</v>
      </c>
      <c r="B1510" s="2">
        <f t="shared" ca="1" si="1426"/>
        <v>0.97955829003803818</v>
      </c>
      <c r="C1510" s="2">
        <f t="shared" ca="1" si="1427"/>
        <v>7.7978035115934912</v>
      </c>
      <c r="D1510" s="2">
        <f t="shared" ca="1" si="1428"/>
        <v>0.85905979363112217</v>
      </c>
      <c r="E1510" s="2">
        <f t="shared" ca="1" si="1429"/>
        <v>7.9690758879672581</v>
      </c>
      <c r="F1510" s="2">
        <f t="shared" ca="1" si="1430"/>
        <v>0.9640567210170069</v>
      </c>
      <c r="G1510" s="2">
        <f t="shared" ca="1" si="1431"/>
        <v>9.3995076150779705E-2</v>
      </c>
      <c r="H1510" s="2">
        <f t="shared" ca="1" si="1432"/>
        <v>9.3995076150779705E-2</v>
      </c>
      <c r="I1510" s="2">
        <f t="shared" ca="1" si="1433"/>
        <v>0.15542905728985557</v>
      </c>
      <c r="J1510" s="2">
        <f t="shared" ca="1" si="1434"/>
        <v>4.9328845449836027E-3</v>
      </c>
      <c r="K1510" s="2">
        <f t="shared" ca="1" si="1435"/>
        <v>4.9328845449836027E-3</v>
      </c>
      <c r="L1510" s="2">
        <f t="shared" ca="1" si="1436"/>
        <v>0.10223731485808196</v>
      </c>
      <c r="M1510" s="2">
        <f t="shared" ca="1" si="1437"/>
        <v>-2.5378117891552497E-2</v>
      </c>
      <c r="N1510" s="2">
        <f t="shared" ca="1" si="1438"/>
        <v>-2.5378117891552497E-2</v>
      </c>
      <c r="O1510" s="2">
        <f t="shared" si="1439"/>
        <v>6000000</v>
      </c>
      <c r="P1510" s="2">
        <f t="shared" ca="1" si="1440"/>
        <v>46786821.069560945</v>
      </c>
      <c r="Q1510" s="2">
        <f t="shared" ca="1" si="1441"/>
        <v>1169670.5267390236</v>
      </c>
      <c r="R1510" s="2">
        <f t="shared" ca="1" si="1442"/>
        <v>28072092.641736567</v>
      </c>
      <c r="S1510" s="2">
        <f t="shared" ca="1" si="1443"/>
        <v>18714728.427824378</v>
      </c>
      <c r="T1510" s="2">
        <f t="shared" ca="1" si="1444"/>
        <v>48731094.10542237</v>
      </c>
      <c r="U1510" s="2">
        <f t="shared" ca="1" si="1445"/>
        <v>53311577.006772362</v>
      </c>
      <c r="V1510" s="2">
        <f t="shared" ca="1" si="1446"/>
        <v>58322602.747242086</v>
      </c>
      <c r="W1510" s="2">
        <f t="shared" ca="1" si="1447"/>
        <v>63804640.233780779</v>
      </c>
      <c r="X1510" s="2">
        <f t="shared" ca="1" si="1448"/>
        <v>69801962.251328111</v>
      </c>
      <c r="Y1510" s="2">
        <f t="shared" ca="1" si="1449"/>
        <v>0.1224664422724918</v>
      </c>
      <c r="Z1510" s="2">
        <f t="shared" ca="1" si="1450"/>
        <v>0.12345301918148852</v>
      </c>
      <c r="AA1510" s="2">
        <f t="shared" ca="1" si="1451"/>
        <v>5967923.7231370742</v>
      </c>
      <c r="AB1510" s="2">
        <f t="shared" ca="1" si="1452"/>
        <v>6581475.1388124702</v>
      </c>
      <c r="AC1510" s="2">
        <f t="shared" ca="1" si="1453"/>
        <v>7200101.3956696121</v>
      </c>
      <c r="AD1510" s="2">
        <f t="shared" ca="1" si="1454"/>
        <v>7876875.4746489124</v>
      </c>
      <c r="AE1510" s="2">
        <f t="shared" ca="1" si="1455"/>
        <v>8617262.9847187474</v>
      </c>
      <c r="AF1510" s="2">
        <f t="shared" ca="1" si="1456"/>
        <v>974621.88210844737</v>
      </c>
      <c r="AG1510" s="2">
        <f t="shared" ca="1" si="1457"/>
        <v>1066231.5401354472</v>
      </c>
      <c r="AH1510" s="2">
        <f t="shared" ca="1" si="1458"/>
        <v>1166452.0549448417</v>
      </c>
      <c r="AI1510" s="2">
        <f t="shared" ca="1" si="1459"/>
        <v>1276092.8046756156</v>
      </c>
      <c r="AJ1510" s="2">
        <f t="shared" ca="1" si="1460"/>
        <v>1396039.2450265621</v>
      </c>
      <c r="AK1510" s="2">
        <f t="shared" ca="1" si="1461"/>
        <v>0</v>
      </c>
      <c r="AL1510" s="2">
        <f t="shared" ca="1" si="1462"/>
        <v>45804.829013499919</v>
      </c>
      <c r="AM1510" s="2">
        <f t="shared" ca="1" si="1463"/>
        <v>50110.257404697244</v>
      </c>
      <c r="AN1510" s="2">
        <f t="shared" ca="1" si="1464"/>
        <v>54820.374865386933</v>
      </c>
      <c r="AO1510" s="2">
        <f t="shared" ca="1" si="1465"/>
        <v>59973.220175473318</v>
      </c>
      <c r="AP1510" s="2">
        <f t="shared" ca="1" si="1466"/>
        <v>2526488.337756291</v>
      </c>
      <c r="AQ1510" s="2">
        <f t="shared" ca="1" si="1467"/>
        <v>641371.51085080742</v>
      </c>
      <c r="AR1510" s="2">
        <f t="shared" ca="1" si="1468"/>
        <v>777076.36783939041</v>
      </c>
      <c r="AS1510" s="2">
        <f t="shared" ca="1" si="1469"/>
        <v>911861.86077180458</v>
      </c>
      <c r="AT1510" s="2">
        <f t="shared" ca="1" si="1470"/>
        <v>1059316.5263764216</v>
      </c>
      <c r="AU1510" s="2">
        <f t="shared" ca="1" si="1471"/>
        <v>1220631.2045033325</v>
      </c>
      <c r="AV1510" s="2">
        <f t="shared" ca="1" si="1472"/>
        <v>1825441.9924215283</v>
      </c>
      <c r="AW1510" s="2">
        <f t="shared" ca="1" si="1473"/>
        <v>2165874.0640678415</v>
      </c>
      <c r="AX1510" s="2">
        <f t="shared" ca="1" si="1474"/>
        <v>2545188.8847919777</v>
      </c>
      <c r="AY1510" s="2">
        <f t="shared" ca="1" si="1475"/>
        <v>2960157.4309751978</v>
      </c>
      <c r="AZ1510" s="2">
        <f t="shared" ca="1" si="1476"/>
        <v>3414130.9772570888</v>
      </c>
      <c r="BA1510" s="2">
        <f t="shared" ca="1" si="1477"/>
        <v>68671622.671794936</v>
      </c>
      <c r="BB1510" s="2">
        <f t="shared" ca="1" si="1478"/>
        <v>1373432.4534358988</v>
      </c>
      <c r="BC1510" s="2">
        <f t="shared" ca="1" si="1479"/>
        <v>39226097.576622471</v>
      </c>
      <c r="BD1510" s="2">
        <f t="shared" ca="1" si="1480"/>
        <v>-20384398.954563402</v>
      </c>
      <c r="BE1510" s="2">
        <f t="shared" ca="1" si="1481"/>
        <v>1825441.9924215283</v>
      </c>
      <c r="BF1510" s="2">
        <f t="shared" ca="1" si="1482"/>
        <v>2165874.0640678415</v>
      </c>
      <c r="BG1510" s="2">
        <f t="shared" ca="1" si="1483"/>
        <v>2545188.8847919777</v>
      </c>
      <c r="BH1510" s="2">
        <f t="shared" ca="1" si="1484"/>
        <v>2960157.4309751978</v>
      </c>
      <c r="BI1510" s="2">
        <f t="shared" ca="1" si="1485"/>
        <v>42640228.553879559</v>
      </c>
      <c r="BJ1510" s="2">
        <f t="shared" ca="1" si="1486"/>
        <v>0.2347062261679651</v>
      </c>
      <c r="BK1510" s="2">
        <f t="shared" ca="1" si="1487"/>
        <v>10860141.063571583</v>
      </c>
    </row>
    <row r="1511" spans="1:63" x14ac:dyDescent="0.3">
      <c r="A1511" s="2">
        <v>1510</v>
      </c>
      <c r="B1511" s="2">
        <f t="shared" ca="1" si="1426"/>
        <v>0.68270747000434695</v>
      </c>
      <c r="C1511" s="2">
        <f t="shared" ca="1" si="1427"/>
        <v>7.2033915265380957</v>
      </c>
      <c r="D1511" s="2">
        <f t="shared" ca="1" si="1428"/>
        <v>0.64511283559812993</v>
      </c>
      <c r="E1511" s="2">
        <f t="shared" ca="1" si="1429"/>
        <v>7.6575189445431189</v>
      </c>
      <c r="F1511" s="2">
        <f t="shared" ca="1" si="1430"/>
        <v>0.80096277353111511</v>
      </c>
      <c r="G1511" s="2">
        <f t="shared" ca="1" si="1431"/>
        <v>6.5351955137407033E-2</v>
      </c>
      <c r="H1511" s="2">
        <f t="shared" ca="1" si="1432"/>
        <v>6.5351955137407033E-2</v>
      </c>
      <c r="I1511" s="2">
        <f t="shared" ca="1" si="1433"/>
        <v>0.30514778719435554</v>
      </c>
      <c r="J1511" s="2">
        <f t="shared" ca="1" si="1434"/>
        <v>7.4517420537418373E-3</v>
      </c>
      <c r="K1511" s="2">
        <f t="shared" ca="1" si="1435"/>
        <v>7.4517420537418373E-3</v>
      </c>
      <c r="L1511" s="2">
        <f t="shared" ca="1" si="1436"/>
        <v>0.73304281638340996</v>
      </c>
      <c r="M1511" s="2">
        <f t="shared" ca="1" si="1437"/>
        <v>1.2440836471888964E-2</v>
      </c>
      <c r="N1511" s="2">
        <f t="shared" ca="1" si="1438"/>
        <v>1.2440836471888964E-2</v>
      </c>
      <c r="O1511" s="2">
        <f t="shared" si="1439"/>
        <v>6000000</v>
      </c>
      <c r="P1511" s="2">
        <f t="shared" ca="1" si="1440"/>
        <v>43220349.159228571</v>
      </c>
      <c r="Q1511" s="2">
        <f t="shared" ca="1" si="1441"/>
        <v>1080508.7289807142</v>
      </c>
      <c r="R1511" s="2">
        <f t="shared" ca="1" si="1442"/>
        <v>25932209.495537143</v>
      </c>
      <c r="S1511" s="2">
        <f t="shared" ca="1" si="1443"/>
        <v>17288139.663691428</v>
      </c>
      <c r="T1511" s="2">
        <f t="shared" ca="1" si="1444"/>
        <v>50622041.823594444</v>
      </c>
      <c r="U1511" s="2">
        <f t="shared" ca="1" si="1445"/>
        <v>53930291.229813933</v>
      </c>
      <c r="V1511" s="2">
        <f t="shared" ca="1" si="1446"/>
        <v>57454741.202812031</v>
      </c>
      <c r="W1511" s="2">
        <f t="shared" ca="1" si="1447"/>
        <v>61209520.872329541</v>
      </c>
      <c r="X1511" s="2">
        <f t="shared" ca="1" si="1448"/>
        <v>65209682.734360203</v>
      </c>
      <c r="Y1511" s="2">
        <f t="shared" ca="1" si="1449"/>
        <v>0.12372587102687091</v>
      </c>
      <c r="Z1511" s="2">
        <f t="shared" ca="1" si="1450"/>
        <v>0.12521621943761929</v>
      </c>
      <c r="AA1511" s="2">
        <f t="shared" ca="1" si="1451"/>
        <v>6263256.2177829109</v>
      </c>
      <c r="AB1511" s="2">
        <f t="shared" ca="1" si="1452"/>
        <v>6752947.1809670962</v>
      </c>
      <c r="AC1511" s="2">
        <f t="shared" ca="1" si="1453"/>
        <v>7194265.4821829377</v>
      </c>
      <c r="AD1511" s="2">
        <f t="shared" ca="1" si="1454"/>
        <v>7664424.797221154</v>
      </c>
      <c r="AE1511" s="2">
        <f t="shared" ca="1" si="1455"/>
        <v>8165309.9427231811</v>
      </c>
      <c r="AF1511" s="2">
        <f t="shared" ca="1" si="1456"/>
        <v>1012440.8364718889</v>
      </c>
      <c r="AG1511" s="2">
        <f t="shared" ca="1" si="1457"/>
        <v>1078605.8245962786</v>
      </c>
      <c r="AH1511" s="2">
        <f t="shared" ca="1" si="1458"/>
        <v>1149094.8240562407</v>
      </c>
      <c r="AI1511" s="2">
        <f t="shared" ca="1" si="1459"/>
        <v>1224190.4174465907</v>
      </c>
      <c r="AJ1511" s="2">
        <f t="shared" ca="1" si="1460"/>
        <v>1304193.6546872042</v>
      </c>
      <c r="AK1511" s="2">
        <f t="shared" ca="1" si="1461"/>
        <v>0</v>
      </c>
      <c r="AL1511" s="2">
        <f t="shared" ca="1" si="1462"/>
        <v>33082.494062194899</v>
      </c>
      <c r="AM1511" s="2">
        <f t="shared" ca="1" si="1463"/>
        <v>35244.499729980977</v>
      </c>
      <c r="AN1511" s="2">
        <f t="shared" ca="1" si="1464"/>
        <v>37547.7966951751</v>
      </c>
      <c r="AO1511" s="2">
        <f t="shared" ca="1" si="1465"/>
        <v>40001.618620306625</v>
      </c>
      <c r="AP1511" s="2">
        <f t="shared" ca="1" si="1466"/>
        <v>2333898.8545983429</v>
      </c>
      <c r="AQ1511" s="2">
        <f t="shared" ca="1" si="1467"/>
        <v>758398.29694529658</v>
      </c>
      <c r="AR1511" s="2">
        <f t="shared" ca="1" si="1468"/>
        <v>868515.05046084349</v>
      </c>
      <c r="AS1511" s="2">
        <f t="shared" ca="1" si="1469"/>
        <v>964930.66891737212</v>
      </c>
      <c r="AT1511" s="2">
        <f t="shared" ca="1" si="1470"/>
        <v>1067647.2365458172</v>
      </c>
      <c r="AU1511" s="2">
        <f t="shared" ca="1" si="1471"/>
        <v>1177076.5326937849</v>
      </c>
      <c r="AV1511" s="2">
        <f t="shared" ca="1" si="1472"/>
        <v>2158518.2297673826</v>
      </c>
      <c r="AW1511" s="2">
        <f t="shared" ca="1" si="1473"/>
        <v>2438844.957249437</v>
      </c>
      <c r="AX1511" s="2">
        <f t="shared" ca="1" si="1474"/>
        <v>2711096.6348810014</v>
      </c>
      <c r="AY1511" s="2">
        <f t="shared" ca="1" si="1475"/>
        <v>3001140.4919352285</v>
      </c>
      <c r="AZ1511" s="2">
        <f t="shared" ca="1" si="1476"/>
        <v>3310139.2821235429</v>
      </c>
      <c r="BA1511" s="2">
        <f t="shared" ca="1" si="1477"/>
        <v>62526015.574469045</v>
      </c>
      <c r="BB1511" s="2">
        <f t="shared" ca="1" si="1478"/>
        <v>1250520.3114893809</v>
      </c>
      <c r="BC1511" s="2">
        <f t="shared" ca="1" si="1479"/>
        <v>35343285.767442517</v>
      </c>
      <c r="BD1511" s="2">
        <f t="shared" ca="1" si="1480"/>
        <v>-18868648.39267214</v>
      </c>
      <c r="BE1511" s="2">
        <f t="shared" ca="1" si="1481"/>
        <v>2158518.2297673826</v>
      </c>
      <c r="BF1511" s="2">
        <f t="shared" ca="1" si="1482"/>
        <v>2438844.957249437</v>
      </c>
      <c r="BG1511" s="2">
        <f t="shared" ca="1" si="1483"/>
        <v>2711096.6348810014</v>
      </c>
      <c r="BH1511" s="2">
        <f t="shared" ca="1" si="1484"/>
        <v>3001140.4919352285</v>
      </c>
      <c r="BI1511" s="2">
        <f t="shared" ca="1" si="1485"/>
        <v>38653425.04956606</v>
      </c>
      <c r="BJ1511" s="2">
        <f t="shared" ca="1" si="1486"/>
        <v>0.24523538803799205</v>
      </c>
      <c r="BK1511" s="2">
        <f t="shared" ca="1" si="1487"/>
        <v>10772807.806687567</v>
      </c>
    </row>
    <row r="1512" spans="1:63" x14ac:dyDescent="0.3">
      <c r="A1512" s="2">
        <v>1511</v>
      </c>
      <c r="B1512" s="2">
        <f t="shared" ca="1" si="1426"/>
        <v>0.21051758943361942</v>
      </c>
      <c r="C1512" s="2">
        <f t="shared" ca="1" si="1427"/>
        <v>6.6488722361661337</v>
      </c>
      <c r="D1512" s="2">
        <f t="shared" ca="1" si="1428"/>
        <v>0.28351960372900686</v>
      </c>
      <c r="E1512" s="2">
        <f t="shared" ca="1" si="1429"/>
        <v>7.2530200578059087</v>
      </c>
      <c r="F1512" s="2">
        <f t="shared" ca="1" si="1430"/>
        <v>4.5158528473933091E-2</v>
      </c>
      <c r="G1512" s="2">
        <f t="shared" ca="1" si="1431"/>
        <v>-1.0811828054996475E-2</v>
      </c>
      <c r="H1512" s="2">
        <f t="shared" ca="1" si="1432"/>
        <v>-1.0811828054996475E-2</v>
      </c>
      <c r="I1512" s="2">
        <f t="shared" ca="1" si="1433"/>
        <v>0.47617882980204318</v>
      </c>
      <c r="J1512" s="2">
        <f t="shared" ca="1" si="1434"/>
        <v>9.7012682746140718E-3</v>
      </c>
      <c r="K1512" s="2">
        <f t="shared" ca="1" si="1435"/>
        <v>9.7012682746140718E-3</v>
      </c>
      <c r="L1512" s="2">
        <f t="shared" ca="1" si="1436"/>
        <v>0.216505341075102</v>
      </c>
      <c r="M1512" s="2">
        <f t="shared" ca="1" si="1437"/>
        <v>-1.5681003072644962E-2</v>
      </c>
      <c r="N1512" s="2">
        <f t="shared" ca="1" si="1438"/>
        <v>-1.5681003072644962E-2</v>
      </c>
      <c r="O1512" s="2">
        <f t="shared" si="1439"/>
        <v>6000000</v>
      </c>
      <c r="P1512" s="2">
        <f t="shared" ca="1" si="1440"/>
        <v>39893233.416996799</v>
      </c>
      <c r="Q1512" s="2">
        <f t="shared" ca="1" si="1441"/>
        <v>997330.83542492008</v>
      </c>
      <c r="R1512" s="2">
        <f t="shared" ca="1" si="1442"/>
        <v>23935940.050198078</v>
      </c>
      <c r="S1512" s="2">
        <f t="shared" ca="1" si="1443"/>
        <v>15957293.366798721</v>
      </c>
      <c r="T1512" s="2">
        <f t="shared" ca="1" si="1444"/>
        <v>49215949.846367754</v>
      </c>
      <c r="U1512" s="2">
        <f t="shared" ca="1" si="1445"/>
        <v>48683835.459065497</v>
      </c>
      <c r="V1512" s="2">
        <f t="shared" ca="1" si="1446"/>
        <v>48157474.201024339</v>
      </c>
      <c r="W1512" s="2">
        <f t="shared" ca="1" si="1447"/>
        <v>47636803.870399937</v>
      </c>
      <c r="X1512" s="2">
        <f t="shared" ca="1" si="1448"/>
        <v>47121762.937863581</v>
      </c>
      <c r="Y1512" s="2">
        <f t="shared" ca="1" si="1449"/>
        <v>0.12485063413730703</v>
      </c>
      <c r="Z1512" s="2">
        <f t="shared" ca="1" si="1450"/>
        <v>0.12679088779222986</v>
      </c>
      <c r="AA1512" s="2">
        <f t="shared" ca="1" si="1451"/>
        <v>6144642.5479889121</v>
      </c>
      <c r="AB1512" s="2">
        <f t="shared" ca="1" si="1452"/>
        <v>6172666.7189857541</v>
      </c>
      <c r="AC1512" s="2">
        <f t="shared" ca="1" si="1453"/>
        <v>6105928.907779281</v>
      </c>
      <c r="AD1512" s="2">
        <f t="shared" ca="1" si="1454"/>
        <v>6039912.6543123396</v>
      </c>
      <c r="AE1512" s="2">
        <f t="shared" ca="1" si="1455"/>
        <v>5974610.1572267171</v>
      </c>
      <c r="AF1512" s="2">
        <f t="shared" ca="1" si="1456"/>
        <v>984318.99692735507</v>
      </c>
      <c r="AG1512" s="2">
        <f t="shared" ca="1" si="1457"/>
        <v>973676.70918130991</v>
      </c>
      <c r="AH1512" s="2">
        <f t="shared" ca="1" si="1458"/>
        <v>963149.48402048682</v>
      </c>
      <c r="AI1512" s="2">
        <f t="shared" ca="1" si="1459"/>
        <v>952736.07740799873</v>
      </c>
      <c r="AJ1512" s="2">
        <f t="shared" ca="1" si="1460"/>
        <v>942435.25875727169</v>
      </c>
      <c r="AK1512" s="2">
        <f t="shared" ca="1" si="1461"/>
        <v>0</v>
      </c>
      <c r="AL1512" s="2">
        <f t="shared" ca="1" si="1462"/>
        <v>0</v>
      </c>
      <c r="AM1512" s="2">
        <f t="shared" ca="1" si="1463"/>
        <v>0</v>
      </c>
      <c r="AN1512" s="2">
        <f t="shared" ca="1" si="1464"/>
        <v>0</v>
      </c>
      <c r="AO1512" s="2">
        <f t="shared" ca="1" si="1465"/>
        <v>0</v>
      </c>
      <c r="AP1512" s="2">
        <f t="shared" ca="1" si="1466"/>
        <v>2154234.6045178268</v>
      </c>
      <c r="AQ1512" s="2">
        <f t="shared" ca="1" si="1467"/>
        <v>781583.12610136974</v>
      </c>
      <c r="AR1512" s="2">
        <f t="shared" ca="1" si="1468"/>
        <v>791636.40537452057</v>
      </c>
      <c r="AS1512" s="2">
        <f t="shared" ca="1" si="1469"/>
        <v>777021.65300265164</v>
      </c>
      <c r="AT1512" s="2">
        <f t="shared" ca="1" si="1470"/>
        <v>762564.91282049357</v>
      </c>
      <c r="AU1512" s="2">
        <f t="shared" ca="1" si="1471"/>
        <v>748264.47642742086</v>
      </c>
      <c r="AV1512" s="2">
        <f t="shared" ca="1" si="1472"/>
        <v>2224505.8204423599</v>
      </c>
      <c r="AW1512" s="2">
        <f t="shared" ca="1" si="1473"/>
        <v>2253118.9999120971</v>
      </c>
      <c r="AX1512" s="2">
        <f t="shared" ca="1" si="1474"/>
        <v>2211523.1662383163</v>
      </c>
      <c r="AY1512" s="2">
        <f t="shared" ca="1" si="1475"/>
        <v>2170377.05956602</v>
      </c>
      <c r="AZ1512" s="2">
        <f t="shared" ca="1" si="1476"/>
        <v>2129675.8175241975</v>
      </c>
      <c r="BA1512" s="2">
        <f t="shared" ca="1" si="1477"/>
        <v>43333967.307936296</v>
      </c>
      <c r="BB1512" s="2">
        <f t="shared" ca="1" si="1478"/>
        <v>866679.34615872591</v>
      </c>
      <c r="BC1512" s="2">
        <f t="shared" ca="1" si="1479"/>
        <v>18531347.911579493</v>
      </c>
      <c r="BD1512" s="2">
        <f t="shared" ca="1" si="1480"/>
        <v>-17454624.20222364</v>
      </c>
      <c r="BE1512" s="2">
        <f t="shared" ca="1" si="1481"/>
        <v>2224505.8204423599</v>
      </c>
      <c r="BF1512" s="2">
        <f t="shared" ca="1" si="1482"/>
        <v>2253118.9999120971</v>
      </c>
      <c r="BG1512" s="2">
        <f t="shared" ca="1" si="1483"/>
        <v>2211523.1662383163</v>
      </c>
      <c r="BH1512" s="2">
        <f t="shared" ca="1" si="1484"/>
        <v>2170377.05956602</v>
      </c>
      <c r="BI1512" s="2">
        <f t="shared" ca="1" si="1485"/>
        <v>20661023.729103692</v>
      </c>
      <c r="BJ1512" s="2">
        <f t="shared" ca="1" si="1486"/>
        <v>0.13571072955616614</v>
      </c>
      <c r="BK1512" s="2">
        <f t="shared" ca="1" si="1487"/>
        <v>1004766.4771616198</v>
      </c>
    </row>
    <row r="1513" spans="1:63" x14ac:dyDescent="0.3">
      <c r="A1513" s="2">
        <v>1512</v>
      </c>
      <c r="B1513" s="2">
        <f t="shared" ca="1" si="1426"/>
        <v>0.49157800405852714</v>
      </c>
      <c r="C1513" s="2">
        <f t="shared" ca="1" si="1427"/>
        <v>6.991542237182589</v>
      </c>
      <c r="D1513" s="2">
        <f t="shared" ca="1" si="1428"/>
        <v>1.1094250200453848E-2</v>
      </c>
      <c r="E1513" s="2">
        <f t="shared" ca="1" si="1429"/>
        <v>6.6489580491309805</v>
      </c>
      <c r="F1513" s="2">
        <f t="shared" ca="1" si="1430"/>
        <v>0.43342234110907907</v>
      </c>
      <c r="G1513" s="2">
        <f t="shared" ca="1" si="1431"/>
        <v>3.4969968014073802E-2</v>
      </c>
      <c r="H1513" s="2">
        <f t="shared" ca="1" si="1432"/>
        <v>3.4969968014073802E-2</v>
      </c>
      <c r="I1513" s="2">
        <f t="shared" ca="1" si="1433"/>
        <v>0.46148343420298443</v>
      </c>
      <c r="J1513" s="2">
        <f t="shared" ca="1" si="1434"/>
        <v>9.5165140309628801E-3</v>
      </c>
      <c r="K1513" s="2">
        <f t="shared" ca="1" si="1435"/>
        <v>9.5165140309628801E-3</v>
      </c>
      <c r="L1513" s="2">
        <f t="shared" ca="1" si="1436"/>
        <v>0.4384313194806494</v>
      </c>
      <c r="M1513" s="2">
        <f t="shared" ca="1" si="1437"/>
        <v>-3.0989517066074878E-3</v>
      </c>
      <c r="N1513" s="2">
        <f t="shared" ca="1" si="1438"/>
        <v>-3.0989517066074878E-3</v>
      </c>
      <c r="O1513" s="2">
        <f t="shared" si="1439"/>
        <v>6000000</v>
      </c>
      <c r="P1513" s="2">
        <f t="shared" ca="1" si="1440"/>
        <v>41949253.423095532</v>
      </c>
      <c r="Q1513" s="2">
        <f t="shared" ca="1" si="1441"/>
        <v>1048731.3355773883</v>
      </c>
      <c r="R1513" s="2">
        <f t="shared" ca="1" si="1442"/>
        <v>25169552.053857319</v>
      </c>
      <c r="S1513" s="2">
        <f t="shared" ca="1" si="1443"/>
        <v>16779701.369238213</v>
      </c>
      <c r="T1513" s="2">
        <f t="shared" ca="1" si="1444"/>
        <v>49845052.414669625</v>
      </c>
      <c r="U1513" s="2">
        <f t="shared" ca="1" si="1445"/>
        <v>51588132.303270452</v>
      </c>
      <c r="V1513" s="2">
        <f t="shared" ca="1" si="1446"/>
        <v>53392167.639821626</v>
      </c>
      <c r="W1513" s="2">
        <f t="shared" ca="1" si="1447"/>
        <v>55259290.034388259</v>
      </c>
      <c r="X1513" s="2">
        <f t="shared" ca="1" si="1448"/>
        <v>57191705.639371246</v>
      </c>
      <c r="Y1513" s="2">
        <f t="shared" ca="1" si="1449"/>
        <v>0.12475825701548143</v>
      </c>
      <c r="Z1513" s="2">
        <f t="shared" ca="1" si="1450"/>
        <v>0.12666155982167401</v>
      </c>
      <c r="AA1513" s="2">
        <f t="shared" ca="1" si="1451"/>
        <v>6218581.8600994963</v>
      </c>
      <c r="AB1513" s="2">
        <f t="shared" ca="1" si="1452"/>
        <v>6534233.305819124</v>
      </c>
      <c r="AC1513" s="2">
        <f t="shared" ca="1" si="1453"/>
        <v>6762735.2355201142</v>
      </c>
      <c r="AD1513" s="2">
        <f t="shared" ca="1" si="1454"/>
        <v>6999227.870393903</v>
      </c>
      <c r="AE1513" s="2">
        <f t="shared" ca="1" si="1455"/>
        <v>7243990.6451447923</v>
      </c>
      <c r="AF1513" s="2">
        <f t="shared" ca="1" si="1456"/>
        <v>996901.04829339252</v>
      </c>
      <c r="AG1513" s="2">
        <f t="shared" ca="1" si="1457"/>
        <v>1031762.6460654091</v>
      </c>
      <c r="AH1513" s="2">
        <f t="shared" ca="1" si="1458"/>
        <v>1067843.3527964326</v>
      </c>
      <c r="AI1513" s="2">
        <f t="shared" ca="1" si="1459"/>
        <v>1105185.8006877652</v>
      </c>
      <c r="AJ1513" s="2">
        <f t="shared" ca="1" si="1460"/>
        <v>1143834.1127874251</v>
      </c>
      <c r="AK1513" s="2">
        <f t="shared" ca="1" si="1461"/>
        <v>0</v>
      </c>
      <c r="AL1513" s="2">
        <f t="shared" ca="1" si="1462"/>
        <v>17430.798886008262</v>
      </c>
      <c r="AM1513" s="2">
        <f t="shared" ca="1" si="1463"/>
        <v>18040.353365511746</v>
      </c>
      <c r="AN1513" s="2">
        <f t="shared" ca="1" si="1464"/>
        <v>18671.22394566633</v>
      </c>
      <c r="AO1513" s="2">
        <f t="shared" ca="1" si="1465"/>
        <v>19324.156049829871</v>
      </c>
      <c r="AP1513" s="2">
        <f t="shared" ca="1" si="1466"/>
        <v>2265259.6848471588</v>
      </c>
      <c r="AQ1513" s="2">
        <f t="shared" ca="1" si="1467"/>
        <v>768669.49300932582</v>
      </c>
      <c r="AR1513" s="2">
        <f t="shared" ca="1" si="1468"/>
        <v>841674.85347570456</v>
      </c>
      <c r="AS1513" s="2">
        <f t="shared" ca="1" si="1469"/>
        <v>891704.371447896</v>
      </c>
      <c r="AT1513" s="2">
        <f t="shared" ca="1" si="1470"/>
        <v>943483.42006333463</v>
      </c>
      <c r="AU1513" s="2">
        <f t="shared" ca="1" si="1471"/>
        <v>997073.18035265408</v>
      </c>
      <c r="AV1513" s="2">
        <f t="shared" ca="1" si="1472"/>
        <v>2187751.6339496193</v>
      </c>
      <c r="AW1513" s="2">
        <f t="shared" ca="1" si="1473"/>
        <v>2378105.3225448425</v>
      </c>
      <c r="AX1513" s="2">
        <f t="shared" ca="1" si="1474"/>
        <v>2519887.4730631155</v>
      </c>
      <c r="AY1513" s="2">
        <f t="shared" ca="1" si="1475"/>
        <v>2666627.7408499788</v>
      </c>
      <c r="AZ1513" s="2">
        <f t="shared" ca="1" si="1476"/>
        <v>2818499.5111077237</v>
      </c>
      <c r="BA1513" s="2">
        <f t="shared" ca="1" si="1477"/>
        <v>48164989.907864988</v>
      </c>
      <c r="BB1513" s="2">
        <f t="shared" ca="1" si="1478"/>
        <v>963299.79815729975</v>
      </c>
      <c r="BC1513" s="2">
        <f t="shared" ca="1" si="1479"/>
        <v>22032138.055850368</v>
      </c>
      <c r="BD1513" s="2">
        <f t="shared" ca="1" si="1480"/>
        <v>-18328432.7048156</v>
      </c>
      <c r="BE1513" s="2">
        <f t="shared" ca="1" si="1481"/>
        <v>2187751.6339496193</v>
      </c>
      <c r="BF1513" s="2">
        <f t="shared" ca="1" si="1482"/>
        <v>2378105.3225448425</v>
      </c>
      <c r="BG1513" s="2">
        <f t="shared" ca="1" si="1483"/>
        <v>2519887.4730631155</v>
      </c>
      <c r="BH1513" s="2">
        <f t="shared" ca="1" si="1484"/>
        <v>2666627.7408499788</v>
      </c>
      <c r="BI1513" s="2">
        <f t="shared" ca="1" si="1485"/>
        <v>24850637.566958092</v>
      </c>
      <c r="BJ1513" s="2">
        <f t="shared" ca="1" si="1486"/>
        <v>0.16378812444713331</v>
      </c>
      <c r="BK1513" s="2">
        <f t="shared" ca="1" si="1487"/>
        <v>3109943.3766042404</v>
      </c>
    </row>
    <row r="1514" spans="1:63" x14ac:dyDescent="0.3">
      <c r="A1514" s="2">
        <v>1513</v>
      </c>
      <c r="B1514" s="2">
        <f t="shared" ca="1" si="1426"/>
        <v>0.17576067715494836</v>
      </c>
      <c r="C1514" s="2">
        <f t="shared" ca="1" si="1427"/>
        <v>6.5928923631738705</v>
      </c>
      <c r="D1514" s="2">
        <f t="shared" ca="1" si="1428"/>
        <v>0.2411645971094375</v>
      </c>
      <c r="E1514" s="2">
        <f t="shared" ca="1" si="1429"/>
        <v>7.1944992398979819</v>
      </c>
      <c r="F1514" s="2">
        <f t="shared" ca="1" si="1430"/>
        <v>0.78027969304875222</v>
      </c>
      <c r="G1514" s="2">
        <f t="shared" ca="1" si="1431"/>
        <v>6.3194145079172218E-2</v>
      </c>
      <c r="H1514" s="2">
        <f t="shared" ca="1" si="1432"/>
        <v>6.3194145079172218E-2</v>
      </c>
      <c r="I1514" s="2">
        <f t="shared" ca="1" si="1433"/>
        <v>0.99740900102641639</v>
      </c>
      <c r="J1514" s="2">
        <f t="shared" ca="1" si="1434"/>
        <v>2.3977485101949261E-2</v>
      </c>
      <c r="K1514" s="2">
        <f t="shared" ca="1" si="1435"/>
        <v>2.3977485101949261E-2</v>
      </c>
      <c r="L1514" s="2">
        <f t="shared" ca="1" si="1436"/>
        <v>0.89609226529758168</v>
      </c>
      <c r="M1514" s="2">
        <f t="shared" ca="1" si="1437"/>
        <v>2.5191901704497217E-2</v>
      </c>
      <c r="N1514" s="2">
        <f t="shared" ca="1" si="1438"/>
        <v>2.5191901704497217E-2</v>
      </c>
      <c r="O1514" s="2">
        <f t="shared" si="1439"/>
        <v>6000000</v>
      </c>
      <c r="P1514" s="2">
        <f t="shared" ca="1" si="1440"/>
        <v>39557354.179043226</v>
      </c>
      <c r="Q1514" s="2">
        <f t="shared" ca="1" si="1441"/>
        <v>988933.85447608074</v>
      </c>
      <c r="R1514" s="2">
        <f t="shared" ca="1" si="1442"/>
        <v>23734412.507425934</v>
      </c>
      <c r="S1514" s="2">
        <f t="shared" ca="1" si="1443"/>
        <v>15822941.671617292</v>
      </c>
      <c r="T1514" s="2">
        <f t="shared" ca="1" si="1444"/>
        <v>51259595.085224859</v>
      </c>
      <c r="U1514" s="2">
        <f t="shared" ca="1" si="1445"/>
        <v>54498901.373740181</v>
      </c>
      <c r="V1514" s="2">
        <f t="shared" ca="1" si="1446"/>
        <v>57942912.853807814</v>
      </c>
      <c r="W1514" s="2">
        <f t="shared" ca="1" si="1447"/>
        <v>61604565.695001177</v>
      </c>
      <c r="X1514" s="2">
        <f t="shared" ca="1" si="1448"/>
        <v>65497613.557070479</v>
      </c>
      <c r="Y1514" s="2">
        <f t="shared" ca="1" si="1449"/>
        <v>0.13198874255097462</v>
      </c>
      <c r="Z1514" s="2">
        <f t="shared" ca="1" si="1450"/>
        <v>0.13678423957136449</v>
      </c>
      <c r="AA1514" s="2">
        <f t="shared" ca="1" si="1451"/>
        <v>6765689.4989709482</v>
      </c>
      <c r="AB1514" s="2">
        <f t="shared" ca="1" si="1452"/>
        <v>7454590.7818818418</v>
      </c>
      <c r="AC1514" s="2">
        <f t="shared" ca="1" si="1453"/>
        <v>7925677.2732579429</v>
      </c>
      <c r="AD1514" s="2">
        <f t="shared" ca="1" si="1454"/>
        <v>8426533.672714904</v>
      </c>
      <c r="AE1514" s="2">
        <f t="shared" ca="1" si="1455"/>
        <v>8959041.2641429789</v>
      </c>
      <c r="AF1514" s="2">
        <f t="shared" ca="1" si="1456"/>
        <v>1025191.9017044972</v>
      </c>
      <c r="AG1514" s="2">
        <f t="shared" ca="1" si="1457"/>
        <v>1089978.0274748036</v>
      </c>
      <c r="AH1514" s="2">
        <f t="shared" ca="1" si="1458"/>
        <v>1158858.2570761563</v>
      </c>
      <c r="AI1514" s="2">
        <f t="shared" ca="1" si="1459"/>
        <v>1232091.3139000235</v>
      </c>
      <c r="AJ1514" s="2">
        <f t="shared" ca="1" si="1460"/>
        <v>1309952.2711414096</v>
      </c>
      <c r="AK1514" s="2">
        <f t="shared" ca="1" si="1461"/>
        <v>0</v>
      </c>
      <c r="AL1514" s="2">
        <f t="shared" ca="1" si="1462"/>
        <v>32393.06288515322</v>
      </c>
      <c r="AM1514" s="2">
        <f t="shared" ca="1" si="1463"/>
        <v>34440.114800676332</v>
      </c>
      <c r="AN1514" s="2">
        <f t="shared" ca="1" si="1464"/>
        <v>36616.528411933628</v>
      </c>
      <c r="AO1514" s="2">
        <f t="shared" ca="1" si="1465"/>
        <v>38930.478620693015</v>
      </c>
      <c r="AP1514" s="2">
        <f t="shared" ca="1" si="1466"/>
        <v>2136097.1256683338</v>
      </c>
      <c r="AQ1514" s="2">
        <f t="shared" ca="1" si="1467"/>
        <v>937144.12261551036</v>
      </c>
      <c r="AR1514" s="2">
        <f t="shared" ca="1" si="1468"/>
        <v>1099414.063472063</v>
      </c>
      <c r="AS1514" s="2">
        <f t="shared" ca="1" si="1469"/>
        <v>1203987.6915334978</v>
      </c>
      <c r="AT1514" s="2">
        <f t="shared" ca="1" si="1470"/>
        <v>1315169.760618102</v>
      </c>
      <c r="AU1514" s="2">
        <f t="shared" ca="1" si="1471"/>
        <v>1433377.8855066411</v>
      </c>
      <c r="AV1514" s="2">
        <f t="shared" ca="1" si="1472"/>
        <v>2667256.3489826061</v>
      </c>
      <c r="AW1514" s="2">
        <f t="shared" ca="1" si="1473"/>
        <v>3096708.5023814877</v>
      </c>
      <c r="AX1514" s="2">
        <f t="shared" ca="1" si="1474"/>
        <v>3392294.0841792785</v>
      </c>
      <c r="AY1514" s="2">
        <f t="shared" ca="1" si="1475"/>
        <v>3706558.9441165114</v>
      </c>
      <c r="AZ1514" s="2">
        <f t="shared" ca="1" si="1476"/>
        <v>4040683.503205901</v>
      </c>
      <c r="BA1514" s="2">
        <f t="shared" ca="1" si="1477"/>
        <v>64455815.565091319</v>
      </c>
      <c r="BB1514" s="2">
        <f t="shared" ca="1" si="1478"/>
        <v>1289116.3113018265</v>
      </c>
      <c r="BC1514" s="2">
        <f t="shared" ca="1" si="1479"/>
        <v>39432286.746363558</v>
      </c>
      <c r="BD1514" s="2">
        <f t="shared" ca="1" si="1480"/>
        <v>-17311875.526093371</v>
      </c>
      <c r="BE1514" s="2">
        <f t="shared" ca="1" si="1481"/>
        <v>2667256.3489826061</v>
      </c>
      <c r="BF1514" s="2">
        <f t="shared" ca="1" si="1482"/>
        <v>3096708.5023814877</v>
      </c>
      <c r="BG1514" s="2">
        <f t="shared" ca="1" si="1483"/>
        <v>3392294.0841792785</v>
      </c>
      <c r="BH1514" s="2">
        <f t="shared" ca="1" si="1484"/>
        <v>3706558.9441165114</v>
      </c>
      <c r="BI1514" s="2">
        <f t="shared" ca="1" si="1485"/>
        <v>43472970.249569461</v>
      </c>
      <c r="BJ1514" s="2">
        <f t="shared" ca="1" si="1486"/>
        <v>0.32057082113461233</v>
      </c>
      <c r="BK1514" s="2">
        <f t="shared" ca="1" si="1487"/>
        <v>16976164.374599189</v>
      </c>
    </row>
    <row r="1515" spans="1:63" x14ac:dyDescent="0.3">
      <c r="A1515" s="2">
        <v>1514</v>
      </c>
      <c r="B1515" s="2">
        <f t="shared" ca="1" si="1426"/>
        <v>0.60014966180318507</v>
      </c>
      <c r="C1515" s="2">
        <f t="shared" ca="1" si="1427"/>
        <v>7.1057401516373275</v>
      </c>
      <c r="D1515" s="2">
        <f t="shared" ca="1" si="1428"/>
        <v>0.87706028619755949</v>
      </c>
      <c r="E1515" s="2">
        <f t="shared" ca="1" si="1429"/>
        <v>8.0041376928976344</v>
      </c>
      <c r="F1515" s="2">
        <f t="shared" ca="1" si="1430"/>
        <v>0.36063156024123733</v>
      </c>
      <c r="G1515" s="2">
        <f t="shared" ca="1" si="1431"/>
        <v>2.9296864887222114E-2</v>
      </c>
      <c r="H1515" s="2">
        <f t="shared" ca="1" si="1432"/>
        <v>2.9296864887222114E-2</v>
      </c>
      <c r="I1515" s="2">
        <f t="shared" ca="1" si="1433"/>
        <v>0.4689676710304459</v>
      </c>
      <c r="J1515" s="2">
        <f t="shared" ca="1" si="1434"/>
        <v>9.6106743793321573E-3</v>
      </c>
      <c r="K1515" s="2">
        <f t="shared" ca="1" si="1435"/>
        <v>9.6106743793321573E-3</v>
      </c>
      <c r="L1515" s="2">
        <f t="shared" ca="1" si="1436"/>
        <v>0.78172980570015427</v>
      </c>
      <c r="M1515" s="2">
        <f t="shared" ca="1" si="1437"/>
        <v>1.5560971121424383E-2</v>
      </c>
      <c r="N1515" s="2">
        <f t="shared" ca="1" si="1438"/>
        <v>1.5560971121424383E-2</v>
      </c>
      <c r="O1515" s="2">
        <f t="shared" si="1439"/>
        <v>6000000</v>
      </c>
      <c r="P1515" s="2">
        <f t="shared" ca="1" si="1440"/>
        <v>42634440.909823962</v>
      </c>
      <c r="Q1515" s="2">
        <f t="shared" ca="1" si="1441"/>
        <v>1065861.022745599</v>
      </c>
      <c r="R1515" s="2">
        <f t="shared" ca="1" si="1442"/>
        <v>25580664.545894377</v>
      </c>
      <c r="S1515" s="2">
        <f t="shared" ca="1" si="1443"/>
        <v>17053776.363929585</v>
      </c>
      <c r="T1515" s="2">
        <f t="shared" ca="1" si="1444"/>
        <v>50778048.556071222</v>
      </c>
      <c r="U1515" s="2">
        <f t="shared" ca="1" si="1445"/>
        <v>52265686.183855243</v>
      </c>
      <c r="V1515" s="2">
        <f t="shared" ca="1" si="1446"/>
        <v>53796906.930221595</v>
      </c>
      <c r="W1515" s="2">
        <f t="shared" ca="1" si="1447"/>
        <v>55372987.643906757</v>
      </c>
      <c r="X1515" s="2">
        <f t="shared" ca="1" si="1448"/>
        <v>56995242.581312113</v>
      </c>
      <c r="Y1515" s="2">
        <f t="shared" ca="1" si="1449"/>
        <v>0.12480533718966608</v>
      </c>
      <c r="Z1515" s="2">
        <f t="shared" ca="1" si="1450"/>
        <v>0.1267274720655325</v>
      </c>
      <c r="AA1515" s="2">
        <f t="shared" ca="1" si="1451"/>
        <v>6337371.4718737053</v>
      </c>
      <c r="AB1515" s="2">
        <f t="shared" ca="1" si="1452"/>
        <v>6623498.2858504038</v>
      </c>
      <c r="AC1515" s="2">
        <f t="shared" ca="1" si="1453"/>
        <v>6817546.0202117087</v>
      </c>
      <c r="AD1515" s="2">
        <f t="shared" ca="1" si="1454"/>
        <v>7017278.7448282698</v>
      </c>
      <c r="AE1515" s="2">
        <f t="shared" ca="1" si="1455"/>
        <v>7222863.0120914793</v>
      </c>
      <c r="AF1515" s="2">
        <f t="shared" ca="1" si="1456"/>
        <v>1015560.9711214245</v>
      </c>
      <c r="AG1515" s="2">
        <f t="shared" ca="1" si="1457"/>
        <v>1045313.7236771049</v>
      </c>
      <c r="AH1515" s="2">
        <f t="shared" ca="1" si="1458"/>
        <v>1075938.1386044319</v>
      </c>
      <c r="AI1515" s="2">
        <f t="shared" ca="1" si="1459"/>
        <v>1107459.7528781351</v>
      </c>
      <c r="AJ1515" s="2">
        <f t="shared" ca="1" si="1460"/>
        <v>1139904.8516262423</v>
      </c>
      <c r="AK1515" s="2">
        <f t="shared" ca="1" si="1461"/>
        <v>0</v>
      </c>
      <c r="AL1515" s="2">
        <f t="shared" ca="1" si="1462"/>
        <v>14876.376277840212</v>
      </c>
      <c r="AM1515" s="2">
        <f t="shared" ca="1" si="1463"/>
        <v>15312.207463663519</v>
      </c>
      <c r="AN1515" s="2">
        <f t="shared" ca="1" si="1464"/>
        <v>15760.807136851625</v>
      </c>
      <c r="AO1515" s="2">
        <f t="shared" ca="1" si="1465"/>
        <v>16222.549374053553</v>
      </c>
      <c r="AP1515" s="2">
        <f t="shared" ca="1" si="1466"/>
        <v>2302259.809130494</v>
      </c>
      <c r="AQ1515" s="2">
        <f t="shared" ca="1" si="1467"/>
        <v>785083.17982166447</v>
      </c>
      <c r="AR1515" s="2">
        <f t="shared" ca="1" si="1468"/>
        <v>851740.43579112925</v>
      </c>
      <c r="AS1515" s="2">
        <f t="shared" ca="1" si="1469"/>
        <v>894230.49884396372</v>
      </c>
      <c r="AT1515" s="2">
        <f t="shared" ca="1" si="1470"/>
        <v>937965.38753310661</v>
      </c>
      <c r="AU1515" s="2">
        <f t="shared" ca="1" si="1471"/>
        <v>982981.57134703314</v>
      </c>
      <c r="AV1515" s="2">
        <f t="shared" ca="1" si="1472"/>
        <v>2234467.511800122</v>
      </c>
      <c r="AW1515" s="2">
        <f t="shared" ca="1" si="1473"/>
        <v>2409307.9409738355</v>
      </c>
      <c r="AX1515" s="2">
        <f t="shared" ca="1" si="1474"/>
        <v>2529805.366169156</v>
      </c>
      <c r="AY1515" s="2">
        <f t="shared" ca="1" si="1475"/>
        <v>2653832.9881496825</v>
      </c>
      <c r="AZ1515" s="2">
        <f t="shared" ca="1" si="1476"/>
        <v>2781494.2306136559</v>
      </c>
      <c r="BA1515" s="2">
        <f t="shared" ca="1" si="1477"/>
        <v>57812790.085717551</v>
      </c>
      <c r="BB1515" s="2">
        <f t="shared" ca="1" si="1478"/>
        <v>1156255.8017143512</v>
      </c>
      <c r="BC1515" s="2">
        <f t="shared" ca="1" si="1479"/>
        <v>31075869.738108825</v>
      </c>
      <c r="BD1515" s="2">
        <f t="shared" ca="1" si="1480"/>
        <v>-18619637.386675183</v>
      </c>
      <c r="BE1515" s="2">
        <f t="shared" ca="1" si="1481"/>
        <v>2234467.511800122</v>
      </c>
      <c r="BF1515" s="2">
        <f t="shared" ca="1" si="1482"/>
        <v>2409307.9409738355</v>
      </c>
      <c r="BG1515" s="2">
        <f t="shared" ca="1" si="1483"/>
        <v>2529805.366169156</v>
      </c>
      <c r="BH1515" s="2">
        <f t="shared" ca="1" si="1484"/>
        <v>2653832.9881496825</v>
      </c>
      <c r="BI1515" s="2">
        <f t="shared" ca="1" si="1485"/>
        <v>33857363.968722478</v>
      </c>
      <c r="BJ1515" s="2">
        <f t="shared" ca="1" si="1486"/>
        <v>0.21918901832964965</v>
      </c>
      <c r="BK1515" s="2">
        <f t="shared" ca="1" si="1487"/>
        <v>7994910.3425773829</v>
      </c>
    </row>
    <row r="1516" spans="1:63" x14ac:dyDescent="0.3">
      <c r="A1516" s="2">
        <v>1515</v>
      </c>
      <c r="B1516" s="2">
        <f t="shared" ca="1" si="1426"/>
        <v>0.537344487182562</v>
      </c>
      <c r="C1516" s="2">
        <f t="shared" ca="1" si="1427"/>
        <v>7.038069115978244</v>
      </c>
      <c r="D1516" s="2">
        <f t="shared" ca="1" si="1428"/>
        <v>0.98255069696204778</v>
      </c>
      <c r="E1516" s="2">
        <f t="shared" ca="1" si="1429"/>
        <v>8.313188313866867</v>
      </c>
      <c r="F1516" s="2">
        <f t="shared" ca="1" si="1430"/>
        <v>0.2049003008064656</v>
      </c>
      <c r="G1516" s="2">
        <f t="shared" ca="1" si="1431"/>
        <v>1.5272662618222979E-2</v>
      </c>
      <c r="H1516" s="2">
        <f t="shared" ca="1" si="1432"/>
        <v>1.5272662618222979E-2</v>
      </c>
      <c r="I1516" s="2">
        <f t="shared" ca="1" si="1433"/>
        <v>0.66888192573101679</v>
      </c>
      <c r="J1516" s="2">
        <f t="shared" ca="1" si="1434"/>
        <v>1.2184139604103488E-2</v>
      </c>
      <c r="K1516" s="2">
        <f t="shared" ca="1" si="1435"/>
        <v>1.2184139604103488E-2</v>
      </c>
      <c r="L1516" s="2">
        <f t="shared" ca="1" si="1436"/>
        <v>0.60308636205626664</v>
      </c>
      <c r="M1516" s="2">
        <f t="shared" ca="1" si="1437"/>
        <v>5.2268790205826209E-3</v>
      </c>
      <c r="N1516" s="2">
        <f t="shared" ca="1" si="1438"/>
        <v>5.2268790205826209E-3</v>
      </c>
      <c r="O1516" s="2">
        <f t="shared" si="1439"/>
        <v>6000000</v>
      </c>
      <c r="P1516" s="2">
        <f t="shared" ca="1" si="1440"/>
        <v>42228414.695869461</v>
      </c>
      <c r="Q1516" s="2">
        <f t="shared" ca="1" si="1441"/>
        <v>1055710.3673967365</v>
      </c>
      <c r="R1516" s="2">
        <f t="shared" ca="1" si="1442"/>
        <v>25337048.817521676</v>
      </c>
      <c r="S1516" s="2">
        <f t="shared" ca="1" si="1443"/>
        <v>16891365.878347784</v>
      </c>
      <c r="T1516" s="2">
        <f t="shared" ca="1" si="1444"/>
        <v>50261343.951029137</v>
      </c>
      <c r="U1516" s="2">
        <f t="shared" ca="1" si="1445"/>
        <v>51028968.499931663</v>
      </c>
      <c r="V1516" s="2">
        <f t="shared" ca="1" si="1446"/>
        <v>51808316.719587043</v>
      </c>
      <c r="W1516" s="2">
        <f t="shared" ca="1" si="1447"/>
        <v>52599567.661663331</v>
      </c>
      <c r="X1516" s="2">
        <f t="shared" ca="1" si="1448"/>
        <v>53402903.112424307</v>
      </c>
      <c r="Y1516" s="2">
        <f t="shared" ca="1" si="1449"/>
        <v>0.12609206980205173</v>
      </c>
      <c r="Z1516" s="2">
        <f t="shared" ca="1" si="1450"/>
        <v>0.12852889772287243</v>
      </c>
      <c r="AA1516" s="2">
        <f t="shared" ca="1" si="1451"/>
        <v>6337556.8898180965</v>
      </c>
      <c r="AB1516" s="2">
        <f t="shared" ca="1" si="1452"/>
        <v>6558697.0732313953</v>
      </c>
      <c r="AC1516" s="2">
        <f t="shared" ca="1" si="1453"/>
        <v>6658865.8408459844</v>
      </c>
      <c r="AD1516" s="2">
        <f t="shared" ca="1" si="1454"/>
        <v>6760564.4522532346</v>
      </c>
      <c r="AE1516" s="2">
        <f t="shared" ca="1" si="1455"/>
        <v>6863816.2722412497</v>
      </c>
      <c r="AF1516" s="2">
        <f t="shared" ca="1" si="1456"/>
        <v>1005226.8790205828</v>
      </c>
      <c r="AG1516" s="2">
        <f t="shared" ca="1" si="1457"/>
        <v>1020579.3699986333</v>
      </c>
      <c r="AH1516" s="2">
        <f t="shared" ca="1" si="1458"/>
        <v>1036166.3343917408</v>
      </c>
      <c r="AI1516" s="2">
        <f t="shared" ca="1" si="1459"/>
        <v>1051991.3532332666</v>
      </c>
      <c r="AJ1516" s="2">
        <f t="shared" ca="1" si="1460"/>
        <v>1068058.0622484861</v>
      </c>
      <c r="AK1516" s="2">
        <f t="shared" ca="1" si="1461"/>
        <v>0</v>
      </c>
      <c r="AL1516" s="2">
        <f t="shared" ca="1" si="1462"/>
        <v>7676.2454890252648</v>
      </c>
      <c r="AM1516" s="2">
        <f t="shared" ca="1" si="1463"/>
        <v>7793.4821965537967</v>
      </c>
      <c r="AN1516" s="2">
        <f t="shared" ca="1" si="1464"/>
        <v>7912.5094207628817</v>
      </c>
      <c r="AO1516" s="2">
        <f t="shared" ca="1" si="1465"/>
        <v>8033.3545076097553</v>
      </c>
      <c r="AP1516" s="2">
        <f t="shared" ca="1" si="1466"/>
        <v>2280334.3935769508</v>
      </c>
      <c r="AQ1516" s="2">
        <f t="shared" ca="1" si="1467"/>
        <v>793518.86047734634</v>
      </c>
      <c r="AR1516" s="2">
        <f t="shared" ca="1" si="1468"/>
        <v>847023.66051051102</v>
      </c>
      <c r="AS1516" s="2">
        <f t="shared" ca="1" si="1469"/>
        <v>869014.92934809614</v>
      </c>
      <c r="AT1516" s="2">
        <f t="shared" ca="1" si="1470"/>
        <v>891342.0634151845</v>
      </c>
      <c r="AU1516" s="2">
        <f t="shared" ca="1" si="1471"/>
        <v>914010.19226811139</v>
      </c>
      <c r="AV1516" s="2">
        <f t="shared" ca="1" si="1472"/>
        <v>2258476.7567432169</v>
      </c>
      <c r="AW1516" s="2">
        <f t="shared" ca="1" si="1473"/>
        <v>2403083.403656275</v>
      </c>
      <c r="AX1516" s="2">
        <f t="shared" ca="1" si="1474"/>
        <v>2465556.7013326427</v>
      </c>
      <c r="AY1516" s="2">
        <f t="shared" ca="1" si="1475"/>
        <v>2528984.1326070698</v>
      </c>
      <c r="AZ1516" s="2">
        <f t="shared" ca="1" si="1476"/>
        <v>2593380.2696400909</v>
      </c>
      <c r="BA1516" s="2">
        <f t="shared" ca="1" si="1477"/>
        <v>57060197.222925201</v>
      </c>
      <c r="BB1516" s="2">
        <f t="shared" ca="1" si="1478"/>
        <v>1141203.944458504</v>
      </c>
      <c r="BC1516" s="2">
        <f t="shared" ca="1" si="1479"/>
        <v>30581944.460945021</v>
      </c>
      <c r="BD1516" s="2">
        <f t="shared" ca="1" si="1480"/>
        <v>-18447076.245744519</v>
      </c>
      <c r="BE1516" s="2">
        <f t="shared" ca="1" si="1481"/>
        <v>2258476.7567432169</v>
      </c>
      <c r="BF1516" s="2">
        <f t="shared" ca="1" si="1482"/>
        <v>2403083.403656275</v>
      </c>
      <c r="BG1516" s="2">
        <f t="shared" ca="1" si="1483"/>
        <v>2465556.7013326427</v>
      </c>
      <c r="BH1516" s="2">
        <f t="shared" ca="1" si="1484"/>
        <v>2528984.1326070698</v>
      </c>
      <c r="BI1516" s="2">
        <f t="shared" ca="1" si="1485"/>
        <v>33175324.730585113</v>
      </c>
      <c r="BJ1516" s="2">
        <f t="shared" ca="1" si="1486"/>
        <v>0.21666117754521941</v>
      </c>
      <c r="BK1516" s="2">
        <f t="shared" ca="1" si="1487"/>
        <v>7671864.130592458</v>
      </c>
    </row>
    <row r="1517" spans="1:63" x14ac:dyDescent="0.3">
      <c r="A1517" s="2">
        <v>1516</v>
      </c>
      <c r="B1517" s="2">
        <f t="shared" ca="1" si="1426"/>
        <v>0.4085120466326857</v>
      </c>
      <c r="C1517" s="2">
        <f t="shared" ca="1" si="1427"/>
        <v>6.9038938506624392</v>
      </c>
      <c r="D1517" s="2">
        <f t="shared" ca="1" si="1428"/>
        <v>0.88526817335064079</v>
      </c>
      <c r="E1517" s="2">
        <f t="shared" ca="1" si="1429"/>
        <v>8.0209763541340386</v>
      </c>
      <c r="F1517" s="2">
        <f t="shared" ca="1" si="1430"/>
        <v>0.37041579554322546</v>
      </c>
      <c r="G1517" s="2">
        <f t="shared" ca="1" si="1431"/>
        <v>3.007743089110046E-2</v>
      </c>
      <c r="H1517" s="2">
        <f t="shared" ca="1" si="1432"/>
        <v>3.007743089110046E-2</v>
      </c>
      <c r="I1517" s="2">
        <f t="shared" ca="1" si="1433"/>
        <v>0.9676595270944911</v>
      </c>
      <c r="J1517" s="2">
        <f t="shared" ca="1" si="1434"/>
        <v>1.9237284614964639E-2</v>
      </c>
      <c r="K1517" s="2">
        <f t="shared" ca="1" si="1435"/>
        <v>1.9237284614964639E-2</v>
      </c>
      <c r="L1517" s="2">
        <f t="shared" ca="1" si="1436"/>
        <v>0.7899869520526559</v>
      </c>
      <c r="M1517" s="2">
        <f t="shared" ca="1" si="1437"/>
        <v>1.6127519482271487E-2</v>
      </c>
      <c r="N1517" s="2">
        <f t="shared" ca="1" si="1438"/>
        <v>1.6127519482271487E-2</v>
      </c>
      <c r="O1517" s="2">
        <f t="shared" si="1439"/>
        <v>6000000</v>
      </c>
      <c r="P1517" s="2">
        <f t="shared" ca="1" si="1440"/>
        <v>41423363.103974633</v>
      </c>
      <c r="Q1517" s="2">
        <f t="shared" ca="1" si="1441"/>
        <v>1035584.0775993658</v>
      </c>
      <c r="R1517" s="2">
        <f t="shared" ca="1" si="1442"/>
        <v>24854017.862384778</v>
      </c>
      <c r="S1517" s="2">
        <f t="shared" ca="1" si="1443"/>
        <v>16569345.241589854</v>
      </c>
      <c r="T1517" s="2">
        <f t="shared" ca="1" si="1444"/>
        <v>50806375.974113569</v>
      </c>
      <c r="U1517" s="2">
        <f t="shared" ca="1" si="1445"/>
        <v>52334501.236302234</v>
      </c>
      <c r="V1517" s="2">
        <f t="shared" ca="1" si="1446"/>
        <v>53908588.58045733</v>
      </c>
      <c r="W1517" s="2">
        <f t="shared" ca="1" si="1447"/>
        <v>55530020.427922808</v>
      </c>
      <c r="X1517" s="2">
        <f t="shared" ca="1" si="1448"/>
        <v>57200220.779725052</v>
      </c>
      <c r="Y1517" s="2">
        <f t="shared" ca="1" si="1449"/>
        <v>0.12961864230748232</v>
      </c>
      <c r="Z1517" s="2">
        <f t="shared" ca="1" si="1450"/>
        <v>0.13346609923047525</v>
      </c>
      <c r="AA1517" s="2">
        <f t="shared" ca="1" si="1451"/>
        <v>6585453.4743280904</v>
      </c>
      <c r="AB1517" s="2">
        <f t="shared" ca="1" si="1452"/>
        <v>6984881.7351817442</v>
      </c>
      <c r="AC1517" s="2">
        <f t="shared" ca="1" si="1453"/>
        <v>7194969.0328541836</v>
      </c>
      <c r="AD1517" s="2">
        <f t="shared" ca="1" si="1454"/>
        <v>7411375.2167034633</v>
      </c>
      <c r="AE1517" s="2">
        <f t="shared" ca="1" si="1455"/>
        <v>7634290.3425918762</v>
      </c>
      <c r="AF1517" s="2">
        <f t="shared" ca="1" si="1456"/>
        <v>1016127.5194822714</v>
      </c>
      <c r="AG1517" s="2">
        <f t="shared" ca="1" si="1457"/>
        <v>1046690.0247260447</v>
      </c>
      <c r="AH1517" s="2">
        <f t="shared" ca="1" si="1458"/>
        <v>1078171.7716091466</v>
      </c>
      <c r="AI1517" s="2">
        <f t="shared" ca="1" si="1459"/>
        <v>1110600.4085584562</v>
      </c>
      <c r="AJ1517" s="2">
        <f t="shared" ca="1" si="1460"/>
        <v>1144004.4155945012</v>
      </c>
      <c r="AK1517" s="2">
        <f t="shared" ca="1" si="1461"/>
        <v>0</v>
      </c>
      <c r="AL1517" s="2">
        <f t="shared" ca="1" si="1462"/>
        <v>15281.252621886655</v>
      </c>
      <c r="AM1517" s="2">
        <f t="shared" ca="1" si="1463"/>
        <v>15740.873441550955</v>
      </c>
      <c r="AN1517" s="2">
        <f t="shared" ca="1" si="1464"/>
        <v>16214.318474654779</v>
      </c>
      <c r="AO1517" s="2">
        <f t="shared" ca="1" si="1465"/>
        <v>16702.003518022448</v>
      </c>
      <c r="AP1517" s="2">
        <f t="shared" ca="1" si="1466"/>
        <v>2236861.6076146299</v>
      </c>
      <c r="AQ1517" s="2">
        <f t="shared" ca="1" si="1467"/>
        <v>866440.7302801091</v>
      </c>
      <c r="AR1517" s="2">
        <f t="shared" ca="1" si="1468"/>
        <v>962345.82673867827</v>
      </c>
      <c r="AS1517" s="2">
        <f t="shared" ca="1" si="1469"/>
        <v>1008783.2699439058</v>
      </c>
      <c r="AT1517" s="2">
        <f t="shared" ca="1" si="1470"/>
        <v>1056617.4321378982</v>
      </c>
      <c r="AU1517" s="2">
        <f t="shared" ca="1" si="1471"/>
        <v>1105890.3230395138</v>
      </c>
      <c r="AV1517" s="2">
        <f t="shared" ca="1" si="1472"/>
        <v>2466023.61695108</v>
      </c>
      <c r="AW1517" s="2">
        <f t="shared" ca="1" si="1473"/>
        <v>2723703.0234805057</v>
      </c>
      <c r="AX1517" s="2">
        <f t="shared" ca="1" si="1474"/>
        <v>2855411.5102449497</v>
      </c>
      <c r="AY1517" s="2">
        <f t="shared" ca="1" si="1475"/>
        <v>2991081.449917824</v>
      </c>
      <c r="AZ1517" s="2">
        <f t="shared" ca="1" si="1476"/>
        <v>3130831.9928252082</v>
      </c>
      <c r="BA1517" s="2">
        <f t="shared" ca="1" si="1477"/>
        <v>61234462.318523288</v>
      </c>
      <c r="BB1517" s="2">
        <f t="shared" ca="1" si="1478"/>
        <v>1224689.2463704657</v>
      </c>
      <c r="BC1517" s="2">
        <f t="shared" ca="1" si="1479"/>
        <v>35155755.209768042</v>
      </c>
      <c r="BD1517" s="2">
        <f t="shared" ca="1" si="1480"/>
        <v>-18104929.319189221</v>
      </c>
      <c r="BE1517" s="2">
        <f t="shared" ca="1" si="1481"/>
        <v>2466023.61695108</v>
      </c>
      <c r="BF1517" s="2">
        <f t="shared" ca="1" si="1482"/>
        <v>2723703.0234805057</v>
      </c>
      <c r="BG1517" s="2">
        <f t="shared" ca="1" si="1483"/>
        <v>2855411.5102449497</v>
      </c>
      <c r="BH1517" s="2">
        <f t="shared" ca="1" si="1484"/>
        <v>2991081.449917824</v>
      </c>
      <c r="BI1517" s="2">
        <f t="shared" ca="1" si="1485"/>
        <v>38286587.202593252</v>
      </c>
      <c r="BJ1517" s="2">
        <f t="shared" ca="1" si="1486"/>
        <v>0.26404618503602495</v>
      </c>
      <c r="BK1517" s="2">
        <f t="shared" ca="1" si="1487"/>
        <v>11926346.496584799</v>
      </c>
    </row>
    <row r="1518" spans="1:63" x14ac:dyDescent="0.3">
      <c r="A1518" s="2">
        <v>1517</v>
      </c>
      <c r="B1518" s="2">
        <f t="shared" ca="1" si="1426"/>
        <v>0.64848706449956584</v>
      </c>
      <c r="C1518" s="2">
        <f t="shared" ca="1" si="1427"/>
        <v>7.1615336196359038</v>
      </c>
      <c r="D1518" s="2">
        <f t="shared" ca="1" si="1428"/>
        <v>0.48602528453306226</v>
      </c>
      <c r="E1518" s="2">
        <f t="shared" ca="1" si="1429"/>
        <v>7.4859262493037324</v>
      </c>
      <c r="F1518" s="2">
        <f t="shared" ca="1" si="1430"/>
        <v>0.81054170298875394</v>
      </c>
      <c r="G1518" s="2">
        <f t="shared" ca="1" si="1431"/>
        <v>6.6396827828171565E-2</v>
      </c>
      <c r="H1518" s="2">
        <f t="shared" ca="1" si="1432"/>
        <v>6.6396827828171565E-2</v>
      </c>
      <c r="I1518" s="2">
        <f t="shared" ca="1" si="1433"/>
        <v>0.29290666430177426</v>
      </c>
      <c r="J1518" s="2">
        <f t="shared" ca="1" si="1434"/>
        <v>7.2754348092916171E-3</v>
      </c>
      <c r="K1518" s="2">
        <f t="shared" ca="1" si="1435"/>
        <v>7.2754348092916171E-3</v>
      </c>
      <c r="L1518" s="2">
        <f t="shared" ca="1" si="1436"/>
        <v>0.29969630428690952</v>
      </c>
      <c r="M1518" s="2">
        <f t="shared" ca="1" si="1437"/>
        <v>-1.0505483465464965E-2</v>
      </c>
      <c r="N1518" s="2">
        <f t="shared" ca="1" si="1438"/>
        <v>-1.0505483465464965E-2</v>
      </c>
      <c r="O1518" s="2">
        <f t="shared" si="1439"/>
        <v>6000000</v>
      </c>
      <c r="P1518" s="2">
        <f t="shared" ca="1" si="1440"/>
        <v>42969201.717815422</v>
      </c>
      <c r="Q1518" s="2">
        <f t="shared" ca="1" si="1441"/>
        <v>1074230.0429453857</v>
      </c>
      <c r="R1518" s="2">
        <f t="shared" ca="1" si="1442"/>
        <v>25781521.030689251</v>
      </c>
      <c r="S1518" s="2">
        <f t="shared" ca="1" si="1443"/>
        <v>17187680.687126171</v>
      </c>
      <c r="T1518" s="2">
        <f t="shared" ca="1" si="1444"/>
        <v>49474725.82672675</v>
      </c>
      <c r="U1518" s="2">
        <f t="shared" ca="1" si="1445"/>
        <v>52759690.679289915</v>
      </c>
      <c r="V1518" s="2">
        <f t="shared" ca="1" si="1446"/>
        <v>56262766.777590312</v>
      </c>
      <c r="W1518" s="2">
        <f t="shared" ca="1" si="1447"/>
        <v>59998436.016458541</v>
      </c>
      <c r="X1518" s="2">
        <f t="shared" ca="1" si="1448"/>
        <v>63982141.842602901</v>
      </c>
      <c r="Y1518" s="2">
        <f t="shared" ca="1" si="1449"/>
        <v>0.1236377174046458</v>
      </c>
      <c r="Z1518" s="2">
        <f t="shared" ca="1" si="1450"/>
        <v>0.12509280436650413</v>
      </c>
      <c r="AA1518" s="2">
        <f t="shared" ca="1" si="1451"/>
        <v>6116942.170437173</v>
      </c>
      <c r="AB1518" s="2">
        <f t="shared" ca="1" si="1452"/>
        <v>6599857.6645816853</v>
      </c>
      <c r="AC1518" s="2">
        <f t="shared" ca="1" si="1453"/>
        <v>7038067.2776273536</v>
      </c>
      <c r="AD1518" s="2">
        <f t="shared" ca="1" si="1454"/>
        <v>7505372.6189030642</v>
      </c>
      <c r="AE1518" s="2">
        <f t="shared" ca="1" si="1455"/>
        <v>8003705.552466643</v>
      </c>
      <c r="AF1518" s="2">
        <f t="shared" ca="1" si="1456"/>
        <v>989494.51653453498</v>
      </c>
      <c r="AG1518" s="2">
        <f t="shared" ca="1" si="1457"/>
        <v>1055193.8135857983</v>
      </c>
      <c r="AH1518" s="2">
        <f t="shared" ca="1" si="1458"/>
        <v>1125255.3355518063</v>
      </c>
      <c r="AI1518" s="2">
        <f t="shared" ca="1" si="1459"/>
        <v>1199968.7203291708</v>
      </c>
      <c r="AJ1518" s="2">
        <f t="shared" ca="1" si="1460"/>
        <v>1279642.8368520581</v>
      </c>
      <c r="AK1518" s="2">
        <f t="shared" ca="1" si="1461"/>
        <v>0</v>
      </c>
      <c r="AL1518" s="2">
        <f t="shared" ca="1" si="1462"/>
        <v>32849.648525631652</v>
      </c>
      <c r="AM1518" s="2">
        <f t="shared" ca="1" si="1463"/>
        <v>35030.760983003973</v>
      </c>
      <c r="AN1518" s="2">
        <f t="shared" ca="1" si="1464"/>
        <v>37356.692388682291</v>
      </c>
      <c r="AO1518" s="2">
        <f t="shared" ca="1" si="1465"/>
        <v>39837.058261443599</v>
      </c>
      <c r="AP1518" s="2">
        <f t="shared" ca="1" si="1466"/>
        <v>2320336.8927620323</v>
      </c>
      <c r="AQ1518" s="2">
        <f t="shared" ca="1" si="1467"/>
        <v>729848.79789655749</v>
      </c>
      <c r="AR1518" s="2">
        <f t="shared" ca="1" si="1468"/>
        <v>838325.00914080231</v>
      </c>
      <c r="AS1518" s="2">
        <f t="shared" ca="1" si="1469"/>
        <v>934043.51282151381</v>
      </c>
      <c r="AT1518" s="2">
        <f t="shared" ca="1" si="1470"/>
        <v>1036117.4215110838</v>
      </c>
      <c r="AU1518" s="2">
        <f t="shared" ca="1" si="1471"/>
        <v>1144968.7139416637</v>
      </c>
      <c r="AV1518" s="2">
        <f t="shared" ca="1" si="1472"/>
        <v>2077261.9632440479</v>
      </c>
      <c r="AW1518" s="2">
        <f t="shared" ca="1" si="1473"/>
        <v>2353152.3005674202</v>
      </c>
      <c r="AX1518" s="2">
        <f t="shared" ca="1" si="1474"/>
        <v>2623400.7755089961</v>
      </c>
      <c r="AY1518" s="2">
        <f t="shared" ca="1" si="1475"/>
        <v>2911592.8919120943</v>
      </c>
      <c r="AZ1518" s="2">
        <f t="shared" ca="1" si="1476"/>
        <v>3218920.0506494455</v>
      </c>
      <c r="BA1518" s="2">
        <f t="shared" ca="1" si="1477"/>
        <v>59915149.486908078</v>
      </c>
      <c r="BB1518" s="2">
        <f t="shared" ca="1" si="1478"/>
        <v>1198302.9897381617</v>
      </c>
      <c r="BC1518" s="2">
        <f t="shared" ca="1" si="1479"/>
        <v>32935325.466480661</v>
      </c>
      <c r="BD1518" s="2">
        <f t="shared" ca="1" si="1480"/>
        <v>-18761910.730071556</v>
      </c>
      <c r="BE1518" s="2">
        <f t="shared" ca="1" si="1481"/>
        <v>2077261.9632440479</v>
      </c>
      <c r="BF1518" s="2">
        <f t="shared" ca="1" si="1482"/>
        <v>2353152.3005674202</v>
      </c>
      <c r="BG1518" s="2">
        <f t="shared" ca="1" si="1483"/>
        <v>2623400.7755089961</v>
      </c>
      <c r="BH1518" s="2">
        <f t="shared" ca="1" si="1484"/>
        <v>2911592.8919120943</v>
      </c>
      <c r="BI1518" s="2">
        <f t="shared" ca="1" si="1485"/>
        <v>36154245.517130107</v>
      </c>
      <c r="BJ1518" s="2">
        <f t="shared" ca="1" si="1486"/>
        <v>0.23009714556033711</v>
      </c>
      <c r="BK1518" s="2">
        <f t="shared" ca="1" si="1487"/>
        <v>9201250.686888013</v>
      </c>
    </row>
    <row r="1519" spans="1:63" x14ac:dyDescent="0.3">
      <c r="A1519" s="2">
        <v>1518</v>
      </c>
      <c r="B1519" s="2">
        <f t="shared" ca="1" si="1426"/>
        <v>0.25464051255128128</v>
      </c>
      <c r="C1519" s="2">
        <f t="shared" ca="1" si="1427"/>
        <v>6.7136392822025446</v>
      </c>
      <c r="D1519" s="2">
        <f t="shared" ca="1" si="1428"/>
        <v>0.12230803850919936</v>
      </c>
      <c r="E1519" s="2">
        <f t="shared" ca="1" si="1429"/>
        <v>6.994586774002701</v>
      </c>
      <c r="F1519" s="2">
        <f t="shared" ca="1" si="1430"/>
        <v>0.80401680436242795</v>
      </c>
      <c r="G1519" s="2">
        <f t="shared" ca="1" si="1431"/>
        <v>6.5681702430305258E-2</v>
      </c>
      <c r="H1519" s="2">
        <f t="shared" ca="1" si="1432"/>
        <v>6.5681702430305258E-2</v>
      </c>
      <c r="I1519" s="2">
        <f t="shared" ca="1" si="1433"/>
        <v>0.84054550349634605</v>
      </c>
      <c r="J1519" s="2">
        <f t="shared" ca="1" si="1434"/>
        <v>1.498351191146869E-2</v>
      </c>
      <c r="K1519" s="2">
        <f t="shared" ca="1" si="1435"/>
        <v>1.498351191146869E-2</v>
      </c>
      <c r="L1519" s="2">
        <f t="shared" ca="1" si="1436"/>
        <v>0.18732109849771694</v>
      </c>
      <c r="M1519" s="2">
        <f t="shared" ca="1" si="1437"/>
        <v>-1.7756228472298293E-2</v>
      </c>
      <c r="N1519" s="2">
        <f t="shared" ca="1" si="1438"/>
        <v>-1.7756228472298293E-2</v>
      </c>
      <c r="O1519" s="2">
        <f t="shared" si="1439"/>
        <v>6000000</v>
      </c>
      <c r="P1519" s="2">
        <f t="shared" ca="1" si="1440"/>
        <v>40281835.693215266</v>
      </c>
      <c r="Q1519" s="2">
        <f t="shared" ca="1" si="1441"/>
        <v>1007045.8923303817</v>
      </c>
      <c r="R1519" s="2">
        <f t="shared" ca="1" si="1442"/>
        <v>24169101.415929157</v>
      </c>
      <c r="S1519" s="2">
        <f t="shared" ca="1" si="1443"/>
        <v>16112734.277286107</v>
      </c>
      <c r="T1519" s="2">
        <f t="shared" ca="1" si="1444"/>
        <v>49112188.576385088</v>
      </c>
      <c r="U1519" s="2">
        <f t="shared" ca="1" si="1445"/>
        <v>52337960.732160255</v>
      </c>
      <c r="V1519" s="2">
        <f t="shared" ca="1" si="1446"/>
        <v>55775607.094779015</v>
      </c>
      <c r="W1519" s="2">
        <f t="shared" ca="1" si="1447"/>
        <v>59439043.922847919</v>
      </c>
      <c r="X1519" s="2">
        <f t="shared" ca="1" si="1448"/>
        <v>63343101.518530264</v>
      </c>
      <c r="Y1519" s="2">
        <f t="shared" ca="1" si="1449"/>
        <v>0.12749175595573434</v>
      </c>
      <c r="Z1519" s="2">
        <f t="shared" ca="1" si="1450"/>
        <v>0.13048845833802808</v>
      </c>
      <c r="AA1519" s="2">
        <f t="shared" ca="1" si="1451"/>
        <v>6261399.1604324915</v>
      </c>
      <c r="AB1519" s="2">
        <f t="shared" ca="1" si="1452"/>
        <v>6829499.8084958429</v>
      </c>
      <c r="AC1519" s="2">
        <f t="shared" ca="1" si="1453"/>
        <v>7278072.9826652948</v>
      </c>
      <c r="AD1519" s="2">
        <f t="shared" ca="1" si="1454"/>
        <v>7756109.2065787613</v>
      </c>
      <c r="AE1519" s="2">
        <f t="shared" ca="1" si="1455"/>
        <v>8265543.6635022191</v>
      </c>
      <c r="AF1519" s="2">
        <f t="shared" ca="1" si="1456"/>
        <v>982243.77152770176</v>
      </c>
      <c r="AG1519" s="2">
        <f t="shared" ca="1" si="1457"/>
        <v>1046759.2146432052</v>
      </c>
      <c r="AH1519" s="2">
        <f t="shared" ca="1" si="1458"/>
        <v>1115512.1418955803</v>
      </c>
      <c r="AI1519" s="2">
        <f t="shared" ca="1" si="1459"/>
        <v>1188780.8784569583</v>
      </c>
      <c r="AJ1519" s="2">
        <f t="shared" ca="1" si="1460"/>
        <v>1266862.0303706054</v>
      </c>
      <c r="AK1519" s="2">
        <f t="shared" ca="1" si="1461"/>
        <v>0</v>
      </c>
      <c r="AL1519" s="2">
        <f t="shared" ca="1" si="1462"/>
        <v>32257.721557751673</v>
      </c>
      <c r="AM1519" s="2">
        <f t="shared" ca="1" si="1463"/>
        <v>34376.463626187593</v>
      </c>
      <c r="AN1519" s="2">
        <f t="shared" ca="1" si="1464"/>
        <v>36634.36828068905</v>
      </c>
      <c r="AO1519" s="2">
        <f t="shared" ca="1" si="1465"/>
        <v>39040.575956823457</v>
      </c>
      <c r="AP1519" s="2">
        <f t="shared" ca="1" si="1466"/>
        <v>2175219.1274336241</v>
      </c>
      <c r="AQ1519" s="2">
        <f t="shared" ca="1" si="1467"/>
        <v>807023.42798250297</v>
      </c>
      <c r="AR1519" s="2">
        <f t="shared" ca="1" si="1468"/>
        <v>937955.5812689435</v>
      </c>
      <c r="AS1519" s="2">
        <f t="shared" ca="1" si="1469"/>
        <v>1036708.8454673836</v>
      </c>
      <c r="AT1519" s="2">
        <f t="shared" ca="1" si="1470"/>
        <v>1141948.3921789264</v>
      </c>
      <c r="AU1519" s="2">
        <f t="shared" ca="1" si="1471"/>
        <v>1254100.2514814774</v>
      </c>
      <c r="AV1519" s="2">
        <f t="shared" ca="1" si="1472"/>
        <v>2296912.8334886627</v>
      </c>
      <c r="AW1519" s="2">
        <f t="shared" ca="1" si="1473"/>
        <v>2637308.1635923181</v>
      </c>
      <c r="AX1519" s="2">
        <f t="shared" ca="1" si="1474"/>
        <v>2916256.4042425193</v>
      </c>
      <c r="AY1519" s="2">
        <f t="shared" ca="1" si="1475"/>
        <v>3213526.4402285628</v>
      </c>
      <c r="AZ1519" s="2">
        <f t="shared" ca="1" si="1476"/>
        <v>3530321.6782596894</v>
      </c>
      <c r="BA1519" s="2">
        <f t="shared" ca="1" si="1477"/>
        <v>57814062.388674453</v>
      </c>
      <c r="BB1519" s="2">
        <f t="shared" ca="1" si="1478"/>
        <v>1156281.247773489</v>
      </c>
      <c r="BC1519" s="2">
        <f t="shared" ca="1" si="1479"/>
        <v>32488679.724971808</v>
      </c>
      <c r="BD1519" s="2">
        <f t="shared" ca="1" si="1480"/>
        <v>-17619780.169616487</v>
      </c>
      <c r="BE1519" s="2">
        <f t="shared" ca="1" si="1481"/>
        <v>2296912.8334886627</v>
      </c>
      <c r="BF1519" s="2">
        <f t="shared" ca="1" si="1482"/>
        <v>2637308.1635923181</v>
      </c>
      <c r="BG1519" s="2">
        <f t="shared" ca="1" si="1483"/>
        <v>2916256.4042425193</v>
      </c>
      <c r="BH1519" s="2">
        <f t="shared" ca="1" si="1484"/>
        <v>3213526.4402285628</v>
      </c>
      <c r="BI1519" s="2">
        <f t="shared" ca="1" si="1485"/>
        <v>36019001.403231502</v>
      </c>
      <c r="BJ1519" s="2">
        <f t="shared" ca="1" si="1486"/>
        <v>0.25892327124738235</v>
      </c>
      <c r="BK1519" s="2">
        <f t="shared" ca="1" si="1487"/>
        <v>11089617.348171044</v>
      </c>
    </row>
    <row r="1520" spans="1:63" x14ac:dyDescent="0.3">
      <c r="A1520" s="2">
        <v>1519</v>
      </c>
      <c r="B1520" s="2">
        <f t="shared" ca="1" si="1426"/>
        <v>0.87173278564682943</v>
      </c>
      <c r="C1520" s="2">
        <f t="shared" ca="1" si="1427"/>
        <v>7.4935077209805252</v>
      </c>
      <c r="D1520" s="2">
        <f t="shared" ca="1" si="1428"/>
        <v>5.7378448578670693E-2</v>
      </c>
      <c r="E1520" s="2">
        <f t="shared" ca="1" si="1429"/>
        <v>6.8387578739414652</v>
      </c>
      <c r="F1520" s="2">
        <f t="shared" ca="1" si="1430"/>
        <v>0.15160919695180886</v>
      </c>
      <c r="G1520" s="2">
        <f t="shared" ca="1" si="1431"/>
        <v>9.113314560466608E-3</v>
      </c>
      <c r="H1520" s="2">
        <f t="shared" ca="1" si="1432"/>
        <v>9.113314560466608E-3</v>
      </c>
      <c r="I1520" s="2">
        <f t="shared" ca="1" si="1433"/>
        <v>0.37348404078370279</v>
      </c>
      <c r="J1520" s="2">
        <f t="shared" ca="1" si="1434"/>
        <v>8.3868012197074321E-3</v>
      </c>
      <c r="K1520" s="2">
        <f t="shared" ca="1" si="1435"/>
        <v>8.3868012197074321E-3</v>
      </c>
      <c r="L1520" s="2">
        <f t="shared" ca="1" si="1436"/>
        <v>0.70516490708755974</v>
      </c>
      <c r="M1520" s="2">
        <f t="shared" ca="1" si="1437"/>
        <v>1.0786280710372157E-2</v>
      </c>
      <c r="N1520" s="2">
        <f t="shared" ca="1" si="1438"/>
        <v>1.0786280710372157E-2</v>
      </c>
      <c r="O1520" s="2">
        <f t="shared" si="1439"/>
        <v>6000000</v>
      </c>
      <c r="P1520" s="2">
        <f t="shared" ca="1" si="1440"/>
        <v>44961046.32588315</v>
      </c>
      <c r="Q1520" s="2">
        <f t="shared" ca="1" si="1441"/>
        <v>1124026.1581470787</v>
      </c>
      <c r="R1520" s="2">
        <f t="shared" ca="1" si="1442"/>
        <v>26976627.795529891</v>
      </c>
      <c r="S1520" s="2">
        <f t="shared" ca="1" si="1443"/>
        <v>17984418.530353259</v>
      </c>
      <c r="T1520" s="2">
        <f t="shared" ca="1" si="1444"/>
        <v>50539314.035518609</v>
      </c>
      <c r="U1520" s="2">
        <f t="shared" ca="1" si="1445"/>
        <v>50999894.701994501</v>
      </c>
      <c r="V1520" s="2">
        <f t="shared" ca="1" si="1446"/>
        <v>51464672.784964457</v>
      </c>
      <c r="W1520" s="2">
        <f t="shared" ca="1" si="1447"/>
        <v>51933686.536805332</v>
      </c>
      <c r="X1520" s="2">
        <f t="shared" ca="1" si="1448"/>
        <v>52406974.558499917</v>
      </c>
      <c r="Y1520" s="2">
        <f t="shared" ca="1" si="1449"/>
        <v>0.1241934006098537</v>
      </c>
      <c r="Z1520" s="2">
        <f t="shared" ca="1" si="1450"/>
        <v>0.1258707608537952</v>
      </c>
      <c r="AA1520" s="2">
        <f t="shared" ca="1" si="1451"/>
        <v>6276649.2745603649</v>
      </c>
      <c r="AB1520" s="2">
        <f t="shared" ca="1" si="1452"/>
        <v>6419395.5496034864</v>
      </c>
      <c r="AC1520" s="2">
        <f t="shared" ca="1" si="1453"/>
        <v>6477897.5205350835</v>
      </c>
      <c r="AD1520" s="2">
        <f t="shared" ca="1" si="1454"/>
        <v>6536932.6383301876</v>
      </c>
      <c r="AE1520" s="2">
        <f t="shared" ca="1" si="1455"/>
        <v>6596505.7617238723</v>
      </c>
      <c r="AF1520" s="2">
        <f t="shared" ca="1" si="1456"/>
        <v>1010786.2807103723</v>
      </c>
      <c r="AG1520" s="2">
        <f t="shared" ca="1" si="1457"/>
        <v>1019997.89403989</v>
      </c>
      <c r="AH1520" s="2">
        <f t="shared" ca="1" si="1458"/>
        <v>1029293.4556992892</v>
      </c>
      <c r="AI1520" s="2">
        <f t="shared" ca="1" si="1459"/>
        <v>1038673.7307361066</v>
      </c>
      <c r="AJ1520" s="2">
        <f t="shared" ca="1" si="1460"/>
        <v>1048139.4911699984</v>
      </c>
      <c r="AK1520" s="2">
        <f t="shared" ca="1" si="1461"/>
        <v>0</v>
      </c>
      <c r="AL1520" s="2">
        <f t="shared" ca="1" si="1462"/>
        <v>4605.8066647589212</v>
      </c>
      <c r="AM1520" s="2">
        <f t="shared" ca="1" si="1463"/>
        <v>4647.7808296995609</v>
      </c>
      <c r="AN1520" s="2">
        <f t="shared" ca="1" si="1464"/>
        <v>4690.1375184087456</v>
      </c>
      <c r="AO1520" s="2">
        <f t="shared" ca="1" si="1465"/>
        <v>4732.8802169458568</v>
      </c>
      <c r="AP1520" s="2">
        <f t="shared" ca="1" si="1466"/>
        <v>2427896.5015976899</v>
      </c>
      <c r="AQ1520" s="2">
        <f t="shared" ca="1" si="1467"/>
        <v>737871.28798559878</v>
      </c>
      <c r="AR1520" s="2">
        <f t="shared" ca="1" si="1468"/>
        <v>772590.30003113579</v>
      </c>
      <c r="AS1520" s="2">
        <f t="shared" ca="1" si="1469"/>
        <v>785383.96644190711</v>
      </c>
      <c r="AT1520" s="2">
        <f t="shared" ca="1" si="1470"/>
        <v>798294.22555906174</v>
      </c>
      <c r="AU1520" s="2">
        <f t="shared" ca="1" si="1471"/>
        <v>811322.13992860785</v>
      </c>
      <c r="AV1520" s="2">
        <f t="shared" ca="1" si="1472"/>
        <v>2100095.2042667042</v>
      </c>
      <c r="AW1520" s="2">
        <f t="shared" ca="1" si="1473"/>
        <v>2194305.0472700116</v>
      </c>
      <c r="AX1520" s="2">
        <f t="shared" ca="1" si="1474"/>
        <v>2230675.8159664976</v>
      </c>
      <c r="AY1520" s="2">
        <f t="shared" ca="1" si="1475"/>
        <v>2267378.042918921</v>
      </c>
      <c r="AZ1520" s="2">
        <f t="shared" ca="1" si="1476"/>
        <v>2304414.7488106298</v>
      </c>
      <c r="BA1520" s="2">
        <f t="shared" ca="1" si="1477"/>
        <v>45111905.718489371</v>
      </c>
      <c r="BB1520" s="2">
        <f t="shared" ca="1" si="1478"/>
        <v>902238.11436978739</v>
      </c>
      <c r="BC1520" s="2">
        <f t="shared" ca="1" si="1479"/>
        <v>17233039.808589693</v>
      </c>
      <c r="BD1520" s="2">
        <f t="shared" ca="1" si="1480"/>
        <v>-19608444.688500337</v>
      </c>
      <c r="BE1520" s="2">
        <f t="shared" ca="1" si="1481"/>
        <v>2100095.2042667042</v>
      </c>
      <c r="BF1520" s="2">
        <f t="shared" ca="1" si="1482"/>
        <v>2194305.0472700116</v>
      </c>
      <c r="BG1520" s="2">
        <f t="shared" ca="1" si="1483"/>
        <v>2230675.8159664976</v>
      </c>
      <c r="BH1520" s="2">
        <f t="shared" ca="1" si="1484"/>
        <v>2267378.042918921</v>
      </c>
      <c r="BI1520" s="2">
        <f t="shared" ca="1" si="1485"/>
        <v>19537454.557400323</v>
      </c>
      <c r="BJ1520" s="2">
        <f t="shared" ca="1" si="1486"/>
        <v>9.260932627470142E-2</v>
      </c>
      <c r="BK1520" s="2">
        <f t="shared" ca="1" si="1487"/>
        <v>-1869286.0053439923</v>
      </c>
    </row>
    <row r="1521" spans="1:63" x14ac:dyDescent="0.3">
      <c r="A1521" s="2">
        <v>1520</v>
      </c>
      <c r="B1521" s="2">
        <f t="shared" ca="1" si="1426"/>
        <v>0.32913713035415604</v>
      </c>
      <c r="C1521" s="2">
        <f t="shared" ca="1" si="1427"/>
        <v>6.8113410261464118</v>
      </c>
      <c r="D1521" s="2">
        <f t="shared" ca="1" si="1428"/>
        <v>0.50244244313127595</v>
      </c>
      <c r="E1521" s="2">
        <f t="shared" ca="1" si="1429"/>
        <v>7.502445433203051</v>
      </c>
      <c r="F1521" s="2">
        <f t="shared" ca="1" si="1430"/>
        <v>0.38651171682443275</v>
      </c>
      <c r="G1521" s="2">
        <f t="shared" ca="1" si="1431"/>
        <v>3.1347328409557826E-2</v>
      </c>
      <c r="H1521" s="2">
        <f t="shared" ca="1" si="1432"/>
        <v>3.1347328409557826E-2</v>
      </c>
      <c r="I1521" s="2">
        <f t="shared" ca="1" si="1433"/>
        <v>0.90612378830795814</v>
      </c>
      <c r="J1521" s="2">
        <f t="shared" ca="1" si="1434"/>
        <v>1.6586286045129843E-2</v>
      </c>
      <c r="K1521" s="2">
        <f t="shared" ca="1" si="1435"/>
        <v>1.6586286045129843E-2</v>
      </c>
      <c r="L1521" s="2">
        <f t="shared" ca="1" si="1436"/>
        <v>0.74830021656194756</v>
      </c>
      <c r="M1521" s="2">
        <f t="shared" ca="1" si="1437"/>
        <v>1.3383007234029402E-2</v>
      </c>
      <c r="N1521" s="2">
        <f t="shared" ca="1" si="1438"/>
        <v>1.3383007234029402E-2</v>
      </c>
      <c r="O1521" s="2">
        <f t="shared" si="1439"/>
        <v>6000000</v>
      </c>
      <c r="P1521" s="2">
        <f t="shared" ca="1" si="1440"/>
        <v>40868046.156878471</v>
      </c>
      <c r="Q1521" s="2">
        <f t="shared" ca="1" si="1441"/>
        <v>1021701.1539219618</v>
      </c>
      <c r="R1521" s="2">
        <f t="shared" ca="1" si="1442"/>
        <v>24520827.694127083</v>
      </c>
      <c r="S1521" s="2">
        <f t="shared" ca="1" si="1443"/>
        <v>16347218.462751389</v>
      </c>
      <c r="T1521" s="2">
        <f t="shared" ca="1" si="1444"/>
        <v>50669150.361701466</v>
      </c>
      <c r="U1521" s="2">
        <f t="shared" ca="1" si="1445"/>
        <v>52257492.858322985</v>
      </c>
      <c r="V1521" s="2">
        <f t="shared" ca="1" si="1446"/>
        <v>53895625.648812957</v>
      </c>
      <c r="W1521" s="2">
        <f t="shared" ca="1" si="1447"/>
        <v>55585109.525864884</v>
      </c>
      <c r="X1521" s="2">
        <f t="shared" ca="1" si="1448"/>
        <v>57327554.208853409</v>
      </c>
      <c r="Y1521" s="2">
        <f t="shared" ca="1" si="1449"/>
        <v>0.12829314302256492</v>
      </c>
      <c r="Z1521" s="2">
        <f t="shared" ca="1" si="1450"/>
        <v>0.13161040023159087</v>
      </c>
      <c r="AA1521" s="2">
        <f t="shared" ca="1" si="1451"/>
        <v>6500504.5541856131</v>
      </c>
      <c r="AB1521" s="2">
        <f t="shared" ca="1" si="1452"/>
        <v>6877629.5501833903</v>
      </c>
      <c r="AC1521" s="2">
        <f t="shared" ca="1" si="1453"/>
        <v>7093224.862372268</v>
      </c>
      <c r="AD1521" s="2">
        <f t="shared" ca="1" si="1454"/>
        <v>7315578.5116158919</v>
      </c>
      <c r="AE1521" s="2">
        <f t="shared" ca="1" si="1455"/>
        <v>7544902.3537254194</v>
      </c>
      <c r="AF1521" s="2">
        <f t="shared" ca="1" si="1456"/>
        <v>1013383.0072340294</v>
      </c>
      <c r="AG1521" s="2">
        <f t="shared" ca="1" si="1457"/>
        <v>1045149.8571664598</v>
      </c>
      <c r="AH1521" s="2">
        <f t="shared" ca="1" si="1458"/>
        <v>1077912.5129762592</v>
      </c>
      <c r="AI1521" s="2">
        <f t="shared" ca="1" si="1459"/>
        <v>1111702.1905172977</v>
      </c>
      <c r="AJ1521" s="2">
        <f t="shared" ca="1" si="1460"/>
        <v>1146551.0841770682</v>
      </c>
      <c r="AK1521" s="2">
        <f t="shared" ca="1" si="1461"/>
        <v>0</v>
      </c>
      <c r="AL1521" s="2">
        <f t="shared" ca="1" si="1462"/>
        <v>15883.424966215194</v>
      </c>
      <c r="AM1521" s="2">
        <f t="shared" ca="1" si="1463"/>
        <v>16381.327904899717</v>
      </c>
      <c r="AN1521" s="2">
        <f t="shared" ca="1" si="1464"/>
        <v>16894.838770519273</v>
      </c>
      <c r="AO1521" s="2">
        <f t="shared" ca="1" si="1465"/>
        <v>17424.446829885244</v>
      </c>
      <c r="AP1521" s="2">
        <f t="shared" ca="1" si="1466"/>
        <v>2206874.4924714374</v>
      </c>
      <c r="AQ1521" s="2">
        <f t="shared" ca="1" si="1467"/>
        <v>852864.23416483798</v>
      </c>
      <c r="AR1521" s="2">
        <f t="shared" ca="1" si="1468"/>
        <v>942657.35214182828</v>
      </c>
      <c r="AS1521" s="2">
        <f t="shared" ca="1" si="1469"/>
        <v>990193.84280038869</v>
      </c>
      <c r="AT1521" s="2">
        <f t="shared" ca="1" si="1470"/>
        <v>1039220.4754430607</v>
      </c>
      <c r="AU1521" s="2">
        <f t="shared" ca="1" si="1471"/>
        <v>1089783.9620399976</v>
      </c>
      <c r="AV1521" s="2">
        <f t="shared" ca="1" si="1472"/>
        <v>2427382.8203153084</v>
      </c>
      <c r="AW1521" s="2">
        <f t="shared" ca="1" si="1473"/>
        <v>2667064.4234374496</v>
      </c>
      <c r="AX1521" s="2">
        <f t="shared" ca="1" si="1474"/>
        <v>2801862.6862192829</v>
      </c>
      <c r="AY1521" s="2">
        <f t="shared" ca="1" si="1475"/>
        <v>2940886.514413577</v>
      </c>
      <c r="AZ1521" s="2">
        <f t="shared" ca="1" si="1476"/>
        <v>3084268.3682070305</v>
      </c>
      <c r="BA1521" s="2">
        <f t="shared" ca="1" si="1477"/>
        <v>56605218.207670227</v>
      </c>
      <c r="BB1521" s="2">
        <f t="shared" ca="1" si="1478"/>
        <v>1132104.3641534045</v>
      </c>
      <c r="BC1521" s="2">
        <f t="shared" ca="1" si="1479"/>
        <v>30952286.14938974</v>
      </c>
      <c r="BD1521" s="2">
        <f t="shared" ca="1" si="1480"/>
        <v>-17868919.61667335</v>
      </c>
      <c r="BE1521" s="2">
        <f t="shared" ca="1" si="1481"/>
        <v>2427382.8203153084</v>
      </c>
      <c r="BF1521" s="2">
        <f t="shared" ca="1" si="1482"/>
        <v>2667064.4234374496</v>
      </c>
      <c r="BG1521" s="2">
        <f t="shared" ca="1" si="1483"/>
        <v>2801862.6862192829</v>
      </c>
      <c r="BH1521" s="2">
        <f t="shared" ca="1" si="1484"/>
        <v>2940886.514413577</v>
      </c>
      <c r="BI1521" s="2">
        <f t="shared" ca="1" si="1485"/>
        <v>34036554.517596774</v>
      </c>
      <c r="BJ1521" s="2">
        <f t="shared" ca="1" si="1486"/>
        <v>0.24251243366817232</v>
      </c>
      <c r="BK1521" s="2">
        <f t="shared" ca="1" si="1487"/>
        <v>9601106.0752900951</v>
      </c>
    </row>
    <row r="1522" spans="1:63" x14ac:dyDescent="0.3">
      <c r="A1522" s="2">
        <v>1521</v>
      </c>
      <c r="B1522" s="2">
        <f t="shared" ca="1" si="1426"/>
        <v>0.36131638025950974</v>
      </c>
      <c r="C1522" s="2">
        <f t="shared" ca="1" si="1427"/>
        <v>6.8500780908357886</v>
      </c>
      <c r="D1522" s="2">
        <f t="shared" ca="1" si="1428"/>
        <v>0.58216241662813206</v>
      </c>
      <c r="E1522" s="2">
        <f t="shared" ca="1" si="1429"/>
        <v>7.5858472957192893</v>
      </c>
      <c r="F1522" s="2">
        <f t="shared" ca="1" si="1430"/>
        <v>0.64142758676346701</v>
      </c>
      <c r="G1522" s="2">
        <f t="shared" ca="1" si="1431"/>
        <v>5.086831872766763E-2</v>
      </c>
      <c r="H1522" s="2">
        <f t="shared" ca="1" si="1432"/>
        <v>5.086831872766763E-2</v>
      </c>
      <c r="I1522" s="2">
        <f t="shared" ca="1" si="1433"/>
        <v>0.12684251015503467</v>
      </c>
      <c r="J1522" s="2">
        <f t="shared" ca="1" si="1434"/>
        <v>4.2927777999391369E-3</v>
      </c>
      <c r="K1522" s="2">
        <f t="shared" ca="1" si="1435"/>
        <v>4.2927777999391369E-3</v>
      </c>
      <c r="L1522" s="2">
        <f t="shared" ca="1" si="1436"/>
        <v>0.85153443105884008</v>
      </c>
      <c r="M1522" s="2">
        <f t="shared" ca="1" si="1437"/>
        <v>2.0860740814290697E-2</v>
      </c>
      <c r="N1522" s="2">
        <f t="shared" ca="1" si="1438"/>
        <v>2.0860740814290697E-2</v>
      </c>
      <c r="O1522" s="2">
        <f t="shared" si="1439"/>
        <v>6000000</v>
      </c>
      <c r="P1522" s="2">
        <f t="shared" ca="1" si="1440"/>
        <v>41100468.545014732</v>
      </c>
      <c r="Q1522" s="2">
        <f t="shared" ca="1" si="1441"/>
        <v>1027511.7136253683</v>
      </c>
      <c r="R1522" s="2">
        <f t="shared" ca="1" si="1442"/>
        <v>24660281.127008837</v>
      </c>
      <c r="S1522" s="2">
        <f t="shared" ca="1" si="1443"/>
        <v>16440187.418005893</v>
      </c>
      <c r="T1522" s="2">
        <f t="shared" ca="1" si="1444"/>
        <v>51043037.040714532</v>
      </c>
      <c r="U1522" s="2">
        <f t="shared" ca="1" si="1445"/>
        <v>53639510.517729752</v>
      </c>
      <c r="V1522" s="2">
        <f t="shared" ca="1" si="1446"/>
        <v>56368062.235141717</v>
      </c>
      <c r="W1522" s="2">
        <f t="shared" ca="1" si="1447"/>
        <v>59235410.790979914</v>
      </c>
      <c r="X1522" s="2">
        <f t="shared" ca="1" si="1448"/>
        <v>62248616.547059812</v>
      </c>
      <c r="Y1522" s="2">
        <f t="shared" ca="1" si="1449"/>
        <v>0.12214638889996957</v>
      </c>
      <c r="Z1522" s="2">
        <f t="shared" ca="1" si="1450"/>
        <v>0.1230049444599574</v>
      </c>
      <c r="AA1522" s="2">
        <f t="shared" ca="1" si="1451"/>
        <v>6234722.6530106692</v>
      </c>
      <c r="AB1522" s="2">
        <f t="shared" ca="1" si="1452"/>
        <v>6597925.012092649</v>
      </c>
      <c r="AC1522" s="2">
        <f t="shared" ca="1" si="1453"/>
        <v>6933550.3645490287</v>
      </c>
      <c r="AD1522" s="2">
        <f t="shared" ca="1" si="1454"/>
        <v>7286248.4144072458</v>
      </c>
      <c r="AE1522" s="2">
        <f t="shared" ca="1" si="1455"/>
        <v>7656887.6210802775</v>
      </c>
      <c r="AF1522" s="2">
        <f t="shared" ca="1" si="1456"/>
        <v>1020860.7408142907</v>
      </c>
      <c r="AG1522" s="2">
        <f t="shared" ca="1" si="1457"/>
        <v>1072790.210354595</v>
      </c>
      <c r="AH1522" s="2">
        <f t="shared" ca="1" si="1458"/>
        <v>1127361.2447028344</v>
      </c>
      <c r="AI1522" s="2">
        <f t="shared" ca="1" si="1459"/>
        <v>1184708.2158195984</v>
      </c>
      <c r="AJ1522" s="2">
        <f t="shared" ca="1" si="1460"/>
        <v>1244972.3309411963</v>
      </c>
      <c r="AK1522" s="2">
        <f t="shared" ca="1" si="1461"/>
        <v>0</v>
      </c>
      <c r="AL1522" s="2">
        <f t="shared" ca="1" si="1462"/>
        <v>25964.734770152198</v>
      </c>
      <c r="AM1522" s="2">
        <f t="shared" ca="1" si="1463"/>
        <v>27285.517174119654</v>
      </c>
      <c r="AN1522" s="2">
        <f t="shared" ca="1" si="1464"/>
        <v>28673.485558381974</v>
      </c>
      <c r="AO1522" s="2">
        <f t="shared" ca="1" si="1465"/>
        <v>30132.057560798974</v>
      </c>
      <c r="AP1522" s="2">
        <f t="shared" ca="1" si="1466"/>
        <v>2219425.3014307953</v>
      </c>
      <c r="AQ1522" s="2">
        <f t="shared" ca="1" si="1467"/>
        <v>778553.51879905153</v>
      </c>
      <c r="AR1522" s="2">
        <f t="shared" ca="1" si="1468"/>
        <v>859484.47007988719</v>
      </c>
      <c r="AS1522" s="2">
        <f t="shared" ca="1" si="1469"/>
        <v>932558.59278800373</v>
      </c>
      <c r="AT1522" s="2">
        <f t="shared" ca="1" si="1470"/>
        <v>1009349.8732607816</v>
      </c>
      <c r="AU1522" s="2">
        <f t="shared" ca="1" si="1471"/>
        <v>1090047.3970641543</v>
      </c>
      <c r="AV1522" s="2">
        <f t="shared" ca="1" si="1472"/>
        <v>2215883.0919665312</v>
      </c>
      <c r="AW1522" s="2">
        <f t="shared" ca="1" si="1473"/>
        <v>2420260.2954572197</v>
      </c>
      <c r="AX1522" s="2">
        <f t="shared" ca="1" si="1474"/>
        <v>2626919.7084532753</v>
      </c>
      <c r="AY1522" s="2">
        <f t="shared" ca="1" si="1475"/>
        <v>2844091.5383376889</v>
      </c>
      <c r="AZ1522" s="2">
        <f t="shared" ca="1" si="1476"/>
        <v>3072310.5340833329</v>
      </c>
      <c r="BA1522" s="2">
        <f t="shared" ca="1" si="1477"/>
        <v>58083980.253998324</v>
      </c>
      <c r="BB1522" s="2">
        <f t="shared" ca="1" si="1478"/>
        <v>1161679.6050799666</v>
      </c>
      <c r="BC1522" s="2">
        <f t="shared" ca="1" si="1479"/>
        <v>32262019.52190952</v>
      </c>
      <c r="BD1522" s="2">
        <f t="shared" ca="1" si="1480"/>
        <v>-17967699.131631263</v>
      </c>
      <c r="BE1522" s="2">
        <f t="shared" ca="1" si="1481"/>
        <v>2215883.0919665312</v>
      </c>
      <c r="BF1522" s="2">
        <f t="shared" ca="1" si="1482"/>
        <v>2420260.2954572197</v>
      </c>
      <c r="BG1522" s="2">
        <f t="shared" ca="1" si="1483"/>
        <v>2626919.7084532753</v>
      </c>
      <c r="BH1522" s="2">
        <f t="shared" ca="1" si="1484"/>
        <v>2844091.5383376889</v>
      </c>
      <c r="BI1522" s="2">
        <f t="shared" ca="1" si="1485"/>
        <v>35334330.055992857</v>
      </c>
      <c r="BJ1522" s="2">
        <f t="shared" ca="1" si="1486"/>
        <v>0.24045082309188937</v>
      </c>
      <c r="BK1522" s="2">
        <f t="shared" ca="1" si="1487"/>
        <v>9667093.5573015772</v>
      </c>
    </row>
    <row r="1523" spans="1:63" x14ac:dyDescent="0.3">
      <c r="A1523" s="2">
        <v>1522</v>
      </c>
      <c r="B1523" s="2">
        <f t="shared" ca="1" si="1426"/>
        <v>0.98296363478496218</v>
      </c>
      <c r="C1523" s="2">
        <f t="shared" ca="1" si="1427"/>
        <v>7.8154119981416033</v>
      </c>
      <c r="D1523" s="2">
        <f t="shared" ca="1" si="1428"/>
        <v>0.79409160148998836</v>
      </c>
      <c r="E1523" s="2">
        <f t="shared" ca="1" si="1429"/>
        <v>7.8582704642764032</v>
      </c>
      <c r="F1523" s="2">
        <f t="shared" ca="1" si="1430"/>
        <v>0.20456179363501636</v>
      </c>
      <c r="G1523" s="2">
        <f t="shared" ca="1" si="1431"/>
        <v>1.5236892707411985E-2</v>
      </c>
      <c r="H1523" s="2">
        <f t="shared" ca="1" si="1432"/>
        <v>1.5236892707411985E-2</v>
      </c>
      <c r="I1523" s="2">
        <f t="shared" ca="1" si="1433"/>
        <v>0.154123766711315</v>
      </c>
      <c r="J1523" s="2">
        <f t="shared" ca="1" si="1434"/>
        <v>4.9054693521156925E-3</v>
      </c>
      <c r="K1523" s="2">
        <f t="shared" ca="1" si="1435"/>
        <v>4.9054693521156925E-3</v>
      </c>
      <c r="L1523" s="2">
        <f t="shared" ca="1" si="1436"/>
        <v>0.56346980240637989</v>
      </c>
      <c r="M1523" s="2">
        <f t="shared" ca="1" si="1437"/>
        <v>3.1954472680831986E-3</v>
      </c>
      <c r="N1523" s="2">
        <f t="shared" ca="1" si="1438"/>
        <v>3.1954472680831986E-3</v>
      </c>
      <c r="O1523" s="2">
        <f t="shared" si="1439"/>
        <v>6000000</v>
      </c>
      <c r="P1523" s="2">
        <f t="shared" ca="1" si="1440"/>
        <v>46892471.988849618</v>
      </c>
      <c r="Q1523" s="2">
        <f t="shared" ca="1" si="1441"/>
        <v>1172311.7997212405</v>
      </c>
      <c r="R1523" s="2">
        <f t="shared" ca="1" si="1442"/>
        <v>28135483.193309769</v>
      </c>
      <c r="S1523" s="2">
        <f t="shared" ca="1" si="1443"/>
        <v>18756988.795539849</v>
      </c>
      <c r="T1523" s="2">
        <f t="shared" ca="1" si="1444"/>
        <v>50159772.363404162</v>
      </c>
      <c r="U1523" s="2">
        <f t="shared" ca="1" si="1445"/>
        <v>50924051.433133565</v>
      </c>
      <c r="V1523" s="2">
        <f t="shared" ca="1" si="1446"/>
        <v>51699975.74104695</v>
      </c>
      <c r="W1523" s="2">
        <f t="shared" ca="1" si="1447"/>
        <v>52487722.724389084</v>
      </c>
      <c r="X1523" s="2">
        <f t="shared" ca="1" si="1448"/>
        <v>53287472.523996994</v>
      </c>
      <c r="Y1523" s="2">
        <f t="shared" ca="1" si="1449"/>
        <v>0.12245273467605784</v>
      </c>
      <c r="Z1523" s="2">
        <f t="shared" ca="1" si="1450"/>
        <v>0.12343382854648098</v>
      </c>
      <c r="AA1523" s="2">
        <f t="shared" ca="1" si="1451"/>
        <v>6142201.2966273883</v>
      </c>
      <c r="AB1523" s="2">
        <f t="shared" ca="1" si="1452"/>
        <v>6285750.6334895873</v>
      </c>
      <c r="AC1523" s="2">
        <f t="shared" ca="1" si="1453"/>
        <v>6381525.9414776154</v>
      </c>
      <c r="AD1523" s="2">
        <f t="shared" ca="1" si="1454"/>
        <v>6478760.5675574755</v>
      </c>
      <c r="AE1523" s="2">
        <f t="shared" ca="1" si="1455"/>
        <v>6577476.747202361</v>
      </c>
      <c r="AF1523" s="2">
        <f t="shared" ca="1" si="1456"/>
        <v>1003195.4472680832</v>
      </c>
      <c r="AG1523" s="2">
        <f t="shared" ca="1" si="1457"/>
        <v>1018481.0286626713</v>
      </c>
      <c r="AH1523" s="2">
        <f t="shared" ca="1" si="1458"/>
        <v>1033999.514820939</v>
      </c>
      <c r="AI1523" s="2">
        <f t="shared" ca="1" si="1459"/>
        <v>1049754.4544877817</v>
      </c>
      <c r="AJ1523" s="2">
        <f t="shared" ca="1" si="1460"/>
        <v>1065749.4504799398</v>
      </c>
      <c r="AK1523" s="2">
        <f t="shared" ca="1" si="1461"/>
        <v>0</v>
      </c>
      <c r="AL1523" s="2">
        <f t="shared" ca="1" si="1462"/>
        <v>7642.7906972940264</v>
      </c>
      <c r="AM1523" s="2">
        <f t="shared" ca="1" si="1463"/>
        <v>7759.2430791338538</v>
      </c>
      <c r="AN1523" s="2">
        <f t="shared" ca="1" si="1464"/>
        <v>7877.4698334213344</v>
      </c>
      <c r="AO1523" s="2">
        <f t="shared" ca="1" si="1465"/>
        <v>7997.4979960791024</v>
      </c>
      <c r="AP1523" s="2">
        <f t="shared" ca="1" si="1466"/>
        <v>2532193.4873978789</v>
      </c>
      <c r="AQ1523" s="2">
        <f t="shared" ca="1" si="1467"/>
        <v>677771.21410997096</v>
      </c>
      <c r="AR1523" s="2">
        <f t="shared" ca="1" si="1468"/>
        <v>711119.79053154972</v>
      </c>
      <c r="AS1523" s="2">
        <f t="shared" ca="1" si="1469"/>
        <v>731986.56420728739</v>
      </c>
      <c r="AT1523" s="2">
        <f t="shared" ca="1" si="1470"/>
        <v>753171.28267467185</v>
      </c>
      <c r="AU1523" s="2">
        <f t="shared" ca="1" si="1471"/>
        <v>774678.79042438103</v>
      </c>
      <c r="AV1523" s="2">
        <f t="shared" ca="1" si="1472"/>
        <v>1929041.1478514555</v>
      </c>
      <c r="AW1523" s="2">
        <f t="shared" ca="1" si="1473"/>
        <v>2016313.5362001932</v>
      </c>
      <c r="AX1523" s="2">
        <f t="shared" ca="1" si="1474"/>
        <v>2075587.1319723758</v>
      </c>
      <c r="AY1523" s="2">
        <f t="shared" ca="1" si="1475"/>
        <v>2135763.8731637211</v>
      </c>
      <c r="AZ1523" s="2">
        <f t="shared" ca="1" si="1476"/>
        <v>2196857.5209040823</v>
      </c>
      <c r="BA1523" s="2">
        <f t="shared" ca="1" si="1477"/>
        <v>51687591.252005145</v>
      </c>
      <c r="BB1523" s="2">
        <f t="shared" ca="1" si="1478"/>
        <v>1033751.8250401029</v>
      </c>
      <c r="BC1523" s="2">
        <f t="shared" ca="1" si="1479"/>
        <v>22518356.233655274</v>
      </c>
      <c r="BD1523" s="2">
        <f t="shared" ca="1" si="1480"/>
        <v>-20429300.59526109</v>
      </c>
      <c r="BE1523" s="2">
        <f t="shared" ca="1" si="1481"/>
        <v>1929041.1478514555</v>
      </c>
      <c r="BF1523" s="2">
        <f t="shared" ca="1" si="1482"/>
        <v>2016313.5362001932</v>
      </c>
      <c r="BG1523" s="2">
        <f t="shared" ca="1" si="1483"/>
        <v>2075587.1319723758</v>
      </c>
      <c r="BH1523" s="2">
        <f t="shared" ca="1" si="1484"/>
        <v>2135763.8731637211</v>
      </c>
      <c r="BI1523" s="2">
        <f t="shared" ca="1" si="1485"/>
        <v>24715213.754559357</v>
      </c>
      <c r="BJ1523" s="2">
        <f t="shared" ca="1" si="1486"/>
        <v>0.11684928036360698</v>
      </c>
      <c r="BK1523" s="2">
        <f t="shared" ca="1" si="1487"/>
        <v>-240795.11633875221</v>
      </c>
    </row>
    <row r="1524" spans="1:63" x14ac:dyDescent="0.3">
      <c r="A1524" s="2">
        <v>1523</v>
      </c>
      <c r="B1524" s="2">
        <f t="shared" ca="1" si="1426"/>
        <v>0.54823690986082441</v>
      </c>
      <c r="C1524" s="2">
        <f t="shared" ca="1" si="1427"/>
        <v>7.0494600585570586</v>
      </c>
      <c r="D1524" s="2">
        <f t="shared" ca="1" si="1428"/>
        <v>0.85534081820029784</v>
      </c>
      <c r="E1524" s="2">
        <f t="shared" ca="1" si="1429"/>
        <v>7.9621167751273472</v>
      </c>
      <c r="F1524" s="2">
        <f t="shared" ca="1" si="1430"/>
        <v>0.38509617598816104</v>
      </c>
      <c r="G1524" s="2">
        <f t="shared" ca="1" si="1431"/>
        <v>3.1236300981120291E-2</v>
      </c>
      <c r="H1524" s="2">
        <f t="shared" ca="1" si="1432"/>
        <v>3.1236300981120291E-2</v>
      </c>
      <c r="I1524" s="2">
        <f t="shared" ca="1" si="1433"/>
        <v>0.12216849995630719</v>
      </c>
      <c r="J1524" s="2">
        <f t="shared" ca="1" si="1434"/>
        <v>4.1789263206519498E-3</v>
      </c>
      <c r="K1524" s="2">
        <f t="shared" ca="1" si="1435"/>
        <v>4.1789263206519498E-3</v>
      </c>
      <c r="L1524" s="2">
        <f t="shared" ca="1" si="1436"/>
        <v>0.2598844113435258</v>
      </c>
      <c r="M1524" s="2">
        <f t="shared" ca="1" si="1437"/>
        <v>-1.2874035993656281E-2</v>
      </c>
      <c r="N1524" s="2">
        <f t="shared" ca="1" si="1438"/>
        <v>-1.2874035993656281E-2</v>
      </c>
      <c r="O1524" s="2">
        <f t="shared" si="1439"/>
        <v>6000000</v>
      </c>
      <c r="P1524" s="2">
        <f t="shared" ca="1" si="1440"/>
        <v>42296760.35134235</v>
      </c>
      <c r="Q1524" s="2">
        <f t="shared" ca="1" si="1441"/>
        <v>1057419.0087835588</v>
      </c>
      <c r="R1524" s="2">
        <f t="shared" ca="1" si="1442"/>
        <v>25378056.210805409</v>
      </c>
      <c r="S1524" s="2">
        <f t="shared" ca="1" si="1443"/>
        <v>16918704.140536942</v>
      </c>
      <c r="T1524" s="2">
        <f t="shared" ca="1" si="1444"/>
        <v>49356298.200317182</v>
      </c>
      <c r="U1524" s="2">
        <f t="shared" ca="1" si="1445"/>
        <v>50898006.386216216</v>
      </c>
      <c r="V1524" s="2">
        <f t="shared" ca="1" si="1446"/>
        <v>52487871.833035052</v>
      </c>
      <c r="W1524" s="2">
        <f t="shared" ca="1" si="1447"/>
        <v>54127398.7954702</v>
      </c>
      <c r="X1524" s="2">
        <f t="shared" ca="1" si="1448"/>
        <v>55818138.515570633</v>
      </c>
      <c r="Y1524" s="2">
        <f t="shared" ca="1" si="1449"/>
        <v>0.12208946316032597</v>
      </c>
      <c r="Z1524" s="2">
        <f t="shared" ca="1" si="1450"/>
        <v>0.12292524842445636</v>
      </c>
      <c r="AA1524" s="2">
        <f t="shared" ca="1" si="1451"/>
        <v>6025883.9508576877</v>
      </c>
      <c r="AB1524" s="2">
        <f t="shared" ca="1" si="1452"/>
        <v>6256650.079335195</v>
      </c>
      <c r="AC1524" s="2">
        <f t="shared" ca="1" si="1453"/>
        <v>6452084.6843468593</v>
      </c>
      <c r="AD1524" s="2">
        <f t="shared" ca="1" si="1454"/>
        <v>6653623.943502794</v>
      </c>
      <c r="AE1524" s="2">
        <f t="shared" ca="1" si="1455"/>
        <v>6861458.5436172355</v>
      </c>
      <c r="AF1524" s="2">
        <f t="shared" ca="1" si="1456"/>
        <v>987125.96400634362</v>
      </c>
      <c r="AG1524" s="2">
        <f t="shared" ca="1" si="1457"/>
        <v>1017960.1277243244</v>
      </c>
      <c r="AH1524" s="2">
        <f t="shared" ca="1" si="1458"/>
        <v>1049757.4366607009</v>
      </c>
      <c r="AI1524" s="2">
        <f t="shared" ca="1" si="1459"/>
        <v>1082547.975909404</v>
      </c>
      <c r="AJ1524" s="2">
        <f t="shared" ca="1" si="1460"/>
        <v>1116362.7703114126</v>
      </c>
      <c r="AK1524" s="2">
        <f t="shared" ca="1" si="1461"/>
        <v>0</v>
      </c>
      <c r="AL1524" s="2">
        <f t="shared" ca="1" si="1462"/>
        <v>15417.081858990341</v>
      </c>
      <c r="AM1524" s="2">
        <f t="shared" ca="1" si="1463"/>
        <v>15898.654468188361</v>
      </c>
      <c r="AN1524" s="2">
        <f t="shared" ca="1" si="1464"/>
        <v>16395.269624351487</v>
      </c>
      <c r="AO1524" s="2">
        <f t="shared" ca="1" si="1465"/>
        <v>16907.397201004325</v>
      </c>
      <c r="AP1524" s="2">
        <f t="shared" ca="1" si="1466"/>
        <v>2284025.0589724868</v>
      </c>
      <c r="AQ1524" s="2">
        <f t="shared" ca="1" si="1467"/>
        <v>716230.56124850293</v>
      </c>
      <c r="AR1524" s="2">
        <f t="shared" ca="1" si="1468"/>
        <v>768212.87208597979</v>
      </c>
      <c r="AS1524" s="2">
        <f t="shared" ca="1" si="1469"/>
        <v>810758.56906555477</v>
      </c>
      <c r="AT1524" s="2">
        <f t="shared" ca="1" si="1470"/>
        <v>854633.23624143505</v>
      </c>
      <c r="AU1524" s="2">
        <f t="shared" ca="1" si="1471"/>
        <v>899878.38572666747</v>
      </c>
      <c r="AV1524" s="2">
        <f t="shared" ca="1" si="1472"/>
        <v>2038502.3666303544</v>
      </c>
      <c r="AW1524" s="2">
        <f t="shared" ca="1" si="1473"/>
        <v>2171034.938693413</v>
      </c>
      <c r="AX1524" s="2">
        <f t="shared" ca="1" si="1474"/>
        <v>2291644.965179929</v>
      </c>
      <c r="AY1524" s="2">
        <f t="shared" ca="1" si="1475"/>
        <v>2416022.4027551175</v>
      </c>
      <c r="AZ1524" s="2">
        <f t="shared" ca="1" si="1476"/>
        <v>2544284.931405664</v>
      </c>
      <c r="BA1524" s="2">
        <f t="shared" ca="1" si="1477"/>
        <v>54631734.17197565</v>
      </c>
      <c r="BB1524" s="2">
        <f t="shared" ca="1" si="1478"/>
        <v>1092634.683439513</v>
      </c>
      <c r="BC1524" s="2">
        <f t="shared" ca="1" si="1479"/>
        <v>28161043.277730729</v>
      </c>
      <c r="BD1524" s="2">
        <f t="shared" ca="1" si="1480"/>
        <v>-18476123.149320502</v>
      </c>
      <c r="BE1524" s="2">
        <f t="shared" ca="1" si="1481"/>
        <v>2038502.3666303544</v>
      </c>
      <c r="BF1524" s="2">
        <f t="shared" ca="1" si="1482"/>
        <v>2171034.938693413</v>
      </c>
      <c r="BG1524" s="2">
        <f t="shared" ca="1" si="1483"/>
        <v>2291644.965179929</v>
      </c>
      <c r="BH1524" s="2">
        <f t="shared" ca="1" si="1484"/>
        <v>2416022.4027551175</v>
      </c>
      <c r="BI1524" s="2">
        <f t="shared" ca="1" si="1485"/>
        <v>30705328.209136393</v>
      </c>
      <c r="BJ1524" s="2">
        <f t="shared" ca="1" si="1486"/>
        <v>0.19310011143620587</v>
      </c>
      <c r="BK1524" s="2">
        <f t="shared" ca="1" si="1487"/>
        <v>5664305.3860482909</v>
      </c>
    </row>
    <row r="1525" spans="1:63" x14ac:dyDescent="0.3">
      <c r="A1525" s="2">
        <v>1524</v>
      </c>
      <c r="B1525" s="2">
        <f t="shared" ca="1" si="1426"/>
        <v>0.26483551934780458</v>
      </c>
      <c r="C1525" s="2">
        <f t="shared" ca="1" si="1427"/>
        <v>6.7277850223078302</v>
      </c>
      <c r="D1525" s="2">
        <f t="shared" ca="1" si="1428"/>
        <v>0.54846967885559572</v>
      </c>
      <c r="E1525" s="2">
        <f t="shared" ca="1" si="1429"/>
        <v>7.5497049709228143</v>
      </c>
      <c r="F1525" s="2">
        <f t="shared" ca="1" si="1430"/>
        <v>0.58703082742536372</v>
      </c>
      <c r="G1525" s="2">
        <f t="shared" ca="1" si="1431"/>
        <v>4.6597411819738796E-2</v>
      </c>
      <c r="H1525" s="2">
        <f t="shared" ca="1" si="1432"/>
        <v>4.6597411819738796E-2</v>
      </c>
      <c r="I1525" s="2">
        <f t="shared" ca="1" si="1433"/>
        <v>0.96305267138564921</v>
      </c>
      <c r="J1525" s="2">
        <f t="shared" ca="1" si="1434"/>
        <v>1.8936325335234504E-2</v>
      </c>
      <c r="K1525" s="2">
        <f t="shared" ca="1" si="1435"/>
        <v>1.8936325335234504E-2</v>
      </c>
      <c r="L1525" s="2">
        <f t="shared" ca="1" si="1436"/>
        <v>0.32628546330101138</v>
      </c>
      <c r="M1525" s="2">
        <f t="shared" ca="1" si="1437"/>
        <v>-9.0038698922195425E-3</v>
      </c>
      <c r="N1525" s="2">
        <f t="shared" ca="1" si="1438"/>
        <v>-9.0038698922195425E-3</v>
      </c>
      <c r="O1525" s="2">
        <f t="shared" si="1439"/>
        <v>6000000</v>
      </c>
      <c r="P1525" s="2">
        <f t="shared" ca="1" si="1440"/>
        <v>40366710.133846983</v>
      </c>
      <c r="Q1525" s="2">
        <f t="shared" ca="1" si="1441"/>
        <v>1009167.7533461746</v>
      </c>
      <c r="R1525" s="2">
        <f t="shared" ca="1" si="1442"/>
        <v>24220026.080308188</v>
      </c>
      <c r="S1525" s="2">
        <f t="shared" ca="1" si="1443"/>
        <v>16146684.053538794</v>
      </c>
      <c r="T1525" s="2">
        <f t="shared" ca="1" si="1444"/>
        <v>49549806.50538902</v>
      </c>
      <c r="U1525" s="2">
        <f t="shared" ca="1" si="1445"/>
        <v>51858699.244709</v>
      </c>
      <c r="V1525" s="2">
        <f t="shared" ca="1" si="1446"/>
        <v>54275180.409850679</v>
      </c>
      <c r="W1525" s="2">
        <f t="shared" ca="1" si="1447"/>
        <v>56804263.342999108</v>
      </c>
      <c r="X1525" s="2">
        <f t="shared" ca="1" si="1448"/>
        <v>59451194.995109729</v>
      </c>
      <c r="Y1525" s="2">
        <f t="shared" ca="1" si="1449"/>
        <v>0.12946816266761724</v>
      </c>
      <c r="Z1525" s="2">
        <f t="shared" ca="1" si="1450"/>
        <v>0.13325542773466414</v>
      </c>
      <c r="AA1525" s="2">
        <f t="shared" ca="1" si="1451"/>
        <v>6415122.4087886643</v>
      </c>
      <c r="AB1525" s="2">
        <f t="shared" ca="1" si="1452"/>
        <v>6910453.1496170023</v>
      </c>
      <c r="AC1525" s="2">
        <f t="shared" ca="1" si="1453"/>
        <v>7232462.3808907159</v>
      </c>
      <c r="AD1525" s="2">
        <f t="shared" ca="1" si="1454"/>
        <v>7569476.4089238495</v>
      </c>
      <c r="AE1525" s="2">
        <f t="shared" ca="1" si="1455"/>
        <v>7922194.4184102714</v>
      </c>
      <c r="AF1525" s="2">
        <f t="shared" ca="1" si="1456"/>
        <v>990996.13010778045</v>
      </c>
      <c r="AG1525" s="2">
        <f t="shared" ca="1" si="1457"/>
        <v>1037173.98489418</v>
      </c>
      <c r="AH1525" s="2">
        <f t="shared" ca="1" si="1458"/>
        <v>1085503.6081970136</v>
      </c>
      <c r="AI1525" s="2">
        <f t="shared" ca="1" si="1459"/>
        <v>1136085.2668599822</v>
      </c>
      <c r="AJ1525" s="2">
        <f t="shared" ca="1" si="1460"/>
        <v>1189023.8999021945</v>
      </c>
      <c r="AK1525" s="2">
        <f t="shared" ca="1" si="1461"/>
        <v>0</v>
      </c>
      <c r="AL1525" s="2">
        <f t="shared" ca="1" si="1462"/>
        <v>23088.927393199803</v>
      </c>
      <c r="AM1525" s="2">
        <f t="shared" ca="1" si="1463"/>
        <v>24164.811651416792</v>
      </c>
      <c r="AN1525" s="2">
        <f t="shared" ca="1" si="1464"/>
        <v>25290.829331484289</v>
      </c>
      <c r="AO1525" s="2">
        <f t="shared" ca="1" si="1465"/>
        <v>26469.316521106215</v>
      </c>
      <c r="AP1525" s="2">
        <f t="shared" ca="1" si="1466"/>
        <v>2179802.3472277368</v>
      </c>
      <c r="AQ1525" s="2">
        <f t="shared" ca="1" si="1467"/>
        <v>843524.22217781807</v>
      </c>
      <c r="AR1525" s="2">
        <f t="shared" ca="1" si="1468"/>
        <v>960303.97254872229</v>
      </c>
      <c r="AS1525" s="2">
        <f t="shared" ca="1" si="1469"/>
        <v>1031460.670621151</v>
      </c>
      <c r="AT1525" s="2">
        <f t="shared" ca="1" si="1470"/>
        <v>1105933.0866573937</v>
      </c>
      <c r="AU1525" s="2">
        <f t="shared" ca="1" si="1471"/>
        <v>1183875.7245328883</v>
      </c>
      <c r="AV1525" s="2">
        <f t="shared" ca="1" si="1472"/>
        <v>2400799.7092753281</v>
      </c>
      <c r="AW1525" s="2">
        <f t="shared" ca="1" si="1473"/>
        <v>2710083.9175531636</v>
      </c>
      <c r="AX1525" s="2">
        <f t="shared" ca="1" si="1474"/>
        <v>2911530.943193397</v>
      </c>
      <c r="AY1525" s="2">
        <f t="shared" ca="1" si="1475"/>
        <v>3122364.8788472521</v>
      </c>
      <c r="AZ1525" s="2">
        <f t="shared" ca="1" si="1476"/>
        <v>3343023.1302263453</v>
      </c>
      <c r="BA1525" s="2">
        <f t="shared" ca="1" si="1477"/>
        <v>59810230.581289001</v>
      </c>
      <c r="BB1525" s="2">
        <f t="shared" ca="1" si="1478"/>
        <v>1196204.6116257801</v>
      </c>
      <c r="BC1525" s="2">
        <f t="shared" ca="1" si="1479"/>
        <v>34393999.889355026</v>
      </c>
      <c r="BD1525" s="2">
        <f t="shared" ca="1" si="1480"/>
        <v>-17655851.806884967</v>
      </c>
      <c r="BE1525" s="2">
        <f t="shared" ca="1" si="1481"/>
        <v>2400799.7092753281</v>
      </c>
      <c r="BF1525" s="2">
        <f t="shared" ca="1" si="1482"/>
        <v>2710083.9175531636</v>
      </c>
      <c r="BG1525" s="2">
        <f t="shared" ca="1" si="1483"/>
        <v>2911530.943193397</v>
      </c>
      <c r="BH1525" s="2">
        <f t="shared" ca="1" si="1484"/>
        <v>3122364.8788472521</v>
      </c>
      <c r="BI1525" s="2">
        <f t="shared" ca="1" si="1485"/>
        <v>37737023.01958137</v>
      </c>
      <c r="BJ1525" s="2">
        <f t="shared" ca="1" si="1486"/>
        <v>0.26926507460279292</v>
      </c>
      <c r="BK1525" s="2">
        <f t="shared" ca="1" si="1487"/>
        <v>12117871.529161528</v>
      </c>
    </row>
    <row r="1526" spans="1:63" x14ac:dyDescent="0.3">
      <c r="A1526" s="2">
        <v>1525</v>
      </c>
      <c r="B1526" s="2">
        <f t="shared" ca="1" si="1426"/>
        <v>0.85727016724381988</v>
      </c>
      <c r="C1526" s="2">
        <f t="shared" ca="1" si="1427"/>
        <v>7.4657157446523801</v>
      </c>
      <c r="D1526" s="2">
        <f t="shared" ca="1" si="1428"/>
        <v>0.79866281942995732</v>
      </c>
      <c r="E1526" s="2">
        <f t="shared" ca="1" si="1429"/>
        <v>7.8654337220273316</v>
      </c>
      <c r="F1526" s="2">
        <f t="shared" ca="1" si="1430"/>
        <v>0.36690511547031812</v>
      </c>
      <c r="G1526" s="2">
        <f t="shared" ca="1" si="1431"/>
        <v>2.9798155661277578E-2</v>
      </c>
      <c r="H1526" s="2">
        <f t="shared" ca="1" si="1432"/>
        <v>2.9798155661277578E-2</v>
      </c>
      <c r="I1526" s="2">
        <f t="shared" ca="1" si="1433"/>
        <v>0.44542250985584275</v>
      </c>
      <c r="J1526" s="2">
        <f t="shared" ca="1" si="1434"/>
        <v>9.3138248297728338E-3</v>
      </c>
      <c r="K1526" s="2">
        <f t="shared" ca="1" si="1435"/>
        <v>9.3138248297728338E-3</v>
      </c>
      <c r="L1526" s="2">
        <f t="shared" ca="1" si="1436"/>
        <v>0.72779506578649023</v>
      </c>
      <c r="M1526" s="2">
        <f t="shared" ca="1" si="1437"/>
        <v>1.2123159130085846E-2</v>
      </c>
      <c r="N1526" s="2">
        <f t="shared" ca="1" si="1438"/>
        <v>1.2123159130085846E-2</v>
      </c>
      <c r="O1526" s="2">
        <f t="shared" si="1439"/>
        <v>6000000</v>
      </c>
      <c r="P1526" s="2">
        <f t="shared" ca="1" si="1440"/>
        <v>44794294.467914283</v>
      </c>
      <c r="Q1526" s="2">
        <f t="shared" ca="1" si="1441"/>
        <v>1119857.361697857</v>
      </c>
      <c r="R1526" s="2">
        <f t="shared" ca="1" si="1442"/>
        <v>26876576.680748571</v>
      </c>
      <c r="S1526" s="2">
        <f t="shared" ca="1" si="1443"/>
        <v>17917717.787165713</v>
      </c>
      <c r="T1526" s="2">
        <f t="shared" ca="1" si="1444"/>
        <v>50606157.956504293</v>
      </c>
      <c r="U1526" s="2">
        <f t="shared" ca="1" si="1445"/>
        <v>52114128.12871141</v>
      </c>
      <c r="V1526" s="2">
        <f t="shared" ca="1" si="1446"/>
        <v>53667033.03084252</v>
      </c>
      <c r="W1526" s="2">
        <f t="shared" ca="1" si="1447"/>
        <v>55266211.634974495</v>
      </c>
      <c r="X1526" s="2">
        <f t="shared" ca="1" si="1448"/>
        <v>56913042.812082581</v>
      </c>
      <c r="Y1526" s="2">
        <f t="shared" ca="1" si="1449"/>
        <v>0.12465691241488641</v>
      </c>
      <c r="Z1526" s="2">
        <f t="shared" ca="1" si="1450"/>
        <v>0.12651967738084097</v>
      </c>
      <c r="AA1526" s="2">
        <f t="shared" ca="1" si="1451"/>
        <v>6308407.4000378624</v>
      </c>
      <c r="AB1526" s="2">
        <f t="shared" ca="1" si="1452"/>
        <v>6593462.6778283771</v>
      </c>
      <c r="AC1526" s="2">
        <f t="shared" ca="1" si="1453"/>
        <v>6789935.7050491311</v>
      </c>
      <c r="AD1526" s="2">
        <f t="shared" ca="1" si="1454"/>
        <v>6992263.2661182526</v>
      </c>
      <c r="AE1526" s="2">
        <f t="shared" ca="1" si="1455"/>
        <v>7200619.8153466778</v>
      </c>
      <c r="AF1526" s="2">
        <f t="shared" ca="1" si="1456"/>
        <v>1012123.1591300858</v>
      </c>
      <c r="AG1526" s="2">
        <f t="shared" ca="1" si="1457"/>
        <v>1042282.5625742283</v>
      </c>
      <c r="AH1526" s="2">
        <f t="shared" ca="1" si="1458"/>
        <v>1073340.6606168505</v>
      </c>
      <c r="AI1526" s="2">
        <f t="shared" ca="1" si="1459"/>
        <v>1105324.2326994899</v>
      </c>
      <c r="AJ1526" s="2">
        <f t="shared" ca="1" si="1460"/>
        <v>1138260.8562416516</v>
      </c>
      <c r="AK1526" s="2">
        <f t="shared" ca="1" si="1461"/>
        <v>0</v>
      </c>
      <c r="AL1526" s="2">
        <f t="shared" ca="1" si="1462"/>
        <v>15079.701722071171</v>
      </c>
      <c r="AM1526" s="2">
        <f t="shared" ca="1" si="1463"/>
        <v>15529.049021311104</v>
      </c>
      <c r="AN1526" s="2">
        <f t="shared" ca="1" si="1464"/>
        <v>15991.786041319743</v>
      </c>
      <c r="AO1526" s="2">
        <f t="shared" ca="1" si="1465"/>
        <v>16468.311771080866</v>
      </c>
      <c r="AP1526" s="2">
        <f t="shared" ca="1" si="1466"/>
        <v>2418891.9012673711</v>
      </c>
      <c r="AQ1526" s="2">
        <f t="shared" ca="1" si="1467"/>
        <v>748122.00830650527</v>
      </c>
      <c r="AR1526" s="2">
        <f t="shared" ca="1" si="1468"/>
        <v>814394.93563656218</v>
      </c>
      <c r="AS1526" s="2">
        <f t="shared" ca="1" si="1469"/>
        <v>857402.81722287647</v>
      </c>
      <c r="AT1526" s="2">
        <f t="shared" ca="1" si="1470"/>
        <v>901692.25435936183</v>
      </c>
      <c r="AU1526" s="2">
        <f t="shared" ca="1" si="1471"/>
        <v>947301.43503779033</v>
      </c>
      <c r="AV1526" s="2">
        <f t="shared" ca="1" si="1472"/>
        <v>2129270.3313338999</v>
      </c>
      <c r="AW1526" s="2">
        <f t="shared" ca="1" si="1473"/>
        <v>2302813.5766281439</v>
      </c>
      <c r="AX1526" s="2">
        <f t="shared" ca="1" si="1474"/>
        <v>2424771.2769207219</v>
      </c>
      <c r="AY1526" s="2">
        <f t="shared" ca="1" si="1475"/>
        <v>2550363.0917507103</v>
      </c>
      <c r="AZ1526" s="2">
        <f t="shared" ca="1" si="1476"/>
        <v>2679697.3110287832</v>
      </c>
      <c r="BA1526" s="2">
        <f t="shared" ca="1" si="1477"/>
        <v>56635997.915125974</v>
      </c>
      <c r="BB1526" s="2">
        <f t="shared" ca="1" si="1478"/>
        <v>1132719.9583025195</v>
      </c>
      <c r="BC1526" s="2">
        <f t="shared" ca="1" si="1479"/>
        <v>28626701.276074883</v>
      </c>
      <c r="BD1526" s="2">
        <f t="shared" ca="1" si="1480"/>
        <v>-19537575.148863569</v>
      </c>
      <c r="BE1526" s="2">
        <f t="shared" ca="1" si="1481"/>
        <v>2129270.3313338999</v>
      </c>
      <c r="BF1526" s="2">
        <f t="shared" ca="1" si="1482"/>
        <v>2302813.5766281439</v>
      </c>
      <c r="BG1526" s="2">
        <f t="shared" ca="1" si="1483"/>
        <v>2424771.2769207219</v>
      </c>
      <c r="BH1526" s="2">
        <f t="shared" ca="1" si="1484"/>
        <v>2550363.0917507103</v>
      </c>
      <c r="BI1526" s="2">
        <f t="shared" ca="1" si="1485"/>
        <v>31306398.587103665</v>
      </c>
      <c r="BJ1526" s="2">
        <f t="shared" ca="1" si="1486"/>
        <v>0.18569539828645398</v>
      </c>
      <c r="BK1526" s="2">
        <f t="shared" ca="1" si="1487"/>
        <v>5310145.4258059338</v>
      </c>
    </row>
    <row r="1527" spans="1:63" x14ac:dyDescent="0.3">
      <c r="A1527" s="2">
        <v>1526</v>
      </c>
      <c r="B1527" s="2">
        <f t="shared" ca="1" si="1426"/>
        <v>0.87365593725803814</v>
      </c>
      <c r="C1527" s="2">
        <f t="shared" ca="1" si="1427"/>
        <v>7.497319061944931</v>
      </c>
      <c r="D1527" s="2">
        <f t="shared" ca="1" si="1428"/>
        <v>0.43911111775860545</v>
      </c>
      <c r="E1527" s="2">
        <f t="shared" ca="1" si="1429"/>
        <v>7.4371351212697192</v>
      </c>
      <c r="F1527" s="2">
        <f t="shared" ca="1" si="1430"/>
        <v>0.23035319701280288</v>
      </c>
      <c r="G1527" s="2">
        <f t="shared" ca="1" si="1431"/>
        <v>1.7869474910038714E-2</v>
      </c>
      <c r="H1527" s="2">
        <f t="shared" ca="1" si="1432"/>
        <v>1.7869474910038714E-2</v>
      </c>
      <c r="I1527" s="2">
        <f t="shared" ca="1" si="1433"/>
        <v>0.10440309861865749</v>
      </c>
      <c r="J1527" s="2">
        <f t="shared" ca="1" si="1434"/>
        <v>3.7157257092122519E-3</v>
      </c>
      <c r="K1527" s="2">
        <f t="shared" ca="1" si="1435"/>
        <v>3.7157257092122519E-3</v>
      </c>
      <c r="L1527" s="2">
        <f t="shared" ca="1" si="1436"/>
        <v>0.30492479678152495</v>
      </c>
      <c r="M1527" s="2">
        <f t="shared" ca="1" si="1437"/>
        <v>-1.0205763281455676E-2</v>
      </c>
      <c r="N1527" s="2">
        <f t="shared" ca="1" si="1438"/>
        <v>-1.0205763281455676E-2</v>
      </c>
      <c r="O1527" s="2">
        <f t="shared" si="1439"/>
        <v>6000000</v>
      </c>
      <c r="P1527" s="2">
        <f t="shared" ca="1" si="1440"/>
        <v>44983914.371669583</v>
      </c>
      <c r="Q1527" s="2">
        <f t="shared" ca="1" si="1441"/>
        <v>1124597.8592917395</v>
      </c>
      <c r="R1527" s="2">
        <f t="shared" ca="1" si="1442"/>
        <v>26990348.623001751</v>
      </c>
      <c r="S1527" s="2">
        <f t="shared" ca="1" si="1443"/>
        <v>17993565.748667832</v>
      </c>
      <c r="T1527" s="2">
        <f t="shared" ca="1" si="1444"/>
        <v>49489711.835927211</v>
      </c>
      <c r="U1527" s="2">
        <f t="shared" ca="1" si="1445"/>
        <v>50374066.99988436</v>
      </c>
      <c r="V1527" s="2">
        <f t="shared" ca="1" si="1446"/>
        <v>51274225.126255408</v>
      </c>
      <c r="W1527" s="2">
        <f t="shared" ca="1" si="1447"/>
        <v>52190468.605680712</v>
      </c>
      <c r="X1527" s="2">
        <f t="shared" ca="1" si="1448"/>
        <v>53123084.874973089</v>
      </c>
      <c r="Y1527" s="2">
        <f t="shared" ca="1" si="1449"/>
        <v>0.12185786285460612</v>
      </c>
      <c r="Z1527" s="2">
        <f t="shared" ca="1" si="1450"/>
        <v>0.12260100799644857</v>
      </c>
      <c r="AA1527" s="2">
        <f t="shared" ca="1" si="1451"/>
        <v>6030710.5176163949</v>
      </c>
      <c r="AB1527" s="2">
        <f t="shared" ca="1" si="1452"/>
        <v>6175911.391066459</v>
      </c>
      <c r="AC1527" s="2">
        <f t="shared" ca="1" si="1453"/>
        <v>6286271.6847157441</v>
      </c>
      <c r="AD1527" s="2">
        <f t="shared" ca="1" si="1454"/>
        <v>6398604.0588634592</v>
      </c>
      <c r="AE1527" s="2">
        <f t="shared" ca="1" si="1455"/>
        <v>6512943.7535525924</v>
      </c>
      <c r="AF1527" s="2">
        <f t="shared" ca="1" si="1456"/>
        <v>989794.23671854427</v>
      </c>
      <c r="AG1527" s="2">
        <f t="shared" ca="1" si="1457"/>
        <v>1007481.3399976873</v>
      </c>
      <c r="AH1527" s="2">
        <f t="shared" ca="1" si="1458"/>
        <v>1025484.5025251082</v>
      </c>
      <c r="AI1527" s="2">
        <f t="shared" ca="1" si="1459"/>
        <v>1043809.3721136142</v>
      </c>
      <c r="AJ1527" s="2">
        <f t="shared" ca="1" si="1460"/>
        <v>1062461.6974994617</v>
      </c>
      <c r="AK1527" s="2">
        <f t="shared" ca="1" si="1461"/>
        <v>0</v>
      </c>
      <c r="AL1527" s="2">
        <f t="shared" ca="1" si="1462"/>
        <v>8843.5516395714876</v>
      </c>
      <c r="AM1527" s="2">
        <f t="shared" ca="1" si="1463"/>
        <v>9001.5812637104846</v>
      </c>
      <c r="AN1527" s="2">
        <f t="shared" ca="1" si="1464"/>
        <v>9162.4347942530367</v>
      </c>
      <c r="AO1527" s="2">
        <f t="shared" ca="1" si="1465"/>
        <v>9326.16269292377</v>
      </c>
      <c r="AP1527" s="2">
        <f t="shared" ca="1" si="1466"/>
        <v>2429131.3760701576</v>
      </c>
      <c r="AQ1527" s="2">
        <f t="shared" ca="1" si="1467"/>
        <v>679064.07525520003</v>
      </c>
      <c r="AR1527" s="2">
        <f t="shared" ca="1" si="1468"/>
        <v>712217.65549963969</v>
      </c>
      <c r="AS1527" s="2">
        <f t="shared" ca="1" si="1469"/>
        <v>736230.50959132449</v>
      </c>
      <c r="AT1527" s="2">
        <f t="shared" ca="1" si="1470"/>
        <v>760672.46077671868</v>
      </c>
      <c r="AU1527" s="2">
        <f t="shared" ca="1" si="1471"/>
        <v>785551.17679557309</v>
      </c>
      <c r="AV1527" s="2">
        <f t="shared" ca="1" si="1472"/>
        <v>1932720.8295724923</v>
      </c>
      <c r="AW1527" s="2">
        <f t="shared" ca="1" si="1473"/>
        <v>2018237.4678594023</v>
      </c>
      <c r="AX1527" s="2">
        <f t="shared" ca="1" si="1474"/>
        <v>2086423.7152654435</v>
      </c>
      <c r="AY1527" s="2">
        <f t="shared" ca="1" si="1475"/>
        <v>2155828.4151087161</v>
      </c>
      <c r="AZ1527" s="2">
        <f t="shared" ca="1" si="1476"/>
        <v>2226473.3404944763</v>
      </c>
      <c r="BA1527" s="2">
        <f t="shared" ca="1" si="1477"/>
        <v>48437642.732400216</v>
      </c>
      <c r="BB1527" s="2">
        <f t="shared" ca="1" si="1478"/>
        <v>968752.85464800429</v>
      </c>
      <c r="BC1527" s="2">
        <f t="shared" ca="1" si="1479"/>
        <v>20478541.25475046</v>
      </c>
      <c r="BD1527" s="2">
        <f t="shared" ca="1" si="1480"/>
        <v>-19618163.607959572</v>
      </c>
      <c r="BE1527" s="2">
        <f t="shared" ca="1" si="1481"/>
        <v>1932720.8295724923</v>
      </c>
      <c r="BF1527" s="2">
        <f t="shared" ca="1" si="1482"/>
        <v>2018237.4678594023</v>
      </c>
      <c r="BG1527" s="2">
        <f t="shared" ca="1" si="1483"/>
        <v>2086423.7152654435</v>
      </c>
      <c r="BH1527" s="2">
        <f t="shared" ca="1" si="1484"/>
        <v>2155828.4151087161</v>
      </c>
      <c r="BI1527" s="2">
        <f t="shared" ca="1" si="1485"/>
        <v>22705014.595244937</v>
      </c>
      <c r="BJ1527" s="2">
        <f t="shared" ca="1" si="1486"/>
        <v>0.11244712354893593</v>
      </c>
      <c r="BK1527" s="2">
        <f t="shared" ca="1" si="1487"/>
        <v>-545015.29564482346</v>
      </c>
    </row>
    <row r="1528" spans="1:63" x14ac:dyDescent="0.3">
      <c r="A1528" s="2">
        <v>1527</v>
      </c>
      <c r="B1528" s="2">
        <f t="shared" ca="1" si="1426"/>
        <v>0.56496267186351989</v>
      </c>
      <c r="C1528" s="2">
        <f t="shared" ca="1" si="1427"/>
        <v>7.0672220755866055</v>
      </c>
      <c r="D1528" s="2">
        <f t="shared" ca="1" si="1428"/>
        <v>0.95827531057904258</v>
      </c>
      <c r="E1528" s="2">
        <f t="shared" ca="1" si="1429"/>
        <v>8.2111239386139534</v>
      </c>
      <c r="F1528" s="2">
        <f t="shared" ca="1" si="1430"/>
        <v>0.83696763316825462</v>
      </c>
      <c r="G1528" s="2">
        <f t="shared" ca="1" si="1431"/>
        <v>6.9462138374536991E-2</v>
      </c>
      <c r="H1528" s="2">
        <f t="shared" ca="1" si="1432"/>
        <v>6.9462138374536991E-2</v>
      </c>
      <c r="I1528" s="2">
        <f t="shared" ca="1" si="1433"/>
        <v>7.3108023561531121E-3</v>
      </c>
      <c r="J1528" s="2">
        <f t="shared" ca="1" si="1434"/>
        <v>-2.2080905369933589E-3</v>
      </c>
      <c r="K1528" s="2">
        <f t="shared" ca="1" si="1435"/>
        <v>0</v>
      </c>
      <c r="L1528" s="2">
        <f t="shared" ca="1" si="1436"/>
        <v>0.23761868001282482</v>
      </c>
      <c r="M1528" s="2">
        <f t="shared" ca="1" si="1437"/>
        <v>-1.4279670723819637E-2</v>
      </c>
      <c r="N1528" s="2">
        <f t="shared" ca="1" si="1438"/>
        <v>-1.4279670723819637E-2</v>
      </c>
      <c r="O1528" s="2">
        <f t="shared" si="1439"/>
        <v>6000000</v>
      </c>
      <c r="P1528" s="2">
        <f t="shared" ca="1" si="1440"/>
        <v>42403332.453519635</v>
      </c>
      <c r="Q1528" s="2">
        <f t="shared" ca="1" si="1441"/>
        <v>1060083.3113379909</v>
      </c>
      <c r="R1528" s="2">
        <f t="shared" ca="1" si="1442"/>
        <v>25441999.47211178</v>
      </c>
      <c r="S1528" s="2">
        <f t="shared" ca="1" si="1443"/>
        <v>16961332.981407855</v>
      </c>
      <c r="T1528" s="2">
        <f t="shared" ca="1" si="1444"/>
        <v>49286016.463809021</v>
      </c>
      <c r="U1528" s="2">
        <f t="shared" ca="1" si="1445"/>
        <v>52709528.559347838</v>
      </c>
      <c r="V1528" s="2">
        <f t="shared" ca="1" si="1446"/>
        <v>56370845.125793874</v>
      </c>
      <c r="W1528" s="2">
        <f t="shared" ca="1" si="1447"/>
        <v>60286484.570211366</v>
      </c>
      <c r="X1528" s="2">
        <f t="shared" ca="1" si="1448"/>
        <v>64474112.703541785</v>
      </c>
      <c r="Y1528" s="2">
        <f t="shared" ca="1" si="1449"/>
        <v>0.12</v>
      </c>
      <c r="Z1528" s="2">
        <f t="shared" ca="1" si="1450"/>
        <v>0.12</v>
      </c>
      <c r="AA1528" s="2">
        <f t="shared" ca="1" si="1451"/>
        <v>5914321.9756570822</v>
      </c>
      <c r="AB1528" s="2">
        <f t="shared" ca="1" si="1452"/>
        <v>6325143.4271217408</v>
      </c>
      <c r="AC1528" s="2">
        <f t="shared" ca="1" si="1453"/>
        <v>6764501.415095265</v>
      </c>
      <c r="AD1528" s="2">
        <f t="shared" ca="1" si="1454"/>
        <v>7234378.1484253639</v>
      </c>
      <c r="AE1528" s="2">
        <f t="shared" ca="1" si="1455"/>
        <v>7736893.5244250139</v>
      </c>
      <c r="AF1528" s="2">
        <f t="shared" ca="1" si="1456"/>
        <v>985720.32927618048</v>
      </c>
      <c r="AG1528" s="2">
        <f t="shared" ca="1" si="1457"/>
        <v>1054190.5711869567</v>
      </c>
      <c r="AH1528" s="2">
        <f t="shared" ca="1" si="1458"/>
        <v>1127416.9025158775</v>
      </c>
      <c r="AI1528" s="2">
        <f t="shared" ca="1" si="1459"/>
        <v>1205729.6914042274</v>
      </c>
      <c r="AJ1528" s="2">
        <f t="shared" ca="1" si="1460"/>
        <v>1289482.2540708357</v>
      </c>
      <c r="AK1528" s="2">
        <f t="shared" ca="1" si="1461"/>
        <v>0</v>
      </c>
      <c r="AL1528" s="2">
        <f t="shared" ca="1" si="1462"/>
        <v>34235.120955388171</v>
      </c>
      <c r="AM1528" s="2">
        <f t="shared" ca="1" si="1463"/>
        <v>36613.165664460364</v>
      </c>
      <c r="AN1528" s="2">
        <f t="shared" ca="1" si="1464"/>
        <v>39156.394444174919</v>
      </c>
      <c r="AO1528" s="2">
        <f t="shared" ca="1" si="1465"/>
        <v>41876.2813333042</v>
      </c>
      <c r="AP1528" s="2">
        <f t="shared" ca="1" si="1466"/>
        <v>2289779.9524900601</v>
      </c>
      <c r="AQ1528" s="2">
        <f t="shared" ca="1" si="1467"/>
        <v>686093.64041161875</v>
      </c>
      <c r="AR1528" s="2">
        <f t="shared" ca="1" si="1468"/>
        <v>775104.95489562815</v>
      </c>
      <c r="AS1528" s="2">
        <f t="shared" ca="1" si="1469"/>
        <v>870299.18562322506</v>
      </c>
      <c r="AT1528" s="2">
        <f t="shared" ca="1" si="1470"/>
        <v>972105.81117807992</v>
      </c>
      <c r="AU1528" s="2">
        <f t="shared" ca="1" si="1471"/>
        <v>1080984.1426446706</v>
      </c>
      <c r="AV1528" s="2">
        <f t="shared" ca="1" si="1472"/>
        <v>1952728.0534792221</v>
      </c>
      <c r="AW1528" s="2">
        <f t="shared" ca="1" si="1473"/>
        <v>2171832.8275937079</v>
      </c>
      <c r="AX1528" s="2">
        <f t="shared" ca="1" si="1474"/>
        <v>2440392.2088016416</v>
      </c>
      <c r="AY1528" s="2">
        <f t="shared" ca="1" si="1475"/>
        <v>2727606.2989088218</v>
      </c>
      <c r="AZ1528" s="2">
        <f t="shared" ca="1" si="1476"/>
        <v>3034770.8938861429</v>
      </c>
      <c r="BA1528" s="2">
        <f t="shared" ca="1" si="1477"/>
        <v>63528591.628913514</v>
      </c>
      <c r="BB1528" s="2">
        <f t="shared" ca="1" si="1478"/>
        <v>1270571.8325782702</v>
      </c>
      <c r="BC1528" s="2">
        <f t="shared" ca="1" si="1479"/>
        <v>36816020.324223459</v>
      </c>
      <c r="BD1528" s="2">
        <f t="shared" ca="1" si="1480"/>
        <v>-18521416.292745847</v>
      </c>
      <c r="BE1528" s="2">
        <f t="shared" ca="1" si="1481"/>
        <v>1952728.0534792221</v>
      </c>
      <c r="BF1528" s="2">
        <f t="shared" ca="1" si="1482"/>
        <v>2171832.8275937079</v>
      </c>
      <c r="BG1528" s="2">
        <f t="shared" ca="1" si="1483"/>
        <v>2440392.2088016416</v>
      </c>
      <c r="BH1528" s="2">
        <f t="shared" ca="1" si="1484"/>
        <v>2727606.2989088218</v>
      </c>
      <c r="BI1528" s="2">
        <f t="shared" ca="1" si="1485"/>
        <v>39850791.2181096</v>
      </c>
      <c r="BJ1528" s="2">
        <f t="shared" ca="1" si="1486"/>
        <v>0.24769602018896797</v>
      </c>
      <c r="BK1528" s="2">
        <f t="shared" ca="1" si="1487"/>
        <v>11036337.974743117</v>
      </c>
    </row>
    <row r="1529" spans="1:63" x14ac:dyDescent="0.3">
      <c r="A1529" s="2">
        <v>1528</v>
      </c>
      <c r="B1529" s="2">
        <f t="shared" ca="1" si="1426"/>
        <v>0.39650698796191053</v>
      </c>
      <c r="C1529" s="2">
        <f t="shared" ca="1" si="1427"/>
        <v>6.8905133215869494</v>
      </c>
      <c r="D1529" s="2">
        <f t="shared" ca="1" si="1428"/>
        <v>0.32972116688266428</v>
      </c>
      <c r="E1529" s="2">
        <f t="shared" ca="1" si="1429"/>
        <v>7.3120605480906757</v>
      </c>
      <c r="F1529" s="2">
        <f t="shared" ca="1" si="1430"/>
        <v>0.24913928565361843</v>
      </c>
      <c r="G1529" s="2">
        <f t="shared" ca="1" si="1431"/>
        <v>1.9683976522877091E-2</v>
      </c>
      <c r="H1529" s="2">
        <f t="shared" ca="1" si="1432"/>
        <v>1.9683976522877091E-2</v>
      </c>
      <c r="I1529" s="2">
        <f t="shared" ca="1" si="1433"/>
        <v>0.89306781111200273</v>
      </c>
      <c r="J1529" s="2">
        <f t="shared" ca="1" si="1434"/>
        <v>1.6215046888941331E-2</v>
      </c>
      <c r="K1529" s="2">
        <f t="shared" ca="1" si="1435"/>
        <v>1.6215046888941331E-2</v>
      </c>
      <c r="L1529" s="2">
        <f t="shared" ca="1" si="1436"/>
        <v>0.75172394070921633</v>
      </c>
      <c r="M1529" s="2">
        <f t="shared" ca="1" si="1437"/>
        <v>1.3598494708701198E-2</v>
      </c>
      <c r="N1529" s="2">
        <f t="shared" ca="1" si="1438"/>
        <v>1.3598494708701198E-2</v>
      </c>
      <c r="O1529" s="2">
        <f t="shared" si="1439"/>
        <v>6000000</v>
      </c>
      <c r="P1529" s="2">
        <f t="shared" ca="1" si="1440"/>
        <v>41343079.929521695</v>
      </c>
      <c r="Q1529" s="2">
        <f t="shared" ca="1" si="1441"/>
        <v>1033576.9982380425</v>
      </c>
      <c r="R1529" s="2">
        <f t="shared" ca="1" si="1442"/>
        <v>24805847.957713015</v>
      </c>
      <c r="S1529" s="2">
        <f t="shared" ca="1" si="1443"/>
        <v>16537231.971808679</v>
      </c>
      <c r="T1529" s="2">
        <f t="shared" ca="1" si="1444"/>
        <v>50679924.735435054</v>
      </c>
      <c r="U1529" s="2">
        <f t="shared" ca="1" si="1445"/>
        <v>51677507.18410854</v>
      </c>
      <c r="V1529" s="2">
        <f t="shared" ca="1" si="1446"/>
        <v>52694726.022281349</v>
      </c>
      <c r="W1529" s="2">
        <f t="shared" ca="1" si="1447"/>
        <v>53731967.772183374</v>
      </c>
      <c r="X1529" s="2">
        <f t="shared" ca="1" si="1448"/>
        <v>54789626.564339019</v>
      </c>
      <c r="Y1529" s="2">
        <f t="shared" ca="1" si="1449"/>
        <v>0.12810752344447066</v>
      </c>
      <c r="Z1529" s="2">
        <f t="shared" ca="1" si="1450"/>
        <v>0.13135053282225892</v>
      </c>
      <c r="AA1529" s="2">
        <f t="shared" ca="1" si="1451"/>
        <v>6492479.6462087547</v>
      </c>
      <c r="AB1529" s="2">
        <f t="shared" ca="1" si="1452"/>
        <v>6787868.1035587704</v>
      </c>
      <c r="AC1529" s="2">
        <f t="shared" ca="1" si="1453"/>
        <v>6921480.3399496078</v>
      </c>
      <c r="AD1529" s="2">
        <f t="shared" ca="1" si="1454"/>
        <v>7057722.5964647308</v>
      </c>
      <c r="AE1529" s="2">
        <f t="shared" ca="1" si="1455"/>
        <v>7196646.6423585219</v>
      </c>
      <c r="AF1529" s="2">
        <f t="shared" ca="1" si="1456"/>
        <v>1013598.4947087012</v>
      </c>
      <c r="AG1529" s="2">
        <f t="shared" ca="1" si="1457"/>
        <v>1033550.1436821708</v>
      </c>
      <c r="AH1529" s="2">
        <f t="shared" ca="1" si="1458"/>
        <v>1053894.5204456269</v>
      </c>
      <c r="AI1529" s="2">
        <f t="shared" ca="1" si="1459"/>
        <v>1074639.3554436674</v>
      </c>
      <c r="AJ1529" s="2">
        <f t="shared" ca="1" si="1460"/>
        <v>1095792.5312867805</v>
      </c>
      <c r="AK1529" s="2">
        <f t="shared" ca="1" si="1461"/>
        <v>0</v>
      </c>
      <c r="AL1529" s="2">
        <f t="shared" ca="1" si="1462"/>
        <v>9975.8244867348676</v>
      </c>
      <c r="AM1529" s="2">
        <f t="shared" ca="1" si="1463"/>
        <v>10172.188381728083</v>
      </c>
      <c r="AN1529" s="2">
        <f t="shared" ca="1" si="1464"/>
        <v>10372.417499020248</v>
      </c>
      <c r="AO1529" s="2">
        <f t="shared" ca="1" si="1465"/>
        <v>10576.587921556458</v>
      </c>
      <c r="AP1529" s="2">
        <f t="shared" ca="1" si="1466"/>
        <v>2232526.3161941711</v>
      </c>
      <c r="AQ1529" s="2">
        <f t="shared" ca="1" si="1467"/>
        <v>844052.25717952952</v>
      </c>
      <c r="AR1529" s="2">
        <f t="shared" ca="1" si="1468"/>
        <v>915665.82735743152</v>
      </c>
      <c r="AS1529" s="2">
        <f t="shared" ca="1" si="1469"/>
        <v>945115.47086055053</v>
      </c>
      <c r="AT1529" s="2">
        <f t="shared" ca="1" si="1470"/>
        <v>975144.80045499199</v>
      </c>
      <c r="AU1529" s="2">
        <f t="shared" ca="1" si="1471"/>
        <v>1005765.2266681682</v>
      </c>
      <c r="AV1529" s="2">
        <f t="shared" ca="1" si="1472"/>
        <v>2402302.5781263532</v>
      </c>
      <c r="AW1529" s="2">
        <f t="shared" ca="1" si="1473"/>
        <v>2596149.9918382615</v>
      </c>
      <c r="AX1529" s="2">
        <f t="shared" ca="1" si="1474"/>
        <v>2679771.8440675316</v>
      </c>
      <c r="AY1529" s="2">
        <f t="shared" ca="1" si="1475"/>
        <v>2765039.7068728795</v>
      </c>
      <c r="AZ1529" s="2">
        <f t="shared" ca="1" si="1476"/>
        <v>2851985.9802878462</v>
      </c>
      <c r="BA1529" s="2">
        <f t="shared" ca="1" si="1477"/>
        <v>52622315.992138974</v>
      </c>
      <c r="BB1529" s="2">
        <f t="shared" ca="1" si="1478"/>
        <v>1052446.3198427795</v>
      </c>
      <c r="BC1529" s="2">
        <f t="shared" ca="1" si="1479"/>
        <v>26764021.714583181</v>
      </c>
      <c r="BD1529" s="2">
        <f t="shared" ca="1" si="1480"/>
        <v>-18070808.970046721</v>
      </c>
      <c r="BE1529" s="2">
        <f t="shared" ca="1" si="1481"/>
        <v>2402302.5781263532</v>
      </c>
      <c r="BF1529" s="2">
        <f t="shared" ca="1" si="1482"/>
        <v>2596149.9918382615</v>
      </c>
      <c r="BG1529" s="2">
        <f t="shared" ca="1" si="1483"/>
        <v>2679771.8440675316</v>
      </c>
      <c r="BH1529" s="2">
        <f t="shared" ca="1" si="1484"/>
        <v>2765039.7068728795</v>
      </c>
      <c r="BI1529" s="2">
        <f t="shared" ca="1" si="1485"/>
        <v>29616007.694871027</v>
      </c>
      <c r="BJ1529" s="2">
        <f t="shared" ca="1" si="1486"/>
        <v>0.20847605786889134</v>
      </c>
      <c r="BK1529" s="2">
        <f t="shared" ca="1" si="1487"/>
        <v>6613298.43855232</v>
      </c>
    </row>
    <row r="1530" spans="1:63" x14ac:dyDescent="0.3">
      <c r="A1530" s="2">
        <v>1529</v>
      </c>
      <c r="B1530" s="2">
        <f t="shared" ca="1" si="1426"/>
        <v>0.75506251828134718</v>
      </c>
      <c r="C1530" s="2">
        <f t="shared" ca="1" si="1427"/>
        <v>7.3000893175287969</v>
      </c>
      <c r="D1530" s="2">
        <f t="shared" ca="1" si="1428"/>
        <v>8.3900347981020307E-2</v>
      </c>
      <c r="E1530" s="2">
        <f t="shared" ca="1" si="1429"/>
        <v>6.909634832456959</v>
      </c>
      <c r="F1530" s="2">
        <f t="shared" ca="1" si="1430"/>
        <v>0.97357093612510726</v>
      </c>
      <c r="G1530" s="2">
        <f t="shared" ca="1" si="1431"/>
        <v>9.8082345096460549E-2</v>
      </c>
      <c r="H1530" s="2">
        <f t="shared" ca="1" si="1432"/>
        <v>9.8082345096460549E-2</v>
      </c>
      <c r="I1530" s="2">
        <f t="shared" ca="1" si="1433"/>
        <v>0.366322654155534</v>
      </c>
      <c r="J1530" s="2">
        <f t="shared" ca="1" si="1434"/>
        <v>8.2919559637290863E-3</v>
      </c>
      <c r="K1530" s="2">
        <f t="shared" ca="1" si="1435"/>
        <v>8.2919559637290863E-3</v>
      </c>
      <c r="L1530" s="2">
        <f t="shared" ca="1" si="1436"/>
        <v>0.75636491513042192</v>
      </c>
      <c r="M1530" s="2">
        <f t="shared" ca="1" si="1437"/>
        <v>1.3893143573035517E-2</v>
      </c>
      <c r="N1530" s="2">
        <f t="shared" ca="1" si="1438"/>
        <v>1.3893143573035517E-2</v>
      </c>
      <c r="O1530" s="2">
        <f t="shared" si="1439"/>
        <v>6000000</v>
      </c>
      <c r="P1530" s="2">
        <f t="shared" ca="1" si="1440"/>
        <v>43800535.90517278</v>
      </c>
      <c r="Q1530" s="2">
        <f t="shared" ca="1" si="1441"/>
        <v>1095013.3976293195</v>
      </c>
      <c r="R1530" s="2">
        <f t="shared" ca="1" si="1442"/>
        <v>26280321.543103669</v>
      </c>
      <c r="S1530" s="2">
        <f t="shared" ca="1" si="1443"/>
        <v>17520214.362069111</v>
      </c>
      <c r="T1530" s="2">
        <f t="shared" ca="1" si="1444"/>
        <v>50694657.17865178</v>
      </c>
      <c r="U1530" s="2">
        <f t="shared" ca="1" si="1445"/>
        <v>55666908.038595065</v>
      </c>
      <c r="V1530" s="2">
        <f t="shared" ca="1" si="1446"/>
        <v>61126848.923289478</v>
      </c>
      <c r="W1530" s="2">
        <f t="shared" ca="1" si="1447"/>
        <v>67122313.614042759</v>
      </c>
      <c r="X1530" s="2">
        <f t="shared" ca="1" si="1448"/>
        <v>73705827.541608155</v>
      </c>
      <c r="Y1530" s="2">
        <f t="shared" ca="1" si="1449"/>
        <v>0.12414597798186454</v>
      </c>
      <c r="Z1530" s="2">
        <f t="shared" ca="1" si="1450"/>
        <v>0.12580436917461035</v>
      </c>
      <c r="AA1530" s="2">
        <f t="shared" ca="1" si="1451"/>
        <v>6293537.7938990751</v>
      </c>
      <c r="AB1530" s="2">
        <f t="shared" ca="1" si="1452"/>
        <v>7003140.2496964987</v>
      </c>
      <c r="AC1530" s="2">
        <f t="shared" ca="1" si="1453"/>
        <v>7690024.668426143</v>
      </c>
      <c r="AD1530" s="2">
        <f t="shared" ca="1" si="1454"/>
        <v>8444280.3217550106</v>
      </c>
      <c r="AE1530" s="2">
        <f t="shared" ca="1" si="1455"/>
        <v>9272515.1383646354</v>
      </c>
      <c r="AF1530" s="2">
        <f t="shared" ca="1" si="1456"/>
        <v>1013893.1435730356</v>
      </c>
      <c r="AG1530" s="2">
        <f t="shared" ca="1" si="1457"/>
        <v>1113338.1607719013</v>
      </c>
      <c r="AH1530" s="2">
        <f t="shared" ca="1" si="1458"/>
        <v>1222536.9784657897</v>
      </c>
      <c r="AI1530" s="2">
        <f t="shared" ca="1" si="1459"/>
        <v>1342446.2722808551</v>
      </c>
      <c r="AJ1530" s="2">
        <f t="shared" ca="1" si="1460"/>
        <v>1474116.5508321631</v>
      </c>
      <c r="AK1530" s="2">
        <f t="shared" ca="1" si="1461"/>
        <v>0</v>
      </c>
      <c r="AL1530" s="2">
        <f t="shared" ca="1" si="1462"/>
        <v>49722.508599432855</v>
      </c>
      <c r="AM1530" s="2">
        <f t="shared" ca="1" si="1463"/>
        <v>54599.408846944127</v>
      </c>
      <c r="AN1530" s="2">
        <f t="shared" ca="1" si="1464"/>
        <v>59954.646907532813</v>
      </c>
      <c r="AO1530" s="2">
        <f t="shared" ca="1" si="1465"/>
        <v>65835.139275653957</v>
      </c>
      <c r="AP1530" s="2">
        <f t="shared" ca="1" si="1466"/>
        <v>2365228.9388793302</v>
      </c>
      <c r="AQ1530" s="2">
        <f t="shared" ca="1" si="1467"/>
        <v>757748.08497614448</v>
      </c>
      <c r="AR1530" s="2">
        <f t="shared" ca="1" si="1468"/>
        <v>916389.01901176968</v>
      </c>
      <c r="AS1530" s="2">
        <f t="shared" ca="1" si="1469"/>
        <v>1066587.2752810661</v>
      </c>
      <c r="AT1530" s="2">
        <f t="shared" ca="1" si="1470"/>
        <v>1231517.3287546549</v>
      </c>
      <c r="AU1530" s="2">
        <f t="shared" ca="1" si="1471"/>
        <v>1412624.1086498171</v>
      </c>
      <c r="AV1530" s="2">
        <f t="shared" ca="1" si="1472"/>
        <v>2156667.6264705653</v>
      </c>
      <c r="AW1530" s="2">
        <f t="shared" ca="1" si="1473"/>
        <v>2558461.6224340652</v>
      </c>
      <c r="AX1530" s="2">
        <f t="shared" ca="1" si="1474"/>
        <v>2981072.0669530123</v>
      </c>
      <c r="AY1530" s="2">
        <f t="shared" ca="1" si="1475"/>
        <v>3445133.1349326377</v>
      </c>
      <c r="AZ1530" s="2">
        <f t="shared" ca="1" si="1476"/>
        <v>3954710.4007276702</v>
      </c>
      <c r="BA1530" s="2">
        <f t="shared" ca="1" si="1477"/>
        <v>64069693.584528744</v>
      </c>
      <c r="BB1530" s="2">
        <f t="shared" ca="1" si="1478"/>
        <v>1281393.8716905748</v>
      </c>
      <c r="BC1530" s="2">
        <f t="shared" ca="1" si="1479"/>
        <v>36507978.169734508</v>
      </c>
      <c r="BD1530" s="2">
        <f t="shared" ca="1" si="1480"/>
        <v>-19115227.759698432</v>
      </c>
      <c r="BE1530" s="2">
        <f t="shared" ca="1" si="1481"/>
        <v>2156667.6264705653</v>
      </c>
      <c r="BF1530" s="2">
        <f t="shared" ca="1" si="1482"/>
        <v>2558461.6224340652</v>
      </c>
      <c r="BG1530" s="2">
        <f t="shared" ca="1" si="1483"/>
        <v>2981072.0669530123</v>
      </c>
      <c r="BH1530" s="2">
        <f t="shared" ca="1" si="1484"/>
        <v>3445133.1349326377</v>
      </c>
      <c r="BI1530" s="2">
        <f t="shared" ca="1" si="1485"/>
        <v>40462688.570462175</v>
      </c>
      <c r="BJ1530" s="2">
        <f t="shared" ca="1" si="1486"/>
        <v>0.25691073776818119</v>
      </c>
      <c r="BK1530" s="2">
        <f t="shared" ca="1" si="1487"/>
        <v>12120887.030503165</v>
      </c>
    </row>
    <row r="1531" spans="1:63" x14ac:dyDescent="0.3">
      <c r="A1531" s="2">
        <v>1530</v>
      </c>
      <c r="B1531" s="2">
        <f t="shared" ca="1" si="1426"/>
        <v>0.39198301506972455</v>
      </c>
      <c r="C1531" s="2">
        <f t="shared" ca="1" si="1427"/>
        <v>6.8854185621159347</v>
      </c>
      <c r="D1531" s="2">
        <f t="shared" ca="1" si="1428"/>
        <v>0.42656086481901068</v>
      </c>
      <c r="E1531" s="2">
        <f t="shared" ca="1" si="1429"/>
        <v>7.4236458897423958</v>
      </c>
      <c r="F1531" s="2">
        <f t="shared" ca="1" si="1430"/>
        <v>0.69209415749079628</v>
      </c>
      <c r="G1531" s="2">
        <f t="shared" ca="1" si="1431"/>
        <v>5.5053851944600926E-2</v>
      </c>
      <c r="H1531" s="2">
        <f t="shared" ca="1" si="1432"/>
        <v>5.5053851944600926E-2</v>
      </c>
      <c r="I1531" s="2">
        <f t="shared" ca="1" si="1433"/>
        <v>0.47330453200668454</v>
      </c>
      <c r="J1531" s="2">
        <f t="shared" ca="1" si="1434"/>
        <v>9.6651718435322997E-3</v>
      </c>
      <c r="K1531" s="2">
        <f t="shared" ca="1" si="1435"/>
        <v>9.6651718435322997E-3</v>
      </c>
      <c r="L1531" s="2">
        <f t="shared" ca="1" si="1436"/>
        <v>4.8823256078835975E-2</v>
      </c>
      <c r="M1531" s="2">
        <f t="shared" ca="1" si="1437"/>
        <v>-3.3127439569440267E-2</v>
      </c>
      <c r="N1531" s="2">
        <f t="shared" ca="1" si="1438"/>
        <v>-3.3127439569440267E-2</v>
      </c>
      <c r="O1531" s="2">
        <f t="shared" si="1439"/>
        <v>6000000</v>
      </c>
      <c r="P1531" s="2">
        <f t="shared" ca="1" si="1440"/>
        <v>41312511.37269561</v>
      </c>
      <c r="Q1531" s="2">
        <f t="shared" ca="1" si="1441"/>
        <v>1032812.7843173903</v>
      </c>
      <c r="R1531" s="2">
        <f t="shared" ca="1" si="1442"/>
        <v>24787506.823617365</v>
      </c>
      <c r="S1531" s="2">
        <f t="shared" ca="1" si="1443"/>
        <v>16525004.549078245</v>
      </c>
      <c r="T1531" s="2">
        <f t="shared" ca="1" si="1444"/>
        <v>48343628.021527983</v>
      </c>
      <c r="U1531" s="2">
        <f t="shared" ca="1" si="1445"/>
        <v>51005130.961090043</v>
      </c>
      <c r="V1531" s="2">
        <f t="shared" ca="1" si="1446"/>
        <v>53813159.889436871</v>
      </c>
      <c r="W1531" s="2">
        <f t="shared" ca="1" si="1447"/>
        <v>56775781.626661062</v>
      </c>
      <c r="X1531" s="2">
        <f t="shared" ca="1" si="1448"/>
        <v>59901507.102374248</v>
      </c>
      <c r="Y1531" s="2">
        <f t="shared" ca="1" si="1449"/>
        <v>0.12483258592176615</v>
      </c>
      <c r="Z1531" s="2">
        <f t="shared" ca="1" si="1450"/>
        <v>0.12676562029047261</v>
      </c>
      <c r="AA1531" s="2">
        <f t="shared" ca="1" si="1451"/>
        <v>6034860.0987672936</v>
      </c>
      <c r="AB1531" s="2">
        <f t="shared" ca="1" si="1452"/>
        <v>6465697.0642793691</v>
      </c>
      <c r="AC1531" s="2">
        <f t="shared" ca="1" si="1453"/>
        <v>6821658.5931748459</v>
      </c>
      <c r="AD1531" s="2">
        <f t="shared" ca="1" si="1454"/>
        <v>7197217.1753801079</v>
      </c>
      <c r="AE1531" s="2">
        <f t="shared" ca="1" si="1455"/>
        <v>7593451.7041666228</v>
      </c>
      <c r="AF1531" s="2">
        <f t="shared" ca="1" si="1456"/>
        <v>966872.56043055968</v>
      </c>
      <c r="AG1531" s="2">
        <f t="shared" ca="1" si="1457"/>
        <v>1020102.6192218009</v>
      </c>
      <c r="AH1531" s="2">
        <f t="shared" ca="1" si="1458"/>
        <v>1076263.1977887375</v>
      </c>
      <c r="AI1531" s="2">
        <f t="shared" ca="1" si="1459"/>
        <v>1135515.6325332213</v>
      </c>
      <c r="AJ1531" s="2">
        <f t="shared" ca="1" si="1460"/>
        <v>1198030.1420474851</v>
      </c>
      <c r="AK1531" s="2">
        <f t="shared" ca="1" si="1461"/>
        <v>0</v>
      </c>
      <c r="AL1531" s="2">
        <f t="shared" ca="1" si="1462"/>
        <v>26615.029395620601</v>
      </c>
      <c r="AM1531" s="2">
        <f t="shared" ca="1" si="1463"/>
        <v>28080.289283468275</v>
      </c>
      <c r="AN1531" s="2">
        <f t="shared" ca="1" si="1464"/>
        <v>29626.217372241914</v>
      </c>
      <c r="AO1531" s="2">
        <f t="shared" ca="1" si="1465"/>
        <v>31257.254757131861</v>
      </c>
      <c r="AP1531" s="2">
        <f t="shared" ca="1" si="1466"/>
        <v>2230875.6141255628</v>
      </c>
      <c r="AQ1531" s="2">
        <f t="shared" ca="1" si="1467"/>
        <v>737649.10029490455</v>
      </c>
      <c r="AR1531" s="2">
        <f t="shared" ca="1" si="1468"/>
        <v>835826.89604232146</v>
      </c>
      <c r="AS1531" s="2">
        <f t="shared" ca="1" si="1469"/>
        <v>913775.14312774187</v>
      </c>
      <c r="AT1531" s="2">
        <f t="shared" ca="1" si="1470"/>
        <v>996014.74146754423</v>
      </c>
      <c r="AU1531" s="2">
        <f t="shared" ca="1" si="1471"/>
        <v>1082781.9464783294</v>
      </c>
      <c r="AV1531" s="2">
        <f t="shared" ca="1" si="1472"/>
        <v>2099462.8239162667</v>
      </c>
      <c r="AW1531" s="2">
        <f t="shared" ca="1" si="1473"/>
        <v>2352276.9054940632</v>
      </c>
      <c r="AX1531" s="2">
        <f t="shared" ca="1" si="1474"/>
        <v>2572664.3488493348</v>
      </c>
      <c r="AY1531" s="2">
        <f t="shared" ca="1" si="1475"/>
        <v>2805184.9698815374</v>
      </c>
      <c r="AZ1531" s="2">
        <f t="shared" ca="1" si="1476"/>
        <v>3050506.7467581136</v>
      </c>
      <c r="BA1531" s="2">
        <f t="shared" ca="1" si="1477"/>
        <v>56371096.532593943</v>
      </c>
      <c r="BB1531" s="2">
        <f t="shared" ca="1" si="1478"/>
        <v>1127421.9306518789</v>
      </c>
      <c r="BC1531" s="2">
        <f t="shared" ca="1" si="1479"/>
        <v>30456167.778324701</v>
      </c>
      <c r="BD1531" s="2">
        <f t="shared" ca="1" si="1480"/>
        <v>-18057817.333395634</v>
      </c>
      <c r="BE1531" s="2">
        <f t="shared" ca="1" si="1481"/>
        <v>2099462.8239162667</v>
      </c>
      <c r="BF1531" s="2">
        <f t="shared" ca="1" si="1482"/>
        <v>2352276.9054940632</v>
      </c>
      <c r="BG1531" s="2">
        <f t="shared" ca="1" si="1483"/>
        <v>2572664.3488493348</v>
      </c>
      <c r="BH1531" s="2">
        <f t="shared" ca="1" si="1484"/>
        <v>2805184.9698815374</v>
      </c>
      <c r="BI1531" s="2">
        <f t="shared" ca="1" si="1485"/>
        <v>33506674.525082815</v>
      </c>
      <c r="BJ1531" s="2">
        <f t="shared" ca="1" si="1486"/>
        <v>0.22525035527307602</v>
      </c>
      <c r="BK1531" s="2">
        <f t="shared" ca="1" si="1487"/>
        <v>8318428.1932137199</v>
      </c>
    </row>
    <row r="1532" spans="1:63" x14ac:dyDescent="0.3">
      <c r="A1532" s="2">
        <v>1531</v>
      </c>
      <c r="B1532" s="2">
        <f t="shared" ca="1" si="1426"/>
        <v>0.34693658301348562</v>
      </c>
      <c r="C1532" s="2">
        <f t="shared" ca="1" si="1427"/>
        <v>6.8329904957602885</v>
      </c>
      <c r="D1532" s="2">
        <f t="shared" ca="1" si="1428"/>
        <v>0.99182195139353702</v>
      </c>
      <c r="E1532" s="2">
        <f t="shared" ca="1" si="1429"/>
        <v>8.372109041707688</v>
      </c>
      <c r="F1532" s="2">
        <f t="shared" ca="1" si="1430"/>
        <v>0.96351148659942065</v>
      </c>
      <c r="G1532" s="2">
        <f t="shared" ca="1" si="1431"/>
        <v>9.3789230267893903E-2</v>
      </c>
      <c r="H1532" s="2">
        <f t="shared" ca="1" si="1432"/>
        <v>9.3789230267893903E-2</v>
      </c>
      <c r="I1532" s="2">
        <f t="shared" ca="1" si="1433"/>
        <v>0.82390126080544435</v>
      </c>
      <c r="J1532" s="2">
        <f t="shared" ca="1" si="1434"/>
        <v>1.4651676769269791E-2</v>
      </c>
      <c r="K1532" s="2">
        <f t="shared" ca="1" si="1435"/>
        <v>1.4651676769269791E-2</v>
      </c>
      <c r="L1532" s="2">
        <f t="shared" ca="1" si="1436"/>
        <v>4.5051180041725813E-2</v>
      </c>
      <c r="M1532" s="2">
        <f t="shared" ca="1" si="1437"/>
        <v>-3.389716016273752E-2</v>
      </c>
      <c r="N1532" s="2">
        <f t="shared" ca="1" si="1438"/>
        <v>-3.389716016273752E-2</v>
      </c>
      <c r="O1532" s="2">
        <f t="shared" si="1439"/>
        <v>6000000</v>
      </c>
      <c r="P1532" s="2">
        <f t="shared" ca="1" si="1440"/>
        <v>40997942.974561729</v>
      </c>
      <c r="Q1532" s="2">
        <f t="shared" ca="1" si="1441"/>
        <v>1024948.5743640433</v>
      </c>
      <c r="R1532" s="2">
        <f t="shared" ca="1" si="1442"/>
        <v>24598765.784737036</v>
      </c>
      <c r="S1532" s="2">
        <f t="shared" ca="1" si="1443"/>
        <v>16399177.189824693</v>
      </c>
      <c r="T1532" s="2">
        <f t="shared" ca="1" si="1444"/>
        <v>48305141.991863124</v>
      </c>
      <c r="U1532" s="2">
        <f t="shared" ca="1" si="1445"/>
        <v>52835644.077261291</v>
      </c>
      <c r="V1532" s="2">
        <f t="shared" ca="1" si="1446"/>
        <v>57791058.465976037</v>
      </c>
      <c r="W1532" s="2">
        <f t="shared" ca="1" si="1447"/>
        <v>63211237.35586679</v>
      </c>
      <c r="X1532" s="2">
        <f t="shared" ca="1" si="1448"/>
        <v>69139770.651754677</v>
      </c>
      <c r="Y1532" s="2">
        <f t="shared" ca="1" si="1449"/>
        <v>0.1273258383846349</v>
      </c>
      <c r="Z1532" s="2">
        <f t="shared" ca="1" si="1450"/>
        <v>0.13025617373848886</v>
      </c>
      <c r="AA1532" s="2">
        <f t="shared" ca="1" si="1451"/>
        <v>6150492.702402805</v>
      </c>
      <c r="AB1532" s="2">
        <f t="shared" ca="1" si="1452"/>
        <v>6882168.8345127068</v>
      </c>
      <c r="AC1532" s="2">
        <f t="shared" ca="1" si="1453"/>
        <v>7527642.1520753419</v>
      </c>
      <c r="AD1532" s="2">
        <f t="shared" ca="1" si="1454"/>
        <v>8233653.9152506413</v>
      </c>
      <c r="AE1532" s="2">
        <f t="shared" ca="1" si="1455"/>
        <v>9005881.9782542307</v>
      </c>
      <c r="AF1532" s="2">
        <f t="shared" ca="1" si="1456"/>
        <v>966102.83983726252</v>
      </c>
      <c r="AG1532" s="2">
        <f t="shared" ca="1" si="1457"/>
        <v>1056712.8815452259</v>
      </c>
      <c r="AH1532" s="2">
        <f t="shared" ca="1" si="1458"/>
        <v>1155821.1693195207</v>
      </c>
      <c r="AI1532" s="2">
        <f t="shared" ca="1" si="1459"/>
        <v>1264224.7471173359</v>
      </c>
      <c r="AJ1532" s="2">
        <f t="shared" ca="1" si="1460"/>
        <v>1382795.4130350936</v>
      </c>
      <c r="AK1532" s="2">
        <f t="shared" ca="1" si="1461"/>
        <v>0</v>
      </c>
      <c r="AL1532" s="2">
        <f t="shared" ca="1" si="1462"/>
        <v>45305.020853981674</v>
      </c>
      <c r="AM1532" s="2">
        <f t="shared" ca="1" si="1463"/>
        <v>49554.14388714746</v>
      </c>
      <c r="AN1532" s="2">
        <f t="shared" ca="1" si="1464"/>
        <v>54201.788898907529</v>
      </c>
      <c r="AO1532" s="2">
        <f t="shared" ca="1" si="1465"/>
        <v>59285.332958878877</v>
      </c>
      <c r="AP1532" s="2">
        <f t="shared" ca="1" si="1466"/>
        <v>2213888.920626333</v>
      </c>
      <c r="AQ1532" s="2">
        <f t="shared" ca="1" si="1467"/>
        <v>772330.24490419449</v>
      </c>
      <c r="AR1532" s="2">
        <f t="shared" ca="1" si="1468"/>
        <v>939007.42840869841</v>
      </c>
      <c r="AS1532" s="2">
        <f t="shared" ca="1" si="1469"/>
        <v>1081062.336153667</v>
      </c>
      <c r="AT1532" s="2">
        <f t="shared" ca="1" si="1470"/>
        <v>1236440.4643518128</v>
      </c>
      <c r="AU1532" s="2">
        <f t="shared" ca="1" si="1471"/>
        <v>1406391.387594129</v>
      </c>
      <c r="AV1532" s="2">
        <f t="shared" ca="1" si="1472"/>
        <v>2198170.6970350146</v>
      </c>
      <c r="AW1532" s="2">
        <f t="shared" ca="1" si="1473"/>
        <v>2627254.5830784682</v>
      </c>
      <c r="AX1532" s="2">
        <f t="shared" ca="1" si="1474"/>
        <v>3027315.5820886735</v>
      </c>
      <c r="AY1532" s="2">
        <f t="shared" ca="1" si="1475"/>
        <v>3464897.9942562524</v>
      </c>
      <c r="AZ1532" s="2">
        <f t="shared" ca="1" si="1476"/>
        <v>3943520.924039796</v>
      </c>
      <c r="BA1532" s="2">
        <f t="shared" ca="1" si="1477"/>
        <v>75398225.938694566</v>
      </c>
      <c r="BB1532" s="2">
        <f t="shared" ca="1" si="1478"/>
        <v>1507964.5187738913</v>
      </c>
      <c r="BC1532" s="2">
        <f t="shared" ca="1" si="1479"/>
        <v>49291495.63518364</v>
      </c>
      <c r="BD1532" s="2">
        <f t="shared" ca="1" si="1480"/>
        <v>-17924125.764188737</v>
      </c>
      <c r="BE1532" s="2">
        <f t="shared" ca="1" si="1481"/>
        <v>2198170.6970350146</v>
      </c>
      <c r="BF1532" s="2">
        <f t="shared" ca="1" si="1482"/>
        <v>2627254.5830784682</v>
      </c>
      <c r="BG1532" s="2">
        <f t="shared" ca="1" si="1483"/>
        <v>3027315.5820886735</v>
      </c>
      <c r="BH1532" s="2">
        <f t="shared" ca="1" si="1484"/>
        <v>3464897.9942562524</v>
      </c>
      <c r="BI1532" s="2">
        <f t="shared" ca="1" si="1485"/>
        <v>53235016.559223436</v>
      </c>
      <c r="BJ1532" s="2">
        <f t="shared" ca="1" si="1486"/>
        <v>0.33702433708853863</v>
      </c>
      <c r="BK1532" s="2">
        <f t="shared" ca="1" si="1487"/>
        <v>20696724.723010935</v>
      </c>
    </row>
    <row r="1533" spans="1:63" x14ac:dyDescent="0.3">
      <c r="A1533" s="2">
        <v>1532</v>
      </c>
      <c r="B1533" s="2">
        <f t="shared" ca="1" si="1426"/>
        <v>0.2855334193468011</v>
      </c>
      <c r="C1533" s="2">
        <f t="shared" ca="1" si="1427"/>
        <v>6.7556896444266004</v>
      </c>
      <c r="D1533" s="2">
        <f t="shared" ca="1" si="1428"/>
        <v>0.6046594630450266</v>
      </c>
      <c r="E1533" s="2">
        <f t="shared" ca="1" si="1429"/>
        <v>7.610797506801771</v>
      </c>
      <c r="F1533" s="2">
        <f t="shared" ca="1" si="1430"/>
        <v>0.20227877977496833</v>
      </c>
      <c r="G1533" s="2">
        <f t="shared" ca="1" si="1431"/>
        <v>1.4994721241290802E-2</v>
      </c>
      <c r="H1533" s="2">
        <f t="shared" ca="1" si="1432"/>
        <v>1.4994721241290802E-2</v>
      </c>
      <c r="I1533" s="2">
        <f t="shared" ca="1" si="1433"/>
        <v>3.2129116590108975E-2</v>
      </c>
      <c r="J1533" s="2">
        <f t="shared" ca="1" si="1434"/>
        <v>7.4808033871817496E-4</v>
      </c>
      <c r="K1533" s="2">
        <f t="shared" ca="1" si="1435"/>
        <v>7.4808033871817496E-4</v>
      </c>
      <c r="L1533" s="2">
        <f t="shared" ca="1" si="1436"/>
        <v>0.19002582917438704</v>
      </c>
      <c r="M1533" s="2">
        <f t="shared" ca="1" si="1437"/>
        <v>-1.7556022334306677E-2</v>
      </c>
      <c r="N1533" s="2">
        <f t="shared" ca="1" si="1438"/>
        <v>-1.7556022334306677E-2</v>
      </c>
      <c r="O1533" s="2">
        <f t="shared" si="1439"/>
        <v>6000000</v>
      </c>
      <c r="P1533" s="2">
        <f t="shared" ca="1" si="1440"/>
        <v>40534137.866559602</v>
      </c>
      <c r="Q1533" s="2">
        <f t="shared" ca="1" si="1441"/>
        <v>1013353.4466639902</v>
      </c>
      <c r="R1533" s="2">
        <f t="shared" ca="1" si="1442"/>
        <v>24320482.71993576</v>
      </c>
      <c r="S1533" s="2">
        <f t="shared" ca="1" si="1443"/>
        <v>16213655.146623842</v>
      </c>
      <c r="T1533" s="2">
        <f t="shared" ca="1" si="1444"/>
        <v>49122198.883284666</v>
      </c>
      <c r="U1533" s="2">
        <f t="shared" ca="1" si="1445"/>
        <v>49858772.562298767</v>
      </c>
      <c r="V1533" s="2">
        <f t="shared" ca="1" si="1446"/>
        <v>50606390.958303362</v>
      </c>
      <c r="W1533" s="2">
        <f t="shared" ca="1" si="1447"/>
        <v>51365219.683750905</v>
      </c>
      <c r="X1533" s="2">
        <f t="shared" ca="1" si="1448"/>
        <v>52135426.834406413</v>
      </c>
      <c r="Y1533" s="2">
        <f t="shared" ca="1" si="1449"/>
        <v>0.12037404016935908</v>
      </c>
      <c r="Z1533" s="2">
        <f t="shared" ca="1" si="1450"/>
        <v>0.12052365623710272</v>
      </c>
      <c r="AA1533" s="2">
        <f t="shared" ca="1" si="1451"/>
        <v>5913037.5415837541</v>
      </c>
      <c r="AB1533" s="2">
        <f t="shared" ca="1" si="1452"/>
        <v>6009161.564702386</v>
      </c>
      <c r="AC1533" s="2">
        <f t="shared" ca="1" si="1453"/>
        <v>6099267.2672589775</v>
      </c>
      <c r="AD1533" s="2">
        <f t="shared" ca="1" si="1454"/>
        <v>6190724.0797076561</v>
      </c>
      <c r="AE1533" s="2">
        <f t="shared" ca="1" si="1455"/>
        <v>6283552.2615646189</v>
      </c>
      <c r="AF1533" s="2">
        <f t="shared" ca="1" si="1456"/>
        <v>982443.97766569338</v>
      </c>
      <c r="AG1533" s="2">
        <f t="shared" ca="1" si="1457"/>
        <v>997175.45124597533</v>
      </c>
      <c r="AH1533" s="2">
        <f t="shared" ca="1" si="1458"/>
        <v>1012127.8191660673</v>
      </c>
      <c r="AI1533" s="2">
        <f t="shared" ca="1" si="1459"/>
        <v>1027304.3936750181</v>
      </c>
      <c r="AJ1533" s="2">
        <f t="shared" ca="1" si="1460"/>
        <v>1042708.5366881283</v>
      </c>
      <c r="AK1533" s="2">
        <f t="shared" ca="1" si="1461"/>
        <v>0</v>
      </c>
      <c r="AL1533" s="2">
        <f t="shared" ca="1" si="1462"/>
        <v>7365.7367901410162</v>
      </c>
      <c r="AM1533" s="2">
        <f t="shared" ca="1" si="1463"/>
        <v>7476.1839600459489</v>
      </c>
      <c r="AN1533" s="2">
        <f t="shared" ca="1" si="1464"/>
        <v>7588.28725447543</v>
      </c>
      <c r="AO1533" s="2">
        <f t="shared" ca="1" si="1465"/>
        <v>7702.0715065550803</v>
      </c>
      <c r="AP1533" s="2">
        <f t="shared" ca="1" si="1466"/>
        <v>2188843.4447942185</v>
      </c>
      <c r="AQ1533" s="2">
        <f t="shared" ca="1" si="1467"/>
        <v>712855.03097219893</v>
      </c>
      <c r="AR1533" s="2">
        <f t="shared" ca="1" si="1468"/>
        <v>734017.09385216993</v>
      </c>
      <c r="AS1533" s="2">
        <f t="shared" ca="1" si="1469"/>
        <v>753556.96085765993</v>
      </c>
      <c r="AT1533" s="2">
        <f t="shared" ca="1" si="1470"/>
        <v>773389.82272198913</v>
      </c>
      <c r="AU1533" s="2">
        <f t="shared" ca="1" si="1471"/>
        <v>793520.0728213907</v>
      </c>
      <c r="AV1533" s="2">
        <f t="shared" ca="1" si="1472"/>
        <v>2028895.0881516435</v>
      </c>
      <c r="AW1533" s="2">
        <f t="shared" ca="1" si="1473"/>
        <v>2081759.8380198809</v>
      </c>
      <c r="AX1533" s="2">
        <f t="shared" ca="1" si="1474"/>
        <v>2137262.8584809867</v>
      </c>
      <c r="AY1533" s="2">
        <f t="shared" ca="1" si="1475"/>
        <v>2193598.1312619555</v>
      </c>
      <c r="AZ1533" s="2">
        <f t="shared" ca="1" si="1476"/>
        <v>2250778.1357543259</v>
      </c>
      <c r="BA1533" s="2">
        <f t="shared" ca="1" si="1477"/>
        <v>47822843.886174634</v>
      </c>
      <c r="BB1533" s="2">
        <f t="shared" ca="1" si="1478"/>
        <v>956456.87772349268</v>
      </c>
      <c r="BC1533" s="2">
        <f t="shared" ca="1" si="1479"/>
        <v>22545904.288515382</v>
      </c>
      <c r="BD1533" s="2">
        <f t="shared" ca="1" si="1480"/>
        <v>-17727008.593287833</v>
      </c>
      <c r="BE1533" s="2">
        <f t="shared" ca="1" si="1481"/>
        <v>2028895.0881516435</v>
      </c>
      <c r="BF1533" s="2">
        <f t="shared" ca="1" si="1482"/>
        <v>2081759.8380198809</v>
      </c>
      <c r="BG1533" s="2">
        <f t="shared" ca="1" si="1483"/>
        <v>2137262.8584809867</v>
      </c>
      <c r="BH1533" s="2">
        <f t="shared" ca="1" si="1484"/>
        <v>2193598.1312619555</v>
      </c>
      <c r="BI1533" s="2">
        <f t="shared" ca="1" si="1485"/>
        <v>24796682.424269706</v>
      </c>
      <c r="BJ1533" s="2">
        <f t="shared" ca="1" si="1486"/>
        <v>0.15929887461916103</v>
      </c>
      <c r="BK1533" s="2">
        <f t="shared" ca="1" si="1487"/>
        <v>2729707.3721572198</v>
      </c>
    </row>
    <row r="1534" spans="1:63" x14ac:dyDescent="0.3">
      <c r="A1534" s="2">
        <v>1533</v>
      </c>
      <c r="B1534" s="2">
        <f t="shared" ca="1" si="1426"/>
        <v>7.8500835356742016E-2</v>
      </c>
      <c r="C1534" s="2">
        <f t="shared" ca="1" si="1427"/>
        <v>6.3962343633677978</v>
      </c>
      <c r="D1534" s="2">
        <f t="shared" ca="1" si="1428"/>
        <v>0.81605404236983237</v>
      </c>
      <c r="E1534" s="2">
        <f t="shared" ca="1" si="1429"/>
        <v>7.8934590572266901</v>
      </c>
      <c r="F1534" s="2">
        <f t="shared" ca="1" si="1430"/>
        <v>0.81590190822210318</v>
      </c>
      <c r="G1534" s="2">
        <f t="shared" ca="1" si="1431"/>
        <v>6.6995719718354108E-2</v>
      </c>
      <c r="H1534" s="2">
        <f t="shared" ca="1" si="1432"/>
        <v>6.6995719718354108E-2</v>
      </c>
      <c r="I1534" s="2">
        <f t="shared" ca="1" si="1433"/>
        <v>0.43410501078996777</v>
      </c>
      <c r="J1534" s="2">
        <f t="shared" ca="1" si="1434"/>
        <v>9.1703371877815566E-3</v>
      </c>
      <c r="K1534" s="2">
        <f t="shared" ca="1" si="1435"/>
        <v>9.1703371877815566E-3</v>
      </c>
      <c r="L1534" s="2">
        <f t="shared" ca="1" si="1436"/>
        <v>0.8856207461738741</v>
      </c>
      <c r="M1534" s="2">
        <f t="shared" ca="1" si="1437"/>
        <v>2.407126102884536E-2</v>
      </c>
      <c r="N1534" s="2">
        <f t="shared" ca="1" si="1438"/>
        <v>2.407126102884536E-2</v>
      </c>
      <c r="O1534" s="2">
        <f t="shared" si="1439"/>
        <v>6000000</v>
      </c>
      <c r="P1534" s="2">
        <f t="shared" ca="1" si="1440"/>
        <v>38377406.180206791</v>
      </c>
      <c r="Q1534" s="2">
        <f t="shared" ca="1" si="1441"/>
        <v>959435.15450516983</v>
      </c>
      <c r="R1534" s="2">
        <f t="shared" ca="1" si="1442"/>
        <v>23026443.708124075</v>
      </c>
      <c r="S1534" s="2">
        <f t="shared" ca="1" si="1443"/>
        <v>15350962.472082717</v>
      </c>
      <c r="T1534" s="2">
        <f t="shared" ca="1" si="1444"/>
        <v>51203563.051442266</v>
      </c>
      <c r="U1534" s="2">
        <f t="shared" ca="1" si="1445"/>
        <v>54633982.610217765</v>
      </c>
      <c r="V1534" s="2">
        <f t="shared" ca="1" si="1446"/>
        <v>58294225.596269347</v>
      </c>
      <c r="W1534" s="2">
        <f t="shared" ca="1" si="1447"/>
        <v>62199689.195515513</v>
      </c>
      <c r="X1534" s="2">
        <f t="shared" ca="1" si="1448"/>
        <v>66366802.139427014</v>
      </c>
      <c r="Y1534" s="2">
        <f t="shared" ca="1" si="1449"/>
        <v>0.12458516859389078</v>
      </c>
      <c r="Z1534" s="2">
        <f t="shared" ca="1" si="1450"/>
        <v>0.12641923603144709</v>
      </c>
      <c r="AA1534" s="2">
        <f t="shared" ca="1" si="1451"/>
        <v>6379204.5353718512</v>
      </c>
      <c r="AB1534" s="2">
        <f t="shared" ca="1" si="1452"/>
        <v>6906786.3429390956</v>
      </c>
      <c r="AC1534" s="2">
        <f t="shared" ca="1" si="1453"/>
        <v>7369511.4649251988</v>
      </c>
      <c r="AD1534" s="2">
        <f t="shared" ca="1" si="1454"/>
        <v>7863237.1894905251</v>
      </c>
      <c r="AE1534" s="2">
        <f t="shared" ca="1" si="1455"/>
        <v>8390040.4243165702</v>
      </c>
      <c r="AF1534" s="2">
        <f t="shared" ca="1" si="1456"/>
        <v>1024071.2610288453</v>
      </c>
      <c r="AG1534" s="2">
        <f t="shared" ca="1" si="1457"/>
        <v>1092679.6522043552</v>
      </c>
      <c r="AH1534" s="2">
        <f t="shared" ca="1" si="1458"/>
        <v>1165884.511925387</v>
      </c>
      <c r="AI1534" s="2">
        <f t="shared" ca="1" si="1459"/>
        <v>1243993.7839103104</v>
      </c>
      <c r="AJ1534" s="2">
        <f t="shared" ca="1" si="1460"/>
        <v>1327336.0427885402</v>
      </c>
      <c r="AK1534" s="2">
        <f t="shared" ca="1" si="1461"/>
        <v>0</v>
      </c>
      <c r="AL1534" s="2">
        <f t="shared" ca="1" si="1462"/>
        <v>34304.195587754992</v>
      </c>
      <c r="AM1534" s="2">
        <f t="shared" ca="1" si="1463"/>
        <v>36602.429860515818</v>
      </c>
      <c r="AN1534" s="2">
        <f t="shared" ca="1" si="1464"/>
        <v>39054.63599246167</v>
      </c>
      <c r="AO1534" s="2">
        <f t="shared" ca="1" si="1465"/>
        <v>41671.129439115</v>
      </c>
      <c r="AP1534" s="2">
        <f t="shared" ca="1" si="1466"/>
        <v>2072379.9337311666</v>
      </c>
      <c r="AQ1534" s="2">
        <f t="shared" ca="1" si="1467"/>
        <v>853515.86855907831</v>
      </c>
      <c r="AR1534" s="2">
        <f t="shared" ca="1" si="1468"/>
        <v>972848.95682092919</v>
      </c>
      <c r="AS1534" s="2">
        <f t="shared" ca="1" si="1469"/>
        <v>1074124.2250098477</v>
      </c>
      <c r="AT1534" s="2">
        <f t="shared" ca="1" si="1470"/>
        <v>1182184.5026807527</v>
      </c>
      <c r="AU1534" s="2">
        <f t="shared" ca="1" si="1471"/>
        <v>1297484.3564271845</v>
      </c>
      <c r="AV1534" s="2">
        <f t="shared" ca="1" si="1472"/>
        <v>2429237.4720527614</v>
      </c>
      <c r="AW1534" s="2">
        <f t="shared" ca="1" si="1473"/>
        <v>2734573.6045948891</v>
      </c>
      <c r="AX1534" s="2">
        <f t="shared" ca="1" si="1474"/>
        <v>3020520.364398282</v>
      </c>
      <c r="AY1534" s="2">
        <f t="shared" ca="1" si="1475"/>
        <v>3325624.3331758343</v>
      </c>
      <c r="AZ1534" s="2">
        <f t="shared" ca="1" si="1476"/>
        <v>3651168.9619305646</v>
      </c>
      <c r="BA1534" s="2">
        <f t="shared" ca="1" si="1477"/>
        <v>66226440.57781969</v>
      </c>
      <c r="BB1534" s="2">
        <f t="shared" ca="1" si="1478"/>
        <v>1324528.8115563937</v>
      </c>
      <c r="BC1534" s="2">
        <f t="shared" ca="1" si="1479"/>
        <v>41875468.058139227</v>
      </c>
      <c r="BD1534" s="2">
        <f t="shared" ca="1" si="1480"/>
        <v>-16810397.626587886</v>
      </c>
      <c r="BE1534" s="2">
        <f t="shared" ca="1" si="1481"/>
        <v>2429237.4720527614</v>
      </c>
      <c r="BF1534" s="2">
        <f t="shared" ca="1" si="1482"/>
        <v>2734573.6045948891</v>
      </c>
      <c r="BG1534" s="2">
        <f t="shared" ca="1" si="1483"/>
        <v>3020520.364398282</v>
      </c>
      <c r="BH1534" s="2">
        <f t="shared" ca="1" si="1484"/>
        <v>3325624.3331758343</v>
      </c>
      <c r="BI1534" s="2">
        <f t="shared" ca="1" si="1485"/>
        <v>45526637.020069793</v>
      </c>
      <c r="BJ1534" s="2">
        <f t="shared" ca="1" si="1486"/>
        <v>0.32704277812217319</v>
      </c>
      <c r="BK1534" s="2">
        <f t="shared" ca="1" si="1487"/>
        <v>17635027.352279615</v>
      </c>
    </row>
    <row r="1535" spans="1:63" x14ac:dyDescent="0.3">
      <c r="A1535" s="2">
        <v>1534</v>
      </c>
      <c r="B1535" s="2">
        <f t="shared" ca="1" si="1426"/>
        <v>0.95518855064837949</v>
      </c>
      <c r="C1535" s="2">
        <f t="shared" ca="1" si="1427"/>
        <v>7.7006291619024303</v>
      </c>
      <c r="D1535" s="2">
        <f t="shared" ca="1" si="1428"/>
        <v>0.1518246832013328</v>
      </c>
      <c r="E1535" s="2">
        <f t="shared" ca="1" si="1429"/>
        <v>7.0510438879097252</v>
      </c>
      <c r="F1535" s="2">
        <f t="shared" ca="1" si="1430"/>
        <v>0.73217415517369444</v>
      </c>
      <c r="G1535" s="2">
        <f t="shared" ca="1" si="1431"/>
        <v>5.8582054273084924E-2</v>
      </c>
      <c r="H1535" s="2">
        <f t="shared" ca="1" si="1432"/>
        <v>5.8582054273084924E-2</v>
      </c>
      <c r="I1535" s="2">
        <f t="shared" ca="1" si="1433"/>
        <v>0.21789829682867889</v>
      </c>
      <c r="J1535" s="2">
        <f t="shared" ca="1" si="1434"/>
        <v>6.1034454855569079E-3</v>
      </c>
      <c r="K1535" s="2">
        <f t="shared" ca="1" si="1435"/>
        <v>6.1034454855569079E-3</v>
      </c>
      <c r="L1535" s="2">
        <f t="shared" ca="1" si="1436"/>
        <v>0.52741018291050623</v>
      </c>
      <c r="M1535" s="2">
        <f t="shared" ca="1" si="1437"/>
        <v>1.3752257258907526E-3</v>
      </c>
      <c r="N1535" s="2">
        <f t="shared" ca="1" si="1438"/>
        <v>1.3752257258907526E-3</v>
      </c>
      <c r="O1535" s="2">
        <f t="shared" si="1439"/>
        <v>6000000</v>
      </c>
      <c r="P1535" s="2">
        <f t="shared" ca="1" si="1440"/>
        <v>46203774.971414581</v>
      </c>
      <c r="Q1535" s="2">
        <f t="shared" ca="1" si="1441"/>
        <v>1155094.3742853645</v>
      </c>
      <c r="R1535" s="2">
        <f t="shared" ca="1" si="1442"/>
        <v>27722264.982848749</v>
      </c>
      <c r="S1535" s="2">
        <f t="shared" ca="1" si="1443"/>
        <v>18481509.988565832</v>
      </c>
      <c r="T1535" s="2">
        <f t="shared" ca="1" si="1444"/>
        <v>50068761.286294542</v>
      </c>
      <c r="U1535" s="2">
        <f t="shared" ca="1" si="1445"/>
        <v>53001892.17735438</v>
      </c>
      <c r="V1535" s="2">
        <f t="shared" ca="1" si="1446"/>
        <v>56106851.901464343</v>
      </c>
      <c r="W1535" s="2">
        <f t="shared" ca="1" si="1447"/>
        <v>59393706.544647858</v>
      </c>
      <c r="X1535" s="2">
        <f t="shared" ca="1" si="1448"/>
        <v>62873111.884926088</v>
      </c>
      <c r="Y1535" s="2">
        <f t="shared" ca="1" si="1449"/>
        <v>0.12305172274277845</v>
      </c>
      <c r="Z1535" s="2">
        <f t="shared" ca="1" si="1450"/>
        <v>0.12427241183988982</v>
      </c>
      <c r="AA1535" s="2">
        <f t="shared" ca="1" si="1451"/>
        <v>6161047.3318754751</v>
      </c>
      <c r="AB1535" s="2">
        <f t="shared" ca="1" si="1452"/>
        <v>6586672.9729576185</v>
      </c>
      <c r="AC1535" s="2">
        <f t="shared" ca="1" si="1453"/>
        <v>6972533.8065384822</v>
      </c>
      <c r="AD1535" s="2">
        <f t="shared" ca="1" si="1454"/>
        <v>7380999.1604140382</v>
      </c>
      <c r="AE1535" s="2">
        <f t="shared" ca="1" si="1455"/>
        <v>7813393.2538190065</v>
      </c>
      <c r="AF1535" s="2">
        <f t="shared" ca="1" si="1456"/>
        <v>1001375.2257258908</v>
      </c>
      <c r="AG1535" s="2">
        <f t="shared" ca="1" si="1457"/>
        <v>1060037.8435470876</v>
      </c>
      <c r="AH1535" s="2">
        <f t="shared" ca="1" si="1458"/>
        <v>1122137.0380292868</v>
      </c>
      <c r="AI1535" s="2">
        <f t="shared" ca="1" si="1459"/>
        <v>1187874.1308929571</v>
      </c>
      <c r="AJ1535" s="2">
        <f t="shared" ca="1" si="1460"/>
        <v>1257462.2376985217</v>
      </c>
      <c r="AK1535" s="2">
        <f t="shared" ca="1" si="1461"/>
        <v>0</v>
      </c>
      <c r="AL1535" s="2">
        <f t="shared" ca="1" si="1462"/>
        <v>29331.308910598382</v>
      </c>
      <c r="AM1535" s="2">
        <f t="shared" ca="1" si="1463"/>
        <v>31049.597241099626</v>
      </c>
      <c r="AN1535" s="2">
        <f t="shared" ca="1" si="1464"/>
        <v>32868.546431835144</v>
      </c>
      <c r="AO1535" s="2">
        <f t="shared" ca="1" si="1465"/>
        <v>34794.053402782309</v>
      </c>
      <c r="AP1535" s="2">
        <f t="shared" ca="1" si="1466"/>
        <v>2495003.8484563874</v>
      </c>
      <c r="AQ1535" s="2">
        <f t="shared" ca="1" si="1467"/>
        <v>692813.74700023117</v>
      </c>
      <c r="AR1535" s="2">
        <f t="shared" ca="1" si="1468"/>
        <v>788224.13304807746</v>
      </c>
      <c r="AS1535" s="2">
        <f t="shared" ca="1" si="1469"/>
        <v>872402.15921373002</v>
      </c>
      <c r="AT1535" s="2">
        <f t="shared" ca="1" si="1470"/>
        <v>961511.50707682048</v>
      </c>
      <c r="AU1535" s="2">
        <f t="shared" ca="1" si="1471"/>
        <v>1055841.0635926654</v>
      </c>
      <c r="AV1535" s="2">
        <f t="shared" ca="1" si="1472"/>
        <v>1971854.5106929652</v>
      </c>
      <c r="AW1535" s="2">
        <f t="shared" ca="1" si="1473"/>
        <v>2214075.8389954688</v>
      </c>
      <c r="AX1535" s="2">
        <f t="shared" ca="1" si="1474"/>
        <v>2451941.1635979777</v>
      </c>
      <c r="AY1535" s="2">
        <f t="shared" ca="1" si="1475"/>
        <v>2703741.127556039</v>
      </c>
      <c r="AZ1535" s="2">
        <f t="shared" ca="1" si="1476"/>
        <v>2970292.0506686503</v>
      </c>
      <c r="BA1535" s="2">
        <f t="shared" ca="1" si="1477"/>
        <v>55092578.746175587</v>
      </c>
      <c r="BB1535" s="2">
        <f t="shared" ca="1" si="1478"/>
        <v>1101851.5749235118</v>
      </c>
      <c r="BC1535" s="2">
        <f t="shared" ca="1" si="1479"/>
        <v>26268462.188403327</v>
      </c>
      <c r="BD1535" s="2">
        <f t="shared" ca="1" si="1480"/>
        <v>-20136604.362851195</v>
      </c>
      <c r="BE1535" s="2">
        <f t="shared" ca="1" si="1481"/>
        <v>1971854.5106929652</v>
      </c>
      <c r="BF1535" s="2">
        <f t="shared" ca="1" si="1482"/>
        <v>2214075.8389954688</v>
      </c>
      <c r="BG1535" s="2">
        <f t="shared" ca="1" si="1483"/>
        <v>2451941.1635979777</v>
      </c>
      <c r="BH1535" s="2">
        <f t="shared" ca="1" si="1484"/>
        <v>2703741.127556039</v>
      </c>
      <c r="BI1535" s="2">
        <f t="shared" ca="1" si="1485"/>
        <v>29238754.239071976</v>
      </c>
      <c r="BJ1535" s="2">
        <f t="shared" ca="1" si="1486"/>
        <v>0.16265233939445389</v>
      </c>
      <c r="BK1535" s="2">
        <f t="shared" ca="1" si="1487"/>
        <v>3443401.7629205883</v>
      </c>
    </row>
    <row r="1536" spans="1:63" x14ac:dyDescent="0.3">
      <c r="A1536" s="2">
        <v>1535</v>
      </c>
      <c r="B1536" s="2">
        <f t="shared" ca="1" si="1426"/>
        <v>0.88563115174201024</v>
      </c>
      <c r="C1536" s="2">
        <f t="shared" ca="1" si="1427"/>
        <v>7.5217347006984729</v>
      </c>
      <c r="D1536" s="2">
        <f t="shared" ca="1" si="1428"/>
        <v>0.23228316389781911</v>
      </c>
      <c r="E1536" s="2">
        <f t="shared" ca="1" si="1429"/>
        <v>7.1815910267863261</v>
      </c>
      <c r="F1536" s="2">
        <f t="shared" ca="1" si="1430"/>
        <v>0.16909693065160958</v>
      </c>
      <c r="G1536" s="2">
        <f t="shared" ca="1" si="1431"/>
        <v>1.1267798818635513E-2</v>
      </c>
      <c r="H1536" s="2">
        <f t="shared" ca="1" si="1432"/>
        <v>1.1267798818635513E-2</v>
      </c>
      <c r="I1536" s="2">
        <f t="shared" ca="1" si="1433"/>
        <v>0.56270294958214007</v>
      </c>
      <c r="J1536" s="2">
        <f t="shared" ca="1" si="1434"/>
        <v>1.0789128791559412E-2</v>
      </c>
      <c r="K1536" s="2">
        <f t="shared" ca="1" si="1435"/>
        <v>1.0789128791559412E-2</v>
      </c>
      <c r="L1536" s="2">
        <f t="shared" ca="1" si="1436"/>
        <v>0.33162491793208404</v>
      </c>
      <c r="M1536" s="2">
        <f t="shared" ca="1" si="1437"/>
        <v>-8.7086138555302148E-3</v>
      </c>
      <c r="N1536" s="2">
        <f t="shared" ca="1" si="1438"/>
        <v>-8.7086138555302148E-3</v>
      </c>
      <c r="O1536" s="2">
        <f t="shared" si="1439"/>
        <v>6000000</v>
      </c>
      <c r="P1536" s="2">
        <f t="shared" ca="1" si="1440"/>
        <v>45130408.204190835</v>
      </c>
      <c r="Q1536" s="2">
        <f t="shared" ca="1" si="1441"/>
        <v>1128260.2051047708</v>
      </c>
      <c r="R1536" s="2">
        <f t="shared" ca="1" si="1442"/>
        <v>27078244.922514502</v>
      </c>
      <c r="S1536" s="2">
        <f t="shared" ca="1" si="1443"/>
        <v>18052163.281676333</v>
      </c>
      <c r="T1536" s="2">
        <f t="shared" ca="1" si="1444"/>
        <v>49564569.307223491</v>
      </c>
      <c r="U1536" s="2">
        <f t="shared" ca="1" si="1445"/>
        <v>50123052.902709603</v>
      </c>
      <c r="V1536" s="2">
        <f t="shared" ca="1" si="1446"/>
        <v>50687829.378993161</v>
      </c>
      <c r="W1536" s="2">
        <f t="shared" ca="1" si="1447"/>
        <v>51258969.64298898</v>
      </c>
      <c r="X1536" s="2">
        <f t="shared" ca="1" si="1448"/>
        <v>51836545.400576726</v>
      </c>
      <c r="Y1536" s="2">
        <f t="shared" ca="1" si="1449"/>
        <v>0.1253945643957797</v>
      </c>
      <c r="Z1536" s="2">
        <f t="shared" ca="1" si="1450"/>
        <v>0.12755239015409159</v>
      </c>
      <c r="AA1536" s="2">
        <f t="shared" ca="1" si="1451"/>
        <v>6215127.5777437221</v>
      </c>
      <c r="AB1536" s="2">
        <f t="shared" ca="1" si="1452"/>
        <v>6393315.1995605882</v>
      </c>
      <c r="AC1536" s="2">
        <f t="shared" ca="1" si="1453"/>
        <v>6465353.7890133616</v>
      </c>
      <c r="AD1536" s="2">
        <f t="shared" ca="1" si="1454"/>
        <v>6538204.0947992671</v>
      </c>
      <c r="AE1536" s="2">
        <f t="shared" ca="1" si="1455"/>
        <v>6611875.2631746447</v>
      </c>
      <c r="AF1536" s="2">
        <f t="shared" ca="1" si="1456"/>
        <v>991291.38614446984</v>
      </c>
      <c r="AG1536" s="2">
        <f t="shared" ca="1" si="1457"/>
        <v>1002461.0580541921</v>
      </c>
      <c r="AH1536" s="2">
        <f t="shared" ca="1" si="1458"/>
        <v>1013756.5875798633</v>
      </c>
      <c r="AI1536" s="2">
        <f t="shared" ca="1" si="1459"/>
        <v>1025179.3928597796</v>
      </c>
      <c r="AJ1536" s="2">
        <f t="shared" ca="1" si="1460"/>
        <v>1036730.9080115345</v>
      </c>
      <c r="AK1536" s="2">
        <f t="shared" ca="1" si="1461"/>
        <v>0</v>
      </c>
      <c r="AL1536" s="2">
        <f t="shared" ca="1" si="1462"/>
        <v>5584.8359548611197</v>
      </c>
      <c r="AM1536" s="2">
        <f t="shared" ca="1" si="1463"/>
        <v>5647.7647628355771</v>
      </c>
      <c r="AN1536" s="2">
        <f t="shared" ca="1" si="1464"/>
        <v>5711.402639958188</v>
      </c>
      <c r="AO1536" s="2">
        <f t="shared" ca="1" si="1465"/>
        <v>5775.7575758774583</v>
      </c>
      <c r="AP1536" s="2">
        <f t="shared" ca="1" si="1466"/>
        <v>2437042.0430263053</v>
      </c>
      <c r="AQ1536" s="2">
        <f t="shared" ca="1" si="1467"/>
        <v>724566.47862896638</v>
      </c>
      <c r="AR1536" s="2">
        <f t="shared" ca="1" si="1468"/>
        <v>767991.14560482372</v>
      </c>
      <c r="AS1536" s="2">
        <f t="shared" ca="1" si="1469"/>
        <v>783784.34118587023</v>
      </c>
      <c r="AT1536" s="2">
        <f t="shared" ca="1" si="1470"/>
        <v>799755.49131742748</v>
      </c>
      <c r="AU1536" s="2">
        <f t="shared" ca="1" si="1471"/>
        <v>815906.60115556931</v>
      </c>
      <c r="AV1536" s="2">
        <f t="shared" ca="1" si="1472"/>
        <v>2062227.6699439813</v>
      </c>
      <c r="AW1536" s="2">
        <f t="shared" ca="1" si="1473"/>
        <v>2180236.1169204065</v>
      </c>
      <c r="AX1536" s="2">
        <f t="shared" ca="1" si="1474"/>
        <v>2225123.052458487</v>
      </c>
      <c r="AY1536" s="2">
        <f t="shared" ca="1" si="1475"/>
        <v>2270515.7649557968</v>
      </c>
      <c r="AZ1536" s="2">
        <f t="shared" ca="1" si="1476"/>
        <v>2316419.9534053584</v>
      </c>
      <c r="BA1536" s="2">
        <f t="shared" ca="1" si="1477"/>
        <v>47483784.060245506</v>
      </c>
      <c r="BB1536" s="2">
        <f t="shared" ca="1" si="1478"/>
        <v>949675.68120491016</v>
      </c>
      <c r="BC1536" s="2">
        <f t="shared" ca="1" si="1479"/>
        <v>19455863.456526093</v>
      </c>
      <c r="BD1536" s="2">
        <f t="shared" ca="1" si="1480"/>
        <v>-19680423.486781105</v>
      </c>
      <c r="BE1536" s="2">
        <f t="shared" ca="1" si="1481"/>
        <v>2062227.6699439813</v>
      </c>
      <c r="BF1536" s="2">
        <f t="shared" ca="1" si="1482"/>
        <v>2180236.1169204065</v>
      </c>
      <c r="BG1536" s="2">
        <f t="shared" ca="1" si="1483"/>
        <v>2225123.052458487</v>
      </c>
      <c r="BH1536" s="2">
        <f t="shared" ca="1" si="1484"/>
        <v>2270515.7649557968</v>
      </c>
      <c r="BI1536" s="2">
        <f t="shared" ca="1" si="1485"/>
        <v>21772283.409931451</v>
      </c>
      <c r="BJ1536" s="2">
        <f t="shared" ca="1" si="1486"/>
        <v>0.10986837990671661</v>
      </c>
      <c r="BK1536" s="2">
        <f t="shared" ca="1" si="1487"/>
        <v>-720147.12671098113</v>
      </c>
    </row>
    <row r="1537" spans="1:63" x14ac:dyDescent="0.3">
      <c r="A1537" s="2">
        <v>1536</v>
      </c>
      <c r="B1537" s="2">
        <f t="shared" ca="1" si="1426"/>
        <v>0.32826077442579515</v>
      </c>
      <c r="C1537" s="2">
        <f t="shared" ca="1" si="1427"/>
        <v>6.8102601735563644</v>
      </c>
      <c r="D1537" s="2">
        <f t="shared" ca="1" si="1428"/>
        <v>0.76610970068315365</v>
      </c>
      <c r="E1537" s="2">
        <f t="shared" ca="1" si="1429"/>
        <v>7.816055120178758</v>
      </c>
      <c r="F1537" s="2">
        <f t="shared" ca="1" si="1430"/>
        <v>2.9772871668709122E-2</v>
      </c>
      <c r="G1537" s="2">
        <f t="shared" ca="1" si="1431"/>
        <v>-1.652426600511276E-2</v>
      </c>
      <c r="H1537" s="2">
        <f t="shared" ca="1" si="1432"/>
        <v>-1.652426600511276E-2</v>
      </c>
      <c r="I1537" s="2">
        <f t="shared" ca="1" si="1433"/>
        <v>0.58990498278549186</v>
      </c>
      <c r="J1537" s="2">
        <f t="shared" ca="1" si="1434"/>
        <v>1.1136502820946862E-2</v>
      </c>
      <c r="K1537" s="2">
        <f t="shared" ca="1" si="1435"/>
        <v>1.1136502820946862E-2</v>
      </c>
      <c r="L1537" s="2">
        <f t="shared" ca="1" si="1436"/>
        <v>0.54116085871301933</v>
      </c>
      <c r="M1537" s="2">
        <f t="shared" ca="1" si="1437"/>
        <v>2.0671741660306681E-3</v>
      </c>
      <c r="N1537" s="2">
        <f t="shared" ca="1" si="1438"/>
        <v>2.0671741660306681E-3</v>
      </c>
      <c r="O1537" s="2">
        <f t="shared" si="1439"/>
        <v>6000000</v>
      </c>
      <c r="P1537" s="2">
        <f t="shared" ca="1" si="1440"/>
        <v>40861561.041338183</v>
      </c>
      <c r="Q1537" s="2">
        <f t="shared" ca="1" si="1441"/>
        <v>1021539.0260334546</v>
      </c>
      <c r="R1537" s="2">
        <f t="shared" ca="1" si="1442"/>
        <v>24516936.62480291</v>
      </c>
      <c r="S1537" s="2">
        <f t="shared" ca="1" si="1443"/>
        <v>16344624.416535273</v>
      </c>
      <c r="T1537" s="2">
        <f t="shared" ca="1" si="1444"/>
        <v>50103358.708301537</v>
      </c>
      <c r="U1537" s="2">
        <f t="shared" ca="1" si="1445"/>
        <v>49275437.481255978</v>
      </c>
      <c r="V1537" s="2">
        <f t="shared" ca="1" si="1446"/>
        <v>48461197.044797398</v>
      </c>
      <c r="W1537" s="2">
        <f t="shared" ca="1" si="1447"/>
        <v>47660411.333902977</v>
      </c>
      <c r="X1537" s="2">
        <f t="shared" ca="1" si="1448"/>
        <v>46872858.019108474</v>
      </c>
      <c r="Y1537" s="2">
        <f t="shared" ca="1" si="1449"/>
        <v>0.12556825141047342</v>
      </c>
      <c r="Z1537" s="2">
        <f t="shared" ca="1" si="1450"/>
        <v>0.1277955519746628</v>
      </c>
      <c r="AA1537" s="2">
        <f t="shared" ca="1" si="1451"/>
        <v>6291391.1427931404</v>
      </c>
      <c r="AB1537" s="2">
        <f t="shared" ca="1" si="1452"/>
        <v>6297181.7317100959</v>
      </c>
      <c r="AC1537" s="2">
        <f t="shared" ca="1" si="1453"/>
        <v>6193125.4256927809</v>
      </c>
      <c r="AD1537" s="2">
        <f t="shared" ca="1" si="1454"/>
        <v>6090788.5737556061</v>
      </c>
      <c r="AE1537" s="2">
        <f t="shared" ca="1" si="1455"/>
        <v>5990142.7631819667</v>
      </c>
      <c r="AF1537" s="2">
        <f t="shared" ca="1" si="1456"/>
        <v>1002067.1741660307</v>
      </c>
      <c r="AG1537" s="2">
        <f t="shared" ca="1" si="1457"/>
        <v>985508.74962511961</v>
      </c>
      <c r="AH1537" s="2">
        <f t="shared" ca="1" si="1458"/>
        <v>969223.94089594798</v>
      </c>
      <c r="AI1537" s="2">
        <f t="shared" ca="1" si="1459"/>
        <v>953208.22667805955</v>
      </c>
      <c r="AJ1537" s="2">
        <f t="shared" ca="1" si="1460"/>
        <v>937457.16038216953</v>
      </c>
      <c r="AK1537" s="2">
        <f t="shared" ca="1" si="1461"/>
        <v>0</v>
      </c>
      <c r="AL1537" s="2">
        <f t="shared" ca="1" si="1462"/>
        <v>0</v>
      </c>
      <c r="AM1537" s="2">
        <f t="shared" ca="1" si="1463"/>
        <v>0</v>
      </c>
      <c r="AN1537" s="2">
        <f t="shared" ca="1" si="1464"/>
        <v>0</v>
      </c>
      <c r="AO1537" s="2">
        <f t="shared" ca="1" si="1465"/>
        <v>0</v>
      </c>
      <c r="AP1537" s="2">
        <f t="shared" ca="1" si="1466"/>
        <v>2206524.2962322617</v>
      </c>
      <c r="AQ1537" s="2">
        <f t="shared" ca="1" si="1467"/>
        <v>801527.91482266062</v>
      </c>
      <c r="AR1537" s="2">
        <f t="shared" ca="1" si="1468"/>
        <v>807338.65832170588</v>
      </c>
      <c r="AS1537" s="2">
        <f t="shared" ca="1" si="1469"/>
        <v>784518.06902678858</v>
      </c>
      <c r="AT1537" s="2">
        <f t="shared" ca="1" si="1470"/>
        <v>762074.57321977406</v>
      </c>
      <c r="AU1537" s="2">
        <f t="shared" ca="1" si="1471"/>
        <v>740001.9397075593</v>
      </c>
      <c r="AV1537" s="2">
        <f t="shared" ca="1" si="1472"/>
        <v>2281271.757572188</v>
      </c>
      <c r="AW1537" s="2">
        <f t="shared" ca="1" si="1473"/>
        <v>2297810.0275310092</v>
      </c>
      <c r="AX1537" s="2">
        <f t="shared" ca="1" si="1474"/>
        <v>2232859.1195377829</v>
      </c>
      <c r="AY1537" s="2">
        <f t="shared" ca="1" si="1475"/>
        <v>2168981.4776255107</v>
      </c>
      <c r="AZ1537" s="2">
        <f t="shared" ca="1" si="1476"/>
        <v>2106159.3668599762</v>
      </c>
      <c r="BA1537" s="2">
        <f t="shared" ca="1" si="1477"/>
        <v>46819286.014770143</v>
      </c>
      <c r="BB1537" s="2">
        <f t="shared" ca="1" si="1478"/>
        <v>936385.72029540292</v>
      </c>
      <c r="BC1537" s="2">
        <f t="shared" ca="1" si="1479"/>
        <v>21365963.66967183</v>
      </c>
      <c r="BD1537" s="2">
        <f t="shared" ca="1" si="1480"/>
        <v>-17866163.442568727</v>
      </c>
      <c r="BE1537" s="2">
        <f t="shared" ca="1" si="1481"/>
        <v>2281271.757572188</v>
      </c>
      <c r="BF1537" s="2">
        <f t="shared" ca="1" si="1482"/>
        <v>2297810.0275310092</v>
      </c>
      <c r="BG1537" s="2">
        <f t="shared" ca="1" si="1483"/>
        <v>2232859.1195377829</v>
      </c>
      <c r="BH1537" s="2">
        <f t="shared" ca="1" si="1484"/>
        <v>2168981.4776255107</v>
      </c>
      <c r="BI1537" s="2">
        <f t="shared" ca="1" si="1485"/>
        <v>23472123.036531806</v>
      </c>
      <c r="BJ1537" s="2">
        <f t="shared" ca="1" si="1486"/>
        <v>0.15369597919837985</v>
      </c>
      <c r="BK1537" s="2">
        <f t="shared" ca="1" si="1487"/>
        <v>2288931.3565535471</v>
      </c>
    </row>
    <row r="1538" spans="1:63" x14ac:dyDescent="0.3">
      <c r="A1538" s="2">
        <v>1537</v>
      </c>
      <c r="B1538" s="2">
        <f t="shared" ref="B1538:B1601" ca="1" si="1488">RAND()</f>
        <v>0.35492285379511879</v>
      </c>
      <c r="C1538" s="2">
        <f t="shared" ref="C1538:C1601" ca="1" si="1489">IF(B1538&lt;((P_Mode)-(P_Low))/((P_High)-(P_Low)), (P_Low)+SQRT(B1538*((P_High)-(P_Low))*((P_Mode)-(P_Low))), (P_High)-SQRT((1-B1538)*((P_High)-(P_Low))*((P_High)-(P_Mode))))</f>
        <v>6.8425234166420763</v>
      </c>
      <c r="D1538" s="2">
        <f t="shared" ref="D1538:D1601" ca="1" si="1490">RAND()</f>
        <v>0.78404263792454576</v>
      </c>
      <c r="E1538" s="2">
        <f t="shared" ref="E1538:E1601" ca="1" si="1491">IF(D1538&lt;((X_Mode)-(X_Low))/((X_High)-(X_Low)), (X_Low)+SQRT(D1538*((X_High)-(X_Low))*((X_Mode)-(X_Low))), (X_High)-SQRT((1-D1538)*((X_High)-(X_Low))*((X_High)-(X_Mode))))</f>
        <v>7.8427978057318217</v>
      </c>
      <c r="F1538" s="2">
        <f t="shared" ref="F1538:F1601" ca="1" si="1492">RAND()</f>
        <v>0.17212215184686097</v>
      </c>
      <c r="G1538" s="2">
        <f t="shared" ref="G1538:G1601" ca="1" si="1493">NORMINV(F1538, g_Mean, g_SD)</f>
        <v>1.1625629403570672E-2</v>
      </c>
      <c r="H1538" s="2">
        <f t="shared" ref="H1538:H1601" ca="1" si="1494">MIN(MAX(G1538, g_Min), g_Max)</f>
        <v>1.1625629403570672E-2</v>
      </c>
      <c r="I1538" s="2">
        <f t="shared" ref="I1538:I1601" ca="1" si="1495">RAND()</f>
        <v>0.13512214866041916</v>
      </c>
      <c r="J1538" s="2">
        <f t="shared" ref="J1538:J1601" ca="1" si="1496">NORMINV(I1538, syn_Mean, syn_SD)</f>
        <v>4.4874992959734617E-3</v>
      </c>
      <c r="K1538" s="2">
        <f t="shared" ref="K1538:K1601" ca="1" si="1497">MIN(MAX(J1538, syn_Min), syn_Max)</f>
        <v>4.4874992959734617E-3</v>
      </c>
      <c r="L1538" s="2">
        <f t="shared" ref="L1538:L1601" ca="1" si="1498">RAND()</f>
        <v>0.28823345492107122</v>
      </c>
      <c r="M1538" s="2">
        <f t="shared" ref="M1538:M1601" ca="1" si="1499">NORMINV(L1538, shk_Mean, shk_SD)</f>
        <v>-1.117105748094289E-2</v>
      </c>
      <c r="N1538" s="2">
        <f t="shared" ref="N1538:N1601" ca="1" si="1500">MIN(MAX(M1538, shk_Min), shk_Max)</f>
        <v>-1.117105748094289E-2</v>
      </c>
      <c r="O1538" s="2">
        <f t="shared" ref="O1538:O1601" si="1501">BaseRev*BaseMargin</f>
        <v>6000000</v>
      </c>
      <c r="P1538" s="2">
        <f t="shared" ref="P1538:P1601" ca="1" si="1502">O1538*C1538</f>
        <v>41055140.499852456</v>
      </c>
      <c r="Q1538" s="2">
        <f t="shared" ref="Q1538:Q1601" ca="1" si="1503">P1538*TxnCostPct</f>
        <v>1026378.5124963115</v>
      </c>
      <c r="R1538" s="2">
        <f t="shared" ref="R1538:R1601" ca="1" si="1504">P1538*DebtPct</f>
        <v>24633084.299911473</v>
      </c>
      <c r="S1538" s="2">
        <f t="shared" ref="S1538:S1601" ca="1" si="1505">P1538*EqPct</f>
        <v>16422056.199940983</v>
      </c>
      <c r="T1538" s="2">
        <f t="shared" ref="T1538:T1601" ca="1" si="1506">BaseRev*(1+N1538)</f>
        <v>49441447.125952855</v>
      </c>
      <c r="U1538" s="2">
        <f t="shared" ref="U1538:U1601" ca="1" si="1507">T1538*(1+H1538)</f>
        <v>50016235.067415416</v>
      </c>
      <c r="V1538" s="2">
        <f t="shared" ref="V1538:V1601" ca="1" si="1508">U1538*(1+H1538)</f>
        <v>50597705.280471057</v>
      </c>
      <c r="W1538" s="2">
        <f t="shared" ref="W1538:W1601" ca="1" si="1509">V1538*(1+H1538)</f>
        <v>51185935.450732902</v>
      </c>
      <c r="X1538" s="2">
        <f t="shared" ref="X1538:X1601" ca="1" si="1510">W1538*(1+H1538)</f>
        <v>51781004.166958205</v>
      </c>
      <c r="Y1538" s="2">
        <f t="shared" ref="Y1538:Y1601" ca="1" si="1511">BaseMargin + SynReal_Y1*K1538</f>
        <v>0.12224374964798673</v>
      </c>
      <c r="Z1538" s="2">
        <f t="shared" ref="Z1538:Z1601" ca="1" si="1512">BaseMargin + SynReal_Y2toY5*K1538</f>
        <v>0.12314124950718142</v>
      </c>
      <c r="AA1538" s="2">
        <f t="shared" ref="AA1538:AA1601" ca="1" si="1513">T1538*Y1538</f>
        <v>6043907.8846991537</v>
      </c>
      <c r="AB1538" s="2">
        <f t="shared" ref="AB1538:AB1601" ca="1" si="1514">U1538*Z1538</f>
        <v>6159061.6818464389</v>
      </c>
      <c r="AC1538" s="2">
        <f t="shared" ref="AC1538:AC1601" ca="1" si="1515">V1538*Z1538</f>
        <v>6230664.6504333168</v>
      </c>
      <c r="AD1538" s="2">
        <f t="shared" ref="AD1538:AD1601" ca="1" si="1516">W1538*Z1538</f>
        <v>6303100.0485971831</v>
      </c>
      <c r="AE1538" s="2">
        <f t="shared" ref="AE1538:AE1601" ca="1" si="1517">X1538*Z1538</f>
        <v>6376377.553855801</v>
      </c>
      <c r="AF1538" s="2">
        <f t="shared" ref="AF1538:AF1601" ca="1" si="1518">T1538*CapexPct</f>
        <v>988828.94251905708</v>
      </c>
      <c r="AG1538" s="2">
        <f t="shared" ref="AG1538:AG1601" ca="1" si="1519">U1538*CapexPct</f>
        <v>1000324.7013483084</v>
      </c>
      <c r="AH1538" s="2">
        <f t="shared" ref="AH1538:AH1601" ca="1" si="1520">V1538*CapexPct</f>
        <v>1011954.1056094212</v>
      </c>
      <c r="AI1538" s="2">
        <f t="shared" ref="AI1538:AI1601" ca="1" si="1521">W1538*CapexPct</f>
        <v>1023718.709014658</v>
      </c>
      <c r="AJ1538" s="2">
        <f t="shared" ref="AJ1538:AJ1601" ca="1" si="1522">X1538*CapexPct</f>
        <v>1035620.0833391641</v>
      </c>
      <c r="AK1538" s="2">
        <f t="shared" ref="AK1538:AK1601" ca="1" si="1523">MAX(T1538-BaseRev*(1+N1538),0)*WCPct</f>
        <v>0</v>
      </c>
      <c r="AL1538" s="2">
        <f t="shared" ref="AL1538:AL1601" ca="1" si="1524">MAX(U1538-T1538,0)*WCPct</f>
        <v>5747.879414625615</v>
      </c>
      <c r="AM1538" s="2">
        <f t="shared" ref="AM1538:AM1601" ca="1" si="1525">MAX(V1538-U1538,0)*WCPct</f>
        <v>5814.7021305564049</v>
      </c>
      <c r="AN1538" s="2">
        <f t="shared" ref="AN1538:AN1601" ca="1" si="1526">MAX(W1538-V1538,0)*WCPct</f>
        <v>5882.3017026184498</v>
      </c>
      <c r="AO1538" s="2">
        <f t="shared" ref="AO1538:AO1601" ca="1" si="1527">MAX(X1538-W1538,0)*WCPct</f>
        <v>5950.6871622530371</v>
      </c>
      <c r="AP1538" s="2">
        <f t="shared" ref="AP1538:AP1601" ca="1" si="1528">R1538*DebtRate</f>
        <v>2216977.5869920324</v>
      </c>
      <c r="AQ1538" s="2">
        <f t="shared" ref="AQ1538:AQ1601" ca="1" si="1529">MAX(AA1538-AF1538-AP1538,0)*Tax</f>
        <v>737906.35234889691</v>
      </c>
      <c r="AR1538" s="2">
        <f t="shared" ref="AR1538:AR1601" ca="1" si="1530">MAX(AB1538-AG1538-AP1538,0)*Tax</f>
        <v>764857.44231158553</v>
      </c>
      <c r="AS1538" s="2">
        <f t="shared" ref="AS1538:AS1601" ca="1" si="1531">MAX(AC1538-AH1538-AP1538,0)*Tax</f>
        <v>780450.56903628458</v>
      </c>
      <c r="AT1538" s="2">
        <f t="shared" ref="AT1538:AT1601" ca="1" si="1532">MAX(AD1538-AI1538-AP1538,0)*Tax</f>
        <v>796224.97567352816</v>
      </c>
      <c r="AU1538" s="2">
        <f t="shared" ref="AU1538:AU1601" ca="1" si="1533">MAX(AE1538-AJ1538-AP1538,0)*Tax</f>
        <v>812182.76971639728</v>
      </c>
      <c r="AV1538" s="2">
        <f t="shared" ref="AV1538:AV1601" ca="1" si="1534">AA1538-AF1538-AK1538-AQ1538-AP1538</f>
        <v>2100195.0028391681</v>
      </c>
      <c r="AW1538" s="2">
        <f t="shared" ref="AW1538:AW1601" ca="1" si="1535">AB1538-AG1538-AL1538-AR1538-AP1538</f>
        <v>2171154.0717798867</v>
      </c>
      <c r="AX1538" s="2">
        <f t="shared" ref="AX1538:AX1601" ca="1" si="1536">AC1538-AH1538-AM1538-AS1538-AP1538</f>
        <v>2215467.6866650232</v>
      </c>
      <c r="AY1538" s="2">
        <f t="shared" ref="AY1538:AY1601" ca="1" si="1537">AD1538-AI1538-AN1538-AT1538-AP1538</f>
        <v>2260296.4752143458</v>
      </c>
      <c r="AZ1538" s="2">
        <f t="shared" ref="AZ1538:AZ1601" ca="1" si="1538">AE1538-AJ1538-AO1538-AU1538-AP1538</f>
        <v>2305646.4266459546</v>
      </c>
      <c r="BA1538" s="2">
        <f t="shared" ref="BA1538:BA1601" ca="1" si="1539">AE1538*E1538</f>
        <v>50008639.887897916</v>
      </c>
      <c r="BB1538" s="2">
        <f t="shared" ref="BB1538:BB1601" ca="1" si="1540">BA1538*SellCostPct</f>
        <v>1000172.7977579583</v>
      </c>
      <c r="BC1538" s="2">
        <f t="shared" ref="BC1538:BC1601" ca="1" si="1541">BA1538-R1538-BB1538</f>
        <v>24375382.790228486</v>
      </c>
      <c r="BD1538" s="2">
        <f t="shared" ref="BD1538:BD1601" ca="1" si="1542">-S1538-Q1538-IntegrationPct*BaseRev</f>
        <v>-17948434.712437294</v>
      </c>
      <c r="BE1538" s="2">
        <f t="shared" ref="BE1538:BE1601" ca="1" si="1543">AV1538</f>
        <v>2100195.0028391681</v>
      </c>
      <c r="BF1538" s="2">
        <f t="shared" ref="BF1538:BF1601" ca="1" si="1544">AW1538</f>
        <v>2171154.0717798867</v>
      </c>
      <c r="BG1538" s="2">
        <f t="shared" ref="BG1538:BG1601" ca="1" si="1545">AX1538</f>
        <v>2215467.6866650232</v>
      </c>
      <c r="BH1538" s="2">
        <f t="shared" ref="BH1538:BH1601" ca="1" si="1546">AY1538</f>
        <v>2260296.4752143458</v>
      </c>
      <c r="BI1538" s="2">
        <f t="shared" ref="BI1538:BI1601" ca="1" si="1547">AZ1538+BC1538</f>
        <v>26681029.216874439</v>
      </c>
      <c r="BJ1538" s="2">
        <f t="shared" ref="BJ1538:BJ1601" ca="1" si="1548">IF(MIN(BD1538:BI1538)*MAX(BD1538:BI1538)&gt;=0, "", IFERROR(IRR(BD1538:BI1538,0.12), IFERROR(IRR(BD1538:BI1538,0.5), IFERROR(IRR(BD1538:BI1538,-0.5),""))))</f>
        <v>0.1730199633094851</v>
      </c>
      <c r="BK1538" s="2">
        <f t="shared" ref="BK1538:BK1601" ca="1" si="1549">NPV(12%,BE1538:BI1538)+BD1538</f>
        <v>3810488.0579410382</v>
      </c>
    </row>
    <row r="1539" spans="1:63" x14ac:dyDescent="0.3">
      <c r="A1539" s="2">
        <v>1538</v>
      </c>
      <c r="B1539" s="2">
        <f t="shared" ca="1" si="1488"/>
        <v>0.23891199217219561</v>
      </c>
      <c r="C1539" s="2">
        <f t="shared" ca="1" si="1489"/>
        <v>6.6912481351471342</v>
      </c>
      <c r="D1539" s="2">
        <f t="shared" ca="1" si="1490"/>
        <v>0.1367033694472457</v>
      </c>
      <c r="E1539" s="2">
        <f t="shared" ca="1" si="1491"/>
        <v>7.0228831025138332</v>
      </c>
      <c r="F1539" s="2">
        <f t="shared" ca="1" si="1492"/>
        <v>0.41128920200262931</v>
      </c>
      <c r="G1539" s="2">
        <f t="shared" ca="1" si="1493"/>
        <v>3.3273102425045539E-2</v>
      </c>
      <c r="H1539" s="2">
        <f t="shared" ca="1" si="1494"/>
        <v>3.3273102425045539E-2</v>
      </c>
      <c r="I1539" s="2">
        <f t="shared" ca="1" si="1495"/>
        <v>0.63295251915072259</v>
      </c>
      <c r="J1539" s="2">
        <f t="shared" ca="1" si="1496"/>
        <v>1.1698417015861001E-2</v>
      </c>
      <c r="K1539" s="2">
        <f t="shared" ca="1" si="1497"/>
        <v>1.1698417015861001E-2</v>
      </c>
      <c r="L1539" s="2">
        <f t="shared" ca="1" si="1498"/>
        <v>0.47032932327604071</v>
      </c>
      <c r="M1539" s="2">
        <f t="shared" ca="1" si="1499"/>
        <v>-1.4888411002795441E-3</v>
      </c>
      <c r="N1539" s="2">
        <f t="shared" ca="1" si="1500"/>
        <v>-1.4888411002795441E-3</v>
      </c>
      <c r="O1539" s="2">
        <f t="shared" si="1501"/>
        <v>6000000</v>
      </c>
      <c r="P1539" s="2">
        <f t="shared" ca="1" si="1502"/>
        <v>40147488.810882807</v>
      </c>
      <c r="Q1539" s="2">
        <f t="shared" ca="1" si="1503"/>
        <v>1003687.2202720703</v>
      </c>
      <c r="R1539" s="2">
        <f t="shared" ca="1" si="1504"/>
        <v>24088493.286529683</v>
      </c>
      <c r="S1539" s="2">
        <f t="shared" ca="1" si="1505"/>
        <v>16058995.524353124</v>
      </c>
      <c r="T1539" s="2">
        <f t="shared" ca="1" si="1506"/>
        <v>49925557.944986023</v>
      </c>
      <c r="U1539" s="2">
        <f t="shared" ca="1" si="1507"/>
        <v>51586736.148117088</v>
      </c>
      <c r="V1539" s="2">
        <f t="shared" ca="1" si="1508"/>
        <v>53303186.903747179</v>
      </c>
      <c r="W1539" s="2">
        <f t="shared" ca="1" si="1509"/>
        <v>55076749.301176898</v>
      </c>
      <c r="X1539" s="2">
        <f t="shared" ca="1" si="1510"/>
        <v>56909323.621913508</v>
      </c>
      <c r="Y1539" s="2">
        <f t="shared" ca="1" si="1511"/>
        <v>0.12584920850793049</v>
      </c>
      <c r="Z1539" s="2">
        <f t="shared" ca="1" si="1512"/>
        <v>0.12818889191110269</v>
      </c>
      <c r="AA1539" s="2">
        <f t="shared" ca="1" si="1513"/>
        <v>6283091.9516933123</v>
      </c>
      <c r="AB1539" s="2">
        <f t="shared" ca="1" si="1514"/>
        <v>6612846.5441375552</v>
      </c>
      <c r="AC1539" s="2">
        <f t="shared" ca="1" si="1515"/>
        <v>6832876.4645217517</v>
      </c>
      <c r="AD1539" s="2">
        <f t="shared" ca="1" si="1516"/>
        <v>7060227.4629834658</v>
      </c>
      <c r="AE1539" s="2">
        <f t="shared" ca="1" si="1517"/>
        <v>7295143.1345034335</v>
      </c>
      <c r="AF1539" s="2">
        <f t="shared" ca="1" si="1518"/>
        <v>998511.15889972053</v>
      </c>
      <c r="AG1539" s="2">
        <f t="shared" ca="1" si="1519"/>
        <v>1031734.7229623417</v>
      </c>
      <c r="AH1539" s="2">
        <f t="shared" ca="1" si="1520"/>
        <v>1066063.7380749437</v>
      </c>
      <c r="AI1539" s="2">
        <f t="shared" ca="1" si="1521"/>
        <v>1101534.986023538</v>
      </c>
      <c r="AJ1539" s="2">
        <f t="shared" ca="1" si="1522"/>
        <v>1138186.4724382702</v>
      </c>
      <c r="AK1539" s="2">
        <f t="shared" ca="1" si="1523"/>
        <v>0</v>
      </c>
      <c r="AL1539" s="2">
        <f t="shared" ca="1" si="1524"/>
        <v>16611.782031310649</v>
      </c>
      <c r="AM1539" s="2">
        <f t="shared" ca="1" si="1525"/>
        <v>17164.507556300909</v>
      </c>
      <c r="AN1539" s="2">
        <f t="shared" ca="1" si="1526"/>
        <v>17735.623974297196</v>
      </c>
      <c r="AO1539" s="2">
        <f t="shared" ca="1" si="1527"/>
        <v>18325.743207366093</v>
      </c>
      <c r="AP1539" s="2">
        <f t="shared" ca="1" si="1528"/>
        <v>2167964.3957876712</v>
      </c>
      <c r="AQ1539" s="2">
        <f t="shared" ca="1" si="1529"/>
        <v>810320.26322153932</v>
      </c>
      <c r="AR1539" s="2">
        <f t="shared" ca="1" si="1530"/>
        <v>887418.33060076111</v>
      </c>
      <c r="AS1539" s="2">
        <f t="shared" ca="1" si="1531"/>
        <v>935700.56597137568</v>
      </c>
      <c r="AT1539" s="2">
        <f t="shared" ca="1" si="1532"/>
        <v>985589.30110478681</v>
      </c>
      <c r="AU1539" s="2">
        <f t="shared" ca="1" si="1533"/>
        <v>1037137.9892321479</v>
      </c>
      <c r="AV1539" s="2">
        <f t="shared" ca="1" si="1534"/>
        <v>2306296.1337843807</v>
      </c>
      <c r="AW1539" s="2">
        <f t="shared" ca="1" si="1535"/>
        <v>2509117.3127554711</v>
      </c>
      <c r="AX1539" s="2">
        <f t="shared" ca="1" si="1536"/>
        <v>2645983.2571314611</v>
      </c>
      <c r="AY1539" s="2">
        <f t="shared" ca="1" si="1537"/>
        <v>2787403.1560931727</v>
      </c>
      <c r="AZ1539" s="2">
        <f t="shared" ca="1" si="1538"/>
        <v>2933528.5338379778</v>
      </c>
      <c r="BA1539" s="2">
        <f t="shared" ca="1" si="1539"/>
        <v>51232937.449723966</v>
      </c>
      <c r="BB1539" s="2">
        <f t="shared" ca="1" si="1540"/>
        <v>1024658.7489944793</v>
      </c>
      <c r="BC1539" s="2">
        <f t="shared" ca="1" si="1541"/>
        <v>26119785.414199803</v>
      </c>
      <c r="BD1539" s="2">
        <f t="shared" ca="1" si="1542"/>
        <v>-17562682.744625196</v>
      </c>
      <c r="BE1539" s="2">
        <f t="shared" ca="1" si="1543"/>
        <v>2306296.1337843807</v>
      </c>
      <c r="BF1539" s="2">
        <f t="shared" ca="1" si="1544"/>
        <v>2509117.3127554711</v>
      </c>
      <c r="BG1539" s="2">
        <f t="shared" ca="1" si="1545"/>
        <v>2645983.2571314611</v>
      </c>
      <c r="BH1539" s="2">
        <f t="shared" ca="1" si="1546"/>
        <v>2787403.1560931727</v>
      </c>
      <c r="BI1539" s="2">
        <f t="shared" ca="1" si="1547"/>
        <v>29053313.948037781</v>
      </c>
      <c r="BJ1539" s="2">
        <f t="shared" ca="1" si="1548"/>
        <v>0.21089372691997577</v>
      </c>
      <c r="BK1539" s="2">
        <f t="shared" ca="1" si="1549"/>
        <v>6637197.4894653931</v>
      </c>
    </row>
    <row r="1540" spans="1:63" x14ac:dyDescent="0.3">
      <c r="A1540" s="2">
        <v>1539</v>
      </c>
      <c r="B1540" s="2">
        <f t="shared" ca="1" si="1488"/>
        <v>0.41799292593405146</v>
      </c>
      <c r="C1540" s="2">
        <f t="shared" ca="1" si="1489"/>
        <v>6.9143226191383995</v>
      </c>
      <c r="D1540" s="2">
        <f t="shared" ca="1" si="1490"/>
        <v>0.68046361544681233</v>
      </c>
      <c r="E1540" s="2">
        <f t="shared" ca="1" si="1491"/>
        <v>7.7005797293623486</v>
      </c>
      <c r="F1540" s="2">
        <f t="shared" ca="1" si="1492"/>
        <v>0.37168018348406995</v>
      </c>
      <c r="G1540" s="2">
        <f t="shared" ca="1" si="1493"/>
        <v>3.0177801672122407E-2</v>
      </c>
      <c r="H1540" s="2">
        <f t="shared" ca="1" si="1494"/>
        <v>3.0177801672122407E-2</v>
      </c>
      <c r="I1540" s="2">
        <f t="shared" ca="1" si="1495"/>
        <v>2.1377695684482445E-3</v>
      </c>
      <c r="J1540" s="2">
        <f t="shared" ca="1" si="1496"/>
        <v>-4.2854153934982556E-3</v>
      </c>
      <c r="K1540" s="2">
        <f t="shared" ca="1" si="1497"/>
        <v>0</v>
      </c>
      <c r="L1540" s="2">
        <f t="shared" ca="1" si="1498"/>
        <v>0.32709594696680921</v>
      </c>
      <c r="M1540" s="2">
        <f t="shared" ca="1" si="1499"/>
        <v>-8.9589276217368723E-3</v>
      </c>
      <c r="N1540" s="2">
        <f t="shared" ca="1" si="1500"/>
        <v>-8.9589276217368723E-3</v>
      </c>
      <c r="O1540" s="2">
        <f t="shared" si="1501"/>
        <v>6000000</v>
      </c>
      <c r="P1540" s="2">
        <f t="shared" ca="1" si="1502"/>
        <v>41485935.714830399</v>
      </c>
      <c r="Q1540" s="2">
        <f t="shared" ca="1" si="1503"/>
        <v>1037148.3928707601</v>
      </c>
      <c r="R1540" s="2">
        <f t="shared" ca="1" si="1504"/>
        <v>24891561.428898238</v>
      </c>
      <c r="S1540" s="2">
        <f t="shared" ca="1" si="1505"/>
        <v>16594374.285932161</v>
      </c>
      <c r="T1540" s="2">
        <f t="shared" ca="1" si="1506"/>
        <v>49552053.618913159</v>
      </c>
      <c r="U1540" s="2">
        <f t="shared" ca="1" si="1507"/>
        <v>51047425.665471092</v>
      </c>
      <c r="V1540" s="2">
        <f t="shared" ca="1" si="1508"/>
        <v>52587924.753076084</v>
      </c>
      <c r="W1540" s="2">
        <f t="shared" ca="1" si="1509"/>
        <v>54174912.716622911</v>
      </c>
      <c r="X1540" s="2">
        <f t="shared" ca="1" si="1510"/>
        <v>55809792.488189697</v>
      </c>
      <c r="Y1540" s="2">
        <f t="shared" ca="1" si="1511"/>
        <v>0.12</v>
      </c>
      <c r="Z1540" s="2">
        <f t="shared" ca="1" si="1512"/>
        <v>0.12</v>
      </c>
      <c r="AA1540" s="2">
        <f t="shared" ca="1" si="1513"/>
        <v>5946246.4342695791</v>
      </c>
      <c r="AB1540" s="2">
        <f t="shared" ca="1" si="1514"/>
        <v>6125691.0798565308</v>
      </c>
      <c r="AC1540" s="2">
        <f t="shared" ca="1" si="1515"/>
        <v>6310550.9703691294</v>
      </c>
      <c r="AD1540" s="2">
        <f t="shared" ca="1" si="1516"/>
        <v>6500989.5259947488</v>
      </c>
      <c r="AE1540" s="2">
        <f t="shared" ca="1" si="1517"/>
        <v>6697175.0985827632</v>
      </c>
      <c r="AF1540" s="2">
        <f t="shared" ca="1" si="1518"/>
        <v>991041.07237826323</v>
      </c>
      <c r="AG1540" s="2">
        <f t="shared" ca="1" si="1519"/>
        <v>1020948.5133094218</v>
      </c>
      <c r="AH1540" s="2">
        <f t="shared" ca="1" si="1520"/>
        <v>1051758.4950615217</v>
      </c>
      <c r="AI1540" s="2">
        <f t="shared" ca="1" si="1521"/>
        <v>1083498.2543324581</v>
      </c>
      <c r="AJ1540" s="2">
        <f t="shared" ca="1" si="1522"/>
        <v>1116195.8497637939</v>
      </c>
      <c r="AK1540" s="2">
        <f t="shared" ca="1" si="1523"/>
        <v>0</v>
      </c>
      <c r="AL1540" s="2">
        <f t="shared" ca="1" si="1524"/>
        <v>14953.720465579332</v>
      </c>
      <c r="AM1540" s="2">
        <f t="shared" ca="1" si="1525"/>
        <v>15404.990876049922</v>
      </c>
      <c r="AN1540" s="2">
        <f t="shared" ca="1" si="1526"/>
        <v>15869.879635468275</v>
      </c>
      <c r="AO1540" s="2">
        <f t="shared" ca="1" si="1527"/>
        <v>16348.797715667859</v>
      </c>
      <c r="AP1540" s="2">
        <f t="shared" ca="1" si="1528"/>
        <v>2240240.5286008413</v>
      </c>
      <c r="AQ1540" s="2">
        <f t="shared" ca="1" si="1529"/>
        <v>705890.85665552353</v>
      </c>
      <c r="AR1540" s="2">
        <f t="shared" ca="1" si="1530"/>
        <v>744770.52986602962</v>
      </c>
      <c r="AS1540" s="2">
        <f t="shared" ca="1" si="1531"/>
        <v>784823.50614375935</v>
      </c>
      <c r="AT1540" s="2">
        <f t="shared" ca="1" si="1532"/>
        <v>826085.19319597702</v>
      </c>
      <c r="AU1540" s="2">
        <f t="shared" ca="1" si="1533"/>
        <v>868592.06725671329</v>
      </c>
      <c r="AV1540" s="2">
        <f t="shared" ca="1" si="1534"/>
        <v>2009073.9766349518</v>
      </c>
      <c r="AW1540" s="2">
        <f t="shared" ca="1" si="1535"/>
        <v>2104777.7876146589</v>
      </c>
      <c r="AX1540" s="2">
        <f t="shared" ca="1" si="1536"/>
        <v>2218323.449686958</v>
      </c>
      <c r="AY1540" s="2">
        <f t="shared" ca="1" si="1537"/>
        <v>2335295.6702300045</v>
      </c>
      <c r="AZ1540" s="2">
        <f t="shared" ca="1" si="1538"/>
        <v>2455797.8552457471</v>
      </c>
      <c r="BA1540" s="2">
        <f t="shared" ca="1" si="1539"/>
        <v>51572130.808136716</v>
      </c>
      <c r="BB1540" s="2">
        <f t="shared" ca="1" si="1540"/>
        <v>1031442.6161627343</v>
      </c>
      <c r="BC1540" s="2">
        <f t="shared" ca="1" si="1541"/>
        <v>25649126.763075743</v>
      </c>
      <c r="BD1540" s="2">
        <f t="shared" ca="1" si="1542"/>
        <v>-18131522.678802922</v>
      </c>
      <c r="BE1540" s="2">
        <f t="shared" ca="1" si="1543"/>
        <v>2009073.9766349518</v>
      </c>
      <c r="BF1540" s="2">
        <f t="shared" ca="1" si="1544"/>
        <v>2104777.7876146589</v>
      </c>
      <c r="BG1540" s="2">
        <f t="shared" ca="1" si="1545"/>
        <v>2218323.449686958</v>
      </c>
      <c r="BH1540" s="2">
        <f t="shared" ca="1" si="1546"/>
        <v>2335295.6702300045</v>
      </c>
      <c r="BI1540" s="2">
        <f t="shared" ca="1" si="1547"/>
        <v>28104924.61832149</v>
      </c>
      <c r="BJ1540" s="2">
        <f t="shared" ca="1" si="1548"/>
        <v>0.17878109356830896</v>
      </c>
      <c r="BK1540" s="2">
        <f t="shared" ca="1" si="1549"/>
        <v>4350779.7756383754</v>
      </c>
    </row>
    <row r="1541" spans="1:63" x14ac:dyDescent="0.3">
      <c r="A1541" s="2">
        <v>1540</v>
      </c>
      <c r="B1541" s="2">
        <f t="shared" ca="1" si="1488"/>
        <v>0.55460840937825084</v>
      </c>
      <c r="C1541" s="2">
        <f t="shared" ca="1" si="1489"/>
        <v>7.0561868928418621</v>
      </c>
      <c r="D1541" s="2">
        <f t="shared" ca="1" si="1490"/>
        <v>0.96613339669657849</v>
      </c>
      <c r="E1541" s="2">
        <f t="shared" ca="1" si="1491"/>
        <v>8.239743959519009</v>
      </c>
      <c r="F1541" s="2">
        <f t="shared" ca="1" si="1492"/>
        <v>3.9349850383973206E-2</v>
      </c>
      <c r="G1541" s="2">
        <f t="shared" ca="1" si="1493"/>
        <v>-1.2748431435449549E-2</v>
      </c>
      <c r="H1541" s="2">
        <f t="shared" ca="1" si="1494"/>
        <v>-1.2748431435449549E-2</v>
      </c>
      <c r="I1541" s="2">
        <f t="shared" ca="1" si="1495"/>
        <v>0.36387709018474057</v>
      </c>
      <c r="J1541" s="2">
        <f t="shared" ca="1" si="1496"/>
        <v>8.2594274014703012E-3</v>
      </c>
      <c r="K1541" s="2">
        <f t="shared" ca="1" si="1497"/>
        <v>8.2594274014703012E-3</v>
      </c>
      <c r="L1541" s="2">
        <f t="shared" ca="1" si="1498"/>
        <v>0.47661270899610164</v>
      </c>
      <c r="M1541" s="2">
        <f t="shared" ca="1" si="1499"/>
        <v>-1.1731372723250652E-3</v>
      </c>
      <c r="N1541" s="2">
        <f t="shared" ca="1" si="1500"/>
        <v>-1.1731372723250652E-3</v>
      </c>
      <c r="O1541" s="2">
        <f t="shared" si="1501"/>
        <v>6000000</v>
      </c>
      <c r="P1541" s="2">
        <f t="shared" ca="1" si="1502"/>
        <v>42337121.357051171</v>
      </c>
      <c r="Q1541" s="2">
        <f t="shared" ca="1" si="1503"/>
        <v>1058428.0339262793</v>
      </c>
      <c r="R1541" s="2">
        <f t="shared" ca="1" si="1504"/>
        <v>25402272.814230703</v>
      </c>
      <c r="S1541" s="2">
        <f t="shared" ca="1" si="1505"/>
        <v>16934848.542820469</v>
      </c>
      <c r="T1541" s="2">
        <f t="shared" ca="1" si="1506"/>
        <v>49941343.13638375</v>
      </c>
      <c r="U1541" s="2">
        <f t="shared" ca="1" si="1507"/>
        <v>49304669.347615302</v>
      </c>
      <c r="V1541" s="2">
        <f t="shared" ca="1" si="1508"/>
        <v>48676112.150989719</v>
      </c>
      <c r="W1541" s="2">
        <f t="shared" ca="1" si="1509"/>
        <v>48055568.072688572</v>
      </c>
      <c r="X1541" s="2">
        <f t="shared" ca="1" si="1510"/>
        <v>47442934.958022319</v>
      </c>
      <c r="Y1541" s="2">
        <f t="shared" ca="1" si="1511"/>
        <v>0.12412971370073514</v>
      </c>
      <c r="Z1541" s="2">
        <f t="shared" ca="1" si="1512"/>
        <v>0.12578159918102921</v>
      </c>
      <c r="AA1541" s="2">
        <f t="shared" ca="1" si="1513"/>
        <v>6199204.625349489</v>
      </c>
      <c r="AB1541" s="2">
        <f t="shared" ca="1" si="1514"/>
        <v>6201620.1576349251</v>
      </c>
      <c r="AC1541" s="2">
        <f t="shared" ca="1" si="1515"/>
        <v>6122559.2282666145</v>
      </c>
      <c r="AD1541" s="2">
        <f t="shared" ca="1" si="1516"/>
        <v>6044506.2017355785</v>
      </c>
      <c r="AE1541" s="2">
        <f t="shared" ca="1" si="1517"/>
        <v>5967448.228861602</v>
      </c>
      <c r="AF1541" s="2">
        <f t="shared" ca="1" si="1518"/>
        <v>998826.862727675</v>
      </c>
      <c r="AG1541" s="2">
        <f t="shared" ca="1" si="1519"/>
        <v>986093.38695230603</v>
      </c>
      <c r="AH1541" s="2">
        <f t="shared" ca="1" si="1520"/>
        <v>973522.24301979435</v>
      </c>
      <c r="AI1541" s="2">
        <f t="shared" ca="1" si="1521"/>
        <v>961111.36145377147</v>
      </c>
      <c r="AJ1541" s="2">
        <f t="shared" ca="1" si="1522"/>
        <v>948858.69916044641</v>
      </c>
      <c r="AK1541" s="2">
        <f t="shared" ca="1" si="1523"/>
        <v>0</v>
      </c>
      <c r="AL1541" s="2">
        <f t="shared" ca="1" si="1524"/>
        <v>0</v>
      </c>
      <c r="AM1541" s="2">
        <f t="shared" ca="1" si="1525"/>
        <v>0</v>
      </c>
      <c r="AN1541" s="2">
        <f t="shared" ca="1" si="1526"/>
        <v>0</v>
      </c>
      <c r="AO1541" s="2">
        <f t="shared" ca="1" si="1527"/>
        <v>0</v>
      </c>
      <c r="AP1541" s="2">
        <f t="shared" ca="1" si="1528"/>
        <v>2286204.5532807633</v>
      </c>
      <c r="AQ1541" s="2">
        <f t="shared" ca="1" si="1529"/>
        <v>757685.03442867333</v>
      </c>
      <c r="AR1541" s="2">
        <f t="shared" ca="1" si="1530"/>
        <v>761623.77652448253</v>
      </c>
      <c r="AS1541" s="2">
        <f t="shared" ca="1" si="1531"/>
        <v>744336.43231117481</v>
      </c>
      <c r="AT1541" s="2">
        <f t="shared" ca="1" si="1532"/>
        <v>727269.47462027136</v>
      </c>
      <c r="AU1541" s="2">
        <f t="shared" ca="1" si="1533"/>
        <v>710420.09386930207</v>
      </c>
      <c r="AV1541" s="2">
        <f t="shared" ca="1" si="1534"/>
        <v>2156488.1749123782</v>
      </c>
      <c r="AW1541" s="2">
        <f t="shared" ca="1" si="1535"/>
        <v>2167698.4408773733</v>
      </c>
      <c r="AX1541" s="2">
        <f t="shared" ca="1" si="1536"/>
        <v>2118495.9996548826</v>
      </c>
      <c r="AY1541" s="2">
        <f t="shared" ca="1" si="1537"/>
        <v>2069920.8123807721</v>
      </c>
      <c r="AZ1541" s="2">
        <f t="shared" ca="1" si="1538"/>
        <v>2021964.8825510899</v>
      </c>
      <c r="BA1541" s="2">
        <f t="shared" ca="1" si="1539"/>
        <v>49170245.497504793</v>
      </c>
      <c r="BB1541" s="2">
        <f t="shared" ca="1" si="1540"/>
        <v>983404.90995009593</v>
      </c>
      <c r="BC1541" s="2">
        <f t="shared" ca="1" si="1541"/>
        <v>22784567.773323994</v>
      </c>
      <c r="BD1541" s="2">
        <f t="shared" ca="1" si="1542"/>
        <v>-18493276.576746747</v>
      </c>
      <c r="BE1541" s="2">
        <f t="shared" ca="1" si="1543"/>
        <v>2156488.1749123782</v>
      </c>
      <c r="BF1541" s="2">
        <f t="shared" ca="1" si="1544"/>
        <v>2167698.4408773733</v>
      </c>
      <c r="BG1541" s="2">
        <f t="shared" ca="1" si="1545"/>
        <v>2118495.9996548826</v>
      </c>
      <c r="BH1541" s="2">
        <f t="shared" ca="1" si="1546"/>
        <v>2069920.8123807721</v>
      </c>
      <c r="BI1541" s="2">
        <f t="shared" ca="1" si="1547"/>
        <v>24806532.655875083</v>
      </c>
      <c r="BJ1541" s="2">
        <f t="shared" ca="1" si="1548"/>
        <v>0.14895009567864537</v>
      </c>
      <c r="BK1541" s="2">
        <f t="shared" ca="1" si="1549"/>
        <v>2059503.750119485</v>
      </c>
    </row>
    <row r="1542" spans="1:63" x14ac:dyDescent="0.3">
      <c r="A1542" s="2">
        <v>1541</v>
      </c>
      <c r="B1542" s="2">
        <f t="shared" ca="1" si="1488"/>
        <v>0.47691944992649782</v>
      </c>
      <c r="C1542" s="2">
        <f t="shared" ca="1" si="1489"/>
        <v>6.9766467630893967</v>
      </c>
      <c r="D1542" s="2">
        <f t="shared" ca="1" si="1490"/>
        <v>0.31760446603249504</v>
      </c>
      <c r="E1542" s="2">
        <f t="shared" ca="1" si="1491"/>
        <v>7.2969999573807955</v>
      </c>
      <c r="F1542" s="2">
        <f t="shared" ca="1" si="1492"/>
        <v>0.92720153884280931</v>
      </c>
      <c r="G1542" s="2">
        <f t="shared" ca="1" si="1493"/>
        <v>8.3657840495539759E-2</v>
      </c>
      <c r="H1542" s="2">
        <f t="shared" ca="1" si="1494"/>
        <v>8.3657840495539759E-2</v>
      </c>
      <c r="I1542" s="2">
        <f t="shared" ca="1" si="1495"/>
        <v>0.20685303630092478</v>
      </c>
      <c r="J1542" s="2">
        <f t="shared" ca="1" si="1496"/>
        <v>5.9130542360409724E-3</v>
      </c>
      <c r="K1542" s="2">
        <f t="shared" ca="1" si="1497"/>
        <v>5.9130542360409724E-3</v>
      </c>
      <c r="L1542" s="2">
        <f t="shared" ca="1" si="1498"/>
        <v>0.15089447328027572</v>
      </c>
      <c r="M1542" s="2">
        <f t="shared" ca="1" si="1499"/>
        <v>-2.065209319803727E-2</v>
      </c>
      <c r="N1542" s="2">
        <f t="shared" ca="1" si="1500"/>
        <v>-2.065209319803727E-2</v>
      </c>
      <c r="O1542" s="2">
        <f t="shared" si="1501"/>
        <v>6000000</v>
      </c>
      <c r="P1542" s="2">
        <f t="shared" ca="1" si="1502"/>
        <v>41859880.578536384</v>
      </c>
      <c r="Q1542" s="2">
        <f t="shared" ca="1" si="1503"/>
        <v>1046497.0144634097</v>
      </c>
      <c r="R1542" s="2">
        <f t="shared" ca="1" si="1504"/>
        <v>25115928.347121831</v>
      </c>
      <c r="S1542" s="2">
        <f t="shared" ca="1" si="1505"/>
        <v>16743952.231414555</v>
      </c>
      <c r="T1542" s="2">
        <f t="shared" ca="1" si="1506"/>
        <v>48967395.340098135</v>
      </c>
      <c r="U1542" s="2">
        <f t="shared" ca="1" si="1507"/>
        <v>53063901.8889421</v>
      </c>
      <c r="V1542" s="2">
        <f t="shared" ca="1" si="1508"/>
        <v>57503113.329238184</v>
      </c>
      <c r="W1542" s="2">
        <f t="shared" ca="1" si="1509"/>
        <v>62313699.612132534</v>
      </c>
      <c r="X1542" s="2">
        <f t="shared" ca="1" si="1510"/>
        <v>67526729.154971287</v>
      </c>
      <c r="Y1542" s="2">
        <f t="shared" ca="1" si="1511"/>
        <v>0.12295652711802048</v>
      </c>
      <c r="Z1542" s="2">
        <f t="shared" ca="1" si="1512"/>
        <v>0.12413913796522867</v>
      </c>
      <c r="AA1542" s="2">
        <f t="shared" ca="1" si="1513"/>
        <v>6020860.8730336055</v>
      </c>
      <c r="AB1542" s="2">
        <f t="shared" ca="1" si="1514"/>
        <v>6587307.0375647414</v>
      </c>
      <c r="AC1542" s="2">
        <f t="shared" ca="1" si="1515"/>
        <v>7138386.9190084785</v>
      </c>
      <c r="AD1542" s="2">
        <f t="shared" ca="1" si="1516"/>
        <v>7735568.9532743366</v>
      </c>
      <c r="AE1542" s="2">
        <f t="shared" ca="1" si="1517"/>
        <v>8382709.9469096102</v>
      </c>
      <c r="AF1542" s="2">
        <f t="shared" ca="1" si="1518"/>
        <v>979347.90680196276</v>
      </c>
      <c r="AG1542" s="2">
        <f t="shared" ca="1" si="1519"/>
        <v>1061278.037778842</v>
      </c>
      <c r="AH1542" s="2">
        <f t="shared" ca="1" si="1520"/>
        <v>1150062.2665847638</v>
      </c>
      <c r="AI1542" s="2">
        <f t="shared" ca="1" si="1521"/>
        <v>1246273.9922426508</v>
      </c>
      <c r="AJ1542" s="2">
        <f t="shared" ca="1" si="1522"/>
        <v>1350534.5830994258</v>
      </c>
      <c r="AK1542" s="2">
        <f t="shared" ca="1" si="1523"/>
        <v>0</v>
      </c>
      <c r="AL1542" s="2">
        <f t="shared" ca="1" si="1524"/>
        <v>40965.06548843965</v>
      </c>
      <c r="AM1542" s="2">
        <f t="shared" ca="1" si="1525"/>
        <v>44392.11440296084</v>
      </c>
      <c r="AN1542" s="2">
        <f t="shared" ca="1" si="1526"/>
        <v>48105.862828943507</v>
      </c>
      <c r="AO1542" s="2">
        <f t="shared" ca="1" si="1527"/>
        <v>52130.295428387522</v>
      </c>
      <c r="AP1542" s="2">
        <f t="shared" ca="1" si="1528"/>
        <v>2260433.5512409648</v>
      </c>
      <c r="AQ1542" s="2">
        <f t="shared" ca="1" si="1529"/>
        <v>723080.64789757621</v>
      </c>
      <c r="AR1542" s="2">
        <f t="shared" ca="1" si="1530"/>
        <v>849054.81662168296</v>
      </c>
      <c r="AS1542" s="2">
        <f t="shared" ca="1" si="1531"/>
        <v>969251.68630751513</v>
      </c>
      <c r="AT1542" s="2">
        <f t="shared" ca="1" si="1532"/>
        <v>1099503.9665455874</v>
      </c>
      <c r="AU1542" s="2">
        <f t="shared" ca="1" si="1533"/>
        <v>1240652.8712679972</v>
      </c>
      <c r="AV1542" s="2">
        <f t="shared" ca="1" si="1534"/>
        <v>2057998.7670931015</v>
      </c>
      <c r="AW1542" s="2">
        <f t="shared" ca="1" si="1535"/>
        <v>2375575.5664348118</v>
      </c>
      <c r="AX1542" s="2">
        <f t="shared" ca="1" si="1536"/>
        <v>2714247.3004722744</v>
      </c>
      <c r="AY1542" s="2">
        <f t="shared" ca="1" si="1537"/>
        <v>3081251.5804161895</v>
      </c>
      <c r="AZ1542" s="2">
        <f t="shared" ca="1" si="1538"/>
        <v>3478958.6458728341</v>
      </c>
      <c r="BA1542" s="2">
        <f t="shared" ca="1" si="1539"/>
        <v>61168634.125334993</v>
      </c>
      <c r="BB1542" s="2">
        <f t="shared" ca="1" si="1540"/>
        <v>1223372.6825066998</v>
      </c>
      <c r="BC1542" s="2">
        <f t="shared" ca="1" si="1541"/>
        <v>34829333.095706455</v>
      </c>
      <c r="BD1542" s="2">
        <f t="shared" ca="1" si="1542"/>
        <v>-18290449.245877963</v>
      </c>
      <c r="BE1542" s="2">
        <f t="shared" ca="1" si="1543"/>
        <v>2057998.7670931015</v>
      </c>
      <c r="BF1542" s="2">
        <f t="shared" ca="1" si="1544"/>
        <v>2375575.5664348118</v>
      </c>
      <c r="BG1542" s="2">
        <f t="shared" ca="1" si="1545"/>
        <v>2714247.3004722744</v>
      </c>
      <c r="BH1542" s="2">
        <f t="shared" ca="1" si="1546"/>
        <v>3081251.5804161895</v>
      </c>
      <c r="BI1542" s="2">
        <f t="shared" ca="1" si="1547"/>
        <v>38308291.741579287</v>
      </c>
      <c r="BJ1542" s="2">
        <f t="shared" ca="1" si="1548"/>
        <v>0.25132380217812722</v>
      </c>
      <c r="BK1542" s="2">
        <f t="shared" ca="1" si="1549"/>
        <v>11068136.181034032</v>
      </c>
    </row>
    <row r="1543" spans="1:63" x14ac:dyDescent="0.3">
      <c r="A1543" s="2">
        <v>1542</v>
      </c>
      <c r="B1543" s="2">
        <f t="shared" ca="1" si="1488"/>
        <v>0.25750259701007172</v>
      </c>
      <c r="C1543" s="2">
        <f t="shared" ca="1" si="1489"/>
        <v>6.7176386235565531</v>
      </c>
      <c r="D1543" s="2">
        <f t="shared" ca="1" si="1490"/>
        <v>0.60053036415711558</v>
      </c>
      <c r="E1543" s="2">
        <f t="shared" ca="1" si="1491"/>
        <v>7.6061659708392337</v>
      </c>
      <c r="F1543" s="2">
        <f t="shared" ca="1" si="1492"/>
        <v>0.36653986064757338</v>
      </c>
      <c r="G1543" s="2">
        <f t="shared" ca="1" si="1493"/>
        <v>2.9769049149724988E-2</v>
      </c>
      <c r="H1543" s="2">
        <f t="shared" ca="1" si="1494"/>
        <v>2.9769049149724988E-2</v>
      </c>
      <c r="I1543" s="2">
        <f t="shared" ca="1" si="1495"/>
        <v>0.6947774112333015</v>
      </c>
      <c r="J1543" s="2">
        <f t="shared" ca="1" si="1496"/>
        <v>1.2547190490471831E-2</v>
      </c>
      <c r="K1543" s="2">
        <f t="shared" ca="1" si="1497"/>
        <v>1.2547190490471831E-2</v>
      </c>
      <c r="L1543" s="2">
        <f t="shared" ca="1" si="1498"/>
        <v>0.24023003358485762</v>
      </c>
      <c r="M1543" s="2">
        <f t="shared" ca="1" si="1499"/>
        <v>-1.4111255930614706E-2</v>
      </c>
      <c r="N1543" s="2">
        <f t="shared" ca="1" si="1500"/>
        <v>-1.4111255930614706E-2</v>
      </c>
      <c r="O1543" s="2">
        <f t="shared" si="1501"/>
        <v>6000000</v>
      </c>
      <c r="P1543" s="2">
        <f t="shared" ca="1" si="1502"/>
        <v>40305831.741339318</v>
      </c>
      <c r="Q1543" s="2">
        <f t="shared" ca="1" si="1503"/>
        <v>1007645.7935334831</v>
      </c>
      <c r="R1543" s="2">
        <f t="shared" ca="1" si="1504"/>
        <v>24183499.04480359</v>
      </c>
      <c r="S1543" s="2">
        <f t="shared" ca="1" si="1505"/>
        <v>16122332.696535729</v>
      </c>
      <c r="T1543" s="2">
        <f t="shared" ca="1" si="1506"/>
        <v>49294437.203469269</v>
      </c>
      <c r="U1543" s="2">
        <f t="shared" ca="1" si="1507"/>
        <v>50761885.727387376</v>
      </c>
      <c r="V1543" s="2">
        <f t="shared" ca="1" si="1508"/>
        <v>52273018.798538692</v>
      </c>
      <c r="W1543" s="2">
        <f t="shared" ca="1" si="1509"/>
        <v>53829136.864356883</v>
      </c>
      <c r="X1543" s="2">
        <f t="shared" ca="1" si="1510"/>
        <v>55431579.085359193</v>
      </c>
      <c r="Y1543" s="2">
        <f t="shared" ca="1" si="1511"/>
        <v>0.1262735952452359</v>
      </c>
      <c r="Z1543" s="2">
        <f t="shared" ca="1" si="1512"/>
        <v>0.12878303334333027</v>
      </c>
      <c r="AA1543" s="2">
        <f t="shared" ca="1" si="1513"/>
        <v>6224585.8112725765</v>
      </c>
      <c r="AB1543" s="2">
        <f t="shared" ca="1" si="1514"/>
        <v>6537269.6222004499</v>
      </c>
      <c r="AC1543" s="2">
        <f t="shared" ca="1" si="1515"/>
        <v>6731877.9228887381</v>
      </c>
      <c r="AD1543" s="2">
        <f t="shared" ca="1" si="1516"/>
        <v>6932279.5276451614</v>
      </c>
      <c r="AE1543" s="2">
        <f t="shared" ca="1" si="1517"/>
        <v>7138646.8976232624</v>
      </c>
      <c r="AF1543" s="2">
        <f t="shared" ca="1" si="1518"/>
        <v>985888.74406938534</v>
      </c>
      <c r="AG1543" s="2">
        <f t="shared" ca="1" si="1519"/>
        <v>1015237.7145477475</v>
      </c>
      <c r="AH1543" s="2">
        <f t="shared" ca="1" si="1520"/>
        <v>1045460.3759707739</v>
      </c>
      <c r="AI1543" s="2">
        <f t="shared" ca="1" si="1521"/>
        <v>1076582.7372871377</v>
      </c>
      <c r="AJ1543" s="2">
        <f t="shared" ca="1" si="1522"/>
        <v>1108631.581707184</v>
      </c>
      <c r="AK1543" s="2">
        <f t="shared" ca="1" si="1523"/>
        <v>0</v>
      </c>
      <c r="AL1543" s="2">
        <f t="shared" ca="1" si="1524"/>
        <v>14674.485239181071</v>
      </c>
      <c r="AM1543" s="2">
        <f t="shared" ca="1" si="1525"/>
        <v>15111.330711513161</v>
      </c>
      <c r="AN1543" s="2">
        <f t="shared" ca="1" si="1526"/>
        <v>15561.180658181906</v>
      </c>
      <c r="AO1543" s="2">
        <f t="shared" ca="1" si="1527"/>
        <v>16024.422210023105</v>
      </c>
      <c r="AP1543" s="2">
        <f t="shared" ca="1" si="1528"/>
        <v>2176514.9140323228</v>
      </c>
      <c r="AQ1543" s="2">
        <f t="shared" ca="1" si="1529"/>
        <v>796167.35982442577</v>
      </c>
      <c r="AR1543" s="2">
        <f t="shared" ca="1" si="1530"/>
        <v>869834.4183412987</v>
      </c>
      <c r="AS1543" s="2">
        <f t="shared" ca="1" si="1531"/>
        <v>912574.68455026671</v>
      </c>
      <c r="AT1543" s="2">
        <f t="shared" ca="1" si="1532"/>
        <v>956587.28784468223</v>
      </c>
      <c r="AU1543" s="2">
        <f t="shared" ca="1" si="1533"/>
        <v>1001910.1044897764</v>
      </c>
      <c r="AV1543" s="2">
        <f t="shared" ca="1" si="1534"/>
        <v>2266014.7933464427</v>
      </c>
      <c r="AW1543" s="2">
        <f t="shared" ca="1" si="1535"/>
        <v>2461008.0900399</v>
      </c>
      <c r="AX1543" s="2">
        <f t="shared" ca="1" si="1536"/>
        <v>2582216.6176238614</v>
      </c>
      <c r="AY1543" s="2">
        <f t="shared" ca="1" si="1537"/>
        <v>2707033.4078228367</v>
      </c>
      <c r="AZ1543" s="2">
        <f t="shared" ca="1" si="1538"/>
        <v>2835565.8751839562</v>
      </c>
      <c r="BA1543" s="2">
        <f t="shared" ca="1" si="1539"/>
        <v>54297733.110539123</v>
      </c>
      <c r="BB1543" s="2">
        <f t="shared" ca="1" si="1540"/>
        <v>1085954.6622107825</v>
      </c>
      <c r="BC1543" s="2">
        <f t="shared" ca="1" si="1541"/>
        <v>29028279.403524753</v>
      </c>
      <c r="BD1543" s="2">
        <f t="shared" ca="1" si="1542"/>
        <v>-17629978.490069211</v>
      </c>
      <c r="BE1543" s="2">
        <f t="shared" ca="1" si="1543"/>
        <v>2266014.7933464427</v>
      </c>
      <c r="BF1543" s="2">
        <f t="shared" ca="1" si="1544"/>
        <v>2461008.0900399</v>
      </c>
      <c r="BG1543" s="2">
        <f t="shared" ca="1" si="1545"/>
        <v>2582216.6176238614</v>
      </c>
      <c r="BH1543" s="2">
        <f t="shared" ca="1" si="1546"/>
        <v>2707033.4078228367</v>
      </c>
      <c r="BI1543" s="2">
        <f t="shared" ca="1" si="1547"/>
        <v>31863845.278708708</v>
      </c>
      <c r="BJ1543" s="2">
        <f t="shared" ca="1" si="1548"/>
        <v>0.22529996539010488</v>
      </c>
      <c r="BK1543" s="2">
        <f t="shared" ca="1" si="1549"/>
        <v>7993890.5770925321</v>
      </c>
    </row>
    <row r="1544" spans="1:63" x14ac:dyDescent="0.3">
      <c r="A1544" s="2">
        <v>1543</v>
      </c>
      <c r="B1544" s="2">
        <f t="shared" ca="1" si="1488"/>
        <v>0.13523812967143478</v>
      </c>
      <c r="C1544" s="2">
        <f t="shared" ca="1" si="1489"/>
        <v>6.5200733211220028</v>
      </c>
      <c r="D1544" s="2">
        <f t="shared" ca="1" si="1490"/>
        <v>0.30016990016958034</v>
      </c>
      <c r="E1544" s="2">
        <f t="shared" ca="1" si="1491"/>
        <v>7.2748159783710973</v>
      </c>
      <c r="F1544" s="2">
        <f t="shared" ca="1" si="1492"/>
        <v>0.29509769287156118</v>
      </c>
      <c r="G1544" s="2">
        <f t="shared" ca="1" si="1493"/>
        <v>2.3843412625058211E-2</v>
      </c>
      <c r="H1544" s="2">
        <f t="shared" ca="1" si="1494"/>
        <v>2.3843412625058211E-2</v>
      </c>
      <c r="I1544" s="2">
        <f t="shared" ca="1" si="1495"/>
        <v>0.92751787474115321</v>
      </c>
      <c r="J1544" s="2">
        <f t="shared" ca="1" si="1496"/>
        <v>1.7287756698082773E-2</v>
      </c>
      <c r="K1544" s="2">
        <f t="shared" ca="1" si="1497"/>
        <v>1.7287756698082773E-2</v>
      </c>
      <c r="L1544" s="2">
        <f t="shared" ca="1" si="1498"/>
        <v>0.49172930939044424</v>
      </c>
      <c r="M1544" s="2">
        <f t="shared" ca="1" si="1499"/>
        <v>-4.1466064431306538E-4</v>
      </c>
      <c r="N1544" s="2">
        <f t="shared" ca="1" si="1500"/>
        <v>-4.1466064431306538E-4</v>
      </c>
      <c r="O1544" s="2">
        <f t="shared" si="1501"/>
        <v>6000000</v>
      </c>
      <c r="P1544" s="2">
        <f t="shared" ca="1" si="1502"/>
        <v>39120439.926732019</v>
      </c>
      <c r="Q1544" s="2">
        <f t="shared" ca="1" si="1503"/>
        <v>978010.99816830049</v>
      </c>
      <c r="R1544" s="2">
        <f t="shared" ca="1" si="1504"/>
        <v>23472263.956039209</v>
      </c>
      <c r="S1544" s="2">
        <f t="shared" ca="1" si="1505"/>
        <v>15648175.970692808</v>
      </c>
      <c r="T1544" s="2">
        <f t="shared" ca="1" si="1506"/>
        <v>49979266.967784345</v>
      </c>
      <c r="U1544" s="2">
        <f t="shared" ca="1" si="1507"/>
        <v>51170943.252795167</v>
      </c>
      <c r="V1544" s="2">
        <f t="shared" ca="1" si="1508"/>
        <v>52391033.167185001</v>
      </c>
      <c r="W1544" s="2">
        <f t="shared" ca="1" si="1509"/>
        <v>53640214.188843302</v>
      </c>
      <c r="X1544" s="2">
        <f t="shared" ca="1" si="1510"/>
        <v>54919179.949044392</v>
      </c>
      <c r="Y1544" s="2">
        <f t="shared" ca="1" si="1511"/>
        <v>0.1286438783490414</v>
      </c>
      <c r="Z1544" s="2">
        <f t="shared" ca="1" si="1512"/>
        <v>0.13210142968865793</v>
      </c>
      <c r="AA1544" s="2">
        <f t="shared" ca="1" si="1513"/>
        <v>6429526.7397779124</v>
      </c>
      <c r="AB1544" s="2">
        <f t="shared" ca="1" si="1514"/>
        <v>6759754.7622114252</v>
      </c>
      <c r="AC1544" s="2">
        <f t="shared" ca="1" si="1515"/>
        <v>6920930.3842510348</v>
      </c>
      <c r="AD1544" s="2">
        <f t="shared" ca="1" si="1516"/>
        <v>7085948.9831520347</v>
      </c>
      <c r="AE1544" s="2">
        <f t="shared" ca="1" si="1517"/>
        <v>7254902.1885974398</v>
      </c>
      <c r="AF1544" s="2">
        <f t="shared" ca="1" si="1518"/>
        <v>999585.33935568691</v>
      </c>
      <c r="AG1544" s="2">
        <f t="shared" ca="1" si="1519"/>
        <v>1023418.8650559033</v>
      </c>
      <c r="AH1544" s="2">
        <f t="shared" ca="1" si="1520"/>
        <v>1047820.6633437</v>
      </c>
      <c r="AI1544" s="2">
        <f t="shared" ca="1" si="1521"/>
        <v>1072804.283776866</v>
      </c>
      <c r="AJ1544" s="2">
        <f t="shared" ca="1" si="1522"/>
        <v>1098383.5989808878</v>
      </c>
      <c r="AK1544" s="2">
        <f t="shared" ca="1" si="1523"/>
        <v>0</v>
      </c>
      <c r="AL1544" s="2">
        <f t="shared" ca="1" si="1524"/>
        <v>11916.762850108222</v>
      </c>
      <c r="AM1544" s="2">
        <f t="shared" ca="1" si="1525"/>
        <v>12200.899143898338</v>
      </c>
      <c r="AN1544" s="2">
        <f t="shared" ca="1" si="1526"/>
        <v>12491.810216583013</v>
      </c>
      <c r="AO1544" s="2">
        <f t="shared" ca="1" si="1527"/>
        <v>12789.657602010891</v>
      </c>
      <c r="AP1544" s="2">
        <f t="shared" ca="1" si="1528"/>
        <v>2112503.7560435287</v>
      </c>
      <c r="AQ1544" s="2">
        <f t="shared" ca="1" si="1529"/>
        <v>862533.78753846127</v>
      </c>
      <c r="AR1544" s="2">
        <f t="shared" ca="1" si="1530"/>
        <v>942196.3566891182</v>
      </c>
      <c r="AS1544" s="2">
        <f t="shared" ca="1" si="1531"/>
        <v>977757.55086458975</v>
      </c>
      <c r="AT1544" s="2">
        <f t="shared" ca="1" si="1532"/>
        <v>1014166.6452662264</v>
      </c>
      <c r="AU1544" s="2">
        <f t="shared" ca="1" si="1533"/>
        <v>1051443.8567289861</v>
      </c>
      <c r="AV1544" s="2">
        <f t="shared" ca="1" si="1534"/>
        <v>2454903.8568402356</v>
      </c>
      <c r="AW1544" s="2">
        <f t="shared" ca="1" si="1535"/>
        <v>2669719.0215727664</v>
      </c>
      <c r="AX1544" s="2">
        <f t="shared" ca="1" si="1536"/>
        <v>2770647.5148553192</v>
      </c>
      <c r="AY1544" s="2">
        <f t="shared" ca="1" si="1537"/>
        <v>2873982.4878488299</v>
      </c>
      <c r="AZ1544" s="2">
        <f t="shared" ca="1" si="1538"/>
        <v>2979781.3192420262</v>
      </c>
      <c r="BA1544" s="2">
        <f t="shared" ca="1" si="1539"/>
        <v>52778078.363128096</v>
      </c>
      <c r="BB1544" s="2">
        <f t="shared" ca="1" si="1540"/>
        <v>1055561.567262562</v>
      </c>
      <c r="BC1544" s="2">
        <f t="shared" ca="1" si="1541"/>
        <v>28250252.839826323</v>
      </c>
      <c r="BD1544" s="2">
        <f t="shared" ca="1" si="1542"/>
        <v>-17126186.968861111</v>
      </c>
      <c r="BE1544" s="2">
        <f t="shared" ca="1" si="1543"/>
        <v>2454903.8568402356</v>
      </c>
      <c r="BF1544" s="2">
        <f t="shared" ca="1" si="1544"/>
        <v>2669719.0215727664</v>
      </c>
      <c r="BG1544" s="2">
        <f t="shared" ca="1" si="1545"/>
        <v>2770647.5148553192</v>
      </c>
      <c r="BH1544" s="2">
        <f t="shared" ca="1" si="1546"/>
        <v>2873982.4878488299</v>
      </c>
      <c r="BI1544" s="2">
        <f t="shared" ca="1" si="1547"/>
        <v>31230034.15906835</v>
      </c>
      <c r="BJ1544" s="2">
        <f t="shared" ca="1" si="1548"/>
        <v>0.23838975001762019</v>
      </c>
      <c r="BK1544" s="2">
        <f t="shared" ca="1" si="1549"/>
        <v>8713295.2231643051</v>
      </c>
    </row>
    <row r="1545" spans="1:63" x14ac:dyDescent="0.3">
      <c r="A1545" s="2">
        <v>1544</v>
      </c>
      <c r="B1545" s="2">
        <f t="shared" ca="1" si="1488"/>
        <v>0.95511148889520703</v>
      </c>
      <c r="C1545" s="2">
        <f t="shared" ca="1" si="1489"/>
        <v>7.7003718601172677</v>
      </c>
      <c r="D1545" s="2">
        <f t="shared" ca="1" si="1490"/>
        <v>0.55664421030557498</v>
      </c>
      <c r="E1545" s="2">
        <f t="shared" ca="1" si="1491"/>
        <v>7.5583463591166602</v>
      </c>
      <c r="F1545" s="2">
        <f t="shared" ca="1" si="1492"/>
        <v>0.32487421510838443</v>
      </c>
      <c r="G1545" s="2">
        <f t="shared" ca="1" si="1493"/>
        <v>2.6376648900765187E-2</v>
      </c>
      <c r="H1545" s="2">
        <f t="shared" ca="1" si="1494"/>
        <v>2.6376648900765187E-2</v>
      </c>
      <c r="I1545" s="2">
        <f t="shared" ca="1" si="1495"/>
        <v>0.10239398056228033</v>
      </c>
      <c r="J1545" s="2">
        <f t="shared" ca="1" si="1496"/>
        <v>3.6598601336267945E-3</v>
      </c>
      <c r="K1545" s="2">
        <f t="shared" ca="1" si="1497"/>
        <v>3.6598601336267945E-3</v>
      </c>
      <c r="L1545" s="2">
        <f t="shared" ca="1" si="1498"/>
        <v>0.76258281465573818</v>
      </c>
      <c r="M1545" s="2">
        <f t="shared" ca="1" si="1499"/>
        <v>1.4292707801971847E-2</v>
      </c>
      <c r="N1545" s="2">
        <f t="shared" ca="1" si="1500"/>
        <v>1.4292707801971847E-2</v>
      </c>
      <c r="O1545" s="2">
        <f t="shared" si="1501"/>
        <v>6000000</v>
      </c>
      <c r="P1545" s="2">
        <f t="shared" ca="1" si="1502"/>
        <v>46202231.160703607</v>
      </c>
      <c r="Q1545" s="2">
        <f t="shared" ca="1" si="1503"/>
        <v>1155055.7790175902</v>
      </c>
      <c r="R1545" s="2">
        <f t="shared" ca="1" si="1504"/>
        <v>27721338.696422163</v>
      </c>
      <c r="S1545" s="2">
        <f t="shared" ca="1" si="1505"/>
        <v>18480892.464281444</v>
      </c>
      <c r="T1545" s="2">
        <f t="shared" ca="1" si="1506"/>
        <v>50714635.390098594</v>
      </c>
      <c r="U1545" s="2">
        <f t="shared" ca="1" si="1507"/>
        <v>52052317.521913543</v>
      </c>
      <c r="V1545" s="2">
        <f t="shared" ca="1" si="1508"/>
        <v>53425283.225660197</v>
      </c>
      <c r="W1545" s="2">
        <f t="shared" ca="1" si="1509"/>
        <v>54834463.163727373</v>
      </c>
      <c r="X1545" s="2">
        <f t="shared" ca="1" si="1510"/>
        <v>56280812.546258949</v>
      </c>
      <c r="Y1545" s="2">
        <f t="shared" ca="1" si="1511"/>
        <v>0.12182993006681339</v>
      </c>
      <c r="Z1545" s="2">
        <f t="shared" ca="1" si="1512"/>
        <v>0.12256190209353875</v>
      </c>
      <c r="AA1545" s="2">
        <f t="shared" ca="1" si="1513"/>
        <v>6178560.4829396512</v>
      </c>
      <c r="AB1545" s="2">
        <f t="shared" ca="1" si="1514"/>
        <v>6379631.0438625589</v>
      </c>
      <c r="AC1545" s="2">
        <f t="shared" ca="1" si="1515"/>
        <v>6547904.3320229426</v>
      </c>
      <c r="AD1545" s="2">
        <f t="shared" ca="1" si="1516"/>
        <v>6720616.1056245109</v>
      </c>
      <c r="AE1545" s="2">
        <f t="shared" ca="1" si="1517"/>
        <v>6897883.4370393967</v>
      </c>
      <c r="AF1545" s="2">
        <f t="shared" ca="1" si="1518"/>
        <v>1014292.7078019719</v>
      </c>
      <c r="AG1545" s="2">
        <f t="shared" ca="1" si="1519"/>
        <v>1041046.3504382708</v>
      </c>
      <c r="AH1545" s="2">
        <f t="shared" ca="1" si="1520"/>
        <v>1068505.664513204</v>
      </c>
      <c r="AI1545" s="2">
        <f t="shared" ca="1" si="1521"/>
        <v>1096689.2632745474</v>
      </c>
      <c r="AJ1545" s="2">
        <f t="shared" ca="1" si="1522"/>
        <v>1125616.2509251791</v>
      </c>
      <c r="AK1545" s="2">
        <f t="shared" ca="1" si="1523"/>
        <v>0</v>
      </c>
      <c r="AL1545" s="2">
        <f t="shared" ca="1" si="1524"/>
        <v>13376.821318149492</v>
      </c>
      <c r="AM1545" s="2">
        <f t="shared" ca="1" si="1525"/>
        <v>13729.657037466541</v>
      </c>
      <c r="AN1545" s="2">
        <f t="shared" ca="1" si="1526"/>
        <v>14091.799380671755</v>
      </c>
      <c r="AO1545" s="2">
        <f t="shared" ca="1" si="1527"/>
        <v>14463.49382531576</v>
      </c>
      <c r="AP1545" s="2">
        <f t="shared" ca="1" si="1528"/>
        <v>2494920.4826779948</v>
      </c>
      <c r="AQ1545" s="2">
        <f t="shared" ca="1" si="1529"/>
        <v>694030.29603951809</v>
      </c>
      <c r="AR1545" s="2">
        <f t="shared" ca="1" si="1530"/>
        <v>739352.69479403633</v>
      </c>
      <c r="AS1545" s="2">
        <f t="shared" ca="1" si="1531"/>
        <v>775964.32805625338</v>
      </c>
      <c r="AT1545" s="2">
        <f t="shared" ca="1" si="1532"/>
        <v>813541.65351471188</v>
      </c>
      <c r="AU1545" s="2">
        <f t="shared" ca="1" si="1533"/>
        <v>852110.14289341809</v>
      </c>
      <c r="AV1545" s="2">
        <f t="shared" ca="1" si="1534"/>
        <v>1975316.9964201669</v>
      </c>
      <c r="AW1545" s="2">
        <f t="shared" ca="1" si="1535"/>
        <v>2090934.6946341074</v>
      </c>
      <c r="AX1545" s="2">
        <f t="shared" ca="1" si="1536"/>
        <v>2194784.1997380233</v>
      </c>
      <c r="AY1545" s="2">
        <f t="shared" ca="1" si="1537"/>
        <v>2301372.9067765842</v>
      </c>
      <c r="AZ1545" s="2">
        <f t="shared" ca="1" si="1538"/>
        <v>2410773.0667174901</v>
      </c>
      <c r="BA1545" s="2">
        <f t="shared" ca="1" si="1539"/>
        <v>52136592.161957838</v>
      </c>
      <c r="BB1545" s="2">
        <f t="shared" ca="1" si="1540"/>
        <v>1042731.8432391568</v>
      </c>
      <c r="BC1545" s="2">
        <f t="shared" ca="1" si="1541"/>
        <v>23372521.622296516</v>
      </c>
      <c r="BD1545" s="2">
        <f t="shared" ca="1" si="1542"/>
        <v>-20135948.243299033</v>
      </c>
      <c r="BE1545" s="2">
        <f t="shared" ca="1" si="1543"/>
        <v>1975316.9964201669</v>
      </c>
      <c r="BF1545" s="2">
        <f t="shared" ca="1" si="1544"/>
        <v>2090934.6946341074</v>
      </c>
      <c r="BG1545" s="2">
        <f t="shared" ca="1" si="1545"/>
        <v>2194784.1997380233</v>
      </c>
      <c r="BH1545" s="2">
        <f t="shared" ca="1" si="1546"/>
        <v>2301372.9067765842</v>
      </c>
      <c r="BI1545" s="2">
        <f t="shared" ca="1" si="1547"/>
        <v>25783294.689014006</v>
      </c>
      <c r="BJ1545" s="2">
        <f t="shared" ca="1" si="1548"/>
        <v>0.13235239926016806</v>
      </c>
      <c r="BK1545" s="2">
        <f t="shared" ca="1" si="1549"/>
        <v>949509.94773051143</v>
      </c>
    </row>
    <row r="1546" spans="1:63" x14ac:dyDescent="0.3">
      <c r="A1546" s="2">
        <v>1545</v>
      </c>
      <c r="B1546" s="2">
        <f t="shared" ca="1" si="1488"/>
        <v>0.8798777242313367</v>
      </c>
      <c r="C1546" s="2">
        <f t="shared" ca="1" si="1489"/>
        <v>7.5098525206253459</v>
      </c>
      <c r="D1546" s="2">
        <f t="shared" ca="1" si="1490"/>
        <v>0.57246604033659032</v>
      </c>
      <c r="E1546" s="2">
        <f t="shared" ca="1" si="1491"/>
        <v>7.5753011737182643</v>
      </c>
      <c r="F1546" s="2">
        <f t="shared" ca="1" si="1492"/>
        <v>0.18501859808319598</v>
      </c>
      <c r="G1546" s="2">
        <f t="shared" ca="1" si="1493"/>
        <v>1.3107889239015579E-2</v>
      </c>
      <c r="H1546" s="2">
        <f t="shared" ca="1" si="1494"/>
        <v>1.3107889239015579E-2</v>
      </c>
      <c r="I1546" s="2">
        <f t="shared" ca="1" si="1495"/>
        <v>0.42941534349126864</v>
      </c>
      <c r="J1546" s="2">
        <f t="shared" ca="1" si="1496"/>
        <v>9.1106857499287548E-3</v>
      </c>
      <c r="K1546" s="2">
        <f t="shared" ca="1" si="1497"/>
        <v>9.1106857499287548E-3</v>
      </c>
      <c r="L1546" s="2">
        <f t="shared" ca="1" si="1498"/>
        <v>0.59557963304072048</v>
      </c>
      <c r="M1546" s="2">
        <f t="shared" ca="1" si="1499"/>
        <v>4.8384366171215203E-3</v>
      </c>
      <c r="N1546" s="2">
        <f t="shared" ca="1" si="1500"/>
        <v>4.8384366171215203E-3</v>
      </c>
      <c r="O1546" s="2">
        <f t="shared" si="1501"/>
        <v>6000000</v>
      </c>
      <c r="P1546" s="2">
        <f t="shared" ca="1" si="1502"/>
        <v>45059115.123752072</v>
      </c>
      <c r="Q1546" s="2">
        <f t="shared" ca="1" si="1503"/>
        <v>1126477.8780938019</v>
      </c>
      <c r="R1546" s="2">
        <f t="shared" ca="1" si="1504"/>
        <v>27035469.074251242</v>
      </c>
      <c r="S1546" s="2">
        <f t="shared" ca="1" si="1505"/>
        <v>18023646.04950083</v>
      </c>
      <c r="T1546" s="2">
        <f t="shared" ca="1" si="1506"/>
        <v>50241921.83085607</v>
      </c>
      <c r="U1546" s="2">
        <f t="shared" ca="1" si="1507"/>
        <v>50900487.377370209</v>
      </c>
      <c r="V1546" s="2">
        <f t="shared" ca="1" si="1508"/>
        <v>51567685.328124687</v>
      </c>
      <c r="W1546" s="2">
        <f t="shared" ca="1" si="1509"/>
        <v>52243628.835718147</v>
      </c>
      <c r="X1546" s="2">
        <f t="shared" ca="1" si="1510"/>
        <v>52928432.535940975</v>
      </c>
      <c r="Y1546" s="2">
        <f t="shared" ca="1" si="1511"/>
        <v>0.12455534287496438</v>
      </c>
      <c r="Z1546" s="2">
        <f t="shared" ca="1" si="1512"/>
        <v>0.12637748002495011</v>
      </c>
      <c r="AA1546" s="2">
        <f t="shared" ca="1" si="1513"/>
        <v>6257899.8003394362</v>
      </c>
      <c r="AB1546" s="2">
        <f t="shared" ca="1" si="1514"/>
        <v>6432675.326793829</v>
      </c>
      <c r="AC1546" s="2">
        <f t="shared" ca="1" si="1515"/>
        <v>6516994.1224879902</v>
      </c>
      <c r="AD1546" s="2">
        <f t="shared" ca="1" si="1516"/>
        <v>6602418.1596168783</v>
      </c>
      <c r="AE1546" s="2">
        <f t="shared" ca="1" si="1517"/>
        <v>6688961.9255627999</v>
      </c>
      <c r="AF1546" s="2">
        <f t="shared" ca="1" si="1518"/>
        <v>1004838.4366171214</v>
      </c>
      <c r="AG1546" s="2">
        <f t="shared" ca="1" si="1519"/>
        <v>1018009.7475474041</v>
      </c>
      <c r="AH1546" s="2">
        <f t="shared" ca="1" si="1520"/>
        <v>1031353.7065624938</v>
      </c>
      <c r="AI1546" s="2">
        <f t="shared" ca="1" si="1521"/>
        <v>1044872.5767143629</v>
      </c>
      <c r="AJ1546" s="2">
        <f t="shared" ca="1" si="1522"/>
        <v>1058568.6507188196</v>
      </c>
      <c r="AK1546" s="2">
        <f t="shared" ca="1" si="1523"/>
        <v>0</v>
      </c>
      <c r="AL1546" s="2">
        <f t="shared" ca="1" si="1524"/>
        <v>6585.6554651413862</v>
      </c>
      <c r="AM1546" s="2">
        <f t="shared" ca="1" si="1525"/>
        <v>6671.9795075447855</v>
      </c>
      <c r="AN1546" s="2">
        <f t="shared" ca="1" si="1526"/>
        <v>6759.4350759346044</v>
      </c>
      <c r="AO1546" s="2">
        <f t="shared" ca="1" si="1527"/>
        <v>6848.037002228275</v>
      </c>
      <c r="AP1546" s="2">
        <f t="shared" ca="1" si="1528"/>
        <v>2433192.2166826115</v>
      </c>
      <c r="AQ1546" s="2">
        <f t="shared" ca="1" si="1529"/>
        <v>733165.97823032294</v>
      </c>
      <c r="AR1546" s="2">
        <f t="shared" ca="1" si="1530"/>
        <v>775183.07426659157</v>
      </c>
      <c r="AS1546" s="2">
        <f t="shared" ca="1" si="1531"/>
        <v>793636.53180315008</v>
      </c>
      <c r="AT1546" s="2">
        <f t="shared" ca="1" si="1532"/>
        <v>812331.87521717499</v>
      </c>
      <c r="AU1546" s="2">
        <f t="shared" ca="1" si="1533"/>
        <v>831272.27512195602</v>
      </c>
      <c r="AV1546" s="2">
        <f t="shared" ca="1" si="1534"/>
        <v>2086703.1688093808</v>
      </c>
      <c r="AW1546" s="2">
        <f t="shared" ca="1" si="1535"/>
        <v>2199704.6328320815</v>
      </c>
      <c r="AX1546" s="2">
        <f t="shared" ca="1" si="1536"/>
        <v>2252139.68793219</v>
      </c>
      <c r="AY1546" s="2">
        <f t="shared" ca="1" si="1537"/>
        <v>2305262.0559267937</v>
      </c>
      <c r="AZ1546" s="2">
        <f t="shared" ca="1" si="1538"/>
        <v>2359080.7460371847</v>
      </c>
      <c r="BA1546" s="2">
        <f t="shared" ca="1" si="1539"/>
        <v>50670901.125672661</v>
      </c>
      <c r="BB1546" s="2">
        <f t="shared" ca="1" si="1540"/>
        <v>1013418.0225134533</v>
      </c>
      <c r="BC1546" s="2">
        <f t="shared" ca="1" si="1541"/>
        <v>22622014.028907966</v>
      </c>
      <c r="BD1546" s="2">
        <f t="shared" ca="1" si="1542"/>
        <v>-19650123.927594632</v>
      </c>
      <c r="BE1546" s="2">
        <f t="shared" ca="1" si="1543"/>
        <v>2086703.1688093808</v>
      </c>
      <c r="BF1546" s="2">
        <f t="shared" ca="1" si="1544"/>
        <v>2199704.6328320815</v>
      </c>
      <c r="BG1546" s="2">
        <f t="shared" ca="1" si="1545"/>
        <v>2252139.68793219</v>
      </c>
      <c r="BH1546" s="2">
        <f t="shared" ca="1" si="1546"/>
        <v>2305262.0559267937</v>
      </c>
      <c r="BI1546" s="2">
        <f t="shared" ca="1" si="1547"/>
        <v>24981094.774945151</v>
      </c>
      <c r="BJ1546" s="2">
        <f t="shared" ca="1" si="1548"/>
        <v>0.13622630616151499</v>
      </c>
      <c r="BK1546" s="2">
        <f t="shared" ca="1" si="1549"/>
        <v>1209603.2851582207</v>
      </c>
    </row>
    <row r="1547" spans="1:63" x14ac:dyDescent="0.3">
      <c r="A1547" s="2">
        <v>1546</v>
      </c>
      <c r="B1547" s="2">
        <f t="shared" ca="1" si="1488"/>
        <v>0.21939473700210654</v>
      </c>
      <c r="C1547" s="2">
        <f t="shared" ca="1" si="1489"/>
        <v>6.6624118613100256</v>
      </c>
      <c r="D1547" s="2">
        <f t="shared" ca="1" si="1490"/>
        <v>7.4254370919345947E-2</v>
      </c>
      <c r="E1547" s="2">
        <f t="shared" ca="1" si="1491"/>
        <v>6.8853683197133515</v>
      </c>
      <c r="F1547" s="2">
        <f t="shared" ca="1" si="1492"/>
        <v>0.3148138318111724</v>
      </c>
      <c r="G1547" s="2">
        <f t="shared" ca="1" si="1493"/>
        <v>2.5532470518733565E-2</v>
      </c>
      <c r="H1547" s="2">
        <f t="shared" ca="1" si="1494"/>
        <v>2.5532470518733565E-2</v>
      </c>
      <c r="I1547" s="2">
        <f t="shared" ca="1" si="1495"/>
        <v>0.83326575193714669</v>
      </c>
      <c r="J1547" s="2">
        <f t="shared" ca="1" si="1496"/>
        <v>1.4835755573114333E-2</v>
      </c>
      <c r="K1547" s="2">
        <f t="shared" ca="1" si="1497"/>
        <v>1.4835755573114333E-2</v>
      </c>
      <c r="L1547" s="2">
        <f t="shared" ca="1" si="1498"/>
        <v>0.91121656755375202</v>
      </c>
      <c r="M1547" s="2">
        <f t="shared" ca="1" si="1499"/>
        <v>2.6965691903410933E-2</v>
      </c>
      <c r="N1547" s="2">
        <f t="shared" ca="1" si="1500"/>
        <v>2.6965691903410933E-2</v>
      </c>
      <c r="O1547" s="2">
        <f t="shared" si="1501"/>
        <v>6000000</v>
      </c>
      <c r="P1547" s="2">
        <f t="shared" ca="1" si="1502"/>
        <v>39974471.16786015</v>
      </c>
      <c r="Q1547" s="2">
        <f t="shared" ca="1" si="1503"/>
        <v>999361.7791965038</v>
      </c>
      <c r="R1547" s="2">
        <f t="shared" ca="1" si="1504"/>
        <v>23984682.700716089</v>
      </c>
      <c r="S1547" s="2">
        <f t="shared" ca="1" si="1505"/>
        <v>15989788.467144061</v>
      </c>
      <c r="T1547" s="2">
        <f t="shared" ca="1" si="1506"/>
        <v>51348284.595170543</v>
      </c>
      <c r="U1547" s="2">
        <f t="shared" ca="1" si="1507"/>
        <v>52659333.157784276</v>
      </c>
      <c r="V1547" s="2">
        <f t="shared" ca="1" si="1508"/>
        <v>54003856.029171579</v>
      </c>
      <c r="W1547" s="2">
        <f t="shared" ca="1" si="1509"/>
        <v>55382707.891134337</v>
      </c>
      <c r="X1547" s="2">
        <f t="shared" ca="1" si="1510"/>
        <v>56796765.247612365</v>
      </c>
      <c r="Y1547" s="2">
        <f t="shared" ca="1" si="1511"/>
        <v>0.12741787778655717</v>
      </c>
      <c r="Z1547" s="2">
        <f t="shared" ca="1" si="1512"/>
        <v>0.13038502890118003</v>
      </c>
      <c r="AA1547" s="2">
        <f t="shared" ca="1" si="1513"/>
        <v>6542689.4510967964</v>
      </c>
      <c r="AB1547" s="2">
        <f t="shared" ca="1" si="1514"/>
        <v>6865988.6756945709</v>
      </c>
      <c r="AC1547" s="2">
        <f t="shared" ca="1" si="1515"/>
        <v>7041294.3291387018</v>
      </c>
      <c r="AD1547" s="2">
        <f t="shared" ca="1" si="1516"/>
        <v>7221075.9690111624</v>
      </c>
      <c r="AE1547" s="2">
        <f t="shared" ca="1" si="1517"/>
        <v>7405447.8783034757</v>
      </c>
      <c r="AF1547" s="2">
        <f t="shared" ca="1" si="1518"/>
        <v>1026965.6919034108</v>
      </c>
      <c r="AG1547" s="2">
        <f t="shared" ca="1" si="1519"/>
        <v>1053186.6631556856</v>
      </c>
      <c r="AH1547" s="2">
        <f t="shared" ca="1" si="1520"/>
        <v>1080077.1205834316</v>
      </c>
      <c r="AI1547" s="2">
        <f t="shared" ca="1" si="1521"/>
        <v>1107654.1578226867</v>
      </c>
      <c r="AJ1547" s="2">
        <f t="shared" ca="1" si="1522"/>
        <v>1135935.3049522473</v>
      </c>
      <c r="AK1547" s="2">
        <f t="shared" ca="1" si="1523"/>
        <v>0</v>
      </c>
      <c r="AL1547" s="2">
        <f t="shared" ca="1" si="1524"/>
        <v>13110.485626137332</v>
      </c>
      <c r="AM1547" s="2">
        <f t="shared" ca="1" si="1525"/>
        <v>13445.22871387303</v>
      </c>
      <c r="AN1547" s="2">
        <f t="shared" ca="1" si="1526"/>
        <v>13788.518619627581</v>
      </c>
      <c r="AO1547" s="2">
        <f t="shared" ca="1" si="1527"/>
        <v>14140.573564780279</v>
      </c>
      <c r="AP1547" s="2">
        <f t="shared" ca="1" si="1528"/>
        <v>2158621.443064448</v>
      </c>
      <c r="AQ1547" s="2">
        <f t="shared" ca="1" si="1529"/>
        <v>872846.6021935239</v>
      </c>
      <c r="AR1547" s="2">
        <f t="shared" ca="1" si="1530"/>
        <v>950086.94806335389</v>
      </c>
      <c r="AS1547" s="2">
        <f t="shared" ca="1" si="1531"/>
        <v>988674.89902761381</v>
      </c>
      <c r="AT1547" s="2">
        <f t="shared" ca="1" si="1532"/>
        <v>1028248.0957122474</v>
      </c>
      <c r="AU1547" s="2">
        <f t="shared" ca="1" si="1533"/>
        <v>1068831.6938745631</v>
      </c>
      <c r="AV1547" s="2">
        <f t="shared" ca="1" si="1534"/>
        <v>2484255.7139354139</v>
      </c>
      <c r="AW1547" s="2">
        <f t="shared" ca="1" si="1535"/>
        <v>2690983.1357849468</v>
      </c>
      <c r="AX1547" s="2">
        <f t="shared" ca="1" si="1536"/>
        <v>2800475.6377493353</v>
      </c>
      <c r="AY1547" s="2">
        <f t="shared" ca="1" si="1537"/>
        <v>2912763.7537921532</v>
      </c>
      <c r="AZ1547" s="2">
        <f t="shared" ca="1" si="1538"/>
        <v>3027918.8628474376</v>
      </c>
      <c r="BA1547" s="2">
        <f t="shared" ca="1" si="1539"/>
        <v>50989236.214559205</v>
      </c>
      <c r="BB1547" s="2">
        <f t="shared" ca="1" si="1540"/>
        <v>1019784.7242911841</v>
      </c>
      <c r="BC1547" s="2">
        <f t="shared" ca="1" si="1541"/>
        <v>25984768.789551932</v>
      </c>
      <c r="BD1547" s="2">
        <f t="shared" ca="1" si="1542"/>
        <v>-17489150.246340565</v>
      </c>
      <c r="BE1547" s="2">
        <f t="shared" ca="1" si="1543"/>
        <v>2484255.7139354139</v>
      </c>
      <c r="BF1547" s="2">
        <f t="shared" ca="1" si="1544"/>
        <v>2690983.1357849468</v>
      </c>
      <c r="BG1547" s="2">
        <f t="shared" ca="1" si="1545"/>
        <v>2800475.6377493353</v>
      </c>
      <c r="BH1547" s="2">
        <f t="shared" ca="1" si="1546"/>
        <v>2912763.7537921532</v>
      </c>
      <c r="BI1547" s="2">
        <f t="shared" ca="1" si="1547"/>
        <v>29012687.652399369</v>
      </c>
      <c r="BJ1547" s="2">
        <f t="shared" ca="1" si="1548"/>
        <v>0.21906471563904062</v>
      </c>
      <c r="BK1547" s="2">
        <f t="shared" ca="1" si="1549"/>
        <v>7181185.8906078152</v>
      </c>
    </row>
    <row r="1548" spans="1:63" x14ac:dyDescent="0.3">
      <c r="A1548" s="2">
        <v>1547</v>
      </c>
      <c r="B1548" s="2">
        <f t="shared" ca="1" si="1488"/>
        <v>0.50471012699798523</v>
      </c>
      <c r="C1548" s="2">
        <f t="shared" ca="1" si="1489"/>
        <v>7.0047212722035956</v>
      </c>
      <c r="D1548" s="2">
        <f t="shared" ca="1" si="1490"/>
        <v>0.96714537128047773</v>
      </c>
      <c r="E1548" s="2">
        <f t="shared" ca="1" si="1491"/>
        <v>8.2436618299217912</v>
      </c>
      <c r="F1548" s="2">
        <f t="shared" ca="1" si="1492"/>
        <v>0.44140517822189396</v>
      </c>
      <c r="G1548" s="2">
        <f t="shared" ca="1" si="1493"/>
        <v>3.5577773874752833E-2</v>
      </c>
      <c r="H1548" s="2">
        <f t="shared" ca="1" si="1494"/>
        <v>3.5577773874752833E-2</v>
      </c>
      <c r="I1548" s="2">
        <f t="shared" ca="1" si="1495"/>
        <v>0.50673817660475196</v>
      </c>
      <c r="J1548" s="2">
        <f t="shared" ca="1" si="1496"/>
        <v>1.008445453566458E-2</v>
      </c>
      <c r="K1548" s="2">
        <f t="shared" ca="1" si="1497"/>
        <v>1.008445453566458E-2</v>
      </c>
      <c r="L1548" s="2">
        <f t="shared" ca="1" si="1498"/>
        <v>0.71155820007121651</v>
      </c>
      <c r="M1548" s="2">
        <f t="shared" ca="1" si="1499"/>
        <v>1.1158851437477862E-2</v>
      </c>
      <c r="N1548" s="2">
        <f t="shared" ca="1" si="1500"/>
        <v>1.1158851437477862E-2</v>
      </c>
      <c r="O1548" s="2">
        <f t="shared" si="1501"/>
        <v>6000000</v>
      </c>
      <c r="P1548" s="2">
        <f t="shared" ca="1" si="1502"/>
        <v>42028327.633221574</v>
      </c>
      <c r="Q1548" s="2">
        <f t="shared" ca="1" si="1503"/>
        <v>1050708.1908305394</v>
      </c>
      <c r="R1548" s="2">
        <f t="shared" ca="1" si="1504"/>
        <v>25216996.579932943</v>
      </c>
      <c r="S1548" s="2">
        <f t="shared" ca="1" si="1505"/>
        <v>16811331.053288631</v>
      </c>
      <c r="T1548" s="2">
        <f t="shared" ca="1" si="1506"/>
        <v>50557942.571873896</v>
      </c>
      <c r="U1548" s="2">
        <f t="shared" ca="1" si="1507"/>
        <v>52356681.62026877</v>
      </c>
      <c r="V1548" s="2">
        <f t="shared" ca="1" si="1508"/>
        <v>54219415.799787126</v>
      </c>
      <c r="W1548" s="2">
        <f t="shared" ca="1" si="1509"/>
        <v>56148421.914733157</v>
      </c>
      <c r="X1548" s="2">
        <f t="shared" ca="1" si="1510"/>
        <v>58146057.773039751</v>
      </c>
      <c r="Y1548" s="2">
        <f t="shared" ca="1" si="1511"/>
        <v>0.12504222726783229</v>
      </c>
      <c r="Z1548" s="2">
        <f t="shared" ca="1" si="1512"/>
        <v>0.12705911817496521</v>
      </c>
      <c r="AA1548" s="2">
        <f t="shared" ca="1" si="1513"/>
        <v>6321877.745266269</v>
      </c>
      <c r="AB1548" s="2">
        <f t="shared" ca="1" si="1514"/>
        <v>6652393.7972387588</v>
      </c>
      <c r="AC1548" s="2">
        <f t="shared" ca="1" si="1515"/>
        <v>6889071.1594827278</v>
      </c>
      <c r="AD1548" s="2">
        <f t="shared" ca="1" si="1516"/>
        <v>7134168.9754018867</v>
      </c>
      <c r="AE1548" s="2">
        <f t="shared" ca="1" si="1517"/>
        <v>7387986.8259930117</v>
      </c>
      <c r="AF1548" s="2">
        <f t="shared" ca="1" si="1518"/>
        <v>1011158.851437478</v>
      </c>
      <c r="AG1548" s="2">
        <f t="shared" ca="1" si="1519"/>
        <v>1047133.6324053754</v>
      </c>
      <c r="AH1548" s="2">
        <f t="shared" ca="1" si="1520"/>
        <v>1084388.3159957426</v>
      </c>
      <c r="AI1548" s="2">
        <f t="shared" ca="1" si="1521"/>
        <v>1122968.4382946631</v>
      </c>
      <c r="AJ1548" s="2">
        <f t="shared" ca="1" si="1522"/>
        <v>1162921.1554607952</v>
      </c>
      <c r="AK1548" s="2">
        <f t="shared" ca="1" si="1523"/>
        <v>0</v>
      </c>
      <c r="AL1548" s="2">
        <f t="shared" ca="1" si="1524"/>
        <v>17987.390483948737</v>
      </c>
      <c r="AM1548" s="2">
        <f t="shared" ca="1" si="1525"/>
        <v>18627.341795183569</v>
      </c>
      <c r="AN1548" s="2">
        <f t="shared" ca="1" si="1526"/>
        <v>19290.0611494603</v>
      </c>
      <c r="AO1548" s="2">
        <f t="shared" ca="1" si="1527"/>
        <v>19976.358583065943</v>
      </c>
      <c r="AP1548" s="2">
        <f t="shared" ca="1" si="1528"/>
        <v>2269529.692193965</v>
      </c>
      <c r="AQ1548" s="2">
        <f t="shared" ca="1" si="1529"/>
        <v>790709.19242505473</v>
      </c>
      <c r="AR1548" s="2">
        <f t="shared" ca="1" si="1530"/>
        <v>867289.92288624891</v>
      </c>
      <c r="AS1548" s="2">
        <f t="shared" ca="1" si="1531"/>
        <v>919139.81933618535</v>
      </c>
      <c r="AT1548" s="2">
        <f t="shared" ca="1" si="1532"/>
        <v>972834.41967744729</v>
      </c>
      <c r="AU1548" s="2">
        <f t="shared" ca="1" si="1533"/>
        <v>1028439.3543679453</v>
      </c>
      <c r="AV1548" s="2">
        <f t="shared" ca="1" si="1534"/>
        <v>2250480.0092097712</v>
      </c>
      <c r="AW1548" s="2">
        <f t="shared" ca="1" si="1535"/>
        <v>2450453.1592692216</v>
      </c>
      <c r="AX1548" s="2">
        <f t="shared" ca="1" si="1536"/>
        <v>2597385.9901616513</v>
      </c>
      <c r="AY1548" s="2">
        <f t="shared" ca="1" si="1537"/>
        <v>2749546.3640863509</v>
      </c>
      <c r="AZ1548" s="2">
        <f t="shared" ca="1" si="1538"/>
        <v>2907120.2653872403</v>
      </c>
      <c r="BA1548" s="2">
        <f t="shared" ca="1" si="1539"/>
        <v>60904064.997403637</v>
      </c>
      <c r="BB1548" s="2">
        <f t="shared" ca="1" si="1540"/>
        <v>1218081.2999480728</v>
      </c>
      <c r="BC1548" s="2">
        <f t="shared" ca="1" si="1541"/>
        <v>34468987.11752262</v>
      </c>
      <c r="BD1548" s="2">
        <f t="shared" ca="1" si="1542"/>
        <v>-18362039.244119171</v>
      </c>
      <c r="BE1548" s="2">
        <f t="shared" ca="1" si="1543"/>
        <v>2250480.0092097712</v>
      </c>
      <c r="BF1548" s="2">
        <f t="shared" ca="1" si="1544"/>
        <v>2450453.1592692216</v>
      </c>
      <c r="BG1548" s="2">
        <f t="shared" ca="1" si="1545"/>
        <v>2597385.9901616513</v>
      </c>
      <c r="BH1548" s="2">
        <f t="shared" ca="1" si="1546"/>
        <v>2749546.3640863509</v>
      </c>
      <c r="BI1548" s="2">
        <f t="shared" ca="1" si="1547"/>
        <v>37376107.382909857</v>
      </c>
      <c r="BJ1548" s="2">
        <f t="shared" ca="1" si="1548"/>
        <v>0.24519927491005222</v>
      </c>
      <c r="BK1548" s="2">
        <f t="shared" ca="1" si="1549"/>
        <v>10405165.719574712</v>
      </c>
    </row>
    <row r="1549" spans="1:63" x14ac:dyDescent="0.3">
      <c r="A1549" s="2">
        <v>1548</v>
      </c>
      <c r="B1549" s="2">
        <f t="shared" ca="1" si="1488"/>
        <v>0.40488362050988991</v>
      </c>
      <c r="C1549" s="2">
        <f t="shared" ca="1" si="1489"/>
        <v>6.8998706801645335</v>
      </c>
      <c r="D1549" s="2">
        <f t="shared" ca="1" si="1490"/>
        <v>0.64294700610428324</v>
      </c>
      <c r="E1549" s="2">
        <f t="shared" ca="1" si="1491"/>
        <v>7.6549520795887176</v>
      </c>
      <c r="F1549" s="2">
        <f t="shared" ca="1" si="1492"/>
        <v>0.88556599688048998</v>
      </c>
      <c r="G1549" s="2">
        <f t="shared" ca="1" si="1493"/>
        <v>7.6098398420504365E-2</v>
      </c>
      <c r="H1549" s="2">
        <f t="shared" ca="1" si="1494"/>
        <v>7.6098398420504365E-2</v>
      </c>
      <c r="I1549" s="2">
        <f t="shared" ca="1" si="1495"/>
        <v>0.71278692472909699</v>
      </c>
      <c r="J1549" s="2">
        <f t="shared" ca="1" si="1496"/>
        <v>1.2807724353224723E-2</v>
      </c>
      <c r="K1549" s="2">
        <f t="shared" ca="1" si="1497"/>
        <v>1.2807724353224723E-2</v>
      </c>
      <c r="L1549" s="2">
        <f t="shared" ca="1" si="1498"/>
        <v>0.69156020960985265</v>
      </c>
      <c r="M1549" s="2">
        <f t="shared" ca="1" si="1499"/>
        <v>1.000555323771289E-2</v>
      </c>
      <c r="N1549" s="2">
        <f t="shared" ca="1" si="1500"/>
        <v>1.000555323771289E-2</v>
      </c>
      <c r="O1549" s="2">
        <f t="shared" si="1501"/>
        <v>6000000</v>
      </c>
      <c r="P1549" s="2">
        <f t="shared" ca="1" si="1502"/>
        <v>41399224.0809872</v>
      </c>
      <c r="Q1549" s="2">
        <f t="shared" ca="1" si="1503"/>
        <v>1034980.60202468</v>
      </c>
      <c r="R1549" s="2">
        <f t="shared" ca="1" si="1504"/>
        <v>24839534.44859232</v>
      </c>
      <c r="S1549" s="2">
        <f t="shared" ca="1" si="1505"/>
        <v>16559689.63239488</v>
      </c>
      <c r="T1549" s="2">
        <f t="shared" ca="1" si="1506"/>
        <v>50500277.661885642</v>
      </c>
      <c r="U1549" s="2">
        <f t="shared" ca="1" si="1507"/>
        <v>54343267.911745913</v>
      </c>
      <c r="V1549" s="2">
        <f t="shared" ca="1" si="1508"/>
        <v>58478703.564766161</v>
      </c>
      <c r="W1549" s="2">
        <f t="shared" ca="1" si="1509"/>
        <v>62928839.247752309</v>
      </c>
      <c r="X1549" s="2">
        <f t="shared" ca="1" si="1510"/>
        <v>67717623.128967643</v>
      </c>
      <c r="Y1549" s="2">
        <f t="shared" ca="1" si="1511"/>
        <v>0.12640386217661237</v>
      </c>
      <c r="Z1549" s="2">
        <f t="shared" ca="1" si="1512"/>
        <v>0.12896540704725731</v>
      </c>
      <c r="AA1549" s="2">
        <f t="shared" ca="1" si="1513"/>
        <v>6383430.1374536492</v>
      </c>
      <c r="AB1549" s="2">
        <f t="shared" ca="1" si="1514"/>
        <v>7008401.6665164689</v>
      </c>
      <c r="AC1549" s="2">
        <f t="shared" ca="1" si="1515"/>
        <v>7541729.808825965</v>
      </c>
      <c r="AD1549" s="2">
        <f t="shared" ca="1" si="1516"/>
        <v>8115643.368597798</v>
      </c>
      <c r="AE1549" s="2">
        <f t="shared" ca="1" si="1517"/>
        <v>8733230.8311000783</v>
      </c>
      <c r="AF1549" s="2">
        <f t="shared" ca="1" si="1518"/>
        <v>1010005.5532377128</v>
      </c>
      <c r="AG1549" s="2">
        <f t="shared" ca="1" si="1519"/>
        <v>1086865.3582349182</v>
      </c>
      <c r="AH1549" s="2">
        <f t="shared" ca="1" si="1520"/>
        <v>1169574.0712953233</v>
      </c>
      <c r="AI1549" s="2">
        <f t="shared" ca="1" si="1521"/>
        <v>1258576.7849550461</v>
      </c>
      <c r="AJ1549" s="2">
        <f t="shared" ca="1" si="1522"/>
        <v>1354352.4625793528</v>
      </c>
      <c r="AK1549" s="2">
        <f t="shared" ca="1" si="1523"/>
        <v>0</v>
      </c>
      <c r="AL1549" s="2">
        <f t="shared" ca="1" si="1524"/>
        <v>38429.902498602722</v>
      </c>
      <c r="AM1549" s="2">
        <f t="shared" ca="1" si="1525"/>
        <v>41354.35653020248</v>
      </c>
      <c r="AN1549" s="2">
        <f t="shared" ca="1" si="1526"/>
        <v>44501.356829861477</v>
      </c>
      <c r="AO1549" s="2">
        <f t="shared" ca="1" si="1527"/>
        <v>47887.838812153343</v>
      </c>
      <c r="AP1549" s="2">
        <f t="shared" ca="1" si="1528"/>
        <v>2235558.1003733086</v>
      </c>
      <c r="AQ1549" s="2">
        <f t="shared" ca="1" si="1529"/>
        <v>815845.28579908318</v>
      </c>
      <c r="AR1549" s="2">
        <f t="shared" ca="1" si="1530"/>
        <v>958354.33405614283</v>
      </c>
      <c r="AS1549" s="2">
        <f t="shared" ca="1" si="1531"/>
        <v>1075515.3856609066</v>
      </c>
      <c r="AT1549" s="2">
        <f t="shared" ca="1" si="1532"/>
        <v>1201592.2056500553</v>
      </c>
      <c r="AU1549" s="2">
        <f t="shared" ca="1" si="1533"/>
        <v>1337263.2697183283</v>
      </c>
      <c r="AV1549" s="2">
        <f t="shared" ca="1" si="1534"/>
        <v>2322021.1980435443</v>
      </c>
      <c r="AW1549" s="2">
        <f t="shared" ca="1" si="1535"/>
        <v>2689193.971353496</v>
      </c>
      <c r="AX1549" s="2">
        <f t="shared" ca="1" si="1536"/>
        <v>3019727.8949662237</v>
      </c>
      <c r="AY1549" s="2">
        <f t="shared" ca="1" si="1537"/>
        <v>3375414.9207895272</v>
      </c>
      <c r="AZ1549" s="2">
        <f t="shared" ca="1" si="1538"/>
        <v>3758169.1596169346</v>
      </c>
      <c r="BA1549" s="2">
        <f t="shared" ca="1" si="1539"/>
        <v>66852463.512057848</v>
      </c>
      <c r="BB1549" s="2">
        <f t="shared" ca="1" si="1540"/>
        <v>1337049.2702411569</v>
      </c>
      <c r="BC1549" s="2">
        <f t="shared" ca="1" si="1541"/>
        <v>40675879.793224372</v>
      </c>
      <c r="BD1549" s="2">
        <f t="shared" ca="1" si="1542"/>
        <v>-18094670.234419562</v>
      </c>
      <c r="BE1549" s="2">
        <f t="shared" ca="1" si="1543"/>
        <v>2322021.1980435443</v>
      </c>
      <c r="BF1549" s="2">
        <f t="shared" ca="1" si="1544"/>
        <v>2689193.971353496</v>
      </c>
      <c r="BG1549" s="2">
        <f t="shared" ca="1" si="1545"/>
        <v>3019727.8949662237</v>
      </c>
      <c r="BH1549" s="2">
        <f t="shared" ca="1" si="1546"/>
        <v>3375414.9207895272</v>
      </c>
      <c r="BI1549" s="2">
        <f t="shared" ca="1" si="1547"/>
        <v>44434048.952841304</v>
      </c>
      <c r="BJ1549" s="2">
        <f t="shared" ca="1" si="1548"/>
        <v>0.2966083938741344</v>
      </c>
      <c r="BK1549" s="2">
        <f t="shared" ca="1" si="1549"/>
        <v>15629964.505473778</v>
      </c>
    </row>
    <row r="1550" spans="1:63" x14ac:dyDescent="0.3">
      <c r="A1550" s="2">
        <v>1549</v>
      </c>
      <c r="B1550" s="2">
        <f t="shared" ca="1" si="1488"/>
        <v>0.79079804393803144</v>
      </c>
      <c r="C1550" s="2">
        <f t="shared" ca="1" si="1489"/>
        <v>7.3531585108205126</v>
      </c>
      <c r="D1550" s="2">
        <f t="shared" ca="1" si="1490"/>
        <v>0.55590875964821107</v>
      </c>
      <c r="E1550" s="2">
        <f t="shared" ca="1" si="1491"/>
        <v>7.5575656623914966</v>
      </c>
      <c r="F1550" s="2">
        <f t="shared" ca="1" si="1492"/>
        <v>0.18662787703393346</v>
      </c>
      <c r="G1550" s="2">
        <f t="shared" ca="1" si="1493"/>
        <v>1.3288257748361586E-2</v>
      </c>
      <c r="H1550" s="2">
        <f t="shared" ca="1" si="1494"/>
        <v>1.3288257748361586E-2</v>
      </c>
      <c r="I1550" s="2">
        <f t="shared" ca="1" si="1495"/>
        <v>0.26921333924734936</v>
      </c>
      <c r="J1550" s="2">
        <f t="shared" ca="1" si="1496"/>
        <v>6.9240305206352618E-3</v>
      </c>
      <c r="K1550" s="2">
        <f t="shared" ca="1" si="1497"/>
        <v>6.9240305206352618E-3</v>
      </c>
      <c r="L1550" s="2">
        <f t="shared" ca="1" si="1498"/>
        <v>0.74257273106662425</v>
      </c>
      <c r="M1550" s="2">
        <f t="shared" ca="1" si="1499"/>
        <v>1.3025947645775273E-2</v>
      </c>
      <c r="N1550" s="2">
        <f t="shared" ca="1" si="1500"/>
        <v>1.3025947645775273E-2</v>
      </c>
      <c r="O1550" s="2">
        <f t="shared" si="1501"/>
        <v>6000000</v>
      </c>
      <c r="P1550" s="2">
        <f t="shared" ca="1" si="1502"/>
        <v>44118951.064923078</v>
      </c>
      <c r="Q1550" s="2">
        <f t="shared" ca="1" si="1503"/>
        <v>1102973.776623077</v>
      </c>
      <c r="R1550" s="2">
        <f t="shared" ca="1" si="1504"/>
        <v>26471370.638953846</v>
      </c>
      <c r="S1550" s="2">
        <f t="shared" ca="1" si="1505"/>
        <v>17647580.425969232</v>
      </c>
      <c r="T1550" s="2">
        <f t="shared" ca="1" si="1506"/>
        <v>50651297.382288761</v>
      </c>
      <c r="U1550" s="2">
        <f t="shared" ca="1" si="1507"/>
        <v>51324364.877193525</v>
      </c>
      <c r="V1550" s="2">
        <f t="shared" ca="1" si="1508"/>
        <v>52006376.266452625</v>
      </c>
      <c r="W1550" s="2">
        <f t="shared" ca="1" si="1509"/>
        <v>52697450.398839518</v>
      </c>
      <c r="X1550" s="2">
        <f t="shared" ca="1" si="1510"/>
        <v>53397707.702420793</v>
      </c>
      <c r="Y1550" s="2">
        <f t="shared" ca="1" si="1511"/>
        <v>0.12346201526031762</v>
      </c>
      <c r="Z1550" s="2">
        <f t="shared" ca="1" si="1512"/>
        <v>0.12484682136444468</v>
      </c>
      <c r="AA1550" s="2">
        <f t="shared" ca="1" si="1513"/>
        <v>6253511.2503670212</v>
      </c>
      <c r="AB1550" s="2">
        <f t="shared" ca="1" si="1514"/>
        <v>6407683.8134665592</v>
      </c>
      <c r="AC1550" s="2">
        <f t="shared" ca="1" si="1515"/>
        <v>6492830.7675499059</v>
      </c>
      <c r="AD1550" s="2">
        <f t="shared" ca="1" si="1516"/>
        <v>6579109.1763056014</v>
      </c>
      <c r="AE1550" s="2">
        <f t="shared" ca="1" si="1517"/>
        <v>6666534.0747949602</v>
      </c>
      <c r="AF1550" s="2">
        <f t="shared" ca="1" si="1518"/>
        <v>1013025.9476457753</v>
      </c>
      <c r="AG1550" s="2">
        <f t="shared" ca="1" si="1519"/>
        <v>1026487.2975438705</v>
      </c>
      <c r="AH1550" s="2">
        <f t="shared" ca="1" si="1520"/>
        <v>1040127.5253290526</v>
      </c>
      <c r="AI1550" s="2">
        <f t="shared" ca="1" si="1521"/>
        <v>1053949.0079767904</v>
      </c>
      <c r="AJ1550" s="2">
        <f t="shared" ca="1" si="1522"/>
        <v>1067954.1540484158</v>
      </c>
      <c r="AK1550" s="2">
        <f t="shared" ca="1" si="1523"/>
        <v>0</v>
      </c>
      <c r="AL1550" s="2">
        <f t="shared" ca="1" si="1524"/>
        <v>6730.6749490476404</v>
      </c>
      <c r="AM1550" s="2">
        <f t="shared" ca="1" si="1525"/>
        <v>6820.113892591</v>
      </c>
      <c r="AN1550" s="2">
        <f t="shared" ca="1" si="1526"/>
        <v>6910.7413238689305</v>
      </c>
      <c r="AO1550" s="2">
        <f t="shared" ca="1" si="1527"/>
        <v>7002.5730358127503</v>
      </c>
      <c r="AP1550" s="2">
        <f t="shared" ca="1" si="1528"/>
        <v>2382423.3575058458</v>
      </c>
      <c r="AQ1550" s="2">
        <f t="shared" ca="1" si="1529"/>
        <v>743096.10575600411</v>
      </c>
      <c r="AR1550" s="2">
        <f t="shared" ca="1" si="1530"/>
        <v>779681.02118837927</v>
      </c>
      <c r="AS1550" s="2">
        <f t="shared" ca="1" si="1531"/>
        <v>798272.77002590196</v>
      </c>
      <c r="AT1550" s="2">
        <f t="shared" ca="1" si="1532"/>
        <v>817111.57081397087</v>
      </c>
      <c r="AU1550" s="2">
        <f t="shared" ca="1" si="1533"/>
        <v>836200.70644258161</v>
      </c>
      <c r="AV1550" s="2">
        <f t="shared" ca="1" si="1534"/>
        <v>2114965.839459396</v>
      </c>
      <c r="AW1550" s="2">
        <f t="shared" ca="1" si="1535"/>
        <v>2212361.4622794157</v>
      </c>
      <c r="AX1550" s="2">
        <f t="shared" ca="1" si="1536"/>
        <v>2265187.0007965146</v>
      </c>
      <c r="AY1550" s="2">
        <f t="shared" ca="1" si="1537"/>
        <v>2318714.4986851253</v>
      </c>
      <c r="AZ1550" s="2">
        <f t="shared" ca="1" si="1538"/>
        <v>2372953.2837623041</v>
      </c>
      <c r="BA1550" s="2">
        <f t="shared" ca="1" si="1539"/>
        <v>50382769.010833256</v>
      </c>
      <c r="BB1550" s="2">
        <f t="shared" ca="1" si="1540"/>
        <v>1007655.3802166651</v>
      </c>
      <c r="BC1550" s="2">
        <f t="shared" ca="1" si="1541"/>
        <v>22903742.991662744</v>
      </c>
      <c r="BD1550" s="2">
        <f t="shared" ca="1" si="1542"/>
        <v>-19250554.20259231</v>
      </c>
      <c r="BE1550" s="2">
        <f t="shared" ca="1" si="1543"/>
        <v>2114965.839459396</v>
      </c>
      <c r="BF1550" s="2">
        <f t="shared" ca="1" si="1544"/>
        <v>2212361.4622794157</v>
      </c>
      <c r="BG1550" s="2">
        <f t="shared" ca="1" si="1545"/>
        <v>2265187.0007965146</v>
      </c>
      <c r="BH1550" s="2">
        <f t="shared" ca="1" si="1546"/>
        <v>2318714.4986851253</v>
      </c>
      <c r="BI1550" s="2">
        <f t="shared" ca="1" si="1547"/>
        <v>25276696.275425047</v>
      </c>
      <c r="BJ1550" s="2">
        <f t="shared" ca="1" si="1548"/>
        <v>0.14479666548886927</v>
      </c>
      <c r="BK1550" s="2">
        <f t="shared" ca="1" si="1549"/>
        <v>1830065.8045897521</v>
      </c>
    </row>
    <row r="1551" spans="1:63" x14ac:dyDescent="0.3">
      <c r="A1551" s="2">
        <v>1550</v>
      </c>
      <c r="B1551" s="2">
        <f t="shared" ca="1" si="1488"/>
        <v>0.82221240826770714</v>
      </c>
      <c r="C1551" s="2">
        <f t="shared" ca="1" si="1489"/>
        <v>7.4036987477251239</v>
      </c>
      <c r="D1551" s="2">
        <f t="shared" ca="1" si="1490"/>
        <v>0.35527056718805206</v>
      </c>
      <c r="E1551" s="2">
        <f t="shared" ca="1" si="1491"/>
        <v>7.3429360203337524</v>
      </c>
      <c r="F1551" s="2">
        <f t="shared" ca="1" si="1492"/>
        <v>0.60212353801820551</v>
      </c>
      <c r="G1551" s="2">
        <f t="shared" ca="1" si="1493"/>
        <v>4.7765424331637892E-2</v>
      </c>
      <c r="H1551" s="2">
        <f t="shared" ca="1" si="1494"/>
        <v>4.7765424331637892E-2</v>
      </c>
      <c r="I1551" s="2">
        <f t="shared" ca="1" si="1495"/>
        <v>0.74828463108092302</v>
      </c>
      <c r="J1551" s="2">
        <f t="shared" ca="1" si="1496"/>
        <v>1.3345507463552508E-2</v>
      </c>
      <c r="K1551" s="2">
        <f t="shared" ca="1" si="1497"/>
        <v>1.3345507463552508E-2</v>
      </c>
      <c r="L1551" s="2">
        <f t="shared" ca="1" si="1498"/>
        <v>0.99342404975629039</v>
      </c>
      <c r="M1551" s="2">
        <f t="shared" ca="1" si="1499"/>
        <v>4.9592587684588713E-2</v>
      </c>
      <c r="N1551" s="2">
        <f t="shared" ca="1" si="1500"/>
        <v>4.9592587684588713E-2</v>
      </c>
      <c r="O1551" s="2">
        <f t="shared" si="1501"/>
        <v>6000000</v>
      </c>
      <c r="P1551" s="2">
        <f t="shared" ca="1" si="1502"/>
        <v>44422192.486350745</v>
      </c>
      <c r="Q1551" s="2">
        <f t="shared" ca="1" si="1503"/>
        <v>1110554.8121587688</v>
      </c>
      <c r="R1551" s="2">
        <f t="shared" ca="1" si="1504"/>
        <v>26653315.491810445</v>
      </c>
      <c r="S1551" s="2">
        <f t="shared" ca="1" si="1505"/>
        <v>17768876.9945403</v>
      </c>
      <c r="T1551" s="2">
        <f t="shared" ca="1" si="1506"/>
        <v>52479629.384229429</v>
      </c>
      <c r="U1551" s="2">
        <f t="shared" ca="1" si="1507"/>
        <v>54986341.150534242</v>
      </c>
      <c r="V1551" s="2">
        <f t="shared" ca="1" si="1508"/>
        <v>57612787.06803371</v>
      </c>
      <c r="W1551" s="2">
        <f t="shared" ca="1" si="1509"/>
        <v>60364686.289266638</v>
      </c>
      <c r="X1551" s="2">
        <f t="shared" ca="1" si="1510"/>
        <v>63248031.144519664</v>
      </c>
      <c r="Y1551" s="2">
        <f t="shared" ca="1" si="1511"/>
        <v>0.12667275373177625</v>
      </c>
      <c r="Z1551" s="2">
        <f t="shared" ca="1" si="1512"/>
        <v>0.12934185522448674</v>
      </c>
      <c r="AA1551" s="2">
        <f t="shared" ca="1" si="1513"/>
        <v>6647739.1689233826</v>
      </c>
      <c r="AB1551" s="2">
        <f t="shared" ca="1" si="1514"/>
        <v>7112035.3764166376</v>
      </c>
      <c r="AC1551" s="2">
        <f t="shared" ca="1" si="1515"/>
        <v>7451744.7640327979</v>
      </c>
      <c r="AD1551" s="2">
        <f t="shared" ca="1" si="1516"/>
        <v>7807680.5146978851</v>
      </c>
      <c r="AE1551" s="2">
        <f t="shared" ca="1" si="1517"/>
        <v>8180617.6875282908</v>
      </c>
      <c r="AF1551" s="2">
        <f t="shared" ca="1" si="1518"/>
        <v>1049592.5876845885</v>
      </c>
      <c r="AG1551" s="2">
        <f t="shared" ca="1" si="1519"/>
        <v>1099726.8230106849</v>
      </c>
      <c r="AH1551" s="2">
        <f t="shared" ca="1" si="1520"/>
        <v>1152255.7413606741</v>
      </c>
      <c r="AI1551" s="2">
        <f t="shared" ca="1" si="1521"/>
        <v>1207293.7257853327</v>
      </c>
      <c r="AJ1551" s="2">
        <f t="shared" ca="1" si="1522"/>
        <v>1264960.6228903932</v>
      </c>
      <c r="AK1551" s="2">
        <f t="shared" ca="1" si="1523"/>
        <v>0</v>
      </c>
      <c r="AL1551" s="2">
        <f t="shared" ca="1" si="1524"/>
        <v>25067.117663048135</v>
      </c>
      <c r="AM1551" s="2">
        <f t="shared" ca="1" si="1525"/>
        <v>26264.459174994678</v>
      </c>
      <c r="AN1551" s="2">
        <f t="shared" ca="1" si="1526"/>
        <v>27518.992212329285</v>
      </c>
      <c r="AO1551" s="2">
        <f t="shared" ca="1" si="1527"/>
        <v>28833.448552530259</v>
      </c>
      <c r="AP1551" s="2">
        <f t="shared" ca="1" si="1528"/>
        <v>2398798.3942629402</v>
      </c>
      <c r="AQ1551" s="2">
        <f t="shared" ca="1" si="1529"/>
        <v>831830.52861372207</v>
      </c>
      <c r="AR1551" s="2">
        <f t="shared" ca="1" si="1530"/>
        <v>939512.64137718326</v>
      </c>
      <c r="AS1551" s="2">
        <f t="shared" ca="1" si="1531"/>
        <v>1014179.5633863879</v>
      </c>
      <c r="AT1551" s="2">
        <f t="shared" ca="1" si="1532"/>
        <v>1092412.982608899</v>
      </c>
      <c r="AU1551" s="2">
        <f t="shared" ca="1" si="1533"/>
        <v>1174383.2542974891</v>
      </c>
      <c r="AV1551" s="2">
        <f t="shared" ca="1" si="1534"/>
        <v>2367517.658362132</v>
      </c>
      <c r="AW1551" s="2">
        <f t="shared" ca="1" si="1535"/>
        <v>2648930.4001027807</v>
      </c>
      <c r="AX1551" s="2">
        <f t="shared" ca="1" si="1536"/>
        <v>2860246.6058478015</v>
      </c>
      <c r="AY1551" s="2">
        <f t="shared" ca="1" si="1537"/>
        <v>3081656.4198283846</v>
      </c>
      <c r="AZ1551" s="2">
        <f t="shared" ca="1" si="1538"/>
        <v>3313641.9675249378</v>
      </c>
      <c r="BA1551" s="2">
        <f t="shared" ca="1" si="1539"/>
        <v>60069752.286330894</v>
      </c>
      <c r="BB1551" s="2">
        <f t="shared" ca="1" si="1540"/>
        <v>1201395.0457266178</v>
      </c>
      <c r="BC1551" s="2">
        <f t="shared" ca="1" si="1541"/>
        <v>32215041.748793833</v>
      </c>
      <c r="BD1551" s="2">
        <f t="shared" ca="1" si="1542"/>
        <v>-19379431.806699067</v>
      </c>
      <c r="BE1551" s="2">
        <f t="shared" ca="1" si="1543"/>
        <v>2367517.658362132</v>
      </c>
      <c r="BF1551" s="2">
        <f t="shared" ca="1" si="1544"/>
        <v>2648930.4001027807</v>
      </c>
      <c r="BG1551" s="2">
        <f t="shared" ca="1" si="1545"/>
        <v>2860246.6058478015</v>
      </c>
      <c r="BH1551" s="2">
        <f t="shared" ca="1" si="1546"/>
        <v>3081656.4198283846</v>
      </c>
      <c r="BI1551" s="2">
        <f t="shared" ca="1" si="1547"/>
        <v>35528683.716318771</v>
      </c>
      <c r="BJ1551" s="2">
        <f t="shared" ca="1" si="1548"/>
        <v>0.22688188838628864</v>
      </c>
      <c r="BK1551" s="2">
        <f t="shared" ca="1" si="1549"/>
        <v>9000379.0355531052</v>
      </c>
    </row>
    <row r="1552" spans="1:63" x14ac:dyDescent="0.3">
      <c r="A1552" s="2">
        <v>1551</v>
      </c>
      <c r="B1552" s="2">
        <f t="shared" ca="1" si="1488"/>
        <v>0.24583580430137686</v>
      </c>
      <c r="C1552" s="2">
        <f t="shared" ca="1" si="1489"/>
        <v>6.701192989556195</v>
      </c>
      <c r="D1552" s="2">
        <f t="shared" ca="1" si="1490"/>
        <v>0.22875586546634985</v>
      </c>
      <c r="E1552" s="2">
        <f t="shared" ca="1" si="1491"/>
        <v>7.1763961346228253</v>
      </c>
      <c r="F1552" s="2">
        <f t="shared" ca="1" si="1492"/>
        <v>0.22214753774166629</v>
      </c>
      <c r="G1552" s="2">
        <f t="shared" ca="1" si="1493"/>
        <v>1.7051185474997461E-2</v>
      </c>
      <c r="H1552" s="2">
        <f t="shared" ca="1" si="1494"/>
        <v>1.7051185474997461E-2</v>
      </c>
      <c r="I1552" s="2">
        <f t="shared" ca="1" si="1495"/>
        <v>0.6852099559974355</v>
      </c>
      <c r="J1552" s="2">
        <f t="shared" ca="1" si="1496"/>
        <v>1.2411589819180363E-2</v>
      </c>
      <c r="K1552" s="2">
        <f t="shared" ca="1" si="1497"/>
        <v>1.2411589819180363E-2</v>
      </c>
      <c r="L1552" s="2">
        <f t="shared" ca="1" si="1498"/>
        <v>0.49168036979591023</v>
      </c>
      <c r="M1552" s="2">
        <f t="shared" ca="1" si="1499"/>
        <v>-4.1711464224753137E-4</v>
      </c>
      <c r="N1552" s="2">
        <f t="shared" ca="1" si="1500"/>
        <v>-4.1711464224753137E-4</v>
      </c>
      <c r="O1552" s="2">
        <f t="shared" si="1501"/>
        <v>6000000</v>
      </c>
      <c r="P1552" s="2">
        <f t="shared" ca="1" si="1502"/>
        <v>40207157.937337168</v>
      </c>
      <c r="Q1552" s="2">
        <f t="shared" ca="1" si="1503"/>
        <v>1005178.9484334292</v>
      </c>
      <c r="R1552" s="2">
        <f t="shared" ca="1" si="1504"/>
        <v>24124294.7624023</v>
      </c>
      <c r="S1552" s="2">
        <f t="shared" ca="1" si="1505"/>
        <v>16082863.174934868</v>
      </c>
      <c r="T1552" s="2">
        <f t="shared" ca="1" si="1506"/>
        <v>49979144.267887622</v>
      </c>
      <c r="U1552" s="2">
        <f t="shared" ca="1" si="1507"/>
        <v>50831347.926681034</v>
      </c>
      <c r="V1552" s="2">
        <f t="shared" ca="1" si="1508"/>
        <v>51698082.668122999</v>
      </c>
      <c r="W1552" s="2">
        <f t="shared" ca="1" si="1509"/>
        <v>52579596.264398918</v>
      </c>
      <c r="X1552" s="2">
        <f t="shared" ca="1" si="1510"/>
        <v>53476140.712503672</v>
      </c>
      <c r="Y1552" s="2">
        <f t="shared" ca="1" si="1511"/>
        <v>0.12620579490959016</v>
      </c>
      <c r="Z1552" s="2">
        <f t="shared" ca="1" si="1512"/>
        <v>0.12868811287342624</v>
      </c>
      <c r="AA1552" s="2">
        <f t="shared" ca="1" si="1513"/>
        <v>6307657.6312298439</v>
      </c>
      <c r="AB1552" s="2">
        <f t="shared" ca="1" si="1514"/>
        <v>6541390.2394971298</v>
      </c>
      <c r="AC1552" s="2">
        <f t="shared" ca="1" si="1515"/>
        <v>6652928.6977351336</v>
      </c>
      <c r="AD1552" s="2">
        <f t="shared" ca="1" si="1516"/>
        <v>6766369.0189121487</v>
      </c>
      <c r="AE1552" s="2">
        <f t="shared" ca="1" si="1517"/>
        <v>6881743.6320458967</v>
      </c>
      <c r="AF1552" s="2">
        <f t="shared" ca="1" si="1518"/>
        <v>999582.88535775244</v>
      </c>
      <c r="AG1552" s="2">
        <f t="shared" ca="1" si="1519"/>
        <v>1016626.9585336207</v>
      </c>
      <c r="AH1552" s="2">
        <f t="shared" ca="1" si="1520"/>
        <v>1033961.65336246</v>
      </c>
      <c r="AI1552" s="2">
        <f t="shared" ca="1" si="1521"/>
        <v>1051591.9252879783</v>
      </c>
      <c r="AJ1552" s="2">
        <f t="shared" ca="1" si="1522"/>
        <v>1069522.8142500734</v>
      </c>
      <c r="AK1552" s="2">
        <f t="shared" ca="1" si="1523"/>
        <v>0</v>
      </c>
      <c r="AL1552" s="2">
        <f t="shared" ca="1" si="1524"/>
        <v>8522.0365879341225</v>
      </c>
      <c r="AM1552" s="2">
        <f t="shared" ca="1" si="1525"/>
        <v>8667.3474144196516</v>
      </c>
      <c r="AN1552" s="2">
        <f t="shared" ca="1" si="1526"/>
        <v>8815.1359627591828</v>
      </c>
      <c r="AO1552" s="2">
        <f t="shared" ca="1" si="1527"/>
        <v>8965.4444810475416</v>
      </c>
      <c r="AP1552" s="2">
        <f t="shared" ca="1" si="1528"/>
        <v>2171186.5286162067</v>
      </c>
      <c r="AQ1552" s="2">
        <f t="shared" ca="1" si="1529"/>
        <v>815590.93648653012</v>
      </c>
      <c r="AR1552" s="2">
        <f t="shared" ca="1" si="1530"/>
        <v>871929.95561029867</v>
      </c>
      <c r="AS1552" s="2">
        <f t="shared" ca="1" si="1531"/>
        <v>896422.93409668154</v>
      </c>
      <c r="AT1552" s="2">
        <f t="shared" ca="1" si="1532"/>
        <v>921333.54690207075</v>
      </c>
      <c r="AU1552" s="2">
        <f t="shared" ca="1" si="1533"/>
        <v>946668.91518670029</v>
      </c>
      <c r="AV1552" s="2">
        <f t="shared" ca="1" si="1534"/>
        <v>2321297.2807693547</v>
      </c>
      <c r="AW1552" s="2">
        <f t="shared" ca="1" si="1535"/>
        <v>2473124.7601490701</v>
      </c>
      <c r="AX1552" s="2">
        <f t="shared" ca="1" si="1536"/>
        <v>2542690.2342453655</v>
      </c>
      <c r="AY1552" s="2">
        <f t="shared" ca="1" si="1537"/>
        <v>2613441.8821431343</v>
      </c>
      <c r="AZ1552" s="2">
        <f t="shared" ca="1" si="1538"/>
        <v>2685399.9295118684</v>
      </c>
      <c r="BA1552" s="2">
        <f t="shared" ca="1" si="1539"/>
        <v>49386118.400479414</v>
      </c>
      <c r="BB1552" s="2">
        <f t="shared" ca="1" si="1540"/>
        <v>987722.36800958833</v>
      </c>
      <c r="BC1552" s="2">
        <f t="shared" ca="1" si="1541"/>
        <v>24274101.270067524</v>
      </c>
      <c r="BD1552" s="2">
        <f t="shared" ca="1" si="1542"/>
        <v>-17588042.123368297</v>
      </c>
      <c r="BE1552" s="2">
        <f t="shared" ca="1" si="1543"/>
        <v>2321297.2807693547</v>
      </c>
      <c r="BF1552" s="2">
        <f t="shared" ca="1" si="1544"/>
        <v>2473124.7601490701</v>
      </c>
      <c r="BG1552" s="2">
        <f t="shared" ca="1" si="1545"/>
        <v>2542690.2342453655</v>
      </c>
      <c r="BH1552" s="2">
        <f t="shared" ca="1" si="1546"/>
        <v>2613441.8821431343</v>
      </c>
      <c r="BI1552" s="2">
        <f t="shared" ca="1" si="1547"/>
        <v>26959501.199579392</v>
      </c>
      <c r="BJ1552" s="2">
        <f t="shared" ca="1" si="1548"/>
        <v>0.19365957474419715</v>
      </c>
      <c r="BK1552" s="2">
        <f t="shared" ca="1" si="1549"/>
        <v>5224375.8970975131</v>
      </c>
    </row>
    <row r="1553" spans="1:63" x14ac:dyDescent="0.3">
      <c r="A1553" s="2">
        <v>1552</v>
      </c>
      <c r="B1553" s="2">
        <f t="shared" ca="1" si="1488"/>
        <v>0.65207098204662595</v>
      </c>
      <c r="C1553" s="2">
        <f t="shared" ca="1" si="1489"/>
        <v>7.1658189429705637</v>
      </c>
      <c r="D1553" s="2">
        <f t="shared" ca="1" si="1490"/>
        <v>0.99585903644730944</v>
      </c>
      <c r="E1553" s="2">
        <f t="shared" ca="1" si="1491"/>
        <v>8.4089949061569573</v>
      </c>
      <c r="F1553" s="2">
        <f t="shared" ca="1" si="1492"/>
        <v>0.56089173682344351</v>
      </c>
      <c r="G1553" s="2">
        <f t="shared" ca="1" si="1493"/>
        <v>4.4596914231783386E-2</v>
      </c>
      <c r="H1553" s="2">
        <f t="shared" ca="1" si="1494"/>
        <v>4.4596914231783386E-2</v>
      </c>
      <c r="I1553" s="2">
        <f t="shared" ca="1" si="1495"/>
        <v>0.45252099243801858</v>
      </c>
      <c r="J1553" s="2">
        <f t="shared" ca="1" si="1496"/>
        <v>9.4035271473684214E-3</v>
      </c>
      <c r="K1553" s="2">
        <f t="shared" ca="1" si="1497"/>
        <v>9.4035271473684214E-3</v>
      </c>
      <c r="L1553" s="2">
        <f t="shared" ca="1" si="1498"/>
        <v>0.99907603022497526</v>
      </c>
      <c r="M1553" s="2">
        <f t="shared" ca="1" si="1499"/>
        <v>6.2272827470624341E-2</v>
      </c>
      <c r="N1553" s="2">
        <f t="shared" ca="1" si="1500"/>
        <v>0.05</v>
      </c>
      <c r="O1553" s="2">
        <f t="shared" si="1501"/>
        <v>6000000</v>
      </c>
      <c r="P1553" s="2">
        <f t="shared" ca="1" si="1502"/>
        <v>42994913.657823384</v>
      </c>
      <c r="Q1553" s="2">
        <f t="shared" ca="1" si="1503"/>
        <v>1074872.8414455845</v>
      </c>
      <c r="R1553" s="2">
        <f t="shared" ca="1" si="1504"/>
        <v>25796948.194694031</v>
      </c>
      <c r="S1553" s="2">
        <f t="shared" ca="1" si="1505"/>
        <v>17197965.463129353</v>
      </c>
      <c r="T1553" s="2">
        <f t="shared" ca="1" si="1506"/>
        <v>52500000</v>
      </c>
      <c r="U1553" s="2">
        <f t="shared" ca="1" si="1507"/>
        <v>54841337.99716863</v>
      </c>
      <c r="V1553" s="2">
        <f t="shared" ca="1" si="1508"/>
        <v>57287092.444184609</v>
      </c>
      <c r="W1553" s="2">
        <f t="shared" ca="1" si="1509"/>
        <v>59841919.992506161</v>
      </c>
      <c r="X1553" s="2">
        <f t="shared" ca="1" si="1510"/>
        <v>62510684.965877205</v>
      </c>
      <c r="Y1553" s="2">
        <f t="shared" ca="1" si="1511"/>
        <v>0.1247017635736842</v>
      </c>
      <c r="Z1553" s="2">
        <f t="shared" ca="1" si="1512"/>
        <v>0.12658246900315789</v>
      </c>
      <c r="AA1553" s="2">
        <f t="shared" ca="1" si="1513"/>
        <v>6546842.5876184208</v>
      </c>
      <c r="AB1553" s="2">
        <f t="shared" ca="1" si="1514"/>
        <v>6941951.9671183033</v>
      </c>
      <c r="AC1553" s="2">
        <f t="shared" ca="1" si="1515"/>
        <v>7251541.6035970394</v>
      </c>
      <c r="AD1553" s="2">
        <f t="shared" ca="1" si="1516"/>
        <v>7574937.9825408654</v>
      </c>
      <c r="AE1553" s="2">
        <f t="shared" ca="1" si="1517"/>
        <v>7912756.8420593198</v>
      </c>
      <c r="AF1553" s="2">
        <f t="shared" ca="1" si="1518"/>
        <v>1050000</v>
      </c>
      <c r="AG1553" s="2">
        <f t="shared" ca="1" si="1519"/>
        <v>1096826.7599433726</v>
      </c>
      <c r="AH1553" s="2">
        <f t="shared" ca="1" si="1520"/>
        <v>1145741.8488836922</v>
      </c>
      <c r="AI1553" s="2">
        <f t="shared" ca="1" si="1521"/>
        <v>1196838.3998501233</v>
      </c>
      <c r="AJ1553" s="2">
        <f t="shared" ca="1" si="1522"/>
        <v>1250213.6993175442</v>
      </c>
      <c r="AK1553" s="2">
        <f t="shared" ca="1" si="1523"/>
        <v>0</v>
      </c>
      <c r="AL1553" s="2">
        <f t="shared" ca="1" si="1524"/>
        <v>23413.379971686303</v>
      </c>
      <c r="AM1553" s="2">
        <f t="shared" ca="1" si="1525"/>
        <v>24457.544470159784</v>
      </c>
      <c r="AN1553" s="2">
        <f t="shared" ca="1" si="1526"/>
        <v>25548.275483215526</v>
      </c>
      <c r="AO1553" s="2">
        <f t="shared" ca="1" si="1527"/>
        <v>26687.649733710437</v>
      </c>
      <c r="AP1553" s="2">
        <f t="shared" ca="1" si="1528"/>
        <v>2321725.3375224625</v>
      </c>
      <c r="AQ1553" s="2">
        <f t="shared" ca="1" si="1529"/>
        <v>825530.48502494919</v>
      </c>
      <c r="AR1553" s="2">
        <f t="shared" ca="1" si="1530"/>
        <v>916083.96610964183</v>
      </c>
      <c r="AS1553" s="2">
        <f t="shared" ca="1" si="1531"/>
        <v>983859.34846963</v>
      </c>
      <c r="AT1553" s="2">
        <f t="shared" ca="1" si="1532"/>
        <v>1054657.3037437527</v>
      </c>
      <c r="AU1553" s="2">
        <f t="shared" ca="1" si="1533"/>
        <v>1128612.6293570215</v>
      </c>
      <c r="AV1553" s="2">
        <f t="shared" ca="1" si="1534"/>
        <v>2349586.7650710088</v>
      </c>
      <c r="AW1553" s="2">
        <f t="shared" ca="1" si="1535"/>
        <v>2583902.5235711397</v>
      </c>
      <c r="AX1553" s="2">
        <f t="shared" ca="1" si="1536"/>
        <v>2775757.5242510955</v>
      </c>
      <c r="AY1553" s="2">
        <f t="shared" ca="1" si="1537"/>
        <v>2976168.6659413115</v>
      </c>
      <c r="AZ1553" s="2">
        <f t="shared" ca="1" si="1538"/>
        <v>3185517.5261285813</v>
      </c>
      <c r="BA1553" s="2">
        <f t="shared" ca="1" si="1539"/>
        <v>66538331.978535429</v>
      </c>
      <c r="BB1553" s="2">
        <f t="shared" ca="1" si="1540"/>
        <v>1330766.6395707086</v>
      </c>
      <c r="BC1553" s="2">
        <f t="shared" ca="1" si="1541"/>
        <v>39410617.144270696</v>
      </c>
      <c r="BD1553" s="2">
        <f t="shared" ca="1" si="1542"/>
        <v>-18772838.304574937</v>
      </c>
      <c r="BE1553" s="2">
        <f t="shared" ca="1" si="1543"/>
        <v>2349586.7650710088</v>
      </c>
      <c r="BF1553" s="2">
        <f t="shared" ca="1" si="1544"/>
        <v>2583902.5235711397</v>
      </c>
      <c r="BG1553" s="2">
        <f t="shared" ca="1" si="1545"/>
        <v>2775757.5242510955</v>
      </c>
      <c r="BH1553" s="2">
        <f t="shared" ca="1" si="1546"/>
        <v>2976168.6659413115</v>
      </c>
      <c r="BI1553" s="2">
        <f t="shared" ca="1" si="1547"/>
        <v>42596134.670399278</v>
      </c>
      <c r="BJ1553" s="2">
        <f t="shared" ca="1" si="1548"/>
        <v>0.27116187500850919</v>
      </c>
      <c r="BK1553" s="2">
        <f t="shared" ca="1" si="1549"/>
        <v>13422207.425220612</v>
      </c>
    </row>
    <row r="1554" spans="1:63" x14ac:dyDescent="0.3">
      <c r="A1554" s="2">
        <v>1553</v>
      </c>
      <c r="B1554" s="2">
        <f t="shared" ca="1" si="1488"/>
        <v>0.79429989536627432</v>
      </c>
      <c r="C1554" s="2">
        <f t="shared" ca="1" si="1489"/>
        <v>7.3585951284348932</v>
      </c>
      <c r="D1554" s="2">
        <f t="shared" ca="1" si="1490"/>
        <v>0.19307670765607432</v>
      </c>
      <c r="E1554" s="2">
        <f t="shared" ca="1" si="1491"/>
        <v>7.1214124357559552</v>
      </c>
      <c r="F1554" s="2">
        <f t="shared" ca="1" si="1492"/>
        <v>0.62324305262203017</v>
      </c>
      <c r="G1554" s="2">
        <f t="shared" ca="1" si="1493"/>
        <v>4.942028218485478E-2</v>
      </c>
      <c r="H1554" s="2">
        <f t="shared" ca="1" si="1494"/>
        <v>4.942028218485478E-2</v>
      </c>
      <c r="I1554" s="2">
        <f t="shared" ca="1" si="1495"/>
        <v>0.5668697279212932</v>
      </c>
      <c r="J1554" s="2">
        <f t="shared" ca="1" si="1496"/>
        <v>1.0842051254966425E-2</v>
      </c>
      <c r="K1554" s="2">
        <f t="shared" ca="1" si="1497"/>
        <v>1.0842051254966425E-2</v>
      </c>
      <c r="L1554" s="2">
        <f t="shared" ca="1" si="1498"/>
        <v>4.3524126294120058E-2</v>
      </c>
      <c r="M1554" s="2">
        <f t="shared" ca="1" si="1499"/>
        <v>-3.4223560655071816E-2</v>
      </c>
      <c r="N1554" s="2">
        <f t="shared" ca="1" si="1500"/>
        <v>-3.4223560655071816E-2</v>
      </c>
      <c r="O1554" s="2">
        <f t="shared" si="1501"/>
        <v>6000000</v>
      </c>
      <c r="P1554" s="2">
        <f t="shared" ca="1" si="1502"/>
        <v>44151570.770609356</v>
      </c>
      <c r="Q1554" s="2">
        <f t="shared" ca="1" si="1503"/>
        <v>1103789.269265234</v>
      </c>
      <c r="R1554" s="2">
        <f t="shared" ca="1" si="1504"/>
        <v>26490942.462365612</v>
      </c>
      <c r="S1554" s="2">
        <f t="shared" ca="1" si="1505"/>
        <v>17660628.308243744</v>
      </c>
      <c r="T1554" s="2">
        <f t="shared" ca="1" si="1506"/>
        <v>48288821.967246406</v>
      </c>
      <c r="U1554" s="2">
        <f t="shared" ca="1" si="1507"/>
        <v>50675269.17524194</v>
      </c>
      <c r="V1554" s="2">
        <f t="shared" ca="1" si="1508"/>
        <v>53179655.277675875</v>
      </c>
      <c r="W1554" s="2">
        <f t="shared" ca="1" si="1509"/>
        <v>55807808.847991921</v>
      </c>
      <c r="X1554" s="2">
        <f t="shared" ca="1" si="1510"/>
        <v>58565846.50937812</v>
      </c>
      <c r="Y1554" s="2">
        <f t="shared" ca="1" si="1511"/>
        <v>0.1254210256274832</v>
      </c>
      <c r="Z1554" s="2">
        <f t="shared" ca="1" si="1512"/>
        <v>0.12758943587847649</v>
      </c>
      <c r="AA1554" s="2">
        <f t="shared" ca="1" si="1513"/>
        <v>6056433.5774749853</v>
      </c>
      <c r="AB1554" s="2">
        <f t="shared" ca="1" si="1514"/>
        <v>6465629.0070590675</v>
      </c>
      <c r="AC1554" s="2">
        <f t="shared" ca="1" si="1515"/>
        <v>6785162.2170905098</v>
      </c>
      <c r="AD1554" s="2">
        <f t="shared" ca="1" si="1516"/>
        <v>7120486.8485291377</v>
      </c>
      <c r="AE1554" s="2">
        <f t="shared" ca="1" si="1517"/>
        <v>7472383.3178769955</v>
      </c>
      <c r="AF1554" s="2">
        <f t="shared" ca="1" si="1518"/>
        <v>965776.43934492813</v>
      </c>
      <c r="AG1554" s="2">
        <f t="shared" ca="1" si="1519"/>
        <v>1013505.3835048388</v>
      </c>
      <c r="AH1554" s="2">
        <f t="shared" ca="1" si="1520"/>
        <v>1063593.1055535176</v>
      </c>
      <c r="AI1554" s="2">
        <f t="shared" ca="1" si="1521"/>
        <v>1116156.1769598385</v>
      </c>
      <c r="AJ1554" s="2">
        <f t="shared" ca="1" si="1522"/>
        <v>1171316.9301875625</v>
      </c>
      <c r="AK1554" s="2">
        <f t="shared" ca="1" si="1523"/>
        <v>0</v>
      </c>
      <c r="AL1554" s="2">
        <f t="shared" ca="1" si="1524"/>
        <v>23864.47207995534</v>
      </c>
      <c r="AM1554" s="2">
        <f t="shared" ca="1" si="1525"/>
        <v>25043.861024339349</v>
      </c>
      <c r="AN1554" s="2">
        <f t="shared" ca="1" si="1526"/>
        <v>26281.535703160465</v>
      </c>
      <c r="AO1554" s="2">
        <f t="shared" ca="1" si="1527"/>
        <v>27580.376613861994</v>
      </c>
      <c r="AP1554" s="2">
        <f t="shared" ca="1" si="1528"/>
        <v>2384184.8216129052</v>
      </c>
      <c r="AQ1554" s="2">
        <f t="shared" ca="1" si="1529"/>
        <v>703682.80229445966</v>
      </c>
      <c r="AR1554" s="2">
        <f t="shared" ca="1" si="1530"/>
        <v>797664.08850474411</v>
      </c>
      <c r="AS1554" s="2">
        <f t="shared" ca="1" si="1531"/>
        <v>867719.91538026277</v>
      </c>
      <c r="AT1554" s="2">
        <f t="shared" ca="1" si="1532"/>
        <v>941237.9209886624</v>
      </c>
      <c r="AU1554" s="2">
        <f t="shared" ca="1" si="1533"/>
        <v>1018389.2071798972</v>
      </c>
      <c r="AV1554" s="2">
        <f t="shared" ca="1" si="1534"/>
        <v>2002789.5142226932</v>
      </c>
      <c r="AW1554" s="2">
        <f t="shared" ca="1" si="1535"/>
        <v>2246410.2413566248</v>
      </c>
      <c r="AX1554" s="2">
        <f t="shared" ca="1" si="1536"/>
        <v>2444620.513519485</v>
      </c>
      <c r="AY1554" s="2">
        <f t="shared" ca="1" si="1537"/>
        <v>2652626.3932645707</v>
      </c>
      <c r="AZ1554" s="2">
        <f t="shared" ca="1" si="1538"/>
        <v>2870911.9822827685</v>
      </c>
      <c r="BA1554" s="2">
        <f t="shared" ca="1" si="1539"/>
        <v>53213923.484664582</v>
      </c>
      <c r="BB1554" s="2">
        <f t="shared" ca="1" si="1540"/>
        <v>1064278.4696932917</v>
      </c>
      <c r="BC1554" s="2">
        <f t="shared" ca="1" si="1541"/>
        <v>25658702.552605677</v>
      </c>
      <c r="BD1554" s="2">
        <f t="shared" ca="1" si="1542"/>
        <v>-19264417.577508979</v>
      </c>
      <c r="BE1554" s="2">
        <f t="shared" ca="1" si="1543"/>
        <v>2002789.5142226932</v>
      </c>
      <c r="BF1554" s="2">
        <f t="shared" ca="1" si="1544"/>
        <v>2246410.2413566248</v>
      </c>
      <c r="BG1554" s="2">
        <f t="shared" ca="1" si="1545"/>
        <v>2444620.513519485</v>
      </c>
      <c r="BH1554" s="2">
        <f t="shared" ca="1" si="1546"/>
        <v>2652626.3932645707</v>
      </c>
      <c r="BI1554" s="2">
        <f t="shared" ca="1" si="1547"/>
        <v>28529614.534888446</v>
      </c>
      <c r="BJ1554" s="2">
        <f t="shared" ca="1" si="1548"/>
        <v>0.17062748035080588</v>
      </c>
      <c r="BK1554" s="2">
        <f t="shared" ca="1" si="1549"/>
        <v>3928905.93027303</v>
      </c>
    </row>
    <row r="1555" spans="1:63" x14ac:dyDescent="0.3">
      <c r="A1555" s="2">
        <v>1554</v>
      </c>
      <c r="B1555" s="2">
        <f t="shared" ca="1" si="1488"/>
        <v>0.18476142416019814</v>
      </c>
      <c r="C1555" s="2">
        <f t="shared" ca="1" si="1489"/>
        <v>6.607883910233193</v>
      </c>
      <c r="D1555" s="2">
        <f t="shared" ca="1" si="1490"/>
        <v>0.65964760889023055</v>
      </c>
      <c r="E1555" s="2">
        <f t="shared" ca="1" si="1491"/>
        <v>7.6749516485565596</v>
      </c>
      <c r="F1555" s="2">
        <f t="shared" ca="1" si="1492"/>
        <v>8.465788360332771E-2</v>
      </c>
      <c r="G1555" s="2">
        <f t="shared" ca="1" si="1493"/>
        <v>-1.2321710352428752E-3</v>
      </c>
      <c r="H1555" s="2">
        <f t="shared" ca="1" si="1494"/>
        <v>-1.2321710352428752E-3</v>
      </c>
      <c r="I1555" s="2">
        <f t="shared" ca="1" si="1495"/>
        <v>0.32575479369762272</v>
      </c>
      <c r="J1555" s="2">
        <f t="shared" ca="1" si="1496"/>
        <v>7.7416698051192782E-3</v>
      </c>
      <c r="K1555" s="2">
        <f t="shared" ca="1" si="1497"/>
        <v>7.7416698051192782E-3</v>
      </c>
      <c r="L1555" s="2">
        <f t="shared" ca="1" si="1498"/>
        <v>0.17930112392211595</v>
      </c>
      <c r="M1555" s="2">
        <f t="shared" ca="1" si="1499"/>
        <v>-1.8360634849248759E-2</v>
      </c>
      <c r="N1555" s="2">
        <f t="shared" ca="1" si="1500"/>
        <v>-1.8360634849248759E-2</v>
      </c>
      <c r="O1555" s="2">
        <f t="shared" si="1501"/>
        <v>6000000</v>
      </c>
      <c r="P1555" s="2">
        <f t="shared" ca="1" si="1502"/>
        <v>39647303.46139916</v>
      </c>
      <c r="Q1555" s="2">
        <f t="shared" ca="1" si="1503"/>
        <v>991182.58653497905</v>
      </c>
      <c r="R1555" s="2">
        <f t="shared" ca="1" si="1504"/>
        <v>23788382.076839495</v>
      </c>
      <c r="S1555" s="2">
        <f t="shared" ca="1" si="1505"/>
        <v>15858921.384559665</v>
      </c>
      <c r="T1555" s="2">
        <f t="shared" ca="1" si="1506"/>
        <v>49081968.257537559</v>
      </c>
      <c r="U1555" s="2">
        <f t="shared" ca="1" si="1507"/>
        <v>49021490.877897911</v>
      </c>
      <c r="V1555" s="2">
        <f t="shared" ca="1" si="1508"/>
        <v>48961088.016733743</v>
      </c>
      <c r="W1555" s="2">
        <f t="shared" ca="1" si="1509"/>
        <v>48900759.582225546</v>
      </c>
      <c r="X1555" s="2">
        <f t="shared" ca="1" si="1510"/>
        <v>48840505.482666954</v>
      </c>
      <c r="Y1555" s="2">
        <f t="shared" ca="1" si="1511"/>
        <v>0.12387083490255964</v>
      </c>
      <c r="Z1555" s="2">
        <f t="shared" ca="1" si="1512"/>
        <v>0.12541916886358348</v>
      </c>
      <c r="AA1555" s="2">
        <f t="shared" ca="1" si="1513"/>
        <v>6079824.3867221074</v>
      </c>
      <c r="AB1555" s="2">
        <f t="shared" ca="1" si="1514"/>
        <v>6148234.6423596954</v>
      </c>
      <c r="AC1555" s="2">
        <f t="shared" ca="1" si="1515"/>
        <v>6140658.9657155033</v>
      </c>
      <c r="AD1555" s="2">
        <f t="shared" ca="1" si="1516"/>
        <v>6133092.6236006441</v>
      </c>
      <c r="AE1555" s="2">
        <f t="shared" ca="1" si="1517"/>
        <v>6125535.6045133816</v>
      </c>
      <c r="AF1555" s="2">
        <f t="shared" ca="1" si="1518"/>
        <v>981639.3651507512</v>
      </c>
      <c r="AG1555" s="2">
        <f t="shared" ca="1" si="1519"/>
        <v>980429.81755795819</v>
      </c>
      <c r="AH1555" s="2">
        <f t="shared" ca="1" si="1520"/>
        <v>979221.76033467485</v>
      </c>
      <c r="AI1555" s="2">
        <f t="shared" ca="1" si="1521"/>
        <v>978015.19164451095</v>
      </c>
      <c r="AJ1555" s="2">
        <f t="shared" ca="1" si="1522"/>
        <v>976810.10965333914</v>
      </c>
      <c r="AK1555" s="2">
        <f t="shared" ca="1" si="1523"/>
        <v>0</v>
      </c>
      <c r="AL1555" s="2">
        <f t="shared" ca="1" si="1524"/>
        <v>0</v>
      </c>
      <c r="AM1555" s="2">
        <f t="shared" ca="1" si="1525"/>
        <v>0</v>
      </c>
      <c r="AN1555" s="2">
        <f t="shared" ca="1" si="1526"/>
        <v>0</v>
      </c>
      <c r="AO1555" s="2">
        <f t="shared" ca="1" si="1527"/>
        <v>0</v>
      </c>
      <c r="AP1555" s="2">
        <f t="shared" ca="1" si="1528"/>
        <v>2140954.3869155543</v>
      </c>
      <c r="AQ1555" s="2">
        <f t="shared" ca="1" si="1529"/>
        <v>768879.96501050843</v>
      </c>
      <c r="AR1555" s="2">
        <f t="shared" ca="1" si="1530"/>
        <v>786981.11385040765</v>
      </c>
      <c r="AS1555" s="2">
        <f t="shared" ca="1" si="1531"/>
        <v>785325.53280097118</v>
      </c>
      <c r="AT1555" s="2">
        <f t="shared" ca="1" si="1532"/>
        <v>783671.9917105505</v>
      </c>
      <c r="AU1555" s="2">
        <f t="shared" ca="1" si="1533"/>
        <v>782020.4880655671</v>
      </c>
      <c r="AV1555" s="2">
        <f t="shared" ca="1" si="1534"/>
        <v>2188350.6696452936</v>
      </c>
      <c r="AW1555" s="2">
        <f t="shared" ca="1" si="1535"/>
        <v>2239869.3240357758</v>
      </c>
      <c r="AX1555" s="2">
        <f t="shared" ca="1" si="1536"/>
        <v>2235157.2856643023</v>
      </c>
      <c r="AY1555" s="2">
        <f t="shared" ca="1" si="1537"/>
        <v>2230451.0533300284</v>
      </c>
      <c r="AZ1555" s="2">
        <f t="shared" ca="1" si="1538"/>
        <v>2225750.6198789217</v>
      </c>
      <c r="BA1555" s="2">
        <f t="shared" ca="1" si="1539"/>
        <v>47013189.586151883</v>
      </c>
      <c r="BB1555" s="2">
        <f t="shared" ca="1" si="1540"/>
        <v>940263.79172303772</v>
      </c>
      <c r="BC1555" s="2">
        <f t="shared" ca="1" si="1541"/>
        <v>22284543.717589349</v>
      </c>
      <c r="BD1555" s="2">
        <f t="shared" ca="1" si="1542"/>
        <v>-17350103.971094646</v>
      </c>
      <c r="BE1555" s="2">
        <f t="shared" ca="1" si="1543"/>
        <v>2188350.6696452936</v>
      </c>
      <c r="BF1555" s="2">
        <f t="shared" ca="1" si="1544"/>
        <v>2239869.3240357758</v>
      </c>
      <c r="BG1555" s="2">
        <f t="shared" ca="1" si="1545"/>
        <v>2235157.2856643023</v>
      </c>
      <c r="BH1555" s="2">
        <f t="shared" ca="1" si="1546"/>
        <v>2230451.0533300284</v>
      </c>
      <c r="BI1555" s="2">
        <f t="shared" ca="1" si="1547"/>
        <v>24510294.33746827</v>
      </c>
      <c r="BJ1555" s="2">
        <f t="shared" ca="1" si="1548"/>
        <v>0.16869678812373778</v>
      </c>
      <c r="BK1555" s="2">
        <f t="shared" ca="1" si="1549"/>
        <v>3305622.6897374541</v>
      </c>
    </row>
    <row r="1556" spans="1:63" x14ac:dyDescent="0.3">
      <c r="A1556" s="2">
        <v>1555</v>
      </c>
      <c r="B1556" s="2">
        <f t="shared" ca="1" si="1488"/>
        <v>0.41639523519606025</v>
      </c>
      <c r="C1556" s="2">
        <f t="shared" ca="1" si="1489"/>
        <v>6.9125735424567818</v>
      </c>
      <c r="D1556" s="2">
        <f t="shared" ca="1" si="1490"/>
        <v>0.98765135755484323</v>
      </c>
      <c r="E1556" s="2">
        <f t="shared" ca="1" si="1491"/>
        <v>8.3428463016969907</v>
      </c>
      <c r="F1556" s="2">
        <f t="shared" ca="1" si="1492"/>
        <v>0.73524172835528712</v>
      </c>
      <c r="G1556" s="2">
        <f t="shared" ca="1" si="1493"/>
        <v>5.8862325679900213E-2</v>
      </c>
      <c r="H1556" s="2">
        <f t="shared" ca="1" si="1494"/>
        <v>5.8862325679900213E-2</v>
      </c>
      <c r="I1556" s="2">
        <f t="shared" ca="1" si="1495"/>
        <v>0.32999901349582117</v>
      </c>
      <c r="J1556" s="2">
        <f t="shared" ca="1" si="1496"/>
        <v>7.8004205514727969E-3</v>
      </c>
      <c r="K1556" s="2">
        <f t="shared" ca="1" si="1497"/>
        <v>7.8004205514727969E-3</v>
      </c>
      <c r="L1556" s="2">
        <f t="shared" ca="1" si="1498"/>
        <v>0.30221707960097333</v>
      </c>
      <c r="M1556" s="2">
        <f t="shared" ca="1" si="1499"/>
        <v>-1.036069112908085E-2</v>
      </c>
      <c r="N1556" s="2">
        <f t="shared" ca="1" si="1500"/>
        <v>-1.036069112908085E-2</v>
      </c>
      <c r="O1556" s="2">
        <f t="shared" si="1501"/>
        <v>6000000</v>
      </c>
      <c r="P1556" s="2">
        <f t="shared" ca="1" si="1502"/>
        <v>41475441.254740693</v>
      </c>
      <c r="Q1556" s="2">
        <f t="shared" ca="1" si="1503"/>
        <v>1036886.0313685173</v>
      </c>
      <c r="R1556" s="2">
        <f t="shared" ca="1" si="1504"/>
        <v>24885264.752844416</v>
      </c>
      <c r="S1556" s="2">
        <f t="shared" ca="1" si="1505"/>
        <v>16590176.501896277</v>
      </c>
      <c r="T1556" s="2">
        <f t="shared" ca="1" si="1506"/>
        <v>49481965.443545952</v>
      </c>
      <c r="U1556" s="2">
        <f t="shared" ca="1" si="1507"/>
        <v>52394589.008765519</v>
      </c>
      <c r="V1556" s="2">
        <f t="shared" ca="1" si="1508"/>
        <v>55478656.370863989</v>
      </c>
      <c r="W1556" s="2">
        <f t="shared" ca="1" si="1509"/>
        <v>58744259.110449053</v>
      </c>
      <c r="X1556" s="2">
        <f t="shared" ca="1" si="1510"/>
        <v>62202082.822032742</v>
      </c>
      <c r="Y1556" s="2">
        <f t="shared" ca="1" si="1511"/>
        <v>0.12390021027573639</v>
      </c>
      <c r="Z1556" s="2">
        <f t="shared" ca="1" si="1512"/>
        <v>0.12546029438603096</v>
      </c>
      <c r="AA1556" s="2">
        <f t="shared" ca="1" si="1513"/>
        <v>6130825.9233120652</v>
      </c>
      <c r="AB1556" s="2">
        <f t="shared" ca="1" si="1514"/>
        <v>6573440.5612748237</v>
      </c>
      <c r="AC1556" s="2">
        <f t="shared" ca="1" si="1515"/>
        <v>6960368.560430048</v>
      </c>
      <c r="AD1556" s="2">
        <f t="shared" ca="1" si="1516"/>
        <v>7370072.0414862195</v>
      </c>
      <c r="AE1556" s="2">
        <f t="shared" ca="1" si="1517"/>
        <v>7803891.6222765073</v>
      </c>
      <c r="AF1556" s="2">
        <f t="shared" ca="1" si="1518"/>
        <v>989639.30887091905</v>
      </c>
      <c r="AG1556" s="2">
        <f t="shared" ca="1" si="1519"/>
        <v>1047891.7801753104</v>
      </c>
      <c r="AH1556" s="2">
        <f t="shared" ca="1" si="1520"/>
        <v>1109573.1274172799</v>
      </c>
      <c r="AI1556" s="2">
        <f t="shared" ca="1" si="1521"/>
        <v>1174885.1822089811</v>
      </c>
      <c r="AJ1556" s="2">
        <f t="shared" ca="1" si="1522"/>
        <v>1244041.6564406548</v>
      </c>
      <c r="AK1556" s="2">
        <f t="shared" ca="1" si="1523"/>
        <v>0</v>
      </c>
      <c r="AL1556" s="2">
        <f t="shared" ca="1" si="1524"/>
        <v>29126.235652195664</v>
      </c>
      <c r="AM1556" s="2">
        <f t="shared" ca="1" si="1525"/>
        <v>30840.673620984704</v>
      </c>
      <c r="AN1556" s="2">
        <f t="shared" ca="1" si="1526"/>
        <v>32656.027395850644</v>
      </c>
      <c r="AO1556" s="2">
        <f t="shared" ca="1" si="1527"/>
        <v>34578.237115836891</v>
      </c>
      <c r="AP1556" s="2">
        <f t="shared" ca="1" si="1528"/>
        <v>2239673.8277559974</v>
      </c>
      <c r="AQ1556" s="2">
        <f t="shared" ca="1" si="1529"/>
        <v>754393.3245381387</v>
      </c>
      <c r="AR1556" s="2">
        <f t="shared" ca="1" si="1530"/>
        <v>854327.48786931415</v>
      </c>
      <c r="AS1556" s="2">
        <f t="shared" ca="1" si="1531"/>
        <v>938891.6173667605</v>
      </c>
      <c r="AT1556" s="2">
        <f t="shared" ca="1" si="1532"/>
        <v>1028433.3881955226</v>
      </c>
      <c r="AU1556" s="2">
        <f t="shared" ca="1" si="1533"/>
        <v>1123245.7959007625</v>
      </c>
      <c r="AV1556" s="2">
        <f t="shared" ca="1" si="1534"/>
        <v>2147119.46214701</v>
      </c>
      <c r="AW1556" s="2">
        <f t="shared" ca="1" si="1535"/>
        <v>2402421.2298220065</v>
      </c>
      <c r="AX1556" s="2">
        <f t="shared" ca="1" si="1536"/>
        <v>2641389.3142690263</v>
      </c>
      <c r="AY1556" s="2">
        <f t="shared" ca="1" si="1537"/>
        <v>2894423.6159298676</v>
      </c>
      <c r="AZ1556" s="2">
        <f t="shared" ca="1" si="1538"/>
        <v>3162352.1050632554</v>
      </c>
      <c r="BA1556" s="2">
        <f t="shared" ca="1" si="1539"/>
        <v>65106668.359753691</v>
      </c>
      <c r="BB1556" s="2">
        <f t="shared" ca="1" si="1540"/>
        <v>1302133.3671950737</v>
      </c>
      <c r="BC1556" s="2">
        <f t="shared" ca="1" si="1541"/>
        <v>38919270.239714198</v>
      </c>
      <c r="BD1556" s="2">
        <f t="shared" ca="1" si="1542"/>
        <v>-18127062.533264793</v>
      </c>
      <c r="BE1556" s="2">
        <f t="shared" ca="1" si="1543"/>
        <v>2147119.46214701</v>
      </c>
      <c r="BF1556" s="2">
        <f t="shared" ca="1" si="1544"/>
        <v>2402421.2298220065</v>
      </c>
      <c r="BG1556" s="2">
        <f t="shared" ca="1" si="1545"/>
        <v>2641389.3142690263</v>
      </c>
      <c r="BH1556" s="2">
        <f t="shared" ca="1" si="1546"/>
        <v>2894423.6159298676</v>
      </c>
      <c r="BI1556" s="2">
        <f t="shared" ca="1" si="1547"/>
        <v>42081622.34477745</v>
      </c>
      <c r="BJ1556" s="2">
        <f t="shared" ca="1" si="1548"/>
        <v>0.27320962259057602</v>
      </c>
      <c r="BK1556" s="2">
        <f t="shared" ca="1" si="1549"/>
        <v>13302993.836595476</v>
      </c>
    </row>
    <row r="1557" spans="1:63" x14ac:dyDescent="0.3">
      <c r="A1557" s="2">
        <v>1556</v>
      </c>
      <c r="B1557" s="2">
        <f t="shared" ca="1" si="1488"/>
        <v>0.17161137341467969</v>
      </c>
      <c r="C1557" s="2">
        <f t="shared" ca="1" si="1489"/>
        <v>6.5858521544121515</v>
      </c>
      <c r="D1557" s="2">
        <f t="shared" ca="1" si="1490"/>
        <v>0.4554307419409267</v>
      </c>
      <c r="E1557" s="2">
        <f t="shared" ca="1" si="1491"/>
        <v>7.454390634846054</v>
      </c>
      <c r="F1557" s="2">
        <f t="shared" ca="1" si="1492"/>
        <v>0.78460693907023782</v>
      </c>
      <c r="G1557" s="2">
        <f t="shared" ca="1" si="1493"/>
        <v>6.3635414291600592E-2</v>
      </c>
      <c r="H1557" s="2">
        <f t="shared" ca="1" si="1494"/>
        <v>6.3635414291600592E-2</v>
      </c>
      <c r="I1557" s="2">
        <f t="shared" ca="1" si="1495"/>
        <v>0.71909673152614895</v>
      </c>
      <c r="J1557" s="2">
        <f t="shared" ca="1" si="1496"/>
        <v>1.2900801396076862E-2</v>
      </c>
      <c r="K1557" s="2">
        <f t="shared" ca="1" si="1497"/>
        <v>1.2900801396076862E-2</v>
      </c>
      <c r="L1557" s="2">
        <f t="shared" ca="1" si="1498"/>
        <v>0.31977828223734472</v>
      </c>
      <c r="M1557" s="2">
        <f t="shared" ca="1" si="1499"/>
        <v>-9.3663777238650204E-3</v>
      </c>
      <c r="N1557" s="2">
        <f t="shared" ca="1" si="1500"/>
        <v>-9.3663777238650204E-3</v>
      </c>
      <c r="O1557" s="2">
        <f t="shared" si="1501"/>
        <v>6000000</v>
      </c>
      <c r="P1557" s="2">
        <f t="shared" ca="1" si="1502"/>
        <v>39515112.92647291</v>
      </c>
      <c r="Q1557" s="2">
        <f t="shared" ca="1" si="1503"/>
        <v>987877.82316182274</v>
      </c>
      <c r="R1557" s="2">
        <f t="shared" ca="1" si="1504"/>
        <v>23709067.755883746</v>
      </c>
      <c r="S1557" s="2">
        <f t="shared" ca="1" si="1505"/>
        <v>15806045.170589164</v>
      </c>
      <c r="T1557" s="2">
        <f t="shared" ca="1" si="1506"/>
        <v>49531681.113806747</v>
      </c>
      <c r="U1557" s="2">
        <f t="shared" ca="1" si="1507"/>
        <v>52683650.162043296</v>
      </c>
      <c r="V1557" s="2">
        <f t="shared" ca="1" si="1508"/>
        <v>56036196.066498674</v>
      </c>
      <c r="W1557" s="2">
        <f t="shared" ca="1" si="1509"/>
        <v>59602082.618515685</v>
      </c>
      <c r="X1557" s="2">
        <f t="shared" ca="1" si="1510"/>
        <v>63394885.838587143</v>
      </c>
      <c r="Y1557" s="2">
        <f t="shared" ca="1" si="1511"/>
        <v>0.12645040069803842</v>
      </c>
      <c r="Z1557" s="2">
        <f t="shared" ca="1" si="1512"/>
        <v>0.12903056097725379</v>
      </c>
      <c r="AA1557" s="2">
        <f t="shared" ca="1" si="1513"/>
        <v>6263300.9240883254</v>
      </c>
      <c r="AB1557" s="2">
        <f t="shared" ca="1" si="1514"/>
        <v>6797800.9347378341</v>
      </c>
      <c r="AC1557" s="2">
        <f t="shared" ca="1" si="1515"/>
        <v>7230381.8134917067</v>
      </c>
      <c r="AD1557" s="2">
        <f t="shared" ca="1" si="1516"/>
        <v>7690490.1556797065</v>
      </c>
      <c r="AE1557" s="2">
        <f t="shared" ca="1" si="1517"/>
        <v>8179877.6828418616</v>
      </c>
      <c r="AF1557" s="2">
        <f t="shared" ca="1" si="1518"/>
        <v>990633.62227613491</v>
      </c>
      <c r="AG1557" s="2">
        <f t="shared" ca="1" si="1519"/>
        <v>1053673.0032408659</v>
      </c>
      <c r="AH1557" s="2">
        <f t="shared" ca="1" si="1520"/>
        <v>1120723.9213299735</v>
      </c>
      <c r="AI1557" s="2">
        <f t="shared" ca="1" si="1521"/>
        <v>1192041.6523703136</v>
      </c>
      <c r="AJ1557" s="2">
        <f t="shared" ca="1" si="1522"/>
        <v>1267897.7167717428</v>
      </c>
      <c r="AK1557" s="2">
        <f t="shared" ca="1" si="1523"/>
        <v>0</v>
      </c>
      <c r="AL1557" s="2">
        <f t="shared" ca="1" si="1524"/>
        <v>31519.690482365491</v>
      </c>
      <c r="AM1557" s="2">
        <f t="shared" ca="1" si="1525"/>
        <v>33525.459044553791</v>
      </c>
      <c r="AN1557" s="2">
        <f t="shared" ca="1" si="1526"/>
        <v>35658.865520170111</v>
      </c>
      <c r="AO1557" s="2">
        <f t="shared" ca="1" si="1527"/>
        <v>37928.032200714573</v>
      </c>
      <c r="AP1557" s="2">
        <f t="shared" ca="1" si="1528"/>
        <v>2133816.0980295371</v>
      </c>
      <c r="AQ1557" s="2">
        <f t="shared" ca="1" si="1529"/>
        <v>816101.31298348994</v>
      </c>
      <c r="AR1557" s="2">
        <f t="shared" ca="1" si="1530"/>
        <v>938681.07670153223</v>
      </c>
      <c r="AS1557" s="2">
        <f t="shared" ca="1" si="1531"/>
        <v>1033718.8664743711</v>
      </c>
      <c r="AT1557" s="2">
        <f t="shared" ca="1" si="1532"/>
        <v>1134804.4253727626</v>
      </c>
      <c r="AU1557" s="2">
        <f t="shared" ca="1" si="1533"/>
        <v>1242322.6056905515</v>
      </c>
      <c r="AV1557" s="2">
        <f t="shared" ca="1" si="1534"/>
        <v>2322749.8907991638</v>
      </c>
      <c r="AW1557" s="2">
        <f t="shared" ca="1" si="1535"/>
        <v>2640111.0662835333</v>
      </c>
      <c r="AX1557" s="2">
        <f t="shared" ca="1" si="1536"/>
        <v>2908597.4686132716</v>
      </c>
      <c r="AY1557" s="2">
        <f t="shared" ca="1" si="1537"/>
        <v>3194169.1143869236</v>
      </c>
      <c r="AZ1557" s="2">
        <f t="shared" ca="1" si="1538"/>
        <v>3497913.2301493157</v>
      </c>
      <c r="BA1557" s="2">
        <f t="shared" ca="1" si="1539"/>
        <v>60976003.593162611</v>
      </c>
      <c r="BB1557" s="2">
        <f t="shared" ca="1" si="1540"/>
        <v>1219520.0718632522</v>
      </c>
      <c r="BC1557" s="2">
        <f t="shared" ca="1" si="1541"/>
        <v>36047415.765415616</v>
      </c>
      <c r="BD1557" s="2">
        <f t="shared" ca="1" si="1542"/>
        <v>-17293922.993750986</v>
      </c>
      <c r="BE1557" s="2">
        <f t="shared" ca="1" si="1543"/>
        <v>2322749.8907991638</v>
      </c>
      <c r="BF1557" s="2">
        <f t="shared" ca="1" si="1544"/>
        <v>2640111.0662835333</v>
      </c>
      <c r="BG1557" s="2">
        <f t="shared" ca="1" si="1545"/>
        <v>2908597.4686132716</v>
      </c>
      <c r="BH1557" s="2">
        <f t="shared" ca="1" si="1546"/>
        <v>3194169.1143869236</v>
      </c>
      <c r="BI1557" s="2">
        <f t="shared" ca="1" si="1547"/>
        <v>39545328.99556493</v>
      </c>
      <c r="BJ1557" s="2">
        <f t="shared" ca="1" si="1548"/>
        <v>0.28393916420605647</v>
      </c>
      <c r="BK1557" s="2">
        <f t="shared" ca="1" si="1549"/>
        <v>13423957.350400835</v>
      </c>
    </row>
    <row r="1558" spans="1:63" x14ac:dyDescent="0.3">
      <c r="A1558" s="2">
        <v>1557</v>
      </c>
      <c r="B1558" s="2">
        <f t="shared" ca="1" si="1488"/>
        <v>0.17644535325597799</v>
      </c>
      <c r="C1558" s="2">
        <f t="shared" ca="1" si="1489"/>
        <v>6.5940460474676659</v>
      </c>
      <c r="D1558" s="2">
        <f t="shared" ca="1" si="1490"/>
        <v>0.68634191792595789</v>
      </c>
      <c r="E1558" s="2">
        <f t="shared" ca="1" si="1491"/>
        <v>7.7079670687729678</v>
      </c>
      <c r="F1558" s="2">
        <f t="shared" ca="1" si="1492"/>
        <v>0.44715295399606358</v>
      </c>
      <c r="G1558" s="2">
        <f t="shared" ca="1" si="1493"/>
        <v>3.6014268515310671E-2</v>
      </c>
      <c r="H1558" s="2">
        <f t="shared" ca="1" si="1494"/>
        <v>3.6014268515310671E-2</v>
      </c>
      <c r="I1558" s="2">
        <f t="shared" ca="1" si="1495"/>
        <v>2.1400961339247071E-2</v>
      </c>
      <c r="J1558" s="2">
        <f t="shared" ca="1" si="1496"/>
        <v>-1.2818862425496846E-4</v>
      </c>
      <c r="K1558" s="2">
        <f t="shared" ca="1" si="1497"/>
        <v>0</v>
      </c>
      <c r="L1558" s="2">
        <f t="shared" ca="1" si="1498"/>
        <v>7.8903626877852351E-2</v>
      </c>
      <c r="M1558" s="2">
        <f t="shared" ca="1" si="1499"/>
        <v>-2.8249696637979986E-2</v>
      </c>
      <c r="N1558" s="2">
        <f t="shared" ca="1" si="1500"/>
        <v>-2.8249696637979986E-2</v>
      </c>
      <c r="O1558" s="2">
        <f t="shared" si="1501"/>
        <v>6000000</v>
      </c>
      <c r="P1558" s="2">
        <f t="shared" ca="1" si="1502"/>
        <v>39564276.284805998</v>
      </c>
      <c r="Q1558" s="2">
        <f t="shared" ca="1" si="1503"/>
        <v>989106.90712015005</v>
      </c>
      <c r="R1558" s="2">
        <f t="shared" ca="1" si="1504"/>
        <v>23738565.770883597</v>
      </c>
      <c r="S1558" s="2">
        <f t="shared" ca="1" si="1505"/>
        <v>15825710.513922401</v>
      </c>
      <c r="T1558" s="2">
        <f t="shared" ca="1" si="1506"/>
        <v>48587515.168101005</v>
      </c>
      <c r="U1558" s="2">
        <f t="shared" ca="1" si="1507"/>
        <v>50337358.985856727</v>
      </c>
      <c r="V1558" s="2">
        <f t="shared" ca="1" si="1508"/>
        <v>52150222.148724958</v>
      </c>
      <c r="W1558" s="2">
        <f t="shared" ca="1" si="1509"/>
        <v>54028374.252322242</v>
      </c>
      <c r="X1558" s="2">
        <f t="shared" ca="1" si="1510"/>
        <v>55974166.630091071</v>
      </c>
      <c r="Y1558" s="2">
        <f t="shared" ca="1" si="1511"/>
        <v>0.12</v>
      </c>
      <c r="Z1558" s="2">
        <f t="shared" ca="1" si="1512"/>
        <v>0.12</v>
      </c>
      <c r="AA1558" s="2">
        <f t="shared" ca="1" si="1513"/>
        <v>5830501.8201721208</v>
      </c>
      <c r="AB1558" s="2">
        <f t="shared" ca="1" si="1514"/>
        <v>6040483.0783028072</v>
      </c>
      <c r="AC1558" s="2">
        <f t="shared" ca="1" si="1515"/>
        <v>6258026.6578469947</v>
      </c>
      <c r="AD1558" s="2">
        <f t="shared" ca="1" si="1516"/>
        <v>6483404.9102786686</v>
      </c>
      <c r="AE1558" s="2">
        <f t="shared" ca="1" si="1517"/>
        <v>6716899.9956109282</v>
      </c>
      <c r="AF1558" s="2">
        <f t="shared" ca="1" si="1518"/>
        <v>971750.30336202017</v>
      </c>
      <c r="AG1558" s="2">
        <f t="shared" ca="1" si="1519"/>
        <v>1006747.1797171346</v>
      </c>
      <c r="AH1558" s="2">
        <f t="shared" ca="1" si="1520"/>
        <v>1043004.4429744992</v>
      </c>
      <c r="AI1558" s="2">
        <f t="shared" ca="1" si="1521"/>
        <v>1080567.4850464449</v>
      </c>
      <c r="AJ1558" s="2">
        <f t="shared" ca="1" si="1522"/>
        <v>1119483.3326018215</v>
      </c>
      <c r="AK1558" s="2">
        <f t="shared" ca="1" si="1523"/>
        <v>0</v>
      </c>
      <c r="AL1558" s="2">
        <f t="shared" ca="1" si="1524"/>
        <v>17498.438177557215</v>
      </c>
      <c r="AM1558" s="2">
        <f t="shared" ca="1" si="1525"/>
        <v>18128.631628682317</v>
      </c>
      <c r="AN1558" s="2">
        <f t="shared" ca="1" si="1526"/>
        <v>18781.521035972833</v>
      </c>
      <c r="AO1558" s="2">
        <f t="shared" ca="1" si="1527"/>
        <v>19457.923777688295</v>
      </c>
      <c r="AP1558" s="2">
        <f t="shared" ca="1" si="1528"/>
        <v>2136470.9193795235</v>
      </c>
      <c r="AQ1558" s="2">
        <f t="shared" ca="1" si="1529"/>
        <v>707792.9553319501</v>
      </c>
      <c r="AR1558" s="2">
        <f t="shared" ca="1" si="1530"/>
        <v>753288.89459359879</v>
      </c>
      <c r="AS1558" s="2">
        <f t="shared" ca="1" si="1531"/>
        <v>800423.33682817267</v>
      </c>
      <c r="AT1558" s="2">
        <f t="shared" ca="1" si="1532"/>
        <v>849255.29152170219</v>
      </c>
      <c r="AU1558" s="2">
        <f t="shared" ca="1" si="1533"/>
        <v>899845.89334369183</v>
      </c>
      <c r="AV1558" s="2">
        <f t="shared" ca="1" si="1534"/>
        <v>2014487.6420986271</v>
      </c>
      <c r="AW1558" s="2">
        <f t="shared" ca="1" si="1535"/>
        <v>2126477.6464349921</v>
      </c>
      <c r="AX1558" s="2">
        <f t="shared" ca="1" si="1536"/>
        <v>2259999.3270361177</v>
      </c>
      <c r="AY1558" s="2">
        <f t="shared" ca="1" si="1537"/>
        <v>2398329.6932950257</v>
      </c>
      <c r="AZ1558" s="2">
        <f t="shared" ca="1" si="1538"/>
        <v>2541641.9265082036</v>
      </c>
      <c r="BA1558" s="2">
        <f t="shared" ca="1" si="1539"/>
        <v>51773643.970410325</v>
      </c>
      <c r="BB1558" s="2">
        <f t="shared" ca="1" si="1540"/>
        <v>1035472.8794082066</v>
      </c>
      <c r="BC1558" s="2">
        <f t="shared" ca="1" si="1541"/>
        <v>26999605.32011852</v>
      </c>
      <c r="BD1558" s="2">
        <f t="shared" ca="1" si="1542"/>
        <v>-17314817.42104255</v>
      </c>
      <c r="BE1558" s="2">
        <f t="shared" ca="1" si="1543"/>
        <v>2014487.6420986271</v>
      </c>
      <c r="BF1558" s="2">
        <f t="shared" ca="1" si="1544"/>
        <v>2126477.6464349921</v>
      </c>
      <c r="BG1558" s="2">
        <f t="shared" ca="1" si="1545"/>
        <v>2259999.3270361177</v>
      </c>
      <c r="BH1558" s="2">
        <f t="shared" ca="1" si="1546"/>
        <v>2398329.6932950257</v>
      </c>
      <c r="BI1558" s="2">
        <f t="shared" ca="1" si="1547"/>
        <v>29541247.246626724</v>
      </c>
      <c r="BJ1558" s="2">
        <f t="shared" ca="1" si="1548"/>
        <v>0.20294950773073395</v>
      </c>
      <c r="BK1558" s="2">
        <f t="shared" ca="1" si="1549"/>
        <v>6074349.0181688704</v>
      </c>
    </row>
    <row r="1559" spans="1:63" x14ac:dyDescent="0.3">
      <c r="A1559" s="2">
        <v>1558</v>
      </c>
      <c r="B1559" s="2">
        <f t="shared" ca="1" si="1488"/>
        <v>0.46952888502242573</v>
      </c>
      <c r="C1559" s="2">
        <f t="shared" ca="1" si="1489"/>
        <v>6.9690499316572145</v>
      </c>
      <c r="D1559" s="2">
        <f t="shared" ca="1" si="1490"/>
        <v>0.69593118993458669</v>
      </c>
      <c r="E1559" s="2">
        <f t="shared" ca="1" si="1491"/>
        <v>7.7201682103614742</v>
      </c>
      <c r="F1559" s="2">
        <f t="shared" ca="1" si="1492"/>
        <v>0.1060896846782079</v>
      </c>
      <c r="G1559" s="2">
        <f t="shared" ca="1" si="1493"/>
        <v>2.5721466338073651E-3</v>
      </c>
      <c r="H1559" s="2">
        <f t="shared" ca="1" si="1494"/>
        <v>2.5721466338073651E-3</v>
      </c>
      <c r="I1559" s="2">
        <f t="shared" ca="1" si="1495"/>
        <v>0.87415380733772075</v>
      </c>
      <c r="J1559" s="2">
        <f t="shared" ca="1" si="1496"/>
        <v>1.5731242016217731E-2</v>
      </c>
      <c r="K1559" s="2">
        <f t="shared" ca="1" si="1497"/>
        <v>1.5731242016217731E-2</v>
      </c>
      <c r="L1559" s="2">
        <f t="shared" ca="1" si="1498"/>
        <v>0.25639938829567221</v>
      </c>
      <c r="M1559" s="2">
        <f t="shared" ca="1" si="1499"/>
        <v>-1.3089718985099849E-2</v>
      </c>
      <c r="N1559" s="2">
        <f t="shared" ca="1" si="1500"/>
        <v>-1.3089718985099849E-2</v>
      </c>
      <c r="O1559" s="2">
        <f t="shared" si="1501"/>
        <v>6000000</v>
      </c>
      <c r="P1559" s="2">
        <f t="shared" ca="1" si="1502"/>
        <v>41814299.58994329</v>
      </c>
      <c r="Q1559" s="2">
        <f t="shared" ca="1" si="1503"/>
        <v>1045357.4897485822</v>
      </c>
      <c r="R1559" s="2">
        <f t="shared" ca="1" si="1504"/>
        <v>25088579.753965974</v>
      </c>
      <c r="S1559" s="2">
        <f t="shared" ca="1" si="1505"/>
        <v>16725719.835977316</v>
      </c>
      <c r="T1559" s="2">
        <f t="shared" ca="1" si="1506"/>
        <v>49345514.05074501</v>
      </c>
      <c r="U1559" s="2">
        <f t="shared" ca="1" si="1507"/>
        <v>49472437.948604129</v>
      </c>
      <c r="V1559" s="2">
        <f t="shared" ca="1" si="1508"/>
        <v>49599688.313339874</v>
      </c>
      <c r="W1559" s="2">
        <f t="shared" ca="1" si="1509"/>
        <v>49727265.984672926</v>
      </c>
      <c r="X1559" s="2">
        <f t="shared" ca="1" si="1510"/>
        <v>49855171.804483846</v>
      </c>
      <c r="Y1559" s="2">
        <f t="shared" ca="1" si="1511"/>
        <v>0.12786562100810886</v>
      </c>
      <c r="Z1559" s="2">
        <f t="shared" ca="1" si="1512"/>
        <v>0.1310118694113524</v>
      </c>
      <c r="AA1559" s="2">
        <f t="shared" ca="1" si="1513"/>
        <v>6309594.7980628721</v>
      </c>
      <c r="AB1559" s="2">
        <f t="shared" ca="1" si="1514"/>
        <v>6481476.5799837587</v>
      </c>
      <c r="AC1559" s="2">
        <f t="shared" ca="1" si="1515"/>
        <v>6498147.8881510654</v>
      </c>
      <c r="AD1559" s="2">
        <f t="shared" ca="1" si="1516"/>
        <v>6514862.0773675554</v>
      </c>
      <c r="AE1559" s="2">
        <f t="shared" ca="1" si="1517"/>
        <v>6531619.2579295756</v>
      </c>
      <c r="AF1559" s="2">
        <f t="shared" ca="1" si="1518"/>
        <v>986910.28101490019</v>
      </c>
      <c r="AG1559" s="2">
        <f t="shared" ca="1" si="1519"/>
        <v>989448.75897208264</v>
      </c>
      <c r="AH1559" s="2">
        <f t="shared" ca="1" si="1520"/>
        <v>991993.76626679755</v>
      </c>
      <c r="AI1559" s="2">
        <f t="shared" ca="1" si="1521"/>
        <v>994545.3196934585</v>
      </c>
      <c r="AJ1559" s="2">
        <f t="shared" ca="1" si="1522"/>
        <v>997103.43608967692</v>
      </c>
      <c r="AK1559" s="2">
        <f t="shared" ca="1" si="1523"/>
        <v>0</v>
      </c>
      <c r="AL1559" s="2">
        <f t="shared" ca="1" si="1524"/>
        <v>1269.2389785911889</v>
      </c>
      <c r="AM1559" s="2">
        <f t="shared" ca="1" si="1525"/>
        <v>1272.5036473574489</v>
      </c>
      <c r="AN1559" s="2">
        <f t="shared" ca="1" si="1526"/>
        <v>1275.7767133305222</v>
      </c>
      <c r="AO1559" s="2">
        <f t="shared" ca="1" si="1527"/>
        <v>1279.0581981091946</v>
      </c>
      <c r="AP1559" s="2">
        <f t="shared" ca="1" si="1528"/>
        <v>2257972.1778569375</v>
      </c>
      <c r="AQ1559" s="2">
        <f t="shared" ca="1" si="1529"/>
        <v>796825.20818966883</v>
      </c>
      <c r="AR1559" s="2">
        <f t="shared" ca="1" si="1530"/>
        <v>840854.46722023212</v>
      </c>
      <c r="AS1559" s="2">
        <f t="shared" ca="1" si="1531"/>
        <v>844527.3054471059</v>
      </c>
      <c r="AT1559" s="2">
        <f t="shared" ca="1" si="1532"/>
        <v>848209.59075246146</v>
      </c>
      <c r="AU1559" s="2">
        <f t="shared" ca="1" si="1533"/>
        <v>851901.34743556997</v>
      </c>
      <c r="AV1559" s="2">
        <f t="shared" ca="1" si="1534"/>
        <v>2267887.1310013649</v>
      </c>
      <c r="AW1559" s="2">
        <f t="shared" ca="1" si="1535"/>
        <v>2391931.9369559162</v>
      </c>
      <c r="AX1559" s="2">
        <f t="shared" ca="1" si="1536"/>
        <v>2402382.1349328668</v>
      </c>
      <c r="AY1559" s="2">
        <f t="shared" ca="1" si="1537"/>
        <v>2412859.2123513683</v>
      </c>
      <c r="AZ1559" s="2">
        <f t="shared" ca="1" si="1538"/>
        <v>2423363.2383492817</v>
      </c>
      <c r="BA1559" s="2">
        <f t="shared" ca="1" si="1539"/>
        <v>50425199.35725271</v>
      </c>
      <c r="BB1559" s="2">
        <f t="shared" ca="1" si="1540"/>
        <v>1008503.9871450543</v>
      </c>
      <c r="BC1559" s="2">
        <f t="shared" ca="1" si="1541"/>
        <v>24328115.616141681</v>
      </c>
      <c r="BD1559" s="2">
        <f t="shared" ca="1" si="1542"/>
        <v>-18271077.325725898</v>
      </c>
      <c r="BE1559" s="2">
        <f t="shared" ca="1" si="1543"/>
        <v>2267887.1310013649</v>
      </c>
      <c r="BF1559" s="2">
        <f t="shared" ca="1" si="1544"/>
        <v>2391931.9369559162</v>
      </c>
      <c r="BG1559" s="2">
        <f t="shared" ca="1" si="1545"/>
        <v>2402382.1349328668</v>
      </c>
      <c r="BH1559" s="2">
        <f t="shared" ca="1" si="1546"/>
        <v>2412859.2123513683</v>
      </c>
      <c r="BI1559" s="2">
        <f t="shared" ca="1" si="1547"/>
        <v>26751478.854490962</v>
      </c>
      <c r="BJ1559" s="2">
        <f t="shared" ca="1" si="1548"/>
        <v>0.17630355349414129</v>
      </c>
      <c r="BK1559" s="2">
        <f t="shared" ca="1" si="1549"/>
        <v>4083546.7277088352</v>
      </c>
    </row>
    <row r="1560" spans="1:63" x14ac:dyDescent="0.3">
      <c r="A1560" s="2">
        <v>1559</v>
      </c>
      <c r="B1560" s="2">
        <f t="shared" ca="1" si="1488"/>
        <v>0.16142076578914166</v>
      </c>
      <c r="C1560" s="2">
        <f t="shared" ca="1" si="1489"/>
        <v>6.5681914567980435</v>
      </c>
      <c r="D1560" s="2">
        <f t="shared" ca="1" si="1490"/>
        <v>0.38524288170315035</v>
      </c>
      <c r="E1560" s="2">
        <f t="shared" ca="1" si="1491"/>
        <v>7.3777731844880545</v>
      </c>
      <c r="F1560" s="2">
        <f t="shared" ca="1" si="1492"/>
        <v>0.65857091121742029</v>
      </c>
      <c r="G1560" s="2">
        <f t="shared" ca="1" si="1493"/>
        <v>5.2256980356532569E-2</v>
      </c>
      <c r="H1560" s="2">
        <f t="shared" ca="1" si="1494"/>
        <v>5.2256980356532569E-2</v>
      </c>
      <c r="I1560" s="2">
        <f t="shared" ca="1" si="1495"/>
        <v>0.22262431247638148</v>
      </c>
      <c r="J1560" s="2">
        <f t="shared" ca="1" si="1496"/>
        <v>6.1831991337047655E-3</v>
      </c>
      <c r="K1560" s="2">
        <f t="shared" ca="1" si="1497"/>
        <v>6.1831991337047655E-3</v>
      </c>
      <c r="L1560" s="2">
        <f t="shared" ca="1" si="1498"/>
        <v>0.62737841721266197</v>
      </c>
      <c r="M1560" s="2">
        <f t="shared" ca="1" si="1499"/>
        <v>6.4983591490654757E-3</v>
      </c>
      <c r="N1560" s="2">
        <f t="shared" ca="1" si="1500"/>
        <v>6.4983591490654757E-3</v>
      </c>
      <c r="O1560" s="2">
        <f t="shared" si="1501"/>
        <v>6000000</v>
      </c>
      <c r="P1560" s="2">
        <f t="shared" ca="1" si="1502"/>
        <v>39409148.740788259</v>
      </c>
      <c r="Q1560" s="2">
        <f t="shared" ca="1" si="1503"/>
        <v>985228.71851970651</v>
      </c>
      <c r="R1560" s="2">
        <f t="shared" ca="1" si="1504"/>
        <v>23645489.244472954</v>
      </c>
      <c r="S1560" s="2">
        <f t="shared" ca="1" si="1505"/>
        <v>15763659.496315304</v>
      </c>
      <c r="T1560" s="2">
        <f t="shared" ca="1" si="1506"/>
        <v>50324917.957453273</v>
      </c>
      <c r="U1560" s="2">
        <f t="shared" ca="1" si="1507"/>
        <v>52954746.206600018</v>
      </c>
      <c r="V1560" s="2">
        <f t="shared" ca="1" si="1508"/>
        <v>55722001.338903479</v>
      </c>
      <c r="W1560" s="2">
        <f t="shared" ca="1" si="1509"/>
        <v>58633864.868297234</v>
      </c>
      <c r="X1560" s="2">
        <f t="shared" ca="1" si="1510"/>
        <v>61697893.592947423</v>
      </c>
      <c r="Y1560" s="2">
        <f t="shared" ca="1" si="1511"/>
        <v>0.12309159956685238</v>
      </c>
      <c r="Z1560" s="2">
        <f t="shared" ca="1" si="1512"/>
        <v>0.12432823939359333</v>
      </c>
      <c r="AA1560" s="2">
        <f t="shared" ca="1" si="1513"/>
        <v>6194574.6494535366</v>
      </c>
      <c r="AB1560" s="2">
        <f t="shared" ca="1" si="1514"/>
        <v>6583770.3634011457</v>
      </c>
      <c r="AC1560" s="2">
        <f t="shared" ca="1" si="1515"/>
        <v>6927818.3219533199</v>
      </c>
      <c r="AD1560" s="2">
        <f t="shared" ca="1" si="1516"/>
        <v>7289845.1879172605</v>
      </c>
      <c r="AE1560" s="2">
        <f t="shared" ca="1" si="1517"/>
        <v>7670790.4847044153</v>
      </c>
      <c r="AF1560" s="2">
        <f t="shared" ca="1" si="1518"/>
        <v>1006498.3591490655</v>
      </c>
      <c r="AG1560" s="2">
        <f t="shared" ca="1" si="1519"/>
        <v>1059094.9241320004</v>
      </c>
      <c r="AH1560" s="2">
        <f t="shared" ca="1" si="1520"/>
        <v>1114440.0267780696</v>
      </c>
      <c r="AI1560" s="2">
        <f t="shared" ca="1" si="1521"/>
        <v>1172677.2973659446</v>
      </c>
      <c r="AJ1560" s="2">
        <f t="shared" ca="1" si="1522"/>
        <v>1233957.8718589486</v>
      </c>
      <c r="AK1560" s="2">
        <f t="shared" ca="1" si="1523"/>
        <v>0</v>
      </c>
      <c r="AL1560" s="2">
        <f t="shared" ca="1" si="1524"/>
        <v>26298.282491467446</v>
      </c>
      <c r="AM1560" s="2">
        <f t="shared" ca="1" si="1525"/>
        <v>27672.551323034615</v>
      </c>
      <c r="AN1560" s="2">
        <f t="shared" ca="1" si="1526"/>
        <v>29118.63529393755</v>
      </c>
      <c r="AO1560" s="2">
        <f t="shared" ca="1" si="1527"/>
        <v>30640.287246501892</v>
      </c>
      <c r="AP1560" s="2">
        <f t="shared" ca="1" si="1528"/>
        <v>2128094.0320025659</v>
      </c>
      <c r="AQ1560" s="2">
        <f t="shared" ca="1" si="1529"/>
        <v>795595.38715849526</v>
      </c>
      <c r="AR1560" s="2">
        <f t="shared" ca="1" si="1530"/>
        <v>883111.16588931065</v>
      </c>
      <c r="AS1560" s="2">
        <f t="shared" ca="1" si="1531"/>
        <v>958173.90842489805</v>
      </c>
      <c r="AT1560" s="2">
        <f t="shared" ca="1" si="1532"/>
        <v>1037159.203222675</v>
      </c>
      <c r="AU1560" s="2">
        <f t="shared" ca="1" si="1533"/>
        <v>1120272.0310191542</v>
      </c>
      <c r="AV1560" s="2">
        <f t="shared" ca="1" si="1534"/>
        <v>2264386.8711434095</v>
      </c>
      <c r="AW1560" s="2">
        <f t="shared" ca="1" si="1535"/>
        <v>2487171.9588858006</v>
      </c>
      <c r="AX1560" s="2">
        <f t="shared" ca="1" si="1536"/>
        <v>2699437.8034247519</v>
      </c>
      <c r="AY1560" s="2">
        <f t="shared" ca="1" si="1537"/>
        <v>2922796.0200321372</v>
      </c>
      <c r="AZ1560" s="2">
        <f t="shared" ca="1" si="1538"/>
        <v>3157826.2625772445</v>
      </c>
      <c r="BA1560" s="2">
        <f t="shared" ca="1" si="1539"/>
        <v>56593352.341878362</v>
      </c>
      <c r="BB1560" s="2">
        <f t="shared" ca="1" si="1540"/>
        <v>1131867.0468375674</v>
      </c>
      <c r="BC1560" s="2">
        <f t="shared" ca="1" si="1541"/>
        <v>31815996.050567839</v>
      </c>
      <c r="BD1560" s="2">
        <f t="shared" ca="1" si="1542"/>
        <v>-17248888.21483501</v>
      </c>
      <c r="BE1560" s="2">
        <f t="shared" ca="1" si="1543"/>
        <v>2264386.8711434095</v>
      </c>
      <c r="BF1560" s="2">
        <f t="shared" ca="1" si="1544"/>
        <v>2487171.9588858006</v>
      </c>
      <c r="BG1560" s="2">
        <f t="shared" ca="1" si="1545"/>
        <v>2699437.8034247519</v>
      </c>
      <c r="BH1560" s="2">
        <f t="shared" ca="1" si="1546"/>
        <v>2922796.0200321372</v>
      </c>
      <c r="BI1560" s="2">
        <f t="shared" ca="1" si="1547"/>
        <v>34973822.313145086</v>
      </c>
      <c r="BJ1560" s="2">
        <f t="shared" ca="1" si="1548"/>
        <v>0.25342913831609315</v>
      </c>
      <c r="BK1560" s="2">
        <f t="shared" ca="1" si="1549"/>
        <v>10379626.281805228</v>
      </c>
    </row>
    <row r="1561" spans="1:63" x14ac:dyDescent="0.3">
      <c r="A1561" s="2">
        <v>1560</v>
      </c>
      <c r="B1561" s="2">
        <f t="shared" ca="1" si="1488"/>
        <v>0.55168036829284139</v>
      </c>
      <c r="C1561" s="2">
        <f t="shared" ca="1" si="1489"/>
        <v>7.0530896222903046</v>
      </c>
      <c r="D1561" s="2">
        <f t="shared" ca="1" si="1490"/>
        <v>0.64004107361916129</v>
      </c>
      <c r="E1561" s="2">
        <f t="shared" ca="1" si="1491"/>
        <v>7.6515202696813098</v>
      </c>
      <c r="F1561" s="2">
        <f t="shared" ca="1" si="1492"/>
        <v>0.79898141871643413</v>
      </c>
      <c r="G1561" s="2">
        <f t="shared" ca="1" si="1493"/>
        <v>6.5139654983919992E-2</v>
      </c>
      <c r="H1561" s="2">
        <f t="shared" ca="1" si="1494"/>
        <v>6.5139654983919992E-2</v>
      </c>
      <c r="I1561" s="2">
        <f t="shared" ca="1" si="1495"/>
        <v>0.93797158178387086</v>
      </c>
      <c r="J1561" s="2">
        <f t="shared" ca="1" si="1496"/>
        <v>1.7689831876935826E-2</v>
      </c>
      <c r="K1561" s="2">
        <f t="shared" ca="1" si="1497"/>
        <v>1.7689831876935826E-2</v>
      </c>
      <c r="L1561" s="2">
        <f t="shared" ca="1" si="1498"/>
        <v>0.46688460089223094</v>
      </c>
      <c r="M1561" s="2">
        <f t="shared" ca="1" si="1499"/>
        <v>-1.6620710336215281E-3</v>
      </c>
      <c r="N1561" s="2">
        <f t="shared" ca="1" si="1500"/>
        <v>-1.6620710336215281E-3</v>
      </c>
      <c r="O1561" s="2">
        <f t="shared" si="1501"/>
        <v>6000000</v>
      </c>
      <c r="P1561" s="2">
        <f t="shared" ca="1" si="1502"/>
        <v>42318537.733741827</v>
      </c>
      <c r="Q1561" s="2">
        <f t="shared" ca="1" si="1503"/>
        <v>1057963.4433435458</v>
      </c>
      <c r="R1561" s="2">
        <f t="shared" ca="1" si="1504"/>
        <v>25391122.640245095</v>
      </c>
      <c r="S1561" s="2">
        <f t="shared" ca="1" si="1505"/>
        <v>16927415.093496732</v>
      </c>
      <c r="T1561" s="2">
        <f t="shared" ca="1" si="1506"/>
        <v>49916896.448318928</v>
      </c>
      <c r="U1561" s="2">
        <f t="shared" ca="1" si="1507"/>
        <v>53168465.860830486</v>
      </c>
      <c r="V1561" s="2">
        <f t="shared" ca="1" si="1508"/>
        <v>56631841.383029312</v>
      </c>
      <c r="W1561" s="2">
        <f t="shared" ca="1" si="1509"/>
        <v>60320819.991823927</v>
      </c>
      <c r="X1561" s="2">
        <f t="shared" ca="1" si="1510"/>
        <v>64250097.394438483</v>
      </c>
      <c r="Y1561" s="2">
        <f t="shared" ca="1" si="1511"/>
        <v>0.12884491593846792</v>
      </c>
      <c r="Z1561" s="2">
        <f t="shared" ca="1" si="1512"/>
        <v>0.13238288231385506</v>
      </c>
      <c r="AA1561" s="2">
        <f t="shared" ca="1" si="1513"/>
        <v>6431538.3267928604</v>
      </c>
      <c r="AB1561" s="2">
        <f t="shared" ca="1" si="1514"/>
        <v>7038594.7588625429</v>
      </c>
      <c r="AC1561" s="2">
        <f t="shared" ca="1" si="1515"/>
        <v>7497086.3930264758</v>
      </c>
      <c r="AD1561" s="2">
        <f t="shared" ca="1" si="1516"/>
        <v>7985444.0140528623</v>
      </c>
      <c r="AE1561" s="2">
        <f t="shared" ca="1" si="1517"/>
        <v>8505613.082021676</v>
      </c>
      <c r="AF1561" s="2">
        <f t="shared" ca="1" si="1518"/>
        <v>998337.92896637856</v>
      </c>
      <c r="AG1561" s="2">
        <f t="shared" ca="1" si="1519"/>
        <v>1063369.3172166098</v>
      </c>
      <c r="AH1561" s="2">
        <f t="shared" ca="1" si="1520"/>
        <v>1132636.8276605862</v>
      </c>
      <c r="AI1561" s="2">
        <f t="shared" ca="1" si="1521"/>
        <v>1206416.3998364785</v>
      </c>
      <c r="AJ1561" s="2">
        <f t="shared" ca="1" si="1522"/>
        <v>1285001.9478887697</v>
      </c>
      <c r="AK1561" s="2">
        <f t="shared" ca="1" si="1523"/>
        <v>0</v>
      </c>
      <c r="AL1561" s="2">
        <f t="shared" ca="1" si="1524"/>
        <v>32515.694125115573</v>
      </c>
      <c r="AM1561" s="2">
        <f t="shared" ca="1" si="1525"/>
        <v>34633.755221988264</v>
      </c>
      <c r="AN1561" s="2">
        <f t="shared" ca="1" si="1526"/>
        <v>36889.786087946144</v>
      </c>
      <c r="AO1561" s="2">
        <f t="shared" ca="1" si="1527"/>
        <v>39292.774026145562</v>
      </c>
      <c r="AP1561" s="2">
        <f t="shared" ca="1" si="1528"/>
        <v>2285201.0376220583</v>
      </c>
      <c r="AQ1561" s="2">
        <f t="shared" ca="1" si="1529"/>
        <v>818479.83365315013</v>
      </c>
      <c r="AR1561" s="2">
        <f t="shared" ca="1" si="1530"/>
        <v>959406.34504620754</v>
      </c>
      <c r="AS1561" s="2">
        <f t="shared" ca="1" si="1531"/>
        <v>1060604.6172133964</v>
      </c>
      <c r="AT1561" s="2">
        <f t="shared" ca="1" si="1532"/>
        <v>1168394.9099145245</v>
      </c>
      <c r="AU1561" s="2">
        <f t="shared" ca="1" si="1533"/>
        <v>1283206.6250928205</v>
      </c>
      <c r="AV1561" s="2">
        <f t="shared" ca="1" si="1534"/>
        <v>2329519.5265512732</v>
      </c>
      <c r="AW1561" s="2">
        <f t="shared" ca="1" si="1535"/>
        <v>2698102.3648525518</v>
      </c>
      <c r="AX1561" s="2">
        <f t="shared" ca="1" si="1536"/>
        <v>2984010.1553084473</v>
      </c>
      <c r="AY1561" s="2">
        <f t="shared" ca="1" si="1537"/>
        <v>3288541.8805918549</v>
      </c>
      <c r="AZ1561" s="2">
        <f t="shared" ca="1" si="1538"/>
        <v>3612910.697391883</v>
      </c>
      <c r="BA1561" s="2">
        <f t="shared" ca="1" si="1539"/>
        <v>65080870.903155372</v>
      </c>
      <c r="BB1561" s="2">
        <f t="shared" ca="1" si="1540"/>
        <v>1301617.4180631074</v>
      </c>
      <c r="BC1561" s="2">
        <f t="shared" ca="1" si="1541"/>
        <v>38388130.844847172</v>
      </c>
      <c r="BD1561" s="2">
        <f t="shared" ca="1" si="1542"/>
        <v>-18485378.536840279</v>
      </c>
      <c r="BE1561" s="2">
        <f t="shared" ca="1" si="1543"/>
        <v>2329519.5265512732</v>
      </c>
      <c r="BF1561" s="2">
        <f t="shared" ca="1" si="1544"/>
        <v>2698102.3648525518</v>
      </c>
      <c r="BG1561" s="2">
        <f t="shared" ca="1" si="1545"/>
        <v>2984010.1553084473</v>
      </c>
      <c r="BH1561" s="2">
        <f t="shared" ca="1" si="1546"/>
        <v>3288541.8805918549</v>
      </c>
      <c r="BI1561" s="2">
        <f t="shared" ca="1" si="1547"/>
        <v>42001041.542239055</v>
      </c>
      <c r="BJ1561" s="2">
        <f t="shared" ca="1" si="1548"/>
        <v>0.27752188763923891</v>
      </c>
      <c r="BK1561" s="2">
        <f t="shared" ca="1" si="1549"/>
        <v>13791866.541882291</v>
      </c>
    </row>
    <row r="1562" spans="1:63" x14ac:dyDescent="0.3">
      <c r="A1562" s="2">
        <v>1561</v>
      </c>
      <c r="B1562" s="2">
        <f t="shared" ca="1" si="1488"/>
        <v>3.9134390219671689E-3</v>
      </c>
      <c r="C1562" s="2">
        <f t="shared" ca="1" si="1489"/>
        <v>6.0884696447598516</v>
      </c>
      <c r="D1562" s="2">
        <f t="shared" ca="1" si="1490"/>
        <v>0.67060859365315828</v>
      </c>
      <c r="E1562" s="2">
        <f t="shared" ca="1" si="1491"/>
        <v>7.6883456322462846</v>
      </c>
      <c r="F1562" s="2">
        <f t="shared" ca="1" si="1492"/>
        <v>0.62619239020399375</v>
      </c>
      <c r="G1562" s="2">
        <f t="shared" ca="1" si="1493"/>
        <v>4.9653564218772858E-2</v>
      </c>
      <c r="H1562" s="2">
        <f t="shared" ca="1" si="1494"/>
        <v>4.9653564218772858E-2</v>
      </c>
      <c r="I1562" s="2">
        <f t="shared" ca="1" si="1495"/>
        <v>0.90680827676911258</v>
      </c>
      <c r="J1562" s="2">
        <f t="shared" ca="1" si="1496"/>
        <v>1.6606768648234092E-2</v>
      </c>
      <c r="K1562" s="2">
        <f t="shared" ca="1" si="1497"/>
        <v>1.6606768648234092E-2</v>
      </c>
      <c r="L1562" s="2">
        <f t="shared" ca="1" si="1498"/>
        <v>9.2212688749812366E-2</v>
      </c>
      <c r="M1562" s="2">
        <f t="shared" ca="1" si="1499"/>
        <v>-2.6545037503053738E-2</v>
      </c>
      <c r="N1562" s="2">
        <f t="shared" ca="1" si="1500"/>
        <v>-2.6545037503053738E-2</v>
      </c>
      <c r="O1562" s="2">
        <f t="shared" si="1501"/>
        <v>6000000</v>
      </c>
      <c r="P1562" s="2">
        <f t="shared" ca="1" si="1502"/>
        <v>36530817.868559107</v>
      </c>
      <c r="Q1562" s="2">
        <f t="shared" ca="1" si="1503"/>
        <v>913270.44671397773</v>
      </c>
      <c r="R1562" s="2">
        <f t="shared" ca="1" si="1504"/>
        <v>21918490.721135464</v>
      </c>
      <c r="S1562" s="2">
        <f t="shared" ca="1" si="1505"/>
        <v>14612327.147423644</v>
      </c>
      <c r="T1562" s="2">
        <f t="shared" ca="1" si="1506"/>
        <v>48672748.124847315</v>
      </c>
      <c r="U1562" s="2">
        <f t="shared" ca="1" si="1507"/>
        <v>51089523.549568571</v>
      </c>
      <c r="V1562" s="2">
        <f t="shared" ca="1" si="1508"/>
        <v>53626300.488043576</v>
      </c>
      <c r="W1562" s="2">
        <f t="shared" ca="1" si="1509"/>
        <v>56289037.443141855</v>
      </c>
      <c r="X1562" s="2">
        <f t="shared" ca="1" si="1510"/>
        <v>59083988.778637804</v>
      </c>
      <c r="Y1562" s="2">
        <f t="shared" ca="1" si="1511"/>
        <v>0.12830338432411703</v>
      </c>
      <c r="Z1562" s="2">
        <f t="shared" ca="1" si="1512"/>
        <v>0.13162473805376385</v>
      </c>
      <c r="AA1562" s="2">
        <f t="shared" ca="1" si="1513"/>
        <v>6244878.3087732317</v>
      </c>
      <c r="AB1562" s="2">
        <f t="shared" ca="1" si="1514"/>
        <v>6724645.1545035625</v>
      </c>
      <c r="AC1562" s="2">
        <f t="shared" ca="1" si="1515"/>
        <v>7058547.7545311637</v>
      </c>
      <c r="AD1562" s="2">
        <f t="shared" ca="1" si="1516"/>
        <v>7409029.8087520516</v>
      </c>
      <c r="AE1562" s="2">
        <f t="shared" ca="1" si="1517"/>
        <v>7776914.5461597238</v>
      </c>
      <c r="AF1562" s="2">
        <f t="shared" ca="1" si="1518"/>
        <v>973454.96249694633</v>
      </c>
      <c r="AG1562" s="2">
        <f t="shared" ca="1" si="1519"/>
        <v>1021790.4709913714</v>
      </c>
      <c r="AH1562" s="2">
        <f t="shared" ca="1" si="1520"/>
        <v>1072526.0097608715</v>
      </c>
      <c r="AI1562" s="2">
        <f t="shared" ca="1" si="1521"/>
        <v>1125780.7488628372</v>
      </c>
      <c r="AJ1562" s="2">
        <f t="shared" ca="1" si="1522"/>
        <v>1181679.7755727561</v>
      </c>
      <c r="AK1562" s="2">
        <f t="shared" ca="1" si="1523"/>
        <v>0</v>
      </c>
      <c r="AL1562" s="2">
        <f t="shared" ca="1" si="1524"/>
        <v>24167.754247212561</v>
      </c>
      <c r="AM1562" s="2">
        <f t="shared" ca="1" si="1525"/>
        <v>25367.769384750052</v>
      </c>
      <c r="AN1562" s="2">
        <f t="shared" ca="1" si="1526"/>
        <v>26627.369550982788</v>
      </c>
      <c r="AO1562" s="2">
        <f t="shared" ca="1" si="1527"/>
        <v>27949.51335495949</v>
      </c>
      <c r="AP1562" s="2">
        <f t="shared" ca="1" si="1528"/>
        <v>1972664.1649021916</v>
      </c>
      <c r="AQ1562" s="2">
        <f t="shared" ca="1" si="1529"/>
        <v>857677.3871572644</v>
      </c>
      <c r="AR1562" s="2">
        <f t="shared" ca="1" si="1530"/>
        <v>969849.53483859997</v>
      </c>
      <c r="AS1562" s="2">
        <f t="shared" ca="1" si="1531"/>
        <v>1043472.9707657062</v>
      </c>
      <c r="AT1562" s="2">
        <f t="shared" ca="1" si="1532"/>
        <v>1120752.072696626</v>
      </c>
      <c r="AU1562" s="2">
        <f t="shared" ca="1" si="1533"/>
        <v>1201868.3574780417</v>
      </c>
      <c r="AV1562" s="2">
        <f t="shared" ca="1" si="1534"/>
        <v>2441081.7942168294</v>
      </c>
      <c r="AW1562" s="2">
        <f t="shared" ca="1" si="1535"/>
        <v>2736173.2295241868</v>
      </c>
      <c r="AX1562" s="2">
        <f t="shared" ca="1" si="1536"/>
        <v>2944516.8397176443</v>
      </c>
      <c r="AY1562" s="2">
        <f t="shared" ca="1" si="1537"/>
        <v>3163205.4527394138</v>
      </c>
      <c r="AZ1562" s="2">
        <f t="shared" ca="1" si="1538"/>
        <v>3392752.7348517738</v>
      </c>
      <c r="BA1562" s="2">
        <f t="shared" ca="1" si="1539"/>
        <v>59791606.983319707</v>
      </c>
      <c r="BB1562" s="2">
        <f t="shared" ca="1" si="1540"/>
        <v>1195832.1396663941</v>
      </c>
      <c r="BC1562" s="2">
        <f t="shared" ca="1" si="1541"/>
        <v>36677284.122517854</v>
      </c>
      <c r="BD1562" s="2">
        <f t="shared" ca="1" si="1542"/>
        <v>-16025597.594137622</v>
      </c>
      <c r="BE1562" s="2">
        <f t="shared" ca="1" si="1543"/>
        <v>2441081.7942168294</v>
      </c>
      <c r="BF1562" s="2">
        <f t="shared" ca="1" si="1544"/>
        <v>2736173.2295241868</v>
      </c>
      <c r="BG1562" s="2">
        <f t="shared" ca="1" si="1545"/>
        <v>2944516.8397176443</v>
      </c>
      <c r="BH1562" s="2">
        <f t="shared" ca="1" si="1546"/>
        <v>3163205.4527394138</v>
      </c>
      <c r="BI1562" s="2">
        <f t="shared" ca="1" si="1547"/>
        <v>40070036.857369632</v>
      </c>
      <c r="BJ1562" s="2">
        <f t="shared" ca="1" si="1548"/>
        <v>0.31410292897380687</v>
      </c>
      <c r="BK1562" s="2">
        <f t="shared" ca="1" si="1549"/>
        <v>15178138.467918342</v>
      </c>
    </row>
    <row r="1563" spans="1:63" x14ac:dyDescent="0.3">
      <c r="A1563" s="2">
        <v>1562</v>
      </c>
      <c r="B1563" s="2">
        <f t="shared" ca="1" si="1488"/>
        <v>0.95184882185165842</v>
      </c>
      <c r="C1563" s="2">
        <f t="shared" ca="1" si="1489"/>
        <v>7.6896737905095947</v>
      </c>
      <c r="D1563" s="2">
        <f t="shared" ca="1" si="1490"/>
        <v>0.652775967078841</v>
      </c>
      <c r="E1563" s="2">
        <f t="shared" ca="1" si="1491"/>
        <v>7.6666644938307753</v>
      </c>
      <c r="F1563" s="2">
        <f t="shared" ca="1" si="1492"/>
        <v>0.57207046412791329</v>
      </c>
      <c r="G1563" s="2">
        <f t="shared" ca="1" si="1493"/>
        <v>4.5449436374224376E-2</v>
      </c>
      <c r="H1563" s="2">
        <f t="shared" ca="1" si="1494"/>
        <v>4.5449436374224376E-2</v>
      </c>
      <c r="I1563" s="2">
        <f t="shared" ca="1" si="1495"/>
        <v>0.50727198122171147</v>
      </c>
      <c r="J1563" s="2">
        <f t="shared" ca="1" si="1496"/>
        <v>1.0091145816458535E-2</v>
      </c>
      <c r="K1563" s="2">
        <f t="shared" ca="1" si="1497"/>
        <v>1.0091145816458535E-2</v>
      </c>
      <c r="L1563" s="2">
        <f t="shared" ca="1" si="1498"/>
        <v>0.57792670568588311</v>
      </c>
      <c r="M1563" s="2">
        <f t="shared" ca="1" si="1499"/>
        <v>3.9318462071541542E-3</v>
      </c>
      <c r="N1563" s="2">
        <f t="shared" ca="1" si="1500"/>
        <v>3.9318462071541542E-3</v>
      </c>
      <c r="O1563" s="2">
        <f t="shared" si="1501"/>
        <v>6000000</v>
      </c>
      <c r="P1563" s="2">
        <f t="shared" ca="1" si="1502"/>
        <v>46138042.743057571</v>
      </c>
      <c r="Q1563" s="2">
        <f t="shared" ca="1" si="1503"/>
        <v>1153451.0685764393</v>
      </c>
      <c r="R1563" s="2">
        <f t="shared" ca="1" si="1504"/>
        <v>27682825.645834543</v>
      </c>
      <c r="S1563" s="2">
        <f t="shared" ca="1" si="1505"/>
        <v>18455217.097223029</v>
      </c>
      <c r="T1563" s="2">
        <f t="shared" ca="1" si="1506"/>
        <v>50196592.310357712</v>
      </c>
      <c r="U1563" s="2">
        <f t="shared" ca="1" si="1507"/>
        <v>52477999.138770193</v>
      </c>
      <c r="V1563" s="2">
        <f t="shared" ca="1" si="1508"/>
        <v>54863094.621674329</v>
      </c>
      <c r="W1563" s="2">
        <f t="shared" ca="1" si="1509"/>
        <v>57356591.349975169</v>
      </c>
      <c r="X1563" s="2">
        <f t="shared" ca="1" si="1510"/>
        <v>59963416.099178255</v>
      </c>
      <c r="Y1563" s="2">
        <f t="shared" ca="1" si="1511"/>
        <v>0.12504557290822926</v>
      </c>
      <c r="Z1563" s="2">
        <f t="shared" ca="1" si="1512"/>
        <v>0.12706380207152096</v>
      </c>
      <c r="AA1563" s="2">
        <f t="shared" ca="1" si="1513"/>
        <v>6276861.6434894959</v>
      </c>
      <c r="AB1563" s="2">
        <f t="shared" ca="1" si="1514"/>
        <v>6668054.0956781432</v>
      </c>
      <c r="AC1563" s="2">
        <f t="shared" ca="1" si="1515"/>
        <v>6971113.396039553</v>
      </c>
      <c r="AD1563" s="2">
        <f t="shared" ca="1" si="1516"/>
        <v>7287946.570790356</v>
      </c>
      <c r="AE1563" s="2">
        <f t="shared" ca="1" si="1517"/>
        <v>7619179.6347582396</v>
      </c>
      <c r="AF1563" s="2">
        <f t="shared" ca="1" si="1518"/>
        <v>1003931.8462071542</v>
      </c>
      <c r="AG1563" s="2">
        <f t="shared" ca="1" si="1519"/>
        <v>1049559.9827754039</v>
      </c>
      <c r="AH1563" s="2">
        <f t="shared" ca="1" si="1520"/>
        <v>1097261.8924334866</v>
      </c>
      <c r="AI1563" s="2">
        <f t="shared" ca="1" si="1521"/>
        <v>1147131.8269995034</v>
      </c>
      <c r="AJ1563" s="2">
        <f t="shared" ca="1" si="1522"/>
        <v>1199268.3219835651</v>
      </c>
      <c r="AK1563" s="2">
        <f t="shared" ca="1" si="1523"/>
        <v>0</v>
      </c>
      <c r="AL1563" s="2">
        <f t="shared" ca="1" si="1524"/>
        <v>22814.068284124805</v>
      </c>
      <c r="AM1563" s="2">
        <f t="shared" ca="1" si="1525"/>
        <v>23850.954829041362</v>
      </c>
      <c r="AN1563" s="2">
        <f t="shared" ca="1" si="1526"/>
        <v>24934.967283008398</v>
      </c>
      <c r="AO1563" s="2">
        <f t="shared" ca="1" si="1527"/>
        <v>26068.24749203086</v>
      </c>
      <c r="AP1563" s="2">
        <f t="shared" ca="1" si="1528"/>
        <v>2491454.3081251089</v>
      </c>
      <c r="AQ1563" s="2">
        <f t="shared" ca="1" si="1529"/>
        <v>723183.62718088063</v>
      </c>
      <c r="AR1563" s="2">
        <f t="shared" ca="1" si="1530"/>
        <v>813030.34924218385</v>
      </c>
      <c r="AS1563" s="2">
        <f t="shared" ca="1" si="1531"/>
        <v>879423.27082504891</v>
      </c>
      <c r="AT1563" s="2">
        <f t="shared" ca="1" si="1532"/>
        <v>948833.71327309345</v>
      </c>
      <c r="AU1563" s="2">
        <f t="shared" ca="1" si="1533"/>
        <v>1021398.8212088872</v>
      </c>
      <c r="AV1563" s="2">
        <f t="shared" ca="1" si="1534"/>
        <v>2058291.8619763521</v>
      </c>
      <c r="AW1563" s="2">
        <f t="shared" ca="1" si="1535"/>
        <v>2291195.3872513208</v>
      </c>
      <c r="AX1563" s="2">
        <f t="shared" ca="1" si="1536"/>
        <v>2479122.9698268673</v>
      </c>
      <c r="AY1563" s="2">
        <f t="shared" ca="1" si="1537"/>
        <v>2675591.7551096422</v>
      </c>
      <c r="AZ1563" s="2">
        <f t="shared" ca="1" si="1538"/>
        <v>2880989.935948648</v>
      </c>
      <c r="BA1563" s="2">
        <f t="shared" ca="1" si="1539"/>
        <v>58413693.977919534</v>
      </c>
      <c r="BB1563" s="2">
        <f t="shared" ca="1" si="1540"/>
        <v>1168273.8795583907</v>
      </c>
      <c r="BC1563" s="2">
        <f t="shared" ca="1" si="1541"/>
        <v>29562594.452526599</v>
      </c>
      <c r="BD1563" s="2">
        <f t="shared" ca="1" si="1542"/>
        <v>-20108668.165799469</v>
      </c>
      <c r="BE1563" s="2">
        <f t="shared" ca="1" si="1543"/>
        <v>2058291.8619763521</v>
      </c>
      <c r="BF1563" s="2">
        <f t="shared" ca="1" si="1544"/>
        <v>2291195.3872513208</v>
      </c>
      <c r="BG1563" s="2">
        <f t="shared" ca="1" si="1545"/>
        <v>2479122.9698268673</v>
      </c>
      <c r="BH1563" s="2">
        <f t="shared" ca="1" si="1546"/>
        <v>2675591.7551096422</v>
      </c>
      <c r="BI1563" s="2">
        <f t="shared" ca="1" si="1547"/>
        <v>32443584.388475247</v>
      </c>
      <c r="BJ1563" s="2">
        <f t="shared" ca="1" si="1548"/>
        <v>0.18487912969545239</v>
      </c>
      <c r="BK1563" s="2">
        <f t="shared" ca="1" si="1549"/>
        <v>5429958.1306606531</v>
      </c>
    </row>
    <row r="1564" spans="1:63" x14ac:dyDescent="0.3">
      <c r="A1564" s="2">
        <v>1563</v>
      </c>
      <c r="B1564" s="2">
        <f t="shared" ca="1" si="1488"/>
        <v>1.971493282056036E-2</v>
      </c>
      <c r="C1564" s="2">
        <f t="shared" ca="1" si="1489"/>
        <v>6.1985695486249606</v>
      </c>
      <c r="D1564" s="2">
        <f t="shared" ca="1" si="1490"/>
        <v>5.7486066414179526E-2</v>
      </c>
      <c r="E1564" s="2">
        <f t="shared" ca="1" si="1491"/>
        <v>6.839075408763831</v>
      </c>
      <c r="F1564" s="2">
        <f t="shared" ca="1" si="1492"/>
        <v>0.23057533769095595</v>
      </c>
      <c r="G1564" s="2">
        <f t="shared" ca="1" si="1493"/>
        <v>1.7891397355431455E-2</v>
      </c>
      <c r="H1564" s="2">
        <f t="shared" ca="1" si="1494"/>
        <v>1.7891397355431455E-2</v>
      </c>
      <c r="I1564" s="2">
        <f t="shared" ca="1" si="1495"/>
        <v>0.65052182121026669</v>
      </c>
      <c r="J1564" s="2">
        <f t="shared" ca="1" si="1496"/>
        <v>1.1933648288716139E-2</v>
      </c>
      <c r="K1564" s="2">
        <f t="shared" ca="1" si="1497"/>
        <v>1.1933648288716139E-2</v>
      </c>
      <c r="L1564" s="2">
        <f t="shared" ca="1" si="1498"/>
        <v>0.94456439231436229</v>
      </c>
      <c r="M1564" s="2">
        <f t="shared" ca="1" si="1499"/>
        <v>3.1885789373432123E-2</v>
      </c>
      <c r="N1564" s="2">
        <f t="shared" ca="1" si="1500"/>
        <v>3.1885789373432123E-2</v>
      </c>
      <c r="O1564" s="2">
        <f t="shared" si="1501"/>
        <v>6000000</v>
      </c>
      <c r="P1564" s="2">
        <f t="shared" ca="1" si="1502"/>
        <v>37191417.291749761</v>
      </c>
      <c r="Q1564" s="2">
        <f t="shared" ca="1" si="1503"/>
        <v>929785.43229374406</v>
      </c>
      <c r="R1564" s="2">
        <f t="shared" ca="1" si="1504"/>
        <v>22314850.375049856</v>
      </c>
      <c r="S1564" s="2">
        <f t="shared" ca="1" si="1505"/>
        <v>14876566.916699905</v>
      </c>
      <c r="T1564" s="2">
        <f t="shared" ca="1" si="1506"/>
        <v>51594289.468671605</v>
      </c>
      <c r="U1564" s="2">
        <f t="shared" ca="1" si="1507"/>
        <v>52517383.402826764</v>
      </c>
      <c r="V1564" s="2">
        <f t="shared" ca="1" si="1508"/>
        <v>53456992.777354285</v>
      </c>
      <c r="W1564" s="2">
        <f t="shared" ca="1" si="1509"/>
        <v>54413413.076560363</v>
      </c>
      <c r="X1564" s="2">
        <f t="shared" ca="1" si="1510"/>
        <v>55386945.071378343</v>
      </c>
      <c r="Y1564" s="2">
        <f t="shared" ca="1" si="1511"/>
        <v>0.12596682414435806</v>
      </c>
      <c r="Z1564" s="2">
        <f t="shared" ca="1" si="1512"/>
        <v>0.12835355380210128</v>
      </c>
      <c r="AA1564" s="2">
        <f t="shared" ca="1" si="1513"/>
        <v>6499168.7883532606</v>
      </c>
      <c r="AB1564" s="2">
        <f t="shared" ca="1" si="1514"/>
        <v>6740792.7961403057</v>
      </c>
      <c r="AC1564" s="2">
        <f t="shared" ca="1" si="1515"/>
        <v>6861394.9985466832</v>
      </c>
      <c r="AD1564" s="2">
        <f t="shared" ca="1" si="1516"/>
        <v>6984154.9428782519</v>
      </c>
      <c r="AE1564" s="2">
        <f t="shared" ca="1" si="1517"/>
        <v>7109111.2341531888</v>
      </c>
      <c r="AF1564" s="2">
        <f t="shared" ca="1" si="1518"/>
        <v>1031885.7893734322</v>
      </c>
      <c r="AG1564" s="2">
        <f t="shared" ca="1" si="1519"/>
        <v>1050347.6680565353</v>
      </c>
      <c r="AH1564" s="2">
        <f t="shared" ca="1" si="1520"/>
        <v>1069139.8555470856</v>
      </c>
      <c r="AI1564" s="2">
        <f t="shared" ca="1" si="1521"/>
        <v>1088268.2615312072</v>
      </c>
      <c r="AJ1564" s="2">
        <f t="shared" ca="1" si="1522"/>
        <v>1107738.9014275668</v>
      </c>
      <c r="AK1564" s="2">
        <f t="shared" ca="1" si="1523"/>
        <v>0</v>
      </c>
      <c r="AL1564" s="2">
        <f t="shared" ca="1" si="1524"/>
        <v>9230.9393415515879</v>
      </c>
      <c r="AM1564" s="2">
        <f t="shared" ca="1" si="1525"/>
        <v>9396.093745275215</v>
      </c>
      <c r="AN1564" s="2">
        <f t="shared" ca="1" si="1526"/>
        <v>9564.2029920607802</v>
      </c>
      <c r="AO1564" s="2">
        <f t="shared" ca="1" si="1527"/>
        <v>9735.3199481797965</v>
      </c>
      <c r="AP1564" s="2">
        <f t="shared" ca="1" si="1528"/>
        <v>2008336.5337544868</v>
      </c>
      <c r="AQ1564" s="2">
        <f t="shared" ca="1" si="1529"/>
        <v>899326.08095858886</v>
      </c>
      <c r="AR1564" s="2">
        <f t="shared" ca="1" si="1530"/>
        <v>957348.23452561372</v>
      </c>
      <c r="AS1564" s="2">
        <f t="shared" ca="1" si="1531"/>
        <v>983818.83840372891</v>
      </c>
      <c r="AT1564" s="2">
        <f t="shared" ca="1" si="1532"/>
        <v>1010763.038374065</v>
      </c>
      <c r="AU1564" s="2">
        <f t="shared" ca="1" si="1533"/>
        <v>1038189.3077324951</v>
      </c>
      <c r="AV1564" s="2">
        <f t="shared" ca="1" si="1534"/>
        <v>2559620.3842667527</v>
      </c>
      <c r="AW1564" s="2">
        <f t="shared" ca="1" si="1535"/>
        <v>2715529.4204621185</v>
      </c>
      <c r="AX1564" s="2">
        <f t="shared" ca="1" si="1536"/>
        <v>2790703.677096107</v>
      </c>
      <c r="AY1564" s="2">
        <f t="shared" ca="1" si="1537"/>
        <v>2867222.906226432</v>
      </c>
      <c r="AZ1564" s="2">
        <f t="shared" ca="1" si="1538"/>
        <v>2945111.17129046</v>
      </c>
      <c r="BA1564" s="2">
        <f t="shared" ca="1" si="1539"/>
        <v>48619747.819663763</v>
      </c>
      <c r="BB1564" s="2">
        <f t="shared" ca="1" si="1540"/>
        <v>972394.95639327529</v>
      </c>
      <c r="BC1564" s="2">
        <f t="shared" ca="1" si="1541"/>
        <v>25332502.488220632</v>
      </c>
      <c r="BD1564" s="2">
        <f t="shared" ca="1" si="1542"/>
        <v>-16306352.34899365</v>
      </c>
      <c r="BE1564" s="2">
        <f t="shared" ca="1" si="1543"/>
        <v>2559620.3842667527</v>
      </c>
      <c r="BF1564" s="2">
        <f t="shared" ca="1" si="1544"/>
        <v>2715529.4204621185</v>
      </c>
      <c r="BG1564" s="2">
        <f t="shared" ca="1" si="1545"/>
        <v>2790703.677096107</v>
      </c>
      <c r="BH1564" s="2">
        <f t="shared" ca="1" si="1546"/>
        <v>2867222.906226432</v>
      </c>
      <c r="BI1564" s="2">
        <f t="shared" ca="1" si="1547"/>
        <v>28277613.659511093</v>
      </c>
      <c r="BJ1564" s="2">
        <f t="shared" ca="1" si="1548"/>
        <v>0.23699420262485105</v>
      </c>
      <c r="BK1564" s="2">
        <f t="shared" ca="1" si="1549"/>
        <v>7997843.575026026</v>
      </c>
    </row>
    <row r="1565" spans="1:63" x14ac:dyDescent="0.3">
      <c r="A1565" s="2">
        <v>1564</v>
      </c>
      <c r="B1565" s="2">
        <f t="shared" ca="1" si="1488"/>
        <v>0.1206502563164128</v>
      </c>
      <c r="C1565" s="2">
        <f t="shared" ca="1" si="1489"/>
        <v>6.4912234854247357</v>
      </c>
      <c r="D1565" s="2">
        <f t="shared" ca="1" si="1490"/>
        <v>0.24494390017433199</v>
      </c>
      <c r="E1565" s="2">
        <f t="shared" ca="1" si="1491"/>
        <v>7.1999198528036361</v>
      </c>
      <c r="F1565" s="2">
        <f t="shared" ca="1" si="1492"/>
        <v>2.9175703205326475E-2</v>
      </c>
      <c r="G1565" s="2">
        <f t="shared" ca="1" si="1493"/>
        <v>-1.6791458059205844E-2</v>
      </c>
      <c r="H1565" s="2">
        <f t="shared" ca="1" si="1494"/>
        <v>-1.6791458059205844E-2</v>
      </c>
      <c r="I1565" s="2">
        <f t="shared" ca="1" si="1495"/>
        <v>0.36896233690229907</v>
      </c>
      <c r="J1565" s="2">
        <f t="shared" ca="1" si="1496"/>
        <v>8.3269856112726144E-3</v>
      </c>
      <c r="K1565" s="2">
        <f t="shared" ca="1" si="1497"/>
        <v>8.3269856112726144E-3</v>
      </c>
      <c r="L1565" s="2">
        <f t="shared" ca="1" si="1498"/>
        <v>0.91646481656778722</v>
      </c>
      <c r="M1565" s="2">
        <f t="shared" ca="1" si="1499"/>
        <v>2.7633574680722032E-2</v>
      </c>
      <c r="N1565" s="2">
        <f t="shared" ca="1" si="1500"/>
        <v>2.7633574680722032E-2</v>
      </c>
      <c r="O1565" s="2">
        <f t="shared" si="1501"/>
        <v>6000000</v>
      </c>
      <c r="P1565" s="2">
        <f t="shared" ca="1" si="1502"/>
        <v>38947340.912548415</v>
      </c>
      <c r="Q1565" s="2">
        <f t="shared" ca="1" si="1503"/>
        <v>973683.52281371038</v>
      </c>
      <c r="R1565" s="2">
        <f t="shared" ca="1" si="1504"/>
        <v>23368404.547529049</v>
      </c>
      <c r="S1565" s="2">
        <f t="shared" ca="1" si="1505"/>
        <v>15578936.365019366</v>
      </c>
      <c r="T1565" s="2">
        <f t="shared" ca="1" si="1506"/>
        <v>51381678.73403611</v>
      </c>
      <c r="U1565" s="2">
        <f t="shared" ca="1" si="1507"/>
        <v>50518905.430561952</v>
      </c>
      <c r="V1565" s="2">
        <f t="shared" ca="1" si="1508"/>
        <v>49670619.348827682</v>
      </c>
      <c r="W1565" s="2">
        <f t="shared" ca="1" si="1509"/>
        <v>48836577.227257058</v>
      </c>
      <c r="X1565" s="2">
        <f t="shared" ca="1" si="1510"/>
        <v>48016539.888990402</v>
      </c>
      <c r="Y1565" s="2">
        <f t="shared" ca="1" si="1511"/>
        <v>0.12416349280563631</v>
      </c>
      <c r="Z1565" s="2">
        <f t="shared" ca="1" si="1512"/>
        <v>0.12582888992789082</v>
      </c>
      <c r="AA1565" s="2">
        <f t="shared" ca="1" si="1513"/>
        <v>6379728.6978350086</v>
      </c>
      <c r="AB1565" s="2">
        <f t="shared" ca="1" si="1514"/>
        <v>6356737.7906997055</v>
      </c>
      <c r="AC1565" s="2">
        <f t="shared" ca="1" si="1515"/>
        <v>6249998.8946938021</v>
      </c>
      <c r="AD1565" s="2">
        <f t="shared" ca="1" si="1516"/>
        <v>6145052.3003834682</v>
      </c>
      <c r="AE1565" s="2">
        <f t="shared" ca="1" si="1517"/>
        <v>6041867.9124099519</v>
      </c>
      <c r="AF1565" s="2">
        <f t="shared" ca="1" si="1518"/>
        <v>1027633.5746807222</v>
      </c>
      <c r="AG1565" s="2">
        <f t="shared" ca="1" si="1519"/>
        <v>1010378.1086112391</v>
      </c>
      <c r="AH1565" s="2">
        <f t="shared" ca="1" si="1520"/>
        <v>993412.38697655371</v>
      </c>
      <c r="AI1565" s="2">
        <f t="shared" ca="1" si="1521"/>
        <v>976731.54454514117</v>
      </c>
      <c r="AJ1565" s="2">
        <f t="shared" ca="1" si="1522"/>
        <v>960330.79777980805</v>
      </c>
      <c r="AK1565" s="2">
        <f t="shared" ca="1" si="1523"/>
        <v>0</v>
      </c>
      <c r="AL1565" s="2">
        <f t="shared" ca="1" si="1524"/>
        <v>0</v>
      </c>
      <c r="AM1565" s="2">
        <f t="shared" ca="1" si="1525"/>
        <v>0</v>
      </c>
      <c r="AN1565" s="2">
        <f t="shared" ca="1" si="1526"/>
        <v>0</v>
      </c>
      <c r="AO1565" s="2">
        <f t="shared" ca="1" si="1527"/>
        <v>0</v>
      </c>
      <c r="AP1565" s="2">
        <f t="shared" ca="1" si="1528"/>
        <v>2103156.4092776142</v>
      </c>
      <c r="AQ1565" s="2">
        <f t="shared" ca="1" si="1529"/>
        <v>844724.06560793472</v>
      </c>
      <c r="AR1565" s="2">
        <f t="shared" ca="1" si="1530"/>
        <v>843232.85093082162</v>
      </c>
      <c r="AS1565" s="2">
        <f t="shared" ca="1" si="1531"/>
        <v>819891.82559430483</v>
      </c>
      <c r="AT1565" s="2">
        <f t="shared" ca="1" si="1532"/>
        <v>796942.73010578542</v>
      </c>
      <c r="AU1565" s="2">
        <f t="shared" ca="1" si="1533"/>
        <v>774378.98339165782</v>
      </c>
      <c r="AV1565" s="2">
        <f t="shared" ca="1" si="1534"/>
        <v>2404214.6482687369</v>
      </c>
      <c r="AW1565" s="2">
        <f t="shared" ca="1" si="1535"/>
        <v>2399970.421880031</v>
      </c>
      <c r="AX1565" s="2">
        <f t="shared" ca="1" si="1536"/>
        <v>2333538.2728453288</v>
      </c>
      <c r="AY1565" s="2">
        <f t="shared" ca="1" si="1537"/>
        <v>2268221.6164549273</v>
      </c>
      <c r="AZ1565" s="2">
        <f t="shared" ca="1" si="1538"/>
        <v>2204001.7219608724</v>
      </c>
      <c r="BA1565" s="2">
        <f t="shared" ca="1" si="1539"/>
        <v>43500964.73057767</v>
      </c>
      <c r="BB1565" s="2">
        <f t="shared" ca="1" si="1540"/>
        <v>870019.29461155343</v>
      </c>
      <c r="BC1565" s="2">
        <f t="shared" ca="1" si="1541"/>
        <v>19262540.888437066</v>
      </c>
      <c r="BD1565" s="2">
        <f t="shared" ca="1" si="1542"/>
        <v>-17052619.887833077</v>
      </c>
      <c r="BE1565" s="2">
        <f t="shared" ca="1" si="1543"/>
        <v>2404214.6482687369</v>
      </c>
      <c r="BF1565" s="2">
        <f t="shared" ca="1" si="1544"/>
        <v>2399970.421880031</v>
      </c>
      <c r="BG1565" s="2">
        <f t="shared" ca="1" si="1545"/>
        <v>2333538.2728453288</v>
      </c>
      <c r="BH1565" s="2">
        <f t="shared" ca="1" si="1546"/>
        <v>2268221.6164549273</v>
      </c>
      <c r="BI1565" s="2">
        <f t="shared" ca="1" si="1547"/>
        <v>21466542.610397939</v>
      </c>
      <c r="BJ1565" s="2">
        <f t="shared" ca="1" si="1548"/>
        <v>0.15604050275510906</v>
      </c>
      <c r="BK1565" s="2">
        <f t="shared" ca="1" si="1549"/>
        <v>2290397.1302428283</v>
      </c>
    </row>
    <row r="1566" spans="1:63" x14ac:dyDescent="0.3">
      <c r="A1566" s="2">
        <v>1565</v>
      </c>
      <c r="B1566" s="2">
        <f t="shared" ca="1" si="1488"/>
        <v>0.29892763791501908</v>
      </c>
      <c r="C1566" s="2">
        <f t="shared" ca="1" si="1489"/>
        <v>6.7732110163661909</v>
      </c>
      <c r="D1566" s="2">
        <f t="shared" ca="1" si="1490"/>
        <v>0.19652895736825726</v>
      </c>
      <c r="E1566" s="2">
        <f t="shared" ca="1" si="1491"/>
        <v>7.1269433106242657</v>
      </c>
      <c r="F1566" s="2">
        <f t="shared" ca="1" si="1492"/>
        <v>0.55065385293792113</v>
      </c>
      <c r="G1566" s="2">
        <f t="shared" ca="1" si="1493"/>
        <v>4.3819404305400558E-2</v>
      </c>
      <c r="H1566" s="2">
        <f t="shared" ca="1" si="1494"/>
        <v>4.3819404305400558E-2</v>
      </c>
      <c r="I1566" s="2">
        <f t="shared" ca="1" si="1495"/>
        <v>0.92686337158208321</v>
      </c>
      <c r="J1566" s="2">
        <f t="shared" ca="1" si="1496"/>
        <v>1.7264108652720343E-2</v>
      </c>
      <c r="K1566" s="2">
        <f t="shared" ca="1" si="1497"/>
        <v>1.7264108652720343E-2</v>
      </c>
      <c r="L1566" s="2">
        <f t="shared" ca="1" si="1498"/>
        <v>0.55663095758389658</v>
      </c>
      <c r="M1566" s="2">
        <f t="shared" ca="1" si="1499"/>
        <v>2.8486577978754958E-3</v>
      </c>
      <c r="N1566" s="2">
        <f t="shared" ca="1" si="1500"/>
        <v>2.8486577978754958E-3</v>
      </c>
      <c r="O1566" s="2">
        <f t="shared" si="1501"/>
        <v>6000000</v>
      </c>
      <c r="P1566" s="2">
        <f t="shared" ca="1" si="1502"/>
        <v>40639266.098197147</v>
      </c>
      <c r="Q1566" s="2">
        <f t="shared" ca="1" si="1503"/>
        <v>1015981.6524549287</v>
      </c>
      <c r="R1566" s="2">
        <f t="shared" ca="1" si="1504"/>
        <v>24383559.658918288</v>
      </c>
      <c r="S1566" s="2">
        <f t="shared" ca="1" si="1505"/>
        <v>16255706.43927886</v>
      </c>
      <c r="T1566" s="2">
        <f t="shared" ca="1" si="1506"/>
        <v>50142432.88989377</v>
      </c>
      <c r="U1566" s="2">
        <f t="shared" ca="1" si="1507"/>
        <v>52339644.429552436</v>
      </c>
      <c r="V1566" s="2">
        <f t="shared" ca="1" si="1508"/>
        <v>54633136.470011897</v>
      </c>
      <c r="W1566" s="2">
        <f t="shared" ca="1" si="1509"/>
        <v>57027127.965463474</v>
      </c>
      <c r="X1566" s="2">
        <f t="shared" ca="1" si="1510"/>
        <v>59526022.742157929</v>
      </c>
      <c r="Y1566" s="2">
        <f t="shared" ca="1" si="1511"/>
        <v>0.12863205432636016</v>
      </c>
      <c r="Z1566" s="2">
        <f t="shared" ca="1" si="1512"/>
        <v>0.13208487605690422</v>
      </c>
      <c r="AA1566" s="2">
        <f t="shared" ca="1" si="1513"/>
        <v>6449924.1515486836</v>
      </c>
      <c r="AB1566" s="2">
        <f t="shared" ca="1" si="1514"/>
        <v>6913275.447339871</v>
      </c>
      <c r="AC1566" s="2">
        <f t="shared" ca="1" si="1515"/>
        <v>7216211.059241455</v>
      </c>
      <c r="AD1566" s="2">
        <f t="shared" ca="1" si="1516"/>
        <v>7532421.1291994592</v>
      </c>
      <c r="AE1566" s="2">
        <f t="shared" ca="1" si="1517"/>
        <v>7862487.3360583922</v>
      </c>
      <c r="AF1566" s="2">
        <f t="shared" ca="1" si="1518"/>
        <v>1002848.6577978755</v>
      </c>
      <c r="AG1566" s="2">
        <f t="shared" ca="1" si="1519"/>
        <v>1046792.8885910488</v>
      </c>
      <c r="AH1566" s="2">
        <f t="shared" ca="1" si="1520"/>
        <v>1092662.729400238</v>
      </c>
      <c r="AI1566" s="2">
        <f t="shared" ca="1" si="1521"/>
        <v>1140542.5593092695</v>
      </c>
      <c r="AJ1566" s="2">
        <f t="shared" ca="1" si="1522"/>
        <v>1190520.4548431586</v>
      </c>
      <c r="AK1566" s="2">
        <f t="shared" ca="1" si="1523"/>
        <v>0</v>
      </c>
      <c r="AL1566" s="2">
        <f t="shared" ca="1" si="1524"/>
        <v>21972.115396586658</v>
      </c>
      <c r="AM1566" s="2">
        <f t="shared" ca="1" si="1525"/>
        <v>22934.920404594617</v>
      </c>
      <c r="AN1566" s="2">
        <f t="shared" ca="1" si="1526"/>
        <v>23939.914954515771</v>
      </c>
      <c r="AO1566" s="2">
        <f t="shared" ca="1" si="1527"/>
        <v>24988.947766944544</v>
      </c>
      <c r="AP1566" s="2">
        <f t="shared" ca="1" si="1528"/>
        <v>2194520.3693026458</v>
      </c>
      <c r="AQ1566" s="2">
        <f t="shared" ca="1" si="1529"/>
        <v>845664.33235652221</v>
      </c>
      <c r="AR1566" s="2">
        <f t="shared" ca="1" si="1530"/>
        <v>954710.16925600602</v>
      </c>
      <c r="AS1566" s="2">
        <f t="shared" ca="1" si="1531"/>
        <v>1021547.2697400285</v>
      </c>
      <c r="AT1566" s="2">
        <f t="shared" ca="1" si="1532"/>
        <v>1091313.1321527616</v>
      </c>
      <c r="AU1566" s="2">
        <f t="shared" ca="1" si="1533"/>
        <v>1164136.093097273</v>
      </c>
      <c r="AV1566" s="2">
        <f t="shared" ca="1" si="1534"/>
        <v>2406890.7920916402</v>
      </c>
      <c r="AW1566" s="2">
        <f t="shared" ca="1" si="1535"/>
        <v>2695279.9047935843</v>
      </c>
      <c r="AX1566" s="2">
        <f t="shared" ca="1" si="1536"/>
        <v>2884545.7703939485</v>
      </c>
      <c r="AY1566" s="2">
        <f t="shared" ca="1" si="1537"/>
        <v>3082105.1534802667</v>
      </c>
      <c r="AZ1566" s="2">
        <f t="shared" ca="1" si="1538"/>
        <v>3288321.4710483695</v>
      </c>
      <c r="BA1566" s="2">
        <f t="shared" ca="1" si="1539"/>
        <v>56035501.52458936</v>
      </c>
      <c r="BB1566" s="2">
        <f t="shared" ca="1" si="1540"/>
        <v>1120710.0304917872</v>
      </c>
      <c r="BC1566" s="2">
        <f t="shared" ca="1" si="1541"/>
        <v>30531231.835179284</v>
      </c>
      <c r="BD1566" s="2">
        <f t="shared" ca="1" si="1542"/>
        <v>-17771688.091733787</v>
      </c>
      <c r="BE1566" s="2">
        <f t="shared" ca="1" si="1543"/>
        <v>2406890.7920916402</v>
      </c>
      <c r="BF1566" s="2">
        <f t="shared" ca="1" si="1544"/>
        <v>2695279.9047935843</v>
      </c>
      <c r="BG1566" s="2">
        <f t="shared" ca="1" si="1545"/>
        <v>2884545.7703939485</v>
      </c>
      <c r="BH1566" s="2">
        <f t="shared" ca="1" si="1546"/>
        <v>3082105.1534802667</v>
      </c>
      <c r="BI1566" s="2">
        <f t="shared" ca="1" si="1547"/>
        <v>33819553.306227654</v>
      </c>
      <c r="BJ1566" s="2">
        <f t="shared" ca="1" si="1548"/>
        <v>0.24472737696088087</v>
      </c>
      <c r="BK1566" s="2">
        <f t="shared" ca="1" si="1549"/>
        <v>9728001.2246719077</v>
      </c>
    </row>
    <row r="1567" spans="1:63" x14ac:dyDescent="0.3">
      <c r="A1567" s="2">
        <v>1566</v>
      </c>
      <c r="B1567" s="2">
        <f t="shared" ca="1" si="1488"/>
        <v>0.81329089187073289</v>
      </c>
      <c r="C1567" s="2">
        <f t="shared" ca="1" si="1489"/>
        <v>7.3889204501388264</v>
      </c>
      <c r="D1567" s="2">
        <f t="shared" ca="1" si="1490"/>
        <v>8.179668421136943E-2</v>
      </c>
      <c r="E1567" s="2">
        <f t="shared" ca="1" si="1491"/>
        <v>6.9044667704802691</v>
      </c>
      <c r="F1567" s="2">
        <f t="shared" ca="1" si="1492"/>
        <v>0.18143336949377487</v>
      </c>
      <c r="G1567" s="2">
        <f t="shared" ca="1" si="1493"/>
        <v>1.2702515899999735E-2</v>
      </c>
      <c r="H1567" s="2">
        <f t="shared" ca="1" si="1494"/>
        <v>1.2702515899999735E-2</v>
      </c>
      <c r="I1567" s="2">
        <f t="shared" ca="1" si="1495"/>
        <v>8.4661363129029721E-2</v>
      </c>
      <c r="J1567" s="2">
        <f t="shared" ca="1" si="1496"/>
        <v>3.1280836346252181E-3</v>
      </c>
      <c r="K1567" s="2">
        <f t="shared" ca="1" si="1497"/>
        <v>3.1280836346252181E-3</v>
      </c>
      <c r="L1567" s="2">
        <f t="shared" ca="1" si="1498"/>
        <v>0.71636635500186308</v>
      </c>
      <c r="M1567" s="2">
        <f t="shared" ca="1" si="1499"/>
        <v>1.1441614405225359E-2</v>
      </c>
      <c r="N1567" s="2">
        <f t="shared" ca="1" si="1500"/>
        <v>1.1441614405225359E-2</v>
      </c>
      <c r="O1567" s="2">
        <f t="shared" si="1501"/>
        <v>6000000</v>
      </c>
      <c r="P1567" s="2">
        <f t="shared" ca="1" si="1502"/>
        <v>44333522.700832956</v>
      </c>
      <c r="Q1567" s="2">
        <f t="shared" ca="1" si="1503"/>
        <v>1108338.067520824</v>
      </c>
      <c r="R1567" s="2">
        <f t="shared" ca="1" si="1504"/>
        <v>26600113.620499771</v>
      </c>
      <c r="S1567" s="2">
        <f t="shared" ca="1" si="1505"/>
        <v>17733409.080333184</v>
      </c>
      <c r="T1567" s="2">
        <f t="shared" ca="1" si="1506"/>
        <v>50572080.720261268</v>
      </c>
      <c r="U1567" s="2">
        <f t="shared" ca="1" si="1507"/>
        <v>51214473.379706465</v>
      </c>
      <c r="V1567" s="2">
        <f t="shared" ca="1" si="1508"/>
        <v>51865026.042122304</v>
      </c>
      <c r="W1567" s="2">
        <f t="shared" ca="1" si="1509"/>
        <v>52523842.360076271</v>
      </c>
      <c r="X1567" s="2">
        <f t="shared" ca="1" si="1510"/>
        <v>53191027.302784227</v>
      </c>
      <c r="Y1567" s="2">
        <f t="shared" ca="1" si="1511"/>
        <v>0.1215640418173126</v>
      </c>
      <c r="Z1567" s="2">
        <f t="shared" ca="1" si="1512"/>
        <v>0.12218965854423765</v>
      </c>
      <c r="AA1567" s="2">
        <f t="shared" ca="1" si="1513"/>
        <v>6147746.5354663497</v>
      </c>
      <c r="AB1567" s="2">
        <f t="shared" ca="1" si="1514"/>
        <v>6257879.0147892814</v>
      </c>
      <c r="AC1567" s="2">
        <f t="shared" ca="1" si="1515"/>
        <v>6337369.8224749174</v>
      </c>
      <c r="AD1567" s="2">
        <f t="shared" ca="1" si="1516"/>
        <v>6417870.3634090852</v>
      </c>
      <c r="AE1567" s="2">
        <f t="shared" ca="1" si="1517"/>
        <v>6499393.4637444271</v>
      </c>
      <c r="AF1567" s="2">
        <f t="shared" ca="1" si="1518"/>
        <v>1011441.6144052254</v>
      </c>
      <c r="AG1567" s="2">
        <f t="shared" ca="1" si="1519"/>
        <v>1024289.4675941293</v>
      </c>
      <c r="AH1567" s="2">
        <f t="shared" ca="1" si="1520"/>
        <v>1037300.5208424461</v>
      </c>
      <c r="AI1567" s="2">
        <f t="shared" ca="1" si="1521"/>
        <v>1050476.8472015255</v>
      </c>
      <c r="AJ1567" s="2">
        <f t="shared" ca="1" si="1522"/>
        <v>1063820.5460556846</v>
      </c>
      <c r="AK1567" s="2">
        <f t="shared" ca="1" si="1523"/>
        <v>0</v>
      </c>
      <c r="AL1567" s="2">
        <f t="shared" ca="1" si="1524"/>
        <v>6423.9265944519639</v>
      </c>
      <c r="AM1567" s="2">
        <f t="shared" ca="1" si="1525"/>
        <v>6505.5266241583977</v>
      </c>
      <c r="AN1567" s="2">
        <f t="shared" ca="1" si="1526"/>
        <v>6588.1631795396661</v>
      </c>
      <c r="AO1567" s="2">
        <f t="shared" ca="1" si="1527"/>
        <v>6671.8494270795582</v>
      </c>
      <c r="AP1567" s="2">
        <f t="shared" ca="1" si="1528"/>
        <v>2394010.2258449793</v>
      </c>
      <c r="AQ1567" s="2">
        <f t="shared" ca="1" si="1529"/>
        <v>712996.62075619784</v>
      </c>
      <c r="AR1567" s="2">
        <f t="shared" ca="1" si="1530"/>
        <v>738290.62355104508</v>
      </c>
      <c r="AS1567" s="2">
        <f t="shared" ca="1" si="1531"/>
        <v>755575.35970474803</v>
      </c>
      <c r="AT1567" s="2">
        <f t="shared" ca="1" si="1532"/>
        <v>773079.65549427096</v>
      </c>
      <c r="AU1567" s="2">
        <f t="shared" ca="1" si="1533"/>
        <v>790806.29987937841</v>
      </c>
      <c r="AV1567" s="2">
        <f t="shared" ca="1" si="1534"/>
        <v>2029298.0744599476</v>
      </c>
      <c r="AW1567" s="2">
        <f t="shared" ca="1" si="1535"/>
        <v>2094864.7712046765</v>
      </c>
      <c r="AX1567" s="2">
        <f t="shared" ca="1" si="1536"/>
        <v>2143978.1894585863</v>
      </c>
      <c r="AY1567" s="2">
        <f t="shared" ca="1" si="1537"/>
        <v>2193715.4716887698</v>
      </c>
      <c r="AZ1567" s="2">
        <f t="shared" ca="1" si="1538"/>
        <v>2244084.5425373046</v>
      </c>
      <c r="BA1567" s="2">
        <f t="shared" ca="1" si="1539"/>
        <v>44874846.198700055</v>
      </c>
      <c r="BB1567" s="2">
        <f t="shared" ca="1" si="1540"/>
        <v>897496.92397400108</v>
      </c>
      <c r="BC1567" s="2">
        <f t="shared" ca="1" si="1541"/>
        <v>17377235.654226284</v>
      </c>
      <c r="BD1567" s="2">
        <f t="shared" ca="1" si="1542"/>
        <v>-19341747.147854008</v>
      </c>
      <c r="BE1567" s="2">
        <f t="shared" ca="1" si="1543"/>
        <v>2029298.0744599476</v>
      </c>
      <c r="BF1567" s="2">
        <f t="shared" ca="1" si="1544"/>
        <v>2094864.7712046765</v>
      </c>
      <c r="BG1567" s="2">
        <f t="shared" ca="1" si="1545"/>
        <v>2143978.1894585863</v>
      </c>
      <c r="BH1567" s="2">
        <f t="shared" ca="1" si="1546"/>
        <v>2193715.4716887698</v>
      </c>
      <c r="BI1567" s="2">
        <f t="shared" ca="1" si="1547"/>
        <v>19621320.19676359</v>
      </c>
      <c r="BJ1567" s="2">
        <f t="shared" ca="1" si="1548"/>
        <v>9.3357496569673071E-2</v>
      </c>
      <c r="BK1567" s="2">
        <f t="shared" ca="1" si="1549"/>
        <v>-1806009.3047531247</v>
      </c>
    </row>
    <row r="1568" spans="1:63" x14ac:dyDescent="0.3">
      <c r="A1568" s="2">
        <v>1567</v>
      </c>
      <c r="B1568" s="2">
        <f t="shared" ca="1" si="1488"/>
        <v>0.7703680013088432</v>
      </c>
      <c r="C1568" s="2">
        <f t="shared" ca="1" si="1489"/>
        <v>7.3223098072258139</v>
      </c>
      <c r="D1568" s="2">
        <f t="shared" ca="1" si="1490"/>
        <v>0.46441472525790783</v>
      </c>
      <c r="E1568" s="2">
        <f t="shared" ca="1" si="1491"/>
        <v>7.4637579833733234</v>
      </c>
      <c r="F1568" s="2">
        <f t="shared" ca="1" si="1492"/>
        <v>0.32545695306111033</v>
      </c>
      <c r="G1568" s="2">
        <f t="shared" ca="1" si="1493"/>
        <v>2.642521179880844E-2</v>
      </c>
      <c r="H1568" s="2">
        <f t="shared" ca="1" si="1494"/>
        <v>2.642521179880844E-2</v>
      </c>
      <c r="I1568" s="2">
        <f t="shared" ca="1" si="1495"/>
        <v>0.86264158346766306</v>
      </c>
      <c r="J1568" s="2">
        <f t="shared" ca="1" si="1496"/>
        <v>1.546132279815016E-2</v>
      </c>
      <c r="K1568" s="2">
        <f t="shared" ca="1" si="1497"/>
        <v>1.546132279815016E-2</v>
      </c>
      <c r="L1568" s="2">
        <f t="shared" ca="1" si="1498"/>
        <v>0.55413832825798348</v>
      </c>
      <c r="M1568" s="2">
        <f t="shared" ca="1" si="1499"/>
        <v>2.722477757944541E-3</v>
      </c>
      <c r="N1568" s="2">
        <f t="shared" ca="1" si="1500"/>
        <v>2.722477757944541E-3</v>
      </c>
      <c r="O1568" s="2">
        <f t="shared" si="1501"/>
        <v>6000000</v>
      </c>
      <c r="P1568" s="2">
        <f t="shared" ca="1" si="1502"/>
        <v>43933858.843354881</v>
      </c>
      <c r="Q1568" s="2">
        <f t="shared" ca="1" si="1503"/>
        <v>1098346.471083872</v>
      </c>
      <c r="R1568" s="2">
        <f t="shared" ca="1" si="1504"/>
        <v>26360315.306012928</v>
      </c>
      <c r="S1568" s="2">
        <f t="shared" ca="1" si="1505"/>
        <v>17573543.537341952</v>
      </c>
      <c r="T1568" s="2">
        <f t="shared" ca="1" si="1506"/>
        <v>50136123.887897223</v>
      </c>
      <c r="U1568" s="2">
        <f t="shared" ca="1" si="1507"/>
        <v>51460981.580406204</v>
      </c>
      <c r="V1568" s="2">
        <f t="shared" ca="1" si="1508"/>
        <v>52820848.918043017</v>
      </c>
      <c r="W1568" s="2">
        <f t="shared" ca="1" si="1509"/>
        <v>54216651.038095161</v>
      </c>
      <c r="X1568" s="2">
        <f t="shared" ca="1" si="1510"/>
        <v>55649337.524798915</v>
      </c>
      <c r="Y1568" s="2">
        <f t="shared" ca="1" si="1511"/>
        <v>0.12773066139907507</v>
      </c>
      <c r="Z1568" s="2">
        <f t="shared" ca="1" si="1512"/>
        <v>0.13082292595870509</v>
      </c>
      <c r="AA1568" s="2">
        <f t="shared" ca="1" si="1513"/>
        <v>6403920.2641870799</v>
      </c>
      <c r="AB1568" s="2">
        <f t="shared" ca="1" si="1514"/>
        <v>6732276.1830557678</v>
      </c>
      <c r="AC1568" s="2">
        <f t="shared" ca="1" si="1515"/>
        <v>6910178.0070810895</v>
      </c>
      <c r="AD1568" s="2">
        <f t="shared" ca="1" si="1516"/>
        <v>7092780.9244856751</v>
      </c>
      <c r="AE1568" s="2">
        <f t="shared" ca="1" si="1517"/>
        <v>7280209.1626577573</v>
      </c>
      <c r="AF1568" s="2">
        <f t="shared" ca="1" si="1518"/>
        <v>1002722.4777579445</v>
      </c>
      <c r="AG1568" s="2">
        <f t="shared" ca="1" si="1519"/>
        <v>1029219.6316081241</v>
      </c>
      <c r="AH1568" s="2">
        <f t="shared" ca="1" si="1520"/>
        <v>1056416.9783608604</v>
      </c>
      <c r="AI1568" s="2">
        <f t="shared" ca="1" si="1521"/>
        <v>1084333.0207619031</v>
      </c>
      <c r="AJ1568" s="2">
        <f t="shared" ca="1" si="1522"/>
        <v>1112986.7504959784</v>
      </c>
      <c r="AK1568" s="2">
        <f t="shared" ca="1" si="1523"/>
        <v>0</v>
      </c>
      <c r="AL1568" s="2">
        <f t="shared" ca="1" si="1524"/>
        <v>13248.576925089807</v>
      </c>
      <c r="AM1568" s="2">
        <f t="shared" ca="1" si="1525"/>
        <v>13598.673376368135</v>
      </c>
      <c r="AN1568" s="2">
        <f t="shared" ca="1" si="1526"/>
        <v>13958.02120052144</v>
      </c>
      <c r="AO1568" s="2">
        <f t="shared" ca="1" si="1527"/>
        <v>14326.864867037535</v>
      </c>
      <c r="AP1568" s="2">
        <f t="shared" ca="1" si="1528"/>
        <v>2372428.3775411635</v>
      </c>
      <c r="AQ1568" s="2">
        <f t="shared" ca="1" si="1529"/>
        <v>787480.04631087265</v>
      </c>
      <c r="AR1568" s="2">
        <f t="shared" ca="1" si="1530"/>
        <v>865963.32521568495</v>
      </c>
      <c r="AS1568" s="2">
        <f t="shared" ca="1" si="1531"/>
        <v>905146.48930655711</v>
      </c>
      <c r="AT1568" s="2">
        <f t="shared" ca="1" si="1532"/>
        <v>945365.07680747821</v>
      </c>
      <c r="AU1568" s="2">
        <f t="shared" ca="1" si="1533"/>
        <v>986646.44900135999</v>
      </c>
      <c r="AV1568" s="2">
        <f t="shared" ca="1" si="1534"/>
        <v>2241289.3625770989</v>
      </c>
      <c r="AW1568" s="2">
        <f t="shared" ca="1" si="1535"/>
        <v>2451416.2717657057</v>
      </c>
      <c r="AX1568" s="2">
        <f t="shared" ca="1" si="1536"/>
        <v>2562587.4884961401</v>
      </c>
      <c r="AY1568" s="2">
        <f t="shared" ca="1" si="1537"/>
        <v>2676696.4281746079</v>
      </c>
      <c r="AZ1568" s="2">
        <f t="shared" ca="1" si="1538"/>
        <v>2793820.7207522183</v>
      </c>
      <c r="BA1568" s="2">
        <f t="shared" ca="1" si="1539"/>
        <v>54337719.258414455</v>
      </c>
      <c r="BB1568" s="2">
        <f t="shared" ca="1" si="1540"/>
        <v>1086754.3851682891</v>
      </c>
      <c r="BC1568" s="2">
        <f t="shared" ca="1" si="1541"/>
        <v>26890649.567233238</v>
      </c>
      <c r="BD1568" s="2">
        <f t="shared" ca="1" si="1542"/>
        <v>-19171890.008425824</v>
      </c>
      <c r="BE1568" s="2">
        <f t="shared" ca="1" si="1543"/>
        <v>2241289.3625770989</v>
      </c>
      <c r="BF1568" s="2">
        <f t="shared" ca="1" si="1544"/>
        <v>2451416.2717657057</v>
      </c>
      <c r="BG1568" s="2">
        <f t="shared" ca="1" si="1545"/>
        <v>2562587.4884961401</v>
      </c>
      <c r="BH1568" s="2">
        <f t="shared" ca="1" si="1546"/>
        <v>2676696.4281746079</v>
      </c>
      <c r="BI1568" s="2">
        <f t="shared" ca="1" si="1547"/>
        <v>29684470.287985455</v>
      </c>
      <c r="BJ1568" s="2">
        <f t="shared" ca="1" si="1548"/>
        <v>0.18600222287210433</v>
      </c>
      <c r="BK1568" s="2">
        <f t="shared" ca="1" si="1549"/>
        <v>5152369.0186371356</v>
      </c>
    </row>
    <row r="1569" spans="1:63" x14ac:dyDescent="0.3">
      <c r="A1569" s="2">
        <v>1568</v>
      </c>
      <c r="B1569" s="2">
        <f t="shared" ca="1" si="1488"/>
        <v>0.56968794862621663</v>
      </c>
      <c r="C1569" s="2">
        <f t="shared" ca="1" si="1489"/>
        <v>7.0723017178265515</v>
      </c>
      <c r="D1569" s="2">
        <f t="shared" ca="1" si="1490"/>
        <v>0.33276079452254592</v>
      </c>
      <c r="E1569" s="2">
        <f t="shared" ca="1" si="1491"/>
        <v>7.3157950655925124</v>
      </c>
      <c r="F1569" s="2">
        <f t="shared" ca="1" si="1492"/>
        <v>0.29371417244760845</v>
      </c>
      <c r="G1569" s="2">
        <f t="shared" ca="1" si="1493"/>
        <v>2.3723006541834912E-2</v>
      </c>
      <c r="H1569" s="2">
        <f t="shared" ca="1" si="1494"/>
        <v>2.3723006541834912E-2</v>
      </c>
      <c r="I1569" s="2">
        <f t="shared" ca="1" si="1495"/>
        <v>0.74610794149107695</v>
      </c>
      <c r="J1569" s="2">
        <f t="shared" ca="1" si="1496"/>
        <v>1.3311459889647633E-2</v>
      </c>
      <c r="K1569" s="2">
        <f t="shared" ca="1" si="1497"/>
        <v>1.3311459889647633E-2</v>
      </c>
      <c r="L1569" s="2">
        <f t="shared" ca="1" si="1498"/>
        <v>4.5435349361293453E-2</v>
      </c>
      <c r="M1569" s="2">
        <f t="shared" ca="1" si="1499"/>
        <v>-3.3816451028212187E-2</v>
      </c>
      <c r="N1569" s="2">
        <f t="shared" ca="1" si="1500"/>
        <v>-3.3816451028212187E-2</v>
      </c>
      <c r="O1569" s="2">
        <f t="shared" si="1501"/>
        <v>6000000</v>
      </c>
      <c r="P1569" s="2">
        <f t="shared" ca="1" si="1502"/>
        <v>42433810.306959309</v>
      </c>
      <c r="Q1569" s="2">
        <f t="shared" ca="1" si="1503"/>
        <v>1060845.2576739828</v>
      </c>
      <c r="R1569" s="2">
        <f t="shared" ca="1" si="1504"/>
        <v>25460286.184175584</v>
      </c>
      <c r="S1569" s="2">
        <f t="shared" ca="1" si="1505"/>
        <v>16973524.122783724</v>
      </c>
      <c r="T1569" s="2">
        <f t="shared" ca="1" si="1506"/>
        <v>48309177.448589392</v>
      </c>
      <c r="U1569" s="2">
        <f t="shared" ca="1" si="1507"/>
        <v>49455216.381232947</v>
      </c>
      <c r="V1569" s="2">
        <f t="shared" ca="1" si="1508"/>
        <v>50628442.802972801</v>
      </c>
      <c r="W1569" s="2">
        <f t="shared" ca="1" si="1509"/>
        <v>51829501.682790644</v>
      </c>
      <c r="X1569" s="2">
        <f t="shared" ca="1" si="1510"/>
        <v>53059053.290271536</v>
      </c>
      <c r="Y1569" s="2">
        <f t="shared" ca="1" si="1511"/>
        <v>0.12665572994482382</v>
      </c>
      <c r="Z1569" s="2">
        <f t="shared" ca="1" si="1512"/>
        <v>0.12931802192275332</v>
      </c>
      <c r="AA1569" s="2">
        <f t="shared" ca="1" si="1513"/>
        <v>6118634.1327851117</v>
      </c>
      <c r="AB1569" s="2">
        <f t="shared" ca="1" si="1514"/>
        <v>6395450.7561827917</v>
      </c>
      <c r="AC1569" s="2">
        <f t="shared" ca="1" si="1515"/>
        <v>6547170.0763096996</v>
      </c>
      <c r="AD1569" s="2">
        <f t="shared" ca="1" si="1516"/>
        <v>6702488.6348605007</v>
      </c>
      <c r="AE1569" s="2">
        <f t="shared" ca="1" si="1517"/>
        <v>6861491.816591871</v>
      </c>
      <c r="AF1569" s="2">
        <f t="shared" ca="1" si="1518"/>
        <v>966183.54897178791</v>
      </c>
      <c r="AG1569" s="2">
        <f t="shared" ca="1" si="1519"/>
        <v>989104.32762465894</v>
      </c>
      <c r="AH1569" s="2">
        <f t="shared" ca="1" si="1520"/>
        <v>1012568.856059456</v>
      </c>
      <c r="AI1569" s="2">
        <f t="shared" ca="1" si="1521"/>
        <v>1036590.033655813</v>
      </c>
      <c r="AJ1569" s="2">
        <f t="shared" ca="1" si="1522"/>
        <v>1061181.0658054308</v>
      </c>
      <c r="AK1569" s="2">
        <f t="shared" ca="1" si="1523"/>
        <v>0</v>
      </c>
      <c r="AL1569" s="2">
        <f t="shared" ca="1" si="1524"/>
        <v>11460.389326435552</v>
      </c>
      <c r="AM1569" s="2">
        <f t="shared" ca="1" si="1525"/>
        <v>11732.264217398539</v>
      </c>
      <c r="AN1569" s="2">
        <f t="shared" ca="1" si="1526"/>
        <v>12010.588798178434</v>
      </c>
      <c r="AO1569" s="2">
        <f t="shared" ca="1" si="1527"/>
        <v>12295.516074808911</v>
      </c>
      <c r="AP1569" s="2">
        <f t="shared" ca="1" si="1528"/>
        <v>2291425.7565758023</v>
      </c>
      <c r="AQ1569" s="2">
        <f t="shared" ca="1" si="1529"/>
        <v>743866.45508175553</v>
      </c>
      <c r="AR1569" s="2">
        <f t="shared" ca="1" si="1530"/>
        <v>809879.37471540587</v>
      </c>
      <c r="AS1569" s="2">
        <f t="shared" ca="1" si="1531"/>
        <v>843225.62055535463</v>
      </c>
      <c r="AT1569" s="2">
        <f t="shared" ca="1" si="1532"/>
        <v>877362.9396035102</v>
      </c>
      <c r="AU1569" s="2">
        <f t="shared" ca="1" si="1533"/>
        <v>912310.09849476593</v>
      </c>
      <c r="AV1569" s="2">
        <f t="shared" ca="1" si="1534"/>
        <v>2117158.372155766</v>
      </c>
      <c r="AW1569" s="2">
        <f t="shared" ca="1" si="1535"/>
        <v>2293580.9079404892</v>
      </c>
      <c r="AX1569" s="2">
        <f t="shared" ca="1" si="1536"/>
        <v>2388217.5789016886</v>
      </c>
      <c r="AY1569" s="2">
        <f t="shared" ca="1" si="1537"/>
        <v>2485099.3162271967</v>
      </c>
      <c r="AZ1569" s="2">
        <f t="shared" ca="1" si="1538"/>
        <v>2584279.3796410626</v>
      </c>
      <c r="BA1569" s="2">
        <f t="shared" ca="1" si="1539"/>
        <v>50197267.97442621</v>
      </c>
      <c r="BB1569" s="2">
        <f t="shared" ca="1" si="1540"/>
        <v>1003945.3594885243</v>
      </c>
      <c r="BC1569" s="2">
        <f t="shared" ca="1" si="1541"/>
        <v>23733036.430762101</v>
      </c>
      <c r="BD1569" s="2">
        <f t="shared" ca="1" si="1542"/>
        <v>-18534369.380457707</v>
      </c>
      <c r="BE1569" s="2">
        <f t="shared" ca="1" si="1543"/>
        <v>2117158.372155766</v>
      </c>
      <c r="BF1569" s="2">
        <f t="shared" ca="1" si="1544"/>
        <v>2293580.9079404892</v>
      </c>
      <c r="BG1569" s="2">
        <f t="shared" ca="1" si="1545"/>
        <v>2388217.5789016886</v>
      </c>
      <c r="BH1569" s="2">
        <f t="shared" ca="1" si="1546"/>
        <v>2485099.3162271967</v>
      </c>
      <c r="BI1569" s="2">
        <f t="shared" ca="1" si="1547"/>
        <v>26317315.810403164</v>
      </c>
      <c r="BJ1569" s="2">
        <f t="shared" ca="1" si="1548"/>
        <v>0.16646470230726962</v>
      </c>
      <c r="BK1569" s="2">
        <f t="shared" ca="1" si="1549"/>
        <v>3396742.6556467377</v>
      </c>
    </row>
    <row r="1570" spans="1:63" x14ac:dyDescent="0.3">
      <c r="A1570" s="2">
        <v>1569</v>
      </c>
      <c r="B1570" s="2">
        <f t="shared" ca="1" si="1488"/>
        <v>0.81025991108729722</v>
      </c>
      <c r="C1570" s="2">
        <f t="shared" ca="1" si="1489"/>
        <v>7.3839803754543158</v>
      </c>
      <c r="D1570" s="2">
        <f t="shared" ca="1" si="1490"/>
        <v>0.14217790826035437</v>
      </c>
      <c r="E1570" s="2">
        <f t="shared" ca="1" si="1491"/>
        <v>7.0332502381815774</v>
      </c>
      <c r="F1570" s="2">
        <f t="shared" ca="1" si="1492"/>
        <v>0.86854868222655324</v>
      </c>
      <c r="G1570" s="2">
        <f t="shared" ca="1" si="1493"/>
        <v>7.3586706667281426E-2</v>
      </c>
      <c r="H1570" s="2">
        <f t="shared" ca="1" si="1494"/>
        <v>7.3586706667281426E-2</v>
      </c>
      <c r="I1570" s="2">
        <f t="shared" ca="1" si="1495"/>
        <v>5.3026203194657118E-3</v>
      </c>
      <c r="J1570" s="2">
        <f t="shared" ca="1" si="1496"/>
        <v>-2.777220294604206E-3</v>
      </c>
      <c r="K1570" s="2">
        <f t="shared" ca="1" si="1497"/>
        <v>0</v>
      </c>
      <c r="L1570" s="2">
        <f t="shared" ca="1" si="1498"/>
        <v>0.91861303977279662</v>
      </c>
      <c r="M1570" s="2">
        <f t="shared" ca="1" si="1499"/>
        <v>2.7916053777589066E-2</v>
      </c>
      <c r="N1570" s="2">
        <f t="shared" ca="1" si="1500"/>
        <v>2.7916053777589066E-2</v>
      </c>
      <c r="O1570" s="2">
        <f t="shared" si="1501"/>
        <v>6000000</v>
      </c>
      <c r="P1570" s="2">
        <f t="shared" ca="1" si="1502"/>
        <v>44303882.252725892</v>
      </c>
      <c r="Q1570" s="2">
        <f t="shared" ca="1" si="1503"/>
        <v>1107597.0563181473</v>
      </c>
      <c r="R1570" s="2">
        <f t="shared" ca="1" si="1504"/>
        <v>26582329.351635534</v>
      </c>
      <c r="S1570" s="2">
        <f t="shared" ca="1" si="1505"/>
        <v>17721552.901090357</v>
      </c>
      <c r="T1570" s="2">
        <f t="shared" ca="1" si="1506"/>
        <v>51395802.688879453</v>
      </c>
      <c r="U1570" s="2">
        <f t="shared" ca="1" si="1507"/>
        <v>55177850.545275502</v>
      </c>
      <c r="V1570" s="2">
        <f t="shared" ca="1" si="1508"/>
        <v>59238206.847881787</v>
      </c>
      <c r="W1570" s="2">
        <f t="shared" ca="1" si="1509"/>
        <v>63597351.398692608</v>
      </c>
      <c r="X1570" s="2">
        <f t="shared" ca="1" si="1510"/>
        <v>68277271.040884227</v>
      </c>
      <c r="Y1570" s="2">
        <f t="shared" ca="1" si="1511"/>
        <v>0.12</v>
      </c>
      <c r="Z1570" s="2">
        <f t="shared" ca="1" si="1512"/>
        <v>0.12</v>
      </c>
      <c r="AA1570" s="2">
        <f t="shared" ca="1" si="1513"/>
        <v>6167496.322665534</v>
      </c>
      <c r="AB1570" s="2">
        <f t="shared" ca="1" si="1514"/>
        <v>6621342.0654330598</v>
      </c>
      <c r="AC1570" s="2">
        <f t="shared" ca="1" si="1515"/>
        <v>7108584.8217458138</v>
      </c>
      <c r="AD1570" s="2">
        <f t="shared" ca="1" si="1516"/>
        <v>7631682.1678431127</v>
      </c>
      <c r="AE1570" s="2">
        <f t="shared" ca="1" si="1517"/>
        <v>8193272.5249061072</v>
      </c>
      <c r="AF1570" s="2">
        <f t="shared" ca="1" si="1518"/>
        <v>1027916.0537775891</v>
      </c>
      <c r="AG1570" s="2">
        <f t="shared" ca="1" si="1519"/>
        <v>1103557.01090551</v>
      </c>
      <c r="AH1570" s="2">
        <f t="shared" ca="1" si="1520"/>
        <v>1184764.1369576359</v>
      </c>
      <c r="AI1570" s="2">
        <f t="shared" ca="1" si="1521"/>
        <v>1271947.0279738521</v>
      </c>
      <c r="AJ1570" s="2">
        <f t="shared" ca="1" si="1522"/>
        <v>1365545.4208176846</v>
      </c>
      <c r="AK1570" s="2">
        <f t="shared" ca="1" si="1523"/>
        <v>0</v>
      </c>
      <c r="AL1570" s="2">
        <f t="shared" ca="1" si="1524"/>
        <v>37820.478563960496</v>
      </c>
      <c r="AM1570" s="2">
        <f t="shared" ca="1" si="1525"/>
        <v>40603.563026062846</v>
      </c>
      <c r="AN1570" s="2">
        <f t="shared" ca="1" si="1526"/>
        <v>43591.445508108212</v>
      </c>
      <c r="AO1570" s="2">
        <f t="shared" ca="1" si="1527"/>
        <v>46799.196421916189</v>
      </c>
      <c r="AP1570" s="2">
        <f t="shared" ca="1" si="1528"/>
        <v>2392409.6416471978</v>
      </c>
      <c r="AQ1570" s="2">
        <f t="shared" ca="1" si="1529"/>
        <v>714264.36308259412</v>
      </c>
      <c r="AR1570" s="2">
        <f t="shared" ca="1" si="1530"/>
        <v>812597.60734889156</v>
      </c>
      <c r="AS1570" s="2">
        <f t="shared" ca="1" si="1531"/>
        <v>918166.87121665478</v>
      </c>
      <c r="AT1570" s="2">
        <f t="shared" ca="1" si="1532"/>
        <v>1031504.6295377364</v>
      </c>
      <c r="AU1570" s="2">
        <f t="shared" ca="1" si="1533"/>
        <v>1153182.5402347185</v>
      </c>
      <c r="AV1570" s="2">
        <f t="shared" ca="1" si="1534"/>
        <v>2032906.2641581525</v>
      </c>
      <c r="AW1570" s="2">
        <f t="shared" ca="1" si="1535"/>
        <v>2274957.3269674997</v>
      </c>
      <c r="AX1570" s="2">
        <f t="shared" ca="1" si="1536"/>
        <v>2572640.608898262</v>
      </c>
      <c r="AY1570" s="2">
        <f t="shared" ca="1" si="1537"/>
        <v>2892229.4231762183</v>
      </c>
      <c r="AZ1570" s="2">
        <f t="shared" ca="1" si="1538"/>
        <v>3235335.72578459</v>
      </c>
      <c r="BA1570" s="2">
        <f t="shared" ca="1" si="1539"/>
        <v>57625335.93728245</v>
      </c>
      <c r="BB1570" s="2">
        <f t="shared" ca="1" si="1540"/>
        <v>1152506.7187456491</v>
      </c>
      <c r="BC1570" s="2">
        <f t="shared" ca="1" si="1541"/>
        <v>29890499.866901267</v>
      </c>
      <c r="BD1570" s="2">
        <f t="shared" ca="1" si="1542"/>
        <v>-19329149.957408506</v>
      </c>
      <c r="BE1570" s="2">
        <f t="shared" ca="1" si="1543"/>
        <v>2032906.2641581525</v>
      </c>
      <c r="BF1570" s="2">
        <f t="shared" ca="1" si="1544"/>
        <v>2274957.3269674997</v>
      </c>
      <c r="BG1570" s="2">
        <f t="shared" ca="1" si="1545"/>
        <v>2572640.608898262</v>
      </c>
      <c r="BH1570" s="2">
        <f t="shared" ca="1" si="1546"/>
        <v>2892229.4231762183</v>
      </c>
      <c r="BI1570" s="2">
        <f t="shared" ca="1" si="1547"/>
        <v>33125835.592685856</v>
      </c>
      <c r="BJ1570" s="2">
        <f t="shared" ca="1" si="1548"/>
        <v>0.20208547870957916</v>
      </c>
      <c r="BK1570" s="2">
        <f t="shared" ca="1" si="1549"/>
        <v>6765234.5629207604</v>
      </c>
    </row>
    <row r="1571" spans="1:63" x14ac:dyDescent="0.3">
      <c r="A1571" s="2">
        <v>1570</v>
      </c>
      <c r="B1571" s="2">
        <f t="shared" ca="1" si="1488"/>
        <v>0.44204766964936337</v>
      </c>
      <c r="C1571" s="2">
        <f t="shared" ca="1" si="1489"/>
        <v>6.9402634414347535</v>
      </c>
      <c r="D1571" s="2">
        <f t="shared" ca="1" si="1490"/>
        <v>2.5688268933539704E-2</v>
      </c>
      <c r="E1571" s="2">
        <f t="shared" ca="1" si="1491"/>
        <v>6.7266639315530359</v>
      </c>
      <c r="F1571" s="2">
        <f t="shared" ca="1" si="1492"/>
        <v>0.50905134940887176</v>
      </c>
      <c r="G1571" s="2">
        <f t="shared" ca="1" si="1493"/>
        <v>4.0680709456634531E-2</v>
      </c>
      <c r="H1571" s="2">
        <f t="shared" ca="1" si="1494"/>
        <v>4.0680709456634531E-2</v>
      </c>
      <c r="I1571" s="2">
        <f t="shared" ca="1" si="1495"/>
        <v>0.87062139294713448</v>
      </c>
      <c r="J1571" s="2">
        <f t="shared" ca="1" si="1496"/>
        <v>1.5646667025462361E-2</v>
      </c>
      <c r="K1571" s="2">
        <f t="shared" ca="1" si="1497"/>
        <v>1.5646667025462361E-2</v>
      </c>
      <c r="L1571" s="2">
        <f t="shared" ca="1" si="1498"/>
        <v>0.35851614903871487</v>
      </c>
      <c r="M1571" s="2">
        <f t="shared" ca="1" si="1499"/>
        <v>-7.2485578766801183E-3</v>
      </c>
      <c r="N1571" s="2">
        <f t="shared" ca="1" si="1500"/>
        <v>-7.2485578766801183E-3</v>
      </c>
      <c r="O1571" s="2">
        <f t="shared" si="1501"/>
        <v>6000000</v>
      </c>
      <c r="P1571" s="2">
        <f t="shared" ca="1" si="1502"/>
        <v>41641580.648608521</v>
      </c>
      <c r="Q1571" s="2">
        <f t="shared" ca="1" si="1503"/>
        <v>1041039.5162152131</v>
      </c>
      <c r="R1571" s="2">
        <f t="shared" ca="1" si="1504"/>
        <v>24984948.389165111</v>
      </c>
      <c r="S1571" s="2">
        <f t="shared" ca="1" si="1505"/>
        <v>16656632.25944341</v>
      </c>
      <c r="T1571" s="2">
        <f t="shared" ca="1" si="1506"/>
        <v>49637572.106165998</v>
      </c>
      <c r="U1571" s="2">
        <f t="shared" ca="1" si="1507"/>
        <v>51656863.755149685</v>
      </c>
      <c r="V1571" s="2">
        <f t="shared" ca="1" si="1508"/>
        <v>53758301.621013887</v>
      </c>
      <c r="W1571" s="2">
        <f t="shared" ca="1" si="1509"/>
        <v>55945227.47014048</v>
      </c>
      <c r="X1571" s="2">
        <f t="shared" ca="1" si="1510"/>
        <v>58221119.014338598</v>
      </c>
      <c r="Y1571" s="2">
        <f t="shared" ca="1" si="1511"/>
        <v>0.12782333351273117</v>
      </c>
      <c r="Z1571" s="2">
        <f t="shared" ca="1" si="1512"/>
        <v>0.13095266691782365</v>
      </c>
      <c r="AA1571" s="2">
        <f t="shared" ca="1" si="1513"/>
        <v>6344839.9340886986</v>
      </c>
      <c r="AB1571" s="2">
        <f t="shared" ca="1" si="1514"/>
        <v>6764604.0733475136</v>
      </c>
      <c r="AC1571" s="2">
        <f t="shared" ca="1" si="1515"/>
        <v>7039792.9662445309</v>
      </c>
      <c r="AD1571" s="2">
        <f t="shared" ca="1" si="1516"/>
        <v>7326176.7385391835</v>
      </c>
      <c r="AE1571" s="2">
        <f t="shared" ca="1" si="1517"/>
        <v>7624210.8058676515</v>
      </c>
      <c r="AF1571" s="2">
        <f t="shared" ca="1" si="1518"/>
        <v>992751.44212331995</v>
      </c>
      <c r="AG1571" s="2">
        <f t="shared" ca="1" si="1519"/>
        <v>1033137.2751029937</v>
      </c>
      <c r="AH1571" s="2">
        <f t="shared" ca="1" si="1520"/>
        <v>1075166.0324202778</v>
      </c>
      <c r="AI1571" s="2">
        <f t="shared" ca="1" si="1521"/>
        <v>1118904.5494028097</v>
      </c>
      <c r="AJ1571" s="2">
        <f t="shared" ca="1" si="1522"/>
        <v>1164422.380286772</v>
      </c>
      <c r="AK1571" s="2">
        <f t="shared" ca="1" si="1523"/>
        <v>0</v>
      </c>
      <c r="AL1571" s="2">
        <f t="shared" ca="1" si="1524"/>
        <v>20192.916489836873</v>
      </c>
      <c r="AM1571" s="2">
        <f t="shared" ca="1" si="1525"/>
        <v>21014.378658642025</v>
      </c>
      <c r="AN1571" s="2">
        <f t="shared" ca="1" si="1526"/>
        <v>21869.258491265922</v>
      </c>
      <c r="AO1571" s="2">
        <f t="shared" ca="1" si="1527"/>
        <v>22758.915441981182</v>
      </c>
      <c r="AP1571" s="2">
        <f t="shared" ca="1" si="1528"/>
        <v>2248645.3550248598</v>
      </c>
      <c r="AQ1571" s="2">
        <f t="shared" ca="1" si="1529"/>
        <v>806895.21560453495</v>
      </c>
      <c r="AR1571" s="2">
        <f t="shared" ca="1" si="1530"/>
        <v>905533.57523711177</v>
      </c>
      <c r="AS1571" s="2">
        <f t="shared" ca="1" si="1531"/>
        <v>966155.21048784233</v>
      </c>
      <c r="AT1571" s="2">
        <f t="shared" ca="1" si="1532"/>
        <v>1029242.9768689937</v>
      </c>
      <c r="AU1571" s="2">
        <f t="shared" ca="1" si="1533"/>
        <v>1094897.1983445652</v>
      </c>
      <c r="AV1571" s="2">
        <f t="shared" ca="1" si="1534"/>
        <v>2296547.9213359836</v>
      </c>
      <c r="AW1571" s="2">
        <f t="shared" ca="1" si="1535"/>
        <v>2557094.9514927114</v>
      </c>
      <c r="AX1571" s="2">
        <f t="shared" ca="1" si="1536"/>
        <v>2728811.9896529089</v>
      </c>
      <c r="AY1571" s="2">
        <f t="shared" ca="1" si="1537"/>
        <v>2907514.5987512548</v>
      </c>
      <c r="AZ1571" s="2">
        <f t="shared" ca="1" si="1538"/>
        <v>3093486.9567694734</v>
      </c>
      <c r="BA1571" s="2">
        <f t="shared" ca="1" si="1539"/>
        <v>51285503.834386833</v>
      </c>
      <c r="BB1571" s="2">
        <f t="shared" ca="1" si="1540"/>
        <v>1025710.0766877367</v>
      </c>
      <c r="BC1571" s="2">
        <f t="shared" ca="1" si="1541"/>
        <v>25274845.368533984</v>
      </c>
      <c r="BD1571" s="2">
        <f t="shared" ca="1" si="1542"/>
        <v>-18197671.775658622</v>
      </c>
      <c r="BE1571" s="2">
        <f t="shared" ca="1" si="1543"/>
        <v>2296547.9213359836</v>
      </c>
      <c r="BF1571" s="2">
        <f t="shared" ca="1" si="1544"/>
        <v>2557094.9514927114</v>
      </c>
      <c r="BG1571" s="2">
        <f t="shared" ca="1" si="1545"/>
        <v>2728811.9896529089</v>
      </c>
      <c r="BH1571" s="2">
        <f t="shared" ca="1" si="1546"/>
        <v>2907514.5987512548</v>
      </c>
      <c r="BI1571" s="2">
        <f t="shared" ca="1" si="1547"/>
        <v>28368332.325303458</v>
      </c>
      <c r="BJ1571" s="2">
        <f t="shared" ca="1" si="1548"/>
        <v>0.19793023050760139</v>
      </c>
      <c r="BK1571" s="2">
        <f t="shared" ca="1" si="1549"/>
        <v>5778364.0577575304</v>
      </c>
    </row>
    <row r="1572" spans="1:63" x14ac:dyDescent="0.3">
      <c r="A1572" s="2">
        <v>1571</v>
      </c>
      <c r="B1572" s="2">
        <f t="shared" ca="1" si="1488"/>
        <v>0.57352914682015255</v>
      </c>
      <c r="C1572" s="2">
        <f t="shared" ca="1" si="1489"/>
        <v>7.0764515679404276</v>
      </c>
      <c r="D1572" s="2">
        <f t="shared" ca="1" si="1490"/>
        <v>0.65165038895413951</v>
      </c>
      <c r="E1572" s="2">
        <f t="shared" ca="1" si="1491"/>
        <v>7.665314896447935</v>
      </c>
      <c r="F1572" s="2">
        <f t="shared" ca="1" si="1492"/>
        <v>0.99418003086710993</v>
      </c>
      <c r="G1572" s="2">
        <f t="shared" ca="1" si="1493"/>
        <v>0.11568628499206873</v>
      </c>
      <c r="H1572" s="2">
        <f t="shared" ca="1" si="1494"/>
        <v>0.11568628499206873</v>
      </c>
      <c r="I1572" s="2">
        <f t="shared" ca="1" si="1495"/>
        <v>0.80677123774165593</v>
      </c>
      <c r="J1572" s="2">
        <f t="shared" ca="1" si="1496"/>
        <v>1.4330297581451785E-2</v>
      </c>
      <c r="K1572" s="2">
        <f t="shared" ca="1" si="1497"/>
        <v>1.4330297581451785E-2</v>
      </c>
      <c r="L1572" s="2">
        <f t="shared" ca="1" si="1498"/>
        <v>0.61457279663041753</v>
      </c>
      <c r="M1572" s="2">
        <f t="shared" ca="1" si="1499"/>
        <v>5.8251495387534151E-3</v>
      </c>
      <c r="N1572" s="2">
        <f t="shared" ca="1" si="1500"/>
        <v>5.8251495387534151E-3</v>
      </c>
      <c r="O1572" s="2">
        <f t="shared" si="1501"/>
        <v>6000000</v>
      </c>
      <c r="P1572" s="2">
        <f t="shared" ca="1" si="1502"/>
        <v>42458709.407642566</v>
      </c>
      <c r="Q1572" s="2">
        <f t="shared" ca="1" si="1503"/>
        <v>1061467.7351910642</v>
      </c>
      <c r="R1572" s="2">
        <f t="shared" ca="1" si="1504"/>
        <v>25475225.644585539</v>
      </c>
      <c r="S1572" s="2">
        <f t="shared" ca="1" si="1505"/>
        <v>16983483.763057027</v>
      </c>
      <c r="T1572" s="2">
        <f t="shared" ca="1" si="1506"/>
        <v>50291257.476937667</v>
      </c>
      <c r="U1572" s="2">
        <f t="shared" ca="1" si="1507"/>
        <v>56109266.222024187</v>
      </c>
      <c r="V1572" s="2">
        <f t="shared" ca="1" si="1508"/>
        <v>62600338.784881137</v>
      </c>
      <c r="W1572" s="2">
        <f t="shared" ca="1" si="1509"/>
        <v>69842339.41814895</v>
      </c>
      <c r="X1572" s="2">
        <f t="shared" ca="1" si="1510"/>
        <v>77922140.200589731</v>
      </c>
      <c r="Y1572" s="2">
        <f t="shared" ca="1" si="1511"/>
        <v>0.12716514879072588</v>
      </c>
      <c r="Z1572" s="2">
        <f t="shared" ca="1" si="1512"/>
        <v>0.13003120830701625</v>
      </c>
      <c r="AA1572" s="2">
        <f t="shared" ca="1" si="1513"/>
        <v>6395295.2399274837</v>
      </c>
      <c r="AB1572" s="2">
        <f t="shared" ca="1" si="1514"/>
        <v>7295955.6840698579</v>
      </c>
      <c r="AC1572" s="2">
        <f t="shared" ca="1" si="1515"/>
        <v>8139997.6926266681</v>
      </c>
      <c r="AD1572" s="2">
        <f t="shared" ca="1" si="1516"/>
        <v>9081683.7855306584</v>
      </c>
      <c r="AE1572" s="2">
        <f t="shared" ca="1" si="1517"/>
        <v>10132310.044151409</v>
      </c>
      <c r="AF1572" s="2">
        <f t="shared" ca="1" si="1518"/>
        <v>1005825.1495387533</v>
      </c>
      <c r="AG1572" s="2">
        <f t="shared" ca="1" si="1519"/>
        <v>1122185.3244404837</v>
      </c>
      <c r="AH1572" s="2">
        <f t="shared" ca="1" si="1520"/>
        <v>1252006.7756976227</v>
      </c>
      <c r="AI1572" s="2">
        <f t="shared" ca="1" si="1521"/>
        <v>1396846.788362979</v>
      </c>
      <c r="AJ1572" s="2">
        <f t="shared" ca="1" si="1522"/>
        <v>1558442.8040117947</v>
      </c>
      <c r="AK1572" s="2">
        <f t="shared" ca="1" si="1523"/>
        <v>0</v>
      </c>
      <c r="AL1572" s="2">
        <f t="shared" ca="1" si="1524"/>
        <v>58180.087450865212</v>
      </c>
      <c r="AM1572" s="2">
        <f t="shared" ca="1" si="1525"/>
        <v>64910.725628569497</v>
      </c>
      <c r="AN1572" s="2">
        <f t="shared" ca="1" si="1526"/>
        <v>72420.006332678124</v>
      </c>
      <c r="AO1572" s="2">
        <f t="shared" ca="1" si="1527"/>
        <v>80798.007824407818</v>
      </c>
      <c r="AP1572" s="2">
        <f t="shared" ca="1" si="1528"/>
        <v>2292770.3080126983</v>
      </c>
      <c r="AQ1572" s="2">
        <f t="shared" ca="1" si="1529"/>
        <v>805141.94341776834</v>
      </c>
      <c r="AR1572" s="2">
        <f t="shared" ca="1" si="1530"/>
        <v>1009060.0134203357</v>
      </c>
      <c r="AS1572" s="2">
        <f t="shared" ca="1" si="1531"/>
        <v>1194757.3583182504</v>
      </c>
      <c r="AT1572" s="2">
        <f t="shared" ca="1" si="1532"/>
        <v>1401937.3391802951</v>
      </c>
      <c r="AU1572" s="2">
        <f t="shared" ca="1" si="1533"/>
        <v>1633085.2023529985</v>
      </c>
      <c r="AV1572" s="2">
        <f t="shared" ca="1" si="1534"/>
        <v>2291557.8389582639</v>
      </c>
      <c r="AW1572" s="2">
        <f t="shared" ca="1" si="1535"/>
        <v>2813759.9507454741</v>
      </c>
      <c r="AX1572" s="2">
        <f t="shared" ca="1" si="1536"/>
        <v>3335552.524969527</v>
      </c>
      <c r="AY1572" s="2">
        <f t="shared" ca="1" si="1537"/>
        <v>3917709.343642008</v>
      </c>
      <c r="AZ1572" s="2">
        <f t="shared" ca="1" si="1538"/>
        <v>4567213.7219495103</v>
      </c>
      <c r="BA1572" s="2">
        <f t="shared" ca="1" si="1539"/>
        <v>77667347.116862819</v>
      </c>
      <c r="BB1572" s="2">
        <f t="shared" ca="1" si="1540"/>
        <v>1553346.9423372564</v>
      </c>
      <c r="BC1572" s="2">
        <f t="shared" ca="1" si="1541"/>
        <v>50638774.529940024</v>
      </c>
      <c r="BD1572" s="2">
        <f t="shared" ca="1" si="1542"/>
        <v>-18544951.498248093</v>
      </c>
      <c r="BE1572" s="2">
        <f t="shared" ca="1" si="1543"/>
        <v>2291557.8389582639</v>
      </c>
      <c r="BF1572" s="2">
        <f t="shared" ca="1" si="1544"/>
        <v>2813759.9507454741</v>
      </c>
      <c r="BG1572" s="2">
        <f t="shared" ca="1" si="1545"/>
        <v>3335552.524969527</v>
      </c>
      <c r="BH1572" s="2">
        <f t="shared" ca="1" si="1546"/>
        <v>3917709.343642008</v>
      </c>
      <c r="BI1572" s="2">
        <f t="shared" ca="1" si="1547"/>
        <v>55205988.251889534</v>
      </c>
      <c r="BJ1572" s="2">
        <f t="shared" ca="1" si="1548"/>
        <v>0.34193053841761389</v>
      </c>
      <c r="BK1572" s="2">
        <f t="shared" ca="1" si="1549"/>
        <v>21933510.339413702</v>
      </c>
    </row>
    <row r="1573" spans="1:63" x14ac:dyDescent="0.3">
      <c r="A1573" s="2">
        <v>1572</v>
      </c>
      <c r="B1573" s="2">
        <f t="shared" ca="1" si="1488"/>
        <v>8.0021710449852401E-2</v>
      </c>
      <c r="C1573" s="2">
        <f t="shared" ca="1" si="1489"/>
        <v>6.400054272442758</v>
      </c>
      <c r="D1573" s="2">
        <f t="shared" ca="1" si="1490"/>
        <v>0.53360633908320265</v>
      </c>
      <c r="E1573" s="2">
        <f t="shared" ca="1" si="1491"/>
        <v>7.5341908460603646</v>
      </c>
      <c r="F1573" s="2">
        <f t="shared" ca="1" si="1492"/>
        <v>0.63362497729282918</v>
      </c>
      <c r="G1573" s="2">
        <f t="shared" ca="1" si="1493"/>
        <v>5.0244089647406939E-2</v>
      </c>
      <c r="H1573" s="2">
        <f t="shared" ca="1" si="1494"/>
        <v>5.0244089647406939E-2</v>
      </c>
      <c r="I1573" s="2">
        <f t="shared" ca="1" si="1495"/>
        <v>0.9977619161986544</v>
      </c>
      <c r="J1573" s="2">
        <f t="shared" ca="1" si="1496"/>
        <v>2.421248415779232E-2</v>
      </c>
      <c r="K1573" s="2">
        <f t="shared" ca="1" si="1497"/>
        <v>2.421248415779232E-2</v>
      </c>
      <c r="L1573" s="2">
        <f t="shared" ca="1" si="1498"/>
        <v>0.18173365529693541</v>
      </c>
      <c r="M1573" s="2">
        <f t="shared" ca="1" si="1499"/>
        <v>-1.8175560418954545E-2</v>
      </c>
      <c r="N1573" s="2">
        <f t="shared" ca="1" si="1500"/>
        <v>-1.8175560418954545E-2</v>
      </c>
      <c r="O1573" s="2">
        <f t="shared" si="1501"/>
        <v>6000000</v>
      </c>
      <c r="P1573" s="2">
        <f t="shared" ca="1" si="1502"/>
        <v>38400325.634656549</v>
      </c>
      <c r="Q1573" s="2">
        <f t="shared" ca="1" si="1503"/>
        <v>960008.14086641371</v>
      </c>
      <c r="R1573" s="2">
        <f t="shared" ca="1" si="1504"/>
        <v>23040195.380793929</v>
      </c>
      <c r="S1573" s="2">
        <f t="shared" ca="1" si="1505"/>
        <v>15360130.253862619</v>
      </c>
      <c r="T1573" s="2">
        <f t="shared" ca="1" si="1506"/>
        <v>49091221.979052275</v>
      </c>
      <c r="U1573" s="2">
        <f t="shared" ca="1" si="1507"/>
        <v>51557765.737068534</v>
      </c>
      <c r="V1573" s="2">
        <f t="shared" ca="1" si="1508"/>
        <v>54148238.740781814</v>
      </c>
      <c r="W1573" s="2">
        <f t="shared" ca="1" si="1509"/>
        <v>56868867.702322856</v>
      </c>
      <c r="X1573" s="2">
        <f t="shared" ca="1" si="1510"/>
        <v>59726192.189304896</v>
      </c>
      <c r="Y1573" s="2">
        <f t="shared" ca="1" si="1511"/>
        <v>0.13210624207889615</v>
      </c>
      <c r="Z1573" s="2">
        <f t="shared" ca="1" si="1512"/>
        <v>0.13694873891045461</v>
      </c>
      <c r="AA1573" s="2">
        <f t="shared" ca="1" si="1513"/>
        <v>6485256.854713507</v>
      </c>
      <c r="AB1573" s="2">
        <f t="shared" ca="1" si="1514"/>
        <v>7060770.9987321813</v>
      </c>
      <c r="AC1573" s="2">
        <f t="shared" ca="1" si="1515"/>
        <v>7415533.0097722923</v>
      </c>
      <c r="AD1573" s="2">
        <f t="shared" ca="1" si="1516"/>
        <v>7788119.715098598</v>
      </c>
      <c r="AE1573" s="2">
        <f t="shared" ca="1" si="1517"/>
        <v>8179426.7002487499</v>
      </c>
      <c r="AF1573" s="2">
        <f t="shared" ca="1" si="1518"/>
        <v>981824.43958104553</v>
      </c>
      <c r="AG1573" s="2">
        <f t="shared" ca="1" si="1519"/>
        <v>1031155.3147413707</v>
      </c>
      <c r="AH1573" s="2">
        <f t="shared" ca="1" si="1520"/>
        <v>1082964.7748156362</v>
      </c>
      <c r="AI1573" s="2">
        <f t="shared" ca="1" si="1521"/>
        <v>1137377.3540464572</v>
      </c>
      <c r="AJ1573" s="2">
        <f t="shared" ca="1" si="1522"/>
        <v>1194523.8437860978</v>
      </c>
      <c r="AK1573" s="2">
        <f t="shared" ca="1" si="1523"/>
        <v>0</v>
      </c>
      <c r="AL1573" s="2">
        <f t="shared" ca="1" si="1524"/>
        <v>24665.437580162587</v>
      </c>
      <c r="AM1573" s="2">
        <f t="shared" ca="1" si="1525"/>
        <v>25904.730037132802</v>
      </c>
      <c r="AN1573" s="2">
        <f t="shared" ca="1" si="1526"/>
        <v>27206.289615410416</v>
      </c>
      <c r="AO1573" s="2">
        <f t="shared" ca="1" si="1527"/>
        <v>28573.244869820403</v>
      </c>
      <c r="AP1573" s="2">
        <f t="shared" ca="1" si="1528"/>
        <v>2073617.5842714536</v>
      </c>
      <c r="AQ1573" s="2">
        <f t="shared" ca="1" si="1529"/>
        <v>891751.85602386203</v>
      </c>
      <c r="AR1573" s="2">
        <f t="shared" ca="1" si="1530"/>
        <v>1028559.5059270328</v>
      </c>
      <c r="AS1573" s="2">
        <f t="shared" ca="1" si="1531"/>
        <v>1107327.1691781527</v>
      </c>
      <c r="AT1573" s="2">
        <f t="shared" ca="1" si="1532"/>
        <v>1190052.4419629788</v>
      </c>
      <c r="AU1573" s="2">
        <f t="shared" ca="1" si="1533"/>
        <v>1276934.1707697117</v>
      </c>
      <c r="AV1573" s="2">
        <f t="shared" ca="1" si="1534"/>
        <v>2538062.9748371458</v>
      </c>
      <c r="AW1573" s="2">
        <f t="shared" ca="1" si="1535"/>
        <v>2902773.1562121613</v>
      </c>
      <c r="AX1573" s="2">
        <f t="shared" ca="1" si="1536"/>
        <v>3125718.7514699167</v>
      </c>
      <c r="AY1573" s="2">
        <f t="shared" ca="1" si="1537"/>
        <v>3359866.0452022981</v>
      </c>
      <c r="AZ1573" s="2">
        <f t="shared" ca="1" si="1538"/>
        <v>3605777.8565516658</v>
      </c>
      <c r="BA1573" s="2">
        <f t="shared" ca="1" si="1539"/>
        <v>61625361.771035865</v>
      </c>
      <c r="BB1573" s="2">
        <f t="shared" ca="1" si="1540"/>
        <v>1232507.2354207174</v>
      </c>
      <c r="BC1573" s="2">
        <f t="shared" ca="1" si="1541"/>
        <v>37352659.154821217</v>
      </c>
      <c r="BD1573" s="2">
        <f t="shared" ca="1" si="1542"/>
        <v>-16820138.394729033</v>
      </c>
      <c r="BE1573" s="2">
        <f t="shared" ca="1" si="1543"/>
        <v>2538062.9748371458</v>
      </c>
      <c r="BF1573" s="2">
        <f t="shared" ca="1" si="1544"/>
        <v>2902773.1562121613</v>
      </c>
      <c r="BG1573" s="2">
        <f t="shared" ca="1" si="1545"/>
        <v>3125718.7514699167</v>
      </c>
      <c r="BH1573" s="2">
        <f t="shared" ca="1" si="1546"/>
        <v>3359866.0452022981</v>
      </c>
      <c r="BI1573" s="2">
        <f t="shared" ca="1" si="1547"/>
        <v>40958437.011372879</v>
      </c>
      <c r="BJ1573" s="2">
        <f t="shared" ca="1" si="1548"/>
        <v>0.309156702678685</v>
      </c>
      <c r="BK1573" s="2">
        <f t="shared" ca="1" si="1549"/>
        <v>15361059.858199846</v>
      </c>
    </row>
    <row r="1574" spans="1:63" x14ac:dyDescent="0.3">
      <c r="A1574" s="2">
        <v>1573</v>
      </c>
      <c r="B1574" s="2">
        <f t="shared" ca="1" si="1488"/>
        <v>0.75380352881545765</v>
      </c>
      <c r="C1574" s="2">
        <f t="shared" ca="1" si="1489"/>
        <v>7.2982928371684634</v>
      </c>
      <c r="D1574" s="2">
        <f t="shared" ca="1" si="1490"/>
        <v>0.63335326176391171</v>
      </c>
      <c r="E1574" s="2">
        <f t="shared" ca="1" si="1491"/>
        <v>7.643674433131781</v>
      </c>
      <c r="F1574" s="2">
        <f t="shared" ca="1" si="1492"/>
        <v>0.79035050607188428</v>
      </c>
      <c r="G1574" s="2">
        <f t="shared" ca="1" si="1493"/>
        <v>6.4229140872552867E-2</v>
      </c>
      <c r="H1574" s="2">
        <f t="shared" ca="1" si="1494"/>
        <v>6.4229140872552867E-2</v>
      </c>
      <c r="I1574" s="2">
        <f t="shared" ca="1" si="1495"/>
        <v>0.79107094744529871</v>
      </c>
      <c r="J1574" s="2">
        <f t="shared" ca="1" si="1496"/>
        <v>1.4050714024566209E-2</v>
      </c>
      <c r="K1574" s="2">
        <f t="shared" ca="1" si="1497"/>
        <v>1.4050714024566209E-2</v>
      </c>
      <c r="L1574" s="2">
        <f t="shared" ca="1" si="1498"/>
        <v>0.56108916585540203</v>
      </c>
      <c r="M1574" s="2">
        <f t="shared" ca="1" si="1499"/>
        <v>3.0746243771094394E-3</v>
      </c>
      <c r="N1574" s="2">
        <f t="shared" ca="1" si="1500"/>
        <v>3.0746243771094394E-3</v>
      </c>
      <c r="O1574" s="2">
        <f t="shared" si="1501"/>
        <v>6000000</v>
      </c>
      <c r="P1574" s="2">
        <f t="shared" ca="1" si="1502"/>
        <v>43789757.023010783</v>
      </c>
      <c r="Q1574" s="2">
        <f t="shared" ca="1" si="1503"/>
        <v>1094743.9255752696</v>
      </c>
      <c r="R1574" s="2">
        <f t="shared" ca="1" si="1504"/>
        <v>26273854.213806469</v>
      </c>
      <c r="S1574" s="2">
        <f t="shared" ca="1" si="1505"/>
        <v>17515902.809204314</v>
      </c>
      <c r="T1574" s="2">
        <f t="shared" ca="1" si="1506"/>
        <v>50153731.21885547</v>
      </c>
      <c r="U1574" s="2">
        <f t="shared" ca="1" si="1507"/>
        <v>53375062.286595486</v>
      </c>
      <c r="V1574" s="2">
        <f t="shared" ca="1" si="1508"/>
        <v>56803296.681282513</v>
      </c>
      <c r="W1574" s="2">
        <f t="shared" ca="1" si="1509"/>
        <v>60451723.625850022</v>
      </c>
      <c r="X1574" s="2">
        <f t="shared" ca="1" si="1510"/>
        <v>64334485.898603372</v>
      </c>
      <c r="Y1574" s="2">
        <f t="shared" ca="1" si="1511"/>
        <v>0.1270253570122831</v>
      </c>
      <c r="Z1574" s="2">
        <f t="shared" ca="1" si="1512"/>
        <v>0.12983549981719633</v>
      </c>
      <c r="AA1574" s="2">
        <f t="shared" ca="1" si="1513"/>
        <v>6370795.6135732047</v>
      </c>
      <c r="AB1574" s="2">
        <f t="shared" ca="1" si="1514"/>
        <v>6929977.8897541109</v>
      </c>
      <c r="AC1574" s="2">
        <f t="shared" ca="1" si="1515"/>
        <v>7375084.4158788044</v>
      </c>
      <c r="AD1574" s="2">
        <f t="shared" ca="1" si="1516"/>
        <v>7848779.751773254</v>
      </c>
      <c r="AE1574" s="2">
        <f t="shared" ca="1" si="1517"/>
        <v>8352900.1321275383</v>
      </c>
      <c r="AF1574" s="2">
        <f t="shared" ca="1" si="1518"/>
        <v>1003074.6243771095</v>
      </c>
      <c r="AG1574" s="2">
        <f t="shared" ca="1" si="1519"/>
        <v>1067501.2457319098</v>
      </c>
      <c r="AH1574" s="2">
        <f t="shared" ca="1" si="1520"/>
        <v>1136065.9336256504</v>
      </c>
      <c r="AI1574" s="2">
        <f t="shared" ca="1" si="1521"/>
        <v>1209034.4725170005</v>
      </c>
      <c r="AJ1574" s="2">
        <f t="shared" ca="1" si="1522"/>
        <v>1286689.7179720674</v>
      </c>
      <c r="AK1574" s="2">
        <f t="shared" ca="1" si="1523"/>
        <v>0</v>
      </c>
      <c r="AL1574" s="2">
        <f t="shared" ca="1" si="1524"/>
        <v>32213.310677400157</v>
      </c>
      <c r="AM1574" s="2">
        <f t="shared" ca="1" si="1525"/>
        <v>34282.343946870271</v>
      </c>
      <c r="AN1574" s="2">
        <f t="shared" ca="1" si="1526"/>
        <v>36484.269445675091</v>
      </c>
      <c r="AO1574" s="2">
        <f t="shared" ca="1" si="1527"/>
        <v>38827.622727533504</v>
      </c>
      <c r="AP1574" s="2">
        <f t="shared" ca="1" si="1528"/>
        <v>2364646.8792425822</v>
      </c>
      <c r="AQ1574" s="2">
        <f t="shared" ca="1" si="1529"/>
        <v>780799.26858791348</v>
      </c>
      <c r="AR1574" s="2">
        <f t="shared" ca="1" si="1530"/>
        <v>909435.73884270096</v>
      </c>
      <c r="AS1574" s="2">
        <f t="shared" ca="1" si="1531"/>
        <v>1007336.6167827486</v>
      </c>
      <c r="AT1574" s="2">
        <f t="shared" ca="1" si="1532"/>
        <v>1111525.5840035547</v>
      </c>
      <c r="AU1574" s="2">
        <f t="shared" ca="1" si="1533"/>
        <v>1222406.5190773511</v>
      </c>
      <c r="AV1574" s="2">
        <f t="shared" ca="1" si="1534"/>
        <v>2222274.8413656</v>
      </c>
      <c r="AW1574" s="2">
        <f t="shared" ca="1" si="1535"/>
        <v>2556180.7152595185</v>
      </c>
      <c r="AX1574" s="2">
        <f t="shared" ca="1" si="1536"/>
        <v>2832752.642280953</v>
      </c>
      <c r="AY1574" s="2">
        <f t="shared" ca="1" si="1537"/>
        <v>3127088.5465644412</v>
      </c>
      <c r="AZ1574" s="2">
        <f t="shared" ca="1" si="1538"/>
        <v>3440329.3931080038</v>
      </c>
      <c r="BA1574" s="2">
        <f t="shared" ca="1" si="1539"/>
        <v>63846849.182446338</v>
      </c>
      <c r="BB1574" s="2">
        <f t="shared" ca="1" si="1540"/>
        <v>1276936.9836489267</v>
      </c>
      <c r="BC1574" s="2">
        <f t="shared" ca="1" si="1541"/>
        <v>36296057.984990939</v>
      </c>
      <c r="BD1574" s="2">
        <f t="shared" ca="1" si="1542"/>
        <v>-19110646.734779585</v>
      </c>
      <c r="BE1574" s="2">
        <f t="shared" ca="1" si="1543"/>
        <v>2222274.8413656</v>
      </c>
      <c r="BF1574" s="2">
        <f t="shared" ca="1" si="1544"/>
        <v>2556180.7152595185</v>
      </c>
      <c r="BG1574" s="2">
        <f t="shared" ca="1" si="1545"/>
        <v>2832752.642280953</v>
      </c>
      <c r="BH1574" s="2">
        <f t="shared" ca="1" si="1546"/>
        <v>3127088.5465644412</v>
      </c>
      <c r="BI1574" s="2">
        <f t="shared" ca="1" si="1547"/>
        <v>39736387.378098942</v>
      </c>
      <c r="BJ1574" s="2">
        <f t="shared" ca="1" si="1548"/>
        <v>0.25086779051480756</v>
      </c>
      <c r="BK1574" s="2">
        <f t="shared" ca="1" si="1549"/>
        <v>11462410.87624643</v>
      </c>
    </row>
    <row r="1575" spans="1:63" x14ac:dyDescent="0.3">
      <c r="A1575" s="2">
        <v>1574</v>
      </c>
      <c r="B1575" s="2">
        <f t="shared" ca="1" si="1488"/>
        <v>0.11005003622225673</v>
      </c>
      <c r="C1575" s="2">
        <f t="shared" ca="1" si="1489"/>
        <v>6.4691482414381554</v>
      </c>
      <c r="D1575" s="2">
        <f t="shared" ca="1" si="1490"/>
        <v>0.1769283266212105</v>
      </c>
      <c r="E1575" s="2">
        <f t="shared" ca="1" si="1491"/>
        <v>7.0948585153147103</v>
      </c>
      <c r="F1575" s="2">
        <f t="shared" ca="1" si="1492"/>
        <v>0.62427195695012816</v>
      </c>
      <c r="G1575" s="2">
        <f t="shared" ca="1" si="1493"/>
        <v>4.950159943008018E-2</v>
      </c>
      <c r="H1575" s="2">
        <f t="shared" ca="1" si="1494"/>
        <v>4.950159943008018E-2</v>
      </c>
      <c r="I1575" s="2">
        <f t="shared" ca="1" si="1495"/>
        <v>0.96842019748339792</v>
      </c>
      <c r="J1575" s="2">
        <f t="shared" ca="1" si="1496"/>
        <v>1.9290331314706453E-2</v>
      </c>
      <c r="K1575" s="2">
        <f t="shared" ca="1" si="1497"/>
        <v>1.9290331314706453E-2</v>
      </c>
      <c r="L1575" s="2">
        <f t="shared" ca="1" si="1498"/>
        <v>0.3350406052470507</v>
      </c>
      <c r="M1575" s="2">
        <f t="shared" ca="1" si="1499"/>
        <v>-8.5207310741601764E-3</v>
      </c>
      <c r="N1575" s="2">
        <f t="shared" ca="1" si="1500"/>
        <v>-8.5207310741601764E-3</v>
      </c>
      <c r="O1575" s="2">
        <f t="shared" si="1501"/>
        <v>6000000</v>
      </c>
      <c r="P1575" s="2">
        <f t="shared" ca="1" si="1502"/>
        <v>38814889.448628932</v>
      </c>
      <c r="Q1575" s="2">
        <f t="shared" ca="1" si="1503"/>
        <v>970372.23621572333</v>
      </c>
      <c r="R1575" s="2">
        <f t="shared" ca="1" si="1504"/>
        <v>23288933.669177357</v>
      </c>
      <c r="S1575" s="2">
        <f t="shared" ca="1" si="1505"/>
        <v>15525955.779451573</v>
      </c>
      <c r="T1575" s="2">
        <f t="shared" ca="1" si="1506"/>
        <v>49573963.446291991</v>
      </c>
      <c r="U1575" s="2">
        <f t="shared" ca="1" si="1507"/>
        <v>52027953.926971778</v>
      </c>
      <c r="V1575" s="2">
        <f t="shared" ca="1" si="1508"/>
        <v>54603420.861431405</v>
      </c>
      <c r="W1575" s="2">
        <f t="shared" ca="1" si="1509"/>
        <v>57306377.528426073</v>
      </c>
      <c r="X1575" s="2">
        <f t="shared" ca="1" si="1510"/>
        <v>60143134.873627171</v>
      </c>
      <c r="Y1575" s="2">
        <f t="shared" ca="1" si="1511"/>
        <v>0.12964516565735323</v>
      </c>
      <c r="Z1575" s="2">
        <f t="shared" ca="1" si="1512"/>
        <v>0.13350323192029451</v>
      </c>
      <c r="AA1575" s="2">
        <f t="shared" ca="1" si="1513"/>
        <v>6427024.7032860992</v>
      </c>
      <c r="AB1575" s="2">
        <f t="shared" ca="1" si="1514"/>
        <v>6945899.9994509108</v>
      </c>
      <c r="AC1575" s="2">
        <f t="shared" ca="1" si="1515"/>
        <v>7289733.1589051243</v>
      </c>
      <c r="AD1575" s="2">
        <f t="shared" ca="1" si="1516"/>
        <v>7650586.6096894201</v>
      </c>
      <c r="AE1575" s="2">
        <f t="shared" ca="1" si="1517"/>
        <v>8029302.8834474003</v>
      </c>
      <c r="AF1575" s="2">
        <f t="shared" ca="1" si="1518"/>
        <v>991479.2689258398</v>
      </c>
      <c r="AG1575" s="2">
        <f t="shared" ca="1" si="1519"/>
        <v>1040559.0785394356</v>
      </c>
      <c r="AH1575" s="2">
        <f t="shared" ca="1" si="1520"/>
        <v>1092068.4172286282</v>
      </c>
      <c r="AI1575" s="2">
        <f t="shared" ca="1" si="1521"/>
        <v>1146127.5505685215</v>
      </c>
      <c r="AJ1575" s="2">
        <f t="shared" ca="1" si="1522"/>
        <v>1202862.6974725435</v>
      </c>
      <c r="AK1575" s="2">
        <f t="shared" ca="1" si="1523"/>
        <v>0</v>
      </c>
      <c r="AL1575" s="2">
        <f t="shared" ca="1" si="1524"/>
        <v>24539.904806797877</v>
      </c>
      <c r="AM1575" s="2">
        <f t="shared" ca="1" si="1525"/>
        <v>25754.669344596266</v>
      </c>
      <c r="AN1575" s="2">
        <f t="shared" ca="1" si="1526"/>
        <v>27029.566669946686</v>
      </c>
      <c r="AO1575" s="2">
        <f t="shared" ca="1" si="1527"/>
        <v>28367.573452010976</v>
      </c>
      <c r="AP1575" s="2">
        <f t="shared" ca="1" si="1528"/>
        <v>2096004.0302259622</v>
      </c>
      <c r="AQ1575" s="2">
        <f t="shared" ca="1" si="1529"/>
        <v>868280.76507491723</v>
      </c>
      <c r="AR1575" s="2">
        <f t="shared" ca="1" si="1530"/>
        <v>990427.59157823329</v>
      </c>
      <c r="AS1575" s="2">
        <f t="shared" ca="1" si="1531"/>
        <v>1066431.784977139</v>
      </c>
      <c r="AT1575" s="2">
        <f t="shared" ca="1" si="1532"/>
        <v>1146198.3075126836</v>
      </c>
      <c r="AU1575" s="2">
        <f t="shared" ca="1" si="1533"/>
        <v>1229913.4004947126</v>
      </c>
      <c r="AV1575" s="2">
        <f t="shared" ca="1" si="1534"/>
        <v>2471260.6390593797</v>
      </c>
      <c r="AW1575" s="2">
        <f t="shared" ca="1" si="1535"/>
        <v>2794369.3943004813</v>
      </c>
      <c r="AX1575" s="2">
        <f t="shared" ca="1" si="1536"/>
        <v>3009474.2571287984</v>
      </c>
      <c r="AY1575" s="2">
        <f t="shared" ca="1" si="1537"/>
        <v>3235227.1547123063</v>
      </c>
      <c r="AZ1575" s="2">
        <f t="shared" ca="1" si="1538"/>
        <v>3472155.1818021713</v>
      </c>
      <c r="BA1575" s="2">
        <f t="shared" ca="1" si="1539"/>
        <v>56966767.934667744</v>
      </c>
      <c r="BB1575" s="2">
        <f t="shared" ca="1" si="1540"/>
        <v>1139335.358693355</v>
      </c>
      <c r="BC1575" s="2">
        <f t="shared" ca="1" si="1541"/>
        <v>32538498.906797029</v>
      </c>
      <c r="BD1575" s="2">
        <f t="shared" ca="1" si="1542"/>
        <v>-16996328.015667297</v>
      </c>
      <c r="BE1575" s="2">
        <f t="shared" ca="1" si="1543"/>
        <v>2471260.6390593797</v>
      </c>
      <c r="BF1575" s="2">
        <f t="shared" ca="1" si="1544"/>
        <v>2794369.3943004813</v>
      </c>
      <c r="BG1575" s="2">
        <f t="shared" ca="1" si="1545"/>
        <v>3009474.2571287984</v>
      </c>
      <c r="BH1575" s="2">
        <f t="shared" ca="1" si="1546"/>
        <v>3235227.1547123063</v>
      </c>
      <c r="BI1575" s="2">
        <f t="shared" ca="1" si="1547"/>
        <v>36010654.088599198</v>
      </c>
      <c r="BJ1575" s="2">
        <f t="shared" ca="1" si="1548"/>
        <v>0.27546266236917605</v>
      </c>
      <c r="BK1575" s="2">
        <f t="shared" ca="1" si="1549"/>
        <v>12069350.76948794</v>
      </c>
    </row>
    <row r="1576" spans="1:63" x14ac:dyDescent="0.3">
      <c r="A1576" s="2">
        <v>1575</v>
      </c>
      <c r="B1576" s="2">
        <f t="shared" ca="1" si="1488"/>
        <v>0.48994262810643641</v>
      </c>
      <c r="C1576" s="2">
        <f t="shared" ca="1" si="1489"/>
        <v>6.9898915376003945</v>
      </c>
      <c r="D1576" s="2">
        <f t="shared" ca="1" si="1490"/>
        <v>0.91260347139554232</v>
      </c>
      <c r="E1576" s="2">
        <f t="shared" ca="1" si="1491"/>
        <v>8.0819174038435531</v>
      </c>
      <c r="F1576" s="2">
        <f t="shared" ca="1" si="1492"/>
        <v>0.80366634931019942</v>
      </c>
      <c r="G1576" s="2">
        <f t="shared" ca="1" si="1493"/>
        <v>6.5643706168730998E-2</v>
      </c>
      <c r="H1576" s="2">
        <f t="shared" ca="1" si="1494"/>
        <v>6.5643706168730998E-2</v>
      </c>
      <c r="I1576" s="2">
        <f t="shared" ca="1" si="1495"/>
        <v>0.56127995196444724</v>
      </c>
      <c r="J1576" s="2">
        <f t="shared" ca="1" si="1496"/>
        <v>1.0771075756612899E-2</v>
      </c>
      <c r="K1576" s="2">
        <f t="shared" ca="1" si="1497"/>
        <v>1.0771075756612899E-2</v>
      </c>
      <c r="L1576" s="2">
        <f t="shared" ca="1" si="1498"/>
        <v>0.95100937493405824</v>
      </c>
      <c r="M1576" s="2">
        <f t="shared" ca="1" si="1499"/>
        <v>3.3094405722302975E-2</v>
      </c>
      <c r="N1576" s="2">
        <f t="shared" ca="1" si="1500"/>
        <v>3.3094405722302975E-2</v>
      </c>
      <c r="O1576" s="2">
        <f t="shared" si="1501"/>
        <v>6000000</v>
      </c>
      <c r="P1576" s="2">
        <f t="shared" ca="1" si="1502"/>
        <v>41939349.225602366</v>
      </c>
      <c r="Q1576" s="2">
        <f t="shared" ca="1" si="1503"/>
        <v>1048483.7306400592</v>
      </c>
      <c r="R1576" s="2">
        <f t="shared" ca="1" si="1504"/>
        <v>25163609.53536142</v>
      </c>
      <c r="S1576" s="2">
        <f t="shared" ca="1" si="1505"/>
        <v>16775739.690240948</v>
      </c>
      <c r="T1576" s="2">
        <f t="shared" ca="1" si="1506"/>
        <v>51654720.286115155</v>
      </c>
      <c r="U1576" s="2">
        <f t="shared" ca="1" si="1507"/>
        <v>55045527.566804886</v>
      </c>
      <c r="V1576" s="2">
        <f t="shared" ca="1" si="1508"/>
        <v>58658920.004303008</v>
      </c>
      <c r="W1576" s="2">
        <f t="shared" ca="1" si="1509"/>
        <v>62509508.913240567</v>
      </c>
      <c r="X1576" s="2">
        <f t="shared" ca="1" si="1510"/>
        <v>66612864.749092996</v>
      </c>
      <c r="Y1576" s="2">
        <f t="shared" ca="1" si="1511"/>
        <v>0.12538553787830645</v>
      </c>
      <c r="Z1576" s="2">
        <f t="shared" ca="1" si="1512"/>
        <v>0.12753975302962903</v>
      </c>
      <c r="AA1576" s="2">
        <f t="shared" ca="1" si="1513"/>
        <v>6476754.8870280161</v>
      </c>
      <c r="AB1576" s="2">
        <f t="shared" ca="1" si="1514"/>
        <v>7020492.9912559316</v>
      </c>
      <c r="AC1576" s="2">
        <f t="shared" ca="1" si="1515"/>
        <v>7481344.1703335717</v>
      </c>
      <c r="AD1576" s="2">
        <f t="shared" ca="1" si="1516"/>
        <v>7972447.3287980966</v>
      </c>
      <c r="AE1576" s="2">
        <f t="shared" ca="1" si="1517"/>
        <v>8495788.3186954018</v>
      </c>
      <c r="AF1576" s="2">
        <f t="shared" ca="1" si="1518"/>
        <v>1033094.4057223031</v>
      </c>
      <c r="AG1576" s="2">
        <f t="shared" ca="1" si="1519"/>
        <v>1100910.5513360978</v>
      </c>
      <c r="AH1576" s="2">
        <f t="shared" ca="1" si="1520"/>
        <v>1173178.4000860602</v>
      </c>
      <c r="AI1576" s="2">
        <f t="shared" ca="1" si="1521"/>
        <v>1250190.1782648114</v>
      </c>
      <c r="AJ1576" s="2">
        <f t="shared" ca="1" si="1522"/>
        <v>1332257.2949818599</v>
      </c>
      <c r="AK1576" s="2">
        <f t="shared" ca="1" si="1523"/>
        <v>0</v>
      </c>
      <c r="AL1576" s="2">
        <f t="shared" ca="1" si="1524"/>
        <v>33908.072806897311</v>
      </c>
      <c r="AM1576" s="2">
        <f t="shared" ca="1" si="1525"/>
        <v>36133.924374981223</v>
      </c>
      <c r="AN1576" s="2">
        <f t="shared" ca="1" si="1526"/>
        <v>38505.889089375589</v>
      </c>
      <c r="AO1576" s="2">
        <f t="shared" ca="1" si="1527"/>
        <v>41033.558358524293</v>
      </c>
      <c r="AP1576" s="2">
        <f t="shared" ca="1" si="1528"/>
        <v>2264724.8581825276</v>
      </c>
      <c r="AQ1576" s="2">
        <f t="shared" ca="1" si="1529"/>
        <v>826523.26201202814</v>
      </c>
      <c r="AR1576" s="2">
        <f t="shared" ca="1" si="1530"/>
        <v>950262.97125169972</v>
      </c>
      <c r="AS1576" s="2">
        <f t="shared" ca="1" si="1531"/>
        <v>1051294.6371368959</v>
      </c>
      <c r="AT1576" s="2">
        <f t="shared" ca="1" si="1532"/>
        <v>1158958.396011197</v>
      </c>
      <c r="AU1576" s="2">
        <f t="shared" ca="1" si="1533"/>
        <v>1273689.603038064</v>
      </c>
      <c r="AV1576" s="2">
        <f t="shared" ca="1" si="1534"/>
        <v>2352412.3611111571</v>
      </c>
      <c r="AW1576" s="2">
        <f t="shared" ca="1" si="1535"/>
        <v>2670686.5376787088</v>
      </c>
      <c r="AX1576" s="2">
        <f t="shared" ca="1" si="1536"/>
        <v>2956012.350553107</v>
      </c>
      <c r="AY1576" s="2">
        <f t="shared" ca="1" si="1537"/>
        <v>3260068.0072501847</v>
      </c>
      <c r="AZ1576" s="2">
        <f t="shared" ca="1" si="1538"/>
        <v>3584083.0041344264</v>
      </c>
      <c r="BA1576" s="2">
        <f t="shared" ca="1" si="1539"/>
        <v>68662259.472235128</v>
      </c>
      <c r="BB1576" s="2">
        <f t="shared" ca="1" si="1540"/>
        <v>1373245.1894447026</v>
      </c>
      <c r="BC1576" s="2">
        <f t="shared" ca="1" si="1541"/>
        <v>42125404.747428998</v>
      </c>
      <c r="BD1576" s="2">
        <f t="shared" ca="1" si="1542"/>
        <v>-18324223.420881007</v>
      </c>
      <c r="BE1576" s="2">
        <f t="shared" ca="1" si="1543"/>
        <v>2352412.3611111571</v>
      </c>
      <c r="BF1576" s="2">
        <f t="shared" ca="1" si="1544"/>
        <v>2670686.5376787088</v>
      </c>
      <c r="BG1576" s="2">
        <f t="shared" ca="1" si="1545"/>
        <v>2956012.350553107</v>
      </c>
      <c r="BH1576" s="2">
        <f t="shared" ca="1" si="1546"/>
        <v>3260068.0072501847</v>
      </c>
      <c r="BI1576" s="2">
        <f t="shared" ca="1" si="1547"/>
        <v>45709487.751563422</v>
      </c>
      <c r="BJ1576" s="2">
        <f t="shared" ca="1" si="1548"/>
        <v>0.29764864784938116</v>
      </c>
      <c r="BK1576" s="2">
        <f t="shared" ca="1" si="1549"/>
        <v>16017853.985608276</v>
      </c>
    </row>
    <row r="1577" spans="1:63" x14ac:dyDescent="0.3">
      <c r="A1577" s="2">
        <v>1576</v>
      </c>
      <c r="B1577" s="2">
        <f t="shared" ca="1" si="1488"/>
        <v>0.83573341476145879</v>
      </c>
      <c r="C1577" s="2">
        <f t="shared" ca="1" si="1489"/>
        <v>7.4268218684587817</v>
      </c>
      <c r="D1577" s="2">
        <f t="shared" ca="1" si="1490"/>
        <v>0.33649909958913859</v>
      </c>
      <c r="E1577" s="2">
        <f t="shared" ca="1" si="1491"/>
        <v>7.3203646745065738</v>
      </c>
      <c r="F1577" s="2">
        <f t="shared" ca="1" si="1492"/>
        <v>0.85900440319383475</v>
      </c>
      <c r="G1577" s="2">
        <f t="shared" ca="1" si="1493"/>
        <v>7.2275711461156439E-2</v>
      </c>
      <c r="H1577" s="2">
        <f t="shared" ca="1" si="1494"/>
        <v>7.2275711461156439E-2</v>
      </c>
      <c r="I1577" s="2">
        <f t="shared" ca="1" si="1495"/>
        <v>0.80047156327316282</v>
      </c>
      <c r="J1577" s="2">
        <f t="shared" ca="1" si="1496"/>
        <v>1.4216534065118511E-2</v>
      </c>
      <c r="K1577" s="2">
        <f t="shared" ca="1" si="1497"/>
        <v>1.4216534065118511E-2</v>
      </c>
      <c r="L1577" s="2">
        <f t="shared" ca="1" si="1498"/>
        <v>3.0129095479635937E-2</v>
      </c>
      <c r="M1577" s="2">
        <f t="shared" ca="1" si="1499"/>
        <v>-3.7577993834359731E-2</v>
      </c>
      <c r="N1577" s="2">
        <f t="shared" ca="1" si="1500"/>
        <v>-3.7577993834359731E-2</v>
      </c>
      <c r="O1577" s="2">
        <f t="shared" si="1501"/>
        <v>6000000</v>
      </c>
      <c r="P1577" s="2">
        <f t="shared" ca="1" si="1502"/>
        <v>44560931.210752688</v>
      </c>
      <c r="Q1577" s="2">
        <f t="shared" ca="1" si="1503"/>
        <v>1114023.2802688172</v>
      </c>
      <c r="R1577" s="2">
        <f t="shared" ca="1" si="1504"/>
        <v>26736558.726451613</v>
      </c>
      <c r="S1577" s="2">
        <f t="shared" ca="1" si="1505"/>
        <v>17824372.484301075</v>
      </c>
      <c r="T1577" s="2">
        <f t="shared" ca="1" si="1506"/>
        <v>48121100.30828201</v>
      </c>
      <c r="U1577" s="2">
        <f t="shared" ca="1" si="1507"/>
        <v>51599087.069356769</v>
      </c>
      <c r="V1577" s="2">
        <f t="shared" ca="1" si="1508"/>
        <v>55328447.798040688</v>
      </c>
      <c r="W1577" s="2">
        <f t="shared" ca="1" si="1509"/>
        <v>59327350.726685539</v>
      </c>
      <c r="X1577" s="2">
        <f t="shared" ca="1" si="1510"/>
        <v>63615277.209562294</v>
      </c>
      <c r="Y1577" s="2">
        <f t="shared" ca="1" si="1511"/>
        <v>0.12710826703255926</v>
      </c>
      <c r="Z1577" s="2">
        <f t="shared" ca="1" si="1512"/>
        <v>0.12995157384558295</v>
      </c>
      <c r="AA1577" s="2">
        <f t="shared" ca="1" si="1513"/>
        <v>6116589.6678856798</v>
      </c>
      <c r="AB1577" s="2">
        <f t="shared" ca="1" si="1514"/>
        <v>6705382.5736581804</v>
      </c>
      <c r="AC1577" s="2">
        <f t="shared" ca="1" si="1515"/>
        <v>7190018.8697885657</v>
      </c>
      <c r="AD1577" s="2">
        <f t="shared" ca="1" si="1516"/>
        <v>7709682.5990216751</v>
      </c>
      <c r="AE1577" s="2">
        <f t="shared" ca="1" si="1517"/>
        <v>8266905.3940056646</v>
      </c>
      <c r="AF1577" s="2">
        <f t="shared" ca="1" si="1518"/>
        <v>962422.0061656402</v>
      </c>
      <c r="AG1577" s="2">
        <f t="shared" ca="1" si="1519"/>
        <v>1031981.7413871355</v>
      </c>
      <c r="AH1577" s="2">
        <f t="shared" ca="1" si="1520"/>
        <v>1106568.9559608137</v>
      </c>
      <c r="AI1577" s="2">
        <f t="shared" ca="1" si="1521"/>
        <v>1186547.0145337109</v>
      </c>
      <c r="AJ1577" s="2">
        <f t="shared" ca="1" si="1522"/>
        <v>1272305.5441912459</v>
      </c>
      <c r="AK1577" s="2">
        <f t="shared" ca="1" si="1523"/>
        <v>0</v>
      </c>
      <c r="AL1577" s="2">
        <f t="shared" ca="1" si="1524"/>
        <v>34779.867610747591</v>
      </c>
      <c r="AM1577" s="2">
        <f t="shared" ca="1" si="1525"/>
        <v>37293.607286839186</v>
      </c>
      <c r="AN1577" s="2">
        <f t="shared" ca="1" si="1526"/>
        <v>39989.029286448509</v>
      </c>
      <c r="AO1577" s="2">
        <f t="shared" ca="1" si="1527"/>
        <v>42879.264828767555</v>
      </c>
      <c r="AP1577" s="2">
        <f t="shared" ca="1" si="1528"/>
        <v>2406290.2853806452</v>
      </c>
      <c r="AQ1577" s="2">
        <f t="shared" ca="1" si="1529"/>
        <v>714448.11784824252</v>
      </c>
      <c r="AR1577" s="2">
        <f t="shared" ca="1" si="1530"/>
        <v>849448.74219150399</v>
      </c>
      <c r="AS1577" s="2">
        <f t="shared" ca="1" si="1531"/>
        <v>956061.50339624775</v>
      </c>
      <c r="AT1577" s="2">
        <f t="shared" ca="1" si="1532"/>
        <v>1070379.7777679029</v>
      </c>
      <c r="AU1577" s="2">
        <f t="shared" ca="1" si="1533"/>
        <v>1192960.4867527813</v>
      </c>
      <c r="AV1577" s="2">
        <f t="shared" ca="1" si="1534"/>
        <v>2033429.2584911515</v>
      </c>
      <c r="AW1577" s="2">
        <f t="shared" ca="1" si="1535"/>
        <v>2382881.9370881482</v>
      </c>
      <c r="AX1577" s="2">
        <f t="shared" ca="1" si="1536"/>
        <v>2683804.5177640202</v>
      </c>
      <c r="AY1577" s="2">
        <f t="shared" ca="1" si="1537"/>
        <v>3006476.4920529672</v>
      </c>
      <c r="AZ1577" s="2">
        <f t="shared" ca="1" si="1538"/>
        <v>3352469.8128522248</v>
      </c>
      <c r="BA1577" s="2">
        <f t="shared" ca="1" si="1539"/>
        <v>60516762.213766918</v>
      </c>
      <c r="BB1577" s="2">
        <f t="shared" ca="1" si="1540"/>
        <v>1210335.2442753385</v>
      </c>
      <c r="BC1577" s="2">
        <f t="shared" ca="1" si="1541"/>
        <v>32569868.243039966</v>
      </c>
      <c r="BD1577" s="2">
        <f t="shared" ca="1" si="1542"/>
        <v>-19438395.764569893</v>
      </c>
      <c r="BE1577" s="2">
        <f t="shared" ca="1" si="1543"/>
        <v>2033429.2584911515</v>
      </c>
      <c r="BF1577" s="2">
        <f t="shared" ca="1" si="1544"/>
        <v>2382881.9370881482</v>
      </c>
      <c r="BG1577" s="2">
        <f t="shared" ca="1" si="1545"/>
        <v>2683804.5177640202</v>
      </c>
      <c r="BH1577" s="2">
        <f t="shared" ca="1" si="1546"/>
        <v>3006476.4920529672</v>
      </c>
      <c r="BI1577" s="2">
        <f t="shared" ca="1" si="1547"/>
        <v>35922338.055892192</v>
      </c>
      <c r="BJ1577" s="2">
        <f t="shared" ca="1" si="1548"/>
        <v>0.21933482882820532</v>
      </c>
      <c r="BK1577" s="2">
        <f t="shared" ca="1" si="1549"/>
        <v>8481033.5053933263</v>
      </c>
    </row>
    <row r="1578" spans="1:63" x14ac:dyDescent="0.3">
      <c r="A1578" s="2">
        <v>1577</v>
      </c>
      <c r="B1578" s="2">
        <f t="shared" ca="1" si="1488"/>
        <v>0.87839033446914583</v>
      </c>
      <c r="C1578" s="2">
        <f t="shared" ca="1" si="1489"/>
        <v>7.5068272807000493</v>
      </c>
      <c r="D1578" s="2">
        <f t="shared" ca="1" si="1490"/>
        <v>0.27949152924958875</v>
      </c>
      <c r="E1578" s="2">
        <f t="shared" ca="1" si="1491"/>
        <v>7.2476516959782664</v>
      </c>
      <c r="F1578" s="2">
        <f t="shared" ca="1" si="1492"/>
        <v>0.35284162969147892</v>
      </c>
      <c r="G1578" s="2">
        <f t="shared" ca="1" si="1493"/>
        <v>2.8670202954222415E-2</v>
      </c>
      <c r="H1578" s="2">
        <f t="shared" ca="1" si="1494"/>
        <v>2.8670202954222415E-2</v>
      </c>
      <c r="I1578" s="2">
        <f t="shared" ca="1" si="1495"/>
        <v>0.87169643699144794</v>
      </c>
      <c r="J1578" s="2">
        <f t="shared" ca="1" si="1496"/>
        <v>1.5672234613141583E-2</v>
      </c>
      <c r="K1578" s="2">
        <f t="shared" ca="1" si="1497"/>
        <v>1.5672234613141583E-2</v>
      </c>
      <c r="L1578" s="2">
        <f t="shared" ca="1" si="1498"/>
        <v>0.74312296958452306</v>
      </c>
      <c r="M1578" s="2">
        <f t="shared" ca="1" si="1499"/>
        <v>1.3060068799301335E-2</v>
      </c>
      <c r="N1578" s="2">
        <f t="shared" ca="1" si="1500"/>
        <v>1.3060068799301335E-2</v>
      </c>
      <c r="O1578" s="2">
        <f t="shared" si="1501"/>
        <v>6000000</v>
      </c>
      <c r="P1578" s="2">
        <f t="shared" ca="1" si="1502"/>
        <v>45040963.684200294</v>
      </c>
      <c r="Q1578" s="2">
        <f t="shared" ca="1" si="1503"/>
        <v>1126024.0921050075</v>
      </c>
      <c r="R1578" s="2">
        <f t="shared" ca="1" si="1504"/>
        <v>27024578.210520174</v>
      </c>
      <c r="S1578" s="2">
        <f t="shared" ca="1" si="1505"/>
        <v>18016385.47368012</v>
      </c>
      <c r="T1578" s="2">
        <f t="shared" ca="1" si="1506"/>
        <v>50653003.439965069</v>
      </c>
      <c r="U1578" s="2">
        <f t="shared" ca="1" si="1507"/>
        <v>52105235.328829803</v>
      </c>
      <c r="V1578" s="2">
        <f t="shared" ca="1" si="1508"/>
        <v>53599103.00068488</v>
      </c>
      <c r="W1578" s="2">
        <f t="shared" ca="1" si="1509"/>
        <v>55135800.161878794</v>
      </c>
      <c r="X1578" s="2">
        <f t="shared" ca="1" si="1510"/>
        <v>56716554.742563315</v>
      </c>
      <c r="Y1578" s="2">
        <f t="shared" ca="1" si="1511"/>
        <v>0.1278361173065708</v>
      </c>
      <c r="Z1578" s="2">
        <f t="shared" ca="1" si="1512"/>
        <v>0.13097056422919912</v>
      </c>
      <c r="AA1578" s="2">
        <f t="shared" ca="1" si="1513"/>
        <v>6475283.2896815082</v>
      </c>
      <c r="AB1578" s="2">
        <f t="shared" ca="1" si="1514"/>
        <v>6824252.070312039</v>
      </c>
      <c r="AC1578" s="2">
        <f t="shared" ca="1" si="1515"/>
        <v>7019904.7621786585</v>
      </c>
      <c r="AD1578" s="2">
        <f t="shared" ca="1" si="1516"/>
        <v>7221166.8564296337</v>
      </c>
      <c r="AE1578" s="2">
        <f t="shared" ca="1" si="1517"/>
        <v>7428199.1757697761</v>
      </c>
      <c r="AF1578" s="2">
        <f t="shared" ca="1" si="1518"/>
        <v>1013060.0687993014</v>
      </c>
      <c r="AG1578" s="2">
        <f t="shared" ca="1" si="1519"/>
        <v>1042104.7065765961</v>
      </c>
      <c r="AH1578" s="2">
        <f t="shared" ca="1" si="1520"/>
        <v>1071982.0600136977</v>
      </c>
      <c r="AI1578" s="2">
        <f t="shared" ca="1" si="1521"/>
        <v>1102716.003237576</v>
      </c>
      <c r="AJ1578" s="2">
        <f t="shared" ca="1" si="1522"/>
        <v>1134331.0948512664</v>
      </c>
      <c r="AK1578" s="2">
        <f t="shared" ca="1" si="1523"/>
        <v>0</v>
      </c>
      <c r="AL1578" s="2">
        <f t="shared" ca="1" si="1524"/>
        <v>14522.318888647333</v>
      </c>
      <c r="AM1578" s="2">
        <f t="shared" ca="1" si="1525"/>
        <v>14938.676718550772</v>
      </c>
      <c r="AN1578" s="2">
        <f t="shared" ca="1" si="1526"/>
        <v>15366.971611939147</v>
      </c>
      <c r="AO1578" s="2">
        <f t="shared" ca="1" si="1527"/>
        <v>15807.545806845203</v>
      </c>
      <c r="AP1578" s="2">
        <f t="shared" ca="1" si="1528"/>
        <v>2432212.0389468158</v>
      </c>
      <c r="AQ1578" s="2">
        <f t="shared" ca="1" si="1529"/>
        <v>787802.90730320173</v>
      </c>
      <c r="AR1578" s="2">
        <f t="shared" ca="1" si="1530"/>
        <v>870983.18444504309</v>
      </c>
      <c r="AS1578" s="2">
        <f t="shared" ca="1" si="1531"/>
        <v>914084.77243671776</v>
      </c>
      <c r="AT1578" s="2">
        <f t="shared" ca="1" si="1532"/>
        <v>958422.09170376288</v>
      </c>
      <c r="AU1578" s="2">
        <f t="shared" ca="1" si="1533"/>
        <v>1004030.5709126404</v>
      </c>
      <c r="AV1578" s="2">
        <f t="shared" ca="1" si="1534"/>
        <v>2242208.2746321894</v>
      </c>
      <c r="AW1578" s="2">
        <f t="shared" ca="1" si="1535"/>
        <v>2464429.8214549366</v>
      </c>
      <c r="AX1578" s="2">
        <f t="shared" ca="1" si="1536"/>
        <v>2586687.214062877</v>
      </c>
      <c r="AY1578" s="2">
        <f t="shared" ca="1" si="1537"/>
        <v>2712449.7509295391</v>
      </c>
      <c r="AZ1578" s="2">
        <f t="shared" ca="1" si="1538"/>
        <v>2841817.9252522076</v>
      </c>
      <c r="BA1578" s="2">
        <f t="shared" ca="1" si="1539"/>
        <v>53837000.354332179</v>
      </c>
      <c r="BB1578" s="2">
        <f t="shared" ca="1" si="1540"/>
        <v>1076740.0070866435</v>
      </c>
      <c r="BC1578" s="2">
        <f t="shared" ca="1" si="1541"/>
        <v>25735682.136725362</v>
      </c>
      <c r="BD1578" s="2">
        <f t="shared" ca="1" si="1542"/>
        <v>-19642409.565785129</v>
      </c>
      <c r="BE1578" s="2">
        <f t="shared" ca="1" si="1543"/>
        <v>2242208.2746321894</v>
      </c>
      <c r="BF1578" s="2">
        <f t="shared" ca="1" si="1544"/>
        <v>2464429.8214549366</v>
      </c>
      <c r="BG1578" s="2">
        <f t="shared" ca="1" si="1545"/>
        <v>2586687.214062877</v>
      </c>
      <c r="BH1578" s="2">
        <f t="shared" ca="1" si="1546"/>
        <v>2712449.7509295391</v>
      </c>
      <c r="BI1578" s="2">
        <f t="shared" ca="1" si="1547"/>
        <v>28577500.061977569</v>
      </c>
      <c r="BJ1578" s="2">
        <f t="shared" ca="1" si="1548"/>
        <v>0.17248012083290987</v>
      </c>
      <c r="BK1578" s="2">
        <f t="shared" ca="1" si="1549"/>
        <v>4104795.1974995062</v>
      </c>
    </row>
    <row r="1579" spans="1:63" x14ac:dyDescent="0.3">
      <c r="A1579" s="2">
        <v>1578</v>
      </c>
      <c r="B1579" s="2">
        <f t="shared" ca="1" si="1488"/>
        <v>0.76865827931894137</v>
      </c>
      <c r="C1579" s="2">
        <f t="shared" ca="1" si="1489"/>
        <v>7.3197916191621006</v>
      </c>
      <c r="D1579" s="2">
        <f t="shared" ca="1" si="1490"/>
        <v>0.39038875780356208</v>
      </c>
      <c r="E1579" s="2">
        <f t="shared" ca="1" si="1491"/>
        <v>7.3836161585253652</v>
      </c>
      <c r="F1579" s="2">
        <f t="shared" ca="1" si="1492"/>
        <v>0.5942771443310384</v>
      </c>
      <c r="G1579" s="2">
        <f t="shared" ca="1" si="1493"/>
        <v>4.7156841534113425E-2</v>
      </c>
      <c r="H1579" s="2">
        <f t="shared" ca="1" si="1494"/>
        <v>4.7156841534113425E-2</v>
      </c>
      <c r="I1579" s="2">
        <f t="shared" ca="1" si="1495"/>
        <v>0.94587798657887157</v>
      </c>
      <c r="J1579" s="2">
        <f t="shared" ca="1" si="1496"/>
        <v>1.8030680106944086E-2</v>
      </c>
      <c r="K1579" s="2">
        <f t="shared" ca="1" si="1497"/>
        <v>1.8030680106944086E-2</v>
      </c>
      <c r="L1579" s="2">
        <f t="shared" ca="1" si="1498"/>
        <v>0.96372361217990909</v>
      </c>
      <c r="M1579" s="2">
        <f t="shared" ca="1" si="1499"/>
        <v>3.5912676126166436E-2</v>
      </c>
      <c r="N1579" s="2">
        <f t="shared" ca="1" si="1500"/>
        <v>3.5912676126166436E-2</v>
      </c>
      <c r="O1579" s="2">
        <f t="shared" si="1501"/>
        <v>6000000</v>
      </c>
      <c r="P1579" s="2">
        <f t="shared" ca="1" si="1502"/>
        <v>43918749.7149726</v>
      </c>
      <c r="Q1579" s="2">
        <f t="shared" ca="1" si="1503"/>
        <v>1097968.742874315</v>
      </c>
      <c r="R1579" s="2">
        <f t="shared" ca="1" si="1504"/>
        <v>26351249.82898356</v>
      </c>
      <c r="S1579" s="2">
        <f t="shared" ca="1" si="1505"/>
        <v>17567499.88598904</v>
      </c>
      <c r="T1579" s="2">
        <f t="shared" ca="1" si="1506"/>
        <v>51795633.806308314</v>
      </c>
      <c r="U1579" s="2">
        <f t="shared" ca="1" si="1507"/>
        <v>54238152.301871367</v>
      </c>
      <c r="V1579" s="2">
        <f t="shared" ca="1" si="1508"/>
        <v>56795852.25507383</v>
      </c>
      <c r="W1579" s="2">
        <f t="shared" ca="1" si="1509"/>
        <v>59474165.259661272</v>
      </c>
      <c r="X1579" s="2">
        <f t="shared" ca="1" si="1510"/>
        <v>62278779.046184793</v>
      </c>
      <c r="Y1579" s="2">
        <f t="shared" ca="1" si="1511"/>
        <v>0.12901534005347204</v>
      </c>
      <c r="Z1579" s="2">
        <f t="shared" ca="1" si="1512"/>
        <v>0.13262147607486086</v>
      </c>
      <c r="AA1579" s="2">
        <f t="shared" ca="1" si="1513"/>
        <v>6682431.3088059798</v>
      </c>
      <c r="AB1579" s="2">
        <f t="shared" ca="1" si="1514"/>
        <v>7193143.8178472929</v>
      </c>
      <c r="AC1579" s="2">
        <f t="shared" ca="1" si="1515"/>
        <v>7532349.7609976064</v>
      </c>
      <c r="AD1579" s="2">
        <f t="shared" ca="1" si="1516"/>
        <v>7887551.5850564884</v>
      </c>
      <c r="AE1579" s="2">
        <f t="shared" ca="1" si="1517"/>
        <v>8259503.6052451422</v>
      </c>
      <c r="AF1579" s="2">
        <f t="shared" ca="1" si="1518"/>
        <v>1035912.6761261664</v>
      </c>
      <c r="AG1579" s="2">
        <f t="shared" ca="1" si="1519"/>
        <v>1084763.0460374274</v>
      </c>
      <c r="AH1579" s="2">
        <f t="shared" ca="1" si="1520"/>
        <v>1135917.0451014766</v>
      </c>
      <c r="AI1579" s="2">
        <f t="shared" ca="1" si="1521"/>
        <v>1189483.3051932254</v>
      </c>
      <c r="AJ1579" s="2">
        <f t="shared" ca="1" si="1522"/>
        <v>1245575.5809236958</v>
      </c>
      <c r="AK1579" s="2">
        <f t="shared" ca="1" si="1523"/>
        <v>0</v>
      </c>
      <c r="AL1579" s="2">
        <f t="shared" ca="1" si="1524"/>
        <v>24425.184955630528</v>
      </c>
      <c r="AM1579" s="2">
        <f t="shared" ca="1" si="1525"/>
        <v>25576.999532024638</v>
      </c>
      <c r="AN1579" s="2">
        <f t="shared" ca="1" si="1526"/>
        <v>26783.130045874419</v>
      </c>
      <c r="AO1579" s="2">
        <f t="shared" ca="1" si="1527"/>
        <v>28046.13786523521</v>
      </c>
      <c r="AP1579" s="2">
        <f t="shared" ca="1" si="1528"/>
        <v>2371612.4846085203</v>
      </c>
      <c r="AQ1579" s="2">
        <f t="shared" ca="1" si="1529"/>
        <v>851475.59849853627</v>
      </c>
      <c r="AR1579" s="2">
        <f t="shared" ca="1" si="1530"/>
        <v>971559.7546723499</v>
      </c>
      <c r="AS1579" s="2">
        <f t="shared" ca="1" si="1531"/>
        <v>1046453.2601347785</v>
      </c>
      <c r="AT1579" s="2">
        <f t="shared" ca="1" si="1532"/>
        <v>1124878.5067662331</v>
      </c>
      <c r="AU1579" s="2">
        <f t="shared" ca="1" si="1533"/>
        <v>1207002.0403253608</v>
      </c>
      <c r="AV1579" s="2">
        <f t="shared" ca="1" si="1534"/>
        <v>2423430.549572757</v>
      </c>
      <c r="AW1579" s="2">
        <f t="shared" ca="1" si="1535"/>
        <v>2740783.3475733656</v>
      </c>
      <c r="AX1579" s="2">
        <f t="shared" ca="1" si="1536"/>
        <v>2952789.971620807</v>
      </c>
      <c r="AY1579" s="2">
        <f t="shared" ca="1" si="1537"/>
        <v>3174794.1584426346</v>
      </c>
      <c r="AZ1579" s="2">
        <f t="shared" ca="1" si="1538"/>
        <v>3407267.3615223295</v>
      </c>
      <c r="BA1579" s="2">
        <f t="shared" ca="1" si="1539"/>
        <v>60985004.281086542</v>
      </c>
      <c r="BB1579" s="2">
        <f t="shared" ca="1" si="1540"/>
        <v>1219700.0856217309</v>
      </c>
      <c r="BC1579" s="2">
        <f t="shared" ca="1" si="1541"/>
        <v>33414054.366481252</v>
      </c>
      <c r="BD1579" s="2">
        <f t="shared" ca="1" si="1542"/>
        <v>-19165468.628863357</v>
      </c>
      <c r="BE1579" s="2">
        <f t="shared" ca="1" si="1543"/>
        <v>2423430.549572757</v>
      </c>
      <c r="BF1579" s="2">
        <f t="shared" ca="1" si="1544"/>
        <v>2740783.3475733656</v>
      </c>
      <c r="BG1579" s="2">
        <f t="shared" ca="1" si="1545"/>
        <v>2952789.971620807</v>
      </c>
      <c r="BH1579" s="2">
        <f t="shared" ca="1" si="1546"/>
        <v>3174794.1584426346</v>
      </c>
      <c r="BI1579" s="2">
        <f t="shared" ca="1" si="1547"/>
        <v>36821321.728003584</v>
      </c>
      <c r="BJ1579" s="2">
        <f t="shared" ca="1" si="1548"/>
        <v>0.24036453879310682</v>
      </c>
      <c r="BK1579" s="2">
        <f t="shared" ca="1" si="1549"/>
        <v>10196027.824089736</v>
      </c>
    </row>
    <row r="1580" spans="1:63" x14ac:dyDescent="0.3">
      <c r="A1580" s="2">
        <v>1579</v>
      </c>
      <c r="B1580" s="2">
        <f t="shared" ca="1" si="1488"/>
        <v>0.31874624172961441</v>
      </c>
      <c r="C1580" s="2">
        <f t="shared" ca="1" si="1489"/>
        <v>6.7984312640792748</v>
      </c>
      <c r="D1580" s="2">
        <f t="shared" ca="1" si="1490"/>
        <v>2.4599767310607867E-2</v>
      </c>
      <c r="E1580" s="2">
        <f t="shared" ca="1" si="1491"/>
        <v>6.721809681080912</v>
      </c>
      <c r="F1580" s="2">
        <f t="shared" ca="1" si="1492"/>
        <v>0.32304336859451965</v>
      </c>
      <c r="G1580" s="2">
        <f t="shared" ca="1" si="1493"/>
        <v>2.6223840676000389E-2</v>
      </c>
      <c r="H1580" s="2">
        <f t="shared" ca="1" si="1494"/>
        <v>2.6223840676000389E-2</v>
      </c>
      <c r="I1580" s="2">
        <f t="shared" ca="1" si="1495"/>
        <v>0.74102065877634249</v>
      </c>
      <c r="J1580" s="2">
        <f t="shared" ca="1" si="1496"/>
        <v>1.3232476171909282E-2</v>
      </c>
      <c r="K1580" s="2">
        <f t="shared" ca="1" si="1497"/>
        <v>1.3232476171909282E-2</v>
      </c>
      <c r="L1580" s="2">
        <f t="shared" ca="1" si="1498"/>
        <v>0.71996542147055598</v>
      </c>
      <c r="M1580" s="2">
        <f t="shared" ca="1" si="1499"/>
        <v>1.1654775772490912E-2</v>
      </c>
      <c r="N1580" s="2">
        <f t="shared" ca="1" si="1500"/>
        <v>1.1654775772490912E-2</v>
      </c>
      <c r="O1580" s="2">
        <f t="shared" si="1501"/>
        <v>6000000</v>
      </c>
      <c r="P1580" s="2">
        <f t="shared" ca="1" si="1502"/>
        <v>40790587.584475651</v>
      </c>
      <c r="Q1580" s="2">
        <f t="shared" ca="1" si="1503"/>
        <v>1019764.6896118913</v>
      </c>
      <c r="R1580" s="2">
        <f t="shared" ca="1" si="1504"/>
        <v>24474352.550685391</v>
      </c>
      <c r="S1580" s="2">
        <f t="shared" ca="1" si="1505"/>
        <v>16316235.033790261</v>
      </c>
      <c r="T1580" s="2">
        <f t="shared" ca="1" si="1506"/>
        <v>50582738.788624547</v>
      </c>
      <c r="U1580" s="2">
        <f t="shared" ca="1" si="1507"/>
        <v>51909212.471573189</v>
      </c>
      <c r="V1580" s="2">
        <f t="shared" ca="1" si="1508"/>
        <v>53270471.389044382</v>
      </c>
      <c r="W1580" s="2">
        <f t="shared" ca="1" si="1509"/>
        <v>54667427.743486121</v>
      </c>
      <c r="X1580" s="2">
        <f t="shared" ca="1" si="1510"/>
        <v>56101017.658798069</v>
      </c>
      <c r="Y1580" s="2">
        <f t="shared" ca="1" si="1511"/>
        <v>0.12661623808595462</v>
      </c>
      <c r="Z1580" s="2">
        <f t="shared" ca="1" si="1512"/>
        <v>0.1292627333203365</v>
      </c>
      <c r="AA1580" s="2">
        <f t="shared" ca="1" si="1513"/>
        <v>6404596.097500138</v>
      </c>
      <c r="AB1580" s="2">
        <f t="shared" ca="1" si="1514"/>
        <v>6709926.6885816501</v>
      </c>
      <c r="AC1580" s="2">
        <f t="shared" ca="1" si="1515"/>
        <v>6885886.7370106596</v>
      </c>
      <c r="AD1580" s="2">
        <f t="shared" ca="1" si="1516"/>
        <v>7066461.1337150112</v>
      </c>
      <c r="AE1580" s="2">
        <f t="shared" ca="1" si="1517"/>
        <v>7251770.8846287038</v>
      </c>
      <c r="AF1580" s="2">
        <f t="shared" ca="1" si="1518"/>
        <v>1011654.775772491</v>
      </c>
      <c r="AG1580" s="2">
        <f t="shared" ca="1" si="1519"/>
        <v>1038184.2494314638</v>
      </c>
      <c r="AH1580" s="2">
        <f t="shared" ca="1" si="1520"/>
        <v>1065409.4277808876</v>
      </c>
      <c r="AI1580" s="2">
        <f t="shared" ca="1" si="1521"/>
        <v>1093348.5548697223</v>
      </c>
      <c r="AJ1580" s="2">
        <f t="shared" ca="1" si="1522"/>
        <v>1122020.3531759614</v>
      </c>
      <c r="AK1580" s="2">
        <f t="shared" ca="1" si="1523"/>
        <v>0</v>
      </c>
      <c r="AL1580" s="2">
        <f t="shared" ca="1" si="1524"/>
        <v>13264.736829486415</v>
      </c>
      <c r="AM1580" s="2">
        <f t="shared" ca="1" si="1525"/>
        <v>13612.589174711928</v>
      </c>
      <c r="AN1580" s="2">
        <f t="shared" ca="1" si="1526"/>
        <v>13969.563544417397</v>
      </c>
      <c r="AO1580" s="2">
        <f t="shared" ca="1" si="1527"/>
        <v>14335.899153119475</v>
      </c>
      <c r="AP1580" s="2">
        <f t="shared" ca="1" si="1528"/>
        <v>2202691.7295616851</v>
      </c>
      <c r="AQ1580" s="2">
        <f t="shared" ca="1" si="1529"/>
        <v>829464.89396314998</v>
      </c>
      <c r="AR1580" s="2">
        <f t="shared" ca="1" si="1530"/>
        <v>901953.18449301028</v>
      </c>
      <c r="AS1580" s="2">
        <f t="shared" ca="1" si="1531"/>
        <v>940624.25071370276</v>
      </c>
      <c r="AT1580" s="2">
        <f t="shared" ca="1" si="1532"/>
        <v>980309.42081373697</v>
      </c>
      <c r="AU1580" s="2">
        <f t="shared" ca="1" si="1533"/>
        <v>1021035.2884916749</v>
      </c>
      <c r="AV1580" s="2">
        <f t="shared" ca="1" si="1534"/>
        <v>2360784.6982028116</v>
      </c>
      <c r="AW1580" s="2">
        <f t="shared" ca="1" si="1535"/>
        <v>2553832.7882660045</v>
      </c>
      <c r="AX1580" s="2">
        <f t="shared" ca="1" si="1536"/>
        <v>2663548.7397796731</v>
      </c>
      <c r="AY1580" s="2">
        <f t="shared" ca="1" si="1537"/>
        <v>2776141.8649254492</v>
      </c>
      <c r="AZ1580" s="2">
        <f t="shared" ca="1" si="1538"/>
        <v>2891687.6142462627</v>
      </c>
      <c r="BA1580" s="2">
        <f t="shared" ca="1" si="1539"/>
        <v>48745023.73727791</v>
      </c>
      <c r="BB1580" s="2">
        <f t="shared" ca="1" si="1540"/>
        <v>974900.47474555823</v>
      </c>
      <c r="BC1580" s="2">
        <f t="shared" ca="1" si="1541"/>
        <v>23295770.711846963</v>
      </c>
      <c r="BD1580" s="2">
        <f t="shared" ca="1" si="1542"/>
        <v>-17835999.72340215</v>
      </c>
      <c r="BE1580" s="2">
        <f t="shared" ca="1" si="1543"/>
        <v>2360784.6982028116</v>
      </c>
      <c r="BF1580" s="2">
        <f t="shared" ca="1" si="1544"/>
        <v>2553832.7882660045</v>
      </c>
      <c r="BG1580" s="2">
        <f t="shared" ca="1" si="1545"/>
        <v>2663548.7397796731</v>
      </c>
      <c r="BH1580" s="2">
        <f t="shared" ca="1" si="1546"/>
        <v>2776141.8649254492</v>
      </c>
      <c r="BI1580" s="2">
        <f t="shared" ca="1" si="1547"/>
        <v>26187458.326093227</v>
      </c>
      <c r="BJ1580" s="2">
        <f t="shared" ca="1" si="1548"/>
        <v>0.18815886146407679</v>
      </c>
      <c r="BK1580" s="2">
        <f t="shared" ca="1" si="1549"/>
        <v>4827360.482907813</v>
      </c>
    </row>
    <row r="1581" spans="1:63" x14ac:dyDescent="0.3">
      <c r="A1581" s="2">
        <v>1580</v>
      </c>
      <c r="B1581" s="2">
        <f t="shared" ca="1" si="1488"/>
        <v>0.68944992834790575</v>
      </c>
      <c r="C1581" s="2">
        <f t="shared" ca="1" si="1489"/>
        <v>7.2119009305270128</v>
      </c>
      <c r="D1581" s="2">
        <f t="shared" ca="1" si="1490"/>
        <v>0.11237038329002369</v>
      </c>
      <c r="E1581" s="2">
        <f t="shared" ca="1" si="1491"/>
        <v>6.9740683142544411</v>
      </c>
      <c r="F1581" s="2">
        <f t="shared" ca="1" si="1492"/>
        <v>0.6483783923605192</v>
      </c>
      <c r="G1581" s="2">
        <f t="shared" ca="1" si="1493"/>
        <v>5.1428384165815369E-2</v>
      </c>
      <c r="H1581" s="2">
        <f t="shared" ca="1" si="1494"/>
        <v>5.1428384165815369E-2</v>
      </c>
      <c r="I1581" s="2">
        <f t="shared" ca="1" si="1495"/>
        <v>0.50360761580015101</v>
      </c>
      <c r="J1581" s="2">
        <f t="shared" ca="1" si="1496"/>
        <v>1.0045215375100267E-2</v>
      </c>
      <c r="K1581" s="2">
        <f t="shared" ca="1" si="1497"/>
        <v>1.0045215375100267E-2</v>
      </c>
      <c r="L1581" s="2">
        <f t="shared" ca="1" si="1498"/>
        <v>0.83377109119308779</v>
      </c>
      <c r="M1581" s="2">
        <f t="shared" ca="1" si="1499"/>
        <v>1.9383502593090986E-2</v>
      </c>
      <c r="N1581" s="2">
        <f t="shared" ca="1" si="1500"/>
        <v>1.9383502593090986E-2</v>
      </c>
      <c r="O1581" s="2">
        <f t="shared" si="1501"/>
        <v>6000000</v>
      </c>
      <c r="P1581" s="2">
        <f t="shared" ca="1" si="1502"/>
        <v>43271405.583162077</v>
      </c>
      <c r="Q1581" s="2">
        <f t="shared" ca="1" si="1503"/>
        <v>1081785.1395790519</v>
      </c>
      <c r="R1581" s="2">
        <f t="shared" ca="1" si="1504"/>
        <v>25962843.349897247</v>
      </c>
      <c r="S1581" s="2">
        <f t="shared" ca="1" si="1505"/>
        <v>17308562.23326483</v>
      </c>
      <c r="T1581" s="2">
        <f t="shared" ca="1" si="1506"/>
        <v>50969175.129654557</v>
      </c>
      <c r="U1581" s="2">
        <f t="shared" ca="1" si="1507"/>
        <v>53590437.448837154</v>
      </c>
      <c r="V1581" s="2">
        <f t="shared" ca="1" si="1508"/>
        <v>56346507.053570054</v>
      </c>
      <c r="W1581" s="2">
        <f t="shared" ca="1" si="1509"/>
        <v>59244316.864722885</v>
      </c>
      <c r="X1581" s="2">
        <f t="shared" ca="1" si="1510"/>
        <v>62291156.352083154</v>
      </c>
      <c r="Y1581" s="2">
        <f t="shared" ca="1" si="1511"/>
        <v>0.12502260768755014</v>
      </c>
      <c r="Z1581" s="2">
        <f t="shared" ca="1" si="1512"/>
        <v>0.12703165076257017</v>
      </c>
      <c r="AA1581" s="2">
        <f t="shared" ca="1" si="1513"/>
        <v>6372299.1863928391</v>
      </c>
      <c r="AB1581" s="2">
        <f t="shared" ca="1" si="1514"/>
        <v>6807681.7342140432</v>
      </c>
      <c r="AC1581" s="2">
        <f t="shared" ca="1" si="1515"/>
        <v>7157789.8057198077</v>
      </c>
      <c r="AD1581" s="2">
        <f t="shared" ca="1" si="1516"/>
        <v>7525903.3696265239</v>
      </c>
      <c r="AE1581" s="2">
        <f t="shared" ca="1" si="1517"/>
        <v>7912948.4193144813</v>
      </c>
      <c r="AF1581" s="2">
        <f t="shared" ca="1" si="1518"/>
        <v>1019383.5025930911</v>
      </c>
      <c r="AG1581" s="2">
        <f t="shared" ca="1" si="1519"/>
        <v>1071808.7489767431</v>
      </c>
      <c r="AH1581" s="2">
        <f t="shared" ca="1" si="1520"/>
        <v>1126930.1410714011</v>
      </c>
      <c r="AI1581" s="2">
        <f t="shared" ca="1" si="1521"/>
        <v>1184886.3372944577</v>
      </c>
      <c r="AJ1581" s="2">
        <f t="shared" ca="1" si="1522"/>
        <v>1245823.127041663</v>
      </c>
      <c r="AK1581" s="2">
        <f t="shared" ca="1" si="1523"/>
        <v>0</v>
      </c>
      <c r="AL1581" s="2">
        <f t="shared" ca="1" si="1524"/>
        <v>26212.623191825973</v>
      </c>
      <c r="AM1581" s="2">
        <f t="shared" ca="1" si="1525"/>
        <v>27560.696047329009</v>
      </c>
      <c r="AN1581" s="2">
        <f t="shared" ca="1" si="1526"/>
        <v>28978.098111528307</v>
      </c>
      <c r="AO1581" s="2">
        <f t="shared" ca="1" si="1527"/>
        <v>30468.39487360269</v>
      </c>
      <c r="AP1581" s="2">
        <f t="shared" ca="1" si="1528"/>
        <v>2336655.9014907521</v>
      </c>
      <c r="AQ1581" s="2">
        <f t="shared" ca="1" si="1529"/>
        <v>784227.54340033908</v>
      </c>
      <c r="AR1581" s="2">
        <f t="shared" ca="1" si="1530"/>
        <v>883796.44177410263</v>
      </c>
      <c r="AS1581" s="2">
        <f t="shared" ca="1" si="1531"/>
        <v>960492.97842099005</v>
      </c>
      <c r="AT1581" s="2">
        <f t="shared" ca="1" si="1532"/>
        <v>1041133.8940187418</v>
      </c>
      <c r="AU1581" s="2">
        <f t="shared" ca="1" si="1533"/>
        <v>1125922.041603337</v>
      </c>
      <c r="AV1581" s="2">
        <f t="shared" ca="1" si="1534"/>
        <v>2232032.2389086573</v>
      </c>
      <c r="AW1581" s="2">
        <f t="shared" ca="1" si="1535"/>
        <v>2489208.0187806194</v>
      </c>
      <c r="AX1581" s="2">
        <f t="shared" ca="1" si="1536"/>
        <v>2706150.0886893342</v>
      </c>
      <c r="AY1581" s="2">
        <f t="shared" ca="1" si="1537"/>
        <v>2934249.1387110441</v>
      </c>
      <c r="AZ1581" s="2">
        <f t="shared" ca="1" si="1538"/>
        <v>3174078.9543051268</v>
      </c>
      <c r="BA1581" s="2">
        <f t="shared" ca="1" si="1539"/>
        <v>55185442.843470886</v>
      </c>
      <c r="BB1581" s="2">
        <f t="shared" ca="1" si="1540"/>
        <v>1103708.8568694177</v>
      </c>
      <c r="BC1581" s="2">
        <f t="shared" ca="1" si="1541"/>
        <v>28118890.636704221</v>
      </c>
      <c r="BD1581" s="2">
        <f t="shared" ca="1" si="1542"/>
        <v>-18890347.37284388</v>
      </c>
      <c r="BE1581" s="2">
        <f t="shared" ca="1" si="1543"/>
        <v>2232032.2389086573</v>
      </c>
      <c r="BF1581" s="2">
        <f t="shared" ca="1" si="1544"/>
        <v>2489208.0187806194</v>
      </c>
      <c r="BG1581" s="2">
        <f t="shared" ca="1" si="1545"/>
        <v>2706150.0886893342</v>
      </c>
      <c r="BH1581" s="2">
        <f t="shared" ca="1" si="1546"/>
        <v>2934249.1387110441</v>
      </c>
      <c r="BI1581" s="2">
        <f t="shared" ca="1" si="1547"/>
        <v>31292969.591009349</v>
      </c>
      <c r="BJ1581" s="2">
        <f t="shared" ca="1" si="1548"/>
        <v>0.20393644087538498</v>
      </c>
      <c r="BK1581" s="2">
        <f t="shared" ca="1" si="1549"/>
        <v>6634343.8433423713</v>
      </c>
    </row>
    <row r="1582" spans="1:63" x14ac:dyDescent="0.3">
      <c r="A1582" s="2">
        <v>1581</v>
      </c>
      <c r="B1582" s="2">
        <f t="shared" ca="1" si="1488"/>
        <v>0.97908818818347809</v>
      </c>
      <c r="C1582" s="2">
        <f t="shared" ca="1" si="1489"/>
        <v>7.7954917516747946</v>
      </c>
      <c r="D1582" s="2">
        <f t="shared" ca="1" si="1490"/>
        <v>0.84079643180643349</v>
      </c>
      <c r="E1582" s="2">
        <f t="shared" ca="1" si="1491"/>
        <v>7.9357242372854095</v>
      </c>
      <c r="F1582" s="2">
        <f t="shared" ca="1" si="1492"/>
        <v>0.49714275522865281</v>
      </c>
      <c r="G1582" s="2">
        <f t="shared" ca="1" si="1493"/>
        <v>3.9785136647139251E-2</v>
      </c>
      <c r="H1582" s="2">
        <f t="shared" ca="1" si="1494"/>
        <v>3.9785136647139251E-2</v>
      </c>
      <c r="I1582" s="2">
        <f t="shared" ca="1" si="1495"/>
        <v>0.78120745106803235</v>
      </c>
      <c r="J1582" s="2">
        <f t="shared" ca="1" si="1496"/>
        <v>1.3881387984904006E-2</v>
      </c>
      <c r="K1582" s="2">
        <f t="shared" ca="1" si="1497"/>
        <v>1.3881387984904006E-2</v>
      </c>
      <c r="L1582" s="2">
        <f t="shared" ca="1" si="1498"/>
        <v>0.55734171307254143</v>
      </c>
      <c r="M1582" s="2">
        <f t="shared" ca="1" si="1499"/>
        <v>2.8846577025727137E-3</v>
      </c>
      <c r="N1582" s="2">
        <f t="shared" ca="1" si="1500"/>
        <v>2.8846577025727137E-3</v>
      </c>
      <c r="O1582" s="2">
        <f t="shared" si="1501"/>
        <v>6000000</v>
      </c>
      <c r="P1582" s="2">
        <f t="shared" ca="1" si="1502"/>
        <v>46772950.510048769</v>
      </c>
      <c r="Q1582" s="2">
        <f t="shared" ca="1" si="1503"/>
        <v>1169323.7627512193</v>
      </c>
      <c r="R1582" s="2">
        <f t="shared" ca="1" si="1504"/>
        <v>28063770.30602926</v>
      </c>
      <c r="S1582" s="2">
        <f t="shared" ca="1" si="1505"/>
        <v>18709180.204019509</v>
      </c>
      <c r="T1582" s="2">
        <f t="shared" ca="1" si="1506"/>
        <v>50144232.88512864</v>
      </c>
      <c r="U1582" s="2">
        <f t="shared" ca="1" si="1507"/>
        <v>52139228.042529464</v>
      </c>
      <c r="V1582" s="2">
        <f t="shared" ca="1" si="1508"/>
        <v>54213594.354877859</v>
      </c>
      <c r="W1582" s="2">
        <f t="shared" ca="1" si="1509"/>
        <v>56370489.614419259</v>
      </c>
      <c r="X1582" s="2">
        <f t="shared" ca="1" si="1510"/>
        <v>58613197.246595077</v>
      </c>
      <c r="Y1582" s="2">
        <f t="shared" ca="1" si="1511"/>
        <v>0.126940693992452</v>
      </c>
      <c r="Z1582" s="2">
        <f t="shared" ca="1" si="1512"/>
        <v>0.12971697158943279</v>
      </c>
      <c r="AA1582" s="2">
        <f t="shared" ca="1" si="1513"/>
        <v>6365343.7221573628</v>
      </c>
      <c r="AB1582" s="2">
        <f t="shared" ca="1" si="1514"/>
        <v>6763342.762687752</v>
      </c>
      <c r="AC1582" s="2">
        <f t="shared" ca="1" si="1515"/>
        <v>7032423.2786927251</v>
      </c>
      <c r="AD1582" s="2">
        <f t="shared" ca="1" si="1516"/>
        <v>7312209.1997960396</v>
      </c>
      <c r="AE1582" s="2">
        <f t="shared" ca="1" si="1517"/>
        <v>7603126.4420023942</v>
      </c>
      <c r="AF1582" s="2">
        <f t="shared" ca="1" si="1518"/>
        <v>1002884.6577025728</v>
      </c>
      <c r="AG1582" s="2">
        <f t="shared" ca="1" si="1519"/>
        <v>1042784.5608505893</v>
      </c>
      <c r="AH1582" s="2">
        <f t="shared" ca="1" si="1520"/>
        <v>1084271.8870975573</v>
      </c>
      <c r="AI1582" s="2">
        <f t="shared" ca="1" si="1521"/>
        <v>1127409.7922883851</v>
      </c>
      <c r="AJ1582" s="2">
        <f t="shared" ca="1" si="1522"/>
        <v>1172263.9449319015</v>
      </c>
      <c r="AK1582" s="2">
        <f t="shared" ca="1" si="1523"/>
        <v>0</v>
      </c>
      <c r="AL1582" s="2">
        <f t="shared" ca="1" si="1524"/>
        <v>19949.951574008242</v>
      </c>
      <c r="AM1582" s="2">
        <f t="shared" ca="1" si="1525"/>
        <v>20743.663123483955</v>
      </c>
      <c r="AN1582" s="2">
        <f t="shared" ca="1" si="1526"/>
        <v>21568.952595413997</v>
      </c>
      <c r="AO1582" s="2">
        <f t="shared" ca="1" si="1527"/>
        <v>22427.076321758181</v>
      </c>
      <c r="AP1582" s="2">
        <f t="shared" ca="1" si="1528"/>
        <v>2525739.3275426333</v>
      </c>
      <c r="AQ1582" s="2">
        <f t="shared" ca="1" si="1529"/>
        <v>737547.13159716083</v>
      </c>
      <c r="AR1582" s="2">
        <f t="shared" ca="1" si="1530"/>
        <v>830652.90731657762</v>
      </c>
      <c r="AS1582" s="2">
        <f t="shared" ca="1" si="1531"/>
        <v>889827.13665365905</v>
      </c>
      <c r="AT1582" s="2">
        <f t="shared" ca="1" si="1532"/>
        <v>951355.62079090544</v>
      </c>
      <c r="AU1582" s="2">
        <f t="shared" ca="1" si="1533"/>
        <v>1015332.0240772436</v>
      </c>
      <c r="AV1582" s="2">
        <f t="shared" ca="1" si="1534"/>
        <v>2099172.6053149956</v>
      </c>
      <c r="AW1582" s="2">
        <f t="shared" ca="1" si="1535"/>
        <v>2344216.0154039436</v>
      </c>
      <c r="AX1582" s="2">
        <f t="shared" ca="1" si="1536"/>
        <v>2511841.2642753921</v>
      </c>
      <c r="AY1582" s="2">
        <f t="shared" ca="1" si="1537"/>
        <v>2686135.506578702</v>
      </c>
      <c r="AZ1582" s="2">
        <f t="shared" ca="1" si="1538"/>
        <v>2867364.0691288575</v>
      </c>
      <c r="BA1582" s="2">
        <f t="shared" ca="1" si="1539"/>
        <v>60336314.784943983</v>
      </c>
      <c r="BB1582" s="2">
        <f t="shared" ca="1" si="1540"/>
        <v>1206726.2956988798</v>
      </c>
      <c r="BC1582" s="2">
        <f t="shared" ca="1" si="1541"/>
        <v>31065818.183215842</v>
      </c>
      <c r="BD1582" s="2">
        <f t="shared" ca="1" si="1542"/>
        <v>-20378503.966770727</v>
      </c>
      <c r="BE1582" s="2">
        <f t="shared" ca="1" si="1543"/>
        <v>2099172.6053149956</v>
      </c>
      <c r="BF1582" s="2">
        <f t="shared" ca="1" si="1544"/>
        <v>2344216.0154039436</v>
      </c>
      <c r="BG1582" s="2">
        <f t="shared" ca="1" si="1545"/>
        <v>2511841.2642753921</v>
      </c>
      <c r="BH1582" s="2">
        <f t="shared" ca="1" si="1546"/>
        <v>2686135.506578702</v>
      </c>
      <c r="BI1582" s="2">
        <f t="shared" ca="1" si="1547"/>
        <v>33933182.252344698</v>
      </c>
      <c r="BJ1582" s="2">
        <f t="shared" ca="1" si="1548"/>
        <v>0.19125798928691018</v>
      </c>
      <c r="BK1582" s="2">
        <f t="shared" ca="1" si="1549"/>
        <v>6114117.5261157751</v>
      </c>
    </row>
    <row r="1583" spans="1:63" x14ac:dyDescent="0.3">
      <c r="A1583" s="2">
        <v>1582</v>
      </c>
      <c r="B1583" s="2">
        <f t="shared" ca="1" si="1488"/>
        <v>0.38541282318896009</v>
      </c>
      <c r="C1583" s="2">
        <f t="shared" ca="1" si="1489"/>
        <v>6.8779667683790313</v>
      </c>
      <c r="D1583" s="2">
        <f t="shared" ca="1" si="1490"/>
        <v>3.7109907009603149E-2</v>
      </c>
      <c r="E1583" s="2">
        <f t="shared" ca="1" si="1491"/>
        <v>6.7724331367862698</v>
      </c>
      <c r="F1583" s="2">
        <f t="shared" ca="1" si="1492"/>
        <v>0.53715866258407952</v>
      </c>
      <c r="G1583" s="2">
        <f t="shared" ca="1" si="1493"/>
        <v>4.2798341302691625E-2</v>
      </c>
      <c r="H1583" s="2">
        <f t="shared" ca="1" si="1494"/>
        <v>4.2798341302691625E-2</v>
      </c>
      <c r="I1583" s="2">
        <f t="shared" ca="1" si="1495"/>
        <v>0.61091774758929929</v>
      </c>
      <c r="J1583" s="2">
        <f t="shared" ca="1" si="1496"/>
        <v>1.1408559005832456E-2</v>
      </c>
      <c r="K1583" s="2">
        <f t="shared" ca="1" si="1497"/>
        <v>1.1408559005832456E-2</v>
      </c>
      <c r="L1583" s="2">
        <f t="shared" ca="1" si="1498"/>
        <v>0.72860003867997658</v>
      </c>
      <c r="M1583" s="2">
        <f t="shared" ca="1" si="1499"/>
        <v>1.2171688742269836E-2</v>
      </c>
      <c r="N1583" s="2">
        <f t="shared" ca="1" si="1500"/>
        <v>1.2171688742269836E-2</v>
      </c>
      <c r="O1583" s="2">
        <f t="shared" si="1501"/>
        <v>6000000</v>
      </c>
      <c r="P1583" s="2">
        <f t="shared" ca="1" si="1502"/>
        <v>41267800.610274188</v>
      </c>
      <c r="Q1583" s="2">
        <f t="shared" ca="1" si="1503"/>
        <v>1031695.0152568547</v>
      </c>
      <c r="R1583" s="2">
        <f t="shared" ca="1" si="1504"/>
        <v>24760680.366164513</v>
      </c>
      <c r="S1583" s="2">
        <f t="shared" ca="1" si="1505"/>
        <v>16507120.244109675</v>
      </c>
      <c r="T1583" s="2">
        <f t="shared" ca="1" si="1506"/>
        <v>50608584.437113494</v>
      </c>
      <c r="U1583" s="2">
        <f t="shared" ca="1" si="1507"/>
        <v>52774547.906699158</v>
      </c>
      <c r="V1583" s="2">
        <f t="shared" ca="1" si="1508"/>
        <v>55033211.020105317</v>
      </c>
      <c r="W1583" s="2">
        <f t="shared" ca="1" si="1509"/>
        <v>57388541.168326832</v>
      </c>
      <c r="X1583" s="2">
        <f t="shared" ca="1" si="1510"/>
        <v>59844675.540112451</v>
      </c>
      <c r="Y1583" s="2">
        <f t="shared" ca="1" si="1511"/>
        <v>0.12570427950291621</v>
      </c>
      <c r="Z1583" s="2">
        <f t="shared" ca="1" si="1512"/>
        <v>0.12798599130408272</v>
      </c>
      <c r="AA1583" s="2">
        <f t="shared" ca="1" si="1513"/>
        <v>6361715.6433298504</v>
      </c>
      <c r="AB1583" s="2">
        <f t="shared" ca="1" si="1514"/>
        <v>6754402.8294636952</v>
      </c>
      <c r="AC1583" s="2">
        <f t="shared" ca="1" si="1515"/>
        <v>7043480.0670549488</v>
      </c>
      <c r="AD1583" s="2">
        <f t="shared" ca="1" si="1516"/>
        <v>7344929.3309234716</v>
      </c>
      <c r="AE1583" s="2">
        <f t="shared" ca="1" si="1517"/>
        <v>7659280.1232724842</v>
      </c>
      <c r="AF1583" s="2">
        <f t="shared" ca="1" si="1518"/>
        <v>1012171.6887422699</v>
      </c>
      <c r="AG1583" s="2">
        <f t="shared" ca="1" si="1519"/>
        <v>1055490.9581339832</v>
      </c>
      <c r="AH1583" s="2">
        <f t="shared" ca="1" si="1520"/>
        <v>1100664.2204021064</v>
      </c>
      <c r="AI1583" s="2">
        <f t="shared" ca="1" si="1521"/>
        <v>1147770.8233665368</v>
      </c>
      <c r="AJ1583" s="2">
        <f t="shared" ca="1" si="1522"/>
        <v>1196893.510802249</v>
      </c>
      <c r="AK1583" s="2">
        <f t="shared" ca="1" si="1523"/>
        <v>0</v>
      </c>
      <c r="AL1583" s="2">
        <f t="shared" ca="1" si="1524"/>
        <v>21659.634695856646</v>
      </c>
      <c r="AM1583" s="2">
        <f t="shared" ca="1" si="1525"/>
        <v>22586.63113406159</v>
      </c>
      <c r="AN1583" s="2">
        <f t="shared" ca="1" si="1526"/>
        <v>23553.301482215153</v>
      </c>
      <c r="AO1583" s="2">
        <f t="shared" ca="1" si="1527"/>
        <v>24561.343717856184</v>
      </c>
      <c r="AP1583" s="2">
        <f t="shared" ca="1" si="1528"/>
        <v>2228461.2329548062</v>
      </c>
      <c r="AQ1583" s="2">
        <f t="shared" ca="1" si="1529"/>
        <v>811481.50762452139</v>
      </c>
      <c r="AR1583" s="2">
        <f t="shared" ca="1" si="1530"/>
        <v>902317.16597747547</v>
      </c>
      <c r="AS1583" s="2">
        <f t="shared" ca="1" si="1531"/>
        <v>965732.1995614894</v>
      </c>
      <c r="AT1583" s="2">
        <f t="shared" ca="1" si="1532"/>
        <v>1031861.2913965535</v>
      </c>
      <c r="AU1583" s="2">
        <f t="shared" ca="1" si="1533"/>
        <v>1100820.5986740119</v>
      </c>
      <c r="AV1583" s="2">
        <f t="shared" ca="1" si="1534"/>
        <v>2309601.2140082526</v>
      </c>
      <c r="AW1583" s="2">
        <f t="shared" ca="1" si="1535"/>
        <v>2546473.8377015735</v>
      </c>
      <c r="AX1583" s="2">
        <f t="shared" ca="1" si="1536"/>
        <v>2726035.7830024851</v>
      </c>
      <c r="AY1583" s="2">
        <f t="shared" ca="1" si="1537"/>
        <v>2913282.6817233595</v>
      </c>
      <c r="AZ1583" s="2">
        <f t="shared" ca="1" si="1538"/>
        <v>3108543.4371235608</v>
      </c>
      <c r="BA1583" s="2">
        <f t="shared" ca="1" si="1539"/>
        <v>51871962.510779001</v>
      </c>
      <c r="BB1583" s="2">
        <f t="shared" ca="1" si="1540"/>
        <v>1037439.25021558</v>
      </c>
      <c r="BC1583" s="2">
        <f t="shared" ca="1" si="1541"/>
        <v>26073842.894398909</v>
      </c>
      <c r="BD1583" s="2">
        <f t="shared" ca="1" si="1542"/>
        <v>-18038815.259366531</v>
      </c>
      <c r="BE1583" s="2">
        <f t="shared" ca="1" si="1543"/>
        <v>2309601.2140082526</v>
      </c>
      <c r="BF1583" s="2">
        <f t="shared" ca="1" si="1544"/>
        <v>2546473.8377015735</v>
      </c>
      <c r="BG1583" s="2">
        <f t="shared" ca="1" si="1545"/>
        <v>2726035.7830024851</v>
      </c>
      <c r="BH1583" s="2">
        <f t="shared" ca="1" si="1546"/>
        <v>2913282.6817233595</v>
      </c>
      <c r="BI1583" s="2">
        <f t="shared" ca="1" si="1547"/>
        <v>29182386.331522468</v>
      </c>
      <c r="BJ1583" s="2">
        <f t="shared" ca="1" si="1548"/>
        <v>0.20595586515550579</v>
      </c>
      <c r="BK1583" s="2">
        <f t="shared" ca="1" si="1549"/>
        <v>6404013.989845667</v>
      </c>
    </row>
    <row r="1584" spans="1:63" x14ac:dyDescent="0.3">
      <c r="A1584" s="2">
        <v>1583</v>
      </c>
      <c r="B1584" s="2">
        <f t="shared" ca="1" si="1488"/>
        <v>0.66596131178334828</v>
      </c>
      <c r="C1584" s="2">
        <f t="shared" ca="1" si="1489"/>
        <v>7.1826399958198941</v>
      </c>
      <c r="D1584" s="2">
        <f t="shared" ca="1" si="1490"/>
        <v>0.57001017820170496</v>
      </c>
      <c r="E1584" s="2">
        <f t="shared" ca="1" si="1491"/>
        <v>7.5726491259525393</v>
      </c>
      <c r="F1584" s="2">
        <f t="shared" ca="1" si="1492"/>
        <v>0.62672201588619592</v>
      </c>
      <c r="G1584" s="2">
        <f t="shared" ca="1" si="1493"/>
        <v>4.9695517195681202E-2</v>
      </c>
      <c r="H1584" s="2">
        <f t="shared" ca="1" si="1494"/>
        <v>4.9695517195681202E-2</v>
      </c>
      <c r="I1584" s="2">
        <f t="shared" ca="1" si="1495"/>
        <v>0.41679885585537113</v>
      </c>
      <c r="J1584" s="2">
        <f t="shared" ca="1" si="1496"/>
        <v>8.9495518037211366E-3</v>
      </c>
      <c r="K1584" s="2">
        <f t="shared" ca="1" si="1497"/>
        <v>8.9495518037211366E-3</v>
      </c>
      <c r="L1584" s="2">
        <f t="shared" ca="1" si="1498"/>
        <v>0.84626817916961716</v>
      </c>
      <c r="M1584" s="2">
        <f t="shared" ca="1" si="1499"/>
        <v>2.0411170765402779E-2</v>
      </c>
      <c r="N1584" s="2">
        <f t="shared" ca="1" si="1500"/>
        <v>2.0411170765402779E-2</v>
      </c>
      <c r="O1584" s="2">
        <f t="shared" si="1501"/>
        <v>6000000</v>
      </c>
      <c r="P1584" s="2">
        <f t="shared" ca="1" si="1502"/>
        <v>43095839.974919364</v>
      </c>
      <c r="Q1584" s="2">
        <f t="shared" ca="1" si="1503"/>
        <v>1077395.999372984</v>
      </c>
      <c r="R1584" s="2">
        <f t="shared" ca="1" si="1504"/>
        <v>25857503.984951619</v>
      </c>
      <c r="S1584" s="2">
        <f t="shared" ca="1" si="1505"/>
        <v>17238335.989967745</v>
      </c>
      <c r="T1584" s="2">
        <f t="shared" ca="1" si="1506"/>
        <v>51020558.538270146</v>
      </c>
      <c r="U1584" s="2">
        <f t="shared" ca="1" si="1507"/>
        <v>53556051.582442008</v>
      </c>
      <c r="V1584" s="2">
        <f t="shared" ca="1" si="1508"/>
        <v>56217547.264790043</v>
      </c>
      <c r="W1584" s="2">
        <f t="shared" ca="1" si="1509"/>
        <v>59011307.351586439</v>
      </c>
      <c r="X1584" s="2">
        <f t="shared" ca="1" si="1510"/>
        <v>61943904.790816829</v>
      </c>
      <c r="Y1584" s="2">
        <f t="shared" ca="1" si="1511"/>
        <v>0.12447477590186057</v>
      </c>
      <c r="Z1584" s="2">
        <f t="shared" ca="1" si="1512"/>
        <v>0.12626468626260479</v>
      </c>
      <c r="AA1584" s="2">
        <f t="shared" ca="1" si="1513"/>
        <v>6350772.590438935</v>
      </c>
      <c r="AB1584" s="2">
        <f t="shared" ca="1" si="1514"/>
        <v>6762238.0505209183</v>
      </c>
      <c r="AC1584" s="2">
        <f t="shared" ca="1" si="1515"/>
        <v>7098290.9678418711</v>
      </c>
      <c r="AD1584" s="2">
        <f t="shared" ca="1" si="1516"/>
        <v>7451044.2086942047</v>
      </c>
      <c r="AE1584" s="2">
        <f t="shared" ca="1" si="1517"/>
        <v>7821327.7042931486</v>
      </c>
      <c r="AF1584" s="2">
        <f t="shared" ca="1" si="1518"/>
        <v>1020411.170765403</v>
      </c>
      <c r="AG1584" s="2">
        <f t="shared" ca="1" si="1519"/>
        <v>1071121.0316488403</v>
      </c>
      <c r="AH1584" s="2">
        <f t="shared" ca="1" si="1520"/>
        <v>1124350.9452958009</v>
      </c>
      <c r="AI1584" s="2">
        <f t="shared" ca="1" si="1521"/>
        <v>1180226.1470317289</v>
      </c>
      <c r="AJ1584" s="2">
        <f t="shared" ca="1" si="1522"/>
        <v>1238878.0958163366</v>
      </c>
      <c r="AK1584" s="2">
        <f t="shared" ca="1" si="1523"/>
        <v>0</v>
      </c>
      <c r="AL1584" s="2">
        <f t="shared" ca="1" si="1524"/>
        <v>25354.930441718625</v>
      </c>
      <c r="AM1584" s="2">
        <f t="shared" ca="1" si="1525"/>
        <v>26614.956823480352</v>
      </c>
      <c r="AN1584" s="2">
        <f t="shared" ca="1" si="1526"/>
        <v>27937.600867963956</v>
      </c>
      <c r="AO1584" s="2">
        <f t="shared" ca="1" si="1527"/>
        <v>29325.974392303899</v>
      </c>
      <c r="AP1584" s="2">
        <f t="shared" ca="1" si="1528"/>
        <v>2327175.3586456454</v>
      </c>
      <c r="AQ1584" s="2">
        <f t="shared" ca="1" si="1529"/>
        <v>780828.37586725061</v>
      </c>
      <c r="AR1584" s="2">
        <f t="shared" ca="1" si="1530"/>
        <v>874624.83165887266</v>
      </c>
      <c r="AS1584" s="2">
        <f t="shared" ca="1" si="1531"/>
        <v>948158.8126141103</v>
      </c>
      <c r="AT1584" s="2">
        <f t="shared" ca="1" si="1532"/>
        <v>1025347.1027843759</v>
      </c>
      <c r="AU1584" s="2">
        <f t="shared" ca="1" si="1533"/>
        <v>1106371.3049561032</v>
      </c>
      <c r="AV1584" s="2">
        <f t="shared" ca="1" si="1534"/>
        <v>2222357.6851606364</v>
      </c>
      <c r="AW1584" s="2">
        <f t="shared" ca="1" si="1535"/>
        <v>2463961.8981258417</v>
      </c>
      <c r="AX1584" s="2">
        <f t="shared" ca="1" si="1536"/>
        <v>2671990.8944628336</v>
      </c>
      <c r="AY1584" s="2">
        <f t="shared" ca="1" si="1537"/>
        <v>2890357.9993644902</v>
      </c>
      <c r="AZ1584" s="2">
        <f t="shared" ca="1" si="1538"/>
        <v>3119576.9704827596</v>
      </c>
      <c r="BA1584" s="2">
        <f t="shared" ca="1" si="1539"/>
        <v>59228170.403703891</v>
      </c>
      <c r="BB1584" s="2">
        <f t="shared" ca="1" si="1540"/>
        <v>1184563.4080740779</v>
      </c>
      <c r="BC1584" s="2">
        <f t="shared" ca="1" si="1541"/>
        <v>32186103.010678194</v>
      </c>
      <c r="BD1584" s="2">
        <f t="shared" ca="1" si="1542"/>
        <v>-18815731.98934073</v>
      </c>
      <c r="BE1584" s="2">
        <f t="shared" ca="1" si="1543"/>
        <v>2222357.6851606364</v>
      </c>
      <c r="BF1584" s="2">
        <f t="shared" ca="1" si="1544"/>
        <v>2463961.8981258417</v>
      </c>
      <c r="BG1584" s="2">
        <f t="shared" ca="1" si="1545"/>
        <v>2671990.8944628336</v>
      </c>
      <c r="BH1584" s="2">
        <f t="shared" ca="1" si="1546"/>
        <v>2890357.9993644902</v>
      </c>
      <c r="BI1584" s="2">
        <f t="shared" ca="1" si="1547"/>
        <v>35305679.981160954</v>
      </c>
      <c r="BJ1584" s="2">
        <f t="shared" ca="1" si="1548"/>
        <v>0.22776268305633263</v>
      </c>
      <c r="BK1584" s="2">
        <f t="shared" ca="1" si="1549"/>
        <v>8904907.3669346571</v>
      </c>
    </row>
    <row r="1585" spans="1:63" x14ac:dyDescent="0.3">
      <c r="A1585" s="2">
        <v>1584</v>
      </c>
      <c r="B1585" s="2">
        <f t="shared" ca="1" si="1488"/>
        <v>0.3122618170818322</v>
      </c>
      <c r="C1585" s="2">
        <f t="shared" ca="1" si="1489"/>
        <v>6.7902680774039048</v>
      </c>
      <c r="D1585" s="2">
        <f t="shared" ca="1" si="1490"/>
        <v>0.80173892369628474</v>
      </c>
      <c r="E1585" s="2">
        <f t="shared" ca="1" si="1491"/>
        <v>7.870299950287893</v>
      </c>
      <c r="F1585" s="2">
        <f t="shared" ca="1" si="1492"/>
        <v>9.5570542519291535E-2</v>
      </c>
      <c r="G1585" s="2">
        <f t="shared" ca="1" si="1493"/>
        <v>7.8367215230290554E-4</v>
      </c>
      <c r="H1585" s="2">
        <f t="shared" ca="1" si="1494"/>
        <v>7.8367215230290554E-4</v>
      </c>
      <c r="I1585" s="2">
        <f t="shared" ca="1" si="1495"/>
        <v>0.42498207165722413</v>
      </c>
      <c r="J1585" s="2">
        <f t="shared" ca="1" si="1496"/>
        <v>9.0541791147899266E-3</v>
      </c>
      <c r="K1585" s="2">
        <f t="shared" ca="1" si="1497"/>
        <v>9.0541791147899266E-3</v>
      </c>
      <c r="L1585" s="2">
        <f t="shared" ca="1" si="1498"/>
        <v>0.47934116424434803</v>
      </c>
      <c r="M1585" s="2">
        <f t="shared" ca="1" si="1499"/>
        <v>-1.0361437489674005E-3</v>
      </c>
      <c r="N1585" s="2">
        <f t="shared" ca="1" si="1500"/>
        <v>-1.0361437489674005E-3</v>
      </c>
      <c r="O1585" s="2">
        <f t="shared" si="1501"/>
        <v>6000000</v>
      </c>
      <c r="P1585" s="2">
        <f t="shared" ca="1" si="1502"/>
        <v>40741608.464423425</v>
      </c>
      <c r="Q1585" s="2">
        <f t="shared" ca="1" si="1503"/>
        <v>1018540.2116105857</v>
      </c>
      <c r="R1585" s="2">
        <f t="shared" ca="1" si="1504"/>
        <v>24444965.078654055</v>
      </c>
      <c r="S1585" s="2">
        <f t="shared" ca="1" si="1505"/>
        <v>16296643.385769371</v>
      </c>
      <c r="T1585" s="2">
        <f t="shared" ca="1" si="1506"/>
        <v>49948192.812551625</v>
      </c>
      <c r="U1585" s="2">
        <f t="shared" ca="1" si="1507"/>
        <v>49987335.82031668</v>
      </c>
      <c r="V1585" s="2">
        <f t="shared" ca="1" si="1508"/>
        <v>50026509.503366873</v>
      </c>
      <c r="W1585" s="2">
        <f t="shared" ca="1" si="1509"/>
        <v>50065713.885741577</v>
      </c>
      <c r="X1585" s="2">
        <f t="shared" ca="1" si="1510"/>
        <v>50104948.991498999</v>
      </c>
      <c r="Y1585" s="2">
        <f t="shared" ca="1" si="1511"/>
        <v>0.12452708955739496</v>
      </c>
      <c r="Z1585" s="2">
        <f t="shared" ca="1" si="1512"/>
        <v>0.12633792538035293</v>
      </c>
      <c r="AA1585" s="2">
        <f t="shared" ca="1" si="1513"/>
        <v>6219903.0795986475</v>
      </c>
      <c r="AB1585" s="2">
        <f t="shared" ca="1" si="1514"/>
        <v>6315296.3028298123</v>
      </c>
      <c r="AC1585" s="2">
        <f t="shared" ca="1" si="1515"/>
        <v>6320245.4246758809</v>
      </c>
      <c r="AD1585" s="2">
        <f t="shared" ca="1" si="1516"/>
        <v>6325198.4250109186</v>
      </c>
      <c r="AE1585" s="2">
        <f t="shared" ca="1" si="1517"/>
        <v>6330155.3068743907</v>
      </c>
      <c r="AF1585" s="2">
        <f t="shared" ca="1" si="1518"/>
        <v>998963.85625103256</v>
      </c>
      <c r="AG1585" s="2">
        <f t="shared" ca="1" si="1519"/>
        <v>999746.71640633361</v>
      </c>
      <c r="AH1585" s="2">
        <f t="shared" ca="1" si="1520"/>
        <v>1000530.1900673375</v>
      </c>
      <c r="AI1585" s="2">
        <f t="shared" ca="1" si="1521"/>
        <v>1001314.2777148315</v>
      </c>
      <c r="AJ1585" s="2">
        <f t="shared" ca="1" si="1522"/>
        <v>1002098.9798299801</v>
      </c>
      <c r="AK1585" s="2">
        <f t="shared" ca="1" si="1523"/>
        <v>0</v>
      </c>
      <c r="AL1585" s="2">
        <f t="shared" ca="1" si="1524"/>
        <v>391.43007765054705</v>
      </c>
      <c r="AM1585" s="2">
        <f t="shared" ca="1" si="1525"/>
        <v>391.73683050192892</v>
      </c>
      <c r="AN1585" s="2">
        <f t="shared" ca="1" si="1526"/>
        <v>392.04382374703886</v>
      </c>
      <c r="AO1585" s="2">
        <f t="shared" ca="1" si="1527"/>
        <v>392.35105757422747</v>
      </c>
      <c r="AP1585" s="2">
        <f t="shared" ca="1" si="1528"/>
        <v>2200046.8570788647</v>
      </c>
      <c r="AQ1585" s="2">
        <f t="shared" ca="1" si="1529"/>
        <v>785432.01522987522</v>
      </c>
      <c r="AR1585" s="2">
        <f t="shared" ca="1" si="1530"/>
        <v>810030.7096295997</v>
      </c>
      <c r="AS1585" s="2">
        <f t="shared" ca="1" si="1531"/>
        <v>811113.77815771638</v>
      </c>
      <c r="AT1585" s="2">
        <f t="shared" ca="1" si="1532"/>
        <v>812197.69545647781</v>
      </c>
      <c r="AU1585" s="2">
        <f t="shared" ca="1" si="1533"/>
        <v>813282.46219104202</v>
      </c>
      <c r="AV1585" s="2">
        <f t="shared" ca="1" si="1534"/>
        <v>2235460.3510388755</v>
      </c>
      <c r="AW1585" s="2">
        <f t="shared" ca="1" si="1535"/>
        <v>2305080.5896373638</v>
      </c>
      <c r="AX1585" s="2">
        <f t="shared" ca="1" si="1536"/>
        <v>2308162.86254146</v>
      </c>
      <c r="AY1585" s="2">
        <f t="shared" ca="1" si="1537"/>
        <v>2311247.5509369974</v>
      </c>
      <c r="AZ1585" s="2">
        <f t="shared" ca="1" si="1538"/>
        <v>2314334.6567169302</v>
      </c>
      <c r="BA1585" s="2">
        <f t="shared" ca="1" si="1539"/>
        <v>49820220.99700816</v>
      </c>
      <c r="BB1585" s="2">
        <f t="shared" ca="1" si="1540"/>
        <v>996404.41994016326</v>
      </c>
      <c r="BC1585" s="2">
        <f t="shared" ca="1" si="1541"/>
        <v>24378851.498413943</v>
      </c>
      <c r="BD1585" s="2">
        <f t="shared" ca="1" si="1542"/>
        <v>-17815183.597379956</v>
      </c>
      <c r="BE1585" s="2">
        <f t="shared" ca="1" si="1543"/>
        <v>2235460.3510388755</v>
      </c>
      <c r="BF1585" s="2">
        <f t="shared" ca="1" si="1544"/>
        <v>2305080.5896373638</v>
      </c>
      <c r="BG1585" s="2">
        <f t="shared" ca="1" si="1545"/>
        <v>2308162.86254146</v>
      </c>
      <c r="BH1585" s="2">
        <f t="shared" ca="1" si="1546"/>
        <v>2311247.5509369974</v>
      </c>
      <c r="BI1585" s="2">
        <f t="shared" ca="1" si="1547"/>
        <v>26693186.155130874</v>
      </c>
      <c r="BJ1585" s="2">
        <f t="shared" ca="1" si="1548"/>
        <v>0.17999218982881082</v>
      </c>
      <c r="BK1585" s="2">
        <f t="shared" ca="1" si="1549"/>
        <v>4276534.3036396205</v>
      </c>
    </row>
    <row r="1586" spans="1:63" x14ac:dyDescent="0.3">
      <c r="A1586" s="2">
        <v>1585</v>
      </c>
      <c r="B1586" s="2">
        <f t="shared" ca="1" si="1488"/>
        <v>0.93897964405508261</v>
      </c>
      <c r="C1586" s="2">
        <f t="shared" ca="1" si="1489"/>
        <v>7.6506567420289393</v>
      </c>
      <c r="D1586" s="2">
        <f t="shared" ca="1" si="1490"/>
        <v>0.48083166393978782</v>
      </c>
      <c r="E1586" s="2">
        <f t="shared" ca="1" si="1491"/>
        <v>7.4806443432149985</v>
      </c>
      <c r="F1586" s="2">
        <f t="shared" ca="1" si="1492"/>
        <v>0.60587187828712641</v>
      </c>
      <c r="G1586" s="2">
        <f t="shared" ca="1" si="1493"/>
        <v>4.8057269853315689E-2</v>
      </c>
      <c r="H1586" s="2">
        <f t="shared" ca="1" si="1494"/>
        <v>4.8057269853315689E-2</v>
      </c>
      <c r="I1586" s="2">
        <f t="shared" ca="1" si="1495"/>
        <v>0.84520877486760648</v>
      </c>
      <c r="J1586" s="2">
        <f t="shared" ca="1" si="1496"/>
        <v>1.5080492846799212E-2</v>
      </c>
      <c r="K1586" s="2">
        <f t="shared" ca="1" si="1497"/>
        <v>1.5080492846799212E-2</v>
      </c>
      <c r="L1586" s="2">
        <f t="shared" ca="1" si="1498"/>
        <v>0.19294409808031343</v>
      </c>
      <c r="M1586" s="2">
        <f t="shared" ca="1" si="1499"/>
        <v>-1.7341964387382437E-2</v>
      </c>
      <c r="N1586" s="2">
        <f t="shared" ca="1" si="1500"/>
        <v>-1.7341964387382437E-2</v>
      </c>
      <c r="O1586" s="2">
        <f t="shared" si="1501"/>
        <v>6000000</v>
      </c>
      <c r="P1586" s="2">
        <f t="shared" ca="1" si="1502"/>
        <v>45903940.452173635</v>
      </c>
      <c r="Q1586" s="2">
        <f t="shared" ca="1" si="1503"/>
        <v>1147598.511304341</v>
      </c>
      <c r="R1586" s="2">
        <f t="shared" ca="1" si="1504"/>
        <v>27542364.271304179</v>
      </c>
      <c r="S1586" s="2">
        <f t="shared" ca="1" si="1505"/>
        <v>18361576.180869456</v>
      </c>
      <c r="T1586" s="2">
        <f t="shared" ca="1" si="1506"/>
        <v>49132901.780630879</v>
      </c>
      <c r="U1586" s="2">
        <f t="shared" ca="1" si="1507"/>
        <v>51494094.90017911</v>
      </c>
      <c r="V1586" s="2">
        <f t="shared" ca="1" si="1508"/>
        <v>53968760.514649265</v>
      </c>
      <c r="W1586" s="2">
        <f t="shared" ca="1" si="1509"/>
        <v>56562351.802350737</v>
      </c>
      <c r="X1586" s="2">
        <f t="shared" ca="1" si="1510"/>
        <v>59280584.006454483</v>
      </c>
      <c r="Y1586" s="2">
        <f t="shared" ca="1" si="1511"/>
        <v>0.12754024642339959</v>
      </c>
      <c r="Z1586" s="2">
        <f t="shared" ca="1" si="1512"/>
        <v>0.13055634499275945</v>
      </c>
      <c r="AA1586" s="2">
        <f t="shared" ca="1" si="1513"/>
        <v>6266422.4005983509</v>
      </c>
      <c r="AB1586" s="2">
        <f t="shared" ca="1" si="1514"/>
        <v>6722880.8188776793</v>
      </c>
      <c r="AC1586" s="2">
        <f t="shared" ca="1" si="1515"/>
        <v>7045964.1165821636</v>
      </c>
      <c r="AD1586" s="2">
        <f t="shared" ca="1" si="1516"/>
        <v>7384573.9155095322</v>
      </c>
      <c r="AE1586" s="2">
        <f t="shared" ca="1" si="1517"/>
        <v>7739456.3769189296</v>
      </c>
      <c r="AF1586" s="2">
        <f t="shared" ca="1" si="1518"/>
        <v>982658.03561261762</v>
      </c>
      <c r="AG1586" s="2">
        <f t="shared" ca="1" si="1519"/>
        <v>1029881.8980035823</v>
      </c>
      <c r="AH1586" s="2">
        <f t="shared" ca="1" si="1520"/>
        <v>1079375.2102929852</v>
      </c>
      <c r="AI1586" s="2">
        <f t="shared" ca="1" si="1521"/>
        <v>1131247.0360470149</v>
      </c>
      <c r="AJ1586" s="2">
        <f t="shared" ca="1" si="1522"/>
        <v>1185611.6801290896</v>
      </c>
      <c r="AK1586" s="2">
        <f t="shared" ca="1" si="1523"/>
        <v>0</v>
      </c>
      <c r="AL1586" s="2">
        <f t="shared" ca="1" si="1524"/>
        <v>23611.931195482313</v>
      </c>
      <c r="AM1586" s="2">
        <f t="shared" ca="1" si="1525"/>
        <v>24746.656144701541</v>
      </c>
      <c r="AN1586" s="2">
        <f t="shared" ca="1" si="1526"/>
        <v>25935.912877014725</v>
      </c>
      <c r="AO1586" s="2">
        <f t="shared" ca="1" si="1527"/>
        <v>27182.322041037456</v>
      </c>
      <c r="AP1586" s="2">
        <f t="shared" ca="1" si="1528"/>
        <v>2478812.7844173759</v>
      </c>
      <c r="AQ1586" s="2">
        <f t="shared" ca="1" si="1529"/>
        <v>729287.41094777291</v>
      </c>
      <c r="AR1586" s="2">
        <f t="shared" ca="1" si="1530"/>
        <v>835688.39547874755</v>
      </c>
      <c r="AS1586" s="2">
        <f t="shared" ca="1" si="1531"/>
        <v>906821.79168666876</v>
      </c>
      <c r="AT1586" s="2">
        <f t="shared" ca="1" si="1532"/>
        <v>981373.66471173696</v>
      </c>
      <c r="AU1586" s="2">
        <f t="shared" ca="1" si="1533"/>
        <v>1059508.2972168408</v>
      </c>
      <c r="AV1586" s="2">
        <f t="shared" ca="1" si="1534"/>
        <v>2075664.1696205847</v>
      </c>
      <c r="AW1586" s="2">
        <f t="shared" ca="1" si="1535"/>
        <v>2354885.8097824911</v>
      </c>
      <c r="AX1586" s="2">
        <f t="shared" ca="1" si="1536"/>
        <v>2556207.6740404321</v>
      </c>
      <c r="AY1586" s="2">
        <f t="shared" ca="1" si="1537"/>
        <v>2767204.51745639</v>
      </c>
      <c r="AZ1586" s="2">
        <f t="shared" ca="1" si="1538"/>
        <v>2988341.2931145858</v>
      </c>
      <c r="BA1586" s="2">
        <f t="shared" ca="1" si="1539"/>
        <v>57896120.565557837</v>
      </c>
      <c r="BB1586" s="2">
        <f t="shared" ca="1" si="1540"/>
        <v>1157922.4113111568</v>
      </c>
      <c r="BC1586" s="2">
        <f t="shared" ca="1" si="1541"/>
        <v>29195833.882942501</v>
      </c>
      <c r="BD1586" s="2">
        <f t="shared" ca="1" si="1542"/>
        <v>-20009174.692173798</v>
      </c>
      <c r="BE1586" s="2">
        <f t="shared" ca="1" si="1543"/>
        <v>2075664.1696205847</v>
      </c>
      <c r="BF1586" s="2">
        <f t="shared" ca="1" si="1544"/>
        <v>2354885.8097824911</v>
      </c>
      <c r="BG1586" s="2">
        <f t="shared" ca="1" si="1545"/>
        <v>2556207.6740404321</v>
      </c>
      <c r="BH1586" s="2">
        <f t="shared" ca="1" si="1546"/>
        <v>2767204.51745639</v>
      </c>
      <c r="BI1586" s="2">
        <f t="shared" ca="1" si="1547"/>
        <v>32184175.176057085</v>
      </c>
      <c r="BJ1586" s="2">
        <f t="shared" ca="1" si="1548"/>
        <v>0.18687560297948891</v>
      </c>
      <c r="BK1586" s="2">
        <f t="shared" ca="1" si="1549"/>
        <v>5561629.3909597173</v>
      </c>
    </row>
    <row r="1587" spans="1:63" x14ac:dyDescent="0.3">
      <c r="A1587" s="2">
        <v>1586</v>
      </c>
      <c r="B1587" s="2">
        <f t="shared" ca="1" si="1488"/>
        <v>0.92384889664642289</v>
      </c>
      <c r="C1587" s="2">
        <f t="shared" ca="1" si="1489"/>
        <v>7.6097408467349492</v>
      </c>
      <c r="D1587" s="2">
        <f t="shared" ca="1" si="1490"/>
        <v>0.20418288507173676</v>
      </c>
      <c r="E1587" s="2">
        <f t="shared" ca="1" si="1491"/>
        <v>7.1390350304509713</v>
      </c>
      <c r="F1587" s="2">
        <f t="shared" ca="1" si="1492"/>
        <v>0.1103092861248236</v>
      </c>
      <c r="G1587" s="2">
        <f t="shared" ca="1" si="1493"/>
        <v>3.2534515465965572E-3</v>
      </c>
      <c r="H1587" s="2">
        <f t="shared" ca="1" si="1494"/>
        <v>3.2534515465965572E-3</v>
      </c>
      <c r="I1587" s="2">
        <f t="shared" ca="1" si="1495"/>
        <v>0.83356692847539582</v>
      </c>
      <c r="J1587" s="2">
        <f t="shared" ca="1" si="1496"/>
        <v>1.4841784636613179E-2</v>
      </c>
      <c r="K1587" s="2">
        <f t="shared" ca="1" si="1497"/>
        <v>1.4841784636613179E-2</v>
      </c>
      <c r="L1587" s="2">
        <f t="shared" ca="1" si="1498"/>
        <v>0.36033567051427484</v>
      </c>
      <c r="M1587" s="2">
        <f t="shared" ca="1" si="1499"/>
        <v>-7.1512340989918592E-3</v>
      </c>
      <c r="N1587" s="2">
        <f t="shared" ca="1" si="1500"/>
        <v>-7.1512340989918592E-3</v>
      </c>
      <c r="O1587" s="2">
        <f t="shared" si="1501"/>
        <v>6000000</v>
      </c>
      <c r="P1587" s="2">
        <f t="shared" ca="1" si="1502"/>
        <v>45658445.080409698</v>
      </c>
      <c r="Q1587" s="2">
        <f t="shared" ca="1" si="1503"/>
        <v>1141461.1270102425</v>
      </c>
      <c r="R1587" s="2">
        <f t="shared" ca="1" si="1504"/>
        <v>27395067.048245817</v>
      </c>
      <c r="S1587" s="2">
        <f t="shared" ca="1" si="1505"/>
        <v>18263378.032163881</v>
      </c>
      <c r="T1587" s="2">
        <f t="shared" ca="1" si="1506"/>
        <v>49642438.295050405</v>
      </c>
      <c r="U1587" s="2">
        <f t="shared" ca="1" si="1507"/>
        <v>49803947.56269826</v>
      </c>
      <c r="V1587" s="2">
        <f t="shared" ca="1" si="1508"/>
        <v>49965982.292922735</v>
      </c>
      <c r="W1587" s="2">
        <f t="shared" ca="1" si="1509"/>
        <v>50128544.195290856</v>
      </c>
      <c r="X1587" s="2">
        <f t="shared" ca="1" si="1510"/>
        <v>50291634.984931655</v>
      </c>
      <c r="Y1587" s="2">
        <f t="shared" ca="1" si="1511"/>
        <v>0.12742089231830658</v>
      </c>
      <c r="Z1587" s="2">
        <f t="shared" ca="1" si="1512"/>
        <v>0.13038924924562922</v>
      </c>
      <c r="AA1587" s="2">
        <f t="shared" ca="1" si="1513"/>
        <v>6325483.7844117964</v>
      </c>
      <c r="AB1587" s="2">
        <f t="shared" ca="1" si="1514"/>
        <v>6493899.3321689116</v>
      </c>
      <c r="AC1587" s="2">
        <f t="shared" ca="1" si="1515"/>
        <v>6515026.918994599</v>
      </c>
      <c r="AD1587" s="2">
        <f t="shared" ca="1" si="1516"/>
        <v>6536223.2434003195</v>
      </c>
      <c r="AE1587" s="2">
        <f t="shared" ca="1" si="1517"/>
        <v>6557488.5290204603</v>
      </c>
      <c r="AF1587" s="2">
        <f t="shared" ca="1" si="1518"/>
        <v>992848.76590100816</v>
      </c>
      <c r="AG1587" s="2">
        <f t="shared" ca="1" si="1519"/>
        <v>996078.95125396526</v>
      </c>
      <c r="AH1587" s="2">
        <f t="shared" ca="1" si="1520"/>
        <v>999319.64585845475</v>
      </c>
      <c r="AI1587" s="2">
        <f t="shared" ca="1" si="1521"/>
        <v>1002570.8839058172</v>
      </c>
      <c r="AJ1587" s="2">
        <f t="shared" ca="1" si="1522"/>
        <v>1005832.6996986332</v>
      </c>
      <c r="AK1587" s="2">
        <f t="shared" ca="1" si="1523"/>
        <v>0</v>
      </c>
      <c r="AL1587" s="2">
        <f t="shared" ca="1" si="1524"/>
        <v>1615.0926764785499</v>
      </c>
      <c r="AM1587" s="2">
        <f t="shared" ca="1" si="1525"/>
        <v>1620.3473022447527</v>
      </c>
      <c r="AN1587" s="2">
        <f t="shared" ca="1" si="1526"/>
        <v>1625.6190236812085</v>
      </c>
      <c r="AO1587" s="2">
        <f t="shared" ca="1" si="1527"/>
        <v>1630.9078964079918</v>
      </c>
      <c r="AP1587" s="2">
        <f t="shared" ca="1" si="1528"/>
        <v>2465556.0343421237</v>
      </c>
      <c r="AQ1587" s="2">
        <f t="shared" ca="1" si="1529"/>
        <v>745440.53588385298</v>
      </c>
      <c r="AR1587" s="2">
        <f t="shared" ca="1" si="1530"/>
        <v>788388.73010893387</v>
      </c>
      <c r="AS1587" s="2">
        <f t="shared" ca="1" si="1531"/>
        <v>793039.32208644541</v>
      </c>
      <c r="AT1587" s="2">
        <f t="shared" ca="1" si="1532"/>
        <v>797705.04453961854</v>
      </c>
      <c r="AU1587" s="2">
        <f t="shared" ca="1" si="1533"/>
        <v>802385.94669472286</v>
      </c>
      <c r="AV1587" s="2">
        <f t="shared" ca="1" si="1534"/>
        <v>2121638.4482848118</v>
      </c>
      <c r="AW1587" s="2">
        <f t="shared" ca="1" si="1535"/>
        <v>2242260.5237874105</v>
      </c>
      <c r="AX1587" s="2">
        <f t="shared" ca="1" si="1536"/>
        <v>2255491.5694053308</v>
      </c>
      <c r="AY1587" s="2">
        <f t="shared" ca="1" si="1537"/>
        <v>2268765.6615890791</v>
      </c>
      <c r="AZ1587" s="2">
        <f t="shared" ca="1" si="1538"/>
        <v>2282082.9403885729</v>
      </c>
      <c r="BA1587" s="2">
        <f t="shared" ca="1" si="1539"/>
        <v>46814140.320457473</v>
      </c>
      <c r="BB1587" s="2">
        <f t="shared" ca="1" si="1540"/>
        <v>936282.80640914943</v>
      </c>
      <c r="BC1587" s="2">
        <f t="shared" ca="1" si="1541"/>
        <v>18482790.465802506</v>
      </c>
      <c r="BD1587" s="2">
        <f t="shared" ca="1" si="1542"/>
        <v>-19904839.159174122</v>
      </c>
      <c r="BE1587" s="2">
        <f t="shared" ca="1" si="1543"/>
        <v>2121638.4482848118</v>
      </c>
      <c r="BF1587" s="2">
        <f t="shared" ca="1" si="1544"/>
        <v>2242260.5237874105</v>
      </c>
      <c r="BG1587" s="2">
        <f t="shared" ca="1" si="1545"/>
        <v>2255491.5694053308</v>
      </c>
      <c r="BH1587" s="2">
        <f t="shared" ca="1" si="1546"/>
        <v>2268765.6615890791</v>
      </c>
      <c r="BI1587" s="2">
        <f t="shared" ca="1" si="1547"/>
        <v>20764873.406191077</v>
      </c>
      <c r="BJ1587" s="2">
        <f t="shared" ca="1" si="1548"/>
        <v>0.10019696521483534</v>
      </c>
      <c r="BK1587" s="2">
        <f t="shared" ca="1" si="1549"/>
        <v>-1393199.9865389131</v>
      </c>
    </row>
    <row r="1588" spans="1:63" x14ac:dyDescent="0.3">
      <c r="A1588" s="2">
        <v>1587</v>
      </c>
      <c r="B1588" s="2">
        <f t="shared" ca="1" si="1488"/>
        <v>0.41634103138511369</v>
      </c>
      <c r="C1588" s="2">
        <f t="shared" ca="1" si="1489"/>
        <v>6.9125141438740698</v>
      </c>
      <c r="D1588" s="2">
        <f t="shared" ca="1" si="1490"/>
        <v>0.20181132536710034</v>
      </c>
      <c r="E1588" s="2">
        <f t="shared" ca="1" si="1491"/>
        <v>7.1353130336567956</v>
      </c>
      <c r="F1588" s="2">
        <f t="shared" ca="1" si="1492"/>
        <v>0.74542971841397465</v>
      </c>
      <c r="G1588" s="2">
        <f t="shared" ca="1" si="1493"/>
        <v>5.9805295366802902E-2</v>
      </c>
      <c r="H1588" s="2">
        <f t="shared" ca="1" si="1494"/>
        <v>5.9805295366802902E-2</v>
      </c>
      <c r="I1588" s="2">
        <f t="shared" ca="1" si="1495"/>
        <v>0.98309611510309636</v>
      </c>
      <c r="J1588" s="2">
        <f t="shared" ca="1" si="1496"/>
        <v>2.0611785026454863E-2</v>
      </c>
      <c r="K1588" s="2">
        <f t="shared" ca="1" si="1497"/>
        <v>2.0611785026454863E-2</v>
      </c>
      <c r="L1588" s="2">
        <f t="shared" ca="1" si="1498"/>
        <v>0.64662848439566356</v>
      </c>
      <c r="M1588" s="2">
        <f t="shared" ca="1" si="1499"/>
        <v>7.5246775682491929E-3</v>
      </c>
      <c r="N1588" s="2">
        <f t="shared" ca="1" si="1500"/>
        <v>7.5246775682491929E-3</v>
      </c>
      <c r="O1588" s="2">
        <f t="shared" si="1501"/>
        <v>6000000</v>
      </c>
      <c r="P1588" s="2">
        <f t="shared" ca="1" si="1502"/>
        <v>41475084.863244422</v>
      </c>
      <c r="Q1588" s="2">
        <f t="shared" ca="1" si="1503"/>
        <v>1036877.1215811106</v>
      </c>
      <c r="R1588" s="2">
        <f t="shared" ca="1" si="1504"/>
        <v>24885050.917946652</v>
      </c>
      <c r="S1588" s="2">
        <f t="shared" ca="1" si="1505"/>
        <v>16590033.94529777</v>
      </c>
      <c r="T1588" s="2">
        <f t="shared" ca="1" si="1506"/>
        <v>50376233.878412455</v>
      </c>
      <c r="U1588" s="2">
        <f t="shared" ca="1" si="1507"/>
        <v>53388999.424978055</v>
      </c>
      <c r="V1588" s="2">
        <f t="shared" ca="1" si="1508"/>
        <v>56581944.304926939</v>
      </c>
      <c r="W1588" s="2">
        <f t="shared" ca="1" si="1509"/>
        <v>59965844.19651109</v>
      </c>
      <c r="X1588" s="2">
        <f t="shared" ca="1" si="1510"/>
        <v>63552119.220603116</v>
      </c>
      <c r="Y1588" s="2">
        <f t="shared" ca="1" si="1511"/>
        <v>0.13030589251322744</v>
      </c>
      <c r="Z1588" s="2">
        <f t="shared" ca="1" si="1512"/>
        <v>0.13442824951851839</v>
      </c>
      <c r="AA1588" s="2">
        <f t="shared" ca="1" si="1513"/>
        <v>6564320.11698162</v>
      </c>
      <c r="AB1588" s="2">
        <f t="shared" ca="1" si="1514"/>
        <v>7176989.7362449849</v>
      </c>
      <c r="AC1588" s="2">
        <f t="shared" ca="1" si="1515"/>
        <v>7606211.727265629</v>
      </c>
      <c r="AD1588" s="2">
        <f t="shared" ca="1" si="1516"/>
        <v>8061103.4662371911</v>
      </c>
      <c r="AE1588" s="2">
        <f t="shared" ca="1" si="1517"/>
        <v>8543200.1400178652</v>
      </c>
      <c r="AF1588" s="2">
        <f t="shared" ca="1" si="1518"/>
        <v>1007524.6775682492</v>
      </c>
      <c r="AG1588" s="2">
        <f t="shared" ca="1" si="1519"/>
        <v>1067779.9884995611</v>
      </c>
      <c r="AH1588" s="2">
        <f t="shared" ca="1" si="1520"/>
        <v>1131638.8860985388</v>
      </c>
      <c r="AI1588" s="2">
        <f t="shared" ca="1" si="1521"/>
        <v>1199316.8839302219</v>
      </c>
      <c r="AJ1588" s="2">
        <f t="shared" ca="1" si="1522"/>
        <v>1271042.3844120624</v>
      </c>
      <c r="AK1588" s="2">
        <f t="shared" ca="1" si="1523"/>
        <v>0</v>
      </c>
      <c r="AL1588" s="2">
        <f t="shared" ca="1" si="1524"/>
        <v>30127.655465655997</v>
      </c>
      <c r="AM1588" s="2">
        <f t="shared" ca="1" si="1525"/>
        <v>31929.448799488844</v>
      </c>
      <c r="AN1588" s="2">
        <f t="shared" ca="1" si="1526"/>
        <v>33838.998915841505</v>
      </c>
      <c r="AO1588" s="2">
        <f t="shared" ca="1" si="1527"/>
        <v>35862.750240920264</v>
      </c>
      <c r="AP1588" s="2">
        <f t="shared" ca="1" si="1528"/>
        <v>2239654.5826151986</v>
      </c>
      <c r="AQ1588" s="2">
        <f t="shared" ca="1" si="1529"/>
        <v>862456.62276752479</v>
      </c>
      <c r="AR1588" s="2">
        <f t="shared" ca="1" si="1530"/>
        <v>1006084.3429338585</v>
      </c>
      <c r="AS1588" s="2">
        <f t="shared" ca="1" si="1531"/>
        <v>1101078.747223492</v>
      </c>
      <c r="AT1588" s="2">
        <f t="shared" ca="1" si="1532"/>
        <v>1201754.3199198605</v>
      </c>
      <c r="AU1588" s="2">
        <f t="shared" ca="1" si="1533"/>
        <v>1308450.8249775572</v>
      </c>
      <c r="AV1588" s="2">
        <f t="shared" ca="1" si="1534"/>
        <v>2454684.2340306472</v>
      </c>
      <c r="AW1588" s="2">
        <f t="shared" ca="1" si="1535"/>
        <v>2833343.1667307103</v>
      </c>
      <c r="AX1588" s="2">
        <f t="shared" ca="1" si="1536"/>
        <v>3101910.062528911</v>
      </c>
      <c r="AY1588" s="2">
        <f t="shared" ca="1" si="1537"/>
        <v>3386538.6808560677</v>
      </c>
      <c r="AZ1588" s="2">
        <f t="shared" ca="1" si="1538"/>
        <v>3688189.597772127</v>
      </c>
      <c r="BA1588" s="2">
        <f t="shared" ca="1" si="1539"/>
        <v>60958407.308208033</v>
      </c>
      <c r="BB1588" s="2">
        <f t="shared" ca="1" si="1540"/>
        <v>1219168.1461641607</v>
      </c>
      <c r="BC1588" s="2">
        <f t="shared" ca="1" si="1541"/>
        <v>34854188.244097218</v>
      </c>
      <c r="BD1588" s="2">
        <f t="shared" ca="1" si="1542"/>
        <v>-18126911.066878881</v>
      </c>
      <c r="BE1588" s="2">
        <f t="shared" ca="1" si="1543"/>
        <v>2454684.2340306472</v>
      </c>
      <c r="BF1588" s="2">
        <f t="shared" ca="1" si="1544"/>
        <v>2833343.1667307103</v>
      </c>
      <c r="BG1588" s="2">
        <f t="shared" ca="1" si="1545"/>
        <v>3101910.062528911</v>
      </c>
      <c r="BH1588" s="2">
        <f t="shared" ca="1" si="1546"/>
        <v>3386538.6808560677</v>
      </c>
      <c r="BI1588" s="2">
        <f t="shared" ca="1" si="1547"/>
        <v>38542377.841869347</v>
      </c>
      <c r="BJ1588" s="2">
        <f t="shared" ca="1" si="1548"/>
        <v>0.27077242646938382</v>
      </c>
      <c r="BK1588" s="2">
        <f t="shared" ca="1" si="1549"/>
        <v>12553560.249086093</v>
      </c>
    </row>
    <row r="1589" spans="1:63" x14ac:dyDescent="0.3">
      <c r="A1589" s="2">
        <v>1588</v>
      </c>
      <c r="B1589" s="2">
        <f t="shared" ca="1" si="1488"/>
        <v>0.6066785512159435</v>
      </c>
      <c r="C1589" s="2">
        <f t="shared" ca="1" si="1489"/>
        <v>7.113071086519267</v>
      </c>
      <c r="D1589" s="2">
        <f t="shared" ca="1" si="1490"/>
        <v>0.1664430433451265</v>
      </c>
      <c r="E1589" s="2">
        <f t="shared" ca="1" si="1491"/>
        <v>7.0769628122247159</v>
      </c>
      <c r="F1589" s="2">
        <f t="shared" ca="1" si="1492"/>
        <v>0.1760584048340027</v>
      </c>
      <c r="G1589" s="2">
        <f t="shared" ca="1" si="1493"/>
        <v>1.2085263497735522E-2</v>
      </c>
      <c r="H1589" s="2">
        <f t="shared" ca="1" si="1494"/>
        <v>1.2085263497735522E-2</v>
      </c>
      <c r="I1589" s="2">
        <f t="shared" ca="1" si="1495"/>
        <v>6.2798491920241784E-2</v>
      </c>
      <c r="J1589" s="2">
        <f t="shared" ca="1" si="1496"/>
        <v>2.3415101551664272E-3</v>
      </c>
      <c r="K1589" s="2">
        <f t="shared" ca="1" si="1497"/>
        <v>2.3415101551664272E-3</v>
      </c>
      <c r="L1589" s="2">
        <f t="shared" ca="1" si="1498"/>
        <v>0.15721448403053861</v>
      </c>
      <c r="M1589" s="2">
        <f t="shared" ca="1" si="1499"/>
        <v>-2.0119442962285378E-2</v>
      </c>
      <c r="N1589" s="2">
        <f t="shared" ca="1" si="1500"/>
        <v>-2.0119442962285378E-2</v>
      </c>
      <c r="O1589" s="2">
        <f t="shared" si="1501"/>
        <v>6000000</v>
      </c>
      <c r="P1589" s="2">
        <f t="shared" ca="1" si="1502"/>
        <v>42678426.519115604</v>
      </c>
      <c r="Q1589" s="2">
        <f t="shared" ca="1" si="1503"/>
        <v>1066960.6629778901</v>
      </c>
      <c r="R1589" s="2">
        <f t="shared" ca="1" si="1504"/>
        <v>25607055.911469363</v>
      </c>
      <c r="S1589" s="2">
        <f t="shared" ca="1" si="1505"/>
        <v>17071370.607646242</v>
      </c>
      <c r="T1589" s="2">
        <f t="shared" ca="1" si="1506"/>
        <v>48994027.851885729</v>
      </c>
      <c r="U1589" s="2">
        <f t="shared" ca="1" si="1507"/>
        <v>49586133.588291161</v>
      </c>
      <c r="V1589" s="2">
        <f t="shared" ca="1" si="1508"/>
        <v>50185395.078539573</v>
      </c>
      <c r="W1589" s="2">
        <f t="shared" ca="1" si="1509"/>
        <v>50791898.801801682</v>
      </c>
      <c r="X1589" s="2">
        <f t="shared" ca="1" si="1510"/>
        <v>51405732.282371774</v>
      </c>
      <c r="Y1589" s="2">
        <f t="shared" ca="1" si="1511"/>
        <v>0.12117075507758321</v>
      </c>
      <c r="Z1589" s="2">
        <f t="shared" ca="1" si="1512"/>
        <v>0.1216390571086165</v>
      </c>
      <c r="AA1589" s="2">
        <f t="shared" ca="1" si="1513"/>
        <v>5936643.3491051355</v>
      </c>
      <c r="AB1589" s="2">
        <f t="shared" ca="1" si="1514"/>
        <v>6031610.5353416353</v>
      </c>
      <c r="AC1589" s="2">
        <f t="shared" ca="1" si="1515"/>
        <v>6104504.1379769566</v>
      </c>
      <c r="AD1589" s="2">
        <f t="shared" ca="1" si="1516"/>
        <v>6178278.679007425</v>
      </c>
      <c r="AE1589" s="2">
        <f t="shared" ca="1" si="1517"/>
        <v>6252944.8048056709</v>
      </c>
      <c r="AF1589" s="2">
        <f t="shared" ca="1" si="1518"/>
        <v>979880.55703771464</v>
      </c>
      <c r="AG1589" s="2">
        <f t="shared" ca="1" si="1519"/>
        <v>991722.67176582327</v>
      </c>
      <c r="AH1589" s="2">
        <f t="shared" ca="1" si="1520"/>
        <v>1003707.9015707915</v>
      </c>
      <c r="AI1589" s="2">
        <f t="shared" ca="1" si="1521"/>
        <v>1015837.9760360337</v>
      </c>
      <c r="AJ1589" s="2">
        <f t="shared" ca="1" si="1522"/>
        <v>1028114.6456474356</v>
      </c>
      <c r="AK1589" s="2">
        <f t="shared" ca="1" si="1523"/>
        <v>0</v>
      </c>
      <c r="AL1589" s="2">
        <f t="shared" ca="1" si="1524"/>
        <v>5921.0573640543225</v>
      </c>
      <c r="AM1589" s="2">
        <f t="shared" ca="1" si="1525"/>
        <v>5992.6149024841188</v>
      </c>
      <c r="AN1589" s="2">
        <f t="shared" ca="1" si="1526"/>
        <v>6065.0372326210891</v>
      </c>
      <c r="AO1589" s="2">
        <f t="shared" ca="1" si="1527"/>
        <v>6138.334805700928</v>
      </c>
      <c r="AP1589" s="2">
        <f t="shared" ca="1" si="1528"/>
        <v>2304635.0320322425</v>
      </c>
      <c r="AQ1589" s="2">
        <f t="shared" ca="1" si="1529"/>
        <v>689553.21760914638</v>
      </c>
      <c r="AR1589" s="2">
        <f t="shared" ca="1" si="1530"/>
        <v>711165.73620132823</v>
      </c>
      <c r="AS1589" s="2">
        <f t="shared" ca="1" si="1531"/>
        <v>727001.91313721996</v>
      </c>
      <c r="AT1589" s="2">
        <f t="shared" ca="1" si="1532"/>
        <v>743029.47444417875</v>
      </c>
      <c r="AU1589" s="2">
        <f t="shared" ca="1" si="1533"/>
        <v>759250.73305275815</v>
      </c>
      <c r="AV1589" s="2">
        <f t="shared" ca="1" si="1534"/>
        <v>1962574.5424260315</v>
      </c>
      <c r="AW1589" s="2">
        <f t="shared" ca="1" si="1535"/>
        <v>2018166.0379781877</v>
      </c>
      <c r="AX1589" s="2">
        <f t="shared" ca="1" si="1536"/>
        <v>2063166.6763342186</v>
      </c>
      <c r="AY1589" s="2">
        <f t="shared" ca="1" si="1537"/>
        <v>2108711.1592623494</v>
      </c>
      <c r="AZ1589" s="2">
        <f t="shared" ca="1" si="1538"/>
        <v>2154806.0592675335</v>
      </c>
      <c r="BA1589" s="2">
        <f t="shared" ca="1" si="1539"/>
        <v>44251857.850503467</v>
      </c>
      <c r="BB1589" s="2">
        <f t="shared" ca="1" si="1540"/>
        <v>885037.15701006935</v>
      </c>
      <c r="BC1589" s="2">
        <f t="shared" ca="1" si="1541"/>
        <v>17759764.782024033</v>
      </c>
      <c r="BD1589" s="2">
        <f t="shared" ca="1" si="1542"/>
        <v>-18638331.270624131</v>
      </c>
      <c r="BE1589" s="2">
        <f t="shared" ca="1" si="1543"/>
        <v>1962574.5424260315</v>
      </c>
      <c r="BF1589" s="2">
        <f t="shared" ca="1" si="1544"/>
        <v>2018166.0379781877</v>
      </c>
      <c r="BG1589" s="2">
        <f t="shared" ca="1" si="1545"/>
        <v>2063166.6763342186</v>
      </c>
      <c r="BH1589" s="2">
        <f t="shared" ca="1" si="1546"/>
        <v>2108711.1592623494</v>
      </c>
      <c r="BI1589" s="2">
        <f t="shared" ca="1" si="1547"/>
        <v>19914570.841291565</v>
      </c>
      <c r="BJ1589" s="2">
        <f t="shared" ca="1" si="1548"/>
        <v>0.10242478856484261</v>
      </c>
      <c r="BK1589" s="2">
        <f t="shared" ca="1" si="1549"/>
        <v>-1168455.2952057049</v>
      </c>
    </row>
    <row r="1590" spans="1:63" x14ac:dyDescent="0.3">
      <c r="A1590" s="2">
        <v>1589</v>
      </c>
      <c r="B1590" s="2">
        <f t="shared" ca="1" si="1488"/>
        <v>0.41110521814999301</v>
      </c>
      <c r="C1590" s="2">
        <f t="shared" ca="1" si="1489"/>
        <v>6.906758201672301</v>
      </c>
      <c r="D1590" s="2">
        <f t="shared" ca="1" si="1490"/>
        <v>0.44810571021706114</v>
      </c>
      <c r="E1590" s="2">
        <f t="shared" ca="1" si="1491"/>
        <v>7.4466844355085398</v>
      </c>
      <c r="F1590" s="2">
        <f t="shared" ca="1" si="1492"/>
        <v>0.64064785455929896</v>
      </c>
      <c r="G1590" s="2">
        <f t="shared" ca="1" si="1493"/>
        <v>5.0805730551349376E-2</v>
      </c>
      <c r="H1590" s="2">
        <f t="shared" ca="1" si="1494"/>
        <v>5.0805730551349376E-2</v>
      </c>
      <c r="I1590" s="2">
        <f t="shared" ca="1" si="1495"/>
        <v>0.46863336391812427</v>
      </c>
      <c r="J1590" s="2">
        <f t="shared" ca="1" si="1496"/>
        <v>9.6064716020414168E-3</v>
      </c>
      <c r="K1590" s="2">
        <f t="shared" ca="1" si="1497"/>
        <v>9.6064716020414168E-3</v>
      </c>
      <c r="L1590" s="2">
        <f t="shared" ca="1" si="1498"/>
        <v>0.9925245987686192</v>
      </c>
      <c r="M1590" s="2">
        <f t="shared" ca="1" si="1499"/>
        <v>4.8671371816759894E-2</v>
      </c>
      <c r="N1590" s="2">
        <f t="shared" ca="1" si="1500"/>
        <v>4.8671371816759894E-2</v>
      </c>
      <c r="O1590" s="2">
        <f t="shared" si="1501"/>
        <v>6000000</v>
      </c>
      <c r="P1590" s="2">
        <f t="shared" ca="1" si="1502"/>
        <v>41440549.210033804</v>
      </c>
      <c r="Q1590" s="2">
        <f t="shared" ca="1" si="1503"/>
        <v>1036013.7302508452</v>
      </c>
      <c r="R1590" s="2">
        <f t="shared" ca="1" si="1504"/>
        <v>24864329.526020281</v>
      </c>
      <c r="S1590" s="2">
        <f t="shared" ca="1" si="1505"/>
        <v>16576219.684013523</v>
      </c>
      <c r="T1590" s="2">
        <f t="shared" ca="1" si="1506"/>
        <v>52433568.590838</v>
      </c>
      <c r="U1590" s="2">
        <f t="shared" ca="1" si="1507"/>
        <v>55097494.348509811</v>
      </c>
      <c r="V1590" s="2">
        <f t="shared" ca="1" si="1508"/>
        <v>57896762.800434694</v>
      </c>
      <c r="W1590" s="2">
        <f t="shared" ca="1" si="1509"/>
        <v>60838250.131068967</v>
      </c>
      <c r="X1590" s="2">
        <f t="shared" ca="1" si="1510"/>
        <v>63929181.874443658</v>
      </c>
      <c r="Y1590" s="2">
        <f t="shared" ca="1" si="1511"/>
        <v>0.12480323580102071</v>
      </c>
      <c r="Z1590" s="2">
        <f t="shared" ca="1" si="1512"/>
        <v>0.12672453012142898</v>
      </c>
      <c r="AA1590" s="2">
        <f t="shared" ca="1" si="1513"/>
        <v>6543879.0247313483</v>
      </c>
      <c r="AB1590" s="2">
        <f t="shared" ca="1" si="1514"/>
        <v>6982204.0821829941</v>
      </c>
      <c r="AC1590" s="2">
        <f t="shared" ca="1" si="1515"/>
        <v>7336940.0614369148</v>
      </c>
      <c r="AD1590" s="2">
        <f t="shared" ca="1" si="1516"/>
        <v>7709698.6612696797</v>
      </c>
      <c r="AE1590" s="2">
        <f t="shared" ca="1" si="1517"/>
        <v>8101395.534086247</v>
      </c>
      <c r="AF1590" s="2">
        <f t="shared" ca="1" si="1518"/>
        <v>1048671.3718167599</v>
      </c>
      <c r="AG1590" s="2">
        <f t="shared" ca="1" si="1519"/>
        <v>1101949.8869701962</v>
      </c>
      <c r="AH1590" s="2">
        <f t="shared" ca="1" si="1520"/>
        <v>1157935.2560086939</v>
      </c>
      <c r="AI1590" s="2">
        <f t="shared" ca="1" si="1521"/>
        <v>1216765.0026213794</v>
      </c>
      <c r="AJ1590" s="2">
        <f t="shared" ca="1" si="1522"/>
        <v>1278583.6374888732</v>
      </c>
      <c r="AK1590" s="2">
        <f t="shared" ca="1" si="1523"/>
        <v>0</v>
      </c>
      <c r="AL1590" s="2">
        <f t="shared" ca="1" si="1524"/>
        <v>26639.257576718108</v>
      </c>
      <c r="AM1590" s="2">
        <f t="shared" ca="1" si="1525"/>
        <v>27992.684519248829</v>
      </c>
      <c r="AN1590" s="2">
        <f t="shared" ca="1" si="1526"/>
        <v>29414.873306342735</v>
      </c>
      <c r="AO1590" s="2">
        <f t="shared" ca="1" si="1527"/>
        <v>30909.317433746906</v>
      </c>
      <c r="AP1590" s="2">
        <f t="shared" ca="1" si="1528"/>
        <v>2237789.6573418253</v>
      </c>
      <c r="AQ1590" s="2">
        <f t="shared" ca="1" si="1529"/>
        <v>846928.67884891841</v>
      </c>
      <c r="AR1590" s="2">
        <f t="shared" ca="1" si="1530"/>
        <v>947040.77984645299</v>
      </c>
      <c r="AS1590" s="2">
        <f t="shared" ca="1" si="1531"/>
        <v>1024715.9385024629</v>
      </c>
      <c r="AT1590" s="2">
        <f t="shared" ca="1" si="1532"/>
        <v>1106337.4403396833</v>
      </c>
      <c r="AU1590" s="2">
        <f t="shared" ca="1" si="1533"/>
        <v>1192105.7822064429</v>
      </c>
      <c r="AV1590" s="2">
        <f t="shared" ca="1" si="1534"/>
        <v>2410489.3167238445</v>
      </c>
      <c r="AW1590" s="2">
        <f t="shared" ca="1" si="1535"/>
        <v>2668784.5004478018</v>
      </c>
      <c r="AX1590" s="2">
        <f t="shared" ca="1" si="1536"/>
        <v>2888506.525064684</v>
      </c>
      <c r="AY1590" s="2">
        <f t="shared" ca="1" si="1537"/>
        <v>3119391.6876604487</v>
      </c>
      <c r="AZ1590" s="2">
        <f t="shared" ca="1" si="1538"/>
        <v>3362007.1396153593</v>
      </c>
      <c r="BA1590" s="2">
        <f t="shared" ca="1" si="1539"/>
        <v>60328536.029578447</v>
      </c>
      <c r="BB1590" s="2">
        <f t="shared" ca="1" si="1540"/>
        <v>1206570.7205915691</v>
      </c>
      <c r="BC1590" s="2">
        <f t="shared" ca="1" si="1541"/>
        <v>34257635.782966599</v>
      </c>
      <c r="BD1590" s="2">
        <f t="shared" ca="1" si="1542"/>
        <v>-18112233.41426437</v>
      </c>
      <c r="BE1590" s="2">
        <f t="shared" ca="1" si="1543"/>
        <v>2410489.3167238445</v>
      </c>
      <c r="BF1590" s="2">
        <f t="shared" ca="1" si="1544"/>
        <v>2668784.5004478018</v>
      </c>
      <c r="BG1590" s="2">
        <f t="shared" ca="1" si="1545"/>
        <v>2888506.525064684</v>
      </c>
      <c r="BH1590" s="2">
        <f t="shared" ca="1" si="1546"/>
        <v>3119391.6876604487</v>
      </c>
      <c r="BI1590" s="2">
        <f t="shared" ca="1" si="1547"/>
        <v>37619642.922581956</v>
      </c>
      <c r="BJ1590" s="2">
        <f t="shared" ca="1" si="1548"/>
        <v>0.26015728735735122</v>
      </c>
      <c r="BK1590" s="2">
        <f t="shared" ca="1" si="1549"/>
        <v>11552335.252385691</v>
      </c>
    </row>
    <row r="1591" spans="1:63" x14ac:dyDescent="0.3">
      <c r="A1591" s="2">
        <v>1590</v>
      </c>
      <c r="B1591" s="2">
        <f t="shared" ca="1" si="1488"/>
        <v>0.53182125533558866</v>
      </c>
      <c r="C1591" s="2">
        <f t="shared" ca="1" si="1489"/>
        <v>7.0323443332833611</v>
      </c>
      <c r="D1591" s="2">
        <f t="shared" ca="1" si="1490"/>
        <v>0.38673440923175895</v>
      </c>
      <c r="E1591" s="2">
        <f t="shared" ca="1" si="1491"/>
        <v>7.3794707604369334</v>
      </c>
      <c r="F1591" s="2">
        <f t="shared" ca="1" si="1492"/>
        <v>0.99983764185866031</v>
      </c>
      <c r="G1591" s="2">
        <f t="shared" ca="1" si="1493"/>
        <v>0.14784218580437844</v>
      </c>
      <c r="H1591" s="2">
        <f t="shared" ca="1" si="1494"/>
        <v>0.12</v>
      </c>
      <c r="I1591" s="2">
        <f t="shared" ca="1" si="1495"/>
        <v>0.99018080301629763</v>
      </c>
      <c r="J1591" s="2">
        <f t="shared" ca="1" si="1496"/>
        <v>2.166592917414225E-2</v>
      </c>
      <c r="K1591" s="2">
        <f t="shared" ca="1" si="1497"/>
        <v>2.166592917414225E-2</v>
      </c>
      <c r="L1591" s="2">
        <f t="shared" ca="1" si="1498"/>
        <v>0.42146558538587797</v>
      </c>
      <c r="M1591" s="2">
        <f t="shared" ca="1" si="1499"/>
        <v>-3.9629114283741048E-3</v>
      </c>
      <c r="N1591" s="2">
        <f t="shared" ca="1" si="1500"/>
        <v>-3.9629114283741048E-3</v>
      </c>
      <c r="O1591" s="2">
        <f t="shared" si="1501"/>
        <v>6000000</v>
      </c>
      <c r="P1591" s="2">
        <f t="shared" ca="1" si="1502"/>
        <v>42194065.999700166</v>
      </c>
      <c r="Q1591" s="2">
        <f t="shared" ca="1" si="1503"/>
        <v>1054851.6499925042</v>
      </c>
      <c r="R1591" s="2">
        <f t="shared" ca="1" si="1504"/>
        <v>25316439.5998201</v>
      </c>
      <c r="S1591" s="2">
        <f t="shared" ca="1" si="1505"/>
        <v>16877626.399880067</v>
      </c>
      <c r="T1591" s="2">
        <f t="shared" ca="1" si="1506"/>
        <v>49801854.42858129</v>
      </c>
      <c r="U1591" s="2">
        <f t="shared" ca="1" si="1507"/>
        <v>55778076.96001105</v>
      </c>
      <c r="V1591" s="2">
        <f t="shared" ca="1" si="1508"/>
        <v>62471446.195212379</v>
      </c>
      <c r="W1591" s="2">
        <f t="shared" ca="1" si="1509"/>
        <v>69968019.738637865</v>
      </c>
      <c r="X1591" s="2">
        <f t="shared" ca="1" si="1510"/>
        <v>78364182.107274413</v>
      </c>
      <c r="Y1591" s="2">
        <f t="shared" ca="1" si="1511"/>
        <v>0.13083296458707111</v>
      </c>
      <c r="Z1591" s="2">
        <f t="shared" ca="1" si="1512"/>
        <v>0.13516615042189956</v>
      </c>
      <c r="AA1591" s="2">
        <f t="shared" ca="1" si="1513"/>
        <v>6515724.2568250466</v>
      </c>
      <c r="AB1591" s="2">
        <f t="shared" ca="1" si="1514"/>
        <v>7539307.9406211432</v>
      </c>
      <c r="AC1591" s="2">
        <f t="shared" ca="1" si="1515"/>
        <v>8444024.8934956808</v>
      </c>
      <c r="AD1591" s="2">
        <f t="shared" ca="1" si="1516"/>
        <v>9457307.8807151634</v>
      </c>
      <c r="AE1591" s="2">
        <f t="shared" ca="1" si="1517"/>
        <v>10592184.826400982</v>
      </c>
      <c r="AF1591" s="2">
        <f t="shared" ca="1" si="1518"/>
        <v>996037.08857162576</v>
      </c>
      <c r="AG1591" s="2">
        <f t="shared" ca="1" si="1519"/>
        <v>1115561.539200221</v>
      </c>
      <c r="AH1591" s="2">
        <f t="shared" ca="1" si="1520"/>
        <v>1249428.9239042476</v>
      </c>
      <c r="AI1591" s="2">
        <f t="shared" ca="1" si="1521"/>
        <v>1399360.3947727573</v>
      </c>
      <c r="AJ1591" s="2">
        <f t="shared" ca="1" si="1522"/>
        <v>1567283.6421454884</v>
      </c>
      <c r="AK1591" s="2">
        <f t="shared" ca="1" si="1523"/>
        <v>0</v>
      </c>
      <c r="AL1591" s="2">
        <f t="shared" ca="1" si="1524"/>
        <v>59762.225314297604</v>
      </c>
      <c r="AM1591" s="2">
        <f t="shared" ca="1" si="1525"/>
        <v>66933.692352013284</v>
      </c>
      <c r="AN1591" s="2">
        <f t="shared" ca="1" si="1526"/>
        <v>74965.73543425485</v>
      </c>
      <c r="AO1591" s="2">
        <f t="shared" ca="1" si="1527"/>
        <v>83961.623686365492</v>
      </c>
      <c r="AP1591" s="2">
        <f t="shared" ca="1" si="1528"/>
        <v>2278479.5639838087</v>
      </c>
      <c r="AQ1591" s="2">
        <f t="shared" ca="1" si="1529"/>
        <v>842713.97711009916</v>
      </c>
      <c r="AR1591" s="2">
        <f t="shared" ca="1" si="1530"/>
        <v>1077769.3777336495</v>
      </c>
      <c r="AS1591" s="2">
        <f t="shared" ca="1" si="1531"/>
        <v>1278190.2654579822</v>
      </c>
      <c r="AT1591" s="2">
        <f t="shared" ca="1" si="1532"/>
        <v>1502661.6597092354</v>
      </c>
      <c r="AU1591" s="2">
        <f t="shared" ca="1" si="1533"/>
        <v>1754069.621270638</v>
      </c>
      <c r="AV1591" s="2">
        <f t="shared" ca="1" si="1534"/>
        <v>2398493.6271595131</v>
      </c>
      <c r="AW1591" s="2">
        <f t="shared" ca="1" si="1535"/>
        <v>3007735.2343891659</v>
      </c>
      <c r="AX1591" s="2">
        <f t="shared" ca="1" si="1536"/>
        <v>3570992.4477976286</v>
      </c>
      <c r="AY1591" s="2">
        <f t="shared" ca="1" si="1537"/>
        <v>4201840.5268151071</v>
      </c>
      <c r="AZ1591" s="2">
        <f t="shared" ca="1" si="1538"/>
        <v>4908390.3753146809</v>
      </c>
      <c r="BA1591" s="2">
        <f t="shared" ca="1" si="1539"/>
        <v>78164718.215569809</v>
      </c>
      <c r="BB1591" s="2">
        <f t="shared" ca="1" si="1540"/>
        <v>1563294.3643113961</v>
      </c>
      <c r="BC1591" s="2">
        <f t="shared" ca="1" si="1541"/>
        <v>51284984.251438312</v>
      </c>
      <c r="BD1591" s="2">
        <f t="shared" ca="1" si="1542"/>
        <v>-18432478.04987257</v>
      </c>
      <c r="BE1591" s="2">
        <f t="shared" ca="1" si="1543"/>
        <v>2398493.6271595131</v>
      </c>
      <c r="BF1591" s="2">
        <f t="shared" ca="1" si="1544"/>
        <v>3007735.2343891659</v>
      </c>
      <c r="BG1591" s="2">
        <f t="shared" ca="1" si="1545"/>
        <v>3570992.4477976286</v>
      </c>
      <c r="BH1591" s="2">
        <f t="shared" ca="1" si="1546"/>
        <v>4201840.5268151071</v>
      </c>
      <c r="BI1591" s="2">
        <f t="shared" ca="1" si="1547"/>
        <v>56193374.626752995</v>
      </c>
      <c r="BJ1591" s="2">
        <f t="shared" ca="1" si="1548"/>
        <v>0.35428714402057238</v>
      </c>
      <c r="BK1591" s="2">
        <f t="shared" ca="1" si="1549"/>
        <v>23204519.614857718</v>
      </c>
    </row>
    <row r="1592" spans="1:63" x14ac:dyDescent="0.3">
      <c r="A1592" s="2">
        <v>1591</v>
      </c>
      <c r="B1592" s="2">
        <f t="shared" ca="1" si="1488"/>
        <v>0.3545864259867274</v>
      </c>
      <c r="C1592" s="2">
        <f t="shared" ca="1" si="1489"/>
        <v>6.8421240122294664</v>
      </c>
      <c r="D1592" s="2">
        <f t="shared" ca="1" si="1490"/>
        <v>0.26108291044861009</v>
      </c>
      <c r="E1592" s="2">
        <f t="shared" ca="1" si="1491"/>
        <v>7.2226104212486977</v>
      </c>
      <c r="F1592" s="2">
        <f t="shared" ca="1" si="1492"/>
        <v>0.68578287330151</v>
      </c>
      <c r="G1592" s="2">
        <f t="shared" ca="1" si="1493"/>
        <v>5.4517954750399805E-2</v>
      </c>
      <c r="H1592" s="2">
        <f t="shared" ca="1" si="1494"/>
        <v>5.4517954750399805E-2</v>
      </c>
      <c r="I1592" s="2">
        <f t="shared" ca="1" si="1495"/>
        <v>0.47318732902009553</v>
      </c>
      <c r="J1592" s="2">
        <f t="shared" ca="1" si="1496"/>
        <v>9.6636996100881011E-3</v>
      </c>
      <c r="K1592" s="2">
        <f t="shared" ca="1" si="1497"/>
        <v>9.6636996100881011E-3</v>
      </c>
      <c r="L1592" s="2">
        <f t="shared" ca="1" si="1498"/>
        <v>0.45054027869306934</v>
      </c>
      <c r="M1592" s="2">
        <f t="shared" ca="1" si="1499"/>
        <v>-2.4859290153912477E-3</v>
      </c>
      <c r="N1592" s="2">
        <f t="shared" ca="1" si="1500"/>
        <v>-2.4859290153912477E-3</v>
      </c>
      <c r="O1592" s="2">
        <f t="shared" si="1501"/>
        <v>6000000</v>
      </c>
      <c r="P1592" s="2">
        <f t="shared" ca="1" si="1502"/>
        <v>41052744.073376797</v>
      </c>
      <c r="Q1592" s="2">
        <f t="shared" ca="1" si="1503"/>
        <v>1026318.60183442</v>
      </c>
      <c r="R1592" s="2">
        <f t="shared" ca="1" si="1504"/>
        <v>24631646.444026079</v>
      </c>
      <c r="S1592" s="2">
        <f t="shared" ca="1" si="1505"/>
        <v>16421097.62935072</v>
      </c>
      <c r="T1592" s="2">
        <f t="shared" ca="1" si="1506"/>
        <v>49875703.549230441</v>
      </c>
      <c r="U1592" s="2">
        <f t="shared" ca="1" si="1507"/>
        <v>52594824.898471743</v>
      </c>
      <c r="V1592" s="2">
        <f t="shared" ca="1" si="1508"/>
        <v>55462187.182391822</v>
      </c>
      <c r="W1592" s="2">
        <f t="shared" ca="1" si="1509"/>
        <v>58485872.193559662</v>
      </c>
      <c r="X1592" s="2">
        <f t="shared" ca="1" si="1510"/>
        <v>61674402.327345811</v>
      </c>
      <c r="Y1592" s="2">
        <f t="shared" ca="1" si="1511"/>
        <v>0.12483184980504404</v>
      </c>
      <c r="Z1592" s="2">
        <f t="shared" ca="1" si="1512"/>
        <v>0.12676458972706167</v>
      </c>
      <c r="AA1592" s="2">
        <f t="shared" ca="1" si="1513"/>
        <v>6226076.3343784362</v>
      </c>
      <c r="AB1592" s="2">
        <f t="shared" ca="1" si="1514"/>
        <v>6667161.4000214189</v>
      </c>
      <c r="AC1592" s="2">
        <f t="shared" ca="1" si="1515"/>
        <v>7030641.4035413982</v>
      </c>
      <c r="AD1592" s="2">
        <f t="shared" ca="1" si="1516"/>
        <v>7413937.5934459548</v>
      </c>
      <c r="AE1592" s="2">
        <f t="shared" ca="1" si="1517"/>
        <v>7818130.3076877296</v>
      </c>
      <c r="AF1592" s="2">
        <f t="shared" ca="1" si="1518"/>
        <v>997514.07098460884</v>
      </c>
      <c r="AG1592" s="2">
        <f t="shared" ca="1" si="1519"/>
        <v>1051896.4979694348</v>
      </c>
      <c r="AH1592" s="2">
        <f t="shared" ca="1" si="1520"/>
        <v>1109243.7436478364</v>
      </c>
      <c r="AI1592" s="2">
        <f t="shared" ca="1" si="1521"/>
        <v>1169717.4438711933</v>
      </c>
      <c r="AJ1592" s="2">
        <f t="shared" ca="1" si="1522"/>
        <v>1233488.0465469162</v>
      </c>
      <c r="AK1592" s="2">
        <f t="shared" ca="1" si="1523"/>
        <v>0</v>
      </c>
      <c r="AL1592" s="2">
        <f t="shared" ca="1" si="1524"/>
        <v>27191.213492413015</v>
      </c>
      <c r="AM1592" s="2">
        <f t="shared" ca="1" si="1525"/>
        <v>28673.622839200794</v>
      </c>
      <c r="AN1592" s="2">
        <f t="shared" ca="1" si="1526"/>
        <v>30236.850111678392</v>
      </c>
      <c r="AO1592" s="2">
        <f t="shared" ca="1" si="1527"/>
        <v>31885.301337861492</v>
      </c>
      <c r="AP1592" s="2">
        <f t="shared" ca="1" si="1528"/>
        <v>2216848.1799623473</v>
      </c>
      <c r="AQ1592" s="2">
        <f t="shared" ca="1" si="1529"/>
        <v>783045.66169218498</v>
      </c>
      <c r="AR1592" s="2">
        <f t="shared" ca="1" si="1530"/>
        <v>883588.34774330561</v>
      </c>
      <c r="AS1592" s="2">
        <f t="shared" ca="1" si="1531"/>
        <v>963182.86478211591</v>
      </c>
      <c r="AT1592" s="2">
        <f t="shared" ca="1" si="1532"/>
        <v>1047116.7120992277</v>
      </c>
      <c r="AU1592" s="2">
        <f t="shared" ca="1" si="1533"/>
        <v>1135626.4611064012</v>
      </c>
      <c r="AV1592" s="2">
        <f t="shared" ca="1" si="1534"/>
        <v>2228668.4217392951</v>
      </c>
      <c r="AW1592" s="2">
        <f t="shared" ca="1" si="1535"/>
        <v>2487637.1608539186</v>
      </c>
      <c r="AX1592" s="2">
        <f t="shared" ca="1" si="1536"/>
        <v>2712692.9923098972</v>
      </c>
      <c r="AY1592" s="2">
        <f t="shared" ca="1" si="1537"/>
        <v>2950018.4074015077</v>
      </c>
      <c r="AZ1592" s="2">
        <f t="shared" ca="1" si="1538"/>
        <v>3200282.3187342035</v>
      </c>
      <c r="BA1592" s="2">
        <f t="shared" ca="1" si="1539"/>
        <v>56467309.434985682</v>
      </c>
      <c r="BB1592" s="2">
        <f t="shared" ca="1" si="1540"/>
        <v>1129346.1886997137</v>
      </c>
      <c r="BC1592" s="2">
        <f t="shared" ca="1" si="1541"/>
        <v>30706316.802259888</v>
      </c>
      <c r="BD1592" s="2">
        <f t="shared" ca="1" si="1542"/>
        <v>-17947416.231185138</v>
      </c>
      <c r="BE1592" s="2">
        <f t="shared" ca="1" si="1543"/>
        <v>2228668.4217392951</v>
      </c>
      <c r="BF1592" s="2">
        <f t="shared" ca="1" si="1544"/>
        <v>2487637.1608539186</v>
      </c>
      <c r="BG1592" s="2">
        <f t="shared" ca="1" si="1545"/>
        <v>2712692.9923098972</v>
      </c>
      <c r="BH1592" s="2">
        <f t="shared" ca="1" si="1546"/>
        <v>2950018.4074015077</v>
      </c>
      <c r="BI1592" s="2">
        <f t="shared" ca="1" si="1547"/>
        <v>33906599.120994091</v>
      </c>
      <c r="BJ1592" s="2">
        <f t="shared" ca="1" si="1548"/>
        <v>0.23497035558315904</v>
      </c>
      <c r="BK1592" s="2">
        <f t="shared" ca="1" si="1549"/>
        <v>9070741.6496015154</v>
      </c>
    </row>
    <row r="1593" spans="1:63" x14ac:dyDescent="0.3">
      <c r="A1593" s="2">
        <v>1592</v>
      </c>
      <c r="B1593" s="2">
        <f t="shared" ca="1" si="1488"/>
        <v>0.6748258596068939</v>
      </c>
      <c r="C1593" s="2">
        <f t="shared" ca="1" si="1489"/>
        <v>7.1935582595213639</v>
      </c>
      <c r="D1593" s="2">
        <f t="shared" ca="1" si="1490"/>
        <v>0.12069801053190177</v>
      </c>
      <c r="E1593" s="2">
        <f t="shared" ca="1" si="1491"/>
        <v>6.9913206906530636</v>
      </c>
      <c r="F1593" s="2">
        <f t="shared" ca="1" si="1492"/>
        <v>0.83285105805143056</v>
      </c>
      <c r="G1593" s="2">
        <f t="shared" ca="1" si="1493"/>
        <v>6.8964793386850104E-2</v>
      </c>
      <c r="H1593" s="2">
        <f t="shared" ca="1" si="1494"/>
        <v>6.8964793386850104E-2</v>
      </c>
      <c r="I1593" s="2">
        <f t="shared" ca="1" si="1495"/>
        <v>7.9584825460693676E-2</v>
      </c>
      <c r="J1593" s="2">
        <f t="shared" ca="1" si="1496"/>
        <v>2.9606514024291168E-3</v>
      </c>
      <c r="K1593" s="2">
        <f t="shared" ca="1" si="1497"/>
        <v>2.9606514024291168E-3</v>
      </c>
      <c r="L1593" s="2">
        <f t="shared" ca="1" si="1498"/>
        <v>0.34844999055451009</v>
      </c>
      <c r="M1593" s="2">
        <f t="shared" ca="1" si="1499"/>
        <v>-7.7901711615327189E-3</v>
      </c>
      <c r="N1593" s="2">
        <f t="shared" ca="1" si="1500"/>
        <v>-7.7901711615327189E-3</v>
      </c>
      <c r="O1593" s="2">
        <f t="shared" si="1501"/>
        <v>6000000</v>
      </c>
      <c r="P1593" s="2">
        <f t="shared" ca="1" si="1502"/>
        <v>43161349.557128184</v>
      </c>
      <c r="Q1593" s="2">
        <f t="shared" ca="1" si="1503"/>
        <v>1079033.7389282046</v>
      </c>
      <c r="R1593" s="2">
        <f t="shared" ca="1" si="1504"/>
        <v>25896809.734276909</v>
      </c>
      <c r="S1593" s="2">
        <f t="shared" ca="1" si="1505"/>
        <v>17264539.822851274</v>
      </c>
      <c r="T1593" s="2">
        <f t="shared" ca="1" si="1506"/>
        <v>49610491.441923365</v>
      </c>
      <c r="U1593" s="2">
        <f t="shared" ca="1" si="1507"/>
        <v>53031868.734035701</v>
      </c>
      <c r="V1593" s="2">
        <f t="shared" ca="1" si="1508"/>
        <v>56689200.604197025</v>
      </c>
      <c r="W1593" s="2">
        <f t="shared" ca="1" si="1509"/>
        <v>60598759.611131169</v>
      </c>
      <c r="X1593" s="2">
        <f t="shared" ca="1" si="1510"/>
        <v>64777940.547212221</v>
      </c>
      <c r="Y1593" s="2">
        <f t="shared" ca="1" si="1511"/>
        <v>0.12148032570121456</v>
      </c>
      <c r="Z1593" s="2">
        <f t="shared" ca="1" si="1512"/>
        <v>0.12207245598170038</v>
      </c>
      <c r="AA1593" s="2">
        <f t="shared" ca="1" si="1513"/>
        <v>6026698.6585621675</v>
      </c>
      <c r="AB1593" s="2">
        <f t="shared" ca="1" si="1514"/>
        <v>6473730.4616628857</v>
      </c>
      <c r="AC1593" s="2">
        <f t="shared" ca="1" si="1515"/>
        <v>6920189.9453936238</v>
      </c>
      <c r="AD1593" s="2">
        <f t="shared" ca="1" si="1516"/>
        <v>7397439.4151754528</v>
      </c>
      <c r="AE1593" s="2">
        <f t="shared" ca="1" si="1517"/>
        <v>7907602.2960347682</v>
      </c>
      <c r="AF1593" s="2">
        <f t="shared" ca="1" si="1518"/>
        <v>992209.82883846737</v>
      </c>
      <c r="AG1593" s="2">
        <f t="shared" ca="1" si="1519"/>
        <v>1060637.374680714</v>
      </c>
      <c r="AH1593" s="2">
        <f t="shared" ca="1" si="1520"/>
        <v>1133784.0120839404</v>
      </c>
      <c r="AI1593" s="2">
        <f t="shared" ca="1" si="1521"/>
        <v>1211975.1922226234</v>
      </c>
      <c r="AJ1593" s="2">
        <f t="shared" ca="1" si="1522"/>
        <v>1295558.8109442445</v>
      </c>
      <c r="AK1593" s="2">
        <f t="shared" ca="1" si="1523"/>
        <v>0</v>
      </c>
      <c r="AL1593" s="2">
        <f t="shared" ca="1" si="1524"/>
        <v>34213.772921123353</v>
      </c>
      <c r="AM1593" s="2">
        <f t="shared" ca="1" si="1525"/>
        <v>36573.318701613251</v>
      </c>
      <c r="AN1593" s="2">
        <f t="shared" ca="1" si="1526"/>
        <v>39095.590069341437</v>
      </c>
      <c r="AO1593" s="2">
        <f t="shared" ca="1" si="1527"/>
        <v>41791.809360810519</v>
      </c>
      <c r="AP1593" s="2">
        <f t="shared" ca="1" si="1528"/>
        <v>2330712.8760849219</v>
      </c>
      <c r="AQ1593" s="2">
        <f t="shared" ca="1" si="1529"/>
        <v>702981.74794608227</v>
      </c>
      <c r="AR1593" s="2">
        <f t="shared" ca="1" si="1530"/>
        <v>801418.85483328509</v>
      </c>
      <c r="AS1593" s="2">
        <f t="shared" ca="1" si="1531"/>
        <v>898480.19487843802</v>
      </c>
      <c r="AT1593" s="2">
        <f t="shared" ca="1" si="1532"/>
        <v>1002235.3501856561</v>
      </c>
      <c r="AU1593" s="2">
        <f t="shared" ca="1" si="1533"/>
        <v>1113145.9583414565</v>
      </c>
      <c r="AV1593" s="2">
        <f t="shared" ca="1" si="1534"/>
        <v>2000794.2056926955</v>
      </c>
      <c r="AW1593" s="2">
        <f t="shared" ca="1" si="1535"/>
        <v>2246747.5831428412</v>
      </c>
      <c r="AX1593" s="2">
        <f t="shared" ca="1" si="1536"/>
        <v>2520639.5436447095</v>
      </c>
      <c r="AY1593" s="2">
        <f t="shared" ca="1" si="1537"/>
        <v>2813420.4066129103</v>
      </c>
      <c r="AZ1593" s="2">
        <f t="shared" ca="1" si="1538"/>
        <v>3126392.8413033355</v>
      </c>
      <c r="BA1593" s="2">
        <f t="shared" ca="1" si="1539"/>
        <v>55284583.54572355</v>
      </c>
      <c r="BB1593" s="2">
        <f t="shared" ca="1" si="1540"/>
        <v>1105691.6709144709</v>
      </c>
      <c r="BC1593" s="2">
        <f t="shared" ca="1" si="1541"/>
        <v>28282082.140532169</v>
      </c>
      <c r="BD1593" s="2">
        <f t="shared" ca="1" si="1542"/>
        <v>-18843573.56177948</v>
      </c>
      <c r="BE1593" s="2">
        <f t="shared" ca="1" si="1543"/>
        <v>2000794.2056926955</v>
      </c>
      <c r="BF1593" s="2">
        <f t="shared" ca="1" si="1544"/>
        <v>2246747.5831428412</v>
      </c>
      <c r="BG1593" s="2">
        <f t="shared" ca="1" si="1545"/>
        <v>2520639.5436447095</v>
      </c>
      <c r="BH1593" s="2">
        <f t="shared" ca="1" si="1546"/>
        <v>2813420.4066129103</v>
      </c>
      <c r="BI1593" s="2">
        <f t="shared" ca="1" si="1547"/>
        <v>31408474.981835507</v>
      </c>
      <c r="BJ1593" s="2">
        <f t="shared" ca="1" si="1548"/>
        <v>0.19726619136162782</v>
      </c>
      <c r="BK1593" s="2">
        <f t="shared" ca="1" si="1549"/>
        <v>6138076.425282944</v>
      </c>
    </row>
    <row r="1594" spans="1:63" x14ac:dyDescent="0.3">
      <c r="A1594" s="2">
        <v>1593</v>
      </c>
      <c r="B1594" s="2">
        <f t="shared" ca="1" si="1488"/>
        <v>0.89460043917999399</v>
      </c>
      <c r="C1594" s="2">
        <f t="shared" ca="1" si="1489"/>
        <v>7.5408713452200873</v>
      </c>
      <c r="D1594" s="2">
        <f t="shared" ca="1" si="1490"/>
        <v>0.38788323738216524</v>
      </c>
      <c r="E1594" s="2">
        <f t="shared" ca="1" si="1491"/>
        <v>7.3807760639142792</v>
      </c>
      <c r="F1594" s="2">
        <f t="shared" ca="1" si="1492"/>
        <v>0.87346551103536307</v>
      </c>
      <c r="G1594" s="2">
        <f t="shared" ca="1" si="1493"/>
        <v>7.4287804462804488E-2</v>
      </c>
      <c r="H1594" s="2">
        <f t="shared" ca="1" si="1494"/>
        <v>7.4287804462804488E-2</v>
      </c>
      <c r="I1594" s="2">
        <f t="shared" ca="1" si="1495"/>
        <v>0.21623471042240983</v>
      </c>
      <c r="J1594" s="2">
        <f t="shared" ca="1" si="1496"/>
        <v>6.0751351847793331E-3</v>
      </c>
      <c r="K1594" s="2">
        <f t="shared" ca="1" si="1497"/>
        <v>6.0751351847793331E-3</v>
      </c>
      <c r="L1594" s="2">
        <f t="shared" ca="1" si="1498"/>
        <v>0.65690520206155045</v>
      </c>
      <c r="M1594" s="2">
        <f t="shared" ca="1" si="1499"/>
        <v>8.0806289040610789E-3</v>
      </c>
      <c r="N1594" s="2">
        <f t="shared" ca="1" si="1500"/>
        <v>8.0806289040610789E-3</v>
      </c>
      <c r="O1594" s="2">
        <f t="shared" si="1501"/>
        <v>6000000</v>
      </c>
      <c r="P1594" s="2">
        <f t="shared" ca="1" si="1502"/>
        <v>45245228.071320526</v>
      </c>
      <c r="Q1594" s="2">
        <f t="shared" ca="1" si="1503"/>
        <v>1131130.7017830133</v>
      </c>
      <c r="R1594" s="2">
        <f t="shared" ca="1" si="1504"/>
        <v>27147136.842792314</v>
      </c>
      <c r="S1594" s="2">
        <f t="shared" ca="1" si="1505"/>
        <v>18098091.228528213</v>
      </c>
      <c r="T1594" s="2">
        <f t="shared" ca="1" si="1506"/>
        <v>50404031.445203058</v>
      </c>
      <c r="U1594" s="2">
        <f t="shared" ca="1" si="1507"/>
        <v>54148436.277341358</v>
      </c>
      <c r="V1594" s="2">
        <f t="shared" ca="1" si="1508"/>
        <v>58171004.723479129</v>
      </c>
      <c r="W1594" s="2">
        <f t="shared" ca="1" si="1509"/>
        <v>62492400.947781831</v>
      </c>
      <c r="X1594" s="2">
        <f t="shared" ca="1" si="1510"/>
        <v>67134824.209801838</v>
      </c>
      <c r="Y1594" s="2">
        <f t="shared" ca="1" si="1511"/>
        <v>0.12303756759238967</v>
      </c>
      <c r="Z1594" s="2">
        <f t="shared" ca="1" si="1512"/>
        <v>0.12425259462934553</v>
      </c>
      <c r="AA1594" s="2">
        <f t="shared" ca="1" si="1513"/>
        <v>6201589.4258681051</v>
      </c>
      <c r="AB1594" s="2">
        <f t="shared" ca="1" si="1514"/>
        <v>6728083.7025814438</v>
      </c>
      <c r="AC1594" s="2">
        <f t="shared" ca="1" si="1515"/>
        <v>7227898.2690881966</v>
      </c>
      <c r="AD1594" s="2">
        <f t="shared" ca="1" si="1516"/>
        <v>7764842.9623792637</v>
      </c>
      <c r="AE1594" s="2">
        <f t="shared" ca="1" si="1517"/>
        <v>8341676.0980528798</v>
      </c>
      <c r="AF1594" s="2">
        <f t="shared" ca="1" si="1518"/>
        <v>1008080.6289040612</v>
      </c>
      <c r="AG1594" s="2">
        <f t="shared" ca="1" si="1519"/>
        <v>1082968.7255468271</v>
      </c>
      <c r="AH1594" s="2">
        <f t="shared" ca="1" si="1520"/>
        <v>1163420.0944695827</v>
      </c>
      <c r="AI1594" s="2">
        <f t="shared" ca="1" si="1521"/>
        <v>1249848.0189556365</v>
      </c>
      <c r="AJ1594" s="2">
        <f t="shared" ca="1" si="1522"/>
        <v>1342696.4841960368</v>
      </c>
      <c r="AK1594" s="2">
        <f t="shared" ca="1" si="1523"/>
        <v>0</v>
      </c>
      <c r="AL1594" s="2">
        <f t="shared" ca="1" si="1524"/>
        <v>37444.048321383001</v>
      </c>
      <c r="AM1594" s="2">
        <f t="shared" ca="1" si="1525"/>
        <v>40225.684461377714</v>
      </c>
      <c r="AN1594" s="2">
        <f t="shared" ca="1" si="1526"/>
        <v>43213.962243027017</v>
      </c>
      <c r="AO1594" s="2">
        <f t="shared" ca="1" si="1527"/>
        <v>46424.23262020007</v>
      </c>
      <c r="AP1594" s="2">
        <f t="shared" ca="1" si="1528"/>
        <v>2443242.3158513079</v>
      </c>
      <c r="AQ1594" s="2">
        <f t="shared" ca="1" si="1529"/>
        <v>715069.28508931131</v>
      </c>
      <c r="AR1594" s="2">
        <f t="shared" ca="1" si="1530"/>
        <v>832486.89190766041</v>
      </c>
      <c r="AS1594" s="2">
        <f t="shared" ca="1" si="1531"/>
        <v>941521.32327949954</v>
      </c>
      <c r="AT1594" s="2">
        <f t="shared" ca="1" si="1532"/>
        <v>1058655.6831688029</v>
      </c>
      <c r="AU1594" s="2">
        <f t="shared" ca="1" si="1533"/>
        <v>1184491.697481439</v>
      </c>
      <c r="AV1594" s="2">
        <f t="shared" ca="1" si="1534"/>
        <v>2035197.1960234246</v>
      </c>
      <c r="AW1594" s="2">
        <f t="shared" ca="1" si="1535"/>
        <v>2331941.7209542659</v>
      </c>
      <c r="AX1594" s="2">
        <f t="shared" ca="1" si="1536"/>
        <v>2639488.8510264293</v>
      </c>
      <c r="AY1594" s="2">
        <f t="shared" ca="1" si="1537"/>
        <v>2969882.9821604886</v>
      </c>
      <c r="AZ1594" s="2">
        <f t="shared" ca="1" si="1538"/>
        <v>3324821.3679038961</v>
      </c>
      <c r="BA1594" s="2">
        <f t="shared" ca="1" si="1539"/>
        <v>61568043.277434558</v>
      </c>
      <c r="BB1594" s="2">
        <f t="shared" ca="1" si="1540"/>
        <v>1231360.8655486912</v>
      </c>
      <c r="BC1594" s="2">
        <f t="shared" ca="1" si="1541"/>
        <v>33189545.569093548</v>
      </c>
      <c r="BD1594" s="2">
        <f t="shared" ca="1" si="1542"/>
        <v>-19729221.930311225</v>
      </c>
      <c r="BE1594" s="2">
        <f t="shared" ca="1" si="1543"/>
        <v>2035197.1960234246</v>
      </c>
      <c r="BF1594" s="2">
        <f t="shared" ca="1" si="1544"/>
        <v>2331941.7209542659</v>
      </c>
      <c r="BG1594" s="2">
        <f t="shared" ca="1" si="1545"/>
        <v>2639488.8510264293</v>
      </c>
      <c r="BH1594" s="2">
        <f t="shared" ca="1" si="1546"/>
        <v>2969882.9821604886</v>
      </c>
      <c r="BI1594" s="2">
        <f t="shared" ca="1" si="1547"/>
        <v>36514366.936997443</v>
      </c>
      <c r="BJ1594" s="2">
        <f t="shared" ca="1" si="1548"/>
        <v>0.21719688642667712</v>
      </c>
      <c r="BK1594" s="2">
        <f t="shared" ca="1" si="1549"/>
        <v>8432310.8600414544</v>
      </c>
    </row>
    <row r="1595" spans="1:63" x14ac:dyDescent="0.3">
      <c r="A1595" s="2">
        <v>1594</v>
      </c>
      <c r="B1595" s="2">
        <f t="shared" ca="1" si="1488"/>
        <v>0.32216354893870824</v>
      </c>
      <c r="C1595" s="2">
        <f t="shared" ca="1" si="1489"/>
        <v>6.802699880327272</v>
      </c>
      <c r="D1595" s="2">
        <f t="shared" ca="1" si="1490"/>
        <v>0.38254641156456171</v>
      </c>
      <c r="E1595" s="2">
        <f t="shared" ca="1" si="1491"/>
        <v>7.374695846068291</v>
      </c>
      <c r="F1595" s="2">
        <f t="shared" ca="1" si="1492"/>
        <v>0.35493180247465705</v>
      </c>
      <c r="G1595" s="2">
        <f t="shared" ca="1" si="1493"/>
        <v>2.8838821643246967E-2</v>
      </c>
      <c r="H1595" s="2">
        <f t="shared" ca="1" si="1494"/>
        <v>2.8838821643246967E-2</v>
      </c>
      <c r="I1595" s="2">
        <f t="shared" ca="1" si="1495"/>
        <v>0.31081109290995834</v>
      </c>
      <c r="J1595" s="2">
        <f t="shared" ca="1" si="1496"/>
        <v>7.5322370180882278E-3</v>
      </c>
      <c r="K1595" s="2">
        <f t="shared" ca="1" si="1497"/>
        <v>7.5322370180882278E-3</v>
      </c>
      <c r="L1595" s="2">
        <f t="shared" ca="1" si="1498"/>
        <v>0.12489383459704284</v>
      </c>
      <c r="M1595" s="2">
        <f t="shared" ca="1" si="1499"/>
        <v>-2.3017305323477281E-2</v>
      </c>
      <c r="N1595" s="2">
        <f t="shared" ca="1" si="1500"/>
        <v>-2.3017305323477281E-2</v>
      </c>
      <c r="O1595" s="2">
        <f t="shared" si="1501"/>
        <v>6000000</v>
      </c>
      <c r="P1595" s="2">
        <f t="shared" ca="1" si="1502"/>
        <v>40816199.281963632</v>
      </c>
      <c r="Q1595" s="2">
        <f t="shared" ca="1" si="1503"/>
        <v>1020404.9820490908</v>
      </c>
      <c r="R1595" s="2">
        <f t="shared" ca="1" si="1504"/>
        <v>24489719.569178179</v>
      </c>
      <c r="S1595" s="2">
        <f t="shared" ca="1" si="1505"/>
        <v>16326479.712785453</v>
      </c>
      <c r="T1595" s="2">
        <f t="shared" ca="1" si="1506"/>
        <v>48849134.733826138</v>
      </c>
      <c r="U1595" s="2">
        <f t="shared" ca="1" si="1507"/>
        <v>50257886.217841886</v>
      </c>
      <c r="V1595" s="2">
        <f t="shared" ca="1" si="1508"/>
        <v>51707264.434644826</v>
      </c>
      <c r="W1595" s="2">
        <f t="shared" ca="1" si="1509"/>
        <v>53198441.011335753</v>
      </c>
      <c r="X1595" s="2">
        <f t="shared" ca="1" si="1510"/>
        <v>54732621.363360457</v>
      </c>
      <c r="Y1595" s="2">
        <f t="shared" ca="1" si="1511"/>
        <v>0.12376611850904411</v>
      </c>
      <c r="Z1595" s="2">
        <f t="shared" ca="1" si="1512"/>
        <v>0.12527256591266175</v>
      </c>
      <c r="AA1595" s="2">
        <f t="shared" ca="1" si="1513"/>
        <v>6045867.7985309884</v>
      </c>
      <c r="AB1595" s="2">
        <f t="shared" ca="1" si="1514"/>
        <v>6295934.3638556525</v>
      </c>
      <c r="AC1595" s="2">
        <f t="shared" ca="1" si="1515"/>
        <v>6477501.6920524752</v>
      </c>
      <c r="AD1595" s="2">
        <f t="shared" ca="1" si="1516"/>
        <v>6664305.2080434067</v>
      </c>
      <c r="AE1595" s="2">
        <f t="shared" ca="1" si="1517"/>
        <v>6856495.917314332</v>
      </c>
      <c r="AF1595" s="2">
        <f t="shared" ca="1" si="1518"/>
        <v>976982.69467652275</v>
      </c>
      <c r="AG1595" s="2">
        <f t="shared" ca="1" si="1519"/>
        <v>1005157.7243568377</v>
      </c>
      <c r="AH1595" s="2">
        <f t="shared" ca="1" si="1520"/>
        <v>1034145.2886928965</v>
      </c>
      <c r="AI1595" s="2">
        <f t="shared" ca="1" si="1521"/>
        <v>1063968.8202267152</v>
      </c>
      <c r="AJ1595" s="2">
        <f t="shared" ca="1" si="1522"/>
        <v>1094652.4272672092</v>
      </c>
      <c r="AK1595" s="2">
        <f t="shared" ca="1" si="1523"/>
        <v>0</v>
      </c>
      <c r="AL1595" s="2">
        <f t="shared" ca="1" si="1524"/>
        <v>14087.514840157479</v>
      </c>
      <c r="AM1595" s="2">
        <f t="shared" ca="1" si="1525"/>
        <v>14493.782168029398</v>
      </c>
      <c r="AN1595" s="2">
        <f t="shared" ca="1" si="1526"/>
        <v>14911.765766909271</v>
      </c>
      <c r="AO1595" s="2">
        <f t="shared" ca="1" si="1527"/>
        <v>15341.803520247042</v>
      </c>
      <c r="AP1595" s="2">
        <f t="shared" ca="1" si="1528"/>
        <v>2204074.7612260361</v>
      </c>
      <c r="AQ1595" s="2">
        <f t="shared" ca="1" si="1529"/>
        <v>744850.68908339157</v>
      </c>
      <c r="AR1595" s="2">
        <f t="shared" ca="1" si="1530"/>
        <v>802542.48835092247</v>
      </c>
      <c r="AS1595" s="2">
        <f t="shared" ca="1" si="1531"/>
        <v>842213.22695472115</v>
      </c>
      <c r="AT1595" s="2">
        <f t="shared" ca="1" si="1532"/>
        <v>883028.02291357052</v>
      </c>
      <c r="AU1595" s="2">
        <f t="shared" ca="1" si="1533"/>
        <v>925019.86949348275</v>
      </c>
      <c r="AV1595" s="2">
        <f t="shared" ca="1" si="1534"/>
        <v>2119959.6535450374</v>
      </c>
      <c r="AW1595" s="2">
        <f t="shared" ca="1" si="1535"/>
        <v>2270071.8750816989</v>
      </c>
      <c r="AX1595" s="2">
        <f t="shared" ca="1" si="1536"/>
        <v>2382574.6330107921</v>
      </c>
      <c r="AY1595" s="2">
        <f t="shared" ca="1" si="1537"/>
        <v>2498321.8379101758</v>
      </c>
      <c r="AZ1595" s="2">
        <f t="shared" ca="1" si="1538"/>
        <v>2617407.0558073572</v>
      </c>
      <c r="BA1595" s="2">
        <f t="shared" ca="1" si="1539"/>
        <v>50564571.960002199</v>
      </c>
      <c r="BB1595" s="2">
        <f t="shared" ca="1" si="1540"/>
        <v>1011291.439200044</v>
      </c>
      <c r="BC1595" s="2">
        <f t="shared" ca="1" si="1541"/>
        <v>25063560.951623976</v>
      </c>
      <c r="BD1595" s="2">
        <f t="shared" ca="1" si="1542"/>
        <v>-17846884.694834545</v>
      </c>
      <c r="BE1595" s="2">
        <f t="shared" ca="1" si="1543"/>
        <v>2119959.6535450374</v>
      </c>
      <c r="BF1595" s="2">
        <f t="shared" ca="1" si="1544"/>
        <v>2270071.8750816989</v>
      </c>
      <c r="BG1595" s="2">
        <f t="shared" ca="1" si="1545"/>
        <v>2382574.6330107921</v>
      </c>
      <c r="BH1595" s="2">
        <f t="shared" ca="1" si="1546"/>
        <v>2498321.8379101758</v>
      </c>
      <c r="BI1595" s="2">
        <f t="shared" ca="1" si="1547"/>
        <v>27680968.007431332</v>
      </c>
      <c r="BJ1595" s="2">
        <f t="shared" ca="1" si="1548"/>
        <v>0.18668104810352548</v>
      </c>
      <c r="BK1595" s="2">
        <f t="shared" ca="1" si="1549"/>
        <v>4846146.7209057584</v>
      </c>
    </row>
    <row r="1596" spans="1:63" x14ac:dyDescent="0.3">
      <c r="A1596" s="2">
        <v>1595</v>
      </c>
      <c r="B1596" s="2">
        <f t="shared" ca="1" si="1488"/>
        <v>0.5806987737417364</v>
      </c>
      <c r="C1596" s="2">
        <f t="shared" ca="1" si="1489"/>
        <v>7.0842476030517165</v>
      </c>
      <c r="D1596" s="2">
        <f t="shared" ca="1" si="1490"/>
        <v>0.59530545781757072</v>
      </c>
      <c r="E1596" s="2">
        <f t="shared" ca="1" si="1491"/>
        <v>7.6003394615940643</v>
      </c>
      <c r="F1596" s="2">
        <f t="shared" ca="1" si="1492"/>
        <v>4.7709425282471241E-2</v>
      </c>
      <c r="G1596" s="2">
        <f t="shared" ca="1" si="1493"/>
        <v>-1.0024422268248796E-2</v>
      </c>
      <c r="H1596" s="2">
        <f t="shared" ca="1" si="1494"/>
        <v>-1.0024422268248796E-2</v>
      </c>
      <c r="I1596" s="2">
        <f t="shared" ca="1" si="1495"/>
        <v>0.88278616165768153</v>
      </c>
      <c r="J1596" s="2">
        <f t="shared" ca="1" si="1496"/>
        <v>1.5945152353177172E-2</v>
      </c>
      <c r="K1596" s="2">
        <f t="shared" ca="1" si="1497"/>
        <v>1.5945152353177172E-2</v>
      </c>
      <c r="L1596" s="2">
        <f t="shared" ca="1" si="1498"/>
        <v>0.55084331462814484</v>
      </c>
      <c r="M1596" s="2">
        <f t="shared" ca="1" si="1499"/>
        <v>2.5558453193512244E-3</v>
      </c>
      <c r="N1596" s="2">
        <f t="shared" ca="1" si="1500"/>
        <v>2.5558453193512244E-3</v>
      </c>
      <c r="O1596" s="2">
        <f t="shared" si="1501"/>
        <v>6000000</v>
      </c>
      <c r="P1596" s="2">
        <f t="shared" ca="1" si="1502"/>
        <v>42505485.618310302</v>
      </c>
      <c r="Q1596" s="2">
        <f t="shared" ca="1" si="1503"/>
        <v>1062637.1404577575</v>
      </c>
      <c r="R1596" s="2">
        <f t="shared" ca="1" si="1504"/>
        <v>25503291.370986182</v>
      </c>
      <c r="S1596" s="2">
        <f t="shared" ca="1" si="1505"/>
        <v>17002194.24732412</v>
      </c>
      <c r="T1596" s="2">
        <f t="shared" ca="1" si="1506"/>
        <v>50127792.265967563</v>
      </c>
      <c r="U1596" s="2">
        <f t="shared" ca="1" si="1507"/>
        <v>49625290.108918443</v>
      </c>
      <c r="V1596" s="2">
        <f t="shared" ca="1" si="1508"/>
        <v>49127825.245682292</v>
      </c>
      <c r="W1596" s="2">
        <f t="shared" ca="1" si="1509"/>
        <v>48635347.180298835</v>
      </c>
      <c r="X1596" s="2">
        <f t="shared" ca="1" si="1510"/>
        <v>48147805.923000634</v>
      </c>
      <c r="Y1596" s="2">
        <f t="shared" ca="1" si="1511"/>
        <v>0.12797257617658858</v>
      </c>
      <c r="Z1596" s="2">
        <f t="shared" ca="1" si="1512"/>
        <v>0.13116160664722401</v>
      </c>
      <c r="AA1596" s="2">
        <f t="shared" ca="1" si="1513"/>
        <v>6414982.7143207416</v>
      </c>
      <c r="AB1596" s="2">
        <f t="shared" ca="1" si="1514"/>
        <v>6508932.7810203368</v>
      </c>
      <c r="AC1596" s="2">
        <f t="shared" ca="1" si="1515"/>
        <v>6443684.4903077418</v>
      </c>
      <c r="AD1596" s="2">
        <f t="shared" ca="1" si="1516"/>
        <v>6379090.2760135308</v>
      </c>
      <c r="AE1596" s="2">
        <f t="shared" ca="1" si="1517"/>
        <v>6315143.5813994911</v>
      </c>
      <c r="AF1596" s="2">
        <f t="shared" ca="1" si="1518"/>
        <v>1002555.8453193513</v>
      </c>
      <c r="AG1596" s="2">
        <f t="shared" ca="1" si="1519"/>
        <v>992505.8021783689</v>
      </c>
      <c r="AH1596" s="2">
        <f t="shared" ca="1" si="1520"/>
        <v>982556.5049136458</v>
      </c>
      <c r="AI1596" s="2">
        <f t="shared" ca="1" si="1521"/>
        <v>972706.94360597676</v>
      </c>
      <c r="AJ1596" s="2">
        <f t="shared" ca="1" si="1522"/>
        <v>962956.11846001272</v>
      </c>
      <c r="AK1596" s="2">
        <f t="shared" ca="1" si="1523"/>
        <v>0</v>
      </c>
      <c r="AL1596" s="2">
        <f t="shared" ca="1" si="1524"/>
        <v>0</v>
      </c>
      <c r="AM1596" s="2">
        <f t="shared" ca="1" si="1525"/>
        <v>0</v>
      </c>
      <c r="AN1596" s="2">
        <f t="shared" ca="1" si="1526"/>
        <v>0</v>
      </c>
      <c r="AO1596" s="2">
        <f t="shared" ca="1" si="1527"/>
        <v>0</v>
      </c>
      <c r="AP1596" s="2">
        <f t="shared" ca="1" si="1528"/>
        <v>2295296.2233887562</v>
      </c>
      <c r="AQ1596" s="2">
        <f t="shared" ca="1" si="1529"/>
        <v>810453.96785928495</v>
      </c>
      <c r="AR1596" s="2">
        <f t="shared" ca="1" si="1530"/>
        <v>837493.99641783512</v>
      </c>
      <c r="AS1596" s="2">
        <f t="shared" ca="1" si="1531"/>
        <v>823116.25812138838</v>
      </c>
      <c r="AT1596" s="2">
        <f t="shared" ca="1" si="1532"/>
        <v>808882.64834488742</v>
      </c>
      <c r="AU1596" s="2">
        <f t="shared" ca="1" si="1533"/>
        <v>794791.72228318779</v>
      </c>
      <c r="AV1596" s="2">
        <f t="shared" ca="1" si="1534"/>
        <v>2306676.6777533493</v>
      </c>
      <c r="AW1596" s="2">
        <f t="shared" ca="1" si="1535"/>
        <v>2383636.7590353764</v>
      </c>
      <c r="AX1596" s="2">
        <f t="shared" ca="1" si="1536"/>
        <v>2342715.5038839518</v>
      </c>
      <c r="AY1596" s="2">
        <f t="shared" ca="1" si="1537"/>
        <v>2302204.4606739101</v>
      </c>
      <c r="AZ1596" s="2">
        <f t="shared" ca="1" si="1538"/>
        <v>2262099.517267534</v>
      </c>
      <c r="BA1596" s="2">
        <f t="shared" ca="1" si="1539"/>
        <v>47997234.967343017</v>
      </c>
      <c r="BB1596" s="2">
        <f t="shared" ca="1" si="1540"/>
        <v>959944.69934686041</v>
      </c>
      <c r="BC1596" s="2">
        <f t="shared" ca="1" si="1541"/>
        <v>21533998.897009976</v>
      </c>
      <c r="BD1596" s="2">
        <f t="shared" ca="1" si="1542"/>
        <v>-18564831.387781877</v>
      </c>
      <c r="BE1596" s="2">
        <f t="shared" ca="1" si="1543"/>
        <v>2306676.6777533493</v>
      </c>
      <c r="BF1596" s="2">
        <f t="shared" ca="1" si="1544"/>
        <v>2383636.7590353764</v>
      </c>
      <c r="BG1596" s="2">
        <f t="shared" ca="1" si="1545"/>
        <v>2342715.5038839518</v>
      </c>
      <c r="BH1596" s="2">
        <f t="shared" ca="1" si="1546"/>
        <v>2302204.4606739101</v>
      </c>
      <c r="BI1596" s="2">
        <f t="shared" ca="1" si="1547"/>
        <v>23796098.414277509</v>
      </c>
      <c r="BJ1596" s="2">
        <f t="shared" ca="1" si="1548"/>
        <v>0.14893792338658796</v>
      </c>
      <c r="BK1596" s="2">
        <f t="shared" ca="1" si="1549"/>
        <v>2028058.4692579247</v>
      </c>
    </row>
    <row r="1597" spans="1:63" x14ac:dyDescent="0.3">
      <c r="A1597" s="2">
        <v>1596</v>
      </c>
      <c r="B1597" s="2">
        <f t="shared" ca="1" si="1488"/>
        <v>8.7799908446950292E-2</v>
      </c>
      <c r="C1597" s="2">
        <f t="shared" ca="1" si="1489"/>
        <v>6.4190463183156492</v>
      </c>
      <c r="D1597" s="2">
        <f t="shared" ca="1" si="1490"/>
        <v>0.47338288219019442</v>
      </c>
      <c r="E1597" s="2">
        <f t="shared" ca="1" si="1491"/>
        <v>7.4730188920983958</v>
      </c>
      <c r="F1597" s="2">
        <f t="shared" ca="1" si="1492"/>
        <v>0.78591678643203133</v>
      </c>
      <c r="G1597" s="2">
        <f t="shared" ca="1" si="1493"/>
        <v>6.3769995537599169E-2</v>
      </c>
      <c r="H1597" s="2">
        <f t="shared" ca="1" si="1494"/>
        <v>6.3769995537599169E-2</v>
      </c>
      <c r="I1597" s="2">
        <f t="shared" ca="1" si="1495"/>
        <v>0.13718541475998525</v>
      </c>
      <c r="J1597" s="2">
        <f t="shared" ca="1" si="1496"/>
        <v>4.5347384092368761E-3</v>
      </c>
      <c r="K1597" s="2">
        <f t="shared" ca="1" si="1497"/>
        <v>4.5347384092368761E-3</v>
      </c>
      <c r="L1597" s="2">
        <f t="shared" ca="1" si="1498"/>
        <v>0.11013383085216266</v>
      </c>
      <c r="M1597" s="2">
        <f t="shared" ca="1" si="1499"/>
        <v>-2.4516333977340307E-2</v>
      </c>
      <c r="N1597" s="2">
        <f t="shared" ca="1" si="1500"/>
        <v>-2.4516333977340307E-2</v>
      </c>
      <c r="O1597" s="2">
        <f t="shared" si="1501"/>
        <v>6000000</v>
      </c>
      <c r="P1597" s="2">
        <f t="shared" ca="1" si="1502"/>
        <v>38514277.909893893</v>
      </c>
      <c r="Q1597" s="2">
        <f t="shared" ca="1" si="1503"/>
        <v>962856.94774734741</v>
      </c>
      <c r="R1597" s="2">
        <f t="shared" ca="1" si="1504"/>
        <v>23108566.745936334</v>
      </c>
      <c r="S1597" s="2">
        <f t="shared" ca="1" si="1505"/>
        <v>15405711.163957559</v>
      </c>
      <c r="T1597" s="2">
        <f t="shared" ca="1" si="1506"/>
        <v>48774183.301132984</v>
      </c>
      <c r="U1597" s="2">
        <f t="shared" ca="1" si="1507"/>
        <v>51884512.752596281</v>
      </c>
      <c r="V1597" s="2">
        <f t="shared" ca="1" si="1508"/>
        <v>55193187.899299853</v>
      </c>
      <c r="W1597" s="2">
        <f t="shared" ca="1" si="1509"/>
        <v>58712857.24534408</v>
      </c>
      <c r="X1597" s="2">
        <f t="shared" ca="1" si="1510"/>
        <v>62456975.889879368</v>
      </c>
      <c r="Y1597" s="2">
        <f t="shared" ca="1" si="1511"/>
        <v>0.12226736920461843</v>
      </c>
      <c r="Z1597" s="2">
        <f t="shared" ca="1" si="1512"/>
        <v>0.12317431688646581</v>
      </c>
      <c r="AA1597" s="2">
        <f t="shared" ca="1" si="1513"/>
        <v>5963491.0773333618</v>
      </c>
      <c r="AB1597" s="2">
        <f t="shared" ca="1" si="1514"/>
        <v>6390839.4152881708</v>
      </c>
      <c r="AC1597" s="2">
        <f t="shared" ca="1" si="1515"/>
        <v>6798383.2162826099</v>
      </c>
      <c r="AD1597" s="2">
        <f t="shared" ca="1" si="1516"/>
        <v>7231916.0836478416</v>
      </c>
      <c r="AE1597" s="2">
        <f t="shared" ca="1" si="1517"/>
        <v>7693095.3400303563</v>
      </c>
      <c r="AF1597" s="2">
        <f t="shared" ca="1" si="1518"/>
        <v>975483.66602265975</v>
      </c>
      <c r="AG1597" s="2">
        <f t="shared" ca="1" si="1519"/>
        <v>1037690.2550519257</v>
      </c>
      <c r="AH1597" s="2">
        <f t="shared" ca="1" si="1520"/>
        <v>1103863.757985997</v>
      </c>
      <c r="AI1597" s="2">
        <f t="shared" ca="1" si="1521"/>
        <v>1174257.1449068817</v>
      </c>
      <c r="AJ1597" s="2">
        <f t="shared" ca="1" si="1522"/>
        <v>1249139.5177975874</v>
      </c>
      <c r="AK1597" s="2">
        <f t="shared" ca="1" si="1523"/>
        <v>0</v>
      </c>
      <c r="AL1597" s="2">
        <f t="shared" ca="1" si="1524"/>
        <v>31103.294514632969</v>
      </c>
      <c r="AM1597" s="2">
        <f t="shared" ca="1" si="1525"/>
        <v>33086.751467035712</v>
      </c>
      <c r="AN1597" s="2">
        <f t="shared" ca="1" si="1526"/>
        <v>35196.693460442279</v>
      </c>
      <c r="AO1597" s="2">
        <f t="shared" ca="1" si="1527"/>
        <v>37441.186445352883</v>
      </c>
      <c r="AP1597" s="2">
        <f t="shared" ca="1" si="1528"/>
        <v>2079771.0071342699</v>
      </c>
      <c r="AQ1597" s="2">
        <f t="shared" ca="1" si="1529"/>
        <v>756141.46508587257</v>
      </c>
      <c r="AR1597" s="2">
        <f t="shared" ca="1" si="1530"/>
        <v>851078.31980651361</v>
      </c>
      <c r="AS1597" s="2">
        <f t="shared" ca="1" si="1531"/>
        <v>939834.59730220924</v>
      </c>
      <c r="AT1597" s="2">
        <f t="shared" ca="1" si="1532"/>
        <v>1034250.8622177393</v>
      </c>
      <c r="AU1597" s="2">
        <f t="shared" ca="1" si="1533"/>
        <v>1134688.0519256098</v>
      </c>
      <c r="AV1597" s="2">
        <f t="shared" ca="1" si="1534"/>
        <v>2152094.9390905602</v>
      </c>
      <c r="AW1597" s="2">
        <f t="shared" ca="1" si="1535"/>
        <v>2391196.5387808289</v>
      </c>
      <c r="AX1597" s="2">
        <f t="shared" ca="1" si="1536"/>
        <v>2641827.1023930972</v>
      </c>
      <c r="AY1597" s="2">
        <f t="shared" ca="1" si="1537"/>
        <v>2908440.3759285081</v>
      </c>
      <c r="AZ1597" s="2">
        <f t="shared" ca="1" si="1538"/>
        <v>3192055.5767275365</v>
      </c>
      <c r="BA1597" s="2">
        <f t="shared" ca="1" si="1539"/>
        <v>57490646.814760983</v>
      </c>
      <c r="BB1597" s="2">
        <f t="shared" ca="1" si="1540"/>
        <v>1149812.9362952197</v>
      </c>
      <c r="BC1597" s="2">
        <f t="shared" ca="1" si="1541"/>
        <v>33232267.13252943</v>
      </c>
      <c r="BD1597" s="2">
        <f t="shared" ca="1" si="1542"/>
        <v>-16868568.111704908</v>
      </c>
      <c r="BE1597" s="2">
        <f t="shared" ca="1" si="1543"/>
        <v>2152094.9390905602</v>
      </c>
      <c r="BF1597" s="2">
        <f t="shared" ca="1" si="1544"/>
        <v>2391196.5387808289</v>
      </c>
      <c r="BG1597" s="2">
        <f t="shared" ca="1" si="1545"/>
        <v>2641827.1023930972</v>
      </c>
      <c r="BH1597" s="2">
        <f t="shared" ca="1" si="1546"/>
        <v>2908440.3759285081</v>
      </c>
      <c r="BI1597" s="2">
        <f t="shared" ca="1" si="1547"/>
        <v>36424322.709256969</v>
      </c>
      <c r="BJ1597" s="2">
        <f t="shared" ca="1" si="1548"/>
        <v>0.26522448088988093</v>
      </c>
      <c r="BK1597" s="2">
        <f t="shared" ca="1" si="1549"/>
        <v>11356098.162585977</v>
      </c>
    </row>
    <row r="1598" spans="1:63" x14ac:dyDescent="0.3">
      <c r="A1598" s="2">
        <v>1597</v>
      </c>
      <c r="B1598" s="2">
        <f t="shared" ca="1" si="1488"/>
        <v>0.60238140107531202</v>
      </c>
      <c r="C1598" s="2">
        <f t="shared" ca="1" si="1489"/>
        <v>7.108239270964809</v>
      </c>
      <c r="D1598" s="2">
        <f t="shared" ca="1" si="1490"/>
        <v>7.3061445945057479E-2</v>
      </c>
      <c r="E1598" s="2">
        <f t="shared" ca="1" si="1491"/>
        <v>6.8822602410532845</v>
      </c>
      <c r="F1598" s="2">
        <f t="shared" ca="1" si="1492"/>
        <v>0.59347628928346297</v>
      </c>
      <c r="G1598" s="2">
        <f t="shared" ca="1" si="1493"/>
        <v>4.7094895055175334E-2</v>
      </c>
      <c r="H1598" s="2">
        <f t="shared" ca="1" si="1494"/>
        <v>4.7094895055175334E-2</v>
      </c>
      <c r="I1598" s="2">
        <f t="shared" ca="1" si="1495"/>
        <v>0.62990537942619118</v>
      </c>
      <c r="J1598" s="2">
        <f t="shared" ca="1" si="1496"/>
        <v>1.1658013760781037E-2</v>
      </c>
      <c r="K1598" s="2">
        <f t="shared" ca="1" si="1497"/>
        <v>1.1658013760781037E-2</v>
      </c>
      <c r="L1598" s="2">
        <f t="shared" ca="1" si="1498"/>
        <v>4.5657125250336605E-2</v>
      </c>
      <c r="M1598" s="2">
        <f t="shared" ca="1" si="1499"/>
        <v>-3.3770108287375478E-2</v>
      </c>
      <c r="N1598" s="2">
        <f t="shared" ca="1" si="1500"/>
        <v>-3.3770108287375478E-2</v>
      </c>
      <c r="O1598" s="2">
        <f t="shared" si="1501"/>
        <v>6000000</v>
      </c>
      <c r="P1598" s="2">
        <f t="shared" ca="1" si="1502"/>
        <v>42649435.625788853</v>
      </c>
      <c r="Q1598" s="2">
        <f t="shared" ca="1" si="1503"/>
        <v>1066235.8906447215</v>
      </c>
      <c r="R1598" s="2">
        <f t="shared" ca="1" si="1504"/>
        <v>25589661.375473309</v>
      </c>
      <c r="S1598" s="2">
        <f t="shared" ca="1" si="1505"/>
        <v>17059774.250315543</v>
      </c>
      <c r="T1598" s="2">
        <f t="shared" ca="1" si="1506"/>
        <v>48311494.585631229</v>
      </c>
      <c r="U1598" s="2">
        <f t="shared" ca="1" si="1507"/>
        <v>50586719.353100203</v>
      </c>
      <c r="V1598" s="2">
        <f t="shared" ca="1" si="1508"/>
        <v>52969095.592220061</v>
      </c>
      <c r="W1598" s="2">
        <f t="shared" ca="1" si="1509"/>
        <v>55463669.590303212</v>
      </c>
      <c r="X1598" s="2">
        <f t="shared" ca="1" si="1510"/>
        <v>58075725.289033458</v>
      </c>
      <c r="Y1598" s="2">
        <f t="shared" ca="1" si="1511"/>
        <v>0.1258290068803905</v>
      </c>
      <c r="Z1598" s="2">
        <f t="shared" ca="1" si="1512"/>
        <v>0.12816060963254672</v>
      </c>
      <c r="AA1598" s="2">
        <f t="shared" ca="1" si="1513"/>
        <v>6078987.3846173408</v>
      </c>
      <c r="AB1598" s="2">
        <f t="shared" ca="1" si="1514"/>
        <v>6483224.7916038716</v>
      </c>
      <c r="AC1598" s="2">
        <f t="shared" ca="1" si="1515"/>
        <v>6788551.5827835659</v>
      </c>
      <c r="AD1598" s="2">
        <f t="shared" ca="1" si="1516"/>
        <v>7108257.7071514027</v>
      </c>
      <c r="AE1598" s="2">
        <f t="shared" ca="1" si="1517"/>
        <v>7443020.3578948388</v>
      </c>
      <c r="AF1598" s="2">
        <f t="shared" ca="1" si="1518"/>
        <v>966229.89171262458</v>
      </c>
      <c r="AG1598" s="2">
        <f t="shared" ca="1" si="1519"/>
        <v>1011734.3870620041</v>
      </c>
      <c r="AH1598" s="2">
        <f t="shared" ca="1" si="1520"/>
        <v>1059381.9118444012</v>
      </c>
      <c r="AI1598" s="2">
        <f t="shared" ca="1" si="1521"/>
        <v>1109273.3918060642</v>
      </c>
      <c r="AJ1598" s="2">
        <f t="shared" ca="1" si="1522"/>
        <v>1161514.5057806692</v>
      </c>
      <c r="AK1598" s="2">
        <f t="shared" ca="1" si="1523"/>
        <v>0</v>
      </c>
      <c r="AL1598" s="2">
        <f t="shared" ca="1" si="1524"/>
        <v>22752.247674689741</v>
      </c>
      <c r="AM1598" s="2">
        <f t="shared" ca="1" si="1525"/>
        <v>23823.762391198576</v>
      </c>
      <c r="AN1598" s="2">
        <f t="shared" ca="1" si="1526"/>
        <v>24945.73998083152</v>
      </c>
      <c r="AO1598" s="2">
        <f t="shared" ca="1" si="1527"/>
        <v>26120.556987302454</v>
      </c>
      <c r="AP1598" s="2">
        <f t="shared" ca="1" si="1528"/>
        <v>2303069.5237925979</v>
      </c>
      <c r="AQ1598" s="2">
        <f t="shared" ca="1" si="1529"/>
        <v>730518.87196915073</v>
      </c>
      <c r="AR1598" s="2">
        <f t="shared" ca="1" si="1530"/>
        <v>823789.42899481021</v>
      </c>
      <c r="AS1598" s="2">
        <f t="shared" ca="1" si="1531"/>
        <v>890786.03825810726</v>
      </c>
      <c r="AT1598" s="2">
        <f t="shared" ca="1" si="1532"/>
        <v>960937.84580371261</v>
      </c>
      <c r="AU1598" s="2">
        <f t="shared" ca="1" si="1533"/>
        <v>1034393.4453636088</v>
      </c>
      <c r="AV1598" s="2">
        <f t="shared" ca="1" si="1534"/>
        <v>2079169.0971429679</v>
      </c>
      <c r="AW1598" s="2">
        <f t="shared" ca="1" si="1535"/>
        <v>2321879.20407977</v>
      </c>
      <c r="AX1598" s="2">
        <f t="shared" ca="1" si="1536"/>
        <v>2511490.3464972605</v>
      </c>
      <c r="AY1598" s="2">
        <f t="shared" ca="1" si="1537"/>
        <v>2710031.2057681964</v>
      </c>
      <c r="AZ1598" s="2">
        <f t="shared" ca="1" si="1538"/>
        <v>2917922.3259706604</v>
      </c>
      <c r="BA1598" s="2">
        <f t="shared" ca="1" si="1539"/>
        <v>51224803.082489841</v>
      </c>
      <c r="BB1598" s="2">
        <f t="shared" ca="1" si="1540"/>
        <v>1024496.0616497968</v>
      </c>
      <c r="BC1598" s="2">
        <f t="shared" ca="1" si="1541"/>
        <v>24610645.645366736</v>
      </c>
      <c r="BD1598" s="2">
        <f t="shared" ca="1" si="1542"/>
        <v>-18626010.140960265</v>
      </c>
      <c r="BE1598" s="2">
        <f t="shared" ca="1" si="1543"/>
        <v>2079169.0971429679</v>
      </c>
      <c r="BF1598" s="2">
        <f t="shared" ca="1" si="1544"/>
        <v>2321879.20407977</v>
      </c>
      <c r="BG1598" s="2">
        <f t="shared" ca="1" si="1545"/>
        <v>2511490.3464972605</v>
      </c>
      <c r="BH1598" s="2">
        <f t="shared" ca="1" si="1546"/>
        <v>2710031.2057681964</v>
      </c>
      <c r="BI1598" s="2">
        <f t="shared" ca="1" si="1547"/>
        <v>27528567.971337397</v>
      </c>
      <c r="BJ1598" s="2">
        <f t="shared" ca="1" si="1548"/>
        <v>0.17632351198429475</v>
      </c>
      <c r="BK1598" s="2">
        <f t="shared" ca="1" si="1549"/>
        <v>4211730.5364665501</v>
      </c>
    </row>
    <row r="1599" spans="1:63" x14ac:dyDescent="0.3">
      <c r="A1599" s="2">
        <v>1598</v>
      </c>
      <c r="B1599" s="2">
        <f t="shared" ca="1" si="1488"/>
        <v>0.16636340816610862</v>
      </c>
      <c r="C1599" s="2">
        <f t="shared" ca="1" si="1489"/>
        <v>6.5768247709072636</v>
      </c>
      <c r="D1599" s="2">
        <f t="shared" ca="1" si="1490"/>
        <v>0.8852093146849993</v>
      </c>
      <c r="E1599" s="2">
        <f t="shared" ca="1" si="1491"/>
        <v>8.0208534977379031</v>
      </c>
      <c r="F1599" s="2">
        <f t="shared" ca="1" si="1492"/>
        <v>0.7139846614832227</v>
      </c>
      <c r="G1599" s="2">
        <f t="shared" ca="1" si="1493"/>
        <v>5.695190044596514E-2</v>
      </c>
      <c r="H1599" s="2">
        <f t="shared" ca="1" si="1494"/>
        <v>5.695190044596514E-2</v>
      </c>
      <c r="I1599" s="2">
        <f t="shared" ca="1" si="1495"/>
        <v>0.63584243433377441</v>
      </c>
      <c r="J1599" s="2">
        <f t="shared" ca="1" si="1496"/>
        <v>1.1736838264752553E-2</v>
      </c>
      <c r="K1599" s="2">
        <f t="shared" ca="1" si="1497"/>
        <v>1.1736838264752553E-2</v>
      </c>
      <c r="L1599" s="2">
        <f t="shared" ca="1" si="1498"/>
        <v>0.60954529704816363</v>
      </c>
      <c r="M1599" s="2">
        <f t="shared" ca="1" si="1499"/>
        <v>5.5626823683085792E-3</v>
      </c>
      <c r="N1599" s="2">
        <f t="shared" ca="1" si="1500"/>
        <v>5.5626823683085792E-3</v>
      </c>
      <c r="O1599" s="2">
        <f t="shared" si="1501"/>
        <v>6000000</v>
      </c>
      <c r="P1599" s="2">
        <f t="shared" ca="1" si="1502"/>
        <v>39460948.625443585</v>
      </c>
      <c r="Q1599" s="2">
        <f t="shared" ca="1" si="1503"/>
        <v>986523.71563608968</v>
      </c>
      <c r="R1599" s="2">
        <f t="shared" ca="1" si="1504"/>
        <v>23676569.17526615</v>
      </c>
      <c r="S1599" s="2">
        <f t="shared" ca="1" si="1505"/>
        <v>15784379.450177435</v>
      </c>
      <c r="T1599" s="2">
        <f t="shared" ca="1" si="1506"/>
        <v>50278134.11841543</v>
      </c>
      <c r="U1599" s="2">
        <f t="shared" ca="1" si="1507"/>
        <v>53141569.40733631</v>
      </c>
      <c r="V1599" s="2">
        <f t="shared" ca="1" si="1508"/>
        <v>56168082.777765274</v>
      </c>
      <c r="W1599" s="2">
        <f t="shared" ca="1" si="1509"/>
        <v>59366961.83636529</v>
      </c>
      <c r="X1599" s="2">
        <f t="shared" ca="1" si="1510"/>
        <v>62748023.136649378</v>
      </c>
      <c r="Y1599" s="2">
        <f t="shared" ca="1" si="1511"/>
        <v>0.12586841913237629</v>
      </c>
      <c r="Z1599" s="2">
        <f t="shared" ca="1" si="1512"/>
        <v>0.12821578678532677</v>
      </c>
      <c r="AA1599" s="2">
        <f t="shared" ca="1" si="1513"/>
        <v>6328429.2584105413</v>
      </c>
      <c r="AB1599" s="2">
        <f t="shared" ca="1" si="1514"/>
        <v>6813588.132568676</v>
      </c>
      <c r="AC1599" s="2">
        <f t="shared" ca="1" si="1515"/>
        <v>7201634.9255745374</v>
      </c>
      <c r="AD1599" s="2">
        <f t="shared" ca="1" si="1516"/>
        <v>7611781.7209040439</v>
      </c>
      <c r="AE1599" s="2">
        <f t="shared" ca="1" si="1517"/>
        <v>8045287.1556893876</v>
      </c>
      <c r="AF1599" s="2">
        <f t="shared" ca="1" si="1518"/>
        <v>1005562.6823683087</v>
      </c>
      <c r="AG1599" s="2">
        <f t="shared" ca="1" si="1519"/>
        <v>1062831.3881467262</v>
      </c>
      <c r="AH1599" s="2">
        <f t="shared" ca="1" si="1520"/>
        <v>1123361.6555553055</v>
      </c>
      <c r="AI1599" s="2">
        <f t="shared" ca="1" si="1521"/>
        <v>1187339.2367273059</v>
      </c>
      <c r="AJ1599" s="2">
        <f t="shared" ca="1" si="1522"/>
        <v>1254960.4627329875</v>
      </c>
      <c r="AK1599" s="2">
        <f t="shared" ca="1" si="1523"/>
        <v>0</v>
      </c>
      <c r="AL1599" s="2">
        <f t="shared" ca="1" si="1524"/>
        <v>28634.352889208792</v>
      </c>
      <c r="AM1599" s="2">
        <f t="shared" ca="1" si="1525"/>
        <v>30265.133704289645</v>
      </c>
      <c r="AN1599" s="2">
        <f t="shared" ca="1" si="1526"/>
        <v>31988.790586000159</v>
      </c>
      <c r="AO1599" s="2">
        <f t="shared" ca="1" si="1527"/>
        <v>33810.613002840881</v>
      </c>
      <c r="AP1599" s="2">
        <f t="shared" ca="1" si="1528"/>
        <v>2130891.2257739534</v>
      </c>
      <c r="AQ1599" s="2">
        <f t="shared" ca="1" si="1529"/>
        <v>829913.5910697527</v>
      </c>
      <c r="AR1599" s="2">
        <f t="shared" ca="1" si="1530"/>
        <v>941165.03484847909</v>
      </c>
      <c r="AS1599" s="2">
        <f t="shared" ca="1" si="1531"/>
        <v>1026319.3315037723</v>
      </c>
      <c r="AT1599" s="2">
        <f t="shared" ca="1" si="1532"/>
        <v>1116323.3271847242</v>
      </c>
      <c r="AU1599" s="2">
        <f t="shared" ca="1" si="1533"/>
        <v>1211453.2214674361</v>
      </c>
      <c r="AV1599" s="2">
        <f t="shared" ca="1" si="1534"/>
        <v>2362061.7591985273</v>
      </c>
      <c r="AW1599" s="2">
        <f t="shared" ca="1" si="1535"/>
        <v>2650066.1309103086</v>
      </c>
      <c r="AX1599" s="2">
        <f t="shared" ca="1" si="1536"/>
        <v>2890797.579037216</v>
      </c>
      <c r="AY1599" s="2">
        <f t="shared" ca="1" si="1537"/>
        <v>3145239.1406320608</v>
      </c>
      <c r="AZ1599" s="2">
        <f t="shared" ca="1" si="1538"/>
        <v>3414171.63271217</v>
      </c>
      <c r="BA1599" s="2">
        <f t="shared" ca="1" si="1539"/>
        <v>64530069.62301705</v>
      </c>
      <c r="BB1599" s="2">
        <f t="shared" ca="1" si="1540"/>
        <v>1290601.3924603411</v>
      </c>
      <c r="BC1599" s="2">
        <f t="shared" ca="1" si="1541"/>
        <v>39562899.055290557</v>
      </c>
      <c r="BD1599" s="2">
        <f t="shared" ca="1" si="1542"/>
        <v>-17270903.165813524</v>
      </c>
      <c r="BE1599" s="2">
        <f t="shared" ca="1" si="1543"/>
        <v>2362061.7591985273</v>
      </c>
      <c r="BF1599" s="2">
        <f t="shared" ca="1" si="1544"/>
        <v>2650066.1309103086</v>
      </c>
      <c r="BG1599" s="2">
        <f t="shared" ca="1" si="1545"/>
        <v>2890797.579037216</v>
      </c>
      <c r="BH1599" s="2">
        <f t="shared" ca="1" si="1546"/>
        <v>3145239.1406320608</v>
      </c>
      <c r="BI1599" s="2">
        <f t="shared" ca="1" si="1547"/>
        <v>42977070.688002728</v>
      </c>
      <c r="BJ1599" s="2">
        <f t="shared" ca="1" si="1548"/>
        <v>0.30194692835571568</v>
      </c>
      <c r="BK1599" s="2">
        <f t="shared" ca="1" si="1549"/>
        <v>15393510.082876638</v>
      </c>
    </row>
    <row r="1600" spans="1:63" x14ac:dyDescent="0.3">
      <c r="A1600" s="2">
        <v>1599</v>
      </c>
      <c r="B1600" s="2">
        <f t="shared" ca="1" si="1488"/>
        <v>0.69386426917770339</v>
      </c>
      <c r="C1600" s="2">
        <f t="shared" ca="1" si="1489"/>
        <v>7.2175222292968364</v>
      </c>
      <c r="D1600" s="2">
        <f t="shared" ca="1" si="1490"/>
        <v>0.76847483154247087</v>
      </c>
      <c r="E1600" s="2">
        <f t="shared" ca="1" si="1491"/>
        <v>7.8195219791094956</v>
      </c>
      <c r="F1600" s="2">
        <f t="shared" ca="1" si="1492"/>
        <v>0.82528233044880728</v>
      </c>
      <c r="G1600" s="2">
        <f t="shared" ca="1" si="1493"/>
        <v>6.8070553309201795E-2</v>
      </c>
      <c r="H1600" s="2">
        <f t="shared" ca="1" si="1494"/>
        <v>6.8070553309201795E-2</v>
      </c>
      <c r="I1600" s="2">
        <f t="shared" ca="1" si="1495"/>
        <v>0.48535337633311371</v>
      </c>
      <c r="J1600" s="2">
        <f t="shared" ca="1" si="1496"/>
        <v>9.8163905371422399E-3</v>
      </c>
      <c r="K1600" s="2">
        <f t="shared" ca="1" si="1497"/>
        <v>9.8163905371422399E-3</v>
      </c>
      <c r="L1600" s="2">
        <f t="shared" ca="1" si="1498"/>
        <v>0.89249663155817371</v>
      </c>
      <c r="M1600" s="2">
        <f t="shared" ca="1" si="1499"/>
        <v>2.4798305312602111E-2</v>
      </c>
      <c r="N1600" s="2">
        <f t="shared" ca="1" si="1500"/>
        <v>2.4798305312602111E-2</v>
      </c>
      <c r="O1600" s="2">
        <f t="shared" si="1501"/>
        <v>6000000</v>
      </c>
      <c r="P1600" s="2">
        <f t="shared" ca="1" si="1502"/>
        <v>43305133.375781022</v>
      </c>
      <c r="Q1600" s="2">
        <f t="shared" ca="1" si="1503"/>
        <v>1082628.3343945255</v>
      </c>
      <c r="R1600" s="2">
        <f t="shared" ca="1" si="1504"/>
        <v>25983080.025468614</v>
      </c>
      <c r="S1600" s="2">
        <f t="shared" ca="1" si="1505"/>
        <v>17322053.350312408</v>
      </c>
      <c r="T1600" s="2">
        <f t="shared" ca="1" si="1506"/>
        <v>51239915.265630111</v>
      </c>
      <c r="U1600" s="2">
        <f t="shared" ca="1" si="1507"/>
        <v>54727844.649278171</v>
      </c>
      <c r="V1600" s="2">
        <f t="shared" ca="1" si="1508"/>
        <v>58453199.315974578</v>
      </c>
      <c r="W1600" s="2">
        <f t="shared" ca="1" si="1509"/>
        <v>62432140.936106026</v>
      </c>
      <c r="X1600" s="2">
        <f t="shared" ca="1" si="1510"/>
        <v>66681931.313904837</v>
      </c>
      <c r="Y1600" s="2">
        <f t="shared" ca="1" si="1511"/>
        <v>0.12490819526857111</v>
      </c>
      <c r="Z1600" s="2">
        <f t="shared" ca="1" si="1512"/>
        <v>0.12687147337599958</v>
      </c>
      <c r="AA1600" s="2">
        <f t="shared" ca="1" si="1513"/>
        <v>6400285.3415443636</v>
      </c>
      <c r="AB1600" s="2">
        <f t="shared" ca="1" si="1514"/>
        <v>6943402.2853467362</v>
      </c>
      <c r="AC1600" s="2">
        <f t="shared" ca="1" si="1515"/>
        <v>7416043.5207586652</v>
      </c>
      <c r="AD1600" s="2">
        <f t="shared" ca="1" si="1516"/>
        <v>7920857.7065818291</v>
      </c>
      <c r="AE1600" s="2">
        <f t="shared" ca="1" si="1517"/>
        <v>8460034.8733523097</v>
      </c>
      <c r="AF1600" s="2">
        <f t="shared" ca="1" si="1518"/>
        <v>1024798.3053126022</v>
      </c>
      <c r="AG1600" s="2">
        <f t="shared" ca="1" si="1519"/>
        <v>1094556.8929855635</v>
      </c>
      <c r="AH1600" s="2">
        <f t="shared" ca="1" si="1520"/>
        <v>1169063.9863194916</v>
      </c>
      <c r="AI1600" s="2">
        <f t="shared" ca="1" si="1521"/>
        <v>1248642.8187221205</v>
      </c>
      <c r="AJ1600" s="2">
        <f t="shared" ca="1" si="1522"/>
        <v>1333638.6262780968</v>
      </c>
      <c r="AK1600" s="2">
        <f t="shared" ca="1" si="1523"/>
        <v>0</v>
      </c>
      <c r="AL1600" s="2">
        <f t="shared" ca="1" si="1524"/>
        <v>34879.293836480603</v>
      </c>
      <c r="AM1600" s="2">
        <f t="shared" ca="1" si="1525"/>
        <v>37253.546666964066</v>
      </c>
      <c r="AN1600" s="2">
        <f t="shared" ca="1" si="1526"/>
        <v>39789.416201314481</v>
      </c>
      <c r="AO1600" s="2">
        <f t="shared" ca="1" si="1527"/>
        <v>42497.903777988104</v>
      </c>
      <c r="AP1600" s="2">
        <f t="shared" ca="1" si="1528"/>
        <v>2338477.202292175</v>
      </c>
      <c r="AQ1600" s="2">
        <f t="shared" ca="1" si="1529"/>
        <v>789622.55682429264</v>
      </c>
      <c r="AR1600" s="2">
        <f t="shared" ca="1" si="1530"/>
        <v>912695.72941793932</v>
      </c>
      <c r="AS1600" s="2">
        <f t="shared" ca="1" si="1531"/>
        <v>1016210.6063582196</v>
      </c>
      <c r="AT1600" s="2">
        <f t="shared" ca="1" si="1532"/>
        <v>1126771.7982475588</v>
      </c>
      <c r="AU1600" s="2">
        <f t="shared" ca="1" si="1533"/>
        <v>1244858.9516433298</v>
      </c>
      <c r="AV1600" s="2">
        <f t="shared" ca="1" si="1534"/>
        <v>2247387.2771152938</v>
      </c>
      <c r="AW1600" s="2">
        <f t="shared" ca="1" si="1535"/>
        <v>2562793.1668145768</v>
      </c>
      <c r="AX1600" s="2">
        <f t="shared" ca="1" si="1536"/>
        <v>2855038.1791218147</v>
      </c>
      <c r="AY1600" s="2">
        <f t="shared" ca="1" si="1537"/>
        <v>3167176.4711186597</v>
      </c>
      <c r="AZ1600" s="2">
        <f t="shared" ca="1" si="1538"/>
        <v>3500562.1893607201</v>
      </c>
      <c r="BA1600" s="2">
        <f t="shared" ca="1" si="1539"/>
        <v>66153428.636211202</v>
      </c>
      <c r="BB1600" s="2">
        <f t="shared" ca="1" si="1540"/>
        <v>1323068.5727242241</v>
      </c>
      <c r="BC1600" s="2">
        <f t="shared" ca="1" si="1541"/>
        <v>38847280.038018361</v>
      </c>
      <c r="BD1600" s="2">
        <f t="shared" ca="1" si="1542"/>
        <v>-18904681.684706934</v>
      </c>
      <c r="BE1600" s="2">
        <f t="shared" ca="1" si="1543"/>
        <v>2247387.2771152938</v>
      </c>
      <c r="BF1600" s="2">
        <f t="shared" ca="1" si="1544"/>
        <v>2562793.1668145768</v>
      </c>
      <c r="BG1600" s="2">
        <f t="shared" ca="1" si="1545"/>
        <v>2855038.1791218147</v>
      </c>
      <c r="BH1600" s="2">
        <f t="shared" ca="1" si="1546"/>
        <v>3167176.4711186597</v>
      </c>
      <c r="BI1600" s="2">
        <f t="shared" ca="1" si="1547"/>
        <v>42347842.227379084</v>
      </c>
      <c r="BJ1600" s="2">
        <f t="shared" ca="1" si="1548"/>
        <v>0.26810339812458839</v>
      </c>
      <c r="BK1600" s="2">
        <f t="shared" ca="1" si="1549"/>
        <v>13219217.769541319</v>
      </c>
    </row>
    <row r="1601" spans="1:63" x14ac:dyDescent="0.3">
      <c r="A1601" s="2">
        <v>1600</v>
      </c>
      <c r="B1601" s="2">
        <f t="shared" ca="1" si="1488"/>
        <v>0.58415324900671872</v>
      </c>
      <c r="C1601" s="2">
        <f t="shared" ca="1" si="1489"/>
        <v>7.0880276857346143</v>
      </c>
      <c r="D1601" s="2">
        <f t="shared" ca="1" si="1490"/>
        <v>0.76659069783435807</v>
      </c>
      <c r="E1601" s="2">
        <f t="shared" ca="1" si="1491"/>
        <v>7.8167587510027783</v>
      </c>
      <c r="F1601" s="2">
        <f t="shared" ca="1" si="1492"/>
        <v>3.6474228026305844E-2</v>
      </c>
      <c r="G1601" s="2">
        <f t="shared" ca="1" si="1493"/>
        <v>-1.3794591294950677E-2</v>
      </c>
      <c r="H1601" s="2">
        <f t="shared" ca="1" si="1494"/>
        <v>-1.3794591294950677E-2</v>
      </c>
      <c r="I1601" s="2">
        <f t="shared" ca="1" si="1495"/>
        <v>0.50681773365902461</v>
      </c>
      <c r="J1601" s="2">
        <f t="shared" ca="1" si="1496"/>
        <v>1.0085451779407215E-2</v>
      </c>
      <c r="K1601" s="2">
        <f t="shared" ca="1" si="1497"/>
        <v>1.0085451779407215E-2</v>
      </c>
      <c r="L1601" s="2">
        <f t="shared" ca="1" si="1498"/>
        <v>0.1869903043480583</v>
      </c>
      <c r="M1601" s="2">
        <f t="shared" ca="1" si="1499"/>
        <v>-1.778083625459824E-2</v>
      </c>
      <c r="N1601" s="2">
        <f t="shared" ca="1" si="1500"/>
        <v>-1.778083625459824E-2</v>
      </c>
      <c r="O1601" s="2">
        <f t="shared" si="1501"/>
        <v>6000000</v>
      </c>
      <c r="P1601" s="2">
        <f t="shared" ca="1" si="1502"/>
        <v>42528166.114407688</v>
      </c>
      <c r="Q1601" s="2">
        <f t="shared" ca="1" si="1503"/>
        <v>1063204.1528601923</v>
      </c>
      <c r="R1601" s="2">
        <f t="shared" ca="1" si="1504"/>
        <v>25516899.668644611</v>
      </c>
      <c r="S1601" s="2">
        <f t="shared" ca="1" si="1505"/>
        <v>17011266.445763078</v>
      </c>
      <c r="T1601" s="2">
        <f t="shared" ca="1" si="1506"/>
        <v>49110958.18727009</v>
      </c>
      <c r="U1601" s="2">
        <f t="shared" ca="1" si="1507"/>
        <v>48433492.590973288</v>
      </c>
      <c r="V1601" s="2">
        <f t="shared" ca="1" si="1508"/>
        <v>47765372.355693795</v>
      </c>
      <c r="W1601" s="2">
        <f t="shared" ca="1" si="1509"/>
        <v>47106468.565995865</v>
      </c>
      <c r="X1601" s="2">
        <f t="shared" ca="1" si="1510"/>
        <v>46456654.084779508</v>
      </c>
      <c r="Y1601" s="2">
        <f t="shared" ca="1" si="1511"/>
        <v>0.12504272588970361</v>
      </c>
      <c r="Z1601" s="2">
        <f t="shared" ca="1" si="1512"/>
        <v>0.12705981624558504</v>
      </c>
      <c r="AA1601" s="2">
        <f t="shared" ca="1" si="1513"/>
        <v>6140968.0827915091</v>
      </c>
      <c r="AB1601" s="2">
        <f t="shared" ca="1" si="1514"/>
        <v>6153950.668740971</v>
      </c>
      <c r="AC1601" s="2">
        <f t="shared" ca="1" si="1515"/>
        <v>6069059.4344164012</v>
      </c>
      <c r="AD1601" s="2">
        <f t="shared" ca="1" si="1516"/>
        <v>5985339.2399738627</v>
      </c>
      <c r="AE1601" s="2">
        <f t="shared" ca="1" si="1517"/>
        <v>5902773.9313967926</v>
      </c>
      <c r="AF1601" s="2">
        <f t="shared" ca="1" si="1518"/>
        <v>982219.16374540178</v>
      </c>
      <c r="AG1601" s="2">
        <f t="shared" ca="1" si="1519"/>
        <v>968669.85181946575</v>
      </c>
      <c r="AH1601" s="2">
        <f t="shared" ca="1" si="1520"/>
        <v>955307.44711387588</v>
      </c>
      <c r="AI1601" s="2">
        <f t="shared" ca="1" si="1521"/>
        <v>942129.37131991726</v>
      </c>
      <c r="AJ1601" s="2">
        <f t="shared" ca="1" si="1522"/>
        <v>929133.08169559017</v>
      </c>
      <c r="AK1601" s="2">
        <f t="shared" ca="1" si="1523"/>
        <v>0</v>
      </c>
      <c r="AL1601" s="2">
        <f t="shared" ca="1" si="1524"/>
        <v>0</v>
      </c>
      <c r="AM1601" s="2">
        <f t="shared" ca="1" si="1525"/>
        <v>0</v>
      </c>
      <c r="AN1601" s="2">
        <f t="shared" ca="1" si="1526"/>
        <v>0</v>
      </c>
      <c r="AO1601" s="2">
        <f t="shared" ca="1" si="1527"/>
        <v>0</v>
      </c>
      <c r="AP1601" s="2">
        <f t="shared" ca="1" si="1528"/>
        <v>2296520.9701780151</v>
      </c>
      <c r="AQ1601" s="2">
        <f t="shared" ca="1" si="1529"/>
        <v>744179.26670570415</v>
      </c>
      <c r="AR1601" s="2">
        <f t="shared" ca="1" si="1530"/>
        <v>751077.56015330739</v>
      </c>
      <c r="AS1601" s="2">
        <f t="shared" ca="1" si="1531"/>
        <v>732480.06445237261</v>
      </c>
      <c r="AT1601" s="2">
        <f t="shared" ca="1" si="1532"/>
        <v>714139.11360374198</v>
      </c>
      <c r="AU1601" s="2">
        <f t="shared" ca="1" si="1533"/>
        <v>696051.16867602873</v>
      </c>
      <c r="AV1601" s="2">
        <f t="shared" ca="1" si="1534"/>
        <v>2118048.6821623887</v>
      </c>
      <c r="AW1601" s="2">
        <f t="shared" ca="1" si="1535"/>
        <v>2137682.2865901827</v>
      </c>
      <c r="AX1601" s="2">
        <f t="shared" ca="1" si="1536"/>
        <v>2084750.9526721374</v>
      </c>
      <c r="AY1601" s="2">
        <f t="shared" ca="1" si="1537"/>
        <v>2032549.7848721887</v>
      </c>
      <c r="AZ1601" s="2">
        <f t="shared" ca="1" si="1538"/>
        <v>1981068.7108471585</v>
      </c>
      <c r="BA1601" s="2">
        <f t="shared" ca="1" si="1539"/>
        <v>46140559.783436954</v>
      </c>
      <c r="BB1601" s="2">
        <f t="shared" ca="1" si="1540"/>
        <v>922811.19566873915</v>
      </c>
      <c r="BC1601" s="2">
        <f t="shared" ca="1" si="1541"/>
        <v>19700848.919123605</v>
      </c>
      <c r="BD1601" s="2">
        <f t="shared" ca="1" si="1542"/>
        <v>-18574470.598623268</v>
      </c>
      <c r="BE1601" s="2">
        <f t="shared" ca="1" si="1543"/>
        <v>2118048.6821623887</v>
      </c>
      <c r="BF1601" s="2">
        <f t="shared" ca="1" si="1544"/>
        <v>2137682.2865901827</v>
      </c>
      <c r="BG1601" s="2">
        <f t="shared" ca="1" si="1545"/>
        <v>2084750.9526721374</v>
      </c>
      <c r="BH1601" s="2">
        <f t="shared" ca="1" si="1546"/>
        <v>2032549.7848721887</v>
      </c>
      <c r="BI1601" s="2">
        <f t="shared" ca="1" si="1547"/>
        <v>21681917.629970763</v>
      </c>
      <c r="BJ1601" s="2">
        <f t="shared" ca="1" si="1548"/>
        <v>0.12146039700500921</v>
      </c>
      <c r="BK1601" s="2">
        <f t="shared" ca="1" si="1549"/>
        <v>99300.557173855603</v>
      </c>
    </row>
    <row r="1602" spans="1:63" x14ac:dyDescent="0.3">
      <c r="A1602" s="2">
        <v>1601</v>
      </c>
      <c r="B1602" s="2">
        <f t="shared" ref="B1602:B1665" ca="1" si="1550">RAND()</f>
        <v>0.77724152510405142</v>
      </c>
      <c r="C1602" s="2">
        <f t="shared" ref="C1602:C1665" ca="1" si="1551">IF(B1602&lt;((P_Mode)-(P_Low))/((P_High)-(P_Low)), (P_Low)+SQRT(B1602*((P_High)-(P_Low))*((P_Mode)-(P_Low))), (P_High)-SQRT((1-B1602)*((P_High)-(P_Low))*((P_High)-(P_Mode))))</f>
        <v>7.3325294390073097</v>
      </c>
      <c r="D1602" s="2">
        <f t="shared" ref="D1602:D1665" ca="1" si="1552">RAND()</f>
        <v>0.49064539871173274</v>
      </c>
      <c r="E1602" s="2">
        <f t="shared" ref="E1602:E1665" ca="1" si="1553">IF(D1602&lt;((X_Mode)-(X_Low))/((X_High)-(X_Low)), (X_Low)+SQRT(D1602*((X_High)-(X_Low))*((X_Mode)-(X_Low))), (X_High)-SQRT((1-D1602)*((X_High)-(X_Low))*((X_High)-(X_Mode))))</f>
        <v>7.4906012302755665</v>
      </c>
      <c r="F1602" s="2">
        <f t="shared" ref="F1602:F1665" ca="1" si="1554">RAND()</f>
        <v>0.11482563531438494</v>
      </c>
      <c r="G1602" s="2">
        <f t="shared" ref="G1602:G1665" ca="1" si="1555">NORMINV(F1602, g_Mean, g_SD)</f>
        <v>3.9622703342221607E-3</v>
      </c>
      <c r="H1602" s="2">
        <f t="shared" ref="H1602:H1665" ca="1" si="1556">MIN(MAX(G1602, g_Min), g_Max)</f>
        <v>3.9622703342221607E-3</v>
      </c>
      <c r="I1602" s="2">
        <f t="shared" ref="I1602:I1665" ca="1" si="1557">RAND()</f>
        <v>9.5407115582511248E-2</v>
      </c>
      <c r="J1602" s="2">
        <f t="shared" ref="J1602:J1665" ca="1" si="1558">NORMINV(I1602, syn_Mean, syn_SD)</f>
        <v>3.4591290053434124E-3</v>
      </c>
      <c r="K1602" s="2">
        <f t="shared" ref="K1602:K1665" ca="1" si="1559">MIN(MAX(J1602, syn_Min), syn_Max)</f>
        <v>3.4591290053434124E-3</v>
      </c>
      <c r="L1602" s="2">
        <f t="shared" ref="L1602:L1665" ca="1" si="1560">RAND()</f>
        <v>0.59472846850475314</v>
      </c>
      <c r="M1602" s="2">
        <f t="shared" ref="M1602:M1665" ca="1" si="1561">NORMINV(L1602, shk_Mean, shk_SD)</f>
        <v>4.7945100552773175E-3</v>
      </c>
      <c r="N1602" s="2">
        <f t="shared" ref="N1602:N1665" ca="1" si="1562">MIN(MAX(M1602, shk_Min), shk_Max)</f>
        <v>4.7945100552773175E-3</v>
      </c>
      <c r="O1602" s="2">
        <f t="shared" ref="O1602:O1665" si="1563">BaseRev*BaseMargin</f>
        <v>6000000</v>
      </c>
      <c r="P1602" s="2">
        <f t="shared" ref="P1602:P1665" ca="1" si="1564">O1602*C1602</f>
        <v>43995176.634043857</v>
      </c>
      <c r="Q1602" s="2">
        <f t="shared" ref="Q1602:Q1665" ca="1" si="1565">P1602*TxnCostPct</f>
        <v>1099879.4158510964</v>
      </c>
      <c r="R1602" s="2">
        <f t="shared" ref="R1602:R1665" ca="1" si="1566">P1602*DebtPct</f>
        <v>26397105.980426315</v>
      </c>
      <c r="S1602" s="2">
        <f t="shared" ref="S1602:S1665" ca="1" si="1567">P1602*EqPct</f>
        <v>17598070.653617542</v>
      </c>
      <c r="T1602" s="2">
        <f t="shared" ref="T1602:T1665" ca="1" si="1568">BaseRev*(1+N1602)</f>
        <v>50239725.502763867</v>
      </c>
      <c r="U1602" s="2">
        <f t="shared" ref="U1602:U1665" ca="1" si="1569">T1602*(1+H1602)</f>
        <v>50438788.876722932</v>
      </c>
      <c r="V1602" s="2">
        <f t="shared" ref="V1602:V1665" ca="1" si="1570">U1602*(1+H1602)</f>
        <v>50638640.993583262</v>
      </c>
      <c r="W1602" s="2">
        <f t="shared" ref="W1602:W1665" ca="1" si="1571">V1602*(1+H1602)</f>
        <v>50839284.97855746</v>
      </c>
      <c r="X1602" s="2">
        <f t="shared" ref="X1602:X1665" ca="1" si="1572">W1602*(1+H1602)</f>
        <v>51040723.96924106</v>
      </c>
      <c r="Y1602" s="2">
        <f t="shared" ref="Y1602:Y1665" ca="1" si="1573">BaseMargin + SynReal_Y1*K1602</f>
        <v>0.12172956450267171</v>
      </c>
      <c r="Z1602" s="2">
        <f t="shared" ref="Z1602:Z1665" ca="1" si="1574">BaseMargin + SynReal_Y2toY5*K1602</f>
        <v>0.12242139030374038</v>
      </c>
      <c r="AA1602" s="2">
        <f t="shared" ref="AA1602:AA1665" ca="1" si="1575">T1602*Y1602</f>
        <v>6115659.9061852153</v>
      </c>
      <c r="AB1602" s="2">
        <f t="shared" ref="AB1602:AB1665" ca="1" si="1576">U1602*Z1602</f>
        <v>6174786.6595252575</v>
      </c>
      <c r="AC1602" s="2">
        <f t="shared" ref="AC1602:AC1665" ca="1" si="1577">V1602*Z1602</f>
        <v>6199252.8335264446</v>
      </c>
      <c r="AD1602" s="2">
        <f t="shared" ref="AD1602:AD1665" ca="1" si="1578">W1602*Z1602</f>
        <v>6223815.9491230687</v>
      </c>
      <c r="AE1602" s="2">
        <f t="shared" ref="AE1602:AE1665" ca="1" si="1579">X1602*Z1602</f>
        <v>6248476.3904239368</v>
      </c>
      <c r="AF1602" s="2">
        <f t="shared" ref="AF1602:AF1665" ca="1" si="1580">T1602*CapexPct</f>
        <v>1004794.5100552774</v>
      </c>
      <c r="AG1602" s="2">
        <f t="shared" ref="AG1602:AG1665" ca="1" si="1581">U1602*CapexPct</f>
        <v>1008775.7775344587</v>
      </c>
      <c r="AH1602" s="2">
        <f t="shared" ref="AH1602:AH1665" ca="1" si="1582">V1602*CapexPct</f>
        <v>1012772.8198716652</v>
      </c>
      <c r="AI1602" s="2">
        <f t="shared" ref="AI1602:AI1665" ca="1" si="1583">W1602*CapexPct</f>
        <v>1016785.6995711492</v>
      </c>
      <c r="AJ1602" s="2">
        <f t="shared" ref="AJ1602:AJ1665" ca="1" si="1584">X1602*CapexPct</f>
        <v>1020814.4793848213</v>
      </c>
      <c r="AK1602" s="2">
        <f t="shared" ref="AK1602:AK1665" ca="1" si="1585">MAX(T1602-BaseRev*(1+N1602),0)*WCPct</f>
        <v>0</v>
      </c>
      <c r="AL1602" s="2">
        <f t="shared" ref="AL1602:AL1665" ca="1" si="1586">MAX(U1602-T1602,0)*WCPct</f>
        <v>1990.6337395906448</v>
      </c>
      <c r="AM1602" s="2">
        <f t="shared" ref="AM1602:AM1665" ca="1" si="1587">MAX(V1602-U1602,0)*WCPct</f>
        <v>1998.521168603301</v>
      </c>
      <c r="AN1602" s="2">
        <f t="shared" ref="AN1602:AN1665" ca="1" si="1588">MAX(W1602-V1602,0)*WCPct</f>
        <v>2006.4398497419804</v>
      </c>
      <c r="AO1602" s="2">
        <f t="shared" ref="AO1602:AO1665" ca="1" si="1589">MAX(X1602-W1602,0)*WCPct</f>
        <v>2014.3899068360031</v>
      </c>
      <c r="AP1602" s="2">
        <f t="shared" ref="AP1602:AP1665" ca="1" si="1590">R1602*DebtRate</f>
        <v>2375739.5382383685</v>
      </c>
      <c r="AQ1602" s="2">
        <f t="shared" ref="AQ1602:AQ1665" ca="1" si="1591">MAX(AA1602-AF1602-AP1602,0)*Tax</f>
        <v>711132.72305180808</v>
      </c>
      <c r="AR1602" s="2">
        <f t="shared" ref="AR1602:AR1665" ca="1" si="1592">MAX(AB1602-AG1602-AP1602,0)*Tax</f>
        <v>725470.54937563185</v>
      </c>
      <c r="AS1602" s="2">
        <f t="shared" ref="AS1602:AS1665" ca="1" si="1593">MAX(AC1602-AH1602-AP1602,0)*Tax</f>
        <v>730792.52360826696</v>
      </c>
      <c r="AT1602" s="2">
        <f t="shared" ref="AT1602:AT1665" ca="1" si="1594">MAX(AD1602-AI1602-AP1602,0)*Tax</f>
        <v>736135.58494152327</v>
      </c>
      <c r="AU1602" s="2">
        <f t="shared" ref="AU1602:AU1665" ca="1" si="1595">MAX(AE1602-AJ1602-AP1602,0)*Tax</f>
        <v>741499.81692819437</v>
      </c>
      <c r="AV1602" s="2">
        <f t="shared" ref="AV1602:AV1665" ca="1" si="1596">AA1602-AF1602-AK1602-AQ1602-AP1602</f>
        <v>2023993.1348397615</v>
      </c>
      <c r="AW1602" s="2">
        <f t="shared" ref="AW1602:AW1665" ca="1" si="1597">AB1602-AG1602-AL1602-AR1602-AP1602</f>
        <v>2062810.1606372078</v>
      </c>
      <c r="AX1602" s="2">
        <f t="shared" ref="AX1602:AX1665" ca="1" si="1598">AC1602-AH1602-AM1602-AS1602-AP1602</f>
        <v>2077949.4306395403</v>
      </c>
      <c r="AY1602" s="2">
        <f t="shared" ref="AY1602:AY1665" ca="1" si="1599">AD1602-AI1602-AN1602-AT1602-AP1602</f>
        <v>2093148.6865222859</v>
      </c>
      <c r="AZ1602" s="2">
        <f t="shared" ref="AZ1602:AZ1665" ca="1" si="1600">AE1602-AJ1602-AO1602-AU1602-AP1602</f>
        <v>2108408.1659657178</v>
      </c>
      <c r="BA1602" s="2">
        <f t="shared" ref="BA1602:BA1665" ca="1" si="1601">AE1602*E1602</f>
        <v>46804844.937457368</v>
      </c>
      <c r="BB1602" s="2">
        <f t="shared" ref="BB1602:BB1665" ca="1" si="1602">BA1602*SellCostPct</f>
        <v>936096.89874914743</v>
      </c>
      <c r="BC1602" s="2">
        <f t="shared" ref="BC1602:BC1665" ca="1" si="1603">BA1602-R1602-BB1602</f>
        <v>19471642.058281906</v>
      </c>
      <c r="BD1602" s="2">
        <f t="shared" ref="BD1602:BD1665" ca="1" si="1604">-S1602-Q1602-IntegrationPct*BaseRev</f>
        <v>-19197950.06946864</v>
      </c>
      <c r="BE1602" s="2">
        <f t="shared" ref="BE1602:BE1665" ca="1" si="1605">AV1602</f>
        <v>2023993.1348397615</v>
      </c>
      <c r="BF1602" s="2">
        <f t="shared" ref="BF1602:BF1665" ca="1" si="1606">AW1602</f>
        <v>2062810.1606372078</v>
      </c>
      <c r="BG1602" s="2">
        <f t="shared" ref="BG1602:BG1665" ca="1" si="1607">AX1602</f>
        <v>2077949.4306395403</v>
      </c>
      <c r="BH1602" s="2">
        <f t="shared" ref="BH1602:BH1665" ca="1" si="1608">AY1602</f>
        <v>2093148.6865222859</v>
      </c>
      <c r="BI1602" s="2">
        <f t="shared" ref="BI1602:BI1665" ca="1" si="1609">AZ1602+BC1602</f>
        <v>21580050.224247623</v>
      </c>
      <c r="BJ1602" s="2">
        <f t="shared" ref="BJ1602:BJ1665" ca="1" si="1610">IF(MIN(BD1602:BI1602)*MAX(BD1602:BI1602)&gt;=0, "", IFERROR(IRR(BD1602:BI1602,0.12), IFERROR(IRR(BD1602:BI1602,0.5), IFERROR(IRR(BD1602:BI1602,-0.5),""))))</f>
        <v>0.11006441918483056</v>
      </c>
      <c r="BK1602" s="2">
        <f t="shared" ref="BK1602:BK1665" ca="1" si="1611">NPV(12%,BE1602:BI1602)+BD1602</f>
        <v>-691976.474570252</v>
      </c>
    </row>
    <row r="1603" spans="1:63" x14ac:dyDescent="0.3">
      <c r="A1603" s="2">
        <v>1602</v>
      </c>
      <c r="B1603" s="2">
        <f t="shared" ca="1" si="1550"/>
        <v>0.81285365436201173</v>
      </c>
      <c r="C1603" s="2">
        <f t="shared" ca="1" si="1551"/>
        <v>7.3882053520371587</v>
      </c>
      <c r="D1603" s="2">
        <f t="shared" ca="1" si="1552"/>
        <v>0.4751489417063951</v>
      </c>
      <c r="E1603" s="2">
        <f t="shared" ca="1" si="1553"/>
        <v>7.4748322334703499</v>
      </c>
      <c r="F1603" s="2">
        <f t="shared" ca="1" si="1554"/>
        <v>0.6138650838537818</v>
      </c>
      <c r="G1603" s="2">
        <f t="shared" ca="1" si="1555"/>
        <v>4.8682214178511637E-2</v>
      </c>
      <c r="H1603" s="2">
        <f t="shared" ca="1" si="1556"/>
        <v>4.8682214178511637E-2</v>
      </c>
      <c r="I1603" s="2">
        <f t="shared" ca="1" si="1557"/>
        <v>0.49087346321880465</v>
      </c>
      <c r="J1603" s="2">
        <f t="shared" ca="1" si="1558"/>
        <v>9.8856058452941875E-3</v>
      </c>
      <c r="K1603" s="2">
        <f t="shared" ca="1" si="1559"/>
        <v>9.8856058452941875E-3</v>
      </c>
      <c r="L1603" s="2">
        <f t="shared" ca="1" si="1560"/>
        <v>0.2327216209926869</v>
      </c>
      <c r="M1603" s="2">
        <f t="shared" ca="1" si="1561"/>
        <v>-1.4598264039775353E-2</v>
      </c>
      <c r="N1603" s="2">
        <f t="shared" ca="1" si="1562"/>
        <v>-1.4598264039775353E-2</v>
      </c>
      <c r="O1603" s="2">
        <f t="shared" si="1563"/>
        <v>6000000</v>
      </c>
      <c r="P1603" s="2">
        <f t="shared" ca="1" si="1564"/>
        <v>44329232.112222955</v>
      </c>
      <c r="Q1603" s="2">
        <f t="shared" ca="1" si="1565"/>
        <v>1108230.8028055739</v>
      </c>
      <c r="R1603" s="2">
        <f t="shared" ca="1" si="1566"/>
        <v>26597539.267333772</v>
      </c>
      <c r="S1603" s="2">
        <f t="shared" ca="1" si="1567"/>
        <v>17731692.844889183</v>
      </c>
      <c r="T1603" s="2">
        <f t="shared" ca="1" si="1568"/>
        <v>49270086.798011228</v>
      </c>
      <c r="U1603" s="2">
        <f t="shared" ca="1" si="1569"/>
        <v>51668663.716105871</v>
      </c>
      <c r="V1603" s="2">
        <f t="shared" ca="1" si="1570"/>
        <v>54184008.669450834</v>
      </c>
      <c r="W1603" s="2">
        <f t="shared" ca="1" si="1571"/>
        <v>56821806.184547372</v>
      </c>
      <c r="X1603" s="2">
        <f t="shared" ca="1" si="1572"/>
        <v>59588017.523233391</v>
      </c>
      <c r="Y1603" s="2">
        <f t="shared" ca="1" si="1573"/>
        <v>0.12494280292264709</v>
      </c>
      <c r="Z1603" s="2">
        <f t="shared" ca="1" si="1574"/>
        <v>0.12691992409170594</v>
      </c>
      <c r="AA1603" s="2">
        <f t="shared" ca="1" si="1575"/>
        <v>6155942.7447856329</v>
      </c>
      <c r="AB1603" s="2">
        <f t="shared" ca="1" si="1576"/>
        <v>6557782.8767680377</v>
      </c>
      <c r="AC1603" s="2">
        <f t="shared" ca="1" si="1577"/>
        <v>6877030.2673110366</v>
      </c>
      <c r="AD1603" s="2">
        <f t="shared" ca="1" si="1578"/>
        <v>7211819.3276963793</v>
      </c>
      <c r="AE1603" s="2">
        <f t="shared" ca="1" si="1579"/>
        <v>7562906.660824025</v>
      </c>
      <c r="AF1603" s="2">
        <f t="shared" ca="1" si="1580"/>
        <v>985401.73596022464</v>
      </c>
      <c r="AG1603" s="2">
        <f t="shared" ca="1" si="1581"/>
        <v>1033373.2743221174</v>
      </c>
      <c r="AH1603" s="2">
        <f t="shared" ca="1" si="1582"/>
        <v>1083680.1733890167</v>
      </c>
      <c r="AI1603" s="2">
        <f t="shared" ca="1" si="1583"/>
        <v>1136436.1236909474</v>
      </c>
      <c r="AJ1603" s="2">
        <f t="shared" ca="1" si="1584"/>
        <v>1191760.3504646679</v>
      </c>
      <c r="AK1603" s="2">
        <f t="shared" ca="1" si="1585"/>
        <v>0</v>
      </c>
      <c r="AL1603" s="2">
        <f t="shared" ca="1" si="1586"/>
        <v>23985.769180946427</v>
      </c>
      <c r="AM1603" s="2">
        <f t="shared" ca="1" si="1587"/>
        <v>25153.449533449635</v>
      </c>
      <c r="AN1603" s="2">
        <f t="shared" ca="1" si="1588"/>
        <v>26377.97515096538</v>
      </c>
      <c r="AO1603" s="2">
        <f t="shared" ca="1" si="1589"/>
        <v>27662.113386860194</v>
      </c>
      <c r="AP1603" s="2">
        <f t="shared" ca="1" si="1590"/>
        <v>2393778.5340600396</v>
      </c>
      <c r="AQ1603" s="2">
        <f t="shared" ca="1" si="1591"/>
        <v>721958.24343899591</v>
      </c>
      <c r="AR1603" s="2">
        <f t="shared" ca="1" si="1592"/>
        <v>813964.07778032892</v>
      </c>
      <c r="AS1603" s="2">
        <f t="shared" ca="1" si="1593"/>
        <v>883888.60556411487</v>
      </c>
      <c r="AT1603" s="2">
        <f t="shared" ca="1" si="1594"/>
        <v>957217.21418580192</v>
      </c>
      <c r="AU1603" s="2">
        <f t="shared" ca="1" si="1595"/>
        <v>1034115.6218378226</v>
      </c>
      <c r="AV1603" s="2">
        <f t="shared" ca="1" si="1596"/>
        <v>2054804.2313263724</v>
      </c>
      <c r="AW1603" s="2">
        <f t="shared" ca="1" si="1597"/>
        <v>2292681.2214246057</v>
      </c>
      <c r="AX1603" s="2">
        <f t="shared" ca="1" si="1598"/>
        <v>2490529.5047644163</v>
      </c>
      <c r="AY1603" s="2">
        <f t="shared" ca="1" si="1599"/>
        <v>2698009.4806086244</v>
      </c>
      <c r="AZ1603" s="2">
        <f t="shared" ca="1" si="1600"/>
        <v>2915590.0410746345</v>
      </c>
      <c r="BA1603" s="2">
        <f t="shared" ca="1" si="1601"/>
        <v>56531458.487055033</v>
      </c>
      <c r="BB1603" s="2">
        <f t="shared" ca="1" si="1602"/>
        <v>1130629.1697411006</v>
      </c>
      <c r="BC1603" s="2">
        <f t="shared" ca="1" si="1603"/>
        <v>28803290.04998016</v>
      </c>
      <c r="BD1603" s="2">
        <f t="shared" ca="1" si="1604"/>
        <v>-19339923.647694755</v>
      </c>
      <c r="BE1603" s="2">
        <f t="shared" ca="1" si="1605"/>
        <v>2054804.2313263724</v>
      </c>
      <c r="BF1603" s="2">
        <f t="shared" ca="1" si="1606"/>
        <v>2292681.2214246057</v>
      </c>
      <c r="BG1603" s="2">
        <f t="shared" ca="1" si="1607"/>
        <v>2490529.5047644163</v>
      </c>
      <c r="BH1603" s="2">
        <f t="shared" ca="1" si="1608"/>
        <v>2698009.4806086244</v>
      </c>
      <c r="BI1603" s="2">
        <f t="shared" ca="1" si="1609"/>
        <v>31718880.091054793</v>
      </c>
      <c r="BJ1603" s="2">
        <f t="shared" ca="1" si="1610"/>
        <v>0.19177873846123883</v>
      </c>
      <c r="BK1603" s="2">
        <f t="shared" ca="1" si="1611"/>
        <v>5807922.3260186985</v>
      </c>
    </row>
    <row r="1604" spans="1:63" x14ac:dyDescent="0.3">
      <c r="A1604" s="2">
        <v>1603</v>
      </c>
      <c r="B1604" s="2">
        <f t="shared" ca="1" si="1550"/>
        <v>0.53960379685835913</v>
      </c>
      <c r="C1604" s="2">
        <f t="shared" ca="1" si="1551"/>
        <v>7.0404207139150605</v>
      </c>
      <c r="D1604" s="2">
        <f t="shared" ca="1" si="1552"/>
        <v>0.53390102234829684</v>
      </c>
      <c r="E1604" s="2">
        <f t="shared" ca="1" si="1553"/>
        <v>7.5344960096905833</v>
      </c>
      <c r="F1604" s="2">
        <f t="shared" ca="1" si="1554"/>
        <v>0.12646542230246238</v>
      </c>
      <c r="G1604" s="2">
        <f t="shared" ca="1" si="1555"/>
        <v>5.7022135338851143E-3</v>
      </c>
      <c r="H1604" s="2">
        <f t="shared" ca="1" si="1556"/>
        <v>5.7022135338851143E-3</v>
      </c>
      <c r="I1604" s="2">
        <f t="shared" ca="1" si="1557"/>
        <v>0.40076371921467091</v>
      </c>
      <c r="J1604" s="2">
        <f t="shared" ca="1" si="1558"/>
        <v>8.7431459815459633E-3</v>
      </c>
      <c r="K1604" s="2">
        <f t="shared" ca="1" si="1559"/>
        <v>8.7431459815459633E-3</v>
      </c>
      <c r="L1604" s="2">
        <f t="shared" ca="1" si="1560"/>
        <v>0.35249525611134092</v>
      </c>
      <c r="M1604" s="2">
        <f t="shared" ca="1" si="1561"/>
        <v>-7.5718494670624836E-3</v>
      </c>
      <c r="N1604" s="2">
        <f t="shared" ca="1" si="1562"/>
        <v>-7.5718494670624836E-3</v>
      </c>
      <c r="O1604" s="2">
        <f t="shared" si="1563"/>
        <v>6000000</v>
      </c>
      <c r="P1604" s="2">
        <f t="shared" ca="1" si="1564"/>
        <v>42242524.28349036</v>
      </c>
      <c r="Q1604" s="2">
        <f t="shared" ca="1" si="1565"/>
        <v>1056063.1070872589</v>
      </c>
      <c r="R1604" s="2">
        <f t="shared" ca="1" si="1566"/>
        <v>25345514.570094217</v>
      </c>
      <c r="S1604" s="2">
        <f t="shared" ca="1" si="1567"/>
        <v>16897009.713396143</v>
      </c>
      <c r="T1604" s="2">
        <f t="shared" ca="1" si="1568"/>
        <v>49621407.526646875</v>
      </c>
      <c r="U1604" s="2">
        <f t="shared" ca="1" si="1569"/>
        <v>49904359.38821575</v>
      </c>
      <c r="V1604" s="2">
        <f t="shared" ca="1" si="1570"/>
        <v>50188924.701719098</v>
      </c>
      <c r="W1604" s="2">
        <f t="shared" ca="1" si="1571"/>
        <v>50475112.667404383</v>
      </c>
      <c r="X1604" s="2">
        <f t="shared" ca="1" si="1572"/>
        <v>50762932.537980832</v>
      </c>
      <c r="Y1604" s="2">
        <f t="shared" ca="1" si="1573"/>
        <v>0.12437157299077298</v>
      </c>
      <c r="Z1604" s="2">
        <f t="shared" ca="1" si="1574"/>
        <v>0.12612020218708217</v>
      </c>
      <c r="AA1604" s="2">
        <f t="shared" ca="1" si="1575"/>
        <v>6171492.5081052538</v>
      </c>
      <c r="AB1604" s="2">
        <f t="shared" ca="1" si="1576"/>
        <v>6293947.8960585827</v>
      </c>
      <c r="AC1604" s="2">
        <f t="shared" ca="1" si="1577"/>
        <v>6329837.3309330549</v>
      </c>
      <c r="AD1604" s="2">
        <f t="shared" ca="1" si="1578"/>
        <v>6365931.4150287928</v>
      </c>
      <c r="AE1604" s="2">
        <f t="shared" ca="1" si="1579"/>
        <v>6402231.3152993545</v>
      </c>
      <c r="AF1604" s="2">
        <f t="shared" ca="1" si="1580"/>
        <v>992428.15053293749</v>
      </c>
      <c r="AG1604" s="2">
        <f t="shared" ca="1" si="1581"/>
        <v>998087.18776431505</v>
      </c>
      <c r="AH1604" s="2">
        <f t="shared" ca="1" si="1582"/>
        <v>1003778.4940343819</v>
      </c>
      <c r="AI1604" s="2">
        <f t="shared" ca="1" si="1583"/>
        <v>1009502.2533480877</v>
      </c>
      <c r="AJ1604" s="2">
        <f t="shared" ca="1" si="1584"/>
        <v>1015258.6507596166</v>
      </c>
      <c r="AK1604" s="2">
        <f t="shared" ca="1" si="1585"/>
        <v>0</v>
      </c>
      <c r="AL1604" s="2">
        <f t="shared" ca="1" si="1586"/>
        <v>2829.5186156887562</v>
      </c>
      <c r="AM1604" s="2">
        <f t="shared" ca="1" si="1587"/>
        <v>2845.6531350334735</v>
      </c>
      <c r="AN1604" s="2">
        <f t="shared" ca="1" si="1588"/>
        <v>2861.8796568528564</v>
      </c>
      <c r="AO1604" s="2">
        <f t="shared" ca="1" si="1589"/>
        <v>2878.1987057644874</v>
      </c>
      <c r="AP1604" s="2">
        <f t="shared" ca="1" si="1590"/>
        <v>2281096.3113084794</v>
      </c>
      <c r="AQ1604" s="2">
        <f t="shared" ca="1" si="1591"/>
        <v>753471.69202859758</v>
      </c>
      <c r="AR1604" s="2">
        <f t="shared" ca="1" si="1592"/>
        <v>783838.74321630504</v>
      </c>
      <c r="AS1604" s="2">
        <f t="shared" ca="1" si="1593"/>
        <v>791690.25665345043</v>
      </c>
      <c r="AT1604" s="2">
        <f t="shared" ca="1" si="1594"/>
        <v>799586.5410967787</v>
      </c>
      <c r="AU1604" s="2">
        <f t="shared" ca="1" si="1595"/>
        <v>807527.85184012714</v>
      </c>
      <c r="AV1604" s="2">
        <f t="shared" ca="1" si="1596"/>
        <v>2144496.3542352389</v>
      </c>
      <c r="AW1604" s="2">
        <f t="shared" ca="1" si="1597"/>
        <v>2228096.1351537942</v>
      </c>
      <c r="AX1604" s="2">
        <f t="shared" ca="1" si="1598"/>
        <v>2250426.6158017102</v>
      </c>
      <c r="AY1604" s="2">
        <f t="shared" ca="1" si="1599"/>
        <v>2272884.4296185938</v>
      </c>
      <c r="AZ1604" s="2">
        <f t="shared" ca="1" si="1600"/>
        <v>2295470.3026853665</v>
      </c>
      <c r="BA1604" s="2">
        <f t="shared" ca="1" si="1601"/>
        <v>48237586.298239082</v>
      </c>
      <c r="BB1604" s="2">
        <f t="shared" ca="1" si="1602"/>
        <v>964751.72596478171</v>
      </c>
      <c r="BC1604" s="2">
        <f t="shared" ca="1" si="1603"/>
        <v>21927320.002180085</v>
      </c>
      <c r="BD1604" s="2">
        <f t="shared" ca="1" si="1604"/>
        <v>-18453072.820483401</v>
      </c>
      <c r="BE1604" s="2">
        <f t="shared" ca="1" si="1605"/>
        <v>2144496.3542352389</v>
      </c>
      <c r="BF1604" s="2">
        <f t="shared" ca="1" si="1606"/>
        <v>2228096.1351537942</v>
      </c>
      <c r="BG1604" s="2">
        <f t="shared" ca="1" si="1607"/>
        <v>2250426.6158017102</v>
      </c>
      <c r="BH1604" s="2">
        <f t="shared" ca="1" si="1608"/>
        <v>2272884.4296185938</v>
      </c>
      <c r="BI1604" s="2">
        <f t="shared" ca="1" si="1609"/>
        <v>24222790.30486545</v>
      </c>
      <c r="BJ1604" s="2">
        <f t="shared" ca="1" si="1610"/>
        <v>0.14875852705657322</v>
      </c>
      <c r="BK1604" s="2">
        <f t="shared" ca="1" si="1611"/>
        <v>2028810.7636158057</v>
      </c>
    </row>
    <row r="1605" spans="1:63" x14ac:dyDescent="0.3">
      <c r="A1605" s="2">
        <v>1604</v>
      </c>
      <c r="B1605" s="2">
        <f t="shared" ca="1" si="1550"/>
        <v>0.69265535307918868</v>
      </c>
      <c r="C1605" s="2">
        <f t="shared" ca="1" si="1551"/>
        <v>7.2159787669701654</v>
      </c>
      <c r="D1605" s="2">
        <f t="shared" ca="1" si="1552"/>
        <v>0.77977470260257586</v>
      </c>
      <c r="E1605" s="2">
        <f t="shared" ca="1" si="1553"/>
        <v>7.8363354802350447</v>
      </c>
      <c r="F1605" s="2">
        <f t="shared" ca="1" si="1554"/>
        <v>0.69443295172577235</v>
      </c>
      <c r="G1605" s="2">
        <f t="shared" ca="1" si="1555"/>
        <v>5.525365826967004E-2</v>
      </c>
      <c r="H1605" s="2">
        <f t="shared" ca="1" si="1556"/>
        <v>5.525365826967004E-2</v>
      </c>
      <c r="I1605" s="2">
        <f t="shared" ca="1" si="1557"/>
        <v>0.46499477625332986</v>
      </c>
      <c r="J1605" s="2">
        <f t="shared" ca="1" si="1558"/>
        <v>9.5607100874327174E-3</v>
      </c>
      <c r="K1605" s="2">
        <f t="shared" ca="1" si="1559"/>
        <v>9.5607100874327174E-3</v>
      </c>
      <c r="L1605" s="2">
        <f t="shared" ca="1" si="1560"/>
        <v>0.85140870581628514</v>
      </c>
      <c r="M1605" s="2">
        <f t="shared" ca="1" si="1561"/>
        <v>2.0849885068178937E-2</v>
      </c>
      <c r="N1605" s="2">
        <f t="shared" ca="1" si="1562"/>
        <v>2.0849885068178937E-2</v>
      </c>
      <c r="O1605" s="2">
        <f t="shared" si="1563"/>
        <v>6000000</v>
      </c>
      <c r="P1605" s="2">
        <f t="shared" ca="1" si="1564"/>
        <v>43295872.60182099</v>
      </c>
      <c r="Q1605" s="2">
        <f t="shared" ca="1" si="1565"/>
        <v>1082396.8150455249</v>
      </c>
      <c r="R1605" s="2">
        <f t="shared" ca="1" si="1566"/>
        <v>25977523.561092593</v>
      </c>
      <c r="S1605" s="2">
        <f t="shared" ca="1" si="1567"/>
        <v>17318349.040728398</v>
      </c>
      <c r="T1605" s="2">
        <f t="shared" ca="1" si="1568"/>
        <v>51042494.253408946</v>
      </c>
      <c r="U1605" s="2">
        <f t="shared" ca="1" si="1569"/>
        <v>53862778.788118407</v>
      </c>
      <c r="V1605" s="2">
        <f t="shared" ca="1" si="1570"/>
        <v>56838894.360731937</v>
      </c>
      <c r="W1605" s="2">
        <f t="shared" ca="1" si="1571"/>
        <v>59979451.206165701</v>
      </c>
      <c r="X1605" s="2">
        <f t="shared" ca="1" si="1572"/>
        <v>63293535.30631353</v>
      </c>
      <c r="Y1605" s="2">
        <f t="shared" ca="1" si="1573"/>
        <v>0.12478035504371636</v>
      </c>
      <c r="Z1605" s="2">
        <f t="shared" ca="1" si="1574"/>
        <v>0.12669249706120289</v>
      </c>
      <c r="AA1605" s="2">
        <f t="shared" ca="1" si="1575"/>
        <v>6369100.5552572198</v>
      </c>
      <c r="AB1605" s="2">
        <f t="shared" ca="1" si="1576"/>
        <v>6824009.9433219125</v>
      </c>
      <c r="AC1605" s="2">
        <f t="shared" ca="1" si="1577"/>
        <v>7201061.4567590524</v>
      </c>
      <c r="AD1605" s="2">
        <f t="shared" ca="1" si="1578"/>
        <v>7598946.4456697106</v>
      </c>
      <c r="AE1605" s="2">
        <f t="shared" ca="1" si="1579"/>
        <v>8018816.0357882679</v>
      </c>
      <c r="AF1605" s="2">
        <f t="shared" ca="1" si="1580"/>
        <v>1020849.885068179</v>
      </c>
      <c r="AG1605" s="2">
        <f t="shared" ca="1" si="1581"/>
        <v>1077255.5757623683</v>
      </c>
      <c r="AH1605" s="2">
        <f t="shared" ca="1" si="1582"/>
        <v>1136777.8872146388</v>
      </c>
      <c r="AI1605" s="2">
        <f t="shared" ca="1" si="1583"/>
        <v>1199589.0241233141</v>
      </c>
      <c r="AJ1605" s="2">
        <f t="shared" ca="1" si="1584"/>
        <v>1265870.7061262706</v>
      </c>
      <c r="AK1605" s="2">
        <f t="shared" ca="1" si="1585"/>
        <v>0</v>
      </c>
      <c r="AL1605" s="2">
        <f t="shared" ca="1" si="1586"/>
        <v>28202.845347094611</v>
      </c>
      <c r="AM1605" s="2">
        <f t="shared" ca="1" si="1587"/>
        <v>29761.155726135301</v>
      </c>
      <c r="AN1605" s="2">
        <f t="shared" ca="1" si="1588"/>
        <v>31405.568454337641</v>
      </c>
      <c r="AO1605" s="2">
        <f t="shared" ca="1" si="1589"/>
        <v>33140.841001478286</v>
      </c>
      <c r="AP1605" s="2">
        <f t="shared" ca="1" si="1590"/>
        <v>2337977.1204983331</v>
      </c>
      <c r="AQ1605" s="2">
        <f t="shared" ca="1" si="1591"/>
        <v>782671.12291958404</v>
      </c>
      <c r="AR1605" s="2">
        <f t="shared" ca="1" si="1592"/>
        <v>886282.0842359151</v>
      </c>
      <c r="AS1605" s="2">
        <f t="shared" ca="1" si="1593"/>
        <v>968839.67675198102</v>
      </c>
      <c r="AT1605" s="2">
        <f t="shared" ca="1" si="1594"/>
        <v>1055958.8782724966</v>
      </c>
      <c r="AU1605" s="2">
        <f t="shared" ca="1" si="1595"/>
        <v>1147891.7343825526</v>
      </c>
      <c r="AV1605" s="2">
        <f t="shared" ca="1" si="1596"/>
        <v>2227602.4267711239</v>
      </c>
      <c r="AW1605" s="2">
        <f t="shared" ca="1" si="1597"/>
        <v>2494292.3174782023</v>
      </c>
      <c r="AX1605" s="2">
        <f t="shared" ca="1" si="1598"/>
        <v>2727705.6165679637</v>
      </c>
      <c r="AY1605" s="2">
        <f t="shared" ca="1" si="1599"/>
        <v>2974015.8543212302</v>
      </c>
      <c r="AZ1605" s="2">
        <f t="shared" ca="1" si="1600"/>
        <v>3233935.6337796338</v>
      </c>
      <c r="BA1605" s="2">
        <f t="shared" ca="1" si="1601"/>
        <v>62838132.610725336</v>
      </c>
      <c r="BB1605" s="2">
        <f t="shared" ca="1" si="1602"/>
        <v>1256762.6522145066</v>
      </c>
      <c r="BC1605" s="2">
        <f t="shared" ca="1" si="1603"/>
        <v>35603846.397418238</v>
      </c>
      <c r="BD1605" s="2">
        <f t="shared" ca="1" si="1604"/>
        <v>-18900745.855773922</v>
      </c>
      <c r="BE1605" s="2">
        <f t="shared" ca="1" si="1605"/>
        <v>2227602.4267711239</v>
      </c>
      <c r="BF1605" s="2">
        <f t="shared" ca="1" si="1606"/>
        <v>2494292.3174782023</v>
      </c>
      <c r="BG1605" s="2">
        <f t="shared" ca="1" si="1607"/>
        <v>2727705.6165679637</v>
      </c>
      <c r="BH1605" s="2">
        <f t="shared" ca="1" si="1608"/>
        <v>2974015.8543212302</v>
      </c>
      <c r="BI1605" s="2">
        <f t="shared" ca="1" si="1609"/>
        <v>38837782.031197876</v>
      </c>
      <c r="BJ1605" s="2">
        <f t="shared" ca="1" si="1610"/>
        <v>0.24710256510251494</v>
      </c>
      <c r="BK1605" s="2">
        <f t="shared" ca="1" si="1611"/>
        <v>10945787.808384176</v>
      </c>
    </row>
    <row r="1606" spans="1:63" x14ac:dyDescent="0.3">
      <c r="A1606" s="2">
        <v>1605</v>
      </c>
      <c r="B1606" s="2">
        <f t="shared" ca="1" si="1550"/>
        <v>0.81964685480554234</v>
      </c>
      <c r="C1606" s="2">
        <f t="shared" ca="1" si="1551"/>
        <v>7.3994117130771571</v>
      </c>
      <c r="D1606" s="2">
        <f t="shared" ca="1" si="1552"/>
        <v>0.54811518568275563</v>
      </c>
      <c r="E1606" s="2">
        <f t="shared" ca="1" si="1553"/>
        <v>7.5493320092511329</v>
      </c>
      <c r="F1606" s="2">
        <f t="shared" ca="1" si="1554"/>
        <v>0.17307746524124423</v>
      </c>
      <c r="G1606" s="2">
        <f t="shared" ca="1" si="1555"/>
        <v>1.1737790292193261E-2</v>
      </c>
      <c r="H1606" s="2">
        <f t="shared" ca="1" si="1556"/>
        <v>1.1737790292193261E-2</v>
      </c>
      <c r="I1606" s="2">
        <f t="shared" ca="1" si="1557"/>
        <v>0.94452782588749129</v>
      </c>
      <c r="J1606" s="2">
        <f t="shared" ca="1" si="1558"/>
        <v>1.7969814421740213E-2</v>
      </c>
      <c r="K1606" s="2">
        <f t="shared" ca="1" si="1559"/>
        <v>1.7969814421740213E-2</v>
      </c>
      <c r="L1606" s="2">
        <f t="shared" ca="1" si="1560"/>
        <v>0.81292291099980596</v>
      </c>
      <c r="M1606" s="2">
        <f t="shared" ca="1" si="1561"/>
        <v>1.7774377739346529E-2</v>
      </c>
      <c r="N1606" s="2">
        <f t="shared" ca="1" si="1562"/>
        <v>1.7774377739346529E-2</v>
      </c>
      <c r="O1606" s="2">
        <f t="shared" si="1563"/>
        <v>6000000</v>
      </c>
      <c r="P1606" s="2">
        <f t="shared" ca="1" si="1564"/>
        <v>44396470.278462939</v>
      </c>
      <c r="Q1606" s="2">
        <f t="shared" ca="1" si="1565"/>
        <v>1109911.7569615736</v>
      </c>
      <c r="R1606" s="2">
        <f t="shared" ca="1" si="1566"/>
        <v>26637882.167077761</v>
      </c>
      <c r="S1606" s="2">
        <f t="shared" ca="1" si="1567"/>
        <v>17758588.111385178</v>
      </c>
      <c r="T1606" s="2">
        <f t="shared" ca="1" si="1568"/>
        <v>50888718.886967324</v>
      </c>
      <c r="U1606" s="2">
        <f t="shared" ca="1" si="1569"/>
        <v>51486039.997500926</v>
      </c>
      <c r="V1606" s="2">
        <f t="shared" ca="1" si="1570"/>
        <v>52090372.337967068</v>
      </c>
      <c r="W1606" s="2">
        <f t="shared" ca="1" si="1571"/>
        <v>52701798.204712398</v>
      </c>
      <c r="X1606" s="2">
        <f t="shared" ca="1" si="1572"/>
        <v>53320400.860060804</v>
      </c>
      <c r="Y1606" s="2">
        <f t="shared" ca="1" si="1573"/>
        <v>0.12898490721087011</v>
      </c>
      <c r="Z1606" s="2">
        <f t="shared" ca="1" si="1574"/>
        <v>0.13257887009521815</v>
      </c>
      <c r="AA1606" s="2">
        <f t="shared" ca="1" si="1575"/>
        <v>6563876.6837155335</v>
      </c>
      <c r="AB1606" s="2">
        <f t="shared" ca="1" si="1576"/>
        <v>6825961.0085458811</v>
      </c>
      <c r="AC1606" s="2">
        <f t="shared" ca="1" si="1577"/>
        <v>6906082.7074068813</v>
      </c>
      <c r="AD1606" s="2">
        <f t="shared" ca="1" si="1578"/>
        <v>6987144.857966966</v>
      </c>
      <c r="AE1606" s="2">
        <f t="shared" ca="1" si="1579"/>
        <v>7069158.4990509599</v>
      </c>
      <c r="AF1606" s="2">
        <f t="shared" ca="1" si="1580"/>
        <v>1017774.3777393465</v>
      </c>
      <c r="AG1606" s="2">
        <f t="shared" ca="1" si="1581"/>
        <v>1029720.7999500185</v>
      </c>
      <c r="AH1606" s="2">
        <f t="shared" ca="1" si="1582"/>
        <v>1041807.4467593414</v>
      </c>
      <c r="AI1606" s="2">
        <f t="shared" ca="1" si="1583"/>
        <v>1054035.9640942479</v>
      </c>
      <c r="AJ1606" s="2">
        <f t="shared" ca="1" si="1584"/>
        <v>1066408.0172012162</v>
      </c>
      <c r="AK1606" s="2">
        <f t="shared" ca="1" si="1585"/>
        <v>0</v>
      </c>
      <c r="AL1606" s="2">
        <f t="shared" ca="1" si="1586"/>
        <v>5973.2111053360259</v>
      </c>
      <c r="AM1606" s="2">
        <f t="shared" ca="1" si="1587"/>
        <v>6043.323404661417</v>
      </c>
      <c r="AN1606" s="2">
        <f t="shared" ca="1" si="1588"/>
        <v>6114.258667453304</v>
      </c>
      <c r="AO1606" s="2">
        <f t="shared" ca="1" si="1589"/>
        <v>6186.0265534840528</v>
      </c>
      <c r="AP1606" s="2">
        <f t="shared" ca="1" si="1590"/>
        <v>2397409.3950369982</v>
      </c>
      <c r="AQ1606" s="2">
        <f t="shared" ca="1" si="1591"/>
        <v>818660.15684418904</v>
      </c>
      <c r="AR1606" s="2">
        <f t="shared" ca="1" si="1592"/>
        <v>883696.01152530476</v>
      </c>
      <c r="AS1606" s="2">
        <f t="shared" ca="1" si="1593"/>
        <v>901385.12505874084</v>
      </c>
      <c r="AT1606" s="2">
        <f t="shared" ca="1" si="1594"/>
        <v>919281.86969728721</v>
      </c>
      <c r="AU1606" s="2">
        <f t="shared" ca="1" si="1595"/>
        <v>937388.68257131393</v>
      </c>
      <c r="AV1606" s="2">
        <f t="shared" ca="1" si="1596"/>
        <v>2330032.7540949993</v>
      </c>
      <c r="AW1606" s="2">
        <f t="shared" ca="1" si="1597"/>
        <v>2509161.590928223</v>
      </c>
      <c r="AX1606" s="2">
        <f t="shared" ca="1" si="1598"/>
        <v>2559437.41714714</v>
      </c>
      <c r="AY1606" s="2">
        <f t="shared" ca="1" si="1599"/>
        <v>2610303.3704709793</v>
      </c>
      <c r="AZ1606" s="2">
        <f t="shared" ca="1" si="1600"/>
        <v>2661766.3776879478</v>
      </c>
      <c r="BA1606" s="2">
        <f t="shared" ca="1" si="1601"/>
        <v>53367424.535355106</v>
      </c>
      <c r="BB1606" s="2">
        <f t="shared" ca="1" si="1602"/>
        <v>1067348.4907071022</v>
      </c>
      <c r="BC1606" s="2">
        <f t="shared" ca="1" si="1603"/>
        <v>25662193.877570242</v>
      </c>
      <c r="BD1606" s="2">
        <f t="shared" ca="1" si="1604"/>
        <v>-19368499.868346751</v>
      </c>
      <c r="BE1606" s="2">
        <f t="shared" ca="1" si="1605"/>
        <v>2330032.7540949993</v>
      </c>
      <c r="BF1606" s="2">
        <f t="shared" ca="1" si="1606"/>
        <v>2509161.590928223</v>
      </c>
      <c r="BG1606" s="2">
        <f t="shared" ca="1" si="1607"/>
        <v>2559437.41714714</v>
      </c>
      <c r="BH1606" s="2">
        <f t="shared" ca="1" si="1608"/>
        <v>2610303.3704709793</v>
      </c>
      <c r="BI1606" s="2">
        <f t="shared" ca="1" si="1609"/>
        <v>28323960.255258188</v>
      </c>
      <c r="BJ1606" s="2">
        <f t="shared" ca="1" si="1610"/>
        <v>0.1753778807523918</v>
      </c>
      <c r="BK1606" s="2">
        <f t="shared" ca="1" si="1611"/>
        <v>4264602.4675472267</v>
      </c>
    </row>
    <row r="1607" spans="1:63" x14ac:dyDescent="0.3">
      <c r="A1607" s="2">
        <v>1606</v>
      </c>
      <c r="B1607" s="2">
        <f t="shared" ca="1" si="1550"/>
        <v>0.92336626707947755</v>
      </c>
      <c r="C1607" s="2">
        <f t="shared" ca="1" si="1551"/>
        <v>7.6085061100846589</v>
      </c>
      <c r="D1607" s="2">
        <f t="shared" ca="1" si="1552"/>
        <v>0.75258513287008155</v>
      </c>
      <c r="E1607" s="2">
        <f t="shared" ca="1" si="1553"/>
        <v>7.7965586490262053</v>
      </c>
      <c r="F1607" s="2">
        <f t="shared" ca="1" si="1554"/>
        <v>0.89166471909921652</v>
      </c>
      <c r="G1607" s="2">
        <f t="shared" ca="1" si="1555"/>
        <v>7.706289609796263E-2</v>
      </c>
      <c r="H1607" s="2">
        <f t="shared" ca="1" si="1556"/>
        <v>7.706289609796263E-2</v>
      </c>
      <c r="I1607" s="2">
        <f t="shared" ca="1" si="1557"/>
        <v>2.622716180993856E-3</v>
      </c>
      <c r="J1607" s="2">
        <f t="shared" ca="1" si="1558"/>
        <v>-3.9578094967734241E-3</v>
      </c>
      <c r="K1607" s="2">
        <f t="shared" ca="1" si="1559"/>
        <v>0</v>
      </c>
      <c r="L1607" s="2">
        <f t="shared" ca="1" si="1560"/>
        <v>0.69707448522099091</v>
      </c>
      <c r="M1607" s="2">
        <f t="shared" ca="1" si="1561"/>
        <v>1.0320096778829144E-2</v>
      </c>
      <c r="N1607" s="2">
        <f t="shared" ca="1" si="1562"/>
        <v>1.0320096778829144E-2</v>
      </c>
      <c r="O1607" s="2">
        <f t="shared" si="1563"/>
        <v>6000000</v>
      </c>
      <c r="P1607" s="2">
        <f t="shared" ca="1" si="1564"/>
        <v>45651036.660507955</v>
      </c>
      <c r="Q1607" s="2">
        <f t="shared" ca="1" si="1565"/>
        <v>1141275.9165126989</v>
      </c>
      <c r="R1607" s="2">
        <f t="shared" ca="1" si="1566"/>
        <v>27390621.996304773</v>
      </c>
      <c r="S1607" s="2">
        <f t="shared" ca="1" si="1567"/>
        <v>18260414.664203182</v>
      </c>
      <c r="T1607" s="2">
        <f t="shared" ca="1" si="1568"/>
        <v>50516004.838941455</v>
      </c>
      <c r="U1607" s="2">
        <f t="shared" ca="1" si="1569"/>
        <v>54408914.471128978</v>
      </c>
      <c r="V1607" s="2">
        <f t="shared" ca="1" si="1570"/>
        <v>58601822.993820526</v>
      </c>
      <c r="W1607" s="2">
        <f t="shared" ca="1" si="1571"/>
        <v>63117849.19034452</v>
      </c>
      <c r="X1607" s="2">
        <f t="shared" ca="1" si="1572"/>
        <v>67981893.444426924</v>
      </c>
      <c r="Y1607" s="2">
        <f t="shared" ca="1" si="1573"/>
        <v>0.12</v>
      </c>
      <c r="Z1607" s="2">
        <f t="shared" ca="1" si="1574"/>
        <v>0.12</v>
      </c>
      <c r="AA1607" s="2">
        <f t="shared" ca="1" si="1575"/>
        <v>6061920.5806729747</v>
      </c>
      <c r="AB1607" s="2">
        <f t="shared" ca="1" si="1576"/>
        <v>6529069.7365354775</v>
      </c>
      <c r="AC1607" s="2">
        <f t="shared" ca="1" si="1577"/>
        <v>7032218.759258463</v>
      </c>
      <c r="AD1607" s="2">
        <f t="shared" ca="1" si="1578"/>
        <v>7574141.9028413417</v>
      </c>
      <c r="AE1607" s="2">
        <f t="shared" ca="1" si="1579"/>
        <v>8157827.2133312309</v>
      </c>
      <c r="AF1607" s="2">
        <f t="shared" ca="1" si="1580"/>
        <v>1010320.0967788291</v>
      </c>
      <c r="AG1607" s="2">
        <f t="shared" ca="1" si="1581"/>
        <v>1088178.2894225796</v>
      </c>
      <c r="AH1607" s="2">
        <f t="shared" ca="1" si="1582"/>
        <v>1172036.4598764104</v>
      </c>
      <c r="AI1607" s="2">
        <f t="shared" ca="1" si="1583"/>
        <v>1262356.9838068904</v>
      </c>
      <c r="AJ1607" s="2">
        <f t="shared" ca="1" si="1584"/>
        <v>1359637.8688885386</v>
      </c>
      <c r="AK1607" s="2">
        <f t="shared" ca="1" si="1585"/>
        <v>0</v>
      </c>
      <c r="AL1607" s="2">
        <f t="shared" ca="1" si="1586"/>
        <v>38929.096321875229</v>
      </c>
      <c r="AM1607" s="2">
        <f t="shared" ca="1" si="1587"/>
        <v>41929.085226915478</v>
      </c>
      <c r="AN1607" s="2">
        <f t="shared" ca="1" si="1588"/>
        <v>45160.261965239944</v>
      </c>
      <c r="AO1607" s="2">
        <f t="shared" ca="1" si="1589"/>
        <v>48640.442540824042</v>
      </c>
      <c r="AP1607" s="2">
        <f t="shared" ca="1" si="1590"/>
        <v>2465155.9796674293</v>
      </c>
      <c r="AQ1607" s="2">
        <f t="shared" ca="1" si="1591"/>
        <v>672475.57109894615</v>
      </c>
      <c r="AR1607" s="2">
        <f t="shared" ca="1" si="1592"/>
        <v>773691.22153582168</v>
      </c>
      <c r="AS1607" s="2">
        <f t="shared" ca="1" si="1593"/>
        <v>882706.843125802</v>
      </c>
      <c r="AT1607" s="2">
        <f t="shared" ca="1" si="1594"/>
        <v>1000123.5242354257</v>
      </c>
      <c r="AU1607" s="2">
        <f t="shared" ca="1" si="1595"/>
        <v>1126588.6748415683</v>
      </c>
      <c r="AV1607" s="2">
        <f t="shared" ca="1" si="1596"/>
        <v>1913968.9331277697</v>
      </c>
      <c r="AW1607" s="2">
        <f t="shared" ca="1" si="1597"/>
        <v>2163115.1495877714</v>
      </c>
      <c r="AX1607" s="2">
        <f t="shared" ca="1" si="1598"/>
        <v>2470390.3913619048</v>
      </c>
      <c r="AY1607" s="2">
        <f t="shared" ca="1" si="1599"/>
        <v>2801345.153166356</v>
      </c>
      <c r="AZ1607" s="2">
        <f t="shared" ca="1" si="1600"/>
        <v>3157804.24739287</v>
      </c>
      <c r="BA1607" s="2">
        <f t="shared" ca="1" si="1601"/>
        <v>63602978.317358956</v>
      </c>
      <c r="BB1607" s="2">
        <f t="shared" ca="1" si="1602"/>
        <v>1272059.5663471792</v>
      </c>
      <c r="BC1607" s="2">
        <f t="shared" ca="1" si="1603"/>
        <v>34940296.754707001</v>
      </c>
      <c r="BD1607" s="2">
        <f t="shared" ca="1" si="1604"/>
        <v>-19901690.58071588</v>
      </c>
      <c r="BE1607" s="2">
        <f t="shared" ca="1" si="1605"/>
        <v>1913968.9331277697</v>
      </c>
      <c r="BF1607" s="2">
        <f t="shared" ca="1" si="1606"/>
        <v>2163115.1495877714</v>
      </c>
      <c r="BG1607" s="2">
        <f t="shared" ca="1" si="1607"/>
        <v>2470390.3913619048</v>
      </c>
      <c r="BH1607" s="2">
        <f t="shared" ca="1" si="1608"/>
        <v>2801345.153166356</v>
      </c>
      <c r="BI1607" s="2">
        <f t="shared" ca="1" si="1609"/>
        <v>38098101.002099872</v>
      </c>
      <c r="BJ1607" s="2">
        <f t="shared" ca="1" si="1610"/>
        <v>0.21771577490077698</v>
      </c>
      <c r="BK1607" s="2">
        <f t="shared" ca="1" si="1611"/>
        <v>8688198.6402426995</v>
      </c>
    </row>
    <row r="1608" spans="1:63" x14ac:dyDescent="0.3">
      <c r="A1608" s="2">
        <v>1607</v>
      </c>
      <c r="B1608" s="2">
        <f t="shared" ca="1" si="1550"/>
        <v>0.96792342528086517</v>
      </c>
      <c r="C1608" s="2">
        <f t="shared" ca="1" si="1551"/>
        <v>7.7467152798957866</v>
      </c>
      <c r="D1608" s="2">
        <f t="shared" ca="1" si="1552"/>
        <v>0.61723054261749888</v>
      </c>
      <c r="E1608" s="2">
        <f t="shared" ca="1" si="1553"/>
        <v>7.6250491929456823</v>
      </c>
      <c r="F1608" s="2">
        <f t="shared" ca="1" si="1554"/>
        <v>0.10357940390663056</v>
      </c>
      <c r="G1608" s="2">
        <f t="shared" ca="1" si="1555"/>
        <v>2.1575034312913063E-3</v>
      </c>
      <c r="H1608" s="2">
        <f t="shared" ca="1" si="1556"/>
        <v>2.1575034312913063E-3</v>
      </c>
      <c r="I1608" s="2">
        <f t="shared" ca="1" si="1557"/>
        <v>0.57021575737048136</v>
      </c>
      <c r="J1608" s="2">
        <f t="shared" ca="1" si="1558"/>
        <v>1.0884617463157852E-2</v>
      </c>
      <c r="K1608" s="2">
        <f t="shared" ca="1" si="1559"/>
        <v>1.0884617463157852E-2</v>
      </c>
      <c r="L1608" s="2">
        <f t="shared" ca="1" si="1560"/>
        <v>0.68131041229795353</v>
      </c>
      <c r="M1608" s="2">
        <f t="shared" ca="1" si="1561"/>
        <v>9.4273260531597906E-3</v>
      </c>
      <c r="N1608" s="2">
        <f t="shared" ca="1" si="1562"/>
        <v>9.4273260531597906E-3</v>
      </c>
      <c r="O1608" s="2">
        <f t="shared" si="1563"/>
        <v>6000000</v>
      </c>
      <c r="P1608" s="2">
        <f t="shared" ca="1" si="1564"/>
        <v>46480291.679374717</v>
      </c>
      <c r="Q1608" s="2">
        <f t="shared" ca="1" si="1565"/>
        <v>1162007.2919843679</v>
      </c>
      <c r="R1608" s="2">
        <f t="shared" ca="1" si="1566"/>
        <v>27888175.007624831</v>
      </c>
      <c r="S1608" s="2">
        <f t="shared" ca="1" si="1567"/>
        <v>18592116.671749886</v>
      </c>
      <c r="T1608" s="2">
        <f t="shared" ca="1" si="1568"/>
        <v>50471366.302657992</v>
      </c>
      <c r="U1608" s="2">
        <f t="shared" ca="1" si="1569"/>
        <v>50580258.448637933</v>
      </c>
      <c r="V1608" s="2">
        <f t="shared" ca="1" si="1570"/>
        <v>50689385.529796466</v>
      </c>
      <c r="W1608" s="2">
        <f t="shared" ca="1" si="1571"/>
        <v>50798748.053007051</v>
      </c>
      <c r="X1608" s="2">
        <f t="shared" ca="1" si="1572"/>
        <v>50908346.526236713</v>
      </c>
      <c r="Y1608" s="2">
        <f t="shared" ca="1" si="1573"/>
        <v>0.12544230873157891</v>
      </c>
      <c r="Z1608" s="2">
        <f t="shared" ca="1" si="1574"/>
        <v>0.12761923222421048</v>
      </c>
      <c r="AA1608" s="2">
        <f t="shared" ca="1" si="1575"/>
        <v>6331244.7138426322</v>
      </c>
      <c r="AB1608" s="2">
        <f t="shared" ca="1" si="1576"/>
        <v>6455013.7489173086</v>
      </c>
      <c r="AC1608" s="2">
        <f t="shared" ca="1" si="1577"/>
        <v>6468940.4632296301</v>
      </c>
      <c r="AD1608" s="2">
        <f t="shared" ca="1" si="1578"/>
        <v>6482897.2244758671</v>
      </c>
      <c r="AE1608" s="2">
        <f t="shared" ca="1" si="1579"/>
        <v>6496884.0974823823</v>
      </c>
      <c r="AF1608" s="2">
        <f t="shared" ca="1" si="1580"/>
        <v>1009427.3260531599</v>
      </c>
      <c r="AG1608" s="2">
        <f t="shared" ca="1" si="1581"/>
        <v>1011605.1689727587</v>
      </c>
      <c r="AH1608" s="2">
        <f t="shared" ca="1" si="1582"/>
        <v>1013787.7105959293</v>
      </c>
      <c r="AI1608" s="2">
        <f t="shared" ca="1" si="1583"/>
        <v>1015974.9610601411</v>
      </c>
      <c r="AJ1608" s="2">
        <f t="shared" ca="1" si="1584"/>
        <v>1018166.9305247343</v>
      </c>
      <c r="AK1608" s="2">
        <f t="shared" ca="1" si="1585"/>
        <v>0</v>
      </c>
      <c r="AL1608" s="2">
        <f t="shared" ca="1" si="1586"/>
        <v>1088.9214597994089</v>
      </c>
      <c r="AM1608" s="2">
        <f t="shared" ca="1" si="1587"/>
        <v>1091.270811585337</v>
      </c>
      <c r="AN1608" s="2">
        <f t="shared" ca="1" si="1588"/>
        <v>1093.6252321058512</v>
      </c>
      <c r="AO1608" s="2">
        <f t="shared" ca="1" si="1589"/>
        <v>1095.9847322966159</v>
      </c>
      <c r="AP1608" s="2">
        <f t="shared" ca="1" si="1590"/>
        <v>2509935.7506862348</v>
      </c>
      <c r="AQ1608" s="2">
        <f t="shared" ca="1" si="1591"/>
        <v>731089.22564684169</v>
      </c>
      <c r="AR1608" s="2">
        <f t="shared" ca="1" si="1592"/>
        <v>762702.93560716195</v>
      </c>
      <c r="AS1608" s="2">
        <f t="shared" ca="1" si="1593"/>
        <v>765756.42050634127</v>
      </c>
      <c r="AT1608" s="2">
        <f t="shared" ca="1" si="1594"/>
        <v>768816.49330966768</v>
      </c>
      <c r="AU1608" s="2">
        <f t="shared" ca="1" si="1595"/>
        <v>771883.16823056759</v>
      </c>
      <c r="AV1608" s="2">
        <f t="shared" ca="1" si="1596"/>
        <v>2080792.4114563959</v>
      </c>
      <c r="AW1608" s="2">
        <f t="shared" ca="1" si="1597"/>
        <v>2169680.9721913533</v>
      </c>
      <c r="AX1608" s="2">
        <f t="shared" ca="1" si="1598"/>
        <v>2178369.3106295392</v>
      </c>
      <c r="AY1608" s="2">
        <f t="shared" ca="1" si="1599"/>
        <v>2187076.3941877177</v>
      </c>
      <c r="AZ1608" s="2">
        <f t="shared" ca="1" si="1600"/>
        <v>2195802.2633085502</v>
      </c>
      <c r="BA1608" s="2">
        <f t="shared" ca="1" si="1601"/>
        <v>49539060.844169676</v>
      </c>
      <c r="BB1608" s="2">
        <f t="shared" ca="1" si="1602"/>
        <v>990781.21688339359</v>
      </c>
      <c r="BC1608" s="2">
        <f t="shared" ca="1" si="1603"/>
        <v>20660104.61966145</v>
      </c>
      <c r="BD1608" s="2">
        <f t="shared" ca="1" si="1604"/>
        <v>-20254123.963734254</v>
      </c>
      <c r="BE1608" s="2">
        <f t="shared" ca="1" si="1605"/>
        <v>2080792.4114563959</v>
      </c>
      <c r="BF1608" s="2">
        <f t="shared" ca="1" si="1606"/>
        <v>2169680.9721913533</v>
      </c>
      <c r="BG1608" s="2">
        <f t="shared" ca="1" si="1607"/>
        <v>2178369.3106295392</v>
      </c>
      <c r="BH1608" s="2">
        <f t="shared" ca="1" si="1608"/>
        <v>2187076.3941877177</v>
      </c>
      <c r="BI1608" s="2">
        <f t="shared" ca="1" si="1609"/>
        <v>22855906.882970002</v>
      </c>
      <c r="BJ1608" s="2">
        <f t="shared" ca="1" si="1610"/>
        <v>0.10971915972533042</v>
      </c>
      <c r="BK1608" s="2">
        <f t="shared" ca="1" si="1611"/>
        <v>-757114.99678405374</v>
      </c>
    </row>
    <row r="1609" spans="1:63" x14ac:dyDescent="0.3">
      <c r="A1609" s="2">
        <v>1608</v>
      </c>
      <c r="B1609" s="2">
        <f t="shared" ca="1" si="1550"/>
        <v>0.91451510584715745</v>
      </c>
      <c r="C1609" s="2">
        <f t="shared" ca="1" si="1551"/>
        <v>7.5865150688287599</v>
      </c>
      <c r="D1609" s="2">
        <f t="shared" ca="1" si="1552"/>
        <v>0.18844806191303798</v>
      </c>
      <c r="E1609" s="2">
        <f t="shared" ca="1" si="1553"/>
        <v>7.1139186622233241</v>
      </c>
      <c r="F1609" s="2">
        <f t="shared" ca="1" si="1554"/>
        <v>0.52788582469835155</v>
      </c>
      <c r="G1609" s="2">
        <f t="shared" ca="1" si="1555"/>
        <v>4.2098692442112347E-2</v>
      </c>
      <c r="H1609" s="2">
        <f t="shared" ca="1" si="1556"/>
        <v>4.2098692442112347E-2</v>
      </c>
      <c r="I1609" s="2">
        <f t="shared" ca="1" si="1557"/>
        <v>0.86547926286359844</v>
      </c>
      <c r="J1609" s="2">
        <f t="shared" ca="1" si="1558"/>
        <v>1.5526363145135096E-2</v>
      </c>
      <c r="K1609" s="2">
        <f t="shared" ca="1" si="1559"/>
        <v>1.5526363145135096E-2</v>
      </c>
      <c r="L1609" s="2">
        <f t="shared" ca="1" si="1560"/>
        <v>0.80754777646901721</v>
      </c>
      <c r="M1609" s="2">
        <f t="shared" ca="1" si="1561"/>
        <v>1.7377904298719854E-2</v>
      </c>
      <c r="N1609" s="2">
        <f t="shared" ca="1" si="1562"/>
        <v>1.7377904298719854E-2</v>
      </c>
      <c r="O1609" s="2">
        <f t="shared" si="1563"/>
        <v>6000000</v>
      </c>
      <c r="P1609" s="2">
        <f t="shared" ca="1" si="1564"/>
        <v>45519090.412972562</v>
      </c>
      <c r="Q1609" s="2">
        <f t="shared" ca="1" si="1565"/>
        <v>1137977.260324314</v>
      </c>
      <c r="R1609" s="2">
        <f t="shared" ca="1" si="1566"/>
        <v>27311454.247783538</v>
      </c>
      <c r="S1609" s="2">
        <f t="shared" ca="1" si="1567"/>
        <v>18207636.165189024</v>
      </c>
      <c r="T1609" s="2">
        <f t="shared" ca="1" si="1568"/>
        <v>50868895.214935996</v>
      </c>
      <c r="U1609" s="2">
        <f t="shared" ca="1" si="1569"/>
        <v>53010409.189459622</v>
      </c>
      <c r="V1609" s="2">
        <f t="shared" ca="1" si="1570"/>
        <v>55242078.102157205</v>
      </c>
      <c r="W1609" s="2">
        <f t="shared" ca="1" si="1571"/>
        <v>57567697.358043067</v>
      </c>
      <c r="X1609" s="2">
        <f t="shared" ca="1" si="1572"/>
        <v>59991222.143719919</v>
      </c>
      <c r="Y1609" s="2">
        <f t="shared" ca="1" si="1573"/>
        <v>0.12776318157256755</v>
      </c>
      <c r="Z1609" s="2">
        <f t="shared" ca="1" si="1574"/>
        <v>0.13086845420159457</v>
      </c>
      <c r="AA1609" s="2">
        <f t="shared" ca="1" si="1575"/>
        <v>6499171.8957417803</v>
      </c>
      <c r="AB1609" s="2">
        <f t="shared" ca="1" si="1576"/>
        <v>6937390.3072185842</v>
      </c>
      <c r="AC1609" s="2">
        <f t="shared" ca="1" si="1577"/>
        <v>7229445.3681130707</v>
      </c>
      <c r="AD1609" s="2">
        <f t="shared" ca="1" si="1578"/>
        <v>7533795.5651923157</v>
      </c>
      <c r="AE1609" s="2">
        <f t="shared" ca="1" si="1579"/>
        <v>7850958.5076130964</v>
      </c>
      <c r="AF1609" s="2">
        <f t="shared" ca="1" si="1580"/>
        <v>1017377.90429872</v>
      </c>
      <c r="AG1609" s="2">
        <f t="shared" ca="1" si="1581"/>
        <v>1060208.1837891925</v>
      </c>
      <c r="AH1609" s="2">
        <f t="shared" ca="1" si="1582"/>
        <v>1104841.5620431441</v>
      </c>
      <c r="AI1609" s="2">
        <f t="shared" ca="1" si="1583"/>
        <v>1151353.9471608615</v>
      </c>
      <c r="AJ1609" s="2">
        <f t="shared" ca="1" si="1584"/>
        <v>1199824.4428743983</v>
      </c>
      <c r="AK1609" s="2">
        <f t="shared" ca="1" si="1585"/>
        <v>0</v>
      </c>
      <c r="AL1609" s="2">
        <f t="shared" ca="1" si="1586"/>
        <v>21415.139745236262</v>
      </c>
      <c r="AM1609" s="2">
        <f t="shared" ca="1" si="1587"/>
        <v>22316.689126975834</v>
      </c>
      <c r="AN1609" s="2">
        <f t="shared" ca="1" si="1588"/>
        <v>23256.19255885862</v>
      </c>
      <c r="AO1609" s="2">
        <f t="shared" ca="1" si="1589"/>
        <v>24235.247856768518</v>
      </c>
      <c r="AP1609" s="2">
        <f t="shared" ca="1" si="1590"/>
        <v>2458030.8823005185</v>
      </c>
      <c r="AQ1609" s="2">
        <f t="shared" ca="1" si="1591"/>
        <v>786178.4083770609</v>
      </c>
      <c r="AR1609" s="2">
        <f t="shared" ca="1" si="1592"/>
        <v>888979.32269350707</v>
      </c>
      <c r="AS1609" s="2">
        <f t="shared" ca="1" si="1593"/>
        <v>953308.96018004604</v>
      </c>
      <c r="AT1609" s="2">
        <f t="shared" ca="1" si="1594"/>
        <v>1020346.7912900434</v>
      </c>
      <c r="AU1609" s="2">
        <f t="shared" ca="1" si="1595"/>
        <v>1090206.8274339268</v>
      </c>
      <c r="AV1609" s="2">
        <f t="shared" ca="1" si="1596"/>
        <v>2237584.7007654812</v>
      </c>
      <c r="AW1609" s="2">
        <f t="shared" ca="1" si="1597"/>
        <v>2508756.7786901295</v>
      </c>
      <c r="AX1609" s="2">
        <f t="shared" ca="1" si="1598"/>
        <v>2690947.274462386</v>
      </c>
      <c r="AY1609" s="2">
        <f t="shared" ca="1" si="1599"/>
        <v>2880807.7518820334</v>
      </c>
      <c r="AZ1609" s="2">
        <f t="shared" ca="1" si="1600"/>
        <v>3078661.1071474841</v>
      </c>
      <c r="BA1609" s="2">
        <f t="shared" ca="1" si="1601"/>
        <v>55851080.243649781</v>
      </c>
      <c r="BB1609" s="2">
        <f t="shared" ca="1" si="1602"/>
        <v>1117021.6048729955</v>
      </c>
      <c r="BC1609" s="2">
        <f t="shared" ca="1" si="1603"/>
        <v>27422604.390993249</v>
      </c>
      <c r="BD1609" s="2">
        <f t="shared" ca="1" si="1604"/>
        <v>-19845613.425513338</v>
      </c>
      <c r="BE1609" s="2">
        <f t="shared" ca="1" si="1605"/>
        <v>2237584.7007654812</v>
      </c>
      <c r="BF1609" s="2">
        <f t="shared" ca="1" si="1606"/>
        <v>2508756.7786901295</v>
      </c>
      <c r="BG1609" s="2">
        <f t="shared" ca="1" si="1607"/>
        <v>2690947.274462386</v>
      </c>
      <c r="BH1609" s="2">
        <f t="shared" ca="1" si="1608"/>
        <v>2880807.7518820334</v>
      </c>
      <c r="BI1609" s="2">
        <f t="shared" ca="1" si="1609"/>
        <v>30501265.498140734</v>
      </c>
      <c r="BJ1609" s="2">
        <f t="shared" ca="1" si="1610"/>
        <v>0.18443046143615138</v>
      </c>
      <c r="BK1609" s="2">
        <f t="shared" ca="1" si="1611"/>
        <v>5205601.3031970337</v>
      </c>
    </row>
    <row r="1610" spans="1:63" x14ac:dyDescent="0.3">
      <c r="A1610" s="2">
        <v>1609</v>
      </c>
      <c r="B1610" s="2">
        <f t="shared" ca="1" si="1550"/>
        <v>0.24584862944433461</v>
      </c>
      <c r="C1610" s="2">
        <f t="shared" ca="1" si="1551"/>
        <v>6.7012112797785477</v>
      </c>
      <c r="D1610" s="2">
        <f t="shared" ca="1" si="1552"/>
        <v>0.52430487483872257</v>
      </c>
      <c r="E1610" s="2">
        <f t="shared" ca="1" si="1553"/>
        <v>7.524607642882847</v>
      </c>
      <c r="F1610" s="2">
        <f t="shared" ca="1" si="1554"/>
        <v>0.95580974743165648</v>
      </c>
      <c r="G1610" s="2">
        <f t="shared" ca="1" si="1555"/>
        <v>9.1120093474904809E-2</v>
      </c>
      <c r="H1610" s="2">
        <f t="shared" ca="1" si="1556"/>
        <v>9.1120093474904809E-2</v>
      </c>
      <c r="I1610" s="2">
        <f t="shared" ca="1" si="1557"/>
        <v>0.24878186820225601</v>
      </c>
      <c r="J1610" s="2">
        <f t="shared" ca="1" si="1558"/>
        <v>6.6083598993329053E-3</v>
      </c>
      <c r="K1610" s="2">
        <f t="shared" ca="1" si="1559"/>
        <v>6.6083598993329053E-3</v>
      </c>
      <c r="L1610" s="2">
        <f t="shared" ca="1" si="1560"/>
        <v>7.1109268072840348E-2</v>
      </c>
      <c r="M1610" s="2">
        <f t="shared" ca="1" si="1561"/>
        <v>-2.9351585857247897E-2</v>
      </c>
      <c r="N1610" s="2">
        <f t="shared" ca="1" si="1562"/>
        <v>-2.9351585857247897E-2</v>
      </c>
      <c r="O1610" s="2">
        <f t="shared" si="1563"/>
        <v>6000000</v>
      </c>
      <c r="P1610" s="2">
        <f t="shared" ca="1" si="1564"/>
        <v>40207267.678671286</v>
      </c>
      <c r="Q1610" s="2">
        <f t="shared" ca="1" si="1565"/>
        <v>1005181.6919667822</v>
      </c>
      <c r="R1610" s="2">
        <f t="shared" ca="1" si="1566"/>
        <v>24124360.607202772</v>
      </c>
      <c r="S1610" s="2">
        <f t="shared" ca="1" si="1567"/>
        <v>16082907.071468515</v>
      </c>
      <c r="T1610" s="2">
        <f t="shared" ca="1" si="1568"/>
        <v>48532420.7071376</v>
      </c>
      <c r="U1610" s="2">
        <f t="shared" ca="1" si="1569"/>
        <v>52954699.418535382</v>
      </c>
      <c r="V1610" s="2">
        <f t="shared" ca="1" si="1570"/>
        <v>57779936.579487815</v>
      </c>
      <c r="W1610" s="2">
        <f t="shared" ca="1" si="1571"/>
        <v>63044849.801584817</v>
      </c>
      <c r="X1610" s="2">
        <f t="shared" ca="1" si="1572"/>
        <v>68789502.408616558</v>
      </c>
      <c r="Y1610" s="2">
        <f t="shared" ca="1" si="1573"/>
        <v>0.12330417994966644</v>
      </c>
      <c r="Z1610" s="2">
        <f t="shared" ca="1" si="1574"/>
        <v>0.12462585192953303</v>
      </c>
      <c r="AA1610" s="2">
        <f t="shared" ca="1" si="1575"/>
        <v>5984250.3362658126</v>
      </c>
      <c r="AB1610" s="2">
        <f t="shared" ca="1" si="1576"/>
        <v>6599524.5287073189</v>
      </c>
      <c r="AC1610" s="2">
        <f t="shared" ca="1" si="1577"/>
        <v>7200873.8206530577</v>
      </c>
      <c r="AD1610" s="2">
        <f t="shared" ca="1" si="1578"/>
        <v>7857018.1162919588</v>
      </c>
      <c r="AE1610" s="2">
        <f t="shared" ca="1" si="1579"/>
        <v>8572950.3414825033</v>
      </c>
      <c r="AF1610" s="2">
        <f t="shared" ca="1" si="1580"/>
        <v>970648.41414275207</v>
      </c>
      <c r="AG1610" s="2">
        <f t="shared" ca="1" si="1581"/>
        <v>1059093.9883707077</v>
      </c>
      <c r="AH1610" s="2">
        <f t="shared" ca="1" si="1582"/>
        <v>1155598.7315897564</v>
      </c>
      <c r="AI1610" s="2">
        <f t="shared" ca="1" si="1583"/>
        <v>1260896.9960316964</v>
      </c>
      <c r="AJ1610" s="2">
        <f t="shared" ca="1" si="1584"/>
        <v>1375790.0481723312</v>
      </c>
      <c r="AK1610" s="2">
        <f t="shared" ca="1" si="1585"/>
        <v>0</v>
      </c>
      <c r="AL1610" s="2">
        <f t="shared" ca="1" si="1586"/>
        <v>44222.787113977822</v>
      </c>
      <c r="AM1610" s="2">
        <f t="shared" ca="1" si="1587"/>
        <v>48252.371609524344</v>
      </c>
      <c r="AN1610" s="2">
        <f t="shared" ca="1" si="1588"/>
        <v>52649.132220970023</v>
      </c>
      <c r="AO1610" s="2">
        <f t="shared" ca="1" si="1589"/>
        <v>57446.526070317406</v>
      </c>
      <c r="AP1610" s="2">
        <f t="shared" ca="1" si="1590"/>
        <v>2171192.4546482493</v>
      </c>
      <c r="AQ1610" s="2">
        <f t="shared" ca="1" si="1591"/>
        <v>739026.46154345095</v>
      </c>
      <c r="AR1610" s="2">
        <f t="shared" ca="1" si="1592"/>
        <v>876001.90227897395</v>
      </c>
      <c r="AS1610" s="2">
        <f t="shared" ca="1" si="1593"/>
        <v>1007261.4849479137</v>
      </c>
      <c r="AT1610" s="2">
        <f t="shared" ca="1" si="1594"/>
        <v>1150481.4530591236</v>
      </c>
      <c r="AU1610" s="2">
        <f t="shared" ca="1" si="1595"/>
        <v>1306751.6380520999</v>
      </c>
      <c r="AV1610" s="2">
        <f t="shared" ca="1" si="1596"/>
        <v>2103383.0059313602</v>
      </c>
      <c r="AW1610" s="2">
        <f t="shared" ca="1" si="1597"/>
        <v>2449013.3962954101</v>
      </c>
      <c r="AX1610" s="2">
        <f t="shared" ca="1" si="1598"/>
        <v>2818568.7778576151</v>
      </c>
      <c r="AY1610" s="2">
        <f t="shared" ca="1" si="1599"/>
        <v>3221798.0803319192</v>
      </c>
      <c r="AZ1610" s="2">
        <f t="shared" ca="1" si="1600"/>
        <v>3661769.674539506</v>
      </c>
      <c r="BA1610" s="2">
        <f t="shared" ca="1" si="1601"/>
        <v>64508087.661574356</v>
      </c>
      <c r="BB1610" s="2">
        <f t="shared" ca="1" si="1602"/>
        <v>1290161.7532314872</v>
      </c>
      <c r="BC1610" s="2">
        <f t="shared" ca="1" si="1603"/>
        <v>39093565.301140092</v>
      </c>
      <c r="BD1610" s="2">
        <f t="shared" ca="1" si="1604"/>
        <v>-17588088.763435297</v>
      </c>
      <c r="BE1610" s="2">
        <f t="shared" ca="1" si="1605"/>
        <v>2103383.0059313602</v>
      </c>
      <c r="BF1610" s="2">
        <f t="shared" ca="1" si="1606"/>
        <v>2449013.3962954101</v>
      </c>
      <c r="BG1610" s="2">
        <f t="shared" ca="1" si="1607"/>
        <v>2818568.7778576151</v>
      </c>
      <c r="BH1610" s="2">
        <f t="shared" ca="1" si="1608"/>
        <v>3221798.0803319192</v>
      </c>
      <c r="BI1610" s="2">
        <f t="shared" ca="1" si="1609"/>
        <v>42755334.975679599</v>
      </c>
      <c r="BJ1610" s="2">
        <f t="shared" ca="1" si="1610"/>
        <v>0.28927818150712392</v>
      </c>
      <c r="BK1610" s="2">
        <f t="shared" ca="1" si="1611"/>
        <v>14556508.06179085</v>
      </c>
    </row>
    <row r="1611" spans="1:63" x14ac:dyDescent="0.3">
      <c r="A1611" s="2">
        <v>1610</v>
      </c>
      <c r="B1611" s="2">
        <f t="shared" ca="1" si="1550"/>
        <v>0.82038104074517459</v>
      </c>
      <c r="C1611" s="2">
        <f t="shared" ca="1" si="1551"/>
        <v>7.4006354043575389</v>
      </c>
      <c r="D1611" s="2">
        <f t="shared" ca="1" si="1552"/>
        <v>0.75420648892647757</v>
      </c>
      <c r="E1611" s="2">
        <f t="shared" ca="1" si="1553"/>
        <v>7.7988673291401653</v>
      </c>
      <c r="F1611" s="2">
        <f t="shared" ca="1" si="1554"/>
        <v>0.19423958252578544</v>
      </c>
      <c r="G1611" s="2">
        <f t="shared" ca="1" si="1555"/>
        <v>1.4128639398126794E-2</v>
      </c>
      <c r="H1611" s="2">
        <f t="shared" ca="1" si="1556"/>
        <v>1.4128639398126794E-2</v>
      </c>
      <c r="I1611" s="2">
        <f t="shared" ca="1" si="1557"/>
        <v>0.9237761442169905</v>
      </c>
      <c r="J1611" s="2">
        <f t="shared" ca="1" si="1558"/>
        <v>1.7154694770770057E-2</v>
      </c>
      <c r="K1611" s="2">
        <f t="shared" ca="1" si="1559"/>
        <v>1.7154694770770057E-2</v>
      </c>
      <c r="L1611" s="2">
        <f t="shared" ca="1" si="1560"/>
        <v>0.3171175322405706</v>
      </c>
      <c r="M1611" s="2">
        <f t="shared" ca="1" si="1561"/>
        <v>-9.5154892726058826E-3</v>
      </c>
      <c r="N1611" s="2">
        <f t="shared" ca="1" si="1562"/>
        <v>-9.5154892726058826E-3</v>
      </c>
      <c r="O1611" s="2">
        <f t="shared" si="1563"/>
        <v>6000000</v>
      </c>
      <c r="P1611" s="2">
        <f t="shared" ca="1" si="1564"/>
        <v>44403812.426145233</v>
      </c>
      <c r="Q1611" s="2">
        <f t="shared" ca="1" si="1565"/>
        <v>1110095.3106536309</v>
      </c>
      <c r="R1611" s="2">
        <f t="shared" ca="1" si="1566"/>
        <v>26642287.455687139</v>
      </c>
      <c r="S1611" s="2">
        <f t="shared" ca="1" si="1567"/>
        <v>17761524.970458094</v>
      </c>
      <c r="T1611" s="2">
        <f t="shared" ca="1" si="1568"/>
        <v>49524225.536369704</v>
      </c>
      <c r="U1611" s="2">
        <f t="shared" ca="1" si="1569"/>
        <v>50223935.460444577</v>
      </c>
      <c r="V1611" s="2">
        <f t="shared" ca="1" si="1570"/>
        <v>50933531.333719991</v>
      </c>
      <c r="W1611" s="2">
        <f t="shared" ca="1" si="1571"/>
        <v>51653152.831207313</v>
      </c>
      <c r="X1611" s="2">
        <f t="shared" ca="1" si="1572"/>
        <v>52382941.601335771</v>
      </c>
      <c r="Y1611" s="2">
        <f t="shared" ca="1" si="1573"/>
        <v>0.12857734738538501</v>
      </c>
      <c r="Z1611" s="2">
        <f t="shared" ca="1" si="1574"/>
        <v>0.13200828633953904</v>
      </c>
      <c r="AA1611" s="2">
        <f t="shared" ca="1" si="1575"/>
        <v>6367693.5507819625</v>
      </c>
      <c r="AB1611" s="2">
        <f t="shared" ca="1" si="1576"/>
        <v>6629975.6533608958</v>
      </c>
      <c r="AC1611" s="2">
        <f t="shared" ca="1" si="1577"/>
        <v>6723648.1885855924</v>
      </c>
      <c r="AD1611" s="2">
        <f t="shared" ca="1" si="1578"/>
        <v>6818644.1892819861</v>
      </c>
      <c r="AE1611" s="2">
        <f t="shared" ca="1" si="1579"/>
        <v>6914982.3542164844</v>
      </c>
      <c r="AF1611" s="2">
        <f t="shared" ca="1" si="1580"/>
        <v>990484.51072739414</v>
      </c>
      <c r="AG1611" s="2">
        <f t="shared" ca="1" si="1581"/>
        <v>1004478.7092088916</v>
      </c>
      <c r="AH1611" s="2">
        <f t="shared" ca="1" si="1582"/>
        <v>1018670.6266743998</v>
      </c>
      <c r="AI1611" s="2">
        <f t="shared" ca="1" si="1583"/>
        <v>1033063.0566241463</v>
      </c>
      <c r="AJ1611" s="2">
        <f t="shared" ca="1" si="1584"/>
        <v>1047658.8320267155</v>
      </c>
      <c r="AK1611" s="2">
        <f t="shared" ca="1" si="1585"/>
        <v>0</v>
      </c>
      <c r="AL1611" s="2">
        <f t="shared" ca="1" si="1586"/>
        <v>6997.0992407487338</v>
      </c>
      <c r="AM1611" s="2">
        <f t="shared" ca="1" si="1587"/>
        <v>7095.9587327541412</v>
      </c>
      <c r="AN1611" s="2">
        <f t="shared" ca="1" si="1588"/>
        <v>7196.2149748732154</v>
      </c>
      <c r="AO1611" s="2">
        <f t="shared" ca="1" si="1589"/>
        <v>7297.8877012845878</v>
      </c>
      <c r="AP1611" s="2">
        <f t="shared" ca="1" si="1590"/>
        <v>2397805.8710118425</v>
      </c>
      <c r="AQ1611" s="2">
        <f t="shared" ca="1" si="1591"/>
        <v>774644.82395110873</v>
      </c>
      <c r="AR1611" s="2">
        <f t="shared" ca="1" si="1592"/>
        <v>839199.67901644204</v>
      </c>
      <c r="AS1611" s="2">
        <f t="shared" ca="1" si="1593"/>
        <v>859864.6396338311</v>
      </c>
      <c r="AT1611" s="2">
        <f t="shared" ca="1" si="1594"/>
        <v>880821.56802795932</v>
      </c>
      <c r="AU1611" s="2">
        <f t="shared" ca="1" si="1595"/>
        <v>902074.58930626092</v>
      </c>
      <c r="AV1611" s="2">
        <f t="shared" ca="1" si="1596"/>
        <v>2204758.3450916172</v>
      </c>
      <c r="AW1611" s="2">
        <f t="shared" ca="1" si="1597"/>
        <v>2381494.2948829704</v>
      </c>
      <c r="AX1611" s="2">
        <f t="shared" ca="1" si="1598"/>
        <v>2440211.0925327647</v>
      </c>
      <c r="AY1611" s="2">
        <f t="shared" ca="1" si="1599"/>
        <v>2499757.4786431654</v>
      </c>
      <c r="AZ1611" s="2">
        <f t="shared" ca="1" si="1600"/>
        <v>2560145.1741703819</v>
      </c>
      <c r="BA1611" s="2">
        <f t="shared" ca="1" si="1601"/>
        <v>53929029.96387969</v>
      </c>
      <c r="BB1611" s="2">
        <f t="shared" ca="1" si="1602"/>
        <v>1078580.5992775939</v>
      </c>
      <c r="BC1611" s="2">
        <f t="shared" ca="1" si="1603"/>
        <v>26208161.908914957</v>
      </c>
      <c r="BD1611" s="2">
        <f t="shared" ca="1" si="1604"/>
        <v>-19371620.281111725</v>
      </c>
      <c r="BE1611" s="2">
        <f t="shared" ca="1" si="1605"/>
        <v>2204758.3450916172</v>
      </c>
      <c r="BF1611" s="2">
        <f t="shared" ca="1" si="1606"/>
        <v>2381494.2948829704</v>
      </c>
      <c r="BG1611" s="2">
        <f t="shared" ca="1" si="1607"/>
        <v>2440211.0925327647</v>
      </c>
      <c r="BH1611" s="2">
        <f t="shared" ca="1" si="1608"/>
        <v>2499757.4786431654</v>
      </c>
      <c r="BI1611" s="2">
        <f t="shared" ca="1" si="1609"/>
        <v>28768307.08308534</v>
      </c>
      <c r="BJ1611" s="2">
        <f t="shared" ca="1" si="1610"/>
        <v>0.17337806739391537</v>
      </c>
      <c r="BK1611" s="2">
        <f t="shared" ca="1" si="1611"/>
        <v>4144871.7848482393</v>
      </c>
    </row>
    <row r="1612" spans="1:63" x14ac:dyDescent="0.3">
      <c r="A1612" s="2">
        <v>1611</v>
      </c>
      <c r="B1612" s="2">
        <f t="shared" ca="1" si="1550"/>
        <v>0.90472267708025877</v>
      </c>
      <c r="C1612" s="2">
        <f t="shared" ca="1" si="1551"/>
        <v>7.5634743468712493</v>
      </c>
      <c r="D1612" s="2">
        <f t="shared" ca="1" si="1552"/>
        <v>0.8341121931801232</v>
      </c>
      <c r="E1612" s="2">
        <f t="shared" ca="1" si="1553"/>
        <v>7.9240003353822557</v>
      </c>
      <c r="F1612" s="2">
        <f t="shared" ca="1" si="1554"/>
        <v>7.2631572187992766E-2</v>
      </c>
      <c r="G1612" s="2">
        <f t="shared" ca="1" si="1555"/>
        <v>-3.6940557586311457E-3</v>
      </c>
      <c r="H1612" s="2">
        <f t="shared" ca="1" si="1556"/>
        <v>-3.6940557586311457E-3</v>
      </c>
      <c r="I1612" s="2">
        <f t="shared" ca="1" si="1557"/>
        <v>0.61821785792396</v>
      </c>
      <c r="J1612" s="2">
        <f t="shared" ca="1" si="1558"/>
        <v>1.1504017861787159E-2</v>
      </c>
      <c r="K1612" s="2">
        <f t="shared" ca="1" si="1559"/>
        <v>1.1504017861787159E-2</v>
      </c>
      <c r="L1612" s="2">
        <f t="shared" ca="1" si="1560"/>
        <v>0.88242383878516539</v>
      </c>
      <c r="M1612" s="2">
        <f t="shared" ca="1" si="1561"/>
        <v>2.3743818359068167E-2</v>
      </c>
      <c r="N1612" s="2">
        <f t="shared" ca="1" si="1562"/>
        <v>2.3743818359068167E-2</v>
      </c>
      <c r="O1612" s="2">
        <f t="shared" si="1563"/>
        <v>6000000</v>
      </c>
      <c r="P1612" s="2">
        <f t="shared" ca="1" si="1564"/>
        <v>45380846.081227496</v>
      </c>
      <c r="Q1612" s="2">
        <f t="shared" ca="1" si="1565"/>
        <v>1134521.1520306875</v>
      </c>
      <c r="R1612" s="2">
        <f t="shared" ca="1" si="1566"/>
        <v>27228507.648736496</v>
      </c>
      <c r="S1612" s="2">
        <f t="shared" ca="1" si="1567"/>
        <v>18152338.432491001</v>
      </c>
      <c r="T1612" s="2">
        <f t="shared" ca="1" si="1568"/>
        <v>51187190.917953409</v>
      </c>
      <c r="U1612" s="2">
        <f t="shared" ca="1" si="1569"/>
        <v>50998102.580574796</v>
      </c>
      <c r="V1612" s="2">
        <f t="shared" ca="1" si="1570"/>
        <v>50809712.746057764</v>
      </c>
      <c r="W1612" s="2">
        <f t="shared" ca="1" si="1571"/>
        <v>50622018.834093794</v>
      </c>
      <c r="X1612" s="2">
        <f t="shared" ca="1" si="1572"/>
        <v>50435018.273906179</v>
      </c>
      <c r="Y1612" s="2">
        <f t="shared" ca="1" si="1573"/>
        <v>0.12575200893089358</v>
      </c>
      <c r="Z1612" s="2">
        <f t="shared" ca="1" si="1574"/>
        <v>0.12805281250325101</v>
      </c>
      <c r="AA1612" s="2">
        <f t="shared" ca="1" si="1575"/>
        <v>6436892.0894618323</v>
      </c>
      <c r="AB1612" s="2">
        <f t="shared" ca="1" si="1576"/>
        <v>6530450.4677719055</v>
      </c>
      <c r="AC1612" s="2">
        <f t="shared" ca="1" si="1577"/>
        <v>6506326.6196149783</v>
      </c>
      <c r="AD1612" s="2">
        <f t="shared" ca="1" si="1578"/>
        <v>6482291.8862982541</v>
      </c>
      <c r="AE1612" s="2">
        <f t="shared" ca="1" si="1579"/>
        <v>6458345.9386265464</v>
      </c>
      <c r="AF1612" s="2">
        <f t="shared" ca="1" si="1580"/>
        <v>1023743.8183590682</v>
      </c>
      <c r="AG1612" s="2">
        <f t="shared" ca="1" si="1581"/>
        <v>1019962.0516114959</v>
      </c>
      <c r="AH1612" s="2">
        <f t="shared" ca="1" si="1582"/>
        <v>1016194.2549211553</v>
      </c>
      <c r="AI1612" s="2">
        <f t="shared" ca="1" si="1583"/>
        <v>1012440.3766818759</v>
      </c>
      <c r="AJ1612" s="2">
        <f t="shared" ca="1" si="1584"/>
        <v>1008700.3654781237</v>
      </c>
      <c r="AK1612" s="2">
        <f t="shared" ca="1" si="1585"/>
        <v>0</v>
      </c>
      <c r="AL1612" s="2">
        <f t="shared" ca="1" si="1586"/>
        <v>0</v>
      </c>
      <c r="AM1612" s="2">
        <f t="shared" ca="1" si="1587"/>
        <v>0</v>
      </c>
      <c r="AN1612" s="2">
        <f t="shared" ca="1" si="1588"/>
        <v>0</v>
      </c>
      <c r="AO1612" s="2">
        <f t="shared" ca="1" si="1589"/>
        <v>0</v>
      </c>
      <c r="AP1612" s="2">
        <f t="shared" ca="1" si="1590"/>
        <v>2450565.6883862843</v>
      </c>
      <c r="AQ1612" s="2">
        <f t="shared" ca="1" si="1591"/>
        <v>770271.47150628467</v>
      </c>
      <c r="AR1612" s="2">
        <f t="shared" ca="1" si="1592"/>
        <v>795579.90922127257</v>
      </c>
      <c r="AS1612" s="2">
        <f t="shared" ca="1" si="1593"/>
        <v>790287.33583996014</v>
      </c>
      <c r="AT1612" s="2">
        <f t="shared" ca="1" si="1594"/>
        <v>785014.31351982453</v>
      </c>
      <c r="AU1612" s="2">
        <f t="shared" ca="1" si="1595"/>
        <v>779760.77003815607</v>
      </c>
      <c r="AV1612" s="2">
        <f t="shared" ca="1" si="1596"/>
        <v>2192311.1112101949</v>
      </c>
      <c r="AW1612" s="2">
        <f t="shared" ca="1" si="1597"/>
        <v>2264342.8185528521</v>
      </c>
      <c r="AX1612" s="2">
        <f t="shared" ca="1" si="1598"/>
        <v>2249279.3404675792</v>
      </c>
      <c r="AY1612" s="2">
        <f t="shared" ca="1" si="1599"/>
        <v>2234271.5077102701</v>
      </c>
      <c r="AZ1612" s="2">
        <f t="shared" ca="1" si="1600"/>
        <v>2219319.1147239828</v>
      </c>
      <c r="BA1612" s="2">
        <f t="shared" ca="1" si="1601"/>
        <v>51175935.383691385</v>
      </c>
      <c r="BB1612" s="2">
        <f t="shared" ca="1" si="1602"/>
        <v>1023518.7076738278</v>
      </c>
      <c r="BC1612" s="2">
        <f t="shared" ca="1" si="1603"/>
        <v>22923909.027281061</v>
      </c>
      <c r="BD1612" s="2">
        <f t="shared" ca="1" si="1604"/>
        <v>-19786859.584521689</v>
      </c>
      <c r="BE1612" s="2">
        <f t="shared" ca="1" si="1605"/>
        <v>2192311.1112101949</v>
      </c>
      <c r="BF1612" s="2">
        <f t="shared" ca="1" si="1606"/>
        <v>2264342.8185528521</v>
      </c>
      <c r="BG1612" s="2">
        <f t="shared" ca="1" si="1607"/>
        <v>2249279.3404675792</v>
      </c>
      <c r="BH1612" s="2">
        <f t="shared" ca="1" si="1608"/>
        <v>2234271.5077102701</v>
      </c>
      <c r="BI1612" s="2">
        <f t="shared" ca="1" si="1609"/>
        <v>25143228.142005045</v>
      </c>
      <c r="BJ1612" s="2">
        <f t="shared" ca="1" si="1610"/>
        <v>0.13688520656123582</v>
      </c>
      <c r="BK1612" s="2">
        <f t="shared" ca="1" si="1611"/>
        <v>1263536.7109219804</v>
      </c>
    </row>
    <row r="1613" spans="1:63" x14ac:dyDescent="0.3">
      <c r="A1613" s="2">
        <v>1612</v>
      </c>
      <c r="B1613" s="2">
        <f t="shared" ca="1" si="1550"/>
        <v>0.45907354562945291</v>
      </c>
      <c r="C1613" s="2">
        <f t="shared" ca="1" si="1551"/>
        <v>6.9581999223851492</v>
      </c>
      <c r="D1613" s="2">
        <f t="shared" ca="1" si="1552"/>
        <v>0.35494901972653092</v>
      </c>
      <c r="E1613" s="2">
        <f t="shared" ca="1" si="1553"/>
        <v>7.3425544726918623</v>
      </c>
      <c r="F1613" s="2">
        <f t="shared" ca="1" si="1554"/>
        <v>0.64136446045788131</v>
      </c>
      <c r="G1613" s="2">
        <f t="shared" ca="1" si="1555"/>
        <v>5.0863249897662235E-2</v>
      </c>
      <c r="H1613" s="2">
        <f t="shared" ca="1" si="1556"/>
        <v>5.0863249897662235E-2</v>
      </c>
      <c r="I1613" s="2">
        <f t="shared" ca="1" si="1557"/>
        <v>0.82201737161112109</v>
      </c>
      <c r="J1613" s="2">
        <f t="shared" ca="1" si="1558"/>
        <v>1.4615402490881337E-2</v>
      </c>
      <c r="K1613" s="2">
        <f t="shared" ca="1" si="1559"/>
        <v>1.4615402490881337E-2</v>
      </c>
      <c r="L1613" s="2">
        <f t="shared" ca="1" si="1560"/>
        <v>0.49284252964040787</v>
      </c>
      <c r="M1613" s="2">
        <f t="shared" ca="1" si="1561"/>
        <v>-3.5884160357707253E-4</v>
      </c>
      <c r="N1613" s="2">
        <f t="shared" ca="1" si="1562"/>
        <v>-3.5884160357707253E-4</v>
      </c>
      <c r="O1613" s="2">
        <f t="shared" si="1563"/>
        <v>6000000</v>
      </c>
      <c r="P1613" s="2">
        <f t="shared" ca="1" si="1564"/>
        <v>41749199.534310892</v>
      </c>
      <c r="Q1613" s="2">
        <f t="shared" ca="1" si="1565"/>
        <v>1043729.9883577724</v>
      </c>
      <c r="R1613" s="2">
        <f t="shared" ca="1" si="1566"/>
        <v>25049519.720586535</v>
      </c>
      <c r="S1613" s="2">
        <f t="shared" ca="1" si="1567"/>
        <v>16699679.813724358</v>
      </c>
      <c r="T1613" s="2">
        <f t="shared" ca="1" si="1568"/>
        <v>49982057.919821151</v>
      </c>
      <c r="U1613" s="2">
        <f t="shared" ca="1" si="1569"/>
        <v>52524307.822196439</v>
      </c>
      <c r="V1613" s="2">
        <f t="shared" ca="1" si="1570"/>
        <v>55195864.816658549</v>
      </c>
      <c r="W1613" s="2">
        <f t="shared" ca="1" si="1571"/>
        <v>58003305.882145837</v>
      </c>
      <c r="X1613" s="2">
        <f t="shared" ca="1" si="1572"/>
        <v>60953542.524119958</v>
      </c>
      <c r="Y1613" s="2">
        <f t="shared" ca="1" si="1573"/>
        <v>0.12730770124544066</v>
      </c>
      <c r="Z1613" s="2">
        <f t="shared" ca="1" si="1574"/>
        <v>0.13023078174361694</v>
      </c>
      <c r="AA1613" s="2">
        <f t="shared" ca="1" si="1575"/>
        <v>6363100.8972889027</v>
      </c>
      <c r="AB1613" s="2">
        <f t="shared" ca="1" si="1576"/>
        <v>6840281.668227016</v>
      </c>
      <c r="AC1613" s="2">
        <f t="shared" ca="1" si="1577"/>
        <v>7188200.6240884447</v>
      </c>
      <c r="AD1613" s="2">
        <f t="shared" ca="1" si="1578"/>
        <v>7553815.8687459873</v>
      </c>
      <c r="AE1613" s="2">
        <f t="shared" ca="1" si="1579"/>
        <v>7938027.4929589396</v>
      </c>
      <c r="AF1613" s="2">
        <f t="shared" ca="1" si="1580"/>
        <v>999641.15839642298</v>
      </c>
      <c r="AG1613" s="2">
        <f t="shared" ca="1" si="1581"/>
        <v>1050486.1564439288</v>
      </c>
      <c r="AH1613" s="2">
        <f t="shared" ca="1" si="1582"/>
        <v>1103917.296333171</v>
      </c>
      <c r="AI1613" s="2">
        <f t="shared" ca="1" si="1583"/>
        <v>1160066.1176429167</v>
      </c>
      <c r="AJ1613" s="2">
        <f t="shared" ca="1" si="1584"/>
        <v>1219070.8504823991</v>
      </c>
      <c r="AK1613" s="2">
        <f t="shared" ca="1" si="1585"/>
        <v>0</v>
      </c>
      <c r="AL1613" s="2">
        <f t="shared" ca="1" si="1586"/>
        <v>25422.499023752884</v>
      </c>
      <c r="AM1613" s="2">
        <f t="shared" ca="1" si="1587"/>
        <v>26715.5699446211</v>
      </c>
      <c r="AN1613" s="2">
        <f t="shared" ca="1" si="1588"/>
        <v>28074.410654872881</v>
      </c>
      <c r="AO1613" s="2">
        <f t="shared" ca="1" si="1589"/>
        <v>29502.366419741214</v>
      </c>
      <c r="AP1613" s="2">
        <f t="shared" ca="1" si="1590"/>
        <v>2254456.7748527881</v>
      </c>
      <c r="AQ1613" s="2">
        <f t="shared" ca="1" si="1591"/>
        <v>808340.77065031987</v>
      </c>
      <c r="AR1613" s="2">
        <f t="shared" ca="1" si="1592"/>
        <v>919188.07160187792</v>
      </c>
      <c r="AS1613" s="2">
        <f t="shared" ca="1" si="1593"/>
        <v>995754.90375464642</v>
      </c>
      <c r="AT1613" s="2">
        <f t="shared" ca="1" si="1594"/>
        <v>1076216.1738250735</v>
      </c>
      <c r="AU1613" s="2">
        <f t="shared" ca="1" si="1595"/>
        <v>1160769.9655821756</v>
      </c>
      <c r="AV1613" s="2">
        <f t="shared" ca="1" si="1596"/>
        <v>2300662.193389372</v>
      </c>
      <c r="AW1613" s="2">
        <f t="shared" ca="1" si="1597"/>
        <v>2590728.1663046684</v>
      </c>
      <c r="AX1613" s="2">
        <f t="shared" ca="1" si="1598"/>
        <v>2807356.0792032182</v>
      </c>
      <c r="AY1613" s="2">
        <f t="shared" ca="1" si="1599"/>
        <v>3035002.3917703368</v>
      </c>
      <c r="AZ1613" s="2">
        <f t="shared" ca="1" si="1600"/>
        <v>3274227.5356218349</v>
      </c>
      <c r="BA1613" s="2">
        <f t="shared" ca="1" si="1601"/>
        <v>58285399.272776634</v>
      </c>
      <c r="BB1613" s="2">
        <f t="shared" ca="1" si="1602"/>
        <v>1165707.9854555328</v>
      </c>
      <c r="BC1613" s="2">
        <f t="shared" ca="1" si="1603"/>
        <v>32070171.566734567</v>
      </c>
      <c r="BD1613" s="2">
        <f t="shared" ca="1" si="1604"/>
        <v>-18243409.802082129</v>
      </c>
      <c r="BE1613" s="2">
        <f t="shared" ca="1" si="1605"/>
        <v>2300662.193389372</v>
      </c>
      <c r="BF1613" s="2">
        <f t="shared" ca="1" si="1606"/>
        <v>2590728.1663046684</v>
      </c>
      <c r="BG1613" s="2">
        <f t="shared" ca="1" si="1607"/>
        <v>2807356.0792032182</v>
      </c>
      <c r="BH1613" s="2">
        <f t="shared" ca="1" si="1608"/>
        <v>3035002.3917703368</v>
      </c>
      <c r="BI1613" s="2">
        <f t="shared" ca="1" si="1609"/>
        <v>35344399.102356404</v>
      </c>
      <c r="BJ1613" s="2">
        <f t="shared" ca="1" si="1610"/>
        <v>0.24181265933932261</v>
      </c>
      <c r="BK1613" s="2">
        <f t="shared" ca="1" si="1611"/>
        <v>9858446.2468050905</v>
      </c>
    </row>
    <row r="1614" spans="1:63" x14ac:dyDescent="0.3">
      <c r="A1614" s="2">
        <v>1613</v>
      </c>
      <c r="B1614" s="2">
        <f t="shared" ca="1" si="1550"/>
        <v>0.52910500880930389</v>
      </c>
      <c r="C1614" s="2">
        <f t="shared" ca="1" si="1551"/>
        <v>7.02954135462587</v>
      </c>
      <c r="D1614" s="2">
        <f t="shared" ca="1" si="1552"/>
        <v>0.7571417361963606</v>
      </c>
      <c r="E1614" s="2">
        <f t="shared" ca="1" si="1553"/>
        <v>7.8030663391632755</v>
      </c>
      <c r="F1614" s="2">
        <f t="shared" ca="1" si="1554"/>
        <v>0.46013876296453526</v>
      </c>
      <c r="G1614" s="2">
        <f t="shared" ca="1" si="1555"/>
        <v>3.6997475776447207E-2</v>
      </c>
      <c r="H1614" s="2">
        <f t="shared" ca="1" si="1556"/>
        <v>3.6997475776447207E-2</v>
      </c>
      <c r="I1614" s="2">
        <f t="shared" ca="1" si="1557"/>
        <v>0.22615063797849366</v>
      </c>
      <c r="J1614" s="2">
        <f t="shared" ca="1" si="1558"/>
        <v>6.2420800643000762E-3</v>
      </c>
      <c r="K1614" s="2">
        <f t="shared" ca="1" si="1559"/>
        <v>6.2420800643000762E-3</v>
      </c>
      <c r="L1614" s="2">
        <f t="shared" ca="1" si="1560"/>
        <v>0.37965488268970904</v>
      </c>
      <c r="M1614" s="2">
        <f t="shared" ca="1" si="1561"/>
        <v>-6.1277463012740507E-3</v>
      </c>
      <c r="N1614" s="2">
        <f t="shared" ca="1" si="1562"/>
        <v>-6.1277463012740507E-3</v>
      </c>
      <c r="O1614" s="2">
        <f t="shared" si="1563"/>
        <v>6000000</v>
      </c>
      <c r="P1614" s="2">
        <f t="shared" ca="1" si="1564"/>
        <v>42177248.127755217</v>
      </c>
      <c r="Q1614" s="2">
        <f t="shared" ca="1" si="1565"/>
        <v>1054431.2031938804</v>
      </c>
      <c r="R1614" s="2">
        <f t="shared" ca="1" si="1566"/>
        <v>25306348.876653131</v>
      </c>
      <c r="S1614" s="2">
        <f t="shared" ca="1" si="1567"/>
        <v>16870899.251102086</v>
      </c>
      <c r="T1614" s="2">
        <f t="shared" ca="1" si="1568"/>
        <v>49693612.684936292</v>
      </c>
      <c r="U1614" s="2">
        <f t="shared" ca="1" si="1569"/>
        <v>51532150.916491374</v>
      </c>
      <c r="V1614" s="2">
        <f t="shared" ca="1" si="1570"/>
        <v>53438710.421732493</v>
      </c>
      <c r="W1614" s="2">
        <f t="shared" ca="1" si="1571"/>
        <v>55415807.816085123</v>
      </c>
      <c r="X1614" s="2">
        <f t="shared" ca="1" si="1572"/>
        <v>57466052.823392987</v>
      </c>
      <c r="Y1614" s="2">
        <f t="shared" ca="1" si="1573"/>
        <v>0.12312104003215003</v>
      </c>
      <c r="Z1614" s="2">
        <f t="shared" ca="1" si="1574"/>
        <v>0.12436945604501005</v>
      </c>
      <c r="AA1614" s="2">
        <f t="shared" ca="1" si="1575"/>
        <v>6118329.2767241998</v>
      </c>
      <c r="AB1614" s="2">
        <f t="shared" ca="1" si="1576"/>
        <v>6409025.5783133982</v>
      </c>
      <c r="AC1614" s="2">
        <f t="shared" ca="1" si="1577"/>
        <v>6646143.3468976803</v>
      </c>
      <c r="AD1614" s="2">
        <f t="shared" ca="1" si="1578"/>
        <v>6892033.8743813233</v>
      </c>
      <c r="AE1614" s="2">
        <f t="shared" ca="1" si="1579"/>
        <v>7147021.7306992002</v>
      </c>
      <c r="AF1614" s="2">
        <f t="shared" ca="1" si="1580"/>
        <v>993872.25369872584</v>
      </c>
      <c r="AG1614" s="2">
        <f t="shared" ca="1" si="1581"/>
        <v>1030643.0183298275</v>
      </c>
      <c r="AH1614" s="2">
        <f t="shared" ca="1" si="1582"/>
        <v>1068774.20843465</v>
      </c>
      <c r="AI1614" s="2">
        <f t="shared" ca="1" si="1583"/>
        <v>1108316.1563217025</v>
      </c>
      <c r="AJ1614" s="2">
        <f t="shared" ca="1" si="1584"/>
        <v>1149321.0564678598</v>
      </c>
      <c r="AK1614" s="2">
        <f t="shared" ca="1" si="1585"/>
        <v>0</v>
      </c>
      <c r="AL1614" s="2">
        <f t="shared" ca="1" si="1586"/>
        <v>18385.382315550818</v>
      </c>
      <c r="AM1614" s="2">
        <f t="shared" ca="1" si="1587"/>
        <v>19065.595052411183</v>
      </c>
      <c r="AN1614" s="2">
        <f t="shared" ca="1" si="1588"/>
        <v>19770.9739435263</v>
      </c>
      <c r="AO1614" s="2">
        <f t="shared" ca="1" si="1589"/>
        <v>20502.450073078649</v>
      </c>
      <c r="AP1614" s="2">
        <f t="shared" ca="1" si="1590"/>
        <v>2277571.3988987817</v>
      </c>
      <c r="AQ1614" s="2">
        <f t="shared" ca="1" si="1591"/>
        <v>740190.2622729399</v>
      </c>
      <c r="AR1614" s="2">
        <f t="shared" ca="1" si="1592"/>
        <v>806210.9018820452</v>
      </c>
      <c r="AS1614" s="2">
        <f t="shared" ca="1" si="1593"/>
        <v>857947.41228670476</v>
      </c>
      <c r="AT1614" s="2">
        <f t="shared" ca="1" si="1594"/>
        <v>911598.0429818182</v>
      </c>
      <c r="AU1614" s="2">
        <f t="shared" ca="1" si="1595"/>
        <v>967233.61158646527</v>
      </c>
      <c r="AV1614" s="2">
        <f t="shared" ca="1" si="1596"/>
        <v>2106695.3618537518</v>
      </c>
      <c r="AW1614" s="2">
        <f t="shared" ca="1" si="1597"/>
        <v>2276214.8768871934</v>
      </c>
      <c r="AX1614" s="2">
        <f t="shared" ca="1" si="1598"/>
        <v>2422784.7322251336</v>
      </c>
      <c r="AY1614" s="2">
        <f t="shared" ca="1" si="1599"/>
        <v>2574777.3022354948</v>
      </c>
      <c r="AZ1614" s="2">
        <f t="shared" ca="1" si="1600"/>
        <v>2732393.2136730147</v>
      </c>
      <c r="BA1614" s="2">
        <f t="shared" ca="1" si="1601"/>
        <v>55768684.692087382</v>
      </c>
      <c r="BB1614" s="2">
        <f t="shared" ca="1" si="1602"/>
        <v>1115373.6938417477</v>
      </c>
      <c r="BC1614" s="2">
        <f t="shared" ca="1" si="1603"/>
        <v>29346962.121592503</v>
      </c>
      <c r="BD1614" s="2">
        <f t="shared" ca="1" si="1604"/>
        <v>-18425330.454295967</v>
      </c>
      <c r="BE1614" s="2">
        <f t="shared" ca="1" si="1605"/>
        <v>2106695.3618537518</v>
      </c>
      <c r="BF1614" s="2">
        <f t="shared" ca="1" si="1606"/>
        <v>2276214.8768871934</v>
      </c>
      <c r="BG1614" s="2">
        <f t="shared" ca="1" si="1607"/>
        <v>2422784.7322251336</v>
      </c>
      <c r="BH1614" s="2">
        <f t="shared" ca="1" si="1608"/>
        <v>2574777.3022354948</v>
      </c>
      <c r="BI1614" s="2">
        <f t="shared" ca="1" si="1609"/>
        <v>32079355.335265517</v>
      </c>
      <c r="BJ1614" s="2">
        <f t="shared" ca="1" si="1610"/>
        <v>0.20693530873049215</v>
      </c>
      <c r="BK1614" s="2">
        <f t="shared" ca="1" si="1611"/>
        <v>6833727.6831123978</v>
      </c>
    </row>
    <row r="1615" spans="1:63" x14ac:dyDescent="0.3">
      <c r="A1615" s="2">
        <v>1614</v>
      </c>
      <c r="B1615" s="2">
        <f t="shared" ca="1" si="1550"/>
        <v>0.22523301973780008</v>
      </c>
      <c r="C1615" s="2">
        <f t="shared" ca="1" si="1551"/>
        <v>6.6711676686757198</v>
      </c>
      <c r="D1615" s="2">
        <f t="shared" ca="1" si="1552"/>
        <v>9.7496859585956108E-2</v>
      </c>
      <c r="E1615" s="2">
        <f t="shared" ca="1" si="1553"/>
        <v>6.9415809316217265</v>
      </c>
      <c r="F1615" s="2">
        <f t="shared" ca="1" si="1554"/>
        <v>0.94299935895114473</v>
      </c>
      <c r="G1615" s="2">
        <f t="shared" ca="1" si="1555"/>
        <v>8.7413836475425555E-2</v>
      </c>
      <c r="H1615" s="2">
        <f t="shared" ca="1" si="1556"/>
        <v>8.7413836475425555E-2</v>
      </c>
      <c r="I1615" s="2">
        <f t="shared" ca="1" si="1557"/>
        <v>0.30807090533165638</v>
      </c>
      <c r="J1615" s="2">
        <f t="shared" ca="1" si="1558"/>
        <v>7.4933707158169015E-3</v>
      </c>
      <c r="K1615" s="2">
        <f t="shared" ca="1" si="1559"/>
        <v>7.4933707158169015E-3</v>
      </c>
      <c r="L1615" s="2">
        <f t="shared" ca="1" si="1560"/>
        <v>0.41311477406994102</v>
      </c>
      <c r="M1615" s="2">
        <f t="shared" ca="1" si="1561"/>
        <v>-4.3907968194924164E-3</v>
      </c>
      <c r="N1615" s="2">
        <f t="shared" ca="1" si="1562"/>
        <v>-4.3907968194924164E-3</v>
      </c>
      <c r="O1615" s="2">
        <f t="shared" si="1563"/>
        <v>6000000</v>
      </c>
      <c r="P1615" s="2">
        <f t="shared" ca="1" si="1564"/>
        <v>40027006.012054317</v>
      </c>
      <c r="Q1615" s="2">
        <f t="shared" ca="1" si="1565"/>
        <v>1000675.150301358</v>
      </c>
      <c r="R1615" s="2">
        <f t="shared" ca="1" si="1566"/>
        <v>24016203.607232589</v>
      </c>
      <c r="S1615" s="2">
        <f t="shared" ca="1" si="1567"/>
        <v>16010802.404821727</v>
      </c>
      <c r="T1615" s="2">
        <f t="shared" ca="1" si="1568"/>
        <v>49780460.159025379</v>
      </c>
      <c r="U1615" s="2">
        <f t="shared" ca="1" si="1569"/>
        <v>54131961.163037859</v>
      </c>
      <c r="V1615" s="2">
        <f t="shared" ca="1" si="1570"/>
        <v>58863843.564237736</v>
      </c>
      <c r="W1615" s="2">
        <f t="shared" ca="1" si="1571"/>
        <v>64009357.959877044</v>
      </c>
      <c r="X1615" s="2">
        <f t="shared" ca="1" si="1572"/>
        <v>69604661.509478718</v>
      </c>
      <c r="Y1615" s="2">
        <f t="shared" ca="1" si="1573"/>
        <v>0.12374668535790845</v>
      </c>
      <c r="Z1615" s="2">
        <f t="shared" ca="1" si="1574"/>
        <v>0.12524535950107182</v>
      </c>
      <c r="AA1615" s="2">
        <f t="shared" ca="1" si="1575"/>
        <v>6160166.9402708104</v>
      </c>
      <c r="AB1615" s="2">
        <f t="shared" ca="1" si="1576"/>
        <v>6779776.936362735</v>
      </c>
      <c r="AC1615" s="2">
        <f t="shared" ca="1" si="1577"/>
        <v>7372423.248817808</v>
      </c>
      <c r="AD1615" s="2">
        <f t="shared" ca="1" si="1578"/>
        <v>8016875.049117594</v>
      </c>
      <c r="AE1615" s="2">
        <f t="shared" ca="1" si="1579"/>
        <v>8717660.8537050784</v>
      </c>
      <c r="AF1615" s="2">
        <f t="shared" ca="1" si="1580"/>
        <v>995609.20318050764</v>
      </c>
      <c r="AG1615" s="2">
        <f t="shared" ca="1" si="1581"/>
        <v>1082639.2232607573</v>
      </c>
      <c r="AH1615" s="2">
        <f t="shared" ca="1" si="1582"/>
        <v>1177276.8712847547</v>
      </c>
      <c r="AI1615" s="2">
        <f t="shared" ca="1" si="1583"/>
        <v>1280187.159197541</v>
      </c>
      <c r="AJ1615" s="2">
        <f t="shared" ca="1" si="1584"/>
        <v>1392093.2301895744</v>
      </c>
      <c r="AK1615" s="2">
        <f t="shared" ca="1" si="1585"/>
        <v>0</v>
      </c>
      <c r="AL1615" s="2">
        <f t="shared" ca="1" si="1586"/>
        <v>43515.010040124806</v>
      </c>
      <c r="AM1615" s="2">
        <f t="shared" ca="1" si="1587"/>
        <v>47318.824011998775</v>
      </c>
      <c r="AN1615" s="2">
        <f t="shared" ca="1" si="1588"/>
        <v>51455.143956393076</v>
      </c>
      <c r="AO1615" s="2">
        <f t="shared" ca="1" si="1589"/>
        <v>55953.035496016739</v>
      </c>
      <c r="AP1615" s="2">
        <f t="shared" ca="1" si="1590"/>
        <v>2161458.324650933</v>
      </c>
      <c r="AQ1615" s="2">
        <f t="shared" ca="1" si="1591"/>
        <v>780805.84723423608</v>
      </c>
      <c r="AR1615" s="2">
        <f t="shared" ca="1" si="1592"/>
        <v>919276.64099727164</v>
      </c>
      <c r="AS1615" s="2">
        <f t="shared" ca="1" si="1593"/>
        <v>1048758.8937493511</v>
      </c>
      <c r="AT1615" s="2">
        <f t="shared" ca="1" si="1594"/>
        <v>1189559.6869699713</v>
      </c>
      <c r="AU1615" s="2">
        <f t="shared" ca="1" si="1595"/>
        <v>1342668.4177047883</v>
      </c>
      <c r="AV1615" s="2">
        <f t="shared" ca="1" si="1596"/>
        <v>2222293.5652051335</v>
      </c>
      <c r="AW1615" s="2">
        <f t="shared" ca="1" si="1597"/>
        <v>2572887.7374136476</v>
      </c>
      <c r="AX1615" s="2">
        <f t="shared" ca="1" si="1598"/>
        <v>2937610.3351207701</v>
      </c>
      <c r="AY1615" s="2">
        <f t="shared" ca="1" si="1599"/>
        <v>3334214.7343427557</v>
      </c>
      <c r="AZ1615" s="2">
        <f t="shared" ca="1" si="1600"/>
        <v>3765487.8456637654</v>
      </c>
      <c r="BA1615" s="2">
        <f t="shared" ca="1" si="1601"/>
        <v>60514348.350424357</v>
      </c>
      <c r="BB1615" s="2">
        <f t="shared" ca="1" si="1602"/>
        <v>1210286.9670084871</v>
      </c>
      <c r="BC1615" s="2">
        <f t="shared" ca="1" si="1603"/>
        <v>35287857.776183277</v>
      </c>
      <c r="BD1615" s="2">
        <f t="shared" ca="1" si="1604"/>
        <v>-17511477.555123087</v>
      </c>
      <c r="BE1615" s="2">
        <f t="shared" ca="1" si="1605"/>
        <v>2222293.5652051335</v>
      </c>
      <c r="BF1615" s="2">
        <f t="shared" ca="1" si="1606"/>
        <v>2572887.7374136476</v>
      </c>
      <c r="BG1615" s="2">
        <f t="shared" ca="1" si="1607"/>
        <v>2937610.3351207701</v>
      </c>
      <c r="BH1615" s="2">
        <f t="shared" ca="1" si="1608"/>
        <v>3334214.7343427557</v>
      </c>
      <c r="BI1615" s="2">
        <f t="shared" ca="1" si="1609"/>
        <v>39053345.621847041</v>
      </c>
      <c r="BJ1615" s="2">
        <f t="shared" ca="1" si="1610"/>
        <v>0.27648616752306276</v>
      </c>
      <c r="BK1615" s="2">
        <f t="shared" ca="1" si="1611"/>
        <v>12893607.344754506</v>
      </c>
    </row>
    <row r="1616" spans="1:63" x14ac:dyDescent="0.3">
      <c r="A1616" s="2">
        <v>1615</v>
      </c>
      <c r="B1616" s="2">
        <f t="shared" ca="1" si="1550"/>
        <v>0.79737428829304502</v>
      </c>
      <c r="C1616" s="2">
        <f t="shared" ca="1" si="1551"/>
        <v>7.363406390690332</v>
      </c>
      <c r="D1616" s="2">
        <f t="shared" ca="1" si="1552"/>
        <v>0.60950360151519445</v>
      </c>
      <c r="E1616" s="2">
        <f t="shared" ca="1" si="1553"/>
        <v>7.6162620314993754</v>
      </c>
      <c r="F1616" s="2">
        <f t="shared" ca="1" si="1554"/>
        <v>0.53768024023319894</v>
      </c>
      <c r="G1616" s="2">
        <f t="shared" ca="1" si="1555"/>
        <v>4.2837736768314344E-2</v>
      </c>
      <c r="H1616" s="2">
        <f t="shared" ca="1" si="1556"/>
        <v>4.2837736768314344E-2</v>
      </c>
      <c r="I1616" s="2">
        <f t="shared" ca="1" si="1557"/>
        <v>7.6045323044420132E-2</v>
      </c>
      <c r="J1616" s="2">
        <f t="shared" ca="1" si="1558"/>
        <v>2.8390708529843697E-3</v>
      </c>
      <c r="K1616" s="2">
        <f t="shared" ca="1" si="1559"/>
        <v>2.8390708529843697E-3</v>
      </c>
      <c r="L1616" s="2">
        <f t="shared" ca="1" si="1560"/>
        <v>0.33062691861666293</v>
      </c>
      <c r="M1616" s="2">
        <f t="shared" ca="1" si="1561"/>
        <v>-8.7636543084145223E-3</v>
      </c>
      <c r="N1616" s="2">
        <f t="shared" ca="1" si="1562"/>
        <v>-8.7636543084145223E-3</v>
      </c>
      <c r="O1616" s="2">
        <f t="shared" si="1563"/>
        <v>6000000</v>
      </c>
      <c r="P1616" s="2">
        <f t="shared" ca="1" si="1564"/>
        <v>44180438.34414199</v>
      </c>
      <c r="Q1616" s="2">
        <f t="shared" ca="1" si="1565"/>
        <v>1104510.9586035497</v>
      </c>
      <c r="R1616" s="2">
        <f t="shared" ca="1" si="1566"/>
        <v>26508263.006485194</v>
      </c>
      <c r="S1616" s="2">
        <f t="shared" ca="1" si="1567"/>
        <v>17672175.337656796</v>
      </c>
      <c r="T1616" s="2">
        <f t="shared" ca="1" si="1568"/>
        <v>49561817.284579277</v>
      </c>
      <c r="U1616" s="2">
        <f t="shared" ca="1" si="1569"/>
        <v>51684933.367175378</v>
      </c>
      <c r="V1616" s="2">
        <f t="shared" ca="1" si="1570"/>
        <v>53898998.937646307</v>
      </c>
      <c r="W1616" s="2">
        <f t="shared" ca="1" si="1571"/>
        <v>56207910.066212855</v>
      </c>
      <c r="X1616" s="2">
        <f t="shared" ca="1" si="1572"/>
        <v>58615729.721926369</v>
      </c>
      <c r="Y1616" s="2">
        <f t="shared" ca="1" si="1573"/>
        <v>0.12141953542649218</v>
      </c>
      <c r="Z1616" s="2">
        <f t="shared" ca="1" si="1574"/>
        <v>0.12198734959708905</v>
      </c>
      <c r="AA1616" s="2">
        <f t="shared" ca="1" si="1575"/>
        <v>6017772.8295863066</v>
      </c>
      <c r="AB1616" s="2">
        <f t="shared" ca="1" si="1576"/>
        <v>6304908.0355638759</v>
      </c>
      <c r="AC1616" s="2">
        <f t="shared" ca="1" si="1577"/>
        <v>6574996.0263397917</v>
      </c>
      <c r="AD1616" s="2">
        <f t="shared" ca="1" si="1578"/>
        <v>6856653.9753688481</v>
      </c>
      <c r="AE1616" s="2">
        <f t="shared" ca="1" si="1579"/>
        <v>7150377.5134771159</v>
      </c>
      <c r="AF1616" s="2">
        <f t="shared" ca="1" si="1580"/>
        <v>991236.34569158556</v>
      </c>
      <c r="AG1616" s="2">
        <f t="shared" ca="1" si="1581"/>
        <v>1033698.6673435076</v>
      </c>
      <c r="AH1616" s="2">
        <f t="shared" ca="1" si="1582"/>
        <v>1077979.9787529262</v>
      </c>
      <c r="AI1616" s="2">
        <f t="shared" ca="1" si="1583"/>
        <v>1124158.2013242571</v>
      </c>
      <c r="AJ1616" s="2">
        <f t="shared" ca="1" si="1584"/>
        <v>1172314.5944385275</v>
      </c>
      <c r="AK1616" s="2">
        <f t="shared" ca="1" si="1585"/>
        <v>0</v>
      </c>
      <c r="AL1616" s="2">
        <f t="shared" ca="1" si="1586"/>
        <v>21231.160825961008</v>
      </c>
      <c r="AM1616" s="2">
        <f t="shared" ca="1" si="1587"/>
        <v>22140.65570470929</v>
      </c>
      <c r="AN1616" s="2">
        <f t="shared" ca="1" si="1588"/>
        <v>23089.111285665484</v>
      </c>
      <c r="AO1616" s="2">
        <f t="shared" ca="1" si="1589"/>
        <v>24078.196557135136</v>
      </c>
      <c r="AP1616" s="2">
        <f t="shared" ca="1" si="1590"/>
        <v>2385743.6705836672</v>
      </c>
      <c r="AQ1616" s="2">
        <f t="shared" ca="1" si="1591"/>
        <v>686606.13146087388</v>
      </c>
      <c r="AR1616" s="2">
        <f t="shared" ca="1" si="1592"/>
        <v>750221.08138554229</v>
      </c>
      <c r="AS1616" s="2">
        <f t="shared" ca="1" si="1593"/>
        <v>808930.81802083168</v>
      </c>
      <c r="AT1616" s="2">
        <f t="shared" ca="1" si="1594"/>
        <v>870155.54689984024</v>
      </c>
      <c r="AU1616" s="2">
        <f t="shared" ca="1" si="1595"/>
        <v>934003.00459827948</v>
      </c>
      <c r="AV1616" s="2">
        <f t="shared" ca="1" si="1596"/>
        <v>1954186.68185018</v>
      </c>
      <c r="AW1616" s="2">
        <f t="shared" ca="1" si="1597"/>
        <v>2114013.4554251973</v>
      </c>
      <c r="AX1616" s="2">
        <f t="shared" ca="1" si="1598"/>
        <v>2280200.903277657</v>
      </c>
      <c r="AY1616" s="2">
        <f t="shared" ca="1" si="1599"/>
        <v>2453507.4452754185</v>
      </c>
      <c r="AZ1616" s="2">
        <f t="shared" ca="1" si="1600"/>
        <v>2634238.0472995061</v>
      </c>
      <c r="BA1616" s="2">
        <f t="shared" ca="1" si="1601"/>
        <v>54459148.766782671</v>
      </c>
      <c r="BB1616" s="2">
        <f t="shared" ca="1" si="1602"/>
        <v>1089182.9753356534</v>
      </c>
      <c r="BC1616" s="2">
        <f t="shared" ca="1" si="1603"/>
        <v>26861702.784961823</v>
      </c>
      <c r="BD1616" s="2">
        <f t="shared" ca="1" si="1604"/>
        <v>-19276686.296260346</v>
      </c>
      <c r="BE1616" s="2">
        <f t="shared" ca="1" si="1605"/>
        <v>1954186.68185018</v>
      </c>
      <c r="BF1616" s="2">
        <f t="shared" ca="1" si="1606"/>
        <v>2114013.4554251973</v>
      </c>
      <c r="BG1616" s="2">
        <f t="shared" ca="1" si="1607"/>
        <v>2280200.903277657</v>
      </c>
      <c r="BH1616" s="2">
        <f t="shared" ca="1" si="1608"/>
        <v>2453507.4452754185</v>
      </c>
      <c r="BI1616" s="2">
        <f t="shared" ca="1" si="1609"/>
        <v>29495940.832261331</v>
      </c>
      <c r="BJ1616" s="2">
        <f t="shared" ca="1" si="1610"/>
        <v>0.17179147276323792</v>
      </c>
      <c r="BK1616" s="2">
        <f t="shared" ca="1" si="1611"/>
        <v>4072441.0887159295</v>
      </c>
    </row>
    <row r="1617" spans="1:63" x14ac:dyDescent="0.3">
      <c r="A1617" s="2">
        <v>1616</v>
      </c>
      <c r="B1617" s="2">
        <f t="shared" ca="1" si="1550"/>
        <v>0.52536819087013498</v>
      </c>
      <c r="C1617" s="2">
        <f t="shared" ca="1" si="1551"/>
        <v>7.0256983946129772</v>
      </c>
      <c r="D1617" s="2">
        <f t="shared" ca="1" si="1552"/>
        <v>0.20812485147783899</v>
      </c>
      <c r="E1617" s="2">
        <f t="shared" ca="1" si="1553"/>
        <v>7.1451741648234819</v>
      </c>
      <c r="F1617" s="2">
        <f t="shared" ca="1" si="1554"/>
        <v>0.40031233096691476</v>
      </c>
      <c r="G1617" s="2">
        <f t="shared" ca="1" si="1555"/>
        <v>3.2423837330879696E-2</v>
      </c>
      <c r="H1617" s="2">
        <f t="shared" ca="1" si="1556"/>
        <v>3.2423837330879696E-2</v>
      </c>
      <c r="I1617" s="2">
        <f t="shared" ca="1" si="1557"/>
        <v>0.78923710533549418</v>
      </c>
      <c r="J1617" s="2">
        <f t="shared" ca="1" si="1558"/>
        <v>1.4018884877438905E-2</v>
      </c>
      <c r="K1617" s="2">
        <f t="shared" ca="1" si="1559"/>
        <v>1.4018884877438905E-2</v>
      </c>
      <c r="L1617" s="2">
        <f t="shared" ca="1" si="1560"/>
        <v>0.1470335853634237</v>
      </c>
      <c r="M1617" s="2">
        <f t="shared" ca="1" si="1561"/>
        <v>-2.0984821832965985E-2</v>
      </c>
      <c r="N1617" s="2">
        <f t="shared" ca="1" si="1562"/>
        <v>-2.0984821832965985E-2</v>
      </c>
      <c r="O1617" s="2">
        <f t="shared" si="1563"/>
        <v>6000000</v>
      </c>
      <c r="P1617" s="2">
        <f t="shared" ca="1" si="1564"/>
        <v>42154190.36767786</v>
      </c>
      <c r="Q1617" s="2">
        <f t="shared" ca="1" si="1565"/>
        <v>1053854.7591919466</v>
      </c>
      <c r="R1617" s="2">
        <f t="shared" ca="1" si="1566"/>
        <v>25292514.220606714</v>
      </c>
      <c r="S1617" s="2">
        <f t="shared" ca="1" si="1567"/>
        <v>16861676.147071145</v>
      </c>
      <c r="T1617" s="2">
        <f t="shared" ca="1" si="1568"/>
        <v>48950758.908351697</v>
      </c>
      <c r="U1617" s="2">
        <f t="shared" ca="1" si="1569"/>
        <v>50537930.352419198</v>
      </c>
      <c r="V1617" s="2">
        <f t="shared" ca="1" si="1570"/>
        <v>52176563.98520536</v>
      </c>
      <c r="W1617" s="2">
        <f t="shared" ca="1" si="1571"/>
        <v>53868328.408345893</v>
      </c>
      <c r="X1617" s="2">
        <f t="shared" ca="1" si="1572"/>
        <v>55614946.325944498</v>
      </c>
      <c r="Y1617" s="2">
        <f t="shared" ca="1" si="1573"/>
        <v>0.12700944243871945</v>
      </c>
      <c r="Z1617" s="2">
        <f t="shared" ca="1" si="1574"/>
        <v>0.12981321941420723</v>
      </c>
      <c r="AA1617" s="2">
        <f t="shared" ca="1" si="1575"/>
        <v>6217208.5959019279</v>
      </c>
      <c r="AB1617" s="2">
        <f t="shared" ca="1" si="1576"/>
        <v>6560491.4415785167</v>
      </c>
      <c r="AC1617" s="2">
        <f t="shared" ca="1" si="1577"/>
        <v>6773207.7488908861</v>
      </c>
      <c r="AD1617" s="2">
        <f t="shared" ca="1" si="1578"/>
        <v>6992821.1351491781</v>
      </c>
      <c r="AE1617" s="2">
        <f t="shared" ca="1" si="1579"/>
        <v>7219555.2301191911</v>
      </c>
      <c r="AF1617" s="2">
        <f t="shared" ca="1" si="1580"/>
        <v>979015.17816703394</v>
      </c>
      <c r="AG1617" s="2">
        <f t="shared" ca="1" si="1581"/>
        <v>1010758.607048384</v>
      </c>
      <c r="AH1617" s="2">
        <f t="shared" ca="1" si="1582"/>
        <v>1043531.2797041072</v>
      </c>
      <c r="AI1617" s="2">
        <f t="shared" ca="1" si="1583"/>
        <v>1077366.5681669179</v>
      </c>
      <c r="AJ1617" s="2">
        <f t="shared" ca="1" si="1584"/>
        <v>1112298.9265188901</v>
      </c>
      <c r="AK1617" s="2">
        <f t="shared" ca="1" si="1585"/>
        <v>0</v>
      </c>
      <c r="AL1617" s="2">
        <f t="shared" ca="1" si="1586"/>
        <v>15871.714440675005</v>
      </c>
      <c r="AM1617" s="2">
        <f t="shared" ca="1" si="1587"/>
        <v>16386.336327861623</v>
      </c>
      <c r="AN1617" s="2">
        <f t="shared" ca="1" si="1588"/>
        <v>16917.644231405335</v>
      </c>
      <c r="AO1617" s="2">
        <f t="shared" ca="1" si="1589"/>
        <v>17466.179175986053</v>
      </c>
      <c r="AP1617" s="2">
        <f t="shared" ca="1" si="1590"/>
        <v>2276326.279854604</v>
      </c>
      <c r="AQ1617" s="2">
        <f t="shared" ca="1" si="1591"/>
        <v>770085.45584887546</v>
      </c>
      <c r="AR1617" s="2">
        <f t="shared" ca="1" si="1592"/>
        <v>851085.70421563752</v>
      </c>
      <c r="AS1617" s="2">
        <f t="shared" ca="1" si="1593"/>
        <v>897871.04922636552</v>
      </c>
      <c r="AT1617" s="2">
        <f t="shared" ca="1" si="1594"/>
        <v>946173.35465319059</v>
      </c>
      <c r="AU1617" s="2">
        <f t="shared" ca="1" si="1595"/>
        <v>996041.80617388128</v>
      </c>
      <c r="AV1617" s="2">
        <f t="shared" ca="1" si="1596"/>
        <v>2191781.6820314145</v>
      </c>
      <c r="AW1617" s="2">
        <f t="shared" ca="1" si="1597"/>
        <v>2406449.1360192159</v>
      </c>
      <c r="AX1617" s="2">
        <f t="shared" ca="1" si="1598"/>
        <v>2539092.8037779471</v>
      </c>
      <c r="AY1617" s="2">
        <f t="shared" ca="1" si="1599"/>
        <v>2676037.28824306</v>
      </c>
      <c r="AZ1617" s="2">
        <f t="shared" ca="1" si="1600"/>
        <v>2817422.0383958295</v>
      </c>
      <c r="BA1617" s="2">
        <f t="shared" ca="1" si="1601"/>
        <v>51584979.511763893</v>
      </c>
      <c r="BB1617" s="2">
        <f t="shared" ca="1" si="1602"/>
        <v>1031699.5902352779</v>
      </c>
      <c r="BC1617" s="2">
        <f t="shared" ca="1" si="1603"/>
        <v>25260765.700921901</v>
      </c>
      <c r="BD1617" s="2">
        <f t="shared" ca="1" si="1604"/>
        <v>-18415530.906263091</v>
      </c>
      <c r="BE1617" s="2">
        <f t="shared" ca="1" si="1605"/>
        <v>2191781.6820314145</v>
      </c>
      <c r="BF1617" s="2">
        <f t="shared" ca="1" si="1606"/>
        <v>2406449.1360192159</v>
      </c>
      <c r="BG1617" s="2">
        <f t="shared" ca="1" si="1607"/>
        <v>2539092.8037779471</v>
      </c>
      <c r="BH1617" s="2">
        <f t="shared" ca="1" si="1608"/>
        <v>2676037.28824306</v>
      </c>
      <c r="BI1617" s="2">
        <f t="shared" ca="1" si="1609"/>
        <v>28078187.73931773</v>
      </c>
      <c r="BJ1617" s="2">
        <f t="shared" ca="1" si="1610"/>
        <v>0.18574483593679503</v>
      </c>
      <c r="BK1617" s="2">
        <f t="shared" ca="1" si="1611"/>
        <v>4900087.5054503605</v>
      </c>
    </row>
    <row r="1618" spans="1:63" x14ac:dyDescent="0.3">
      <c r="A1618" s="2">
        <v>1617</v>
      </c>
      <c r="B1618" s="2">
        <f t="shared" ca="1" si="1550"/>
        <v>0.98009029533315728</v>
      </c>
      <c r="C1618" s="2">
        <f t="shared" ca="1" si="1551"/>
        <v>7.8004519873973051</v>
      </c>
      <c r="D1618" s="2">
        <f t="shared" ca="1" si="1552"/>
        <v>0.33604550101349029</v>
      </c>
      <c r="E1618" s="2">
        <f t="shared" ca="1" si="1553"/>
        <v>7.3198115649507391</v>
      </c>
      <c r="F1618" s="2">
        <f t="shared" ca="1" si="1554"/>
        <v>0.49603748371920664</v>
      </c>
      <c r="G1618" s="2">
        <f t="shared" ca="1" si="1555"/>
        <v>3.9702018439873345E-2</v>
      </c>
      <c r="H1618" s="2">
        <f t="shared" ca="1" si="1556"/>
        <v>3.9702018439873345E-2</v>
      </c>
      <c r="I1618" s="2">
        <f t="shared" ca="1" si="1557"/>
        <v>0.29069564622499733</v>
      </c>
      <c r="J1618" s="2">
        <f t="shared" ca="1" si="1558"/>
        <v>7.243231932050744E-3</v>
      </c>
      <c r="K1618" s="2">
        <f t="shared" ca="1" si="1559"/>
        <v>7.243231932050744E-3</v>
      </c>
      <c r="L1618" s="2">
        <f t="shared" ca="1" si="1560"/>
        <v>0.13456273064682711</v>
      </c>
      <c r="M1618" s="2">
        <f t="shared" ca="1" si="1561"/>
        <v>-2.2101575287344005E-2</v>
      </c>
      <c r="N1618" s="2">
        <f t="shared" ca="1" si="1562"/>
        <v>-2.2101575287344005E-2</v>
      </c>
      <c r="O1618" s="2">
        <f t="shared" si="1563"/>
        <v>6000000</v>
      </c>
      <c r="P1618" s="2">
        <f t="shared" ca="1" si="1564"/>
        <v>46802711.924383834</v>
      </c>
      <c r="Q1618" s="2">
        <f t="shared" ca="1" si="1565"/>
        <v>1170067.7981095959</v>
      </c>
      <c r="R1618" s="2">
        <f t="shared" ca="1" si="1566"/>
        <v>28081627.1546303</v>
      </c>
      <c r="S1618" s="2">
        <f t="shared" ca="1" si="1567"/>
        <v>18721084.769753534</v>
      </c>
      <c r="T1618" s="2">
        <f t="shared" ca="1" si="1568"/>
        <v>48894921.2356328</v>
      </c>
      <c r="U1618" s="2">
        <f t="shared" ca="1" si="1569"/>
        <v>50836148.300146043</v>
      </c>
      <c r="V1618" s="2">
        <f t="shared" ca="1" si="1570"/>
        <v>52854445.997370578</v>
      </c>
      <c r="W1618" s="2">
        <f t="shared" ca="1" si="1571"/>
        <v>54952874.186987475</v>
      </c>
      <c r="X1618" s="2">
        <f t="shared" ca="1" si="1572"/>
        <v>57134614.211283289</v>
      </c>
      <c r="Y1618" s="2">
        <f t="shared" ca="1" si="1573"/>
        <v>0.12362161596602536</v>
      </c>
      <c r="Z1618" s="2">
        <f t="shared" ca="1" si="1574"/>
        <v>0.12507026235243551</v>
      </c>
      <c r="AA1618" s="2">
        <f t="shared" ca="1" si="1575"/>
        <v>6044469.1756804558</v>
      </c>
      <c r="AB1618" s="2">
        <f t="shared" ca="1" si="1576"/>
        <v>6358090.4048865847</v>
      </c>
      <c r="AC1618" s="2">
        <f t="shared" ca="1" si="1577"/>
        <v>6610519.427383773</v>
      </c>
      <c r="AD1618" s="2">
        <f t="shared" ca="1" si="1578"/>
        <v>6872970.3915869044</v>
      </c>
      <c r="AE1618" s="2">
        <f t="shared" ca="1" si="1579"/>
        <v>7145841.1888103914</v>
      </c>
      <c r="AF1618" s="2">
        <f t="shared" ca="1" si="1580"/>
        <v>977898.42471265607</v>
      </c>
      <c r="AG1618" s="2">
        <f t="shared" ca="1" si="1581"/>
        <v>1016722.9660029209</v>
      </c>
      <c r="AH1618" s="2">
        <f t="shared" ca="1" si="1582"/>
        <v>1057088.9199474116</v>
      </c>
      <c r="AI1618" s="2">
        <f t="shared" ca="1" si="1583"/>
        <v>1099057.4837397495</v>
      </c>
      <c r="AJ1618" s="2">
        <f t="shared" ca="1" si="1584"/>
        <v>1142692.2842256657</v>
      </c>
      <c r="AK1618" s="2">
        <f t="shared" ca="1" si="1585"/>
        <v>0</v>
      </c>
      <c r="AL1618" s="2">
        <f t="shared" ca="1" si="1586"/>
        <v>19412.270645132437</v>
      </c>
      <c r="AM1618" s="2">
        <f t="shared" ca="1" si="1587"/>
        <v>20182.976972245349</v>
      </c>
      <c r="AN1618" s="2">
        <f t="shared" ca="1" si="1588"/>
        <v>20984.281896168963</v>
      </c>
      <c r="AO1618" s="2">
        <f t="shared" ca="1" si="1589"/>
        <v>21817.400242958145</v>
      </c>
      <c r="AP1618" s="2">
        <f t="shared" ca="1" si="1590"/>
        <v>2527346.4439167269</v>
      </c>
      <c r="AQ1618" s="2">
        <f t="shared" ca="1" si="1591"/>
        <v>660198.31983327901</v>
      </c>
      <c r="AR1618" s="2">
        <f t="shared" ca="1" si="1592"/>
        <v>731645.45869140374</v>
      </c>
      <c r="AS1618" s="2">
        <f t="shared" ca="1" si="1593"/>
        <v>786781.856515105</v>
      </c>
      <c r="AT1618" s="2">
        <f t="shared" ca="1" si="1594"/>
        <v>844107.28062191128</v>
      </c>
      <c r="AU1618" s="2">
        <f t="shared" ca="1" si="1595"/>
        <v>903708.63977367966</v>
      </c>
      <c r="AV1618" s="2">
        <f t="shared" ca="1" si="1596"/>
        <v>1879025.9872177942</v>
      </c>
      <c r="AW1618" s="2">
        <f t="shared" ca="1" si="1597"/>
        <v>2062963.2656304017</v>
      </c>
      <c r="AX1618" s="2">
        <f t="shared" ca="1" si="1598"/>
        <v>2219119.2300322838</v>
      </c>
      <c r="AY1618" s="2">
        <f t="shared" ca="1" si="1599"/>
        <v>2381474.9014123473</v>
      </c>
      <c r="AZ1618" s="2">
        <f t="shared" ca="1" si="1600"/>
        <v>2550276.4206513604</v>
      </c>
      <c r="BA1618" s="2">
        <f t="shared" ca="1" si="1601"/>
        <v>52306210.975155644</v>
      </c>
      <c r="BB1618" s="2">
        <f t="shared" ca="1" si="1602"/>
        <v>1046124.219503113</v>
      </c>
      <c r="BC1618" s="2">
        <f t="shared" ca="1" si="1603"/>
        <v>23178459.601022232</v>
      </c>
      <c r="BD1618" s="2">
        <f t="shared" ca="1" si="1604"/>
        <v>-20391152.567863129</v>
      </c>
      <c r="BE1618" s="2">
        <f t="shared" ca="1" si="1605"/>
        <v>1879025.9872177942</v>
      </c>
      <c r="BF1618" s="2">
        <f t="shared" ca="1" si="1606"/>
        <v>2062963.2656304017</v>
      </c>
      <c r="BG1618" s="2">
        <f t="shared" ca="1" si="1607"/>
        <v>2219119.2300322838</v>
      </c>
      <c r="BH1618" s="2">
        <f t="shared" ca="1" si="1608"/>
        <v>2381474.9014123473</v>
      </c>
      <c r="BI1618" s="2">
        <f t="shared" ca="1" si="1609"/>
        <v>25728736.021673594</v>
      </c>
      <c r="BJ1618" s="2">
        <f t="shared" ca="1" si="1610"/>
        <v>0.12802494889495875</v>
      </c>
      <c r="BK1618" s="2">
        <f t="shared" ca="1" si="1611"/>
        <v>623302.2623985894</v>
      </c>
    </row>
    <row r="1619" spans="1:63" x14ac:dyDescent="0.3">
      <c r="A1619" s="2">
        <v>1618</v>
      </c>
      <c r="B1619" s="2">
        <f t="shared" ca="1" si="1550"/>
        <v>0.40293276760390517</v>
      </c>
      <c r="C1619" s="2">
        <f t="shared" ca="1" si="1551"/>
        <v>6.8977001365755779</v>
      </c>
      <c r="D1619" s="2">
        <f t="shared" ca="1" si="1552"/>
        <v>0.46951289662542695</v>
      </c>
      <c r="E1619" s="2">
        <f t="shared" ca="1" si="1553"/>
        <v>7.4690334324732319</v>
      </c>
      <c r="F1619" s="2">
        <f t="shared" ca="1" si="1554"/>
        <v>0.24097534500726969</v>
      </c>
      <c r="G1619" s="2">
        <f t="shared" ca="1" si="1555"/>
        <v>1.8904942239976959E-2</v>
      </c>
      <c r="H1619" s="2">
        <f t="shared" ca="1" si="1556"/>
        <v>1.8904942239976959E-2</v>
      </c>
      <c r="I1619" s="2">
        <f t="shared" ca="1" si="1557"/>
        <v>0.39220208859943861</v>
      </c>
      <c r="J1619" s="2">
        <f t="shared" ca="1" si="1558"/>
        <v>8.6320789982071919E-3</v>
      </c>
      <c r="K1619" s="2">
        <f t="shared" ca="1" si="1559"/>
        <v>8.6320789982071919E-3</v>
      </c>
      <c r="L1619" s="2">
        <f t="shared" ca="1" si="1560"/>
        <v>0.15532414285319784</v>
      </c>
      <c r="M1619" s="2">
        <f t="shared" ca="1" si="1561"/>
        <v>-2.0277253419023384E-2</v>
      </c>
      <c r="N1619" s="2">
        <f t="shared" ca="1" si="1562"/>
        <v>-2.0277253419023384E-2</v>
      </c>
      <c r="O1619" s="2">
        <f t="shared" si="1563"/>
        <v>6000000</v>
      </c>
      <c r="P1619" s="2">
        <f t="shared" ca="1" si="1564"/>
        <v>41386200.81945347</v>
      </c>
      <c r="Q1619" s="2">
        <f t="shared" ca="1" si="1565"/>
        <v>1034655.0204863368</v>
      </c>
      <c r="R1619" s="2">
        <f t="shared" ca="1" si="1566"/>
        <v>24831720.49167208</v>
      </c>
      <c r="S1619" s="2">
        <f t="shared" ca="1" si="1567"/>
        <v>16554480.327781389</v>
      </c>
      <c r="T1619" s="2">
        <f t="shared" ca="1" si="1568"/>
        <v>48986137.329048827</v>
      </c>
      <c r="U1619" s="2">
        <f t="shared" ca="1" si="1569"/>
        <v>49912217.425814077</v>
      </c>
      <c r="V1619" s="2">
        <f t="shared" ca="1" si="1570"/>
        <v>50855805.013318263</v>
      </c>
      <c r="W1619" s="2">
        <f t="shared" ca="1" si="1571"/>
        <v>51817231.069662578</v>
      </c>
      <c r="X1619" s="2">
        <f t="shared" ca="1" si="1572"/>
        <v>52796832.830070086</v>
      </c>
      <c r="Y1619" s="2">
        <f t="shared" ca="1" si="1573"/>
        <v>0.12431603949910359</v>
      </c>
      <c r="Z1619" s="2">
        <f t="shared" ca="1" si="1574"/>
        <v>0.12604245529874503</v>
      </c>
      <c r="AA1619" s="2">
        <f t="shared" ca="1" si="1575"/>
        <v>6089762.5831065467</v>
      </c>
      <c r="AB1619" s="2">
        <f t="shared" ca="1" si="1576"/>
        <v>6291058.4337544134</v>
      </c>
      <c r="AC1619" s="2">
        <f t="shared" ca="1" si="1577"/>
        <v>6409990.5300728604</v>
      </c>
      <c r="AD1619" s="2">
        <f t="shared" ca="1" si="1578"/>
        <v>6531171.0308026876</v>
      </c>
      <c r="AE1619" s="2">
        <f t="shared" ca="1" si="1579"/>
        <v>6654642.4418994226</v>
      </c>
      <c r="AF1619" s="2">
        <f t="shared" ca="1" si="1580"/>
        <v>979722.74658097653</v>
      </c>
      <c r="AG1619" s="2">
        <f t="shared" ca="1" si="1581"/>
        <v>998244.34851628158</v>
      </c>
      <c r="AH1619" s="2">
        <f t="shared" ca="1" si="1582"/>
        <v>1017116.1002663653</v>
      </c>
      <c r="AI1619" s="2">
        <f t="shared" ca="1" si="1583"/>
        <v>1036344.6213932516</v>
      </c>
      <c r="AJ1619" s="2">
        <f t="shared" ca="1" si="1584"/>
        <v>1055936.6566014017</v>
      </c>
      <c r="AK1619" s="2">
        <f t="shared" ca="1" si="1585"/>
        <v>0</v>
      </c>
      <c r="AL1619" s="2">
        <f t="shared" ca="1" si="1586"/>
        <v>9260.8009676524998</v>
      </c>
      <c r="AM1619" s="2">
        <f t="shared" ca="1" si="1587"/>
        <v>9435.8758750418583</v>
      </c>
      <c r="AN1619" s="2">
        <f t="shared" ca="1" si="1588"/>
        <v>9614.2605634431548</v>
      </c>
      <c r="AO1619" s="2">
        <f t="shared" ca="1" si="1589"/>
        <v>9796.0176040750739</v>
      </c>
      <c r="AP1619" s="2">
        <f t="shared" ca="1" si="1590"/>
        <v>2234854.8442504872</v>
      </c>
      <c r="AQ1619" s="2">
        <f t="shared" ca="1" si="1591"/>
        <v>747548.0979915217</v>
      </c>
      <c r="AR1619" s="2">
        <f t="shared" ca="1" si="1592"/>
        <v>795069.40265678766</v>
      </c>
      <c r="AS1619" s="2">
        <f t="shared" ca="1" si="1593"/>
        <v>821085.09224456211</v>
      </c>
      <c r="AT1619" s="2">
        <f t="shared" ca="1" si="1594"/>
        <v>847592.60694132687</v>
      </c>
      <c r="AU1619" s="2">
        <f t="shared" ca="1" si="1595"/>
        <v>874601.24467235873</v>
      </c>
      <c r="AV1619" s="2">
        <f t="shared" ca="1" si="1596"/>
        <v>2127636.894283562</v>
      </c>
      <c r="AW1619" s="2">
        <f t="shared" ca="1" si="1597"/>
        <v>2253629.0373632042</v>
      </c>
      <c r="AX1619" s="2">
        <f t="shared" ca="1" si="1598"/>
        <v>2327498.6174364043</v>
      </c>
      <c r="AY1619" s="2">
        <f t="shared" ca="1" si="1599"/>
        <v>2402764.6976541793</v>
      </c>
      <c r="AZ1619" s="2">
        <f t="shared" ca="1" si="1600"/>
        <v>2479453.6787710991</v>
      </c>
      <c r="BA1619" s="2">
        <f t="shared" ca="1" si="1601"/>
        <v>49703746.879702091</v>
      </c>
      <c r="BB1619" s="2">
        <f t="shared" ca="1" si="1602"/>
        <v>994074.93759404181</v>
      </c>
      <c r="BC1619" s="2">
        <f t="shared" ca="1" si="1603"/>
        <v>23877951.45043597</v>
      </c>
      <c r="BD1619" s="2">
        <f t="shared" ca="1" si="1604"/>
        <v>-18089135.348267727</v>
      </c>
      <c r="BE1619" s="2">
        <f t="shared" ca="1" si="1605"/>
        <v>2127636.894283562</v>
      </c>
      <c r="BF1619" s="2">
        <f t="shared" ca="1" si="1606"/>
        <v>2253629.0373632042</v>
      </c>
      <c r="BG1619" s="2">
        <f t="shared" ca="1" si="1607"/>
        <v>2327498.6174364043</v>
      </c>
      <c r="BH1619" s="2">
        <f t="shared" ca="1" si="1608"/>
        <v>2402764.6976541793</v>
      </c>
      <c r="BI1619" s="2">
        <f t="shared" ca="1" si="1609"/>
        <v>26357405.129207067</v>
      </c>
      <c r="BJ1619" s="2">
        <f t="shared" ca="1" si="1610"/>
        <v>0.1720937311426225</v>
      </c>
      <c r="BK1619" s="2">
        <f t="shared" ca="1" si="1611"/>
        <v>3746687.1846405305</v>
      </c>
    </row>
    <row r="1620" spans="1:63" x14ac:dyDescent="0.3">
      <c r="A1620" s="2">
        <v>1619</v>
      </c>
      <c r="B1620" s="2">
        <f t="shared" ca="1" si="1550"/>
        <v>0.31173658442517349</v>
      </c>
      <c r="C1620" s="2">
        <f t="shared" ca="1" si="1551"/>
        <v>6.7896031717580341</v>
      </c>
      <c r="D1620" s="2">
        <f t="shared" ca="1" si="1552"/>
        <v>0.71806134548004141</v>
      </c>
      <c r="E1620" s="2">
        <f t="shared" ca="1" si="1553"/>
        <v>7.7490823553545187</v>
      </c>
      <c r="F1620" s="2">
        <f t="shared" ca="1" si="1554"/>
        <v>0.29192074006407265</v>
      </c>
      <c r="G1620" s="2">
        <f t="shared" ca="1" si="1555"/>
        <v>2.3566534782410803E-2</v>
      </c>
      <c r="H1620" s="2">
        <f t="shared" ca="1" si="1556"/>
        <v>2.3566534782410803E-2</v>
      </c>
      <c r="I1620" s="2">
        <f t="shared" ca="1" si="1557"/>
        <v>0.56831742749259084</v>
      </c>
      <c r="J1620" s="2">
        <f t="shared" ca="1" si="1558"/>
        <v>1.0860460362506914E-2</v>
      </c>
      <c r="K1620" s="2">
        <f t="shared" ca="1" si="1559"/>
        <v>1.0860460362506914E-2</v>
      </c>
      <c r="L1620" s="2">
        <f t="shared" ca="1" si="1560"/>
        <v>0.78986794703959906</v>
      </c>
      <c r="M1620" s="2">
        <f t="shared" ca="1" si="1561"/>
        <v>1.6119262692832335E-2</v>
      </c>
      <c r="N1620" s="2">
        <f t="shared" ca="1" si="1562"/>
        <v>1.6119262692832335E-2</v>
      </c>
      <c r="O1620" s="2">
        <f t="shared" si="1563"/>
        <v>6000000</v>
      </c>
      <c r="P1620" s="2">
        <f t="shared" ca="1" si="1564"/>
        <v>40737619.030548207</v>
      </c>
      <c r="Q1620" s="2">
        <f t="shared" ca="1" si="1565"/>
        <v>1018440.4757637052</v>
      </c>
      <c r="R1620" s="2">
        <f t="shared" ca="1" si="1566"/>
        <v>24442571.418328922</v>
      </c>
      <c r="S1620" s="2">
        <f t="shared" ca="1" si="1567"/>
        <v>16295047.612219283</v>
      </c>
      <c r="T1620" s="2">
        <f t="shared" ca="1" si="1568"/>
        <v>50805963.134641618</v>
      </c>
      <c r="U1620" s="2">
        <f t="shared" ca="1" si="1569"/>
        <v>52003283.632008031</v>
      </c>
      <c r="V1620" s="2">
        <f t="shared" ca="1" si="1570"/>
        <v>53228820.824521318</v>
      </c>
      <c r="W1620" s="2">
        <f t="shared" ca="1" si="1571"/>
        <v>54483239.681909114</v>
      </c>
      <c r="X1620" s="2">
        <f t="shared" ca="1" si="1572"/>
        <v>55767220.844931245</v>
      </c>
      <c r="Y1620" s="2">
        <f t="shared" ca="1" si="1573"/>
        <v>0.12543023018125346</v>
      </c>
      <c r="Z1620" s="2">
        <f t="shared" ca="1" si="1574"/>
        <v>0.12760232225375484</v>
      </c>
      <c r="AA1620" s="2">
        <f t="shared" ca="1" si="1575"/>
        <v>6372603.6505583758</v>
      </c>
      <c r="AB1620" s="2">
        <f t="shared" ca="1" si="1576"/>
        <v>6635739.7562649036</v>
      </c>
      <c r="AC1620" s="2">
        <f t="shared" ca="1" si="1577"/>
        <v>6792121.1480379459</v>
      </c>
      <c r="AD1620" s="2">
        <f t="shared" ca="1" si="1578"/>
        <v>6952187.9073195299</v>
      </c>
      <c r="AE1620" s="2">
        <f t="shared" ca="1" si="1579"/>
        <v>7116026.8854512312</v>
      </c>
      <c r="AF1620" s="2">
        <f t="shared" ca="1" si="1580"/>
        <v>1016119.2626928324</v>
      </c>
      <c r="AG1620" s="2">
        <f t="shared" ca="1" si="1581"/>
        <v>1040065.6726401607</v>
      </c>
      <c r="AH1620" s="2">
        <f t="shared" ca="1" si="1582"/>
        <v>1064576.4164904263</v>
      </c>
      <c r="AI1620" s="2">
        <f t="shared" ca="1" si="1583"/>
        <v>1089664.7936381823</v>
      </c>
      <c r="AJ1620" s="2">
        <f t="shared" ca="1" si="1584"/>
        <v>1115344.416898625</v>
      </c>
      <c r="AK1620" s="2">
        <f t="shared" ca="1" si="1585"/>
        <v>0</v>
      </c>
      <c r="AL1620" s="2">
        <f t="shared" ca="1" si="1586"/>
        <v>11973.204973664135</v>
      </c>
      <c r="AM1620" s="2">
        <f t="shared" ca="1" si="1587"/>
        <v>12255.371925132871</v>
      </c>
      <c r="AN1620" s="2">
        <f t="shared" ca="1" si="1588"/>
        <v>12544.18857387796</v>
      </c>
      <c r="AO1620" s="2">
        <f t="shared" ca="1" si="1589"/>
        <v>12839.811630221307</v>
      </c>
      <c r="AP1620" s="2">
        <f t="shared" ca="1" si="1590"/>
        <v>2199831.4276496028</v>
      </c>
      <c r="AQ1620" s="2">
        <f t="shared" ca="1" si="1591"/>
        <v>820729.76965614455</v>
      </c>
      <c r="AR1620" s="2">
        <f t="shared" ca="1" si="1592"/>
        <v>882919.09055353643</v>
      </c>
      <c r="AS1620" s="2">
        <f t="shared" ca="1" si="1593"/>
        <v>917205.45901345846</v>
      </c>
      <c r="AT1620" s="2">
        <f t="shared" ca="1" si="1594"/>
        <v>952299.83836825378</v>
      </c>
      <c r="AU1620" s="2">
        <f t="shared" ca="1" si="1595"/>
        <v>988221.27063478087</v>
      </c>
      <c r="AV1620" s="2">
        <f t="shared" ca="1" si="1596"/>
        <v>2335923.1905597965</v>
      </c>
      <c r="AW1620" s="2">
        <f t="shared" ca="1" si="1597"/>
        <v>2500950.36044794</v>
      </c>
      <c r="AX1620" s="2">
        <f t="shared" ca="1" si="1598"/>
        <v>2598252.4729593252</v>
      </c>
      <c r="AY1620" s="2">
        <f t="shared" ca="1" si="1599"/>
        <v>2697847.6590896132</v>
      </c>
      <c r="AZ1620" s="2">
        <f t="shared" ca="1" si="1600"/>
        <v>2799789.9586380017</v>
      </c>
      <c r="BA1620" s="2">
        <f t="shared" ca="1" si="1601"/>
        <v>55142678.378278509</v>
      </c>
      <c r="BB1620" s="2">
        <f t="shared" ca="1" si="1602"/>
        <v>1102853.5675655701</v>
      </c>
      <c r="BC1620" s="2">
        <f t="shared" ca="1" si="1603"/>
        <v>29597253.392384015</v>
      </c>
      <c r="BD1620" s="2">
        <f t="shared" ca="1" si="1604"/>
        <v>-17813488.08798299</v>
      </c>
      <c r="BE1620" s="2">
        <f t="shared" ca="1" si="1605"/>
        <v>2335923.1905597965</v>
      </c>
      <c r="BF1620" s="2">
        <f t="shared" ca="1" si="1606"/>
        <v>2500950.36044794</v>
      </c>
      <c r="BG1620" s="2">
        <f t="shared" ca="1" si="1607"/>
        <v>2598252.4729593252</v>
      </c>
      <c r="BH1620" s="2">
        <f t="shared" ca="1" si="1608"/>
        <v>2697847.6590896132</v>
      </c>
      <c r="BI1620" s="2">
        <f t="shared" ca="1" si="1609"/>
        <v>32397043.351022016</v>
      </c>
      <c r="BJ1620" s="2">
        <f t="shared" ca="1" si="1610"/>
        <v>0.22695042079226391</v>
      </c>
      <c r="BK1620" s="2">
        <f t="shared" ca="1" si="1611"/>
        <v>8212768.1257500574</v>
      </c>
    </row>
    <row r="1621" spans="1:63" x14ac:dyDescent="0.3">
      <c r="A1621" s="2">
        <v>1620</v>
      </c>
      <c r="B1621" s="2">
        <f t="shared" ca="1" si="1550"/>
        <v>0.46844754018719026</v>
      </c>
      <c r="C1621" s="2">
        <f t="shared" ca="1" si="1551"/>
        <v>6.9679334069936738</v>
      </c>
      <c r="D1621" s="2">
        <f t="shared" ca="1" si="1552"/>
        <v>0.51049496050769927</v>
      </c>
      <c r="E1621" s="2">
        <f t="shared" ca="1" si="1553"/>
        <v>7.5105506182807522</v>
      </c>
      <c r="F1621" s="2">
        <f t="shared" ca="1" si="1554"/>
        <v>5.2446656472673769E-2</v>
      </c>
      <c r="G1621" s="2">
        <f t="shared" ca="1" si="1555"/>
        <v>-8.6473992865658059E-3</v>
      </c>
      <c r="H1621" s="2">
        <f t="shared" ca="1" si="1556"/>
        <v>-8.6473992865658059E-3</v>
      </c>
      <c r="I1621" s="2">
        <f t="shared" ca="1" si="1557"/>
        <v>0.50505539714893644</v>
      </c>
      <c r="J1621" s="2">
        <f t="shared" ca="1" si="1558"/>
        <v>1.0063361702981359E-2</v>
      </c>
      <c r="K1621" s="2">
        <f t="shared" ca="1" si="1559"/>
        <v>1.0063361702981359E-2</v>
      </c>
      <c r="L1621" s="2">
        <f t="shared" ca="1" si="1560"/>
        <v>0.46243454529877392</v>
      </c>
      <c r="M1621" s="2">
        <f t="shared" ca="1" si="1561"/>
        <v>-1.8860442961037343E-3</v>
      </c>
      <c r="N1621" s="2">
        <f t="shared" ca="1" si="1562"/>
        <v>-1.8860442961037343E-3</v>
      </c>
      <c r="O1621" s="2">
        <f t="shared" si="1563"/>
        <v>6000000</v>
      </c>
      <c r="P1621" s="2">
        <f t="shared" ca="1" si="1564"/>
        <v>41807600.441962041</v>
      </c>
      <c r="Q1621" s="2">
        <f t="shared" ca="1" si="1565"/>
        <v>1045190.0110490511</v>
      </c>
      <c r="R1621" s="2">
        <f t="shared" ca="1" si="1566"/>
        <v>25084560.265177224</v>
      </c>
      <c r="S1621" s="2">
        <f t="shared" ca="1" si="1567"/>
        <v>16723040.176784817</v>
      </c>
      <c r="T1621" s="2">
        <f t="shared" ca="1" si="1568"/>
        <v>49905697.785194814</v>
      </c>
      <c r="U1621" s="2">
        <f t="shared" ca="1" si="1569"/>
        <v>49474143.289771557</v>
      </c>
      <c r="V1621" s="2">
        <f t="shared" ca="1" si="1570"/>
        <v>49046320.61838413</v>
      </c>
      <c r="W1621" s="2">
        <f t="shared" ca="1" si="1571"/>
        <v>48622197.500460036</v>
      </c>
      <c r="X1621" s="2">
        <f t="shared" ca="1" si="1572"/>
        <v>48201741.944483295</v>
      </c>
      <c r="Y1621" s="2">
        <f t="shared" ca="1" si="1573"/>
        <v>0.12503168085149066</v>
      </c>
      <c r="Z1621" s="2">
        <f t="shared" ca="1" si="1574"/>
        <v>0.12704435319208696</v>
      </c>
      <c r="AA1621" s="2">
        <f t="shared" ca="1" si="1575"/>
        <v>6239793.2781494223</v>
      </c>
      <c r="AB1621" s="2">
        <f t="shared" ca="1" si="1576"/>
        <v>6285410.5339816567</v>
      </c>
      <c r="AC1621" s="2">
        <f t="shared" ca="1" si="1577"/>
        <v>6231058.0794143304</v>
      </c>
      <c r="AD1621" s="2">
        <f t="shared" ca="1" si="1578"/>
        <v>6177175.632223852</v>
      </c>
      <c r="AE1621" s="2">
        <f t="shared" ca="1" si="1579"/>
        <v>6123759.1280687684</v>
      </c>
      <c r="AF1621" s="2">
        <f t="shared" ca="1" si="1580"/>
        <v>998113.95570389635</v>
      </c>
      <c r="AG1621" s="2">
        <f t="shared" ca="1" si="1581"/>
        <v>989482.86579543119</v>
      </c>
      <c r="AH1621" s="2">
        <f t="shared" ca="1" si="1582"/>
        <v>980926.41236768267</v>
      </c>
      <c r="AI1621" s="2">
        <f t="shared" ca="1" si="1583"/>
        <v>972443.95000920072</v>
      </c>
      <c r="AJ1621" s="2">
        <f t="shared" ca="1" si="1584"/>
        <v>964034.8388896659</v>
      </c>
      <c r="AK1621" s="2">
        <f t="shared" ca="1" si="1585"/>
        <v>0</v>
      </c>
      <c r="AL1621" s="2">
        <f t="shared" ca="1" si="1586"/>
        <v>0</v>
      </c>
      <c r="AM1621" s="2">
        <f t="shared" ca="1" si="1587"/>
        <v>0</v>
      </c>
      <c r="AN1621" s="2">
        <f t="shared" ca="1" si="1588"/>
        <v>0</v>
      </c>
      <c r="AO1621" s="2">
        <f t="shared" ca="1" si="1589"/>
        <v>0</v>
      </c>
      <c r="AP1621" s="2">
        <f t="shared" ca="1" si="1590"/>
        <v>2257610.4238659502</v>
      </c>
      <c r="AQ1621" s="2">
        <f t="shared" ca="1" si="1591"/>
        <v>775857.91363068973</v>
      </c>
      <c r="AR1621" s="2">
        <f t="shared" ca="1" si="1592"/>
        <v>789962.48352327151</v>
      </c>
      <c r="AS1621" s="2">
        <f t="shared" ca="1" si="1593"/>
        <v>778055.52322698128</v>
      </c>
      <c r="AT1621" s="2">
        <f t="shared" ca="1" si="1594"/>
        <v>766251.5271706623</v>
      </c>
      <c r="AU1621" s="2">
        <f t="shared" ca="1" si="1595"/>
        <v>754549.60498141963</v>
      </c>
      <c r="AV1621" s="2">
        <f t="shared" ca="1" si="1596"/>
        <v>2208210.9849488861</v>
      </c>
      <c r="AW1621" s="2">
        <f t="shared" ca="1" si="1597"/>
        <v>2248354.7607970028</v>
      </c>
      <c r="AX1621" s="2">
        <f t="shared" ca="1" si="1598"/>
        <v>2214465.7199537163</v>
      </c>
      <c r="AY1621" s="2">
        <f t="shared" ca="1" si="1599"/>
        <v>2180869.7311780392</v>
      </c>
      <c r="AZ1621" s="2">
        <f t="shared" ca="1" si="1600"/>
        <v>2147564.2603317327</v>
      </c>
      <c r="BA1621" s="2">
        <f t="shared" ca="1" si="1601"/>
        <v>45992802.905519292</v>
      </c>
      <c r="BB1621" s="2">
        <f t="shared" ca="1" si="1602"/>
        <v>919856.0581103859</v>
      </c>
      <c r="BC1621" s="2">
        <f t="shared" ca="1" si="1603"/>
        <v>19988386.582231682</v>
      </c>
      <c r="BD1621" s="2">
        <f t="shared" ca="1" si="1604"/>
        <v>-18268230.187833868</v>
      </c>
      <c r="BE1621" s="2">
        <f t="shared" ca="1" si="1605"/>
        <v>2208210.9849488861</v>
      </c>
      <c r="BF1621" s="2">
        <f t="shared" ca="1" si="1606"/>
        <v>2248354.7607970028</v>
      </c>
      <c r="BG1621" s="2">
        <f t="shared" ca="1" si="1607"/>
        <v>2214465.7199537163</v>
      </c>
      <c r="BH1621" s="2">
        <f t="shared" ca="1" si="1608"/>
        <v>2180869.7311780392</v>
      </c>
      <c r="BI1621" s="2">
        <f t="shared" ca="1" si="1609"/>
        <v>22135950.842563413</v>
      </c>
      <c r="BJ1621" s="2">
        <f t="shared" ca="1" si="1610"/>
        <v>0.1350541586061238</v>
      </c>
      <c r="BK1621" s="2">
        <f t="shared" ca="1" si="1611"/>
        <v>1018489.4975531287</v>
      </c>
    </row>
    <row r="1622" spans="1:63" x14ac:dyDescent="0.3">
      <c r="A1622" s="2">
        <v>1621</v>
      </c>
      <c r="B1622" s="2">
        <f t="shared" ca="1" si="1550"/>
        <v>0.64825204771059131</v>
      </c>
      <c r="C1622" s="2">
        <f t="shared" ca="1" si="1551"/>
        <v>7.1612533728361001</v>
      </c>
      <c r="D1622" s="2">
        <f t="shared" ca="1" si="1552"/>
        <v>0.82610289588413799</v>
      </c>
      <c r="E1622" s="2">
        <f t="shared" ca="1" si="1553"/>
        <v>7.9102592025035712</v>
      </c>
      <c r="F1622" s="2">
        <f t="shared" ca="1" si="1554"/>
        <v>0.22325523673879399</v>
      </c>
      <c r="G1622" s="2">
        <f t="shared" ca="1" si="1555"/>
        <v>1.7162636372642124E-2</v>
      </c>
      <c r="H1622" s="2">
        <f t="shared" ca="1" si="1556"/>
        <v>1.7162636372642124E-2</v>
      </c>
      <c r="I1622" s="2">
        <f t="shared" ca="1" si="1557"/>
        <v>2.2811083551998346E-2</v>
      </c>
      <c r="J1622" s="2">
        <f t="shared" ca="1" si="1558"/>
        <v>5.6382497317462171E-6</v>
      </c>
      <c r="K1622" s="2">
        <f t="shared" ca="1" si="1559"/>
        <v>5.6382497317462171E-6</v>
      </c>
      <c r="L1622" s="2">
        <f t="shared" ca="1" si="1560"/>
        <v>0.5566598144513939</v>
      </c>
      <c r="M1622" s="2">
        <f t="shared" ca="1" si="1561"/>
        <v>2.850119223336744E-3</v>
      </c>
      <c r="N1622" s="2">
        <f t="shared" ca="1" si="1562"/>
        <v>2.850119223336744E-3</v>
      </c>
      <c r="O1622" s="2">
        <f t="shared" si="1563"/>
        <v>6000000</v>
      </c>
      <c r="P1622" s="2">
        <f t="shared" ca="1" si="1564"/>
        <v>42967520.237016603</v>
      </c>
      <c r="Q1622" s="2">
        <f t="shared" ca="1" si="1565"/>
        <v>1074188.0059254151</v>
      </c>
      <c r="R1622" s="2">
        <f t="shared" ca="1" si="1566"/>
        <v>25780512.142209962</v>
      </c>
      <c r="S1622" s="2">
        <f t="shared" ca="1" si="1567"/>
        <v>17187008.094806641</v>
      </c>
      <c r="T1622" s="2">
        <f t="shared" ca="1" si="1568"/>
        <v>50142505.961166836</v>
      </c>
      <c r="U1622" s="2">
        <f t="shared" ca="1" si="1569"/>
        <v>51003083.557791382</v>
      </c>
      <c r="V1622" s="2">
        <f t="shared" ca="1" si="1570"/>
        <v>51878430.93477723</v>
      </c>
      <c r="W1622" s="2">
        <f t="shared" ca="1" si="1571"/>
        <v>52768801.580494039</v>
      </c>
      <c r="X1622" s="2">
        <f t="shared" ca="1" si="1572"/>
        <v>53674453.333840154</v>
      </c>
      <c r="Y1622" s="2">
        <f t="shared" ca="1" si="1573"/>
        <v>0.12000281912486586</v>
      </c>
      <c r="Z1622" s="2">
        <f t="shared" ca="1" si="1574"/>
        <v>0.12000394677481221</v>
      </c>
      <c r="AA1622" s="2">
        <f t="shared" ca="1" si="1575"/>
        <v>6017242.0733254123</v>
      </c>
      <c r="AB1622" s="2">
        <f t="shared" ca="1" si="1576"/>
        <v>6120571.3246204974</v>
      </c>
      <c r="AC1622" s="2">
        <f t="shared" ca="1" si="1577"/>
        <v>6225616.4646577779</v>
      </c>
      <c r="AD1622" s="2">
        <f t="shared" ca="1" si="1578"/>
        <v>6332464.456236233</v>
      </c>
      <c r="AE1622" s="2">
        <f t="shared" ca="1" si="1579"/>
        <v>6441146.2410412962</v>
      </c>
      <c r="AF1622" s="2">
        <f t="shared" ca="1" si="1580"/>
        <v>1002850.1192233367</v>
      </c>
      <c r="AG1622" s="2">
        <f t="shared" ca="1" si="1581"/>
        <v>1020061.6711558277</v>
      </c>
      <c r="AH1622" s="2">
        <f t="shared" ca="1" si="1582"/>
        <v>1037568.6186955447</v>
      </c>
      <c r="AI1622" s="2">
        <f t="shared" ca="1" si="1583"/>
        <v>1055376.0316098807</v>
      </c>
      <c r="AJ1622" s="2">
        <f t="shared" ca="1" si="1584"/>
        <v>1073489.0666768032</v>
      </c>
      <c r="AK1622" s="2">
        <f t="shared" ca="1" si="1585"/>
        <v>0</v>
      </c>
      <c r="AL1622" s="2">
        <f t="shared" ca="1" si="1586"/>
        <v>8605.7759662454573</v>
      </c>
      <c r="AM1622" s="2">
        <f t="shared" ca="1" si="1587"/>
        <v>8753.4737698584795</v>
      </c>
      <c r="AN1622" s="2">
        <f t="shared" ca="1" si="1588"/>
        <v>8903.7064571680876</v>
      </c>
      <c r="AO1622" s="2">
        <f t="shared" ca="1" si="1589"/>
        <v>9056.517533461154</v>
      </c>
      <c r="AP1622" s="2">
        <f t="shared" ca="1" si="1590"/>
        <v>2320246.0927988966</v>
      </c>
      <c r="AQ1622" s="2">
        <f t="shared" ca="1" si="1591"/>
        <v>700477.92393882654</v>
      </c>
      <c r="AR1622" s="2">
        <f t="shared" ca="1" si="1592"/>
        <v>722868.5257731009</v>
      </c>
      <c r="AS1622" s="2">
        <f t="shared" ca="1" si="1593"/>
        <v>745628.45582246745</v>
      </c>
      <c r="AT1622" s="2">
        <f t="shared" ca="1" si="1594"/>
        <v>768779.00627513847</v>
      </c>
      <c r="AU1622" s="2">
        <f t="shared" ca="1" si="1595"/>
        <v>792326.88120705518</v>
      </c>
      <c r="AV1622" s="2">
        <f t="shared" ca="1" si="1596"/>
        <v>1993667.9373643524</v>
      </c>
      <c r="AW1622" s="2">
        <f t="shared" ca="1" si="1597"/>
        <v>2048789.2589264265</v>
      </c>
      <c r="AX1622" s="2">
        <f t="shared" ca="1" si="1598"/>
        <v>2113419.82357101</v>
      </c>
      <c r="AY1622" s="2">
        <f t="shared" ca="1" si="1599"/>
        <v>2179159.619095149</v>
      </c>
      <c r="AZ1622" s="2">
        <f t="shared" ca="1" si="1600"/>
        <v>2246027.6828250797</v>
      </c>
      <c r="BA1622" s="2">
        <f t="shared" ca="1" si="1601"/>
        <v>50951136.327868201</v>
      </c>
      <c r="BB1622" s="2">
        <f t="shared" ca="1" si="1602"/>
        <v>1019022.726557364</v>
      </c>
      <c r="BC1622" s="2">
        <f t="shared" ca="1" si="1603"/>
        <v>24151601.459100876</v>
      </c>
      <c r="BD1622" s="2">
        <f t="shared" ca="1" si="1604"/>
        <v>-18761196.100732058</v>
      </c>
      <c r="BE1622" s="2">
        <f t="shared" ca="1" si="1605"/>
        <v>1993667.9373643524</v>
      </c>
      <c r="BF1622" s="2">
        <f t="shared" ca="1" si="1606"/>
        <v>2048789.2589264265</v>
      </c>
      <c r="BG1622" s="2">
        <f t="shared" ca="1" si="1607"/>
        <v>2113419.82357101</v>
      </c>
      <c r="BH1622" s="2">
        <f t="shared" ca="1" si="1608"/>
        <v>2179159.619095149</v>
      </c>
      <c r="BI1622" s="2">
        <f t="shared" ca="1" si="1609"/>
        <v>26397629.141925957</v>
      </c>
      <c r="BJ1622" s="2">
        <f t="shared" ca="1" si="1610"/>
        <v>0.15410672042422746</v>
      </c>
      <c r="BK1622" s="2">
        <f t="shared" ca="1" si="1611"/>
        <v>2520056.3330860212</v>
      </c>
    </row>
    <row r="1623" spans="1:63" x14ac:dyDescent="0.3">
      <c r="A1623" s="2">
        <v>1622</v>
      </c>
      <c r="B1623" s="2">
        <f t="shared" ca="1" si="1550"/>
        <v>0.67114598911720291</v>
      </c>
      <c r="C1623" s="2">
        <f t="shared" ca="1" si="1551"/>
        <v>7.1890080014170339</v>
      </c>
      <c r="D1623" s="2">
        <f t="shared" ca="1" si="1552"/>
        <v>0.44345628708024287</v>
      </c>
      <c r="E1623" s="2">
        <f t="shared" ca="1" si="1553"/>
        <v>7.4417603591999857</v>
      </c>
      <c r="F1623" s="2">
        <f t="shared" ca="1" si="1554"/>
        <v>0.85963969736931645</v>
      </c>
      <c r="G1623" s="2">
        <f t="shared" ca="1" si="1555"/>
        <v>7.2361059230612867E-2</v>
      </c>
      <c r="H1623" s="2">
        <f t="shared" ca="1" si="1556"/>
        <v>7.2361059230612867E-2</v>
      </c>
      <c r="I1623" s="2">
        <f t="shared" ca="1" si="1557"/>
        <v>0.58943875296997983</v>
      </c>
      <c r="J1623" s="2">
        <f t="shared" ca="1" si="1558"/>
        <v>1.1130507396542604E-2</v>
      </c>
      <c r="K1623" s="2">
        <f t="shared" ca="1" si="1559"/>
        <v>1.1130507396542604E-2</v>
      </c>
      <c r="L1623" s="2">
        <f t="shared" ca="1" si="1560"/>
        <v>0.71010541681414119</v>
      </c>
      <c r="M1623" s="2">
        <f t="shared" ca="1" si="1561"/>
        <v>1.1073854166014054E-2</v>
      </c>
      <c r="N1623" s="2">
        <f t="shared" ca="1" si="1562"/>
        <v>1.1073854166014054E-2</v>
      </c>
      <c r="O1623" s="2">
        <f t="shared" si="1563"/>
        <v>6000000</v>
      </c>
      <c r="P1623" s="2">
        <f t="shared" ca="1" si="1564"/>
        <v>43134048.0085022</v>
      </c>
      <c r="Q1623" s="2">
        <f t="shared" ca="1" si="1565"/>
        <v>1078351.200212555</v>
      </c>
      <c r="R1623" s="2">
        <f t="shared" ca="1" si="1566"/>
        <v>25880428.80510132</v>
      </c>
      <c r="S1623" s="2">
        <f t="shared" ca="1" si="1567"/>
        <v>17253619.20340088</v>
      </c>
      <c r="T1623" s="2">
        <f t="shared" ca="1" si="1568"/>
        <v>50553692.708300702</v>
      </c>
      <c r="U1623" s="2">
        <f t="shared" ca="1" si="1569"/>
        <v>54211811.460692249</v>
      </c>
      <c r="V1623" s="2">
        <f t="shared" ca="1" si="1570"/>
        <v>58134635.560798213</v>
      </c>
      <c r="W1623" s="2">
        <f t="shared" ca="1" si="1571"/>
        <v>62341319.367963217</v>
      </c>
      <c r="X1623" s="2">
        <f t="shared" ca="1" si="1572"/>
        <v>66852403.271262951</v>
      </c>
      <c r="Y1623" s="2">
        <f t="shared" ca="1" si="1573"/>
        <v>0.12556525369827129</v>
      </c>
      <c r="Z1623" s="2">
        <f t="shared" ca="1" si="1574"/>
        <v>0.12779135517757981</v>
      </c>
      <c r="AA1623" s="2">
        <f t="shared" ca="1" si="1575"/>
        <v>6347787.2503022254</v>
      </c>
      <c r="AB1623" s="2">
        <f t="shared" ca="1" si="1576"/>
        <v>6927800.8531933147</v>
      </c>
      <c r="AC1623" s="2">
        <f t="shared" ca="1" si="1577"/>
        <v>7429103.8610691261</v>
      </c>
      <c r="AD1623" s="2">
        <f t="shared" ca="1" si="1578"/>
        <v>7966681.6855903231</v>
      </c>
      <c r="AE1623" s="2">
        <f t="shared" ca="1" si="1579"/>
        <v>8543159.2109127622</v>
      </c>
      <c r="AF1623" s="2">
        <f t="shared" ca="1" si="1580"/>
        <v>1011073.8541660141</v>
      </c>
      <c r="AG1623" s="2">
        <f t="shared" ca="1" si="1581"/>
        <v>1084236.229213845</v>
      </c>
      <c r="AH1623" s="2">
        <f t="shared" ca="1" si="1582"/>
        <v>1162692.7112159643</v>
      </c>
      <c r="AI1623" s="2">
        <f t="shared" ca="1" si="1583"/>
        <v>1246826.3873592643</v>
      </c>
      <c r="AJ1623" s="2">
        <f t="shared" ca="1" si="1584"/>
        <v>1337048.0654252591</v>
      </c>
      <c r="AK1623" s="2">
        <f t="shared" ca="1" si="1585"/>
        <v>0</v>
      </c>
      <c r="AL1623" s="2">
        <f t="shared" ca="1" si="1586"/>
        <v>36581.187523915469</v>
      </c>
      <c r="AM1623" s="2">
        <f t="shared" ca="1" si="1587"/>
        <v>39228.241001059636</v>
      </c>
      <c r="AN1623" s="2">
        <f t="shared" ca="1" si="1588"/>
        <v>42066.838071650047</v>
      </c>
      <c r="AO1623" s="2">
        <f t="shared" ca="1" si="1589"/>
        <v>45110.839032997341</v>
      </c>
      <c r="AP1623" s="2">
        <f t="shared" ca="1" si="1590"/>
        <v>2329238.5924591189</v>
      </c>
      <c r="AQ1623" s="2">
        <f t="shared" ca="1" si="1591"/>
        <v>781943.44895604404</v>
      </c>
      <c r="AR1623" s="2">
        <f t="shared" ca="1" si="1592"/>
        <v>913724.76819529128</v>
      </c>
      <c r="AS1623" s="2">
        <f t="shared" ca="1" si="1593"/>
        <v>1023664.8649224511</v>
      </c>
      <c r="AT1623" s="2">
        <f t="shared" ca="1" si="1594"/>
        <v>1141560.3435007045</v>
      </c>
      <c r="AU1623" s="2">
        <f t="shared" ca="1" si="1595"/>
        <v>1267986.86378738</v>
      </c>
      <c r="AV1623" s="2">
        <f t="shared" ca="1" si="1596"/>
        <v>2225531.3547210479</v>
      </c>
      <c r="AW1623" s="2">
        <f t="shared" ca="1" si="1597"/>
        <v>2564020.0758011444</v>
      </c>
      <c r="AX1623" s="2">
        <f t="shared" ca="1" si="1598"/>
        <v>2874279.4514705325</v>
      </c>
      <c r="AY1623" s="2">
        <f t="shared" ca="1" si="1599"/>
        <v>3206989.5241995854</v>
      </c>
      <c r="AZ1623" s="2">
        <f t="shared" ca="1" si="1600"/>
        <v>3563774.8502080068</v>
      </c>
      <c r="BA1623" s="2">
        <f t="shared" ca="1" si="1601"/>
        <v>63576143.558104821</v>
      </c>
      <c r="BB1623" s="2">
        <f t="shared" ca="1" si="1602"/>
        <v>1271522.8711620965</v>
      </c>
      <c r="BC1623" s="2">
        <f t="shared" ca="1" si="1603"/>
        <v>36424191.881841406</v>
      </c>
      <c r="BD1623" s="2">
        <f t="shared" ca="1" si="1604"/>
        <v>-18831970.403613433</v>
      </c>
      <c r="BE1623" s="2">
        <f t="shared" ca="1" si="1605"/>
        <v>2225531.3547210479</v>
      </c>
      <c r="BF1623" s="2">
        <f t="shared" ca="1" si="1606"/>
        <v>2564020.0758011444</v>
      </c>
      <c r="BG1623" s="2">
        <f t="shared" ca="1" si="1607"/>
        <v>2874279.4514705325</v>
      </c>
      <c r="BH1623" s="2">
        <f t="shared" ca="1" si="1608"/>
        <v>3206989.5241995854</v>
      </c>
      <c r="BI1623" s="2">
        <f t="shared" ca="1" si="1609"/>
        <v>39987966.732049413</v>
      </c>
      <c r="BJ1623" s="2">
        <f t="shared" ca="1" si="1610"/>
        <v>0.25757105854934892</v>
      </c>
      <c r="BK1623" s="2">
        <f t="shared" ca="1" si="1611"/>
        <v>11973333.658931542</v>
      </c>
    </row>
    <row r="1624" spans="1:63" x14ac:dyDescent="0.3">
      <c r="A1624" s="2">
        <v>1623</v>
      </c>
      <c r="B1624" s="2">
        <f t="shared" ca="1" si="1550"/>
        <v>0.43149062639755142</v>
      </c>
      <c r="C1624" s="2">
        <f t="shared" ca="1" si="1551"/>
        <v>6.9289678427131385</v>
      </c>
      <c r="D1624" s="2">
        <f t="shared" ca="1" si="1552"/>
        <v>0.15326730074441286</v>
      </c>
      <c r="E1624" s="2">
        <f t="shared" ca="1" si="1553"/>
        <v>7.0536556705108566</v>
      </c>
      <c r="F1624" s="2">
        <f t="shared" ca="1" si="1554"/>
        <v>0.49070963363151321</v>
      </c>
      <c r="G1624" s="2">
        <f t="shared" ca="1" si="1555"/>
        <v>3.930131199247669E-2</v>
      </c>
      <c r="H1624" s="2">
        <f t="shared" ca="1" si="1556"/>
        <v>3.930131199247669E-2</v>
      </c>
      <c r="I1624" s="2">
        <f t="shared" ca="1" si="1557"/>
        <v>0.31448810553016282</v>
      </c>
      <c r="J1624" s="2">
        <f t="shared" ca="1" si="1558"/>
        <v>7.5841582851275064E-3</v>
      </c>
      <c r="K1624" s="2">
        <f t="shared" ca="1" si="1559"/>
        <v>7.5841582851275064E-3</v>
      </c>
      <c r="L1624" s="2">
        <f t="shared" ca="1" si="1560"/>
        <v>0.92280600333086127</v>
      </c>
      <c r="M1624" s="2">
        <f t="shared" ca="1" si="1561"/>
        <v>2.8484040883355002E-2</v>
      </c>
      <c r="N1624" s="2">
        <f t="shared" ca="1" si="1562"/>
        <v>2.8484040883355002E-2</v>
      </c>
      <c r="O1624" s="2">
        <f t="shared" si="1563"/>
        <v>6000000</v>
      </c>
      <c r="P1624" s="2">
        <f t="shared" ca="1" si="1564"/>
        <v>41573807.056278832</v>
      </c>
      <c r="Q1624" s="2">
        <f t="shared" ca="1" si="1565"/>
        <v>1039345.1764069708</v>
      </c>
      <c r="R1624" s="2">
        <f t="shared" ca="1" si="1566"/>
        <v>24944284.233767297</v>
      </c>
      <c r="S1624" s="2">
        <f t="shared" ca="1" si="1567"/>
        <v>16629522.822511533</v>
      </c>
      <c r="T1624" s="2">
        <f t="shared" ca="1" si="1568"/>
        <v>51424202.044167757</v>
      </c>
      <c r="U1624" s="2">
        <f t="shared" ca="1" si="1569"/>
        <v>53445240.652669758</v>
      </c>
      <c r="V1624" s="2">
        <f t="shared" ca="1" si="1570"/>
        <v>55545708.730073333</v>
      </c>
      <c r="W1624" s="2">
        <f t="shared" ca="1" si="1571"/>
        <v>57728727.958717182</v>
      </c>
      <c r="X1624" s="2">
        <f t="shared" ca="1" si="1572"/>
        <v>59997542.70715154</v>
      </c>
      <c r="Y1624" s="2">
        <f t="shared" ca="1" si="1573"/>
        <v>0.12379207914256375</v>
      </c>
      <c r="Z1624" s="2">
        <f t="shared" ca="1" si="1574"/>
        <v>0.12530891079958925</v>
      </c>
      <c r="AA1624" s="2">
        <f t="shared" ca="1" si="1575"/>
        <v>6365908.8892948041</v>
      </c>
      <c r="AB1624" s="2">
        <f t="shared" ca="1" si="1576"/>
        <v>6697164.8936079759</v>
      </c>
      <c r="AC1624" s="2">
        <f t="shared" ca="1" si="1577"/>
        <v>6960372.2605567249</v>
      </c>
      <c r="AD1624" s="2">
        <f t="shared" ca="1" si="1578"/>
        <v>7233924.0223526452</v>
      </c>
      <c r="AE1624" s="2">
        <f t="shared" ca="1" si="1579"/>
        <v>7518226.7272849986</v>
      </c>
      <c r="AF1624" s="2">
        <f t="shared" ca="1" si="1580"/>
        <v>1028484.0408833552</v>
      </c>
      <c r="AG1624" s="2">
        <f t="shared" ca="1" si="1581"/>
        <v>1068904.8130533951</v>
      </c>
      <c r="AH1624" s="2">
        <f t="shared" ca="1" si="1582"/>
        <v>1110914.1746014666</v>
      </c>
      <c r="AI1624" s="2">
        <f t="shared" ca="1" si="1583"/>
        <v>1154574.5591743437</v>
      </c>
      <c r="AJ1624" s="2">
        <f t="shared" ca="1" si="1584"/>
        <v>1199950.8541430307</v>
      </c>
      <c r="AK1624" s="2">
        <f t="shared" ca="1" si="1585"/>
        <v>0</v>
      </c>
      <c r="AL1624" s="2">
        <f t="shared" ca="1" si="1586"/>
        <v>20210.386085020007</v>
      </c>
      <c r="AM1624" s="2">
        <f t="shared" ca="1" si="1587"/>
        <v>21004.680774035751</v>
      </c>
      <c r="AN1624" s="2">
        <f t="shared" ca="1" si="1588"/>
        <v>21830.192286438494</v>
      </c>
      <c r="AO1624" s="2">
        <f t="shared" ca="1" si="1589"/>
        <v>22688.147484343575</v>
      </c>
      <c r="AP1624" s="2">
        <f t="shared" ca="1" si="1590"/>
        <v>2244985.5810390566</v>
      </c>
      <c r="AQ1624" s="2">
        <f t="shared" ca="1" si="1591"/>
        <v>804034.20951682213</v>
      </c>
      <c r="AR1624" s="2">
        <f t="shared" ca="1" si="1592"/>
        <v>879651.36987403617</v>
      </c>
      <c r="AS1624" s="2">
        <f t="shared" ca="1" si="1593"/>
        <v>937162.8512782125</v>
      </c>
      <c r="AT1624" s="2">
        <f t="shared" ca="1" si="1594"/>
        <v>996934.60935620358</v>
      </c>
      <c r="AU1624" s="2">
        <f t="shared" ca="1" si="1595"/>
        <v>1059055.475946757</v>
      </c>
      <c r="AV1624" s="2">
        <f t="shared" ca="1" si="1596"/>
        <v>2288405.0578555702</v>
      </c>
      <c r="AW1624" s="2">
        <f t="shared" ca="1" si="1597"/>
        <v>2483412.7435564674</v>
      </c>
      <c r="AX1624" s="2">
        <f t="shared" ca="1" si="1598"/>
        <v>2646304.9728639531</v>
      </c>
      <c r="AY1624" s="2">
        <f t="shared" ca="1" si="1599"/>
        <v>2815599.0804966032</v>
      </c>
      <c r="AZ1624" s="2">
        <f t="shared" ca="1" si="1600"/>
        <v>2991546.6686718105</v>
      </c>
      <c r="BA1624" s="2">
        <f t="shared" ca="1" si="1601"/>
        <v>53030982.587100111</v>
      </c>
      <c r="BB1624" s="2">
        <f t="shared" ca="1" si="1602"/>
        <v>1060619.6517420022</v>
      </c>
      <c r="BC1624" s="2">
        <f t="shared" ca="1" si="1603"/>
        <v>27026078.70159081</v>
      </c>
      <c r="BD1624" s="2">
        <f t="shared" ca="1" si="1604"/>
        <v>-18168867.998918504</v>
      </c>
      <c r="BE1624" s="2">
        <f t="shared" ca="1" si="1605"/>
        <v>2288405.0578555702</v>
      </c>
      <c r="BF1624" s="2">
        <f t="shared" ca="1" si="1606"/>
        <v>2483412.7435564674</v>
      </c>
      <c r="BG1624" s="2">
        <f t="shared" ca="1" si="1607"/>
        <v>2646304.9728639531</v>
      </c>
      <c r="BH1624" s="2">
        <f t="shared" ca="1" si="1608"/>
        <v>2815599.0804966032</v>
      </c>
      <c r="BI1624" s="2">
        <f t="shared" ca="1" si="1609"/>
        <v>30017625.370262619</v>
      </c>
      <c r="BJ1624" s="2">
        <f t="shared" ca="1" si="1610"/>
        <v>0.20668748484039434</v>
      </c>
      <c r="BK1624" s="2">
        <f t="shared" ca="1" si="1611"/>
        <v>6559870.7438911982</v>
      </c>
    </row>
    <row r="1625" spans="1:63" x14ac:dyDescent="0.3">
      <c r="A1625" s="2">
        <v>1624</v>
      </c>
      <c r="B1625" s="2">
        <f t="shared" ca="1" si="1550"/>
        <v>0.38716065405202327</v>
      </c>
      <c r="C1625" s="2">
        <f t="shared" ca="1" si="1551"/>
        <v>6.8799552875595706</v>
      </c>
      <c r="D1625" s="2">
        <f t="shared" ca="1" si="1552"/>
        <v>0.81671846841286511</v>
      </c>
      <c r="E1625" s="2">
        <f t="shared" ca="1" si="1553"/>
        <v>7.8945554829926445</v>
      </c>
      <c r="F1625" s="2">
        <f t="shared" ca="1" si="1554"/>
        <v>0.42991447996569043</v>
      </c>
      <c r="G1625" s="2">
        <f t="shared" ca="1" si="1555"/>
        <v>3.4702243113659534E-2</v>
      </c>
      <c r="H1625" s="2">
        <f t="shared" ca="1" si="1556"/>
        <v>3.4702243113659534E-2</v>
      </c>
      <c r="I1625" s="2">
        <f t="shared" ca="1" si="1557"/>
        <v>0.21479802460201136</v>
      </c>
      <c r="J1625" s="2">
        <f t="shared" ca="1" si="1558"/>
        <v>6.050584561986018E-3</v>
      </c>
      <c r="K1625" s="2">
        <f t="shared" ca="1" si="1559"/>
        <v>6.050584561986018E-3</v>
      </c>
      <c r="L1625" s="2">
        <f t="shared" ca="1" si="1560"/>
        <v>0.1713049406973276</v>
      </c>
      <c r="M1625" s="2">
        <f t="shared" ca="1" si="1561"/>
        <v>-1.8980421973008154E-2</v>
      </c>
      <c r="N1625" s="2">
        <f t="shared" ca="1" si="1562"/>
        <v>-1.8980421973008154E-2</v>
      </c>
      <c r="O1625" s="2">
        <f t="shared" si="1563"/>
        <v>6000000</v>
      </c>
      <c r="P1625" s="2">
        <f t="shared" ca="1" si="1564"/>
        <v>41279731.725357421</v>
      </c>
      <c r="Q1625" s="2">
        <f t="shared" ca="1" si="1565"/>
        <v>1031993.2931339355</v>
      </c>
      <c r="R1625" s="2">
        <f t="shared" ca="1" si="1566"/>
        <v>24767839.03521445</v>
      </c>
      <c r="S1625" s="2">
        <f t="shared" ca="1" si="1567"/>
        <v>16511892.690142969</v>
      </c>
      <c r="T1625" s="2">
        <f t="shared" ca="1" si="1568"/>
        <v>49050978.901349589</v>
      </c>
      <c r="U1625" s="2">
        <f t="shared" ca="1" si="1569"/>
        <v>50753157.896147199</v>
      </c>
      <c r="V1625" s="2">
        <f t="shared" ca="1" si="1570"/>
        <v>52514406.320245244</v>
      </c>
      <c r="W1625" s="2">
        <f t="shared" ca="1" si="1571"/>
        <v>54336774.015339889</v>
      </c>
      <c r="X1625" s="2">
        <f t="shared" ca="1" si="1572"/>
        <v>56222381.957232185</v>
      </c>
      <c r="Y1625" s="2">
        <f t="shared" ca="1" si="1573"/>
        <v>0.123025292280993</v>
      </c>
      <c r="Z1625" s="2">
        <f t="shared" ca="1" si="1574"/>
        <v>0.12423540919339021</v>
      </c>
      <c r="AA1625" s="2">
        <f t="shared" ca="1" si="1575"/>
        <v>6034511.0160073545</v>
      </c>
      <c r="AB1625" s="2">
        <f t="shared" ca="1" si="1576"/>
        <v>6305339.3390845908</v>
      </c>
      <c r="AC1625" s="2">
        <f t="shared" ca="1" si="1577"/>
        <v>6524148.757743625</v>
      </c>
      <c r="AD1625" s="2">
        <f t="shared" ca="1" si="1578"/>
        <v>6750551.354044524</v>
      </c>
      <c r="AE1625" s="2">
        <f t="shared" ca="1" si="1579"/>
        <v>6984810.6282838192</v>
      </c>
      <c r="AF1625" s="2">
        <f t="shared" ca="1" si="1580"/>
        <v>981019.5780269918</v>
      </c>
      <c r="AG1625" s="2">
        <f t="shared" ca="1" si="1581"/>
        <v>1015063.1579229441</v>
      </c>
      <c r="AH1625" s="2">
        <f t="shared" ca="1" si="1582"/>
        <v>1050288.126404905</v>
      </c>
      <c r="AI1625" s="2">
        <f t="shared" ca="1" si="1583"/>
        <v>1086735.4803067979</v>
      </c>
      <c r="AJ1625" s="2">
        <f t="shared" ca="1" si="1584"/>
        <v>1124447.6391446437</v>
      </c>
      <c r="AK1625" s="2">
        <f t="shared" ca="1" si="1585"/>
        <v>0</v>
      </c>
      <c r="AL1625" s="2">
        <f t="shared" ca="1" si="1586"/>
        <v>17021.789947976096</v>
      </c>
      <c r="AM1625" s="2">
        <f t="shared" ca="1" si="1587"/>
        <v>17612.484240980448</v>
      </c>
      <c r="AN1625" s="2">
        <f t="shared" ca="1" si="1588"/>
        <v>18223.67695094645</v>
      </c>
      <c r="AO1625" s="2">
        <f t="shared" ca="1" si="1589"/>
        <v>18856.07941892296</v>
      </c>
      <c r="AP1625" s="2">
        <f t="shared" ca="1" si="1590"/>
        <v>2229105.5131693003</v>
      </c>
      <c r="AQ1625" s="2">
        <f t="shared" ca="1" si="1591"/>
        <v>734340.34045087639</v>
      </c>
      <c r="AR1625" s="2">
        <f t="shared" ca="1" si="1592"/>
        <v>795904.37367801007</v>
      </c>
      <c r="AS1625" s="2">
        <f t="shared" ca="1" si="1593"/>
        <v>843636.33072404924</v>
      </c>
      <c r="AT1625" s="2">
        <f t="shared" ca="1" si="1594"/>
        <v>893024.69374779076</v>
      </c>
      <c r="AU1625" s="2">
        <f t="shared" ca="1" si="1595"/>
        <v>944126.94375216751</v>
      </c>
      <c r="AV1625" s="2">
        <f t="shared" ca="1" si="1596"/>
        <v>2090045.5843601865</v>
      </c>
      <c r="AW1625" s="2">
        <f t="shared" ca="1" si="1597"/>
        <v>2248244.5043663601</v>
      </c>
      <c r="AX1625" s="2">
        <f t="shared" ca="1" si="1598"/>
        <v>2383506.3032043898</v>
      </c>
      <c r="AY1625" s="2">
        <f t="shared" ca="1" si="1599"/>
        <v>2523461.9898696891</v>
      </c>
      <c r="AZ1625" s="2">
        <f t="shared" ca="1" si="1600"/>
        <v>2668274.4527987842</v>
      </c>
      <c r="BA1625" s="2">
        <f t="shared" ca="1" si="1601"/>
        <v>55141975.043183327</v>
      </c>
      <c r="BB1625" s="2">
        <f t="shared" ca="1" si="1602"/>
        <v>1102839.5008636666</v>
      </c>
      <c r="BC1625" s="2">
        <f t="shared" ca="1" si="1603"/>
        <v>29271296.507105209</v>
      </c>
      <c r="BD1625" s="2">
        <f t="shared" ca="1" si="1604"/>
        <v>-18043885.983276904</v>
      </c>
      <c r="BE1625" s="2">
        <f t="shared" ca="1" si="1605"/>
        <v>2090045.5843601865</v>
      </c>
      <c r="BF1625" s="2">
        <f t="shared" ca="1" si="1606"/>
        <v>2248244.5043663601</v>
      </c>
      <c r="BG1625" s="2">
        <f t="shared" ca="1" si="1607"/>
        <v>2383506.3032043898</v>
      </c>
      <c r="BH1625" s="2">
        <f t="shared" ca="1" si="1608"/>
        <v>2523461.9898696891</v>
      </c>
      <c r="BI1625" s="2">
        <f t="shared" ca="1" si="1609"/>
        <v>31939570.959903993</v>
      </c>
      <c r="BJ1625" s="2">
        <f t="shared" ca="1" si="1610"/>
        <v>0.21089968058460506</v>
      </c>
      <c r="BK1625" s="2">
        <f t="shared" ca="1" si="1611"/>
        <v>7038121.644403372</v>
      </c>
    </row>
    <row r="1626" spans="1:63" x14ac:dyDescent="0.3">
      <c r="A1626" s="2">
        <v>1625</v>
      </c>
      <c r="B1626" s="2">
        <f t="shared" ca="1" si="1550"/>
        <v>7.4116587985339377E-2</v>
      </c>
      <c r="C1626" s="2">
        <f t="shared" ca="1" si="1551"/>
        <v>6.3850106179973203</v>
      </c>
      <c r="D1626" s="2">
        <f t="shared" ca="1" si="1552"/>
        <v>0.8177038035302282</v>
      </c>
      <c r="E1626" s="2">
        <f t="shared" ca="1" si="1553"/>
        <v>7.8961851335553721</v>
      </c>
      <c r="F1626" s="2">
        <f t="shared" ca="1" si="1554"/>
        <v>0.15972853137946175</v>
      </c>
      <c r="G1626" s="2">
        <f t="shared" ca="1" si="1555"/>
        <v>1.0132773209704331E-2</v>
      </c>
      <c r="H1626" s="2">
        <f t="shared" ca="1" si="1556"/>
        <v>1.0132773209704331E-2</v>
      </c>
      <c r="I1626" s="2">
        <f t="shared" ca="1" si="1557"/>
        <v>0.5865761696443883</v>
      </c>
      <c r="J1626" s="2">
        <f t="shared" ca="1" si="1558"/>
        <v>1.1093731624418545E-2</v>
      </c>
      <c r="K1626" s="2">
        <f t="shared" ca="1" si="1559"/>
        <v>1.1093731624418545E-2</v>
      </c>
      <c r="L1626" s="2">
        <f t="shared" ca="1" si="1560"/>
        <v>0.53052106162337653</v>
      </c>
      <c r="M1626" s="2">
        <f t="shared" ca="1" si="1561"/>
        <v>1.5315947999976149E-3</v>
      </c>
      <c r="N1626" s="2">
        <f t="shared" ca="1" si="1562"/>
        <v>1.5315947999976149E-3</v>
      </c>
      <c r="O1626" s="2">
        <f t="shared" si="1563"/>
        <v>6000000</v>
      </c>
      <c r="P1626" s="2">
        <f t="shared" ca="1" si="1564"/>
        <v>38310063.707983918</v>
      </c>
      <c r="Q1626" s="2">
        <f t="shared" ca="1" si="1565"/>
        <v>957751.59269959806</v>
      </c>
      <c r="R1626" s="2">
        <f t="shared" ca="1" si="1566"/>
        <v>22986038.22479035</v>
      </c>
      <c r="S1626" s="2">
        <f t="shared" ca="1" si="1567"/>
        <v>15324025.483193569</v>
      </c>
      <c r="T1626" s="2">
        <f t="shared" ca="1" si="1568"/>
        <v>50076579.739999883</v>
      </c>
      <c r="U1626" s="2">
        <f t="shared" ca="1" si="1569"/>
        <v>50583994.365622975</v>
      </c>
      <c r="V1626" s="2">
        <f t="shared" ca="1" si="1570"/>
        <v>51096550.50857079</v>
      </c>
      <c r="W1626" s="2">
        <f t="shared" ca="1" si="1571"/>
        <v>51614300.266672336</v>
      </c>
      <c r="X1626" s="2">
        <f t="shared" ca="1" si="1572"/>
        <v>52137296.265652105</v>
      </c>
      <c r="Y1626" s="2">
        <f t="shared" ca="1" si="1573"/>
        <v>0.12554686581220928</v>
      </c>
      <c r="Z1626" s="2">
        <f t="shared" ca="1" si="1574"/>
        <v>0.12776561213709298</v>
      </c>
      <c r="AA1626" s="2">
        <f t="shared" ca="1" si="1575"/>
        <v>6286957.6369521627</v>
      </c>
      <c r="AB1626" s="2">
        <f t="shared" ca="1" si="1576"/>
        <v>6462895.0044630812</v>
      </c>
      <c r="AC1626" s="2">
        <f t="shared" ca="1" si="1577"/>
        <v>6528382.0538214361</v>
      </c>
      <c r="AD1626" s="2">
        <f t="shared" ca="1" si="1578"/>
        <v>6594532.668599112</v>
      </c>
      <c r="AE1626" s="2">
        <f t="shared" ca="1" si="1579"/>
        <v>6661353.5725540128</v>
      </c>
      <c r="AF1626" s="2">
        <f t="shared" ca="1" si="1580"/>
        <v>1001531.5947999976</v>
      </c>
      <c r="AG1626" s="2">
        <f t="shared" ca="1" si="1581"/>
        <v>1011679.8873124595</v>
      </c>
      <c r="AH1626" s="2">
        <f t="shared" ca="1" si="1582"/>
        <v>1021931.0101714159</v>
      </c>
      <c r="AI1626" s="2">
        <f t="shared" ca="1" si="1583"/>
        <v>1032286.0053334468</v>
      </c>
      <c r="AJ1626" s="2">
        <f t="shared" ca="1" si="1584"/>
        <v>1042745.9253130421</v>
      </c>
      <c r="AK1626" s="2">
        <f t="shared" ca="1" si="1585"/>
        <v>0</v>
      </c>
      <c r="AL1626" s="2">
        <f t="shared" ca="1" si="1586"/>
        <v>5074.1462562309207</v>
      </c>
      <c r="AM1626" s="2">
        <f t="shared" ca="1" si="1587"/>
        <v>5125.5614294781535</v>
      </c>
      <c r="AN1626" s="2">
        <f t="shared" ca="1" si="1588"/>
        <v>5177.4975810154529</v>
      </c>
      <c r="AO1626" s="2">
        <f t="shared" ca="1" si="1589"/>
        <v>5229.9599897976968</v>
      </c>
      <c r="AP1626" s="2">
        <f t="shared" ca="1" si="1590"/>
        <v>2068743.4402311314</v>
      </c>
      <c r="AQ1626" s="2">
        <f t="shared" ca="1" si="1591"/>
        <v>836337.4764994689</v>
      </c>
      <c r="AR1626" s="2">
        <f t="shared" ca="1" si="1592"/>
        <v>879442.63599906745</v>
      </c>
      <c r="AS1626" s="2">
        <f t="shared" ca="1" si="1593"/>
        <v>893803.9768889111</v>
      </c>
      <c r="AT1626" s="2">
        <f t="shared" ca="1" si="1594"/>
        <v>908310.83798897883</v>
      </c>
      <c r="AU1626" s="2">
        <f t="shared" ca="1" si="1595"/>
        <v>922964.69382255815</v>
      </c>
      <c r="AV1626" s="2">
        <f t="shared" ca="1" si="1596"/>
        <v>2380345.125421565</v>
      </c>
      <c r="AW1626" s="2">
        <f t="shared" ca="1" si="1597"/>
        <v>2497954.8946641916</v>
      </c>
      <c r="AX1626" s="2">
        <f t="shared" ca="1" si="1598"/>
        <v>2538778.0651004994</v>
      </c>
      <c r="AY1626" s="2">
        <f t="shared" ca="1" si="1599"/>
        <v>2580014.8874645391</v>
      </c>
      <c r="AZ1626" s="2">
        <f t="shared" ca="1" si="1600"/>
        <v>2621669.5531974835</v>
      </c>
      <c r="BA1626" s="2">
        <f t="shared" ca="1" si="1601"/>
        <v>52599281.04895696</v>
      </c>
      <c r="BB1626" s="2">
        <f t="shared" ca="1" si="1602"/>
        <v>1051985.6209791391</v>
      </c>
      <c r="BC1626" s="2">
        <f t="shared" ca="1" si="1603"/>
        <v>28561257.203187473</v>
      </c>
      <c r="BD1626" s="2">
        <f t="shared" ca="1" si="1604"/>
        <v>-16781777.075893167</v>
      </c>
      <c r="BE1626" s="2">
        <f t="shared" ca="1" si="1605"/>
        <v>2380345.125421565</v>
      </c>
      <c r="BF1626" s="2">
        <f t="shared" ca="1" si="1606"/>
        <v>2497954.8946641916</v>
      </c>
      <c r="BG1626" s="2">
        <f t="shared" ca="1" si="1607"/>
        <v>2538778.0651004994</v>
      </c>
      <c r="BH1626" s="2">
        <f t="shared" ca="1" si="1608"/>
        <v>2580014.8874645391</v>
      </c>
      <c r="BI1626" s="2">
        <f t="shared" ca="1" si="1609"/>
        <v>31182926.756384958</v>
      </c>
      <c r="BJ1626" s="2">
        <f t="shared" ca="1" si="1610"/>
        <v>0.23671592903968808</v>
      </c>
      <c r="BK1626" s="2">
        <f t="shared" ca="1" si="1611"/>
        <v>8475613.6855662502</v>
      </c>
    </row>
    <row r="1627" spans="1:63" x14ac:dyDescent="0.3">
      <c r="A1627" s="2">
        <v>1626</v>
      </c>
      <c r="B1627" s="2">
        <f t="shared" ca="1" si="1550"/>
        <v>0.73204385311416198</v>
      </c>
      <c r="C1627" s="2">
        <f t="shared" ca="1" si="1551"/>
        <v>7.2679396925309527</v>
      </c>
      <c r="D1627" s="2">
        <f t="shared" ca="1" si="1552"/>
        <v>0.96272129145537977</v>
      </c>
      <c r="E1627" s="2">
        <f t="shared" ca="1" si="1553"/>
        <v>8.2269479590092018</v>
      </c>
      <c r="F1627" s="2">
        <f t="shared" ca="1" si="1554"/>
        <v>0.94148467024172922</v>
      </c>
      <c r="G1627" s="2">
        <f t="shared" ca="1" si="1555"/>
        <v>8.7020788260629228E-2</v>
      </c>
      <c r="H1627" s="2">
        <f t="shared" ca="1" si="1556"/>
        <v>8.7020788260629228E-2</v>
      </c>
      <c r="I1627" s="2">
        <f t="shared" ca="1" si="1557"/>
        <v>0.55585678000293448</v>
      </c>
      <c r="J1627" s="2">
        <f t="shared" ca="1" si="1558"/>
        <v>1.0702364011676077E-2</v>
      </c>
      <c r="K1627" s="2">
        <f t="shared" ca="1" si="1559"/>
        <v>1.0702364011676077E-2</v>
      </c>
      <c r="L1627" s="2">
        <f t="shared" ca="1" si="1560"/>
        <v>0.71634201300540534</v>
      </c>
      <c r="M1627" s="2">
        <f t="shared" ca="1" si="1561"/>
        <v>1.1440177148483846E-2</v>
      </c>
      <c r="N1627" s="2">
        <f t="shared" ca="1" si="1562"/>
        <v>1.1440177148483846E-2</v>
      </c>
      <c r="O1627" s="2">
        <f t="shared" si="1563"/>
        <v>6000000</v>
      </c>
      <c r="P1627" s="2">
        <f t="shared" ca="1" si="1564"/>
        <v>43607638.155185714</v>
      </c>
      <c r="Q1627" s="2">
        <f t="shared" ca="1" si="1565"/>
        <v>1090190.953879643</v>
      </c>
      <c r="R1627" s="2">
        <f t="shared" ca="1" si="1566"/>
        <v>26164582.893111426</v>
      </c>
      <c r="S1627" s="2">
        <f t="shared" ca="1" si="1567"/>
        <v>17443055.262074288</v>
      </c>
      <c r="T1627" s="2">
        <f t="shared" ca="1" si="1568"/>
        <v>50572008.857424192</v>
      </c>
      <c r="U1627" s="2">
        <f t="shared" ca="1" si="1569"/>
        <v>54972824.93212077</v>
      </c>
      <c r="V1627" s="2">
        <f t="shared" ca="1" si="1570"/>
        <v>59756603.490627497</v>
      </c>
      <c r="W1627" s="2">
        <f t="shared" ca="1" si="1571"/>
        <v>64956670.230159774</v>
      </c>
      <c r="X1627" s="2">
        <f t="shared" ca="1" si="1572"/>
        <v>70609250.876374036</v>
      </c>
      <c r="Y1627" s="2">
        <f t="shared" ca="1" si="1573"/>
        <v>0.12535118200583803</v>
      </c>
      <c r="Z1627" s="2">
        <f t="shared" ca="1" si="1574"/>
        <v>0.12749165480817326</v>
      </c>
      <c r="AA1627" s="2">
        <f t="shared" ca="1" si="1575"/>
        <v>6339261.0866878331</v>
      </c>
      <c r="AB1627" s="2">
        <f t="shared" ca="1" si="1576"/>
        <v>7008576.4200760815</v>
      </c>
      <c r="AC1627" s="2">
        <f t="shared" ca="1" si="1577"/>
        <v>7618468.2647359623</v>
      </c>
      <c r="AD1627" s="2">
        <f t="shared" ca="1" si="1578"/>
        <v>8281433.3784718746</v>
      </c>
      <c r="AE1627" s="2">
        <f t="shared" ca="1" si="1579"/>
        <v>9002090.2389943842</v>
      </c>
      <c r="AF1627" s="2">
        <f t="shared" ca="1" si="1580"/>
        <v>1011440.1771484838</v>
      </c>
      <c r="AG1627" s="2">
        <f t="shared" ca="1" si="1581"/>
        <v>1099456.4986424155</v>
      </c>
      <c r="AH1627" s="2">
        <f t="shared" ca="1" si="1582"/>
        <v>1195132.06981255</v>
      </c>
      <c r="AI1627" s="2">
        <f t="shared" ca="1" si="1583"/>
        <v>1299133.4046031956</v>
      </c>
      <c r="AJ1627" s="2">
        <f t="shared" ca="1" si="1584"/>
        <v>1412185.0175274808</v>
      </c>
      <c r="AK1627" s="2">
        <f t="shared" ca="1" si="1585"/>
        <v>0</v>
      </c>
      <c r="AL1627" s="2">
        <f t="shared" ca="1" si="1586"/>
        <v>44008.160746965783</v>
      </c>
      <c r="AM1627" s="2">
        <f t="shared" ca="1" si="1587"/>
        <v>47837.785585067271</v>
      </c>
      <c r="AN1627" s="2">
        <f t="shared" ca="1" si="1588"/>
        <v>52000.667395322773</v>
      </c>
      <c r="AO1627" s="2">
        <f t="shared" ca="1" si="1589"/>
        <v>56525.806462142617</v>
      </c>
      <c r="AP1627" s="2">
        <f t="shared" ca="1" si="1590"/>
        <v>2354812.4603800285</v>
      </c>
      <c r="AQ1627" s="2">
        <f t="shared" ca="1" si="1591"/>
        <v>772982.19678142341</v>
      </c>
      <c r="AR1627" s="2">
        <f t="shared" ca="1" si="1592"/>
        <v>924119.93987394578</v>
      </c>
      <c r="AS1627" s="2">
        <f t="shared" ca="1" si="1593"/>
        <v>1057816.1709812798</v>
      </c>
      <c r="AT1627" s="2">
        <f t="shared" ca="1" si="1594"/>
        <v>1203146.7535070491</v>
      </c>
      <c r="AU1627" s="2">
        <f t="shared" ca="1" si="1595"/>
        <v>1361124.1178825877</v>
      </c>
      <c r="AV1627" s="2">
        <f t="shared" ca="1" si="1596"/>
        <v>2200026.252377898</v>
      </c>
      <c r="AW1627" s="2">
        <f t="shared" ca="1" si="1597"/>
        <v>2586179.3604327259</v>
      </c>
      <c r="AX1627" s="2">
        <f t="shared" ca="1" si="1598"/>
        <v>2962869.7779770368</v>
      </c>
      <c r="AY1627" s="2">
        <f t="shared" ca="1" si="1599"/>
        <v>3372340.0925862794</v>
      </c>
      <c r="AZ1627" s="2">
        <f t="shared" ca="1" si="1600"/>
        <v>3817442.8367421445</v>
      </c>
      <c r="BA1627" s="2">
        <f t="shared" ca="1" si="1601"/>
        <v>74059727.91851151</v>
      </c>
      <c r="BB1627" s="2">
        <f t="shared" ca="1" si="1602"/>
        <v>1481194.5583702303</v>
      </c>
      <c r="BC1627" s="2">
        <f t="shared" ca="1" si="1603"/>
        <v>46413950.467029855</v>
      </c>
      <c r="BD1627" s="2">
        <f t="shared" ca="1" si="1604"/>
        <v>-19033246.215953931</v>
      </c>
      <c r="BE1627" s="2">
        <f t="shared" ca="1" si="1605"/>
        <v>2200026.252377898</v>
      </c>
      <c r="BF1627" s="2">
        <f t="shared" ca="1" si="1606"/>
        <v>2586179.3604327259</v>
      </c>
      <c r="BG1627" s="2">
        <f t="shared" ca="1" si="1607"/>
        <v>2962869.7779770368</v>
      </c>
      <c r="BH1627" s="2">
        <f t="shared" ca="1" si="1608"/>
        <v>3372340.0925862794</v>
      </c>
      <c r="BI1627" s="2">
        <f t="shared" ca="1" si="1609"/>
        <v>50231393.303772002</v>
      </c>
      <c r="BJ1627" s="2">
        <f t="shared" ca="1" si="1610"/>
        <v>0.30399840117016574</v>
      </c>
      <c r="BK1627" s="2">
        <f t="shared" ca="1" si="1611"/>
        <v>17747486.13123969</v>
      </c>
    </row>
    <row r="1628" spans="1:63" x14ac:dyDescent="0.3">
      <c r="A1628" s="2">
        <v>1627</v>
      </c>
      <c r="B1628" s="2">
        <f t="shared" ca="1" si="1550"/>
        <v>0.97032192210840229</v>
      </c>
      <c r="C1628" s="2">
        <f t="shared" ca="1" si="1551"/>
        <v>7.7563688119653085</v>
      </c>
      <c r="D1628" s="2">
        <f t="shared" ca="1" si="1552"/>
        <v>0.94889450452253299</v>
      </c>
      <c r="E1628" s="2">
        <f t="shared" ca="1" si="1553"/>
        <v>8.1802954630366749</v>
      </c>
      <c r="F1628" s="2">
        <f t="shared" ca="1" si="1554"/>
        <v>0.15363166487807434</v>
      </c>
      <c r="G1628" s="2">
        <f t="shared" ca="1" si="1555"/>
        <v>9.3705629799756482E-3</v>
      </c>
      <c r="H1628" s="2">
        <f t="shared" ca="1" si="1556"/>
        <v>9.3705629799756482E-3</v>
      </c>
      <c r="I1628" s="2">
        <f t="shared" ca="1" si="1557"/>
        <v>0.60865193105914106</v>
      </c>
      <c r="J1628" s="2">
        <f t="shared" ca="1" si="1558"/>
        <v>1.137903610059628E-2</v>
      </c>
      <c r="K1628" s="2">
        <f t="shared" ca="1" si="1559"/>
        <v>1.137903610059628E-2</v>
      </c>
      <c r="L1628" s="2">
        <f t="shared" ca="1" si="1560"/>
        <v>0.2809573445940502</v>
      </c>
      <c r="M1628" s="2">
        <f t="shared" ca="1" si="1561"/>
        <v>-1.159999788270415E-2</v>
      </c>
      <c r="N1628" s="2">
        <f t="shared" ca="1" si="1562"/>
        <v>-1.159999788270415E-2</v>
      </c>
      <c r="O1628" s="2">
        <f t="shared" si="1563"/>
        <v>6000000</v>
      </c>
      <c r="P1628" s="2">
        <f t="shared" ca="1" si="1564"/>
        <v>46538212.871791855</v>
      </c>
      <c r="Q1628" s="2">
        <f t="shared" ca="1" si="1565"/>
        <v>1163455.3217947965</v>
      </c>
      <c r="R1628" s="2">
        <f t="shared" ca="1" si="1566"/>
        <v>27922927.72307511</v>
      </c>
      <c r="S1628" s="2">
        <f t="shared" ca="1" si="1567"/>
        <v>18615285.148716744</v>
      </c>
      <c r="T1628" s="2">
        <f t="shared" ca="1" si="1568"/>
        <v>49420000.105864793</v>
      </c>
      <c r="U1628" s="2">
        <f t="shared" ca="1" si="1569"/>
        <v>49883093.329327203</v>
      </c>
      <c r="V1628" s="2">
        <f t="shared" ca="1" si="1570"/>
        <v>50350525.997005664</v>
      </c>
      <c r="W1628" s="2">
        <f t="shared" ca="1" si="1571"/>
        <v>50822338.771935508</v>
      </c>
      <c r="X1628" s="2">
        <f t="shared" ca="1" si="1572"/>
        <v>51298572.69818759</v>
      </c>
      <c r="Y1628" s="2">
        <f t="shared" ca="1" si="1573"/>
        <v>0.12568951805029813</v>
      </c>
      <c r="Z1628" s="2">
        <f t="shared" ca="1" si="1574"/>
        <v>0.1279653252704174</v>
      </c>
      <c r="AA1628" s="2">
        <f t="shared" ca="1" si="1575"/>
        <v>6211575.9953518286</v>
      </c>
      <c r="AB1628" s="2">
        <f t="shared" ca="1" si="1576"/>
        <v>6383306.263381944</v>
      </c>
      <c r="AC1628" s="2">
        <f t="shared" ca="1" si="1577"/>
        <v>6443121.4367434373</v>
      </c>
      <c r="AD1628" s="2">
        <f t="shared" ca="1" si="1578"/>
        <v>6503497.1119540725</v>
      </c>
      <c r="AE1628" s="2">
        <f t="shared" ca="1" si="1579"/>
        <v>6564438.5412317282</v>
      </c>
      <c r="AF1628" s="2">
        <f t="shared" ca="1" si="1580"/>
        <v>988400.00211729587</v>
      </c>
      <c r="AG1628" s="2">
        <f t="shared" ca="1" si="1581"/>
        <v>997661.86658654409</v>
      </c>
      <c r="AH1628" s="2">
        <f t="shared" ca="1" si="1582"/>
        <v>1007010.5199401133</v>
      </c>
      <c r="AI1628" s="2">
        <f t="shared" ca="1" si="1583"/>
        <v>1016446.7754387102</v>
      </c>
      <c r="AJ1628" s="2">
        <f t="shared" ca="1" si="1584"/>
        <v>1025971.4539637518</v>
      </c>
      <c r="AK1628" s="2">
        <f t="shared" ca="1" si="1585"/>
        <v>0</v>
      </c>
      <c r="AL1628" s="2">
        <f t="shared" ca="1" si="1586"/>
        <v>4630.9322346241024</v>
      </c>
      <c r="AM1628" s="2">
        <f t="shared" ca="1" si="1587"/>
        <v>4674.3266767846053</v>
      </c>
      <c r="AN1628" s="2">
        <f t="shared" ca="1" si="1588"/>
        <v>4718.1277492984382</v>
      </c>
      <c r="AO1628" s="2">
        <f t="shared" ca="1" si="1589"/>
        <v>4762.3392625208198</v>
      </c>
      <c r="AP1628" s="2">
        <f t="shared" ca="1" si="1590"/>
        <v>2513063.4950767597</v>
      </c>
      <c r="AQ1628" s="2">
        <f t="shared" ca="1" si="1591"/>
        <v>704629.24952102103</v>
      </c>
      <c r="AR1628" s="2">
        <f t="shared" ca="1" si="1592"/>
        <v>746871.03444684634</v>
      </c>
      <c r="AS1628" s="2">
        <f t="shared" ca="1" si="1593"/>
        <v>759992.3296489066</v>
      </c>
      <c r="AT1628" s="2">
        <f t="shared" ca="1" si="1594"/>
        <v>773236.57877403672</v>
      </c>
      <c r="AU1628" s="2">
        <f t="shared" ca="1" si="1595"/>
        <v>786604.93396971631</v>
      </c>
      <c r="AV1628" s="2">
        <f t="shared" ca="1" si="1596"/>
        <v>2005483.2486367524</v>
      </c>
      <c r="AW1628" s="2">
        <f t="shared" ca="1" si="1597"/>
        <v>2121078.9350371687</v>
      </c>
      <c r="AX1628" s="2">
        <f t="shared" ca="1" si="1598"/>
        <v>2158380.7654008726</v>
      </c>
      <c r="AY1628" s="2">
        <f t="shared" ca="1" si="1599"/>
        <v>2196032.1349152671</v>
      </c>
      <c r="AZ1628" s="2">
        <f t="shared" ca="1" si="1600"/>
        <v>2234036.3189589791</v>
      </c>
      <c r="BA1628" s="2">
        <f t="shared" ca="1" si="1601"/>
        <v>53699046.816220991</v>
      </c>
      <c r="BB1628" s="2">
        <f t="shared" ca="1" si="1602"/>
        <v>1073980.9363244199</v>
      </c>
      <c r="BC1628" s="2">
        <f t="shared" ca="1" si="1603"/>
        <v>24702138.15682146</v>
      </c>
      <c r="BD1628" s="2">
        <f t="shared" ca="1" si="1604"/>
        <v>-20278740.470511541</v>
      </c>
      <c r="BE1628" s="2">
        <f t="shared" ca="1" si="1605"/>
        <v>2005483.2486367524</v>
      </c>
      <c r="BF1628" s="2">
        <f t="shared" ca="1" si="1606"/>
        <v>2121078.9350371687</v>
      </c>
      <c r="BG1628" s="2">
        <f t="shared" ca="1" si="1607"/>
        <v>2158380.7654008726</v>
      </c>
      <c r="BH1628" s="2">
        <f t="shared" ca="1" si="1608"/>
        <v>2196032.1349152671</v>
      </c>
      <c r="BI1628" s="2">
        <f t="shared" ca="1" si="1609"/>
        <v>26936174.475780439</v>
      </c>
      <c r="BJ1628" s="2">
        <f t="shared" ca="1" si="1610"/>
        <v>0.13811342898459822</v>
      </c>
      <c r="BK1628" s="2">
        <f t="shared" ca="1" si="1611"/>
        <v>1419000.4201772213</v>
      </c>
    </row>
    <row r="1629" spans="1:63" x14ac:dyDescent="0.3">
      <c r="A1629" s="2">
        <v>1628</v>
      </c>
      <c r="B1629" s="2">
        <f t="shared" ca="1" si="1550"/>
        <v>0.20534063400703206</v>
      </c>
      <c r="C1629" s="2">
        <f t="shared" ca="1" si="1551"/>
        <v>6.6408441838809686</v>
      </c>
      <c r="D1629" s="2">
        <f t="shared" ca="1" si="1552"/>
        <v>7.2360716922281965E-2</v>
      </c>
      <c r="E1629" s="2">
        <f t="shared" ca="1" si="1553"/>
        <v>6.880422704165464</v>
      </c>
      <c r="F1629" s="2">
        <f t="shared" ca="1" si="1554"/>
        <v>0.9739285899293415</v>
      </c>
      <c r="G1629" s="2">
        <f t="shared" ca="1" si="1555"/>
        <v>9.8258582618013179E-2</v>
      </c>
      <c r="H1629" s="2">
        <f t="shared" ca="1" si="1556"/>
        <v>9.8258582618013179E-2</v>
      </c>
      <c r="I1629" s="2">
        <f t="shared" ca="1" si="1557"/>
        <v>8.2572727994657424E-2</v>
      </c>
      <c r="J1629" s="2">
        <f t="shared" ca="1" si="1558"/>
        <v>3.0601381040954402E-3</v>
      </c>
      <c r="K1629" s="2">
        <f t="shared" ca="1" si="1559"/>
        <v>3.0601381040954402E-3</v>
      </c>
      <c r="L1629" s="2">
        <f t="shared" ca="1" si="1560"/>
        <v>0.98064252605183855</v>
      </c>
      <c r="M1629" s="2">
        <f t="shared" ca="1" si="1561"/>
        <v>4.1344077358939385E-2</v>
      </c>
      <c r="N1629" s="2">
        <f t="shared" ca="1" si="1562"/>
        <v>4.1344077358939385E-2</v>
      </c>
      <c r="O1629" s="2">
        <f t="shared" si="1563"/>
        <v>6000000</v>
      </c>
      <c r="P1629" s="2">
        <f t="shared" ca="1" si="1564"/>
        <v>39845065.103285812</v>
      </c>
      <c r="Q1629" s="2">
        <f t="shared" ca="1" si="1565"/>
        <v>996126.62758214539</v>
      </c>
      <c r="R1629" s="2">
        <f t="shared" ca="1" si="1566"/>
        <v>23907039.061971486</v>
      </c>
      <c r="S1629" s="2">
        <f t="shared" ca="1" si="1567"/>
        <v>15938026.041314326</v>
      </c>
      <c r="T1629" s="2">
        <f t="shared" ca="1" si="1568"/>
        <v>52067203.867946967</v>
      </c>
      <c r="U1629" s="2">
        <f t="shared" ca="1" si="1569"/>
        <v>57183253.520894565</v>
      </c>
      <c r="V1629" s="2">
        <f t="shared" ca="1" si="1570"/>
        <v>62801998.961344175</v>
      </c>
      <c r="W1629" s="2">
        <f t="shared" ca="1" si="1571"/>
        <v>68972834.364863783</v>
      </c>
      <c r="X1629" s="2">
        <f t="shared" ca="1" si="1572"/>
        <v>75750007.30870229</v>
      </c>
      <c r="Y1629" s="2">
        <f t="shared" ca="1" si="1573"/>
        <v>0.12153006905204772</v>
      </c>
      <c r="Z1629" s="2">
        <f t="shared" ca="1" si="1574"/>
        <v>0.12214209667286681</v>
      </c>
      <c r="AA1629" s="2">
        <f t="shared" ca="1" si="1575"/>
        <v>6327730.8814186407</v>
      </c>
      <c r="AB1629" s="2">
        <f t="shared" ca="1" si="1576"/>
        <v>6984482.4796181554</v>
      </c>
      <c r="AC1629" s="2">
        <f t="shared" ca="1" si="1577"/>
        <v>7670767.8283857815</v>
      </c>
      <c r="AD1629" s="2">
        <f t="shared" ca="1" si="1578"/>
        <v>8424486.6027948223</v>
      </c>
      <c r="AE1629" s="2">
        <f t="shared" ca="1" si="1579"/>
        <v>9252264.7156698834</v>
      </c>
      <c r="AF1629" s="2">
        <f t="shared" ca="1" si="1580"/>
        <v>1041344.0773589393</v>
      </c>
      <c r="AG1629" s="2">
        <f t="shared" ca="1" si="1581"/>
        <v>1143665.0704178913</v>
      </c>
      <c r="AH1629" s="2">
        <f t="shared" ca="1" si="1582"/>
        <v>1256039.9792268835</v>
      </c>
      <c r="AI1629" s="2">
        <f t="shared" ca="1" si="1583"/>
        <v>1379456.6872972758</v>
      </c>
      <c r="AJ1629" s="2">
        <f t="shared" ca="1" si="1584"/>
        <v>1515000.1461740457</v>
      </c>
      <c r="AK1629" s="2">
        <f t="shared" ca="1" si="1585"/>
        <v>0</v>
      </c>
      <c r="AL1629" s="2">
        <f t="shared" ca="1" si="1586"/>
        <v>51160.496529475975</v>
      </c>
      <c r="AM1629" s="2">
        <f t="shared" ca="1" si="1587"/>
        <v>56187.454404496108</v>
      </c>
      <c r="AN1629" s="2">
        <f t="shared" ca="1" si="1588"/>
        <v>61708.354035196084</v>
      </c>
      <c r="AO1629" s="2">
        <f t="shared" ca="1" si="1589"/>
        <v>67771.729438385068</v>
      </c>
      <c r="AP1629" s="2">
        <f t="shared" ca="1" si="1590"/>
        <v>2151633.5155774336</v>
      </c>
      <c r="AQ1629" s="2">
        <f t="shared" ca="1" si="1591"/>
        <v>815035.85500538955</v>
      </c>
      <c r="AR1629" s="2">
        <f t="shared" ca="1" si="1592"/>
        <v>959187.81234193593</v>
      </c>
      <c r="AS1629" s="2">
        <f t="shared" ca="1" si="1593"/>
        <v>1108404.5267311807</v>
      </c>
      <c r="AT1629" s="2">
        <f t="shared" ca="1" si="1594"/>
        <v>1272283.0639792294</v>
      </c>
      <c r="AU1629" s="2">
        <f t="shared" ca="1" si="1595"/>
        <v>1452264.0740187853</v>
      </c>
      <c r="AV1629" s="2">
        <f t="shared" ca="1" si="1596"/>
        <v>2319717.4334768783</v>
      </c>
      <c r="AW1629" s="2">
        <f t="shared" ca="1" si="1597"/>
        <v>2678835.5847514188</v>
      </c>
      <c r="AX1629" s="2">
        <f t="shared" ca="1" si="1598"/>
        <v>3098502.3524457878</v>
      </c>
      <c r="AY1629" s="2">
        <f t="shared" ca="1" si="1599"/>
        <v>3559404.9819056876</v>
      </c>
      <c r="AZ1629" s="2">
        <f t="shared" ca="1" si="1600"/>
        <v>4065595.2504612338</v>
      </c>
      <c r="BA1629" s="2">
        <f t="shared" ca="1" si="1601"/>
        <v>63659492.214644089</v>
      </c>
      <c r="BB1629" s="2">
        <f t="shared" ca="1" si="1602"/>
        <v>1273189.8442928819</v>
      </c>
      <c r="BC1629" s="2">
        <f t="shared" ca="1" si="1603"/>
        <v>38479263.308379725</v>
      </c>
      <c r="BD1629" s="2">
        <f t="shared" ca="1" si="1604"/>
        <v>-17434152.66889647</v>
      </c>
      <c r="BE1629" s="2">
        <f t="shared" ca="1" si="1605"/>
        <v>2319717.4334768783</v>
      </c>
      <c r="BF1629" s="2">
        <f t="shared" ca="1" si="1606"/>
        <v>2678835.5847514188</v>
      </c>
      <c r="BG1629" s="2">
        <f t="shared" ca="1" si="1607"/>
        <v>3098502.3524457878</v>
      </c>
      <c r="BH1629" s="2">
        <f t="shared" ca="1" si="1608"/>
        <v>3559404.9819056876</v>
      </c>
      <c r="BI1629" s="2">
        <f t="shared" ca="1" si="1609"/>
        <v>42544858.55884096</v>
      </c>
      <c r="BJ1629" s="2">
        <f t="shared" ca="1" si="1610"/>
        <v>0.30092051246328921</v>
      </c>
      <c r="BK1629" s="2">
        <f t="shared" ca="1" si="1611"/>
        <v>15381189.243798479</v>
      </c>
    </row>
    <row r="1630" spans="1:63" x14ac:dyDescent="0.3">
      <c r="A1630" s="2">
        <v>1629</v>
      </c>
      <c r="B1630" s="2">
        <f t="shared" ca="1" si="1550"/>
        <v>0.34943067330510702</v>
      </c>
      <c r="C1630" s="2">
        <f t="shared" ca="1" si="1551"/>
        <v>6.8359792740314882</v>
      </c>
      <c r="D1630" s="2">
        <f t="shared" ca="1" si="1552"/>
        <v>0.19023154469982007</v>
      </c>
      <c r="E1630" s="2">
        <f t="shared" ca="1" si="1553"/>
        <v>7.1168169010327453</v>
      </c>
      <c r="F1630" s="2">
        <f t="shared" ca="1" si="1554"/>
        <v>7.1997982134149652E-2</v>
      </c>
      <c r="G1630" s="2">
        <f t="shared" ca="1" si="1555"/>
        <v>-3.8321292895164699E-3</v>
      </c>
      <c r="H1630" s="2">
        <f t="shared" ca="1" si="1556"/>
        <v>-3.8321292895164699E-3</v>
      </c>
      <c r="I1630" s="2">
        <f t="shared" ca="1" si="1557"/>
        <v>0.69193700503458366</v>
      </c>
      <c r="J1630" s="2">
        <f t="shared" ca="1" si="1558"/>
        <v>1.2506741701722576E-2</v>
      </c>
      <c r="K1630" s="2">
        <f t="shared" ca="1" si="1559"/>
        <v>1.2506741701722576E-2</v>
      </c>
      <c r="L1630" s="2">
        <f t="shared" ca="1" si="1560"/>
        <v>0.59369686607399363</v>
      </c>
      <c r="M1630" s="2">
        <f t="shared" ca="1" si="1561"/>
        <v>4.7413024895582821E-3</v>
      </c>
      <c r="N1630" s="2">
        <f t="shared" ca="1" si="1562"/>
        <v>4.7413024895582821E-3</v>
      </c>
      <c r="O1630" s="2">
        <f t="shared" si="1563"/>
        <v>6000000</v>
      </c>
      <c r="P1630" s="2">
        <f t="shared" ca="1" si="1564"/>
        <v>41015875.644188926</v>
      </c>
      <c r="Q1630" s="2">
        <f t="shared" ca="1" si="1565"/>
        <v>1025396.8911047232</v>
      </c>
      <c r="R1630" s="2">
        <f t="shared" ca="1" si="1566"/>
        <v>24609525.386513356</v>
      </c>
      <c r="S1630" s="2">
        <f t="shared" ca="1" si="1567"/>
        <v>16406350.257675571</v>
      </c>
      <c r="T1630" s="2">
        <f t="shared" ca="1" si="1568"/>
        <v>50237065.124477908</v>
      </c>
      <c r="U1630" s="2">
        <f t="shared" ca="1" si="1569"/>
        <v>50044550.195795052</v>
      </c>
      <c r="V1630" s="2">
        <f t="shared" ca="1" si="1570"/>
        <v>49852773.009209067</v>
      </c>
      <c r="W1630" s="2">
        <f t="shared" ca="1" si="1571"/>
        <v>49661730.737596862</v>
      </c>
      <c r="X1630" s="2">
        <f t="shared" ca="1" si="1572"/>
        <v>49471420.564669237</v>
      </c>
      <c r="Y1630" s="2">
        <f t="shared" ca="1" si="1573"/>
        <v>0.12625337085086127</v>
      </c>
      <c r="Z1630" s="2">
        <f t="shared" ca="1" si="1574"/>
        <v>0.12875471919120579</v>
      </c>
      <c r="AA1630" s="2">
        <f t="shared" ca="1" si="1575"/>
        <v>6342598.8136195783</v>
      </c>
      <c r="AB1630" s="2">
        <f t="shared" ca="1" si="1576"/>
        <v>6443472.007509795</v>
      </c>
      <c r="AC1630" s="2">
        <f t="shared" ca="1" si="1577"/>
        <v>6418779.7897036364</v>
      </c>
      <c r="AD1630" s="2">
        <f t="shared" ca="1" si="1578"/>
        <v>6394182.1956685577</v>
      </c>
      <c r="AE1630" s="2">
        <f t="shared" ca="1" si="1579"/>
        <v>6369678.8627940314</v>
      </c>
      <c r="AF1630" s="2">
        <f t="shared" ca="1" si="1580"/>
        <v>1004741.3024895582</v>
      </c>
      <c r="AG1630" s="2">
        <f t="shared" ca="1" si="1581"/>
        <v>1000891.0039159011</v>
      </c>
      <c r="AH1630" s="2">
        <f t="shared" ca="1" si="1582"/>
        <v>997055.46018418134</v>
      </c>
      <c r="AI1630" s="2">
        <f t="shared" ca="1" si="1583"/>
        <v>993234.61475193722</v>
      </c>
      <c r="AJ1630" s="2">
        <f t="shared" ca="1" si="1584"/>
        <v>989428.41129338474</v>
      </c>
      <c r="AK1630" s="2">
        <f t="shared" ca="1" si="1585"/>
        <v>0</v>
      </c>
      <c r="AL1630" s="2">
        <f t="shared" ca="1" si="1586"/>
        <v>0</v>
      </c>
      <c r="AM1630" s="2">
        <f t="shared" ca="1" si="1587"/>
        <v>0</v>
      </c>
      <c r="AN1630" s="2">
        <f t="shared" ca="1" si="1588"/>
        <v>0</v>
      </c>
      <c r="AO1630" s="2">
        <f t="shared" ca="1" si="1589"/>
        <v>0</v>
      </c>
      <c r="AP1630" s="2">
        <f t="shared" ca="1" si="1590"/>
        <v>2214857.284786202</v>
      </c>
      <c r="AQ1630" s="2">
        <f t="shared" ca="1" si="1591"/>
        <v>811980.05884939269</v>
      </c>
      <c r="AR1630" s="2">
        <f t="shared" ca="1" si="1592"/>
        <v>839208.16688999988</v>
      </c>
      <c r="AS1630" s="2">
        <f t="shared" ca="1" si="1593"/>
        <v>833785.43163064588</v>
      </c>
      <c r="AT1630" s="2">
        <f t="shared" ca="1" si="1594"/>
        <v>828383.47699390887</v>
      </c>
      <c r="AU1630" s="2">
        <f t="shared" ca="1" si="1595"/>
        <v>823002.22334575572</v>
      </c>
      <c r="AV1630" s="2">
        <f t="shared" ca="1" si="1596"/>
        <v>2311020.1674944256</v>
      </c>
      <c r="AW1630" s="2">
        <f t="shared" ca="1" si="1597"/>
        <v>2388515.5519176917</v>
      </c>
      <c r="AX1630" s="2">
        <f t="shared" ca="1" si="1598"/>
        <v>2373081.6131026074</v>
      </c>
      <c r="AY1630" s="2">
        <f t="shared" ca="1" si="1599"/>
        <v>2357706.8191365097</v>
      </c>
      <c r="AZ1630" s="2">
        <f t="shared" ca="1" si="1600"/>
        <v>2342390.9433686892</v>
      </c>
      <c r="BA1630" s="2">
        <f t="shared" ca="1" si="1601"/>
        <v>45331838.184883602</v>
      </c>
      <c r="BB1630" s="2">
        <f t="shared" ca="1" si="1602"/>
        <v>906636.76369767205</v>
      </c>
      <c r="BC1630" s="2">
        <f t="shared" ca="1" si="1603"/>
        <v>19815676.034672573</v>
      </c>
      <c r="BD1630" s="2">
        <f t="shared" ca="1" si="1604"/>
        <v>-17931747.148780294</v>
      </c>
      <c r="BE1630" s="2">
        <f t="shared" ca="1" si="1605"/>
        <v>2311020.1674944256</v>
      </c>
      <c r="BF1630" s="2">
        <f t="shared" ca="1" si="1606"/>
        <v>2388515.5519176917</v>
      </c>
      <c r="BG1630" s="2">
        <f t="shared" ca="1" si="1607"/>
        <v>2373081.6131026074</v>
      </c>
      <c r="BH1630" s="2">
        <f t="shared" ca="1" si="1608"/>
        <v>2357706.8191365097</v>
      </c>
      <c r="BI1630" s="2">
        <f t="shared" ca="1" si="1609"/>
        <v>22158066.978041261</v>
      </c>
      <c r="BJ1630" s="2">
        <f t="shared" ca="1" si="1610"/>
        <v>0.14691533904314724</v>
      </c>
      <c r="BK1630" s="2">
        <f t="shared" ca="1" si="1611"/>
        <v>1796333.8894254938</v>
      </c>
    </row>
    <row r="1631" spans="1:63" x14ac:dyDescent="0.3">
      <c r="A1631" s="2">
        <v>1630</v>
      </c>
      <c r="B1631" s="2">
        <f t="shared" ca="1" si="1550"/>
        <v>0.51700759212138858</v>
      </c>
      <c r="C1631" s="2">
        <f t="shared" ca="1" si="1551"/>
        <v>7.0171547345806546</v>
      </c>
      <c r="D1631" s="2">
        <f t="shared" ca="1" si="1552"/>
        <v>0.13114213771507366</v>
      </c>
      <c r="E1631" s="2">
        <f t="shared" ca="1" si="1553"/>
        <v>7.0121369694038371</v>
      </c>
      <c r="F1631" s="2">
        <f t="shared" ca="1" si="1554"/>
        <v>0.88235900764187014</v>
      </c>
      <c r="G1631" s="2">
        <f t="shared" ca="1" si="1555"/>
        <v>7.5605865600155725E-2</v>
      </c>
      <c r="H1631" s="2">
        <f t="shared" ca="1" si="1556"/>
        <v>7.5605865600155725E-2</v>
      </c>
      <c r="I1631" s="2">
        <f t="shared" ca="1" si="1557"/>
        <v>0.94558973045025663</v>
      </c>
      <c r="J1631" s="2">
        <f t="shared" ca="1" si="1558"/>
        <v>1.8017585450083862E-2</v>
      </c>
      <c r="K1631" s="2">
        <f t="shared" ca="1" si="1559"/>
        <v>1.8017585450083862E-2</v>
      </c>
      <c r="L1631" s="2">
        <f t="shared" ca="1" si="1560"/>
        <v>0.17496024653810682</v>
      </c>
      <c r="M1631" s="2">
        <f t="shared" ca="1" si="1561"/>
        <v>-1.8694870394054534E-2</v>
      </c>
      <c r="N1631" s="2">
        <f t="shared" ca="1" si="1562"/>
        <v>-1.8694870394054534E-2</v>
      </c>
      <c r="O1631" s="2">
        <f t="shared" si="1563"/>
        <v>6000000</v>
      </c>
      <c r="P1631" s="2">
        <f t="shared" ca="1" si="1564"/>
        <v>42102928.407483928</v>
      </c>
      <c r="Q1631" s="2">
        <f t="shared" ca="1" si="1565"/>
        <v>1052573.2101870982</v>
      </c>
      <c r="R1631" s="2">
        <f t="shared" ca="1" si="1566"/>
        <v>25261757.044490356</v>
      </c>
      <c r="S1631" s="2">
        <f t="shared" ca="1" si="1567"/>
        <v>16841171.362993572</v>
      </c>
      <c r="T1631" s="2">
        <f t="shared" ca="1" si="1568"/>
        <v>49065256.480297275</v>
      </c>
      <c r="U1631" s="2">
        <f t="shared" ca="1" si="1569"/>
        <v>52774877.667383797</v>
      </c>
      <c r="V1631" s="2">
        <f t="shared" ca="1" si="1570"/>
        <v>56764967.975368679</v>
      </c>
      <c r="W1631" s="2">
        <f t="shared" ca="1" si="1571"/>
        <v>61056732.514911547</v>
      </c>
      <c r="X1631" s="2">
        <f t="shared" ca="1" si="1572"/>
        <v>65672979.627418607</v>
      </c>
      <c r="Y1631" s="2">
        <f t="shared" ca="1" si="1573"/>
        <v>0.12900879272504193</v>
      </c>
      <c r="Z1631" s="2">
        <f t="shared" ca="1" si="1574"/>
        <v>0.1326123098150587</v>
      </c>
      <c r="AA1631" s="2">
        <f t="shared" ca="1" si="1575"/>
        <v>6329849.5032676915</v>
      </c>
      <c r="AB1631" s="2">
        <f t="shared" ca="1" si="1576"/>
        <v>6998598.4276789222</v>
      </c>
      <c r="AC1631" s="2">
        <f t="shared" ca="1" si="1577"/>
        <v>7527733.5197914764</v>
      </c>
      <c r="AD1631" s="2">
        <f t="shared" ca="1" si="1578"/>
        <v>8096874.3285626182</v>
      </c>
      <c r="AE1631" s="2">
        <f t="shared" ca="1" si="1579"/>
        <v>8709045.5208292753</v>
      </c>
      <c r="AF1631" s="2">
        <f t="shared" ca="1" si="1580"/>
        <v>981305.12960594555</v>
      </c>
      <c r="AG1631" s="2">
        <f t="shared" ca="1" si="1581"/>
        <v>1055497.5533476761</v>
      </c>
      <c r="AH1631" s="2">
        <f t="shared" ca="1" si="1582"/>
        <v>1135299.3595073735</v>
      </c>
      <c r="AI1631" s="2">
        <f t="shared" ca="1" si="1583"/>
        <v>1221134.650298231</v>
      </c>
      <c r="AJ1631" s="2">
        <f t="shared" ca="1" si="1584"/>
        <v>1313459.5925483722</v>
      </c>
      <c r="AK1631" s="2">
        <f t="shared" ca="1" si="1585"/>
        <v>0</v>
      </c>
      <c r="AL1631" s="2">
        <f t="shared" ca="1" si="1586"/>
        <v>37096.211870865227</v>
      </c>
      <c r="AM1631" s="2">
        <f t="shared" ca="1" si="1587"/>
        <v>39900.903079848809</v>
      </c>
      <c r="AN1631" s="2">
        <f t="shared" ca="1" si="1588"/>
        <v>42917.645395428692</v>
      </c>
      <c r="AO1631" s="2">
        <f t="shared" ca="1" si="1589"/>
        <v>46162.471125070602</v>
      </c>
      <c r="AP1631" s="2">
        <f t="shared" ca="1" si="1590"/>
        <v>2273558.1340041319</v>
      </c>
      <c r="AQ1631" s="2">
        <f t="shared" ca="1" si="1591"/>
        <v>799496.4223109798</v>
      </c>
      <c r="AR1631" s="2">
        <f t="shared" ca="1" si="1592"/>
        <v>954081.11248504976</v>
      </c>
      <c r="AS1631" s="2">
        <f t="shared" ca="1" si="1593"/>
        <v>1070907.7668327924</v>
      </c>
      <c r="AT1631" s="2">
        <f t="shared" ca="1" si="1594"/>
        <v>1196567.2015076664</v>
      </c>
      <c r="AU1631" s="2">
        <f t="shared" ca="1" si="1595"/>
        <v>1331727.2265119606</v>
      </c>
      <c r="AV1631" s="2">
        <f t="shared" ca="1" si="1596"/>
        <v>2275489.8173466343</v>
      </c>
      <c r="AW1631" s="2">
        <f t="shared" ca="1" si="1597"/>
        <v>2678365.4159712</v>
      </c>
      <c r="AX1631" s="2">
        <f t="shared" ca="1" si="1598"/>
        <v>3008067.3563673301</v>
      </c>
      <c r="AY1631" s="2">
        <f t="shared" ca="1" si="1599"/>
        <v>3362696.69735716</v>
      </c>
      <c r="AZ1631" s="2">
        <f t="shared" ca="1" si="1600"/>
        <v>3744138.0966397393</v>
      </c>
      <c r="BA1631" s="2">
        <f t="shared" ca="1" si="1601"/>
        <v>61069020.064827859</v>
      </c>
      <c r="BB1631" s="2">
        <f t="shared" ca="1" si="1602"/>
        <v>1221380.4012965572</v>
      </c>
      <c r="BC1631" s="2">
        <f t="shared" ca="1" si="1603"/>
        <v>34585882.619040951</v>
      </c>
      <c r="BD1631" s="2">
        <f t="shared" ca="1" si="1604"/>
        <v>-18393744.573180672</v>
      </c>
      <c r="BE1631" s="2">
        <f t="shared" ca="1" si="1605"/>
        <v>2275489.8173466343</v>
      </c>
      <c r="BF1631" s="2">
        <f t="shared" ca="1" si="1606"/>
        <v>2678365.4159712</v>
      </c>
      <c r="BG1631" s="2">
        <f t="shared" ca="1" si="1607"/>
        <v>3008067.3563673301</v>
      </c>
      <c r="BH1631" s="2">
        <f t="shared" ca="1" si="1608"/>
        <v>3362696.69735716</v>
      </c>
      <c r="BI1631" s="2">
        <f t="shared" ca="1" si="1609"/>
        <v>38330020.715680689</v>
      </c>
      <c r="BJ1631" s="2">
        <f t="shared" ca="1" si="1610"/>
        <v>0.26010992672190714</v>
      </c>
      <c r="BK1631" s="2">
        <f t="shared" ca="1" si="1611"/>
        <v>11800739.881237324</v>
      </c>
    </row>
    <row r="1632" spans="1:63" x14ac:dyDescent="0.3">
      <c r="A1632" s="2">
        <v>1631</v>
      </c>
      <c r="B1632" s="2">
        <f t="shared" ca="1" si="1550"/>
        <v>0.89510088830708601</v>
      </c>
      <c r="C1632" s="2">
        <f t="shared" ca="1" si="1551"/>
        <v>7.5419626397488653</v>
      </c>
      <c r="D1632" s="2">
        <f t="shared" ca="1" si="1552"/>
        <v>0.84301924039088283</v>
      </c>
      <c r="E1632" s="2">
        <f t="shared" ca="1" si="1553"/>
        <v>7.9396773079570719</v>
      </c>
      <c r="F1632" s="2">
        <f t="shared" ca="1" si="1554"/>
        <v>0.57340327565586346</v>
      </c>
      <c r="G1632" s="2">
        <f t="shared" ca="1" si="1555"/>
        <v>4.55513611464506E-2</v>
      </c>
      <c r="H1632" s="2">
        <f t="shared" ca="1" si="1556"/>
        <v>4.55513611464506E-2</v>
      </c>
      <c r="I1632" s="2">
        <f t="shared" ca="1" si="1557"/>
        <v>0.90815437774140251</v>
      </c>
      <c r="J1632" s="2">
        <f t="shared" ca="1" si="1558"/>
        <v>1.6647375968748414E-2</v>
      </c>
      <c r="K1632" s="2">
        <f t="shared" ca="1" si="1559"/>
        <v>1.6647375968748414E-2</v>
      </c>
      <c r="L1632" s="2">
        <f t="shared" ca="1" si="1560"/>
        <v>0.22363425415192939</v>
      </c>
      <c r="M1632" s="2">
        <f t="shared" ca="1" si="1561"/>
        <v>-1.5199534138811373E-2</v>
      </c>
      <c r="N1632" s="2">
        <f t="shared" ca="1" si="1562"/>
        <v>-1.5199534138811373E-2</v>
      </c>
      <c r="O1632" s="2">
        <f t="shared" si="1563"/>
        <v>6000000</v>
      </c>
      <c r="P1632" s="2">
        <f t="shared" ca="1" si="1564"/>
        <v>45251775.838493191</v>
      </c>
      <c r="Q1632" s="2">
        <f t="shared" ca="1" si="1565"/>
        <v>1131294.3959623298</v>
      </c>
      <c r="R1632" s="2">
        <f t="shared" ca="1" si="1566"/>
        <v>27151065.503095914</v>
      </c>
      <c r="S1632" s="2">
        <f t="shared" ca="1" si="1567"/>
        <v>18100710.335397277</v>
      </c>
      <c r="T1632" s="2">
        <f t="shared" ca="1" si="1568"/>
        <v>49240023.293059431</v>
      </c>
      <c r="U1632" s="2">
        <f t="shared" ca="1" si="1569"/>
        <v>51482973.376941226</v>
      </c>
      <c r="V1632" s="2">
        <f t="shared" ca="1" si="1570"/>
        <v>53828092.890127383</v>
      </c>
      <c r="W1632" s="2">
        <f t="shared" ca="1" si="1571"/>
        <v>56280035.78919027</v>
      </c>
      <c r="X1632" s="2">
        <f t="shared" ca="1" si="1572"/>
        <v>58843668.024758846</v>
      </c>
      <c r="Y1632" s="2">
        <f t="shared" ca="1" si="1573"/>
        <v>0.12832368798437421</v>
      </c>
      <c r="Z1632" s="2">
        <f t="shared" ca="1" si="1574"/>
        <v>0.13165316317812389</v>
      </c>
      <c r="AA1632" s="2">
        <f t="shared" ca="1" si="1575"/>
        <v>6318661.3854018766</v>
      </c>
      <c r="AB1632" s="2">
        <f t="shared" ca="1" si="1576"/>
        <v>6777896.294889451</v>
      </c>
      <c r="AC1632" s="2">
        <f t="shared" ca="1" si="1577"/>
        <v>7086638.6968311509</v>
      </c>
      <c r="AD1632" s="2">
        <f t="shared" ca="1" si="1578"/>
        <v>7409444.7354249191</v>
      </c>
      <c r="AE1632" s="2">
        <f t="shared" ca="1" si="1579"/>
        <v>7746955.0284629278</v>
      </c>
      <c r="AF1632" s="2">
        <f t="shared" ca="1" si="1580"/>
        <v>984800.4658611886</v>
      </c>
      <c r="AG1632" s="2">
        <f t="shared" ca="1" si="1581"/>
        <v>1029659.4675388245</v>
      </c>
      <c r="AH1632" s="2">
        <f t="shared" ca="1" si="1582"/>
        <v>1076561.8578025477</v>
      </c>
      <c r="AI1632" s="2">
        <f t="shared" ca="1" si="1583"/>
        <v>1125600.7157838054</v>
      </c>
      <c r="AJ1632" s="2">
        <f t="shared" ca="1" si="1584"/>
        <v>1176873.3604951769</v>
      </c>
      <c r="AK1632" s="2">
        <f t="shared" ca="1" si="1585"/>
        <v>0</v>
      </c>
      <c r="AL1632" s="2">
        <f t="shared" ca="1" si="1586"/>
        <v>22429.500838817956</v>
      </c>
      <c r="AM1632" s="2">
        <f t="shared" ca="1" si="1587"/>
        <v>23451.195131861568</v>
      </c>
      <c r="AN1632" s="2">
        <f t="shared" ca="1" si="1588"/>
        <v>24519.428990628869</v>
      </c>
      <c r="AO1632" s="2">
        <f t="shared" ca="1" si="1589"/>
        <v>25636.322355685756</v>
      </c>
      <c r="AP1632" s="2">
        <f t="shared" ca="1" si="1590"/>
        <v>2443595.8952786322</v>
      </c>
      <c r="AQ1632" s="2">
        <f t="shared" ca="1" si="1591"/>
        <v>751468.90630813467</v>
      </c>
      <c r="AR1632" s="2">
        <f t="shared" ca="1" si="1592"/>
        <v>859206.64233871864</v>
      </c>
      <c r="AS1632" s="2">
        <f t="shared" ca="1" si="1593"/>
        <v>927285.04537499254</v>
      </c>
      <c r="AT1632" s="2">
        <f t="shared" ca="1" si="1594"/>
        <v>998464.51233424514</v>
      </c>
      <c r="AU1632" s="2">
        <f t="shared" ca="1" si="1595"/>
        <v>1072886.3008991708</v>
      </c>
      <c r="AV1632" s="2">
        <f t="shared" ca="1" si="1596"/>
        <v>2138796.1179539212</v>
      </c>
      <c r="AW1632" s="2">
        <f t="shared" ca="1" si="1597"/>
        <v>2423004.7888944582</v>
      </c>
      <c r="AX1632" s="2">
        <f t="shared" ca="1" si="1598"/>
        <v>2615744.7032431173</v>
      </c>
      <c r="AY1632" s="2">
        <f t="shared" ca="1" si="1599"/>
        <v>2817264.1830376075</v>
      </c>
      <c r="AZ1632" s="2">
        <f t="shared" ca="1" si="1600"/>
        <v>3027963.1494342615</v>
      </c>
      <c r="BA1632" s="2">
        <f t="shared" ca="1" si="1601"/>
        <v>61508323.045251042</v>
      </c>
      <c r="BB1632" s="2">
        <f t="shared" ca="1" si="1602"/>
        <v>1230166.4609050208</v>
      </c>
      <c r="BC1632" s="2">
        <f t="shared" ca="1" si="1603"/>
        <v>33127091.081250113</v>
      </c>
      <c r="BD1632" s="2">
        <f t="shared" ca="1" si="1604"/>
        <v>-19732004.731359608</v>
      </c>
      <c r="BE1632" s="2">
        <f t="shared" ca="1" si="1605"/>
        <v>2138796.1179539212</v>
      </c>
      <c r="BF1632" s="2">
        <f t="shared" ca="1" si="1606"/>
        <v>2423004.7888944582</v>
      </c>
      <c r="BG1632" s="2">
        <f t="shared" ca="1" si="1607"/>
        <v>2615744.7032431173</v>
      </c>
      <c r="BH1632" s="2">
        <f t="shared" ca="1" si="1608"/>
        <v>2817264.1830376075</v>
      </c>
      <c r="BI1632" s="2">
        <f t="shared" ca="1" si="1609"/>
        <v>36155054.230684377</v>
      </c>
      <c r="BJ1632" s="2">
        <f t="shared" ca="1" si="1610"/>
        <v>0.21611259812018457</v>
      </c>
      <c r="BK1632" s="2">
        <f t="shared" ca="1" si="1611"/>
        <v>8276845.7161606327</v>
      </c>
    </row>
    <row r="1633" spans="1:63" x14ac:dyDescent="0.3">
      <c r="A1633" s="2">
        <v>1632</v>
      </c>
      <c r="B1633" s="2">
        <f t="shared" ca="1" si="1550"/>
        <v>0.72886162051875669</v>
      </c>
      <c r="C1633" s="2">
        <f t="shared" ca="1" si="1551"/>
        <v>7.2636055683517924</v>
      </c>
      <c r="D1633" s="2">
        <f t="shared" ca="1" si="1552"/>
        <v>0.81266600772009168</v>
      </c>
      <c r="E1633" s="2">
        <f t="shared" ca="1" si="1553"/>
        <v>7.8878987138064351</v>
      </c>
      <c r="F1633" s="2">
        <f t="shared" ca="1" si="1554"/>
        <v>0.2791399651135027</v>
      </c>
      <c r="G1633" s="2">
        <f t="shared" ca="1" si="1555"/>
        <v>2.243805093966663E-2</v>
      </c>
      <c r="H1633" s="2">
        <f t="shared" ca="1" si="1556"/>
        <v>2.243805093966663E-2</v>
      </c>
      <c r="I1633" s="2">
        <f t="shared" ca="1" si="1557"/>
        <v>0.76237562706460837</v>
      </c>
      <c r="J1633" s="2">
        <f t="shared" ca="1" si="1558"/>
        <v>1.3569825617334351E-2</v>
      </c>
      <c r="K1633" s="2">
        <f t="shared" ca="1" si="1559"/>
        <v>1.3569825617334351E-2</v>
      </c>
      <c r="L1633" s="2">
        <f t="shared" ca="1" si="1560"/>
        <v>0.32796036912684212</v>
      </c>
      <c r="M1633" s="2">
        <f t="shared" ca="1" si="1561"/>
        <v>-8.9110441950650474E-3</v>
      </c>
      <c r="N1633" s="2">
        <f t="shared" ca="1" si="1562"/>
        <v>-8.9110441950650474E-3</v>
      </c>
      <c r="O1633" s="2">
        <f t="shared" si="1563"/>
        <v>6000000</v>
      </c>
      <c r="P1633" s="2">
        <f t="shared" ca="1" si="1564"/>
        <v>43581633.410110757</v>
      </c>
      <c r="Q1633" s="2">
        <f t="shared" ca="1" si="1565"/>
        <v>1089540.8352527691</v>
      </c>
      <c r="R1633" s="2">
        <f t="shared" ca="1" si="1566"/>
        <v>26148980.046066452</v>
      </c>
      <c r="S1633" s="2">
        <f t="shared" ca="1" si="1567"/>
        <v>17432653.364044305</v>
      </c>
      <c r="T1633" s="2">
        <f t="shared" ca="1" si="1568"/>
        <v>49554447.790246747</v>
      </c>
      <c r="U1633" s="2">
        <f t="shared" ca="1" si="1569"/>
        <v>50666353.014051355</v>
      </c>
      <c r="V1633" s="2">
        <f t="shared" ca="1" si="1570"/>
        <v>51803207.223907776</v>
      </c>
      <c r="W1633" s="2">
        <f t="shared" ca="1" si="1571"/>
        <v>52965570.22643593</v>
      </c>
      <c r="X1633" s="2">
        <f t="shared" ca="1" si="1572"/>
        <v>54154014.389225192</v>
      </c>
      <c r="Y1633" s="2">
        <f t="shared" ca="1" si="1573"/>
        <v>0.12678491280866716</v>
      </c>
      <c r="Z1633" s="2">
        <f t="shared" ca="1" si="1574"/>
        <v>0.12949887793213405</v>
      </c>
      <c r="AA1633" s="2">
        <f t="shared" ca="1" si="1575"/>
        <v>6282756.3423680831</v>
      </c>
      <c r="AB1633" s="2">
        <f t="shared" ca="1" si="1576"/>
        <v>6561235.8642330486</v>
      </c>
      <c r="AC1633" s="2">
        <f t="shared" ca="1" si="1577"/>
        <v>6708457.2087818775</v>
      </c>
      <c r="AD1633" s="2">
        <f t="shared" ca="1" si="1578"/>
        <v>6858981.9133591</v>
      </c>
      <c r="AE1633" s="2">
        <f t="shared" ca="1" si="1579"/>
        <v>7012884.0989253037</v>
      </c>
      <c r="AF1633" s="2">
        <f t="shared" ca="1" si="1580"/>
        <v>991088.95580493496</v>
      </c>
      <c r="AG1633" s="2">
        <f t="shared" ca="1" si="1581"/>
        <v>1013327.0602810271</v>
      </c>
      <c r="AH1633" s="2">
        <f t="shared" ca="1" si="1582"/>
        <v>1036064.1444781555</v>
      </c>
      <c r="AI1633" s="2">
        <f t="shared" ca="1" si="1583"/>
        <v>1059311.4045287187</v>
      </c>
      <c r="AJ1633" s="2">
        <f t="shared" ca="1" si="1584"/>
        <v>1083080.2877845038</v>
      </c>
      <c r="AK1633" s="2">
        <f t="shared" ca="1" si="1585"/>
        <v>0</v>
      </c>
      <c r="AL1633" s="2">
        <f t="shared" ca="1" si="1586"/>
        <v>11119.052238046081</v>
      </c>
      <c r="AM1633" s="2">
        <f t="shared" ca="1" si="1587"/>
        <v>11368.542098564209</v>
      </c>
      <c r="AN1633" s="2">
        <f t="shared" ca="1" si="1588"/>
        <v>11623.630025281534</v>
      </c>
      <c r="AO1633" s="2">
        <f t="shared" ca="1" si="1589"/>
        <v>11884.441627892629</v>
      </c>
      <c r="AP1633" s="2">
        <f t="shared" ca="1" si="1590"/>
        <v>2353408.2041459805</v>
      </c>
      <c r="AQ1633" s="2">
        <f t="shared" ca="1" si="1591"/>
        <v>763947.38742846367</v>
      </c>
      <c r="AR1633" s="2">
        <f t="shared" ca="1" si="1592"/>
        <v>830570.1559495707</v>
      </c>
      <c r="AS1633" s="2">
        <f t="shared" ca="1" si="1593"/>
        <v>862936.06364101288</v>
      </c>
      <c r="AT1633" s="2">
        <f t="shared" ca="1" si="1594"/>
        <v>896028.19921794429</v>
      </c>
      <c r="AU1633" s="2">
        <f t="shared" ca="1" si="1595"/>
        <v>929862.85781865311</v>
      </c>
      <c r="AV1633" s="2">
        <f t="shared" ca="1" si="1596"/>
        <v>2174311.7949887044</v>
      </c>
      <c r="AW1633" s="2">
        <f t="shared" ca="1" si="1597"/>
        <v>2352811.3916184236</v>
      </c>
      <c r="AX1633" s="2">
        <f t="shared" ca="1" si="1598"/>
        <v>2444680.254418165</v>
      </c>
      <c r="AY1633" s="2">
        <f t="shared" ca="1" si="1599"/>
        <v>2538610.475441175</v>
      </c>
      <c r="AZ1633" s="2">
        <f t="shared" ca="1" si="1600"/>
        <v>2634648.3075482738</v>
      </c>
      <c r="BA1633" s="2">
        <f t="shared" ca="1" si="1601"/>
        <v>55316919.463986501</v>
      </c>
      <c r="BB1633" s="2">
        <f t="shared" ca="1" si="1602"/>
        <v>1106338.3892797302</v>
      </c>
      <c r="BC1633" s="2">
        <f t="shared" ca="1" si="1603"/>
        <v>28061601.028640319</v>
      </c>
      <c r="BD1633" s="2">
        <f t="shared" ca="1" si="1604"/>
        <v>-19022194.199297074</v>
      </c>
      <c r="BE1633" s="2">
        <f t="shared" ca="1" si="1605"/>
        <v>2174311.7949887044</v>
      </c>
      <c r="BF1633" s="2">
        <f t="shared" ca="1" si="1606"/>
        <v>2352811.3916184236</v>
      </c>
      <c r="BG1633" s="2">
        <f t="shared" ca="1" si="1607"/>
        <v>2444680.254418165</v>
      </c>
      <c r="BH1633" s="2">
        <f t="shared" ca="1" si="1608"/>
        <v>2538610.475441175</v>
      </c>
      <c r="BI1633" s="2">
        <f t="shared" ca="1" si="1609"/>
        <v>30696249.336188592</v>
      </c>
      <c r="BJ1633" s="2">
        <f t="shared" ca="1" si="1610"/>
        <v>0.19069981772569444</v>
      </c>
      <c r="BK1633" s="2">
        <f t="shared" ca="1" si="1611"/>
        <v>5566086.6657603234</v>
      </c>
    </row>
    <row r="1634" spans="1:63" x14ac:dyDescent="0.3">
      <c r="A1634" s="2">
        <v>1633</v>
      </c>
      <c r="B1634" s="2">
        <f t="shared" ca="1" si="1550"/>
        <v>0.88977324925155099</v>
      </c>
      <c r="C1634" s="2">
        <f t="shared" ca="1" si="1551"/>
        <v>7.5304752386754261</v>
      </c>
      <c r="D1634" s="2">
        <f t="shared" ca="1" si="1552"/>
        <v>0.40815050557035615</v>
      </c>
      <c r="E1634" s="2">
        <f t="shared" ca="1" si="1553"/>
        <v>7.4034937803553005</v>
      </c>
      <c r="F1634" s="2">
        <f t="shared" ca="1" si="1554"/>
        <v>0.48279479852648166</v>
      </c>
      <c r="G1634" s="2">
        <f t="shared" ca="1" si="1555"/>
        <v>3.8705787335175434E-2</v>
      </c>
      <c r="H1634" s="2">
        <f t="shared" ca="1" si="1556"/>
        <v>3.8705787335175434E-2</v>
      </c>
      <c r="I1634" s="2">
        <f t="shared" ca="1" si="1557"/>
        <v>0.62320202135664959</v>
      </c>
      <c r="J1634" s="2">
        <f t="shared" ca="1" si="1558"/>
        <v>1.1569506800912347E-2</v>
      </c>
      <c r="K1634" s="2">
        <f t="shared" ca="1" si="1559"/>
        <v>1.1569506800912347E-2</v>
      </c>
      <c r="L1634" s="2">
        <f t="shared" ca="1" si="1560"/>
        <v>0.52018051722283187</v>
      </c>
      <c r="M1634" s="2">
        <f t="shared" ca="1" si="1561"/>
        <v>1.0121329530503253E-3</v>
      </c>
      <c r="N1634" s="2">
        <f t="shared" ca="1" si="1562"/>
        <v>1.0121329530503253E-3</v>
      </c>
      <c r="O1634" s="2">
        <f t="shared" si="1563"/>
        <v>6000000</v>
      </c>
      <c r="P1634" s="2">
        <f t="shared" ca="1" si="1564"/>
        <v>45182851.43205256</v>
      </c>
      <c r="Q1634" s="2">
        <f t="shared" ca="1" si="1565"/>
        <v>1129571.2858013141</v>
      </c>
      <c r="R1634" s="2">
        <f t="shared" ca="1" si="1566"/>
        <v>27109710.859231535</v>
      </c>
      <c r="S1634" s="2">
        <f t="shared" ca="1" si="1567"/>
        <v>18073140.572821025</v>
      </c>
      <c r="T1634" s="2">
        <f t="shared" ca="1" si="1568"/>
        <v>50050606.647652514</v>
      </c>
      <c r="U1634" s="2">
        <f t="shared" ca="1" si="1569"/>
        <v>51987854.784553073</v>
      </c>
      <c r="V1634" s="2">
        <f t="shared" ca="1" si="1570"/>
        <v>54000085.635855973</v>
      </c>
      <c r="W1634" s="2">
        <f t="shared" ca="1" si="1571"/>
        <v>56090201.46655868</v>
      </c>
      <c r="X1634" s="2">
        <f t="shared" ca="1" si="1572"/>
        <v>58261216.876110449</v>
      </c>
      <c r="Y1634" s="2">
        <f t="shared" ca="1" si="1573"/>
        <v>0.12578475340045617</v>
      </c>
      <c r="Z1634" s="2">
        <f t="shared" ca="1" si="1574"/>
        <v>0.12809865476063864</v>
      </c>
      <c r="AA1634" s="2">
        <f t="shared" ca="1" si="1575"/>
        <v>6295603.214718204</v>
      </c>
      <c r="AB1634" s="2">
        <f t="shared" ca="1" si="1576"/>
        <v>6659574.2617926802</v>
      </c>
      <c r="AC1634" s="2">
        <f t="shared" ca="1" si="1577"/>
        <v>6917338.3269124357</v>
      </c>
      <c r="AD1634" s="2">
        <f t="shared" ca="1" si="1578"/>
        <v>7185079.3531193677</v>
      </c>
      <c r="AE1634" s="2">
        <f t="shared" ca="1" si="1579"/>
        <v>7463183.5065475665</v>
      </c>
      <c r="AF1634" s="2">
        <f t="shared" ca="1" si="1580"/>
        <v>1001012.1329530503</v>
      </c>
      <c r="AG1634" s="2">
        <f t="shared" ca="1" si="1581"/>
        <v>1039757.0956910615</v>
      </c>
      <c r="AH1634" s="2">
        <f t="shared" ca="1" si="1582"/>
        <v>1080001.7127171194</v>
      </c>
      <c r="AI1634" s="2">
        <f t="shared" ca="1" si="1583"/>
        <v>1121804.0293311735</v>
      </c>
      <c r="AJ1634" s="2">
        <f t="shared" ca="1" si="1584"/>
        <v>1165224.3375222089</v>
      </c>
      <c r="AK1634" s="2">
        <f t="shared" ca="1" si="1585"/>
        <v>0</v>
      </c>
      <c r="AL1634" s="2">
        <f t="shared" ca="1" si="1586"/>
        <v>19372.481369005593</v>
      </c>
      <c r="AM1634" s="2">
        <f t="shared" ca="1" si="1587"/>
        <v>20122.308513028995</v>
      </c>
      <c r="AN1634" s="2">
        <f t="shared" ca="1" si="1588"/>
        <v>20901.158307027072</v>
      </c>
      <c r="AO1634" s="2">
        <f t="shared" ca="1" si="1589"/>
        <v>21710.154095517697</v>
      </c>
      <c r="AP1634" s="2">
        <f t="shared" ca="1" si="1590"/>
        <v>2439873.9773308379</v>
      </c>
      <c r="AQ1634" s="2">
        <f t="shared" ca="1" si="1591"/>
        <v>742226.44715292205</v>
      </c>
      <c r="AR1634" s="2">
        <f t="shared" ca="1" si="1592"/>
        <v>826785.22908040299</v>
      </c>
      <c r="AS1634" s="2">
        <f t="shared" ca="1" si="1593"/>
        <v>883340.28558476432</v>
      </c>
      <c r="AT1634" s="2">
        <f t="shared" ca="1" si="1594"/>
        <v>942084.35007891257</v>
      </c>
      <c r="AU1634" s="2">
        <f t="shared" ca="1" si="1595"/>
        <v>1003102.1498405752</v>
      </c>
      <c r="AV1634" s="2">
        <f t="shared" ca="1" si="1596"/>
        <v>2112490.6572813937</v>
      </c>
      <c r="AW1634" s="2">
        <f t="shared" ca="1" si="1597"/>
        <v>2333785.4783213721</v>
      </c>
      <c r="AX1634" s="2">
        <f t="shared" ca="1" si="1598"/>
        <v>2494000.0427666851</v>
      </c>
      <c r="AY1634" s="2">
        <f t="shared" ca="1" si="1599"/>
        <v>2660415.8380714166</v>
      </c>
      <c r="AZ1634" s="2">
        <f t="shared" ca="1" si="1600"/>
        <v>2833272.8877584278</v>
      </c>
      <c r="BA1634" s="2">
        <f t="shared" ca="1" si="1601"/>
        <v>55253632.672375172</v>
      </c>
      <c r="BB1634" s="2">
        <f t="shared" ca="1" si="1602"/>
        <v>1105072.6534475035</v>
      </c>
      <c r="BC1634" s="2">
        <f t="shared" ca="1" si="1603"/>
        <v>27038849.159696132</v>
      </c>
      <c r="BD1634" s="2">
        <f t="shared" ca="1" si="1604"/>
        <v>-19702711.858622339</v>
      </c>
      <c r="BE1634" s="2">
        <f t="shared" ca="1" si="1605"/>
        <v>2112490.6572813937</v>
      </c>
      <c r="BF1634" s="2">
        <f t="shared" ca="1" si="1606"/>
        <v>2333785.4783213721</v>
      </c>
      <c r="BG1634" s="2">
        <f t="shared" ca="1" si="1607"/>
        <v>2494000.0427666851</v>
      </c>
      <c r="BH1634" s="2">
        <f t="shared" ca="1" si="1608"/>
        <v>2660415.8380714166</v>
      </c>
      <c r="BI1634" s="2">
        <f t="shared" ca="1" si="1609"/>
        <v>29872122.047454558</v>
      </c>
      <c r="BJ1634" s="2">
        <f t="shared" ca="1" si="1610"/>
        <v>0.17580641926711671</v>
      </c>
      <c r="BK1634" s="2">
        <f t="shared" ca="1" si="1611"/>
        <v>4460086.6254710481</v>
      </c>
    </row>
    <row r="1635" spans="1:63" x14ac:dyDescent="0.3">
      <c r="A1635" s="2">
        <v>1634</v>
      </c>
      <c r="B1635" s="2">
        <f t="shared" ca="1" si="1550"/>
        <v>0.19653549364369527</v>
      </c>
      <c r="C1635" s="2">
        <f t="shared" ca="1" si="1551"/>
        <v>6.6269537361619202</v>
      </c>
      <c r="D1635" s="2">
        <f t="shared" ca="1" si="1552"/>
        <v>0.60937917759534554</v>
      </c>
      <c r="E1635" s="2">
        <f t="shared" ca="1" si="1553"/>
        <v>7.6161212499390487</v>
      </c>
      <c r="F1635" s="2">
        <f t="shared" ca="1" si="1554"/>
        <v>0.2632323306413128</v>
      </c>
      <c r="G1635" s="2">
        <f t="shared" ca="1" si="1555"/>
        <v>2.099764140563214E-2</v>
      </c>
      <c r="H1635" s="2">
        <f t="shared" ca="1" si="1556"/>
        <v>2.099764140563214E-2</v>
      </c>
      <c r="I1635" s="2">
        <f t="shared" ca="1" si="1557"/>
        <v>0.14761559797242374</v>
      </c>
      <c r="J1635" s="2">
        <f t="shared" ca="1" si="1558"/>
        <v>4.7664266528582577E-3</v>
      </c>
      <c r="K1635" s="2">
        <f t="shared" ca="1" si="1559"/>
        <v>4.7664266528582577E-3</v>
      </c>
      <c r="L1635" s="2">
        <f t="shared" ca="1" si="1560"/>
        <v>0.41206657346928921</v>
      </c>
      <c r="M1635" s="2">
        <f t="shared" ca="1" si="1561"/>
        <v>-4.4446435339518791E-3</v>
      </c>
      <c r="N1635" s="2">
        <f t="shared" ca="1" si="1562"/>
        <v>-4.4446435339518791E-3</v>
      </c>
      <c r="O1635" s="2">
        <f t="shared" si="1563"/>
        <v>6000000</v>
      </c>
      <c r="P1635" s="2">
        <f t="shared" ca="1" si="1564"/>
        <v>39761722.41697152</v>
      </c>
      <c r="Q1635" s="2">
        <f t="shared" ca="1" si="1565"/>
        <v>994043.06042428804</v>
      </c>
      <c r="R1635" s="2">
        <f t="shared" ca="1" si="1566"/>
        <v>23857033.450182911</v>
      </c>
      <c r="S1635" s="2">
        <f t="shared" ca="1" si="1567"/>
        <v>15904688.966788609</v>
      </c>
      <c r="T1635" s="2">
        <f t="shared" ca="1" si="1568"/>
        <v>49777767.823302403</v>
      </c>
      <c r="U1635" s="2">
        <f t="shared" ca="1" si="1569"/>
        <v>50822983.542028919</v>
      </c>
      <c r="V1635" s="2">
        <f t="shared" ca="1" si="1570"/>
        <v>51890146.325608782</v>
      </c>
      <c r="W1635" s="2">
        <f t="shared" ca="1" si="1571"/>
        <v>52979717.01063969</v>
      </c>
      <c r="X1635" s="2">
        <f t="shared" ca="1" si="1572"/>
        <v>54092166.110200971</v>
      </c>
      <c r="Y1635" s="2">
        <f t="shared" ca="1" si="1573"/>
        <v>0.12238321332642912</v>
      </c>
      <c r="Z1635" s="2">
        <f t="shared" ca="1" si="1574"/>
        <v>0.12333649865700078</v>
      </c>
      <c r="AA1635" s="2">
        <f t="shared" ca="1" si="1575"/>
        <v>6091963.1784326779</v>
      </c>
      <c r="AB1635" s="2">
        <f t="shared" ca="1" si="1576"/>
        <v>6268328.8413762227</v>
      </c>
      <c r="AC1635" s="2">
        <f t="shared" ca="1" si="1577"/>
        <v>6399948.9626000216</v>
      </c>
      <c r="AD1635" s="2">
        <f t="shared" ca="1" si="1578"/>
        <v>6534332.7959310431</v>
      </c>
      <c r="AE1635" s="2">
        <f t="shared" ca="1" si="1579"/>
        <v>6671538.3728050645</v>
      </c>
      <c r="AF1635" s="2">
        <f t="shared" ca="1" si="1580"/>
        <v>995555.35646604805</v>
      </c>
      <c r="AG1635" s="2">
        <f t="shared" ca="1" si="1581"/>
        <v>1016459.6708405784</v>
      </c>
      <c r="AH1635" s="2">
        <f t="shared" ca="1" si="1582"/>
        <v>1037802.9265121757</v>
      </c>
      <c r="AI1635" s="2">
        <f t="shared" ca="1" si="1583"/>
        <v>1059594.3402127938</v>
      </c>
      <c r="AJ1635" s="2">
        <f t="shared" ca="1" si="1584"/>
        <v>1081843.3222040194</v>
      </c>
      <c r="AK1635" s="2">
        <f t="shared" ca="1" si="1585"/>
        <v>0</v>
      </c>
      <c r="AL1635" s="2">
        <f t="shared" ca="1" si="1586"/>
        <v>10452.157187265158</v>
      </c>
      <c r="AM1635" s="2">
        <f t="shared" ca="1" si="1587"/>
        <v>10671.627835798636</v>
      </c>
      <c r="AN1635" s="2">
        <f t="shared" ca="1" si="1588"/>
        <v>10895.706850309074</v>
      </c>
      <c r="AO1635" s="2">
        <f t="shared" ca="1" si="1589"/>
        <v>11124.490995612816</v>
      </c>
      <c r="AP1635" s="2">
        <f t="shared" ca="1" si="1590"/>
        <v>2147133.0105164619</v>
      </c>
      <c r="AQ1635" s="2">
        <f t="shared" ca="1" si="1591"/>
        <v>766811.4509770436</v>
      </c>
      <c r="AR1635" s="2">
        <f t="shared" ca="1" si="1592"/>
        <v>807231.40160498745</v>
      </c>
      <c r="AS1635" s="2">
        <f t="shared" ca="1" si="1593"/>
        <v>835903.38664855994</v>
      </c>
      <c r="AT1635" s="2">
        <f t="shared" ca="1" si="1594"/>
        <v>865177.41575246467</v>
      </c>
      <c r="AU1635" s="2">
        <f t="shared" ca="1" si="1595"/>
        <v>895066.13042199158</v>
      </c>
      <c r="AV1635" s="2">
        <f t="shared" ca="1" si="1596"/>
        <v>2182463.3604731243</v>
      </c>
      <c r="AW1635" s="2">
        <f t="shared" ca="1" si="1597"/>
        <v>2287052.6012269296</v>
      </c>
      <c r="AX1635" s="2">
        <f t="shared" ca="1" si="1598"/>
        <v>2368438.0110870255</v>
      </c>
      <c r="AY1635" s="2">
        <f t="shared" ca="1" si="1599"/>
        <v>2451532.3225990133</v>
      </c>
      <c r="AZ1635" s="2">
        <f t="shared" ca="1" si="1600"/>
        <v>2536371.4186669784</v>
      </c>
      <c r="BA1635" s="2">
        <f t="shared" ca="1" si="1601"/>
        <v>50811245.170904435</v>
      </c>
      <c r="BB1635" s="2">
        <f t="shared" ca="1" si="1602"/>
        <v>1016224.9034180887</v>
      </c>
      <c r="BC1635" s="2">
        <f t="shared" ca="1" si="1603"/>
        <v>25937986.817303434</v>
      </c>
      <c r="BD1635" s="2">
        <f t="shared" ca="1" si="1604"/>
        <v>-17398732.027212895</v>
      </c>
      <c r="BE1635" s="2">
        <f t="shared" ca="1" si="1605"/>
        <v>2182463.3604731243</v>
      </c>
      <c r="BF1635" s="2">
        <f t="shared" ca="1" si="1606"/>
        <v>2287052.6012269296</v>
      </c>
      <c r="BG1635" s="2">
        <f t="shared" ca="1" si="1607"/>
        <v>2368438.0110870255</v>
      </c>
      <c r="BH1635" s="2">
        <f t="shared" ca="1" si="1608"/>
        <v>2451532.3225990133</v>
      </c>
      <c r="BI1635" s="2">
        <f t="shared" ca="1" si="1609"/>
        <v>28474358.235970411</v>
      </c>
      <c r="BJ1635" s="2">
        <f t="shared" ca="1" si="1610"/>
        <v>0.2000727573915333</v>
      </c>
      <c r="BK1635" s="2">
        <f t="shared" ca="1" si="1611"/>
        <v>5774036.3722541481</v>
      </c>
    </row>
    <row r="1636" spans="1:63" x14ac:dyDescent="0.3">
      <c r="A1636" s="2">
        <v>1635</v>
      </c>
      <c r="B1636" s="2">
        <f t="shared" ca="1" si="1550"/>
        <v>0.83674700811093705</v>
      </c>
      <c r="C1636" s="2">
        <f t="shared" ca="1" si="1551"/>
        <v>7.4285929788862184</v>
      </c>
      <c r="D1636" s="2">
        <f t="shared" ca="1" si="1552"/>
        <v>0.39875322556539783</v>
      </c>
      <c r="E1636" s="2">
        <f t="shared" ca="1" si="1553"/>
        <v>7.3930321669071031</v>
      </c>
      <c r="F1636" s="2">
        <f t="shared" ca="1" si="1554"/>
        <v>0.75686161172616118</v>
      </c>
      <c r="G1636" s="2">
        <f t="shared" ca="1" si="1555"/>
        <v>6.0887284555538254E-2</v>
      </c>
      <c r="H1636" s="2">
        <f t="shared" ca="1" si="1556"/>
        <v>6.0887284555538254E-2</v>
      </c>
      <c r="I1636" s="2">
        <f t="shared" ca="1" si="1557"/>
        <v>0.77655222484934228</v>
      </c>
      <c r="J1636" s="2">
        <f t="shared" ca="1" si="1558"/>
        <v>1.3803003928782549E-2</v>
      </c>
      <c r="K1636" s="2">
        <f t="shared" ca="1" si="1559"/>
        <v>1.3803003928782549E-2</v>
      </c>
      <c r="L1636" s="2">
        <f t="shared" ca="1" si="1560"/>
        <v>0.8844973608826161</v>
      </c>
      <c r="M1636" s="2">
        <f t="shared" ca="1" si="1561"/>
        <v>2.3955466311953964E-2</v>
      </c>
      <c r="N1636" s="2">
        <f t="shared" ca="1" si="1562"/>
        <v>2.3955466311953964E-2</v>
      </c>
      <c r="O1636" s="2">
        <f t="shared" si="1563"/>
        <v>6000000</v>
      </c>
      <c r="P1636" s="2">
        <f t="shared" ca="1" si="1564"/>
        <v>44571557.873317309</v>
      </c>
      <c r="Q1636" s="2">
        <f t="shared" ca="1" si="1565"/>
        <v>1114288.9468329328</v>
      </c>
      <c r="R1636" s="2">
        <f t="shared" ca="1" si="1566"/>
        <v>26742934.723990384</v>
      </c>
      <c r="S1636" s="2">
        <f t="shared" ca="1" si="1567"/>
        <v>17828623.149326924</v>
      </c>
      <c r="T1636" s="2">
        <f t="shared" ca="1" si="1568"/>
        <v>51197773.315597698</v>
      </c>
      <c r="U1636" s="2">
        <f t="shared" ca="1" si="1569"/>
        <v>54315066.708074436</v>
      </c>
      <c r="V1636" s="2">
        <f t="shared" ca="1" si="1570"/>
        <v>57622163.630382001</v>
      </c>
      <c r="W1636" s="2">
        <f t="shared" ca="1" si="1571"/>
        <v>61130620.704050854</v>
      </c>
      <c r="X1636" s="2">
        <f t="shared" ca="1" si="1572"/>
        <v>64852698.20191507</v>
      </c>
      <c r="Y1636" s="2">
        <f t="shared" ca="1" si="1573"/>
        <v>0.12690150196439126</v>
      </c>
      <c r="Z1636" s="2">
        <f t="shared" ca="1" si="1574"/>
        <v>0.12966210275014778</v>
      </c>
      <c r="AA1636" s="2">
        <f t="shared" ca="1" si="1575"/>
        <v>6497074.3309817798</v>
      </c>
      <c r="AB1636" s="2">
        <f t="shared" ca="1" si="1576"/>
        <v>7042605.7603834784</v>
      </c>
      <c r="AC1636" s="2">
        <f t="shared" ca="1" si="1577"/>
        <v>7471410.9013284193</v>
      </c>
      <c r="AD1636" s="2">
        <f t="shared" ca="1" si="1578"/>
        <v>7926324.8229089528</v>
      </c>
      <c r="AE1636" s="2">
        <f t="shared" ca="1" si="1579"/>
        <v>8408937.2178810351</v>
      </c>
      <c r="AF1636" s="2">
        <f t="shared" ca="1" si="1580"/>
        <v>1023955.466311954</v>
      </c>
      <c r="AG1636" s="2">
        <f t="shared" ca="1" si="1581"/>
        <v>1086301.3341614888</v>
      </c>
      <c r="AH1636" s="2">
        <f t="shared" ca="1" si="1582"/>
        <v>1152443.2726076401</v>
      </c>
      <c r="AI1636" s="2">
        <f t="shared" ca="1" si="1583"/>
        <v>1222612.414081017</v>
      </c>
      <c r="AJ1636" s="2">
        <f t="shared" ca="1" si="1584"/>
        <v>1297053.9640383015</v>
      </c>
      <c r="AK1636" s="2">
        <f t="shared" ca="1" si="1585"/>
        <v>0</v>
      </c>
      <c r="AL1636" s="2">
        <f t="shared" ca="1" si="1586"/>
        <v>31172.933924767374</v>
      </c>
      <c r="AM1636" s="2">
        <f t="shared" ca="1" si="1587"/>
        <v>33070.969223075655</v>
      </c>
      <c r="AN1636" s="2">
        <f t="shared" ca="1" si="1588"/>
        <v>35084.570736688525</v>
      </c>
      <c r="AO1636" s="2">
        <f t="shared" ca="1" si="1589"/>
        <v>37220.77497864217</v>
      </c>
      <c r="AP1636" s="2">
        <f t="shared" ca="1" si="1590"/>
        <v>2406864.1251591346</v>
      </c>
      <c r="AQ1636" s="2">
        <f t="shared" ca="1" si="1591"/>
        <v>797226.2322727798</v>
      </c>
      <c r="AR1636" s="2">
        <f t="shared" ca="1" si="1592"/>
        <v>922854.47827634215</v>
      </c>
      <c r="AS1636" s="2">
        <f t="shared" ca="1" si="1593"/>
        <v>1017146.9109260276</v>
      </c>
      <c r="AT1636" s="2">
        <f t="shared" ca="1" si="1594"/>
        <v>1117180.5537538882</v>
      </c>
      <c r="AU1636" s="2">
        <f t="shared" ca="1" si="1595"/>
        <v>1223304.9734577357</v>
      </c>
      <c r="AV1636" s="2">
        <f t="shared" ca="1" si="1596"/>
        <v>2269028.5072379117</v>
      </c>
      <c r="AW1636" s="2">
        <f t="shared" ca="1" si="1597"/>
        <v>2595412.8888617451</v>
      </c>
      <c r="AX1636" s="2">
        <f t="shared" ca="1" si="1598"/>
        <v>2861885.6234125416</v>
      </c>
      <c r="AY1636" s="2">
        <f t="shared" ca="1" si="1599"/>
        <v>3144583.1591782249</v>
      </c>
      <c r="AZ1636" s="2">
        <f t="shared" ca="1" si="1600"/>
        <v>3444493.3802472209</v>
      </c>
      <c r="BA1636" s="2">
        <f t="shared" ca="1" si="1601"/>
        <v>62167543.341296814</v>
      </c>
      <c r="BB1636" s="2">
        <f t="shared" ca="1" si="1602"/>
        <v>1243350.8668259364</v>
      </c>
      <c r="BC1636" s="2">
        <f t="shared" ca="1" si="1603"/>
        <v>34181257.750480488</v>
      </c>
      <c r="BD1636" s="2">
        <f t="shared" ca="1" si="1604"/>
        <v>-19442912.096159857</v>
      </c>
      <c r="BE1636" s="2">
        <f t="shared" ca="1" si="1605"/>
        <v>2269028.5072379117</v>
      </c>
      <c r="BF1636" s="2">
        <f t="shared" ca="1" si="1606"/>
        <v>2595412.8888617451</v>
      </c>
      <c r="BG1636" s="2">
        <f t="shared" ca="1" si="1607"/>
        <v>2861885.6234125416</v>
      </c>
      <c r="BH1636" s="2">
        <f t="shared" ca="1" si="1608"/>
        <v>3144583.1591782249</v>
      </c>
      <c r="BI1636" s="2">
        <f t="shared" ca="1" si="1609"/>
        <v>37625751.130727708</v>
      </c>
      <c r="BJ1636" s="2">
        <f t="shared" ca="1" si="1610"/>
        <v>0.23597322631894024</v>
      </c>
      <c r="BK1636" s="2">
        <f t="shared" ca="1" si="1611"/>
        <v>10037388.241702288</v>
      </c>
    </row>
    <row r="1637" spans="1:63" x14ac:dyDescent="0.3">
      <c r="A1637" s="2">
        <v>1636</v>
      </c>
      <c r="B1637" s="2">
        <f t="shared" ca="1" si="1550"/>
        <v>0.55447112509346497</v>
      </c>
      <c r="C1637" s="2">
        <f t="shared" ca="1" si="1551"/>
        <v>7.0560414469834649</v>
      </c>
      <c r="D1637" s="2">
        <f t="shared" ca="1" si="1552"/>
        <v>0.38848289949557757</v>
      </c>
      <c r="E1637" s="2">
        <f t="shared" ca="1" si="1553"/>
        <v>7.3814566347762973</v>
      </c>
      <c r="F1637" s="2">
        <f t="shared" ca="1" si="1554"/>
        <v>0.59107675455210107</v>
      </c>
      <c r="G1637" s="2">
        <f t="shared" ca="1" si="1555"/>
        <v>4.6909469871878863E-2</v>
      </c>
      <c r="H1637" s="2">
        <f t="shared" ca="1" si="1556"/>
        <v>4.6909469871878863E-2</v>
      </c>
      <c r="I1637" s="2">
        <f t="shared" ca="1" si="1557"/>
        <v>0.5444351946570436</v>
      </c>
      <c r="J1637" s="2">
        <f t="shared" ca="1" si="1558"/>
        <v>1.0558069119135531E-2</v>
      </c>
      <c r="K1637" s="2">
        <f t="shared" ca="1" si="1559"/>
        <v>1.0558069119135531E-2</v>
      </c>
      <c r="L1637" s="2">
        <f t="shared" ca="1" si="1560"/>
        <v>0.14743956248126033</v>
      </c>
      <c r="M1637" s="2">
        <f t="shared" ca="1" si="1561"/>
        <v>-2.0949562112928505E-2</v>
      </c>
      <c r="N1637" s="2">
        <f t="shared" ca="1" si="1562"/>
        <v>-2.0949562112928505E-2</v>
      </c>
      <c r="O1637" s="2">
        <f t="shared" si="1563"/>
        <v>6000000</v>
      </c>
      <c r="P1637" s="2">
        <f t="shared" ca="1" si="1564"/>
        <v>42336248.681900792</v>
      </c>
      <c r="Q1637" s="2">
        <f t="shared" ca="1" si="1565"/>
        <v>1058406.2170475197</v>
      </c>
      <c r="R1637" s="2">
        <f t="shared" ca="1" si="1566"/>
        <v>25401749.209140476</v>
      </c>
      <c r="S1637" s="2">
        <f t="shared" ca="1" si="1567"/>
        <v>16934499.472760316</v>
      </c>
      <c r="T1637" s="2">
        <f t="shared" ca="1" si="1568"/>
        <v>48952521.894353576</v>
      </c>
      <c r="U1637" s="2">
        <f t="shared" ca="1" si="1569"/>
        <v>51248858.745309241</v>
      </c>
      <c r="V1637" s="2">
        <f t="shared" ca="1" si="1570"/>
        <v>53652915.540590502</v>
      </c>
      <c r="W1637" s="2">
        <f t="shared" ca="1" si="1571"/>
        <v>56169745.365680292</v>
      </c>
      <c r="X1637" s="2">
        <f t="shared" ca="1" si="1572"/>
        <v>58804638.343622774</v>
      </c>
      <c r="Y1637" s="2">
        <f t="shared" ca="1" si="1573"/>
        <v>0.12527903455956776</v>
      </c>
      <c r="Z1637" s="2">
        <f t="shared" ca="1" si="1574"/>
        <v>0.12739064838339487</v>
      </c>
      <c r="AA1637" s="2">
        <f t="shared" ca="1" si="1575"/>
        <v>6132724.6821807195</v>
      </c>
      <c r="AB1637" s="2">
        <f t="shared" ca="1" si="1576"/>
        <v>6528625.3444739608</v>
      </c>
      <c r="AC1637" s="2">
        <f t="shared" ca="1" si="1577"/>
        <v>6834879.6983753471</v>
      </c>
      <c r="AD1637" s="2">
        <f t="shared" ca="1" si="1578"/>
        <v>7155500.2816642011</v>
      </c>
      <c r="AE1637" s="2">
        <f t="shared" ca="1" si="1579"/>
        <v>7491161.0065451479</v>
      </c>
      <c r="AF1637" s="2">
        <f t="shared" ca="1" si="1580"/>
        <v>979050.43788707152</v>
      </c>
      <c r="AG1637" s="2">
        <f t="shared" ca="1" si="1581"/>
        <v>1024977.1749061849</v>
      </c>
      <c r="AH1637" s="2">
        <f t="shared" ca="1" si="1582"/>
        <v>1073058.31081181</v>
      </c>
      <c r="AI1637" s="2">
        <f t="shared" ca="1" si="1583"/>
        <v>1123394.9073136058</v>
      </c>
      <c r="AJ1637" s="2">
        <f t="shared" ca="1" si="1584"/>
        <v>1176092.7668724556</v>
      </c>
      <c r="AK1637" s="2">
        <f t="shared" ca="1" si="1585"/>
        <v>0</v>
      </c>
      <c r="AL1637" s="2">
        <f t="shared" ca="1" si="1586"/>
        <v>22963.368509556651</v>
      </c>
      <c r="AM1637" s="2">
        <f t="shared" ca="1" si="1587"/>
        <v>24040.567952812613</v>
      </c>
      <c r="AN1637" s="2">
        <f t="shared" ca="1" si="1588"/>
        <v>25168.2982508979</v>
      </c>
      <c r="AO1637" s="2">
        <f t="shared" ca="1" si="1589"/>
        <v>26348.929779424816</v>
      </c>
      <c r="AP1637" s="2">
        <f t="shared" ca="1" si="1590"/>
        <v>2286157.4288226427</v>
      </c>
      <c r="AQ1637" s="2">
        <f t="shared" ca="1" si="1591"/>
        <v>745554.37202246138</v>
      </c>
      <c r="AR1637" s="2">
        <f t="shared" ca="1" si="1592"/>
        <v>836547.59259373462</v>
      </c>
      <c r="AS1637" s="2">
        <f t="shared" ca="1" si="1593"/>
        <v>903672.62927263253</v>
      </c>
      <c r="AT1637" s="2">
        <f t="shared" ca="1" si="1594"/>
        <v>973946.46583726769</v>
      </c>
      <c r="AU1637" s="2">
        <f t="shared" ca="1" si="1595"/>
        <v>1047516.8108210129</v>
      </c>
      <c r="AV1637" s="2">
        <f t="shared" ca="1" si="1596"/>
        <v>2121962.443448544</v>
      </c>
      <c r="AW1637" s="2">
        <f t="shared" ca="1" si="1597"/>
        <v>2357979.779641842</v>
      </c>
      <c r="AX1637" s="2">
        <f t="shared" ca="1" si="1598"/>
        <v>2547950.7615154493</v>
      </c>
      <c r="AY1637" s="2">
        <f t="shared" ca="1" si="1599"/>
        <v>2746833.1814397867</v>
      </c>
      <c r="AZ1637" s="2">
        <f t="shared" ca="1" si="1600"/>
        <v>2955045.070249612</v>
      </c>
      <c r="BA1637" s="2">
        <f t="shared" ca="1" si="1601"/>
        <v>55295680.113940164</v>
      </c>
      <c r="BB1637" s="2">
        <f t="shared" ca="1" si="1602"/>
        <v>1105913.6022788032</v>
      </c>
      <c r="BC1637" s="2">
        <f t="shared" ca="1" si="1603"/>
        <v>28788017.302520886</v>
      </c>
      <c r="BD1637" s="2">
        <f t="shared" ca="1" si="1604"/>
        <v>-18492905.689807836</v>
      </c>
      <c r="BE1637" s="2">
        <f t="shared" ca="1" si="1605"/>
        <v>2121962.443448544</v>
      </c>
      <c r="BF1637" s="2">
        <f t="shared" ca="1" si="1606"/>
        <v>2357979.779641842</v>
      </c>
      <c r="BG1637" s="2">
        <f t="shared" ca="1" si="1607"/>
        <v>2547950.7615154493</v>
      </c>
      <c r="BH1637" s="2">
        <f t="shared" ca="1" si="1608"/>
        <v>2746833.1814397867</v>
      </c>
      <c r="BI1637" s="2">
        <f t="shared" ca="1" si="1609"/>
        <v>31743062.372770499</v>
      </c>
      <c r="BJ1637" s="2">
        <f t="shared" ca="1" si="1610"/>
        <v>0.20728541149670243</v>
      </c>
      <c r="BK1637" s="2">
        <f t="shared" ca="1" si="1611"/>
        <v>6852579.9210949913</v>
      </c>
    </row>
    <row r="1638" spans="1:63" x14ac:dyDescent="0.3">
      <c r="A1638" s="2">
        <v>1637</v>
      </c>
      <c r="B1638" s="2">
        <f t="shared" ca="1" si="1550"/>
        <v>0.82330661858451293</v>
      </c>
      <c r="C1638" s="2">
        <f t="shared" ca="1" si="1551"/>
        <v>7.4055365756995855</v>
      </c>
      <c r="D1638" s="2">
        <f t="shared" ca="1" si="1552"/>
        <v>0.66478443831402934</v>
      </c>
      <c r="E1638" s="2">
        <f t="shared" ca="1" si="1553"/>
        <v>7.6812014146495233</v>
      </c>
      <c r="F1638" s="2">
        <f t="shared" ca="1" si="1554"/>
        <v>0.83791023134172093</v>
      </c>
      <c r="G1638" s="2">
        <f t="shared" ca="1" si="1555"/>
        <v>6.957716196683443E-2</v>
      </c>
      <c r="H1638" s="2">
        <f t="shared" ca="1" si="1556"/>
        <v>6.957716196683443E-2</v>
      </c>
      <c r="I1638" s="2">
        <f t="shared" ca="1" si="1557"/>
        <v>9.2858867251655042E-4</v>
      </c>
      <c r="J1638" s="2">
        <f t="shared" ca="1" si="1558"/>
        <v>-5.5608482890081787E-3</v>
      </c>
      <c r="K1638" s="2">
        <f t="shared" ca="1" si="1559"/>
        <v>0</v>
      </c>
      <c r="L1638" s="2">
        <f t="shared" ca="1" si="1560"/>
        <v>0.99790737677831709</v>
      </c>
      <c r="M1638" s="2">
        <f t="shared" ca="1" si="1561"/>
        <v>5.7277022837127066E-2</v>
      </c>
      <c r="N1638" s="2">
        <f t="shared" ca="1" si="1562"/>
        <v>0.05</v>
      </c>
      <c r="O1638" s="2">
        <f t="shared" si="1563"/>
        <v>6000000</v>
      </c>
      <c r="P1638" s="2">
        <f t="shared" ca="1" si="1564"/>
        <v>44433219.454197511</v>
      </c>
      <c r="Q1638" s="2">
        <f t="shared" ca="1" si="1565"/>
        <v>1110830.4863549378</v>
      </c>
      <c r="R1638" s="2">
        <f t="shared" ca="1" si="1566"/>
        <v>26659931.672518507</v>
      </c>
      <c r="S1638" s="2">
        <f t="shared" ca="1" si="1567"/>
        <v>17773287.781679004</v>
      </c>
      <c r="T1638" s="2">
        <f t="shared" ca="1" si="1568"/>
        <v>52500000</v>
      </c>
      <c r="U1638" s="2">
        <f t="shared" ca="1" si="1569"/>
        <v>56152801.003258802</v>
      </c>
      <c r="V1638" s="2">
        <f t="shared" ca="1" si="1570"/>
        <v>60059753.533553958</v>
      </c>
      <c r="W1638" s="2">
        <f t="shared" ca="1" si="1571"/>
        <v>64238540.732846193</v>
      </c>
      <c r="X1638" s="2">
        <f t="shared" ca="1" si="1572"/>
        <v>68708076.085928515</v>
      </c>
      <c r="Y1638" s="2">
        <f t="shared" ca="1" si="1573"/>
        <v>0.12</v>
      </c>
      <c r="Z1638" s="2">
        <f t="shared" ca="1" si="1574"/>
        <v>0.12</v>
      </c>
      <c r="AA1638" s="2">
        <f t="shared" ca="1" si="1575"/>
        <v>6300000</v>
      </c>
      <c r="AB1638" s="2">
        <f t="shared" ca="1" si="1576"/>
        <v>6738336.1203910559</v>
      </c>
      <c r="AC1638" s="2">
        <f t="shared" ca="1" si="1577"/>
        <v>7207170.4240264744</v>
      </c>
      <c r="AD1638" s="2">
        <f t="shared" ca="1" si="1578"/>
        <v>7708624.887941543</v>
      </c>
      <c r="AE1638" s="2">
        <f t="shared" ca="1" si="1579"/>
        <v>8244969.1303114211</v>
      </c>
      <c r="AF1638" s="2">
        <f t="shared" ca="1" si="1580"/>
        <v>1050000</v>
      </c>
      <c r="AG1638" s="2">
        <f t="shared" ca="1" si="1581"/>
        <v>1123056.0200651761</v>
      </c>
      <c r="AH1638" s="2">
        <f t="shared" ca="1" si="1582"/>
        <v>1201195.0706710792</v>
      </c>
      <c r="AI1638" s="2">
        <f t="shared" ca="1" si="1583"/>
        <v>1284770.814656924</v>
      </c>
      <c r="AJ1638" s="2">
        <f t="shared" ca="1" si="1584"/>
        <v>1374161.5217185703</v>
      </c>
      <c r="AK1638" s="2">
        <f t="shared" ca="1" si="1585"/>
        <v>0</v>
      </c>
      <c r="AL1638" s="2">
        <f t="shared" ca="1" si="1586"/>
        <v>36528.010032588019</v>
      </c>
      <c r="AM1638" s="2">
        <f t="shared" ca="1" si="1587"/>
        <v>39069.525302951559</v>
      </c>
      <c r="AN1638" s="2">
        <f t="shared" ca="1" si="1588"/>
        <v>41787.871992922352</v>
      </c>
      <c r="AO1638" s="2">
        <f t="shared" ca="1" si="1589"/>
        <v>44695.353530823217</v>
      </c>
      <c r="AP1638" s="2">
        <f t="shared" ca="1" si="1590"/>
        <v>2399393.8505266653</v>
      </c>
      <c r="AQ1638" s="2">
        <f t="shared" ca="1" si="1591"/>
        <v>741157.59886306699</v>
      </c>
      <c r="AR1638" s="2">
        <f t="shared" ca="1" si="1592"/>
        <v>836130.42494779569</v>
      </c>
      <c r="AS1638" s="2">
        <f t="shared" ca="1" si="1593"/>
        <v>937711.19073546969</v>
      </c>
      <c r="AT1638" s="2">
        <f t="shared" ca="1" si="1594"/>
        <v>1046359.6579170679</v>
      </c>
      <c r="AU1638" s="2">
        <f t="shared" ca="1" si="1595"/>
        <v>1162567.5770972082</v>
      </c>
      <c r="AV1638" s="2">
        <f t="shared" ca="1" si="1596"/>
        <v>2109448.5506102676</v>
      </c>
      <c r="AW1638" s="2">
        <f t="shared" ca="1" si="1597"/>
        <v>2343227.8148188312</v>
      </c>
      <c r="AX1638" s="2">
        <f t="shared" ca="1" si="1598"/>
        <v>2629800.7867903085</v>
      </c>
      <c r="AY1638" s="2">
        <f t="shared" ca="1" si="1599"/>
        <v>2936312.6928479625</v>
      </c>
      <c r="AZ1638" s="2">
        <f t="shared" ca="1" si="1600"/>
        <v>3264150.8274381543</v>
      </c>
      <c r="BA1638" s="2">
        <f t="shared" ca="1" si="1601"/>
        <v>63331268.54748974</v>
      </c>
      <c r="BB1638" s="2">
        <f t="shared" ca="1" si="1602"/>
        <v>1266625.3709497948</v>
      </c>
      <c r="BC1638" s="2">
        <f t="shared" ca="1" si="1603"/>
        <v>35404711.504021436</v>
      </c>
      <c r="BD1638" s="2">
        <f t="shared" ca="1" si="1604"/>
        <v>-19384118.268033944</v>
      </c>
      <c r="BE1638" s="2">
        <f t="shared" ca="1" si="1605"/>
        <v>2109448.5506102676</v>
      </c>
      <c r="BF1638" s="2">
        <f t="shared" ca="1" si="1606"/>
        <v>2343227.8148188312</v>
      </c>
      <c r="BG1638" s="2">
        <f t="shared" ca="1" si="1607"/>
        <v>2629800.7867903085</v>
      </c>
      <c r="BH1638" s="2">
        <f t="shared" ca="1" si="1608"/>
        <v>2936312.6928479625</v>
      </c>
      <c r="BI1638" s="2">
        <f t="shared" ca="1" si="1609"/>
        <v>38668862.331459589</v>
      </c>
      <c r="BJ1638" s="2">
        <f t="shared" ca="1" si="1610"/>
        <v>0.23466638485891167</v>
      </c>
      <c r="BK1638" s="2">
        <f t="shared" ca="1" si="1611"/>
        <v>10046995.828380365</v>
      </c>
    </row>
    <row r="1639" spans="1:63" x14ac:dyDescent="0.3">
      <c r="A1639" s="2">
        <v>1638</v>
      </c>
      <c r="B1639" s="2">
        <f t="shared" ca="1" si="1550"/>
        <v>0.57875137577388835</v>
      </c>
      <c r="C1639" s="2">
        <f t="shared" ca="1" si="1551"/>
        <v>7.082123511330515</v>
      </c>
      <c r="D1639" s="2">
        <f t="shared" ca="1" si="1552"/>
        <v>0.68889871670496727</v>
      </c>
      <c r="E1639" s="2">
        <f t="shared" ca="1" si="1553"/>
        <v>7.7112018213826392</v>
      </c>
      <c r="F1639" s="2">
        <f t="shared" ca="1" si="1554"/>
        <v>0.27794239075531335</v>
      </c>
      <c r="G1639" s="2">
        <f t="shared" ca="1" si="1555"/>
        <v>2.2331051292382345E-2</v>
      </c>
      <c r="H1639" s="2">
        <f t="shared" ca="1" si="1556"/>
        <v>2.2331051292382345E-2</v>
      </c>
      <c r="I1639" s="2">
        <f t="shared" ca="1" si="1557"/>
        <v>0.32967639479132327</v>
      </c>
      <c r="J1639" s="2">
        <f t="shared" ca="1" si="1558"/>
        <v>7.7959654429546957E-3</v>
      </c>
      <c r="K1639" s="2">
        <f t="shared" ca="1" si="1559"/>
        <v>7.7959654429546957E-3</v>
      </c>
      <c r="L1639" s="2">
        <f t="shared" ca="1" si="1560"/>
        <v>0.5820293590024237</v>
      </c>
      <c r="M1639" s="2">
        <f t="shared" ca="1" si="1561"/>
        <v>4.1417561991499621E-3</v>
      </c>
      <c r="N1639" s="2">
        <f t="shared" ca="1" si="1562"/>
        <v>4.1417561991499621E-3</v>
      </c>
      <c r="O1639" s="2">
        <f t="shared" si="1563"/>
        <v>6000000</v>
      </c>
      <c r="P1639" s="2">
        <f t="shared" ca="1" si="1564"/>
        <v>42492741.067983091</v>
      </c>
      <c r="Q1639" s="2">
        <f t="shared" ca="1" si="1565"/>
        <v>1062318.5266995772</v>
      </c>
      <c r="R1639" s="2">
        <f t="shared" ca="1" si="1566"/>
        <v>25495644.640789855</v>
      </c>
      <c r="S1639" s="2">
        <f t="shared" ca="1" si="1567"/>
        <v>16997096.427193236</v>
      </c>
      <c r="T1639" s="2">
        <f t="shared" ca="1" si="1568"/>
        <v>50207087.809957497</v>
      </c>
      <c r="U1639" s="2">
        <f t="shared" ca="1" si="1569"/>
        <v>51328264.863082804</v>
      </c>
      <c r="V1639" s="2">
        <f t="shared" ca="1" si="1570"/>
        <v>52474478.978489295</v>
      </c>
      <c r="W1639" s="2">
        <f t="shared" ca="1" si="1571"/>
        <v>53646289.260098986</v>
      </c>
      <c r="X1639" s="2">
        <f t="shared" ca="1" si="1572"/>
        <v>54844267.297212243</v>
      </c>
      <c r="Y1639" s="2">
        <f t="shared" ca="1" si="1573"/>
        <v>0.12389798272147734</v>
      </c>
      <c r="Z1639" s="2">
        <f t="shared" ca="1" si="1574"/>
        <v>0.12545717581006829</v>
      </c>
      <c r="AA1639" s="2">
        <f t="shared" ca="1" si="1575"/>
        <v>6220556.8979738094</v>
      </c>
      <c r="AB1639" s="2">
        <f t="shared" ca="1" si="1576"/>
        <v>6439499.14895353</v>
      </c>
      <c r="AC1639" s="2">
        <f t="shared" ca="1" si="1577"/>
        <v>6583299.9347460642</v>
      </c>
      <c r="AD1639" s="2">
        <f t="shared" ca="1" si="1578"/>
        <v>6730311.9432620173</v>
      </c>
      <c r="AE1639" s="2">
        <f t="shared" ca="1" si="1579"/>
        <v>6880606.8844807353</v>
      </c>
      <c r="AF1639" s="2">
        <f t="shared" ca="1" si="1580"/>
        <v>1004141.75619915</v>
      </c>
      <c r="AG1639" s="2">
        <f t="shared" ca="1" si="1581"/>
        <v>1026565.2972616561</v>
      </c>
      <c r="AH1639" s="2">
        <f t="shared" ca="1" si="1582"/>
        <v>1049489.5795697859</v>
      </c>
      <c r="AI1639" s="2">
        <f t="shared" ca="1" si="1583"/>
        <v>1072925.7852019798</v>
      </c>
      <c r="AJ1639" s="2">
        <f t="shared" ca="1" si="1584"/>
        <v>1096885.3459442449</v>
      </c>
      <c r="AK1639" s="2">
        <f t="shared" ca="1" si="1585"/>
        <v>0</v>
      </c>
      <c r="AL1639" s="2">
        <f t="shared" ca="1" si="1586"/>
        <v>11211.770531253071</v>
      </c>
      <c r="AM1639" s="2">
        <f t="shared" ca="1" si="1587"/>
        <v>11462.14115406491</v>
      </c>
      <c r="AN1639" s="2">
        <f t="shared" ca="1" si="1588"/>
        <v>11718.102816096916</v>
      </c>
      <c r="AO1639" s="2">
        <f t="shared" ca="1" si="1589"/>
        <v>11979.780371132567</v>
      </c>
      <c r="AP1639" s="2">
        <f t="shared" ca="1" si="1590"/>
        <v>2294608.0176710868</v>
      </c>
      <c r="AQ1639" s="2">
        <f t="shared" ca="1" si="1591"/>
        <v>759669.85226692876</v>
      </c>
      <c r="AR1639" s="2">
        <f t="shared" ca="1" si="1592"/>
        <v>810764.71684540459</v>
      </c>
      <c r="AS1639" s="2">
        <f t="shared" ca="1" si="1593"/>
        <v>842192.6077513498</v>
      </c>
      <c r="AT1639" s="2">
        <f t="shared" ca="1" si="1594"/>
        <v>874322.31650112721</v>
      </c>
      <c r="AU1639" s="2">
        <f t="shared" ca="1" si="1595"/>
        <v>907169.51542500511</v>
      </c>
      <c r="AV1639" s="2">
        <f t="shared" ca="1" si="1596"/>
        <v>2162137.2718366431</v>
      </c>
      <c r="AW1639" s="2">
        <f t="shared" ca="1" si="1597"/>
        <v>2296349.3466441296</v>
      </c>
      <c r="AX1639" s="2">
        <f t="shared" ca="1" si="1598"/>
        <v>2385547.5885997768</v>
      </c>
      <c r="AY1639" s="2">
        <f t="shared" ca="1" si="1599"/>
        <v>2476737.7210717266</v>
      </c>
      <c r="AZ1639" s="2">
        <f t="shared" ca="1" si="1600"/>
        <v>2569964.2250692667</v>
      </c>
      <c r="BA1639" s="2">
        <f t="shared" ca="1" si="1601"/>
        <v>53057748.339825772</v>
      </c>
      <c r="BB1639" s="2">
        <f t="shared" ca="1" si="1602"/>
        <v>1061154.9667965155</v>
      </c>
      <c r="BC1639" s="2">
        <f t="shared" ca="1" si="1603"/>
        <v>26500948.732239403</v>
      </c>
      <c r="BD1639" s="2">
        <f t="shared" ca="1" si="1604"/>
        <v>-18559414.953892812</v>
      </c>
      <c r="BE1639" s="2">
        <f t="shared" ca="1" si="1605"/>
        <v>2162137.2718366431</v>
      </c>
      <c r="BF1639" s="2">
        <f t="shared" ca="1" si="1606"/>
        <v>2296349.3466441296</v>
      </c>
      <c r="BG1639" s="2">
        <f t="shared" ca="1" si="1607"/>
        <v>2385547.5885997768</v>
      </c>
      <c r="BH1639" s="2">
        <f t="shared" ca="1" si="1608"/>
        <v>2476737.7210717266</v>
      </c>
      <c r="BI1639" s="2">
        <f t="shared" ca="1" si="1609"/>
        <v>29070912.957308669</v>
      </c>
      <c r="BJ1639" s="2">
        <f t="shared" ca="1" si="1610"/>
        <v>0.18548748852685293</v>
      </c>
      <c r="BK1639" s="2">
        <f t="shared" ca="1" si="1611"/>
        <v>4969314.3761944138</v>
      </c>
    </row>
    <row r="1640" spans="1:63" x14ac:dyDescent="0.3">
      <c r="A1640" s="2">
        <v>1639</v>
      </c>
      <c r="B1640" s="2">
        <f t="shared" ca="1" si="1550"/>
        <v>0.26930463240745239</v>
      </c>
      <c r="C1640" s="2">
        <f t="shared" ca="1" si="1551"/>
        <v>6.7339000373449407</v>
      </c>
      <c r="D1640" s="2">
        <f t="shared" ca="1" si="1552"/>
        <v>0.49781977662609433</v>
      </c>
      <c r="E1640" s="2">
        <f t="shared" ca="1" si="1553"/>
        <v>7.4978173947432412</v>
      </c>
      <c r="F1640" s="2">
        <f t="shared" ca="1" si="1554"/>
        <v>0.74939337373196158</v>
      </c>
      <c r="G1640" s="2">
        <f t="shared" ca="1" si="1555"/>
        <v>6.0177460178297976E-2</v>
      </c>
      <c r="H1640" s="2">
        <f t="shared" ca="1" si="1556"/>
        <v>6.0177460178297976E-2</v>
      </c>
      <c r="I1640" s="2">
        <f t="shared" ca="1" si="1557"/>
        <v>0.79761566116735838</v>
      </c>
      <c r="J1640" s="2">
        <f t="shared" ca="1" si="1558"/>
        <v>1.4165674277790741E-2</v>
      </c>
      <c r="K1640" s="2">
        <f t="shared" ca="1" si="1559"/>
        <v>1.4165674277790741E-2</v>
      </c>
      <c r="L1640" s="2">
        <f t="shared" ca="1" si="1560"/>
        <v>0.95729021822623661</v>
      </c>
      <c r="M1640" s="2">
        <f t="shared" ca="1" si="1561"/>
        <v>3.4401417014843817E-2</v>
      </c>
      <c r="N1640" s="2">
        <f t="shared" ca="1" si="1562"/>
        <v>3.4401417014843817E-2</v>
      </c>
      <c r="O1640" s="2">
        <f t="shared" si="1563"/>
        <v>6000000</v>
      </c>
      <c r="P1640" s="2">
        <f t="shared" ca="1" si="1564"/>
        <v>40403400.224069647</v>
      </c>
      <c r="Q1640" s="2">
        <f t="shared" ca="1" si="1565"/>
        <v>1010085.0056017413</v>
      </c>
      <c r="R1640" s="2">
        <f t="shared" ca="1" si="1566"/>
        <v>24242040.134441789</v>
      </c>
      <c r="S1640" s="2">
        <f t="shared" ca="1" si="1567"/>
        <v>16161360.08962786</v>
      </c>
      <c r="T1640" s="2">
        <f t="shared" ca="1" si="1568"/>
        <v>51720070.850742191</v>
      </c>
      <c r="U1640" s="2">
        <f t="shared" ca="1" si="1569"/>
        <v>54832453.354781486</v>
      </c>
      <c r="V1640" s="2">
        <f t="shared" ca="1" si="1570"/>
        <v>58132131.133017235</v>
      </c>
      <c r="W1640" s="2">
        <f t="shared" ca="1" si="1571"/>
        <v>61630375.139353983</v>
      </c>
      <c r="X1640" s="2">
        <f t="shared" ca="1" si="1572"/>
        <v>65339134.585076027</v>
      </c>
      <c r="Y1640" s="2">
        <f t="shared" ca="1" si="1573"/>
        <v>0.12708283713889537</v>
      </c>
      <c r="Z1640" s="2">
        <f t="shared" ca="1" si="1574"/>
        <v>0.12991597199445351</v>
      </c>
      <c r="AA1640" s="2">
        <f t="shared" ca="1" si="1575"/>
        <v>6572733.3407370001</v>
      </c>
      <c r="AB1640" s="2">
        <f t="shared" ca="1" si="1576"/>
        <v>7123611.4744269699</v>
      </c>
      <c r="AC1640" s="2">
        <f t="shared" ca="1" si="1577"/>
        <v>7552292.3202549657</v>
      </c>
      <c r="AD1640" s="2">
        <f t="shared" ca="1" si="1578"/>
        <v>8006770.0906119756</v>
      </c>
      <c r="AE1640" s="2">
        <f t="shared" ca="1" si="1579"/>
        <v>8488597.178896565</v>
      </c>
      <c r="AF1640" s="2">
        <f t="shared" ca="1" si="1580"/>
        <v>1034401.4170148439</v>
      </c>
      <c r="AG1640" s="2">
        <f t="shared" ca="1" si="1581"/>
        <v>1096649.0670956296</v>
      </c>
      <c r="AH1640" s="2">
        <f t="shared" ca="1" si="1582"/>
        <v>1162642.6226603447</v>
      </c>
      <c r="AI1640" s="2">
        <f t="shared" ca="1" si="1583"/>
        <v>1232607.5027870797</v>
      </c>
      <c r="AJ1640" s="2">
        <f t="shared" ca="1" si="1584"/>
        <v>1306782.6917015205</v>
      </c>
      <c r="AK1640" s="2">
        <f t="shared" ca="1" si="1585"/>
        <v>0</v>
      </c>
      <c r="AL1640" s="2">
        <f t="shared" ca="1" si="1586"/>
        <v>31123.825040392952</v>
      </c>
      <c r="AM1640" s="2">
        <f t="shared" ca="1" si="1587"/>
        <v>32996.777782357487</v>
      </c>
      <c r="AN1640" s="2">
        <f t="shared" ca="1" si="1588"/>
        <v>34982.440063367489</v>
      </c>
      <c r="AO1640" s="2">
        <f t="shared" ca="1" si="1589"/>
        <v>37087.594457220439</v>
      </c>
      <c r="AP1640" s="2">
        <f t="shared" ca="1" si="1590"/>
        <v>2181783.6120997611</v>
      </c>
      <c r="AQ1640" s="2">
        <f t="shared" ca="1" si="1591"/>
        <v>872702.56102182274</v>
      </c>
      <c r="AR1640" s="2">
        <f t="shared" ca="1" si="1592"/>
        <v>999746.4867602106</v>
      </c>
      <c r="AS1640" s="2">
        <f t="shared" ca="1" si="1593"/>
        <v>1094045.1822286637</v>
      </c>
      <c r="AT1640" s="2">
        <f t="shared" ca="1" si="1594"/>
        <v>1194018.533688535</v>
      </c>
      <c r="AU1640" s="2">
        <f t="shared" ca="1" si="1595"/>
        <v>1300008.0275247737</v>
      </c>
      <c r="AV1640" s="2">
        <f t="shared" ca="1" si="1596"/>
        <v>2483845.7506005727</v>
      </c>
      <c r="AW1640" s="2">
        <f t="shared" ca="1" si="1597"/>
        <v>2814308.483430976</v>
      </c>
      <c r="AX1640" s="2">
        <f t="shared" ca="1" si="1598"/>
        <v>3080824.1254838388</v>
      </c>
      <c r="AY1640" s="2">
        <f t="shared" ca="1" si="1599"/>
        <v>3363378.0019732323</v>
      </c>
      <c r="AZ1640" s="2">
        <f t="shared" ca="1" si="1600"/>
        <v>3662935.2531132894</v>
      </c>
      <c r="BA1640" s="2">
        <f t="shared" ca="1" si="1601"/>
        <v>63645951.584899068</v>
      </c>
      <c r="BB1640" s="2">
        <f t="shared" ca="1" si="1602"/>
        <v>1272919.0316979813</v>
      </c>
      <c r="BC1640" s="2">
        <f t="shared" ca="1" si="1603"/>
        <v>38130992.418759294</v>
      </c>
      <c r="BD1640" s="2">
        <f t="shared" ca="1" si="1604"/>
        <v>-17671445.0952296</v>
      </c>
      <c r="BE1640" s="2">
        <f t="shared" ca="1" si="1605"/>
        <v>2483845.7506005727</v>
      </c>
      <c r="BF1640" s="2">
        <f t="shared" ca="1" si="1606"/>
        <v>2814308.483430976</v>
      </c>
      <c r="BG1640" s="2">
        <f t="shared" ca="1" si="1607"/>
        <v>3080824.1254838388</v>
      </c>
      <c r="BH1640" s="2">
        <f t="shared" ca="1" si="1608"/>
        <v>3363378.0019732323</v>
      </c>
      <c r="BI1640" s="2">
        <f t="shared" ca="1" si="1609"/>
        <v>41793927.671872586</v>
      </c>
      <c r="BJ1640" s="2">
        <f t="shared" ca="1" si="1610"/>
        <v>0.29526284695882832</v>
      </c>
      <c r="BK1640" s="2">
        <f t="shared" ca="1" si="1611"/>
        <v>14835178.068731297</v>
      </c>
    </row>
    <row r="1641" spans="1:63" x14ac:dyDescent="0.3">
      <c r="A1641" s="2">
        <v>1640</v>
      </c>
      <c r="B1641" s="2">
        <f t="shared" ca="1" si="1550"/>
        <v>0.66167649059942746</v>
      </c>
      <c r="C1641" s="2">
        <f t="shared" ca="1" si="1551"/>
        <v>7.1774144307118286</v>
      </c>
      <c r="D1641" s="2">
        <f t="shared" ca="1" si="1552"/>
        <v>0.99158124073170872</v>
      </c>
      <c r="E1641" s="2">
        <f t="shared" ca="1" si="1553"/>
        <v>8.3702405358496623</v>
      </c>
      <c r="F1641" s="2">
        <f t="shared" ca="1" si="1554"/>
        <v>0.80322866293498218</v>
      </c>
      <c r="G1641" s="2">
        <f t="shared" ca="1" si="1555"/>
        <v>6.5596309994658347E-2</v>
      </c>
      <c r="H1641" s="2">
        <f t="shared" ca="1" si="1556"/>
        <v>6.5596309994658347E-2</v>
      </c>
      <c r="I1641" s="2">
        <f t="shared" ca="1" si="1557"/>
        <v>0.39912756501260183</v>
      </c>
      <c r="J1641" s="2">
        <f t="shared" ca="1" si="1558"/>
        <v>8.7219702918385593E-3</v>
      </c>
      <c r="K1641" s="2">
        <f t="shared" ca="1" si="1559"/>
        <v>8.7219702918385593E-3</v>
      </c>
      <c r="L1641" s="2">
        <f t="shared" ca="1" si="1560"/>
        <v>0.7842879082947698</v>
      </c>
      <c r="M1641" s="2">
        <f t="shared" ca="1" si="1561"/>
        <v>1.5735138165068906E-2</v>
      </c>
      <c r="N1641" s="2">
        <f t="shared" ca="1" si="1562"/>
        <v>1.5735138165068906E-2</v>
      </c>
      <c r="O1641" s="2">
        <f t="shared" si="1563"/>
        <v>6000000</v>
      </c>
      <c r="P1641" s="2">
        <f t="shared" ca="1" si="1564"/>
        <v>43064486.584270969</v>
      </c>
      <c r="Q1641" s="2">
        <f t="shared" ca="1" si="1565"/>
        <v>1076612.1646067742</v>
      </c>
      <c r="R1641" s="2">
        <f t="shared" ca="1" si="1566"/>
        <v>25838691.950562581</v>
      </c>
      <c r="S1641" s="2">
        <f t="shared" ca="1" si="1567"/>
        <v>17225794.633708388</v>
      </c>
      <c r="T1641" s="2">
        <f t="shared" ca="1" si="1568"/>
        <v>50786756.908253446</v>
      </c>
      <c r="U1641" s="2">
        <f t="shared" ca="1" si="1569"/>
        <v>54118180.758030593</v>
      </c>
      <c r="V1641" s="2">
        <f t="shared" ca="1" si="1570"/>
        <v>57668133.719381325</v>
      </c>
      <c r="W1641" s="2">
        <f t="shared" ca="1" si="1571"/>
        <v>61450950.495651275</v>
      </c>
      <c r="X1641" s="2">
        <f t="shared" ca="1" si="1572"/>
        <v>65481906.093830422</v>
      </c>
      <c r="Y1641" s="2">
        <f t="shared" ca="1" si="1573"/>
        <v>0.12436098514591927</v>
      </c>
      <c r="Z1641" s="2">
        <f t="shared" ca="1" si="1574"/>
        <v>0.12610537920428699</v>
      </c>
      <c r="AA1641" s="2">
        <f t="shared" ca="1" si="1575"/>
        <v>6315891.1214767201</v>
      </c>
      <c r="AB1641" s="2">
        <f t="shared" ca="1" si="1576"/>
        <v>6824593.7063375954</v>
      </c>
      <c r="AC1641" s="2">
        <f t="shared" ca="1" si="1577"/>
        <v>7272261.870686111</v>
      </c>
      <c r="AD1641" s="2">
        <f t="shared" ca="1" si="1578"/>
        <v>7749295.4147179713</v>
      </c>
      <c r="AE1641" s="2">
        <f t="shared" ca="1" si="1579"/>
        <v>8257620.598981997</v>
      </c>
      <c r="AF1641" s="2">
        <f t="shared" ca="1" si="1580"/>
        <v>1015735.1381650689</v>
      </c>
      <c r="AG1641" s="2">
        <f t="shared" ca="1" si="1581"/>
        <v>1082363.6151606119</v>
      </c>
      <c r="AH1641" s="2">
        <f t="shared" ca="1" si="1582"/>
        <v>1153362.6743876266</v>
      </c>
      <c r="AI1641" s="2">
        <f t="shared" ca="1" si="1583"/>
        <v>1229019.0099130254</v>
      </c>
      <c r="AJ1641" s="2">
        <f t="shared" ca="1" si="1584"/>
        <v>1309638.1218766083</v>
      </c>
      <c r="AK1641" s="2">
        <f t="shared" ca="1" si="1585"/>
        <v>0</v>
      </c>
      <c r="AL1641" s="2">
        <f t="shared" ca="1" si="1586"/>
        <v>33314.238497771476</v>
      </c>
      <c r="AM1641" s="2">
        <f t="shared" ca="1" si="1587"/>
        <v>35499.529613507315</v>
      </c>
      <c r="AN1641" s="2">
        <f t="shared" ca="1" si="1588"/>
        <v>37828.167762699501</v>
      </c>
      <c r="AO1641" s="2">
        <f t="shared" ca="1" si="1589"/>
        <v>40309.555981791469</v>
      </c>
      <c r="AP1641" s="2">
        <f t="shared" ca="1" si="1590"/>
        <v>2325482.2755506323</v>
      </c>
      <c r="AQ1641" s="2">
        <f t="shared" ca="1" si="1591"/>
        <v>773415.16401786497</v>
      </c>
      <c r="AR1641" s="2">
        <f t="shared" ca="1" si="1592"/>
        <v>888354.43206285127</v>
      </c>
      <c r="AS1641" s="2">
        <f t="shared" ca="1" si="1593"/>
        <v>986288.39939444163</v>
      </c>
      <c r="AT1641" s="2">
        <f t="shared" ca="1" si="1594"/>
        <v>1090646.4736061215</v>
      </c>
      <c r="AU1641" s="2">
        <f t="shared" ca="1" si="1595"/>
        <v>1201850.0524042367</v>
      </c>
      <c r="AV1641" s="2">
        <f t="shared" ca="1" si="1596"/>
        <v>2201258.5437431536</v>
      </c>
      <c r="AW1641" s="2">
        <f t="shared" ca="1" si="1597"/>
        <v>2495079.1450657281</v>
      </c>
      <c r="AX1641" s="2">
        <f t="shared" ca="1" si="1598"/>
        <v>2771628.991739904</v>
      </c>
      <c r="AY1641" s="2">
        <f t="shared" ca="1" si="1599"/>
        <v>3066319.4878854924</v>
      </c>
      <c r="AZ1641" s="2">
        <f t="shared" ca="1" si="1600"/>
        <v>3380340.5931687276</v>
      </c>
      <c r="BA1641" s="2">
        <f t="shared" ca="1" si="1601"/>
        <v>69118270.667266279</v>
      </c>
      <c r="BB1641" s="2">
        <f t="shared" ca="1" si="1602"/>
        <v>1382365.4133453255</v>
      </c>
      <c r="BC1641" s="2">
        <f t="shared" ca="1" si="1603"/>
        <v>41897213.303358376</v>
      </c>
      <c r="BD1641" s="2">
        <f t="shared" ca="1" si="1604"/>
        <v>-18802406.79831516</v>
      </c>
      <c r="BE1641" s="2">
        <f t="shared" ca="1" si="1605"/>
        <v>2201258.5437431536</v>
      </c>
      <c r="BF1641" s="2">
        <f t="shared" ca="1" si="1606"/>
        <v>2495079.1450657281</v>
      </c>
      <c r="BG1641" s="2">
        <f t="shared" ca="1" si="1607"/>
        <v>2771628.991739904</v>
      </c>
      <c r="BH1641" s="2">
        <f t="shared" ca="1" si="1608"/>
        <v>3066319.4878854924</v>
      </c>
      <c r="BI1641" s="2">
        <f t="shared" ca="1" si="1609"/>
        <v>45277553.896527104</v>
      </c>
      <c r="BJ1641" s="2">
        <f t="shared" ca="1" si="1610"/>
        <v>0.28132306386712957</v>
      </c>
      <c r="BK1641" s="2">
        <f t="shared" ca="1" si="1611"/>
        <v>14765256.715632379</v>
      </c>
    </row>
    <row r="1642" spans="1:63" x14ac:dyDescent="0.3">
      <c r="A1642" s="2">
        <v>1641</v>
      </c>
      <c r="B1642" s="2">
        <f t="shared" ca="1" si="1550"/>
        <v>0.86360841425449342</v>
      </c>
      <c r="C1642" s="2">
        <f t="shared" ca="1" si="1551"/>
        <v>7.4777135158832717</v>
      </c>
      <c r="D1642" s="2">
        <f t="shared" ca="1" si="1552"/>
        <v>0.29750016910812649</v>
      </c>
      <c r="E1642" s="2">
        <f t="shared" ca="1" si="1553"/>
        <v>7.2713626502600786</v>
      </c>
      <c r="F1642" s="2">
        <f t="shared" ca="1" si="1554"/>
        <v>0.49495001306670994</v>
      </c>
      <c r="G1642" s="2">
        <f t="shared" ca="1" si="1555"/>
        <v>3.9620236656730555E-2</v>
      </c>
      <c r="H1642" s="2">
        <f t="shared" ca="1" si="1556"/>
        <v>3.9620236656730555E-2</v>
      </c>
      <c r="I1642" s="2">
        <f t="shared" ca="1" si="1557"/>
        <v>0.12945203305958619</v>
      </c>
      <c r="J1642" s="2">
        <f t="shared" ca="1" si="1558"/>
        <v>4.3550738702065692E-3</v>
      </c>
      <c r="K1642" s="2">
        <f t="shared" ca="1" si="1559"/>
        <v>4.3550738702065692E-3</v>
      </c>
      <c r="L1642" s="2">
        <f t="shared" ca="1" si="1560"/>
        <v>3.413146089104746E-2</v>
      </c>
      <c r="M1642" s="2">
        <f t="shared" ca="1" si="1561"/>
        <v>-3.6465345288008925E-2</v>
      </c>
      <c r="N1642" s="2">
        <f t="shared" ca="1" si="1562"/>
        <v>-3.6465345288008925E-2</v>
      </c>
      <c r="O1642" s="2">
        <f t="shared" si="1563"/>
        <v>6000000</v>
      </c>
      <c r="P1642" s="2">
        <f t="shared" ca="1" si="1564"/>
        <v>44866281.095299631</v>
      </c>
      <c r="Q1642" s="2">
        <f t="shared" ca="1" si="1565"/>
        <v>1121657.0273824909</v>
      </c>
      <c r="R1642" s="2">
        <f t="shared" ca="1" si="1566"/>
        <v>26919768.657179777</v>
      </c>
      <c r="S1642" s="2">
        <f t="shared" ca="1" si="1567"/>
        <v>17946512.438119855</v>
      </c>
      <c r="T1642" s="2">
        <f t="shared" ca="1" si="1568"/>
        <v>48176732.735599555</v>
      </c>
      <c r="U1642" s="2">
        <f t="shared" ca="1" si="1569"/>
        <v>50085506.287932068</v>
      </c>
      <c r="V1642" s="2">
        <f t="shared" ca="1" si="1570"/>
        <v>52069905.900132105</v>
      </c>
      <c r="W1642" s="2">
        <f t="shared" ca="1" si="1571"/>
        <v>54132927.894589037</v>
      </c>
      <c r="X1642" s="2">
        <f t="shared" ca="1" si="1572"/>
        <v>56277687.308694392</v>
      </c>
      <c r="Y1642" s="2">
        <f t="shared" ca="1" si="1573"/>
        <v>0.12217753693510328</v>
      </c>
      <c r="Z1642" s="2">
        <f t="shared" ca="1" si="1574"/>
        <v>0.1230485517091446</v>
      </c>
      <c r="AA1642" s="2">
        <f t="shared" ca="1" si="1575"/>
        <v>5886114.5432163142</v>
      </c>
      <c r="AB1642" s="2">
        <f t="shared" ca="1" si="1576"/>
        <v>6162949.010349296</v>
      </c>
      <c r="AC1642" s="2">
        <f t="shared" ca="1" si="1577"/>
        <v>6407126.5086426986</v>
      </c>
      <c r="AD1642" s="2">
        <f t="shared" ca="1" si="1578"/>
        <v>6660978.3772047348</v>
      </c>
      <c r="AE1642" s="2">
        <f t="shared" ca="1" si="1579"/>
        <v>6924887.9168749526</v>
      </c>
      <c r="AF1642" s="2">
        <f t="shared" ca="1" si="1580"/>
        <v>963534.65471199108</v>
      </c>
      <c r="AG1642" s="2">
        <f t="shared" ca="1" si="1581"/>
        <v>1001710.1257586414</v>
      </c>
      <c r="AH1642" s="2">
        <f t="shared" ca="1" si="1582"/>
        <v>1041398.1180026421</v>
      </c>
      <c r="AI1642" s="2">
        <f t="shared" ca="1" si="1583"/>
        <v>1082658.5578917807</v>
      </c>
      <c r="AJ1642" s="2">
        <f t="shared" ca="1" si="1584"/>
        <v>1125553.746173888</v>
      </c>
      <c r="AK1642" s="2">
        <f t="shared" ca="1" si="1585"/>
        <v>0</v>
      </c>
      <c r="AL1642" s="2">
        <f t="shared" ca="1" si="1586"/>
        <v>19087.735523325129</v>
      </c>
      <c r="AM1642" s="2">
        <f t="shared" ca="1" si="1587"/>
        <v>19843.996122000368</v>
      </c>
      <c r="AN1642" s="2">
        <f t="shared" ca="1" si="1588"/>
        <v>20630.219944569319</v>
      </c>
      <c r="AO1642" s="2">
        <f t="shared" ca="1" si="1589"/>
        <v>21447.594141053556</v>
      </c>
      <c r="AP1642" s="2">
        <f t="shared" ca="1" si="1590"/>
        <v>2422779.1791461799</v>
      </c>
      <c r="AQ1642" s="2">
        <f t="shared" ca="1" si="1591"/>
        <v>649948.18443311716</v>
      </c>
      <c r="AR1642" s="2">
        <f t="shared" ca="1" si="1592"/>
        <v>711999.5234155634</v>
      </c>
      <c r="AS1642" s="2">
        <f t="shared" ca="1" si="1593"/>
        <v>765166.79498840799</v>
      </c>
      <c r="AT1642" s="2">
        <f t="shared" ca="1" si="1594"/>
        <v>820440.56644336134</v>
      </c>
      <c r="AU1642" s="2">
        <f t="shared" ca="1" si="1595"/>
        <v>877904.29780426994</v>
      </c>
      <c r="AV1642" s="2">
        <f t="shared" ca="1" si="1596"/>
        <v>1849852.5249250252</v>
      </c>
      <c r="AW1642" s="2">
        <f t="shared" ca="1" si="1597"/>
        <v>2007372.4465055857</v>
      </c>
      <c r="AX1642" s="2">
        <f t="shared" ca="1" si="1598"/>
        <v>2157938.4203834683</v>
      </c>
      <c r="AY1642" s="2">
        <f t="shared" ca="1" si="1599"/>
        <v>2314469.8537788438</v>
      </c>
      <c r="AZ1642" s="2">
        <f t="shared" ca="1" si="1600"/>
        <v>2477203.0996095603</v>
      </c>
      <c r="BA1642" s="2">
        <f t="shared" ca="1" si="1601"/>
        <v>50353371.356001846</v>
      </c>
      <c r="BB1642" s="2">
        <f t="shared" ca="1" si="1602"/>
        <v>1007067.4271200369</v>
      </c>
      <c r="BC1642" s="2">
        <f t="shared" ca="1" si="1603"/>
        <v>22426535.271702033</v>
      </c>
      <c r="BD1642" s="2">
        <f t="shared" ca="1" si="1604"/>
        <v>-19568169.465502344</v>
      </c>
      <c r="BE1642" s="2">
        <f t="shared" ca="1" si="1605"/>
        <v>1849852.5249250252</v>
      </c>
      <c r="BF1642" s="2">
        <f t="shared" ca="1" si="1606"/>
        <v>2007372.4465055857</v>
      </c>
      <c r="BG1642" s="2">
        <f t="shared" ca="1" si="1607"/>
        <v>2157938.4203834683</v>
      </c>
      <c r="BH1642" s="2">
        <f t="shared" ca="1" si="1608"/>
        <v>2314469.8537788438</v>
      </c>
      <c r="BI1642" s="2">
        <f t="shared" ca="1" si="1609"/>
        <v>24903738.371311594</v>
      </c>
      <c r="BJ1642" s="2">
        <f t="shared" ca="1" si="1610"/>
        <v>0.13099862983540267</v>
      </c>
      <c r="BK1642" s="2">
        <f t="shared" ca="1" si="1611"/>
        <v>821664.93622618169</v>
      </c>
    </row>
    <row r="1643" spans="1:63" x14ac:dyDescent="0.3">
      <c r="A1643" s="2">
        <v>1642</v>
      </c>
      <c r="B1643" s="2">
        <f t="shared" ca="1" si="1550"/>
        <v>0.71689195298055608</v>
      </c>
      <c r="C1643" s="2">
        <f t="shared" ca="1" si="1551"/>
        <v>7.2475266821747848</v>
      </c>
      <c r="D1643" s="2">
        <f t="shared" ca="1" si="1552"/>
        <v>0.59082607302123247</v>
      </c>
      <c r="E1643" s="2">
        <f t="shared" ca="1" si="1553"/>
        <v>7.5953741911942068</v>
      </c>
      <c r="F1643" s="2">
        <f t="shared" ca="1" si="1554"/>
        <v>0.84165881279421262</v>
      </c>
      <c r="G1643" s="2">
        <f t="shared" ca="1" si="1555"/>
        <v>7.003896390522521E-2</v>
      </c>
      <c r="H1643" s="2">
        <f t="shared" ca="1" si="1556"/>
        <v>7.003896390522521E-2</v>
      </c>
      <c r="I1643" s="2">
        <f t="shared" ca="1" si="1557"/>
        <v>0.14267942725316918</v>
      </c>
      <c r="J1643" s="2">
        <f t="shared" ca="1" si="1558"/>
        <v>4.6582077783265344E-3</v>
      </c>
      <c r="K1643" s="2">
        <f t="shared" ca="1" si="1559"/>
        <v>4.6582077783265344E-3</v>
      </c>
      <c r="L1643" s="2">
        <f t="shared" ca="1" si="1560"/>
        <v>7.4822456840546891E-2</v>
      </c>
      <c r="M1643" s="2">
        <f t="shared" ca="1" si="1561"/>
        <v>-2.8815736712274682E-2</v>
      </c>
      <c r="N1643" s="2">
        <f t="shared" ca="1" si="1562"/>
        <v>-2.8815736712274682E-2</v>
      </c>
      <c r="O1643" s="2">
        <f t="shared" si="1563"/>
        <v>6000000</v>
      </c>
      <c r="P1643" s="2">
        <f t="shared" ca="1" si="1564"/>
        <v>43485160.093048707</v>
      </c>
      <c r="Q1643" s="2">
        <f t="shared" ca="1" si="1565"/>
        <v>1087129.0023262177</v>
      </c>
      <c r="R1643" s="2">
        <f t="shared" ca="1" si="1566"/>
        <v>26091096.055829223</v>
      </c>
      <c r="S1643" s="2">
        <f t="shared" ca="1" si="1567"/>
        <v>17394064.037219483</v>
      </c>
      <c r="T1643" s="2">
        <f t="shared" ca="1" si="1568"/>
        <v>48559213.164386265</v>
      </c>
      <c r="U1643" s="2">
        <f t="shared" ca="1" si="1569"/>
        <v>51960250.142472856</v>
      </c>
      <c r="V1643" s="2">
        <f t="shared" ca="1" si="1570"/>
        <v>55599492.226707987</v>
      </c>
      <c r="W1643" s="2">
        <f t="shared" ca="1" si="1571"/>
        <v>59493623.055923238</v>
      </c>
      <c r="X1643" s="2">
        <f t="shared" ca="1" si="1572"/>
        <v>63660494.773728125</v>
      </c>
      <c r="Y1643" s="2">
        <f t="shared" ca="1" si="1573"/>
        <v>0.12232910388916327</v>
      </c>
      <c r="Z1643" s="2">
        <f t="shared" ca="1" si="1574"/>
        <v>0.12326074544482857</v>
      </c>
      <c r="AA1643" s="2">
        <f t="shared" ca="1" si="1575"/>
        <v>5940205.0319622317</v>
      </c>
      <c r="AB1643" s="2">
        <f t="shared" ca="1" si="1576"/>
        <v>6404659.1660609636</v>
      </c>
      <c r="AC1643" s="2">
        <f t="shared" ca="1" si="1577"/>
        <v>6853234.8582179779</v>
      </c>
      <c r="AD1643" s="2">
        <f t="shared" ca="1" si="1578"/>
        <v>7333228.3270867383</v>
      </c>
      <c r="AE1643" s="2">
        <f t="shared" ca="1" si="1579"/>
        <v>7846840.0411963416</v>
      </c>
      <c r="AF1643" s="2">
        <f t="shared" ca="1" si="1580"/>
        <v>971184.26328772528</v>
      </c>
      <c r="AG1643" s="2">
        <f t="shared" ca="1" si="1581"/>
        <v>1039205.0028494571</v>
      </c>
      <c r="AH1643" s="2">
        <f t="shared" ca="1" si="1582"/>
        <v>1111989.8445341599</v>
      </c>
      <c r="AI1643" s="2">
        <f t="shared" ca="1" si="1583"/>
        <v>1189872.4611184648</v>
      </c>
      <c r="AJ1643" s="2">
        <f t="shared" ca="1" si="1584"/>
        <v>1273209.8954745624</v>
      </c>
      <c r="AK1643" s="2">
        <f t="shared" ca="1" si="1585"/>
        <v>0</v>
      </c>
      <c r="AL1643" s="2">
        <f t="shared" ca="1" si="1586"/>
        <v>34010.369780865905</v>
      </c>
      <c r="AM1643" s="2">
        <f t="shared" ca="1" si="1587"/>
        <v>36392.420842351319</v>
      </c>
      <c r="AN1643" s="2">
        <f t="shared" ca="1" si="1588"/>
        <v>38941.308292152513</v>
      </c>
      <c r="AO1643" s="2">
        <f t="shared" ca="1" si="1589"/>
        <v>41668.717178048864</v>
      </c>
      <c r="AP1643" s="2">
        <f t="shared" ca="1" si="1590"/>
        <v>2348198.6450246298</v>
      </c>
      <c r="AQ1643" s="2">
        <f t="shared" ca="1" si="1591"/>
        <v>681413.75214896805</v>
      </c>
      <c r="AR1643" s="2">
        <f t="shared" ca="1" si="1592"/>
        <v>784486.43472858809</v>
      </c>
      <c r="AS1643" s="2">
        <f t="shared" ca="1" si="1593"/>
        <v>882192.05585138907</v>
      </c>
      <c r="AT1643" s="2">
        <f t="shared" ca="1" si="1594"/>
        <v>986740.87744534749</v>
      </c>
      <c r="AU1643" s="2">
        <f t="shared" ca="1" si="1595"/>
        <v>1098612.1901812588</v>
      </c>
      <c r="AV1643" s="2">
        <f t="shared" ca="1" si="1596"/>
        <v>1939408.3715009089</v>
      </c>
      <c r="AW1643" s="2">
        <f t="shared" ca="1" si="1597"/>
        <v>2198758.7136774235</v>
      </c>
      <c r="AX1643" s="2">
        <f t="shared" ca="1" si="1598"/>
        <v>2474461.8919654484</v>
      </c>
      <c r="AY1643" s="2">
        <f t="shared" ca="1" si="1599"/>
        <v>2769475.0352061442</v>
      </c>
      <c r="AZ1643" s="2">
        <f t="shared" ca="1" si="1600"/>
        <v>3085150.5933378418</v>
      </c>
      <c r="BA1643" s="2">
        <f t="shared" ca="1" si="1601"/>
        <v>59599686.331331976</v>
      </c>
      <c r="BB1643" s="2">
        <f t="shared" ca="1" si="1602"/>
        <v>1191993.7266266395</v>
      </c>
      <c r="BC1643" s="2">
        <f t="shared" ca="1" si="1603"/>
        <v>32316596.548876114</v>
      </c>
      <c r="BD1643" s="2">
        <f t="shared" ca="1" si="1604"/>
        <v>-18981193.0395457</v>
      </c>
      <c r="BE1643" s="2">
        <f t="shared" ca="1" si="1605"/>
        <v>1939408.3715009089</v>
      </c>
      <c r="BF1643" s="2">
        <f t="shared" ca="1" si="1606"/>
        <v>2198758.7136774235</v>
      </c>
      <c r="BG1643" s="2">
        <f t="shared" ca="1" si="1607"/>
        <v>2474461.8919654484</v>
      </c>
      <c r="BH1643" s="2">
        <f t="shared" ca="1" si="1608"/>
        <v>2769475.0352061442</v>
      </c>
      <c r="BI1643" s="2">
        <f t="shared" ca="1" si="1609"/>
        <v>35401747.142213956</v>
      </c>
      <c r="BJ1643" s="2">
        <f t="shared" ca="1" si="1610"/>
        <v>0.21689571459372359</v>
      </c>
      <c r="BK1643" s="2">
        <f t="shared" ca="1" si="1611"/>
        <v>8112485.1817051619</v>
      </c>
    </row>
    <row r="1644" spans="1:63" x14ac:dyDescent="0.3">
      <c r="A1644" s="2">
        <v>1643</v>
      </c>
      <c r="B1644" s="2">
        <f t="shared" ca="1" si="1550"/>
        <v>0.85174587434339299</v>
      </c>
      <c r="C1644" s="2">
        <f t="shared" ca="1" si="1551"/>
        <v>7.4554742877391238</v>
      </c>
      <c r="D1644" s="2">
        <f t="shared" ca="1" si="1552"/>
        <v>3.1777490960455679E-2</v>
      </c>
      <c r="E1644" s="2">
        <f t="shared" ca="1" si="1553"/>
        <v>6.7521011343110366</v>
      </c>
      <c r="F1644" s="2">
        <f t="shared" ca="1" si="1554"/>
        <v>1.6735231413452456E-2</v>
      </c>
      <c r="G1644" s="2">
        <f t="shared" ca="1" si="1555"/>
        <v>-2.3791821482908058E-2</v>
      </c>
      <c r="H1644" s="2">
        <f t="shared" ca="1" si="1556"/>
        <v>-0.02</v>
      </c>
      <c r="I1644" s="2">
        <f t="shared" ca="1" si="1557"/>
        <v>0.77783391169363203</v>
      </c>
      <c r="J1644" s="2">
        <f t="shared" ca="1" si="1558"/>
        <v>1.3824490909687934E-2</v>
      </c>
      <c r="K1644" s="2">
        <f t="shared" ca="1" si="1559"/>
        <v>1.3824490909687934E-2</v>
      </c>
      <c r="L1644" s="2">
        <f t="shared" ca="1" si="1560"/>
        <v>4.6778399431482431E-2</v>
      </c>
      <c r="M1644" s="2">
        <f t="shared" ca="1" si="1561"/>
        <v>-3.3538535783573825E-2</v>
      </c>
      <c r="N1644" s="2">
        <f t="shared" ca="1" si="1562"/>
        <v>-3.3538535783573825E-2</v>
      </c>
      <c r="O1644" s="2">
        <f t="shared" si="1563"/>
        <v>6000000</v>
      </c>
      <c r="P1644" s="2">
        <f t="shared" ca="1" si="1564"/>
        <v>44732845.726434745</v>
      </c>
      <c r="Q1644" s="2">
        <f t="shared" ca="1" si="1565"/>
        <v>1118321.1431608687</v>
      </c>
      <c r="R1644" s="2">
        <f t="shared" ca="1" si="1566"/>
        <v>26839707.435860846</v>
      </c>
      <c r="S1644" s="2">
        <f t="shared" ca="1" si="1567"/>
        <v>17893138.290573899</v>
      </c>
      <c r="T1644" s="2">
        <f t="shared" ca="1" si="1568"/>
        <v>48323073.210821308</v>
      </c>
      <c r="U1644" s="2">
        <f t="shared" ca="1" si="1569"/>
        <v>47356611.746604882</v>
      </c>
      <c r="V1644" s="2">
        <f t="shared" ca="1" si="1570"/>
        <v>46409479.511672787</v>
      </c>
      <c r="W1644" s="2">
        <f t="shared" ca="1" si="1571"/>
        <v>45481289.921439327</v>
      </c>
      <c r="X1644" s="2">
        <f t="shared" ca="1" si="1572"/>
        <v>44571664.123010539</v>
      </c>
      <c r="Y1644" s="2">
        <f t="shared" ca="1" si="1573"/>
        <v>0.12691224545484397</v>
      </c>
      <c r="Z1644" s="2">
        <f t="shared" ca="1" si="1574"/>
        <v>0.12967714363678154</v>
      </c>
      <c r="AA1644" s="2">
        <f t="shared" ca="1" si="1575"/>
        <v>6132789.7284641489</v>
      </c>
      <c r="AB1644" s="2">
        <f t="shared" ca="1" si="1576"/>
        <v>6141070.1436157776</v>
      </c>
      <c r="AC1644" s="2">
        <f t="shared" ca="1" si="1577"/>
        <v>6018248.740743462</v>
      </c>
      <c r="AD1644" s="2">
        <f t="shared" ca="1" si="1578"/>
        <v>5897883.7659285925</v>
      </c>
      <c r="AE1644" s="2">
        <f t="shared" ca="1" si="1579"/>
        <v>5779926.0906100199</v>
      </c>
      <c r="AF1644" s="2">
        <f t="shared" ca="1" si="1580"/>
        <v>966461.46421642613</v>
      </c>
      <c r="AG1644" s="2">
        <f t="shared" ca="1" si="1581"/>
        <v>947132.23493209761</v>
      </c>
      <c r="AH1644" s="2">
        <f t="shared" ca="1" si="1582"/>
        <v>928189.59023345576</v>
      </c>
      <c r="AI1644" s="2">
        <f t="shared" ca="1" si="1583"/>
        <v>909625.79842878657</v>
      </c>
      <c r="AJ1644" s="2">
        <f t="shared" ca="1" si="1584"/>
        <v>891433.28246021084</v>
      </c>
      <c r="AK1644" s="2">
        <f t="shared" ca="1" si="1585"/>
        <v>0</v>
      </c>
      <c r="AL1644" s="2">
        <f t="shared" ca="1" si="1586"/>
        <v>0</v>
      </c>
      <c r="AM1644" s="2">
        <f t="shared" ca="1" si="1587"/>
        <v>0</v>
      </c>
      <c r="AN1644" s="2">
        <f t="shared" ca="1" si="1588"/>
        <v>0</v>
      </c>
      <c r="AO1644" s="2">
        <f t="shared" ca="1" si="1589"/>
        <v>0</v>
      </c>
      <c r="AP1644" s="2">
        <f t="shared" ca="1" si="1590"/>
        <v>2415573.6692274762</v>
      </c>
      <c r="AQ1644" s="2">
        <f t="shared" ca="1" si="1591"/>
        <v>715196.19470526418</v>
      </c>
      <c r="AR1644" s="2">
        <f t="shared" ca="1" si="1592"/>
        <v>722374.70225861296</v>
      </c>
      <c r="AS1644" s="2">
        <f t="shared" ca="1" si="1593"/>
        <v>695366.22513345792</v>
      </c>
      <c r="AT1644" s="2">
        <f t="shared" ca="1" si="1594"/>
        <v>668897.91755080561</v>
      </c>
      <c r="AU1644" s="2">
        <f t="shared" ca="1" si="1595"/>
        <v>642958.97611980652</v>
      </c>
      <c r="AV1644" s="2">
        <f t="shared" ca="1" si="1596"/>
        <v>2035558.400314982</v>
      </c>
      <c r="AW1644" s="2">
        <f t="shared" ca="1" si="1597"/>
        <v>2055989.5371975908</v>
      </c>
      <c r="AX1644" s="2">
        <f t="shared" ca="1" si="1598"/>
        <v>1979119.2561490722</v>
      </c>
      <c r="AY1644" s="2">
        <f t="shared" ca="1" si="1599"/>
        <v>1903786.3807215234</v>
      </c>
      <c r="AZ1644" s="2">
        <f t="shared" ca="1" si="1600"/>
        <v>1829960.1628025258</v>
      </c>
      <c r="BA1644" s="2">
        <f t="shared" ca="1" si="1601"/>
        <v>39026645.512641869</v>
      </c>
      <c r="BB1644" s="2">
        <f t="shared" ca="1" si="1602"/>
        <v>780532.91025283735</v>
      </c>
      <c r="BC1644" s="2">
        <f t="shared" ca="1" si="1603"/>
        <v>11406405.166528186</v>
      </c>
      <c r="BD1644" s="2">
        <f t="shared" ca="1" si="1604"/>
        <v>-19511459.433734767</v>
      </c>
      <c r="BE1644" s="2">
        <f t="shared" ca="1" si="1605"/>
        <v>2035558.400314982</v>
      </c>
      <c r="BF1644" s="2">
        <f t="shared" ca="1" si="1606"/>
        <v>2055989.5371975908</v>
      </c>
      <c r="BG1644" s="2">
        <f t="shared" ca="1" si="1607"/>
        <v>1979119.2561490722</v>
      </c>
      <c r="BH1644" s="2">
        <f t="shared" ca="1" si="1608"/>
        <v>1903786.3807215234</v>
      </c>
      <c r="BI1644" s="2">
        <f t="shared" ca="1" si="1609"/>
        <v>13236365.329330713</v>
      </c>
      <c r="BJ1644" s="2">
        <f t="shared" ca="1" si="1610"/>
        <v>2.0946744451253885E-2</v>
      </c>
      <c r="BK1644" s="2">
        <f t="shared" ca="1" si="1611"/>
        <v>-5925716.488019485</v>
      </c>
    </row>
    <row r="1645" spans="1:63" x14ac:dyDescent="0.3">
      <c r="A1645" s="2">
        <v>1644</v>
      </c>
      <c r="B1645" s="2">
        <f t="shared" ca="1" si="1550"/>
        <v>0.72376331269207828</v>
      </c>
      <c r="C1645" s="2">
        <f t="shared" ca="1" si="1551"/>
        <v>7.2567144730214075</v>
      </c>
      <c r="D1645" s="2">
        <f t="shared" ca="1" si="1552"/>
        <v>0.92263172025406803</v>
      </c>
      <c r="E1645" s="2">
        <f t="shared" ca="1" si="1553"/>
        <v>8.1066343183603031</v>
      </c>
      <c r="F1645" s="2">
        <f t="shared" ca="1" si="1554"/>
        <v>0.29050596190544598</v>
      </c>
      <c r="G1645" s="2">
        <f t="shared" ca="1" si="1555"/>
        <v>2.3442783502462535E-2</v>
      </c>
      <c r="H1645" s="2">
        <f t="shared" ca="1" si="1556"/>
        <v>2.3442783502462535E-2</v>
      </c>
      <c r="I1645" s="2">
        <f t="shared" ca="1" si="1557"/>
        <v>0.69549747294549735</v>
      </c>
      <c r="J1645" s="2">
        <f t="shared" ca="1" si="1558"/>
        <v>1.2557470961299241E-2</v>
      </c>
      <c r="K1645" s="2">
        <f t="shared" ca="1" si="1559"/>
        <v>1.2557470961299241E-2</v>
      </c>
      <c r="L1645" s="2">
        <f t="shared" ca="1" si="1560"/>
        <v>0.31665239055579675</v>
      </c>
      <c r="M1645" s="2">
        <f t="shared" ca="1" si="1561"/>
        <v>-9.5416105241726001E-3</v>
      </c>
      <c r="N1645" s="2">
        <f t="shared" ca="1" si="1562"/>
        <v>-9.5416105241726001E-3</v>
      </c>
      <c r="O1645" s="2">
        <f t="shared" si="1563"/>
        <v>6000000</v>
      </c>
      <c r="P1645" s="2">
        <f t="shared" ca="1" si="1564"/>
        <v>43540286.838128448</v>
      </c>
      <c r="Q1645" s="2">
        <f t="shared" ca="1" si="1565"/>
        <v>1088507.1709532111</v>
      </c>
      <c r="R1645" s="2">
        <f t="shared" ca="1" si="1566"/>
        <v>26124172.102877069</v>
      </c>
      <c r="S1645" s="2">
        <f t="shared" ca="1" si="1567"/>
        <v>17416114.735251378</v>
      </c>
      <c r="T1645" s="2">
        <f t="shared" ca="1" si="1568"/>
        <v>49522919.473791368</v>
      </c>
      <c r="U1645" s="2">
        <f t="shared" ca="1" si="1569"/>
        <v>50683874.553425342</v>
      </c>
      <c r="V1645" s="2">
        <f t="shared" ca="1" si="1570"/>
        <v>51872045.651647255</v>
      </c>
      <c r="W1645" s="2">
        <f t="shared" ca="1" si="1571"/>
        <v>53088070.787688673</v>
      </c>
      <c r="X1645" s="2">
        <f t="shared" ca="1" si="1572"/>
        <v>54332602.937727861</v>
      </c>
      <c r="Y1645" s="2">
        <f t="shared" ca="1" si="1573"/>
        <v>0.12627873548064961</v>
      </c>
      <c r="Z1645" s="2">
        <f t="shared" ca="1" si="1574"/>
        <v>0.12879022967290946</v>
      </c>
      <c r="AA1645" s="2">
        <f t="shared" ca="1" si="1575"/>
        <v>6253691.6484604115</v>
      </c>
      <c r="AB1645" s="2">
        <f t="shared" ca="1" si="1576"/>
        <v>6527587.8444485813</v>
      </c>
      <c r="AC1645" s="2">
        <f t="shared" ca="1" si="1577"/>
        <v>6680612.6730792942</v>
      </c>
      <c r="AD1645" s="2">
        <f t="shared" ca="1" si="1578"/>
        <v>6837224.8296380993</v>
      </c>
      <c r="AE1645" s="2">
        <f t="shared" ca="1" si="1579"/>
        <v>6997508.4110769667</v>
      </c>
      <c r="AF1645" s="2">
        <f t="shared" ca="1" si="1580"/>
        <v>990458.38947582734</v>
      </c>
      <c r="AG1645" s="2">
        <f t="shared" ca="1" si="1581"/>
        <v>1013677.4910685068</v>
      </c>
      <c r="AH1645" s="2">
        <f t="shared" ca="1" si="1582"/>
        <v>1037440.9130329451</v>
      </c>
      <c r="AI1645" s="2">
        <f t="shared" ca="1" si="1583"/>
        <v>1061761.4157537734</v>
      </c>
      <c r="AJ1645" s="2">
        <f t="shared" ca="1" si="1584"/>
        <v>1086652.0587545573</v>
      </c>
      <c r="AK1645" s="2">
        <f t="shared" ca="1" si="1585"/>
        <v>0</v>
      </c>
      <c r="AL1645" s="2">
        <f t="shared" ca="1" si="1586"/>
        <v>11609.550796339736</v>
      </c>
      <c r="AM1645" s="2">
        <f t="shared" ca="1" si="1587"/>
        <v>11881.710982219131</v>
      </c>
      <c r="AN1645" s="2">
        <f t="shared" ca="1" si="1588"/>
        <v>12160.251360414177</v>
      </c>
      <c r="AO1645" s="2">
        <f t="shared" ca="1" si="1589"/>
        <v>12445.321500391887</v>
      </c>
      <c r="AP1645" s="2">
        <f t="shared" ca="1" si="1590"/>
        <v>2351175.4892589361</v>
      </c>
      <c r="AQ1645" s="2">
        <f t="shared" ca="1" si="1591"/>
        <v>757135.02012866852</v>
      </c>
      <c r="AR1645" s="2">
        <f t="shared" ca="1" si="1592"/>
        <v>822311.06467149605</v>
      </c>
      <c r="AS1645" s="2">
        <f t="shared" ca="1" si="1593"/>
        <v>855919.03040472732</v>
      </c>
      <c r="AT1645" s="2">
        <f t="shared" ca="1" si="1594"/>
        <v>890314.86040260142</v>
      </c>
      <c r="AU1645" s="2">
        <f t="shared" ca="1" si="1595"/>
        <v>925517.02439650299</v>
      </c>
      <c r="AV1645" s="2">
        <f t="shared" ca="1" si="1596"/>
        <v>2154922.7495969799</v>
      </c>
      <c r="AW1645" s="2">
        <f t="shared" ca="1" si="1597"/>
        <v>2328814.2486533034</v>
      </c>
      <c r="AX1645" s="2">
        <f t="shared" ca="1" si="1598"/>
        <v>2424195.5294004665</v>
      </c>
      <c r="AY1645" s="2">
        <f t="shared" ca="1" si="1599"/>
        <v>2521812.8128623734</v>
      </c>
      <c r="AZ1645" s="2">
        <f t="shared" ca="1" si="1600"/>
        <v>2621718.5171665777</v>
      </c>
      <c r="BA1645" s="2">
        <f t="shared" ca="1" si="1601"/>
        <v>56726241.828251414</v>
      </c>
      <c r="BB1645" s="2">
        <f t="shared" ca="1" si="1602"/>
        <v>1134524.8365650284</v>
      </c>
      <c r="BC1645" s="2">
        <f t="shared" ca="1" si="1603"/>
        <v>29467544.888809316</v>
      </c>
      <c r="BD1645" s="2">
        <f t="shared" ca="1" si="1604"/>
        <v>-19004621.906204589</v>
      </c>
      <c r="BE1645" s="2">
        <f t="shared" ca="1" si="1605"/>
        <v>2154922.7495969799</v>
      </c>
      <c r="BF1645" s="2">
        <f t="shared" ca="1" si="1606"/>
        <v>2328814.2486533034</v>
      </c>
      <c r="BG1645" s="2">
        <f t="shared" ca="1" si="1607"/>
        <v>2424195.5294004665</v>
      </c>
      <c r="BH1645" s="2">
        <f t="shared" ca="1" si="1608"/>
        <v>2521812.8128623734</v>
      </c>
      <c r="BI1645" s="2">
        <f t="shared" ca="1" si="1609"/>
        <v>32089263.405975893</v>
      </c>
      <c r="BJ1645" s="2">
        <f t="shared" ca="1" si="1610"/>
        <v>0.1988331333852249</v>
      </c>
      <c r="BK1645" s="2">
        <f t="shared" ca="1" si="1611"/>
        <v>6312394.6884290278</v>
      </c>
    </row>
    <row r="1646" spans="1:63" x14ac:dyDescent="0.3">
      <c r="A1646" s="2">
        <v>1645</v>
      </c>
      <c r="B1646" s="2">
        <f t="shared" ca="1" si="1550"/>
        <v>0.30705506814935168</v>
      </c>
      <c r="C1646" s="2">
        <f t="shared" ca="1" si="1551"/>
        <v>6.7836517953139026</v>
      </c>
      <c r="D1646" s="2">
        <f t="shared" ca="1" si="1552"/>
        <v>0.89402003964823384</v>
      </c>
      <c r="E1646" s="2">
        <f t="shared" ca="1" si="1553"/>
        <v>8.0396089480631368</v>
      </c>
      <c r="F1646" s="2">
        <f t="shared" ca="1" si="1554"/>
        <v>0.18935802681535485</v>
      </c>
      <c r="G1646" s="2">
        <f t="shared" ca="1" si="1555"/>
        <v>1.3592065799973838E-2</v>
      </c>
      <c r="H1646" s="2">
        <f t="shared" ca="1" si="1556"/>
        <v>1.3592065799973838E-2</v>
      </c>
      <c r="I1646" s="2">
        <f t="shared" ca="1" si="1557"/>
        <v>0.21566921183103693</v>
      </c>
      <c r="J1646" s="2">
        <f t="shared" ca="1" si="1558"/>
        <v>6.0654830564936153E-3</v>
      </c>
      <c r="K1646" s="2">
        <f t="shared" ca="1" si="1559"/>
        <v>6.0654830564936153E-3</v>
      </c>
      <c r="L1646" s="2">
        <f t="shared" ca="1" si="1560"/>
        <v>0.85254348849017358</v>
      </c>
      <c r="M1646" s="2">
        <f t="shared" ca="1" si="1561"/>
        <v>2.0948091480210769E-2</v>
      </c>
      <c r="N1646" s="2">
        <f t="shared" ca="1" si="1562"/>
        <v>2.0948091480210769E-2</v>
      </c>
      <c r="O1646" s="2">
        <f t="shared" si="1563"/>
        <v>6000000</v>
      </c>
      <c r="P1646" s="2">
        <f t="shared" ca="1" si="1564"/>
        <v>40701910.771883413</v>
      </c>
      <c r="Q1646" s="2">
        <f t="shared" ca="1" si="1565"/>
        <v>1017547.7692970854</v>
      </c>
      <c r="R1646" s="2">
        <f t="shared" ca="1" si="1566"/>
        <v>24421146.463130046</v>
      </c>
      <c r="S1646" s="2">
        <f t="shared" ca="1" si="1567"/>
        <v>16280764.308753366</v>
      </c>
      <c r="T1646" s="2">
        <f t="shared" ca="1" si="1568"/>
        <v>51047404.574010536</v>
      </c>
      <c r="U1646" s="2">
        <f t="shared" ca="1" si="1569"/>
        <v>51741244.255898371</v>
      </c>
      <c r="V1646" s="2">
        <f t="shared" ca="1" si="1570"/>
        <v>52444514.652397059</v>
      </c>
      <c r="W1646" s="2">
        <f t="shared" ca="1" si="1571"/>
        <v>53157343.946400128</v>
      </c>
      <c r="X1646" s="2">
        <f t="shared" ca="1" si="1572"/>
        <v>53879862.063071437</v>
      </c>
      <c r="Y1646" s="2">
        <f t="shared" ca="1" si="1573"/>
        <v>0.12303274152824681</v>
      </c>
      <c r="Z1646" s="2">
        <f t="shared" ca="1" si="1574"/>
        <v>0.12424583813954553</v>
      </c>
      <c r="AA1646" s="2">
        <f t="shared" ca="1" si="1575"/>
        <v>6280502.1326420819</v>
      </c>
      <c r="AB1646" s="2">
        <f t="shared" ca="1" si="1576"/>
        <v>6428634.2589570386</v>
      </c>
      <c r="AC1646" s="2">
        <f t="shared" ca="1" si="1577"/>
        <v>6516012.6788087487</v>
      </c>
      <c r="AD1646" s="2">
        <f t="shared" ca="1" si="1578"/>
        <v>6604578.7518925807</v>
      </c>
      <c r="AE1646" s="2">
        <f t="shared" ca="1" si="1579"/>
        <v>6694348.620869413</v>
      </c>
      <c r="AF1646" s="2">
        <f t="shared" ca="1" si="1580"/>
        <v>1020948.0914802108</v>
      </c>
      <c r="AG1646" s="2">
        <f t="shared" ca="1" si="1581"/>
        <v>1034824.8851179675</v>
      </c>
      <c r="AH1646" s="2">
        <f t="shared" ca="1" si="1582"/>
        <v>1048890.2930479413</v>
      </c>
      <c r="AI1646" s="2">
        <f t="shared" ca="1" si="1583"/>
        <v>1063146.8789280027</v>
      </c>
      <c r="AJ1646" s="2">
        <f t="shared" ca="1" si="1584"/>
        <v>1077597.2412614287</v>
      </c>
      <c r="AK1646" s="2">
        <f t="shared" ca="1" si="1585"/>
        <v>0</v>
      </c>
      <c r="AL1646" s="2">
        <f t="shared" ca="1" si="1586"/>
        <v>6938.3968188783529</v>
      </c>
      <c r="AM1646" s="2">
        <f t="shared" ca="1" si="1587"/>
        <v>7032.7039649868757</v>
      </c>
      <c r="AN1646" s="2">
        <f t="shared" ca="1" si="1588"/>
        <v>7128.2929400306939</v>
      </c>
      <c r="AO1646" s="2">
        <f t="shared" ca="1" si="1589"/>
        <v>7225.1811667130887</v>
      </c>
      <c r="AP1646" s="2">
        <f t="shared" ca="1" si="1590"/>
        <v>2197903.1816817042</v>
      </c>
      <c r="AQ1646" s="2">
        <f t="shared" ca="1" si="1591"/>
        <v>796029.22346484347</v>
      </c>
      <c r="AR1646" s="2">
        <f t="shared" ca="1" si="1592"/>
        <v>830935.6099609154</v>
      </c>
      <c r="AS1646" s="2">
        <f t="shared" ca="1" si="1593"/>
        <v>849996.99306056683</v>
      </c>
      <c r="AT1646" s="2">
        <f t="shared" ca="1" si="1594"/>
        <v>869317.45973354718</v>
      </c>
      <c r="AU1646" s="2">
        <f t="shared" ca="1" si="1595"/>
        <v>888900.53146083292</v>
      </c>
      <c r="AV1646" s="2">
        <f t="shared" ca="1" si="1596"/>
        <v>2265621.6360153235</v>
      </c>
      <c r="AW1646" s="2">
        <f t="shared" ca="1" si="1597"/>
        <v>2358032.1853775731</v>
      </c>
      <c r="AX1646" s="2">
        <f t="shared" ca="1" si="1598"/>
        <v>2412189.5070535499</v>
      </c>
      <c r="AY1646" s="2">
        <f t="shared" ca="1" si="1599"/>
        <v>2467082.938609296</v>
      </c>
      <c r="AZ1646" s="2">
        <f t="shared" ca="1" si="1600"/>
        <v>2522722.4852987346</v>
      </c>
      <c r="BA1646" s="2">
        <f t="shared" ca="1" si="1601"/>
        <v>53819945.073795855</v>
      </c>
      <c r="BB1646" s="2">
        <f t="shared" ca="1" si="1602"/>
        <v>1076398.9014759171</v>
      </c>
      <c r="BC1646" s="2">
        <f t="shared" ca="1" si="1603"/>
        <v>28322399.709189892</v>
      </c>
      <c r="BD1646" s="2">
        <f t="shared" ca="1" si="1604"/>
        <v>-17798312.078050449</v>
      </c>
      <c r="BE1646" s="2">
        <f t="shared" ca="1" si="1605"/>
        <v>2265621.6360153235</v>
      </c>
      <c r="BF1646" s="2">
        <f t="shared" ca="1" si="1606"/>
        <v>2358032.1853775731</v>
      </c>
      <c r="BG1646" s="2">
        <f t="shared" ca="1" si="1607"/>
        <v>2412189.5070535499</v>
      </c>
      <c r="BH1646" s="2">
        <f t="shared" ca="1" si="1608"/>
        <v>2467082.938609296</v>
      </c>
      <c r="BI1646" s="2">
        <f t="shared" ca="1" si="1609"/>
        <v>30845122.194488626</v>
      </c>
      <c r="BJ1646" s="2">
        <f t="shared" ca="1" si="1610"/>
        <v>0.2114808309575309</v>
      </c>
      <c r="BK1646" s="2">
        <f t="shared" ca="1" si="1611"/>
        <v>6891548.55851724</v>
      </c>
    </row>
    <row r="1647" spans="1:63" x14ac:dyDescent="0.3">
      <c r="A1647" s="2">
        <v>1646</v>
      </c>
      <c r="B1647" s="2">
        <f t="shared" ca="1" si="1550"/>
        <v>0.37254163203708623</v>
      </c>
      <c r="C1647" s="2">
        <f t="shared" ca="1" si="1551"/>
        <v>6.8631820573170952</v>
      </c>
      <c r="D1647" s="2">
        <f t="shared" ca="1" si="1552"/>
        <v>0.74887443333916792</v>
      </c>
      <c r="E1647" s="2">
        <f t="shared" ca="1" si="1553"/>
        <v>7.7913032148219772</v>
      </c>
      <c r="F1647" s="2">
        <f t="shared" ca="1" si="1554"/>
        <v>0.32468625644900317</v>
      </c>
      <c r="G1647" s="2">
        <f t="shared" ca="1" si="1555"/>
        <v>2.6360977615890117E-2</v>
      </c>
      <c r="H1647" s="2">
        <f t="shared" ca="1" si="1556"/>
        <v>2.6360977615890117E-2</v>
      </c>
      <c r="I1647" s="2">
        <f t="shared" ca="1" si="1557"/>
        <v>0.14157544451640958</v>
      </c>
      <c r="J1647" s="2">
        <f t="shared" ca="1" si="1558"/>
        <v>4.6336600065664283E-3</v>
      </c>
      <c r="K1647" s="2">
        <f t="shared" ca="1" si="1559"/>
        <v>4.6336600065664283E-3</v>
      </c>
      <c r="L1647" s="2">
        <f t="shared" ca="1" si="1560"/>
        <v>1.0501849066689162E-2</v>
      </c>
      <c r="M1647" s="2">
        <f t="shared" ca="1" si="1561"/>
        <v>-4.6158359848593039E-2</v>
      </c>
      <c r="N1647" s="2">
        <f t="shared" ca="1" si="1562"/>
        <v>-4.6158359848593039E-2</v>
      </c>
      <c r="O1647" s="2">
        <f t="shared" si="1563"/>
        <v>6000000</v>
      </c>
      <c r="P1647" s="2">
        <f t="shared" ca="1" si="1564"/>
        <v>41179092.343902573</v>
      </c>
      <c r="Q1647" s="2">
        <f t="shared" ca="1" si="1565"/>
        <v>1029477.3085975643</v>
      </c>
      <c r="R1647" s="2">
        <f t="shared" ca="1" si="1566"/>
        <v>24707455.406341542</v>
      </c>
      <c r="S1647" s="2">
        <f t="shared" ca="1" si="1567"/>
        <v>16471636.93756103</v>
      </c>
      <c r="T1647" s="2">
        <f t="shared" ca="1" si="1568"/>
        <v>47692082.007570349</v>
      </c>
      <c r="U1647" s="2">
        <f t="shared" ca="1" si="1569"/>
        <v>48949291.913827106</v>
      </c>
      <c r="V1647" s="2">
        <f t="shared" ca="1" si="1570"/>
        <v>50239643.102281176</v>
      </c>
      <c r="W1647" s="2">
        <f t="shared" ca="1" si="1571"/>
        <v>51564009.209530719</v>
      </c>
      <c r="X1647" s="2">
        <f t="shared" ca="1" si="1572"/>
        <v>52923286.902088717</v>
      </c>
      <c r="Y1647" s="2">
        <f t="shared" ca="1" si="1573"/>
        <v>0.12231683000328321</v>
      </c>
      <c r="Z1647" s="2">
        <f t="shared" ca="1" si="1574"/>
        <v>0.12324356200459649</v>
      </c>
      <c r="AA1647" s="2">
        <f t="shared" ca="1" si="1575"/>
        <v>5833544.2874226244</v>
      </c>
      <c r="AB1647" s="2">
        <f t="shared" ca="1" si="1576"/>
        <v>6032685.0930628451</v>
      </c>
      <c r="AC1647" s="2">
        <f t="shared" ca="1" si="1577"/>
        <v>6191712.5697647883</v>
      </c>
      <c r="AD1647" s="2">
        <f t="shared" ca="1" si="1578"/>
        <v>6354932.1662203837</v>
      </c>
      <c r="AE1647" s="2">
        <f t="shared" ca="1" si="1579"/>
        <v>6522454.3908046205</v>
      </c>
      <c r="AF1647" s="2">
        <f t="shared" ca="1" si="1580"/>
        <v>953841.64015140699</v>
      </c>
      <c r="AG1647" s="2">
        <f t="shared" ca="1" si="1581"/>
        <v>978985.83827654214</v>
      </c>
      <c r="AH1647" s="2">
        <f t="shared" ca="1" si="1582"/>
        <v>1004792.8620456235</v>
      </c>
      <c r="AI1647" s="2">
        <f t="shared" ca="1" si="1583"/>
        <v>1031280.1841906144</v>
      </c>
      <c r="AJ1647" s="2">
        <f t="shared" ca="1" si="1584"/>
        <v>1058465.7380417744</v>
      </c>
      <c r="AK1647" s="2">
        <f t="shared" ca="1" si="1585"/>
        <v>0</v>
      </c>
      <c r="AL1647" s="2">
        <f t="shared" ca="1" si="1586"/>
        <v>12572.099062567577</v>
      </c>
      <c r="AM1647" s="2">
        <f t="shared" ca="1" si="1587"/>
        <v>12903.511884540692</v>
      </c>
      <c r="AN1647" s="2">
        <f t="shared" ca="1" si="1588"/>
        <v>13243.661072495432</v>
      </c>
      <c r="AO1647" s="2">
        <f t="shared" ca="1" si="1589"/>
        <v>13592.776925579979</v>
      </c>
      <c r="AP1647" s="2">
        <f t="shared" ca="1" si="1590"/>
        <v>2223670.9865707387</v>
      </c>
      <c r="AQ1647" s="2">
        <f t="shared" ca="1" si="1591"/>
        <v>690568.23178212461</v>
      </c>
      <c r="AR1647" s="2">
        <f t="shared" ca="1" si="1592"/>
        <v>735807.34973604686</v>
      </c>
      <c r="AS1647" s="2">
        <f t="shared" ca="1" si="1593"/>
        <v>770444.66749859089</v>
      </c>
      <c r="AT1647" s="2">
        <f t="shared" ca="1" si="1594"/>
        <v>805995.05881934799</v>
      </c>
      <c r="AU1647" s="2">
        <f t="shared" ca="1" si="1595"/>
        <v>842482.59320994793</v>
      </c>
      <c r="AV1647" s="2">
        <f t="shared" ca="1" si="1596"/>
        <v>1965463.4289183547</v>
      </c>
      <c r="AW1647" s="2">
        <f t="shared" ca="1" si="1597"/>
        <v>2081648.81941695</v>
      </c>
      <c r="AX1647" s="2">
        <f t="shared" ca="1" si="1598"/>
        <v>2179900.5417652945</v>
      </c>
      <c r="AY1647" s="2">
        <f t="shared" ca="1" si="1599"/>
        <v>2280742.2755671875</v>
      </c>
      <c r="AZ1647" s="2">
        <f t="shared" ca="1" si="1600"/>
        <v>2384242.2960565793</v>
      </c>
      <c r="BA1647" s="2">
        <f t="shared" ca="1" si="1601"/>
        <v>50818419.86360576</v>
      </c>
      <c r="BB1647" s="2">
        <f t="shared" ca="1" si="1602"/>
        <v>1016368.3972721152</v>
      </c>
      <c r="BC1647" s="2">
        <f t="shared" ca="1" si="1603"/>
        <v>25094596.059992105</v>
      </c>
      <c r="BD1647" s="2">
        <f t="shared" ca="1" si="1604"/>
        <v>-18001114.246158592</v>
      </c>
      <c r="BE1647" s="2">
        <f t="shared" ca="1" si="1605"/>
        <v>1965463.4289183547</v>
      </c>
      <c r="BF1647" s="2">
        <f t="shared" ca="1" si="1606"/>
        <v>2081648.81941695</v>
      </c>
      <c r="BG1647" s="2">
        <f t="shared" ca="1" si="1607"/>
        <v>2179900.5417652945</v>
      </c>
      <c r="BH1647" s="2">
        <f t="shared" ca="1" si="1608"/>
        <v>2280742.2755671875</v>
      </c>
      <c r="BI1647" s="2">
        <f t="shared" ca="1" si="1609"/>
        <v>27478838.356048685</v>
      </c>
      <c r="BJ1647" s="2">
        <f t="shared" ca="1" si="1610"/>
        <v>0.17482225954340569</v>
      </c>
      <c r="BK1647" s="2">
        <f t="shared" ca="1" si="1611"/>
        <v>4006535.4527299106</v>
      </c>
    </row>
    <row r="1648" spans="1:63" x14ac:dyDescent="0.3">
      <c r="A1648" s="2">
        <v>1647</v>
      </c>
      <c r="B1648" s="2">
        <f t="shared" ca="1" si="1550"/>
        <v>0.5228025425707219</v>
      </c>
      <c r="C1648" s="2">
        <f t="shared" ca="1" si="1551"/>
        <v>7.0230686232602846</v>
      </c>
      <c r="D1648" s="2">
        <f t="shared" ca="1" si="1552"/>
        <v>0.93036909090688824</v>
      </c>
      <c r="E1648" s="2">
        <f t="shared" ca="1" si="1553"/>
        <v>8.1268220020067865</v>
      </c>
      <c r="F1648" s="2">
        <f t="shared" ca="1" si="1554"/>
        <v>0.96312186825268564</v>
      </c>
      <c r="G1648" s="2">
        <f t="shared" ca="1" si="1555"/>
        <v>9.3643671797758038E-2</v>
      </c>
      <c r="H1648" s="2">
        <f t="shared" ca="1" si="1556"/>
        <v>9.3643671797758038E-2</v>
      </c>
      <c r="I1648" s="2">
        <f t="shared" ca="1" si="1557"/>
        <v>0.70973625959601883</v>
      </c>
      <c r="J1648" s="2">
        <f t="shared" ca="1" si="1558"/>
        <v>1.2763071989711014E-2</v>
      </c>
      <c r="K1648" s="2">
        <f t="shared" ca="1" si="1559"/>
        <v>1.2763071989711014E-2</v>
      </c>
      <c r="L1648" s="2">
        <f t="shared" ca="1" si="1560"/>
        <v>3.6004368938936659E-3</v>
      </c>
      <c r="M1648" s="2">
        <f t="shared" ca="1" si="1561"/>
        <v>-5.3748178368174887E-2</v>
      </c>
      <c r="N1648" s="2">
        <f t="shared" ca="1" si="1562"/>
        <v>-0.05</v>
      </c>
      <c r="O1648" s="2">
        <f t="shared" si="1563"/>
        <v>6000000</v>
      </c>
      <c r="P1648" s="2">
        <f t="shared" ca="1" si="1564"/>
        <v>42138411.739561707</v>
      </c>
      <c r="Q1648" s="2">
        <f t="shared" ca="1" si="1565"/>
        <v>1053460.2934890427</v>
      </c>
      <c r="R1648" s="2">
        <f t="shared" ca="1" si="1566"/>
        <v>25283047.043737024</v>
      </c>
      <c r="S1648" s="2">
        <f t="shared" ca="1" si="1567"/>
        <v>16855364.695824683</v>
      </c>
      <c r="T1648" s="2">
        <f t="shared" ca="1" si="1568"/>
        <v>47500000</v>
      </c>
      <c r="U1648" s="2">
        <f t="shared" ca="1" si="1569"/>
        <v>51948074.410393506</v>
      </c>
      <c r="V1648" s="2">
        <f t="shared" ca="1" si="1570"/>
        <v>56812682.841005906</v>
      </c>
      <c r="W1648" s="2">
        <f t="shared" ca="1" si="1571"/>
        <v>62132831.066919185</v>
      </c>
      <c r="X1648" s="2">
        <f t="shared" ca="1" si="1572"/>
        <v>67951177.507215306</v>
      </c>
      <c r="Y1648" s="2">
        <f t="shared" ca="1" si="1573"/>
        <v>0.12638153599485549</v>
      </c>
      <c r="Z1648" s="2">
        <f t="shared" ca="1" si="1574"/>
        <v>0.12893415039279771</v>
      </c>
      <c r="AA1648" s="2">
        <f t="shared" ca="1" si="1575"/>
        <v>6003122.9597556358</v>
      </c>
      <c r="AB1648" s="2">
        <f t="shared" ca="1" si="1576"/>
        <v>6697880.838645922</v>
      </c>
      <c r="AC1648" s="2">
        <f t="shared" ca="1" si="1577"/>
        <v>7325094.9936405737</v>
      </c>
      <c r="AD1648" s="2">
        <f t="shared" ca="1" si="1578"/>
        <v>8011043.7851124518</v>
      </c>
      <c r="AE1648" s="2">
        <f t="shared" ca="1" si="1579"/>
        <v>8761227.3400829919</v>
      </c>
      <c r="AF1648" s="2">
        <f t="shared" ca="1" si="1580"/>
        <v>950000</v>
      </c>
      <c r="AG1648" s="2">
        <f t="shared" ca="1" si="1581"/>
        <v>1038961.4882078702</v>
      </c>
      <c r="AH1648" s="2">
        <f t="shared" ca="1" si="1582"/>
        <v>1136253.6568201182</v>
      </c>
      <c r="AI1648" s="2">
        <f t="shared" ca="1" si="1583"/>
        <v>1242656.6213383838</v>
      </c>
      <c r="AJ1648" s="2">
        <f t="shared" ca="1" si="1584"/>
        <v>1359023.5501443062</v>
      </c>
      <c r="AK1648" s="2">
        <f t="shared" ca="1" si="1585"/>
        <v>0</v>
      </c>
      <c r="AL1648" s="2">
        <f t="shared" ca="1" si="1586"/>
        <v>44480.744103935067</v>
      </c>
      <c r="AM1648" s="2">
        <f t="shared" ca="1" si="1587"/>
        <v>48646.084306124001</v>
      </c>
      <c r="AN1648" s="2">
        <f t="shared" ca="1" si="1588"/>
        <v>53201.48225913279</v>
      </c>
      <c r="AO1648" s="2">
        <f t="shared" ca="1" si="1589"/>
        <v>58183.46440296121</v>
      </c>
      <c r="AP1648" s="2">
        <f t="shared" ca="1" si="1590"/>
        <v>2275474.2339363322</v>
      </c>
      <c r="AQ1648" s="2">
        <f t="shared" ca="1" si="1591"/>
        <v>722188.668713019</v>
      </c>
      <c r="AR1648" s="2">
        <f t="shared" ca="1" si="1592"/>
        <v>879695.73029044713</v>
      </c>
      <c r="AS1648" s="2">
        <f t="shared" ca="1" si="1593"/>
        <v>1017475.4467498721</v>
      </c>
      <c r="AT1648" s="2">
        <f t="shared" ca="1" si="1594"/>
        <v>1168157.3617578112</v>
      </c>
      <c r="AU1648" s="2">
        <f t="shared" ca="1" si="1595"/>
        <v>1332949.6845606118</v>
      </c>
      <c r="AV1648" s="2">
        <f t="shared" ca="1" si="1596"/>
        <v>2055460.0571062844</v>
      </c>
      <c r="AW1648" s="2">
        <f t="shared" ca="1" si="1597"/>
        <v>2459268.6421073377</v>
      </c>
      <c r="AX1648" s="2">
        <f t="shared" ca="1" si="1598"/>
        <v>2847245.5718281269</v>
      </c>
      <c r="AY1648" s="2">
        <f t="shared" ca="1" si="1599"/>
        <v>3271554.0858207913</v>
      </c>
      <c r="AZ1648" s="2">
        <f t="shared" ca="1" si="1600"/>
        <v>3735596.4070387799</v>
      </c>
      <c r="BA1648" s="2">
        <f t="shared" ca="1" si="1601"/>
        <v>71200935.111969858</v>
      </c>
      <c r="BB1648" s="2">
        <f t="shared" ca="1" si="1602"/>
        <v>1424018.7022393972</v>
      </c>
      <c r="BC1648" s="2">
        <f t="shared" ca="1" si="1603"/>
        <v>44493869.36599344</v>
      </c>
      <c r="BD1648" s="2">
        <f t="shared" ca="1" si="1604"/>
        <v>-18408824.989313725</v>
      </c>
      <c r="BE1648" s="2">
        <f t="shared" ca="1" si="1605"/>
        <v>2055460.0571062844</v>
      </c>
      <c r="BF1648" s="2">
        <f t="shared" ca="1" si="1606"/>
        <v>2459268.6421073377</v>
      </c>
      <c r="BG1648" s="2">
        <f t="shared" ca="1" si="1607"/>
        <v>2847245.5718281269</v>
      </c>
      <c r="BH1648" s="2">
        <f t="shared" ca="1" si="1608"/>
        <v>3271554.0858207913</v>
      </c>
      <c r="BI1648" s="2">
        <f t="shared" ca="1" si="1609"/>
        <v>48229465.773032218</v>
      </c>
      <c r="BJ1648" s="2">
        <f t="shared" ca="1" si="1610"/>
        <v>0.30097847635023456</v>
      </c>
      <c r="BK1648" s="2">
        <f t="shared" ca="1" si="1611"/>
        <v>16859360.150571581</v>
      </c>
    </row>
    <row r="1649" spans="1:63" x14ac:dyDescent="0.3">
      <c r="A1649" s="2">
        <v>1648</v>
      </c>
      <c r="B1649" s="2">
        <f t="shared" ca="1" si="1550"/>
        <v>0.55493252274823557</v>
      </c>
      <c r="C1649" s="2">
        <f t="shared" ca="1" si="1551"/>
        <v>7.0565303637617536</v>
      </c>
      <c r="D1649" s="2">
        <f t="shared" ca="1" si="1552"/>
        <v>0.6678524291118626</v>
      </c>
      <c r="E1649" s="2">
        <f t="shared" ca="1" si="1553"/>
        <v>7.6849569693713864</v>
      </c>
      <c r="F1649" s="2">
        <f t="shared" ca="1" si="1554"/>
        <v>0.89508329395989827</v>
      </c>
      <c r="G1649" s="2">
        <f t="shared" ca="1" si="1555"/>
        <v>7.762070928015781E-2</v>
      </c>
      <c r="H1649" s="2">
        <f t="shared" ca="1" si="1556"/>
        <v>7.762070928015781E-2</v>
      </c>
      <c r="I1649" s="2">
        <f t="shared" ca="1" si="1557"/>
        <v>0.41607458497520922</v>
      </c>
      <c r="J1649" s="2">
        <f t="shared" ca="1" si="1558"/>
        <v>8.9402700451571317E-3</v>
      </c>
      <c r="K1649" s="2">
        <f t="shared" ca="1" si="1559"/>
        <v>8.9402700451571317E-3</v>
      </c>
      <c r="L1649" s="2">
        <f t="shared" ca="1" si="1560"/>
        <v>0.29006154019013164</v>
      </c>
      <c r="M1649" s="2">
        <f t="shared" ca="1" si="1561"/>
        <v>-1.1064098925232208E-2</v>
      </c>
      <c r="N1649" s="2">
        <f t="shared" ca="1" si="1562"/>
        <v>-1.1064098925232208E-2</v>
      </c>
      <c r="O1649" s="2">
        <f t="shared" si="1563"/>
        <v>6000000</v>
      </c>
      <c r="P1649" s="2">
        <f t="shared" ca="1" si="1564"/>
        <v>42339182.182570525</v>
      </c>
      <c r="Q1649" s="2">
        <f t="shared" ca="1" si="1565"/>
        <v>1058479.5545642632</v>
      </c>
      <c r="R1649" s="2">
        <f t="shared" ca="1" si="1566"/>
        <v>25403509.309542313</v>
      </c>
      <c r="S1649" s="2">
        <f t="shared" ca="1" si="1567"/>
        <v>16935672.873028211</v>
      </c>
      <c r="T1649" s="2">
        <f t="shared" ca="1" si="1568"/>
        <v>49446795.053738393</v>
      </c>
      <c r="U1649" s="2">
        <f t="shared" ca="1" si="1569"/>
        <v>53284890.357440159</v>
      </c>
      <c r="V1649" s="2">
        <f t="shared" ca="1" si="1570"/>
        <v>57420901.340900101</v>
      </c>
      <c r="W1649" s="2">
        <f t="shared" ca="1" si="1571"/>
        <v>61877952.430486724</v>
      </c>
      <c r="X1649" s="2">
        <f t="shared" ca="1" si="1572"/>
        <v>66680962.986944966</v>
      </c>
      <c r="Y1649" s="2">
        <f t="shared" ca="1" si="1573"/>
        <v>0.12447013502257856</v>
      </c>
      <c r="Z1649" s="2">
        <f t="shared" ca="1" si="1574"/>
        <v>0.12625818903160999</v>
      </c>
      <c r="AA1649" s="2">
        <f t="shared" ca="1" si="1575"/>
        <v>6154649.2567725871</v>
      </c>
      <c r="AB1649" s="2">
        <f t="shared" ca="1" si="1576"/>
        <v>6727653.7592782918</v>
      </c>
      <c r="AC1649" s="2">
        <f t="shared" ca="1" si="1577"/>
        <v>7249859.0158647923</v>
      </c>
      <c r="AD1649" s="2">
        <f t="shared" ca="1" si="1578"/>
        <v>7812598.2148573631</v>
      </c>
      <c r="AE1649" s="2">
        <f t="shared" ca="1" si="1579"/>
        <v>8419017.6296154857</v>
      </c>
      <c r="AF1649" s="2">
        <f t="shared" ca="1" si="1580"/>
        <v>988935.90107476793</v>
      </c>
      <c r="AG1649" s="2">
        <f t="shared" ca="1" si="1581"/>
        <v>1065697.8071488033</v>
      </c>
      <c r="AH1649" s="2">
        <f t="shared" ca="1" si="1582"/>
        <v>1148418.0268180021</v>
      </c>
      <c r="AI1649" s="2">
        <f t="shared" ca="1" si="1583"/>
        <v>1237559.0486097345</v>
      </c>
      <c r="AJ1649" s="2">
        <f t="shared" ca="1" si="1584"/>
        <v>1333619.2597388993</v>
      </c>
      <c r="AK1649" s="2">
        <f t="shared" ca="1" si="1585"/>
        <v>0</v>
      </c>
      <c r="AL1649" s="2">
        <f t="shared" ca="1" si="1586"/>
        <v>38380.953037017658</v>
      </c>
      <c r="AM1649" s="2">
        <f t="shared" ca="1" si="1587"/>
        <v>41360.109834599418</v>
      </c>
      <c r="AN1649" s="2">
        <f t="shared" ca="1" si="1588"/>
        <v>44570.510895866231</v>
      </c>
      <c r="AO1649" s="2">
        <f t="shared" ca="1" si="1589"/>
        <v>48030.105564582424</v>
      </c>
      <c r="AP1649" s="2">
        <f t="shared" ca="1" si="1590"/>
        <v>2286315.8378588082</v>
      </c>
      <c r="AQ1649" s="2">
        <f t="shared" ca="1" si="1591"/>
        <v>748643.35463814286</v>
      </c>
      <c r="AR1649" s="2">
        <f t="shared" ca="1" si="1592"/>
        <v>877666.42971037701</v>
      </c>
      <c r="AS1649" s="2">
        <f t="shared" ca="1" si="1593"/>
        <v>991932.53930887522</v>
      </c>
      <c r="AT1649" s="2">
        <f t="shared" ca="1" si="1594"/>
        <v>1115068.0653810934</v>
      </c>
      <c r="AU1649" s="2">
        <f t="shared" ca="1" si="1595"/>
        <v>1247761.4583246221</v>
      </c>
      <c r="AV1649" s="2">
        <f t="shared" ca="1" si="1596"/>
        <v>2130754.1632008683</v>
      </c>
      <c r="AW1649" s="2">
        <f t="shared" ca="1" si="1597"/>
        <v>2459592.7315232856</v>
      </c>
      <c r="AX1649" s="2">
        <f t="shared" ca="1" si="1598"/>
        <v>2781832.5020445073</v>
      </c>
      <c r="AY1649" s="2">
        <f t="shared" ca="1" si="1599"/>
        <v>3129084.7521118606</v>
      </c>
      <c r="AZ1649" s="2">
        <f t="shared" ca="1" si="1600"/>
        <v>3503290.9681285731</v>
      </c>
      <c r="BA1649" s="2">
        <f t="shared" ca="1" si="1601"/>
        <v>64699788.207974099</v>
      </c>
      <c r="BB1649" s="2">
        <f t="shared" ca="1" si="1602"/>
        <v>1293995.764159482</v>
      </c>
      <c r="BC1649" s="2">
        <f t="shared" ca="1" si="1603"/>
        <v>38002283.134272307</v>
      </c>
      <c r="BD1649" s="2">
        <f t="shared" ca="1" si="1604"/>
        <v>-18494152.427592475</v>
      </c>
      <c r="BE1649" s="2">
        <f t="shared" ca="1" si="1605"/>
        <v>2130754.1632008683</v>
      </c>
      <c r="BF1649" s="2">
        <f t="shared" ca="1" si="1606"/>
        <v>2459592.7315232856</v>
      </c>
      <c r="BG1649" s="2">
        <f t="shared" ca="1" si="1607"/>
        <v>2781832.5020445073</v>
      </c>
      <c r="BH1649" s="2">
        <f t="shared" ca="1" si="1608"/>
        <v>3129084.7521118606</v>
      </c>
      <c r="BI1649" s="2">
        <f t="shared" ca="1" si="1609"/>
        <v>41505574.102400884</v>
      </c>
      <c r="BJ1649" s="2">
        <f t="shared" ca="1" si="1610"/>
        <v>0.26723012879621955</v>
      </c>
      <c r="BK1649" s="2">
        <f t="shared" ca="1" si="1611"/>
        <v>12889099.677762646</v>
      </c>
    </row>
    <row r="1650" spans="1:63" x14ac:dyDescent="0.3">
      <c r="A1650" s="2">
        <v>1649</v>
      </c>
      <c r="B1650" s="2">
        <f t="shared" ca="1" si="1550"/>
        <v>0.23799930511537615</v>
      </c>
      <c r="C1650" s="2">
        <f t="shared" ca="1" si="1551"/>
        <v>6.6899265252407334</v>
      </c>
      <c r="D1650" s="2">
        <f t="shared" ca="1" si="1552"/>
        <v>0.3208416910589692</v>
      </c>
      <c r="E1650" s="2">
        <f t="shared" ca="1" si="1553"/>
        <v>7.3010514228923995</v>
      </c>
      <c r="F1650" s="2">
        <f t="shared" ca="1" si="1554"/>
        <v>0.1425565117677623</v>
      </c>
      <c r="G1650" s="2">
        <f t="shared" ca="1" si="1555"/>
        <v>7.9328862684063667E-3</v>
      </c>
      <c r="H1650" s="2">
        <f t="shared" ca="1" si="1556"/>
        <v>7.9328862684063667E-3</v>
      </c>
      <c r="I1650" s="2">
        <f t="shared" ca="1" si="1557"/>
        <v>0.84936776107761702</v>
      </c>
      <c r="J1650" s="2">
        <f t="shared" ca="1" si="1558"/>
        <v>1.5168627827483728E-2</v>
      </c>
      <c r="K1650" s="2">
        <f t="shared" ca="1" si="1559"/>
        <v>1.5168627827483728E-2</v>
      </c>
      <c r="L1650" s="2">
        <f t="shared" ca="1" si="1560"/>
        <v>5.8081606981520095E-2</v>
      </c>
      <c r="M1650" s="2">
        <f t="shared" ca="1" si="1561"/>
        <v>-3.1421673506759312E-2</v>
      </c>
      <c r="N1650" s="2">
        <f t="shared" ca="1" si="1562"/>
        <v>-3.1421673506759312E-2</v>
      </c>
      <c r="O1650" s="2">
        <f t="shared" si="1563"/>
        <v>6000000</v>
      </c>
      <c r="P1650" s="2">
        <f t="shared" ca="1" si="1564"/>
        <v>40139559.151444398</v>
      </c>
      <c r="Q1650" s="2">
        <f t="shared" ca="1" si="1565"/>
        <v>1003488.9787861099</v>
      </c>
      <c r="R1650" s="2">
        <f t="shared" ca="1" si="1566"/>
        <v>24083735.490866639</v>
      </c>
      <c r="S1650" s="2">
        <f t="shared" ca="1" si="1567"/>
        <v>16055823.660577759</v>
      </c>
      <c r="T1650" s="2">
        <f t="shared" ca="1" si="1568"/>
        <v>48428916.324662037</v>
      </c>
      <c r="U1650" s="2">
        <f t="shared" ca="1" si="1569"/>
        <v>48813097.409967743</v>
      </c>
      <c r="V1650" s="2">
        <f t="shared" ca="1" si="1570"/>
        <v>49200326.160129651</v>
      </c>
      <c r="W1650" s="2">
        <f t="shared" ca="1" si="1571"/>
        <v>49590626.751926452</v>
      </c>
      <c r="X1650" s="2">
        <f t="shared" ca="1" si="1572"/>
        <v>49984023.553928472</v>
      </c>
      <c r="Y1650" s="2">
        <f t="shared" ca="1" si="1573"/>
        <v>0.12758431391374186</v>
      </c>
      <c r="Z1650" s="2">
        <f t="shared" ca="1" si="1574"/>
        <v>0.13061803947923861</v>
      </c>
      <c r="AA1650" s="2">
        <f t="shared" ca="1" si="1575"/>
        <v>6178770.0628680196</v>
      </c>
      <c r="AB1650" s="2">
        <f t="shared" ca="1" si="1576"/>
        <v>6375871.084599087</v>
      </c>
      <c r="AC1650" s="2">
        <f t="shared" ca="1" si="1577"/>
        <v>6426450.1447752314</v>
      </c>
      <c r="AD1650" s="2">
        <f t="shared" ca="1" si="1578"/>
        <v>6477430.4428833155</v>
      </c>
      <c r="AE1650" s="2">
        <f t="shared" ca="1" si="1579"/>
        <v>6528815.1618982218</v>
      </c>
      <c r="AF1650" s="2">
        <f t="shared" ca="1" si="1580"/>
        <v>968578.32649324078</v>
      </c>
      <c r="AG1650" s="2">
        <f t="shared" ca="1" si="1581"/>
        <v>976261.94819935493</v>
      </c>
      <c r="AH1650" s="2">
        <f t="shared" ca="1" si="1582"/>
        <v>984006.52320259309</v>
      </c>
      <c r="AI1650" s="2">
        <f t="shared" ca="1" si="1583"/>
        <v>991812.53503852908</v>
      </c>
      <c r="AJ1650" s="2">
        <f t="shared" ca="1" si="1584"/>
        <v>999680.47107856942</v>
      </c>
      <c r="AK1650" s="2">
        <f t="shared" ca="1" si="1585"/>
        <v>0</v>
      </c>
      <c r="AL1650" s="2">
        <f t="shared" ca="1" si="1586"/>
        <v>3841.8108530570566</v>
      </c>
      <c r="AM1650" s="2">
        <f t="shared" ca="1" si="1587"/>
        <v>3872.2875016190856</v>
      </c>
      <c r="AN1650" s="2">
        <f t="shared" ca="1" si="1588"/>
        <v>3903.0059179680052</v>
      </c>
      <c r="AO1650" s="2">
        <f t="shared" ca="1" si="1589"/>
        <v>3933.9680200202019</v>
      </c>
      <c r="AP1650" s="2">
        <f t="shared" ca="1" si="1590"/>
        <v>2167536.1941779973</v>
      </c>
      <c r="AQ1650" s="2">
        <f t="shared" ca="1" si="1591"/>
        <v>791090.44097116322</v>
      </c>
      <c r="AR1650" s="2">
        <f t="shared" ca="1" si="1592"/>
        <v>840338.96497765102</v>
      </c>
      <c r="AS1650" s="2">
        <f t="shared" ca="1" si="1593"/>
        <v>851475.93112260662</v>
      </c>
      <c r="AT1650" s="2">
        <f t="shared" ca="1" si="1594"/>
        <v>862701.24555336521</v>
      </c>
      <c r="AU1650" s="2">
        <f t="shared" ca="1" si="1595"/>
        <v>874015.60912683047</v>
      </c>
      <c r="AV1650" s="2">
        <f t="shared" ca="1" si="1596"/>
        <v>2251565.1012256183</v>
      </c>
      <c r="AW1650" s="2">
        <f t="shared" ca="1" si="1597"/>
        <v>2387892.1663910272</v>
      </c>
      <c r="AX1650" s="2">
        <f t="shared" ca="1" si="1598"/>
        <v>2419559.2087704148</v>
      </c>
      <c r="AY1650" s="2">
        <f t="shared" ca="1" si="1599"/>
        <v>2451477.462195456</v>
      </c>
      <c r="AZ1650" s="2">
        <f t="shared" ca="1" si="1600"/>
        <v>2483648.9194948049</v>
      </c>
      <c r="BA1650" s="2">
        <f t="shared" ca="1" si="1601"/>
        <v>47667215.227578484</v>
      </c>
      <c r="BB1650" s="2">
        <f t="shared" ca="1" si="1602"/>
        <v>953344.30455156974</v>
      </c>
      <c r="BC1650" s="2">
        <f t="shared" ca="1" si="1603"/>
        <v>22630135.432160273</v>
      </c>
      <c r="BD1650" s="2">
        <f t="shared" ca="1" si="1604"/>
        <v>-17559312.63936387</v>
      </c>
      <c r="BE1650" s="2">
        <f t="shared" ca="1" si="1605"/>
        <v>2251565.1012256183</v>
      </c>
      <c r="BF1650" s="2">
        <f t="shared" ca="1" si="1606"/>
        <v>2387892.1663910272</v>
      </c>
      <c r="BG1650" s="2">
        <f t="shared" ca="1" si="1607"/>
        <v>2419559.2087704148</v>
      </c>
      <c r="BH1650" s="2">
        <f t="shared" ca="1" si="1608"/>
        <v>2451477.462195456</v>
      </c>
      <c r="BI1650" s="2">
        <f t="shared" ca="1" si="1609"/>
        <v>25113784.351655077</v>
      </c>
      <c r="BJ1650" s="2">
        <f t="shared" ca="1" si="1610"/>
        <v>0.1762789878936657</v>
      </c>
      <c r="BK1650" s="2">
        <f t="shared" ca="1" si="1611"/>
        <v>3885014.74827189</v>
      </c>
    </row>
    <row r="1651" spans="1:63" x14ac:dyDescent="0.3">
      <c r="A1651" s="2">
        <v>1650</v>
      </c>
      <c r="B1651" s="2">
        <f t="shared" ca="1" si="1550"/>
        <v>0.93447926565966566</v>
      </c>
      <c r="C1651" s="2">
        <f t="shared" ca="1" si="1551"/>
        <v>7.6380034963143029</v>
      </c>
      <c r="D1651" s="2">
        <f t="shared" ca="1" si="1552"/>
        <v>0.34512333720250488</v>
      </c>
      <c r="E1651" s="2">
        <f t="shared" ca="1" si="1553"/>
        <v>7.3308108535671703</v>
      </c>
      <c r="F1651" s="2">
        <f t="shared" ca="1" si="1554"/>
        <v>0.94393685558102935</v>
      </c>
      <c r="G1651" s="2">
        <f t="shared" ca="1" si="1555"/>
        <v>8.7661245727964021E-2</v>
      </c>
      <c r="H1651" s="2">
        <f t="shared" ca="1" si="1556"/>
        <v>8.7661245727964021E-2</v>
      </c>
      <c r="I1651" s="2">
        <f t="shared" ca="1" si="1557"/>
        <v>0.15215929799573791</v>
      </c>
      <c r="J1651" s="2">
        <f t="shared" ca="1" si="1558"/>
        <v>4.8639181978147273E-3</v>
      </c>
      <c r="K1651" s="2">
        <f t="shared" ca="1" si="1559"/>
        <v>4.8639181978147273E-3</v>
      </c>
      <c r="L1651" s="2">
        <f t="shared" ca="1" si="1560"/>
        <v>0.82684946133453907</v>
      </c>
      <c r="M1651" s="2">
        <f t="shared" ca="1" si="1561"/>
        <v>1.8835764404887531E-2</v>
      </c>
      <c r="N1651" s="2">
        <f t="shared" ca="1" si="1562"/>
        <v>1.8835764404887531E-2</v>
      </c>
      <c r="O1651" s="2">
        <f t="shared" si="1563"/>
        <v>6000000</v>
      </c>
      <c r="P1651" s="2">
        <f t="shared" ca="1" si="1564"/>
        <v>45828020.97788582</v>
      </c>
      <c r="Q1651" s="2">
        <f t="shared" ca="1" si="1565"/>
        <v>1145700.5244471456</v>
      </c>
      <c r="R1651" s="2">
        <f t="shared" ca="1" si="1566"/>
        <v>27496812.58673149</v>
      </c>
      <c r="S1651" s="2">
        <f t="shared" ca="1" si="1567"/>
        <v>18331208.39115433</v>
      </c>
      <c r="T1651" s="2">
        <f t="shared" ca="1" si="1568"/>
        <v>50941788.220244378</v>
      </c>
      <c r="U1651" s="2">
        <f t="shared" ca="1" si="1569"/>
        <v>55407408.835241124</v>
      </c>
      <c r="V1651" s="2">
        <f t="shared" ca="1" si="1570"/>
        <v>60264491.316296957</v>
      </c>
      <c r="W1651" s="2">
        <f t="shared" ca="1" si="1571"/>
        <v>65547351.698245615</v>
      </c>
      <c r="X1651" s="2">
        <f t="shared" ca="1" si="1572"/>
        <v>71293314.202282801</v>
      </c>
      <c r="Y1651" s="2">
        <f t="shared" ca="1" si="1573"/>
        <v>0.12243195909890736</v>
      </c>
      <c r="Z1651" s="2">
        <f t="shared" ca="1" si="1574"/>
        <v>0.12340474273847031</v>
      </c>
      <c r="AA1651" s="2">
        <f t="shared" ca="1" si="1575"/>
        <v>6236902.9318061601</v>
      </c>
      <c r="AB1651" s="2">
        <f t="shared" ca="1" si="1576"/>
        <v>6837537.0331181781</v>
      </c>
      <c r="AC1651" s="2">
        <f t="shared" ca="1" si="1577"/>
        <v>7436924.0471524037</v>
      </c>
      <c r="AD1651" s="2">
        <f t="shared" ca="1" si="1578"/>
        <v>8088854.0735100349</v>
      </c>
      <c r="AE1651" s="2">
        <f t="shared" ca="1" si="1579"/>
        <v>8797933.0981056411</v>
      </c>
      <c r="AF1651" s="2">
        <f t="shared" ca="1" si="1580"/>
        <v>1018835.7644048876</v>
      </c>
      <c r="AG1651" s="2">
        <f t="shared" ca="1" si="1581"/>
        <v>1108148.1767048226</v>
      </c>
      <c r="AH1651" s="2">
        <f t="shared" ca="1" si="1582"/>
        <v>1205289.8263259393</v>
      </c>
      <c r="AI1651" s="2">
        <f t="shared" ca="1" si="1583"/>
        <v>1310947.0339649124</v>
      </c>
      <c r="AJ1651" s="2">
        <f t="shared" ca="1" si="1584"/>
        <v>1425866.284045656</v>
      </c>
      <c r="AK1651" s="2">
        <f t="shared" ca="1" si="1585"/>
        <v>0</v>
      </c>
      <c r="AL1651" s="2">
        <f t="shared" ca="1" si="1586"/>
        <v>44656.20614996746</v>
      </c>
      <c r="AM1651" s="2">
        <f t="shared" ca="1" si="1587"/>
        <v>48570.824810558333</v>
      </c>
      <c r="AN1651" s="2">
        <f t="shared" ca="1" si="1588"/>
        <v>52828.603819486576</v>
      </c>
      <c r="AO1651" s="2">
        <f t="shared" ca="1" si="1589"/>
        <v>57459.625040371866</v>
      </c>
      <c r="AP1651" s="2">
        <f t="shared" ca="1" si="1590"/>
        <v>2474713.1328058341</v>
      </c>
      <c r="AQ1651" s="2">
        <f t="shared" ca="1" si="1591"/>
        <v>713272.04899481405</v>
      </c>
      <c r="AR1651" s="2">
        <f t="shared" ca="1" si="1592"/>
        <v>846215.6881379555</v>
      </c>
      <c r="AS1651" s="2">
        <f t="shared" ca="1" si="1593"/>
        <v>976799.48288536398</v>
      </c>
      <c r="AT1651" s="2">
        <f t="shared" ca="1" si="1594"/>
        <v>1118830.4157522151</v>
      </c>
      <c r="AU1651" s="2">
        <f t="shared" ca="1" si="1595"/>
        <v>1273311.9571260791</v>
      </c>
      <c r="AV1651" s="2">
        <f t="shared" ca="1" si="1596"/>
        <v>2030081.9856006247</v>
      </c>
      <c r="AW1651" s="2">
        <f t="shared" ca="1" si="1597"/>
        <v>2363803.8293195977</v>
      </c>
      <c r="AX1651" s="2">
        <f t="shared" ca="1" si="1598"/>
        <v>2731550.7803247082</v>
      </c>
      <c r="AY1651" s="2">
        <f t="shared" ca="1" si="1599"/>
        <v>3131534.8871675865</v>
      </c>
      <c r="AZ1651" s="2">
        <f t="shared" ca="1" si="1600"/>
        <v>3566582.0990876998</v>
      </c>
      <c r="BA1651" s="2">
        <f t="shared" ca="1" si="1601"/>
        <v>64495983.444550671</v>
      </c>
      <c r="BB1651" s="2">
        <f t="shared" ca="1" si="1602"/>
        <v>1289919.6688910134</v>
      </c>
      <c r="BC1651" s="2">
        <f t="shared" ca="1" si="1603"/>
        <v>35709251.188928172</v>
      </c>
      <c r="BD1651" s="2">
        <f t="shared" ca="1" si="1604"/>
        <v>-19976908.915601477</v>
      </c>
      <c r="BE1651" s="2">
        <f t="shared" ca="1" si="1605"/>
        <v>2030081.9856006247</v>
      </c>
      <c r="BF1651" s="2">
        <f t="shared" ca="1" si="1606"/>
        <v>2363803.8293195977</v>
      </c>
      <c r="BG1651" s="2">
        <f t="shared" ca="1" si="1607"/>
        <v>2731550.7803247082</v>
      </c>
      <c r="BH1651" s="2">
        <f t="shared" ca="1" si="1608"/>
        <v>3131534.8871675865</v>
      </c>
      <c r="BI1651" s="2">
        <f t="shared" ca="1" si="1609"/>
        <v>39275833.288015872</v>
      </c>
      <c r="BJ1651" s="2">
        <f t="shared" ca="1" si="1610"/>
        <v>0.23033354852950905</v>
      </c>
      <c r="BK1651" s="2">
        <f t="shared" ca="1" si="1611"/>
        <v>9940647.7399244942</v>
      </c>
    </row>
    <row r="1652" spans="1:63" x14ac:dyDescent="0.3">
      <c r="A1652" s="2">
        <v>1651</v>
      </c>
      <c r="B1652" s="2">
        <f t="shared" ca="1" si="1550"/>
        <v>0.90780447704968736</v>
      </c>
      <c r="C1652" s="2">
        <f t="shared" ca="1" si="1551"/>
        <v>7.5705922149044973</v>
      </c>
      <c r="D1652" s="2">
        <f t="shared" ca="1" si="1552"/>
        <v>0.30624053018971342</v>
      </c>
      <c r="E1652" s="2">
        <f t="shared" ca="1" si="1553"/>
        <v>7.2826116919516517</v>
      </c>
      <c r="F1652" s="2">
        <f t="shared" ca="1" si="1554"/>
        <v>0.21149511874262672</v>
      </c>
      <c r="G1652" s="2">
        <f t="shared" ca="1" si="1555"/>
        <v>1.5962671405851531E-2</v>
      </c>
      <c r="H1652" s="2">
        <f t="shared" ca="1" si="1556"/>
        <v>1.5962671405851531E-2</v>
      </c>
      <c r="I1652" s="2">
        <f t="shared" ca="1" si="1557"/>
        <v>0.70184867800757689</v>
      </c>
      <c r="J1652" s="2">
        <f t="shared" ca="1" si="1558"/>
        <v>1.2648624768866999E-2</v>
      </c>
      <c r="K1652" s="2">
        <f t="shared" ca="1" si="1559"/>
        <v>1.2648624768866999E-2</v>
      </c>
      <c r="L1652" s="2">
        <f t="shared" ca="1" si="1560"/>
        <v>0.66868053446544407</v>
      </c>
      <c r="M1652" s="2">
        <f t="shared" ca="1" si="1561"/>
        <v>8.7254527749150296E-3</v>
      </c>
      <c r="N1652" s="2">
        <f t="shared" ca="1" si="1562"/>
        <v>8.7254527749150296E-3</v>
      </c>
      <c r="O1652" s="2">
        <f t="shared" si="1563"/>
        <v>6000000</v>
      </c>
      <c r="P1652" s="2">
        <f t="shared" ca="1" si="1564"/>
        <v>45423553.289426982</v>
      </c>
      <c r="Q1652" s="2">
        <f t="shared" ca="1" si="1565"/>
        <v>1135588.8322356746</v>
      </c>
      <c r="R1652" s="2">
        <f t="shared" ca="1" si="1566"/>
        <v>27254131.973656189</v>
      </c>
      <c r="S1652" s="2">
        <f t="shared" ca="1" si="1567"/>
        <v>18169421.315770794</v>
      </c>
      <c r="T1652" s="2">
        <f t="shared" ca="1" si="1568"/>
        <v>50436272.638745748</v>
      </c>
      <c r="U1652" s="2">
        <f t="shared" ca="1" si="1569"/>
        <v>51241370.285813987</v>
      </c>
      <c r="V1652" s="2">
        <f t="shared" ca="1" si="1570"/>
        <v>52059319.442072004</v>
      </c>
      <c r="W1652" s="2">
        <f t="shared" ca="1" si="1571"/>
        <v>52890325.25193806</v>
      </c>
      <c r="X1652" s="2">
        <f t="shared" ca="1" si="1572"/>
        <v>53734596.13448336</v>
      </c>
      <c r="Y1652" s="2">
        <f t="shared" ca="1" si="1573"/>
        <v>0.12632431238443351</v>
      </c>
      <c r="Z1652" s="2">
        <f t="shared" ca="1" si="1574"/>
        <v>0.12885403733820688</v>
      </c>
      <c r="AA1652" s="2">
        <f t="shared" ca="1" si="1575"/>
        <v>6371327.4603233747</v>
      </c>
      <c r="AB1652" s="2">
        <f t="shared" ca="1" si="1576"/>
        <v>6602657.4400691604</v>
      </c>
      <c r="AC1652" s="2">
        <f t="shared" ca="1" si="1577"/>
        <v>6708053.491190386</v>
      </c>
      <c r="AD1652" s="2">
        <f t="shared" ca="1" si="1578"/>
        <v>6815131.944843133</v>
      </c>
      <c r="AE1652" s="2">
        <f t="shared" ca="1" si="1579"/>
        <v>6923919.6566661857</v>
      </c>
      <c r="AF1652" s="2">
        <f t="shared" ca="1" si="1580"/>
        <v>1008725.452774915</v>
      </c>
      <c r="AG1652" s="2">
        <f t="shared" ca="1" si="1581"/>
        <v>1024827.4057162798</v>
      </c>
      <c r="AH1652" s="2">
        <f t="shared" ca="1" si="1582"/>
        <v>1041186.3888414401</v>
      </c>
      <c r="AI1652" s="2">
        <f t="shared" ca="1" si="1583"/>
        <v>1057806.5050387613</v>
      </c>
      <c r="AJ1652" s="2">
        <f t="shared" ca="1" si="1584"/>
        <v>1074691.9226896672</v>
      </c>
      <c r="AK1652" s="2">
        <f t="shared" ca="1" si="1585"/>
        <v>0</v>
      </c>
      <c r="AL1652" s="2">
        <f t="shared" ca="1" si="1586"/>
        <v>8050.976470682398</v>
      </c>
      <c r="AM1652" s="2">
        <f t="shared" ca="1" si="1587"/>
        <v>8179.4915625801686</v>
      </c>
      <c r="AN1652" s="2">
        <f t="shared" ca="1" si="1588"/>
        <v>8310.0580986605582</v>
      </c>
      <c r="AO1652" s="2">
        <f t="shared" ca="1" si="1589"/>
        <v>8442.708825452999</v>
      </c>
      <c r="AP1652" s="2">
        <f t="shared" ca="1" si="1590"/>
        <v>2452871.877629057</v>
      </c>
      <c r="AQ1652" s="2">
        <f t="shared" ca="1" si="1591"/>
        <v>756529.8337790448</v>
      </c>
      <c r="AR1652" s="2">
        <f t="shared" ca="1" si="1592"/>
        <v>812489.12074819428</v>
      </c>
      <c r="AS1652" s="2">
        <f t="shared" ca="1" si="1593"/>
        <v>835638.75842717115</v>
      </c>
      <c r="AT1652" s="2">
        <f t="shared" ca="1" si="1594"/>
        <v>859157.9261655818</v>
      </c>
      <c r="AU1652" s="2">
        <f t="shared" ca="1" si="1595"/>
        <v>883052.52265034011</v>
      </c>
      <c r="AV1652" s="2">
        <f t="shared" ca="1" si="1596"/>
        <v>2153200.2961403583</v>
      </c>
      <c r="AW1652" s="2">
        <f t="shared" ca="1" si="1597"/>
        <v>2304418.0595049472</v>
      </c>
      <c r="AX1652" s="2">
        <f t="shared" ca="1" si="1598"/>
        <v>2370176.9747301382</v>
      </c>
      <c r="AY1652" s="2">
        <f t="shared" ca="1" si="1599"/>
        <v>2436985.5779110719</v>
      </c>
      <c r="AZ1652" s="2">
        <f t="shared" ca="1" si="1600"/>
        <v>2504860.6248716689</v>
      </c>
      <c r="BA1652" s="2">
        <f t="shared" ca="1" si="1601"/>
        <v>50424218.245771028</v>
      </c>
      <c r="BB1652" s="2">
        <f t="shared" ca="1" si="1602"/>
        <v>1008484.3649154205</v>
      </c>
      <c r="BC1652" s="2">
        <f t="shared" ca="1" si="1603"/>
        <v>22161601.90719942</v>
      </c>
      <c r="BD1652" s="2">
        <f t="shared" ca="1" si="1604"/>
        <v>-19805010.148006469</v>
      </c>
      <c r="BE1652" s="2">
        <f t="shared" ca="1" si="1605"/>
        <v>2153200.2961403583</v>
      </c>
      <c r="BF1652" s="2">
        <f t="shared" ca="1" si="1606"/>
        <v>2304418.0595049472</v>
      </c>
      <c r="BG1652" s="2">
        <f t="shared" ca="1" si="1607"/>
        <v>2370176.9747301382</v>
      </c>
      <c r="BH1652" s="2">
        <f t="shared" ca="1" si="1608"/>
        <v>2436985.5779110719</v>
      </c>
      <c r="BI1652" s="2">
        <f t="shared" ca="1" si="1609"/>
        <v>24666462.532071088</v>
      </c>
      <c r="BJ1652" s="2">
        <f t="shared" ca="1" si="1610"/>
        <v>0.13592051032970986</v>
      </c>
      <c r="BK1652" s="2">
        <f t="shared" ca="1" si="1611"/>
        <v>1186764.9070430361</v>
      </c>
    </row>
    <row r="1653" spans="1:63" x14ac:dyDescent="0.3">
      <c r="A1653" s="2">
        <v>1652</v>
      </c>
      <c r="B1653" s="2">
        <f t="shared" ca="1" si="1550"/>
        <v>0.90760206310013913</v>
      </c>
      <c r="C1653" s="2">
        <f t="shared" ca="1" si="1551"/>
        <v>7.5701210940279555</v>
      </c>
      <c r="D1653" s="2">
        <f t="shared" ca="1" si="1552"/>
        <v>0.40308757914404869</v>
      </c>
      <c r="E1653" s="2">
        <f t="shared" ca="1" si="1553"/>
        <v>7.3978725735248281</v>
      </c>
      <c r="F1653" s="2">
        <f t="shared" ca="1" si="1554"/>
        <v>0.31545509709654107</v>
      </c>
      <c r="G1653" s="2">
        <f t="shared" ca="1" si="1555"/>
        <v>2.558661587383302E-2</v>
      </c>
      <c r="H1653" s="2">
        <f t="shared" ca="1" si="1556"/>
        <v>2.558661587383302E-2</v>
      </c>
      <c r="I1653" s="2">
        <f t="shared" ca="1" si="1557"/>
        <v>0.61529991832627462</v>
      </c>
      <c r="J1653" s="2">
        <f t="shared" ca="1" si="1558"/>
        <v>1.1465797995258698E-2</v>
      </c>
      <c r="K1653" s="2">
        <f t="shared" ca="1" si="1559"/>
        <v>1.1465797995258698E-2</v>
      </c>
      <c r="L1653" s="2">
        <f t="shared" ca="1" si="1560"/>
        <v>0.86010754834558134</v>
      </c>
      <c r="M1653" s="2">
        <f t="shared" ca="1" si="1561"/>
        <v>2.1616053275110198E-2</v>
      </c>
      <c r="N1653" s="2">
        <f t="shared" ca="1" si="1562"/>
        <v>2.1616053275110198E-2</v>
      </c>
      <c r="O1653" s="2">
        <f t="shared" si="1563"/>
        <v>6000000</v>
      </c>
      <c r="P1653" s="2">
        <f t="shared" ca="1" si="1564"/>
        <v>45420726.564167731</v>
      </c>
      <c r="Q1653" s="2">
        <f t="shared" ca="1" si="1565"/>
        <v>1135518.1641041932</v>
      </c>
      <c r="R1653" s="2">
        <f t="shared" ca="1" si="1566"/>
        <v>27252435.938500639</v>
      </c>
      <c r="S1653" s="2">
        <f t="shared" ca="1" si="1567"/>
        <v>18168290.625667091</v>
      </c>
      <c r="T1653" s="2">
        <f t="shared" ca="1" si="1568"/>
        <v>51080802.663755506</v>
      </c>
      <c r="U1653" s="2">
        <f t="shared" ca="1" si="1569"/>
        <v>52387787.540040083</v>
      </c>
      <c r="V1653" s="2">
        <f t="shared" ca="1" si="1570"/>
        <v>53728213.736307062</v>
      </c>
      <c r="W1653" s="2">
        <f t="shared" ca="1" si="1571"/>
        <v>55102936.902765147</v>
      </c>
      <c r="X1653" s="2">
        <f t="shared" ca="1" si="1572"/>
        <v>56512834.582816251</v>
      </c>
      <c r="Y1653" s="2">
        <f t="shared" ca="1" si="1573"/>
        <v>0.12573289899762935</v>
      </c>
      <c r="Z1653" s="2">
        <f t="shared" ca="1" si="1574"/>
        <v>0.12802605859668109</v>
      </c>
      <c r="AA1653" s="2">
        <f t="shared" ca="1" si="1575"/>
        <v>6422537.4020398073</v>
      </c>
      <c r="AB1653" s="2">
        <f t="shared" ca="1" si="1576"/>
        <v>6707001.957351651</v>
      </c>
      <c r="AC1653" s="2">
        <f t="shared" ca="1" si="1577"/>
        <v>6878611.4400994536</v>
      </c>
      <c r="AD1653" s="2">
        <f t="shared" ca="1" si="1578"/>
        <v>7054611.8287626319</v>
      </c>
      <c r="AE1653" s="2">
        <f t="shared" ca="1" si="1579"/>
        <v>7235115.4717641789</v>
      </c>
      <c r="AF1653" s="2">
        <f t="shared" ca="1" si="1580"/>
        <v>1021616.0532751102</v>
      </c>
      <c r="AG1653" s="2">
        <f t="shared" ca="1" si="1581"/>
        <v>1047755.7508008017</v>
      </c>
      <c r="AH1653" s="2">
        <f t="shared" ca="1" si="1582"/>
        <v>1074564.2747261412</v>
      </c>
      <c r="AI1653" s="2">
        <f t="shared" ca="1" si="1583"/>
        <v>1102058.738055303</v>
      </c>
      <c r="AJ1653" s="2">
        <f t="shared" ca="1" si="1584"/>
        <v>1130256.691656325</v>
      </c>
      <c r="AK1653" s="2">
        <f t="shared" ca="1" si="1585"/>
        <v>0</v>
      </c>
      <c r="AL1653" s="2">
        <f t="shared" ca="1" si="1586"/>
        <v>13069.84876284577</v>
      </c>
      <c r="AM1653" s="2">
        <f t="shared" ca="1" si="1587"/>
        <v>13404.261962669791</v>
      </c>
      <c r="AN1653" s="2">
        <f t="shared" ca="1" si="1588"/>
        <v>13747.231664580851</v>
      </c>
      <c r="AO1653" s="2">
        <f t="shared" ca="1" si="1589"/>
        <v>14098.976800511033</v>
      </c>
      <c r="AP1653" s="2">
        <f t="shared" ca="1" si="1590"/>
        <v>2452719.2344650575</v>
      </c>
      <c r="AQ1653" s="2">
        <f t="shared" ca="1" si="1591"/>
        <v>766532.54971790628</v>
      </c>
      <c r="AR1653" s="2">
        <f t="shared" ca="1" si="1592"/>
        <v>833697.01274230599</v>
      </c>
      <c r="AS1653" s="2">
        <f t="shared" ca="1" si="1593"/>
        <v>871345.26203614625</v>
      </c>
      <c r="AT1653" s="2">
        <f t="shared" ca="1" si="1594"/>
        <v>909956.80262299068</v>
      </c>
      <c r="AU1653" s="2">
        <f t="shared" ca="1" si="1595"/>
        <v>949556.28186712705</v>
      </c>
      <c r="AV1653" s="2">
        <f t="shared" ca="1" si="1596"/>
        <v>2181669.5645817337</v>
      </c>
      <c r="AW1653" s="2">
        <f t="shared" ca="1" si="1597"/>
        <v>2359760.1105806404</v>
      </c>
      <c r="AX1653" s="2">
        <f t="shared" ca="1" si="1598"/>
        <v>2466578.4069094383</v>
      </c>
      <c r="AY1653" s="2">
        <f t="shared" ca="1" si="1599"/>
        <v>2576129.8219546997</v>
      </c>
      <c r="AZ1653" s="2">
        <f t="shared" ca="1" si="1600"/>
        <v>2688484.2869751588</v>
      </c>
      <c r="BA1653" s="2">
        <f t="shared" ca="1" si="1601"/>
        <v>53524462.314849369</v>
      </c>
      <c r="BB1653" s="2">
        <f t="shared" ca="1" si="1602"/>
        <v>1070489.2462969874</v>
      </c>
      <c r="BC1653" s="2">
        <f t="shared" ca="1" si="1603"/>
        <v>25201537.130051743</v>
      </c>
      <c r="BD1653" s="2">
        <f t="shared" ca="1" si="1604"/>
        <v>-19803808.789771285</v>
      </c>
      <c r="BE1653" s="2">
        <f t="shared" ca="1" si="1605"/>
        <v>2181669.5645817337</v>
      </c>
      <c r="BF1653" s="2">
        <f t="shared" ca="1" si="1606"/>
        <v>2359760.1105806404</v>
      </c>
      <c r="BG1653" s="2">
        <f t="shared" ca="1" si="1607"/>
        <v>2466578.4069094383</v>
      </c>
      <c r="BH1653" s="2">
        <f t="shared" ca="1" si="1608"/>
        <v>2576129.8219546997</v>
      </c>
      <c r="BI1653" s="2">
        <f t="shared" ca="1" si="1609"/>
        <v>27890021.417026903</v>
      </c>
      <c r="BJ1653" s="2">
        <f t="shared" ca="1" si="1610"/>
        <v>0.16159250568478623</v>
      </c>
      <c r="BK1653" s="2">
        <f t="shared" ca="1" si="1611"/>
        <v>3243682.7994427569</v>
      </c>
    </row>
    <row r="1654" spans="1:63" x14ac:dyDescent="0.3">
      <c r="A1654" s="2">
        <v>1653</v>
      </c>
      <c r="B1654" s="2">
        <f t="shared" ca="1" si="1550"/>
        <v>0.31228012126754989</v>
      </c>
      <c r="C1654" s="2">
        <f t="shared" ca="1" si="1551"/>
        <v>6.7902912390600694</v>
      </c>
      <c r="D1654" s="2">
        <f t="shared" ca="1" si="1552"/>
        <v>0.14796054487434351</v>
      </c>
      <c r="E1654" s="2">
        <f t="shared" ca="1" si="1553"/>
        <v>7.0439862955522745</v>
      </c>
      <c r="F1654" s="2">
        <f t="shared" ca="1" si="1554"/>
        <v>0.36775829045588071</v>
      </c>
      <c r="G1654" s="2">
        <f t="shared" ca="1" si="1555"/>
        <v>2.9866106325463927E-2</v>
      </c>
      <c r="H1654" s="2">
        <f t="shared" ca="1" si="1556"/>
        <v>2.9866106325463927E-2</v>
      </c>
      <c r="I1654" s="2">
        <f t="shared" ca="1" si="1557"/>
        <v>0.40375801910645126</v>
      </c>
      <c r="J1654" s="2">
        <f t="shared" ca="1" si="1558"/>
        <v>8.7818412633051662E-3</v>
      </c>
      <c r="K1654" s="2">
        <f t="shared" ca="1" si="1559"/>
        <v>8.7818412633051662E-3</v>
      </c>
      <c r="L1654" s="2">
        <f t="shared" ca="1" si="1560"/>
        <v>0.4982574613142664</v>
      </c>
      <c r="M1654" s="2">
        <f t="shared" ca="1" si="1561"/>
        <v>-8.7358212564530769E-5</v>
      </c>
      <c r="N1654" s="2">
        <f t="shared" ca="1" si="1562"/>
        <v>-8.7358212564530769E-5</v>
      </c>
      <c r="O1654" s="2">
        <f t="shared" si="1563"/>
        <v>6000000</v>
      </c>
      <c r="P1654" s="2">
        <f t="shared" ca="1" si="1564"/>
        <v>40741747.434360415</v>
      </c>
      <c r="Q1654" s="2">
        <f t="shared" ca="1" si="1565"/>
        <v>1018543.6858590104</v>
      </c>
      <c r="R1654" s="2">
        <f t="shared" ca="1" si="1566"/>
        <v>24445048.46061625</v>
      </c>
      <c r="S1654" s="2">
        <f t="shared" ca="1" si="1567"/>
        <v>16296698.973744167</v>
      </c>
      <c r="T1654" s="2">
        <f t="shared" ca="1" si="1568"/>
        <v>49995632.089371771</v>
      </c>
      <c r="U1654" s="2">
        <f t="shared" ca="1" si="1569"/>
        <v>51488806.953161724</v>
      </c>
      <c r="V1654" s="2">
        <f t="shared" ca="1" si="1570"/>
        <v>53026577.136196136</v>
      </c>
      <c r="W1654" s="2">
        <f t="shared" ca="1" si="1571"/>
        <v>54610274.527021185</v>
      </c>
      <c r="X1654" s="2">
        <f t="shared" ca="1" si="1572"/>
        <v>56241270.792507976</v>
      </c>
      <c r="Y1654" s="2">
        <f t="shared" ca="1" si="1573"/>
        <v>0.12439092063165258</v>
      </c>
      <c r="Z1654" s="2">
        <f t="shared" ca="1" si="1574"/>
        <v>0.12614728888431362</v>
      </c>
      <c r="AA1654" s="2">
        <f t="shared" ca="1" si="1575"/>
        <v>6219002.7031583469</v>
      </c>
      <c r="AB1654" s="2">
        <f t="shared" ca="1" si="1576"/>
        <v>6495173.4050291479</v>
      </c>
      <c r="AC1654" s="2">
        <f t="shared" ca="1" si="1577"/>
        <v>6689158.9445460737</v>
      </c>
      <c r="AD1654" s="2">
        <f t="shared" ca="1" si="1578"/>
        <v>6888938.0768118147</v>
      </c>
      <c r="AE1654" s="2">
        <f t="shared" ca="1" si="1579"/>
        <v>7094683.833883414</v>
      </c>
      <c r="AF1654" s="2">
        <f t="shared" ca="1" si="1580"/>
        <v>999912.64178743539</v>
      </c>
      <c r="AG1654" s="2">
        <f t="shared" ca="1" si="1581"/>
        <v>1029776.1390632346</v>
      </c>
      <c r="AH1654" s="2">
        <f t="shared" ca="1" si="1582"/>
        <v>1060531.5427239228</v>
      </c>
      <c r="AI1654" s="2">
        <f t="shared" ca="1" si="1583"/>
        <v>1092205.4905404237</v>
      </c>
      <c r="AJ1654" s="2">
        <f t="shared" ca="1" si="1584"/>
        <v>1124825.4158501595</v>
      </c>
      <c r="AK1654" s="2">
        <f t="shared" ca="1" si="1585"/>
        <v>0</v>
      </c>
      <c r="AL1654" s="2">
        <f t="shared" ca="1" si="1586"/>
        <v>14931.748637899533</v>
      </c>
      <c r="AM1654" s="2">
        <f t="shared" ca="1" si="1587"/>
        <v>15377.701830344125</v>
      </c>
      <c r="AN1654" s="2">
        <f t="shared" ca="1" si="1588"/>
        <v>15836.973908250482</v>
      </c>
      <c r="AO1654" s="2">
        <f t="shared" ca="1" si="1589"/>
        <v>16309.962654867917</v>
      </c>
      <c r="AP1654" s="2">
        <f t="shared" ca="1" si="1590"/>
        <v>2200054.3614554624</v>
      </c>
      <c r="AQ1654" s="2">
        <f t="shared" ca="1" si="1591"/>
        <v>784949.28197801672</v>
      </c>
      <c r="AR1654" s="2">
        <f t="shared" ca="1" si="1592"/>
        <v>848989.15517271729</v>
      </c>
      <c r="AS1654" s="2">
        <f t="shared" ca="1" si="1593"/>
        <v>891428.99049533904</v>
      </c>
      <c r="AT1654" s="2">
        <f t="shared" ca="1" si="1594"/>
        <v>935136.3384521415</v>
      </c>
      <c r="AU1654" s="2">
        <f t="shared" ca="1" si="1595"/>
        <v>980149.0547102259</v>
      </c>
      <c r="AV1654" s="2">
        <f t="shared" ca="1" si="1596"/>
        <v>2234086.417937432</v>
      </c>
      <c r="AW1654" s="2">
        <f t="shared" ca="1" si="1597"/>
        <v>2401422.0006998335</v>
      </c>
      <c r="AX1654" s="2">
        <f t="shared" ca="1" si="1598"/>
        <v>2521766.348041005</v>
      </c>
      <c r="AY1654" s="2">
        <f t="shared" ca="1" si="1599"/>
        <v>2645704.9124555369</v>
      </c>
      <c r="AZ1654" s="2">
        <f t="shared" ca="1" si="1600"/>
        <v>2773345.0392126977</v>
      </c>
      <c r="BA1654" s="2">
        <f t="shared" ca="1" si="1601"/>
        <v>49974855.697151035</v>
      </c>
      <c r="BB1654" s="2">
        <f t="shared" ca="1" si="1602"/>
        <v>999497.1139430207</v>
      </c>
      <c r="BC1654" s="2">
        <f t="shared" ca="1" si="1603"/>
        <v>24530310.122591764</v>
      </c>
      <c r="BD1654" s="2">
        <f t="shared" ca="1" si="1604"/>
        <v>-17815242.659603179</v>
      </c>
      <c r="BE1654" s="2">
        <f t="shared" ca="1" si="1605"/>
        <v>2234086.417937432</v>
      </c>
      <c r="BF1654" s="2">
        <f t="shared" ca="1" si="1606"/>
        <v>2401422.0006998335</v>
      </c>
      <c r="BG1654" s="2">
        <f t="shared" ca="1" si="1607"/>
        <v>2521766.348041005</v>
      </c>
      <c r="BH1654" s="2">
        <f t="shared" ca="1" si="1608"/>
        <v>2645704.9124555369</v>
      </c>
      <c r="BI1654" s="2">
        <f t="shared" ca="1" si="1609"/>
        <v>27303655.16180446</v>
      </c>
      <c r="BJ1654" s="2">
        <f t="shared" ca="1" si="1610"/>
        <v>0.19025227858819926</v>
      </c>
      <c r="BK1654" s="2">
        <f t="shared" ca="1" si="1611"/>
        <v>5063040.2490003295</v>
      </c>
    </row>
    <row r="1655" spans="1:63" x14ac:dyDescent="0.3">
      <c r="A1655" s="2">
        <v>1654</v>
      </c>
      <c r="B1655" s="2">
        <f t="shared" ca="1" si="1550"/>
        <v>0.99801208442837275</v>
      </c>
      <c r="C1655" s="2">
        <f t="shared" ca="1" si="1551"/>
        <v>7.9369458078851647</v>
      </c>
      <c r="D1655" s="2">
        <f t="shared" ca="1" si="1552"/>
        <v>0.72644505379320767</v>
      </c>
      <c r="E1655" s="2">
        <f t="shared" ca="1" si="1553"/>
        <v>7.7603312279042838</v>
      </c>
      <c r="F1655" s="2">
        <f t="shared" ca="1" si="1554"/>
        <v>0.75328569203903273</v>
      </c>
      <c r="G1655" s="2">
        <f t="shared" ca="1" si="1555"/>
        <v>6.0545973667308642E-2</v>
      </c>
      <c r="H1655" s="2">
        <f t="shared" ca="1" si="1556"/>
        <v>6.0545973667308642E-2</v>
      </c>
      <c r="I1655" s="2">
        <f t="shared" ca="1" si="1557"/>
        <v>0.62823897153876329</v>
      </c>
      <c r="J1655" s="2">
        <f t="shared" ca="1" si="1558"/>
        <v>1.1635964061545904E-2</v>
      </c>
      <c r="K1655" s="2">
        <f t="shared" ca="1" si="1559"/>
        <v>1.1635964061545904E-2</v>
      </c>
      <c r="L1655" s="2">
        <f t="shared" ca="1" si="1560"/>
        <v>0.86868735068026426</v>
      </c>
      <c r="M1655" s="2">
        <f t="shared" ca="1" si="1561"/>
        <v>2.2404152348363533E-2</v>
      </c>
      <c r="N1655" s="2">
        <f t="shared" ca="1" si="1562"/>
        <v>2.2404152348363533E-2</v>
      </c>
      <c r="O1655" s="2">
        <f t="shared" si="1563"/>
        <v>6000000</v>
      </c>
      <c r="P1655" s="2">
        <f t="shared" ca="1" si="1564"/>
        <v>47621674.84731099</v>
      </c>
      <c r="Q1655" s="2">
        <f t="shared" ca="1" si="1565"/>
        <v>1190541.8711827749</v>
      </c>
      <c r="R1655" s="2">
        <f t="shared" ca="1" si="1566"/>
        <v>28573004.908386592</v>
      </c>
      <c r="S1655" s="2">
        <f t="shared" ca="1" si="1567"/>
        <v>19048669.938924398</v>
      </c>
      <c r="T1655" s="2">
        <f t="shared" ca="1" si="1568"/>
        <v>51120207.617418177</v>
      </c>
      <c r="U1655" s="2">
        <f t="shared" ca="1" si="1569"/>
        <v>54215330.361689731</v>
      </c>
      <c r="V1655" s="2">
        <f t="shared" ca="1" si="1570"/>
        <v>57497850.326133035</v>
      </c>
      <c r="W1655" s="2">
        <f t="shared" ca="1" si="1571"/>
        <v>60979113.657905936</v>
      </c>
      <c r="X1655" s="2">
        <f t="shared" ca="1" si="1572"/>
        <v>64671153.467693329</v>
      </c>
      <c r="Y1655" s="2">
        <f t="shared" ca="1" si="1573"/>
        <v>0.12581798203077293</v>
      </c>
      <c r="Z1655" s="2">
        <f t="shared" ca="1" si="1574"/>
        <v>0.12814517484308213</v>
      </c>
      <c r="AA1655" s="2">
        <f t="shared" ca="1" si="1575"/>
        <v>6431841.3634177018</v>
      </c>
      <c r="AB1655" s="2">
        <f t="shared" ca="1" si="1576"/>
        <v>6947432.9883741895</v>
      </c>
      <c r="AC1655" s="2">
        <f t="shared" ca="1" si="1577"/>
        <v>7368072.083143685</v>
      </c>
      <c r="AD1655" s="2">
        <f t="shared" ca="1" si="1578"/>
        <v>7814179.1814685343</v>
      </c>
      <c r="AE1655" s="2">
        <f t="shared" ca="1" si="1579"/>
        <v>8287296.2684213594</v>
      </c>
      <c r="AF1655" s="2">
        <f t="shared" ca="1" si="1580"/>
        <v>1022404.1523483635</v>
      </c>
      <c r="AG1655" s="2">
        <f t="shared" ca="1" si="1581"/>
        <v>1084306.6072337946</v>
      </c>
      <c r="AH1655" s="2">
        <f t="shared" ca="1" si="1582"/>
        <v>1149957.0065226608</v>
      </c>
      <c r="AI1655" s="2">
        <f t="shared" ca="1" si="1583"/>
        <v>1219582.2731581188</v>
      </c>
      <c r="AJ1655" s="2">
        <f t="shared" ca="1" si="1584"/>
        <v>1293423.0693538666</v>
      </c>
      <c r="AK1655" s="2">
        <f t="shared" ca="1" si="1585"/>
        <v>0</v>
      </c>
      <c r="AL1655" s="2">
        <f t="shared" ca="1" si="1586"/>
        <v>30951.227442715543</v>
      </c>
      <c r="AM1655" s="2">
        <f t="shared" ca="1" si="1587"/>
        <v>32825.199644433036</v>
      </c>
      <c r="AN1655" s="2">
        <f t="shared" ca="1" si="1588"/>
        <v>34812.633317729014</v>
      </c>
      <c r="AO1655" s="2">
        <f t="shared" ca="1" si="1589"/>
        <v>36920.398097873927</v>
      </c>
      <c r="AP1655" s="2">
        <f t="shared" ca="1" si="1590"/>
        <v>2571570.4417547933</v>
      </c>
      <c r="AQ1655" s="2">
        <f t="shared" ca="1" si="1591"/>
        <v>737845.36002178164</v>
      </c>
      <c r="AR1655" s="2">
        <f t="shared" ca="1" si="1592"/>
        <v>855804.54424025654</v>
      </c>
      <c r="AS1655" s="2">
        <f t="shared" ca="1" si="1593"/>
        <v>948101.60506522004</v>
      </c>
      <c r="AT1655" s="2">
        <f t="shared" ca="1" si="1594"/>
        <v>1045986.8813044617</v>
      </c>
      <c r="AU1655" s="2">
        <f t="shared" ca="1" si="1595"/>
        <v>1149798.7169013021</v>
      </c>
      <c r="AV1655" s="2">
        <f t="shared" ca="1" si="1596"/>
        <v>2100021.4092927636</v>
      </c>
      <c r="AW1655" s="2">
        <f t="shared" ca="1" si="1597"/>
        <v>2404800.1677026297</v>
      </c>
      <c r="AX1655" s="2">
        <f t="shared" ca="1" si="1598"/>
        <v>2665617.8301565773</v>
      </c>
      <c r="AY1655" s="2">
        <f t="shared" ca="1" si="1599"/>
        <v>2942226.951933431</v>
      </c>
      <c r="AZ1655" s="2">
        <f t="shared" ca="1" si="1600"/>
        <v>3235583.6423135237</v>
      </c>
      <c r="BA1655" s="2">
        <f t="shared" ca="1" si="1601"/>
        <v>64312164.02672492</v>
      </c>
      <c r="BB1655" s="2">
        <f t="shared" ca="1" si="1602"/>
        <v>1286243.2805344984</v>
      </c>
      <c r="BC1655" s="2">
        <f t="shared" ca="1" si="1603"/>
        <v>34452915.837803833</v>
      </c>
      <c r="BD1655" s="2">
        <f t="shared" ca="1" si="1604"/>
        <v>-20739211.810107172</v>
      </c>
      <c r="BE1655" s="2">
        <f t="shared" ca="1" si="1605"/>
        <v>2100021.4092927636</v>
      </c>
      <c r="BF1655" s="2">
        <f t="shared" ca="1" si="1606"/>
        <v>2404800.1677026297</v>
      </c>
      <c r="BG1655" s="2">
        <f t="shared" ca="1" si="1607"/>
        <v>2665617.8301565773</v>
      </c>
      <c r="BH1655" s="2">
        <f t="shared" ca="1" si="1608"/>
        <v>2942226.951933431</v>
      </c>
      <c r="BI1655" s="2">
        <f t="shared" ca="1" si="1609"/>
        <v>37688499.480117358</v>
      </c>
      <c r="BJ1655" s="2">
        <f t="shared" ca="1" si="1610"/>
        <v>0.21064468626966981</v>
      </c>
      <c r="BK1655" s="2">
        <f t="shared" ca="1" si="1611"/>
        <v>8205538.5709623843</v>
      </c>
    </row>
    <row r="1656" spans="1:63" x14ac:dyDescent="0.3">
      <c r="A1656" s="2">
        <v>1655</v>
      </c>
      <c r="B1656" s="2">
        <f t="shared" ca="1" si="1550"/>
        <v>0.44197621244060825</v>
      </c>
      <c r="C1656" s="2">
        <f t="shared" ca="1" si="1551"/>
        <v>6.9401874413547633</v>
      </c>
      <c r="D1656" s="2">
        <f t="shared" ca="1" si="1552"/>
        <v>0.14149821171299004</v>
      </c>
      <c r="E1656" s="2">
        <f t="shared" ca="1" si="1553"/>
        <v>7.0319740815359149</v>
      </c>
      <c r="F1656" s="2">
        <f t="shared" ca="1" si="1554"/>
        <v>0.40548781984098214</v>
      </c>
      <c r="G1656" s="2">
        <f t="shared" ca="1" si="1555"/>
        <v>3.2824972562897466E-2</v>
      </c>
      <c r="H1656" s="2">
        <f t="shared" ca="1" si="1556"/>
        <v>3.2824972562897466E-2</v>
      </c>
      <c r="I1656" s="2">
        <f t="shared" ca="1" si="1557"/>
        <v>0.16851934269312674</v>
      </c>
      <c r="J1656" s="2">
        <f t="shared" ca="1" si="1558"/>
        <v>5.1998357820412155E-3</v>
      </c>
      <c r="K1656" s="2">
        <f t="shared" ca="1" si="1559"/>
        <v>5.1998357820412155E-3</v>
      </c>
      <c r="L1656" s="2">
        <f t="shared" ca="1" si="1560"/>
        <v>0.98982033437437589</v>
      </c>
      <c r="M1656" s="2">
        <f t="shared" ca="1" si="1561"/>
        <v>4.6393180069623265E-2</v>
      </c>
      <c r="N1656" s="2">
        <f t="shared" ca="1" si="1562"/>
        <v>4.6393180069623265E-2</v>
      </c>
      <c r="O1656" s="2">
        <f t="shared" si="1563"/>
        <v>6000000</v>
      </c>
      <c r="P1656" s="2">
        <f t="shared" ca="1" si="1564"/>
        <v>41641124.648128577</v>
      </c>
      <c r="Q1656" s="2">
        <f t="shared" ca="1" si="1565"/>
        <v>1041028.1162032145</v>
      </c>
      <c r="R1656" s="2">
        <f t="shared" ca="1" si="1566"/>
        <v>24984674.788877144</v>
      </c>
      <c r="S1656" s="2">
        <f t="shared" ca="1" si="1567"/>
        <v>16656449.859251432</v>
      </c>
      <c r="T1656" s="2">
        <f t="shared" ca="1" si="1568"/>
        <v>52319659.003481165</v>
      </c>
      <c r="U1656" s="2">
        <f t="shared" ca="1" si="1569"/>
        <v>54037050.374770589</v>
      </c>
      <c r="V1656" s="2">
        <f t="shared" ca="1" si="1570"/>
        <v>55810815.070702344</v>
      </c>
      <c r="W1656" s="2">
        <f t="shared" ca="1" si="1571"/>
        <v>57642803.544111095</v>
      </c>
      <c r="X1656" s="2">
        <f t="shared" ca="1" si="1572"/>
        <v>59534926.988895036</v>
      </c>
      <c r="Y1656" s="2">
        <f t="shared" ca="1" si="1573"/>
        <v>0.12259991789102061</v>
      </c>
      <c r="Z1656" s="2">
        <f t="shared" ca="1" si="1574"/>
        <v>0.12363988504742884</v>
      </c>
      <c r="AA1656" s="2">
        <f t="shared" ca="1" si="1575"/>
        <v>6414385.8979129875</v>
      </c>
      <c r="AB1656" s="2">
        <f t="shared" ca="1" si="1576"/>
        <v>6681134.6966387574</v>
      </c>
      <c r="AC1656" s="2">
        <f t="shared" ca="1" si="1577"/>
        <v>6900442.7597449468</v>
      </c>
      <c r="AD1656" s="2">
        <f t="shared" ca="1" si="1578"/>
        <v>7126949.6040054196</v>
      </c>
      <c r="AE1656" s="2">
        <f t="shared" ca="1" si="1579"/>
        <v>7360891.5292140516</v>
      </c>
      <c r="AF1656" s="2">
        <f t="shared" ca="1" si="1580"/>
        <v>1046393.1800696233</v>
      </c>
      <c r="AG1656" s="2">
        <f t="shared" ca="1" si="1581"/>
        <v>1080741.0074954119</v>
      </c>
      <c r="AH1656" s="2">
        <f t="shared" ca="1" si="1582"/>
        <v>1116216.3014140469</v>
      </c>
      <c r="AI1656" s="2">
        <f t="shared" ca="1" si="1583"/>
        <v>1152856.0708822219</v>
      </c>
      <c r="AJ1656" s="2">
        <f t="shared" ca="1" si="1584"/>
        <v>1190698.5397779008</v>
      </c>
      <c r="AK1656" s="2">
        <f t="shared" ca="1" si="1585"/>
        <v>0</v>
      </c>
      <c r="AL1656" s="2">
        <f t="shared" ca="1" si="1586"/>
        <v>17173.913712894246</v>
      </c>
      <c r="AM1656" s="2">
        <f t="shared" ca="1" si="1587"/>
        <v>17737.64695931755</v>
      </c>
      <c r="AN1656" s="2">
        <f t="shared" ca="1" si="1588"/>
        <v>18319.884734087511</v>
      </c>
      <c r="AO1656" s="2">
        <f t="shared" ca="1" si="1589"/>
        <v>18921.234447839408</v>
      </c>
      <c r="AP1656" s="2">
        <f t="shared" ca="1" si="1590"/>
        <v>2248620.7309989431</v>
      </c>
      <c r="AQ1656" s="2">
        <f t="shared" ca="1" si="1591"/>
        <v>811036.71657954948</v>
      </c>
      <c r="AR1656" s="2">
        <f t="shared" ca="1" si="1592"/>
        <v>871460.96911754471</v>
      </c>
      <c r="AS1656" s="2">
        <f t="shared" ca="1" si="1593"/>
        <v>919257.48910630867</v>
      </c>
      <c r="AT1656" s="2">
        <f t="shared" ca="1" si="1594"/>
        <v>968622.92855230626</v>
      </c>
      <c r="AU1656" s="2">
        <f t="shared" ca="1" si="1595"/>
        <v>1019608.787193674</v>
      </c>
      <c r="AV1656" s="2">
        <f t="shared" ca="1" si="1596"/>
        <v>2308335.270264871</v>
      </c>
      <c r="AW1656" s="2">
        <f t="shared" ca="1" si="1597"/>
        <v>2463138.0753139635</v>
      </c>
      <c r="AX1656" s="2">
        <f t="shared" ca="1" si="1598"/>
        <v>2598610.5912663299</v>
      </c>
      <c r="AY1656" s="2">
        <f t="shared" ca="1" si="1599"/>
        <v>2738529.988837861</v>
      </c>
      <c r="AZ1656" s="2">
        <f t="shared" ca="1" si="1600"/>
        <v>2883042.2367956941</v>
      </c>
      <c r="BA1656" s="2">
        <f t="shared" ca="1" si="1601"/>
        <v>51761598.450430475</v>
      </c>
      <c r="BB1656" s="2">
        <f t="shared" ca="1" si="1602"/>
        <v>1035231.9690086095</v>
      </c>
      <c r="BC1656" s="2">
        <f t="shared" ca="1" si="1603"/>
        <v>25741691.692544721</v>
      </c>
      <c r="BD1656" s="2">
        <f t="shared" ca="1" si="1604"/>
        <v>-18197477.975454647</v>
      </c>
      <c r="BE1656" s="2">
        <f t="shared" ca="1" si="1605"/>
        <v>2308335.270264871</v>
      </c>
      <c r="BF1656" s="2">
        <f t="shared" ca="1" si="1606"/>
        <v>2463138.0753139635</v>
      </c>
      <c r="BG1656" s="2">
        <f t="shared" ca="1" si="1607"/>
        <v>2598610.5912663299</v>
      </c>
      <c r="BH1656" s="2">
        <f t="shared" ca="1" si="1608"/>
        <v>2738529.988837861</v>
      </c>
      <c r="BI1656" s="2">
        <f t="shared" ca="1" si="1609"/>
        <v>28624733.929340415</v>
      </c>
      <c r="BJ1656" s="2">
        <f t="shared" ca="1" si="1610"/>
        <v>0.19614961734238423</v>
      </c>
      <c r="BK1656" s="2">
        <f t="shared" ca="1" si="1611"/>
        <v>5659602.0280029885</v>
      </c>
    </row>
    <row r="1657" spans="1:63" x14ac:dyDescent="0.3">
      <c r="A1657" s="2">
        <v>1656</v>
      </c>
      <c r="B1657" s="2">
        <f t="shared" ca="1" si="1550"/>
        <v>0.24240489329492587</v>
      </c>
      <c r="C1657" s="2">
        <f t="shared" ca="1" si="1551"/>
        <v>6.6962828351969135</v>
      </c>
      <c r="D1657" s="2">
        <f t="shared" ca="1" si="1552"/>
        <v>0.46904805523453508</v>
      </c>
      <c r="E1657" s="2">
        <f t="shared" ca="1" si="1553"/>
        <v>7.4685536177564309</v>
      </c>
      <c r="F1657" s="2">
        <f t="shared" ca="1" si="1554"/>
        <v>0.38914250164538255</v>
      </c>
      <c r="G1657" s="2">
        <f t="shared" ca="1" si="1555"/>
        <v>3.1553359928904595E-2</v>
      </c>
      <c r="H1657" s="2">
        <f t="shared" ca="1" si="1556"/>
        <v>3.1553359928904595E-2</v>
      </c>
      <c r="I1657" s="2">
        <f t="shared" ca="1" si="1557"/>
        <v>0.61086796372662167</v>
      </c>
      <c r="J1657" s="2">
        <f t="shared" ca="1" si="1558"/>
        <v>1.1407909812984925E-2</v>
      </c>
      <c r="K1657" s="2">
        <f t="shared" ca="1" si="1559"/>
        <v>1.1407909812984925E-2</v>
      </c>
      <c r="L1657" s="2">
        <f t="shared" ca="1" si="1560"/>
        <v>0.3572052621698818</v>
      </c>
      <c r="M1657" s="2">
        <f t="shared" ca="1" si="1561"/>
        <v>-7.318781865101427E-3</v>
      </c>
      <c r="N1657" s="2">
        <f t="shared" ca="1" si="1562"/>
        <v>-7.318781865101427E-3</v>
      </c>
      <c r="O1657" s="2">
        <f t="shared" si="1563"/>
        <v>6000000</v>
      </c>
      <c r="P1657" s="2">
        <f t="shared" ca="1" si="1564"/>
        <v>40177697.011181481</v>
      </c>
      <c r="Q1657" s="2">
        <f t="shared" ca="1" si="1565"/>
        <v>1004442.4252795371</v>
      </c>
      <c r="R1657" s="2">
        <f t="shared" ca="1" si="1566"/>
        <v>24106618.206708889</v>
      </c>
      <c r="S1657" s="2">
        <f t="shared" ca="1" si="1567"/>
        <v>16071078.804472594</v>
      </c>
      <c r="T1657" s="2">
        <f t="shared" ca="1" si="1568"/>
        <v>49634060.906744935</v>
      </c>
      <c r="U1657" s="2">
        <f t="shared" ca="1" si="1569"/>
        <v>51200182.295268632</v>
      </c>
      <c r="V1657" s="2">
        <f t="shared" ca="1" si="1570"/>
        <v>52815720.075656772</v>
      </c>
      <c r="W1657" s="2">
        <f t="shared" ca="1" si="1571"/>
        <v>54482233.501108244</v>
      </c>
      <c r="X1657" s="2">
        <f t="shared" ca="1" si="1572"/>
        <v>56201331.024499334</v>
      </c>
      <c r="Y1657" s="2">
        <f t="shared" ca="1" si="1573"/>
        <v>0.12570395490649247</v>
      </c>
      <c r="Z1657" s="2">
        <f t="shared" ca="1" si="1574"/>
        <v>0.12798553686908945</v>
      </c>
      <c r="AA1657" s="2">
        <f t="shared" ca="1" si="1575"/>
        <v>6239197.7540475661</v>
      </c>
      <c r="AB1657" s="2">
        <f t="shared" ca="1" si="1576"/>
        <v>6552882.8188552046</v>
      </c>
      <c r="AC1657" s="2">
        <f t="shared" ca="1" si="1577"/>
        <v>6759648.2890104773</v>
      </c>
      <c r="AD1657" s="2">
        <f t="shared" ca="1" si="1578"/>
        <v>6972937.9044664297</v>
      </c>
      <c r="AE1657" s="2">
        <f t="shared" ca="1" si="1579"/>
        <v>7192957.5239279605</v>
      </c>
      <c r="AF1657" s="2">
        <f t="shared" ca="1" si="1580"/>
        <v>992681.21813489869</v>
      </c>
      <c r="AG1657" s="2">
        <f t="shared" ca="1" si="1581"/>
        <v>1024003.6459053727</v>
      </c>
      <c r="AH1657" s="2">
        <f t="shared" ca="1" si="1582"/>
        <v>1056314.4015131355</v>
      </c>
      <c r="AI1657" s="2">
        <f t="shared" ca="1" si="1583"/>
        <v>1089644.6700221649</v>
      </c>
      <c r="AJ1657" s="2">
        <f t="shared" ca="1" si="1584"/>
        <v>1124026.6204899866</v>
      </c>
      <c r="AK1657" s="2">
        <f t="shared" ca="1" si="1585"/>
        <v>0</v>
      </c>
      <c r="AL1657" s="2">
        <f t="shared" ca="1" si="1586"/>
        <v>15661.213885236979</v>
      </c>
      <c r="AM1657" s="2">
        <f t="shared" ca="1" si="1587"/>
        <v>16155.377803881393</v>
      </c>
      <c r="AN1657" s="2">
        <f t="shared" ca="1" si="1588"/>
        <v>16665.134254514724</v>
      </c>
      <c r="AO1657" s="2">
        <f t="shared" ca="1" si="1589"/>
        <v>17190.975233910904</v>
      </c>
      <c r="AP1657" s="2">
        <f t="shared" ca="1" si="1590"/>
        <v>2169595.6386038</v>
      </c>
      <c r="AQ1657" s="2">
        <f t="shared" ca="1" si="1591"/>
        <v>799999.43330030551</v>
      </c>
      <c r="AR1657" s="2">
        <f t="shared" ca="1" si="1592"/>
        <v>873413.71892996831</v>
      </c>
      <c r="AS1657" s="2">
        <f t="shared" ca="1" si="1593"/>
        <v>918771.94471232081</v>
      </c>
      <c r="AT1657" s="2">
        <f t="shared" ca="1" si="1594"/>
        <v>965561.3749185208</v>
      </c>
      <c r="AU1657" s="2">
        <f t="shared" ca="1" si="1595"/>
        <v>1013827.1688568853</v>
      </c>
      <c r="AV1657" s="2">
        <f t="shared" ca="1" si="1596"/>
        <v>2276921.4640085623</v>
      </c>
      <c r="AW1657" s="2">
        <f t="shared" ca="1" si="1597"/>
        <v>2470208.6015308267</v>
      </c>
      <c r="AX1657" s="2">
        <f t="shared" ca="1" si="1598"/>
        <v>2598810.9263773384</v>
      </c>
      <c r="AY1657" s="2">
        <f t="shared" ca="1" si="1599"/>
        <v>2731471.0866674287</v>
      </c>
      <c r="AZ1657" s="2">
        <f t="shared" ca="1" si="1600"/>
        <v>2868317.1207433781</v>
      </c>
      <c r="BA1657" s="2">
        <f t="shared" ca="1" si="1601"/>
        <v>53720988.93770051</v>
      </c>
      <c r="BB1657" s="2">
        <f t="shared" ca="1" si="1602"/>
        <v>1074419.7787540103</v>
      </c>
      <c r="BC1657" s="2">
        <f t="shared" ca="1" si="1603"/>
        <v>28539950.95223761</v>
      </c>
      <c r="BD1657" s="2">
        <f t="shared" ca="1" si="1604"/>
        <v>-17575521.229752131</v>
      </c>
      <c r="BE1657" s="2">
        <f t="shared" ca="1" si="1605"/>
        <v>2276921.4640085623</v>
      </c>
      <c r="BF1657" s="2">
        <f t="shared" ca="1" si="1606"/>
        <v>2470208.6015308267</v>
      </c>
      <c r="BG1657" s="2">
        <f t="shared" ca="1" si="1607"/>
        <v>2598810.9263773384</v>
      </c>
      <c r="BH1657" s="2">
        <f t="shared" ca="1" si="1608"/>
        <v>2731471.0866674287</v>
      </c>
      <c r="BI1657" s="2">
        <f t="shared" ca="1" si="1609"/>
        <v>31408268.072980989</v>
      </c>
      <c r="BJ1657" s="2">
        <f t="shared" ca="1" si="1610"/>
        <v>0.22400083246305025</v>
      </c>
      <c r="BK1657" s="2">
        <f t="shared" ca="1" si="1611"/>
        <v>7834255.8741596714</v>
      </c>
    </row>
    <row r="1658" spans="1:63" x14ac:dyDescent="0.3">
      <c r="A1658" s="2">
        <v>1657</v>
      </c>
      <c r="B1658" s="2">
        <f t="shared" ca="1" si="1550"/>
        <v>0.45042520548142506</v>
      </c>
      <c r="C1658" s="2">
        <f t="shared" ca="1" si="1551"/>
        <v>6.949131398154571</v>
      </c>
      <c r="D1658" s="2">
        <f t="shared" ca="1" si="1552"/>
        <v>0.43289362743922166</v>
      </c>
      <c r="E1658" s="2">
        <f t="shared" ca="1" si="1553"/>
        <v>7.430476896477523</v>
      </c>
      <c r="F1658" s="2">
        <f t="shared" ca="1" si="1554"/>
        <v>0.9556414256270741</v>
      </c>
      <c r="G1658" s="2">
        <f t="shared" ca="1" si="1555"/>
        <v>9.1066117511570593E-2</v>
      </c>
      <c r="H1658" s="2">
        <f t="shared" ca="1" si="1556"/>
        <v>9.1066117511570593E-2</v>
      </c>
      <c r="I1658" s="2">
        <f t="shared" ca="1" si="1557"/>
        <v>0.78031144128570584</v>
      </c>
      <c r="J1658" s="2">
        <f t="shared" ca="1" si="1558"/>
        <v>1.3866227378652996E-2</v>
      </c>
      <c r="K1658" s="2">
        <f t="shared" ca="1" si="1559"/>
        <v>1.3866227378652996E-2</v>
      </c>
      <c r="L1658" s="2">
        <f t="shared" ca="1" si="1560"/>
        <v>5.9194493216162436E-2</v>
      </c>
      <c r="M1658" s="2">
        <f t="shared" ca="1" si="1561"/>
        <v>-3.123142841957903E-2</v>
      </c>
      <c r="N1658" s="2">
        <f t="shared" ca="1" si="1562"/>
        <v>-3.123142841957903E-2</v>
      </c>
      <c r="O1658" s="2">
        <f t="shared" si="1563"/>
        <v>6000000</v>
      </c>
      <c r="P1658" s="2">
        <f t="shared" ca="1" si="1564"/>
        <v>41694788.38892743</v>
      </c>
      <c r="Q1658" s="2">
        <f t="shared" ca="1" si="1565"/>
        <v>1042369.7097231857</v>
      </c>
      <c r="R1658" s="2">
        <f t="shared" ca="1" si="1566"/>
        <v>25016873.033356458</v>
      </c>
      <c r="S1658" s="2">
        <f t="shared" ca="1" si="1567"/>
        <v>16677915.355570972</v>
      </c>
      <c r="T1658" s="2">
        <f t="shared" ca="1" si="1568"/>
        <v>48438428.579021052</v>
      </c>
      <c r="U1658" s="2">
        <f t="shared" ca="1" si="1569"/>
        <v>52849528.208074003</v>
      </c>
      <c r="V1658" s="2">
        <f t="shared" ca="1" si="1570"/>
        <v>57662329.554301538</v>
      </c>
      <c r="W1658" s="2">
        <f t="shared" ca="1" si="1571"/>
        <v>62913414.033484466</v>
      </c>
      <c r="X1658" s="2">
        <f t="shared" ca="1" si="1572"/>
        <v>68642694.388911858</v>
      </c>
      <c r="Y1658" s="2">
        <f t="shared" ca="1" si="1573"/>
        <v>0.1269331136893265</v>
      </c>
      <c r="Z1658" s="2">
        <f t="shared" ca="1" si="1574"/>
        <v>0.1297063591650571</v>
      </c>
      <c r="AA1658" s="2">
        <f t="shared" ca="1" si="1575"/>
        <v>6148440.5617532013</v>
      </c>
      <c r="AB1658" s="2">
        <f t="shared" ca="1" si="1576"/>
        <v>6854919.8874602634</v>
      </c>
      <c r="AC1658" s="2">
        <f t="shared" ca="1" si="1577"/>
        <v>7479170.8274641223</v>
      </c>
      <c r="AD1658" s="2">
        <f t="shared" ca="1" si="1578"/>
        <v>8160269.8769270796</v>
      </c>
      <c r="AE1658" s="2">
        <f t="shared" ca="1" si="1579"/>
        <v>8903393.9724654518</v>
      </c>
      <c r="AF1658" s="2">
        <f t="shared" ca="1" si="1580"/>
        <v>968768.57158042106</v>
      </c>
      <c r="AG1658" s="2">
        <f t="shared" ca="1" si="1581"/>
        <v>1056990.5641614802</v>
      </c>
      <c r="AH1658" s="2">
        <f t="shared" ca="1" si="1582"/>
        <v>1153246.5910860307</v>
      </c>
      <c r="AI1658" s="2">
        <f t="shared" ca="1" si="1583"/>
        <v>1258268.2806696894</v>
      </c>
      <c r="AJ1658" s="2">
        <f t="shared" ca="1" si="1584"/>
        <v>1372853.8877782372</v>
      </c>
      <c r="AK1658" s="2">
        <f t="shared" ca="1" si="1585"/>
        <v>0</v>
      </c>
      <c r="AL1658" s="2">
        <f t="shared" ca="1" si="1586"/>
        <v>44110.996290529518</v>
      </c>
      <c r="AM1658" s="2">
        <f t="shared" ca="1" si="1587"/>
        <v>48128.013462275339</v>
      </c>
      <c r="AN1658" s="2">
        <f t="shared" ca="1" si="1588"/>
        <v>52510.844791829288</v>
      </c>
      <c r="AO1658" s="2">
        <f t="shared" ca="1" si="1589"/>
        <v>57292.803554273916</v>
      </c>
      <c r="AP1658" s="2">
        <f t="shared" ca="1" si="1590"/>
        <v>2251518.5730020814</v>
      </c>
      <c r="AQ1658" s="2">
        <f t="shared" ca="1" si="1591"/>
        <v>761319.88846438169</v>
      </c>
      <c r="AR1658" s="2">
        <f t="shared" ca="1" si="1592"/>
        <v>922066.79507714242</v>
      </c>
      <c r="AS1658" s="2">
        <f t="shared" ca="1" si="1593"/>
        <v>1059345.4724777627</v>
      </c>
      <c r="AT1658" s="2">
        <f t="shared" ca="1" si="1594"/>
        <v>1209125.5860463805</v>
      </c>
      <c r="AU1658" s="2">
        <f t="shared" ca="1" si="1595"/>
        <v>1372545.5930381345</v>
      </c>
      <c r="AV1658" s="2">
        <f t="shared" ca="1" si="1596"/>
        <v>2166833.5287063168</v>
      </c>
      <c r="AW1658" s="2">
        <f t="shared" ca="1" si="1597"/>
        <v>2580232.9589290302</v>
      </c>
      <c r="AX1658" s="2">
        <f t="shared" ca="1" si="1598"/>
        <v>2966932.1774359718</v>
      </c>
      <c r="AY1658" s="2">
        <f t="shared" ca="1" si="1599"/>
        <v>3388846.5924170986</v>
      </c>
      <c r="AZ1658" s="2">
        <f t="shared" ca="1" si="1600"/>
        <v>3849183.1150927246</v>
      </c>
      <c r="BA1658" s="2">
        <f t="shared" ca="1" si="1601"/>
        <v>66156463.212641776</v>
      </c>
      <c r="BB1658" s="2">
        <f t="shared" ca="1" si="1602"/>
        <v>1323129.2642528357</v>
      </c>
      <c r="BC1658" s="2">
        <f t="shared" ca="1" si="1603"/>
        <v>39816460.915032484</v>
      </c>
      <c r="BD1658" s="2">
        <f t="shared" ca="1" si="1604"/>
        <v>-18220285.065294158</v>
      </c>
      <c r="BE1658" s="2">
        <f t="shared" ca="1" si="1605"/>
        <v>2166833.5287063168</v>
      </c>
      <c r="BF1658" s="2">
        <f t="shared" ca="1" si="1606"/>
        <v>2580232.9589290302</v>
      </c>
      <c r="BG1658" s="2">
        <f t="shared" ca="1" si="1607"/>
        <v>2966932.1774359718</v>
      </c>
      <c r="BH1658" s="2">
        <f t="shared" ca="1" si="1608"/>
        <v>3388846.5924170986</v>
      </c>
      <c r="BI1658" s="2">
        <f t="shared" ca="1" si="1609"/>
        <v>43665644.030125208</v>
      </c>
      <c r="BJ1658" s="2">
        <f t="shared" ca="1" si="1610"/>
        <v>0.28724829946225672</v>
      </c>
      <c r="BK1658" s="2">
        <f t="shared" ca="1" si="1611"/>
        <v>14813869.735571399</v>
      </c>
    </row>
    <row r="1659" spans="1:63" x14ac:dyDescent="0.3">
      <c r="A1659" s="2">
        <v>1658</v>
      </c>
      <c r="B1659" s="2">
        <f t="shared" ca="1" si="1550"/>
        <v>0.14442323911216459</v>
      </c>
      <c r="C1659" s="2">
        <f t="shared" ca="1" si="1551"/>
        <v>6.5374443954720611</v>
      </c>
      <c r="D1659" s="2">
        <f t="shared" ca="1" si="1552"/>
        <v>0.31420035914211342</v>
      </c>
      <c r="E1659" s="2">
        <f t="shared" ca="1" si="1553"/>
        <v>7.2927173003563297</v>
      </c>
      <c r="F1659" s="2">
        <f t="shared" ca="1" si="1554"/>
        <v>0.70708545603980899</v>
      </c>
      <c r="G1659" s="2">
        <f t="shared" ca="1" si="1555"/>
        <v>5.6346703769702709E-2</v>
      </c>
      <c r="H1659" s="2">
        <f t="shared" ca="1" si="1556"/>
        <v>5.6346703769702709E-2</v>
      </c>
      <c r="I1659" s="2">
        <f t="shared" ca="1" si="1557"/>
        <v>0.64950654009768405</v>
      </c>
      <c r="J1659" s="2">
        <f t="shared" ca="1" si="1558"/>
        <v>1.1919942845517159E-2</v>
      </c>
      <c r="K1659" s="2">
        <f t="shared" ca="1" si="1559"/>
        <v>1.1919942845517159E-2</v>
      </c>
      <c r="L1659" s="2">
        <f t="shared" ca="1" si="1560"/>
        <v>0.54924198587797013</v>
      </c>
      <c r="M1659" s="2">
        <f t="shared" ca="1" si="1561"/>
        <v>2.4749291075167037E-3</v>
      </c>
      <c r="N1659" s="2">
        <f t="shared" ca="1" si="1562"/>
        <v>2.4749291075167037E-3</v>
      </c>
      <c r="O1659" s="2">
        <f t="shared" si="1563"/>
        <v>6000000</v>
      </c>
      <c r="P1659" s="2">
        <f t="shared" ca="1" si="1564"/>
        <v>39224666.372832365</v>
      </c>
      <c r="Q1659" s="2">
        <f t="shared" ca="1" si="1565"/>
        <v>980616.65932080918</v>
      </c>
      <c r="R1659" s="2">
        <f t="shared" ca="1" si="1566"/>
        <v>23534799.823699418</v>
      </c>
      <c r="S1659" s="2">
        <f t="shared" ca="1" si="1567"/>
        <v>15689866.549132947</v>
      </c>
      <c r="T1659" s="2">
        <f t="shared" ca="1" si="1568"/>
        <v>50123746.455375843</v>
      </c>
      <c r="U1659" s="2">
        <f t="shared" ca="1" si="1569"/>
        <v>52948054.348724596</v>
      </c>
      <c r="V1659" s="2">
        <f t="shared" ca="1" si="1570"/>
        <v>55931502.682294302</v>
      </c>
      <c r="W1659" s="2">
        <f t="shared" ca="1" si="1571"/>
        <v>59083058.495327875</v>
      </c>
      <c r="X1659" s="2">
        <f t="shared" ca="1" si="1572"/>
        <v>62412194.090172134</v>
      </c>
      <c r="Y1659" s="2">
        <f t="shared" ca="1" si="1573"/>
        <v>0.12595997142275858</v>
      </c>
      <c r="Z1659" s="2">
        <f t="shared" ca="1" si="1574"/>
        <v>0.12834395999186202</v>
      </c>
      <c r="AA1659" s="2">
        <f t="shared" ca="1" si="1575"/>
        <v>6313585.6711207377</v>
      </c>
      <c r="AB1659" s="2">
        <f t="shared" ca="1" si="1576"/>
        <v>6795562.9689796455</v>
      </c>
      <c r="AC1659" s="2">
        <f t="shared" ca="1" si="1577"/>
        <v>7178470.5425411025</v>
      </c>
      <c r="AD1659" s="2">
        <f t="shared" ca="1" si="1578"/>
        <v>7582953.6957212044</v>
      </c>
      <c r="AE1659" s="2">
        <f t="shared" ca="1" si="1579"/>
        <v>8010228.1413133796</v>
      </c>
      <c r="AF1659" s="2">
        <f t="shared" ca="1" si="1580"/>
        <v>1002474.9291075169</v>
      </c>
      <c r="AG1659" s="2">
        <f t="shared" ca="1" si="1581"/>
        <v>1058961.0869744918</v>
      </c>
      <c r="AH1659" s="2">
        <f t="shared" ca="1" si="1582"/>
        <v>1118630.053645886</v>
      </c>
      <c r="AI1659" s="2">
        <f t="shared" ca="1" si="1583"/>
        <v>1181661.1699065575</v>
      </c>
      <c r="AJ1659" s="2">
        <f t="shared" ca="1" si="1584"/>
        <v>1248243.8818034427</v>
      </c>
      <c r="AK1659" s="2">
        <f t="shared" ca="1" si="1585"/>
        <v>0</v>
      </c>
      <c r="AL1659" s="2">
        <f t="shared" ca="1" si="1586"/>
        <v>28243.078933487534</v>
      </c>
      <c r="AM1659" s="2">
        <f t="shared" ca="1" si="1587"/>
        <v>29834.483335697056</v>
      </c>
      <c r="AN1659" s="2">
        <f t="shared" ca="1" si="1588"/>
        <v>31515.558130335736</v>
      </c>
      <c r="AO1659" s="2">
        <f t="shared" ca="1" si="1589"/>
        <v>33291.355948442593</v>
      </c>
      <c r="AP1659" s="2">
        <f t="shared" ca="1" si="1590"/>
        <v>2118131.9841329474</v>
      </c>
      <c r="AQ1659" s="2">
        <f t="shared" ca="1" si="1591"/>
        <v>830174.47704887111</v>
      </c>
      <c r="AR1659" s="2">
        <f t="shared" ca="1" si="1592"/>
        <v>940802.17344677355</v>
      </c>
      <c r="AS1659" s="2">
        <f t="shared" ca="1" si="1593"/>
        <v>1024844.2112381901</v>
      </c>
      <c r="AT1659" s="2">
        <f t="shared" ca="1" si="1594"/>
        <v>1113621.740837242</v>
      </c>
      <c r="AU1659" s="2">
        <f t="shared" ca="1" si="1595"/>
        <v>1207401.5915980174</v>
      </c>
      <c r="AV1659" s="2">
        <f t="shared" ca="1" si="1596"/>
        <v>2362804.2808314022</v>
      </c>
      <c r="AW1659" s="2">
        <f t="shared" ca="1" si="1597"/>
        <v>2649424.6454919446</v>
      </c>
      <c r="AX1659" s="2">
        <f t="shared" ca="1" si="1598"/>
        <v>2887029.8101883829</v>
      </c>
      <c r="AY1659" s="2">
        <f t="shared" ca="1" si="1599"/>
        <v>3138023.2427141219</v>
      </c>
      <c r="AZ1659" s="2">
        <f t="shared" ca="1" si="1600"/>
        <v>3403159.3278305298</v>
      </c>
      <c r="BA1659" s="2">
        <f t="shared" ca="1" si="1601"/>
        <v>58416329.345957212</v>
      </c>
      <c r="BB1659" s="2">
        <f t="shared" ca="1" si="1602"/>
        <v>1168326.5869191443</v>
      </c>
      <c r="BC1659" s="2">
        <f t="shared" ca="1" si="1603"/>
        <v>33713202.935338646</v>
      </c>
      <c r="BD1659" s="2">
        <f t="shared" ca="1" si="1604"/>
        <v>-17170483.208453756</v>
      </c>
      <c r="BE1659" s="2">
        <f t="shared" ca="1" si="1605"/>
        <v>2362804.2808314022</v>
      </c>
      <c r="BF1659" s="2">
        <f t="shared" ca="1" si="1606"/>
        <v>2649424.6454919446</v>
      </c>
      <c r="BG1659" s="2">
        <f t="shared" ca="1" si="1607"/>
        <v>2887029.8101883829</v>
      </c>
      <c r="BH1659" s="2">
        <f t="shared" ca="1" si="1608"/>
        <v>3138023.2427141219</v>
      </c>
      <c r="BI1659" s="2">
        <f t="shared" ca="1" si="1609"/>
        <v>37116362.263169177</v>
      </c>
      <c r="BJ1659" s="2">
        <f t="shared" ca="1" si="1610"/>
        <v>0.27332015782499131</v>
      </c>
      <c r="BK1659" s="2">
        <f t="shared" ca="1" si="1611"/>
        <v>12161290.606921479</v>
      </c>
    </row>
    <row r="1660" spans="1:63" x14ac:dyDescent="0.3">
      <c r="A1660" s="2">
        <v>1659</v>
      </c>
      <c r="B1660" s="2">
        <f t="shared" ca="1" si="1550"/>
        <v>0.49111223515238245</v>
      </c>
      <c r="C1660" s="2">
        <f t="shared" ca="1" si="1551"/>
        <v>6.9910723839885582</v>
      </c>
      <c r="D1660" s="2">
        <f t="shared" ca="1" si="1552"/>
        <v>0.10500487025003225</v>
      </c>
      <c r="E1660" s="2">
        <f t="shared" ca="1" si="1553"/>
        <v>6.9582681971292191</v>
      </c>
      <c r="F1660" s="2">
        <f t="shared" ca="1" si="1554"/>
        <v>0.5904891967761694</v>
      </c>
      <c r="G1660" s="2">
        <f t="shared" ca="1" si="1555"/>
        <v>4.6864106539771452E-2</v>
      </c>
      <c r="H1660" s="2">
        <f t="shared" ca="1" si="1556"/>
        <v>4.6864106539771452E-2</v>
      </c>
      <c r="I1660" s="2">
        <f t="shared" ca="1" si="1557"/>
        <v>0.10186905862211526</v>
      </c>
      <c r="J1660" s="2">
        <f t="shared" ca="1" si="1558"/>
        <v>3.6451330753802828E-3</v>
      </c>
      <c r="K1660" s="2">
        <f t="shared" ca="1" si="1559"/>
        <v>3.6451330753802828E-3</v>
      </c>
      <c r="L1660" s="2">
        <f t="shared" ca="1" si="1560"/>
        <v>0.74870311654653809</v>
      </c>
      <c r="M1660" s="2">
        <f t="shared" ca="1" si="1561"/>
        <v>1.340828456739598E-2</v>
      </c>
      <c r="N1660" s="2">
        <f t="shared" ca="1" si="1562"/>
        <v>1.340828456739598E-2</v>
      </c>
      <c r="O1660" s="2">
        <f t="shared" si="1563"/>
        <v>6000000</v>
      </c>
      <c r="P1660" s="2">
        <f t="shared" ca="1" si="1564"/>
        <v>41946434.303931348</v>
      </c>
      <c r="Q1660" s="2">
        <f t="shared" ca="1" si="1565"/>
        <v>1048660.8575982838</v>
      </c>
      <c r="R1660" s="2">
        <f t="shared" ca="1" si="1566"/>
        <v>25167860.582358807</v>
      </c>
      <c r="S1660" s="2">
        <f t="shared" ca="1" si="1567"/>
        <v>16778573.721572541</v>
      </c>
      <c r="T1660" s="2">
        <f t="shared" ca="1" si="1568"/>
        <v>50670414.228369795</v>
      </c>
      <c r="U1660" s="2">
        <f t="shared" ca="1" si="1569"/>
        <v>53045037.919182472</v>
      </c>
      <c r="V1660" s="2">
        <f t="shared" ca="1" si="1570"/>
        <v>55530946.22763326</v>
      </c>
      <c r="W1660" s="2">
        <f t="shared" ca="1" si="1571"/>
        <v>58133354.407899387</v>
      </c>
      <c r="X1660" s="2">
        <f t="shared" ca="1" si="1572"/>
        <v>60857722.12238548</v>
      </c>
      <c r="Y1660" s="2">
        <f t="shared" ca="1" si="1573"/>
        <v>0.12182256653769014</v>
      </c>
      <c r="Z1660" s="2">
        <f t="shared" ca="1" si="1574"/>
        <v>0.12255159315276619</v>
      </c>
      <c r="AA1660" s="2">
        <f t="shared" ca="1" si="1575"/>
        <v>6172799.9088279</v>
      </c>
      <c r="AB1660" s="2">
        <f t="shared" ca="1" si="1576"/>
        <v>6500753.9058447052</v>
      </c>
      <c r="AC1660" s="2">
        <f t="shared" ca="1" si="1577"/>
        <v>6805405.9294770481</v>
      </c>
      <c r="AD1660" s="2">
        <f t="shared" ca="1" si="1578"/>
        <v>7124335.198002453</v>
      </c>
      <c r="AE1660" s="2">
        <f t="shared" ca="1" si="1579"/>
        <v>7458210.8017466841</v>
      </c>
      <c r="AF1660" s="2">
        <f t="shared" ca="1" si="1580"/>
        <v>1013408.2845673959</v>
      </c>
      <c r="AG1660" s="2">
        <f t="shared" ca="1" si="1581"/>
        <v>1060900.7583836494</v>
      </c>
      <c r="AH1660" s="2">
        <f t="shared" ca="1" si="1582"/>
        <v>1110618.9245526653</v>
      </c>
      <c r="AI1660" s="2">
        <f t="shared" ca="1" si="1583"/>
        <v>1162667.0881579877</v>
      </c>
      <c r="AJ1660" s="2">
        <f t="shared" ca="1" si="1584"/>
        <v>1217154.4424477096</v>
      </c>
      <c r="AK1660" s="2">
        <f t="shared" ca="1" si="1585"/>
        <v>0</v>
      </c>
      <c r="AL1660" s="2">
        <f t="shared" ca="1" si="1586"/>
        <v>23746.236908126772</v>
      </c>
      <c r="AM1660" s="2">
        <f t="shared" ca="1" si="1587"/>
        <v>24859.083084507882</v>
      </c>
      <c r="AN1660" s="2">
        <f t="shared" ca="1" si="1588"/>
        <v>26024.081802661269</v>
      </c>
      <c r="AO1660" s="2">
        <f t="shared" ca="1" si="1589"/>
        <v>27243.677144860925</v>
      </c>
      <c r="AP1660" s="2">
        <f t="shared" ca="1" si="1590"/>
        <v>2265107.4524122924</v>
      </c>
      <c r="AQ1660" s="2">
        <f t="shared" ca="1" si="1591"/>
        <v>752513.88468053495</v>
      </c>
      <c r="AR1660" s="2">
        <f t="shared" ca="1" si="1592"/>
        <v>825433.88071267854</v>
      </c>
      <c r="AS1660" s="2">
        <f t="shared" ca="1" si="1593"/>
        <v>891716.68365314358</v>
      </c>
      <c r="AT1660" s="2">
        <f t="shared" ca="1" si="1594"/>
        <v>961105.77093236486</v>
      </c>
      <c r="AU1660" s="2">
        <f t="shared" ca="1" si="1595"/>
        <v>1033746.7157905373</v>
      </c>
      <c r="AV1660" s="2">
        <f t="shared" ca="1" si="1596"/>
        <v>2141770.2871676767</v>
      </c>
      <c r="AW1660" s="2">
        <f t="shared" ca="1" si="1597"/>
        <v>2325565.5774279581</v>
      </c>
      <c r="AX1660" s="2">
        <f t="shared" ca="1" si="1598"/>
        <v>2513103.7857744396</v>
      </c>
      <c r="AY1660" s="2">
        <f t="shared" ca="1" si="1599"/>
        <v>2709430.8046971457</v>
      </c>
      <c r="AZ1660" s="2">
        <f t="shared" ca="1" si="1600"/>
        <v>2914958.5139512839</v>
      </c>
      <c r="BA1660" s="2">
        <f t="shared" ca="1" si="1601"/>
        <v>51896231.029279567</v>
      </c>
      <c r="BB1660" s="2">
        <f t="shared" ca="1" si="1602"/>
        <v>1037924.6205855914</v>
      </c>
      <c r="BC1660" s="2">
        <f t="shared" ca="1" si="1603"/>
        <v>25690445.826335169</v>
      </c>
      <c r="BD1660" s="2">
        <f t="shared" ca="1" si="1604"/>
        <v>-18327234.579170823</v>
      </c>
      <c r="BE1660" s="2">
        <f t="shared" ca="1" si="1605"/>
        <v>2141770.2871676767</v>
      </c>
      <c r="BF1660" s="2">
        <f t="shared" ca="1" si="1606"/>
        <v>2325565.5774279581</v>
      </c>
      <c r="BG1660" s="2">
        <f t="shared" ca="1" si="1607"/>
        <v>2513103.7857744396</v>
      </c>
      <c r="BH1660" s="2">
        <f t="shared" ca="1" si="1608"/>
        <v>2709430.8046971457</v>
      </c>
      <c r="BI1660" s="2">
        <f t="shared" ca="1" si="1609"/>
        <v>28605404.340286452</v>
      </c>
      <c r="BJ1660" s="2">
        <f t="shared" ca="1" si="1610"/>
        <v>0.18911694527704936</v>
      </c>
      <c r="BK1660" s="2">
        <f t="shared" ca="1" si="1611"/>
        <v>5181131.495614253</v>
      </c>
    </row>
    <row r="1661" spans="1:63" x14ac:dyDescent="0.3">
      <c r="A1661" s="2">
        <v>1660</v>
      </c>
      <c r="B1661" s="2">
        <f t="shared" ca="1" si="1550"/>
        <v>0.67474521298003642</v>
      </c>
      <c r="C1661" s="2">
        <f t="shared" ca="1" si="1551"/>
        <v>7.1934582626795267</v>
      </c>
      <c r="D1661" s="2">
        <f t="shared" ca="1" si="1552"/>
        <v>2.8570654033996057E-2</v>
      </c>
      <c r="E1661" s="2">
        <f t="shared" ca="1" si="1553"/>
        <v>6.7390424817223753</v>
      </c>
      <c r="F1661" s="2">
        <f t="shared" ca="1" si="1554"/>
        <v>0.64664023180742125</v>
      </c>
      <c r="G1661" s="2">
        <f t="shared" ca="1" si="1555"/>
        <v>5.1287964538450748E-2</v>
      </c>
      <c r="H1661" s="2">
        <f t="shared" ca="1" si="1556"/>
        <v>5.1287964538450748E-2</v>
      </c>
      <c r="I1661" s="2">
        <f t="shared" ca="1" si="1557"/>
        <v>0.33244796809509136</v>
      </c>
      <c r="J1661" s="2">
        <f t="shared" ca="1" si="1558"/>
        <v>7.8341821052371266E-3</v>
      </c>
      <c r="K1661" s="2">
        <f t="shared" ca="1" si="1559"/>
        <v>7.8341821052371266E-3</v>
      </c>
      <c r="L1661" s="2">
        <f t="shared" ca="1" si="1560"/>
        <v>0.96634966150968082</v>
      </c>
      <c r="M1661" s="2">
        <f t="shared" ca="1" si="1561"/>
        <v>3.6593215871094528E-2</v>
      </c>
      <c r="N1661" s="2">
        <f t="shared" ca="1" si="1562"/>
        <v>3.6593215871094528E-2</v>
      </c>
      <c r="O1661" s="2">
        <f t="shared" si="1563"/>
        <v>6000000</v>
      </c>
      <c r="P1661" s="2">
        <f t="shared" ca="1" si="1564"/>
        <v>43160749.576077163</v>
      </c>
      <c r="Q1661" s="2">
        <f t="shared" ca="1" si="1565"/>
        <v>1079018.7394019291</v>
      </c>
      <c r="R1661" s="2">
        <f t="shared" ca="1" si="1566"/>
        <v>25896449.745646298</v>
      </c>
      <c r="S1661" s="2">
        <f t="shared" ca="1" si="1567"/>
        <v>17264299.830430865</v>
      </c>
      <c r="T1661" s="2">
        <f t="shared" ca="1" si="1568"/>
        <v>51829660.793554723</v>
      </c>
      <c r="U1661" s="2">
        <f t="shared" ca="1" si="1569"/>
        <v>54487898.598374486</v>
      </c>
      <c r="V1661" s="2">
        <f t="shared" ca="1" si="1570"/>
        <v>57282472.009462617</v>
      </c>
      <c r="W1661" s="2">
        <f t="shared" ca="1" si="1571"/>
        <v>60220373.402558737</v>
      </c>
      <c r="X1661" s="2">
        <f t="shared" ca="1" si="1572"/>
        <v>63308953.778121434</v>
      </c>
      <c r="Y1661" s="2">
        <f t="shared" ca="1" si="1573"/>
        <v>0.12391709105261856</v>
      </c>
      <c r="Z1661" s="2">
        <f t="shared" ca="1" si="1574"/>
        <v>0.12548392747366599</v>
      </c>
      <c r="AA1661" s="2">
        <f t="shared" ca="1" si="1575"/>
        <v>6422580.7957812548</v>
      </c>
      <c r="AB1661" s="2">
        <f t="shared" ca="1" si="1576"/>
        <v>6837355.5159108909</v>
      </c>
      <c r="AC1661" s="2">
        <f t="shared" ca="1" si="1577"/>
        <v>7188029.5631477088</v>
      </c>
      <c r="AD1661" s="2">
        <f t="shared" ca="1" si="1578"/>
        <v>7556688.9684837647</v>
      </c>
      <c r="AE1661" s="2">
        <f t="shared" ca="1" si="1579"/>
        <v>7944256.1643274622</v>
      </c>
      <c r="AF1661" s="2">
        <f t="shared" ca="1" si="1580"/>
        <v>1036593.2158710945</v>
      </c>
      <c r="AG1661" s="2">
        <f t="shared" ca="1" si="1581"/>
        <v>1089757.9719674897</v>
      </c>
      <c r="AH1661" s="2">
        <f t="shared" ca="1" si="1582"/>
        <v>1145649.4401892524</v>
      </c>
      <c r="AI1661" s="2">
        <f t="shared" ca="1" si="1583"/>
        <v>1204407.4680511747</v>
      </c>
      <c r="AJ1661" s="2">
        <f t="shared" ca="1" si="1584"/>
        <v>1266179.0755624287</v>
      </c>
      <c r="AK1661" s="2">
        <f t="shared" ca="1" si="1585"/>
        <v>0</v>
      </c>
      <c r="AL1661" s="2">
        <f t="shared" ca="1" si="1586"/>
        <v>26582.378048197628</v>
      </c>
      <c r="AM1661" s="2">
        <f t="shared" ca="1" si="1587"/>
        <v>27945.734110881313</v>
      </c>
      <c r="AN1661" s="2">
        <f t="shared" ca="1" si="1588"/>
        <v>29379.013930961191</v>
      </c>
      <c r="AO1661" s="2">
        <f t="shared" ca="1" si="1589"/>
        <v>30885.803755626977</v>
      </c>
      <c r="AP1661" s="2">
        <f t="shared" ca="1" si="1590"/>
        <v>2330680.4771081666</v>
      </c>
      <c r="AQ1661" s="2">
        <f t="shared" ca="1" si="1591"/>
        <v>794379.84672851837</v>
      </c>
      <c r="AR1661" s="2">
        <f t="shared" ca="1" si="1592"/>
        <v>888398.43737716111</v>
      </c>
      <c r="AS1661" s="2">
        <f t="shared" ca="1" si="1593"/>
        <v>965041.90792107536</v>
      </c>
      <c r="AT1661" s="2">
        <f t="shared" ca="1" si="1594"/>
        <v>1045616.2660643501</v>
      </c>
      <c r="AU1661" s="2">
        <f t="shared" ca="1" si="1595"/>
        <v>1130323.1190307855</v>
      </c>
      <c r="AV1661" s="2">
        <f t="shared" ca="1" si="1596"/>
        <v>2260927.2560734749</v>
      </c>
      <c r="AW1661" s="2">
        <f t="shared" ca="1" si="1597"/>
        <v>2501936.2514098762</v>
      </c>
      <c r="AX1661" s="2">
        <f t="shared" ca="1" si="1598"/>
        <v>2718712.0038183322</v>
      </c>
      <c r="AY1661" s="2">
        <f t="shared" ca="1" si="1599"/>
        <v>2946605.7433291115</v>
      </c>
      <c r="AZ1661" s="2">
        <f t="shared" ca="1" si="1600"/>
        <v>3186187.6888704542</v>
      </c>
      <c r="BA1661" s="2">
        <f t="shared" ca="1" si="1601"/>
        <v>53536679.777087621</v>
      </c>
      <c r="BB1661" s="2">
        <f t="shared" ca="1" si="1602"/>
        <v>1070733.5955417524</v>
      </c>
      <c r="BC1661" s="2">
        <f t="shared" ca="1" si="1603"/>
        <v>26569496.435899571</v>
      </c>
      <c r="BD1661" s="2">
        <f t="shared" ca="1" si="1604"/>
        <v>-18843318.569832794</v>
      </c>
      <c r="BE1661" s="2">
        <f t="shared" ca="1" si="1605"/>
        <v>2260927.2560734749</v>
      </c>
      <c r="BF1661" s="2">
        <f t="shared" ca="1" si="1606"/>
        <v>2501936.2514098762</v>
      </c>
      <c r="BG1661" s="2">
        <f t="shared" ca="1" si="1607"/>
        <v>2718712.0038183322</v>
      </c>
      <c r="BH1661" s="2">
        <f t="shared" ca="1" si="1608"/>
        <v>2946605.7433291115</v>
      </c>
      <c r="BI1661" s="2">
        <f t="shared" ca="1" si="1609"/>
        <v>29755684.124770023</v>
      </c>
      <c r="BJ1661" s="2">
        <f t="shared" ca="1" si="1610"/>
        <v>0.19576505302622338</v>
      </c>
      <c r="BK1661" s="2">
        <f t="shared" ca="1" si="1611"/>
        <v>5861815.7481820658</v>
      </c>
    </row>
    <row r="1662" spans="1:63" x14ac:dyDescent="0.3">
      <c r="A1662" s="2">
        <v>1661</v>
      </c>
      <c r="B1662" s="2">
        <f t="shared" ca="1" si="1550"/>
        <v>0.54501415149339139</v>
      </c>
      <c r="C1662" s="2">
        <f t="shared" ca="1" si="1551"/>
        <v>7.0460756334943442</v>
      </c>
      <c r="D1662" s="2">
        <f t="shared" ca="1" si="1552"/>
        <v>0.87693942488883436</v>
      </c>
      <c r="E1662" s="2">
        <f t="shared" ca="1" si="1553"/>
        <v>8.0038940131158149</v>
      </c>
      <c r="F1662" s="2">
        <f t="shared" ca="1" si="1554"/>
        <v>0.90692639339612702</v>
      </c>
      <c r="G1662" s="2">
        <f t="shared" ca="1" si="1555"/>
        <v>7.9661886397279474E-2</v>
      </c>
      <c r="H1662" s="2">
        <f t="shared" ca="1" si="1556"/>
        <v>7.9661886397279474E-2</v>
      </c>
      <c r="I1662" s="2">
        <f t="shared" ca="1" si="1557"/>
        <v>0.88315168945917344</v>
      </c>
      <c r="J1662" s="2">
        <f t="shared" ca="1" si="1558"/>
        <v>1.5954451906367319E-2</v>
      </c>
      <c r="K1662" s="2">
        <f t="shared" ca="1" si="1559"/>
        <v>1.5954451906367319E-2</v>
      </c>
      <c r="L1662" s="2">
        <f t="shared" ca="1" si="1560"/>
        <v>0.30343299609332375</v>
      </c>
      <c r="M1662" s="2">
        <f t="shared" ca="1" si="1561"/>
        <v>-1.0291043496863937E-2</v>
      </c>
      <c r="N1662" s="2">
        <f t="shared" ca="1" si="1562"/>
        <v>-1.0291043496863937E-2</v>
      </c>
      <c r="O1662" s="2">
        <f t="shared" si="1563"/>
        <v>6000000</v>
      </c>
      <c r="P1662" s="2">
        <f t="shared" ca="1" si="1564"/>
        <v>42276453.800966062</v>
      </c>
      <c r="Q1662" s="2">
        <f t="shared" ca="1" si="1565"/>
        <v>1056911.3450241515</v>
      </c>
      <c r="R1662" s="2">
        <f t="shared" ca="1" si="1566"/>
        <v>25365872.280579638</v>
      </c>
      <c r="S1662" s="2">
        <f t="shared" ca="1" si="1567"/>
        <v>16910581.520386424</v>
      </c>
      <c r="T1662" s="2">
        <f t="shared" ca="1" si="1568"/>
        <v>49485447.8251568</v>
      </c>
      <c r="U1662" s="2">
        <f t="shared" ca="1" si="1569"/>
        <v>53427551.948122948</v>
      </c>
      <c r="V1662" s="2">
        <f t="shared" ca="1" si="1570"/>
        <v>57683691.521899074</v>
      </c>
      <c r="W1662" s="2">
        <f t="shared" ca="1" si="1571"/>
        <v>62278883.202892318</v>
      </c>
      <c r="X1662" s="2">
        <f t="shared" ca="1" si="1572"/>
        <v>67240136.521550566</v>
      </c>
      <c r="Y1662" s="2">
        <f t="shared" ca="1" si="1573"/>
        <v>0.12797722595318364</v>
      </c>
      <c r="Z1662" s="2">
        <f t="shared" ca="1" si="1574"/>
        <v>0.13116811633445713</v>
      </c>
      <c r="AA1662" s="2">
        <f t="shared" ca="1" si="1575"/>
        <v>6333010.3377145715</v>
      </c>
      <c r="AB1662" s="2">
        <f t="shared" ca="1" si="1576"/>
        <v>7007991.3493966423</v>
      </c>
      <c r="AC1662" s="2">
        <f t="shared" ca="1" si="1577"/>
        <v>7566261.1601453964</v>
      </c>
      <c r="AD1662" s="2">
        <f t="shared" ca="1" si="1578"/>
        <v>8169003.7971370481</v>
      </c>
      <c r="AE1662" s="2">
        <f t="shared" ca="1" si="1579"/>
        <v>8819762.0496035237</v>
      </c>
      <c r="AF1662" s="2">
        <f t="shared" ca="1" si="1580"/>
        <v>989708.95650313608</v>
      </c>
      <c r="AG1662" s="2">
        <f t="shared" ca="1" si="1581"/>
        <v>1068551.038962459</v>
      </c>
      <c r="AH1662" s="2">
        <f t="shared" ca="1" si="1582"/>
        <v>1153673.8304379815</v>
      </c>
      <c r="AI1662" s="2">
        <f t="shared" ca="1" si="1583"/>
        <v>1245577.6640578464</v>
      </c>
      <c r="AJ1662" s="2">
        <f t="shared" ca="1" si="1584"/>
        <v>1344802.7304310114</v>
      </c>
      <c r="AK1662" s="2">
        <f t="shared" ca="1" si="1585"/>
        <v>0</v>
      </c>
      <c r="AL1662" s="2">
        <f t="shared" ca="1" si="1586"/>
        <v>39421.041229661481</v>
      </c>
      <c r="AM1662" s="2">
        <f t="shared" ca="1" si="1587"/>
        <v>42561.395737761261</v>
      </c>
      <c r="AN1662" s="2">
        <f t="shared" ca="1" si="1588"/>
        <v>45951.916809932438</v>
      </c>
      <c r="AO1662" s="2">
        <f t="shared" ca="1" si="1589"/>
        <v>49612.533186582477</v>
      </c>
      <c r="AP1662" s="2">
        <f t="shared" ca="1" si="1590"/>
        <v>2282928.5052521671</v>
      </c>
      <c r="AQ1662" s="2">
        <f t="shared" ca="1" si="1591"/>
        <v>795696.94774940982</v>
      </c>
      <c r="AR1662" s="2">
        <f t="shared" ca="1" si="1592"/>
        <v>950693.0693473242</v>
      </c>
      <c r="AS1662" s="2">
        <f t="shared" ca="1" si="1593"/>
        <v>1073711.2943583645</v>
      </c>
      <c r="AT1662" s="2">
        <f t="shared" ca="1" si="1594"/>
        <v>1206529.3832350292</v>
      </c>
      <c r="AU1662" s="2">
        <f t="shared" ca="1" si="1595"/>
        <v>1349928.0116192899</v>
      </c>
      <c r="AV1662" s="2">
        <f t="shared" ca="1" si="1596"/>
        <v>2264675.9282098585</v>
      </c>
      <c r="AW1662" s="2">
        <f t="shared" ca="1" si="1597"/>
        <v>2666397.6946050306</v>
      </c>
      <c r="AX1662" s="2">
        <f t="shared" ca="1" si="1598"/>
        <v>3013386.1343591218</v>
      </c>
      <c r="AY1662" s="2">
        <f t="shared" ca="1" si="1599"/>
        <v>3388016.3277820735</v>
      </c>
      <c r="AZ1662" s="2">
        <f t="shared" ca="1" si="1600"/>
        <v>3792490.2691144724</v>
      </c>
      <c r="BA1662" s="2">
        <f t="shared" ca="1" si="1601"/>
        <v>70592440.665927708</v>
      </c>
      <c r="BB1662" s="2">
        <f t="shared" ca="1" si="1602"/>
        <v>1411848.8133185541</v>
      </c>
      <c r="BC1662" s="2">
        <f t="shared" ca="1" si="1603"/>
        <v>43814719.572029516</v>
      </c>
      <c r="BD1662" s="2">
        <f t="shared" ca="1" si="1604"/>
        <v>-18467492.865410574</v>
      </c>
      <c r="BE1662" s="2">
        <f t="shared" ca="1" si="1605"/>
        <v>2264675.9282098585</v>
      </c>
      <c r="BF1662" s="2">
        <f t="shared" ca="1" si="1606"/>
        <v>2666397.6946050306</v>
      </c>
      <c r="BG1662" s="2">
        <f t="shared" ca="1" si="1607"/>
        <v>3013386.1343591218</v>
      </c>
      <c r="BH1662" s="2">
        <f t="shared" ca="1" si="1608"/>
        <v>3388016.3277820735</v>
      </c>
      <c r="BI1662" s="2">
        <f t="shared" ca="1" si="1609"/>
        <v>47607209.841143988</v>
      </c>
      <c r="BJ1662" s="2">
        <f t="shared" ca="1" si="1610"/>
        <v>0.30390859621308519</v>
      </c>
      <c r="BK1662" s="2">
        <f t="shared" ca="1" si="1611"/>
        <v>16991798.876007281</v>
      </c>
    </row>
    <row r="1663" spans="1:63" x14ac:dyDescent="0.3">
      <c r="A1663" s="2">
        <v>1662</v>
      </c>
      <c r="B1663" s="2">
        <f t="shared" ca="1" si="1550"/>
        <v>0.55014549695923731</v>
      </c>
      <c r="C1663" s="2">
        <f t="shared" ca="1" si="1551"/>
        <v>7.0514700816096916</v>
      </c>
      <c r="D1663" s="2">
        <f t="shared" ca="1" si="1552"/>
        <v>0.81554743493064996</v>
      </c>
      <c r="E1663" s="2">
        <f t="shared" ca="1" si="1553"/>
        <v>7.8926243912217906</v>
      </c>
      <c r="F1663" s="2">
        <f t="shared" ca="1" si="1554"/>
        <v>0.7292985219096384</v>
      </c>
      <c r="G1663" s="2">
        <f t="shared" ca="1" si="1555"/>
        <v>5.8320784784781872E-2</v>
      </c>
      <c r="H1663" s="2">
        <f t="shared" ca="1" si="1556"/>
        <v>5.8320784784781872E-2</v>
      </c>
      <c r="I1663" s="2">
        <f t="shared" ca="1" si="1557"/>
        <v>0.13729915767759948</v>
      </c>
      <c r="J1663" s="2">
        <f t="shared" ca="1" si="1558"/>
        <v>4.5373284162279958E-3</v>
      </c>
      <c r="K1663" s="2">
        <f t="shared" ca="1" si="1559"/>
        <v>4.5373284162279958E-3</v>
      </c>
      <c r="L1663" s="2">
        <f t="shared" ca="1" si="1560"/>
        <v>0.82713782641225353</v>
      </c>
      <c r="M1663" s="2">
        <f t="shared" ca="1" si="1561"/>
        <v>1.8858301354166704E-2</v>
      </c>
      <c r="N1663" s="2">
        <f t="shared" ca="1" si="1562"/>
        <v>1.8858301354166704E-2</v>
      </c>
      <c r="O1663" s="2">
        <f t="shared" si="1563"/>
        <v>6000000</v>
      </c>
      <c r="P1663" s="2">
        <f t="shared" ca="1" si="1564"/>
        <v>42308820.489658147</v>
      </c>
      <c r="Q1663" s="2">
        <f t="shared" ca="1" si="1565"/>
        <v>1057720.5122414536</v>
      </c>
      <c r="R1663" s="2">
        <f t="shared" ca="1" si="1566"/>
        <v>25385292.293794889</v>
      </c>
      <c r="S1663" s="2">
        <f t="shared" ca="1" si="1567"/>
        <v>16923528.195863258</v>
      </c>
      <c r="T1663" s="2">
        <f t="shared" ca="1" si="1568"/>
        <v>50942915.067708336</v>
      </c>
      <c r="U1663" s="2">
        <f t="shared" ca="1" si="1569"/>
        <v>53913945.853681579</v>
      </c>
      <c r="V1663" s="2">
        <f t="shared" ca="1" si="1570"/>
        <v>57058249.48671253</v>
      </c>
      <c r="W1663" s="2">
        <f t="shared" ca="1" si="1571"/>
        <v>60385931.375223488</v>
      </c>
      <c r="X1663" s="2">
        <f t="shared" ca="1" si="1572"/>
        <v>63907686.282986507</v>
      </c>
      <c r="Y1663" s="2">
        <f t="shared" ca="1" si="1573"/>
        <v>0.122268664208114</v>
      </c>
      <c r="Z1663" s="2">
        <f t="shared" ca="1" si="1574"/>
        <v>0.12317612989135959</v>
      </c>
      <c r="AA1663" s="2">
        <f t="shared" ca="1" si="1575"/>
        <v>6228722.1761961011</v>
      </c>
      <c r="AB1663" s="2">
        <f t="shared" ca="1" si="1576"/>
        <v>6640911.1974288104</v>
      </c>
      <c r="AC1663" s="2">
        <f t="shared" ca="1" si="1577"/>
        <v>7028214.3501489041</v>
      </c>
      <c r="AD1663" s="2">
        <f t="shared" ca="1" si="1578"/>
        <v>7438105.3266852545</v>
      </c>
      <c r="AE1663" s="2">
        <f t="shared" ca="1" si="1579"/>
        <v>7871901.4666494057</v>
      </c>
      <c r="AF1663" s="2">
        <f t="shared" ca="1" si="1580"/>
        <v>1018858.3013541667</v>
      </c>
      <c r="AG1663" s="2">
        <f t="shared" ca="1" si="1581"/>
        <v>1078278.9170736317</v>
      </c>
      <c r="AH1663" s="2">
        <f t="shared" ca="1" si="1582"/>
        <v>1141164.9897342506</v>
      </c>
      <c r="AI1663" s="2">
        <f t="shared" ca="1" si="1583"/>
        <v>1207718.6275044698</v>
      </c>
      <c r="AJ1663" s="2">
        <f t="shared" ca="1" si="1584"/>
        <v>1278153.7256597301</v>
      </c>
      <c r="AK1663" s="2">
        <f t="shared" ca="1" si="1585"/>
        <v>0</v>
      </c>
      <c r="AL1663" s="2">
        <f t="shared" ca="1" si="1586"/>
        <v>29710.307859732435</v>
      </c>
      <c r="AM1663" s="2">
        <f t="shared" ca="1" si="1587"/>
        <v>31443.036330309511</v>
      </c>
      <c r="AN1663" s="2">
        <f t="shared" ca="1" si="1588"/>
        <v>33276.818885109577</v>
      </c>
      <c r="AO1663" s="2">
        <f t="shared" ca="1" si="1589"/>
        <v>35217.549077630196</v>
      </c>
      <c r="AP1663" s="2">
        <f t="shared" ca="1" si="1590"/>
        <v>2284676.3064415399</v>
      </c>
      <c r="AQ1663" s="2">
        <f t="shared" ca="1" si="1591"/>
        <v>760548.76778410247</v>
      </c>
      <c r="AR1663" s="2">
        <f t="shared" ca="1" si="1592"/>
        <v>852268.55321754608</v>
      </c>
      <c r="AS1663" s="2">
        <f t="shared" ca="1" si="1593"/>
        <v>936616.99403300975</v>
      </c>
      <c r="AT1663" s="2">
        <f t="shared" ca="1" si="1594"/>
        <v>1025884.7021122037</v>
      </c>
      <c r="AU1663" s="2">
        <f t="shared" ca="1" si="1595"/>
        <v>1120358.5729825154</v>
      </c>
      <c r="AV1663" s="2">
        <f t="shared" ca="1" si="1596"/>
        <v>2164638.8006162914</v>
      </c>
      <c r="AW1663" s="2">
        <f t="shared" ca="1" si="1597"/>
        <v>2395977.11283636</v>
      </c>
      <c r="AX1663" s="2">
        <f t="shared" ca="1" si="1598"/>
        <v>2634313.0236097947</v>
      </c>
      <c r="AY1663" s="2">
        <f t="shared" ca="1" si="1599"/>
        <v>2886548.8717419319</v>
      </c>
      <c r="AZ1663" s="2">
        <f t="shared" ca="1" si="1600"/>
        <v>3153495.3124879906</v>
      </c>
      <c r="BA1663" s="2">
        <f t="shared" ca="1" si="1601"/>
        <v>62129961.520971686</v>
      </c>
      <c r="BB1663" s="2">
        <f t="shared" ca="1" si="1602"/>
        <v>1242599.2304194337</v>
      </c>
      <c r="BC1663" s="2">
        <f t="shared" ca="1" si="1603"/>
        <v>35502069.996757366</v>
      </c>
      <c r="BD1663" s="2">
        <f t="shared" ca="1" si="1604"/>
        <v>-18481248.708104711</v>
      </c>
      <c r="BE1663" s="2">
        <f t="shared" ca="1" si="1605"/>
        <v>2164638.8006162914</v>
      </c>
      <c r="BF1663" s="2">
        <f t="shared" ca="1" si="1606"/>
        <v>2395977.11283636</v>
      </c>
      <c r="BG1663" s="2">
        <f t="shared" ca="1" si="1607"/>
        <v>2634313.0236097947</v>
      </c>
      <c r="BH1663" s="2">
        <f t="shared" ca="1" si="1608"/>
        <v>2886548.8717419319</v>
      </c>
      <c r="BI1663" s="2">
        <f t="shared" ca="1" si="1609"/>
        <v>38655565.309245355</v>
      </c>
      <c r="BJ1663" s="2">
        <f t="shared" ca="1" si="1610"/>
        <v>0.24970182223328896</v>
      </c>
      <c r="BK1663" s="2">
        <f t="shared" ca="1" si="1611"/>
        <v>11005234.640240971</v>
      </c>
    </row>
    <row r="1664" spans="1:63" x14ac:dyDescent="0.3">
      <c r="A1664" s="2">
        <v>1663</v>
      </c>
      <c r="B1664" s="2">
        <f t="shared" ca="1" si="1550"/>
        <v>0.46277149308993704</v>
      </c>
      <c r="C1664" s="2">
        <f t="shared" ca="1" si="1551"/>
        <v>6.9620514467427785</v>
      </c>
      <c r="D1664" s="2">
        <f t="shared" ca="1" si="1552"/>
        <v>0.88667308367434516</v>
      </c>
      <c r="E1664" s="2">
        <f t="shared" ca="1" si="1553"/>
        <v>8.0239182500333488</v>
      </c>
      <c r="F1664" s="2">
        <f t="shared" ca="1" si="1554"/>
        <v>0.77736889679606269</v>
      </c>
      <c r="G1664" s="2">
        <f t="shared" ca="1" si="1555"/>
        <v>6.2900121822137695E-2</v>
      </c>
      <c r="H1664" s="2">
        <f t="shared" ca="1" si="1556"/>
        <v>6.2900121822137695E-2</v>
      </c>
      <c r="I1664" s="2">
        <f t="shared" ca="1" si="1557"/>
        <v>0.7744030075986853</v>
      </c>
      <c r="J1664" s="2">
        <f t="shared" ca="1" si="1558"/>
        <v>1.3767129824967311E-2</v>
      </c>
      <c r="K1664" s="2">
        <f t="shared" ca="1" si="1559"/>
        <v>1.3767129824967311E-2</v>
      </c>
      <c r="L1664" s="2">
        <f t="shared" ca="1" si="1560"/>
        <v>0.49580993865141487</v>
      </c>
      <c r="M1664" s="2">
        <f t="shared" ca="1" si="1561"/>
        <v>-2.1006238710224241E-4</v>
      </c>
      <c r="N1664" s="2">
        <f t="shared" ca="1" si="1562"/>
        <v>-2.1006238710224241E-4</v>
      </c>
      <c r="O1664" s="2">
        <f t="shared" si="1563"/>
        <v>6000000</v>
      </c>
      <c r="P1664" s="2">
        <f t="shared" ca="1" si="1564"/>
        <v>41772308.680456668</v>
      </c>
      <c r="Q1664" s="2">
        <f t="shared" ca="1" si="1565"/>
        <v>1044307.7170114168</v>
      </c>
      <c r="R1664" s="2">
        <f t="shared" ca="1" si="1566"/>
        <v>25063385.208273999</v>
      </c>
      <c r="S1664" s="2">
        <f t="shared" ca="1" si="1567"/>
        <v>16708923.472182669</v>
      </c>
      <c r="T1664" s="2">
        <f t="shared" ca="1" si="1568"/>
        <v>49989496.880644888</v>
      </c>
      <c r="U1664" s="2">
        <f t="shared" ca="1" si="1569"/>
        <v>53133842.324264824</v>
      </c>
      <c r="V1664" s="2">
        <f t="shared" ca="1" si="1570"/>
        <v>56475967.479339339</v>
      </c>
      <c r="W1664" s="2">
        <f t="shared" ca="1" si="1571"/>
        <v>60028312.713812865</v>
      </c>
      <c r="X1664" s="2">
        <f t="shared" ca="1" si="1572"/>
        <v>63804100.896289073</v>
      </c>
      <c r="Y1664" s="2">
        <f t="shared" ca="1" si="1573"/>
        <v>0.12688356491248365</v>
      </c>
      <c r="Z1664" s="2">
        <f t="shared" ca="1" si="1574"/>
        <v>0.1296369908774771</v>
      </c>
      <c r="AA1664" s="2">
        <f t="shared" ca="1" si="1575"/>
        <v>6342845.5723977042</v>
      </c>
      <c r="AB1664" s="2">
        <f t="shared" ca="1" si="1576"/>
        <v>6888111.4326760257</v>
      </c>
      <c r="AC1664" s="2">
        <f t="shared" ca="1" si="1577"/>
        <v>7321374.4809158072</v>
      </c>
      <c r="AD1664" s="2">
        <f t="shared" ca="1" si="1578"/>
        <v>7781889.8276709011</v>
      </c>
      <c r="AE1664" s="2">
        <f t="shared" ca="1" si="1579"/>
        <v>8271371.6458378546</v>
      </c>
      <c r="AF1664" s="2">
        <f t="shared" ca="1" si="1580"/>
        <v>999789.93761289772</v>
      </c>
      <c r="AG1664" s="2">
        <f t="shared" ca="1" si="1581"/>
        <v>1062676.8464852965</v>
      </c>
      <c r="AH1664" s="2">
        <f t="shared" ca="1" si="1582"/>
        <v>1129519.3495867867</v>
      </c>
      <c r="AI1664" s="2">
        <f t="shared" ca="1" si="1583"/>
        <v>1200566.2542762572</v>
      </c>
      <c r="AJ1664" s="2">
        <f t="shared" ca="1" si="1584"/>
        <v>1276082.0179257814</v>
      </c>
      <c r="AK1664" s="2">
        <f t="shared" ca="1" si="1585"/>
        <v>0</v>
      </c>
      <c r="AL1664" s="2">
        <f t="shared" ca="1" si="1586"/>
        <v>31443.454436199369</v>
      </c>
      <c r="AM1664" s="2">
        <f t="shared" ca="1" si="1587"/>
        <v>33421.251550745146</v>
      </c>
      <c r="AN1664" s="2">
        <f t="shared" ca="1" si="1588"/>
        <v>35523.452344735262</v>
      </c>
      <c r="AO1664" s="2">
        <f t="shared" ca="1" si="1589"/>
        <v>37757.88182476208</v>
      </c>
      <c r="AP1664" s="2">
        <f t="shared" ca="1" si="1590"/>
        <v>2255704.66874466</v>
      </c>
      <c r="AQ1664" s="2">
        <f t="shared" ca="1" si="1591"/>
        <v>802711.25117043813</v>
      </c>
      <c r="AR1664" s="2">
        <f t="shared" ca="1" si="1592"/>
        <v>928129.77853597805</v>
      </c>
      <c r="AS1664" s="2">
        <f t="shared" ca="1" si="1593"/>
        <v>1023399.1202719337</v>
      </c>
      <c r="AT1664" s="2">
        <f t="shared" ca="1" si="1594"/>
        <v>1124660.9152089958</v>
      </c>
      <c r="AU1664" s="2">
        <f t="shared" ca="1" si="1595"/>
        <v>1232292.0893835276</v>
      </c>
      <c r="AV1664" s="2">
        <f t="shared" ca="1" si="1596"/>
        <v>2284639.7148697088</v>
      </c>
      <c r="AW1664" s="2">
        <f t="shared" ca="1" si="1597"/>
        <v>2610156.6844738917</v>
      </c>
      <c r="AX1664" s="2">
        <f t="shared" ca="1" si="1598"/>
        <v>2879330.0907616811</v>
      </c>
      <c r="AY1664" s="2">
        <f t="shared" ca="1" si="1599"/>
        <v>3165434.5370962536</v>
      </c>
      <c r="AZ1664" s="2">
        <f t="shared" ca="1" si="1600"/>
        <v>3469534.9879591241</v>
      </c>
      <c r="BA1664" s="2">
        <f t="shared" ca="1" si="1601"/>
        <v>66368809.901846737</v>
      </c>
      <c r="BB1664" s="2">
        <f t="shared" ca="1" si="1602"/>
        <v>1327376.1980369347</v>
      </c>
      <c r="BC1664" s="2">
        <f t="shared" ca="1" si="1603"/>
        <v>39978048.495535806</v>
      </c>
      <c r="BD1664" s="2">
        <f t="shared" ca="1" si="1604"/>
        <v>-18253231.189194087</v>
      </c>
      <c r="BE1664" s="2">
        <f t="shared" ca="1" si="1605"/>
        <v>2284639.7148697088</v>
      </c>
      <c r="BF1664" s="2">
        <f t="shared" ca="1" si="1606"/>
        <v>2610156.6844738917</v>
      </c>
      <c r="BG1664" s="2">
        <f t="shared" ca="1" si="1607"/>
        <v>2879330.0907616811</v>
      </c>
      <c r="BH1664" s="2">
        <f t="shared" ca="1" si="1608"/>
        <v>3165434.5370962536</v>
      </c>
      <c r="BI1664" s="2">
        <f t="shared" ca="1" si="1609"/>
        <v>43447583.48349493</v>
      </c>
      <c r="BJ1664" s="2">
        <f t="shared" ca="1" si="1610"/>
        <v>0.28541177491626613</v>
      </c>
      <c r="BK1664" s="2">
        <f t="shared" ca="1" si="1611"/>
        <v>14581893.471875418</v>
      </c>
    </row>
    <row r="1665" spans="1:63" x14ac:dyDescent="0.3">
      <c r="A1665" s="2">
        <v>1664</v>
      </c>
      <c r="B1665" s="2">
        <f t="shared" ca="1" si="1550"/>
        <v>0.69101919666975709</v>
      </c>
      <c r="C1665" s="2">
        <f t="shared" ca="1" si="1551"/>
        <v>7.2138946593105437</v>
      </c>
      <c r="D1665" s="2">
        <f t="shared" ca="1" si="1552"/>
        <v>0.39403463936075145</v>
      </c>
      <c r="E1665" s="2">
        <f t="shared" ca="1" si="1553"/>
        <v>7.3877326617408547</v>
      </c>
      <c r="F1665" s="2">
        <f t="shared" ca="1" si="1554"/>
        <v>0.95974904222037438</v>
      </c>
      <c r="G1665" s="2">
        <f t="shared" ca="1" si="1555"/>
        <v>9.2433437101126836E-2</v>
      </c>
      <c r="H1665" s="2">
        <f t="shared" ca="1" si="1556"/>
        <v>9.2433437101126836E-2</v>
      </c>
      <c r="I1665" s="2">
        <f t="shared" ca="1" si="1557"/>
        <v>0.59278288310757155</v>
      </c>
      <c r="J1665" s="2">
        <f t="shared" ca="1" si="1558"/>
        <v>1.1173547370991882E-2</v>
      </c>
      <c r="K1665" s="2">
        <f t="shared" ca="1" si="1559"/>
        <v>1.1173547370991882E-2</v>
      </c>
      <c r="L1665" s="2">
        <f t="shared" ca="1" si="1560"/>
        <v>0.29298522117999104</v>
      </c>
      <c r="M1665" s="2">
        <f t="shared" ca="1" si="1561"/>
        <v>-1.0893692461949728E-2</v>
      </c>
      <c r="N1665" s="2">
        <f t="shared" ca="1" si="1562"/>
        <v>-1.0893692461949728E-2</v>
      </c>
      <c r="O1665" s="2">
        <f t="shared" si="1563"/>
        <v>6000000</v>
      </c>
      <c r="P1665" s="2">
        <f t="shared" ca="1" si="1564"/>
        <v>43283367.95586326</v>
      </c>
      <c r="Q1665" s="2">
        <f t="shared" ca="1" si="1565"/>
        <v>1082084.1988965815</v>
      </c>
      <c r="R1665" s="2">
        <f t="shared" ca="1" si="1566"/>
        <v>25970020.773517955</v>
      </c>
      <c r="S1665" s="2">
        <f t="shared" ca="1" si="1567"/>
        <v>17313347.182345305</v>
      </c>
      <c r="T1665" s="2">
        <f t="shared" ca="1" si="1568"/>
        <v>49455315.376902513</v>
      </c>
      <c r="U1665" s="2">
        <f t="shared" ca="1" si="1569"/>
        <v>54026640.160109825</v>
      </c>
      <c r="V1665" s="2">
        <f t="shared" ca="1" si="1570"/>
        <v>59020508.205134548</v>
      </c>
      <c r="W1665" s="2">
        <f t="shared" ca="1" si="1571"/>
        <v>64475976.637990393</v>
      </c>
      <c r="X1665" s="2">
        <f t="shared" ca="1" si="1572"/>
        <v>70435712.7690918</v>
      </c>
      <c r="Y1665" s="2">
        <f t="shared" ca="1" si="1573"/>
        <v>0.12558677368549592</v>
      </c>
      <c r="Z1665" s="2">
        <f t="shared" ca="1" si="1574"/>
        <v>0.12782148315969433</v>
      </c>
      <c r="AA1665" s="2">
        <f t="shared" ca="1" si="1575"/>
        <v>6210933.4997838829</v>
      </c>
      <c r="AB1665" s="2">
        <f t="shared" ca="1" si="1576"/>
        <v>6905765.2754003434</v>
      </c>
      <c r="AC1665" s="2">
        <f t="shared" ca="1" si="1577"/>
        <v>7544088.8956192061</v>
      </c>
      <c r="AD1665" s="2">
        <f t="shared" ca="1" si="1578"/>
        <v>8241414.9620377338</v>
      </c>
      <c r="AE1665" s="2">
        <f t="shared" ca="1" si="1579"/>
        <v>9003197.273555534</v>
      </c>
      <c r="AF1665" s="2">
        <f t="shared" ca="1" si="1580"/>
        <v>989106.30753805023</v>
      </c>
      <c r="AG1665" s="2">
        <f t="shared" ca="1" si="1581"/>
        <v>1080532.8032021965</v>
      </c>
      <c r="AH1665" s="2">
        <f t="shared" ca="1" si="1582"/>
        <v>1180410.164102691</v>
      </c>
      <c r="AI1665" s="2">
        <f t="shared" ca="1" si="1583"/>
        <v>1289519.5327598078</v>
      </c>
      <c r="AJ1665" s="2">
        <f t="shared" ca="1" si="1584"/>
        <v>1408714.2553818361</v>
      </c>
      <c r="AK1665" s="2">
        <f t="shared" ca="1" si="1585"/>
        <v>0</v>
      </c>
      <c r="AL1665" s="2">
        <f t="shared" ca="1" si="1586"/>
        <v>45713.247832073124</v>
      </c>
      <c r="AM1665" s="2">
        <f t="shared" ca="1" si="1587"/>
        <v>49938.68045024723</v>
      </c>
      <c r="AN1665" s="2">
        <f t="shared" ca="1" si="1588"/>
        <v>54554.684328558447</v>
      </c>
      <c r="AO1665" s="2">
        <f t="shared" ca="1" si="1589"/>
        <v>59597.361311014072</v>
      </c>
      <c r="AP1665" s="2">
        <f t="shared" ca="1" si="1590"/>
        <v>2337301.8696166161</v>
      </c>
      <c r="AQ1665" s="2">
        <f t="shared" ca="1" si="1591"/>
        <v>749976.58388359635</v>
      </c>
      <c r="AR1665" s="2">
        <f t="shared" ca="1" si="1592"/>
        <v>906861.95667119813</v>
      </c>
      <c r="AS1665" s="2">
        <f t="shared" ca="1" si="1593"/>
        <v>1046857.9840939738</v>
      </c>
      <c r="AT1665" s="2">
        <f t="shared" ca="1" si="1594"/>
        <v>1199794.3255119408</v>
      </c>
      <c r="AU1665" s="2">
        <f t="shared" ca="1" si="1595"/>
        <v>1366867.0986248413</v>
      </c>
      <c r="AV1665" s="2">
        <f t="shared" ca="1" si="1596"/>
        <v>2134548.73874562</v>
      </c>
      <c r="AW1665" s="2">
        <f t="shared" ca="1" si="1597"/>
        <v>2535355.3980782605</v>
      </c>
      <c r="AX1665" s="2">
        <f t="shared" ca="1" si="1598"/>
        <v>2929580.1973556778</v>
      </c>
      <c r="AY1665" s="2">
        <f t="shared" ca="1" si="1599"/>
        <v>3360244.5498208101</v>
      </c>
      <c r="AZ1665" s="2">
        <f t="shared" ca="1" si="1600"/>
        <v>3830716.6886212272</v>
      </c>
      <c r="BA1665" s="2">
        <f t="shared" ca="1" si="1601"/>
        <v>66513214.557942428</v>
      </c>
      <c r="BB1665" s="2">
        <f t="shared" ca="1" si="1602"/>
        <v>1330264.2911588487</v>
      </c>
      <c r="BC1665" s="2">
        <f t="shared" ca="1" si="1603"/>
        <v>39212929.493265621</v>
      </c>
      <c r="BD1665" s="2">
        <f t="shared" ca="1" si="1604"/>
        <v>-18895431.381241888</v>
      </c>
      <c r="BE1665" s="2">
        <f t="shared" ca="1" si="1605"/>
        <v>2134548.73874562</v>
      </c>
      <c r="BF1665" s="2">
        <f t="shared" ca="1" si="1606"/>
        <v>2535355.3980782605</v>
      </c>
      <c r="BG1665" s="2">
        <f t="shared" ca="1" si="1607"/>
        <v>2929580.1973556778</v>
      </c>
      <c r="BH1665" s="2">
        <f t="shared" ca="1" si="1608"/>
        <v>3360244.5498208101</v>
      </c>
      <c r="BI1665" s="2">
        <f t="shared" ca="1" si="1609"/>
        <v>43043646.181886852</v>
      </c>
      <c r="BJ1665" s="2">
        <f t="shared" ca="1" si="1610"/>
        <v>0.27172543204119259</v>
      </c>
      <c r="BK1665" s="2">
        <f t="shared" ca="1" si="1611"/>
        <v>13676419.797475215</v>
      </c>
    </row>
    <row r="1666" spans="1:63" x14ac:dyDescent="0.3">
      <c r="A1666" s="2">
        <v>1665</v>
      </c>
      <c r="B1666" s="2">
        <f t="shared" ref="B1666:B1729" ca="1" si="1612">RAND()</f>
        <v>0.89688811252995693</v>
      </c>
      <c r="C1666" s="2">
        <f t="shared" ref="C1666:C1729" ca="1" si="1613">IF(B1666&lt;((P_Mode)-(P_Low))/((P_High)-(P_Low)), (P_Low)+SQRT(B1666*((P_High)-(P_Low))*((P_Mode)-(P_Low))), (P_High)-SQRT((1-B1666)*((P_High)-(P_Low))*((P_High)-(P_Mode))))</f>
        <v>7.5458813206439466</v>
      </c>
      <c r="D1666" s="2">
        <f t="shared" ref="D1666:D1729" ca="1" si="1614">RAND()</f>
        <v>0.98956334743439622</v>
      </c>
      <c r="E1666" s="2">
        <f t="shared" ref="E1666:E1729" ca="1" si="1615">IF(D1666&lt;((X_Mode)-(X_Low))/((X_High)-(X_Low)), (X_Low)+SQRT(D1666*((X_High)-(X_Low))*((X_Mode)-(X_Low))), (X_High)-SQRT((1-D1666)*((X_High)-(X_Low))*((X_High)-(X_Mode))))</f>
        <v>8.3555240326863753</v>
      </c>
      <c r="F1666" s="2">
        <f t="shared" ref="F1666:F1729" ca="1" si="1616">RAND()</f>
        <v>0.91432713736978166</v>
      </c>
      <c r="G1666" s="2">
        <f t="shared" ref="G1666:G1729" ca="1" si="1617">NORMINV(F1666, g_Mean, g_SD)</f>
        <v>8.1036775235859476E-2</v>
      </c>
      <c r="H1666" s="2">
        <f t="shared" ref="H1666:H1729" ca="1" si="1618">MIN(MAX(G1666, g_Min), g_Max)</f>
        <v>8.1036775235859476E-2</v>
      </c>
      <c r="I1666" s="2">
        <f t="shared" ref="I1666:I1729" ca="1" si="1619">RAND()</f>
        <v>0.21937449957302846</v>
      </c>
      <c r="J1666" s="2">
        <f t="shared" ref="J1666:J1729" ca="1" si="1620">NORMINV(I1666, syn_Mean, syn_SD)</f>
        <v>6.1284627505185409E-3</v>
      </c>
      <c r="K1666" s="2">
        <f t="shared" ref="K1666:K1729" ca="1" si="1621">MIN(MAX(J1666, syn_Min), syn_Max)</f>
        <v>6.1284627505185409E-3</v>
      </c>
      <c r="L1666" s="2">
        <f t="shared" ref="L1666:L1729" ca="1" si="1622">RAND()</f>
        <v>0.92198869443352283</v>
      </c>
      <c r="M1666" s="2">
        <f t="shared" ref="M1666:M1729" ca="1" si="1623">NORMINV(L1666, shk_Mean, shk_SD)</f>
        <v>2.8371523828932814E-2</v>
      </c>
      <c r="N1666" s="2">
        <f t="shared" ref="N1666:N1729" ca="1" si="1624">MIN(MAX(M1666, shk_Min), shk_Max)</f>
        <v>2.8371523828932814E-2</v>
      </c>
      <c r="O1666" s="2">
        <f t="shared" ref="O1666:O1729" si="1625">BaseRev*BaseMargin</f>
        <v>6000000</v>
      </c>
      <c r="P1666" s="2">
        <f t="shared" ref="P1666:P1729" ca="1" si="1626">O1666*C1666</f>
        <v>45275287.923863679</v>
      </c>
      <c r="Q1666" s="2">
        <f t="shared" ref="Q1666:Q1729" ca="1" si="1627">P1666*TxnCostPct</f>
        <v>1131882.198096592</v>
      </c>
      <c r="R1666" s="2">
        <f t="shared" ref="R1666:R1729" ca="1" si="1628">P1666*DebtPct</f>
        <v>27165172.754318208</v>
      </c>
      <c r="S1666" s="2">
        <f t="shared" ref="S1666:S1729" ca="1" si="1629">P1666*EqPct</f>
        <v>18110115.169545472</v>
      </c>
      <c r="T1666" s="2">
        <f t="shared" ref="T1666:T1729" ca="1" si="1630">BaseRev*(1+N1666)</f>
        <v>51418576.19144664</v>
      </c>
      <c r="U1666" s="2">
        <f t="shared" ref="U1666:U1729" ca="1" si="1631">T1666*(1+H1666)</f>
        <v>55585371.793220811</v>
      </c>
      <c r="V1666" s="2">
        <f t="shared" ref="V1666:V1729" ca="1" si="1632">U1666*(1+H1666)</f>
        <v>60089831.073629722</v>
      </c>
      <c r="W1666" s="2">
        <f t="shared" ref="W1666:W1729" ca="1" si="1633">V1666*(1+H1666)</f>
        <v>64959317.208304211</v>
      </c>
      <c r="X1666" s="2">
        <f t="shared" ref="X1666:X1729" ca="1" si="1634">W1666*(1+H1666)</f>
        <v>70223410.796388447</v>
      </c>
      <c r="Y1666" s="2">
        <f t="shared" ref="Y1666:Y1729" ca="1" si="1635">BaseMargin + SynReal_Y1*K1666</f>
        <v>0.12306423137525926</v>
      </c>
      <c r="Z1666" s="2">
        <f t="shared" ref="Z1666:Z1729" ca="1" si="1636">BaseMargin + SynReal_Y2toY5*K1666</f>
        <v>0.12428992392536298</v>
      </c>
      <c r="AA1666" s="2">
        <f t="shared" ref="AA1666:AA1729" ca="1" si="1637">T1666*Y1666</f>
        <v>6327787.5574105866</v>
      </c>
      <c r="AB1666" s="2">
        <f t="shared" ref="AB1666:AB1729" ca="1" si="1638">U1666*Z1666</f>
        <v>6908701.6315424312</v>
      </c>
      <c r="AC1666" s="2">
        <f t="shared" ref="AC1666:AC1729" ca="1" si="1639">V1666*Z1666</f>
        <v>7468560.5328293508</v>
      </c>
      <c r="AD1666" s="2">
        <f t="shared" ref="AD1666:AD1729" ca="1" si="1640">W1666*Z1666</f>
        <v>8073788.5940636527</v>
      </c>
      <c r="AE1666" s="2">
        <f t="shared" ref="AE1666:AE1729" ca="1" si="1641">X1666*Z1666</f>
        <v>8728062.3856626339</v>
      </c>
      <c r="AF1666" s="2">
        <f t="shared" ref="AF1666:AF1729" ca="1" si="1642">T1666*CapexPct</f>
        <v>1028371.5238289328</v>
      </c>
      <c r="AG1666" s="2">
        <f t="shared" ref="AG1666:AG1729" ca="1" si="1643">U1666*CapexPct</f>
        <v>1111707.4358644162</v>
      </c>
      <c r="AH1666" s="2">
        <f t="shared" ref="AH1666:AH1729" ca="1" si="1644">V1666*CapexPct</f>
        <v>1201796.6214725946</v>
      </c>
      <c r="AI1666" s="2">
        <f t="shared" ref="AI1666:AI1729" ca="1" si="1645">W1666*CapexPct</f>
        <v>1299186.3441660842</v>
      </c>
      <c r="AJ1666" s="2">
        <f t="shared" ref="AJ1666:AJ1729" ca="1" si="1646">X1666*CapexPct</f>
        <v>1404468.215927769</v>
      </c>
      <c r="AK1666" s="2">
        <f t="shared" ref="AK1666:AK1729" ca="1" si="1647">MAX(T1666-BaseRev*(1+N1666),0)*WCPct</f>
        <v>0</v>
      </c>
      <c r="AL1666" s="2">
        <f t="shared" ref="AL1666:AL1729" ca="1" si="1648">MAX(U1666-T1666,0)*WCPct</f>
        <v>41667.956017741708</v>
      </c>
      <c r="AM1666" s="2">
        <f t="shared" ref="AM1666:AM1729" ca="1" si="1649">MAX(V1666-U1666,0)*WCPct</f>
        <v>45044.592804089116</v>
      </c>
      <c r="AN1666" s="2">
        <f t="shared" ref="AN1666:AN1729" ca="1" si="1650">MAX(W1666-V1666,0)*WCPct</f>
        <v>48694.861346744896</v>
      </c>
      <c r="AO1666" s="2">
        <f t="shared" ref="AO1666:AO1729" ca="1" si="1651">MAX(X1666-W1666,0)*WCPct</f>
        <v>52640.935880842357</v>
      </c>
      <c r="AP1666" s="2">
        <f t="shared" ref="AP1666:AP1729" ca="1" si="1652">R1666*DebtRate</f>
        <v>2444865.5478886385</v>
      </c>
      <c r="AQ1666" s="2">
        <f t="shared" ref="AQ1666:AQ1729" ca="1" si="1653">MAX(AA1666-AF1666-AP1666,0)*Tax</f>
        <v>742183.12628018402</v>
      </c>
      <c r="AR1666" s="2">
        <f t="shared" ref="AR1666:AR1729" ca="1" si="1654">MAX(AB1666-AG1666-AP1666,0)*Tax</f>
        <v>871553.44842523802</v>
      </c>
      <c r="AS1666" s="2">
        <f t="shared" ref="AS1666:AS1729" ca="1" si="1655">MAX(AC1666-AH1666-AP1666,0)*Tax</f>
        <v>993693.57450171071</v>
      </c>
      <c r="AT1666" s="2">
        <f t="shared" ref="AT1666:AT1729" ca="1" si="1656">MAX(AD1666-AI1666-AP1666,0)*Tax</f>
        <v>1125731.5425223219</v>
      </c>
      <c r="AU1666" s="2">
        <f t="shared" ref="AU1666:AU1729" ca="1" si="1657">MAX(AE1666-AJ1666-AP1666,0)*Tax</f>
        <v>1268469.441680019</v>
      </c>
      <c r="AV1666" s="2">
        <f t="shared" ref="AV1666:AV1729" ca="1" si="1658">AA1666-AF1666-AK1666-AQ1666-AP1666</f>
        <v>2112367.3594128313</v>
      </c>
      <c r="AW1666" s="2">
        <f t="shared" ref="AW1666:AW1729" ca="1" si="1659">AB1666-AG1666-AL1666-AR1666-AP1666</f>
        <v>2438907.2433463968</v>
      </c>
      <c r="AX1666" s="2">
        <f t="shared" ref="AX1666:AX1729" ca="1" si="1660">AC1666-AH1666-AM1666-AS1666-AP1666</f>
        <v>2783160.1961623179</v>
      </c>
      <c r="AY1666" s="2">
        <f t="shared" ref="AY1666:AY1729" ca="1" si="1661">AD1666-AI1666-AN1666-AT1666-AP1666</f>
        <v>3155310.2981398627</v>
      </c>
      <c r="AZ1666" s="2">
        <f t="shared" ref="AZ1666:AZ1729" ca="1" si="1662">AE1666-AJ1666-AO1666-AU1666-AP1666</f>
        <v>3557618.2442853656</v>
      </c>
      <c r="BA1666" s="2">
        <f t="shared" ref="BA1666:BA1729" ca="1" si="1663">AE1666*E1666</f>
        <v>72927535.022190124</v>
      </c>
      <c r="BB1666" s="2">
        <f t="shared" ref="BB1666:BB1729" ca="1" si="1664">BA1666*SellCostPct</f>
        <v>1458550.7004438024</v>
      </c>
      <c r="BC1666" s="2">
        <f t="shared" ref="BC1666:BC1729" ca="1" si="1665">BA1666-R1666-BB1666</f>
        <v>44303811.567428112</v>
      </c>
      <c r="BD1666" s="2">
        <f t="shared" ref="BD1666:BD1729" ca="1" si="1666">-S1666-Q1666-IntegrationPct*BaseRev</f>
        <v>-19741997.367642064</v>
      </c>
      <c r="BE1666" s="2">
        <f t="shared" ref="BE1666:BE1729" ca="1" si="1667">AV1666</f>
        <v>2112367.3594128313</v>
      </c>
      <c r="BF1666" s="2">
        <f t="shared" ref="BF1666:BF1729" ca="1" si="1668">AW1666</f>
        <v>2438907.2433463968</v>
      </c>
      <c r="BG1666" s="2">
        <f t="shared" ref="BG1666:BG1729" ca="1" si="1669">AX1666</f>
        <v>2783160.1961623179</v>
      </c>
      <c r="BH1666" s="2">
        <f t="shared" ref="BH1666:BH1729" ca="1" si="1670">AY1666</f>
        <v>3155310.2981398627</v>
      </c>
      <c r="BI1666" s="2">
        <f t="shared" ref="BI1666:BI1729" ca="1" si="1671">AZ1666+BC1666</f>
        <v>47861429.811713479</v>
      </c>
      <c r="BJ1666" s="2">
        <f t="shared" ref="BJ1666:BJ1729" ca="1" si="1672">IF(MIN(BD1666:BI1666)*MAX(BD1666:BI1666)&gt;=0, "", IFERROR(IRR(BD1666:BI1666,0.12), IFERROR(IRR(BD1666:BI1666,0.5), IFERROR(IRR(BD1666:BI1666,-0.5),""))))</f>
        <v>0.27737606368158318</v>
      </c>
      <c r="BK1666" s="2">
        <f t="shared" ref="BK1666:BK1729" ca="1" si="1673">NPV(12%,BE1666:BI1666)+BD1666</f>
        <v>15232442.659689207</v>
      </c>
    </row>
    <row r="1667" spans="1:63" x14ac:dyDescent="0.3">
      <c r="A1667" s="2">
        <v>1666</v>
      </c>
      <c r="B1667" s="2">
        <f t="shared" ca="1" si="1612"/>
        <v>0.11699204183420364</v>
      </c>
      <c r="C1667" s="2">
        <f t="shared" ca="1" si="1613"/>
        <v>6.4837190131351123</v>
      </c>
      <c r="D1667" s="2">
        <f t="shared" ca="1" si="1614"/>
        <v>0.34428059307013859</v>
      </c>
      <c r="E1667" s="2">
        <f t="shared" ca="1" si="1615"/>
        <v>7.3297958701634256</v>
      </c>
      <c r="F1667" s="2">
        <f t="shared" ca="1" si="1616"/>
        <v>0.73886358325164569</v>
      </c>
      <c r="G1667" s="2">
        <f t="shared" ca="1" si="1617"/>
        <v>5.9195374924549488E-2</v>
      </c>
      <c r="H1667" s="2">
        <f t="shared" ca="1" si="1618"/>
        <v>5.9195374924549488E-2</v>
      </c>
      <c r="I1667" s="2">
        <f t="shared" ca="1" si="1619"/>
        <v>0.86983675213711609</v>
      </c>
      <c r="J1667" s="2">
        <f t="shared" ca="1" si="1620"/>
        <v>1.5628098856186701E-2</v>
      </c>
      <c r="K1667" s="2">
        <f t="shared" ca="1" si="1621"/>
        <v>1.5628098856186701E-2</v>
      </c>
      <c r="L1667" s="2">
        <f t="shared" ca="1" si="1622"/>
        <v>1.706388638611922E-2</v>
      </c>
      <c r="M1667" s="2">
        <f t="shared" ca="1" si="1623"/>
        <v>-4.2371175510446529E-2</v>
      </c>
      <c r="N1667" s="2">
        <f t="shared" ca="1" si="1624"/>
        <v>-4.2371175510446529E-2</v>
      </c>
      <c r="O1667" s="2">
        <f t="shared" si="1625"/>
        <v>6000000</v>
      </c>
      <c r="P1667" s="2">
        <f t="shared" ca="1" si="1626"/>
        <v>38902314.078810677</v>
      </c>
      <c r="Q1667" s="2">
        <f t="shared" ca="1" si="1627"/>
        <v>972557.85197026702</v>
      </c>
      <c r="R1667" s="2">
        <f t="shared" ca="1" si="1628"/>
        <v>23341388.447286405</v>
      </c>
      <c r="S1667" s="2">
        <f t="shared" ca="1" si="1629"/>
        <v>15560925.631524272</v>
      </c>
      <c r="T1667" s="2">
        <f t="shared" ca="1" si="1630"/>
        <v>47881441.224477671</v>
      </c>
      <c r="U1667" s="2">
        <f t="shared" ca="1" si="1631"/>
        <v>50715801.089688405</v>
      </c>
      <c r="V1667" s="2">
        <f t="shared" ca="1" si="1632"/>
        <v>53717941.949791387</v>
      </c>
      <c r="W1667" s="2">
        <f t="shared" ca="1" si="1633"/>
        <v>56897795.663684472</v>
      </c>
      <c r="X1667" s="2">
        <f t="shared" ca="1" si="1634"/>
        <v>60265882.010376684</v>
      </c>
      <c r="Y1667" s="2">
        <f t="shared" ca="1" si="1635"/>
        <v>0.12781404942809335</v>
      </c>
      <c r="Z1667" s="2">
        <f t="shared" ca="1" si="1636"/>
        <v>0.1309396691993307</v>
      </c>
      <c r="AA1667" s="2">
        <f t="shared" ca="1" si="1637"/>
        <v>6119920.8953537354</v>
      </c>
      <c r="AB1667" s="2">
        <f t="shared" ca="1" si="1638"/>
        <v>6640710.2178628556</v>
      </c>
      <c r="AC1667" s="2">
        <f t="shared" ca="1" si="1639"/>
        <v>7033809.5489745336</v>
      </c>
      <c r="AD1667" s="2">
        <f t="shared" ca="1" si="1640"/>
        <v>7450178.5423739571</v>
      </c>
      <c r="AE1667" s="2">
        <f t="shared" ca="1" si="1641"/>
        <v>7891194.6544446182</v>
      </c>
      <c r="AF1667" s="2">
        <f t="shared" ca="1" si="1642"/>
        <v>957628.82448955346</v>
      </c>
      <c r="AG1667" s="2">
        <f t="shared" ca="1" si="1643"/>
        <v>1014316.0217937682</v>
      </c>
      <c r="AH1667" s="2">
        <f t="shared" ca="1" si="1644"/>
        <v>1074358.8389958278</v>
      </c>
      <c r="AI1667" s="2">
        <f t="shared" ca="1" si="1645"/>
        <v>1137955.9132736896</v>
      </c>
      <c r="AJ1667" s="2">
        <f t="shared" ca="1" si="1646"/>
        <v>1205317.6402075337</v>
      </c>
      <c r="AK1667" s="2">
        <f t="shared" ca="1" si="1647"/>
        <v>0</v>
      </c>
      <c r="AL1667" s="2">
        <f t="shared" ca="1" si="1648"/>
        <v>28343.598652107343</v>
      </c>
      <c r="AM1667" s="2">
        <f t="shared" ca="1" si="1649"/>
        <v>30021.408601029812</v>
      </c>
      <c r="AN1667" s="2">
        <f t="shared" ca="1" si="1650"/>
        <v>31798.537138930857</v>
      </c>
      <c r="AO1667" s="2">
        <f t="shared" ca="1" si="1651"/>
        <v>33680.863466922121</v>
      </c>
      <c r="AP1667" s="2">
        <f t="shared" ca="1" si="1652"/>
        <v>2100724.9602557765</v>
      </c>
      <c r="AQ1667" s="2">
        <f t="shared" ca="1" si="1653"/>
        <v>796007.44875818549</v>
      </c>
      <c r="AR1667" s="2">
        <f t="shared" ca="1" si="1654"/>
        <v>916674.00131146098</v>
      </c>
      <c r="AS1667" s="2">
        <f t="shared" ca="1" si="1655"/>
        <v>1003268.6949279614</v>
      </c>
      <c r="AT1667" s="2">
        <f t="shared" ca="1" si="1656"/>
        <v>1094989.3938995677</v>
      </c>
      <c r="AU1667" s="2">
        <f t="shared" ca="1" si="1657"/>
        <v>1192139.5340351402</v>
      </c>
      <c r="AV1667" s="2">
        <f t="shared" ca="1" si="1658"/>
        <v>2265559.6618502196</v>
      </c>
      <c r="AW1667" s="2">
        <f t="shared" ca="1" si="1659"/>
        <v>2580651.6358497432</v>
      </c>
      <c r="AX1667" s="2">
        <f t="shared" ca="1" si="1660"/>
        <v>2825435.6461939374</v>
      </c>
      <c r="AY1667" s="2">
        <f t="shared" ca="1" si="1661"/>
        <v>3084709.7378059933</v>
      </c>
      <c r="AZ1667" s="2">
        <f t="shared" ca="1" si="1662"/>
        <v>3359331.656479246</v>
      </c>
      <c r="BA1667" s="2">
        <f t="shared" ca="1" si="1663"/>
        <v>57840845.988803864</v>
      </c>
      <c r="BB1667" s="2">
        <f t="shared" ca="1" si="1664"/>
        <v>1156816.9197760774</v>
      </c>
      <c r="BC1667" s="2">
        <f t="shared" ca="1" si="1665"/>
        <v>33342640.621741381</v>
      </c>
      <c r="BD1667" s="2">
        <f t="shared" ca="1" si="1666"/>
        <v>-17033483.483494539</v>
      </c>
      <c r="BE1667" s="2">
        <f t="shared" ca="1" si="1667"/>
        <v>2265559.6618502196</v>
      </c>
      <c r="BF1667" s="2">
        <f t="shared" ca="1" si="1668"/>
        <v>2580651.6358497432</v>
      </c>
      <c r="BG1667" s="2">
        <f t="shared" ca="1" si="1669"/>
        <v>2825435.6461939374</v>
      </c>
      <c r="BH1667" s="2">
        <f t="shared" ca="1" si="1670"/>
        <v>3084709.7378059933</v>
      </c>
      <c r="BI1667" s="2">
        <f t="shared" ca="1" si="1671"/>
        <v>36701972.278220624</v>
      </c>
      <c r="BJ1667" s="2">
        <f t="shared" ca="1" si="1672"/>
        <v>0.27044760095343068</v>
      </c>
      <c r="BK1667" s="2">
        <f t="shared" ca="1" si="1673"/>
        <v>11843780.145286702</v>
      </c>
    </row>
    <row r="1668" spans="1:63" x14ac:dyDescent="0.3">
      <c r="A1668" s="2">
        <v>1667</v>
      </c>
      <c r="B1668" s="2">
        <f t="shared" ca="1" si="1612"/>
        <v>0.45589011996292539</v>
      </c>
      <c r="C1668" s="2">
        <f t="shared" ca="1" si="1613"/>
        <v>6.9548718447654903</v>
      </c>
      <c r="D1668" s="2">
        <f t="shared" ca="1" si="1614"/>
        <v>7.3030487025907531E-2</v>
      </c>
      <c r="E1668" s="2">
        <f t="shared" ca="1" si="1615"/>
        <v>6.8821792433555427</v>
      </c>
      <c r="F1668" s="2">
        <f t="shared" ca="1" si="1616"/>
        <v>0.44522931606763827</v>
      </c>
      <c r="G1668" s="2">
        <f t="shared" ca="1" si="1617"/>
        <v>3.5868283083838375E-2</v>
      </c>
      <c r="H1668" s="2">
        <f t="shared" ca="1" si="1618"/>
        <v>3.5868283083838375E-2</v>
      </c>
      <c r="I1668" s="2">
        <f t="shared" ca="1" si="1619"/>
        <v>0.53204655721945793</v>
      </c>
      <c r="J1668" s="2">
        <f t="shared" ca="1" si="1620"/>
        <v>1.0402076959640056E-2</v>
      </c>
      <c r="K1668" s="2">
        <f t="shared" ca="1" si="1621"/>
        <v>1.0402076959640056E-2</v>
      </c>
      <c r="L1668" s="2">
        <f t="shared" ca="1" si="1622"/>
        <v>0.36544116941899296</v>
      </c>
      <c r="M1668" s="2">
        <f t="shared" ca="1" si="1623"/>
        <v>-6.8790412154194052E-3</v>
      </c>
      <c r="N1668" s="2">
        <f t="shared" ca="1" si="1624"/>
        <v>-6.8790412154194052E-3</v>
      </c>
      <c r="O1668" s="2">
        <f t="shared" si="1625"/>
        <v>6000000</v>
      </c>
      <c r="P1668" s="2">
        <f t="shared" ca="1" si="1626"/>
        <v>41729231.068592943</v>
      </c>
      <c r="Q1668" s="2">
        <f t="shared" ca="1" si="1627"/>
        <v>1043230.7767148237</v>
      </c>
      <c r="R1668" s="2">
        <f t="shared" ca="1" si="1628"/>
        <v>25037538.641155764</v>
      </c>
      <c r="S1668" s="2">
        <f t="shared" ca="1" si="1629"/>
        <v>16691692.427437179</v>
      </c>
      <c r="T1668" s="2">
        <f t="shared" ca="1" si="1630"/>
        <v>49656047.939229034</v>
      </c>
      <c r="U1668" s="2">
        <f t="shared" ca="1" si="1631"/>
        <v>51437125.12353795</v>
      </c>
      <c r="V1668" s="2">
        <f t="shared" ca="1" si="1632"/>
        <v>53282086.488487825</v>
      </c>
      <c r="W1668" s="2">
        <f t="shared" ca="1" si="1633"/>
        <v>55193223.449954465</v>
      </c>
      <c r="X1668" s="2">
        <f t="shared" ca="1" si="1634"/>
        <v>57172909.612966977</v>
      </c>
      <c r="Y1668" s="2">
        <f t="shared" ca="1" si="1635"/>
        <v>0.12520103847982003</v>
      </c>
      <c r="Z1668" s="2">
        <f t="shared" ca="1" si="1636"/>
        <v>0.12728145387174802</v>
      </c>
      <c r="AA1668" s="2">
        <f t="shared" ca="1" si="1637"/>
        <v>6216988.7687952025</v>
      </c>
      <c r="AB1668" s="2">
        <f t="shared" ca="1" si="1638"/>
        <v>6546992.0687069269</v>
      </c>
      <c r="AC1668" s="2">
        <f t="shared" ca="1" si="1639"/>
        <v>6781821.4335749513</v>
      </c>
      <c r="AD1668" s="2">
        <f t="shared" ca="1" si="1640"/>
        <v>7025073.7245784607</v>
      </c>
      <c r="AE1668" s="2">
        <f t="shared" ca="1" si="1641"/>
        <v>7277051.057616475</v>
      </c>
      <c r="AF1668" s="2">
        <f t="shared" ca="1" si="1642"/>
        <v>993120.9587845807</v>
      </c>
      <c r="AG1668" s="2">
        <f t="shared" ca="1" si="1643"/>
        <v>1028742.502470759</v>
      </c>
      <c r="AH1668" s="2">
        <f t="shared" ca="1" si="1644"/>
        <v>1065641.7297697566</v>
      </c>
      <c r="AI1668" s="2">
        <f t="shared" ca="1" si="1645"/>
        <v>1103864.4689990892</v>
      </c>
      <c r="AJ1668" s="2">
        <f t="shared" ca="1" si="1646"/>
        <v>1143458.1922593396</v>
      </c>
      <c r="AK1668" s="2">
        <f t="shared" ca="1" si="1647"/>
        <v>0</v>
      </c>
      <c r="AL1668" s="2">
        <f t="shared" ca="1" si="1648"/>
        <v>17810.771843089165</v>
      </c>
      <c r="AM1668" s="2">
        <f t="shared" ca="1" si="1649"/>
        <v>18449.613649498748</v>
      </c>
      <c r="AN1668" s="2">
        <f t="shared" ca="1" si="1650"/>
        <v>19111.369614666404</v>
      </c>
      <c r="AO1668" s="2">
        <f t="shared" ca="1" si="1651"/>
        <v>19796.86163012512</v>
      </c>
      <c r="AP1668" s="2">
        <f t="shared" ca="1" si="1652"/>
        <v>2253378.4777040188</v>
      </c>
      <c r="AQ1668" s="2">
        <f t="shared" ca="1" si="1653"/>
        <v>772327.22639971669</v>
      </c>
      <c r="AR1668" s="2">
        <f t="shared" ca="1" si="1654"/>
        <v>848866.48301835882</v>
      </c>
      <c r="AS1668" s="2">
        <f t="shared" ca="1" si="1655"/>
        <v>900328.31878630584</v>
      </c>
      <c r="AT1668" s="2">
        <f t="shared" ca="1" si="1656"/>
        <v>953636.00224759162</v>
      </c>
      <c r="AU1668" s="2">
        <f t="shared" ca="1" si="1657"/>
        <v>1008855.7407898103</v>
      </c>
      <c r="AV1668" s="2">
        <f t="shared" ca="1" si="1658"/>
        <v>2198162.1059068856</v>
      </c>
      <c r="AW1668" s="2">
        <f t="shared" ca="1" si="1659"/>
        <v>2398193.8336707014</v>
      </c>
      <c r="AX1668" s="2">
        <f t="shared" ca="1" si="1660"/>
        <v>2544023.2936653714</v>
      </c>
      <c r="AY1668" s="2">
        <f t="shared" ca="1" si="1661"/>
        <v>2695083.4060130944</v>
      </c>
      <c r="AZ1668" s="2">
        <f t="shared" ca="1" si="1662"/>
        <v>2851561.7852331814</v>
      </c>
      <c r="BA1668" s="2">
        <f t="shared" ca="1" si="1663"/>
        <v>50081969.741566606</v>
      </c>
      <c r="BB1668" s="2">
        <f t="shared" ca="1" si="1664"/>
        <v>1001639.3948313321</v>
      </c>
      <c r="BC1668" s="2">
        <f t="shared" ca="1" si="1665"/>
        <v>24042791.705579508</v>
      </c>
      <c r="BD1668" s="2">
        <f t="shared" ca="1" si="1666"/>
        <v>-18234923.204152003</v>
      </c>
      <c r="BE1668" s="2">
        <f t="shared" ca="1" si="1667"/>
        <v>2198162.1059068856</v>
      </c>
      <c r="BF1668" s="2">
        <f t="shared" ca="1" si="1668"/>
        <v>2398193.8336707014</v>
      </c>
      <c r="BG1668" s="2">
        <f t="shared" ca="1" si="1669"/>
        <v>2544023.2936653714</v>
      </c>
      <c r="BH1668" s="2">
        <f t="shared" ca="1" si="1670"/>
        <v>2695083.4060130944</v>
      </c>
      <c r="BI1668" s="2">
        <f t="shared" ca="1" si="1671"/>
        <v>26894353.490812689</v>
      </c>
      <c r="BJ1668" s="2">
        <f t="shared" ca="1" si="1672"/>
        <v>0.18070808882603773</v>
      </c>
      <c r="BK1668" s="2">
        <f t="shared" ca="1" si="1673"/>
        <v>4423685.1702625416</v>
      </c>
    </row>
    <row r="1669" spans="1:63" x14ac:dyDescent="0.3">
      <c r="A1669" s="2">
        <v>1668</v>
      </c>
      <c r="B1669" s="2">
        <f t="shared" ca="1" si="1612"/>
        <v>0.14115161555361955</v>
      </c>
      <c r="C1669" s="2">
        <f t="shared" ca="1" si="1613"/>
        <v>6.5313221537892421</v>
      </c>
      <c r="D1669" s="2">
        <f t="shared" ca="1" si="1614"/>
        <v>0.7611575227045928</v>
      </c>
      <c r="E1669" s="2">
        <f t="shared" ca="1" si="1615"/>
        <v>7.8088524364574416</v>
      </c>
      <c r="F1669" s="2">
        <f t="shared" ca="1" si="1616"/>
        <v>0.87054360223162641</v>
      </c>
      <c r="G1669" s="2">
        <f t="shared" ca="1" si="1617"/>
        <v>7.386893599703849E-2</v>
      </c>
      <c r="H1669" s="2">
        <f t="shared" ca="1" si="1618"/>
        <v>7.386893599703849E-2</v>
      </c>
      <c r="I1669" s="2">
        <f t="shared" ca="1" si="1619"/>
        <v>0.80990311431902928</v>
      </c>
      <c r="J1669" s="2">
        <f t="shared" ca="1" si="1620"/>
        <v>1.4387696602407064E-2</v>
      </c>
      <c r="K1669" s="2">
        <f t="shared" ca="1" si="1621"/>
        <v>1.4387696602407064E-2</v>
      </c>
      <c r="L1669" s="2">
        <f t="shared" ca="1" si="1622"/>
        <v>8.5364633742616158E-3</v>
      </c>
      <c r="M1669" s="2">
        <f t="shared" ca="1" si="1623"/>
        <v>-4.7702669039616986E-2</v>
      </c>
      <c r="N1669" s="2">
        <f t="shared" ca="1" si="1624"/>
        <v>-4.7702669039616986E-2</v>
      </c>
      <c r="O1669" s="2">
        <f t="shared" si="1625"/>
        <v>6000000</v>
      </c>
      <c r="P1669" s="2">
        <f t="shared" ca="1" si="1626"/>
        <v>39187932.922735453</v>
      </c>
      <c r="Q1669" s="2">
        <f t="shared" ca="1" si="1627"/>
        <v>979698.32306838641</v>
      </c>
      <c r="R1669" s="2">
        <f t="shared" ca="1" si="1628"/>
        <v>23512759.75364127</v>
      </c>
      <c r="S1669" s="2">
        <f t="shared" ca="1" si="1629"/>
        <v>15675173.169094183</v>
      </c>
      <c r="T1669" s="2">
        <f t="shared" ca="1" si="1630"/>
        <v>47614866.548019156</v>
      </c>
      <c r="U1669" s="2">
        <f t="shared" ca="1" si="1631"/>
        <v>51132126.077562317</v>
      </c>
      <c r="V1669" s="2">
        <f t="shared" ca="1" si="1632"/>
        <v>54909201.826178275</v>
      </c>
      <c r="W1669" s="2">
        <f t="shared" ca="1" si="1633"/>
        <v>58965286.14152471</v>
      </c>
      <c r="X1669" s="2">
        <f t="shared" ca="1" si="1634"/>
        <v>63320989.089560062</v>
      </c>
      <c r="Y1669" s="2">
        <f t="shared" ca="1" si="1635"/>
        <v>0.12719384830120353</v>
      </c>
      <c r="Z1669" s="2">
        <f t="shared" ca="1" si="1636"/>
        <v>0.13007138762168494</v>
      </c>
      <c r="AA1669" s="2">
        <f t="shared" ca="1" si="1637"/>
        <v>6056318.1125907991</v>
      </c>
      <c r="AB1669" s="2">
        <f t="shared" ca="1" si="1638"/>
        <v>6650826.5909554726</v>
      </c>
      <c r="AC1669" s="2">
        <f t="shared" ca="1" si="1639"/>
        <v>7142116.0747301644</v>
      </c>
      <c r="AD1669" s="2">
        <f t="shared" ca="1" si="1640"/>
        <v>7669696.5899378275</v>
      </c>
      <c r="AE1669" s="2">
        <f t="shared" ca="1" si="1641"/>
        <v>8236248.9164566491</v>
      </c>
      <c r="AF1669" s="2">
        <f t="shared" ca="1" si="1642"/>
        <v>952297.33096038317</v>
      </c>
      <c r="AG1669" s="2">
        <f t="shared" ca="1" si="1643"/>
        <v>1022642.5215512464</v>
      </c>
      <c r="AH1669" s="2">
        <f t="shared" ca="1" si="1644"/>
        <v>1098184.0365235654</v>
      </c>
      <c r="AI1669" s="2">
        <f t="shared" ca="1" si="1645"/>
        <v>1179305.7228304942</v>
      </c>
      <c r="AJ1669" s="2">
        <f t="shared" ca="1" si="1646"/>
        <v>1266419.7817912013</v>
      </c>
      <c r="AK1669" s="2">
        <f t="shared" ca="1" si="1647"/>
        <v>0</v>
      </c>
      <c r="AL1669" s="2">
        <f t="shared" ca="1" si="1648"/>
        <v>35172.595295431616</v>
      </c>
      <c r="AM1669" s="2">
        <f t="shared" ca="1" si="1649"/>
        <v>37770.757486159579</v>
      </c>
      <c r="AN1669" s="2">
        <f t="shared" ca="1" si="1650"/>
        <v>40560.843153464346</v>
      </c>
      <c r="AO1669" s="2">
        <f t="shared" ca="1" si="1651"/>
        <v>43557.029480353522</v>
      </c>
      <c r="AP1669" s="2">
        <f t="shared" ca="1" si="1652"/>
        <v>2116148.3778277142</v>
      </c>
      <c r="AQ1669" s="2">
        <f t="shared" ca="1" si="1653"/>
        <v>776846.82498870231</v>
      </c>
      <c r="AR1669" s="2">
        <f t="shared" ca="1" si="1654"/>
        <v>913129.27980989299</v>
      </c>
      <c r="AS1669" s="2">
        <f t="shared" ca="1" si="1655"/>
        <v>1021223.75169851</v>
      </c>
      <c r="AT1669" s="2">
        <f t="shared" ca="1" si="1656"/>
        <v>1137303.0472127011</v>
      </c>
      <c r="AU1669" s="2">
        <f t="shared" ca="1" si="1657"/>
        <v>1261956.9967778109</v>
      </c>
      <c r="AV1669" s="2">
        <f t="shared" ca="1" si="1658"/>
        <v>2211025.578813999</v>
      </c>
      <c r="AW1669" s="2">
        <f t="shared" ca="1" si="1659"/>
        <v>2563733.8164711865</v>
      </c>
      <c r="AX1669" s="2">
        <f t="shared" ca="1" si="1660"/>
        <v>2868789.1511942148</v>
      </c>
      <c r="AY1669" s="2">
        <f t="shared" ca="1" si="1661"/>
        <v>3196378.5989134535</v>
      </c>
      <c r="AZ1669" s="2">
        <f t="shared" ca="1" si="1662"/>
        <v>3548166.730579569</v>
      </c>
      <c r="BA1669" s="2">
        <f t="shared" ca="1" si="1663"/>
        <v>64315652.418542467</v>
      </c>
      <c r="BB1669" s="2">
        <f t="shared" ca="1" si="1664"/>
        <v>1286313.0483708493</v>
      </c>
      <c r="BC1669" s="2">
        <f t="shared" ca="1" si="1665"/>
        <v>39516579.616530344</v>
      </c>
      <c r="BD1669" s="2">
        <f t="shared" ca="1" si="1666"/>
        <v>-17154871.49216257</v>
      </c>
      <c r="BE1669" s="2">
        <f t="shared" ca="1" si="1667"/>
        <v>2211025.578813999</v>
      </c>
      <c r="BF1669" s="2">
        <f t="shared" ca="1" si="1668"/>
        <v>2563733.8164711865</v>
      </c>
      <c r="BG1669" s="2">
        <f t="shared" ca="1" si="1669"/>
        <v>2868789.1511942148</v>
      </c>
      <c r="BH1669" s="2">
        <f t="shared" ca="1" si="1670"/>
        <v>3196378.5989134535</v>
      </c>
      <c r="BI1669" s="2">
        <f t="shared" ca="1" si="1671"/>
        <v>43064746.347109914</v>
      </c>
      <c r="BJ1669" s="2">
        <f t="shared" ca="1" si="1672"/>
        <v>0.30158511639477181</v>
      </c>
      <c r="BK1669" s="2">
        <f t="shared" ca="1" si="1673"/>
        <v>15372448.841139555</v>
      </c>
    </row>
    <row r="1670" spans="1:63" x14ac:dyDescent="0.3">
      <c r="A1670" s="2">
        <v>1669</v>
      </c>
      <c r="B1670" s="2">
        <f t="shared" ca="1" si="1612"/>
        <v>0.99413613371442444</v>
      </c>
      <c r="C1670" s="2">
        <f t="shared" ca="1" si="1613"/>
        <v>7.8917053437553308</v>
      </c>
      <c r="D1670" s="2">
        <f t="shared" ca="1" si="1614"/>
        <v>0.51308016708778115</v>
      </c>
      <c r="E1670" s="2">
        <f t="shared" ca="1" si="1615"/>
        <v>7.5131668500580062</v>
      </c>
      <c r="F1670" s="2">
        <f t="shared" ca="1" si="1616"/>
        <v>0.72857529885114058</v>
      </c>
      <c r="G1670" s="2">
        <f t="shared" ca="1" si="1617"/>
        <v>5.8255294268903898E-2</v>
      </c>
      <c r="H1670" s="2">
        <f t="shared" ca="1" si="1618"/>
        <v>5.8255294268903898E-2</v>
      </c>
      <c r="I1670" s="2">
        <f t="shared" ca="1" si="1619"/>
        <v>0.57963652230897267</v>
      </c>
      <c r="J1670" s="2">
        <f t="shared" ca="1" si="1620"/>
        <v>1.1004818517885154E-2</v>
      </c>
      <c r="K1670" s="2">
        <f t="shared" ca="1" si="1621"/>
        <v>1.1004818517885154E-2</v>
      </c>
      <c r="L1670" s="2">
        <f t="shared" ca="1" si="1622"/>
        <v>0.61466704164239971</v>
      </c>
      <c r="M1670" s="2">
        <f t="shared" ca="1" si="1623"/>
        <v>5.8300791729858862E-3</v>
      </c>
      <c r="N1670" s="2">
        <f t="shared" ca="1" si="1624"/>
        <v>5.8300791729858862E-3</v>
      </c>
      <c r="O1670" s="2">
        <f t="shared" si="1625"/>
        <v>6000000</v>
      </c>
      <c r="P1670" s="2">
        <f t="shared" ca="1" si="1626"/>
        <v>47350232.062531985</v>
      </c>
      <c r="Q1670" s="2">
        <f t="shared" ca="1" si="1627"/>
        <v>1183755.8015632997</v>
      </c>
      <c r="R1670" s="2">
        <f t="shared" ca="1" si="1628"/>
        <v>28410139.23751919</v>
      </c>
      <c r="S1670" s="2">
        <f t="shared" ca="1" si="1629"/>
        <v>18940092.825012796</v>
      </c>
      <c r="T1670" s="2">
        <f t="shared" ca="1" si="1630"/>
        <v>50291503.9586493</v>
      </c>
      <c r="U1670" s="2">
        <f t="shared" ca="1" si="1631"/>
        <v>53221250.320986159</v>
      </c>
      <c r="V1670" s="2">
        <f t="shared" ca="1" si="1632"/>
        <v>56321669.919794202</v>
      </c>
      <c r="W1670" s="2">
        <f t="shared" ca="1" si="1633"/>
        <v>59602705.37468788</v>
      </c>
      <c r="X1670" s="2">
        <f t="shared" ca="1" si="1634"/>
        <v>63074878.5155131</v>
      </c>
      <c r="Y1670" s="2">
        <f t="shared" ca="1" si="1635"/>
        <v>0.12550240925894257</v>
      </c>
      <c r="Z1670" s="2">
        <f t="shared" ca="1" si="1636"/>
        <v>0.1277033729625196</v>
      </c>
      <c r="AA1670" s="2">
        <f t="shared" ca="1" si="1637"/>
        <v>6311704.9120661346</v>
      </c>
      <c r="AB1670" s="2">
        <f t="shared" ca="1" si="1638"/>
        <v>6796533.179272512</v>
      </c>
      <c r="AC1670" s="2">
        <f t="shared" ca="1" si="1639"/>
        <v>7192467.2196394</v>
      </c>
      <c r="AD1670" s="2">
        <f t="shared" ca="1" si="1640"/>
        <v>7611466.5140389381</v>
      </c>
      <c r="AE1670" s="2">
        <f t="shared" ca="1" si="1641"/>
        <v>8054874.735632184</v>
      </c>
      <c r="AF1670" s="2">
        <f t="shared" ca="1" si="1642"/>
        <v>1005830.079172986</v>
      </c>
      <c r="AG1670" s="2">
        <f t="shared" ca="1" si="1643"/>
        <v>1064425.0064197232</v>
      </c>
      <c r="AH1670" s="2">
        <f t="shared" ca="1" si="1644"/>
        <v>1126433.3983958841</v>
      </c>
      <c r="AI1670" s="2">
        <f t="shared" ca="1" si="1645"/>
        <v>1192054.1074937577</v>
      </c>
      <c r="AJ1670" s="2">
        <f t="shared" ca="1" si="1646"/>
        <v>1261497.570310262</v>
      </c>
      <c r="AK1670" s="2">
        <f t="shared" ca="1" si="1647"/>
        <v>0</v>
      </c>
      <c r="AL1670" s="2">
        <f t="shared" ca="1" si="1648"/>
        <v>29297.463623368592</v>
      </c>
      <c r="AM1670" s="2">
        <f t="shared" ca="1" si="1649"/>
        <v>31004.195988080428</v>
      </c>
      <c r="AN1670" s="2">
        <f t="shared" ca="1" si="1650"/>
        <v>32810.354548936783</v>
      </c>
      <c r="AO1670" s="2">
        <f t="shared" ca="1" si="1651"/>
        <v>34721.731408252192</v>
      </c>
      <c r="AP1670" s="2">
        <f t="shared" ca="1" si="1652"/>
        <v>2556912.5313767269</v>
      </c>
      <c r="AQ1670" s="2">
        <f t="shared" ca="1" si="1653"/>
        <v>714730.1983942698</v>
      </c>
      <c r="AR1670" s="2">
        <f t="shared" ca="1" si="1654"/>
        <v>825550.8667837762</v>
      </c>
      <c r="AS1670" s="2">
        <f t="shared" ca="1" si="1655"/>
        <v>912371.53536536521</v>
      </c>
      <c r="AT1670" s="2">
        <f t="shared" ca="1" si="1656"/>
        <v>1004249.967543798</v>
      </c>
      <c r="AU1670" s="2">
        <f t="shared" ca="1" si="1657"/>
        <v>1101480.8048257506</v>
      </c>
      <c r="AV1670" s="2">
        <f t="shared" ca="1" si="1658"/>
        <v>2034232.1031221524</v>
      </c>
      <c r="AW1670" s="2">
        <f t="shared" ca="1" si="1659"/>
        <v>2320347.3110689176</v>
      </c>
      <c r="AX1670" s="2">
        <f t="shared" ca="1" si="1660"/>
        <v>2565745.5585133433</v>
      </c>
      <c r="AY1670" s="2">
        <f t="shared" ca="1" si="1661"/>
        <v>2825439.5530757196</v>
      </c>
      <c r="AZ1670" s="2">
        <f t="shared" ca="1" si="1662"/>
        <v>3100262.0977111924</v>
      </c>
      <c r="BA1670" s="2">
        <f t="shared" ca="1" si="1663"/>
        <v>60517617.845121473</v>
      </c>
      <c r="BB1670" s="2">
        <f t="shared" ca="1" si="1664"/>
        <v>1210352.3569024296</v>
      </c>
      <c r="BC1670" s="2">
        <f t="shared" ca="1" si="1665"/>
        <v>30897126.250699855</v>
      </c>
      <c r="BD1670" s="2">
        <f t="shared" ca="1" si="1666"/>
        <v>-20623848.626576096</v>
      </c>
      <c r="BE1670" s="2">
        <f t="shared" ca="1" si="1667"/>
        <v>2034232.1031221524</v>
      </c>
      <c r="BF1670" s="2">
        <f t="shared" ca="1" si="1668"/>
        <v>2320347.3110689176</v>
      </c>
      <c r="BG1670" s="2">
        <f t="shared" ca="1" si="1669"/>
        <v>2565745.5585133433</v>
      </c>
      <c r="BH1670" s="2">
        <f t="shared" ca="1" si="1670"/>
        <v>2825439.5530757196</v>
      </c>
      <c r="BI1670" s="2">
        <f t="shared" ca="1" si="1671"/>
        <v>33997388.348411046</v>
      </c>
      <c r="BJ1670" s="2">
        <f t="shared" ca="1" si="1672"/>
        <v>0.18865809218937346</v>
      </c>
      <c r="BK1670" s="2">
        <f t="shared" ca="1" si="1673"/>
        <v>5955092.8051694296</v>
      </c>
    </row>
    <row r="1671" spans="1:63" x14ac:dyDescent="0.3">
      <c r="A1671" s="2">
        <v>1670</v>
      </c>
      <c r="B1671" s="2">
        <f t="shared" ca="1" si="1612"/>
        <v>0.11243549863124147</v>
      </c>
      <c r="C1671" s="2">
        <f t="shared" ca="1" si="1613"/>
        <v>6.474205648703685</v>
      </c>
      <c r="D1671" s="2">
        <f t="shared" ca="1" si="1614"/>
        <v>0.58923145482073935</v>
      </c>
      <c r="E1671" s="2">
        <f t="shared" ca="1" si="1615"/>
        <v>7.593613167373598</v>
      </c>
      <c r="F1671" s="2">
        <f t="shared" ca="1" si="1616"/>
        <v>0.41493278458895499</v>
      </c>
      <c r="G1671" s="2">
        <f t="shared" ca="1" si="1617"/>
        <v>3.3553780491225621E-2</v>
      </c>
      <c r="H1671" s="2">
        <f t="shared" ca="1" si="1618"/>
        <v>3.3553780491225621E-2</v>
      </c>
      <c r="I1671" s="2">
        <f t="shared" ca="1" si="1619"/>
        <v>0.80641657568448544</v>
      </c>
      <c r="J1671" s="2">
        <f t="shared" ca="1" si="1620"/>
        <v>1.4323833528616629E-2</v>
      </c>
      <c r="K1671" s="2">
        <f t="shared" ca="1" si="1621"/>
        <v>1.4323833528616629E-2</v>
      </c>
      <c r="L1671" s="2">
        <f t="shared" ca="1" si="1622"/>
        <v>3.705555716770037E-2</v>
      </c>
      <c r="M1671" s="2">
        <f t="shared" ca="1" si="1623"/>
        <v>-3.5718535590899991E-2</v>
      </c>
      <c r="N1671" s="2">
        <f t="shared" ca="1" si="1624"/>
        <v>-3.5718535590899991E-2</v>
      </c>
      <c r="O1671" s="2">
        <f t="shared" si="1625"/>
        <v>6000000</v>
      </c>
      <c r="P1671" s="2">
        <f t="shared" ca="1" si="1626"/>
        <v>38845233.892222106</v>
      </c>
      <c r="Q1671" s="2">
        <f t="shared" ca="1" si="1627"/>
        <v>971130.84730555268</v>
      </c>
      <c r="R1671" s="2">
        <f t="shared" ca="1" si="1628"/>
        <v>23307140.335333262</v>
      </c>
      <c r="S1671" s="2">
        <f t="shared" ca="1" si="1629"/>
        <v>15538093.556888843</v>
      </c>
      <c r="T1671" s="2">
        <f t="shared" ca="1" si="1630"/>
        <v>48214073.220454998</v>
      </c>
      <c r="U1671" s="2">
        <f t="shared" ca="1" si="1631"/>
        <v>49831837.649882026</v>
      </c>
      <c r="V1671" s="2">
        <f t="shared" ca="1" si="1632"/>
        <v>51503884.191860557</v>
      </c>
      <c r="W1671" s="2">
        <f t="shared" ca="1" si="1633"/>
        <v>53232034.216479748</v>
      </c>
      <c r="X1671" s="2">
        <f t="shared" ca="1" si="1634"/>
        <v>55018170.207680918</v>
      </c>
      <c r="Y1671" s="2">
        <f t="shared" ca="1" si="1635"/>
        <v>0.1271619167643083</v>
      </c>
      <c r="Z1671" s="2">
        <f t="shared" ca="1" si="1636"/>
        <v>0.13002668347003163</v>
      </c>
      <c r="AA1671" s="2">
        <f t="shared" ca="1" si="1637"/>
        <v>6130993.9657277642</v>
      </c>
      <c r="AB1671" s="2">
        <f t="shared" ca="1" si="1638"/>
        <v>6479468.5808312148</v>
      </c>
      <c r="AC1671" s="2">
        <f t="shared" ca="1" si="1639"/>
        <v>6696879.2472922187</v>
      </c>
      <c r="AD1671" s="2">
        <f t="shared" ca="1" si="1640"/>
        <v>6921584.8635321055</v>
      </c>
      <c r="AE1671" s="2">
        <f t="shared" ca="1" si="1641"/>
        <v>7153830.2026944514</v>
      </c>
      <c r="AF1671" s="2">
        <f t="shared" ca="1" si="1642"/>
        <v>964281.46440910001</v>
      </c>
      <c r="AG1671" s="2">
        <f t="shared" ca="1" si="1643"/>
        <v>996636.75299764052</v>
      </c>
      <c r="AH1671" s="2">
        <f t="shared" ca="1" si="1644"/>
        <v>1030077.6838372111</v>
      </c>
      <c r="AI1671" s="2">
        <f t="shared" ca="1" si="1645"/>
        <v>1064640.684329595</v>
      </c>
      <c r="AJ1671" s="2">
        <f t="shared" ca="1" si="1646"/>
        <v>1100363.4041536185</v>
      </c>
      <c r="AK1671" s="2">
        <f t="shared" ca="1" si="1647"/>
        <v>0</v>
      </c>
      <c r="AL1671" s="2">
        <f t="shared" ca="1" si="1648"/>
        <v>16177.644294270278</v>
      </c>
      <c r="AM1671" s="2">
        <f t="shared" ca="1" si="1649"/>
        <v>16720.465419785305</v>
      </c>
      <c r="AN1671" s="2">
        <f t="shared" ca="1" si="1650"/>
        <v>17281.500246191918</v>
      </c>
      <c r="AO1671" s="2">
        <f t="shared" ca="1" si="1651"/>
        <v>17861.3599120117</v>
      </c>
      <c r="AP1671" s="2">
        <f t="shared" ca="1" si="1652"/>
        <v>2097642.6301799933</v>
      </c>
      <c r="AQ1671" s="2">
        <f t="shared" ca="1" si="1653"/>
        <v>797958.1664960545</v>
      </c>
      <c r="AR1671" s="2">
        <f t="shared" ca="1" si="1654"/>
        <v>880149.19138993102</v>
      </c>
      <c r="AS1671" s="2">
        <f t="shared" ca="1" si="1655"/>
        <v>927981.32265150384</v>
      </c>
      <c r="AT1671" s="2">
        <f t="shared" ca="1" si="1656"/>
        <v>977418.40274585434</v>
      </c>
      <c r="AU1671" s="2">
        <f t="shared" ca="1" si="1657"/>
        <v>1028514.2837738182</v>
      </c>
      <c r="AV1671" s="2">
        <f t="shared" ca="1" si="1658"/>
        <v>2271111.7046426167</v>
      </c>
      <c r="AW1671" s="2">
        <f t="shared" ca="1" si="1659"/>
        <v>2488862.3619693792</v>
      </c>
      <c r="AX1671" s="2">
        <f t="shared" ca="1" si="1660"/>
        <v>2624457.1452037259</v>
      </c>
      <c r="AY1671" s="2">
        <f t="shared" ca="1" si="1661"/>
        <v>2764601.6460304703</v>
      </c>
      <c r="AZ1671" s="2">
        <f t="shared" ca="1" si="1662"/>
        <v>2909448.5246750093</v>
      </c>
      <c r="BA1671" s="2">
        <f t="shared" ca="1" si="1663"/>
        <v>54323419.224335521</v>
      </c>
      <c r="BB1671" s="2">
        <f t="shared" ca="1" si="1664"/>
        <v>1086468.3844867104</v>
      </c>
      <c r="BC1671" s="2">
        <f t="shared" ca="1" si="1665"/>
        <v>29929810.504515551</v>
      </c>
      <c r="BD1671" s="2">
        <f t="shared" ca="1" si="1666"/>
        <v>-17009224.404194396</v>
      </c>
      <c r="BE1671" s="2">
        <f t="shared" ca="1" si="1667"/>
        <v>2271111.7046426167</v>
      </c>
      <c r="BF1671" s="2">
        <f t="shared" ca="1" si="1668"/>
        <v>2488862.3619693792</v>
      </c>
      <c r="BG1671" s="2">
        <f t="shared" ca="1" si="1669"/>
        <v>2624457.1452037259</v>
      </c>
      <c r="BH1671" s="2">
        <f t="shared" ca="1" si="1670"/>
        <v>2764601.6460304703</v>
      </c>
      <c r="BI1671" s="2">
        <f t="shared" ca="1" si="1671"/>
        <v>32839259.029190559</v>
      </c>
      <c r="BJ1671" s="2">
        <f t="shared" ca="1" si="1672"/>
        <v>0.24337106080813209</v>
      </c>
      <c r="BK1671" s="2">
        <f t="shared" ca="1" si="1673"/>
        <v>9261528.3184425049</v>
      </c>
    </row>
    <row r="1672" spans="1:63" x14ac:dyDescent="0.3">
      <c r="A1672" s="2">
        <v>1671</v>
      </c>
      <c r="B1672" s="2">
        <f t="shared" ca="1" si="1612"/>
        <v>0.89652697966595851</v>
      </c>
      <c r="C1672" s="2">
        <f t="shared" ca="1" si="1613"/>
        <v>7.5450867767715657</v>
      </c>
      <c r="D1672" s="2">
        <f t="shared" ca="1" si="1614"/>
        <v>0.15849222923229089</v>
      </c>
      <c r="E1672" s="2">
        <f t="shared" ca="1" si="1615"/>
        <v>7.0630137284867764</v>
      </c>
      <c r="F1672" s="2">
        <f t="shared" ca="1" si="1616"/>
        <v>0.14460169053519201</v>
      </c>
      <c r="G1672" s="2">
        <f t="shared" ca="1" si="1617"/>
        <v>8.2038759712940446E-3</v>
      </c>
      <c r="H1672" s="2">
        <f t="shared" ca="1" si="1618"/>
        <v>8.2038759712940446E-3</v>
      </c>
      <c r="I1672" s="2">
        <f t="shared" ca="1" si="1619"/>
        <v>0.55420211460839386</v>
      </c>
      <c r="J1672" s="2">
        <f t="shared" ca="1" si="1620"/>
        <v>1.0681426332844834E-2</v>
      </c>
      <c r="K1672" s="2">
        <f t="shared" ca="1" si="1621"/>
        <v>1.0681426332844834E-2</v>
      </c>
      <c r="L1672" s="2">
        <f t="shared" ca="1" si="1622"/>
        <v>0.7710067522267966</v>
      </c>
      <c r="M1672" s="2">
        <f t="shared" ca="1" si="1623"/>
        <v>1.4843328919104979E-2</v>
      </c>
      <c r="N1672" s="2">
        <f t="shared" ca="1" si="1624"/>
        <v>1.4843328919104979E-2</v>
      </c>
      <c r="O1672" s="2">
        <f t="shared" si="1625"/>
        <v>6000000</v>
      </c>
      <c r="P1672" s="2">
        <f t="shared" ca="1" si="1626"/>
        <v>45270520.660629392</v>
      </c>
      <c r="Q1672" s="2">
        <f t="shared" ca="1" si="1627"/>
        <v>1131763.0165157348</v>
      </c>
      <c r="R1672" s="2">
        <f t="shared" ca="1" si="1628"/>
        <v>27162312.396377634</v>
      </c>
      <c r="S1672" s="2">
        <f t="shared" ca="1" si="1629"/>
        <v>18108208.264251757</v>
      </c>
      <c r="T1672" s="2">
        <f t="shared" ca="1" si="1630"/>
        <v>50742166.445955247</v>
      </c>
      <c r="U1672" s="2">
        <f t="shared" ca="1" si="1631"/>
        <v>51158448.885992624</v>
      </c>
      <c r="V1672" s="2">
        <f t="shared" ca="1" si="1632"/>
        <v>51578146.455537096</v>
      </c>
      <c r="W1672" s="2">
        <f t="shared" ca="1" si="1633"/>
        <v>52001287.171887569</v>
      </c>
      <c r="X1672" s="2">
        <f t="shared" ca="1" si="1634"/>
        <v>52427899.282193385</v>
      </c>
      <c r="Y1672" s="2">
        <f t="shared" ca="1" si="1635"/>
        <v>0.12534071316642242</v>
      </c>
      <c r="Z1672" s="2">
        <f t="shared" ca="1" si="1636"/>
        <v>0.12747699843299137</v>
      </c>
      <c r="AA1672" s="2">
        <f t="shared" ca="1" si="1637"/>
        <v>6360059.3299453408</v>
      </c>
      <c r="AB1672" s="2">
        <f t="shared" ca="1" si="1638"/>
        <v>6521525.5084739514</v>
      </c>
      <c r="AC1672" s="2">
        <f t="shared" ca="1" si="1639"/>
        <v>6575027.2948891018</v>
      </c>
      <c r="AD1672" s="2">
        <f t="shared" ca="1" si="1640"/>
        <v>6628968.003324246</v>
      </c>
      <c r="AE1672" s="2">
        <f t="shared" ca="1" si="1641"/>
        <v>6683351.2346411953</v>
      </c>
      <c r="AF1672" s="2">
        <f t="shared" ca="1" si="1642"/>
        <v>1014843.328919105</v>
      </c>
      <c r="AG1672" s="2">
        <f t="shared" ca="1" si="1643"/>
        <v>1023168.9777198525</v>
      </c>
      <c r="AH1672" s="2">
        <f t="shared" ca="1" si="1644"/>
        <v>1031562.9291107419</v>
      </c>
      <c r="AI1672" s="2">
        <f t="shared" ca="1" si="1645"/>
        <v>1040025.7434377514</v>
      </c>
      <c r="AJ1672" s="2">
        <f t="shared" ca="1" si="1646"/>
        <v>1048557.9856438678</v>
      </c>
      <c r="AK1672" s="2">
        <f t="shared" ca="1" si="1647"/>
        <v>0</v>
      </c>
      <c r="AL1672" s="2">
        <f t="shared" ca="1" si="1648"/>
        <v>4162.8244003737718</v>
      </c>
      <c r="AM1672" s="2">
        <f t="shared" ca="1" si="1649"/>
        <v>4196.9756954447184</v>
      </c>
      <c r="AN1672" s="2">
        <f t="shared" ca="1" si="1650"/>
        <v>4231.4071635047349</v>
      </c>
      <c r="AO1672" s="2">
        <f t="shared" ca="1" si="1651"/>
        <v>4266.1211030581599</v>
      </c>
      <c r="AP1672" s="2">
        <f t="shared" ca="1" si="1652"/>
        <v>2444608.1156739872</v>
      </c>
      <c r="AQ1672" s="2">
        <f t="shared" ca="1" si="1653"/>
        <v>754158.05019158463</v>
      </c>
      <c r="AR1672" s="2">
        <f t="shared" ca="1" si="1654"/>
        <v>793974.58792082896</v>
      </c>
      <c r="AS1672" s="2">
        <f t="shared" ca="1" si="1655"/>
        <v>805702.62502713688</v>
      </c>
      <c r="AT1672" s="2">
        <f t="shared" ca="1" si="1656"/>
        <v>817526.87749525206</v>
      </c>
      <c r="AU1672" s="2">
        <f t="shared" ca="1" si="1657"/>
        <v>829448.13466406858</v>
      </c>
      <c r="AV1672" s="2">
        <f t="shared" ca="1" si="1658"/>
        <v>2146449.8351606634</v>
      </c>
      <c r="AW1672" s="2">
        <f t="shared" ca="1" si="1659"/>
        <v>2255611.002758909</v>
      </c>
      <c r="AX1672" s="2">
        <f t="shared" ca="1" si="1660"/>
        <v>2288956.6493817912</v>
      </c>
      <c r="AY1672" s="2">
        <f t="shared" ca="1" si="1661"/>
        <v>2322575.8595537506</v>
      </c>
      <c r="AZ1672" s="2">
        <f t="shared" ca="1" si="1662"/>
        <v>2356470.8775562132</v>
      </c>
      <c r="BA1672" s="2">
        <f t="shared" ca="1" si="1663"/>
        <v>47204601.522569813</v>
      </c>
      <c r="BB1672" s="2">
        <f t="shared" ca="1" si="1664"/>
        <v>944092.03045139625</v>
      </c>
      <c r="BC1672" s="2">
        <f t="shared" ca="1" si="1665"/>
        <v>19098197.095740784</v>
      </c>
      <c r="BD1672" s="2">
        <f t="shared" ca="1" si="1666"/>
        <v>-19739971.280767493</v>
      </c>
      <c r="BE1672" s="2">
        <f t="shared" ca="1" si="1667"/>
        <v>2146449.8351606634</v>
      </c>
      <c r="BF1672" s="2">
        <f t="shared" ca="1" si="1668"/>
        <v>2255611.002758909</v>
      </c>
      <c r="BG1672" s="2">
        <f t="shared" ca="1" si="1669"/>
        <v>2288956.6493817912</v>
      </c>
      <c r="BH1672" s="2">
        <f t="shared" ca="1" si="1670"/>
        <v>2322575.8595537506</v>
      </c>
      <c r="BI1672" s="2">
        <f t="shared" ca="1" si="1671"/>
        <v>21454667.973296996</v>
      </c>
      <c r="BJ1672" s="2">
        <f t="shared" ca="1" si="1672"/>
        <v>0.10945389111279247</v>
      </c>
      <c r="BK1672" s="2">
        <f t="shared" ca="1" si="1673"/>
        <v>-746111.06520501897</v>
      </c>
    </row>
    <row r="1673" spans="1:63" x14ac:dyDescent="0.3">
      <c r="A1673" s="2">
        <v>1672</v>
      </c>
      <c r="B1673" s="2">
        <f t="shared" ca="1" si="1612"/>
        <v>0.53734794325702262</v>
      </c>
      <c r="C1673" s="2">
        <f t="shared" ca="1" si="1613"/>
        <v>7.038072708836081</v>
      </c>
      <c r="D1673" s="2">
        <f t="shared" ca="1" si="1614"/>
        <v>0.71234065877058017</v>
      </c>
      <c r="E1673" s="2">
        <f t="shared" ca="1" si="1615"/>
        <v>7.7415023517117278</v>
      </c>
      <c r="F1673" s="2">
        <f t="shared" ca="1" si="1616"/>
        <v>0.99325896368200373</v>
      </c>
      <c r="G1673" s="2">
        <f t="shared" ca="1" si="1617"/>
        <v>0.11412324113909353</v>
      </c>
      <c r="H1673" s="2">
        <f t="shared" ca="1" si="1618"/>
        <v>0.11412324113909353</v>
      </c>
      <c r="I1673" s="2">
        <f t="shared" ca="1" si="1619"/>
        <v>0.46520524543806852</v>
      </c>
      <c r="J1673" s="2">
        <f t="shared" ca="1" si="1620"/>
        <v>9.5633580664468455E-3</v>
      </c>
      <c r="K1673" s="2">
        <f t="shared" ca="1" si="1621"/>
        <v>9.5633580664468455E-3</v>
      </c>
      <c r="L1673" s="2">
        <f t="shared" ca="1" si="1622"/>
        <v>0.62512226507152935</v>
      </c>
      <c r="M1673" s="2">
        <f t="shared" ca="1" si="1623"/>
        <v>6.3792362713203403E-3</v>
      </c>
      <c r="N1673" s="2">
        <f t="shared" ca="1" si="1624"/>
        <v>6.3792362713203403E-3</v>
      </c>
      <c r="O1673" s="2">
        <f t="shared" si="1625"/>
        <v>6000000</v>
      </c>
      <c r="P1673" s="2">
        <f t="shared" ca="1" si="1626"/>
        <v>42228436.253016487</v>
      </c>
      <c r="Q1673" s="2">
        <f t="shared" ca="1" si="1627"/>
        <v>1055710.9063254122</v>
      </c>
      <c r="R1673" s="2">
        <f t="shared" ca="1" si="1628"/>
        <v>25337061.751809891</v>
      </c>
      <c r="S1673" s="2">
        <f t="shared" ca="1" si="1629"/>
        <v>16891374.501206595</v>
      </c>
      <c r="T1673" s="2">
        <f t="shared" ca="1" si="1630"/>
        <v>50318961.813566022</v>
      </c>
      <c r="U1673" s="2">
        <f t="shared" ca="1" si="1631"/>
        <v>56061524.826484457</v>
      </c>
      <c r="V1673" s="2">
        <f t="shared" ca="1" si="1632"/>
        <v>62459447.742882624</v>
      </c>
      <c r="W1673" s="2">
        <f t="shared" ca="1" si="1633"/>
        <v>69587522.359058231</v>
      </c>
      <c r="X1673" s="2">
        <f t="shared" ca="1" si="1634"/>
        <v>77529075.953513101</v>
      </c>
      <c r="Y1673" s="2">
        <f t="shared" ca="1" si="1635"/>
        <v>0.12478167903322342</v>
      </c>
      <c r="Z1673" s="2">
        <f t="shared" ca="1" si="1636"/>
        <v>0.1266943506465128</v>
      </c>
      <c r="AA1673" s="2">
        <f t="shared" ca="1" si="1637"/>
        <v>6278884.5423054211</v>
      </c>
      <c r="AB1673" s="2">
        <f t="shared" ca="1" si="1638"/>
        <v>7102678.4841448041</v>
      </c>
      <c r="AC1673" s="2">
        <f t="shared" ca="1" si="1639"/>
        <v>7913259.1735243136</v>
      </c>
      <c r="AD1673" s="2">
        <f t="shared" ca="1" si="1640"/>
        <v>8816345.9583805725</v>
      </c>
      <c r="AE1673" s="2">
        <f t="shared" ca="1" si="1641"/>
        <v>9822495.9341545124</v>
      </c>
      <c r="AF1673" s="2">
        <f t="shared" ca="1" si="1642"/>
        <v>1006379.2362713205</v>
      </c>
      <c r="AG1673" s="2">
        <f t="shared" ca="1" si="1643"/>
        <v>1121230.4965296891</v>
      </c>
      <c r="AH1673" s="2">
        <f t="shared" ca="1" si="1644"/>
        <v>1249188.9548576525</v>
      </c>
      <c r="AI1673" s="2">
        <f t="shared" ca="1" si="1645"/>
        <v>1391750.4471811648</v>
      </c>
      <c r="AJ1673" s="2">
        <f t="shared" ca="1" si="1646"/>
        <v>1550581.5190702621</v>
      </c>
      <c r="AK1673" s="2">
        <f t="shared" ca="1" si="1647"/>
        <v>0</v>
      </c>
      <c r="AL1673" s="2">
        <f t="shared" ca="1" si="1648"/>
        <v>57425.630129184348</v>
      </c>
      <c r="AM1673" s="2">
        <f t="shared" ca="1" si="1649"/>
        <v>63979.229163981676</v>
      </c>
      <c r="AN1673" s="2">
        <f t="shared" ca="1" si="1650"/>
        <v>71280.746161756077</v>
      </c>
      <c r="AO1673" s="2">
        <f t="shared" ca="1" si="1651"/>
        <v>79415.535944548697</v>
      </c>
      <c r="AP1673" s="2">
        <f t="shared" ca="1" si="1652"/>
        <v>2280335.5576628903</v>
      </c>
      <c r="AQ1673" s="2">
        <f t="shared" ca="1" si="1653"/>
        <v>777964.1345765146</v>
      </c>
      <c r="AR1673" s="2">
        <f t="shared" ca="1" si="1654"/>
        <v>962289.23178757844</v>
      </c>
      <c r="AS1673" s="2">
        <f t="shared" ca="1" si="1655"/>
        <v>1139771.0118609807</v>
      </c>
      <c r="AT1673" s="2">
        <f t="shared" ca="1" si="1656"/>
        <v>1337507.5879194944</v>
      </c>
      <c r="AU1673" s="2">
        <f t="shared" ca="1" si="1657"/>
        <v>1557810.5029295536</v>
      </c>
      <c r="AV1673" s="2">
        <f t="shared" ca="1" si="1658"/>
        <v>2214205.6137946956</v>
      </c>
      <c r="AW1673" s="2">
        <f t="shared" ca="1" si="1659"/>
        <v>2681397.5680354619</v>
      </c>
      <c r="AX1673" s="2">
        <f t="shared" ca="1" si="1660"/>
        <v>3179984.4199788086</v>
      </c>
      <c r="AY1673" s="2">
        <f t="shared" ca="1" si="1661"/>
        <v>3735471.6194552667</v>
      </c>
      <c r="AZ1673" s="2">
        <f t="shared" ca="1" si="1662"/>
        <v>4354352.8185472582</v>
      </c>
      <c r="BA1673" s="2">
        <f t="shared" ca="1" si="1663"/>
        <v>76040875.373936042</v>
      </c>
      <c r="BB1673" s="2">
        <f t="shared" ca="1" si="1664"/>
        <v>1520817.507478721</v>
      </c>
      <c r="BC1673" s="2">
        <f t="shared" ca="1" si="1665"/>
        <v>49182996.114647426</v>
      </c>
      <c r="BD1673" s="2">
        <f t="shared" ca="1" si="1666"/>
        <v>-18447085.407532007</v>
      </c>
      <c r="BE1673" s="2">
        <f t="shared" ca="1" si="1667"/>
        <v>2214205.6137946956</v>
      </c>
      <c r="BF1673" s="2">
        <f t="shared" ca="1" si="1668"/>
        <v>2681397.5680354619</v>
      </c>
      <c r="BG1673" s="2">
        <f t="shared" ca="1" si="1669"/>
        <v>3179984.4199788086</v>
      </c>
      <c r="BH1673" s="2">
        <f t="shared" ca="1" si="1670"/>
        <v>3735471.6194552667</v>
      </c>
      <c r="BI1673" s="2">
        <f t="shared" ca="1" si="1671"/>
        <v>53537348.933194682</v>
      </c>
      <c r="BJ1673" s="2">
        <f t="shared" ca="1" si="1672"/>
        <v>0.3324686060920703</v>
      </c>
      <c r="BK1673" s="2">
        <f t="shared" ca="1" si="1673"/>
        <v>20683417.027716488</v>
      </c>
    </row>
    <row r="1674" spans="1:63" x14ac:dyDescent="0.3">
      <c r="A1674" s="2">
        <v>1673</v>
      </c>
      <c r="B1674" s="2">
        <f t="shared" ca="1" si="1612"/>
        <v>0.25241555745988309</v>
      </c>
      <c r="C1674" s="2">
        <f t="shared" ca="1" si="1613"/>
        <v>6.7105146831134217</v>
      </c>
      <c r="D1674" s="2">
        <f t="shared" ca="1" si="1614"/>
        <v>0.51272118974404157</v>
      </c>
      <c r="E1674" s="2">
        <f t="shared" ca="1" si="1615"/>
        <v>7.5128031500698977</v>
      </c>
      <c r="F1674" s="2">
        <f t="shared" ca="1" si="1616"/>
        <v>0.86005700637101978</v>
      </c>
      <c r="G1674" s="2">
        <f t="shared" ca="1" si="1617"/>
        <v>7.2417264890961286E-2</v>
      </c>
      <c r="H1674" s="2">
        <f t="shared" ca="1" si="1618"/>
        <v>7.2417264890961286E-2</v>
      </c>
      <c r="I1674" s="2">
        <f t="shared" ca="1" si="1619"/>
        <v>0.26305070670792341</v>
      </c>
      <c r="J1674" s="2">
        <f t="shared" ca="1" si="1620"/>
        <v>6.8301577586056409E-3</v>
      </c>
      <c r="K1674" s="2">
        <f t="shared" ca="1" si="1621"/>
        <v>6.8301577586056409E-3</v>
      </c>
      <c r="L1674" s="2">
        <f t="shared" ca="1" si="1622"/>
        <v>0.27363452830436841</v>
      </c>
      <c r="M1674" s="2">
        <f t="shared" ca="1" si="1623"/>
        <v>-1.2037148190879327E-2</v>
      </c>
      <c r="N1674" s="2">
        <f t="shared" ca="1" si="1624"/>
        <v>-1.2037148190879327E-2</v>
      </c>
      <c r="O1674" s="2">
        <f t="shared" si="1625"/>
        <v>6000000</v>
      </c>
      <c r="P1674" s="2">
        <f t="shared" ca="1" si="1626"/>
        <v>40263088.098680533</v>
      </c>
      <c r="Q1674" s="2">
        <f t="shared" ca="1" si="1627"/>
        <v>1006577.2024670134</v>
      </c>
      <c r="R1674" s="2">
        <f t="shared" ca="1" si="1628"/>
        <v>24157852.859208319</v>
      </c>
      <c r="S1674" s="2">
        <f t="shared" ca="1" si="1629"/>
        <v>16105235.239472214</v>
      </c>
      <c r="T1674" s="2">
        <f t="shared" ca="1" si="1630"/>
        <v>49398142.590456031</v>
      </c>
      <c r="U1674" s="2">
        <f t="shared" ca="1" si="1631"/>
        <v>52975420.967550568</v>
      </c>
      <c r="V1674" s="2">
        <f t="shared" ca="1" si="1632"/>
        <v>56811756.060467869</v>
      </c>
      <c r="W1674" s="2">
        <f t="shared" ca="1" si="1633"/>
        <v>60925908.048019446</v>
      </c>
      <c r="X1674" s="2">
        <f t="shared" ca="1" si="1634"/>
        <v>65337995.669855222</v>
      </c>
      <c r="Y1674" s="2">
        <f t="shared" ca="1" si="1635"/>
        <v>0.12341507887930282</v>
      </c>
      <c r="Z1674" s="2">
        <f t="shared" ca="1" si="1636"/>
        <v>0.12478111043102394</v>
      </c>
      <c r="AA1674" s="2">
        <f t="shared" ca="1" si="1637"/>
        <v>6096475.664292179</v>
      </c>
      <c r="AB1674" s="2">
        <f t="shared" ca="1" si="1638"/>
        <v>6610331.8538819086</v>
      </c>
      <c r="AC1674" s="2">
        <f t="shared" ca="1" si="1639"/>
        <v>7089034.0067616347</v>
      </c>
      <c r="AD1674" s="2">
        <f t="shared" ca="1" si="1640"/>
        <v>7602402.4602503246</v>
      </c>
      <c r="AE1674" s="2">
        <f t="shared" ca="1" si="1641"/>
        <v>8152947.6530219689</v>
      </c>
      <c r="AF1674" s="2">
        <f t="shared" ca="1" si="1642"/>
        <v>987962.85180912062</v>
      </c>
      <c r="AG1674" s="2">
        <f t="shared" ca="1" si="1643"/>
        <v>1059508.4193510113</v>
      </c>
      <c r="AH1674" s="2">
        <f t="shared" ca="1" si="1644"/>
        <v>1136235.1212093574</v>
      </c>
      <c r="AI1674" s="2">
        <f t="shared" ca="1" si="1645"/>
        <v>1218518.1609603891</v>
      </c>
      <c r="AJ1674" s="2">
        <f t="shared" ca="1" si="1646"/>
        <v>1306759.9133971045</v>
      </c>
      <c r="AK1674" s="2">
        <f t="shared" ca="1" si="1647"/>
        <v>0</v>
      </c>
      <c r="AL1674" s="2">
        <f t="shared" ca="1" si="1648"/>
        <v>35772.783770945374</v>
      </c>
      <c r="AM1674" s="2">
        <f t="shared" ca="1" si="1649"/>
        <v>38363.350929173008</v>
      </c>
      <c r="AN1674" s="2">
        <f t="shared" ca="1" si="1650"/>
        <v>41141.519875515776</v>
      </c>
      <c r="AO1674" s="2">
        <f t="shared" ca="1" si="1651"/>
        <v>44120.876218357756</v>
      </c>
      <c r="AP1674" s="2">
        <f t="shared" ca="1" si="1652"/>
        <v>2174206.7573287487</v>
      </c>
      <c r="AQ1674" s="2">
        <f t="shared" ca="1" si="1653"/>
        <v>762919.57434012054</v>
      </c>
      <c r="AR1674" s="2">
        <f t="shared" ca="1" si="1654"/>
        <v>877920.33607255865</v>
      </c>
      <c r="AS1674" s="2">
        <f t="shared" ca="1" si="1655"/>
        <v>982433.95333811757</v>
      </c>
      <c r="AT1674" s="2">
        <f t="shared" ca="1" si="1656"/>
        <v>1094516.1609099086</v>
      </c>
      <c r="AU1674" s="2">
        <f t="shared" ca="1" si="1657"/>
        <v>1214715.0553969902</v>
      </c>
      <c r="AV1674" s="2">
        <f t="shared" ca="1" si="1658"/>
        <v>2171386.4808141887</v>
      </c>
      <c r="AW1674" s="2">
        <f t="shared" ca="1" si="1659"/>
        <v>2462923.5573586449</v>
      </c>
      <c r="AX1674" s="2">
        <f t="shared" ca="1" si="1660"/>
        <v>2757794.823956239</v>
      </c>
      <c r="AY1674" s="2">
        <f t="shared" ca="1" si="1661"/>
        <v>3074019.8611757616</v>
      </c>
      <c r="AZ1674" s="2">
        <f t="shared" ca="1" si="1662"/>
        <v>3413145.0506807677</v>
      </c>
      <c r="BA1674" s="2">
        <f t="shared" ca="1" si="1663"/>
        <v>61251490.809978426</v>
      </c>
      <c r="BB1674" s="2">
        <f t="shared" ca="1" si="1664"/>
        <v>1225029.8161995686</v>
      </c>
      <c r="BC1674" s="2">
        <f t="shared" ca="1" si="1665"/>
        <v>35868608.134570539</v>
      </c>
      <c r="BD1674" s="2">
        <f t="shared" ca="1" si="1666"/>
        <v>-17611812.441939227</v>
      </c>
      <c r="BE1674" s="2">
        <f t="shared" ca="1" si="1667"/>
        <v>2171386.4808141887</v>
      </c>
      <c r="BF1674" s="2">
        <f t="shared" ca="1" si="1668"/>
        <v>2462923.5573586449</v>
      </c>
      <c r="BG1674" s="2">
        <f t="shared" ca="1" si="1669"/>
        <v>2757794.823956239</v>
      </c>
      <c r="BH1674" s="2">
        <f t="shared" ca="1" si="1670"/>
        <v>3074019.8611757616</v>
      </c>
      <c r="BI1674" s="2">
        <f t="shared" ca="1" si="1671"/>
        <v>39281753.18525131</v>
      </c>
      <c r="BJ1674" s="2">
        <f t="shared" ca="1" si="1672"/>
        <v>0.27074394563329451</v>
      </c>
      <c r="BK1674" s="2">
        <f t="shared" ca="1" si="1673"/>
        <v>12496413.84354968</v>
      </c>
    </row>
    <row r="1675" spans="1:63" x14ac:dyDescent="0.3">
      <c r="A1675" s="2">
        <v>1674</v>
      </c>
      <c r="B1675" s="2">
        <f t="shared" ca="1" si="1612"/>
        <v>0.84868642488518342</v>
      </c>
      <c r="C1675" s="2">
        <f t="shared" ca="1" si="1613"/>
        <v>7.4498844210262423</v>
      </c>
      <c r="D1675" s="2">
        <f t="shared" ca="1" si="1614"/>
        <v>0.45489762391909316</v>
      </c>
      <c r="E1675" s="2">
        <f t="shared" ca="1" si="1615"/>
        <v>7.4538318760862348</v>
      </c>
      <c r="F1675" s="2">
        <f t="shared" ca="1" si="1616"/>
        <v>0.14780154560569803</v>
      </c>
      <c r="G1675" s="2">
        <f t="shared" ca="1" si="1617"/>
        <v>8.6227327623847258E-3</v>
      </c>
      <c r="H1675" s="2">
        <f t="shared" ca="1" si="1618"/>
        <v>8.6227327623847258E-3</v>
      </c>
      <c r="I1675" s="2">
        <f t="shared" ca="1" si="1619"/>
        <v>0.9861754910595798</v>
      </c>
      <c r="J1675" s="2">
        <f t="shared" ca="1" si="1620"/>
        <v>2.1011153403906208E-2</v>
      </c>
      <c r="K1675" s="2">
        <f t="shared" ca="1" si="1621"/>
        <v>2.1011153403906208E-2</v>
      </c>
      <c r="L1675" s="2">
        <f t="shared" ca="1" si="1622"/>
        <v>0.32407661345963068</v>
      </c>
      <c r="M1675" s="2">
        <f t="shared" ca="1" si="1623"/>
        <v>-9.1265851798201757E-3</v>
      </c>
      <c r="N1675" s="2">
        <f t="shared" ca="1" si="1624"/>
        <v>-9.1265851798201757E-3</v>
      </c>
      <c r="O1675" s="2">
        <f t="shared" si="1625"/>
        <v>6000000</v>
      </c>
      <c r="P1675" s="2">
        <f t="shared" ca="1" si="1626"/>
        <v>44699306.526157454</v>
      </c>
      <c r="Q1675" s="2">
        <f t="shared" ca="1" si="1627"/>
        <v>1117482.6631539364</v>
      </c>
      <c r="R1675" s="2">
        <f t="shared" ca="1" si="1628"/>
        <v>26819583.915694471</v>
      </c>
      <c r="S1675" s="2">
        <f t="shared" ca="1" si="1629"/>
        <v>17879722.610462982</v>
      </c>
      <c r="T1675" s="2">
        <f t="shared" ca="1" si="1630"/>
        <v>49543670.741008997</v>
      </c>
      <c r="U1675" s="2">
        <f t="shared" ca="1" si="1631"/>
        <v>49970872.573876292</v>
      </c>
      <c r="V1675" s="2">
        <f t="shared" ca="1" si="1632"/>
        <v>50401758.053984001</v>
      </c>
      <c r="W1675" s="2">
        <f t="shared" ca="1" si="1633"/>
        <v>50836358.944437876</v>
      </c>
      <c r="X1675" s="2">
        <f t="shared" ca="1" si="1634"/>
        <v>51274707.282228425</v>
      </c>
      <c r="Y1675" s="2">
        <f t="shared" ca="1" si="1635"/>
        <v>0.13050557670195309</v>
      </c>
      <c r="Z1675" s="2">
        <f t="shared" ca="1" si="1636"/>
        <v>0.13470780738273433</v>
      </c>
      <c r="AA1675" s="2">
        <f t="shared" ca="1" si="1637"/>
        <v>6465725.321987059</v>
      </c>
      <c r="AB1675" s="2">
        <f t="shared" ca="1" si="1638"/>
        <v>6731466.6774288891</v>
      </c>
      <c r="AC1675" s="2">
        <f t="shared" ca="1" si="1639"/>
        <v>6789510.3156872559</v>
      </c>
      <c r="AD1675" s="2">
        <f t="shared" ca="1" si="1640"/>
        <v>6848054.4487268813</v>
      </c>
      <c r="AE1675" s="2">
        <f t="shared" ca="1" si="1641"/>
        <v>6907103.3921805117</v>
      </c>
      <c r="AF1675" s="2">
        <f t="shared" ca="1" si="1642"/>
        <v>990873.41482017993</v>
      </c>
      <c r="AG1675" s="2">
        <f t="shared" ca="1" si="1643"/>
        <v>999417.45147752587</v>
      </c>
      <c r="AH1675" s="2">
        <f t="shared" ca="1" si="1644"/>
        <v>1008035.1610796801</v>
      </c>
      <c r="AI1675" s="2">
        <f t="shared" ca="1" si="1645"/>
        <v>1016727.1788887576</v>
      </c>
      <c r="AJ1675" s="2">
        <f t="shared" ca="1" si="1646"/>
        <v>1025494.1456445685</v>
      </c>
      <c r="AK1675" s="2">
        <f t="shared" ca="1" si="1647"/>
        <v>0</v>
      </c>
      <c r="AL1675" s="2">
        <f t="shared" ca="1" si="1648"/>
        <v>4272.0183286729452</v>
      </c>
      <c r="AM1675" s="2">
        <f t="shared" ca="1" si="1649"/>
        <v>4308.8548010770974</v>
      </c>
      <c r="AN1675" s="2">
        <f t="shared" ca="1" si="1650"/>
        <v>4346.0089045387504</v>
      </c>
      <c r="AO1675" s="2">
        <f t="shared" ca="1" si="1651"/>
        <v>4383.4833779054879</v>
      </c>
      <c r="AP1675" s="2">
        <f t="shared" ca="1" si="1652"/>
        <v>2413762.5524125025</v>
      </c>
      <c r="AQ1675" s="2">
        <f t="shared" ca="1" si="1653"/>
        <v>795883.23223613785</v>
      </c>
      <c r="AR1675" s="2">
        <f t="shared" ca="1" si="1654"/>
        <v>862754.53512010386</v>
      </c>
      <c r="AS1675" s="2">
        <f t="shared" ca="1" si="1655"/>
        <v>875605.27657071897</v>
      </c>
      <c r="AT1675" s="2">
        <f t="shared" ca="1" si="1656"/>
        <v>888566.82653066155</v>
      </c>
      <c r="AU1675" s="2">
        <f t="shared" ca="1" si="1657"/>
        <v>901640.14047209453</v>
      </c>
      <c r="AV1675" s="2">
        <f t="shared" ca="1" si="1658"/>
        <v>2265206.1225182386</v>
      </c>
      <c r="AW1675" s="2">
        <f t="shared" ca="1" si="1659"/>
        <v>2451260.1200900842</v>
      </c>
      <c r="AX1675" s="2">
        <f t="shared" ca="1" si="1660"/>
        <v>2487798.4708232768</v>
      </c>
      <c r="AY1675" s="2">
        <f t="shared" ca="1" si="1661"/>
        <v>2524651.8819904206</v>
      </c>
      <c r="AZ1675" s="2">
        <f t="shared" ca="1" si="1662"/>
        <v>2561823.0702734403</v>
      </c>
      <c r="BA1675" s="2">
        <f t="shared" ca="1" si="1663"/>
        <v>51484387.436058462</v>
      </c>
      <c r="BB1675" s="2">
        <f t="shared" ca="1" si="1664"/>
        <v>1029687.7487211693</v>
      </c>
      <c r="BC1675" s="2">
        <f t="shared" ca="1" si="1665"/>
        <v>23635115.771642819</v>
      </c>
      <c r="BD1675" s="2">
        <f t="shared" ca="1" si="1666"/>
        <v>-19497205.273616917</v>
      </c>
      <c r="BE1675" s="2">
        <f t="shared" ca="1" si="1667"/>
        <v>2265206.1225182386</v>
      </c>
      <c r="BF1675" s="2">
        <f t="shared" ca="1" si="1668"/>
        <v>2451260.1200900842</v>
      </c>
      <c r="BG1675" s="2">
        <f t="shared" ca="1" si="1669"/>
        <v>2487798.4708232768</v>
      </c>
      <c r="BH1675" s="2">
        <f t="shared" ca="1" si="1670"/>
        <v>2524651.8819904206</v>
      </c>
      <c r="BI1675" s="2">
        <f t="shared" ca="1" si="1671"/>
        <v>26196938.841916259</v>
      </c>
      <c r="BJ1675" s="2">
        <f t="shared" ca="1" si="1672"/>
        <v>0.15615688722813248</v>
      </c>
      <c r="BK1675" s="2">
        <f t="shared" ca="1" si="1673"/>
        <v>2719504.1142151095</v>
      </c>
    </row>
    <row r="1676" spans="1:63" x14ac:dyDescent="0.3">
      <c r="A1676" s="2">
        <v>1675</v>
      </c>
      <c r="B1676" s="2">
        <f t="shared" ca="1" si="1612"/>
        <v>0.68453909341979691</v>
      </c>
      <c r="C1676" s="2">
        <f t="shared" ca="1" si="1613"/>
        <v>7.2056941312312954</v>
      </c>
      <c r="D1676" s="2">
        <f t="shared" ca="1" si="1614"/>
        <v>0.77113604237227973</v>
      </c>
      <c r="E1676" s="2">
        <f t="shared" ca="1" si="1615"/>
        <v>7.8234440782496684</v>
      </c>
      <c r="F1676" s="2">
        <f t="shared" ca="1" si="1616"/>
        <v>0.93362585685464938</v>
      </c>
      <c r="G1676" s="2">
        <f t="shared" ca="1" si="1617"/>
        <v>8.5100561294652183E-2</v>
      </c>
      <c r="H1676" s="2">
        <f t="shared" ca="1" si="1618"/>
        <v>8.5100561294652183E-2</v>
      </c>
      <c r="I1676" s="2">
        <f t="shared" ca="1" si="1619"/>
        <v>0.40611164233899444</v>
      </c>
      <c r="J1676" s="2">
        <f t="shared" ca="1" si="1620"/>
        <v>8.8122058458640923E-3</v>
      </c>
      <c r="K1676" s="2">
        <f t="shared" ca="1" si="1621"/>
        <v>8.8122058458640923E-3</v>
      </c>
      <c r="L1676" s="2">
        <f t="shared" ca="1" si="1622"/>
        <v>0.46460972777073217</v>
      </c>
      <c r="M1676" s="2">
        <f t="shared" ca="1" si="1623"/>
        <v>-1.7765385923454345E-3</v>
      </c>
      <c r="N1676" s="2">
        <f t="shared" ca="1" si="1624"/>
        <v>-1.7765385923454345E-3</v>
      </c>
      <c r="O1676" s="2">
        <f t="shared" si="1625"/>
        <v>6000000</v>
      </c>
      <c r="P1676" s="2">
        <f t="shared" ca="1" si="1626"/>
        <v>43234164.787387773</v>
      </c>
      <c r="Q1676" s="2">
        <f t="shared" ca="1" si="1627"/>
        <v>1080854.1196846943</v>
      </c>
      <c r="R1676" s="2">
        <f t="shared" ca="1" si="1628"/>
        <v>25940498.872432664</v>
      </c>
      <c r="S1676" s="2">
        <f t="shared" ca="1" si="1629"/>
        <v>17293665.914955109</v>
      </c>
      <c r="T1676" s="2">
        <f t="shared" ca="1" si="1630"/>
        <v>49911173.070382729</v>
      </c>
      <c r="U1676" s="2">
        <f t="shared" ca="1" si="1631"/>
        <v>54158641.91354683</v>
      </c>
      <c r="V1676" s="2">
        <f t="shared" ca="1" si="1632"/>
        <v>58767572.739345744</v>
      </c>
      <c r="W1676" s="2">
        <f t="shared" ca="1" si="1633"/>
        <v>63768726.165388376</v>
      </c>
      <c r="X1676" s="2">
        <f t="shared" ca="1" si="1634"/>
        <v>69195480.555107906</v>
      </c>
      <c r="Y1676" s="2">
        <f t="shared" ca="1" si="1635"/>
        <v>0.12440610292293204</v>
      </c>
      <c r="Z1676" s="2">
        <f t="shared" ca="1" si="1636"/>
        <v>0.12616854409210487</v>
      </c>
      <c r="AA1676" s="2">
        <f t="shared" ca="1" si="1637"/>
        <v>6209254.5339983078</v>
      </c>
      <c r="AB1676" s="2">
        <f t="shared" ca="1" si="1638"/>
        <v>6833117.0002378523</v>
      </c>
      <c r="AC1676" s="2">
        <f t="shared" ca="1" si="1639"/>
        <v>7414619.0923501235</v>
      </c>
      <c r="AD1676" s="2">
        <f t="shared" ca="1" si="1640"/>
        <v>8045607.3388951654</v>
      </c>
      <c r="AE1676" s="2">
        <f t="shared" ca="1" si="1641"/>
        <v>8730293.0393915176</v>
      </c>
      <c r="AF1676" s="2">
        <f t="shared" ca="1" si="1642"/>
        <v>998223.46140765457</v>
      </c>
      <c r="AG1676" s="2">
        <f t="shared" ca="1" si="1643"/>
        <v>1083172.8382709366</v>
      </c>
      <c r="AH1676" s="2">
        <f t="shared" ca="1" si="1644"/>
        <v>1175351.4547869149</v>
      </c>
      <c r="AI1676" s="2">
        <f t="shared" ca="1" si="1645"/>
        <v>1275374.5233077675</v>
      </c>
      <c r="AJ1676" s="2">
        <f t="shared" ca="1" si="1646"/>
        <v>1383909.6111021582</v>
      </c>
      <c r="AK1676" s="2">
        <f t="shared" ca="1" si="1647"/>
        <v>0</v>
      </c>
      <c r="AL1676" s="2">
        <f t="shared" ca="1" si="1648"/>
        <v>42474.688431641014</v>
      </c>
      <c r="AM1676" s="2">
        <f t="shared" ca="1" si="1649"/>
        <v>46089.308257989142</v>
      </c>
      <c r="AN1676" s="2">
        <f t="shared" ca="1" si="1650"/>
        <v>50011.534260426313</v>
      </c>
      <c r="AO1676" s="2">
        <f t="shared" ca="1" si="1651"/>
        <v>54267.543897195312</v>
      </c>
      <c r="AP1676" s="2">
        <f t="shared" ca="1" si="1652"/>
        <v>2334644.8985189395</v>
      </c>
      <c r="AQ1676" s="2">
        <f t="shared" ca="1" si="1653"/>
        <v>747860.40525864554</v>
      </c>
      <c r="AR1676" s="2">
        <f t="shared" ca="1" si="1654"/>
        <v>887977.80849647394</v>
      </c>
      <c r="AS1676" s="2">
        <f t="shared" ca="1" si="1655"/>
        <v>1015201.9121515099</v>
      </c>
      <c r="AT1676" s="2">
        <f t="shared" ca="1" si="1656"/>
        <v>1153252.8584377992</v>
      </c>
      <c r="AU1676" s="2">
        <f t="shared" ca="1" si="1657"/>
        <v>1303052.0177403092</v>
      </c>
      <c r="AV1676" s="2">
        <f t="shared" ca="1" si="1658"/>
        <v>2128525.768813068</v>
      </c>
      <c r="AW1676" s="2">
        <f t="shared" ca="1" si="1659"/>
        <v>2484846.7665198613</v>
      </c>
      <c r="AX1676" s="2">
        <f t="shared" ca="1" si="1660"/>
        <v>2843331.5186347691</v>
      </c>
      <c r="AY1676" s="2">
        <f t="shared" ca="1" si="1661"/>
        <v>3232323.5243702326</v>
      </c>
      <c r="AZ1676" s="2">
        <f t="shared" ca="1" si="1662"/>
        <v>3654418.968132915</v>
      </c>
      <c r="BA1676" s="2">
        <f t="shared" ca="1" si="1663"/>
        <v>68300959.380411863</v>
      </c>
      <c r="BB1676" s="2">
        <f t="shared" ca="1" si="1664"/>
        <v>1366019.1876082374</v>
      </c>
      <c r="BC1676" s="2">
        <f t="shared" ca="1" si="1665"/>
        <v>40994441.320370965</v>
      </c>
      <c r="BD1676" s="2">
        <f t="shared" ca="1" si="1666"/>
        <v>-18874520.034639806</v>
      </c>
      <c r="BE1676" s="2">
        <f t="shared" ca="1" si="1667"/>
        <v>2128525.768813068</v>
      </c>
      <c r="BF1676" s="2">
        <f t="shared" ca="1" si="1668"/>
        <v>2484846.7665198613</v>
      </c>
      <c r="BG1676" s="2">
        <f t="shared" ca="1" si="1669"/>
        <v>2843331.5186347691</v>
      </c>
      <c r="BH1676" s="2">
        <f t="shared" ca="1" si="1670"/>
        <v>3232323.5243702326</v>
      </c>
      <c r="BI1676" s="2">
        <f t="shared" ca="1" si="1671"/>
        <v>44648860.288503878</v>
      </c>
      <c r="BJ1676" s="2">
        <f t="shared" ca="1" si="1672"/>
        <v>0.27772188788424268</v>
      </c>
      <c r="BK1676" s="2">
        <f t="shared" ca="1" si="1673"/>
        <v>14419843.683587343</v>
      </c>
    </row>
    <row r="1677" spans="1:63" x14ac:dyDescent="0.3">
      <c r="A1677" s="2">
        <v>1676</v>
      </c>
      <c r="B1677" s="2">
        <f t="shared" ca="1" si="1612"/>
        <v>0.56020003594348899</v>
      </c>
      <c r="C1677" s="2">
        <f t="shared" ca="1" si="1613"/>
        <v>7.0621301113091315</v>
      </c>
      <c r="D1677" s="2">
        <f t="shared" ca="1" si="1614"/>
        <v>1.781516409552919E-2</v>
      </c>
      <c r="E1677" s="2">
        <f t="shared" ca="1" si="1615"/>
        <v>6.6887599750769704</v>
      </c>
      <c r="F1677" s="2">
        <f t="shared" ca="1" si="1616"/>
        <v>0.72750101794364741</v>
      </c>
      <c r="G1677" s="2">
        <f t="shared" ca="1" si="1617"/>
        <v>5.8158174384636219E-2</v>
      </c>
      <c r="H1677" s="2">
        <f t="shared" ca="1" si="1618"/>
        <v>5.8158174384636219E-2</v>
      </c>
      <c r="I1677" s="2">
        <f t="shared" ca="1" si="1619"/>
        <v>0.43441685670524877</v>
      </c>
      <c r="J1677" s="2">
        <f t="shared" ca="1" si="1620"/>
        <v>9.1742995150031759E-3</v>
      </c>
      <c r="K1677" s="2">
        <f t="shared" ca="1" si="1621"/>
        <v>9.1742995150031759E-3</v>
      </c>
      <c r="L1677" s="2">
        <f t="shared" ca="1" si="1622"/>
        <v>0.73175754397498627</v>
      </c>
      <c r="M1677" s="2">
        <f t="shared" ca="1" si="1623"/>
        <v>1.2362743709502633E-2</v>
      </c>
      <c r="N1677" s="2">
        <f t="shared" ca="1" si="1624"/>
        <v>1.2362743709502633E-2</v>
      </c>
      <c r="O1677" s="2">
        <f t="shared" si="1625"/>
        <v>6000000</v>
      </c>
      <c r="P1677" s="2">
        <f t="shared" ca="1" si="1626"/>
        <v>42372780.667854786</v>
      </c>
      <c r="Q1677" s="2">
        <f t="shared" ca="1" si="1627"/>
        <v>1059319.5166963697</v>
      </c>
      <c r="R1677" s="2">
        <f t="shared" ca="1" si="1628"/>
        <v>25423668.40071287</v>
      </c>
      <c r="S1677" s="2">
        <f t="shared" ca="1" si="1629"/>
        <v>16949112.267141916</v>
      </c>
      <c r="T1677" s="2">
        <f t="shared" ca="1" si="1630"/>
        <v>50618137.185475133</v>
      </c>
      <c r="U1677" s="2">
        <f t="shared" ca="1" si="1631"/>
        <v>53561995.634933434</v>
      </c>
      <c r="V1677" s="2">
        <f t="shared" ca="1" si="1632"/>
        <v>56677063.51745902</v>
      </c>
      <c r="W1677" s="2">
        <f t="shared" ca="1" si="1633"/>
        <v>59973298.061116502</v>
      </c>
      <c r="X1677" s="2">
        <f t="shared" ca="1" si="1634"/>
        <v>63461235.588176683</v>
      </c>
      <c r="Y1677" s="2">
        <f t="shared" ca="1" si="1635"/>
        <v>0.12458714975750158</v>
      </c>
      <c r="Z1677" s="2">
        <f t="shared" ca="1" si="1636"/>
        <v>0.12642200966050221</v>
      </c>
      <c r="AA1677" s="2">
        <f t="shared" ca="1" si="1637"/>
        <v>6306369.4379725503</v>
      </c>
      <c r="AB1677" s="2">
        <f t="shared" ca="1" si="1638"/>
        <v>6771415.1295953318</v>
      </c>
      <c r="AC1677" s="2">
        <f t="shared" ca="1" si="1639"/>
        <v>7165228.2715331018</v>
      </c>
      <c r="AD1677" s="2">
        <f t="shared" ca="1" si="1640"/>
        <v>7581944.866854649</v>
      </c>
      <c r="AE1677" s="2">
        <f t="shared" ca="1" si="1641"/>
        <v>8022896.9385958789</v>
      </c>
      <c r="AF1677" s="2">
        <f t="shared" ca="1" si="1642"/>
        <v>1012362.7437095027</v>
      </c>
      <c r="AG1677" s="2">
        <f t="shared" ca="1" si="1643"/>
        <v>1071239.9126986687</v>
      </c>
      <c r="AH1677" s="2">
        <f t="shared" ca="1" si="1644"/>
        <v>1133541.2703491803</v>
      </c>
      <c r="AI1677" s="2">
        <f t="shared" ca="1" si="1645"/>
        <v>1199465.9612223301</v>
      </c>
      <c r="AJ1677" s="2">
        <f t="shared" ca="1" si="1646"/>
        <v>1269224.7117635338</v>
      </c>
      <c r="AK1677" s="2">
        <f t="shared" ca="1" si="1647"/>
        <v>0</v>
      </c>
      <c r="AL1677" s="2">
        <f t="shared" ca="1" si="1648"/>
        <v>29438.58449458301</v>
      </c>
      <c r="AM1677" s="2">
        <f t="shared" ca="1" si="1649"/>
        <v>31150.678825255858</v>
      </c>
      <c r="AN1677" s="2">
        <f t="shared" ca="1" si="1650"/>
        <v>32962.345436574818</v>
      </c>
      <c r="AO1677" s="2">
        <f t="shared" ca="1" si="1651"/>
        <v>34879.375270601813</v>
      </c>
      <c r="AP1677" s="2">
        <f t="shared" ca="1" si="1652"/>
        <v>2288130.1560641583</v>
      </c>
      <c r="AQ1677" s="2">
        <f t="shared" ca="1" si="1653"/>
        <v>781527.89993171126</v>
      </c>
      <c r="AR1677" s="2">
        <f t="shared" ca="1" si="1654"/>
        <v>887131.71581645135</v>
      </c>
      <c r="AS1677" s="2">
        <f t="shared" ca="1" si="1655"/>
        <v>973324.77973113849</v>
      </c>
      <c r="AT1677" s="2">
        <f t="shared" ca="1" si="1656"/>
        <v>1064530.6748877219</v>
      </c>
      <c r="AU1677" s="2">
        <f t="shared" ca="1" si="1657"/>
        <v>1161040.9383997286</v>
      </c>
      <c r="AV1677" s="2">
        <f t="shared" ca="1" si="1658"/>
        <v>2224348.6382671781</v>
      </c>
      <c r="AW1677" s="2">
        <f t="shared" ca="1" si="1659"/>
        <v>2495474.7605214706</v>
      </c>
      <c r="AX1677" s="2">
        <f t="shared" ca="1" si="1660"/>
        <v>2739081.3865633691</v>
      </c>
      <c r="AY1677" s="2">
        <f t="shared" ca="1" si="1661"/>
        <v>2996855.7292438634</v>
      </c>
      <c r="AZ1677" s="2">
        <f t="shared" ca="1" si="1662"/>
        <v>3269621.7570978571</v>
      </c>
      <c r="BA1677" s="2">
        <f t="shared" ca="1" si="1663"/>
        <v>53663231.92704767</v>
      </c>
      <c r="BB1677" s="2">
        <f t="shared" ca="1" si="1664"/>
        <v>1073264.6385409534</v>
      </c>
      <c r="BC1677" s="2">
        <f t="shared" ca="1" si="1665"/>
        <v>27166298.887793846</v>
      </c>
      <c r="BD1677" s="2">
        <f t="shared" ca="1" si="1666"/>
        <v>-18508431.783838287</v>
      </c>
      <c r="BE1677" s="2">
        <f t="shared" ca="1" si="1667"/>
        <v>2224348.6382671781</v>
      </c>
      <c r="BF1677" s="2">
        <f t="shared" ca="1" si="1668"/>
        <v>2495474.7605214706</v>
      </c>
      <c r="BG1677" s="2">
        <f t="shared" ca="1" si="1669"/>
        <v>2739081.3865633691</v>
      </c>
      <c r="BH1677" s="2">
        <f t="shared" ca="1" si="1670"/>
        <v>2996855.7292438634</v>
      </c>
      <c r="BI1677" s="2">
        <f t="shared" ca="1" si="1671"/>
        <v>30435920.644891702</v>
      </c>
      <c r="BJ1677" s="2">
        <f t="shared" ca="1" si="1672"/>
        <v>0.20536443000544513</v>
      </c>
      <c r="BK1677" s="2">
        <f t="shared" ca="1" si="1673"/>
        <v>6591309.7615603767</v>
      </c>
    </row>
    <row r="1678" spans="1:63" x14ac:dyDescent="0.3">
      <c r="A1678" s="2">
        <v>1677</v>
      </c>
      <c r="B1678" s="2">
        <f t="shared" ca="1" si="1612"/>
        <v>0.84326904495736665</v>
      </c>
      <c r="C1678" s="2">
        <f t="shared" ca="1" si="1613"/>
        <v>7.4401233081425282</v>
      </c>
      <c r="D1678" s="2">
        <f t="shared" ca="1" si="1614"/>
        <v>0.76129215035623277</v>
      </c>
      <c r="E1678" s="2">
        <f t="shared" ca="1" si="1615"/>
        <v>7.8090472524929551</v>
      </c>
      <c r="F1678" s="2">
        <f t="shared" ca="1" si="1616"/>
        <v>0.35761101923505823</v>
      </c>
      <c r="G1678" s="2">
        <f t="shared" ca="1" si="1617"/>
        <v>2.9054446113372431E-2</v>
      </c>
      <c r="H1678" s="2">
        <f t="shared" ca="1" si="1618"/>
        <v>2.9054446113372431E-2</v>
      </c>
      <c r="I1678" s="2">
        <f t="shared" ca="1" si="1619"/>
        <v>7.1844531930729705E-2</v>
      </c>
      <c r="J1678" s="2">
        <f t="shared" ca="1" si="1620"/>
        <v>2.6890484063776636E-3</v>
      </c>
      <c r="K1678" s="2">
        <f t="shared" ca="1" si="1621"/>
        <v>2.6890484063776636E-3</v>
      </c>
      <c r="L1678" s="2">
        <f t="shared" ca="1" si="1622"/>
        <v>0.38975910790235091</v>
      </c>
      <c r="M1678" s="2">
        <f t="shared" ca="1" si="1623"/>
        <v>-5.5989387396736022E-3</v>
      </c>
      <c r="N1678" s="2">
        <f t="shared" ca="1" si="1624"/>
        <v>-5.5989387396736022E-3</v>
      </c>
      <c r="O1678" s="2">
        <f t="shared" si="1625"/>
        <v>6000000</v>
      </c>
      <c r="P1678" s="2">
        <f t="shared" ca="1" si="1626"/>
        <v>44640739.848855168</v>
      </c>
      <c r="Q1678" s="2">
        <f t="shared" ca="1" si="1627"/>
        <v>1116018.4962213791</v>
      </c>
      <c r="R1678" s="2">
        <f t="shared" ca="1" si="1628"/>
        <v>26784443.909313101</v>
      </c>
      <c r="S1678" s="2">
        <f t="shared" ca="1" si="1629"/>
        <v>17856295.939542066</v>
      </c>
      <c r="T1678" s="2">
        <f t="shared" ca="1" si="1630"/>
        <v>49720053.063016318</v>
      </c>
      <c r="U1678" s="2">
        <f t="shared" ca="1" si="1631"/>
        <v>51164641.665489741</v>
      </c>
      <c r="V1678" s="2">
        <f t="shared" ca="1" si="1632"/>
        <v>52651201.989669718</v>
      </c>
      <c r="W1678" s="2">
        <f t="shared" ca="1" si="1633"/>
        <v>54180953.500682861</v>
      </c>
      <c r="X1678" s="2">
        <f t="shared" ca="1" si="1634"/>
        <v>55755151.094539583</v>
      </c>
      <c r="Y1678" s="2">
        <f t="shared" ca="1" si="1635"/>
        <v>0.12134452420318882</v>
      </c>
      <c r="Z1678" s="2">
        <f t="shared" ca="1" si="1636"/>
        <v>0.12188233388446436</v>
      </c>
      <c r="AA1678" s="2">
        <f t="shared" ca="1" si="1637"/>
        <v>6033256.1822890164</v>
      </c>
      <c r="AB1678" s="2">
        <f t="shared" ca="1" si="1638"/>
        <v>6236065.9385521971</v>
      </c>
      <c r="AC1678" s="2">
        <f t="shared" ca="1" si="1639"/>
        <v>6417251.3803232983</v>
      </c>
      <c r="AD1678" s="2">
        <f t="shared" ca="1" si="1640"/>
        <v>6603701.0647488665</v>
      </c>
      <c r="AE1678" s="2">
        <f t="shared" ca="1" si="1641"/>
        <v>6795567.9414834315</v>
      </c>
      <c r="AF1678" s="2">
        <f t="shared" ca="1" si="1642"/>
        <v>994401.06126032642</v>
      </c>
      <c r="AG1678" s="2">
        <f t="shared" ca="1" si="1643"/>
        <v>1023292.8333097949</v>
      </c>
      <c r="AH1678" s="2">
        <f t="shared" ca="1" si="1644"/>
        <v>1053024.0397933943</v>
      </c>
      <c r="AI1678" s="2">
        <f t="shared" ca="1" si="1645"/>
        <v>1083619.0700136572</v>
      </c>
      <c r="AJ1678" s="2">
        <f t="shared" ca="1" si="1646"/>
        <v>1115103.0218907916</v>
      </c>
      <c r="AK1678" s="2">
        <f t="shared" ca="1" si="1647"/>
        <v>0</v>
      </c>
      <c r="AL1678" s="2">
        <f t="shared" ca="1" si="1648"/>
        <v>14445.886024734229</v>
      </c>
      <c r="AM1678" s="2">
        <f t="shared" ca="1" si="1649"/>
        <v>14865.603241799772</v>
      </c>
      <c r="AN1678" s="2">
        <f t="shared" ca="1" si="1650"/>
        <v>15297.515110131428</v>
      </c>
      <c r="AO1678" s="2">
        <f t="shared" ca="1" si="1651"/>
        <v>15741.975938567222</v>
      </c>
      <c r="AP1678" s="2">
        <f t="shared" ca="1" si="1652"/>
        <v>2410599.951838179</v>
      </c>
      <c r="AQ1678" s="2">
        <f t="shared" ca="1" si="1653"/>
        <v>683346.34398953279</v>
      </c>
      <c r="AR1678" s="2">
        <f t="shared" ca="1" si="1654"/>
        <v>728565.0198850981</v>
      </c>
      <c r="AS1678" s="2">
        <f t="shared" ca="1" si="1655"/>
        <v>767943.12105984846</v>
      </c>
      <c r="AT1678" s="2">
        <f t="shared" ca="1" si="1656"/>
        <v>808465.33115322795</v>
      </c>
      <c r="AU1678" s="2">
        <f t="shared" ca="1" si="1657"/>
        <v>850164.8916161597</v>
      </c>
      <c r="AV1678" s="2">
        <f t="shared" ca="1" si="1658"/>
        <v>1944908.8252009782</v>
      </c>
      <c r="AW1678" s="2">
        <f t="shared" ca="1" si="1659"/>
        <v>2059162.2474943916</v>
      </c>
      <c r="AX1678" s="2">
        <f t="shared" ca="1" si="1660"/>
        <v>2170818.6643900773</v>
      </c>
      <c r="AY1678" s="2">
        <f t="shared" ca="1" si="1661"/>
        <v>2285719.1966336709</v>
      </c>
      <c r="AZ1678" s="2">
        <f t="shared" ca="1" si="1662"/>
        <v>2403958.1001997334</v>
      </c>
      <c r="BA1678" s="2">
        <f t="shared" ca="1" si="1663"/>
        <v>53066911.162570395</v>
      </c>
      <c r="BB1678" s="2">
        <f t="shared" ca="1" si="1664"/>
        <v>1061338.223251408</v>
      </c>
      <c r="BC1678" s="2">
        <f t="shared" ca="1" si="1665"/>
        <v>25221129.030005887</v>
      </c>
      <c r="BD1678" s="2">
        <f t="shared" ca="1" si="1666"/>
        <v>-19472314.435763445</v>
      </c>
      <c r="BE1678" s="2">
        <f t="shared" ca="1" si="1667"/>
        <v>1944908.8252009782</v>
      </c>
      <c r="BF1678" s="2">
        <f t="shared" ca="1" si="1668"/>
        <v>2059162.2474943916</v>
      </c>
      <c r="BG1678" s="2">
        <f t="shared" ca="1" si="1669"/>
        <v>2170818.6643900773</v>
      </c>
      <c r="BH1678" s="2">
        <f t="shared" ca="1" si="1670"/>
        <v>2285719.1966336709</v>
      </c>
      <c r="BI1678" s="2">
        <f t="shared" ca="1" si="1671"/>
        <v>27625087.13020562</v>
      </c>
      <c r="BJ1678" s="2">
        <f t="shared" ca="1" si="1672"/>
        <v>0.15341940432741552</v>
      </c>
      <c r="BK1678" s="2">
        <f t="shared" ca="1" si="1673"/>
        <v>2578740.8853699975</v>
      </c>
    </row>
    <row r="1679" spans="1:63" x14ac:dyDescent="0.3">
      <c r="A1679" s="2">
        <v>1678</v>
      </c>
      <c r="B1679" s="2">
        <f t="shared" ca="1" si="1612"/>
        <v>0.77986020078525742</v>
      </c>
      <c r="C1679" s="2">
        <f t="shared" ca="1" si="1613"/>
        <v>7.3364643201534037</v>
      </c>
      <c r="D1679" s="2">
        <f t="shared" ca="1" si="1614"/>
        <v>0.53690157236041558</v>
      </c>
      <c r="E1679" s="2">
        <f t="shared" ca="1" si="1615"/>
        <v>7.5376087826257097</v>
      </c>
      <c r="F1679" s="2">
        <f t="shared" ca="1" si="1616"/>
        <v>0.14625386334679236</v>
      </c>
      <c r="G1679" s="2">
        <f t="shared" ca="1" si="1617"/>
        <v>8.4209118557739132E-3</v>
      </c>
      <c r="H1679" s="2">
        <f t="shared" ca="1" si="1618"/>
        <v>8.4209118557739132E-3</v>
      </c>
      <c r="I1679" s="2">
        <f t="shared" ca="1" si="1619"/>
        <v>0.13243257090098215</v>
      </c>
      <c r="J1679" s="2">
        <f t="shared" ca="1" si="1620"/>
        <v>4.4251717491324907E-3</v>
      </c>
      <c r="K1679" s="2">
        <f t="shared" ca="1" si="1621"/>
        <v>4.4251717491324907E-3</v>
      </c>
      <c r="L1679" s="2">
        <f t="shared" ca="1" si="1622"/>
        <v>0.59166737280475468</v>
      </c>
      <c r="M1679" s="2">
        <f t="shared" ca="1" si="1623"/>
        <v>4.6367236138187776E-3</v>
      </c>
      <c r="N1679" s="2">
        <f t="shared" ca="1" si="1624"/>
        <v>4.6367236138187776E-3</v>
      </c>
      <c r="O1679" s="2">
        <f t="shared" si="1625"/>
        <v>6000000</v>
      </c>
      <c r="P1679" s="2">
        <f t="shared" ca="1" si="1626"/>
        <v>44018785.920920424</v>
      </c>
      <c r="Q1679" s="2">
        <f t="shared" ca="1" si="1627"/>
        <v>1100469.6480230107</v>
      </c>
      <c r="R1679" s="2">
        <f t="shared" ca="1" si="1628"/>
        <v>26411271.552552253</v>
      </c>
      <c r="S1679" s="2">
        <f t="shared" ca="1" si="1629"/>
        <v>17607514.368368171</v>
      </c>
      <c r="T1679" s="2">
        <f t="shared" ca="1" si="1630"/>
        <v>50231836.180690937</v>
      </c>
      <c r="U1679" s="2">
        <f t="shared" ca="1" si="1631"/>
        <v>50654834.045522206</v>
      </c>
      <c r="V1679" s="2">
        <f t="shared" ca="1" si="1632"/>
        <v>51081393.938088402</v>
      </c>
      <c r="W1679" s="2">
        <f t="shared" ca="1" si="1633"/>
        <v>51511545.853911109</v>
      </c>
      <c r="X1679" s="2">
        <f t="shared" ca="1" si="1634"/>
        <v>51945320.041101545</v>
      </c>
      <c r="Y1679" s="2">
        <f t="shared" ca="1" si="1635"/>
        <v>0.12221258587456624</v>
      </c>
      <c r="Z1679" s="2">
        <f t="shared" ca="1" si="1636"/>
        <v>0.12309762022439275</v>
      </c>
      <c r="AA1679" s="2">
        <f t="shared" ca="1" si="1637"/>
        <v>6138962.592869834</v>
      </c>
      <c r="AB1679" s="2">
        <f t="shared" ca="1" si="1638"/>
        <v>6235489.5238653328</v>
      </c>
      <c r="AC1679" s="2">
        <f t="shared" ca="1" si="1639"/>
        <v>6287998.0315234037</v>
      </c>
      <c r="AD1679" s="2">
        <f t="shared" ca="1" si="1640"/>
        <v>6340948.7086961428</v>
      </c>
      <c r="AE1679" s="2">
        <f t="shared" ca="1" si="1641"/>
        <v>6394345.2788540553</v>
      </c>
      <c r="AF1679" s="2">
        <f t="shared" ca="1" si="1642"/>
        <v>1004636.7236138188</v>
      </c>
      <c r="AG1679" s="2">
        <f t="shared" ca="1" si="1643"/>
        <v>1013096.6809104441</v>
      </c>
      <c r="AH1679" s="2">
        <f t="shared" ca="1" si="1644"/>
        <v>1021627.8787617681</v>
      </c>
      <c r="AI1679" s="2">
        <f t="shared" ca="1" si="1645"/>
        <v>1030230.9170782223</v>
      </c>
      <c r="AJ1679" s="2">
        <f t="shared" ca="1" si="1646"/>
        <v>1038906.400822031</v>
      </c>
      <c r="AK1679" s="2">
        <f t="shared" ca="1" si="1647"/>
        <v>0</v>
      </c>
      <c r="AL1679" s="2">
        <f t="shared" ca="1" si="1648"/>
        <v>4229.9786483126882</v>
      </c>
      <c r="AM1679" s="2">
        <f t="shared" ca="1" si="1649"/>
        <v>4265.5989256619659</v>
      </c>
      <c r="AN1679" s="2">
        <f t="shared" ca="1" si="1650"/>
        <v>4301.5191582270709</v>
      </c>
      <c r="AO1679" s="2">
        <f t="shared" ca="1" si="1651"/>
        <v>4337.741871904358</v>
      </c>
      <c r="AP1679" s="2">
        <f t="shared" ca="1" si="1652"/>
        <v>2377014.4397297027</v>
      </c>
      <c r="AQ1679" s="2">
        <f t="shared" ca="1" si="1653"/>
        <v>716900.97167684126</v>
      </c>
      <c r="AR1679" s="2">
        <f t="shared" ca="1" si="1654"/>
        <v>739798.38483854849</v>
      </c>
      <c r="AS1679" s="2">
        <f t="shared" ca="1" si="1655"/>
        <v>751232.48538830248</v>
      </c>
      <c r="AT1679" s="2">
        <f t="shared" ca="1" si="1656"/>
        <v>762762.87149093673</v>
      </c>
      <c r="AU1679" s="2">
        <f t="shared" ca="1" si="1657"/>
        <v>774390.35395860358</v>
      </c>
      <c r="AV1679" s="2">
        <f t="shared" ca="1" si="1658"/>
        <v>2040410.4578494709</v>
      </c>
      <c r="AW1679" s="2">
        <f t="shared" ca="1" si="1659"/>
        <v>2101350.0397383254</v>
      </c>
      <c r="AX1679" s="2">
        <f t="shared" ca="1" si="1660"/>
        <v>2133857.6287179682</v>
      </c>
      <c r="AY1679" s="2">
        <f t="shared" ca="1" si="1661"/>
        <v>2166638.9612390539</v>
      </c>
      <c r="AZ1679" s="2">
        <f t="shared" ca="1" si="1662"/>
        <v>2199696.3424718129</v>
      </c>
      <c r="BA1679" s="2">
        <f t="shared" ca="1" si="1663"/>
        <v>48198073.133031569</v>
      </c>
      <c r="BB1679" s="2">
        <f t="shared" ca="1" si="1664"/>
        <v>963961.4626606314</v>
      </c>
      <c r="BC1679" s="2">
        <f t="shared" ca="1" si="1665"/>
        <v>20822840.117818683</v>
      </c>
      <c r="BD1679" s="2">
        <f t="shared" ca="1" si="1666"/>
        <v>-19207984.01639118</v>
      </c>
      <c r="BE1679" s="2">
        <f t="shared" ca="1" si="1667"/>
        <v>2040410.4578494709</v>
      </c>
      <c r="BF1679" s="2">
        <f t="shared" ca="1" si="1668"/>
        <v>2101350.0397383254</v>
      </c>
      <c r="BG1679" s="2">
        <f t="shared" ca="1" si="1669"/>
        <v>2133857.6287179682</v>
      </c>
      <c r="BH1679" s="2">
        <f t="shared" ca="1" si="1670"/>
        <v>2166638.9612390539</v>
      </c>
      <c r="BI1679" s="2">
        <f t="shared" ca="1" si="1671"/>
        <v>23022536.460290495</v>
      </c>
      <c r="BJ1679" s="2">
        <f t="shared" ca="1" si="1672"/>
        <v>0.12348347043501917</v>
      </c>
      <c r="BK1679" s="2">
        <f t="shared" ca="1" si="1673"/>
        <v>248375.83687165752</v>
      </c>
    </row>
    <row r="1680" spans="1:63" x14ac:dyDescent="0.3">
      <c r="A1680" s="2">
        <v>1679</v>
      </c>
      <c r="B1680" s="2">
        <f t="shared" ca="1" si="1612"/>
        <v>0.3682809410102369</v>
      </c>
      <c r="C1680" s="2">
        <f t="shared" ca="1" si="1613"/>
        <v>6.8582318346580218</v>
      </c>
      <c r="D1680" s="2">
        <f t="shared" ca="1" si="1614"/>
        <v>0.70702422051477454</v>
      </c>
      <c r="E1680" s="2">
        <f t="shared" ca="1" si="1615"/>
        <v>7.7345252721542987</v>
      </c>
      <c r="F1680" s="2">
        <f t="shared" ca="1" si="1616"/>
        <v>0.95490729990542933</v>
      </c>
      <c r="G1680" s="2">
        <f t="shared" ca="1" si="1617"/>
        <v>9.0832616038746539E-2</v>
      </c>
      <c r="H1680" s="2">
        <f t="shared" ca="1" si="1618"/>
        <v>9.0832616038746539E-2</v>
      </c>
      <c r="I1680" s="2">
        <f t="shared" ca="1" si="1619"/>
        <v>6.17991827160842E-2</v>
      </c>
      <c r="J1680" s="2">
        <f t="shared" ca="1" si="1620"/>
        <v>2.3007796236699405E-3</v>
      </c>
      <c r="K1680" s="2">
        <f t="shared" ca="1" si="1621"/>
        <v>2.3007796236699405E-3</v>
      </c>
      <c r="L1680" s="2">
        <f t="shared" ca="1" si="1622"/>
        <v>8.3173712891738805E-2</v>
      </c>
      <c r="M1680" s="2">
        <f t="shared" ca="1" si="1623"/>
        <v>-2.7680720395723123E-2</v>
      </c>
      <c r="N1680" s="2">
        <f t="shared" ca="1" si="1624"/>
        <v>-2.7680720395723123E-2</v>
      </c>
      <c r="O1680" s="2">
        <f t="shared" si="1625"/>
        <v>6000000</v>
      </c>
      <c r="P1680" s="2">
        <f t="shared" ca="1" si="1626"/>
        <v>41149391.00794813</v>
      </c>
      <c r="Q1680" s="2">
        <f t="shared" ca="1" si="1627"/>
        <v>1028734.7751987033</v>
      </c>
      <c r="R1680" s="2">
        <f t="shared" ca="1" si="1628"/>
        <v>24689634.604768876</v>
      </c>
      <c r="S1680" s="2">
        <f t="shared" ca="1" si="1629"/>
        <v>16459756.403179253</v>
      </c>
      <c r="T1680" s="2">
        <f t="shared" ca="1" si="1630"/>
        <v>48615963.980213843</v>
      </c>
      <c r="U1680" s="2">
        <f t="shared" ca="1" si="1631"/>
        <v>53031879.169782139</v>
      </c>
      <c r="V1680" s="2">
        <f t="shared" ca="1" si="1632"/>
        <v>57848903.488224156</v>
      </c>
      <c r="W1680" s="2">
        <f t="shared" ca="1" si="1633"/>
        <v>63103470.72703252</v>
      </c>
      <c r="X1680" s="2">
        <f t="shared" ca="1" si="1634"/>
        <v>68835324.054293349</v>
      </c>
      <c r="Y1680" s="2">
        <f t="shared" ca="1" si="1635"/>
        <v>0.12115038981183497</v>
      </c>
      <c r="Z1680" s="2">
        <f t="shared" ca="1" si="1636"/>
        <v>0.12161054573656896</v>
      </c>
      <c r="AA1680" s="2">
        <f t="shared" ca="1" si="1637"/>
        <v>5889842.9872810347</v>
      </c>
      <c r="AB1680" s="2">
        <f t="shared" ca="1" si="1638"/>
        <v>6449235.7672729893</v>
      </c>
      <c r="AC1680" s="2">
        <f t="shared" ca="1" si="1639"/>
        <v>7035036.7234650478</v>
      </c>
      <c r="AD1680" s="2">
        <f t="shared" ca="1" si="1640"/>
        <v>7674047.5129860286</v>
      </c>
      <c r="AE1680" s="2">
        <f t="shared" ca="1" si="1641"/>
        <v>8371101.3241961868</v>
      </c>
      <c r="AF1680" s="2">
        <f t="shared" ca="1" si="1642"/>
        <v>972319.27960427688</v>
      </c>
      <c r="AG1680" s="2">
        <f t="shared" ca="1" si="1643"/>
        <v>1060637.5833956427</v>
      </c>
      <c r="AH1680" s="2">
        <f t="shared" ca="1" si="1644"/>
        <v>1156978.0697644833</v>
      </c>
      <c r="AI1680" s="2">
        <f t="shared" ca="1" si="1645"/>
        <v>1262069.4145406503</v>
      </c>
      <c r="AJ1680" s="2">
        <f t="shared" ca="1" si="1646"/>
        <v>1376706.4810858669</v>
      </c>
      <c r="AK1680" s="2">
        <f t="shared" ca="1" si="1647"/>
        <v>0</v>
      </c>
      <c r="AL1680" s="2">
        <f t="shared" ca="1" si="1648"/>
        <v>44159.15189568296</v>
      </c>
      <c r="AM1680" s="2">
        <f t="shared" ca="1" si="1649"/>
        <v>48170.243184420171</v>
      </c>
      <c r="AN1680" s="2">
        <f t="shared" ca="1" si="1650"/>
        <v>52545.672388083636</v>
      </c>
      <c r="AO1680" s="2">
        <f t="shared" ca="1" si="1651"/>
        <v>57318.5332726083</v>
      </c>
      <c r="AP1680" s="2">
        <f t="shared" ca="1" si="1652"/>
        <v>2222067.1144291987</v>
      </c>
      <c r="AQ1680" s="2">
        <f t="shared" ca="1" si="1653"/>
        <v>700818.71424436546</v>
      </c>
      <c r="AR1680" s="2">
        <f t="shared" ca="1" si="1654"/>
        <v>823298.07805651857</v>
      </c>
      <c r="AS1680" s="2">
        <f t="shared" ca="1" si="1655"/>
        <v>950557.80021055508</v>
      </c>
      <c r="AT1680" s="2">
        <f t="shared" ca="1" si="1656"/>
        <v>1089376.8558442066</v>
      </c>
      <c r="AU1680" s="2">
        <f t="shared" ca="1" si="1657"/>
        <v>1240805.2094570915</v>
      </c>
      <c r="AV1680" s="2">
        <f t="shared" ca="1" si="1658"/>
        <v>1994637.8790031937</v>
      </c>
      <c r="AW1680" s="2">
        <f t="shared" ca="1" si="1659"/>
        <v>2299073.8394959462</v>
      </c>
      <c r="AX1680" s="2">
        <f t="shared" ca="1" si="1660"/>
        <v>2657263.49587639</v>
      </c>
      <c r="AY1680" s="2">
        <f t="shared" ca="1" si="1661"/>
        <v>3047988.4557838901</v>
      </c>
      <c r="AZ1680" s="2">
        <f t="shared" ca="1" si="1662"/>
        <v>3474203.9859514213</v>
      </c>
      <c r="BA1680" s="2">
        <f t="shared" ca="1" si="1663"/>
        <v>64746494.747759722</v>
      </c>
      <c r="BB1680" s="2">
        <f t="shared" ca="1" si="1664"/>
        <v>1294929.8949551946</v>
      </c>
      <c r="BC1680" s="2">
        <f t="shared" ca="1" si="1665"/>
        <v>38761930.248035647</v>
      </c>
      <c r="BD1680" s="2">
        <f t="shared" ca="1" si="1666"/>
        <v>-17988491.178377956</v>
      </c>
      <c r="BE1680" s="2">
        <f t="shared" ca="1" si="1667"/>
        <v>1994637.8790031937</v>
      </c>
      <c r="BF1680" s="2">
        <f t="shared" ca="1" si="1668"/>
        <v>2299073.8394959462</v>
      </c>
      <c r="BG1680" s="2">
        <f t="shared" ca="1" si="1669"/>
        <v>2657263.49587639</v>
      </c>
      <c r="BH1680" s="2">
        <f t="shared" ca="1" si="1670"/>
        <v>3047988.4557838901</v>
      </c>
      <c r="BI1680" s="2">
        <f t="shared" ca="1" si="1671"/>
        <v>42236134.233987071</v>
      </c>
      <c r="BJ1680" s="2">
        <f t="shared" ca="1" si="1672"/>
        <v>0.27434068227465991</v>
      </c>
      <c r="BK1680" s="2">
        <f t="shared" ca="1" si="1673"/>
        <v>13419599.370307632</v>
      </c>
    </row>
    <row r="1681" spans="1:63" x14ac:dyDescent="0.3">
      <c r="A1681" s="2">
        <v>1680</v>
      </c>
      <c r="B1681" s="2">
        <f t="shared" ca="1" si="1612"/>
        <v>0.30416182348195808</v>
      </c>
      <c r="C1681" s="2">
        <f t="shared" ca="1" si="1613"/>
        <v>6.7799510542104011</v>
      </c>
      <c r="D1681" s="2">
        <f t="shared" ca="1" si="1614"/>
        <v>0.27975009762294145</v>
      </c>
      <c r="E1681" s="2">
        <f t="shared" ca="1" si="1615"/>
        <v>7.2479974567108387</v>
      </c>
      <c r="F1681" s="2">
        <f t="shared" ca="1" si="1616"/>
        <v>0.59345661810607275</v>
      </c>
      <c r="G1681" s="2">
        <f t="shared" ca="1" si="1617"/>
        <v>4.7093373862889712E-2</v>
      </c>
      <c r="H1681" s="2">
        <f t="shared" ca="1" si="1618"/>
        <v>4.7093373862889712E-2</v>
      </c>
      <c r="I1681" s="2">
        <f t="shared" ca="1" si="1619"/>
        <v>3.731627428760953E-2</v>
      </c>
      <c r="J1681" s="2">
        <f t="shared" ca="1" si="1620"/>
        <v>1.0864200953823837E-3</v>
      </c>
      <c r="K1681" s="2">
        <f t="shared" ca="1" si="1621"/>
        <v>1.0864200953823837E-3</v>
      </c>
      <c r="L1681" s="2">
        <f t="shared" ca="1" si="1622"/>
        <v>0.37238577079202484</v>
      </c>
      <c r="M1681" s="2">
        <f t="shared" ca="1" si="1623"/>
        <v>-6.5108230623469069E-3</v>
      </c>
      <c r="N1681" s="2">
        <f t="shared" ca="1" si="1624"/>
        <v>-6.5108230623469069E-3</v>
      </c>
      <c r="O1681" s="2">
        <f t="shared" si="1625"/>
        <v>6000000</v>
      </c>
      <c r="P1681" s="2">
        <f t="shared" ca="1" si="1626"/>
        <v>40679706.325262405</v>
      </c>
      <c r="Q1681" s="2">
        <f t="shared" ca="1" si="1627"/>
        <v>1016992.6581315602</v>
      </c>
      <c r="R1681" s="2">
        <f t="shared" ca="1" si="1628"/>
        <v>24407823.795157444</v>
      </c>
      <c r="S1681" s="2">
        <f t="shared" ca="1" si="1629"/>
        <v>16271882.530104963</v>
      </c>
      <c r="T1681" s="2">
        <f t="shared" ca="1" si="1630"/>
        <v>49674458.846882649</v>
      </c>
      <c r="U1681" s="2">
        <f t="shared" ca="1" si="1631"/>
        <v>52013796.708795629</v>
      </c>
      <c r="V1681" s="2">
        <f t="shared" ca="1" si="1632"/>
        <v>54463301.88323129</v>
      </c>
      <c r="W1681" s="2">
        <f t="shared" ca="1" si="1633"/>
        <v>57028162.520625733</v>
      </c>
      <c r="X1681" s="2">
        <f t="shared" ca="1" si="1634"/>
        <v>59713811.098923199</v>
      </c>
      <c r="Y1681" s="2">
        <f t="shared" ca="1" si="1635"/>
        <v>0.12054321004769118</v>
      </c>
      <c r="Z1681" s="2">
        <f t="shared" ca="1" si="1636"/>
        <v>0.12076049406676767</v>
      </c>
      <c r="AA1681" s="2">
        <f t="shared" ca="1" si="1637"/>
        <v>5987918.7267851662</v>
      </c>
      <c r="AB1681" s="2">
        <f t="shared" ca="1" si="1638"/>
        <v>6281211.7888425747</v>
      </c>
      <c r="AC1681" s="2">
        <f t="shared" ca="1" si="1639"/>
        <v>6577015.2439265288</v>
      </c>
      <c r="AD1681" s="2">
        <f t="shared" ca="1" si="1640"/>
        <v>6886749.081710686</v>
      </c>
      <c r="AE1681" s="2">
        <f t="shared" ca="1" si="1641"/>
        <v>7211069.3309156001</v>
      </c>
      <c r="AF1681" s="2">
        <f t="shared" ca="1" si="1642"/>
        <v>993489.17693765298</v>
      </c>
      <c r="AG1681" s="2">
        <f t="shared" ca="1" si="1643"/>
        <v>1040275.9341759126</v>
      </c>
      <c r="AH1681" s="2">
        <f t="shared" ca="1" si="1644"/>
        <v>1089266.0376646258</v>
      </c>
      <c r="AI1681" s="2">
        <f t="shared" ca="1" si="1645"/>
        <v>1140563.2504125147</v>
      </c>
      <c r="AJ1681" s="2">
        <f t="shared" ca="1" si="1646"/>
        <v>1194276.2219784639</v>
      </c>
      <c r="AK1681" s="2">
        <f t="shared" ca="1" si="1647"/>
        <v>0</v>
      </c>
      <c r="AL1681" s="2">
        <f t="shared" ca="1" si="1648"/>
        <v>23393.378619129806</v>
      </c>
      <c r="AM1681" s="2">
        <f t="shared" ca="1" si="1649"/>
        <v>24495.051744356602</v>
      </c>
      <c r="AN1681" s="2">
        <f t="shared" ca="1" si="1650"/>
        <v>25648.606373944433</v>
      </c>
      <c r="AO1681" s="2">
        <f t="shared" ca="1" si="1651"/>
        <v>26856.485782974662</v>
      </c>
      <c r="AP1681" s="2">
        <f t="shared" ca="1" si="1652"/>
        <v>2196704.1415641699</v>
      </c>
      <c r="AQ1681" s="2">
        <f t="shared" ca="1" si="1653"/>
        <v>727408.6061536693</v>
      </c>
      <c r="AR1681" s="2">
        <f t="shared" ca="1" si="1654"/>
        <v>791500.24540664803</v>
      </c>
      <c r="AS1681" s="2">
        <f t="shared" ca="1" si="1655"/>
        <v>855671.71682141069</v>
      </c>
      <c r="AT1681" s="2">
        <f t="shared" ca="1" si="1656"/>
        <v>922865.23933084041</v>
      </c>
      <c r="AU1681" s="2">
        <f t="shared" ca="1" si="1657"/>
        <v>993223.13151697116</v>
      </c>
      <c r="AV1681" s="2">
        <f t="shared" ca="1" si="1658"/>
        <v>2070316.8021296747</v>
      </c>
      <c r="AW1681" s="2">
        <f t="shared" ca="1" si="1659"/>
        <v>2229338.0890767146</v>
      </c>
      <c r="AX1681" s="2">
        <f t="shared" ca="1" si="1660"/>
        <v>2410878.2961319657</v>
      </c>
      <c r="AY1681" s="2">
        <f t="shared" ca="1" si="1661"/>
        <v>2600967.844029217</v>
      </c>
      <c r="AZ1681" s="2">
        <f t="shared" ca="1" si="1662"/>
        <v>2800009.3500730209</v>
      </c>
      <c r="BA1681" s="2">
        <f t="shared" ca="1" si="1663"/>
        <v>52265812.170641802</v>
      </c>
      <c r="BB1681" s="2">
        <f t="shared" ca="1" si="1664"/>
        <v>1045316.2434128361</v>
      </c>
      <c r="BC1681" s="2">
        <f t="shared" ca="1" si="1665"/>
        <v>26812672.132071521</v>
      </c>
      <c r="BD1681" s="2">
        <f t="shared" ca="1" si="1666"/>
        <v>-17788875.188236523</v>
      </c>
      <c r="BE1681" s="2">
        <f t="shared" ca="1" si="1667"/>
        <v>2070316.8021296747</v>
      </c>
      <c r="BF1681" s="2">
        <f t="shared" ca="1" si="1668"/>
        <v>2229338.0890767146</v>
      </c>
      <c r="BG1681" s="2">
        <f t="shared" ca="1" si="1669"/>
        <v>2410878.2961319657</v>
      </c>
      <c r="BH1681" s="2">
        <f t="shared" ca="1" si="1670"/>
        <v>2600967.844029217</v>
      </c>
      <c r="BI1681" s="2">
        <f t="shared" ca="1" si="1671"/>
        <v>29612681.482144542</v>
      </c>
      <c r="BJ1681" s="2">
        <f t="shared" ca="1" si="1672"/>
        <v>0.20056742198719979</v>
      </c>
      <c r="BK1681" s="2">
        <f t="shared" ca="1" si="1673"/>
        <v>6008845.0122340173</v>
      </c>
    </row>
    <row r="1682" spans="1:63" x14ac:dyDescent="0.3">
      <c r="A1682" s="2">
        <v>1681</v>
      </c>
      <c r="B1682" s="2">
        <f t="shared" ca="1" si="1612"/>
        <v>0.8653924153317315</v>
      </c>
      <c r="C1682" s="2">
        <f t="shared" ca="1" si="1613"/>
        <v>7.4811405109892108</v>
      </c>
      <c r="D1682" s="2">
        <f t="shared" ca="1" si="1614"/>
        <v>0.54907631336606244</v>
      </c>
      <c r="E1682" s="2">
        <f t="shared" ca="1" si="1615"/>
        <v>7.5503435498729683</v>
      </c>
      <c r="F1682" s="2">
        <f t="shared" ca="1" si="1616"/>
        <v>0.77022791878091912</v>
      </c>
      <c r="G1682" s="2">
        <f t="shared" ca="1" si="1617"/>
        <v>6.2187929776279682E-2</v>
      </c>
      <c r="H1682" s="2">
        <f t="shared" ca="1" si="1618"/>
        <v>6.2187929776279682E-2</v>
      </c>
      <c r="I1682" s="2">
        <f t="shared" ca="1" si="1619"/>
        <v>0.70915666977809</v>
      </c>
      <c r="J1682" s="2">
        <f t="shared" ca="1" si="1620"/>
        <v>1.2754613537861309E-2</v>
      </c>
      <c r="K1682" s="2">
        <f t="shared" ca="1" si="1621"/>
        <v>1.2754613537861309E-2</v>
      </c>
      <c r="L1682" s="2">
        <f t="shared" ca="1" si="1622"/>
        <v>0.32301211047941436</v>
      </c>
      <c r="M1682" s="2">
        <f t="shared" ca="1" si="1623"/>
        <v>-9.1858475462003181E-3</v>
      </c>
      <c r="N1682" s="2">
        <f t="shared" ca="1" si="1624"/>
        <v>-9.1858475462003181E-3</v>
      </c>
      <c r="O1682" s="2">
        <f t="shared" si="1625"/>
        <v>6000000</v>
      </c>
      <c r="P1682" s="2">
        <f t="shared" ca="1" si="1626"/>
        <v>44886843.065935262</v>
      </c>
      <c r="Q1682" s="2">
        <f t="shared" ca="1" si="1627"/>
        <v>1122171.0766483815</v>
      </c>
      <c r="R1682" s="2">
        <f t="shared" ca="1" si="1628"/>
        <v>26932105.839561157</v>
      </c>
      <c r="S1682" s="2">
        <f t="shared" ca="1" si="1629"/>
        <v>17954737.226374105</v>
      </c>
      <c r="T1682" s="2">
        <f t="shared" ca="1" si="1630"/>
        <v>49540707.622689985</v>
      </c>
      <c r="U1682" s="2">
        <f t="shared" ca="1" si="1631"/>
        <v>52621541.669397034</v>
      </c>
      <c r="V1682" s="2">
        <f t="shared" ca="1" si="1632"/>
        <v>55893966.407453075</v>
      </c>
      <c r="W1682" s="2">
        <f t="shared" ca="1" si="1633"/>
        <v>59369896.465317503</v>
      </c>
      <c r="X1682" s="2">
        <f t="shared" ca="1" si="1634"/>
        <v>63061987.417527668</v>
      </c>
      <c r="Y1682" s="2">
        <f t="shared" ca="1" si="1635"/>
        <v>0.12637730676893066</v>
      </c>
      <c r="Z1682" s="2">
        <f t="shared" ca="1" si="1636"/>
        <v>0.1289282294765029</v>
      </c>
      <c r="AA1682" s="2">
        <f t="shared" ca="1" si="1637"/>
        <v>6260821.204782594</v>
      </c>
      <c r="AB1682" s="2">
        <f t="shared" ca="1" si="1638"/>
        <v>6784402.19975938</v>
      </c>
      <c r="AC1682" s="2">
        <f t="shared" ca="1" si="1639"/>
        <v>7206310.1273320541</v>
      </c>
      <c r="AD1682" s="2">
        <f t="shared" ca="1" si="1640"/>
        <v>7654455.635476673</v>
      </c>
      <c r="AE1682" s="2">
        <f t="shared" ca="1" si="1641"/>
        <v>8130470.3850113451</v>
      </c>
      <c r="AF1682" s="2">
        <f t="shared" ca="1" si="1642"/>
        <v>990814.15245379973</v>
      </c>
      <c r="AG1682" s="2">
        <f t="shared" ca="1" si="1643"/>
        <v>1052430.8333879407</v>
      </c>
      <c r="AH1682" s="2">
        <f t="shared" ca="1" si="1644"/>
        <v>1117879.3281490614</v>
      </c>
      <c r="AI1682" s="2">
        <f t="shared" ca="1" si="1645"/>
        <v>1187397.9293063502</v>
      </c>
      <c r="AJ1682" s="2">
        <f t="shared" ca="1" si="1646"/>
        <v>1261239.7483505534</v>
      </c>
      <c r="AK1682" s="2">
        <f t="shared" ca="1" si="1647"/>
        <v>0</v>
      </c>
      <c r="AL1682" s="2">
        <f t="shared" ca="1" si="1648"/>
        <v>30808.340467070491</v>
      </c>
      <c r="AM1682" s="2">
        <f t="shared" ca="1" si="1649"/>
        <v>32724.247380560413</v>
      </c>
      <c r="AN1682" s="2">
        <f t="shared" ca="1" si="1650"/>
        <v>34759.300578644274</v>
      </c>
      <c r="AO1682" s="2">
        <f t="shared" ca="1" si="1651"/>
        <v>36920.909522101654</v>
      </c>
      <c r="AP1682" s="2">
        <f t="shared" ca="1" si="1652"/>
        <v>2423889.5255605038</v>
      </c>
      <c r="AQ1682" s="2">
        <f t="shared" ca="1" si="1653"/>
        <v>739990.55695975549</v>
      </c>
      <c r="AR1682" s="2">
        <f t="shared" ca="1" si="1654"/>
        <v>860101.27861084335</v>
      </c>
      <c r="AS1682" s="2">
        <f t="shared" ca="1" si="1655"/>
        <v>952780.73114184709</v>
      </c>
      <c r="AT1682" s="2">
        <f t="shared" ca="1" si="1656"/>
        <v>1051223.7269585528</v>
      </c>
      <c r="AU1682" s="2">
        <f t="shared" ca="1" si="1657"/>
        <v>1155788.688886075</v>
      </c>
      <c r="AV1682" s="2">
        <f t="shared" ca="1" si="1658"/>
        <v>2106126.9698085347</v>
      </c>
      <c r="AW1682" s="2">
        <f t="shared" ca="1" si="1659"/>
        <v>2417172.2217330225</v>
      </c>
      <c r="AX1682" s="2">
        <f t="shared" ca="1" si="1660"/>
        <v>2679036.2951000817</v>
      </c>
      <c r="AY1682" s="2">
        <f t="shared" ca="1" si="1661"/>
        <v>2957185.1530726217</v>
      </c>
      <c r="AZ1682" s="2">
        <f t="shared" ca="1" si="1662"/>
        <v>3252631.5126921115</v>
      </c>
      <c r="BA1682" s="2">
        <f t="shared" ca="1" si="1663"/>
        <v>61387844.628903598</v>
      </c>
      <c r="BB1682" s="2">
        <f t="shared" ca="1" si="1664"/>
        <v>1227756.8925780719</v>
      </c>
      <c r="BC1682" s="2">
        <f t="shared" ca="1" si="1665"/>
        <v>33227981.896764368</v>
      </c>
      <c r="BD1682" s="2">
        <f t="shared" ca="1" si="1666"/>
        <v>-19576908.303022485</v>
      </c>
      <c r="BE1682" s="2">
        <f t="shared" ca="1" si="1667"/>
        <v>2106126.9698085347</v>
      </c>
      <c r="BF1682" s="2">
        <f t="shared" ca="1" si="1668"/>
        <v>2417172.2217330225</v>
      </c>
      <c r="BG1682" s="2">
        <f t="shared" ca="1" si="1669"/>
        <v>2679036.2951000817</v>
      </c>
      <c r="BH1682" s="2">
        <f t="shared" ca="1" si="1670"/>
        <v>2957185.1530726217</v>
      </c>
      <c r="BI1682" s="2">
        <f t="shared" ca="1" si="1671"/>
        <v>36480613.409456477</v>
      </c>
      <c r="BJ1682" s="2">
        <f t="shared" ca="1" si="1672"/>
        <v>0.22121206779981817</v>
      </c>
      <c r="BK1682" s="2">
        <f t="shared" ca="1" si="1673"/>
        <v>8716826.6074962169</v>
      </c>
    </row>
    <row r="1683" spans="1:63" x14ac:dyDescent="0.3">
      <c r="A1683" s="2">
        <v>1682</v>
      </c>
      <c r="B1683" s="2">
        <f t="shared" ca="1" si="1612"/>
        <v>0.45710710129137722</v>
      </c>
      <c r="C1683" s="2">
        <f t="shared" ca="1" si="1613"/>
        <v>6.9561454923717179</v>
      </c>
      <c r="D1683" s="2">
        <f t="shared" ca="1" si="1614"/>
        <v>0.72524855097725682</v>
      </c>
      <c r="E1683" s="2">
        <f t="shared" ca="1" si="1615"/>
        <v>7.7587153731221141</v>
      </c>
      <c r="F1683" s="2">
        <f t="shared" ca="1" si="1616"/>
        <v>0.2539426265954654</v>
      </c>
      <c r="G1683" s="2">
        <f t="shared" ca="1" si="1617"/>
        <v>2.0135975579993762E-2</v>
      </c>
      <c r="H1683" s="2">
        <f t="shared" ca="1" si="1618"/>
        <v>2.0135975579993762E-2</v>
      </c>
      <c r="I1683" s="2">
        <f t="shared" ca="1" si="1619"/>
        <v>0.98015612049243517</v>
      </c>
      <c r="J1683" s="2">
        <f t="shared" ca="1" si="1620"/>
        <v>2.0284920308757535E-2</v>
      </c>
      <c r="K1683" s="2">
        <f t="shared" ca="1" si="1621"/>
        <v>2.0284920308757535E-2</v>
      </c>
      <c r="L1683" s="2">
        <f t="shared" ca="1" si="1622"/>
        <v>0.70871278015385353</v>
      </c>
      <c r="M1683" s="2">
        <f t="shared" ca="1" si="1623"/>
        <v>1.0992563212997153E-2</v>
      </c>
      <c r="N1683" s="2">
        <f t="shared" ca="1" si="1624"/>
        <v>1.0992563212997153E-2</v>
      </c>
      <c r="O1683" s="2">
        <f t="shared" si="1625"/>
        <v>6000000</v>
      </c>
      <c r="P1683" s="2">
        <f t="shared" ca="1" si="1626"/>
        <v>41736872.954230309</v>
      </c>
      <c r="Q1683" s="2">
        <f t="shared" ca="1" si="1627"/>
        <v>1043421.8238557577</v>
      </c>
      <c r="R1683" s="2">
        <f t="shared" ca="1" si="1628"/>
        <v>25042123.772538185</v>
      </c>
      <c r="S1683" s="2">
        <f t="shared" ca="1" si="1629"/>
        <v>16694749.181692123</v>
      </c>
      <c r="T1683" s="2">
        <f t="shared" ca="1" si="1630"/>
        <v>50549628.160649858</v>
      </c>
      <c r="U1683" s="2">
        <f t="shared" ca="1" si="1631"/>
        <v>51567494.238870464</v>
      </c>
      <c r="V1683" s="2">
        <f t="shared" ca="1" si="1632"/>
        <v>52605856.043585822</v>
      </c>
      <c r="W1683" s="2">
        <f t="shared" ca="1" si="1633"/>
        <v>53665126.276244126</v>
      </c>
      <c r="X1683" s="2">
        <f t="shared" ca="1" si="1634"/>
        <v>54745725.948439859</v>
      </c>
      <c r="Y1683" s="2">
        <f t="shared" ca="1" si="1635"/>
        <v>0.13014246015437878</v>
      </c>
      <c r="Z1683" s="2">
        <f t="shared" ca="1" si="1636"/>
        <v>0.13419944421613028</v>
      </c>
      <c r="AA1683" s="2">
        <f t="shared" ca="1" si="1637"/>
        <v>6578652.9687160375</v>
      </c>
      <c r="AB1683" s="2">
        <f t="shared" ca="1" si="1638"/>
        <v>6920329.0664749164</v>
      </c>
      <c r="AC1683" s="2">
        <f t="shared" ca="1" si="1639"/>
        <v>7059676.6435629753</v>
      </c>
      <c r="AD1683" s="2">
        <f t="shared" ca="1" si="1640"/>
        <v>7201830.1200604113</v>
      </c>
      <c r="AE1683" s="2">
        <f t="shared" ca="1" si="1641"/>
        <v>7346845.9954892108</v>
      </c>
      <c r="AF1683" s="2">
        <f t="shared" ca="1" si="1642"/>
        <v>1010992.5632129972</v>
      </c>
      <c r="AG1683" s="2">
        <f t="shared" ca="1" si="1643"/>
        <v>1031349.8847774093</v>
      </c>
      <c r="AH1683" s="2">
        <f t="shared" ca="1" si="1644"/>
        <v>1052117.1208717164</v>
      </c>
      <c r="AI1683" s="2">
        <f t="shared" ca="1" si="1645"/>
        <v>1073302.5255248826</v>
      </c>
      <c r="AJ1683" s="2">
        <f t="shared" ca="1" si="1646"/>
        <v>1094914.5189687973</v>
      </c>
      <c r="AK1683" s="2">
        <f t="shared" ca="1" si="1647"/>
        <v>0</v>
      </c>
      <c r="AL1683" s="2">
        <f t="shared" ca="1" si="1648"/>
        <v>10178.66078220606</v>
      </c>
      <c r="AM1683" s="2">
        <f t="shared" ca="1" si="1649"/>
        <v>10383.618047153577</v>
      </c>
      <c r="AN1683" s="2">
        <f t="shared" ca="1" si="1650"/>
        <v>10592.702326583043</v>
      </c>
      <c r="AO1683" s="2">
        <f t="shared" ca="1" si="1651"/>
        <v>10805.996721957326</v>
      </c>
      <c r="AP1683" s="2">
        <f t="shared" ca="1" si="1652"/>
        <v>2253791.1395284366</v>
      </c>
      <c r="AQ1683" s="2">
        <f t="shared" ca="1" si="1653"/>
        <v>861606.00915339694</v>
      </c>
      <c r="AR1683" s="2">
        <f t="shared" ca="1" si="1654"/>
        <v>945148.89096395846</v>
      </c>
      <c r="AS1683" s="2">
        <f t="shared" ca="1" si="1655"/>
        <v>975979.77962233394</v>
      </c>
      <c r="AT1683" s="2">
        <f t="shared" ca="1" si="1656"/>
        <v>1007431.478301844</v>
      </c>
      <c r="AU1683" s="2">
        <f t="shared" ca="1" si="1657"/>
        <v>1039516.4876179141</v>
      </c>
      <c r="AV1683" s="2">
        <f t="shared" ca="1" si="1658"/>
        <v>2452263.2568212068</v>
      </c>
      <c r="AW1683" s="2">
        <f t="shared" ca="1" si="1659"/>
        <v>2679860.4904229064</v>
      </c>
      <c r="AX1683" s="2">
        <f t="shared" ca="1" si="1660"/>
        <v>2767404.9854933349</v>
      </c>
      <c r="AY1683" s="2">
        <f t="shared" ca="1" si="1661"/>
        <v>2856712.2743786657</v>
      </c>
      <c r="AZ1683" s="2">
        <f t="shared" ca="1" si="1662"/>
        <v>2947817.8526521064</v>
      </c>
      <c r="BA1683" s="2">
        <f t="shared" ca="1" si="1663"/>
        <v>57002086.969162785</v>
      </c>
      <c r="BB1683" s="2">
        <f t="shared" ca="1" si="1664"/>
        <v>1140041.7393832558</v>
      </c>
      <c r="BC1683" s="2">
        <f t="shared" ca="1" si="1665"/>
        <v>30819921.457241345</v>
      </c>
      <c r="BD1683" s="2">
        <f t="shared" ca="1" si="1666"/>
        <v>-18238171.005547881</v>
      </c>
      <c r="BE1683" s="2">
        <f t="shared" ca="1" si="1667"/>
        <v>2452263.2568212068</v>
      </c>
      <c r="BF1683" s="2">
        <f t="shared" ca="1" si="1668"/>
        <v>2679860.4904229064</v>
      </c>
      <c r="BG1683" s="2">
        <f t="shared" ca="1" si="1669"/>
        <v>2767404.9854933349</v>
      </c>
      <c r="BH1683" s="2">
        <f t="shared" ca="1" si="1670"/>
        <v>2856712.2743786657</v>
      </c>
      <c r="BI1683" s="2">
        <f t="shared" ca="1" si="1671"/>
        <v>33767739.309893452</v>
      </c>
      <c r="BJ1683" s="2">
        <f t="shared" ca="1" si="1672"/>
        <v>0.23424878327277132</v>
      </c>
      <c r="BK1683" s="2">
        <f t="shared" ca="1" si="1673"/>
        <v>9033716.7780083865</v>
      </c>
    </row>
    <row r="1684" spans="1:63" x14ac:dyDescent="0.3">
      <c r="A1684" s="2">
        <v>1683</v>
      </c>
      <c r="B1684" s="2">
        <f t="shared" ca="1" si="1612"/>
        <v>0.32972772715616327</v>
      </c>
      <c r="C1684" s="2">
        <f t="shared" ca="1" si="1613"/>
        <v>6.8120686266026578</v>
      </c>
      <c r="D1684" s="2">
        <f t="shared" ca="1" si="1614"/>
        <v>0.95932122164256206</v>
      </c>
      <c r="E1684" s="2">
        <f t="shared" ca="1" si="1615"/>
        <v>8.2147675391634465</v>
      </c>
      <c r="F1684" s="2">
        <f t="shared" ca="1" si="1616"/>
        <v>0.49109343514690329</v>
      </c>
      <c r="G1684" s="2">
        <f t="shared" ca="1" si="1617"/>
        <v>3.9330180933701796E-2</v>
      </c>
      <c r="H1684" s="2">
        <f t="shared" ca="1" si="1618"/>
        <v>3.9330180933701796E-2</v>
      </c>
      <c r="I1684" s="2">
        <f t="shared" ca="1" si="1619"/>
        <v>0.51130476916574352</v>
      </c>
      <c r="J1684" s="2">
        <f t="shared" ca="1" si="1620"/>
        <v>1.0141703237018015E-2</v>
      </c>
      <c r="K1684" s="2">
        <f t="shared" ca="1" si="1621"/>
        <v>1.0141703237018015E-2</v>
      </c>
      <c r="L1684" s="2">
        <f t="shared" ca="1" si="1622"/>
        <v>0.88733868101280133</v>
      </c>
      <c r="M1684" s="2">
        <f t="shared" ca="1" si="1623"/>
        <v>2.4249916594625491E-2</v>
      </c>
      <c r="N1684" s="2">
        <f t="shared" ca="1" si="1624"/>
        <v>2.4249916594625491E-2</v>
      </c>
      <c r="O1684" s="2">
        <f t="shared" si="1625"/>
        <v>6000000</v>
      </c>
      <c r="P1684" s="2">
        <f t="shared" ca="1" si="1626"/>
        <v>40872411.75961595</v>
      </c>
      <c r="Q1684" s="2">
        <f t="shared" ca="1" si="1627"/>
        <v>1021810.2939903988</v>
      </c>
      <c r="R1684" s="2">
        <f t="shared" ca="1" si="1628"/>
        <v>24523447.05576957</v>
      </c>
      <c r="S1684" s="2">
        <f t="shared" ca="1" si="1629"/>
        <v>16348964.70384638</v>
      </c>
      <c r="T1684" s="2">
        <f t="shared" ca="1" si="1630"/>
        <v>51212495.829731278</v>
      </c>
      <c r="U1684" s="2">
        <f t="shared" ca="1" si="1631"/>
        <v>53226692.556781061</v>
      </c>
      <c r="V1684" s="2">
        <f t="shared" ca="1" si="1632"/>
        <v>55320108.005541787</v>
      </c>
      <c r="W1684" s="2">
        <f t="shared" ca="1" si="1633"/>
        <v>57495857.862671673</v>
      </c>
      <c r="X1684" s="2">
        <f t="shared" ca="1" si="1634"/>
        <v>59757180.35534896</v>
      </c>
      <c r="Y1684" s="2">
        <f t="shared" ca="1" si="1635"/>
        <v>0.125070851618509</v>
      </c>
      <c r="Z1684" s="2">
        <f t="shared" ca="1" si="1636"/>
        <v>0.1270991922659126</v>
      </c>
      <c r="AA1684" s="2">
        <f t="shared" ca="1" si="1637"/>
        <v>6405190.4669338316</v>
      </c>
      <c r="AB1684" s="2">
        <f t="shared" ca="1" si="1638"/>
        <v>6765069.6309529347</v>
      </c>
      <c r="AC1684" s="2">
        <f t="shared" ca="1" si="1639"/>
        <v>7031141.043567406</v>
      </c>
      <c r="AD1684" s="2">
        <f t="shared" ca="1" si="1640"/>
        <v>7307677.0929812891</v>
      </c>
      <c r="AE1684" s="2">
        <f t="shared" ca="1" si="1641"/>
        <v>7595089.3552533127</v>
      </c>
      <c r="AF1684" s="2">
        <f t="shared" ca="1" si="1642"/>
        <v>1024249.9165946256</v>
      </c>
      <c r="AG1684" s="2">
        <f t="shared" ca="1" si="1643"/>
        <v>1064533.8511356213</v>
      </c>
      <c r="AH1684" s="2">
        <f t="shared" ca="1" si="1644"/>
        <v>1106402.1601108357</v>
      </c>
      <c r="AI1684" s="2">
        <f t="shared" ca="1" si="1645"/>
        <v>1149917.1572534335</v>
      </c>
      <c r="AJ1684" s="2">
        <f t="shared" ca="1" si="1646"/>
        <v>1195143.6071069792</v>
      </c>
      <c r="AK1684" s="2">
        <f t="shared" ca="1" si="1647"/>
        <v>0</v>
      </c>
      <c r="AL1684" s="2">
        <f t="shared" ca="1" si="1648"/>
        <v>20141.967270497829</v>
      </c>
      <c r="AM1684" s="2">
        <f t="shared" ca="1" si="1649"/>
        <v>20934.154487607255</v>
      </c>
      <c r="AN1684" s="2">
        <f t="shared" ca="1" si="1650"/>
        <v>21757.498571298867</v>
      </c>
      <c r="AO1684" s="2">
        <f t="shared" ca="1" si="1651"/>
        <v>22613.224926772862</v>
      </c>
      <c r="AP1684" s="2">
        <f t="shared" ca="1" si="1652"/>
        <v>2207110.235019261</v>
      </c>
      <c r="AQ1684" s="2">
        <f t="shared" ca="1" si="1653"/>
        <v>825195.88198318577</v>
      </c>
      <c r="AR1684" s="2">
        <f t="shared" ca="1" si="1654"/>
        <v>908290.64164749358</v>
      </c>
      <c r="AS1684" s="2">
        <f t="shared" ca="1" si="1655"/>
        <v>966583.44859370042</v>
      </c>
      <c r="AT1684" s="2">
        <f t="shared" ca="1" si="1656"/>
        <v>1027168.9221842345</v>
      </c>
      <c r="AU1684" s="2">
        <f t="shared" ca="1" si="1657"/>
        <v>1090137.233413039</v>
      </c>
      <c r="AV1684" s="2">
        <f t="shared" ca="1" si="1658"/>
        <v>2348634.433336759</v>
      </c>
      <c r="AW1684" s="2">
        <f t="shared" ca="1" si="1659"/>
        <v>2564992.9358800603</v>
      </c>
      <c r="AX1684" s="2">
        <f t="shared" ca="1" si="1660"/>
        <v>2730111.0453560017</v>
      </c>
      <c r="AY1684" s="2">
        <f t="shared" ca="1" si="1661"/>
        <v>2901723.2799530607</v>
      </c>
      <c r="AZ1684" s="2">
        <f t="shared" ca="1" si="1662"/>
        <v>3080085.0547872614</v>
      </c>
      <c r="BA1684" s="2">
        <f t="shared" ca="1" si="1663"/>
        <v>62391893.492580742</v>
      </c>
      <c r="BB1684" s="2">
        <f t="shared" ca="1" si="1664"/>
        <v>1247837.8698516148</v>
      </c>
      <c r="BC1684" s="2">
        <f t="shared" ca="1" si="1665"/>
        <v>36620608.56695956</v>
      </c>
      <c r="BD1684" s="2">
        <f t="shared" ca="1" si="1666"/>
        <v>-17870774.99783678</v>
      </c>
      <c r="BE1684" s="2">
        <f t="shared" ca="1" si="1667"/>
        <v>2348634.433336759</v>
      </c>
      <c r="BF1684" s="2">
        <f t="shared" ca="1" si="1668"/>
        <v>2564992.9358800603</v>
      </c>
      <c r="BG1684" s="2">
        <f t="shared" ca="1" si="1669"/>
        <v>2730111.0453560017</v>
      </c>
      <c r="BH1684" s="2">
        <f t="shared" ca="1" si="1670"/>
        <v>2901723.2799530607</v>
      </c>
      <c r="BI1684" s="2">
        <f t="shared" ca="1" si="1671"/>
        <v>39700693.621746823</v>
      </c>
      <c r="BJ1684" s="2">
        <f t="shared" ca="1" si="1672"/>
        <v>0.27058114503748842</v>
      </c>
      <c r="BK1684" s="2">
        <f t="shared" ca="1" si="1673"/>
        <v>12585593.167368583</v>
      </c>
    </row>
    <row r="1685" spans="1:63" x14ac:dyDescent="0.3">
      <c r="A1685" s="2">
        <v>1684</v>
      </c>
      <c r="B1685" s="2">
        <f t="shared" ca="1" si="1612"/>
        <v>0.62063674461302976</v>
      </c>
      <c r="C1685" s="2">
        <f t="shared" ca="1" si="1613"/>
        <v>7.1289509136828508</v>
      </c>
      <c r="D1685" s="2">
        <f t="shared" ca="1" si="1614"/>
        <v>0.64456529693380216</v>
      </c>
      <c r="E1685" s="2">
        <f t="shared" ca="1" si="1615"/>
        <v>7.6568692828912024</v>
      </c>
      <c r="F1685" s="2">
        <f t="shared" ca="1" si="1616"/>
        <v>0.61486531388211585</v>
      </c>
      <c r="G1685" s="2">
        <f t="shared" ca="1" si="1617"/>
        <v>4.8760676908914266E-2</v>
      </c>
      <c r="H1685" s="2">
        <f t="shared" ca="1" si="1618"/>
        <v>4.8760676908914266E-2</v>
      </c>
      <c r="I1685" s="2">
        <f t="shared" ca="1" si="1619"/>
        <v>0.10450665169060858</v>
      </c>
      <c r="J1685" s="2">
        <f t="shared" ca="1" si="1620"/>
        <v>3.7185838984415695E-3</v>
      </c>
      <c r="K1685" s="2">
        <f t="shared" ca="1" si="1621"/>
        <v>3.7185838984415695E-3</v>
      </c>
      <c r="L1685" s="2">
        <f t="shared" ca="1" si="1622"/>
        <v>0.77506556400921334</v>
      </c>
      <c r="M1685" s="2">
        <f t="shared" ca="1" si="1623"/>
        <v>1.5112673097260465E-2</v>
      </c>
      <c r="N1685" s="2">
        <f t="shared" ca="1" si="1624"/>
        <v>1.5112673097260465E-2</v>
      </c>
      <c r="O1685" s="2">
        <f t="shared" si="1625"/>
        <v>6000000</v>
      </c>
      <c r="P1685" s="2">
        <f t="shared" ca="1" si="1626"/>
        <v>42773705.482097104</v>
      </c>
      <c r="Q1685" s="2">
        <f t="shared" ca="1" si="1627"/>
        <v>1069342.6370524277</v>
      </c>
      <c r="R1685" s="2">
        <f t="shared" ca="1" si="1628"/>
        <v>25664223.28925826</v>
      </c>
      <c r="S1685" s="2">
        <f t="shared" ca="1" si="1629"/>
        <v>17109482.192838844</v>
      </c>
      <c r="T1685" s="2">
        <f t="shared" ca="1" si="1630"/>
        <v>50755633.654863022</v>
      </c>
      <c r="U1685" s="2">
        <f t="shared" ca="1" si="1631"/>
        <v>53230512.708815008</v>
      </c>
      <c r="V1685" s="2">
        <f t="shared" ca="1" si="1632"/>
        <v>55826068.54070539</v>
      </c>
      <c r="W1685" s="2">
        <f t="shared" ca="1" si="1633"/>
        <v>58548185.431913622</v>
      </c>
      <c r="X1685" s="2">
        <f t="shared" ca="1" si="1634"/>
        <v>61403034.58536236</v>
      </c>
      <c r="Y1685" s="2">
        <f t="shared" ca="1" si="1635"/>
        <v>0.12185929194922078</v>
      </c>
      <c r="Z1685" s="2">
        <f t="shared" ca="1" si="1636"/>
        <v>0.1226030087289091</v>
      </c>
      <c r="AA1685" s="2">
        <f t="shared" ca="1" si="1637"/>
        <v>6185045.5796156488</v>
      </c>
      <c r="AB1685" s="2">
        <f t="shared" ca="1" si="1638"/>
        <v>6526221.0142831532</v>
      </c>
      <c r="AC1685" s="2">
        <f t="shared" ca="1" si="1639"/>
        <v>6844443.9685967807</v>
      </c>
      <c r="AD1685" s="2">
        <f t="shared" ca="1" si="1640"/>
        <v>7178183.6895706942</v>
      </c>
      <c r="AE1685" s="2">
        <f t="shared" ca="1" si="1641"/>
        <v>7528196.7852506889</v>
      </c>
      <c r="AF1685" s="2">
        <f t="shared" ca="1" si="1642"/>
        <v>1015112.6730972604</v>
      </c>
      <c r="AG1685" s="2">
        <f t="shared" ca="1" si="1643"/>
        <v>1064610.2541763003</v>
      </c>
      <c r="AH1685" s="2">
        <f t="shared" ca="1" si="1644"/>
        <v>1116521.3708141078</v>
      </c>
      <c r="AI1685" s="2">
        <f t="shared" ca="1" si="1645"/>
        <v>1170963.7086382725</v>
      </c>
      <c r="AJ1685" s="2">
        <f t="shared" ca="1" si="1646"/>
        <v>1228060.6917072472</v>
      </c>
      <c r="AK1685" s="2">
        <f t="shared" ca="1" si="1647"/>
        <v>0</v>
      </c>
      <c r="AL1685" s="2">
        <f t="shared" ca="1" si="1648"/>
        <v>24748.790539519861</v>
      </c>
      <c r="AM1685" s="2">
        <f t="shared" ca="1" si="1649"/>
        <v>25955.558318903819</v>
      </c>
      <c r="AN1685" s="2">
        <f t="shared" ca="1" si="1650"/>
        <v>27221.168912082314</v>
      </c>
      <c r="AO1685" s="2">
        <f t="shared" ca="1" si="1651"/>
        <v>28548.491534487381</v>
      </c>
      <c r="AP1685" s="2">
        <f t="shared" ca="1" si="1652"/>
        <v>2309780.0960332435</v>
      </c>
      <c r="AQ1685" s="2">
        <f t="shared" ca="1" si="1653"/>
        <v>743639.73072613776</v>
      </c>
      <c r="AR1685" s="2">
        <f t="shared" ca="1" si="1654"/>
        <v>819475.97265913861</v>
      </c>
      <c r="AS1685" s="2">
        <f t="shared" ca="1" si="1655"/>
        <v>888717.05045485182</v>
      </c>
      <c r="AT1685" s="2">
        <f t="shared" ca="1" si="1656"/>
        <v>961334.37007378647</v>
      </c>
      <c r="AU1685" s="2">
        <f t="shared" ca="1" si="1657"/>
        <v>1037492.5593526517</v>
      </c>
      <c r="AV1685" s="2">
        <f t="shared" ca="1" si="1658"/>
        <v>2116513.0797590073</v>
      </c>
      <c r="AW1685" s="2">
        <f t="shared" ca="1" si="1659"/>
        <v>2307605.9008749509</v>
      </c>
      <c r="AX1685" s="2">
        <f t="shared" ca="1" si="1660"/>
        <v>2503469.892975674</v>
      </c>
      <c r="AY1685" s="2">
        <f t="shared" ca="1" si="1661"/>
        <v>2708884.3459133096</v>
      </c>
      <c r="AZ1685" s="2">
        <f t="shared" ca="1" si="1662"/>
        <v>2924314.946623059</v>
      </c>
      <c r="BA1685" s="2">
        <f t="shared" ca="1" si="1663"/>
        <v>57642418.720546298</v>
      </c>
      <c r="BB1685" s="2">
        <f t="shared" ca="1" si="1664"/>
        <v>1152848.3744109259</v>
      </c>
      <c r="BC1685" s="2">
        <f t="shared" ca="1" si="1665"/>
        <v>30825347.05687711</v>
      </c>
      <c r="BD1685" s="2">
        <f t="shared" ca="1" si="1666"/>
        <v>-18678824.829891272</v>
      </c>
      <c r="BE1685" s="2">
        <f t="shared" ca="1" si="1667"/>
        <v>2116513.0797590073</v>
      </c>
      <c r="BF1685" s="2">
        <f t="shared" ca="1" si="1668"/>
        <v>2307605.9008749509</v>
      </c>
      <c r="BG1685" s="2">
        <f t="shared" ca="1" si="1669"/>
        <v>2503469.892975674</v>
      </c>
      <c r="BH1685" s="2">
        <f t="shared" ca="1" si="1670"/>
        <v>2708884.3459133096</v>
      </c>
      <c r="BI1685" s="2">
        <f t="shared" ca="1" si="1671"/>
        <v>33749662.003500171</v>
      </c>
      <c r="BJ1685" s="2">
        <f t="shared" ca="1" si="1672"/>
        <v>0.21518079132478407</v>
      </c>
      <c r="BK1685" s="2">
        <f t="shared" ca="1" si="1673"/>
        <v>7704458.274463214</v>
      </c>
    </row>
    <row r="1686" spans="1:63" x14ac:dyDescent="0.3">
      <c r="A1686" s="2">
        <v>1685</v>
      </c>
      <c r="B1686" s="2">
        <f t="shared" ca="1" si="1612"/>
        <v>0.41685530304893714</v>
      </c>
      <c r="C1686" s="2">
        <f t="shared" ca="1" si="1613"/>
        <v>6.9130775465960568</v>
      </c>
      <c r="D1686" s="2">
        <f t="shared" ca="1" si="1614"/>
        <v>0.59938927436336908</v>
      </c>
      <c r="E1686" s="2">
        <f t="shared" ca="1" si="1615"/>
        <v>7.6048902574135049</v>
      </c>
      <c r="F1686" s="2">
        <f t="shared" ca="1" si="1616"/>
        <v>0.28644886425875815</v>
      </c>
      <c r="G1686" s="2">
        <f t="shared" ca="1" si="1617"/>
        <v>2.3086329545156201E-2</v>
      </c>
      <c r="H1686" s="2">
        <f t="shared" ca="1" si="1618"/>
        <v>2.3086329545156201E-2</v>
      </c>
      <c r="I1686" s="2">
        <f t="shared" ca="1" si="1619"/>
        <v>0.77577176683407778</v>
      </c>
      <c r="J1686" s="2">
        <f t="shared" ca="1" si="1620"/>
        <v>1.3789954200673015E-2</v>
      </c>
      <c r="K1686" s="2">
        <f t="shared" ca="1" si="1621"/>
        <v>1.3789954200673015E-2</v>
      </c>
      <c r="L1686" s="2">
        <f t="shared" ca="1" si="1622"/>
        <v>7.4354345011007128E-2</v>
      </c>
      <c r="M1686" s="2">
        <f t="shared" ca="1" si="1623"/>
        <v>-2.8882153462787555E-2</v>
      </c>
      <c r="N1686" s="2">
        <f t="shared" ca="1" si="1624"/>
        <v>-2.8882153462787555E-2</v>
      </c>
      <c r="O1686" s="2">
        <f t="shared" si="1625"/>
        <v>6000000</v>
      </c>
      <c r="P1686" s="2">
        <f t="shared" ca="1" si="1626"/>
        <v>41478465.279576339</v>
      </c>
      <c r="Q1686" s="2">
        <f t="shared" ca="1" si="1627"/>
        <v>1036961.6319894085</v>
      </c>
      <c r="R1686" s="2">
        <f t="shared" ca="1" si="1628"/>
        <v>24887079.167745803</v>
      </c>
      <c r="S1686" s="2">
        <f t="shared" ca="1" si="1629"/>
        <v>16591386.111830536</v>
      </c>
      <c r="T1686" s="2">
        <f t="shared" ca="1" si="1630"/>
        <v>48555892.326860622</v>
      </c>
      <c r="U1686" s="2">
        <f t="shared" ca="1" si="1631"/>
        <v>49676869.658477649</v>
      </c>
      <c r="V1686" s="2">
        <f t="shared" ca="1" si="1632"/>
        <v>50823726.242185034</v>
      </c>
      <c r="W1686" s="2">
        <f t="shared" ca="1" si="1633"/>
        <v>51997059.534924924</v>
      </c>
      <c r="X1686" s="2">
        <f t="shared" ca="1" si="1634"/>
        <v>53197480.786727309</v>
      </c>
      <c r="Y1686" s="2">
        <f t="shared" ca="1" si="1635"/>
        <v>0.12689497710033651</v>
      </c>
      <c r="Z1686" s="2">
        <f t="shared" ca="1" si="1636"/>
        <v>0.1296529679404711</v>
      </c>
      <c r="AA1686" s="2">
        <f t="shared" ca="1" si="1637"/>
        <v>6161498.8449033834</v>
      </c>
      <c r="AB1686" s="2">
        <f t="shared" ca="1" si="1638"/>
        <v>6440753.5892135641</v>
      </c>
      <c r="AC1686" s="2">
        <f t="shared" ca="1" si="1639"/>
        <v>6589446.9490932962</v>
      </c>
      <c r="AD1686" s="2">
        <f t="shared" ca="1" si="1640"/>
        <v>6741573.0928803878</v>
      </c>
      <c r="AE1686" s="2">
        <f t="shared" ca="1" si="1641"/>
        <v>6897211.2709553828</v>
      </c>
      <c r="AF1686" s="2">
        <f t="shared" ca="1" si="1642"/>
        <v>971117.84653721249</v>
      </c>
      <c r="AG1686" s="2">
        <f t="shared" ca="1" si="1643"/>
        <v>993537.39316955302</v>
      </c>
      <c r="AH1686" s="2">
        <f t="shared" ca="1" si="1644"/>
        <v>1016474.5248437007</v>
      </c>
      <c r="AI1686" s="2">
        <f t="shared" ca="1" si="1645"/>
        <v>1039941.1906984985</v>
      </c>
      <c r="AJ1686" s="2">
        <f t="shared" ca="1" si="1646"/>
        <v>1063949.6157345462</v>
      </c>
      <c r="AK1686" s="2">
        <f t="shared" ca="1" si="1647"/>
        <v>0</v>
      </c>
      <c r="AL1686" s="2">
        <f t="shared" ca="1" si="1648"/>
        <v>11209.773316170276</v>
      </c>
      <c r="AM1686" s="2">
        <f t="shared" ca="1" si="1649"/>
        <v>11468.565837073847</v>
      </c>
      <c r="AN1686" s="2">
        <f t="shared" ca="1" si="1650"/>
        <v>11733.332927398906</v>
      </c>
      <c r="AO1686" s="2">
        <f t="shared" ca="1" si="1651"/>
        <v>12004.212518023849</v>
      </c>
      <c r="AP1686" s="2">
        <f t="shared" ca="1" si="1652"/>
        <v>2239837.125097122</v>
      </c>
      <c r="AQ1686" s="2">
        <f t="shared" ca="1" si="1653"/>
        <v>767141.40704995266</v>
      </c>
      <c r="AR1686" s="2">
        <f t="shared" ca="1" si="1654"/>
        <v>833918.55844619113</v>
      </c>
      <c r="AS1686" s="2">
        <f t="shared" ca="1" si="1655"/>
        <v>866615.17777964298</v>
      </c>
      <c r="AT1686" s="2">
        <f t="shared" ca="1" si="1656"/>
        <v>900066.64204203943</v>
      </c>
      <c r="AU1686" s="2">
        <f t="shared" ca="1" si="1657"/>
        <v>934290.3778321658</v>
      </c>
      <c r="AV1686" s="2">
        <f t="shared" ca="1" si="1658"/>
        <v>2183402.4662190955</v>
      </c>
      <c r="AW1686" s="2">
        <f t="shared" ca="1" si="1659"/>
        <v>2362250.7391845277</v>
      </c>
      <c r="AX1686" s="2">
        <f t="shared" ca="1" si="1660"/>
        <v>2455051.5555357561</v>
      </c>
      <c r="AY1686" s="2">
        <f t="shared" ca="1" si="1661"/>
        <v>2549994.8021153286</v>
      </c>
      <c r="AZ1686" s="2">
        <f t="shared" ca="1" si="1662"/>
        <v>2647129.9397735242</v>
      </c>
      <c r="BA1686" s="2">
        <f t="shared" ca="1" si="1663"/>
        <v>52452534.79781121</v>
      </c>
      <c r="BB1686" s="2">
        <f t="shared" ca="1" si="1664"/>
        <v>1049050.6959562241</v>
      </c>
      <c r="BC1686" s="2">
        <f t="shared" ca="1" si="1665"/>
        <v>26516404.934109185</v>
      </c>
      <c r="BD1686" s="2">
        <f t="shared" ca="1" si="1666"/>
        <v>-18128347.743819945</v>
      </c>
      <c r="BE1686" s="2">
        <f t="shared" ca="1" si="1667"/>
        <v>2183402.4662190955</v>
      </c>
      <c r="BF1686" s="2">
        <f t="shared" ca="1" si="1668"/>
        <v>2362250.7391845277</v>
      </c>
      <c r="BG1686" s="2">
        <f t="shared" ca="1" si="1669"/>
        <v>2455051.5555357561</v>
      </c>
      <c r="BH1686" s="2">
        <f t="shared" ca="1" si="1670"/>
        <v>2549994.8021153286</v>
      </c>
      <c r="BI1686" s="2">
        <f t="shared" ca="1" si="1671"/>
        <v>29163534.873882711</v>
      </c>
      <c r="BJ1686" s="2">
        <f t="shared" ca="1" si="1672"/>
        <v>0.19515299685992438</v>
      </c>
      <c r="BK1686" s="2">
        <f t="shared" ca="1" si="1673"/>
        <v>5620488.4666975103</v>
      </c>
    </row>
    <row r="1687" spans="1:63" x14ac:dyDescent="0.3">
      <c r="A1687" s="2">
        <v>1686</v>
      </c>
      <c r="B1687" s="2">
        <f t="shared" ca="1" si="1612"/>
        <v>0.56156840269775365</v>
      </c>
      <c r="C1687" s="2">
        <f t="shared" ca="1" si="1613"/>
        <v>7.0635902635040084</v>
      </c>
      <c r="D1687" s="2">
        <f t="shared" ca="1" si="1614"/>
        <v>0.46018572192428164</v>
      </c>
      <c r="E1687" s="2">
        <f t="shared" ca="1" si="1615"/>
        <v>7.4593599136135316</v>
      </c>
      <c r="F1687" s="2">
        <f t="shared" ca="1" si="1616"/>
        <v>0.43626451778769448</v>
      </c>
      <c r="G1687" s="2">
        <f t="shared" ca="1" si="1617"/>
        <v>3.5186592554474941E-2</v>
      </c>
      <c r="H1687" s="2">
        <f t="shared" ca="1" si="1618"/>
        <v>3.5186592554474941E-2</v>
      </c>
      <c r="I1687" s="2">
        <f t="shared" ca="1" si="1619"/>
        <v>0.77774056101077427</v>
      </c>
      <c r="J1687" s="2">
        <f t="shared" ca="1" si="1620"/>
        <v>1.3822923539630466E-2</v>
      </c>
      <c r="K1687" s="2">
        <f t="shared" ca="1" si="1621"/>
        <v>1.3822923539630466E-2</v>
      </c>
      <c r="L1687" s="2">
        <f t="shared" ca="1" si="1622"/>
        <v>0.94795515401176422</v>
      </c>
      <c r="M1687" s="2">
        <f t="shared" ca="1" si="1623"/>
        <v>3.2506841401739525E-2</v>
      </c>
      <c r="N1687" s="2">
        <f t="shared" ca="1" si="1624"/>
        <v>3.2506841401739525E-2</v>
      </c>
      <c r="O1687" s="2">
        <f t="shared" si="1625"/>
        <v>6000000</v>
      </c>
      <c r="P1687" s="2">
        <f t="shared" ca="1" si="1626"/>
        <v>42381541.581024051</v>
      </c>
      <c r="Q1687" s="2">
        <f t="shared" ca="1" si="1627"/>
        <v>1059538.5395256013</v>
      </c>
      <c r="R1687" s="2">
        <f t="shared" ca="1" si="1628"/>
        <v>25428924.94861443</v>
      </c>
      <c r="S1687" s="2">
        <f t="shared" ca="1" si="1629"/>
        <v>16952616.632409621</v>
      </c>
      <c r="T1687" s="2">
        <f t="shared" ca="1" si="1630"/>
        <v>51625342.070086978</v>
      </c>
      <c r="U1687" s="2">
        <f t="shared" ca="1" si="1631"/>
        <v>53441861.946992524</v>
      </c>
      <c r="V1687" s="2">
        <f t="shared" ca="1" si="1632"/>
        <v>55322298.968673848</v>
      </c>
      <c r="W1687" s="2">
        <f t="shared" ca="1" si="1633"/>
        <v>57268902.161661424</v>
      </c>
      <c r="X1687" s="2">
        <f t="shared" ca="1" si="1634"/>
        <v>59283999.688065894</v>
      </c>
      <c r="Y1687" s="2">
        <f t="shared" ca="1" si="1635"/>
        <v>0.12691146176981521</v>
      </c>
      <c r="Z1687" s="2">
        <f t="shared" ca="1" si="1636"/>
        <v>0.12967604647774134</v>
      </c>
      <c r="AA1687" s="2">
        <f t="shared" ca="1" si="1637"/>
        <v>6551847.6264814762</v>
      </c>
      <c r="AB1687" s="2">
        <f t="shared" ca="1" si="1638"/>
        <v>6930129.3736952385</v>
      </c>
      <c r="AC1687" s="2">
        <f t="shared" ca="1" si="1639"/>
        <v>7173977.0123172514</v>
      </c>
      <c r="AD1687" s="2">
        <f t="shared" ca="1" si="1640"/>
        <v>7426404.8184448276</v>
      </c>
      <c r="AE1687" s="2">
        <f t="shared" ca="1" si="1641"/>
        <v>7687714.6989360359</v>
      </c>
      <c r="AF1687" s="2">
        <f t="shared" ca="1" si="1642"/>
        <v>1032506.8414017396</v>
      </c>
      <c r="AG1687" s="2">
        <f t="shared" ca="1" si="1643"/>
        <v>1068837.2389398506</v>
      </c>
      <c r="AH1687" s="2">
        <f t="shared" ca="1" si="1644"/>
        <v>1106445.9793734769</v>
      </c>
      <c r="AI1687" s="2">
        <f t="shared" ca="1" si="1645"/>
        <v>1145378.0432332286</v>
      </c>
      <c r="AJ1687" s="2">
        <f t="shared" ca="1" si="1646"/>
        <v>1185679.9937613178</v>
      </c>
      <c r="AK1687" s="2">
        <f t="shared" ca="1" si="1647"/>
        <v>0</v>
      </c>
      <c r="AL1687" s="2">
        <f t="shared" ca="1" si="1648"/>
        <v>18165.198769055456</v>
      </c>
      <c r="AM1687" s="2">
        <f t="shared" ca="1" si="1649"/>
        <v>18804.370216813237</v>
      </c>
      <c r="AN1687" s="2">
        <f t="shared" ca="1" si="1650"/>
        <v>19466.03192987576</v>
      </c>
      <c r="AO1687" s="2">
        <f t="shared" ca="1" si="1651"/>
        <v>20150.975264044704</v>
      </c>
      <c r="AP1687" s="2">
        <f t="shared" ca="1" si="1652"/>
        <v>2288603.2453752984</v>
      </c>
      <c r="AQ1687" s="2">
        <f t="shared" ca="1" si="1653"/>
        <v>839991.76032315381</v>
      </c>
      <c r="AR1687" s="2">
        <f t="shared" ca="1" si="1654"/>
        <v>928899.11123882327</v>
      </c>
      <c r="AS1687" s="2">
        <f t="shared" ca="1" si="1655"/>
        <v>982521.22476780368</v>
      </c>
      <c r="AT1687" s="2">
        <f t="shared" ca="1" si="1656"/>
        <v>1038030.1177574381</v>
      </c>
      <c r="AU1687" s="2">
        <f t="shared" ca="1" si="1657"/>
        <v>1095492.1795478493</v>
      </c>
      <c r="AV1687" s="2">
        <f t="shared" ca="1" si="1658"/>
        <v>2390745.779381284</v>
      </c>
      <c r="AW1687" s="2">
        <f t="shared" ca="1" si="1659"/>
        <v>2625624.5793722109</v>
      </c>
      <c r="AX1687" s="2">
        <f t="shared" ca="1" si="1660"/>
        <v>2777602.1925838585</v>
      </c>
      <c r="AY1687" s="2">
        <f t="shared" ca="1" si="1661"/>
        <v>2934927.3801489868</v>
      </c>
      <c r="AZ1687" s="2">
        <f t="shared" ca="1" si="1662"/>
        <v>3097788.304987526</v>
      </c>
      <c r="BA1687" s="2">
        <f t="shared" ca="1" si="1663"/>
        <v>57345430.852540985</v>
      </c>
      <c r="BB1687" s="2">
        <f t="shared" ca="1" si="1664"/>
        <v>1146908.6170508198</v>
      </c>
      <c r="BC1687" s="2">
        <f t="shared" ca="1" si="1665"/>
        <v>30769597.286875736</v>
      </c>
      <c r="BD1687" s="2">
        <f t="shared" ca="1" si="1666"/>
        <v>-18512155.171935223</v>
      </c>
      <c r="BE1687" s="2">
        <f t="shared" ca="1" si="1667"/>
        <v>2390745.779381284</v>
      </c>
      <c r="BF1687" s="2">
        <f t="shared" ca="1" si="1668"/>
        <v>2625624.5793722109</v>
      </c>
      <c r="BG1687" s="2">
        <f t="shared" ca="1" si="1669"/>
        <v>2777602.1925838585</v>
      </c>
      <c r="BH1687" s="2">
        <f t="shared" ca="1" si="1670"/>
        <v>2934927.3801489868</v>
      </c>
      <c r="BI1687" s="2">
        <f t="shared" ca="1" si="1671"/>
        <v>33867385.59186326</v>
      </c>
      <c r="BJ1687" s="2">
        <f t="shared" ca="1" si="1672"/>
        <v>0.22953691745261828</v>
      </c>
      <c r="BK1687" s="2">
        <f t="shared" ca="1" si="1673"/>
        <v>8775077.0170186982</v>
      </c>
    </row>
    <row r="1688" spans="1:63" x14ac:dyDescent="0.3">
      <c r="A1688" s="2">
        <v>1687</v>
      </c>
      <c r="B1688" s="2">
        <f t="shared" ca="1" si="1612"/>
        <v>0.63764101542031548</v>
      </c>
      <c r="C1688" s="2">
        <f t="shared" ca="1" si="1613"/>
        <v>7.1486963120252742</v>
      </c>
      <c r="D1688" s="2">
        <f t="shared" ca="1" si="1614"/>
        <v>0.59692711704168877</v>
      </c>
      <c r="E1688" s="2">
        <f t="shared" ca="1" si="1615"/>
        <v>7.6021437944099164</v>
      </c>
      <c r="F1688" s="2">
        <f t="shared" ca="1" si="1616"/>
        <v>0.67207345676879104</v>
      </c>
      <c r="G1688" s="2">
        <f t="shared" ca="1" si="1617"/>
        <v>5.3369375455489407E-2</v>
      </c>
      <c r="H1688" s="2">
        <f t="shared" ca="1" si="1618"/>
        <v>5.3369375455489407E-2</v>
      </c>
      <c r="I1688" s="2">
        <f t="shared" ca="1" si="1619"/>
        <v>0.93414088978205212</v>
      </c>
      <c r="J1688" s="2">
        <f t="shared" ca="1" si="1620"/>
        <v>1.7536803618829123E-2</v>
      </c>
      <c r="K1688" s="2">
        <f t="shared" ca="1" si="1621"/>
        <v>1.7536803618829123E-2</v>
      </c>
      <c r="L1688" s="2">
        <f t="shared" ca="1" si="1622"/>
        <v>0.39459656381381814</v>
      </c>
      <c r="M1688" s="2">
        <f t="shared" ca="1" si="1623"/>
        <v>-5.3471705533815819E-3</v>
      </c>
      <c r="N1688" s="2">
        <f t="shared" ca="1" si="1624"/>
        <v>-5.3471705533815819E-3</v>
      </c>
      <c r="O1688" s="2">
        <f t="shared" si="1625"/>
        <v>6000000</v>
      </c>
      <c r="P1688" s="2">
        <f t="shared" ca="1" si="1626"/>
        <v>42892177.872151643</v>
      </c>
      <c r="Q1688" s="2">
        <f t="shared" ca="1" si="1627"/>
        <v>1072304.4468037912</v>
      </c>
      <c r="R1688" s="2">
        <f t="shared" ca="1" si="1628"/>
        <v>25735306.723290984</v>
      </c>
      <c r="S1688" s="2">
        <f t="shared" ca="1" si="1629"/>
        <v>17156871.148860659</v>
      </c>
      <c r="T1688" s="2">
        <f t="shared" ca="1" si="1630"/>
        <v>49732641.47233092</v>
      </c>
      <c r="U1688" s="2">
        <f t="shared" ca="1" si="1631"/>
        <v>52386841.487460993</v>
      </c>
      <c r="V1688" s="2">
        <f t="shared" ca="1" si="1632"/>
        <v>55182694.499732509</v>
      </c>
      <c r="W1688" s="2">
        <f t="shared" ca="1" si="1633"/>
        <v>58127760.441134304</v>
      </c>
      <c r="X1688" s="2">
        <f t="shared" ca="1" si="1634"/>
        <v>61230002.71250394</v>
      </c>
      <c r="Y1688" s="2">
        <f t="shared" ca="1" si="1635"/>
        <v>0.12876840180941457</v>
      </c>
      <c r="Z1688" s="2">
        <f t="shared" ca="1" si="1636"/>
        <v>0.13227576253318038</v>
      </c>
      <c r="AA1688" s="2">
        <f t="shared" ca="1" si="1637"/>
        <v>6403992.7601526631</v>
      </c>
      <c r="AB1688" s="2">
        <f t="shared" ca="1" si="1638"/>
        <v>6929509.4044587528</v>
      </c>
      <c r="AC1688" s="2">
        <f t="shared" ca="1" si="1639"/>
        <v>7299332.9935876569</v>
      </c>
      <c r="AD1688" s="2">
        <f t="shared" ca="1" si="1640"/>
        <v>7688893.8366970774</v>
      </c>
      <c r="AE1688" s="2">
        <f t="shared" ca="1" si="1641"/>
        <v>8099245.2987051615</v>
      </c>
      <c r="AF1688" s="2">
        <f t="shared" ca="1" si="1642"/>
        <v>994652.82944661845</v>
      </c>
      <c r="AG1688" s="2">
        <f t="shared" ca="1" si="1643"/>
        <v>1047736.8297492199</v>
      </c>
      <c r="AH1688" s="2">
        <f t="shared" ca="1" si="1644"/>
        <v>1103653.8899946501</v>
      </c>
      <c r="AI1688" s="2">
        <f t="shared" ca="1" si="1645"/>
        <v>1162555.208822686</v>
      </c>
      <c r="AJ1688" s="2">
        <f t="shared" ca="1" si="1646"/>
        <v>1224600.0542500787</v>
      </c>
      <c r="AK1688" s="2">
        <f t="shared" ca="1" si="1647"/>
        <v>0</v>
      </c>
      <c r="AL1688" s="2">
        <f t="shared" ca="1" si="1648"/>
        <v>26542.00015130073</v>
      </c>
      <c r="AM1688" s="2">
        <f t="shared" ca="1" si="1649"/>
        <v>27958.530122715161</v>
      </c>
      <c r="AN1688" s="2">
        <f t="shared" ca="1" si="1650"/>
        <v>29450.659414017948</v>
      </c>
      <c r="AO1688" s="2">
        <f t="shared" ca="1" si="1651"/>
        <v>31022.42271369636</v>
      </c>
      <c r="AP1688" s="2">
        <f t="shared" ca="1" si="1652"/>
        <v>2316177.6050961884</v>
      </c>
      <c r="AQ1688" s="2">
        <f t="shared" ca="1" si="1653"/>
        <v>804222.20465856267</v>
      </c>
      <c r="AR1688" s="2">
        <f t="shared" ca="1" si="1654"/>
        <v>927054.6920994696</v>
      </c>
      <c r="AS1688" s="2">
        <f t="shared" ca="1" si="1655"/>
        <v>1008670.3896091728</v>
      </c>
      <c r="AT1688" s="2">
        <f t="shared" ca="1" si="1656"/>
        <v>1094641.8659223327</v>
      </c>
      <c r="AU1688" s="2">
        <f t="shared" ca="1" si="1657"/>
        <v>1185201.5862333125</v>
      </c>
      <c r="AV1688" s="2">
        <f t="shared" ca="1" si="1658"/>
        <v>2288940.120951294</v>
      </c>
      <c r="AW1688" s="2">
        <f t="shared" ca="1" si="1659"/>
        <v>2611998.2773625739</v>
      </c>
      <c r="AX1688" s="2">
        <f t="shared" ca="1" si="1660"/>
        <v>2842872.5787649304</v>
      </c>
      <c r="AY1688" s="2">
        <f t="shared" ca="1" si="1661"/>
        <v>3086068.4974418525</v>
      </c>
      <c r="AZ1688" s="2">
        <f t="shared" ca="1" si="1662"/>
        <v>3342243.6304118857</v>
      </c>
      <c r="BA1688" s="2">
        <f t="shared" ca="1" si="1663"/>
        <v>61571627.386955135</v>
      </c>
      <c r="BB1688" s="2">
        <f t="shared" ca="1" si="1664"/>
        <v>1231432.5477391027</v>
      </c>
      <c r="BC1688" s="2">
        <f t="shared" ca="1" si="1665"/>
        <v>34604888.115925044</v>
      </c>
      <c r="BD1688" s="2">
        <f t="shared" ca="1" si="1666"/>
        <v>-18729175.595664449</v>
      </c>
      <c r="BE1688" s="2">
        <f t="shared" ca="1" si="1667"/>
        <v>2288940.120951294</v>
      </c>
      <c r="BF1688" s="2">
        <f t="shared" ca="1" si="1668"/>
        <v>2611998.2773625739</v>
      </c>
      <c r="BG1688" s="2">
        <f t="shared" ca="1" si="1669"/>
        <v>2842872.5787649304</v>
      </c>
      <c r="BH1688" s="2">
        <f t="shared" ca="1" si="1670"/>
        <v>3086068.4974418525</v>
      </c>
      <c r="BI1688" s="2">
        <f t="shared" ca="1" si="1671"/>
        <v>37947131.74633693</v>
      </c>
      <c r="BJ1688" s="2">
        <f t="shared" ca="1" si="1672"/>
        <v>0.24882710319897816</v>
      </c>
      <c r="BK1688" s="2">
        <f t="shared" ca="1" si="1673"/>
        <v>10913764.49608504</v>
      </c>
    </row>
    <row r="1689" spans="1:63" x14ac:dyDescent="0.3">
      <c r="A1689" s="2">
        <v>1688</v>
      </c>
      <c r="B1689" s="2">
        <f t="shared" ca="1" si="1612"/>
        <v>0.53512252758687928</v>
      </c>
      <c r="C1689" s="2">
        <f t="shared" ca="1" si="1613"/>
        <v>7.0357619874604396</v>
      </c>
      <c r="D1689" s="2">
        <f t="shared" ca="1" si="1614"/>
        <v>0.10097727756731789</v>
      </c>
      <c r="E1689" s="2">
        <f t="shared" ca="1" si="1615"/>
        <v>6.9493935414919044</v>
      </c>
      <c r="F1689" s="2">
        <f t="shared" ca="1" si="1616"/>
        <v>0.49151109445714303</v>
      </c>
      <c r="G1689" s="2">
        <f t="shared" ca="1" si="1617"/>
        <v>3.936159590070689E-2</v>
      </c>
      <c r="H1689" s="2">
        <f t="shared" ca="1" si="1618"/>
        <v>3.936159590070689E-2</v>
      </c>
      <c r="I1689" s="2">
        <f t="shared" ca="1" si="1619"/>
        <v>0.70605689299653251</v>
      </c>
      <c r="J1689" s="2">
        <f t="shared" ca="1" si="1620"/>
        <v>1.2709508584107842E-2</v>
      </c>
      <c r="K1689" s="2">
        <f t="shared" ca="1" si="1621"/>
        <v>1.2709508584107842E-2</v>
      </c>
      <c r="L1689" s="2">
        <f t="shared" ca="1" si="1622"/>
        <v>0.21716617858584442</v>
      </c>
      <c r="M1689" s="2">
        <f t="shared" ca="1" si="1623"/>
        <v>-1.5635991965876023E-2</v>
      </c>
      <c r="N1689" s="2">
        <f t="shared" ca="1" si="1624"/>
        <v>-1.5635991965876023E-2</v>
      </c>
      <c r="O1689" s="2">
        <f t="shared" si="1625"/>
        <v>6000000</v>
      </c>
      <c r="P1689" s="2">
        <f t="shared" ca="1" si="1626"/>
        <v>42214571.924762636</v>
      </c>
      <c r="Q1689" s="2">
        <f t="shared" ca="1" si="1627"/>
        <v>1055364.2981190661</v>
      </c>
      <c r="R1689" s="2">
        <f t="shared" ca="1" si="1628"/>
        <v>25328743.15485758</v>
      </c>
      <c r="S1689" s="2">
        <f t="shared" ca="1" si="1629"/>
        <v>16885828.769905057</v>
      </c>
      <c r="T1689" s="2">
        <f t="shared" ca="1" si="1630"/>
        <v>49218200.401706196</v>
      </c>
      <c r="U1689" s="2">
        <f t="shared" ca="1" si="1631"/>
        <v>51155507.31687817</v>
      </c>
      <c r="V1689" s="2">
        <f t="shared" ca="1" si="1632"/>
        <v>53169069.723980784</v>
      </c>
      <c r="W1689" s="2">
        <f t="shared" ca="1" si="1633"/>
        <v>55261889.160872631</v>
      </c>
      <c r="X1689" s="2">
        <f t="shared" ca="1" si="1634"/>
        <v>57437085.310732558</v>
      </c>
      <c r="Y1689" s="2">
        <f t="shared" ca="1" si="1635"/>
        <v>0.12635475429205392</v>
      </c>
      <c r="Z1689" s="2">
        <f t="shared" ca="1" si="1636"/>
        <v>0.12889665600887548</v>
      </c>
      <c r="AA1689" s="2">
        <f t="shared" ca="1" si="1637"/>
        <v>6218953.6184546566</v>
      </c>
      <c r="AB1689" s="2">
        <f t="shared" ca="1" si="1638"/>
        <v>6593773.8295831578</v>
      </c>
      <c r="AC1689" s="2">
        <f t="shared" ca="1" si="1639"/>
        <v>6853315.2905238671</v>
      </c>
      <c r="AD1689" s="2">
        <f t="shared" ca="1" si="1640"/>
        <v>7123072.7175696045</v>
      </c>
      <c r="AE1689" s="2">
        <f t="shared" ca="1" si="1641"/>
        <v>7403448.2274499293</v>
      </c>
      <c r="AF1689" s="2">
        <f t="shared" ca="1" si="1642"/>
        <v>984364.00803412392</v>
      </c>
      <c r="AG1689" s="2">
        <f t="shared" ca="1" si="1643"/>
        <v>1023110.1463375634</v>
      </c>
      <c r="AH1689" s="2">
        <f t="shared" ca="1" si="1644"/>
        <v>1063381.3944796156</v>
      </c>
      <c r="AI1689" s="2">
        <f t="shared" ca="1" si="1645"/>
        <v>1105237.7832174527</v>
      </c>
      <c r="AJ1689" s="2">
        <f t="shared" ca="1" si="1646"/>
        <v>1148741.7062146512</v>
      </c>
      <c r="AK1689" s="2">
        <f t="shared" ca="1" si="1647"/>
        <v>0</v>
      </c>
      <c r="AL1689" s="2">
        <f t="shared" ca="1" si="1648"/>
        <v>19373.069151719734</v>
      </c>
      <c r="AM1689" s="2">
        <f t="shared" ca="1" si="1649"/>
        <v>20135.624071026148</v>
      </c>
      <c r="AN1689" s="2">
        <f t="shared" ca="1" si="1650"/>
        <v>20928.194368918463</v>
      </c>
      <c r="AO1689" s="2">
        <f t="shared" ca="1" si="1651"/>
        <v>21751.961498599278</v>
      </c>
      <c r="AP1689" s="2">
        <f t="shared" ca="1" si="1652"/>
        <v>2279586.8839371819</v>
      </c>
      <c r="AQ1689" s="2">
        <f t="shared" ca="1" si="1653"/>
        <v>768300.70888567122</v>
      </c>
      <c r="AR1689" s="2">
        <f t="shared" ca="1" si="1654"/>
        <v>855679.96782018733</v>
      </c>
      <c r="AS1689" s="2">
        <f t="shared" ca="1" si="1655"/>
        <v>912690.22314783814</v>
      </c>
      <c r="AT1689" s="2">
        <f t="shared" ca="1" si="1656"/>
        <v>971944.49310789222</v>
      </c>
      <c r="AU1689" s="2">
        <f t="shared" ca="1" si="1657"/>
        <v>1033531.1056975049</v>
      </c>
      <c r="AV1689" s="2">
        <f t="shared" ca="1" si="1658"/>
        <v>2186702.017597679</v>
      </c>
      <c r="AW1689" s="2">
        <f t="shared" ca="1" si="1659"/>
        <v>2416023.7623365056</v>
      </c>
      <c r="AX1689" s="2">
        <f t="shared" ca="1" si="1660"/>
        <v>2577521.164888205</v>
      </c>
      <c r="AY1689" s="2">
        <f t="shared" ca="1" si="1661"/>
        <v>2745375.3629381591</v>
      </c>
      <c r="AZ1689" s="2">
        <f t="shared" ca="1" si="1662"/>
        <v>2919836.5701019913</v>
      </c>
      <c r="BA1689" s="2">
        <f t="shared" ca="1" si="1663"/>
        <v>51449475.296610229</v>
      </c>
      <c r="BB1689" s="2">
        <f t="shared" ca="1" si="1664"/>
        <v>1028989.5059322045</v>
      </c>
      <c r="BC1689" s="2">
        <f t="shared" ca="1" si="1665"/>
        <v>25091742.635820445</v>
      </c>
      <c r="BD1689" s="2">
        <f t="shared" ca="1" si="1666"/>
        <v>-18441193.068024121</v>
      </c>
      <c r="BE1689" s="2">
        <f t="shared" ca="1" si="1667"/>
        <v>2186702.017597679</v>
      </c>
      <c r="BF1689" s="2">
        <f t="shared" ca="1" si="1668"/>
        <v>2416023.7623365056</v>
      </c>
      <c r="BG1689" s="2">
        <f t="shared" ca="1" si="1669"/>
        <v>2577521.164888205</v>
      </c>
      <c r="BH1689" s="2">
        <f t="shared" ca="1" si="1670"/>
        <v>2745375.3629381591</v>
      </c>
      <c r="BI1689" s="2">
        <f t="shared" ca="1" si="1671"/>
        <v>28011579.205922436</v>
      </c>
      <c r="BJ1689" s="2">
        <f t="shared" ca="1" si="1672"/>
        <v>0.1858484704529868</v>
      </c>
      <c r="BK1689" s="2">
        <f t="shared" ca="1" si="1673"/>
        <v>4911145.4402124584</v>
      </c>
    </row>
    <row r="1690" spans="1:63" x14ac:dyDescent="0.3">
      <c r="A1690" s="2">
        <v>1689</v>
      </c>
      <c r="B1690" s="2">
        <f t="shared" ca="1" si="1612"/>
        <v>0.76521305091712533</v>
      </c>
      <c r="C1690" s="2">
        <f t="shared" ca="1" si="1613"/>
        <v>7.3147453771292383</v>
      </c>
      <c r="D1690" s="2">
        <f t="shared" ca="1" si="1614"/>
        <v>0.22717905888982182</v>
      </c>
      <c r="E1690" s="2">
        <f t="shared" ca="1" si="1615"/>
        <v>7.174060915481415</v>
      </c>
      <c r="F1690" s="2">
        <f t="shared" ca="1" si="1616"/>
        <v>0.35562256362261002</v>
      </c>
      <c r="G1690" s="2">
        <f t="shared" ca="1" si="1617"/>
        <v>2.8894469126589648E-2</v>
      </c>
      <c r="H1690" s="2">
        <f t="shared" ca="1" si="1618"/>
        <v>2.8894469126589648E-2</v>
      </c>
      <c r="I1690" s="2">
        <f t="shared" ca="1" si="1619"/>
        <v>0.98583435714781431</v>
      </c>
      <c r="J1690" s="2">
        <f t="shared" ca="1" si="1620"/>
        <v>2.096334153928019E-2</v>
      </c>
      <c r="K1690" s="2">
        <f t="shared" ca="1" si="1621"/>
        <v>2.096334153928019E-2</v>
      </c>
      <c r="L1690" s="2">
        <f t="shared" ca="1" si="1622"/>
        <v>0.45727253092751086</v>
      </c>
      <c r="M1690" s="2">
        <f t="shared" ca="1" si="1623"/>
        <v>-2.1461493169371544E-3</v>
      </c>
      <c r="N1690" s="2">
        <f t="shared" ca="1" si="1624"/>
        <v>-2.1461493169371544E-3</v>
      </c>
      <c r="O1690" s="2">
        <f t="shared" si="1625"/>
        <v>6000000</v>
      </c>
      <c r="P1690" s="2">
        <f t="shared" ca="1" si="1626"/>
        <v>43888472.262775429</v>
      </c>
      <c r="Q1690" s="2">
        <f t="shared" ca="1" si="1627"/>
        <v>1097211.8065693858</v>
      </c>
      <c r="R1690" s="2">
        <f t="shared" ca="1" si="1628"/>
        <v>26333083.357665256</v>
      </c>
      <c r="S1690" s="2">
        <f t="shared" ca="1" si="1629"/>
        <v>17555388.905110173</v>
      </c>
      <c r="T1690" s="2">
        <f t="shared" ca="1" si="1630"/>
        <v>49892692.534153141</v>
      </c>
      <c r="U1690" s="2">
        <f t="shared" ca="1" si="1631"/>
        <v>51334315.398223653</v>
      </c>
      <c r="V1690" s="2">
        <f t="shared" ca="1" si="1632"/>
        <v>52817593.189632237</v>
      </c>
      <c r="W1690" s="2">
        <f t="shared" ca="1" si="1633"/>
        <v>54343729.50539083</v>
      </c>
      <c r="X1690" s="2">
        <f t="shared" ca="1" si="1634"/>
        <v>55913962.719808079</v>
      </c>
      <c r="Y1690" s="2">
        <f t="shared" ca="1" si="1635"/>
        <v>0.1304816707696401</v>
      </c>
      <c r="Z1690" s="2">
        <f t="shared" ca="1" si="1636"/>
        <v>0.13467433907749612</v>
      </c>
      <c r="AA1690" s="2">
        <f t="shared" ca="1" si="1637"/>
        <v>6510081.881052251</v>
      </c>
      <c r="AB1690" s="2">
        <f t="shared" ca="1" si="1638"/>
        <v>6913414.9982515024</v>
      </c>
      <c r="AC1690" s="2">
        <f t="shared" ca="1" si="1639"/>
        <v>7113174.4544777824</v>
      </c>
      <c r="AD1690" s="2">
        <f t="shared" ca="1" si="1640"/>
        <v>7318705.8541447353</v>
      </c>
      <c r="AE1690" s="2">
        <f t="shared" ca="1" si="1641"/>
        <v>7530175.9744939106</v>
      </c>
      <c r="AF1690" s="2">
        <f t="shared" ca="1" si="1642"/>
        <v>997853.8506830628</v>
      </c>
      <c r="AG1690" s="2">
        <f t="shared" ca="1" si="1643"/>
        <v>1026686.3079644731</v>
      </c>
      <c r="AH1690" s="2">
        <f t="shared" ca="1" si="1644"/>
        <v>1056351.8637926448</v>
      </c>
      <c r="AI1690" s="2">
        <f t="shared" ca="1" si="1645"/>
        <v>1086874.5901078167</v>
      </c>
      <c r="AJ1690" s="2">
        <f t="shared" ca="1" si="1646"/>
        <v>1118279.2543961615</v>
      </c>
      <c r="AK1690" s="2">
        <f t="shared" ca="1" si="1647"/>
        <v>0</v>
      </c>
      <c r="AL1690" s="2">
        <f t="shared" ca="1" si="1648"/>
        <v>14416.228640705123</v>
      </c>
      <c r="AM1690" s="2">
        <f t="shared" ca="1" si="1649"/>
        <v>14832.777914085835</v>
      </c>
      <c r="AN1690" s="2">
        <f t="shared" ca="1" si="1650"/>
        <v>15261.363157585934</v>
      </c>
      <c r="AO1690" s="2">
        <f t="shared" ca="1" si="1651"/>
        <v>15702.332144172489</v>
      </c>
      <c r="AP1690" s="2">
        <f t="shared" ca="1" si="1652"/>
        <v>2369977.5021898728</v>
      </c>
      <c r="AQ1690" s="2">
        <f t="shared" ca="1" si="1653"/>
        <v>816985.13732662215</v>
      </c>
      <c r="AR1690" s="2">
        <f t="shared" ca="1" si="1654"/>
        <v>914355.30890526075</v>
      </c>
      <c r="AS1690" s="2">
        <f t="shared" ca="1" si="1655"/>
        <v>958579.72300876887</v>
      </c>
      <c r="AT1690" s="2">
        <f t="shared" ca="1" si="1656"/>
        <v>1004081.9780802318</v>
      </c>
      <c r="AU1690" s="2">
        <f t="shared" ca="1" si="1657"/>
        <v>1050898.9966560476</v>
      </c>
      <c r="AV1690" s="2">
        <f t="shared" ca="1" si="1658"/>
        <v>2325265.3908526935</v>
      </c>
      <c r="AW1690" s="2">
        <f t="shared" ca="1" si="1659"/>
        <v>2587979.6505511906</v>
      </c>
      <c r="AX1690" s="2">
        <f t="shared" ca="1" si="1660"/>
        <v>2713432.5875724107</v>
      </c>
      <c r="AY1690" s="2">
        <f t="shared" ca="1" si="1661"/>
        <v>2842510.4206092274</v>
      </c>
      <c r="AZ1690" s="2">
        <f t="shared" ca="1" si="1662"/>
        <v>2975317.8891076557</v>
      </c>
      <c r="BA1690" s="2">
        <f t="shared" ca="1" si="1663"/>
        <v>54021941.145313941</v>
      </c>
      <c r="BB1690" s="2">
        <f t="shared" ca="1" si="1664"/>
        <v>1080438.8229062788</v>
      </c>
      <c r="BC1690" s="2">
        <f t="shared" ca="1" si="1665"/>
        <v>26608418.964742407</v>
      </c>
      <c r="BD1690" s="2">
        <f t="shared" ca="1" si="1666"/>
        <v>-19152600.711679559</v>
      </c>
      <c r="BE1690" s="2">
        <f t="shared" ca="1" si="1667"/>
        <v>2325265.3908526935</v>
      </c>
      <c r="BF1690" s="2">
        <f t="shared" ca="1" si="1668"/>
        <v>2587979.6505511906</v>
      </c>
      <c r="BG1690" s="2">
        <f t="shared" ca="1" si="1669"/>
        <v>2713432.5875724107</v>
      </c>
      <c r="BH1690" s="2">
        <f t="shared" ca="1" si="1670"/>
        <v>2842510.4206092274</v>
      </c>
      <c r="BI1690" s="2">
        <f t="shared" ca="1" si="1671"/>
        <v>29583736.853850063</v>
      </c>
      <c r="BJ1690" s="2">
        <f t="shared" ca="1" si="1672"/>
        <v>0.19081915905446412</v>
      </c>
      <c r="BK1690" s="2">
        <f t="shared" ca="1" si="1673"/>
        <v>5511091.897572957</v>
      </c>
    </row>
    <row r="1691" spans="1:63" x14ac:dyDescent="0.3">
      <c r="A1691" s="2">
        <v>1690</v>
      </c>
      <c r="B1691" s="2">
        <f t="shared" ca="1" si="1612"/>
        <v>0.82242024390155744</v>
      </c>
      <c r="C1691" s="2">
        <f t="shared" ca="1" si="1613"/>
        <v>7.4040473909807218</v>
      </c>
      <c r="D1691" s="2">
        <f t="shared" ca="1" si="1614"/>
        <v>0.8684413763514679</v>
      </c>
      <c r="E1691" s="2">
        <f t="shared" ca="1" si="1615"/>
        <v>7.9870504437110172</v>
      </c>
      <c r="F1691" s="2">
        <f t="shared" ca="1" si="1616"/>
        <v>9.1488444879123998E-2</v>
      </c>
      <c r="G1691" s="2">
        <f t="shared" ca="1" si="1617"/>
        <v>5.0651771111770438E-5</v>
      </c>
      <c r="H1691" s="2">
        <f t="shared" ca="1" si="1618"/>
        <v>5.0651771111770438E-5</v>
      </c>
      <c r="I1691" s="2">
        <f t="shared" ca="1" si="1619"/>
        <v>0.25274452052819041</v>
      </c>
      <c r="J1691" s="2">
        <f t="shared" ca="1" si="1620"/>
        <v>6.6706096678888337E-3</v>
      </c>
      <c r="K1691" s="2">
        <f t="shared" ca="1" si="1621"/>
        <v>6.6706096678888337E-3</v>
      </c>
      <c r="L1691" s="2">
        <f t="shared" ca="1" si="1622"/>
        <v>0.38644121702202083</v>
      </c>
      <c r="M1691" s="2">
        <f t="shared" ca="1" si="1623"/>
        <v>-5.772132267171751E-3</v>
      </c>
      <c r="N1691" s="2">
        <f t="shared" ca="1" si="1624"/>
        <v>-5.772132267171751E-3</v>
      </c>
      <c r="O1691" s="2">
        <f t="shared" si="1625"/>
        <v>6000000</v>
      </c>
      <c r="P1691" s="2">
        <f t="shared" ca="1" si="1626"/>
        <v>44424284.345884331</v>
      </c>
      <c r="Q1691" s="2">
        <f t="shared" ca="1" si="1627"/>
        <v>1110607.1086471083</v>
      </c>
      <c r="R1691" s="2">
        <f t="shared" ca="1" si="1628"/>
        <v>26654570.607530598</v>
      </c>
      <c r="S1691" s="2">
        <f t="shared" ca="1" si="1629"/>
        <v>17769713.738353733</v>
      </c>
      <c r="T1691" s="2">
        <f t="shared" ca="1" si="1630"/>
        <v>49711393.386641413</v>
      </c>
      <c r="U1691" s="2">
        <f t="shared" ca="1" si="1631"/>
        <v>49713911.356760882</v>
      </c>
      <c r="V1691" s="2">
        <f t="shared" ca="1" si="1632"/>
        <v>49716429.45442</v>
      </c>
      <c r="W1691" s="2">
        <f t="shared" ca="1" si="1633"/>
        <v>49718947.679625221</v>
      </c>
      <c r="X1691" s="2">
        <f t="shared" ca="1" si="1634"/>
        <v>49721466.03238301</v>
      </c>
      <c r="Y1691" s="2">
        <f t="shared" ca="1" si="1635"/>
        <v>0.12333530483394441</v>
      </c>
      <c r="Z1691" s="2">
        <f t="shared" ca="1" si="1636"/>
        <v>0.12466942676752218</v>
      </c>
      <c r="AA1691" s="2">
        <f t="shared" ca="1" si="1637"/>
        <v>6131169.8570615463</v>
      </c>
      <c r="AB1691" s="2">
        <f t="shared" ca="1" si="1638"/>
        <v>6197804.8312187903</v>
      </c>
      <c r="AC1691" s="2">
        <f t="shared" ca="1" si="1639"/>
        <v>6198118.7610104969</v>
      </c>
      <c r="AD1691" s="2">
        <f t="shared" ca="1" si="1640"/>
        <v>6198432.7067033034</v>
      </c>
      <c r="AE1691" s="2">
        <f t="shared" ca="1" si="1641"/>
        <v>6198746.6682980154</v>
      </c>
      <c r="AF1691" s="2">
        <f t="shared" ca="1" si="1642"/>
        <v>994227.86773282825</v>
      </c>
      <c r="AG1691" s="2">
        <f t="shared" ca="1" si="1643"/>
        <v>994278.22713521763</v>
      </c>
      <c r="AH1691" s="2">
        <f t="shared" ca="1" si="1644"/>
        <v>994328.58908840001</v>
      </c>
      <c r="AI1691" s="2">
        <f t="shared" ca="1" si="1645"/>
        <v>994378.95359250437</v>
      </c>
      <c r="AJ1691" s="2">
        <f t="shared" ca="1" si="1646"/>
        <v>994429.32064766018</v>
      </c>
      <c r="AK1691" s="2">
        <f t="shared" ca="1" si="1647"/>
        <v>0</v>
      </c>
      <c r="AL1691" s="2">
        <f t="shared" ca="1" si="1648"/>
        <v>25.179701194688679</v>
      </c>
      <c r="AM1691" s="2">
        <f t="shared" ca="1" si="1649"/>
        <v>25.180976591184734</v>
      </c>
      <c r="AN1691" s="2">
        <f t="shared" ca="1" si="1650"/>
        <v>25.18225205220282</v>
      </c>
      <c r="AO1691" s="2">
        <f t="shared" ca="1" si="1651"/>
        <v>25.183527577891947</v>
      </c>
      <c r="AP1691" s="2">
        <f t="shared" ca="1" si="1652"/>
        <v>2398911.3546777535</v>
      </c>
      <c r="AQ1691" s="2">
        <f t="shared" ca="1" si="1653"/>
        <v>711887.96500925079</v>
      </c>
      <c r="AR1691" s="2">
        <f t="shared" ca="1" si="1654"/>
        <v>729199.96484551299</v>
      </c>
      <c r="AS1691" s="2">
        <f t="shared" ca="1" si="1655"/>
        <v>729268.49248352938</v>
      </c>
      <c r="AT1691" s="2">
        <f t="shared" ca="1" si="1656"/>
        <v>729337.02359259187</v>
      </c>
      <c r="AU1691" s="2">
        <f t="shared" ca="1" si="1657"/>
        <v>729405.55817287636</v>
      </c>
      <c r="AV1691" s="2">
        <f t="shared" ca="1" si="1658"/>
        <v>2026142.6696417136</v>
      </c>
      <c r="AW1691" s="2">
        <f t="shared" ca="1" si="1659"/>
        <v>2075390.1048591109</v>
      </c>
      <c r="AX1691" s="2">
        <f t="shared" ca="1" si="1660"/>
        <v>2075585.1437842231</v>
      </c>
      <c r="AY1691" s="2">
        <f t="shared" ca="1" si="1661"/>
        <v>2075780.192588401</v>
      </c>
      <c r="AZ1691" s="2">
        <f t="shared" ca="1" si="1662"/>
        <v>2075975.2512721475</v>
      </c>
      <c r="BA1691" s="2">
        <f t="shared" ca="1" si="1663"/>
        <v>49509702.327481851</v>
      </c>
      <c r="BB1691" s="2">
        <f t="shared" ca="1" si="1664"/>
        <v>990194.04654963699</v>
      </c>
      <c r="BC1691" s="2">
        <f t="shared" ca="1" si="1665"/>
        <v>21864937.673401617</v>
      </c>
      <c r="BD1691" s="2">
        <f t="shared" ca="1" si="1666"/>
        <v>-19380320.847000841</v>
      </c>
      <c r="BE1691" s="2">
        <f t="shared" ca="1" si="1667"/>
        <v>2026142.6696417136</v>
      </c>
      <c r="BF1691" s="2">
        <f t="shared" ca="1" si="1668"/>
        <v>2075390.1048591109</v>
      </c>
      <c r="BG1691" s="2">
        <f t="shared" ca="1" si="1669"/>
        <v>2075585.1437842231</v>
      </c>
      <c r="BH1691" s="2">
        <f t="shared" ca="1" si="1670"/>
        <v>2075780.192588401</v>
      </c>
      <c r="BI1691" s="2">
        <f t="shared" ca="1" si="1671"/>
        <v>23940912.924673766</v>
      </c>
      <c r="BJ1691" s="2">
        <f t="shared" ca="1" si="1672"/>
        <v>0.12638791176849717</v>
      </c>
      <c r="BK1691" s="2">
        <f t="shared" ca="1" si="1673"/>
        <v>464496.68422561884</v>
      </c>
    </row>
    <row r="1692" spans="1:63" x14ac:dyDescent="0.3">
      <c r="A1692" s="2">
        <v>1691</v>
      </c>
      <c r="B1692" s="2">
        <f t="shared" ca="1" si="1612"/>
        <v>0.91762330064365005</v>
      </c>
      <c r="C1692" s="2">
        <f t="shared" ca="1" si="1613"/>
        <v>7.5941017384704637</v>
      </c>
      <c r="D1692" s="2">
        <f t="shared" ca="1" si="1614"/>
        <v>0.82486444241073831</v>
      </c>
      <c r="E1692" s="2">
        <f t="shared" ca="1" si="1615"/>
        <v>7.9081629318988851</v>
      </c>
      <c r="F1692" s="2">
        <f t="shared" ca="1" si="1616"/>
        <v>0.58240047649958071</v>
      </c>
      <c r="G1692" s="2">
        <f t="shared" ca="1" si="1617"/>
        <v>4.6241149593475833E-2</v>
      </c>
      <c r="H1692" s="2">
        <f t="shared" ca="1" si="1618"/>
        <v>4.6241149593475833E-2</v>
      </c>
      <c r="I1692" s="2">
        <f t="shared" ca="1" si="1619"/>
        <v>0.94766562004065735</v>
      </c>
      <c r="J1692" s="2">
        <f t="shared" ca="1" si="1620"/>
        <v>1.8113144471723245E-2</v>
      </c>
      <c r="K1692" s="2">
        <f t="shared" ca="1" si="1621"/>
        <v>1.8113144471723245E-2</v>
      </c>
      <c r="L1692" s="2">
        <f t="shared" ca="1" si="1622"/>
        <v>0.39294245254999427</v>
      </c>
      <c r="M1692" s="2">
        <f t="shared" ca="1" si="1623"/>
        <v>-5.4331624230827928E-3</v>
      </c>
      <c r="N1692" s="2">
        <f t="shared" ca="1" si="1624"/>
        <v>-5.4331624230827928E-3</v>
      </c>
      <c r="O1692" s="2">
        <f t="shared" si="1625"/>
        <v>6000000</v>
      </c>
      <c r="P1692" s="2">
        <f t="shared" ca="1" si="1626"/>
        <v>45564610.430822782</v>
      </c>
      <c r="Q1692" s="2">
        <f t="shared" ca="1" si="1627"/>
        <v>1139115.2607705696</v>
      </c>
      <c r="R1692" s="2">
        <f t="shared" ca="1" si="1628"/>
        <v>27338766.258493669</v>
      </c>
      <c r="S1692" s="2">
        <f t="shared" ca="1" si="1629"/>
        <v>18225844.172329113</v>
      </c>
      <c r="T1692" s="2">
        <f t="shared" ca="1" si="1630"/>
        <v>49728341.878845863</v>
      </c>
      <c r="U1692" s="2">
        <f t="shared" ca="1" si="1631"/>
        <v>52027837.574701086</v>
      </c>
      <c r="V1692" s="2">
        <f t="shared" ca="1" si="1632"/>
        <v>54433664.595017903</v>
      </c>
      <c r="W1692" s="2">
        <f t="shared" ca="1" si="1633"/>
        <v>56950739.822477214</v>
      </c>
      <c r="X1692" s="2">
        <f t="shared" ca="1" si="1634"/>
        <v>59584207.502067506</v>
      </c>
      <c r="Y1692" s="2">
        <f t="shared" ca="1" si="1635"/>
        <v>0.12905657223586162</v>
      </c>
      <c r="Z1692" s="2">
        <f t="shared" ca="1" si="1636"/>
        <v>0.13267920113020626</v>
      </c>
      <c r="AA1692" s="2">
        <f t="shared" ca="1" si="1637"/>
        <v>6417769.3458568938</v>
      </c>
      <c r="AB1692" s="2">
        <f t="shared" ca="1" si="1638"/>
        <v>6903011.9259434678</v>
      </c>
      <c r="AC1692" s="2">
        <f t="shared" ca="1" si="1639"/>
        <v>7222215.133056568</v>
      </c>
      <c r="AD1692" s="2">
        <f t="shared" ca="1" si="1640"/>
        <v>7556178.6634205012</v>
      </c>
      <c r="AE1692" s="2">
        <f t="shared" ca="1" si="1641"/>
        <v>7905585.0513507593</v>
      </c>
      <c r="AF1692" s="2">
        <f t="shared" ca="1" si="1642"/>
        <v>994566.83757691726</v>
      </c>
      <c r="AG1692" s="2">
        <f t="shared" ca="1" si="1643"/>
        <v>1040556.7514940217</v>
      </c>
      <c r="AH1692" s="2">
        <f t="shared" ca="1" si="1644"/>
        <v>1088673.2919003582</v>
      </c>
      <c r="AI1692" s="2">
        <f t="shared" ca="1" si="1645"/>
        <v>1139014.7964495444</v>
      </c>
      <c r="AJ1692" s="2">
        <f t="shared" ca="1" si="1646"/>
        <v>1191684.1500413502</v>
      </c>
      <c r="AK1692" s="2">
        <f t="shared" ca="1" si="1647"/>
        <v>0</v>
      </c>
      <c r="AL1692" s="2">
        <f t="shared" ca="1" si="1648"/>
        <v>22994.956958552226</v>
      </c>
      <c r="AM1692" s="2">
        <f t="shared" ca="1" si="1649"/>
        <v>24058.270203168169</v>
      </c>
      <c r="AN1692" s="2">
        <f t="shared" ca="1" si="1650"/>
        <v>25170.752274593116</v>
      </c>
      <c r="AO1692" s="2">
        <f t="shared" ca="1" si="1651"/>
        <v>26334.676795902924</v>
      </c>
      <c r="AP1692" s="2">
        <f t="shared" ca="1" si="1652"/>
        <v>2460488.9632644299</v>
      </c>
      <c r="AQ1692" s="2">
        <f t="shared" ca="1" si="1653"/>
        <v>770305.5217040421</v>
      </c>
      <c r="AR1692" s="2">
        <f t="shared" ca="1" si="1654"/>
        <v>884511.21490810416</v>
      </c>
      <c r="AS1692" s="2">
        <f t="shared" ca="1" si="1655"/>
        <v>954993.74825186282</v>
      </c>
      <c r="AT1692" s="2">
        <f t="shared" ca="1" si="1656"/>
        <v>1028735.4749636969</v>
      </c>
      <c r="AU1692" s="2">
        <f t="shared" ca="1" si="1657"/>
        <v>1105887.1038916947</v>
      </c>
      <c r="AV1692" s="2">
        <f t="shared" ca="1" si="1658"/>
        <v>2192408.0233115042</v>
      </c>
      <c r="AW1692" s="2">
        <f t="shared" ca="1" si="1659"/>
        <v>2494460.0393183595</v>
      </c>
      <c r="AX1692" s="2">
        <f t="shared" ca="1" si="1660"/>
        <v>2694000.8594367485</v>
      </c>
      <c r="AY1692" s="2">
        <f t="shared" ca="1" si="1661"/>
        <v>2902768.6764682364</v>
      </c>
      <c r="AZ1692" s="2">
        <f t="shared" ca="1" si="1662"/>
        <v>3121190.1573573817</v>
      </c>
      <c r="BA1692" s="2">
        <f t="shared" ca="1" si="1663"/>
        <v>62518654.658066019</v>
      </c>
      <c r="BB1692" s="2">
        <f t="shared" ca="1" si="1664"/>
        <v>1250373.0931613203</v>
      </c>
      <c r="BC1692" s="2">
        <f t="shared" ca="1" si="1665"/>
        <v>33929515.306411028</v>
      </c>
      <c r="BD1692" s="2">
        <f t="shared" ca="1" si="1666"/>
        <v>-19864959.433099683</v>
      </c>
      <c r="BE1692" s="2">
        <f t="shared" ca="1" si="1667"/>
        <v>2192408.0233115042</v>
      </c>
      <c r="BF1692" s="2">
        <f t="shared" ca="1" si="1668"/>
        <v>2494460.0393183595</v>
      </c>
      <c r="BG1692" s="2">
        <f t="shared" ca="1" si="1669"/>
        <v>2694000.8594367485</v>
      </c>
      <c r="BH1692" s="2">
        <f t="shared" ca="1" si="1670"/>
        <v>2902768.6764682364</v>
      </c>
      <c r="BI1692" s="2">
        <f t="shared" ca="1" si="1671"/>
        <v>37050705.463768408</v>
      </c>
      <c r="BJ1692" s="2">
        <f t="shared" ca="1" si="1672"/>
        <v>0.22162536328321458</v>
      </c>
      <c r="BK1692" s="2">
        <f t="shared" ca="1" si="1673"/>
        <v>8866979.8758358657</v>
      </c>
    </row>
    <row r="1693" spans="1:63" x14ac:dyDescent="0.3">
      <c r="A1693" s="2">
        <v>1692</v>
      </c>
      <c r="B1693" s="2">
        <f t="shared" ca="1" si="1612"/>
        <v>0.71757777176968274</v>
      </c>
      <c r="C1693" s="2">
        <f t="shared" ca="1" si="1613"/>
        <v>7.2484386542266597</v>
      </c>
      <c r="D1693" s="2">
        <f t="shared" ca="1" si="1614"/>
        <v>0.51853109941926101</v>
      </c>
      <c r="E1693" s="2">
        <f t="shared" ca="1" si="1615"/>
        <v>7.5187060577169156</v>
      </c>
      <c r="F1693" s="2">
        <f t="shared" ca="1" si="1616"/>
        <v>0.78273758058063314</v>
      </c>
      <c r="G1693" s="2">
        <f t="shared" ca="1" si="1617"/>
        <v>6.3444165094949129E-2</v>
      </c>
      <c r="H1693" s="2">
        <f t="shared" ca="1" si="1618"/>
        <v>6.3444165094949129E-2</v>
      </c>
      <c r="I1693" s="2">
        <f t="shared" ca="1" si="1619"/>
        <v>0.34536375669867914</v>
      </c>
      <c r="J1693" s="2">
        <f t="shared" ca="1" si="1620"/>
        <v>8.0106601638853664E-3</v>
      </c>
      <c r="K1693" s="2">
        <f t="shared" ca="1" si="1621"/>
        <v>8.0106601638853664E-3</v>
      </c>
      <c r="L1693" s="2">
        <f t="shared" ca="1" si="1622"/>
        <v>0.18693450530927003</v>
      </c>
      <c r="M1693" s="2">
        <f t="shared" ca="1" si="1623"/>
        <v>-1.7784989799513339E-2</v>
      </c>
      <c r="N1693" s="2">
        <f t="shared" ca="1" si="1624"/>
        <v>-1.7784989799513339E-2</v>
      </c>
      <c r="O1693" s="2">
        <f t="shared" si="1625"/>
        <v>6000000</v>
      </c>
      <c r="P1693" s="2">
        <f t="shared" ca="1" si="1626"/>
        <v>43490631.925359957</v>
      </c>
      <c r="Q1693" s="2">
        <f t="shared" ca="1" si="1627"/>
        <v>1087265.7981339989</v>
      </c>
      <c r="R1693" s="2">
        <f t="shared" ca="1" si="1628"/>
        <v>26094379.155215975</v>
      </c>
      <c r="S1693" s="2">
        <f t="shared" ca="1" si="1629"/>
        <v>17396252.770143982</v>
      </c>
      <c r="T1693" s="2">
        <f t="shared" ca="1" si="1630"/>
        <v>49110750.510024332</v>
      </c>
      <c r="U1693" s="2">
        <f t="shared" ca="1" si="1631"/>
        <v>52226541.073319174</v>
      </c>
      <c r="V1693" s="2">
        <f t="shared" ca="1" si="1632"/>
        <v>55540010.367512979</v>
      </c>
      <c r="W1693" s="2">
        <f t="shared" ca="1" si="1633"/>
        <v>59063699.954644658</v>
      </c>
      <c r="X1693" s="2">
        <f t="shared" ca="1" si="1634"/>
        <v>62810947.08568567</v>
      </c>
      <c r="Y1693" s="2">
        <f t="shared" ca="1" si="1635"/>
        <v>0.12400533008194267</v>
      </c>
      <c r="Z1693" s="2">
        <f t="shared" ca="1" si="1636"/>
        <v>0.12560746211471976</v>
      </c>
      <c r="AA1693" s="2">
        <f t="shared" ca="1" si="1637"/>
        <v>6089994.8275675019</v>
      </c>
      <c r="AB1693" s="2">
        <f t="shared" ca="1" si="1638"/>
        <v>6560043.2792497938</v>
      </c>
      <c r="AC1693" s="2">
        <f t="shared" ca="1" si="1639"/>
        <v>6976239.7480885293</v>
      </c>
      <c r="AD1693" s="2">
        <f t="shared" ca="1" si="1640"/>
        <v>7418841.4544082042</v>
      </c>
      <c r="AE1693" s="2">
        <f t="shared" ca="1" si="1641"/>
        <v>7889523.656454931</v>
      </c>
      <c r="AF1693" s="2">
        <f t="shared" ca="1" si="1642"/>
        <v>982215.01020048663</v>
      </c>
      <c r="AG1693" s="2">
        <f t="shared" ca="1" si="1643"/>
        <v>1044530.8214663835</v>
      </c>
      <c r="AH1693" s="2">
        <f t="shared" ca="1" si="1644"/>
        <v>1110800.2073502596</v>
      </c>
      <c r="AI1693" s="2">
        <f t="shared" ca="1" si="1645"/>
        <v>1181273.9990928932</v>
      </c>
      <c r="AJ1693" s="2">
        <f t="shared" ca="1" si="1646"/>
        <v>1256218.9417137133</v>
      </c>
      <c r="AK1693" s="2">
        <f t="shared" ca="1" si="1647"/>
        <v>0</v>
      </c>
      <c r="AL1693" s="2">
        <f t="shared" ca="1" si="1648"/>
        <v>31157.90563294843</v>
      </c>
      <c r="AM1693" s="2">
        <f t="shared" ca="1" si="1649"/>
        <v>33134.692941938047</v>
      </c>
      <c r="AN1693" s="2">
        <f t="shared" ca="1" si="1650"/>
        <v>35236.895871316789</v>
      </c>
      <c r="AO1693" s="2">
        <f t="shared" ca="1" si="1651"/>
        <v>37472.471310410125</v>
      </c>
      <c r="AP1693" s="2">
        <f t="shared" ca="1" si="1652"/>
        <v>2348494.1239694376</v>
      </c>
      <c r="AQ1693" s="2">
        <f t="shared" ca="1" si="1653"/>
        <v>717414.28028337029</v>
      </c>
      <c r="AR1693" s="2">
        <f t="shared" ca="1" si="1654"/>
        <v>823424.76679163298</v>
      </c>
      <c r="AS1693" s="2">
        <f t="shared" ca="1" si="1655"/>
        <v>914405.80835989641</v>
      </c>
      <c r="AT1693" s="2">
        <f t="shared" ca="1" si="1656"/>
        <v>1011159.066149927</v>
      </c>
      <c r="AU1693" s="2">
        <f t="shared" ca="1" si="1657"/>
        <v>1114050.753600663</v>
      </c>
      <c r="AV1693" s="2">
        <f t="shared" ca="1" si="1658"/>
        <v>2041871.4131142078</v>
      </c>
      <c r="AW1693" s="2">
        <f t="shared" ca="1" si="1659"/>
        <v>2312435.6613893909</v>
      </c>
      <c r="AX1693" s="2">
        <f t="shared" ca="1" si="1660"/>
        <v>2569404.9154669978</v>
      </c>
      <c r="AY1693" s="2">
        <f t="shared" ca="1" si="1661"/>
        <v>2842677.3693246292</v>
      </c>
      <c r="AZ1693" s="2">
        <f t="shared" ca="1" si="1662"/>
        <v>3133287.3658607081</v>
      </c>
      <c r="BA1693" s="2">
        <f t="shared" ca="1" si="1663"/>
        <v>59319009.308288597</v>
      </c>
      <c r="BB1693" s="2">
        <f t="shared" ca="1" si="1664"/>
        <v>1186380.1861657719</v>
      </c>
      <c r="BC1693" s="2">
        <f t="shared" ca="1" si="1665"/>
        <v>32038249.966906849</v>
      </c>
      <c r="BD1693" s="2">
        <f t="shared" ca="1" si="1666"/>
        <v>-18983518.568277981</v>
      </c>
      <c r="BE1693" s="2">
        <f t="shared" ca="1" si="1667"/>
        <v>2041871.4131142078</v>
      </c>
      <c r="BF1693" s="2">
        <f t="shared" ca="1" si="1668"/>
        <v>2312435.6613893909</v>
      </c>
      <c r="BG1693" s="2">
        <f t="shared" ca="1" si="1669"/>
        <v>2569404.9154669978</v>
      </c>
      <c r="BH1693" s="2">
        <f t="shared" ca="1" si="1670"/>
        <v>2842677.3693246292</v>
      </c>
      <c r="BI1693" s="2">
        <f t="shared" ca="1" si="1671"/>
        <v>35171537.332767561</v>
      </c>
      <c r="BJ1693" s="2">
        <f t="shared" ca="1" si="1672"/>
        <v>0.21931426767262807</v>
      </c>
      <c r="BK1693" s="2">
        <f t="shared" ca="1" si="1673"/>
        <v>8275739.8254709207</v>
      </c>
    </row>
    <row r="1694" spans="1:63" x14ac:dyDescent="0.3">
      <c r="A1694" s="2">
        <v>1693</v>
      </c>
      <c r="B1694" s="2">
        <f t="shared" ca="1" si="1612"/>
        <v>0.35209758890001719</v>
      </c>
      <c r="C1694" s="2">
        <f t="shared" ca="1" si="1613"/>
        <v>6.8391633796824278</v>
      </c>
      <c r="D1694" s="2">
        <f t="shared" ca="1" si="1614"/>
        <v>0.67717972812213378</v>
      </c>
      <c r="E1694" s="2">
        <f t="shared" ca="1" si="1615"/>
        <v>7.6964823936243008</v>
      </c>
      <c r="F1694" s="2">
        <f t="shared" ca="1" si="1616"/>
        <v>0.46890006072879786</v>
      </c>
      <c r="G1694" s="2">
        <f t="shared" ca="1" si="1617"/>
        <v>3.7658946589273511E-2</v>
      </c>
      <c r="H1694" s="2">
        <f t="shared" ca="1" si="1618"/>
        <v>3.7658946589273511E-2</v>
      </c>
      <c r="I1694" s="2">
        <f t="shared" ca="1" si="1619"/>
        <v>0.71443538440253884</v>
      </c>
      <c r="J1694" s="2">
        <f t="shared" ca="1" si="1620"/>
        <v>1.2831946027004886E-2</v>
      </c>
      <c r="K1694" s="2">
        <f t="shared" ca="1" si="1621"/>
        <v>1.2831946027004886E-2</v>
      </c>
      <c r="L1694" s="2">
        <f t="shared" ca="1" si="1622"/>
        <v>0.16534147531540511</v>
      </c>
      <c r="M1694" s="2">
        <f t="shared" ca="1" si="1623"/>
        <v>-1.9454783466227331E-2</v>
      </c>
      <c r="N1694" s="2">
        <f t="shared" ca="1" si="1624"/>
        <v>-1.9454783466227331E-2</v>
      </c>
      <c r="O1694" s="2">
        <f t="shared" si="1625"/>
        <v>6000000</v>
      </c>
      <c r="P1694" s="2">
        <f t="shared" ca="1" si="1626"/>
        <v>41034980.278094567</v>
      </c>
      <c r="Q1694" s="2">
        <f t="shared" ca="1" si="1627"/>
        <v>1025874.5069523642</v>
      </c>
      <c r="R1694" s="2">
        <f t="shared" ca="1" si="1628"/>
        <v>24620988.16685674</v>
      </c>
      <c r="S1694" s="2">
        <f t="shared" ca="1" si="1629"/>
        <v>16413992.111237828</v>
      </c>
      <c r="T1694" s="2">
        <f t="shared" ca="1" si="1630"/>
        <v>49027260.826688632</v>
      </c>
      <c r="U1694" s="2">
        <f t="shared" ca="1" si="1631"/>
        <v>50873575.823579289</v>
      </c>
      <c r="V1694" s="2">
        <f t="shared" ca="1" si="1632"/>
        <v>52789421.09832482</v>
      </c>
      <c r="W1694" s="2">
        <f t="shared" ca="1" si="1633"/>
        <v>54777415.087945305</v>
      </c>
      <c r="X1694" s="2">
        <f t="shared" ca="1" si="1634"/>
        <v>56840274.837040707</v>
      </c>
      <c r="Y1694" s="2">
        <f t="shared" ca="1" si="1635"/>
        <v>0.12641597301350244</v>
      </c>
      <c r="Z1694" s="2">
        <f t="shared" ca="1" si="1636"/>
        <v>0.12898236221890341</v>
      </c>
      <c r="AA1694" s="2">
        <f t="shared" ca="1" si="1637"/>
        <v>6197828.8815926155</v>
      </c>
      <c r="AB1694" s="2">
        <f t="shared" ca="1" si="1638"/>
        <v>6561793.9842477515</v>
      </c>
      <c r="AC1694" s="2">
        <f t="shared" ca="1" si="1639"/>
        <v>6808904.2334303539</v>
      </c>
      <c r="AD1694" s="2">
        <f t="shared" ca="1" si="1640"/>
        <v>7065320.3942885865</v>
      </c>
      <c r="AE1694" s="2">
        <f t="shared" ca="1" si="1641"/>
        <v>7331392.9176532058</v>
      </c>
      <c r="AF1694" s="2">
        <f t="shared" ca="1" si="1642"/>
        <v>980545.21653377265</v>
      </c>
      <c r="AG1694" s="2">
        <f t="shared" ca="1" si="1643"/>
        <v>1017471.5164715858</v>
      </c>
      <c r="AH1694" s="2">
        <f t="shared" ca="1" si="1644"/>
        <v>1055788.4219664964</v>
      </c>
      <c r="AI1694" s="2">
        <f t="shared" ca="1" si="1645"/>
        <v>1095548.3017589061</v>
      </c>
      <c r="AJ1694" s="2">
        <f t="shared" ca="1" si="1646"/>
        <v>1136805.4967408141</v>
      </c>
      <c r="AK1694" s="2">
        <f t="shared" ca="1" si="1647"/>
        <v>0</v>
      </c>
      <c r="AL1694" s="2">
        <f t="shared" ca="1" si="1648"/>
        <v>18463.149968906568</v>
      </c>
      <c r="AM1694" s="2">
        <f t="shared" ca="1" si="1649"/>
        <v>19158.452747455314</v>
      </c>
      <c r="AN1694" s="2">
        <f t="shared" ca="1" si="1650"/>
        <v>19879.939896204844</v>
      </c>
      <c r="AO1694" s="2">
        <f t="shared" ca="1" si="1651"/>
        <v>20628.597490954027</v>
      </c>
      <c r="AP1694" s="2">
        <f t="shared" ca="1" si="1652"/>
        <v>2215888.9350171066</v>
      </c>
      <c r="AQ1694" s="2">
        <f t="shared" ca="1" si="1653"/>
        <v>780362.62981085142</v>
      </c>
      <c r="AR1694" s="2">
        <f t="shared" ca="1" si="1654"/>
        <v>865392.71851735527</v>
      </c>
      <c r="AS1694" s="2">
        <f t="shared" ca="1" si="1655"/>
        <v>919678.98787615518</v>
      </c>
      <c r="AT1694" s="2">
        <f t="shared" ca="1" si="1656"/>
        <v>976009.6209532693</v>
      </c>
      <c r="AU1694" s="2">
        <f t="shared" ca="1" si="1657"/>
        <v>1034461.6063327742</v>
      </c>
      <c r="AV1694" s="2">
        <f t="shared" ca="1" si="1658"/>
        <v>2221032.1002308852</v>
      </c>
      <c r="AW1694" s="2">
        <f t="shared" ca="1" si="1659"/>
        <v>2444577.6642727968</v>
      </c>
      <c r="AX1694" s="2">
        <f t="shared" ca="1" si="1660"/>
        <v>2598389.4358231402</v>
      </c>
      <c r="AY1694" s="2">
        <f t="shared" ca="1" si="1661"/>
        <v>2757993.5966631002</v>
      </c>
      <c r="AZ1694" s="2">
        <f t="shared" ca="1" si="1662"/>
        <v>2923608.2820715564</v>
      </c>
      <c r="BA1694" s="2">
        <f t="shared" ca="1" si="1663"/>
        <v>56425936.51145979</v>
      </c>
      <c r="BB1694" s="2">
        <f t="shared" ca="1" si="1664"/>
        <v>1128518.7302291959</v>
      </c>
      <c r="BC1694" s="2">
        <f t="shared" ca="1" si="1665"/>
        <v>30676429.614373855</v>
      </c>
      <c r="BD1694" s="2">
        <f t="shared" ca="1" si="1666"/>
        <v>-17939866.618190192</v>
      </c>
      <c r="BE1694" s="2">
        <f t="shared" ca="1" si="1667"/>
        <v>2221032.1002308852</v>
      </c>
      <c r="BF1694" s="2">
        <f t="shared" ca="1" si="1668"/>
        <v>2444577.6642727968</v>
      </c>
      <c r="BG1694" s="2">
        <f t="shared" ca="1" si="1669"/>
        <v>2598389.4358231402</v>
      </c>
      <c r="BH1694" s="2">
        <f t="shared" ca="1" si="1670"/>
        <v>2757993.5966631002</v>
      </c>
      <c r="BI1694" s="2">
        <f t="shared" ca="1" si="1671"/>
        <v>33600037.896445408</v>
      </c>
      <c r="BJ1694" s="2">
        <f t="shared" ca="1" si="1672"/>
        <v>0.23029619294533932</v>
      </c>
      <c r="BK1694" s="2">
        <f t="shared" ca="1" si="1673"/>
        <v>8659801.0271281004</v>
      </c>
    </row>
    <row r="1695" spans="1:63" x14ac:dyDescent="0.3">
      <c r="A1695" s="2">
        <v>1694</v>
      </c>
      <c r="B1695" s="2">
        <f t="shared" ca="1" si="1612"/>
        <v>0.98866288334528041</v>
      </c>
      <c r="C1695" s="2">
        <f t="shared" ca="1" si="1613"/>
        <v>7.849420342311987</v>
      </c>
      <c r="D1695" s="2">
        <f t="shared" ca="1" si="1614"/>
        <v>0.34600128879965064</v>
      </c>
      <c r="E1695" s="2">
        <f t="shared" ca="1" si="1615"/>
        <v>7.3318669230107067</v>
      </c>
      <c r="F1695" s="2">
        <f t="shared" ca="1" si="1616"/>
        <v>0.79743388927089998</v>
      </c>
      <c r="G1695" s="2">
        <f t="shared" ca="1" si="1617"/>
        <v>6.4974710575527367E-2</v>
      </c>
      <c r="H1695" s="2">
        <f t="shared" ca="1" si="1618"/>
        <v>6.4974710575527367E-2</v>
      </c>
      <c r="I1695" s="2">
        <f t="shared" ca="1" si="1619"/>
        <v>0.51168156391694308</v>
      </c>
      <c r="J1695" s="2">
        <f t="shared" ca="1" si="1620"/>
        <v>1.0146427619748903E-2</v>
      </c>
      <c r="K1695" s="2">
        <f t="shared" ca="1" si="1621"/>
        <v>1.0146427619748903E-2</v>
      </c>
      <c r="L1695" s="2">
        <f t="shared" ca="1" si="1622"/>
        <v>0.30961483425931968</v>
      </c>
      <c r="M1695" s="2">
        <f t="shared" ca="1" si="1623"/>
        <v>-9.9388480571455159E-3</v>
      </c>
      <c r="N1695" s="2">
        <f t="shared" ca="1" si="1624"/>
        <v>-9.9388480571455159E-3</v>
      </c>
      <c r="O1695" s="2">
        <f t="shared" si="1625"/>
        <v>6000000</v>
      </c>
      <c r="P1695" s="2">
        <f t="shared" ca="1" si="1626"/>
        <v>47096522.053871922</v>
      </c>
      <c r="Q1695" s="2">
        <f t="shared" ca="1" si="1627"/>
        <v>1177413.0513467982</v>
      </c>
      <c r="R1695" s="2">
        <f t="shared" ca="1" si="1628"/>
        <v>28257913.232323151</v>
      </c>
      <c r="S1695" s="2">
        <f t="shared" ca="1" si="1629"/>
        <v>18838608.821548771</v>
      </c>
      <c r="T1695" s="2">
        <f t="shared" ca="1" si="1630"/>
        <v>49503057.597142726</v>
      </c>
      <c r="U1695" s="2">
        <f t="shared" ca="1" si="1631"/>
        <v>52719504.437120736</v>
      </c>
      <c r="V1695" s="2">
        <f t="shared" ca="1" si="1632"/>
        <v>56144938.979607888</v>
      </c>
      <c r="W1695" s="2">
        <f t="shared" ca="1" si="1633"/>
        <v>59792940.140088558</v>
      </c>
      <c r="X1695" s="2">
        <f t="shared" ca="1" si="1634"/>
        <v>63677969.120150648</v>
      </c>
      <c r="Y1695" s="2">
        <f t="shared" ca="1" si="1635"/>
        <v>0.12507321380987443</v>
      </c>
      <c r="Z1695" s="2">
        <f t="shared" ca="1" si="1636"/>
        <v>0.12710249933382423</v>
      </c>
      <c r="AA1695" s="2">
        <f t="shared" ca="1" si="1637"/>
        <v>6191506.5070899613</v>
      </c>
      <c r="AB1695" s="2">
        <f t="shared" ca="1" si="1638"/>
        <v>6700780.7775986819</v>
      </c>
      <c r="AC1695" s="2">
        <f t="shared" ca="1" si="1639"/>
        <v>7136162.0692532137</v>
      </c>
      <c r="AD1695" s="2">
        <f t="shared" ca="1" si="1640"/>
        <v>7599832.1343229981</v>
      </c>
      <c r="AE1695" s="2">
        <f t="shared" ca="1" si="1641"/>
        <v>8093629.0276732277</v>
      </c>
      <c r="AF1695" s="2">
        <f t="shared" ca="1" si="1642"/>
        <v>990061.15194285451</v>
      </c>
      <c r="AG1695" s="2">
        <f t="shared" ca="1" si="1643"/>
        <v>1054390.0887424147</v>
      </c>
      <c r="AH1695" s="2">
        <f t="shared" ca="1" si="1644"/>
        <v>1122898.7795921578</v>
      </c>
      <c r="AI1695" s="2">
        <f t="shared" ca="1" si="1645"/>
        <v>1195858.8028017711</v>
      </c>
      <c r="AJ1695" s="2">
        <f t="shared" ca="1" si="1646"/>
        <v>1273559.3824030131</v>
      </c>
      <c r="AK1695" s="2">
        <f t="shared" ca="1" si="1647"/>
        <v>0</v>
      </c>
      <c r="AL1695" s="2">
        <f t="shared" ca="1" si="1648"/>
        <v>32164.468399780097</v>
      </c>
      <c r="AM1695" s="2">
        <f t="shared" ca="1" si="1649"/>
        <v>34254.345424871521</v>
      </c>
      <c r="AN1695" s="2">
        <f t="shared" ca="1" si="1650"/>
        <v>36480.011604806707</v>
      </c>
      <c r="AO1695" s="2">
        <f t="shared" ca="1" si="1651"/>
        <v>38850.2898006209</v>
      </c>
      <c r="AP1695" s="2">
        <f t="shared" ca="1" si="1652"/>
        <v>2543212.1909090835</v>
      </c>
      <c r="AQ1695" s="2">
        <f t="shared" ca="1" si="1653"/>
        <v>691140.62270188599</v>
      </c>
      <c r="AR1695" s="2">
        <f t="shared" ca="1" si="1654"/>
        <v>806826.4094662678</v>
      </c>
      <c r="AS1695" s="2">
        <f t="shared" ca="1" si="1655"/>
        <v>902213.28567551274</v>
      </c>
      <c r="AT1695" s="2">
        <f t="shared" ca="1" si="1656"/>
        <v>1003797.8965591574</v>
      </c>
      <c r="AU1695" s="2">
        <f t="shared" ca="1" si="1657"/>
        <v>1111982.9381338942</v>
      </c>
      <c r="AV1695" s="2">
        <f t="shared" ca="1" si="1658"/>
        <v>1967092.541536137</v>
      </c>
      <c r="AW1695" s="2">
        <f t="shared" ca="1" si="1659"/>
        <v>2264187.6200811365</v>
      </c>
      <c r="AX1695" s="2">
        <f t="shared" ca="1" si="1660"/>
        <v>2533583.4676515874</v>
      </c>
      <c r="AY1695" s="2">
        <f t="shared" ca="1" si="1661"/>
        <v>2820483.2324481797</v>
      </c>
      <c r="AZ1695" s="2">
        <f t="shared" ca="1" si="1662"/>
        <v>3126024.2264266158</v>
      </c>
      <c r="BA1695" s="2">
        <f t="shared" ca="1" si="1663"/>
        <v>59341410.955116645</v>
      </c>
      <c r="BB1695" s="2">
        <f t="shared" ca="1" si="1664"/>
        <v>1186828.2191023328</v>
      </c>
      <c r="BC1695" s="2">
        <f t="shared" ca="1" si="1665"/>
        <v>29896669.503691159</v>
      </c>
      <c r="BD1695" s="2">
        <f t="shared" ca="1" si="1666"/>
        <v>-20516021.872895569</v>
      </c>
      <c r="BE1695" s="2">
        <f t="shared" ca="1" si="1667"/>
        <v>1967092.541536137</v>
      </c>
      <c r="BF1695" s="2">
        <f t="shared" ca="1" si="1668"/>
        <v>2264187.6200811365</v>
      </c>
      <c r="BG1695" s="2">
        <f t="shared" ca="1" si="1669"/>
        <v>2533583.4676515874</v>
      </c>
      <c r="BH1695" s="2">
        <f t="shared" ca="1" si="1670"/>
        <v>2820483.2324481797</v>
      </c>
      <c r="BI1695" s="2">
        <f t="shared" ca="1" si="1671"/>
        <v>33022693.730117775</v>
      </c>
      <c r="BJ1695" s="2">
        <f t="shared" ca="1" si="1672"/>
        <v>0.18282858709456251</v>
      </c>
      <c r="BK1695" s="2">
        <f t="shared" ca="1" si="1673"/>
        <v>5379093.2849900275</v>
      </c>
    </row>
    <row r="1696" spans="1:63" x14ac:dyDescent="0.3">
      <c r="A1696" s="2">
        <v>1695</v>
      </c>
      <c r="B1696" s="2">
        <f t="shared" ca="1" si="1612"/>
        <v>0.39221600625019659</v>
      </c>
      <c r="C1696" s="2">
        <f t="shared" ca="1" si="1613"/>
        <v>6.8856816654421573</v>
      </c>
      <c r="D1696" s="2">
        <f t="shared" ca="1" si="1614"/>
        <v>0.83754477578008246</v>
      </c>
      <c r="E1696" s="2">
        <f t="shared" ca="1" si="1615"/>
        <v>7.9299908347755848</v>
      </c>
      <c r="F1696" s="2">
        <f t="shared" ca="1" si="1616"/>
        <v>0.41759929609185042</v>
      </c>
      <c r="G1696" s="2">
        <f t="shared" ca="1" si="1617"/>
        <v>3.3758832931565376E-2</v>
      </c>
      <c r="H1696" s="2">
        <f t="shared" ca="1" si="1618"/>
        <v>3.3758832931565376E-2</v>
      </c>
      <c r="I1696" s="2">
        <f t="shared" ca="1" si="1619"/>
        <v>0.55772239727194661</v>
      </c>
      <c r="J1696" s="2">
        <f t="shared" ca="1" si="1620"/>
        <v>1.0725985817156867E-2</v>
      </c>
      <c r="K1696" s="2">
        <f t="shared" ca="1" si="1621"/>
        <v>1.0725985817156867E-2</v>
      </c>
      <c r="L1696" s="2">
        <f t="shared" ca="1" si="1622"/>
        <v>0.27928342905446346</v>
      </c>
      <c r="M1696" s="2">
        <f t="shared" ca="1" si="1623"/>
        <v>-1.1699430659625547E-2</v>
      </c>
      <c r="N1696" s="2">
        <f t="shared" ca="1" si="1624"/>
        <v>-1.1699430659625547E-2</v>
      </c>
      <c r="O1696" s="2">
        <f t="shared" si="1625"/>
        <v>6000000</v>
      </c>
      <c r="P1696" s="2">
        <f t="shared" ca="1" si="1626"/>
        <v>41314089.992652945</v>
      </c>
      <c r="Q1696" s="2">
        <f t="shared" ca="1" si="1627"/>
        <v>1032852.2498163236</v>
      </c>
      <c r="R1696" s="2">
        <f t="shared" ca="1" si="1628"/>
        <v>24788453.995591767</v>
      </c>
      <c r="S1696" s="2">
        <f t="shared" ca="1" si="1629"/>
        <v>16525635.997061178</v>
      </c>
      <c r="T1696" s="2">
        <f t="shared" ca="1" si="1630"/>
        <v>49415028.467018723</v>
      </c>
      <c r="U1696" s="2">
        <f t="shared" ca="1" si="1631"/>
        <v>51083222.157345362</v>
      </c>
      <c r="V1696" s="2">
        <f t="shared" ca="1" si="1632"/>
        <v>52807732.119761229</v>
      </c>
      <c r="W1696" s="2">
        <f t="shared" ca="1" si="1633"/>
        <v>54590459.525887109</v>
      </c>
      <c r="X1696" s="2">
        <f t="shared" ca="1" si="1634"/>
        <v>56433369.728678919</v>
      </c>
      <c r="Y1696" s="2">
        <f t="shared" ca="1" si="1635"/>
        <v>0.12536299290857844</v>
      </c>
      <c r="Z1696" s="2">
        <f t="shared" ca="1" si="1636"/>
        <v>0.12750819007200981</v>
      </c>
      <c r="AA1696" s="2">
        <f t="shared" ca="1" si="1637"/>
        <v>6194815.8632880701</v>
      </c>
      <c r="AB1696" s="2">
        <f t="shared" ca="1" si="1638"/>
        <v>6513529.2003294956</v>
      </c>
      <c r="AC1696" s="2">
        <f t="shared" ca="1" si="1639"/>
        <v>6733418.3443982918</v>
      </c>
      <c r="AD1696" s="2">
        <f t="shared" ca="1" si="1640"/>
        <v>6960730.6893451717</v>
      </c>
      <c r="AE1696" s="2">
        <f t="shared" ca="1" si="1641"/>
        <v>7195716.8337683966</v>
      </c>
      <c r="AF1696" s="2">
        <f t="shared" ca="1" si="1642"/>
        <v>988300.56934037444</v>
      </c>
      <c r="AG1696" s="2">
        <f t="shared" ca="1" si="1643"/>
        <v>1021664.4431469073</v>
      </c>
      <c r="AH1696" s="2">
        <f t="shared" ca="1" si="1644"/>
        <v>1056154.6423952247</v>
      </c>
      <c r="AI1696" s="2">
        <f t="shared" ca="1" si="1645"/>
        <v>1091809.1905177422</v>
      </c>
      <c r="AJ1696" s="2">
        <f t="shared" ca="1" si="1646"/>
        <v>1128667.3945735784</v>
      </c>
      <c r="AK1696" s="2">
        <f t="shared" ca="1" si="1647"/>
        <v>0</v>
      </c>
      <c r="AL1696" s="2">
        <f t="shared" ca="1" si="1648"/>
        <v>16681.936903266385</v>
      </c>
      <c r="AM1696" s="2">
        <f t="shared" ca="1" si="1649"/>
        <v>17245.099624158665</v>
      </c>
      <c r="AN1696" s="2">
        <f t="shared" ca="1" si="1650"/>
        <v>17827.27406125881</v>
      </c>
      <c r="AO1696" s="2">
        <f t="shared" ca="1" si="1651"/>
        <v>18429.102027918099</v>
      </c>
      <c r="AP1696" s="2">
        <f t="shared" ca="1" si="1652"/>
        <v>2230960.8596032588</v>
      </c>
      <c r="AQ1696" s="2">
        <f t="shared" ca="1" si="1653"/>
        <v>773644.15292955365</v>
      </c>
      <c r="AR1696" s="2">
        <f t="shared" ca="1" si="1654"/>
        <v>847835.01337062579</v>
      </c>
      <c r="AS1696" s="2">
        <f t="shared" ca="1" si="1655"/>
        <v>896038.7390239503</v>
      </c>
      <c r="AT1696" s="2">
        <f t="shared" ca="1" si="1656"/>
        <v>945869.76619828446</v>
      </c>
      <c r="AU1696" s="2">
        <f t="shared" ca="1" si="1657"/>
        <v>997383.03069380543</v>
      </c>
      <c r="AV1696" s="2">
        <f t="shared" ca="1" si="1658"/>
        <v>2201910.2814148832</v>
      </c>
      <c r="AW1696" s="2">
        <f t="shared" ca="1" si="1659"/>
        <v>2396386.9473054381</v>
      </c>
      <c r="AX1696" s="2">
        <f t="shared" ca="1" si="1660"/>
        <v>2533019.0037516998</v>
      </c>
      <c r="AY1696" s="2">
        <f t="shared" ca="1" si="1661"/>
        <v>2674263.5989646269</v>
      </c>
      <c r="AZ1696" s="2">
        <f t="shared" ca="1" si="1662"/>
        <v>2820276.4468698353</v>
      </c>
      <c r="BA1696" s="2">
        <f t="shared" ca="1" si="1663"/>
        <v>57061968.541423775</v>
      </c>
      <c r="BB1696" s="2">
        <f t="shared" ca="1" si="1664"/>
        <v>1141239.3708284756</v>
      </c>
      <c r="BC1696" s="2">
        <f t="shared" ca="1" si="1665"/>
        <v>31132275.175003532</v>
      </c>
      <c r="BD1696" s="2">
        <f t="shared" ca="1" si="1666"/>
        <v>-18058488.246877503</v>
      </c>
      <c r="BE1696" s="2">
        <f t="shared" ca="1" si="1667"/>
        <v>2201910.2814148832</v>
      </c>
      <c r="BF1696" s="2">
        <f t="shared" ca="1" si="1668"/>
        <v>2396386.9473054381</v>
      </c>
      <c r="BG1696" s="2">
        <f t="shared" ca="1" si="1669"/>
        <v>2533019.0037516998</v>
      </c>
      <c r="BH1696" s="2">
        <f t="shared" ca="1" si="1670"/>
        <v>2674263.5989646269</v>
      </c>
      <c r="BI1696" s="2">
        <f t="shared" ca="1" si="1671"/>
        <v>33952551.621873364</v>
      </c>
      <c r="BJ1696" s="2">
        <f t="shared" ca="1" si="1672"/>
        <v>0.22843058696410856</v>
      </c>
      <c r="BK1696" s="2">
        <f t="shared" ca="1" si="1673"/>
        <v>8585973.4466409124</v>
      </c>
    </row>
    <row r="1697" spans="1:63" x14ac:dyDescent="0.3">
      <c r="A1697" s="2">
        <v>1696</v>
      </c>
      <c r="B1697" s="2">
        <f t="shared" ca="1" si="1612"/>
        <v>0.89631493138687568</v>
      </c>
      <c r="C1697" s="2">
        <f t="shared" ca="1" si="1613"/>
        <v>7.5446208862648083</v>
      </c>
      <c r="D1697" s="2">
        <f t="shared" ca="1" si="1614"/>
        <v>0.1734010136445937</v>
      </c>
      <c r="E1697" s="2">
        <f t="shared" ca="1" si="1615"/>
        <v>7.0888989958296644</v>
      </c>
      <c r="F1697" s="2">
        <f t="shared" ca="1" si="1616"/>
        <v>0.63721406981156559</v>
      </c>
      <c r="G1697" s="2">
        <f t="shared" ca="1" si="1617"/>
        <v>5.0530659332041178E-2</v>
      </c>
      <c r="H1697" s="2">
        <f t="shared" ca="1" si="1618"/>
        <v>5.0530659332041178E-2</v>
      </c>
      <c r="I1697" s="2">
        <f t="shared" ca="1" si="1619"/>
        <v>0.15766671047107073</v>
      </c>
      <c r="J1697" s="2">
        <f t="shared" ca="1" si="1620"/>
        <v>4.9795311800898264E-3</v>
      </c>
      <c r="K1697" s="2">
        <f t="shared" ca="1" si="1621"/>
        <v>4.9795311800898264E-3</v>
      </c>
      <c r="L1697" s="2">
        <f t="shared" ca="1" si="1622"/>
        <v>0.92113660915856432</v>
      </c>
      <c r="M1697" s="2">
        <f t="shared" ca="1" si="1623"/>
        <v>2.8255167457591556E-2</v>
      </c>
      <c r="N1697" s="2">
        <f t="shared" ca="1" si="1624"/>
        <v>2.8255167457591556E-2</v>
      </c>
      <c r="O1697" s="2">
        <f t="shared" si="1625"/>
        <v>6000000</v>
      </c>
      <c r="P1697" s="2">
        <f t="shared" ca="1" si="1626"/>
        <v>45267725.317588851</v>
      </c>
      <c r="Q1697" s="2">
        <f t="shared" ca="1" si="1627"/>
        <v>1131693.1329397212</v>
      </c>
      <c r="R1697" s="2">
        <f t="shared" ca="1" si="1628"/>
        <v>27160635.190553311</v>
      </c>
      <c r="S1697" s="2">
        <f t="shared" ca="1" si="1629"/>
        <v>18107090.12703554</v>
      </c>
      <c r="T1697" s="2">
        <f t="shared" ca="1" si="1630"/>
        <v>51412758.372879572</v>
      </c>
      <c r="U1697" s="2">
        <f t="shared" ca="1" si="1631"/>
        <v>54010678.951540098</v>
      </c>
      <c r="V1697" s="2">
        <f t="shared" ca="1" si="1632"/>
        <v>56739874.169932619</v>
      </c>
      <c r="W1697" s="2">
        <f t="shared" ca="1" si="1633"/>
        <v>59606977.422156364</v>
      </c>
      <c r="X1697" s="2">
        <f t="shared" ca="1" si="1634"/>
        <v>62618957.292088017</v>
      </c>
      <c r="Y1697" s="2">
        <f t="shared" ca="1" si="1635"/>
        <v>0.1224897655900449</v>
      </c>
      <c r="Z1697" s="2">
        <f t="shared" ca="1" si="1636"/>
        <v>0.12348567182606288</v>
      </c>
      <c r="AA1697" s="2">
        <f t="shared" ca="1" si="1637"/>
        <v>6297536.7214316372</v>
      </c>
      <c r="AB1697" s="2">
        <f t="shared" ca="1" si="1638"/>
        <v>6669544.9761127224</v>
      </c>
      <c r="AC1697" s="2">
        <f t="shared" ca="1" si="1639"/>
        <v>7006561.4812004007</v>
      </c>
      <c r="AD1697" s="2">
        <f t="shared" ca="1" si="1640"/>
        <v>7360607.6524959402</v>
      </c>
      <c r="AE1697" s="2">
        <f t="shared" ca="1" si="1641"/>
        <v>7732544.0102610281</v>
      </c>
      <c r="AF1697" s="2">
        <f t="shared" ca="1" si="1642"/>
        <v>1028255.1674575915</v>
      </c>
      <c r="AG1697" s="2">
        <f t="shared" ca="1" si="1643"/>
        <v>1080213.579030802</v>
      </c>
      <c r="AH1697" s="2">
        <f t="shared" ca="1" si="1644"/>
        <v>1134797.4833986524</v>
      </c>
      <c r="AI1697" s="2">
        <f t="shared" ca="1" si="1645"/>
        <v>1192139.5484431272</v>
      </c>
      <c r="AJ1697" s="2">
        <f t="shared" ca="1" si="1646"/>
        <v>1252379.1458417603</v>
      </c>
      <c r="AK1697" s="2">
        <f t="shared" ca="1" si="1647"/>
        <v>0</v>
      </c>
      <c r="AL1697" s="2">
        <f t="shared" ca="1" si="1648"/>
        <v>25979.205786605253</v>
      </c>
      <c r="AM1697" s="2">
        <f t="shared" ca="1" si="1649"/>
        <v>27291.952183925212</v>
      </c>
      <c r="AN1697" s="2">
        <f t="shared" ca="1" si="1650"/>
        <v>28671.032522237452</v>
      </c>
      <c r="AO1697" s="2">
        <f t="shared" ca="1" si="1651"/>
        <v>30119.798699316532</v>
      </c>
      <c r="AP1697" s="2">
        <f t="shared" ca="1" si="1652"/>
        <v>2444457.167149798</v>
      </c>
      <c r="AQ1697" s="2">
        <f t="shared" ca="1" si="1653"/>
        <v>734454.34057430434</v>
      </c>
      <c r="AR1697" s="2">
        <f t="shared" ca="1" si="1654"/>
        <v>817667.29978235194</v>
      </c>
      <c r="AS1697" s="2">
        <f t="shared" ca="1" si="1655"/>
        <v>891099.77596950706</v>
      </c>
      <c r="AT1697" s="2">
        <f t="shared" ca="1" si="1656"/>
        <v>968242.84359478392</v>
      </c>
      <c r="AU1697" s="2">
        <f t="shared" ca="1" si="1657"/>
        <v>1049284.0012900622</v>
      </c>
      <c r="AV1697" s="2">
        <f t="shared" ca="1" si="1658"/>
        <v>2090370.0462499429</v>
      </c>
      <c r="AW1697" s="2">
        <f t="shared" ca="1" si="1659"/>
        <v>2301227.7243631659</v>
      </c>
      <c r="AX1697" s="2">
        <f t="shared" ca="1" si="1660"/>
        <v>2508915.1024985174</v>
      </c>
      <c r="AY1697" s="2">
        <f t="shared" ca="1" si="1661"/>
        <v>2727097.060785993</v>
      </c>
      <c r="AZ1697" s="2">
        <f t="shared" ca="1" si="1662"/>
        <v>2956303.8972800905</v>
      </c>
      <c r="BA1697" s="2">
        <f t="shared" ca="1" si="1663"/>
        <v>54815223.469548091</v>
      </c>
      <c r="BB1697" s="2">
        <f t="shared" ca="1" si="1664"/>
        <v>1096304.4693909618</v>
      </c>
      <c r="BC1697" s="2">
        <f t="shared" ca="1" si="1665"/>
        <v>26558283.809603818</v>
      </c>
      <c r="BD1697" s="2">
        <f t="shared" ca="1" si="1666"/>
        <v>-19738783.259975262</v>
      </c>
      <c r="BE1697" s="2">
        <f t="shared" ca="1" si="1667"/>
        <v>2090370.0462499429</v>
      </c>
      <c r="BF1697" s="2">
        <f t="shared" ca="1" si="1668"/>
        <v>2301227.7243631659</v>
      </c>
      <c r="BG1697" s="2">
        <f t="shared" ca="1" si="1669"/>
        <v>2508915.1024985174</v>
      </c>
      <c r="BH1697" s="2">
        <f t="shared" ca="1" si="1670"/>
        <v>2727097.060785993</v>
      </c>
      <c r="BI1697" s="2">
        <f t="shared" ca="1" si="1671"/>
        <v>29514587.706883907</v>
      </c>
      <c r="BJ1697" s="2">
        <f t="shared" ca="1" si="1672"/>
        <v>0.17302046493285483</v>
      </c>
      <c r="BK1697" s="2">
        <f t="shared" ca="1" si="1673"/>
        <v>4228428.6171879321</v>
      </c>
    </row>
    <row r="1698" spans="1:63" x14ac:dyDescent="0.3">
      <c r="A1698" s="2">
        <v>1697</v>
      </c>
      <c r="B1698" s="2">
        <f t="shared" ca="1" si="1612"/>
        <v>0.43259558143074694</v>
      </c>
      <c r="C1698" s="2">
        <f t="shared" ca="1" si="1613"/>
        <v>6.9301565260005944</v>
      </c>
      <c r="D1698" s="2">
        <f t="shared" ca="1" si="1614"/>
        <v>0.21371814788667298</v>
      </c>
      <c r="E1698" s="2">
        <f t="shared" ca="1" si="1615"/>
        <v>7.1537861238764142</v>
      </c>
      <c r="F1698" s="2">
        <f t="shared" ca="1" si="1616"/>
        <v>0.19982589801610851</v>
      </c>
      <c r="G1698" s="2">
        <f t="shared" ca="1" si="1617"/>
        <v>1.4732701786462639E-2</v>
      </c>
      <c r="H1698" s="2">
        <f t="shared" ca="1" si="1618"/>
        <v>1.4732701786462639E-2</v>
      </c>
      <c r="I1698" s="2">
        <f t="shared" ca="1" si="1619"/>
        <v>0.87838794706026102</v>
      </c>
      <c r="J1698" s="2">
        <f t="shared" ca="1" si="1620"/>
        <v>1.5834829931963185E-2</v>
      </c>
      <c r="K1698" s="2">
        <f t="shared" ca="1" si="1621"/>
        <v>1.5834829931963185E-2</v>
      </c>
      <c r="L1698" s="2">
        <f t="shared" ca="1" si="1622"/>
        <v>8.3555226828001761E-2</v>
      </c>
      <c r="M1698" s="2">
        <f t="shared" ca="1" si="1623"/>
        <v>-2.7630964960140211E-2</v>
      </c>
      <c r="N1698" s="2">
        <f t="shared" ca="1" si="1624"/>
        <v>-2.7630964960140211E-2</v>
      </c>
      <c r="O1698" s="2">
        <f t="shared" si="1625"/>
        <v>6000000</v>
      </c>
      <c r="P1698" s="2">
        <f t="shared" ca="1" si="1626"/>
        <v>41580939.156003565</v>
      </c>
      <c r="Q1698" s="2">
        <f t="shared" ca="1" si="1627"/>
        <v>1039523.4789000892</v>
      </c>
      <c r="R1698" s="2">
        <f t="shared" ca="1" si="1628"/>
        <v>24948563.493602138</v>
      </c>
      <c r="S1698" s="2">
        <f t="shared" ca="1" si="1629"/>
        <v>16632375.662401427</v>
      </c>
      <c r="T1698" s="2">
        <f t="shared" ca="1" si="1630"/>
        <v>48618451.751992993</v>
      </c>
      <c r="U1698" s="2">
        <f t="shared" ca="1" si="1631"/>
        <v>49334732.902974628</v>
      </c>
      <c r="V1698" s="2">
        <f t="shared" ca="1" si="1632"/>
        <v>50061566.810548939</v>
      </c>
      <c r="W1698" s="2">
        <f t="shared" ca="1" si="1633"/>
        <v>50799108.945331834</v>
      </c>
      <c r="X1698" s="2">
        <f t="shared" ca="1" si="1634"/>
        <v>51547517.068441436</v>
      </c>
      <c r="Y1698" s="2">
        <f t="shared" ca="1" si="1635"/>
        <v>0.12791741496598158</v>
      </c>
      <c r="Z1698" s="2">
        <f t="shared" ca="1" si="1636"/>
        <v>0.13108438095237424</v>
      </c>
      <c r="AA1698" s="2">
        <f t="shared" ca="1" si="1637"/>
        <v>6219146.6677632416</v>
      </c>
      <c r="AB1698" s="2">
        <f t="shared" ca="1" si="1638"/>
        <v>6467012.9220371582</v>
      </c>
      <c r="AC1698" s="2">
        <f t="shared" ca="1" si="1639"/>
        <v>6562289.4948667316</v>
      </c>
      <c r="AD1698" s="2">
        <f t="shared" ca="1" si="1640"/>
        <v>6658969.7490310399</v>
      </c>
      <c r="AE1698" s="2">
        <f t="shared" ca="1" si="1641"/>
        <v>6757074.36454859</v>
      </c>
      <c r="AF1698" s="2">
        <f t="shared" ca="1" si="1642"/>
        <v>972369.03503985982</v>
      </c>
      <c r="AG1698" s="2">
        <f t="shared" ca="1" si="1643"/>
        <v>986694.65805949259</v>
      </c>
      <c r="AH1698" s="2">
        <f t="shared" ca="1" si="1644"/>
        <v>1001231.3362109788</v>
      </c>
      <c r="AI1698" s="2">
        <f t="shared" ca="1" si="1645"/>
        <v>1015982.1789066367</v>
      </c>
      <c r="AJ1698" s="2">
        <f t="shared" ca="1" si="1646"/>
        <v>1030950.3413688288</v>
      </c>
      <c r="AK1698" s="2">
        <f t="shared" ca="1" si="1647"/>
        <v>0</v>
      </c>
      <c r="AL1698" s="2">
        <f t="shared" ca="1" si="1648"/>
        <v>7162.8115098163489</v>
      </c>
      <c r="AM1698" s="2">
        <f t="shared" ca="1" si="1649"/>
        <v>7268.3390757431089</v>
      </c>
      <c r="AN1698" s="2">
        <f t="shared" ca="1" si="1650"/>
        <v>7375.4213478289548</v>
      </c>
      <c r="AO1698" s="2">
        <f t="shared" ca="1" si="1651"/>
        <v>7484.0812310960146</v>
      </c>
      <c r="AP1698" s="2">
        <f t="shared" ca="1" si="1652"/>
        <v>2245370.7144241924</v>
      </c>
      <c r="AQ1698" s="2">
        <f t="shared" ca="1" si="1653"/>
        <v>780365.79875778919</v>
      </c>
      <c r="AR1698" s="2">
        <f t="shared" ca="1" si="1654"/>
        <v>841086.36288390297</v>
      </c>
      <c r="AS1698" s="2">
        <f t="shared" ca="1" si="1655"/>
        <v>862078.73550020566</v>
      </c>
      <c r="AT1698" s="2">
        <f t="shared" ca="1" si="1656"/>
        <v>883380.38248205488</v>
      </c>
      <c r="AU1698" s="2">
        <f t="shared" ca="1" si="1657"/>
        <v>904995.86027644784</v>
      </c>
      <c r="AV1698" s="2">
        <f t="shared" ca="1" si="1658"/>
        <v>2221041.1195413996</v>
      </c>
      <c r="AW1698" s="2">
        <f t="shared" ca="1" si="1659"/>
        <v>2386698.375159754</v>
      </c>
      <c r="AX1698" s="2">
        <f t="shared" ca="1" si="1660"/>
        <v>2446340.3696556115</v>
      </c>
      <c r="AY1698" s="2">
        <f t="shared" ca="1" si="1661"/>
        <v>2506861.0518703279</v>
      </c>
      <c r="AZ1698" s="2">
        <f t="shared" ca="1" si="1662"/>
        <v>2568273.3672480253</v>
      </c>
      <c r="BA1698" s="2">
        <f t="shared" ca="1" si="1663"/>
        <v>48338664.827108741</v>
      </c>
      <c r="BB1698" s="2">
        <f t="shared" ca="1" si="1664"/>
        <v>966773.29654217488</v>
      </c>
      <c r="BC1698" s="2">
        <f t="shared" ca="1" si="1665"/>
        <v>22423328.036964428</v>
      </c>
      <c r="BD1698" s="2">
        <f t="shared" ca="1" si="1666"/>
        <v>-18171899.141301516</v>
      </c>
      <c r="BE1698" s="2">
        <f t="shared" ca="1" si="1667"/>
        <v>2221041.1195413996</v>
      </c>
      <c r="BF1698" s="2">
        <f t="shared" ca="1" si="1668"/>
        <v>2386698.375159754</v>
      </c>
      <c r="BG1698" s="2">
        <f t="shared" ca="1" si="1669"/>
        <v>2446340.3696556115</v>
      </c>
      <c r="BH1698" s="2">
        <f t="shared" ca="1" si="1670"/>
        <v>2506861.0518703279</v>
      </c>
      <c r="BI1698" s="2">
        <f t="shared" ca="1" si="1671"/>
        <v>24991601.404212452</v>
      </c>
      <c r="BJ1698" s="2">
        <f t="shared" ca="1" si="1672"/>
        <v>0.16574122032833372</v>
      </c>
      <c r="BK1698" s="2">
        <f t="shared" ca="1" si="1673"/>
        <v>3229152.6963255368</v>
      </c>
    </row>
    <row r="1699" spans="1:63" x14ac:dyDescent="0.3">
      <c r="A1699" s="2">
        <v>1698</v>
      </c>
      <c r="B1699" s="2">
        <f t="shared" ca="1" si="1612"/>
        <v>0.70670998208647118</v>
      </c>
      <c r="C1699" s="2">
        <f t="shared" ca="1" si="1613"/>
        <v>7.2341148677333802</v>
      </c>
      <c r="D1699" s="2">
        <f t="shared" ca="1" si="1614"/>
        <v>0.88217071222447818</v>
      </c>
      <c r="E1699" s="2">
        <f t="shared" ca="1" si="1615"/>
        <v>8.0145532206811509</v>
      </c>
      <c r="F1699" s="2">
        <f t="shared" ca="1" si="1616"/>
        <v>0.31578923297412309</v>
      </c>
      <c r="G1699" s="2">
        <f t="shared" ca="1" si="1617"/>
        <v>2.5614810093655672E-2</v>
      </c>
      <c r="H1699" s="2">
        <f t="shared" ca="1" si="1618"/>
        <v>2.5614810093655672E-2</v>
      </c>
      <c r="I1699" s="2">
        <f t="shared" ca="1" si="1619"/>
        <v>0.9662224647390848</v>
      </c>
      <c r="J1699" s="2">
        <f t="shared" ca="1" si="1620"/>
        <v>1.9139816142354465E-2</v>
      </c>
      <c r="K1699" s="2">
        <f t="shared" ca="1" si="1621"/>
        <v>1.9139816142354465E-2</v>
      </c>
      <c r="L1699" s="2">
        <f t="shared" ca="1" si="1622"/>
        <v>0.78744664871631265</v>
      </c>
      <c r="M1699" s="2">
        <f t="shared" ca="1" si="1623"/>
        <v>1.5951860411544512E-2</v>
      </c>
      <c r="N1699" s="2">
        <f t="shared" ca="1" si="1624"/>
        <v>1.5951860411544512E-2</v>
      </c>
      <c r="O1699" s="2">
        <f t="shared" si="1625"/>
        <v>6000000</v>
      </c>
      <c r="P1699" s="2">
        <f t="shared" ca="1" si="1626"/>
        <v>43404689.206400283</v>
      </c>
      <c r="Q1699" s="2">
        <f t="shared" ca="1" si="1627"/>
        <v>1085117.230160007</v>
      </c>
      <c r="R1699" s="2">
        <f t="shared" ca="1" si="1628"/>
        <v>26042813.52384017</v>
      </c>
      <c r="S1699" s="2">
        <f t="shared" ca="1" si="1629"/>
        <v>17361875.682560112</v>
      </c>
      <c r="T1699" s="2">
        <f t="shared" ca="1" si="1630"/>
        <v>50797593.020577222</v>
      </c>
      <c r="U1699" s="2">
        <f t="shared" ca="1" si="1631"/>
        <v>52098763.719014123</v>
      </c>
      <c r="V1699" s="2">
        <f t="shared" ca="1" si="1632"/>
        <v>53433263.657790914</v>
      </c>
      <c r="W1699" s="2">
        <f t="shared" ca="1" si="1633"/>
        <v>54801946.559069462</v>
      </c>
      <c r="X1699" s="2">
        <f t="shared" ca="1" si="1634"/>
        <v>56205688.012942694</v>
      </c>
      <c r="Y1699" s="2">
        <f t="shared" ca="1" si="1635"/>
        <v>0.12956990807117724</v>
      </c>
      <c r="Z1699" s="2">
        <f t="shared" ca="1" si="1636"/>
        <v>0.13339787129964811</v>
      </c>
      <c r="AA1699" s="2">
        <f t="shared" ca="1" si="1637"/>
        <v>6581839.4579132656</v>
      </c>
      <c r="AB1699" s="2">
        <f t="shared" ca="1" si="1638"/>
        <v>6949864.177459822</v>
      </c>
      <c r="AC1699" s="2">
        <f t="shared" ca="1" si="1639"/>
        <v>7127883.6285421569</v>
      </c>
      <c r="AD1699" s="2">
        <f t="shared" ca="1" si="1640"/>
        <v>7310463.0140569415</v>
      </c>
      <c r="AE1699" s="2">
        <f t="shared" ca="1" si="1641"/>
        <v>7497719.1358587043</v>
      </c>
      <c r="AF1699" s="2">
        <f t="shared" ca="1" si="1642"/>
        <v>1015951.8604115444</v>
      </c>
      <c r="AG1699" s="2">
        <f t="shared" ca="1" si="1643"/>
        <v>1041975.2743802825</v>
      </c>
      <c r="AH1699" s="2">
        <f t="shared" ca="1" si="1644"/>
        <v>1068665.2731558182</v>
      </c>
      <c r="AI1699" s="2">
        <f t="shared" ca="1" si="1645"/>
        <v>1096038.9311813894</v>
      </c>
      <c r="AJ1699" s="2">
        <f t="shared" ca="1" si="1646"/>
        <v>1124113.7602588539</v>
      </c>
      <c r="AK1699" s="2">
        <f t="shared" ca="1" si="1647"/>
        <v>0</v>
      </c>
      <c r="AL1699" s="2">
        <f t="shared" ca="1" si="1648"/>
        <v>13011.70698436901</v>
      </c>
      <c r="AM1699" s="2">
        <f t="shared" ca="1" si="1649"/>
        <v>13344.999387767912</v>
      </c>
      <c r="AN1699" s="2">
        <f t="shared" ca="1" si="1650"/>
        <v>13686.82901278548</v>
      </c>
      <c r="AO1699" s="2">
        <f t="shared" ca="1" si="1651"/>
        <v>14037.414538732321</v>
      </c>
      <c r="AP1699" s="2">
        <f t="shared" ca="1" si="1652"/>
        <v>2343853.2171456153</v>
      </c>
      <c r="AQ1699" s="2">
        <f t="shared" ca="1" si="1653"/>
        <v>837728.93889258755</v>
      </c>
      <c r="AR1699" s="2">
        <f t="shared" ca="1" si="1654"/>
        <v>926649.27834282035</v>
      </c>
      <c r="AS1699" s="2">
        <f t="shared" ca="1" si="1655"/>
        <v>965994.93594258826</v>
      </c>
      <c r="AT1699" s="2">
        <f t="shared" ca="1" si="1656"/>
        <v>1006348.4250897835</v>
      </c>
      <c r="AU1699" s="2">
        <f t="shared" ca="1" si="1657"/>
        <v>1047735.561198101</v>
      </c>
      <c r="AV1699" s="2">
        <f t="shared" ca="1" si="1658"/>
        <v>2384305.441463518</v>
      </c>
      <c r="AW1699" s="2">
        <f t="shared" ca="1" si="1659"/>
        <v>2624374.7006067345</v>
      </c>
      <c r="AX1699" s="2">
        <f t="shared" ca="1" si="1660"/>
        <v>2736025.2029103674</v>
      </c>
      <c r="AY1699" s="2">
        <f t="shared" ca="1" si="1661"/>
        <v>2850535.6116273673</v>
      </c>
      <c r="AZ1699" s="2">
        <f t="shared" ca="1" si="1662"/>
        <v>2967979.1827174006</v>
      </c>
      <c r="BA1699" s="2">
        <f t="shared" ca="1" si="1663"/>
        <v>60090869.048059076</v>
      </c>
      <c r="BB1699" s="2">
        <f t="shared" ca="1" si="1664"/>
        <v>1201817.3809611816</v>
      </c>
      <c r="BC1699" s="2">
        <f t="shared" ca="1" si="1665"/>
        <v>32846238.143257722</v>
      </c>
      <c r="BD1699" s="2">
        <f t="shared" ca="1" si="1666"/>
        <v>-18946992.912720118</v>
      </c>
      <c r="BE1699" s="2">
        <f t="shared" ca="1" si="1667"/>
        <v>2384305.441463518</v>
      </c>
      <c r="BF1699" s="2">
        <f t="shared" ca="1" si="1668"/>
        <v>2624374.7006067345</v>
      </c>
      <c r="BG1699" s="2">
        <f t="shared" ca="1" si="1669"/>
        <v>2736025.2029103674</v>
      </c>
      <c r="BH1699" s="2">
        <f t="shared" ca="1" si="1670"/>
        <v>2850535.6116273673</v>
      </c>
      <c r="BI1699" s="2">
        <f t="shared" ca="1" si="1671"/>
        <v>35814217.32597512</v>
      </c>
      <c r="BJ1699" s="2">
        <f t="shared" ca="1" si="1672"/>
        <v>0.23257318683536687</v>
      </c>
      <c r="BK1699" s="2">
        <f t="shared" ca="1" si="1673"/>
        <v>9354951.0137450993</v>
      </c>
    </row>
    <row r="1700" spans="1:63" x14ac:dyDescent="0.3">
      <c r="A1700" s="2">
        <v>1699</v>
      </c>
      <c r="B1700" s="2">
        <f t="shared" ca="1" si="1612"/>
        <v>0.67578781296423696</v>
      </c>
      <c r="C1700" s="2">
        <f t="shared" ca="1" si="1613"/>
        <v>7.1947519797779531</v>
      </c>
      <c r="D1700" s="2">
        <f t="shared" ca="1" si="1614"/>
        <v>3.3634520228809084E-3</v>
      </c>
      <c r="E1700" s="2">
        <f t="shared" ca="1" si="1615"/>
        <v>6.5820177056845761</v>
      </c>
      <c r="F1700" s="2">
        <f t="shared" ca="1" si="1616"/>
        <v>0.17255960360497669</v>
      </c>
      <c r="G1700" s="2">
        <f t="shared" ca="1" si="1617"/>
        <v>1.1677038624972581E-2</v>
      </c>
      <c r="H1700" s="2">
        <f t="shared" ca="1" si="1618"/>
        <v>1.1677038624972581E-2</v>
      </c>
      <c r="I1700" s="2">
        <f t="shared" ca="1" si="1619"/>
        <v>0.40760452176797146</v>
      </c>
      <c r="J1700" s="2">
        <f t="shared" ca="1" si="1620"/>
        <v>8.8314430426749829E-3</v>
      </c>
      <c r="K1700" s="2">
        <f t="shared" ca="1" si="1621"/>
        <v>8.8314430426749829E-3</v>
      </c>
      <c r="L1700" s="2">
        <f t="shared" ca="1" si="1622"/>
        <v>0.58148215244058299</v>
      </c>
      <c r="M1700" s="2">
        <f t="shared" ca="1" si="1623"/>
        <v>4.1137328010590231E-3</v>
      </c>
      <c r="N1700" s="2">
        <f t="shared" ca="1" si="1624"/>
        <v>4.1137328010590231E-3</v>
      </c>
      <c r="O1700" s="2">
        <f t="shared" si="1625"/>
        <v>6000000</v>
      </c>
      <c r="P1700" s="2">
        <f t="shared" ca="1" si="1626"/>
        <v>43168511.87866772</v>
      </c>
      <c r="Q1700" s="2">
        <f t="shared" ca="1" si="1627"/>
        <v>1079212.7969666931</v>
      </c>
      <c r="R1700" s="2">
        <f t="shared" ca="1" si="1628"/>
        <v>25901107.12720063</v>
      </c>
      <c r="S1700" s="2">
        <f t="shared" ca="1" si="1629"/>
        <v>17267404.75146709</v>
      </c>
      <c r="T1700" s="2">
        <f t="shared" ca="1" si="1630"/>
        <v>50205686.640052952</v>
      </c>
      <c r="U1700" s="2">
        <f t="shared" ca="1" si="1631"/>
        <v>50791940.382142119</v>
      </c>
      <c r="V1700" s="2">
        <f t="shared" ca="1" si="1632"/>
        <v>51385039.831821695</v>
      </c>
      <c r="W1700" s="2">
        <f t="shared" ca="1" si="1633"/>
        <v>51985064.926683627</v>
      </c>
      <c r="X1700" s="2">
        <f t="shared" ca="1" si="1634"/>
        <v>52592096.537754215</v>
      </c>
      <c r="Y1700" s="2">
        <f t="shared" ca="1" si="1635"/>
        <v>0.12441572152133748</v>
      </c>
      <c r="Z1700" s="2">
        <f t="shared" ca="1" si="1636"/>
        <v>0.12618201012987248</v>
      </c>
      <c r="AA1700" s="2">
        <f t="shared" ca="1" si="1637"/>
        <v>6246376.7277963618</v>
      </c>
      <c r="AB1700" s="2">
        <f t="shared" ca="1" si="1638"/>
        <v>6409029.1358153364</v>
      </c>
      <c r="AC1700" s="2">
        <f t="shared" ca="1" si="1639"/>
        <v>6483867.6165828267</v>
      </c>
      <c r="AD1700" s="2">
        <f t="shared" ca="1" si="1640"/>
        <v>6559579.9891808722</v>
      </c>
      <c r="AE1700" s="2">
        <f t="shared" ca="1" si="1641"/>
        <v>6636176.4580781339</v>
      </c>
      <c r="AF1700" s="2">
        <f t="shared" ca="1" si="1642"/>
        <v>1004113.732801059</v>
      </c>
      <c r="AG1700" s="2">
        <f t="shared" ca="1" si="1643"/>
        <v>1015838.8076428424</v>
      </c>
      <c r="AH1700" s="2">
        <f t="shared" ca="1" si="1644"/>
        <v>1027700.7966364339</v>
      </c>
      <c r="AI1700" s="2">
        <f t="shared" ca="1" si="1645"/>
        <v>1039701.2985336726</v>
      </c>
      <c r="AJ1700" s="2">
        <f t="shared" ca="1" si="1646"/>
        <v>1051841.9307550844</v>
      </c>
      <c r="AK1700" s="2">
        <f t="shared" ca="1" si="1647"/>
        <v>0</v>
      </c>
      <c r="AL1700" s="2">
        <f t="shared" ca="1" si="1648"/>
        <v>5862.5374208916728</v>
      </c>
      <c r="AM1700" s="2">
        <f t="shared" ca="1" si="1649"/>
        <v>5930.994496795759</v>
      </c>
      <c r="AN1700" s="2">
        <f t="shared" ca="1" si="1650"/>
        <v>6000.2509486193212</v>
      </c>
      <c r="AO1700" s="2">
        <f t="shared" ca="1" si="1651"/>
        <v>6070.3161107058822</v>
      </c>
      <c r="AP1700" s="2">
        <f t="shared" ca="1" si="1652"/>
        <v>2331099.6414480568</v>
      </c>
      <c r="AQ1700" s="2">
        <f t="shared" ca="1" si="1653"/>
        <v>756902.47192228388</v>
      </c>
      <c r="AR1700" s="2">
        <f t="shared" ca="1" si="1654"/>
        <v>796143.57854835363</v>
      </c>
      <c r="AS1700" s="2">
        <f t="shared" ca="1" si="1655"/>
        <v>812517.46640956728</v>
      </c>
      <c r="AT1700" s="2">
        <f t="shared" ca="1" si="1656"/>
        <v>829082.55279177718</v>
      </c>
      <c r="AU1700" s="2">
        <f t="shared" ca="1" si="1657"/>
        <v>845841.07032749814</v>
      </c>
      <c r="AV1700" s="2">
        <f t="shared" ca="1" si="1658"/>
        <v>2154260.8816249617</v>
      </c>
      <c r="AW1700" s="2">
        <f t="shared" ca="1" si="1659"/>
        <v>2260084.5707551925</v>
      </c>
      <c r="AX1700" s="2">
        <f t="shared" ca="1" si="1660"/>
        <v>2306618.7175919726</v>
      </c>
      <c r="AY1700" s="2">
        <f t="shared" ca="1" si="1661"/>
        <v>2353696.2454587468</v>
      </c>
      <c r="AZ1700" s="2">
        <f t="shared" ca="1" si="1662"/>
        <v>2401323.4994367887</v>
      </c>
      <c r="BA1700" s="2">
        <f t="shared" ca="1" si="1663"/>
        <v>43679430.945117436</v>
      </c>
      <c r="BB1700" s="2">
        <f t="shared" ca="1" si="1664"/>
        <v>873588.6189023488</v>
      </c>
      <c r="BC1700" s="2">
        <f t="shared" ca="1" si="1665"/>
        <v>16904735.199014459</v>
      </c>
      <c r="BD1700" s="2">
        <f t="shared" ca="1" si="1666"/>
        <v>-18846617.548433784</v>
      </c>
      <c r="BE1700" s="2">
        <f t="shared" ca="1" si="1667"/>
        <v>2154260.8816249617</v>
      </c>
      <c r="BF1700" s="2">
        <f t="shared" ca="1" si="1668"/>
        <v>2260084.5707551925</v>
      </c>
      <c r="BG1700" s="2">
        <f t="shared" ca="1" si="1669"/>
        <v>2306618.7175919726</v>
      </c>
      <c r="BH1700" s="2">
        <f t="shared" ca="1" si="1670"/>
        <v>2353696.2454587468</v>
      </c>
      <c r="BI1700" s="2">
        <f t="shared" ca="1" si="1671"/>
        <v>19306058.698451247</v>
      </c>
      <c r="BJ1700" s="2">
        <f t="shared" ca="1" si="1672"/>
        <v>0.10443104488656707</v>
      </c>
      <c r="BK1700" s="2">
        <f t="shared" ca="1" si="1673"/>
        <v>-1029046.4090814702</v>
      </c>
    </row>
    <row r="1701" spans="1:63" x14ac:dyDescent="0.3">
      <c r="A1701" s="2">
        <v>1700</v>
      </c>
      <c r="B1701" s="2">
        <f t="shared" ca="1" si="1612"/>
        <v>0.28050848819141672</v>
      </c>
      <c r="C1701" s="2">
        <f t="shared" ca="1" si="1613"/>
        <v>6.7490106650661481</v>
      </c>
      <c r="D1701" s="2">
        <f t="shared" ca="1" si="1614"/>
        <v>0.87471468672206354</v>
      </c>
      <c r="E1701" s="2">
        <f t="shared" ca="1" si="1615"/>
        <v>7.999429698687714</v>
      </c>
      <c r="F1701" s="2">
        <f t="shared" ca="1" si="1616"/>
        <v>9.9584503445990458E-2</v>
      </c>
      <c r="G1701" s="2">
        <f t="shared" ca="1" si="1617"/>
        <v>1.4823192717319869E-3</v>
      </c>
      <c r="H1701" s="2">
        <f t="shared" ca="1" si="1618"/>
        <v>1.4823192717319869E-3</v>
      </c>
      <c r="I1701" s="2">
        <f t="shared" ca="1" si="1619"/>
        <v>0.85588843640621548</v>
      </c>
      <c r="J1701" s="2">
        <f t="shared" ca="1" si="1620"/>
        <v>1.5310138313707965E-2</v>
      </c>
      <c r="K1701" s="2">
        <f t="shared" ca="1" si="1621"/>
        <v>1.5310138313707965E-2</v>
      </c>
      <c r="L1701" s="2">
        <f t="shared" ca="1" si="1622"/>
        <v>0.5143713698705924</v>
      </c>
      <c r="M1701" s="2">
        <f t="shared" ca="1" si="1623"/>
        <v>7.2062953919352867E-4</v>
      </c>
      <c r="N1701" s="2">
        <f t="shared" ca="1" si="1624"/>
        <v>7.2062953919352867E-4</v>
      </c>
      <c r="O1701" s="2">
        <f t="shared" si="1625"/>
        <v>6000000</v>
      </c>
      <c r="P1701" s="2">
        <f t="shared" ca="1" si="1626"/>
        <v>40494063.990396887</v>
      </c>
      <c r="Q1701" s="2">
        <f t="shared" ca="1" si="1627"/>
        <v>1012351.5997599222</v>
      </c>
      <c r="R1701" s="2">
        <f t="shared" ca="1" si="1628"/>
        <v>24296438.394238133</v>
      </c>
      <c r="S1701" s="2">
        <f t="shared" ca="1" si="1629"/>
        <v>16197625.596158756</v>
      </c>
      <c r="T1701" s="2">
        <f t="shared" ca="1" si="1630"/>
        <v>50036031.476959676</v>
      </c>
      <c r="U1701" s="2">
        <f t="shared" ca="1" si="1631"/>
        <v>50110200.850698955</v>
      </c>
      <c r="V1701" s="2">
        <f t="shared" ca="1" si="1632"/>
        <v>50184480.167130306</v>
      </c>
      <c r="W1701" s="2">
        <f t="shared" ca="1" si="1633"/>
        <v>50258869.589223891</v>
      </c>
      <c r="X1701" s="2">
        <f t="shared" ca="1" si="1634"/>
        <v>50333369.280191459</v>
      </c>
      <c r="Y1701" s="2">
        <f t="shared" ca="1" si="1635"/>
        <v>0.12765506915685398</v>
      </c>
      <c r="Z1701" s="2">
        <f t="shared" ca="1" si="1636"/>
        <v>0.13071709681959556</v>
      </c>
      <c r="AA1701" s="2">
        <f t="shared" ca="1" si="1637"/>
        <v>6387353.05852581</v>
      </c>
      <c r="AB1701" s="2">
        <f t="shared" ca="1" si="1638"/>
        <v>6550259.9762501949</v>
      </c>
      <c r="AC1701" s="2">
        <f t="shared" ca="1" si="1639"/>
        <v>6559969.5528478455</v>
      </c>
      <c r="AD1701" s="2">
        <f t="shared" ca="1" si="1640"/>
        <v>6569693.5221380061</v>
      </c>
      <c r="AE1701" s="2">
        <f t="shared" ca="1" si="1641"/>
        <v>6579431.9054552438</v>
      </c>
      <c r="AF1701" s="2">
        <f t="shared" ca="1" si="1642"/>
        <v>1000720.6295391936</v>
      </c>
      <c r="AG1701" s="2">
        <f t="shared" ca="1" si="1643"/>
        <v>1002204.0170139791</v>
      </c>
      <c r="AH1701" s="2">
        <f t="shared" ca="1" si="1644"/>
        <v>1003689.6033426061</v>
      </c>
      <c r="AI1701" s="2">
        <f t="shared" ca="1" si="1645"/>
        <v>1005177.3917844779</v>
      </c>
      <c r="AJ1701" s="2">
        <f t="shared" ca="1" si="1646"/>
        <v>1006667.3856038292</v>
      </c>
      <c r="AK1701" s="2">
        <f t="shared" ca="1" si="1647"/>
        <v>0</v>
      </c>
      <c r="AL1701" s="2">
        <f t="shared" ca="1" si="1648"/>
        <v>741.69373739279808</v>
      </c>
      <c r="AM1701" s="2">
        <f t="shared" ca="1" si="1649"/>
        <v>742.79316431351003</v>
      </c>
      <c r="AN1701" s="2">
        <f t="shared" ca="1" si="1650"/>
        <v>743.89422093585131</v>
      </c>
      <c r="AO1701" s="2">
        <f t="shared" ca="1" si="1651"/>
        <v>744.99690967567267</v>
      </c>
      <c r="AP1701" s="2">
        <f t="shared" ca="1" si="1652"/>
        <v>2186679.4554814319</v>
      </c>
      <c r="AQ1701" s="2">
        <f t="shared" ca="1" si="1653"/>
        <v>831987.77311134804</v>
      </c>
      <c r="AR1701" s="2">
        <f t="shared" ca="1" si="1654"/>
        <v>873957.89097624389</v>
      </c>
      <c r="AS1701" s="2">
        <f t="shared" ca="1" si="1655"/>
        <v>876096.12844619004</v>
      </c>
      <c r="AT1701" s="2">
        <f t="shared" ca="1" si="1656"/>
        <v>878237.53546674503</v>
      </c>
      <c r="AU1701" s="2">
        <f t="shared" ca="1" si="1657"/>
        <v>880382.11673619552</v>
      </c>
      <c r="AV1701" s="2">
        <f t="shared" ca="1" si="1658"/>
        <v>2367965.2003938365</v>
      </c>
      <c r="AW1701" s="2">
        <f t="shared" ca="1" si="1659"/>
        <v>2486676.919041147</v>
      </c>
      <c r="AX1701" s="2">
        <f t="shared" ca="1" si="1660"/>
        <v>2492761.5724133044</v>
      </c>
      <c r="AY1701" s="2">
        <f t="shared" ca="1" si="1661"/>
        <v>2498855.2451844146</v>
      </c>
      <c r="AZ1701" s="2">
        <f t="shared" ca="1" si="1662"/>
        <v>2504957.9507241105</v>
      </c>
      <c r="BA1701" s="2">
        <f t="shared" ca="1" si="1663"/>
        <v>52631702.984992176</v>
      </c>
      <c r="BB1701" s="2">
        <f t="shared" ca="1" si="1664"/>
        <v>1052634.0596998436</v>
      </c>
      <c r="BC1701" s="2">
        <f t="shared" ca="1" si="1665"/>
        <v>27282630.531054199</v>
      </c>
      <c r="BD1701" s="2">
        <f t="shared" ca="1" si="1666"/>
        <v>-17709977.195918679</v>
      </c>
      <c r="BE1701" s="2">
        <f t="shared" ca="1" si="1667"/>
        <v>2367965.2003938365</v>
      </c>
      <c r="BF1701" s="2">
        <f t="shared" ca="1" si="1668"/>
        <v>2486676.919041147</v>
      </c>
      <c r="BG1701" s="2">
        <f t="shared" ca="1" si="1669"/>
        <v>2492761.5724133044</v>
      </c>
      <c r="BH1701" s="2">
        <f t="shared" ca="1" si="1670"/>
        <v>2498855.2451844146</v>
      </c>
      <c r="BI1701" s="2">
        <f t="shared" ca="1" si="1671"/>
        <v>29787588.481778309</v>
      </c>
      <c r="BJ1701" s="2">
        <f t="shared" ca="1" si="1672"/>
        <v>0.21004543986980639</v>
      </c>
      <c r="BK1701" s="2">
        <f t="shared" ca="1" si="1673"/>
        <v>6651284.867635686</v>
      </c>
    </row>
    <row r="1702" spans="1:63" x14ac:dyDescent="0.3">
      <c r="A1702" s="2">
        <v>1701</v>
      </c>
      <c r="B1702" s="2">
        <f t="shared" ca="1" si="1612"/>
        <v>0.90542473621930597</v>
      </c>
      <c r="C1702" s="2">
        <f t="shared" ca="1" si="1613"/>
        <v>7.5650856089281611</v>
      </c>
      <c r="D1702" s="2">
        <f t="shared" ca="1" si="1614"/>
        <v>0.67983459282123282</v>
      </c>
      <c r="E1702" s="2">
        <f t="shared" ca="1" si="1615"/>
        <v>7.6997932677379337</v>
      </c>
      <c r="F1702" s="2">
        <f t="shared" ca="1" si="1616"/>
        <v>0.60048992983164129</v>
      </c>
      <c r="G1702" s="2">
        <f t="shared" ca="1" si="1617"/>
        <v>4.7638462905205861E-2</v>
      </c>
      <c r="H1702" s="2">
        <f t="shared" ca="1" si="1618"/>
        <v>4.7638462905205861E-2</v>
      </c>
      <c r="I1702" s="2">
        <f t="shared" ca="1" si="1619"/>
        <v>0.36894563771660227</v>
      </c>
      <c r="J1702" s="2">
        <f t="shared" ca="1" si="1620"/>
        <v>8.3267642660994276E-3</v>
      </c>
      <c r="K1702" s="2">
        <f t="shared" ca="1" si="1621"/>
        <v>8.3267642660994276E-3</v>
      </c>
      <c r="L1702" s="2">
        <f t="shared" ca="1" si="1622"/>
        <v>0.50026390869007942</v>
      </c>
      <c r="M1702" s="2">
        <f t="shared" ca="1" si="1623"/>
        <v>1.3230420654438791E-5</v>
      </c>
      <c r="N1702" s="2">
        <f t="shared" ca="1" si="1624"/>
        <v>1.3230420654438791E-5</v>
      </c>
      <c r="O1702" s="2">
        <f t="shared" si="1625"/>
        <v>6000000</v>
      </c>
      <c r="P1702" s="2">
        <f t="shared" ca="1" si="1626"/>
        <v>45390513.653568968</v>
      </c>
      <c r="Q1702" s="2">
        <f t="shared" ca="1" si="1627"/>
        <v>1134762.8413392243</v>
      </c>
      <c r="R1702" s="2">
        <f t="shared" ca="1" si="1628"/>
        <v>27234308.19214138</v>
      </c>
      <c r="S1702" s="2">
        <f t="shared" ca="1" si="1629"/>
        <v>18156205.461427588</v>
      </c>
      <c r="T1702" s="2">
        <f t="shared" ca="1" si="1630"/>
        <v>50000661.521032721</v>
      </c>
      <c r="U1702" s="2">
        <f t="shared" ca="1" si="1631"/>
        <v>52382616.180138186</v>
      </c>
      <c r="V1702" s="2">
        <f t="shared" ca="1" si="1632"/>
        <v>54878043.497913331</v>
      </c>
      <c r="W1702" s="2">
        <f t="shared" ca="1" si="1633"/>
        <v>57492349.137398943</v>
      </c>
      <c r="X1702" s="2">
        <f t="shared" ca="1" si="1634"/>
        <v>60231196.27911406</v>
      </c>
      <c r="Y1702" s="2">
        <f t="shared" ca="1" si="1635"/>
        <v>0.12416338213304971</v>
      </c>
      <c r="Z1702" s="2">
        <f t="shared" ca="1" si="1636"/>
        <v>0.12582873498626959</v>
      </c>
      <c r="AA1702" s="2">
        <f t="shared" ca="1" si="1637"/>
        <v>6208251.2433412606</v>
      </c>
      <c r="AB1702" s="2">
        <f t="shared" ca="1" si="1638"/>
        <v>6591238.3292180849</v>
      </c>
      <c r="AC1702" s="2">
        <f t="shared" ca="1" si="1639"/>
        <v>6905234.7918639118</v>
      </c>
      <c r="AD1702" s="2">
        <f t="shared" ca="1" si="1640"/>
        <v>7234189.5633478565</v>
      </c>
      <c r="AE1702" s="2">
        <f t="shared" ca="1" si="1641"/>
        <v>7578815.2345106304</v>
      </c>
      <c r="AF1702" s="2">
        <f t="shared" ca="1" si="1642"/>
        <v>1000013.2304206544</v>
      </c>
      <c r="AG1702" s="2">
        <f t="shared" ca="1" si="1643"/>
        <v>1047652.3236027637</v>
      </c>
      <c r="AH1702" s="2">
        <f t="shared" ca="1" si="1644"/>
        <v>1097560.8699582666</v>
      </c>
      <c r="AI1702" s="2">
        <f t="shared" ca="1" si="1645"/>
        <v>1149846.982747979</v>
      </c>
      <c r="AJ1702" s="2">
        <f t="shared" ca="1" si="1646"/>
        <v>1204623.9255822813</v>
      </c>
      <c r="AK1702" s="2">
        <f t="shared" ca="1" si="1647"/>
        <v>0</v>
      </c>
      <c r="AL1702" s="2">
        <f t="shared" ca="1" si="1648"/>
        <v>23819.546591054648</v>
      </c>
      <c r="AM1702" s="2">
        <f t="shared" ca="1" si="1649"/>
        <v>24954.273177751453</v>
      </c>
      <c r="AN1702" s="2">
        <f t="shared" ca="1" si="1650"/>
        <v>26143.056394856125</v>
      </c>
      <c r="AO1702" s="2">
        <f t="shared" ca="1" si="1651"/>
        <v>27388.47141715117</v>
      </c>
      <c r="AP1702" s="2">
        <f t="shared" ca="1" si="1652"/>
        <v>2451087.7372927242</v>
      </c>
      <c r="AQ1702" s="2">
        <f t="shared" ca="1" si="1653"/>
        <v>716859.07166324928</v>
      </c>
      <c r="AR1702" s="2">
        <f t="shared" ca="1" si="1654"/>
        <v>804049.5497638752</v>
      </c>
      <c r="AS1702" s="2">
        <f t="shared" ca="1" si="1655"/>
        <v>872712.40799935954</v>
      </c>
      <c r="AT1702" s="2">
        <f t="shared" ca="1" si="1656"/>
        <v>944646.25925986003</v>
      </c>
      <c r="AU1702" s="2">
        <f t="shared" ca="1" si="1657"/>
        <v>1020006.9286252625</v>
      </c>
      <c r="AV1702" s="2">
        <f t="shared" ca="1" si="1658"/>
        <v>2040291.2039646325</v>
      </c>
      <c r="AW1702" s="2">
        <f t="shared" ca="1" si="1659"/>
        <v>2264629.1719676671</v>
      </c>
      <c r="AX1702" s="2">
        <f t="shared" ca="1" si="1660"/>
        <v>2458919.5034358106</v>
      </c>
      <c r="AY1702" s="2">
        <f t="shared" ca="1" si="1661"/>
        <v>2662465.5276524373</v>
      </c>
      <c r="AZ1702" s="2">
        <f t="shared" ca="1" si="1662"/>
        <v>2875708.1715932111</v>
      </c>
      <c r="BA1702" s="2">
        <f t="shared" ca="1" si="1663"/>
        <v>58355310.520114638</v>
      </c>
      <c r="BB1702" s="2">
        <f t="shared" ca="1" si="1664"/>
        <v>1167106.2104022929</v>
      </c>
      <c r="BC1702" s="2">
        <f t="shared" ca="1" si="1665"/>
        <v>29953896.117570966</v>
      </c>
      <c r="BD1702" s="2">
        <f t="shared" ca="1" si="1666"/>
        <v>-19790968.302766811</v>
      </c>
      <c r="BE1702" s="2">
        <f t="shared" ca="1" si="1667"/>
        <v>2040291.2039646325</v>
      </c>
      <c r="BF1702" s="2">
        <f t="shared" ca="1" si="1668"/>
        <v>2264629.1719676671</v>
      </c>
      <c r="BG1702" s="2">
        <f t="shared" ca="1" si="1669"/>
        <v>2458919.5034358106</v>
      </c>
      <c r="BH1702" s="2">
        <f t="shared" ca="1" si="1670"/>
        <v>2662465.5276524373</v>
      </c>
      <c r="BI1702" s="2">
        <f t="shared" ca="1" si="1671"/>
        <v>32829604.289164178</v>
      </c>
      <c r="BJ1702" s="2">
        <f t="shared" ca="1" si="1672"/>
        <v>0.19095599816780529</v>
      </c>
      <c r="BK1702" s="2">
        <f t="shared" ca="1" si="1673"/>
        <v>5906723.2287654877</v>
      </c>
    </row>
    <row r="1703" spans="1:63" x14ac:dyDescent="0.3">
      <c r="A1703" s="2">
        <v>1702</v>
      </c>
      <c r="B1703" s="2">
        <f t="shared" ca="1" si="1612"/>
        <v>0.77394175007792843</v>
      </c>
      <c r="C1703" s="2">
        <f t="shared" ca="1" si="1613"/>
        <v>7.3276039114895575</v>
      </c>
      <c r="D1703" s="2">
        <f t="shared" ca="1" si="1614"/>
        <v>0.19626976078751512</v>
      </c>
      <c r="E1703" s="2">
        <f t="shared" ca="1" si="1615"/>
        <v>7.1265297451638112</v>
      </c>
      <c r="F1703" s="2">
        <f t="shared" ca="1" si="1616"/>
        <v>0.17692035427669395</v>
      </c>
      <c r="G1703" s="2">
        <f t="shared" ca="1" si="1617"/>
        <v>1.2185040557075408E-2</v>
      </c>
      <c r="H1703" s="2">
        <f t="shared" ca="1" si="1618"/>
        <v>1.2185040557075408E-2</v>
      </c>
      <c r="I1703" s="2">
        <f t="shared" ca="1" si="1619"/>
        <v>0.3110098713477818</v>
      </c>
      <c r="J1703" s="2">
        <f t="shared" ca="1" si="1620"/>
        <v>7.5350506334412792E-3</v>
      </c>
      <c r="K1703" s="2">
        <f t="shared" ca="1" si="1621"/>
        <v>7.5350506334412792E-3</v>
      </c>
      <c r="L1703" s="2">
        <f t="shared" ca="1" si="1622"/>
        <v>0.61787732702881704</v>
      </c>
      <c r="M1703" s="2">
        <f t="shared" ca="1" si="1623"/>
        <v>5.9982120717231562E-3</v>
      </c>
      <c r="N1703" s="2">
        <f t="shared" ca="1" si="1624"/>
        <v>5.9982120717231562E-3</v>
      </c>
      <c r="O1703" s="2">
        <f t="shared" si="1625"/>
        <v>6000000</v>
      </c>
      <c r="P1703" s="2">
        <f t="shared" ca="1" si="1626"/>
        <v>43965623.468937345</v>
      </c>
      <c r="Q1703" s="2">
        <f t="shared" ca="1" si="1627"/>
        <v>1099140.5867234336</v>
      </c>
      <c r="R1703" s="2">
        <f t="shared" ca="1" si="1628"/>
        <v>26379374.081362408</v>
      </c>
      <c r="S1703" s="2">
        <f t="shared" ca="1" si="1629"/>
        <v>17586249.387574937</v>
      </c>
      <c r="T1703" s="2">
        <f t="shared" ca="1" si="1630"/>
        <v>50299910.60358616</v>
      </c>
      <c r="U1703" s="2">
        <f t="shared" ca="1" si="1631"/>
        <v>50912817.054308124</v>
      </c>
      <c r="V1703" s="2">
        <f t="shared" ca="1" si="1632"/>
        <v>51533191.794989824</v>
      </c>
      <c r="W1703" s="2">
        <f t="shared" ca="1" si="1633"/>
        <v>52161125.827047318</v>
      </c>
      <c r="X1703" s="2">
        <f t="shared" ca="1" si="1634"/>
        <v>52796711.260752603</v>
      </c>
      <c r="Y1703" s="2">
        <f t="shared" ca="1" si="1635"/>
        <v>0.12376752531672064</v>
      </c>
      <c r="Z1703" s="2">
        <f t="shared" ca="1" si="1636"/>
        <v>0.12527453544340889</v>
      </c>
      <c r="AA1703" s="2">
        <f t="shared" ca="1" si="1637"/>
        <v>6225495.4590581348</v>
      </c>
      <c r="AB1703" s="2">
        <f t="shared" ca="1" si="1638"/>
        <v>6378079.5045937151</v>
      </c>
      <c r="AC1703" s="2">
        <f t="shared" ca="1" si="1639"/>
        <v>6455796.6620334405</v>
      </c>
      <c r="AD1703" s="2">
        <f t="shared" ca="1" si="1640"/>
        <v>6534460.8061885498</v>
      </c>
      <c r="AE1703" s="2">
        <f t="shared" ca="1" si="1641"/>
        <v>6614083.4761305768</v>
      </c>
      <c r="AF1703" s="2">
        <f t="shared" ca="1" si="1642"/>
        <v>1005998.2120717232</v>
      </c>
      <c r="AG1703" s="2">
        <f t="shared" ca="1" si="1643"/>
        <v>1018256.3410861625</v>
      </c>
      <c r="AH1703" s="2">
        <f t="shared" ca="1" si="1644"/>
        <v>1030663.8358997965</v>
      </c>
      <c r="AI1703" s="2">
        <f t="shared" ca="1" si="1645"/>
        <v>1043222.5165409464</v>
      </c>
      <c r="AJ1703" s="2">
        <f t="shared" ca="1" si="1646"/>
        <v>1055934.225215052</v>
      </c>
      <c r="AK1703" s="2">
        <f t="shared" ca="1" si="1647"/>
        <v>0</v>
      </c>
      <c r="AL1703" s="2">
        <f t="shared" ca="1" si="1648"/>
        <v>6129.0645072196421</v>
      </c>
      <c r="AM1703" s="2">
        <f t="shared" ca="1" si="1649"/>
        <v>6203.747406817004</v>
      </c>
      <c r="AN1703" s="2">
        <f t="shared" ca="1" si="1650"/>
        <v>6279.3403205749391</v>
      </c>
      <c r="AO1703" s="2">
        <f t="shared" ca="1" si="1651"/>
        <v>6355.8543370528523</v>
      </c>
      <c r="AP1703" s="2">
        <f t="shared" ca="1" si="1652"/>
        <v>2374143.6673226166</v>
      </c>
      <c r="AQ1703" s="2">
        <f t="shared" ca="1" si="1653"/>
        <v>739791.93071258673</v>
      </c>
      <c r="AR1703" s="2">
        <f t="shared" ca="1" si="1654"/>
        <v>776276.66900808341</v>
      </c>
      <c r="AS1703" s="2">
        <f t="shared" ca="1" si="1655"/>
        <v>793257.18129086727</v>
      </c>
      <c r="AT1703" s="2">
        <f t="shared" ca="1" si="1656"/>
        <v>810444.6018044966</v>
      </c>
      <c r="AU1703" s="2">
        <f t="shared" ca="1" si="1657"/>
        <v>827841.45173415611</v>
      </c>
      <c r="AV1703" s="2">
        <f t="shared" ca="1" si="1658"/>
        <v>2105561.6489512087</v>
      </c>
      <c r="AW1703" s="2">
        <f t="shared" ca="1" si="1659"/>
        <v>2203273.7626696327</v>
      </c>
      <c r="AX1703" s="2">
        <f t="shared" ca="1" si="1660"/>
        <v>2251528.2301133429</v>
      </c>
      <c r="AY1703" s="2">
        <f t="shared" ca="1" si="1661"/>
        <v>2300370.6801999151</v>
      </c>
      <c r="AZ1703" s="2">
        <f t="shared" ca="1" si="1662"/>
        <v>2349808.2775216992</v>
      </c>
      <c r="BA1703" s="2">
        <f t="shared" ca="1" si="1663"/>
        <v>47135462.629641011</v>
      </c>
      <c r="BB1703" s="2">
        <f t="shared" ca="1" si="1664"/>
        <v>942709.25259282021</v>
      </c>
      <c r="BC1703" s="2">
        <f t="shared" ca="1" si="1665"/>
        <v>19813379.295685783</v>
      </c>
      <c r="BD1703" s="2">
        <f t="shared" ca="1" si="1666"/>
        <v>-19185389.974298369</v>
      </c>
      <c r="BE1703" s="2">
        <f t="shared" ca="1" si="1667"/>
        <v>2105561.6489512087</v>
      </c>
      <c r="BF1703" s="2">
        <f t="shared" ca="1" si="1668"/>
        <v>2203273.7626696327</v>
      </c>
      <c r="BG1703" s="2">
        <f t="shared" ca="1" si="1669"/>
        <v>2251528.2301133429</v>
      </c>
      <c r="BH1703" s="2">
        <f t="shared" ca="1" si="1670"/>
        <v>2300370.6801999151</v>
      </c>
      <c r="BI1703" s="2">
        <f t="shared" ca="1" si="1671"/>
        <v>22163187.573207483</v>
      </c>
      <c r="BJ1703" s="2">
        <f t="shared" ca="1" si="1672"/>
        <v>0.12130289848030795</v>
      </c>
      <c r="BK1703" s="2">
        <f t="shared" ca="1" si="1673"/>
        <v>91520.451117895544</v>
      </c>
    </row>
    <row r="1704" spans="1:63" x14ac:dyDescent="0.3">
      <c r="A1704" s="2">
        <v>1703</v>
      </c>
      <c r="B1704" s="2">
        <f t="shared" ca="1" si="1612"/>
        <v>0.39499857159206642</v>
      </c>
      <c r="C1704" s="2">
        <f t="shared" ca="1" si="1613"/>
        <v>6.8888178346456224</v>
      </c>
      <c r="D1704" s="2">
        <f t="shared" ca="1" si="1614"/>
        <v>0.36144163007977059</v>
      </c>
      <c r="E1704" s="2">
        <f t="shared" ca="1" si="1615"/>
        <v>7.3502254172627053</v>
      </c>
      <c r="F1704" s="2">
        <f t="shared" ca="1" si="1616"/>
        <v>0.46982095207646424</v>
      </c>
      <c r="G1704" s="2">
        <f t="shared" ca="1" si="1617"/>
        <v>3.772840151507089E-2</v>
      </c>
      <c r="H1704" s="2">
        <f t="shared" ca="1" si="1618"/>
        <v>3.772840151507089E-2</v>
      </c>
      <c r="I1704" s="2">
        <f t="shared" ca="1" si="1619"/>
        <v>0.5337762492600574</v>
      </c>
      <c r="J1704" s="2">
        <f t="shared" ca="1" si="1620"/>
        <v>1.0423829514552008E-2</v>
      </c>
      <c r="K1704" s="2">
        <f t="shared" ca="1" si="1621"/>
        <v>1.0423829514552008E-2</v>
      </c>
      <c r="L1704" s="2">
        <f t="shared" ca="1" si="1622"/>
        <v>0.14925287453259872</v>
      </c>
      <c r="M1704" s="2">
        <f t="shared" ca="1" si="1623"/>
        <v>-2.0792861826667872E-2</v>
      </c>
      <c r="N1704" s="2">
        <f t="shared" ca="1" si="1624"/>
        <v>-2.0792861826667872E-2</v>
      </c>
      <c r="O1704" s="2">
        <f t="shared" si="1625"/>
        <v>6000000</v>
      </c>
      <c r="P1704" s="2">
        <f t="shared" ca="1" si="1626"/>
        <v>41332907.007873736</v>
      </c>
      <c r="Q1704" s="2">
        <f t="shared" ca="1" si="1627"/>
        <v>1033322.6751968435</v>
      </c>
      <c r="R1704" s="2">
        <f t="shared" ca="1" si="1628"/>
        <v>24799744.204724241</v>
      </c>
      <c r="S1704" s="2">
        <f t="shared" ca="1" si="1629"/>
        <v>16533162.803149495</v>
      </c>
      <c r="T1704" s="2">
        <f t="shared" ca="1" si="1630"/>
        <v>48960356.908666611</v>
      </c>
      <c r="U1704" s="2">
        <f t="shared" ca="1" si="1631"/>
        <v>50807552.912437961</v>
      </c>
      <c r="V1704" s="2">
        <f t="shared" ca="1" si="1632"/>
        <v>52724440.668716632</v>
      </c>
      <c r="W1704" s="2">
        <f t="shared" ca="1" si="1633"/>
        <v>54713649.535923511</v>
      </c>
      <c r="X1704" s="2">
        <f t="shared" ca="1" si="1634"/>
        <v>56777908.073969707</v>
      </c>
      <c r="Y1704" s="2">
        <f t="shared" ca="1" si="1635"/>
        <v>0.125211914757276</v>
      </c>
      <c r="Z1704" s="2">
        <f t="shared" ca="1" si="1636"/>
        <v>0.1272966806601864</v>
      </c>
      <c r="AA1704" s="2">
        <f t="shared" ca="1" si="1637"/>
        <v>6130420.0357337724</v>
      </c>
      <c r="AB1704" s="2">
        <f t="shared" ca="1" si="1638"/>
        <v>6467632.838220139</v>
      </c>
      <c r="AC1704" s="2">
        <f t="shared" ca="1" si="1639"/>
        <v>6711646.2867925661</v>
      </c>
      <c r="AD1704" s="2">
        <f t="shared" ca="1" si="1640"/>
        <v>6964865.972727811</v>
      </c>
      <c r="AE1704" s="2">
        <f t="shared" ca="1" si="1641"/>
        <v>7227639.2326455405</v>
      </c>
      <c r="AF1704" s="2">
        <f t="shared" ca="1" si="1642"/>
        <v>979207.13817333221</v>
      </c>
      <c r="AG1704" s="2">
        <f t="shared" ca="1" si="1643"/>
        <v>1016151.0582487592</v>
      </c>
      <c r="AH1704" s="2">
        <f t="shared" ca="1" si="1644"/>
        <v>1054488.8133743326</v>
      </c>
      <c r="AI1704" s="2">
        <f t="shared" ca="1" si="1645"/>
        <v>1094272.9907184702</v>
      </c>
      <c r="AJ1704" s="2">
        <f t="shared" ca="1" si="1646"/>
        <v>1135558.1614793942</v>
      </c>
      <c r="AK1704" s="2">
        <f t="shared" ca="1" si="1647"/>
        <v>0</v>
      </c>
      <c r="AL1704" s="2">
        <f t="shared" ca="1" si="1648"/>
        <v>18471.960037713499</v>
      </c>
      <c r="AM1704" s="2">
        <f t="shared" ca="1" si="1649"/>
        <v>19168.877562786714</v>
      </c>
      <c r="AN1704" s="2">
        <f t="shared" ca="1" si="1650"/>
        <v>19892.088672068789</v>
      </c>
      <c r="AO1704" s="2">
        <f t="shared" ca="1" si="1651"/>
        <v>20642.585380461962</v>
      </c>
      <c r="AP1704" s="2">
        <f t="shared" ca="1" si="1652"/>
        <v>2231976.9784251815</v>
      </c>
      <c r="AQ1704" s="2">
        <f t="shared" ca="1" si="1653"/>
        <v>759001.33897516725</v>
      </c>
      <c r="AR1704" s="2">
        <f t="shared" ca="1" si="1654"/>
        <v>837071.24840201158</v>
      </c>
      <c r="AS1704" s="2">
        <f t="shared" ca="1" si="1655"/>
        <v>890546.92869819363</v>
      </c>
      <c r="AT1704" s="2">
        <f t="shared" ca="1" si="1656"/>
        <v>946040.16093188152</v>
      </c>
      <c r="AU1704" s="2">
        <f t="shared" ca="1" si="1657"/>
        <v>1003627.0641126509</v>
      </c>
      <c r="AV1704" s="2">
        <f t="shared" ca="1" si="1658"/>
        <v>2160234.5801600916</v>
      </c>
      <c r="AW1704" s="2">
        <f t="shared" ca="1" si="1659"/>
        <v>2363961.5931064729</v>
      </c>
      <c r="AX1704" s="2">
        <f t="shared" ca="1" si="1660"/>
        <v>2515464.6887320727</v>
      </c>
      <c r="AY1704" s="2">
        <f t="shared" ca="1" si="1661"/>
        <v>2672683.7539802091</v>
      </c>
      <c r="AZ1704" s="2">
        <f t="shared" ca="1" si="1662"/>
        <v>2835834.4432478519</v>
      </c>
      <c r="BA1704" s="2">
        <f t="shared" ca="1" si="1663"/>
        <v>53124777.594596364</v>
      </c>
      <c r="BB1704" s="2">
        <f t="shared" ca="1" si="1664"/>
        <v>1062495.5518919274</v>
      </c>
      <c r="BC1704" s="2">
        <f t="shared" ca="1" si="1665"/>
        <v>27262537.837980196</v>
      </c>
      <c r="BD1704" s="2">
        <f t="shared" ca="1" si="1666"/>
        <v>-18066485.47834634</v>
      </c>
      <c r="BE1704" s="2">
        <f t="shared" ca="1" si="1667"/>
        <v>2160234.5801600916</v>
      </c>
      <c r="BF1704" s="2">
        <f t="shared" ca="1" si="1668"/>
        <v>2363961.5931064729</v>
      </c>
      <c r="BG1704" s="2">
        <f t="shared" ca="1" si="1669"/>
        <v>2515464.6887320727</v>
      </c>
      <c r="BH1704" s="2">
        <f t="shared" ca="1" si="1670"/>
        <v>2672683.7539802091</v>
      </c>
      <c r="BI1704" s="2">
        <f t="shared" ca="1" si="1671"/>
        <v>30098372.281228047</v>
      </c>
      <c r="BJ1704" s="2">
        <f t="shared" ca="1" si="1672"/>
        <v>0.20347730814628728</v>
      </c>
      <c r="BK1704" s="2">
        <f t="shared" ca="1" si="1673"/>
        <v>6314452.7743968181</v>
      </c>
    </row>
    <row r="1705" spans="1:63" x14ac:dyDescent="0.3">
      <c r="A1705" s="2">
        <v>1704</v>
      </c>
      <c r="B1705" s="2">
        <f t="shared" ca="1" si="1612"/>
        <v>0.47949962066689444</v>
      </c>
      <c r="C1705" s="2">
        <f t="shared" ca="1" si="1613"/>
        <v>6.9792850664305002</v>
      </c>
      <c r="D1705" s="2">
        <f t="shared" ca="1" si="1614"/>
        <v>0.59179266199472091</v>
      </c>
      <c r="E1705" s="2">
        <f t="shared" ca="1" si="1615"/>
        <v>7.5964433188722698</v>
      </c>
      <c r="F1705" s="2">
        <f t="shared" ca="1" si="1616"/>
        <v>0.98621918153227983</v>
      </c>
      <c r="G1705" s="2">
        <f t="shared" ca="1" si="1617"/>
        <v>0.10610410095569178</v>
      </c>
      <c r="H1705" s="2">
        <f t="shared" ca="1" si="1618"/>
        <v>0.10610410095569178</v>
      </c>
      <c r="I1705" s="2">
        <f t="shared" ca="1" si="1619"/>
        <v>0.6842381168415238</v>
      </c>
      <c r="J1705" s="2">
        <f t="shared" ca="1" si="1620"/>
        <v>1.2397916198755885E-2</v>
      </c>
      <c r="K1705" s="2">
        <f t="shared" ca="1" si="1621"/>
        <v>1.2397916198755885E-2</v>
      </c>
      <c r="L1705" s="2">
        <f t="shared" ca="1" si="1622"/>
        <v>0.12856892449343171</v>
      </c>
      <c r="M1705" s="2">
        <f t="shared" ca="1" si="1623"/>
        <v>-2.2663639168644268E-2</v>
      </c>
      <c r="N1705" s="2">
        <f t="shared" ca="1" si="1624"/>
        <v>-2.2663639168644268E-2</v>
      </c>
      <c r="O1705" s="2">
        <f t="shared" si="1625"/>
        <v>6000000</v>
      </c>
      <c r="P1705" s="2">
        <f t="shared" ca="1" si="1626"/>
        <v>41875710.398583002</v>
      </c>
      <c r="Q1705" s="2">
        <f t="shared" ca="1" si="1627"/>
        <v>1046892.7599645751</v>
      </c>
      <c r="R1705" s="2">
        <f t="shared" ca="1" si="1628"/>
        <v>25125426.239149801</v>
      </c>
      <c r="S1705" s="2">
        <f t="shared" ca="1" si="1629"/>
        <v>16750284.159433201</v>
      </c>
      <c r="T1705" s="2">
        <f t="shared" ca="1" si="1630"/>
        <v>48866818.041567788</v>
      </c>
      <c r="U1705" s="2">
        <f t="shared" ca="1" si="1631"/>
        <v>54051787.836433716</v>
      </c>
      <c r="V1705" s="2">
        <f t="shared" ca="1" si="1632"/>
        <v>59786904.189866312</v>
      </c>
      <c r="W1705" s="2">
        <f t="shared" ca="1" si="1633"/>
        <v>66130539.907856159</v>
      </c>
      <c r="X1705" s="2">
        <f t="shared" ca="1" si="1634"/>
        <v>73147261.390493736</v>
      </c>
      <c r="Y1705" s="2">
        <f t="shared" ca="1" si="1635"/>
        <v>0.12619895809937795</v>
      </c>
      <c r="Z1705" s="2">
        <f t="shared" ca="1" si="1636"/>
        <v>0.12867854133912912</v>
      </c>
      <c r="AA1705" s="2">
        <f t="shared" ca="1" si="1637"/>
        <v>6166941.5224777395</v>
      </c>
      <c r="AB1705" s="2">
        <f t="shared" ca="1" si="1638"/>
        <v>6955305.2155643729</v>
      </c>
      <c r="AC1705" s="2">
        <f t="shared" ca="1" si="1639"/>
        <v>7693291.6223342642</v>
      </c>
      <c r="AD1705" s="2">
        <f t="shared" ca="1" si="1640"/>
        <v>8509581.4133119974</v>
      </c>
      <c r="AE1705" s="2">
        <f t="shared" ca="1" si="1641"/>
        <v>9412482.8986807317</v>
      </c>
      <c r="AF1705" s="2">
        <f t="shared" ca="1" si="1642"/>
        <v>977336.36083135579</v>
      </c>
      <c r="AG1705" s="2">
        <f t="shared" ca="1" si="1643"/>
        <v>1081035.7567286743</v>
      </c>
      <c r="AH1705" s="2">
        <f t="shared" ca="1" si="1644"/>
        <v>1195738.0837973263</v>
      </c>
      <c r="AI1705" s="2">
        <f t="shared" ca="1" si="1645"/>
        <v>1322610.7981571232</v>
      </c>
      <c r="AJ1705" s="2">
        <f t="shared" ca="1" si="1646"/>
        <v>1462945.2278098748</v>
      </c>
      <c r="AK1705" s="2">
        <f t="shared" ca="1" si="1647"/>
        <v>0</v>
      </c>
      <c r="AL1705" s="2">
        <f t="shared" ca="1" si="1648"/>
        <v>51849.69794865929</v>
      </c>
      <c r="AM1705" s="2">
        <f t="shared" ca="1" si="1649"/>
        <v>57351.163534325955</v>
      </c>
      <c r="AN1705" s="2">
        <f t="shared" ca="1" si="1650"/>
        <v>63436.35717989847</v>
      </c>
      <c r="AO1705" s="2">
        <f t="shared" ca="1" si="1651"/>
        <v>70167.21482637577</v>
      </c>
      <c r="AP1705" s="2">
        <f t="shared" ca="1" si="1652"/>
        <v>2261288.361523482</v>
      </c>
      <c r="AQ1705" s="2">
        <f t="shared" ca="1" si="1653"/>
        <v>761362.36803195451</v>
      </c>
      <c r="AR1705" s="2">
        <f t="shared" ca="1" si="1654"/>
        <v>939375.08530117641</v>
      </c>
      <c r="AS1705" s="2">
        <f t="shared" ca="1" si="1655"/>
        <v>1101428.9460234987</v>
      </c>
      <c r="AT1705" s="2">
        <f t="shared" ca="1" si="1656"/>
        <v>1280677.385944162</v>
      </c>
      <c r="AU1705" s="2">
        <f t="shared" ca="1" si="1657"/>
        <v>1478944.8204303177</v>
      </c>
      <c r="AV1705" s="2">
        <f t="shared" ca="1" si="1658"/>
        <v>2166954.4320909474</v>
      </c>
      <c r="AW1705" s="2">
        <f t="shared" ca="1" si="1659"/>
        <v>2621756.3140623812</v>
      </c>
      <c r="AX1705" s="2">
        <f t="shared" ca="1" si="1660"/>
        <v>3077485.0674556317</v>
      </c>
      <c r="AY1705" s="2">
        <f t="shared" ca="1" si="1661"/>
        <v>3581568.5105073312</v>
      </c>
      <c r="AZ1705" s="2">
        <f t="shared" ca="1" si="1662"/>
        <v>4139137.2740906812</v>
      </c>
      <c r="BA1705" s="2">
        <f t="shared" ca="1" si="1663"/>
        <v>71501392.829682738</v>
      </c>
      <c r="BB1705" s="2">
        <f t="shared" ca="1" si="1664"/>
        <v>1430027.8565936547</v>
      </c>
      <c r="BC1705" s="2">
        <f t="shared" ca="1" si="1665"/>
        <v>44945938.733939283</v>
      </c>
      <c r="BD1705" s="2">
        <f t="shared" ca="1" si="1666"/>
        <v>-18297176.919397775</v>
      </c>
      <c r="BE1705" s="2">
        <f t="shared" ca="1" si="1667"/>
        <v>2166954.4320909474</v>
      </c>
      <c r="BF1705" s="2">
        <f t="shared" ca="1" si="1668"/>
        <v>2621756.3140623812</v>
      </c>
      <c r="BG1705" s="2">
        <f t="shared" ca="1" si="1669"/>
        <v>3077485.0674556317</v>
      </c>
      <c r="BH1705" s="2">
        <f t="shared" ca="1" si="1670"/>
        <v>3581568.5105073312</v>
      </c>
      <c r="BI1705" s="2">
        <f t="shared" ca="1" si="1671"/>
        <v>49085076.008029968</v>
      </c>
      <c r="BJ1705" s="2">
        <f t="shared" ca="1" si="1672"/>
        <v>0.31329260920110835</v>
      </c>
      <c r="BK1705" s="2">
        <f t="shared" ca="1" si="1673"/>
        <v>18046486.868915241</v>
      </c>
    </row>
    <row r="1706" spans="1:63" x14ac:dyDescent="0.3">
      <c r="A1706" s="2">
        <v>1705</v>
      </c>
      <c r="B1706" s="2">
        <f t="shared" ca="1" si="1612"/>
        <v>0.74135547520364786</v>
      </c>
      <c r="C1706" s="2">
        <f t="shared" ca="1" si="1613"/>
        <v>7.2807719071165922</v>
      </c>
      <c r="D1706" s="2">
        <f t="shared" ca="1" si="1614"/>
        <v>0.50073695090804016</v>
      </c>
      <c r="E1706" s="2">
        <f t="shared" ca="1" si="1615"/>
        <v>7.5007372226566629</v>
      </c>
      <c r="F1706" s="2">
        <f t="shared" ca="1" si="1616"/>
        <v>8.6334034293731876E-2</v>
      </c>
      <c r="G1706" s="2">
        <f t="shared" ca="1" si="1617"/>
        <v>-9.1042217539726022E-4</v>
      </c>
      <c r="H1706" s="2">
        <f t="shared" ca="1" si="1618"/>
        <v>-9.1042217539726022E-4</v>
      </c>
      <c r="I1706" s="2">
        <f t="shared" ca="1" si="1619"/>
        <v>0.14152110431819165</v>
      </c>
      <c r="J1706" s="2">
        <f t="shared" ca="1" si="1620"/>
        <v>4.6324483753501415E-3</v>
      </c>
      <c r="K1706" s="2">
        <f t="shared" ca="1" si="1621"/>
        <v>4.6324483753501415E-3</v>
      </c>
      <c r="L1706" s="2">
        <f t="shared" ca="1" si="1622"/>
        <v>0.38649611769351511</v>
      </c>
      <c r="M1706" s="2">
        <f t="shared" ca="1" si="1623"/>
        <v>-5.7692629694689182E-3</v>
      </c>
      <c r="N1706" s="2">
        <f t="shared" ca="1" si="1624"/>
        <v>-5.7692629694689182E-3</v>
      </c>
      <c r="O1706" s="2">
        <f t="shared" si="1625"/>
        <v>6000000</v>
      </c>
      <c r="P1706" s="2">
        <f t="shared" ca="1" si="1626"/>
        <v>43684631.442699552</v>
      </c>
      <c r="Q1706" s="2">
        <f t="shared" ca="1" si="1627"/>
        <v>1092115.7860674888</v>
      </c>
      <c r="R1706" s="2">
        <f t="shared" ca="1" si="1628"/>
        <v>26210778.86561973</v>
      </c>
      <c r="S1706" s="2">
        <f t="shared" ca="1" si="1629"/>
        <v>17473852.577079821</v>
      </c>
      <c r="T1706" s="2">
        <f t="shared" ca="1" si="1630"/>
        <v>49711536.851526558</v>
      </c>
      <c r="U1706" s="2">
        <f t="shared" ca="1" si="1631"/>
        <v>49666278.366003849</v>
      </c>
      <c r="V1706" s="2">
        <f t="shared" ca="1" si="1632"/>
        <v>49621061.084809981</v>
      </c>
      <c r="W1706" s="2">
        <f t="shared" ca="1" si="1633"/>
        <v>49575884.970431626</v>
      </c>
      <c r="X1706" s="2">
        <f t="shared" ca="1" si="1634"/>
        <v>49530749.985389598</v>
      </c>
      <c r="Y1706" s="2">
        <f t="shared" ca="1" si="1635"/>
        <v>0.12231622418767507</v>
      </c>
      <c r="Z1706" s="2">
        <f t="shared" ca="1" si="1636"/>
        <v>0.1232427138627451</v>
      </c>
      <c r="AA1706" s="2">
        <f t="shared" ca="1" si="1637"/>
        <v>6080527.4862451935</v>
      </c>
      <c r="AB1706" s="2">
        <f t="shared" ca="1" si="1638"/>
        <v>6121006.9332888592</v>
      </c>
      <c r="AC1706" s="2">
        <f t="shared" ca="1" si="1639"/>
        <v>6115434.2328410326</v>
      </c>
      <c r="AD1706" s="2">
        <f t="shared" ca="1" si="1640"/>
        <v>6109866.6059032707</v>
      </c>
      <c r="AE1706" s="2">
        <f t="shared" ca="1" si="1641"/>
        <v>6104304.0478565367</v>
      </c>
      <c r="AF1706" s="2">
        <f t="shared" ca="1" si="1642"/>
        <v>994230.73703053116</v>
      </c>
      <c r="AG1706" s="2">
        <f t="shared" ca="1" si="1643"/>
        <v>993325.56732007698</v>
      </c>
      <c r="AH1706" s="2">
        <f t="shared" ca="1" si="1644"/>
        <v>992421.22169619962</v>
      </c>
      <c r="AI1706" s="2">
        <f t="shared" ca="1" si="1645"/>
        <v>991517.69940863259</v>
      </c>
      <c r="AJ1706" s="2">
        <f t="shared" ca="1" si="1646"/>
        <v>990614.99970779195</v>
      </c>
      <c r="AK1706" s="2">
        <f t="shared" ca="1" si="1647"/>
        <v>0</v>
      </c>
      <c r="AL1706" s="2">
        <f t="shared" ca="1" si="1648"/>
        <v>0</v>
      </c>
      <c r="AM1706" s="2">
        <f t="shared" ca="1" si="1649"/>
        <v>0</v>
      </c>
      <c r="AN1706" s="2">
        <f t="shared" ca="1" si="1650"/>
        <v>0</v>
      </c>
      <c r="AO1706" s="2">
        <f t="shared" ca="1" si="1651"/>
        <v>0</v>
      </c>
      <c r="AP1706" s="2">
        <f t="shared" ca="1" si="1652"/>
        <v>2358970.0979057755</v>
      </c>
      <c r="AQ1706" s="2">
        <f t="shared" ca="1" si="1653"/>
        <v>709104.92934031051</v>
      </c>
      <c r="AR1706" s="2">
        <f t="shared" ca="1" si="1654"/>
        <v>719864.92969638179</v>
      </c>
      <c r="AS1706" s="2">
        <f t="shared" ca="1" si="1655"/>
        <v>718651.15744215494</v>
      </c>
      <c r="AT1706" s="2">
        <f t="shared" ca="1" si="1656"/>
        <v>717438.49023310421</v>
      </c>
      <c r="AU1706" s="2">
        <f t="shared" ca="1" si="1657"/>
        <v>716226.92706317198</v>
      </c>
      <c r="AV1706" s="2">
        <f t="shared" ca="1" si="1658"/>
        <v>2018221.7219685763</v>
      </c>
      <c r="AW1706" s="2">
        <f t="shared" ca="1" si="1659"/>
        <v>2048846.3383666249</v>
      </c>
      <c r="AX1706" s="2">
        <f t="shared" ca="1" si="1660"/>
        <v>2045391.7557969019</v>
      </c>
      <c r="AY1706" s="2">
        <f t="shared" ca="1" si="1661"/>
        <v>2041940.3183557577</v>
      </c>
      <c r="AZ1706" s="2">
        <f t="shared" ca="1" si="1662"/>
        <v>2038492.0231797975</v>
      </c>
      <c r="BA1706" s="2">
        <f t="shared" ca="1" si="1663"/>
        <v>45786780.590171263</v>
      </c>
      <c r="BB1706" s="2">
        <f t="shared" ca="1" si="1664"/>
        <v>915735.61180342524</v>
      </c>
      <c r="BC1706" s="2">
        <f t="shared" ca="1" si="1665"/>
        <v>18660266.112748109</v>
      </c>
      <c r="BD1706" s="2">
        <f t="shared" ca="1" si="1666"/>
        <v>-19065968.363147311</v>
      </c>
      <c r="BE1706" s="2">
        <f t="shared" ca="1" si="1667"/>
        <v>2018221.7219685763</v>
      </c>
      <c r="BF1706" s="2">
        <f t="shared" ca="1" si="1668"/>
        <v>2048846.3383666249</v>
      </c>
      <c r="BG1706" s="2">
        <f t="shared" ca="1" si="1669"/>
        <v>2045391.7557969019</v>
      </c>
      <c r="BH1706" s="2">
        <f t="shared" ca="1" si="1670"/>
        <v>2041940.3183557577</v>
      </c>
      <c r="BI1706" s="2">
        <f t="shared" ca="1" si="1671"/>
        <v>20698758.135927908</v>
      </c>
      <c r="BJ1706" s="2">
        <f t="shared" ca="1" si="1672"/>
        <v>0.10342251598404006</v>
      </c>
      <c r="BK1706" s="2">
        <f t="shared" ca="1" si="1673"/>
        <v>-1132066.2413247563</v>
      </c>
    </row>
    <row r="1707" spans="1:63" x14ac:dyDescent="0.3">
      <c r="A1707" s="2">
        <v>1706</v>
      </c>
      <c r="B1707" s="2">
        <f t="shared" ca="1" si="1612"/>
        <v>0.50143384402331082</v>
      </c>
      <c r="C1707" s="2">
        <f t="shared" ca="1" si="1613"/>
        <v>7.001434873454226</v>
      </c>
      <c r="D1707" s="2">
        <f t="shared" ca="1" si="1614"/>
        <v>0.18925053293873817</v>
      </c>
      <c r="E1707" s="2">
        <f t="shared" ca="1" si="1615"/>
        <v>7.1152244028624647</v>
      </c>
      <c r="F1707" s="2">
        <f t="shared" ca="1" si="1616"/>
        <v>0.9365102373662062</v>
      </c>
      <c r="G1707" s="2">
        <f t="shared" ca="1" si="1617"/>
        <v>8.5783655035922821E-2</v>
      </c>
      <c r="H1707" s="2">
        <f t="shared" ca="1" si="1618"/>
        <v>8.5783655035922821E-2</v>
      </c>
      <c r="I1707" s="2">
        <f t="shared" ca="1" si="1619"/>
        <v>0.9073050324518025</v>
      </c>
      <c r="J1707" s="2">
        <f t="shared" ca="1" si="1620"/>
        <v>1.6621703261462124E-2</v>
      </c>
      <c r="K1707" s="2">
        <f t="shared" ca="1" si="1621"/>
        <v>1.6621703261462124E-2</v>
      </c>
      <c r="L1707" s="2">
        <f t="shared" ca="1" si="1622"/>
        <v>0.361447661179779</v>
      </c>
      <c r="M1707" s="2">
        <f t="shared" ca="1" si="1623"/>
        <v>-7.0918386100841104E-3</v>
      </c>
      <c r="N1707" s="2">
        <f t="shared" ca="1" si="1624"/>
        <v>-7.0918386100841104E-3</v>
      </c>
      <c r="O1707" s="2">
        <f t="shared" si="1625"/>
        <v>6000000</v>
      </c>
      <c r="P1707" s="2">
        <f t="shared" ca="1" si="1626"/>
        <v>42008609.240725353</v>
      </c>
      <c r="Q1707" s="2">
        <f t="shared" ca="1" si="1627"/>
        <v>1050215.2310181339</v>
      </c>
      <c r="R1707" s="2">
        <f t="shared" ca="1" si="1628"/>
        <v>25205165.544435211</v>
      </c>
      <c r="S1707" s="2">
        <f t="shared" ca="1" si="1629"/>
        <v>16803443.696290143</v>
      </c>
      <c r="T1707" s="2">
        <f t="shared" ca="1" si="1630"/>
        <v>49645408.069495797</v>
      </c>
      <c r="U1707" s="2">
        <f t="shared" ca="1" si="1631"/>
        <v>53904172.629447043</v>
      </c>
      <c r="V1707" s="2">
        <f t="shared" ca="1" si="1632"/>
        <v>58528269.579288356</v>
      </c>
      <c r="W1707" s="2">
        <f t="shared" ca="1" si="1633"/>
        <v>63549038.466727525</v>
      </c>
      <c r="X1707" s="2">
        <f t="shared" ca="1" si="1634"/>
        <v>69000507.260421872</v>
      </c>
      <c r="Y1707" s="2">
        <f t="shared" ca="1" si="1635"/>
        <v>0.12831085163073105</v>
      </c>
      <c r="Z1707" s="2">
        <f t="shared" ca="1" si="1636"/>
        <v>0.13163519228302348</v>
      </c>
      <c r="AA1707" s="2">
        <f t="shared" ca="1" si="1637"/>
        <v>6370044.5889521735</v>
      </c>
      <c r="AB1707" s="2">
        <f t="shared" ca="1" si="1638"/>
        <v>7095686.1289345529</v>
      </c>
      <c r="AC1707" s="2">
        <f t="shared" ca="1" si="1639"/>
        <v>7704380.0200622566</v>
      </c>
      <c r="AD1707" s="2">
        <f t="shared" ca="1" si="1640"/>
        <v>8365289.897968933</v>
      </c>
      <c r="AE1707" s="2">
        <f t="shared" ca="1" si="1641"/>
        <v>9082895.0408517905</v>
      </c>
      <c r="AF1707" s="2">
        <f t="shared" ca="1" si="1642"/>
        <v>992908.16138991597</v>
      </c>
      <c r="AG1707" s="2">
        <f t="shared" ca="1" si="1643"/>
        <v>1078083.452588941</v>
      </c>
      <c r="AH1707" s="2">
        <f t="shared" ca="1" si="1644"/>
        <v>1170565.391585767</v>
      </c>
      <c r="AI1707" s="2">
        <f t="shared" ca="1" si="1645"/>
        <v>1270980.7693345505</v>
      </c>
      <c r="AJ1707" s="2">
        <f t="shared" ca="1" si="1646"/>
        <v>1380010.1452084375</v>
      </c>
      <c r="AK1707" s="2">
        <f t="shared" ca="1" si="1647"/>
        <v>0</v>
      </c>
      <c r="AL1707" s="2">
        <f t="shared" ca="1" si="1648"/>
        <v>42587.645599512456</v>
      </c>
      <c r="AM1707" s="2">
        <f t="shared" ca="1" si="1649"/>
        <v>46240.969498413135</v>
      </c>
      <c r="AN1707" s="2">
        <f t="shared" ca="1" si="1650"/>
        <v>50207.688874391693</v>
      </c>
      <c r="AO1707" s="2">
        <f t="shared" ca="1" si="1651"/>
        <v>54514.687936943476</v>
      </c>
      <c r="AP1707" s="2">
        <f t="shared" ca="1" si="1652"/>
        <v>2268464.898999169</v>
      </c>
      <c r="AQ1707" s="2">
        <f t="shared" ca="1" si="1653"/>
        <v>808254.59742640296</v>
      </c>
      <c r="AR1707" s="2">
        <f t="shared" ca="1" si="1654"/>
        <v>974775.82211007515</v>
      </c>
      <c r="AS1707" s="2">
        <f t="shared" ca="1" si="1655"/>
        <v>1108990.9296641033</v>
      </c>
      <c r="AT1707" s="2">
        <f t="shared" ca="1" si="1656"/>
        <v>1254719.4997051554</v>
      </c>
      <c r="AU1707" s="2">
        <f t="shared" ca="1" si="1657"/>
        <v>1412949.1991274878</v>
      </c>
      <c r="AV1707" s="2">
        <f t="shared" ca="1" si="1658"/>
        <v>2300416.931136685</v>
      </c>
      <c r="AW1707" s="2">
        <f t="shared" ca="1" si="1659"/>
        <v>2731774.309636855</v>
      </c>
      <c r="AX1707" s="2">
        <f t="shared" ca="1" si="1660"/>
        <v>3110117.8303148043</v>
      </c>
      <c r="AY1707" s="2">
        <f t="shared" ca="1" si="1661"/>
        <v>3520917.0410556658</v>
      </c>
      <c r="AZ1707" s="2">
        <f t="shared" ca="1" si="1662"/>
        <v>3966956.1095797536</v>
      </c>
      <c r="BA1707" s="2">
        <f t="shared" ca="1" si="1663"/>
        <v>64626836.443307124</v>
      </c>
      <c r="BB1707" s="2">
        <f t="shared" ca="1" si="1664"/>
        <v>1292536.7288661425</v>
      </c>
      <c r="BC1707" s="2">
        <f t="shared" ca="1" si="1665"/>
        <v>38129134.170005769</v>
      </c>
      <c r="BD1707" s="2">
        <f t="shared" ca="1" si="1666"/>
        <v>-18353658.927308276</v>
      </c>
      <c r="BE1707" s="2">
        <f t="shared" ca="1" si="1667"/>
        <v>2300416.931136685</v>
      </c>
      <c r="BF1707" s="2">
        <f t="shared" ca="1" si="1668"/>
        <v>2731774.309636855</v>
      </c>
      <c r="BG1707" s="2">
        <f t="shared" ca="1" si="1669"/>
        <v>3110117.8303148043</v>
      </c>
      <c r="BH1707" s="2">
        <f t="shared" ca="1" si="1670"/>
        <v>3520917.0410556658</v>
      </c>
      <c r="BI1707" s="2">
        <f t="shared" ca="1" si="1671"/>
        <v>42096090.279585525</v>
      </c>
      <c r="BJ1707" s="2">
        <f t="shared" ca="1" si="1672"/>
        <v>0.28265866677965956</v>
      </c>
      <c r="BK1707" s="2">
        <f t="shared" ca="1" si="1673"/>
        <v>14215817.533236686</v>
      </c>
    </row>
    <row r="1708" spans="1:63" x14ac:dyDescent="0.3">
      <c r="A1708" s="2">
        <v>1707</v>
      </c>
      <c r="B1708" s="2">
        <f t="shared" ca="1" si="1612"/>
        <v>0.26166816829615935</v>
      </c>
      <c r="C1708" s="2">
        <f t="shared" ca="1" si="1613"/>
        <v>6.7234198895470865</v>
      </c>
      <c r="D1708" s="2">
        <f t="shared" ca="1" si="1614"/>
        <v>0.35734118426155304</v>
      </c>
      <c r="E1708" s="2">
        <f t="shared" ca="1" si="1615"/>
        <v>7.345388885970892</v>
      </c>
      <c r="F1708" s="2">
        <f t="shared" ca="1" si="1616"/>
        <v>0.11895306113723181</v>
      </c>
      <c r="G1708" s="2">
        <f t="shared" ca="1" si="1617"/>
        <v>4.5929017175476913E-3</v>
      </c>
      <c r="H1708" s="2">
        <f t="shared" ca="1" si="1618"/>
        <v>4.5929017175476913E-3</v>
      </c>
      <c r="I1708" s="2">
        <f t="shared" ca="1" si="1619"/>
        <v>0.86139380888351236</v>
      </c>
      <c r="J1708" s="2">
        <f t="shared" ca="1" si="1620"/>
        <v>1.5433014054909905E-2</v>
      </c>
      <c r="K1708" s="2">
        <f t="shared" ca="1" si="1621"/>
        <v>1.5433014054909905E-2</v>
      </c>
      <c r="L1708" s="2">
        <f t="shared" ca="1" si="1622"/>
        <v>0.88923582616580488</v>
      </c>
      <c r="M1708" s="2">
        <f t="shared" ca="1" si="1623"/>
        <v>2.4449484369660046E-2</v>
      </c>
      <c r="N1708" s="2">
        <f t="shared" ca="1" si="1624"/>
        <v>2.4449484369660046E-2</v>
      </c>
      <c r="O1708" s="2">
        <f t="shared" si="1625"/>
        <v>6000000</v>
      </c>
      <c r="P1708" s="2">
        <f t="shared" ca="1" si="1626"/>
        <v>40340519.337282516</v>
      </c>
      <c r="Q1708" s="2">
        <f t="shared" ca="1" si="1627"/>
        <v>1008512.9834320629</v>
      </c>
      <c r="R1708" s="2">
        <f t="shared" ca="1" si="1628"/>
        <v>24204311.60236951</v>
      </c>
      <c r="S1708" s="2">
        <f t="shared" ca="1" si="1629"/>
        <v>16136207.734913006</v>
      </c>
      <c r="T1708" s="2">
        <f t="shared" ca="1" si="1630"/>
        <v>51222474.218483008</v>
      </c>
      <c r="U1708" s="2">
        <f t="shared" ca="1" si="1631"/>
        <v>51457734.008298121</v>
      </c>
      <c r="V1708" s="2">
        <f t="shared" ca="1" si="1632"/>
        <v>51694074.323205948</v>
      </c>
      <c r="W1708" s="2">
        <f t="shared" ca="1" si="1633"/>
        <v>51931500.125952035</v>
      </c>
      <c r="X1708" s="2">
        <f t="shared" ca="1" si="1634"/>
        <v>52170016.40207535</v>
      </c>
      <c r="Y1708" s="2">
        <f t="shared" ca="1" si="1635"/>
        <v>0.12771650702745496</v>
      </c>
      <c r="Z1708" s="2">
        <f t="shared" ca="1" si="1636"/>
        <v>0.13080310983843693</v>
      </c>
      <c r="AA1708" s="2">
        <f t="shared" ca="1" si="1637"/>
        <v>6541955.4884885158</v>
      </c>
      <c r="AB1708" s="2">
        <f t="shared" ca="1" si="1638"/>
        <v>6730831.6335244905</v>
      </c>
      <c r="AC1708" s="2">
        <f t="shared" ca="1" si="1639"/>
        <v>6761745.6816946296</v>
      </c>
      <c r="AD1708" s="2">
        <f t="shared" ca="1" si="1640"/>
        <v>6792801.7150497055</v>
      </c>
      <c r="AE1708" s="2">
        <f t="shared" ca="1" si="1641"/>
        <v>6824000.3857137179</v>
      </c>
      <c r="AF1708" s="2">
        <f t="shared" ca="1" si="1642"/>
        <v>1024449.4843696601</v>
      </c>
      <c r="AG1708" s="2">
        <f t="shared" ca="1" si="1643"/>
        <v>1029154.6801659624</v>
      </c>
      <c r="AH1708" s="2">
        <f t="shared" ca="1" si="1644"/>
        <v>1033881.4864641189</v>
      </c>
      <c r="AI1708" s="2">
        <f t="shared" ca="1" si="1645"/>
        <v>1038630.0025190407</v>
      </c>
      <c r="AJ1708" s="2">
        <f t="shared" ca="1" si="1646"/>
        <v>1043400.328041507</v>
      </c>
      <c r="AK1708" s="2">
        <f t="shared" ca="1" si="1647"/>
        <v>0</v>
      </c>
      <c r="AL1708" s="2">
        <f t="shared" ca="1" si="1648"/>
        <v>2352.5978981511294</v>
      </c>
      <c r="AM1708" s="2">
        <f t="shared" ca="1" si="1649"/>
        <v>2363.403149078265</v>
      </c>
      <c r="AN1708" s="2">
        <f t="shared" ca="1" si="1650"/>
        <v>2374.2580274608731</v>
      </c>
      <c r="AO1708" s="2">
        <f t="shared" ca="1" si="1651"/>
        <v>2385.1627612331508</v>
      </c>
      <c r="AP1708" s="2">
        <f t="shared" ca="1" si="1652"/>
        <v>2178388.0442132559</v>
      </c>
      <c r="AQ1708" s="2">
        <f t="shared" ca="1" si="1653"/>
        <v>868170.66957545606</v>
      </c>
      <c r="AR1708" s="2">
        <f t="shared" ca="1" si="1654"/>
        <v>916055.11637777078</v>
      </c>
      <c r="AS1708" s="2">
        <f t="shared" ca="1" si="1655"/>
        <v>922863.79926448641</v>
      </c>
      <c r="AT1708" s="2">
        <f t="shared" ca="1" si="1656"/>
        <v>929703.75376252644</v>
      </c>
      <c r="AU1708" s="2">
        <f t="shared" ca="1" si="1657"/>
        <v>936575.12349932839</v>
      </c>
      <c r="AV1708" s="2">
        <f t="shared" ca="1" si="1658"/>
        <v>2470947.2903301436</v>
      </c>
      <c r="AW1708" s="2">
        <f t="shared" ca="1" si="1659"/>
        <v>2604881.1948693506</v>
      </c>
      <c r="AX1708" s="2">
        <f t="shared" ca="1" si="1660"/>
        <v>2624248.9486036897</v>
      </c>
      <c r="AY1708" s="2">
        <f t="shared" ca="1" si="1661"/>
        <v>2643705.6565274224</v>
      </c>
      <c r="AZ1708" s="2">
        <f t="shared" ca="1" si="1662"/>
        <v>2663251.727198394</v>
      </c>
      <c r="BA1708" s="2">
        <f t="shared" ca="1" si="1663"/>
        <v>50124936.591082625</v>
      </c>
      <c r="BB1708" s="2">
        <f t="shared" ca="1" si="1664"/>
        <v>1002498.7318216525</v>
      </c>
      <c r="BC1708" s="2">
        <f t="shared" ca="1" si="1665"/>
        <v>24918126.256891463</v>
      </c>
      <c r="BD1708" s="2">
        <f t="shared" ca="1" si="1666"/>
        <v>-17644720.718345068</v>
      </c>
      <c r="BE1708" s="2">
        <f t="shared" ca="1" si="1667"/>
        <v>2470947.2903301436</v>
      </c>
      <c r="BF1708" s="2">
        <f t="shared" ca="1" si="1668"/>
        <v>2604881.1948693506</v>
      </c>
      <c r="BG1708" s="2">
        <f t="shared" ca="1" si="1669"/>
        <v>2624248.9486036897</v>
      </c>
      <c r="BH1708" s="2">
        <f t="shared" ca="1" si="1670"/>
        <v>2643705.6565274224</v>
      </c>
      <c r="BI1708" s="2">
        <f t="shared" ca="1" si="1671"/>
        <v>27581377.984089859</v>
      </c>
      <c r="BJ1708" s="2">
        <f t="shared" ca="1" si="1672"/>
        <v>0.20172458527694626</v>
      </c>
      <c r="BK1708" s="2">
        <f t="shared" ca="1" si="1673"/>
        <v>5836503.451311145</v>
      </c>
    </row>
    <row r="1709" spans="1:63" x14ac:dyDescent="0.3">
      <c r="A1709" s="2">
        <v>1708</v>
      </c>
      <c r="B1709" s="2">
        <f t="shared" ca="1" si="1612"/>
        <v>0.90356723604900446</v>
      </c>
      <c r="C1709" s="2">
        <f t="shared" ca="1" si="1613"/>
        <v>7.560835420483401</v>
      </c>
      <c r="D1709" s="2">
        <f t="shared" ca="1" si="1614"/>
        <v>0.49551135097962939</v>
      </c>
      <c r="E1709" s="2">
        <f t="shared" ca="1" si="1615"/>
        <v>7.4955012315207146</v>
      </c>
      <c r="F1709" s="2">
        <f t="shared" ca="1" si="1616"/>
        <v>3.4455942974165321E-3</v>
      </c>
      <c r="G1709" s="2">
        <f t="shared" ca="1" si="1617"/>
        <v>-4.1061718898906689E-2</v>
      </c>
      <c r="H1709" s="2">
        <f t="shared" ca="1" si="1618"/>
        <v>-0.02</v>
      </c>
      <c r="I1709" s="2">
        <f t="shared" ca="1" si="1619"/>
        <v>2.4452056654830079E-2</v>
      </c>
      <c r="J1709" s="2">
        <f t="shared" ca="1" si="1620"/>
        <v>1.5286654841908422E-4</v>
      </c>
      <c r="K1709" s="2">
        <f t="shared" ca="1" si="1621"/>
        <v>1.5286654841908422E-4</v>
      </c>
      <c r="L1709" s="2">
        <f t="shared" ca="1" si="1622"/>
        <v>0.910351417601166</v>
      </c>
      <c r="M1709" s="2">
        <f t="shared" ca="1" si="1623"/>
        <v>2.6858444144605254E-2</v>
      </c>
      <c r="N1709" s="2">
        <f t="shared" ca="1" si="1624"/>
        <v>2.6858444144605254E-2</v>
      </c>
      <c r="O1709" s="2">
        <f t="shared" si="1625"/>
        <v>6000000</v>
      </c>
      <c r="P1709" s="2">
        <f t="shared" ca="1" si="1626"/>
        <v>45365012.522900403</v>
      </c>
      <c r="Q1709" s="2">
        <f t="shared" ca="1" si="1627"/>
        <v>1134125.3130725101</v>
      </c>
      <c r="R1709" s="2">
        <f t="shared" ca="1" si="1628"/>
        <v>27219007.513740242</v>
      </c>
      <c r="S1709" s="2">
        <f t="shared" ca="1" si="1629"/>
        <v>18146005.009160161</v>
      </c>
      <c r="T1709" s="2">
        <f t="shared" ca="1" si="1630"/>
        <v>51342922.20723027</v>
      </c>
      <c r="U1709" s="2">
        <f t="shared" ca="1" si="1631"/>
        <v>50316063.763085663</v>
      </c>
      <c r="V1709" s="2">
        <f t="shared" ca="1" si="1632"/>
        <v>49309742.487823948</v>
      </c>
      <c r="W1709" s="2">
        <f t="shared" ca="1" si="1633"/>
        <v>48323547.638067469</v>
      </c>
      <c r="X1709" s="2">
        <f t="shared" ca="1" si="1634"/>
        <v>47357076.685306117</v>
      </c>
      <c r="Y1709" s="2">
        <f t="shared" ca="1" si="1635"/>
        <v>0.12007643327420954</v>
      </c>
      <c r="Z1709" s="2">
        <f t="shared" ca="1" si="1636"/>
        <v>0.12010700658389335</v>
      </c>
      <c r="AA1709" s="2">
        <f t="shared" ca="1" si="1637"/>
        <v>6165074.9725194164</v>
      </c>
      <c r="AB1709" s="2">
        <f t="shared" ca="1" si="1638"/>
        <v>6043311.8016685275</v>
      </c>
      <c r="AC1709" s="2">
        <f t="shared" ca="1" si="1639"/>
        <v>5922445.5656351568</v>
      </c>
      <c r="AD1709" s="2">
        <f t="shared" ca="1" si="1640"/>
        <v>5803996.6543224538</v>
      </c>
      <c r="AE1709" s="2">
        <f t="shared" ca="1" si="1641"/>
        <v>5687916.7212360045</v>
      </c>
      <c r="AF1709" s="2">
        <f t="shared" ca="1" si="1642"/>
        <v>1026858.4441446054</v>
      </c>
      <c r="AG1709" s="2">
        <f t="shared" ca="1" si="1643"/>
        <v>1006321.2752617133</v>
      </c>
      <c r="AH1709" s="2">
        <f t="shared" ca="1" si="1644"/>
        <v>986194.84975647903</v>
      </c>
      <c r="AI1709" s="2">
        <f t="shared" ca="1" si="1645"/>
        <v>966470.95276134938</v>
      </c>
      <c r="AJ1709" s="2">
        <f t="shared" ca="1" si="1646"/>
        <v>947141.53370612231</v>
      </c>
      <c r="AK1709" s="2">
        <f t="shared" ca="1" si="1647"/>
        <v>0</v>
      </c>
      <c r="AL1709" s="2">
        <f t="shared" ca="1" si="1648"/>
        <v>0</v>
      </c>
      <c r="AM1709" s="2">
        <f t="shared" ca="1" si="1649"/>
        <v>0</v>
      </c>
      <c r="AN1709" s="2">
        <f t="shared" ca="1" si="1650"/>
        <v>0</v>
      </c>
      <c r="AO1709" s="2">
        <f t="shared" ca="1" si="1651"/>
        <v>0</v>
      </c>
      <c r="AP1709" s="2">
        <f t="shared" ca="1" si="1652"/>
        <v>2449710.6762366216</v>
      </c>
      <c r="AQ1709" s="2">
        <f t="shared" ca="1" si="1653"/>
        <v>699011.52155592921</v>
      </c>
      <c r="AR1709" s="2">
        <f t="shared" ca="1" si="1654"/>
        <v>672692.7610442501</v>
      </c>
      <c r="AS1709" s="2">
        <f t="shared" ca="1" si="1655"/>
        <v>646500.41030693462</v>
      </c>
      <c r="AT1709" s="2">
        <f t="shared" ca="1" si="1656"/>
        <v>620831.90658436564</v>
      </c>
      <c r="AU1709" s="2">
        <f t="shared" ca="1" si="1657"/>
        <v>595676.77293624787</v>
      </c>
      <c r="AV1709" s="2">
        <f t="shared" ca="1" si="1658"/>
        <v>1989494.3305822597</v>
      </c>
      <c r="AW1709" s="2">
        <f t="shared" ca="1" si="1659"/>
        <v>1914587.0891259429</v>
      </c>
      <c r="AX1709" s="2">
        <f t="shared" ca="1" si="1660"/>
        <v>1840039.6293351217</v>
      </c>
      <c r="AY1709" s="2">
        <f t="shared" ca="1" si="1661"/>
        <v>1766983.1187401176</v>
      </c>
      <c r="AZ1709" s="2">
        <f t="shared" ca="1" si="1662"/>
        <v>1695387.7383570131</v>
      </c>
      <c r="BA1709" s="2">
        <f t="shared" ca="1" si="1663"/>
        <v>42633786.788811736</v>
      </c>
      <c r="BB1709" s="2">
        <f t="shared" ca="1" si="1664"/>
        <v>852675.73577623477</v>
      </c>
      <c r="BC1709" s="2">
        <f t="shared" ca="1" si="1665"/>
        <v>14562103.53929526</v>
      </c>
      <c r="BD1709" s="2">
        <f t="shared" ca="1" si="1666"/>
        <v>-19780130.322232671</v>
      </c>
      <c r="BE1709" s="2">
        <f t="shared" ca="1" si="1667"/>
        <v>1989494.3305822597</v>
      </c>
      <c r="BF1709" s="2">
        <f t="shared" ca="1" si="1668"/>
        <v>1914587.0891259429</v>
      </c>
      <c r="BG1709" s="2">
        <f t="shared" ca="1" si="1669"/>
        <v>1840039.6293351217</v>
      </c>
      <c r="BH1709" s="2">
        <f t="shared" ca="1" si="1670"/>
        <v>1766983.1187401176</v>
      </c>
      <c r="BI1709" s="2">
        <f t="shared" ca="1" si="1671"/>
        <v>16257491.277652273</v>
      </c>
      <c r="BJ1709" s="2">
        <f t="shared" ca="1" si="1672"/>
        <v>4.5217356383419727E-2</v>
      </c>
      <c r="BK1709" s="2">
        <f t="shared" ca="1" si="1673"/>
        <v>-4819908.255908154</v>
      </c>
    </row>
    <row r="1710" spans="1:63" x14ac:dyDescent="0.3">
      <c r="A1710" s="2">
        <v>1709</v>
      </c>
      <c r="B1710" s="2">
        <f t="shared" ca="1" si="1612"/>
        <v>0.23046867577342556</v>
      </c>
      <c r="C1710" s="2">
        <f t="shared" ca="1" si="1613"/>
        <v>6.678923671370244</v>
      </c>
      <c r="D1710" s="2">
        <f t="shared" ca="1" si="1614"/>
        <v>0.49117987744889202</v>
      </c>
      <c r="E1710" s="2">
        <f t="shared" ca="1" si="1615"/>
        <v>7.49114063325937</v>
      </c>
      <c r="F1710" s="2">
        <f t="shared" ca="1" si="1616"/>
        <v>0.50107168914577216</v>
      </c>
      <c r="G1710" s="2">
        <f t="shared" ca="1" si="1617"/>
        <v>4.0080589886359819E-2</v>
      </c>
      <c r="H1710" s="2">
        <f t="shared" ca="1" si="1618"/>
        <v>4.0080589886359819E-2</v>
      </c>
      <c r="I1710" s="2">
        <f t="shared" ca="1" si="1619"/>
        <v>0.2532873563934861</v>
      </c>
      <c r="J1710" s="2">
        <f t="shared" ca="1" si="1620"/>
        <v>6.6790968772503408E-3</v>
      </c>
      <c r="K1710" s="2">
        <f t="shared" ca="1" si="1621"/>
        <v>6.6790968772503408E-3</v>
      </c>
      <c r="L1710" s="2">
        <f t="shared" ca="1" si="1622"/>
        <v>0.76381692514105037</v>
      </c>
      <c r="M1710" s="2">
        <f t="shared" ca="1" si="1623"/>
        <v>1.4372690025922383E-2</v>
      </c>
      <c r="N1710" s="2">
        <f t="shared" ca="1" si="1624"/>
        <v>1.4372690025922383E-2</v>
      </c>
      <c r="O1710" s="2">
        <f t="shared" si="1625"/>
        <v>6000000</v>
      </c>
      <c r="P1710" s="2">
        <f t="shared" ca="1" si="1626"/>
        <v>40073542.028221466</v>
      </c>
      <c r="Q1710" s="2">
        <f t="shared" ca="1" si="1627"/>
        <v>1001838.5507055367</v>
      </c>
      <c r="R1710" s="2">
        <f t="shared" ca="1" si="1628"/>
        <v>24044125.216932878</v>
      </c>
      <c r="S1710" s="2">
        <f t="shared" ca="1" si="1629"/>
        <v>16029416.811288588</v>
      </c>
      <c r="T1710" s="2">
        <f t="shared" ca="1" si="1630"/>
        <v>50718634.501296125</v>
      </c>
      <c r="U1710" s="2">
        <f t="shared" ca="1" si="1631"/>
        <v>52751467.290338755</v>
      </c>
      <c r="V1710" s="2">
        <f t="shared" ca="1" si="1632"/>
        <v>54865777.216706552</v>
      </c>
      <c r="W1710" s="2">
        <f t="shared" ca="1" si="1633"/>
        <v>57064829.932125755</v>
      </c>
      <c r="X1710" s="2">
        <f t="shared" ca="1" si="1634"/>
        <v>59352021.977570161</v>
      </c>
      <c r="Y1710" s="2">
        <f t="shared" ca="1" si="1635"/>
        <v>0.12333954843862517</v>
      </c>
      <c r="Z1710" s="2">
        <f t="shared" ca="1" si="1636"/>
        <v>0.12467536781407523</v>
      </c>
      <c r="AA1710" s="2">
        <f t="shared" ca="1" si="1637"/>
        <v>6255613.4768135389</v>
      </c>
      <c r="AB1710" s="2">
        <f t="shared" ca="1" si="1638"/>
        <v>6576808.5871551428</v>
      </c>
      <c r="AC1710" s="2">
        <f t="shared" ca="1" si="1639"/>
        <v>6840410.9548979979</v>
      </c>
      <c r="AD1710" s="2">
        <f t="shared" ca="1" si="1640"/>
        <v>7114578.6610354278</v>
      </c>
      <c r="AE1710" s="2">
        <f t="shared" ca="1" si="1641"/>
        <v>7399735.170562637</v>
      </c>
      <c r="AF1710" s="2">
        <f t="shared" ca="1" si="1642"/>
        <v>1014372.6900259225</v>
      </c>
      <c r="AG1710" s="2">
        <f t="shared" ca="1" si="1643"/>
        <v>1055029.3458067751</v>
      </c>
      <c r="AH1710" s="2">
        <f t="shared" ca="1" si="1644"/>
        <v>1097315.5443341311</v>
      </c>
      <c r="AI1710" s="2">
        <f t="shared" ca="1" si="1645"/>
        <v>1141296.598642515</v>
      </c>
      <c r="AJ1710" s="2">
        <f t="shared" ca="1" si="1646"/>
        <v>1187040.4395514033</v>
      </c>
      <c r="AK1710" s="2">
        <f t="shared" ca="1" si="1647"/>
        <v>0</v>
      </c>
      <c r="AL1710" s="2">
        <f t="shared" ca="1" si="1648"/>
        <v>20328.327890426295</v>
      </c>
      <c r="AM1710" s="2">
        <f t="shared" ca="1" si="1649"/>
        <v>21143.09926367797</v>
      </c>
      <c r="AN1710" s="2">
        <f t="shared" ca="1" si="1650"/>
        <v>21990.52715419203</v>
      </c>
      <c r="AO1710" s="2">
        <f t="shared" ca="1" si="1651"/>
        <v>22871.920454444065</v>
      </c>
      <c r="AP1710" s="2">
        <f t="shared" ca="1" si="1652"/>
        <v>2163971.2695239591</v>
      </c>
      <c r="AQ1710" s="2">
        <f t="shared" ca="1" si="1653"/>
        <v>800090.07448855089</v>
      </c>
      <c r="AR1710" s="2">
        <f t="shared" ca="1" si="1654"/>
        <v>873030.07267434616</v>
      </c>
      <c r="AS1710" s="2">
        <f t="shared" ca="1" si="1655"/>
        <v>930572.27667037596</v>
      </c>
      <c r="AT1710" s="2">
        <f t="shared" ca="1" si="1656"/>
        <v>990420.80614592799</v>
      </c>
      <c r="AU1710" s="2">
        <f t="shared" ca="1" si="1657"/>
        <v>1052668.0999866915</v>
      </c>
      <c r="AV1710" s="2">
        <f t="shared" ca="1" si="1658"/>
        <v>2277179.4427751065</v>
      </c>
      <c r="AW1710" s="2">
        <f t="shared" ca="1" si="1659"/>
        <v>2464449.571259636</v>
      </c>
      <c r="AX1710" s="2">
        <f t="shared" ca="1" si="1660"/>
        <v>2627408.7651058533</v>
      </c>
      <c r="AY1710" s="2">
        <f t="shared" ca="1" si="1661"/>
        <v>2796899.4595688335</v>
      </c>
      <c r="AZ1710" s="2">
        <f t="shared" ca="1" si="1662"/>
        <v>2973183.4410461397</v>
      </c>
      <c r="BA1710" s="2">
        <f t="shared" ca="1" si="1663"/>
        <v>55432456.811560228</v>
      </c>
      <c r="BB1710" s="2">
        <f t="shared" ca="1" si="1664"/>
        <v>1108649.1362312045</v>
      </c>
      <c r="BC1710" s="2">
        <f t="shared" ca="1" si="1665"/>
        <v>30279682.458396144</v>
      </c>
      <c r="BD1710" s="2">
        <f t="shared" ca="1" si="1666"/>
        <v>-17531255.361994125</v>
      </c>
      <c r="BE1710" s="2">
        <f t="shared" ca="1" si="1667"/>
        <v>2277179.4427751065</v>
      </c>
      <c r="BF1710" s="2">
        <f t="shared" ca="1" si="1668"/>
        <v>2464449.571259636</v>
      </c>
      <c r="BG1710" s="2">
        <f t="shared" ca="1" si="1669"/>
        <v>2627408.7651058533</v>
      </c>
      <c r="BH1710" s="2">
        <f t="shared" ca="1" si="1670"/>
        <v>2796899.4595688335</v>
      </c>
      <c r="BI1710" s="2">
        <f t="shared" ca="1" si="1671"/>
        <v>33252865.899442285</v>
      </c>
      <c r="BJ1710" s="2">
        <f t="shared" ca="1" si="1672"/>
        <v>0.23672051057723009</v>
      </c>
      <c r="BK1710" s="2">
        <f t="shared" ca="1" si="1673"/>
        <v>8982771.6517201252</v>
      </c>
    </row>
    <row r="1711" spans="1:63" x14ac:dyDescent="0.3">
      <c r="A1711" s="2">
        <v>1710</v>
      </c>
      <c r="B1711" s="2">
        <f t="shared" ca="1" si="1612"/>
        <v>0.70820839073270336</v>
      </c>
      <c r="C1711" s="2">
        <f t="shared" ca="1" si="1613"/>
        <v>7.2360738134252802</v>
      </c>
      <c r="D1711" s="2">
        <f t="shared" ca="1" si="1614"/>
        <v>5.2310291220297955E-2</v>
      </c>
      <c r="E1711" s="2">
        <f t="shared" ca="1" si="1615"/>
        <v>6.823451051073568</v>
      </c>
      <c r="F1711" s="2">
        <f t="shared" ca="1" si="1616"/>
        <v>0.74860496048661529</v>
      </c>
      <c r="G1711" s="2">
        <f t="shared" ca="1" si="1617"/>
        <v>6.010318664968485E-2</v>
      </c>
      <c r="H1711" s="2">
        <f t="shared" ca="1" si="1618"/>
        <v>6.010318664968485E-2</v>
      </c>
      <c r="I1711" s="2">
        <f t="shared" ca="1" si="1619"/>
        <v>0.49237436872127116</v>
      </c>
      <c r="J1711" s="2">
        <f t="shared" ca="1" si="1620"/>
        <v>9.9044210644738777E-3</v>
      </c>
      <c r="K1711" s="2">
        <f t="shared" ca="1" si="1621"/>
        <v>9.9044210644738777E-3</v>
      </c>
      <c r="L1711" s="2">
        <f t="shared" ca="1" si="1622"/>
        <v>0.33732265606340617</v>
      </c>
      <c r="M1711" s="2">
        <f t="shared" ca="1" si="1623"/>
        <v>-8.3956236676247017E-3</v>
      </c>
      <c r="N1711" s="2">
        <f t="shared" ca="1" si="1624"/>
        <v>-8.3956236676247017E-3</v>
      </c>
      <c r="O1711" s="2">
        <f t="shared" si="1625"/>
        <v>6000000</v>
      </c>
      <c r="P1711" s="2">
        <f t="shared" ca="1" si="1626"/>
        <v>43416442.880551681</v>
      </c>
      <c r="Q1711" s="2">
        <f t="shared" ca="1" si="1627"/>
        <v>1085411.0720137921</v>
      </c>
      <c r="R1711" s="2">
        <f t="shared" ca="1" si="1628"/>
        <v>26049865.728331007</v>
      </c>
      <c r="S1711" s="2">
        <f t="shared" ca="1" si="1629"/>
        <v>17366577.152220674</v>
      </c>
      <c r="T1711" s="2">
        <f t="shared" ca="1" si="1630"/>
        <v>49580218.816618763</v>
      </c>
      <c r="U1711" s="2">
        <f t="shared" ca="1" si="1631"/>
        <v>52560147.962286219</v>
      </c>
      <c r="V1711" s="2">
        <f t="shared" ca="1" si="1632"/>
        <v>55719180.345598556</v>
      </c>
      <c r="W1711" s="2">
        <f t="shared" ca="1" si="1633"/>
        <v>59068080.641877517</v>
      </c>
      <c r="X1711" s="2">
        <f t="shared" ca="1" si="1634"/>
        <v>62618260.517734915</v>
      </c>
      <c r="Y1711" s="2">
        <f t="shared" ca="1" si="1635"/>
        <v>0.12495221053223693</v>
      </c>
      <c r="Z1711" s="2">
        <f t="shared" ca="1" si="1636"/>
        <v>0.1269330947451317</v>
      </c>
      <c r="AA1711" s="2">
        <f t="shared" ca="1" si="1637"/>
        <v>6195157.9398085224</v>
      </c>
      <c r="AB1711" s="2">
        <f t="shared" ca="1" si="1638"/>
        <v>6671622.2411150178</v>
      </c>
      <c r="AC1711" s="2">
        <f t="shared" ca="1" si="1639"/>
        <v>7072607.9979289416</v>
      </c>
      <c r="AD1711" s="2">
        <f t="shared" ca="1" si="1640"/>
        <v>7497694.2765285186</v>
      </c>
      <c r="AE1711" s="2">
        <f t="shared" ca="1" si="1641"/>
        <v>7948329.5950729856</v>
      </c>
      <c r="AF1711" s="2">
        <f t="shared" ca="1" si="1642"/>
        <v>991604.37633237522</v>
      </c>
      <c r="AG1711" s="2">
        <f t="shared" ca="1" si="1643"/>
        <v>1051202.9592457244</v>
      </c>
      <c r="AH1711" s="2">
        <f t="shared" ca="1" si="1644"/>
        <v>1114383.6069119712</v>
      </c>
      <c r="AI1711" s="2">
        <f t="shared" ca="1" si="1645"/>
        <v>1181361.6128375505</v>
      </c>
      <c r="AJ1711" s="2">
        <f t="shared" ca="1" si="1646"/>
        <v>1252365.2103546984</v>
      </c>
      <c r="AK1711" s="2">
        <f t="shared" ca="1" si="1647"/>
        <v>0</v>
      </c>
      <c r="AL1711" s="2">
        <f t="shared" ca="1" si="1648"/>
        <v>29799.29145667456</v>
      </c>
      <c r="AM1711" s="2">
        <f t="shared" ca="1" si="1649"/>
        <v>31590.323833123373</v>
      </c>
      <c r="AN1711" s="2">
        <f t="shared" ca="1" si="1650"/>
        <v>33489.002962789607</v>
      </c>
      <c r="AO1711" s="2">
        <f t="shared" ca="1" si="1651"/>
        <v>35501.798758573983</v>
      </c>
      <c r="AP1711" s="2">
        <f t="shared" ca="1" si="1652"/>
        <v>2344487.9155497905</v>
      </c>
      <c r="AQ1711" s="2">
        <f t="shared" ca="1" si="1653"/>
        <v>743357.06846085272</v>
      </c>
      <c r="AR1711" s="2">
        <f t="shared" ca="1" si="1654"/>
        <v>851742.15524307068</v>
      </c>
      <c r="AS1711" s="2">
        <f t="shared" ca="1" si="1655"/>
        <v>939571.48362146679</v>
      </c>
      <c r="AT1711" s="2">
        <f t="shared" ca="1" si="1656"/>
        <v>1032679.6345167063</v>
      </c>
      <c r="AU1711" s="2">
        <f t="shared" ca="1" si="1657"/>
        <v>1131383.8819838094</v>
      </c>
      <c r="AV1711" s="2">
        <f t="shared" ca="1" si="1658"/>
        <v>2115708.5794655038</v>
      </c>
      <c r="AW1711" s="2">
        <f t="shared" ca="1" si="1659"/>
        <v>2394389.9196197577</v>
      </c>
      <c r="AX1711" s="2">
        <f t="shared" ca="1" si="1660"/>
        <v>2642574.6680125892</v>
      </c>
      <c r="AY1711" s="2">
        <f t="shared" ca="1" si="1661"/>
        <v>2905676.1106616817</v>
      </c>
      <c r="AZ1711" s="2">
        <f t="shared" ca="1" si="1662"/>
        <v>3184590.7884261142</v>
      </c>
      <c r="BA1711" s="2">
        <f t="shared" ca="1" si="1663"/>
        <v>54235037.92977991</v>
      </c>
      <c r="BB1711" s="2">
        <f t="shared" ca="1" si="1664"/>
        <v>1084700.7585955982</v>
      </c>
      <c r="BC1711" s="2">
        <f t="shared" ca="1" si="1665"/>
        <v>27100471.442853305</v>
      </c>
      <c r="BD1711" s="2">
        <f t="shared" ca="1" si="1666"/>
        <v>-18951988.224234466</v>
      </c>
      <c r="BE1711" s="2">
        <f t="shared" ca="1" si="1667"/>
        <v>2115708.5794655038</v>
      </c>
      <c r="BF1711" s="2">
        <f t="shared" ca="1" si="1668"/>
        <v>2394389.9196197577</v>
      </c>
      <c r="BG1711" s="2">
        <f t="shared" ca="1" si="1669"/>
        <v>2642574.6680125892</v>
      </c>
      <c r="BH1711" s="2">
        <f t="shared" ca="1" si="1670"/>
        <v>2905676.1106616817</v>
      </c>
      <c r="BI1711" s="2">
        <f t="shared" ca="1" si="1671"/>
        <v>30285062.231279418</v>
      </c>
      <c r="BJ1711" s="2">
        <f t="shared" ca="1" si="1672"/>
        <v>0.19340849237958802</v>
      </c>
      <c r="BK1711" s="2">
        <f t="shared" ca="1" si="1673"/>
        <v>5757930.065051157</v>
      </c>
    </row>
    <row r="1712" spans="1:63" x14ac:dyDescent="0.3">
      <c r="A1712" s="2">
        <v>1711</v>
      </c>
      <c r="B1712" s="2">
        <f t="shared" ca="1" si="1612"/>
        <v>0.29862540488727374</v>
      </c>
      <c r="C1712" s="2">
        <f t="shared" ca="1" si="1613"/>
        <v>6.772820037120252</v>
      </c>
      <c r="D1712" s="2">
        <f t="shared" ca="1" si="1614"/>
        <v>0.58979386526627486</v>
      </c>
      <c r="E1712" s="2">
        <f t="shared" ca="1" si="1615"/>
        <v>7.5942338770590663</v>
      </c>
      <c r="F1712" s="2">
        <f t="shared" ca="1" si="1616"/>
        <v>2.7572876689359149E-2</v>
      </c>
      <c r="G1712" s="2">
        <f t="shared" ca="1" si="1617"/>
        <v>-1.7531782313476171E-2</v>
      </c>
      <c r="H1712" s="2">
        <f t="shared" ca="1" si="1618"/>
        <v>-1.7531782313476171E-2</v>
      </c>
      <c r="I1712" s="2">
        <f t="shared" ca="1" si="1619"/>
        <v>6.5623877257923957E-2</v>
      </c>
      <c r="J1712" s="2">
        <f t="shared" ca="1" si="1620"/>
        <v>2.4540014540223257E-3</v>
      </c>
      <c r="K1712" s="2">
        <f t="shared" ca="1" si="1621"/>
        <v>2.4540014540223257E-3</v>
      </c>
      <c r="L1712" s="2">
        <f t="shared" ca="1" si="1622"/>
        <v>0.50284455390698501</v>
      </c>
      <c r="M1712" s="2">
        <f t="shared" ca="1" si="1623"/>
        <v>1.4260599340600532E-4</v>
      </c>
      <c r="N1712" s="2">
        <f t="shared" ca="1" si="1624"/>
        <v>1.4260599340600532E-4</v>
      </c>
      <c r="O1712" s="2">
        <f t="shared" si="1625"/>
        <v>6000000</v>
      </c>
      <c r="P1712" s="2">
        <f t="shared" ca="1" si="1626"/>
        <v>40636920.22272151</v>
      </c>
      <c r="Q1712" s="2">
        <f t="shared" ca="1" si="1627"/>
        <v>1015923.0055680377</v>
      </c>
      <c r="R1712" s="2">
        <f t="shared" ca="1" si="1628"/>
        <v>24382152.133632906</v>
      </c>
      <c r="S1712" s="2">
        <f t="shared" ca="1" si="1629"/>
        <v>16254768.089088604</v>
      </c>
      <c r="T1712" s="2">
        <f t="shared" ca="1" si="1630"/>
        <v>50007130.299670301</v>
      </c>
      <c r="U1712" s="2">
        <f t="shared" ca="1" si="1631"/>
        <v>49130416.177134842</v>
      </c>
      <c r="V1712" s="2">
        <f t="shared" ca="1" si="1632"/>
        <v>48269072.415746823</v>
      </c>
      <c r="W1712" s="2">
        <f t="shared" ca="1" si="1633"/>
        <v>47422829.54568053</v>
      </c>
      <c r="X1712" s="2">
        <f t="shared" ca="1" si="1634"/>
        <v>46591422.821396574</v>
      </c>
      <c r="Y1712" s="2">
        <f t="shared" ca="1" si="1635"/>
        <v>0.12122700072701116</v>
      </c>
      <c r="Z1712" s="2">
        <f t="shared" ca="1" si="1636"/>
        <v>0.12171780101781562</v>
      </c>
      <c r="AA1712" s="2">
        <f t="shared" ca="1" si="1637"/>
        <v>6062214.4211938735</v>
      </c>
      <c r="AB1712" s="2">
        <f t="shared" ca="1" si="1638"/>
        <v>5980046.2201709682</v>
      </c>
      <c r="AC1712" s="2">
        <f t="shared" ca="1" si="1639"/>
        <v>5875205.3516144045</v>
      </c>
      <c r="AD1712" s="2">
        <f t="shared" ca="1" si="1640"/>
        <v>5772202.5303429309</v>
      </c>
      <c r="AE1712" s="2">
        <f t="shared" ca="1" si="1641"/>
        <v>5671005.5321116624</v>
      </c>
      <c r="AF1712" s="2">
        <f t="shared" ca="1" si="1642"/>
        <v>1000142.605993406</v>
      </c>
      <c r="AG1712" s="2">
        <f t="shared" ca="1" si="1643"/>
        <v>982608.32354269689</v>
      </c>
      <c r="AH1712" s="2">
        <f t="shared" ca="1" si="1644"/>
        <v>965381.44831493648</v>
      </c>
      <c r="AI1712" s="2">
        <f t="shared" ca="1" si="1645"/>
        <v>948456.59091361065</v>
      </c>
      <c r="AJ1712" s="2">
        <f t="shared" ca="1" si="1646"/>
        <v>931828.45642793155</v>
      </c>
      <c r="AK1712" s="2">
        <f t="shared" ca="1" si="1647"/>
        <v>0</v>
      </c>
      <c r="AL1712" s="2">
        <f t="shared" ca="1" si="1648"/>
        <v>0</v>
      </c>
      <c r="AM1712" s="2">
        <f t="shared" ca="1" si="1649"/>
        <v>0</v>
      </c>
      <c r="AN1712" s="2">
        <f t="shared" ca="1" si="1650"/>
        <v>0</v>
      </c>
      <c r="AO1712" s="2">
        <f t="shared" ca="1" si="1651"/>
        <v>0</v>
      </c>
      <c r="AP1712" s="2">
        <f t="shared" ca="1" si="1652"/>
        <v>2194393.6920269616</v>
      </c>
      <c r="AQ1712" s="2">
        <f t="shared" ca="1" si="1653"/>
        <v>745596.31202511163</v>
      </c>
      <c r="AR1712" s="2">
        <f t="shared" ca="1" si="1654"/>
        <v>728791.49319634063</v>
      </c>
      <c r="AS1712" s="2">
        <f t="shared" ca="1" si="1655"/>
        <v>706011.85493085161</v>
      </c>
      <c r="AT1712" s="2">
        <f t="shared" ca="1" si="1656"/>
        <v>683631.58432461333</v>
      </c>
      <c r="AU1712" s="2">
        <f t="shared" ca="1" si="1657"/>
        <v>661643.67975075997</v>
      </c>
      <c r="AV1712" s="2">
        <f t="shared" ca="1" si="1658"/>
        <v>2122081.8111483939</v>
      </c>
      <c r="AW1712" s="2">
        <f t="shared" ca="1" si="1659"/>
        <v>2074252.7114049699</v>
      </c>
      <c r="AX1712" s="2">
        <f t="shared" ca="1" si="1660"/>
        <v>2009418.3563416544</v>
      </c>
      <c r="AY1712" s="2">
        <f t="shared" ca="1" si="1661"/>
        <v>1945720.6630777456</v>
      </c>
      <c r="AZ1712" s="2">
        <f t="shared" ca="1" si="1662"/>
        <v>1883139.703906009</v>
      </c>
      <c r="BA1712" s="2">
        <f t="shared" ca="1" si="1663"/>
        <v>43066942.328951761</v>
      </c>
      <c r="BB1712" s="2">
        <f t="shared" ca="1" si="1664"/>
        <v>861338.84657903528</v>
      </c>
      <c r="BC1712" s="2">
        <f t="shared" ca="1" si="1665"/>
        <v>17823451.348739821</v>
      </c>
      <c r="BD1712" s="2">
        <f t="shared" ca="1" si="1666"/>
        <v>-17770691.094656643</v>
      </c>
      <c r="BE1712" s="2">
        <f t="shared" ca="1" si="1667"/>
        <v>2122081.8111483939</v>
      </c>
      <c r="BF1712" s="2">
        <f t="shared" ca="1" si="1668"/>
        <v>2074252.7114049699</v>
      </c>
      <c r="BG1712" s="2">
        <f t="shared" ca="1" si="1669"/>
        <v>2009418.3563416544</v>
      </c>
      <c r="BH1712" s="2">
        <f t="shared" ca="1" si="1670"/>
        <v>1945720.6630777456</v>
      </c>
      <c r="BI1712" s="2">
        <f t="shared" ca="1" si="1671"/>
        <v>19706591.052645832</v>
      </c>
      <c r="BJ1712" s="2">
        <f t="shared" ca="1" si="1672"/>
        <v>0.11413927406945112</v>
      </c>
      <c r="BK1712" s="2">
        <f t="shared" ca="1" si="1673"/>
        <v>-373539.67933540791</v>
      </c>
    </row>
    <row r="1713" spans="1:63" x14ac:dyDescent="0.3">
      <c r="A1713" s="2">
        <v>1712</v>
      </c>
      <c r="B1713" s="2">
        <f t="shared" ca="1" si="1612"/>
        <v>0.99424149773413195</v>
      </c>
      <c r="C1713" s="2">
        <f t="shared" ca="1" si="1613"/>
        <v>7.8926826923011202</v>
      </c>
      <c r="D1713" s="2">
        <f t="shared" ca="1" si="1614"/>
        <v>0.4491271131929796</v>
      </c>
      <c r="E1713" s="2">
        <f t="shared" ca="1" si="1615"/>
        <v>7.4477627479416775</v>
      </c>
      <c r="F1713" s="2">
        <f t="shared" ca="1" si="1616"/>
        <v>0.99801112704037942</v>
      </c>
      <c r="G1713" s="2">
        <f t="shared" ca="1" si="1617"/>
        <v>0.1263976356276712</v>
      </c>
      <c r="H1713" s="2">
        <f t="shared" ca="1" si="1618"/>
        <v>0.12</v>
      </c>
      <c r="I1713" s="2">
        <f t="shared" ca="1" si="1619"/>
        <v>0.7005512660826958</v>
      </c>
      <c r="J1713" s="2">
        <f t="shared" ca="1" si="1620"/>
        <v>1.2629933356284415E-2</v>
      </c>
      <c r="K1713" s="2">
        <f t="shared" ca="1" si="1621"/>
        <v>1.2629933356284415E-2</v>
      </c>
      <c r="L1713" s="2">
        <f t="shared" ca="1" si="1622"/>
        <v>0.59140806682211677</v>
      </c>
      <c r="M1713" s="2">
        <f t="shared" ca="1" si="1623"/>
        <v>4.6233708821700947E-3</v>
      </c>
      <c r="N1713" s="2">
        <f t="shared" ca="1" si="1624"/>
        <v>4.6233708821700947E-3</v>
      </c>
      <c r="O1713" s="2">
        <f t="shared" si="1625"/>
        <v>6000000</v>
      </c>
      <c r="P1713" s="2">
        <f t="shared" ca="1" si="1626"/>
        <v>47356096.153806724</v>
      </c>
      <c r="Q1713" s="2">
        <f t="shared" ca="1" si="1627"/>
        <v>1183902.4038451682</v>
      </c>
      <c r="R1713" s="2">
        <f t="shared" ca="1" si="1628"/>
        <v>28413657.692284033</v>
      </c>
      <c r="S1713" s="2">
        <f t="shared" ca="1" si="1629"/>
        <v>18942438.461522691</v>
      </c>
      <c r="T1713" s="2">
        <f t="shared" ca="1" si="1630"/>
        <v>50231168.54410851</v>
      </c>
      <c r="U1713" s="2">
        <f t="shared" ca="1" si="1631"/>
        <v>56258908.769401535</v>
      </c>
      <c r="V1713" s="2">
        <f t="shared" ca="1" si="1632"/>
        <v>63009977.821729727</v>
      </c>
      <c r="W1713" s="2">
        <f t="shared" ca="1" si="1633"/>
        <v>70571175.160337299</v>
      </c>
      <c r="X1713" s="2">
        <f t="shared" ca="1" si="1634"/>
        <v>79039716.179577783</v>
      </c>
      <c r="Y1713" s="2">
        <f t="shared" ca="1" si="1635"/>
        <v>0.12631496667814221</v>
      </c>
      <c r="Z1713" s="2">
        <f t="shared" ca="1" si="1636"/>
        <v>0.12884095334939907</v>
      </c>
      <c r="AA1713" s="2">
        <f t="shared" ca="1" si="1637"/>
        <v>6344948.3808532115</v>
      </c>
      <c r="AB1713" s="2">
        <f t="shared" ca="1" si="1638"/>
        <v>7248451.4402465615</v>
      </c>
      <c r="AC1713" s="2">
        <f t="shared" ca="1" si="1639"/>
        <v>8118265.6130761504</v>
      </c>
      <c r="AD1713" s="2">
        <f t="shared" ca="1" si="1640"/>
        <v>9092457.4866452888</v>
      </c>
      <c r="AE1713" s="2">
        <f t="shared" ca="1" si="1641"/>
        <v>10183552.385042725</v>
      </c>
      <c r="AF1713" s="2">
        <f t="shared" ca="1" si="1642"/>
        <v>1004623.3708821703</v>
      </c>
      <c r="AG1713" s="2">
        <f t="shared" ca="1" si="1643"/>
        <v>1125178.1753880307</v>
      </c>
      <c r="AH1713" s="2">
        <f t="shared" ca="1" si="1644"/>
        <v>1260199.5564345946</v>
      </c>
      <c r="AI1713" s="2">
        <f t="shared" ca="1" si="1645"/>
        <v>1411423.503206746</v>
      </c>
      <c r="AJ1713" s="2">
        <f t="shared" ca="1" si="1646"/>
        <v>1580794.3235915557</v>
      </c>
      <c r="AK1713" s="2">
        <f t="shared" ca="1" si="1647"/>
        <v>0</v>
      </c>
      <c r="AL1713" s="2">
        <f t="shared" ca="1" si="1648"/>
        <v>60277.402252930253</v>
      </c>
      <c r="AM1713" s="2">
        <f t="shared" ca="1" si="1649"/>
        <v>67510.690523281912</v>
      </c>
      <c r="AN1713" s="2">
        <f t="shared" ca="1" si="1650"/>
        <v>75611.973386075726</v>
      </c>
      <c r="AO1713" s="2">
        <f t="shared" ca="1" si="1651"/>
        <v>84685.410192404845</v>
      </c>
      <c r="AP1713" s="2">
        <f t="shared" ca="1" si="1652"/>
        <v>2557229.192305563</v>
      </c>
      <c r="AQ1713" s="2">
        <f t="shared" ca="1" si="1653"/>
        <v>723604.91259302432</v>
      </c>
      <c r="AR1713" s="2">
        <f t="shared" ca="1" si="1654"/>
        <v>927171.45886377164</v>
      </c>
      <c r="AS1713" s="2">
        <f t="shared" ca="1" si="1655"/>
        <v>1118217.5847273583</v>
      </c>
      <c r="AT1713" s="2">
        <f t="shared" ca="1" si="1656"/>
        <v>1332189.2456945749</v>
      </c>
      <c r="AU1713" s="2">
        <f t="shared" ca="1" si="1657"/>
        <v>1571837.5059778576</v>
      </c>
      <c r="AV1713" s="2">
        <f t="shared" ca="1" si="1658"/>
        <v>2059490.9050724544</v>
      </c>
      <c r="AW1713" s="2">
        <f t="shared" ca="1" si="1659"/>
        <v>2578595.2114362661</v>
      </c>
      <c r="AX1713" s="2">
        <f t="shared" ca="1" si="1660"/>
        <v>3115108.5890853535</v>
      </c>
      <c r="AY1713" s="2">
        <f t="shared" ca="1" si="1661"/>
        <v>3716003.5720523298</v>
      </c>
      <c r="AZ1713" s="2">
        <f t="shared" ca="1" si="1662"/>
        <v>4389005.9529753439</v>
      </c>
      <c r="BA1713" s="2">
        <f t="shared" ca="1" si="1663"/>
        <v>75844682.095033824</v>
      </c>
      <c r="BB1713" s="2">
        <f t="shared" ca="1" si="1664"/>
        <v>1516893.6419006765</v>
      </c>
      <c r="BC1713" s="2">
        <f t="shared" ca="1" si="1665"/>
        <v>45914130.760849118</v>
      </c>
      <c r="BD1713" s="2">
        <f t="shared" ca="1" si="1666"/>
        <v>-20626340.86536786</v>
      </c>
      <c r="BE1713" s="2">
        <f t="shared" ca="1" si="1667"/>
        <v>2059490.9050724544</v>
      </c>
      <c r="BF1713" s="2">
        <f t="shared" ca="1" si="1668"/>
        <v>2578595.2114362661</v>
      </c>
      <c r="BG1713" s="2">
        <f t="shared" ca="1" si="1669"/>
        <v>3115108.5890853535</v>
      </c>
      <c r="BH1713" s="2">
        <f t="shared" ca="1" si="1670"/>
        <v>3716003.5720523298</v>
      </c>
      <c r="BI1713" s="2">
        <f t="shared" ca="1" si="1671"/>
        <v>50303136.713824466</v>
      </c>
      <c r="BJ1713" s="2">
        <f t="shared" ca="1" si="1672"/>
        <v>0.28096761314261043</v>
      </c>
      <c r="BK1713" s="2">
        <f t="shared" ca="1" si="1673"/>
        <v>16390341.526384056</v>
      </c>
    </row>
    <row r="1714" spans="1:63" x14ac:dyDescent="0.3">
      <c r="A1714" s="2">
        <v>1713</v>
      </c>
      <c r="B1714" s="2">
        <f t="shared" ca="1" si="1612"/>
        <v>5.8400679123780441E-2</v>
      </c>
      <c r="C1714" s="2">
        <f t="shared" ca="1" si="1613"/>
        <v>6.3417621369425827</v>
      </c>
      <c r="D1714" s="2">
        <f t="shared" ca="1" si="1614"/>
        <v>0.10146394466021058</v>
      </c>
      <c r="E1714" s="2">
        <f t="shared" ca="1" si="1615"/>
        <v>6.9504751816919788</v>
      </c>
      <c r="F1714" s="2">
        <f t="shared" ca="1" si="1616"/>
        <v>0.73120468462484922</v>
      </c>
      <c r="G1714" s="2">
        <f t="shared" ca="1" si="1617"/>
        <v>5.8493815152148194E-2</v>
      </c>
      <c r="H1714" s="2">
        <f t="shared" ca="1" si="1618"/>
        <v>5.8493815152148194E-2</v>
      </c>
      <c r="I1714" s="2">
        <f t="shared" ca="1" si="1619"/>
        <v>0.91105869478764878</v>
      </c>
      <c r="J1714" s="2">
        <f t="shared" ca="1" si="1620"/>
        <v>1.6736515867971362E-2</v>
      </c>
      <c r="K1714" s="2">
        <f t="shared" ca="1" si="1621"/>
        <v>1.6736515867971362E-2</v>
      </c>
      <c r="L1714" s="2">
        <f t="shared" ca="1" si="1622"/>
        <v>0.75954258420211229</v>
      </c>
      <c r="M1714" s="2">
        <f t="shared" ca="1" si="1623"/>
        <v>1.4096638721207656E-2</v>
      </c>
      <c r="N1714" s="2">
        <f t="shared" ca="1" si="1624"/>
        <v>1.4096638721207656E-2</v>
      </c>
      <c r="O1714" s="2">
        <f t="shared" si="1625"/>
        <v>6000000</v>
      </c>
      <c r="P1714" s="2">
        <f t="shared" ca="1" si="1626"/>
        <v>38050572.821655497</v>
      </c>
      <c r="Q1714" s="2">
        <f t="shared" ca="1" si="1627"/>
        <v>951264.32054138742</v>
      </c>
      <c r="R1714" s="2">
        <f t="shared" ca="1" si="1628"/>
        <v>22830343.692993298</v>
      </c>
      <c r="S1714" s="2">
        <f t="shared" ca="1" si="1629"/>
        <v>15220229.128662199</v>
      </c>
      <c r="T1714" s="2">
        <f t="shared" ca="1" si="1630"/>
        <v>50704831.936060376</v>
      </c>
      <c r="U1714" s="2">
        <f t="shared" ca="1" si="1631"/>
        <v>53670751.002649032</v>
      </c>
      <c r="V1714" s="2">
        <f t="shared" ca="1" si="1632"/>
        <v>56810157.990874954</v>
      </c>
      <c r="W1714" s="2">
        <f t="shared" ca="1" si="1633"/>
        <v>60133200.871157527</v>
      </c>
      <c r="X1714" s="2">
        <f t="shared" ca="1" si="1634"/>
        <v>63650621.207422011</v>
      </c>
      <c r="Y1714" s="2">
        <f t="shared" ca="1" si="1635"/>
        <v>0.12836825793398568</v>
      </c>
      <c r="Z1714" s="2">
        <f t="shared" ca="1" si="1636"/>
        <v>0.13171556110757995</v>
      </c>
      <c r="AA1714" s="2">
        <f t="shared" ca="1" si="1637"/>
        <v>6508890.944467593</v>
      </c>
      <c r="AB1714" s="2">
        <f t="shared" ca="1" si="1638"/>
        <v>7069273.0833791262</v>
      </c>
      <c r="AC1714" s="2">
        <f t="shared" ca="1" si="1639"/>
        <v>7482781.8363783611</v>
      </c>
      <c r="AD1714" s="2">
        <f t="shared" ca="1" si="1640"/>
        <v>7920478.2939393297</v>
      </c>
      <c r="AE1714" s="2">
        <f t="shared" ca="1" si="1641"/>
        <v>8383777.2871816186</v>
      </c>
      <c r="AF1714" s="2">
        <f t="shared" ca="1" si="1642"/>
        <v>1014096.6387212075</v>
      </c>
      <c r="AG1714" s="2">
        <f t="shared" ca="1" si="1643"/>
        <v>1073415.0200529806</v>
      </c>
      <c r="AH1714" s="2">
        <f t="shared" ca="1" si="1644"/>
        <v>1136203.1598174991</v>
      </c>
      <c r="AI1714" s="2">
        <f t="shared" ca="1" si="1645"/>
        <v>1202664.0174231506</v>
      </c>
      <c r="AJ1714" s="2">
        <f t="shared" ca="1" si="1646"/>
        <v>1273012.4241484401</v>
      </c>
      <c r="AK1714" s="2">
        <f t="shared" ca="1" si="1647"/>
        <v>0</v>
      </c>
      <c r="AL1714" s="2">
        <f t="shared" ca="1" si="1648"/>
        <v>29659.190665886552</v>
      </c>
      <c r="AM1714" s="2">
        <f t="shared" ca="1" si="1649"/>
        <v>31394.06988225922</v>
      </c>
      <c r="AN1714" s="2">
        <f t="shared" ca="1" si="1650"/>
        <v>33230.428802825736</v>
      </c>
      <c r="AO1714" s="2">
        <f t="shared" ca="1" si="1651"/>
        <v>35174.203362644839</v>
      </c>
      <c r="AP1714" s="2">
        <f t="shared" ca="1" si="1652"/>
        <v>2054730.9323693968</v>
      </c>
      <c r="AQ1714" s="2">
        <f t="shared" ca="1" si="1653"/>
        <v>894416.47707801708</v>
      </c>
      <c r="AR1714" s="2">
        <f t="shared" ca="1" si="1654"/>
        <v>1024693.0540487546</v>
      </c>
      <c r="AS1714" s="2">
        <f t="shared" ca="1" si="1655"/>
        <v>1115880.4134897809</v>
      </c>
      <c r="AT1714" s="2">
        <f t="shared" ca="1" si="1656"/>
        <v>1212401.6694781634</v>
      </c>
      <c r="AU1714" s="2">
        <f t="shared" ca="1" si="1657"/>
        <v>1314568.8219725832</v>
      </c>
      <c r="AV1714" s="2">
        <f t="shared" ca="1" si="1658"/>
        <v>2545646.896298972</v>
      </c>
      <c r="AW1714" s="2">
        <f t="shared" ca="1" si="1659"/>
        <v>2886774.8862421075</v>
      </c>
      <c r="AX1714" s="2">
        <f t="shared" ca="1" si="1660"/>
        <v>3144573.2608194249</v>
      </c>
      <c r="AY1714" s="2">
        <f t="shared" ca="1" si="1661"/>
        <v>3417451.245865793</v>
      </c>
      <c r="AZ1714" s="2">
        <f t="shared" ca="1" si="1662"/>
        <v>3706290.9053285532</v>
      </c>
      <c r="BA1714" s="2">
        <f t="shared" ca="1" si="1663"/>
        <v>58271235.963388748</v>
      </c>
      <c r="BB1714" s="2">
        <f t="shared" ca="1" si="1664"/>
        <v>1165424.7192677751</v>
      </c>
      <c r="BC1714" s="2">
        <f t="shared" ca="1" si="1665"/>
        <v>34275467.551127672</v>
      </c>
      <c r="BD1714" s="2">
        <f t="shared" ca="1" si="1666"/>
        <v>-16671493.449203586</v>
      </c>
      <c r="BE1714" s="2">
        <f t="shared" ca="1" si="1667"/>
        <v>2545646.896298972</v>
      </c>
      <c r="BF1714" s="2">
        <f t="shared" ca="1" si="1668"/>
        <v>2886774.8862421075</v>
      </c>
      <c r="BG1714" s="2">
        <f t="shared" ca="1" si="1669"/>
        <v>3144573.2608194249</v>
      </c>
      <c r="BH1714" s="2">
        <f t="shared" ca="1" si="1670"/>
        <v>3417451.245865793</v>
      </c>
      <c r="BI1714" s="2">
        <f t="shared" ca="1" si="1671"/>
        <v>37981758.456456229</v>
      </c>
      <c r="BJ1714" s="2">
        <f t="shared" ca="1" si="1672"/>
        <v>0.29709093430230071</v>
      </c>
      <c r="BK1714" s="2">
        <f t="shared" ca="1" si="1673"/>
        <v>13864691.789807891</v>
      </c>
    </row>
    <row r="1715" spans="1:63" x14ac:dyDescent="0.3">
      <c r="A1715" s="2">
        <v>1714</v>
      </c>
      <c r="B1715" s="2">
        <f t="shared" ca="1" si="1612"/>
        <v>0.81213668701573527</v>
      </c>
      <c r="C1715" s="2">
        <f t="shared" ca="1" si="1613"/>
        <v>7.3870345638059769</v>
      </c>
      <c r="D1715" s="2">
        <f t="shared" ca="1" si="1614"/>
        <v>0.42736661118109354</v>
      </c>
      <c r="E1715" s="2">
        <f t="shared" ca="1" si="1615"/>
        <v>7.4245178323657077</v>
      </c>
      <c r="F1715" s="2">
        <f t="shared" ca="1" si="1616"/>
        <v>0.16692234949068219</v>
      </c>
      <c r="G1715" s="2">
        <f t="shared" ca="1" si="1617"/>
        <v>1.1008038079179862E-2</v>
      </c>
      <c r="H1715" s="2">
        <f t="shared" ca="1" si="1618"/>
        <v>1.1008038079179862E-2</v>
      </c>
      <c r="I1715" s="2">
        <f t="shared" ca="1" si="1619"/>
        <v>0.87682012433987755</v>
      </c>
      <c r="J1715" s="2">
        <f t="shared" ca="1" si="1620"/>
        <v>1.579618306389775E-2</v>
      </c>
      <c r="K1715" s="2">
        <f t="shared" ca="1" si="1621"/>
        <v>1.579618306389775E-2</v>
      </c>
      <c r="L1715" s="2">
        <f t="shared" ca="1" si="1622"/>
        <v>0.85116289532355771</v>
      </c>
      <c r="M1715" s="2">
        <f t="shared" ca="1" si="1623"/>
        <v>2.0828678287283187E-2</v>
      </c>
      <c r="N1715" s="2">
        <f t="shared" ca="1" si="1624"/>
        <v>2.0828678287283187E-2</v>
      </c>
      <c r="O1715" s="2">
        <f t="shared" si="1625"/>
        <v>6000000</v>
      </c>
      <c r="P1715" s="2">
        <f t="shared" ca="1" si="1626"/>
        <v>44322207.382835865</v>
      </c>
      <c r="Q1715" s="2">
        <f t="shared" ca="1" si="1627"/>
        <v>1108055.1845708967</v>
      </c>
      <c r="R1715" s="2">
        <f t="shared" ca="1" si="1628"/>
        <v>26593324.429701518</v>
      </c>
      <c r="S1715" s="2">
        <f t="shared" ca="1" si="1629"/>
        <v>17728882.953134347</v>
      </c>
      <c r="T1715" s="2">
        <f t="shared" ca="1" si="1630"/>
        <v>51041433.914364152</v>
      </c>
      <c r="U1715" s="2">
        <f t="shared" ca="1" si="1631"/>
        <v>51603299.962509416</v>
      </c>
      <c r="V1715" s="2">
        <f t="shared" ca="1" si="1632"/>
        <v>52171351.053508066</v>
      </c>
      <c r="W1715" s="2">
        <f t="shared" ca="1" si="1633"/>
        <v>52745655.272547349</v>
      </c>
      <c r="X1715" s="2">
        <f t="shared" ca="1" si="1634"/>
        <v>53326281.454298846</v>
      </c>
      <c r="Y1715" s="2">
        <f t="shared" ca="1" si="1635"/>
        <v>0.12789809153194887</v>
      </c>
      <c r="Z1715" s="2">
        <f t="shared" ca="1" si="1636"/>
        <v>0.13105732814472842</v>
      </c>
      <c r="AA1715" s="2">
        <f t="shared" ca="1" si="1637"/>
        <v>6528101.986701265</v>
      </c>
      <c r="AB1715" s="2">
        <f t="shared" ca="1" si="1638"/>
        <v>6762990.616537449</v>
      </c>
      <c r="AC1715" s="2">
        <f t="shared" ca="1" si="1639"/>
        <v>6837437.8747734297</v>
      </c>
      <c r="AD1715" s="2">
        <f t="shared" ca="1" si="1640"/>
        <v>6912704.6512629632</v>
      </c>
      <c r="AE1715" s="2">
        <f t="shared" ca="1" si="1641"/>
        <v>6988799.9672941901</v>
      </c>
      <c r="AF1715" s="2">
        <f t="shared" ca="1" si="1642"/>
        <v>1020828.6782872831</v>
      </c>
      <c r="AG1715" s="2">
        <f t="shared" ca="1" si="1643"/>
        <v>1032065.9992501884</v>
      </c>
      <c r="AH1715" s="2">
        <f t="shared" ca="1" si="1644"/>
        <v>1043427.0210701614</v>
      </c>
      <c r="AI1715" s="2">
        <f t="shared" ca="1" si="1645"/>
        <v>1054913.1054509471</v>
      </c>
      <c r="AJ1715" s="2">
        <f t="shared" ca="1" si="1646"/>
        <v>1066525.6290859769</v>
      </c>
      <c r="AK1715" s="2">
        <f t="shared" ca="1" si="1647"/>
        <v>0</v>
      </c>
      <c r="AL1715" s="2">
        <f t="shared" ca="1" si="1648"/>
        <v>5618.6604814526436</v>
      </c>
      <c r="AM1715" s="2">
        <f t="shared" ca="1" si="1649"/>
        <v>5680.5109099864958</v>
      </c>
      <c r="AN1715" s="2">
        <f t="shared" ca="1" si="1650"/>
        <v>5743.0421903928373</v>
      </c>
      <c r="AO1715" s="2">
        <f t="shared" ca="1" si="1651"/>
        <v>5806.261817514971</v>
      </c>
      <c r="AP1715" s="2">
        <f t="shared" ca="1" si="1652"/>
        <v>2393399.1986731365</v>
      </c>
      <c r="AQ1715" s="2">
        <f t="shared" ca="1" si="1653"/>
        <v>809607.26853261993</v>
      </c>
      <c r="AR1715" s="2">
        <f t="shared" ca="1" si="1654"/>
        <v>867756.60883967229</v>
      </c>
      <c r="AS1715" s="2">
        <f t="shared" ca="1" si="1655"/>
        <v>884159.03030783415</v>
      </c>
      <c r="AT1715" s="2">
        <f t="shared" ca="1" si="1656"/>
        <v>900742.01025610883</v>
      </c>
      <c r="AU1715" s="2">
        <f t="shared" ca="1" si="1657"/>
        <v>917507.53627912002</v>
      </c>
      <c r="AV1715" s="2">
        <f t="shared" ca="1" si="1658"/>
        <v>2304266.841208226</v>
      </c>
      <c r="AW1715" s="2">
        <f t="shared" ca="1" si="1659"/>
        <v>2464150.1492929989</v>
      </c>
      <c r="AX1715" s="2">
        <f t="shared" ca="1" si="1660"/>
        <v>2510772.1138123106</v>
      </c>
      <c r="AY1715" s="2">
        <f t="shared" ca="1" si="1661"/>
        <v>2557907.2946923785</v>
      </c>
      <c r="AZ1715" s="2">
        <f t="shared" ca="1" si="1662"/>
        <v>2605561.3414384425</v>
      </c>
      <c r="BA1715" s="2">
        <f t="shared" ca="1" si="1663"/>
        <v>51888469.984012589</v>
      </c>
      <c r="BB1715" s="2">
        <f t="shared" ca="1" si="1664"/>
        <v>1037769.3996802518</v>
      </c>
      <c r="BC1715" s="2">
        <f t="shared" ca="1" si="1665"/>
        <v>24257376.154630817</v>
      </c>
      <c r="BD1715" s="2">
        <f t="shared" ca="1" si="1666"/>
        <v>-19336938.137705244</v>
      </c>
      <c r="BE1715" s="2">
        <f t="shared" ca="1" si="1667"/>
        <v>2304266.841208226</v>
      </c>
      <c r="BF1715" s="2">
        <f t="shared" ca="1" si="1668"/>
        <v>2464150.1492929989</v>
      </c>
      <c r="BG1715" s="2">
        <f t="shared" ca="1" si="1669"/>
        <v>2510772.1138123106</v>
      </c>
      <c r="BH1715" s="2">
        <f t="shared" ca="1" si="1670"/>
        <v>2557907.2946923785</v>
      </c>
      <c r="BI1715" s="2">
        <f t="shared" ca="1" si="1671"/>
        <v>26862937.49606926</v>
      </c>
      <c r="BJ1715" s="2">
        <f t="shared" ca="1" si="1672"/>
        <v>0.16427080406110006</v>
      </c>
      <c r="BK1715" s="2">
        <f t="shared" ca="1" si="1673"/>
        <v>3340314.8676919639</v>
      </c>
    </row>
    <row r="1716" spans="1:63" x14ac:dyDescent="0.3">
      <c r="A1716" s="2">
        <v>1715</v>
      </c>
      <c r="B1716" s="2">
        <f t="shared" ca="1" si="1612"/>
        <v>0.24573883982754952</v>
      </c>
      <c r="C1716" s="2">
        <f t="shared" ca="1" si="1613"/>
        <v>6.7010546909158366</v>
      </c>
      <c r="D1716" s="2">
        <f t="shared" ca="1" si="1614"/>
        <v>0.63621609370845977</v>
      </c>
      <c r="E1716" s="2">
        <f t="shared" ca="1" si="1615"/>
        <v>7.6470241430245052</v>
      </c>
      <c r="F1716" s="2">
        <f t="shared" ca="1" si="1616"/>
        <v>5.7610890027529726E-2</v>
      </c>
      <c r="G1716" s="2">
        <f t="shared" ca="1" si="1617"/>
        <v>-7.2545058667272885E-3</v>
      </c>
      <c r="H1716" s="2">
        <f t="shared" ca="1" si="1618"/>
        <v>-7.2545058667272885E-3</v>
      </c>
      <c r="I1716" s="2">
        <f t="shared" ca="1" si="1619"/>
        <v>0.77937950246467347</v>
      </c>
      <c r="J1716" s="2">
        <f t="shared" ca="1" si="1620"/>
        <v>1.3850496467531183E-2</v>
      </c>
      <c r="K1716" s="2">
        <f t="shared" ca="1" si="1621"/>
        <v>1.3850496467531183E-2</v>
      </c>
      <c r="L1716" s="2">
        <f t="shared" ca="1" si="1622"/>
        <v>0.96788883442265949</v>
      </c>
      <c r="M1716" s="2">
        <f t="shared" ca="1" si="1623"/>
        <v>3.7012665239021969E-2</v>
      </c>
      <c r="N1716" s="2">
        <f t="shared" ca="1" si="1624"/>
        <v>3.7012665239021969E-2</v>
      </c>
      <c r="O1716" s="2">
        <f t="shared" si="1625"/>
        <v>6000000</v>
      </c>
      <c r="P1716" s="2">
        <f t="shared" ca="1" si="1626"/>
        <v>40206328.14549502</v>
      </c>
      <c r="Q1716" s="2">
        <f t="shared" ca="1" si="1627"/>
        <v>1005158.2036373755</v>
      </c>
      <c r="R1716" s="2">
        <f t="shared" ca="1" si="1628"/>
        <v>24123796.887297012</v>
      </c>
      <c r="S1716" s="2">
        <f t="shared" ca="1" si="1629"/>
        <v>16082531.258198008</v>
      </c>
      <c r="T1716" s="2">
        <f t="shared" ca="1" si="1630"/>
        <v>51850633.261951096</v>
      </c>
      <c r="U1716" s="2">
        <f t="shared" ca="1" si="1631"/>
        <v>51474482.538758747</v>
      </c>
      <c r="V1716" s="2">
        <f t="shared" ca="1" si="1632"/>
        <v>51101060.603194572</v>
      </c>
      <c r="W1716" s="2">
        <f t="shared" ca="1" si="1633"/>
        <v>50730347.659252711</v>
      </c>
      <c r="X1716" s="2">
        <f t="shared" ca="1" si="1634"/>
        <v>50362324.05453755</v>
      </c>
      <c r="Y1716" s="2">
        <f t="shared" ca="1" si="1635"/>
        <v>0.12692524823376558</v>
      </c>
      <c r="Z1716" s="2">
        <f t="shared" ca="1" si="1636"/>
        <v>0.12969534752727183</v>
      </c>
      <c r="AA1716" s="2">
        <f t="shared" ca="1" si="1637"/>
        <v>6581154.4978510849</v>
      </c>
      <c r="AB1716" s="2">
        <f t="shared" ca="1" si="1638"/>
        <v>6676000.9016508013</v>
      </c>
      <c r="AC1716" s="2">
        <f t="shared" ca="1" si="1639"/>
        <v>6627569.8139434988</v>
      </c>
      <c r="AD1716" s="2">
        <f t="shared" ca="1" si="1640"/>
        <v>6579490.0698461011</v>
      </c>
      <c r="AE1716" s="2">
        <f t="shared" ca="1" si="1641"/>
        <v>6531759.1205343287</v>
      </c>
      <c r="AF1716" s="2">
        <f t="shared" ca="1" si="1642"/>
        <v>1037012.665239022</v>
      </c>
      <c r="AG1716" s="2">
        <f t="shared" ca="1" si="1643"/>
        <v>1029489.650775175</v>
      </c>
      <c r="AH1716" s="2">
        <f t="shared" ca="1" si="1644"/>
        <v>1022021.2120638915</v>
      </c>
      <c r="AI1716" s="2">
        <f t="shared" ca="1" si="1645"/>
        <v>1014606.9531850542</v>
      </c>
      <c r="AJ1716" s="2">
        <f t="shared" ca="1" si="1646"/>
        <v>1007246.481090751</v>
      </c>
      <c r="AK1716" s="2">
        <f t="shared" ca="1" si="1647"/>
        <v>0</v>
      </c>
      <c r="AL1716" s="2">
        <f t="shared" ca="1" si="1648"/>
        <v>0</v>
      </c>
      <c r="AM1716" s="2">
        <f t="shared" ca="1" si="1649"/>
        <v>0</v>
      </c>
      <c r="AN1716" s="2">
        <f t="shared" ca="1" si="1650"/>
        <v>0</v>
      </c>
      <c r="AO1716" s="2">
        <f t="shared" ca="1" si="1651"/>
        <v>0</v>
      </c>
      <c r="AP1716" s="2">
        <f t="shared" ca="1" si="1652"/>
        <v>2171141.7198567311</v>
      </c>
      <c r="AQ1716" s="2">
        <f t="shared" ca="1" si="1653"/>
        <v>876980.02931638621</v>
      </c>
      <c r="AR1716" s="2">
        <f t="shared" ca="1" si="1654"/>
        <v>903596.07806491293</v>
      </c>
      <c r="AS1716" s="2">
        <f t="shared" ca="1" si="1655"/>
        <v>892945.78932594776</v>
      </c>
      <c r="AT1716" s="2">
        <f t="shared" ca="1" si="1656"/>
        <v>882372.76316912204</v>
      </c>
      <c r="AU1716" s="2">
        <f t="shared" ca="1" si="1657"/>
        <v>871876.43909258023</v>
      </c>
      <c r="AV1716" s="2">
        <f t="shared" ca="1" si="1658"/>
        <v>2496020.0834389455</v>
      </c>
      <c r="AW1716" s="2">
        <f t="shared" ca="1" si="1659"/>
        <v>2571773.4529539826</v>
      </c>
      <c r="AX1716" s="2">
        <f t="shared" ca="1" si="1660"/>
        <v>2541461.092696928</v>
      </c>
      <c r="AY1716" s="2">
        <f t="shared" ca="1" si="1661"/>
        <v>2511368.6336351936</v>
      </c>
      <c r="AZ1716" s="2">
        <f t="shared" ca="1" si="1662"/>
        <v>2481494.4804942668</v>
      </c>
      <c r="BA1716" s="2">
        <f t="shared" ca="1" si="1663"/>
        <v>49948519.691146523</v>
      </c>
      <c r="BB1716" s="2">
        <f t="shared" ca="1" si="1664"/>
        <v>998970.39382293052</v>
      </c>
      <c r="BC1716" s="2">
        <f t="shared" ca="1" si="1665"/>
        <v>24825752.41002658</v>
      </c>
      <c r="BD1716" s="2">
        <f t="shared" ca="1" si="1666"/>
        <v>-17587689.461835384</v>
      </c>
      <c r="BE1716" s="2">
        <f t="shared" ca="1" si="1667"/>
        <v>2496020.0834389455</v>
      </c>
      <c r="BF1716" s="2">
        <f t="shared" ca="1" si="1668"/>
        <v>2571773.4529539826</v>
      </c>
      <c r="BG1716" s="2">
        <f t="shared" ca="1" si="1669"/>
        <v>2541461.092696928</v>
      </c>
      <c r="BH1716" s="2">
        <f t="shared" ca="1" si="1670"/>
        <v>2511368.6336351936</v>
      </c>
      <c r="BI1716" s="2">
        <f t="shared" ca="1" si="1671"/>
        <v>27307246.890520848</v>
      </c>
      <c r="BJ1716" s="2">
        <f t="shared" ca="1" si="1672"/>
        <v>0.19887341942121251</v>
      </c>
      <c r="BK1716" s="2">
        <f t="shared" ca="1" si="1673"/>
        <v>5590949.165522825</v>
      </c>
    </row>
    <row r="1717" spans="1:63" x14ac:dyDescent="0.3">
      <c r="A1717" s="2">
        <v>1716</v>
      </c>
      <c r="B1717" s="2">
        <f t="shared" ca="1" si="1612"/>
        <v>0.72370448482933625</v>
      </c>
      <c r="C1717" s="2">
        <f t="shared" ca="1" si="1613"/>
        <v>7.2566353315220535</v>
      </c>
      <c r="D1717" s="2">
        <f t="shared" ca="1" si="1614"/>
        <v>0.41166649371105091</v>
      </c>
      <c r="E1717" s="2">
        <f t="shared" ca="1" si="1615"/>
        <v>7.4073769819772277</v>
      </c>
      <c r="F1717" s="2">
        <f t="shared" ca="1" si="1616"/>
        <v>0.46629188177350667</v>
      </c>
      <c r="G1717" s="2">
        <f t="shared" ca="1" si="1617"/>
        <v>3.7462164690106353E-2</v>
      </c>
      <c r="H1717" s="2">
        <f t="shared" ca="1" si="1618"/>
        <v>3.7462164690106353E-2</v>
      </c>
      <c r="I1717" s="2">
        <f t="shared" ca="1" si="1619"/>
        <v>0.13712482000752624</v>
      </c>
      <c r="J1717" s="2">
        <f t="shared" ca="1" si="1620"/>
        <v>4.5333580247967752E-3</v>
      </c>
      <c r="K1717" s="2">
        <f t="shared" ca="1" si="1621"/>
        <v>4.5333580247967752E-3</v>
      </c>
      <c r="L1717" s="2">
        <f t="shared" ca="1" si="1622"/>
        <v>0.12168851556981386</v>
      </c>
      <c r="M1717" s="2">
        <f t="shared" ca="1" si="1623"/>
        <v>-2.3331748149236133E-2</v>
      </c>
      <c r="N1717" s="2">
        <f t="shared" ca="1" si="1624"/>
        <v>-2.3331748149236133E-2</v>
      </c>
      <c r="O1717" s="2">
        <f t="shared" si="1625"/>
        <v>6000000</v>
      </c>
      <c r="P1717" s="2">
        <f t="shared" ca="1" si="1626"/>
        <v>43539811.989132322</v>
      </c>
      <c r="Q1717" s="2">
        <f t="shared" ca="1" si="1627"/>
        <v>1088495.2997283081</v>
      </c>
      <c r="R1717" s="2">
        <f t="shared" ca="1" si="1628"/>
        <v>26123887.193479393</v>
      </c>
      <c r="S1717" s="2">
        <f t="shared" ca="1" si="1629"/>
        <v>17415924.79565293</v>
      </c>
      <c r="T1717" s="2">
        <f t="shared" ca="1" si="1630"/>
        <v>48833412.592538193</v>
      </c>
      <c r="U1717" s="2">
        <f t="shared" ca="1" si="1631"/>
        <v>50662817.937459774</v>
      </c>
      <c r="V1717" s="2">
        <f t="shared" ca="1" si="1632"/>
        <v>52560756.766697764</v>
      </c>
      <c r="W1717" s="2">
        <f t="shared" ca="1" si="1633"/>
        <v>54529796.492928416</v>
      </c>
      <c r="X1717" s="2">
        <f t="shared" ca="1" si="1634"/>
        <v>56572600.709664479</v>
      </c>
      <c r="Y1717" s="2">
        <f t="shared" ca="1" si="1635"/>
        <v>0.12226667901239838</v>
      </c>
      <c r="Z1717" s="2">
        <f t="shared" ca="1" si="1636"/>
        <v>0.12317335061735774</v>
      </c>
      <c r="AA1717" s="2">
        <f t="shared" ca="1" si="1637"/>
        <v>5970699.1825318802</v>
      </c>
      <c r="AB1717" s="2">
        <f t="shared" ca="1" si="1638"/>
        <v>6240309.0370740937</v>
      </c>
      <c r="AC1717" s="2">
        <f t="shared" ca="1" si="1639"/>
        <v>6474084.5219381219</v>
      </c>
      <c r="AD1717" s="2">
        <f t="shared" ca="1" si="1640"/>
        <v>6716617.7425166359</v>
      </c>
      <c r="AE1717" s="2">
        <f t="shared" ca="1" si="1641"/>
        <v>6968236.7825472839</v>
      </c>
      <c r="AF1717" s="2">
        <f t="shared" ca="1" si="1642"/>
        <v>976668.25185076392</v>
      </c>
      <c r="AG1717" s="2">
        <f t="shared" ca="1" si="1643"/>
        <v>1013256.3587491955</v>
      </c>
      <c r="AH1717" s="2">
        <f t="shared" ca="1" si="1644"/>
        <v>1051215.1353339553</v>
      </c>
      <c r="AI1717" s="2">
        <f t="shared" ca="1" si="1645"/>
        <v>1090595.9298585684</v>
      </c>
      <c r="AJ1717" s="2">
        <f t="shared" ca="1" si="1646"/>
        <v>1131452.0141932897</v>
      </c>
      <c r="AK1717" s="2">
        <f t="shared" ca="1" si="1647"/>
        <v>0</v>
      </c>
      <c r="AL1717" s="2">
        <f t="shared" ca="1" si="1648"/>
        <v>18294.053449215815</v>
      </c>
      <c r="AM1717" s="2">
        <f t="shared" ca="1" si="1649"/>
        <v>18979.388292379903</v>
      </c>
      <c r="AN1717" s="2">
        <f t="shared" ca="1" si="1650"/>
        <v>19690.397262306513</v>
      </c>
      <c r="AO1717" s="2">
        <f t="shared" ca="1" si="1651"/>
        <v>20428.042167360632</v>
      </c>
      <c r="AP1717" s="2">
        <f t="shared" ca="1" si="1652"/>
        <v>2351149.8474131455</v>
      </c>
      <c r="AQ1717" s="2">
        <f t="shared" ca="1" si="1653"/>
        <v>687149.08164967236</v>
      </c>
      <c r="AR1717" s="2">
        <f t="shared" ca="1" si="1654"/>
        <v>747734.73603705585</v>
      </c>
      <c r="AS1717" s="2">
        <f t="shared" ca="1" si="1655"/>
        <v>798647.08018966555</v>
      </c>
      <c r="AT1717" s="2">
        <f t="shared" ca="1" si="1656"/>
        <v>851466.71096367983</v>
      </c>
      <c r="AU1717" s="2">
        <f t="shared" ca="1" si="1657"/>
        <v>906265.07944462064</v>
      </c>
      <c r="AV1717" s="2">
        <f t="shared" ca="1" si="1658"/>
        <v>1955732.0016182982</v>
      </c>
      <c r="AW1717" s="2">
        <f t="shared" ca="1" si="1659"/>
        <v>2109874.0414254819</v>
      </c>
      <c r="AX1717" s="2">
        <f t="shared" ca="1" si="1660"/>
        <v>2254093.0707089757</v>
      </c>
      <c r="AY1717" s="2">
        <f t="shared" ca="1" si="1661"/>
        <v>2403714.857018936</v>
      </c>
      <c r="AZ1717" s="2">
        <f t="shared" ca="1" si="1662"/>
        <v>2558941.7993288669</v>
      </c>
      <c r="BA1717" s="2">
        <f t="shared" ca="1" si="1663"/>
        <v>51616356.748007804</v>
      </c>
      <c r="BB1717" s="2">
        <f t="shared" ca="1" si="1664"/>
        <v>1032327.1349601561</v>
      </c>
      <c r="BC1717" s="2">
        <f t="shared" ca="1" si="1665"/>
        <v>24460142.419568256</v>
      </c>
      <c r="BD1717" s="2">
        <f t="shared" ca="1" si="1666"/>
        <v>-19004420.095381238</v>
      </c>
      <c r="BE1717" s="2">
        <f t="shared" ca="1" si="1667"/>
        <v>1955732.0016182982</v>
      </c>
      <c r="BF1717" s="2">
        <f t="shared" ca="1" si="1668"/>
        <v>2109874.0414254819</v>
      </c>
      <c r="BG1717" s="2">
        <f t="shared" ca="1" si="1669"/>
        <v>2254093.0707089757</v>
      </c>
      <c r="BH1717" s="2">
        <f t="shared" ca="1" si="1670"/>
        <v>2403714.857018936</v>
      </c>
      <c r="BI1717" s="2">
        <f t="shared" ca="1" si="1671"/>
        <v>27019084.218897123</v>
      </c>
      <c r="BJ1717" s="2">
        <f t="shared" ca="1" si="1672"/>
        <v>0.158318454436575</v>
      </c>
      <c r="BK1717" s="2">
        <f t="shared" ca="1" si="1673"/>
        <v>2887125.0341605395</v>
      </c>
    </row>
    <row r="1718" spans="1:63" x14ac:dyDescent="0.3">
      <c r="A1718" s="2">
        <v>1717</v>
      </c>
      <c r="B1718" s="2">
        <f t="shared" ca="1" si="1612"/>
        <v>0.94619962554052728</v>
      </c>
      <c r="C1718" s="2">
        <f t="shared" ca="1" si="1613"/>
        <v>7.6719744691050016</v>
      </c>
      <c r="D1718" s="2">
        <f t="shared" ca="1" si="1614"/>
        <v>0.21918476391025543</v>
      </c>
      <c r="E1718" s="2">
        <f t="shared" ca="1" si="1615"/>
        <v>7.1620948027439209</v>
      </c>
      <c r="F1718" s="2">
        <f t="shared" ca="1" si="1616"/>
        <v>9.5027886448803778E-2</v>
      </c>
      <c r="G1718" s="2">
        <f t="shared" ca="1" si="1617"/>
        <v>6.8757581642497206E-4</v>
      </c>
      <c r="H1718" s="2">
        <f t="shared" ca="1" si="1618"/>
        <v>6.8757581642497206E-4</v>
      </c>
      <c r="I1718" s="2">
        <f t="shared" ca="1" si="1619"/>
        <v>0.29886590814591296</v>
      </c>
      <c r="J1718" s="2">
        <f t="shared" ca="1" si="1620"/>
        <v>7.3616746149772171E-3</v>
      </c>
      <c r="K1718" s="2">
        <f t="shared" ca="1" si="1621"/>
        <v>7.3616746149772171E-3</v>
      </c>
      <c r="L1718" s="2">
        <f t="shared" ca="1" si="1622"/>
        <v>0.28277968406737186</v>
      </c>
      <c r="M1718" s="2">
        <f t="shared" ca="1" si="1623"/>
        <v>-1.1492073438609522E-2</v>
      </c>
      <c r="N1718" s="2">
        <f t="shared" ca="1" si="1624"/>
        <v>-1.1492073438609522E-2</v>
      </c>
      <c r="O1718" s="2">
        <f t="shared" si="1625"/>
        <v>6000000</v>
      </c>
      <c r="P1718" s="2">
        <f t="shared" ca="1" si="1626"/>
        <v>46031846.814630009</v>
      </c>
      <c r="Q1718" s="2">
        <f t="shared" ca="1" si="1627"/>
        <v>1150796.1703657503</v>
      </c>
      <c r="R1718" s="2">
        <f t="shared" ca="1" si="1628"/>
        <v>27619108.088778004</v>
      </c>
      <c r="S1718" s="2">
        <f t="shared" ca="1" si="1629"/>
        <v>18412738.725852005</v>
      </c>
      <c r="T1718" s="2">
        <f t="shared" ca="1" si="1630"/>
        <v>49425396.328069523</v>
      </c>
      <c r="U1718" s="2">
        <f t="shared" ca="1" si="1631"/>
        <v>49459380.035301916</v>
      </c>
      <c r="V1718" s="2">
        <f t="shared" ca="1" si="1632"/>
        <v>49493387.108909555</v>
      </c>
      <c r="W1718" s="2">
        <f t="shared" ca="1" si="1633"/>
        <v>49527417.564958595</v>
      </c>
      <c r="X1718" s="2">
        <f t="shared" ca="1" si="1634"/>
        <v>49561471.419526234</v>
      </c>
      <c r="Y1718" s="2">
        <f t="shared" ca="1" si="1635"/>
        <v>0.12368083730748861</v>
      </c>
      <c r="Z1718" s="2">
        <f t="shared" ca="1" si="1636"/>
        <v>0.12515317223048406</v>
      </c>
      <c r="AA1718" s="2">
        <f t="shared" ca="1" si="1637"/>
        <v>6112974.402110111</v>
      </c>
      <c r="AB1718" s="2">
        <f t="shared" ca="1" si="1638"/>
        <v>6189998.307971105</v>
      </c>
      <c r="AC1718" s="2">
        <f t="shared" ca="1" si="1639"/>
        <v>6194254.4011113765</v>
      </c>
      <c r="AD1718" s="2">
        <f t="shared" ca="1" si="1640"/>
        <v>6198513.4206383638</v>
      </c>
      <c r="AE1718" s="2">
        <f t="shared" ca="1" si="1641"/>
        <v>6202775.3685641801</v>
      </c>
      <c r="AF1718" s="2">
        <f t="shared" ca="1" si="1642"/>
        <v>988507.92656139052</v>
      </c>
      <c r="AG1718" s="2">
        <f t="shared" ca="1" si="1643"/>
        <v>989187.6007060383</v>
      </c>
      <c r="AH1718" s="2">
        <f t="shared" ca="1" si="1644"/>
        <v>989867.74217819108</v>
      </c>
      <c r="AI1718" s="2">
        <f t="shared" ca="1" si="1645"/>
        <v>990548.35129917192</v>
      </c>
      <c r="AJ1718" s="2">
        <f t="shared" ca="1" si="1646"/>
        <v>991229.4283905247</v>
      </c>
      <c r="AK1718" s="2">
        <f t="shared" ca="1" si="1647"/>
        <v>0</v>
      </c>
      <c r="AL1718" s="2">
        <f t="shared" ca="1" si="1648"/>
        <v>339.83707232393323</v>
      </c>
      <c r="AM1718" s="2">
        <f t="shared" ca="1" si="1649"/>
        <v>340.07073607638478</v>
      </c>
      <c r="AN1718" s="2">
        <f t="shared" ca="1" si="1650"/>
        <v>340.30456049039958</v>
      </c>
      <c r="AO1718" s="2">
        <f t="shared" ca="1" si="1651"/>
        <v>340.5385456763953</v>
      </c>
      <c r="AP1718" s="2">
        <f t="shared" ca="1" si="1652"/>
        <v>2485719.7279900201</v>
      </c>
      <c r="AQ1718" s="2">
        <f t="shared" ca="1" si="1653"/>
        <v>686074.15436526202</v>
      </c>
      <c r="AR1718" s="2">
        <f t="shared" ca="1" si="1654"/>
        <v>705923.6546115122</v>
      </c>
      <c r="AS1718" s="2">
        <f t="shared" ca="1" si="1655"/>
        <v>706853.40204522293</v>
      </c>
      <c r="AT1718" s="2">
        <f t="shared" ca="1" si="1656"/>
        <v>707783.78875078459</v>
      </c>
      <c r="AU1718" s="2">
        <f t="shared" ca="1" si="1657"/>
        <v>708714.81516774534</v>
      </c>
      <c r="AV1718" s="2">
        <f t="shared" ca="1" si="1658"/>
        <v>1952672.5931934379</v>
      </c>
      <c r="AW1718" s="2">
        <f t="shared" ca="1" si="1659"/>
        <v>2008827.4875912108</v>
      </c>
      <c r="AX1718" s="2">
        <f t="shared" ca="1" si="1660"/>
        <v>2011473.4581618654</v>
      </c>
      <c r="AY1718" s="2">
        <f t="shared" ca="1" si="1661"/>
        <v>2014121.2480378971</v>
      </c>
      <c r="AZ1718" s="2">
        <f t="shared" ca="1" si="1662"/>
        <v>2016770.8584702136</v>
      </c>
      <c r="BA1718" s="2">
        <f t="shared" ca="1" si="1663"/>
        <v>44424865.229781523</v>
      </c>
      <c r="BB1718" s="2">
        <f t="shared" ca="1" si="1664"/>
        <v>888497.3045956305</v>
      </c>
      <c r="BC1718" s="2">
        <f t="shared" ca="1" si="1665"/>
        <v>15917259.836407889</v>
      </c>
      <c r="BD1718" s="2">
        <f t="shared" ca="1" si="1666"/>
        <v>-20063534.896217756</v>
      </c>
      <c r="BE1718" s="2">
        <f t="shared" ca="1" si="1667"/>
        <v>1952672.5931934379</v>
      </c>
      <c r="BF1718" s="2">
        <f t="shared" ca="1" si="1668"/>
        <v>2008827.4875912108</v>
      </c>
      <c r="BG1718" s="2">
        <f t="shared" ca="1" si="1669"/>
        <v>2011473.4581618654</v>
      </c>
      <c r="BH1718" s="2">
        <f t="shared" ca="1" si="1670"/>
        <v>2014121.2480378971</v>
      </c>
      <c r="BI1718" s="2">
        <f t="shared" ca="1" si="1671"/>
        <v>17934030.694878101</v>
      </c>
      <c r="BJ1718" s="2">
        <f t="shared" ca="1" si="1672"/>
        <v>6.3212523692915079E-2</v>
      </c>
      <c r="BK1718" s="2">
        <f t="shared" ca="1" si="1673"/>
        <v>-3830664.0602562428</v>
      </c>
    </row>
    <row r="1719" spans="1:63" x14ac:dyDescent="0.3">
      <c r="A1719" s="2">
        <v>1718</v>
      </c>
      <c r="B1719" s="2">
        <f t="shared" ca="1" si="1612"/>
        <v>0.79748837034411513</v>
      </c>
      <c r="C1719" s="2">
        <f t="shared" ca="1" si="1613"/>
        <v>7.3635856229532761</v>
      </c>
      <c r="D1719" s="2">
        <f t="shared" ca="1" si="1614"/>
        <v>6.3221877134979398E-2</v>
      </c>
      <c r="E1719" s="2">
        <f t="shared" ca="1" si="1615"/>
        <v>6.8555893056180945</v>
      </c>
      <c r="F1719" s="2">
        <f t="shared" ca="1" si="1616"/>
        <v>0.33105610971674082</v>
      </c>
      <c r="G1719" s="2">
        <f t="shared" ca="1" si="1617"/>
        <v>2.6890036046615828E-2</v>
      </c>
      <c r="H1719" s="2">
        <f t="shared" ca="1" si="1618"/>
        <v>2.6890036046615828E-2</v>
      </c>
      <c r="I1719" s="2">
        <f t="shared" ca="1" si="1619"/>
        <v>0.59240698873151443</v>
      </c>
      <c r="J1719" s="2">
        <f t="shared" ca="1" si="1620"/>
        <v>1.1168705214737364E-2</v>
      </c>
      <c r="K1719" s="2">
        <f t="shared" ca="1" si="1621"/>
        <v>1.1168705214737364E-2</v>
      </c>
      <c r="L1719" s="2">
        <f t="shared" ca="1" si="1622"/>
        <v>0.80864500254588356</v>
      </c>
      <c r="M1719" s="2">
        <f t="shared" ca="1" si="1623"/>
        <v>1.7458278528641461E-2</v>
      </c>
      <c r="N1719" s="2">
        <f t="shared" ca="1" si="1624"/>
        <v>1.7458278528641461E-2</v>
      </c>
      <c r="O1719" s="2">
        <f t="shared" si="1625"/>
        <v>6000000</v>
      </c>
      <c r="P1719" s="2">
        <f t="shared" ca="1" si="1626"/>
        <v>44181513.737719655</v>
      </c>
      <c r="Q1719" s="2">
        <f t="shared" ca="1" si="1627"/>
        <v>1104537.8434429914</v>
      </c>
      <c r="R1719" s="2">
        <f t="shared" ca="1" si="1628"/>
        <v>26508908.242631793</v>
      </c>
      <c r="S1719" s="2">
        <f t="shared" ca="1" si="1629"/>
        <v>17672605.495087862</v>
      </c>
      <c r="T1719" s="2">
        <f t="shared" ca="1" si="1630"/>
        <v>50872913.926432073</v>
      </c>
      <c r="U1719" s="2">
        <f t="shared" ca="1" si="1631"/>
        <v>52240888.415710211</v>
      </c>
      <c r="V1719" s="2">
        <f t="shared" ca="1" si="1632"/>
        <v>53645647.788315892</v>
      </c>
      <c r="W1719" s="2">
        <f t="shared" ca="1" si="1633"/>
        <v>55088181.19108776</v>
      </c>
      <c r="X1719" s="2">
        <f t="shared" ca="1" si="1634"/>
        <v>56569504.369058609</v>
      </c>
      <c r="Y1719" s="2">
        <f t="shared" ca="1" si="1635"/>
        <v>0.12558435260736867</v>
      </c>
      <c r="Z1719" s="2">
        <f t="shared" ca="1" si="1636"/>
        <v>0.12781809365031616</v>
      </c>
      <c r="AA1719" s="2">
        <f t="shared" ca="1" si="1637"/>
        <v>6388841.9607013613</v>
      </c>
      <c r="AB1719" s="2">
        <f t="shared" ca="1" si="1638"/>
        <v>6677330.7678949637</v>
      </c>
      <c r="AC1719" s="2">
        <f t="shared" ca="1" si="1639"/>
        <v>6856884.4329388365</v>
      </c>
      <c r="AD1719" s="2">
        <f t="shared" ca="1" si="1640"/>
        <v>7041266.3025080403</v>
      </c>
      <c r="AE1719" s="2">
        <f t="shared" ca="1" si="1641"/>
        <v>7230606.2071963018</v>
      </c>
      <c r="AF1719" s="2">
        <f t="shared" ca="1" si="1642"/>
        <v>1017458.2785286414</v>
      </c>
      <c r="AG1719" s="2">
        <f t="shared" ca="1" si="1643"/>
        <v>1044817.7683142043</v>
      </c>
      <c r="AH1719" s="2">
        <f t="shared" ca="1" si="1644"/>
        <v>1072912.9557663179</v>
      </c>
      <c r="AI1719" s="2">
        <f t="shared" ca="1" si="1645"/>
        <v>1101763.6238217552</v>
      </c>
      <c r="AJ1719" s="2">
        <f t="shared" ca="1" si="1646"/>
        <v>1131390.0873811722</v>
      </c>
      <c r="AK1719" s="2">
        <f t="shared" ca="1" si="1647"/>
        <v>0</v>
      </c>
      <c r="AL1719" s="2">
        <f t="shared" ca="1" si="1648"/>
        <v>13679.744892781377</v>
      </c>
      <c r="AM1719" s="2">
        <f t="shared" ca="1" si="1649"/>
        <v>14047.593726056815</v>
      </c>
      <c r="AN1719" s="2">
        <f t="shared" ca="1" si="1650"/>
        <v>14425.334027718678</v>
      </c>
      <c r="AO1719" s="2">
        <f t="shared" ca="1" si="1651"/>
        <v>14813.231779708491</v>
      </c>
      <c r="AP1719" s="2">
        <f t="shared" ca="1" si="1652"/>
        <v>2385801.7418368612</v>
      </c>
      <c r="AQ1719" s="2">
        <f t="shared" ca="1" si="1653"/>
        <v>776251.30448732316</v>
      </c>
      <c r="AR1719" s="2">
        <f t="shared" ca="1" si="1654"/>
        <v>844144.92701341363</v>
      </c>
      <c r="AS1719" s="2">
        <f t="shared" ca="1" si="1655"/>
        <v>883524.13118727086</v>
      </c>
      <c r="AT1719" s="2">
        <f t="shared" ca="1" si="1656"/>
        <v>923962.24358085031</v>
      </c>
      <c r="AU1719" s="2">
        <f t="shared" ca="1" si="1657"/>
        <v>965487.73827434983</v>
      </c>
      <c r="AV1719" s="2">
        <f t="shared" ca="1" si="1658"/>
        <v>2209330.6358485348</v>
      </c>
      <c r="AW1719" s="2">
        <f t="shared" ca="1" si="1659"/>
        <v>2388886.5858377027</v>
      </c>
      <c r="AX1719" s="2">
        <f t="shared" ca="1" si="1660"/>
        <v>2500598.0104223299</v>
      </c>
      <c r="AY1719" s="2">
        <f t="shared" ca="1" si="1661"/>
        <v>2615313.3592408556</v>
      </c>
      <c r="AZ1719" s="2">
        <f t="shared" ca="1" si="1662"/>
        <v>2733113.4079242102</v>
      </c>
      <c r="BA1719" s="2">
        <f t="shared" ca="1" si="1663"/>
        <v>49570066.587190777</v>
      </c>
      <c r="BB1719" s="2">
        <f t="shared" ca="1" si="1664"/>
        <v>991401.33174381556</v>
      </c>
      <c r="BC1719" s="2">
        <f t="shared" ca="1" si="1665"/>
        <v>22069757.01281517</v>
      </c>
      <c r="BD1719" s="2">
        <f t="shared" ca="1" si="1666"/>
        <v>-19277143.338530853</v>
      </c>
      <c r="BE1719" s="2">
        <f t="shared" ca="1" si="1667"/>
        <v>2209330.6358485348</v>
      </c>
      <c r="BF1719" s="2">
        <f t="shared" ca="1" si="1668"/>
        <v>2388886.5858377027</v>
      </c>
      <c r="BG1719" s="2">
        <f t="shared" ca="1" si="1669"/>
        <v>2500598.0104223299</v>
      </c>
      <c r="BH1719" s="2">
        <f t="shared" ca="1" si="1670"/>
        <v>2615313.3592408556</v>
      </c>
      <c r="BI1719" s="2">
        <f t="shared" ca="1" si="1671"/>
        <v>24802870.420739379</v>
      </c>
      <c r="BJ1719" s="2">
        <f t="shared" ca="1" si="1672"/>
        <v>0.14884392859355322</v>
      </c>
      <c r="BK1719" s="2">
        <f t="shared" ca="1" si="1673"/>
        <v>2115649.0286805555</v>
      </c>
    </row>
    <row r="1720" spans="1:63" x14ac:dyDescent="0.3">
      <c r="A1720" s="2">
        <v>1719</v>
      </c>
      <c r="B1720" s="2">
        <f t="shared" ca="1" si="1612"/>
        <v>0.18393739912637996</v>
      </c>
      <c r="C1720" s="2">
        <f t="shared" ca="1" si="1613"/>
        <v>6.6065268322611619</v>
      </c>
      <c r="D1720" s="2">
        <f t="shared" ca="1" si="1614"/>
        <v>0.91239402965794281</v>
      </c>
      <c r="E1720" s="2">
        <f t="shared" ca="1" si="1615"/>
        <v>8.0814167458149875</v>
      </c>
      <c r="F1720" s="2">
        <f t="shared" ca="1" si="1616"/>
        <v>4.9272612190542242E-2</v>
      </c>
      <c r="G1720" s="2">
        <f t="shared" ca="1" si="1617"/>
        <v>-9.5584293188683001E-3</v>
      </c>
      <c r="H1720" s="2">
        <f t="shared" ca="1" si="1618"/>
        <v>-9.5584293188683001E-3</v>
      </c>
      <c r="I1720" s="2">
        <f t="shared" ca="1" si="1619"/>
        <v>0.29411655695683725</v>
      </c>
      <c r="J1720" s="2">
        <f t="shared" ca="1" si="1620"/>
        <v>7.2930087554948873E-3</v>
      </c>
      <c r="K1720" s="2">
        <f t="shared" ca="1" si="1621"/>
        <v>7.2930087554948873E-3</v>
      </c>
      <c r="L1720" s="2">
        <f t="shared" ca="1" si="1622"/>
        <v>0.31051861640853473</v>
      </c>
      <c r="M1720" s="2">
        <f t="shared" ca="1" si="1623"/>
        <v>-9.8876170834069528E-3</v>
      </c>
      <c r="N1720" s="2">
        <f t="shared" ca="1" si="1624"/>
        <v>-9.8876170834069528E-3</v>
      </c>
      <c r="O1720" s="2">
        <f t="shared" si="1625"/>
        <v>6000000</v>
      </c>
      <c r="P1720" s="2">
        <f t="shared" ca="1" si="1626"/>
        <v>39639160.993566975</v>
      </c>
      <c r="Q1720" s="2">
        <f t="shared" ca="1" si="1627"/>
        <v>990979.02483917447</v>
      </c>
      <c r="R1720" s="2">
        <f t="shared" ca="1" si="1628"/>
        <v>23783496.596140184</v>
      </c>
      <c r="S1720" s="2">
        <f t="shared" ca="1" si="1629"/>
        <v>15855664.397426791</v>
      </c>
      <c r="T1720" s="2">
        <f t="shared" ca="1" si="1630"/>
        <v>49505619.145829655</v>
      </c>
      <c r="U1720" s="2">
        <f t="shared" ca="1" si="1631"/>
        <v>49032423.18433743</v>
      </c>
      <c r="V1720" s="2">
        <f t="shared" ca="1" si="1632"/>
        <v>48563750.232997105</v>
      </c>
      <c r="W1720" s="2">
        <f t="shared" ca="1" si="1633"/>
        <v>48099557.058935829</v>
      </c>
      <c r="X1720" s="2">
        <f t="shared" ca="1" si="1634"/>
        <v>47639800.842519119</v>
      </c>
      <c r="Y1720" s="2">
        <f t="shared" ca="1" si="1635"/>
        <v>0.12364650437774743</v>
      </c>
      <c r="Z1720" s="2">
        <f t="shared" ca="1" si="1636"/>
        <v>0.12510510612884643</v>
      </c>
      <c r="AA1720" s="2">
        <f t="shared" ca="1" si="1637"/>
        <v>6121196.7544379234</v>
      </c>
      <c r="AB1720" s="2">
        <f t="shared" ca="1" si="1638"/>
        <v>6134206.5062310444</v>
      </c>
      <c r="AC1720" s="2">
        <f t="shared" ca="1" si="1639"/>
        <v>6075573.126913893</v>
      </c>
      <c r="AD1720" s="2">
        <f t="shared" ca="1" si="1640"/>
        <v>6017500.1906086709</v>
      </c>
      <c r="AE1720" s="2">
        <f t="shared" ca="1" si="1641"/>
        <v>5959982.3403604617</v>
      </c>
      <c r="AF1720" s="2">
        <f t="shared" ca="1" si="1642"/>
        <v>990112.38291659311</v>
      </c>
      <c r="AG1720" s="2">
        <f t="shared" ca="1" si="1643"/>
        <v>980648.46368674864</v>
      </c>
      <c r="AH1720" s="2">
        <f t="shared" ca="1" si="1644"/>
        <v>971275.00465994212</v>
      </c>
      <c r="AI1720" s="2">
        <f t="shared" ca="1" si="1645"/>
        <v>961991.14117871656</v>
      </c>
      <c r="AJ1720" s="2">
        <f t="shared" ca="1" si="1646"/>
        <v>952796.01685038244</v>
      </c>
      <c r="AK1720" s="2">
        <f t="shared" ca="1" si="1647"/>
        <v>0</v>
      </c>
      <c r="AL1720" s="2">
        <f t="shared" ca="1" si="1648"/>
        <v>0</v>
      </c>
      <c r="AM1720" s="2">
        <f t="shared" ca="1" si="1649"/>
        <v>0</v>
      </c>
      <c r="AN1720" s="2">
        <f t="shared" ca="1" si="1650"/>
        <v>0</v>
      </c>
      <c r="AO1720" s="2">
        <f t="shared" ca="1" si="1651"/>
        <v>0</v>
      </c>
      <c r="AP1720" s="2">
        <f t="shared" ca="1" si="1652"/>
        <v>2140514.6936526163</v>
      </c>
      <c r="AQ1720" s="2">
        <f t="shared" ca="1" si="1653"/>
        <v>777548.11624586571</v>
      </c>
      <c r="AR1720" s="2">
        <f t="shared" ca="1" si="1654"/>
        <v>783391.27071183675</v>
      </c>
      <c r="AS1720" s="2">
        <f t="shared" ca="1" si="1655"/>
        <v>770583.69143634697</v>
      </c>
      <c r="AT1720" s="2">
        <f t="shared" ca="1" si="1656"/>
        <v>757898.53250210779</v>
      </c>
      <c r="AU1720" s="2">
        <f t="shared" ca="1" si="1657"/>
        <v>745334.62376294052</v>
      </c>
      <c r="AV1720" s="2">
        <f t="shared" ca="1" si="1658"/>
        <v>2213021.5616228483</v>
      </c>
      <c r="AW1720" s="2">
        <f t="shared" ca="1" si="1659"/>
        <v>2229652.0781798433</v>
      </c>
      <c r="AX1720" s="2">
        <f t="shared" ca="1" si="1660"/>
        <v>2193199.7371649877</v>
      </c>
      <c r="AY1720" s="2">
        <f t="shared" ca="1" si="1661"/>
        <v>2157095.8232752294</v>
      </c>
      <c r="AZ1720" s="2">
        <f t="shared" ca="1" si="1662"/>
        <v>2121337.0060945232</v>
      </c>
      <c r="BA1720" s="2">
        <f t="shared" ca="1" si="1663"/>
        <v>48165101.090150639</v>
      </c>
      <c r="BB1720" s="2">
        <f t="shared" ca="1" si="1664"/>
        <v>963302.02180301282</v>
      </c>
      <c r="BC1720" s="2">
        <f t="shared" ca="1" si="1665"/>
        <v>23418302.472207442</v>
      </c>
      <c r="BD1720" s="2">
        <f t="shared" ca="1" si="1666"/>
        <v>-17346643.422265965</v>
      </c>
      <c r="BE1720" s="2">
        <f t="shared" ca="1" si="1667"/>
        <v>2213021.5616228483</v>
      </c>
      <c r="BF1720" s="2">
        <f t="shared" ca="1" si="1668"/>
        <v>2229652.0781798433</v>
      </c>
      <c r="BG1720" s="2">
        <f t="shared" ca="1" si="1669"/>
        <v>2193199.7371649877</v>
      </c>
      <c r="BH1720" s="2">
        <f t="shared" ca="1" si="1670"/>
        <v>2157095.8232752294</v>
      </c>
      <c r="BI1720" s="2">
        <f t="shared" ca="1" si="1671"/>
        <v>25539639.478301965</v>
      </c>
      <c r="BJ1720" s="2">
        <f t="shared" ca="1" si="1672"/>
        <v>0.17564123152356004</v>
      </c>
      <c r="BK1720" s="2">
        <f t="shared" ca="1" si="1673"/>
        <v>3830560.6424457952</v>
      </c>
    </row>
    <row r="1721" spans="1:63" x14ac:dyDescent="0.3">
      <c r="A1721" s="2">
        <v>1720</v>
      </c>
      <c r="B1721" s="2">
        <f t="shared" ca="1" si="1612"/>
        <v>0.90806039462491261</v>
      </c>
      <c r="C1721" s="2">
        <f t="shared" ca="1" si="1613"/>
        <v>7.5711886070191525</v>
      </c>
      <c r="D1721" s="2">
        <f t="shared" ca="1" si="1614"/>
        <v>0.70227803710848768</v>
      </c>
      <c r="E1721" s="2">
        <f t="shared" ca="1" si="1615"/>
        <v>7.7283498682803033</v>
      </c>
      <c r="F1721" s="2">
        <f t="shared" ca="1" si="1616"/>
        <v>0.1310967055570077</v>
      </c>
      <c r="G1721" s="2">
        <f t="shared" ca="1" si="1617"/>
        <v>6.36334237592074E-3</v>
      </c>
      <c r="H1721" s="2">
        <f t="shared" ca="1" si="1618"/>
        <v>6.36334237592074E-3</v>
      </c>
      <c r="I1721" s="2">
        <f t="shared" ca="1" si="1619"/>
        <v>0.38436149907603645</v>
      </c>
      <c r="J1721" s="2">
        <f t="shared" ca="1" si="1620"/>
        <v>8.5297716018548318E-3</v>
      </c>
      <c r="K1721" s="2">
        <f t="shared" ca="1" si="1621"/>
        <v>8.5297716018548318E-3</v>
      </c>
      <c r="L1721" s="2">
        <f t="shared" ca="1" si="1622"/>
        <v>0.27587250138956088</v>
      </c>
      <c r="M1721" s="2">
        <f t="shared" ca="1" si="1623"/>
        <v>-1.1902946324279804E-2</v>
      </c>
      <c r="N1721" s="2">
        <f t="shared" ca="1" si="1624"/>
        <v>-1.1902946324279804E-2</v>
      </c>
      <c r="O1721" s="2">
        <f t="shared" si="1625"/>
        <v>6000000</v>
      </c>
      <c r="P1721" s="2">
        <f t="shared" ca="1" si="1626"/>
        <v>45427131.642114915</v>
      </c>
      <c r="Q1721" s="2">
        <f t="shared" ca="1" si="1627"/>
        <v>1135678.291052873</v>
      </c>
      <c r="R1721" s="2">
        <f t="shared" ca="1" si="1628"/>
        <v>27256278.985268947</v>
      </c>
      <c r="S1721" s="2">
        <f t="shared" ca="1" si="1629"/>
        <v>18170852.656845968</v>
      </c>
      <c r="T1721" s="2">
        <f t="shared" ca="1" si="1630"/>
        <v>49404852.683786012</v>
      </c>
      <c r="U1721" s="2">
        <f t="shared" ca="1" si="1631"/>
        <v>49719232.676444873</v>
      </c>
      <c r="V1721" s="2">
        <f t="shared" ca="1" si="1632"/>
        <v>50035613.176633164</v>
      </c>
      <c r="W1721" s="2">
        <f t="shared" ca="1" si="1633"/>
        <v>50354006.914265215</v>
      </c>
      <c r="X1721" s="2">
        <f t="shared" ca="1" si="1634"/>
        <v>50674426.70026017</v>
      </c>
      <c r="Y1721" s="2">
        <f t="shared" ca="1" si="1635"/>
        <v>0.12426488580092741</v>
      </c>
      <c r="Z1721" s="2">
        <f t="shared" ca="1" si="1636"/>
        <v>0.12597084012129839</v>
      </c>
      <c r="AA1721" s="2">
        <f t="shared" ca="1" si="1637"/>
        <v>6139288.376762311</v>
      </c>
      <c r="AB1721" s="2">
        <f t="shared" ca="1" si="1638"/>
        <v>6263173.5104380716</v>
      </c>
      <c r="AC1721" s="2">
        <f t="shared" ca="1" si="1639"/>
        <v>6303028.2278447878</v>
      </c>
      <c r="AD1721" s="2">
        <f t="shared" ca="1" si="1640"/>
        <v>6343136.5544636566</v>
      </c>
      <c r="AE1721" s="2">
        <f t="shared" ca="1" si="1641"/>
        <v>6383500.1040969277</v>
      </c>
      <c r="AF1721" s="2">
        <f t="shared" ca="1" si="1642"/>
        <v>988097.05367572024</v>
      </c>
      <c r="AG1721" s="2">
        <f t="shared" ca="1" si="1643"/>
        <v>994384.65352889744</v>
      </c>
      <c r="AH1721" s="2">
        <f t="shared" ca="1" si="1644"/>
        <v>1000712.2635326633</v>
      </c>
      <c r="AI1721" s="2">
        <f t="shared" ca="1" si="1645"/>
        <v>1007080.1382853043</v>
      </c>
      <c r="AJ1721" s="2">
        <f t="shared" ca="1" si="1646"/>
        <v>1013488.5340052034</v>
      </c>
      <c r="AK1721" s="2">
        <f t="shared" ca="1" si="1647"/>
        <v>0</v>
      </c>
      <c r="AL1721" s="2">
        <f t="shared" ca="1" si="1648"/>
        <v>3143.7999265886101</v>
      </c>
      <c r="AM1721" s="2">
        <f t="shared" ca="1" si="1649"/>
        <v>3163.8050018829108</v>
      </c>
      <c r="AN1721" s="2">
        <f t="shared" ca="1" si="1650"/>
        <v>3183.9373763205112</v>
      </c>
      <c r="AO1721" s="2">
        <f t="shared" ca="1" si="1651"/>
        <v>3204.1978599495442</v>
      </c>
      <c r="AP1721" s="2">
        <f t="shared" ca="1" si="1652"/>
        <v>2453065.1086742049</v>
      </c>
      <c r="AQ1721" s="2">
        <f t="shared" ca="1" si="1653"/>
        <v>701512.8157472203</v>
      </c>
      <c r="AR1721" s="2">
        <f t="shared" ca="1" si="1654"/>
        <v>732088.17454109213</v>
      </c>
      <c r="AS1721" s="2">
        <f t="shared" ca="1" si="1655"/>
        <v>740805.22246585903</v>
      </c>
      <c r="AT1721" s="2">
        <f t="shared" ca="1" si="1656"/>
        <v>749577.73995107831</v>
      </c>
      <c r="AU1721" s="2">
        <f t="shared" ca="1" si="1657"/>
        <v>758406.07996855513</v>
      </c>
      <c r="AV1721" s="2">
        <f t="shared" ca="1" si="1658"/>
        <v>1996613.3986651655</v>
      </c>
      <c r="AW1721" s="2">
        <f t="shared" ca="1" si="1659"/>
        <v>2080491.7737672888</v>
      </c>
      <c r="AX1721" s="2">
        <f t="shared" ca="1" si="1660"/>
        <v>2105281.8281701775</v>
      </c>
      <c r="AY1721" s="2">
        <f t="shared" ca="1" si="1661"/>
        <v>2130229.6301767481</v>
      </c>
      <c r="AZ1721" s="2">
        <f t="shared" ca="1" si="1662"/>
        <v>2155336.1835890152</v>
      </c>
      <c r="BA1721" s="2">
        <f t="shared" ca="1" si="1663"/>
        <v>49333922.188664794</v>
      </c>
      <c r="BB1721" s="2">
        <f t="shared" ca="1" si="1664"/>
        <v>986678.44377329585</v>
      </c>
      <c r="BC1721" s="2">
        <f t="shared" ca="1" si="1665"/>
        <v>21090964.759622552</v>
      </c>
      <c r="BD1721" s="2">
        <f t="shared" ca="1" si="1666"/>
        <v>-19806530.947898842</v>
      </c>
      <c r="BE1721" s="2">
        <f t="shared" ca="1" si="1667"/>
        <v>1996613.3986651655</v>
      </c>
      <c r="BF1721" s="2">
        <f t="shared" ca="1" si="1668"/>
        <v>2080491.7737672888</v>
      </c>
      <c r="BG1721" s="2">
        <f t="shared" ca="1" si="1669"/>
        <v>2105281.8281701775</v>
      </c>
      <c r="BH1721" s="2">
        <f t="shared" ca="1" si="1670"/>
        <v>2130229.6301767481</v>
      </c>
      <c r="BI1721" s="2">
        <f t="shared" ca="1" si="1671"/>
        <v>23246300.943211567</v>
      </c>
      <c r="BJ1721" s="2">
        <f t="shared" ca="1" si="1672"/>
        <v>0.11558911013954942</v>
      </c>
      <c r="BK1721" s="2">
        <f t="shared" ca="1" si="1673"/>
        <v>-322412.19523598254</v>
      </c>
    </row>
    <row r="1722" spans="1:63" x14ac:dyDescent="0.3">
      <c r="A1722" s="2">
        <v>1721</v>
      </c>
      <c r="B1722" s="2">
        <f t="shared" ca="1" si="1612"/>
        <v>9.2239940118126196E-2</v>
      </c>
      <c r="C1722" s="2">
        <f t="shared" ca="1" si="1613"/>
        <v>6.4295112108388466</v>
      </c>
      <c r="D1722" s="2">
        <f t="shared" ca="1" si="1614"/>
        <v>0.10268446352780325</v>
      </c>
      <c r="E1722" s="2">
        <f t="shared" ca="1" si="1615"/>
        <v>6.9531764855501734</v>
      </c>
      <c r="F1722" s="2">
        <f t="shared" ca="1" si="1616"/>
        <v>0.84855435448792083</v>
      </c>
      <c r="G1722" s="2">
        <f t="shared" ca="1" si="1617"/>
        <v>7.0907587753855764E-2</v>
      </c>
      <c r="H1722" s="2">
        <f t="shared" ca="1" si="1618"/>
        <v>7.0907587753855764E-2</v>
      </c>
      <c r="I1722" s="2">
        <f t="shared" ca="1" si="1619"/>
        <v>0.83056344013566352</v>
      </c>
      <c r="J1722" s="2">
        <f t="shared" ca="1" si="1620"/>
        <v>1.4781970942325875E-2</v>
      </c>
      <c r="K1722" s="2">
        <f t="shared" ca="1" si="1621"/>
        <v>1.4781970942325875E-2</v>
      </c>
      <c r="L1722" s="2">
        <f t="shared" ca="1" si="1622"/>
        <v>8.8827027158725258E-2</v>
      </c>
      <c r="M1722" s="2">
        <f t="shared" ca="1" si="1623"/>
        <v>-2.6960269146760141E-2</v>
      </c>
      <c r="N1722" s="2">
        <f t="shared" ca="1" si="1624"/>
        <v>-2.6960269146760141E-2</v>
      </c>
      <c r="O1722" s="2">
        <f t="shared" si="1625"/>
        <v>6000000</v>
      </c>
      <c r="P1722" s="2">
        <f t="shared" ca="1" si="1626"/>
        <v>38577067.265033081</v>
      </c>
      <c r="Q1722" s="2">
        <f t="shared" ca="1" si="1627"/>
        <v>964426.6816258271</v>
      </c>
      <c r="R1722" s="2">
        <f t="shared" ca="1" si="1628"/>
        <v>23146240.359019849</v>
      </c>
      <c r="S1722" s="2">
        <f t="shared" ca="1" si="1629"/>
        <v>15430826.906013234</v>
      </c>
      <c r="T1722" s="2">
        <f t="shared" ca="1" si="1630"/>
        <v>48651986.542661995</v>
      </c>
      <c r="U1722" s="2">
        <f t="shared" ca="1" si="1631"/>
        <v>52101781.547835216</v>
      </c>
      <c r="V1722" s="2">
        <f t="shared" ca="1" si="1632"/>
        <v>55796193.195070572</v>
      </c>
      <c r="W1722" s="2">
        <f t="shared" ca="1" si="1633"/>
        <v>59752566.660381131</v>
      </c>
      <c r="X1722" s="2">
        <f t="shared" ca="1" si="1634"/>
        <v>63989477.024370231</v>
      </c>
      <c r="Y1722" s="2">
        <f t="shared" ca="1" si="1635"/>
        <v>0.12739098547116293</v>
      </c>
      <c r="Z1722" s="2">
        <f t="shared" ca="1" si="1636"/>
        <v>0.13034737965962812</v>
      </c>
      <c r="AA1722" s="2">
        <f t="shared" ca="1" si="1637"/>
        <v>6197824.5107994685</v>
      </c>
      <c r="AB1722" s="2">
        <f t="shared" ca="1" si="1638"/>
        <v>6791330.7003586832</v>
      </c>
      <c r="AC1722" s="2">
        <f t="shared" ca="1" si="1639"/>
        <v>7272887.5779598225</v>
      </c>
      <c r="AD1722" s="2">
        <f t="shared" ca="1" si="1640"/>
        <v>7788590.4921179367</v>
      </c>
      <c r="AE1722" s="2">
        <f t="shared" ca="1" si="1641"/>
        <v>8340860.6559166368</v>
      </c>
      <c r="AF1722" s="2">
        <f t="shared" ca="1" si="1642"/>
        <v>973039.73085323989</v>
      </c>
      <c r="AG1722" s="2">
        <f t="shared" ca="1" si="1643"/>
        <v>1042035.6309567044</v>
      </c>
      <c r="AH1722" s="2">
        <f t="shared" ca="1" si="1644"/>
        <v>1115923.8639014114</v>
      </c>
      <c r="AI1722" s="2">
        <f t="shared" ca="1" si="1645"/>
        <v>1195051.3332076226</v>
      </c>
      <c r="AJ1722" s="2">
        <f t="shared" ca="1" si="1646"/>
        <v>1279789.5404874047</v>
      </c>
      <c r="AK1722" s="2">
        <f t="shared" ca="1" si="1647"/>
        <v>0</v>
      </c>
      <c r="AL1722" s="2">
        <f t="shared" ca="1" si="1648"/>
        <v>34497.950051732216</v>
      </c>
      <c r="AM1722" s="2">
        <f t="shared" ca="1" si="1649"/>
        <v>36944.116472353562</v>
      </c>
      <c r="AN1722" s="2">
        <f t="shared" ca="1" si="1650"/>
        <v>39563.734653105588</v>
      </c>
      <c r="AO1722" s="2">
        <f t="shared" ca="1" si="1651"/>
        <v>42369.103639891</v>
      </c>
      <c r="AP1722" s="2">
        <f t="shared" ca="1" si="1652"/>
        <v>2083161.6323117863</v>
      </c>
      <c r="AQ1722" s="2">
        <f t="shared" ca="1" si="1653"/>
        <v>816822.01838495489</v>
      </c>
      <c r="AR1722" s="2">
        <f t="shared" ca="1" si="1654"/>
        <v>953194.69364344992</v>
      </c>
      <c r="AS1722" s="2">
        <f t="shared" ca="1" si="1655"/>
        <v>1059188.5412541225</v>
      </c>
      <c r="AT1722" s="2">
        <f t="shared" ca="1" si="1656"/>
        <v>1172698.1569156172</v>
      </c>
      <c r="AU1722" s="2">
        <f t="shared" ca="1" si="1657"/>
        <v>1294256.4656105358</v>
      </c>
      <c r="AV1722" s="2">
        <f t="shared" ca="1" si="1658"/>
        <v>2324801.1292494871</v>
      </c>
      <c r="AW1722" s="2">
        <f t="shared" ca="1" si="1659"/>
        <v>2678440.7933950098</v>
      </c>
      <c r="AX1722" s="2">
        <f t="shared" ca="1" si="1660"/>
        <v>2977669.4240201488</v>
      </c>
      <c r="AY1722" s="2">
        <f t="shared" ca="1" si="1661"/>
        <v>3298115.635029804</v>
      </c>
      <c r="AZ1722" s="2">
        <f t="shared" ca="1" si="1662"/>
        <v>3641283.9138670182</v>
      </c>
      <c r="BA1722" s="2">
        <f t="shared" ca="1" si="1663"/>
        <v>57995476.181970157</v>
      </c>
      <c r="BB1722" s="2">
        <f t="shared" ca="1" si="1664"/>
        <v>1159909.5236394031</v>
      </c>
      <c r="BC1722" s="2">
        <f t="shared" ca="1" si="1665"/>
        <v>33689326.2993109</v>
      </c>
      <c r="BD1722" s="2">
        <f t="shared" ca="1" si="1666"/>
        <v>-16895253.58763906</v>
      </c>
      <c r="BE1722" s="2">
        <f t="shared" ca="1" si="1667"/>
        <v>2324801.1292494871</v>
      </c>
      <c r="BF1722" s="2">
        <f t="shared" ca="1" si="1668"/>
        <v>2678440.7933950098</v>
      </c>
      <c r="BG1722" s="2">
        <f t="shared" ca="1" si="1669"/>
        <v>2977669.4240201488</v>
      </c>
      <c r="BH1722" s="2">
        <f t="shared" ca="1" si="1670"/>
        <v>3298115.635029804</v>
      </c>
      <c r="BI1722" s="2">
        <f t="shared" ca="1" si="1671"/>
        <v>37330610.213177919</v>
      </c>
      <c r="BJ1722" s="2">
        <f t="shared" ca="1" si="1672"/>
        <v>0.28129012430228961</v>
      </c>
      <c r="BK1722" s="2">
        <f t="shared" ca="1" si="1673"/>
        <v>12713547.474797815</v>
      </c>
    </row>
    <row r="1723" spans="1:63" x14ac:dyDescent="0.3">
      <c r="A1723" s="2">
        <v>1722</v>
      </c>
      <c r="B1723" s="2">
        <f t="shared" ca="1" si="1612"/>
        <v>1.3402165893657614E-2</v>
      </c>
      <c r="C1723" s="2">
        <f t="shared" ca="1" si="1613"/>
        <v>6.1637202852041106</v>
      </c>
      <c r="D1723" s="2">
        <f t="shared" ca="1" si="1614"/>
        <v>0.31380589748145271</v>
      </c>
      <c r="E1723" s="2">
        <f t="shared" ca="1" si="1615"/>
        <v>7.2922195370999789</v>
      </c>
      <c r="F1723" s="2">
        <f t="shared" ca="1" si="1616"/>
        <v>0.92243239729107862</v>
      </c>
      <c r="G1723" s="2">
        <f t="shared" ca="1" si="1617"/>
        <v>8.2648743577796779E-2</v>
      </c>
      <c r="H1723" s="2">
        <f t="shared" ca="1" si="1618"/>
        <v>8.2648743577796779E-2</v>
      </c>
      <c r="I1723" s="2">
        <f t="shared" ca="1" si="1619"/>
        <v>0.11813086246607907</v>
      </c>
      <c r="J1723" s="2">
        <f t="shared" ca="1" si="1620"/>
        <v>4.0780880123136463E-3</v>
      </c>
      <c r="K1723" s="2">
        <f t="shared" ca="1" si="1621"/>
        <v>4.0780880123136463E-3</v>
      </c>
      <c r="L1723" s="2">
        <f t="shared" ca="1" si="1622"/>
        <v>0.7066271454082873</v>
      </c>
      <c r="M1723" s="2">
        <f t="shared" ca="1" si="1623"/>
        <v>1.0871158814652806E-2</v>
      </c>
      <c r="N1723" s="2">
        <f t="shared" ca="1" si="1624"/>
        <v>1.0871158814652806E-2</v>
      </c>
      <c r="O1723" s="2">
        <f t="shared" si="1625"/>
        <v>6000000</v>
      </c>
      <c r="P1723" s="2">
        <f t="shared" ca="1" si="1626"/>
        <v>36982321.71122466</v>
      </c>
      <c r="Q1723" s="2">
        <f t="shared" ca="1" si="1627"/>
        <v>924558.04278061655</v>
      </c>
      <c r="R1723" s="2">
        <f t="shared" ca="1" si="1628"/>
        <v>22189393.026734795</v>
      </c>
      <c r="S1723" s="2">
        <f t="shared" ca="1" si="1629"/>
        <v>14792928.684489865</v>
      </c>
      <c r="T1723" s="2">
        <f t="shared" ca="1" si="1630"/>
        <v>50543557.940732643</v>
      </c>
      <c r="U1723" s="2">
        <f t="shared" ca="1" si="1631"/>
        <v>54720919.500485763</v>
      </c>
      <c r="V1723" s="2">
        <f t="shared" ca="1" si="1632"/>
        <v>59243534.74462267</v>
      </c>
      <c r="W1723" s="2">
        <f t="shared" ca="1" si="1633"/>
        <v>64139938.456373282</v>
      </c>
      <c r="X1723" s="2">
        <f t="shared" ca="1" si="1634"/>
        <v>69441023.782949746</v>
      </c>
      <c r="Y1723" s="2">
        <f t="shared" ca="1" si="1635"/>
        <v>0.12203904400615682</v>
      </c>
      <c r="Z1723" s="2">
        <f t="shared" ca="1" si="1636"/>
        <v>0.12285466160861955</v>
      </c>
      <c r="AA1723" s="2">
        <f t="shared" ca="1" si="1637"/>
        <v>6168287.491756808</v>
      </c>
      <c r="AB1723" s="2">
        <f t="shared" ca="1" si="1638"/>
        <v>6722720.0481446888</v>
      </c>
      <c r="AC1723" s="2">
        <f t="shared" ca="1" si="1639"/>
        <v>7278344.4135491131</v>
      </c>
      <c r="AD1723" s="2">
        <f t="shared" ca="1" si="1640"/>
        <v>7879890.4346554233</v>
      </c>
      <c r="AE1723" s="2">
        <f t="shared" ca="1" si="1641"/>
        <v>8531153.4786103927</v>
      </c>
      <c r="AF1723" s="2">
        <f t="shared" ca="1" si="1642"/>
        <v>1010871.1588146529</v>
      </c>
      <c r="AG1723" s="2">
        <f t="shared" ca="1" si="1643"/>
        <v>1094418.3900097152</v>
      </c>
      <c r="AH1723" s="2">
        <f t="shared" ca="1" si="1644"/>
        <v>1184870.6948924535</v>
      </c>
      <c r="AI1723" s="2">
        <f t="shared" ca="1" si="1645"/>
        <v>1282798.7691274656</v>
      </c>
      <c r="AJ1723" s="2">
        <f t="shared" ca="1" si="1646"/>
        <v>1388820.4756589949</v>
      </c>
      <c r="AK1723" s="2">
        <f t="shared" ca="1" si="1647"/>
        <v>0</v>
      </c>
      <c r="AL1723" s="2">
        <f t="shared" ca="1" si="1648"/>
        <v>41773.615597531199</v>
      </c>
      <c r="AM1723" s="2">
        <f t="shared" ca="1" si="1649"/>
        <v>45226.152441369071</v>
      </c>
      <c r="AN1723" s="2">
        <f t="shared" ca="1" si="1650"/>
        <v>48964.037117506115</v>
      </c>
      <c r="AO1723" s="2">
        <f t="shared" ca="1" si="1651"/>
        <v>53010.853265764643</v>
      </c>
      <c r="AP1723" s="2">
        <f t="shared" ca="1" si="1652"/>
        <v>1997045.3724061316</v>
      </c>
      <c r="AQ1723" s="2">
        <f t="shared" ca="1" si="1653"/>
        <v>821696.44973936619</v>
      </c>
      <c r="AR1723" s="2">
        <f t="shared" ca="1" si="1654"/>
        <v>944126.63428949891</v>
      </c>
      <c r="AS1723" s="2">
        <f t="shared" ca="1" si="1655"/>
        <v>1065071.3700251372</v>
      </c>
      <c r="AT1723" s="2">
        <f t="shared" ca="1" si="1656"/>
        <v>1196012.0362116748</v>
      </c>
      <c r="AU1723" s="2">
        <f t="shared" ca="1" si="1657"/>
        <v>1337774.7839417693</v>
      </c>
      <c r="AV1723" s="2">
        <f t="shared" ca="1" si="1658"/>
        <v>2338674.5107966578</v>
      </c>
      <c r="AW1723" s="2">
        <f t="shared" ca="1" si="1659"/>
        <v>2645356.0358418124</v>
      </c>
      <c r="AX1723" s="2">
        <f t="shared" ca="1" si="1660"/>
        <v>2986130.8237840207</v>
      </c>
      <c r="AY1723" s="2">
        <f t="shared" ca="1" si="1661"/>
        <v>3355070.2197926445</v>
      </c>
      <c r="AZ1723" s="2">
        <f t="shared" ca="1" si="1662"/>
        <v>3754501.9933377327</v>
      </c>
      <c r="BA1723" s="2">
        <f t="shared" ca="1" si="1663"/>
        <v>62211044.070721149</v>
      </c>
      <c r="BB1723" s="2">
        <f t="shared" ca="1" si="1664"/>
        <v>1244220.881414423</v>
      </c>
      <c r="BC1723" s="2">
        <f t="shared" ca="1" si="1665"/>
        <v>38777430.162571929</v>
      </c>
      <c r="BD1723" s="2">
        <f t="shared" ca="1" si="1666"/>
        <v>-16217486.727270482</v>
      </c>
      <c r="BE1723" s="2">
        <f t="shared" ca="1" si="1667"/>
        <v>2338674.5107966578</v>
      </c>
      <c r="BF1723" s="2">
        <f t="shared" ca="1" si="1668"/>
        <v>2645356.0358418124</v>
      </c>
      <c r="BG1723" s="2">
        <f t="shared" ca="1" si="1669"/>
        <v>2986130.8237840207</v>
      </c>
      <c r="BH1723" s="2">
        <f t="shared" ca="1" si="1670"/>
        <v>3355070.2197926445</v>
      </c>
      <c r="BI1723" s="2">
        <f t="shared" ca="1" si="1671"/>
        <v>42531932.155909665</v>
      </c>
      <c r="BJ1723" s="2">
        <f t="shared" ca="1" si="1672"/>
        <v>0.32178332555074607</v>
      </c>
      <c r="BK1723" s="2">
        <f t="shared" ca="1" si="1673"/>
        <v>16370914.39784473</v>
      </c>
    </row>
    <row r="1724" spans="1:63" x14ac:dyDescent="0.3">
      <c r="A1724" s="2">
        <v>1723</v>
      </c>
      <c r="B1724" s="2">
        <f t="shared" ca="1" si="1612"/>
        <v>0.14756080611876843</v>
      </c>
      <c r="C1724" s="2">
        <f t="shared" ca="1" si="1613"/>
        <v>6.5432509661634635</v>
      </c>
      <c r="D1724" s="2">
        <f t="shared" ca="1" si="1614"/>
        <v>0.97579446336853404</v>
      </c>
      <c r="E1724" s="2">
        <f t="shared" ca="1" si="1615"/>
        <v>8.2799748349326112</v>
      </c>
      <c r="F1724" s="2">
        <f t="shared" ca="1" si="1616"/>
        <v>0.14596824484391691</v>
      </c>
      <c r="G1724" s="2">
        <f t="shared" ca="1" si="1617"/>
        <v>8.3835101777574583E-3</v>
      </c>
      <c r="H1724" s="2">
        <f t="shared" ca="1" si="1618"/>
        <v>8.3835101777574583E-3</v>
      </c>
      <c r="I1724" s="2">
        <f t="shared" ca="1" si="1619"/>
        <v>0.11063908004254153</v>
      </c>
      <c r="J1724" s="2">
        <f t="shared" ca="1" si="1620"/>
        <v>3.8843177051561071E-3</v>
      </c>
      <c r="K1724" s="2">
        <f t="shared" ca="1" si="1621"/>
        <v>3.8843177051561071E-3</v>
      </c>
      <c r="L1724" s="2">
        <f t="shared" ca="1" si="1622"/>
        <v>0.90824318834557605</v>
      </c>
      <c r="M1724" s="2">
        <f t="shared" ca="1" si="1623"/>
        <v>2.6600282144187727E-2</v>
      </c>
      <c r="N1724" s="2">
        <f t="shared" ca="1" si="1624"/>
        <v>2.6600282144187727E-2</v>
      </c>
      <c r="O1724" s="2">
        <f t="shared" si="1625"/>
        <v>6000000</v>
      </c>
      <c r="P1724" s="2">
        <f t="shared" ca="1" si="1626"/>
        <v>39259505.796980783</v>
      </c>
      <c r="Q1724" s="2">
        <f t="shared" ca="1" si="1627"/>
        <v>981487.64492451958</v>
      </c>
      <c r="R1724" s="2">
        <f t="shared" ca="1" si="1628"/>
        <v>23555703.47818847</v>
      </c>
      <c r="S1724" s="2">
        <f t="shared" ca="1" si="1629"/>
        <v>15703802.318792313</v>
      </c>
      <c r="T1724" s="2">
        <f t="shared" ca="1" si="1630"/>
        <v>51330014.107209384</v>
      </c>
      <c r="U1724" s="2">
        <f t="shared" ca="1" si="1631"/>
        <v>51760339.802901603</v>
      </c>
      <c r="V1724" s="2">
        <f t="shared" ca="1" si="1632"/>
        <v>52194273.13844341</v>
      </c>
      <c r="W1724" s="2">
        <f t="shared" ca="1" si="1633"/>
        <v>52631844.358520202</v>
      </c>
      <c r="X1724" s="2">
        <f t="shared" ca="1" si="1634"/>
        <v>53073083.961374</v>
      </c>
      <c r="Y1724" s="2">
        <f t="shared" ca="1" si="1635"/>
        <v>0.12194215885257804</v>
      </c>
      <c r="Z1724" s="2">
        <f t="shared" ca="1" si="1636"/>
        <v>0.12271902239360927</v>
      </c>
      <c r="AA1724" s="2">
        <f t="shared" ca="1" si="1637"/>
        <v>6259292.7341663986</v>
      </c>
      <c r="AB1724" s="2">
        <f t="shared" ca="1" si="1638"/>
        <v>6351978.299373107</v>
      </c>
      <c r="AC1724" s="2">
        <f t="shared" ca="1" si="1639"/>
        <v>6405230.1740947952</v>
      </c>
      <c r="AD1724" s="2">
        <f t="shared" ca="1" si="1640"/>
        <v>6458928.4864501981</v>
      </c>
      <c r="AE1724" s="2">
        <f t="shared" ca="1" si="1641"/>
        <v>6513076.9791537607</v>
      </c>
      <c r="AF1724" s="2">
        <f t="shared" ca="1" si="1642"/>
        <v>1026600.2821441877</v>
      </c>
      <c r="AG1724" s="2">
        <f t="shared" ca="1" si="1643"/>
        <v>1035206.7960580321</v>
      </c>
      <c r="AH1724" s="2">
        <f t="shared" ca="1" si="1644"/>
        <v>1043885.4627688682</v>
      </c>
      <c r="AI1724" s="2">
        <f t="shared" ca="1" si="1645"/>
        <v>1052636.887170404</v>
      </c>
      <c r="AJ1724" s="2">
        <f t="shared" ca="1" si="1646"/>
        <v>1061461.67922748</v>
      </c>
      <c r="AK1724" s="2">
        <f t="shared" ca="1" si="1647"/>
        <v>0</v>
      </c>
      <c r="AL1724" s="2">
        <f t="shared" ca="1" si="1648"/>
        <v>4303.2569569221887</v>
      </c>
      <c r="AM1724" s="2">
        <f t="shared" ca="1" si="1649"/>
        <v>4339.3333554180708</v>
      </c>
      <c r="AN1724" s="2">
        <f t="shared" ca="1" si="1650"/>
        <v>4375.7122007679191</v>
      </c>
      <c r="AO1724" s="2">
        <f t="shared" ca="1" si="1651"/>
        <v>4412.3960285379735</v>
      </c>
      <c r="AP1724" s="2">
        <f t="shared" ca="1" si="1652"/>
        <v>2120013.3130369624</v>
      </c>
      <c r="AQ1724" s="2">
        <f t="shared" ca="1" si="1653"/>
        <v>809296.5761361646</v>
      </c>
      <c r="AR1724" s="2">
        <f t="shared" ca="1" si="1654"/>
        <v>831157.12947230937</v>
      </c>
      <c r="AS1724" s="2">
        <f t="shared" ca="1" si="1655"/>
        <v>842746.16355513071</v>
      </c>
      <c r="AT1724" s="2">
        <f t="shared" ca="1" si="1656"/>
        <v>854432.35442313622</v>
      </c>
      <c r="AU1724" s="2">
        <f t="shared" ca="1" si="1657"/>
        <v>866216.51659122284</v>
      </c>
      <c r="AV1724" s="2">
        <f t="shared" ca="1" si="1658"/>
        <v>2303382.5628490839</v>
      </c>
      <c r="AW1724" s="2">
        <f t="shared" ca="1" si="1659"/>
        <v>2361297.8038488813</v>
      </c>
      <c r="AX1724" s="2">
        <f t="shared" ca="1" si="1660"/>
        <v>2394245.9013784155</v>
      </c>
      <c r="AY1724" s="2">
        <f t="shared" ca="1" si="1661"/>
        <v>2427470.2196189268</v>
      </c>
      <c r="AZ1724" s="2">
        <f t="shared" ca="1" si="1662"/>
        <v>2460973.0742695574</v>
      </c>
      <c r="BA1724" s="2">
        <f t="shared" ca="1" si="1663"/>
        <v>53928113.485372052</v>
      </c>
      <c r="BB1724" s="2">
        <f t="shared" ca="1" si="1664"/>
        <v>1078562.2697074411</v>
      </c>
      <c r="BC1724" s="2">
        <f t="shared" ca="1" si="1665"/>
        <v>29293847.73747614</v>
      </c>
      <c r="BD1724" s="2">
        <f t="shared" ca="1" si="1666"/>
        <v>-17185289.963716835</v>
      </c>
      <c r="BE1724" s="2">
        <f t="shared" ca="1" si="1667"/>
        <v>2303382.5628490839</v>
      </c>
      <c r="BF1724" s="2">
        <f t="shared" ca="1" si="1668"/>
        <v>2361297.8038488813</v>
      </c>
      <c r="BG1724" s="2">
        <f t="shared" ca="1" si="1669"/>
        <v>2394245.9013784155</v>
      </c>
      <c r="BH1724" s="2">
        <f t="shared" ca="1" si="1670"/>
        <v>2427470.2196189268</v>
      </c>
      <c r="BI1724" s="2">
        <f t="shared" ca="1" si="1671"/>
        <v>31754820.811745696</v>
      </c>
      <c r="BJ1724" s="2">
        <f t="shared" ca="1" si="1672"/>
        <v>0.2277931735901868</v>
      </c>
      <c r="BK1724" s="2">
        <f t="shared" ca="1" si="1673"/>
        <v>8019130.0400414988</v>
      </c>
    </row>
    <row r="1725" spans="1:63" x14ac:dyDescent="0.3">
      <c r="A1725" s="2">
        <v>1724</v>
      </c>
      <c r="B1725" s="2">
        <f t="shared" ca="1" si="1612"/>
        <v>0.6637422554078618</v>
      </c>
      <c r="C1725" s="2">
        <f t="shared" ca="1" si="1613"/>
        <v>7.179929582789212</v>
      </c>
      <c r="D1725" s="2">
        <f t="shared" ca="1" si="1614"/>
        <v>0.86261924008293456</v>
      </c>
      <c r="E1725" s="2">
        <f t="shared" ca="1" si="1615"/>
        <v>7.9758230071491774</v>
      </c>
      <c r="F1725" s="2">
        <f t="shared" ca="1" si="1616"/>
        <v>0.82815828966462801</v>
      </c>
      <c r="G1725" s="2">
        <f t="shared" ca="1" si="1617"/>
        <v>6.8407371888070473E-2</v>
      </c>
      <c r="H1725" s="2">
        <f t="shared" ca="1" si="1618"/>
        <v>6.8407371888070473E-2</v>
      </c>
      <c r="I1725" s="2">
        <f t="shared" ca="1" si="1619"/>
        <v>0.49619291165731727</v>
      </c>
      <c r="J1725" s="2">
        <f t="shared" ca="1" si="1620"/>
        <v>9.952284499343142E-3</v>
      </c>
      <c r="K1725" s="2">
        <f t="shared" ca="1" si="1621"/>
        <v>9.952284499343142E-3</v>
      </c>
      <c r="L1725" s="2">
        <f t="shared" ca="1" si="1622"/>
        <v>4.5260294980189797E-2</v>
      </c>
      <c r="M1725" s="2">
        <f t="shared" ca="1" si="1623"/>
        <v>-3.3853159387239588E-2</v>
      </c>
      <c r="N1725" s="2">
        <f t="shared" ca="1" si="1624"/>
        <v>-3.3853159387239588E-2</v>
      </c>
      <c r="O1725" s="2">
        <f t="shared" si="1625"/>
        <v>6000000</v>
      </c>
      <c r="P1725" s="2">
        <f t="shared" ca="1" si="1626"/>
        <v>43079577.496735275</v>
      </c>
      <c r="Q1725" s="2">
        <f t="shared" ca="1" si="1627"/>
        <v>1076989.4374183819</v>
      </c>
      <c r="R1725" s="2">
        <f t="shared" ca="1" si="1628"/>
        <v>25847746.498041164</v>
      </c>
      <c r="S1725" s="2">
        <f t="shared" ca="1" si="1629"/>
        <v>17231830.998694111</v>
      </c>
      <c r="T1725" s="2">
        <f t="shared" ca="1" si="1630"/>
        <v>48307342.030638024</v>
      </c>
      <c r="U1725" s="2">
        <f t="shared" ca="1" si="1631"/>
        <v>51611920.341852099</v>
      </c>
      <c r="V1725" s="2">
        <f t="shared" ca="1" si="1632"/>
        <v>55142556.170534641</v>
      </c>
      <c r="W1725" s="2">
        <f t="shared" ca="1" si="1633"/>
        <v>58914713.517351218</v>
      </c>
      <c r="X1725" s="2">
        <f t="shared" ca="1" si="1634"/>
        <v>62944914.234611794</v>
      </c>
      <c r="Y1725" s="2">
        <f t="shared" ca="1" si="1635"/>
        <v>0.12497614224967157</v>
      </c>
      <c r="Z1725" s="2">
        <f t="shared" ca="1" si="1636"/>
        <v>0.1269665991495402</v>
      </c>
      <c r="AA1725" s="2">
        <f t="shared" ca="1" si="1637"/>
        <v>6037265.2493245564</v>
      </c>
      <c r="AB1725" s="2">
        <f t="shared" ca="1" si="1638"/>
        <v>6552990.0013819356</v>
      </c>
      <c r="AC1725" s="2">
        <f t="shared" ca="1" si="1639"/>
        <v>7001262.8253852762</v>
      </c>
      <c r="AD1725" s="2">
        <f t="shared" ca="1" si="1640"/>
        <v>7480200.8151675295</v>
      </c>
      <c r="AE1725" s="2">
        <f t="shared" ca="1" si="1641"/>
        <v>7991901.6941281427</v>
      </c>
      <c r="AF1725" s="2">
        <f t="shared" ca="1" si="1642"/>
        <v>966146.84061276051</v>
      </c>
      <c r="AG1725" s="2">
        <f t="shared" ca="1" si="1643"/>
        <v>1032238.406837042</v>
      </c>
      <c r="AH1725" s="2">
        <f t="shared" ca="1" si="1644"/>
        <v>1102851.1234106929</v>
      </c>
      <c r="AI1725" s="2">
        <f t="shared" ca="1" si="1645"/>
        <v>1178294.2703470243</v>
      </c>
      <c r="AJ1725" s="2">
        <f t="shared" ca="1" si="1646"/>
        <v>1258898.284692236</v>
      </c>
      <c r="AK1725" s="2">
        <f t="shared" ca="1" si="1647"/>
        <v>0</v>
      </c>
      <c r="AL1725" s="2">
        <f t="shared" ca="1" si="1648"/>
        <v>33045.783112140743</v>
      </c>
      <c r="AM1725" s="2">
        <f t="shared" ca="1" si="1649"/>
        <v>35306.358286825416</v>
      </c>
      <c r="AN1725" s="2">
        <f t="shared" ca="1" si="1650"/>
        <v>37721.57346816577</v>
      </c>
      <c r="AO1725" s="2">
        <f t="shared" ca="1" si="1651"/>
        <v>40302.007172605772</v>
      </c>
      <c r="AP1725" s="2">
        <f t="shared" ca="1" si="1652"/>
        <v>2326297.1848237049</v>
      </c>
      <c r="AQ1725" s="2">
        <f t="shared" ca="1" si="1653"/>
        <v>713653.51821090363</v>
      </c>
      <c r="AR1725" s="2">
        <f t="shared" ca="1" si="1654"/>
        <v>830558.14652750897</v>
      </c>
      <c r="AS1725" s="2">
        <f t="shared" ca="1" si="1655"/>
        <v>928749.7744592285</v>
      </c>
      <c r="AT1725" s="2">
        <f t="shared" ca="1" si="1656"/>
        <v>1033658.4335991681</v>
      </c>
      <c r="AU1725" s="2">
        <f t="shared" ca="1" si="1657"/>
        <v>1145743.6183991726</v>
      </c>
      <c r="AV1725" s="2">
        <f t="shared" ca="1" si="1658"/>
        <v>2031167.7056771871</v>
      </c>
      <c r="AW1725" s="2">
        <f t="shared" ca="1" si="1659"/>
        <v>2330850.4800815387</v>
      </c>
      <c r="AX1725" s="2">
        <f t="shared" ca="1" si="1660"/>
        <v>2608058.384404825</v>
      </c>
      <c r="AY1725" s="2">
        <f t="shared" ca="1" si="1661"/>
        <v>2904229.3529294664</v>
      </c>
      <c r="AZ1725" s="2">
        <f t="shared" ca="1" si="1662"/>
        <v>3220660.5990404226</v>
      </c>
      <c r="BA1725" s="2">
        <f t="shared" ca="1" si="1663"/>
        <v>63741993.402901731</v>
      </c>
      <c r="BB1725" s="2">
        <f t="shared" ca="1" si="1664"/>
        <v>1274839.8680580347</v>
      </c>
      <c r="BC1725" s="2">
        <f t="shared" ca="1" si="1665"/>
        <v>36619407.036802538</v>
      </c>
      <c r="BD1725" s="2">
        <f t="shared" ca="1" si="1666"/>
        <v>-18808820.436112493</v>
      </c>
      <c r="BE1725" s="2">
        <f t="shared" ca="1" si="1667"/>
        <v>2031167.7056771871</v>
      </c>
      <c r="BF1725" s="2">
        <f t="shared" ca="1" si="1668"/>
        <v>2330850.4800815387</v>
      </c>
      <c r="BG1725" s="2">
        <f t="shared" ca="1" si="1669"/>
        <v>2608058.384404825</v>
      </c>
      <c r="BH1725" s="2">
        <f t="shared" ca="1" si="1670"/>
        <v>2904229.3529294664</v>
      </c>
      <c r="BI1725" s="2">
        <f t="shared" ca="1" si="1671"/>
        <v>39840067.635842964</v>
      </c>
      <c r="BJ1725" s="2">
        <f t="shared" ca="1" si="1672"/>
        <v>0.24821990141267603</v>
      </c>
      <c r="BK1725" s="2">
        <f t="shared" ca="1" si="1673"/>
        <v>11171240.901456848</v>
      </c>
    </row>
    <row r="1726" spans="1:63" x14ac:dyDescent="0.3">
      <c r="A1726" s="2">
        <v>1725</v>
      </c>
      <c r="B1726" s="2">
        <f t="shared" ca="1" si="1612"/>
        <v>0.23000328164498529</v>
      </c>
      <c r="C1726" s="2">
        <f t="shared" ca="1" si="1613"/>
        <v>6.6782378368168285</v>
      </c>
      <c r="D1726" s="2">
        <f t="shared" ca="1" si="1614"/>
        <v>0.75364973662498025</v>
      </c>
      <c r="E1726" s="2">
        <f t="shared" ca="1" si="1615"/>
        <v>7.7980737027649987</v>
      </c>
      <c r="F1726" s="2">
        <f t="shared" ca="1" si="1616"/>
        <v>0.59264072549414493</v>
      </c>
      <c r="G1726" s="2">
        <f t="shared" ca="1" si="1617"/>
        <v>4.703029606585106E-2</v>
      </c>
      <c r="H1726" s="2">
        <f t="shared" ca="1" si="1618"/>
        <v>4.703029606585106E-2</v>
      </c>
      <c r="I1726" s="2">
        <f t="shared" ca="1" si="1619"/>
        <v>0.20686685419253248</v>
      </c>
      <c r="J1726" s="2">
        <f t="shared" ca="1" si="1620"/>
        <v>5.9132961019397814E-3</v>
      </c>
      <c r="K1726" s="2">
        <f t="shared" ca="1" si="1621"/>
        <v>5.9132961019397814E-3</v>
      </c>
      <c r="L1726" s="2">
        <f t="shared" ca="1" si="1622"/>
        <v>0.10795232521316789</v>
      </c>
      <c r="M1726" s="2">
        <f t="shared" ca="1" si="1623"/>
        <v>-2.4749830949267887E-2</v>
      </c>
      <c r="N1726" s="2">
        <f t="shared" ca="1" si="1624"/>
        <v>-2.4749830949267887E-2</v>
      </c>
      <c r="O1726" s="2">
        <f t="shared" si="1625"/>
        <v>6000000</v>
      </c>
      <c r="P1726" s="2">
        <f t="shared" ca="1" si="1626"/>
        <v>40069427.020900972</v>
      </c>
      <c r="Q1726" s="2">
        <f t="shared" ca="1" si="1627"/>
        <v>1001735.6755225244</v>
      </c>
      <c r="R1726" s="2">
        <f t="shared" ca="1" si="1628"/>
        <v>24041656.212540582</v>
      </c>
      <c r="S1726" s="2">
        <f t="shared" ca="1" si="1629"/>
        <v>16027770.80836039</v>
      </c>
      <c r="T1726" s="2">
        <f t="shared" ca="1" si="1630"/>
        <v>48762508.452536605</v>
      </c>
      <c r="U1726" s="2">
        <f t="shared" ca="1" si="1631"/>
        <v>51055823.66197297</v>
      </c>
      <c r="V1726" s="2">
        <f t="shared" ca="1" si="1632"/>
        <v>53456994.164681442</v>
      </c>
      <c r="W1726" s="2">
        <f t="shared" ca="1" si="1633"/>
        <v>55971092.427036881</v>
      </c>
      <c r="X1726" s="2">
        <f t="shared" ca="1" si="1634"/>
        <v>58603429.475009538</v>
      </c>
      <c r="Y1726" s="2">
        <f t="shared" ca="1" si="1635"/>
        <v>0.12295664805096988</v>
      </c>
      <c r="Z1726" s="2">
        <f t="shared" ca="1" si="1636"/>
        <v>0.12413930727135784</v>
      </c>
      <c r="AA1726" s="2">
        <f t="shared" ca="1" si="1637"/>
        <v>5995674.5898809871</v>
      </c>
      <c r="AB1726" s="2">
        <f t="shared" ca="1" si="1638"/>
        <v>6338034.5815659249</v>
      </c>
      <c r="AC1726" s="2">
        <f t="shared" ca="1" si="1639"/>
        <v>6636114.2244125726</v>
      </c>
      <c r="AD1726" s="2">
        <f t="shared" ca="1" si="1640"/>
        <v>6948212.641113501</v>
      </c>
      <c r="AE1726" s="2">
        <f t="shared" ca="1" si="1641"/>
        <v>7274989.1387535585</v>
      </c>
      <c r="AF1726" s="2">
        <f t="shared" ca="1" si="1642"/>
        <v>975250.16905073216</v>
      </c>
      <c r="AG1726" s="2">
        <f t="shared" ca="1" si="1643"/>
        <v>1021116.4732394594</v>
      </c>
      <c r="AH1726" s="2">
        <f t="shared" ca="1" si="1644"/>
        <v>1069139.8832936289</v>
      </c>
      <c r="AI1726" s="2">
        <f t="shared" ca="1" si="1645"/>
        <v>1119421.8485407378</v>
      </c>
      <c r="AJ1726" s="2">
        <f t="shared" ca="1" si="1646"/>
        <v>1172068.5895001907</v>
      </c>
      <c r="AK1726" s="2">
        <f t="shared" ca="1" si="1647"/>
        <v>0</v>
      </c>
      <c r="AL1726" s="2">
        <f t="shared" ca="1" si="1648"/>
        <v>22933.152094363646</v>
      </c>
      <c r="AM1726" s="2">
        <f t="shared" ca="1" si="1649"/>
        <v>24011.705027084725</v>
      </c>
      <c r="AN1726" s="2">
        <f t="shared" ca="1" si="1650"/>
        <v>25140.982623554395</v>
      </c>
      <c r="AO1726" s="2">
        <f t="shared" ca="1" si="1651"/>
        <v>26323.370479726567</v>
      </c>
      <c r="AP1726" s="2">
        <f t="shared" ca="1" si="1652"/>
        <v>2163749.0591286523</v>
      </c>
      <c r="AQ1726" s="2">
        <f t="shared" ca="1" si="1653"/>
        <v>742735.59404241678</v>
      </c>
      <c r="AR1726" s="2">
        <f t="shared" ca="1" si="1654"/>
        <v>819823.95279143157</v>
      </c>
      <c r="AS1726" s="2">
        <f t="shared" ca="1" si="1655"/>
        <v>884838.57331747585</v>
      </c>
      <c r="AT1726" s="2">
        <f t="shared" ca="1" si="1656"/>
        <v>952910.85069546872</v>
      </c>
      <c r="AU1726" s="2">
        <f t="shared" ca="1" si="1657"/>
        <v>1024184.5874324261</v>
      </c>
      <c r="AV1726" s="2">
        <f t="shared" ca="1" si="1658"/>
        <v>2113939.7676591864</v>
      </c>
      <c r="AW1726" s="2">
        <f t="shared" ca="1" si="1659"/>
        <v>2310411.9443120183</v>
      </c>
      <c r="AX1726" s="2">
        <f t="shared" ca="1" si="1660"/>
        <v>2494375.0036457311</v>
      </c>
      <c r="AY1726" s="2">
        <f t="shared" ca="1" si="1661"/>
        <v>2686989.9001250872</v>
      </c>
      <c r="AZ1726" s="2">
        <f t="shared" ca="1" si="1662"/>
        <v>2888663.5322125629</v>
      </c>
      <c r="BA1726" s="2">
        <f t="shared" ca="1" si="1663"/>
        <v>56730901.490815111</v>
      </c>
      <c r="BB1726" s="2">
        <f t="shared" ca="1" si="1664"/>
        <v>1134618.0298163022</v>
      </c>
      <c r="BC1726" s="2">
        <f t="shared" ca="1" si="1665"/>
        <v>31554627.248458225</v>
      </c>
      <c r="BD1726" s="2">
        <f t="shared" ca="1" si="1666"/>
        <v>-17529506.483882915</v>
      </c>
      <c r="BE1726" s="2">
        <f t="shared" ca="1" si="1667"/>
        <v>2113939.7676591864</v>
      </c>
      <c r="BF1726" s="2">
        <f t="shared" ca="1" si="1668"/>
        <v>2310411.9443120183</v>
      </c>
      <c r="BG1726" s="2">
        <f t="shared" ca="1" si="1669"/>
        <v>2494375.0036457311</v>
      </c>
      <c r="BH1726" s="2">
        <f t="shared" ca="1" si="1670"/>
        <v>2686989.9001250872</v>
      </c>
      <c r="BI1726" s="2">
        <f t="shared" ca="1" si="1671"/>
        <v>34443290.780670792</v>
      </c>
      <c r="BJ1726" s="2">
        <f t="shared" ca="1" si="1672"/>
        <v>0.23779669464018616</v>
      </c>
      <c r="BK1726" s="2">
        <f t="shared" ca="1" si="1673"/>
        <v>9226911.6984003112</v>
      </c>
    </row>
    <row r="1727" spans="1:63" x14ac:dyDescent="0.3">
      <c r="A1727" s="2">
        <v>1726</v>
      </c>
      <c r="B1727" s="2">
        <f t="shared" ca="1" si="1612"/>
        <v>0.21940925737530048</v>
      </c>
      <c r="C1727" s="2">
        <f t="shared" ca="1" si="1613"/>
        <v>6.6624337814080743</v>
      </c>
      <c r="D1727" s="2">
        <f t="shared" ca="1" si="1614"/>
        <v>0.38639249922879582</v>
      </c>
      <c r="E1727" s="2">
        <f t="shared" ca="1" si="1615"/>
        <v>7.3790819065693434</v>
      </c>
      <c r="F1727" s="2">
        <f t="shared" ca="1" si="1616"/>
        <v>0.81487291543351759</v>
      </c>
      <c r="G1727" s="2">
        <f t="shared" ca="1" si="1617"/>
        <v>6.6879921029456363E-2</v>
      </c>
      <c r="H1727" s="2">
        <f t="shared" ca="1" si="1618"/>
        <v>6.6879921029456363E-2</v>
      </c>
      <c r="I1727" s="2">
        <f t="shared" ca="1" si="1619"/>
        <v>0.27433031967175359</v>
      </c>
      <c r="J1727" s="2">
        <f t="shared" ca="1" si="1620"/>
        <v>7.0011583261908698E-3</v>
      </c>
      <c r="K1727" s="2">
        <f t="shared" ca="1" si="1621"/>
        <v>7.0011583261908698E-3</v>
      </c>
      <c r="L1727" s="2">
        <f t="shared" ca="1" si="1622"/>
        <v>0.90466492599672244</v>
      </c>
      <c r="M1727" s="2">
        <f t="shared" ca="1" si="1623"/>
        <v>2.6171984239462313E-2</v>
      </c>
      <c r="N1727" s="2">
        <f t="shared" ca="1" si="1624"/>
        <v>2.6171984239462313E-2</v>
      </c>
      <c r="O1727" s="2">
        <f t="shared" si="1625"/>
        <v>6000000</v>
      </c>
      <c r="P1727" s="2">
        <f t="shared" ca="1" si="1626"/>
        <v>39974602.688448444</v>
      </c>
      <c r="Q1727" s="2">
        <f t="shared" ca="1" si="1627"/>
        <v>999365.06721121119</v>
      </c>
      <c r="R1727" s="2">
        <f t="shared" ca="1" si="1628"/>
        <v>23984761.613069065</v>
      </c>
      <c r="S1727" s="2">
        <f t="shared" ca="1" si="1629"/>
        <v>15989841.075379379</v>
      </c>
      <c r="T1727" s="2">
        <f t="shared" ca="1" si="1630"/>
        <v>51308599.211973116</v>
      </c>
      <c r="U1727" s="2">
        <f t="shared" ca="1" si="1631"/>
        <v>54740114.275401905</v>
      </c>
      <c r="V1727" s="2">
        <f t="shared" ca="1" si="1632"/>
        <v>58401128.795284204</v>
      </c>
      <c r="W1727" s="2">
        <f t="shared" ca="1" si="1633"/>
        <v>62306991.677143924</v>
      </c>
      <c r="X1727" s="2">
        <f t="shared" ca="1" si="1634"/>
        <v>66474078.360094309</v>
      </c>
      <c r="Y1727" s="2">
        <f t="shared" ca="1" si="1635"/>
        <v>0.12350057916309543</v>
      </c>
      <c r="Z1727" s="2">
        <f t="shared" ca="1" si="1636"/>
        <v>0.1249008108283336</v>
      </c>
      <c r="AA1727" s="2">
        <f t="shared" ca="1" si="1637"/>
        <v>6336641.718725821</v>
      </c>
      <c r="AB1727" s="2">
        <f t="shared" ca="1" si="1638"/>
        <v>6837084.6578333369</v>
      </c>
      <c r="AC1727" s="2">
        <f t="shared" ca="1" si="1639"/>
        <v>7294348.3398209382</v>
      </c>
      <c r="AD1727" s="2">
        <f t="shared" ca="1" si="1640"/>
        <v>7782193.7807495091</v>
      </c>
      <c r="AE1727" s="2">
        <f t="shared" ca="1" si="1641"/>
        <v>8302666.2862419635</v>
      </c>
      <c r="AF1727" s="2">
        <f t="shared" ca="1" si="1642"/>
        <v>1026171.9842394623</v>
      </c>
      <c r="AG1727" s="2">
        <f t="shared" ca="1" si="1643"/>
        <v>1094802.285508038</v>
      </c>
      <c r="AH1727" s="2">
        <f t="shared" ca="1" si="1644"/>
        <v>1168022.5759056841</v>
      </c>
      <c r="AI1727" s="2">
        <f t="shared" ca="1" si="1645"/>
        <v>1246139.8335428785</v>
      </c>
      <c r="AJ1727" s="2">
        <f t="shared" ca="1" si="1646"/>
        <v>1329481.5672018861</v>
      </c>
      <c r="AK1727" s="2">
        <f t="shared" ca="1" si="1647"/>
        <v>0</v>
      </c>
      <c r="AL1727" s="2">
        <f t="shared" ca="1" si="1648"/>
        <v>34315.150634287893</v>
      </c>
      <c r="AM1727" s="2">
        <f t="shared" ca="1" si="1649"/>
        <v>36610.145198822989</v>
      </c>
      <c r="AN1727" s="2">
        <f t="shared" ca="1" si="1650"/>
        <v>39058.628818597201</v>
      </c>
      <c r="AO1727" s="2">
        <f t="shared" ca="1" si="1651"/>
        <v>41670.866829503851</v>
      </c>
      <c r="AP1727" s="2">
        <f t="shared" ca="1" si="1652"/>
        <v>2158628.5451762159</v>
      </c>
      <c r="AQ1727" s="2">
        <f t="shared" ca="1" si="1653"/>
        <v>819478.70922063699</v>
      </c>
      <c r="AR1727" s="2">
        <f t="shared" ca="1" si="1654"/>
        <v>931749.99505876168</v>
      </c>
      <c r="AS1727" s="2">
        <f t="shared" ca="1" si="1655"/>
        <v>1031601.2768721499</v>
      </c>
      <c r="AT1727" s="2">
        <f t="shared" ca="1" si="1656"/>
        <v>1138130.6045279077</v>
      </c>
      <c r="AU1727" s="2">
        <f t="shared" ca="1" si="1657"/>
        <v>1251784.6052046041</v>
      </c>
      <c r="AV1727" s="2">
        <f t="shared" ca="1" si="1658"/>
        <v>2332362.4800895057</v>
      </c>
      <c r="AW1727" s="2">
        <f t="shared" ca="1" si="1659"/>
        <v>2617588.6814560336</v>
      </c>
      <c r="AX1727" s="2">
        <f t="shared" ca="1" si="1660"/>
        <v>2899485.7966680652</v>
      </c>
      <c r="AY1727" s="2">
        <f t="shared" ca="1" si="1661"/>
        <v>3200236.1686839093</v>
      </c>
      <c r="AZ1727" s="2">
        <f t="shared" ca="1" si="1662"/>
        <v>3521100.7018297534</v>
      </c>
      <c r="BA1727" s="2">
        <f t="shared" ca="1" si="1663"/>
        <v>61266054.569091357</v>
      </c>
      <c r="BB1727" s="2">
        <f t="shared" ca="1" si="1664"/>
        <v>1225321.0913818271</v>
      </c>
      <c r="BC1727" s="2">
        <f t="shared" ca="1" si="1665"/>
        <v>36055971.864640467</v>
      </c>
      <c r="BD1727" s="2">
        <f t="shared" ca="1" si="1666"/>
        <v>-17489206.14259059</v>
      </c>
      <c r="BE1727" s="2">
        <f t="shared" ca="1" si="1667"/>
        <v>2332362.4800895057</v>
      </c>
      <c r="BF1727" s="2">
        <f t="shared" ca="1" si="1668"/>
        <v>2617588.6814560336</v>
      </c>
      <c r="BG1727" s="2">
        <f t="shared" ca="1" si="1669"/>
        <v>2899485.7966680652</v>
      </c>
      <c r="BH1727" s="2">
        <f t="shared" ca="1" si="1670"/>
        <v>3200236.1686839093</v>
      </c>
      <c r="BI1727" s="2">
        <f t="shared" ca="1" si="1671"/>
        <v>39577072.566470221</v>
      </c>
      <c r="BJ1727" s="2">
        <f t="shared" ca="1" si="1672"/>
        <v>0.28042647019403799</v>
      </c>
      <c r="BK1727" s="2">
        <f t="shared" ca="1" si="1673"/>
        <v>13234684.532479443</v>
      </c>
    </row>
    <row r="1728" spans="1:63" x14ac:dyDescent="0.3">
      <c r="A1728" s="2">
        <v>1727</v>
      </c>
      <c r="B1728" s="2">
        <f t="shared" ca="1" si="1612"/>
        <v>0.65710977649765723</v>
      </c>
      <c r="C1728" s="2">
        <f t="shared" ca="1" si="1613"/>
        <v>7.171881381078359</v>
      </c>
      <c r="D1728" s="2">
        <f t="shared" ca="1" si="1614"/>
        <v>0.52994155496398809</v>
      </c>
      <c r="E1728" s="2">
        <f t="shared" ca="1" si="1615"/>
        <v>7.5304037489387534</v>
      </c>
      <c r="F1728" s="2">
        <f t="shared" ca="1" si="1616"/>
        <v>0.11325849281918732</v>
      </c>
      <c r="G1728" s="2">
        <f t="shared" ca="1" si="1617"/>
        <v>3.7186075711450259E-3</v>
      </c>
      <c r="H1728" s="2">
        <f t="shared" ca="1" si="1618"/>
        <v>3.7186075711450259E-3</v>
      </c>
      <c r="I1728" s="2">
        <f t="shared" ca="1" si="1619"/>
        <v>0.85860234168659111</v>
      </c>
      <c r="J1728" s="2">
        <f t="shared" ca="1" si="1620"/>
        <v>1.5370305289982743E-2</v>
      </c>
      <c r="K1728" s="2">
        <f t="shared" ca="1" si="1621"/>
        <v>1.5370305289982743E-2</v>
      </c>
      <c r="L1728" s="2">
        <f t="shared" ca="1" si="1622"/>
        <v>0.35723691959007065</v>
      </c>
      <c r="M1728" s="2">
        <f t="shared" ca="1" si="1623"/>
        <v>-7.3170849222987215E-3</v>
      </c>
      <c r="N1728" s="2">
        <f t="shared" ca="1" si="1624"/>
        <v>-7.3170849222987215E-3</v>
      </c>
      <c r="O1728" s="2">
        <f t="shared" si="1625"/>
        <v>6000000</v>
      </c>
      <c r="P1728" s="2">
        <f t="shared" ca="1" si="1626"/>
        <v>43031288.286470152</v>
      </c>
      <c r="Q1728" s="2">
        <f t="shared" ca="1" si="1627"/>
        <v>1075782.2071617539</v>
      </c>
      <c r="R1728" s="2">
        <f t="shared" ca="1" si="1628"/>
        <v>25818772.97188209</v>
      </c>
      <c r="S1728" s="2">
        <f t="shared" ca="1" si="1629"/>
        <v>17212515.314588062</v>
      </c>
      <c r="T1728" s="2">
        <f t="shared" ca="1" si="1630"/>
        <v>49634145.753885061</v>
      </c>
      <c r="U1728" s="2">
        <f t="shared" ca="1" si="1631"/>
        <v>49818715.664072774</v>
      </c>
      <c r="V1728" s="2">
        <f t="shared" ca="1" si="1632"/>
        <v>50003971.917325921</v>
      </c>
      <c r="W1728" s="2">
        <f t="shared" ca="1" si="1633"/>
        <v>50189917.065885015</v>
      </c>
      <c r="X1728" s="2">
        <f t="shared" ca="1" si="1634"/>
        <v>50376553.671481356</v>
      </c>
      <c r="Y1728" s="2">
        <f t="shared" ca="1" si="1635"/>
        <v>0.12768515264499136</v>
      </c>
      <c r="Z1728" s="2">
        <f t="shared" ca="1" si="1636"/>
        <v>0.1307592137029879</v>
      </c>
      <c r="AA1728" s="2">
        <f t="shared" ca="1" si="1637"/>
        <v>6337543.4769885642</v>
      </c>
      <c r="AB1728" s="2">
        <f t="shared" ca="1" si="1638"/>
        <v>6514256.0879268833</v>
      </c>
      <c r="AC1728" s="2">
        <f t="shared" ca="1" si="1639"/>
        <v>6538480.0499358261</v>
      </c>
      <c r="AD1728" s="2">
        <f t="shared" ca="1" si="1640"/>
        <v>6562794.0913532982</v>
      </c>
      <c r="AE1728" s="2">
        <f t="shared" ca="1" si="1641"/>
        <v>6587198.5471492708</v>
      </c>
      <c r="AF1728" s="2">
        <f t="shared" ca="1" si="1642"/>
        <v>992682.91507770121</v>
      </c>
      <c r="AG1728" s="2">
        <f t="shared" ca="1" si="1643"/>
        <v>996374.31328145554</v>
      </c>
      <c r="AH1728" s="2">
        <f t="shared" ca="1" si="1644"/>
        <v>1000079.4383465184</v>
      </c>
      <c r="AI1728" s="2">
        <f t="shared" ca="1" si="1645"/>
        <v>1003798.3413177003</v>
      </c>
      <c r="AJ1728" s="2">
        <f t="shared" ca="1" si="1646"/>
        <v>1007531.0734296271</v>
      </c>
      <c r="AK1728" s="2">
        <f t="shared" ca="1" si="1647"/>
        <v>0</v>
      </c>
      <c r="AL1728" s="2">
        <f t="shared" ca="1" si="1648"/>
        <v>1845.699101877138</v>
      </c>
      <c r="AM1728" s="2">
        <f t="shared" ca="1" si="1649"/>
        <v>1852.5625325314702</v>
      </c>
      <c r="AN1728" s="2">
        <f t="shared" ca="1" si="1650"/>
        <v>1859.4514855909347</v>
      </c>
      <c r="AO1728" s="2">
        <f t="shared" ca="1" si="1651"/>
        <v>1866.366055963412</v>
      </c>
      <c r="AP1728" s="2">
        <f t="shared" ca="1" si="1652"/>
        <v>2323689.5674693878</v>
      </c>
      <c r="AQ1728" s="2">
        <f t="shared" ca="1" si="1653"/>
        <v>785504.4585547836</v>
      </c>
      <c r="AR1728" s="2">
        <f t="shared" ca="1" si="1654"/>
        <v>830489.97386577027</v>
      </c>
      <c r="AS1728" s="2">
        <f t="shared" ca="1" si="1655"/>
        <v>835824.8714711793</v>
      </c>
      <c r="AT1728" s="2">
        <f t="shared" ca="1" si="1656"/>
        <v>841179.60746721469</v>
      </c>
      <c r="AU1728" s="2">
        <f t="shared" ca="1" si="1657"/>
        <v>846554.25562506646</v>
      </c>
      <c r="AV1728" s="2">
        <f t="shared" ca="1" si="1658"/>
        <v>2235666.5358866914</v>
      </c>
      <c r="AW1728" s="2">
        <f t="shared" ca="1" si="1659"/>
        <v>2361856.5342083913</v>
      </c>
      <c r="AX1728" s="2">
        <f t="shared" ca="1" si="1660"/>
        <v>2377033.6101162094</v>
      </c>
      <c r="AY1728" s="2">
        <f t="shared" ca="1" si="1661"/>
        <v>2392267.1236134046</v>
      </c>
      <c r="AZ1728" s="2">
        <f t="shared" ca="1" si="1662"/>
        <v>2407557.2845692257</v>
      </c>
      <c r="BA1728" s="2">
        <f t="shared" ca="1" si="1663"/>
        <v>49604264.634456776</v>
      </c>
      <c r="BB1728" s="2">
        <f t="shared" ca="1" si="1664"/>
        <v>992085.29268913553</v>
      </c>
      <c r="BC1728" s="2">
        <f t="shared" ca="1" si="1665"/>
        <v>22793406.369885549</v>
      </c>
      <c r="BD1728" s="2">
        <f t="shared" ca="1" si="1666"/>
        <v>-18788297.521749817</v>
      </c>
      <c r="BE1728" s="2">
        <f t="shared" ca="1" si="1667"/>
        <v>2235666.5358866914</v>
      </c>
      <c r="BF1728" s="2">
        <f t="shared" ca="1" si="1668"/>
        <v>2361856.5342083913</v>
      </c>
      <c r="BG1728" s="2">
        <f t="shared" ca="1" si="1669"/>
        <v>2377033.6101162094</v>
      </c>
      <c r="BH1728" s="2">
        <f t="shared" ca="1" si="1670"/>
        <v>2392267.1236134046</v>
      </c>
      <c r="BI1728" s="2">
        <f t="shared" ca="1" si="1671"/>
        <v>25200963.654454775</v>
      </c>
      <c r="BJ1728" s="2">
        <f t="shared" ca="1" si="1672"/>
        <v>0.1559842051983733</v>
      </c>
      <c r="BK1728" s="2">
        <f t="shared" ca="1" si="1673"/>
        <v>2602649.0276132375</v>
      </c>
    </row>
    <row r="1729" spans="1:63" x14ac:dyDescent="0.3">
      <c r="A1729" s="2">
        <v>1728</v>
      </c>
      <c r="B1729" s="2">
        <f t="shared" ca="1" si="1612"/>
        <v>0.97896796714410517</v>
      </c>
      <c r="C1729" s="2">
        <f t="shared" ca="1" si="1613"/>
        <v>7.794904739909013</v>
      </c>
      <c r="D1729" s="2">
        <f t="shared" ca="1" si="1614"/>
        <v>2.9647090990220115E-2</v>
      </c>
      <c r="E1729" s="2">
        <f t="shared" ca="1" si="1615"/>
        <v>6.7435039670733108</v>
      </c>
      <c r="F1729" s="2">
        <f t="shared" ca="1" si="1616"/>
        <v>0.24113092775391087</v>
      </c>
      <c r="G1729" s="2">
        <f t="shared" ca="1" si="1617"/>
        <v>1.8919920590964385E-2</v>
      </c>
      <c r="H1729" s="2">
        <f t="shared" ca="1" si="1618"/>
        <v>1.8919920590964385E-2</v>
      </c>
      <c r="I1729" s="2">
        <f t="shared" ca="1" si="1619"/>
        <v>0.94562548575925676</v>
      </c>
      <c r="J1729" s="2">
        <f t="shared" ca="1" si="1620"/>
        <v>1.8019206725993643E-2</v>
      </c>
      <c r="K1729" s="2">
        <f t="shared" ca="1" si="1621"/>
        <v>1.8019206725993643E-2</v>
      </c>
      <c r="L1729" s="2">
        <f t="shared" ca="1" si="1622"/>
        <v>0.77891728275299388</v>
      </c>
      <c r="M1729" s="2">
        <f t="shared" ca="1" si="1623"/>
        <v>1.5370833730780537E-2</v>
      </c>
      <c r="N1729" s="2">
        <f t="shared" ca="1" si="1624"/>
        <v>1.5370833730780537E-2</v>
      </c>
      <c r="O1729" s="2">
        <f t="shared" si="1625"/>
        <v>6000000</v>
      </c>
      <c r="P1729" s="2">
        <f t="shared" ca="1" si="1626"/>
        <v>46769428.439454079</v>
      </c>
      <c r="Q1729" s="2">
        <f t="shared" ca="1" si="1627"/>
        <v>1169235.7109863521</v>
      </c>
      <c r="R1729" s="2">
        <f t="shared" ca="1" si="1628"/>
        <v>28061657.063672446</v>
      </c>
      <c r="S1729" s="2">
        <f t="shared" ca="1" si="1629"/>
        <v>18707771.375781633</v>
      </c>
      <c r="T1729" s="2">
        <f t="shared" ca="1" si="1630"/>
        <v>50768541.686539024</v>
      </c>
      <c r="U1729" s="2">
        <f t="shared" ca="1" si="1631"/>
        <v>51729078.463767409</v>
      </c>
      <c r="V1729" s="2">
        <f t="shared" ca="1" si="1632"/>
        <v>52707788.520545661</v>
      </c>
      <c r="W1729" s="2">
        <f t="shared" ca="1" si="1633"/>
        <v>53705015.693879731</v>
      </c>
      <c r="X1729" s="2">
        <f t="shared" ca="1" si="1634"/>
        <v>54721110.326144435</v>
      </c>
      <c r="Y1729" s="2">
        <f t="shared" ca="1" si="1635"/>
        <v>0.12900960336299683</v>
      </c>
      <c r="Z1729" s="2">
        <f t="shared" ca="1" si="1636"/>
        <v>0.13261344470819555</v>
      </c>
      <c r="AA1729" s="2">
        <f t="shared" ca="1" si="1637"/>
        <v>6549629.4262981694</v>
      </c>
      <c r="AB1729" s="2">
        <f t="shared" ca="1" si="1638"/>
        <v>6859971.286660729</v>
      </c>
      <c r="AC1729" s="2">
        <f t="shared" ca="1" si="1639"/>
        <v>6989761.3986606468</v>
      </c>
      <c r="AD1729" s="2">
        <f t="shared" ca="1" si="1640"/>
        <v>7122007.1292730942</v>
      </c>
      <c r="AE1729" s="2">
        <f t="shared" ca="1" si="1641"/>
        <v>7256754.9386072233</v>
      </c>
      <c r="AF1729" s="2">
        <f t="shared" ca="1" si="1642"/>
        <v>1015370.8337307805</v>
      </c>
      <c r="AG1729" s="2">
        <f t="shared" ca="1" si="1643"/>
        <v>1034581.5692753482</v>
      </c>
      <c r="AH1729" s="2">
        <f t="shared" ca="1" si="1644"/>
        <v>1054155.7704109133</v>
      </c>
      <c r="AI1729" s="2">
        <f t="shared" ca="1" si="1645"/>
        <v>1074100.3138775947</v>
      </c>
      <c r="AJ1729" s="2">
        <f t="shared" ca="1" si="1646"/>
        <v>1094422.2065228887</v>
      </c>
      <c r="AK1729" s="2">
        <f t="shared" ca="1" si="1647"/>
        <v>0</v>
      </c>
      <c r="AL1729" s="2">
        <f t="shared" ca="1" si="1648"/>
        <v>9605.3677722838529</v>
      </c>
      <c r="AM1729" s="2">
        <f t="shared" ca="1" si="1649"/>
        <v>9787.1005677825215</v>
      </c>
      <c r="AN1729" s="2">
        <f t="shared" ca="1" si="1650"/>
        <v>9972.2717333406963</v>
      </c>
      <c r="AO1729" s="2">
        <f t="shared" ca="1" si="1651"/>
        <v>10160.946322647036</v>
      </c>
      <c r="AP1729" s="2">
        <f t="shared" ca="1" si="1652"/>
        <v>2525549.1357305199</v>
      </c>
      <c r="AQ1729" s="2">
        <f t="shared" ca="1" si="1653"/>
        <v>782264.458777586</v>
      </c>
      <c r="AR1729" s="2">
        <f t="shared" ca="1" si="1654"/>
        <v>857958.55123026378</v>
      </c>
      <c r="AS1729" s="2">
        <f t="shared" ca="1" si="1655"/>
        <v>886614.68805499561</v>
      </c>
      <c r="AT1729" s="2">
        <f t="shared" ca="1" si="1656"/>
        <v>915812.99671289476</v>
      </c>
      <c r="AU1729" s="2">
        <f t="shared" ca="1" si="1657"/>
        <v>945563.73505199188</v>
      </c>
      <c r="AV1729" s="2">
        <f t="shared" ca="1" si="1658"/>
        <v>2226444.998059283</v>
      </c>
      <c r="AW1729" s="2">
        <f t="shared" ca="1" si="1659"/>
        <v>2432276.6626523128</v>
      </c>
      <c r="AX1729" s="2">
        <f t="shared" ca="1" si="1660"/>
        <v>2513654.7038964359</v>
      </c>
      <c r="AY1729" s="2">
        <f t="shared" ca="1" si="1661"/>
        <v>2596572.4112187438</v>
      </c>
      <c r="AZ1729" s="2">
        <f t="shared" ca="1" si="1662"/>
        <v>2681058.9149791766</v>
      </c>
      <c r="BA1729" s="2">
        <f t="shared" ca="1" si="1663"/>
        <v>48935955.716576651</v>
      </c>
      <c r="BB1729" s="2">
        <f t="shared" ca="1" si="1664"/>
        <v>978719.11433153308</v>
      </c>
      <c r="BC1729" s="2">
        <f t="shared" ca="1" si="1665"/>
        <v>19895579.538572673</v>
      </c>
      <c r="BD1729" s="2">
        <f t="shared" ca="1" si="1666"/>
        <v>-20377007.086767986</v>
      </c>
      <c r="BE1729" s="2">
        <f t="shared" ca="1" si="1667"/>
        <v>2226444.998059283</v>
      </c>
      <c r="BF1729" s="2">
        <f t="shared" ca="1" si="1668"/>
        <v>2432276.6626523128</v>
      </c>
      <c r="BG1729" s="2">
        <f t="shared" ca="1" si="1669"/>
        <v>2513654.7038964359</v>
      </c>
      <c r="BH1729" s="2">
        <f t="shared" ca="1" si="1670"/>
        <v>2596572.4112187438</v>
      </c>
      <c r="BI1729" s="2">
        <f t="shared" ca="1" si="1671"/>
        <v>22576638.453551851</v>
      </c>
      <c r="BJ1729" s="2">
        <f t="shared" ca="1" si="1672"/>
        <v>0.11728042623354984</v>
      </c>
      <c r="BK1729" s="2">
        <f t="shared" ca="1" si="1673"/>
        <v>-200184.25542751327</v>
      </c>
    </row>
    <row r="1730" spans="1:63" x14ac:dyDescent="0.3">
      <c r="A1730" s="2">
        <v>1729</v>
      </c>
      <c r="B1730" s="2">
        <f t="shared" ref="B1730:B1793" ca="1" si="1674">RAND()</f>
        <v>0.9371016845861837</v>
      </c>
      <c r="C1730" s="2">
        <f t="shared" ref="C1730:C1793" ca="1" si="1675">IF(B1730&lt;((P_Mode)-(P_Low))/((P_High)-(P_Low)), (P_Low)+SQRT(B1730*((P_High)-(P_Low))*((P_Mode)-(P_Low))), (P_High)-SQRT((1-B1730)*((P_High)-(P_Low))*((P_High)-(P_Mode))))</f>
        <v>7.6453217925673576</v>
      </c>
      <c r="D1730" s="2">
        <f t="shared" ref="D1730:D1793" ca="1" si="1676">RAND()</f>
        <v>0.32516041607728907</v>
      </c>
      <c r="E1730" s="2">
        <f t="shared" ref="E1730:E1793" ca="1" si="1677">IF(D1730&lt;((X_Mode)-(X_Low))/((X_High)-(X_Low)), (X_Low)+SQRT(D1730*((X_High)-(X_Low))*((X_Mode)-(X_Low))), (X_High)-SQRT((1-D1730)*((X_High)-(X_Low))*((X_High)-(X_Mode))))</f>
        <v>7.3064247219391145</v>
      </c>
      <c r="F1730" s="2">
        <f t="shared" ref="F1730:F1793" ca="1" si="1678">RAND()</f>
        <v>0.55292595770777475</v>
      </c>
      <c r="G1730" s="2">
        <f t="shared" ref="G1730:G1793" ca="1" si="1679">NORMINV(F1730, g_Mean, g_SD)</f>
        <v>4.3991718236759805E-2</v>
      </c>
      <c r="H1730" s="2">
        <f t="shared" ref="H1730:H1793" ca="1" si="1680">MIN(MAX(G1730, g_Min), g_Max)</f>
        <v>4.3991718236759805E-2</v>
      </c>
      <c r="I1730" s="2">
        <f t="shared" ref="I1730:I1793" ca="1" si="1681">RAND()</f>
        <v>0.46810801200639351</v>
      </c>
      <c r="J1730" s="2">
        <f t="shared" ref="J1730:J1793" ca="1" si="1682">NORMINV(I1730, syn_Mean, syn_SD)</f>
        <v>9.599866521837086E-3</v>
      </c>
      <c r="K1730" s="2">
        <f t="shared" ref="K1730:K1793" ca="1" si="1683">MIN(MAX(J1730, syn_Min), syn_Max)</f>
        <v>9.599866521837086E-3</v>
      </c>
      <c r="L1730" s="2">
        <f t="shared" ref="L1730:L1793" ca="1" si="1684">RAND()</f>
        <v>0.3827544665908833</v>
      </c>
      <c r="M1730" s="2">
        <f t="shared" ref="M1730:M1793" ca="1" si="1685">NORMINV(L1730, shk_Mean, shk_SD)</f>
        <v>-5.9650898765397087E-3</v>
      </c>
      <c r="N1730" s="2">
        <f t="shared" ref="N1730:N1793" ca="1" si="1686">MIN(MAX(M1730, shk_Min), shk_Max)</f>
        <v>-5.9650898765397087E-3</v>
      </c>
      <c r="O1730" s="2">
        <f t="shared" ref="O1730:O1793" si="1687">BaseRev*BaseMargin</f>
        <v>6000000</v>
      </c>
      <c r="P1730" s="2">
        <f t="shared" ref="P1730:P1793" ca="1" si="1688">O1730*C1730</f>
        <v>45871930.755404145</v>
      </c>
      <c r="Q1730" s="2">
        <f t="shared" ref="Q1730:Q1793" ca="1" si="1689">P1730*TxnCostPct</f>
        <v>1146798.2688851038</v>
      </c>
      <c r="R1730" s="2">
        <f t="shared" ref="R1730:R1793" ca="1" si="1690">P1730*DebtPct</f>
        <v>27523158.453242484</v>
      </c>
      <c r="S1730" s="2">
        <f t="shared" ref="S1730:S1793" ca="1" si="1691">P1730*EqPct</f>
        <v>18348772.30216166</v>
      </c>
      <c r="T1730" s="2">
        <f t="shared" ref="T1730:T1793" ca="1" si="1692">BaseRev*(1+N1730)</f>
        <v>49701745.506173015</v>
      </c>
      <c r="U1730" s="2">
        <f t="shared" ref="U1730:U1793" ca="1" si="1693">T1730*(1+H1730)</f>
        <v>51888210.690355718</v>
      </c>
      <c r="V1730" s="2">
        <f t="shared" ref="V1730:V1793" ca="1" si="1694">U1730*(1+H1730)</f>
        <v>54170862.234855473</v>
      </c>
      <c r="W1730" s="2">
        <f t="shared" ref="W1730:W1793" ca="1" si="1695">V1730*(1+H1730)</f>
        <v>56553931.542933561</v>
      </c>
      <c r="X1730" s="2">
        <f t="shared" ref="X1730:X1793" ca="1" si="1696">W1730*(1+H1730)</f>
        <v>59041836.164551295</v>
      </c>
      <c r="Y1730" s="2">
        <f t="shared" ref="Y1730:Y1793" ca="1" si="1697">BaseMargin + SynReal_Y1*K1730</f>
        <v>0.12479993326091854</v>
      </c>
      <c r="Z1730" s="2">
        <f t="shared" ref="Z1730:Z1793" ca="1" si="1698">BaseMargin + SynReal_Y2toY5*K1730</f>
        <v>0.12671990656528595</v>
      </c>
      <c r="AA1730" s="2">
        <f t="shared" ref="AA1730:AA1793" ca="1" si="1699">T1730*Y1730</f>
        <v>6202774.5221215505</v>
      </c>
      <c r="AB1730" s="2">
        <f t="shared" ref="AB1730:AB1793" ca="1" si="1700">U1730*Z1730</f>
        <v>6575269.2105217483</v>
      </c>
      <c r="AC1730" s="2">
        <f t="shared" ref="AC1730:AC1793" ca="1" si="1701">V1730*Z1730</f>
        <v>6864526.6009618631</v>
      </c>
      <c r="AD1730" s="2">
        <f t="shared" ref="AD1730:AD1793" ca="1" si="1702">W1730*Z1730</f>
        <v>7166508.9210201185</v>
      </c>
      <c r="AE1730" s="2">
        <f t="shared" ref="AE1730:AE1793" ca="1" si="1703">X1730*Z1730</f>
        <v>7481775.9622148611</v>
      </c>
      <c r="AF1730" s="2">
        <f t="shared" ref="AF1730:AF1793" ca="1" si="1704">T1730*CapexPct</f>
        <v>994034.91012346034</v>
      </c>
      <c r="AG1730" s="2">
        <f t="shared" ref="AG1730:AG1793" ca="1" si="1705">U1730*CapexPct</f>
        <v>1037764.2138071144</v>
      </c>
      <c r="AH1730" s="2">
        <f t="shared" ref="AH1730:AH1793" ca="1" si="1706">V1730*CapexPct</f>
        <v>1083417.2446971096</v>
      </c>
      <c r="AI1730" s="2">
        <f t="shared" ref="AI1730:AI1793" ca="1" si="1707">W1730*CapexPct</f>
        <v>1131078.6308586712</v>
      </c>
      <c r="AJ1730" s="2">
        <f t="shared" ref="AJ1730:AJ1793" ca="1" si="1708">X1730*CapexPct</f>
        <v>1180836.723291026</v>
      </c>
      <c r="AK1730" s="2">
        <f t="shared" ref="AK1730:AK1793" ca="1" si="1709">MAX(T1730-BaseRev*(1+N1730),0)*WCPct</f>
        <v>0</v>
      </c>
      <c r="AL1730" s="2">
        <f t="shared" ref="AL1730:AL1793" ca="1" si="1710">MAX(U1730-T1730,0)*WCPct</f>
        <v>21864.651841827035</v>
      </c>
      <c r="AM1730" s="2">
        <f t="shared" ref="AM1730:AM1793" ca="1" si="1711">MAX(V1730-U1730,0)*WCPct</f>
        <v>22826.515444997549</v>
      </c>
      <c r="AN1730" s="2">
        <f t="shared" ref="AN1730:AN1793" ca="1" si="1712">MAX(W1730-V1730,0)*WCPct</f>
        <v>23830.693080780879</v>
      </c>
      <c r="AO1730" s="2">
        <f t="shared" ref="AO1730:AO1793" ca="1" si="1713">MAX(X1730-W1730,0)*WCPct</f>
        <v>24879.046216177347</v>
      </c>
      <c r="AP1730" s="2">
        <f t="shared" ref="AP1730:AP1793" ca="1" si="1714">R1730*DebtRate</f>
        <v>2477084.2607918237</v>
      </c>
      <c r="AQ1730" s="2">
        <f t="shared" ref="AQ1730:AQ1793" ca="1" si="1715">MAX(AA1730-AF1730-AP1730,0)*Tax</f>
        <v>710230.39131362934</v>
      </c>
      <c r="AR1730" s="2">
        <f t="shared" ref="AR1730:AR1793" ca="1" si="1716">MAX(AB1730-AG1730-AP1730,0)*Tax</f>
        <v>795709.39133993071</v>
      </c>
      <c r="AS1730" s="2">
        <f t="shared" ref="AS1730:AS1793" ca="1" si="1717">MAX(AC1730-AH1730-AP1730,0)*Tax</f>
        <v>859046.52482296166</v>
      </c>
      <c r="AT1730" s="2">
        <f t="shared" ref="AT1730:AT1793" ca="1" si="1718">MAX(AD1730-AI1730-AP1730,0)*Tax</f>
        <v>925169.96763610223</v>
      </c>
      <c r="AU1730" s="2">
        <f t="shared" ref="AU1730:AU1793" ca="1" si="1719">MAX(AE1730-AJ1730-AP1730,0)*Tax</f>
        <v>994202.29431432288</v>
      </c>
      <c r="AV1730" s="2">
        <f t="shared" ref="AV1730:AV1793" ca="1" si="1720">AA1730-AF1730-AK1730-AQ1730-AP1730</f>
        <v>2021424.9598926376</v>
      </c>
      <c r="AW1730" s="2">
        <f t="shared" ref="AW1730:AW1793" ca="1" si="1721">AB1730-AG1730-AL1730-AR1730-AP1730</f>
        <v>2242846.6927410527</v>
      </c>
      <c r="AX1730" s="2">
        <f t="shared" ref="AX1730:AX1793" ca="1" si="1722">AC1730-AH1730-AM1730-AS1730-AP1730</f>
        <v>2422152.0552049703</v>
      </c>
      <c r="AY1730" s="2">
        <f t="shared" ref="AY1730:AY1793" ca="1" si="1723">AD1730-AI1730-AN1730-AT1730-AP1730</f>
        <v>2609345.368652741</v>
      </c>
      <c r="AZ1730" s="2">
        <f t="shared" ref="AZ1730:AZ1793" ca="1" si="1724">AE1730-AJ1730-AO1730-AU1730-AP1730</f>
        <v>2804773.6376015102</v>
      </c>
      <c r="BA1730" s="2">
        <f t="shared" ref="BA1730:BA1793" ca="1" si="1725">AE1730*E1730</f>
        <v>54665032.85433647</v>
      </c>
      <c r="BB1730" s="2">
        <f t="shared" ref="BB1730:BB1793" ca="1" si="1726">BA1730*SellCostPct</f>
        <v>1093300.6570867295</v>
      </c>
      <c r="BC1730" s="2">
        <f t="shared" ref="BC1730:BC1793" ca="1" si="1727">BA1730-R1730-BB1730</f>
        <v>26048573.744007256</v>
      </c>
      <c r="BD1730" s="2">
        <f t="shared" ref="BD1730:BD1793" ca="1" si="1728">-S1730-Q1730-IntegrationPct*BaseRev</f>
        <v>-19995570.571046762</v>
      </c>
      <c r="BE1730" s="2">
        <f t="shared" ref="BE1730:BE1793" ca="1" si="1729">AV1730</f>
        <v>2021424.9598926376</v>
      </c>
      <c r="BF1730" s="2">
        <f t="shared" ref="BF1730:BF1793" ca="1" si="1730">AW1730</f>
        <v>2242846.6927410527</v>
      </c>
      <c r="BG1730" s="2">
        <f t="shared" ref="BG1730:BG1793" ca="1" si="1731">AX1730</f>
        <v>2422152.0552049703</v>
      </c>
      <c r="BH1730" s="2">
        <f t="shared" ref="BH1730:BH1793" ca="1" si="1732">AY1730</f>
        <v>2609345.368652741</v>
      </c>
      <c r="BI1730" s="2">
        <f t="shared" ref="BI1730:BI1793" ca="1" si="1733">AZ1730+BC1730</f>
        <v>28853347.381608766</v>
      </c>
      <c r="BJ1730" s="2">
        <f t="shared" ref="BJ1730:BJ1793" ca="1" si="1734">IF(MIN(BD1730:BI1730)*MAX(BD1730:BI1730)&gt;=0, "", IFERROR(IRR(BD1730:BI1730,0.12), IFERROR(IRR(BD1730:BI1730,0.5), IFERROR(IRR(BD1730:BI1730,-0.5),""))))</f>
        <v>0.1619963433205327</v>
      </c>
      <c r="BK1730" s="2">
        <f t="shared" ref="BK1730:BK1793" ca="1" si="1735">NPV(12%,BE1730:BI1730)+BD1730</f>
        <v>3351747.1212608404</v>
      </c>
    </row>
    <row r="1731" spans="1:63" x14ac:dyDescent="0.3">
      <c r="A1731" s="2">
        <v>1730</v>
      </c>
      <c r="B1731" s="2">
        <f t="shared" ca="1" si="1674"/>
        <v>0.91466134401420696</v>
      </c>
      <c r="C1731" s="2">
        <f t="shared" ca="1" si="1675"/>
        <v>7.5868688925152377</v>
      </c>
      <c r="D1731" s="2">
        <f t="shared" ca="1" si="1676"/>
        <v>0.43024488588089882</v>
      </c>
      <c r="E1731" s="2">
        <f t="shared" ca="1" si="1677"/>
        <v>7.4276258792001215</v>
      </c>
      <c r="F1731" s="2">
        <f t="shared" ca="1" si="1678"/>
        <v>0.67429454664917243</v>
      </c>
      <c r="G1731" s="2">
        <f t="shared" ca="1" si="1679"/>
        <v>5.3554090067073887E-2</v>
      </c>
      <c r="H1731" s="2">
        <f t="shared" ca="1" si="1680"/>
        <v>5.3554090067073887E-2</v>
      </c>
      <c r="I1731" s="2">
        <f t="shared" ca="1" si="1681"/>
        <v>0.66550498556776461</v>
      </c>
      <c r="J1731" s="2">
        <f t="shared" ca="1" si="1682"/>
        <v>1.2137672728616135E-2</v>
      </c>
      <c r="K1731" s="2">
        <f t="shared" ca="1" si="1683"/>
        <v>1.2137672728616135E-2</v>
      </c>
      <c r="L1731" s="2">
        <f t="shared" ca="1" si="1684"/>
        <v>0.16227267226318642</v>
      </c>
      <c r="M1731" s="2">
        <f t="shared" ca="1" si="1685"/>
        <v>-1.9703205726741599E-2</v>
      </c>
      <c r="N1731" s="2">
        <f t="shared" ca="1" si="1686"/>
        <v>-1.9703205726741599E-2</v>
      </c>
      <c r="O1731" s="2">
        <f t="shared" si="1687"/>
        <v>6000000</v>
      </c>
      <c r="P1731" s="2">
        <f t="shared" ca="1" si="1688"/>
        <v>45521213.355091423</v>
      </c>
      <c r="Q1731" s="2">
        <f t="shared" ca="1" si="1689"/>
        <v>1138030.3338772857</v>
      </c>
      <c r="R1731" s="2">
        <f t="shared" ca="1" si="1690"/>
        <v>27312728.013054851</v>
      </c>
      <c r="S1731" s="2">
        <f t="shared" ca="1" si="1691"/>
        <v>18208485.342036571</v>
      </c>
      <c r="T1731" s="2">
        <f t="shared" ca="1" si="1692"/>
        <v>49014839.713662922</v>
      </c>
      <c r="U1731" s="2">
        <f t="shared" ca="1" si="1693"/>
        <v>51639784.854311615</v>
      </c>
      <c r="V1731" s="2">
        <f t="shared" ca="1" si="1694"/>
        <v>54405306.543443739</v>
      </c>
      <c r="W1731" s="2">
        <f t="shared" ca="1" si="1695"/>
        <v>57318933.230198093</v>
      </c>
      <c r="X1731" s="2">
        <f t="shared" ca="1" si="1696"/>
        <v>60388596.542956717</v>
      </c>
      <c r="Y1731" s="2">
        <f t="shared" ca="1" si="1697"/>
        <v>0.12606883636430807</v>
      </c>
      <c r="Z1731" s="2">
        <f t="shared" ca="1" si="1698"/>
        <v>0.1284963709100313</v>
      </c>
      <c r="AA1731" s="2">
        <f t="shared" ca="1" si="1699"/>
        <v>6179243.8072845601</v>
      </c>
      <c r="AB1731" s="2">
        <f t="shared" ca="1" si="1700"/>
        <v>6635524.9483538419</v>
      </c>
      <c r="AC1731" s="2">
        <f t="shared" ca="1" si="1701"/>
        <v>6990884.4490802996</v>
      </c>
      <c r="AD1731" s="2">
        <f t="shared" ca="1" si="1702"/>
        <v>7365274.9045148529</v>
      </c>
      <c r="AE1731" s="2">
        <f t="shared" ca="1" si="1703"/>
        <v>7759715.50012</v>
      </c>
      <c r="AF1731" s="2">
        <f t="shared" ca="1" si="1704"/>
        <v>980296.79427325842</v>
      </c>
      <c r="AG1731" s="2">
        <f t="shared" ca="1" si="1705"/>
        <v>1032795.6970862324</v>
      </c>
      <c r="AH1731" s="2">
        <f t="shared" ca="1" si="1706"/>
        <v>1088106.1308688747</v>
      </c>
      <c r="AI1731" s="2">
        <f t="shared" ca="1" si="1707"/>
        <v>1146378.6646039619</v>
      </c>
      <c r="AJ1731" s="2">
        <f t="shared" ca="1" si="1708"/>
        <v>1207771.9308591343</v>
      </c>
      <c r="AK1731" s="2">
        <f t="shared" ca="1" si="1709"/>
        <v>0</v>
      </c>
      <c r="AL1731" s="2">
        <f t="shared" ca="1" si="1710"/>
        <v>26249.451406486929</v>
      </c>
      <c r="AM1731" s="2">
        <f t="shared" ca="1" si="1711"/>
        <v>27655.216891321241</v>
      </c>
      <c r="AN1731" s="2">
        <f t="shared" ca="1" si="1712"/>
        <v>29136.266867543534</v>
      </c>
      <c r="AO1731" s="2">
        <f t="shared" ca="1" si="1713"/>
        <v>30696.633127586247</v>
      </c>
      <c r="AP1731" s="2">
        <f t="shared" ca="1" si="1714"/>
        <v>2458145.5211749366</v>
      </c>
      <c r="AQ1731" s="2">
        <f t="shared" ca="1" si="1715"/>
        <v>712608.38787745498</v>
      </c>
      <c r="AR1731" s="2">
        <f t="shared" ca="1" si="1716"/>
        <v>817591.76982409495</v>
      </c>
      <c r="AS1731" s="2">
        <f t="shared" ca="1" si="1717"/>
        <v>895604.52722948708</v>
      </c>
      <c r="AT1731" s="2">
        <f t="shared" ca="1" si="1718"/>
        <v>977795.1868713483</v>
      </c>
      <c r="AU1731" s="2">
        <f t="shared" ca="1" si="1719"/>
        <v>1064387.4925023415</v>
      </c>
      <c r="AV1731" s="2">
        <f t="shared" ca="1" si="1720"/>
        <v>2028193.1039589103</v>
      </c>
      <c r="AW1731" s="2">
        <f t="shared" ca="1" si="1721"/>
        <v>2300742.5088620903</v>
      </c>
      <c r="AX1731" s="2">
        <f t="shared" ca="1" si="1722"/>
        <v>2521373.0529156802</v>
      </c>
      <c r="AY1731" s="2">
        <f t="shared" ca="1" si="1723"/>
        <v>2753819.2649970632</v>
      </c>
      <c r="AZ1731" s="2">
        <f t="shared" ca="1" si="1724"/>
        <v>2998713.9224560009</v>
      </c>
      <c r="BA1731" s="2">
        <f t="shared" ca="1" si="1725"/>
        <v>57636263.663921624</v>
      </c>
      <c r="BB1731" s="2">
        <f t="shared" ca="1" si="1726"/>
        <v>1152725.2732784324</v>
      </c>
      <c r="BC1731" s="2">
        <f t="shared" ca="1" si="1727"/>
        <v>29170810.377588339</v>
      </c>
      <c r="BD1731" s="2">
        <f t="shared" ca="1" si="1728"/>
        <v>-19846515.675913855</v>
      </c>
      <c r="BE1731" s="2">
        <f t="shared" ca="1" si="1729"/>
        <v>2028193.1039589103</v>
      </c>
      <c r="BF1731" s="2">
        <f t="shared" ca="1" si="1730"/>
        <v>2300742.5088620903</v>
      </c>
      <c r="BG1731" s="2">
        <f t="shared" ca="1" si="1731"/>
        <v>2521373.0529156802</v>
      </c>
      <c r="BH1731" s="2">
        <f t="shared" ca="1" si="1732"/>
        <v>2753819.2649970632</v>
      </c>
      <c r="BI1731" s="2">
        <f t="shared" ca="1" si="1733"/>
        <v>32169524.300044339</v>
      </c>
      <c r="BJ1731" s="2">
        <f t="shared" ca="1" si="1734"/>
        <v>0.18759490804285273</v>
      </c>
      <c r="BK1731" s="2">
        <f t="shared" ca="1" si="1735"/>
        <v>5597126.353472434</v>
      </c>
    </row>
    <row r="1732" spans="1:63" x14ac:dyDescent="0.3">
      <c r="A1732" s="2">
        <v>1731</v>
      </c>
      <c r="B1732" s="2">
        <f t="shared" ca="1" si="1674"/>
        <v>0.6891510871252744</v>
      </c>
      <c r="C1732" s="2">
        <f t="shared" ca="1" si="1675"/>
        <v>7.2115218292498824</v>
      </c>
      <c r="D1732" s="2">
        <f t="shared" ca="1" si="1676"/>
        <v>0.98886825887801488</v>
      </c>
      <c r="E1732" s="2">
        <f t="shared" ca="1" si="1677"/>
        <v>8.3507904753577371</v>
      </c>
      <c r="F1732" s="2">
        <f t="shared" ca="1" si="1678"/>
        <v>0.69896782722282136</v>
      </c>
      <c r="G1732" s="2">
        <f t="shared" ca="1" si="1679"/>
        <v>5.564302542342852E-2</v>
      </c>
      <c r="H1732" s="2">
        <f t="shared" ca="1" si="1680"/>
        <v>5.564302542342852E-2</v>
      </c>
      <c r="I1732" s="2">
        <f t="shared" ca="1" si="1681"/>
        <v>0.17749546618629775</v>
      </c>
      <c r="J1732" s="2">
        <f t="shared" ca="1" si="1682"/>
        <v>5.3752405413212403E-3</v>
      </c>
      <c r="K1732" s="2">
        <f t="shared" ca="1" si="1683"/>
        <v>5.3752405413212403E-3</v>
      </c>
      <c r="L1732" s="2">
        <f t="shared" ca="1" si="1684"/>
        <v>0.71880739645820713</v>
      </c>
      <c r="M1732" s="2">
        <f t="shared" ca="1" si="1685"/>
        <v>1.1586046200988447E-2</v>
      </c>
      <c r="N1732" s="2">
        <f t="shared" ca="1" si="1686"/>
        <v>1.1586046200988447E-2</v>
      </c>
      <c r="O1732" s="2">
        <f t="shared" si="1687"/>
        <v>6000000</v>
      </c>
      <c r="P1732" s="2">
        <f t="shared" ca="1" si="1688"/>
        <v>43269130.975499295</v>
      </c>
      <c r="Q1732" s="2">
        <f t="shared" ca="1" si="1689"/>
        <v>1081728.2743874823</v>
      </c>
      <c r="R1732" s="2">
        <f t="shared" ca="1" si="1690"/>
        <v>25961478.585299578</v>
      </c>
      <c r="S1732" s="2">
        <f t="shared" ca="1" si="1691"/>
        <v>17307652.390199717</v>
      </c>
      <c r="T1732" s="2">
        <f t="shared" ca="1" si="1692"/>
        <v>50579302.310049422</v>
      </c>
      <c r="U1732" s="2">
        <f t="shared" ca="1" si="1693"/>
        <v>53393687.714386784</v>
      </c>
      <c r="V1732" s="2">
        <f t="shared" ca="1" si="1694"/>
        <v>56364674.037329011</v>
      </c>
      <c r="W1732" s="2">
        <f t="shared" ca="1" si="1695"/>
        <v>59500975.027771376</v>
      </c>
      <c r="X1732" s="2">
        <f t="shared" ca="1" si="1696"/>
        <v>62811789.293960445</v>
      </c>
      <c r="Y1732" s="2">
        <f t="shared" ca="1" si="1697"/>
        <v>0.12268762027066062</v>
      </c>
      <c r="Z1732" s="2">
        <f t="shared" ca="1" si="1698"/>
        <v>0.12376266837892487</v>
      </c>
      <c r="AA1732" s="2">
        <f t="shared" ca="1" si="1699"/>
        <v>6205454.2353702905</v>
      </c>
      <c r="AB1732" s="2">
        <f t="shared" ca="1" si="1700"/>
        <v>6608145.2661235267</v>
      </c>
      <c r="AC1732" s="2">
        <f t="shared" ca="1" si="1701"/>
        <v>6975842.4611681467</v>
      </c>
      <c r="AD1732" s="2">
        <f t="shared" ca="1" si="1702"/>
        <v>7363999.4405847592</v>
      </c>
      <c r="AE1732" s="2">
        <f t="shared" ca="1" si="1703"/>
        <v>7773754.64867533</v>
      </c>
      <c r="AF1732" s="2">
        <f t="shared" ca="1" si="1704"/>
        <v>1011586.0462009885</v>
      </c>
      <c r="AG1732" s="2">
        <f t="shared" ca="1" si="1705"/>
        <v>1067873.7542877358</v>
      </c>
      <c r="AH1732" s="2">
        <f t="shared" ca="1" si="1706"/>
        <v>1127293.4807465803</v>
      </c>
      <c r="AI1732" s="2">
        <f t="shared" ca="1" si="1707"/>
        <v>1190019.5005554275</v>
      </c>
      <c r="AJ1732" s="2">
        <f t="shared" ca="1" si="1708"/>
        <v>1256235.7858792089</v>
      </c>
      <c r="AK1732" s="2">
        <f t="shared" ca="1" si="1709"/>
        <v>0</v>
      </c>
      <c r="AL1732" s="2">
        <f t="shared" ca="1" si="1710"/>
        <v>28143.854043373616</v>
      </c>
      <c r="AM1732" s="2">
        <f t="shared" ca="1" si="1711"/>
        <v>29709.863229422273</v>
      </c>
      <c r="AN1732" s="2">
        <f t="shared" ca="1" si="1712"/>
        <v>31363.009904423656</v>
      </c>
      <c r="AO1732" s="2">
        <f t="shared" ca="1" si="1713"/>
        <v>33108.142661890684</v>
      </c>
      <c r="AP1732" s="2">
        <f t="shared" ca="1" si="1714"/>
        <v>2336533.0726769618</v>
      </c>
      <c r="AQ1732" s="2">
        <f t="shared" ca="1" si="1715"/>
        <v>742907.13028800837</v>
      </c>
      <c r="AR1732" s="2">
        <f t="shared" ca="1" si="1716"/>
        <v>832971.99418129562</v>
      </c>
      <c r="AS1732" s="2">
        <f t="shared" ca="1" si="1717"/>
        <v>913124.13601359725</v>
      </c>
      <c r="AT1732" s="2">
        <f t="shared" ca="1" si="1718"/>
        <v>997736.18551161618</v>
      </c>
      <c r="AU1732" s="2">
        <f t="shared" ca="1" si="1719"/>
        <v>1087056.3054309816</v>
      </c>
      <c r="AV1732" s="2">
        <f t="shared" ca="1" si="1720"/>
        <v>2114427.9862043313</v>
      </c>
      <c r="AW1732" s="2">
        <f t="shared" ca="1" si="1721"/>
        <v>2342622.5909341597</v>
      </c>
      <c r="AX1732" s="2">
        <f t="shared" ca="1" si="1722"/>
        <v>2569181.9085015855</v>
      </c>
      <c r="AY1732" s="2">
        <f t="shared" ca="1" si="1723"/>
        <v>2808347.6719363299</v>
      </c>
      <c r="AZ1732" s="2">
        <f t="shared" ca="1" si="1724"/>
        <v>3060821.3420262872</v>
      </c>
      <c r="BA1732" s="2">
        <f t="shared" ca="1" si="1725"/>
        <v>64916996.277925879</v>
      </c>
      <c r="BB1732" s="2">
        <f t="shared" ca="1" si="1726"/>
        <v>1298339.9255585177</v>
      </c>
      <c r="BC1732" s="2">
        <f t="shared" ca="1" si="1727"/>
        <v>37657177.767067783</v>
      </c>
      <c r="BD1732" s="2">
        <f t="shared" ca="1" si="1728"/>
        <v>-18889380.6645872</v>
      </c>
      <c r="BE1732" s="2">
        <f t="shared" ca="1" si="1729"/>
        <v>2114427.9862043313</v>
      </c>
      <c r="BF1732" s="2">
        <f t="shared" ca="1" si="1730"/>
        <v>2342622.5909341597</v>
      </c>
      <c r="BG1732" s="2">
        <f t="shared" ca="1" si="1731"/>
        <v>2569181.9085015855</v>
      </c>
      <c r="BH1732" s="2">
        <f t="shared" ca="1" si="1732"/>
        <v>2808347.6719363299</v>
      </c>
      <c r="BI1732" s="2">
        <f t="shared" ca="1" si="1733"/>
        <v>40717999.109094068</v>
      </c>
      <c r="BJ1732" s="2">
        <f t="shared" ca="1" si="1734"/>
        <v>0.25172077870824072</v>
      </c>
      <c r="BK1732" s="2">
        <f t="shared" ca="1" si="1735"/>
        <v>11583960.709956419</v>
      </c>
    </row>
    <row r="1733" spans="1:63" x14ac:dyDescent="0.3">
      <c r="A1733" s="2">
        <v>1732</v>
      </c>
      <c r="B1733" s="2">
        <f t="shared" ca="1" si="1674"/>
        <v>0.37065297923058405</v>
      </c>
      <c r="C1733" s="2">
        <f t="shared" ca="1" si="1675"/>
        <v>6.8609912650318634</v>
      </c>
      <c r="D1733" s="2">
        <f t="shared" ca="1" si="1676"/>
        <v>0.95289533867624487</v>
      </c>
      <c r="E1733" s="2">
        <f t="shared" ca="1" si="1677"/>
        <v>8.1930646278978099</v>
      </c>
      <c r="F1733" s="2">
        <f t="shared" ca="1" si="1678"/>
        <v>0.96673684775852109</v>
      </c>
      <c r="G1733" s="2">
        <f t="shared" ca="1" si="1679"/>
        <v>9.5045826568700781E-2</v>
      </c>
      <c r="H1733" s="2">
        <f t="shared" ca="1" si="1680"/>
        <v>9.5045826568700781E-2</v>
      </c>
      <c r="I1733" s="2">
        <f t="shared" ca="1" si="1681"/>
        <v>0.34033565727271564</v>
      </c>
      <c r="J1733" s="2">
        <f t="shared" ca="1" si="1682"/>
        <v>7.9422638350529293E-3</v>
      </c>
      <c r="K1733" s="2">
        <f t="shared" ca="1" si="1683"/>
        <v>7.9422638350529293E-3</v>
      </c>
      <c r="L1733" s="2">
        <f t="shared" ca="1" si="1684"/>
        <v>0.88764754465572071</v>
      </c>
      <c r="M1733" s="2">
        <f t="shared" ca="1" si="1685"/>
        <v>2.4282242490578337E-2</v>
      </c>
      <c r="N1733" s="2">
        <f t="shared" ca="1" si="1686"/>
        <v>2.4282242490578337E-2</v>
      </c>
      <c r="O1733" s="2">
        <f t="shared" si="1687"/>
        <v>6000000</v>
      </c>
      <c r="P1733" s="2">
        <f t="shared" ca="1" si="1688"/>
        <v>41165947.590191178</v>
      </c>
      <c r="Q1733" s="2">
        <f t="shared" ca="1" si="1689"/>
        <v>1029148.6897547795</v>
      </c>
      <c r="R1733" s="2">
        <f t="shared" ca="1" si="1690"/>
        <v>24699568.554114707</v>
      </c>
      <c r="S1733" s="2">
        <f t="shared" ca="1" si="1691"/>
        <v>16466379.036076471</v>
      </c>
      <c r="T1733" s="2">
        <f t="shared" ca="1" si="1692"/>
        <v>51214112.124528922</v>
      </c>
      <c r="U1733" s="2">
        <f t="shared" ca="1" si="1693"/>
        <v>56081799.743386902</v>
      </c>
      <c r="V1733" s="2">
        <f t="shared" ca="1" si="1694"/>
        <v>61412140.755457468</v>
      </c>
      <c r="W1733" s="2">
        <f t="shared" ca="1" si="1695"/>
        <v>67249108.434913322</v>
      </c>
      <c r="X1733" s="2">
        <f t="shared" ca="1" si="1696"/>
        <v>73640855.532117859</v>
      </c>
      <c r="Y1733" s="2">
        <f t="shared" ca="1" si="1697"/>
        <v>0.12397113191752646</v>
      </c>
      <c r="Z1733" s="2">
        <f t="shared" ca="1" si="1698"/>
        <v>0.12555958468453704</v>
      </c>
      <c r="AA1733" s="2">
        <f t="shared" ca="1" si="1699"/>
        <v>6349071.4502289658</v>
      </c>
      <c r="AB1733" s="2">
        <f t="shared" ca="1" si="1700"/>
        <v>7041607.484141035</v>
      </c>
      <c r="AC1733" s="2">
        <f t="shared" ca="1" si="1701"/>
        <v>7710882.8878435707</v>
      </c>
      <c r="AD1733" s="2">
        <f t="shared" ca="1" si="1702"/>
        <v>8443770.125493113</v>
      </c>
      <c r="AE1733" s="2">
        <f t="shared" ca="1" si="1703"/>
        <v>9246315.2364267111</v>
      </c>
      <c r="AF1733" s="2">
        <f t="shared" ca="1" si="1704"/>
        <v>1024282.2424905784</v>
      </c>
      <c r="AG1733" s="2">
        <f t="shared" ca="1" si="1705"/>
        <v>1121635.9948677381</v>
      </c>
      <c r="AH1733" s="2">
        <f t="shared" ca="1" si="1706"/>
        <v>1228242.8151091493</v>
      </c>
      <c r="AI1733" s="2">
        <f t="shared" ca="1" si="1707"/>
        <v>1344982.1686982664</v>
      </c>
      <c r="AJ1733" s="2">
        <f t="shared" ca="1" si="1708"/>
        <v>1472817.1106423573</v>
      </c>
      <c r="AK1733" s="2">
        <f t="shared" ca="1" si="1709"/>
        <v>0</v>
      </c>
      <c r="AL1733" s="2">
        <f t="shared" ca="1" si="1710"/>
        <v>48676.876188579801</v>
      </c>
      <c r="AM1733" s="2">
        <f t="shared" ca="1" si="1711"/>
        <v>53303.410120705666</v>
      </c>
      <c r="AN1733" s="2">
        <f t="shared" ca="1" si="1712"/>
        <v>58369.676794558538</v>
      </c>
      <c r="AO1733" s="2">
        <f t="shared" ca="1" si="1713"/>
        <v>63917.470972045361</v>
      </c>
      <c r="AP1733" s="2">
        <f t="shared" ca="1" si="1714"/>
        <v>2222961.1698703235</v>
      </c>
      <c r="AQ1733" s="2">
        <f t="shared" ca="1" si="1715"/>
        <v>806475.28984569665</v>
      </c>
      <c r="AR1733" s="2">
        <f t="shared" ca="1" si="1716"/>
        <v>961222.68304477306</v>
      </c>
      <c r="AS1733" s="2">
        <f t="shared" ca="1" si="1717"/>
        <v>1107516.5147446655</v>
      </c>
      <c r="AT1733" s="2">
        <f t="shared" ca="1" si="1718"/>
        <v>1267714.9646003761</v>
      </c>
      <c r="AU1733" s="2">
        <f t="shared" ca="1" si="1719"/>
        <v>1443139.6085376481</v>
      </c>
      <c r="AV1733" s="2">
        <f t="shared" ca="1" si="1720"/>
        <v>2295352.7480223672</v>
      </c>
      <c r="AW1733" s="2">
        <f t="shared" ca="1" si="1721"/>
        <v>2687110.7601696206</v>
      </c>
      <c r="AX1733" s="2">
        <f t="shared" ca="1" si="1722"/>
        <v>3098858.9779987261</v>
      </c>
      <c r="AY1733" s="2">
        <f t="shared" ca="1" si="1723"/>
        <v>3549742.1455295887</v>
      </c>
      <c r="AZ1733" s="2">
        <f t="shared" ca="1" si="1724"/>
        <v>4043479.8764043376</v>
      </c>
      <c r="BA1733" s="2">
        <f t="shared" ca="1" si="1725"/>
        <v>75755658.30196026</v>
      </c>
      <c r="BB1733" s="2">
        <f t="shared" ca="1" si="1726"/>
        <v>1515113.1660392052</v>
      </c>
      <c r="BC1733" s="2">
        <f t="shared" ca="1" si="1727"/>
        <v>49540976.581806347</v>
      </c>
      <c r="BD1733" s="2">
        <f t="shared" ca="1" si="1728"/>
        <v>-17995527.725831252</v>
      </c>
      <c r="BE1733" s="2">
        <f t="shared" ca="1" si="1729"/>
        <v>2295352.7480223672</v>
      </c>
      <c r="BF1733" s="2">
        <f t="shared" ca="1" si="1730"/>
        <v>2687110.7601696206</v>
      </c>
      <c r="BG1733" s="2">
        <f t="shared" ca="1" si="1731"/>
        <v>3098858.9779987261</v>
      </c>
      <c r="BH1733" s="2">
        <f t="shared" ca="1" si="1732"/>
        <v>3549742.1455295887</v>
      </c>
      <c r="BI1733" s="2">
        <f t="shared" ca="1" si="1733"/>
        <v>53584456.458210684</v>
      </c>
      <c r="BJ1733" s="2">
        <f t="shared" ca="1" si="1734"/>
        <v>0.34009777724334778</v>
      </c>
      <c r="BK1733" s="2">
        <f t="shared" ca="1" si="1735"/>
        <v>21062934.178857002</v>
      </c>
    </row>
    <row r="1734" spans="1:63" x14ac:dyDescent="0.3">
      <c r="A1734" s="2">
        <v>1733</v>
      </c>
      <c r="B1734" s="2">
        <f t="shared" ca="1" si="1674"/>
        <v>0.6615913279956831</v>
      </c>
      <c r="C1734" s="2">
        <f t="shared" ca="1" si="1675"/>
        <v>7.177310906837441</v>
      </c>
      <c r="D1734" s="2">
        <f t="shared" ca="1" si="1676"/>
        <v>0.82770063454767018</v>
      </c>
      <c r="E1734" s="2">
        <f t="shared" ca="1" si="1677"/>
        <v>7.9129746760959456</v>
      </c>
      <c r="F1734" s="2">
        <f t="shared" ca="1" si="1678"/>
        <v>0.22410727427170019</v>
      </c>
      <c r="G1734" s="2">
        <f t="shared" ca="1" si="1679"/>
        <v>1.7248149914473956E-2</v>
      </c>
      <c r="H1734" s="2">
        <f t="shared" ca="1" si="1680"/>
        <v>1.7248149914473956E-2</v>
      </c>
      <c r="I1734" s="2">
        <f t="shared" ca="1" si="1681"/>
        <v>0.61412848456888725</v>
      </c>
      <c r="J1734" s="2">
        <f t="shared" ca="1" si="1682"/>
        <v>1.1450478463838554E-2</v>
      </c>
      <c r="K1734" s="2">
        <f t="shared" ca="1" si="1683"/>
        <v>1.1450478463838554E-2</v>
      </c>
      <c r="L1734" s="2">
        <f t="shared" ca="1" si="1684"/>
        <v>0.95918099189726425</v>
      </c>
      <c r="M1734" s="2">
        <f t="shared" ca="1" si="1685"/>
        <v>3.4825199779173553E-2</v>
      </c>
      <c r="N1734" s="2">
        <f t="shared" ca="1" si="1686"/>
        <v>3.4825199779173553E-2</v>
      </c>
      <c r="O1734" s="2">
        <f t="shared" si="1687"/>
        <v>6000000</v>
      </c>
      <c r="P1734" s="2">
        <f t="shared" ca="1" si="1688"/>
        <v>43063865.441024646</v>
      </c>
      <c r="Q1734" s="2">
        <f t="shared" ca="1" si="1689"/>
        <v>1076596.6360256162</v>
      </c>
      <c r="R1734" s="2">
        <f t="shared" ca="1" si="1690"/>
        <v>25838319.264614787</v>
      </c>
      <c r="S1734" s="2">
        <f t="shared" ca="1" si="1691"/>
        <v>17225546.176409859</v>
      </c>
      <c r="T1734" s="2">
        <f t="shared" ca="1" si="1692"/>
        <v>51741259.988958679</v>
      </c>
      <c r="U1734" s="2">
        <f t="shared" ca="1" si="1693"/>
        <v>52633700.998012006</v>
      </c>
      <c r="V1734" s="2">
        <f t="shared" ca="1" si="1694"/>
        <v>53541534.963379309</v>
      </c>
      <c r="W1734" s="2">
        <f t="shared" ca="1" si="1695"/>
        <v>54465027.385078721</v>
      </c>
      <c r="X1734" s="2">
        <f t="shared" ca="1" si="1696"/>
        <v>55404448.342512481</v>
      </c>
      <c r="Y1734" s="2">
        <f t="shared" ca="1" si="1697"/>
        <v>0.12572523923191928</v>
      </c>
      <c r="Z1734" s="2">
        <f t="shared" ca="1" si="1698"/>
        <v>0.12801533492468697</v>
      </c>
      <c r="AA1734" s="2">
        <f t="shared" ca="1" si="1699"/>
        <v>6505182.290272763</v>
      </c>
      <c r="AB1734" s="2">
        <f t="shared" ca="1" si="1700"/>
        <v>6737920.8615863379</v>
      </c>
      <c r="AC1734" s="2">
        <f t="shared" ca="1" si="1701"/>
        <v>6854137.5307188397</v>
      </c>
      <c r="AD1734" s="2">
        <f t="shared" ca="1" si="1702"/>
        <v>6972358.7223831005</v>
      </c>
      <c r="AE1734" s="2">
        <f t="shared" ca="1" si="1703"/>
        <v>7092619.0108842533</v>
      </c>
      <c r="AF1734" s="2">
        <f t="shared" ca="1" si="1704"/>
        <v>1034825.1997791736</v>
      </c>
      <c r="AG1734" s="2">
        <f t="shared" ca="1" si="1705"/>
        <v>1052674.0199602402</v>
      </c>
      <c r="AH1734" s="2">
        <f t="shared" ca="1" si="1706"/>
        <v>1070830.6992675862</v>
      </c>
      <c r="AI1734" s="2">
        <f t="shared" ca="1" si="1707"/>
        <v>1089300.5477015744</v>
      </c>
      <c r="AJ1734" s="2">
        <f t="shared" ca="1" si="1708"/>
        <v>1108088.9668502496</v>
      </c>
      <c r="AK1734" s="2">
        <f t="shared" ca="1" si="1709"/>
        <v>0</v>
      </c>
      <c r="AL1734" s="2">
        <f t="shared" ca="1" si="1710"/>
        <v>8924.4100905332725</v>
      </c>
      <c r="AM1734" s="2">
        <f t="shared" ca="1" si="1711"/>
        <v>9078.3396536730233</v>
      </c>
      <c r="AN1734" s="2">
        <f t="shared" ca="1" si="1712"/>
        <v>9234.9242169941226</v>
      </c>
      <c r="AO1734" s="2">
        <f t="shared" ca="1" si="1713"/>
        <v>9394.2095743376012</v>
      </c>
      <c r="AP1734" s="2">
        <f t="shared" ca="1" si="1714"/>
        <v>2325448.7338153305</v>
      </c>
      <c r="AQ1734" s="2">
        <f t="shared" ca="1" si="1715"/>
        <v>817676.17273634742</v>
      </c>
      <c r="AR1734" s="2">
        <f t="shared" ca="1" si="1716"/>
        <v>873547.50803079945</v>
      </c>
      <c r="AS1734" s="2">
        <f t="shared" ca="1" si="1717"/>
        <v>899043.10538534017</v>
      </c>
      <c r="AT1734" s="2">
        <f t="shared" ca="1" si="1718"/>
        <v>924978.45462521072</v>
      </c>
      <c r="AU1734" s="2">
        <f t="shared" ca="1" si="1719"/>
        <v>951361.14065685519</v>
      </c>
      <c r="AV1734" s="2">
        <f t="shared" ca="1" si="1720"/>
        <v>2327232.1839419114</v>
      </c>
      <c r="AW1734" s="2">
        <f t="shared" ca="1" si="1721"/>
        <v>2477326.1896894346</v>
      </c>
      <c r="AX1734" s="2">
        <f t="shared" ca="1" si="1722"/>
        <v>2549736.6525969109</v>
      </c>
      <c r="AY1734" s="2">
        <f t="shared" ca="1" si="1723"/>
        <v>2623396.0620239903</v>
      </c>
      <c r="AZ1734" s="2">
        <f t="shared" ca="1" si="1724"/>
        <v>2698325.9599874807</v>
      </c>
      <c r="BA1734" s="2">
        <f t="shared" ca="1" si="1725"/>
        <v>56123714.62032377</v>
      </c>
      <c r="BB1734" s="2">
        <f t="shared" ca="1" si="1726"/>
        <v>1122474.2924064754</v>
      </c>
      <c r="BC1734" s="2">
        <f t="shared" ca="1" si="1727"/>
        <v>29162921.063302506</v>
      </c>
      <c r="BD1734" s="2">
        <f t="shared" ca="1" si="1728"/>
        <v>-18802142.812435474</v>
      </c>
      <c r="BE1734" s="2">
        <f t="shared" ca="1" si="1729"/>
        <v>2327232.1839419114</v>
      </c>
      <c r="BF1734" s="2">
        <f t="shared" ca="1" si="1730"/>
        <v>2477326.1896894346</v>
      </c>
      <c r="BG1734" s="2">
        <f t="shared" ca="1" si="1731"/>
        <v>2549736.6525969109</v>
      </c>
      <c r="BH1734" s="2">
        <f t="shared" ca="1" si="1732"/>
        <v>2623396.0620239903</v>
      </c>
      <c r="BI1734" s="2">
        <f t="shared" ca="1" si="1733"/>
        <v>31861247.023289986</v>
      </c>
      <c r="BJ1734" s="2">
        <f t="shared" ca="1" si="1734"/>
        <v>0.2062127830422591</v>
      </c>
      <c r="BK1734" s="2">
        <f t="shared" ca="1" si="1735"/>
        <v>6811647.3655769713</v>
      </c>
    </row>
    <row r="1735" spans="1:63" x14ac:dyDescent="0.3">
      <c r="A1735" s="2">
        <v>1734</v>
      </c>
      <c r="B1735" s="2">
        <f t="shared" ca="1" si="1674"/>
        <v>0.80133327177310054</v>
      </c>
      <c r="C1735" s="2">
        <f t="shared" ca="1" si="1675"/>
        <v>7.3696560808147673</v>
      </c>
      <c r="D1735" s="2">
        <f t="shared" ca="1" si="1676"/>
        <v>0.56828329742374284</v>
      </c>
      <c r="E1735" s="2">
        <f t="shared" ca="1" si="1677"/>
        <v>7.5707888263949288</v>
      </c>
      <c r="F1735" s="2">
        <f t="shared" ca="1" si="1678"/>
        <v>0.11509724825767653</v>
      </c>
      <c r="G1735" s="2">
        <f t="shared" ca="1" si="1679"/>
        <v>4.0042601956726542E-3</v>
      </c>
      <c r="H1735" s="2">
        <f t="shared" ca="1" si="1680"/>
        <v>4.0042601956726542E-3</v>
      </c>
      <c r="I1735" s="2">
        <f t="shared" ca="1" si="1681"/>
        <v>0.75268680277505662</v>
      </c>
      <c r="J1735" s="2">
        <f t="shared" ca="1" si="1682"/>
        <v>1.3414845292490887E-2</v>
      </c>
      <c r="K1735" s="2">
        <f t="shared" ca="1" si="1683"/>
        <v>1.3414845292490887E-2</v>
      </c>
      <c r="L1735" s="2">
        <f t="shared" ca="1" si="1684"/>
        <v>0.56742906098858659</v>
      </c>
      <c r="M1735" s="2">
        <f t="shared" ca="1" si="1685"/>
        <v>3.3966497170075513E-3</v>
      </c>
      <c r="N1735" s="2">
        <f t="shared" ca="1" si="1686"/>
        <v>3.3966497170075513E-3</v>
      </c>
      <c r="O1735" s="2">
        <f t="shared" si="1687"/>
        <v>6000000</v>
      </c>
      <c r="P1735" s="2">
        <f t="shared" ca="1" si="1688"/>
        <v>44217936.484888606</v>
      </c>
      <c r="Q1735" s="2">
        <f t="shared" ca="1" si="1689"/>
        <v>1105448.4121222151</v>
      </c>
      <c r="R1735" s="2">
        <f t="shared" ca="1" si="1690"/>
        <v>26530761.890933163</v>
      </c>
      <c r="S1735" s="2">
        <f t="shared" ca="1" si="1691"/>
        <v>17687174.593955442</v>
      </c>
      <c r="T1735" s="2">
        <f t="shared" ca="1" si="1692"/>
        <v>50169832.485850371</v>
      </c>
      <c r="U1735" s="2">
        <f t="shared" ca="1" si="1693"/>
        <v>50370725.549097031</v>
      </c>
      <c r="V1735" s="2">
        <f t="shared" ca="1" si="1694"/>
        <v>50572423.040440433</v>
      </c>
      <c r="W1735" s="2">
        <f t="shared" ca="1" si="1695"/>
        <v>50774928.181019992</v>
      </c>
      <c r="X1735" s="2">
        <f t="shared" ca="1" si="1696"/>
        <v>50978244.20487339</v>
      </c>
      <c r="Y1735" s="2">
        <f t="shared" ca="1" si="1697"/>
        <v>0.12670742264624543</v>
      </c>
      <c r="Z1735" s="2">
        <f t="shared" ca="1" si="1698"/>
        <v>0.12939039170474362</v>
      </c>
      <c r="AA1735" s="2">
        <f t="shared" ca="1" si="1699"/>
        <v>6356890.1688759774</v>
      </c>
      <c r="AB1735" s="2">
        <f t="shared" ca="1" si="1700"/>
        <v>6517487.9092498021</v>
      </c>
      <c r="AC1735" s="2">
        <f t="shared" ca="1" si="1701"/>
        <v>6543585.6266605891</v>
      </c>
      <c r="AD1735" s="2">
        <f t="shared" ca="1" si="1702"/>
        <v>6569787.8461224018</v>
      </c>
      <c r="AE1735" s="2">
        <f t="shared" ca="1" si="1703"/>
        <v>6596094.9860886447</v>
      </c>
      <c r="AF1735" s="2">
        <f t="shared" ca="1" si="1704"/>
        <v>1003396.6497170074</v>
      </c>
      <c r="AG1735" s="2">
        <f t="shared" ca="1" si="1705"/>
        <v>1007414.5109819407</v>
      </c>
      <c r="AH1735" s="2">
        <f t="shared" ca="1" si="1706"/>
        <v>1011448.4608088087</v>
      </c>
      <c r="AI1735" s="2">
        <f t="shared" ca="1" si="1707"/>
        <v>1015498.5636203998</v>
      </c>
      <c r="AJ1735" s="2">
        <f t="shared" ca="1" si="1708"/>
        <v>1019564.8840974679</v>
      </c>
      <c r="AK1735" s="2">
        <f t="shared" ca="1" si="1709"/>
        <v>0</v>
      </c>
      <c r="AL1735" s="2">
        <f t="shared" ca="1" si="1710"/>
        <v>2008.9306324665995</v>
      </c>
      <c r="AM1735" s="2">
        <f t="shared" ca="1" si="1711"/>
        <v>2016.9749134340138</v>
      </c>
      <c r="AN1735" s="2">
        <f t="shared" ca="1" si="1712"/>
        <v>2025.0514057955891</v>
      </c>
      <c r="AO1735" s="2">
        <f t="shared" ca="1" si="1713"/>
        <v>2033.1602385339886</v>
      </c>
      <c r="AP1735" s="2">
        <f t="shared" ca="1" si="1714"/>
        <v>2387768.5701839845</v>
      </c>
      <c r="AQ1735" s="2">
        <f t="shared" ca="1" si="1715"/>
        <v>771088.48673349619</v>
      </c>
      <c r="AR1735" s="2">
        <f t="shared" ca="1" si="1716"/>
        <v>811799.25530180801</v>
      </c>
      <c r="AS1735" s="2">
        <f t="shared" ca="1" si="1717"/>
        <v>817535.83487362694</v>
      </c>
      <c r="AT1735" s="2">
        <f t="shared" ca="1" si="1718"/>
        <v>823295.38520268456</v>
      </c>
      <c r="AU1735" s="2">
        <f t="shared" ca="1" si="1719"/>
        <v>829077.99826986995</v>
      </c>
      <c r="AV1735" s="2">
        <f t="shared" ca="1" si="1720"/>
        <v>2194636.462241489</v>
      </c>
      <c r="AW1735" s="2">
        <f t="shared" ca="1" si="1721"/>
        <v>2308496.6421496025</v>
      </c>
      <c r="AX1735" s="2">
        <f t="shared" ca="1" si="1722"/>
        <v>2324815.7858807347</v>
      </c>
      <c r="AY1735" s="2">
        <f t="shared" ca="1" si="1723"/>
        <v>2341200.2757095373</v>
      </c>
      <c r="AZ1735" s="2">
        <f t="shared" ca="1" si="1724"/>
        <v>2357650.373298788</v>
      </c>
      <c r="BA1735" s="2">
        <f t="shared" ca="1" si="1725"/>
        <v>49937642.218519524</v>
      </c>
      <c r="BB1735" s="2">
        <f t="shared" ca="1" si="1726"/>
        <v>998752.84437039052</v>
      </c>
      <c r="BC1735" s="2">
        <f t="shared" ca="1" si="1727"/>
        <v>22408127.483215969</v>
      </c>
      <c r="BD1735" s="2">
        <f t="shared" ca="1" si="1728"/>
        <v>-19292623.006077658</v>
      </c>
      <c r="BE1735" s="2">
        <f t="shared" ca="1" si="1729"/>
        <v>2194636.462241489</v>
      </c>
      <c r="BF1735" s="2">
        <f t="shared" ca="1" si="1730"/>
        <v>2308496.6421496025</v>
      </c>
      <c r="BG1735" s="2">
        <f t="shared" ca="1" si="1731"/>
        <v>2324815.7858807347</v>
      </c>
      <c r="BH1735" s="2">
        <f t="shared" ca="1" si="1732"/>
        <v>2341200.2757095373</v>
      </c>
      <c r="BI1735" s="2">
        <f t="shared" ca="1" si="1733"/>
        <v>24765777.856514756</v>
      </c>
      <c r="BJ1735" s="2">
        <f t="shared" ca="1" si="1734"/>
        <v>0.14325512440227728</v>
      </c>
      <c r="BK1735" s="2">
        <f t="shared" ca="1" si="1735"/>
        <v>1702593.7398001179</v>
      </c>
    </row>
    <row r="1736" spans="1:63" x14ac:dyDescent="0.3">
      <c r="A1736" s="2">
        <v>1735</v>
      </c>
      <c r="B1736" s="2">
        <f t="shared" ca="1" si="1674"/>
        <v>0.45348087253599345</v>
      </c>
      <c r="C1736" s="2">
        <f t="shared" ca="1" si="1675"/>
        <v>6.9523453916893736</v>
      </c>
      <c r="D1736" s="2">
        <f t="shared" ca="1" si="1676"/>
        <v>0.88932298436461255</v>
      </c>
      <c r="E1736" s="2">
        <f t="shared" ca="1" si="1677"/>
        <v>8.0295172359471874</v>
      </c>
      <c r="F1736" s="2">
        <f t="shared" ca="1" si="1678"/>
        <v>9.2194458883835262E-2</v>
      </c>
      <c r="G1736" s="2">
        <f t="shared" ca="1" si="1679"/>
        <v>1.7913584452420445E-4</v>
      </c>
      <c r="H1736" s="2">
        <f t="shared" ca="1" si="1680"/>
        <v>1.7913584452420445E-4</v>
      </c>
      <c r="I1736" s="2">
        <f t="shared" ca="1" si="1681"/>
        <v>0.70553957282622126</v>
      </c>
      <c r="J1736" s="2">
        <f t="shared" ca="1" si="1682"/>
        <v>1.2702002563356671E-2</v>
      </c>
      <c r="K1736" s="2">
        <f t="shared" ca="1" si="1683"/>
        <v>1.2702002563356671E-2</v>
      </c>
      <c r="L1736" s="2">
        <f t="shared" ca="1" si="1684"/>
        <v>0.59769517770497049</v>
      </c>
      <c r="M1736" s="2">
        <f t="shared" ca="1" si="1685"/>
        <v>4.9477164676068044E-3</v>
      </c>
      <c r="N1736" s="2">
        <f t="shared" ca="1" si="1686"/>
        <v>4.9477164676068044E-3</v>
      </c>
      <c r="O1736" s="2">
        <f t="shared" si="1687"/>
        <v>6000000</v>
      </c>
      <c r="P1736" s="2">
        <f t="shared" ca="1" si="1688"/>
        <v>41714072.350136243</v>
      </c>
      <c r="Q1736" s="2">
        <f t="shared" ca="1" si="1689"/>
        <v>1042851.8087534062</v>
      </c>
      <c r="R1736" s="2">
        <f t="shared" ca="1" si="1690"/>
        <v>25028443.410081744</v>
      </c>
      <c r="S1736" s="2">
        <f t="shared" ca="1" si="1691"/>
        <v>16685628.940054499</v>
      </c>
      <c r="T1736" s="2">
        <f t="shared" ca="1" si="1692"/>
        <v>50247385.823380344</v>
      </c>
      <c r="U1736" s="2">
        <f t="shared" ca="1" si="1693"/>
        <v>50256386.931274951</v>
      </c>
      <c r="V1736" s="2">
        <f t="shared" ca="1" si="1694"/>
        <v>50265389.651590623</v>
      </c>
      <c r="W1736" s="2">
        <f t="shared" ca="1" si="1695"/>
        <v>50274393.984616198</v>
      </c>
      <c r="X1736" s="2">
        <f t="shared" ca="1" si="1696"/>
        <v>50283399.930640578</v>
      </c>
      <c r="Y1736" s="2">
        <f t="shared" ca="1" si="1697"/>
        <v>0.12635100128167834</v>
      </c>
      <c r="Z1736" s="2">
        <f t="shared" ca="1" si="1698"/>
        <v>0.12889140179434966</v>
      </c>
      <c r="AA1736" s="2">
        <f t="shared" ca="1" si="1699"/>
        <v>6348807.5105709154</v>
      </c>
      <c r="AB1736" s="2">
        <f t="shared" ca="1" si="1700"/>
        <v>6477616.1606912632</v>
      </c>
      <c r="AC1736" s="2">
        <f t="shared" ca="1" si="1701"/>
        <v>6478776.5339327119</v>
      </c>
      <c r="AD1736" s="2">
        <f t="shared" ca="1" si="1702"/>
        <v>6479937.1150386017</v>
      </c>
      <c r="AE1736" s="2">
        <f t="shared" ca="1" si="1703"/>
        <v>6481097.9040461686</v>
      </c>
      <c r="AF1736" s="2">
        <f t="shared" ca="1" si="1704"/>
        <v>1004947.7164676068</v>
      </c>
      <c r="AG1736" s="2">
        <f t="shared" ca="1" si="1705"/>
        <v>1005127.7386254991</v>
      </c>
      <c r="AH1736" s="2">
        <f t="shared" ca="1" si="1706"/>
        <v>1005307.7930318125</v>
      </c>
      <c r="AI1736" s="2">
        <f t="shared" ca="1" si="1707"/>
        <v>1005487.879692324</v>
      </c>
      <c r="AJ1736" s="2">
        <f t="shared" ca="1" si="1708"/>
        <v>1005667.9986128116</v>
      </c>
      <c r="AK1736" s="2">
        <f t="shared" ca="1" si="1709"/>
        <v>0</v>
      </c>
      <c r="AL1736" s="2">
        <f t="shared" ca="1" si="1710"/>
        <v>90.011078946068878</v>
      </c>
      <c r="AM1736" s="2">
        <f t="shared" ca="1" si="1711"/>
        <v>90.027203156724568</v>
      </c>
      <c r="AN1736" s="2">
        <f t="shared" ca="1" si="1712"/>
        <v>90.043330255746838</v>
      </c>
      <c r="AO1736" s="2">
        <f t="shared" ca="1" si="1713"/>
        <v>90.059460243806242</v>
      </c>
      <c r="AP1736" s="2">
        <f t="shared" ca="1" si="1714"/>
        <v>2252559.9069073568</v>
      </c>
      <c r="AQ1736" s="2">
        <f t="shared" ca="1" si="1715"/>
        <v>803737.97067094746</v>
      </c>
      <c r="AR1736" s="2">
        <f t="shared" ca="1" si="1716"/>
        <v>837181.41394118581</v>
      </c>
      <c r="AS1736" s="2">
        <f t="shared" ca="1" si="1717"/>
        <v>837436.29683832102</v>
      </c>
      <c r="AT1736" s="2">
        <f t="shared" ca="1" si="1718"/>
        <v>837691.22539411962</v>
      </c>
      <c r="AU1736" s="2">
        <f t="shared" ca="1" si="1719"/>
        <v>837946.19961676002</v>
      </c>
      <c r="AV1736" s="2">
        <f t="shared" ca="1" si="1720"/>
        <v>2287561.916525004</v>
      </c>
      <c r="AW1736" s="2">
        <f t="shared" ca="1" si="1721"/>
        <v>2382657.0901382747</v>
      </c>
      <c r="AX1736" s="2">
        <f t="shared" ca="1" si="1722"/>
        <v>2383382.5099520651</v>
      </c>
      <c r="AY1736" s="2">
        <f t="shared" ca="1" si="1723"/>
        <v>2384108.059714546</v>
      </c>
      <c r="AZ1736" s="2">
        <f t="shared" ca="1" si="1724"/>
        <v>2384833.7394489958</v>
      </c>
      <c r="BA1736" s="2">
        <f t="shared" ca="1" si="1725"/>
        <v>52040087.328399904</v>
      </c>
      <c r="BB1736" s="2">
        <f t="shared" ca="1" si="1726"/>
        <v>1040801.7465679981</v>
      </c>
      <c r="BC1736" s="2">
        <f t="shared" ca="1" si="1727"/>
        <v>25970842.171750162</v>
      </c>
      <c r="BD1736" s="2">
        <f t="shared" ca="1" si="1728"/>
        <v>-18228480.748807903</v>
      </c>
      <c r="BE1736" s="2">
        <f t="shared" ca="1" si="1729"/>
        <v>2287561.916525004</v>
      </c>
      <c r="BF1736" s="2">
        <f t="shared" ca="1" si="1730"/>
        <v>2382657.0901382747</v>
      </c>
      <c r="BG1736" s="2">
        <f t="shared" ca="1" si="1731"/>
        <v>2383382.5099520651</v>
      </c>
      <c r="BH1736" s="2">
        <f t="shared" ca="1" si="1732"/>
        <v>2384108.059714546</v>
      </c>
      <c r="BI1736" s="2">
        <f t="shared" ca="1" si="1733"/>
        <v>28355675.911199156</v>
      </c>
      <c r="BJ1736" s="2">
        <f t="shared" ca="1" si="1734"/>
        <v>0.18778383035372226</v>
      </c>
      <c r="BK1736" s="2">
        <f t="shared" ca="1" si="1735"/>
        <v>5014785.2831056342</v>
      </c>
    </row>
    <row r="1737" spans="1:63" x14ac:dyDescent="0.3">
      <c r="A1737" s="2">
        <v>1736</v>
      </c>
      <c r="B1737" s="2">
        <f t="shared" ca="1" si="1674"/>
        <v>0.36423494393028566</v>
      </c>
      <c r="C1737" s="2">
        <f t="shared" ca="1" si="1675"/>
        <v>6.8535044744232874</v>
      </c>
      <c r="D1737" s="2">
        <f t="shared" ca="1" si="1676"/>
        <v>2.4535392361064168E-2</v>
      </c>
      <c r="E1737" s="2">
        <f t="shared" ca="1" si="1677"/>
        <v>6.7215192649006594</v>
      </c>
      <c r="F1737" s="2">
        <f t="shared" ca="1" si="1678"/>
        <v>0.57175296064409409</v>
      </c>
      <c r="G1737" s="2">
        <f t="shared" ca="1" si="1679"/>
        <v>4.542516508761793E-2</v>
      </c>
      <c r="H1737" s="2">
        <f t="shared" ca="1" si="1680"/>
        <v>4.542516508761793E-2</v>
      </c>
      <c r="I1737" s="2">
        <f t="shared" ca="1" si="1681"/>
        <v>0.96439731390553851</v>
      </c>
      <c r="J1737" s="2">
        <f t="shared" ca="1" si="1682"/>
        <v>1.9020827302810069E-2</v>
      </c>
      <c r="K1737" s="2">
        <f t="shared" ca="1" si="1683"/>
        <v>1.9020827302810069E-2</v>
      </c>
      <c r="L1737" s="2">
        <f t="shared" ca="1" si="1684"/>
        <v>0.46297023888834776</v>
      </c>
      <c r="M1737" s="2">
        <f t="shared" ca="1" si="1685"/>
        <v>-1.8590706308627039E-3</v>
      </c>
      <c r="N1737" s="2">
        <f t="shared" ca="1" si="1686"/>
        <v>-1.8590706308627039E-3</v>
      </c>
      <c r="O1737" s="2">
        <f t="shared" si="1687"/>
        <v>6000000</v>
      </c>
      <c r="P1737" s="2">
        <f t="shared" ca="1" si="1688"/>
        <v>41121026.846539721</v>
      </c>
      <c r="Q1737" s="2">
        <f t="shared" ca="1" si="1689"/>
        <v>1028025.6711634931</v>
      </c>
      <c r="R1737" s="2">
        <f t="shared" ca="1" si="1690"/>
        <v>24672616.107923832</v>
      </c>
      <c r="S1737" s="2">
        <f t="shared" ca="1" si="1691"/>
        <v>16448410.738615889</v>
      </c>
      <c r="T1737" s="2">
        <f t="shared" ca="1" si="1692"/>
        <v>49907046.468456864</v>
      </c>
      <c r="U1737" s="2">
        <f t="shared" ca="1" si="1693"/>
        <v>52174082.29332193</v>
      </c>
      <c r="V1737" s="2">
        <f t="shared" ca="1" si="1694"/>
        <v>54544098.59479104</v>
      </c>
      <c r="W1737" s="2">
        <f t="shared" ca="1" si="1695"/>
        <v>57021773.278014727</v>
      </c>
      <c r="X1737" s="2">
        <f t="shared" ca="1" si="1696"/>
        <v>59611996.742757261</v>
      </c>
      <c r="Y1737" s="2">
        <f t="shared" ca="1" si="1697"/>
        <v>0.12951041365140503</v>
      </c>
      <c r="Z1737" s="2">
        <f t="shared" ca="1" si="1698"/>
        <v>0.13331457911196704</v>
      </c>
      <c r="AA1737" s="2">
        <f t="shared" ca="1" si="1699"/>
        <v>6463482.2322497414</v>
      </c>
      <c r="AB1737" s="2">
        <f t="shared" ca="1" si="1700"/>
        <v>6955565.8214873448</v>
      </c>
      <c r="AC1737" s="2">
        <f t="shared" ca="1" si="1701"/>
        <v>7271523.5472061997</v>
      </c>
      <c r="AD1737" s="2">
        <f t="shared" ca="1" si="1702"/>
        <v>7601833.7047765423</v>
      </c>
      <c r="AE1737" s="2">
        <f t="shared" ca="1" si="1703"/>
        <v>7947148.2557846345</v>
      </c>
      <c r="AF1737" s="2">
        <f t="shared" ca="1" si="1704"/>
        <v>998140.92936913727</v>
      </c>
      <c r="AG1737" s="2">
        <f t="shared" ca="1" si="1705"/>
        <v>1043481.6458664386</v>
      </c>
      <c r="AH1737" s="2">
        <f t="shared" ca="1" si="1706"/>
        <v>1090881.9718958209</v>
      </c>
      <c r="AI1737" s="2">
        <f t="shared" ca="1" si="1707"/>
        <v>1140435.4655602945</v>
      </c>
      <c r="AJ1737" s="2">
        <f t="shared" ca="1" si="1708"/>
        <v>1192239.9348551452</v>
      </c>
      <c r="AK1737" s="2">
        <f t="shared" ca="1" si="1709"/>
        <v>0</v>
      </c>
      <c r="AL1737" s="2">
        <f t="shared" ca="1" si="1710"/>
        <v>22670.358248650657</v>
      </c>
      <c r="AM1737" s="2">
        <f t="shared" ca="1" si="1711"/>
        <v>23700.163014691101</v>
      </c>
      <c r="AN1737" s="2">
        <f t="shared" ca="1" si="1712"/>
        <v>24776.746832236873</v>
      </c>
      <c r="AO1737" s="2">
        <f t="shared" ca="1" si="1713"/>
        <v>25902.234647425339</v>
      </c>
      <c r="AP1737" s="2">
        <f t="shared" ca="1" si="1714"/>
        <v>2220535.4497131449</v>
      </c>
      <c r="AQ1737" s="2">
        <f t="shared" ca="1" si="1715"/>
        <v>843649.5218235394</v>
      </c>
      <c r="AR1737" s="2">
        <f t="shared" ca="1" si="1716"/>
        <v>959802.66873601789</v>
      </c>
      <c r="AS1737" s="2">
        <f t="shared" ca="1" si="1717"/>
        <v>1029627.592655281</v>
      </c>
      <c r="AT1737" s="2">
        <f t="shared" ca="1" si="1718"/>
        <v>1102624.3252708069</v>
      </c>
      <c r="AU1737" s="2">
        <f t="shared" ca="1" si="1719"/>
        <v>1178936.9465162493</v>
      </c>
      <c r="AV1737" s="2">
        <f t="shared" ca="1" si="1720"/>
        <v>2401156.3313439195</v>
      </c>
      <c r="AW1737" s="2">
        <f t="shared" ca="1" si="1721"/>
        <v>2709075.6989230919</v>
      </c>
      <c r="AX1737" s="2">
        <f t="shared" ca="1" si="1722"/>
        <v>2906778.3699272624</v>
      </c>
      <c r="AY1737" s="2">
        <f t="shared" ca="1" si="1723"/>
        <v>3113461.7174000586</v>
      </c>
      <c r="AZ1737" s="2">
        <f t="shared" ca="1" si="1724"/>
        <v>3329533.69005267</v>
      </c>
      <c r="BA1737" s="2">
        <f t="shared" ca="1" si="1725"/>
        <v>53416910.102278091</v>
      </c>
      <c r="BB1737" s="2">
        <f t="shared" ca="1" si="1726"/>
        <v>1068338.2020455617</v>
      </c>
      <c r="BC1737" s="2">
        <f t="shared" ca="1" si="1727"/>
        <v>27675955.792308696</v>
      </c>
      <c r="BD1737" s="2">
        <f t="shared" ca="1" si="1728"/>
        <v>-17976436.409779381</v>
      </c>
      <c r="BE1737" s="2">
        <f t="shared" ca="1" si="1729"/>
        <v>2401156.3313439195</v>
      </c>
      <c r="BF1737" s="2">
        <f t="shared" ca="1" si="1730"/>
        <v>2709075.6989230919</v>
      </c>
      <c r="BG1737" s="2">
        <f t="shared" ca="1" si="1731"/>
        <v>2906778.3699272624</v>
      </c>
      <c r="BH1737" s="2">
        <f t="shared" ca="1" si="1732"/>
        <v>3113461.7174000586</v>
      </c>
      <c r="BI1737" s="2">
        <f t="shared" ca="1" si="1733"/>
        <v>31005489.482361365</v>
      </c>
      <c r="BJ1737" s="2">
        <f t="shared" ca="1" si="1734"/>
        <v>0.22487502362590628</v>
      </c>
      <c r="BK1737" s="2">
        <f t="shared" ca="1" si="1735"/>
        <v>7968107.7760884129</v>
      </c>
    </row>
    <row r="1738" spans="1:63" x14ac:dyDescent="0.3">
      <c r="A1738" s="2">
        <v>1737</v>
      </c>
      <c r="B1738" s="2">
        <f t="shared" ca="1" si="1674"/>
        <v>0.14255108511606374</v>
      </c>
      <c r="C1738" s="2">
        <f t="shared" ca="1" si="1675"/>
        <v>6.5339495952167468</v>
      </c>
      <c r="D1738" s="2">
        <f t="shared" ca="1" si="1676"/>
        <v>6.5004413062218824E-2</v>
      </c>
      <c r="E1738" s="2">
        <f t="shared" ca="1" si="1677"/>
        <v>6.8605673669710523</v>
      </c>
      <c r="F1738" s="2">
        <f t="shared" ca="1" si="1678"/>
        <v>3.599776072280847E-2</v>
      </c>
      <c r="G1738" s="2">
        <f t="shared" ca="1" si="1679"/>
        <v>-1.3974392772728716E-2</v>
      </c>
      <c r="H1738" s="2">
        <f t="shared" ca="1" si="1680"/>
        <v>-1.3974392772728716E-2</v>
      </c>
      <c r="I1738" s="2">
        <f t="shared" ca="1" si="1681"/>
        <v>0.97838217317490439</v>
      </c>
      <c r="J1738" s="2">
        <f t="shared" ca="1" si="1682"/>
        <v>2.010713153951357E-2</v>
      </c>
      <c r="K1738" s="2">
        <f t="shared" ca="1" si="1683"/>
        <v>2.010713153951357E-2</v>
      </c>
      <c r="L1738" s="2">
        <f t="shared" ca="1" si="1684"/>
        <v>0.1442322862441423</v>
      </c>
      <c r="M1738" s="2">
        <f t="shared" ca="1" si="1685"/>
        <v>-2.1229919000179183E-2</v>
      </c>
      <c r="N1738" s="2">
        <f t="shared" ca="1" si="1686"/>
        <v>-2.1229919000179183E-2</v>
      </c>
      <c r="O1738" s="2">
        <f t="shared" si="1687"/>
        <v>6000000</v>
      </c>
      <c r="P1738" s="2">
        <f t="shared" ca="1" si="1688"/>
        <v>39203697.571300484</v>
      </c>
      <c r="Q1738" s="2">
        <f t="shared" ca="1" si="1689"/>
        <v>980092.43928251218</v>
      </c>
      <c r="R1738" s="2">
        <f t="shared" ca="1" si="1690"/>
        <v>23522218.542780291</v>
      </c>
      <c r="S1738" s="2">
        <f t="shared" ca="1" si="1691"/>
        <v>15681479.028520195</v>
      </c>
      <c r="T1738" s="2">
        <f t="shared" ca="1" si="1692"/>
        <v>48938504.049991041</v>
      </c>
      <c r="U1738" s="2">
        <f t="shared" ca="1" si="1693"/>
        <v>48254618.172686689</v>
      </c>
      <c r="V1738" s="2">
        <f t="shared" ca="1" si="1694"/>
        <v>47580289.18524351</v>
      </c>
      <c r="W1738" s="2">
        <f t="shared" ca="1" si="1695"/>
        <v>46915383.535928898</v>
      </c>
      <c r="X1738" s="2">
        <f t="shared" ca="1" si="1696"/>
        <v>46259769.53931462</v>
      </c>
      <c r="Y1738" s="2">
        <f t="shared" ca="1" si="1697"/>
        <v>0.13005356576975677</v>
      </c>
      <c r="Z1738" s="2">
        <f t="shared" ca="1" si="1698"/>
        <v>0.13407499207765949</v>
      </c>
      <c r="AA1738" s="2">
        <f t="shared" ca="1" si="1699"/>
        <v>6364626.9551390177</v>
      </c>
      <c r="AB1738" s="2">
        <f t="shared" ca="1" si="1700"/>
        <v>6469737.5492134513</v>
      </c>
      <c r="AC1738" s="2">
        <f t="shared" ca="1" si="1701"/>
        <v>6379326.8955642711</v>
      </c>
      <c r="AD1738" s="2">
        <f t="shared" ca="1" si="1702"/>
        <v>6290179.6759000234</v>
      </c>
      <c r="AE1738" s="2">
        <f t="shared" ca="1" si="1703"/>
        <v>6202278.2344979616</v>
      </c>
      <c r="AF1738" s="2">
        <f t="shared" ca="1" si="1704"/>
        <v>978770.08099982084</v>
      </c>
      <c r="AG1738" s="2">
        <f t="shared" ca="1" si="1705"/>
        <v>965092.36345373373</v>
      </c>
      <c r="AH1738" s="2">
        <f t="shared" ca="1" si="1706"/>
        <v>951605.78370487026</v>
      </c>
      <c r="AI1738" s="2">
        <f t="shared" ca="1" si="1707"/>
        <v>938307.67071857792</v>
      </c>
      <c r="AJ1738" s="2">
        <f t="shared" ca="1" si="1708"/>
        <v>925195.39078629238</v>
      </c>
      <c r="AK1738" s="2">
        <f t="shared" ca="1" si="1709"/>
        <v>0</v>
      </c>
      <c r="AL1738" s="2">
        <f t="shared" ca="1" si="1710"/>
        <v>0</v>
      </c>
      <c r="AM1738" s="2">
        <f t="shared" ca="1" si="1711"/>
        <v>0</v>
      </c>
      <c r="AN1738" s="2">
        <f t="shared" ca="1" si="1712"/>
        <v>0</v>
      </c>
      <c r="AO1738" s="2">
        <f t="shared" ca="1" si="1713"/>
        <v>0</v>
      </c>
      <c r="AP1738" s="2">
        <f t="shared" ca="1" si="1714"/>
        <v>2116999.6688502263</v>
      </c>
      <c r="AQ1738" s="2">
        <f t="shared" ca="1" si="1715"/>
        <v>849902.87337513245</v>
      </c>
      <c r="AR1738" s="2">
        <f t="shared" ca="1" si="1716"/>
        <v>880787.83439646778</v>
      </c>
      <c r="AS1738" s="2">
        <f t="shared" ca="1" si="1717"/>
        <v>860787.57518238539</v>
      </c>
      <c r="AT1738" s="2">
        <f t="shared" ca="1" si="1718"/>
        <v>841066.80744611705</v>
      </c>
      <c r="AU1738" s="2">
        <f t="shared" ca="1" si="1719"/>
        <v>821621.62546397524</v>
      </c>
      <c r="AV1738" s="2">
        <f t="shared" ca="1" si="1720"/>
        <v>2418954.3319138382</v>
      </c>
      <c r="AW1738" s="2">
        <f t="shared" ca="1" si="1721"/>
        <v>2506857.6825130237</v>
      </c>
      <c r="AX1738" s="2">
        <f t="shared" ca="1" si="1722"/>
        <v>2449933.8678267887</v>
      </c>
      <c r="AY1738" s="2">
        <f t="shared" ca="1" si="1723"/>
        <v>2393805.5288851019</v>
      </c>
      <c r="AZ1738" s="2">
        <f t="shared" ca="1" si="1724"/>
        <v>2338461.5493974676</v>
      </c>
      <c r="BA1738" s="2">
        <f t="shared" ca="1" si="1725"/>
        <v>42551147.65647155</v>
      </c>
      <c r="BB1738" s="2">
        <f t="shared" ca="1" si="1726"/>
        <v>851022.953129431</v>
      </c>
      <c r="BC1738" s="2">
        <f t="shared" ca="1" si="1727"/>
        <v>18177906.16056183</v>
      </c>
      <c r="BD1738" s="2">
        <f t="shared" ca="1" si="1728"/>
        <v>-17161571.467802707</v>
      </c>
      <c r="BE1738" s="2">
        <f t="shared" ca="1" si="1729"/>
        <v>2418954.3319138382</v>
      </c>
      <c r="BF1738" s="2">
        <f t="shared" ca="1" si="1730"/>
        <v>2506857.6825130237</v>
      </c>
      <c r="BG1738" s="2">
        <f t="shared" ca="1" si="1731"/>
        <v>2449933.8678267887</v>
      </c>
      <c r="BH1738" s="2">
        <f t="shared" ca="1" si="1732"/>
        <v>2393805.5288851019</v>
      </c>
      <c r="BI1738" s="2">
        <f t="shared" ca="1" si="1733"/>
        <v>20516367.709959298</v>
      </c>
      <c r="BJ1738" s="2">
        <f t="shared" ca="1" si="1734"/>
        <v>0.15029470491674979</v>
      </c>
      <c r="BK1738" s="2">
        <f t="shared" ca="1" si="1735"/>
        <v>1903320.0278718546</v>
      </c>
    </row>
    <row r="1739" spans="1:63" x14ac:dyDescent="0.3">
      <c r="A1739" s="2">
        <v>1738</v>
      </c>
      <c r="B1739" s="2">
        <f t="shared" ca="1" si="1674"/>
        <v>0.10583636343109193</v>
      </c>
      <c r="C1739" s="2">
        <f t="shared" ca="1" si="1675"/>
        <v>6.4600790441458766</v>
      </c>
      <c r="D1739" s="2">
        <f t="shared" ca="1" si="1676"/>
        <v>0.12585395375257036</v>
      </c>
      <c r="E1739" s="2">
        <f t="shared" ca="1" si="1677"/>
        <v>7.0017050004785091</v>
      </c>
      <c r="F1739" s="2">
        <f t="shared" ca="1" si="1678"/>
        <v>0.73858286645242777</v>
      </c>
      <c r="G1739" s="2">
        <f t="shared" ca="1" si="1679"/>
        <v>5.9169477274184187E-2</v>
      </c>
      <c r="H1739" s="2">
        <f t="shared" ca="1" si="1680"/>
        <v>5.9169477274184187E-2</v>
      </c>
      <c r="I1739" s="2">
        <f t="shared" ca="1" si="1681"/>
        <v>0.65422876726662826</v>
      </c>
      <c r="J1739" s="2">
        <f t="shared" ca="1" si="1682"/>
        <v>1.1983813455698308E-2</v>
      </c>
      <c r="K1739" s="2">
        <f t="shared" ca="1" si="1683"/>
        <v>1.1983813455698308E-2</v>
      </c>
      <c r="L1739" s="2">
        <f t="shared" ca="1" si="1684"/>
        <v>0.49098076103158461</v>
      </c>
      <c r="M1739" s="2">
        <f t="shared" ca="1" si="1685"/>
        <v>-4.5219611268188111E-4</v>
      </c>
      <c r="N1739" s="2">
        <f t="shared" ca="1" si="1686"/>
        <v>-4.5219611268188111E-4</v>
      </c>
      <c r="O1739" s="2">
        <f t="shared" si="1687"/>
        <v>6000000</v>
      </c>
      <c r="P1739" s="2">
        <f t="shared" ca="1" si="1688"/>
        <v>38760474.264875263</v>
      </c>
      <c r="Q1739" s="2">
        <f t="shared" ca="1" si="1689"/>
        <v>969011.8566218816</v>
      </c>
      <c r="R1739" s="2">
        <f t="shared" ca="1" si="1690"/>
        <v>23256284.558925156</v>
      </c>
      <c r="S1739" s="2">
        <f t="shared" ca="1" si="1691"/>
        <v>15504189.705950106</v>
      </c>
      <c r="T1739" s="2">
        <f t="shared" ca="1" si="1692"/>
        <v>49977390.194365904</v>
      </c>
      <c r="U1739" s="2">
        <f t="shared" ca="1" si="1693"/>
        <v>52934526.24769447</v>
      </c>
      <c r="V1739" s="2">
        <f t="shared" ca="1" si="1694"/>
        <v>56066634.495527133</v>
      </c>
      <c r="W1739" s="2">
        <f t="shared" ca="1" si="1695"/>
        <v>59384067.951150216</v>
      </c>
      <c r="X1739" s="2">
        <f t="shared" ca="1" si="1696"/>
        <v>62897792.210234411</v>
      </c>
      <c r="Y1739" s="2">
        <f t="shared" ca="1" si="1697"/>
        <v>0.12599190672784916</v>
      </c>
      <c r="Z1739" s="2">
        <f t="shared" ca="1" si="1698"/>
        <v>0.1283886694189888</v>
      </c>
      <c r="AA1739" s="2">
        <f t="shared" ca="1" si="1699"/>
        <v>6296746.6838698722</v>
      </c>
      <c r="AB1739" s="2">
        <f t="shared" ca="1" si="1700"/>
        <v>6796193.3912660312</v>
      </c>
      <c r="AC1739" s="2">
        <f t="shared" ca="1" si="1701"/>
        <v>7198320.6016815072</v>
      </c>
      <c r="AD1739" s="2">
        <f t="shared" ca="1" si="1702"/>
        <v>7624241.4689349923</v>
      </c>
      <c r="AE1739" s="2">
        <f t="shared" ca="1" si="1703"/>
        <v>8075363.8512640344</v>
      </c>
      <c r="AF1739" s="2">
        <f t="shared" ca="1" si="1704"/>
        <v>999547.80388731812</v>
      </c>
      <c r="AG1739" s="2">
        <f t="shared" ca="1" si="1705"/>
        <v>1058690.5249538894</v>
      </c>
      <c r="AH1739" s="2">
        <f t="shared" ca="1" si="1706"/>
        <v>1121332.6899105427</v>
      </c>
      <c r="AI1739" s="2">
        <f t="shared" ca="1" si="1707"/>
        <v>1187681.3590230043</v>
      </c>
      <c r="AJ1739" s="2">
        <f t="shared" ca="1" si="1708"/>
        <v>1257955.8442046882</v>
      </c>
      <c r="AK1739" s="2">
        <f t="shared" ca="1" si="1709"/>
        <v>0</v>
      </c>
      <c r="AL1739" s="2">
        <f t="shared" ca="1" si="1710"/>
        <v>29571.360533285664</v>
      </c>
      <c r="AM1739" s="2">
        <f t="shared" ca="1" si="1711"/>
        <v>31321.082478326633</v>
      </c>
      <c r="AN1739" s="2">
        <f t="shared" ca="1" si="1712"/>
        <v>33174.334556230831</v>
      </c>
      <c r="AO1739" s="2">
        <f t="shared" ca="1" si="1713"/>
        <v>35137.242590841946</v>
      </c>
      <c r="AP1739" s="2">
        <f t="shared" ca="1" si="1714"/>
        <v>2093065.6103032639</v>
      </c>
      <c r="AQ1739" s="2">
        <f t="shared" ca="1" si="1715"/>
        <v>833074.65011661546</v>
      </c>
      <c r="AR1739" s="2">
        <f t="shared" ca="1" si="1716"/>
        <v>947553.68656230811</v>
      </c>
      <c r="AS1739" s="2">
        <f t="shared" ca="1" si="1717"/>
        <v>1035819.798381602</v>
      </c>
      <c r="AT1739" s="2">
        <f t="shared" ca="1" si="1718"/>
        <v>1129308.5698982682</v>
      </c>
      <c r="AU1739" s="2">
        <f t="shared" ca="1" si="1719"/>
        <v>1228329.0231565812</v>
      </c>
      <c r="AV1739" s="2">
        <f t="shared" ca="1" si="1720"/>
        <v>2371058.6195626743</v>
      </c>
      <c r="AW1739" s="2">
        <f t="shared" ca="1" si="1721"/>
        <v>2667312.2089132834</v>
      </c>
      <c r="AX1739" s="2">
        <f t="shared" ca="1" si="1722"/>
        <v>2916781.4206077708</v>
      </c>
      <c r="AY1739" s="2">
        <f t="shared" ca="1" si="1723"/>
        <v>3181011.595154224</v>
      </c>
      <c r="AZ1739" s="2">
        <f t="shared" ca="1" si="1724"/>
        <v>3460876.1310086586</v>
      </c>
      <c r="BA1739" s="2">
        <f t="shared" ca="1" si="1725"/>
        <v>56541315.458078779</v>
      </c>
      <c r="BB1739" s="2">
        <f t="shared" ca="1" si="1726"/>
        <v>1130826.3091615755</v>
      </c>
      <c r="BC1739" s="2">
        <f t="shared" ca="1" si="1727"/>
        <v>32154204.589992046</v>
      </c>
      <c r="BD1739" s="2">
        <f t="shared" ca="1" si="1728"/>
        <v>-16973201.562571988</v>
      </c>
      <c r="BE1739" s="2">
        <f t="shared" ca="1" si="1729"/>
        <v>2371058.6195626743</v>
      </c>
      <c r="BF1739" s="2">
        <f t="shared" ca="1" si="1730"/>
        <v>2667312.2089132834</v>
      </c>
      <c r="BG1739" s="2">
        <f t="shared" ca="1" si="1731"/>
        <v>2916781.4206077708</v>
      </c>
      <c r="BH1739" s="2">
        <f t="shared" ca="1" si="1732"/>
        <v>3181011.595154224</v>
      </c>
      <c r="BI1739" s="2">
        <f t="shared" ca="1" si="1733"/>
        <v>35615080.721000701</v>
      </c>
      <c r="BJ1739" s="2">
        <f t="shared" ca="1" si="1734"/>
        <v>0.26951947919549535</v>
      </c>
      <c r="BK1739" s="2">
        <f t="shared" ca="1" si="1735"/>
        <v>11576831.072895475</v>
      </c>
    </row>
    <row r="1740" spans="1:63" x14ac:dyDescent="0.3">
      <c r="A1740" s="2">
        <v>1739</v>
      </c>
      <c r="B1740" s="2">
        <f t="shared" ca="1" si="1674"/>
        <v>0.15959210447575345</v>
      </c>
      <c r="C1740" s="2">
        <f t="shared" ca="1" si="1675"/>
        <v>6.5649639005737503</v>
      </c>
      <c r="D1740" s="2">
        <f t="shared" ca="1" si="1676"/>
        <v>0.53439240274020816</v>
      </c>
      <c r="E1740" s="2">
        <f t="shared" ca="1" si="1677"/>
        <v>7.5350050805731756</v>
      </c>
      <c r="F1740" s="2">
        <f t="shared" ca="1" si="1678"/>
        <v>0.43641670576216696</v>
      </c>
      <c r="G1740" s="2">
        <f t="shared" ca="1" si="1679"/>
        <v>3.5198184815225408E-2</v>
      </c>
      <c r="H1740" s="2">
        <f t="shared" ca="1" si="1680"/>
        <v>3.5198184815225408E-2</v>
      </c>
      <c r="I1740" s="2">
        <f t="shared" ca="1" si="1681"/>
        <v>0.25344971435470121</v>
      </c>
      <c r="J1740" s="2">
        <f t="shared" ca="1" si="1682"/>
        <v>6.6816334762684259E-3</v>
      </c>
      <c r="K1740" s="2">
        <f t="shared" ca="1" si="1683"/>
        <v>6.6816334762684259E-3</v>
      </c>
      <c r="L1740" s="2">
        <f t="shared" ca="1" si="1684"/>
        <v>0.78230454021840867</v>
      </c>
      <c r="M1740" s="2">
        <f t="shared" ca="1" si="1685"/>
        <v>1.5599998491642682E-2</v>
      </c>
      <c r="N1740" s="2">
        <f t="shared" ca="1" si="1686"/>
        <v>1.5599998491642682E-2</v>
      </c>
      <c r="O1740" s="2">
        <f t="shared" si="1687"/>
        <v>6000000</v>
      </c>
      <c r="P1740" s="2">
        <f t="shared" ca="1" si="1688"/>
        <v>39389783.403442502</v>
      </c>
      <c r="Q1740" s="2">
        <f t="shared" ca="1" si="1689"/>
        <v>984744.58508606255</v>
      </c>
      <c r="R1740" s="2">
        <f t="shared" ca="1" si="1690"/>
        <v>23633870.042065501</v>
      </c>
      <c r="S1740" s="2">
        <f t="shared" ca="1" si="1691"/>
        <v>15755913.361377001</v>
      </c>
      <c r="T1740" s="2">
        <f t="shared" ca="1" si="1692"/>
        <v>50779999.924582131</v>
      </c>
      <c r="U1740" s="2">
        <f t="shared" ca="1" si="1693"/>
        <v>52567363.746844709</v>
      </c>
      <c r="V1740" s="2">
        <f t="shared" ca="1" si="1694"/>
        <v>54417639.531255327</v>
      </c>
      <c r="W1740" s="2">
        <f t="shared" ca="1" si="1695"/>
        <v>56333041.664684765</v>
      </c>
      <c r="X1740" s="2">
        <f t="shared" ca="1" si="1696"/>
        <v>58315862.476402134</v>
      </c>
      <c r="Y1740" s="2">
        <f t="shared" ca="1" si="1697"/>
        <v>0.12334081673813421</v>
      </c>
      <c r="Z1740" s="2">
        <f t="shared" ca="1" si="1698"/>
        <v>0.1246771434333879</v>
      </c>
      <c r="AA1740" s="2">
        <f t="shared" ca="1" si="1699"/>
        <v>6263246.6646603541</v>
      </c>
      <c r="AB1740" s="2">
        <f t="shared" ca="1" si="1700"/>
        <v>6553948.7497804333</v>
      </c>
      <c r="AC1740" s="2">
        <f t="shared" ca="1" si="1701"/>
        <v>6784635.8491447195</v>
      </c>
      <c r="AD1740" s="2">
        <f t="shared" ca="1" si="1702"/>
        <v>7023442.715666919</v>
      </c>
      <c r="AE1740" s="2">
        <f t="shared" ca="1" si="1703"/>
        <v>7270655.1504121125</v>
      </c>
      <c r="AF1740" s="2">
        <f t="shared" ca="1" si="1704"/>
        <v>1015599.9984916426</v>
      </c>
      <c r="AG1740" s="2">
        <f t="shared" ca="1" si="1705"/>
        <v>1051347.2749368942</v>
      </c>
      <c r="AH1740" s="2">
        <f t="shared" ca="1" si="1706"/>
        <v>1088352.7906251065</v>
      </c>
      <c r="AI1740" s="2">
        <f t="shared" ca="1" si="1707"/>
        <v>1126660.8332936952</v>
      </c>
      <c r="AJ1740" s="2">
        <f t="shared" ca="1" si="1708"/>
        <v>1166317.2495280427</v>
      </c>
      <c r="AK1740" s="2">
        <f t="shared" ca="1" si="1709"/>
        <v>0</v>
      </c>
      <c r="AL1740" s="2">
        <f t="shared" ca="1" si="1710"/>
        <v>17873.638222625777</v>
      </c>
      <c r="AM1740" s="2">
        <f t="shared" ca="1" si="1711"/>
        <v>18502.757844106181</v>
      </c>
      <c r="AN1740" s="2">
        <f t="shared" ca="1" si="1712"/>
        <v>19154.021334294379</v>
      </c>
      <c r="AO1740" s="2">
        <f t="shared" ca="1" si="1713"/>
        <v>19828.208117173686</v>
      </c>
      <c r="AP1740" s="2">
        <f t="shared" ca="1" si="1714"/>
        <v>2127048.303785895</v>
      </c>
      <c r="AQ1740" s="2">
        <f t="shared" ca="1" si="1715"/>
        <v>811355.57421953219</v>
      </c>
      <c r="AR1740" s="2">
        <f t="shared" ca="1" si="1716"/>
        <v>877643.82447498757</v>
      </c>
      <c r="AS1740" s="2">
        <f t="shared" ca="1" si="1717"/>
        <v>928001.03623076668</v>
      </c>
      <c r="AT1740" s="2">
        <f t="shared" ca="1" si="1718"/>
        <v>980130.7304327056</v>
      </c>
      <c r="AU1740" s="2">
        <f t="shared" ca="1" si="1719"/>
        <v>1034095.2952455254</v>
      </c>
      <c r="AV1740" s="2">
        <f t="shared" ca="1" si="1720"/>
        <v>2309242.7881632838</v>
      </c>
      <c r="AW1740" s="2">
        <f t="shared" ca="1" si="1721"/>
        <v>2480035.7083600312</v>
      </c>
      <c r="AX1740" s="2">
        <f t="shared" ca="1" si="1722"/>
        <v>2622730.9606588455</v>
      </c>
      <c r="AY1740" s="2">
        <f t="shared" ca="1" si="1723"/>
        <v>2770448.8268203288</v>
      </c>
      <c r="AZ1740" s="2">
        <f t="shared" ca="1" si="1724"/>
        <v>2923366.0937354751</v>
      </c>
      <c r="BA1740" s="2">
        <f t="shared" ca="1" si="1725"/>
        <v>54784423.497450791</v>
      </c>
      <c r="BB1740" s="2">
        <f t="shared" ca="1" si="1726"/>
        <v>1095688.4699490159</v>
      </c>
      <c r="BC1740" s="2">
        <f t="shared" ca="1" si="1727"/>
        <v>30054864.985436276</v>
      </c>
      <c r="BD1740" s="2">
        <f t="shared" ca="1" si="1728"/>
        <v>-17240657.946463063</v>
      </c>
      <c r="BE1740" s="2">
        <f t="shared" ca="1" si="1729"/>
        <v>2309242.7881632838</v>
      </c>
      <c r="BF1740" s="2">
        <f t="shared" ca="1" si="1730"/>
        <v>2480035.7083600312</v>
      </c>
      <c r="BG1740" s="2">
        <f t="shared" ca="1" si="1731"/>
        <v>2622730.9606588455</v>
      </c>
      <c r="BH1740" s="2">
        <f t="shared" ca="1" si="1732"/>
        <v>2770448.8268203288</v>
      </c>
      <c r="BI1740" s="2">
        <f t="shared" ca="1" si="1733"/>
        <v>32978231.079171751</v>
      </c>
      <c r="BJ1740" s="2">
        <f t="shared" ca="1" si="1734"/>
        <v>0.24055055057197805</v>
      </c>
      <c r="BK1740" s="2">
        <f t="shared" ca="1" si="1735"/>
        <v>9138447.6306336373</v>
      </c>
    </row>
    <row r="1741" spans="1:63" x14ac:dyDescent="0.3">
      <c r="A1741" s="2">
        <v>1740</v>
      </c>
      <c r="B1741" s="2">
        <f t="shared" ca="1" si="1674"/>
        <v>0.65786312710489148</v>
      </c>
      <c r="C1741" s="2">
        <f t="shared" ca="1" si="1675"/>
        <v>7.1727915947052896</v>
      </c>
      <c r="D1741" s="2">
        <f t="shared" ca="1" si="1676"/>
        <v>0.8536174128912265</v>
      </c>
      <c r="E1741" s="2">
        <f t="shared" ca="1" si="1677"/>
        <v>7.9589222105671436</v>
      </c>
      <c r="F1741" s="2">
        <f t="shared" ca="1" si="1678"/>
        <v>0.4232562991989175</v>
      </c>
      <c r="G1741" s="2">
        <f t="shared" ca="1" si="1679"/>
        <v>3.4192900306735781E-2</v>
      </c>
      <c r="H1741" s="2">
        <f t="shared" ca="1" si="1680"/>
        <v>3.4192900306735781E-2</v>
      </c>
      <c r="I1741" s="2">
        <f t="shared" ca="1" si="1681"/>
        <v>0.92637310866952227</v>
      </c>
      <c r="J1741" s="2">
        <f t="shared" ca="1" si="1682"/>
        <v>1.7246500688431837E-2</v>
      </c>
      <c r="K1741" s="2">
        <f t="shared" ca="1" si="1683"/>
        <v>1.7246500688431837E-2</v>
      </c>
      <c r="L1741" s="2">
        <f t="shared" ca="1" si="1684"/>
        <v>0.57289569720306532</v>
      </c>
      <c r="M1741" s="2">
        <f t="shared" ca="1" si="1685"/>
        <v>3.6750249003133944E-3</v>
      </c>
      <c r="N1741" s="2">
        <f t="shared" ca="1" si="1686"/>
        <v>3.6750249003133944E-3</v>
      </c>
      <c r="O1741" s="2">
        <f t="shared" si="1687"/>
        <v>6000000</v>
      </c>
      <c r="P1741" s="2">
        <f t="shared" ca="1" si="1688"/>
        <v>43036749.568231739</v>
      </c>
      <c r="Q1741" s="2">
        <f t="shared" ca="1" si="1689"/>
        <v>1075918.7392057935</v>
      </c>
      <c r="R1741" s="2">
        <f t="shared" ca="1" si="1690"/>
        <v>25822049.740939043</v>
      </c>
      <c r="S1741" s="2">
        <f t="shared" ca="1" si="1691"/>
        <v>17214699.827292696</v>
      </c>
      <c r="T1741" s="2">
        <f t="shared" ca="1" si="1692"/>
        <v>50183751.245015673</v>
      </c>
      <c r="U1741" s="2">
        <f t="shared" ca="1" si="1693"/>
        <v>51899679.248354524</v>
      </c>
      <c r="V1741" s="2">
        <f t="shared" ca="1" si="1694"/>
        <v>53674279.806845076</v>
      </c>
      <c r="W1741" s="2">
        <f t="shared" ca="1" si="1695"/>
        <v>55509559.105316371</v>
      </c>
      <c r="X1741" s="2">
        <f t="shared" ca="1" si="1696"/>
        <v>57407591.925875314</v>
      </c>
      <c r="Y1741" s="2">
        <f t="shared" ca="1" si="1697"/>
        <v>0.1286232503442159</v>
      </c>
      <c r="Z1741" s="2">
        <f t="shared" ca="1" si="1698"/>
        <v>0.13207255048190228</v>
      </c>
      <c r="AA1741" s="2">
        <f t="shared" ca="1" si="1699"/>
        <v>6454797.1995995073</v>
      </c>
      <c r="AB1741" s="2">
        <f t="shared" ca="1" si="1700"/>
        <v>6854523.0075228391</v>
      </c>
      <c r="AC1741" s="2">
        <f t="shared" ca="1" si="1701"/>
        <v>7088899.0293692946</v>
      </c>
      <c r="AD1741" s="2">
        <f t="shared" ca="1" si="1702"/>
        <v>7331289.0471650343</v>
      </c>
      <c r="AE1741" s="2">
        <f t="shared" ca="1" si="1703"/>
        <v>7581967.0826746132</v>
      </c>
      <c r="AF1741" s="2">
        <f t="shared" ca="1" si="1704"/>
        <v>1003675.0249003135</v>
      </c>
      <c r="AG1741" s="2">
        <f t="shared" ca="1" si="1705"/>
        <v>1037993.5849670905</v>
      </c>
      <c r="AH1741" s="2">
        <f t="shared" ca="1" si="1706"/>
        <v>1073485.5961369015</v>
      </c>
      <c r="AI1741" s="2">
        <f t="shared" ca="1" si="1707"/>
        <v>1110191.1821063275</v>
      </c>
      <c r="AJ1741" s="2">
        <f t="shared" ca="1" si="1708"/>
        <v>1148151.8385175064</v>
      </c>
      <c r="AK1741" s="2">
        <f t="shared" ca="1" si="1709"/>
        <v>0</v>
      </c>
      <c r="AL1741" s="2">
        <f t="shared" ca="1" si="1710"/>
        <v>17159.28003338851</v>
      </c>
      <c r="AM1741" s="2">
        <f t="shared" ca="1" si="1711"/>
        <v>17746.005584905521</v>
      </c>
      <c r="AN1741" s="2">
        <f t="shared" ca="1" si="1712"/>
        <v>18352.792984712945</v>
      </c>
      <c r="AO1741" s="2">
        <f t="shared" ca="1" si="1713"/>
        <v>18980.328205589431</v>
      </c>
      <c r="AP1741" s="2">
        <f t="shared" ca="1" si="1714"/>
        <v>2323984.476684514</v>
      </c>
      <c r="AQ1741" s="2">
        <f t="shared" ca="1" si="1715"/>
        <v>813055.80148381682</v>
      </c>
      <c r="AR1741" s="2">
        <f t="shared" ca="1" si="1716"/>
        <v>908061.68592652096</v>
      </c>
      <c r="AS1741" s="2">
        <f t="shared" ca="1" si="1717"/>
        <v>959771.52870244859</v>
      </c>
      <c r="AT1741" s="2">
        <f t="shared" ca="1" si="1718"/>
        <v>1013249.4809772902</v>
      </c>
      <c r="AU1741" s="2">
        <f t="shared" ca="1" si="1719"/>
        <v>1068555.9995428741</v>
      </c>
      <c r="AV1741" s="2">
        <f t="shared" ca="1" si="1720"/>
        <v>2314081.8965308634</v>
      </c>
      <c r="AW1741" s="2">
        <f t="shared" ca="1" si="1721"/>
        <v>2567323.979911325</v>
      </c>
      <c r="AX1741" s="2">
        <f t="shared" ca="1" si="1722"/>
        <v>2713911.4222605252</v>
      </c>
      <c r="AY1741" s="2">
        <f t="shared" ca="1" si="1723"/>
        <v>2865511.1144121899</v>
      </c>
      <c r="AZ1741" s="2">
        <f t="shared" ca="1" si="1724"/>
        <v>3022294.4397241292</v>
      </c>
      <c r="BA1741" s="2">
        <f t="shared" ca="1" si="1725"/>
        <v>60344286.214087948</v>
      </c>
      <c r="BB1741" s="2">
        <f t="shared" ca="1" si="1726"/>
        <v>1206885.724281759</v>
      </c>
      <c r="BC1741" s="2">
        <f t="shared" ca="1" si="1727"/>
        <v>33315350.748867147</v>
      </c>
      <c r="BD1741" s="2">
        <f t="shared" ca="1" si="1728"/>
        <v>-18790618.566498488</v>
      </c>
      <c r="BE1741" s="2">
        <f t="shared" ca="1" si="1729"/>
        <v>2314081.8965308634</v>
      </c>
      <c r="BF1741" s="2">
        <f t="shared" ca="1" si="1730"/>
        <v>2567323.979911325</v>
      </c>
      <c r="BG1741" s="2">
        <f t="shared" ca="1" si="1731"/>
        <v>2713911.4222605252</v>
      </c>
      <c r="BH1741" s="2">
        <f t="shared" ca="1" si="1732"/>
        <v>2865511.1144121899</v>
      </c>
      <c r="BI1741" s="2">
        <f t="shared" ca="1" si="1733"/>
        <v>36337645.188591279</v>
      </c>
      <c r="BJ1741" s="2">
        <f t="shared" ca="1" si="1734"/>
        <v>0.23638555552116847</v>
      </c>
      <c r="BK1741" s="2">
        <f t="shared" ca="1" si="1735"/>
        <v>9693929.3577903211</v>
      </c>
    </row>
    <row r="1742" spans="1:63" x14ac:dyDescent="0.3">
      <c r="A1742" s="2">
        <v>1741</v>
      </c>
      <c r="B1742" s="2">
        <f t="shared" ca="1" si="1674"/>
        <v>5.8685856422351468E-2</v>
      </c>
      <c r="C1742" s="2">
        <f t="shared" ca="1" si="1675"/>
        <v>6.3425955528676674</v>
      </c>
      <c r="D1742" s="2">
        <f t="shared" ca="1" si="1676"/>
        <v>0.40001345891708917</v>
      </c>
      <c r="E1742" s="2">
        <f t="shared" ca="1" si="1677"/>
        <v>7.3944422384000985</v>
      </c>
      <c r="F1742" s="2">
        <f t="shared" ca="1" si="1678"/>
        <v>0.18024591733945394</v>
      </c>
      <c r="G1742" s="2">
        <f t="shared" ca="1" si="1679"/>
        <v>1.256715086363188E-2</v>
      </c>
      <c r="H1742" s="2">
        <f t="shared" ca="1" si="1680"/>
        <v>1.256715086363188E-2</v>
      </c>
      <c r="I1742" s="2">
        <f t="shared" ca="1" si="1681"/>
        <v>0.21086306339158012</v>
      </c>
      <c r="J1742" s="2">
        <f t="shared" ca="1" si="1682"/>
        <v>5.98284901104627E-3</v>
      </c>
      <c r="K1742" s="2">
        <f t="shared" ca="1" si="1683"/>
        <v>5.98284901104627E-3</v>
      </c>
      <c r="L1742" s="2">
        <f t="shared" ca="1" si="1684"/>
        <v>0.51654423510388503</v>
      </c>
      <c r="M1742" s="2">
        <f t="shared" ca="1" si="1685"/>
        <v>8.2964282561208045E-4</v>
      </c>
      <c r="N1742" s="2">
        <f t="shared" ca="1" si="1686"/>
        <v>8.2964282561208045E-4</v>
      </c>
      <c r="O1742" s="2">
        <f t="shared" si="1687"/>
        <v>6000000</v>
      </c>
      <c r="P1742" s="2">
        <f t="shared" ca="1" si="1688"/>
        <v>38055573.317206003</v>
      </c>
      <c r="Q1742" s="2">
        <f t="shared" ca="1" si="1689"/>
        <v>951389.33293015009</v>
      </c>
      <c r="R1742" s="2">
        <f t="shared" ca="1" si="1690"/>
        <v>22833343.990323599</v>
      </c>
      <c r="S1742" s="2">
        <f t="shared" ca="1" si="1691"/>
        <v>15222229.326882401</v>
      </c>
      <c r="T1742" s="2">
        <f t="shared" ca="1" si="1692"/>
        <v>50041482.141280599</v>
      </c>
      <c r="U1742" s="2">
        <f t="shared" ca="1" si="1693"/>
        <v>50670360.996789806</v>
      </c>
      <c r="V1742" s="2">
        <f t="shared" ca="1" si="1694"/>
        <v>51307143.067751147</v>
      </c>
      <c r="W1742" s="2">
        <f t="shared" ca="1" si="1695"/>
        <v>51951927.675065517</v>
      </c>
      <c r="X1742" s="2">
        <f t="shared" ca="1" si="1696"/>
        <v>52604815.387814552</v>
      </c>
      <c r="Y1742" s="2">
        <f t="shared" ca="1" si="1697"/>
        <v>0.12299142450552313</v>
      </c>
      <c r="Z1742" s="2">
        <f t="shared" ca="1" si="1698"/>
        <v>0.12418799430773239</v>
      </c>
      <c r="AA1742" s="2">
        <f t="shared" ca="1" si="1699"/>
        <v>6154673.1729237968</v>
      </c>
      <c r="AB1742" s="2">
        <f t="shared" ca="1" si="1700"/>
        <v>6292650.5030400781</v>
      </c>
      <c r="AC1742" s="2">
        <f t="shared" ca="1" si="1701"/>
        <v>6371731.1912438907</v>
      </c>
      <c r="AD1742" s="2">
        <f t="shared" ca="1" si="1702"/>
        <v>6451805.6983867614</v>
      </c>
      <c r="AE1742" s="2">
        <f t="shared" ca="1" si="1703"/>
        <v>6532886.5139412265</v>
      </c>
      <c r="AF1742" s="2">
        <f t="shared" ca="1" si="1704"/>
        <v>1000829.642825612</v>
      </c>
      <c r="AG1742" s="2">
        <f t="shared" ca="1" si="1705"/>
        <v>1013407.2199357961</v>
      </c>
      <c r="AH1742" s="2">
        <f t="shared" ca="1" si="1706"/>
        <v>1026142.861355023</v>
      </c>
      <c r="AI1742" s="2">
        <f t="shared" ca="1" si="1707"/>
        <v>1039038.5535013104</v>
      </c>
      <c r="AJ1742" s="2">
        <f t="shared" ca="1" si="1708"/>
        <v>1052096.307756291</v>
      </c>
      <c r="AK1742" s="2">
        <f t="shared" ca="1" si="1709"/>
        <v>0</v>
      </c>
      <c r="AL1742" s="2">
        <f t="shared" ca="1" si="1710"/>
        <v>6288.7885550920664</v>
      </c>
      <c r="AM1742" s="2">
        <f t="shared" ca="1" si="1711"/>
        <v>6367.8207096134129</v>
      </c>
      <c r="AN1742" s="2">
        <f t="shared" ca="1" si="1712"/>
        <v>6447.8460731437062</v>
      </c>
      <c r="AO1742" s="2">
        <f t="shared" ca="1" si="1713"/>
        <v>6528.877127490342</v>
      </c>
      <c r="AP1742" s="2">
        <f t="shared" ca="1" si="1714"/>
        <v>2055000.9591291239</v>
      </c>
      <c r="AQ1742" s="2">
        <f t="shared" ca="1" si="1715"/>
        <v>805699.06845195591</v>
      </c>
      <c r="AR1742" s="2">
        <f t="shared" ca="1" si="1716"/>
        <v>838303.00423354108</v>
      </c>
      <c r="AS1742" s="2">
        <f t="shared" ca="1" si="1717"/>
        <v>855552.71639753331</v>
      </c>
      <c r="AT1742" s="2">
        <f t="shared" ca="1" si="1718"/>
        <v>873019.20829664497</v>
      </c>
      <c r="AU1742" s="2">
        <f t="shared" ca="1" si="1719"/>
        <v>890705.20423451113</v>
      </c>
      <c r="AV1742" s="2">
        <f t="shared" ca="1" si="1720"/>
        <v>2293143.5025171051</v>
      </c>
      <c r="AW1742" s="2">
        <f t="shared" ca="1" si="1721"/>
        <v>2379650.5311865248</v>
      </c>
      <c r="AX1742" s="2">
        <f t="shared" ca="1" si="1722"/>
        <v>2428666.8336525969</v>
      </c>
      <c r="AY1742" s="2">
        <f t="shared" ca="1" si="1723"/>
        <v>2478299.131386538</v>
      </c>
      <c r="AZ1742" s="2">
        <f t="shared" ca="1" si="1724"/>
        <v>2528555.1656938111</v>
      </c>
      <c r="BA1742" s="2">
        <f t="shared" ca="1" si="1725"/>
        <v>48307051.977361381</v>
      </c>
      <c r="BB1742" s="2">
        <f t="shared" ca="1" si="1726"/>
        <v>966141.03954722767</v>
      </c>
      <c r="BC1742" s="2">
        <f t="shared" ca="1" si="1727"/>
        <v>24507566.947490554</v>
      </c>
      <c r="BD1742" s="2">
        <f t="shared" ca="1" si="1728"/>
        <v>-16673618.659812551</v>
      </c>
      <c r="BE1742" s="2">
        <f t="shared" ca="1" si="1729"/>
        <v>2293143.5025171051</v>
      </c>
      <c r="BF1742" s="2">
        <f t="shared" ca="1" si="1730"/>
        <v>2379650.5311865248</v>
      </c>
      <c r="BG1742" s="2">
        <f t="shared" ca="1" si="1731"/>
        <v>2428666.8336525969</v>
      </c>
      <c r="BH1742" s="2">
        <f t="shared" ca="1" si="1732"/>
        <v>2478299.131386538</v>
      </c>
      <c r="BI1742" s="2">
        <f t="shared" ca="1" si="1733"/>
        <v>27036122.113184366</v>
      </c>
      <c r="BJ1742" s="2">
        <f t="shared" ca="1" si="1734"/>
        <v>0.20631942692650029</v>
      </c>
      <c r="BK1742" s="2">
        <f t="shared" ca="1" si="1735"/>
        <v>5915576.4740921073</v>
      </c>
    </row>
    <row r="1743" spans="1:63" x14ac:dyDescent="0.3">
      <c r="A1743" s="2">
        <v>1742</v>
      </c>
      <c r="B1743" s="2">
        <f t="shared" ca="1" si="1674"/>
        <v>0.84942837744767452</v>
      </c>
      <c r="C1743" s="2">
        <f t="shared" ca="1" si="1675"/>
        <v>7.4512347996595896</v>
      </c>
      <c r="D1743" s="2">
        <f t="shared" ca="1" si="1676"/>
        <v>0.92732747021927531</v>
      </c>
      <c r="E1743" s="2">
        <f t="shared" ca="1" si="1677"/>
        <v>8.1187585285393915</v>
      </c>
      <c r="F1743" s="2">
        <f t="shared" ca="1" si="1678"/>
        <v>3.911829479398643E-2</v>
      </c>
      <c r="G1743" s="2">
        <f t="shared" ca="1" si="1679"/>
        <v>-1.2830321426385315E-2</v>
      </c>
      <c r="H1743" s="2">
        <f t="shared" ca="1" si="1680"/>
        <v>-1.2830321426385315E-2</v>
      </c>
      <c r="I1743" s="2">
        <f t="shared" ca="1" si="1681"/>
        <v>0.28340903892279956</v>
      </c>
      <c r="J1743" s="2">
        <f t="shared" ca="1" si="1682"/>
        <v>7.1362802727740178E-3</v>
      </c>
      <c r="K1743" s="2">
        <f t="shared" ca="1" si="1683"/>
        <v>7.1362802727740178E-3</v>
      </c>
      <c r="L1743" s="2">
        <f t="shared" ca="1" si="1684"/>
        <v>0.71771005325416115</v>
      </c>
      <c r="M1743" s="2">
        <f t="shared" ca="1" si="1685"/>
        <v>1.1521044164683965E-2</v>
      </c>
      <c r="N1743" s="2">
        <f t="shared" ca="1" si="1686"/>
        <v>1.1521044164683965E-2</v>
      </c>
      <c r="O1743" s="2">
        <f t="shared" si="1687"/>
        <v>6000000</v>
      </c>
      <c r="P1743" s="2">
        <f t="shared" ca="1" si="1688"/>
        <v>44707408.79795754</v>
      </c>
      <c r="Q1743" s="2">
        <f t="shared" ca="1" si="1689"/>
        <v>1117685.2199489386</v>
      </c>
      <c r="R1743" s="2">
        <f t="shared" ca="1" si="1690"/>
        <v>26824445.278774522</v>
      </c>
      <c r="S1743" s="2">
        <f t="shared" ca="1" si="1691"/>
        <v>17882963.519183017</v>
      </c>
      <c r="T1743" s="2">
        <f t="shared" ca="1" si="1692"/>
        <v>50576052.208234198</v>
      </c>
      <c r="U1743" s="2">
        <f t="shared" ca="1" si="1693"/>
        <v>49927145.201924913</v>
      </c>
      <c r="V1743" s="2">
        <f t="shared" ca="1" si="1694"/>
        <v>49286563.881082408</v>
      </c>
      <c r="W1743" s="2">
        <f t="shared" ca="1" si="1695"/>
        <v>48654201.424486049</v>
      </c>
      <c r="X1743" s="2">
        <f t="shared" ca="1" si="1696"/>
        <v>48029952.3814658</v>
      </c>
      <c r="Y1743" s="2">
        <f t="shared" ca="1" si="1697"/>
        <v>0.12356814013638701</v>
      </c>
      <c r="Z1743" s="2">
        <f t="shared" ca="1" si="1698"/>
        <v>0.12499539619094181</v>
      </c>
      <c r="AA1743" s="2">
        <f t="shared" ca="1" si="1699"/>
        <v>6249588.7068123091</v>
      </c>
      <c r="AB1743" s="2">
        <f t="shared" ca="1" si="1700"/>
        <v>6240663.2951972838</v>
      </c>
      <c r="AC1743" s="2">
        <f t="shared" ca="1" si="1701"/>
        <v>6160593.5792060588</v>
      </c>
      <c r="AD1743" s="2">
        <f t="shared" ca="1" si="1702"/>
        <v>6081551.183407519</v>
      </c>
      <c r="AE1743" s="2">
        <f t="shared" ca="1" si="1703"/>
        <v>6003522.9269533865</v>
      </c>
      <c r="AF1743" s="2">
        <f t="shared" ca="1" si="1704"/>
        <v>1011521.044164684</v>
      </c>
      <c r="AG1743" s="2">
        <f t="shared" ca="1" si="1705"/>
        <v>998542.90403849829</v>
      </c>
      <c r="AH1743" s="2">
        <f t="shared" ca="1" si="1706"/>
        <v>985731.27762164816</v>
      </c>
      <c r="AI1743" s="2">
        <f t="shared" ca="1" si="1707"/>
        <v>973084.02848972101</v>
      </c>
      <c r="AJ1743" s="2">
        <f t="shared" ca="1" si="1708"/>
        <v>960599.04762931599</v>
      </c>
      <c r="AK1743" s="2">
        <f t="shared" ca="1" si="1709"/>
        <v>0</v>
      </c>
      <c r="AL1743" s="2">
        <f t="shared" ca="1" si="1710"/>
        <v>0</v>
      </c>
      <c r="AM1743" s="2">
        <f t="shared" ca="1" si="1711"/>
        <v>0</v>
      </c>
      <c r="AN1743" s="2">
        <f t="shared" ca="1" si="1712"/>
        <v>0</v>
      </c>
      <c r="AO1743" s="2">
        <f t="shared" ca="1" si="1713"/>
        <v>0</v>
      </c>
      <c r="AP1743" s="2">
        <f t="shared" ca="1" si="1714"/>
        <v>2414200.075089707</v>
      </c>
      <c r="AQ1743" s="2">
        <f t="shared" ca="1" si="1715"/>
        <v>734205.57276505884</v>
      </c>
      <c r="AR1743" s="2">
        <f t="shared" ca="1" si="1716"/>
        <v>735259.2821779605</v>
      </c>
      <c r="AS1743" s="2">
        <f t="shared" ca="1" si="1717"/>
        <v>717772.1788886229</v>
      </c>
      <c r="AT1743" s="2">
        <f t="shared" ca="1" si="1718"/>
        <v>700509.44075530372</v>
      </c>
      <c r="AU1743" s="2">
        <f t="shared" ca="1" si="1719"/>
        <v>683468.18910093443</v>
      </c>
      <c r="AV1743" s="2">
        <f t="shared" ca="1" si="1720"/>
        <v>2089662.0147928596</v>
      </c>
      <c r="AW1743" s="2">
        <f t="shared" ca="1" si="1721"/>
        <v>2092661.0338911181</v>
      </c>
      <c r="AX1743" s="2">
        <f t="shared" ca="1" si="1722"/>
        <v>2042890.0476060808</v>
      </c>
      <c r="AY1743" s="2">
        <f t="shared" ca="1" si="1723"/>
        <v>1993757.639072787</v>
      </c>
      <c r="AZ1743" s="2">
        <f t="shared" ca="1" si="1724"/>
        <v>1945255.6151334289</v>
      </c>
      <c r="BA1743" s="2">
        <f t="shared" ca="1" si="1725"/>
        <v>48741152.96448458</v>
      </c>
      <c r="BB1743" s="2">
        <f t="shared" ca="1" si="1726"/>
        <v>974823.05928969162</v>
      </c>
      <c r="BC1743" s="2">
        <f t="shared" ca="1" si="1727"/>
        <v>20941884.626420368</v>
      </c>
      <c r="BD1743" s="2">
        <f t="shared" ca="1" si="1728"/>
        <v>-19500648.739131957</v>
      </c>
      <c r="BE1743" s="2">
        <f t="shared" ca="1" si="1729"/>
        <v>2089662.0147928596</v>
      </c>
      <c r="BF1743" s="2">
        <f t="shared" ca="1" si="1730"/>
        <v>2092661.0338911181</v>
      </c>
      <c r="BG1743" s="2">
        <f t="shared" ca="1" si="1731"/>
        <v>2042890.0476060808</v>
      </c>
      <c r="BH1743" s="2">
        <f t="shared" ca="1" si="1732"/>
        <v>1993757.639072787</v>
      </c>
      <c r="BI1743" s="2">
        <f t="shared" ca="1" si="1733"/>
        <v>22887140.241553798</v>
      </c>
      <c r="BJ1743" s="2">
        <f t="shared" ca="1" si="1734"/>
        <v>0.11639149721136066</v>
      </c>
      <c r="BK1743" s="2">
        <f t="shared" ca="1" si="1735"/>
        <v>-258686.68747472763</v>
      </c>
    </row>
    <row r="1744" spans="1:63" x14ac:dyDescent="0.3">
      <c r="A1744" s="2">
        <v>1743</v>
      </c>
      <c r="B1744" s="2">
        <f t="shared" ca="1" si="1674"/>
        <v>0.39125376766928421</v>
      </c>
      <c r="C1744" s="2">
        <f t="shared" ca="1" si="1675"/>
        <v>6.8845945598626344</v>
      </c>
      <c r="D1744" s="2">
        <f t="shared" ca="1" si="1676"/>
        <v>0.47853554782691898</v>
      </c>
      <c r="E1744" s="2">
        <f t="shared" ca="1" si="1677"/>
        <v>7.4783001051077518</v>
      </c>
      <c r="F1744" s="2">
        <f t="shared" ca="1" si="1678"/>
        <v>0.75216654539492545</v>
      </c>
      <c r="G1744" s="2">
        <f t="shared" ca="1" si="1679"/>
        <v>6.0439700613589498E-2</v>
      </c>
      <c r="H1744" s="2">
        <f t="shared" ca="1" si="1680"/>
        <v>6.0439700613589498E-2</v>
      </c>
      <c r="I1744" s="2">
        <f t="shared" ca="1" si="1681"/>
        <v>0.44212022685032126</v>
      </c>
      <c r="J1744" s="2">
        <f t="shared" ca="1" si="1682"/>
        <v>9.272020809573487E-3</v>
      </c>
      <c r="K1744" s="2">
        <f t="shared" ca="1" si="1683"/>
        <v>9.272020809573487E-3</v>
      </c>
      <c r="L1744" s="2">
        <f t="shared" ca="1" si="1684"/>
        <v>0.29027444763367272</v>
      </c>
      <c r="M1744" s="2">
        <f t="shared" ca="1" si="1685"/>
        <v>-1.105166263310927E-2</v>
      </c>
      <c r="N1744" s="2">
        <f t="shared" ca="1" si="1686"/>
        <v>-1.105166263310927E-2</v>
      </c>
      <c r="O1744" s="2">
        <f t="shared" si="1687"/>
        <v>6000000</v>
      </c>
      <c r="P1744" s="2">
        <f t="shared" ca="1" si="1688"/>
        <v>41307567.359175809</v>
      </c>
      <c r="Q1744" s="2">
        <f t="shared" ca="1" si="1689"/>
        <v>1032689.1839793953</v>
      </c>
      <c r="R1744" s="2">
        <f t="shared" ca="1" si="1690"/>
        <v>24784540.415505484</v>
      </c>
      <c r="S1744" s="2">
        <f t="shared" ca="1" si="1691"/>
        <v>16523026.943670325</v>
      </c>
      <c r="T1744" s="2">
        <f t="shared" ca="1" si="1692"/>
        <v>49447416.868344538</v>
      </c>
      <c r="U1744" s="2">
        <f t="shared" ca="1" si="1693"/>
        <v>52436003.939982638</v>
      </c>
      <c r="V1744" s="2">
        <f t="shared" ca="1" si="1694"/>
        <v>55605220.31948819</v>
      </c>
      <c r="W1744" s="2">
        <f t="shared" ca="1" si="1695"/>
        <v>58965983.188150741</v>
      </c>
      <c r="X1744" s="2">
        <f t="shared" ca="1" si="1696"/>
        <v>62529869.558428526</v>
      </c>
      <c r="Y1744" s="2">
        <f t="shared" ca="1" si="1697"/>
        <v>0.12463601040478674</v>
      </c>
      <c r="Z1744" s="2">
        <f t="shared" ca="1" si="1698"/>
        <v>0.12649041456670143</v>
      </c>
      <c r="AA1744" s="2">
        <f t="shared" ca="1" si="1699"/>
        <v>6162928.7632928174</v>
      </c>
      <c r="AB1744" s="2">
        <f t="shared" ca="1" si="1700"/>
        <v>6632651.8765895935</v>
      </c>
      <c r="AC1744" s="2">
        <f t="shared" ca="1" si="1701"/>
        <v>7033527.3702848312</v>
      </c>
      <c r="AD1744" s="2">
        <f t="shared" ca="1" si="1702"/>
        <v>7458631.6588023342</v>
      </c>
      <c r="AE1744" s="2">
        <f t="shared" ca="1" si="1703"/>
        <v>7909429.1232473878</v>
      </c>
      <c r="AF1744" s="2">
        <f t="shared" ca="1" si="1704"/>
        <v>988948.33736689074</v>
      </c>
      <c r="AG1744" s="2">
        <f t="shared" ca="1" si="1705"/>
        <v>1048720.0787996529</v>
      </c>
      <c r="AH1744" s="2">
        <f t="shared" ca="1" si="1706"/>
        <v>1112104.4063897638</v>
      </c>
      <c r="AI1744" s="2">
        <f t="shared" ca="1" si="1707"/>
        <v>1179319.6637630148</v>
      </c>
      <c r="AJ1744" s="2">
        <f t="shared" ca="1" si="1708"/>
        <v>1250597.3911685706</v>
      </c>
      <c r="AK1744" s="2">
        <f t="shared" ca="1" si="1709"/>
        <v>0</v>
      </c>
      <c r="AL1744" s="2">
        <f t="shared" ca="1" si="1710"/>
        <v>29885.870716381</v>
      </c>
      <c r="AM1744" s="2">
        <f t="shared" ca="1" si="1711"/>
        <v>31692.163795055523</v>
      </c>
      <c r="AN1744" s="2">
        <f t="shared" ca="1" si="1712"/>
        <v>33607.62868662551</v>
      </c>
      <c r="AO1744" s="2">
        <f t="shared" ca="1" si="1713"/>
        <v>35638.863702777846</v>
      </c>
      <c r="AP1744" s="2">
        <f t="shared" ca="1" si="1714"/>
        <v>2230608.6373954937</v>
      </c>
      <c r="AQ1744" s="2">
        <f t="shared" ca="1" si="1715"/>
        <v>765276.66501791251</v>
      </c>
      <c r="AR1744" s="2">
        <f t="shared" ca="1" si="1716"/>
        <v>871864.02170255617</v>
      </c>
      <c r="AS1744" s="2">
        <f t="shared" ca="1" si="1717"/>
        <v>959611.72488988924</v>
      </c>
      <c r="AT1744" s="2">
        <f t="shared" ca="1" si="1718"/>
        <v>1052662.8729873947</v>
      </c>
      <c r="AU1744" s="2">
        <f t="shared" ca="1" si="1719"/>
        <v>1151338.004617664</v>
      </c>
      <c r="AV1744" s="2">
        <f t="shared" ca="1" si="1720"/>
        <v>2178095.1235125205</v>
      </c>
      <c r="AW1744" s="2">
        <f t="shared" ca="1" si="1721"/>
        <v>2451573.2679755101</v>
      </c>
      <c r="AX1744" s="2">
        <f t="shared" ca="1" si="1722"/>
        <v>2699510.4378146287</v>
      </c>
      <c r="AY1744" s="2">
        <f t="shared" ca="1" si="1723"/>
        <v>2962432.8559698053</v>
      </c>
      <c r="AZ1744" s="2">
        <f t="shared" ca="1" si="1724"/>
        <v>3241246.2263628813</v>
      </c>
      <c r="BA1744" s="2">
        <f t="shared" ca="1" si="1725"/>
        <v>59149084.643723257</v>
      </c>
      <c r="BB1744" s="2">
        <f t="shared" ca="1" si="1726"/>
        <v>1182981.6928744651</v>
      </c>
      <c r="BC1744" s="2">
        <f t="shared" ca="1" si="1727"/>
        <v>33181562.535343308</v>
      </c>
      <c r="BD1744" s="2">
        <f t="shared" ca="1" si="1728"/>
        <v>-18055716.127649721</v>
      </c>
      <c r="BE1744" s="2">
        <f t="shared" ca="1" si="1729"/>
        <v>2178095.1235125205</v>
      </c>
      <c r="BF1744" s="2">
        <f t="shared" ca="1" si="1730"/>
        <v>2451573.2679755101</v>
      </c>
      <c r="BG1744" s="2">
        <f t="shared" ca="1" si="1731"/>
        <v>2699510.4378146287</v>
      </c>
      <c r="BH1744" s="2">
        <f t="shared" ca="1" si="1732"/>
        <v>2962432.8559698053</v>
      </c>
      <c r="BI1744" s="2">
        <f t="shared" ca="1" si="1733"/>
        <v>36422808.761706188</v>
      </c>
      <c r="BJ1744" s="2">
        <f t="shared" ca="1" si="1734"/>
        <v>0.246398563989777</v>
      </c>
      <c r="BK1744" s="2">
        <f t="shared" ca="1" si="1735"/>
        <v>10314808.557325207</v>
      </c>
    </row>
    <row r="1745" spans="1:63" x14ac:dyDescent="0.3">
      <c r="A1745" s="2">
        <v>1744</v>
      </c>
      <c r="B1745" s="2">
        <f t="shared" ca="1" si="1674"/>
        <v>0.65773554984081106</v>
      </c>
      <c r="C1745" s="2">
        <f t="shared" ca="1" si="1675"/>
        <v>7.1726373828130869</v>
      </c>
      <c r="D1745" s="2">
        <f t="shared" ca="1" si="1676"/>
        <v>0.20305661069294356</v>
      </c>
      <c r="E1745" s="2">
        <f t="shared" ca="1" si="1677"/>
        <v>7.1372701321934731</v>
      </c>
      <c r="F1745" s="2">
        <f t="shared" ca="1" si="1678"/>
        <v>0.67202438987712765</v>
      </c>
      <c r="G1745" s="2">
        <f t="shared" ca="1" si="1679"/>
        <v>5.3365300601205902E-2</v>
      </c>
      <c r="H1745" s="2">
        <f t="shared" ca="1" si="1680"/>
        <v>5.3365300601205902E-2</v>
      </c>
      <c r="I1745" s="2">
        <f t="shared" ca="1" si="1681"/>
        <v>4.5696010441796497E-2</v>
      </c>
      <c r="J1745" s="2">
        <f t="shared" ca="1" si="1682"/>
        <v>1.5594996461342821E-3</v>
      </c>
      <c r="K1745" s="2">
        <f t="shared" ca="1" si="1683"/>
        <v>1.5594996461342821E-3</v>
      </c>
      <c r="L1745" s="2">
        <f t="shared" ca="1" si="1684"/>
        <v>0.26659082442359228</v>
      </c>
      <c r="M1745" s="2">
        <f t="shared" ca="1" si="1685"/>
        <v>-1.2463131076157638E-2</v>
      </c>
      <c r="N1745" s="2">
        <f t="shared" ca="1" si="1686"/>
        <v>-1.2463131076157638E-2</v>
      </c>
      <c r="O1745" s="2">
        <f t="shared" si="1687"/>
        <v>6000000</v>
      </c>
      <c r="P1745" s="2">
        <f t="shared" ca="1" si="1688"/>
        <v>43035824.296878524</v>
      </c>
      <c r="Q1745" s="2">
        <f t="shared" ca="1" si="1689"/>
        <v>1075895.6074219632</v>
      </c>
      <c r="R1745" s="2">
        <f t="shared" ca="1" si="1690"/>
        <v>25821494.578127112</v>
      </c>
      <c r="S1745" s="2">
        <f t="shared" ca="1" si="1691"/>
        <v>17214329.718751412</v>
      </c>
      <c r="T1745" s="2">
        <f t="shared" ca="1" si="1692"/>
        <v>49376843.446192123</v>
      </c>
      <c r="U1745" s="2">
        <f t="shared" ca="1" si="1693"/>
        <v>52011853.539436847</v>
      </c>
      <c r="V1745" s="2">
        <f t="shared" ca="1" si="1694"/>
        <v>54787481.738394782</v>
      </c>
      <c r="W1745" s="2">
        <f t="shared" ca="1" si="1695"/>
        <v>57711232.170547292</v>
      </c>
      <c r="X1745" s="2">
        <f t="shared" ca="1" si="1696"/>
        <v>60791009.423394524</v>
      </c>
      <c r="Y1745" s="2">
        <f t="shared" ca="1" si="1697"/>
        <v>0.12077974982306713</v>
      </c>
      <c r="Z1745" s="2">
        <f t="shared" ca="1" si="1698"/>
        <v>0.12109164975229399</v>
      </c>
      <c r="AA1745" s="2">
        <f t="shared" ca="1" si="1699"/>
        <v>5963722.7984838365</v>
      </c>
      <c r="AB1745" s="2">
        <f t="shared" ca="1" si="1700"/>
        <v>6298201.1517650988</v>
      </c>
      <c r="AC1745" s="2">
        <f t="shared" ca="1" si="1701"/>
        <v>6634306.5494759036</v>
      </c>
      <c r="AD1745" s="2">
        <f t="shared" ca="1" si="1702"/>
        <v>6988348.3127692332</v>
      </c>
      <c r="AE1745" s="2">
        <f t="shared" ca="1" si="1703"/>
        <v>7361283.6211860925</v>
      </c>
      <c r="AF1745" s="2">
        <f t="shared" ca="1" si="1704"/>
        <v>987536.86892384244</v>
      </c>
      <c r="AG1745" s="2">
        <f t="shared" ca="1" si="1705"/>
        <v>1040237.0707887369</v>
      </c>
      <c r="AH1745" s="2">
        <f t="shared" ca="1" si="1706"/>
        <v>1095749.6347678956</v>
      </c>
      <c r="AI1745" s="2">
        <f t="shared" ca="1" si="1707"/>
        <v>1154224.6434109458</v>
      </c>
      <c r="AJ1745" s="2">
        <f t="shared" ca="1" si="1708"/>
        <v>1215820.1884678905</v>
      </c>
      <c r="AK1745" s="2">
        <f t="shared" ca="1" si="1709"/>
        <v>0</v>
      </c>
      <c r="AL1745" s="2">
        <f t="shared" ca="1" si="1710"/>
        <v>26350.10093244724</v>
      </c>
      <c r="AM1745" s="2">
        <f t="shared" ca="1" si="1711"/>
        <v>27756.281989579351</v>
      </c>
      <c r="AN1745" s="2">
        <f t="shared" ca="1" si="1712"/>
        <v>29237.504321525099</v>
      </c>
      <c r="AO1745" s="2">
        <f t="shared" ca="1" si="1713"/>
        <v>30797.77252847232</v>
      </c>
      <c r="AP1745" s="2">
        <f t="shared" ca="1" si="1714"/>
        <v>2323934.5120314402</v>
      </c>
      <c r="AQ1745" s="2">
        <f t="shared" ca="1" si="1715"/>
        <v>689585.36855742417</v>
      </c>
      <c r="AR1745" s="2">
        <f t="shared" ca="1" si="1716"/>
        <v>762847.68792567961</v>
      </c>
      <c r="AS1745" s="2">
        <f t="shared" ca="1" si="1717"/>
        <v>835801.82469590765</v>
      </c>
      <c r="AT1745" s="2">
        <f t="shared" ca="1" si="1718"/>
        <v>912649.18090498017</v>
      </c>
      <c r="AU1745" s="2">
        <f t="shared" ca="1" si="1719"/>
        <v>993597.51937855827</v>
      </c>
      <c r="AV1745" s="2">
        <f t="shared" ca="1" si="1720"/>
        <v>1962666.04897113</v>
      </c>
      <c r="AW1745" s="2">
        <f t="shared" ca="1" si="1721"/>
        <v>2144831.7800867944</v>
      </c>
      <c r="AX1745" s="2">
        <f t="shared" ca="1" si="1722"/>
        <v>2351064.2959910813</v>
      </c>
      <c r="AY1745" s="2">
        <f t="shared" ca="1" si="1723"/>
        <v>2568302.4721003422</v>
      </c>
      <c r="AZ1745" s="2">
        <f t="shared" ca="1" si="1724"/>
        <v>2797133.6287797312</v>
      </c>
      <c r="BA1745" s="2">
        <f t="shared" ca="1" si="1725"/>
        <v>52539469.724096507</v>
      </c>
      <c r="BB1745" s="2">
        <f t="shared" ca="1" si="1726"/>
        <v>1050789.3944819302</v>
      </c>
      <c r="BC1745" s="2">
        <f t="shared" ca="1" si="1727"/>
        <v>25667185.751487464</v>
      </c>
      <c r="BD1745" s="2">
        <f t="shared" ca="1" si="1728"/>
        <v>-18790225.326173376</v>
      </c>
      <c r="BE1745" s="2">
        <f t="shared" ca="1" si="1729"/>
        <v>1962666.04897113</v>
      </c>
      <c r="BF1745" s="2">
        <f t="shared" ca="1" si="1730"/>
        <v>2144831.7800867944</v>
      </c>
      <c r="BG1745" s="2">
        <f t="shared" ca="1" si="1731"/>
        <v>2351064.2959910813</v>
      </c>
      <c r="BH1745" s="2">
        <f t="shared" ca="1" si="1732"/>
        <v>2568302.4721003422</v>
      </c>
      <c r="BI1745" s="2">
        <f t="shared" ca="1" si="1733"/>
        <v>28464319.380267195</v>
      </c>
      <c r="BJ1745" s="2">
        <f t="shared" ca="1" si="1734"/>
        <v>0.17408864978102834</v>
      </c>
      <c r="BK1745" s="2">
        <f t="shared" ca="1" si="1735"/>
        <v>4129064.8633281328</v>
      </c>
    </row>
    <row r="1746" spans="1:63" x14ac:dyDescent="0.3">
      <c r="A1746" s="2">
        <v>1745</v>
      </c>
      <c r="B1746" s="2">
        <f t="shared" ca="1" si="1674"/>
        <v>0.49966103982584698</v>
      </c>
      <c r="C1746" s="2">
        <f t="shared" ca="1" si="1675"/>
        <v>6.9996609823593667</v>
      </c>
      <c r="D1746" s="2">
        <f t="shared" ca="1" si="1676"/>
        <v>0.92442275250248562</v>
      </c>
      <c r="E1746" s="2">
        <f t="shared" ca="1" si="1677"/>
        <v>8.1112140756212625</v>
      </c>
      <c r="F1746" s="2">
        <f t="shared" ca="1" si="1678"/>
        <v>0.3635071582225099</v>
      </c>
      <c r="G1746" s="2">
        <f t="shared" ca="1" si="1679"/>
        <v>2.9527003191797442E-2</v>
      </c>
      <c r="H1746" s="2">
        <f t="shared" ca="1" si="1680"/>
        <v>2.9527003191797442E-2</v>
      </c>
      <c r="I1746" s="2">
        <f t="shared" ca="1" si="1681"/>
        <v>0.79203744980128232</v>
      </c>
      <c r="J1746" s="2">
        <f t="shared" ca="1" si="1682"/>
        <v>1.4067555364151201E-2</v>
      </c>
      <c r="K1746" s="2">
        <f t="shared" ca="1" si="1683"/>
        <v>1.4067555364151201E-2</v>
      </c>
      <c r="L1746" s="2">
        <f t="shared" ca="1" si="1684"/>
        <v>0.64758797476469065</v>
      </c>
      <c r="M1746" s="2">
        <f t="shared" ca="1" si="1685"/>
        <v>7.5763322429847901E-3</v>
      </c>
      <c r="N1746" s="2">
        <f t="shared" ca="1" si="1686"/>
        <v>7.5763322429847901E-3</v>
      </c>
      <c r="O1746" s="2">
        <f t="shared" si="1687"/>
        <v>6000000</v>
      </c>
      <c r="P1746" s="2">
        <f t="shared" ca="1" si="1688"/>
        <v>41997965.894156203</v>
      </c>
      <c r="Q1746" s="2">
        <f t="shared" ca="1" si="1689"/>
        <v>1049949.147353905</v>
      </c>
      <c r="R1746" s="2">
        <f t="shared" ca="1" si="1690"/>
        <v>25198779.536493722</v>
      </c>
      <c r="S1746" s="2">
        <f t="shared" ca="1" si="1691"/>
        <v>16799186.35766248</v>
      </c>
      <c r="T1746" s="2">
        <f t="shared" ca="1" si="1692"/>
        <v>50378816.612149239</v>
      </c>
      <c r="U1746" s="2">
        <f t="shared" ca="1" si="1693"/>
        <v>51866352.09105514</v>
      </c>
      <c r="V1746" s="2">
        <f t="shared" ca="1" si="1694"/>
        <v>53397810.034794614</v>
      </c>
      <c r="W1746" s="2">
        <f t="shared" ca="1" si="1695"/>
        <v>54974487.34212698</v>
      </c>
      <c r="X1746" s="2">
        <f t="shared" ca="1" si="1696"/>
        <v>56597719.205345385</v>
      </c>
      <c r="Y1746" s="2">
        <f t="shared" ca="1" si="1697"/>
        <v>0.1270337776820756</v>
      </c>
      <c r="Z1746" s="2">
        <f t="shared" ca="1" si="1698"/>
        <v>0.12984728875490584</v>
      </c>
      <c r="AA1746" s="2">
        <f t="shared" ca="1" si="1699"/>
        <v>6399811.3893938232</v>
      </c>
      <c r="AB1746" s="2">
        <f t="shared" ca="1" si="1700"/>
        <v>6734705.1966308514</v>
      </c>
      <c r="AC1746" s="2">
        <f t="shared" ca="1" si="1701"/>
        <v>6933560.8584675845</v>
      </c>
      <c r="AD1746" s="2">
        <f t="shared" ca="1" si="1702"/>
        <v>7138288.1320660776</v>
      </c>
      <c r="AE1746" s="2">
        <f t="shared" ca="1" si="1703"/>
        <v>7349060.3885255624</v>
      </c>
      <c r="AF1746" s="2">
        <f t="shared" ca="1" si="1704"/>
        <v>1007576.3322429848</v>
      </c>
      <c r="AG1746" s="2">
        <f t="shared" ca="1" si="1705"/>
        <v>1037327.0418211028</v>
      </c>
      <c r="AH1746" s="2">
        <f t="shared" ca="1" si="1706"/>
        <v>1067956.2006958923</v>
      </c>
      <c r="AI1746" s="2">
        <f t="shared" ca="1" si="1707"/>
        <v>1099489.7468425396</v>
      </c>
      <c r="AJ1746" s="2">
        <f t="shared" ca="1" si="1708"/>
        <v>1131954.3841069078</v>
      </c>
      <c r="AK1746" s="2">
        <f t="shared" ca="1" si="1709"/>
        <v>0</v>
      </c>
      <c r="AL1746" s="2">
        <f t="shared" ca="1" si="1710"/>
        <v>14875.354789059013</v>
      </c>
      <c r="AM1746" s="2">
        <f t="shared" ca="1" si="1711"/>
        <v>15314.579437394739</v>
      </c>
      <c r="AN1746" s="2">
        <f t="shared" ca="1" si="1712"/>
        <v>15766.773073323668</v>
      </c>
      <c r="AO1746" s="2">
        <f t="shared" ca="1" si="1713"/>
        <v>16232.318632184044</v>
      </c>
      <c r="AP1746" s="2">
        <f t="shared" ca="1" si="1714"/>
        <v>2267890.158284435</v>
      </c>
      <c r="AQ1746" s="2">
        <f t="shared" ca="1" si="1715"/>
        <v>812329.67370526504</v>
      </c>
      <c r="AR1746" s="2">
        <f t="shared" ca="1" si="1716"/>
        <v>891666.8790965816</v>
      </c>
      <c r="AS1746" s="2">
        <f t="shared" ca="1" si="1717"/>
        <v>935405.76986668678</v>
      </c>
      <c r="AT1746" s="2">
        <f t="shared" ca="1" si="1718"/>
        <v>980436.1390041667</v>
      </c>
      <c r="AU1746" s="2">
        <f t="shared" ca="1" si="1719"/>
        <v>1026796.119994897</v>
      </c>
      <c r="AV1746" s="2">
        <f t="shared" ca="1" si="1720"/>
        <v>2312015.2251611389</v>
      </c>
      <c r="AW1746" s="2">
        <f t="shared" ca="1" si="1721"/>
        <v>2522945.7626396734</v>
      </c>
      <c r="AX1746" s="2">
        <f t="shared" ca="1" si="1722"/>
        <v>2646994.1501831748</v>
      </c>
      <c r="AY1746" s="2">
        <f t="shared" ca="1" si="1723"/>
        <v>2774705.3148616124</v>
      </c>
      <c r="AZ1746" s="2">
        <f t="shared" ca="1" si="1724"/>
        <v>2906187.4075071383</v>
      </c>
      <c r="BA1746" s="2">
        <f t="shared" ca="1" si="1725"/>
        <v>59609802.065999202</v>
      </c>
      <c r="BB1746" s="2">
        <f t="shared" ca="1" si="1726"/>
        <v>1192196.041319984</v>
      </c>
      <c r="BC1746" s="2">
        <f t="shared" ca="1" si="1727"/>
        <v>33218826.488185491</v>
      </c>
      <c r="BD1746" s="2">
        <f t="shared" ca="1" si="1728"/>
        <v>-18349135.505016387</v>
      </c>
      <c r="BE1746" s="2">
        <f t="shared" ca="1" si="1729"/>
        <v>2312015.2251611389</v>
      </c>
      <c r="BF1746" s="2">
        <f t="shared" ca="1" si="1730"/>
        <v>2522945.7626396734</v>
      </c>
      <c r="BG1746" s="2">
        <f t="shared" ca="1" si="1731"/>
        <v>2646994.1501831748</v>
      </c>
      <c r="BH1746" s="2">
        <f t="shared" ca="1" si="1732"/>
        <v>2774705.3148616124</v>
      </c>
      <c r="BI1746" s="2">
        <f t="shared" ca="1" si="1733"/>
        <v>36125013.895692632</v>
      </c>
      <c r="BJ1746" s="2">
        <f t="shared" ca="1" si="1734"/>
        <v>0.2406682507092639</v>
      </c>
      <c r="BK1746" s="2">
        <f t="shared" ca="1" si="1735"/>
        <v>9872197.3081749603</v>
      </c>
    </row>
    <row r="1747" spans="1:63" x14ac:dyDescent="0.3">
      <c r="A1747" s="2">
        <v>1746</v>
      </c>
      <c r="B1747" s="2">
        <f t="shared" ca="1" si="1674"/>
        <v>0.69973273958740467</v>
      </c>
      <c r="C1747" s="2">
        <f t="shared" ca="1" si="1675"/>
        <v>7.2250583758597102</v>
      </c>
      <c r="D1747" s="2">
        <f t="shared" ca="1" si="1676"/>
        <v>8.705997126331011E-2</v>
      </c>
      <c r="E1747" s="2">
        <f t="shared" ca="1" si="1677"/>
        <v>6.9172768176242485</v>
      </c>
      <c r="F1747" s="2">
        <f t="shared" ca="1" si="1678"/>
        <v>0.20222882860454494</v>
      </c>
      <c r="G1747" s="2">
        <f t="shared" ca="1" si="1679"/>
        <v>1.4989404453582905E-2</v>
      </c>
      <c r="H1747" s="2">
        <f t="shared" ca="1" si="1680"/>
        <v>1.4989404453582905E-2</v>
      </c>
      <c r="I1747" s="2">
        <f t="shared" ca="1" si="1681"/>
        <v>0.22666971212084663</v>
      </c>
      <c r="J1747" s="2">
        <f t="shared" ca="1" si="1682"/>
        <v>6.2507032920070607E-3</v>
      </c>
      <c r="K1747" s="2">
        <f t="shared" ca="1" si="1683"/>
        <v>6.2507032920070607E-3</v>
      </c>
      <c r="L1747" s="2">
        <f t="shared" ca="1" si="1684"/>
        <v>0.59115041340819341</v>
      </c>
      <c r="M1747" s="2">
        <f t="shared" ca="1" si="1685"/>
        <v>4.6101052889373833E-3</v>
      </c>
      <c r="N1747" s="2">
        <f t="shared" ca="1" si="1686"/>
        <v>4.6101052889373833E-3</v>
      </c>
      <c r="O1747" s="2">
        <f t="shared" si="1687"/>
        <v>6000000</v>
      </c>
      <c r="P1747" s="2">
        <f t="shared" ca="1" si="1688"/>
        <v>43350350.25515826</v>
      </c>
      <c r="Q1747" s="2">
        <f t="shared" ca="1" si="1689"/>
        <v>1083758.7563789566</v>
      </c>
      <c r="R1747" s="2">
        <f t="shared" ca="1" si="1690"/>
        <v>26010210.153094955</v>
      </c>
      <c r="S1747" s="2">
        <f t="shared" ca="1" si="1691"/>
        <v>17340140.102063306</v>
      </c>
      <c r="T1747" s="2">
        <f t="shared" ca="1" si="1692"/>
        <v>50230505.264446869</v>
      </c>
      <c r="U1747" s="2">
        <f t="shared" ca="1" si="1693"/>
        <v>50983430.623763494</v>
      </c>
      <c r="V1747" s="2">
        <f t="shared" ca="1" si="1694"/>
        <v>51747641.885814272</v>
      </c>
      <c r="W1747" s="2">
        <f t="shared" ca="1" si="1695"/>
        <v>52523308.219559915</v>
      </c>
      <c r="X1747" s="2">
        <f t="shared" ca="1" si="1696"/>
        <v>53310601.3297031</v>
      </c>
      <c r="Y1747" s="2">
        <f t="shared" ca="1" si="1697"/>
        <v>0.12312535164600352</v>
      </c>
      <c r="Z1747" s="2">
        <f t="shared" ca="1" si="1698"/>
        <v>0.12437549230440494</v>
      </c>
      <c r="AA1747" s="2">
        <f t="shared" ca="1" si="1699"/>
        <v>6184648.6240414521</v>
      </c>
      <c r="AB1747" s="2">
        <f t="shared" ca="1" si="1700"/>
        <v>6341089.2831980595</v>
      </c>
      <c r="AC1747" s="2">
        <f t="shared" ca="1" si="1701"/>
        <v>6436138.4351401953</v>
      </c>
      <c r="AD1747" s="2">
        <f t="shared" ca="1" si="1702"/>
        <v>6532612.3172637625</v>
      </c>
      <c r="AE1747" s="2">
        <f t="shared" ca="1" si="1703"/>
        <v>6630532.2854256872</v>
      </c>
      <c r="AF1747" s="2">
        <f t="shared" ca="1" si="1704"/>
        <v>1004610.1052889375</v>
      </c>
      <c r="AG1747" s="2">
        <f t="shared" ca="1" si="1705"/>
        <v>1019668.6124752699</v>
      </c>
      <c r="AH1747" s="2">
        <f t="shared" ca="1" si="1706"/>
        <v>1034952.8377162855</v>
      </c>
      <c r="AI1747" s="2">
        <f t="shared" ca="1" si="1707"/>
        <v>1050466.1643911984</v>
      </c>
      <c r="AJ1747" s="2">
        <f t="shared" ca="1" si="1708"/>
        <v>1066212.0265940621</v>
      </c>
      <c r="AK1747" s="2">
        <f t="shared" ca="1" si="1709"/>
        <v>0</v>
      </c>
      <c r="AL1747" s="2">
        <f t="shared" ca="1" si="1710"/>
        <v>7529.2535931662469</v>
      </c>
      <c r="AM1747" s="2">
        <f t="shared" ca="1" si="1711"/>
        <v>7642.1126205077771</v>
      </c>
      <c r="AN1747" s="2">
        <f t="shared" ca="1" si="1712"/>
        <v>7756.6633374564353</v>
      </c>
      <c r="AO1747" s="2">
        <f t="shared" ca="1" si="1713"/>
        <v>7872.9311014318464</v>
      </c>
      <c r="AP1747" s="2">
        <f t="shared" ca="1" si="1714"/>
        <v>2340918.9137785458</v>
      </c>
      <c r="AQ1747" s="2">
        <f t="shared" ca="1" si="1715"/>
        <v>738171.09729323187</v>
      </c>
      <c r="AR1747" s="2">
        <f t="shared" ca="1" si="1716"/>
        <v>774930.45680550358</v>
      </c>
      <c r="AS1747" s="2">
        <f t="shared" ca="1" si="1717"/>
        <v>795669.33774779481</v>
      </c>
      <c r="AT1747" s="2">
        <f t="shared" ca="1" si="1718"/>
        <v>816719.08216444484</v>
      </c>
      <c r="AU1747" s="2">
        <f t="shared" ca="1" si="1719"/>
        <v>838084.34971380059</v>
      </c>
      <c r="AV1747" s="2">
        <f t="shared" ca="1" si="1720"/>
        <v>2100948.5076807369</v>
      </c>
      <c r="AW1747" s="2">
        <f t="shared" ca="1" si="1721"/>
        <v>2198042.046545574</v>
      </c>
      <c r="AX1747" s="2">
        <f t="shared" ca="1" si="1722"/>
        <v>2256955.2332770624</v>
      </c>
      <c r="AY1747" s="2">
        <f t="shared" ca="1" si="1723"/>
        <v>2316751.4935921174</v>
      </c>
      <c r="AZ1747" s="2">
        <f t="shared" ca="1" si="1724"/>
        <v>2377444.0642378465</v>
      </c>
      <c r="BA1747" s="2">
        <f t="shared" ca="1" si="1725"/>
        <v>45865227.266484231</v>
      </c>
      <c r="BB1747" s="2">
        <f t="shared" ca="1" si="1726"/>
        <v>917304.54532968462</v>
      </c>
      <c r="BC1747" s="2">
        <f t="shared" ca="1" si="1727"/>
        <v>18937712.56805959</v>
      </c>
      <c r="BD1747" s="2">
        <f t="shared" ca="1" si="1728"/>
        <v>-18923898.858442262</v>
      </c>
      <c r="BE1747" s="2">
        <f t="shared" ca="1" si="1729"/>
        <v>2100948.5076807369</v>
      </c>
      <c r="BF1747" s="2">
        <f t="shared" ca="1" si="1730"/>
        <v>2198042.046545574</v>
      </c>
      <c r="BG1747" s="2">
        <f t="shared" ca="1" si="1731"/>
        <v>2256955.2332770624</v>
      </c>
      <c r="BH1747" s="2">
        <f t="shared" ca="1" si="1732"/>
        <v>2316751.4935921174</v>
      </c>
      <c r="BI1747" s="2">
        <f t="shared" ca="1" si="1733"/>
        <v>21315156.632297438</v>
      </c>
      <c r="BJ1747" s="2">
        <f t="shared" ca="1" si="1734"/>
        <v>0.11822028845816446</v>
      </c>
      <c r="BK1747" s="2">
        <f t="shared" ca="1" si="1735"/>
        <v>-122200.39486972988</v>
      </c>
    </row>
    <row r="1748" spans="1:63" x14ac:dyDescent="0.3">
      <c r="A1748" s="2">
        <v>1747</v>
      </c>
      <c r="B1748" s="2">
        <f t="shared" ca="1" si="1674"/>
        <v>0.6696795307913046</v>
      </c>
      <c r="C1748" s="2">
        <f t="shared" ca="1" si="1675"/>
        <v>7.1872017849322063</v>
      </c>
      <c r="D1748" s="2">
        <f t="shared" ca="1" si="1676"/>
        <v>0.73215619801618836</v>
      </c>
      <c r="E1748" s="2">
        <f t="shared" ca="1" si="1677"/>
        <v>7.7680931726185198</v>
      </c>
      <c r="F1748" s="2">
        <f t="shared" ca="1" si="1678"/>
        <v>0.36405824186648816</v>
      </c>
      <c r="G1748" s="2">
        <f t="shared" ca="1" si="1679"/>
        <v>2.9571036517651549E-2</v>
      </c>
      <c r="H1748" s="2">
        <f t="shared" ca="1" si="1680"/>
        <v>2.9571036517651549E-2</v>
      </c>
      <c r="I1748" s="2">
        <f t="shared" ca="1" si="1681"/>
        <v>0.93514243414130993</v>
      </c>
      <c r="J1748" s="2">
        <f t="shared" ca="1" si="1682"/>
        <v>1.7576130971102267E-2</v>
      </c>
      <c r="K1748" s="2">
        <f t="shared" ca="1" si="1683"/>
        <v>1.7576130971102267E-2</v>
      </c>
      <c r="L1748" s="2">
        <f t="shared" ca="1" si="1684"/>
        <v>0.2133999922563391</v>
      </c>
      <c r="M1748" s="2">
        <f t="shared" ca="1" si="1685"/>
        <v>-1.5893589161316876E-2</v>
      </c>
      <c r="N1748" s="2">
        <f t="shared" ca="1" si="1686"/>
        <v>-1.5893589161316876E-2</v>
      </c>
      <c r="O1748" s="2">
        <f t="shared" si="1687"/>
        <v>6000000</v>
      </c>
      <c r="P1748" s="2">
        <f t="shared" ca="1" si="1688"/>
        <v>43123210.709593236</v>
      </c>
      <c r="Q1748" s="2">
        <f t="shared" ca="1" si="1689"/>
        <v>1078080.267739831</v>
      </c>
      <c r="R1748" s="2">
        <f t="shared" ca="1" si="1690"/>
        <v>25873926.42575594</v>
      </c>
      <c r="S1748" s="2">
        <f t="shared" ca="1" si="1691"/>
        <v>17249284.283837296</v>
      </c>
      <c r="T1748" s="2">
        <f t="shared" ca="1" si="1692"/>
        <v>49205320.541934155</v>
      </c>
      <c r="U1748" s="2">
        <f t="shared" ca="1" si="1693"/>
        <v>50660372.872542441</v>
      </c>
      <c r="V1748" s="2">
        <f t="shared" ca="1" si="1694"/>
        <v>52158452.60875424</v>
      </c>
      <c r="W1748" s="2">
        <f t="shared" ca="1" si="1695"/>
        <v>53700832.115551911</v>
      </c>
      <c r="X1748" s="2">
        <f t="shared" ca="1" si="1696"/>
        <v>55288821.383069173</v>
      </c>
      <c r="Y1748" s="2">
        <f t="shared" ca="1" si="1697"/>
        <v>0.12878806548555113</v>
      </c>
      <c r="Z1748" s="2">
        <f t="shared" ca="1" si="1698"/>
        <v>0.13230329167977159</v>
      </c>
      <c r="AA1748" s="2">
        <f t="shared" ca="1" si="1699"/>
        <v>6337058.0441921502</v>
      </c>
      <c r="AB1748" s="2">
        <f t="shared" ca="1" si="1700"/>
        <v>6702534.0887619704</v>
      </c>
      <c r="AC1748" s="2">
        <f t="shared" ca="1" si="1701"/>
        <v>6900734.9690615553</v>
      </c>
      <c r="AD1748" s="2">
        <f t="shared" ca="1" si="1702"/>
        <v>7104796.8548303097</v>
      </c>
      <c r="AE1748" s="2">
        <f t="shared" ca="1" si="1703"/>
        <v>7314893.0620749928</v>
      </c>
      <c r="AF1748" s="2">
        <f t="shared" ca="1" si="1704"/>
        <v>984106.41083868314</v>
      </c>
      <c r="AG1748" s="2">
        <f t="shared" ca="1" si="1705"/>
        <v>1013207.4574508489</v>
      </c>
      <c r="AH1748" s="2">
        <f t="shared" ca="1" si="1706"/>
        <v>1043169.0521750848</v>
      </c>
      <c r="AI1748" s="2">
        <f t="shared" ca="1" si="1707"/>
        <v>1074016.6423110382</v>
      </c>
      <c r="AJ1748" s="2">
        <f t="shared" ca="1" si="1708"/>
        <v>1105776.4276613835</v>
      </c>
      <c r="AK1748" s="2">
        <f t="shared" ca="1" si="1709"/>
        <v>0</v>
      </c>
      <c r="AL1748" s="2">
        <f t="shared" ca="1" si="1710"/>
        <v>14550.52330608286</v>
      </c>
      <c r="AM1748" s="2">
        <f t="shared" ca="1" si="1711"/>
        <v>14980.797362117992</v>
      </c>
      <c r="AN1748" s="2">
        <f t="shared" ca="1" si="1712"/>
        <v>15423.795067976713</v>
      </c>
      <c r="AO1748" s="2">
        <f t="shared" ca="1" si="1713"/>
        <v>15879.892675172612</v>
      </c>
      <c r="AP1748" s="2">
        <f t="shared" ca="1" si="1714"/>
        <v>2328653.3783180346</v>
      </c>
      <c r="AQ1748" s="2">
        <f t="shared" ca="1" si="1715"/>
        <v>786317.54630921246</v>
      </c>
      <c r="AR1748" s="2">
        <f t="shared" ca="1" si="1716"/>
        <v>873775.04577820259</v>
      </c>
      <c r="AS1748" s="2">
        <f t="shared" ca="1" si="1717"/>
        <v>917517.26002779335</v>
      </c>
      <c r="AT1748" s="2">
        <f t="shared" ca="1" si="1718"/>
        <v>962552.9768923216</v>
      </c>
      <c r="AU1748" s="2">
        <f t="shared" ca="1" si="1719"/>
        <v>1008920.4465848495</v>
      </c>
      <c r="AV1748" s="2">
        <f t="shared" ca="1" si="1720"/>
        <v>2237980.7087262203</v>
      </c>
      <c r="AW1748" s="2">
        <f t="shared" ca="1" si="1721"/>
        <v>2472347.6839088011</v>
      </c>
      <c r="AX1748" s="2">
        <f t="shared" ca="1" si="1722"/>
        <v>2596414.4811785244</v>
      </c>
      <c r="AY1748" s="2">
        <f t="shared" ca="1" si="1723"/>
        <v>2724150.0622409382</v>
      </c>
      <c r="AZ1748" s="2">
        <f t="shared" ca="1" si="1724"/>
        <v>2855662.9168355525</v>
      </c>
      <c r="BA1748" s="2">
        <f t="shared" ca="1" si="1725"/>
        <v>56822770.853939332</v>
      </c>
      <c r="BB1748" s="2">
        <f t="shared" ca="1" si="1726"/>
        <v>1136455.4170787868</v>
      </c>
      <c r="BC1748" s="2">
        <f t="shared" ca="1" si="1727"/>
        <v>29812389.011104606</v>
      </c>
      <c r="BD1748" s="2">
        <f t="shared" ca="1" si="1728"/>
        <v>-18827364.551577128</v>
      </c>
      <c r="BE1748" s="2">
        <f t="shared" ca="1" si="1729"/>
        <v>2237980.7087262203</v>
      </c>
      <c r="BF1748" s="2">
        <f t="shared" ca="1" si="1730"/>
        <v>2472347.6839088011</v>
      </c>
      <c r="BG1748" s="2">
        <f t="shared" ca="1" si="1731"/>
        <v>2596414.4811785244</v>
      </c>
      <c r="BH1748" s="2">
        <f t="shared" ca="1" si="1732"/>
        <v>2724150.0622409382</v>
      </c>
      <c r="BI1748" s="2">
        <f t="shared" ca="1" si="1733"/>
        <v>32668051.92794016</v>
      </c>
      <c r="BJ1748" s="2">
        <f t="shared" ca="1" si="1734"/>
        <v>0.21065903629094374</v>
      </c>
      <c r="BK1748" s="2">
        <f t="shared" ca="1" si="1735"/>
        <v>7257826.0901794545</v>
      </c>
    </row>
    <row r="1749" spans="1:63" x14ac:dyDescent="0.3">
      <c r="A1749" s="2">
        <v>1748</v>
      </c>
      <c r="B1749" s="2">
        <f t="shared" ca="1" si="1674"/>
        <v>7.1989773849534533E-4</v>
      </c>
      <c r="C1749" s="2">
        <f t="shared" ca="1" si="1675"/>
        <v>6.0379446369990637</v>
      </c>
      <c r="D1749" s="2">
        <f t="shared" ca="1" si="1676"/>
        <v>0.36737662257153514</v>
      </c>
      <c r="E1749" s="2">
        <f t="shared" ca="1" si="1677"/>
        <v>7.3571774875386486</v>
      </c>
      <c r="F1749" s="2">
        <f t="shared" ca="1" si="1678"/>
        <v>0.1869041531420661</v>
      </c>
      <c r="G1749" s="2">
        <f t="shared" ca="1" si="1679"/>
        <v>1.3319125805120971E-2</v>
      </c>
      <c r="H1749" s="2">
        <f t="shared" ca="1" si="1680"/>
        <v>1.3319125805120971E-2</v>
      </c>
      <c r="I1749" s="2">
        <f t="shared" ca="1" si="1681"/>
        <v>0.94404913435238691</v>
      </c>
      <c r="J1749" s="2">
        <f t="shared" ca="1" si="1682"/>
        <v>1.7948515794868912E-2</v>
      </c>
      <c r="K1749" s="2">
        <f t="shared" ca="1" si="1683"/>
        <v>1.7948515794868912E-2</v>
      </c>
      <c r="L1749" s="2">
        <f t="shared" ca="1" si="1684"/>
        <v>0.68056681672116526</v>
      </c>
      <c r="M1749" s="2">
        <f t="shared" ca="1" si="1685"/>
        <v>9.3856879394310765E-3</v>
      </c>
      <c r="N1749" s="2">
        <f t="shared" ca="1" si="1686"/>
        <v>9.3856879394310765E-3</v>
      </c>
      <c r="O1749" s="2">
        <f t="shared" si="1687"/>
        <v>6000000</v>
      </c>
      <c r="P1749" s="2">
        <f t="shared" ca="1" si="1688"/>
        <v>36227667.821994379</v>
      </c>
      <c r="Q1749" s="2">
        <f t="shared" ca="1" si="1689"/>
        <v>905691.69554985955</v>
      </c>
      <c r="R1749" s="2">
        <f t="shared" ca="1" si="1690"/>
        <v>21736600.693196628</v>
      </c>
      <c r="S1749" s="2">
        <f t="shared" ca="1" si="1691"/>
        <v>14491067.128797753</v>
      </c>
      <c r="T1749" s="2">
        <f t="shared" ca="1" si="1692"/>
        <v>50469284.396971561</v>
      </c>
      <c r="U1749" s="2">
        <f t="shared" ca="1" si="1693"/>
        <v>51141491.145149261</v>
      </c>
      <c r="V1749" s="2">
        <f t="shared" ca="1" si="1694"/>
        <v>51822651.099572986</v>
      </c>
      <c r="W1749" s="2">
        <f t="shared" ca="1" si="1695"/>
        <v>52512883.509123094</v>
      </c>
      <c r="X1749" s="2">
        <f t="shared" ca="1" si="1696"/>
        <v>53212309.210970774</v>
      </c>
      <c r="Y1749" s="2">
        <f t="shared" ca="1" si="1697"/>
        <v>0.12897425789743444</v>
      </c>
      <c r="Z1749" s="2">
        <f t="shared" ca="1" si="1698"/>
        <v>0.13256396105640822</v>
      </c>
      <c r="AA1749" s="2">
        <f t="shared" ca="1" si="1699"/>
        <v>6509238.5017139744</v>
      </c>
      <c r="AB1749" s="2">
        <f t="shared" ca="1" si="1700"/>
        <v>6779518.6405322123</v>
      </c>
      <c r="AC1749" s="2">
        <f t="shared" ca="1" si="1701"/>
        <v>6869815.9022036241</v>
      </c>
      <c r="AD1749" s="2">
        <f t="shared" ca="1" si="1702"/>
        <v>6961315.8444630951</v>
      </c>
      <c r="AE1749" s="2">
        <f t="shared" ca="1" si="1703"/>
        <v>7054034.485964682</v>
      </c>
      <c r="AF1749" s="2">
        <f t="shared" ca="1" si="1704"/>
        <v>1009385.6879394313</v>
      </c>
      <c r="AG1749" s="2">
        <f t="shared" ca="1" si="1705"/>
        <v>1022829.8229029853</v>
      </c>
      <c r="AH1749" s="2">
        <f t="shared" ca="1" si="1706"/>
        <v>1036453.0219914598</v>
      </c>
      <c r="AI1749" s="2">
        <f t="shared" ca="1" si="1707"/>
        <v>1050257.6701824619</v>
      </c>
      <c r="AJ1749" s="2">
        <f t="shared" ca="1" si="1708"/>
        <v>1064246.1842194155</v>
      </c>
      <c r="AK1749" s="2">
        <f t="shared" ca="1" si="1709"/>
        <v>0</v>
      </c>
      <c r="AL1749" s="2">
        <f t="shared" ca="1" si="1710"/>
        <v>6722.0674817769977</v>
      </c>
      <c r="AM1749" s="2">
        <f t="shared" ca="1" si="1711"/>
        <v>6811.5995442372559</v>
      </c>
      <c r="AN1749" s="2">
        <f t="shared" ca="1" si="1712"/>
        <v>6902.3240955010806</v>
      </c>
      <c r="AO1749" s="2">
        <f t="shared" ca="1" si="1713"/>
        <v>6994.2570184767992</v>
      </c>
      <c r="AP1749" s="2">
        <f t="shared" ca="1" si="1714"/>
        <v>1956294.0623876965</v>
      </c>
      <c r="AQ1749" s="2">
        <f t="shared" ca="1" si="1715"/>
        <v>921325.27536058007</v>
      </c>
      <c r="AR1749" s="2">
        <f t="shared" ca="1" si="1716"/>
        <v>988102.63636279805</v>
      </c>
      <c r="AS1749" s="2">
        <f t="shared" ca="1" si="1717"/>
        <v>1008037.8926343617</v>
      </c>
      <c r="AT1749" s="2">
        <f t="shared" ca="1" si="1718"/>
        <v>1028238.6690921636</v>
      </c>
      <c r="AU1749" s="2">
        <f t="shared" ca="1" si="1719"/>
        <v>1048708.5022329683</v>
      </c>
      <c r="AV1749" s="2">
        <f t="shared" ca="1" si="1720"/>
        <v>2622233.4760262659</v>
      </c>
      <c r="AW1749" s="2">
        <f t="shared" ca="1" si="1721"/>
        <v>2805570.0513969557</v>
      </c>
      <c r="AX1749" s="2">
        <f t="shared" ca="1" si="1722"/>
        <v>2862219.3256458687</v>
      </c>
      <c r="AY1749" s="2">
        <f t="shared" ca="1" si="1723"/>
        <v>2919623.1187052727</v>
      </c>
      <c r="AZ1749" s="2">
        <f t="shared" ca="1" si="1724"/>
        <v>2977791.4801061256</v>
      </c>
      <c r="BA1749" s="2">
        <f t="shared" ca="1" si="1725"/>
        <v>51897783.716460623</v>
      </c>
      <c r="BB1749" s="2">
        <f t="shared" ca="1" si="1726"/>
        <v>1037955.6743292125</v>
      </c>
      <c r="BC1749" s="2">
        <f t="shared" ca="1" si="1727"/>
        <v>29123227.348934781</v>
      </c>
      <c r="BD1749" s="2">
        <f t="shared" ca="1" si="1728"/>
        <v>-15896758.824347612</v>
      </c>
      <c r="BE1749" s="2">
        <f t="shared" ca="1" si="1729"/>
        <v>2622233.4760262659</v>
      </c>
      <c r="BF1749" s="2">
        <f t="shared" ca="1" si="1730"/>
        <v>2805570.0513969557</v>
      </c>
      <c r="BG1749" s="2">
        <f t="shared" ca="1" si="1731"/>
        <v>2862219.3256458687</v>
      </c>
      <c r="BH1749" s="2">
        <f t="shared" ca="1" si="1732"/>
        <v>2919623.1187052727</v>
      </c>
      <c r="BI1749" s="2">
        <f t="shared" ca="1" si="1733"/>
        <v>32101018.829040907</v>
      </c>
      <c r="BJ1749" s="2">
        <f t="shared" ca="1" si="1734"/>
        <v>0.2729169384501593</v>
      </c>
      <c r="BK1749" s="2">
        <f t="shared" ca="1" si="1735"/>
        <v>10788828.967472382</v>
      </c>
    </row>
    <row r="1750" spans="1:63" x14ac:dyDescent="0.3">
      <c r="A1750" s="2">
        <v>1749</v>
      </c>
      <c r="B1750" s="2">
        <f t="shared" ca="1" si="1674"/>
        <v>0.87027118669129055</v>
      </c>
      <c r="C1750" s="2">
        <f t="shared" ca="1" si="1675"/>
        <v>7.490630167150214</v>
      </c>
      <c r="D1750" s="2">
        <f t="shared" ca="1" si="1676"/>
        <v>0.39512803572396615</v>
      </c>
      <c r="E1750" s="2">
        <f t="shared" ca="1" si="1677"/>
        <v>7.3889634815041241</v>
      </c>
      <c r="F1750" s="2">
        <f t="shared" ca="1" si="1678"/>
        <v>0.52109004348089316</v>
      </c>
      <c r="G1750" s="2">
        <f t="shared" ca="1" si="1679"/>
        <v>4.1586686409537825E-2</v>
      </c>
      <c r="H1750" s="2">
        <f t="shared" ca="1" si="1680"/>
        <v>4.1586686409537825E-2</v>
      </c>
      <c r="I1750" s="2">
        <f t="shared" ca="1" si="1681"/>
        <v>5.2643775991581099E-2</v>
      </c>
      <c r="J1750" s="2">
        <f t="shared" ca="1" si="1682"/>
        <v>1.9012863229000594E-3</v>
      </c>
      <c r="K1750" s="2">
        <f t="shared" ca="1" si="1683"/>
        <v>1.9012863229000594E-3</v>
      </c>
      <c r="L1750" s="2">
        <f t="shared" ca="1" si="1684"/>
        <v>0.84664303535046448</v>
      </c>
      <c r="M1750" s="2">
        <f t="shared" ca="1" si="1685"/>
        <v>2.0442830190435187E-2</v>
      </c>
      <c r="N1750" s="2">
        <f t="shared" ca="1" si="1686"/>
        <v>2.0442830190435187E-2</v>
      </c>
      <c r="O1750" s="2">
        <f t="shared" si="1687"/>
        <v>6000000</v>
      </c>
      <c r="P1750" s="2">
        <f t="shared" ca="1" si="1688"/>
        <v>44943781.002901286</v>
      </c>
      <c r="Q1750" s="2">
        <f t="shared" ca="1" si="1689"/>
        <v>1123594.5250725322</v>
      </c>
      <c r="R1750" s="2">
        <f t="shared" ca="1" si="1690"/>
        <v>26966268.60174077</v>
      </c>
      <c r="S1750" s="2">
        <f t="shared" ca="1" si="1691"/>
        <v>17977512.401160516</v>
      </c>
      <c r="T1750" s="2">
        <f t="shared" ca="1" si="1692"/>
        <v>51022141.50952176</v>
      </c>
      <c r="U1750" s="2">
        <f t="shared" ca="1" si="1693"/>
        <v>53143983.308421299</v>
      </c>
      <c r="V1750" s="2">
        <f t="shared" ca="1" si="1694"/>
        <v>55354065.476822324</v>
      </c>
      <c r="W1750" s="2">
        <f t="shared" ca="1" si="1695"/>
        <v>57656057.639299959</v>
      </c>
      <c r="X1750" s="2">
        <f t="shared" ca="1" si="1696"/>
        <v>60053782.027955763</v>
      </c>
      <c r="Y1750" s="2">
        <f t="shared" ca="1" si="1697"/>
        <v>0.12095064316145003</v>
      </c>
      <c r="Z1750" s="2">
        <f t="shared" ca="1" si="1698"/>
        <v>0.12133090042603004</v>
      </c>
      <c r="AA1750" s="2">
        <f t="shared" ca="1" si="1699"/>
        <v>6171160.8310511736</v>
      </c>
      <c r="AB1750" s="2">
        <f t="shared" ca="1" si="1700"/>
        <v>6448007.3470366672</v>
      </c>
      <c r="AC1750" s="2">
        <f t="shared" ca="1" si="1701"/>
        <v>6716158.6065442767</v>
      </c>
      <c r="AD1750" s="2">
        <f t="shared" ca="1" si="1702"/>
        <v>6995461.3883913513</v>
      </c>
      <c r="AE1750" s="2">
        <f t="shared" ca="1" si="1703"/>
        <v>7286379.4474404128</v>
      </c>
      <c r="AF1750" s="2">
        <f t="shared" ca="1" si="1704"/>
        <v>1020442.8301904352</v>
      </c>
      <c r="AG1750" s="2">
        <f t="shared" ca="1" si="1705"/>
        <v>1062879.6661684259</v>
      </c>
      <c r="AH1750" s="2">
        <f t="shared" ca="1" si="1706"/>
        <v>1107081.3095364466</v>
      </c>
      <c r="AI1750" s="2">
        <f t="shared" ca="1" si="1707"/>
        <v>1153121.1527859992</v>
      </c>
      <c r="AJ1750" s="2">
        <f t="shared" ca="1" si="1708"/>
        <v>1201075.6405591152</v>
      </c>
      <c r="AK1750" s="2">
        <f t="shared" ca="1" si="1709"/>
        <v>0</v>
      </c>
      <c r="AL1750" s="2">
        <f t="shared" ca="1" si="1710"/>
        <v>21218.417988995388</v>
      </c>
      <c r="AM1750" s="2">
        <f t="shared" ca="1" si="1711"/>
        <v>22100.821684010254</v>
      </c>
      <c r="AN1750" s="2">
        <f t="shared" ca="1" si="1712"/>
        <v>23019.921624776351</v>
      </c>
      <c r="AO1750" s="2">
        <f t="shared" ca="1" si="1713"/>
        <v>23977.243886558041</v>
      </c>
      <c r="AP1750" s="2">
        <f t="shared" ca="1" si="1714"/>
        <v>2426964.1741566691</v>
      </c>
      <c r="AQ1750" s="2">
        <f t="shared" ca="1" si="1715"/>
        <v>708175.99494305812</v>
      </c>
      <c r="AR1750" s="2">
        <f t="shared" ca="1" si="1716"/>
        <v>769122.51174500876</v>
      </c>
      <c r="AS1750" s="2">
        <f t="shared" ca="1" si="1717"/>
        <v>827349.41194130189</v>
      </c>
      <c r="AT1750" s="2">
        <f t="shared" ca="1" si="1718"/>
        <v>887997.77597665752</v>
      </c>
      <c r="AU1750" s="2">
        <f t="shared" ca="1" si="1719"/>
        <v>951168.30450840341</v>
      </c>
      <c r="AV1750" s="2">
        <f t="shared" ca="1" si="1720"/>
        <v>2015577.8317610114</v>
      </c>
      <c r="AW1750" s="2">
        <f t="shared" ca="1" si="1721"/>
        <v>2167822.5769775682</v>
      </c>
      <c r="AX1750" s="2">
        <f t="shared" ca="1" si="1722"/>
        <v>2332662.8892258485</v>
      </c>
      <c r="AY1750" s="2">
        <f t="shared" ca="1" si="1723"/>
        <v>2504358.3638472487</v>
      </c>
      <c r="AZ1750" s="2">
        <f t="shared" ca="1" si="1724"/>
        <v>2683194.084329667</v>
      </c>
      <c r="BA1750" s="2">
        <f t="shared" ca="1" si="1725"/>
        <v>53838791.649519406</v>
      </c>
      <c r="BB1750" s="2">
        <f t="shared" ca="1" si="1726"/>
        <v>1076775.8329903882</v>
      </c>
      <c r="BC1750" s="2">
        <f t="shared" ca="1" si="1727"/>
        <v>25795747.214788247</v>
      </c>
      <c r="BD1750" s="2">
        <f t="shared" ca="1" si="1728"/>
        <v>-19601106.926233049</v>
      </c>
      <c r="BE1750" s="2">
        <f t="shared" ca="1" si="1729"/>
        <v>2015577.8317610114</v>
      </c>
      <c r="BF1750" s="2">
        <f t="shared" ca="1" si="1730"/>
        <v>2167822.5769775682</v>
      </c>
      <c r="BG1750" s="2">
        <f t="shared" ca="1" si="1731"/>
        <v>2332662.8892258485</v>
      </c>
      <c r="BH1750" s="2">
        <f t="shared" ca="1" si="1732"/>
        <v>2504358.3638472487</v>
      </c>
      <c r="BI1750" s="2">
        <f t="shared" ca="1" si="1733"/>
        <v>28478941.299117915</v>
      </c>
      <c r="BJ1750" s="2">
        <f t="shared" ca="1" si="1734"/>
        <v>0.16259878584006038</v>
      </c>
      <c r="BK1750" s="2">
        <f t="shared" ca="1" si="1735"/>
        <v>3338315.5237633027</v>
      </c>
    </row>
    <row r="1751" spans="1:63" x14ac:dyDescent="0.3">
      <c r="A1751" s="2">
        <v>1750</v>
      </c>
      <c r="B1751" s="2">
        <f t="shared" ca="1" si="1674"/>
        <v>0.93016951576837648</v>
      </c>
      <c r="C1751" s="2">
        <f t="shared" ca="1" si="1675"/>
        <v>7.6262875858855539</v>
      </c>
      <c r="D1751" s="2">
        <f t="shared" ca="1" si="1676"/>
        <v>0.80708992448819084</v>
      </c>
      <c r="E1751" s="2">
        <f t="shared" ca="1" si="1677"/>
        <v>7.8788557727680164</v>
      </c>
      <c r="F1751" s="2">
        <f t="shared" ca="1" si="1678"/>
        <v>0.62785558681130094</v>
      </c>
      <c r="G1751" s="2">
        <f t="shared" ca="1" si="1679"/>
        <v>4.9785374064244797E-2</v>
      </c>
      <c r="H1751" s="2">
        <f t="shared" ca="1" si="1680"/>
        <v>4.9785374064244797E-2</v>
      </c>
      <c r="I1751" s="2">
        <f t="shared" ca="1" si="1681"/>
        <v>2.1941414306095752E-2</v>
      </c>
      <c r="J1751" s="2">
        <f t="shared" ca="1" si="1682"/>
        <v>-7.6041481844552755E-5</v>
      </c>
      <c r="K1751" s="2">
        <f t="shared" ca="1" si="1683"/>
        <v>0</v>
      </c>
      <c r="L1751" s="2">
        <f t="shared" ca="1" si="1684"/>
        <v>0.79622212164164274</v>
      </c>
      <c r="M1751" s="2">
        <f t="shared" ca="1" si="1685"/>
        <v>1.6564052526999495E-2</v>
      </c>
      <c r="N1751" s="2">
        <f t="shared" ca="1" si="1686"/>
        <v>1.6564052526999495E-2</v>
      </c>
      <c r="O1751" s="2">
        <f t="shared" si="1687"/>
        <v>6000000</v>
      </c>
      <c r="P1751" s="2">
        <f t="shared" ca="1" si="1688"/>
        <v>45757725.51531332</v>
      </c>
      <c r="Q1751" s="2">
        <f t="shared" ca="1" si="1689"/>
        <v>1143943.1378828331</v>
      </c>
      <c r="R1751" s="2">
        <f t="shared" ca="1" si="1690"/>
        <v>27454635.30918799</v>
      </c>
      <c r="S1751" s="2">
        <f t="shared" ca="1" si="1691"/>
        <v>18303090.20612533</v>
      </c>
      <c r="T1751" s="2">
        <f t="shared" ca="1" si="1692"/>
        <v>50828202.626349971</v>
      </c>
      <c r="U1751" s="2">
        <f t="shared" ca="1" si="1693"/>
        <v>53358703.707116038</v>
      </c>
      <c r="V1751" s="2">
        <f t="shared" ca="1" si="1694"/>
        <v>56015186.730758019</v>
      </c>
      <c r="W1751" s="2">
        <f t="shared" ca="1" si="1695"/>
        <v>58803923.755427331</v>
      </c>
      <c r="X1751" s="2">
        <f t="shared" ca="1" si="1696"/>
        <v>61731499.096036613</v>
      </c>
      <c r="Y1751" s="2">
        <f t="shared" ca="1" si="1697"/>
        <v>0.12</v>
      </c>
      <c r="Z1751" s="2">
        <f t="shared" ca="1" si="1698"/>
        <v>0.12</v>
      </c>
      <c r="AA1751" s="2">
        <f t="shared" ca="1" si="1699"/>
        <v>6099384.3151619965</v>
      </c>
      <c r="AB1751" s="2">
        <f t="shared" ca="1" si="1700"/>
        <v>6403044.4448539242</v>
      </c>
      <c r="AC1751" s="2">
        <f t="shared" ca="1" si="1701"/>
        <v>6721822.4076909618</v>
      </c>
      <c r="AD1751" s="2">
        <f t="shared" ca="1" si="1702"/>
        <v>7056470.8506512791</v>
      </c>
      <c r="AE1751" s="2">
        <f t="shared" ca="1" si="1703"/>
        <v>7407779.8915243931</v>
      </c>
      <c r="AF1751" s="2">
        <f t="shared" ca="1" si="1704"/>
        <v>1016564.0525269994</v>
      </c>
      <c r="AG1751" s="2">
        <f t="shared" ca="1" si="1705"/>
        <v>1067174.0741423208</v>
      </c>
      <c r="AH1751" s="2">
        <f t="shared" ca="1" si="1706"/>
        <v>1120303.7346151604</v>
      </c>
      <c r="AI1751" s="2">
        <f t="shared" ca="1" si="1707"/>
        <v>1176078.4751085467</v>
      </c>
      <c r="AJ1751" s="2">
        <f t="shared" ca="1" si="1708"/>
        <v>1234629.9819207322</v>
      </c>
      <c r="AK1751" s="2">
        <f t="shared" ca="1" si="1709"/>
        <v>0</v>
      </c>
      <c r="AL1751" s="2">
        <f t="shared" ca="1" si="1710"/>
        <v>25305.01080766067</v>
      </c>
      <c r="AM1751" s="2">
        <f t="shared" ca="1" si="1711"/>
        <v>26564.830236419813</v>
      </c>
      <c r="AN1751" s="2">
        <f t="shared" ca="1" si="1712"/>
        <v>27887.370246693121</v>
      </c>
      <c r="AO1751" s="2">
        <f t="shared" ca="1" si="1713"/>
        <v>29275.753406092823</v>
      </c>
      <c r="AP1751" s="2">
        <f t="shared" ca="1" si="1714"/>
        <v>2470917.1778269191</v>
      </c>
      <c r="AQ1751" s="2">
        <f t="shared" ca="1" si="1715"/>
        <v>679094.80205010029</v>
      </c>
      <c r="AR1751" s="2">
        <f t="shared" ca="1" si="1716"/>
        <v>744887.83015001786</v>
      </c>
      <c r="AS1751" s="2">
        <f t="shared" ca="1" si="1717"/>
        <v>813956.38876470947</v>
      </c>
      <c r="AT1751" s="2">
        <f t="shared" ca="1" si="1718"/>
        <v>886463.55140611134</v>
      </c>
      <c r="AU1751" s="2">
        <f t="shared" ca="1" si="1719"/>
        <v>962580.51026195288</v>
      </c>
      <c r="AV1751" s="2">
        <f t="shared" ca="1" si="1720"/>
        <v>1932808.2827579775</v>
      </c>
      <c r="AW1751" s="2">
        <f t="shared" ca="1" si="1721"/>
        <v>2094760.3519270062</v>
      </c>
      <c r="AX1751" s="2">
        <f t="shared" ca="1" si="1722"/>
        <v>2290080.2762477533</v>
      </c>
      <c r="AY1751" s="2">
        <f t="shared" ca="1" si="1723"/>
        <v>2495124.2760630078</v>
      </c>
      <c r="AZ1751" s="2">
        <f t="shared" ca="1" si="1724"/>
        <v>2710376.4681086964</v>
      </c>
      <c r="BA1751" s="2">
        <f t="shared" ca="1" si="1725"/>
        <v>58364829.361731797</v>
      </c>
      <c r="BB1751" s="2">
        <f t="shared" ca="1" si="1726"/>
        <v>1167296.5872346361</v>
      </c>
      <c r="BC1751" s="2">
        <f t="shared" ca="1" si="1727"/>
        <v>29742897.465309173</v>
      </c>
      <c r="BD1751" s="2">
        <f t="shared" ca="1" si="1728"/>
        <v>-19947033.344008163</v>
      </c>
      <c r="BE1751" s="2">
        <f t="shared" ca="1" si="1729"/>
        <v>1932808.2827579775</v>
      </c>
      <c r="BF1751" s="2">
        <f t="shared" ca="1" si="1730"/>
        <v>2094760.3519270062</v>
      </c>
      <c r="BG1751" s="2">
        <f t="shared" ca="1" si="1731"/>
        <v>2290080.2762477533</v>
      </c>
      <c r="BH1751" s="2">
        <f t="shared" ca="1" si="1732"/>
        <v>2495124.2760630078</v>
      </c>
      <c r="BI1751" s="2">
        <f t="shared" ca="1" si="1733"/>
        <v>32453273.933417868</v>
      </c>
      <c r="BJ1751" s="2">
        <f t="shared" ca="1" si="1734"/>
        <v>0.1808601129622025</v>
      </c>
      <c r="BK1751" s="2">
        <f t="shared" ca="1" si="1735"/>
        <v>5079208.1421772875</v>
      </c>
    </row>
    <row r="1752" spans="1:63" x14ac:dyDescent="0.3">
      <c r="A1752" s="2">
        <v>1751</v>
      </c>
      <c r="B1752" s="2">
        <f t="shared" ca="1" si="1674"/>
        <v>0.48125719471197637</v>
      </c>
      <c r="C1752" s="2">
        <f t="shared" ca="1" si="1675"/>
        <v>6.9810781770195245</v>
      </c>
      <c r="D1752" s="2">
        <f t="shared" ca="1" si="1676"/>
        <v>8.6934614563475288E-3</v>
      </c>
      <c r="E1752" s="2">
        <f t="shared" ca="1" si="1677"/>
        <v>6.6318594816943213</v>
      </c>
      <c r="F1752" s="2">
        <f t="shared" ca="1" si="1678"/>
        <v>8.7558975212728152E-2</v>
      </c>
      <c r="G1752" s="2">
        <f t="shared" ca="1" si="1679"/>
        <v>-6.7822911338957098E-4</v>
      </c>
      <c r="H1752" s="2">
        <f t="shared" ca="1" si="1680"/>
        <v>-6.7822911338957098E-4</v>
      </c>
      <c r="I1752" s="2">
        <f t="shared" ca="1" si="1681"/>
        <v>0.94601226478905265</v>
      </c>
      <c r="J1752" s="2">
        <f t="shared" ca="1" si="1682"/>
        <v>1.8036798835415313E-2</v>
      </c>
      <c r="K1752" s="2">
        <f t="shared" ca="1" si="1683"/>
        <v>1.8036798835415313E-2</v>
      </c>
      <c r="L1752" s="2">
        <f t="shared" ca="1" si="1684"/>
        <v>0.65921956566727846</v>
      </c>
      <c r="M1752" s="2">
        <f t="shared" ca="1" si="1685"/>
        <v>8.2066823316336163E-3</v>
      </c>
      <c r="N1752" s="2">
        <f t="shared" ca="1" si="1686"/>
        <v>8.2066823316336163E-3</v>
      </c>
      <c r="O1752" s="2">
        <f t="shared" si="1687"/>
        <v>6000000</v>
      </c>
      <c r="P1752" s="2">
        <f t="shared" ca="1" si="1688"/>
        <v>41886469.062117144</v>
      </c>
      <c r="Q1752" s="2">
        <f t="shared" ca="1" si="1689"/>
        <v>1047161.7265529287</v>
      </c>
      <c r="R1752" s="2">
        <f t="shared" ca="1" si="1690"/>
        <v>25131881.437270287</v>
      </c>
      <c r="S1752" s="2">
        <f t="shared" ca="1" si="1691"/>
        <v>16754587.624846859</v>
      </c>
      <c r="T1752" s="2">
        <f t="shared" ca="1" si="1692"/>
        <v>50410334.116581678</v>
      </c>
      <c r="U1752" s="2">
        <f t="shared" ca="1" si="1693"/>
        <v>50376144.360368118</v>
      </c>
      <c r="V1752" s="2">
        <f t="shared" ca="1" si="1694"/>
        <v>50341977.792642601</v>
      </c>
      <c r="W1752" s="2">
        <f t="shared" ca="1" si="1695"/>
        <v>50307834.397678018</v>
      </c>
      <c r="X1752" s="2">
        <f t="shared" ca="1" si="1696"/>
        <v>50273714.159757935</v>
      </c>
      <c r="Y1752" s="2">
        <f t="shared" ca="1" si="1697"/>
        <v>0.12901839941770765</v>
      </c>
      <c r="Z1752" s="2">
        <f t="shared" ca="1" si="1698"/>
        <v>0.13262575918479072</v>
      </c>
      <c r="AA1752" s="2">
        <f t="shared" ca="1" si="1699"/>
        <v>6503860.6218332294</v>
      </c>
      <c r="AB1752" s="2">
        <f t="shared" ca="1" si="1700"/>
        <v>6681174.3905964354</v>
      </c>
      <c r="AC1752" s="2">
        <f t="shared" ca="1" si="1701"/>
        <v>6676643.0236130999</v>
      </c>
      <c r="AD1752" s="2">
        <f t="shared" ca="1" si="1702"/>
        <v>6672114.7299347762</v>
      </c>
      <c r="AE1752" s="2">
        <f t="shared" ca="1" si="1703"/>
        <v>6667589.507477059</v>
      </c>
      <c r="AF1752" s="2">
        <f t="shared" ca="1" si="1704"/>
        <v>1008206.6823316336</v>
      </c>
      <c r="AG1752" s="2">
        <f t="shared" ca="1" si="1705"/>
        <v>1007522.8872073623</v>
      </c>
      <c r="AH1752" s="2">
        <f t="shared" ca="1" si="1706"/>
        <v>1006839.5558528521</v>
      </c>
      <c r="AI1752" s="2">
        <f t="shared" ca="1" si="1707"/>
        <v>1006156.6879535604</v>
      </c>
      <c r="AJ1752" s="2">
        <f t="shared" ca="1" si="1708"/>
        <v>1005474.2831951587</v>
      </c>
      <c r="AK1752" s="2">
        <f t="shared" ca="1" si="1709"/>
        <v>0</v>
      </c>
      <c r="AL1752" s="2">
        <f t="shared" ca="1" si="1710"/>
        <v>0</v>
      </c>
      <c r="AM1752" s="2">
        <f t="shared" ca="1" si="1711"/>
        <v>0</v>
      </c>
      <c r="AN1752" s="2">
        <f t="shared" ca="1" si="1712"/>
        <v>0</v>
      </c>
      <c r="AO1752" s="2">
        <f t="shared" ca="1" si="1713"/>
        <v>0</v>
      </c>
      <c r="AP1752" s="2">
        <f t="shared" ca="1" si="1714"/>
        <v>2261869.3293543258</v>
      </c>
      <c r="AQ1752" s="2">
        <f t="shared" ca="1" si="1715"/>
        <v>840783.99863829021</v>
      </c>
      <c r="AR1752" s="2">
        <f t="shared" ca="1" si="1716"/>
        <v>887063.36524903448</v>
      </c>
      <c r="AS1752" s="2">
        <f t="shared" ca="1" si="1717"/>
        <v>886062.87598553987</v>
      </c>
      <c r="AT1752" s="2">
        <f t="shared" ca="1" si="1718"/>
        <v>885063.06528299139</v>
      </c>
      <c r="AU1752" s="2">
        <f t="shared" ca="1" si="1719"/>
        <v>884063.93268116948</v>
      </c>
      <c r="AV1752" s="2">
        <f t="shared" ca="1" si="1720"/>
        <v>2393000.6115089799</v>
      </c>
      <c r="AW1752" s="2">
        <f t="shared" ca="1" si="1721"/>
        <v>2524718.8087857137</v>
      </c>
      <c r="AX1752" s="2">
        <f t="shared" ca="1" si="1722"/>
        <v>2521871.2624203828</v>
      </c>
      <c r="AY1752" s="2">
        <f t="shared" ca="1" si="1723"/>
        <v>2519025.6473438987</v>
      </c>
      <c r="AZ1752" s="2">
        <f t="shared" ca="1" si="1724"/>
        <v>2516181.9622464054</v>
      </c>
      <c r="BA1752" s="2">
        <f t="shared" ca="1" si="1725"/>
        <v>44218516.695207305</v>
      </c>
      <c r="BB1752" s="2">
        <f t="shared" ca="1" si="1726"/>
        <v>884370.3339041461</v>
      </c>
      <c r="BC1752" s="2">
        <f t="shared" ca="1" si="1727"/>
        <v>18202264.924032871</v>
      </c>
      <c r="BD1752" s="2">
        <f t="shared" ca="1" si="1728"/>
        <v>-18301749.351399787</v>
      </c>
      <c r="BE1752" s="2">
        <f t="shared" ca="1" si="1729"/>
        <v>2393000.6115089799</v>
      </c>
      <c r="BF1752" s="2">
        <f t="shared" ca="1" si="1730"/>
        <v>2524718.8087857137</v>
      </c>
      <c r="BG1752" s="2">
        <f t="shared" ca="1" si="1731"/>
        <v>2521871.2624203828</v>
      </c>
      <c r="BH1752" s="2">
        <f t="shared" ca="1" si="1732"/>
        <v>2519025.6473438987</v>
      </c>
      <c r="BI1752" s="2">
        <f t="shared" ca="1" si="1733"/>
        <v>20718446.886279278</v>
      </c>
      <c r="BJ1752" s="2">
        <f t="shared" ca="1" si="1734"/>
        <v>0.13513819655865</v>
      </c>
      <c r="BK1752" s="2">
        <f t="shared" ca="1" si="1735"/>
        <v>999656.37737522274</v>
      </c>
    </row>
    <row r="1753" spans="1:63" x14ac:dyDescent="0.3">
      <c r="A1753" s="2">
        <v>1752</v>
      </c>
      <c r="B1753" s="2">
        <f t="shared" ca="1" si="1674"/>
        <v>0.37392440070456068</v>
      </c>
      <c r="C1753" s="2">
        <f t="shared" ca="1" si="1675"/>
        <v>6.8647825168266996</v>
      </c>
      <c r="D1753" s="2">
        <f t="shared" ca="1" si="1676"/>
        <v>6.5316419646245016E-2</v>
      </c>
      <c r="E1753" s="2">
        <f t="shared" ca="1" si="1677"/>
        <v>6.8614316523113192</v>
      </c>
      <c r="F1753" s="2">
        <f t="shared" ca="1" si="1678"/>
        <v>0.77090837418323732</v>
      </c>
      <c r="G1753" s="2">
        <f t="shared" ca="1" si="1679"/>
        <v>6.2255251019468431E-2</v>
      </c>
      <c r="H1753" s="2">
        <f t="shared" ca="1" si="1680"/>
        <v>6.2255251019468431E-2</v>
      </c>
      <c r="I1753" s="2">
        <f t="shared" ca="1" si="1681"/>
        <v>0.29864832332902846</v>
      </c>
      <c r="J1753" s="2">
        <f t="shared" ca="1" si="1682"/>
        <v>7.3585397359103681E-3</v>
      </c>
      <c r="K1753" s="2">
        <f t="shared" ca="1" si="1683"/>
        <v>7.3585397359103681E-3</v>
      </c>
      <c r="L1753" s="2">
        <f t="shared" ca="1" si="1684"/>
        <v>9.500756626698259E-2</v>
      </c>
      <c r="M1753" s="2">
        <f t="shared" ca="1" si="1685"/>
        <v>-2.6210686951211728E-2</v>
      </c>
      <c r="N1753" s="2">
        <f t="shared" ca="1" si="1686"/>
        <v>-2.6210686951211728E-2</v>
      </c>
      <c r="O1753" s="2">
        <f t="shared" si="1687"/>
        <v>6000000</v>
      </c>
      <c r="P1753" s="2">
        <f t="shared" ca="1" si="1688"/>
        <v>41188695.100960195</v>
      </c>
      <c r="Q1753" s="2">
        <f t="shared" ca="1" si="1689"/>
        <v>1029717.3775240049</v>
      </c>
      <c r="R1753" s="2">
        <f t="shared" ca="1" si="1690"/>
        <v>24713217.060576115</v>
      </c>
      <c r="S1753" s="2">
        <f t="shared" ca="1" si="1691"/>
        <v>16475478.040384078</v>
      </c>
      <c r="T1753" s="2">
        <f t="shared" ca="1" si="1692"/>
        <v>48689465.652439415</v>
      </c>
      <c r="U1753" s="2">
        <f t="shared" ca="1" si="1693"/>
        <v>51720640.558635823</v>
      </c>
      <c r="V1753" s="2">
        <f t="shared" ca="1" si="1694"/>
        <v>54940522.019501403</v>
      </c>
      <c r="W1753" s="2">
        <f t="shared" ca="1" si="1695"/>
        <v>58360858.008966096</v>
      </c>
      <c r="X1753" s="2">
        <f t="shared" ca="1" si="1696"/>
        <v>61994127.874025837</v>
      </c>
      <c r="Y1753" s="2">
        <f t="shared" ca="1" si="1697"/>
        <v>0.12367926986795517</v>
      </c>
      <c r="Z1753" s="2">
        <f t="shared" ca="1" si="1698"/>
        <v>0.12515097781513726</v>
      </c>
      <c r="AA1753" s="2">
        <f t="shared" ca="1" si="1699"/>
        <v>6021877.5621545883</v>
      </c>
      <c r="AB1753" s="2">
        <f t="shared" ca="1" si="1700"/>
        <v>6472888.7391385203</v>
      </c>
      <c r="AC1753" s="2">
        <f t="shared" ca="1" si="1701"/>
        <v>6875860.0524146799</v>
      </c>
      <c r="AD1753" s="2">
        <f t="shared" ca="1" si="1702"/>
        <v>7303918.4459524918</v>
      </c>
      <c r="AE1753" s="2">
        <f t="shared" ca="1" si="1703"/>
        <v>7758625.7222309895</v>
      </c>
      <c r="AF1753" s="2">
        <f t="shared" ca="1" si="1704"/>
        <v>973789.31304878835</v>
      </c>
      <c r="AG1753" s="2">
        <f t="shared" ca="1" si="1705"/>
        <v>1034412.8111727164</v>
      </c>
      <c r="AH1753" s="2">
        <f t="shared" ca="1" si="1706"/>
        <v>1098810.4403900281</v>
      </c>
      <c r="AI1753" s="2">
        <f t="shared" ca="1" si="1707"/>
        <v>1167217.1601793219</v>
      </c>
      <c r="AJ1753" s="2">
        <f t="shared" ca="1" si="1708"/>
        <v>1239882.5574805168</v>
      </c>
      <c r="AK1753" s="2">
        <f t="shared" ca="1" si="1709"/>
        <v>0</v>
      </c>
      <c r="AL1753" s="2">
        <f t="shared" ca="1" si="1710"/>
        <v>30311.749061964081</v>
      </c>
      <c r="AM1753" s="2">
        <f t="shared" ca="1" si="1711"/>
        <v>32198.814608655797</v>
      </c>
      <c r="AN1753" s="2">
        <f t="shared" ca="1" si="1712"/>
        <v>34203.359894646928</v>
      </c>
      <c r="AO1753" s="2">
        <f t="shared" ca="1" si="1713"/>
        <v>36332.698650597413</v>
      </c>
      <c r="AP1753" s="2">
        <f t="shared" ca="1" si="1714"/>
        <v>2224189.5354518504</v>
      </c>
      <c r="AQ1753" s="2">
        <f t="shared" ca="1" si="1715"/>
        <v>734213.66555002693</v>
      </c>
      <c r="AR1753" s="2">
        <f t="shared" ca="1" si="1716"/>
        <v>835714.46205362794</v>
      </c>
      <c r="AS1753" s="2">
        <f t="shared" ca="1" si="1717"/>
        <v>923743.61990892841</v>
      </c>
      <c r="AT1753" s="2">
        <f t="shared" ca="1" si="1718"/>
        <v>1017253.0550835432</v>
      </c>
      <c r="AU1753" s="2">
        <f t="shared" ca="1" si="1719"/>
        <v>1116583.9436176417</v>
      </c>
      <c r="AV1753" s="2">
        <f t="shared" ca="1" si="1720"/>
        <v>2089685.0481039225</v>
      </c>
      <c r="AW1753" s="2">
        <f t="shared" ca="1" si="1721"/>
        <v>2348260.1813983615</v>
      </c>
      <c r="AX1753" s="2">
        <f t="shared" ca="1" si="1722"/>
        <v>2596917.6420552167</v>
      </c>
      <c r="AY1753" s="2">
        <f t="shared" ca="1" si="1723"/>
        <v>2861055.3353431295</v>
      </c>
      <c r="AZ1753" s="2">
        <f t="shared" ca="1" si="1724"/>
        <v>3141636.9870303827</v>
      </c>
      <c r="BA1753" s="2">
        <f t="shared" ca="1" si="1725"/>
        <v>53235280.108952478</v>
      </c>
      <c r="BB1753" s="2">
        <f t="shared" ca="1" si="1726"/>
        <v>1064705.6021790495</v>
      </c>
      <c r="BC1753" s="2">
        <f t="shared" ca="1" si="1727"/>
        <v>27457357.446197312</v>
      </c>
      <c r="BD1753" s="2">
        <f t="shared" ca="1" si="1728"/>
        <v>-18005195.417908084</v>
      </c>
      <c r="BE1753" s="2">
        <f t="shared" ca="1" si="1729"/>
        <v>2089685.0481039225</v>
      </c>
      <c r="BF1753" s="2">
        <f t="shared" ca="1" si="1730"/>
        <v>2348260.1813983615</v>
      </c>
      <c r="BG1753" s="2">
        <f t="shared" ca="1" si="1731"/>
        <v>2596917.6420552167</v>
      </c>
      <c r="BH1753" s="2">
        <f t="shared" ca="1" si="1732"/>
        <v>2861055.3353431295</v>
      </c>
      <c r="BI1753" s="2">
        <f t="shared" ca="1" si="1733"/>
        <v>30598994.433227696</v>
      </c>
      <c r="BJ1753" s="2">
        <f t="shared" ca="1" si="1734"/>
        <v>0.20874763871195068</v>
      </c>
      <c r="BK1753" s="2">
        <f t="shared" ca="1" si="1735"/>
        <v>6761991.7142584473</v>
      </c>
    </row>
    <row r="1754" spans="1:63" x14ac:dyDescent="0.3">
      <c r="A1754" s="2">
        <v>1753</v>
      </c>
      <c r="B1754" s="2">
        <f t="shared" ca="1" si="1674"/>
        <v>0.90188842097491251</v>
      </c>
      <c r="C1754" s="2">
        <f t="shared" ca="1" si="1675"/>
        <v>7.557029167946494</v>
      </c>
      <c r="D1754" s="2">
        <f t="shared" ca="1" si="1676"/>
        <v>0.21741703714334415</v>
      </c>
      <c r="E1754" s="2">
        <f t="shared" ca="1" si="1677"/>
        <v>7.1594194979576269</v>
      </c>
      <c r="F1754" s="2">
        <f t="shared" ca="1" si="1678"/>
        <v>0.84602204091192545</v>
      </c>
      <c r="G1754" s="2">
        <f t="shared" ca="1" si="1679"/>
        <v>7.058561548831975E-2</v>
      </c>
      <c r="H1754" s="2">
        <f t="shared" ca="1" si="1680"/>
        <v>7.058561548831975E-2</v>
      </c>
      <c r="I1754" s="2">
        <f t="shared" ca="1" si="1681"/>
        <v>5.0751272267459013E-2</v>
      </c>
      <c r="J1754" s="2">
        <f t="shared" ca="1" si="1682"/>
        <v>1.8119372773487217E-3</v>
      </c>
      <c r="K1754" s="2">
        <f t="shared" ca="1" si="1683"/>
        <v>1.8119372773487217E-3</v>
      </c>
      <c r="L1754" s="2">
        <f t="shared" ca="1" si="1684"/>
        <v>0.54288418283604301</v>
      </c>
      <c r="M1754" s="2">
        <f t="shared" ca="1" si="1685"/>
        <v>2.1540513112928029E-3</v>
      </c>
      <c r="N1754" s="2">
        <f t="shared" ca="1" si="1686"/>
        <v>2.1540513112928029E-3</v>
      </c>
      <c r="O1754" s="2">
        <f t="shared" si="1687"/>
        <v>6000000</v>
      </c>
      <c r="P1754" s="2">
        <f t="shared" ca="1" si="1688"/>
        <v>45342175.007678963</v>
      </c>
      <c r="Q1754" s="2">
        <f t="shared" ca="1" si="1689"/>
        <v>1133554.3751919742</v>
      </c>
      <c r="R1754" s="2">
        <f t="shared" ca="1" si="1690"/>
        <v>27205305.004607376</v>
      </c>
      <c r="S1754" s="2">
        <f t="shared" ca="1" si="1691"/>
        <v>18136870.003071588</v>
      </c>
      <c r="T1754" s="2">
        <f t="shared" ca="1" si="1692"/>
        <v>50107702.56556464</v>
      </c>
      <c r="U1754" s="2">
        <f t="shared" ca="1" si="1693"/>
        <v>53644585.591860682</v>
      </c>
      <c r="V1754" s="2">
        <f t="shared" ca="1" si="1694"/>
        <v>57431121.68347802</v>
      </c>
      <c r="W1754" s="2">
        <f t="shared" ca="1" si="1695"/>
        <v>61484932.755690902</v>
      </c>
      <c r="X1754" s="2">
        <f t="shared" ca="1" si="1696"/>
        <v>65824884.577509299</v>
      </c>
      <c r="Y1754" s="2">
        <f t="shared" ca="1" si="1697"/>
        <v>0.12090596863867435</v>
      </c>
      <c r="Z1754" s="2">
        <f t="shared" ca="1" si="1698"/>
        <v>0.1212683560941441</v>
      </c>
      <c r="AA1754" s="2">
        <f t="shared" ca="1" si="1699"/>
        <v>6058320.3149481807</v>
      </c>
      <c r="AB1754" s="2">
        <f t="shared" ca="1" si="1700"/>
        <v>6505390.7080765534</v>
      </c>
      <c r="AC1754" s="2">
        <f t="shared" ca="1" si="1701"/>
        <v>6964577.7151981331</v>
      </c>
      <c r="AD1754" s="2">
        <f t="shared" ca="1" si="1702"/>
        <v>7456176.7198416293</v>
      </c>
      <c r="AE1754" s="2">
        <f t="shared" ca="1" si="1703"/>
        <v>7982475.5428013317</v>
      </c>
      <c r="AF1754" s="2">
        <f t="shared" ca="1" si="1704"/>
        <v>1002154.0513112928</v>
      </c>
      <c r="AG1754" s="2">
        <f t="shared" ca="1" si="1705"/>
        <v>1072891.7118372137</v>
      </c>
      <c r="AH1754" s="2">
        <f t="shared" ca="1" si="1706"/>
        <v>1148622.4336695604</v>
      </c>
      <c r="AI1754" s="2">
        <f t="shared" ca="1" si="1707"/>
        <v>1229698.6551138181</v>
      </c>
      <c r="AJ1754" s="2">
        <f t="shared" ca="1" si="1708"/>
        <v>1316497.6915501859</v>
      </c>
      <c r="AK1754" s="2">
        <f t="shared" ca="1" si="1709"/>
        <v>0</v>
      </c>
      <c r="AL1754" s="2">
        <f t="shared" ca="1" si="1710"/>
        <v>35368.830262960422</v>
      </c>
      <c r="AM1754" s="2">
        <f t="shared" ca="1" si="1711"/>
        <v>37865.360916173384</v>
      </c>
      <c r="AN1754" s="2">
        <f t="shared" ca="1" si="1712"/>
        <v>40538.110722128826</v>
      </c>
      <c r="AO1754" s="2">
        <f t="shared" ca="1" si="1713"/>
        <v>43399.518218183963</v>
      </c>
      <c r="AP1754" s="2">
        <f t="shared" ca="1" si="1714"/>
        <v>2448477.4504146636</v>
      </c>
      <c r="AQ1754" s="2">
        <f t="shared" ca="1" si="1715"/>
        <v>677999.09143777832</v>
      </c>
      <c r="AR1754" s="2">
        <f t="shared" ca="1" si="1716"/>
        <v>775845.60191441583</v>
      </c>
      <c r="AS1754" s="2">
        <f t="shared" ca="1" si="1717"/>
        <v>875544.23608961632</v>
      </c>
      <c r="AT1754" s="2">
        <f t="shared" ca="1" si="1718"/>
        <v>982280.1597214184</v>
      </c>
      <c r="AU1754" s="2">
        <f t="shared" ca="1" si="1719"/>
        <v>1096550.1042174855</v>
      </c>
      <c r="AV1754" s="2">
        <f t="shared" ca="1" si="1720"/>
        <v>1929689.7217844459</v>
      </c>
      <c r="AW1754" s="2">
        <f t="shared" ca="1" si="1721"/>
        <v>2172807.1136472994</v>
      </c>
      <c r="AX1754" s="2">
        <f t="shared" ca="1" si="1722"/>
        <v>2454068.2341081197</v>
      </c>
      <c r="AY1754" s="2">
        <f t="shared" ca="1" si="1723"/>
        <v>2755182.3438696</v>
      </c>
      <c r="AZ1754" s="2">
        <f t="shared" ca="1" si="1724"/>
        <v>3077550.7784008128</v>
      </c>
      <c r="BA1754" s="2">
        <f t="shared" ca="1" si="1725"/>
        <v>57149891.043101743</v>
      </c>
      <c r="BB1754" s="2">
        <f t="shared" ca="1" si="1726"/>
        <v>1142997.8208620348</v>
      </c>
      <c r="BC1754" s="2">
        <f t="shared" ca="1" si="1727"/>
        <v>28801588.217632331</v>
      </c>
      <c r="BD1754" s="2">
        <f t="shared" ca="1" si="1728"/>
        <v>-19770424.378263563</v>
      </c>
      <c r="BE1754" s="2">
        <f t="shared" ca="1" si="1729"/>
        <v>1929689.7217844459</v>
      </c>
      <c r="BF1754" s="2">
        <f t="shared" ca="1" si="1730"/>
        <v>2172807.1136472994</v>
      </c>
      <c r="BG1754" s="2">
        <f t="shared" ca="1" si="1731"/>
        <v>2454068.2341081197</v>
      </c>
      <c r="BH1754" s="2">
        <f t="shared" ca="1" si="1732"/>
        <v>2755182.3438696</v>
      </c>
      <c r="BI1754" s="2">
        <f t="shared" ca="1" si="1733"/>
        <v>31879138.996033143</v>
      </c>
      <c r="BJ1754" s="2">
        <f t="shared" ca="1" si="1734"/>
        <v>0.18386809362310563</v>
      </c>
      <c r="BK1754" s="2">
        <f t="shared" ca="1" si="1735"/>
        <v>5271466.4896193109</v>
      </c>
    </row>
    <row r="1755" spans="1:63" x14ac:dyDescent="0.3">
      <c r="A1755" s="2">
        <v>1754</v>
      </c>
      <c r="B1755" s="2">
        <f t="shared" ca="1" si="1674"/>
        <v>0.70382036213474786</v>
      </c>
      <c r="C1755" s="2">
        <f t="shared" ca="1" si="1675"/>
        <v>7.2303511997472452</v>
      </c>
      <c r="D1755" s="2">
        <f t="shared" ca="1" si="1676"/>
        <v>0.9117847869441843</v>
      </c>
      <c r="E1755" s="2">
        <f t="shared" ca="1" si="1677"/>
        <v>8.0799637800003055</v>
      </c>
      <c r="F1755" s="2">
        <f t="shared" ca="1" si="1678"/>
        <v>0.43464835198343033</v>
      </c>
      <c r="G1755" s="2">
        <f t="shared" ca="1" si="1679"/>
        <v>3.5063443409384366E-2</v>
      </c>
      <c r="H1755" s="2">
        <f t="shared" ca="1" si="1680"/>
        <v>3.5063443409384366E-2</v>
      </c>
      <c r="I1755" s="2">
        <f t="shared" ca="1" si="1681"/>
        <v>0.73793803576442807</v>
      </c>
      <c r="J1755" s="2">
        <f t="shared" ca="1" si="1682"/>
        <v>1.318500702462343E-2</v>
      </c>
      <c r="K1755" s="2">
        <f t="shared" ca="1" si="1683"/>
        <v>1.318500702462343E-2</v>
      </c>
      <c r="L1755" s="2">
        <f t="shared" ca="1" si="1684"/>
        <v>0.6836184415343689</v>
      </c>
      <c r="M1755" s="2">
        <f t="shared" ca="1" si="1685"/>
        <v>9.5568273086286577E-3</v>
      </c>
      <c r="N1755" s="2">
        <f t="shared" ca="1" si="1686"/>
        <v>9.5568273086286577E-3</v>
      </c>
      <c r="O1755" s="2">
        <f t="shared" si="1687"/>
        <v>6000000</v>
      </c>
      <c r="P1755" s="2">
        <f t="shared" ca="1" si="1688"/>
        <v>43382107.198483475</v>
      </c>
      <c r="Q1755" s="2">
        <f t="shared" ca="1" si="1689"/>
        <v>1084552.679962087</v>
      </c>
      <c r="R1755" s="2">
        <f t="shared" ca="1" si="1690"/>
        <v>26029264.319090083</v>
      </c>
      <c r="S1755" s="2">
        <f t="shared" ca="1" si="1691"/>
        <v>17352842.879393391</v>
      </c>
      <c r="T1755" s="2">
        <f t="shared" ca="1" si="1692"/>
        <v>50477841.365431428</v>
      </c>
      <c r="U1755" s="2">
        <f t="shared" ca="1" si="1693"/>
        <v>52247768.299576119</v>
      </c>
      <c r="V1755" s="2">
        <f t="shared" ca="1" si="1694"/>
        <v>54079754.966614932</v>
      </c>
      <c r="W1755" s="2">
        <f t="shared" ca="1" si="1695"/>
        <v>55975977.394480206</v>
      </c>
      <c r="X1755" s="2">
        <f t="shared" ca="1" si="1696"/>
        <v>57938687.910136543</v>
      </c>
      <c r="Y1755" s="2">
        <f t="shared" ca="1" si="1697"/>
        <v>0.12659250351231172</v>
      </c>
      <c r="Z1755" s="2">
        <f t="shared" ca="1" si="1698"/>
        <v>0.12922950491723639</v>
      </c>
      <c r="AA1755" s="2">
        <f t="shared" ca="1" si="1699"/>
        <v>6390116.3103472916</v>
      </c>
      <c r="AB1755" s="2">
        <f t="shared" ca="1" si="1700"/>
        <v>6751953.2303847</v>
      </c>
      <c r="AC1755" s="2">
        <f t="shared" ca="1" si="1701"/>
        <v>6988699.9603811037</v>
      </c>
      <c r="AD1755" s="2">
        <f t="shared" ca="1" si="1702"/>
        <v>7233747.8459470933</v>
      </c>
      <c r="AE1755" s="2">
        <f t="shared" ca="1" si="1703"/>
        <v>7487387.9541812148</v>
      </c>
      <c r="AF1755" s="2">
        <f t="shared" ca="1" si="1704"/>
        <v>1009556.8273086286</v>
      </c>
      <c r="AG1755" s="2">
        <f t="shared" ca="1" si="1705"/>
        <v>1044955.3659915224</v>
      </c>
      <c r="AH1755" s="2">
        <f t="shared" ca="1" si="1706"/>
        <v>1081595.0993322986</v>
      </c>
      <c r="AI1755" s="2">
        <f t="shared" ca="1" si="1707"/>
        <v>1119519.5478896042</v>
      </c>
      <c r="AJ1755" s="2">
        <f t="shared" ca="1" si="1708"/>
        <v>1158773.7582027309</v>
      </c>
      <c r="AK1755" s="2">
        <f t="shared" ca="1" si="1709"/>
        <v>0</v>
      </c>
      <c r="AL1755" s="2">
        <f t="shared" ca="1" si="1710"/>
        <v>17699.269341446907</v>
      </c>
      <c r="AM1755" s="2">
        <f t="shared" ca="1" si="1711"/>
        <v>18319.866670388132</v>
      </c>
      <c r="AN1755" s="2">
        <f t="shared" ca="1" si="1712"/>
        <v>18962.224278652742</v>
      </c>
      <c r="AO1755" s="2">
        <f t="shared" ca="1" si="1713"/>
        <v>19627.105156563372</v>
      </c>
      <c r="AP1755" s="2">
        <f t="shared" ca="1" si="1714"/>
        <v>2342633.7887181076</v>
      </c>
      <c r="AQ1755" s="2">
        <f t="shared" ca="1" si="1715"/>
        <v>789860.68052334443</v>
      </c>
      <c r="AR1755" s="2">
        <f t="shared" ca="1" si="1716"/>
        <v>874734.65967551817</v>
      </c>
      <c r="AS1755" s="2">
        <f t="shared" ca="1" si="1717"/>
        <v>926762.47880598123</v>
      </c>
      <c r="AT1755" s="2">
        <f t="shared" ca="1" si="1718"/>
        <v>980614.57242823916</v>
      </c>
      <c r="AU1755" s="2">
        <f t="shared" ca="1" si="1719"/>
        <v>1036354.9058876979</v>
      </c>
      <c r="AV1755" s="2">
        <f t="shared" ca="1" si="1720"/>
        <v>2248065.013797211</v>
      </c>
      <c r="AW1755" s="2">
        <f t="shared" ca="1" si="1721"/>
        <v>2471930.1466581053</v>
      </c>
      <c r="AX1755" s="2">
        <f t="shared" ca="1" si="1722"/>
        <v>2619388.7268543276</v>
      </c>
      <c r="AY1755" s="2">
        <f t="shared" ca="1" si="1723"/>
        <v>2772017.7126324889</v>
      </c>
      <c r="AZ1755" s="2">
        <f t="shared" ca="1" si="1724"/>
        <v>2929998.3962161154</v>
      </c>
      <c r="BA1755" s="2">
        <f t="shared" ca="1" si="1725"/>
        <v>60497823.476594806</v>
      </c>
      <c r="BB1755" s="2">
        <f t="shared" ca="1" si="1726"/>
        <v>1209956.4695318961</v>
      </c>
      <c r="BC1755" s="2">
        <f t="shared" ca="1" si="1727"/>
        <v>33258602.687972825</v>
      </c>
      <c r="BD1755" s="2">
        <f t="shared" ca="1" si="1728"/>
        <v>-18937395.559355479</v>
      </c>
      <c r="BE1755" s="2">
        <f t="shared" ca="1" si="1729"/>
        <v>2248065.013797211</v>
      </c>
      <c r="BF1755" s="2">
        <f t="shared" ca="1" si="1730"/>
        <v>2471930.1466581053</v>
      </c>
      <c r="BG1755" s="2">
        <f t="shared" ca="1" si="1731"/>
        <v>2619388.7268543276</v>
      </c>
      <c r="BH1755" s="2">
        <f t="shared" ca="1" si="1732"/>
        <v>2772017.7126324889</v>
      </c>
      <c r="BI1755" s="2">
        <f t="shared" ca="1" si="1733"/>
        <v>36188601.084188938</v>
      </c>
      <c r="BJ1755" s="2">
        <f t="shared" ca="1" si="1734"/>
        <v>0.22995517756995509</v>
      </c>
      <c r="BK1755" s="2">
        <f t="shared" ca="1" si="1735"/>
        <v>9200893.5776826404</v>
      </c>
    </row>
    <row r="1756" spans="1:63" x14ac:dyDescent="0.3">
      <c r="A1756" s="2">
        <v>1755</v>
      </c>
      <c r="B1756" s="2">
        <f t="shared" ca="1" si="1674"/>
        <v>0.16170100742857596</v>
      </c>
      <c r="C1756" s="2">
        <f t="shared" ca="1" si="1675"/>
        <v>6.5686844598344072</v>
      </c>
      <c r="D1756" s="2">
        <f t="shared" ca="1" si="1676"/>
        <v>5.0715139124229092E-2</v>
      </c>
      <c r="E1756" s="2">
        <f t="shared" ca="1" si="1677"/>
        <v>6.818481205487009</v>
      </c>
      <c r="F1756" s="2">
        <f t="shared" ca="1" si="1678"/>
        <v>1.4694423467375595E-2</v>
      </c>
      <c r="G1756" s="2">
        <f t="shared" ca="1" si="1679"/>
        <v>-2.5346928505833748E-2</v>
      </c>
      <c r="H1756" s="2">
        <f t="shared" ca="1" si="1680"/>
        <v>-0.02</v>
      </c>
      <c r="I1756" s="2">
        <f t="shared" ca="1" si="1681"/>
        <v>0.78139218497875929</v>
      </c>
      <c r="J1756" s="2">
        <f t="shared" ca="1" si="1682"/>
        <v>1.3884518144938681E-2</v>
      </c>
      <c r="K1756" s="2">
        <f t="shared" ca="1" si="1683"/>
        <v>1.3884518144938681E-2</v>
      </c>
      <c r="L1756" s="2">
        <f t="shared" ca="1" si="1684"/>
        <v>0.38578760140957713</v>
      </c>
      <c r="M1756" s="2">
        <f t="shared" ca="1" si="1685"/>
        <v>-5.8063016109140119E-3</v>
      </c>
      <c r="N1756" s="2">
        <f t="shared" ca="1" si="1686"/>
        <v>-5.8063016109140119E-3</v>
      </c>
      <c r="O1756" s="2">
        <f t="shared" si="1687"/>
        <v>6000000</v>
      </c>
      <c r="P1756" s="2">
        <f t="shared" ca="1" si="1688"/>
        <v>39412106.759006441</v>
      </c>
      <c r="Q1756" s="2">
        <f t="shared" ca="1" si="1689"/>
        <v>985302.66897516104</v>
      </c>
      <c r="R1756" s="2">
        <f t="shared" ca="1" si="1690"/>
        <v>23647264.055403862</v>
      </c>
      <c r="S1756" s="2">
        <f t="shared" ca="1" si="1691"/>
        <v>15764842.703602577</v>
      </c>
      <c r="T1756" s="2">
        <f t="shared" ca="1" si="1692"/>
        <v>49709684.919454299</v>
      </c>
      <c r="U1756" s="2">
        <f t="shared" ca="1" si="1693"/>
        <v>48715491.221065216</v>
      </c>
      <c r="V1756" s="2">
        <f t="shared" ca="1" si="1694"/>
        <v>47741181.396643914</v>
      </c>
      <c r="W1756" s="2">
        <f t="shared" ca="1" si="1695"/>
        <v>46786357.768711038</v>
      </c>
      <c r="X1756" s="2">
        <f t="shared" ca="1" si="1696"/>
        <v>45850630.613336816</v>
      </c>
      <c r="Y1756" s="2">
        <f t="shared" ca="1" si="1697"/>
        <v>0.12694225907246934</v>
      </c>
      <c r="Z1756" s="2">
        <f t="shared" ca="1" si="1698"/>
        <v>0.12971916270145706</v>
      </c>
      <c r="AA1756" s="2">
        <f t="shared" ca="1" si="1699"/>
        <v>6310259.7014561901</v>
      </c>
      <c r="AB1756" s="2">
        <f t="shared" ca="1" si="1700"/>
        <v>6319332.7317867614</v>
      </c>
      <c r="AC1756" s="2">
        <f t="shared" ca="1" si="1701"/>
        <v>6192946.0771510266</v>
      </c>
      <c r="AD1756" s="2">
        <f t="shared" ca="1" si="1702"/>
        <v>6069087.1556080068</v>
      </c>
      <c r="AE1756" s="2">
        <f t="shared" ca="1" si="1703"/>
        <v>5947705.4124958459</v>
      </c>
      <c r="AF1756" s="2">
        <f t="shared" ca="1" si="1704"/>
        <v>994193.69838908594</v>
      </c>
      <c r="AG1756" s="2">
        <f t="shared" ca="1" si="1705"/>
        <v>974309.82442130428</v>
      </c>
      <c r="AH1756" s="2">
        <f t="shared" ca="1" si="1706"/>
        <v>954823.62793287833</v>
      </c>
      <c r="AI1756" s="2">
        <f t="shared" ca="1" si="1707"/>
        <v>935727.15537422081</v>
      </c>
      <c r="AJ1756" s="2">
        <f t="shared" ca="1" si="1708"/>
        <v>917012.61226673634</v>
      </c>
      <c r="AK1756" s="2">
        <f t="shared" ca="1" si="1709"/>
        <v>0</v>
      </c>
      <c r="AL1756" s="2">
        <f t="shared" ca="1" si="1710"/>
        <v>0</v>
      </c>
      <c r="AM1756" s="2">
        <f t="shared" ca="1" si="1711"/>
        <v>0</v>
      </c>
      <c r="AN1756" s="2">
        <f t="shared" ca="1" si="1712"/>
        <v>0</v>
      </c>
      <c r="AO1756" s="2">
        <f t="shared" ca="1" si="1713"/>
        <v>0</v>
      </c>
      <c r="AP1756" s="2">
        <f t="shared" ca="1" si="1714"/>
        <v>2128253.7649863474</v>
      </c>
      <c r="AQ1756" s="2">
        <f t="shared" ca="1" si="1715"/>
        <v>828831.18190099683</v>
      </c>
      <c r="AR1756" s="2">
        <f t="shared" ca="1" si="1716"/>
        <v>836359.97701856855</v>
      </c>
      <c r="AS1756" s="2">
        <f t="shared" ca="1" si="1717"/>
        <v>808565.85790026828</v>
      </c>
      <c r="AT1756" s="2">
        <f t="shared" ca="1" si="1718"/>
        <v>781327.62116433412</v>
      </c>
      <c r="AU1756" s="2">
        <f t="shared" ca="1" si="1719"/>
        <v>754634.14916311821</v>
      </c>
      <c r="AV1756" s="2">
        <f t="shared" ca="1" si="1720"/>
        <v>2358981.05617976</v>
      </c>
      <c r="AW1756" s="2">
        <f t="shared" ca="1" si="1721"/>
        <v>2380409.1653605411</v>
      </c>
      <c r="AX1756" s="2">
        <f t="shared" ca="1" si="1722"/>
        <v>2301302.8263315326</v>
      </c>
      <c r="AY1756" s="2">
        <f t="shared" ca="1" si="1723"/>
        <v>2223778.6140831048</v>
      </c>
      <c r="AZ1756" s="2">
        <f t="shared" ca="1" si="1724"/>
        <v>2147804.8860796439</v>
      </c>
      <c r="BA1756" s="2">
        <f t="shared" ca="1" si="1725"/>
        <v>40554317.570876285</v>
      </c>
      <c r="BB1756" s="2">
        <f t="shared" ca="1" si="1726"/>
        <v>811086.35141752567</v>
      </c>
      <c r="BC1756" s="2">
        <f t="shared" ca="1" si="1727"/>
        <v>16095967.164054897</v>
      </c>
      <c r="BD1756" s="2">
        <f t="shared" ca="1" si="1728"/>
        <v>-17250145.372577738</v>
      </c>
      <c r="BE1756" s="2">
        <f t="shared" ca="1" si="1729"/>
        <v>2358981.05617976</v>
      </c>
      <c r="BF1756" s="2">
        <f t="shared" ca="1" si="1730"/>
        <v>2380409.1653605411</v>
      </c>
      <c r="BG1756" s="2">
        <f t="shared" ca="1" si="1731"/>
        <v>2301302.8263315326</v>
      </c>
      <c r="BH1756" s="2">
        <f t="shared" ca="1" si="1732"/>
        <v>2223778.6140831048</v>
      </c>
      <c r="BI1756" s="2">
        <f t="shared" ca="1" si="1733"/>
        <v>18243772.05013454</v>
      </c>
      <c r="BJ1756" s="2">
        <f t="shared" ca="1" si="1734"/>
        <v>0.12259384580617971</v>
      </c>
      <c r="BK1756" s="2">
        <f t="shared" ca="1" si="1735"/>
        <v>157014.94448332489</v>
      </c>
    </row>
    <row r="1757" spans="1:63" x14ac:dyDescent="0.3">
      <c r="A1757" s="2">
        <v>1756</v>
      </c>
      <c r="B1757" s="2">
        <f t="shared" ca="1" si="1674"/>
        <v>0.18955025147855464</v>
      </c>
      <c r="C1757" s="2">
        <f t="shared" ca="1" si="1675"/>
        <v>6.6157113795903966</v>
      </c>
      <c r="D1757" s="2">
        <f t="shared" ca="1" si="1676"/>
        <v>0.48642594336238187</v>
      </c>
      <c r="E1757" s="2">
        <f t="shared" ca="1" si="1677"/>
        <v>7.4863325436812698</v>
      </c>
      <c r="F1757" s="2">
        <f t="shared" ca="1" si="1678"/>
        <v>0.99144637083413234</v>
      </c>
      <c r="G1757" s="2">
        <f t="shared" ca="1" si="1679"/>
        <v>0.11153183115370385</v>
      </c>
      <c r="H1757" s="2">
        <f t="shared" ca="1" si="1680"/>
        <v>0.11153183115370385</v>
      </c>
      <c r="I1757" s="2">
        <f t="shared" ca="1" si="1681"/>
        <v>0.77249757472865455</v>
      </c>
      <c r="J1757" s="2">
        <f t="shared" ca="1" si="1682"/>
        <v>1.3735486328899144E-2</v>
      </c>
      <c r="K1757" s="2">
        <f t="shared" ca="1" si="1683"/>
        <v>1.3735486328899144E-2</v>
      </c>
      <c r="L1757" s="2">
        <f t="shared" ca="1" si="1684"/>
        <v>0.73506265915235347</v>
      </c>
      <c r="M1757" s="2">
        <f t="shared" ca="1" si="1685"/>
        <v>1.2563946523175747E-2</v>
      </c>
      <c r="N1757" s="2">
        <f t="shared" ca="1" si="1686"/>
        <v>1.2563946523175747E-2</v>
      </c>
      <c r="O1757" s="2">
        <f t="shared" si="1687"/>
        <v>6000000</v>
      </c>
      <c r="P1757" s="2">
        <f t="shared" ca="1" si="1688"/>
        <v>39694268.277542382</v>
      </c>
      <c r="Q1757" s="2">
        <f t="shared" ca="1" si="1689"/>
        <v>992356.70693855966</v>
      </c>
      <c r="R1757" s="2">
        <f t="shared" ca="1" si="1690"/>
        <v>23816560.966525428</v>
      </c>
      <c r="S1757" s="2">
        <f t="shared" ca="1" si="1691"/>
        <v>15877707.311016954</v>
      </c>
      <c r="T1757" s="2">
        <f t="shared" ca="1" si="1692"/>
        <v>50628197.326158784</v>
      </c>
      <c r="U1757" s="2">
        <f t="shared" ca="1" si="1693"/>
        <v>56274852.881956331</v>
      </c>
      <c r="V1757" s="2">
        <f t="shared" ca="1" si="1694"/>
        <v>62551290.271786213</v>
      </c>
      <c r="W1757" s="2">
        <f t="shared" ca="1" si="1695"/>
        <v>69527750.216825396</v>
      </c>
      <c r="X1757" s="2">
        <f t="shared" ca="1" si="1696"/>
        <v>77282307.514505267</v>
      </c>
      <c r="Y1757" s="2">
        <f t="shared" ca="1" si="1697"/>
        <v>0.12686774316444957</v>
      </c>
      <c r="Z1757" s="2">
        <f t="shared" ca="1" si="1698"/>
        <v>0.12961484043022939</v>
      </c>
      <c r="AA1757" s="2">
        <f t="shared" ca="1" si="1699"/>
        <v>6423085.1352541847</v>
      </c>
      <c r="AB1757" s="2">
        <f t="shared" ca="1" si="1700"/>
        <v>7294056.0765294041</v>
      </c>
      <c r="AC1757" s="2">
        <f t="shared" ca="1" si="1701"/>
        <v>8107575.50728253</v>
      </c>
      <c r="AD1757" s="2">
        <f t="shared" ca="1" si="1702"/>
        <v>9011828.2498266697</v>
      </c>
      <c r="AE1757" s="2">
        <f t="shared" ca="1" si="1703"/>
        <v>10016933.956572518</v>
      </c>
      <c r="AF1757" s="2">
        <f t="shared" ca="1" si="1704"/>
        <v>1012563.9465231757</v>
      </c>
      <c r="AG1757" s="2">
        <f t="shared" ca="1" si="1705"/>
        <v>1125497.0576391267</v>
      </c>
      <c r="AH1757" s="2">
        <f t="shared" ca="1" si="1706"/>
        <v>1251025.8054357243</v>
      </c>
      <c r="AI1757" s="2">
        <f t="shared" ca="1" si="1707"/>
        <v>1390555.004336508</v>
      </c>
      <c r="AJ1757" s="2">
        <f t="shared" ca="1" si="1708"/>
        <v>1545646.1502901053</v>
      </c>
      <c r="AK1757" s="2">
        <f t="shared" ca="1" si="1709"/>
        <v>0</v>
      </c>
      <c r="AL1757" s="2">
        <f t="shared" ca="1" si="1710"/>
        <v>56466.555557975473</v>
      </c>
      <c r="AM1757" s="2">
        <f t="shared" ca="1" si="1711"/>
        <v>62764.373898298814</v>
      </c>
      <c r="AN1757" s="2">
        <f t="shared" ca="1" si="1712"/>
        <v>69764.599450391834</v>
      </c>
      <c r="AO1757" s="2">
        <f t="shared" ca="1" si="1713"/>
        <v>77545.572976798721</v>
      </c>
      <c r="AP1757" s="2">
        <f t="shared" ca="1" si="1714"/>
        <v>2143490.4869872886</v>
      </c>
      <c r="AQ1757" s="2">
        <f t="shared" ca="1" si="1715"/>
        <v>849427.98245336732</v>
      </c>
      <c r="AR1757" s="2">
        <f t="shared" ca="1" si="1716"/>
        <v>1046517.8182947772</v>
      </c>
      <c r="AS1757" s="2">
        <f t="shared" ca="1" si="1717"/>
        <v>1225395.3958634746</v>
      </c>
      <c r="AT1757" s="2">
        <f t="shared" ca="1" si="1718"/>
        <v>1424223.5172107469</v>
      </c>
      <c r="AU1757" s="2">
        <f t="shared" ca="1" si="1719"/>
        <v>1645227.303016732</v>
      </c>
      <c r="AV1757" s="2">
        <f t="shared" ca="1" si="1720"/>
        <v>2417602.7192903529</v>
      </c>
      <c r="AW1757" s="2">
        <f t="shared" ca="1" si="1721"/>
        <v>2922084.1580502358</v>
      </c>
      <c r="AX1757" s="2">
        <f t="shared" ca="1" si="1722"/>
        <v>3424899.445097744</v>
      </c>
      <c r="AY1757" s="2">
        <f t="shared" ca="1" si="1723"/>
        <v>3983794.6418417343</v>
      </c>
      <c r="AZ1757" s="2">
        <f t="shared" ca="1" si="1724"/>
        <v>4605024.4433015939</v>
      </c>
      <c r="BA1757" s="2">
        <f t="shared" ca="1" si="1725"/>
        <v>74990098.666994825</v>
      </c>
      <c r="BB1757" s="2">
        <f t="shared" ca="1" si="1726"/>
        <v>1499801.9733398964</v>
      </c>
      <c r="BC1757" s="2">
        <f t="shared" ca="1" si="1727"/>
        <v>49673735.727129504</v>
      </c>
      <c r="BD1757" s="2">
        <f t="shared" ca="1" si="1728"/>
        <v>-17370064.017955516</v>
      </c>
      <c r="BE1757" s="2">
        <f t="shared" ca="1" si="1729"/>
        <v>2417602.7192903529</v>
      </c>
      <c r="BF1757" s="2">
        <f t="shared" ca="1" si="1730"/>
        <v>2922084.1580502358</v>
      </c>
      <c r="BG1757" s="2">
        <f t="shared" ca="1" si="1731"/>
        <v>3424899.445097744</v>
      </c>
      <c r="BH1757" s="2">
        <f t="shared" ca="1" si="1732"/>
        <v>3983794.6418417343</v>
      </c>
      <c r="BI1757" s="2">
        <f t="shared" ca="1" si="1733"/>
        <v>54278760.1704311</v>
      </c>
      <c r="BJ1757" s="2">
        <f t="shared" ca="1" si="1734"/>
        <v>0.36342031065291525</v>
      </c>
      <c r="BK1757" s="2">
        <f t="shared" ca="1" si="1735"/>
        <v>22886752.946162265</v>
      </c>
    </row>
    <row r="1758" spans="1:63" x14ac:dyDescent="0.3">
      <c r="A1758" s="2">
        <v>1757</v>
      </c>
      <c r="B1758" s="2">
        <f t="shared" ca="1" si="1674"/>
        <v>0.51438339077553841</v>
      </c>
      <c r="C1758" s="2">
        <f t="shared" ca="1" si="1675"/>
        <v>7.0144883468730956</v>
      </c>
      <c r="D1758" s="2">
        <f t="shared" ca="1" si="1676"/>
        <v>0.31603738249691993</v>
      </c>
      <c r="E1758" s="2">
        <f t="shared" ca="1" si="1677"/>
        <v>7.295031298122181</v>
      </c>
      <c r="F1758" s="2">
        <f t="shared" ca="1" si="1678"/>
        <v>0.84449801624520204</v>
      </c>
      <c r="G1758" s="2">
        <f t="shared" ca="1" si="1679"/>
        <v>7.0393529574080377E-2</v>
      </c>
      <c r="H1758" s="2">
        <f t="shared" ca="1" si="1680"/>
        <v>7.0393529574080377E-2</v>
      </c>
      <c r="I1758" s="2">
        <f t="shared" ca="1" si="1681"/>
        <v>0.54757563910787033</v>
      </c>
      <c r="J1758" s="2">
        <f t="shared" ca="1" si="1682"/>
        <v>1.0597692615628231E-2</v>
      </c>
      <c r="K1758" s="2">
        <f t="shared" ca="1" si="1683"/>
        <v>1.0597692615628231E-2</v>
      </c>
      <c r="L1758" s="2">
        <f t="shared" ca="1" si="1684"/>
        <v>1.0996542004242715E-2</v>
      </c>
      <c r="M1758" s="2">
        <f t="shared" ca="1" si="1685"/>
        <v>-4.5809745981631733E-2</v>
      </c>
      <c r="N1758" s="2">
        <f t="shared" ca="1" si="1686"/>
        <v>-4.5809745981631733E-2</v>
      </c>
      <c r="O1758" s="2">
        <f t="shared" si="1687"/>
        <v>6000000</v>
      </c>
      <c r="P1758" s="2">
        <f t="shared" ca="1" si="1688"/>
        <v>42086930.081238575</v>
      </c>
      <c r="Q1758" s="2">
        <f t="shared" ca="1" si="1689"/>
        <v>1052173.2520309645</v>
      </c>
      <c r="R1758" s="2">
        <f t="shared" ca="1" si="1690"/>
        <v>25252158.048743144</v>
      </c>
      <c r="S1758" s="2">
        <f t="shared" ca="1" si="1691"/>
        <v>16834772.032495432</v>
      </c>
      <c r="T1758" s="2">
        <f t="shared" ca="1" si="1692"/>
        <v>47709512.700918414</v>
      </c>
      <c r="U1758" s="2">
        <f t="shared" ca="1" si="1693"/>
        <v>51067953.694195472</v>
      </c>
      <c r="V1758" s="2">
        <f t="shared" ca="1" si="1694"/>
        <v>54662807.202855587</v>
      </c>
      <c r="W1758" s="2">
        <f t="shared" ca="1" si="1695"/>
        <v>58510715.138292052</v>
      </c>
      <c r="X1758" s="2">
        <f t="shared" ca="1" si="1696"/>
        <v>62629490.894780003</v>
      </c>
      <c r="Y1758" s="2">
        <f t="shared" ca="1" si="1697"/>
        <v>0.1252988463078141</v>
      </c>
      <c r="Z1758" s="2">
        <f t="shared" ca="1" si="1698"/>
        <v>0.12741838483093976</v>
      </c>
      <c r="AA1758" s="2">
        <f t="shared" ca="1" si="1699"/>
        <v>5977946.8993330812</v>
      </c>
      <c r="AB1758" s="2">
        <f t="shared" ca="1" si="1700"/>
        <v>6506996.1763356104</v>
      </c>
      <c r="AC1758" s="2">
        <f t="shared" ca="1" si="1701"/>
        <v>6965046.6041129185</v>
      </c>
      <c r="AD1758" s="2">
        <f t="shared" ca="1" si="1702"/>
        <v>7455340.8182243891</v>
      </c>
      <c r="AE1758" s="2">
        <f t="shared" ca="1" si="1703"/>
        <v>7980148.572596916</v>
      </c>
      <c r="AF1758" s="2">
        <f t="shared" ca="1" si="1704"/>
        <v>954190.25401836832</v>
      </c>
      <c r="AG1758" s="2">
        <f t="shared" ca="1" si="1705"/>
        <v>1021359.0738839095</v>
      </c>
      <c r="AH1758" s="2">
        <f t="shared" ca="1" si="1706"/>
        <v>1093256.1440571118</v>
      </c>
      <c r="AI1758" s="2">
        <f t="shared" ca="1" si="1707"/>
        <v>1170214.3027658411</v>
      </c>
      <c r="AJ1758" s="2">
        <f t="shared" ca="1" si="1708"/>
        <v>1252589.8178956001</v>
      </c>
      <c r="AK1758" s="2">
        <f t="shared" ca="1" si="1709"/>
        <v>0</v>
      </c>
      <c r="AL1758" s="2">
        <f t="shared" ca="1" si="1710"/>
        <v>33584.409932770577</v>
      </c>
      <c r="AM1758" s="2">
        <f t="shared" ca="1" si="1711"/>
        <v>35948.53508660115</v>
      </c>
      <c r="AN1758" s="2">
        <f t="shared" ca="1" si="1712"/>
        <v>38479.07935436465</v>
      </c>
      <c r="AO1758" s="2">
        <f t="shared" ca="1" si="1713"/>
        <v>41187.75756487951</v>
      </c>
      <c r="AP1758" s="2">
        <f t="shared" ca="1" si="1714"/>
        <v>2272694.224386883</v>
      </c>
      <c r="AQ1758" s="2">
        <f t="shared" ca="1" si="1715"/>
        <v>715276.22944123589</v>
      </c>
      <c r="AR1758" s="2">
        <f t="shared" ca="1" si="1716"/>
        <v>835365.1482968526</v>
      </c>
      <c r="AS1758" s="2">
        <f t="shared" ca="1" si="1717"/>
        <v>935765.0212739202</v>
      </c>
      <c r="AT1758" s="2">
        <f t="shared" ca="1" si="1718"/>
        <v>1043232.395678633</v>
      </c>
      <c r="AU1758" s="2">
        <f t="shared" ca="1" si="1719"/>
        <v>1158264.7778817527</v>
      </c>
      <c r="AV1758" s="2">
        <f t="shared" ca="1" si="1720"/>
        <v>2035786.1914865943</v>
      </c>
      <c r="AW1758" s="2">
        <f t="shared" ca="1" si="1721"/>
        <v>2343993.3198351944</v>
      </c>
      <c r="AX1758" s="2">
        <f t="shared" ca="1" si="1722"/>
        <v>2627382.6793084024</v>
      </c>
      <c r="AY1758" s="2">
        <f t="shared" ca="1" si="1723"/>
        <v>2930720.8160386682</v>
      </c>
      <c r="AZ1758" s="2">
        <f t="shared" ca="1" si="1724"/>
        <v>3255411.9948678007</v>
      </c>
      <c r="BA1758" s="2">
        <f t="shared" ca="1" si="1725"/>
        <v>58215433.600759551</v>
      </c>
      <c r="BB1758" s="2">
        <f t="shared" ca="1" si="1726"/>
        <v>1164308.6720151911</v>
      </c>
      <c r="BC1758" s="2">
        <f t="shared" ca="1" si="1727"/>
        <v>31798966.880001217</v>
      </c>
      <c r="BD1758" s="2">
        <f t="shared" ca="1" si="1728"/>
        <v>-18386945.284526397</v>
      </c>
      <c r="BE1758" s="2">
        <f t="shared" ca="1" si="1729"/>
        <v>2035786.1914865943</v>
      </c>
      <c r="BF1758" s="2">
        <f t="shared" ca="1" si="1730"/>
        <v>2343993.3198351944</v>
      </c>
      <c r="BG1758" s="2">
        <f t="shared" ca="1" si="1731"/>
        <v>2627382.6793084024</v>
      </c>
      <c r="BH1758" s="2">
        <f t="shared" ca="1" si="1732"/>
        <v>2930720.8160386682</v>
      </c>
      <c r="BI1758" s="2">
        <f t="shared" ca="1" si="1733"/>
        <v>35054378.874869019</v>
      </c>
      <c r="BJ1758" s="2">
        <f t="shared" ca="1" si="1734"/>
        <v>0.22937595387679721</v>
      </c>
      <c r="BK1758" s="2">
        <f t="shared" ca="1" si="1735"/>
        <v>8922779.2215295993</v>
      </c>
    </row>
    <row r="1759" spans="1:63" x14ac:dyDescent="0.3">
      <c r="A1759" s="2">
        <v>1758</v>
      </c>
      <c r="B1759" s="2">
        <f t="shared" ca="1" si="1674"/>
        <v>0.34043892022254463</v>
      </c>
      <c r="C1759" s="2">
        <f t="shared" ca="1" si="1675"/>
        <v>6.8251532224048388</v>
      </c>
      <c r="D1759" s="2">
        <f t="shared" ca="1" si="1676"/>
        <v>0.9211135677231409</v>
      </c>
      <c r="E1759" s="2">
        <f t="shared" ca="1" si="1677"/>
        <v>8.1027936750834417</v>
      </c>
      <c r="F1759" s="2">
        <f t="shared" ca="1" si="1678"/>
        <v>0.86656750436268015</v>
      </c>
      <c r="G1759" s="2">
        <f t="shared" ca="1" si="1679"/>
        <v>7.3309333020101258E-2</v>
      </c>
      <c r="H1759" s="2">
        <f t="shared" ca="1" si="1680"/>
        <v>7.3309333020101258E-2</v>
      </c>
      <c r="I1759" s="2">
        <f t="shared" ca="1" si="1681"/>
        <v>0.52405453508814226</v>
      </c>
      <c r="J1759" s="2">
        <f t="shared" ca="1" si="1682"/>
        <v>1.030166179688078E-2</v>
      </c>
      <c r="K1759" s="2">
        <f t="shared" ca="1" si="1683"/>
        <v>1.030166179688078E-2</v>
      </c>
      <c r="L1759" s="2">
        <f t="shared" ca="1" si="1684"/>
        <v>0.83080185050798516</v>
      </c>
      <c r="M1759" s="2">
        <f t="shared" ca="1" si="1685"/>
        <v>1.9146775148611569E-2</v>
      </c>
      <c r="N1759" s="2">
        <f t="shared" ca="1" si="1686"/>
        <v>1.9146775148611569E-2</v>
      </c>
      <c r="O1759" s="2">
        <f t="shared" si="1687"/>
        <v>6000000</v>
      </c>
      <c r="P1759" s="2">
        <f t="shared" ca="1" si="1688"/>
        <v>40950919.334429033</v>
      </c>
      <c r="Q1759" s="2">
        <f t="shared" ca="1" si="1689"/>
        <v>1023772.9833607259</v>
      </c>
      <c r="R1759" s="2">
        <f t="shared" ca="1" si="1690"/>
        <v>24570551.600657418</v>
      </c>
      <c r="S1759" s="2">
        <f t="shared" ca="1" si="1691"/>
        <v>16380367.733771615</v>
      </c>
      <c r="T1759" s="2">
        <f t="shared" ca="1" si="1692"/>
        <v>50957338.757430583</v>
      </c>
      <c r="U1759" s="2">
        <f t="shared" ca="1" si="1693"/>
        <v>54692987.274217181</v>
      </c>
      <c r="V1759" s="2">
        <f t="shared" ca="1" si="1694"/>
        <v>58702493.692166932</v>
      </c>
      <c r="W1759" s="2">
        <f t="shared" ca="1" si="1695"/>
        <v>63005934.351356395</v>
      </c>
      <c r="X1759" s="2">
        <f t="shared" ca="1" si="1696"/>
        <v>67624857.374962628</v>
      </c>
      <c r="Y1759" s="2">
        <f t="shared" ca="1" si="1697"/>
        <v>0.1251508308984404</v>
      </c>
      <c r="Z1759" s="2">
        <f t="shared" ca="1" si="1698"/>
        <v>0.12721116325781653</v>
      </c>
      <c r="AA1759" s="2">
        <f t="shared" ca="1" si="1699"/>
        <v>6377353.2858657381</v>
      </c>
      <c r="AB1759" s="2">
        <f t="shared" ca="1" si="1700"/>
        <v>6957558.5331981238</v>
      </c>
      <c r="AC1759" s="2">
        <f t="shared" ca="1" si="1701"/>
        <v>7467612.5087151928</v>
      </c>
      <c r="AD1759" s="2">
        <f t="shared" ca="1" si="1702"/>
        <v>8015058.2009816691</v>
      </c>
      <c r="AE1759" s="2">
        <f t="shared" ca="1" si="1703"/>
        <v>8602636.7718129288</v>
      </c>
      <c r="AF1759" s="2">
        <f t="shared" ca="1" si="1704"/>
        <v>1019146.7751486116</v>
      </c>
      <c r="AG1759" s="2">
        <f t="shared" ca="1" si="1705"/>
        <v>1093859.7454843437</v>
      </c>
      <c r="AH1759" s="2">
        <f t="shared" ca="1" si="1706"/>
        <v>1174049.8738433386</v>
      </c>
      <c r="AI1759" s="2">
        <f t="shared" ca="1" si="1707"/>
        <v>1260118.6870271279</v>
      </c>
      <c r="AJ1759" s="2">
        <f t="shared" ca="1" si="1708"/>
        <v>1352497.1474992526</v>
      </c>
      <c r="AK1759" s="2">
        <f t="shared" ca="1" si="1709"/>
        <v>0</v>
      </c>
      <c r="AL1759" s="2">
        <f t="shared" ca="1" si="1710"/>
        <v>37356.485167865976</v>
      </c>
      <c r="AM1759" s="2">
        <f t="shared" ca="1" si="1711"/>
        <v>40095.064179497509</v>
      </c>
      <c r="AN1759" s="2">
        <f t="shared" ca="1" si="1712"/>
        <v>43034.406591894629</v>
      </c>
      <c r="AO1759" s="2">
        <f t="shared" ca="1" si="1713"/>
        <v>46189.230236062336</v>
      </c>
      <c r="AP1759" s="2">
        <f t="shared" ca="1" si="1714"/>
        <v>2211349.6440591677</v>
      </c>
      <c r="AQ1759" s="2">
        <f t="shared" ca="1" si="1715"/>
        <v>818182.78533106938</v>
      </c>
      <c r="AR1759" s="2">
        <f t="shared" ca="1" si="1716"/>
        <v>949610.77735019929</v>
      </c>
      <c r="AS1759" s="2">
        <f t="shared" ca="1" si="1717"/>
        <v>1061375.3776112986</v>
      </c>
      <c r="AT1759" s="2">
        <f t="shared" ca="1" si="1718"/>
        <v>1181333.3661727968</v>
      </c>
      <c r="AU1759" s="2">
        <f t="shared" ca="1" si="1719"/>
        <v>1310085.3948661722</v>
      </c>
      <c r="AV1759" s="2">
        <f t="shared" ca="1" si="1720"/>
        <v>2328674.0813268893</v>
      </c>
      <c r="AW1759" s="2">
        <f t="shared" ca="1" si="1721"/>
        <v>2665381.8811365473</v>
      </c>
      <c r="AX1759" s="2">
        <f t="shared" ca="1" si="1722"/>
        <v>2980742.5490218909</v>
      </c>
      <c r="AY1759" s="2">
        <f t="shared" ca="1" si="1723"/>
        <v>3319222.0971306809</v>
      </c>
      <c r="AZ1759" s="2">
        <f t="shared" ca="1" si="1724"/>
        <v>3682515.355152274</v>
      </c>
      <c r="BA1759" s="2">
        <f t="shared" ca="1" si="1725"/>
        <v>69705390.823686033</v>
      </c>
      <c r="BB1759" s="2">
        <f t="shared" ca="1" si="1726"/>
        <v>1394107.8164737206</v>
      </c>
      <c r="BC1759" s="2">
        <f t="shared" ca="1" si="1727"/>
        <v>43740731.406554893</v>
      </c>
      <c r="BD1759" s="2">
        <f t="shared" ca="1" si="1728"/>
        <v>-17904140.717132341</v>
      </c>
      <c r="BE1759" s="2">
        <f t="shared" ca="1" si="1729"/>
        <v>2328674.0813268893</v>
      </c>
      <c r="BF1759" s="2">
        <f t="shared" ca="1" si="1730"/>
        <v>2665381.8811365473</v>
      </c>
      <c r="BG1759" s="2">
        <f t="shared" ca="1" si="1731"/>
        <v>2980742.5490218909</v>
      </c>
      <c r="BH1759" s="2">
        <f t="shared" ca="1" si="1732"/>
        <v>3319222.0971306809</v>
      </c>
      <c r="BI1759" s="2">
        <f t="shared" ca="1" si="1733"/>
        <v>47423246.761707164</v>
      </c>
      <c r="BJ1759" s="2">
        <f t="shared" ca="1" si="1734"/>
        <v>0.31302975685615375</v>
      </c>
      <c r="BK1759" s="2">
        <f t="shared" ca="1" si="1735"/>
        <v>17440141.803885002</v>
      </c>
    </row>
    <row r="1760" spans="1:63" x14ac:dyDescent="0.3">
      <c r="A1760" s="2">
        <v>1759</v>
      </c>
      <c r="B1760" s="2">
        <f t="shared" ca="1" si="1674"/>
        <v>0.23918739804973643</v>
      </c>
      <c r="C1760" s="2">
        <f t="shared" ca="1" si="1675"/>
        <v>6.691646438651623</v>
      </c>
      <c r="D1760" s="2">
        <f t="shared" ca="1" si="1676"/>
        <v>4.6936202234137636E-2</v>
      </c>
      <c r="E1760" s="2">
        <f t="shared" ca="1" si="1677"/>
        <v>6.8063860383050692</v>
      </c>
      <c r="F1760" s="2">
        <f t="shared" ca="1" si="1678"/>
        <v>0.93012154728475749</v>
      </c>
      <c r="G1760" s="2">
        <f t="shared" ca="1" si="1679"/>
        <v>8.4300906786736018E-2</v>
      </c>
      <c r="H1760" s="2">
        <f t="shared" ca="1" si="1680"/>
        <v>8.4300906786736018E-2</v>
      </c>
      <c r="I1760" s="2">
        <f t="shared" ca="1" si="1681"/>
        <v>0.13898843302055208</v>
      </c>
      <c r="J1760" s="2">
        <f t="shared" ca="1" si="1682"/>
        <v>4.5756232403554812E-3</v>
      </c>
      <c r="K1760" s="2">
        <f t="shared" ca="1" si="1683"/>
        <v>4.5756232403554812E-3</v>
      </c>
      <c r="L1760" s="2">
        <f t="shared" ca="1" si="1684"/>
        <v>0.15211885145563531</v>
      </c>
      <c r="M1760" s="2">
        <f t="shared" ca="1" si="1685"/>
        <v>-2.0547764114654324E-2</v>
      </c>
      <c r="N1760" s="2">
        <f t="shared" ca="1" si="1686"/>
        <v>-2.0547764114654324E-2</v>
      </c>
      <c r="O1760" s="2">
        <f t="shared" si="1687"/>
        <v>6000000</v>
      </c>
      <c r="P1760" s="2">
        <f t="shared" ca="1" si="1688"/>
        <v>40149878.631909736</v>
      </c>
      <c r="Q1760" s="2">
        <f t="shared" ca="1" si="1689"/>
        <v>1003746.9657977434</v>
      </c>
      <c r="R1760" s="2">
        <f t="shared" ca="1" si="1690"/>
        <v>24089927.179145839</v>
      </c>
      <c r="S1760" s="2">
        <f t="shared" ca="1" si="1691"/>
        <v>16059951.452763895</v>
      </c>
      <c r="T1760" s="2">
        <f t="shared" ca="1" si="1692"/>
        <v>48972611.794267282</v>
      </c>
      <c r="U1760" s="2">
        <f t="shared" ca="1" si="1693"/>
        <v>53101047.376238815</v>
      </c>
      <c r="V1760" s="2">
        <f t="shared" ca="1" si="1694"/>
        <v>57577513.821381174</v>
      </c>
      <c r="W1760" s="2">
        <f t="shared" ca="1" si="1695"/>
        <v>62431350.447049432</v>
      </c>
      <c r="X1760" s="2">
        <f t="shared" ca="1" si="1696"/>
        <v>67694369.901656196</v>
      </c>
      <c r="Y1760" s="2">
        <f t="shared" ca="1" si="1697"/>
        <v>0.12228781162017774</v>
      </c>
      <c r="Z1760" s="2">
        <f t="shared" ca="1" si="1698"/>
        <v>0.12320293626824884</v>
      </c>
      <c r="AA1760" s="2">
        <f t="shared" ca="1" si="1699"/>
        <v>5988753.5256454516</v>
      </c>
      <c r="AB1760" s="2">
        <f t="shared" ca="1" si="1700"/>
        <v>6542204.9556720126</v>
      </c>
      <c r="AC1760" s="2">
        <f t="shared" ca="1" si="1701"/>
        <v>7093718.7658198411</v>
      </c>
      <c r="AD1760" s="2">
        <f t="shared" ca="1" si="1702"/>
        <v>7691725.6902685398</v>
      </c>
      <c r="AE1760" s="2">
        <f t="shared" ca="1" si="1703"/>
        <v>8340145.1407130109</v>
      </c>
      <c r="AF1760" s="2">
        <f t="shared" ca="1" si="1704"/>
        <v>979452.23588534561</v>
      </c>
      <c r="AG1760" s="2">
        <f t="shared" ca="1" si="1705"/>
        <v>1062020.9475247762</v>
      </c>
      <c r="AH1760" s="2">
        <f t="shared" ca="1" si="1706"/>
        <v>1151550.2764276236</v>
      </c>
      <c r="AI1760" s="2">
        <f t="shared" ca="1" si="1707"/>
        <v>1248627.0089409887</v>
      </c>
      <c r="AJ1760" s="2">
        <f t="shared" ca="1" si="1708"/>
        <v>1353887.3980331239</v>
      </c>
      <c r="AK1760" s="2">
        <f t="shared" ca="1" si="1709"/>
        <v>0</v>
      </c>
      <c r="AL1760" s="2">
        <f t="shared" ca="1" si="1710"/>
        <v>41284.35581971534</v>
      </c>
      <c r="AM1760" s="2">
        <f t="shared" ca="1" si="1711"/>
        <v>44764.664451423589</v>
      </c>
      <c r="AN1760" s="2">
        <f t="shared" ca="1" si="1712"/>
        <v>48538.366256682573</v>
      </c>
      <c r="AO1760" s="2">
        <f t="shared" ca="1" si="1713"/>
        <v>52630.194546067643</v>
      </c>
      <c r="AP1760" s="2">
        <f t="shared" ca="1" si="1714"/>
        <v>2168093.4461231255</v>
      </c>
      <c r="AQ1760" s="2">
        <f t="shared" ca="1" si="1715"/>
        <v>738714.03934561496</v>
      </c>
      <c r="AR1760" s="2">
        <f t="shared" ca="1" si="1716"/>
        <v>861143.5461262688</v>
      </c>
      <c r="AS1760" s="2">
        <f t="shared" ca="1" si="1717"/>
        <v>981259.51124996389</v>
      </c>
      <c r="AT1760" s="2">
        <f t="shared" ca="1" si="1718"/>
        <v>1111501.3611531509</v>
      </c>
      <c r="AU1760" s="2">
        <f t="shared" ca="1" si="1719"/>
        <v>1252722.7171047581</v>
      </c>
      <c r="AV1760" s="2">
        <f t="shared" ca="1" si="1720"/>
        <v>2102493.8042913661</v>
      </c>
      <c r="AW1760" s="2">
        <f t="shared" ca="1" si="1721"/>
        <v>2409662.6600781265</v>
      </c>
      <c r="AX1760" s="2">
        <f t="shared" ca="1" si="1722"/>
        <v>2748050.8675677036</v>
      </c>
      <c r="AY1760" s="2">
        <f t="shared" ca="1" si="1723"/>
        <v>3114965.507794593</v>
      </c>
      <c r="AZ1760" s="2">
        <f t="shared" ca="1" si="1724"/>
        <v>3512811.3849059348</v>
      </c>
      <c r="BA1760" s="2">
        <f t="shared" ca="1" si="1725"/>
        <v>56766247.443186902</v>
      </c>
      <c r="BB1760" s="2">
        <f t="shared" ca="1" si="1726"/>
        <v>1135324.948863738</v>
      </c>
      <c r="BC1760" s="2">
        <f t="shared" ca="1" si="1727"/>
        <v>31540995.315177325</v>
      </c>
      <c r="BD1760" s="2">
        <f t="shared" ca="1" si="1728"/>
        <v>-17563698.418561637</v>
      </c>
      <c r="BE1760" s="2">
        <f t="shared" ca="1" si="1729"/>
        <v>2102493.8042913661</v>
      </c>
      <c r="BF1760" s="2">
        <f t="shared" ca="1" si="1730"/>
        <v>2409662.6600781265</v>
      </c>
      <c r="BG1760" s="2">
        <f t="shared" ca="1" si="1731"/>
        <v>2748050.8675677036</v>
      </c>
      <c r="BH1760" s="2">
        <f t="shared" ca="1" si="1732"/>
        <v>3114965.507794593</v>
      </c>
      <c r="BI1760" s="2">
        <f t="shared" ca="1" si="1733"/>
        <v>35053806.700083263</v>
      </c>
      <c r="BJ1760" s="2">
        <f t="shared" ca="1" si="1734"/>
        <v>0.2470451237991802</v>
      </c>
      <c r="BK1760" s="2">
        <f t="shared" ca="1" si="1735"/>
        <v>10060593.050118338</v>
      </c>
    </row>
    <row r="1761" spans="1:63" x14ac:dyDescent="0.3">
      <c r="A1761" s="2">
        <v>1760</v>
      </c>
      <c r="B1761" s="2">
        <f t="shared" ca="1" si="1674"/>
        <v>0.63865400379952075</v>
      </c>
      <c r="C1761" s="2">
        <f t="shared" ca="1" si="1675"/>
        <v>7.1498870707953213</v>
      </c>
      <c r="D1761" s="2">
        <f t="shared" ca="1" si="1676"/>
        <v>0.67252383599908694</v>
      </c>
      <c r="E1761" s="2">
        <f t="shared" ca="1" si="1677"/>
        <v>7.6907087495828055</v>
      </c>
      <c r="F1761" s="2">
        <f t="shared" ca="1" si="1678"/>
        <v>0.74692839696723445</v>
      </c>
      <c r="G1761" s="2">
        <f t="shared" ca="1" si="1679"/>
        <v>5.9945651606959534E-2</v>
      </c>
      <c r="H1761" s="2">
        <f t="shared" ca="1" si="1680"/>
        <v>5.9945651606959534E-2</v>
      </c>
      <c r="I1761" s="2">
        <f t="shared" ca="1" si="1681"/>
        <v>0.11639788879556079</v>
      </c>
      <c r="J1761" s="2">
        <f t="shared" ca="1" si="1682"/>
        <v>4.0340603107965889E-3</v>
      </c>
      <c r="K1761" s="2">
        <f t="shared" ca="1" si="1683"/>
        <v>4.0340603107965889E-3</v>
      </c>
      <c r="L1761" s="2">
        <f t="shared" ca="1" si="1684"/>
        <v>0.86605822031467816</v>
      </c>
      <c r="M1761" s="2">
        <f t="shared" ca="1" si="1685"/>
        <v>2.215899309025058E-2</v>
      </c>
      <c r="N1761" s="2">
        <f t="shared" ca="1" si="1686"/>
        <v>2.215899309025058E-2</v>
      </c>
      <c r="O1761" s="2">
        <f t="shared" si="1687"/>
        <v>6000000</v>
      </c>
      <c r="P1761" s="2">
        <f t="shared" ca="1" si="1688"/>
        <v>42899322.424771927</v>
      </c>
      <c r="Q1761" s="2">
        <f t="shared" ca="1" si="1689"/>
        <v>1072483.0606192981</v>
      </c>
      <c r="R1761" s="2">
        <f t="shared" ca="1" si="1690"/>
        <v>25739593.454863157</v>
      </c>
      <c r="S1761" s="2">
        <f t="shared" ca="1" si="1691"/>
        <v>17159728.96990877</v>
      </c>
      <c r="T1761" s="2">
        <f t="shared" ca="1" si="1692"/>
        <v>51107949.654512532</v>
      </c>
      <c r="U1761" s="2">
        <f t="shared" ca="1" si="1693"/>
        <v>54171648.998847976</v>
      </c>
      <c r="V1761" s="2">
        <f t="shared" ca="1" si="1694"/>
        <v>57419003.796707422</v>
      </c>
      <c r="W1761" s="2">
        <f t="shared" ca="1" si="1695"/>
        <v>60861023.393923536</v>
      </c>
      <c r="X1761" s="2">
        <f t="shared" ca="1" si="1696"/>
        <v>64509377.0987387</v>
      </c>
      <c r="Y1761" s="2">
        <f t="shared" ca="1" si="1697"/>
        <v>0.12201703015539829</v>
      </c>
      <c r="Z1761" s="2">
        <f t="shared" ca="1" si="1698"/>
        <v>0.12282384221755761</v>
      </c>
      <c r="AA1761" s="2">
        <f t="shared" ca="1" si="1699"/>
        <v>6236040.2341752332</v>
      </c>
      <c r="AB1761" s="2">
        <f t="shared" ca="1" si="1700"/>
        <v>6653570.0692994166</v>
      </c>
      <c r="AC1761" s="2">
        <f t="shared" ca="1" si="1701"/>
        <v>7052422.6626161337</v>
      </c>
      <c r="AD1761" s="2">
        <f t="shared" ca="1" si="1702"/>
        <v>7475184.7345343474</v>
      </c>
      <c r="AE1761" s="2">
        <f t="shared" ca="1" si="1703"/>
        <v>7923289.5543284062</v>
      </c>
      <c r="AF1761" s="2">
        <f t="shared" ca="1" si="1704"/>
        <v>1022158.9930902506</v>
      </c>
      <c r="AG1761" s="2">
        <f t="shared" ca="1" si="1705"/>
        <v>1083432.9799769595</v>
      </c>
      <c r="AH1761" s="2">
        <f t="shared" ca="1" si="1706"/>
        <v>1148380.0759341484</v>
      </c>
      <c r="AI1761" s="2">
        <f t="shared" ca="1" si="1707"/>
        <v>1217220.4678784707</v>
      </c>
      <c r="AJ1761" s="2">
        <f t="shared" ca="1" si="1708"/>
        <v>1290187.5419747741</v>
      </c>
      <c r="AK1761" s="2">
        <f t="shared" ca="1" si="1709"/>
        <v>0</v>
      </c>
      <c r="AL1761" s="2">
        <f t="shared" ca="1" si="1710"/>
        <v>30636.993443354444</v>
      </c>
      <c r="AM1761" s="2">
        <f t="shared" ca="1" si="1711"/>
        <v>32473.547978594452</v>
      </c>
      <c r="AN1761" s="2">
        <f t="shared" ca="1" si="1712"/>
        <v>34420.195972161142</v>
      </c>
      <c r="AO1761" s="2">
        <f t="shared" ca="1" si="1713"/>
        <v>36483.537048151644</v>
      </c>
      <c r="AP1761" s="2">
        <f t="shared" ca="1" si="1714"/>
        <v>2316563.4109376841</v>
      </c>
      <c r="AQ1761" s="2">
        <f t="shared" ca="1" si="1715"/>
        <v>753302.63583829766</v>
      </c>
      <c r="AR1761" s="2">
        <f t="shared" ca="1" si="1716"/>
        <v>845929.15638004104</v>
      </c>
      <c r="AS1761" s="2">
        <f t="shared" ca="1" si="1717"/>
        <v>932744.58569351828</v>
      </c>
      <c r="AT1761" s="2">
        <f t="shared" ca="1" si="1718"/>
        <v>1024764.2224867302</v>
      </c>
      <c r="AU1761" s="2">
        <f t="shared" ca="1" si="1719"/>
        <v>1122300.0363681468</v>
      </c>
      <c r="AV1761" s="2">
        <f t="shared" ca="1" si="1720"/>
        <v>2144015.1943090013</v>
      </c>
      <c r="AW1761" s="2">
        <f t="shared" ca="1" si="1721"/>
        <v>2377007.5285613774</v>
      </c>
      <c r="AX1761" s="2">
        <f t="shared" ca="1" si="1722"/>
        <v>2622261.0420721876</v>
      </c>
      <c r="AY1761" s="2">
        <f t="shared" ca="1" si="1723"/>
        <v>2882216.4372593011</v>
      </c>
      <c r="AZ1761" s="2">
        <f t="shared" ca="1" si="1724"/>
        <v>3157755.0279996502</v>
      </c>
      <c r="BA1761" s="2">
        <f t="shared" ca="1" si="1725"/>
        <v>60935712.300951518</v>
      </c>
      <c r="BB1761" s="2">
        <f t="shared" ca="1" si="1726"/>
        <v>1218714.2460190305</v>
      </c>
      <c r="BC1761" s="2">
        <f t="shared" ca="1" si="1727"/>
        <v>33977404.600069337</v>
      </c>
      <c r="BD1761" s="2">
        <f t="shared" ca="1" si="1728"/>
        <v>-18732212.030528069</v>
      </c>
      <c r="BE1761" s="2">
        <f t="shared" ca="1" si="1729"/>
        <v>2144015.1943090013</v>
      </c>
      <c r="BF1761" s="2">
        <f t="shared" ca="1" si="1730"/>
        <v>2377007.5285613774</v>
      </c>
      <c r="BG1761" s="2">
        <f t="shared" ca="1" si="1731"/>
        <v>2622261.0420721876</v>
      </c>
      <c r="BH1761" s="2">
        <f t="shared" ca="1" si="1732"/>
        <v>2882216.4372593011</v>
      </c>
      <c r="BI1761" s="2">
        <f t="shared" ca="1" si="1733"/>
        <v>37135159.628068984</v>
      </c>
      <c r="BJ1761" s="2">
        <f t="shared" ca="1" si="1734"/>
        <v>0.23687697906204797</v>
      </c>
      <c r="BK1761" s="2">
        <f t="shared" ca="1" si="1735"/>
        <v>9846684.2292416729</v>
      </c>
    </row>
    <row r="1762" spans="1:63" x14ac:dyDescent="0.3">
      <c r="A1762" s="2">
        <v>1761</v>
      </c>
      <c r="B1762" s="2">
        <f t="shared" ca="1" si="1674"/>
        <v>0.7013523233141773</v>
      </c>
      <c r="C1762" s="2">
        <f t="shared" ca="1" si="1675"/>
        <v>7.2271511445491781</v>
      </c>
      <c r="D1762" s="2">
        <f t="shared" ca="1" si="1676"/>
        <v>7.4833256130939163E-2</v>
      </c>
      <c r="E1762" s="2">
        <f t="shared" ca="1" si="1677"/>
        <v>6.8868675642411477</v>
      </c>
      <c r="F1762" s="2">
        <f t="shared" ca="1" si="1678"/>
        <v>0.89642437656065588</v>
      </c>
      <c r="G1762" s="2">
        <f t="shared" ca="1" si="1679"/>
        <v>7.7843126482291553E-2</v>
      </c>
      <c r="H1762" s="2">
        <f t="shared" ca="1" si="1680"/>
        <v>7.7843126482291553E-2</v>
      </c>
      <c r="I1762" s="2">
        <f t="shared" ca="1" si="1681"/>
        <v>0.80950783978514262</v>
      </c>
      <c r="J1762" s="2">
        <f t="shared" ca="1" si="1682"/>
        <v>1.4380420457931161E-2</v>
      </c>
      <c r="K1762" s="2">
        <f t="shared" ca="1" si="1683"/>
        <v>1.4380420457931161E-2</v>
      </c>
      <c r="L1762" s="2">
        <f t="shared" ca="1" si="1684"/>
        <v>0.72010042546003228</v>
      </c>
      <c r="M1762" s="2">
        <f t="shared" ca="1" si="1685"/>
        <v>1.1662797301003041E-2</v>
      </c>
      <c r="N1762" s="2">
        <f t="shared" ca="1" si="1686"/>
        <v>1.1662797301003041E-2</v>
      </c>
      <c r="O1762" s="2">
        <f t="shared" si="1687"/>
        <v>6000000</v>
      </c>
      <c r="P1762" s="2">
        <f t="shared" ca="1" si="1688"/>
        <v>43362906.867295071</v>
      </c>
      <c r="Q1762" s="2">
        <f t="shared" ca="1" si="1689"/>
        <v>1084072.6716823769</v>
      </c>
      <c r="R1762" s="2">
        <f t="shared" ca="1" si="1690"/>
        <v>26017744.120377041</v>
      </c>
      <c r="S1762" s="2">
        <f t="shared" ca="1" si="1691"/>
        <v>17345162.74691803</v>
      </c>
      <c r="T1762" s="2">
        <f t="shared" ca="1" si="1692"/>
        <v>50583139.865050152</v>
      </c>
      <c r="U1762" s="2">
        <f t="shared" ca="1" si="1693"/>
        <v>54520689.619436696</v>
      </c>
      <c r="V1762" s="2">
        <f t="shared" ca="1" si="1694"/>
        <v>58764750.557384275</v>
      </c>
      <c r="W1762" s="2">
        <f t="shared" ca="1" si="1695"/>
        <v>63339182.467723057</v>
      </c>
      <c r="X1762" s="2">
        <f t="shared" ca="1" si="1696"/>
        <v>68269702.459842965</v>
      </c>
      <c r="Y1762" s="2">
        <f t="shared" ca="1" si="1697"/>
        <v>0.12719021022896557</v>
      </c>
      <c r="Z1762" s="2">
        <f t="shared" ca="1" si="1698"/>
        <v>0.13006629432055181</v>
      </c>
      <c r="AA1762" s="2">
        <f t="shared" ca="1" si="1699"/>
        <v>6433680.1934768977</v>
      </c>
      <c r="AB1762" s="2">
        <f t="shared" ca="1" si="1700"/>
        <v>7091304.0626011072</v>
      </c>
      <c r="AC1762" s="2">
        <f t="shared" ca="1" si="1701"/>
        <v>7643313.3416705541</v>
      </c>
      <c r="AD1762" s="2">
        <f t="shared" ca="1" si="1702"/>
        <v>8238292.7488700021</v>
      </c>
      <c r="AE1762" s="2">
        <f t="shared" ca="1" si="1703"/>
        <v>8879587.2133184355</v>
      </c>
      <c r="AF1762" s="2">
        <f t="shared" ca="1" si="1704"/>
        <v>1011662.797301003</v>
      </c>
      <c r="AG1762" s="2">
        <f t="shared" ca="1" si="1705"/>
        <v>1090413.7923887339</v>
      </c>
      <c r="AH1762" s="2">
        <f t="shared" ca="1" si="1706"/>
        <v>1175295.0111476856</v>
      </c>
      <c r="AI1762" s="2">
        <f t="shared" ca="1" si="1707"/>
        <v>1266783.6493544611</v>
      </c>
      <c r="AJ1762" s="2">
        <f t="shared" ca="1" si="1708"/>
        <v>1365394.0491968594</v>
      </c>
      <c r="AK1762" s="2">
        <f t="shared" ca="1" si="1709"/>
        <v>0</v>
      </c>
      <c r="AL1762" s="2">
        <f t="shared" ca="1" si="1710"/>
        <v>39375.497543865444</v>
      </c>
      <c r="AM1762" s="2">
        <f t="shared" ca="1" si="1711"/>
        <v>42440.609379475791</v>
      </c>
      <c r="AN1762" s="2">
        <f t="shared" ca="1" si="1712"/>
        <v>45744.319103387817</v>
      </c>
      <c r="AO1762" s="2">
        <f t="shared" ca="1" si="1713"/>
        <v>49305.199921199084</v>
      </c>
      <c r="AP1762" s="2">
        <f t="shared" ca="1" si="1714"/>
        <v>2341596.9708339334</v>
      </c>
      <c r="AQ1762" s="2">
        <f t="shared" ca="1" si="1715"/>
        <v>800909.31058891001</v>
      </c>
      <c r="AR1762" s="2">
        <f t="shared" ca="1" si="1716"/>
        <v>951416.25783839426</v>
      </c>
      <c r="AS1762" s="2">
        <f t="shared" ca="1" si="1717"/>
        <v>1072869.5535191232</v>
      </c>
      <c r="AT1762" s="2">
        <f t="shared" ca="1" si="1718"/>
        <v>1203777.1534572181</v>
      </c>
      <c r="AU1762" s="2">
        <f t="shared" ca="1" si="1719"/>
        <v>1344875.010254787</v>
      </c>
      <c r="AV1762" s="2">
        <f t="shared" ca="1" si="1720"/>
        <v>2279511.1147530512</v>
      </c>
      <c r="AW1762" s="2">
        <f t="shared" ca="1" si="1721"/>
        <v>2668501.543996179</v>
      </c>
      <c r="AX1762" s="2">
        <f t="shared" ca="1" si="1722"/>
        <v>3011111.1967903362</v>
      </c>
      <c r="AY1762" s="2">
        <f t="shared" ca="1" si="1723"/>
        <v>3380390.6561210011</v>
      </c>
      <c r="AZ1762" s="2">
        <f t="shared" ca="1" si="1724"/>
        <v>3778415.9831116558</v>
      </c>
      <c r="BA1762" s="2">
        <f t="shared" ca="1" si="1725"/>
        <v>61152541.163253173</v>
      </c>
      <c r="BB1762" s="2">
        <f t="shared" ca="1" si="1726"/>
        <v>1223050.8232650636</v>
      </c>
      <c r="BC1762" s="2">
        <f t="shared" ca="1" si="1727"/>
        <v>33911746.219611071</v>
      </c>
      <c r="BD1762" s="2">
        <f t="shared" ca="1" si="1728"/>
        <v>-18929235.418600406</v>
      </c>
      <c r="BE1762" s="2">
        <f t="shared" ca="1" si="1729"/>
        <v>2279511.1147530512</v>
      </c>
      <c r="BF1762" s="2">
        <f t="shared" ca="1" si="1730"/>
        <v>2668501.543996179</v>
      </c>
      <c r="BG1762" s="2">
        <f t="shared" ca="1" si="1731"/>
        <v>3011111.1967903362</v>
      </c>
      <c r="BH1762" s="2">
        <f t="shared" ca="1" si="1732"/>
        <v>3380390.6561210011</v>
      </c>
      <c r="BI1762" s="2">
        <f t="shared" ca="1" si="1733"/>
        <v>37690162.202722728</v>
      </c>
      <c r="BJ1762" s="2">
        <f t="shared" ca="1" si="1734"/>
        <v>0.24804534787114552</v>
      </c>
      <c r="BK1762" s="2">
        <f t="shared" ca="1" si="1735"/>
        <v>10911314.533634078</v>
      </c>
    </row>
    <row r="1763" spans="1:63" x14ac:dyDescent="0.3">
      <c r="A1763" s="2">
        <v>1762</v>
      </c>
      <c r="B1763" s="2">
        <f t="shared" ca="1" si="1674"/>
        <v>0.50755522833653877</v>
      </c>
      <c r="C1763" s="2">
        <f t="shared" ca="1" si="1675"/>
        <v>7.0075839867641587</v>
      </c>
      <c r="D1763" s="2">
        <f t="shared" ca="1" si="1676"/>
        <v>9.3269486234366261E-2</v>
      </c>
      <c r="E1763" s="2">
        <f t="shared" ca="1" si="1677"/>
        <v>6.9319015772936385</v>
      </c>
      <c r="F1763" s="2">
        <f t="shared" ca="1" si="1678"/>
        <v>0.7768403040684686</v>
      </c>
      <c r="G1763" s="2">
        <f t="shared" ca="1" si="1679"/>
        <v>6.2846964012655562E-2</v>
      </c>
      <c r="H1763" s="2">
        <f t="shared" ca="1" si="1680"/>
        <v>6.2846964012655562E-2</v>
      </c>
      <c r="I1763" s="2">
        <f t="shared" ca="1" si="1681"/>
        <v>0.56432419950145063</v>
      </c>
      <c r="J1763" s="2">
        <f t="shared" ca="1" si="1682"/>
        <v>1.0809709537186685E-2</v>
      </c>
      <c r="K1763" s="2">
        <f t="shared" ca="1" si="1683"/>
        <v>1.0809709537186685E-2</v>
      </c>
      <c r="L1763" s="2">
        <f t="shared" ca="1" si="1684"/>
        <v>0.74980881976453662</v>
      </c>
      <c r="M1763" s="2">
        <f t="shared" ca="1" si="1685"/>
        <v>1.3477765075674573E-2</v>
      </c>
      <c r="N1763" s="2">
        <f t="shared" ca="1" si="1686"/>
        <v>1.3477765075674573E-2</v>
      </c>
      <c r="O1763" s="2">
        <f t="shared" si="1687"/>
        <v>6000000</v>
      </c>
      <c r="P1763" s="2">
        <f t="shared" ca="1" si="1688"/>
        <v>42045503.920584954</v>
      </c>
      <c r="Q1763" s="2">
        <f t="shared" ca="1" si="1689"/>
        <v>1051137.5980146239</v>
      </c>
      <c r="R1763" s="2">
        <f t="shared" ca="1" si="1690"/>
        <v>25227302.352350973</v>
      </c>
      <c r="S1763" s="2">
        <f t="shared" ca="1" si="1691"/>
        <v>16818201.568233982</v>
      </c>
      <c r="T1763" s="2">
        <f t="shared" ca="1" si="1692"/>
        <v>50673888.253783725</v>
      </c>
      <c r="U1763" s="2">
        <f t="shared" ca="1" si="1693"/>
        <v>53858588.285250604</v>
      </c>
      <c r="V1763" s="2">
        <f t="shared" ca="1" si="1694"/>
        <v>57243437.044986188</v>
      </c>
      <c r="W1763" s="2">
        <f t="shared" ca="1" si="1695"/>
        <v>60841013.272913158</v>
      </c>
      <c r="X1763" s="2">
        <f t="shared" ca="1" si="1696"/>
        <v>64664686.244569436</v>
      </c>
      <c r="Y1763" s="2">
        <f t="shared" ca="1" si="1697"/>
        <v>0.12540485476859334</v>
      </c>
      <c r="Z1763" s="2">
        <f t="shared" ca="1" si="1698"/>
        <v>0.12756679667603069</v>
      </c>
      <c r="AA1763" s="2">
        <f t="shared" ca="1" si="1699"/>
        <v>6354751.5970256757</v>
      </c>
      <c r="AB1763" s="2">
        <f t="shared" ca="1" si="1700"/>
        <v>6870567.581042612</v>
      </c>
      <c r="AC1763" s="2">
        <f t="shared" ca="1" si="1701"/>
        <v>7302361.8945549158</v>
      </c>
      <c r="AD1763" s="2">
        <f t="shared" ca="1" si="1702"/>
        <v>7761293.1697493969</v>
      </c>
      <c r="AE1763" s="2">
        <f t="shared" ca="1" si="1703"/>
        <v>8249066.8822803078</v>
      </c>
      <c r="AF1763" s="2">
        <f t="shared" ca="1" si="1704"/>
        <v>1013477.7650756745</v>
      </c>
      <c r="AG1763" s="2">
        <f t="shared" ca="1" si="1705"/>
        <v>1077171.765705012</v>
      </c>
      <c r="AH1763" s="2">
        <f t="shared" ca="1" si="1706"/>
        <v>1144868.7408997237</v>
      </c>
      <c r="AI1763" s="2">
        <f t="shared" ca="1" si="1707"/>
        <v>1216820.2654582632</v>
      </c>
      <c r="AJ1763" s="2">
        <f t="shared" ca="1" si="1708"/>
        <v>1293293.7248913888</v>
      </c>
      <c r="AK1763" s="2">
        <f t="shared" ca="1" si="1709"/>
        <v>0</v>
      </c>
      <c r="AL1763" s="2">
        <f t="shared" ca="1" si="1710"/>
        <v>31847.000314668789</v>
      </c>
      <c r="AM1763" s="2">
        <f t="shared" ca="1" si="1711"/>
        <v>33848.487597355845</v>
      </c>
      <c r="AN1763" s="2">
        <f t="shared" ca="1" si="1712"/>
        <v>35975.762279269693</v>
      </c>
      <c r="AO1763" s="2">
        <f t="shared" ca="1" si="1713"/>
        <v>38236.729716562775</v>
      </c>
      <c r="AP1763" s="2">
        <f t="shared" ca="1" si="1714"/>
        <v>2270457.2117115874</v>
      </c>
      <c r="AQ1763" s="2">
        <f t="shared" ca="1" si="1715"/>
        <v>798412.32126198767</v>
      </c>
      <c r="AR1763" s="2">
        <f t="shared" ca="1" si="1716"/>
        <v>915964.03694276337</v>
      </c>
      <c r="AS1763" s="2">
        <f t="shared" ca="1" si="1717"/>
        <v>1010629.3449053372</v>
      </c>
      <c r="AT1763" s="2">
        <f t="shared" ca="1" si="1718"/>
        <v>1111244.0800706821</v>
      </c>
      <c r="AU1763" s="2">
        <f t="shared" ca="1" si="1719"/>
        <v>1218182.1458761063</v>
      </c>
      <c r="AV1763" s="2">
        <f t="shared" ca="1" si="1720"/>
        <v>2272404.298976426</v>
      </c>
      <c r="AW1763" s="2">
        <f t="shared" ca="1" si="1721"/>
        <v>2575127.5663685808</v>
      </c>
      <c r="AX1763" s="2">
        <f t="shared" ca="1" si="1722"/>
        <v>2842558.1094409116</v>
      </c>
      <c r="AY1763" s="2">
        <f t="shared" ca="1" si="1723"/>
        <v>3126795.8502295949</v>
      </c>
      <c r="AZ1763" s="2">
        <f t="shared" ca="1" si="1724"/>
        <v>3428897.0700846631</v>
      </c>
      <c r="BA1763" s="2">
        <f t="shared" ca="1" si="1725"/>
        <v>57181719.73247958</v>
      </c>
      <c r="BB1763" s="2">
        <f t="shared" ca="1" si="1726"/>
        <v>1143634.3946495915</v>
      </c>
      <c r="BC1763" s="2">
        <f t="shared" ca="1" si="1727"/>
        <v>30810782.985479016</v>
      </c>
      <c r="BD1763" s="2">
        <f t="shared" ca="1" si="1728"/>
        <v>-18369339.166248605</v>
      </c>
      <c r="BE1763" s="2">
        <f t="shared" ca="1" si="1729"/>
        <v>2272404.298976426</v>
      </c>
      <c r="BF1763" s="2">
        <f t="shared" ca="1" si="1730"/>
        <v>2575127.5663685808</v>
      </c>
      <c r="BG1763" s="2">
        <f t="shared" ca="1" si="1731"/>
        <v>2842558.1094409116</v>
      </c>
      <c r="BH1763" s="2">
        <f t="shared" ca="1" si="1732"/>
        <v>3126795.8502295949</v>
      </c>
      <c r="BI1763" s="2">
        <f t="shared" ca="1" si="1733"/>
        <v>34239680.055563681</v>
      </c>
      <c r="BJ1763" s="2">
        <f t="shared" ca="1" si="1734"/>
        <v>0.23384517019481343</v>
      </c>
      <c r="BK1763" s="2">
        <f t="shared" ca="1" si="1735"/>
        <v>9151395.1739769801</v>
      </c>
    </row>
    <row r="1764" spans="1:63" x14ac:dyDescent="0.3">
      <c r="A1764" s="2">
        <v>1763</v>
      </c>
      <c r="B1764" s="2">
        <f t="shared" ca="1" si="1674"/>
        <v>0.66596356086712327</v>
      </c>
      <c r="C1764" s="2">
        <f t="shared" ca="1" si="1675"/>
        <v>7.1826427474685541</v>
      </c>
      <c r="D1764" s="2">
        <f t="shared" ca="1" si="1676"/>
        <v>0.78356687559637461</v>
      </c>
      <c r="E1764" s="2">
        <f t="shared" ca="1" si="1677"/>
        <v>7.8420742832148518</v>
      </c>
      <c r="F1764" s="2">
        <f t="shared" ca="1" si="1678"/>
        <v>0.92558017848220786</v>
      </c>
      <c r="G1764" s="2">
        <f t="shared" ca="1" si="1679"/>
        <v>8.3309266517181874E-2</v>
      </c>
      <c r="H1764" s="2">
        <f t="shared" ca="1" si="1680"/>
        <v>8.3309266517181874E-2</v>
      </c>
      <c r="I1764" s="2">
        <f t="shared" ca="1" si="1681"/>
        <v>0.96455149294104792</v>
      </c>
      <c r="J1764" s="2">
        <f t="shared" ca="1" si="1682"/>
        <v>1.903068271105926E-2</v>
      </c>
      <c r="K1764" s="2">
        <f t="shared" ca="1" si="1683"/>
        <v>1.903068271105926E-2</v>
      </c>
      <c r="L1764" s="2">
        <f t="shared" ca="1" si="1684"/>
        <v>0.9786464834127131</v>
      </c>
      <c r="M1764" s="2">
        <f t="shared" ca="1" si="1685"/>
        <v>4.0531277689038268E-2</v>
      </c>
      <c r="N1764" s="2">
        <f t="shared" ca="1" si="1686"/>
        <v>4.0531277689038268E-2</v>
      </c>
      <c r="O1764" s="2">
        <f t="shared" si="1687"/>
        <v>6000000</v>
      </c>
      <c r="P1764" s="2">
        <f t="shared" ca="1" si="1688"/>
        <v>43095856.484811328</v>
      </c>
      <c r="Q1764" s="2">
        <f t="shared" ca="1" si="1689"/>
        <v>1077396.4121202833</v>
      </c>
      <c r="R1764" s="2">
        <f t="shared" ca="1" si="1690"/>
        <v>25857513.890886795</v>
      </c>
      <c r="S1764" s="2">
        <f t="shared" ca="1" si="1691"/>
        <v>17238342.593924534</v>
      </c>
      <c r="T1764" s="2">
        <f t="shared" ca="1" si="1692"/>
        <v>52026563.884451918</v>
      </c>
      <c r="U1764" s="2">
        <f t="shared" ca="1" si="1693"/>
        <v>56360858.761074916</v>
      </c>
      <c r="V1764" s="2">
        <f t="shared" ca="1" si="1694"/>
        <v>61056240.564738557</v>
      </c>
      <c r="W1764" s="2">
        <f t="shared" ca="1" si="1695"/>
        <v>66142791.182483539</v>
      </c>
      <c r="X1764" s="2">
        <f t="shared" ca="1" si="1696"/>
        <v>71653098.601295367</v>
      </c>
      <c r="Y1764" s="2">
        <f t="shared" ca="1" si="1697"/>
        <v>0.12951534135552961</v>
      </c>
      <c r="Z1764" s="2">
        <f t="shared" ca="1" si="1698"/>
        <v>0.13332147789774149</v>
      </c>
      <c r="AA1764" s="2">
        <f t="shared" ca="1" si="1699"/>
        <v>6738238.1810500585</v>
      </c>
      <c r="AB1764" s="2">
        <f t="shared" ca="1" si="1700"/>
        <v>7514112.9856123794</v>
      </c>
      <c r="AC1764" s="2">
        <f t="shared" ca="1" si="1701"/>
        <v>8140108.226970979</v>
      </c>
      <c r="AD1764" s="2">
        <f t="shared" ca="1" si="1702"/>
        <v>8818254.6727304105</v>
      </c>
      <c r="AE1764" s="2">
        <f t="shared" ca="1" si="1703"/>
        <v>9552897.0014772918</v>
      </c>
      <c r="AF1764" s="2">
        <f t="shared" ca="1" si="1704"/>
        <v>1040531.2776890384</v>
      </c>
      <c r="AG1764" s="2">
        <f t="shared" ca="1" si="1705"/>
        <v>1127217.1752214984</v>
      </c>
      <c r="AH1764" s="2">
        <f t="shared" ca="1" si="1706"/>
        <v>1221124.8112947713</v>
      </c>
      <c r="AI1764" s="2">
        <f t="shared" ca="1" si="1707"/>
        <v>1322855.8236496707</v>
      </c>
      <c r="AJ1764" s="2">
        <f t="shared" ca="1" si="1708"/>
        <v>1433061.9720259074</v>
      </c>
      <c r="AK1764" s="2">
        <f t="shared" ca="1" si="1709"/>
        <v>0</v>
      </c>
      <c r="AL1764" s="2">
        <f t="shared" ca="1" si="1710"/>
        <v>43342.948766229973</v>
      </c>
      <c r="AM1764" s="2">
        <f t="shared" ca="1" si="1711"/>
        <v>46953.81803663641</v>
      </c>
      <c r="AN1764" s="2">
        <f t="shared" ca="1" si="1712"/>
        <v>50865.506177449824</v>
      </c>
      <c r="AO1764" s="2">
        <f t="shared" ca="1" si="1713"/>
        <v>55103.074188118277</v>
      </c>
      <c r="AP1764" s="2">
        <f t="shared" ca="1" si="1714"/>
        <v>2327176.2501798114</v>
      </c>
      <c r="AQ1764" s="2">
        <f t="shared" ca="1" si="1715"/>
        <v>876337.96982711414</v>
      </c>
      <c r="AR1764" s="2">
        <f t="shared" ca="1" si="1716"/>
        <v>1055527.0856548783</v>
      </c>
      <c r="AS1764" s="2">
        <f t="shared" ca="1" si="1717"/>
        <v>1193869.8630290632</v>
      </c>
      <c r="AT1764" s="2">
        <f t="shared" ca="1" si="1718"/>
        <v>1343737.8757142413</v>
      </c>
      <c r="AU1764" s="2">
        <f t="shared" ca="1" si="1719"/>
        <v>1506091.282610609</v>
      </c>
      <c r="AV1764" s="2">
        <f t="shared" ca="1" si="1720"/>
        <v>2494192.6833540937</v>
      </c>
      <c r="AW1764" s="2">
        <f t="shared" ca="1" si="1721"/>
        <v>2960849.5257899622</v>
      </c>
      <c r="AX1764" s="2">
        <f t="shared" ca="1" si="1722"/>
        <v>3350983.4844306977</v>
      </c>
      <c r="AY1764" s="2">
        <f t="shared" ca="1" si="1723"/>
        <v>3773619.217009237</v>
      </c>
      <c r="AZ1764" s="2">
        <f t="shared" ca="1" si="1724"/>
        <v>4231464.4224728458</v>
      </c>
      <c r="BA1764" s="2">
        <f t="shared" ca="1" si="1725"/>
        <v>74914527.905485347</v>
      </c>
      <c r="BB1764" s="2">
        <f t="shared" ca="1" si="1726"/>
        <v>1498290.558109707</v>
      </c>
      <c r="BC1764" s="2">
        <f t="shared" ca="1" si="1727"/>
        <v>47558723.45648884</v>
      </c>
      <c r="BD1764" s="2">
        <f t="shared" ca="1" si="1728"/>
        <v>-18815739.006044816</v>
      </c>
      <c r="BE1764" s="2">
        <f t="shared" ca="1" si="1729"/>
        <v>2494192.6833540937</v>
      </c>
      <c r="BF1764" s="2">
        <f t="shared" ca="1" si="1730"/>
        <v>2960849.5257899622</v>
      </c>
      <c r="BG1764" s="2">
        <f t="shared" ca="1" si="1731"/>
        <v>3350983.4844306977</v>
      </c>
      <c r="BH1764" s="2">
        <f t="shared" ca="1" si="1732"/>
        <v>3773619.217009237</v>
      </c>
      <c r="BI1764" s="2">
        <f t="shared" ca="1" si="1733"/>
        <v>51790187.878961682</v>
      </c>
      <c r="BJ1764" s="2">
        <f t="shared" ca="1" si="1734"/>
        <v>0.32669796239394011</v>
      </c>
      <c r="BK1764" s="2">
        <f t="shared" ca="1" si="1735"/>
        <v>19942100.414886225</v>
      </c>
    </row>
    <row r="1765" spans="1:63" x14ac:dyDescent="0.3">
      <c r="A1765" s="2">
        <v>1764</v>
      </c>
      <c r="B1765" s="2">
        <f t="shared" ca="1" si="1674"/>
        <v>0.97035278262016544</v>
      </c>
      <c r="C1765" s="2">
        <f t="shared" ca="1" si="1675"/>
        <v>7.7564955138818403</v>
      </c>
      <c r="D1765" s="2">
        <f t="shared" ca="1" si="1676"/>
        <v>0.75962306906749899</v>
      </c>
      <c r="E1765" s="2">
        <f t="shared" ca="1" si="1677"/>
        <v>7.806635837481485</v>
      </c>
      <c r="F1765" s="2">
        <f t="shared" ca="1" si="1678"/>
        <v>0.5976705465959421</v>
      </c>
      <c r="G1765" s="2">
        <f t="shared" ca="1" si="1679"/>
        <v>4.7419664931299649E-2</v>
      </c>
      <c r="H1765" s="2">
        <f t="shared" ca="1" si="1680"/>
        <v>4.7419664931299649E-2</v>
      </c>
      <c r="I1765" s="2">
        <f t="shared" ca="1" si="1681"/>
        <v>0.63943823711335301</v>
      </c>
      <c r="J1765" s="2">
        <f t="shared" ca="1" si="1682"/>
        <v>1.1784788146540288E-2</v>
      </c>
      <c r="K1765" s="2">
        <f t="shared" ca="1" si="1683"/>
        <v>1.1784788146540288E-2</v>
      </c>
      <c r="L1765" s="2">
        <f t="shared" ca="1" si="1684"/>
        <v>0.66087820003065367</v>
      </c>
      <c r="M1765" s="2">
        <f t="shared" ca="1" si="1685"/>
        <v>8.2972216756048173E-3</v>
      </c>
      <c r="N1765" s="2">
        <f t="shared" ca="1" si="1686"/>
        <v>8.2972216756048173E-3</v>
      </c>
      <c r="O1765" s="2">
        <f t="shared" si="1687"/>
        <v>6000000</v>
      </c>
      <c r="P1765" s="2">
        <f t="shared" ca="1" si="1688"/>
        <v>46538973.083291039</v>
      </c>
      <c r="Q1765" s="2">
        <f t="shared" ca="1" si="1689"/>
        <v>1163474.3270822761</v>
      </c>
      <c r="R1765" s="2">
        <f t="shared" ca="1" si="1690"/>
        <v>27923383.849974621</v>
      </c>
      <c r="S1765" s="2">
        <f t="shared" ca="1" si="1691"/>
        <v>18615589.233316418</v>
      </c>
      <c r="T1765" s="2">
        <f t="shared" ca="1" si="1692"/>
        <v>50414861.083780237</v>
      </c>
      <c r="U1765" s="2">
        <f t="shared" ca="1" si="1693"/>
        <v>52805516.903931119</v>
      </c>
      <c r="V1765" s="2">
        <f t="shared" ca="1" si="1694"/>
        <v>55309536.822039612</v>
      </c>
      <c r="W1765" s="2">
        <f t="shared" ca="1" si="1695"/>
        <v>57932296.525646113</v>
      </c>
      <c r="X1765" s="2">
        <f t="shared" ca="1" si="1696"/>
        <v>60679426.615592949</v>
      </c>
      <c r="Y1765" s="2">
        <f t="shared" ca="1" si="1697"/>
        <v>0.12589239407327013</v>
      </c>
      <c r="Z1765" s="2">
        <f t="shared" ca="1" si="1698"/>
        <v>0.1282493517025782</v>
      </c>
      <c r="AA1765" s="2">
        <f t="shared" ca="1" si="1699"/>
        <v>6346847.5587084321</v>
      </c>
      <c r="AB1765" s="2">
        <f t="shared" ca="1" si="1700"/>
        <v>6772273.3092487007</v>
      </c>
      <c r="AC1765" s="2">
        <f t="shared" ca="1" si="1701"/>
        <v>7093412.2403964577</v>
      </c>
      <c r="AD1765" s="2">
        <f t="shared" ca="1" si="1702"/>
        <v>7429779.4720556373</v>
      </c>
      <c r="AE1765" s="2">
        <f t="shared" ca="1" si="1703"/>
        <v>7782097.1251339642</v>
      </c>
      <c r="AF1765" s="2">
        <f t="shared" ca="1" si="1704"/>
        <v>1008297.2216756047</v>
      </c>
      <c r="AG1765" s="2">
        <f t="shared" ca="1" si="1705"/>
        <v>1056110.3380786225</v>
      </c>
      <c r="AH1765" s="2">
        <f t="shared" ca="1" si="1706"/>
        <v>1106190.7364407922</v>
      </c>
      <c r="AI1765" s="2">
        <f t="shared" ca="1" si="1707"/>
        <v>1158645.9305129224</v>
      </c>
      <c r="AJ1765" s="2">
        <f t="shared" ca="1" si="1708"/>
        <v>1213588.5323118591</v>
      </c>
      <c r="AK1765" s="2">
        <f t="shared" ca="1" si="1709"/>
        <v>0</v>
      </c>
      <c r="AL1765" s="2">
        <f t="shared" ca="1" si="1710"/>
        <v>23906.558201508822</v>
      </c>
      <c r="AM1765" s="2">
        <f t="shared" ca="1" si="1711"/>
        <v>25040.199181084932</v>
      </c>
      <c r="AN1765" s="2">
        <f t="shared" ca="1" si="1712"/>
        <v>26227.597036065014</v>
      </c>
      <c r="AO1765" s="2">
        <f t="shared" ca="1" si="1713"/>
        <v>27471.300899468362</v>
      </c>
      <c r="AP1765" s="2">
        <f t="shared" ca="1" si="1714"/>
        <v>2513104.5464977156</v>
      </c>
      <c r="AQ1765" s="2">
        <f t="shared" ca="1" si="1715"/>
        <v>734615.90553912916</v>
      </c>
      <c r="AR1765" s="2">
        <f t="shared" ca="1" si="1716"/>
        <v>832795.19041481428</v>
      </c>
      <c r="AS1765" s="2">
        <f t="shared" ca="1" si="1717"/>
        <v>903270.40893906716</v>
      </c>
      <c r="AT1765" s="2">
        <f t="shared" ca="1" si="1718"/>
        <v>977087.53871169977</v>
      </c>
      <c r="AU1765" s="2">
        <f t="shared" ca="1" si="1719"/>
        <v>1054405.0520443411</v>
      </c>
      <c r="AV1765" s="2">
        <f t="shared" ca="1" si="1720"/>
        <v>2090829.884995983</v>
      </c>
      <c r="AW1765" s="2">
        <f t="shared" ca="1" si="1721"/>
        <v>2346356.6760560395</v>
      </c>
      <c r="AX1765" s="2">
        <f t="shared" ca="1" si="1722"/>
        <v>2545806.3493377985</v>
      </c>
      <c r="AY1765" s="2">
        <f t="shared" ca="1" si="1723"/>
        <v>2754713.8592972346</v>
      </c>
      <c r="AZ1765" s="2">
        <f t="shared" ca="1" si="1724"/>
        <v>2973527.6933805794</v>
      </c>
      <c r="BA1765" s="2">
        <f t="shared" ca="1" si="1725"/>
        <v>60751998.307832442</v>
      </c>
      <c r="BB1765" s="2">
        <f t="shared" ca="1" si="1726"/>
        <v>1215039.9661566489</v>
      </c>
      <c r="BC1765" s="2">
        <f t="shared" ca="1" si="1727"/>
        <v>31613574.491701171</v>
      </c>
      <c r="BD1765" s="2">
        <f t="shared" ca="1" si="1728"/>
        <v>-20279063.560398694</v>
      </c>
      <c r="BE1765" s="2">
        <f t="shared" ca="1" si="1729"/>
        <v>2090829.884995983</v>
      </c>
      <c r="BF1765" s="2">
        <f t="shared" ca="1" si="1730"/>
        <v>2346356.6760560395</v>
      </c>
      <c r="BG1765" s="2">
        <f t="shared" ca="1" si="1731"/>
        <v>2545806.3493377985</v>
      </c>
      <c r="BH1765" s="2">
        <f t="shared" ca="1" si="1732"/>
        <v>2754713.8592972346</v>
      </c>
      <c r="BI1765" s="2">
        <f t="shared" ca="1" si="1733"/>
        <v>34587102.18508175</v>
      </c>
      <c r="BJ1765" s="2">
        <f t="shared" ca="1" si="1734"/>
        <v>0.19708854233160267</v>
      </c>
      <c r="BK1765" s="2">
        <f t="shared" ca="1" si="1735"/>
        <v>6646625.7875531614</v>
      </c>
    </row>
    <row r="1766" spans="1:63" x14ac:dyDescent="0.3">
      <c r="A1766" s="2">
        <v>1765</v>
      </c>
      <c r="B1766" s="2">
        <f t="shared" ca="1" si="1674"/>
        <v>0.7908638209232931</v>
      </c>
      <c r="C1766" s="2">
        <f t="shared" ca="1" si="1675"/>
        <v>7.3532602083113998</v>
      </c>
      <c r="D1766" s="2">
        <f t="shared" ca="1" si="1676"/>
        <v>0.70486471592297251</v>
      </c>
      <c r="E1766" s="2">
        <f t="shared" ca="1" si="1677"/>
        <v>7.7317093205341774</v>
      </c>
      <c r="F1766" s="2">
        <f t="shared" ca="1" si="1678"/>
        <v>0.24893967315509846</v>
      </c>
      <c r="G1766" s="2">
        <f t="shared" ca="1" si="1679"/>
        <v>1.966509333015248E-2</v>
      </c>
      <c r="H1766" s="2">
        <f t="shared" ca="1" si="1680"/>
        <v>1.966509333015248E-2</v>
      </c>
      <c r="I1766" s="2">
        <f t="shared" ca="1" si="1681"/>
        <v>0.28764560267416095</v>
      </c>
      <c r="J1766" s="2">
        <f t="shared" ca="1" si="1682"/>
        <v>7.1986200760677417E-3</v>
      </c>
      <c r="K1766" s="2">
        <f t="shared" ca="1" si="1683"/>
        <v>7.1986200760677417E-3</v>
      </c>
      <c r="L1766" s="2">
        <f t="shared" ca="1" si="1684"/>
        <v>0.67132870251573085</v>
      </c>
      <c r="M1766" s="2">
        <f t="shared" ca="1" si="1685"/>
        <v>8.8717015928063501E-3</v>
      </c>
      <c r="N1766" s="2">
        <f t="shared" ca="1" si="1686"/>
        <v>8.8717015928063501E-3</v>
      </c>
      <c r="O1766" s="2">
        <f t="shared" si="1687"/>
        <v>6000000</v>
      </c>
      <c r="P1766" s="2">
        <f t="shared" ca="1" si="1688"/>
        <v>44119561.2498684</v>
      </c>
      <c r="Q1766" s="2">
        <f t="shared" ca="1" si="1689"/>
        <v>1102989.0312467101</v>
      </c>
      <c r="R1766" s="2">
        <f t="shared" ca="1" si="1690"/>
        <v>26471736.749921039</v>
      </c>
      <c r="S1766" s="2">
        <f t="shared" ca="1" si="1691"/>
        <v>17647824.499947362</v>
      </c>
      <c r="T1766" s="2">
        <f t="shared" ca="1" si="1692"/>
        <v>50443585.079640321</v>
      </c>
      <c r="U1766" s="2">
        <f t="shared" ca="1" si="1693"/>
        <v>51435562.888138935</v>
      </c>
      <c r="V1766" s="2">
        <f t="shared" ca="1" si="1694"/>
        <v>52447048.032823116</v>
      </c>
      <c r="W1766" s="2">
        <f t="shared" ca="1" si="1695"/>
        <v>53478424.127279572</v>
      </c>
      <c r="X1766" s="2">
        <f t="shared" ca="1" si="1696"/>
        <v>54530082.328892007</v>
      </c>
      <c r="Y1766" s="2">
        <f t="shared" ca="1" si="1697"/>
        <v>0.12359931003803387</v>
      </c>
      <c r="Z1766" s="2">
        <f t="shared" ca="1" si="1698"/>
        <v>0.12503903405324743</v>
      </c>
      <c r="AA1766" s="2">
        <f t="shared" ca="1" si="1699"/>
        <v>6234792.3116884036</v>
      </c>
      <c r="AB1766" s="2">
        <f t="shared" ca="1" si="1700"/>
        <v>6431453.0995179536</v>
      </c>
      <c r="AC1766" s="2">
        <f t="shared" ca="1" si="1701"/>
        <v>6557928.2249684734</v>
      </c>
      <c r="AD1766" s="2">
        <f t="shared" ca="1" si="1702"/>
        <v>6686890.495564919</v>
      </c>
      <c r="AE1766" s="2">
        <f t="shared" ca="1" si="1703"/>
        <v>6818388.8212487139</v>
      </c>
      <c r="AF1766" s="2">
        <f t="shared" ca="1" si="1704"/>
        <v>1008871.7015928065</v>
      </c>
      <c r="AG1766" s="2">
        <f t="shared" ca="1" si="1705"/>
        <v>1028711.2577627787</v>
      </c>
      <c r="AH1766" s="2">
        <f t="shared" ca="1" si="1706"/>
        <v>1048940.9606564622</v>
      </c>
      <c r="AI1766" s="2">
        <f t="shared" ca="1" si="1707"/>
        <v>1069568.4825455914</v>
      </c>
      <c r="AJ1766" s="2">
        <f t="shared" ca="1" si="1708"/>
        <v>1090601.6465778402</v>
      </c>
      <c r="AK1766" s="2">
        <f t="shared" ca="1" si="1709"/>
        <v>0</v>
      </c>
      <c r="AL1766" s="2">
        <f t="shared" ca="1" si="1710"/>
        <v>9919.7780849861356</v>
      </c>
      <c r="AM1766" s="2">
        <f t="shared" ca="1" si="1711"/>
        <v>10114.851446841807</v>
      </c>
      <c r="AN1766" s="2">
        <f t="shared" ca="1" si="1712"/>
        <v>10313.760944564567</v>
      </c>
      <c r="AO1766" s="2">
        <f t="shared" ca="1" si="1713"/>
        <v>10516.582016124354</v>
      </c>
      <c r="AP1766" s="2">
        <f t="shared" ca="1" si="1714"/>
        <v>2382456.3074928932</v>
      </c>
      <c r="AQ1766" s="2">
        <f t="shared" ca="1" si="1715"/>
        <v>739300.71867670293</v>
      </c>
      <c r="AR1766" s="2">
        <f t="shared" ca="1" si="1716"/>
        <v>785274.23890819331</v>
      </c>
      <c r="AS1766" s="2">
        <f t="shared" ca="1" si="1717"/>
        <v>812898.04877297068</v>
      </c>
      <c r="AT1766" s="2">
        <f t="shared" ca="1" si="1718"/>
        <v>841065.08343687281</v>
      </c>
      <c r="AU1766" s="2">
        <f t="shared" ca="1" si="1719"/>
        <v>869786.02546627482</v>
      </c>
      <c r="AV1766" s="2">
        <f t="shared" ca="1" si="1720"/>
        <v>2104163.5839260006</v>
      </c>
      <c r="AW1766" s="2">
        <f t="shared" ca="1" si="1721"/>
        <v>2225091.5172691029</v>
      </c>
      <c r="AX1766" s="2">
        <f t="shared" ca="1" si="1722"/>
        <v>2303518.0565993059</v>
      </c>
      <c r="AY1766" s="2">
        <f t="shared" ca="1" si="1723"/>
        <v>2383486.8611449962</v>
      </c>
      <c r="AZ1766" s="2">
        <f t="shared" ca="1" si="1724"/>
        <v>2465028.2596955812</v>
      </c>
      <c r="BA1766" s="2">
        <f t="shared" ca="1" si="1725"/>
        <v>52717800.400274724</v>
      </c>
      <c r="BB1766" s="2">
        <f t="shared" ca="1" si="1726"/>
        <v>1054356.0080054945</v>
      </c>
      <c r="BC1766" s="2">
        <f t="shared" ca="1" si="1727"/>
        <v>25191707.642348189</v>
      </c>
      <c r="BD1766" s="2">
        <f t="shared" ca="1" si="1728"/>
        <v>-19250813.531194072</v>
      </c>
      <c r="BE1766" s="2">
        <f t="shared" ca="1" si="1729"/>
        <v>2104163.5839260006</v>
      </c>
      <c r="BF1766" s="2">
        <f t="shared" ca="1" si="1730"/>
        <v>2225091.5172691029</v>
      </c>
      <c r="BG1766" s="2">
        <f t="shared" ca="1" si="1731"/>
        <v>2303518.0565993059</v>
      </c>
      <c r="BH1766" s="2">
        <f t="shared" ca="1" si="1732"/>
        <v>2383486.8611449962</v>
      </c>
      <c r="BI1766" s="2">
        <f t="shared" ca="1" si="1733"/>
        <v>27656735.902043771</v>
      </c>
      <c r="BJ1766" s="2">
        <f t="shared" ca="1" si="1734"/>
        <v>0.16255574582043719</v>
      </c>
      <c r="BK1766" s="2">
        <f t="shared" ca="1" si="1735"/>
        <v>3249255.6244151257</v>
      </c>
    </row>
    <row r="1767" spans="1:63" x14ac:dyDescent="0.3">
      <c r="A1767" s="2">
        <v>1766</v>
      </c>
      <c r="B1767" s="2">
        <f t="shared" ca="1" si="1674"/>
        <v>0.68329388329028051</v>
      </c>
      <c r="C1767" s="2">
        <f t="shared" ca="1" si="1675"/>
        <v>7.2041280043754279</v>
      </c>
      <c r="D1767" s="2">
        <f t="shared" ca="1" si="1676"/>
        <v>0.810505088016511</v>
      </c>
      <c r="E1767" s="2">
        <f t="shared" ca="1" si="1677"/>
        <v>7.8843785059251275</v>
      </c>
      <c r="F1767" s="2">
        <f t="shared" ca="1" si="1678"/>
        <v>0.93679428893349126</v>
      </c>
      <c r="G1767" s="2">
        <f t="shared" ca="1" si="1679"/>
        <v>8.5852221581185439E-2</v>
      </c>
      <c r="H1767" s="2">
        <f t="shared" ca="1" si="1680"/>
        <v>8.5852221581185439E-2</v>
      </c>
      <c r="I1767" s="2">
        <f t="shared" ca="1" si="1681"/>
        <v>0.66739737230444818</v>
      </c>
      <c r="J1767" s="2">
        <f t="shared" ca="1" si="1682"/>
        <v>1.216368906823645E-2</v>
      </c>
      <c r="K1767" s="2">
        <f t="shared" ca="1" si="1683"/>
        <v>1.216368906823645E-2</v>
      </c>
      <c r="L1767" s="2">
        <f t="shared" ca="1" si="1684"/>
        <v>0.61967939538334116</v>
      </c>
      <c r="M1767" s="2">
        <f t="shared" ca="1" si="1685"/>
        <v>6.0927774806555802E-3</v>
      </c>
      <c r="N1767" s="2">
        <f t="shared" ca="1" si="1686"/>
        <v>6.0927774806555802E-3</v>
      </c>
      <c r="O1767" s="2">
        <f t="shared" si="1687"/>
        <v>6000000</v>
      </c>
      <c r="P1767" s="2">
        <f t="shared" ca="1" si="1688"/>
        <v>43224768.026252568</v>
      </c>
      <c r="Q1767" s="2">
        <f t="shared" ca="1" si="1689"/>
        <v>1080619.2006563141</v>
      </c>
      <c r="R1767" s="2">
        <f t="shared" ca="1" si="1690"/>
        <v>25934860.815751541</v>
      </c>
      <c r="S1767" s="2">
        <f t="shared" ca="1" si="1691"/>
        <v>17289907.210501026</v>
      </c>
      <c r="T1767" s="2">
        <f t="shared" ca="1" si="1692"/>
        <v>50304638.874032781</v>
      </c>
      <c r="U1767" s="2">
        <f t="shared" ca="1" si="1693"/>
        <v>54623403.877207756</v>
      </c>
      <c r="V1767" s="2">
        <f t="shared" ca="1" si="1694"/>
        <v>59312944.45039238</v>
      </c>
      <c r="W1767" s="2">
        <f t="shared" ca="1" si="1695"/>
        <v>64405092.49998001</v>
      </c>
      <c r="X1767" s="2">
        <f t="shared" ca="1" si="1696"/>
        <v>69934412.772245035</v>
      </c>
      <c r="Y1767" s="2">
        <f t="shared" ca="1" si="1697"/>
        <v>0.12608184453411822</v>
      </c>
      <c r="Z1767" s="2">
        <f t="shared" ca="1" si="1698"/>
        <v>0.1285145823477655</v>
      </c>
      <c r="AA1767" s="2">
        <f t="shared" ca="1" si="1699"/>
        <v>6342501.6578607606</v>
      </c>
      <c r="AB1767" s="2">
        <f t="shared" ca="1" si="1700"/>
        <v>7019903.9356926698</v>
      </c>
      <c r="AC1767" s="2">
        <f t="shared" ca="1" si="1701"/>
        <v>7622578.2838583924</v>
      </c>
      <c r="AD1767" s="2">
        <f t="shared" ca="1" si="1702"/>
        <v>8276993.5637041349</v>
      </c>
      <c r="AE1767" s="2">
        <f t="shared" ca="1" si="1703"/>
        <v>8987591.8491613083</v>
      </c>
      <c r="AF1767" s="2">
        <f t="shared" ca="1" si="1704"/>
        <v>1006092.7774806556</v>
      </c>
      <c r="AG1767" s="2">
        <f t="shared" ca="1" si="1705"/>
        <v>1092468.0775441551</v>
      </c>
      <c r="AH1767" s="2">
        <f t="shared" ca="1" si="1706"/>
        <v>1186258.8890078475</v>
      </c>
      <c r="AI1767" s="2">
        <f t="shared" ca="1" si="1707"/>
        <v>1288101.8499996003</v>
      </c>
      <c r="AJ1767" s="2">
        <f t="shared" ca="1" si="1708"/>
        <v>1398688.2554449008</v>
      </c>
      <c r="AK1767" s="2">
        <f t="shared" ca="1" si="1709"/>
        <v>0</v>
      </c>
      <c r="AL1767" s="2">
        <f t="shared" ca="1" si="1710"/>
        <v>43187.650031749756</v>
      </c>
      <c r="AM1767" s="2">
        <f t="shared" ca="1" si="1711"/>
        <v>46895.405731846244</v>
      </c>
      <c r="AN1767" s="2">
        <f t="shared" ca="1" si="1712"/>
        <v>50921.480495876298</v>
      </c>
      <c r="AO1767" s="2">
        <f t="shared" ca="1" si="1713"/>
        <v>55293.202722650247</v>
      </c>
      <c r="AP1767" s="2">
        <f t="shared" ca="1" si="1714"/>
        <v>2334137.4734176388</v>
      </c>
      <c r="AQ1767" s="2">
        <f t="shared" ca="1" si="1715"/>
        <v>780590.56581024127</v>
      </c>
      <c r="AR1767" s="2">
        <f t="shared" ca="1" si="1716"/>
        <v>934257.58003002789</v>
      </c>
      <c r="AS1767" s="2">
        <f t="shared" ca="1" si="1717"/>
        <v>1066567.2995725556</v>
      </c>
      <c r="AT1767" s="2">
        <f t="shared" ca="1" si="1718"/>
        <v>1210236.1024745931</v>
      </c>
      <c r="AU1767" s="2">
        <f t="shared" ca="1" si="1719"/>
        <v>1366239.1912776798</v>
      </c>
      <c r="AV1767" s="2">
        <f t="shared" ca="1" si="1720"/>
        <v>2221680.8411522256</v>
      </c>
      <c r="AW1767" s="2">
        <f t="shared" ca="1" si="1721"/>
        <v>2615853.1546690986</v>
      </c>
      <c r="AX1767" s="2">
        <f t="shared" ca="1" si="1722"/>
        <v>2988719.2161285039</v>
      </c>
      <c r="AY1767" s="2">
        <f t="shared" ca="1" si="1723"/>
        <v>3393596.6573164267</v>
      </c>
      <c r="AZ1767" s="2">
        <f t="shared" ca="1" si="1724"/>
        <v>3833233.7262984384</v>
      </c>
      <c r="BA1767" s="2">
        <f t="shared" ca="1" si="1725"/>
        <v>70861575.995555297</v>
      </c>
      <c r="BB1767" s="2">
        <f t="shared" ca="1" si="1726"/>
        <v>1417231.519911106</v>
      </c>
      <c r="BC1767" s="2">
        <f t="shared" ca="1" si="1727"/>
        <v>43509483.659892656</v>
      </c>
      <c r="BD1767" s="2">
        <f t="shared" ca="1" si="1728"/>
        <v>-18870526.41115734</v>
      </c>
      <c r="BE1767" s="2">
        <f t="shared" ca="1" si="1729"/>
        <v>2221680.8411522256</v>
      </c>
      <c r="BF1767" s="2">
        <f t="shared" ca="1" si="1730"/>
        <v>2615853.1546690986</v>
      </c>
      <c r="BG1767" s="2">
        <f t="shared" ca="1" si="1731"/>
        <v>2988719.2161285039</v>
      </c>
      <c r="BH1767" s="2">
        <f t="shared" ca="1" si="1732"/>
        <v>3393596.6573164267</v>
      </c>
      <c r="BI1767" s="2">
        <f t="shared" ca="1" si="1733"/>
        <v>47342717.386191092</v>
      </c>
      <c r="BJ1767" s="2">
        <f t="shared" ca="1" si="1734"/>
        <v>0.29477883618897005</v>
      </c>
      <c r="BK1767" s="2">
        <f t="shared" ca="1" si="1735"/>
        <v>16345991.914949134</v>
      </c>
    </row>
    <row r="1768" spans="1:63" x14ac:dyDescent="0.3">
      <c r="A1768" s="2">
        <v>1767</v>
      </c>
      <c r="B1768" s="2">
        <f t="shared" ca="1" si="1674"/>
        <v>0.77968151726333423</v>
      </c>
      <c r="C1768" s="2">
        <f t="shared" ca="1" si="1675"/>
        <v>7.3361950847776649</v>
      </c>
      <c r="D1768" s="2">
        <f t="shared" ca="1" si="1676"/>
        <v>0.36157849170775702</v>
      </c>
      <c r="E1768" s="2">
        <f t="shared" ca="1" si="1677"/>
        <v>7.3503863730184733</v>
      </c>
      <c r="F1768" s="2">
        <f t="shared" ca="1" si="1678"/>
        <v>0.69211474866696943</v>
      </c>
      <c r="G1768" s="2">
        <f t="shared" ca="1" si="1679"/>
        <v>5.5055608152901711E-2</v>
      </c>
      <c r="H1768" s="2">
        <f t="shared" ca="1" si="1680"/>
        <v>5.5055608152901711E-2</v>
      </c>
      <c r="I1768" s="2">
        <f t="shared" ca="1" si="1681"/>
        <v>0.80719891727863524</v>
      </c>
      <c r="J1768" s="2">
        <f t="shared" ca="1" si="1682"/>
        <v>1.4338102086409527E-2</v>
      </c>
      <c r="K1768" s="2">
        <f t="shared" ca="1" si="1683"/>
        <v>1.4338102086409527E-2</v>
      </c>
      <c r="L1768" s="2">
        <f t="shared" ca="1" si="1684"/>
        <v>0.59239243785776485</v>
      </c>
      <c r="M1768" s="2">
        <f t="shared" ca="1" si="1685"/>
        <v>4.6740711876019428E-3</v>
      </c>
      <c r="N1768" s="2">
        <f t="shared" ca="1" si="1686"/>
        <v>4.6740711876019428E-3</v>
      </c>
      <c r="O1768" s="2">
        <f t="shared" si="1687"/>
        <v>6000000</v>
      </c>
      <c r="P1768" s="2">
        <f t="shared" ca="1" si="1688"/>
        <v>44017170.508665986</v>
      </c>
      <c r="Q1768" s="2">
        <f t="shared" ca="1" si="1689"/>
        <v>1100429.2627166498</v>
      </c>
      <c r="R1768" s="2">
        <f t="shared" ca="1" si="1690"/>
        <v>26410302.30519959</v>
      </c>
      <c r="S1768" s="2">
        <f t="shared" ca="1" si="1691"/>
        <v>17606868.203466397</v>
      </c>
      <c r="T1768" s="2">
        <f t="shared" ca="1" si="1692"/>
        <v>50233703.559380092</v>
      </c>
      <c r="U1768" s="2">
        <f t="shared" ca="1" si="1693"/>
        <v>52999350.658614345</v>
      </c>
      <c r="V1768" s="2">
        <f t="shared" ca="1" si="1694"/>
        <v>55917262.140833244</v>
      </c>
      <c r="W1768" s="2">
        <f t="shared" ca="1" si="1695"/>
        <v>58995821.014242046</v>
      </c>
      <c r="X1768" s="2">
        <f t="shared" ca="1" si="1696"/>
        <v>62243871.818660878</v>
      </c>
      <c r="Y1768" s="2">
        <f t="shared" ca="1" si="1697"/>
        <v>0.12716905104320475</v>
      </c>
      <c r="Z1768" s="2">
        <f t="shared" ca="1" si="1698"/>
        <v>0.13003667146048667</v>
      </c>
      <c r="AA1768" s="2">
        <f t="shared" ca="1" si="1699"/>
        <v>6388172.4120320231</v>
      </c>
      <c r="AB1768" s="2">
        <f t="shared" ca="1" si="1700"/>
        <v>6891859.1492133616</v>
      </c>
      <c r="AC1768" s="2">
        <f t="shared" ca="1" si="1701"/>
        <v>7271294.6459774422</v>
      </c>
      <c r="AD1768" s="2">
        <f t="shared" ca="1" si="1702"/>
        <v>7671620.1947706686</v>
      </c>
      <c r="AE1768" s="2">
        <f t="shared" ca="1" si="1703"/>
        <v>8093985.9101118492</v>
      </c>
      <c r="AF1768" s="2">
        <f t="shared" ca="1" si="1704"/>
        <v>1004674.0711876019</v>
      </c>
      <c r="AG1768" s="2">
        <f t="shared" ca="1" si="1705"/>
        <v>1059987.013172287</v>
      </c>
      <c r="AH1768" s="2">
        <f t="shared" ca="1" si="1706"/>
        <v>1118345.242816665</v>
      </c>
      <c r="AI1768" s="2">
        <f t="shared" ca="1" si="1707"/>
        <v>1179916.420284841</v>
      </c>
      <c r="AJ1768" s="2">
        <f t="shared" ca="1" si="1708"/>
        <v>1244877.4363732175</v>
      </c>
      <c r="AK1768" s="2">
        <f t="shared" ca="1" si="1709"/>
        <v>0</v>
      </c>
      <c r="AL1768" s="2">
        <f t="shared" ca="1" si="1710"/>
        <v>27656.470992342533</v>
      </c>
      <c r="AM1768" s="2">
        <f t="shared" ca="1" si="1711"/>
        <v>29179.114822188989</v>
      </c>
      <c r="AN1768" s="2">
        <f t="shared" ca="1" si="1712"/>
        <v>30785.588734088018</v>
      </c>
      <c r="AO1768" s="2">
        <f t="shared" ca="1" si="1713"/>
        <v>32480.508044188322</v>
      </c>
      <c r="AP1768" s="2">
        <f t="shared" ca="1" si="1714"/>
        <v>2376927.207467963</v>
      </c>
      <c r="AQ1768" s="2">
        <f t="shared" ca="1" si="1715"/>
        <v>781708.49467787903</v>
      </c>
      <c r="AR1768" s="2">
        <f t="shared" ca="1" si="1716"/>
        <v>898285.68142900919</v>
      </c>
      <c r="AS1768" s="2">
        <f t="shared" ca="1" si="1717"/>
        <v>981765.77088013163</v>
      </c>
      <c r="AT1768" s="2">
        <f t="shared" ca="1" si="1718"/>
        <v>1069841.9074246448</v>
      </c>
      <c r="AU1768" s="2">
        <f t="shared" ca="1" si="1719"/>
        <v>1162767.1292303738</v>
      </c>
      <c r="AV1768" s="2">
        <f t="shared" ca="1" si="1720"/>
        <v>2224862.6386985788</v>
      </c>
      <c r="AW1768" s="2">
        <f t="shared" ca="1" si="1721"/>
        <v>2529002.7761517605</v>
      </c>
      <c r="AX1768" s="2">
        <f t="shared" ca="1" si="1722"/>
        <v>2765077.3099904926</v>
      </c>
      <c r="AY1768" s="2">
        <f t="shared" ca="1" si="1723"/>
        <v>3014149.0708591314</v>
      </c>
      <c r="AZ1768" s="2">
        <f t="shared" ca="1" si="1724"/>
        <v>3276933.6289961068</v>
      </c>
      <c r="BA1768" s="2">
        <f t="shared" ca="1" si="1725"/>
        <v>59493923.737089664</v>
      </c>
      <c r="BB1768" s="2">
        <f t="shared" ca="1" si="1726"/>
        <v>1189878.4747417932</v>
      </c>
      <c r="BC1768" s="2">
        <f t="shared" ca="1" si="1727"/>
        <v>31893742.95714828</v>
      </c>
      <c r="BD1768" s="2">
        <f t="shared" ca="1" si="1728"/>
        <v>-19207297.466183048</v>
      </c>
      <c r="BE1768" s="2">
        <f t="shared" ca="1" si="1729"/>
        <v>2224862.6386985788</v>
      </c>
      <c r="BF1768" s="2">
        <f t="shared" ca="1" si="1730"/>
        <v>2529002.7761517605</v>
      </c>
      <c r="BG1768" s="2">
        <f t="shared" ca="1" si="1731"/>
        <v>2765077.3099904926</v>
      </c>
      <c r="BH1768" s="2">
        <f t="shared" ca="1" si="1732"/>
        <v>3014149.0708591314</v>
      </c>
      <c r="BI1768" s="2">
        <f t="shared" ca="1" si="1733"/>
        <v>35170676.586144388</v>
      </c>
      <c r="BJ1768" s="2">
        <f t="shared" ca="1" si="1734"/>
        <v>0.22324436891473365</v>
      </c>
      <c r="BK1768" s="2">
        <f t="shared" ca="1" si="1735"/>
        <v>8635752.6293507256</v>
      </c>
    </row>
    <row r="1769" spans="1:63" x14ac:dyDescent="0.3">
      <c r="A1769" s="2">
        <v>1768</v>
      </c>
      <c r="B1769" s="2">
        <f t="shared" ca="1" si="1674"/>
        <v>0.60776533880356798</v>
      </c>
      <c r="C1769" s="2">
        <f t="shared" ca="1" si="1675"/>
        <v>7.1142972719964872</v>
      </c>
      <c r="D1769" s="2">
        <f t="shared" ca="1" si="1676"/>
        <v>0.13826121201368113</v>
      </c>
      <c r="E1769" s="2">
        <f t="shared" ca="1" si="1677"/>
        <v>7.0258539949713823</v>
      </c>
      <c r="F1769" s="2">
        <f t="shared" ca="1" si="1678"/>
        <v>0.57611033043871884</v>
      </c>
      <c r="G1769" s="2">
        <f t="shared" ca="1" si="1679"/>
        <v>4.5758577827329956E-2</v>
      </c>
      <c r="H1769" s="2">
        <f t="shared" ca="1" si="1680"/>
        <v>4.5758577827329956E-2</v>
      </c>
      <c r="I1769" s="2">
        <f t="shared" ca="1" si="1681"/>
        <v>0.75132601650672259</v>
      </c>
      <c r="J1769" s="2">
        <f t="shared" ca="1" si="1682"/>
        <v>1.339334220314913E-2</v>
      </c>
      <c r="K1769" s="2">
        <f t="shared" ca="1" si="1683"/>
        <v>1.339334220314913E-2</v>
      </c>
      <c r="L1769" s="2">
        <f t="shared" ca="1" si="1684"/>
        <v>0.77662190340644643</v>
      </c>
      <c r="M1769" s="2">
        <f t="shared" ca="1" si="1685"/>
        <v>1.5216681022165668E-2</v>
      </c>
      <c r="N1769" s="2">
        <f t="shared" ca="1" si="1686"/>
        <v>1.5216681022165668E-2</v>
      </c>
      <c r="O1769" s="2">
        <f t="shared" si="1687"/>
        <v>6000000</v>
      </c>
      <c r="P1769" s="2">
        <f t="shared" ca="1" si="1688"/>
        <v>42685783.631978922</v>
      </c>
      <c r="Q1769" s="2">
        <f t="shared" ca="1" si="1689"/>
        <v>1067144.590799473</v>
      </c>
      <c r="R1769" s="2">
        <f t="shared" ca="1" si="1690"/>
        <v>25611470.179187354</v>
      </c>
      <c r="S1769" s="2">
        <f t="shared" ca="1" si="1691"/>
        <v>17074313.452791568</v>
      </c>
      <c r="T1769" s="2">
        <f t="shared" ca="1" si="1692"/>
        <v>50760834.051108286</v>
      </c>
      <c r="U1769" s="2">
        <f t="shared" ca="1" si="1693"/>
        <v>53083577.626616105</v>
      </c>
      <c r="V1769" s="2">
        <f t="shared" ca="1" si="1694"/>
        <v>55512606.644796729</v>
      </c>
      <c r="W1769" s="2">
        <f t="shared" ca="1" si="1695"/>
        <v>58052784.576350614</v>
      </c>
      <c r="X1769" s="2">
        <f t="shared" ca="1" si="1696"/>
        <v>60709197.43748077</v>
      </c>
      <c r="Y1769" s="2">
        <f t="shared" ca="1" si="1697"/>
        <v>0.12669667110157457</v>
      </c>
      <c r="Z1769" s="2">
        <f t="shared" ca="1" si="1698"/>
        <v>0.1293753395422044</v>
      </c>
      <c r="AA1769" s="2">
        <f t="shared" ca="1" si="1699"/>
        <v>6431228.6966148736</v>
      </c>
      <c r="AB1769" s="2">
        <f t="shared" ca="1" si="1700"/>
        <v>6867705.8795584235</v>
      </c>
      <c r="AC1769" s="2">
        <f t="shared" ca="1" si="1701"/>
        <v>7181962.3335434087</v>
      </c>
      <c r="AD1769" s="2">
        <f t="shared" ca="1" si="1702"/>
        <v>7510598.7159358077</v>
      </c>
      <c r="AE1769" s="2">
        <f t="shared" ca="1" si="1703"/>
        <v>7854273.0318088001</v>
      </c>
      <c r="AF1769" s="2">
        <f t="shared" ca="1" si="1704"/>
        <v>1015216.6810221657</v>
      </c>
      <c r="AG1769" s="2">
        <f t="shared" ca="1" si="1705"/>
        <v>1061671.5525323222</v>
      </c>
      <c r="AH1769" s="2">
        <f t="shared" ca="1" si="1706"/>
        <v>1110252.1328959346</v>
      </c>
      <c r="AI1769" s="2">
        <f t="shared" ca="1" si="1707"/>
        <v>1161055.6915270123</v>
      </c>
      <c r="AJ1769" s="2">
        <f t="shared" ca="1" si="1708"/>
        <v>1214183.9487496153</v>
      </c>
      <c r="AK1769" s="2">
        <f t="shared" ca="1" si="1709"/>
        <v>0</v>
      </c>
      <c r="AL1769" s="2">
        <f t="shared" ca="1" si="1710"/>
        <v>23227.435755078197</v>
      </c>
      <c r="AM1769" s="2">
        <f t="shared" ca="1" si="1711"/>
        <v>24290.290181806238</v>
      </c>
      <c r="AN1769" s="2">
        <f t="shared" ca="1" si="1712"/>
        <v>25401.779315538854</v>
      </c>
      <c r="AO1769" s="2">
        <f t="shared" ca="1" si="1713"/>
        <v>26564.128611301556</v>
      </c>
      <c r="AP1769" s="2">
        <f t="shared" ca="1" si="1714"/>
        <v>2305032.3161268616</v>
      </c>
      <c r="AQ1769" s="2">
        <f t="shared" ca="1" si="1715"/>
        <v>808854.7218611202</v>
      </c>
      <c r="AR1769" s="2">
        <f t="shared" ca="1" si="1716"/>
        <v>910260.52283380227</v>
      </c>
      <c r="AS1769" s="2">
        <f t="shared" ca="1" si="1717"/>
        <v>979336.2499753593</v>
      </c>
      <c r="AT1769" s="2">
        <f t="shared" ca="1" si="1718"/>
        <v>1051572.7841533027</v>
      </c>
      <c r="AU1769" s="2">
        <f t="shared" ca="1" si="1719"/>
        <v>1127114.7594024038</v>
      </c>
      <c r="AV1769" s="2">
        <f t="shared" ca="1" si="1720"/>
        <v>2302124.9776047263</v>
      </c>
      <c r="AW1769" s="2">
        <f t="shared" ca="1" si="1721"/>
        <v>2567514.0523103597</v>
      </c>
      <c r="AX1769" s="2">
        <f t="shared" ca="1" si="1722"/>
        <v>2763051.3443634473</v>
      </c>
      <c r="AY1769" s="2">
        <f t="shared" ca="1" si="1723"/>
        <v>2967536.1448130915</v>
      </c>
      <c r="AZ1769" s="2">
        <f t="shared" ca="1" si="1724"/>
        <v>3181377.878918617</v>
      </c>
      <c r="BA1769" s="2">
        <f t="shared" ca="1" si="1725"/>
        <v>55182975.558129847</v>
      </c>
      <c r="BB1769" s="2">
        <f t="shared" ca="1" si="1726"/>
        <v>1103659.511162597</v>
      </c>
      <c r="BC1769" s="2">
        <f t="shared" ca="1" si="1727"/>
        <v>28467845.867779896</v>
      </c>
      <c r="BD1769" s="2">
        <f t="shared" ca="1" si="1728"/>
        <v>-18641458.043591041</v>
      </c>
      <c r="BE1769" s="2">
        <f t="shared" ca="1" si="1729"/>
        <v>2302124.9776047263</v>
      </c>
      <c r="BF1769" s="2">
        <f t="shared" ca="1" si="1730"/>
        <v>2567514.0523103597</v>
      </c>
      <c r="BG1769" s="2">
        <f t="shared" ca="1" si="1731"/>
        <v>2763051.3443634473</v>
      </c>
      <c r="BH1769" s="2">
        <f t="shared" ca="1" si="1732"/>
        <v>2967536.1448130915</v>
      </c>
      <c r="BI1769" s="2">
        <f t="shared" ca="1" si="1733"/>
        <v>31649223.746698514</v>
      </c>
      <c r="BJ1769" s="2">
        <f t="shared" ca="1" si="1734"/>
        <v>0.2125563951823628</v>
      </c>
      <c r="BK1769" s="2">
        <f t="shared" ca="1" si="1735"/>
        <v>7272044.9249254577</v>
      </c>
    </row>
    <row r="1770" spans="1:63" x14ac:dyDescent="0.3">
      <c r="A1770" s="2">
        <v>1769</v>
      </c>
      <c r="B1770" s="2">
        <f t="shared" ca="1" si="1674"/>
        <v>0.42761688876730408</v>
      </c>
      <c r="C1770" s="2">
        <f t="shared" ca="1" si="1675"/>
        <v>6.9247885042184558</v>
      </c>
      <c r="D1770" s="2">
        <f t="shared" ca="1" si="1676"/>
        <v>0.14738132552861682</v>
      </c>
      <c r="E1770" s="2">
        <f t="shared" ca="1" si="1677"/>
        <v>7.0429204831807635</v>
      </c>
      <c r="F1770" s="2">
        <f t="shared" ca="1" si="1678"/>
        <v>0.94890043463867702</v>
      </c>
      <c r="G1770" s="2">
        <f t="shared" ca="1" si="1679"/>
        <v>8.9028534431447759E-2</v>
      </c>
      <c r="H1770" s="2">
        <f t="shared" ca="1" si="1680"/>
        <v>8.9028534431447759E-2</v>
      </c>
      <c r="I1770" s="2">
        <f t="shared" ca="1" si="1681"/>
        <v>0.87257652223048665</v>
      </c>
      <c r="J1770" s="2">
        <f t="shared" ca="1" si="1682"/>
        <v>1.5693276476114539E-2</v>
      </c>
      <c r="K1770" s="2">
        <f t="shared" ca="1" si="1683"/>
        <v>1.5693276476114539E-2</v>
      </c>
      <c r="L1770" s="2">
        <f t="shared" ca="1" si="1684"/>
        <v>6.9219614302944321E-2</v>
      </c>
      <c r="M1770" s="2">
        <f t="shared" ca="1" si="1685"/>
        <v>-2.9632565701253478E-2</v>
      </c>
      <c r="N1770" s="2">
        <f t="shared" ca="1" si="1686"/>
        <v>-2.9632565701253478E-2</v>
      </c>
      <c r="O1770" s="2">
        <f t="shared" si="1687"/>
        <v>6000000</v>
      </c>
      <c r="P1770" s="2">
        <f t="shared" ca="1" si="1688"/>
        <v>41548731.025310732</v>
      </c>
      <c r="Q1770" s="2">
        <f t="shared" ca="1" si="1689"/>
        <v>1038718.2756327684</v>
      </c>
      <c r="R1770" s="2">
        <f t="shared" ca="1" si="1690"/>
        <v>24929238.615186438</v>
      </c>
      <c r="S1770" s="2">
        <f t="shared" ca="1" si="1691"/>
        <v>16619492.410124294</v>
      </c>
      <c r="T1770" s="2">
        <f t="shared" ca="1" si="1692"/>
        <v>48518371.714937322</v>
      </c>
      <c r="U1770" s="2">
        <f t="shared" ca="1" si="1693"/>
        <v>52837891.241718404</v>
      </c>
      <c r="V1770" s="2">
        <f t="shared" ca="1" si="1694"/>
        <v>57541971.26141683</v>
      </c>
      <c r="W1770" s="2">
        <f t="shared" ca="1" si="1695"/>
        <v>62664848.631117262</v>
      </c>
      <c r="X1770" s="2">
        <f t="shared" ca="1" si="1696"/>
        <v>68243808.265114158</v>
      </c>
      <c r="Y1770" s="2">
        <f t="shared" ca="1" si="1697"/>
        <v>0.12784663823805725</v>
      </c>
      <c r="Z1770" s="2">
        <f t="shared" ca="1" si="1698"/>
        <v>0.13098529353328017</v>
      </c>
      <c r="AA1770" s="2">
        <f t="shared" ca="1" si="1699"/>
        <v>6202910.7165391808</v>
      </c>
      <c r="AB1770" s="2">
        <f t="shared" ca="1" si="1700"/>
        <v>6920986.6939760186</v>
      </c>
      <c r="AC1770" s="2">
        <f t="shared" ca="1" si="1701"/>
        <v>7537151.9961602557</v>
      </c>
      <c r="AD1770" s="2">
        <f t="shared" ca="1" si="1702"/>
        <v>8208173.5921654645</v>
      </c>
      <c r="AE1770" s="2">
        <f t="shared" ca="1" si="1703"/>
        <v>8938935.2574348692</v>
      </c>
      <c r="AF1770" s="2">
        <f t="shared" ca="1" si="1704"/>
        <v>970367.4342987464</v>
      </c>
      <c r="AG1770" s="2">
        <f t="shared" ca="1" si="1705"/>
        <v>1056757.8248343682</v>
      </c>
      <c r="AH1770" s="2">
        <f t="shared" ca="1" si="1706"/>
        <v>1150839.4252283366</v>
      </c>
      <c r="AI1770" s="2">
        <f t="shared" ca="1" si="1707"/>
        <v>1253296.9726223452</v>
      </c>
      <c r="AJ1770" s="2">
        <f t="shared" ca="1" si="1708"/>
        <v>1364876.1653022831</v>
      </c>
      <c r="AK1770" s="2">
        <f t="shared" ca="1" si="1709"/>
        <v>0</v>
      </c>
      <c r="AL1770" s="2">
        <f t="shared" ca="1" si="1710"/>
        <v>43195.195267810821</v>
      </c>
      <c r="AM1770" s="2">
        <f t="shared" ca="1" si="1711"/>
        <v>47040.800196984259</v>
      </c>
      <c r="AN1770" s="2">
        <f t="shared" ca="1" si="1712"/>
        <v>51228.773697004319</v>
      </c>
      <c r="AO1770" s="2">
        <f t="shared" ca="1" si="1713"/>
        <v>55789.596339968964</v>
      </c>
      <c r="AP1770" s="2">
        <f t="shared" ca="1" si="1714"/>
        <v>2243631.4753667791</v>
      </c>
      <c r="AQ1770" s="2">
        <f t="shared" ca="1" si="1715"/>
        <v>777117.06978715048</v>
      </c>
      <c r="AR1770" s="2">
        <f t="shared" ca="1" si="1716"/>
        <v>941355.32238146651</v>
      </c>
      <c r="AS1770" s="2">
        <f t="shared" ca="1" si="1717"/>
        <v>1077097.0848469364</v>
      </c>
      <c r="AT1770" s="2">
        <f t="shared" ca="1" si="1718"/>
        <v>1224923.7374858484</v>
      </c>
      <c r="AU1770" s="2">
        <f t="shared" ca="1" si="1719"/>
        <v>1385911.1803591098</v>
      </c>
      <c r="AV1770" s="2">
        <f t="shared" ca="1" si="1720"/>
        <v>2211794.7370865052</v>
      </c>
      <c r="AW1770" s="2">
        <f t="shared" ca="1" si="1721"/>
        <v>2636046.8761255941</v>
      </c>
      <c r="AX1770" s="2">
        <f t="shared" ca="1" si="1722"/>
        <v>3018543.2105212198</v>
      </c>
      <c r="AY1770" s="2">
        <f t="shared" ca="1" si="1723"/>
        <v>3435092.6329934872</v>
      </c>
      <c r="AZ1770" s="2">
        <f t="shared" ca="1" si="1724"/>
        <v>3888726.8400667286</v>
      </c>
      <c r="BA1770" s="2">
        <f t="shared" ca="1" si="1725"/>
        <v>62956210.222414754</v>
      </c>
      <c r="BB1770" s="2">
        <f t="shared" ca="1" si="1726"/>
        <v>1259124.2044482951</v>
      </c>
      <c r="BC1770" s="2">
        <f t="shared" ca="1" si="1727"/>
        <v>36767847.402780019</v>
      </c>
      <c r="BD1770" s="2">
        <f t="shared" ca="1" si="1728"/>
        <v>-18158210.685757063</v>
      </c>
      <c r="BE1770" s="2">
        <f t="shared" ca="1" si="1729"/>
        <v>2211794.7370865052</v>
      </c>
      <c r="BF1770" s="2">
        <f t="shared" ca="1" si="1730"/>
        <v>2636046.8761255941</v>
      </c>
      <c r="BG1770" s="2">
        <f t="shared" ca="1" si="1731"/>
        <v>3018543.2105212198</v>
      </c>
      <c r="BH1770" s="2">
        <f t="shared" ca="1" si="1732"/>
        <v>3435092.6329934872</v>
      </c>
      <c r="BI1770" s="2">
        <f t="shared" ca="1" si="1733"/>
        <v>40656574.24284675</v>
      </c>
      <c r="BJ1770" s="2">
        <f t="shared" ca="1" si="1734"/>
        <v>0.2753538647112419</v>
      </c>
      <c r="BK1770" s="2">
        <f t="shared" ca="1" si="1735"/>
        <v>13319281.464960489</v>
      </c>
    </row>
    <row r="1771" spans="1:63" x14ac:dyDescent="0.3">
      <c r="A1771" s="2">
        <v>1770</v>
      </c>
      <c r="B1771" s="2">
        <f t="shared" ca="1" si="1674"/>
        <v>1.481705442117498E-2</v>
      </c>
      <c r="C1771" s="2">
        <f t="shared" ca="1" si="1675"/>
        <v>6.1721456036102866</v>
      </c>
      <c r="D1771" s="2">
        <f t="shared" ca="1" si="1676"/>
        <v>0.40380039239085408</v>
      </c>
      <c r="E1771" s="2">
        <f t="shared" ca="1" si="1677"/>
        <v>7.3986661141835199</v>
      </c>
      <c r="F1771" s="2">
        <f t="shared" ca="1" si="1678"/>
        <v>0.39344999783476342</v>
      </c>
      <c r="G1771" s="2">
        <f t="shared" ca="1" si="1679"/>
        <v>3.1889850724329705E-2</v>
      </c>
      <c r="H1771" s="2">
        <f t="shared" ca="1" si="1680"/>
        <v>3.1889850724329705E-2</v>
      </c>
      <c r="I1771" s="2">
        <f t="shared" ca="1" si="1681"/>
        <v>0.966631010184413</v>
      </c>
      <c r="J1771" s="2">
        <f t="shared" ca="1" si="1682"/>
        <v>1.9167172543989391E-2</v>
      </c>
      <c r="K1771" s="2">
        <f t="shared" ca="1" si="1683"/>
        <v>1.9167172543989391E-2</v>
      </c>
      <c r="L1771" s="2">
        <f t="shared" ca="1" si="1684"/>
        <v>0.72770277405964234</v>
      </c>
      <c r="M1771" s="2">
        <f t="shared" ca="1" si="1685"/>
        <v>1.2117599678153164E-2</v>
      </c>
      <c r="N1771" s="2">
        <f t="shared" ca="1" si="1686"/>
        <v>1.2117599678153164E-2</v>
      </c>
      <c r="O1771" s="2">
        <f t="shared" si="1687"/>
        <v>6000000</v>
      </c>
      <c r="P1771" s="2">
        <f t="shared" ca="1" si="1688"/>
        <v>37032873.621661723</v>
      </c>
      <c r="Q1771" s="2">
        <f t="shared" ca="1" si="1689"/>
        <v>925821.84054154309</v>
      </c>
      <c r="R1771" s="2">
        <f t="shared" ca="1" si="1690"/>
        <v>22219724.172997031</v>
      </c>
      <c r="S1771" s="2">
        <f t="shared" ca="1" si="1691"/>
        <v>14813149.448664689</v>
      </c>
      <c r="T1771" s="2">
        <f t="shared" ca="1" si="1692"/>
        <v>50605879.983907655</v>
      </c>
      <c r="U1771" s="2">
        <f t="shared" ca="1" si="1693"/>
        <v>52219693.942367814</v>
      </c>
      <c r="V1771" s="2">
        <f t="shared" ca="1" si="1694"/>
        <v>53884972.18706011</v>
      </c>
      <c r="W1771" s="2">
        <f t="shared" ca="1" si="1695"/>
        <v>55603355.906390116</v>
      </c>
      <c r="X1771" s="2">
        <f t="shared" ca="1" si="1696"/>
        <v>57376538.626016676</v>
      </c>
      <c r="Y1771" s="2">
        <f t="shared" ca="1" si="1697"/>
        <v>0.12958358627199468</v>
      </c>
      <c r="Z1771" s="2">
        <f t="shared" ca="1" si="1698"/>
        <v>0.13341702078079257</v>
      </c>
      <c r="AA1771" s="2">
        <f t="shared" ca="1" si="1699"/>
        <v>6557691.4147649063</v>
      </c>
      <c r="AB1771" s="2">
        <f t="shared" ca="1" si="1700"/>
        <v>6966995.9918755144</v>
      </c>
      <c r="AC1771" s="2">
        <f t="shared" ca="1" si="1701"/>
        <v>7189172.454053428</v>
      </c>
      <c r="AD1771" s="2">
        <f t="shared" ca="1" si="1702"/>
        <v>7418434.0904446552</v>
      </c>
      <c r="AE1771" s="2">
        <f t="shared" ca="1" si="1703"/>
        <v>7655006.846197214</v>
      </c>
      <c r="AF1771" s="2">
        <f t="shared" ca="1" si="1704"/>
        <v>1012117.5996781532</v>
      </c>
      <c r="AG1771" s="2">
        <f t="shared" ca="1" si="1705"/>
        <v>1044393.8788473563</v>
      </c>
      <c r="AH1771" s="2">
        <f t="shared" ca="1" si="1706"/>
        <v>1077699.4437412021</v>
      </c>
      <c r="AI1771" s="2">
        <f t="shared" ca="1" si="1707"/>
        <v>1112067.1181278024</v>
      </c>
      <c r="AJ1771" s="2">
        <f t="shared" ca="1" si="1708"/>
        <v>1147530.7725203335</v>
      </c>
      <c r="AK1771" s="2">
        <f t="shared" ca="1" si="1709"/>
        <v>0</v>
      </c>
      <c r="AL1771" s="2">
        <f t="shared" ca="1" si="1710"/>
        <v>16138.139584601597</v>
      </c>
      <c r="AM1771" s="2">
        <f t="shared" ca="1" si="1711"/>
        <v>16652.78244692296</v>
      </c>
      <c r="AN1771" s="2">
        <f t="shared" ca="1" si="1712"/>
        <v>17183.837193300053</v>
      </c>
      <c r="AO1771" s="2">
        <f t="shared" ca="1" si="1713"/>
        <v>17731.827196265607</v>
      </c>
      <c r="AP1771" s="2">
        <f t="shared" ca="1" si="1714"/>
        <v>1999775.1755697327</v>
      </c>
      <c r="AQ1771" s="2">
        <f t="shared" ca="1" si="1715"/>
        <v>921907.64627442532</v>
      </c>
      <c r="AR1771" s="2">
        <f t="shared" ca="1" si="1716"/>
        <v>1019935.0037391908</v>
      </c>
      <c r="AS1771" s="2">
        <f t="shared" ca="1" si="1717"/>
        <v>1069041.4370330481</v>
      </c>
      <c r="AT1771" s="2">
        <f t="shared" ca="1" si="1718"/>
        <v>1119713.8671542513</v>
      </c>
      <c r="AU1771" s="2">
        <f t="shared" ca="1" si="1719"/>
        <v>1172002.2335078584</v>
      </c>
      <c r="AV1771" s="2">
        <f t="shared" ca="1" si="1720"/>
        <v>2623890.9932425953</v>
      </c>
      <c r="AW1771" s="2">
        <f t="shared" ca="1" si="1721"/>
        <v>2886753.7941346327</v>
      </c>
      <c r="AX1771" s="2">
        <f t="shared" ca="1" si="1722"/>
        <v>3026003.6152625224</v>
      </c>
      <c r="AY1771" s="2">
        <f t="shared" ca="1" si="1723"/>
        <v>3169694.0923995683</v>
      </c>
      <c r="AZ1771" s="2">
        <f t="shared" ca="1" si="1724"/>
        <v>3317966.8374030236</v>
      </c>
      <c r="BA1771" s="2">
        <f t="shared" ca="1" si="1725"/>
        <v>56636839.756802186</v>
      </c>
      <c r="BB1771" s="2">
        <f t="shared" ca="1" si="1726"/>
        <v>1132736.7951360438</v>
      </c>
      <c r="BC1771" s="2">
        <f t="shared" ca="1" si="1727"/>
        <v>33284378.788669117</v>
      </c>
      <c r="BD1771" s="2">
        <f t="shared" ca="1" si="1728"/>
        <v>-16238971.289206233</v>
      </c>
      <c r="BE1771" s="2">
        <f t="shared" ca="1" si="1729"/>
        <v>2623890.9932425953</v>
      </c>
      <c r="BF1771" s="2">
        <f t="shared" ca="1" si="1730"/>
        <v>2886753.7941346327</v>
      </c>
      <c r="BG1771" s="2">
        <f t="shared" ca="1" si="1731"/>
        <v>3026003.6152625224</v>
      </c>
      <c r="BH1771" s="2">
        <f t="shared" ca="1" si="1732"/>
        <v>3169694.0923995683</v>
      </c>
      <c r="BI1771" s="2">
        <f t="shared" ca="1" si="1733"/>
        <v>36602345.626072139</v>
      </c>
      <c r="BJ1771" s="2">
        <f t="shared" ca="1" si="1734"/>
        <v>0.29658981240939264</v>
      </c>
      <c r="BK1771" s="2">
        <f t="shared" ca="1" si="1735"/>
        <v>13342492.369286537</v>
      </c>
    </row>
    <row r="1772" spans="1:63" x14ac:dyDescent="0.3">
      <c r="A1772" s="2">
        <v>1771</v>
      </c>
      <c r="B1772" s="2">
        <f t="shared" ca="1" si="1674"/>
        <v>0.21215158563514458</v>
      </c>
      <c r="C1772" s="2">
        <f t="shared" ca="1" si="1675"/>
        <v>6.6513855780336932</v>
      </c>
      <c r="D1772" s="2">
        <f t="shared" ca="1" si="1676"/>
        <v>6.6742543308055291E-2</v>
      </c>
      <c r="E1772" s="2">
        <f t="shared" ca="1" si="1677"/>
        <v>6.8653561093181699</v>
      </c>
      <c r="F1772" s="2">
        <f t="shared" ca="1" si="1678"/>
        <v>0.28773546928776372</v>
      </c>
      <c r="G1772" s="2">
        <f t="shared" ca="1" si="1679"/>
        <v>2.3199626187195545E-2</v>
      </c>
      <c r="H1772" s="2">
        <f t="shared" ca="1" si="1680"/>
        <v>2.3199626187195545E-2</v>
      </c>
      <c r="I1772" s="2">
        <f t="shared" ca="1" si="1681"/>
        <v>0.88256191678976981</v>
      </c>
      <c r="J1772" s="2">
        <f t="shared" ca="1" si="1682"/>
        <v>1.5939457404955372E-2</v>
      </c>
      <c r="K1772" s="2">
        <f t="shared" ca="1" si="1683"/>
        <v>1.5939457404955372E-2</v>
      </c>
      <c r="L1772" s="2">
        <f t="shared" ca="1" si="1684"/>
        <v>0.84069064849771591</v>
      </c>
      <c r="M1772" s="2">
        <f t="shared" ca="1" si="1685"/>
        <v>1.9946008685669734E-2</v>
      </c>
      <c r="N1772" s="2">
        <f t="shared" ca="1" si="1686"/>
        <v>1.9946008685669734E-2</v>
      </c>
      <c r="O1772" s="2">
        <f t="shared" si="1687"/>
        <v>6000000</v>
      </c>
      <c r="P1772" s="2">
        <f t="shared" ca="1" si="1688"/>
        <v>39908313.468202159</v>
      </c>
      <c r="Q1772" s="2">
        <f t="shared" ca="1" si="1689"/>
        <v>997707.83670505404</v>
      </c>
      <c r="R1772" s="2">
        <f t="shared" ca="1" si="1690"/>
        <v>23944988.080921296</v>
      </c>
      <c r="S1772" s="2">
        <f t="shared" ca="1" si="1691"/>
        <v>15963325.387280865</v>
      </c>
      <c r="T1772" s="2">
        <f t="shared" ca="1" si="1692"/>
        <v>50997300.434283487</v>
      </c>
      <c r="U1772" s="2">
        <f t="shared" ca="1" si="1693"/>
        <v>52180418.740914971</v>
      </c>
      <c r="V1772" s="2">
        <f t="shared" ca="1" si="1694"/>
        <v>53390984.949995533</v>
      </c>
      <c r="W1772" s="2">
        <f t="shared" ca="1" si="1695"/>
        <v>54629635.84260162</v>
      </c>
      <c r="X1772" s="2">
        <f t="shared" ca="1" si="1696"/>
        <v>55897022.972892597</v>
      </c>
      <c r="Y1772" s="2">
        <f t="shared" ca="1" si="1697"/>
        <v>0.12796972870247769</v>
      </c>
      <c r="Z1772" s="2">
        <f t="shared" ca="1" si="1698"/>
        <v>0.13115762018346874</v>
      </c>
      <c r="AA1772" s="2">
        <f t="shared" ca="1" si="1699"/>
        <v>6526110.7011340056</v>
      </c>
      <c r="AB1772" s="2">
        <f t="shared" ca="1" si="1700"/>
        <v>6843859.5422352804</v>
      </c>
      <c r="AC1772" s="2">
        <f t="shared" ca="1" si="1701"/>
        <v>7002634.5252928101</v>
      </c>
      <c r="AD1772" s="2">
        <f t="shared" ca="1" si="1702"/>
        <v>7165093.0286051538</v>
      </c>
      <c r="AE1772" s="2">
        <f t="shared" ca="1" si="1703"/>
        <v>7331320.5084652742</v>
      </c>
      <c r="AF1772" s="2">
        <f t="shared" ca="1" si="1704"/>
        <v>1019946.0086856697</v>
      </c>
      <c r="AG1772" s="2">
        <f t="shared" ca="1" si="1705"/>
        <v>1043608.3748182994</v>
      </c>
      <c r="AH1772" s="2">
        <f t="shared" ca="1" si="1706"/>
        <v>1067819.6989999106</v>
      </c>
      <c r="AI1772" s="2">
        <f t="shared" ca="1" si="1707"/>
        <v>1092592.7168520323</v>
      </c>
      <c r="AJ1772" s="2">
        <f t="shared" ca="1" si="1708"/>
        <v>1117940.4594578519</v>
      </c>
      <c r="AK1772" s="2">
        <f t="shared" ca="1" si="1709"/>
        <v>0</v>
      </c>
      <c r="AL1772" s="2">
        <f t="shared" ca="1" si="1710"/>
        <v>11831.183066314832</v>
      </c>
      <c r="AM1772" s="2">
        <f t="shared" ca="1" si="1711"/>
        <v>12105.662090805619</v>
      </c>
      <c r="AN1772" s="2">
        <f t="shared" ca="1" si="1712"/>
        <v>12386.508926060871</v>
      </c>
      <c r="AO1772" s="2">
        <f t="shared" ca="1" si="1713"/>
        <v>12673.871302909776</v>
      </c>
      <c r="AP1772" s="2">
        <f t="shared" ca="1" si="1714"/>
        <v>2155048.9272829164</v>
      </c>
      <c r="AQ1772" s="2">
        <f t="shared" ca="1" si="1715"/>
        <v>871290.09894300904</v>
      </c>
      <c r="AR1772" s="2">
        <f t="shared" ca="1" si="1716"/>
        <v>947752.58243485668</v>
      </c>
      <c r="AS1772" s="2">
        <f t="shared" ca="1" si="1717"/>
        <v>982739.13374259567</v>
      </c>
      <c r="AT1772" s="2">
        <f t="shared" ca="1" si="1718"/>
        <v>1018537.3599622532</v>
      </c>
      <c r="AU1772" s="2">
        <f t="shared" ca="1" si="1719"/>
        <v>1055166.0916483717</v>
      </c>
      <c r="AV1772" s="2">
        <f t="shared" ca="1" si="1720"/>
        <v>2479825.6662224103</v>
      </c>
      <c r="AW1772" s="2">
        <f t="shared" ca="1" si="1721"/>
        <v>2685618.4746328928</v>
      </c>
      <c r="AX1772" s="2">
        <f t="shared" ca="1" si="1722"/>
        <v>2784921.1031765817</v>
      </c>
      <c r="AY1772" s="2">
        <f t="shared" ca="1" si="1723"/>
        <v>2886527.5155818909</v>
      </c>
      <c r="AZ1772" s="2">
        <f t="shared" ca="1" si="1724"/>
        <v>2990491.1587732239</v>
      </c>
      <c r="BA1772" s="2">
        <f t="shared" ca="1" si="1725"/>
        <v>50332126.042161658</v>
      </c>
      <c r="BB1772" s="2">
        <f t="shared" ca="1" si="1726"/>
        <v>1006642.5208432332</v>
      </c>
      <c r="BC1772" s="2">
        <f t="shared" ca="1" si="1727"/>
        <v>25380495.440397128</v>
      </c>
      <c r="BD1772" s="2">
        <f t="shared" ca="1" si="1728"/>
        <v>-17461033.223985918</v>
      </c>
      <c r="BE1772" s="2">
        <f t="shared" ca="1" si="1729"/>
        <v>2479825.6662224103</v>
      </c>
      <c r="BF1772" s="2">
        <f t="shared" ca="1" si="1730"/>
        <v>2685618.4746328928</v>
      </c>
      <c r="BG1772" s="2">
        <f t="shared" ca="1" si="1731"/>
        <v>2784921.1031765817</v>
      </c>
      <c r="BH1772" s="2">
        <f t="shared" ca="1" si="1732"/>
        <v>2886527.5155818909</v>
      </c>
      <c r="BI1772" s="2">
        <f t="shared" ca="1" si="1733"/>
        <v>28370986.599170353</v>
      </c>
      <c r="BJ1772" s="2">
        <f t="shared" ca="1" si="1734"/>
        <v>0.21485063664204285</v>
      </c>
      <c r="BK1772" s="2">
        <f t="shared" ca="1" si="1735"/>
        <v>6809207.4130833298</v>
      </c>
    </row>
    <row r="1773" spans="1:63" x14ac:dyDescent="0.3">
      <c r="A1773" s="2">
        <v>1772</v>
      </c>
      <c r="B1773" s="2">
        <f t="shared" ca="1" si="1674"/>
        <v>0.85245991144776878</v>
      </c>
      <c r="C1773" s="2">
        <f t="shared" ca="1" si="1675"/>
        <v>7.4567871714470817</v>
      </c>
      <c r="D1773" s="2">
        <f t="shared" ca="1" si="1676"/>
        <v>0.35274941151597727</v>
      </c>
      <c r="E1773" s="2">
        <f t="shared" ca="1" si="1677"/>
        <v>7.339939773455189</v>
      </c>
      <c r="F1773" s="2">
        <f t="shared" ca="1" si="1678"/>
        <v>0.51698055309939261</v>
      </c>
      <c r="G1773" s="2">
        <f t="shared" ca="1" si="1679"/>
        <v>4.1277303843165816E-2</v>
      </c>
      <c r="H1773" s="2">
        <f t="shared" ca="1" si="1680"/>
        <v>4.1277303843165816E-2</v>
      </c>
      <c r="I1773" s="2">
        <f t="shared" ca="1" si="1681"/>
        <v>0.86544877035172285</v>
      </c>
      <c r="J1773" s="2">
        <f t="shared" ca="1" si="1682"/>
        <v>1.5525659275202292E-2</v>
      </c>
      <c r="K1773" s="2">
        <f t="shared" ca="1" si="1683"/>
        <v>1.5525659275202292E-2</v>
      </c>
      <c r="L1773" s="2">
        <f t="shared" ca="1" si="1684"/>
        <v>0.12034326263326378</v>
      </c>
      <c r="M1773" s="2">
        <f t="shared" ca="1" si="1685"/>
        <v>-2.3465451059598151E-2</v>
      </c>
      <c r="N1773" s="2">
        <f t="shared" ca="1" si="1686"/>
        <v>-2.3465451059598151E-2</v>
      </c>
      <c r="O1773" s="2">
        <f t="shared" si="1687"/>
        <v>6000000</v>
      </c>
      <c r="P1773" s="2">
        <f t="shared" ca="1" si="1688"/>
        <v>44740723.028682493</v>
      </c>
      <c r="Q1773" s="2">
        <f t="shared" ca="1" si="1689"/>
        <v>1118518.0757170625</v>
      </c>
      <c r="R1773" s="2">
        <f t="shared" ca="1" si="1690"/>
        <v>26844433.817209493</v>
      </c>
      <c r="S1773" s="2">
        <f t="shared" ca="1" si="1691"/>
        <v>17896289.211472999</v>
      </c>
      <c r="T1773" s="2">
        <f t="shared" ca="1" si="1692"/>
        <v>48826727.447020091</v>
      </c>
      <c r="U1773" s="2">
        <f t="shared" ca="1" si="1693"/>
        <v>50842163.111518182</v>
      </c>
      <c r="V1773" s="2">
        <f t="shared" ca="1" si="1694"/>
        <v>52940790.526316114</v>
      </c>
      <c r="W1773" s="2">
        <f t="shared" ca="1" si="1695"/>
        <v>55126043.622568257</v>
      </c>
      <c r="X1773" s="2">
        <f t="shared" ca="1" si="1696"/>
        <v>57401498.074848615</v>
      </c>
      <c r="Y1773" s="2">
        <f t="shared" ca="1" si="1697"/>
        <v>0.12776282963760113</v>
      </c>
      <c r="Z1773" s="2">
        <f t="shared" ca="1" si="1698"/>
        <v>0.1308679614926416</v>
      </c>
      <c r="AA1773" s="2">
        <f t="shared" ca="1" si="1699"/>
        <v>6238240.8605752112</v>
      </c>
      <c r="AB1773" s="2">
        <f t="shared" ca="1" si="1700"/>
        <v>6653610.2442807648</v>
      </c>
      <c r="AC1773" s="2">
        <f t="shared" ca="1" si="1701"/>
        <v>6928253.3359879423</v>
      </c>
      <c r="AD1773" s="2">
        <f t="shared" ca="1" si="1702"/>
        <v>7214232.9540399434</v>
      </c>
      <c r="AE1773" s="2">
        <f t="shared" ca="1" si="1703"/>
        <v>7512017.0396792293</v>
      </c>
      <c r="AF1773" s="2">
        <f t="shared" ca="1" si="1704"/>
        <v>976534.54894040187</v>
      </c>
      <c r="AG1773" s="2">
        <f t="shared" ca="1" si="1705"/>
        <v>1016843.2622303637</v>
      </c>
      <c r="AH1773" s="2">
        <f t="shared" ca="1" si="1706"/>
        <v>1058815.8105263223</v>
      </c>
      <c r="AI1773" s="2">
        <f t="shared" ca="1" si="1707"/>
        <v>1102520.8724513652</v>
      </c>
      <c r="AJ1773" s="2">
        <f t="shared" ca="1" si="1708"/>
        <v>1148029.9614969722</v>
      </c>
      <c r="AK1773" s="2">
        <f t="shared" ca="1" si="1709"/>
        <v>0</v>
      </c>
      <c r="AL1773" s="2">
        <f t="shared" ca="1" si="1710"/>
        <v>20154.356644980908</v>
      </c>
      <c r="AM1773" s="2">
        <f t="shared" ca="1" si="1711"/>
        <v>20986.274147979319</v>
      </c>
      <c r="AN1773" s="2">
        <f t="shared" ca="1" si="1712"/>
        <v>21852.530962521436</v>
      </c>
      <c r="AO1773" s="2">
        <f t="shared" ca="1" si="1713"/>
        <v>22754.544522803575</v>
      </c>
      <c r="AP1773" s="2">
        <f t="shared" ca="1" si="1714"/>
        <v>2415999.0435488545</v>
      </c>
      <c r="AQ1773" s="2">
        <f t="shared" ca="1" si="1715"/>
        <v>739883.88970234839</v>
      </c>
      <c r="AR1773" s="2">
        <f t="shared" ca="1" si="1716"/>
        <v>837399.66401040216</v>
      </c>
      <c r="AS1773" s="2">
        <f t="shared" ca="1" si="1717"/>
        <v>897894.00529731903</v>
      </c>
      <c r="AT1773" s="2">
        <f t="shared" ca="1" si="1718"/>
        <v>960885.38989032828</v>
      </c>
      <c r="AU1773" s="2">
        <f t="shared" ca="1" si="1719"/>
        <v>1026476.8890046846</v>
      </c>
      <c r="AV1773" s="2">
        <f t="shared" ca="1" si="1720"/>
        <v>2105823.3783836071</v>
      </c>
      <c r="AW1773" s="2">
        <f t="shared" ca="1" si="1721"/>
        <v>2363213.9178461642</v>
      </c>
      <c r="AX1773" s="2">
        <f t="shared" ca="1" si="1722"/>
        <v>2534558.2024674672</v>
      </c>
      <c r="AY1773" s="2">
        <f t="shared" ca="1" si="1723"/>
        <v>2712975.1171868746</v>
      </c>
      <c r="AZ1773" s="2">
        <f t="shared" ca="1" si="1724"/>
        <v>2898756.601105914</v>
      </c>
      <c r="BA1773" s="2">
        <f t="shared" ca="1" si="1725"/>
        <v>55137752.648414679</v>
      </c>
      <c r="BB1773" s="2">
        <f t="shared" ca="1" si="1726"/>
        <v>1102755.0529682937</v>
      </c>
      <c r="BC1773" s="2">
        <f t="shared" ca="1" si="1727"/>
        <v>27190563.778236892</v>
      </c>
      <c r="BD1773" s="2">
        <f t="shared" ca="1" si="1728"/>
        <v>-19514807.287190061</v>
      </c>
      <c r="BE1773" s="2">
        <f t="shared" ca="1" si="1729"/>
        <v>2105823.3783836071</v>
      </c>
      <c r="BF1773" s="2">
        <f t="shared" ca="1" si="1730"/>
        <v>2363213.9178461642</v>
      </c>
      <c r="BG1773" s="2">
        <f t="shared" ca="1" si="1731"/>
        <v>2534558.2024674672</v>
      </c>
      <c r="BH1773" s="2">
        <f t="shared" ca="1" si="1732"/>
        <v>2712975.1171868746</v>
      </c>
      <c r="BI1773" s="2">
        <f t="shared" ca="1" si="1733"/>
        <v>30089320.379342806</v>
      </c>
      <c r="BJ1773" s="2">
        <f t="shared" ca="1" si="1734"/>
        <v>0.18089255706817609</v>
      </c>
      <c r="BK1773" s="2">
        <f t="shared" ca="1" si="1735"/>
        <v>4851013.4766902104</v>
      </c>
    </row>
    <row r="1774" spans="1:63" x14ac:dyDescent="0.3">
      <c r="A1774" s="2">
        <v>1773</v>
      </c>
      <c r="B1774" s="2">
        <f t="shared" ca="1" si="1674"/>
        <v>0.24698650306514236</v>
      </c>
      <c r="C1774" s="2">
        <f t="shared" ca="1" si="1675"/>
        <v>6.7028321322551241</v>
      </c>
      <c r="D1774" s="2">
        <f t="shared" ca="1" si="1676"/>
        <v>0.16152202150779804</v>
      </c>
      <c r="E1774" s="2">
        <f t="shared" ca="1" si="1677"/>
        <v>7.0683696359021972</v>
      </c>
      <c r="F1774" s="2">
        <f t="shared" ca="1" si="1678"/>
        <v>0.2289616301001588</v>
      </c>
      <c r="G1774" s="2">
        <f t="shared" ca="1" si="1679"/>
        <v>1.7731875030511862E-2</v>
      </c>
      <c r="H1774" s="2">
        <f t="shared" ca="1" si="1680"/>
        <v>1.7731875030511862E-2</v>
      </c>
      <c r="I1774" s="2">
        <f t="shared" ca="1" si="1681"/>
        <v>0.4284557692380635</v>
      </c>
      <c r="J1774" s="2">
        <f t="shared" ca="1" si="1682"/>
        <v>9.0984648595300918E-3</v>
      </c>
      <c r="K1774" s="2">
        <f t="shared" ca="1" si="1683"/>
        <v>9.0984648595300918E-3</v>
      </c>
      <c r="L1774" s="2">
        <f t="shared" ca="1" si="1684"/>
        <v>0.22830639817634901</v>
      </c>
      <c r="M1774" s="2">
        <f t="shared" ca="1" si="1685"/>
        <v>-1.4888718350442358E-2</v>
      </c>
      <c r="N1774" s="2">
        <f t="shared" ca="1" si="1686"/>
        <v>-1.4888718350442358E-2</v>
      </c>
      <c r="O1774" s="2">
        <f t="shared" si="1687"/>
        <v>6000000</v>
      </c>
      <c r="P1774" s="2">
        <f t="shared" ca="1" si="1688"/>
        <v>40216992.793530747</v>
      </c>
      <c r="Q1774" s="2">
        <f t="shared" ca="1" si="1689"/>
        <v>1005424.8198382687</v>
      </c>
      <c r="R1774" s="2">
        <f t="shared" ca="1" si="1690"/>
        <v>24130195.676118448</v>
      </c>
      <c r="S1774" s="2">
        <f t="shared" ca="1" si="1691"/>
        <v>16086797.117412299</v>
      </c>
      <c r="T1774" s="2">
        <f t="shared" ca="1" si="1692"/>
        <v>49255564.082477883</v>
      </c>
      <c r="U1774" s="2">
        <f t="shared" ca="1" si="1693"/>
        <v>50128957.589345746</v>
      </c>
      <c r="V1774" s="2">
        <f t="shared" ca="1" si="1694"/>
        <v>51017838.000729851</v>
      </c>
      <c r="W1774" s="2">
        <f t="shared" ca="1" si="1695"/>
        <v>51922479.928485684</v>
      </c>
      <c r="X1774" s="2">
        <f t="shared" ca="1" si="1696"/>
        <v>52843162.853851847</v>
      </c>
      <c r="Y1774" s="2">
        <f t="shared" ca="1" si="1697"/>
        <v>0.12454923242976504</v>
      </c>
      <c r="Z1774" s="2">
        <f t="shared" ca="1" si="1698"/>
        <v>0.12636892540167105</v>
      </c>
      <c r="AA1774" s="2">
        <f t="shared" ca="1" si="1699"/>
        <v>6134742.6993677244</v>
      </c>
      <c r="AB1774" s="2">
        <f t="shared" ca="1" si="1700"/>
        <v>6334742.5020715641</v>
      </c>
      <c r="AC1774" s="2">
        <f t="shared" ca="1" si="1701"/>
        <v>6447069.3644687692</v>
      </c>
      <c r="AD1774" s="2">
        <f t="shared" ca="1" si="1702"/>
        <v>6561387.9927525697</v>
      </c>
      <c r="AE1774" s="2">
        <f t="shared" ca="1" si="1703"/>
        <v>6677733.7046667589</v>
      </c>
      <c r="AF1774" s="2">
        <f t="shared" ca="1" si="1704"/>
        <v>985111.28164955764</v>
      </c>
      <c r="AG1774" s="2">
        <f t="shared" ca="1" si="1705"/>
        <v>1002579.1517869149</v>
      </c>
      <c r="AH1774" s="2">
        <f t="shared" ca="1" si="1706"/>
        <v>1020356.7600145971</v>
      </c>
      <c r="AI1774" s="2">
        <f t="shared" ca="1" si="1707"/>
        <v>1038449.5985697136</v>
      </c>
      <c r="AJ1774" s="2">
        <f t="shared" ca="1" si="1708"/>
        <v>1056863.2570770369</v>
      </c>
      <c r="AK1774" s="2">
        <f t="shared" ca="1" si="1709"/>
        <v>0</v>
      </c>
      <c r="AL1774" s="2">
        <f t="shared" ca="1" si="1710"/>
        <v>8733.9350686786329</v>
      </c>
      <c r="AM1774" s="2">
        <f t="shared" ca="1" si="1711"/>
        <v>8888.8041138410572</v>
      </c>
      <c r="AN1774" s="2">
        <f t="shared" ca="1" si="1712"/>
        <v>9046.4192775583269</v>
      </c>
      <c r="AO1774" s="2">
        <f t="shared" ca="1" si="1713"/>
        <v>9206.8292536616336</v>
      </c>
      <c r="AP1774" s="2">
        <f t="shared" ca="1" si="1714"/>
        <v>2171717.6108506601</v>
      </c>
      <c r="AQ1774" s="2">
        <f t="shared" ca="1" si="1715"/>
        <v>774257.58978555165</v>
      </c>
      <c r="AR1774" s="2">
        <f t="shared" ca="1" si="1716"/>
        <v>821715.89225283719</v>
      </c>
      <c r="AS1774" s="2">
        <f t="shared" ca="1" si="1717"/>
        <v>846298.69833691302</v>
      </c>
      <c r="AT1774" s="2">
        <f t="shared" ca="1" si="1718"/>
        <v>871317.40366637101</v>
      </c>
      <c r="AU1774" s="2">
        <f t="shared" ca="1" si="1719"/>
        <v>896779.73755215597</v>
      </c>
      <c r="AV1774" s="2">
        <f t="shared" ca="1" si="1720"/>
        <v>2203656.2170819547</v>
      </c>
      <c r="AW1774" s="2">
        <f t="shared" ca="1" si="1721"/>
        <v>2329995.9121124726</v>
      </c>
      <c r="AX1774" s="2">
        <f t="shared" ca="1" si="1722"/>
        <v>2399807.4911527578</v>
      </c>
      <c r="AY1774" s="2">
        <f t="shared" ca="1" si="1723"/>
        <v>2470856.9603882674</v>
      </c>
      <c r="AZ1774" s="2">
        <f t="shared" ca="1" si="1724"/>
        <v>2543166.2699332442</v>
      </c>
      <c r="BA1774" s="2">
        <f t="shared" ca="1" si="1725"/>
        <v>47200690.154707208</v>
      </c>
      <c r="BB1774" s="2">
        <f t="shared" ca="1" si="1726"/>
        <v>944013.80309414421</v>
      </c>
      <c r="BC1774" s="2">
        <f t="shared" ca="1" si="1727"/>
        <v>22126480.675494615</v>
      </c>
      <c r="BD1774" s="2">
        <f t="shared" ca="1" si="1728"/>
        <v>-17592221.937250569</v>
      </c>
      <c r="BE1774" s="2">
        <f t="shared" ca="1" si="1729"/>
        <v>2203656.2170819547</v>
      </c>
      <c r="BF1774" s="2">
        <f t="shared" ca="1" si="1730"/>
        <v>2329995.9121124726</v>
      </c>
      <c r="BG1774" s="2">
        <f t="shared" ca="1" si="1731"/>
        <v>2399807.4911527578</v>
      </c>
      <c r="BH1774" s="2">
        <f t="shared" ca="1" si="1732"/>
        <v>2470856.9603882674</v>
      </c>
      <c r="BI1774" s="2">
        <f t="shared" ca="1" si="1733"/>
        <v>24669646.945427857</v>
      </c>
      <c r="BJ1774" s="2">
        <f t="shared" ca="1" si="1734"/>
        <v>0.17102589419104297</v>
      </c>
      <c r="BK1774" s="2">
        <f t="shared" ca="1" si="1735"/>
        <v>3509416.7685959898</v>
      </c>
    </row>
    <row r="1775" spans="1:63" x14ac:dyDescent="0.3">
      <c r="A1775" s="2">
        <v>1774</v>
      </c>
      <c r="B1775" s="2">
        <f t="shared" ca="1" si="1674"/>
        <v>0.87536988865361987</v>
      </c>
      <c r="C1775" s="2">
        <f t="shared" ca="1" si="1675"/>
        <v>7.5007403253889215</v>
      </c>
      <c r="D1775" s="2">
        <f t="shared" ca="1" si="1676"/>
        <v>0.37468199945097713</v>
      </c>
      <c r="E1775" s="2">
        <f t="shared" ca="1" si="1677"/>
        <v>7.3656581305006927</v>
      </c>
      <c r="F1775" s="2">
        <f t="shared" ca="1" si="1678"/>
        <v>0.91511923599455725</v>
      </c>
      <c r="G1775" s="2">
        <f t="shared" ca="1" si="1679"/>
        <v>8.1189114012383268E-2</v>
      </c>
      <c r="H1775" s="2">
        <f t="shared" ca="1" si="1680"/>
        <v>8.1189114012383268E-2</v>
      </c>
      <c r="I1775" s="2">
        <f t="shared" ca="1" si="1681"/>
        <v>0.73803652862832236</v>
      </c>
      <c r="J1775" s="2">
        <f t="shared" ca="1" si="1682"/>
        <v>1.3186519257073096E-2</v>
      </c>
      <c r="K1775" s="2">
        <f t="shared" ca="1" si="1683"/>
        <v>1.3186519257073096E-2</v>
      </c>
      <c r="L1775" s="2">
        <f t="shared" ca="1" si="1684"/>
        <v>0.52770212584589959</v>
      </c>
      <c r="M1775" s="2">
        <f t="shared" ca="1" si="1685"/>
        <v>1.3898965864370344E-3</v>
      </c>
      <c r="N1775" s="2">
        <f t="shared" ca="1" si="1686"/>
        <v>1.3898965864370344E-3</v>
      </c>
      <c r="O1775" s="2">
        <f t="shared" si="1687"/>
        <v>6000000</v>
      </c>
      <c r="P1775" s="2">
        <f t="shared" ca="1" si="1688"/>
        <v>45004441.952333532</v>
      </c>
      <c r="Q1775" s="2">
        <f t="shared" ca="1" si="1689"/>
        <v>1125111.0488083384</v>
      </c>
      <c r="R1775" s="2">
        <f t="shared" ca="1" si="1690"/>
        <v>27002665.171400119</v>
      </c>
      <c r="S1775" s="2">
        <f t="shared" ca="1" si="1691"/>
        <v>18001776.780933414</v>
      </c>
      <c r="T1775" s="2">
        <f t="shared" ca="1" si="1692"/>
        <v>50069494.829321846</v>
      </c>
      <c r="U1775" s="2">
        <f t="shared" ca="1" si="1693"/>
        <v>54134592.753562093</v>
      </c>
      <c r="V1775" s="2">
        <f t="shared" ca="1" si="1694"/>
        <v>58529732.376644984</v>
      </c>
      <c r="W1775" s="2">
        <f t="shared" ca="1" si="1695"/>
        <v>63281709.491686694</v>
      </c>
      <c r="X1775" s="2">
        <f t="shared" ca="1" si="1696"/>
        <v>68419495.418505758</v>
      </c>
      <c r="Y1775" s="2">
        <f t="shared" ca="1" si="1697"/>
        <v>0.12659325962853654</v>
      </c>
      <c r="Z1775" s="2">
        <f t="shared" ca="1" si="1698"/>
        <v>0.12923056347995115</v>
      </c>
      <c r="AA1775" s="2">
        <f t="shared" ca="1" si="1699"/>
        <v>6338460.5583980083</v>
      </c>
      <c r="AB1775" s="2">
        <f t="shared" ca="1" si="1700"/>
        <v>6995843.9253005097</v>
      </c>
      <c r="AC1775" s="2">
        <f t="shared" ca="1" si="1701"/>
        <v>7563830.2953645717</v>
      </c>
      <c r="AD1775" s="2">
        <f t="shared" ca="1" si="1702"/>
        <v>8177930.9755852446</v>
      </c>
      <c r="AE1775" s="2">
        <f t="shared" ca="1" si="1703"/>
        <v>8841889.9459474348</v>
      </c>
      <c r="AF1775" s="2">
        <f t="shared" ca="1" si="1704"/>
        <v>1001389.8965864369</v>
      </c>
      <c r="AG1775" s="2">
        <f t="shared" ca="1" si="1705"/>
        <v>1082691.855071242</v>
      </c>
      <c r="AH1775" s="2">
        <f t="shared" ca="1" si="1706"/>
        <v>1170594.6475328996</v>
      </c>
      <c r="AI1775" s="2">
        <f t="shared" ca="1" si="1707"/>
        <v>1265634.189833734</v>
      </c>
      <c r="AJ1775" s="2">
        <f t="shared" ca="1" si="1708"/>
        <v>1368389.9083701151</v>
      </c>
      <c r="AK1775" s="2">
        <f t="shared" ca="1" si="1709"/>
        <v>0</v>
      </c>
      <c r="AL1775" s="2">
        <f t="shared" ca="1" si="1710"/>
        <v>40650.979242402464</v>
      </c>
      <c r="AM1775" s="2">
        <f t="shared" ca="1" si="1711"/>
        <v>43951.396230828912</v>
      </c>
      <c r="AN1775" s="2">
        <f t="shared" ca="1" si="1712"/>
        <v>47519.771150417102</v>
      </c>
      <c r="AO1775" s="2">
        <f t="shared" ca="1" si="1713"/>
        <v>51377.859268190638</v>
      </c>
      <c r="AP1775" s="2">
        <f t="shared" ca="1" si="1714"/>
        <v>2430239.8654260105</v>
      </c>
      <c r="AQ1775" s="2">
        <f t="shared" ca="1" si="1715"/>
        <v>755776.00706024596</v>
      </c>
      <c r="AR1775" s="2">
        <f t="shared" ca="1" si="1716"/>
        <v>905557.1732488469</v>
      </c>
      <c r="AS1775" s="2">
        <f t="shared" ca="1" si="1717"/>
        <v>1030378.903425472</v>
      </c>
      <c r="AT1775" s="2">
        <f t="shared" ca="1" si="1718"/>
        <v>1165334.79928463</v>
      </c>
      <c r="AU1775" s="2">
        <f t="shared" ca="1" si="1719"/>
        <v>1311247.6447593404</v>
      </c>
      <c r="AV1775" s="2">
        <f t="shared" ca="1" si="1720"/>
        <v>2151054.7893253155</v>
      </c>
      <c r="AW1775" s="2">
        <f t="shared" ca="1" si="1721"/>
        <v>2536704.0523120081</v>
      </c>
      <c r="AX1775" s="2">
        <f t="shared" ca="1" si="1722"/>
        <v>2888665.4827493606</v>
      </c>
      <c r="AY1775" s="2">
        <f t="shared" ca="1" si="1723"/>
        <v>3269202.3498904528</v>
      </c>
      <c r="AZ1775" s="2">
        <f t="shared" ca="1" si="1724"/>
        <v>3680634.6681237789</v>
      </c>
      <c r="BA1775" s="2">
        <f t="shared" ca="1" si="1725"/>
        <v>65126338.569360055</v>
      </c>
      <c r="BB1775" s="2">
        <f t="shared" ca="1" si="1726"/>
        <v>1302526.771387201</v>
      </c>
      <c r="BC1775" s="2">
        <f t="shared" ca="1" si="1727"/>
        <v>36821146.626572728</v>
      </c>
      <c r="BD1775" s="2">
        <f t="shared" ca="1" si="1728"/>
        <v>-19626887.829741754</v>
      </c>
      <c r="BE1775" s="2">
        <f t="shared" ca="1" si="1729"/>
        <v>2151054.7893253155</v>
      </c>
      <c r="BF1775" s="2">
        <f t="shared" ca="1" si="1730"/>
        <v>2536704.0523120081</v>
      </c>
      <c r="BG1775" s="2">
        <f t="shared" ca="1" si="1731"/>
        <v>2888665.4827493606</v>
      </c>
      <c r="BH1775" s="2">
        <f t="shared" ca="1" si="1732"/>
        <v>3269202.3498904528</v>
      </c>
      <c r="BI1775" s="2">
        <f t="shared" ca="1" si="1733"/>
        <v>40501781.29469651</v>
      </c>
      <c r="BJ1775" s="2">
        <f t="shared" ca="1" si="1734"/>
        <v>0.24704771713441498</v>
      </c>
      <c r="BK1775" s="2">
        <f t="shared" ca="1" si="1735"/>
        <v>11431472.382778753</v>
      </c>
    </row>
    <row r="1776" spans="1:63" x14ac:dyDescent="0.3">
      <c r="A1776" s="2">
        <v>1775</v>
      </c>
      <c r="B1776" s="2">
        <f t="shared" ca="1" si="1674"/>
        <v>0.97713238859771345</v>
      </c>
      <c r="C1776" s="2">
        <f t="shared" ca="1" si="1675"/>
        <v>7.7861420499383458</v>
      </c>
      <c r="D1776" s="2">
        <f t="shared" ca="1" si="1676"/>
        <v>0.9842899401924724</v>
      </c>
      <c r="E1776" s="2">
        <f t="shared" ca="1" si="1677"/>
        <v>8.3227427868461898</v>
      </c>
      <c r="F1776" s="2">
        <f t="shared" ca="1" si="1678"/>
        <v>0.18997009346222671</v>
      </c>
      <c r="G1776" s="2">
        <f t="shared" ca="1" si="1679"/>
        <v>1.3659804758069351E-2</v>
      </c>
      <c r="H1776" s="2">
        <f t="shared" ca="1" si="1680"/>
        <v>1.3659804758069351E-2</v>
      </c>
      <c r="I1776" s="2">
        <f t="shared" ca="1" si="1681"/>
        <v>0.37662202309774651</v>
      </c>
      <c r="J1776" s="2">
        <f t="shared" ca="1" si="1682"/>
        <v>8.4281763865381859E-3</v>
      </c>
      <c r="K1776" s="2">
        <f t="shared" ca="1" si="1683"/>
        <v>8.4281763865381859E-3</v>
      </c>
      <c r="L1776" s="2">
        <f t="shared" ca="1" si="1684"/>
        <v>0.35269360122935389</v>
      </c>
      <c r="M1776" s="2">
        <f t="shared" ca="1" si="1685"/>
        <v>-7.5611682248182682E-3</v>
      </c>
      <c r="N1776" s="2">
        <f t="shared" ca="1" si="1686"/>
        <v>-7.5611682248182682E-3</v>
      </c>
      <c r="O1776" s="2">
        <f t="shared" si="1687"/>
        <v>6000000</v>
      </c>
      <c r="P1776" s="2">
        <f t="shared" ca="1" si="1688"/>
        <v>46716852.299630076</v>
      </c>
      <c r="Q1776" s="2">
        <f t="shared" ca="1" si="1689"/>
        <v>1167921.3074907518</v>
      </c>
      <c r="R1776" s="2">
        <f t="shared" ca="1" si="1690"/>
        <v>28030111.379778046</v>
      </c>
      <c r="S1776" s="2">
        <f t="shared" ca="1" si="1691"/>
        <v>18686740.91985203</v>
      </c>
      <c r="T1776" s="2">
        <f t="shared" ca="1" si="1692"/>
        <v>49621941.588759087</v>
      </c>
      <c r="U1776" s="2">
        <f t="shared" ca="1" si="1693"/>
        <v>50299767.622577861</v>
      </c>
      <c r="V1776" s="2">
        <f t="shared" ca="1" si="1694"/>
        <v>50986852.627678536</v>
      </c>
      <c r="W1776" s="2">
        <f t="shared" ca="1" si="1695"/>
        <v>51683323.079801083</v>
      </c>
      <c r="X1776" s="2">
        <f t="shared" ca="1" si="1696"/>
        <v>52389307.182319388</v>
      </c>
      <c r="Y1776" s="2">
        <f t="shared" ca="1" si="1697"/>
        <v>0.1242140881932691</v>
      </c>
      <c r="Z1776" s="2">
        <f t="shared" ca="1" si="1698"/>
        <v>0.12589972347057674</v>
      </c>
      <c r="AA1776" s="2">
        <f t="shared" ca="1" si="1699"/>
        <v>6163744.2288273685</v>
      </c>
      <c r="AB1776" s="2">
        <f t="shared" ca="1" si="1700"/>
        <v>6332726.8343168218</v>
      </c>
      <c r="AC1776" s="2">
        <f t="shared" ca="1" si="1701"/>
        <v>6419230.6464597769</v>
      </c>
      <c r="AD1776" s="2">
        <f t="shared" ca="1" si="1702"/>
        <v>6506916.0837874329</v>
      </c>
      <c r="AE1776" s="2">
        <f t="shared" ca="1" si="1703"/>
        <v>6595799.2870691102</v>
      </c>
      <c r="AF1776" s="2">
        <f t="shared" ca="1" si="1704"/>
        <v>992438.83177518181</v>
      </c>
      <c r="AG1776" s="2">
        <f t="shared" ca="1" si="1705"/>
        <v>1005995.3524515573</v>
      </c>
      <c r="AH1776" s="2">
        <f t="shared" ca="1" si="1706"/>
        <v>1019737.0525535707</v>
      </c>
      <c r="AI1776" s="2">
        <f t="shared" ca="1" si="1707"/>
        <v>1033666.4615960217</v>
      </c>
      <c r="AJ1776" s="2">
        <f t="shared" ca="1" si="1708"/>
        <v>1047786.1436463877</v>
      </c>
      <c r="AK1776" s="2">
        <f t="shared" ca="1" si="1709"/>
        <v>0</v>
      </c>
      <c r="AL1776" s="2">
        <f t="shared" ca="1" si="1710"/>
        <v>6778.2603381877398</v>
      </c>
      <c r="AM1776" s="2">
        <f t="shared" ca="1" si="1711"/>
        <v>6870.8500510067497</v>
      </c>
      <c r="AN1776" s="2">
        <f t="shared" ca="1" si="1712"/>
        <v>6964.704521225467</v>
      </c>
      <c r="AO1776" s="2">
        <f t="shared" ca="1" si="1713"/>
        <v>7059.8410251830519</v>
      </c>
      <c r="AP1776" s="2">
        <f t="shared" ca="1" si="1714"/>
        <v>2522710.0241800239</v>
      </c>
      <c r="AQ1776" s="2">
        <f t="shared" ca="1" si="1715"/>
        <v>688634.79694676225</v>
      </c>
      <c r="AR1776" s="2">
        <f t="shared" ca="1" si="1716"/>
        <v>729045.57899816253</v>
      </c>
      <c r="AS1776" s="2">
        <f t="shared" ca="1" si="1717"/>
        <v>747963.72812880739</v>
      </c>
      <c r="AT1776" s="2">
        <f t="shared" ca="1" si="1718"/>
        <v>767140.29548296076</v>
      </c>
      <c r="AU1776" s="2">
        <f t="shared" ca="1" si="1719"/>
        <v>786578.81100310176</v>
      </c>
      <c r="AV1776" s="2">
        <f t="shared" ca="1" si="1720"/>
        <v>1959960.5759254005</v>
      </c>
      <c r="AW1776" s="2">
        <f t="shared" ca="1" si="1721"/>
        <v>2068197.61834889</v>
      </c>
      <c r="AX1776" s="2">
        <f t="shared" ca="1" si="1722"/>
        <v>2121948.9915463682</v>
      </c>
      <c r="AY1776" s="2">
        <f t="shared" ca="1" si="1723"/>
        <v>2176434.5980072012</v>
      </c>
      <c r="AZ1776" s="2">
        <f t="shared" ca="1" si="1724"/>
        <v>2231664.4672144139</v>
      </c>
      <c r="BA1776" s="2">
        <f t="shared" ca="1" si="1725"/>
        <v>54895140.939939678</v>
      </c>
      <c r="BB1776" s="2">
        <f t="shared" ca="1" si="1726"/>
        <v>1097902.8187987935</v>
      </c>
      <c r="BC1776" s="2">
        <f t="shared" ca="1" si="1727"/>
        <v>25767126.74136284</v>
      </c>
      <c r="BD1776" s="2">
        <f t="shared" ca="1" si="1728"/>
        <v>-20354662.227342781</v>
      </c>
      <c r="BE1776" s="2">
        <f t="shared" ca="1" si="1729"/>
        <v>1959960.5759254005</v>
      </c>
      <c r="BF1776" s="2">
        <f t="shared" ca="1" si="1730"/>
        <v>2068197.61834889</v>
      </c>
      <c r="BG1776" s="2">
        <f t="shared" ca="1" si="1731"/>
        <v>2121948.9915463682</v>
      </c>
      <c r="BH1776" s="2">
        <f t="shared" ca="1" si="1732"/>
        <v>2176434.5980072012</v>
      </c>
      <c r="BI1776" s="2">
        <f t="shared" ca="1" si="1733"/>
        <v>27998791.208577253</v>
      </c>
      <c r="BJ1776" s="2">
        <f t="shared" ca="1" si="1734"/>
        <v>0.14288268761129097</v>
      </c>
      <c r="BK1776" s="2">
        <f t="shared" ca="1" si="1735"/>
        <v>1824848.0234581158</v>
      </c>
    </row>
    <row r="1777" spans="1:63" x14ac:dyDescent="0.3">
      <c r="A1777" s="2">
        <v>1776</v>
      </c>
      <c r="B1777" s="2">
        <f t="shared" ca="1" si="1674"/>
        <v>0.12038953671591557</v>
      </c>
      <c r="C1777" s="2">
        <f t="shared" ca="1" si="1675"/>
        <v>6.4906924428110049</v>
      </c>
      <c r="D1777" s="2">
        <f t="shared" ca="1" si="1676"/>
        <v>0.66905618116452725</v>
      </c>
      <c r="E1777" s="2">
        <f t="shared" ca="1" si="1677"/>
        <v>7.6864352283493673</v>
      </c>
      <c r="F1777" s="2">
        <f t="shared" ca="1" si="1678"/>
        <v>0.74475664826936483</v>
      </c>
      <c r="G1777" s="2">
        <f t="shared" ca="1" si="1679"/>
        <v>5.9742401079902002E-2</v>
      </c>
      <c r="H1777" s="2">
        <f t="shared" ca="1" si="1680"/>
        <v>5.9742401079902002E-2</v>
      </c>
      <c r="I1777" s="2">
        <f t="shared" ca="1" si="1681"/>
        <v>0.39881042080004869</v>
      </c>
      <c r="J1777" s="2">
        <f t="shared" ca="1" si="1682"/>
        <v>8.7178630568129235E-3</v>
      </c>
      <c r="K1777" s="2">
        <f t="shared" ca="1" si="1683"/>
        <v>8.7178630568129235E-3</v>
      </c>
      <c r="L1777" s="2">
        <f t="shared" ca="1" si="1684"/>
        <v>4.8715421589460184E-2</v>
      </c>
      <c r="M1777" s="2">
        <f t="shared" ca="1" si="1685"/>
        <v>-3.3148770976942354E-2</v>
      </c>
      <c r="N1777" s="2">
        <f t="shared" ca="1" si="1686"/>
        <v>-3.3148770976942354E-2</v>
      </c>
      <c r="O1777" s="2">
        <f t="shared" si="1687"/>
        <v>6000000</v>
      </c>
      <c r="P1777" s="2">
        <f t="shared" ca="1" si="1688"/>
        <v>38944154.656866029</v>
      </c>
      <c r="Q1777" s="2">
        <f t="shared" ca="1" si="1689"/>
        <v>973603.86642165075</v>
      </c>
      <c r="R1777" s="2">
        <f t="shared" ca="1" si="1690"/>
        <v>23366492.794119615</v>
      </c>
      <c r="S1777" s="2">
        <f t="shared" ca="1" si="1691"/>
        <v>15577661.862746412</v>
      </c>
      <c r="T1777" s="2">
        <f t="shared" ca="1" si="1692"/>
        <v>48342561.451152883</v>
      </c>
      <c r="U1777" s="2">
        <f t="shared" ca="1" si="1693"/>
        <v>51230662.146597467</v>
      </c>
      <c r="V1777" s="2">
        <f t="shared" ca="1" si="1694"/>
        <v>54291304.912148446</v>
      </c>
      <c r="W1777" s="2">
        <f t="shared" ca="1" si="1695"/>
        <v>57534797.825361267</v>
      </c>
      <c r="X1777" s="2">
        <f t="shared" ca="1" si="1696"/>
        <v>60972064.793095067</v>
      </c>
      <c r="Y1777" s="2">
        <f t="shared" ca="1" si="1697"/>
        <v>0.12435893152840646</v>
      </c>
      <c r="Z1777" s="2">
        <f t="shared" ca="1" si="1698"/>
        <v>0.12610250413976903</v>
      </c>
      <c r="AA1777" s="2">
        <f t="shared" ca="1" si="1699"/>
        <v>6011829.2894117031</v>
      </c>
      <c r="AB1777" s="2">
        <f t="shared" ca="1" si="1700"/>
        <v>6460314.785424416</v>
      </c>
      <c r="AC1777" s="2">
        <f t="shared" ca="1" si="1701"/>
        <v>6846269.5024376623</v>
      </c>
      <c r="AD1777" s="2">
        <f t="shared" ca="1" si="1702"/>
        <v>7255282.0809533931</v>
      </c>
      <c r="AE1777" s="2">
        <f t="shared" ca="1" si="1703"/>
        <v>7688730.0529815368</v>
      </c>
      <c r="AF1777" s="2">
        <f t="shared" ca="1" si="1704"/>
        <v>966851.22902305773</v>
      </c>
      <c r="AG1777" s="2">
        <f t="shared" ca="1" si="1705"/>
        <v>1024613.2429319493</v>
      </c>
      <c r="AH1777" s="2">
        <f t="shared" ca="1" si="1706"/>
        <v>1085826.098242969</v>
      </c>
      <c r="AI1777" s="2">
        <f t="shared" ca="1" si="1707"/>
        <v>1150695.9565072253</v>
      </c>
      <c r="AJ1777" s="2">
        <f t="shared" ca="1" si="1708"/>
        <v>1219441.2958619015</v>
      </c>
      <c r="AK1777" s="2">
        <f t="shared" ca="1" si="1709"/>
        <v>0</v>
      </c>
      <c r="AL1777" s="2">
        <f t="shared" ca="1" si="1710"/>
        <v>28881.006954445838</v>
      </c>
      <c r="AM1777" s="2">
        <f t="shared" ca="1" si="1711"/>
        <v>30606.427655509786</v>
      </c>
      <c r="AN1777" s="2">
        <f t="shared" ca="1" si="1712"/>
        <v>32434.929132128211</v>
      </c>
      <c r="AO1777" s="2">
        <f t="shared" ca="1" si="1713"/>
        <v>34372.669677338003</v>
      </c>
      <c r="AP1777" s="2">
        <f t="shared" ca="1" si="1714"/>
        <v>2102984.3514707652</v>
      </c>
      <c r="AQ1777" s="2">
        <f t="shared" ca="1" si="1715"/>
        <v>764918.36431864882</v>
      </c>
      <c r="AR1777" s="2">
        <f t="shared" ca="1" si="1716"/>
        <v>866506.46966564248</v>
      </c>
      <c r="AS1777" s="2">
        <f t="shared" ca="1" si="1717"/>
        <v>950939.35370822123</v>
      </c>
      <c r="AT1777" s="2">
        <f t="shared" ca="1" si="1718"/>
        <v>1040416.4609736047</v>
      </c>
      <c r="AU1777" s="2">
        <f t="shared" ca="1" si="1719"/>
        <v>1135239.1454687063</v>
      </c>
      <c r="AV1777" s="2">
        <f t="shared" ca="1" si="1720"/>
        <v>2177075.3445992316</v>
      </c>
      <c r="AW1777" s="2">
        <f t="shared" ca="1" si="1721"/>
        <v>2437329.7144016135</v>
      </c>
      <c r="AX1777" s="2">
        <f t="shared" ca="1" si="1722"/>
        <v>2675913.2713601966</v>
      </c>
      <c r="AY1777" s="2">
        <f t="shared" ca="1" si="1723"/>
        <v>2928750.3828696697</v>
      </c>
      <c r="AZ1777" s="2">
        <f t="shared" ca="1" si="1724"/>
        <v>3196692.590502826</v>
      </c>
      <c r="BA1777" s="2">
        <f t="shared" ca="1" si="1725"/>
        <v>59098925.540505782</v>
      </c>
      <c r="BB1777" s="2">
        <f t="shared" ca="1" si="1726"/>
        <v>1181978.5108101156</v>
      </c>
      <c r="BC1777" s="2">
        <f t="shared" ca="1" si="1727"/>
        <v>34550454.235576056</v>
      </c>
      <c r="BD1777" s="2">
        <f t="shared" ca="1" si="1728"/>
        <v>-17051265.729168065</v>
      </c>
      <c r="BE1777" s="2">
        <f t="shared" ca="1" si="1729"/>
        <v>2177075.3445992316</v>
      </c>
      <c r="BF1777" s="2">
        <f t="shared" ca="1" si="1730"/>
        <v>2437329.7144016135</v>
      </c>
      <c r="BG1777" s="2">
        <f t="shared" ca="1" si="1731"/>
        <v>2675913.2713601966</v>
      </c>
      <c r="BH1777" s="2">
        <f t="shared" ca="1" si="1732"/>
        <v>2928750.3828696697</v>
      </c>
      <c r="BI1777" s="2">
        <f t="shared" ca="1" si="1733"/>
        <v>37747146.826078884</v>
      </c>
      <c r="BJ1777" s="2">
        <f t="shared" ca="1" si="1734"/>
        <v>0.27057043136339454</v>
      </c>
      <c r="BK1777" s="2">
        <f t="shared" ca="1" si="1735"/>
        <v>12020256.731424619</v>
      </c>
    </row>
    <row r="1778" spans="1:63" x14ac:dyDescent="0.3">
      <c r="A1778" s="2">
        <v>1777</v>
      </c>
      <c r="B1778" s="2">
        <f t="shared" ca="1" si="1674"/>
        <v>0.35051934576864308</v>
      </c>
      <c r="C1778" s="2">
        <f t="shared" ca="1" si="1675"/>
        <v>6.8372805333562257</v>
      </c>
      <c r="D1778" s="2">
        <f t="shared" ca="1" si="1676"/>
        <v>6.338881354816972E-2</v>
      </c>
      <c r="E1778" s="2">
        <f t="shared" ca="1" si="1677"/>
        <v>6.8560584602229522</v>
      </c>
      <c r="F1778" s="2">
        <f t="shared" ca="1" si="1678"/>
        <v>0.80558211010898906</v>
      </c>
      <c r="G1778" s="2">
        <f t="shared" ca="1" si="1679"/>
        <v>6.5851918156561343E-2</v>
      </c>
      <c r="H1778" s="2">
        <f t="shared" ca="1" si="1680"/>
        <v>6.5851918156561343E-2</v>
      </c>
      <c r="I1778" s="2">
        <f t="shared" ca="1" si="1681"/>
        <v>0.95305700348815015</v>
      </c>
      <c r="J1778" s="2">
        <f t="shared" ca="1" si="1682"/>
        <v>1.8376229555538824E-2</v>
      </c>
      <c r="K1778" s="2">
        <f t="shared" ca="1" si="1683"/>
        <v>1.8376229555538824E-2</v>
      </c>
      <c r="L1778" s="2">
        <f t="shared" ca="1" si="1684"/>
        <v>0.21622518916325029</v>
      </c>
      <c r="M1778" s="2">
        <f t="shared" ca="1" si="1685"/>
        <v>-1.570010882525075E-2</v>
      </c>
      <c r="N1778" s="2">
        <f t="shared" ca="1" si="1686"/>
        <v>-1.570010882525075E-2</v>
      </c>
      <c r="O1778" s="2">
        <f t="shared" si="1687"/>
        <v>6000000</v>
      </c>
      <c r="P1778" s="2">
        <f t="shared" ca="1" si="1688"/>
        <v>41023683.200137354</v>
      </c>
      <c r="Q1778" s="2">
        <f t="shared" ca="1" si="1689"/>
        <v>1025592.0800034339</v>
      </c>
      <c r="R1778" s="2">
        <f t="shared" ca="1" si="1690"/>
        <v>24614209.920082413</v>
      </c>
      <c r="S1778" s="2">
        <f t="shared" ca="1" si="1691"/>
        <v>16409473.280054942</v>
      </c>
      <c r="T1778" s="2">
        <f t="shared" ca="1" si="1692"/>
        <v>49214994.558737464</v>
      </c>
      <c r="U1778" s="2">
        <f t="shared" ca="1" si="1693"/>
        <v>52455896.352495052</v>
      </c>
      <c r="V1778" s="2">
        <f t="shared" ca="1" si="1694"/>
        <v>55910217.745928623</v>
      </c>
      <c r="W1778" s="2">
        <f t="shared" ca="1" si="1695"/>
        <v>59592012.829049036</v>
      </c>
      <c r="X1778" s="2">
        <f t="shared" ca="1" si="1696"/>
        <v>63516261.180652328</v>
      </c>
      <c r="Y1778" s="2">
        <f t="shared" ca="1" si="1697"/>
        <v>0.1291881147777694</v>
      </c>
      <c r="Z1778" s="2">
        <f t="shared" ca="1" si="1698"/>
        <v>0.13286336068887716</v>
      </c>
      <c r="AA1778" s="2">
        <f t="shared" ca="1" si="1699"/>
        <v>6357992.3658414716</v>
      </c>
      <c r="AB1778" s="2">
        <f t="shared" ca="1" si="1700"/>
        <v>6969466.6773399059</v>
      </c>
      <c r="AC1778" s="2">
        <f t="shared" ca="1" si="1701"/>
        <v>7428419.4265709752</v>
      </c>
      <c r="AD1778" s="2">
        <f t="shared" ca="1" si="1702"/>
        <v>7917595.0946821375</v>
      </c>
      <c r="AE1778" s="2">
        <f t="shared" ca="1" si="1703"/>
        <v>8438983.9188539367</v>
      </c>
      <c r="AF1778" s="2">
        <f t="shared" ca="1" si="1704"/>
        <v>984299.89117474935</v>
      </c>
      <c r="AG1778" s="2">
        <f t="shared" ca="1" si="1705"/>
        <v>1049117.9270499011</v>
      </c>
      <c r="AH1778" s="2">
        <f t="shared" ca="1" si="1706"/>
        <v>1118204.3549185726</v>
      </c>
      <c r="AI1778" s="2">
        <f t="shared" ca="1" si="1707"/>
        <v>1191840.2565809807</v>
      </c>
      <c r="AJ1778" s="2">
        <f t="shared" ca="1" si="1708"/>
        <v>1270325.2236130466</v>
      </c>
      <c r="AK1778" s="2">
        <f t="shared" ca="1" si="1709"/>
        <v>0</v>
      </c>
      <c r="AL1778" s="2">
        <f t="shared" ca="1" si="1710"/>
        <v>32409.017937575878</v>
      </c>
      <c r="AM1778" s="2">
        <f t="shared" ca="1" si="1711"/>
        <v>34543.213934335712</v>
      </c>
      <c r="AN1778" s="2">
        <f t="shared" ca="1" si="1712"/>
        <v>36817.950831204129</v>
      </c>
      <c r="AO1778" s="2">
        <f t="shared" ca="1" si="1713"/>
        <v>39242.483516032917</v>
      </c>
      <c r="AP1778" s="2">
        <f t="shared" ca="1" si="1714"/>
        <v>2215278.8928074171</v>
      </c>
      <c r="AQ1778" s="2">
        <f t="shared" ca="1" si="1715"/>
        <v>821187.53128341935</v>
      </c>
      <c r="AR1778" s="2">
        <f t="shared" ca="1" si="1716"/>
        <v>963318.16294547275</v>
      </c>
      <c r="AS1778" s="2">
        <f t="shared" ca="1" si="1717"/>
        <v>1064683.4064996964</v>
      </c>
      <c r="AT1778" s="2">
        <f t="shared" ca="1" si="1718"/>
        <v>1172723.7457763723</v>
      </c>
      <c r="AU1778" s="2">
        <f t="shared" ca="1" si="1719"/>
        <v>1287878.7486327032</v>
      </c>
      <c r="AV1778" s="2">
        <f t="shared" ca="1" si="1720"/>
        <v>2337226.0505758855</v>
      </c>
      <c r="AW1778" s="2">
        <f t="shared" ca="1" si="1721"/>
        <v>2709342.6765995394</v>
      </c>
      <c r="AX1778" s="2">
        <f t="shared" ca="1" si="1722"/>
        <v>2995709.5584109533</v>
      </c>
      <c r="AY1778" s="2">
        <f t="shared" ca="1" si="1723"/>
        <v>3300934.2486861642</v>
      </c>
      <c r="AZ1778" s="2">
        <f t="shared" ca="1" si="1724"/>
        <v>3626258.5702847377</v>
      </c>
      <c r="BA1778" s="2">
        <f t="shared" ca="1" si="1725"/>
        <v>57858167.092543975</v>
      </c>
      <c r="BB1778" s="2">
        <f t="shared" ca="1" si="1726"/>
        <v>1157163.3418508796</v>
      </c>
      <c r="BC1778" s="2">
        <f t="shared" ca="1" si="1727"/>
        <v>32086793.830610681</v>
      </c>
      <c r="BD1778" s="2">
        <f t="shared" ca="1" si="1728"/>
        <v>-17935065.360058375</v>
      </c>
      <c r="BE1778" s="2">
        <f t="shared" ca="1" si="1729"/>
        <v>2337226.0505758855</v>
      </c>
      <c r="BF1778" s="2">
        <f t="shared" ca="1" si="1730"/>
        <v>2709342.6765995394</v>
      </c>
      <c r="BG1778" s="2">
        <f t="shared" ca="1" si="1731"/>
        <v>2995709.5584109533</v>
      </c>
      <c r="BH1778" s="2">
        <f t="shared" ca="1" si="1732"/>
        <v>3300934.2486861642</v>
      </c>
      <c r="BI1778" s="2">
        <f t="shared" ca="1" si="1733"/>
        <v>35713052.400895417</v>
      </c>
      <c r="BJ1778" s="2">
        <f t="shared" ca="1" si="1734"/>
        <v>0.25439226746545773</v>
      </c>
      <c r="BK1778" s="2">
        <f t="shared" ca="1" si="1735"/>
        <v>10806250.322125074</v>
      </c>
    </row>
    <row r="1779" spans="1:63" x14ac:dyDescent="0.3">
      <c r="A1779" s="2">
        <v>1778</v>
      </c>
      <c r="B1779" s="2">
        <f t="shared" ca="1" si="1674"/>
        <v>0.53099117133967033</v>
      </c>
      <c r="C1779" s="2">
        <f t="shared" ca="1" si="1675"/>
        <v>7.0314868832480073</v>
      </c>
      <c r="D1779" s="2">
        <f t="shared" ca="1" si="1676"/>
        <v>0.48346522964604555</v>
      </c>
      <c r="E1779" s="2">
        <f t="shared" ca="1" si="1677"/>
        <v>7.4833262222132042</v>
      </c>
      <c r="F1779" s="2">
        <f t="shared" ca="1" si="1678"/>
        <v>0.58473978383258829</v>
      </c>
      <c r="G1779" s="2">
        <f t="shared" ca="1" si="1679"/>
        <v>4.6421024269751858E-2</v>
      </c>
      <c r="H1779" s="2">
        <f t="shared" ca="1" si="1680"/>
        <v>4.6421024269751858E-2</v>
      </c>
      <c r="I1779" s="2">
        <f t="shared" ca="1" si="1681"/>
        <v>0.72352736518417904</v>
      </c>
      <c r="J1779" s="2">
        <f t="shared" ca="1" si="1682"/>
        <v>1.296676250720831E-2</v>
      </c>
      <c r="K1779" s="2">
        <f t="shared" ca="1" si="1683"/>
        <v>1.296676250720831E-2</v>
      </c>
      <c r="L1779" s="2">
        <f t="shared" ca="1" si="1684"/>
        <v>8.7463524771229428E-2</v>
      </c>
      <c r="M1779" s="2">
        <f t="shared" ca="1" si="1685"/>
        <v>-2.7130823140936511E-2</v>
      </c>
      <c r="N1779" s="2">
        <f t="shared" ca="1" si="1686"/>
        <v>-2.7130823140936511E-2</v>
      </c>
      <c r="O1779" s="2">
        <f t="shared" si="1687"/>
        <v>6000000</v>
      </c>
      <c r="P1779" s="2">
        <f t="shared" ca="1" si="1688"/>
        <v>42188921.299488045</v>
      </c>
      <c r="Q1779" s="2">
        <f t="shared" ca="1" si="1689"/>
        <v>1054723.0324872013</v>
      </c>
      <c r="R1779" s="2">
        <f t="shared" ca="1" si="1690"/>
        <v>25313352.779692825</v>
      </c>
      <c r="S1779" s="2">
        <f t="shared" ca="1" si="1691"/>
        <v>16875568.51979522</v>
      </c>
      <c r="T1779" s="2">
        <f t="shared" ca="1" si="1692"/>
        <v>48643458.842953175</v>
      </c>
      <c r="U1779" s="2">
        <f t="shared" ca="1" si="1693"/>
        <v>50901538.026466578</v>
      </c>
      <c r="V1779" s="2">
        <f t="shared" ca="1" si="1694"/>
        <v>53264439.558560878</v>
      </c>
      <c r="W1779" s="2">
        <f t="shared" ca="1" si="1695"/>
        <v>55737029.400023557</v>
      </c>
      <c r="X1779" s="2">
        <f t="shared" ca="1" si="1696"/>
        <v>58324399.394525923</v>
      </c>
      <c r="Y1779" s="2">
        <f t="shared" ca="1" si="1697"/>
        <v>0.12648338125360414</v>
      </c>
      <c r="Z1779" s="2">
        <f t="shared" ca="1" si="1698"/>
        <v>0.1290767337550458</v>
      </c>
      <c r="AA1779" s="2">
        <f t="shared" ca="1" si="1699"/>
        <v>6152589.1503272485</v>
      </c>
      <c r="AB1779" s="2">
        <f t="shared" ca="1" si="1700"/>
        <v>6570204.2715645665</v>
      </c>
      <c r="AC1779" s="2">
        <f t="shared" ca="1" si="1701"/>
        <v>6875199.8835120918</v>
      </c>
      <c r="AD1779" s="2">
        <f t="shared" ca="1" si="1702"/>
        <v>7194353.7041640012</v>
      </c>
      <c r="AE1779" s="2">
        <f t="shared" ca="1" si="1703"/>
        <v>7528322.9720701771</v>
      </c>
      <c r="AF1779" s="2">
        <f t="shared" ca="1" si="1704"/>
        <v>972869.17685906356</v>
      </c>
      <c r="AG1779" s="2">
        <f t="shared" ca="1" si="1705"/>
        <v>1018030.7605293316</v>
      </c>
      <c r="AH1779" s="2">
        <f t="shared" ca="1" si="1706"/>
        <v>1065288.7911712176</v>
      </c>
      <c r="AI1779" s="2">
        <f t="shared" ca="1" si="1707"/>
        <v>1114740.5880004712</v>
      </c>
      <c r="AJ1779" s="2">
        <f t="shared" ca="1" si="1708"/>
        <v>1166487.9878905185</v>
      </c>
      <c r="AK1779" s="2">
        <f t="shared" ca="1" si="1709"/>
        <v>0</v>
      </c>
      <c r="AL1779" s="2">
        <f t="shared" ca="1" si="1710"/>
        <v>22580.79183513403</v>
      </c>
      <c r="AM1779" s="2">
        <f t="shared" ca="1" si="1711"/>
        <v>23629.015320942999</v>
      </c>
      <c r="AN1779" s="2">
        <f t="shared" ca="1" si="1712"/>
        <v>24725.898414626794</v>
      </c>
      <c r="AO1779" s="2">
        <f t="shared" ca="1" si="1713"/>
        <v>25873.699945023658</v>
      </c>
      <c r="AP1779" s="2">
        <f t="shared" ca="1" si="1714"/>
        <v>2278201.7501723543</v>
      </c>
      <c r="AQ1779" s="2">
        <f t="shared" ca="1" si="1715"/>
        <v>754394.73805691593</v>
      </c>
      <c r="AR1779" s="2">
        <f t="shared" ca="1" si="1716"/>
        <v>851232.65782434889</v>
      </c>
      <c r="AS1779" s="2">
        <f t="shared" ca="1" si="1717"/>
        <v>918244.42896381533</v>
      </c>
      <c r="AT1779" s="2">
        <f t="shared" ca="1" si="1718"/>
        <v>988366.95515770558</v>
      </c>
      <c r="AU1779" s="2">
        <f t="shared" ca="1" si="1719"/>
        <v>1061744.6408418992</v>
      </c>
      <c r="AV1779" s="2">
        <f t="shared" ca="1" si="1720"/>
        <v>2147123.4852389144</v>
      </c>
      <c r="AW1779" s="2">
        <f t="shared" ca="1" si="1721"/>
        <v>2400158.3112033978</v>
      </c>
      <c r="AX1779" s="2">
        <f t="shared" ca="1" si="1722"/>
        <v>2589835.8978837617</v>
      </c>
      <c r="AY1779" s="2">
        <f t="shared" ca="1" si="1723"/>
        <v>2788318.5124188429</v>
      </c>
      <c r="AZ1779" s="2">
        <f t="shared" ca="1" si="1724"/>
        <v>2996014.8932203818</v>
      </c>
      <c r="BA1779" s="2">
        <f t="shared" ca="1" si="1725"/>
        <v>56336896.7061828</v>
      </c>
      <c r="BB1779" s="2">
        <f t="shared" ca="1" si="1726"/>
        <v>1126737.934123656</v>
      </c>
      <c r="BC1779" s="2">
        <f t="shared" ca="1" si="1727"/>
        <v>29896805.992366318</v>
      </c>
      <c r="BD1779" s="2">
        <f t="shared" ca="1" si="1728"/>
        <v>-18430291.552282423</v>
      </c>
      <c r="BE1779" s="2">
        <f t="shared" ca="1" si="1729"/>
        <v>2147123.4852389144</v>
      </c>
      <c r="BF1779" s="2">
        <f t="shared" ca="1" si="1730"/>
        <v>2400158.3112033978</v>
      </c>
      <c r="BG1779" s="2">
        <f t="shared" ca="1" si="1731"/>
        <v>2589835.8978837617</v>
      </c>
      <c r="BH1779" s="2">
        <f t="shared" ca="1" si="1732"/>
        <v>2788318.5124188429</v>
      </c>
      <c r="BI1779" s="2">
        <f t="shared" ca="1" si="1733"/>
        <v>32892820.885586701</v>
      </c>
      <c r="BJ1779" s="2">
        <f t="shared" ca="1" si="1734"/>
        <v>0.21673595660316325</v>
      </c>
      <c r="BK1779" s="2">
        <f t="shared" ca="1" si="1735"/>
        <v>7679865.2899623513</v>
      </c>
    </row>
    <row r="1780" spans="1:63" x14ac:dyDescent="0.3">
      <c r="A1780" s="2">
        <v>1779</v>
      </c>
      <c r="B1780" s="2">
        <f t="shared" ca="1" si="1674"/>
        <v>0.10548823275247865</v>
      </c>
      <c r="C1780" s="2">
        <f t="shared" ca="1" si="1675"/>
        <v>6.4593217450817644</v>
      </c>
      <c r="D1780" s="2">
        <f t="shared" ca="1" si="1676"/>
        <v>0.84798754799512288</v>
      </c>
      <c r="E1780" s="2">
        <f t="shared" ca="1" si="1677"/>
        <v>7.9486154662943891</v>
      </c>
      <c r="F1780" s="2">
        <f t="shared" ca="1" si="1678"/>
        <v>0.12674409618121085</v>
      </c>
      <c r="G1780" s="2">
        <f t="shared" ca="1" si="1679"/>
        <v>5.7424662407383406E-3</v>
      </c>
      <c r="H1780" s="2">
        <f t="shared" ca="1" si="1680"/>
        <v>5.7424662407383406E-3</v>
      </c>
      <c r="I1780" s="2">
        <f t="shared" ca="1" si="1681"/>
        <v>0.36275445497329772</v>
      </c>
      <c r="J1780" s="2">
        <f t="shared" ca="1" si="1682"/>
        <v>8.2444705541540615E-3</v>
      </c>
      <c r="K1780" s="2">
        <f t="shared" ca="1" si="1683"/>
        <v>8.2444705541540615E-3</v>
      </c>
      <c r="L1780" s="2">
        <f t="shared" ca="1" si="1684"/>
        <v>0.26129722939275157</v>
      </c>
      <c r="M1780" s="2">
        <f t="shared" ca="1" si="1685"/>
        <v>-1.2787024890204788E-2</v>
      </c>
      <c r="N1780" s="2">
        <f t="shared" ca="1" si="1686"/>
        <v>-1.2787024890204788E-2</v>
      </c>
      <c r="O1780" s="2">
        <f t="shared" si="1687"/>
        <v>6000000</v>
      </c>
      <c r="P1780" s="2">
        <f t="shared" ca="1" si="1688"/>
        <v>38755930.47049059</v>
      </c>
      <c r="Q1780" s="2">
        <f t="shared" ca="1" si="1689"/>
        <v>968898.26176226477</v>
      </c>
      <c r="R1780" s="2">
        <f t="shared" ca="1" si="1690"/>
        <v>23253558.282294352</v>
      </c>
      <c r="S1780" s="2">
        <f t="shared" ca="1" si="1691"/>
        <v>15502372.188196236</v>
      </c>
      <c r="T1780" s="2">
        <f t="shared" ca="1" si="1692"/>
        <v>49360648.755489759</v>
      </c>
      <c r="U1780" s="2">
        <f t="shared" ca="1" si="1693"/>
        <v>49644100.614589103</v>
      </c>
      <c r="V1780" s="2">
        <f t="shared" ca="1" si="1694"/>
        <v>49929180.186420202</v>
      </c>
      <c r="W1780" s="2">
        <f t="shared" ca="1" si="1695"/>
        <v>50215896.818068467</v>
      </c>
      <c r="X1780" s="2">
        <f t="shared" ca="1" si="1696"/>
        <v>50504259.91029463</v>
      </c>
      <c r="Y1780" s="2">
        <f t="shared" ca="1" si="1697"/>
        <v>0.12412223527707703</v>
      </c>
      <c r="Z1780" s="2">
        <f t="shared" ca="1" si="1698"/>
        <v>0.12577112938790783</v>
      </c>
      <c r="AA1780" s="2">
        <f t="shared" ca="1" si="1699"/>
        <v>6126754.0582580594</v>
      </c>
      <c r="AB1780" s="2">
        <f t="shared" ca="1" si="1700"/>
        <v>6243794.6017438006</v>
      </c>
      <c r="AC1780" s="2">
        <f t="shared" ca="1" si="1701"/>
        <v>6279649.3814584194</v>
      </c>
      <c r="AD1780" s="2">
        <f t="shared" ca="1" si="1702"/>
        <v>6315710.0560351182</v>
      </c>
      <c r="AE1780" s="2">
        <f t="shared" ca="1" si="1703"/>
        <v>6351977.8078181921</v>
      </c>
      <c r="AF1780" s="2">
        <f t="shared" ca="1" si="1704"/>
        <v>987212.97510979522</v>
      </c>
      <c r="AG1780" s="2">
        <f t="shared" ca="1" si="1705"/>
        <v>992882.01229178207</v>
      </c>
      <c r="AH1780" s="2">
        <f t="shared" ca="1" si="1706"/>
        <v>998583.60372840404</v>
      </c>
      <c r="AI1780" s="2">
        <f t="shared" ca="1" si="1707"/>
        <v>1004317.9363613693</v>
      </c>
      <c r="AJ1780" s="2">
        <f t="shared" ca="1" si="1708"/>
        <v>1010085.1982058926</v>
      </c>
      <c r="AK1780" s="2">
        <f t="shared" ca="1" si="1709"/>
        <v>0</v>
      </c>
      <c r="AL1780" s="2">
        <f t="shared" ca="1" si="1710"/>
        <v>2834.5185909934344</v>
      </c>
      <c r="AM1780" s="2">
        <f t="shared" ca="1" si="1711"/>
        <v>2850.795718310997</v>
      </c>
      <c r="AN1780" s="2">
        <f t="shared" ca="1" si="1712"/>
        <v>2867.1663164826482</v>
      </c>
      <c r="AO1780" s="2">
        <f t="shared" ca="1" si="1713"/>
        <v>2883.6309222616255</v>
      </c>
      <c r="AP1780" s="2">
        <f t="shared" ca="1" si="1714"/>
        <v>2092820.2454064917</v>
      </c>
      <c r="AQ1780" s="2">
        <f t="shared" ca="1" si="1715"/>
        <v>792147.41781286092</v>
      </c>
      <c r="AR1780" s="2">
        <f t="shared" ca="1" si="1716"/>
        <v>821104.00945183716</v>
      </c>
      <c r="AS1780" s="2">
        <f t="shared" ca="1" si="1717"/>
        <v>828943.8384041161</v>
      </c>
      <c r="AT1780" s="2">
        <f t="shared" ca="1" si="1718"/>
        <v>836828.68730948679</v>
      </c>
      <c r="AU1780" s="2">
        <f t="shared" ca="1" si="1719"/>
        <v>844758.81469350995</v>
      </c>
      <c r="AV1780" s="2">
        <f t="shared" ca="1" si="1720"/>
        <v>2254573.4199289121</v>
      </c>
      <c r="AW1780" s="2">
        <f t="shared" ca="1" si="1721"/>
        <v>2334153.8160026968</v>
      </c>
      <c r="AX1780" s="2">
        <f t="shared" ca="1" si="1722"/>
        <v>2356450.8982010959</v>
      </c>
      <c r="AY1780" s="2">
        <f t="shared" ca="1" si="1723"/>
        <v>2378876.0206412878</v>
      </c>
      <c r="AZ1780" s="2">
        <f t="shared" ca="1" si="1724"/>
        <v>2401429.9185900362</v>
      </c>
      <c r="BA1780" s="2">
        <f t="shared" ca="1" si="1725"/>
        <v>50489429.044782408</v>
      </c>
      <c r="BB1780" s="2">
        <f t="shared" ca="1" si="1726"/>
        <v>1009788.5808956482</v>
      </c>
      <c r="BC1780" s="2">
        <f t="shared" ca="1" si="1727"/>
        <v>26226082.181592409</v>
      </c>
      <c r="BD1780" s="2">
        <f t="shared" ca="1" si="1728"/>
        <v>-16971270.449958503</v>
      </c>
      <c r="BE1780" s="2">
        <f t="shared" ca="1" si="1729"/>
        <v>2254573.4199289121</v>
      </c>
      <c r="BF1780" s="2">
        <f t="shared" ca="1" si="1730"/>
        <v>2334153.8160026968</v>
      </c>
      <c r="BG1780" s="2">
        <f t="shared" ca="1" si="1731"/>
        <v>2356450.8982010959</v>
      </c>
      <c r="BH1780" s="2">
        <f t="shared" ca="1" si="1732"/>
        <v>2378876.0206412878</v>
      </c>
      <c r="BI1780" s="2">
        <f t="shared" ca="1" si="1733"/>
        <v>28627512.100182444</v>
      </c>
      <c r="BJ1780" s="2">
        <f t="shared" ca="1" si="1734"/>
        <v>0.20935488158194593</v>
      </c>
      <c r="BK1780" s="2">
        <f t="shared" ca="1" si="1735"/>
        <v>6335627.7632362507</v>
      </c>
    </row>
    <row r="1781" spans="1:63" x14ac:dyDescent="0.3">
      <c r="A1781" s="2">
        <v>1780</v>
      </c>
      <c r="B1781" s="2">
        <f t="shared" ca="1" si="1674"/>
        <v>0.16820304832140354</v>
      </c>
      <c r="C1781" s="2">
        <f t="shared" ca="1" si="1675"/>
        <v>6.5800052557027451</v>
      </c>
      <c r="D1781" s="2">
        <f t="shared" ca="1" si="1676"/>
        <v>0.87628665351338064</v>
      </c>
      <c r="E1781" s="2">
        <f t="shared" ca="1" si="1677"/>
        <v>8.002579963237066</v>
      </c>
      <c r="F1781" s="2">
        <f t="shared" ca="1" si="1678"/>
        <v>0.4164723560078063</v>
      </c>
      <c r="G1781" s="2">
        <f t="shared" ca="1" si="1679"/>
        <v>3.367220833450596E-2</v>
      </c>
      <c r="H1781" s="2">
        <f t="shared" ca="1" si="1680"/>
        <v>3.367220833450596E-2</v>
      </c>
      <c r="I1781" s="2">
        <f t="shared" ca="1" si="1681"/>
        <v>0.40664918199634958</v>
      </c>
      <c r="J1781" s="2">
        <f t="shared" ca="1" si="1682"/>
        <v>8.8191345757695321E-3</v>
      </c>
      <c r="K1781" s="2">
        <f t="shared" ca="1" si="1683"/>
        <v>8.8191345757695321E-3</v>
      </c>
      <c r="L1781" s="2">
        <f t="shared" ca="1" si="1684"/>
        <v>0.23453527039241862</v>
      </c>
      <c r="M1781" s="2">
        <f t="shared" ca="1" si="1685"/>
        <v>-1.4479843443950929E-2</v>
      </c>
      <c r="N1781" s="2">
        <f t="shared" ca="1" si="1686"/>
        <v>-1.4479843443950929E-2</v>
      </c>
      <c r="O1781" s="2">
        <f t="shared" si="1687"/>
        <v>6000000</v>
      </c>
      <c r="P1781" s="2">
        <f t="shared" ca="1" si="1688"/>
        <v>39480031.534216471</v>
      </c>
      <c r="Q1781" s="2">
        <f t="shared" ca="1" si="1689"/>
        <v>987000.78835541185</v>
      </c>
      <c r="R1781" s="2">
        <f t="shared" ca="1" si="1690"/>
        <v>23688018.920529883</v>
      </c>
      <c r="S1781" s="2">
        <f t="shared" ca="1" si="1691"/>
        <v>15792012.61368659</v>
      </c>
      <c r="T1781" s="2">
        <f t="shared" ca="1" si="1692"/>
        <v>49276007.827802457</v>
      </c>
      <c r="U1781" s="2">
        <f t="shared" ca="1" si="1693"/>
        <v>50935239.829272971</v>
      </c>
      <c r="V1781" s="2">
        <f t="shared" ca="1" si="1694"/>
        <v>52650341.836372279</v>
      </c>
      <c r="W1781" s="2">
        <f t="shared" ca="1" si="1695"/>
        <v>54423195.115569562</v>
      </c>
      <c r="X1781" s="2">
        <f t="shared" ca="1" si="1696"/>
        <v>56255744.279730491</v>
      </c>
      <c r="Y1781" s="2">
        <f t="shared" ca="1" si="1697"/>
        <v>0.12440956728788476</v>
      </c>
      <c r="Z1781" s="2">
        <f t="shared" ca="1" si="1698"/>
        <v>0.12617339420303866</v>
      </c>
      <c r="AA1781" s="2">
        <f t="shared" ca="1" si="1699"/>
        <v>6130406.8115313258</v>
      </c>
      <c r="AB1781" s="2">
        <f t="shared" ca="1" si="1700"/>
        <v>6426672.0938051743</v>
      </c>
      <c r="AC1781" s="2">
        <f t="shared" ca="1" si="1701"/>
        <v>6643072.3354453379</v>
      </c>
      <c r="AD1781" s="2">
        <f t="shared" ca="1" si="1702"/>
        <v>6866759.2511056466</v>
      </c>
      <c r="AE1781" s="2">
        <f t="shared" ca="1" si="1703"/>
        <v>7097978.1991917724</v>
      </c>
      <c r="AF1781" s="2">
        <f t="shared" ca="1" si="1704"/>
        <v>985520.15655604913</v>
      </c>
      <c r="AG1781" s="2">
        <f t="shared" ca="1" si="1705"/>
        <v>1018704.7965854594</v>
      </c>
      <c r="AH1781" s="2">
        <f t="shared" ca="1" si="1706"/>
        <v>1053006.8367274455</v>
      </c>
      <c r="AI1781" s="2">
        <f t="shared" ca="1" si="1707"/>
        <v>1088463.9023113912</v>
      </c>
      <c r="AJ1781" s="2">
        <f t="shared" ca="1" si="1708"/>
        <v>1125114.8855946099</v>
      </c>
      <c r="AK1781" s="2">
        <f t="shared" ca="1" si="1709"/>
        <v>0</v>
      </c>
      <c r="AL1781" s="2">
        <f t="shared" ca="1" si="1710"/>
        <v>16592.320014705136</v>
      </c>
      <c r="AM1781" s="2">
        <f t="shared" ca="1" si="1711"/>
        <v>17151.02007099308</v>
      </c>
      <c r="AN1781" s="2">
        <f t="shared" ca="1" si="1712"/>
        <v>17728.53279197283</v>
      </c>
      <c r="AO1781" s="2">
        <f t="shared" ca="1" si="1713"/>
        <v>18325.491641609296</v>
      </c>
      <c r="AP1781" s="2">
        <f t="shared" ca="1" si="1714"/>
        <v>2131921.7028476894</v>
      </c>
      <c r="AQ1781" s="2">
        <f t="shared" ca="1" si="1715"/>
        <v>783370.88755317265</v>
      </c>
      <c r="AR1781" s="2">
        <f t="shared" ca="1" si="1716"/>
        <v>851771.85453672672</v>
      </c>
      <c r="AS1781" s="2">
        <f t="shared" ca="1" si="1717"/>
        <v>899117.38692625298</v>
      </c>
      <c r="AT1781" s="2">
        <f t="shared" ca="1" si="1718"/>
        <v>948057.1479461072</v>
      </c>
      <c r="AU1781" s="2">
        <f t="shared" ca="1" si="1719"/>
        <v>998644.81879486295</v>
      </c>
      <c r="AV1781" s="2">
        <f t="shared" ca="1" si="1720"/>
        <v>2229594.0645744149</v>
      </c>
      <c r="AW1781" s="2">
        <f t="shared" ca="1" si="1721"/>
        <v>2407681.4198205937</v>
      </c>
      <c r="AX1781" s="2">
        <f t="shared" ca="1" si="1722"/>
        <v>2541875.3888729569</v>
      </c>
      <c r="AY1781" s="2">
        <f t="shared" ca="1" si="1723"/>
        <v>2680587.9652084857</v>
      </c>
      <c r="AZ1781" s="2">
        <f t="shared" ca="1" si="1724"/>
        <v>2823971.3003130006</v>
      </c>
      <c r="BA1781" s="2">
        <f t="shared" ca="1" si="1725"/>
        <v>56802138.116345592</v>
      </c>
      <c r="BB1781" s="2">
        <f t="shared" ca="1" si="1726"/>
        <v>1136042.7623269118</v>
      </c>
      <c r="BC1781" s="2">
        <f t="shared" ca="1" si="1727"/>
        <v>31978076.433488797</v>
      </c>
      <c r="BD1781" s="2">
        <f t="shared" ca="1" si="1728"/>
        <v>-17279013.402042001</v>
      </c>
      <c r="BE1781" s="2">
        <f t="shared" ca="1" si="1729"/>
        <v>2229594.0645744149</v>
      </c>
      <c r="BF1781" s="2">
        <f t="shared" ca="1" si="1730"/>
        <v>2407681.4198205937</v>
      </c>
      <c r="BG1781" s="2">
        <f t="shared" ca="1" si="1731"/>
        <v>2541875.3888729569</v>
      </c>
      <c r="BH1781" s="2">
        <f t="shared" ca="1" si="1732"/>
        <v>2680587.9652084857</v>
      </c>
      <c r="BI1781" s="2">
        <f t="shared" ca="1" si="1733"/>
        <v>34802047.733801797</v>
      </c>
      <c r="BJ1781" s="2">
        <f t="shared" ca="1" si="1734"/>
        <v>0.24732523324603517</v>
      </c>
      <c r="BK1781" s="2">
        <f t="shared" ca="1" si="1735"/>
        <v>9891519.7961664461</v>
      </c>
    </row>
    <row r="1782" spans="1:63" x14ac:dyDescent="0.3">
      <c r="A1782" s="2">
        <v>1781</v>
      </c>
      <c r="B1782" s="2">
        <f t="shared" ca="1" si="1674"/>
        <v>0.71063073404977684</v>
      </c>
      <c r="C1782" s="2">
        <f t="shared" ca="1" si="1675"/>
        <v>7.2392513346048863</v>
      </c>
      <c r="D1782" s="2">
        <f t="shared" ca="1" si="1676"/>
        <v>0.21126969898083958</v>
      </c>
      <c r="E1782" s="2">
        <f t="shared" ca="1" si="1677"/>
        <v>7.1500303054178929</v>
      </c>
      <c r="F1782" s="2">
        <f t="shared" ca="1" si="1678"/>
        <v>0.19101180030905174</v>
      </c>
      <c r="G1782" s="2">
        <f t="shared" ca="1" si="1679"/>
        <v>1.3774785380311547E-2</v>
      </c>
      <c r="H1782" s="2">
        <f t="shared" ca="1" si="1680"/>
        <v>1.3774785380311547E-2</v>
      </c>
      <c r="I1782" s="2">
        <f t="shared" ca="1" si="1681"/>
        <v>0.12531834706891032</v>
      </c>
      <c r="J1782" s="2">
        <f t="shared" ca="1" si="1682"/>
        <v>4.2559785999170523E-3</v>
      </c>
      <c r="K1782" s="2">
        <f t="shared" ca="1" si="1683"/>
        <v>4.2559785999170523E-3</v>
      </c>
      <c r="L1782" s="2">
        <f t="shared" ca="1" si="1684"/>
        <v>0.30617972771392532</v>
      </c>
      <c r="M1782" s="2">
        <f t="shared" ca="1" si="1685"/>
        <v>-1.0134167440570829E-2</v>
      </c>
      <c r="N1782" s="2">
        <f t="shared" ca="1" si="1686"/>
        <v>-1.0134167440570829E-2</v>
      </c>
      <c r="O1782" s="2">
        <f t="shared" si="1687"/>
        <v>6000000</v>
      </c>
      <c r="P1782" s="2">
        <f t="shared" ca="1" si="1688"/>
        <v>43435508.00762932</v>
      </c>
      <c r="Q1782" s="2">
        <f t="shared" ca="1" si="1689"/>
        <v>1085887.700190733</v>
      </c>
      <c r="R1782" s="2">
        <f t="shared" ca="1" si="1690"/>
        <v>26061304.804577593</v>
      </c>
      <c r="S1782" s="2">
        <f t="shared" ca="1" si="1691"/>
        <v>17374203.203051727</v>
      </c>
      <c r="T1782" s="2">
        <f t="shared" ca="1" si="1692"/>
        <v>49493291.627971455</v>
      </c>
      <c r="U1782" s="2">
        <f t="shared" ca="1" si="1693"/>
        <v>50175051.097911939</v>
      </c>
      <c r="V1782" s="2">
        <f t="shared" ca="1" si="1694"/>
        <v>50866201.658231847</v>
      </c>
      <c r="W1782" s="2">
        <f t="shared" ca="1" si="1695"/>
        <v>51566872.669185638</v>
      </c>
      <c r="X1782" s="2">
        <f t="shared" ca="1" si="1696"/>
        <v>52277195.272937529</v>
      </c>
      <c r="Y1782" s="2">
        <f t="shared" ca="1" si="1697"/>
        <v>0.12212798929995852</v>
      </c>
      <c r="Z1782" s="2">
        <f t="shared" ca="1" si="1698"/>
        <v>0.12297918501994193</v>
      </c>
      <c r="AA1782" s="2">
        <f t="shared" ca="1" si="1699"/>
        <v>6044516.1903606243</v>
      </c>
      <c r="AB1782" s="2">
        <f t="shared" ca="1" si="1700"/>
        <v>6170486.8923551524</v>
      </c>
      <c r="AC1782" s="2">
        <f t="shared" ca="1" si="1701"/>
        <v>6255484.0249893712</v>
      </c>
      <c r="AD1782" s="2">
        <f t="shared" ca="1" si="1702"/>
        <v>6341651.9748835675</v>
      </c>
      <c r="AE1782" s="2">
        <f t="shared" ca="1" si="1703"/>
        <v>6429006.8697942179</v>
      </c>
      <c r="AF1782" s="2">
        <f t="shared" ca="1" si="1704"/>
        <v>989865.83255942911</v>
      </c>
      <c r="AG1782" s="2">
        <f t="shared" ca="1" si="1705"/>
        <v>1003501.0219582388</v>
      </c>
      <c r="AH1782" s="2">
        <f t="shared" ca="1" si="1706"/>
        <v>1017324.0331646369</v>
      </c>
      <c r="AI1782" s="2">
        <f t="shared" ca="1" si="1707"/>
        <v>1031337.4533837128</v>
      </c>
      <c r="AJ1782" s="2">
        <f t="shared" ca="1" si="1708"/>
        <v>1045543.9054587506</v>
      </c>
      <c r="AK1782" s="2">
        <f t="shared" ca="1" si="1709"/>
        <v>0</v>
      </c>
      <c r="AL1782" s="2">
        <f t="shared" ca="1" si="1710"/>
        <v>6817.5946994048354</v>
      </c>
      <c r="AM1782" s="2">
        <f t="shared" ca="1" si="1711"/>
        <v>6911.5056031990798</v>
      </c>
      <c r="AN1782" s="2">
        <f t="shared" ca="1" si="1712"/>
        <v>7006.7101095379148</v>
      </c>
      <c r="AO1782" s="2">
        <f t="shared" ca="1" si="1713"/>
        <v>7103.2260375189035</v>
      </c>
      <c r="AP1782" s="2">
        <f t="shared" ca="1" si="1714"/>
        <v>2345517.4324119831</v>
      </c>
      <c r="AQ1782" s="2">
        <f t="shared" ca="1" si="1715"/>
        <v>704374.5606011952</v>
      </c>
      <c r="AR1782" s="2">
        <f t="shared" ca="1" si="1716"/>
        <v>733581.79387608205</v>
      </c>
      <c r="AS1782" s="2">
        <f t="shared" ca="1" si="1717"/>
        <v>752087.06544731522</v>
      </c>
      <c r="AT1782" s="2">
        <f t="shared" ca="1" si="1718"/>
        <v>770847.24316284654</v>
      </c>
      <c r="AU1782" s="2">
        <f t="shared" ca="1" si="1719"/>
        <v>789865.838300106</v>
      </c>
      <c r="AV1782" s="2">
        <f t="shared" ca="1" si="1720"/>
        <v>2004758.3647880168</v>
      </c>
      <c r="AW1782" s="2">
        <f t="shared" ca="1" si="1721"/>
        <v>2081069.049409444</v>
      </c>
      <c r="AX1782" s="2">
        <f t="shared" ca="1" si="1722"/>
        <v>2133643.9883622364</v>
      </c>
      <c r="AY1782" s="2">
        <f t="shared" ca="1" si="1723"/>
        <v>2186943.1358154877</v>
      </c>
      <c r="AZ1782" s="2">
        <f t="shared" ca="1" si="1724"/>
        <v>2240976.4675858594</v>
      </c>
      <c r="BA1782" s="2">
        <f t="shared" ca="1" si="1725"/>
        <v>45967593.952768482</v>
      </c>
      <c r="BB1782" s="2">
        <f t="shared" ca="1" si="1726"/>
        <v>919351.87905536965</v>
      </c>
      <c r="BC1782" s="2">
        <f t="shared" ca="1" si="1727"/>
        <v>18986937.26913552</v>
      </c>
      <c r="BD1782" s="2">
        <f t="shared" ca="1" si="1728"/>
        <v>-18960090.903242461</v>
      </c>
      <c r="BE1782" s="2">
        <f t="shared" ca="1" si="1729"/>
        <v>2004758.3647880168</v>
      </c>
      <c r="BF1782" s="2">
        <f t="shared" ca="1" si="1730"/>
        <v>2081069.049409444</v>
      </c>
      <c r="BG1782" s="2">
        <f t="shared" ca="1" si="1731"/>
        <v>2133643.9883622364</v>
      </c>
      <c r="BH1782" s="2">
        <f t="shared" ca="1" si="1732"/>
        <v>2186943.1358154877</v>
      </c>
      <c r="BI1782" s="2">
        <f t="shared" ca="1" si="1733"/>
        <v>21227913.736721378</v>
      </c>
      <c r="BJ1782" s="2">
        <f t="shared" ca="1" si="1734"/>
        <v>0.1118936806298092</v>
      </c>
      <c r="BK1782" s="2">
        <f t="shared" ca="1" si="1735"/>
        <v>-557296.68145911396</v>
      </c>
    </row>
    <row r="1783" spans="1:63" x14ac:dyDescent="0.3">
      <c r="A1783" s="2">
        <v>1782</v>
      </c>
      <c r="B1783" s="2">
        <f t="shared" ca="1" si="1674"/>
        <v>0.67968381381753096</v>
      </c>
      <c r="C1783" s="2">
        <f t="shared" ca="1" si="1675"/>
        <v>7.1996048648542779</v>
      </c>
      <c r="D1783" s="2">
        <f t="shared" ca="1" si="1676"/>
        <v>0.5884854908909799</v>
      </c>
      <c r="E1783" s="2">
        <f t="shared" ca="1" si="1677"/>
        <v>7.5927905323366378</v>
      </c>
      <c r="F1783" s="2">
        <f t="shared" ca="1" si="1678"/>
        <v>0.82818589298438317</v>
      </c>
      <c r="G1783" s="2">
        <f t="shared" ca="1" si="1679"/>
        <v>6.8410622000273785E-2</v>
      </c>
      <c r="H1783" s="2">
        <f t="shared" ca="1" si="1680"/>
        <v>6.8410622000273785E-2</v>
      </c>
      <c r="I1783" s="2">
        <f t="shared" ca="1" si="1681"/>
        <v>0.4709782474669777</v>
      </c>
      <c r="J1783" s="2">
        <f t="shared" ca="1" si="1682"/>
        <v>9.6359448584733467E-3</v>
      </c>
      <c r="K1783" s="2">
        <f t="shared" ca="1" si="1683"/>
        <v>9.6359448584733467E-3</v>
      </c>
      <c r="L1783" s="2">
        <f t="shared" ca="1" si="1684"/>
        <v>0.34002670279678227</v>
      </c>
      <c r="M1783" s="2">
        <f t="shared" ca="1" si="1685"/>
        <v>-8.2478050755866276E-3</v>
      </c>
      <c r="N1783" s="2">
        <f t="shared" ca="1" si="1686"/>
        <v>-8.2478050755866276E-3</v>
      </c>
      <c r="O1783" s="2">
        <f t="shared" si="1687"/>
        <v>6000000</v>
      </c>
      <c r="P1783" s="2">
        <f t="shared" ca="1" si="1688"/>
        <v>43197629.189125665</v>
      </c>
      <c r="Q1783" s="2">
        <f t="shared" ca="1" si="1689"/>
        <v>1079940.7297281416</v>
      </c>
      <c r="R1783" s="2">
        <f t="shared" ca="1" si="1690"/>
        <v>25918577.513475399</v>
      </c>
      <c r="S1783" s="2">
        <f t="shared" ca="1" si="1691"/>
        <v>17279051.675650265</v>
      </c>
      <c r="T1783" s="2">
        <f t="shared" ca="1" si="1692"/>
        <v>49587609.746220671</v>
      </c>
      <c r="U1783" s="2">
        <f t="shared" ca="1" si="1693"/>
        <v>52979928.972466469</v>
      </c>
      <c r="V1783" s="2">
        <f t="shared" ca="1" si="1694"/>
        <v>56604318.867003225</v>
      </c>
      <c r="W1783" s="2">
        <f t="shared" ca="1" si="1695"/>
        <v>60476655.528596751</v>
      </c>
      <c r="X1783" s="2">
        <f t="shared" ca="1" si="1696"/>
        <v>64613901.149804354</v>
      </c>
      <c r="Y1783" s="2">
        <f t="shared" ca="1" si="1697"/>
        <v>0.12481797242923667</v>
      </c>
      <c r="Z1783" s="2">
        <f t="shared" ca="1" si="1698"/>
        <v>0.12674516140093134</v>
      </c>
      <c r="AA1783" s="2">
        <f t="shared" ca="1" si="1699"/>
        <v>6189424.906135519</v>
      </c>
      <c r="AB1783" s="2">
        <f t="shared" ca="1" si="1700"/>
        <v>6714949.648625141</v>
      </c>
      <c r="AC1783" s="2">
        <f t="shared" ca="1" si="1701"/>
        <v>7174323.5307881068</v>
      </c>
      <c r="AD1783" s="2">
        <f t="shared" ca="1" si="1702"/>
        <v>7665123.4659605222</v>
      </c>
      <c r="AE1783" s="2">
        <f t="shared" ca="1" si="1703"/>
        <v>8189499.3299757754</v>
      </c>
      <c r="AF1783" s="2">
        <f t="shared" ca="1" si="1704"/>
        <v>991752.19492441346</v>
      </c>
      <c r="AG1783" s="2">
        <f t="shared" ca="1" si="1705"/>
        <v>1059598.5794493293</v>
      </c>
      <c r="AH1783" s="2">
        <f t="shared" ca="1" si="1706"/>
        <v>1132086.3773400646</v>
      </c>
      <c r="AI1783" s="2">
        <f t="shared" ca="1" si="1707"/>
        <v>1209533.1105719351</v>
      </c>
      <c r="AJ1783" s="2">
        <f t="shared" ca="1" si="1708"/>
        <v>1292278.0229960871</v>
      </c>
      <c r="AK1783" s="2">
        <f t="shared" ca="1" si="1709"/>
        <v>0</v>
      </c>
      <c r="AL1783" s="2">
        <f t="shared" ca="1" si="1710"/>
        <v>33923.192262457982</v>
      </c>
      <c r="AM1783" s="2">
        <f t="shared" ca="1" si="1711"/>
        <v>36243.89894536756</v>
      </c>
      <c r="AN1783" s="2">
        <f t="shared" ca="1" si="1712"/>
        <v>38723.366615935265</v>
      </c>
      <c r="AO1783" s="2">
        <f t="shared" ca="1" si="1713"/>
        <v>41372.456212076024</v>
      </c>
      <c r="AP1783" s="2">
        <f t="shared" ca="1" si="1714"/>
        <v>2332671.976212786</v>
      </c>
      <c r="AQ1783" s="2">
        <f t="shared" ca="1" si="1715"/>
        <v>744900.19109956315</v>
      </c>
      <c r="AR1783" s="2">
        <f t="shared" ca="1" si="1716"/>
        <v>863896.56417038664</v>
      </c>
      <c r="AS1783" s="2">
        <f t="shared" ca="1" si="1717"/>
        <v>964486.94608116674</v>
      </c>
      <c r="AT1783" s="2">
        <f t="shared" ca="1" si="1718"/>
        <v>1071958.7785857085</v>
      </c>
      <c r="AU1783" s="2">
        <f t="shared" ca="1" si="1719"/>
        <v>1186782.8259993943</v>
      </c>
      <c r="AV1783" s="2">
        <f t="shared" ca="1" si="1720"/>
        <v>2120100.5438987562</v>
      </c>
      <c r="AW1783" s="2">
        <f t="shared" ca="1" si="1721"/>
        <v>2424859.3365301811</v>
      </c>
      <c r="AX1783" s="2">
        <f t="shared" ca="1" si="1722"/>
        <v>2708834.3322087214</v>
      </c>
      <c r="AY1783" s="2">
        <f t="shared" ca="1" si="1723"/>
        <v>3012236.2339741574</v>
      </c>
      <c r="AZ1783" s="2">
        <f t="shared" ca="1" si="1724"/>
        <v>3336394.0485554314</v>
      </c>
      <c r="BA1783" s="2">
        <f t="shared" ca="1" si="1725"/>
        <v>62181152.977217309</v>
      </c>
      <c r="BB1783" s="2">
        <f t="shared" ca="1" si="1726"/>
        <v>1243623.0595443463</v>
      </c>
      <c r="BC1783" s="2">
        <f t="shared" ca="1" si="1727"/>
        <v>35018952.404197566</v>
      </c>
      <c r="BD1783" s="2">
        <f t="shared" ca="1" si="1728"/>
        <v>-18858992.405378405</v>
      </c>
      <c r="BE1783" s="2">
        <f t="shared" ca="1" si="1729"/>
        <v>2120100.5438987562</v>
      </c>
      <c r="BF1783" s="2">
        <f t="shared" ca="1" si="1730"/>
        <v>2424859.3365301811</v>
      </c>
      <c r="BG1783" s="2">
        <f t="shared" ca="1" si="1731"/>
        <v>2708834.3322087214</v>
      </c>
      <c r="BH1783" s="2">
        <f t="shared" ca="1" si="1732"/>
        <v>3012236.2339741574</v>
      </c>
      <c r="BI1783" s="2">
        <f t="shared" ca="1" si="1733"/>
        <v>38355346.452753</v>
      </c>
      <c r="BJ1783" s="2">
        <f t="shared" ca="1" si="1734"/>
        <v>0.24323036012084476</v>
      </c>
      <c r="BK1783" s="2">
        <f t="shared" ca="1" si="1735"/>
        <v>10573316.518886022</v>
      </c>
    </row>
    <row r="1784" spans="1:63" x14ac:dyDescent="0.3">
      <c r="A1784" s="2">
        <v>1783</v>
      </c>
      <c r="B1784" s="2">
        <f t="shared" ca="1" si="1674"/>
        <v>0.18130996727012261</v>
      </c>
      <c r="C1784" s="2">
        <f t="shared" ca="1" si="1675"/>
        <v>6.6021793209171546</v>
      </c>
      <c r="D1784" s="2">
        <f t="shared" ca="1" si="1676"/>
        <v>0.74718896455612838</v>
      </c>
      <c r="E1784" s="2">
        <f t="shared" ca="1" si="1677"/>
        <v>7.7889289269786435</v>
      </c>
      <c r="F1784" s="2">
        <f t="shared" ca="1" si="1678"/>
        <v>0.52581946946591951</v>
      </c>
      <c r="G1784" s="2">
        <f t="shared" ca="1" si="1679"/>
        <v>4.1942951801231664E-2</v>
      </c>
      <c r="H1784" s="2">
        <f t="shared" ca="1" si="1680"/>
        <v>4.1942951801231664E-2</v>
      </c>
      <c r="I1784" s="2">
        <f t="shared" ca="1" si="1681"/>
        <v>0.45285543424929509</v>
      </c>
      <c r="J1784" s="2">
        <f t="shared" ca="1" si="1682"/>
        <v>9.4077484739365849E-3</v>
      </c>
      <c r="K1784" s="2">
        <f t="shared" ca="1" si="1683"/>
        <v>9.4077484739365849E-3</v>
      </c>
      <c r="L1784" s="2">
        <f t="shared" ca="1" si="1684"/>
        <v>0.25352900968091452</v>
      </c>
      <c r="M1784" s="2">
        <f t="shared" ca="1" si="1685"/>
        <v>-1.3268511855530954E-2</v>
      </c>
      <c r="N1784" s="2">
        <f t="shared" ca="1" si="1686"/>
        <v>-1.3268511855530954E-2</v>
      </c>
      <c r="O1784" s="2">
        <f t="shared" si="1687"/>
        <v>6000000</v>
      </c>
      <c r="P1784" s="2">
        <f t="shared" ca="1" si="1688"/>
        <v>39613075.925502926</v>
      </c>
      <c r="Q1784" s="2">
        <f t="shared" ca="1" si="1689"/>
        <v>990326.89813757315</v>
      </c>
      <c r="R1784" s="2">
        <f t="shared" ca="1" si="1690"/>
        <v>23767845.555301756</v>
      </c>
      <c r="S1784" s="2">
        <f t="shared" ca="1" si="1691"/>
        <v>15845230.37020117</v>
      </c>
      <c r="T1784" s="2">
        <f t="shared" ca="1" si="1692"/>
        <v>49336574.407223456</v>
      </c>
      <c r="U1784" s="2">
        <f t="shared" ca="1" si="1693"/>
        <v>51405895.969623514</v>
      </c>
      <c r="V1784" s="2">
        <f t="shared" ca="1" si="1694"/>
        <v>53562010.986576565</v>
      </c>
      <c r="W1784" s="2">
        <f t="shared" ca="1" si="1695"/>
        <v>55808559.831763588</v>
      </c>
      <c r="X1784" s="2">
        <f t="shared" ca="1" si="1696"/>
        <v>58149335.566883408</v>
      </c>
      <c r="Y1784" s="2">
        <f t="shared" ca="1" si="1697"/>
        <v>0.12470387423696828</v>
      </c>
      <c r="Z1784" s="2">
        <f t="shared" ca="1" si="1698"/>
        <v>0.12658542393175559</v>
      </c>
      <c r="AA1784" s="2">
        <f t="shared" ca="1" si="1699"/>
        <v>6152461.9701612219</v>
      </c>
      <c r="AB1784" s="2">
        <f t="shared" ca="1" si="1700"/>
        <v>6507237.133906519</v>
      </c>
      <c r="AC1784" s="2">
        <f t="shared" ca="1" si="1701"/>
        <v>6780169.8673731452</v>
      </c>
      <c r="AD1784" s="2">
        <f t="shared" ca="1" si="1702"/>
        <v>7064550.2053245399</v>
      </c>
      <c r="AE1784" s="2">
        <f t="shared" ca="1" si="1703"/>
        <v>7360858.2940838495</v>
      </c>
      <c r="AF1784" s="2">
        <f t="shared" ca="1" si="1704"/>
        <v>986731.4881444691</v>
      </c>
      <c r="AG1784" s="2">
        <f t="shared" ca="1" si="1705"/>
        <v>1028117.9193924703</v>
      </c>
      <c r="AH1784" s="2">
        <f t="shared" ca="1" si="1706"/>
        <v>1071240.2197315313</v>
      </c>
      <c r="AI1784" s="2">
        <f t="shared" ca="1" si="1707"/>
        <v>1116171.1966352719</v>
      </c>
      <c r="AJ1784" s="2">
        <f t="shared" ca="1" si="1708"/>
        <v>1162986.7113376681</v>
      </c>
      <c r="AK1784" s="2">
        <f t="shared" ca="1" si="1709"/>
        <v>0</v>
      </c>
      <c r="AL1784" s="2">
        <f t="shared" ca="1" si="1710"/>
        <v>20693.215624000579</v>
      </c>
      <c r="AM1784" s="2">
        <f t="shared" ca="1" si="1711"/>
        <v>21561.150169530512</v>
      </c>
      <c r="AN1784" s="2">
        <f t="shared" ca="1" si="1712"/>
        <v>22465.488451870235</v>
      </c>
      <c r="AO1784" s="2">
        <f t="shared" ca="1" si="1713"/>
        <v>23407.757351198197</v>
      </c>
      <c r="AP1784" s="2">
        <f t="shared" ca="1" si="1714"/>
        <v>2139106.099977158</v>
      </c>
      <c r="AQ1784" s="2">
        <f t="shared" ca="1" si="1715"/>
        <v>786922.33933029464</v>
      </c>
      <c r="AR1784" s="2">
        <f t="shared" ca="1" si="1716"/>
        <v>868403.4097795916</v>
      </c>
      <c r="AS1784" s="2">
        <f t="shared" ca="1" si="1717"/>
        <v>928154.12239275861</v>
      </c>
      <c r="AT1784" s="2">
        <f t="shared" ca="1" si="1718"/>
        <v>990410.95626514847</v>
      </c>
      <c r="AU1784" s="2">
        <f t="shared" ca="1" si="1719"/>
        <v>1055279.0255199461</v>
      </c>
      <c r="AV1784" s="2">
        <f t="shared" ca="1" si="1720"/>
        <v>2239702.0427093003</v>
      </c>
      <c r="AW1784" s="2">
        <f t="shared" ca="1" si="1721"/>
        <v>2450916.4891332984</v>
      </c>
      <c r="AX1784" s="2">
        <f t="shared" ca="1" si="1722"/>
        <v>2620108.2751021665</v>
      </c>
      <c r="AY1784" s="2">
        <f t="shared" ca="1" si="1723"/>
        <v>2796396.4639950907</v>
      </c>
      <c r="AZ1784" s="2">
        <f t="shared" ca="1" si="1724"/>
        <v>2980078.6998978797</v>
      </c>
      <c r="BA1784" s="2">
        <f t="shared" ca="1" si="1725"/>
        <v>57333202.094180368</v>
      </c>
      <c r="BB1784" s="2">
        <f t="shared" ca="1" si="1726"/>
        <v>1146664.0418836074</v>
      </c>
      <c r="BC1784" s="2">
        <f t="shared" ca="1" si="1727"/>
        <v>32418692.496995006</v>
      </c>
      <c r="BD1784" s="2">
        <f t="shared" ca="1" si="1728"/>
        <v>-17335557.268338744</v>
      </c>
      <c r="BE1784" s="2">
        <f t="shared" ca="1" si="1729"/>
        <v>2239702.0427093003</v>
      </c>
      <c r="BF1784" s="2">
        <f t="shared" ca="1" si="1730"/>
        <v>2450916.4891332984</v>
      </c>
      <c r="BG1784" s="2">
        <f t="shared" ca="1" si="1731"/>
        <v>2620108.2751021665</v>
      </c>
      <c r="BH1784" s="2">
        <f t="shared" ca="1" si="1732"/>
        <v>2796396.4639950907</v>
      </c>
      <c r="BI1784" s="2">
        <f t="shared" ca="1" si="1733"/>
        <v>35398771.196892887</v>
      </c>
      <c r="BJ1784" s="2">
        <f t="shared" ca="1" si="1734"/>
        <v>0.25195095492005848</v>
      </c>
      <c r="BK1784" s="2">
        <f t="shared" ca="1" si="1735"/>
        <v>10346347.57905335</v>
      </c>
    </row>
    <row r="1785" spans="1:63" x14ac:dyDescent="0.3">
      <c r="A1785" s="2">
        <v>1784</v>
      </c>
      <c r="B1785" s="2">
        <f t="shared" ca="1" si="1674"/>
        <v>0.32279391912782862</v>
      </c>
      <c r="C1785" s="2">
        <f t="shared" ca="1" si="1675"/>
        <v>6.8034848089762852</v>
      </c>
      <c r="D1785" s="2">
        <f t="shared" ca="1" si="1676"/>
        <v>0.96401248622345048</v>
      </c>
      <c r="E1785" s="2">
        <f t="shared" ca="1" si="1677"/>
        <v>8.2317183801429934</v>
      </c>
      <c r="F1785" s="2">
        <f t="shared" ca="1" si="1678"/>
        <v>0.11024265307386782</v>
      </c>
      <c r="G1785" s="2">
        <f t="shared" ca="1" si="1679"/>
        <v>3.2428397149648763E-3</v>
      </c>
      <c r="H1785" s="2">
        <f t="shared" ca="1" si="1680"/>
        <v>3.2428397149648763E-3</v>
      </c>
      <c r="I1785" s="2">
        <f t="shared" ca="1" si="1681"/>
        <v>0.89104320404146209</v>
      </c>
      <c r="J1785" s="2">
        <f t="shared" ca="1" si="1682"/>
        <v>1.6160475094079106E-2</v>
      </c>
      <c r="K1785" s="2">
        <f t="shared" ca="1" si="1683"/>
        <v>1.6160475094079106E-2</v>
      </c>
      <c r="L1785" s="2">
        <f t="shared" ca="1" si="1684"/>
        <v>0.53510829989560982</v>
      </c>
      <c r="M1785" s="2">
        <f t="shared" ca="1" si="1685"/>
        <v>1.7623471636800596E-3</v>
      </c>
      <c r="N1785" s="2">
        <f t="shared" ca="1" si="1686"/>
        <v>1.7623471636800596E-3</v>
      </c>
      <c r="O1785" s="2">
        <f t="shared" si="1687"/>
        <v>6000000</v>
      </c>
      <c r="P1785" s="2">
        <f t="shared" ca="1" si="1688"/>
        <v>40820908.853857711</v>
      </c>
      <c r="Q1785" s="2">
        <f t="shared" ca="1" si="1689"/>
        <v>1020522.7213464428</v>
      </c>
      <c r="R1785" s="2">
        <f t="shared" ca="1" si="1690"/>
        <v>24492545.312314626</v>
      </c>
      <c r="S1785" s="2">
        <f t="shared" ca="1" si="1691"/>
        <v>16328363.541543085</v>
      </c>
      <c r="T1785" s="2">
        <f t="shared" ca="1" si="1692"/>
        <v>50088117.358184002</v>
      </c>
      <c r="U1785" s="2">
        <f t="shared" ca="1" si="1693"/>
        <v>50250545.094400942</v>
      </c>
      <c r="V1785" s="2">
        <f t="shared" ca="1" si="1694"/>
        <v>50413499.557731695</v>
      </c>
      <c r="W1785" s="2">
        <f t="shared" ca="1" si="1695"/>
        <v>50576982.456267871</v>
      </c>
      <c r="X1785" s="2">
        <f t="shared" ca="1" si="1696"/>
        <v>50740995.503640138</v>
      </c>
      <c r="Y1785" s="2">
        <f t="shared" ca="1" si="1697"/>
        <v>0.12808023754703954</v>
      </c>
      <c r="Z1785" s="2">
        <f t="shared" ca="1" si="1698"/>
        <v>0.13131233256585537</v>
      </c>
      <c r="AA1785" s="2">
        <f t="shared" ca="1" si="1699"/>
        <v>6415297.9695202019</v>
      </c>
      <c r="AB1785" s="2">
        <f t="shared" ca="1" si="1700"/>
        <v>6598516.289051488</v>
      </c>
      <c r="AC1785" s="2">
        <f t="shared" ca="1" si="1701"/>
        <v>6619914.2197334664</v>
      </c>
      <c r="AD1785" s="2">
        <f t="shared" ca="1" si="1702"/>
        <v>6641381.5404748796</v>
      </c>
      <c r="AE1785" s="2">
        <f t="shared" ca="1" si="1703"/>
        <v>6662918.4762965655</v>
      </c>
      <c r="AF1785" s="2">
        <f t="shared" ca="1" si="1704"/>
        <v>1001762.34716368</v>
      </c>
      <c r="AG1785" s="2">
        <f t="shared" ca="1" si="1705"/>
        <v>1005010.9018880188</v>
      </c>
      <c r="AH1785" s="2">
        <f t="shared" ca="1" si="1706"/>
        <v>1008269.9911546339</v>
      </c>
      <c r="AI1785" s="2">
        <f t="shared" ca="1" si="1707"/>
        <v>1011539.6491253574</v>
      </c>
      <c r="AJ1785" s="2">
        <f t="shared" ca="1" si="1708"/>
        <v>1014819.9100728028</v>
      </c>
      <c r="AK1785" s="2">
        <f t="shared" ca="1" si="1709"/>
        <v>0</v>
      </c>
      <c r="AL1785" s="2">
        <f t="shared" ca="1" si="1710"/>
        <v>1624.2773621693998</v>
      </c>
      <c r="AM1785" s="2">
        <f t="shared" ca="1" si="1711"/>
        <v>1629.5446333075315</v>
      </c>
      <c r="AN1785" s="2">
        <f t="shared" ca="1" si="1712"/>
        <v>1634.828985361755</v>
      </c>
      <c r="AO1785" s="2">
        <f t="shared" ca="1" si="1713"/>
        <v>1640.1304737226665</v>
      </c>
      <c r="AP1785" s="2">
        <f t="shared" ca="1" si="1714"/>
        <v>2204329.0781083163</v>
      </c>
      <c r="AQ1785" s="2">
        <f t="shared" ca="1" si="1715"/>
        <v>834393.70150453353</v>
      </c>
      <c r="AR1785" s="2">
        <f t="shared" ca="1" si="1716"/>
        <v>881185.84035433992</v>
      </c>
      <c r="AS1785" s="2">
        <f t="shared" ca="1" si="1717"/>
        <v>885901.93912233412</v>
      </c>
      <c r="AT1785" s="2">
        <f t="shared" ca="1" si="1718"/>
        <v>890633.33144271362</v>
      </c>
      <c r="AU1785" s="2">
        <f t="shared" ca="1" si="1719"/>
        <v>895380.06691001612</v>
      </c>
      <c r="AV1785" s="2">
        <f t="shared" ca="1" si="1720"/>
        <v>2374812.8427436724</v>
      </c>
      <c r="AW1785" s="2">
        <f t="shared" ca="1" si="1721"/>
        <v>2506366.1913386434</v>
      </c>
      <c r="AX1785" s="2">
        <f t="shared" ca="1" si="1722"/>
        <v>2519783.6667148741</v>
      </c>
      <c r="AY1785" s="2">
        <f t="shared" ca="1" si="1723"/>
        <v>2533244.652813131</v>
      </c>
      <c r="AZ1785" s="2">
        <f t="shared" ca="1" si="1724"/>
        <v>2546749.2907317076</v>
      </c>
      <c r="BA1785" s="2">
        <f t="shared" ca="1" si="1725"/>
        <v>54847268.486724786</v>
      </c>
      <c r="BB1785" s="2">
        <f t="shared" ca="1" si="1726"/>
        <v>1096945.3697344956</v>
      </c>
      <c r="BC1785" s="2">
        <f t="shared" ca="1" si="1727"/>
        <v>29257777.804675665</v>
      </c>
      <c r="BD1785" s="2">
        <f t="shared" ca="1" si="1728"/>
        <v>-17848886.262889527</v>
      </c>
      <c r="BE1785" s="2">
        <f t="shared" ca="1" si="1729"/>
        <v>2374812.8427436724</v>
      </c>
      <c r="BF1785" s="2">
        <f t="shared" ca="1" si="1730"/>
        <v>2506366.1913386434</v>
      </c>
      <c r="BG1785" s="2">
        <f t="shared" ca="1" si="1731"/>
        <v>2519783.6667148741</v>
      </c>
      <c r="BH1785" s="2">
        <f t="shared" ca="1" si="1732"/>
        <v>2533244.652813131</v>
      </c>
      <c r="BI1785" s="2">
        <f t="shared" ca="1" si="1733"/>
        <v>31804527.095407374</v>
      </c>
      <c r="BJ1785" s="2">
        <f t="shared" ca="1" si="1734"/>
        <v>0.22135040930041416</v>
      </c>
      <c r="BK1785" s="2">
        <f t="shared" ca="1" si="1735"/>
        <v>7719739.9533186816</v>
      </c>
    </row>
    <row r="1786" spans="1:63" x14ac:dyDescent="0.3">
      <c r="A1786" s="2">
        <v>1785</v>
      </c>
      <c r="B1786" s="2">
        <f t="shared" ca="1" si="1674"/>
        <v>0.31995879365934132</v>
      </c>
      <c r="C1786" s="2">
        <f t="shared" ca="1" si="1675"/>
        <v>6.7999484904159031</v>
      </c>
      <c r="D1786" s="2">
        <f t="shared" ca="1" si="1676"/>
        <v>0.79972620000525463</v>
      </c>
      <c r="E1786" s="2">
        <f t="shared" ca="1" si="1677"/>
        <v>7.8671117002270536</v>
      </c>
      <c r="F1786" s="2">
        <f t="shared" ca="1" si="1678"/>
        <v>0.98232966960138945</v>
      </c>
      <c r="G1786" s="2">
        <f t="shared" ca="1" si="1679"/>
        <v>0.10313300119983915</v>
      </c>
      <c r="H1786" s="2">
        <f t="shared" ca="1" si="1680"/>
        <v>0.10313300119983915</v>
      </c>
      <c r="I1786" s="2">
        <f t="shared" ca="1" si="1681"/>
        <v>2.2037836994848514E-2</v>
      </c>
      <c r="J1786" s="2">
        <f t="shared" ca="1" si="1682"/>
        <v>-6.6852151274887639E-5</v>
      </c>
      <c r="K1786" s="2">
        <f t="shared" ca="1" si="1683"/>
        <v>0</v>
      </c>
      <c r="L1786" s="2">
        <f t="shared" ca="1" si="1684"/>
        <v>6.5836967890644194E-2</v>
      </c>
      <c r="M1786" s="2">
        <f t="shared" ca="1" si="1685"/>
        <v>-3.0150672180216477E-2</v>
      </c>
      <c r="N1786" s="2">
        <f t="shared" ca="1" si="1686"/>
        <v>-3.0150672180216477E-2</v>
      </c>
      <c r="O1786" s="2">
        <f t="shared" si="1687"/>
        <v>6000000</v>
      </c>
      <c r="P1786" s="2">
        <f t="shared" ca="1" si="1688"/>
        <v>40799690.942495421</v>
      </c>
      <c r="Q1786" s="2">
        <f t="shared" ca="1" si="1689"/>
        <v>1019992.2735623856</v>
      </c>
      <c r="R1786" s="2">
        <f t="shared" ca="1" si="1690"/>
        <v>24479814.565497253</v>
      </c>
      <c r="S1786" s="2">
        <f t="shared" ca="1" si="1691"/>
        <v>16319876.376998169</v>
      </c>
      <c r="T1786" s="2">
        <f t="shared" ca="1" si="1692"/>
        <v>48492466.390989177</v>
      </c>
      <c r="U1786" s="2">
        <f t="shared" ca="1" si="1693"/>
        <v>53493639.985474221</v>
      </c>
      <c r="V1786" s="2">
        <f t="shared" ca="1" si="1694"/>
        <v>59010599.62227989</v>
      </c>
      <c r="W1786" s="2">
        <f t="shared" ca="1" si="1695"/>
        <v>65096539.8639277</v>
      </c>
      <c r="X1786" s="2">
        <f t="shared" ca="1" si="1696"/>
        <v>71810141.387819529</v>
      </c>
      <c r="Y1786" s="2">
        <f t="shared" ca="1" si="1697"/>
        <v>0.12</v>
      </c>
      <c r="Z1786" s="2">
        <f t="shared" ca="1" si="1698"/>
        <v>0.12</v>
      </c>
      <c r="AA1786" s="2">
        <f t="shared" ca="1" si="1699"/>
        <v>5819095.9669187013</v>
      </c>
      <c r="AB1786" s="2">
        <f t="shared" ca="1" si="1700"/>
        <v>6419236.7982569067</v>
      </c>
      <c r="AC1786" s="2">
        <f t="shared" ca="1" si="1701"/>
        <v>7081271.9546735864</v>
      </c>
      <c r="AD1786" s="2">
        <f t="shared" ca="1" si="1702"/>
        <v>7811584.7836713232</v>
      </c>
      <c r="AE1786" s="2">
        <f t="shared" ca="1" si="1703"/>
        <v>8617216.9665383436</v>
      </c>
      <c r="AF1786" s="2">
        <f t="shared" ca="1" si="1704"/>
        <v>969849.32781978359</v>
      </c>
      <c r="AG1786" s="2">
        <f t="shared" ca="1" si="1705"/>
        <v>1069872.7997094844</v>
      </c>
      <c r="AH1786" s="2">
        <f t="shared" ca="1" si="1706"/>
        <v>1180211.9924455979</v>
      </c>
      <c r="AI1786" s="2">
        <f t="shared" ca="1" si="1707"/>
        <v>1301930.7972785539</v>
      </c>
      <c r="AJ1786" s="2">
        <f t="shared" ca="1" si="1708"/>
        <v>1436202.8277563907</v>
      </c>
      <c r="AK1786" s="2">
        <f t="shared" ca="1" si="1709"/>
        <v>0</v>
      </c>
      <c r="AL1786" s="2">
        <f t="shared" ca="1" si="1710"/>
        <v>50011.735944850443</v>
      </c>
      <c r="AM1786" s="2">
        <f t="shared" ca="1" si="1711"/>
        <v>55169.596368056686</v>
      </c>
      <c r="AN1786" s="2">
        <f t="shared" ca="1" si="1712"/>
        <v>60859.4024164781</v>
      </c>
      <c r="AO1786" s="2">
        <f t="shared" ca="1" si="1713"/>
        <v>67136.015238918291</v>
      </c>
      <c r="AP1786" s="2">
        <f t="shared" ca="1" si="1714"/>
        <v>2203183.3108947529</v>
      </c>
      <c r="AQ1786" s="2">
        <f t="shared" ca="1" si="1715"/>
        <v>687976.46533308295</v>
      </c>
      <c r="AR1786" s="2">
        <f t="shared" ca="1" si="1716"/>
        <v>818006.97878969391</v>
      </c>
      <c r="AS1786" s="2">
        <f t="shared" ca="1" si="1717"/>
        <v>961447.92934664141</v>
      </c>
      <c r="AT1786" s="2">
        <f t="shared" ca="1" si="1718"/>
        <v>1119682.3756294842</v>
      </c>
      <c r="AU1786" s="2">
        <f t="shared" ca="1" si="1719"/>
        <v>1294236.0152506719</v>
      </c>
      <c r="AV1786" s="2">
        <f t="shared" ca="1" si="1720"/>
        <v>1958086.8628710825</v>
      </c>
      <c r="AW1786" s="2">
        <f t="shared" ca="1" si="1721"/>
        <v>2278161.9729181249</v>
      </c>
      <c r="AX1786" s="2">
        <f t="shared" ca="1" si="1722"/>
        <v>2681259.1256185379</v>
      </c>
      <c r="AY1786" s="2">
        <f t="shared" ca="1" si="1723"/>
        <v>3125928.8974520536</v>
      </c>
      <c r="AZ1786" s="2">
        <f t="shared" ca="1" si="1724"/>
        <v>3616458.7973976098</v>
      </c>
      <c r="BA1786" s="2">
        <f t="shared" ca="1" si="1725"/>
        <v>67792608.420848876</v>
      </c>
      <c r="BB1786" s="2">
        <f t="shared" ca="1" si="1726"/>
        <v>1355852.1684169776</v>
      </c>
      <c r="BC1786" s="2">
        <f t="shared" ca="1" si="1727"/>
        <v>41956941.68693465</v>
      </c>
      <c r="BD1786" s="2">
        <f t="shared" ca="1" si="1728"/>
        <v>-17839868.650560554</v>
      </c>
      <c r="BE1786" s="2">
        <f t="shared" ca="1" si="1729"/>
        <v>1958086.8628710825</v>
      </c>
      <c r="BF1786" s="2">
        <f t="shared" ca="1" si="1730"/>
        <v>2278161.9729181249</v>
      </c>
      <c r="BG1786" s="2">
        <f t="shared" ca="1" si="1731"/>
        <v>2681259.1256185379</v>
      </c>
      <c r="BH1786" s="2">
        <f t="shared" ca="1" si="1732"/>
        <v>3125928.8974520536</v>
      </c>
      <c r="BI1786" s="2">
        <f t="shared" ca="1" si="1733"/>
        <v>45573400.484332263</v>
      </c>
      <c r="BJ1786" s="2">
        <f t="shared" ca="1" si="1734"/>
        <v>0.29310263277058257</v>
      </c>
      <c r="BK1786" s="2">
        <f t="shared" ca="1" si="1735"/>
        <v>15479182.920421235</v>
      </c>
    </row>
    <row r="1787" spans="1:63" x14ac:dyDescent="0.3">
      <c r="A1787" s="2">
        <v>1786</v>
      </c>
      <c r="B1787" s="2">
        <f t="shared" ca="1" si="1674"/>
        <v>0.79385215129075359</v>
      </c>
      <c r="C1787" s="2">
        <f t="shared" ca="1" si="1675"/>
        <v>7.3578974401090642</v>
      </c>
      <c r="D1787" s="2">
        <f t="shared" ca="1" si="1676"/>
        <v>0.27525957524769373</v>
      </c>
      <c r="E1787" s="2">
        <f t="shared" ca="1" si="1677"/>
        <v>7.2419697773463465</v>
      </c>
      <c r="F1787" s="2">
        <f t="shared" ca="1" si="1678"/>
        <v>0.16729990275015105</v>
      </c>
      <c r="G1787" s="2">
        <f t="shared" ca="1" si="1679"/>
        <v>1.105329370125786E-2</v>
      </c>
      <c r="H1787" s="2">
        <f t="shared" ca="1" si="1680"/>
        <v>1.105329370125786E-2</v>
      </c>
      <c r="I1787" s="2">
        <f t="shared" ca="1" si="1681"/>
        <v>0.93701378137972147</v>
      </c>
      <c r="J1787" s="2">
        <f t="shared" ca="1" si="1682"/>
        <v>1.7650894811596637E-2</v>
      </c>
      <c r="K1787" s="2">
        <f t="shared" ca="1" si="1683"/>
        <v>1.7650894811596637E-2</v>
      </c>
      <c r="L1787" s="2">
        <f t="shared" ca="1" si="1684"/>
        <v>0.2489134105171823</v>
      </c>
      <c r="M1787" s="2">
        <f t="shared" ca="1" si="1685"/>
        <v>-1.3558261130252141E-2</v>
      </c>
      <c r="N1787" s="2">
        <f t="shared" ca="1" si="1686"/>
        <v>-1.3558261130252141E-2</v>
      </c>
      <c r="O1787" s="2">
        <f t="shared" si="1687"/>
        <v>6000000</v>
      </c>
      <c r="P1787" s="2">
        <f t="shared" ca="1" si="1688"/>
        <v>44147384.640654385</v>
      </c>
      <c r="Q1787" s="2">
        <f t="shared" ca="1" si="1689"/>
        <v>1103684.6160163598</v>
      </c>
      <c r="R1787" s="2">
        <f t="shared" ca="1" si="1690"/>
        <v>26488430.784392629</v>
      </c>
      <c r="S1787" s="2">
        <f t="shared" ca="1" si="1691"/>
        <v>17658953.856261756</v>
      </c>
      <c r="T1787" s="2">
        <f t="shared" ca="1" si="1692"/>
        <v>49322086.943487391</v>
      </c>
      <c r="U1787" s="2">
        <f t="shared" ca="1" si="1693"/>
        <v>49867258.456432737</v>
      </c>
      <c r="V1787" s="2">
        <f t="shared" ca="1" si="1694"/>
        <v>50418455.91022823</v>
      </c>
      <c r="W1787" s="2">
        <f t="shared" ca="1" si="1695"/>
        <v>50975745.911367908</v>
      </c>
      <c r="X1787" s="2">
        <f t="shared" ca="1" si="1696"/>
        <v>51539195.80256696</v>
      </c>
      <c r="Y1787" s="2">
        <f t="shared" ca="1" si="1697"/>
        <v>0.12882544740579832</v>
      </c>
      <c r="Z1787" s="2">
        <f t="shared" ca="1" si="1698"/>
        <v>0.13235562636811765</v>
      </c>
      <c r="AA1787" s="2">
        <f t="shared" ca="1" si="1699"/>
        <v>6353939.9174824469</v>
      </c>
      <c r="AB1787" s="2">
        <f t="shared" ca="1" si="1700"/>
        <v>6600212.2282619672</v>
      </c>
      <c r="AC1787" s="2">
        <f t="shared" ca="1" si="1701"/>
        <v>6673166.312511581</v>
      </c>
      <c r="AD1787" s="2">
        <f t="shared" ca="1" si="1702"/>
        <v>6746926.7796811117</v>
      </c>
      <c r="AE1787" s="2">
        <f t="shared" ca="1" si="1703"/>
        <v>6821502.5429578098</v>
      </c>
      <c r="AF1787" s="2">
        <f t="shared" ca="1" si="1704"/>
        <v>986441.73886974785</v>
      </c>
      <c r="AG1787" s="2">
        <f t="shared" ca="1" si="1705"/>
        <v>997345.16912865476</v>
      </c>
      <c r="AH1787" s="2">
        <f t="shared" ca="1" si="1706"/>
        <v>1008369.1182045647</v>
      </c>
      <c r="AI1787" s="2">
        <f t="shared" ca="1" si="1707"/>
        <v>1019514.9182273581</v>
      </c>
      <c r="AJ1787" s="2">
        <f t="shared" ca="1" si="1708"/>
        <v>1030783.9160513392</v>
      </c>
      <c r="AK1787" s="2">
        <f t="shared" ca="1" si="1709"/>
        <v>0</v>
      </c>
      <c r="AL1787" s="2">
        <f t="shared" ca="1" si="1710"/>
        <v>5451.7151294534651</v>
      </c>
      <c r="AM1787" s="2">
        <f t="shared" ca="1" si="1711"/>
        <v>5511.9745379549267</v>
      </c>
      <c r="AN1787" s="2">
        <f t="shared" ca="1" si="1712"/>
        <v>5572.9000113967804</v>
      </c>
      <c r="AO1787" s="2">
        <f t="shared" ca="1" si="1713"/>
        <v>5634.4989119905231</v>
      </c>
      <c r="AP1787" s="2">
        <f t="shared" ca="1" si="1714"/>
        <v>2383958.7705953363</v>
      </c>
      <c r="AQ1787" s="2">
        <f t="shared" ca="1" si="1715"/>
        <v>775720.24608451431</v>
      </c>
      <c r="AR1787" s="2">
        <f t="shared" ca="1" si="1716"/>
        <v>836916.15501987387</v>
      </c>
      <c r="AS1787" s="2">
        <f t="shared" ca="1" si="1717"/>
        <v>853017.99016503675</v>
      </c>
      <c r="AT1787" s="2">
        <f t="shared" ca="1" si="1718"/>
        <v>869297.80362318864</v>
      </c>
      <c r="AU1787" s="2">
        <f t="shared" ca="1" si="1719"/>
        <v>885757.5626408949</v>
      </c>
      <c r="AV1787" s="2">
        <f t="shared" ca="1" si="1720"/>
        <v>2207819.1619328484</v>
      </c>
      <c r="AW1787" s="2">
        <f t="shared" ca="1" si="1721"/>
        <v>2376540.4183886489</v>
      </c>
      <c r="AX1787" s="2">
        <f t="shared" ca="1" si="1722"/>
        <v>2422308.4590086881</v>
      </c>
      <c r="AY1787" s="2">
        <f t="shared" ca="1" si="1723"/>
        <v>2468582.3872238323</v>
      </c>
      <c r="AZ1787" s="2">
        <f t="shared" ca="1" si="1724"/>
        <v>2515367.7947582481</v>
      </c>
      <c r="BA1787" s="2">
        <f t="shared" ca="1" si="1725"/>
        <v>49401115.252191707</v>
      </c>
      <c r="BB1787" s="2">
        <f t="shared" ca="1" si="1726"/>
        <v>988022.30504383415</v>
      </c>
      <c r="BC1787" s="2">
        <f t="shared" ca="1" si="1727"/>
        <v>21924662.162755243</v>
      </c>
      <c r="BD1787" s="2">
        <f t="shared" ca="1" si="1728"/>
        <v>-19262638.472278114</v>
      </c>
      <c r="BE1787" s="2">
        <f t="shared" ca="1" si="1729"/>
        <v>2207819.1619328484</v>
      </c>
      <c r="BF1787" s="2">
        <f t="shared" ca="1" si="1730"/>
        <v>2376540.4183886489</v>
      </c>
      <c r="BG1787" s="2">
        <f t="shared" ca="1" si="1731"/>
        <v>2422308.4590086881</v>
      </c>
      <c r="BH1787" s="2">
        <f t="shared" ca="1" si="1732"/>
        <v>2468582.3872238323</v>
      </c>
      <c r="BI1787" s="2">
        <f t="shared" ca="1" si="1733"/>
        <v>24440029.957513493</v>
      </c>
      <c r="BJ1787" s="2">
        <f t="shared" ca="1" si="1734"/>
        <v>0.14422385378422242</v>
      </c>
      <c r="BK1787" s="2">
        <f t="shared" ca="1" si="1735"/>
        <v>1764101.5106889457</v>
      </c>
    </row>
    <row r="1788" spans="1:63" x14ac:dyDescent="0.3">
      <c r="A1788" s="2">
        <v>1787</v>
      </c>
      <c r="B1788" s="2">
        <f t="shared" ca="1" si="1674"/>
        <v>0.89374203377526007</v>
      </c>
      <c r="C1788" s="2">
        <f t="shared" ca="1" si="1675"/>
        <v>7.5390054962914634</v>
      </c>
      <c r="D1788" s="2">
        <f t="shared" ca="1" si="1676"/>
        <v>0.77087978807567559</v>
      </c>
      <c r="E1788" s="2">
        <f t="shared" ca="1" si="1677"/>
        <v>7.8230654212934247</v>
      </c>
      <c r="F1788" s="2">
        <f t="shared" ca="1" si="1678"/>
        <v>0.33696390343749894</v>
      </c>
      <c r="G1788" s="2">
        <f t="shared" ca="1" si="1679"/>
        <v>2.7377095813668234E-2</v>
      </c>
      <c r="H1788" s="2">
        <f t="shared" ca="1" si="1680"/>
        <v>2.7377095813668234E-2</v>
      </c>
      <c r="I1788" s="2">
        <f t="shared" ca="1" si="1681"/>
        <v>0.32094854274607654</v>
      </c>
      <c r="J1788" s="2">
        <f t="shared" ca="1" si="1682"/>
        <v>7.6747600167616963E-3</v>
      </c>
      <c r="K1788" s="2">
        <f t="shared" ca="1" si="1683"/>
        <v>7.6747600167616963E-3</v>
      </c>
      <c r="L1788" s="2">
        <f t="shared" ca="1" si="1684"/>
        <v>0.68089327944040212</v>
      </c>
      <c r="M1788" s="2">
        <f t="shared" ca="1" si="1685"/>
        <v>9.4039634099312534E-3</v>
      </c>
      <c r="N1788" s="2">
        <f t="shared" ca="1" si="1686"/>
        <v>9.4039634099312534E-3</v>
      </c>
      <c r="O1788" s="2">
        <f t="shared" si="1687"/>
        <v>6000000</v>
      </c>
      <c r="P1788" s="2">
        <f t="shared" ca="1" si="1688"/>
        <v>45234032.977748781</v>
      </c>
      <c r="Q1788" s="2">
        <f t="shared" ca="1" si="1689"/>
        <v>1130850.8244437196</v>
      </c>
      <c r="R1788" s="2">
        <f t="shared" ca="1" si="1690"/>
        <v>27140419.786649268</v>
      </c>
      <c r="S1788" s="2">
        <f t="shared" ca="1" si="1691"/>
        <v>18093613.191099513</v>
      </c>
      <c r="T1788" s="2">
        <f t="shared" ca="1" si="1692"/>
        <v>50470198.170496561</v>
      </c>
      <c r="U1788" s="2">
        <f t="shared" ca="1" si="1693"/>
        <v>51851925.621545069</v>
      </c>
      <c r="V1788" s="2">
        <f t="shared" ca="1" si="1694"/>
        <v>53271480.757409312</v>
      </c>
      <c r="W1788" s="2">
        <f t="shared" ca="1" si="1695"/>
        <v>54729899.190240897</v>
      </c>
      <c r="X1788" s="2">
        <f t="shared" ca="1" si="1696"/>
        <v>56228244.884244531</v>
      </c>
      <c r="Y1788" s="2">
        <f t="shared" ca="1" si="1697"/>
        <v>0.12383738000838085</v>
      </c>
      <c r="Z1788" s="2">
        <f t="shared" ca="1" si="1698"/>
        <v>0.12537233201173317</v>
      </c>
      <c r="AA1788" s="2">
        <f t="shared" ca="1" si="1699"/>
        <v>6250097.1099380702</v>
      </c>
      <c r="AB1788" s="2">
        <f t="shared" ca="1" si="1700"/>
        <v>6500796.8344720425</v>
      </c>
      <c r="AC1788" s="2">
        <f t="shared" ca="1" si="1701"/>
        <v>6678769.7722745752</v>
      </c>
      <c r="AD1788" s="2">
        <f t="shared" ca="1" si="1702"/>
        <v>6861615.0922475681</v>
      </c>
      <c r="AE1788" s="2">
        <f t="shared" ca="1" si="1703"/>
        <v>7049466.1860645423</v>
      </c>
      <c r="AF1788" s="2">
        <f t="shared" ca="1" si="1704"/>
        <v>1009403.9634099313</v>
      </c>
      <c r="AG1788" s="2">
        <f t="shared" ca="1" si="1705"/>
        <v>1037038.5124309014</v>
      </c>
      <c r="AH1788" s="2">
        <f t="shared" ca="1" si="1706"/>
        <v>1065429.6151481862</v>
      </c>
      <c r="AI1788" s="2">
        <f t="shared" ca="1" si="1707"/>
        <v>1094597.983804818</v>
      </c>
      <c r="AJ1788" s="2">
        <f t="shared" ca="1" si="1708"/>
        <v>1124564.8976848905</v>
      </c>
      <c r="AK1788" s="2">
        <f t="shared" ca="1" si="1709"/>
        <v>0</v>
      </c>
      <c r="AL1788" s="2">
        <f t="shared" ca="1" si="1710"/>
        <v>13817.274510485084</v>
      </c>
      <c r="AM1788" s="2">
        <f t="shared" ca="1" si="1711"/>
        <v>14195.551358642429</v>
      </c>
      <c r="AN1788" s="2">
        <f t="shared" ca="1" si="1712"/>
        <v>14584.184328315854</v>
      </c>
      <c r="AO1788" s="2">
        <f t="shared" ca="1" si="1713"/>
        <v>14983.456940036342</v>
      </c>
      <c r="AP1788" s="2">
        <f t="shared" ca="1" si="1714"/>
        <v>2442637.7807984338</v>
      </c>
      <c r="AQ1788" s="2">
        <f t="shared" ca="1" si="1715"/>
        <v>727494.39508972329</v>
      </c>
      <c r="AR1788" s="2">
        <f t="shared" ca="1" si="1716"/>
        <v>785491.34072310384</v>
      </c>
      <c r="AS1788" s="2">
        <f t="shared" ca="1" si="1717"/>
        <v>824382.61784526845</v>
      </c>
      <c r="AT1788" s="2">
        <f t="shared" ca="1" si="1718"/>
        <v>864338.62518752215</v>
      </c>
      <c r="AU1788" s="2">
        <f t="shared" ca="1" si="1719"/>
        <v>905388.51197111665</v>
      </c>
      <c r="AV1788" s="2">
        <f t="shared" ca="1" si="1720"/>
        <v>2070560.9706399818</v>
      </c>
      <c r="AW1788" s="2">
        <f t="shared" ca="1" si="1721"/>
        <v>2221811.9260091181</v>
      </c>
      <c r="AX1788" s="2">
        <f t="shared" ca="1" si="1722"/>
        <v>2332124.2071240447</v>
      </c>
      <c r="AY1788" s="2">
        <f t="shared" ca="1" si="1723"/>
        <v>2445456.5181284784</v>
      </c>
      <c r="AZ1788" s="2">
        <f t="shared" ca="1" si="1724"/>
        <v>2561891.5386700644</v>
      </c>
      <c r="BA1788" s="2">
        <f t="shared" ca="1" si="1725"/>
        <v>55148435.158778757</v>
      </c>
      <c r="BB1788" s="2">
        <f t="shared" ca="1" si="1726"/>
        <v>1102968.7031755752</v>
      </c>
      <c r="BC1788" s="2">
        <f t="shared" ca="1" si="1727"/>
        <v>26905046.668953914</v>
      </c>
      <c r="BD1788" s="2">
        <f t="shared" ca="1" si="1728"/>
        <v>-19724464.015543234</v>
      </c>
      <c r="BE1788" s="2">
        <f t="shared" ca="1" si="1729"/>
        <v>2070560.9706399818</v>
      </c>
      <c r="BF1788" s="2">
        <f t="shared" ca="1" si="1730"/>
        <v>2221811.9260091181</v>
      </c>
      <c r="BG1788" s="2">
        <f t="shared" ca="1" si="1731"/>
        <v>2332124.2071240447</v>
      </c>
      <c r="BH1788" s="2">
        <f t="shared" ca="1" si="1732"/>
        <v>2445456.5181284784</v>
      </c>
      <c r="BI1788" s="2">
        <f t="shared" ca="1" si="1733"/>
        <v>29466938.207623977</v>
      </c>
      <c r="BJ1788" s="2">
        <f t="shared" ca="1" si="1734"/>
        <v>0.16814382076789491</v>
      </c>
      <c r="BK1788" s="2">
        <f t="shared" ca="1" si="1735"/>
        <v>3829889.8694065139</v>
      </c>
    </row>
    <row r="1789" spans="1:63" x14ac:dyDescent="0.3">
      <c r="A1789" s="2">
        <v>1788</v>
      </c>
      <c r="B1789" s="2">
        <f t="shared" ca="1" si="1674"/>
        <v>0.74478226201246811</v>
      </c>
      <c r="C1789" s="2">
        <f t="shared" ca="1" si="1675"/>
        <v>7.2855523280358012</v>
      </c>
      <c r="D1789" s="2">
        <f t="shared" ca="1" si="1676"/>
        <v>0.82156362481502965</v>
      </c>
      <c r="E1789" s="2">
        <f t="shared" ca="1" si="1677"/>
        <v>7.9026117256172999</v>
      </c>
      <c r="F1789" s="2">
        <f t="shared" ca="1" si="1678"/>
        <v>0.94742319635634609</v>
      </c>
      <c r="G1789" s="2">
        <f t="shared" ca="1" si="1679"/>
        <v>8.8610990016466037E-2</v>
      </c>
      <c r="H1789" s="2">
        <f t="shared" ca="1" si="1680"/>
        <v>8.8610990016466037E-2</v>
      </c>
      <c r="I1789" s="2">
        <f t="shared" ca="1" si="1681"/>
        <v>0.19889202340377465</v>
      </c>
      <c r="J1789" s="2">
        <f t="shared" ca="1" si="1682"/>
        <v>5.7720727644227547E-3</v>
      </c>
      <c r="K1789" s="2">
        <f t="shared" ca="1" si="1683"/>
        <v>5.7720727644227547E-3</v>
      </c>
      <c r="L1789" s="2">
        <f t="shared" ca="1" si="1684"/>
        <v>0.95797848157442023</v>
      </c>
      <c r="M1789" s="2">
        <f t="shared" ca="1" si="1685"/>
        <v>3.4553887021967371E-2</v>
      </c>
      <c r="N1789" s="2">
        <f t="shared" ca="1" si="1686"/>
        <v>3.4553887021967371E-2</v>
      </c>
      <c r="O1789" s="2">
        <f t="shared" si="1687"/>
        <v>6000000</v>
      </c>
      <c r="P1789" s="2">
        <f t="shared" ca="1" si="1688"/>
        <v>43713313.96821481</v>
      </c>
      <c r="Q1789" s="2">
        <f t="shared" ca="1" si="1689"/>
        <v>1092832.8492053703</v>
      </c>
      <c r="R1789" s="2">
        <f t="shared" ca="1" si="1690"/>
        <v>26227988.380928885</v>
      </c>
      <c r="S1789" s="2">
        <f t="shared" ca="1" si="1691"/>
        <v>17485325.587285925</v>
      </c>
      <c r="T1789" s="2">
        <f t="shared" ca="1" si="1692"/>
        <v>51727694.351098366</v>
      </c>
      <c r="U1789" s="2">
        <f t="shared" ca="1" si="1693"/>
        <v>56311336.558818348</v>
      </c>
      <c r="V1789" s="2">
        <f t="shared" ca="1" si="1694"/>
        <v>61301139.84044566</v>
      </c>
      <c r="W1789" s="2">
        <f t="shared" ca="1" si="1695"/>
        <v>66733094.530845374</v>
      </c>
      <c r="X1789" s="2">
        <f t="shared" ca="1" si="1696"/>
        <v>72646380.104085997</v>
      </c>
      <c r="Y1789" s="2">
        <f t="shared" ca="1" si="1697"/>
        <v>0.12288603638221138</v>
      </c>
      <c r="Z1789" s="2">
        <f t="shared" ca="1" si="1698"/>
        <v>0.12404045093509593</v>
      </c>
      <c r="AA1789" s="2">
        <f t="shared" ca="1" si="1699"/>
        <v>6356611.3299969835</v>
      </c>
      <c r="AB1789" s="2">
        <f t="shared" ca="1" si="1700"/>
        <v>6984883.5795137808</v>
      </c>
      <c r="AC1789" s="2">
        <f t="shared" ca="1" si="1701"/>
        <v>7603821.0286442544</v>
      </c>
      <c r="AD1789" s="2">
        <f t="shared" ca="1" si="1702"/>
        <v>8277603.1379004437</v>
      </c>
      <c r="AE1789" s="2">
        <f t="shared" ca="1" si="1703"/>
        <v>9011089.7469132077</v>
      </c>
      <c r="AF1789" s="2">
        <f t="shared" ca="1" si="1704"/>
        <v>1034553.8870219673</v>
      </c>
      <c r="AG1789" s="2">
        <f t="shared" ca="1" si="1705"/>
        <v>1126226.731176367</v>
      </c>
      <c r="AH1789" s="2">
        <f t="shared" ca="1" si="1706"/>
        <v>1226022.7968089131</v>
      </c>
      <c r="AI1789" s="2">
        <f t="shared" ca="1" si="1707"/>
        <v>1334661.8906169075</v>
      </c>
      <c r="AJ1789" s="2">
        <f t="shared" ca="1" si="1708"/>
        <v>1452927.60208172</v>
      </c>
      <c r="AK1789" s="2">
        <f t="shared" ca="1" si="1709"/>
        <v>0</v>
      </c>
      <c r="AL1789" s="2">
        <f t="shared" ca="1" si="1710"/>
        <v>45836.422077199815</v>
      </c>
      <c r="AM1789" s="2">
        <f t="shared" ca="1" si="1711"/>
        <v>49898.032816273124</v>
      </c>
      <c r="AN1789" s="2">
        <f t="shared" ca="1" si="1712"/>
        <v>54319.546903997136</v>
      </c>
      <c r="AO1789" s="2">
        <f t="shared" ca="1" si="1713"/>
        <v>59132.855732406228</v>
      </c>
      <c r="AP1789" s="2">
        <f t="shared" ca="1" si="1714"/>
        <v>2360518.9542835997</v>
      </c>
      <c r="AQ1789" s="2">
        <f t="shared" ca="1" si="1715"/>
        <v>770000.00705976831</v>
      </c>
      <c r="AR1789" s="2">
        <f t="shared" ca="1" si="1716"/>
        <v>909515.85245399165</v>
      </c>
      <c r="AS1789" s="2">
        <f t="shared" ca="1" si="1717"/>
        <v>1044492.6121634528</v>
      </c>
      <c r="AT1789" s="2">
        <f t="shared" ca="1" si="1718"/>
        <v>1191429.7961799835</v>
      </c>
      <c r="AU1789" s="2">
        <f t="shared" ca="1" si="1719"/>
        <v>1351387.229542451</v>
      </c>
      <c r="AV1789" s="2">
        <f t="shared" ca="1" si="1720"/>
        <v>2191538.4816316487</v>
      </c>
      <c r="AW1789" s="2">
        <f t="shared" ca="1" si="1721"/>
        <v>2542785.6195226228</v>
      </c>
      <c r="AX1789" s="2">
        <f t="shared" ca="1" si="1722"/>
        <v>2922888.6325720157</v>
      </c>
      <c r="AY1789" s="2">
        <f t="shared" ca="1" si="1723"/>
        <v>3336672.9499159558</v>
      </c>
      <c r="AZ1789" s="2">
        <f t="shared" ca="1" si="1724"/>
        <v>3787123.1052730307</v>
      </c>
      <c r="BA1789" s="2">
        <f t="shared" ca="1" si="1725"/>
        <v>71211143.494546145</v>
      </c>
      <c r="BB1789" s="2">
        <f t="shared" ca="1" si="1726"/>
        <v>1424222.8698909229</v>
      </c>
      <c r="BC1789" s="2">
        <f t="shared" ca="1" si="1727"/>
        <v>43558932.243726335</v>
      </c>
      <c r="BD1789" s="2">
        <f t="shared" ca="1" si="1728"/>
        <v>-19078158.436491296</v>
      </c>
      <c r="BE1789" s="2">
        <f t="shared" ca="1" si="1729"/>
        <v>2191538.4816316487</v>
      </c>
      <c r="BF1789" s="2">
        <f t="shared" ca="1" si="1730"/>
        <v>2542785.6195226228</v>
      </c>
      <c r="BG1789" s="2">
        <f t="shared" ca="1" si="1731"/>
        <v>2922888.6325720157</v>
      </c>
      <c r="BH1789" s="2">
        <f t="shared" ca="1" si="1732"/>
        <v>3336672.9499159558</v>
      </c>
      <c r="BI1789" s="2">
        <f t="shared" ca="1" si="1733"/>
        <v>47346055.348999366</v>
      </c>
      <c r="BJ1789" s="2">
        <f t="shared" ca="1" si="1734"/>
        <v>0.28949806030896319</v>
      </c>
      <c r="BK1789" s="2">
        <f t="shared" ca="1" si="1735"/>
        <v>15972059.17246858</v>
      </c>
    </row>
    <row r="1790" spans="1:63" x14ac:dyDescent="0.3">
      <c r="A1790" s="2">
        <v>1789</v>
      </c>
      <c r="B1790" s="2">
        <f t="shared" ca="1" si="1674"/>
        <v>0.55422109907676587</v>
      </c>
      <c r="C1790" s="2">
        <f t="shared" ca="1" si="1675"/>
        <v>7.0557766144357217</v>
      </c>
      <c r="D1790" s="2">
        <f t="shared" ca="1" si="1676"/>
        <v>0.62528870971354544</v>
      </c>
      <c r="E1790" s="2">
        <f t="shared" ca="1" si="1677"/>
        <v>7.634308033667339</v>
      </c>
      <c r="F1790" s="2">
        <f t="shared" ca="1" si="1678"/>
        <v>0.57262882861695796</v>
      </c>
      <c r="G1790" s="2">
        <f t="shared" ca="1" si="1679"/>
        <v>4.5492128741483534E-2</v>
      </c>
      <c r="H1790" s="2">
        <f t="shared" ca="1" si="1680"/>
        <v>4.5492128741483534E-2</v>
      </c>
      <c r="I1790" s="2">
        <f t="shared" ca="1" si="1681"/>
        <v>2.5345337943139423E-2</v>
      </c>
      <c r="J1790" s="2">
        <f t="shared" ca="1" si="1682"/>
        <v>2.2955428690906755E-4</v>
      </c>
      <c r="K1790" s="2">
        <f t="shared" ca="1" si="1683"/>
        <v>2.2955428690906755E-4</v>
      </c>
      <c r="L1790" s="2">
        <f t="shared" ca="1" si="1684"/>
        <v>0.57942681398327855</v>
      </c>
      <c r="M1790" s="2">
        <f t="shared" ca="1" si="1685"/>
        <v>4.0085469793009138E-3</v>
      </c>
      <c r="N1790" s="2">
        <f t="shared" ca="1" si="1686"/>
        <v>4.0085469793009138E-3</v>
      </c>
      <c r="O1790" s="2">
        <f t="shared" si="1687"/>
        <v>6000000</v>
      </c>
      <c r="P1790" s="2">
        <f t="shared" ca="1" si="1688"/>
        <v>42334659.686614327</v>
      </c>
      <c r="Q1790" s="2">
        <f t="shared" ca="1" si="1689"/>
        <v>1058366.4921653583</v>
      </c>
      <c r="R1790" s="2">
        <f t="shared" ca="1" si="1690"/>
        <v>25400795.811968595</v>
      </c>
      <c r="S1790" s="2">
        <f t="shared" ca="1" si="1691"/>
        <v>16933863.874645732</v>
      </c>
      <c r="T1790" s="2">
        <f t="shared" ca="1" si="1692"/>
        <v>50200427.348965049</v>
      </c>
      <c r="U1790" s="2">
        <f t="shared" ca="1" si="1693"/>
        <v>52484151.652801663</v>
      </c>
      <c r="V1790" s="2">
        <f t="shared" ca="1" si="1694"/>
        <v>54871767.436678462</v>
      </c>
      <c r="W1790" s="2">
        <f t="shared" ca="1" si="1695"/>
        <v>57368000.945180587</v>
      </c>
      <c r="X1790" s="2">
        <f t="shared" ca="1" si="1696"/>
        <v>59977793.429820292</v>
      </c>
      <c r="Y1790" s="2">
        <f t="shared" ca="1" si="1697"/>
        <v>0.12011477714345453</v>
      </c>
      <c r="Z1790" s="2">
        <f t="shared" ca="1" si="1698"/>
        <v>0.12016068800083635</v>
      </c>
      <c r="AA1790" s="2">
        <f t="shared" ca="1" si="1699"/>
        <v>6029813.1435271166</v>
      </c>
      <c r="AB1790" s="2">
        <f t="shared" ca="1" si="1700"/>
        <v>6306531.7717408799</v>
      </c>
      <c r="AC1790" s="2">
        <f t="shared" ca="1" si="1701"/>
        <v>6593429.3270131722</v>
      </c>
      <c r="AD1790" s="2">
        <f t="shared" ca="1" si="1702"/>
        <v>6893378.4628055291</v>
      </c>
      <c r="AE1790" s="2">
        <f t="shared" ca="1" si="1703"/>
        <v>7206972.9232992483</v>
      </c>
      <c r="AF1790" s="2">
        <f t="shared" ca="1" si="1704"/>
        <v>1004008.546979301</v>
      </c>
      <c r="AG1790" s="2">
        <f t="shared" ca="1" si="1705"/>
        <v>1049683.0330560333</v>
      </c>
      <c r="AH1790" s="2">
        <f t="shared" ca="1" si="1706"/>
        <v>1097435.3487335693</v>
      </c>
      <c r="AI1790" s="2">
        <f t="shared" ca="1" si="1707"/>
        <v>1147360.0189036117</v>
      </c>
      <c r="AJ1790" s="2">
        <f t="shared" ca="1" si="1708"/>
        <v>1199555.868596406</v>
      </c>
      <c r="AK1790" s="2">
        <f t="shared" ca="1" si="1709"/>
        <v>0</v>
      </c>
      <c r="AL1790" s="2">
        <f t="shared" ca="1" si="1710"/>
        <v>22837.243038366138</v>
      </c>
      <c r="AM1790" s="2">
        <f t="shared" ca="1" si="1711"/>
        <v>23876.157838767991</v>
      </c>
      <c r="AN1790" s="2">
        <f t="shared" ca="1" si="1712"/>
        <v>24962.335085021259</v>
      </c>
      <c r="AO1790" s="2">
        <f t="shared" ca="1" si="1713"/>
        <v>26097.924846397043</v>
      </c>
      <c r="AP1790" s="2">
        <f t="shared" ca="1" si="1714"/>
        <v>2286071.6230771733</v>
      </c>
      <c r="AQ1790" s="2">
        <f t="shared" ca="1" si="1715"/>
        <v>712330.57310236711</v>
      </c>
      <c r="AR1790" s="2">
        <f t="shared" ca="1" si="1716"/>
        <v>772402.05005799502</v>
      </c>
      <c r="AS1790" s="2">
        <f t="shared" ca="1" si="1717"/>
        <v>834579.81235263171</v>
      </c>
      <c r="AT1790" s="2">
        <f t="shared" ca="1" si="1718"/>
        <v>899586.17341443338</v>
      </c>
      <c r="AU1790" s="2">
        <f t="shared" ca="1" si="1719"/>
        <v>967549.81222267402</v>
      </c>
      <c r="AV1790" s="2">
        <f t="shared" ca="1" si="1720"/>
        <v>2027402.4003682756</v>
      </c>
      <c r="AW1790" s="2">
        <f t="shared" ca="1" si="1721"/>
        <v>2175537.8225113112</v>
      </c>
      <c r="AX1790" s="2">
        <f t="shared" ca="1" si="1722"/>
        <v>2351466.3850110299</v>
      </c>
      <c r="AY1790" s="2">
        <f t="shared" ca="1" si="1723"/>
        <v>2535398.312325289</v>
      </c>
      <c r="AZ1790" s="2">
        <f t="shared" ca="1" si="1724"/>
        <v>2727697.694556599</v>
      </c>
      <c r="BA1790" s="2">
        <f t="shared" ca="1" si="1725"/>
        <v>55020251.28676644</v>
      </c>
      <c r="BB1790" s="2">
        <f t="shared" ca="1" si="1726"/>
        <v>1100405.0257353289</v>
      </c>
      <c r="BC1790" s="2">
        <f t="shared" ca="1" si="1727"/>
        <v>28519050.449062515</v>
      </c>
      <c r="BD1790" s="2">
        <f t="shared" ca="1" si="1728"/>
        <v>-18492230.366811089</v>
      </c>
      <c r="BE1790" s="2">
        <f t="shared" ca="1" si="1729"/>
        <v>2027402.4003682756</v>
      </c>
      <c r="BF1790" s="2">
        <f t="shared" ca="1" si="1730"/>
        <v>2175537.8225113112</v>
      </c>
      <c r="BG1790" s="2">
        <f t="shared" ca="1" si="1731"/>
        <v>2351466.3850110299</v>
      </c>
      <c r="BH1790" s="2">
        <f t="shared" ca="1" si="1732"/>
        <v>2535398.312325289</v>
      </c>
      <c r="BI1790" s="2">
        <f t="shared" ca="1" si="1733"/>
        <v>31246748.143619113</v>
      </c>
      <c r="BJ1790" s="2">
        <f t="shared" ca="1" si="1734"/>
        <v>0.19764253672722321</v>
      </c>
      <c r="BK1790" s="2">
        <f t="shared" ca="1" si="1735"/>
        <v>6067538.6205427796</v>
      </c>
    </row>
    <row r="1791" spans="1:63" x14ac:dyDescent="0.3">
      <c r="A1791" s="2">
        <v>1790</v>
      </c>
      <c r="B1791" s="2">
        <f t="shared" ca="1" si="1674"/>
        <v>0.98810692464497629</v>
      </c>
      <c r="C1791" s="2">
        <f t="shared" ca="1" si="1675"/>
        <v>7.84577240613286</v>
      </c>
      <c r="D1791" s="2">
        <f t="shared" ca="1" si="1676"/>
        <v>0.23659312262941701</v>
      </c>
      <c r="E1791" s="2">
        <f t="shared" ca="1" si="1677"/>
        <v>7.1878853431051093</v>
      </c>
      <c r="F1791" s="2">
        <f t="shared" ca="1" si="1678"/>
        <v>0.67923702157163002</v>
      </c>
      <c r="G1791" s="2">
        <f t="shared" ca="1" si="1679"/>
        <v>5.3966989540687627E-2</v>
      </c>
      <c r="H1791" s="2">
        <f t="shared" ca="1" si="1680"/>
        <v>5.3966989540687627E-2</v>
      </c>
      <c r="I1791" s="2">
        <f t="shared" ca="1" si="1681"/>
        <v>0.18304276793611074</v>
      </c>
      <c r="J1791" s="2">
        <f t="shared" ca="1" si="1682"/>
        <v>5.4808498528800351E-3</v>
      </c>
      <c r="K1791" s="2">
        <f t="shared" ca="1" si="1683"/>
        <v>5.4808498528800351E-3</v>
      </c>
      <c r="L1791" s="2">
        <f t="shared" ca="1" si="1684"/>
        <v>0.84062671639365005</v>
      </c>
      <c r="M1791" s="2">
        <f t="shared" ca="1" si="1685"/>
        <v>1.9940739320562211E-2</v>
      </c>
      <c r="N1791" s="2">
        <f t="shared" ca="1" si="1686"/>
        <v>1.9940739320562211E-2</v>
      </c>
      <c r="O1791" s="2">
        <f t="shared" si="1687"/>
        <v>6000000</v>
      </c>
      <c r="P1791" s="2">
        <f t="shared" ca="1" si="1688"/>
        <v>47074634.436797157</v>
      </c>
      <c r="Q1791" s="2">
        <f t="shared" ca="1" si="1689"/>
        <v>1176865.8609199289</v>
      </c>
      <c r="R1791" s="2">
        <f t="shared" ca="1" si="1690"/>
        <v>28244780.662078295</v>
      </c>
      <c r="S1791" s="2">
        <f t="shared" ca="1" si="1691"/>
        <v>18829853.774718862</v>
      </c>
      <c r="T1791" s="2">
        <f t="shared" ca="1" si="1692"/>
        <v>50997036.966028109</v>
      </c>
      <c r="U1791" s="2">
        <f t="shared" ca="1" si="1693"/>
        <v>53749193.526579805</v>
      </c>
      <c r="V1791" s="2">
        <f t="shared" ca="1" si="1694"/>
        <v>56649875.691449128</v>
      </c>
      <c r="W1791" s="2">
        <f t="shared" ca="1" si="1695"/>
        <v>59707098.940370813</v>
      </c>
      <c r="X1791" s="2">
        <f t="shared" ca="1" si="1696"/>
        <v>62929311.324390605</v>
      </c>
      <c r="Y1791" s="2">
        <f t="shared" ca="1" si="1697"/>
        <v>0.12274042492644001</v>
      </c>
      <c r="Z1791" s="2">
        <f t="shared" ca="1" si="1698"/>
        <v>0.12383659489701603</v>
      </c>
      <c r="AA1791" s="2">
        <f t="shared" ca="1" si="1699"/>
        <v>6259397.9871996595</v>
      </c>
      <c r="AB1791" s="2">
        <f t="shared" ca="1" si="1700"/>
        <v>6656117.1047923798</v>
      </c>
      <c r="AC1791" s="2">
        <f t="shared" ca="1" si="1701"/>
        <v>7015327.706968301</v>
      </c>
      <c r="AD1791" s="2">
        <f t="shared" ca="1" si="1702"/>
        <v>7393923.8239547554</v>
      </c>
      <c r="AE1791" s="2">
        <f t="shared" ca="1" si="1703"/>
        <v>7792951.6336267628</v>
      </c>
      <c r="AF1791" s="2">
        <f t="shared" ca="1" si="1704"/>
        <v>1019940.7393205622</v>
      </c>
      <c r="AG1791" s="2">
        <f t="shared" ca="1" si="1705"/>
        <v>1074983.870531596</v>
      </c>
      <c r="AH1791" s="2">
        <f t="shared" ca="1" si="1706"/>
        <v>1132997.5138289826</v>
      </c>
      <c r="AI1791" s="2">
        <f t="shared" ca="1" si="1707"/>
        <v>1194141.9788074163</v>
      </c>
      <c r="AJ1791" s="2">
        <f t="shared" ca="1" si="1708"/>
        <v>1258586.2264878121</v>
      </c>
      <c r="AK1791" s="2">
        <f t="shared" ca="1" si="1709"/>
        <v>0</v>
      </c>
      <c r="AL1791" s="2">
        <f t="shared" ca="1" si="1710"/>
        <v>27521.565605516957</v>
      </c>
      <c r="AM1791" s="2">
        <f t="shared" ca="1" si="1711"/>
        <v>29006.821648693236</v>
      </c>
      <c r="AN1791" s="2">
        <f t="shared" ca="1" si="1712"/>
        <v>30572.232489216851</v>
      </c>
      <c r="AO1791" s="2">
        <f t="shared" ca="1" si="1713"/>
        <v>32222.123840197921</v>
      </c>
      <c r="AP1791" s="2">
        <f t="shared" ca="1" si="1714"/>
        <v>2542030.2595870462</v>
      </c>
      <c r="AQ1791" s="2">
        <f t="shared" ca="1" si="1715"/>
        <v>701331.0169559333</v>
      </c>
      <c r="AR1791" s="2">
        <f t="shared" ca="1" si="1716"/>
        <v>790166.77341517177</v>
      </c>
      <c r="AS1791" s="2">
        <f t="shared" ca="1" si="1717"/>
        <v>868477.9827235908</v>
      </c>
      <c r="AT1791" s="2">
        <f t="shared" ca="1" si="1718"/>
        <v>951015.41224567627</v>
      </c>
      <c r="AU1791" s="2">
        <f t="shared" ca="1" si="1719"/>
        <v>1038007.1383634954</v>
      </c>
      <c r="AV1791" s="2">
        <f t="shared" ca="1" si="1720"/>
        <v>1996095.9713361175</v>
      </c>
      <c r="AW1791" s="2">
        <f t="shared" ca="1" si="1721"/>
        <v>2221414.6356530492</v>
      </c>
      <c r="AX1791" s="2">
        <f t="shared" ca="1" si="1722"/>
        <v>2442815.1291799876</v>
      </c>
      <c r="AY1791" s="2">
        <f t="shared" ca="1" si="1723"/>
        <v>2676163.9408254004</v>
      </c>
      <c r="AZ1791" s="2">
        <f t="shared" ca="1" si="1724"/>
        <v>2922105.8853482115</v>
      </c>
      <c r="BA1791" s="2">
        <f t="shared" ca="1" si="1725"/>
        <v>56014842.826872826</v>
      </c>
      <c r="BB1791" s="2">
        <f t="shared" ca="1" si="1726"/>
        <v>1120296.8565374566</v>
      </c>
      <c r="BC1791" s="2">
        <f t="shared" ca="1" si="1727"/>
        <v>26649765.308257073</v>
      </c>
      <c r="BD1791" s="2">
        <f t="shared" ca="1" si="1728"/>
        <v>-20506719.635638792</v>
      </c>
      <c r="BE1791" s="2">
        <f t="shared" ca="1" si="1729"/>
        <v>1996095.9713361175</v>
      </c>
      <c r="BF1791" s="2">
        <f t="shared" ca="1" si="1730"/>
        <v>2221414.6356530492</v>
      </c>
      <c r="BG1791" s="2">
        <f t="shared" ca="1" si="1731"/>
        <v>2442815.1291799876</v>
      </c>
      <c r="BH1791" s="2">
        <f t="shared" ca="1" si="1732"/>
        <v>2676163.9408254004</v>
      </c>
      <c r="BI1791" s="2">
        <f t="shared" ca="1" si="1733"/>
        <v>29571871.193605285</v>
      </c>
      <c r="BJ1791" s="2">
        <f t="shared" ca="1" si="1734"/>
        <v>0.15983162896638126</v>
      </c>
      <c r="BK1791" s="2">
        <f t="shared" ca="1" si="1735"/>
        <v>3265779.0695244707</v>
      </c>
    </row>
    <row r="1792" spans="1:63" x14ac:dyDescent="0.3">
      <c r="A1792" s="2">
        <v>1791</v>
      </c>
      <c r="B1792" s="2">
        <f t="shared" ca="1" si="1674"/>
        <v>7.2478278362660409E-2</v>
      </c>
      <c r="C1792" s="2">
        <f t="shared" ca="1" si="1675"/>
        <v>6.3807316072055498</v>
      </c>
      <c r="D1792" s="2">
        <f t="shared" ca="1" si="1676"/>
        <v>0.59688980909116163</v>
      </c>
      <c r="E1792" s="2">
        <f t="shared" ca="1" si="1677"/>
        <v>7.6021022431158007</v>
      </c>
      <c r="F1792" s="2">
        <f t="shared" ca="1" si="1678"/>
        <v>0.43305878249081786</v>
      </c>
      <c r="G1792" s="2">
        <f t="shared" ca="1" si="1679"/>
        <v>3.4942239672765683E-2</v>
      </c>
      <c r="H1792" s="2">
        <f t="shared" ca="1" si="1680"/>
        <v>3.4942239672765683E-2</v>
      </c>
      <c r="I1792" s="2">
        <f t="shared" ca="1" si="1681"/>
        <v>0.88626463517580878</v>
      </c>
      <c r="J1792" s="2">
        <f t="shared" ca="1" si="1682"/>
        <v>1.6034499065965248E-2</v>
      </c>
      <c r="K1792" s="2">
        <f t="shared" ca="1" si="1683"/>
        <v>1.6034499065965248E-2</v>
      </c>
      <c r="L1792" s="2">
        <f t="shared" ca="1" si="1684"/>
        <v>0.76108896622368827</v>
      </c>
      <c r="M1792" s="2">
        <f t="shared" ca="1" si="1685"/>
        <v>1.4196196758564325E-2</v>
      </c>
      <c r="N1792" s="2">
        <f t="shared" ca="1" si="1686"/>
        <v>1.4196196758564325E-2</v>
      </c>
      <c r="O1792" s="2">
        <f t="shared" si="1687"/>
        <v>6000000</v>
      </c>
      <c r="P1792" s="2">
        <f t="shared" ca="1" si="1688"/>
        <v>38284389.643233299</v>
      </c>
      <c r="Q1792" s="2">
        <f t="shared" ca="1" si="1689"/>
        <v>957109.74108083255</v>
      </c>
      <c r="R1792" s="2">
        <f t="shared" ca="1" si="1690"/>
        <v>22970633.78593998</v>
      </c>
      <c r="S1792" s="2">
        <f t="shared" ca="1" si="1691"/>
        <v>15313755.857293321</v>
      </c>
      <c r="T1792" s="2">
        <f t="shared" ca="1" si="1692"/>
        <v>50709809.837928221</v>
      </c>
      <c r="U1792" s="2">
        <f t="shared" ca="1" si="1693"/>
        <v>52481724.167045482</v>
      </c>
      <c r="V1792" s="2">
        <f t="shared" ca="1" si="1694"/>
        <v>54315553.151330359</v>
      </c>
      <c r="W1792" s="2">
        <f t="shared" ca="1" si="1695"/>
        <v>56213460.227502987</v>
      </c>
      <c r="X1792" s="2">
        <f t="shared" ca="1" si="1696"/>
        <v>58177684.427607879</v>
      </c>
      <c r="Y1792" s="2">
        <f t="shared" ca="1" si="1697"/>
        <v>0.12801724953298263</v>
      </c>
      <c r="Z1792" s="2">
        <f t="shared" ca="1" si="1698"/>
        <v>0.13122414934617566</v>
      </c>
      <c r="AA1792" s="2">
        <f t="shared" ca="1" si="1699"/>
        <v>6491730.3797921548</v>
      </c>
      <c r="AB1792" s="2">
        <f t="shared" ca="1" si="1700"/>
        <v>6886869.6100411722</v>
      </c>
      <c r="AC1792" s="2">
        <f t="shared" ca="1" si="1701"/>
        <v>7127512.258550317</v>
      </c>
      <c r="AD1792" s="2">
        <f t="shared" ca="1" si="1702"/>
        <v>7376563.5001591574</v>
      </c>
      <c r="AE1792" s="2">
        <f t="shared" ca="1" si="1703"/>
        <v>7634317.1499430938</v>
      </c>
      <c r="AF1792" s="2">
        <f t="shared" ca="1" si="1704"/>
        <v>1014196.1967585644</v>
      </c>
      <c r="AG1792" s="2">
        <f t="shared" ca="1" si="1705"/>
        <v>1049634.4833409097</v>
      </c>
      <c r="AH1792" s="2">
        <f t="shared" ca="1" si="1706"/>
        <v>1086311.0630266073</v>
      </c>
      <c r="AI1792" s="2">
        <f t="shared" ca="1" si="1707"/>
        <v>1124269.2045500597</v>
      </c>
      <c r="AJ1792" s="2">
        <f t="shared" ca="1" si="1708"/>
        <v>1163553.6885521577</v>
      </c>
      <c r="AK1792" s="2">
        <f t="shared" ca="1" si="1709"/>
        <v>0</v>
      </c>
      <c r="AL1792" s="2">
        <f t="shared" ca="1" si="1710"/>
        <v>17719.143291172608</v>
      </c>
      <c r="AM1792" s="2">
        <f t="shared" ca="1" si="1711"/>
        <v>18338.289842848779</v>
      </c>
      <c r="AN1792" s="2">
        <f t="shared" ca="1" si="1712"/>
        <v>18979.070761726274</v>
      </c>
      <c r="AO1792" s="2">
        <f t="shared" ca="1" si="1713"/>
        <v>19642.242001048922</v>
      </c>
      <c r="AP1792" s="2">
        <f t="shared" ca="1" si="1714"/>
        <v>2067357.0407345982</v>
      </c>
      <c r="AQ1792" s="2">
        <f t="shared" ca="1" si="1715"/>
        <v>886646.05699773785</v>
      </c>
      <c r="AR1792" s="2">
        <f t="shared" ca="1" si="1716"/>
        <v>980168.30235107266</v>
      </c>
      <c r="AS1792" s="2">
        <f t="shared" ca="1" si="1717"/>
        <v>1033199.480245169</v>
      </c>
      <c r="AT1792" s="2">
        <f t="shared" ca="1" si="1718"/>
        <v>1088083.6862673699</v>
      </c>
      <c r="AU1792" s="2">
        <f t="shared" ca="1" si="1719"/>
        <v>1144885.6693706478</v>
      </c>
      <c r="AV1792" s="2">
        <f t="shared" ca="1" si="1720"/>
        <v>2523531.0853012539</v>
      </c>
      <c r="AW1792" s="2">
        <f t="shared" ca="1" si="1721"/>
        <v>2771990.6403234191</v>
      </c>
      <c r="AX1792" s="2">
        <f t="shared" ca="1" si="1722"/>
        <v>2922306.3847010937</v>
      </c>
      <c r="AY1792" s="2">
        <f t="shared" ca="1" si="1723"/>
        <v>3077874.4978454039</v>
      </c>
      <c r="AZ1792" s="2">
        <f t="shared" ca="1" si="1724"/>
        <v>3238878.5092846407</v>
      </c>
      <c r="BA1792" s="2">
        <f t="shared" ca="1" si="1725"/>
        <v>58036859.53023982</v>
      </c>
      <c r="BB1792" s="2">
        <f t="shared" ca="1" si="1726"/>
        <v>1160737.1906047964</v>
      </c>
      <c r="BC1792" s="2">
        <f t="shared" ca="1" si="1727"/>
        <v>33905488.553695045</v>
      </c>
      <c r="BD1792" s="2">
        <f t="shared" ca="1" si="1728"/>
        <v>-16770865.598374153</v>
      </c>
      <c r="BE1792" s="2">
        <f t="shared" ca="1" si="1729"/>
        <v>2523531.0853012539</v>
      </c>
      <c r="BF1792" s="2">
        <f t="shared" ca="1" si="1730"/>
        <v>2771990.6403234191</v>
      </c>
      <c r="BG1792" s="2">
        <f t="shared" ca="1" si="1731"/>
        <v>2922306.3847010937</v>
      </c>
      <c r="BH1792" s="2">
        <f t="shared" ca="1" si="1732"/>
        <v>3077874.4978454039</v>
      </c>
      <c r="BI1792" s="2">
        <f t="shared" ca="1" si="1733"/>
        <v>37144367.062979683</v>
      </c>
      <c r="BJ1792" s="2">
        <f t="shared" ca="1" si="1734"/>
        <v>0.28460858041946691</v>
      </c>
      <c r="BK1792" s="2">
        <f t="shared" ca="1" si="1735"/>
        <v>12804897.382788936</v>
      </c>
    </row>
    <row r="1793" spans="1:63" x14ac:dyDescent="0.3">
      <c r="A1793" s="2">
        <v>1792</v>
      </c>
      <c r="B1793" s="2">
        <f t="shared" ca="1" si="1674"/>
        <v>0.54022978430146384</v>
      </c>
      <c r="C1793" s="2">
        <f t="shared" ca="1" si="1675"/>
        <v>7.0410732919575798</v>
      </c>
      <c r="D1793" s="2">
        <f t="shared" ca="1" si="1676"/>
        <v>0.439958090630582</v>
      </c>
      <c r="E1793" s="2">
        <f t="shared" ca="1" si="1677"/>
        <v>7.4380384753629052</v>
      </c>
      <c r="F1793" s="2">
        <f t="shared" ca="1" si="1678"/>
        <v>0.23535852441411798</v>
      </c>
      <c r="G1793" s="2">
        <f t="shared" ca="1" si="1679"/>
        <v>1.8360614313559381E-2</v>
      </c>
      <c r="H1793" s="2">
        <f t="shared" ca="1" si="1680"/>
        <v>1.8360614313559381E-2</v>
      </c>
      <c r="I1793" s="2">
        <f t="shared" ca="1" si="1681"/>
        <v>8.7984100908978236E-2</v>
      </c>
      <c r="J1793" s="2">
        <f t="shared" ca="1" si="1682"/>
        <v>3.2336314036108269E-3</v>
      </c>
      <c r="K1793" s="2">
        <f t="shared" ca="1" si="1683"/>
        <v>3.2336314036108269E-3</v>
      </c>
      <c r="L1793" s="2">
        <f t="shared" ca="1" si="1684"/>
        <v>0.74197164375894797</v>
      </c>
      <c r="M1793" s="2">
        <f t="shared" ca="1" si="1685"/>
        <v>1.2988716555726603E-2</v>
      </c>
      <c r="N1793" s="2">
        <f t="shared" ca="1" si="1686"/>
        <v>1.2988716555726603E-2</v>
      </c>
      <c r="O1793" s="2">
        <f t="shared" si="1687"/>
        <v>6000000</v>
      </c>
      <c r="P1793" s="2">
        <f t="shared" ca="1" si="1688"/>
        <v>42246439.751745477</v>
      </c>
      <c r="Q1793" s="2">
        <f t="shared" ca="1" si="1689"/>
        <v>1056160.993793637</v>
      </c>
      <c r="R1793" s="2">
        <f t="shared" ca="1" si="1690"/>
        <v>25347863.851047285</v>
      </c>
      <c r="S1793" s="2">
        <f t="shared" ca="1" si="1691"/>
        <v>16898575.900698192</v>
      </c>
      <c r="T1793" s="2">
        <f t="shared" ca="1" si="1692"/>
        <v>50649435.827786326</v>
      </c>
      <c r="U1793" s="2">
        <f t="shared" ca="1" si="1693"/>
        <v>51579390.584219679</v>
      </c>
      <c r="V1793" s="2">
        <f t="shared" ca="1" si="1694"/>
        <v>52526419.88126497</v>
      </c>
      <c r="W1793" s="2">
        <f t="shared" ca="1" si="1695"/>
        <v>53490837.21797695</v>
      </c>
      <c r="X1793" s="2">
        <f t="shared" ca="1" si="1696"/>
        <v>54472961.849445611</v>
      </c>
      <c r="Y1793" s="2">
        <f t="shared" ca="1" si="1697"/>
        <v>0.12161681570180541</v>
      </c>
      <c r="Z1793" s="2">
        <f t="shared" ca="1" si="1698"/>
        <v>0.12226354198252758</v>
      </c>
      <c r="AA1793" s="2">
        <f t="shared" ca="1" si="1699"/>
        <v>6159823.1024683099</v>
      </c>
      <c r="AB1793" s="2">
        <f t="shared" ca="1" si="1700"/>
        <v>6306278.9861269305</v>
      </c>
      <c r="AC1793" s="2">
        <f t="shared" ca="1" si="1701"/>
        <v>6422066.1423449107</v>
      </c>
      <c r="AD1793" s="2">
        <f t="shared" ca="1" si="1702"/>
        <v>6539979.2218806734</v>
      </c>
      <c r="AE1793" s="2">
        <f t="shared" ca="1" si="1703"/>
        <v>6660057.257992317</v>
      </c>
      <c r="AF1793" s="2">
        <f t="shared" ca="1" si="1704"/>
        <v>1012988.7165557266</v>
      </c>
      <c r="AG1793" s="2">
        <f t="shared" ca="1" si="1705"/>
        <v>1031587.8116843936</v>
      </c>
      <c r="AH1793" s="2">
        <f t="shared" ca="1" si="1706"/>
        <v>1050528.3976252994</v>
      </c>
      <c r="AI1793" s="2">
        <f t="shared" ca="1" si="1707"/>
        <v>1069816.7443595391</v>
      </c>
      <c r="AJ1793" s="2">
        <f t="shared" ca="1" si="1708"/>
        <v>1089459.2369889123</v>
      </c>
      <c r="AK1793" s="2">
        <f t="shared" ca="1" si="1709"/>
        <v>0</v>
      </c>
      <c r="AL1793" s="2">
        <f t="shared" ca="1" si="1710"/>
        <v>9299.5475643335285</v>
      </c>
      <c r="AM1793" s="2">
        <f t="shared" ca="1" si="1711"/>
        <v>9470.2929704529051</v>
      </c>
      <c r="AN1793" s="2">
        <f t="shared" ca="1" si="1712"/>
        <v>9644.1733671198035</v>
      </c>
      <c r="AO1793" s="2">
        <f t="shared" ca="1" si="1713"/>
        <v>9821.2463146866121</v>
      </c>
      <c r="AP1793" s="2">
        <f t="shared" ca="1" si="1714"/>
        <v>2281307.7465942553</v>
      </c>
      <c r="AQ1793" s="2">
        <f t="shared" ca="1" si="1715"/>
        <v>745036.92622276524</v>
      </c>
      <c r="AR1793" s="2">
        <f t="shared" ca="1" si="1716"/>
        <v>778279.69124055328</v>
      </c>
      <c r="AS1793" s="2">
        <f t="shared" ca="1" si="1717"/>
        <v>803459.79951259261</v>
      </c>
      <c r="AT1793" s="2">
        <f t="shared" ca="1" si="1718"/>
        <v>829102.23004098865</v>
      </c>
      <c r="AU1793" s="2">
        <f t="shared" ca="1" si="1719"/>
        <v>855215.47134637879</v>
      </c>
      <c r="AV1793" s="2">
        <f t="shared" ca="1" si="1720"/>
        <v>2120489.713095563</v>
      </c>
      <c r="AW1793" s="2">
        <f t="shared" ca="1" si="1721"/>
        <v>2205804.1890433957</v>
      </c>
      <c r="AX1793" s="2">
        <f t="shared" ca="1" si="1722"/>
        <v>2277299.9056423106</v>
      </c>
      <c r="AY1793" s="2">
        <f t="shared" ca="1" si="1723"/>
        <v>2350108.3275187709</v>
      </c>
      <c r="AZ1793" s="2">
        <f t="shared" ca="1" si="1724"/>
        <v>2424253.5567480833</v>
      </c>
      <c r="BA1793" s="2">
        <f t="shared" ca="1" si="1725"/>
        <v>49537762.133066826</v>
      </c>
      <c r="BB1793" s="2">
        <f t="shared" ca="1" si="1726"/>
        <v>990755.24266133655</v>
      </c>
      <c r="BC1793" s="2">
        <f t="shared" ca="1" si="1727"/>
        <v>23199143.039358202</v>
      </c>
      <c r="BD1793" s="2">
        <f t="shared" ca="1" si="1728"/>
        <v>-18454736.894491829</v>
      </c>
      <c r="BE1793" s="2">
        <f t="shared" ca="1" si="1729"/>
        <v>2120489.713095563</v>
      </c>
      <c r="BF1793" s="2">
        <f t="shared" ca="1" si="1730"/>
        <v>2205804.1890433957</v>
      </c>
      <c r="BG1793" s="2">
        <f t="shared" ca="1" si="1731"/>
        <v>2277299.9056423106</v>
      </c>
      <c r="BH1793" s="2">
        <f t="shared" ca="1" si="1732"/>
        <v>2350108.3275187709</v>
      </c>
      <c r="BI1793" s="2">
        <f t="shared" ca="1" si="1733"/>
        <v>25623396.596106287</v>
      </c>
      <c r="BJ1793" s="2">
        <f t="shared" ca="1" si="1734"/>
        <v>0.15952671217362036</v>
      </c>
      <c r="BK1793" s="2">
        <f t="shared" ca="1" si="1735"/>
        <v>2850887.8696731329</v>
      </c>
    </row>
    <row r="1794" spans="1:63" x14ac:dyDescent="0.3">
      <c r="A1794" s="2">
        <v>1793</v>
      </c>
      <c r="B1794" s="2">
        <f t="shared" ref="B1794:B1857" ca="1" si="1736">RAND()</f>
        <v>7.9094218353921164E-3</v>
      </c>
      <c r="C1794" s="2">
        <f t="shared" ref="C1794:C1857" ca="1" si="1737">IF(B1794&lt;((P_Mode)-(P_Low))/((P_High)-(P_Low)), (P_Low)+SQRT(B1794*((P_High)-(P_Low))*((P_Mode)-(P_Low))), (P_High)-SQRT((1-B1794)*((P_High)-(P_Low))*((P_High)-(P_Mode))))</f>
        <v>6.1257729846619862</v>
      </c>
      <c r="D1794" s="2">
        <f t="shared" ref="D1794:D1857" ca="1" si="1738">RAND()</f>
        <v>0.22424558656582982</v>
      </c>
      <c r="E1794" s="2">
        <f t="shared" ref="E1794:E1857" ca="1" si="1739">IF(D1794&lt;((X_Mode)-(X_Low))/((X_High)-(X_Low)), (X_Low)+SQRT(D1794*((X_High)-(X_Low))*((X_Mode)-(X_Low))), (X_High)-SQRT((1-D1794)*((X_High)-(X_Low))*((X_High)-(X_Mode))))</f>
        <v>7.1696948358257364</v>
      </c>
      <c r="F1794" s="2">
        <f t="shared" ref="F1794:F1857" ca="1" si="1740">RAND()</f>
        <v>6.7391029370195366E-2</v>
      </c>
      <c r="G1794" s="2">
        <f t="shared" ref="G1794:G1857" ca="1" si="1741">NORMINV(F1794, g_Mean, g_SD)</f>
        <v>-4.8652233062686373E-3</v>
      </c>
      <c r="H1794" s="2">
        <f t="shared" ref="H1794:H1857" ca="1" si="1742">MIN(MAX(G1794, g_Min), g_Max)</f>
        <v>-4.8652233062686373E-3</v>
      </c>
      <c r="I1794" s="2">
        <f t="shared" ref="I1794:I1857" ca="1" si="1743">RAND()</f>
        <v>3.6741946723492958E-2</v>
      </c>
      <c r="J1794" s="2">
        <f t="shared" ref="J1794:J1857" ca="1" si="1744">NORMINV(I1794, syn_Mean, syn_SD)</f>
        <v>1.0509323527486784E-3</v>
      </c>
      <c r="K1794" s="2">
        <f t="shared" ref="K1794:K1857" ca="1" si="1745">MIN(MAX(J1794, syn_Min), syn_Max)</f>
        <v>1.0509323527486784E-3</v>
      </c>
      <c r="L1794" s="2">
        <f t="shared" ref="L1794:L1857" ca="1" si="1746">RAND()</f>
        <v>0.73839778052508198</v>
      </c>
      <c r="M1794" s="2">
        <f t="shared" ref="M1794:M1857" ca="1" si="1747">NORMINV(L1794, shk_Mean, shk_SD)</f>
        <v>1.2768273269185336E-2</v>
      </c>
      <c r="N1794" s="2">
        <f t="shared" ref="N1794:N1857" ca="1" si="1748">MIN(MAX(M1794, shk_Min), shk_Max)</f>
        <v>1.2768273269185336E-2</v>
      </c>
      <c r="O1794" s="2">
        <f t="shared" ref="O1794:O1857" si="1749">BaseRev*BaseMargin</f>
        <v>6000000</v>
      </c>
      <c r="P1794" s="2">
        <f t="shared" ref="P1794:P1857" ca="1" si="1750">O1794*C1794</f>
        <v>36754637.907971919</v>
      </c>
      <c r="Q1794" s="2">
        <f t="shared" ref="Q1794:Q1857" ca="1" si="1751">P1794*TxnCostPct</f>
        <v>918865.94769929803</v>
      </c>
      <c r="R1794" s="2">
        <f t="shared" ref="R1794:R1857" ca="1" si="1752">P1794*DebtPct</f>
        <v>22052782.744783152</v>
      </c>
      <c r="S1794" s="2">
        <f t="shared" ref="S1794:S1857" ca="1" si="1753">P1794*EqPct</f>
        <v>14701855.163188769</v>
      </c>
      <c r="T1794" s="2">
        <f t="shared" ref="T1794:T1857" ca="1" si="1754">BaseRev*(1+N1794)</f>
        <v>50638413.663459271</v>
      </c>
      <c r="U1794" s="2">
        <f t="shared" ref="U1794:U1857" ca="1" si="1755">T1794*(1+H1794)</f>
        <v>50392046.473111339</v>
      </c>
      <c r="V1794" s="2">
        <f t="shared" ref="V1794:V1857" ca="1" si="1756">U1794*(1+H1794)</f>
        <v>50146877.91415979</v>
      </c>
      <c r="W1794" s="2">
        <f t="shared" ref="W1794:W1857" ca="1" si="1757">V1794*(1+H1794)</f>
        <v>49902902.15499521</v>
      </c>
      <c r="X1794" s="2">
        <f t="shared" ref="X1794:X1857" ca="1" si="1758">W1794*(1+H1794)</f>
        <v>49660113.39238029</v>
      </c>
      <c r="Y1794" s="2">
        <f t="shared" ref="Y1794:Y1857" ca="1" si="1759">BaseMargin + SynReal_Y1*K1794</f>
        <v>0.12052546617637433</v>
      </c>
      <c r="Z1794" s="2">
        <f t="shared" ref="Z1794:Z1857" ca="1" si="1760">BaseMargin + SynReal_Y2toY5*K1794</f>
        <v>0.12073565264692407</v>
      </c>
      <c r="AA1794" s="2">
        <f t="shared" ref="AA1794:AA1857" ca="1" si="1761">T1794*Y1794</f>
        <v>6103218.4132205117</v>
      </c>
      <c r="AB1794" s="2">
        <f t="shared" ref="AB1794:AB1857" ca="1" si="1762">U1794*Z1794</f>
        <v>6084116.6191452257</v>
      </c>
      <c r="AC1794" s="2">
        <f t="shared" ref="AC1794:AC1857" ca="1" si="1763">V1794*Z1794</f>
        <v>6054516.033171705</v>
      </c>
      <c r="AD1794" s="2">
        <f t="shared" ref="AD1794:AD1857" ca="1" si="1764">W1794*Z1794</f>
        <v>6025059.4606589405</v>
      </c>
      <c r="AE1794" s="2">
        <f t="shared" ref="AE1794:AE1857" ca="1" si="1765">X1794*Z1794</f>
        <v>5995746.2009492889</v>
      </c>
      <c r="AF1794" s="2">
        <f t="shared" ref="AF1794:AF1857" ca="1" si="1766">T1794*CapexPct</f>
        <v>1012768.2732691854</v>
      </c>
      <c r="AG1794" s="2">
        <f t="shared" ref="AG1794:AG1857" ca="1" si="1767">U1794*CapexPct</f>
        <v>1007840.9294622268</v>
      </c>
      <c r="AH1794" s="2">
        <f t="shared" ref="AH1794:AH1857" ca="1" si="1768">V1794*CapexPct</f>
        <v>1002937.5582831958</v>
      </c>
      <c r="AI1794" s="2">
        <f t="shared" ref="AI1794:AI1857" ca="1" si="1769">W1794*CapexPct</f>
        <v>998058.0430999042</v>
      </c>
      <c r="AJ1794" s="2">
        <f t="shared" ref="AJ1794:AJ1857" ca="1" si="1770">X1794*CapexPct</f>
        <v>993202.26784760586</v>
      </c>
      <c r="AK1794" s="2">
        <f t="shared" ref="AK1794:AK1857" ca="1" si="1771">MAX(T1794-BaseRev*(1+N1794),0)*WCPct</f>
        <v>0</v>
      </c>
      <c r="AL1794" s="2">
        <f t="shared" ref="AL1794:AL1857" ca="1" si="1772">MAX(U1794-T1794,0)*WCPct</f>
        <v>0</v>
      </c>
      <c r="AM1794" s="2">
        <f t="shared" ref="AM1794:AM1857" ca="1" si="1773">MAX(V1794-U1794,0)*WCPct</f>
        <v>0</v>
      </c>
      <c r="AN1794" s="2">
        <f t="shared" ref="AN1794:AN1857" ca="1" si="1774">MAX(W1794-V1794,0)*WCPct</f>
        <v>0</v>
      </c>
      <c r="AO1794" s="2">
        <f t="shared" ref="AO1794:AO1857" ca="1" si="1775">MAX(X1794-W1794,0)*WCPct</f>
        <v>0</v>
      </c>
      <c r="AP1794" s="2">
        <f t="shared" ref="AP1794:AP1857" ca="1" si="1776">R1794*DebtRate</f>
        <v>1984750.4470304835</v>
      </c>
      <c r="AQ1794" s="2">
        <f t="shared" ref="AQ1794:AQ1857" ca="1" si="1777">MAX(AA1794-AF1794-AP1794,0)*Tax</f>
        <v>807481.92015941895</v>
      </c>
      <c r="AR1794" s="2">
        <f t="shared" ref="AR1794:AR1857" ca="1" si="1778">MAX(AB1794-AG1794-AP1794,0)*Tax</f>
        <v>803796.56308965397</v>
      </c>
      <c r="AS1794" s="2">
        <f t="shared" ref="AS1794:AS1857" ca="1" si="1779">MAX(AC1794-AH1794-AP1794,0)*Tax</f>
        <v>797375.28724308661</v>
      </c>
      <c r="AT1794" s="2">
        <f t="shared" ref="AT1794:AT1857" ca="1" si="1780">MAX(AD1794-AI1794-AP1794,0)*Tax</f>
        <v>790985.25233742362</v>
      </c>
      <c r="AU1794" s="2">
        <f t="shared" ref="AU1794:AU1857" ca="1" si="1781">MAX(AE1794-AJ1794-AP1794,0)*Tax</f>
        <v>784626.30637851183</v>
      </c>
      <c r="AV1794" s="2">
        <f t="shared" ref="AV1794:AV1857" ca="1" si="1782">AA1794-AF1794-AK1794-AQ1794-AP1794</f>
        <v>2298217.7727614231</v>
      </c>
      <c r="AW1794" s="2">
        <f t="shared" ref="AW1794:AW1857" ca="1" si="1783">AB1794-AG1794-AL1794-AR1794-AP1794</f>
        <v>2287728.6795628611</v>
      </c>
      <c r="AX1794" s="2">
        <f t="shared" ref="AX1794:AX1857" ca="1" si="1784">AC1794-AH1794-AM1794-AS1794-AP1794</f>
        <v>2269452.7406149385</v>
      </c>
      <c r="AY1794" s="2">
        <f t="shared" ref="AY1794:AY1857" ca="1" si="1785">AD1794-AI1794-AN1794-AT1794-AP1794</f>
        <v>2251265.7181911292</v>
      </c>
      <c r="AZ1794" s="2">
        <f t="shared" ref="AZ1794:AZ1857" ca="1" si="1786">AE1794-AJ1794-AO1794-AU1794-AP1794</f>
        <v>2233167.1796926875</v>
      </c>
      <c r="BA1794" s="2">
        <f t="shared" ref="BA1794:BA1857" ca="1" si="1787">AE1794*E1794</f>
        <v>42987670.573867895</v>
      </c>
      <c r="BB1794" s="2">
        <f t="shared" ref="BB1794:BB1857" ca="1" si="1788">BA1794*SellCostPct</f>
        <v>859753.41147735796</v>
      </c>
      <c r="BC1794" s="2">
        <f t="shared" ref="BC1794:BC1857" ca="1" si="1789">BA1794-R1794-BB1794</f>
        <v>20075134.417607386</v>
      </c>
      <c r="BD1794" s="2">
        <f t="shared" ref="BD1794:BD1857" ca="1" si="1790">-S1794-Q1794-IntegrationPct*BaseRev</f>
        <v>-16120721.110888066</v>
      </c>
      <c r="BE1794" s="2">
        <f t="shared" ref="BE1794:BE1857" ca="1" si="1791">AV1794</f>
        <v>2298217.7727614231</v>
      </c>
      <c r="BF1794" s="2">
        <f t="shared" ref="BF1794:BF1857" ca="1" si="1792">AW1794</f>
        <v>2287728.6795628611</v>
      </c>
      <c r="BG1794" s="2">
        <f t="shared" ref="BG1794:BG1857" ca="1" si="1793">AX1794</f>
        <v>2269452.7406149385</v>
      </c>
      <c r="BH1794" s="2">
        <f t="shared" ref="BH1794:BH1857" ca="1" si="1794">AY1794</f>
        <v>2251265.7181911292</v>
      </c>
      <c r="BI1794" s="2">
        <f t="shared" ref="BI1794:BI1857" ca="1" si="1795">AZ1794+BC1794</f>
        <v>22308301.597300075</v>
      </c>
      <c r="BJ1794" s="2">
        <f t="shared" ref="BJ1794:BJ1857" ca="1" si="1796">IF(MIN(BD1794:BI1794)*MAX(BD1794:BI1794)&gt;=0, "", IFERROR(IRR(BD1794:BI1794,0.12), IFERROR(IRR(BD1794:BI1794,0.5), IFERROR(IRR(BD1794:BI1794,-0.5),""))))</f>
        <v>0.1756008616595035</v>
      </c>
      <c r="BK1794" s="2">
        <f t="shared" ref="BK1794:BK1857" ca="1" si="1797">NPV(12%,BE1794:BI1794)+BD1794</f>
        <v>3459423.4693060052</v>
      </c>
    </row>
    <row r="1795" spans="1:63" x14ac:dyDescent="0.3">
      <c r="A1795" s="2">
        <v>1794</v>
      </c>
      <c r="B1795" s="2">
        <f t="shared" ca="1" si="1736"/>
        <v>0.25259209592026222</v>
      </c>
      <c r="C1795" s="2">
        <f t="shared" ca="1" si="1737"/>
        <v>6.7107631052893257</v>
      </c>
      <c r="D1795" s="2">
        <f t="shared" ca="1" si="1738"/>
        <v>0.5313438626288618</v>
      </c>
      <c r="E1795" s="2">
        <f t="shared" ca="1" si="1739"/>
        <v>7.5318511092077438</v>
      </c>
      <c r="F1795" s="2">
        <f t="shared" ca="1" si="1740"/>
        <v>0.88396117851366607</v>
      </c>
      <c r="G1795" s="2">
        <f t="shared" ca="1" si="1741"/>
        <v>7.5850720796329069E-2</v>
      </c>
      <c r="H1795" s="2">
        <f t="shared" ca="1" si="1742"/>
        <v>7.5850720796329069E-2</v>
      </c>
      <c r="I1795" s="2">
        <f t="shared" ca="1" si="1743"/>
        <v>0.79657061016277853</v>
      </c>
      <c r="J1795" s="2">
        <f t="shared" ca="1" si="1744"/>
        <v>1.414717078932673E-2</v>
      </c>
      <c r="K1795" s="2">
        <f t="shared" ca="1" si="1745"/>
        <v>1.414717078932673E-2</v>
      </c>
      <c r="L1795" s="2">
        <f t="shared" ca="1" si="1746"/>
        <v>0.61468499061604864</v>
      </c>
      <c r="M1795" s="2">
        <f t="shared" ca="1" si="1747"/>
        <v>5.8310180625510324E-3</v>
      </c>
      <c r="N1795" s="2">
        <f t="shared" ca="1" si="1748"/>
        <v>5.8310180625510324E-3</v>
      </c>
      <c r="O1795" s="2">
        <f t="shared" si="1749"/>
        <v>6000000</v>
      </c>
      <c r="P1795" s="2">
        <f t="shared" ca="1" si="1750"/>
        <v>40264578.631735951</v>
      </c>
      <c r="Q1795" s="2">
        <f t="shared" ca="1" si="1751"/>
        <v>1006614.4657933988</v>
      </c>
      <c r="R1795" s="2">
        <f t="shared" ca="1" si="1752"/>
        <v>24158747.179041568</v>
      </c>
      <c r="S1795" s="2">
        <f t="shared" ca="1" si="1753"/>
        <v>16105831.452694381</v>
      </c>
      <c r="T1795" s="2">
        <f t="shared" ca="1" si="1754"/>
        <v>50291550.903127544</v>
      </c>
      <c r="U1795" s="2">
        <f t="shared" ca="1" si="1755"/>
        <v>54106201.289095044</v>
      </c>
      <c r="V1795" s="2">
        <f t="shared" ca="1" si="1756"/>
        <v>58210195.656424172</v>
      </c>
      <c r="W1795" s="2">
        <f t="shared" ca="1" si="1757"/>
        <v>62625480.954659291</v>
      </c>
      <c r="X1795" s="2">
        <f t="shared" ca="1" si="1758"/>
        <v>67375668.82528697</v>
      </c>
      <c r="Y1795" s="2">
        <f t="shared" ca="1" si="1759"/>
        <v>0.12707358539466335</v>
      </c>
      <c r="Z1795" s="2">
        <f t="shared" ca="1" si="1760"/>
        <v>0.1299030195525287</v>
      </c>
      <c r="AA1795" s="2">
        <f t="shared" ca="1" si="1761"/>
        <v>6390727.6883186363</v>
      </c>
      <c r="AB1795" s="2">
        <f t="shared" ca="1" si="1762"/>
        <v>7028558.9239703668</v>
      </c>
      <c r="AC1795" s="2">
        <f t="shared" ca="1" si="1763"/>
        <v>7561680.1845129905</v>
      </c>
      <c r="AD1795" s="2">
        <f t="shared" ca="1" si="1764"/>
        <v>8135239.0769396191</v>
      </c>
      <c r="AE1795" s="2">
        <f t="shared" ca="1" si="1765"/>
        <v>8752302.824775951</v>
      </c>
      <c r="AF1795" s="2">
        <f t="shared" ca="1" si="1766"/>
        <v>1005831.0180625509</v>
      </c>
      <c r="AG1795" s="2">
        <f t="shared" ca="1" si="1767"/>
        <v>1082124.0257819009</v>
      </c>
      <c r="AH1795" s="2">
        <f t="shared" ca="1" si="1768"/>
        <v>1164203.9131284836</v>
      </c>
      <c r="AI1795" s="2">
        <f t="shared" ca="1" si="1769"/>
        <v>1252509.6190931858</v>
      </c>
      <c r="AJ1795" s="2">
        <f t="shared" ca="1" si="1770"/>
        <v>1347513.3765057395</v>
      </c>
      <c r="AK1795" s="2">
        <f t="shared" ca="1" si="1771"/>
        <v>0</v>
      </c>
      <c r="AL1795" s="2">
        <f t="shared" ca="1" si="1772"/>
        <v>38146.503859675009</v>
      </c>
      <c r="AM1795" s="2">
        <f t="shared" ca="1" si="1773"/>
        <v>41039.94367329128</v>
      </c>
      <c r="AN1795" s="2">
        <f t="shared" ca="1" si="1774"/>
        <v>44152.852982351185</v>
      </c>
      <c r="AO1795" s="2">
        <f t="shared" ca="1" si="1775"/>
        <v>47501.878706276788</v>
      </c>
      <c r="AP1795" s="2">
        <f t="shared" ca="1" si="1776"/>
        <v>2174287.2461137408</v>
      </c>
      <c r="AQ1795" s="2">
        <f t="shared" ca="1" si="1777"/>
        <v>834758.45027700975</v>
      </c>
      <c r="AR1795" s="2">
        <f t="shared" ca="1" si="1778"/>
        <v>980758.38953942864</v>
      </c>
      <c r="AS1795" s="2">
        <f t="shared" ca="1" si="1779"/>
        <v>1098029.1465703994</v>
      </c>
      <c r="AT1795" s="2">
        <f t="shared" ca="1" si="1780"/>
        <v>1224194.9750504999</v>
      </c>
      <c r="AU1795" s="2">
        <f t="shared" ca="1" si="1781"/>
        <v>1359930.5725606822</v>
      </c>
      <c r="AV1795" s="2">
        <f t="shared" ca="1" si="1782"/>
        <v>2375850.9738653349</v>
      </c>
      <c r="AW1795" s="2">
        <f t="shared" ca="1" si="1783"/>
        <v>2753242.7586756218</v>
      </c>
      <c r="AX1795" s="2">
        <f t="shared" ca="1" si="1784"/>
        <v>3084119.9350270759</v>
      </c>
      <c r="AY1795" s="2">
        <f t="shared" ca="1" si="1785"/>
        <v>3440094.3836998409</v>
      </c>
      <c r="AZ1795" s="2">
        <f t="shared" ca="1" si="1786"/>
        <v>3823069.7508895118</v>
      </c>
      <c r="BA1795" s="2">
        <f t="shared" ca="1" si="1787"/>
        <v>65921041.738910817</v>
      </c>
      <c r="BB1795" s="2">
        <f t="shared" ca="1" si="1788"/>
        <v>1318420.8347782164</v>
      </c>
      <c r="BC1795" s="2">
        <f t="shared" ca="1" si="1789"/>
        <v>40443873.725091025</v>
      </c>
      <c r="BD1795" s="2">
        <f t="shared" ca="1" si="1790"/>
        <v>-17612445.91848778</v>
      </c>
      <c r="BE1795" s="2">
        <f t="shared" ca="1" si="1791"/>
        <v>2375850.9738653349</v>
      </c>
      <c r="BF1795" s="2">
        <f t="shared" ca="1" si="1792"/>
        <v>2753242.7586756218</v>
      </c>
      <c r="BG1795" s="2">
        <f t="shared" ca="1" si="1793"/>
        <v>3084119.9350270759</v>
      </c>
      <c r="BH1795" s="2">
        <f t="shared" ca="1" si="1794"/>
        <v>3440094.3836998409</v>
      </c>
      <c r="BI1795" s="2">
        <f t="shared" ca="1" si="1795"/>
        <v>44266943.475980535</v>
      </c>
      <c r="BJ1795" s="2">
        <f t="shared" ca="1" si="1796"/>
        <v>0.30670609595431508</v>
      </c>
      <c r="BK1795" s="2">
        <f t="shared" ca="1" si="1797"/>
        <v>16203428.237268493</v>
      </c>
    </row>
    <row r="1796" spans="1:63" x14ac:dyDescent="0.3">
      <c r="A1796" s="2">
        <v>1795</v>
      </c>
      <c r="B1796" s="2">
        <f t="shared" ca="1" si="1736"/>
        <v>0.25424292024125472</v>
      </c>
      <c r="C1796" s="2">
        <f t="shared" ca="1" si="1737"/>
        <v>6.7130819311148677</v>
      </c>
      <c r="D1796" s="2">
        <f t="shared" ca="1" si="1738"/>
        <v>0.3777254208006231</v>
      </c>
      <c r="E1796" s="2">
        <f t="shared" ca="1" si="1739"/>
        <v>7.3691667513206234</v>
      </c>
      <c r="F1796" s="2">
        <f t="shared" ca="1" si="1740"/>
        <v>0.61154304436979878</v>
      </c>
      <c r="G1796" s="2">
        <f t="shared" ca="1" si="1741"/>
        <v>4.85002902634811E-2</v>
      </c>
      <c r="H1796" s="2">
        <f t="shared" ca="1" si="1742"/>
        <v>4.85002902634811E-2</v>
      </c>
      <c r="I1796" s="2">
        <f t="shared" ca="1" si="1743"/>
        <v>0.4204437472070961</v>
      </c>
      <c r="J1796" s="2">
        <f t="shared" ca="1" si="1744"/>
        <v>8.9962080115912439E-3</v>
      </c>
      <c r="K1796" s="2">
        <f t="shared" ca="1" si="1745"/>
        <v>8.9962080115912439E-3</v>
      </c>
      <c r="L1796" s="2">
        <f t="shared" ca="1" si="1746"/>
        <v>9.8779245998134813E-2</v>
      </c>
      <c r="M1796" s="2">
        <f t="shared" ca="1" si="1747"/>
        <v>-2.5770774825957483E-2</v>
      </c>
      <c r="N1796" s="2">
        <f t="shared" ca="1" si="1748"/>
        <v>-2.5770774825957483E-2</v>
      </c>
      <c r="O1796" s="2">
        <f t="shared" si="1749"/>
        <v>6000000</v>
      </c>
      <c r="P1796" s="2">
        <f t="shared" ca="1" si="1750"/>
        <v>40278491.586689204</v>
      </c>
      <c r="Q1796" s="2">
        <f t="shared" ca="1" si="1751"/>
        <v>1006962.2896672301</v>
      </c>
      <c r="R1796" s="2">
        <f t="shared" ca="1" si="1752"/>
        <v>24167094.952013522</v>
      </c>
      <c r="S1796" s="2">
        <f t="shared" ca="1" si="1753"/>
        <v>16111396.634675682</v>
      </c>
      <c r="T1796" s="2">
        <f t="shared" ca="1" si="1754"/>
        <v>48711461.258702129</v>
      </c>
      <c r="U1796" s="2">
        <f t="shared" ca="1" si="1755"/>
        <v>51073981.268907495</v>
      </c>
      <c r="V1796" s="2">
        <f t="shared" ca="1" si="1756"/>
        <v>53551084.185361102</v>
      </c>
      <c r="W1796" s="2">
        <f t="shared" ca="1" si="1757"/>
        <v>56148327.312275223</v>
      </c>
      <c r="X1796" s="2">
        <f t="shared" ca="1" si="1758"/>
        <v>58871537.484729514</v>
      </c>
      <c r="Y1796" s="2">
        <f t="shared" ca="1" si="1759"/>
        <v>0.12449810400579561</v>
      </c>
      <c r="Z1796" s="2">
        <f t="shared" ca="1" si="1760"/>
        <v>0.12629734560811387</v>
      </c>
      <c r="AA1796" s="2">
        <f t="shared" ca="1" si="1761"/>
        <v>6064484.5700601814</v>
      </c>
      <c r="AB1796" s="2">
        <f t="shared" ca="1" si="1762"/>
        <v>6450508.2639015438</v>
      </c>
      <c r="AC1796" s="2">
        <f t="shared" ca="1" si="1763"/>
        <v>6763359.7870477522</v>
      </c>
      <c r="AD1796" s="2">
        <f t="shared" ca="1" si="1764"/>
        <v>7091384.6998759229</v>
      </c>
      <c r="AE1796" s="2">
        <f t="shared" ca="1" si="1765"/>
        <v>7435318.9161899136</v>
      </c>
      <c r="AF1796" s="2">
        <f t="shared" ca="1" si="1766"/>
        <v>974229.22517404263</v>
      </c>
      <c r="AG1796" s="2">
        <f t="shared" ca="1" si="1767"/>
        <v>1021479.6253781499</v>
      </c>
      <c r="AH1796" s="2">
        <f t="shared" ca="1" si="1768"/>
        <v>1071021.6837072221</v>
      </c>
      <c r="AI1796" s="2">
        <f t="shared" ca="1" si="1769"/>
        <v>1122966.5462455044</v>
      </c>
      <c r="AJ1796" s="2">
        <f t="shared" ca="1" si="1770"/>
        <v>1177430.7496945902</v>
      </c>
      <c r="AK1796" s="2">
        <f t="shared" ca="1" si="1771"/>
        <v>0</v>
      </c>
      <c r="AL1796" s="2">
        <f t="shared" ca="1" si="1772"/>
        <v>23625.200102053659</v>
      </c>
      <c r="AM1796" s="2">
        <f t="shared" ca="1" si="1773"/>
        <v>24771.029164536074</v>
      </c>
      <c r="AN1796" s="2">
        <f t="shared" ca="1" si="1774"/>
        <v>25972.431269141212</v>
      </c>
      <c r="AO1796" s="2">
        <f t="shared" ca="1" si="1775"/>
        <v>27232.101724542903</v>
      </c>
      <c r="AP1796" s="2">
        <f t="shared" ca="1" si="1776"/>
        <v>2175038.5456812168</v>
      </c>
      <c r="AQ1796" s="2">
        <f t="shared" ca="1" si="1777"/>
        <v>757956.36779327982</v>
      </c>
      <c r="AR1796" s="2">
        <f t="shared" ca="1" si="1778"/>
        <v>846037.42413896613</v>
      </c>
      <c r="AS1796" s="2">
        <f t="shared" ca="1" si="1779"/>
        <v>914497.88499142148</v>
      </c>
      <c r="AT1796" s="2">
        <f t="shared" ca="1" si="1780"/>
        <v>986278.69806679257</v>
      </c>
      <c r="AU1796" s="2">
        <f t="shared" ca="1" si="1781"/>
        <v>1061540.9014116677</v>
      </c>
      <c r="AV1796" s="2">
        <f t="shared" ca="1" si="1782"/>
        <v>2157260.4314116426</v>
      </c>
      <c r="AW1796" s="2">
        <f t="shared" ca="1" si="1783"/>
        <v>2384327.4686011579</v>
      </c>
      <c r="AX1796" s="2">
        <f t="shared" ca="1" si="1784"/>
        <v>2578030.6435033558</v>
      </c>
      <c r="AY1796" s="2">
        <f t="shared" ca="1" si="1785"/>
        <v>2781128.4786132686</v>
      </c>
      <c r="AZ1796" s="2">
        <f t="shared" ca="1" si="1786"/>
        <v>2994076.6176778963</v>
      </c>
      <c r="BA1796" s="2">
        <f t="shared" ca="1" si="1787"/>
        <v>54792104.942652002</v>
      </c>
      <c r="BB1796" s="2">
        <f t="shared" ca="1" si="1788"/>
        <v>1095842.09885304</v>
      </c>
      <c r="BC1796" s="2">
        <f t="shared" ca="1" si="1789"/>
        <v>29529167.891785439</v>
      </c>
      <c r="BD1796" s="2">
        <f t="shared" ca="1" si="1790"/>
        <v>-17618358.924342912</v>
      </c>
      <c r="BE1796" s="2">
        <f t="shared" ca="1" si="1791"/>
        <v>2157260.4314116426</v>
      </c>
      <c r="BF1796" s="2">
        <f t="shared" ca="1" si="1792"/>
        <v>2384327.4686011579</v>
      </c>
      <c r="BG1796" s="2">
        <f t="shared" ca="1" si="1793"/>
        <v>2578030.6435033558</v>
      </c>
      <c r="BH1796" s="2">
        <f t="shared" ca="1" si="1794"/>
        <v>2781128.4786132686</v>
      </c>
      <c r="BI1796" s="2">
        <f t="shared" ca="1" si="1795"/>
        <v>32523244.509463336</v>
      </c>
      <c r="BJ1796" s="2">
        <f t="shared" ca="1" si="1796"/>
        <v>0.22768321737251096</v>
      </c>
      <c r="BK1796" s="2">
        <f t="shared" ca="1" si="1797"/>
        <v>8265548.8074922375</v>
      </c>
    </row>
    <row r="1797" spans="1:63" x14ac:dyDescent="0.3">
      <c r="A1797" s="2">
        <v>1796</v>
      </c>
      <c r="B1797" s="2">
        <f t="shared" ca="1" si="1736"/>
        <v>0.63984089175982539</v>
      </c>
      <c r="C1797" s="2">
        <f t="shared" ca="1" si="1737"/>
        <v>7.1512843724307009</v>
      </c>
      <c r="D1797" s="2">
        <f t="shared" ca="1" si="1738"/>
        <v>0.88851887451219824</v>
      </c>
      <c r="E1797" s="2">
        <f t="shared" ca="1" si="1739"/>
        <v>8.0278112125689525</v>
      </c>
      <c r="F1797" s="2">
        <f t="shared" ca="1" si="1740"/>
        <v>0.66654269890428297</v>
      </c>
      <c r="G1797" s="2">
        <f t="shared" ca="1" si="1741"/>
        <v>5.2911591360062106E-2</v>
      </c>
      <c r="H1797" s="2">
        <f t="shared" ca="1" si="1742"/>
        <v>5.2911591360062106E-2</v>
      </c>
      <c r="I1797" s="2">
        <f t="shared" ca="1" si="1743"/>
        <v>3.6789960094823604E-2</v>
      </c>
      <c r="J1797" s="2">
        <f t="shared" ca="1" si="1744"/>
        <v>1.0539164070063126E-3</v>
      </c>
      <c r="K1797" s="2">
        <f t="shared" ca="1" si="1745"/>
        <v>1.0539164070063126E-3</v>
      </c>
      <c r="L1797" s="2">
        <f t="shared" ca="1" si="1746"/>
        <v>0.97044033179497191</v>
      </c>
      <c r="M1797" s="2">
        <f t="shared" ca="1" si="1747"/>
        <v>3.7746096714763228E-2</v>
      </c>
      <c r="N1797" s="2">
        <f t="shared" ca="1" si="1748"/>
        <v>3.7746096714763228E-2</v>
      </c>
      <c r="O1797" s="2">
        <f t="shared" si="1749"/>
        <v>6000000</v>
      </c>
      <c r="P1797" s="2">
        <f t="shared" ca="1" si="1750"/>
        <v>42907706.234584205</v>
      </c>
      <c r="Q1797" s="2">
        <f t="shared" ca="1" si="1751"/>
        <v>1072692.6558646052</v>
      </c>
      <c r="R1797" s="2">
        <f t="shared" ca="1" si="1752"/>
        <v>25744623.740750521</v>
      </c>
      <c r="S1797" s="2">
        <f t="shared" ca="1" si="1753"/>
        <v>17163082.493833683</v>
      </c>
      <c r="T1797" s="2">
        <f t="shared" ca="1" si="1754"/>
        <v>51887304.83573816</v>
      </c>
      <c r="U1797" s="2">
        <f t="shared" ca="1" si="1755"/>
        <v>54632744.705981717</v>
      </c>
      <c r="V1797" s="2">
        <f t="shared" ca="1" si="1756"/>
        <v>57523450.168743223</v>
      </c>
      <c r="W1797" s="2">
        <f t="shared" ca="1" si="1757"/>
        <v>60567107.457692668</v>
      </c>
      <c r="X1797" s="2">
        <f t="shared" ca="1" si="1758"/>
        <v>63771809.497355074</v>
      </c>
      <c r="Y1797" s="2">
        <f t="shared" ca="1" si="1759"/>
        <v>0.12052695820350315</v>
      </c>
      <c r="Z1797" s="2">
        <f t="shared" ca="1" si="1760"/>
        <v>0.12073774148490442</v>
      </c>
      <c r="AA1797" s="2">
        <f t="shared" ca="1" si="1761"/>
        <v>6253819.0212294403</v>
      </c>
      <c r="AB1797" s="2">
        <f t="shared" ca="1" si="1762"/>
        <v>6596234.2069216007</v>
      </c>
      <c r="AC1797" s="2">
        <f t="shared" ca="1" si="1763"/>
        <v>6945251.4557935009</v>
      </c>
      <c r="AD1797" s="2">
        <f t="shared" ca="1" si="1764"/>
        <v>7312735.7627153238</v>
      </c>
      <c r="AE1797" s="2">
        <f t="shared" ca="1" si="1765"/>
        <v>7699664.2491162289</v>
      </c>
      <c r="AF1797" s="2">
        <f t="shared" ca="1" si="1766"/>
        <v>1037746.0967147632</v>
      </c>
      <c r="AG1797" s="2">
        <f t="shared" ca="1" si="1767"/>
        <v>1092654.8941196343</v>
      </c>
      <c r="AH1797" s="2">
        <f t="shared" ca="1" si="1768"/>
        <v>1150469.0033748646</v>
      </c>
      <c r="AI1797" s="2">
        <f t="shared" ca="1" si="1769"/>
        <v>1211342.1491538533</v>
      </c>
      <c r="AJ1797" s="2">
        <f t="shared" ca="1" si="1770"/>
        <v>1275436.1899471015</v>
      </c>
      <c r="AK1797" s="2">
        <f t="shared" ca="1" si="1771"/>
        <v>0</v>
      </c>
      <c r="AL1797" s="2">
        <f t="shared" ca="1" si="1772"/>
        <v>27454.39870243557</v>
      </c>
      <c r="AM1797" s="2">
        <f t="shared" ca="1" si="1773"/>
        <v>28907.054627615064</v>
      </c>
      <c r="AN1797" s="2">
        <f t="shared" ca="1" si="1774"/>
        <v>30436.572889494448</v>
      </c>
      <c r="AO1797" s="2">
        <f t="shared" ca="1" si="1775"/>
        <v>32047.020396624059</v>
      </c>
      <c r="AP1797" s="2">
        <f t="shared" ca="1" si="1776"/>
        <v>2317016.1366675468</v>
      </c>
      <c r="AQ1797" s="2">
        <f t="shared" ca="1" si="1777"/>
        <v>753754.76484025398</v>
      </c>
      <c r="AR1797" s="2">
        <f t="shared" ca="1" si="1778"/>
        <v>828506.42579494917</v>
      </c>
      <c r="AS1797" s="2">
        <f t="shared" ca="1" si="1779"/>
        <v>904219.24209528335</v>
      </c>
      <c r="AT1797" s="2">
        <f t="shared" ca="1" si="1780"/>
        <v>983938.14399242005</v>
      </c>
      <c r="AU1797" s="2">
        <f t="shared" ca="1" si="1781"/>
        <v>1067875.0998504111</v>
      </c>
      <c r="AV1797" s="2">
        <f t="shared" ca="1" si="1782"/>
        <v>2145302.0230068769</v>
      </c>
      <c r="AW1797" s="2">
        <f t="shared" ca="1" si="1783"/>
        <v>2330602.3516370356</v>
      </c>
      <c r="AX1797" s="2">
        <f t="shared" ca="1" si="1784"/>
        <v>2544640.0190281915</v>
      </c>
      <c r="AY1797" s="2">
        <f t="shared" ca="1" si="1785"/>
        <v>2770002.7600120082</v>
      </c>
      <c r="AZ1797" s="2">
        <f t="shared" ca="1" si="1786"/>
        <v>3007289.8022545455</v>
      </c>
      <c r="BA1797" s="2">
        <f t="shared" ca="1" si="1787"/>
        <v>61811450.992071569</v>
      </c>
      <c r="BB1797" s="2">
        <f t="shared" ca="1" si="1788"/>
        <v>1236229.0198414314</v>
      </c>
      <c r="BC1797" s="2">
        <f t="shared" ca="1" si="1789"/>
        <v>34830598.231479615</v>
      </c>
      <c r="BD1797" s="2">
        <f t="shared" ca="1" si="1790"/>
        <v>-18735775.149698287</v>
      </c>
      <c r="BE1797" s="2">
        <f t="shared" ca="1" si="1791"/>
        <v>2145302.0230068769</v>
      </c>
      <c r="BF1797" s="2">
        <f t="shared" ca="1" si="1792"/>
        <v>2330602.3516370356</v>
      </c>
      <c r="BG1797" s="2">
        <f t="shared" ca="1" si="1793"/>
        <v>2544640.0190281915</v>
      </c>
      <c r="BH1797" s="2">
        <f t="shared" ca="1" si="1794"/>
        <v>2770002.7600120082</v>
      </c>
      <c r="BI1797" s="2">
        <f t="shared" ca="1" si="1795"/>
        <v>37837888.033734158</v>
      </c>
      <c r="BJ1797" s="2">
        <f t="shared" ca="1" si="1796"/>
        <v>0.238780861142734</v>
      </c>
      <c r="BK1797" s="2">
        <f t="shared" ca="1" si="1797"/>
        <v>10079460.179433234</v>
      </c>
    </row>
    <row r="1798" spans="1:63" x14ac:dyDescent="0.3">
      <c r="A1798" s="2">
        <v>1797</v>
      </c>
      <c r="B1798" s="2">
        <f t="shared" ca="1" si="1736"/>
        <v>0.58486917456448229</v>
      </c>
      <c r="C1798" s="2">
        <f t="shared" ca="1" si="1737"/>
        <v>7.0888130538297665</v>
      </c>
      <c r="D1798" s="2">
        <f t="shared" ca="1" si="1738"/>
        <v>0.52541084292561269</v>
      </c>
      <c r="E1798" s="2">
        <f t="shared" ca="1" si="1739"/>
        <v>7.5257421726520359</v>
      </c>
      <c r="F1798" s="2">
        <f t="shared" ca="1" si="1740"/>
        <v>0.49989051160193931</v>
      </c>
      <c r="G1798" s="2">
        <f t="shared" ca="1" si="1741"/>
        <v>3.9991766598466955E-2</v>
      </c>
      <c r="H1798" s="2">
        <f t="shared" ca="1" si="1742"/>
        <v>3.9991766598466955E-2</v>
      </c>
      <c r="I1798" s="2">
        <f t="shared" ca="1" si="1743"/>
        <v>0.29200733285428382</v>
      </c>
      <c r="J1798" s="2">
        <f t="shared" ca="1" si="1744"/>
        <v>7.2623499995981607E-3</v>
      </c>
      <c r="K1798" s="2">
        <f t="shared" ca="1" si="1745"/>
        <v>7.2623499995981607E-3</v>
      </c>
      <c r="L1798" s="2">
        <f t="shared" ca="1" si="1746"/>
        <v>0.96065272109491995</v>
      </c>
      <c r="M1798" s="2">
        <f t="shared" ca="1" si="1747"/>
        <v>3.5166225791361402E-2</v>
      </c>
      <c r="N1798" s="2">
        <f t="shared" ca="1" si="1748"/>
        <v>3.5166225791361402E-2</v>
      </c>
      <c r="O1798" s="2">
        <f t="shared" si="1749"/>
        <v>6000000</v>
      </c>
      <c r="P1798" s="2">
        <f t="shared" ca="1" si="1750"/>
        <v>42532878.322978601</v>
      </c>
      <c r="Q1798" s="2">
        <f t="shared" ca="1" si="1751"/>
        <v>1063321.9580744652</v>
      </c>
      <c r="R1798" s="2">
        <f t="shared" ca="1" si="1752"/>
        <v>25519726.993787158</v>
      </c>
      <c r="S1798" s="2">
        <f t="shared" ca="1" si="1753"/>
        <v>17013151.329191443</v>
      </c>
      <c r="T1798" s="2">
        <f t="shared" ca="1" si="1754"/>
        <v>51758311.289568074</v>
      </c>
      <c r="U1798" s="2">
        <f t="shared" ca="1" si="1755"/>
        <v>53828217.594191283</v>
      </c>
      <c r="V1798" s="2">
        <f t="shared" ca="1" si="1756"/>
        <v>55980903.108629681</v>
      </c>
      <c r="W1798" s="2">
        <f t="shared" ca="1" si="1757"/>
        <v>58219678.319721401</v>
      </c>
      <c r="X1798" s="2">
        <f t="shared" ca="1" si="1758"/>
        <v>60547986.106521532</v>
      </c>
      <c r="Y1798" s="2">
        <f t="shared" ca="1" si="1759"/>
        <v>0.12363117499979907</v>
      </c>
      <c r="Z1798" s="2">
        <f t="shared" ca="1" si="1760"/>
        <v>0.12508364499971872</v>
      </c>
      <c r="AA1798" s="2">
        <f t="shared" ca="1" si="1761"/>
        <v>6398940.8407346662</v>
      </c>
      <c r="AB1798" s="2">
        <f t="shared" ca="1" si="1762"/>
        <v>6733029.660519436</v>
      </c>
      <c r="AC1798" s="2">
        <f t="shared" ca="1" si="1763"/>
        <v>7002295.411203485</v>
      </c>
      <c r="AD1798" s="2">
        <f t="shared" ca="1" si="1764"/>
        <v>7282329.5749418521</v>
      </c>
      <c r="AE1798" s="2">
        <f t="shared" ca="1" si="1765"/>
        <v>7573562.7995960405</v>
      </c>
      <c r="AF1798" s="2">
        <f t="shared" ca="1" si="1766"/>
        <v>1035166.2257913615</v>
      </c>
      <c r="AG1798" s="2">
        <f t="shared" ca="1" si="1767"/>
        <v>1076564.3518838256</v>
      </c>
      <c r="AH1798" s="2">
        <f t="shared" ca="1" si="1768"/>
        <v>1119618.0621725935</v>
      </c>
      <c r="AI1798" s="2">
        <f t="shared" ca="1" si="1769"/>
        <v>1164393.566394428</v>
      </c>
      <c r="AJ1798" s="2">
        <f t="shared" ca="1" si="1770"/>
        <v>1210959.7221304306</v>
      </c>
      <c r="AK1798" s="2">
        <f t="shared" ca="1" si="1771"/>
        <v>0</v>
      </c>
      <c r="AL1798" s="2">
        <f t="shared" ca="1" si="1772"/>
        <v>20699.063046232091</v>
      </c>
      <c r="AM1798" s="2">
        <f t="shared" ca="1" si="1773"/>
        <v>21526.855144383982</v>
      </c>
      <c r="AN1798" s="2">
        <f t="shared" ca="1" si="1774"/>
        <v>22387.752110917198</v>
      </c>
      <c r="AO1798" s="2">
        <f t="shared" ca="1" si="1775"/>
        <v>23283.077868001314</v>
      </c>
      <c r="AP1798" s="2">
        <f t="shared" ca="1" si="1776"/>
        <v>2296775.4294408443</v>
      </c>
      <c r="AQ1798" s="2">
        <f t="shared" ca="1" si="1777"/>
        <v>797419.78823063977</v>
      </c>
      <c r="AR1798" s="2">
        <f t="shared" ca="1" si="1778"/>
        <v>873519.36859063909</v>
      </c>
      <c r="AS1798" s="2">
        <f t="shared" ca="1" si="1779"/>
        <v>932334.49909341231</v>
      </c>
      <c r="AT1798" s="2">
        <f t="shared" ca="1" si="1780"/>
        <v>993501.75056771084</v>
      </c>
      <c r="AU1798" s="2">
        <f t="shared" ca="1" si="1781"/>
        <v>1057115.1884864389</v>
      </c>
      <c r="AV1798" s="2">
        <f t="shared" ca="1" si="1782"/>
        <v>2269579.3972718208</v>
      </c>
      <c r="AW1798" s="2">
        <f t="shared" ca="1" si="1783"/>
        <v>2465471.447557895</v>
      </c>
      <c r="AX1798" s="2">
        <f t="shared" ca="1" si="1784"/>
        <v>2632040.5653522504</v>
      </c>
      <c r="AY1798" s="2">
        <f t="shared" ca="1" si="1785"/>
        <v>2805271.0764279519</v>
      </c>
      <c r="AZ1798" s="2">
        <f t="shared" ca="1" si="1786"/>
        <v>2985429.3816703246</v>
      </c>
      <c r="BA1798" s="2">
        <f t="shared" ca="1" si="1787"/>
        <v>56996680.958148539</v>
      </c>
      <c r="BB1798" s="2">
        <f t="shared" ca="1" si="1788"/>
        <v>1139933.6191629709</v>
      </c>
      <c r="BC1798" s="2">
        <f t="shared" ca="1" si="1789"/>
        <v>30337020.345198411</v>
      </c>
      <c r="BD1798" s="2">
        <f t="shared" ca="1" si="1790"/>
        <v>-18576473.287265908</v>
      </c>
      <c r="BE1798" s="2">
        <f t="shared" ca="1" si="1791"/>
        <v>2269579.3972718208</v>
      </c>
      <c r="BF1798" s="2">
        <f t="shared" ca="1" si="1792"/>
        <v>2465471.447557895</v>
      </c>
      <c r="BG1798" s="2">
        <f t="shared" ca="1" si="1793"/>
        <v>2632040.5653522504</v>
      </c>
      <c r="BH1798" s="2">
        <f t="shared" ca="1" si="1794"/>
        <v>2805271.0764279519</v>
      </c>
      <c r="BI1798" s="2">
        <f t="shared" ca="1" si="1795"/>
        <v>33322449.726868737</v>
      </c>
      <c r="BJ1798" s="2">
        <f t="shared" ca="1" si="1796"/>
        <v>0.21976577716863388</v>
      </c>
      <c r="BK1798" s="2">
        <f t="shared" ca="1" si="1797"/>
        <v>7979683.4752553925</v>
      </c>
    </row>
    <row r="1799" spans="1:63" x14ac:dyDescent="0.3">
      <c r="A1799" s="2">
        <v>1798</v>
      </c>
      <c r="B1799" s="2">
        <f t="shared" ca="1" si="1736"/>
        <v>0.80907409395414431</v>
      </c>
      <c r="C1799" s="2">
        <f t="shared" ca="1" si="1737"/>
        <v>7.3820584072165794</v>
      </c>
      <c r="D1799" s="2">
        <f t="shared" ca="1" si="1738"/>
        <v>0.29222889992223799</v>
      </c>
      <c r="E1799" s="2">
        <f t="shared" ca="1" si="1739"/>
        <v>7.2644983975421242</v>
      </c>
      <c r="F1799" s="2">
        <f t="shared" ca="1" si="1740"/>
        <v>0.38193850812284347</v>
      </c>
      <c r="G1799" s="2">
        <f t="shared" ca="1" si="1741"/>
        <v>3.0988194807685894E-2</v>
      </c>
      <c r="H1799" s="2">
        <f t="shared" ca="1" si="1742"/>
        <v>3.0988194807685894E-2</v>
      </c>
      <c r="I1799" s="2">
        <f t="shared" ca="1" si="1743"/>
        <v>0.49001289022059569</v>
      </c>
      <c r="J1799" s="2">
        <f t="shared" ca="1" si="1744"/>
        <v>9.8748170643706557E-3</v>
      </c>
      <c r="K1799" s="2">
        <f t="shared" ca="1" si="1745"/>
        <v>9.8748170643706557E-3</v>
      </c>
      <c r="L1799" s="2">
        <f t="shared" ca="1" si="1746"/>
        <v>0.94198104625288037</v>
      </c>
      <c r="M1799" s="2">
        <f t="shared" ca="1" si="1747"/>
        <v>3.1432468763172121E-2</v>
      </c>
      <c r="N1799" s="2">
        <f t="shared" ca="1" si="1748"/>
        <v>3.1432468763172121E-2</v>
      </c>
      <c r="O1799" s="2">
        <f t="shared" si="1749"/>
        <v>6000000</v>
      </c>
      <c r="P1799" s="2">
        <f t="shared" ca="1" si="1750"/>
        <v>44292350.44329948</v>
      </c>
      <c r="Q1799" s="2">
        <f t="shared" ca="1" si="1751"/>
        <v>1107308.7610824869</v>
      </c>
      <c r="R1799" s="2">
        <f t="shared" ca="1" si="1752"/>
        <v>26575410.265979689</v>
      </c>
      <c r="S1799" s="2">
        <f t="shared" ca="1" si="1753"/>
        <v>17716940.177319791</v>
      </c>
      <c r="T1799" s="2">
        <f t="shared" ca="1" si="1754"/>
        <v>51571623.438158609</v>
      </c>
      <c r="U1799" s="2">
        <f t="shared" ca="1" si="1755"/>
        <v>53169734.951808892</v>
      </c>
      <c r="V1799" s="2">
        <f t="shared" ca="1" si="1756"/>
        <v>54817369.056368575</v>
      </c>
      <c r="W1799" s="2">
        <f t="shared" ca="1" si="1757"/>
        <v>56516060.367532142</v>
      </c>
      <c r="X1799" s="2">
        <f t="shared" ca="1" si="1758"/>
        <v>58267391.055964172</v>
      </c>
      <c r="Y1799" s="2">
        <f t="shared" ca="1" si="1759"/>
        <v>0.12493740853218532</v>
      </c>
      <c r="Z1799" s="2">
        <f t="shared" ca="1" si="1760"/>
        <v>0.12691237194505944</v>
      </c>
      <c r="AA1799" s="2">
        <f t="shared" ca="1" si="1761"/>
        <v>6443224.986161246</v>
      </c>
      <c r="AB1799" s="2">
        <f t="shared" ca="1" si="1762"/>
        <v>6747897.1784241972</v>
      </c>
      <c r="AC1799" s="2">
        <f t="shared" ca="1" si="1763"/>
        <v>6957002.3307314403</v>
      </c>
      <c r="AD1799" s="2">
        <f t="shared" ca="1" si="1764"/>
        <v>7172587.2742336718</v>
      </c>
      <c r="AE1799" s="2">
        <f t="shared" ca="1" si="1765"/>
        <v>7394852.8059627553</v>
      </c>
      <c r="AF1799" s="2">
        <f t="shared" ca="1" si="1766"/>
        <v>1031432.4687631722</v>
      </c>
      <c r="AG1799" s="2">
        <f t="shared" ca="1" si="1767"/>
        <v>1063394.6990361779</v>
      </c>
      <c r="AH1799" s="2">
        <f t="shared" ca="1" si="1768"/>
        <v>1096347.3811273715</v>
      </c>
      <c r="AI1799" s="2">
        <f t="shared" ca="1" si="1769"/>
        <v>1130321.2073506429</v>
      </c>
      <c r="AJ1799" s="2">
        <f t="shared" ca="1" si="1770"/>
        <v>1165347.8211192836</v>
      </c>
      <c r="AK1799" s="2">
        <f t="shared" ca="1" si="1771"/>
        <v>0</v>
      </c>
      <c r="AL1799" s="2">
        <f t="shared" ca="1" si="1772"/>
        <v>15981.115136502833</v>
      </c>
      <c r="AM1799" s="2">
        <f t="shared" ca="1" si="1773"/>
        <v>16476.341045596822</v>
      </c>
      <c r="AN1799" s="2">
        <f t="shared" ca="1" si="1774"/>
        <v>16986.913111635669</v>
      </c>
      <c r="AO1799" s="2">
        <f t="shared" ca="1" si="1775"/>
        <v>17513.306884320304</v>
      </c>
      <c r="AP1799" s="2">
        <f t="shared" ca="1" si="1776"/>
        <v>2391786.9239381719</v>
      </c>
      <c r="AQ1799" s="2">
        <f t="shared" ca="1" si="1777"/>
        <v>785201.4542995746</v>
      </c>
      <c r="AR1799" s="2">
        <f t="shared" ca="1" si="1778"/>
        <v>856106.04441696033</v>
      </c>
      <c r="AS1799" s="2">
        <f t="shared" ca="1" si="1779"/>
        <v>901905.68667313328</v>
      </c>
      <c r="AT1799" s="2">
        <f t="shared" ca="1" si="1780"/>
        <v>949124.57716566301</v>
      </c>
      <c r="AU1799" s="2">
        <f t="shared" ca="1" si="1781"/>
        <v>997806.69583537802</v>
      </c>
      <c r="AV1799" s="2">
        <f t="shared" ca="1" si="1782"/>
        <v>2234804.1391603276</v>
      </c>
      <c r="AW1799" s="2">
        <f t="shared" ca="1" si="1783"/>
        <v>2420628.3958963836</v>
      </c>
      <c r="AX1799" s="2">
        <f t="shared" ca="1" si="1784"/>
        <v>2550485.9979471667</v>
      </c>
      <c r="AY1799" s="2">
        <f t="shared" ca="1" si="1785"/>
        <v>2684367.6526675588</v>
      </c>
      <c r="AZ1799" s="2">
        <f t="shared" ca="1" si="1786"/>
        <v>2822398.0581856016</v>
      </c>
      <c r="BA1799" s="2">
        <f t="shared" ca="1" si="1787"/>
        <v>53719896.358976319</v>
      </c>
      <c r="BB1799" s="2">
        <f t="shared" ca="1" si="1788"/>
        <v>1074397.9271795263</v>
      </c>
      <c r="BC1799" s="2">
        <f t="shared" ca="1" si="1789"/>
        <v>26070088.165817104</v>
      </c>
      <c r="BD1799" s="2">
        <f t="shared" ca="1" si="1790"/>
        <v>-19324248.938402276</v>
      </c>
      <c r="BE1799" s="2">
        <f t="shared" ca="1" si="1791"/>
        <v>2234804.1391603276</v>
      </c>
      <c r="BF1799" s="2">
        <f t="shared" ca="1" si="1792"/>
        <v>2420628.3958963836</v>
      </c>
      <c r="BG1799" s="2">
        <f t="shared" ca="1" si="1793"/>
        <v>2550485.9979471667</v>
      </c>
      <c r="BH1799" s="2">
        <f t="shared" ca="1" si="1794"/>
        <v>2684367.6526675588</v>
      </c>
      <c r="BI1799" s="2">
        <f t="shared" ca="1" si="1795"/>
        <v>28892486.224002704</v>
      </c>
      <c r="BJ1799" s="2">
        <f t="shared" ca="1" si="1796"/>
        <v>0.17812176858560047</v>
      </c>
      <c r="BK1799" s="2">
        <f t="shared" ca="1" si="1797"/>
        <v>4516544.377166111</v>
      </c>
    </row>
    <row r="1800" spans="1:63" x14ac:dyDescent="0.3">
      <c r="A1800" s="2">
        <v>1799</v>
      </c>
      <c r="B1800" s="2">
        <f t="shared" ca="1" si="1736"/>
        <v>0.9126965216527938</v>
      </c>
      <c r="C1800" s="2">
        <f t="shared" ca="1" si="1737"/>
        <v>7.5821400274082089</v>
      </c>
      <c r="D1800" s="2">
        <f t="shared" ca="1" si="1738"/>
        <v>0.24119026266686261</v>
      </c>
      <c r="E1800" s="2">
        <f t="shared" ca="1" si="1739"/>
        <v>7.1945361944015049</v>
      </c>
      <c r="F1800" s="2">
        <f t="shared" ca="1" si="1740"/>
        <v>0.11343004666969658</v>
      </c>
      <c r="G1800" s="2">
        <f t="shared" ca="1" si="1741"/>
        <v>3.745397810788885E-3</v>
      </c>
      <c r="H1800" s="2">
        <f t="shared" ca="1" si="1742"/>
        <v>3.745397810788885E-3</v>
      </c>
      <c r="I1800" s="2">
        <f t="shared" ca="1" si="1743"/>
        <v>0.70004790656229088</v>
      </c>
      <c r="J1800" s="2">
        <f t="shared" ca="1" si="1744"/>
        <v>1.2622691509627821E-2</v>
      </c>
      <c r="K1800" s="2">
        <f t="shared" ca="1" si="1745"/>
        <v>1.2622691509627821E-2</v>
      </c>
      <c r="L1800" s="2">
        <f t="shared" ca="1" si="1746"/>
        <v>0.6389591806757936</v>
      </c>
      <c r="M1800" s="2">
        <f t="shared" ca="1" si="1747"/>
        <v>7.1135622390609086E-3</v>
      </c>
      <c r="N1800" s="2">
        <f t="shared" ca="1" si="1748"/>
        <v>7.1135622390609086E-3</v>
      </c>
      <c r="O1800" s="2">
        <f t="shared" si="1749"/>
        <v>6000000</v>
      </c>
      <c r="P1800" s="2">
        <f t="shared" ca="1" si="1750"/>
        <v>45492840.164449252</v>
      </c>
      <c r="Q1800" s="2">
        <f t="shared" ca="1" si="1751"/>
        <v>1137321.0041112313</v>
      </c>
      <c r="R1800" s="2">
        <f t="shared" ca="1" si="1752"/>
        <v>27295704.098669551</v>
      </c>
      <c r="S1800" s="2">
        <f t="shared" ca="1" si="1753"/>
        <v>18197136.065779701</v>
      </c>
      <c r="T1800" s="2">
        <f t="shared" ca="1" si="1754"/>
        <v>50355678.11195305</v>
      </c>
      <c r="U1800" s="2">
        <f t="shared" ca="1" si="1755"/>
        <v>50544280.158514351</v>
      </c>
      <c r="V1800" s="2">
        <f t="shared" ca="1" si="1756"/>
        <v>50733588.59476795</v>
      </c>
      <c r="W1800" s="2">
        <f t="shared" ca="1" si="1757"/>
        <v>50923606.066424258</v>
      </c>
      <c r="X1800" s="2">
        <f t="shared" ca="1" si="1758"/>
        <v>51114335.229102917</v>
      </c>
      <c r="Y1800" s="2">
        <f t="shared" ca="1" si="1759"/>
        <v>0.1263113457548139</v>
      </c>
      <c r="Z1800" s="2">
        <f t="shared" ca="1" si="1760"/>
        <v>0.12883588405673946</v>
      </c>
      <c r="AA1800" s="2">
        <f t="shared" ca="1" si="1761"/>
        <v>6360493.4687170163</v>
      </c>
      <c r="AB1800" s="2">
        <f t="shared" ca="1" si="1762"/>
        <v>6511917.0182337118</v>
      </c>
      <c r="AC1800" s="2">
        <f t="shared" ca="1" si="1763"/>
        <v>6536306.7379778428</v>
      </c>
      <c r="AD1800" s="2">
        <f t="shared" ca="1" si="1764"/>
        <v>6560787.8069249094</v>
      </c>
      <c r="AE1800" s="2">
        <f t="shared" ca="1" si="1765"/>
        <v>6585360.5672140168</v>
      </c>
      <c r="AF1800" s="2">
        <f t="shared" ca="1" si="1766"/>
        <v>1007113.562239061</v>
      </c>
      <c r="AG1800" s="2">
        <f t="shared" ca="1" si="1767"/>
        <v>1010885.603170287</v>
      </c>
      <c r="AH1800" s="2">
        <f t="shared" ca="1" si="1768"/>
        <v>1014671.771895359</v>
      </c>
      <c r="AI1800" s="2">
        <f t="shared" ca="1" si="1769"/>
        <v>1018472.1213284852</v>
      </c>
      <c r="AJ1800" s="2">
        <f t="shared" ca="1" si="1770"/>
        <v>1022286.7045820584</v>
      </c>
      <c r="AK1800" s="2">
        <f t="shared" ca="1" si="1771"/>
        <v>0</v>
      </c>
      <c r="AL1800" s="2">
        <f t="shared" ca="1" si="1772"/>
        <v>1886.0204656130077</v>
      </c>
      <c r="AM1800" s="2">
        <f t="shared" ca="1" si="1773"/>
        <v>1893.0843625359983</v>
      </c>
      <c r="AN1800" s="2">
        <f t="shared" ca="1" si="1774"/>
        <v>1900.1747165630759</v>
      </c>
      <c r="AO1800" s="2">
        <f t="shared" ca="1" si="1775"/>
        <v>1907.2916267865896</v>
      </c>
      <c r="AP1800" s="2">
        <f t="shared" ca="1" si="1776"/>
        <v>2456613.3688802593</v>
      </c>
      <c r="AQ1800" s="2">
        <f t="shared" ca="1" si="1777"/>
        <v>753159.2997754009</v>
      </c>
      <c r="AR1800" s="2">
        <f t="shared" ca="1" si="1778"/>
        <v>791548.69200762315</v>
      </c>
      <c r="AS1800" s="2">
        <f t="shared" ca="1" si="1779"/>
        <v>796905.61527257832</v>
      </c>
      <c r="AT1800" s="2">
        <f t="shared" ca="1" si="1780"/>
        <v>802282.60234620282</v>
      </c>
      <c r="AU1800" s="2">
        <f t="shared" ca="1" si="1781"/>
        <v>807679.72837544163</v>
      </c>
      <c r="AV1800" s="2">
        <f t="shared" ca="1" si="1782"/>
        <v>2143607.2378222947</v>
      </c>
      <c r="AW1800" s="2">
        <f t="shared" ca="1" si="1783"/>
        <v>2250983.3337099287</v>
      </c>
      <c r="AX1800" s="2">
        <f t="shared" ca="1" si="1784"/>
        <v>2266222.8975671097</v>
      </c>
      <c r="AY1800" s="2">
        <f t="shared" ca="1" si="1785"/>
        <v>2281519.5396533995</v>
      </c>
      <c r="AZ1800" s="2">
        <f t="shared" ca="1" si="1786"/>
        <v>2296873.4737494704</v>
      </c>
      <c r="BA1800" s="2">
        <f t="shared" ca="1" si="1787"/>
        <v>47378614.954005666</v>
      </c>
      <c r="BB1800" s="2">
        <f t="shared" ca="1" si="1788"/>
        <v>947572.2990801133</v>
      </c>
      <c r="BC1800" s="2">
        <f t="shared" ca="1" si="1789"/>
        <v>19135338.556256</v>
      </c>
      <c r="BD1800" s="2">
        <f t="shared" ca="1" si="1790"/>
        <v>-19834457.069890931</v>
      </c>
      <c r="BE1800" s="2">
        <f t="shared" ca="1" si="1791"/>
        <v>2143607.2378222947</v>
      </c>
      <c r="BF1800" s="2">
        <f t="shared" ca="1" si="1792"/>
        <v>2250983.3337099287</v>
      </c>
      <c r="BG1800" s="2">
        <f t="shared" ca="1" si="1793"/>
        <v>2266222.8975671097</v>
      </c>
      <c r="BH1800" s="2">
        <f t="shared" ca="1" si="1794"/>
        <v>2281519.5396533995</v>
      </c>
      <c r="BI1800" s="2">
        <f t="shared" ca="1" si="1795"/>
        <v>21432212.03000547</v>
      </c>
      <c r="BJ1800" s="2">
        <f t="shared" ca="1" si="1796"/>
        <v>0.10728514034702363</v>
      </c>
      <c r="BK1800" s="2">
        <f t="shared" ca="1" si="1797"/>
        <v>-901839.61142340302</v>
      </c>
    </row>
    <row r="1801" spans="1:63" x14ac:dyDescent="0.3">
      <c r="A1801" s="2">
        <v>1800</v>
      </c>
      <c r="B1801" s="2">
        <f t="shared" ca="1" si="1736"/>
        <v>0.79562272085970054</v>
      </c>
      <c r="C1801" s="2">
        <f t="shared" ca="1" si="1737"/>
        <v>7.3606608425251911</v>
      </c>
      <c r="D1801" s="2">
        <f t="shared" ca="1" si="1738"/>
        <v>0.3668537641392825</v>
      </c>
      <c r="E1801" s="2">
        <f t="shared" ca="1" si="1739"/>
        <v>7.3565672934910395</v>
      </c>
      <c r="F1801" s="2">
        <f t="shared" ca="1" si="1740"/>
        <v>0.7164112870688506</v>
      </c>
      <c r="G1801" s="2">
        <f t="shared" ca="1" si="1741"/>
        <v>5.7166401315981052E-2</v>
      </c>
      <c r="H1801" s="2">
        <f t="shared" ca="1" si="1742"/>
        <v>5.7166401315981052E-2</v>
      </c>
      <c r="I1801" s="2">
        <f t="shared" ca="1" si="1743"/>
        <v>0.29555630666080113</v>
      </c>
      <c r="J1801" s="2">
        <f t="shared" ca="1" si="1744"/>
        <v>7.3138779598536409E-3</v>
      </c>
      <c r="K1801" s="2">
        <f t="shared" ca="1" si="1745"/>
        <v>7.3138779598536409E-3</v>
      </c>
      <c r="L1801" s="2">
        <f t="shared" ca="1" si="1746"/>
        <v>6.7240816457333485E-3</v>
      </c>
      <c r="M1801" s="2">
        <f t="shared" ca="1" si="1747"/>
        <v>-4.9433504237507704E-2</v>
      </c>
      <c r="N1801" s="2">
        <f t="shared" ca="1" si="1748"/>
        <v>-4.9433504237507704E-2</v>
      </c>
      <c r="O1801" s="2">
        <f t="shared" si="1749"/>
        <v>6000000</v>
      </c>
      <c r="P1801" s="2">
        <f t="shared" ca="1" si="1750"/>
        <v>44163965.05515115</v>
      </c>
      <c r="Q1801" s="2">
        <f t="shared" ca="1" si="1751"/>
        <v>1104099.1263787788</v>
      </c>
      <c r="R1801" s="2">
        <f t="shared" ca="1" si="1752"/>
        <v>26498379.033090688</v>
      </c>
      <c r="S1801" s="2">
        <f t="shared" ca="1" si="1753"/>
        <v>17665586.022060461</v>
      </c>
      <c r="T1801" s="2">
        <f t="shared" ca="1" si="1754"/>
        <v>47528324.788124613</v>
      </c>
      <c r="U1801" s="2">
        <f t="shared" ca="1" si="1755"/>
        <v>50245348.076838829</v>
      </c>
      <c r="V1801" s="2">
        <f t="shared" ca="1" si="1756"/>
        <v>53117693.809260547</v>
      </c>
      <c r="W1801" s="2">
        <f t="shared" ca="1" si="1757"/>
        <v>56154241.210540131</v>
      </c>
      <c r="X1801" s="2">
        <f t="shared" ca="1" si="1758"/>
        <v>59364377.099176265</v>
      </c>
      <c r="Y1801" s="2">
        <f t="shared" ca="1" si="1759"/>
        <v>0.12365693897992681</v>
      </c>
      <c r="Z1801" s="2">
        <f t="shared" ca="1" si="1760"/>
        <v>0.12511971457189755</v>
      </c>
      <c r="AA1801" s="2">
        <f t="shared" ca="1" si="1761"/>
        <v>5877207.158143268</v>
      </c>
      <c r="AB1801" s="2">
        <f t="shared" ca="1" si="1762"/>
        <v>6286683.6099397158</v>
      </c>
      <c r="AC1801" s="2">
        <f t="shared" ca="1" si="1763"/>
        <v>6646070.6881321296</v>
      </c>
      <c r="AD1801" s="2">
        <f t="shared" ca="1" si="1764"/>
        <v>7026002.6322642677</v>
      </c>
      <c r="AE1801" s="2">
        <f t="shared" ca="1" si="1765"/>
        <v>7427653.9183874261</v>
      </c>
      <c r="AF1801" s="2">
        <f t="shared" ca="1" si="1766"/>
        <v>950566.4957624923</v>
      </c>
      <c r="AG1801" s="2">
        <f t="shared" ca="1" si="1767"/>
        <v>1004906.9615367766</v>
      </c>
      <c r="AH1801" s="2">
        <f t="shared" ca="1" si="1768"/>
        <v>1062353.8761852109</v>
      </c>
      <c r="AI1801" s="2">
        <f t="shared" ca="1" si="1769"/>
        <v>1123084.8242108026</v>
      </c>
      <c r="AJ1801" s="2">
        <f t="shared" ca="1" si="1770"/>
        <v>1187287.5419835253</v>
      </c>
      <c r="AK1801" s="2">
        <f t="shared" ca="1" si="1771"/>
        <v>0</v>
      </c>
      <c r="AL1801" s="2">
        <f t="shared" ca="1" si="1772"/>
        <v>27170.232887142152</v>
      </c>
      <c r="AM1801" s="2">
        <f t="shared" ca="1" si="1773"/>
        <v>28723.457324217186</v>
      </c>
      <c r="AN1801" s="2">
        <f t="shared" ca="1" si="1774"/>
        <v>30365.474012795836</v>
      </c>
      <c r="AO1801" s="2">
        <f t="shared" ca="1" si="1775"/>
        <v>32101.358886361348</v>
      </c>
      <c r="AP1801" s="2">
        <f t="shared" ca="1" si="1776"/>
        <v>2384854.1129781618</v>
      </c>
      <c r="AQ1801" s="2">
        <f t="shared" ca="1" si="1777"/>
        <v>660864.50284467952</v>
      </c>
      <c r="AR1801" s="2">
        <f t="shared" ca="1" si="1778"/>
        <v>753199.85921044229</v>
      </c>
      <c r="AS1801" s="2">
        <f t="shared" ca="1" si="1779"/>
        <v>831704.30173187691</v>
      </c>
      <c r="AT1801" s="2">
        <f t="shared" ca="1" si="1780"/>
        <v>914696.56071957899</v>
      </c>
      <c r="AU1801" s="2">
        <f t="shared" ca="1" si="1781"/>
        <v>1002433.1884906922</v>
      </c>
      <c r="AV1801" s="2">
        <f t="shared" ca="1" si="1782"/>
        <v>1880922.0465579345</v>
      </c>
      <c r="AW1801" s="2">
        <f t="shared" ca="1" si="1783"/>
        <v>2116552.4433271927</v>
      </c>
      <c r="AX1801" s="2">
        <f t="shared" ca="1" si="1784"/>
        <v>2338434.9399126633</v>
      </c>
      <c r="AY1801" s="2">
        <f t="shared" ca="1" si="1785"/>
        <v>2573001.6603429285</v>
      </c>
      <c r="AZ1801" s="2">
        <f t="shared" ca="1" si="1786"/>
        <v>2820977.7160486854</v>
      </c>
      <c r="BA1801" s="2">
        <f t="shared" ca="1" si="1787"/>
        <v>54642035.883379504</v>
      </c>
      <c r="BB1801" s="2">
        <f t="shared" ca="1" si="1788"/>
        <v>1092840.7176675901</v>
      </c>
      <c r="BC1801" s="2">
        <f t="shared" ca="1" si="1789"/>
        <v>27050816.132621225</v>
      </c>
      <c r="BD1801" s="2">
        <f t="shared" ca="1" si="1790"/>
        <v>-19269685.14843924</v>
      </c>
      <c r="BE1801" s="2">
        <f t="shared" ca="1" si="1791"/>
        <v>1880922.0465579345</v>
      </c>
      <c r="BF1801" s="2">
        <f t="shared" ca="1" si="1792"/>
        <v>2116552.4433271927</v>
      </c>
      <c r="BG1801" s="2">
        <f t="shared" ca="1" si="1793"/>
        <v>2338434.9399126633</v>
      </c>
      <c r="BH1801" s="2">
        <f t="shared" ca="1" si="1794"/>
        <v>2573001.6603429285</v>
      </c>
      <c r="BI1801" s="2">
        <f t="shared" ca="1" si="1795"/>
        <v>29871793.848669909</v>
      </c>
      <c r="BJ1801" s="2">
        <f t="shared" ca="1" si="1796"/>
        <v>0.17489732023205518</v>
      </c>
      <c r="BK1801" s="2">
        <f t="shared" ca="1" si="1797"/>
        <v>4346711.1154886857</v>
      </c>
    </row>
    <row r="1802" spans="1:63" x14ac:dyDescent="0.3">
      <c r="A1802" s="2">
        <v>1801</v>
      </c>
      <c r="B1802" s="2">
        <f t="shared" ca="1" si="1736"/>
        <v>2.7272406966423079E-2</v>
      </c>
      <c r="C1802" s="2">
        <f t="shared" ca="1" si="1737"/>
        <v>6.2335483117747721</v>
      </c>
      <c r="D1802" s="2">
        <f t="shared" ca="1" si="1738"/>
        <v>0.20272321410182914</v>
      </c>
      <c r="E1802" s="2">
        <f t="shared" ca="1" si="1739"/>
        <v>7.1367467535870581</v>
      </c>
      <c r="F1802" s="2">
        <f t="shared" ca="1" si="1740"/>
        <v>0.45389017950622645</v>
      </c>
      <c r="G1802" s="2">
        <f t="shared" ca="1" si="1741"/>
        <v>3.6524838251288702E-2</v>
      </c>
      <c r="H1802" s="2">
        <f t="shared" ca="1" si="1742"/>
        <v>3.6524838251288702E-2</v>
      </c>
      <c r="I1802" s="2">
        <f t="shared" ca="1" si="1743"/>
        <v>0.6401070037934079</v>
      </c>
      <c r="J1802" s="2">
        <f t="shared" ca="1" si="1744"/>
        <v>1.179372412161994E-2</v>
      </c>
      <c r="K1802" s="2">
        <f t="shared" ca="1" si="1745"/>
        <v>1.179372412161994E-2</v>
      </c>
      <c r="L1802" s="2">
        <f t="shared" ca="1" si="1746"/>
        <v>0.57403099473153874</v>
      </c>
      <c r="M1802" s="2">
        <f t="shared" ca="1" si="1747"/>
        <v>3.73292477308429E-3</v>
      </c>
      <c r="N1802" s="2">
        <f t="shared" ca="1" si="1748"/>
        <v>3.73292477308429E-3</v>
      </c>
      <c r="O1802" s="2">
        <f t="shared" si="1749"/>
        <v>6000000</v>
      </c>
      <c r="P1802" s="2">
        <f t="shared" ca="1" si="1750"/>
        <v>37401289.87064863</v>
      </c>
      <c r="Q1802" s="2">
        <f t="shared" ca="1" si="1751"/>
        <v>935032.24676621577</v>
      </c>
      <c r="R1802" s="2">
        <f t="shared" ca="1" si="1752"/>
        <v>22440773.922389176</v>
      </c>
      <c r="S1802" s="2">
        <f t="shared" ca="1" si="1753"/>
        <v>14960515.948259452</v>
      </c>
      <c r="T1802" s="2">
        <f t="shared" ca="1" si="1754"/>
        <v>50186646.238654219</v>
      </c>
      <c r="U1802" s="2">
        <f t="shared" ca="1" si="1755"/>
        <v>52019705.374895707</v>
      </c>
      <c r="V1802" s="2">
        <f t="shared" ca="1" si="1756"/>
        <v>53919716.699593462</v>
      </c>
      <c r="W1802" s="2">
        <f t="shared" ca="1" si="1757"/>
        <v>55889125.630601421</v>
      </c>
      <c r="X1802" s="2">
        <f t="shared" ca="1" si="1758"/>
        <v>57930466.904265083</v>
      </c>
      <c r="Y1802" s="2">
        <f t="shared" ca="1" si="1759"/>
        <v>0.12589686206080997</v>
      </c>
      <c r="Z1802" s="2">
        <f t="shared" ca="1" si="1760"/>
        <v>0.12825560688513396</v>
      </c>
      <c r="AA1802" s="2">
        <f t="shared" ca="1" si="1761"/>
        <v>6318341.2788025178</v>
      </c>
      <c r="AB1802" s="2">
        <f t="shared" ca="1" si="1762"/>
        <v>6671818.8828431135</v>
      </c>
      <c r="AC1802" s="2">
        <f t="shared" ca="1" si="1763"/>
        <v>6915505.9883808522</v>
      </c>
      <c r="AD1802" s="2">
        <f t="shared" ca="1" si="1764"/>
        <v>7168093.7260322804</v>
      </c>
      <c r="AE1802" s="2">
        <f t="shared" ca="1" si="1765"/>
        <v>7429907.1899456857</v>
      </c>
      <c r="AF1802" s="2">
        <f t="shared" ca="1" si="1766"/>
        <v>1003732.9247730843</v>
      </c>
      <c r="AG1802" s="2">
        <f t="shared" ca="1" si="1767"/>
        <v>1040394.1074979141</v>
      </c>
      <c r="AH1802" s="2">
        <f t="shared" ca="1" si="1768"/>
        <v>1078394.3339918694</v>
      </c>
      <c r="AI1802" s="2">
        <f t="shared" ca="1" si="1769"/>
        <v>1117782.5126120285</v>
      </c>
      <c r="AJ1802" s="2">
        <f t="shared" ca="1" si="1770"/>
        <v>1158609.3380853017</v>
      </c>
      <c r="AK1802" s="2">
        <f t="shared" ca="1" si="1771"/>
        <v>0</v>
      </c>
      <c r="AL1802" s="2">
        <f t="shared" ca="1" si="1772"/>
        <v>18330.591362414882</v>
      </c>
      <c r="AM1802" s="2">
        <f t="shared" ca="1" si="1773"/>
        <v>19000.113246977555</v>
      </c>
      <c r="AN1802" s="2">
        <f t="shared" ca="1" si="1774"/>
        <v>19694.089310079591</v>
      </c>
      <c r="AO1802" s="2">
        <f t="shared" ca="1" si="1775"/>
        <v>20413.412736636623</v>
      </c>
      <c r="AP1802" s="2">
        <f t="shared" ca="1" si="1776"/>
        <v>2019669.6530150257</v>
      </c>
      <c r="AQ1802" s="2">
        <f t="shared" ca="1" si="1777"/>
        <v>856684.06226374605</v>
      </c>
      <c r="AR1802" s="2">
        <f t="shared" ca="1" si="1778"/>
        <v>939056.33180584526</v>
      </c>
      <c r="AS1802" s="2">
        <f t="shared" ca="1" si="1779"/>
        <v>992534.92035722884</v>
      </c>
      <c r="AT1802" s="2">
        <f t="shared" ca="1" si="1780"/>
        <v>1047966.8057053586</v>
      </c>
      <c r="AU1802" s="2">
        <f t="shared" ca="1" si="1781"/>
        <v>1105423.331699793</v>
      </c>
      <c r="AV1802" s="2">
        <f t="shared" ca="1" si="1782"/>
        <v>2438254.6387506621</v>
      </c>
      <c r="AW1802" s="2">
        <f t="shared" ca="1" si="1783"/>
        <v>2654368.1991619142</v>
      </c>
      <c r="AX1802" s="2">
        <f t="shared" ca="1" si="1784"/>
        <v>2805906.9677697504</v>
      </c>
      <c r="AY1802" s="2">
        <f t="shared" ca="1" si="1785"/>
        <v>2962980.6653897874</v>
      </c>
      <c r="AZ1802" s="2">
        <f t="shared" ca="1" si="1786"/>
        <v>3125791.4544089278</v>
      </c>
      <c r="BA1802" s="2">
        <f t="shared" ca="1" si="1787"/>
        <v>53025366.017298013</v>
      </c>
      <c r="BB1802" s="2">
        <f t="shared" ca="1" si="1788"/>
        <v>1060507.3203459603</v>
      </c>
      <c r="BC1802" s="2">
        <f t="shared" ca="1" si="1789"/>
        <v>29524084.774562877</v>
      </c>
      <c r="BD1802" s="2">
        <f t="shared" ca="1" si="1790"/>
        <v>-16395548.195025668</v>
      </c>
      <c r="BE1802" s="2">
        <f t="shared" ca="1" si="1791"/>
        <v>2438254.6387506621</v>
      </c>
      <c r="BF1802" s="2">
        <f t="shared" ca="1" si="1792"/>
        <v>2654368.1991619142</v>
      </c>
      <c r="BG1802" s="2">
        <f t="shared" ca="1" si="1793"/>
        <v>2805906.9677697504</v>
      </c>
      <c r="BH1802" s="2">
        <f t="shared" ca="1" si="1794"/>
        <v>2962980.6653897874</v>
      </c>
      <c r="BI1802" s="2">
        <f t="shared" ca="1" si="1795"/>
        <v>32649876.228971805</v>
      </c>
      <c r="BJ1802" s="2">
        <f t="shared" ca="1" si="1796"/>
        <v>0.26136045099097949</v>
      </c>
      <c r="BK1802" s="2">
        <f t="shared" ca="1" si="1797"/>
        <v>10304144.496312045</v>
      </c>
    </row>
    <row r="1803" spans="1:63" x14ac:dyDescent="0.3">
      <c r="A1803" s="2">
        <v>1802</v>
      </c>
      <c r="B1803" s="2">
        <f t="shared" ca="1" si="1736"/>
        <v>0.94098522113141325</v>
      </c>
      <c r="C1803" s="2">
        <f t="shared" ca="1" si="1737"/>
        <v>7.6564456989977083</v>
      </c>
      <c r="D1803" s="2">
        <f t="shared" ca="1" si="1738"/>
        <v>0.17919823298491544</v>
      </c>
      <c r="E1803" s="2">
        <f t="shared" ca="1" si="1739"/>
        <v>7.0986622302850169</v>
      </c>
      <c r="F1803" s="2">
        <f t="shared" ca="1" si="1740"/>
        <v>0.6589300418694386</v>
      </c>
      <c r="G1803" s="2">
        <f t="shared" ca="1" si="1741"/>
        <v>5.2286343201007626E-2</v>
      </c>
      <c r="H1803" s="2">
        <f t="shared" ca="1" si="1742"/>
        <v>5.2286343201007626E-2</v>
      </c>
      <c r="I1803" s="2">
        <f t="shared" ca="1" si="1743"/>
        <v>0.55779227864683179</v>
      </c>
      <c r="J1803" s="2">
        <f t="shared" ca="1" si="1744"/>
        <v>1.072687094277007E-2</v>
      </c>
      <c r="K1803" s="2">
        <f t="shared" ca="1" si="1745"/>
        <v>1.072687094277007E-2</v>
      </c>
      <c r="L1803" s="2">
        <f t="shared" ca="1" si="1746"/>
        <v>0.13376853227643304</v>
      </c>
      <c r="M1803" s="2">
        <f t="shared" ca="1" si="1747"/>
        <v>-2.2175045470382609E-2</v>
      </c>
      <c r="N1803" s="2">
        <f t="shared" ca="1" si="1748"/>
        <v>-2.2175045470382609E-2</v>
      </c>
      <c r="O1803" s="2">
        <f t="shared" si="1749"/>
        <v>6000000</v>
      </c>
      <c r="P1803" s="2">
        <f t="shared" ca="1" si="1750"/>
        <v>45938674.193986252</v>
      </c>
      <c r="Q1803" s="2">
        <f t="shared" ca="1" si="1751"/>
        <v>1148466.8548496563</v>
      </c>
      <c r="R1803" s="2">
        <f t="shared" ca="1" si="1752"/>
        <v>27563204.51639175</v>
      </c>
      <c r="S1803" s="2">
        <f t="shared" ca="1" si="1753"/>
        <v>18375469.677594502</v>
      </c>
      <c r="T1803" s="2">
        <f t="shared" ca="1" si="1754"/>
        <v>48891247.726480871</v>
      </c>
      <c r="U1803" s="2">
        <f t="shared" ca="1" si="1755"/>
        <v>51447592.284633137</v>
      </c>
      <c r="V1803" s="2">
        <f t="shared" ca="1" si="1756"/>
        <v>54137598.751692981</v>
      </c>
      <c r="W1803" s="2">
        <f t="shared" ca="1" si="1757"/>
        <v>56968255.820102446</v>
      </c>
      <c r="X1803" s="2">
        <f t="shared" ca="1" si="1758"/>
        <v>59946917.595475122</v>
      </c>
      <c r="Y1803" s="2">
        <f t="shared" ca="1" si="1759"/>
        <v>0.12536343547138504</v>
      </c>
      <c r="Z1803" s="2">
        <f t="shared" ca="1" si="1760"/>
        <v>0.12750880965993905</v>
      </c>
      <c r="AA1803" s="2">
        <f t="shared" ca="1" si="1761"/>
        <v>6129174.7794741848</v>
      </c>
      <c r="AB1803" s="2">
        <f t="shared" ca="1" si="1762"/>
        <v>6560021.2520834357</v>
      </c>
      <c r="AC1803" s="2">
        <f t="shared" ca="1" si="1763"/>
        <v>6903020.7746757744</v>
      </c>
      <c r="AD1803" s="2">
        <f t="shared" ca="1" si="1764"/>
        <v>7263954.4880241575</v>
      </c>
      <c r="AE1803" s="2">
        <f t="shared" ca="1" si="1765"/>
        <v>7643760.1053814888</v>
      </c>
      <c r="AF1803" s="2">
        <f t="shared" ca="1" si="1766"/>
        <v>977824.95452961745</v>
      </c>
      <c r="AG1803" s="2">
        <f t="shared" ca="1" si="1767"/>
        <v>1028951.8456926628</v>
      </c>
      <c r="AH1803" s="2">
        <f t="shared" ca="1" si="1768"/>
        <v>1082751.9750338597</v>
      </c>
      <c r="AI1803" s="2">
        <f t="shared" ca="1" si="1769"/>
        <v>1139365.1164020489</v>
      </c>
      <c r="AJ1803" s="2">
        <f t="shared" ca="1" si="1770"/>
        <v>1198938.3519095024</v>
      </c>
      <c r="AK1803" s="2">
        <f t="shared" ca="1" si="1771"/>
        <v>0</v>
      </c>
      <c r="AL1803" s="2">
        <f t="shared" ca="1" si="1772"/>
        <v>25563.445581522657</v>
      </c>
      <c r="AM1803" s="2">
        <f t="shared" ca="1" si="1773"/>
        <v>26900.064670598433</v>
      </c>
      <c r="AN1803" s="2">
        <f t="shared" ca="1" si="1774"/>
        <v>28306.570684094651</v>
      </c>
      <c r="AO1803" s="2">
        <f t="shared" ca="1" si="1775"/>
        <v>29786.617753726765</v>
      </c>
      <c r="AP1803" s="2">
        <f t="shared" ca="1" si="1776"/>
        <v>2480688.4064752576</v>
      </c>
      <c r="AQ1803" s="2">
        <f t="shared" ca="1" si="1777"/>
        <v>694371.96880202042</v>
      </c>
      <c r="AR1803" s="2">
        <f t="shared" ca="1" si="1778"/>
        <v>793099.05997803411</v>
      </c>
      <c r="AS1803" s="2">
        <f t="shared" ca="1" si="1779"/>
        <v>868290.90222333092</v>
      </c>
      <c r="AT1803" s="2">
        <f t="shared" ca="1" si="1780"/>
        <v>947414.25093818142</v>
      </c>
      <c r="AU1803" s="2">
        <f t="shared" ca="1" si="1781"/>
        <v>1030674.6702191496</v>
      </c>
      <c r="AV1803" s="2">
        <f t="shared" ca="1" si="1782"/>
        <v>1976289.4496672894</v>
      </c>
      <c r="AW1803" s="2">
        <f t="shared" ca="1" si="1783"/>
        <v>2231718.4943559584</v>
      </c>
      <c r="AX1803" s="2">
        <f t="shared" ca="1" si="1784"/>
        <v>2444389.426272728</v>
      </c>
      <c r="AY1803" s="2">
        <f t="shared" ca="1" si="1785"/>
        <v>2668180.1435245746</v>
      </c>
      <c r="AZ1803" s="2">
        <f t="shared" ca="1" si="1786"/>
        <v>2903672.0590238529</v>
      </c>
      <c r="BA1803" s="2">
        <f t="shared" ca="1" si="1787"/>
        <v>54260471.157430992</v>
      </c>
      <c r="BB1803" s="2">
        <f t="shared" ca="1" si="1788"/>
        <v>1085209.4231486199</v>
      </c>
      <c r="BC1803" s="2">
        <f t="shared" ca="1" si="1789"/>
        <v>25612057.21789062</v>
      </c>
      <c r="BD1803" s="2">
        <f t="shared" ca="1" si="1790"/>
        <v>-20023936.532444157</v>
      </c>
      <c r="BE1803" s="2">
        <f t="shared" ca="1" si="1791"/>
        <v>1976289.4496672894</v>
      </c>
      <c r="BF1803" s="2">
        <f t="shared" ca="1" si="1792"/>
        <v>2231718.4943559584</v>
      </c>
      <c r="BG1803" s="2">
        <f t="shared" ca="1" si="1793"/>
        <v>2444389.426272728</v>
      </c>
      <c r="BH1803" s="2">
        <f t="shared" ca="1" si="1794"/>
        <v>2668180.1435245746</v>
      </c>
      <c r="BI1803" s="2">
        <f t="shared" ca="1" si="1795"/>
        <v>28515729.276914474</v>
      </c>
      <c r="BJ1803" s="2">
        <f t="shared" ca="1" si="1796"/>
        <v>0.15937065294638919</v>
      </c>
      <c r="BK1803" s="2">
        <f t="shared" ca="1" si="1797"/>
        <v>3135855.3705203757</v>
      </c>
    </row>
    <row r="1804" spans="1:63" x14ac:dyDescent="0.3">
      <c r="A1804" s="2">
        <v>1803</v>
      </c>
      <c r="B1804" s="2">
        <f t="shared" ca="1" si="1736"/>
        <v>0.87256966358477817</v>
      </c>
      <c r="C1804" s="2">
        <f t="shared" ca="1" si="1737"/>
        <v>7.4951627263855771</v>
      </c>
      <c r="D1804" s="2">
        <f t="shared" ca="1" si="1738"/>
        <v>0.35649116569341111</v>
      </c>
      <c r="E1804" s="2">
        <f t="shared" ca="1" si="1739"/>
        <v>7.3443828109257208</v>
      </c>
      <c r="F1804" s="2">
        <f t="shared" ca="1" si="1740"/>
        <v>0.33781560825767543</v>
      </c>
      <c r="G1804" s="2">
        <f t="shared" ca="1" si="1741"/>
        <v>2.7447036810667971E-2</v>
      </c>
      <c r="H1804" s="2">
        <f t="shared" ca="1" si="1742"/>
        <v>2.7447036810667971E-2</v>
      </c>
      <c r="I1804" s="2">
        <f t="shared" ca="1" si="1743"/>
        <v>0.60855657294773036</v>
      </c>
      <c r="J1804" s="2">
        <f t="shared" ca="1" si="1744"/>
        <v>1.1377794674064898E-2</v>
      </c>
      <c r="K1804" s="2">
        <f t="shared" ca="1" si="1745"/>
        <v>1.1377794674064898E-2</v>
      </c>
      <c r="L1804" s="2">
        <f t="shared" ca="1" si="1746"/>
        <v>0.92628272414177948</v>
      </c>
      <c r="M1804" s="2">
        <f t="shared" ca="1" si="1747"/>
        <v>2.8973057165484255E-2</v>
      </c>
      <c r="N1804" s="2">
        <f t="shared" ca="1" si="1748"/>
        <v>2.8973057165484255E-2</v>
      </c>
      <c r="O1804" s="2">
        <f t="shared" si="1749"/>
        <v>6000000</v>
      </c>
      <c r="P1804" s="2">
        <f t="shared" ca="1" si="1750"/>
        <v>44970976.358313464</v>
      </c>
      <c r="Q1804" s="2">
        <f t="shared" ca="1" si="1751"/>
        <v>1124274.4089578367</v>
      </c>
      <c r="R1804" s="2">
        <f t="shared" ca="1" si="1752"/>
        <v>26982585.814988077</v>
      </c>
      <c r="S1804" s="2">
        <f t="shared" ca="1" si="1753"/>
        <v>17988390.543325387</v>
      </c>
      <c r="T1804" s="2">
        <f t="shared" ca="1" si="1754"/>
        <v>51448652.858274214</v>
      </c>
      <c r="U1804" s="2">
        <f t="shared" ca="1" si="1755"/>
        <v>52860765.927134551</v>
      </c>
      <c r="V1804" s="2">
        <f t="shared" ca="1" si="1756"/>
        <v>54311637.315376721</v>
      </c>
      <c r="W1804" s="2">
        <f t="shared" ca="1" si="1757"/>
        <v>55802330.824019521</v>
      </c>
      <c r="X1804" s="2">
        <f t="shared" ca="1" si="1758"/>
        <v>57333939.452267461</v>
      </c>
      <c r="Y1804" s="2">
        <f t="shared" ca="1" si="1759"/>
        <v>0.12568889733703245</v>
      </c>
      <c r="Z1804" s="2">
        <f t="shared" ca="1" si="1760"/>
        <v>0.12796445627184541</v>
      </c>
      <c r="AA1804" s="2">
        <f t="shared" ca="1" si="1761"/>
        <v>6466524.4472322492</v>
      </c>
      <c r="AB1804" s="2">
        <f t="shared" ca="1" si="1762"/>
        <v>6764299.1699790647</v>
      </c>
      <c r="AC1804" s="2">
        <f t="shared" ca="1" si="1763"/>
        <v>6949959.1382958516</v>
      </c>
      <c r="AD1804" s="2">
        <f t="shared" ca="1" si="1764"/>
        <v>7140714.9225972975</v>
      </c>
      <c r="AE1804" s="2">
        <f t="shared" ca="1" si="1765"/>
        <v>7336706.3879323117</v>
      </c>
      <c r="AF1804" s="2">
        <f t="shared" ca="1" si="1766"/>
        <v>1028973.0571654843</v>
      </c>
      <c r="AG1804" s="2">
        <f t="shared" ca="1" si="1767"/>
        <v>1057215.3185426909</v>
      </c>
      <c r="AH1804" s="2">
        <f t="shared" ca="1" si="1768"/>
        <v>1086232.7463075344</v>
      </c>
      <c r="AI1804" s="2">
        <f t="shared" ca="1" si="1769"/>
        <v>1116046.6164803905</v>
      </c>
      <c r="AJ1804" s="2">
        <f t="shared" ca="1" si="1770"/>
        <v>1146678.7890453492</v>
      </c>
      <c r="AK1804" s="2">
        <f t="shared" ca="1" si="1771"/>
        <v>0</v>
      </c>
      <c r="AL1804" s="2">
        <f t="shared" ca="1" si="1772"/>
        <v>14121.130688603371</v>
      </c>
      <c r="AM1804" s="2">
        <f t="shared" ca="1" si="1773"/>
        <v>14508.713882421702</v>
      </c>
      <c r="AN1804" s="2">
        <f t="shared" ca="1" si="1774"/>
        <v>14906.935086428002</v>
      </c>
      <c r="AO1804" s="2">
        <f t="shared" ca="1" si="1775"/>
        <v>15316.086282479391</v>
      </c>
      <c r="AP1804" s="2">
        <f t="shared" ca="1" si="1776"/>
        <v>2428432.7233489268</v>
      </c>
      <c r="AQ1804" s="2">
        <f t="shared" ca="1" si="1777"/>
        <v>782370.85334663803</v>
      </c>
      <c r="AR1804" s="2">
        <f t="shared" ca="1" si="1778"/>
        <v>852449.29330273625</v>
      </c>
      <c r="AS1804" s="2">
        <f t="shared" ca="1" si="1779"/>
        <v>893176.3538462416</v>
      </c>
      <c r="AT1804" s="2">
        <f t="shared" ca="1" si="1780"/>
        <v>935021.2515196749</v>
      </c>
      <c r="AU1804" s="2">
        <f t="shared" ca="1" si="1781"/>
        <v>978014.66763988941</v>
      </c>
      <c r="AV1804" s="2">
        <f t="shared" ca="1" si="1782"/>
        <v>2226747.8133712001</v>
      </c>
      <c r="AW1804" s="2">
        <f t="shared" ca="1" si="1783"/>
        <v>2412080.7040961077</v>
      </c>
      <c r="AX1804" s="2">
        <f t="shared" ca="1" si="1784"/>
        <v>2527608.6009107269</v>
      </c>
      <c r="AY1804" s="2">
        <f t="shared" ca="1" si="1785"/>
        <v>2646307.3961618766</v>
      </c>
      <c r="AZ1804" s="2">
        <f t="shared" ca="1" si="1786"/>
        <v>2768264.1216156669</v>
      </c>
      <c r="BA1804" s="2">
        <f t="shared" ca="1" si="1787"/>
        <v>53883580.284339003</v>
      </c>
      <c r="BB1804" s="2">
        <f t="shared" ca="1" si="1788"/>
        <v>1077671.6056867801</v>
      </c>
      <c r="BC1804" s="2">
        <f t="shared" ca="1" si="1789"/>
        <v>25823322.863664147</v>
      </c>
      <c r="BD1804" s="2">
        <f t="shared" ca="1" si="1790"/>
        <v>-19612664.952283222</v>
      </c>
      <c r="BE1804" s="2">
        <f t="shared" ca="1" si="1791"/>
        <v>2226747.8133712001</v>
      </c>
      <c r="BF1804" s="2">
        <f t="shared" ca="1" si="1792"/>
        <v>2412080.7040961077</v>
      </c>
      <c r="BG1804" s="2">
        <f t="shared" ca="1" si="1793"/>
        <v>2527608.6009107269</v>
      </c>
      <c r="BH1804" s="2">
        <f t="shared" ca="1" si="1794"/>
        <v>2646307.3961618766</v>
      </c>
      <c r="BI1804" s="2">
        <f t="shared" ca="1" si="1795"/>
        <v>28591586.985279813</v>
      </c>
      <c r="BJ1804" s="2">
        <f t="shared" ca="1" si="1796"/>
        <v>0.17121523771578917</v>
      </c>
      <c r="BK1804" s="2">
        <f t="shared" ca="1" si="1797"/>
        <v>4002911.0783621296</v>
      </c>
    </row>
    <row r="1805" spans="1:63" x14ac:dyDescent="0.3">
      <c r="A1805" s="2">
        <v>1804</v>
      </c>
      <c r="B1805" s="2">
        <f t="shared" ca="1" si="1736"/>
        <v>0.69465253425023488</v>
      </c>
      <c r="C1805" s="2">
        <f t="shared" ca="1" si="1737"/>
        <v>7.2185302747389821</v>
      </c>
      <c r="D1805" s="2">
        <f t="shared" ca="1" si="1738"/>
        <v>0.22116328152071729</v>
      </c>
      <c r="E1805" s="2">
        <f t="shared" ca="1" si="1739"/>
        <v>7.1650763588050879</v>
      </c>
      <c r="F1805" s="2">
        <f t="shared" ca="1" si="1740"/>
        <v>0.15704779304643723</v>
      </c>
      <c r="G1805" s="2">
        <f t="shared" ca="1" si="1741"/>
        <v>9.8000374680233607E-3</v>
      </c>
      <c r="H1805" s="2">
        <f t="shared" ca="1" si="1742"/>
        <v>9.8000374680233607E-3</v>
      </c>
      <c r="I1805" s="2">
        <f t="shared" ca="1" si="1743"/>
        <v>0.8093229168668884</v>
      </c>
      <c r="J1805" s="2">
        <f t="shared" ca="1" si="1744"/>
        <v>1.4377019612577126E-2</v>
      </c>
      <c r="K1805" s="2">
        <f t="shared" ca="1" si="1745"/>
        <v>1.4377019612577126E-2</v>
      </c>
      <c r="L1805" s="2">
        <f t="shared" ca="1" si="1746"/>
        <v>0.19649347792725913</v>
      </c>
      <c r="M1805" s="2">
        <f t="shared" ca="1" si="1747"/>
        <v>-1.7084260924113061E-2</v>
      </c>
      <c r="N1805" s="2">
        <f t="shared" ca="1" si="1748"/>
        <v>-1.7084260924113061E-2</v>
      </c>
      <c r="O1805" s="2">
        <f t="shared" si="1749"/>
        <v>6000000</v>
      </c>
      <c r="P1805" s="2">
        <f t="shared" ca="1" si="1750"/>
        <v>43311181.648433894</v>
      </c>
      <c r="Q1805" s="2">
        <f t="shared" ca="1" si="1751"/>
        <v>1082779.5412108474</v>
      </c>
      <c r="R1805" s="2">
        <f t="shared" ca="1" si="1752"/>
        <v>25986708.989060335</v>
      </c>
      <c r="S1805" s="2">
        <f t="shared" ca="1" si="1753"/>
        <v>17324472.659373559</v>
      </c>
      <c r="T1805" s="2">
        <f t="shared" ca="1" si="1754"/>
        <v>49145786.953794345</v>
      </c>
      <c r="U1805" s="2">
        <f t="shared" ca="1" si="1755"/>
        <v>49627417.507337026</v>
      </c>
      <c r="V1805" s="2">
        <f t="shared" ca="1" si="1756"/>
        <v>50113768.058350168</v>
      </c>
      <c r="W1805" s="2">
        <f t="shared" ca="1" si="1757"/>
        <v>50604884.862985834</v>
      </c>
      <c r="X1805" s="2">
        <f t="shared" ca="1" si="1758"/>
        <v>51100814.630708106</v>
      </c>
      <c r="Y1805" s="2">
        <f t="shared" ca="1" si="1759"/>
        <v>0.12718850980628857</v>
      </c>
      <c r="Z1805" s="2">
        <f t="shared" ca="1" si="1760"/>
        <v>0.13006391372880399</v>
      </c>
      <c r="AA1805" s="2">
        <f t="shared" ca="1" si="1761"/>
        <v>6250779.4059104407</v>
      </c>
      <c r="AB1805" s="2">
        <f t="shared" ca="1" si="1762"/>
        <v>6454736.1492576199</v>
      </c>
      <c r="AC1805" s="2">
        <f t="shared" ca="1" si="1763"/>
        <v>6517992.8053665496</v>
      </c>
      <c r="AD1805" s="2">
        <f t="shared" ca="1" si="1764"/>
        <v>6581869.379075449</v>
      </c>
      <c r="AE1805" s="2">
        <f t="shared" ca="1" si="1765"/>
        <v>6646371.9456000235</v>
      </c>
      <c r="AF1805" s="2">
        <f t="shared" ca="1" si="1766"/>
        <v>982915.7390758869</v>
      </c>
      <c r="AG1805" s="2">
        <f t="shared" ca="1" si="1767"/>
        <v>992548.35014674056</v>
      </c>
      <c r="AH1805" s="2">
        <f t="shared" ca="1" si="1768"/>
        <v>1002275.3611670034</v>
      </c>
      <c r="AI1805" s="2">
        <f t="shared" ca="1" si="1769"/>
        <v>1012097.6972597167</v>
      </c>
      <c r="AJ1805" s="2">
        <f t="shared" ca="1" si="1770"/>
        <v>1022016.2926141621</v>
      </c>
      <c r="AK1805" s="2">
        <f t="shared" ca="1" si="1771"/>
        <v>0</v>
      </c>
      <c r="AL1805" s="2">
        <f t="shared" ca="1" si="1772"/>
        <v>4816.3055354268108</v>
      </c>
      <c r="AM1805" s="2">
        <f t="shared" ca="1" si="1773"/>
        <v>4863.5055101314192</v>
      </c>
      <c r="AN1805" s="2">
        <f t="shared" ca="1" si="1774"/>
        <v>4911.1680463566636</v>
      </c>
      <c r="AO1805" s="2">
        <f t="shared" ca="1" si="1775"/>
        <v>4959.2976772227139</v>
      </c>
      <c r="AP1805" s="2">
        <f t="shared" ca="1" si="1776"/>
        <v>2338803.80901543</v>
      </c>
      <c r="AQ1805" s="2">
        <f t="shared" ca="1" si="1777"/>
        <v>761555.56303297216</v>
      </c>
      <c r="AR1805" s="2">
        <f t="shared" ca="1" si="1778"/>
        <v>812079.8374248168</v>
      </c>
      <c r="AS1805" s="2">
        <f t="shared" ca="1" si="1779"/>
        <v>825997.5451478702</v>
      </c>
      <c r="AT1805" s="2">
        <f t="shared" ca="1" si="1780"/>
        <v>840051.64692807861</v>
      </c>
      <c r="AU1805" s="2">
        <f t="shared" ca="1" si="1781"/>
        <v>854243.47943231219</v>
      </c>
      <c r="AV1805" s="2">
        <f t="shared" ca="1" si="1782"/>
        <v>2167504.294786152</v>
      </c>
      <c r="AW1805" s="2">
        <f t="shared" ca="1" si="1783"/>
        <v>2306487.8471352062</v>
      </c>
      <c r="AX1805" s="2">
        <f t="shared" ca="1" si="1784"/>
        <v>2346052.5845261146</v>
      </c>
      <c r="AY1805" s="2">
        <f t="shared" ca="1" si="1785"/>
        <v>2386005.0578258666</v>
      </c>
      <c r="AZ1805" s="2">
        <f t="shared" ca="1" si="1786"/>
        <v>2426349.066860897</v>
      </c>
      <c r="BA1805" s="2">
        <f t="shared" ca="1" si="1787"/>
        <v>47621762.499244101</v>
      </c>
      <c r="BB1805" s="2">
        <f t="shared" ca="1" si="1788"/>
        <v>952435.24998488207</v>
      </c>
      <c r="BC1805" s="2">
        <f t="shared" ca="1" si="1789"/>
        <v>20682618.260198884</v>
      </c>
      <c r="BD1805" s="2">
        <f t="shared" ca="1" si="1790"/>
        <v>-18907252.200584408</v>
      </c>
      <c r="BE1805" s="2">
        <f t="shared" ca="1" si="1791"/>
        <v>2167504.294786152</v>
      </c>
      <c r="BF1805" s="2">
        <f t="shared" ca="1" si="1792"/>
        <v>2306487.8471352062</v>
      </c>
      <c r="BG1805" s="2">
        <f t="shared" ca="1" si="1793"/>
        <v>2346052.5845261146</v>
      </c>
      <c r="BH1805" s="2">
        <f t="shared" ca="1" si="1794"/>
        <v>2386005.0578258666</v>
      </c>
      <c r="BI1805" s="2">
        <f t="shared" ca="1" si="1795"/>
        <v>23108967.327059779</v>
      </c>
      <c r="BJ1805" s="2">
        <f t="shared" ca="1" si="1796"/>
        <v>0.13653023595913316</v>
      </c>
      <c r="BK1805" s="2">
        <f t="shared" ca="1" si="1797"/>
        <v>1165609.3902793266</v>
      </c>
    </row>
    <row r="1806" spans="1:63" x14ac:dyDescent="0.3">
      <c r="A1806" s="2">
        <v>1805</v>
      </c>
      <c r="B1806" s="2">
        <f t="shared" ca="1" si="1736"/>
        <v>0.24186589392870395</v>
      </c>
      <c r="C1806" s="2">
        <f t="shared" ca="1" si="1737"/>
        <v>6.6955082946000051</v>
      </c>
      <c r="D1806" s="2">
        <f t="shared" ca="1" si="1738"/>
        <v>0.29218309750915028</v>
      </c>
      <c r="E1806" s="2">
        <f t="shared" ca="1" si="1739"/>
        <v>7.2644384834754856</v>
      </c>
      <c r="F1806" s="2">
        <f t="shared" ca="1" si="1740"/>
        <v>0.91627166045168551</v>
      </c>
      <c r="G1806" s="2">
        <f t="shared" ca="1" si="1741"/>
        <v>8.1412666942372064E-2</v>
      </c>
      <c r="H1806" s="2">
        <f t="shared" ca="1" si="1742"/>
        <v>8.1412666942372064E-2</v>
      </c>
      <c r="I1806" s="2">
        <f t="shared" ca="1" si="1743"/>
        <v>0.22158517471553962</v>
      </c>
      <c r="J1806" s="2">
        <f t="shared" ca="1" si="1744"/>
        <v>6.1657470146954515E-3</v>
      </c>
      <c r="K1806" s="2">
        <f t="shared" ca="1" si="1745"/>
        <v>6.1657470146954515E-3</v>
      </c>
      <c r="L1806" s="2">
        <f t="shared" ca="1" si="1746"/>
        <v>0.55861811632937974</v>
      </c>
      <c r="M1806" s="2">
        <f t="shared" ca="1" si="1747"/>
        <v>2.9493313278145181E-3</v>
      </c>
      <c r="N1806" s="2">
        <f t="shared" ca="1" si="1748"/>
        <v>2.9493313278145181E-3</v>
      </c>
      <c r="O1806" s="2">
        <f t="shared" si="1749"/>
        <v>6000000</v>
      </c>
      <c r="P1806" s="2">
        <f t="shared" ca="1" si="1750"/>
        <v>40173049.76760003</v>
      </c>
      <c r="Q1806" s="2">
        <f t="shared" ca="1" si="1751"/>
        <v>1004326.2441900008</v>
      </c>
      <c r="R1806" s="2">
        <f t="shared" ca="1" si="1752"/>
        <v>24103829.860560019</v>
      </c>
      <c r="S1806" s="2">
        <f t="shared" ca="1" si="1753"/>
        <v>16069219.907040013</v>
      </c>
      <c r="T1806" s="2">
        <f t="shared" ca="1" si="1754"/>
        <v>50147466.56639073</v>
      </c>
      <c r="U1806" s="2">
        <f t="shared" ca="1" si="1755"/>
        <v>54230105.559964038</v>
      </c>
      <c r="V1806" s="2">
        <f t="shared" ca="1" si="1756"/>
        <v>58645123.082167067</v>
      </c>
      <c r="W1806" s="2">
        <f t="shared" ca="1" si="1757"/>
        <v>63419578.955449946</v>
      </c>
      <c r="X1806" s="2">
        <f t="shared" ca="1" si="1758"/>
        <v>68582736.014575467</v>
      </c>
      <c r="Y1806" s="2">
        <f t="shared" ca="1" si="1759"/>
        <v>0.12308287350734771</v>
      </c>
      <c r="Z1806" s="2">
        <f t="shared" ca="1" si="1760"/>
        <v>0.12431602291028682</v>
      </c>
      <c r="AA1806" s="2">
        <f t="shared" ca="1" si="1761"/>
        <v>6172294.2841050187</v>
      </c>
      <c r="AB1806" s="2">
        <f t="shared" ca="1" si="1762"/>
        <v>6741671.0452197623</v>
      </c>
      <c r="AC1806" s="2">
        <f t="shared" ca="1" si="1763"/>
        <v>7290528.4646592708</v>
      </c>
      <c r="AD1806" s="2">
        <f t="shared" ca="1" si="1764"/>
        <v>7884069.8303864589</v>
      </c>
      <c r="AE1806" s="2">
        <f t="shared" ca="1" si="1765"/>
        <v>8525932.9816381168</v>
      </c>
      <c r="AF1806" s="2">
        <f t="shared" ca="1" si="1766"/>
        <v>1002949.3313278146</v>
      </c>
      <c r="AG1806" s="2">
        <f t="shared" ca="1" si="1767"/>
        <v>1084602.1111992807</v>
      </c>
      <c r="AH1806" s="2">
        <f t="shared" ca="1" si="1768"/>
        <v>1172902.4616433415</v>
      </c>
      <c r="AI1806" s="2">
        <f t="shared" ca="1" si="1769"/>
        <v>1268391.5791089989</v>
      </c>
      <c r="AJ1806" s="2">
        <f t="shared" ca="1" si="1770"/>
        <v>1371654.7202915093</v>
      </c>
      <c r="AK1806" s="2">
        <f t="shared" ca="1" si="1771"/>
        <v>0</v>
      </c>
      <c r="AL1806" s="2">
        <f t="shared" ca="1" si="1772"/>
        <v>40826.389935733081</v>
      </c>
      <c r="AM1806" s="2">
        <f t="shared" ca="1" si="1773"/>
        <v>44150.175222030281</v>
      </c>
      <c r="AN1806" s="2">
        <f t="shared" ca="1" si="1774"/>
        <v>47744.558732828795</v>
      </c>
      <c r="AO1806" s="2">
        <f t="shared" ca="1" si="1775"/>
        <v>51631.570591255208</v>
      </c>
      <c r="AP1806" s="2">
        <f t="shared" ca="1" si="1776"/>
        <v>2169344.6874504015</v>
      </c>
      <c r="AQ1806" s="2">
        <f t="shared" ca="1" si="1777"/>
        <v>780000.0689849687</v>
      </c>
      <c r="AR1806" s="2">
        <f t="shared" ca="1" si="1778"/>
        <v>906808.30410822097</v>
      </c>
      <c r="AS1806" s="2">
        <f t="shared" ca="1" si="1779"/>
        <v>1026553.1420470374</v>
      </c>
      <c r="AT1806" s="2">
        <f t="shared" ca="1" si="1780"/>
        <v>1156046.7265950353</v>
      </c>
      <c r="AU1806" s="2">
        <f t="shared" ca="1" si="1781"/>
        <v>1296082.7292130135</v>
      </c>
      <c r="AV1806" s="2">
        <f t="shared" ca="1" si="1782"/>
        <v>2220000.196341834</v>
      </c>
      <c r="AW1806" s="2">
        <f t="shared" ca="1" si="1783"/>
        <v>2540089.5525261266</v>
      </c>
      <c r="AX1806" s="2">
        <f t="shared" ca="1" si="1784"/>
        <v>2877577.9982964611</v>
      </c>
      <c r="AY1806" s="2">
        <f t="shared" ca="1" si="1785"/>
        <v>3242542.2784991935</v>
      </c>
      <c r="AZ1806" s="2">
        <f t="shared" ca="1" si="1786"/>
        <v>3637219.2740919376</v>
      </c>
      <c r="BA1806" s="2">
        <f t="shared" ca="1" si="1787"/>
        <v>61936115.65934483</v>
      </c>
      <c r="BB1806" s="2">
        <f t="shared" ca="1" si="1788"/>
        <v>1238722.3131868967</v>
      </c>
      <c r="BC1806" s="2">
        <f t="shared" ca="1" si="1789"/>
        <v>36593563.485597908</v>
      </c>
      <c r="BD1806" s="2">
        <f t="shared" ca="1" si="1790"/>
        <v>-17573546.151230015</v>
      </c>
      <c r="BE1806" s="2">
        <f t="shared" ca="1" si="1791"/>
        <v>2220000.196341834</v>
      </c>
      <c r="BF1806" s="2">
        <f t="shared" ca="1" si="1792"/>
        <v>2540089.5525261266</v>
      </c>
      <c r="BG1806" s="2">
        <f t="shared" ca="1" si="1793"/>
        <v>2877577.9982964611</v>
      </c>
      <c r="BH1806" s="2">
        <f t="shared" ca="1" si="1794"/>
        <v>3242542.2784991935</v>
      </c>
      <c r="BI1806" s="2">
        <f t="shared" ca="1" si="1795"/>
        <v>40230782.759689845</v>
      </c>
      <c r="BJ1806" s="2">
        <f t="shared" ca="1" si="1796"/>
        <v>0.27999916255199797</v>
      </c>
      <c r="BK1806" s="2">
        <f t="shared" ca="1" si="1797"/>
        <v>13370464.70406013</v>
      </c>
    </row>
    <row r="1807" spans="1:63" x14ac:dyDescent="0.3">
      <c r="A1807" s="2">
        <v>1806</v>
      </c>
      <c r="B1807" s="2">
        <f t="shared" ca="1" si="1736"/>
        <v>0.45730280388203748</v>
      </c>
      <c r="C1807" s="2">
        <f t="shared" ca="1" si="1737"/>
        <v>6.9563501491420778</v>
      </c>
      <c r="D1807" s="2">
        <f t="shared" ca="1" si="1738"/>
        <v>0.68992500046234162</v>
      </c>
      <c r="E1807" s="2">
        <f t="shared" ca="1" si="1739"/>
        <v>7.7125039688510695</v>
      </c>
      <c r="F1807" s="2">
        <f t="shared" ca="1" si="1740"/>
        <v>0.2829285709731949</v>
      </c>
      <c r="G1807" s="2">
        <f t="shared" ca="1" si="1741"/>
        <v>2.2775093922444874E-2</v>
      </c>
      <c r="H1807" s="2">
        <f t="shared" ca="1" si="1742"/>
        <v>2.2775093922444874E-2</v>
      </c>
      <c r="I1807" s="2">
        <f t="shared" ca="1" si="1743"/>
        <v>0.92950802984107628</v>
      </c>
      <c r="J1807" s="2">
        <f t="shared" ca="1" si="1744"/>
        <v>1.7360683989586446E-2</v>
      </c>
      <c r="K1807" s="2">
        <f t="shared" ca="1" si="1745"/>
        <v>1.7360683989586446E-2</v>
      </c>
      <c r="L1807" s="2">
        <f t="shared" ca="1" si="1746"/>
        <v>0.86277294586176245</v>
      </c>
      <c r="M1807" s="2">
        <f t="shared" ca="1" si="1747"/>
        <v>2.1857253049702589E-2</v>
      </c>
      <c r="N1807" s="2">
        <f t="shared" ca="1" si="1748"/>
        <v>2.1857253049702589E-2</v>
      </c>
      <c r="O1807" s="2">
        <f t="shared" si="1749"/>
        <v>6000000</v>
      </c>
      <c r="P1807" s="2">
        <f t="shared" ca="1" si="1750"/>
        <v>41738100.894852467</v>
      </c>
      <c r="Q1807" s="2">
        <f t="shared" ca="1" si="1751"/>
        <v>1043452.5223713117</v>
      </c>
      <c r="R1807" s="2">
        <f t="shared" ca="1" si="1752"/>
        <v>25042860.53691148</v>
      </c>
      <c r="S1807" s="2">
        <f t="shared" ca="1" si="1753"/>
        <v>16695240.357940987</v>
      </c>
      <c r="T1807" s="2">
        <f t="shared" ca="1" si="1754"/>
        <v>51092862.652485125</v>
      </c>
      <c r="U1807" s="2">
        <f t="shared" ca="1" si="1755"/>
        <v>52256507.398162052</v>
      </c>
      <c r="V1807" s="2">
        <f t="shared" ca="1" si="1756"/>
        <v>53446654.262214132</v>
      </c>
      <c r="W1807" s="2">
        <f t="shared" ca="1" si="1757"/>
        <v>54663906.832876496</v>
      </c>
      <c r="X1807" s="2">
        <f t="shared" ca="1" si="1758"/>
        <v>55908882.445163034</v>
      </c>
      <c r="Y1807" s="2">
        <f t="shared" ca="1" si="1759"/>
        <v>0.12868034199479322</v>
      </c>
      <c r="Z1807" s="2">
        <f t="shared" ca="1" si="1760"/>
        <v>0.1321524787927105</v>
      </c>
      <c r="AA1807" s="2">
        <f t="shared" ca="1" si="1761"/>
        <v>6574647.0396147836</v>
      </c>
      <c r="AB1807" s="2">
        <f t="shared" ca="1" si="1762"/>
        <v>6905826.9857167294</v>
      </c>
      <c r="AC1807" s="2">
        <f t="shared" ca="1" si="1763"/>
        <v>7063107.843928583</v>
      </c>
      <c r="AD1807" s="2">
        <f t="shared" ca="1" si="1764"/>
        <v>7223970.7884584134</v>
      </c>
      <c r="AE1807" s="2">
        <f t="shared" ca="1" si="1765"/>
        <v>7388497.4016585518</v>
      </c>
      <c r="AF1807" s="2">
        <f t="shared" ca="1" si="1766"/>
        <v>1021857.2530497025</v>
      </c>
      <c r="AG1807" s="2">
        <f t="shared" ca="1" si="1767"/>
        <v>1045130.1479632411</v>
      </c>
      <c r="AH1807" s="2">
        <f t="shared" ca="1" si="1768"/>
        <v>1068933.0852442826</v>
      </c>
      <c r="AI1807" s="2">
        <f t="shared" ca="1" si="1769"/>
        <v>1093278.13665753</v>
      </c>
      <c r="AJ1807" s="2">
        <f t="shared" ca="1" si="1770"/>
        <v>1118177.6489032607</v>
      </c>
      <c r="AK1807" s="2">
        <f t="shared" ca="1" si="1771"/>
        <v>0</v>
      </c>
      <c r="AL1807" s="2">
        <f t="shared" ca="1" si="1772"/>
        <v>11636.447456769272</v>
      </c>
      <c r="AM1807" s="2">
        <f t="shared" ca="1" si="1773"/>
        <v>11901.468640520796</v>
      </c>
      <c r="AN1807" s="2">
        <f t="shared" ca="1" si="1774"/>
        <v>12172.525706623645</v>
      </c>
      <c r="AO1807" s="2">
        <f t="shared" ca="1" si="1775"/>
        <v>12449.756122865379</v>
      </c>
      <c r="AP1807" s="2">
        <f t="shared" ca="1" si="1776"/>
        <v>2253857.448322033</v>
      </c>
      <c r="AQ1807" s="2">
        <f t="shared" ca="1" si="1777"/>
        <v>857722.40794319252</v>
      </c>
      <c r="AR1807" s="2">
        <f t="shared" ca="1" si="1778"/>
        <v>937778.24125217844</v>
      </c>
      <c r="AS1807" s="2">
        <f t="shared" ca="1" si="1779"/>
        <v>972482.50069418945</v>
      </c>
      <c r="AT1807" s="2">
        <f t="shared" ca="1" si="1780"/>
        <v>1007977.1529045013</v>
      </c>
      <c r="AU1807" s="2">
        <f t="shared" ca="1" si="1781"/>
        <v>1044280.1991526471</v>
      </c>
      <c r="AV1807" s="2">
        <f t="shared" ca="1" si="1782"/>
        <v>2441209.9302998553</v>
      </c>
      <c r="AW1807" s="2">
        <f t="shared" ca="1" si="1783"/>
        <v>2657424.7007225077</v>
      </c>
      <c r="AX1807" s="2">
        <f t="shared" ca="1" si="1784"/>
        <v>2755933.3410275565</v>
      </c>
      <c r="AY1807" s="2">
        <f t="shared" ca="1" si="1785"/>
        <v>2856685.524867726</v>
      </c>
      <c r="AZ1807" s="2">
        <f t="shared" ca="1" si="1786"/>
        <v>2959732.3491577455</v>
      </c>
      <c r="BA1807" s="2">
        <f t="shared" ca="1" si="1787"/>
        <v>56983815.534137398</v>
      </c>
      <c r="BB1807" s="2">
        <f t="shared" ca="1" si="1788"/>
        <v>1139676.310682748</v>
      </c>
      <c r="BC1807" s="2">
        <f t="shared" ca="1" si="1789"/>
        <v>30801278.68654317</v>
      </c>
      <c r="BD1807" s="2">
        <f t="shared" ca="1" si="1790"/>
        <v>-18238692.880312297</v>
      </c>
      <c r="BE1807" s="2">
        <f t="shared" ca="1" si="1791"/>
        <v>2441209.9302998553</v>
      </c>
      <c r="BF1807" s="2">
        <f t="shared" ca="1" si="1792"/>
        <v>2657424.7007225077</v>
      </c>
      <c r="BG1807" s="2">
        <f t="shared" ca="1" si="1793"/>
        <v>2755933.3410275565</v>
      </c>
      <c r="BH1807" s="2">
        <f t="shared" ca="1" si="1794"/>
        <v>2856685.524867726</v>
      </c>
      <c r="BI1807" s="2">
        <f t="shared" ca="1" si="1795"/>
        <v>33761011.035700917</v>
      </c>
      <c r="BJ1807" s="2">
        <f t="shared" ca="1" si="1796"/>
        <v>0.23370255488441827</v>
      </c>
      <c r="BK1807" s="2">
        <f t="shared" ca="1" si="1797"/>
        <v>8993440.0943119191</v>
      </c>
    </row>
    <row r="1808" spans="1:63" x14ac:dyDescent="0.3">
      <c r="A1808" s="2">
        <v>1807</v>
      </c>
      <c r="B1808" s="2">
        <f t="shared" ca="1" si="1736"/>
        <v>0.32226300055751056</v>
      </c>
      <c r="C1808" s="2">
        <f t="shared" ca="1" si="1737"/>
        <v>6.8028237671587837</v>
      </c>
      <c r="D1808" s="2">
        <f t="shared" ca="1" si="1738"/>
        <v>0.47393388873292897</v>
      </c>
      <c r="E1808" s="2">
        <f t="shared" ca="1" si="1739"/>
        <v>7.4735850129628423</v>
      </c>
      <c r="F1808" s="2">
        <f t="shared" ca="1" si="1740"/>
        <v>0.78755745008557376</v>
      </c>
      <c r="G1808" s="2">
        <f t="shared" ca="1" si="1741"/>
        <v>6.3939244735864598E-2</v>
      </c>
      <c r="H1808" s="2">
        <f t="shared" ca="1" si="1742"/>
        <v>6.3939244735864598E-2</v>
      </c>
      <c r="I1808" s="2">
        <f t="shared" ca="1" si="1743"/>
        <v>0.3874072958402871</v>
      </c>
      <c r="J1808" s="2">
        <f t="shared" ca="1" si="1744"/>
        <v>8.5695852610133631E-3</v>
      </c>
      <c r="K1808" s="2">
        <f t="shared" ca="1" si="1745"/>
        <v>8.5695852610133631E-3</v>
      </c>
      <c r="L1808" s="2">
        <f t="shared" ca="1" si="1746"/>
        <v>0.41597781915182053</v>
      </c>
      <c r="M1808" s="2">
        <f t="shared" ca="1" si="1747"/>
        <v>-4.2438812604877639E-3</v>
      </c>
      <c r="N1808" s="2">
        <f t="shared" ca="1" si="1748"/>
        <v>-4.2438812604877639E-3</v>
      </c>
      <c r="O1808" s="2">
        <f t="shared" si="1749"/>
        <v>6000000</v>
      </c>
      <c r="P1808" s="2">
        <f t="shared" ca="1" si="1750"/>
        <v>40816942.602952704</v>
      </c>
      <c r="Q1808" s="2">
        <f t="shared" ca="1" si="1751"/>
        <v>1020423.5650738176</v>
      </c>
      <c r="R1808" s="2">
        <f t="shared" ca="1" si="1752"/>
        <v>24490165.56177162</v>
      </c>
      <c r="S1808" s="2">
        <f t="shared" ca="1" si="1753"/>
        <v>16326777.041181082</v>
      </c>
      <c r="T1808" s="2">
        <f t="shared" ca="1" si="1754"/>
        <v>49787805.936975613</v>
      </c>
      <c r="U1808" s="2">
        <f t="shared" ca="1" si="1755"/>
        <v>52971200.645641632</v>
      </c>
      <c r="V1808" s="2">
        <f t="shared" ca="1" si="1756"/>
        <v>56358139.207675904</v>
      </c>
      <c r="W1808" s="2">
        <f t="shared" ca="1" si="1757"/>
        <v>59961636.063333422</v>
      </c>
      <c r="X1808" s="2">
        <f t="shared" ca="1" si="1758"/>
        <v>63795537.786349744</v>
      </c>
      <c r="Y1808" s="2">
        <f t="shared" ca="1" si="1759"/>
        <v>0.12428479263050668</v>
      </c>
      <c r="Z1808" s="2">
        <f t="shared" ca="1" si="1760"/>
        <v>0.12599870968270935</v>
      </c>
      <c r="AA1808" s="2">
        <f t="shared" ca="1" si="1761"/>
        <v>6187867.1364049232</v>
      </c>
      <c r="AB1808" s="2">
        <f t="shared" ca="1" si="1762"/>
        <v>6674302.931694746</v>
      </c>
      <c r="AC1808" s="2">
        <f t="shared" ca="1" si="1763"/>
        <v>7101052.8202856751</v>
      </c>
      <c r="AD1808" s="2">
        <f t="shared" ca="1" si="1764"/>
        <v>7555088.7744442225</v>
      </c>
      <c r="AE1808" s="2">
        <f t="shared" ca="1" si="1765"/>
        <v>8038155.4445945956</v>
      </c>
      <c r="AF1808" s="2">
        <f t="shared" ca="1" si="1766"/>
        <v>995756.11873951228</v>
      </c>
      <c r="AG1808" s="2">
        <f t="shared" ca="1" si="1767"/>
        <v>1059424.0129128327</v>
      </c>
      <c r="AH1808" s="2">
        <f t="shared" ca="1" si="1768"/>
        <v>1127162.784153518</v>
      </c>
      <c r="AI1808" s="2">
        <f t="shared" ca="1" si="1769"/>
        <v>1199232.7212666685</v>
      </c>
      <c r="AJ1808" s="2">
        <f t="shared" ca="1" si="1770"/>
        <v>1275910.7557269949</v>
      </c>
      <c r="AK1808" s="2">
        <f t="shared" ca="1" si="1771"/>
        <v>0</v>
      </c>
      <c r="AL1808" s="2">
        <f t="shared" ca="1" si="1772"/>
        <v>31833.947086660191</v>
      </c>
      <c r="AM1808" s="2">
        <f t="shared" ca="1" si="1773"/>
        <v>33869.38562034272</v>
      </c>
      <c r="AN1808" s="2">
        <f t="shared" ca="1" si="1774"/>
        <v>36034.968556575179</v>
      </c>
      <c r="AO1808" s="2">
        <f t="shared" ca="1" si="1775"/>
        <v>38339.017230163219</v>
      </c>
      <c r="AP1808" s="2">
        <f t="shared" ca="1" si="1776"/>
        <v>2204114.9005594458</v>
      </c>
      <c r="AQ1808" s="2">
        <f t="shared" ca="1" si="1777"/>
        <v>776878.99044755078</v>
      </c>
      <c r="AR1808" s="2">
        <f t="shared" ca="1" si="1778"/>
        <v>886798.64473784168</v>
      </c>
      <c r="AS1808" s="2">
        <f t="shared" ca="1" si="1779"/>
        <v>980141.53524890484</v>
      </c>
      <c r="AT1808" s="2">
        <f t="shared" ca="1" si="1780"/>
        <v>1079452.6996807081</v>
      </c>
      <c r="AU1808" s="2">
        <f t="shared" ca="1" si="1781"/>
        <v>1185113.7449601202</v>
      </c>
      <c r="AV1808" s="2">
        <f t="shared" ca="1" si="1782"/>
        <v>2211117.1266584136</v>
      </c>
      <c r="AW1808" s="2">
        <f t="shared" ca="1" si="1783"/>
        <v>2492131.4263979662</v>
      </c>
      <c r="AX1808" s="2">
        <f t="shared" ca="1" si="1784"/>
        <v>2755764.2147034639</v>
      </c>
      <c r="AY1808" s="2">
        <f t="shared" ca="1" si="1785"/>
        <v>3036253.4843808245</v>
      </c>
      <c r="AZ1808" s="2">
        <f t="shared" ca="1" si="1786"/>
        <v>3334677.0261178715</v>
      </c>
      <c r="BA1808" s="2">
        <f t="shared" ca="1" si="1787"/>
        <v>60073838.062587842</v>
      </c>
      <c r="BB1808" s="2">
        <f t="shared" ca="1" si="1788"/>
        <v>1201476.7612517569</v>
      </c>
      <c r="BC1808" s="2">
        <f t="shared" ca="1" si="1789"/>
        <v>34382195.739564471</v>
      </c>
      <c r="BD1808" s="2">
        <f t="shared" ca="1" si="1790"/>
        <v>-17847200.606254898</v>
      </c>
      <c r="BE1808" s="2">
        <f t="shared" ca="1" si="1791"/>
        <v>2211117.1266584136</v>
      </c>
      <c r="BF1808" s="2">
        <f t="shared" ca="1" si="1792"/>
        <v>2492131.4263979662</v>
      </c>
      <c r="BG1808" s="2">
        <f t="shared" ca="1" si="1793"/>
        <v>2755764.2147034639</v>
      </c>
      <c r="BH1808" s="2">
        <f t="shared" ca="1" si="1794"/>
        <v>3036253.4843808245</v>
      </c>
      <c r="BI1808" s="2">
        <f t="shared" ca="1" si="1795"/>
        <v>37716872.76568234</v>
      </c>
      <c r="BJ1808" s="2">
        <f t="shared" ca="1" si="1796"/>
        <v>0.25890163249038389</v>
      </c>
      <c r="BK1808" s="2">
        <f t="shared" ca="1" si="1797"/>
        <v>11406382.065723009</v>
      </c>
    </row>
    <row r="1809" spans="1:63" x14ac:dyDescent="0.3">
      <c r="A1809" s="2">
        <v>1808</v>
      </c>
      <c r="B1809" s="2">
        <f t="shared" ca="1" si="1736"/>
        <v>0.53622379184479119</v>
      </c>
      <c r="C1809" s="2">
        <f t="shared" ca="1" si="1737"/>
        <v>7.0369047729791108</v>
      </c>
      <c r="D1809" s="2">
        <f t="shared" ca="1" si="1738"/>
        <v>0.98552268020172384</v>
      </c>
      <c r="E1809" s="2">
        <f t="shared" ca="1" si="1739"/>
        <v>8.3298393711913583</v>
      </c>
      <c r="F1809" s="2">
        <f t="shared" ca="1" si="1740"/>
        <v>0.36970586743659062</v>
      </c>
      <c r="G1809" s="2">
        <f t="shared" ca="1" si="1741"/>
        <v>3.0021026083707297E-2</v>
      </c>
      <c r="H1809" s="2">
        <f t="shared" ca="1" si="1742"/>
        <v>3.0021026083707297E-2</v>
      </c>
      <c r="I1809" s="2">
        <f t="shared" ca="1" si="1743"/>
        <v>0.72687143448290892</v>
      </c>
      <c r="J1809" s="2">
        <f t="shared" ca="1" si="1744"/>
        <v>1.301689092629957E-2</v>
      </c>
      <c r="K1809" s="2">
        <f t="shared" ca="1" si="1745"/>
        <v>1.301689092629957E-2</v>
      </c>
      <c r="L1809" s="2">
        <f t="shared" ca="1" si="1746"/>
        <v>0.3139523877524858</v>
      </c>
      <c r="M1809" s="2">
        <f t="shared" ca="1" si="1747"/>
        <v>-9.6935599741306416E-3</v>
      </c>
      <c r="N1809" s="2">
        <f t="shared" ca="1" si="1748"/>
        <v>-9.6935599741306416E-3</v>
      </c>
      <c r="O1809" s="2">
        <f t="shared" si="1749"/>
        <v>6000000</v>
      </c>
      <c r="P1809" s="2">
        <f t="shared" ca="1" si="1750"/>
        <v>42221428.637874663</v>
      </c>
      <c r="Q1809" s="2">
        <f t="shared" ca="1" si="1751"/>
        <v>1055535.7159468667</v>
      </c>
      <c r="R1809" s="2">
        <f t="shared" ca="1" si="1752"/>
        <v>25332857.182724796</v>
      </c>
      <c r="S1809" s="2">
        <f t="shared" ca="1" si="1753"/>
        <v>16888571.455149867</v>
      </c>
      <c r="T1809" s="2">
        <f t="shared" ca="1" si="1754"/>
        <v>49515322.001293465</v>
      </c>
      <c r="U1809" s="2">
        <f t="shared" ca="1" si="1755"/>
        <v>51001822.774637461</v>
      </c>
      <c r="V1809" s="2">
        <f t="shared" ca="1" si="1756"/>
        <v>52532949.82647147</v>
      </c>
      <c r="W1809" s="2">
        <f t="shared" ca="1" si="1757"/>
        <v>54110042.883466057</v>
      </c>
      <c r="X1809" s="2">
        <f t="shared" ca="1" si="1758"/>
        <v>55734481.89226111</v>
      </c>
      <c r="Y1809" s="2">
        <f t="shared" ca="1" si="1759"/>
        <v>0.12650844546314979</v>
      </c>
      <c r="Z1809" s="2">
        <f t="shared" ca="1" si="1760"/>
        <v>0.1291118236484097</v>
      </c>
      <c r="AA1809" s="2">
        <f t="shared" ca="1" si="1761"/>
        <v>6264106.4129909351</v>
      </c>
      <c r="AB1809" s="2">
        <f t="shared" ca="1" si="1762"/>
        <v>6584938.3478264371</v>
      </c>
      <c r="AC1809" s="2">
        <f t="shared" ca="1" si="1763"/>
        <v>6782624.9537261399</v>
      </c>
      <c r="AD1809" s="2">
        <f t="shared" ca="1" si="1764"/>
        <v>6986246.3143779561</v>
      </c>
      <c r="AE1809" s="2">
        <f t="shared" ca="1" si="1765"/>
        <v>7195980.5972091006</v>
      </c>
      <c r="AF1809" s="2">
        <f t="shared" ca="1" si="1766"/>
        <v>990306.44002586929</v>
      </c>
      <c r="AG1809" s="2">
        <f t="shared" ca="1" si="1767"/>
        <v>1020036.4554927492</v>
      </c>
      <c r="AH1809" s="2">
        <f t="shared" ca="1" si="1768"/>
        <v>1050658.9965294295</v>
      </c>
      <c r="AI1809" s="2">
        <f t="shared" ca="1" si="1769"/>
        <v>1082200.8576693211</v>
      </c>
      <c r="AJ1809" s="2">
        <f t="shared" ca="1" si="1770"/>
        <v>1114689.6378452221</v>
      </c>
      <c r="AK1809" s="2">
        <f t="shared" ca="1" si="1771"/>
        <v>0</v>
      </c>
      <c r="AL1809" s="2">
        <f t="shared" ca="1" si="1772"/>
        <v>14865.007733439952</v>
      </c>
      <c r="AM1809" s="2">
        <f t="shared" ca="1" si="1773"/>
        <v>15311.270518340096</v>
      </c>
      <c r="AN1809" s="2">
        <f t="shared" ca="1" si="1774"/>
        <v>15770.930569945873</v>
      </c>
      <c r="AO1809" s="2">
        <f t="shared" ca="1" si="1775"/>
        <v>16244.390087950527</v>
      </c>
      <c r="AP1809" s="2">
        <f t="shared" ca="1" si="1776"/>
        <v>2279957.1464452315</v>
      </c>
      <c r="AQ1809" s="2">
        <f t="shared" ca="1" si="1777"/>
        <v>778399.13489515684</v>
      </c>
      <c r="AR1809" s="2">
        <f t="shared" ca="1" si="1778"/>
        <v>854085.63393099874</v>
      </c>
      <c r="AS1809" s="2">
        <f t="shared" ca="1" si="1779"/>
        <v>897522.29079538456</v>
      </c>
      <c r="AT1809" s="2">
        <f t="shared" ca="1" si="1780"/>
        <v>942262.96066848503</v>
      </c>
      <c r="AU1809" s="2">
        <f t="shared" ca="1" si="1781"/>
        <v>988346.79135884834</v>
      </c>
      <c r="AV1809" s="2">
        <f t="shared" ca="1" si="1782"/>
        <v>2215443.6916246768</v>
      </c>
      <c r="AW1809" s="2">
        <f t="shared" ca="1" si="1783"/>
        <v>2415994.1042240178</v>
      </c>
      <c r="AX1809" s="2">
        <f t="shared" ca="1" si="1784"/>
        <v>2539175.249437754</v>
      </c>
      <c r="AY1809" s="2">
        <f t="shared" ca="1" si="1785"/>
        <v>2666054.4190249732</v>
      </c>
      <c r="AZ1809" s="2">
        <f t="shared" ca="1" si="1786"/>
        <v>2796742.6314718481</v>
      </c>
      <c r="BA1809" s="2">
        <f t="shared" ca="1" si="1787"/>
        <v>59941362.492961466</v>
      </c>
      <c r="BB1809" s="2">
        <f t="shared" ca="1" si="1788"/>
        <v>1198827.2498592294</v>
      </c>
      <c r="BC1809" s="2">
        <f t="shared" ca="1" si="1789"/>
        <v>33409678.060377441</v>
      </c>
      <c r="BD1809" s="2">
        <f t="shared" ca="1" si="1790"/>
        <v>-18444107.171096735</v>
      </c>
      <c r="BE1809" s="2">
        <f t="shared" ca="1" si="1791"/>
        <v>2215443.6916246768</v>
      </c>
      <c r="BF1809" s="2">
        <f t="shared" ca="1" si="1792"/>
        <v>2415994.1042240178</v>
      </c>
      <c r="BG1809" s="2">
        <f t="shared" ca="1" si="1793"/>
        <v>2539175.249437754</v>
      </c>
      <c r="BH1809" s="2">
        <f t="shared" ca="1" si="1794"/>
        <v>2666054.4190249732</v>
      </c>
      <c r="BI1809" s="2">
        <f t="shared" ca="1" si="1795"/>
        <v>36206420.691849291</v>
      </c>
      <c r="BJ1809" s="2">
        <f t="shared" ca="1" si="1796"/>
        <v>0.23548707080645315</v>
      </c>
      <c r="BK1809" s="2">
        <f t="shared" ca="1" si="1797"/>
        <v>9506139.2812437154</v>
      </c>
    </row>
    <row r="1810" spans="1:63" x14ac:dyDescent="0.3">
      <c r="A1810" s="2">
        <v>1809</v>
      </c>
      <c r="B1810" s="2">
        <f t="shared" ca="1" si="1736"/>
        <v>9.4562800529619295E-2</v>
      </c>
      <c r="C1810" s="2">
        <f t="shared" ca="1" si="1737"/>
        <v>6.4348857333360554</v>
      </c>
      <c r="D1810" s="2">
        <f t="shared" ca="1" si="1738"/>
        <v>0.25280609123634235</v>
      </c>
      <c r="E1810" s="2">
        <f t="shared" ca="1" si="1739"/>
        <v>7.2110641198040337</v>
      </c>
      <c r="F1810" s="2">
        <f t="shared" ca="1" si="1740"/>
        <v>0.13332394846390172</v>
      </c>
      <c r="G1810" s="2">
        <f t="shared" ca="1" si="1741"/>
        <v>6.6755436171131027E-3</v>
      </c>
      <c r="H1810" s="2">
        <f t="shared" ca="1" si="1742"/>
        <v>6.6755436171131027E-3</v>
      </c>
      <c r="I1810" s="2">
        <f t="shared" ca="1" si="1743"/>
        <v>0.34185668870726837</v>
      </c>
      <c r="J1810" s="2">
        <f t="shared" ca="1" si="1744"/>
        <v>7.9629942155265802E-3</v>
      </c>
      <c r="K1810" s="2">
        <f t="shared" ca="1" si="1745"/>
        <v>7.9629942155265802E-3</v>
      </c>
      <c r="L1810" s="2">
        <f t="shared" ca="1" si="1746"/>
        <v>5.7721917572202908E-2</v>
      </c>
      <c r="M1810" s="2">
        <f t="shared" ca="1" si="1747"/>
        <v>-3.1483773638995294E-2</v>
      </c>
      <c r="N1810" s="2">
        <f t="shared" ca="1" si="1748"/>
        <v>-3.1483773638995294E-2</v>
      </c>
      <c r="O1810" s="2">
        <f t="shared" si="1749"/>
        <v>6000000</v>
      </c>
      <c r="P1810" s="2">
        <f t="shared" ca="1" si="1750"/>
        <v>38609314.40001633</v>
      </c>
      <c r="Q1810" s="2">
        <f t="shared" ca="1" si="1751"/>
        <v>965232.86000040825</v>
      </c>
      <c r="R1810" s="2">
        <f t="shared" ca="1" si="1752"/>
        <v>23165588.640009798</v>
      </c>
      <c r="S1810" s="2">
        <f t="shared" ca="1" si="1753"/>
        <v>15443725.760006532</v>
      </c>
      <c r="T1810" s="2">
        <f t="shared" ca="1" si="1754"/>
        <v>48425811.318050236</v>
      </c>
      <c r="U1810" s="2">
        <f t="shared" ca="1" si="1755"/>
        <v>48749079.933697969</v>
      </c>
      <c r="V1810" s="2">
        <f t="shared" ca="1" si="1756"/>
        <v>49074506.543089502</v>
      </c>
      <c r="W1810" s="2">
        <f t="shared" ca="1" si="1757"/>
        <v>49402105.5520062</v>
      </c>
      <c r="X1810" s="2">
        <f t="shared" ca="1" si="1758"/>
        <v>49731891.462395839</v>
      </c>
      <c r="Y1810" s="2">
        <f t="shared" ca="1" si="1759"/>
        <v>0.12398149710776328</v>
      </c>
      <c r="Z1810" s="2">
        <f t="shared" ca="1" si="1760"/>
        <v>0.1255740959508686</v>
      </c>
      <c r="AA1810" s="2">
        <f t="shared" ca="1" si="1761"/>
        <v>6003904.5858699353</v>
      </c>
      <c r="AB1810" s="2">
        <f t="shared" ca="1" si="1762"/>
        <v>6121621.6411107518</v>
      </c>
      <c r="AC1810" s="2">
        <f t="shared" ca="1" si="1763"/>
        <v>6162486.7933834502</v>
      </c>
      <c r="AD1810" s="2">
        <f t="shared" ca="1" si="1764"/>
        <v>6203624.7427625647</v>
      </c>
      <c r="AE1810" s="2">
        <f t="shared" ca="1" si="1765"/>
        <v>6245037.3103170786</v>
      </c>
      <c r="AF1810" s="2">
        <f t="shared" ca="1" si="1766"/>
        <v>968516.22636100475</v>
      </c>
      <c r="AG1810" s="2">
        <f t="shared" ca="1" si="1767"/>
        <v>974981.59867395938</v>
      </c>
      <c r="AH1810" s="2">
        <f t="shared" ca="1" si="1768"/>
        <v>981490.13086179004</v>
      </c>
      <c r="AI1810" s="2">
        <f t="shared" ca="1" si="1769"/>
        <v>988042.11104012397</v>
      </c>
      <c r="AJ1810" s="2">
        <f t="shared" ca="1" si="1770"/>
        <v>994637.82924791682</v>
      </c>
      <c r="AK1810" s="2">
        <f t="shared" ca="1" si="1771"/>
        <v>0</v>
      </c>
      <c r="AL1810" s="2">
        <f t="shared" ca="1" si="1772"/>
        <v>3232.6861564773321</v>
      </c>
      <c r="AM1810" s="2">
        <f t="shared" ca="1" si="1773"/>
        <v>3254.2660939153284</v>
      </c>
      <c r="AN1810" s="2">
        <f t="shared" ca="1" si="1774"/>
        <v>3275.990089166984</v>
      </c>
      <c r="AO1810" s="2">
        <f t="shared" ca="1" si="1775"/>
        <v>3297.8591038963946</v>
      </c>
      <c r="AP1810" s="2">
        <f t="shared" ca="1" si="1776"/>
        <v>2084902.9776008818</v>
      </c>
      <c r="AQ1810" s="2">
        <f t="shared" ca="1" si="1777"/>
        <v>767126.19929609273</v>
      </c>
      <c r="AR1810" s="2">
        <f t="shared" ca="1" si="1778"/>
        <v>796051.63685733685</v>
      </c>
      <c r="AS1810" s="2">
        <f t="shared" ca="1" si="1779"/>
        <v>804984.35807940247</v>
      </c>
      <c r="AT1810" s="2">
        <f t="shared" ca="1" si="1780"/>
        <v>813976.7100716054</v>
      </c>
      <c r="AU1810" s="2">
        <f t="shared" ca="1" si="1781"/>
        <v>823029.0909017527</v>
      </c>
      <c r="AV1810" s="2">
        <f t="shared" ca="1" si="1782"/>
        <v>2183359.1826119563</v>
      </c>
      <c r="AW1810" s="2">
        <f t="shared" ca="1" si="1783"/>
        <v>2262452.7418220956</v>
      </c>
      <c r="AX1810" s="2">
        <f t="shared" ca="1" si="1784"/>
        <v>2287855.0607474605</v>
      </c>
      <c r="AY1810" s="2">
        <f t="shared" ca="1" si="1785"/>
        <v>2313426.9539607866</v>
      </c>
      <c r="AZ1810" s="2">
        <f t="shared" ca="1" si="1786"/>
        <v>2339169.5534626301</v>
      </c>
      <c r="BA1810" s="2">
        <f t="shared" ca="1" si="1787"/>
        <v>45033364.475264974</v>
      </c>
      <c r="BB1810" s="2">
        <f t="shared" ca="1" si="1788"/>
        <v>900667.28950529953</v>
      </c>
      <c r="BC1810" s="2">
        <f t="shared" ca="1" si="1789"/>
        <v>20967108.545749877</v>
      </c>
      <c r="BD1810" s="2">
        <f t="shared" ca="1" si="1790"/>
        <v>-16908958.620006941</v>
      </c>
      <c r="BE1810" s="2">
        <f t="shared" ca="1" si="1791"/>
        <v>2183359.1826119563</v>
      </c>
      <c r="BF1810" s="2">
        <f t="shared" ca="1" si="1792"/>
        <v>2262452.7418220956</v>
      </c>
      <c r="BG1810" s="2">
        <f t="shared" ca="1" si="1793"/>
        <v>2287855.0607474605</v>
      </c>
      <c r="BH1810" s="2">
        <f t="shared" ca="1" si="1794"/>
        <v>2313426.9539607866</v>
      </c>
      <c r="BI1810" s="2">
        <f t="shared" ca="1" si="1795"/>
        <v>23306278.099212505</v>
      </c>
      <c r="BJ1810" s="2">
        <f t="shared" ca="1" si="1796"/>
        <v>0.16832984555473818</v>
      </c>
      <c r="BK1810" s="2">
        <f t="shared" ca="1" si="1797"/>
        <v>3167365.4903904684</v>
      </c>
    </row>
    <row r="1811" spans="1:63" x14ac:dyDescent="0.3">
      <c r="A1811" s="2">
        <v>1810</v>
      </c>
      <c r="B1811" s="2">
        <f t="shared" ca="1" si="1736"/>
        <v>0.90037814642885727</v>
      </c>
      <c r="C1811" s="2">
        <f t="shared" ca="1" si="1737"/>
        <v>7.5536327665001775</v>
      </c>
      <c r="D1811" s="2">
        <f t="shared" ca="1" si="1738"/>
        <v>8.168640029659624E-2</v>
      </c>
      <c r="E1811" s="2">
        <f t="shared" ca="1" si="1739"/>
        <v>6.9041940135543731</v>
      </c>
      <c r="F1811" s="2">
        <f t="shared" ca="1" si="1740"/>
        <v>0.70236477276818932</v>
      </c>
      <c r="G1811" s="2">
        <f t="shared" ca="1" si="1741"/>
        <v>5.5936421646739537E-2</v>
      </c>
      <c r="H1811" s="2">
        <f t="shared" ca="1" si="1742"/>
        <v>5.5936421646739537E-2</v>
      </c>
      <c r="I1811" s="2">
        <f t="shared" ca="1" si="1743"/>
        <v>0.35651174359997195</v>
      </c>
      <c r="J1811" s="2">
        <f t="shared" ca="1" si="1744"/>
        <v>8.1610074974904755E-3</v>
      </c>
      <c r="K1811" s="2">
        <f t="shared" ca="1" si="1745"/>
        <v>8.1610074974904755E-3</v>
      </c>
      <c r="L1811" s="2">
        <f t="shared" ca="1" si="1746"/>
        <v>0.20709610991965133</v>
      </c>
      <c r="M1811" s="2">
        <f t="shared" ca="1" si="1747"/>
        <v>-1.6330769765297341E-2</v>
      </c>
      <c r="N1811" s="2">
        <f t="shared" ca="1" si="1748"/>
        <v>-1.6330769765297341E-2</v>
      </c>
      <c r="O1811" s="2">
        <f t="shared" si="1749"/>
        <v>6000000</v>
      </c>
      <c r="P1811" s="2">
        <f t="shared" ca="1" si="1750"/>
        <v>45321796.599001065</v>
      </c>
      <c r="Q1811" s="2">
        <f t="shared" ca="1" si="1751"/>
        <v>1133044.9149750266</v>
      </c>
      <c r="R1811" s="2">
        <f t="shared" ca="1" si="1752"/>
        <v>27193077.959400639</v>
      </c>
      <c r="S1811" s="2">
        <f t="shared" ca="1" si="1753"/>
        <v>18128718.639600426</v>
      </c>
      <c r="T1811" s="2">
        <f t="shared" ca="1" si="1754"/>
        <v>49183461.511735134</v>
      </c>
      <c r="U1811" s="2">
        <f t="shared" ca="1" si="1755"/>
        <v>51934608.352901734</v>
      </c>
      <c r="V1811" s="2">
        <f t="shared" ca="1" si="1756"/>
        <v>54839644.503787927</v>
      </c>
      <c r="W1811" s="2">
        <f t="shared" ca="1" si="1757"/>
        <v>57907177.981709108</v>
      </c>
      <c r="X1811" s="2">
        <f t="shared" ca="1" si="1758"/>
        <v>61146298.305666782</v>
      </c>
      <c r="Y1811" s="2">
        <f t="shared" ca="1" si="1759"/>
        <v>0.12408050374874523</v>
      </c>
      <c r="Z1811" s="2">
        <f t="shared" ca="1" si="1760"/>
        <v>0.12571270524824332</v>
      </c>
      <c r="AA1811" s="2">
        <f t="shared" ca="1" si="1761"/>
        <v>6102708.6804831177</v>
      </c>
      <c r="AB1811" s="2">
        <f t="shared" ca="1" si="1762"/>
        <v>6528840.1120512914</v>
      </c>
      <c r="AC1811" s="2">
        <f t="shared" ca="1" si="1763"/>
        <v>6894040.0654231384</v>
      </c>
      <c r="AD1811" s="2">
        <f t="shared" ca="1" si="1764"/>
        <v>7279667.9973721625</v>
      </c>
      <c r="AE1811" s="2">
        <f t="shared" ca="1" si="1765"/>
        <v>7686866.5759214479</v>
      </c>
      <c r="AF1811" s="2">
        <f t="shared" ca="1" si="1766"/>
        <v>983669.2302347027</v>
      </c>
      <c r="AG1811" s="2">
        <f t="shared" ca="1" si="1767"/>
        <v>1038692.1670580347</v>
      </c>
      <c r="AH1811" s="2">
        <f t="shared" ca="1" si="1768"/>
        <v>1096792.8900757586</v>
      </c>
      <c r="AI1811" s="2">
        <f t="shared" ca="1" si="1769"/>
        <v>1158143.5596341821</v>
      </c>
      <c r="AJ1811" s="2">
        <f t="shared" ca="1" si="1770"/>
        <v>1222925.9661133357</v>
      </c>
      <c r="AK1811" s="2">
        <f t="shared" ca="1" si="1771"/>
        <v>0</v>
      </c>
      <c r="AL1811" s="2">
        <f t="shared" ca="1" si="1772"/>
        <v>27511.468411666006</v>
      </c>
      <c r="AM1811" s="2">
        <f t="shared" ca="1" si="1773"/>
        <v>29050.36150886193</v>
      </c>
      <c r="AN1811" s="2">
        <f t="shared" ca="1" si="1774"/>
        <v>30675.334779211804</v>
      </c>
      <c r="AO1811" s="2">
        <f t="shared" ca="1" si="1775"/>
        <v>32391.203239576742</v>
      </c>
      <c r="AP1811" s="2">
        <f t="shared" ca="1" si="1776"/>
        <v>2447377.0163460574</v>
      </c>
      <c r="AQ1811" s="2">
        <f t="shared" ca="1" si="1777"/>
        <v>694632.23281461291</v>
      </c>
      <c r="AR1811" s="2">
        <f t="shared" ca="1" si="1778"/>
        <v>791120.44144827186</v>
      </c>
      <c r="AS1811" s="2">
        <f t="shared" ca="1" si="1779"/>
        <v>870966.24134034396</v>
      </c>
      <c r="AT1811" s="2">
        <f t="shared" ca="1" si="1780"/>
        <v>955278.32956190011</v>
      </c>
      <c r="AU1811" s="2">
        <f t="shared" ca="1" si="1781"/>
        <v>1044306.5343001344</v>
      </c>
      <c r="AV1811" s="2">
        <f t="shared" ca="1" si="1782"/>
        <v>1977030.2010877444</v>
      </c>
      <c r="AW1811" s="2">
        <f t="shared" ca="1" si="1783"/>
        <v>2224139.0187872606</v>
      </c>
      <c r="AX1811" s="2">
        <f t="shared" ca="1" si="1784"/>
        <v>2449853.556152117</v>
      </c>
      <c r="AY1811" s="2">
        <f t="shared" ca="1" si="1785"/>
        <v>2688193.7570508108</v>
      </c>
      <c r="AZ1811" s="2">
        <f t="shared" ca="1" si="1786"/>
        <v>2939865.8559223437</v>
      </c>
      <c r="BA1811" s="2">
        <f t="shared" ca="1" si="1787"/>
        <v>53071618.196468063</v>
      </c>
      <c r="BB1811" s="2">
        <f t="shared" ca="1" si="1788"/>
        <v>1061432.3639293613</v>
      </c>
      <c r="BC1811" s="2">
        <f t="shared" ca="1" si="1789"/>
        <v>24817107.873138063</v>
      </c>
      <c r="BD1811" s="2">
        <f t="shared" ca="1" si="1790"/>
        <v>-19761763.554575451</v>
      </c>
      <c r="BE1811" s="2">
        <f t="shared" ca="1" si="1791"/>
        <v>1977030.2010877444</v>
      </c>
      <c r="BF1811" s="2">
        <f t="shared" ca="1" si="1792"/>
        <v>2224139.0187872606</v>
      </c>
      <c r="BG1811" s="2">
        <f t="shared" ca="1" si="1793"/>
        <v>2449853.556152117</v>
      </c>
      <c r="BH1811" s="2">
        <f t="shared" ca="1" si="1794"/>
        <v>2688193.7570508108</v>
      </c>
      <c r="BI1811" s="2">
        <f t="shared" ca="1" si="1795"/>
        <v>27756973.729060408</v>
      </c>
      <c r="BJ1811" s="2">
        <f t="shared" ca="1" si="1796"/>
        <v>0.15809441174754313</v>
      </c>
      <c r="BK1811" s="2">
        <f t="shared" ca="1" si="1797"/>
        <v>2978717.4202193916</v>
      </c>
    </row>
    <row r="1812" spans="1:63" x14ac:dyDescent="0.3">
      <c r="A1812" s="2">
        <v>1811</v>
      </c>
      <c r="B1812" s="2">
        <f t="shared" ca="1" si="1736"/>
        <v>0.13756267080619466</v>
      </c>
      <c r="C1812" s="2">
        <f t="shared" ca="1" si="1737"/>
        <v>6.5245239190088373</v>
      </c>
      <c r="D1812" s="2">
        <f t="shared" ca="1" si="1738"/>
        <v>0.4934593388981523</v>
      </c>
      <c r="E1812" s="2">
        <f t="shared" ca="1" si="1739"/>
        <v>7.4934378077143551</v>
      </c>
      <c r="F1812" s="2">
        <f t="shared" ca="1" si="1740"/>
        <v>0.17827321251586248</v>
      </c>
      <c r="G1812" s="2">
        <f t="shared" ca="1" si="1741"/>
        <v>1.2341026574760331E-2</v>
      </c>
      <c r="H1812" s="2">
        <f t="shared" ca="1" si="1742"/>
        <v>1.2341026574760331E-2</v>
      </c>
      <c r="I1812" s="2">
        <f t="shared" ca="1" si="1743"/>
        <v>0.54349473811495674</v>
      </c>
      <c r="J1812" s="2">
        <f t="shared" ca="1" si="1744"/>
        <v>1.0546210155551865E-2</v>
      </c>
      <c r="K1812" s="2">
        <f t="shared" ca="1" si="1745"/>
        <v>1.0546210155551865E-2</v>
      </c>
      <c r="L1812" s="2">
        <f t="shared" ca="1" si="1746"/>
        <v>0.11545108034934259</v>
      </c>
      <c r="M1812" s="2">
        <f t="shared" ca="1" si="1747"/>
        <v>-2.3960763239213617E-2</v>
      </c>
      <c r="N1812" s="2">
        <f t="shared" ca="1" si="1748"/>
        <v>-2.3960763239213617E-2</v>
      </c>
      <c r="O1812" s="2">
        <f t="shared" si="1749"/>
        <v>6000000</v>
      </c>
      <c r="P1812" s="2">
        <f t="shared" ca="1" si="1750"/>
        <v>39147143.514053024</v>
      </c>
      <c r="Q1812" s="2">
        <f t="shared" ca="1" si="1751"/>
        <v>978678.58785132563</v>
      </c>
      <c r="R1812" s="2">
        <f t="shared" ca="1" si="1752"/>
        <v>23488286.108431812</v>
      </c>
      <c r="S1812" s="2">
        <f t="shared" ca="1" si="1753"/>
        <v>15658857.40562121</v>
      </c>
      <c r="T1812" s="2">
        <f t="shared" ca="1" si="1754"/>
        <v>48801961.838039324</v>
      </c>
      <c r="U1812" s="2">
        <f t="shared" ca="1" si="1755"/>
        <v>49404228.145983003</v>
      </c>
      <c r="V1812" s="2">
        <f t="shared" ca="1" si="1756"/>
        <v>50013927.038438104</v>
      </c>
      <c r="W1812" s="2">
        <f t="shared" ca="1" si="1757"/>
        <v>50631150.241127595</v>
      </c>
      <c r="X1812" s="2">
        <f t="shared" ca="1" si="1758"/>
        <v>51255990.611764036</v>
      </c>
      <c r="Y1812" s="2">
        <f t="shared" ca="1" si="1759"/>
        <v>0.12527310507777592</v>
      </c>
      <c r="Z1812" s="2">
        <f t="shared" ca="1" si="1760"/>
        <v>0.1273823471088863</v>
      </c>
      <c r="AA1812" s="2">
        <f t="shared" ca="1" si="1761"/>
        <v>6113573.2933383109</v>
      </c>
      <c r="AB1812" s="2">
        <f t="shared" ca="1" si="1762"/>
        <v>6293226.538338217</v>
      </c>
      <c r="AC1812" s="2">
        <f t="shared" ca="1" si="1763"/>
        <v>6370891.4142888365</v>
      </c>
      <c r="AD1812" s="2">
        <f t="shared" ca="1" si="1764"/>
        <v>6449514.7545374874</v>
      </c>
      <c r="AE1812" s="2">
        <f t="shared" ca="1" si="1765"/>
        <v>6529108.3875175435</v>
      </c>
      <c r="AF1812" s="2">
        <f t="shared" ca="1" si="1766"/>
        <v>976039.2367607865</v>
      </c>
      <c r="AG1812" s="2">
        <f t="shared" ca="1" si="1767"/>
        <v>988084.56291966012</v>
      </c>
      <c r="AH1812" s="2">
        <f t="shared" ca="1" si="1768"/>
        <v>1000278.5407687621</v>
      </c>
      <c r="AI1812" s="2">
        <f t="shared" ca="1" si="1769"/>
        <v>1012623.004822552</v>
      </c>
      <c r="AJ1812" s="2">
        <f t="shared" ca="1" si="1770"/>
        <v>1025119.8122352808</v>
      </c>
      <c r="AK1812" s="2">
        <f t="shared" ca="1" si="1771"/>
        <v>0</v>
      </c>
      <c r="AL1812" s="2">
        <f t="shared" ca="1" si="1772"/>
        <v>6022.6630794367939</v>
      </c>
      <c r="AM1812" s="2">
        <f t="shared" ca="1" si="1773"/>
        <v>6096.9889245510103</v>
      </c>
      <c r="AN1812" s="2">
        <f t="shared" ca="1" si="1774"/>
        <v>6172.2320268949125</v>
      </c>
      <c r="AO1812" s="2">
        <f t="shared" ca="1" si="1775"/>
        <v>6248.4037063644082</v>
      </c>
      <c r="AP1812" s="2">
        <f t="shared" ca="1" si="1776"/>
        <v>2113945.7497588629</v>
      </c>
      <c r="AQ1812" s="2">
        <f t="shared" ca="1" si="1777"/>
        <v>786132.95977285202</v>
      </c>
      <c r="AR1812" s="2">
        <f t="shared" ca="1" si="1778"/>
        <v>829711.0186715204</v>
      </c>
      <c r="AS1812" s="2">
        <f t="shared" ca="1" si="1779"/>
        <v>846733.45217791502</v>
      </c>
      <c r="AT1812" s="2">
        <f t="shared" ca="1" si="1780"/>
        <v>863965.9599885788</v>
      </c>
      <c r="AU1812" s="2">
        <f t="shared" ca="1" si="1781"/>
        <v>881411.13463608397</v>
      </c>
      <c r="AV1812" s="2">
        <f t="shared" ca="1" si="1782"/>
        <v>2237455.347045809</v>
      </c>
      <c r="AW1812" s="2">
        <f t="shared" ca="1" si="1783"/>
        <v>2355462.5439087367</v>
      </c>
      <c r="AX1812" s="2">
        <f t="shared" ca="1" si="1784"/>
        <v>2403836.6826587459</v>
      </c>
      <c r="AY1812" s="2">
        <f t="shared" ca="1" si="1785"/>
        <v>2452807.8079405986</v>
      </c>
      <c r="AZ1812" s="2">
        <f t="shared" ca="1" si="1786"/>
        <v>2502383.2871809518</v>
      </c>
      <c r="BA1812" s="2">
        <f t="shared" ca="1" si="1787"/>
        <v>48925467.641688868</v>
      </c>
      <c r="BB1812" s="2">
        <f t="shared" ca="1" si="1788"/>
        <v>978509.35283377743</v>
      </c>
      <c r="BC1812" s="2">
        <f t="shared" ca="1" si="1789"/>
        <v>24458672.180423278</v>
      </c>
      <c r="BD1812" s="2">
        <f t="shared" ca="1" si="1790"/>
        <v>-17137535.993472535</v>
      </c>
      <c r="BE1812" s="2">
        <f t="shared" ca="1" si="1791"/>
        <v>2237455.347045809</v>
      </c>
      <c r="BF1812" s="2">
        <f t="shared" ca="1" si="1792"/>
        <v>2355462.5439087367</v>
      </c>
      <c r="BG1812" s="2">
        <f t="shared" ca="1" si="1793"/>
        <v>2403836.6826587459</v>
      </c>
      <c r="BH1812" s="2">
        <f t="shared" ca="1" si="1794"/>
        <v>2452807.8079405986</v>
      </c>
      <c r="BI1812" s="2">
        <f t="shared" ca="1" si="1795"/>
        <v>26961055.467604231</v>
      </c>
      <c r="BJ1812" s="2">
        <f t="shared" ca="1" si="1796"/>
        <v>0.196022152748629</v>
      </c>
      <c r="BK1812" s="2">
        <f t="shared" ca="1" si="1797"/>
        <v>5306186.4190880209</v>
      </c>
    </row>
    <row r="1813" spans="1:63" x14ac:dyDescent="0.3">
      <c r="A1813" s="2">
        <v>1812</v>
      </c>
      <c r="B1813" s="2">
        <f t="shared" ca="1" si="1736"/>
        <v>0.6954729938865637</v>
      </c>
      <c r="C1813" s="2">
        <f t="shared" ca="1" si="1737"/>
        <v>7.2195808739998277</v>
      </c>
      <c r="D1813" s="2">
        <f t="shared" ca="1" si="1738"/>
        <v>0.52912244151638455</v>
      </c>
      <c r="E1813" s="2">
        <f t="shared" ca="1" si="1739"/>
        <v>7.5295593181614704</v>
      </c>
      <c r="F1813" s="2">
        <f t="shared" ca="1" si="1740"/>
        <v>0.31757553028614482</v>
      </c>
      <c r="G1813" s="2">
        <f t="shared" ca="1" si="1741"/>
        <v>2.576532243876048E-2</v>
      </c>
      <c r="H1813" s="2">
        <f t="shared" ca="1" si="1742"/>
        <v>2.576532243876048E-2</v>
      </c>
      <c r="I1813" s="2">
        <f t="shared" ca="1" si="1743"/>
        <v>0.11886207687321015</v>
      </c>
      <c r="J1813" s="2">
        <f t="shared" ca="1" si="1744"/>
        <v>4.0965280854886998E-3</v>
      </c>
      <c r="K1813" s="2">
        <f t="shared" ca="1" si="1745"/>
        <v>4.0965280854886998E-3</v>
      </c>
      <c r="L1813" s="2">
        <f t="shared" ca="1" si="1746"/>
        <v>0.16342150498853614</v>
      </c>
      <c r="M1813" s="2">
        <f t="shared" ca="1" si="1747"/>
        <v>-1.9609852432132834E-2</v>
      </c>
      <c r="N1813" s="2">
        <f t="shared" ca="1" si="1748"/>
        <v>-1.9609852432132834E-2</v>
      </c>
      <c r="O1813" s="2">
        <f t="shared" si="1749"/>
        <v>6000000</v>
      </c>
      <c r="P1813" s="2">
        <f t="shared" ca="1" si="1750"/>
        <v>43317485.243998967</v>
      </c>
      <c r="Q1813" s="2">
        <f t="shared" ca="1" si="1751"/>
        <v>1082937.1310999743</v>
      </c>
      <c r="R1813" s="2">
        <f t="shared" ca="1" si="1752"/>
        <v>25990491.146399379</v>
      </c>
      <c r="S1813" s="2">
        <f t="shared" ca="1" si="1753"/>
        <v>17326994.097599588</v>
      </c>
      <c r="T1813" s="2">
        <f t="shared" ca="1" si="1754"/>
        <v>49019507.378393359</v>
      </c>
      <c r="U1813" s="2">
        <f t="shared" ca="1" si="1755"/>
        <v>50282510.791786857</v>
      </c>
      <c r="V1813" s="2">
        <f t="shared" ca="1" si="1756"/>
        <v>51578055.895367697</v>
      </c>
      <c r="W1813" s="2">
        <f t="shared" ca="1" si="1757"/>
        <v>52906981.136276253</v>
      </c>
      <c r="X1813" s="2">
        <f t="shared" ca="1" si="1758"/>
        <v>54270146.564513825</v>
      </c>
      <c r="Y1813" s="2">
        <f t="shared" ca="1" si="1759"/>
        <v>0.12204826404274434</v>
      </c>
      <c r="Z1813" s="2">
        <f t="shared" ca="1" si="1760"/>
        <v>0.12286756965984208</v>
      </c>
      <c r="AA1813" s="2">
        <f t="shared" ca="1" si="1761"/>
        <v>5982745.7797634071</v>
      </c>
      <c r="AB1813" s="2">
        <f t="shared" ca="1" si="1762"/>
        <v>6178089.8973816326</v>
      </c>
      <c r="AC1813" s="2">
        <f t="shared" ca="1" si="1763"/>
        <v>6337270.3756433185</v>
      </c>
      <c r="AD1813" s="2">
        <f t="shared" ca="1" si="1764"/>
        <v>6500552.1902533732</v>
      </c>
      <c r="AE1813" s="2">
        <f t="shared" ca="1" si="1765"/>
        <v>6668041.0134652415</v>
      </c>
      <c r="AF1813" s="2">
        <f t="shared" ca="1" si="1766"/>
        <v>980390.14756786718</v>
      </c>
      <c r="AG1813" s="2">
        <f t="shared" ca="1" si="1767"/>
        <v>1005650.2158357372</v>
      </c>
      <c r="AH1813" s="2">
        <f t="shared" ca="1" si="1768"/>
        <v>1031561.1179073539</v>
      </c>
      <c r="AI1813" s="2">
        <f t="shared" ca="1" si="1769"/>
        <v>1058139.6227255252</v>
      </c>
      <c r="AJ1813" s="2">
        <f t="shared" ca="1" si="1770"/>
        <v>1085402.9312902766</v>
      </c>
      <c r="AK1813" s="2">
        <f t="shared" ca="1" si="1771"/>
        <v>0</v>
      </c>
      <c r="AL1813" s="2">
        <f t="shared" ca="1" si="1772"/>
        <v>12630.034133934974</v>
      </c>
      <c r="AM1813" s="2">
        <f t="shared" ca="1" si="1773"/>
        <v>12955.451035808399</v>
      </c>
      <c r="AN1813" s="2">
        <f t="shared" ca="1" si="1774"/>
        <v>13289.252409085557</v>
      </c>
      <c r="AO1813" s="2">
        <f t="shared" ca="1" si="1775"/>
        <v>13631.654282375723</v>
      </c>
      <c r="AP1813" s="2">
        <f t="shared" ca="1" si="1776"/>
        <v>2339144.2031759438</v>
      </c>
      <c r="AQ1813" s="2">
        <f t="shared" ca="1" si="1777"/>
        <v>692434.97154509497</v>
      </c>
      <c r="AR1813" s="2">
        <f t="shared" ca="1" si="1778"/>
        <v>736656.82437618752</v>
      </c>
      <c r="AS1813" s="2">
        <f t="shared" ca="1" si="1779"/>
        <v>771306.91418560548</v>
      </c>
      <c r="AT1813" s="2">
        <f t="shared" ca="1" si="1780"/>
        <v>806849.77473149518</v>
      </c>
      <c r="AU1813" s="2">
        <f t="shared" ca="1" si="1781"/>
        <v>843308.40853974561</v>
      </c>
      <c r="AV1813" s="2">
        <f t="shared" ca="1" si="1782"/>
        <v>1970776.4574745013</v>
      </c>
      <c r="AW1813" s="2">
        <f t="shared" ca="1" si="1783"/>
        <v>2084008.6198598291</v>
      </c>
      <c r="AX1813" s="2">
        <f t="shared" ca="1" si="1784"/>
        <v>2182302.6893386072</v>
      </c>
      <c r="AY1813" s="2">
        <f t="shared" ca="1" si="1785"/>
        <v>2283129.3372113234</v>
      </c>
      <c r="AZ1813" s="2">
        <f t="shared" ca="1" si="1786"/>
        <v>2386553.8161768992</v>
      </c>
      <c r="BA1813" s="2">
        <f t="shared" ca="1" si="1787"/>
        <v>50207410.346820064</v>
      </c>
      <c r="BB1813" s="2">
        <f t="shared" ca="1" si="1788"/>
        <v>1004148.2069364013</v>
      </c>
      <c r="BC1813" s="2">
        <f t="shared" ca="1" si="1789"/>
        <v>23212770.993484285</v>
      </c>
      <c r="BD1813" s="2">
        <f t="shared" ca="1" si="1790"/>
        <v>-18909931.228699561</v>
      </c>
      <c r="BE1813" s="2">
        <f t="shared" ca="1" si="1791"/>
        <v>1970776.4574745013</v>
      </c>
      <c r="BF1813" s="2">
        <f t="shared" ca="1" si="1792"/>
        <v>2084008.6198598291</v>
      </c>
      <c r="BG1813" s="2">
        <f t="shared" ca="1" si="1793"/>
        <v>2182302.6893386072</v>
      </c>
      <c r="BH1813" s="2">
        <f t="shared" ca="1" si="1794"/>
        <v>2283129.3372113234</v>
      </c>
      <c r="BI1813" s="2">
        <f t="shared" ca="1" si="1795"/>
        <v>25599324.809661184</v>
      </c>
      <c r="BJ1813" s="2">
        <f t="shared" ca="1" si="1796"/>
        <v>0.14776135209396868</v>
      </c>
      <c r="BK1813" s="2">
        <f t="shared" ca="1" si="1797"/>
        <v>2041083.8242677674</v>
      </c>
    </row>
    <row r="1814" spans="1:63" x14ac:dyDescent="0.3">
      <c r="A1814" s="2">
        <v>1813</v>
      </c>
      <c r="B1814" s="2">
        <f t="shared" ca="1" si="1736"/>
        <v>6.5156526783065272E-2</v>
      </c>
      <c r="C1814" s="2">
        <f t="shared" ca="1" si="1737"/>
        <v>6.3609889936911239</v>
      </c>
      <c r="D1814" s="2">
        <f t="shared" ca="1" si="1738"/>
        <v>0.21944574121810201</v>
      </c>
      <c r="E1814" s="2">
        <f t="shared" ca="1" si="1739"/>
        <v>7.1624888545750816</v>
      </c>
      <c r="F1814" s="2">
        <f t="shared" ca="1" si="1740"/>
        <v>0.72536635602161137</v>
      </c>
      <c r="G1814" s="2">
        <f t="shared" ca="1" si="1741"/>
        <v>5.7965753188291932E-2</v>
      </c>
      <c r="H1814" s="2">
        <f t="shared" ca="1" si="1742"/>
        <v>5.7965753188291932E-2</v>
      </c>
      <c r="I1814" s="2">
        <f t="shared" ca="1" si="1743"/>
        <v>0.58268948002207022</v>
      </c>
      <c r="J1814" s="2">
        <f t="shared" ca="1" si="1744"/>
        <v>1.1043893243164122E-2</v>
      </c>
      <c r="K1814" s="2">
        <f t="shared" ca="1" si="1745"/>
        <v>1.1043893243164122E-2</v>
      </c>
      <c r="L1814" s="2">
        <f t="shared" ca="1" si="1746"/>
        <v>0.51672977266435238</v>
      </c>
      <c r="M1814" s="2">
        <f t="shared" ca="1" si="1747"/>
        <v>8.3895239601188899E-4</v>
      </c>
      <c r="N1814" s="2">
        <f t="shared" ca="1" si="1748"/>
        <v>8.3895239601188899E-4</v>
      </c>
      <c r="O1814" s="2">
        <f t="shared" si="1749"/>
        <v>6000000</v>
      </c>
      <c r="P1814" s="2">
        <f t="shared" ca="1" si="1750"/>
        <v>38165933.962146744</v>
      </c>
      <c r="Q1814" s="2">
        <f t="shared" ca="1" si="1751"/>
        <v>954148.34905366867</v>
      </c>
      <c r="R1814" s="2">
        <f t="shared" ca="1" si="1752"/>
        <v>22899560.377288047</v>
      </c>
      <c r="S1814" s="2">
        <f t="shared" ca="1" si="1753"/>
        <v>15266373.584858699</v>
      </c>
      <c r="T1814" s="2">
        <f t="shared" ca="1" si="1754"/>
        <v>50041947.619800597</v>
      </c>
      <c r="U1814" s="2">
        <f t="shared" ca="1" si="1755"/>
        <v>52942666.804591395</v>
      </c>
      <c r="V1814" s="2">
        <f t="shared" ca="1" si="1756"/>
        <v>56011528.361716323</v>
      </c>
      <c r="W1814" s="2">
        <f t="shared" ca="1" si="1757"/>
        <v>59258278.790430591</v>
      </c>
      <c r="X1814" s="2">
        <f t="shared" ca="1" si="1758"/>
        <v>62693229.553159691</v>
      </c>
      <c r="Y1814" s="2">
        <f t="shared" ca="1" si="1759"/>
        <v>0.12552194662158206</v>
      </c>
      <c r="Z1814" s="2">
        <f t="shared" ca="1" si="1760"/>
        <v>0.12773072527021487</v>
      </c>
      <c r="AA1814" s="2">
        <f t="shared" ca="1" si="1761"/>
        <v>6281362.6779726157</v>
      </c>
      <c r="AB1814" s="2">
        <f t="shared" ca="1" si="1762"/>
        <v>6762405.2286897879</v>
      </c>
      <c r="AC1814" s="2">
        <f t="shared" ca="1" si="1763"/>
        <v>7154393.1411352362</v>
      </c>
      <c r="AD1814" s="2">
        <f t="shared" ca="1" si="1764"/>
        <v>7569102.9281662907</v>
      </c>
      <c r="AE1814" s="2">
        <f t="shared" ca="1" si="1765"/>
        <v>8007851.6803571563</v>
      </c>
      <c r="AF1814" s="2">
        <f t="shared" ca="1" si="1766"/>
        <v>1000838.9523960119</v>
      </c>
      <c r="AG1814" s="2">
        <f t="shared" ca="1" si="1767"/>
        <v>1058853.3360918278</v>
      </c>
      <c r="AH1814" s="2">
        <f t="shared" ca="1" si="1768"/>
        <v>1120230.5672343264</v>
      </c>
      <c r="AI1814" s="2">
        <f t="shared" ca="1" si="1769"/>
        <v>1185165.5758086119</v>
      </c>
      <c r="AJ1814" s="2">
        <f t="shared" ca="1" si="1770"/>
        <v>1253864.5910631937</v>
      </c>
      <c r="AK1814" s="2">
        <f t="shared" ca="1" si="1771"/>
        <v>0</v>
      </c>
      <c r="AL1814" s="2">
        <f t="shared" ca="1" si="1772"/>
        <v>29007.191847907976</v>
      </c>
      <c r="AM1814" s="2">
        <f t="shared" ca="1" si="1773"/>
        <v>30688.615571249276</v>
      </c>
      <c r="AN1814" s="2">
        <f t="shared" ca="1" si="1774"/>
        <v>32467.504287142681</v>
      </c>
      <c r="AO1814" s="2">
        <f t="shared" ca="1" si="1775"/>
        <v>34349.507627291008</v>
      </c>
      <c r="AP1814" s="2">
        <f t="shared" ca="1" si="1776"/>
        <v>2060960.4339559241</v>
      </c>
      <c r="AQ1814" s="2">
        <f t="shared" ca="1" si="1777"/>
        <v>837086.45582137676</v>
      </c>
      <c r="AR1814" s="2">
        <f t="shared" ca="1" si="1778"/>
        <v>947073.77924692945</v>
      </c>
      <c r="AS1814" s="2">
        <f t="shared" ca="1" si="1779"/>
        <v>1033032.5563856964</v>
      </c>
      <c r="AT1814" s="2">
        <f t="shared" ca="1" si="1780"/>
        <v>1123973.9987844564</v>
      </c>
      <c r="AU1814" s="2">
        <f t="shared" ca="1" si="1781"/>
        <v>1220186.93038789</v>
      </c>
      <c r="AV1814" s="2">
        <f t="shared" ca="1" si="1782"/>
        <v>2382476.8357993034</v>
      </c>
      <c r="AW1814" s="2">
        <f t="shared" ca="1" si="1783"/>
        <v>2666510.4875471988</v>
      </c>
      <c r="AX1814" s="2">
        <f t="shared" ca="1" si="1784"/>
        <v>2909480.9679880408</v>
      </c>
      <c r="AY1814" s="2">
        <f t="shared" ca="1" si="1785"/>
        <v>3166535.4153301562</v>
      </c>
      <c r="AZ1814" s="2">
        <f t="shared" ca="1" si="1786"/>
        <v>3438490.2173228576</v>
      </c>
      <c r="BA1814" s="2">
        <f t="shared" ca="1" si="1787"/>
        <v>57356148.409648471</v>
      </c>
      <c r="BB1814" s="2">
        <f t="shared" ca="1" si="1788"/>
        <v>1147122.9681929694</v>
      </c>
      <c r="BC1814" s="2">
        <f t="shared" ca="1" si="1789"/>
        <v>33309465.064167451</v>
      </c>
      <c r="BD1814" s="2">
        <f t="shared" ca="1" si="1790"/>
        <v>-16720521.933912367</v>
      </c>
      <c r="BE1814" s="2">
        <f t="shared" ca="1" si="1791"/>
        <v>2382476.8357993034</v>
      </c>
      <c r="BF1814" s="2">
        <f t="shared" ca="1" si="1792"/>
        <v>2666510.4875471988</v>
      </c>
      <c r="BG1814" s="2">
        <f t="shared" ca="1" si="1793"/>
        <v>2909480.9679880408</v>
      </c>
      <c r="BH1814" s="2">
        <f t="shared" ca="1" si="1794"/>
        <v>3166535.4153301562</v>
      </c>
      <c r="BI1814" s="2">
        <f t="shared" ca="1" si="1795"/>
        <v>36747955.281490311</v>
      </c>
      <c r="BJ1814" s="2">
        <f t="shared" ca="1" si="1796"/>
        <v>0.28057618908713744</v>
      </c>
      <c r="BK1814" s="2">
        <f t="shared" ca="1" si="1797"/>
        <v>12467493.667939071</v>
      </c>
    </row>
    <row r="1815" spans="1:63" x14ac:dyDescent="0.3">
      <c r="A1815" s="2">
        <v>1814</v>
      </c>
      <c r="B1815" s="2">
        <f t="shared" ca="1" si="1736"/>
        <v>0.4833147390972975</v>
      </c>
      <c r="C1815" s="2">
        <f t="shared" ca="1" si="1737"/>
        <v>6.9831731679590296</v>
      </c>
      <c r="D1815" s="2">
        <f t="shared" ca="1" si="1738"/>
        <v>0.87809941550699799</v>
      </c>
      <c r="E1815" s="2">
        <f t="shared" ca="1" si="1739"/>
        <v>8.0062377404195377</v>
      </c>
      <c r="F1815" s="2">
        <f t="shared" ca="1" si="1740"/>
        <v>0.56503897181766183</v>
      </c>
      <c r="G1815" s="2">
        <f t="shared" ca="1" si="1741"/>
        <v>4.4912724758062753E-2</v>
      </c>
      <c r="H1815" s="2">
        <f t="shared" ca="1" si="1742"/>
        <v>4.4912724758062753E-2</v>
      </c>
      <c r="I1815" s="2">
        <f t="shared" ca="1" si="1743"/>
        <v>0.84075833397980815</v>
      </c>
      <c r="J1815" s="2">
        <f t="shared" ca="1" si="1744"/>
        <v>1.4987897229563157E-2</v>
      </c>
      <c r="K1815" s="2">
        <f t="shared" ca="1" si="1745"/>
        <v>1.4987897229563157E-2</v>
      </c>
      <c r="L1815" s="2">
        <f t="shared" ca="1" si="1746"/>
        <v>7.0665779239991622E-2</v>
      </c>
      <c r="M1815" s="2">
        <f t="shared" ca="1" si="1747"/>
        <v>-2.9417009507707117E-2</v>
      </c>
      <c r="N1815" s="2">
        <f t="shared" ca="1" si="1748"/>
        <v>-2.9417009507707117E-2</v>
      </c>
      <c r="O1815" s="2">
        <f t="shared" si="1749"/>
        <v>6000000</v>
      </c>
      <c r="P1815" s="2">
        <f t="shared" ca="1" si="1750"/>
        <v>41899039.007754177</v>
      </c>
      <c r="Q1815" s="2">
        <f t="shared" ca="1" si="1751"/>
        <v>1047475.9751938544</v>
      </c>
      <c r="R1815" s="2">
        <f t="shared" ca="1" si="1752"/>
        <v>25139423.404652506</v>
      </c>
      <c r="S1815" s="2">
        <f t="shared" ca="1" si="1753"/>
        <v>16759615.603101671</v>
      </c>
      <c r="T1815" s="2">
        <f t="shared" ca="1" si="1754"/>
        <v>48529149.524614647</v>
      </c>
      <c r="U1815" s="2">
        <f t="shared" ca="1" si="1755"/>
        <v>50708725.859956533</v>
      </c>
      <c r="V1815" s="2">
        <f t="shared" ca="1" si="1756"/>
        <v>52986192.907336816</v>
      </c>
      <c r="W1815" s="2">
        <f t="shared" ca="1" si="1757"/>
        <v>55365947.205361649</v>
      </c>
      <c r="X1815" s="2">
        <f t="shared" ca="1" si="1758"/>
        <v>57852582.753165491</v>
      </c>
      <c r="Y1815" s="2">
        <f t="shared" ca="1" si="1759"/>
        <v>0.12749394861478158</v>
      </c>
      <c r="Z1815" s="2">
        <f t="shared" ca="1" si="1760"/>
        <v>0.1304915280606942</v>
      </c>
      <c r="AA1815" s="2">
        <f t="shared" ca="1" si="1761"/>
        <v>6187172.8958102716</v>
      </c>
      <c r="AB1815" s="2">
        <f t="shared" ca="1" si="1762"/>
        <v>6617059.1234765677</v>
      </c>
      <c r="AC1815" s="2">
        <f t="shared" ca="1" si="1763"/>
        <v>6914249.2785970978</v>
      </c>
      <c r="AD1815" s="2">
        <f t="shared" ca="1" si="1764"/>
        <v>7224787.0533553632</v>
      </c>
      <c r="AE1815" s="2">
        <f t="shared" ca="1" si="1765"/>
        <v>7549271.925718328</v>
      </c>
      <c r="AF1815" s="2">
        <f t="shared" ca="1" si="1766"/>
        <v>970582.99049229291</v>
      </c>
      <c r="AG1815" s="2">
        <f t="shared" ca="1" si="1767"/>
        <v>1014174.5171991307</v>
      </c>
      <c r="AH1815" s="2">
        <f t="shared" ca="1" si="1768"/>
        <v>1059723.8581467364</v>
      </c>
      <c r="AI1815" s="2">
        <f t="shared" ca="1" si="1769"/>
        <v>1107318.9441072331</v>
      </c>
      <c r="AJ1815" s="2">
        <f t="shared" ca="1" si="1770"/>
        <v>1157051.6550633099</v>
      </c>
      <c r="AK1815" s="2">
        <f t="shared" ca="1" si="1771"/>
        <v>0</v>
      </c>
      <c r="AL1815" s="2">
        <f t="shared" ca="1" si="1772"/>
        <v>21795.763353418857</v>
      </c>
      <c r="AM1815" s="2">
        <f t="shared" ca="1" si="1773"/>
        <v>22774.670473802835</v>
      </c>
      <c r="AN1815" s="2">
        <f t="shared" ca="1" si="1774"/>
        <v>23797.542980248334</v>
      </c>
      <c r="AO1815" s="2">
        <f t="shared" ca="1" si="1775"/>
        <v>24866.355478038415</v>
      </c>
      <c r="AP1815" s="2">
        <f t="shared" ca="1" si="1776"/>
        <v>2262548.1064187256</v>
      </c>
      <c r="AQ1815" s="2">
        <f t="shared" ca="1" si="1777"/>
        <v>768050.86771380587</v>
      </c>
      <c r="AR1815" s="2">
        <f t="shared" ca="1" si="1778"/>
        <v>868487.48996326502</v>
      </c>
      <c r="AS1815" s="2">
        <f t="shared" ca="1" si="1779"/>
        <v>933914.10164822533</v>
      </c>
      <c r="AT1815" s="2">
        <f t="shared" ca="1" si="1780"/>
        <v>1002279.2007356451</v>
      </c>
      <c r="AU1815" s="2">
        <f t="shared" ca="1" si="1781"/>
        <v>1073714.7627014362</v>
      </c>
      <c r="AV1815" s="2">
        <f t="shared" ca="1" si="1782"/>
        <v>2185990.9311854471</v>
      </c>
      <c r="AW1815" s="2">
        <f t="shared" ca="1" si="1783"/>
        <v>2450053.2465420277</v>
      </c>
      <c r="AX1815" s="2">
        <f t="shared" ca="1" si="1784"/>
        <v>2635288.5419096076</v>
      </c>
      <c r="AY1815" s="2">
        <f t="shared" ca="1" si="1785"/>
        <v>2828843.2591135106</v>
      </c>
      <c r="AZ1815" s="2">
        <f t="shared" ca="1" si="1786"/>
        <v>3031091.0460568187</v>
      </c>
      <c r="BA1815" s="2">
        <f t="shared" ca="1" si="1787"/>
        <v>60441265.80437576</v>
      </c>
      <c r="BB1815" s="2">
        <f t="shared" ca="1" si="1788"/>
        <v>1208825.3160875153</v>
      </c>
      <c r="BC1815" s="2">
        <f t="shared" ca="1" si="1789"/>
        <v>34093017.08363574</v>
      </c>
      <c r="BD1815" s="2">
        <f t="shared" ca="1" si="1790"/>
        <v>-18307091.578295525</v>
      </c>
      <c r="BE1815" s="2">
        <f t="shared" ca="1" si="1791"/>
        <v>2185990.9311854471</v>
      </c>
      <c r="BF1815" s="2">
        <f t="shared" ca="1" si="1792"/>
        <v>2450053.2465420277</v>
      </c>
      <c r="BG1815" s="2">
        <f t="shared" ca="1" si="1793"/>
        <v>2635288.5419096076</v>
      </c>
      <c r="BH1815" s="2">
        <f t="shared" ca="1" si="1794"/>
        <v>2828843.2591135106</v>
      </c>
      <c r="BI1815" s="2">
        <f t="shared" ca="1" si="1795"/>
        <v>37124108.129692562</v>
      </c>
      <c r="BJ1815" s="2">
        <f t="shared" ca="1" si="1796"/>
        <v>0.2447284133832266</v>
      </c>
      <c r="BK1815" s="2">
        <f t="shared" ca="1" si="1797"/>
        <v>10336596.797600921</v>
      </c>
    </row>
    <row r="1816" spans="1:63" x14ac:dyDescent="0.3">
      <c r="A1816" s="2">
        <v>1815</v>
      </c>
      <c r="B1816" s="2">
        <f t="shared" ca="1" si="1736"/>
        <v>0.93996503221079963</v>
      </c>
      <c r="C1816" s="2">
        <f t="shared" ca="1" si="1737"/>
        <v>7.6534889098767538</v>
      </c>
      <c r="D1816" s="2">
        <f t="shared" ca="1" si="1738"/>
        <v>7.2099359432571175E-2</v>
      </c>
      <c r="E1816" s="2">
        <f t="shared" ca="1" si="1739"/>
        <v>6.8797350640448451</v>
      </c>
      <c r="F1816" s="2">
        <f t="shared" ca="1" si="1740"/>
        <v>8.8873383932709826E-2</v>
      </c>
      <c r="G1816" s="2">
        <f t="shared" ca="1" si="1741"/>
        <v>-4.3175748519386214E-4</v>
      </c>
      <c r="H1816" s="2">
        <f t="shared" ca="1" si="1742"/>
        <v>-4.3175748519386214E-4</v>
      </c>
      <c r="I1816" s="2">
        <f t="shared" ca="1" si="1743"/>
        <v>0.30602777899633116</v>
      </c>
      <c r="J1816" s="2">
        <f t="shared" ca="1" si="1744"/>
        <v>7.4642926411377887E-3</v>
      </c>
      <c r="K1816" s="2">
        <f t="shared" ca="1" si="1745"/>
        <v>7.4642926411377887E-3</v>
      </c>
      <c r="L1816" s="2">
        <f t="shared" ca="1" si="1746"/>
        <v>0.9115325456573159</v>
      </c>
      <c r="M1816" s="2">
        <f t="shared" ca="1" si="1747"/>
        <v>2.7005055888702726E-2</v>
      </c>
      <c r="N1816" s="2">
        <f t="shared" ca="1" si="1748"/>
        <v>2.7005055888702726E-2</v>
      </c>
      <c r="O1816" s="2">
        <f t="shared" si="1749"/>
        <v>6000000</v>
      </c>
      <c r="P1816" s="2">
        <f t="shared" ca="1" si="1750"/>
        <v>45920933.459260523</v>
      </c>
      <c r="Q1816" s="2">
        <f t="shared" ca="1" si="1751"/>
        <v>1148023.3364815132</v>
      </c>
      <c r="R1816" s="2">
        <f t="shared" ca="1" si="1752"/>
        <v>27552560.075556312</v>
      </c>
      <c r="S1816" s="2">
        <f t="shared" ca="1" si="1753"/>
        <v>18368373.383704212</v>
      </c>
      <c r="T1816" s="2">
        <f t="shared" ca="1" si="1754"/>
        <v>51350252.794435136</v>
      </c>
      <c r="U1816" s="2">
        <f t="shared" ca="1" si="1755"/>
        <v>51328081.938424543</v>
      </c>
      <c r="V1816" s="2">
        <f t="shared" ca="1" si="1756"/>
        <v>51305920.654846981</v>
      </c>
      <c r="W1816" s="2">
        <f t="shared" ca="1" si="1757"/>
        <v>51283768.939569488</v>
      </c>
      <c r="X1816" s="2">
        <f t="shared" ca="1" si="1758"/>
        <v>51261626.788460873</v>
      </c>
      <c r="Y1816" s="2">
        <f t="shared" ca="1" si="1759"/>
        <v>0.12373214632056889</v>
      </c>
      <c r="Z1816" s="2">
        <f t="shared" ca="1" si="1760"/>
        <v>0.12522500484879645</v>
      </c>
      <c r="AA1816" s="2">
        <f t="shared" ca="1" si="1761"/>
        <v>6353676.9923592499</v>
      </c>
      <c r="AB1816" s="2">
        <f t="shared" ca="1" si="1762"/>
        <v>6427559.3096186351</v>
      </c>
      <c r="AC1816" s="2">
        <f t="shared" ca="1" si="1763"/>
        <v>6424784.1627751794</v>
      </c>
      <c r="AD1816" s="2">
        <f t="shared" ca="1" si="1764"/>
        <v>6422010.2141221464</v>
      </c>
      <c r="AE1816" s="2">
        <f t="shared" ca="1" si="1765"/>
        <v>6419237.4631422069</v>
      </c>
      <c r="AF1816" s="2">
        <f t="shared" ca="1" si="1766"/>
        <v>1027005.0558887027</v>
      </c>
      <c r="AG1816" s="2">
        <f t="shared" ca="1" si="1767"/>
        <v>1026561.6387684909</v>
      </c>
      <c r="AH1816" s="2">
        <f t="shared" ca="1" si="1768"/>
        <v>1026118.4130969397</v>
      </c>
      <c r="AI1816" s="2">
        <f t="shared" ca="1" si="1769"/>
        <v>1025675.3787913898</v>
      </c>
      <c r="AJ1816" s="2">
        <f t="shared" ca="1" si="1770"/>
        <v>1025232.5357692175</v>
      </c>
      <c r="AK1816" s="2">
        <f t="shared" ca="1" si="1771"/>
        <v>0</v>
      </c>
      <c r="AL1816" s="2">
        <f t="shared" ca="1" si="1772"/>
        <v>0</v>
      </c>
      <c r="AM1816" s="2">
        <f t="shared" ca="1" si="1773"/>
        <v>0</v>
      </c>
      <c r="AN1816" s="2">
        <f t="shared" ca="1" si="1774"/>
        <v>0</v>
      </c>
      <c r="AO1816" s="2">
        <f t="shared" ca="1" si="1775"/>
        <v>0</v>
      </c>
      <c r="AP1816" s="2">
        <f t="shared" ca="1" si="1776"/>
        <v>2479730.406800068</v>
      </c>
      <c r="AQ1816" s="2">
        <f t="shared" ca="1" si="1777"/>
        <v>740204.79771432455</v>
      </c>
      <c r="AR1816" s="2">
        <f t="shared" ca="1" si="1778"/>
        <v>759529.48865302</v>
      </c>
      <c r="AS1816" s="2">
        <f t="shared" ca="1" si="1779"/>
        <v>758923.18914832454</v>
      </c>
      <c r="AT1816" s="2">
        <f t="shared" ca="1" si="1780"/>
        <v>758317.15141797904</v>
      </c>
      <c r="AU1816" s="2">
        <f t="shared" ca="1" si="1781"/>
        <v>757711.37534895958</v>
      </c>
      <c r="AV1816" s="2">
        <f t="shared" ca="1" si="1782"/>
        <v>2106736.7319561541</v>
      </c>
      <c r="AW1816" s="2">
        <f t="shared" ca="1" si="1783"/>
        <v>2161737.7753970567</v>
      </c>
      <c r="AX1816" s="2">
        <f t="shared" ca="1" si="1784"/>
        <v>2160012.1537298467</v>
      </c>
      <c r="AY1816" s="2">
        <f t="shared" ca="1" si="1785"/>
        <v>2158287.2771127094</v>
      </c>
      <c r="AZ1816" s="2">
        <f t="shared" ca="1" si="1786"/>
        <v>2156563.1452239612</v>
      </c>
      <c r="BA1816" s="2">
        <f t="shared" ca="1" si="1787"/>
        <v>44162653.059609719</v>
      </c>
      <c r="BB1816" s="2">
        <f t="shared" ca="1" si="1788"/>
        <v>883253.06119219435</v>
      </c>
      <c r="BC1816" s="2">
        <f t="shared" ca="1" si="1789"/>
        <v>15726839.922861213</v>
      </c>
      <c r="BD1816" s="2">
        <f t="shared" ca="1" si="1790"/>
        <v>-20016396.720185723</v>
      </c>
      <c r="BE1816" s="2">
        <f t="shared" ca="1" si="1791"/>
        <v>2106736.7319561541</v>
      </c>
      <c r="BF1816" s="2">
        <f t="shared" ca="1" si="1792"/>
        <v>2161737.7753970567</v>
      </c>
      <c r="BG1816" s="2">
        <f t="shared" ca="1" si="1793"/>
        <v>2160012.1537298467</v>
      </c>
      <c r="BH1816" s="2">
        <f t="shared" ca="1" si="1794"/>
        <v>2158287.2771127094</v>
      </c>
      <c r="BI1816" s="2">
        <f t="shared" ca="1" si="1795"/>
        <v>17883403.068085175</v>
      </c>
      <c r="BJ1816" s="2">
        <f t="shared" ca="1" si="1796"/>
        <v>7.0013691394305244E-2</v>
      </c>
      <c r="BK1816" s="2">
        <f t="shared" ca="1" si="1797"/>
        <v>-3355449.9199918695</v>
      </c>
    </row>
    <row r="1817" spans="1:63" x14ac:dyDescent="0.3">
      <c r="A1817" s="2">
        <v>1816</v>
      </c>
      <c r="B1817" s="2">
        <f t="shared" ca="1" si="1736"/>
        <v>0.92525209737990921</v>
      </c>
      <c r="C1817" s="2">
        <f t="shared" ca="1" si="1737"/>
        <v>7.6133531259143794</v>
      </c>
      <c r="D1817" s="2">
        <f t="shared" ca="1" si="1738"/>
        <v>0.88879958332064612</v>
      </c>
      <c r="E1817" s="2">
        <f t="shared" ca="1" si="1739"/>
        <v>8.0284060715417258</v>
      </c>
      <c r="F1817" s="2">
        <f t="shared" ca="1" si="1740"/>
        <v>0.78500630263003579</v>
      </c>
      <c r="G1817" s="2">
        <f t="shared" ca="1" si="1741"/>
        <v>6.3676396694195975E-2</v>
      </c>
      <c r="H1817" s="2">
        <f t="shared" ca="1" si="1742"/>
        <v>6.3676396694195975E-2</v>
      </c>
      <c r="I1817" s="2">
        <f t="shared" ca="1" si="1743"/>
        <v>4.0896363762101817E-3</v>
      </c>
      <c r="J1817" s="2">
        <f t="shared" ca="1" si="1744"/>
        <v>-3.2228925955100456E-3</v>
      </c>
      <c r="K1817" s="2">
        <f t="shared" ca="1" si="1745"/>
        <v>0</v>
      </c>
      <c r="L1817" s="2">
        <f t="shared" ca="1" si="1746"/>
        <v>0.17700127109677743</v>
      </c>
      <c r="M1817" s="2">
        <f t="shared" ca="1" si="1747"/>
        <v>-1.8537072343057279E-2</v>
      </c>
      <c r="N1817" s="2">
        <f t="shared" ca="1" si="1748"/>
        <v>-1.8537072343057279E-2</v>
      </c>
      <c r="O1817" s="2">
        <f t="shared" si="1749"/>
        <v>6000000</v>
      </c>
      <c r="P1817" s="2">
        <f t="shared" ca="1" si="1750"/>
        <v>45680118.75548628</v>
      </c>
      <c r="Q1817" s="2">
        <f t="shared" ca="1" si="1751"/>
        <v>1142002.968887157</v>
      </c>
      <c r="R1817" s="2">
        <f t="shared" ca="1" si="1752"/>
        <v>27408071.253291767</v>
      </c>
      <c r="S1817" s="2">
        <f t="shared" ca="1" si="1753"/>
        <v>18272047.502194513</v>
      </c>
      <c r="T1817" s="2">
        <f t="shared" ca="1" si="1754"/>
        <v>49073146.382847138</v>
      </c>
      <c r="U1817" s="2">
        <f t="shared" ca="1" si="1755"/>
        <v>52197947.518953659</v>
      </c>
      <c r="V1817" s="2">
        <f t="shared" ca="1" si="1756"/>
        <v>55521724.731793374</v>
      </c>
      <c r="W1817" s="2">
        <f t="shared" ca="1" si="1757"/>
        <v>59057148.100961</v>
      </c>
      <c r="X1817" s="2">
        <f t="shared" ca="1" si="1758"/>
        <v>62817694.491065674</v>
      </c>
      <c r="Y1817" s="2">
        <f t="shared" ca="1" si="1759"/>
        <v>0.12</v>
      </c>
      <c r="Z1817" s="2">
        <f t="shared" ca="1" si="1760"/>
        <v>0.12</v>
      </c>
      <c r="AA1817" s="2">
        <f t="shared" ca="1" si="1761"/>
        <v>5888777.565941656</v>
      </c>
      <c r="AB1817" s="2">
        <f t="shared" ca="1" si="1762"/>
        <v>6263753.7022744389</v>
      </c>
      <c r="AC1817" s="2">
        <f t="shared" ca="1" si="1763"/>
        <v>6662606.9678152045</v>
      </c>
      <c r="AD1817" s="2">
        <f t="shared" ca="1" si="1764"/>
        <v>7086857.77211532</v>
      </c>
      <c r="AE1817" s="2">
        <f t="shared" ca="1" si="1765"/>
        <v>7538123.3389278809</v>
      </c>
      <c r="AF1817" s="2">
        <f t="shared" ca="1" si="1766"/>
        <v>981462.92765694275</v>
      </c>
      <c r="AG1817" s="2">
        <f t="shared" ca="1" si="1767"/>
        <v>1043958.9503790732</v>
      </c>
      <c r="AH1817" s="2">
        <f t="shared" ca="1" si="1768"/>
        <v>1110434.4946358674</v>
      </c>
      <c r="AI1817" s="2">
        <f t="shared" ca="1" si="1769"/>
        <v>1181142.96201922</v>
      </c>
      <c r="AJ1817" s="2">
        <f t="shared" ca="1" si="1770"/>
        <v>1256353.8898213136</v>
      </c>
      <c r="AK1817" s="2">
        <f t="shared" ca="1" si="1771"/>
        <v>0</v>
      </c>
      <c r="AL1817" s="2">
        <f t="shared" ca="1" si="1772"/>
        <v>31248.011361065208</v>
      </c>
      <c r="AM1817" s="2">
        <f t="shared" ca="1" si="1773"/>
        <v>33237.772128397155</v>
      </c>
      <c r="AN1817" s="2">
        <f t="shared" ca="1" si="1774"/>
        <v>35354.233691676258</v>
      </c>
      <c r="AO1817" s="2">
        <f t="shared" ca="1" si="1775"/>
        <v>37605.463901046736</v>
      </c>
      <c r="AP1817" s="2">
        <f t="shared" ca="1" si="1776"/>
        <v>2466726.4127962589</v>
      </c>
      <c r="AQ1817" s="2">
        <f t="shared" ca="1" si="1777"/>
        <v>634552.9386269981</v>
      </c>
      <c r="AR1817" s="2">
        <f t="shared" ca="1" si="1778"/>
        <v>715797.76816576789</v>
      </c>
      <c r="AS1817" s="2">
        <f t="shared" ca="1" si="1779"/>
        <v>802215.97569960018</v>
      </c>
      <c r="AT1817" s="2">
        <f t="shared" ca="1" si="1780"/>
        <v>894136.98329795874</v>
      </c>
      <c r="AU1817" s="2">
        <f t="shared" ca="1" si="1781"/>
        <v>991911.18944068032</v>
      </c>
      <c r="AV1817" s="2">
        <f t="shared" ca="1" si="1782"/>
        <v>1806035.286861456</v>
      </c>
      <c r="AW1817" s="2">
        <f t="shared" ca="1" si="1783"/>
        <v>2006022.5595722739</v>
      </c>
      <c r="AX1817" s="2">
        <f t="shared" ca="1" si="1784"/>
        <v>2249992.3125550803</v>
      </c>
      <c r="AY1817" s="2">
        <f t="shared" ca="1" si="1785"/>
        <v>2509497.1803102056</v>
      </c>
      <c r="AZ1817" s="2">
        <f t="shared" ca="1" si="1786"/>
        <v>2785526.3829685813</v>
      </c>
      <c r="BA1817" s="2">
        <f t="shared" ca="1" si="1787"/>
        <v>60519115.182278983</v>
      </c>
      <c r="BB1817" s="2">
        <f t="shared" ca="1" si="1788"/>
        <v>1210382.3036455796</v>
      </c>
      <c r="BC1817" s="2">
        <f t="shared" ca="1" si="1789"/>
        <v>31900661.625341635</v>
      </c>
      <c r="BD1817" s="2">
        <f t="shared" ca="1" si="1790"/>
        <v>-19914050.47108167</v>
      </c>
      <c r="BE1817" s="2">
        <f t="shared" ca="1" si="1791"/>
        <v>1806035.286861456</v>
      </c>
      <c r="BF1817" s="2">
        <f t="shared" ca="1" si="1792"/>
        <v>2006022.5595722739</v>
      </c>
      <c r="BG1817" s="2">
        <f t="shared" ca="1" si="1793"/>
        <v>2249992.3125550803</v>
      </c>
      <c r="BH1817" s="2">
        <f t="shared" ca="1" si="1794"/>
        <v>2509497.1803102056</v>
      </c>
      <c r="BI1817" s="2">
        <f t="shared" ca="1" si="1795"/>
        <v>34686188.008310214</v>
      </c>
      <c r="BJ1817" s="2">
        <f t="shared" ca="1" si="1796"/>
        <v>0.19197358935744568</v>
      </c>
      <c r="BK1817" s="2">
        <f t="shared" ca="1" si="1797"/>
        <v>6175875.4477863237</v>
      </c>
    </row>
    <row r="1818" spans="1:63" x14ac:dyDescent="0.3">
      <c r="A1818" s="2">
        <v>1817</v>
      </c>
      <c r="B1818" s="2">
        <f t="shared" ca="1" si="1736"/>
        <v>0.39797689154704752</v>
      </c>
      <c r="C1818" s="2">
        <f t="shared" ca="1" si="1737"/>
        <v>6.8921624196827027</v>
      </c>
      <c r="D1818" s="2">
        <f t="shared" ca="1" si="1738"/>
        <v>0.99403811532178399</v>
      </c>
      <c r="E1818" s="2">
        <f t="shared" ca="1" si="1739"/>
        <v>8.3908039865359907</v>
      </c>
      <c r="F1818" s="2">
        <f t="shared" ca="1" si="1740"/>
        <v>0.19521667070811599</v>
      </c>
      <c r="G1818" s="2">
        <f t="shared" ca="1" si="1741"/>
        <v>1.4235047141907629E-2</v>
      </c>
      <c r="H1818" s="2">
        <f t="shared" ca="1" si="1742"/>
        <v>1.4235047141907629E-2</v>
      </c>
      <c r="I1818" s="2">
        <f t="shared" ca="1" si="1743"/>
        <v>0.28249018694250605</v>
      </c>
      <c r="J1818" s="2">
        <f t="shared" ca="1" si="1744"/>
        <v>7.1227010227398729E-3</v>
      </c>
      <c r="K1818" s="2">
        <f t="shared" ca="1" si="1745"/>
        <v>7.1227010227398729E-3</v>
      </c>
      <c r="L1818" s="2">
        <f t="shared" ca="1" si="1746"/>
        <v>0.36129371055793513</v>
      </c>
      <c r="M1818" s="2">
        <f t="shared" ca="1" si="1747"/>
        <v>-7.1000579347635321E-3</v>
      </c>
      <c r="N1818" s="2">
        <f t="shared" ca="1" si="1748"/>
        <v>-7.1000579347635321E-3</v>
      </c>
      <c r="O1818" s="2">
        <f t="shared" si="1749"/>
        <v>6000000</v>
      </c>
      <c r="P1818" s="2">
        <f t="shared" ca="1" si="1750"/>
        <v>41352974.518096216</v>
      </c>
      <c r="Q1818" s="2">
        <f t="shared" ca="1" si="1751"/>
        <v>1033824.3629524055</v>
      </c>
      <c r="R1818" s="2">
        <f t="shared" ca="1" si="1752"/>
        <v>24811784.71085773</v>
      </c>
      <c r="S1818" s="2">
        <f t="shared" ca="1" si="1753"/>
        <v>16541189.807238488</v>
      </c>
      <c r="T1818" s="2">
        <f t="shared" ca="1" si="1754"/>
        <v>49644997.103261821</v>
      </c>
      <c r="U1818" s="2">
        <f t="shared" ca="1" si="1755"/>
        <v>50351695.977386624</v>
      </c>
      <c r="V1818" s="2">
        <f t="shared" ca="1" si="1756"/>
        <v>51068454.74329973</v>
      </c>
      <c r="W1818" s="2">
        <f t="shared" ca="1" si="1757"/>
        <v>51795416.604034983</v>
      </c>
      <c r="X1818" s="2">
        <f t="shared" ca="1" si="1758"/>
        <v>52532726.801128171</v>
      </c>
      <c r="Y1818" s="2">
        <f t="shared" ca="1" si="1759"/>
        <v>0.12356135051136993</v>
      </c>
      <c r="Z1818" s="2">
        <f t="shared" ca="1" si="1760"/>
        <v>0.12498589071591791</v>
      </c>
      <c r="AA1818" s="2">
        <f t="shared" ca="1" si="1761"/>
        <v>6134202.8882120792</v>
      </c>
      <c r="AB1818" s="2">
        <f t="shared" ca="1" si="1762"/>
        <v>6293251.5707907677</v>
      </c>
      <c r="AC1818" s="2">
        <f t="shared" ca="1" si="1763"/>
        <v>6382836.3035768596</v>
      </c>
      <c r="AD1818" s="2">
        <f t="shared" ca="1" si="1764"/>
        <v>6473696.2792573562</v>
      </c>
      <c r="AE1818" s="2">
        <f t="shared" ca="1" si="1765"/>
        <v>6565849.6509749778</v>
      </c>
      <c r="AF1818" s="2">
        <f t="shared" ca="1" si="1766"/>
        <v>992899.94206523639</v>
      </c>
      <c r="AG1818" s="2">
        <f t="shared" ca="1" si="1767"/>
        <v>1007033.9195477325</v>
      </c>
      <c r="AH1818" s="2">
        <f t="shared" ca="1" si="1768"/>
        <v>1021369.0948659946</v>
      </c>
      <c r="AI1818" s="2">
        <f t="shared" ca="1" si="1769"/>
        <v>1035908.3320806996</v>
      </c>
      <c r="AJ1818" s="2">
        <f t="shared" ca="1" si="1770"/>
        <v>1050654.5360225635</v>
      </c>
      <c r="AK1818" s="2">
        <f t="shared" ca="1" si="1771"/>
        <v>0</v>
      </c>
      <c r="AL1818" s="2">
        <f t="shared" ca="1" si="1772"/>
        <v>7066.9887412480266</v>
      </c>
      <c r="AM1818" s="2">
        <f t="shared" ca="1" si="1773"/>
        <v>7167.5876591310653</v>
      </c>
      <c r="AN1818" s="2">
        <f t="shared" ca="1" si="1774"/>
        <v>7269.618607352525</v>
      </c>
      <c r="AO1818" s="2">
        <f t="shared" ca="1" si="1775"/>
        <v>7373.101970931888</v>
      </c>
      <c r="AP1818" s="2">
        <f t="shared" ca="1" si="1776"/>
        <v>2233060.6239771955</v>
      </c>
      <c r="AQ1818" s="2">
        <f t="shared" ca="1" si="1777"/>
        <v>756143.00376410841</v>
      </c>
      <c r="AR1818" s="2">
        <f t="shared" ca="1" si="1778"/>
        <v>793820.82708911819</v>
      </c>
      <c r="AS1818" s="2">
        <f t="shared" ca="1" si="1779"/>
        <v>813385.71203075419</v>
      </c>
      <c r="AT1818" s="2">
        <f t="shared" ca="1" si="1780"/>
        <v>833229.1040318599</v>
      </c>
      <c r="AU1818" s="2">
        <f t="shared" ca="1" si="1781"/>
        <v>853354.96765355696</v>
      </c>
      <c r="AV1818" s="2">
        <f t="shared" ca="1" si="1782"/>
        <v>2152099.3184055388</v>
      </c>
      <c r="AW1818" s="2">
        <f t="shared" ca="1" si="1783"/>
        <v>2252269.2114354735</v>
      </c>
      <c r="AX1818" s="2">
        <f t="shared" ca="1" si="1784"/>
        <v>2307853.2850437844</v>
      </c>
      <c r="AY1818" s="2">
        <f t="shared" ca="1" si="1785"/>
        <v>2364228.6005602488</v>
      </c>
      <c r="AZ1818" s="2">
        <f t="shared" ca="1" si="1786"/>
        <v>2421406.4213507306</v>
      </c>
      <c r="BA1818" s="2">
        <f t="shared" ca="1" si="1787"/>
        <v>55092757.426396787</v>
      </c>
      <c r="BB1818" s="2">
        <f t="shared" ca="1" si="1788"/>
        <v>1101855.1485279358</v>
      </c>
      <c r="BC1818" s="2">
        <f t="shared" ca="1" si="1789"/>
        <v>29179117.567011122</v>
      </c>
      <c r="BD1818" s="2">
        <f t="shared" ca="1" si="1790"/>
        <v>-18075014.170190893</v>
      </c>
      <c r="BE1818" s="2">
        <f t="shared" ca="1" si="1791"/>
        <v>2152099.3184055388</v>
      </c>
      <c r="BF1818" s="2">
        <f t="shared" ca="1" si="1792"/>
        <v>2252269.2114354735</v>
      </c>
      <c r="BG1818" s="2">
        <f t="shared" ca="1" si="1793"/>
        <v>2307853.2850437844</v>
      </c>
      <c r="BH1818" s="2">
        <f t="shared" ca="1" si="1794"/>
        <v>2364228.6005602488</v>
      </c>
      <c r="BI1818" s="2">
        <f t="shared" ca="1" si="1795"/>
        <v>31600523.98836185</v>
      </c>
      <c r="BJ1818" s="2">
        <f t="shared" ca="1" si="1796"/>
        <v>0.20725651913500887</v>
      </c>
      <c r="BK1818" s="2">
        <f t="shared" ca="1" si="1797"/>
        <v>6718178.6703980863</v>
      </c>
    </row>
    <row r="1819" spans="1:63" x14ac:dyDescent="0.3">
      <c r="A1819" s="2">
        <v>1818</v>
      </c>
      <c r="B1819" s="2">
        <f t="shared" ca="1" si="1736"/>
        <v>0.2771188734601242</v>
      </c>
      <c r="C1819" s="2">
        <f t="shared" ca="1" si="1737"/>
        <v>6.7444714547383589</v>
      </c>
      <c r="D1819" s="2">
        <f t="shared" ca="1" si="1738"/>
        <v>0.3907800165516675</v>
      </c>
      <c r="E1819" s="2">
        <f t="shared" ca="1" si="1739"/>
        <v>7.3840588402947711</v>
      </c>
      <c r="F1819" s="2">
        <f t="shared" ca="1" si="1740"/>
        <v>0.89295502111052338</v>
      </c>
      <c r="G1819" s="2">
        <f t="shared" ca="1" si="1741"/>
        <v>7.7271923356396488E-2</v>
      </c>
      <c r="H1819" s="2">
        <f t="shared" ca="1" si="1742"/>
        <v>7.7271923356396488E-2</v>
      </c>
      <c r="I1819" s="2">
        <f t="shared" ca="1" si="1743"/>
        <v>0.17609256234932547</v>
      </c>
      <c r="J1819" s="2">
        <f t="shared" ca="1" si="1744"/>
        <v>5.3482038930475475E-3</v>
      </c>
      <c r="K1819" s="2">
        <f t="shared" ca="1" si="1745"/>
        <v>5.3482038930475475E-3</v>
      </c>
      <c r="L1819" s="2">
        <f t="shared" ca="1" si="1746"/>
        <v>0.93323091304968608</v>
      </c>
      <c r="M1819" s="2">
        <f t="shared" ca="1" si="1747"/>
        <v>3.0005886881015655E-2</v>
      </c>
      <c r="N1819" s="2">
        <f t="shared" ca="1" si="1748"/>
        <v>3.0005886881015655E-2</v>
      </c>
      <c r="O1819" s="2">
        <f t="shared" si="1749"/>
        <v>6000000</v>
      </c>
      <c r="P1819" s="2">
        <f t="shared" ca="1" si="1750"/>
        <v>40466828.728430152</v>
      </c>
      <c r="Q1819" s="2">
        <f t="shared" ca="1" si="1751"/>
        <v>1011670.7182107539</v>
      </c>
      <c r="R1819" s="2">
        <f t="shared" ca="1" si="1752"/>
        <v>24280097.237058092</v>
      </c>
      <c r="S1819" s="2">
        <f t="shared" ca="1" si="1753"/>
        <v>16186731.491372062</v>
      </c>
      <c r="T1819" s="2">
        <f t="shared" ca="1" si="1754"/>
        <v>51500294.34405078</v>
      </c>
      <c r="U1819" s="2">
        <f t="shared" ca="1" si="1755"/>
        <v>55479821.141436137</v>
      </c>
      <c r="V1819" s="2">
        <f t="shared" ca="1" si="1756"/>
        <v>59766853.628503777</v>
      </c>
      <c r="W1819" s="2">
        <f t="shared" ca="1" si="1757"/>
        <v>64385153.361338489</v>
      </c>
      <c r="X1819" s="2">
        <f t="shared" ca="1" si="1758"/>
        <v>69360317.99716568</v>
      </c>
      <c r="Y1819" s="2">
        <f t="shared" ca="1" si="1759"/>
        <v>0.12267410194652377</v>
      </c>
      <c r="Z1819" s="2">
        <f t="shared" ca="1" si="1760"/>
        <v>0.12374374272513328</v>
      </c>
      <c r="AA1819" s="2">
        <f t="shared" ca="1" si="1761"/>
        <v>6317752.3586380668</v>
      </c>
      <c r="AB1819" s="2">
        <f t="shared" ca="1" si="1762"/>
        <v>6865280.7137622833</v>
      </c>
      <c r="AC1819" s="2">
        <f t="shared" ca="1" si="1763"/>
        <v>7395774.1588962693</v>
      </c>
      <c r="AD1819" s="2">
        <f t="shared" ca="1" si="1764"/>
        <v>7967259.8528637197</v>
      </c>
      <c r="AE1819" s="2">
        <f t="shared" ca="1" si="1765"/>
        <v>8582905.3455747012</v>
      </c>
      <c r="AF1819" s="2">
        <f t="shared" ca="1" si="1766"/>
        <v>1030005.8868810156</v>
      </c>
      <c r="AG1819" s="2">
        <f t="shared" ca="1" si="1767"/>
        <v>1109596.4228287227</v>
      </c>
      <c r="AH1819" s="2">
        <f t="shared" ca="1" si="1768"/>
        <v>1195337.0725700755</v>
      </c>
      <c r="AI1819" s="2">
        <f t="shared" ca="1" si="1769"/>
        <v>1287703.0672267699</v>
      </c>
      <c r="AJ1819" s="2">
        <f t="shared" ca="1" si="1770"/>
        <v>1387206.3599433135</v>
      </c>
      <c r="AK1819" s="2">
        <f t="shared" ca="1" si="1771"/>
        <v>0</v>
      </c>
      <c r="AL1819" s="2">
        <f t="shared" ca="1" si="1772"/>
        <v>39795.267973853573</v>
      </c>
      <c r="AM1819" s="2">
        <f t="shared" ca="1" si="1773"/>
        <v>42870.324870676399</v>
      </c>
      <c r="AN1819" s="2">
        <f t="shared" ca="1" si="1774"/>
        <v>46182.997328347119</v>
      </c>
      <c r="AO1819" s="2">
        <f t="shared" ca="1" si="1775"/>
        <v>49751.646358271915</v>
      </c>
      <c r="AP1819" s="2">
        <f t="shared" ca="1" si="1776"/>
        <v>2185208.7513352283</v>
      </c>
      <c r="AQ1819" s="2">
        <f t="shared" ca="1" si="1777"/>
        <v>806659.8073096741</v>
      </c>
      <c r="AR1819" s="2">
        <f t="shared" ca="1" si="1778"/>
        <v>928323.64029556641</v>
      </c>
      <c r="AS1819" s="2">
        <f t="shared" ca="1" si="1779"/>
        <v>1043959.3670976511</v>
      </c>
      <c r="AT1819" s="2">
        <f t="shared" ca="1" si="1780"/>
        <v>1168530.4889184479</v>
      </c>
      <c r="AU1819" s="2">
        <f t="shared" ca="1" si="1781"/>
        <v>1302727.4609170016</v>
      </c>
      <c r="AV1819" s="2">
        <f t="shared" ca="1" si="1782"/>
        <v>2295877.9131121491</v>
      </c>
      <c r="AW1819" s="2">
        <f t="shared" ca="1" si="1783"/>
        <v>2602356.6313289129</v>
      </c>
      <c r="AX1819" s="2">
        <f t="shared" ca="1" si="1784"/>
        <v>2928398.6430226373</v>
      </c>
      <c r="AY1819" s="2">
        <f t="shared" ca="1" si="1785"/>
        <v>3279634.5480549266</v>
      </c>
      <c r="AZ1819" s="2">
        <f t="shared" ca="1" si="1786"/>
        <v>3658011.1270208857</v>
      </c>
      <c r="BA1819" s="2">
        <f t="shared" ca="1" si="1787"/>
        <v>63376678.09240412</v>
      </c>
      <c r="BB1819" s="2">
        <f t="shared" ca="1" si="1788"/>
        <v>1267533.5618480823</v>
      </c>
      <c r="BC1819" s="2">
        <f t="shared" ca="1" si="1789"/>
        <v>37829047.293497942</v>
      </c>
      <c r="BD1819" s="2">
        <f t="shared" ca="1" si="1790"/>
        <v>-17698402.209582817</v>
      </c>
      <c r="BE1819" s="2">
        <f t="shared" ca="1" si="1791"/>
        <v>2295877.9131121491</v>
      </c>
      <c r="BF1819" s="2">
        <f t="shared" ca="1" si="1792"/>
        <v>2602356.6313289129</v>
      </c>
      <c r="BG1819" s="2">
        <f t="shared" ca="1" si="1793"/>
        <v>2928398.6430226373</v>
      </c>
      <c r="BH1819" s="2">
        <f t="shared" ca="1" si="1794"/>
        <v>3279634.5480549266</v>
      </c>
      <c r="BI1819" s="2">
        <f t="shared" ca="1" si="1795"/>
        <v>41487058.42051883</v>
      </c>
      <c r="BJ1819" s="2">
        <f t="shared" ca="1" si="1796"/>
        <v>0.28656126182130737</v>
      </c>
      <c r="BK1819" s="2">
        <f t="shared" ca="1" si="1797"/>
        <v>14135586.028212927</v>
      </c>
    </row>
    <row r="1820" spans="1:63" x14ac:dyDescent="0.3">
      <c r="A1820" s="2">
        <v>1819</v>
      </c>
      <c r="B1820" s="2">
        <f t="shared" ca="1" si="1736"/>
        <v>7.5375227156433411E-2</v>
      </c>
      <c r="C1820" s="2">
        <f t="shared" ca="1" si="1737"/>
        <v>6.3882659582204795</v>
      </c>
      <c r="D1820" s="2">
        <f t="shared" ca="1" si="1738"/>
        <v>0.34088131730743898</v>
      </c>
      <c r="E1820" s="2">
        <f t="shared" ca="1" si="1739"/>
        <v>7.3256891876577273</v>
      </c>
      <c r="F1820" s="2">
        <f t="shared" ca="1" si="1740"/>
        <v>0.62246323626267175</v>
      </c>
      <c r="G1820" s="2">
        <f t="shared" ca="1" si="1741"/>
        <v>4.9358697179253563E-2</v>
      </c>
      <c r="H1820" s="2">
        <f t="shared" ca="1" si="1742"/>
        <v>4.9358697179253563E-2</v>
      </c>
      <c r="I1820" s="2">
        <f t="shared" ca="1" si="1743"/>
        <v>0.1070230896549893</v>
      </c>
      <c r="J1820" s="2">
        <f t="shared" ca="1" si="1744"/>
        <v>3.7874191649402023E-3</v>
      </c>
      <c r="K1820" s="2">
        <f t="shared" ca="1" si="1745"/>
        <v>3.7874191649402023E-3</v>
      </c>
      <c r="L1820" s="2">
        <f t="shared" ca="1" si="1746"/>
        <v>0.40334221906470402</v>
      </c>
      <c r="M1820" s="2">
        <f t="shared" ca="1" si="1747"/>
        <v>-4.8941108003027443E-3</v>
      </c>
      <c r="N1820" s="2">
        <f t="shared" ca="1" si="1748"/>
        <v>-4.8941108003027443E-3</v>
      </c>
      <c r="O1820" s="2">
        <f t="shared" si="1749"/>
        <v>6000000</v>
      </c>
      <c r="P1820" s="2">
        <f t="shared" ca="1" si="1750"/>
        <v>38329595.749322876</v>
      </c>
      <c r="Q1820" s="2">
        <f t="shared" ca="1" si="1751"/>
        <v>958239.89373307198</v>
      </c>
      <c r="R1820" s="2">
        <f t="shared" ca="1" si="1752"/>
        <v>22997757.449593727</v>
      </c>
      <c r="S1820" s="2">
        <f t="shared" ca="1" si="1753"/>
        <v>15331838.299729152</v>
      </c>
      <c r="T1820" s="2">
        <f t="shared" ca="1" si="1754"/>
        <v>49755294.459984861</v>
      </c>
      <c r="U1820" s="2">
        <f t="shared" ca="1" si="1755"/>
        <v>52211150.972299851</v>
      </c>
      <c r="V1820" s="2">
        <f t="shared" ca="1" si="1756"/>
        <v>54788225.362521894</v>
      </c>
      <c r="W1820" s="2">
        <f t="shared" ca="1" si="1757"/>
        <v>57492500.787179321</v>
      </c>
      <c r="X1820" s="2">
        <f t="shared" ca="1" si="1758"/>
        <v>60330255.723611705</v>
      </c>
      <c r="Y1820" s="2">
        <f t="shared" ca="1" si="1759"/>
        <v>0.1218937095824701</v>
      </c>
      <c r="Z1820" s="2">
        <f t="shared" ca="1" si="1760"/>
        <v>0.12265119341545813</v>
      </c>
      <c r="AA1820" s="2">
        <f t="shared" ca="1" si="1761"/>
        <v>6064857.4130956782</v>
      </c>
      <c r="AB1820" s="2">
        <f t="shared" ca="1" si="1762"/>
        <v>6403759.9763472341</v>
      </c>
      <c r="AC1820" s="2">
        <f t="shared" ca="1" si="1763"/>
        <v>6719841.2258283813</v>
      </c>
      <c r="AD1820" s="2">
        <f t="shared" ca="1" si="1764"/>
        <v>7051523.8339867098</v>
      </c>
      <c r="AE1820" s="2">
        <f t="shared" ca="1" si="1765"/>
        <v>7399577.8635607492</v>
      </c>
      <c r="AF1820" s="2">
        <f t="shared" ca="1" si="1766"/>
        <v>995105.8891996973</v>
      </c>
      <c r="AG1820" s="2">
        <f t="shared" ca="1" si="1767"/>
        <v>1044223.0194459971</v>
      </c>
      <c r="AH1820" s="2">
        <f t="shared" ca="1" si="1768"/>
        <v>1095764.507250438</v>
      </c>
      <c r="AI1820" s="2">
        <f t="shared" ca="1" si="1769"/>
        <v>1149850.0157435865</v>
      </c>
      <c r="AJ1820" s="2">
        <f t="shared" ca="1" si="1770"/>
        <v>1206605.1144722342</v>
      </c>
      <c r="AK1820" s="2">
        <f t="shared" ca="1" si="1771"/>
        <v>0</v>
      </c>
      <c r="AL1820" s="2">
        <f t="shared" ca="1" si="1772"/>
        <v>24558.565123149903</v>
      </c>
      <c r="AM1820" s="2">
        <f t="shared" ca="1" si="1773"/>
        <v>25770.743902220427</v>
      </c>
      <c r="AN1820" s="2">
        <f t="shared" ca="1" si="1774"/>
        <v>27042.75424657427</v>
      </c>
      <c r="AO1820" s="2">
        <f t="shared" ca="1" si="1775"/>
        <v>28377.549364323841</v>
      </c>
      <c r="AP1820" s="2">
        <f t="shared" ca="1" si="1776"/>
        <v>2069798.1704634354</v>
      </c>
      <c r="AQ1820" s="2">
        <f t="shared" ca="1" si="1777"/>
        <v>779987.87189246179</v>
      </c>
      <c r="AR1820" s="2">
        <f t="shared" ca="1" si="1778"/>
        <v>855332.08447382855</v>
      </c>
      <c r="AS1820" s="2">
        <f t="shared" ca="1" si="1779"/>
        <v>924112.42250977224</v>
      </c>
      <c r="AT1820" s="2">
        <f t="shared" ca="1" si="1780"/>
        <v>996287.668422719</v>
      </c>
      <c r="AU1820" s="2">
        <f t="shared" ca="1" si="1781"/>
        <v>1072025.3904425206</v>
      </c>
      <c r="AV1820" s="2">
        <f t="shared" ca="1" si="1782"/>
        <v>2219965.4815400839</v>
      </c>
      <c r="AW1820" s="2">
        <f t="shared" ca="1" si="1783"/>
        <v>2409848.1368408231</v>
      </c>
      <c r="AX1820" s="2">
        <f t="shared" ca="1" si="1784"/>
        <v>2604395.3817025162</v>
      </c>
      <c r="AY1820" s="2">
        <f t="shared" ca="1" si="1785"/>
        <v>2808545.2251103949</v>
      </c>
      <c r="AZ1820" s="2">
        <f t="shared" ca="1" si="1786"/>
        <v>3022771.6388182351</v>
      </c>
      <c r="BA1820" s="2">
        <f t="shared" ca="1" si="1787"/>
        <v>54207007.548318446</v>
      </c>
      <c r="BB1820" s="2">
        <f t="shared" ca="1" si="1788"/>
        <v>1084140.1509663688</v>
      </c>
      <c r="BC1820" s="2">
        <f t="shared" ca="1" si="1789"/>
        <v>30125109.947758351</v>
      </c>
      <c r="BD1820" s="2">
        <f t="shared" ca="1" si="1790"/>
        <v>-16790078.193462223</v>
      </c>
      <c r="BE1820" s="2">
        <f t="shared" ca="1" si="1791"/>
        <v>2219965.4815400839</v>
      </c>
      <c r="BF1820" s="2">
        <f t="shared" ca="1" si="1792"/>
        <v>2409848.1368408231</v>
      </c>
      <c r="BG1820" s="2">
        <f t="shared" ca="1" si="1793"/>
        <v>2604395.3817025162</v>
      </c>
      <c r="BH1820" s="2">
        <f t="shared" ca="1" si="1794"/>
        <v>2808545.2251103949</v>
      </c>
      <c r="BI1820" s="2">
        <f t="shared" ca="1" si="1795"/>
        <v>33147881.586576585</v>
      </c>
      <c r="BJ1820" s="2">
        <f t="shared" ca="1" si="1796"/>
        <v>0.24768663239240252</v>
      </c>
      <c r="BK1820" s="2">
        <f t="shared" ca="1" si="1797"/>
        <v>9560786.7013155185</v>
      </c>
    </row>
    <row r="1821" spans="1:63" x14ac:dyDescent="0.3">
      <c r="A1821" s="2">
        <v>1820</v>
      </c>
      <c r="B1821" s="2">
        <f t="shared" ca="1" si="1736"/>
        <v>0.87781303658933296</v>
      </c>
      <c r="C1821" s="2">
        <f t="shared" ca="1" si="1737"/>
        <v>7.5056580871286211</v>
      </c>
      <c r="D1821" s="2">
        <f t="shared" ca="1" si="1738"/>
        <v>0.91032970791248935</v>
      </c>
      <c r="E1821" s="2">
        <f t="shared" ca="1" si="1739"/>
        <v>8.076513773334927</v>
      </c>
      <c r="F1821" s="2">
        <f t="shared" ca="1" si="1740"/>
        <v>0.98967215499327088</v>
      </c>
      <c r="G1821" s="2">
        <f t="shared" ca="1" si="1741"/>
        <v>0.10942658217730564</v>
      </c>
      <c r="H1821" s="2">
        <f t="shared" ca="1" si="1742"/>
        <v>0.10942658217730564</v>
      </c>
      <c r="I1821" s="2">
        <f t="shared" ca="1" si="1743"/>
        <v>0.3194924221622415</v>
      </c>
      <c r="J1821" s="2">
        <f t="shared" ca="1" si="1744"/>
        <v>7.6544068572010869E-3</v>
      </c>
      <c r="K1821" s="2">
        <f t="shared" ca="1" si="1745"/>
        <v>7.6544068572010869E-3</v>
      </c>
      <c r="L1821" s="2">
        <f t="shared" ca="1" si="1746"/>
        <v>0.76470695078656559</v>
      </c>
      <c r="M1821" s="2">
        <f t="shared" ca="1" si="1747"/>
        <v>1.4430515168262608E-2</v>
      </c>
      <c r="N1821" s="2">
        <f t="shared" ca="1" si="1748"/>
        <v>1.4430515168262608E-2</v>
      </c>
      <c r="O1821" s="2">
        <f t="shared" si="1749"/>
        <v>6000000</v>
      </c>
      <c r="P1821" s="2">
        <f t="shared" ca="1" si="1750"/>
        <v>45033948.522771724</v>
      </c>
      <c r="Q1821" s="2">
        <f t="shared" ca="1" si="1751"/>
        <v>1125848.7130692932</v>
      </c>
      <c r="R1821" s="2">
        <f t="shared" ca="1" si="1752"/>
        <v>27020369.113663033</v>
      </c>
      <c r="S1821" s="2">
        <f t="shared" ca="1" si="1753"/>
        <v>18013579.409108691</v>
      </c>
      <c r="T1821" s="2">
        <f t="shared" ca="1" si="1754"/>
        <v>50721525.758413136</v>
      </c>
      <c r="U1821" s="2">
        <f t="shared" ca="1" si="1755"/>
        <v>56271808.964974463</v>
      </c>
      <c r="V1821" s="2">
        <f t="shared" ca="1" si="1756"/>
        <v>62429440.69294589</v>
      </c>
      <c r="W1821" s="2">
        <f t="shared" ca="1" si="1757"/>
        <v>69260881.015215769</v>
      </c>
      <c r="X1821" s="2">
        <f t="shared" ca="1" si="1758"/>
        <v>76839862.503299877</v>
      </c>
      <c r="Y1821" s="2">
        <f t="shared" ca="1" si="1759"/>
        <v>0.12382720342860054</v>
      </c>
      <c r="Z1821" s="2">
        <f t="shared" ca="1" si="1760"/>
        <v>0.12535808480004076</v>
      </c>
      <c r="AA1821" s="2">
        <f t="shared" ca="1" si="1761"/>
        <v>6280704.6882960256</v>
      </c>
      <c r="AB1821" s="2">
        <f t="shared" ca="1" si="1762"/>
        <v>7054126.2000829624</v>
      </c>
      <c r="AC1821" s="2">
        <f t="shared" ca="1" si="1763"/>
        <v>7826035.1204054262</v>
      </c>
      <c r="AD1821" s="2">
        <f t="shared" ca="1" si="1764"/>
        <v>8682411.395630952</v>
      </c>
      <c r="AE1821" s="2">
        <f t="shared" ca="1" si="1765"/>
        <v>9632497.9997121394</v>
      </c>
      <c r="AF1821" s="2">
        <f t="shared" ca="1" si="1766"/>
        <v>1014430.5151682628</v>
      </c>
      <c r="AG1821" s="2">
        <f t="shared" ca="1" si="1767"/>
        <v>1125436.1792994894</v>
      </c>
      <c r="AH1821" s="2">
        <f t="shared" ca="1" si="1768"/>
        <v>1248588.8138589179</v>
      </c>
      <c r="AI1821" s="2">
        <f t="shared" ca="1" si="1769"/>
        <v>1385217.6203043154</v>
      </c>
      <c r="AJ1821" s="2">
        <f t="shared" ca="1" si="1770"/>
        <v>1536797.2500659975</v>
      </c>
      <c r="AK1821" s="2">
        <f t="shared" ca="1" si="1771"/>
        <v>0</v>
      </c>
      <c r="AL1821" s="2">
        <f t="shared" ca="1" si="1772"/>
        <v>55502.832065613271</v>
      </c>
      <c r="AM1821" s="2">
        <f t="shared" ca="1" si="1773"/>
        <v>61576.317279714276</v>
      </c>
      <c r="AN1821" s="2">
        <f t="shared" ca="1" si="1774"/>
        <v>68314.403222698791</v>
      </c>
      <c r="AO1821" s="2">
        <f t="shared" ca="1" si="1775"/>
        <v>75789.814880841077</v>
      </c>
      <c r="AP1821" s="2">
        <f t="shared" ca="1" si="1776"/>
        <v>2431833.2202296727</v>
      </c>
      <c r="AQ1821" s="2">
        <f t="shared" ca="1" si="1777"/>
        <v>736954.64775350352</v>
      </c>
      <c r="AR1821" s="2">
        <f t="shared" ca="1" si="1778"/>
        <v>909182.7681439881</v>
      </c>
      <c r="AS1821" s="2">
        <f t="shared" ca="1" si="1779"/>
        <v>1077859.4024423773</v>
      </c>
      <c r="AT1821" s="2">
        <f t="shared" ca="1" si="1780"/>
        <v>1264993.7443252106</v>
      </c>
      <c r="AU1821" s="2">
        <f t="shared" ca="1" si="1781"/>
        <v>1472605.5576482823</v>
      </c>
      <c r="AV1821" s="2">
        <f t="shared" ca="1" si="1782"/>
        <v>2097486.3051445871</v>
      </c>
      <c r="AW1821" s="2">
        <f t="shared" ca="1" si="1783"/>
        <v>2532171.2003441988</v>
      </c>
      <c r="AX1821" s="2">
        <f t="shared" ca="1" si="1784"/>
        <v>3006177.3665947444</v>
      </c>
      <c r="AY1821" s="2">
        <f t="shared" ca="1" si="1785"/>
        <v>3532052.4075490548</v>
      </c>
      <c r="AZ1821" s="2">
        <f t="shared" ca="1" si="1786"/>
        <v>4115472.1568873455</v>
      </c>
      <c r="BA1821" s="2">
        <f t="shared" ca="1" si="1787"/>
        <v>77797002.766296223</v>
      </c>
      <c r="BB1821" s="2">
        <f t="shared" ca="1" si="1788"/>
        <v>1555940.0553259244</v>
      </c>
      <c r="BC1821" s="2">
        <f t="shared" ca="1" si="1789"/>
        <v>49220693.597307265</v>
      </c>
      <c r="BD1821" s="2">
        <f t="shared" ca="1" si="1790"/>
        <v>-19639428.122177985</v>
      </c>
      <c r="BE1821" s="2">
        <f t="shared" ca="1" si="1791"/>
        <v>2097486.3051445871</v>
      </c>
      <c r="BF1821" s="2">
        <f t="shared" ca="1" si="1792"/>
        <v>2532171.2003441988</v>
      </c>
      <c r="BG1821" s="2">
        <f t="shared" ca="1" si="1793"/>
        <v>3006177.3665947444</v>
      </c>
      <c r="BH1821" s="2">
        <f t="shared" ca="1" si="1794"/>
        <v>3532052.4075490548</v>
      </c>
      <c r="BI1821" s="2">
        <f t="shared" ca="1" si="1795"/>
        <v>53336165.75419461</v>
      </c>
      <c r="BJ1821" s="2">
        <f t="shared" ca="1" si="1796"/>
        <v>0.30682657047316875</v>
      </c>
      <c r="BK1821" s="2">
        <f t="shared" ca="1" si="1797"/>
        <v>18900752.5450661</v>
      </c>
    </row>
    <row r="1822" spans="1:63" x14ac:dyDescent="0.3">
      <c r="A1822" s="2">
        <v>1821</v>
      </c>
      <c r="B1822" s="2">
        <f t="shared" ca="1" si="1736"/>
        <v>0.9609115145534507</v>
      </c>
      <c r="C1822" s="2">
        <f t="shared" ca="1" si="1737"/>
        <v>7.7203985499088059</v>
      </c>
      <c r="D1822" s="2">
        <f t="shared" ca="1" si="1738"/>
        <v>0.61453928964434223</v>
      </c>
      <c r="E1822" s="2">
        <f t="shared" ca="1" si="1739"/>
        <v>7.6219786900585413</v>
      </c>
      <c r="F1822" s="2">
        <f t="shared" ca="1" si="1740"/>
        <v>0.83502853532192822</v>
      </c>
      <c r="G1822" s="2">
        <f t="shared" ca="1" si="1741"/>
        <v>6.9226865118310679E-2</v>
      </c>
      <c r="H1822" s="2">
        <f t="shared" ca="1" si="1742"/>
        <v>6.9226865118310679E-2</v>
      </c>
      <c r="I1822" s="2">
        <f t="shared" ca="1" si="1743"/>
        <v>0.93437047108814919</v>
      </c>
      <c r="J1822" s="2">
        <f t="shared" ca="1" si="1744"/>
        <v>1.7545777331399171E-2</v>
      </c>
      <c r="K1822" s="2">
        <f t="shared" ca="1" si="1745"/>
        <v>1.7545777331399171E-2</v>
      </c>
      <c r="L1822" s="2">
        <f t="shared" ca="1" si="1746"/>
        <v>0.45950876346607528</v>
      </c>
      <c r="M1822" s="2">
        <f t="shared" ca="1" si="1747"/>
        <v>-2.0334274215319651E-3</v>
      </c>
      <c r="N1822" s="2">
        <f t="shared" ca="1" si="1748"/>
        <v>-2.0334274215319651E-3</v>
      </c>
      <c r="O1822" s="2">
        <f t="shared" si="1749"/>
        <v>6000000</v>
      </c>
      <c r="P1822" s="2">
        <f t="shared" ca="1" si="1750"/>
        <v>46322391.299452834</v>
      </c>
      <c r="Q1822" s="2">
        <f t="shared" ca="1" si="1751"/>
        <v>1158059.7824863209</v>
      </c>
      <c r="R1822" s="2">
        <f t="shared" ca="1" si="1752"/>
        <v>27793434.779671699</v>
      </c>
      <c r="S1822" s="2">
        <f t="shared" ca="1" si="1753"/>
        <v>18528956.519781135</v>
      </c>
      <c r="T1822" s="2">
        <f t="shared" ca="1" si="1754"/>
        <v>49898328.628923401</v>
      </c>
      <c r="U1822" s="2">
        <f t="shared" ca="1" si="1755"/>
        <v>53352633.494547024</v>
      </c>
      <c r="V1822" s="2">
        <f t="shared" ca="1" si="1756"/>
        <v>57046069.057180703</v>
      </c>
      <c r="W1822" s="2">
        <f t="shared" ca="1" si="1757"/>
        <v>60995189.585331991</v>
      </c>
      <c r="X1822" s="2">
        <f t="shared" ca="1" si="1758"/>
        <v>65217695.34762156</v>
      </c>
      <c r="Y1822" s="2">
        <f t="shared" ca="1" si="1759"/>
        <v>0.12877288866569958</v>
      </c>
      <c r="Z1822" s="2">
        <f t="shared" ca="1" si="1760"/>
        <v>0.13228204413197941</v>
      </c>
      <c r="AA1822" s="2">
        <f t="shared" ca="1" si="1761"/>
        <v>6425551.9171368433</v>
      </c>
      <c r="AB1822" s="2">
        <f t="shared" ca="1" si="1762"/>
        <v>7057595.4184829928</v>
      </c>
      <c r="AC1822" s="2">
        <f t="shared" ca="1" si="1763"/>
        <v>7546170.6245779227</v>
      </c>
      <c r="AD1822" s="2">
        <f t="shared" ca="1" si="1764"/>
        <v>8068568.3605653374</v>
      </c>
      <c r="AE1822" s="2">
        <f t="shared" ca="1" si="1765"/>
        <v>8627130.0541600641</v>
      </c>
      <c r="AF1822" s="2">
        <f t="shared" ca="1" si="1766"/>
        <v>997966.57257846801</v>
      </c>
      <c r="AG1822" s="2">
        <f t="shared" ca="1" si="1767"/>
        <v>1067052.6698909404</v>
      </c>
      <c r="AH1822" s="2">
        <f t="shared" ca="1" si="1768"/>
        <v>1140921.3811436142</v>
      </c>
      <c r="AI1822" s="2">
        <f t="shared" ca="1" si="1769"/>
        <v>1219903.7917066398</v>
      </c>
      <c r="AJ1822" s="2">
        <f t="shared" ca="1" si="1770"/>
        <v>1304353.9069524312</v>
      </c>
      <c r="AK1822" s="2">
        <f t="shared" ca="1" si="1771"/>
        <v>0</v>
      </c>
      <c r="AL1822" s="2">
        <f t="shared" ca="1" si="1772"/>
        <v>34543.048656236235</v>
      </c>
      <c r="AM1822" s="2">
        <f t="shared" ca="1" si="1773"/>
        <v>36934.355626336786</v>
      </c>
      <c r="AN1822" s="2">
        <f t="shared" ca="1" si="1774"/>
        <v>39491.205281512885</v>
      </c>
      <c r="AO1822" s="2">
        <f t="shared" ca="1" si="1775"/>
        <v>42225.057622895685</v>
      </c>
      <c r="AP1822" s="2">
        <f t="shared" ca="1" si="1776"/>
        <v>2501409.1301704529</v>
      </c>
      <c r="AQ1822" s="2">
        <f t="shared" ca="1" si="1777"/>
        <v>760805.81574085972</v>
      </c>
      <c r="AR1822" s="2">
        <f t="shared" ca="1" si="1778"/>
        <v>907174.74078961601</v>
      </c>
      <c r="AS1822" s="2">
        <f t="shared" ca="1" si="1779"/>
        <v>1014998.4294486024</v>
      </c>
      <c r="AT1822" s="2">
        <f t="shared" ca="1" si="1780"/>
        <v>1130286.4140589437</v>
      </c>
      <c r="AU1822" s="2">
        <f t="shared" ca="1" si="1781"/>
        <v>1253555.4244296667</v>
      </c>
      <c r="AV1822" s="2">
        <f t="shared" ca="1" si="1782"/>
        <v>2165370.398647062</v>
      </c>
      <c r="AW1822" s="2">
        <f t="shared" ca="1" si="1783"/>
        <v>2547415.8289757469</v>
      </c>
      <c r="AX1822" s="2">
        <f t="shared" ca="1" si="1784"/>
        <v>2851907.3281889153</v>
      </c>
      <c r="AY1822" s="2">
        <f t="shared" ca="1" si="1785"/>
        <v>3177477.8193477881</v>
      </c>
      <c r="AZ1822" s="2">
        <f t="shared" ca="1" si="1786"/>
        <v>3525586.534984617</v>
      </c>
      <c r="BA1822" s="2">
        <f t="shared" ca="1" si="1787"/>
        <v>65755801.429171599</v>
      </c>
      <c r="BB1822" s="2">
        <f t="shared" ca="1" si="1788"/>
        <v>1315116.0285834321</v>
      </c>
      <c r="BC1822" s="2">
        <f t="shared" ca="1" si="1789"/>
        <v>36647250.620916471</v>
      </c>
      <c r="BD1822" s="2">
        <f t="shared" ca="1" si="1790"/>
        <v>-20187016.302267455</v>
      </c>
      <c r="BE1822" s="2">
        <f t="shared" ca="1" si="1791"/>
        <v>2165370.398647062</v>
      </c>
      <c r="BF1822" s="2">
        <f t="shared" ca="1" si="1792"/>
        <v>2547415.8289757469</v>
      </c>
      <c r="BG1822" s="2">
        <f t="shared" ca="1" si="1793"/>
        <v>2851907.3281889153</v>
      </c>
      <c r="BH1822" s="2">
        <f t="shared" ca="1" si="1794"/>
        <v>3177477.8193477881</v>
      </c>
      <c r="BI1822" s="2">
        <f t="shared" ca="1" si="1795"/>
        <v>40172837.155901089</v>
      </c>
      <c r="BJ1822" s="2">
        <f t="shared" ca="1" si="1796"/>
        <v>0.23644791128880494</v>
      </c>
      <c r="BK1822" s="2">
        <f t="shared" ca="1" si="1797"/>
        <v>10621557.002925344</v>
      </c>
    </row>
    <row r="1823" spans="1:63" x14ac:dyDescent="0.3">
      <c r="A1823" s="2">
        <v>1822</v>
      </c>
      <c r="B1823" s="2">
        <f t="shared" ca="1" si="1736"/>
        <v>0.25079857046414034</v>
      </c>
      <c r="C1823" s="2">
        <f t="shared" ca="1" si="1737"/>
        <v>6.7082352299400823</v>
      </c>
      <c r="D1823" s="2">
        <f t="shared" ca="1" si="1738"/>
        <v>0.51916578249925016</v>
      </c>
      <c r="E1823" s="2">
        <f t="shared" ca="1" si="1739"/>
        <v>7.5193530528260952</v>
      </c>
      <c r="F1823" s="2">
        <f t="shared" ca="1" si="1740"/>
        <v>0.61394062783316716</v>
      </c>
      <c r="G1823" s="2">
        <f t="shared" ca="1" si="1741"/>
        <v>4.8688138122594767E-2</v>
      </c>
      <c r="H1823" s="2">
        <f t="shared" ca="1" si="1742"/>
        <v>4.8688138122594767E-2</v>
      </c>
      <c r="I1823" s="2">
        <f t="shared" ca="1" si="1743"/>
        <v>0.82253490790113415</v>
      </c>
      <c r="J1823" s="2">
        <f t="shared" ca="1" si="1744"/>
        <v>1.462534339288583E-2</v>
      </c>
      <c r="K1823" s="2">
        <f t="shared" ca="1" si="1745"/>
        <v>1.462534339288583E-2</v>
      </c>
      <c r="L1823" s="2">
        <f t="shared" ca="1" si="1746"/>
        <v>0.64382461653579748</v>
      </c>
      <c r="M1823" s="2">
        <f t="shared" ca="1" si="1747"/>
        <v>7.374015609800234E-3</v>
      </c>
      <c r="N1823" s="2">
        <f t="shared" ca="1" si="1748"/>
        <v>7.374015609800234E-3</v>
      </c>
      <c r="O1823" s="2">
        <f t="shared" si="1749"/>
        <v>6000000</v>
      </c>
      <c r="P1823" s="2">
        <f t="shared" ca="1" si="1750"/>
        <v>40249411.37964049</v>
      </c>
      <c r="Q1823" s="2">
        <f t="shared" ca="1" si="1751"/>
        <v>1006235.2844910123</v>
      </c>
      <c r="R1823" s="2">
        <f t="shared" ca="1" si="1752"/>
        <v>24149646.827784292</v>
      </c>
      <c r="S1823" s="2">
        <f t="shared" ca="1" si="1753"/>
        <v>16099764.551856197</v>
      </c>
      <c r="T1823" s="2">
        <f t="shared" ca="1" si="1754"/>
        <v>50368700.780490018</v>
      </c>
      <c r="U1823" s="2">
        <f t="shared" ca="1" si="1755"/>
        <v>52821059.041146167</v>
      </c>
      <c r="V1823" s="2">
        <f t="shared" ca="1" si="1756"/>
        <v>55392818.059523225</v>
      </c>
      <c r="W1823" s="2">
        <f t="shared" ca="1" si="1757"/>
        <v>58089791.236205056</v>
      </c>
      <c r="X1823" s="2">
        <f t="shared" ca="1" si="1758"/>
        <v>60918075.015426099</v>
      </c>
      <c r="Y1823" s="2">
        <f t="shared" ca="1" si="1759"/>
        <v>0.12731267169644292</v>
      </c>
      <c r="Z1823" s="2">
        <f t="shared" ca="1" si="1760"/>
        <v>0.13023774037502009</v>
      </c>
      <c r="AA1823" s="2">
        <f t="shared" ca="1" si="1761"/>
        <v>6412573.866242894</v>
      </c>
      <c r="AB1823" s="2">
        <f t="shared" ca="1" si="1762"/>
        <v>6879295.3737344025</v>
      </c>
      <c r="AC1823" s="2">
        <f t="shared" ca="1" si="1763"/>
        <v>7214235.45707691</v>
      </c>
      <c r="AD1823" s="2">
        <f t="shared" ca="1" si="1764"/>
        <v>7565483.1494599916</v>
      </c>
      <c r="AE1823" s="2">
        <f t="shared" ca="1" si="1765"/>
        <v>7933832.4380050618</v>
      </c>
      <c r="AF1823" s="2">
        <f t="shared" ca="1" si="1766"/>
        <v>1007374.0156098003</v>
      </c>
      <c r="AG1823" s="2">
        <f t="shared" ca="1" si="1767"/>
        <v>1056421.1808229233</v>
      </c>
      <c r="AH1823" s="2">
        <f t="shared" ca="1" si="1768"/>
        <v>1107856.3611904646</v>
      </c>
      <c r="AI1823" s="2">
        <f t="shared" ca="1" si="1769"/>
        <v>1161795.8247241012</v>
      </c>
      <c r="AJ1823" s="2">
        <f t="shared" ca="1" si="1770"/>
        <v>1218361.500308522</v>
      </c>
      <c r="AK1823" s="2">
        <f t="shared" ca="1" si="1771"/>
        <v>0</v>
      </c>
      <c r="AL1823" s="2">
        <f t="shared" ca="1" si="1772"/>
        <v>24523.582606561482</v>
      </c>
      <c r="AM1823" s="2">
        <f t="shared" ca="1" si="1773"/>
        <v>25717.590183770582</v>
      </c>
      <c r="AN1823" s="2">
        <f t="shared" ca="1" si="1774"/>
        <v>26969.731766818317</v>
      </c>
      <c r="AO1823" s="2">
        <f t="shared" ca="1" si="1775"/>
        <v>28282.83779221043</v>
      </c>
      <c r="AP1823" s="2">
        <f t="shared" ca="1" si="1776"/>
        <v>2173468.214500586</v>
      </c>
      <c r="AQ1823" s="2">
        <f t="shared" ca="1" si="1777"/>
        <v>840250.22539445211</v>
      </c>
      <c r="AR1823" s="2">
        <f t="shared" ca="1" si="1778"/>
        <v>948845.5543868324</v>
      </c>
      <c r="AS1823" s="2">
        <f t="shared" ca="1" si="1779"/>
        <v>1022556.8291603235</v>
      </c>
      <c r="AT1823" s="2">
        <f t="shared" ca="1" si="1780"/>
        <v>1099856.9686611791</v>
      </c>
      <c r="AU1823" s="2">
        <f t="shared" ca="1" si="1781"/>
        <v>1180920.7080309479</v>
      </c>
      <c r="AV1823" s="2">
        <f t="shared" ca="1" si="1782"/>
        <v>2391481.4107380561</v>
      </c>
      <c r="AW1823" s="2">
        <f t="shared" ca="1" si="1783"/>
        <v>2676036.8414174994</v>
      </c>
      <c r="AX1823" s="2">
        <f t="shared" ca="1" si="1784"/>
        <v>2884636.4620417659</v>
      </c>
      <c r="AY1823" s="2">
        <f t="shared" ca="1" si="1785"/>
        <v>3103392.4098073072</v>
      </c>
      <c r="AZ1823" s="2">
        <f t="shared" ca="1" si="1786"/>
        <v>3332799.177372796</v>
      </c>
      <c r="BA1823" s="2">
        <f t="shared" ca="1" si="1787"/>
        <v>59657287.163324066</v>
      </c>
      <c r="BB1823" s="2">
        <f t="shared" ca="1" si="1788"/>
        <v>1193145.7432664814</v>
      </c>
      <c r="BC1823" s="2">
        <f t="shared" ca="1" si="1789"/>
        <v>34314494.592273295</v>
      </c>
      <c r="BD1823" s="2">
        <f t="shared" ca="1" si="1790"/>
        <v>-17605999.836347211</v>
      </c>
      <c r="BE1823" s="2">
        <f t="shared" ca="1" si="1791"/>
        <v>2391481.4107380561</v>
      </c>
      <c r="BF1823" s="2">
        <f t="shared" ca="1" si="1792"/>
        <v>2676036.8414174994</v>
      </c>
      <c r="BG1823" s="2">
        <f t="shared" ca="1" si="1793"/>
        <v>2884636.4620417659</v>
      </c>
      <c r="BH1823" s="2">
        <f t="shared" ca="1" si="1794"/>
        <v>3103392.4098073072</v>
      </c>
      <c r="BI1823" s="2">
        <f t="shared" ca="1" si="1795"/>
        <v>37647293.769646093</v>
      </c>
      <c r="BJ1823" s="2">
        <f t="shared" ca="1" si="1796"/>
        <v>0.26879735572507624</v>
      </c>
      <c r="BK1823" s="2">
        <f t="shared" ca="1" si="1797"/>
        <v>12050146.375964593</v>
      </c>
    </row>
    <row r="1824" spans="1:63" x14ac:dyDescent="0.3">
      <c r="A1824" s="2">
        <v>1823</v>
      </c>
      <c r="B1824" s="2">
        <f t="shared" ca="1" si="1736"/>
        <v>0.98051652305894388</v>
      </c>
      <c r="C1824" s="2">
        <f t="shared" ca="1" si="1737"/>
        <v>7.8025995089111673</v>
      </c>
      <c r="D1824" s="2">
        <f t="shared" ca="1" si="1738"/>
        <v>4.0241899891347188E-2</v>
      </c>
      <c r="E1824" s="2">
        <f t="shared" ca="1" si="1739"/>
        <v>6.7836966686140219</v>
      </c>
      <c r="F1824" s="2">
        <f t="shared" ca="1" si="1740"/>
        <v>0.90641595865038949</v>
      </c>
      <c r="G1824" s="2">
        <f t="shared" ca="1" si="1741"/>
        <v>7.9570092407315635E-2</v>
      </c>
      <c r="H1824" s="2">
        <f t="shared" ca="1" si="1742"/>
        <v>7.9570092407315635E-2</v>
      </c>
      <c r="I1824" s="2">
        <f t="shared" ca="1" si="1743"/>
        <v>0.4255390328734534</v>
      </c>
      <c r="J1824" s="2">
        <f t="shared" ca="1" si="1744"/>
        <v>9.0612846510821268E-3</v>
      </c>
      <c r="K1824" s="2">
        <f t="shared" ca="1" si="1745"/>
        <v>9.0612846510821268E-3</v>
      </c>
      <c r="L1824" s="2">
        <f t="shared" ca="1" si="1746"/>
        <v>6.0098126406130215E-2</v>
      </c>
      <c r="M1824" s="2">
        <f t="shared" ca="1" si="1747"/>
        <v>-3.1079007621771893E-2</v>
      </c>
      <c r="N1824" s="2">
        <f t="shared" ca="1" si="1748"/>
        <v>-3.1079007621771893E-2</v>
      </c>
      <c r="O1824" s="2">
        <f t="shared" si="1749"/>
        <v>6000000</v>
      </c>
      <c r="P1824" s="2">
        <f t="shared" ca="1" si="1750"/>
        <v>46815597.053467005</v>
      </c>
      <c r="Q1824" s="2">
        <f t="shared" ca="1" si="1751"/>
        <v>1170389.9263366752</v>
      </c>
      <c r="R1824" s="2">
        <f t="shared" ca="1" si="1752"/>
        <v>28089358.232080203</v>
      </c>
      <c r="S1824" s="2">
        <f t="shared" ca="1" si="1753"/>
        <v>18726238.821386803</v>
      </c>
      <c r="T1824" s="2">
        <f t="shared" ca="1" si="1754"/>
        <v>48446049.618911408</v>
      </c>
      <c r="U1824" s="2">
        <f t="shared" ca="1" si="1755"/>
        <v>52300906.263857588</v>
      </c>
      <c r="V1824" s="2">
        <f t="shared" ca="1" si="1756"/>
        <v>56462494.208259091</v>
      </c>
      <c r="W1824" s="2">
        <f t="shared" ca="1" si="1757"/>
        <v>60955220.089957796</v>
      </c>
      <c r="X1824" s="2">
        <f t="shared" ca="1" si="1758"/>
        <v>65805432.585224003</v>
      </c>
      <c r="Y1824" s="2">
        <f t="shared" ca="1" si="1759"/>
        <v>0.12453064232554106</v>
      </c>
      <c r="Z1824" s="2">
        <f t="shared" ca="1" si="1760"/>
        <v>0.12634289925575748</v>
      </c>
      <c r="AA1824" s="2">
        <f t="shared" ca="1" si="1761"/>
        <v>6033017.6771780718</v>
      </c>
      <c r="AB1824" s="2">
        <f t="shared" ca="1" si="1762"/>
        <v>6607848.1310793748</v>
      </c>
      <c r="AC1824" s="2">
        <f t="shared" ca="1" si="1763"/>
        <v>7133635.2174828686</v>
      </c>
      <c r="AD1824" s="2">
        <f t="shared" ca="1" si="1764"/>
        <v>7701259.2309380621</v>
      </c>
      <c r="AE1824" s="2">
        <f t="shared" ca="1" si="1765"/>
        <v>8314049.1395964967</v>
      </c>
      <c r="AF1824" s="2">
        <f t="shared" ca="1" si="1766"/>
        <v>968920.99237822823</v>
      </c>
      <c r="AG1824" s="2">
        <f t="shared" ca="1" si="1767"/>
        <v>1046018.1252771518</v>
      </c>
      <c r="AH1824" s="2">
        <f t="shared" ca="1" si="1768"/>
        <v>1129249.8841651818</v>
      </c>
      <c r="AI1824" s="2">
        <f t="shared" ca="1" si="1769"/>
        <v>1219104.4017991559</v>
      </c>
      <c r="AJ1824" s="2">
        <f t="shared" ca="1" si="1770"/>
        <v>1316108.6517044802</v>
      </c>
      <c r="AK1824" s="2">
        <f t="shared" ca="1" si="1771"/>
        <v>0</v>
      </c>
      <c r="AL1824" s="2">
        <f t="shared" ca="1" si="1772"/>
        <v>38548.566449461803</v>
      </c>
      <c r="AM1824" s="2">
        <f t="shared" ca="1" si="1773"/>
        <v>41615.87944401503</v>
      </c>
      <c r="AN1824" s="2">
        <f t="shared" ca="1" si="1774"/>
        <v>44927.258816987051</v>
      </c>
      <c r="AO1824" s="2">
        <f t="shared" ca="1" si="1775"/>
        <v>48502.124952662067</v>
      </c>
      <c r="AP1824" s="2">
        <f t="shared" ca="1" si="1776"/>
        <v>2528042.2408872182</v>
      </c>
      <c r="AQ1824" s="2">
        <f t="shared" ca="1" si="1777"/>
        <v>659374.1554172826</v>
      </c>
      <c r="AR1824" s="2">
        <f t="shared" ca="1" si="1778"/>
        <v>788784.81887790142</v>
      </c>
      <c r="AS1824" s="2">
        <f t="shared" ca="1" si="1779"/>
        <v>903849.20403192192</v>
      </c>
      <c r="AT1824" s="2">
        <f t="shared" ca="1" si="1780"/>
        <v>1028069.2729454391</v>
      </c>
      <c r="AU1824" s="2">
        <f t="shared" ca="1" si="1781"/>
        <v>1162173.5442212478</v>
      </c>
      <c r="AV1824" s="2">
        <f t="shared" ca="1" si="1782"/>
        <v>1876680.2884953422</v>
      </c>
      <c r="AW1824" s="2">
        <f t="shared" ca="1" si="1783"/>
        <v>2206454.3795876419</v>
      </c>
      <c r="AX1824" s="2">
        <f t="shared" ca="1" si="1784"/>
        <v>2530878.0089545315</v>
      </c>
      <c r="AY1824" s="2">
        <f t="shared" ca="1" si="1785"/>
        <v>2881116.0564892618</v>
      </c>
      <c r="AZ1824" s="2">
        <f t="shared" ca="1" si="1786"/>
        <v>3259222.5778308893</v>
      </c>
      <c r="BA1824" s="2">
        <f t="shared" ca="1" si="1787"/>
        <v>56399987.450974032</v>
      </c>
      <c r="BB1824" s="2">
        <f t="shared" ca="1" si="1788"/>
        <v>1127999.7490194808</v>
      </c>
      <c r="BC1824" s="2">
        <f t="shared" ca="1" si="1789"/>
        <v>27182629.469874348</v>
      </c>
      <c r="BD1824" s="2">
        <f t="shared" ca="1" si="1790"/>
        <v>-20396628.747723479</v>
      </c>
      <c r="BE1824" s="2">
        <f t="shared" ca="1" si="1791"/>
        <v>1876680.2884953422</v>
      </c>
      <c r="BF1824" s="2">
        <f t="shared" ca="1" si="1792"/>
        <v>2206454.3795876419</v>
      </c>
      <c r="BG1824" s="2">
        <f t="shared" ca="1" si="1793"/>
        <v>2530878.0089545315</v>
      </c>
      <c r="BH1824" s="2">
        <f t="shared" ca="1" si="1794"/>
        <v>2881116.0564892618</v>
      </c>
      <c r="BI1824" s="2">
        <f t="shared" ca="1" si="1795"/>
        <v>30441852.047705237</v>
      </c>
      <c r="BJ1824" s="2">
        <f t="shared" ca="1" si="1796"/>
        <v>0.16756553214632897</v>
      </c>
      <c r="BK1824" s="2">
        <f t="shared" ca="1" si="1797"/>
        <v>3943905.2811824009</v>
      </c>
    </row>
    <row r="1825" spans="1:63" x14ac:dyDescent="0.3">
      <c r="A1825" s="2">
        <v>1824</v>
      </c>
      <c r="B1825" s="2">
        <f t="shared" ca="1" si="1736"/>
        <v>0.41095951274174924</v>
      </c>
      <c r="C1825" s="2">
        <f t="shared" ca="1" si="1737"/>
        <v>6.9065974991601831</v>
      </c>
      <c r="D1825" s="2">
        <f t="shared" ca="1" si="1738"/>
        <v>0.67349767017555973</v>
      </c>
      <c r="E1825" s="2">
        <f t="shared" ca="1" si="1739"/>
        <v>7.6919129628258593</v>
      </c>
      <c r="F1825" s="2">
        <f t="shared" ca="1" si="1740"/>
        <v>0.98057459488269694</v>
      </c>
      <c r="G1825" s="2">
        <f t="shared" ca="1" si="1741"/>
        <v>0.10197290686588902</v>
      </c>
      <c r="H1825" s="2">
        <f t="shared" ca="1" si="1742"/>
        <v>0.10197290686588902</v>
      </c>
      <c r="I1825" s="2">
        <f t="shared" ca="1" si="1743"/>
        <v>0.46264491312666256</v>
      </c>
      <c r="J1825" s="2">
        <f t="shared" ca="1" si="1744"/>
        <v>9.531137179175685E-3</v>
      </c>
      <c r="K1825" s="2">
        <f t="shared" ca="1" si="1745"/>
        <v>9.531137179175685E-3</v>
      </c>
      <c r="L1825" s="2">
        <f t="shared" ca="1" si="1746"/>
        <v>0.15404632470284274</v>
      </c>
      <c r="M1825" s="2">
        <f t="shared" ca="1" si="1747"/>
        <v>-2.038464795064945E-2</v>
      </c>
      <c r="N1825" s="2">
        <f t="shared" ca="1" si="1748"/>
        <v>-2.038464795064945E-2</v>
      </c>
      <c r="O1825" s="2">
        <f t="shared" si="1749"/>
        <v>6000000</v>
      </c>
      <c r="P1825" s="2">
        <f t="shared" ca="1" si="1750"/>
        <v>41439584.994961098</v>
      </c>
      <c r="Q1825" s="2">
        <f t="shared" ca="1" si="1751"/>
        <v>1035989.6248740274</v>
      </c>
      <c r="R1825" s="2">
        <f t="shared" ca="1" si="1752"/>
        <v>24863750.996976659</v>
      </c>
      <c r="S1825" s="2">
        <f t="shared" ca="1" si="1753"/>
        <v>16575833.997984439</v>
      </c>
      <c r="T1825" s="2">
        <f t="shared" ca="1" si="1754"/>
        <v>48980767.602467529</v>
      </c>
      <c r="U1825" s="2">
        <f t="shared" ca="1" si="1755"/>
        <v>53975478.855413705</v>
      </c>
      <c r="V1825" s="2">
        <f t="shared" ca="1" si="1756"/>
        <v>59479515.333778568</v>
      </c>
      <c r="W1825" s="2">
        <f t="shared" ca="1" si="1757"/>
        <v>65544814.411338188</v>
      </c>
      <c r="X1825" s="2">
        <f t="shared" ca="1" si="1758"/>
        <v>72228609.666847557</v>
      </c>
      <c r="Y1825" s="2">
        <f t="shared" ca="1" si="1759"/>
        <v>0.12476556858958784</v>
      </c>
      <c r="Z1825" s="2">
        <f t="shared" ca="1" si="1760"/>
        <v>0.12667179602542297</v>
      </c>
      <c r="AA1825" s="2">
        <f t="shared" ca="1" si="1761"/>
        <v>6111113.3198763244</v>
      </c>
      <c r="AB1825" s="2">
        <f t="shared" ca="1" si="1762"/>
        <v>6837170.8479474951</v>
      </c>
      <c r="AC1825" s="2">
        <f t="shared" ca="1" si="1763"/>
        <v>7534377.0340514164</v>
      </c>
      <c r="AD1825" s="2">
        <f t="shared" ca="1" si="1764"/>
        <v>8302679.3616372347</v>
      </c>
      <c r="AE1825" s="2">
        <f t="shared" ca="1" si="1765"/>
        <v>9149327.7109188084</v>
      </c>
      <c r="AF1825" s="2">
        <f t="shared" ca="1" si="1766"/>
        <v>979615.35204935062</v>
      </c>
      <c r="AG1825" s="2">
        <f t="shared" ca="1" si="1767"/>
        <v>1079509.5771082742</v>
      </c>
      <c r="AH1825" s="2">
        <f t="shared" ca="1" si="1768"/>
        <v>1189590.3066755715</v>
      </c>
      <c r="AI1825" s="2">
        <f t="shared" ca="1" si="1769"/>
        <v>1310896.2882267637</v>
      </c>
      <c r="AJ1825" s="2">
        <f t="shared" ca="1" si="1770"/>
        <v>1444572.1933369511</v>
      </c>
      <c r="AK1825" s="2">
        <f t="shared" ca="1" si="1771"/>
        <v>0</v>
      </c>
      <c r="AL1825" s="2">
        <f t="shared" ca="1" si="1772"/>
        <v>49947.11252946176</v>
      </c>
      <c r="AM1825" s="2">
        <f t="shared" ca="1" si="1773"/>
        <v>55040.364783648627</v>
      </c>
      <c r="AN1825" s="2">
        <f t="shared" ca="1" si="1774"/>
        <v>60652.990775596205</v>
      </c>
      <c r="AO1825" s="2">
        <f t="shared" ca="1" si="1775"/>
        <v>66837.952555093696</v>
      </c>
      <c r="AP1825" s="2">
        <f t="shared" ca="1" si="1776"/>
        <v>2237737.5897278991</v>
      </c>
      <c r="AQ1825" s="2">
        <f t="shared" ca="1" si="1777"/>
        <v>752377.69830575946</v>
      </c>
      <c r="AR1825" s="2">
        <f t="shared" ca="1" si="1778"/>
        <v>915180.15708894364</v>
      </c>
      <c r="AS1825" s="2">
        <f t="shared" ca="1" si="1779"/>
        <v>1067832.7757884657</v>
      </c>
      <c r="AT1825" s="2">
        <f t="shared" ca="1" si="1780"/>
        <v>1236051.8257574688</v>
      </c>
      <c r="AU1825" s="2">
        <f t="shared" ca="1" si="1781"/>
        <v>1421424.6612420294</v>
      </c>
      <c r="AV1825" s="2">
        <f t="shared" ca="1" si="1782"/>
        <v>2141382.679793315</v>
      </c>
      <c r="AW1825" s="2">
        <f t="shared" ca="1" si="1783"/>
        <v>2554796.4114929158</v>
      </c>
      <c r="AX1825" s="2">
        <f t="shared" ca="1" si="1784"/>
        <v>2984175.9970758315</v>
      </c>
      <c r="AY1825" s="2">
        <f t="shared" ca="1" si="1785"/>
        <v>3457340.6671495065</v>
      </c>
      <c r="AZ1825" s="2">
        <f t="shared" ca="1" si="1786"/>
        <v>3978755.3140568351</v>
      </c>
      <c r="BA1825" s="2">
        <f t="shared" ca="1" si="1787"/>
        <v>70375832.420758232</v>
      </c>
      <c r="BB1825" s="2">
        <f t="shared" ca="1" si="1788"/>
        <v>1407516.6484151648</v>
      </c>
      <c r="BC1825" s="2">
        <f t="shared" ca="1" si="1789"/>
        <v>44104564.775366411</v>
      </c>
      <c r="BD1825" s="2">
        <f t="shared" ca="1" si="1790"/>
        <v>-18111823.622858465</v>
      </c>
      <c r="BE1825" s="2">
        <f t="shared" ca="1" si="1791"/>
        <v>2141382.679793315</v>
      </c>
      <c r="BF1825" s="2">
        <f t="shared" ca="1" si="1792"/>
        <v>2554796.4114929158</v>
      </c>
      <c r="BG1825" s="2">
        <f t="shared" ca="1" si="1793"/>
        <v>2984175.9970758315</v>
      </c>
      <c r="BH1825" s="2">
        <f t="shared" ca="1" si="1794"/>
        <v>3457340.6671495065</v>
      </c>
      <c r="BI1825" s="2">
        <f t="shared" ca="1" si="1795"/>
        <v>48083320.089423247</v>
      </c>
      <c r="BJ1825" s="2">
        <f t="shared" ca="1" si="1796"/>
        <v>0.30959110897808917</v>
      </c>
      <c r="BK1825" s="2">
        <f t="shared" ca="1" si="1797"/>
        <v>17441840.41476462</v>
      </c>
    </row>
    <row r="1826" spans="1:63" x14ac:dyDescent="0.3">
      <c r="A1826" s="2">
        <v>1825</v>
      </c>
      <c r="B1826" s="2">
        <f t="shared" ca="1" si="1736"/>
        <v>0.74086239481579652</v>
      </c>
      <c r="C1826" s="2">
        <f t="shared" ca="1" si="1737"/>
        <v>7.2800866646821945</v>
      </c>
      <c r="D1826" s="2">
        <f t="shared" ca="1" si="1738"/>
        <v>0.74492744610982609</v>
      </c>
      <c r="E1826" s="2">
        <f t="shared" ca="1" si="1739"/>
        <v>7.7857555686038928</v>
      </c>
      <c r="F1826" s="2">
        <f t="shared" ca="1" si="1740"/>
        <v>6.4155060351772319E-2</v>
      </c>
      <c r="G1826" s="2">
        <f t="shared" ca="1" si="1741"/>
        <v>-5.6239896902912437E-3</v>
      </c>
      <c r="H1826" s="2">
        <f t="shared" ca="1" si="1742"/>
        <v>-5.6239896902912437E-3</v>
      </c>
      <c r="I1826" s="2">
        <f t="shared" ca="1" si="1743"/>
        <v>4.7348917604886132E-2</v>
      </c>
      <c r="J1826" s="2">
        <f t="shared" ca="1" si="1744"/>
        <v>1.6443963922446007E-3</v>
      </c>
      <c r="K1826" s="2">
        <f t="shared" ca="1" si="1745"/>
        <v>1.6443963922446007E-3</v>
      </c>
      <c r="L1826" s="2">
        <f t="shared" ca="1" si="1746"/>
        <v>0.67943370572153605</v>
      </c>
      <c r="M1826" s="2">
        <f t="shared" ca="1" si="1747"/>
        <v>9.3223167216601038E-3</v>
      </c>
      <c r="N1826" s="2">
        <f t="shared" ca="1" si="1748"/>
        <v>9.3223167216601038E-3</v>
      </c>
      <c r="O1826" s="2">
        <f t="shared" si="1749"/>
        <v>6000000</v>
      </c>
      <c r="P1826" s="2">
        <f t="shared" ca="1" si="1750"/>
        <v>43680519.988093168</v>
      </c>
      <c r="Q1826" s="2">
        <f t="shared" ca="1" si="1751"/>
        <v>1092012.9997023293</v>
      </c>
      <c r="R1826" s="2">
        <f t="shared" ca="1" si="1752"/>
        <v>26208311.992855899</v>
      </c>
      <c r="S1826" s="2">
        <f t="shared" ca="1" si="1753"/>
        <v>17472207.995237269</v>
      </c>
      <c r="T1826" s="2">
        <f t="shared" ca="1" si="1754"/>
        <v>50466115.836083002</v>
      </c>
      <c r="U1826" s="2">
        <f t="shared" ca="1" si="1755"/>
        <v>50182294.920911826</v>
      </c>
      <c r="V1826" s="2">
        <f t="shared" ca="1" si="1756"/>
        <v>49900070.211641468</v>
      </c>
      <c r="W1826" s="2">
        <f t="shared" ca="1" si="1757"/>
        <v>49619432.731226392</v>
      </c>
      <c r="X1826" s="2">
        <f t="shared" ca="1" si="1758"/>
        <v>49340373.55310788</v>
      </c>
      <c r="Y1826" s="2">
        <f t="shared" ca="1" si="1759"/>
        <v>0.12082219819612229</v>
      </c>
      <c r="Z1826" s="2">
        <f t="shared" ca="1" si="1760"/>
        <v>0.12115107747457121</v>
      </c>
      <c r="AA1826" s="2">
        <f t="shared" ca="1" si="1761"/>
        <v>6097427.0497356867</v>
      </c>
      <c r="AB1826" s="2">
        <f t="shared" ca="1" si="1762"/>
        <v>6079639.0998151703</v>
      </c>
      <c r="AC1826" s="2">
        <f t="shared" ca="1" si="1763"/>
        <v>6045447.272197119</v>
      </c>
      <c r="AD1826" s="2">
        <f t="shared" ca="1" si="1764"/>
        <v>6011447.7390650837</v>
      </c>
      <c r="AE1826" s="2">
        <f t="shared" ca="1" si="1765"/>
        <v>5977639.4189568572</v>
      </c>
      <c r="AF1826" s="2">
        <f t="shared" ca="1" si="1766"/>
        <v>1009322.3167216601</v>
      </c>
      <c r="AG1826" s="2">
        <f t="shared" ca="1" si="1767"/>
        <v>1003645.8984182365</v>
      </c>
      <c r="AH1826" s="2">
        <f t="shared" ca="1" si="1768"/>
        <v>998001.40423282934</v>
      </c>
      <c r="AI1826" s="2">
        <f t="shared" ca="1" si="1769"/>
        <v>992388.6546245279</v>
      </c>
      <c r="AJ1826" s="2">
        <f t="shared" ca="1" si="1770"/>
        <v>986807.47106215765</v>
      </c>
      <c r="AK1826" s="2">
        <f t="shared" ca="1" si="1771"/>
        <v>0</v>
      </c>
      <c r="AL1826" s="2">
        <f t="shared" ca="1" si="1772"/>
        <v>0</v>
      </c>
      <c r="AM1826" s="2">
        <f t="shared" ca="1" si="1773"/>
        <v>0</v>
      </c>
      <c r="AN1826" s="2">
        <f t="shared" ca="1" si="1774"/>
        <v>0</v>
      </c>
      <c r="AO1826" s="2">
        <f t="shared" ca="1" si="1775"/>
        <v>0</v>
      </c>
      <c r="AP1826" s="2">
        <f t="shared" ca="1" si="1776"/>
        <v>2358748.0793570308</v>
      </c>
      <c r="AQ1826" s="2">
        <f t="shared" ca="1" si="1777"/>
        <v>709632.72995081893</v>
      </c>
      <c r="AR1826" s="2">
        <f t="shared" ca="1" si="1778"/>
        <v>706483.73173037474</v>
      </c>
      <c r="AS1826" s="2">
        <f t="shared" ca="1" si="1779"/>
        <v>699061.42503788741</v>
      </c>
      <c r="AT1826" s="2">
        <f t="shared" ca="1" si="1780"/>
        <v>691680.86132171645</v>
      </c>
      <c r="AU1826" s="2">
        <f t="shared" ca="1" si="1781"/>
        <v>684341.80581979395</v>
      </c>
      <c r="AV1826" s="2">
        <f t="shared" ca="1" si="1782"/>
        <v>2019723.9237061767</v>
      </c>
      <c r="AW1826" s="2">
        <f t="shared" ca="1" si="1783"/>
        <v>2010761.3903095284</v>
      </c>
      <c r="AX1826" s="2">
        <f t="shared" ca="1" si="1784"/>
        <v>1989636.3635693723</v>
      </c>
      <c r="AY1826" s="2">
        <f t="shared" ca="1" si="1785"/>
        <v>1968630.1437618081</v>
      </c>
      <c r="AZ1826" s="2">
        <f t="shared" ca="1" si="1786"/>
        <v>1947742.0627178755</v>
      </c>
      <c r="BA1826" s="2">
        <f t="shared" ca="1" si="1787"/>
        <v>46540439.393249489</v>
      </c>
      <c r="BB1826" s="2">
        <f t="shared" ca="1" si="1788"/>
        <v>930808.78786498983</v>
      </c>
      <c r="BC1826" s="2">
        <f t="shared" ca="1" si="1789"/>
        <v>19401318.6125286</v>
      </c>
      <c r="BD1826" s="2">
        <f t="shared" ca="1" si="1790"/>
        <v>-19064220.994939599</v>
      </c>
      <c r="BE1826" s="2">
        <f t="shared" ca="1" si="1791"/>
        <v>2019723.9237061767</v>
      </c>
      <c r="BF1826" s="2">
        <f t="shared" ca="1" si="1792"/>
        <v>2010761.3903095284</v>
      </c>
      <c r="BG1826" s="2">
        <f t="shared" ca="1" si="1793"/>
        <v>1989636.3635693723</v>
      </c>
      <c r="BH1826" s="2">
        <f t="shared" ca="1" si="1794"/>
        <v>1968630.1437618081</v>
      </c>
      <c r="BI1826" s="2">
        <f t="shared" ca="1" si="1795"/>
        <v>21349060.675246477</v>
      </c>
      <c r="BJ1826" s="2">
        <f t="shared" ca="1" si="1796"/>
        <v>0.10729366629678383</v>
      </c>
      <c r="BK1826" s="2">
        <f t="shared" ca="1" si="1797"/>
        <v>-876615.11201433837</v>
      </c>
    </row>
    <row r="1827" spans="1:63" x14ac:dyDescent="0.3">
      <c r="A1827" s="2">
        <v>1826</v>
      </c>
      <c r="B1827" s="2">
        <f t="shared" ca="1" si="1736"/>
        <v>0.30508060134718573</v>
      </c>
      <c r="C1827" s="2">
        <f t="shared" ca="1" si="1737"/>
        <v>6.7811281602236422</v>
      </c>
      <c r="D1827" s="2">
        <f t="shared" ca="1" si="1738"/>
        <v>0.85111895539169491</v>
      </c>
      <c r="E1827" s="2">
        <f t="shared" ca="1" si="1739"/>
        <v>7.9543241903688511</v>
      </c>
      <c r="F1827" s="2">
        <f t="shared" ca="1" si="1740"/>
        <v>0.59383253918445367</v>
      </c>
      <c r="G1827" s="2">
        <f t="shared" ca="1" si="1741"/>
        <v>4.7122447385748847E-2</v>
      </c>
      <c r="H1827" s="2">
        <f t="shared" ca="1" si="1742"/>
        <v>4.7122447385748847E-2</v>
      </c>
      <c r="I1827" s="2">
        <f t="shared" ca="1" si="1743"/>
        <v>0.46679176929639044</v>
      </c>
      <c r="J1827" s="2">
        <f t="shared" ca="1" si="1744"/>
        <v>9.5833147342136802E-3</v>
      </c>
      <c r="K1827" s="2">
        <f t="shared" ca="1" si="1745"/>
        <v>9.5833147342136802E-3</v>
      </c>
      <c r="L1827" s="2">
        <f t="shared" ca="1" si="1746"/>
        <v>0.11999809332365352</v>
      </c>
      <c r="M1827" s="2">
        <f t="shared" ca="1" si="1747"/>
        <v>-2.3499926471436994E-2</v>
      </c>
      <c r="N1827" s="2">
        <f t="shared" ca="1" si="1748"/>
        <v>-2.3499926471436994E-2</v>
      </c>
      <c r="O1827" s="2">
        <f t="shared" si="1749"/>
        <v>6000000</v>
      </c>
      <c r="P1827" s="2">
        <f t="shared" ca="1" si="1750"/>
        <v>40686768.96134185</v>
      </c>
      <c r="Q1827" s="2">
        <f t="shared" ca="1" si="1751"/>
        <v>1017169.2240335463</v>
      </c>
      <c r="R1827" s="2">
        <f t="shared" ca="1" si="1752"/>
        <v>24412061.376805108</v>
      </c>
      <c r="S1827" s="2">
        <f t="shared" ca="1" si="1753"/>
        <v>16274707.584536741</v>
      </c>
      <c r="T1827" s="2">
        <f t="shared" ca="1" si="1754"/>
        <v>48825003.676428154</v>
      </c>
      <c r="U1827" s="2">
        <f t="shared" ca="1" si="1755"/>
        <v>51125757.34327963</v>
      </c>
      <c r="V1827" s="2">
        <f t="shared" ca="1" si="1756"/>
        <v>53534928.153744884</v>
      </c>
      <c r="W1827" s="2">
        <f t="shared" ca="1" si="1757"/>
        <v>56057624.988969564</v>
      </c>
      <c r="X1827" s="2">
        <f t="shared" ca="1" si="1758"/>
        <v>58699197.473082319</v>
      </c>
      <c r="Y1827" s="2">
        <f t="shared" ca="1" si="1759"/>
        <v>0.12479165736710683</v>
      </c>
      <c r="Z1827" s="2">
        <f t="shared" ca="1" si="1760"/>
        <v>0.12670832031394957</v>
      </c>
      <c r="AA1827" s="2">
        <f t="shared" ca="1" si="1761"/>
        <v>6092953.1297365539</v>
      </c>
      <c r="AB1827" s="2">
        <f t="shared" ca="1" si="1762"/>
        <v>6478058.8377455352</v>
      </c>
      <c r="AC1827" s="2">
        <f t="shared" ca="1" si="1763"/>
        <v>6783320.8244889835</v>
      </c>
      <c r="AD1827" s="2">
        <f t="shared" ca="1" si="1764"/>
        <v>7102967.5031416193</v>
      </c>
      <c r="AE1827" s="2">
        <f t="shared" ca="1" si="1765"/>
        <v>7437676.7155910935</v>
      </c>
      <c r="AF1827" s="2">
        <f t="shared" ca="1" si="1766"/>
        <v>976500.07352856314</v>
      </c>
      <c r="AG1827" s="2">
        <f t="shared" ca="1" si="1767"/>
        <v>1022515.1468655926</v>
      </c>
      <c r="AH1827" s="2">
        <f t="shared" ca="1" si="1768"/>
        <v>1070698.5630748977</v>
      </c>
      <c r="AI1827" s="2">
        <f t="shared" ca="1" si="1769"/>
        <v>1121152.4997793913</v>
      </c>
      <c r="AJ1827" s="2">
        <f t="shared" ca="1" si="1770"/>
        <v>1173983.9494616464</v>
      </c>
      <c r="AK1827" s="2">
        <f t="shared" ca="1" si="1771"/>
        <v>0</v>
      </c>
      <c r="AL1827" s="2">
        <f t="shared" ca="1" si="1772"/>
        <v>23007.53666851476</v>
      </c>
      <c r="AM1827" s="2">
        <f t="shared" ca="1" si="1773"/>
        <v>24091.708104652538</v>
      </c>
      <c r="AN1827" s="2">
        <f t="shared" ca="1" si="1774"/>
        <v>25226.968352246808</v>
      </c>
      <c r="AO1827" s="2">
        <f t="shared" ca="1" si="1775"/>
        <v>26415.724841127547</v>
      </c>
      <c r="AP1827" s="2">
        <f t="shared" ca="1" si="1776"/>
        <v>2197085.5239124596</v>
      </c>
      <c r="AQ1827" s="2">
        <f t="shared" ca="1" si="1777"/>
        <v>759035.55839683802</v>
      </c>
      <c r="AR1827" s="2">
        <f t="shared" ca="1" si="1778"/>
        <v>847199.12341154565</v>
      </c>
      <c r="AS1827" s="2">
        <f t="shared" ca="1" si="1779"/>
        <v>914039.5517504228</v>
      </c>
      <c r="AT1827" s="2">
        <f t="shared" ca="1" si="1780"/>
        <v>984029.6646569398</v>
      </c>
      <c r="AU1827" s="2">
        <f t="shared" ca="1" si="1781"/>
        <v>1057317.8829764167</v>
      </c>
      <c r="AV1827" s="2">
        <f t="shared" ca="1" si="1782"/>
        <v>2160331.973898693</v>
      </c>
      <c r="AW1827" s="2">
        <f t="shared" ca="1" si="1783"/>
        <v>2388251.5068874229</v>
      </c>
      <c r="AX1827" s="2">
        <f t="shared" ca="1" si="1784"/>
        <v>2577405.4776465511</v>
      </c>
      <c r="AY1827" s="2">
        <f t="shared" ca="1" si="1785"/>
        <v>2775472.8464405816</v>
      </c>
      <c r="AZ1827" s="2">
        <f t="shared" ca="1" si="1786"/>
        <v>2982873.6343994439</v>
      </c>
      <c r="BA1827" s="2">
        <f t="shared" ca="1" si="1787"/>
        <v>59161691.818969384</v>
      </c>
      <c r="BB1827" s="2">
        <f t="shared" ca="1" si="1788"/>
        <v>1183233.8363793876</v>
      </c>
      <c r="BC1827" s="2">
        <f t="shared" ca="1" si="1789"/>
        <v>33566396.605784886</v>
      </c>
      <c r="BD1827" s="2">
        <f t="shared" ca="1" si="1790"/>
        <v>-17791876.808570288</v>
      </c>
      <c r="BE1827" s="2">
        <f t="shared" ca="1" si="1791"/>
        <v>2160331.973898693</v>
      </c>
      <c r="BF1827" s="2">
        <f t="shared" ca="1" si="1792"/>
        <v>2388251.5068874229</v>
      </c>
      <c r="BG1827" s="2">
        <f t="shared" ca="1" si="1793"/>
        <v>2577405.4776465511</v>
      </c>
      <c r="BH1827" s="2">
        <f t="shared" ca="1" si="1794"/>
        <v>2775472.8464405816</v>
      </c>
      <c r="BI1827" s="2">
        <f t="shared" ca="1" si="1795"/>
        <v>36549270.240184329</v>
      </c>
      <c r="BJ1827" s="2">
        <f t="shared" ca="1" si="1796"/>
        <v>0.24826096180706747</v>
      </c>
      <c r="BK1827" s="2">
        <f t="shared" ca="1" si="1797"/>
        <v>10378337.475437257</v>
      </c>
    </row>
    <row r="1828" spans="1:63" x14ac:dyDescent="0.3">
      <c r="A1828" s="2">
        <v>1827</v>
      </c>
      <c r="B1828" s="2">
        <f t="shared" ca="1" si="1736"/>
        <v>0.90906424290904775</v>
      </c>
      <c r="C1828" s="2">
        <f t="shared" ca="1" si="1737"/>
        <v>7.5735360341342961</v>
      </c>
      <c r="D1828" s="2">
        <f t="shared" ca="1" si="1738"/>
        <v>0.92304764056048028</v>
      </c>
      <c r="E1828" s="2">
        <f t="shared" ca="1" si="1739"/>
        <v>8.1076930807657863</v>
      </c>
      <c r="F1828" s="2">
        <f t="shared" ca="1" si="1740"/>
        <v>0.1245515517828496</v>
      </c>
      <c r="G1828" s="2">
        <f t="shared" ca="1" si="1741"/>
        <v>5.4240820490603359E-3</v>
      </c>
      <c r="H1828" s="2">
        <f t="shared" ca="1" si="1742"/>
        <v>5.4240820490603359E-3</v>
      </c>
      <c r="I1828" s="2">
        <f t="shared" ca="1" si="1743"/>
        <v>0.59637447000036004</v>
      </c>
      <c r="J1828" s="2">
        <f t="shared" ca="1" si="1744"/>
        <v>1.1219869332108211E-2</v>
      </c>
      <c r="K1828" s="2">
        <f t="shared" ca="1" si="1745"/>
        <v>1.1219869332108211E-2</v>
      </c>
      <c r="L1828" s="2">
        <f t="shared" ca="1" si="1746"/>
        <v>0.26027164491258881</v>
      </c>
      <c r="M1828" s="2">
        <f t="shared" ca="1" si="1747"/>
        <v>-1.2850163291899915E-2</v>
      </c>
      <c r="N1828" s="2">
        <f t="shared" ca="1" si="1748"/>
        <v>-1.2850163291899915E-2</v>
      </c>
      <c r="O1828" s="2">
        <f t="shared" si="1749"/>
        <v>6000000</v>
      </c>
      <c r="P1828" s="2">
        <f t="shared" ca="1" si="1750"/>
        <v>45441216.204805776</v>
      </c>
      <c r="Q1828" s="2">
        <f t="shared" ca="1" si="1751"/>
        <v>1136030.4051201444</v>
      </c>
      <c r="R1828" s="2">
        <f t="shared" ca="1" si="1752"/>
        <v>27264729.722883467</v>
      </c>
      <c r="S1828" s="2">
        <f t="shared" ca="1" si="1753"/>
        <v>18176486.48192231</v>
      </c>
      <c r="T1828" s="2">
        <f t="shared" ca="1" si="1754"/>
        <v>49357491.835405007</v>
      </c>
      <c r="U1828" s="2">
        <f t="shared" ca="1" si="1755"/>
        <v>49625210.920856066</v>
      </c>
      <c r="V1828" s="2">
        <f t="shared" ca="1" si="1756"/>
        <v>49894382.136592716</v>
      </c>
      <c r="W1828" s="2">
        <f t="shared" ca="1" si="1757"/>
        <v>50165013.359088764</v>
      </c>
      <c r="X1828" s="2">
        <f t="shared" ca="1" si="1758"/>
        <v>50437112.507540666</v>
      </c>
      <c r="Y1828" s="2">
        <f t="shared" ca="1" si="1759"/>
        <v>0.12560993466605411</v>
      </c>
      <c r="Z1828" s="2">
        <f t="shared" ca="1" si="1760"/>
        <v>0.12785390853247575</v>
      </c>
      <c r="AA1828" s="2">
        <f t="shared" ca="1" si="1761"/>
        <v>6199791.3247255217</v>
      </c>
      <c r="AB1828" s="2">
        <f t="shared" ca="1" si="1762"/>
        <v>6344777.177979948</v>
      </c>
      <c r="AC1828" s="2">
        <f t="shared" ca="1" si="1763"/>
        <v>6379191.769976317</v>
      </c>
      <c r="AD1828" s="2">
        <f t="shared" ca="1" si="1764"/>
        <v>6413793.0295433588</v>
      </c>
      <c r="AE1828" s="2">
        <f t="shared" ca="1" si="1765"/>
        <v>6448581.9691812927</v>
      </c>
      <c r="AF1828" s="2">
        <f t="shared" ca="1" si="1766"/>
        <v>987149.83670810016</v>
      </c>
      <c r="AG1828" s="2">
        <f t="shared" ca="1" si="1767"/>
        <v>992504.21841712133</v>
      </c>
      <c r="AH1828" s="2">
        <f t="shared" ca="1" si="1768"/>
        <v>997887.64273185434</v>
      </c>
      <c r="AI1828" s="2">
        <f t="shared" ca="1" si="1769"/>
        <v>1003300.2671817753</v>
      </c>
      <c r="AJ1828" s="2">
        <f t="shared" ca="1" si="1770"/>
        <v>1008742.2501508134</v>
      </c>
      <c r="AK1828" s="2">
        <f t="shared" ca="1" si="1771"/>
        <v>0</v>
      </c>
      <c r="AL1828" s="2">
        <f t="shared" ca="1" si="1772"/>
        <v>2677.1908545105903</v>
      </c>
      <c r="AM1828" s="2">
        <f t="shared" ca="1" si="1773"/>
        <v>2691.7121573664995</v>
      </c>
      <c r="AN1828" s="2">
        <f t="shared" ca="1" si="1774"/>
        <v>2706.3122249604762</v>
      </c>
      <c r="AO1828" s="2">
        <f t="shared" ca="1" si="1775"/>
        <v>2720.9914845190197</v>
      </c>
      <c r="AP1828" s="2">
        <f t="shared" ca="1" si="1776"/>
        <v>2453825.6750595118</v>
      </c>
      <c r="AQ1828" s="2">
        <f t="shared" ca="1" si="1777"/>
        <v>717292.11136905651</v>
      </c>
      <c r="AR1828" s="2">
        <f t="shared" ca="1" si="1778"/>
        <v>753596.29397086194</v>
      </c>
      <c r="AS1828" s="2">
        <f t="shared" ca="1" si="1779"/>
        <v>761144.39756808709</v>
      </c>
      <c r="AT1828" s="2">
        <f t="shared" ca="1" si="1780"/>
        <v>768733.44269853865</v>
      </c>
      <c r="AU1828" s="2">
        <f t="shared" ca="1" si="1781"/>
        <v>776363.65143245144</v>
      </c>
      <c r="AV1828" s="2">
        <f t="shared" ca="1" si="1782"/>
        <v>2041523.7015888528</v>
      </c>
      <c r="AW1828" s="2">
        <f t="shared" ca="1" si="1783"/>
        <v>2142173.7996779424</v>
      </c>
      <c r="AX1828" s="2">
        <f t="shared" ca="1" si="1784"/>
        <v>2163642.3424594966</v>
      </c>
      <c r="AY1828" s="2">
        <f t="shared" ca="1" si="1785"/>
        <v>2185227.3323785723</v>
      </c>
      <c r="AZ1828" s="2">
        <f t="shared" ca="1" si="1786"/>
        <v>2206929.4010539963</v>
      </c>
      <c r="BA1828" s="2">
        <f t="shared" ca="1" si="1787"/>
        <v>52283123.412282176</v>
      </c>
      <c r="BB1828" s="2">
        <f t="shared" ca="1" si="1788"/>
        <v>1045662.4682456435</v>
      </c>
      <c r="BC1828" s="2">
        <f t="shared" ca="1" si="1789"/>
        <v>23972731.221153066</v>
      </c>
      <c r="BD1828" s="2">
        <f t="shared" ca="1" si="1790"/>
        <v>-19812516.887042455</v>
      </c>
      <c r="BE1828" s="2">
        <f t="shared" ca="1" si="1791"/>
        <v>2041523.7015888528</v>
      </c>
      <c r="BF1828" s="2">
        <f t="shared" ca="1" si="1792"/>
        <v>2142173.7996779424</v>
      </c>
      <c r="BG1828" s="2">
        <f t="shared" ca="1" si="1793"/>
        <v>2163642.3424594966</v>
      </c>
      <c r="BH1828" s="2">
        <f t="shared" ca="1" si="1794"/>
        <v>2185227.3323785723</v>
      </c>
      <c r="BI1828" s="2">
        <f t="shared" ca="1" si="1795"/>
        <v>26179660.62220706</v>
      </c>
      <c r="BJ1828" s="2">
        <f t="shared" ca="1" si="1796"/>
        <v>0.13969324037358199</v>
      </c>
      <c r="BK1828" s="2">
        <f t="shared" ca="1" si="1797"/>
        <v>1501831.8384720981</v>
      </c>
    </row>
    <row r="1829" spans="1:63" x14ac:dyDescent="0.3">
      <c r="A1829" s="2">
        <v>1828</v>
      </c>
      <c r="B1829" s="2">
        <f t="shared" ca="1" si="1736"/>
        <v>0.62046860375376578</v>
      </c>
      <c r="C1829" s="2">
        <f t="shared" ca="1" si="1737"/>
        <v>7.1287579024791858</v>
      </c>
      <c r="D1829" s="2">
        <f t="shared" ca="1" si="1738"/>
        <v>1.9701418570287399E-2</v>
      </c>
      <c r="E1829" s="2">
        <f t="shared" ca="1" si="1739"/>
        <v>6.6985014789380042</v>
      </c>
      <c r="F1829" s="2">
        <f t="shared" ca="1" si="1740"/>
        <v>6.1178373268932273E-2</v>
      </c>
      <c r="G1829" s="2">
        <f t="shared" ca="1" si="1741"/>
        <v>-6.3486998447679285E-3</v>
      </c>
      <c r="H1829" s="2">
        <f t="shared" ca="1" si="1742"/>
        <v>-6.3486998447679285E-3</v>
      </c>
      <c r="I1829" s="2">
        <f t="shared" ca="1" si="1743"/>
        <v>0.38900595378753711</v>
      </c>
      <c r="J1829" s="2">
        <f t="shared" ca="1" si="1744"/>
        <v>8.5904459967468313E-3</v>
      </c>
      <c r="K1829" s="2">
        <f t="shared" ca="1" si="1745"/>
        <v>8.5904459967468313E-3</v>
      </c>
      <c r="L1829" s="2">
        <f t="shared" ca="1" si="1746"/>
        <v>0.16489719880419151</v>
      </c>
      <c r="M1829" s="2">
        <f t="shared" ca="1" si="1747"/>
        <v>-1.9490561849858937E-2</v>
      </c>
      <c r="N1829" s="2">
        <f t="shared" ca="1" si="1748"/>
        <v>-1.9490561849858937E-2</v>
      </c>
      <c r="O1829" s="2">
        <f t="shared" si="1749"/>
        <v>6000000</v>
      </c>
      <c r="P1829" s="2">
        <f t="shared" ca="1" si="1750"/>
        <v>42772547.414875112</v>
      </c>
      <c r="Q1829" s="2">
        <f t="shared" ca="1" si="1751"/>
        <v>1069313.6853718779</v>
      </c>
      <c r="R1829" s="2">
        <f t="shared" ca="1" si="1752"/>
        <v>25663528.448925067</v>
      </c>
      <c r="S1829" s="2">
        <f t="shared" ca="1" si="1753"/>
        <v>17109018.965950046</v>
      </c>
      <c r="T1829" s="2">
        <f t="shared" ca="1" si="1754"/>
        <v>49025471.907507055</v>
      </c>
      <c r="U1829" s="2">
        <f t="shared" ca="1" si="1755"/>
        <v>48714223.90161819</v>
      </c>
      <c r="V1829" s="2">
        <f t="shared" ca="1" si="1756"/>
        <v>48404951.915895998</v>
      </c>
      <c r="W1829" s="2">
        <f t="shared" ca="1" si="1757"/>
        <v>48097643.405181549</v>
      </c>
      <c r="X1829" s="2">
        <f t="shared" ca="1" si="1758"/>
        <v>47792285.903961368</v>
      </c>
      <c r="Y1829" s="2">
        <f t="shared" ca="1" si="1759"/>
        <v>0.12429522299837341</v>
      </c>
      <c r="Z1829" s="2">
        <f t="shared" ca="1" si="1760"/>
        <v>0.12601331219772277</v>
      </c>
      <c r="AA1829" s="2">
        <f t="shared" ca="1" si="1761"/>
        <v>6093631.9633440804</v>
      </c>
      <c r="AB1829" s="2">
        <f t="shared" ca="1" si="1762"/>
        <v>6138640.7049843818</v>
      </c>
      <c r="AC1829" s="2">
        <f t="shared" ca="1" si="1763"/>
        <v>6099668.3176935613</v>
      </c>
      <c r="AD1829" s="2">
        <f t="shared" ca="1" si="1764"/>
        <v>6060943.3543918841</v>
      </c>
      <c r="AE1829" s="2">
        <f t="shared" ca="1" si="1765"/>
        <v>6022464.2442587093</v>
      </c>
      <c r="AF1829" s="2">
        <f t="shared" ca="1" si="1766"/>
        <v>980509.43815014116</v>
      </c>
      <c r="AG1829" s="2">
        <f t="shared" ca="1" si="1767"/>
        <v>974284.47803236381</v>
      </c>
      <c r="AH1829" s="2">
        <f t="shared" ca="1" si="1768"/>
        <v>968099.03831791994</v>
      </c>
      <c r="AI1829" s="2">
        <f t="shared" ca="1" si="1769"/>
        <v>961952.86810363096</v>
      </c>
      <c r="AJ1829" s="2">
        <f t="shared" ca="1" si="1770"/>
        <v>955845.71807922737</v>
      </c>
      <c r="AK1829" s="2">
        <f t="shared" ca="1" si="1771"/>
        <v>0</v>
      </c>
      <c r="AL1829" s="2">
        <f t="shared" ca="1" si="1772"/>
        <v>0</v>
      </c>
      <c r="AM1829" s="2">
        <f t="shared" ca="1" si="1773"/>
        <v>0</v>
      </c>
      <c r="AN1829" s="2">
        <f t="shared" ca="1" si="1774"/>
        <v>0</v>
      </c>
      <c r="AO1829" s="2">
        <f t="shared" ca="1" si="1775"/>
        <v>0</v>
      </c>
      <c r="AP1829" s="2">
        <f t="shared" ca="1" si="1776"/>
        <v>2309717.5604032557</v>
      </c>
      <c r="AQ1829" s="2">
        <f t="shared" ca="1" si="1777"/>
        <v>728885.29084557772</v>
      </c>
      <c r="AR1829" s="2">
        <f t="shared" ca="1" si="1778"/>
        <v>742206.05330267828</v>
      </c>
      <c r="AS1829" s="2">
        <f t="shared" ca="1" si="1779"/>
        <v>733681.44693282037</v>
      </c>
      <c r="AT1829" s="2">
        <f t="shared" ca="1" si="1780"/>
        <v>725210.96073009935</v>
      </c>
      <c r="AU1829" s="2">
        <f t="shared" ca="1" si="1781"/>
        <v>716794.25110181887</v>
      </c>
      <c r="AV1829" s="2">
        <f t="shared" ca="1" si="1782"/>
        <v>2074519.6739451056</v>
      </c>
      <c r="AW1829" s="2">
        <f t="shared" ca="1" si="1783"/>
        <v>2112432.6132460842</v>
      </c>
      <c r="AX1829" s="2">
        <f t="shared" ca="1" si="1784"/>
        <v>2088170.2720395653</v>
      </c>
      <c r="AY1829" s="2">
        <f t="shared" ca="1" si="1785"/>
        <v>2064061.9651548984</v>
      </c>
      <c r="AZ1829" s="2">
        <f t="shared" ca="1" si="1786"/>
        <v>2040106.7146744076</v>
      </c>
      <c r="BA1829" s="2">
        <f t="shared" ca="1" si="1787"/>
        <v>40341485.647018217</v>
      </c>
      <c r="BB1829" s="2">
        <f t="shared" ca="1" si="1788"/>
        <v>806829.71294036438</v>
      </c>
      <c r="BC1829" s="2">
        <f t="shared" ca="1" si="1789"/>
        <v>13871127.485152785</v>
      </c>
      <c r="BD1829" s="2">
        <f t="shared" ca="1" si="1790"/>
        <v>-18678332.651321925</v>
      </c>
      <c r="BE1829" s="2">
        <f t="shared" ca="1" si="1791"/>
        <v>2074519.6739451056</v>
      </c>
      <c r="BF1829" s="2">
        <f t="shared" ca="1" si="1792"/>
        <v>2112432.6132460842</v>
      </c>
      <c r="BG1829" s="2">
        <f t="shared" ca="1" si="1793"/>
        <v>2088170.2720395653</v>
      </c>
      <c r="BH1829" s="2">
        <f t="shared" ca="1" si="1794"/>
        <v>2064061.9651548984</v>
      </c>
      <c r="BI1829" s="2">
        <f t="shared" ca="1" si="1795"/>
        <v>15911234.199827192</v>
      </c>
      <c r="BJ1829" s="2">
        <f t="shared" ca="1" si="1796"/>
        <v>6.61122135290515E-2</v>
      </c>
      <c r="BK1829" s="2">
        <f t="shared" ca="1" si="1797"/>
        <v>-3315535.9563006423</v>
      </c>
    </row>
    <row r="1830" spans="1:63" x14ac:dyDescent="0.3">
      <c r="A1830" s="2">
        <v>1829</v>
      </c>
      <c r="B1830" s="2">
        <f t="shared" ca="1" si="1736"/>
        <v>0.11155191425093036</v>
      </c>
      <c r="C1830" s="2">
        <f t="shared" ca="1" si="1737"/>
        <v>6.4723386798705569</v>
      </c>
      <c r="D1830" s="2">
        <f t="shared" ca="1" si="1738"/>
        <v>0.63983841846162504</v>
      </c>
      <c r="E1830" s="2">
        <f t="shared" ca="1" si="1739"/>
        <v>7.6512814582697333</v>
      </c>
      <c r="F1830" s="2">
        <f t="shared" ca="1" si="1740"/>
        <v>0.52276735692136223</v>
      </c>
      <c r="G1830" s="2">
        <f t="shared" ca="1" si="1741"/>
        <v>4.171300942527395E-2</v>
      </c>
      <c r="H1830" s="2">
        <f t="shared" ca="1" si="1742"/>
        <v>4.171300942527395E-2</v>
      </c>
      <c r="I1830" s="2">
        <f t="shared" ca="1" si="1743"/>
        <v>1.7913830961056143E-2</v>
      </c>
      <c r="J1830" s="2">
        <f t="shared" ca="1" si="1744"/>
        <v>-4.943897017878271E-4</v>
      </c>
      <c r="K1830" s="2">
        <f t="shared" ca="1" si="1745"/>
        <v>0</v>
      </c>
      <c r="L1830" s="2">
        <f t="shared" ca="1" si="1746"/>
        <v>0.10834615681289461</v>
      </c>
      <c r="M1830" s="2">
        <f t="shared" ca="1" si="1747"/>
        <v>-2.4707427902117725E-2</v>
      </c>
      <c r="N1830" s="2">
        <f t="shared" ca="1" si="1748"/>
        <v>-2.4707427902117725E-2</v>
      </c>
      <c r="O1830" s="2">
        <f t="shared" si="1749"/>
        <v>6000000</v>
      </c>
      <c r="P1830" s="2">
        <f t="shared" ca="1" si="1750"/>
        <v>38834032.079223342</v>
      </c>
      <c r="Q1830" s="2">
        <f t="shared" ca="1" si="1751"/>
        <v>970850.80198058358</v>
      </c>
      <c r="R1830" s="2">
        <f t="shared" ca="1" si="1752"/>
        <v>23300419.247534003</v>
      </c>
      <c r="S1830" s="2">
        <f t="shared" ca="1" si="1753"/>
        <v>15533612.831689337</v>
      </c>
      <c r="T1830" s="2">
        <f t="shared" ca="1" si="1754"/>
        <v>48764628.604894109</v>
      </c>
      <c r="U1830" s="2">
        <f t="shared" ca="1" si="1755"/>
        <v>50798748.017510042</v>
      </c>
      <c r="V1830" s="2">
        <f t="shared" ca="1" si="1756"/>
        <v>52917716.672356561</v>
      </c>
      <c r="W1830" s="2">
        <f t="shared" ca="1" si="1757"/>
        <v>55125073.886674553</v>
      </c>
      <c r="X1830" s="2">
        <f t="shared" ca="1" si="1758"/>
        <v>57424506.613278337</v>
      </c>
      <c r="Y1830" s="2">
        <f t="shared" ca="1" si="1759"/>
        <v>0.12</v>
      </c>
      <c r="Z1830" s="2">
        <f t="shared" ca="1" si="1760"/>
        <v>0.12</v>
      </c>
      <c r="AA1830" s="2">
        <f t="shared" ca="1" si="1761"/>
        <v>5851755.432587293</v>
      </c>
      <c r="AB1830" s="2">
        <f t="shared" ca="1" si="1762"/>
        <v>6095849.7621012051</v>
      </c>
      <c r="AC1830" s="2">
        <f t="shared" ca="1" si="1763"/>
        <v>6350126.000682787</v>
      </c>
      <c r="AD1830" s="2">
        <f t="shared" ca="1" si="1764"/>
        <v>6615008.8664009459</v>
      </c>
      <c r="AE1830" s="2">
        <f t="shared" ca="1" si="1765"/>
        <v>6890940.7935934002</v>
      </c>
      <c r="AF1830" s="2">
        <f t="shared" ca="1" si="1766"/>
        <v>975292.57209788216</v>
      </c>
      <c r="AG1830" s="2">
        <f t="shared" ca="1" si="1767"/>
        <v>1015974.9603502009</v>
      </c>
      <c r="AH1830" s="2">
        <f t="shared" ca="1" si="1768"/>
        <v>1058354.3334471313</v>
      </c>
      <c r="AI1830" s="2">
        <f t="shared" ca="1" si="1769"/>
        <v>1102501.477733491</v>
      </c>
      <c r="AJ1830" s="2">
        <f t="shared" ca="1" si="1770"/>
        <v>1148490.1322655668</v>
      </c>
      <c r="AK1830" s="2">
        <f t="shared" ca="1" si="1771"/>
        <v>0</v>
      </c>
      <c r="AL1830" s="2">
        <f t="shared" ca="1" si="1772"/>
        <v>20341.194126159327</v>
      </c>
      <c r="AM1830" s="2">
        <f t="shared" ca="1" si="1773"/>
        <v>21189.686548465193</v>
      </c>
      <c r="AN1830" s="2">
        <f t="shared" ca="1" si="1774"/>
        <v>22073.572143179925</v>
      </c>
      <c r="AO1830" s="2">
        <f t="shared" ca="1" si="1775"/>
        <v>22994.327266037839</v>
      </c>
      <c r="AP1830" s="2">
        <f t="shared" ca="1" si="1776"/>
        <v>2097037.7322780602</v>
      </c>
      <c r="AQ1830" s="2">
        <f t="shared" ca="1" si="1777"/>
        <v>722650.53333495127</v>
      </c>
      <c r="AR1830" s="2">
        <f t="shared" ca="1" si="1778"/>
        <v>775537.63806296559</v>
      </c>
      <c r="AS1830" s="2">
        <f t="shared" ca="1" si="1779"/>
        <v>830630.82308897492</v>
      </c>
      <c r="AT1830" s="2">
        <f t="shared" ca="1" si="1780"/>
        <v>888022.11066124262</v>
      </c>
      <c r="AU1830" s="2">
        <f t="shared" ca="1" si="1781"/>
        <v>947807.36155294103</v>
      </c>
      <c r="AV1830" s="2">
        <f t="shared" ca="1" si="1782"/>
        <v>2056774.5948763997</v>
      </c>
      <c r="AW1830" s="2">
        <f t="shared" ca="1" si="1783"/>
        <v>2186958.2372838203</v>
      </c>
      <c r="AX1830" s="2">
        <f t="shared" ca="1" si="1784"/>
        <v>2342913.4253201559</v>
      </c>
      <c r="AY1830" s="2">
        <f t="shared" ca="1" si="1785"/>
        <v>2505373.9735849723</v>
      </c>
      <c r="AZ1830" s="2">
        <f t="shared" ca="1" si="1786"/>
        <v>2674611.240230795</v>
      </c>
      <c r="BA1830" s="2">
        <f t="shared" ca="1" si="1787"/>
        <v>52724527.524055704</v>
      </c>
      <c r="BB1830" s="2">
        <f t="shared" ca="1" si="1788"/>
        <v>1054490.5504811141</v>
      </c>
      <c r="BC1830" s="2">
        <f t="shared" ca="1" si="1789"/>
        <v>28369617.726040587</v>
      </c>
      <c r="BD1830" s="2">
        <f t="shared" ca="1" si="1790"/>
        <v>-17004463.63366992</v>
      </c>
      <c r="BE1830" s="2">
        <f t="shared" ca="1" si="1791"/>
        <v>2056774.5948763997</v>
      </c>
      <c r="BF1830" s="2">
        <f t="shared" ca="1" si="1792"/>
        <v>2186958.2372838203</v>
      </c>
      <c r="BG1830" s="2">
        <f t="shared" ca="1" si="1793"/>
        <v>2342913.4253201559</v>
      </c>
      <c r="BH1830" s="2">
        <f t="shared" ca="1" si="1794"/>
        <v>2505373.9735849723</v>
      </c>
      <c r="BI1830" s="2">
        <f t="shared" ca="1" si="1795"/>
        <v>31044228.966271382</v>
      </c>
      <c r="BJ1830" s="2">
        <f t="shared" ca="1" si="1796"/>
        <v>0.22101151181557466</v>
      </c>
      <c r="BK1830" s="2">
        <f t="shared" ca="1" si="1797"/>
        <v>7450551.1542325839</v>
      </c>
    </row>
    <row r="1831" spans="1:63" x14ac:dyDescent="0.3">
      <c r="A1831" s="2">
        <v>1830</v>
      </c>
      <c r="B1831" s="2">
        <f t="shared" ca="1" si="1736"/>
        <v>0.43319591224681475</v>
      </c>
      <c r="C1831" s="2">
        <f t="shared" ca="1" si="1737"/>
        <v>6.9308017106202744</v>
      </c>
      <c r="D1831" s="2">
        <f t="shared" ca="1" si="1738"/>
        <v>0.27562839105675951</v>
      </c>
      <c r="E1831" s="2">
        <f t="shared" ca="1" si="1739"/>
        <v>7.2424666875446464</v>
      </c>
      <c r="F1831" s="2">
        <f t="shared" ca="1" si="1740"/>
        <v>0.21818642596911675</v>
      </c>
      <c r="G1831" s="2">
        <f t="shared" ca="1" si="1741"/>
        <v>1.6650016416615124E-2</v>
      </c>
      <c r="H1831" s="2">
        <f t="shared" ca="1" si="1742"/>
        <v>1.6650016416615124E-2</v>
      </c>
      <c r="I1831" s="2">
        <f t="shared" ca="1" si="1743"/>
        <v>0.50986857716326084</v>
      </c>
      <c r="J1831" s="2">
        <f t="shared" ca="1" si="1744"/>
        <v>1.0123696889422502E-2</v>
      </c>
      <c r="K1831" s="2">
        <f t="shared" ca="1" si="1745"/>
        <v>1.0123696889422502E-2</v>
      </c>
      <c r="L1831" s="2">
        <f t="shared" ca="1" si="1746"/>
        <v>0.55703965995120186</v>
      </c>
      <c r="M1831" s="2">
        <f t="shared" ca="1" si="1747"/>
        <v>2.8693575176003162E-3</v>
      </c>
      <c r="N1831" s="2">
        <f t="shared" ca="1" si="1748"/>
        <v>2.8693575176003162E-3</v>
      </c>
      <c r="O1831" s="2">
        <f t="shared" si="1749"/>
        <v>6000000</v>
      </c>
      <c r="P1831" s="2">
        <f t="shared" ca="1" si="1750"/>
        <v>41584810.263721645</v>
      </c>
      <c r="Q1831" s="2">
        <f t="shared" ca="1" si="1751"/>
        <v>1039620.2565930411</v>
      </c>
      <c r="R1831" s="2">
        <f t="shared" ca="1" si="1752"/>
        <v>24950886.158232987</v>
      </c>
      <c r="S1831" s="2">
        <f t="shared" ca="1" si="1753"/>
        <v>16633924.105488658</v>
      </c>
      <c r="T1831" s="2">
        <f t="shared" ca="1" si="1754"/>
        <v>50143467.875880018</v>
      </c>
      <c r="U1831" s="2">
        <f t="shared" ca="1" si="1755"/>
        <v>50978357.43919944</v>
      </c>
      <c r="V1831" s="2">
        <f t="shared" ca="1" si="1756"/>
        <v>51827147.927454188</v>
      </c>
      <c r="W1831" s="2">
        <f t="shared" ca="1" si="1757"/>
        <v>52690070.791272648</v>
      </c>
      <c r="X1831" s="2">
        <f t="shared" ca="1" si="1758"/>
        <v>53567361.334939957</v>
      </c>
      <c r="Y1831" s="2">
        <f t="shared" ca="1" si="1759"/>
        <v>0.12506184844471124</v>
      </c>
      <c r="Z1831" s="2">
        <f t="shared" ca="1" si="1760"/>
        <v>0.12708658782259574</v>
      </c>
      <c r="AA1831" s="2">
        <f t="shared" ca="1" si="1761"/>
        <v>6271034.7799855536</v>
      </c>
      <c r="AB1831" s="2">
        <f t="shared" ca="1" si="1762"/>
        <v>6478665.4997484963</v>
      </c>
      <c r="AC1831" s="2">
        <f t="shared" ca="1" si="1763"/>
        <v>6586535.3866770677</v>
      </c>
      <c r="AD1831" s="2">
        <f t="shared" ca="1" si="1764"/>
        <v>6696201.3089938583</v>
      </c>
      <c r="AE1831" s="2">
        <f t="shared" ca="1" si="1765"/>
        <v>6807693.1707175663</v>
      </c>
      <c r="AF1831" s="2">
        <f t="shared" ca="1" si="1766"/>
        <v>1002869.3575176004</v>
      </c>
      <c r="AG1831" s="2">
        <f t="shared" ca="1" si="1767"/>
        <v>1019567.1487839888</v>
      </c>
      <c r="AH1831" s="2">
        <f t="shared" ca="1" si="1768"/>
        <v>1036542.9585490838</v>
      </c>
      <c r="AI1831" s="2">
        <f t="shared" ca="1" si="1769"/>
        <v>1053801.4158254529</v>
      </c>
      <c r="AJ1831" s="2">
        <f t="shared" ca="1" si="1770"/>
        <v>1071347.2266987991</v>
      </c>
      <c r="AK1831" s="2">
        <f t="shared" ca="1" si="1771"/>
        <v>0</v>
      </c>
      <c r="AL1831" s="2">
        <f t="shared" ca="1" si="1772"/>
        <v>8348.8956331942227</v>
      </c>
      <c r="AM1831" s="2">
        <f t="shared" ca="1" si="1773"/>
        <v>8487.9048825474838</v>
      </c>
      <c r="AN1831" s="2">
        <f t="shared" ca="1" si="1774"/>
        <v>8629.2286381845915</v>
      </c>
      <c r="AO1831" s="2">
        <f t="shared" ca="1" si="1775"/>
        <v>8772.9054366730907</v>
      </c>
      <c r="AP1831" s="2">
        <f t="shared" ca="1" si="1776"/>
        <v>2245579.7542409687</v>
      </c>
      <c r="AQ1831" s="2">
        <f t="shared" ca="1" si="1777"/>
        <v>785872.27373901603</v>
      </c>
      <c r="AR1831" s="2">
        <f t="shared" ca="1" si="1778"/>
        <v>835514.83514811995</v>
      </c>
      <c r="AS1831" s="2">
        <f t="shared" ca="1" si="1779"/>
        <v>859147.29521062388</v>
      </c>
      <c r="AT1831" s="2">
        <f t="shared" ca="1" si="1780"/>
        <v>883173.23612113367</v>
      </c>
      <c r="AU1831" s="2">
        <f t="shared" ca="1" si="1781"/>
        <v>907599.20934222767</v>
      </c>
      <c r="AV1831" s="2">
        <f t="shared" ca="1" si="1782"/>
        <v>2236713.3944879691</v>
      </c>
      <c r="AW1831" s="2">
        <f t="shared" ca="1" si="1783"/>
        <v>2369654.8659422235</v>
      </c>
      <c r="AX1831" s="2">
        <f t="shared" ca="1" si="1784"/>
        <v>2436777.4737938433</v>
      </c>
      <c r="AY1831" s="2">
        <f t="shared" ca="1" si="1785"/>
        <v>2505017.6741681187</v>
      </c>
      <c r="AZ1831" s="2">
        <f t="shared" ca="1" si="1786"/>
        <v>2574394.074998898</v>
      </c>
      <c r="BA1831" s="2">
        <f t="shared" ca="1" si="1787"/>
        <v>49304491.007947162</v>
      </c>
      <c r="BB1831" s="2">
        <f t="shared" ca="1" si="1788"/>
        <v>986089.8201589433</v>
      </c>
      <c r="BC1831" s="2">
        <f t="shared" ca="1" si="1789"/>
        <v>23367515.029555231</v>
      </c>
      <c r="BD1831" s="2">
        <f t="shared" ca="1" si="1790"/>
        <v>-18173544.362081699</v>
      </c>
      <c r="BE1831" s="2">
        <f t="shared" ca="1" si="1791"/>
        <v>2236713.3944879691</v>
      </c>
      <c r="BF1831" s="2">
        <f t="shared" ca="1" si="1792"/>
        <v>2369654.8659422235</v>
      </c>
      <c r="BG1831" s="2">
        <f t="shared" ca="1" si="1793"/>
        <v>2436777.4737938433</v>
      </c>
      <c r="BH1831" s="2">
        <f t="shared" ca="1" si="1794"/>
        <v>2505017.6741681187</v>
      </c>
      <c r="BI1831" s="2">
        <f t="shared" ca="1" si="1795"/>
        <v>25941909.104554128</v>
      </c>
      <c r="BJ1831" s="2">
        <f t="shared" ca="1" si="1796"/>
        <v>0.17252792540128614</v>
      </c>
      <c r="BK1831" s="2">
        <f t="shared" ca="1" si="1797"/>
        <v>3759165.5271046832</v>
      </c>
    </row>
    <row r="1832" spans="1:63" x14ac:dyDescent="0.3">
      <c r="A1832" s="2">
        <v>1831</v>
      </c>
      <c r="B1832" s="2">
        <f t="shared" ca="1" si="1736"/>
        <v>0.86331497364909093</v>
      </c>
      <c r="C1832" s="2">
        <f t="shared" ca="1" si="1737"/>
        <v>7.4771519793459884</v>
      </c>
      <c r="D1832" s="2">
        <f t="shared" ca="1" si="1738"/>
        <v>0.77460631678205416</v>
      </c>
      <c r="E1832" s="2">
        <f t="shared" ca="1" si="1739"/>
        <v>7.8285929949457689</v>
      </c>
      <c r="F1832" s="2">
        <f t="shared" ca="1" si="1740"/>
        <v>0.39357213024273419</v>
      </c>
      <c r="G1832" s="2">
        <f t="shared" ca="1" si="1741"/>
        <v>3.1899376343289321E-2</v>
      </c>
      <c r="H1832" s="2">
        <f t="shared" ca="1" si="1742"/>
        <v>3.1899376343289321E-2</v>
      </c>
      <c r="I1832" s="2">
        <f t="shared" ca="1" si="1743"/>
        <v>0.57051424350739555</v>
      </c>
      <c r="J1832" s="2">
        <f t="shared" ca="1" si="1744"/>
        <v>1.0888417698312593E-2</v>
      </c>
      <c r="K1832" s="2">
        <f t="shared" ca="1" si="1745"/>
        <v>1.0888417698312593E-2</v>
      </c>
      <c r="L1832" s="2">
        <f t="shared" ca="1" si="1746"/>
        <v>0.74869907972645755</v>
      </c>
      <c r="M1832" s="2">
        <f t="shared" ca="1" si="1747"/>
        <v>1.3408031197248701E-2</v>
      </c>
      <c r="N1832" s="2">
        <f t="shared" ca="1" si="1748"/>
        <v>1.3408031197248701E-2</v>
      </c>
      <c r="O1832" s="2">
        <f t="shared" si="1749"/>
        <v>6000000</v>
      </c>
      <c r="P1832" s="2">
        <f t="shared" ca="1" si="1750"/>
        <v>44862911.876075931</v>
      </c>
      <c r="Q1832" s="2">
        <f t="shared" ca="1" si="1751"/>
        <v>1121572.7969018982</v>
      </c>
      <c r="R1832" s="2">
        <f t="shared" ca="1" si="1752"/>
        <v>26917747.125645559</v>
      </c>
      <c r="S1832" s="2">
        <f t="shared" ca="1" si="1753"/>
        <v>17945164.750430372</v>
      </c>
      <c r="T1832" s="2">
        <f t="shared" ca="1" si="1754"/>
        <v>50670401.559862435</v>
      </c>
      <c r="U1832" s="2">
        <f t="shared" ca="1" si="1755"/>
        <v>52286755.768686078</v>
      </c>
      <c r="V1832" s="2">
        <f t="shared" ca="1" si="1756"/>
        <v>53954670.66872105</v>
      </c>
      <c r="W1832" s="2">
        <f t="shared" ca="1" si="1757"/>
        <v>55675791.013860814</v>
      </c>
      <c r="X1832" s="2">
        <f t="shared" ca="1" si="1758"/>
        <v>57451814.024622284</v>
      </c>
      <c r="Y1832" s="2">
        <f t="shared" ca="1" si="1759"/>
        <v>0.1254442088491563</v>
      </c>
      <c r="Z1832" s="2">
        <f t="shared" ca="1" si="1760"/>
        <v>0.1276218923888188</v>
      </c>
      <c r="AA1832" s="2">
        <f t="shared" ca="1" si="1761"/>
        <v>6356308.4357459983</v>
      </c>
      <c r="AB1832" s="2">
        <f t="shared" ca="1" si="1762"/>
        <v>6672934.7180717047</v>
      </c>
      <c r="AC1832" s="2">
        <f t="shared" ca="1" si="1763"/>
        <v>6885797.1739576757</v>
      </c>
      <c r="AD1832" s="2">
        <f t="shared" ca="1" si="1764"/>
        <v>7105449.8094333094</v>
      </c>
      <c r="AE1832" s="2">
        <f t="shared" ca="1" si="1765"/>
        <v>7332109.2269927757</v>
      </c>
      <c r="AF1832" s="2">
        <f t="shared" ca="1" si="1766"/>
        <v>1013408.0311972487</v>
      </c>
      <c r="AG1832" s="2">
        <f t="shared" ca="1" si="1767"/>
        <v>1045735.1153737216</v>
      </c>
      <c r="AH1832" s="2">
        <f t="shared" ca="1" si="1768"/>
        <v>1079093.413374421</v>
      </c>
      <c r="AI1832" s="2">
        <f t="shared" ca="1" si="1769"/>
        <v>1113515.8202772164</v>
      </c>
      <c r="AJ1832" s="2">
        <f t="shared" ca="1" si="1770"/>
        <v>1149036.2804924457</v>
      </c>
      <c r="AK1832" s="2">
        <f t="shared" ca="1" si="1771"/>
        <v>0</v>
      </c>
      <c r="AL1832" s="2">
        <f t="shared" ca="1" si="1772"/>
        <v>16163.542088236436</v>
      </c>
      <c r="AM1832" s="2">
        <f t="shared" ca="1" si="1773"/>
        <v>16679.149000349717</v>
      </c>
      <c r="AN1832" s="2">
        <f t="shared" ca="1" si="1774"/>
        <v>17211.203451397643</v>
      </c>
      <c r="AO1832" s="2">
        <f t="shared" ca="1" si="1775"/>
        <v>17760.230107614698</v>
      </c>
      <c r="AP1832" s="2">
        <f t="shared" ca="1" si="1776"/>
        <v>2422597.2413081001</v>
      </c>
      <c r="AQ1832" s="2">
        <f t="shared" ca="1" si="1777"/>
        <v>759278.82244256884</v>
      </c>
      <c r="AR1832" s="2">
        <f t="shared" ca="1" si="1778"/>
        <v>833196.61396136973</v>
      </c>
      <c r="AS1832" s="2">
        <f t="shared" ca="1" si="1779"/>
        <v>879867.6950115402</v>
      </c>
      <c r="AT1832" s="2">
        <f t="shared" ca="1" si="1780"/>
        <v>928027.55444047833</v>
      </c>
      <c r="AU1832" s="2">
        <f t="shared" ca="1" si="1781"/>
        <v>977723.68334997992</v>
      </c>
      <c r="AV1832" s="2">
        <f t="shared" ca="1" si="1782"/>
        <v>2161024.3407980804</v>
      </c>
      <c r="AW1832" s="2">
        <f t="shared" ca="1" si="1783"/>
        <v>2355242.2053402769</v>
      </c>
      <c r="AX1832" s="2">
        <f t="shared" ca="1" si="1784"/>
        <v>2487559.6752632647</v>
      </c>
      <c r="AY1832" s="2">
        <f t="shared" ca="1" si="1785"/>
        <v>2624097.9899561168</v>
      </c>
      <c r="AZ1832" s="2">
        <f t="shared" ca="1" si="1786"/>
        <v>2764991.7917346354</v>
      </c>
      <c r="BA1832" s="2">
        <f t="shared" ca="1" si="1787"/>
        <v>57400098.932612881</v>
      </c>
      <c r="BB1832" s="2">
        <f t="shared" ca="1" si="1788"/>
        <v>1148001.9786522577</v>
      </c>
      <c r="BC1832" s="2">
        <f t="shared" ca="1" si="1789"/>
        <v>29334349.828315064</v>
      </c>
      <c r="BD1832" s="2">
        <f t="shared" ca="1" si="1790"/>
        <v>-19566737.547332268</v>
      </c>
      <c r="BE1832" s="2">
        <f t="shared" ca="1" si="1791"/>
        <v>2161024.3407980804</v>
      </c>
      <c r="BF1832" s="2">
        <f t="shared" ca="1" si="1792"/>
        <v>2355242.2053402769</v>
      </c>
      <c r="BG1832" s="2">
        <f t="shared" ca="1" si="1793"/>
        <v>2487559.6752632647</v>
      </c>
      <c r="BH1832" s="2">
        <f t="shared" ca="1" si="1794"/>
        <v>2624097.9899561168</v>
      </c>
      <c r="BI1832" s="2">
        <f t="shared" ca="1" si="1795"/>
        <v>32099341.6200497</v>
      </c>
      <c r="BJ1832" s="2">
        <f t="shared" ca="1" si="1796"/>
        <v>0.19216242369210468</v>
      </c>
      <c r="BK1832" s="2">
        <f t="shared" ca="1" si="1797"/>
        <v>5892619.177818872</v>
      </c>
    </row>
    <row r="1833" spans="1:63" x14ac:dyDescent="0.3">
      <c r="A1833" s="2">
        <v>1832</v>
      </c>
      <c r="B1833" s="2">
        <f t="shared" ca="1" si="1736"/>
        <v>0.86143637252481764</v>
      </c>
      <c r="C1833" s="2">
        <f t="shared" ca="1" si="1737"/>
        <v>7.4735712251877136</v>
      </c>
      <c r="D1833" s="2">
        <f t="shared" ca="1" si="1738"/>
        <v>0.65979805852470952</v>
      </c>
      <c r="E1833" s="2">
        <f t="shared" ca="1" si="1739"/>
        <v>7.6751340212188524</v>
      </c>
      <c r="F1833" s="2">
        <f t="shared" ca="1" si="1740"/>
        <v>0.32270641449055859</v>
      </c>
      <c r="G1833" s="2">
        <f t="shared" ca="1" si="1741"/>
        <v>2.6195678556315327E-2</v>
      </c>
      <c r="H1833" s="2">
        <f t="shared" ca="1" si="1742"/>
        <v>2.6195678556315327E-2</v>
      </c>
      <c r="I1833" s="2">
        <f t="shared" ca="1" si="1743"/>
        <v>0.32391267362141574</v>
      </c>
      <c r="J1833" s="2">
        <f t="shared" ca="1" si="1744"/>
        <v>7.7160733230360549E-3</v>
      </c>
      <c r="K1833" s="2">
        <f t="shared" ca="1" si="1745"/>
        <v>7.7160733230360549E-3</v>
      </c>
      <c r="L1833" s="2">
        <f t="shared" ca="1" si="1746"/>
        <v>0.43062848842003654</v>
      </c>
      <c r="M1833" s="2">
        <f t="shared" ca="1" si="1747"/>
        <v>-3.4954861598833977E-3</v>
      </c>
      <c r="N1833" s="2">
        <f t="shared" ca="1" si="1748"/>
        <v>-3.4954861598833977E-3</v>
      </c>
      <c r="O1833" s="2">
        <f t="shared" si="1749"/>
        <v>6000000</v>
      </c>
      <c r="P1833" s="2">
        <f t="shared" ca="1" si="1750"/>
        <v>44841427.351126283</v>
      </c>
      <c r="Q1833" s="2">
        <f t="shared" ca="1" si="1751"/>
        <v>1121035.6837781572</v>
      </c>
      <c r="R1833" s="2">
        <f t="shared" ca="1" si="1752"/>
        <v>26904856.410675768</v>
      </c>
      <c r="S1833" s="2">
        <f t="shared" ca="1" si="1753"/>
        <v>17936570.940450516</v>
      </c>
      <c r="T1833" s="2">
        <f t="shared" ca="1" si="1754"/>
        <v>49825225.692005828</v>
      </c>
      <c r="U1833" s="2">
        <f t="shared" ca="1" si="1755"/>
        <v>51130431.288229473</v>
      </c>
      <c r="V1833" s="2">
        <f t="shared" ca="1" si="1756"/>
        <v>52469827.630701698</v>
      </c>
      <c r="W1833" s="2">
        <f t="shared" ca="1" si="1757"/>
        <v>53844310.369220831</v>
      </c>
      <c r="X1833" s="2">
        <f t="shared" ca="1" si="1758"/>
        <v>55254798.615739413</v>
      </c>
      <c r="Y1833" s="2">
        <f t="shared" ca="1" si="1759"/>
        <v>0.12385803666151803</v>
      </c>
      <c r="Z1833" s="2">
        <f t="shared" ca="1" si="1760"/>
        <v>0.12540125132612523</v>
      </c>
      <c r="AA1833" s="2">
        <f t="shared" ca="1" si="1761"/>
        <v>6171254.6304288674</v>
      </c>
      <c r="AB1833" s="2">
        <f t="shared" ca="1" si="1762"/>
        <v>6411820.0643884409</v>
      </c>
      <c r="AC1833" s="2">
        <f t="shared" ca="1" si="1763"/>
        <v>6579782.0417560935</v>
      </c>
      <c r="AD1833" s="2">
        <f t="shared" ca="1" si="1764"/>
        <v>6752143.8970925519</v>
      </c>
      <c r="AE1833" s="2">
        <f t="shared" ca="1" si="1765"/>
        <v>6929020.8881867742</v>
      </c>
      <c r="AF1833" s="2">
        <f t="shared" ca="1" si="1766"/>
        <v>996504.51384011656</v>
      </c>
      <c r="AG1833" s="2">
        <f t="shared" ca="1" si="1767"/>
        <v>1022608.6257645895</v>
      </c>
      <c r="AH1833" s="2">
        <f t="shared" ca="1" si="1768"/>
        <v>1049396.5526140339</v>
      </c>
      <c r="AI1833" s="2">
        <f t="shared" ca="1" si="1769"/>
        <v>1076886.2073844166</v>
      </c>
      <c r="AJ1833" s="2">
        <f t="shared" ca="1" si="1770"/>
        <v>1105095.9723147883</v>
      </c>
      <c r="AK1833" s="2">
        <f t="shared" ca="1" si="1771"/>
        <v>0</v>
      </c>
      <c r="AL1833" s="2">
        <f t="shared" ca="1" si="1772"/>
        <v>13052.055962236449</v>
      </c>
      <c r="AM1833" s="2">
        <f t="shared" ca="1" si="1773"/>
        <v>13393.963424722255</v>
      </c>
      <c r="AN1833" s="2">
        <f t="shared" ca="1" si="1774"/>
        <v>13744.827385191322</v>
      </c>
      <c r="AO1833" s="2">
        <f t="shared" ca="1" si="1775"/>
        <v>14104.882465185821</v>
      </c>
      <c r="AP1833" s="2">
        <f t="shared" ca="1" si="1776"/>
        <v>2421437.0769608188</v>
      </c>
      <c r="AQ1833" s="2">
        <f t="shared" ca="1" si="1777"/>
        <v>715861.39030326239</v>
      </c>
      <c r="AR1833" s="2">
        <f t="shared" ca="1" si="1778"/>
        <v>771621.3340323884</v>
      </c>
      <c r="AS1833" s="2">
        <f t="shared" ca="1" si="1779"/>
        <v>808326.58716712252</v>
      </c>
      <c r="AT1833" s="2">
        <f t="shared" ca="1" si="1780"/>
        <v>845993.35931430222</v>
      </c>
      <c r="AU1833" s="2">
        <f t="shared" ca="1" si="1781"/>
        <v>884646.83811690356</v>
      </c>
      <c r="AV1833" s="2">
        <f t="shared" ca="1" si="1782"/>
        <v>2037451.6493246695</v>
      </c>
      <c r="AW1833" s="2">
        <f t="shared" ca="1" si="1783"/>
        <v>2183100.9716684073</v>
      </c>
      <c r="AX1833" s="2">
        <f t="shared" ca="1" si="1784"/>
        <v>2287227.8615893954</v>
      </c>
      <c r="AY1833" s="2">
        <f t="shared" ca="1" si="1785"/>
        <v>2394082.4260478234</v>
      </c>
      <c r="AZ1833" s="2">
        <f t="shared" ca="1" si="1786"/>
        <v>2503736.118329078</v>
      </c>
      <c r="BA1833" s="2">
        <f t="shared" ca="1" si="1787"/>
        <v>53181163.952658378</v>
      </c>
      <c r="BB1833" s="2">
        <f t="shared" ca="1" si="1788"/>
        <v>1063623.2790531677</v>
      </c>
      <c r="BC1833" s="2">
        <f t="shared" ca="1" si="1789"/>
        <v>25212684.262929443</v>
      </c>
      <c r="BD1833" s="2">
        <f t="shared" ca="1" si="1790"/>
        <v>-19557606.624228671</v>
      </c>
      <c r="BE1833" s="2">
        <f t="shared" ca="1" si="1791"/>
        <v>2037451.6493246695</v>
      </c>
      <c r="BF1833" s="2">
        <f t="shared" ca="1" si="1792"/>
        <v>2183100.9716684073</v>
      </c>
      <c r="BG1833" s="2">
        <f t="shared" ca="1" si="1793"/>
        <v>2287227.8615893954</v>
      </c>
      <c r="BH1833" s="2">
        <f t="shared" ca="1" si="1794"/>
        <v>2394082.4260478234</v>
      </c>
      <c r="BI1833" s="2">
        <f t="shared" ca="1" si="1795"/>
        <v>27716420.381258521</v>
      </c>
      <c r="BJ1833" s="2">
        <f t="shared" ca="1" si="1796"/>
        <v>0.15721370944018687</v>
      </c>
      <c r="BK1833" s="2">
        <f t="shared" ca="1" si="1797"/>
        <v>2878428.9085716121</v>
      </c>
    </row>
    <row r="1834" spans="1:63" x14ac:dyDescent="0.3">
      <c r="A1834" s="2">
        <v>1833</v>
      </c>
      <c r="B1834" s="2">
        <f t="shared" ca="1" si="1736"/>
        <v>0.50113507057148299</v>
      </c>
      <c r="C1834" s="2">
        <f t="shared" ca="1" si="1737"/>
        <v>7.0011357154963276</v>
      </c>
      <c r="D1834" s="2">
        <f t="shared" ca="1" si="1738"/>
        <v>8.0827692751688995E-2</v>
      </c>
      <c r="E1834" s="2">
        <f t="shared" ca="1" si="1739"/>
        <v>6.9020639072378644</v>
      </c>
      <c r="F1834" s="2">
        <f t="shared" ca="1" si="1740"/>
        <v>0.15063856390270491</v>
      </c>
      <c r="G1834" s="2">
        <f t="shared" ca="1" si="1741"/>
        <v>8.9890445665373221E-3</v>
      </c>
      <c r="H1834" s="2">
        <f t="shared" ca="1" si="1742"/>
        <v>8.9890445665373221E-3</v>
      </c>
      <c r="I1834" s="2">
        <f t="shared" ca="1" si="1743"/>
        <v>0.35480908311816584</v>
      </c>
      <c r="J1834" s="2">
        <f t="shared" ca="1" si="1744"/>
        <v>8.1381552334238959E-3</v>
      </c>
      <c r="K1834" s="2">
        <f t="shared" ca="1" si="1745"/>
        <v>8.1381552334238959E-3</v>
      </c>
      <c r="L1834" s="2">
        <f t="shared" ca="1" si="1746"/>
        <v>0.254772540464556</v>
      </c>
      <c r="M1834" s="2">
        <f t="shared" ca="1" si="1747"/>
        <v>-1.3190924249469771E-2</v>
      </c>
      <c r="N1834" s="2">
        <f t="shared" ca="1" si="1748"/>
        <v>-1.3190924249469771E-2</v>
      </c>
      <c r="O1834" s="2">
        <f t="shared" si="1749"/>
        <v>6000000</v>
      </c>
      <c r="P1834" s="2">
        <f t="shared" ca="1" si="1750"/>
        <v>42006814.292977966</v>
      </c>
      <c r="Q1834" s="2">
        <f t="shared" ca="1" si="1751"/>
        <v>1050170.3573244491</v>
      </c>
      <c r="R1834" s="2">
        <f t="shared" ca="1" si="1752"/>
        <v>25204088.575786781</v>
      </c>
      <c r="S1834" s="2">
        <f t="shared" ca="1" si="1753"/>
        <v>16802725.717191186</v>
      </c>
      <c r="T1834" s="2">
        <f t="shared" ca="1" si="1754"/>
        <v>49340453.787526511</v>
      </c>
      <c r="U1834" s="2">
        <f t="shared" ca="1" si="1755"/>
        <v>49783977.325555757</v>
      </c>
      <c r="V1834" s="2">
        <f t="shared" ca="1" si="1756"/>
        <v>50231487.716434658</v>
      </c>
      <c r="W1834" s="2">
        <f t="shared" ca="1" si="1757"/>
        <v>50683020.798161156</v>
      </c>
      <c r="X1834" s="2">
        <f t="shared" ca="1" si="1758"/>
        <v>51138612.730882563</v>
      </c>
      <c r="Y1834" s="2">
        <f t="shared" ca="1" si="1759"/>
        <v>0.12406907761671195</v>
      </c>
      <c r="Z1834" s="2">
        <f t="shared" ca="1" si="1760"/>
        <v>0.12569670866339672</v>
      </c>
      <c r="AA1834" s="2">
        <f t="shared" ca="1" si="1761"/>
        <v>6121624.5906084152</v>
      </c>
      <c r="AB1834" s="2">
        <f t="shared" ca="1" si="1762"/>
        <v>6257682.0939955302</v>
      </c>
      <c r="AC1834" s="2">
        <f t="shared" ca="1" si="1763"/>
        <v>6313932.6772216782</v>
      </c>
      <c r="AD1834" s="2">
        <f t="shared" ca="1" si="1764"/>
        <v>6370688.8994473396</v>
      </c>
      <c r="AE1834" s="2">
        <f t="shared" ca="1" si="1765"/>
        <v>6427955.3058840157</v>
      </c>
      <c r="AF1834" s="2">
        <f t="shared" ca="1" si="1766"/>
        <v>986809.07575053023</v>
      </c>
      <c r="AG1834" s="2">
        <f t="shared" ca="1" si="1767"/>
        <v>995679.54651111516</v>
      </c>
      <c r="AH1834" s="2">
        <f t="shared" ca="1" si="1768"/>
        <v>1004629.7543286931</v>
      </c>
      <c r="AI1834" s="2">
        <f t="shared" ca="1" si="1769"/>
        <v>1013660.4159632232</v>
      </c>
      <c r="AJ1834" s="2">
        <f t="shared" ca="1" si="1770"/>
        <v>1022772.2546176512</v>
      </c>
      <c r="AK1834" s="2">
        <f t="shared" ca="1" si="1771"/>
        <v>0</v>
      </c>
      <c r="AL1834" s="2">
        <f t="shared" ca="1" si="1772"/>
        <v>4435.2353802924608</v>
      </c>
      <c r="AM1834" s="2">
        <f t="shared" ca="1" si="1773"/>
        <v>4475.1039087890085</v>
      </c>
      <c r="AN1834" s="2">
        <f t="shared" ca="1" si="1774"/>
        <v>4515.3308172649895</v>
      </c>
      <c r="AO1834" s="2">
        <f t="shared" ca="1" si="1775"/>
        <v>4555.9193272140619</v>
      </c>
      <c r="AP1834" s="2">
        <f t="shared" ca="1" si="1776"/>
        <v>2268367.9718208103</v>
      </c>
      <c r="AQ1834" s="2">
        <f t="shared" ca="1" si="1777"/>
        <v>745276.36118963931</v>
      </c>
      <c r="AR1834" s="2">
        <f t="shared" ca="1" si="1778"/>
        <v>778344.98967253719</v>
      </c>
      <c r="AS1834" s="2">
        <f t="shared" ca="1" si="1779"/>
        <v>790643.08727876539</v>
      </c>
      <c r="AT1834" s="2">
        <f t="shared" ca="1" si="1780"/>
        <v>803051.73303245963</v>
      </c>
      <c r="AU1834" s="2">
        <f t="shared" ca="1" si="1781"/>
        <v>815571.92065584415</v>
      </c>
      <c r="AV1834" s="2">
        <f t="shared" ca="1" si="1782"/>
        <v>2121171.181847435</v>
      </c>
      <c r="AW1834" s="2">
        <f t="shared" ca="1" si="1783"/>
        <v>2210854.3506107745</v>
      </c>
      <c r="AX1834" s="2">
        <f t="shared" ca="1" si="1784"/>
        <v>2245816.7598846196</v>
      </c>
      <c r="AY1834" s="2">
        <f t="shared" ca="1" si="1785"/>
        <v>2281093.4478135812</v>
      </c>
      <c r="AZ1834" s="2">
        <f t="shared" ca="1" si="1786"/>
        <v>2316687.2394624962</v>
      </c>
      <c r="BA1834" s="2">
        <f t="shared" ca="1" si="1787"/>
        <v>44366158.314080194</v>
      </c>
      <c r="BB1834" s="2">
        <f t="shared" ca="1" si="1788"/>
        <v>887323.16628160386</v>
      </c>
      <c r="BC1834" s="2">
        <f t="shared" ca="1" si="1789"/>
        <v>18274746.57201181</v>
      </c>
      <c r="BD1834" s="2">
        <f t="shared" ca="1" si="1790"/>
        <v>-18352896.074515633</v>
      </c>
      <c r="BE1834" s="2">
        <f t="shared" ca="1" si="1791"/>
        <v>2121171.181847435</v>
      </c>
      <c r="BF1834" s="2">
        <f t="shared" ca="1" si="1792"/>
        <v>2210854.3506107745</v>
      </c>
      <c r="BG1834" s="2">
        <f t="shared" ca="1" si="1793"/>
        <v>2245816.7598846196</v>
      </c>
      <c r="BH1834" s="2">
        <f t="shared" ca="1" si="1794"/>
        <v>2281093.4478135812</v>
      </c>
      <c r="BI1834" s="2">
        <f t="shared" ca="1" si="1795"/>
        <v>20591433.811474305</v>
      </c>
      <c r="BJ1834" s="2">
        <f t="shared" ca="1" si="1796"/>
        <v>0.12053974688483704</v>
      </c>
      <c r="BK1834" s="2">
        <f t="shared" ca="1" si="1797"/>
        <v>35822.995776563883</v>
      </c>
    </row>
    <row r="1835" spans="1:63" x14ac:dyDescent="0.3">
      <c r="A1835" s="2">
        <v>1834</v>
      </c>
      <c r="B1835" s="2">
        <f t="shared" ca="1" si="1736"/>
        <v>0.96182917318754113</v>
      </c>
      <c r="C1835" s="2">
        <f t="shared" ca="1" si="1737"/>
        <v>7.723700065825347</v>
      </c>
      <c r="D1835" s="2">
        <f t="shared" ca="1" si="1738"/>
        <v>0.51380564646910565</v>
      </c>
      <c r="E1835" s="2">
        <f t="shared" ca="1" si="1739"/>
        <v>7.5139022832083073</v>
      </c>
      <c r="F1835" s="2">
        <f t="shared" ca="1" si="1740"/>
        <v>0.72447663154452868</v>
      </c>
      <c r="G1835" s="2">
        <f t="shared" ca="1" si="1741"/>
        <v>5.7885770440171916E-2</v>
      </c>
      <c r="H1835" s="2">
        <f t="shared" ca="1" si="1742"/>
        <v>5.7885770440171916E-2</v>
      </c>
      <c r="I1835" s="2">
        <f t="shared" ca="1" si="1743"/>
        <v>0.55357942689133766</v>
      </c>
      <c r="J1835" s="2">
        <f t="shared" ca="1" si="1744"/>
        <v>1.0673550127673938E-2</v>
      </c>
      <c r="K1835" s="2">
        <f t="shared" ca="1" si="1745"/>
        <v>1.0673550127673938E-2</v>
      </c>
      <c r="L1835" s="2">
        <f t="shared" ca="1" si="1746"/>
        <v>0.87066742951972753</v>
      </c>
      <c r="M1835" s="2">
        <f t="shared" ca="1" si="1747"/>
        <v>2.2591035519670618E-2</v>
      </c>
      <c r="N1835" s="2">
        <f t="shared" ca="1" si="1748"/>
        <v>2.2591035519670618E-2</v>
      </c>
      <c r="O1835" s="2">
        <f t="shared" si="1749"/>
        <v>6000000</v>
      </c>
      <c r="P1835" s="2">
        <f t="shared" ca="1" si="1750"/>
        <v>46342200.394952081</v>
      </c>
      <c r="Q1835" s="2">
        <f t="shared" ca="1" si="1751"/>
        <v>1158555.0098738021</v>
      </c>
      <c r="R1835" s="2">
        <f t="shared" ca="1" si="1752"/>
        <v>27805320.236971248</v>
      </c>
      <c r="S1835" s="2">
        <f t="shared" ca="1" si="1753"/>
        <v>18536880.157980833</v>
      </c>
      <c r="T1835" s="2">
        <f t="shared" ca="1" si="1754"/>
        <v>51129551.775983527</v>
      </c>
      <c r="U1835" s="2">
        <f t="shared" ca="1" si="1755"/>
        <v>54089225.272796988</v>
      </c>
      <c r="V1835" s="2">
        <f t="shared" ca="1" si="1756"/>
        <v>57220221.750224859</v>
      </c>
      <c r="W1835" s="2">
        <f t="shared" ca="1" si="1757"/>
        <v>60532458.370994106</v>
      </c>
      <c r="X1835" s="2">
        <f t="shared" ca="1" si="1758"/>
        <v>64036426.36043673</v>
      </c>
      <c r="Y1835" s="2">
        <f t="shared" ca="1" si="1759"/>
        <v>0.12533677506383697</v>
      </c>
      <c r="Z1835" s="2">
        <f t="shared" ca="1" si="1760"/>
        <v>0.12747148508937176</v>
      </c>
      <c r="AA1835" s="2">
        <f t="shared" ca="1" si="1761"/>
        <v>6408413.1300612539</v>
      </c>
      <c r="AB1835" s="2">
        <f t="shared" ca="1" si="1762"/>
        <v>6894833.8728570109</v>
      </c>
      <c r="AC1835" s="2">
        <f t="shared" ca="1" si="1763"/>
        <v>7293946.6436443338</v>
      </c>
      <c r="AD1835" s="2">
        <f t="shared" ca="1" si="1764"/>
        <v>7716162.3646611916</v>
      </c>
      <c r="AE1835" s="2">
        <f t="shared" ca="1" si="1765"/>
        <v>8162818.3679810632</v>
      </c>
      <c r="AF1835" s="2">
        <f t="shared" ca="1" si="1766"/>
        <v>1022591.0355196706</v>
      </c>
      <c r="AG1835" s="2">
        <f t="shared" ca="1" si="1767"/>
        <v>1081784.5054559398</v>
      </c>
      <c r="AH1835" s="2">
        <f t="shared" ca="1" si="1768"/>
        <v>1144404.4350044972</v>
      </c>
      <c r="AI1835" s="2">
        <f t="shared" ca="1" si="1769"/>
        <v>1210649.1674198823</v>
      </c>
      <c r="AJ1835" s="2">
        <f t="shared" ca="1" si="1770"/>
        <v>1280728.5272087345</v>
      </c>
      <c r="AK1835" s="2">
        <f t="shared" ca="1" si="1771"/>
        <v>0</v>
      </c>
      <c r="AL1835" s="2">
        <f t="shared" ca="1" si="1772"/>
        <v>29596.734968134613</v>
      </c>
      <c r="AM1835" s="2">
        <f t="shared" ca="1" si="1773"/>
        <v>31309.964774278702</v>
      </c>
      <c r="AN1835" s="2">
        <f t="shared" ca="1" si="1774"/>
        <v>33122.366207692474</v>
      </c>
      <c r="AO1835" s="2">
        <f t="shared" ca="1" si="1775"/>
        <v>35039.679894426241</v>
      </c>
      <c r="AP1835" s="2">
        <f t="shared" ca="1" si="1776"/>
        <v>2502478.821327412</v>
      </c>
      <c r="AQ1835" s="2">
        <f t="shared" ca="1" si="1777"/>
        <v>749669.25103568449</v>
      </c>
      <c r="AR1835" s="2">
        <f t="shared" ca="1" si="1778"/>
        <v>860748.34197915136</v>
      </c>
      <c r="AS1835" s="2">
        <f t="shared" ca="1" si="1779"/>
        <v>948236.48070123047</v>
      </c>
      <c r="AT1835" s="2">
        <f t="shared" ca="1" si="1780"/>
        <v>1040788.9377376132</v>
      </c>
      <c r="AU1835" s="2">
        <f t="shared" ca="1" si="1781"/>
        <v>1138698.8650556784</v>
      </c>
      <c r="AV1835" s="2">
        <f t="shared" ca="1" si="1782"/>
        <v>2133674.0221784865</v>
      </c>
      <c r="AW1835" s="2">
        <f t="shared" ca="1" si="1783"/>
        <v>2420225.4691263731</v>
      </c>
      <c r="AX1835" s="2">
        <f t="shared" ca="1" si="1784"/>
        <v>2667516.9418369154</v>
      </c>
      <c r="AY1835" s="2">
        <f t="shared" ca="1" si="1785"/>
        <v>2929123.0719685913</v>
      </c>
      <c r="AZ1835" s="2">
        <f t="shared" ca="1" si="1786"/>
        <v>3205872.4744948125</v>
      </c>
      <c r="BA1835" s="2">
        <f t="shared" ca="1" si="1787"/>
        <v>61334619.572587617</v>
      </c>
      <c r="BB1835" s="2">
        <f t="shared" ca="1" si="1788"/>
        <v>1226692.3914517523</v>
      </c>
      <c r="BC1835" s="2">
        <f t="shared" ca="1" si="1789"/>
        <v>32302606.944164615</v>
      </c>
      <c r="BD1835" s="2">
        <f t="shared" ca="1" si="1790"/>
        <v>-20195435.167854637</v>
      </c>
      <c r="BE1835" s="2">
        <f t="shared" ca="1" si="1791"/>
        <v>2133674.0221784865</v>
      </c>
      <c r="BF1835" s="2">
        <f t="shared" ca="1" si="1792"/>
        <v>2420225.4691263731</v>
      </c>
      <c r="BG1835" s="2">
        <f t="shared" ca="1" si="1793"/>
        <v>2667516.9418369154</v>
      </c>
      <c r="BH1835" s="2">
        <f t="shared" ca="1" si="1794"/>
        <v>2929123.0719685913</v>
      </c>
      <c r="BI1835" s="2">
        <f t="shared" ca="1" si="1795"/>
        <v>35508479.418659426</v>
      </c>
      <c r="BJ1835" s="2">
        <f t="shared" ca="1" si="1796"/>
        <v>0.20688169508774146</v>
      </c>
      <c r="BK1835" s="2">
        <f t="shared" ca="1" si="1797"/>
        <v>7547681.2135511413</v>
      </c>
    </row>
    <row r="1836" spans="1:63" x14ac:dyDescent="0.3">
      <c r="A1836" s="2">
        <v>1835</v>
      </c>
      <c r="B1836" s="2">
        <f t="shared" ca="1" si="1736"/>
        <v>0.53801812151977169</v>
      </c>
      <c r="C1836" s="2">
        <f t="shared" ca="1" si="1737"/>
        <v>7.0387696649811469</v>
      </c>
      <c r="D1836" s="2">
        <f t="shared" ca="1" si="1738"/>
        <v>6.8727880734920532E-2</v>
      </c>
      <c r="E1836" s="2">
        <f t="shared" ca="1" si="1739"/>
        <v>6.8707502683341461</v>
      </c>
      <c r="F1836" s="2">
        <f t="shared" ca="1" si="1740"/>
        <v>0.75298888025499733</v>
      </c>
      <c r="G1836" s="2">
        <f t="shared" ca="1" si="1741"/>
        <v>6.0517763638305154E-2</v>
      </c>
      <c r="H1836" s="2">
        <f t="shared" ca="1" si="1742"/>
        <v>6.0517763638305154E-2</v>
      </c>
      <c r="I1836" s="2">
        <f t="shared" ca="1" si="1743"/>
        <v>0.74713971896864972</v>
      </c>
      <c r="J1836" s="2">
        <f t="shared" ca="1" si="1744"/>
        <v>1.3327579618834368E-2</v>
      </c>
      <c r="K1836" s="2">
        <f t="shared" ca="1" si="1745"/>
        <v>1.3327579618834368E-2</v>
      </c>
      <c r="L1836" s="2">
        <f t="shared" ca="1" si="1746"/>
        <v>0.35176764021754436</v>
      </c>
      <c r="M1836" s="2">
        <f t="shared" ca="1" si="1747"/>
        <v>-7.6110514215587269E-3</v>
      </c>
      <c r="N1836" s="2">
        <f t="shared" ca="1" si="1748"/>
        <v>-7.6110514215587269E-3</v>
      </c>
      <c r="O1836" s="2">
        <f t="shared" si="1749"/>
        <v>6000000</v>
      </c>
      <c r="P1836" s="2">
        <f t="shared" ca="1" si="1750"/>
        <v>42232617.98988688</v>
      </c>
      <c r="Q1836" s="2">
        <f t="shared" ca="1" si="1751"/>
        <v>1055815.449747172</v>
      </c>
      <c r="R1836" s="2">
        <f t="shared" ca="1" si="1752"/>
        <v>25339570.793932129</v>
      </c>
      <c r="S1836" s="2">
        <f t="shared" ca="1" si="1753"/>
        <v>16893047.195954751</v>
      </c>
      <c r="T1836" s="2">
        <f t="shared" ca="1" si="1754"/>
        <v>49619447.428922065</v>
      </c>
      <c r="U1836" s="2">
        <f t="shared" ca="1" si="1755"/>
        <v>52622305.420288883</v>
      </c>
      <c r="V1836" s="2">
        <f t="shared" ca="1" si="1756"/>
        <v>55806889.661816634</v>
      </c>
      <c r="W1836" s="2">
        <f t="shared" ca="1" si="1757"/>
        <v>59184197.819759429</v>
      </c>
      <c r="X1836" s="2">
        <f t="shared" ca="1" si="1758"/>
        <v>62765893.114538327</v>
      </c>
      <c r="Y1836" s="2">
        <f t="shared" ca="1" si="1759"/>
        <v>0.12666378980941717</v>
      </c>
      <c r="Z1836" s="2">
        <f t="shared" ca="1" si="1760"/>
        <v>0.12932930573318405</v>
      </c>
      <c r="AA1836" s="2">
        <f t="shared" ca="1" si="1761"/>
        <v>6284987.2595964093</v>
      </c>
      <c r="AB1836" s="2">
        <f t="shared" ca="1" si="1762"/>
        <v>6805606.2260855287</v>
      </c>
      <c r="AC1836" s="2">
        <f t="shared" ca="1" si="1763"/>
        <v>7217466.2950911513</v>
      </c>
      <c r="AD1836" s="2">
        <f t="shared" ca="1" si="1764"/>
        <v>7654251.2144049117</v>
      </c>
      <c r="AE1836" s="2">
        <f t="shared" ca="1" si="1765"/>
        <v>8117469.3802264789</v>
      </c>
      <c r="AF1836" s="2">
        <f t="shared" ca="1" si="1766"/>
        <v>992388.94857844128</v>
      </c>
      <c r="AG1836" s="2">
        <f t="shared" ca="1" si="1767"/>
        <v>1052446.1084057777</v>
      </c>
      <c r="AH1836" s="2">
        <f t="shared" ca="1" si="1768"/>
        <v>1116137.7932363327</v>
      </c>
      <c r="AI1836" s="2">
        <f t="shared" ca="1" si="1769"/>
        <v>1183683.9563951886</v>
      </c>
      <c r="AJ1836" s="2">
        <f t="shared" ca="1" si="1770"/>
        <v>1255317.8622907666</v>
      </c>
      <c r="AK1836" s="2">
        <f t="shared" ca="1" si="1771"/>
        <v>0</v>
      </c>
      <c r="AL1836" s="2">
        <f t="shared" ca="1" si="1772"/>
        <v>30028.579913668185</v>
      </c>
      <c r="AM1836" s="2">
        <f t="shared" ca="1" si="1773"/>
        <v>31845.842415277511</v>
      </c>
      <c r="AN1836" s="2">
        <f t="shared" ca="1" si="1774"/>
        <v>33773.081579427941</v>
      </c>
      <c r="AO1836" s="2">
        <f t="shared" ca="1" si="1775"/>
        <v>35816.952947788981</v>
      </c>
      <c r="AP1836" s="2">
        <f t="shared" ca="1" si="1776"/>
        <v>2280561.3714538915</v>
      </c>
      <c r="AQ1836" s="2">
        <f t="shared" ca="1" si="1777"/>
        <v>783129.60428665986</v>
      </c>
      <c r="AR1836" s="2">
        <f t="shared" ca="1" si="1778"/>
        <v>902875.67401872342</v>
      </c>
      <c r="AS1836" s="2">
        <f t="shared" ca="1" si="1779"/>
        <v>993399.45390424097</v>
      </c>
      <c r="AT1836" s="2">
        <f t="shared" ca="1" si="1780"/>
        <v>1089401.5305045163</v>
      </c>
      <c r="AU1836" s="2">
        <f t="shared" ca="1" si="1781"/>
        <v>1191213.4380852734</v>
      </c>
      <c r="AV1836" s="2">
        <f t="shared" ca="1" si="1782"/>
        <v>2228907.3352774167</v>
      </c>
      <c r="AW1836" s="2">
        <f t="shared" ca="1" si="1783"/>
        <v>2539694.4922934668</v>
      </c>
      <c r="AX1836" s="2">
        <f t="shared" ca="1" si="1784"/>
        <v>2795521.8340814076</v>
      </c>
      <c r="AY1836" s="2">
        <f t="shared" ca="1" si="1785"/>
        <v>3066831.2744718874</v>
      </c>
      <c r="AZ1836" s="2">
        <f t="shared" ca="1" si="1786"/>
        <v>3354559.7554487577</v>
      </c>
      <c r="BA1836" s="2">
        <f t="shared" ca="1" si="1787"/>
        <v>55773104.922385298</v>
      </c>
      <c r="BB1836" s="2">
        <f t="shared" ca="1" si="1788"/>
        <v>1115462.0984477061</v>
      </c>
      <c r="BC1836" s="2">
        <f t="shared" ca="1" si="1789"/>
        <v>29318072.030005462</v>
      </c>
      <c r="BD1836" s="2">
        <f t="shared" ca="1" si="1790"/>
        <v>-18448862.645701922</v>
      </c>
      <c r="BE1836" s="2">
        <f t="shared" ca="1" si="1791"/>
        <v>2228907.3352774167</v>
      </c>
      <c r="BF1836" s="2">
        <f t="shared" ca="1" si="1792"/>
        <v>2539694.4922934668</v>
      </c>
      <c r="BG1836" s="2">
        <f t="shared" ca="1" si="1793"/>
        <v>2795521.8340814076</v>
      </c>
      <c r="BH1836" s="2">
        <f t="shared" ca="1" si="1794"/>
        <v>3066831.2744718874</v>
      </c>
      <c r="BI1836" s="2">
        <f t="shared" ca="1" si="1795"/>
        <v>32672631.785454221</v>
      </c>
      <c r="BJ1836" s="2">
        <f t="shared" ca="1" si="1796"/>
        <v>0.22156862178771508</v>
      </c>
      <c r="BK1836" s="2">
        <f t="shared" ca="1" si="1797"/>
        <v>8044014.7537199259</v>
      </c>
    </row>
    <row r="1837" spans="1:63" x14ac:dyDescent="0.3">
      <c r="A1837" s="2">
        <v>1836</v>
      </c>
      <c r="B1837" s="2">
        <f t="shared" ca="1" si="1736"/>
        <v>0.34264301713478873</v>
      </c>
      <c r="C1837" s="2">
        <f t="shared" ca="1" si="1737"/>
        <v>6.8278200494488992</v>
      </c>
      <c r="D1837" s="2">
        <f t="shared" ca="1" si="1738"/>
        <v>0.57848227834526356</v>
      </c>
      <c r="E1837" s="2">
        <f t="shared" ca="1" si="1739"/>
        <v>7.5818303842374917</v>
      </c>
      <c r="F1837" s="2">
        <f t="shared" ca="1" si="1740"/>
        <v>0.11101482030632359</v>
      </c>
      <c r="G1837" s="2">
        <f t="shared" ca="1" si="1741"/>
        <v>3.3655324293176483E-3</v>
      </c>
      <c r="H1837" s="2">
        <f t="shared" ca="1" si="1742"/>
        <v>3.3655324293176483E-3</v>
      </c>
      <c r="I1837" s="2">
        <f t="shared" ca="1" si="1743"/>
        <v>0.80671641868728738</v>
      </c>
      <c r="J1837" s="2">
        <f t="shared" ca="1" si="1744"/>
        <v>1.4329297979388152E-2</v>
      </c>
      <c r="K1837" s="2">
        <f t="shared" ca="1" si="1745"/>
        <v>1.4329297979388152E-2</v>
      </c>
      <c r="L1837" s="2">
        <f t="shared" ca="1" si="1746"/>
        <v>0.77801898598088959</v>
      </c>
      <c r="M1837" s="2">
        <f t="shared" ca="1" si="1747"/>
        <v>1.5310397770672564E-2</v>
      </c>
      <c r="N1837" s="2">
        <f t="shared" ca="1" si="1748"/>
        <v>1.5310397770672564E-2</v>
      </c>
      <c r="O1837" s="2">
        <f t="shared" si="1749"/>
        <v>6000000</v>
      </c>
      <c r="P1837" s="2">
        <f t="shared" ca="1" si="1750"/>
        <v>40966920.296693392</v>
      </c>
      <c r="Q1837" s="2">
        <f t="shared" ca="1" si="1751"/>
        <v>1024173.0074173348</v>
      </c>
      <c r="R1837" s="2">
        <f t="shared" ca="1" si="1752"/>
        <v>24580152.178016033</v>
      </c>
      <c r="S1837" s="2">
        <f t="shared" ca="1" si="1753"/>
        <v>16386768.118677357</v>
      </c>
      <c r="T1837" s="2">
        <f t="shared" ca="1" si="1754"/>
        <v>50765519.888533629</v>
      </c>
      <c r="U1837" s="2">
        <f t="shared" ca="1" si="1755"/>
        <v>50936372.892009653</v>
      </c>
      <c r="V1837" s="2">
        <f t="shared" ca="1" si="1756"/>
        <v>51107800.906809524</v>
      </c>
      <c r="W1837" s="2">
        <f t="shared" ca="1" si="1757"/>
        <v>51279805.868152499</v>
      </c>
      <c r="X1837" s="2">
        <f t="shared" ca="1" si="1758"/>
        <v>51452389.717770875</v>
      </c>
      <c r="Y1837" s="2">
        <f t="shared" ca="1" si="1759"/>
        <v>0.12716464898969407</v>
      </c>
      <c r="Z1837" s="2">
        <f t="shared" ca="1" si="1760"/>
        <v>0.13003050858557169</v>
      </c>
      <c r="AA1837" s="2">
        <f t="shared" ca="1" si="1761"/>
        <v>6455579.5174047118</v>
      </c>
      <c r="AB1837" s="2">
        <f t="shared" ca="1" si="1762"/>
        <v>6623282.4726523422</v>
      </c>
      <c r="AC1837" s="2">
        <f t="shared" ca="1" si="1763"/>
        <v>6645573.3446025848</v>
      </c>
      <c r="AD1837" s="2">
        <f t="shared" ca="1" si="1764"/>
        <v>6667939.237205253</v>
      </c>
      <c r="AE1837" s="2">
        <f t="shared" ca="1" si="1765"/>
        <v>6690380.4029447865</v>
      </c>
      <c r="AF1837" s="2">
        <f t="shared" ca="1" si="1766"/>
        <v>1015310.3977706726</v>
      </c>
      <c r="AG1837" s="2">
        <f t="shared" ca="1" si="1767"/>
        <v>1018727.4578401931</v>
      </c>
      <c r="AH1837" s="2">
        <f t="shared" ca="1" si="1768"/>
        <v>1022156.0181361905</v>
      </c>
      <c r="AI1837" s="2">
        <f t="shared" ca="1" si="1769"/>
        <v>1025596.11736305</v>
      </c>
      <c r="AJ1837" s="2">
        <f t="shared" ca="1" si="1770"/>
        <v>1029047.7943554175</v>
      </c>
      <c r="AK1837" s="2">
        <f t="shared" ca="1" si="1771"/>
        <v>0</v>
      </c>
      <c r="AL1837" s="2">
        <f t="shared" ca="1" si="1772"/>
        <v>1708.5300347602367</v>
      </c>
      <c r="AM1837" s="2">
        <f t="shared" ca="1" si="1773"/>
        <v>1714.2801479987056</v>
      </c>
      <c r="AN1837" s="2">
        <f t="shared" ca="1" si="1774"/>
        <v>1720.049613429755</v>
      </c>
      <c r="AO1837" s="2">
        <f t="shared" ca="1" si="1775"/>
        <v>1725.838496183753</v>
      </c>
      <c r="AP1837" s="2">
        <f t="shared" ca="1" si="1776"/>
        <v>2212213.6960214428</v>
      </c>
      <c r="AQ1837" s="2">
        <f t="shared" ca="1" si="1777"/>
        <v>839294.41013927525</v>
      </c>
      <c r="AR1837" s="2">
        <f t="shared" ca="1" si="1778"/>
        <v>882008.74288558366</v>
      </c>
      <c r="AS1837" s="2">
        <f t="shared" ca="1" si="1779"/>
        <v>886912.9439156875</v>
      </c>
      <c r="AT1837" s="2">
        <f t="shared" ca="1" si="1780"/>
        <v>891833.65019339777</v>
      </c>
      <c r="AU1837" s="2">
        <f t="shared" ca="1" si="1781"/>
        <v>896770.91726766084</v>
      </c>
      <c r="AV1837" s="2">
        <f t="shared" ca="1" si="1782"/>
        <v>2388761.0134733212</v>
      </c>
      <c r="AW1837" s="2">
        <f t="shared" ca="1" si="1783"/>
        <v>2508624.0458703623</v>
      </c>
      <c r="AX1837" s="2">
        <f t="shared" ca="1" si="1784"/>
        <v>2522576.4063812657</v>
      </c>
      <c r="AY1837" s="2">
        <f t="shared" ca="1" si="1785"/>
        <v>2536575.7240139325</v>
      </c>
      <c r="AZ1837" s="2">
        <f t="shared" ca="1" si="1786"/>
        <v>2550622.1568040815</v>
      </c>
      <c r="BA1837" s="2">
        <f t="shared" ca="1" si="1787"/>
        <v>50725329.421153858</v>
      </c>
      <c r="BB1837" s="2">
        <f t="shared" ca="1" si="1788"/>
        <v>1014506.5884230771</v>
      </c>
      <c r="BC1837" s="2">
        <f t="shared" ca="1" si="1789"/>
        <v>25130670.654714748</v>
      </c>
      <c r="BD1837" s="2">
        <f t="shared" ca="1" si="1790"/>
        <v>-17910941.126094691</v>
      </c>
      <c r="BE1837" s="2">
        <f t="shared" ca="1" si="1791"/>
        <v>2388761.0134733212</v>
      </c>
      <c r="BF1837" s="2">
        <f t="shared" ca="1" si="1792"/>
        <v>2508624.0458703623</v>
      </c>
      <c r="BG1837" s="2">
        <f t="shared" ca="1" si="1793"/>
        <v>2522576.4063812657</v>
      </c>
      <c r="BH1837" s="2">
        <f t="shared" ca="1" si="1794"/>
        <v>2536575.7240139325</v>
      </c>
      <c r="BI1837" s="2">
        <f t="shared" ca="1" si="1795"/>
        <v>27681292.811518829</v>
      </c>
      <c r="BJ1837" s="2">
        <f t="shared" ca="1" si="1796"/>
        <v>0.19377059955983111</v>
      </c>
      <c r="BK1837" s="2">
        <f t="shared" ca="1" si="1797"/>
        <v>5336409.6695907414</v>
      </c>
    </row>
    <row r="1838" spans="1:63" x14ac:dyDescent="0.3">
      <c r="A1838" s="2">
        <v>1837</v>
      </c>
      <c r="B1838" s="2">
        <f t="shared" ca="1" si="1736"/>
        <v>0.87402123925213315</v>
      </c>
      <c r="C1838" s="2">
        <f t="shared" ca="1" si="1737"/>
        <v>7.4980462954656737</v>
      </c>
      <c r="D1838" s="2">
        <f t="shared" ca="1" si="1738"/>
        <v>0.82408395393743805</v>
      </c>
      <c r="E1838" s="2">
        <f t="shared" ca="1" si="1739"/>
        <v>7.9068456422438391</v>
      </c>
      <c r="F1838" s="2">
        <f t="shared" ca="1" si="1740"/>
        <v>0.57741995229834053</v>
      </c>
      <c r="G1838" s="2">
        <f t="shared" ca="1" si="1741"/>
        <v>4.5858923417185948E-2</v>
      </c>
      <c r="H1838" s="2">
        <f t="shared" ca="1" si="1742"/>
        <v>4.5858923417185948E-2</v>
      </c>
      <c r="I1838" s="2">
        <f t="shared" ca="1" si="1743"/>
        <v>0.6470151649802548</v>
      </c>
      <c r="J1838" s="2">
        <f t="shared" ca="1" si="1744"/>
        <v>1.1886372166566336E-2</v>
      </c>
      <c r="K1838" s="2">
        <f t="shared" ca="1" si="1745"/>
        <v>1.1886372166566336E-2</v>
      </c>
      <c r="L1838" s="2">
        <f t="shared" ca="1" si="1746"/>
        <v>0.63865295616263107</v>
      </c>
      <c r="M1838" s="2">
        <f t="shared" ca="1" si="1747"/>
        <v>7.0972103695930277E-3</v>
      </c>
      <c r="N1838" s="2">
        <f t="shared" ca="1" si="1748"/>
        <v>7.0972103695930277E-3</v>
      </c>
      <c r="O1838" s="2">
        <f t="shared" si="1749"/>
        <v>6000000</v>
      </c>
      <c r="P1838" s="2">
        <f t="shared" ca="1" si="1750"/>
        <v>44988277.772794046</v>
      </c>
      <c r="Q1838" s="2">
        <f t="shared" ca="1" si="1751"/>
        <v>1124706.9443198512</v>
      </c>
      <c r="R1838" s="2">
        <f t="shared" ca="1" si="1752"/>
        <v>26992966.663676426</v>
      </c>
      <c r="S1838" s="2">
        <f t="shared" ca="1" si="1753"/>
        <v>17995311.10911762</v>
      </c>
      <c r="T1838" s="2">
        <f t="shared" ca="1" si="1754"/>
        <v>50354860.518479653</v>
      </c>
      <c r="U1838" s="2">
        <f t="shared" ca="1" si="1755"/>
        <v>52664080.210679695</v>
      </c>
      <c r="V1838" s="2">
        <f t="shared" ca="1" si="1756"/>
        <v>55079198.231897794</v>
      </c>
      <c r="W1838" s="2">
        <f t="shared" ca="1" si="1757"/>
        <v>57605070.965494402</v>
      </c>
      <c r="X1838" s="2">
        <f t="shared" ca="1" si="1758"/>
        <v>60246777.503342576</v>
      </c>
      <c r="Y1838" s="2">
        <f t="shared" ca="1" si="1759"/>
        <v>0.12594318608328317</v>
      </c>
      <c r="Z1838" s="2">
        <f t="shared" ca="1" si="1760"/>
        <v>0.12832046051659643</v>
      </c>
      <c r="AA1838" s="2">
        <f t="shared" ca="1" si="1761"/>
        <v>6341851.5684766518</v>
      </c>
      <c r="AB1838" s="2">
        <f t="shared" ca="1" si="1762"/>
        <v>6757879.0253173914</v>
      </c>
      <c r="AC1838" s="2">
        <f t="shared" ca="1" si="1763"/>
        <v>7067788.0820020288</v>
      </c>
      <c r="AD1838" s="2">
        <f t="shared" ca="1" si="1764"/>
        <v>7391909.2343834601</v>
      </c>
      <c r="AE1838" s="2">
        <f t="shared" ca="1" si="1765"/>
        <v>7730894.2338698413</v>
      </c>
      <c r="AF1838" s="2">
        <f t="shared" ca="1" si="1766"/>
        <v>1007097.2103695931</v>
      </c>
      <c r="AG1838" s="2">
        <f t="shared" ca="1" si="1767"/>
        <v>1053281.604213594</v>
      </c>
      <c r="AH1838" s="2">
        <f t="shared" ca="1" si="1768"/>
        <v>1101583.9646379559</v>
      </c>
      <c r="AI1838" s="2">
        <f t="shared" ca="1" si="1769"/>
        <v>1152101.419309888</v>
      </c>
      <c r="AJ1838" s="2">
        <f t="shared" ca="1" si="1770"/>
        <v>1204935.5500668515</v>
      </c>
      <c r="AK1838" s="2">
        <f t="shared" ca="1" si="1771"/>
        <v>0</v>
      </c>
      <c r="AL1838" s="2">
        <f t="shared" ca="1" si="1772"/>
        <v>23092.196922000425</v>
      </c>
      <c r="AM1838" s="2">
        <f t="shared" ca="1" si="1773"/>
        <v>24151.180212180989</v>
      </c>
      <c r="AN1838" s="2">
        <f t="shared" ca="1" si="1774"/>
        <v>25258.727335966079</v>
      </c>
      <c r="AO1838" s="2">
        <f t="shared" ca="1" si="1775"/>
        <v>26417.065378481748</v>
      </c>
      <c r="AP1838" s="2">
        <f t="shared" ca="1" si="1776"/>
        <v>2429366.999730878</v>
      </c>
      <c r="AQ1838" s="2">
        <f t="shared" ca="1" si="1777"/>
        <v>755400.71317780693</v>
      </c>
      <c r="AR1838" s="2">
        <f t="shared" ca="1" si="1778"/>
        <v>851559.90955695917</v>
      </c>
      <c r="AS1838" s="2">
        <f t="shared" ca="1" si="1779"/>
        <v>919577.65058463078</v>
      </c>
      <c r="AT1838" s="2">
        <f t="shared" ca="1" si="1780"/>
        <v>990714.61198910046</v>
      </c>
      <c r="AU1838" s="2">
        <f t="shared" ca="1" si="1781"/>
        <v>1065113.8378587493</v>
      </c>
      <c r="AV1838" s="2">
        <f t="shared" ca="1" si="1782"/>
        <v>2149986.6451983736</v>
      </c>
      <c r="AW1838" s="2">
        <f t="shared" ca="1" si="1783"/>
        <v>2400578.3148939605</v>
      </c>
      <c r="AX1838" s="2">
        <f t="shared" ca="1" si="1784"/>
        <v>2593108.2868363834</v>
      </c>
      <c r="AY1838" s="2">
        <f t="shared" ca="1" si="1785"/>
        <v>2794467.4760176274</v>
      </c>
      <c r="AZ1838" s="2">
        <f t="shared" ca="1" si="1786"/>
        <v>3005060.7808348811</v>
      </c>
      <c r="BA1838" s="2">
        <f t="shared" ca="1" si="1787"/>
        <v>61126987.383721776</v>
      </c>
      <c r="BB1838" s="2">
        <f t="shared" ca="1" si="1788"/>
        <v>1222539.7476744356</v>
      </c>
      <c r="BC1838" s="2">
        <f t="shared" ca="1" si="1789"/>
        <v>32911480.972370915</v>
      </c>
      <c r="BD1838" s="2">
        <f t="shared" ca="1" si="1790"/>
        <v>-19620018.053437471</v>
      </c>
      <c r="BE1838" s="2">
        <f t="shared" ca="1" si="1791"/>
        <v>2149986.6451983736</v>
      </c>
      <c r="BF1838" s="2">
        <f t="shared" ca="1" si="1792"/>
        <v>2400578.3148939605</v>
      </c>
      <c r="BG1838" s="2">
        <f t="shared" ca="1" si="1793"/>
        <v>2593108.2868363834</v>
      </c>
      <c r="BH1838" s="2">
        <f t="shared" ca="1" si="1794"/>
        <v>2794467.4760176274</v>
      </c>
      <c r="BI1838" s="2">
        <f t="shared" ca="1" si="1795"/>
        <v>35916541.753205799</v>
      </c>
      <c r="BJ1838" s="2">
        <f t="shared" ca="1" si="1796"/>
        <v>0.21601390995621594</v>
      </c>
      <c r="BK1838" s="2">
        <f t="shared" ca="1" si="1797"/>
        <v>8215007.4298328534</v>
      </c>
    </row>
    <row r="1839" spans="1:63" x14ac:dyDescent="0.3">
      <c r="A1839" s="2">
        <v>1838</v>
      </c>
      <c r="B1839" s="2">
        <f t="shared" ca="1" si="1736"/>
        <v>0.79182570580782785</v>
      </c>
      <c r="C1839" s="2">
        <f t="shared" ca="1" si="1737"/>
        <v>7.354749205049429</v>
      </c>
      <c r="D1839" s="2">
        <f t="shared" ca="1" si="1738"/>
        <v>0.21502201659926046</v>
      </c>
      <c r="E1839" s="2">
        <f t="shared" ca="1" si="1739"/>
        <v>7.1557774265698084</v>
      </c>
      <c r="F1839" s="2">
        <f t="shared" ca="1" si="1740"/>
        <v>0.18816237672392933</v>
      </c>
      <c r="G1839" s="2">
        <f t="shared" ca="1" si="1741"/>
        <v>1.3459350206922644E-2</v>
      </c>
      <c r="H1839" s="2">
        <f t="shared" ca="1" si="1742"/>
        <v>1.3459350206922644E-2</v>
      </c>
      <c r="I1839" s="2">
        <f t="shared" ca="1" si="1743"/>
        <v>0.82482646647320401</v>
      </c>
      <c r="J1839" s="2">
        <f t="shared" ca="1" si="1744"/>
        <v>1.4669581528823292E-2</v>
      </c>
      <c r="K1839" s="2">
        <f t="shared" ca="1" si="1745"/>
        <v>1.4669581528823292E-2</v>
      </c>
      <c r="L1839" s="2">
        <f t="shared" ca="1" si="1746"/>
        <v>0.35376567521168545</v>
      </c>
      <c r="M1839" s="2">
        <f t="shared" ca="1" si="1747"/>
        <v>-7.5034723320223304E-3</v>
      </c>
      <c r="N1839" s="2">
        <f t="shared" ca="1" si="1748"/>
        <v>-7.5034723320223304E-3</v>
      </c>
      <c r="O1839" s="2">
        <f t="shared" si="1749"/>
        <v>6000000</v>
      </c>
      <c r="P1839" s="2">
        <f t="shared" ca="1" si="1750"/>
        <v>44128495.230296575</v>
      </c>
      <c r="Q1839" s="2">
        <f t="shared" ca="1" si="1751"/>
        <v>1103212.3807574145</v>
      </c>
      <c r="R1839" s="2">
        <f t="shared" ca="1" si="1752"/>
        <v>26477097.138177942</v>
      </c>
      <c r="S1839" s="2">
        <f t="shared" ca="1" si="1753"/>
        <v>17651398.092118632</v>
      </c>
      <c r="T1839" s="2">
        <f t="shared" ca="1" si="1754"/>
        <v>49624826.383398883</v>
      </c>
      <c r="U1839" s="2">
        <f t="shared" ca="1" si="1755"/>
        <v>50292744.300650783</v>
      </c>
      <c r="V1839" s="2">
        <f t="shared" ca="1" si="1756"/>
        <v>50969651.959060453</v>
      </c>
      <c r="W1839" s="2">
        <f t="shared" ca="1" si="1757"/>
        <v>51655670.354702413</v>
      </c>
      <c r="X1839" s="2">
        <f t="shared" ca="1" si="1758"/>
        <v>52350922.112179704</v>
      </c>
      <c r="Y1839" s="2">
        <f t="shared" ca="1" si="1759"/>
        <v>0.12733479076441165</v>
      </c>
      <c r="Z1839" s="2">
        <f t="shared" ca="1" si="1760"/>
        <v>0.13026870707017629</v>
      </c>
      <c r="AA1839" s="2">
        <f t="shared" ca="1" si="1761"/>
        <v>6318966.8842503512</v>
      </c>
      <c r="AB1839" s="2">
        <f t="shared" ca="1" si="1762"/>
        <v>6551570.7750567552</v>
      </c>
      <c r="AC1839" s="2">
        <f t="shared" ca="1" si="1763"/>
        <v>6639750.6605236838</v>
      </c>
      <c r="AD1839" s="2">
        <f t="shared" ca="1" si="1764"/>
        <v>6729117.3899503183</v>
      </c>
      <c r="AE1839" s="2">
        <f t="shared" ca="1" si="1765"/>
        <v>6819686.9374851529</v>
      </c>
      <c r="AF1839" s="2">
        <f t="shared" ca="1" si="1766"/>
        <v>992496.52766797773</v>
      </c>
      <c r="AG1839" s="2">
        <f t="shared" ca="1" si="1767"/>
        <v>1005854.8860130156</v>
      </c>
      <c r="AH1839" s="2">
        <f t="shared" ca="1" si="1768"/>
        <v>1019393.0391812091</v>
      </c>
      <c r="AI1839" s="2">
        <f t="shared" ca="1" si="1769"/>
        <v>1033113.4070940483</v>
      </c>
      <c r="AJ1839" s="2">
        <f t="shared" ca="1" si="1770"/>
        <v>1047018.4422435941</v>
      </c>
      <c r="AK1839" s="2">
        <f t="shared" ca="1" si="1771"/>
        <v>0</v>
      </c>
      <c r="AL1839" s="2">
        <f t="shared" ca="1" si="1772"/>
        <v>6679.1791725189987</v>
      </c>
      <c r="AM1839" s="2">
        <f t="shared" ca="1" si="1773"/>
        <v>6769.0765840966997</v>
      </c>
      <c r="AN1839" s="2">
        <f t="shared" ca="1" si="1774"/>
        <v>6860.1839564196025</v>
      </c>
      <c r="AO1839" s="2">
        <f t="shared" ca="1" si="1775"/>
        <v>6952.517574772909</v>
      </c>
      <c r="AP1839" s="2">
        <f t="shared" ca="1" si="1776"/>
        <v>2382938.7424360146</v>
      </c>
      <c r="AQ1839" s="2">
        <f t="shared" ca="1" si="1777"/>
        <v>765318.21967805328</v>
      </c>
      <c r="AR1839" s="2">
        <f t="shared" ca="1" si="1778"/>
        <v>822322.05811800843</v>
      </c>
      <c r="AS1839" s="2">
        <f t="shared" ca="1" si="1779"/>
        <v>841728.90851567965</v>
      </c>
      <c r="AT1839" s="2">
        <f t="shared" ca="1" si="1780"/>
        <v>861396.96250926645</v>
      </c>
      <c r="AU1839" s="2">
        <f t="shared" ca="1" si="1781"/>
        <v>881329.73572944163</v>
      </c>
      <c r="AV1839" s="2">
        <f t="shared" ca="1" si="1782"/>
        <v>2178213.3944683052</v>
      </c>
      <c r="AW1839" s="2">
        <f t="shared" ca="1" si="1783"/>
        <v>2333775.9093171977</v>
      </c>
      <c r="AX1839" s="2">
        <f t="shared" ca="1" si="1784"/>
        <v>2388920.8938066834</v>
      </c>
      <c r="AY1839" s="2">
        <f t="shared" ca="1" si="1785"/>
        <v>2444808.0939545692</v>
      </c>
      <c r="AZ1839" s="2">
        <f t="shared" ca="1" si="1786"/>
        <v>2501447.4995013294</v>
      </c>
      <c r="BA1839" s="2">
        <f t="shared" ca="1" si="1787"/>
        <v>48800161.843529247</v>
      </c>
      <c r="BB1839" s="2">
        <f t="shared" ca="1" si="1788"/>
        <v>976003.23687058501</v>
      </c>
      <c r="BC1839" s="2">
        <f t="shared" ca="1" si="1789"/>
        <v>21347061.468480721</v>
      </c>
      <c r="BD1839" s="2">
        <f t="shared" ca="1" si="1790"/>
        <v>-19254610.472876046</v>
      </c>
      <c r="BE1839" s="2">
        <f t="shared" ca="1" si="1791"/>
        <v>2178213.3944683052</v>
      </c>
      <c r="BF1839" s="2">
        <f t="shared" ca="1" si="1792"/>
        <v>2333775.9093171977</v>
      </c>
      <c r="BG1839" s="2">
        <f t="shared" ca="1" si="1793"/>
        <v>2388920.8938066834</v>
      </c>
      <c r="BH1839" s="2">
        <f t="shared" ca="1" si="1794"/>
        <v>2444808.0939545692</v>
      </c>
      <c r="BI1839" s="2">
        <f t="shared" ca="1" si="1795"/>
        <v>23848508.96798205</v>
      </c>
      <c r="BJ1839" s="2">
        <f t="shared" ca="1" si="1796"/>
        <v>0.13851595831601338</v>
      </c>
      <c r="BK1839" s="2">
        <f t="shared" ca="1" si="1797"/>
        <v>1337085.6865436286</v>
      </c>
    </row>
    <row r="1840" spans="1:63" x14ac:dyDescent="0.3">
      <c r="A1840" s="2">
        <v>1839</v>
      </c>
      <c r="B1840" s="2">
        <f t="shared" ca="1" si="1736"/>
        <v>0.82774105888240945</v>
      </c>
      <c r="C1840" s="2">
        <f t="shared" ca="1" si="1737"/>
        <v>7.4130435431523214</v>
      </c>
      <c r="D1840" s="2">
        <f t="shared" ca="1" si="1738"/>
        <v>0.24295073107705112</v>
      </c>
      <c r="E1840" s="2">
        <f t="shared" ca="1" si="1739"/>
        <v>7.1970663255057605</v>
      </c>
      <c r="F1840" s="2">
        <f t="shared" ca="1" si="1740"/>
        <v>0.49792234026884785</v>
      </c>
      <c r="G1840" s="2">
        <f t="shared" ca="1" si="1741"/>
        <v>3.984376167492075E-2</v>
      </c>
      <c r="H1840" s="2">
        <f t="shared" ca="1" si="1742"/>
        <v>3.984376167492075E-2</v>
      </c>
      <c r="I1840" s="2">
        <f t="shared" ca="1" si="1743"/>
        <v>0.21522467028087888</v>
      </c>
      <c r="J1840" s="2">
        <f t="shared" ca="1" si="1744"/>
        <v>6.0578851604609126E-3</v>
      </c>
      <c r="K1840" s="2">
        <f t="shared" ca="1" si="1745"/>
        <v>6.0578851604609126E-3</v>
      </c>
      <c r="L1840" s="2">
        <f t="shared" ca="1" si="1746"/>
        <v>0.30930885608993319</v>
      </c>
      <c r="M1840" s="2">
        <f t="shared" ca="1" si="1747"/>
        <v>-9.9562072279206631E-3</v>
      </c>
      <c r="N1840" s="2">
        <f t="shared" ca="1" si="1748"/>
        <v>-9.9562072279206631E-3</v>
      </c>
      <c r="O1840" s="2">
        <f t="shared" si="1749"/>
        <v>6000000</v>
      </c>
      <c r="P1840" s="2">
        <f t="shared" ca="1" si="1750"/>
        <v>44478261.258913927</v>
      </c>
      <c r="Q1840" s="2">
        <f t="shared" ca="1" si="1751"/>
        <v>1111956.5314728483</v>
      </c>
      <c r="R1840" s="2">
        <f t="shared" ca="1" si="1752"/>
        <v>26686956.755348355</v>
      </c>
      <c r="S1840" s="2">
        <f t="shared" ca="1" si="1753"/>
        <v>17791304.503565572</v>
      </c>
      <c r="T1840" s="2">
        <f t="shared" ca="1" si="1754"/>
        <v>49502189.638603963</v>
      </c>
      <c r="U1840" s="2">
        <f t="shared" ca="1" si="1755"/>
        <v>51474543.084951229</v>
      </c>
      <c r="V1840" s="2">
        <f t="shared" ca="1" si="1756"/>
        <v>53525482.511953466</v>
      </c>
      <c r="W1840" s="2">
        <f t="shared" ca="1" si="1757"/>
        <v>55658139.080694877</v>
      </c>
      <c r="X1840" s="2">
        <f t="shared" ca="1" si="1758"/>
        <v>57875768.709495679</v>
      </c>
      <c r="Y1840" s="2">
        <f t="shared" ca="1" si="1759"/>
        <v>0.12302894258023045</v>
      </c>
      <c r="Z1840" s="2">
        <f t="shared" ca="1" si="1760"/>
        <v>0.12424051961232263</v>
      </c>
      <c r="AA1840" s="2">
        <f t="shared" ca="1" si="1761"/>
        <v>6090202.0466434853</v>
      </c>
      <c r="AB1840" s="2">
        <f t="shared" ca="1" si="1762"/>
        <v>6395223.9796812292</v>
      </c>
      <c r="AC1840" s="2">
        <f t="shared" ca="1" si="1763"/>
        <v>6650033.7597853867</v>
      </c>
      <c r="AD1840" s="2">
        <f t="shared" ca="1" si="1764"/>
        <v>6914996.1200404521</v>
      </c>
      <c r="AE1840" s="2">
        <f t="shared" ca="1" si="1765"/>
        <v>7190515.577430346</v>
      </c>
      <c r="AF1840" s="2">
        <f t="shared" ca="1" si="1766"/>
        <v>990043.79277207924</v>
      </c>
      <c r="AG1840" s="2">
        <f t="shared" ca="1" si="1767"/>
        <v>1029490.8616990246</v>
      </c>
      <c r="AH1840" s="2">
        <f t="shared" ca="1" si="1768"/>
        <v>1070509.6502390692</v>
      </c>
      <c r="AI1840" s="2">
        <f t="shared" ca="1" si="1769"/>
        <v>1113162.7816138975</v>
      </c>
      <c r="AJ1840" s="2">
        <f t="shared" ca="1" si="1770"/>
        <v>1157515.3741899135</v>
      </c>
      <c r="AK1840" s="2">
        <f t="shared" ca="1" si="1771"/>
        <v>0</v>
      </c>
      <c r="AL1840" s="2">
        <f t="shared" ca="1" si="1772"/>
        <v>19723.534463472664</v>
      </c>
      <c r="AM1840" s="2">
        <f t="shared" ca="1" si="1773"/>
        <v>20509.394270022363</v>
      </c>
      <c r="AN1840" s="2">
        <f t="shared" ca="1" si="1774"/>
        <v>21326.56568741411</v>
      </c>
      <c r="AO1840" s="2">
        <f t="shared" ca="1" si="1775"/>
        <v>22176.296288008019</v>
      </c>
      <c r="AP1840" s="2">
        <f t="shared" ca="1" si="1776"/>
        <v>2401826.1079813517</v>
      </c>
      <c r="AQ1840" s="2">
        <f t="shared" ca="1" si="1777"/>
        <v>701566.35793141427</v>
      </c>
      <c r="AR1840" s="2">
        <f t="shared" ca="1" si="1778"/>
        <v>770615.82260022184</v>
      </c>
      <c r="AS1840" s="2">
        <f t="shared" ca="1" si="1779"/>
        <v>826201.48040689121</v>
      </c>
      <c r="AT1840" s="2">
        <f t="shared" ca="1" si="1780"/>
        <v>884001.8799157528</v>
      </c>
      <c r="AU1840" s="2">
        <f t="shared" ca="1" si="1781"/>
        <v>944105.26476736111</v>
      </c>
      <c r="AV1840" s="2">
        <f t="shared" ca="1" si="1782"/>
        <v>1996765.7879586401</v>
      </c>
      <c r="AW1840" s="2">
        <f t="shared" ca="1" si="1783"/>
        <v>2173567.6529371585</v>
      </c>
      <c r="AX1840" s="2">
        <f t="shared" ca="1" si="1784"/>
        <v>2330987.1268880521</v>
      </c>
      <c r="AY1840" s="2">
        <f t="shared" ca="1" si="1785"/>
        <v>2494678.7848420362</v>
      </c>
      <c r="AZ1840" s="2">
        <f t="shared" ca="1" si="1786"/>
        <v>2664892.5342037124</v>
      </c>
      <c r="BA1840" s="2">
        <f t="shared" ca="1" si="1787"/>
        <v>51750617.525348552</v>
      </c>
      <c r="BB1840" s="2">
        <f t="shared" ca="1" si="1788"/>
        <v>1035012.350506971</v>
      </c>
      <c r="BC1840" s="2">
        <f t="shared" ca="1" si="1789"/>
        <v>24028648.419493224</v>
      </c>
      <c r="BD1840" s="2">
        <f t="shared" ca="1" si="1790"/>
        <v>-19403261.035038419</v>
      </c>
      <c r="BE1840" s="2">
        <f t="shared" ca="1" si="1791"/>
        <v>1996765.7879586401</v>
      </c>
      <c r="BF1840" s="2">
        <f t="shared" ca="1" si="1792"/>
        <v>2173567.6529371585</v>
      </c>
      <c r="BG1840" s="2">
        <f t="shared" ca="1" si="1793"/>
        <v>2330987.1268880521</v>
      </c>
      <c r="BH1840" s="2">
        <f t="shared" ca="1" si="1794"/>
        <v>2494678.7848420362</v>
      </c>
      <c r="BI1840" s="2">
        <f t="shared" ca="1" si="1795"/>
        <v>26693540.953696936</v>
      </c>
      <c r="BJ1840" s="2">
        <f t="shared" ca="1" si="1796"/>
        <v>0.15293513925891378</v>
      </c>
      <c r="BK1840" s="2">
        <f t="shared" ca="1" si="1797"/>
        <v>2503516.4604759328</v>
      </c>
    </row>
    <row r="1841" spans="1:63" x14ac:dyDescent="0.3">
      <c r="A1841" s="2">
        <v>1840</v>
      </c>
      <c r="B1841" s="2">
        <f t="shared" ca="1" si="1736"/>
        <v>0.53175233576642655</v>
      </c>
      <c r="C1841" s="2">
        <f t="shared" ca="1" si="1737"/>
        <v>7.0322731126670366</v>
      </c>
      <c r="D1841" s="2">
        <f t="shared" ca="1" si="1738"/>
        <v>0.84576964205496052</v>
      </c>
      <c r="E1841" s="2">
        <f t="shared" ca="1" si="1739"/>
        <v>7.9446076018794649</v>
      </c>
      <c r="F1841" s="2">
        <f t="shared" ca="1" si="1740"/>
        <v>0.84125279912279305</v>
      </c>
      <c r="G1841" s="2">
        <f t="shared" ca="1" si="1741"/>
        <v>6.9988602404317868E-2</v>
      </c>
      <c r="H1841" s="2">
        <f t="shared" ca="1" si="1742"/>
        <v>6.9988602404317868E-2</v>
      </c>
      <c r="I1841" s="2">
        <f t="shared" ca="1" si="1743"/>
        <v>0.93078720273892934</v>
      </c>
      <c r="J1841" s="2">
        <f t="shared" ca="1" si="1744"/>
        <v>1.7408397495406517E-2</v>
      </c>
      <c r="K1841" s="2">
        <f t="shared" ca="1" si="1745"/>
        <v>1.7408397495406517E-2</v>
      </c>
      <c r="L1841" s="2">
        <f t="shared" ca="1" si="1746"/>
        <v>0.47585077633995931</v>
      </c>
      <c r="M1841" s="2">
        <f t="shared" ca="1" si="1747"/>
        <v>-1.2114028500692341E-3</v>
      </c>
      <c r="N1841" s="2">
        <f t="shared" ca="1" si="1748"/>
        <v>-1.2114028500692341E-3</v>
      </c>
      <c r="O1841" s="2">
        <f t="shared" si="1749"/>
        <v>6000000</v>
      </c>
      <c r="P1841" s="2">
        <f t="shared" ca="1" si="1750"/>
        <v>42193638.676002219</v>
      </c>
      <c r="Q1841" s="2">
        <f t="shared" ca="1" si="1751"/>
        <v>1054840.9669000555</v>
      </c>
      <c r="R1841" s="2">
        <f t="shared" ca="1" si="1752"/>
        <v>25316183.205601331</v>
      </c>
      <c r="S1841" s="2">
        <f t="shared" ca="1" si="1753"/>
        <v>16877455.470400888</v>
      </c>
      <c r="T1841" s="2">
        <f t="shared" ca="1" si="1754"/>
        <v>49939429.857496537</v>
      </c>
      <c r="U1841" s="2">
        <f t="shared" ca="1" si="1755"/>
        <v>53434620.758091189</v>
      </c>
      <c r="V1841" s="2">
        <f t="shared" ca="1" si="1756"/>
        <v>57174435.184954748</v>
      </c>
      <c r="W1841" s="2">
        <f t="shared" ca="1" si="1757"/>
        <v>61175993.996805988</v>
      </c>
      <c r="X1841" s="2">
        <f t="shared" ca="1" si="1758"/>
        <v>65457616.317337386</v>
      </c>
      <c r="Y1841" s="2">
        <f t="shared" ca="1" si="1759"/>
        <v>0.12870419874770325</v>
      </c>
      <c r="Z1841" s="2">
        <f t="shared" ca="1" si="1760"/>
        <v>0.13218587824678454</v>
      </c>
      <c r="AA1841" s="2">
        <f t="shared" ca="1" si="1761"/>
        <v>6427414.3057262199</v>
      </c>
      <c r="AB1841" s="2">
        <f t="shared" ca="1" si="1762"/>
        <v>7063302.2736921478</v>
      </c>
      <c r="AC1841" s="2">
        <f t="shared" ca="1" si="1763"/>
        <v>7557652.928187103</v>
      </c>
      <c r="AD1841" s="2">
        <f t="shared" ca="1" si="1764"/>
        <v>8086602.4940878181</v>
      </c>
      <c r="AE1841" s="2">
        <f t="shared" ca="1" si="1765"/>
        <v>8652572.500848297</v>
      </c>
      <c r="AF1841" s="2">
        <f t="shared" ca="1" si="1766"/>
        <v>998788.59714993078</v>
      </c>
      <c r="AG1841" s="2">
        <f t="shared" ca="1" si="1767"/>
        <v>1068692.4151618239</v>
      </c>
      <c r="AH1841" s="2">
        <f t="shared" ca="1" si="1768"/>
        <v>1143488.7036990949</v>
      </c>
      <c r="AI1841" s="2">
        <f t="shared" ca="1" si="1769"/>
        <v>1223519.8799361198</v>
      </c>
      <c r="AJ1841" s="2">
        <f t="shared" ca="1" si="1770"/>
        <v>1309152.3263467478</v>
      </c>
      <c r="AK1841" s="2">
        <f t="shared" ca="1" si="1771"/>
        <v>0</v>
      </c>
      <c r="AL1841" s="2">
        <f t="shared" ca="1" si="1772"/>
        <v>34951.909005946516</v>
      </c>
      <c r="AM1841" s="2">
        <f t="shared" ca="1" si="1773"/>
        <v>37398.144268635588</v>
      </c>
      <c r="AN1841" s="2">
        <f t="shared" ca="1" si="1774"/>
        <v>40015.588118512409</v>
      </c>
      <c r="AO1841" s="2">
        <f t="shared" ca="1" si="1775"/>
        <v>42816.223205313981</v>
      </c>
      <c r="AP1841" s="2">
        <f t="shared" ca="1" si="1776"/>
        <v>2278456.4885041197</v>
      </c>
      <c r="AQ1841" s="2">
        <f t="shared" ca="1" si="1777"/>
        <v>819043.99721876404</v>
      </c>
      <c r="AR1841" s="2">
        <f t="shared" ca="1" si="1778"/>
        <v>966199.87620681315</v>
      </c>
      <c r="AS1841" s="2">
        <f t="shared" ca="1" si="1779"/>
        <v>1075284.011355811</v>
      </c>
      <c r="AT1841" s="2">
        <f t="shared" ca="1" si="1780"/>
        <v>1192002.7926683705</v>
      </c>
      <c r="AU1841" s="2">
        <f t="shared" ca="1" si="1781"/>
        <v>1316890.5583593319</v>
      </c>
      <c r="AV1841" s="2">
        <f t="shared" ca="1" si="1782"/>
        <v>2331125.2228534049</v>
      </c>
      <c r="AW1841" s="2">
        <f t="shared" ca="1" si="1783"/>
        <v>2715001.5848134444</v>
      </c>
      <c r="AX1841" s="2">
        <f t="shared" ca="1" si="1784"/>
        <v>3023025.5803594417</v>
      </c>
      <c r="AY1841" s="2">
        <f t="shared" ca="1" si="1785"/>
        <v>3352607.7448606961</v>
      </c>
      <c r="AZ1841" s="2">
        <f t="shared" ca="1" si="1786"/>
        <v>3705256.9044327843</v>
      </c>
      <c r="BA1841" s="2">
        <f t="shared" ca="1" si="1787"/>
        <v>68741293.266052589</v>
      </c>
      <c r="BB1841" s="2">
        <f t="shared" ca="1" si="1788"/>
        <v>1374825.8653210518</v>
      </c>
      <c r="BC1841" s="2">
        <f t="shared" ca="1" si="1789"/>
        <v>42050284.195130199</v>
      </c>
      <c r="BD1841" s="2">
        <f t="shared" ca="1" si="1790"/>
        <v>-18432296.437300943</v>
      </c>
      <c r="BE1841" s="2">
        <f t="shared" ca="1" si="1791"/>
        <v>2331125.2228534049</v>
      </c>
      <c r="BF1841" s="2">
        <f t="shared" ca="1" si="1792"/>
        <v>2715001.5848134444</v>
      </c>
      <c r="BG1841" s="2">
        <f t="shared" ca="1" si="1793"/>
        <v>3023025.5803594417</v>
      </c>
      <c r="BH1841" s="2">
        <f t="shared" ca="1" si="1794"/>
        <v>3352607.7448606961</v>
      </c>
      <c r="BI1841" s="2">
        <f t="shared" ca="1" si="1795"/>
        <v>45755541.09956298</v>
      </c>
      <c r="BJ1841" s="2">
        <f t="shared" ca="1" si="1796"/>
        <v>0.29726791749009407</v>
      </c>
      <c r="BK1841" s="2">
        <f t="shared" ca="1" si="1797"/>
        <v>16058743.555994466</v>
      </c>
    </row>
    <row r="1842" spans="1:63" x14ac:dyDescent="0.3">
      <c r="A1842" s="2">
        <v>1841</v>
      </c>
      <c r="B1842" s="2">
        <f t="shared" ca="1" si="1736"/>
        <v>0.71223682654339016</v>
      </c>
      <c r="C1842" s="2">
        <f t="shared" ca="1" si="1737"/>
        <v>7.2413654721058238</v>
      </c>
      <c r="D1842" s="2">
        <f t="shared" ca="1" si="1738"/>
        <v>0.47147710765373585</v>
      </c>
      <c r="E1842" s="2">
        <f t="shared" ca="1" si="1739"/>
        <v>7.471058296554574</v>
      </c>
      <c r="F1842" s="2">
        <f t="shared" ca="1" si="1740"/>
        <v>0.45813111091154324</v>
      </c>
      <c r="G1842" s="2">
        <f t="shared" ca="1" si="1741"/>
        <v>3.6845705557973021E-2</v>
      </c>
      <c r="H1842" s="2">
        <f t="shared" ca="1" si="1742"/>
        <v>3.6845705557973021E-2</v>
      </c>
      <c r="I1842" s="2">
        <f t="shared" ca="1" si="1743"/>
        <v>0.47335248469364577</v>
      </c>
      <c r="J1842" s="2">
        <f t="shared" ca="1" si="1744"/>
        <v>9.6657741879769016E-3</v>
      </c>
      <c r="K1842" s="2">
        <f t="shared" ca="1" si="1745"/>
        <v>9.6657741879769016E-3</v>
      </c>
      <c r="L1842" s="2">
        <f t="shared" ca="1" si="1746"/>
        <v>0.75040487865713745</v>
      </c>
      <c r="M1842" s="2">
        <f t="shared" ca="1" si="1747"/>
        <v>1.3515287936437716E-2</v>
      </c>
      <c r="N1842" s="2">
        <f t="shared" ca="1" si="1748"/>
        <v>1.3515287936437716E-2</v>
      </c>
      <c r="O1842" s="2">
        <f t="shared" si="1749"/>
        <v>6000000</v>
      </c>
      <c r="P1842" s="2">
        <f t="shared" ca="1" si="1750"/>
        <v>43448192.832634941</v>
      </c>
      <c r="Q1842" s="2">
        <f t="shared" ca="1" si="1751"/>
        <v>1086204.8208158736</v>
      </c>
      <c r="R1842" s="2">
        <f t="shared" ca="1" si="1752"/>
        <v>26068915.699580964</v>
      </c>
      <c r="S1842" s="2">
        <f t="shared" ca="1" si="1753"/>
        <v>17379277.133053977</v>
      </c>
      <c r="T1842" s="2">
        <f t="shared" ca="1" si="1754"/>
        <v>50675764.396821886</v>
      </c>
      <c r="U1842" s="2">
        <f t="shared" ca="1" si="1755"/>
        <v>52542948.690712392</v>
      </c>
      <c r="V1842" s="2">
        <f t="shared" ca="1" si="1756"/>
        <v>54478930.70731806</v>
      </c>
      <c r="W1842" s="2">
        <f t="shared" ca="1" si="1757"/>
        <v>56486245.347273111</v>
      </c>
      <c r="X1842" s="2">
        <f t="shared" ca="1" si="1758"/>
        <v>58567520.911414154</v>
      </c>
      <c r="Y1842" s="2">
        <f t="shared" ca="1" si="1759"/>
        <v>0.12483288709398845</v>
      </c>
      <c r="Z1842" s="2">
        <f t="shared" ca="1" si="1760"/>
        <v>0.12676604193158383</v>
      </c>
      <c r="AA1842" s="2">
        <f t="shared" ca="1" si="1761"/>
        <v>6326001.975350026</v>
      </c>
      <c r="AB1842" s="2">
        <f t="shared" ca="1" si="1762"/>
        <v>6660661.6369359046</v>
      </c>
      <c r="AC1842" s="2">
        <f t="shared" ca="1" si="1763"/>
        <v>6906078.4144317312</v>
      </c>
      <c r="AD1842" s="2">
        <f t="shared" ca="1" si="1764"/>
        <v>7160537.7462501554</v>
      </c>
      <c r="AE1842" s="2">
        <f t="shared" ca="1" si="1765"/>
        <v>7424372.8116852399</v>
      </c>
      <c r="AF1842" s="2">
        <f t="shared" ca="1" si="1766"/>
        <v>1013515.2879364378</v>
      </c>
      <c r="AG1842" s="2">
        <f t="shared" ca="1" si="1767"/>
        <v>1050858.9738142479</v>
      </c>
      <c r="AH1842" s="2">
        <f t="shared" ca="1" si="1768"/>
        <v>1089578.6141463611</v>
      </c>
      <c r="AI1842" s="2">
        <f t="shared" ca="1" si="1769"/>
        <v>1129724.9069454623</v>
      </c>
      <c r="AJ1842" s="2">
        <f t="shared" ca="1" si="1770"/>
        <v>1171350.4182282831</v>
      </c>
      <c r="AK1842" s="2">
        <f t="shared" ca="1" si="1771"/>
        <v>0</v>
      </c>
      <c r="AL1842" s="2">
        <f t="shared" ca="1" si="1772"/>
        <v>18671.842938905062</v>
      </c>
      <c r="AM1842" s="2">
        <f t="shared" ca="1" si="1773"/>
        <v>19359.820166056677</v>
      </c>
      <c r="AN1842" s="2">
        <f t="shared" ca="1" si="1774"/>
        <v>20073.146399550515</v>
      </c>
      <c r="AO1842" s="2">
        <f t="shared" ca="1" si="1775"/>
        <v>20812.755641410426</v>
      </c>
      <c r="AP1842" s="2">
        <f t="shared" ca="1" si="1776"/>
        <v>2346202.4129622867</v>
      </c>
      <c r="AQ1842" s="2">
        <f t="shared" ca="1" si="1777"/>
        <v>771233.91135733842</v>
      </c>
      <c r="AR1842" s="2">
        <f t="shared" ca="1" si="1778"/>
        <v>848536.06504143612</v>
      </c>
      <c r="AS1842" s="2">
        <f t="shared" ca="1" si="1779"/>
        <v>902277.3207040017</v>
      </c>
      <c r="AT1842" s="2">
        <f t="shared" ca="1" si="1780"/>
        <v>957998.71084902564</v>
      </c>
      <c r="AU1842" s="2">
        <f t="shared" ca="1" si="1781"/>
        <v>1015773.1949286142</v>
      </c>
      <c r="AV1842" s="2">
        <f t="shared" ca="1" si="1782"/>
        <v>2195050.3630939629</v>
      </c>
      <c r="AW1842" s="2">
        <f t="shared" ca="1" si="1783"/>
        <v>2396392.3421790292</v>
      </c>
      <c r="AX1842" s="2">
        <f t="shared" ca="1" si="1784"/>
        <v>2548660.2464530244</v>
      </c>
      <c r="AY1842" s="2">
        <f t="shared" ca="1" si="1785"/>
        <v>2706538.5690938309</v>
      </c>
      <c r="AZ1842" s="2">
        <f t="shared" ca="1" si="1786"/>
        <v>2870234.0299246451</v>
      </c>
      <c r="BA1842" s="2">
        <f t="shared" ca="1" si="1787"/>
        <v>55467922.091455221</v>
      </c>
      <c r="BB1842" s="2">
        <f t="shared" ca="1" si="1788"/>
        <v>1109358.4418291044</v>
      </c>
      <c r="BC1842" s="2">
        <f t="shared" ca="1" si="1789"/>
        <v>28289647.950045153</v>
      </c>
      <c r="BD1842" s="2">
        <f t="shared" ca="1" si="1790"/>
        <v>-18965481.953869849</v>
      </c>
      <c r="BE1842" s="2">
        <f t="shared" ca="1" si="1791"/>
        <v>2195050.3630939629</v>
      </c>
      <c r="BF1842" s="2">
        <f t="shared" ca="1" si="1792"/>
        <v>2396392.3421790292</v>
      </c>
      <c r="BG1842" s="2">
        <f t="shared" ca="1" si="1793"/>
        <v>2548660.2464530244</v>
      </c>
      <c r="BH1842" s="2">
        <f t="shared" ca="1" si="1794"/>
        <v>2706538.5690938309</v>
      </c>
      <c r="BI1842" s="2">
        <f t="shared" ca="1" si="1795"/>
        <v>31159881.9799698</v>
      </c>
      <c r="BJ1842" s="2">
        <f t="shared" ca="1" si="1796"/>
        <v>0.19738861748835257</v>
      </c>
      <c r="BK1842" s="2">
        <f t="shared" ca="1" si="1797"/>
        <v>6119867.8139735311</v>
      </c>
    </row>
    <row r="1843" spans="1:63" x14ac:dyDescent="0.3">
      <c r="A1843" s="2">
        <v>1842</v>
      </c>
      <c r="B1843" s="2">
        <f t="shared" ca="1" si="1736"/>
        <v>0.66020956681002785</v>
      </c>
      <c r="C1843" s="2">
        <f t="shared" ca="1" si="1737"/>
        <v>7.1756330511356339</v>
      </c>
      <c r="D1843" s="2">
        <f t="shared" ca="1" si="1738"/>
        <v>4.9083506117356679E-2</v>
      </c>
      <c r="E1843" s="2">
        <f t="shared" ca="1" si="1739"/>
        <v>6.8133161538042897</v>
      </c>
      <c r="F1843" s="2">
        <f t="shared" ca="1" si="1740"/>
        <v>0.35999010814583743</v>
      </c>
      <c r="G1843" s="2">
        <f t="shared" ca="1" si="1741"/>
        <v>2.9245442984048187E-2</v>
      </c>
      <c r="H1843" s="2">
        <f t="shared" ca="1" si="1742"/>
        <v>2.9245442984048187E-2</v>
      </c>
      <c r="I1843" s="2">
        <f t="shared" ca="1" si="1743"/>
        <v>0.16796271722162048</v>
      </c>
      <c r="J1843" s="2">
        <f t="shared" ca="1" si="1744"/>
        <v>5.1887638985781579E-3</v>
      </c>
      <c r="K1843" s="2">
        <f t="shared" ca="1" si="1745"/>
        <v>5.1887638985781579E-3</v>
      </c>
      <c r="L1843" s="2">
        <f t="shared" ca="1" si="1746"/>
        <v>0.54702591939894729</v>
      </c>
      <c r="M1843" s="2">
        <f t="shared" ca="1" si="1747"/>
        <v>2.3630162907491517E-3</v>
      </c>
      <c r="N1843" s="2">
        <f t="shared" ca="1" si="1748"/>
        <v>2.3630162907491517E-3</v>
      </c>
      <c r="O1843" s="2">
        <f t="shared" si="1749"/>
        <v>6000000</v>
      </c>
      <c r="P1843" s="2">
        <f t="shared" ca="1" si="1750"/>
        <v>43053798.306813806</v>
      </c>
      <c r="Q1843" s="2">
        <f t="shared" ca="1" si="1751"/>
        <v>1076344.9576703452</v>
      </c>
      <c r="R1843" s="2">
        <f t="shared" ca="1" si="1752"/>
        <v>25832278.984088283</v>
      </c>
      <c r="S1843" s="2">
        <f t="shared" ca="1" si="1753"/>
        <v>17221519.322725523</v>
      </c>
      <c r="T1843" s="2">
        <f t="shared" ca="1" si="1754"/>
        <v>50118150.814537451</v>
      </c>
      <c r="U1843" s="2">
        <f t="shared" ca="1" si="1755"/>
        <v>51583878.336649932</v>
      </c>
      <c r="V1843" s="2">
        <f t="shared" ca="1" si="1756"/>
        <v>53092471.7094405</v>
      </c>
      <c r="W1843" s="2">
        <f t="shared" ca="1" si="1757"/>
        <v>54645184.56370113</v>
      </c>
      <c r="X1843" s="2">
        <f t="shared" ca="1" si="1758"/>
        <v>56243307.193211637</v>
      </c>
      <c r="Y1843" s="2">
        <f t="shared" ca="1" si="1759"/>
        <v>0.12259438194928908</v>
      </c>
      <c r="Z1843" s="2">
        <f t="shared" ca="1" si="1760"/>
        <v>0.12363213472900471</v>
      </c>
      <c r="AA1843" s="2">
        <f t="shared" ca="1" si="1761"/>
        <v>6144203.7235494778</v>
      </c>
      <c r="AB1843" s="2">
        <f t="shared" ca="1" si="1762"/>
        <v>6377424.996361292</v>
      </c>
      <c r="AC1843" s="2">
        <f t="shared" ca="1" si="1763"/>
        <v>6563935.6154774185</v>
      </c>
      <c r="AD1843" s="2">
        <f t="shared" ca="1" si="1764"/>
        <v>6755900.8202708261</v>
      </c>
      <c r="AE1843" s="2">
        <f t="shared" ca="1" si="1765"/>
        <v>6953480.1325159408</v>
      </c>
      <c r="AF1843" s="2">
        <f t="shared" ca="1" si="1766"/>
        <v>1002363.0162907491</v>
      </c>
      <c r="AG1843" s="2">
        <f t="shared" ca="1" si="1767"/>
        <v>1031677.5667329987</v>
      </c>
      <c r="AH1843" s="2">
        <f t="shared" ca="1" si="1768"/>
        <v>1061849.4341888099</v>
      </c>
      <c r="AI1843" s="2">
        <f t="shared" ca="1" si="1769"/>
        <v>1092903.6912740227</v>
      </c>
      <c r="AJ1843" s="2">
        <f t="shared" ca="1" si="1770"/>
        <v>1124866.1438642328</v>
      </c>
      <c r="AK1843" s="2">
        <f t="shared" ca="1" si="1771"/>
        <v>0</v>
      </c>
      <c r="AL1843" s="2">
        <f t="shared" ca="1" si="1772"/>
        <v>14657.275221124813</v>
      </c>
      <c r="AM1843" s="2">
        <f t="shared" ca="1" si="1773"/>
        <v>15085.933727905676</v>
      </c>
      <c r="AN1843" s="2">
        <f t="shared" ca="1" si="1774"/>
        <v>15527.12854260631</v>
      </c>
      <c r="AO1843" s="2">
        <f t="shared" ca="1" si="1775"/>
        <v>15981.226295105071</v>
      </c>
      <c r="AP1843" s="2">
        <f t="shared" ca="1" si="1776"/>
        <v>2324905.1085679452</v>
      </c>
      <c r="AQ1843" s="2">
        <f t="shared" ca="1" si="1777"/>
        <v>732403.25565960363</v>
      </c>
      <c r="AR1843" s="2">
        <f t="shared" ca="1" si="1778"/>
        <v>785419.00347569049</v>
      </c>
      <c r="AS1843" s="2">
        <f t="shared" ca="1" si="1779"/>
        <v>826067.07890737243</v>
      </c>
      <c r="AT1843" s="2">
        <f t="shared" ca="1" si="1780"/>
        <v>867903.92531150312</v>
      </c>
      <c r="AU1843" s="2">
        <f t="shared" ca="1" si="1781"/>
        <v>910964.30882177828</v>
      </c>
      <c r="AV1843" s="2">
        <f t="shared" ca="1" si="1782"/>
        <v>2084532.3430311796</v>
      </c>
      <c r="AW1843" s="2">
        <f t="shared" ca="1" si="1783"/>
        <v>2220766.0423635324</v>
      </c>
      <c r="AX1843" s="2">
        <f t="shared" ca="1" si="1784"/>
        <v>2336028.0600853846</v>
      </c>
      <c r="AY1843" s="2">
        <f t="shared" ca="1" si="1785"/>
        <v>2454660.9665747485</v>
      </c>
      <c r="AZ1843" s="2">
        <f t="shared" ca="1" si="1786"/>
        <v>2576763.3449668796</v>
      </c>
      <c r="BA1843" s="2">
        <f t="shared" ca="1" si="1787"/>
        <v>47376258.512028053</v>
      </c>
      <c r="BB1843" s="2">
        <f t="shared" ca="1" si="1788"/>
        <v>947525.17024056113</v>
      </c>
      <c r="BC1843" s="2">
        <f t="shared" ca="1" si="1789"/>
        <v>20596454.357699208</v>
      </c>
      <c r="BD1843" s="2">
        <f t="shared" ca="1" si="1790"/>
        <v>-18797864.280395869</v>
      </c>
      <c r="BE1843" s="2">
        <f t="shared" ca="1" si="1791"/>
        <v>2084532.3430311796</v>
      </c>
      <c r="BF1843" s="2">
        <f t="shared" ca="1" si="1792"/>
        <v>2220766.0423635324</v>
      </c>
      <c r="BG1843" s="2">
        <f t="shared" ca="1" si="1793"/>
        <v>2336028.0600853846</v>
      </c>
      <c r="BH1843" s="2">
        <f t="shared" ca="1" si="1794"/>
        <v>2454660.9665747485</v>
      </c>
      <c r="BI1843" s="2">
        <f t="shared" ca="1" si="1795"/>
        <v>23173217.702666089</v>
      </c>
      <c r="BJ1843" s="2">
        <f t="shared" ca="1" si="1796"/>
        <v>0.13709494013880152</v>
      </c>
      <c r="BK1843" s="2">
        <f t="shared" ca="1" si="1797"/>
        <v>1205532.5140676573</v>
      </c>
    </row>
    <row r="1844" spans="1:63" x14ac:dyDescent="0.3">
      <c r="A1844" s="2">
        <v>1843</v>
      </c>
      <c r="B1844" s="2">
        <f t="shared" ca="1" si="1736"/>
        <v>0.79580160595470961</v>
      </c>
      <c r="C1844" s="2">
        <f t="shared" ca="1" si="1737"/>
        <v>7.3609407006461911</v>
      </c>
      <c r="D1844" s="2">
        <f t="shared" ca="1" si="1738"/>
        <v>0.27895203806853142</v>
      </c>
      <c r="E1844" s="2">
        <f t="shared" ca="1" si="1739"/>
        <v>7.2469297665356915</v>
      </c>
      <c r="F1844" s="2">
        <f t="shared" ca="1" si="1740"/>
        <v>0.46535490978704108</v>
      </c>
      <c r="G1844" s="2">
        <f t="shared" ca="1" si="1741"/>
        <v>3.7391445796901478E-2</v>
      </c>
      <c r="H1844" s="2">
        <f t="shared" ca="1" si="1742"/>
        <v>3.7391445796901478E-2</v>
      </c>
      <c r="I1844" s="2">
        <f t="shared" ca="1" si="1743"/>
        <v>0.758022379565231</v>
      </c>
      <c r="J1844" s="2">
        <f t="shared" ca="1" si="1744"/>
        <v>1.3499776335995865E-2</v>
      </c>
      <c r="K1844" s="2">
        <f t="shared" ca="1" si="1745"/>
        <v>1.3499776335995865E-2</v>
      </c>
      <c r="L1844" s="2">
        <f t="shared" ca="1" si="1746"/>
        <v>0.70982747470202967</v>
      </c>
      <c r="M1844" s="2">
        <f t="shared" ca="1" si="1747"/>
        <v>1.1057615559600206E-2</v>
      </c>
      <c r="N1844" s="2">
        <f t="shared" ca="1" si="1748"/>
        <v>1.1057615559600206E-2</v>
      </c>
      <c r="O1844" s="2">
        <f t="shared" si="1749"/>
        <v>6000000</v>
      </c>
      <c r="P1844" s="2">
        <f t="shared" ca="1" si="1750"/>
        <v>44165644.203877144</v>
      </c>
      <c r="Q1844" s="2">
        <f t="shared" ca="1" si="1751"/>
        <v>1104141.1050969285</v>
      </c>
      <c r="R1844" s="2">
        <f t="shared" ca="1" si="1752"/>
        <v>26499386.522326287</v>
      </c>
      <c r="S1844" s="2">
        <f t="shared" ca="1" si="1753"/>
        <v>17666257.681550857</v>
      </c>
      <c r="T1844" s="2">
        <f t="shared" ca="1" si="1754"/>
        <v>50552880.777980015</v>
      </c>
      <c r="U1844" s="2">
        <f t="shared" ca="1" si="1755"/>
        <v>52443126.079467081</v>
      </c>
      <c r="V1844" s="2">
        <f t="shared" ca="1" si="1756"/>
        <v>54404050.385687552</v>
      </c>
      <c r="W1844" s="2">
        <f t="shared" ca="1" si="1757"/>
        <v>56438296.486815892</v>
      </c>
      <c r="X1844" s="2">
        <f t="shared" ca="1" si="1758"/>
        <v>58548605.990772128</v>
      </c>
      <c r="Y1844" s="2">
        <f t="shared" ca="1" si="1759"/>
        <v>0.12674988816799793</v>
      </c>
      <c r="Z1844" s="2">
        <f t="shared" ca="1" si="1760"/>
        <v>0.12944984343519711</v>
      </c>
      <c r="AA1844" s="2">
        <f t="shared" ca="1" si="1761"/>
        <v>6407571.9851790993</v>
      </c>
      <c r="AB1844" s="2">
        <f t="shared" ca="1" si="1762"/>
        <v>6788754.4602393163</v>
      </c>
      <c r="AC1844" s="2">
        <f t="shared" ca="1" si="1763"/>
        <v>7042595.8046678286</v>
      </c>
      <c r="AD1844" s="2">
        <f t="shared" ca="1" si="1764"/>
        <v>7305928.6439675521</v>
      </c>
      <c r="AE1844" s="2">
        <f t="shared" ca="1" si="1765"/>
        <v>7579107.8788544955</v>
      </c>
      <c r="AF1844" s="2">
        <f t="shared" ca="1" si="1766"/>
        <v>1011057.6155596003</v>
      </c>
      <c r="AG1844" s="2">
        <f t="shared" ca="1" si="1767"/>
        <v>1048862.5215893416</v>
      </c>
      <c r="AH1844" s="2">
        <f t="shared" ca="1" si="1768"/>
        <v>1088081.0077137512</v>
      </c>
      <c r="AI1844" s="2">
        <f t="shared" ca="1" si="1769"/>
        <v>1128765.9297363178</v>
      </c>
      <c r="AJ1844" s="2">
        <f t="shared" ca="1" si="1770"/>
        <v>1170972.1198154425</v>
      </c>
      <c r="AK1844" s="2">
        <f t="shared" ca="1" si="1771"/>
        <v>0</v>
      </c>
      <c r="AL1844" s="2">
        <f t="shared" ca="1" si="1772"/>
        <v>18902.453014870658</v>
      </c>
      <c r="AM1844" s="2">
        <f t="shared" ca="1" si="1773"/>
        <v>19609.243062204718</v>
      </c>
      <c r="AN1844" s="2">
        <f t="shared" ca="1" si="1774"/>
        <v>20342.461011283398</v>
      </c>
      <c r="AO1844" s="2">
        <f t="shared" ca="1" si="1775"/>
        <v>21103.095039562359</v>
      </c>
      <c r="AP1844" s="2">
        <f t="shared" ca="1" si="1776"/>
        <v>2384944.7870093659</v>
      </c>
      <c r="AQ1844" s="2">
        <f t="shared" ca="1" si="1777"/>
        <v>783008.09147863463</v>
      </c>
      <c r="AR1844" s="2">
        <f t="shared" ca="1" si="1778"/>
        <v>872286.25942655839</v>
      </c>
      <c r="AS1844" s="2">
        <f t="shared" ca="1" si="1779"/>
        <v>928088.20258562511</v>
      </c>
      <c r="AT1844" s="2">
        <f t="shared" ca="1" si="1780"/>
        <v>985976.66107768577</v>
      </c>
      <c r="AU1844" s="2">
        <f t="shared" ca="1" si="1781"/>
        <v>1046029.6527277186</v>
      </c>
      <c r="AV1844" s="2">
        <f t="shared" ca="1" si="1782"/>
        <v>2228561.4911314985</v>
      </c>
      <c r="AW1844" s="2">
        <f t="shared" ca="1" si="1783"/>
        <v>2463758.4391991794</v>
      </c>
      <c r="AX1844" s="2">
        <f t="shared" ca="1" si="1784"/>
        <v>2621872.5642968817</v>
      </c>
      <c r="AY1844" s="2">
        <f t="shared" ca="1" si="1785"/>
        <v>2785898.8051328994</v>
      </c>
      <c r="AZ1844" s="2">
        <f t="shared" ca="1" si="1786"/>
        <v>2956058.2242624061</v>
      </c>
      <c r="BA1844" s="2">
        <f t="shared" ca="1" si="1787"/>
        <v>54925262.491055831</v>
      </c>
      <c r="BB1844" s="2">
        <f t="shared" ca="1" si="1788"/>
        <v>1098505.2498211167</v>
      </c>
      <c r="BC1844" s="2">
        <f t="shared" ca="1" si="1789"/>
        <v>27327370.718908429</v>
      </c>
      <c r="BD1844" s="2">
        <f t="shared" ca="1" si="1790"/>
        <v>-19270398.786647785</v>
      </c>
      <c r="BE1844" s="2">
        <f t="shared" ca="1" si="1791"/>
        <v>2228561.4911314985</v>
      </c>
      <c r="BF1844" s="2">
        <f t="shared" ca="1" si="1792"/>
        <v>2463758.4391991794</v>
      </c>
      <c r="BG1844" s="2">
        <f t="shared" ca="1" si="1793"/>
        <v>2621872.5642968817</v>
      </c>
      <c r="BH1844" s="2">
        <f t="shared" ca="1" si="1794"/>
        <v>2785898.8051328994</v>
      </c>
      <c r="BI1844" s="2">
        <f t="shared" ca="1" si="1795"/>
        <v>30283428.943170834</v>
      </c>
      <c r="BJ1844" s="2">
        <f t="shared" ca="1" si="1796"/>
        <v>0.18966168636522585</v>
      </c>
      <c r="BK1844" s="2">
        <f t="shared" ca="1" si="1797"/>
        <v>5503798.4269194193</v>
      </c>
    </row>
    <row r="1845" spans="1:63" x14ac:dyDescent="0.3">
      <c r="A1845" s="2">
        <v>1844</v>
      </c>
      <c r="B1845" s="2">
        <f t="shared" ca="1" si="1736"/>
        <v>0.23477526447399588</v>
      </c>
      <c r="C1845" s="2">
        <f t="shared" ca="1" si="1737"/>
        <v>6.6852375711736709</v>
      </c>
      <c r="D1845" s="2">
        <f t="shared" ca="1" si="1738"/>
        <v>0.60912919898253426</v>
      </c>
      <c r="E1845" s="2">
        <f t="shared" ca="1" si="1739"/>
        <v>7.615838475144427</v>
      </c>
      <c r="F1845" s="2">
        <f t="shared" ca="1" si="1740"/>
        <v>6.0380958894273085E-2</v>
      </c>
      <c r="G1845" s="2">
        <f t="shared" ca="1" si="1741"/>
        <v>-6.5475044878271979E-3</v>
      </c>
      <c r="H1845" s="2">
        <f t="shared" ca="1" si="1742"/>
        <v>-6.5475044878271979E-3</v>
      </c>
      <c r="I1845" s="2">
        <f t="shared" ca="1" si="1743"/>
        <v>0.21803030666344825</v>
      </c>
      <c r="J1845" s="2">
        <f t="shared" ca="1" si="1744"/>
        <v>6.1056866278938271E-3</v>
      </c>
      <c r="K1845" s="2">
        <f t="shared" ca="1" si="1745"/>
        <v>6.1056866278938271E-3</v>
      </c>
      <c r="L1845" s="2">
        <f t="shared" ca="1" si="1746"/>
        <v>0.4576766109251138</v>
      </c>
      <c r="M1845" s="2">
        <f t="shared" ca="1" si="1747"/>
        <v>-2.1257758917837101E-3</v>
      </c>
      <c r="N1845" s="2">
        <f t="shared" ca="1" si="1748"/>
        <v>-2.1257758917837101E-3</v>
      </c>
      <c r="O1845" s="2">
        <f t="shared" si="1749"/>
        <v>6000000</v>
      </c>
      <c r="P1845" s="2">
        <f t="shared" ca="1" si="1750"/>
        <v>40111425.427042022</v>
      </c>
      <c r="Q1845" s="2">
        <f t="shared" ca="1" si="1751"/>
        <v>1002785.6356760506</v>
      </c>
      <c r="R1845" s="2">
        <f t="shared" ca="1" si="1752"/>
        <v>24066855.256225213</v>
      </c>
      <c r="S1845" s="2">
        <f t="shared" ca="1" si="1753"/>
        <v>16044570.170816809</v>
      </c>
      <c r="T1845" s="2">
        <f t="shared" ca="1" si="1754"/>
        <v>49893711.205410816</v>
      </c>
      <c r="U1845" s="2">
        <f t="shared" ca="1" si="1755"/>
        <v>49567031.907379039</v>
      </c>
      <c r="V1845" s="2">
        <f t="shared" ca="1" si="1756"/>
        <v>49242491.543517202</v>
      </c>
      <c r="W1845" s="2">
        <f t="shared" ca="1" si="1757"/>
        <v>48920076.109144233</v>
      </c>
      <c r="X1845" s="2">
        <f t="shared" ca="1" si="1758"/>
        <v>48599771.691274762</v>
      </c>
      <c r="Y1845" s="2">
        <f t="shared" ca="1" si="1759"/>
        <v>0.12305284331394691</v>
      </c>
      <c r="Z1845" s="2">
        <f t="shared" ca="1" si="1760"/>
        <v>0.12427398063952567</v>
      </c>
      <c r="AA1845" s="2">
        <f t="shared" ca="1" si="1761"/>
        <v>6139563.0273107337</v>
      </c>
      <c r="AB1845" s="2">
        <f t="shared" ca="1" si="1762"/>
        <v>6159892.3636163743</v>
      </c>
      <c r="AC1845" s="2">
        <f t="shared" ca="1" si="1763"/>
        <v>6119560.4407210639</v>
      </c>
      <c r="AD1845" s="2">
        <f t="shared" ca="1" si="1764"/>
        <v>6079492.5912719127</v>
      </c>
      <c r="AE1845" s="2">
        <f t="shared" ca="1" si="1765"/>
        <v>6039687.0862468481</v>
      </c>
      <c r="AF1845" s="2">
        <f t="shared" ca="1" si="1766"/>
        <v>997874.22410821635</v>
      </c>
      <c r="AG1845" s="2">
        <f t="shared" ca="1" si="1767"/>
        <v>991340.63814758079</v>
      </c>
      <c r="AH1845" s="2">
        <f t="shared" ca="1" si="1768"/>
        <v>984849.83087034407</v>
      </c>
      <c r="AI1845" s="2">
        <f t="shared" ca="1" si="1769"/>
        <v>978401.52218288463</v>
      </c>
      <c r="AJ1845" s="2">
        <f t="shared" ca="1" si="1770"/>
        <v>971995.4338254953</v>
      </c>
      <c r="AK1845" s="2">
        <f t="shared" ca="1" si="1771"/>
        <v>0</v>
      </c>
      <c r="AL1845" s="2">
        <f t="shared" ca="1" si="1772"/>
        <v>0</v>
      </c>
      <c r="AM1845" s="2">
        <f t="shared" ca="1" si="1773"/>
        <v>0</v>
      </c>
      <c r="AN1845" s="2">
        <f t="shared" ca="1" si="1774"/>
        <v>0</v>
      </c>
      <c r="AO1845" s="2">
        <f t="shared" ca="1" si="1775"/>
        <v>0</v>
      </c>
      <c r="AP1845" s="2">
        <f t="shared" ca="1" si="1776"/>
        <v>2166016.9730602689</v>
      </c>
      <c r="AQ1845" s="2">
        <f t="shared" ca="1" si="1777"/>
        <v>773674.67583698465</v>
      </c>
      <c r="AR1845" s="2">
        <f t="shared" ca="1" si="1778"/>
        <v>780659.03562621656</v>
      </c>
      <c r="AS1845" s="2">
        <f t="shared" ca="1" si="1779"/>
        <v>771860.3455655172</v>
      </c>
      <c r="AT1845" s="2">
        <f t="shared" ca="1" si="1780"/>
        <v>763119.26496747741</v>
      </c>
      <c r="AU1845" s="2">
        <f t="shared" ca="1" si="1781"/>
        <v>754435.41663388174</v>
      </c>
      <c r="AV1845" s="2">
        <f t="shared" ca="1" si="1782"/>
        <v>2201997.1543052634</v>
      </c>
      <c r="AW1845" s="2">
        <f t="shared" ca="1" si="1783"/>
        <v>2221875.7167823082</v>
      </c>
      <c r="AX1845" s="2">
        <f t="shared" ca="1" si="1784"/>
        <v>2196833.2912249332</v>
      </c>
      <c r="AY1845" s="2">
        <f t="shared" ca="1" si="1785"/>
        <v>2171954.8310612813</v>
      </c>
      <c r="AZ1845" s="2">
        <f t="shared" ca="1" si="1786"/>
        <v>2147239.2627272019</v>
      </c>
      <c r="BA1845" s="2">
        <f t="shared" ca="1" si="1787"/>
        <v>45997281.289271683</v>
      </c>
      <c r="BB1845" s="2">
        <f t="shared" ca="1" si="1788"/>
        <v>919945.62578543369</v>
      </c>
      <c r="BC1845" s="2">
        <f t="shared" ca="1" si="1789"/>
        <v>21010480.407261036</v>
      </c>
      <c r="BD1845" s="2">
        <f t="shared" ca="1" si="1790"/>
        <v>-17547355.806492858</v>
      </c>
      <c r="BE1845" s="2">
        <f t="shared" ca="1" si="1791"/>
        <v>2201997.1543052634</v>
      </c>
      <c r="BF1845" s="2">
        <f t="shared" ca="1" si="1792"/>
        <v>2221875.7167823082</v>
      </c>
      <c r="BG1845" s="2">
        <f t="shared" ca="1" si="1793"/>
        <v>2196833.2912249332</v>
      </c>
      <c r="BH1845" s="2">
        <f t="shared" ca="1" si="1794"/>
        <v>2171954.8310612813</v>
      </c>
      <c r="BI1845" s="2">
        <f t="shared" ca="1" si="1795"/>
        <v>23157719.669988237</v>
      </c>
      <c r="BJ1845" s="2">
        <f t="shared" ca="1" si="1796"/>
        <v>0.15397911198094372</v>
      </c>
      <c r="BK1845" s="2">
        <f t="shared" ca="1" si="1797"/>
        <v>2274269.9623830095</v>
      </c>
    </row>
    <row r="1846" spans="1:63" x14ac:dyDescent="0.3">
      <c r="A1846" s="2">
        <v>1845</v>
      </c>
      <c r="B1846" s="2">
        <f t="shared" ca="1" si="1736"/>
        <v>0.48919548307681138</v>
      </c>
      <c r="C1846" s="2">
        <f t="shared" ca="1" si="1737"/>
        <v>6.9891364749889791</v>
      </c>
      <c r="D1846" s="2">
        <f t="shared" ca="1" si="1738"/>
        <v>0.56384410955336717</v>
      </c>
      <c r="E1846" s="2">
        <f t="shared" ca="1" si="1739"/>
        <v>7.566023672198666</v>
      </c>
      <c r="F1846" s="2">
        <f t="shared" ca="1" si="1740"/>
        <v>0.81795180129149381</v>
      </c>
      <c r="G1846" s="2">
        <f t="shared" ca="1" si="1741"/>
        <v>6.7227613848672693E-2</v>
      </c>
      <c r="H1846" s="2">
        <f t="shared" ca="1" si="1742"/>
        <v>6.7227613848672693E-2</v>
      </c>
      <c r="I1846" s="2">
        <f t="shared" ca="1" si="1743"/>
        <v>0.1234558434935914</v>
      </c>
      <c r="J1846" s="2">
        <f t="shared" ca="1" si="1744"/>
        <v>4.2105837882428108E-3</v>
      </c>
      <c r="K1846" s="2">
        <f t="shared" ca="1" si="1745"/>
        <v>4.2105837882428108E-3</v>
      </c>
      <c r="L1846" s="2">
        <f t="shared" ca="1" si="1746"/>
        <v>0.2635091680281908</v>
      </c>
      <c r="M1846" s="2">
        <f t="shared" ca="1" si="1747"/>
        <v>-1.2651282028625309E-2</v>
      </c>
      <c r="N1846" s="2">
        <f t="shared" ca="1" si="1748"/>
        <v>-1.2651282028625309E-2</v>
      </c>
      <c r="O1846" s="2">
        <f t="shared" si="1749"/>
        <v>6000000</v>
      </c>
      <c r="P1846" s="2">
        <f t="shared" ca="1" si="1750"/>
        <v>41934818.849933878</v>
      </c>
      <c r="Q1846" s="2">
        <f t="shared" ca="1" si="1751"/>
        <v>1048370.471248347</v>
      </c>
      <c r="R1846" s="2">
        <f t="shared" ca="1" si="1752"/>
        <v>25160891.309960324</v>
      </c>
      <c r="S1846" s="2">
        <f t="shared" ca="1" si="1753"/>
        <v>16773927.539973551</v>
      </c>
      <c r="T1846" s="2">
        <f t="shared" ca="1" si="1754"/>
        <v>49367435.898568735</v>
      </c>
      <c r="U1846" s="2">
        <f t="shared" ca="1" si="1755"/>
        <v>52686290.815856814</v>
      </c>
      <c r="V1846" s="2">
        <f t="shared" ca="1" si="1756"/>
        <v>56228264.429944105</v>
      </c>
      <c r="W1846" s="2">
        <f t="shared" ca="1" si="1757"/>
        <v>60008356.47842145</v>
      </c>
      <c r="X1846" s="2">
        <f t="shared" ca="1" si="1758"/>
        <v>64042575.095446266</v>
      </c>
      <c r="Y1846" s="2">
        <f t="shared" ca="1" si="1759"/>
        <v>0.12210529189412141</v>
      </c>
      <c r="Z1846" s="2">
        <f t="shared" ca="1" si="1760"/>
        <v>0.12294740865176997</v>
      </c>
      <c r="AA1846" s="2">
        <f t="shared" ca="1" si="1761"/>
        <v>6028025.1704590628</v>
      </c>
      <c r="AB1846" s="2">
        <f t="shared" ca="1" si="1762"/>
        <v>6477642.9272831427</v>
      </c>
      <c r="AC1846" s="2">
        <f t="shared" ca="1" si="1763"/>
        <v>6913119.4046481196</v>
      </c>
      <c r="AD1846" s="2">
        <f t="shared" ca="1" si="1764"/>
        <v>7377871.9264735701</v>
      </c>
      <c r="AE1846" s="2">
        <f t="shared" ca="1" si="1765"/>
        <v>7873868.6513714977</v>
      </c>
      <c r="AF1846" s="2">
        <f t="shared" ca="1" si="1766"/>
        <v>987348.71797137475</v>
      </c>
      <c r="AG1846" s="2">
        <f t="shared" ca="1" si="1767"/>
        <v>1053725.8163171364</v>
      </c>
      <c r="AH1846" s="2">
        <f t="shared" ca="1" si="1768"/>
        <v>1124565.288598882</v>
      </c>
      <c r="AI1846" s="2">
        <f t="shared" ca="1" si="1769"/>
        <v>1200167.129568429</v>
      </c>
      <c r="AJ1846" s="2">
        <f t="shared" ca="1" si="1770"/>
        <v>1280851.5019089254</v>
      </c>
      <c r="AK1846" s="2">
        <f t="shared" ca="1" si="1771"/>
        <v>0</v>
      </c>
      <c r="AL1846" s="2">
        <f t="shared" ca="1" si="1772"/>
        <v>33188.549172880797</v>
      </c>
      <c r="AM1846" s="2">
        <f t="shared" ca="1" si="1773"/>
        <v>35419.736140872912</v>
      </c>
      <c r="AN1846" s="2">
        <f t="shared" ca="1" si="1774"/>
        <v>37800.920484773444</v>
      </c>
      <c r="AO1846" s="2">
        <f t="shared" ca="1" si="1775"/>
        <v>40342.186170248169</v>
      </c>
      <c r="AP1846" s="2">
        <f t="shared" ca="1" si="1776"/>
        <v>2264480.2178964289</v>
      </c>
      <c r="AQ1846" s="2">
        <f t="shared" ca="1" si="1777"/>
        <v>721811.02099372749</v>
      </c>
      <c r="AR1846" s="2">
        <f t="shared" ca="1" si="1778"/>
        <v>821453.59219809016</v>
      </c>
      <c r="AS1846" s="2">
        <f t="shared" ca="1" si="1779"/>
        <v>916259.21351973026</v>
      </c>
      <c r="AT1846" s="2">
        <f t="shared" ca="1" si="1780"/>
        <v>1017438.3905422653</v>
      </c>
      <c r="AU1846" s="2">
        <f t="shared" ca="1" si="1781"/>
        <v>1125419.6022071973</v>
      </c>
      <c r="AV1846" s="2">
        <f t="shared" ca="1" si="1782"/>
        <v>2054385.2135975324</v>
      </c>
      <c r="AW1846" s="2">
        <f t="shared" ca="1" si="1783"/>
        <v>2304794.7516986066</v>
      </c>
      <c r="AX1846" s="2">
        <f t="shared" ca="1" si="1784"/>
        <v>2572394.9484922048</v>
      </c>
      <c r="AY1846" s="2">
        <f t="shared" ca="1" si="1785"/>
        <v>2857985.2679816736</v>
      </c>
      <c r="AZ1846" s="2">
        <f t="shared" ca="1" si="1786"/>
        <v>3162775.1431886973</v>
      </c>
      <c r="BA1846" s="2">
        <f t="shared" ca="1" si="1787"/>
        <v>59573876.608059734</v>
      </c>
      <c r="BB1846" s="2">
        <f t="shared" ca="1" si="1788"/>
        <v>1191477.5321611946</v>
      </c>
      <c r="BC1846" s="2">
        <f t="shared" ca="1" si="1789"/>
        <v>33221507.765938219</v>
      </c>
      <c r="BD1846" s="2">
        <f t="shared" ca="1" si="1790"/>
        <v>-18322298.011221897</v>
      </c>
      <c r="BE1846" s="2">
        <f t="shared" ca="1" si="1791"/>
        <v>2054385.2135975324</v>
      </c>
      <c r="BF1846" s="2">
        <f t="shared" ca="1" si="1792"/>
        <v>2304794.7516986066</v>
      </c>
      <c r="BG1846" s="2">
        <f t="shared" ca="1" si="1793"/>
        <v>2572394.9484922048</v>
      </c>
      <c r="BH1846" s="2">
        <f t="shared" ca="1" si="1794"/>
        <v>2857985.2679816736</v>
      </c>
      <c r="BI1846" s="2">
        <f t="shared" ca="1" si="1795"/>
        <v>36384282.909126915</v>
      </c>
      <c r="BJ1846" s="2">
        <f t="shared" ca="1" si="1796"/>
        <v>0.23678257670898173</v>
      </c>
      <c r="BK1846" s="2">
        <f t="shared" ca="1" si="1797"/>
        <v>9642043.2342152372</v>
      </c>
    </row>
    <row r="1847" spans="1:63" x14ac:dyDescent="0.3">
      <c r="A1847" s="2">
        <v>1846</v>
      </c>
      <c r="B1847" s="2">
        <f t="shared" ca="1" si="1736"/>
        <v>0.41755716855567204</v>
      </c>
      <c r="C1847" s="2">
        <f t="shared" ca="1" si="1737"/>
        <v>6.9138459044671281</v>
      </c>
      <c r="D1847" s="2">
        <f t="shared" ca="1" si="1738"/>
        <v>0.71735627961292248</v>
      </c>
      <c r="E1847" s="2">
        <f t="shared" ca="1" si="1739"/>
        <v>7.7481440026347101</v>
      </c>
      <c r="F1847" s="2">
        <f t="shared" ca="1" si="1740"/>
        <v>0.27525210602523675</v>
      </c>
      <c r="G1847" s="2">
        <f t="shared" ca="1" si="1741"/>
        <v>2.2089857624075844E-2</v>
      </c>
      <c r="H1847" s="2">
        <f t="shared" ca="1" si="1742"/>
        <v>2.2089857624075844E-2</v>
      </c>
      <c r="I1847" s="2">
        <f t="shared" ca="1" si="1743"/>
        <v>0.99786329228078341</v>
      </c>
      <c r="J1847" s="2">
        <f t="shared" ca="1" si="1744"/>
        <v>2.4286203848640744E-2</v>
      </c>
      <c r="K1847" s="2">
        <f t="shared" ca="1" si="1745"/>
        <v>2.4286203848640744E-2</v>
      </c>
      <c r="L1847" s="2">
        <f t="shared" ca="1" si="1746"/>
        <v>0.56645673999616641</v>
      </c>
      <c r="M1847" s="2">
        <f t="shared" ca="1" si="1747"/>
        <v>3.3472070309933377E-3</v>
      </c>
      <c r="N1847" s="2">
        <f t="shared" ca="1" si="1748"/>
        <v>3.3472070309933377E-3</v>
      </c>
      <c r="O1847" s="2">
        <f t="shared" si="1749"/>
        <v>6000000</v>
      </c>
      <c r="P1847" s="2">
        <f t="shared" ca="1" si="1750"/>
        <v>41483075.426802769</v>
      </c>
      <c r="Q1847" s="2">
        <f t="shared" ca="1" si="1751"/>
        <v>1037076.8856700693</v>
      </c>
      <c r="R1847" s="2">
        <f t="shared" ca="1" si="1752"/>
        <v>24889845.256081659</v>
      </c>
      <c r="S1847" s="2">
        <f t="shared" ca="1" si="1753"/>
        <v>16593230.170721108</v>
      </c>
      <c r="T1847" s="2">
        <f t="shared" ca="1" si="1754"/>
        <v>50167360.35154967</v>
      </c>
      <c r="U1847" s="2">
        <f t="shared" ca="1" si="1755"/>
        <v>51275550.199091107</v>
      </c>
      <c r="V1847" s="2">
        <f t="shared" ca="1" si="1756"/>
        <v>52408219.802585177</v>
      </c>
      <c r="W1847" s="2">
        <f t="shared" ca="1" si="1757"/>
        <v>53565909.91635555</v>
      </c>
      <c r="X1847" s="2">
        <f t="shared" ca="1" si="1758"/>
        <v>54749173.239911914</v>
      </c>
      <c r="Y1847" s="2">
        <f t="shared" ca="1" si="1759"/>
        <v>0.13214310192432036</v>
      </c>
      <c r="Z1847" s="2">
        <f t="shared" ca="1" si="1760"/>
        <v>0.13700034269404851</v>
      </c>
      <c r="AA1847" s="2">
        <f t="shared" ca="1" si="1761"/>
        <v>6629270.6122089364</v>
      </c>
      <c r="AB1847" s="2">
        <f t="shared" ca="1" si="1762"/>
        <v>7024767.9491013689</v>
      </c>
      <c r="AC1847" s="2">
        <f t="shared" ca="1" si="1763"/>
        <v>7179944.0729391882</v>
      </c>
      <c r="AD1847" s="2">
        <f t="shared" ca="1" si="1764"/>
        <v>7338548.0152592417</v>
      </c>
      <c r="AE1847" s="2">
        <f t="shared" ca="1" si="1765"/>
        <v>7500655.4960837625</v>
      </c>
      <c r="AF1847" s="2">
        <f t="shared" ca="1" si="1766"/>
        <v>1003347.2070309934</v>
      </c>
      <c r="AG1847" s="2">
        <f t="shared" ca="1" si="1767"/>
        <v>1025511.0039818222</v>
      </c>
      <c r="AH1847" s="2">
        <f t="shared" ca="1" si="1768"/>
        <v>1048164.3960517036</v>
      </c>
      <c r="AI1847" s="2">
        <f t="shared" ca="1" si="1769"/>
        <v>1071318.1983271111</v>
      </c>
      <c r="AJ1847" s="2">
        <f t="shared" ca="1" si="1770"/>
        <v>1094983.4647982384</v>
      </c>
      <c r="AK1847" s="2">
        <f t="shared" ca="1" si="1771"/>
        <v>0</v>
      </c>
      <c r="AL1847" s="2">
        <f t="shared" ca="1" si="1772"/>
        <v>11081.898475414366</v>
      </c>
      <c r="AM1847" s="2">
        <f t="shared" ca="1" si="1773"/>
        <v>11326.696034940705</v>
      </c>
      <c r="AN1847" s="2">
        <f t="shared" ca="1" si="1774"/>
        <v>11576.901137703731</v>
      </c>
      <c r="AO1847" s="2">
        <f t="shared" ca="1" si="1775"/>
        <v>11832.633235563637</v>
      </c>
      <c r="AP1847" s="2">
        <f t="shared" ca="1" si="1776"/>
        <v>2240086.0730473492</v>
      </c>
      <c r="AQ1847" s="2">
        <f t="shared" ca="1" si="1777"/>
        <v>880317.70635395451</v>
      </c>
      <c r="AR1847" s="2">
        <f t="shared" ca="1" si="1778"/>
        <v>977384.42673877138</v>
      </c>
      <c r="AS1847" s="2">
        <f t="shared" ca="1" si="1779"/>
        <v>1011840.3369984351</v>
      </c>
      <c r="AT1847" s="2">
        <f t="shared" ca="1" si="1780"/>
        <v>1047057.3734100432</v>
      </c>
      <c r="AU1847" s="2">
        <f t="shared" ca="1" si="1781"/>
        <v>1083052.3491419256</v>
      </c>
      <c r="AV1847" s="2">
        <f t="shared" ca="1" si="1782"/>
        <v>2505519.6257766392</v>
      </c>
      <c r="AW1847" s="2">
        <f t="shared" ca="1" si="1783"/>
        <v>2770704.5468580117</v>
      </c>
      <c r="AX1847" s="2">
        <f t="shared" ca="1" si="1784"/>
        <v>2868526.5708067594</v>
      </c>
      <c r="AY1847" s="2">
        <f t="shared" ca="1" si="1785"/>
        <v>2968509.469337034</v>
      </c>
      <c r="AZ1847" s="2">
        <f t="shared" ca="1" si="1786"/>
        <v>3070700.975860686</v>
      </c>
      <c r="BA1847" s="2">
        <f t="shared" ca="1" si="1787"/>
        <v>58116158.897810481</v>
      </c>
      <c r="BB1847" s="2">
        <f t="shared" ca="1" si="1788"/>
        <v>1162323.1779562098</v>
      </c>
      <c r="BC1847" s="2">
        <f t="shared" ca="1" si="1789"/>
        <v>32063990.463772614</v>
      </c>
      <c r="BD1847" s="2">
        <f t="shared" ca="1" si="1790"/>
        <v>-18130307.056391176</v>
      </c>
      <c r="BE1847" s="2">
        <f t="shared" ca="1" si="1791"/>
        <v>2505519.6257766392</v>
      </c>
      <c r="BF1847" s="2">
        <f t="shared" ca="1" si="1792"/>
        <v>2770704.5468580117</v>
      </c>
      <c r="BG1847" s="2">
        <f t="shared" ca="1" si="1793"/>
        <v>2868526.5708067594</v>
      </c>
      <c r="BH1847" s="2">
        <f t="shared" ca="1" si="1794"/>
        <v>2968509.469337034</v>
      </c>
      <c r="BI1847" s="2">
        <f t="shared" ca="1" si="1795"/>
        <v>35134691.439633302</v>
      </c>
      <c r="BJ1847" s="2">
        <f t="shared" ca="1" si="1796"/>
        <v>0.24733714460685219</v>
      </c>
      <c r="BK1847" s="2">
        <f t="shared" ca="1" si="1797"/>
        <v>10180222.216652349</v>
      </c>
    </row>
    <row r="1848" spans="1:63" x14ac:dyDescent="0.3">
      <c r="A1848" s="2">
        <v>1847</v>
      </c>
      <c r="B1848" s="2">
        <f t="shared" ca="1" si="1736"/>
        <v>6.6563150323740827E-2</v>
      </c>
      <c r="C1848" s="2">
        <f t="shared" ca="1" si="1737"/>
        <v>6.3648647703567471</v>
      </c>
      <c r="D1848" s="2">
        <f t="shared" ca="1" si="1738"/>
        <v>0.94736736076013883</v>
      </c>
      <c r="E1848" s="2">
        <f t="shared" ca="1" si="1739"/>
        <v>8.1755538897139886</v>
      </c>
      <c r="F1848" s="2">
        <f t="shared" ca="1" si="1740"/>
        <v>0.20810353051329677</v>
      </c>
      <c r="G1848" s="2">
        <f t="shared" ca="1" si="1741"/>
        <v>1.5609424570775719E-2</v>
      </c>
      <c r="H1848" s="2">
        <f t="shared" ca="1" si="1742"/>
        <v>1.5609424570775719E-2</v>
      </c>
      <c r="I1848" s="2">
        <f t="shared" ca="1" si="1743"/>
        <v>0.52334557149183814</v>
      </c>
      <c r="J1848" s="2">
        <f t="shared" ca="1" si="1744"/>
        <v>1.0292760542860928E-2</v>
      </c>
      <c r="K1848" s="2">
        <f t="shared" ca="1" si="1745"/>
        <v>1.0292760542860928E-2</v>
      </c>
      <c r="L1848" s="2">
        <f t="shared" ca="1" si="1746"/>
        <v>2.3886079690306983E-2</v>
      </c>
      <c r="M1848" s="2">
        <f t="shared" ca="1" si="1747"/>
        <v>-3.9587791847498471E-2</v>
      </c>
      <c r="N1848" s="2">
        <f t="shared" ca="1" si="1748"/>
        <v>-3.9587791847498471E-2</v>
      </c>
      <c r="O1848" s="2">
        <f t="shared" si="1749"/>
        <v>6000000</v>
      </c>
      <c r="P1848" s="2">
        <f t="shared" ca="1" si="1750"/>
        <v>38189188.622140482</v>
      </c>
      <c r="Q1848" s="2">
        <f t="shared" ca="1" si="1751"/>
        <v>954729.7155535121</v>
      </c>
      <c r="R1848" s="2">
        <f t="shared" ca="1" si="1752"/>
        <v>22913513.173284288</v>
      </c>
      <c r="S1848" s="2">
        <f t="shared" ca="1" si="1753"/>
        <v>15275675.448856194</v>
      </c>
      <c r="T1848" s="2">
        <f t="shared" ca="1" si="1754"/>
        <v>48020610.407625072</v>
      </c>
      <c r="U1848" s="2">
        <f t="shared" ca="1" si="1755"/>
        <v>48770184.503625497</v>
      </c>
      <c r="V1848" s="2">
        <f t="shared" ca="1" si="1756"/>
        <v>49531459.019937649</v>
      </c>
      <c r="W1848" s="2">
        <f t="shared" ca="1" si="1757"/>
        <v>50304616.593389831</v>
      </c>
      <c r="X1848" s="2">
        <f t="shared" ca="1" si="1758"/>
        <v>51089842.711666137</v>
      </c>
      <c r="Y1848" s="2">
        <f t="shared" ca="1" si="1759"/>
        <v>0.12514638027143046</v>
      </c>
      <c r="Z1848" s="2">
        <f t="shared" ca="1" si="1760"/>
        <v>0.12720493238000263</v>
      </c>
      <c r="AA1848" s="2">
        <f t="shared" ca="1" si="1761"/>
        <v>6009605.5709388582</v>
      </c>
      <c r="AB1848" s="2">
        <f t="shared" ca="1" si="1762"/>
        <v>6203808.0219439333</v>
      </c>
      <c r="AC1848" s="2">
        <f t="shared" ca="1" si="1763"/>
        <v>6300645.8953140406</v>
      </c>
      <c r="AD1848" s="2">
        <f t="shared" ca="1" si="1764"/>
        <v>6398995.352164112</v>
      </c>
      <c r="AE1848" s="2">
        <f t="shared" ca="1" si="1765"/>
        <v>6498879.9874424618</v>
      </c>
      <c r="AF1848" s="2">
        <f t="shared" ca="1" si="1766"/>
        <v>960412.20815250149</v>
      </c>
      <c r="AG1848" s="2">
        <f t="shared" ca="1" si="1767"/>
        <v>975403.69007250993</v>
      </c>
      <c r="AH1848" s="2">
        <f t="shared" ca="1" si="1768"/>
        <v>990629.18039875303</v>
      </c>
      <c r="AI1848" s="2">
        <f t="shared" ca="1" si="1769"/>
        <v>1006092.3318677966</v>
      </c>
      <c r="AJ1848" s="2">
        <f t="shared" ca="1" si="1770"/>
        <v>1021796.8542333228</v>
      </c>
      <c r="AK1848" s="2">
        <f t="shared" ca="1" si="1771"/>
        <v>0</v>
      </c>
      <c r="AL1848" s="2">
        <f t="shared" ca="1" si="1772"/>
        <v>7495.7409600042556</v>
      </c>
      <c r="AM1848" s="2">
        <f t="shared" ca="1" si="1773"/>
        <v>7612.7451631215217</v>
      </c>
      <c r="AN1848" s="2">
        <f t="shared" ca="1" si="1774"/>
        <v>7731.5757345218217</v>
      </c>
      <c r="AO1848" s="2">
        <f t="shared" ca="1" si="1775"/>
        <v>7852.2611827630553</v>
      </c>
      <c r="AP1848" s="2">
        <f t="shared" ca="1" si="1776"/>
        <v>2062216.185595586</v>
      </c>
      <c r="AQ1848" s="2">
        <f t="shared" ca="1" si="1777"/>
        <v>776614.06606960029</v>
      </c>
      <c r="AR1848" s="2">
        <f t="shared" ca="1" si="1778"/>
        <v>823208.91803171788</v>
      </c>
      <c r="AS1848" s="2">
        <f t="shared" ca="1" si="1779"/>
        <v>844428.13762312243</v>
      </c>
      <c r="AT1848" s="2">
        <f t="shared" ca="1" si="1780"/>
        <v>865978.57702218974</v>
      </c>
      <c r="AU1848" s="2">
        <f t="shared" ca="1" si="1781"/>
        <v>887865.4063795238</v>
      </c>
      <c r="AV1848" s="2">
        <f t="shared" ca="1" si="1782"/>
        <v>2210363.1111211702</v>
      </c>
      <c r="AW1848" s="2">
        <f t="shared" ca="1" si="1783"/>
        <v>2335483.4872841164</v>
      </c>
      <c r="AX1848" s="2">
        <f t="shared" ca="1" si="1784"/>
        <v>2395759.6465334585</v>
      </c>
      <c r="AY1848" s="2">
        <f t="shared" ca="1" si="1785"/>
        <v>2456976.6819440173</v>
      </c>
      <c r="AZ1848" s="2">
        <f t="shared" ca="1" si="1786"/>
        <v>2519149.2800512668</v>
      </c>
      <c r="BA1848" s="2">
        <f t="shared" ca="1" si="1787"/>
        <v>53131943.560119614</v>
      </c>
      <c r="BB1848" s="2">
        <f t="shared" ca="1" si="1788"/>
        <v>1062638.8712023923</v>
      </c>
      <c r="BC1848" s="2">
        <f t="shared" ca="1" si="1789"/>
        <v>29155791.515632935</v>
      </c>
      <c r="BD1848" s="2">
        <f t="shared" ca="1" si="1790"/>
        <v>-16730405.164409706</v>
      </c>
      <c r="BE1848" s="2">
        <f t="shared" ca="1" si="1791"/>
        <v>2210363.1111211702</v>
      </c>
      <c r="BF1848" s="2">
        <f t="shared" ca="1" si="1792"/>
        <v>2335483.4872841164</v>
      </c>
      <c r="BG1848" s="2">
        <f t="shared" ca="1" si="1793"/>
        <v>2395759.6465334585</v>
      </c>
      <c r="BH1848" s="2">
        <f t="shared" ca="1" si="1794"/>
        <v>2456976.6819440173</v>
      </c>
      <c r="BI1848" s="2">
        <f t="shared" ca="1" si="1795"/>
        <v>31674940.795684204</v>
      </c>
      <c r="BJ1848" s="2">
        <f t="shared" ca="1" si="1796"/>
        <v>0.2339801214543813</v>
      </c>
      <c r="BK1848" s="2">
        <f t="shared" ca="1" si="1797"/>
        <v>8344886.0201205369</v>
      </c>
    </row>
    <row r="1849" spans="1:63" x14ac:dyDescent="0.3">
      <c r="A1849" s="2">
        <v>1848</v>
      </c>
      <c r="B1849" s="2">
        <f t="shared" ca="1" si="1736"/>
        <v>0.3623049120214521</v>
      </c>
      <c r="C1849" s="2">
        <f t="shared" ca="1" si="1737"/>
        <v>6.8512401682503619</v>
      </c>
      <c r="D1849" s="2">
        <f t="shared" ca="1" si="1738"/>
        <v>0.89570564742270908</v>
      </c>
      <c r="E1849" s="2">
        <f t="shared" ca="1" si="1739"/>
        <v>8.0432848752727999</v>
      </c>
      <c r="F1849" s="2">
        <f t="shared" ca="1" si="1740"/>
        <v>0.87606419116915002</v>
      </c>
      <c r="G1849" s="2">
        <f t="shared" ca="1" si="1741"/>
        <v>7.4666034665418796E-2</v>
      </c>
      <c r="H1849" s="2">
        <f t="shared" ca="1" si="1742"/>
        <v>7.4666034665418796E-2</v>
      </c>
      <c r="I1849" s="2">
        <f t="shared" ca="1" si="1743"/>
        <v>0.15513810428910113</v>
      </c>
      <c r="J1849" s="2">
        <f t="shared" ca="1" si="1744"/>
        <v>4.9267868292399639E-3</v>
      </c>
      <c r="K1849" s="2">
        <f t="shared" ca="1" si="1745"/>
        <v>4.9267868292399639E-3</v>
      </c>
      <c r="L1849" s="2">
        <f t="shared" ca="1" si="1746"/>
        <v>0.14585813539001413</v>
      </c>
      <c r="M1849" s="2">
        <f t="shared" ca="1" si="1747"/>
        <v>-2.1087281174250409E-2</v>
      </c>
      <c r="N1849" s="2">
        <f t="shared" ca="1" si="1748"/>
        <v>-2.1087281174250409E-2</v>
      </c>
      <c r="O1849" s="2">
        <f t="shared" si="1749"/>
        <v>6000000</v>
      </c>
      <c r="P1849" s="2">
        <f t="shared" ca="1" si="1750"/>
        <v>41107441.009502172</v>
      </c>
      <c r="Q1849" s="2">
        <f t="shared" ca="1" si="1751"/>
        <v>1027686.0252375543</v>
      </c>
      <c r="R1849" s="2">
        <f t="shared" ca="1" si="1752"/>
        <v>24664464.605701301</v>
      </c>
      <c r="S1849" s="2">
        <f t="shared" ca="1" si="1753"/>
        <v>16442976.403800869</v>
      </c>
      <c r="T1849" s="2">
        <f t="shared" ca="1" si="1754"/>
        <v>48945635.94128748</v>
      </c>
      <c r="U1849" s="2">
        <f t="shared" ca="1" si="1755"/>
        <v>52600212.491200626</v>
      </c>
      <c r="V1849" s="2">
        <f t="shared" ca="1" si="1756"/>
        <v>56527661.78047701</v>
      </c>
      <c r="W1849" s="2">
        <f t="shared" ca="1" si="1757"/>
        <v>60748358.134533182</v>
      </c>
      <c r="X1849" s="2">
        <f t="shared" ca="1" si="1758"/>
        <v>65284197.148873515</v>
      </c>
      <c r="Y1849" s="2">
        <f t="shared" ca="1" si="1759"/>
        <v>0.12246339341461998</v>
      </c>
      <c r="Z1849" s="2">
        <f t="shared" ca="1" si="1760"/>
        <v>0.12344875078046796</v>
      </c>
      <c r="AA1849" s="2">
        <f t="shared" ca="1" si="1761"/>
        <v>5994048.670206652</v>
      </c>
      <c r="AB1849" s="2">
        <f t="shared" ca="1" si="1762"/>
        <v>6493430.5228258837</v>
      </c>
      <c r="AC1849" s="2">
        <f t="shared" ca="1" si="1763"/>
        <v>6978269.2313406905</v>
      </c>
      <c r="AD1849" s="2">
        <f t="shared" ca="1" si="1764"/>
        <v>7499308.9236726006</v>
      </c>
      <c r="AE1849" s="2">
        <f t="shared" ca="1" si="1765"/>
        <v>8059252.5837342236</v>
      </c>
      <c r="AF1849" s="2">
        <f t="shared" ca="1" si="1766"/>
        <v>978912.71882574959</v>
      </c>
      <c r="AG1849" s="2">
        <f t="shared" ca="1" si="1767"/>
        <v>1052004.2498240126</v>
      </c>
      <c r="AH1849" s="2">
        <f t="shared" ca="1" si="1768"/>
        <v>1130553.2356095403</v>
      </c>
      <c r="AI1849" s="2">
        <f t="shared" ca="1" si="1769"/>
        <v>1214967.1626906637</v>
      </c>
      <c r="AJ1849" s="2">
        <f t="shared" ca="1" si="1770"/>
        <v>1305683.9429774703</v>
      </c>
      <c r="AK1849" s="2">
        <f t="shared" ca="1" si="1771"/>
        <v>0</v>
      </c>
      <c r="AL1849" s="2">
        <f t="shared" ca="1" si="1772"/>
        <v>36545.765499131456</v>
      </c>
      <c r="AM1849" s="2">
        <f t="shared" ca="1" si="1773"/>
        <v>39274.492892763839</v>
      </c>
      <c r="AN1849" s="2">
        <f t="shared" ca="1" si="1774"/>
        <v>42206.963540561723</v>
      </c>
      <c r="AO1849" s="2">
        <f t="shared" ca="1" si="1775"/>
        <v>45358.39014340334</v>
      </c>
      <c r="AP1849" s="2">
        <f t="shared" ca="1" si="1776"/>
        <v>2219801.8145131171</v>
      </c>
      <c r="AQ1849" s="2">
        <f t="shared" ca="1" si="1777"/>
        <v>726786.87558562437</v>
      </c>
      <c r="AR1849" s="2">
        <f t="shared" ca="1" si="1778"/>
        <v>837622.35920707602</v>
      </c>
      <c r="AS1849" s="2">
        <f t="shared" ca="1" si="1779"/>
        <v>943257.68711668882</v>
      </c>
      <c r="AT1849" s="2">
        <f t="shared" ca="1" si="1780"/>
        <v>1056780.3860818932</v>
      </c>
      <c r="AU1849" s="2">
        <f t="shared" ca="1" si="1781"/>
        <v>1178779.3748233453</v>
      </c>
      <c r="AV1849" s="2">
        <f t="shared" ca="1" si="1782"/>
        <v>2068547.2612821618</v>
      </c>
      <c r="AW1849" s="2">
        <f t="shared" ca="1" si="1783"/>
        <v>2347456.3337825462</v>
      </c>
      <c r="AX1849" s="2">
        <f t="shared" ca="1" si="1784"/>
        <v>2645382.001208581</v>
      </c>
      <c r="AY1849" s="2">
        <f t="shared" ca="1" si="1785"/>
        <v>2965552.5968463654</v>
      </c>
      <c r="AZ1849" s="2">
        <f t="shared" ca="1" si="1786"/>
        <v>3309629.0612768866</v>
      </c>
      <c r="BA1849" s="2">
        <f t="shared" ca="1" si="1787"/>
        <v>64822864.412752718</v>
      </c>
      <c r="BB1849" s="2">
        <f t="shared" ca="1" si="1788"/>
        <v>1296457.2882550543</v>
      </c>
      <c r="BC1849" s="2">
        <f t="shared" ca="1" si="1789"/>
        <v>38861942.518796369</v>
      </c>
      <c r="BD1849" s="2">
        <f t="shared" ca="1" si="1790"/>
        <v>-17970662.429038424</v>
      </c>
      <c r="BE1849" s="2">
        <f t="shared" ca="1" si="1791"/>
        <v>2068547.2612821618</v>
      </c>
      <c r="BF1849" s="2">
        <f t="shared" ca="1" si="1792"/>
        <v>2347456.3337825462</v>
      </c>
      <c r="BG1849" s="2">
        <f t="shared" ca="1" si="1793"/>
        <v>2645382.001208581</v>
      </c>
      <c r="BH1849" s="2">
        <f t="shared" ca="1" si="1794"/>
        <v>2965552.5968463654</v>
      </c>
      <c r="BI1849" s="2">
        <f t="shared" ca="1" si="1795"/>
        <v>42171571.580073252</v>
      </c>
      <c r="BJ1849" s="2">
        <f t="shared" ca="1" si="1796"/>
        <v>0.27517518338094393</v>
      </c>
      <c r="BK1849" s="2">
        <f t="shared" ca="1" si="1797"/>
        <v>13444507.792175185</v>
      </c>
    </row>
    <row r="1850" spans="1:63" x14ac:dyDescent="0.3">
      <c r="A1850" s="2">
        <v>1849</v>
      </c>
      <c r="B1850" s="2">
        <f t="shared" ca="1" si="1736"/>
        <v>0.49319694880587206</v>
      </c>
      <c r="C1850" s="2">
        <f t="shared" ca="1" si="1737"/>
        <v>6.9931736492737535</v>
      </c>
      <c r="D1850" s="2">
        <f t="shared" ca="1" si="1738"/>
        <v>0.63650711778968994</v>
      </c>
      <c r="E1850" s="2">
        <f t="shared" ca="1" si="1739"/>
        <v>7.6473653980627923</v>
      </c>
      <c r="F1850" s="2">
        <f t="shared" ca="1" si="1740"/>
        <v>0.53913270723422302</v>
      </c>
      <c r="G1850" s="2">
        <f t="shared" ca="1" si="1741"/>
        <v>4.2947469574506569E-2</v>
      </c>
      <c r="H1850" s="2">
        <f t="shared" ca="1" si="1742"/>
        <v>4.2947469574506569E-2</v>
      </c>
      <c r="I1850" s="2">
        <f t="shared" ca="1" si="1743"/>
        <v>0.89641962938462783</v>
      </c>
      <c r="J1850" s="2">
        <f t="shared" ca="1" si="1744"/>
        <v>1.6307055915879432E-2</v>
      </c>
      <c r="K1850" s="2">
        <f t="shared" ca="1" si="1745"/>
        <v>1.6307055915879432E-2</v>
      </c>
      <c r="L1850" s="2">
        <f t="shared" ca="1" si="1746"/>
        <v>0.97051322332963808</v>
      </c>
      <c r="M1850" s="2">
        <f t="shared" ca="1" si="1747"/>
        <v>3.7767808870302524E-2</v>
      </c>
      <c r="N1850" s="2">
        <f t="shared" ca="1" si="1748"/>
        <v>3.7767808870302524E-2</v>
      </c>
      <c r="O1850" s="2">
        <f t="shared" si="1749"/>
        <v>6000000</v>
      </c>
      <c r="P1850" s="2">
        <f t="shared" ca="1" si="1750"/>
        <v>41959041.895642519</v>
      </c>
      <c r="Q1850" s="2">
        <f t="shared" ca="1" si="1751"/>
        <v>1048976.0473910631</v>
      </c>
      <c r="R1850" s="2">
        <f t="shared" ca="1" si="1752"/>
        <v>25175425.13738551</v>
      </c>
      <c r="S1850" s="2">
        <f t="shared" ca="1" si="1753"/>
        <v>16783616.758257009</v>
      </c>
      <c r="T1850" s="2">
        <f t="shared" ca="1" si="1754"/>
        <v>51888390.443515129</v>
      </c>
      <c r="U1850" s="2">
        <f t="shared" ca="1" si="1755"/>
        <v>54116865.513358116</v>
      </c>
      <c r="V1850" s="2">
        <f t="shared" ca="1" si="1756"/>
        <v>56441047.948460735</v>
      </c>
      <c r="W1850" s="2">
        <f t="shared" ca="1" si="1757"/>
        <v>58865048.137980528</v>
      </c>
      <c r="X1850" s="2">
        <f t="shared" ca="1" si="1758"/>
        <v>61393153.00188832</v>
      </c>
      <c r="Y1850" s="2">
        <f t="shared" ca="1" si="1759"/>
        <v>0.12815352795793972</v>
      </c>
      <c r="Z1850" s="2">
        <f t="shared" ca="1" si="1760"/>
        <v>0.1314149391411156</v>
      </c>
      <c r="AA1850" s="2">
        <f t="shared" ca="1" si="1761"/>
        <v>6649680.2953955084</v>
      </c>
      <c r="AB1850" s="2">
        <f t="shared" ca="1" si="1762"/>
        <v>7111764.5879458943</v>
      </c>
      <c r="AC1850" s="2">
        <f t="shared" ca="1" si="1763"/>
        <v>7417196.8812077548</v>
      </c>
      <c r="AD1850" s="2">
        <f t="shared" ca="1" si="1764"/>
        <v>7735746.7185915513</v>
      </c>
      <c r="AE1850" s="2">
        <f t="shared" ca="1" si="1765"/>
        <v>8067977.4654243523</v>
      </c>
      <c r="AF1850" s="2">
        <f t="shared" ca="1" si="1766"/>
        <v>1037767.8088703026</v>
      </c>
      <c r="AG1850" s="2">
        <f t="shared" ca="1" si="1767"/>
        <v>1082337.3102671623</v>
      </c>
      <c r="AH1850" s="2">
        <f t="shared" ca="1" si="1768"/>
        <v>1128820.9589692147</v>
      </c>
      <c r="AI1850" s="2">
        <f t="shared" ca="1" si="1769"/>
        <v>1177300.9627596105</v>
      </c>
      <c r="AJ1850" s="2">
        <f t="shared" ca="1" si="1770"/>
        <v>1227863.0600377664</v>
      </c>
      <c r="AK1850" s="2">
        <f t="shared" ca="1" si="1771"/>
        <v>0</v>
      </c>
      <c r="AL1850" s="2">
        <f t="shared" ca="1" si="1772"/>
        <v>22284.750698429867</v>
      </c>
      <c r="AM1850" s="2">
        <f t="shared" ca="1" si="1773"/>
        <v>23241.824351026193</v>
      </c>
      <c r="AN1850" s="2">
        <f t="shared" ca="1" si="1774"/>
        <v>24240.001895197929</v>
      </c>
      <c r="AO1850" s="2">
        <f t="shared" ca="1" si="1775"/>
        <v>25281.048639077919</v>
      </c>
      <c r="AP1850" s="2">
        <f t="shared" ca="1" si="1776"/>
        <v>2265788.2623646958</v>
      </c>
      <c r="AQ1850" s="2">
        <f t="shared" ca="1" si="1777"/>
        <v>869992.29828173271</v>
      </c>
      <c r="AR1850" s="2">
        <f t="shared" ca="1" si="1778"/>
        <v>978546.14398164942</v>
      </c>
      <c r="AS1850" s="2">
        <f t="shared" ca="1" si="1779"/>
        <v>1045872.7915671995</v>
      </c>
      <c r="AT1850" s="2">
        <f t="shared" ca="1" si="1780"/>
        <v>1116090.9483014839</v>
      </c>
      <c r="AU1850" s="2">
        <f t="shared" ca="1" si="1781"/>
        <v>1189324.7971856915</v>
      </c>
      <c r="AV1850" s="2">
        <f t="shared" ca="1" si="1782"/>
        <v>2476131.9258787772</v>
      </c>
      <c r="AW1850" s="2">
        <f t="shared" ca="1" si="1783"/>
        <v>2762808.120633957</v>
      </c>
      <c r="AX1850" s="2">
        <f t="shared" ca="1" si="1784"/>
        <v>2953473.0439556185</v>
      </c>
      <c r="AY1850" s="2">
        <f t="shared" ca="1" si="1785"/>
        <v>3152326.5432705637</v>
      </c>
      <c r="AZ1850" s="2">
        <f t="shared" ca="1" si="1786"/>
        <v>3359720.2971971212</v>
      </c>
      <c r="BA1850" s="2">
        <f t="shared" ca="1" si="1787"/>
        <v>61698771.701436542</v>
      </c>
      <c r="BB1850" s="2">
        <f t="shared" ca="1" si="1788"/>
        <v>1233975.434028731</v>
      </c>
      <c r="BC1850" s="2">
        <f t="shared" ca="1" si="1789"/>
        <v>35289371.130022302</v>
      </c>
      <c r="BD1850" s="2">
        <f t="shared" ca="1" si="1790"/>
        <v>-18332592.805648074</v>
      </c>
      <c r="BE1850" s="2">
        <f t="shared" ca="1" si="1791"/>
        <v>2476131.9258787772</v>
      </c>
      <c r="BF1850" s="2">
        <f t="shared" ca="1" si="1792"/>
        <v>2762808.120633957</v>
      </c>
      <c r="BG1850" s="2">
        <f t="shared" ca="1" si="1793"/>
        <v>2953473.0439556185</v>
      </c>
      <c r="BH1850" s="2">
        <f t="shared" ca="1" si="1794"/>
        <v>3152326.5432705637</v>
      </c>
      <c r="BI1850" s="2">
        <f t="shared" ca="1" si="1795"/>
        <v>38649091.427219421</v>
      </c>
      <c r="BJ1850" s="2">
        <f t="shared" ca="1" si="1796"/>
        <v>0.26453538165128765</v>
      </c>
      <c r="BK1850" s="2">
        <f t="shared" ca="1" si="1797"/>
        <v>12116849.696995631</v>
      </c>
    </row>
    <row r="1851" spans="1:63" x14ac:dyDescent="0.3">
      <c r="A1851" s="2">
        <v>1850</v>
      </c>
      <c r="B1851" s="2">
        <f t="shared" ca="1" si="1736"/>
        <v>0.64122215242908975</v>
      </c>
      <c r="C1851" s="2">
        <f t="shared" ca="1" si="1737"/>
        <v>7.1529134075303631</v>
      </c>
      <c r="D1851" s="2">
        <f t="shared" ca="1" si="1738"/>
        <v>2.5536057210362673E-2</v>
      </c>
      <c r="E1851" s="2">
        <f t="shared" ca="1" si="1739"/>
        <v>6.7259914034221771</v>
      </c>
      <c r="F1851" s="2">
        <f t="shared" ca="1" si="1740"/>
        <v>3.1625582075436975E-2</v>
      </c>
      <c r="G1851" s="2">
        <f t="shared" ca="1" si="1741"/>
        <v>-1.5722654670645368E-2</v>
      </c>
      <c r="H1851" s="2">
        <f t="shared" ca="1" si="1742"/>
        <v>-1.5722654670645368E-2</v>
      </c>
      <c r="I1851" s="2">
        <f t="shared" ca="1" si="1743"/>
        <v>0.54063180081799178</v>
      </c>
      <c r="J1851" s="2">
        <f t="shared" ca="1" si="1744"/>
        <v>1.0510127728387797E-2</v>
      </c>
      <c r="K1851" s="2">
        <f t="shared" ca="1" si="1745"/>
        <v>1.0510127728387797E-2</v>
      </c>
      <c r="L1851" s="2">
        <f t="shared" ca="1" si="1746"/>
        <v>0.11258768709080358</v>
      </c>
      <c r="M1851" s="2">
        <f t="shared" ca="1" si="1747"/>
        <v>-2.425761721075801E-2</v>
      </c>
      <c r="N1851" s="2">
        <f t="shared" ca="1" si="1748"/>
        <v>-2.425761721075801E-2</v>
      </c>
      <c r="O1851" s="2">
        <f t="shared" si="1749"/>
        <v>6000000</v>
      </c>
      <c r="P1851" s="2">
        <f t="shared" ca="1" si="1750"/>
        <v>42917480.445182182</v>
      </c>
      <c r="Q1851" s="2">
        <f t="shared" ca="1" si="1751"/>
        <v>1072937.0111295546</v>
      </c>
      <c r="R1851" s="2">
        <f t="shared" ca="1" si="1752"/>
        <v>25750488.267109308</v>
      </c>
      <c r="S1851" s="2">
        <f t="shared" ca="1" si="1753"/>
        <v>17166992.178072874</v>
      </c>
      <c r="T1851" s="2">
        <f t="shared" ca="1" si="1754"/>
        <v>48787119.139462098</v>
      </c>
      <c r="U1851" s="2">
        <f t="shared" ca="1" si="1755"/>
        <v>48020056.112856701</v>
      </c>
      <c r="V1851" s="2">
        <f t="shared" ca="1" si="1756"/>
        <v>47265053.353329241</v>
      </c>
      <c r="W1851" s="2">
        <f t="shared" ca="1" si="1757"/>
        <v>46521921.241465218</v>
      </c>
      <c r="X1851" s="2">
        <f t="shared" ca="1" si="1758"/>
        <v>45790473.139170699</v>
      </c>
      <c r="Y1851" s="2">
        <f t="shared" ca="1" si="1759"/>
        <v>0.12525506386419388</v>
      </c>
      <c r="Z1851" s="2">
        <f t="shared" ca="1" si="1760"/>
        <v>0.12735708940987145</v>
      </c>
      <c r="AA1851" s="2">
        <f t="shared" ca="1" si="1761"/>
        <v>6110833.723563361</v>
      </c>
      <c r="AB1851" s="2">
        <f t="shared" ca="1" si="1762"/>
        <v>6115694.5798321348</v>
      </c>
      <c r="AC1851" s="2">
        <f t="shared" ca="1" si="1763"/>
        <v>6019539.6258822968</v>
      </c>
      <c r="AD1851" s="2">
        <f t="shared" ca="1" si="1764"/>
        <v>5924896.4830682836</v>
      </c>
      <c r="AE1851" s="2">
        <f t="shared" ca="1" si="1765"/>
        <v>5831741.3817056799</v>
      </c>
      <c r="AF1851" s="2">
        <f t="shared" ca="1" si="1766"/>
        <v>975742.38278924196</v>
      </c>
      <c r="AG1851" s="2">
        <f t="shared" ca="1" si="1767"/>
        <v>960401.12225713406</v>
      </c>
      <c r="AH1851" s="2">
        <f t="shared" ca="1" si="1768"/>
        <v>945301.06706658483</v>
      </c>
      <c r="AI1851" s="2">
        <f t="shared" ca="1" si="1769"/>
        <v>930438.42482930433</v>
      </c>
      <c r="AJ1851" s="2">
        <f t="shared" ca="1" si="1770"/>
        <v>915809.46278341394</v>
      </c>
      <c r="AK1851" s="2">
        <f t="shared" ca="1" si="1771"/>
        <v>0</v>
      </c>
      <c r="AL1851" s="2">
        <f t="shared" ca="1" si="1772"/>
        <v>0</v>
      </c>
      <c r="AM1851" s="2">
        <f t="shared" ca="1" si="1773"/>
        <v>0</v>
      </c>
      <c r="AN1851" s="2">
        <f t="shared" ca="1" si="1774"/>
        <v>0</v>
      </c>
      <c r="AO1851" s="2">
        <f t="shared" ca="1" si="1775"/>
        <v>0</v>
      </c>
      <c r="AP1851" s="2">
        <f t="shared" ca="1" si="1776"/>
        <v>2317543.9440398375</v>
      </c>
      <c r="AQ1851" s="2">
        <f t="shared" ca="1" si="1777"/>
        <v>732562.32315091323</v>
      </c>
      <c r="AR1851" s="2">
        <f t="shared" ca="1" si="1778"/>
        <v>737814.87351914251</v>
      </c>
      <c r="AS1851" s="2">
        <f t="shared" ca="1" si="1779"/>
        <v>716740.59984172741</v>
      </c>
      <c r="AT1851" s="2">
        <f t="shared" ca="1" si="1780"/>
        <v>695997.66969177697</v>
      </c>
      <c r="AU1851" s="2">
        <f t="shared" ca="1" si="1781"/>
        <v>675580.87346943142</v>
      </c>
      <c r="AV1851" s="2">
        <f t="shared" ca="1" si="1782"/>
        <v>2084985.0735833682</v>
      </c>
      <c r="AW1851" s="2">
        <f t="shared" ca="1" si="1783"/>
        <v>2099934.6400160212</v>
      </c>
      <c r="AX1851" s="2">
        <f t="shared" ca="1" si="1784"/>
        <v>2039954.0149341477</v>
      </c>
      <c r="AY1851" s="2">
        <f t="shared" ca="1" si="1785"/>
        <v>1980916.4445073651</v>
      </c>
      <c r="AZ1851" s="2">
        <f t="shared" ca="1" si="1786"/>
        <v>1922807.1014129976</v>
      </c>
      <c r="BA1851" s="2">
        <f t="shared" ca="1" si="1787"/>
        <v>39224242.40033377</v>
      </c>
      <c r="BB1851" s="2">
        <f t="shared" ca="1" si="1788"/>
        <v>784484.84800667537</v>
      </c>
      <c r="BC1851" s="2">
        <f t="shared" ca="1" si="1789"/>
        <v>12689269.285217786</v>
      </c>
      <c r="BD1851" s="2">
        <f t="shared" ca="1" si="1790"/>
        <v>-18739929.189202428</v>
      </c>
      <c r="BE1851" s="2">
        <f t="shared" ca="1" si="1791"/>
        <v>2084985.0735833682</v>
      </c>
      <c r="BF1851" s="2">
        <f t="shared" ca="1" si="1792"/>
        <v>2099934.6400160212</v>
      </c>
      <c r="BG1851" s="2">
        <f t="shared" ca="1" si="1793"/>
        <v>2039954.0149341477</v>
      </c>
      <c r="BH1851" s="2">
        <f t="shared" ca="1" si="1794"/>
        <v>1980916.4445073651</v>
      </c>
      <c r="BI1851" s="2">
        <f t="shared" ca="1" si="1795"/>
        <v>14612076.386630785</v>
      </c>
      <c r="BJ1851" s="2">
        <f t="shared" ca="1" si="1796"/>
        <v>4.9878148933789168E-2</v>
      </c>
      <c r="BK1851" s="2">
        <f t="shared" ca="1" si="1797"/>
        <v>-4202088.589067379</v>
      </c>
    </row>
    <row r="1852" spans="1:63" x14ac:dyDescent="0.3">
      <c r="A1852" s="2">
        <v>1851</v>
      </c>
      <c r="B1852" s="2">
        <f t="shared" ca="1" si="1736"/>
        <v>6.8615995756849735E-2</v>
      </c>
      <c r="C1852" s="2">
        <f t="shared" ca="1" si="1737"/>
        <v>6.3704483655163013</v>
      </c>
      <c r="D1852" s="2">
        <f t="shared" ca="1" si="1738"/>
        <v>0.7730936913505172</v>
      </c>
      <c r="E1852" s="2">
        <f t="shared" ca="1" si="1739"/>
        <v>7.8263438434193855</v>
      </c>
      <c r="F1852" s="2">
        <f t="shared" ca="1" si="1740"/>
        <v>0.84167876456541313</v>
      </c>
      <c r="G1852" s="2">
        <f t="shared" ca="1" si="1741"/>
        <v>7.0041440883884643E-2</v>
      </c>
      <c r="H1852" s="2">
        <f t="shared" ca="1" si="1742"/>
        <v>7.0041440883884643E-2</v>
      </c>
      <c r="I1852" s="2">
        <f t="shared" ca="1" si="1743"/>
        <v>0.54403751038063619</v>
      </c>
      <c r="J1852" s="2">
        <f t="shared" ca="1" si="1744"/>
        <v>1.0553054022972259E-2</v>
      </c>
      <c r="K1852" s="2">
        <f t="shared" ca="1" si="1745"/>
        <v>1.0553054022972259E-2</v>
      </c>
      <c r="L1852" s="2">
        <f t="shared" ca="1" si="1746"/>
        <v>0.47790978211456092</v>
      </c>
      <c r="M1852" s="2">
        <f t="shared" ca="1" si="1747"/>
        <v>-1.10800581451916E-3</v>
      </c>
      <c r="N1852" s="2">
        <f t="shared" ca="1" si="1748"/>
        <v>-1.10800581451916E-3</v>
      </c>
      <c r="O1852" s="2">
        <f t="shared" si="1749"/>
        <v>6000000</v>
      </c>
      <c r="P1852" s="2">
        <f t="shared" ca="1" si="1750"/>
        <v>38222690.193097807</v>
      </c>
      <c r="Q1852" s="2">
        <f t="shared" ca="1" si="1751"/>
        <v>955567.25482744526</v>
      </c>
      <c r="R1852" s="2">
        <f t="shared" ca="1" si="1752"/>
        <v>22933614.115858685</v>
      </c>
      <c r="S1852" s="2">
        <f t="shared" ca="1" si="1753"/>
        <v>15289076.077239124</v>
      </c>
      <c r="T1852" s="2">
        <f t="shared" ca="1" si="1754"/>
        <v>49944599.709274039</v>
      </c>
      <c r="U1852" s="2">
        <f t="shared" ca="1" si="1755"/>
        <v>53442791.437280446</v>
      </c>
      <c r="V1852" s="2">
        <f t="shared" ca="1" si="1756"/>
        <v>57186001.554404505</v>
      </c>
      <c r="W1852" s="2">
        <f t="shared" ca="1" si="1757"/>
        <v>61191391.501663066</v>
      </c>
      <c r="X1852" s="2">
        <f t="shared" ca="1" si="1758"/>
        <v>65477324.732129447</v>
      </c>
      <c r="Y1852" s="2">
        <f t="shared" ca="1" si="1759"/>
        <v>0.12527652701148612</v>
      </c>
      <c r="Z1852" s="2">
        <f t="shared" ca="1" si="1760"/>
        <v>0.12738713781608058</v>
      </c>
      <c r="AA1852" s="2">
        <f t="shared" ca="1" si="1761"/>
        <v>6256885.9945567306</v>
      </c>
      <c r="AB1852" s="2">
        <f t="shared" ca="1" si="1762"/>
        <v>6807924.2380968947</v>
      </c>
      <c r="AC1852" s="2">
        <f t="shared" ca="1" si="1763"/>
        <v>7284761.0611615246</v>
      </c>
      <c r="AD1852" s="2">
        <f t="shared" ca="1" si="1764"/>
        <v>7794996.2223800952</v>
      </c>
      <c r="AE1852" s="2">
        <f t="shared" ca="1" si="1765"/>
        <v>8340968.9894800354</v>
      </c>
      <c r="AF1852" s="2">
        <f t="shared" ca="1" si="1766"/>
        <v>998891.99418548075</v>
      </c>
      <c r="AG1852" s="2">
        <f t="shared" ca="1" si="1767"/>
        <v>1068855.8287456089</v>
      </c>
      <c r="AH1852" s="2">
        <f t="shared" ca="1" si="1768"/>
        <v>1143720.03108809</v>
      </c>
      <c r="AI1852" s="2">
        <f t="shared" ca="1" si="1769"/>
        <v>1223827.8300332613</v>
      </c>
      <c r="AJ1852" s="2">
        <f t="shared" ca="1" si="1770"/>
        <v>1309546.494642589</v>
      </c>
      <c r="AK1852" s="2">
        <f t="shared" ca="1" si="1771"/>
        <v>0</v>
      </c>
      <c r="AL1852" s="2">
        <f t="shared" ca="1" si="1772"/>
        <v>34981.917280064074</v>
      </c>
      <c r="AM1852" s="2">
        <f t="shared" ca="1" si="1773"/>
        <v>37432.101171240582</v>
      </c>
      <c r="AN1852" s="2">
        <f t="shared" ca="1" si="1774"/>
        <v>40053.899472585617</v>
      </c>
      <c r="AO1852" s="2">
        <f t="shared" ca="1" si="1775"/>
        <v>42859.332304663811</v>
      </c>
      <c r="AP1852" s="2">
        <f t="shared" ca="1" si="1776"/>
        <v>2064025.2704272815</v>
      </c>
      <c r="AQ1852" s="2">
        <f t="shared" ca="1" si="1777"/>
        <v>830431.86978543166</v>
      </c>
      <c r="AR1852" s="2">
        <f t="shared" ca="1" si="1778"/>
        <v>955511.21612024109</v>
      </c>
      <c r="AS1852" s="2">
        <f t="shared" ca="1" si="1779"/>
        <v>1060024.0975079997</v>
      </c>
      <c r="AT1852" s="2">
        <f t="shared" ca="1" si="1780"/>
        <v>1171857.2116990834</v>
      </c>
      <c r="AU1852" s="2">
        <f t="shared" ca="1" si="1781"/>
        <v>1291523.2783466431</v>
      </c>
      <c r="AV1852" s="2">
        <f t="shared" ca="1" si="1782"/>
        <v>2363536.8601585361</v>
      </c>
      <c r="AW1852" s="2">
        <f t="shared" ca="1" si="1783"/>
        <v>2684550.0055236989</v>
      </c>
      <c r="AX1852" s="2">
        <f t="shared" ca="1" si="1784"/>
        <v>2979559.5609669122</v>
      </c>
      <c r="AY1852" s="2">
        <f t="shared" ca="1" si="1785"/>
        <v>3295232.010747883</v>
      </c>
      <c r="AZ1852" s="2">
        <f t="shared" ca="1" si="1786"/>
        <v>3633014.6137588578</v>
      </c>
      <c r="BA1852" s="2">
        <f t="shared" ca="1" si="1787"/>
        <v>65279291.29896909</v>
      </c>
      <c r="BB1852" s="2">
        <f t="shared" ca="1" si="1788"/>
        <v>1305585.8259793818</v>
      </c>
      <c r="BC1852" s="2">
        <f t="shared" ca="1" si="1789"/>
        <v>41040091.357131019</v>
      </c>
      <c r="BD1852" s="2">
        <f t="shared" ca="1" si="1790"/>
        <v>-16744643.332066569</v>
      </c>
      <c r="BE1852" s="2">
        <f t="shared" ca="1" si="1791"/>
        <v>2363536.8601585361</v>
      </c>
      <c r="BF1852" s="2">
        <f t="shared" ca="1" si="1792"/>
        <v>2684550.0055236989</v>
      </c>
      <c r="BG1852" s="2">
        <f t="shared" ca="1" si="1793"/>
        <v>2979559.5609669122</v>
      </c>
      <c r="BH1852" s="2">
        <f t="shared" ca="1" si="1794"/>
        <v>3295232.010747883</v>
      </c>
      <c r="BI1852" s="2">
        <f t="shared" ca="1" si="1795"/>
        <v>44673105.970889874</v>
      </c>
      <c r="BJ1852" s="2">
        <f t="shared" ca="1" si="1796"/>
        <v>0.32221533105876343</v>
      </c>
      <c r="BK1852" s="2">
        <f t="shared" ca="1" si="1797"/>
        <v>17069455.478609417</v>
      </c>
    </row>
    <row r="1853" spans="1:63" x14ac:dyDescent="0.3">
      <c r="A1853" s="2">
        <v>1852</v>
      </c>
      <c r="B1853" s="2">
        <f t="shared" ca="1" si="1736"/>
        <v>0.9412145410243935</v>
      </c>
      <c r="C1853" s="2">
        <f t="shared" ca="1" si="1737"/>
        <v>7.6571138411203901</v>
      </c>
      <c r="D1853" s="2">
        <f t="shared" ca="1" si="1738"/>
        <v>0.56684240955900156</v>
      </c>
      <c r="E1853" s="2">
        <f t="shared" ca="1" si="1739"/>
        <v>7.569239461041672</v>
      </c>
      <c r="F1853" s="2">
        <f t="shared" ca="1" si="1740"/>
        <v>0.22387909077333934</v>
      </c>
      <c r="G1853" s="2">
        <f t="shared" ca="1" si="1741"/>
        <v>1.7225266747513641E-2</v>
      </c>
      <c r="H1853" s="2">
        <f t="shared" ca="1" si="1742"/>
        <v>1.7225266747513641E-2</v>
      </c>
      <c r="I1853" s="2">
        <f t="shared" ca="1" si="1743"/>
        <v>0.20821873690459403</v>
      </c>
      <c r="J1853" s="2">
        <f t="shared" ca="1" si="1744"/>
        <v>5.9369131877086726E-3</v>
      </c>
      <c r="K1853" s="2">
        <f t="shared" ca="1" si="1745"/>
        <v>5.9369131877086726E-3</v>
      </c>
      <c r="L1853" s="2">
        <f t="shared" ca="1" si="1746"/>
        <v>0.12360351626922961</v>
      </c>
      <c r="M1853" s="2">
        <f t="shared" ca="1" si="1747"/>
        <v>-2.3143198248073045E-2</v>
      </c>
      <c r="N1853" s="2">
        <f t="shared" ca="1" si="1748"/>
        <v>-2.3143198248073045E-2</v>
      </c>
      <c r="O1853" s="2">
        <f t="shared" si="1749"/>
        <v>6000000</v>
      </c>
      <c r="P1853" s="2">
        <f t="shared" ca="1" si="1750"/>
        <v>45942683.046722338</v>
      </c>
      <c r="Q1853" s="2">
        <f t="shared" ca="1" si="1751"/>
        <v>1148567.0761680584</v>
      </c>
      <c r="R1853" s="2">
        <f t="shared" ca="1" si="1752"/>
        <v>27565609.828033403</v>
      </c>
      <c r="S1853" s="2">
        <f t="shared" ca="1" si="1753"/>
        <v>18377073.218688935</v>
      </c>
      <c r="T1853" s="2">
        <f t="shared" ca="1" si="1754"/>
        <v>48842840.087596342</v>
      </c>
      <c r="U1853" s="2">
        <f t="shared" ca="1" si="1755"/>
        <v>49684171.036811344</v>
      </c>
      <c r="V1853" s="2">
        <f t="shared" ca="1" si="1756"/>
        <v>50539994.136049516</v>
      </c>
      <c r="W1853" s="2">
        <f t="shared" ca="1" si="1757"/>
        <v>51410559.016460747</v>
      </c>
      <c r="X1853" s="2">
        <f t="shared" ca="1" si="1758"/>
        <v>52296119.609158076</v>
      </c>
      <c r="Y1853" s="2">
        <f t="shared" ca="1" si="1759"/>
        <v>0.12296845659385433</v>
      </c>
      <c r="Z1853" s="2">
        <f t="shared" ca="1" si="1760"/>
        <v>0.12415583923139606</v>
      </c>
      <c r="AA1853" s="2">
        <f t="shared" ca="1" si="1761"/>
        <v>6006128.6612321595</v>
      </c>
      <c r="AB1853" s="2">
        <f t="shared" ca="1" si="1762"/>
        <v>6168579.9515915336</v>
      </c>
      <c r="AC1853" s="2">
        <f t="shared" ca="1" si="1763"/>
        <v>6274835.3867110638</v>
      </c>
      <c r="AD1853" s="2">
        <f t="shared" ca="1" si="1764"/>
        <v>6382921.1000438994</v>
      </c>
      <c r="AE1853" s="2">
        <f t="shared" ca="1" si="1765"/>
        <v>6492868.6186204888</v>
      </c>
      <c r="AF1853" s="2">
        <f t="shared" ca="1" si="1766"/>
        <v>976856.80175192689</v>
      </c>
      <c r="AG1853" s="2">
        <f t="shared" ca="1" si="1767"/>
        <v>993683.42073622695</v>
      </c>
      <c r="AH1853" s="2">
        <f t="shared" ca="1" si="1768"/>
        <v>1010799.8827209903</v>
      </c>
      <c r="AI1853" s="2">
        <f t="shared" ca="1" si="1769"/>
        <v>1028211.1803292149</v>
      </c>
      <c r="AJ1853" s="2">
        <f t="shared" ca="1" si="1770"/>
        <v>1045922.3921831616</v>
      </c>
      <c r="AK1853" s="2">
        <f t="shared" ca="1" si="1771"/>
        <v>0</v>
      </c>
      <c r="AL1853" s="2">
        <f t="shared" ca="1" si="1772"/>
        <v>8413.3094921500233</v>
      </c>
      <c r="AM1853" s="2">
        <f t="shared" ca="1" si="1773"/>
        <v>8558.2309923817211</v>
      </c>
      <c r="AN1853" s="2">
        <f t="shared" ca="1" si="1774"/>
        <v>8705.6488041123011</v>
      </c>
      <c r="AO1853" s="2">
        <f t="shared" ca="1" si="1775"/>
        <v>8855.6059269732978</v>
      </c>
      <c r="AP1853" s="2">
        <f t="shared" ca="1" si="1776"/>
        <v>2480904.8845230062</v>
      </c>
      <c r="AQ1853" s="2">
        <f t="shared" ca="1" si="1777"/>
        <v>662575.41348887898</v>
      </c>
      <c r="AR1853" s="2">
        <f t="shared" ca="1" si="1778"/>
        <v>700437.82804639812</v>
      </c>
      <c r="AS1853" s="2">
        <f t="shared" ca="1" si="1779"/>
        <v>723613.96106143761</v>
      </c>
      <c r="AT1853" s="2">
        <f t="shared" ca="1" si="1780"/>
        <v>747189.30914983642</v>
      </c>
      <c r="AU1853" s="2">
        <f t="shared" ca="1" si="1781"/>
        <v>771170.74889772362</v>
      </c>
      <c r="AV1853" s="2">
        <f t="shared" ca="1" si="1782"/>
        <v>1885791.5614683479</v>
      </c>
      <c r="AW1853" s="2">
        <f t="shared" ca="1" si="1783"/>
        <v>1985140.5087937517</v>
      </c>
      <c r="AX1853" s="2">
        <f t="shared" ca="1" si="1784"/>
        <v>2050958.4274132485</v>
      </c>
      <c r="AY1853" s="2">
        <f t="shared" ca="1" si="1785"/>
        <v>2117910.0772377299</v>
      </c>
      <c r="AZ1853" s="2">
        <f t="shared" ca="1" si="1786"/>
        <v>2186014.9870896237</v>
      </c>
      <c r="BA1853" s="2">
        <f t="shared" ca="1" si="1787"/>
        <v>49146077.363421336</v>
      </c>
      <c r="BB1853" s="2">
        <f t="shared" ca="1" si="1788"/>
        <v>982921.54726842674</v>
      </c>
      <c r="BC1853" s="2">
        <f t="shared" ca="1" si="1789"/>
        <v>20597545.988119505</v>
      </c>
      <c r="BD1853" s="2">
        <f t="shared" ca="1" si="1790"/>
        <v>-20025640.294856995</v>
      </c>
      <c r="BE1853" s="2">
        <f t="shared" ca="1" si="1791"/>
        <v>1885791.5614683479</v>
      </c>
      <c r="BF1853" s="2">
        <f t="shared" ca="1" si="1792"/>
        <v>1985140.5087937517</v>
      </c>
      <c r="BG1853" s="2">
        <f t="shared" ca="1" si="1793"/>
        <v>2050958.4274132485</v>
      </c>
      <c r="BH1853" s="2">
        <f t="shared" ca="1" si="1794"/>
        <v>2117910.0772377299</v>
      </c>
      <c r="BI1853" s="2">
        <f t="shared" ca="1" si="1795"/>
        <v>22783560.975209128</v>
      </c>
      <c r="BJ1853" s="2">
        <f t="shared" ca="1" si="1796"/>
        <v>0.10601164890774339</v>
      </c>
      <c r="BK1853" s="2">
        <f t="shared" ca="1" si="1797"/>
        <v>-1025549.7630959079</v>
      </c>
    </row>
    <row r="1854" spans="1:63" x14ac:dyDescent="0.3">
      <c r="A1854" s="2">
        <v>1853</v>
      </c>
      <c r="B1854" s="2">
        <f t="shared" ca="1" si="1736"/>
        <v>0.28511765313815474</v>
      </c>
      <c r="C1854" s="2">
        <f t="shared" ca="1" si="1737"/>
        <v>6.7551392628358755</v>
      </c>
      <c r="D1854" s="2">
        <f t="shared" ca="1" si="1738"/>
        <v>0.52793261764689425</v>
      </c>
      <c r="E1854" s="2">
        <f t="shared" ca="1" si="1739"/>
        <v>7.5283340261662905</v>
      </c>
      <c r="F1854" s="2">
        <f t="shared" ca="1" si="1740"/>
        <v>3.9438703774200223E-2</v>
      </c>
      <c r="G1854" s="2">
        <f t="shared" ca="1" si="1741"/>
        <v>-1.2717112379943114E-2</v>
      </c>
      <c r="H1854" s="2">
        <f t="shared" ca="1" si="1742"/>
        <v>-1.2717112379943114E-2</v>
      </c>
      <c r="I1854" s="2">
        <f t="shared" ca="1" si="1743"/>
        <v>0.13135359953127723</v>
      </c>
      <c r="J1854" s="2">
        <f t="shared" ca="1" si="1744"/>
        <v>4.3999229935491489E-3</v>
      </c>
      <c r="K1854" s="2">
        <f t="shared" ca="1" si="1745"/>
        <v>4.3999229935491489E-3</v>
      </c>
      <c r="L1854" s="2">
        <f t="shared" ca="1" si="1746"/>
        <v>0.63670167009276712</v>
      </c>
      <c r="M1854" s="2">
        <f t="shared" ca="1" si="1747"/>
        <v>6.9931258283645005E-3</v>
      </c>
      <c r="N1854" s="2">
        <f t="shared" ca="1" si="1748"/>
        <v>6.9931258283645005E-3</v>
      </c>
      <c r="O1854" s="2">
        <f t="shared" si="1749"/>
        <v>6000000</v>
      </c>
      <c r="P1854" s="2">
        <f t="shared" ca="1" si="1750"/>
        <v>40530835.577015251</v>
      </c>
      <c r="Q1854" s="2">
        <f t="shared" ca="1" si="1751"/>
        <v>1013270.8894253813</v>
      </c>
      <c r="R1854" s="2">
        <f t="shared" ca="1" si="1752"/>
        <v>24318501.34620915</v>
      </c>
      <c r="S1854" s="2">
        <f t="shared" ca="1" si="1753"/>
        <v>16212334.230806101</v>
      </c>
      <c r="T1854" s="2">
        <f t="shared" ca="1" si="1754"/>
        <v>50349656.291418225</v>
      </c>
      <c r="U1854" s="2">
        <f t="shared" ca="1" si="1755"/>
        <v>49709354.054068752</v>
      </c>
      <c r="V1854" s="2">
        <f t="shared" ca="1" si="1756"/>
        <v>49077194.612228781</v>
      </c>
      <c r="W1854" s="2">
        <f t="shared" ca="1" si="1757"/>
        <v>48453074.41305273</v>
      </c>
      <c r="X1854" s="2">
        <f t="shared" ca="1" si="1758"/>
        <v>47836891.220588192</v>
      </c>
      <c r="Y1854" s="2">
        <f t="shared" ca="1" si="1759"/>
        <v>0.12219996149677458</v>
      </c>
      <c r="Z1854" s="2">
        <f t="shared" ca="1" si="1760"/>
        <v>0.12307994609548439</v>
      </c>
      <c r="AA1854" s="2">
        <f t="shared" ca="1" si="1761"/>
        <v>6152726.0601871405</v>
      </c>
      <c r="AB1854" s="2">
        <f t="shared" ca="1" si="1762"/>
        <v>6118224.6174161304</v>
      </c>
      <c r="AC1854" s="2">
        <f t="shared" ca="1" si="1763"/>
        <v>6040418.4673907151</v>
      </c>
      <c r="AD1854" s="2">
        <f t="shared" ca="1" si="1764"/>
        <v>5963601.7869190238</v>
      </c>
      <c r="AE1854" s="2">
        <f t="shared" ca="1" si="1765"/>
        <v>5887761.9928055452</v>
      </c>
      <c r="AF1854" s="2">
        <f t="shared" ca="1" si="1766"/>
        <v>1006993.1258283645</v>
      </c>
      <c r="AG1854" s="2">
        <f t="shared" ca="1" si="1767"/>
        <v>994187.08108137501</v>
      </c>
      <c r="AH1854" s="2">
        <f t="shared" ca="1" si="1768"/>
        <v>981543.89224457566</v>
      </c>
      <c r="AI1854" s="2">
        <f t="shared" ca="1" si="1769"/>
        <v>969061.48826105462</v>
      </c>
      <c r="AJ1854" s="2">
        <f t="shared" ca="1" si="1770"/>
        <v>956737.82441176381</v>
      </c>
      <c r="AK1854" s="2">
        <f t="shared" ca="1" si="1771"/>
        <v>0</v>
      </c>
      <c r="AL1854" s="2">
        <f t="shared" ca="1" si="1772"/>
        <v>0</v>
      </c>
      <c r="AM1854" s="2">
        <f t="shared" ca="1" si="1773"/>
        <v>0</v>
      </c>
      <c r="AN1854" s="2">
        <f t="shared" ca="1" si="1774"/>
        <v>0</v>
      </c>
      <c r="AO1854" s="2">
        <f t="shared" ca="1" si="1775"/>
        <v>0</v>
      </c>
      <c r="AP1854" s="2">
        <f t="shared" ca="1" si="1776"/>
        <v>2188665.1211588234</v>
      </c>
      <c r="AQ1854" s="2">
        <f t="shared" ca="1" si="1777"/>
        <v>768837.63143198763</v>
      </c>
      <c r="AR1854" s="2">
        <f t="shared" ca="1" si="1778"/>
        <v>763196.82794574217</v>
      </c>
      <c r="AS1854" s="2">
        <f t="shared" ca="1" si="1779"/>
        <v>746254.45803670224</v>
      </c>
      <c r="AT1854" s="2">
        <f t="shared" ca="1" si="1780"/>
        <v>729527.54614977806</v>
      </c>
      <c r="AU1854" s="2">
        <f t="shared" ca="1" si="1781"/>
        <v>713013.35228108906</v>
      </c>
      <c r="AV1854" s="2">
        <f t="shared" ca="1" si="1782"/>
        <v>2188230.1817679647</v>
      </c>
      <c r="AW1854" s="2">
        <f t="shared" ca="1" si="1783"/>
        <v>2172175.5872301897</v>
      </c>
      <c r="AX1854" s="2">
        <f t="shared" ca="1" si="1784"/>
        <v>2123954.9959506141</v>
      </c>
      <c r="AY1854" s="2">
        <f t="shared" ca="1" si="1785"/>
        <v>2076347.631349368</v>
      </c>
      <c r="AZ1854" s="2">
        <f t="shared" ca="1" si="1786"/>
        <v>2029345.6949538691</v>
      </c>
      <c r="BA1854" s="2">
        <f t="shared" ca="1" si="1787"/>
        <v>44325038.948406629</v>
      </c>
      <c r="BB1854" s="2">
        <f t="shared" ca="1" si="1788"/>
        <v>886500.77896813257</v>
      </c>
      <c r="BC1854" s="2">
        <f t="shared" ca="1" si="1789"/>
        <v>19120036.823229346</v>
      </c>
      <c r="BD1854" s="2">
        <f t="shared" ca="1" si="1790"/>
        <v>-17725605.120231483</v>
      </c>
      <c r="BE1854" s="2">
        <f t="shared" ca="1" si="1791"/>
        <v>2188230.1817679647</v>
      </c>
      <c r="BF1854" s="2">
        <f t="shared" ca="1" si="1792"/>
        <v>2172175.5872301897</v>
      </c>
      <c r="BG1854" s="2">
        <f t="shared" ca="1" si="1793"/>
        <v>2123954.9959506141</v>
      </c>
      <c r="BH1854" s="2">
        <f t="shared" ca="1" si="1794"/>
        <v>2076347.631349368</v>
      </c>
      <c r="BI1854" s="2">
        <f t="shared" ca="1" si="1795"/>
        <v>21149382.518183216</v>
      </c>
      <c r="BJ1854" s="2">
        <f t="shared" ca="1" si="1796"/>
        <v>0.13214668628182258</v>
      </c>
      <c r="BK1854" s="2">
        <f t="shared" ca="1" si="1797"/>
        <v>791890.19970177114</v>
      </c>
    </row>
    <row r="1855" spans="1:63" x14ac:dyDescent="0.3">
      <c r="A1855" s="2">
        <v>1854</v>
      </c>
      <c r="B1855" s="2">
        <f t="shared" ca="1" si="1736"/>
        <v>0.13970245840228546</v>
      </c>
      <c r="C1855" s="2">
        <f t="shared" ca="1" si="1737"/>
        <v>6.5285876623650712</v>
      </c>
      <c r="D1855" s="2">
        <f t="shared" ca="1" si="1738"/>
        <v>0.83668533097606179</v>
      </c>
      <c r="E1855" s="2">
        <f t="shared" ca="1" si="1739"/>
        <v>7.9284850500224193</v>
      </c>
      <c r="F1855" s="2">
        <f t="shared" ca="1" si="1740"/>
        <v>0.78359575726990383</v>
      </c>
      <c r="G1855" s="2">
        <f t="shared" ca="1" si="1741"/>
        <v>6.3531844164082446E-2</v>
      </c>
      <c r="H1855" s="2">
        <f t="shared" ca="1" si="1742"/>
        <v>6.3531844164082446E-2</v>
      </c>
      <c r="I1855" s="2">
        <f t="shared" ca="1" si="1743"/>
        <v>6.5478285349165888E-2</v>
      </c>
      <c r="J1855" s="2">
        <f t="shared" ca="1" si="1744"/>
        <v>2.4482976602932457E-3</v>
      </c>
      <c r="K1855" s="2">
        <f t="shared" ca="1" si="1745"/>
        <v>2.4482976602932457E-3</v>
      </c>
      <c r="L1855" s="2">
        <f t="shared" ca="1" si="1746"/>
        <v>0.94952471468817667</v>
      </c>
      <c r="M1855" s="2">
        <f t="shared" ca="1" si="1747"/>
        <v>3.2805252742274131E-2</v>
      </c>
      <c r="N1855" s="2">
        <f t="shared" ca="1" si="1748"/>
        <v>3.2805252742274131E-2</v>
      </c>
      <c r="O1855" s="2">
        <f t="shared" si="1749"/>
        <v>6000000</v>
      </c>
      <c r="P1855" s="2">
        <f t="shared" ca="1" si="1750"/>
        <v>39171525.974190429</v>
      </c>
      <c r="Q1855" s="2">
        <f t="shared" ca="1" si="1751"/>
        <v>979288.14935476077</v>
      </c>
      <c r="R1855" s="2">
        <f t="shared" ca="1" si="1752"/>
        <v>23502915.584514257</v>
      </c>
      <c r="S1855" s="2">
        <f t="shared" ca="1" si="1753"/>
        <v>15668610.389676172</v>
      </c>
      <c r="T1855" s="2">
        <f t="shared" ca="1" si="1754"/>
        <v>51640262.637113713</v>
      </c>
      <c r="U1855" s="2">
        <f t="shared" ca="1" si="1755"/>
        <v>54921063.755567111</v>
      </c>
      <c r="V1855" s="2">
        <f t="shared" ca="1" si="1756"/>
        <v>58410300.219411433</v>
      </c>
      <c r="W1855" s="2">
        <f t="shared" ca="1" si="1757"/>
        <v>62121214.310528345</v>
      </c>
      <c r="X1855" s="2">
        <f t="shared" ca="1" si="1758"/>
        <v>66067889.617388397</v>
      </c>
      <c r="Y1855" s="2">
        <f t="shared" ca="1" si="1759"/>
        <v>0.12122414883014662</v>
      </c>
      <c r="Z1855" s="2">
        <f t="shared" ca="1" si="1760"/>
        <v>0.12171380836220527</v>
      </c>
      <c r="AA1855" s="2">
        <f t="shared" ca="1" si="1761"/>
        <v>6260046.8835493326</v>
      </c>
      <c r="AB1855" s="2">
        <f t="shared" ca="1" si="1762"/>
        <v>6684651.8289935533</v>
      </c>
      <c r="AC1855" s="2">
        <f t="shared" ca="1" si="1763"/>
        <v>7109340.08728432</v>
      </c>
      <c r="AD1855" s="2">
        <f t="shared" ca="1" si="1764"/>
        <v>7561009.5738191307</v>
      </c>
      <c r="AE1855" s="2">
        <f t="shared" ca="1" si="1765"/>
        <v>8041374.4557861425</v>
      </c>
      <c r="AF1855" s="2">
        <f t="shared" ca="1" si="1766"/>
        <v>1032805.2527422743</v>
      </c>
      <c r="AG1855" s="2">
        <f t="shared" ca="1" si="1767"/>
        <v>1098421.2751113423</v>
      </c>
      <c r="AH1855" s="2">
        <f t="shared" ca="1" si="1768"/>
        <v>1168206.0043882288</v>
      </c>
      <c r="AI1855" s="2">
        <f t="shared" ca="1" si="1769"/>
        <v>1242424.286210567</v>
      </c>
      <c r="AJ1855" s="2">
        <f t="shared" ca="1" si="1770"/>
        <v>1321357.7923477681</v>
      </c>
      <c r="AK1855" s="2">
        <f t="shared" ca="1" si="1771"/>
        <v>0</v>
      </c>
      <c r="AL1855" s="2">
        <f t="shared" ca="1" si="1772"/>
        <v>32808.011184533985</v>
      </c>
      <c r="AM1855" s="2">
        <f t="shared" ca="1" si="1773"/>
        <v>34892.364638443214</v>
      </c>
      <c r="AN1855" s="2">
        <f t="shared" ca="1" si="1774"/>
        <v>37109.140911169125</v>
      </c>
      <c r="AO1855" s="2">
        <f t="shared" ca="1" si="1775"/>
        <v>39466.753068600519</v>
      </c>
      <c r="AP1855" s="2">
        <f t="shared" ca="1" si="1776"/>
        <v>2115262.4026062828</v>
      </c>
      <c r="AQ1855" s="2">
        <f t="shared" ca="1" si="1777"/>
        <v>809114.59933220153</v>
      </c>
      <c r="AR1855" s="2">
        <f t="shared" ca="1" si="1778"/>
        <v>902451.71933174145</v>
      </c>
      <c r="AS1855" s="2">
        <f t="shared" ca="1" si="1779"/>
        <v>994726.63687535014</v>
      </c>
      <c r="AT1855" s="2">
        <f t="shared" ca="1" si="1780"/>
        <v>1092863.9501005933</v>
      </c>
      <c r="AU1855" s="2">
        <f t="shared" ca="1" si="1781"/>
        <v>1197236.1078163439</v>
      </c>
      <c r="AV1855" s="2">
        <f t="shared" ca="1" si="1782"/>
        <v>2302864.6288685738</v>
      </c>
      <c r="AW1855" s="2">
        <f t="shared" ca="1" si="1783"/>
        <v>2535708.4207596532</v>
      </c>
      <c r="AX1855" s="2">
        <f t="shared" ca="1" si="1784"/>
        <v>2796252.6787760151</v>
      </c>
      <c r="AY1855" s="2">
        <f t="shared" ca="1" si="1785"/>
        <v>3073349.7939905184</v>
      </c>
      <c r="AZ1855" s="2">
        <f t="shared" ca="1" si="1786"/>
        <v>3368051.3999471464</v>
      </c>
      <c r="BA1855" s="2">
        <f t="shared" ca="1" si="1787"/>
        <v>63755917.154332601</v>
      </c>
      <c r="BB1855" s="2">
        <f t="shared" ca="1" si="1788"/>
        <v>1275118.343086652</v>
      </c>
      <c r="BC1855" s="2">
        <f t="shared" ca="1" si="1789"/>
        <v>38977883.226731695</v>
      </c>
      <c r="BD1855" s="2">
        <f t="shared" ca="1" si="1790"/>
        <v>-17147898.539030932</v>
      </c>
      <c r="BE1855" s="2">
        <f t="shared" ca="1" si="1791"/>
        <v>2302864.6288685738</v>
      </c>
      <c r="BF1855" s="2">
        <f t="shared" ca="1" si="1792"/>
        <v>2535708.4207596532</v>
      </c>
      <c r="BG1855" s="2">
        <f t="shared" ca="1" si="1793"/>
        <v>2796252.6787760151</v>
      </c>
      <c r="BH1855" s="2">
        <f t="shared" ca="1" si="1794"/>
        <v>3073349.7939905184</v>
      </c>
      <c r="BI1855" s="2">
        <f t="shared" ca="1" si="1795"/>
        <v>42345934.626678839</v>
      </c>
      <c r="BJ1855" s="2">
        <f t="shared" ca="1" si="1796"/>
        <v>0.29773848672353487</v>
      </c>
      <c r="BK1855" s="2">
        <f t="shared" ca="1" si="1797"/>
        <v>14901389.139844168</v>
      </c>
    </row>
    <row r="1856" spans="1:63" x14ac:dyDescent="0.3">
      <c r="A1856" s="2">
        <v>1855</v>
      </c>
      <c r="B1856" s="2">
        <f t="shared" ca="1" si="1736"/>
        <v>0.45087933639336952</v>
      </c>
      <c r="C1856" s="2">
        <f t="shared" ca="1" si="1737"/>
        <v>6.9496097476262229</v>
      </c>
      <c r="D1856" s="2">
        <f t="shared" ca="1" si="1738"/>
        <v>0.84298316080136104</v>
      </c>
      <c r="E1856" s="2">
        <f t="shared" ca="1" si="1739"/>
        <v>7.9396129209222632</v>
      </c>
      <c r="F1856" s="2">
        <f t="shared" ca="1" si="1740"/>
        <v>0.82512314570121381</v>
      </c>
      <c r="G1856" s="2">
        <f t="shared" ca="1" si="1741"/>
        <v>6.8052013684082438E-2</v>
      </c>
      <c r="H1856" s="2">
        <f t="shared" ca="1" si="1742"/>
        <v>6.8052013684082438E-2</v>
      </c>
      <c r="I1856" s="2">
        <f t="shared" ca="1" si="1743"/>
        <v>0.37432615897248023</v>
      </c>
      <c r="J1856" s="2">
        <f t="shared" ca="1" si="1744"/>
        <v>8.3979155128980978E-3</v>
      </c>
      <c r="K1856" s="2">
        <f t="shared" ca="1" si="1745"/>
        <v>8.3979155128980978E-3</v>
      </c>
      <c r="L1856" s="2">
        <f t="shared" ca="1" si="1746"/>
        <v>0.11233004989740725</v>
      </c>
      <c r="M1856" s="2">
        <f t="shared" ca="1" si="1747"/>
        <v>-2.4284589929701852E-2</v>
      </c>
      <c r="N1856" s="2">
        <f t="shared" ca="1" si="1748"/>
        <v>-2.4284589929701852E-2</v>
      </c>
      <c r="O1856" s="2">
        <f t="shared" si="1749"/>
        <v>6000000</v>
      </c>
      <c r="P1856" s="2">
        <f t="shared" ca="1" si="1750"/>
        <v>41697658.485757336</v>
      </c>
      <c r="Q1856" s="2">
        <f t="shared" ca="1" si="1751"/>
        <v>1042441.4621439334</v>
      </c>
      <c r="R1856" s="2">
        <f t="shared" ca="1" si="1752"/>
        <v>25018595.091454402</v>
      </c>
      <c r="S1856" s="2">
        <f t="shared" ca="1" si="1753"/>
        <v>16679063.394302934</v>
      </c>
      <c r="T1856" s="2">
        <f t="shared" ca="1" si="1754"/>
        <v>48785770.503514908</v>
      </c>
      <c r="U1856" s="2">
        <f t="shared" ca="1" si="1755"/>
        <v>52105740.425408617</v>
      </c>
      <c r="V1856" s="2">
        <f t="shared" ca="1" si="1756"/>
        <v>55651640.985857777</v>
      </c>
      <c r="W1856" s="2">
        <f t="shared" ca="1" si="1757"/>
        <v>59438847.219769016</v>
      </c>
      <c r="X1856" s="2">
        <f t="shared" ca="1" si="1758"/>
        <v>63483780.464134827</v>
      </c>
      <c r="Y1856" s="2">
        <f t="shared" ca="1" si="1759"/>
        <v>0.12419895775644904</v>
      </c>
      <c r="Z1856" s="2">
        <f t="shared" ca="1" si="1760"/>
        <v>0.12587854085902866</v>
      </c>
      <c r="AA1856" s="2">
        <f t="shared" ca="1" si="1761"/>
        <v>6059141.849881866</v>
      </c>
      <c r="AB1856" s="2">
        <f t="shared" ca="1" si="1762"/>
        <v>6558994.5751297399</v>
      </c>
      <c r="AC1856" s="2">
        <f t="shared" ca="1" si="1763"/>
        <v>7005347.3637102926</v>
      </c>
      <c r="AD1856" s="2">
        <f t="shared" ca="1" si="1764"/>
        <v>7482075.3583672568</v>
      </c>
      <c r="AE1856" s="2">
        <f t="shared" ca="1" si="1765"/>
        <v>7991245.6530402014</v>
      </c>
      <c r="AF1856" s="2">
        <f t="shared" ca="1" si="1766"/>
        <v>975715.41007029824</v>
      </c>
      <c r="AG1856" s="2">
        <f t="shared" ca="1" si="1767"/>
        <v>1042114.8085081724</v>
      </c>
      <c r="AH1856" s="2">
        <f t="shared" ca="1" si="1768"/>
        <v>1113032.8197171555</v>
      </c>
      <c r="AI1856" s="2">
        <f t="shared" ca="1" si="1769"/>
        <v>1188776.9443953803</v>
      </c>
      <c r="AJ1856" s="2">
        <f t="shared" ca="1" si="1770"/>
        <v>1269675.6092826966</v>
      </c>
      <c r="AK1856" s="2">
        <f t="shared" ca="1" si="1771"/>
        <v>0</v>
      </c>
      <c r="AL1856" s="2">
        <f t="shared" ca="1" si="1772"/>
        <v>33199.699218937087</v>
      </c>
      <c r="AM1856" s="2">
        <f t="shared" ca="1" si="1773"/>
        <v>35459.005604491605</v>
      </c>
      <c r="AN1856" s="2">
        <f t="shared" ca="1" si="1774"/>
        <v>37872.062339112388</v>
      </c>
      <c r="AO1856" s="2">
        <f t="shared" ca="1" si="1775"/>
        <v>40449.332443658117</v>
      </c>
      <c r="AP1856" s="2">
        <f t="shared" ca="1" si="1776"/>
        <v>2251673.558230896</v>
      </c>
      <c r="AQ1856" s="2">
        <f t="shared" ca="1" si="1777"/>
        <v>736255.74921097467</v>
      </c>
      <c r="AR1856" s="2">
        <f t="shared" ca="1" si="1778"/>
        <v>848953.61418157455</v>
      </c>
      <c r="AS1856" s="2">
        <f t="shared" ca="1" si="1779"/>
        <v>946566.65629818267</v>
      </c>
      <c r="AT1856" s="2">
        <f t="shared" ca="1" si="1780"/>
        <v>1050822.462492655</v>
      </c>
      <c r="AU1856" s="2">
        <f t="shared" ca="1" si="1781"/>
        <v>1162173.0862369181</v>
      </c>
      <c r="AV1856" s="2">
        <f t="shared" ca="1" si="1782"/>
        <v>2095497.1323696966</v>
      </c>
      <c r="AW1856" s="2">
        <f t="shared" ca="1" si="1783"/>
        <v>2383052.8949901597</v>
      </c>
      <c r="AX1856" s="2">
        <f t="shared" ca="1" si="1784"/>
        <v>2658615.3238595664</v>
      </c>
      <c r="AY1856" s="2">
        <f t="shared" ca="1" si="1785"/>
        <v>2952930.3309092135</v>
      </c>
      <c r="AZ1856" s="2">
        <f t="shared" ca="1" si="1786"/>
        <v>3267274.0668460322</v>
      </c>
      <c r="BA1856" s="2">
        <f t="shared" ca="1" si="1787"/>
        <v>63447397.241141856</v>
      </c>
      <c r="BB1856" s="2">
        <f t="shared" ca="1" si="1788"/>
        <v>1268947.9448228371</v>
      </c>
      <c r="BC1856" s="2">
        <f t="shared" ca="1" si="1789"/>
        <v>37159854.204864614</v>
      </c>
      <c r="BD1856" s="2">
        <f t="shared" ca="1" si="1790"/>
        <v>-18221504.85644687</v>
      </c>
      <c r="BE1856" s="2">
        <f t="shared" ca="1" si="1791"/>
        <v>2095497.1323696966</v>
      </c>
      <c r="BF1856" s="2">
        <f t="shared" ca="1" si="1792"/>
        <v>2383052.8949901597</v>
      </c>
      <c r="BG1856" s="2">
        <f t="shared" ca="1" si="1793"/>
        <v>2658615.3238595664</v>
      </c>
      <c r="BH1856" s="2">
        <f t="shared" ca="1" si="1794"/>
        <v>2952930.3309092135</v>
      </c>
      <c r="BI1856" s="2">
        <f t="shared" ca="1" si="1795"/>
        <v>40427128.271710649</v>
      </c>
      <c r="BJ1856" s="2">
        <f t="shared" ca="1" si="1796"/>
        <v>0.26284980729714746</v>
      </c>
      <c r="BK1856" s="2">
        <f t="shared" ca="1" si="1797"/>
        <v>12257658.668361783</v>
      </c>
    </row>
    <row r="1857" spans="1:63" x14ac:dyDescent="0.3">
      <c r="A1857" s="2">
        <v>1856</v>
      </c>
      <c r="B1857" s="2">
        <f t="shared" ca="1" si="1736"/>
        <v>0.34383235718559568</v>
      </c>
      <c r="C1857" s="2">
        <f t="shared" ca="1" si="1737"/>
        <v>6.8292555181433476</v>
      </c>
      <c r="D1857" s="2">
        <f t="shared" ca="1" si="1738"/>
        <v>0.21278718274673714</v>
      </c>
      <c r="E1857" s="2">
        <f t="shared" ca="1" si="1739"/>
        <v>7.1523606100106552</v>
      </c>
      <c r="F1857" s="2">
        <f t="shared" ca="1" si="1740"/>
        <v>0.65377233007178814</v>
      </c>
      <c r="G1857" s="2">
        <f t="shared" ca="1" si="1741"/>
        <v>5.1865755503535338E-2</v>
      </c>
      <c r="H1857" s="2">
        <f t="shared" ca="1" si="1742"/>
        <v>5.1865755503535338E-2</v>
      </c>
      <c r="I1857" s="2">
        <f t="shared" ca="1" si="1743"/>
        <v>0.44680974264545759</v>
      </c>
      <c r="J1857" s="2">
        <f t="shared" ca="1" si="1744"/>
        <v>9.3313715206484772E-3</v>
      </c>
      <c r="K1857" s="2">
        <f t="shared" ca="1" si="1745"/>
        <v>9.3313715206484772E-3</v>
      </c>
      <c r="L1857" s="2">
        <f t="shared" ca="1" si="1746"/>
        <v>0.42662884502466436</v>
      </c>
      <c r="M1857" s="2">
        <f t="shared" ca="1" si="1747"/>
        <v>-3.6992693442554287E-3</v>
      </c>
      <c r="N1857" s="2">
        <f t="shared" ca="1" si="1748"/>
        <v>-3.6992693442554287E-3</v>
      </c>
      <c r="O1857" s="2">
        <f t="shared" si="1749"/>
        <v>6000000</v>
      </c>
      <c r="P1857" s="2">
        <f t="shared" ca="1" si="1750"/>
        <v>40975533.108860083</v>
      </c>
      <c r="Q1857" s="2">
        <f t="shared" ca="1" si="1751"/>
        <v>1024388.3277215022</v>
      </c>
      <c r="R1857" s="2">
        <f t="shared" ca="1" si="1752"/>
        <v>24585319.865316048</v>
      </c>
      <c r="S1857" s="2">
        <f t="shared" ca="1" si="1753"/>
        <v>16390213.243544035</v>
      </c>
      <c r="T1857" s="2">
        <f t="shared" ca="1" si="1754"/>
        <v>49815036.532787226</v>
      </c>
      <c r="U1857" s="2">
        <f t="shared" ca="1" si="1755"/>
        <v>52398731.037996449</v>
      </c>
      <c r="V1857" s="2">
        <f t="shared" ca="1" si="1756"/>
        <v>55116430.810708679</v>
      </c>
      <c r="W1857" s="2">
        <f t="shared" ca="1" si="1757"/>
        <v>57975086.135364421</v>
      </c>
      <c r="X1857" s="2">
        <f t="shared" ca="1" si="1758"/>
        <v>60982007.778157637</v>
      </c>
      <c r="Y1857" s="2">
        <f t="shared" ca="1" si="1759"/>
        <v>0.12466568576032423</v>
      </c>
      <c r="Z1857" s="2">
        <f t="shared" ca="1" si="1760"/>
        <v>0.12653196006445394</v>
      </c>
      <c r="AA1857" s="2">
        <f t="shared" ca="1" si="1761"/>
        <v>6210225.6905355239</v>
      </c>
      <c r="AB1857" s="2">
        <f t="shared" ca="1" si="1762"/>
        <v>6630114.1431278298</v>
      </c>
      <c r="AC1857" s="2">
        <f t="shared" ca="1" si="1763"/>
        <v>6973990.0222358294</v>
      </c>
      <c r="AD1857" s="2">
        <f t="shared" ca="1" si="1764"/>
        <v>7335701.2836132087</v>
      </c>
      <c r="AE1857" s="2">
        <f t="shared" ca="1" si="1765"/>
        <v>7716172.9728360614</v>
      </c>
      <c r="AF1857" s="2">
        <f t="shared" ca="1" si="1766"/>
        <v>996300.73065574456</v>
      </c>
      <c r="AG1857" s="2">
        <f t="shared" ca="1" si="1767"/>
        <v>1047974.6207599289</v>
      </c>
      <c r="AH1857" s="2">
        <f t="shared" ca="1" si="1768"/>
        <v>1102328.6162141736</v>
      </c>
      <c r="AI1857" s="2">
        <f t="shared" ca="1" si="1769"/>
        <v>1159501.7227072883</v>
      </c>
      <c r="AJ1857" s="2">
        <f t="shared" ca="1" si="1770"/>
        <v>1219640.1555631529</v>
      </c>
      <c r="AK1857" s="2">
        <f t="shared" ca="1" si="1771"/>
        <v>0</v>
      </c>
      <c r="AL1857" s="2">
        <f t="shared" ca="1" si="1772"/>
        <v>25836.945052092226</v>
      </c>
      <c r="AM1857" s="2">
        <f t="shared" ca="1" si="1773"/>
        <v>27176.997727122307</v>
      </c>
      <c r="AN1857" s="2">
        <f t="shared" ca="1" si="1774"/>
        <v>28586.553246557414</v>
      </c>
      <c r="AO1857" s="2">
        <f t="shared" ca="1" si="1775"/>
        <v>30069.216427932159</v>
      </c>
      <c r="AP1857" s="2">
        <f t="shared" ca="1" si="1776"/>
        <v>2212678.7878784444</v>
      </c>
      <c r="AQ1857" s="2">
        <f t="shared" ca="1" si="1777"/>
        <v>780324.00472034712</v>
      </c>
      <c r="AR1857" s="2">
        <f t="shared" ca="1" si="1778"/>
        <v>876059.79096725874</v>
      </c>
      <c r="AS1857" s="2">
        <f t="shared" ca="1" si="1779"/>
        <v>951335.4807172349</v>
      </c>
      <c r="AT1857" s="2">
        <f t="shared" ca="1" si="1780"/>
        <v>1030515.4009871437</v>
      </c>
      <c r="AU1857" s="2">
        <f t="shared" ca="1" si="1781"/>
        <v>1113802.0476425609</v>
      </c>
      <c r="AV1857" s="2">
        <f t="shared" ca="1" si="1782"/>
        <v>2220922.1672809878</v>
      </c>
      <c r="AW1857" s="2">
        <f t="shared" ca="1" si="1783"/>
        <v>2467563.9984701062</v>
      </c>
      <c r="AX1857" s="2">
        <f t="shared" ca="1" si="1784"/>
        <v>2680470.1396988537</v>
      </c>
      <c r="AY1857" s="2">
        <f t="shared" ca="1" si="1785"/>
        <v>2904418.8187937746</v>
      </c>
      <c r="AZ1857" s="2">
        <f t="shared" ca="1" si="1786"/>
        <v>3139982.7653239714</v>
      </c>
      <c r="BA1857" s="2">
        <f t="shared" ca="1" si="1787"/>
        <v>55188851.630941465</v>
      </c>
      <c r="BB1857" s="2">
        <f t="shared" ca="1" si="1788"/>
        <v>1103777.0326188293</v>
      </c>
      <c r="BC1857" s="2">
        <f t="shared" ca="1" si="1789"/>
        <v>29499754.733006589</v>
      </c>
      <c r="BD1857" s="2">
        <f t="shared" ca="1" si="1790"/>
        <v>-17914601.571265537</v>
      </c>
      <c r="BE1857" s="2">
        <f t="shared" ca="1" si="1791"/>
        <v>2220922.1672809878</v>
      </c>
      <c r="BF1857" s="2">
        <f t="shared" ca="1" si="1792"/>
        <v>2467563.9984701062</v>
      </c>
      <c r="BG1857" s="2">
        <f t="shared" ca="1" si="1793"/>
        <v>2680470.1396988537</v>
      </c>
      <c r="BH1857" s="2">
        <f t="shared" ca="1" si="1794"/>
        <v>2904418.8187937746</v>
      </c>
      <c r="BI1857" s="2">
        <f t="shared" ca="1" si="1795"/>
        <v>32639737.49833056</v>
      </c>
      <c r="BJ1857" s="2">
        <f t="shared" ca="1" si="1796"/>
        <v>0.227049680170337</v>
      </c>
      <c r="BK1857" s="2">
        <f t="shared" ca="1" si="1797"/>
        <v>8309871.5486188531</v>
      </c>
    </row>
    <row r="1858" spans="1:63" x14ac:dyDescent="0.3">
      <c r="A1858" s="2">
        <v>1857</v>
      </c>
      <c r="B1858" s="2">
        <f t="shared" ref="B1858:B1921" ca="1" si="1798">RAND()</f>
        <v>0.92546573124027143</v>
      </c>
      <c r="C1858" s="2">
        <f t="shared" ref="C1858:C1921" ca="1" si="1799">IF(B1858&lt;((P_Mode)-(P_Low))/((P_High)-(P_Low)), (P_Low)+SQRT(B1858*((P_High)-(P_Low))*((P_Mode)-(P_Low))), (P_High)-SQRT((1-B1858)*((P_High)-(P_Low))*((P_High)-(P_Mode))))</f>
        <v>7.6139060509157686</v>
      </c>
      <c r="D1858" s="2">
        <f t="shared" ref="D1858:D1921" ca="1" si="1800">RAND()</f>
        <v>0.3581032864859014</v>
      </c>
      <c r="E1858" s="2">
        <f t="shared" ref="E1858:E1921" ca="1" si="1801">IF(D1858&lt;((X_Mode)-(X_Low))/((X_High)-(X_Low)), (X_Low)+SQRT(D1858*((X_High)-(X_Low))*((X_Mode)-(X_Low))), (X_High)-SQRT((1-D1858)*((X_High)-(X_Low))*((X_High)-(X_Mode))))</f>
        <v>7.3462898870787736</v>
      </c>
      <c r="F1858" s="2">
        <f t="shared" ref="F1858:F1921" ca="1" si="1802">RAND()</f>
        <v>0.34431032284017304</v>
      </c>
      <c r="G1858" s="2">
        <f t="shared" ref="G1858:G1921" ca="1" si="1803">NORMINV(F1858, g_Mean, g_SD)</f>
        <v>2.7978170271864451E-2</v>
      </c>
      <c r="H1858" s="2">
        <f t="shared" ref="H1858:H1921" ca="1" si="1804">MIN(MAX(G1858, g_Min), g_Max)</f>
        <v>2.7978170271864451E-2</v>
      </c>
      <c r="I1858" s="2">
        <f t="shared" ref="I1858:I1921" ca="1" si="1805">RAND()</f>
        <v>0.34512051983198744</v>
      </c>
      <c r="J1858" s="2">
        <f t="shared" ref="J1858:J1921" ca="1" si="1806">NORMINV(I1858, syn_Mean, syn_SD)</f>
        <v>8.007360113544703E-3</v>
      </c>
      <c r="K1858" s="2">
        <f t="shared" ref="K1858:K1921" ca="1" si="1807">MIN(MAX(J1858, syn_Min), syn_Max)</f>
        <v>8.007360113544703E-3</v>
      </c>
      <c r="L1858" s="2">
        <f t="shared" ref="L1858:L1921" ca="1" si="1808">RAND()</f>
        <v>0.56188340815667148</v>
      </c>
      <c r="M1858" s="2">
        <f t="shared" ref="M1858:M1921" ca="1" si="1809">NORMINV(L1858, shk_Mean, shk_SD)</f>
        <v>3.1149213477829341E-3</v>
      </c>
      <c r="N1858" s="2">
        <f t="shared" ref="N1858:N1921" ca="1" si="1810">MIN(MAX(M1858, shk_Min), shk_Max)</f>
        <v>3.1149213477829341E-3</v>
      </c>
      <c r="O1858" s="2">
        <f t="shared" ref="O1858:O1921" si="1811">BaseRev*BaseMargin</f>
        <v>6000000</v>
      </c>
      <c r="P1858" s="2">
        <f t="shared" ref="P1858:P1921" ca="1" si="1812">O1858*C1858</f>
        <v>45683436.305494614</v>
      </c>
      <c r="Q1858" s="2">
        <f t="shared" ref="Q1858:Q1921" ca="1" si="1813">P1858*TxnCostPct</f>
        <v>1142085.9076373654</v>
      </c>
      <c r="R1858" s="2">
        <f t="shared" ref="R1858:R1921" ca="1" si="1814">P1858*DebtPct</f>
        <v>27410061.783296768</v>
      </c>
      <c r="S1858" s="2">
        <f t="shared" ref="S1858:S1921" ca="1" si="1815">P1858*EqPct</f>
        <v>18273374.522197846</v>
      </c>
      <c r="T1858" s="2">
        <f t="shared" ref="T1858:T1921" ca="1" si="1816">BaseRev*(1+N1858)</f>
        <v>50155746.067389153</v>
      </c>
      <c r="U1858" s="2">
        <f t="shared" ref="U1858:U1921" ca="1" si="1817">T1858*(1+H1858)</f>
        <v>51559012.070974961</v>
      </c>
      <c r="V1858" s="2">
        <f t="shared" ref="V1858:V1921" ca="1" si="1818">U1858*(1+H1858)</f>
        <v>53001538.889745809</v>
      </c>
      <c r="W1858" s="2">
        <f t="shared" ref="W1858:W1921" ca="1" si="1819">V1858*(1+H1858)</f>
        <v>54484424.969473965</v>
      </c>
      <c r="X1858" s="2">
        <f t="shared" ref="X1858:X1921" ca="1" si="1820">W1858*(1+H1858)</f>
        <v>56008799.488434531</v>
      </c>
      <c r="Y1858" s="2">
        <f t="shared" ref="Y1858:Y1921" ca="1" si="1821">BaseMargin + SynReal_Y1*K1858</f>
        <v>0.12400368005677234</v>
      </c>
      <c r="Z1858" s="2">
        <f t="shared" ref="Z1858:Z1921" ca="1" si="1822">BaseMargin + SynReal_Y2toY5*K1858</f>
        <v>0.12560515207948128</v>
      </c>
      <c r="AA1858" s="2">
        <f t="shared" ref="AA1858:AA1921" ca="1" si="1823">T1858*Y1858</f>
        <v>6219497.0883492418</v>
      </c>
      <c r="AB1858" s="2">
        <f t="shared" ref="AB1858:AB1921" ca="1" si="1824">U1858*Z1858</f>
        <v>6476077.5522426208</v>
      </c>
      <c r="AC1858" s="2">
        <f t="shared" ref="AC1858:AC1921" ca="1" si="1825">V1858*Z1858</f>
        <v>6657266.3526930641</v>
      </c>
      <c r="AD1858" s="2">
        <f t="shared" ref="AD1858:AD1921" ca="1" si="1826">W1858*Z1858</f>
        <v>6843524.4842538647</v>
      </c>
      <c r="AE1858" s="2">
        <f t="shared" ref="AE1858:AE1921" ca="1" si="1827">X1858*Z1858</f>
        <v>7034993.7775339922</v>
      </c>
      <c r="AF1858" s="2">
        <f t="shared" ref="AF1858:AF1921" ca="1" si="1828">T1858*CapexPct</f>
        <v>1003114.9213477831</v>
      </c>
      <c r="AG1858" s="2">
        <f t="shared" ref="AG1858:AG1921" ca="1" si="1829">U1858*CapexPct</f>
        <v>1031180.2414194993</v>
      </c>
      <c r="AH1858" s="2">
        <f t="shared" ref="AH1858:AH1921" ca="1" si="1830">V1858*CapexPct</f>
        <v>1060030.7777949162</v>
      </c>
      <c r="AI1858" s="2">
        <f t="shared" ref="AI1858:AI1921" ca="1" si="1831">W1858*CapexPct</f>
        <v>1089688.4993894794</v>
      </c>
      <c r="AJ1858" s="2">
        <f t="shared" ref="AJ1858:AJ1921" ca="1" si="1832">X1858*CapexPct</f>
        <v>1120175.9897686907</v>
      </c>
      <c r="AK1858" s="2">
        <f t="shared" ref="AK1858:AK1921" ca="1" si="1833">MAX(T1858-BaseRev*(1+N1858),0)*WCPct</f>
        <v>0</v>
      </c>
      <c r="AL1858" s="2">
        <f t="shared" ref="AL1858:AL1921" ca="1" si="1834">MAX(U1858-T1858,0)*WCPct</f>
        <v>14032.66003585808</v>
      </c>
      <c r="AM1858" s="2">
        <f t="shared" ref="AM1858:AM1921" ca="1" si="1835">MAX(V1858-U1858,0)*WCPct</f>
        <v>14425.268187708483</v>
      </c>
      <c r="AN1858" s="2">
        <f t="shared" ref="AN1858:AN1921" ca="1" si="1836">MAX(W1858-V1858,0)*WCPct</f>
        <v>14828.860797281564</v>
      </c>
      <c r="AO1858" s="2">
        <f t="shared" ref="AO1858:AO1921" ca="1" si="1837">MAX(X1858-W1858,0)*WCPct</f>
        <v>15243.745189605654</v>
      </c>
      <c r="AP1858" s="2">
        <f t="shared" ref="AP1858:AP1921" ca="1" si="1838">R1858*DebtRate</f>
        <v>2466905.5604967088</v>
      </c>
      <c r="AQ1858" s="2">
        <f t="shared" ref="AQ1858:AQ1921" ca="1" si="1839">MAX(AA1858-AF1858-AP1858,0)*Tax</f>
        <v>714863.91769123496</v>
      </c>
      <c r="AR1858" s="2">
        <f t="shared" ref="AR1858:AR1921" ca="1" si="1840">MAX(AB1858-AG1858-AP1858,0)*Tax</f>
        <v>774277.85508486745</v>
      </c>
      <c r="AS1858" s="2">
        <f t="shared" ref="AS1858:AS1921" ca="1" si="1841">MAX(AC1858-AH1858-AP1858,0)*Tax</f>
        <v>813885.80374437419</v>
      </c>
      <c r="AT1858" s="2">
        <f t="shared" ref="AT1858:AT1921" ca="1" si="1842">MAX(AD1858-AI1858-AP1858,0)*Tax</f>
        <v>854601.91033559607</v>
      </c>
      <c r="AU1858" s="2">
        <f t="shared" ref="AU1858:AU1921" ca="1" si="1843">MAX(AE1858-AJ1858-AP1858,0)*Tax</f>
        <v>896457.17908983422</v>
      </c>
      <c r="AV1858" s="2">
        <f t="shared" ref="AV1858:AV1921" ca="1" si="1844">AA1858-AF1858-AK1858-AQ1858-AP1858</f>
        <v>2034612.6888135145</v>
      </c>
      <c r="AW1858" s="2">
        <f t="shared" ref="AW1858:AW1921" ca="1" si="1845">AB1858-AG1858-AL1858-AR1858-AP1858</f>
        <v>2189681.235205688</v>
      </c>
      <c r="AX1858" s="2">
        <f t="shared" ref="AX1858:AX1921" ca="1" si="1846">AC1858-AH1858-AM1858-AS1858-AP1858</f>
        <v>2302018.942469357</v>
      </c>
      <c r="AY1858" s="2">
        <f t="shared" ref="AY1858:AY1921" ca="1" si="1847">AD1858-AI1858-AN1858-AT1858-AP1858</f>
        <v>2417499.6532347999</v>
      </c>
      <c r="AZ1858" s="2">
        <f t="shared" ref="AZ1858:AZ1921" ca="1" si="1848">AE1858-AJ1858-AO1858-AU1858-AP1858</f>
        <v>2536211.3029891537</v>
      </c>
      <c r="BA1858" s="2">
        <f t="shared" ref="BA1858:BA1921" ca="1" si="1849">AE1858*E1858</f>
        <v>51681103.643560067</v>
      </c>
      <c r="BB1858" s="2">
        <f t="shared" ref="BB1858:BB1921" ca="1" si="1850">BA1858*SellCostPct</f>
        <v>1033622.0728712013</v>
      </c>
      <c r="BC1858" s="2">
        <f t="shared" ref="BC1858:BC1921" ca="1" si="1851">BA1858-R1858-BB1858</f>
        <v>23237419.787392098</v>
      </c>
      <c r="BD1858" s="2">
        <f t="shared" ref="BD1858:BD1921" ca="1" si="1852">-S1858-Q1858-IntegrationPct*BaseRev</f>
        <v>-19915460.429835211</v>
      </c>
      <c r="BE1858" s="2">
        <f t="shared" ref="BE1858:BE1921" ca="1" si="1853">AV1858</f>
        <v>2034612.6888135145</v>
      </c>
      <c r="BF1858" s="2">
        <f t="shared" ref="BF1858:BF1921" ca="1" si="1854">AW1858</f>
        <v>2189681.235205688</v>
      </c>
      <c r="BG1858" s="2">
        <f t="shared" ref="BG1858:BG1921" ca="1" si="1855">AX1858</f>
        <v>2302018.942469357</v>
      </c>
      <c r="BH1858" s="2">
        <f t="shared" ref="BH1858:BH1921" ca="1" si="1856">AY1858</f>
        <v>2417499.6532347999</v>
      </c>
      <c r="BI1858" s="2">
        <f t="shared" ref="BI1858:BI1921" ca="1" si="1857">AZ1858+BC1858</f>
        <v>25773631.090381254</v>
      </c>
      <c r="BJ1858" s="2">
        <f t="shared" ref="BJ1858:BJ1921" ca="1" si="1858">IF(MIN(BD1858:BI1858)*MAX(BD1858:BI1858)&gt;=0, "", IFERROR(IRR(BD1858:BI1858,0.12), IFERROR(IRR(BD1858:BI1858,0.5), IFERROR(IRR(BD1858:BI1858,-0.5),""))))</f>
        <v>0.13897063824420886</v>
      </c>
      <c r="BK1858" s="2">
        <f t="shared" ref="BK1858:BK1921" ca="1" si="1859">NPV(12%,BE1858:BI1858)+BD1858</f>
        <v>1446305.314390339</v>
      </c>
    </row>
    <row r="1859" spans="1:63" x14ac:dyDescent="0.3">
      <c r="A1859" s="2">
        <v>1858</v>
      </c>
      <c r="B1859" s="2">
        <f t="shared" ca="1" si="1798"/>
        <v>0.63406806855680431</v>
      </c>
      <c r="C1859" s="2">
        <f t="shared" ca="1" si="1799"/>
        <v>7.144509577560104</v>
      </c>
      <c r="D1859" s="2">
        <f t="shared" ca="1" si="1800"/>
        <v>0.55842188350584443</v>
      </c>
      <c r="E1859" s="2">
        <f t="shared" ca="1" si="1801"/>
        <v>7.5602360759274108</v>
      </c>
      <c r="F1859" s="2">
        <f t="shared" ca="1" si="1802"/>
        <v>0.51728818273380628</v>
      </c>
      <c r="G1859" s="2">
        <f t="shared" ca="1" si="1803"/>
        <v>4.1300458597529073E-2</v>
      </c>
      <c r="H1859" s="2">
        <f t="shared" ca="1" si="1804"/>
        <v>4.1300458597529073E-2</v>
      </c>
      <c r="I1859" s="2">
        <f t="shared" ca="1" si="1805"/>
        <v>0.80220719674301655</v>
      </c>
      <c r="J1859" s="2">
        <f t="shared" ca="1" si="1806"/>
        <v>1.4247657530837197E-2</v>
      </c>
      <c r="K1859" s="2">
        <f t="shared" ca="1" si="1807"/>
        <v>1.4247657530837197E-2</v>
      </c>
      <c r="L1859" s="2">
        <f t="shared" ca="1" si="1808"/>
        <v>6.9243278882781811E-2</v>
      </c>
      <c r="M1859" s="2">
        <f t="shared" ca="1" si="1809"/>
        <v>-2.9629010632354107E-2</v>
      </c>
      <c r="N1859" s="2">
        <f t="shared" ca="1" si="1810"/>
        <v>-2.9629010632354107E-2</v>
      </c>
      <c r="O1859" s="2">
        <f t="shared" si="1811"/>
        <v>6000000</v>
      </c>
      <c r="P1859" s="2">
        <f t="shared" ca="1" si="1812"/>
        <v>42867057.465360627</v>
      </c>
      <c r="Q1859" s="2">
        <f t="shared" ca="1" si="1813"/>
        <v>1071676.4366340158</v>
      </c>
      <c r="R1859" s="2">
        <f t="shared" ca="1" si="1814"/>
        <v>25720234.479216374</v>
      </c>
      <c r="S1859" s="2">
        <f t="shared" ca="1" si="1815"/>
        <v>17146822.986144252</v>
      </c>
      <c r="T1859" s="2">
        <f t="shared" ca="1" si="1816"/>
        <v>48518549.468382291</v>
      </c>
      <c r="U1859" s="2">
        <f t="shared" ca="1" si="1817"/>
        <v>50522387.811913386</v>
      </c>
      <c r="V1859" s="2">
        <f t="shared" ca="1" si="1818"/>
        <v>52608985.597987629</v>
      </c>
      <c r="W1859" s="2">
        <f t="shared" ca="1" si="1819"/>
        <v>54781760.829535328</v>
      </c>
      <c r="X1859" s="2">
        <f t="shared" ca="1" si="1820"/>
        <v>57044272.674575299</v>
      </c>
      <c r="Y1859" s="2">
        <f t="shared" ca="1" si="1821"/>
        <v>0.12712382876541858</v>
      </c>
      <c r="Z1859" s="2">
        <f t="shared" ca="1" si="1822"/>
        <v>0.12997336027158604</v>
      </c>
      <c r="AA1859" s="2">
        <f t="shared" ca="1" si="1823"/>
        <v>6167863.7745651212</v>
      </c>
      <c r="AB1859" s="2">
        <f t="shared" ca="1" si="1824"/>
        <v>6566564.5128586059</v>
      </c>
      <c r="AC1859" s="2">
        <f t="shared" ca="1" si="1825"/>
        <v>6837766.6386499275</v>
      </c>
      <c r="AD1859" s="2">
        <f t="shared" ca="1" si="1826"/>
        <v>7120169.5366090555</v>
      </c>
      <c r="AE1859" s="2">
        <f t="shared" ca="1" si="1827"/>
        <v>7414235.8037631661</v>
      </c>
      <c r="AF1859" s="2">
        <f t="shared" ca="1" si="1828"/>
        <v>970370.98936764582</v>
      </c>
      <c r="AG1859" s="2">
        <f t="shared" ca="1" si="1829"/>
        <v>1010447.7562382678</v>
      </c>
      <c r="AH1859" s="2">
        <f t="shared" ca="1" si="1830"/>
        <v>1052179.7119597527</v>
      </c>
      <c r="AI1859" s="2">
        <f t="shared" ca="1" si="1831"/>
        <v>1095635.2165907065</v>
      </c>
      <c r="AJ1859" s="2">
        <f t="shared" ca="1" si="1832"/>
        <v>1140885.4534915059</v>
      </c>
      <c r="AK1859" s="2">
        <f t="shared" ca="1" si="1833"/>
        <v>0</v>
      </c>
      <c r="AL1859" s="2">
        <f t="shared" ca="1" si="1834"/>
        <v>20038.383435310945</v>
      </c>
      <c r="AM1859" s="2">
        <f t="shared" ca="1" si="1835"/>
        <v>20865.977860742434</v>
      </c>
      <c r="AN1859" s="2">
        <f t="shared" ca="1" si="1836"/>
        <v>21727.752315476984</v>
      </c>
      <c r="AO1859" s="2">
        <f t="shared" ca="1" si="1837"/>
        <v>22625.118450399714</v>
      </c>
      <c r="AP1859" s="2">
        <f t="shared" ca="1" si="1838"/>
        <v>2314821.1031294735</v>
      </c>
      <c r="AQ1859" s="2">
        <f t="shared" ca="1" si="1839"/>
        <v>749494.63733768044</v>
      </c>
      <c r="AR1859" s="2">
        <f t="shared" ca="1" si="1840"/>
        <v>842736.86990762479</v>
      </c>
      <c r="AS1859" s="2">
        <f t="shared" ca="1" si="1841"/>
        <v>902399.11412578227</v>
      </c>
      <c r="AT1859" s="2">
        <f t="shared" ca="1" si="1842"/>
        <v>964525.43639110774</v>
      </c>
      <c r="AU1859" s="2">
        <f t="shared" ca="1" si="1843"/>
        <v>1029217.6042569685</v>
      </c>
      <c r="AV1859" s="2">
        <f t="shared" ca="1" si="1844"/>
        <v>2133177.0447303215</v>
      </c>
      <c r="AW1859" s="2">
        <f t="shared" ca="1" si="1845"/>
        <v>2378520.4001479289</v>
      </c>
      <c r="AX1859" s="2">
        <f t="shared" ca="1" si="1846"/>
        <v>2547500.7315741759</v>
      </c>
      <c r="AY1859" s="2">
        <f t="shared" ca="1" si="1847"/>
        <v>2723460.0281822914</v>
      </c>
      <c r="AZ1859" s="2">
        <f t="shared" ca="1" si="1848"/>
        <v>2906686.5244348189</v>
      </c>
      <c r="BA1859" s="2">
        <f t="shared" ca="1" si="1849"/>
        <v>56053372.999042951</v>
      </c>
      <c r="BB1859" s="2">
        <f t="shared" ca="1" si="1850"/>
        <v>1121067.459980859</v>
      </c>
      <c r="BC1859" s="2">
        <f t="shared" ca="1" si="1851"/>
        <v>29212071.059845716</v>
      </c>
      <c r="BD1859" s="2">
        <f t="shared" ca="1" si="1852"/>
        <v>-18718499.422778267</v>
      </c>
      <c r="BE1859" s="2">
        <f t="shared" ca="1" si="1853"/>
        <v>2133177.0447303215</v>
      </c>
      <c r="BF1859" s="2">
        <f t="shared" ca="1" si="1854"/>
        <v>2378520.4001479289</v>
      </c>
      <c r="BG1859" s="2">
        <f t="shared" ca="1" si="1855"/>
        <v>2547500.7315741759</v>
      </c>
      <c r="BH1859" s="2">
        <f t="shared" ca="1" si="1856"/>
        <v>2723460.0281822914</v>
      </c>
      <c r="BI1859" s="2">
        <f t="shared" ca="1" si="1857"/>
        <v>32118757.584280536</v>
      </c>
      <c r="BJ1859" s="2">
        <f t="shared" ca="1" si="1858"/>
        <v>0.20623925120600228</v>
      </c>
      <c r="BK1859" s="2">
        <f t="shared" ca="1" si="1859"/>
        <v>6851379.2505999245</v>
      </c>
    </row>
    <row r="1860" spans="1:63" x14ac:dyDescent="0.3">
      <c r="A1860" s="2">
        <v>1859</v>
      </c>
      <c r="B1860" s="2">
        <f t="shared" ca="1" si="1798"/>
        <v>0.30452165851332735</v>
      </c>
      <c r="C1860" s="2">
        <f t="shared" ca="1" si="1799"/>
        <v>6.7804122737544912</v>
      </c>
      <c r="D1860" s="2">
        <f t="shared" ca="1" si="1800"/>
        <v>0.91301407570622783</v>
      </c>
      <c r="E1860" s="2">
        <f t="shared" ca="1" si="1801"/>
        <v>8.0829006729955744</v>
      </c>
      <c r="F1860" s="2">
        <f t="shared" ca="1" si="1802"/>
        <v>0.6747566089686291</v>
      </c>
      <c r="G1860" s="2">
        <f t="shared" ca="1" si="1803"/>
        <v>5.3592581415005336E-2</v>
      </c>
      <c r="H1860" s="2">
        <f t="shared" ca="1" si="1804"/>
        <v>5.3592581415005336E-2</v>
      </c>
      <c r="I1860" s="2">
        <f t="shared" ca="1" si="1805"/>
        <v>0.15508908010299283</v>
      </c>
      <c r="J1860" s="2">
        <f t="shared" ca="1" si="1806"/>
        <v>4.9257586504180533E-3</v>
      </c>
      <c r="K1860" s="2">
        <f t="shared" ca="1" si="1807"/>
        <v>4.9257586504180533E-3</v>
      </c>
      <c r="L1860" s="2">
        <f t="shared" ca="1" si="1808"/>
        <v>0.35593796968945735</v>
      </c>
      <c r="M1860" s="2">
        <f t="shared" ca="1" si="1809"/>
        <v>-7.3867563871926048E-3</v>
      </c>
      <c r="N1860" s="2">
        <f t="shared" ca="1" si="1810"/>
        <v>-7.3867563871926048E-3</v>
      </c>
      <c r="O1860" s="2">
        <f t="shared" si="1811"/>
        <v>6000000</v>
      </c>
      <c r="P1860" s="2">
        <f t="shared" ca="1" si="1812"/>
        <v>40682473.642526947</v>
      </c>
      <c r="Q1860" s="2">
        <f t="shared" ca="1" si="1813"/>
        <v>1017061.8410631737</v>
      </c>
      <c r="R1860" s="2">
        <f t="shared" ca="1" si="1814"/>
        <v>24409484.185516167</v>
      </c>
      <c r="S1860" s="2">
        <f t="shared" ca="1" si="1815"/>
        <v>16272989.45701078</v>
      </c>
      <c r="T1860" s="2">
        <f t="shared" ca="1" si="1816"/>
        <v>49630662.18064037</v>
      </c>
      <c r="U1860" s="2">
        <f t="shared" ca="1" si="1817"/>
        <v>52290497.484236963</v>
      </c>
      <c r="V1860" s="2">
        <f t="shared" ca="1" si="1818"/>
        <v>55092880.227892064</v>
      </c>
      <c r="W1860" s="2">
        <f t="shared" ca="1" si="1819"/>
        <v>58045449.89689251</v>
      </c>
      <c r="X1860" s="2">
        <f t="shared" ca="1" si="1820"/>
        <v>61156255.396262333</v>
      </c>
      <c r="Y1860" s="2">
        <f t="shared" ca="1" si="1821"/>
        <v>0.12246287932520902</v>
      </c>
      <c r="Z1860" s="2">
        <f t="shared" ca="1" si="1822"/>
        <v>0.12344803105529263</v>
      </c>
      <c r="AA1860" s="2">
        <f t="shared" ca="1" si="1823"/>
        <v>6077913.7934579765</v>
      </c>
      <c r="AB1860" s="2">
        <f t="shared" ca="1" si="1824"/>
        <v>6455158.9573307857</v>
      </c>
      <c r="AC1860" s="2">
        <f t="shared" ca="1" si="1825"/>
        <v>6801107.5892983368</v>
      </c>
      <c r="AD1860" s="2">
        <f t="shared" ca="1" si="1826"/>
        <v>7165596.5014900193</v>
      </c>
      <c r="AE1860" s="2">
        <f t="shared" ca="1" si="1827"/>
        <v>7549619.3153831996</v>
      </c>
      <c r="AF1860" s="2">
        <f t="shared" ca="1" si="1828"/>
        <v>992613.24361280736</v>
      </c>
      <c r="AG1860" s="2">
        <f t="shared" ca="1" si="1829"/>
        <v>1045809.9496847392</v>
      </c>
      <c r="AH1860" s="2">
        <f t="shared" ca="1" si="1830"/>
        <v>1101857.6045578413</v>
      </c>
      <c r="AI1860" s="2">
        <f t="shared" ca="1" si="1831"/>
        <v>1160908.9979378502</v>
      </c>
      <c r="AJ1860" s="2">
        <f t="shared" ca="1" si="1832"/>
        <v>1223125.1079252467</v>
      </c>
      <c r="AK1860" s="2">
        <f t="shared" ca="1" si="1833"/>
        <v>0</v>
      </c>
      <c r="AL1860" s="2">
        <f t="shared" ca="1" si="1834"/>
        <v>26598.353035965934</v>
      </c>
      <c r="AM1860" s="2">
        <f t="shared" ca="1" si="1835"/>
        <v>28023.827436551004</v>
      </c>
      <c r="AN1860" s="2">
        <f t="shared" ca="1" si="1836"/>
        <v>29525.696690004468</v>
      </c>
      <c r="AO1860" s="2">
        <f t="shared" ca="1" si="1837"/>
        <v>31108.054993698224</v>
      </c>
      <c r="AP1860" s="2">
        <f t="shared" ca="1" si="1838"/>
        <v>2196853.576696455</v>
      </c>
      <c r="AQ1860" s="2">
        <f t="shared" ca="1" si="1839"/>
        <v>750996.21301866579</v>
      </c>
      <c r="AR1860" s="2">
        <f t="shared" ca="1" si="1840"/>
        <v>835248.81204689387</v>
      </c>
      <c r="AS1860" s="2">
        <f t="shared" ca="1" si="1841"/>
        <v>910623.06609145063</v>
      </c>
      <c r="AT1860" s="2">
        <f t="shared" ca="1" si="1842"/>
        <v>990036.82098248554</v>
      </c>
      <c r="AU1860" s="2">
        <f t="shared" ca="1" si="1843"/>
        <v>1073706.5639979895</v>
      </c>
      <c r="AV1860" s="2">
        <f t="shared" ca="1" si="1844"/>
        <v>2137450.7601300483</v>
      </c>
      <c r="AW1860" s="2">
        <f t="shared" ca="1" si="1845"/>
        <v>2350648.2658667318</v>
      </c>
      <c r="AX1860" s="2">
        <f t="shared" ca="1" si="1846"/>
        <v>2563749.5145160384</v>
      </c>
      <c r="AY1860" s="2">
        <f t="shared" ca="1" si="1847"/>
        <v>2788271.4091832233</v>
      </c>
      <c r="AZ1860" s="2">
        <f t="shared" ca="1" si="1848"/>
        <v>3024826.0117698102</v>
      </c>
      <c r="BA1860" s="2">
        <f t="shared" ca="1" si="1849"/>
        <v>61022823.045171253</v>
      </c>
      <c r="BB1860" s="2">
        <f t="shared" ca="1" si="1850"/>
        <v>1220456.460903425</v>
      </c>
      <c r="BC1860" s="2">
        <f t="shared" ca="1" si="1851"/>
        <v>35392882.398751654</v>
      </c>
      <c r="BD1860" s="2">
        <f t="shared" ca="1" si="1852"/>
        <v>-17790051.298073955</v>
      </c>
      <c r="BE1860" s="2">
        <f t="shared" ca="1" si="1853"/>
        <v>2137450.7601300483</v>
      </c>
      <c r="BF1860" s="2">
        <f t="shared" ca="1" si="1854"/>
        <v>2350648.2658667318</v>
      </c>
      <c r="BG1860" s="2">
        <f t="shared" ca="1" si="1855"/>
        <v>2563749.5145160384</v>
      </c>
      <c r="BH1860" s="2">
        <f t="shared" ca="1" si="1856"/>
        <v>2788271.4091832233</v>
      </c>
      <c r="BI1860" s="2">
        <f t="shared" ca="1" si="1857"/>
        <v>38417708.410521463</v>
      </c>
      <c r="BJ1860" s="2">
        <f t="shared" ca="1" si="1858"/>
        <v>0.25781177268948019</v>
      </c>
      <c r="BK1860" s="2">
        <f t="shared" ca="1" si="1859"/>
        <v>11388371.926543638</v>
      </c>
    </row>
    <row r="1861" spans="1:63" x14ac:dyDescent="0.3">
      <c r="A1861" s="2">
        <v>1860</v>
      </c>
      <c r="B1861" s="2">
        <f t="shared" ca="1" si="1798"/>
        <v>0.94259220317868631</v>
      </c>
      <c r="C1861" s="2">
        <f t="shared" ca="1" si="1799"/>
        <v>7.6611555022689206</v>
      </c>
      <c r="D1861" s="2">
        <f t="shared" ca="1" si="1800"/>
        <v>0.18652057304155933</v>
      </c>
      <c r="E1861" s="2">
        <f t="shared" ca="1" si="1801"/>
        <v>7.1107709440396771</v>
      </c>
      <c r="F1861" s="2">
        <f t="shared" ca="1" si="1802"/>
        <v>0.56599949060744303</v>
      </c>
      <c r="G1861" s="2">
        <f t="shared" ca="1" si="1803"/>
        <v>4.4985944366665774E-2</v>
      </c>
      <c r="H1861" s="2">
        <f t="shared" ca="1" si="1804"/>
        <v>4.4985944366665774E-2</v>
      </c>
      <c r="I1861" s="2">
        <f t="shared" ca="1" si="1805"/>
        <v>0.89947945288300468</v>
      </c>
      <c r="J1861" s="2">
        <f t="shared" ca="1" si="1806"/>
        <v>1.6392955378828015E-2</v>
      </c>
      <c r="K1861" s="2">
        <f t="shared" ca="1" si="1807"/>
        <v>1.6392955378828015E-2</v>
      </c>
      <c r="L1861" s="2">
        <f t="shared" ca="1" si="1808"/>
        <v>0.75655540350018335</v>
      </c>
      <c r="M1861" s="2">
        <f t="shared" ca="1" si="1809"/>
        <v>1.3905301631080008E-2</v>
      </c>
      <c r="N1861" s="2">
        <f t="shared" ca="1" si="1810"/>
        <v>1.3905301631080008E-2</v>
      </c>
      <c r="O1861" s="2">
        <f t="shared" si="1811"/>
        <v>6000000</v>
      </c>
      <c r="P1861" s="2">
        <f t="shared" ca="1" si="1812"/>
        <v>45966933.013613522</v>
      </c>
      <c r="Q1861" s="2">
        <f t="shared" ca="1" si="1813"/>
        <v>1149173.3253403381</v>
      </c>
      <c r="R1861" s="2">
        <f t="shared" ca="1" si="1814"/>
        <v>27580159.808168113</v>
      </c>
      <c r="S1861" s="2">
        <f t="shared" ca="1" si="1815"/>
        <v>18386773.205445409</v>
      </c>
      <c r="T1861" s="2">
        <f t="shared" ca="1" si="1816"/>
        <v>50695265.081553996</v>
      </c>
      <c r="U1861" s="2">
        <f t="shared" ca="1" si="1817"/>
        <v>52975839.456166163</v>
      </c>
      <c r="V1861" s="2">
        <f t="shared" ca="1" si="1818"/>
        <v>55359007.622718677</v>
      </c>
      <c r="W1861" s="2">
        <f t="shared" ca="1" si="1819"/>
        <v>57849384.859828129</v>
      </c>
      <c r="X1861" s="2">
        <f t="shared" ca="1" si="1820"/>
        <v>60451794.068778194</v>
      </c>
      <c r="Y1861" s="2">
        <f t="shared" ca="1" si="1821"/>
        <v>0.128196477689414</v>
      </c>
      <c r="Z1861" s="2">
        <f t="shared" ca="1" si="1822"/>
        <v>0.13147506876517961</v>
      </c>
      <c r="AA1861" s="2">
        <f t="shared" ca="1" si="1823"/>
        <v>6498954.4189863652</v>
      </c>
      <c r="AB1861" s="2">
        <f t="shared" ca="1" si="1824"/>
        <v>6965002.1353925616</v>
      </c>
      <c r="AC1861" s="2">
        <f t="shared" ca="1" si="1825"/>
        <v>7278329.3339690408</v>
      </c>
      <c r="AD1861" s="2">
        <f t="shared" ca="1" si="1826"/>
        <v>7605751.852469244</v>
      </c>
      <c r="AE1861" s="2">
        <f t="shared" ca="1" si="1827"/>
        <v>7947903.7821710901</v>
      </c>
      <c r="AF1861" s="2">
        <f t="shared" ca="1" si="1828"/>
        <v>1013905.30163108</v>
      </c>
      <c r="AG1861" s="2">
        <f t="shared" ca="1" si="1829"/>
        <v>1059516.7891233233</v>
      </c>
      <c r="AH1861" s="2">
        <f t="shared" ca="1" si="1830"/>
        <v>1107180.1524543737</v>
      </c>
      <c r="AI1861" s="2">
        <f t="shared" ca="1" si="1831"/>
        <v>1156987.6971965625</v>
      </c>
      <c r="AJ1861" s="2">
        <f t="shared" ca="1" si="1832"/>
        <v>1209035.881375564</v>
      </c>
      <c r="AK1861" s="2">
        <f t="shared" ca="1" si="1833"/>
        <v>0</v>
      </c>
      <c r="AL1861" s="2">
        <f t="shared" ca="1" si="1834"/>
        <v>22805.743746121676</v>
      </c>
      <c r="AM1861" s="2">
        <f t="shared" ca="1" si="1835"/>
        <v>23831.681665525139</v>
      </c>
      <c r="AN1861" s="2">
        <f t="shared" ca="1" si="1836"/>
        <v>24903.772371094525</v>
      </c>
      <c r="AO1861" s="2">
        <f t="shared" ca="1" si="1837"/>
        <v>26024.092089500653</v>
      </c>
      <c r="AP1861" s="2">
        <f t="shared" ca="1" si="1838"/>
        <v>2482214.3827351299</v>
      </c>
      <c r="AQ1861" s="2">
        <f t="shared" ca="1" si="1839"/>
        <v>780737.03100124036</v>
      </c>
      <c r="AR1861" s="2">
        <f t="shared" ca="1" si="1840"/>
        <v>890050.45051886828</v>
      </c>
      <c r="AS1861" s="2">
        <f t="shared" ca="1" si="1841"/>
        <v>959123.04768267972</v>
      </c>
      <c r="AT1861" s="2">
        <f t="shared" ca="1" si="1842"/>
        <v>1031302.9408597634</v>
      </c>
      <c r="AU1861" s="2">
        <f t="shared" ca="1" si="1843"/>
        <v>1106729.914695703</v>
      </c>
      <c r="AV1861" s="2">
        <f t="shared" ca="1" si="1844"/>
        <v>2222097.7036189153</v>
      </c>
      <c r="AW1861" s="2">
        <f t="shared" ca="1" si="1845"/>
        <v>2510414.7692691195</v>
      </c>
      <c r="AX1861" s="2">
        <f t="shared" ca="1" si="1846"/>
        <v>2705980.0694313324</v>
      </c>
      <c r="AY1861" s="2">
        <f t="shared" ca="1" si="1847"/>
        <v>2910343.0593066937</v>
      </c>
      <c r="AZ1861" s="2">
        <f t="shared" ca="1" si="1848"/>
        <v>3123899.5112751923</v>
      </c>
      <c r="BA1861" s="2">
        <f t="shared" ca="1" si="1849"/>
        <v>56515723.280285247</v>
      </c>
      <c r="BB1861" s="2">
        <f t="shared" ca="1" si="1850"/>
        <v>1130314.465605705</v>
      </c>
      <c r="BC1861" s="2">
        <f t="shared" ca="1" si="1851"/>
        <v>27805249.006511427</v>
      </c>
      <c r="BD1861" s="2">
        <f t="shared" ca="1" si="1852"/>
        <v>-20035946.530785747</v>
      </c>
      <c r="BE1861" s="2">
        <f t="shared" ca="1" si="1853"/>
        <v>2222097.7036189153</v>
      </c>
      <c r="BF1861" s="2">
        <f t="shared" ca="1" si="1854"/>
        <v>2510414.7692691195</v>
      </c>
      <c r="BG1861" s="2">
        <f t="shared" ca="1" si="1855"/>
        <v>2705980.0694313324</v>
      </c>
      <c r="BH1861" s="2">
        <f t="shared" ca="1" si="1856"/>
        <v>2910343.0593066937</v>
      </c>
      <c r="BI1861" s="2">
        <f t="shared" ca="1" si="1857"/>
        <v>30929148.517786618</v>
      </c>
      <c r="BJ1861" s="2">
        <f t="shared" ca="1" si="1858"/>
        <v>0.18450772874180643</v>
      </c>
      <c r="BK1861" s="2">
        <f t="shared" ca="1" si="1859"/>
        <v>5275024.8466404974</v>
      </c>
    </row>
    <row r="1862" spans="1:63" x14ac:dyDescent="0.3">
      <c r="A1862" s="2">
        <v>1861</v>
      </c>
      <c r="B1862" s="2">
        <f t="shared" ca="1" si="1798"/>
        <v>0.84947683663632712</v>
      </c>
      <c r="C1862" s="2">
        <f t="shared" ca="1" si="1799"/>
        <v>7.4513231126360928</v>
      </c>
      <c r="D1862" s="2">
        <f t="shared" ca="1" si="1800"/>
        <v>0.43105236333566965</v>
      </c>
      <c r="E1862" s="2">
        <f t="shared" ca="1" si="1801"/>
        <v>7.4284959486563951</v>
      </c>
      <c r="F1862" s="2">
        <f t="shared" ca="1" si="1802"/>
        <v>0.4564370296817204</v>
      </c>
      <c r="G1862" s="2">
        <f t="shared" ca="1" si="1803"/>
        <v>3.6717577327409393E-2</v>
      </c>
      <c r="H1862" s="2">
        <f t="shared" ca="1" si="1804"/>
        <v>3.6717577327409393E-2</v>
      </c>
      <c r="I1862" s="2">
        <f t="shared" ca="1" si="1805"/>
        <v>0.20725707892424317</v>
      </c>
      <c r="J1862" s="2">
        <f t="shared" ca="1" si="1806"/>
        <v>5.9201225825226376E-3</v>
      </c>
      <c r="K1862" s="2">
        <f t="shared" ca="1" si="1807"/>
        <v>5.9201225825226376E-3</v>
      </c>
      <c r="L1862" s="2">
        <f t="shared" ca="1" si="1808"/>
        <v>0.74715443049828656</v>
      </c>
      <c r="M1862" s="2">
        <f t="shared" ca="1" si="1809"/>
        <v>1.3311238843123741E-2</v>
      </c>
      <c r="N1862" s="2">
        <f t="shared" ca="1" si="1810"/>
        <v>1.3311238843123741E-2</v>
      </c>
      <c r="O1862" s="2">
        <f t="shared" si="1811"/>
        <v>6000000</v>
      </c>
      <c r="P1862" s="2">
        <f t="shared" ca="1" si="1812"/>
        <v>44707938.675816558</v>
      </c>
      <c r="Q1862" s="2">
        <f t="shared" ca="1" si="1813"/>
        <v>1117698.4668954141</v>
      </c>
      <c r="R1862" s="2">
        <f t="shared" ca="1" si="1814"/>
        <v>26824763.205489933</v>
      </c>
      <c r="S1862" s="2">
        <f t="shared" ca="1" si="1815"/>
        <v>17883175.470326625</v>
      </c>
      <c r="T1862" s="2">
        <f t="shared" ca="1" si="1816"/>
        <v>50665561.942156188</v>
      </c>
      <c r="U1862" s="2">
        <f t="shared" ca="1" si="1817"/>
        <v>52525878.630603954</v>
      </c>
      <c r="V1862" s="2">
        <f t="shared" ca="1" si="1818"/>
        <v>54454501.64091327</v>
      </c>
      <c r="W1862" s="2">
        <f t="shared" ca="1" si="1819"/>
        <v>56453939.015739039</v>
      </c>
      <c r="X1862" s="2">
        <f t="shared" ca="1" si="1820"/>
        <v>58526790.886986285</v>
      </c>
      <c r="Y1862" s="2">
        <f t="shared" ca="1" si="1821"/>
        <v>0.12296006129126132</v>
      </c>
      <c r="Z1862" s="2">
        <f t="shared" ca="1" si="1822"/>
        <v>0.12414408580776584</v>
      </c>
      <c r="AA1862" s="2">
        <f t="shared" ca="1" si="1823"/>
        <v>6229840.6017637216</v>
      </c>
      <c r="AB1862" s="2">
        <f t="shared" ca="1" si="1824"/>
        <v>6520777.1838459913</v>
      </c>
      <c r="AC1862" s="2">
        <f t="shared" ca="1" si="1825"/>
        <v>6760204.3243286628</v>
      </c>
      <c r="AD1862" s="2">
        <f t="shared" ca="1" si="1826"/>
        <v>7008422.649356287</v>
      </c>
      <c r="AE1862" s="2">
        <f t="shared" ca="1" si="1827"/>
        <v>7265754.9499271931</v>
      </c>
      <c r="AF1862" s="2">
        <f t="shared" ca="1" si="1828"/>
        <v>1013311.2388431238</v>
      </c>
      <c r="AG1862" s="2">
        <f t="shared" ca="1" si="1829"/>
        <v>1050517.5726120791</v>
      </c>
      <c r="AH1862" s="2">
        <f t="shared" ca="1" si="1830"/>
        <v>1089090.0328182655</v>
      </c>
      <c r="AI1862" s="2">
        <f t="shared" ca="1" si="1831"/>
        <v>1129078.7803147808</v>
      </c>
      <c r="AJ1862" s="2">
        <f t="shared" ca="1" si="1832"/>
        <v>1170535.8177397258</v>
      </c>
      <c r="AK1862" s="2">
        <f t="shared" ca="1" si="1833"/>
        <v>0</v>
      </c>
      <c r="AL1862" s="2">
        <f t="shared" ca="1" si="1834"/>
        <v>18603.166884477661</v>
      </c>
      <c r="AM1862" s="2">
        <f t="shared" ca="1" si="1835"/>
        <v>19286.230103093163</v>
      </c>
      <c r="AN1862" s="2">
        <f t="shared" ca="1" si="1836"/>
        <v>19994.373748257683</v>
      </c>
      <c r="AO1862" s="2">
        <f t="shared" ca="1" si="1837"/>
        <v>20728.518712472469</v>
      </c>
      <c r="AP1862" s="2">
        <f t="shared" ca="1" si="1838"/>
        <v>2414228.6884940937</v>
      </c>
      <c r="AQ1862" s="2">
        <f t="shared" ca="1" si="1839"/>
        <v>728598.17535089119</v>
      </c>
      <c r="AR1862" s="2">
        <f t="shared" ca="1" si="1840"/>
        <v>794568.03991235292</v>
      </c>
      <c r="AS1862" s="2">
        <f t="shared" ca="1" si="1841"/>
        <v>846790.25678423909</v>
      </c>
      <c r="AT1862" s="2">
        <f t="shared" ca="1" si="1842"/>
        <v>900929.94694232731</v>
      </c>
      <c r="AU1862" s="2">
        <f t="shared" ca="1" si="1843"/>
        <v>957057.51536027715</v>
      </c>
      <c r="AV1862" s="2">
        <f t="shared" ca="1" si="1844"/>
        <v>2073702.499075613</v>
      </c>
      <c r="AW1862" s="2">
        <f t="shared" ca="1" si="1845"/>
        <v>2242859.7159429882</v>
      </c>
      <c r="AX1862" s="2">
        <f t="shared" ca="1" si="1846"/>
        <v>2390809.1161289718</v>
      </c>
      <c r="AY1862" s="2">
        <f t="shared" ca="1" si="1847"/>
        <v>2544190.8598568272</v>
      </c>
      <c r="AZ1862" s="2">
        <f t="shared" ca="1" si="1848"/>
        <v>2703204.409620624</v>
      </c>
      <c r="BA1862" s="2">
        <f t="shared" ca="1" si="1849"/>
        <v>53973631.209464304</v>
      </c>
      <c r="BB1862" s="2">
        <f t="shared" ca="1" si="1850"/>
        <v>1079472.624189286</v>
      </c>
      <c r="BC1862" s="2">
        <f t="shared" ca="1" si="1851"/>
        <v>26069395.379785083</v>
      </c>
      <c r="BD1862" s="2">
        <f t="shared" ca="1" si="1852"/>
        <v>-19500873.937222037</v>
      </c>
      <c r="BE1862" s="2">
        <f t="shared" ca="1" si="1853"/>
        <v>2073702.499075613</v>
      </c>
      <c r="BF1862" s="2">
        <f t="shared" ca="1" si="1854"/>
        <v>2242859.7159429882</v>
      </c>
      <c r="BG1862" s="2">
        <f t="shared" ca="1" si="1855"/>
        <v>2390809.1161289718</v>
      </c>
      <c r="BH1862" s="2">
        <f t="shared" ca="1" si="1856"/>
        <v>2544190.8598568272</v>
      </c>
      <c r="BI1862" s="2">
        <f t="shared" ca="1" si="1857"/>
        <v>28772599.789405707</v>
      </c>
      <c r="BJ1862" s="2">
        <f t="shared" ca="1" si="1858"/>
        <v>0.16832128397414126</v>
      </c>
      <c r="BK1862" s="2">
        <f t="shared" ca="1" si="1859"/>
        <v>3783596.0058501959</v>
      </c>
    </row>
    <row r="1863" spans="1:63" x14ac:dyDescent="0.3">
      <c r="A1863" s="2">
        <v>1862</v>
      </c>
      <c r="B1863" s="2">
        <f t="shared" ca="1" si="1798"/>
        <v>0.86806939038396613</v>
      </c>
      <c r="C1863" s="2">
        <f t="shared" ca="1" si="1799"/>
        <v>7.4863257654582354</v>
      </c>
      <c r="D1863" s="2">
        <f t="shared" ca="1" si="1800"/>
        <v>0.76171934345676062</v>
      </c>
      <c r="E1863" s="2">
        <f t="shared" ca="1" si="1801"/>
        <v>7.8096657960911404</v>
      </c>
      <c r="F1863" s="2">
        <f t="shared" ca="1" si="1802"/>
        <v>3.2995081562441797E-2</v>
      </c>
      <c r="G1863" s="2">
        <f t="shared" ca="1" si="1803"/>
        <v>-1.5154714455367493E-2</v>
      </c>
      <c r="H1863" s="2">
        <f t="shared" ca="1" si="1804"/>
        <v>-1.5154714455367493E-2</v>
      </c>
      <c r="I1863" s="2">
        <f t="shared" ca="1" si="1805"/>
        <v>0.7881295043184755</v>
      </c>
      <c r="J1863" s="2">
        <f t="shared" ca="1" si="1806"/>
        <v>1.3999739433489016E-2</v>
      </c>
      <c r="K1863" s="2">
        <f t="shared" ca="1" si="1807"/>
        <v>1.3999739433489016E-2</v>
      </c>
      <c r="L1863" s="2">
        <f t="shared" ca="1" si="1808"/>
        <v>0.41034795164822746</v>
      </c>
      <c r="M1863" s="2">
        <f t="shared" ca="1" si="1809"/>
        <v>-4.5330001591270793E-3</v>
      </c>
      <c r="N1863" s="2">
        <f t="shared" ca="1" si="1810"/>
        <v>-4.5330001591270793E-3</v>
      </c>
      <c r="O1863" s="2">
        <f t="shared" si="1811"/>
        <v>6000000</v>
      </c>
      <c r="P1863" s="2">
        <f t="shared" ca="1" si="1812"/>
        <v>44917954.592749409</v>
      </c>
      <c r="Q1863" s="2">
        <f t="shared" ca="1" si="1813"/>
        <v>1122948.8648187353</v>
      </c>
      <c r="R1863" s="2">
        <f t="shared" ca="1" si="1814"/>
        <v>26950772.755649645</v>
      </c>
      <c r="S1863" s="2">
        <f t="shared" ca="1" si="1815"/>
        <v>17967181.837099764</v>
      </c>
      <c r="T1863" s="2">
        <f t="shared" ca="1" si="1816"/>
        <v>49773349.992043644</v>
      </c>
      <c r="U1863" s="2">
        <f t="shared" ca="1" si="1817"/>
        <v>49019049.08542715</v>
      </c>
      <c r="V1863" s="2">
        <f t="shared" ca="1" si="1818"/>
        <v>48276179.393663853</v>
      </c>
      <c r="W1863" s="2">
        <f t="shared" ca="1" si="1819"/>
        <v>47544567.679956779</v>
      </c>
      <c r="X1863" s="2">
        <f t="shared" ca="1" si="1820"/>
        <v>46824043.332863137</v>
      </c>
      <c r="Y1863" s="2">
        <f t="shared" ca="1" si="1821"/>
        <v>0.12699986971674451</v>
      </c>
      <c r="Z1863" s="2">
        <f t="shared" ca="1" si="1822"/>
        <v>0.12979981760344231</v>
      </c>
      <c r="AA1863" s="2">
        <f t="shared" ca="1" si="1823"/>
        <v>6321208.9643554697</v>
      </c>
      <c r="AB1863" s="2">
        <f t="shared" ca="1" si="1824"/>
        <v>6362663.6303826291</v>
      </c>
      <c r="AC1863" s="2">
        <f t="shared" ca="1" si="1825"/>
        <v>6266239.2798886281</v>
      </c>
      <c r="AD1863" s="2">
        <f t="shared" ca="1" si="1826"/>
        <v>6171276.2128929077</v>
      </c>
      <c r="AE1863" s="2">
        <f t="shared" ca="1" si="1827"/>
        <v>6077752.2840613136</v>
      </c>
      <c r="AF1863" s="2">
        <f t="shared" ca="1" si="1828"/>
        <v>995466.99984087294</v>
      </c>
      <c r="AG1863" s="2">
        <f t="shared" ca="1" si="1829"/>
        <v>980380.98170854303</v>
      </c>
      <c r="AH1863" s="2">
        <f t="shared" ca="1" si="1830"/>
        <v>965523.58787327714</v>
      </c>
      <c r="AI1863" s="2">
        <f t="shared" ca="1" si="1831"/>
        <v>950891.35359913565</v>
      </c>
      <c r="AJ1863" s="2">
        <f t="shared" ca="1" si="1832"/>
        <v>936480.86665726278</v>
      </c>
      <c r="AK1863" s="2">
        <f t="shared" ca="1" si="1833"/>
        <v>0</v>
      </c>
      <c r="AL1863" s="2">
        <f t="shared" ca="1" si="1834"/>
        <v>0</v>
      </c>
      <c r="AM1863" s="2">
        <f t="shared" ca="1" si="1835"/>
        <v>0</v>
      </c>
      <c r="AN1863" s="2">
        <f t="shared" ca="1" si="1836"/>
        <v>0</v>
      </c>
      <c r="AO1863" s="2">
        <f t="shared" ca="1" si="1837"/>
        <v>0</v>
      </c>
      <c r="AP1863" s="2">
        <f t="shared" ca="1" si="1838"/>
        <v>2425569.548008468</v>
      </c>
      <c r="AQ1863" s="2">
        <f t="shared" ca="1" si="1839"/>
        <v>754044.82829159335</v>
      </c>
      <c r="AR1863" s="2">
        <f t="shared" ca="1" si="1840"/>
        <v>768745.40617306065</v>
      </c>
      <c r="AS1863" s="2">
        <f t="shared" ca="1" si="1841"/>
        <v>747537.9974417896</v>
      </c>
      <c r="AT1863" s="2">
        <f t="shared" ca="1" si="1842"/>
        <v>726651.98093417904</v>
      </c>
      <c r="AU1863" s="2">
        <f t="shared" ca="1" si="1843"/>
        <v>706082.48604285158</v>
      </c>
      <c r="AV1863" s="2">
        <f t="shared" ca="1" si="1844"/>
        <v>2146127.5882145353</v>
      </c>
      <c r="AW1863" s="2">
        <f t="shared" ca="1" si="1845"/>
        <v>2187967.6944925571</v>
      </c>
      <c r="AX1863" s="2">
        <f t="shared" ca="1" si="1846"/>
        <v>2127608.1465650927</v>
      </c>
      <c r="AY1863" s="2">
        <f t="shared" ca="1" si="1847"/>
        <v>2068163.3303511245</v>
      </c>
      <c r="AZ1863" s="2">
        <f t="shared" ca="1" si="1848"/>
        <v>2009619.3833527314</v>
      </c>
      <c r="BA1863" s="2">
        <f t="shared" ca="1" si="1849"/>
        <v>47465214.129948445</v>
      </c>
      <c r="BB1863" s="2">
        <f t="shared" ca="1" si="1850"/>
        <v>949304.28259896894</v>
      </c>
      <c r="BC1863" s="2">
        <f t="shared" ca="1" si="1851"/>
        <v>19565137.091699831</v>
      </c>
      <c r="BD1863" s="2">
        <f t="shared" ca="1" si="1852"/>
        <v>-19590130.701918501</v>
      </c>
      <c r="BE1863" s="2">
        <f t="shared" ca="1" si="1853"/>
        <v>2146127.5882145353</v>
      </c>
      <c r="BF1863" s="2">
        <f t="shared" ca="1" si="1854"/>
        <v>2187967.6944925571</v>
      </c>
      <c r="BG1863" s="2">
        <f t="shared" ca="1" si="1855"/>
        <v>2127608.1465650927</v>
      </c>
      <c r="BH1863" s="2">
        <f t="shared" ca="1" si="1856"/>
        <v>2068163.3303511245</v>
      </c>
      <c r="BI1863" s="2">
        <f t="shared" ca="1" si="1857"/>
        <v>21574756.475052562</v>
      </c>
      <c r="BJ1863" s="2">
        <f t="shared" ca="1" si="1858"/>
        <v>0.10779203638017765</v>
      </c>
      <c r="BK1863" s="2">
        <f t="shared" ca="1" si="1859"/>
        <v>-858870.03609191254</v>
      </c>
    </row>
    <row r="1864" spans="1:63" x14ac:dyDescent="0.3">
      <c r="A1864" s="2">
        <v>1863</v>
      </c>
      <c r="B1864" s="2">
        <f t="shared" ca="1" si="1798"/>
        <v>0.17306165720263367</v>
      </c>
      <c r="C1864" s="2">
        <f t="shared" ca="1" si="1799"/>
        <v>6.5883224578454129</v>
      </c>
      <c r="D1864" s="2">
        <f t="shared" ca="1" si="1800"/>
        <v>0.61703777485014688</v>
      </c>
      <c r="E1864" s="2">
        <f t="shared" ca="1" si="1801"/>
        <v>7.6248289022712719</v>
      </c>
      <c r="F1864" s="2">
        <f t="shared" ca="1" si="1802"/>
        <v>0.5404162573211061</v>
      </c>
      <c r="G1864" s="2">
        <f t="shared" ca="1" si="1803"/>
        <v>4.3044473618802273E-2</v>
      </c>
      <c r="H1864" s="2">
        <f t="shared" ca="1" si="1804"/>
        <v>4.3044473618802273E-2</v>
      </c>
      <c r="I1864" s="2">
        <f t="shared" ca="1" si="1805"/>
        <v>0.26138155908317906</v>
      </c>
      <c r="J1864" s="2">
        <f t="shared" ca="1" si="1806"/>
        <v>6.8045402631475658E-3</v>
      </c>
      <c r="K1864" s="2">
        <f t="shared" ca="1" si="1807"/>
        <v>6.8045402631475658E-3</v>
      </c>
      <c r="L1864" s="2">
        <f t="shared" ca="1" si="1808"/>
        <v>0.77296389406966948</v>
      </c>
      <c r="M1864" s="2">
        <f t="shared" ca="1" si="1809"/>
        <v>1.4972866491126864E-2</v>
      </c>
      <c r="N1864" s="2">
        <f t="shared" ca="1" si="1810"/>
        <v>1.4972866491126864E-2</v>
      </c>
      <c r="O1864" s="2">
        <f t="shared" si="1811"/>
        <v>6000000</v>
      </c>
      <c r="P1864" s="2">
        <f t="shared" ca="1" si="1812"/>
        <v>39529934.747072481</v>
      </c>
      <c r="Q1864" s="2">
        <f t="shared" ca="1" si="1813"/>
        <v>988248.36867681204</v>
      </c>
      <c r="R1864" s="2">
        <f t="shared" ca="1" si="1814"/>
        <v>23717960.848243486</v>
      </c>
      <c r="S1864" s="2">
        <f t="shared" ca="1" si="1815"/>
        <v>15811973.898828993</v>
      </c>
      <c r="T1864" s="2">
        <f t="shared" ca="1" si="1816"/>
        <v>50748643.324556343</v>
      </c>
      <c r="U1864" s="2">
        <f t="shared" ca="1" si="1817"/>
        <v>52933091.963330217</v>
      </c>
      <c r="V1864" s="2">
        <f t="shared" ca="1" si="1818"/>
        <v>55211569.043907419</v>
      </c>
      <c r="W1864" s="2">
        <f t="shared" ca="1" si="1819"/>
        <v>57588121.971070573</v>
      </c>
      <c r="X1864" s="2">
        <f t="shared" ca="1" si="1820"/>
        <v>60066972.368010685</v>
      </c>
      <c r="Y1864" s="2">
        <f t="shared" ca="1" si="1821"/>
        <v>0.12340227013157377</v>
      </c>
      <c r="Z1864" s="2">
        <f t="shared" ca="1" si="1822"/>
        <v>0.12476317818420329</v>
      </c>
      <c r="AA1864" s="2">
        <f t="shared" ca="1" si="1823"/>
        <v>6262497.7923477897</v>
      </c>
      <c r="AB1864" s="2">
        <f t="shared" ca="1" si="1824"/>
        <v>6604100.784461787</v>
      </c>
      <c r="AC1864" s="2">
        <f t="shared" ca="1" si="1825"/>
        <v>6888370.8264544643</v>
      </c>
      <c r="AD1864" s="2">
        <f t="shared" ca="1" si="1826"/>
        <v>7184877.1227703104</v>
      </c>
      <c r="AE1864" s="2">
        <f t="shared" ca="1" si="1827"/>
        <v>7494146.3765357323</v>
      </c>
      <c r="AF1864" s="2">
        <f t="shared" ca="1" si="1828"/>
        <v>1014972.8664911269</v>
      </c>
      <c r="AG1864" s="2">
        <f t="shared" ca="1" si="1829"/>
        <v>1058661.8392666043</v>
      </c>
      <c r="AH1864" s="2">
        <f t="shared" ca="1" si="1830"/>
        <v>1104231.3808781484</v>
      </c>
      <c r="AI1864" s="2">
        <f t="shared" ca="1" si="1831"/>
        <v>1151762.4394214114</v>
      </c>
      <c r="AJ1864" s="2">
        <f t="shared" ca="1" si="1832"/>
        <v>1201339.4473602136</v>
      </c>
      <c r="AK1864" s="2">
        <f t="shared" ca="1" si="1833"/>
        <v>0</v>
      </c>
      <c r="AL1864" s="2">
        <f t="shared" ca="1" si="1834"/>
        <v>21844.486387738736</v>
      </c>
      <c r="AM1864" s="2">
        <f t="shared" ca="1" si="1835"/>
        <v>22784.770805772023</v>
      </c>
      <c r="AN1864" s="2">
        <f t="shared" ca="1" si="1836"/>
        <v>23765.529271631538</v>
      </c>
      <c r="AO1864" s="2">
        <f t="shared" ca="1" si="1837"/>
        <v>24788.503969401121</v>
      </c>
      <c r="AP1864" s="2">
        <f t="shared" ca="1" si="1838"/>
        <v>2134616.4763419135</v>
      </c>
      <c r="AQ1864" s="2">
        <f t="shared" ca="1" si="1839"/>
        <v>809356.19687383494</v>
      </c>
      <c r="AR1864" s="2">
        <f t="shared" ca="1" si="1840"/>
        <v>886813.84190185019</v>
      </c>
      <c r="AS1864" s="2">
        <f t="shared" ca="1" si="1841"/>
        <v>948875.97200094466</v>
      </c>
      <c r="AT1864" s="2">
        <f t="shared" ca="1" si="1842"/>
        <v>1013609.5338218162</v>
      </c>
      <c r="AU1864" s="2">
        <f t="shared" ca="1" si="1843"/>
        <v>1081129.5177367374</v>
      </c>
      <c r="AV1864" s="2">
        <f t="shared" ca="1" si="1844"/>
        <v>2303552.2526409142</v>
      </c>
      <c r="AW1864" s="2">
        <f t="shared" ca="1" si="1845"/>
        <v>2502164.1405636808</v>
      </c>
      <c r="AX1864" s="2">
        <f t="shared" ca="1" si="1846"/>
        <v>2677862.2264276855</v>
      </c>
      <c r="AY1864" s="2">
        <f t="shared" ca="1" si="1847"/>
        <v>2861123.1439135373</v>
      </c>
      <c r="AZ1864" s="2">
        <f t="shared" ca="1" si="1848"/>
        <v>3052272.4311274663</v>
      </c>
      <c r="BA1864" s="2">
        <f t="shared" ca="1" si="1849"/>
        <v>57141583.889661178</v>
      </c>
      <c r="BB1864" s="2">
        <f t="shared" ca="1" si="1850"/>
        <v>1142831.6777932236</v>
      </c>
      <c r="BC1864" s="2">
        <f t="shared" ca="1" si="1851"/>
        <v>32280791.363624468</v>
      </c>
      <c r="BD1864" s="2">
        <f t="shared" ca="1" si="1852"/>
        <v>-17300222.267505806</v>
      </c>
      <c r="BE1864" s="2">
        <f t="shared" ca="1" si="1853"/>
        <v>2303552.2526409142</v>
      </c>
      <c r="BF1864" s="2">
        <f t="shared" ca="1" si="1854"/>
        <v>2502164.1405636808</v>
      </c>
      <c r="BG1864" s="2">
        <f t="shared" ca="1" si="1855"/>
        <v>2677862.2264276855</v>
      </c>
      <c r="BH1864" s="2">
        <f t="shared" ca="1" si="1856"/>
        <v>2861123.1439135373</v>
      </c>
      <c r="BI1864" s="2">
        <f t="shared" ca="1" si="1857"/>
        <v>35333063.794751935</v>
      </c>
      <c r="BJ1864" s="2">
        <f t="shared" ca="1" si="1858"/>
        <v>0.25466448440874712</v>
      </c>
      <c r="BK1864" s="2">
        <f t="shared" ca="1" si="1859"/>
        <v>10524504.962291528</v>
      </c>
    </row>
    <row r="1865" spans="1:63" x14ac:dyDescent="0.3">
      <c r="A1865" s="2">
        <v>1864</v>
      </c>
      <c r="B1865" s="2">
        <f t="shared" ca="1" si="1798"/>
        <v>0.99784245132329252</v>
      </c>
      <c r="C1865" s="2">
        <f t="shared" ca="1" si="1799"/>
        <v>7.9343105993830436</v>
      </c>
      <c r="D1865" s="2">
        <f t="shared" ca="1" si="1800"/>
        <v>0.82779416409468076</v>
      </c>
      <c r="E1865" s="2">
        <f t="shared" ca="1" si="1801"/>
        <v>7.9131340256833438</v>
      </c>
      <c r="F1865" s="2">
        <f t="shared" ca="1" si="1802"/>
        <v>0.84070104522776001</v>
      </c>
      <c r="G1865" s="2">
        <f t="shared" ca="1" si="1803"/>
        <v>6.9920298592360333E-2</v>
      </c>
      <c r="H1865" s="2">
        <f t="shared" ca="1" si="1804"/>
        <v>6.9920298592360333E-2</v>
      </c>
      <c r="I1865" s="2">
        <f t="shared" ca="1" si="1805"/>
        <v>0.9620589595148058</v>
      </c>
      <c r="J1865" s="2">
        <f t="shared" ca="1" si="1806"/>
        <v>1.8875478678926902E-2</v>
      </c>
      <c r="K1865" s="2">
        <f t="shared" ca="1" si="1807"/>
        <v>1.8875478678926902E-2</v>
      </c>
      <c r="L1865" s="2">
        <f t="shared" ca="1" si="1808"/>
        <v>0.85271185680314465</v>
      </c>
      <c r="M1865" s="2">
        <f t="shared" ca="1" si="1809"/>
        <v>2.0962705485735686E-2</v>
      </c>
      <c r="N1865" s="2">
        <f t="shared" ca="1" si="1810"/>
        <v>2.0962705485735686E-2</v>
      </c>
      <c r="O1865" s="2">
        <f t="shared" si="1811"/>
        <v>6000000</v>
      </c>
      <c r="P1865" s="2">
        <f t="shared" ca="1" si="1812"/>
        <v>47605863.596298262</v>
      </c>
      <c r="Q1865" s="2">
        <f t="shared" ca="1" si="1813"/>
        <v>1190146.5899074567</v>
      </c>
      <c r="R1865" s="2">
        <f t="shared" ca="1" si="1814"/>
        <v>28563518.157778956</v>
      </c>
      <c r="S1865" s="2">
        <f t="shared" ca="1" si="1815"/>
        <v>19042345.438519306</v>
      </c>
      <c r="T1865" s="2">
        <f t="shared" ca="1" si="1816"/>
        <v>51048135.274286784</v>
      </c>
      <c r="U1865" s="2">
        <f t="shared" ca="1" si="1817"/>
        <v>54617436.135248117</v>
      </c>
      <c r="V1865" s="2">
        <f t="shared" ca="1" si="1818"/>
        <v>58436303.578173839</v>
      </c>
      <c r="W1865" s="2">
        <f t="shared" ca="1" si="1819"/>
        <v>62522187.372993574</v>
      </c>
      <c r="X1865" s="2">
        <f t="shared" ca="1" si="1820"/>
        <v>66893757.382760786</v>
      </c>
      <c r="Y1865" s="2">
        <f t="shared" ca="1" si="1821"/>
        <v>0.12943773933946345</v>
      </c>
      <c r="Z1865" s="2">
        <f t="shared" ca="1" si="1822"/>
        <v>0.13321283507524884</v>
      </c>
      <c r="AA1865" s="2">
        <f t="shared" ca="1" si="1823"/>
        <v>6607555.2273988025</v>
      </c>
      <c r="AB1865" s="2">
        <f t="shared" ca="1" si="1824"/>
        <v>7275743.5121177435</v>
      </c>
      <c r="AC1865" s="2">
        <f t="shared" ca="1" si="1825"/>
        <v>7784465.6709664455</v>
      </c>
      <c r="AD1865" s="2">
        <f t="shared" ca="1" si="1826"/>
        <v>8328757.8350623986</v>
      </c>
      <c r="AE1865" s="2">
        <f t="shared" ca="1" si="1827"/>
        <v>8911107.0697934218</v>
      </c>
      <c r="AF1865" s="2">
        <f t="shared" ca="1" si="1828"/>
        <v>1020962.7054857357</v>
      </c>
      <c r="AG1865" s="2">
        <f t="shared" ca="1" si="1829"/>
        <v>1092348.7227049624</v>
      </c>
      <c r="AH1865" s="2">
        <f t="shared" ca="1" si="1830"/>
        <v>1168726.0715634767</v>
      </c>
      <c r="AI1865" s="2">
        <f t="shared" ca="1" si="1831"/>
        <v>1250443.7474598715</v>
      </c>
      <c r="AJ1865" s="2">
        <f t="shared" ca="1" si="1832"/>
        <v>1337875.1476552158</v>
      </c>
      <c r="AK1865" s="2">
        <f t="shared" ca="1" si="1833"/>
        <v>0</v>
      </c>
      <c r="AL1865" s="2">
        <f t="shared" ca="1" si="1834"/>
        <v>35693.008609613331</v>
      </c>
      <c r="AM1865" s="2">
        <f t="shared" ca="1" si="1835"/>
        <v>38188.674429257218</v>
      </c>
      <c r="AN1865" s="2">
        <f t="shared" ca="1" si="1836"/>
        <v>40858.837948197353</v>
      </c>
      <c r="AO1865" s="2">
        <f t="shared" ca="1" si="1837"/>
        <v>43715.700097672117</v>
      </c>
      <c r="AP1865" s="2">
        <f t="shared" ca="1" si="1838"/>
        <v>2570716.6342001059</v>
      </c>
      <c r="AQ1865" s="2">
        <f t="shared" ca="1" si="1839"/>
        <v>784127.73080536979</v>
      </c>
      <c r="AR1865" s="2">
        <f t="shared" ca="1" si="1840"/>
        <v>939296.32035529567</v>
      </c>
      <c r="AS1865" s="2">
        <f t="shared" ca="1" si="1841"/>
        <v>1051705.9709527444</v>
      </c>
      <c r="AT1865" s="2">
        <f t="shared" ca="1" si="1842"/>
        <v>1171975.3378846294</v>
      </c>
      <c r="AU1865" s="2">
        <f t="shared" ca="1" si="1843"/>
        <v>1300653.9748639059</v>
      </c>
      <c r="AV1865" s="2">
        <f t="shared" ca="1" si="1844"/>
        <v>2231748.1569075906</v>
      </c>
      <c r="AW1865" s="2">
        <f t="shared" ca="1" si="1845"/>
        <v>2637688.8262477661</v>
      </c>
      <c r="AX1865" s="2">
        <f t="shared" ca="1" si="1846"/>
        <v>2955128.3198208609</v>
      </c>
      <c r="AY1865" s="2">
        <f t="shared" ca="1" si="1847"/>
        <v>3294763.2775695943</v>
      </c>
      <c r="AZ1865" s="2">
        <f t="shared" ca="1" si="1848"/>
        <v>3658145.6129765227</v>
      </c>
      <c r="BA1865" s="2">
        <f t="shared" ca="1" si="1849"/>
        <v>70514784.560489729</v>
      </c>
      <c r="BB1865" s="2">
        <f t="shared" ca="1" si="1850"/>
        <v>1410295.6912097947</v>
      </c>
      <c r="BC1865" s="2">
        <f t="shared" ca="1" si="1851"/>
        <v>40540970.71150098</v>
      </c>
      <c r="BD1865" s="2">
        <f t="shared" ca="1" si="1852"/>
        <v>-20732492.028426763</v>
      </c>
      <c r="BE1865" s="2">
        <f t="shared" ca="1" si="1853"/>
        <v>2231748.1569075906</v>
      </c>
      <c r="BF1865" s="2">
        <f t="shared" ca="1" si="1854"/>
        <v>2637688.8262477661</v>
      </c>
      <c r="BG1865" s="2">
        <f t="shared" ca="1" si="1855"/>
        <v>2955128.3198208609</v>
      </c>
      <c r="BH1865" s="2">
        <f t="shared" ca="1" si="1856"/>
        <v>3294763.2775695943</v>
      </c>
      <c r="BI1865" s="2">
        <f t="shared" ca="1" si="1857"/>
        <v>44199116.324477501</v>
      </c>
      <c r="BJ1865" s="2">
        <f t="shared" ca="1" si="1858"/>
        <v>0.25124261624242972</v>
      </c>
      <c r="BK1865" s="2">
        <f t="shared" ca="1" si="1859"/>
        <v>12639938.833997127</v>
      </c>
    </row>
    <row r="1866" spans="1:63" x14ac:dyDescent="0.3">
      <c r="A1866" s="2">
        <v>1865</v>
      </c>
      <c r="B1866" s="2">
        <f t="shared" ca="1" si="1798"/>
        <v>0.8330239356300887</v>
      </c>
      <c r="C1866" s="2">
        <f t="shared" ca="1" si="1799"/>
        <v>7.4221140867439122</v>
      </c>
      <c r="D1866" s="2">
        <f t="shared" ca="1" si="1800"/>
        <v>0.35032785644128295</v>
      </c>
      <c r="E1866" s="2">
        <f t="shared" ca="1" si="1801"/>
        <v>7.3370517982075931</v>
      </c>
      <c r="F1866" s="2">
        <f t="shared" ca="1" si="1802"/>
        <v>0.77022886524700007</v>
      </c>
      <c r="G1866" s="2">
        <f t="shared" ca="1" si="1803"/>
        <v>6.2188023337807513E-2</v>
      </c>
      <c r="H1866" s="2">
        <f t="shared" ca="1" si="1804"/>
        <v>6.2188023337807513E-2</v>
      </c>
      <c r="I1866" s="2">
        <f t="shared" ca="1" si="1805"/>
        <v>0.1510802182979184</v>
      </c>
      <c r="J1866" s="2">
        <f t="shared" ca="1" si="1806"/>
        <v>4.8409425606878954E-3</v>
      </c>
      <c r="K1866" s="2">
        <f t="shared" ca="1" si="1807"/>
        <v>4.8409425606878954E-3</v>
      </c>
      <c r="L1866" s="2">
        <f t="shared" ca="1" si="1808"/>
        <v>5.5909105770099554E-2</v>
      </c>
      <c r="M1866" s="2">
        <f t="shared" ca="1" si="1809"/>
        <v>-3.180147239135564E-2</v>
      </c>
      <c r="N1866" s="2">
        <f t="shared" ca="1" si="1810"/>
        <v>-3.180147239135564E-2</v>
      </c>
      <c r="O1866" s="2">
        <f t="shared" si="1811"/>
        <v>6000000</v>
      </c>
      <c r="P1866" s="2">
        <f t="shared" ca="1" si="1812"/>
        <v>44532684.520463474</v>
      </c>
      <c r="Q1866" s="2">
        <f t="shared" ca="1" si="1813"/>
        <v>1113317.1130115869</v>
      </c>
      <c r="R1866" s="2">
        <f t="shared" ca="1" si="1814"/>
        <v>26719610.712278083</v>
      </c>
      <c r="S1866" s="2">
        <f t="shared" ca="1" si="1815"/>
        <v>17813073.808185391</v>
      </c>
      <c r="T1866" s="2">
        <f t="shared" ca="1" si="1816"/>
        <v>48409926.380432218</v>
      </c>
      <c r="U1866" s="2">
        <f t="shared" ca="1" si="1817"/>
        <v>51420444.011960082</v>
      </c>
      <c r="V1866" s="2">
        <f t="shared" ca="1" si="1818"/>
        <v>54618179.784216285</v>
      </c>
      <c r="W1866" s="2">
        <f t="shared" ca="1" si="1819"/>
        <v>58014776.423305698</v>
      </c>
      <c r="X1866" s="2">
        <f t="shared" ca="1" si="1820"/>
        <v>61622600.69345592</v>
      </c>
      <c r="Y1866" s="2">
        <f t="shared" ca="1" si="1821"/>
        <v>0.12242047128034395</v>
      </c>
      <c r="Z1866" s="2">
        <f t="shared" ca="1" si="1822"/>
        <v>0.12338865979248152</v>
      </c>
      <c r="AA1866" s="2">
        <f t="shared" ca="1" si="1823"/>
        <v>5926366.0021392675</v>
      </c>
      <c r="AB1866" s="2">
        <f t="shared" ca="1" si="1824"/>
        <v>6344699.6725700861</v>
      </c>
      <c r="AC1866" s="2">
        <f t="shared" ca="1" si="1825"/>
        <v>6739264.0038792547</v>
      </c>
      <c r="AD1866" s="2">
        <f t="shared" ca="1" si="1826"/>
        <v>7158365.5110321445</v>
      </c>
      <c r="AE1866" s="2">
        <f t="shared" ca="1" si="1827"/>
        <v>7603530.1124927681</v>
      </c>
      <c r="AF1866" s="2">
        <f t="shared" ca="1" si="1828"/>
        <v>968198.52760864433</v>
      </c>
      <c r="AG1866" s="2">
        <f t="shared" ca="1" si="1829"/>
        <v>1028408.8802392017</v>
      </c>
      <c r="AH1866" s="2">
        <f t="shared" ca="1" si="1830"/>
        <v>1092363.5956843258</v>
      </c>
      <c r="AI1866" s="2">
        <f t="shared" ca="1" si="1831"/>
        <v>1160295.5284661141</v>
      </c>
      <c r="AJ1866" s="2">
        <f t="shared" ca="1" si="1832"/>
        <v>1232452.0138691184</v>
      </c>
      <c r="AK1866" s="2">
        <f t="shared" ca="1" si="1833"/>
        <v>0</v>
      </c>
      <c r="AL1866" s="2">
        <f t="shared" ca="1" si="1834"/>
        <v>30105.176315278633</v>
      </c>
      <c r="AM1866" s="2">
        <f t="shared" ca="1" si="1835"/>
        <v>31977.357722562032</v>
      </c>
      <c r="AN1866" s="2">
        <f t="shared" ca="1" si="1836"/>
        <v>33965.966390894129</v>
      </c>
      <c r="AO1866" s="2">
        <f t="shared" ca="1" si="1837"/>
        <v>36078.242701502219</v>
      </c>
      <c r="AP1866" s="2">
        <f t="shared" ca="1" si="1838"/>
        <v>2404764.9641050273</v>
      </c>
      <c r="AQ1866" s="2">
        <f t="shared" ca="1" si="1839"/>
        <v>663884.65271065501</v>
      </c>
      <c r="AR1866" s="2">
        <f t="shared" ca="1" si="1840"/>
        <v>756996.71533872292</v>
      </c>
      <c r="AS1866" s="2">
        <f t="shared" ca="1" si="1841"/>
        <v>842955.21546337462</v>
      </c>
      <c r="AT1866" s="2">
        <f t="shared" ca="1" si="1842"/>
        <v>934259.30479986093</v>
      </c>
      <c r="AU1866" s="2">
        <f t="shared" ca="1" si="1843"/>
        <v>1031241.414974842</v>
      </c>
      <c r="AV1866" s="2">
        <f t="shared" ca="1" si="1844"/>
        <v>1889517.8577149413</v>
      </c>
      <c r="AW1866" s="2">
        <f t="shared" ca="1" si="1845"/>
        <v>2124423.9365718556</v>
      </c>
      <c r="AX1866" s="2">
        <f t="shared" ca="1" si="1846"/>
        <v>2367202.8709039656</v>
      </c>
      <c r="AY1866" s="2">
        <f t="shared" ca="1" si="1847"/>
        <v>2625079.7472702484</v>
      </c>
      <c r="AZ1866" s="2">
        <f t="shared" ca="1" si="1848"/>
        <v>2898993.4768422781</v>
      </c>
      <c r="BA1866" s="2">
        <f t="shared" ca="1" si="1849"/>
        <v>55787494.284590647</v>
      </c>
      <c r="BB1866" s="2">
        <f t="shared" ca="1" si="1850"/>
        <v>1115749.885691813</v>
      </c>
      <c r="BC1866" s="2">
        <f t="shared" ca="1" si="1851"/>
        <v>27952133.68662075</v>
      </c>
      <c r="BD1866" s="2">
        <f t="shared" ca="1" si="1852"/>
        <v>-19426390.921196979</v>
      </c>
      <c r="BE1866" s="2">
        <f t="shared" ca="1" si="1853"/>
        <v>1889517.8577149413</v>
      </c>
      <c r="BF1866" s="2">
        <f t="shared" ca="1" si="1854"/>
        <v>2124423.9365718556</v>
      </c>
      <c r="BG1866" s="2">
        <f t="shared" ca="1" si="1855"/>
        <v>2367202.8709039656</v>
      </c>
      <c r="BH1866" s="2">
        <f t="shared" ca="1" si="1856"/>
        <v>2625079.7472702484</v>
      </c>
      <c r="BI1866" s="2">
        <f t="shared" ca="1" si="1857"/>
        <v>30851127.163463026</v>
      </c>
      <c r="BJ1866" s="2">
        <f t="shared" ca="1" si="1858"/>
        <v>0.17972147780661896</v>
      </c>
      <c r="BK1866" s="2">
        <f t="shared" ca="1" si="1859"/>
        <v>4813228.3146376126</v>
      </c>
    </row>
    <row r="1867" spans="1:63" x14ac:dyDescent="0.3">
      <c r="A1867" s="2">
        <v>1866</v>
      </c>
      <c r="B1867" s="2">
        <f t="shared" ca="1" si="1798"/>
        <v>0.33121973251858694</v>
      </c>
      <c r="C1867" s="2">
        <f t="shared" ca="1" si="1799"/>
        <v>6.8139038426234233</v>
      </c>
      <c r="D1867" s="2">
        <f t="shared" ca="1" si="1800"/>
        <v>0.86176543198288746</v>
      </c>
      <c r="E1867" s="2">
        <f t="shared" ca="1" si="1801"/>
        <v>7.9741966755199956</v>
      </c>
      <c r="F1867" s="2">
        <f t="shared" ca="1" si="1802"/>
        <v>0.37287843554007372</v>
      </c>
      <c r="G1867" s="2">
        <f t="shared" ca="1" si="1803"/>
        <v>3.0272821013322911E-2</v>
      </c>
      <c r="H1867" s="2">
        <f t="shared" ca="1" si="1804"/>
        <v>3.0272821013322911E-2</v>
      </c>
      <c r="I1867" s="2">
        <f t="shared" ca="1" si="1805"/>
        <v>0.63031217122942718</v>
      </c>
      <c r="J1867" s="2">
        <f t="shared" ca="1" si="1806"/>
        <v>1.166340126216907E-2</v>
      </c>
      <c r="K1867" s="2">
        <f t="shared" ca="1" si="1807"/>
        <v>1.166340126216907E-2</v>
      </c>
      <c r="L1867" s="2">
        <f t="shared" ca="1" si="1808"/>
        <v>0.36450695126873012</v>
      </c>
      <c r="M1867" s="2">
        <f t="shared" ca="1" si="1809"/>
        <v>-6.9287511825789419E-3</v>
      </c>
      <c r="N1867" s="2">
        <f t="shared" ca="1" si="1810"/>
        <v>-6.9287511825789419E-3</v>
      </c>
      <c r="O1867" s="2">
        <f t="shared" si="1811"/>
        <v>6000000</v>
      </c>
      <c r="P1867" s="2">
        <f t="shared" ca="1" si="1812"/>
        <v>40883423.055740543</v>
      </c>
      <c r="Q1867" s="2">
        <f t="shared" ca="1" si="1813"/>
        <v>1022085.5763935136</v>
      </c>
      <c r="R1867" s="2">
        <f t="shared" ca="1" si="1814"/>
        <v>24530053.833444323</v>
      </c>
      <c r="S1867" s="2">
        <f t="shared" ca="1" si="1815"/>
        <v>16353369.222296217</v>
      </c>
      <c r="T1867" s="2">
        <f t="shared" ca="1" si="1816"/>
        <v>49653562.440871052</v>
      </c>
      <c r="U1867" s="2">
        <f t="shared" ca="1" si="1817"/>
        <v>51156715.849317394</v>
      </c>
      <c r="V1867" s="2">
        <f t="shared" ca="1" si="1818"/>
        <v>52705373.951853201</v>
      </c>
      <c r="W1867" s="2">
        <f t="shared" ca="1" si="1819"/>
        <v>54300914.303937905</v>
      </c>
      <c r="X1867" s="2">
        <f t="shared" ca="1" si="1820"/>
        <v>55944756.163520806</v>
      </c>
      <c r="Y1867" s="2">
        <f t="shared" ca="1" si="1821"/>
        <v>0.12583170063108454</v>
      </c>
      <c r="Z1867" s="2">
        <f t="shared" ca="1" si="1822"/>
        <v>0.12816438088351834</v>
      </c>
      <c r="AA1867" s="2">
        <f t="shared" ca="1" si="1823"/>
        <v>6247992.2043265495</v>
      </c>
      <c r="AB1867" s="2">
        <f t="shared" ca="1" si="1824"/>
        <v>6556468.814861834</v>
      </c>
      <c r="AC1867" s="2">
        <f t="shared" ca="1" si="1825"/>
        <v>6754951.6217735801</v>
      </c>
      <c r="AD1867" s="2">
        <f t="shared" ca="1" si="1826"/>
        <v>6959443.063173187</v>
      </c>
      <c r="AE1867" s="2">
        <f t="shared" ca="1" si="1827"/>
        <v>7170125.0373770408</v>
      </c>
      <c r="AF1867" s="2">
        <f t="shared" ca="1" si="1828"/>
        <v>993071.24881742103</v>
      </c>
      <c r="AG1867" s="2">
        <f t="shared" ca="1" si="1829"/>
        <v>1023134.3169863479</v>
      </c>
      <c r="AH1867" s="2">
        <f t="shared" ca="1" si="1830"/>
        <v>1054107.4790370641</v>
      </c>
      <c r="AI1867" s="2">
        <f t="shared" ca="1" si="1831"/>
        <v>1086018.2860787581</v>
      </c>
      <c r="AJ1867" s="2">
        <f t="shared" ca="1" si="1832"/>
        <v>1118895.1232704162</v>
      </c>
      <c r="AK1867" s="2">
        <f t="shared" ca="1" si="1833"/>
        <v>0</v>
      </c>
      <c r="AL1867" s="2">
        <f t="shared" ca="1" si="1834"/>
        <v>15031.534084463417</v>
      </c>
      <c r="AM1867" s="2">
        <f t="shared" ca="1" si="1835"/>
        <v>15486.581025358066</v>
      </c>
      <c r="AN1867" s="2">
        <f t="shared" ca="1" si="1836"/>
        <v>15955.403520847038</v>
      </c>
      <c r="AO1867" s="2">
        <f t="shared" ca="1" si="1837"/>
        <v>16438.418595829011</v>
      </c>
      <c r="AP1867" s="2">
        <f t="shared" ca="1" si="1838"/>
        <v>2207704.8450099891</v>
      </c>
      <c r="AQ1867" s="2">
        <f t="shared" ca="1" si="1839"/>
        <v>792276.18872977619</v>
      </c>
      <c r="AR1867" s="2">
        <f t="shared" ca="1" si="1840"/>
        <v>864663.70974502934</v>
      </c>
      <c r="AS1867" s="2">
        <f t="shared" ca="1" si="1841"/>
        <v>908216.21740889701</v>
      </c>
      <c r="AT1867" s="2">
        <f t="shared" ca="1" si="1842"/>
        <v>953087.18234195455</v>
      </c>
      <c r="AU1867" s="2">
        <f t="shared" ca="1" si="1843"/>
        <v>999316.51796512515</v>
      </c>
      <c r="AV1867" s="2">
        <f t="shared" ca="1" si="1844"/>
        <v>2254939.9217693629</v>
      </c>
      <c r="AW1867" s="2">
        <f t="shared" ca="1" si="1845"/>
        <v>2445934.4090360049</v>
      </c>
      <c r="AX1867" s="2">
        <f t="shared" ca="1" si="1846"/>
        <v>2569436.4992922712</v>
      </c>
      <c r="AY1867" s="2">
        <f t="shared" ca="1" si="1847"/>
        <v>2696677.3462216388</v>
      </c>
      <c r="AZ1867" s="2">
        <f t="shared" ca="1" si="1848"/>
        <v>2827770.1325356811</v>
      </c>
      <c r="BA1867" s="2">
        <f t="shared" ca="1" si="1849"/>
        <v>57175987.236114681</v>
      </c>
      <c r="BB1867" s="2">
        <f t="shared" ca="1" si="1850"/>
        <v>1143519.7447222937</v>
      </c>
      <c r="BC1867" s="2">
        <f t="shared" ca="1" si="1851"/>
        <v>31502413.657948062</v>
      </c>
      <c r="BD1867" s="2">
        <f t="shared" ca="1" si="1852"/>
        <v>-17875454.79868973</v>
      </c>
      <c r="BE1867" s="2">
        <f t="shared" ca="1" si="1853"/>
        <v>2254939.9217693629</v>
      </c>
      <c r="BF1867" s="2">
        <f t="shared" ca="1" si="1854"/>
        <v>2445934.4090360049</v>
      </c>
      <c r="BG1867" s="2">
        <f t="shared" ca="1" si="1855"/>
        <v>2569436.4992922712</v>
      </c>
      <c r="BH1867" s="2">
        <f t="shared" ca="1" si="1856"/>
        <v>2696677.3462216388</v>
      </c>
      <c r="BI1867" s="2">
        <f t="shared" ca="1" si="1857"/>
        <v>34330183.790483743</v>
      </c>
      <c r="BJ1867" s="2">
        <f t="shared" ca="1" si="1858"/>
        <v>0.23544752036259142</v>
      </c>
      <c r="BK1867" s="2">
        <f t="shared" ca="1" si="1859"/>
        <v>9110297.95078215</v>
      </c>
    </row>
    <row r="1868" spans="1:63" x14ac:dyDescent="0.3">
      <c r="A1868" s="2">
        <v>1867</v>
      </c>
      <c r="B1868" s="2">
        <f t="shared" ca="1" si="1798"/>
        <v>0.72888475276776332</v>
      </c>
      <c r="C1868" s="2">
        <f t="shared" ca="1" si="1799"/>
        <v>7.2636369818734288</v>
      </c>
      <c r="D1868" s="2">
        <f t="shared" ca="1" si="1800"/>
        <v>0.82527572559862905</v>
      </c>
      <c r="E1868" s="2">
        <f t="shared" ca="1" si="1801"/>
        <v>7.908858266739065</v>
      </c>
      <c r="F1868" s="2">
        <f t="shared" ca="1" si="1802"/>
        <v>0.31683714254654116</v>
      </c>
      <c r="G1868" s="2">
        <f t="shared" ca="1" si="1803"/>
        <v>2.5703149981969348E-2</v>
      </c>
      <c r="H1868" s="2">
        <f t="shared" ca="1" si="1804"/>
        <v>2.5703149981969348E-2</v>
      </c>
      <c r="I1868" s="2">
        <f t="shared" ca="1" si="1805"/>
        <v>0.51961402570853643</v>
      </c>
      <c r="J1868" s="2">
        <f t="shared" ca="1" si="1806"/>
        <v>1.0245924475991356E-2</v>
      </c>
      <c r="K1868" s="2">
        <f t="shared" ca="1" si="1807"/>
        <v>1.0245924475991356E-2</v>
      </c>
      <c r="L1868" s="2">
        <f t="shared" ca="1" si="1808"/>
        <v>0.60834459337856617</v>
      </c>
      <c r="M1868" s="2">
        <f t="shared" ca="1" si="1809"/>
        <v>5.5001412267644337E-3</v>
      </c>
      <c r="N1868" s="2">
        <f t="shared" ca="1" si="1810"/>
        <v>5.5001412267644337E-3</v>
      </c>
      <c r="O1868" s="2">
        <f t="shared" si="1811"/>
        <v>6000000</v>
      </c>
      <c r="P1868" s="2">
        <f t="shared" ca="1" si="1812"/>
        <v>43581821.891240574</v>
      </c>
      <c r="Q1868" s="2">
        <f t="shared" ca="1" si="1813"/>
        <v>1089545.5472810145</v>
      </c>
      <c r="R1868" s="2">
        <f t="shared" ca="1" si="1814"/>
        <v>26149093.134744342</v>
      </c>
      <c r="S1868" s="2">
        <f t="shared" ca="1" si="1815"/>
        <v>17432728.756496232</v>
      </c>
      <c r="T1868" s="2">
        <f t="shared" ca="1" si="1816"/>
        <v>50275007.061338216</v>
      </c>
      <c r="U1868" s="2">
        <f t="shared" ca="1" si="1817"/>
        <v>51567233.108180359</v>
      </c>
      <c r="V1868" s="2">
        <f t="shared" ca="1" si="1818"/>
        <v>52892673.434915096</v>
      </c>
      <c r="W1868" s="2">
        <f t="shared" ca="1" si="1819"/>
        <v>54252181.753160045</v>
      </c>
      <c r="X1868" s="2">
        <f t="shared" ca="1" si="1820"/>
        <v>55646633.717610575</v>
      </c>
      <c r="Y1868" s="2">
        <f t="shared" ca="1" si="1821"/>
        <v>0.12512296223799568</v>
      </c>
      <c r="Z1868" s="2">
        <f t="shared" ca="1" si="1822"/>
        <v>0.12717214713319394</v>
      </c>
      <c r="AA1868" s="2">
        <f t="shared" ca="1" si="1823"/>
        <v>6290557.8100507883</v>
      </c>
      <c r="AB1868" s="2">
        <f t="shared" ca="1" si="1824"/>
        <v>6557915.7560852226</v>
      </c>
      <c r="AC1868" s="2">
        <f t="shared" ca="1" si="1825"/>
        <v>6726474.8483330011</v>
      </c>
      <c r="AD1868" s="2">
        <f t="shared" ca="1" si="1826"/>
        <v>6899366.4402096486</v>
      </c>
      <c r="AE1868" s="2">
        <f t="shared" ca="1" si="1827"/>
        <v>7076701.890602923</v>
      </c>
      <c r="AF1868" s="2">
        <f t="shared" ca="1" si="1828"/>
        <v>1005500.1412267643</v>
      </c>
      <c r="AG1868" s="2">
        <f t="shared" ca="1" si="1829"/>
        <v>1031344.6621636072</v>
      </c>
      <c r="AH1868" s="2">
        <f t="shared" ca="1" si="1830"/>
        <v>1057853.4686983018</v>
      </c>
      <c r="AI1868" s="2">
        <f t="shared" ca="1" si="1831"/>
        <v>1085043.635063201</v>
      </c>
      <c r="AJ1868" s="2">
        <f t="shared" ca="1" si="1832"/>
        <v>1112932.6743522114</v>
      </c>
      <c r="AK1868" s="2">
        <f t="shared" ca="1" si="1833"/>
        <v>0</v>
      </c>
      <c r="AL1868" s="2">
        <f t="shared" ca="1" si="1834"/>
        <v>12922.260468421429</v>
      </c>
      <c r="AM1868" s="2">
        <f t="shared" ca="1" si="1835"/>
        <v>13254.403267347367</v>
      </c>
      <c r="AN1868" s="2">
        <f t="shared" ca="1" si="1836"/>
        <v>13595.083182449491</v>
      </c>
      <c r="AO1868" s="2">
        <f t="shared" ca="1" si="1837"/>
        <v>13944.519644505308</v>
      </c>
      <c r="AP1868" s="2">
        <f t="shared" ca="1" si="1838"/>
        <v>2353418.3821269907</v>
      </c>
      <c r="AQ1868" s="2">
        <f t="shared" ca="1" si="1839"/>
        <v>762226.21454122884</v>
      </c>
      <c r="AR1868" s="2">
        <f t="shared" ca="1" si="1840"/>
        <v>825019.70506660256</v>
      </c>
      <c r="AS1868" s="2">
        <f t="shared" ca="1" si="1841"/>
        <v>861952.77935200417</v>
      </c>
      <c r="AT1868" s="2">
        <f t="shared" ca="1" si="1842"/>
        <v>899835.14998505882</v>
      </c>
      <c r="AU1868" s="2">
        <f t="shared" ca="1" si="1843"/>
        <v>938691.21687216754</v>
      </c>
      <c r="AV1868" s="2">
        <f t="shared" ca="1" si="1844"/>
        <v>2169413.0721558053</v>
      </c>
      <c r="AW1868" s="2">
        <f t="shared" ca="1" si="1845"/>
        <v>2335210.7462596009</v>
      </c>
      <c r="AX1868" s="2">
        <f t="shared" ca="1" si="1846"/>
        <v>2439995.8148883563</v>
      </c>
      <c r="AY1868" s="2">
        <f t="shared" ca="1" si="1847"/>
        <v>2547474.1898519481</v>
      </c>
      <c r="AZ1868" s="2">
        <f t="shared" ca="1" si="1848"/>
        <v>2657715.0976070482</v>
      </c>
      <c r="BA1868" s="2">
        <f t="shared" ca="1" si="1849"/>
        <v>55968632.248742901</v>
      </c>
      <c r="BB1868" s="2">
        <f t="shared" ca="1" si="1850"/>
        <v>1119372.644974858</v>
      </c>
      <c r="BC1868" s="2">
        <f t="shared" ca="1" si="1851"/>
        <v>28700166.469023701</v>
      </c>
      <c r="BD1868" s="2">
        <f t="shared" ca="1" si="1852"/>
        <v>-19022274.303777248</v>
      </c>
      <c r="BE1868" s="2">
        <f t="shared" ca="1" si="1853"/>
        <v>2169413.0721558053</v>
      </c>
      <c r="BF1868" s="2">
        <f t="shared" ca="1" si="1854"/>
        <v>2335210.7462596009</v>
      </c>
      <c r="BG1868" s="2">
        <f t="shared" ca="1" si="1855"/>
        <v>2439995.8148883563</v>
      </c>
      <c r="BH1868" s="2">
        <f t="shared" ca="1" si="1856"/>
        <v>2547474.1898519481</v>
      </c>
      <c r="BI1868" s="2">
        <f t="shared" ca="1" si="1857"/>
        <v>31357881.566630751</v>
      </c>
      <c r="BJ1868" s="2">
        <f t="shared" ca="1" si="1858"/>
        <v>0.19462599663667657</v>
      </c>
      <c r="BK1868" s="2">
        <f t="shared" ca="1" si="1859"/>
        <v>5925328.2302692644</v>
      </c>
    </row>
    <row r="1869" spans="1:63" x14ac:dyDescent="0.3">
      <c r="A1869" s="2">
        <v>1868</v>
      </c>
      <c r="B1869" s="2">
        <f t="shared" ca="1" si="1798"/>
        <v>0.26885759544272458</v>
      </c>
      <c r="C1869" s="2">
        <f t="shared" ca="1" si="1799"/>
        <v>6.7332906592105539</v>
      </c>
      <c r="D1869" s="2">
        <f t="shared" ca="1" si="1800"/>
        <v>0.77495783989242062</v>
      </c>
      <c r="E1869" s="2">
        <f t="shared" ca="1" si="1801"/>
        <v>7.8291167611162438</v>
      </c>
      <c r="F1869" s="2">
        <f t="shared" ca="1" si="1802"/>
        <v>0.81028088948243149</v>
      </c>
      <c r="G1869" s="2">
        <f t="shared" ca="1" si="1803"/>
        <v>6.6367955895705572E-2</v>
      </c>
      <c r="H1869" s="2">
        <f t="shared" ca="1" si="1804"/>
        <v>6.6367955895705572E-2</v>
      </c>
      <c r="I1869" s="2">
        <f t="shared" ca="1" si="1805"/>
        <v>0.26669703960022906</v>
      </c>
      <c r="J1869" s="2">
        <f t="shared" ca="1" si="1806"/>
        <v>6.8858335470011779E-3</v>
      </c>
      <c r="K1869" s="2">
        <f t="shared" ca="1" si="1807"/>
        <v>6.8858335470011779E-3</v>
      </c>
      <c r="L1869" s="2">
        <f t="shared" ca="1" si="1808"/>
        <v>0.6277595454596594</v>
      </c>
      <c r="M1869" s="2">
        <f t="shared" ca="1" si="1809"/>
        <v>6.5185050552532507E-3</v>
      </c>
      <c r="N1869" s="2">
        <f t="shared" ca="1" si="1810"/>
        <v>6.5185050552532507E-3</v>
      </c>
      <c r="O1869" s="2">
        <f t="shared" si="1811"/>
        <v>6000000</v>
      </c>
      <c r="P1869" s="2">
        <f t="shared" ca="1" si="1812"/>
        <v>40399743.955263324</v>
      </c>
      <c r="Q1869" s="2">
        <f t="shared" ca="1" si="1813"/>
        <v>1009993.5988815832</v>
      </c>
      <c r="R1869" s="2">
        <f t="shared" ca="1" si="1814"/>
        <v>24239846.373157993</v>
      </c>
      <c r="S1869" s="2">
        <f t="shared" ca="1" si="1815"/>
        <v>16159897.582105331</v>
      </c>
      <c r="T1869" s="2">
        <f t="shared" ca="1" si="1816"/>
        <v>50325925.25276266</v>
      </c>
      <c r="U1869" s="2">
        <f t="shared" ca="1" si="1817"/>
        <v>53665954.040348589</v>
      </c>
      <c r="V1869" s="2">
        <f t="shared" ca="1" si="1818"/>
        <v>57227653.711199403</v>
      </c>
      <c r="W1869" s="2">
        <f t="shared" ca="1" si="1819"/>
        <v>61025736.108718991</v>
      </c>
      <c r="X1869" s="2">
        <f t="shared" ca="1" si="1820"/>
        <v>65075889.471285418</v>
      </c>
      <c r="Y1869" s="2">
        <f t="shared" ca="1" si="1821"/>
        <v>0.12344291677350058</v>
      </c>
      <c r="Z1869" s="2">
        <f t="shared" ca="1" si="1822"/>
        <v>0.12482008348290081</v>
      </c>
      <c r="AA1869" s="2">
        <f t="shared" ca="1" si="1823"/>
        <v>6212379.002526192</v>
      </c>
      <c r="AB1869" s="2">
        <f t="shared" ca="1" si="1824"/>
        <v>6698588.8635058291</v>
      </c>
      <c r="AC1869" s="2">
        <f t="shared" ca="1" si="1825"/>
        <v>7143160.513762448</v>
      </c>
      <c r="AD1869" s="2">
        <f t="shared" ca="1" si="1826"/>
        <v>7617237.4756957795</v>
      </c>
      <c r="AE1869" s="2">
        <f t="shared" ca="1" si="1827"/>
        <v>8122777.9565298716</v>
      </c>
      <c r="AF1869" s="2">
        <f t="shared" ca="1" si="1828"/>
        <v>1006518.5050552533</v>
      </c>
      <c r="AG1869" s="2">
        <f t="shared" ca="1" si="1829"/>
        <v>1073319.0808069718</v>
      </c>
      <c r="AH1869" s="2">
        <f t="shared" ca="1" si="1830"/>
        <v>1144553.074223988</v>
      </c>
      <c r="AI1869" s="2">
        <f t="shared" ca="1" si="1831"/>
        <v>1220514.7221743797</v>
      </c>
      <c r="AJ1869" s="2">
        <f t="shared" ca="1" si="1832"/>
        <v>1301517.7894257084</v>
      </c>
      <c r="AK1869" s="2">
        <f t="shared" ca="1" si="1833"/>
        <v>0</v>
      </c>
      <c r="AL1869" s="2">
        <f t="shared" ca="1" si="1834"/>
        <v>33400.287875859292</v>
      </c>
      <c r="AM1869" s="2">
        <f t="shared" ca="1" si="1835"/>
        <v>35616.996708508137</v>
      </c>
      <c r="AN1869" s="2">
        <f t="shared" ca="1" si="1836"/>
        <v>37980.823975195883</v>
      </c>
      <c r="AO1869" s="2">
        <f t="shared" ca="1" si="1837"/>
        <v>40501.533625664262</v>
      </c>
      <c r="AP1869" s="2">
        <f t="shared" ca="1" si="1838"/>
        <v>2181586.1735842191</v>
      </c>
      <c r="AQ1869" s="2">
        <f t="shared" ca="1" si="1839"/>
        <v>786311.32421054714</v>
      </c>
      <c r="AR1869" s="2">
        <f t="shared" ca="1" si="1840"/>
        <v>895357.73836980609</v>
      </c>
      <c r="AS1869" s="2">
        <f t="shared" ca="1" si="1841"/>
        <v>992425.52914810274</v>
      </c>
      <c r="AT1869" s="2">
        <f t="shared" ca="1" si="1842"/>
        <v>1095935.510783667</v>
      </c>
      <c r="AU1869" s="2">
        <f t="shared" ca="1" si="1843"/>
        <v>1206315.2383151855</v>
      </c>
      <c r="AV1869" s="2">
        <f t="shared" ca="1" si="1844"/>
        <v>2237962.9996761726</v>
      </c>
      <c r="AW1869" s="2">
        <f t="shared" ca="1" si="1845"/>
        <v>2514925.5828689737</v>
      </c>
      <c r="AX1869" s="2">
        <f t="shared" ca="1" si="1846"/>
        <v>2788978.7400976298</v>
      </c>
      <c r="AY1869" s="2">
        <f t="shared" ca="1" si="1847"/>
        <v>3081220.2451783177</v>
      </c>
      <c r="AZ1869" s="2">
        <f t="shared" ca="1" si="1848"/>
        <v>3392857.2215790944</v>
      </c>
      <c r="BA1869" s="2">
        <f t="shared" ca="1" si="1849"/>
        <v>63594177.046293572</v>
      </c>
      <c r="BB1869" s="2">
        <f t="shared" ca="1" si="1850"/>
        <v>1271883.5409258713</v>
      </c>
      <c r="BC1869" s="2">
        <f t="shared" ca="1" si="1851"/>
        <v>38082447.132209711</v>
      </c>
      <c r="BD1869" s="2">
        <f t="shared" ca="1" si="1852"/>
        <v>-17669891.180986915</v>
      </c>
      <c r="BE1869" s="2">
        <f t="shared" ca="1" si="1853"/>
        <v>2237962.9996761726</v>
      </c>
      <c r="BF1869" s="2">
        <f t="shared" ca="1" si="1854"/>
        <v>2514925.5828689737</v>
      </c>
      <c r="BG1869" s="2">
        <f t="shared" ca="1" si="1855"/>
        <v>2788978.7400976298</v>
      </c>
      <c r="BH1869" s="2">
        <f t="shared" ca="1" si="1856"/>
        <v>3081220.2451783177</v>
      </c>
      <c r="BI1869" s="2">
        <f t="shared" ca="1" si="1857"/>
        <v>41475304.353788808</v>
      </c>
      <c r="BJ1869" s="2">
        <f t="shared" ca="1" si="1858"/>
        <v>0.28283144084782808</v>
      </c>
      <c r="BK1869" s="2">
        <f t="shared" ca="1" si="1859"/>
        <v>13810686.033456646</v>
      </c>
    </row>
    <row r="1870" spans="1:63" x14ac:dyDescent="0.3">
      <c r="A1870" s="2">
        <v>1869</v>
      </c>
      <c r="B1870" s="2">
        <f t="shared" ca="1" si="1798"/>
        <v>0.44231399769159818</v>
      </c>
      <c r="C1870" s="2">
        <f t="shared" ca="1" si="1799"/>
        <v>6.9405466471064559</v>
      </c>
      <c r="D1870" s="2">
        <f t="shared" ca="1" si="1800"/>
        <v>0.47027957023281142</v>
      </c>
      <c r="E1870" s="2">
        <f t="shared" ca="1" si="1801"/>
        <v>7.4698242832934341</v>
      </c>
      <c r="F1870" s="2">
        <f t="shared" ca="1" si="1802"/>
        <v>0.75439140224537005</v>
      </c>
      <c r="G1870" s="2">
        <f t="shared" ca="1" si="1803"/>
        <v>6.0651224620368857E-2</v>
      </c>
      <c r="H1870" s="2">
        <f t="shared" ca="1" si="1804"/>
        <v>6.0651224620368857E-2</v>
      </c>
      <c r="I1870" s="2">
        <f t="shared" ca="1" si="1805"/>
        <v>0.77039546125582936</v>
      </c>
      <c r="J1870" s="2">
        <f t="shared" ca="1" si="1806"/>
        <v>1.3700749217978063E-2</v>
      </c>
      <c r="K1870" s="2">
        <f t="shared" ca="1" si="1807"/>
        <v>1.3700749217978063E-2</v>
      </c>
      <c r="L1870" s="2">
        <f t="shared" ca="1" si="1808"/>
        <v>0.19864893558844166</v>
      </c>
      <c r="M1870" s="2">
        <f t="shared" ca="1" si="1809"/>
        <v>-1.6929139314898988E-2</v>
      </c>
      <c r="N1870" s="2">
        <f t="shared" ca="1" si="1810"/>
        <v>-1.6929139314898988E-2</v>
      </c>
      <c r="O1870" s="2">
        <f t="shared" si="1811"/>
        <v>6000000</v>
      </c>
      <c r="P1870" s="2">
        <f t="shared" ca="1" si="1812"/>
        <v>41643279.882638738</v>
      </c>
      <c r="Q1870" s="2">
        <f t="shared" ca="1" si="1813"/>
        <v>1041081.9970659685</v>
      </c>
      <c r="R1870" s="2">
        <f t="shared" ca="1" si="1814"/>
        <v>24985967.92958324</v>
      </c>
      <c r="S1870" s="2">
        <f t="shared" ca="1" si="1815"/>
        <v>16657311.953055495</v>
      </c>
      <c r="T1870" s="2">
        <f t="shared" ca="1" si="1816"/>
        <v>49153543.03425505</v>
      </c>
      <c r="U1870" s="2">
        <f t="shared" ca="1" si="1817"/>
        <v>52134765.613712616</v>
      </c>
      <c r="V1870" s="2">
        <f t="shared" ca="1" si="1818"/>
        <v>55296802.993480176</v>
      </c>
      <c r="W1870" s="2">
        <f t="shared" ca="1" si="1819"/>
        <v>58650621.812626019</v>
      </c>
      <c r="X1870" s="2">
        <f t="shared" ca="1" si="1820"/>
        <v>62207853.850307897</v>
      </c>
      <c r="Y1870" s="2">
        <f t="shared" ca="1" si="1821"/>
        <v>0.12685037460898901</v>
      </c>
      <c r="Z1870" s="2">
        <f t="shared" ca="1" si="1822"/>
        <v>0.12959052445258465</v>
      </c>
      <c r="AA1870" s="2">
        <f t="shared" ca="1" si="1823"/>
        <v>6235145.3472543154</v>
      </c>
      <c r="AB1870" s="2">
        <f t="shared" ca="1" si="1824"/>
        <v>6756171.618093594</v>
      </c>
      <c r="AC1870" s="2">
        <f t="shared" ca="1" si="1825"/>
        <v>7165941.7004763484</v>
      </c>
      <c r="AD1870" s="2">
        <f t="shared" ca="1" si="1826"/>
        <v>7600564.8401684063</v>
      </c>
      <c r="AE1870" s="2">
        <f t="shared" ca="1" si="1827"/>
        <v>8061548.4055311373</v>
      </c>
      <c r="AF1870" s="2">
        <f t="shared" ca="1" si="1828"/>
        <v>983070.86068510101</v>
      </c>
      <c r="AG1870" s="2">
        <f t="shared" ca="1" si="1829"/>
        <v>1042695.3122742523</v>
      </c>
      <c r="AH1870" s="2">
        <f t="shared" ca="1" si="1830"/>
        <v>1105936.0598696035</v>
      </c>
      <c r="AI1870" s="2">
        <f t="shared" ca="1" si="1831"/>
        <v>1173012.4362525204</v>
      </c>
      <c r="AJ1870" s="2">
        <f t="shared" ca="1" si="1832"/>
        <v>1244157.077006158</v>
      </c>
      <c r="AK1870" s="2">
        <f t="shared" ca="1" si="1833"/>
        <v>0</v>
      </c>
      <c r="AL1870" s="2">
        <f t="shared" ca="1" si="1834"/>
        <v>29812.225794575661</v>
      </c>
      <c r="AM1870" s="2">
        <f t="shared" ca="1" si="1835"/>
        <v>31620.373797675595</v>
      </c>
      <c r="AN1870" s="2">
        <f t="shared" ca="1" si="1836"/>
        <v>33538.188191458437</v>
      </c>
      <c r="AO1870" s="2">
        <f t="shared" ca="1" si="1837"/>
        <v>35572.320376818774</v>
      </c>
      <c r="AP1870" s="2">
        <f t="shared" ca="1" si="1838"/>
        <v>2248737.1136624916</v>
      </c>
      <c r="AQ1870" s="2">
        <f t="shared" ca="1" si="1839"/>
        <v>780867.71695574804</v>
      </c>
      <c r="AR1870" s="2">
        <f t="shared" ca="1" si="1840"/>
        <v>900832.18996078114</v>
      </c>
      <c r="AS1870" s="2">
        <f t="shared" ca="1" si="1841"/>
        <v>990929.81700550602</v>
      </c>
      <c r="AT1870" s="2">
        <f t="shared" ca="1" si="1842"/>
        <v>1086491.9754658826</v>
      </c>
      <c r="AU1870" s="2">
        <f t="shared" ca="1" si="1843"/>
        <v>1187850.0958642468</v>
      </c>
      <c r="AV1870" s="2">
        <f t="shared" ca="1" si="1844"/>
        <v>2222469.6559509747</v>
      </c>
      <c r="AW1870" s="2">
        <f t="shared" ca="1" si="1845"/>
        <v>2534094.7764014928</v>
      </c>
      <c r="AX1870" s="2">
        <f t="shared" ca="1" si="1846"/>
        <v>2788718.3361410722</v>
      </c>
      <c r="AY1870" s="2">
        <f t="shared" ca="1" si="1847"/>
        <v>3058785.1265960531</v>
      </c>
      <c r="AZ1870" s="2">
        <f t="shared" ca="1" si="1848"/>
        <v>3345231.7986214217</v>
      </c>
      <c r="BA1870" s="2">
        <f t="shared" ca="1" si="1849"/>
        <v>60218350.040581957</v>
      </c>
      <c r="BB1870" s="2">
        <f t="shared" ca="1" si="1850"/>
        <v>1204367.0008116392</v>
      </c>
      <c r="BC1870" s="2">
        <f t="shared" ca="1" si="1851"/>
        <v>34028015.110187083</v>
      </c>
      <c r="BD1870" s="2">
        <f t="shared" ca="1" si="1852"/>
        <v>-18198393.950121462</v>
      </c>
      <c r="BE1870" s="2">
        <f t="shared" ca="1" si="1853"/>
        <v>2222469.6559509747</v>
      </c>
      <c r="BF1870" s="2">
        <f t="shared" ca="1" si="1854"/>
        <v>2534094.7764014928</v>
      </c>
      <c r="BG1870" s="2">
        <f t="shared" ca="1" si="1855"/>
        <v>2788718.3361410722</v>
      </c>
      <c r="BH1870" s="2">
        <f t="shared" ca="1" si="1856"/>
        <v>3058785.1265960531</v>
      </c>
      <c r="BI1870" s="2">
        <f t="shared" ca="1" si="1857"/>
        <v>37373246.908808507</v>
      </c>
      <c r="BJ1870" s="2">
        <f t="shared" ca="1" si="1858"/>
        <v>0.25213745609970339</v>
      </c>
      <c r="BK1870" s="2">
        <f t="shared" ca="1" si="1859"/>
        <v>10941570.653606877</v>
      </c>
    </row>
    <row r="1871" spans="1:63" x14ac:dyDescent="0.3">
      <c r="A1871" s="2">
        <v>1870</v>
      </c>
      <c r="B1871" s="2">
        <f t="shared" ca="1" si="1798"/>
        <v>0.8082968402550299</v>
      </c>
      <c r="C1871" s="2">
        <f t="shared" ca="1" si="1799"/>
        <v>7.3808018737997179</v>
      </c>
      <c r="D1871" s="2">
        <f t="shared" ca="1" si="1800"/>
        <v>0.32996941484394149</v>
      </c>
      <c r="E1871" s="2">
        <f t="shared" ca="1" si="1801"/>
        <v>7.3123661918666256</v>
      </c>
      <c r="F1871" s="2">
        <f t="shared" ca="1" si="1802"/>
        <v>0.49622930806257137</v>
      </c>
      <c r="G1871" s="2">
        <f t="shared" ca="1" si="1803"/>
        <v>3.9716444087257934E-2</v>
      </c>
      <c r="H1871" s="2">
        <f t="shared" ca="1" si="1804"/>
        <v>3.9716444087257934E-2</v>
      </c>
      <c r="I1871" s="2">
        <f t="shared" ca="1" si="1805"/>
        <v>0.64004160756676221</v>
      </c>
      <c r="J1871" s="2">
        <f t="shared" ca="1" si="1806"/>
        <v>1.1792850053267931E-2</v>
      </c>
      <c r="K1871" s="2">
        <f t="shared" ca="1" si="1807"/>
        <v>1.1792850053267931E-2</v>
      </c>
      <c r="L1871" s="2">
        <f t="shared" ca="1" si="1808"/>
        <v>0.91881776562602757</v>
      </c>
      <c r="M1871" s="2">
        <f t="shared" ca="1" si="1809"/>
        <v>2.7943266092296137E-2</v>
      </c>
      <c r="N1871" s="2">
        <f t="shared" ca="1" si="1810"/>
        <v>2.7943266092296137E-2</v>
      </c>
      <c r="O1871" s="2">
        <f t="shared" si="1811"/>
        <v>6000000</v>
      </c>
      <c r="P1871" s="2">
        <f t="shared" ca="1" si="1812"/>
        <v>44284811.242798306</v>
      </c>
      <c r="Q1871" s="2">
        <f t="shared" ca="1" si="1813"/>
        <v>1107120.2810699577</v>
      </c>
      <c r="R1871" s="2">
        <f t="shared" ca="1" si="1814"/>
        <v>26570886.745678984</v>
      </c>
      <c r="S1871" s="2">
        <f t="shared" ca="1" si="1815"/>
        <v>17713924.497119322</v>
      </c>
      <c r="T1871" s="2">
        <f t="shared" ca="1" si="1816"/>
        <v>51397163.304614812</v>
      </c>
      <c r="U1871" s="2">
        <f t="shared" ca="1" si="1817"/>
        <v>53438475.867246211</v>
      </c>
      <c r="V1871" s="2">
        <f t="shared" ca="1" si="1818"/>
        <v>55560862.106135979</v>
      </c>
      <c r="W1871" s="2">
        <f t="shared" ca="1" si="1819"/>
        <v>57767541.97941418</v>
      </c>
      <c r="X1871" s="2">
        <f t="shared" ca="1" si="1820"/>
        <v>60061863.330497906</v>
      </c>
      <c r="Y1871" s="2">
        <f t="shared" ca="1" si="1821"/>
        <v>0.12589642502663395</v>
      </c>
      <c r="Z1871" s="2">
        <f t="shared" ca="1" si="1822"/>
        <v>0.12825499503728754</v>
      </c>
      <c r="AA1871" s="2">
        <f t="shared" ca="1" si="1823"/>
        <v>6470719.1165611008</v>
      </c>
      <c r="AB1871" s="2">
        <f t="shared" ca="1" si="1824"/>
        <v>6853751.4571538726</v>
      </c>
      <c r="AC1871" s="2">
        <f t="shared" ca="1" si="1825"/>
        <v>7125958.0936898878</v>
      </c>
      <c r="AD1871" s="2">
        <f t="shared" ca="1" si="1826"/>
        <v>7408975.8098860653</v>
      </c>
      <c r="AE1871" s="2">
        <f t="shared" ca="1" si="1827"/>
        <v>7703233.9833832514</v>
      </c>
      <c r="AF1871" s="2">
        <f t="shared" ca="1" si="1828"/>
        <v>1027943.2660922962</v>
      </c>
      <c r="AG1871" s="2">
        <f t="shared" ca="1" si="1829"/>
        <v>1068769.5173449242</v>
      </c>
      <c r="AH1871" s="2">
        <f t="shared" ca="1" si="1830"/>
        <v>1111217.2421227195</v>
      </c>
      <c r="AI1871" s="2">
        <f t="shared" ca="1" si="1831"/>
        <v>1155350.8395882836</v>
      </c>
      <c r="AJ1871" s="2">
        <f t="shared" ca="1" si="1832"/>
        <v>1201237.2666099581</v>
      </c>
      <c r="AK1871" s="2">
        <f t="shared" ca="1" si="1833"/>
        <v>0</v>
      </c>
      <c r="AL1871" s="2">
        <f t="shared" ca="1" si="1834"/>
        <v>20413.125626313984</v>
      </c>
      <c r="AM1871" s="2">
        <f t="shared" ca="1" si="1835"/>
        <v>21223.862388897687</v>
      </c>
      <c r="AN1871" s="2">
        <f t="shared" ca="1" si="1836"/>
        <v>22066.798732782008</v>
      </c>
      <c r="AO1871" s="2">
        <f t="shared" ca="1" si="1837"/>
        <v>22943.213510837257</v>
      </c>
      <c r="AP1871" s="2">
        <f t="shared" ca="1" si="1838"/>
        <v>2391379.8071111082</v>
      </c>
      <c r="AQ1871" s="2">
        <f t="shared" ca="1" si="1839"/>
        <v>793362.97127300117</v>
      </c>
      <c r="AR1871" s="2">
        <f t="shared" ca="1" si="1840"/>
        <v>882336.5545014384</v>
      </c>
      <c r="AS1871" s="2">
        <f t="shared" ca="1" si="1841"/>
        <v>942073.87155857554</v>
      </c>
      <c r="AT1871" s="2">
        <f t="shared" ca="1" si="1842"/>
        <v>1004183.7424285351</v>
      </c>
      <c r="AU1871" s="2">
        <f t="shared" ca="1" si="1843"/>
        <v>1068760.396512168</v>
      </c>
      <c r="AV1871" s="2">
        <f t="shared" ca="1" si="1844"/>
        <v>2258033.0720846956</v>
      </c>
      <c r="AW1871" s="2">
        <f t="shared" ca="1" si="1845"/>
        <v>2490852.4525700868</v>
      </c>
      <c r="AX1871" s="2">
        <f t="shared" ca="1" si="1846"/>
        <v>2660063.310508586</v>
      </c>
      <c r="AY1871" s="2">
        <f t="shared" ca="1" si="1847"/>
        <v>2835994.6220253562</v>
      </c>
      <c r="AZ1871" s="2">
        <f t="shared" ca="1" si="1848"/>
        <v>3018913.2996391789</v>
      </c>
      <c r="BA1871" s="2">
        <f t="shared" ca="1" si="1849"/>
        <v>56328867.748129763</v>
      </c>
      <c r="BB1871" s="2">
        <f t="shared" ca="1" si="1850"/>
        <v>1126577.3549625953</v>
      </c>
      <c r="BC1871" s="2">
        <f t="shared" ca="1" si="1851"/>
        <v>28631403.647488184</v>
      </c>
      <c r="BD1871" s="2">
        <f t="shared" ca="1" si="1852"/>
        <v>-19321044.778189279</v>
      </c>
      <c r="BE1871" s="2">
        <f t="shared" ca="1" si="1853"/>
        <v>2258033.0720846956</v>
      </c>
      <c r="BF1871" s="2">
        <f t="shared" ca="1" si="1854"/>
        <v>2490852.4525700868</v>
      </c>
      <c r="BG1871" s="2">
        <f t="shared" ca="1" si="1855"/>
        <v>2660063.310508586</v>
      </c>
      <c r="BH1871" s="2">
        <f t="shared" ca="1" si="1856"/>
        <v>2835994.6220253562</v>
      </c>
      <c r="BI1871" s="2">
        <f t="shared" ca="1" si="1857"/>
        <v>31650316.947127365</v>
      </c>
      <c r="BJ1871" s="2">
        <f t="shared" ca="1" si="1858"/>
        <v>0.19874361477003366</v>
      </c>
      <c r="BK1871" s="2">
        <f t="shared" ca="1" si="1859"/>
        <v>6335694.706815742</v>
      </c>
    </row>
    <row r="1872" spans="1:63" x14ac:dyDescent="0.3">
      <c r="A1872" s="2">
        <v>1871</v>
      </c>
      <c r="B1872" s="2">
        <f t="shared" ca="1" si="1798"/>
        <v>0.93636354407778477</v>
      </c>
      <c r="C1872" s="2">
        <f t="shared" ca="1" si="1799"/>
        <v>7.6432467073110182</v>
      </c>
      <c r="D1872" s="2">
        <f t="shared" ca="1" si="1800"/>
        <v>0.60785603790596054</v>
      </c>
      <c r="E1872" s="2">
        <f t="shared" ca="1" si="1801"/>
        <v>7.6143996814656854</v>
      </c>
      <c r="F1872" s="2">
        <f t="shared" ca="1" si="1802"/>
        <v>0.56108815728963346</v>
      </c>
      <c r="G1872" s="2">
        <f t="shared" ca="1" si="1803"/>
        <v>4.4611859821169539E-2</v>
      </c>
      <c r="H1872" s="2">
        <f t="shared" ca="1" si="1804"/>
        <v>4.4611859821169539E-2</v>
      </c>
      <c r="I1872" s="2">
        <f t="shared" ca="1" si="1805"/>
        <v>0.99627707383790332</v>
      </c>
      <c r="J1872" s="2">
        <f t="shared" ca="1" si="1806"/>
        <v>2.3381082641340464E-2</v>
      </c>
      <c r="K1872" s="2">
        <f t="shared" ca="1" si="1807"/>
        <v>2.3381082641340464E-2</v>
      </c>
      <c r="L1872" s="2">
        <f t="shared" ca="1" si="1808"/>
        <v>0.38350331384277847</v>
      </c>
      <c r="M1872" s="2">
        <f t="shared" ca="1" si="1809"/>
        <v>-5.9258522368114928E-3</v>
      </c>
      <c r="N1872" s="2">
        <f t="shared" ca="1" si="1810"/>
        <v>-5.9258522368114928E-3</v>
      </c>
      <c r="O1872" s="2">
        <f t="shared" si="1811"/>
        <v>6000000</v>
      </c>
      <c r="P1872" s="2">
        <f t="shared" ca="1" si="1812"/>
        <v>45859480.243866108</v>
      </c>
      <c r="Q1872" s="2">
        <f t="shared" ca="1" si="1813"/>
        <v>1146487.0060966527</v>
      </c>
      <c r="R1872" s="2">
        <f t="shared" ca="1" si="1814"/>
        <v>27515688.146319665</v>
      </c>
      <c r="S1872" s="2">
        <f t="shared" ca="1" si="1815"/>
        <v>18343792.097546443</v>
      </c>
      <c r="T1872" s="2">
        <f t="shared" ca="1" si="1816"/>
        <v>49703707.388159424</v>
      </c>
      <c r="U1872" s="2">
        <f t="shared" ca="1" si="1817"/>
        <v>51921082.214752421</v>
      </c>
      <c r="V1872" s="2">
        <f t="shared" ca="1" si="1818"/>
        <v>54237378.256280378</v>
      </c>
      <c r="W1872" s="2">
        <f t="shared" ca="1" si="1819"/>
        <v>56657008.572117306</v>
      </c>
      <c r="X1872" s="2">
        <f t="shared" ca="1" si="1820"/>
        <v>59184583.096423402</v>
      </c>
      <c r="Y1872" s="2">
        <f t="shared" ca="1" si="1821"/>
        <v>0.13169054132067023</v>
      </c>
      <c r="Z1872" s="2">
        <f t="shared" ca="1" si="1822"/>
        <v>0.13636675784893831</v>
      </c>
      <c r="AA1872" s="2">
        <f t="shared" ca="1" si="1823"/>
        <v>6545508.1315909112</v>
      </c>
      <c r="AB1872" s="2">
        <f t="shared" ca="1" si="1824"/>
        <v>7080309.6456339611</v>
      </c>
      <c r="AC1872" s="2">
        <f t="shared" ca="1" si="1825"/>
        <v>7396175.4270354584</v>
      </c>
      <c r="AD1872" s="2">
        <f t="shared" ca="1" si="1826"/>
        <v>7726132.5683991434</v>
      </c>
      <c r="AE1872" s="2">
        <f t="shared" ca="1" si="1827"/>
        <v>8070809.7115003383</v>
      </c>
      <c r="AF1872" s="2">
        <f t="shared" ca="1" si="1828"/>
        <v>994074.14776318846</v>
      </c>
      <c r="AG1872" s="2">
        <f t="shared" ca="1" si="1829"/>
        <v>1038421.6442950484</v>
      </c>
      <c r="AH1872" s="2">
        <f t="shared" ca="1" si="1830"/>
        <v>1084747.5651256077</v>
      </c>
      <c r="AI1872" s="2">
        <f t="shared" ca="1" si="1831"/>
        <v>1133140.1714423462</v>
      </c>
      <c r="AJ1872" s="2">
        <f t="shared" ca="1" si="1832"/>
        <v>1183691.6619284682</v>
      </c>
      <c r="AK1872" s="2">
        <f t="shared" ca="1" si="1833"/>
        <v>0</v>
      </c>
      <c r="AL1872" s="2">
        <f t="shared" ca="1" si="1834"/>
        <v>22173.748265929968</v>
      </c>
      <c r="AM1872" s="2">
        <f t="shared" ca="1" si="1835"/>
        <v>23162.960415279569</v>
      </c>
      <c r="AN1872" s="2">
        <f t="shared" ca="1" si="1836"/>
        <v>24196.30315836929</v>
      </c>
      <c r="AO1872" s="2">
        <f t="shared" ca="1" si="1837"/>
        <v>25275.745243060963</v>
      </c>
      <c r="AP1872" s="2">
        <f t="shared" ca="1" si="1838"/>
        <v>2476411.9331687698</v>
      </c>
      <c r="AQ1872" s="2">
        <f t="shared" ca="1" si="1839"/>
        <v>799505.73317132785</v>
      </c>
      <c r="AR1872" s="2">
        <f t="shared" ca="1" si="1840"/>
        <v>927023.77772423706</v>
      </c>
      <c r="AS1872" s="2">
        <f t="shared" ca="1" si="1841"/>
        <v>997104.14147268096</v>
      </c>
      <c r="AT1872" s="2">
        <f t="shared" ca="1" si="1842"/>
        <v>1070310.9205848873</v>
      </c>
      <c r="AU1872" s="2">
        <f t="shared" ca="1" si="1843"/>
        <v>1146783.5902648061</v>
      </c>
      <c r="AV1872" s="2">
        <f t="shared" ca="1" si="1844"/>
        <v>2275516.3174876254</v>
      </c>
      <c r="AW1872" s="2">
        <f t="shared" ca="1" si="1845"/>
        <v>2616278.5421799757</v>
      </c>
      <c r="AX1872" s="2">
        <f t="shared" ca="1" si="1846"/>
        <v>2814748.8268531198</v>
      </c>
      <c r="AY1872" s="2">
        <f t="shared" ca="1" si="1847"/>
        <v>3022073.2400447717</v>
      </c>
      <c r="AZ1872" s="2">
        <f t="shared" ca="1" si="1848"/>
        <v>3238646.7808952322</v>
      </c>
      <c r="BA1872" s="2">
        <f t="shared" ca="1" si="1849"/>
        <v>61454370.896418333</v>
      </c>
      <c r="BB1872" s="2">
        <f t="shared" ca="1" si="1850"/>
        <v>1229087.4179283667</v>
      </c>
      <c r="BC1872" s="2">
        <f t="shared" ca="1" si="1851"/>
        <v>32709595.3321703</v>
      </c>
      <c r="BD1872" s="2">
        <f t="shared" ca="1" si="1852"/>
        <v>-19990279.103643097</v>
      </c>
      <c r="BE1872" s="2">
        <f t="shared" ca="1" si="1853"/>
        <v>2275516.3174876254</v>
      </c>
      <c r="BF1872" s="2">
        <f t="shared" ca="1" si="1854"/>
        <v>2616278.5421799757</v>
      </c>
      <c r="BG1872" s="2">
        <f t="shared" ca="1" si="1855"/>
        <v>2814748.8268531198</v>
      </c>
      <c r="BH1872" s="2">
        <f t="shared" ca="1" si="1856"/>
        <v>3022073.2400447717</v>
      </c>
      <c r="BI1872" s="2">
        <f t="shared" ca="1" si="1857"/>
        <v>35948242.113065533</v>
      </c>
      <c r="BJ1872" s="2">
        <f t="shared" ca="1" si="1858"/>
        <v>0.21774648519484097</v>
      </c>
      <c r="BK1872" s="2">
        <f t="shared" ca="1" si="1859"/>
        <v>8449175.9165573381</v>
      </c>
    </row>
    <row r="1873" spans="1:63" x14ac:dyDescent="0.3">
      <c r="A1873" s="2">
        <v>1872</v>
      </c>
      <c r="B1873" s="2">
        <f t="shared" ca="1" si="1798"/>
        <v>0.87639584427207684</v>
      </c>
      <c r="C1873" s="2">
        <f t="shared" ca="1" si="1799"/>
        <v>7.5027995258893592</v>
      </c>
      <c r="D1873" s="2">
        <f t="shared" ca="1" si="1800"/>
        <v>0.32897185450421118</v>
      </c>
      <c r="E1873" s="2">
        <f t="shared" ca="1" si="1801"/>
        <v>7.3111372935628234</v>
      </c>
      <c r="F1873" s="2">
        <f t="shared" ca="1" si="1802"/>
        <v>0.66307928063459654</v>
      </c>
      <c r="G1873" s="2">
        <f t="shared" ca="1" si="1803"/>
        <v>5.2626452236468863E-2</v>
      </c>
      <c r="H1873" s="2">
        <f t="shared" ca="1" si="1804"/>
        <v>5.2626452236468863E-2</v>
      </c>
      <c r="I1873" s="2">
        <f t="shared" ca="1" si="1805"/>
        <v>0.33332443992958072</v>
      </c>
      <c r="J1873" s="2">
        <f t="shared" ca="1" si="1806"/>
        <v>7.8462412062714412E-3</v>
      </c>
      <c r="K1873" s="2">
        <f t="shared" ca="1" si="1807"/>
        <v>7.8462412062714412E-3</v>
      </c>
      <c r="L1873" s="2">
        <f t="shared" ca="1" si="1808"/>
        <v>0.39064435346128379</v>
      </c>
      <c r="M1873" s="2">
        <f t="shared" ca="1" si="1809"/>
        <v>-5.5528004257928256E-3</v>
      </c>
      <c r="N1873" s="2">
        <f t="shared" ca="1" si="1810"/>
        <v>-5.5528004257928256E-3</v>
      </c>
      <c r="O1873" s="2">
        <f t="shared" si="1811"/>
        <v>6000000</v>
      </c>
      <c r="P1873" s="2">
        <f t="shared" ca="1" si="1812"/>
        <v>45016797.155336156</v>
      </c>
      <c r="Q1873" s="2">
        <f t="shared" ca="1" si="1813"/>
        <v>1125419.928883404</v>
      </c>
      <c r="R1873" s="2">
        <f t="shared" ca="1" si="1814"/>
        <v>27010078.293201692</v>
      </c>
      <c r="S1873" s="2">
        <f t="shared" ca="1" si="1815"/>
        <v>18006718.862134464</v>
      </c>
      <c r="T1873" s="2">
        <f t="shared" ca="1" si="1816"/>
        <v>49722359.978710353</v>
      </c>
      <c r="U1873" s="2">
        <f t="shared" ca="1" si="1817"/>
        <v>52339071.381214462</v>
      </c>
      <c r="V1873" s="2">
        <f t="shared" ca="1" si="1818"/>
        <v>55093491.021359079</v>
      </c>
      <c r="W1873" s="2">
        <f t="shared" ca="1" si="1819"/>
        <v>57992865.995134957</v>
      </c>
      <c r="X1873" s="2">
        <f t="shared" ca="1" si="1820"/>
        <v>61044824.787483864</v>
      </c>
      <c r="Y1873" s="2">
        <f t="shared" ca="1" si="1821"/>
        <v>0.12392312060313572</v>
      </c>
      <c r="Z1873" s="2">
        <f t="shared" ca="1" si="1822"/>
        <v>0.12549236884439</v>
      </c>
      <c r="AA1873" s="2">
        <f t="shared" ca="1" si="1823"/>
        <v>6161750.0123142516</v>
      </c>
      <c r="AB1873" s="2">
        <f t="shared" ca="1" si="1824"/>
        <v>6568154.0507442215</v>
      </c>
      <c r="AC1873" s="2">
        <f t="shared" ca="1" si="1825"/>
        <v>6913812.6961774817</v>
      </c>
      <c r="AD1873" s="2">
        <f t="shared" ca="1" si="1826"/>
        <v>7277662.1298047584</v>
      </c>
      <c r="AE1873" s="2">
        <f t="shared" ca="1" si="1827"/>
        <v>7660659.6682720864</v>
      </c>
      <c r="AF1873" s="2">
        <f t="shared" ca="1" si="1828"/>
        <v>994447.19957420707</v>
      </c>
      <c r="AG1873" s="2">
        <f t="shared" ca="1" si="1829"/>
        <v>1046781.4276242893</v>
      </c>
      <c r="AH1873" s="2">
        <f t="shared" ca="1" si="1830"/>
        <v>1101869.8204271817</v>
      </c>
      <c r="AI1873" s="2">
        <f t="shared" ca="1" si="1831"/>
        <v>1159857.3199026992</v>
      </c>
      <c r="AJ1873" s="2">
        <f t="shared" ca="1" si="1832"/>
        <v>1220896.4957496773</v>
      </c>
      <c r="AK1873" s="2">
        <f t="shared" ca="1" si="1833"/>
        <v>0</v>
      </c>
      <c r="AL1873" s="2">
        <f t="shared" ca="1" si="1834"/>
        <v>26167.11402504109</v>
      </c>
      <c r="AM1873" s="2">
        <f t="shared" ca="1" si="1835"/>
        <v>27544.196401446163</v>
      </c>
      <c r="AN1873" s="2">
        <f t="shared" ca="1" si="1836"/>
        <v>28993.749737758786</v>
      </c>
      <c r="AO1873" s="2">
        <f t="shared" ca="1" si="1837"/>
        <v>30519.587923489064</v>
      </c>
      <c r="AP1873" s="2">
        <f t="shared" ca="1" si="1838"/>
        <v>2430907.0463881521</v>
      </c>
      <c r="AQ1873" s="2">
        <f t="shared" ca="1" si="1839"/>
        <v>711462.89925149211</v>
      </c>
      <c r="AR1873" s="2">
        <f t="shared" ca="1" si="1840"/>
        <v>803521.049950263</v>
      </c>
      <c r="AS1873" s="2">
        <f t="shared" ca="1" si="1841"/>
        <v>879069.31563415832</v>
      </c>
      <c r="AT1873" s="2">
        <f t="shared" ca="1" si="1842"/>
        <v>958593.41851361585</v>
      </c>
      <c r="AU1873" s="2">
        <f t="shared" ca="1" si="1843"/>
        <v>1042302.5927949068</v>
      </c>
      <c r="AV1873" s="2">
        <f t="shared" ca="1" si="1844"/>
        <v>2024932.8671004009</v>
      </c>
      <c r="AW1873" s="2">
        <f t="shared" ca="1" si="1845"/>
        <v>2260777.4127564756</v>
      </c>
      <c r="AX1873" s="2">
        <f t="shared" ca="1" si="1846"/>
        <v>2474422.3173265429</v>
      </c>
      <c r="AY1873" s="2">
        <f t="shared" ca="1" si="1847"/>
        <v>2699310.5952625321</v>
      </c>
      <c r="AZ1873" s="2">
        <f t="shared" ca="1" si="1848"/>
        <v>2936033.945415861</v>
      </c>
      <c r="BA1873" s="2">
        <f t="shared" ca="1" si="1849"/>
        <v>56008134.593996659</v>
      </c>
      <c r="BB1873" s="2">
        <f t="shared" ca="1" si="1850"/>
        <v>1120162.6918799332</v>
      </c>
      <c r="BC1873" s="2">
        <f t="shared" ca="1" si="1851"/>
        <v>27877893.608915035</v>
      </c>
      <c r="BD1873" s="2">
        <f t="shared" ca="1" si="1852"/>
        <v>-19632138.791017868</v>
      </c>
      <c r="BE1873" s="2">
        <f t="shared" ca="1" si="1853"/>
        <v>2024932.8671004009</v>
      </c>
      <c r="BF1873" s="2">
        <f t="shared" ca="1" si="1854"/>
        <v>2260777.4127564756</v>
      </c>
      <c r="BG1873" s="2">
        <f t="shared" ca="1" si="1855"/>
        <v>2474422.3173265429</v>
      </c>
      <c r="BH1873" s="2">
        <f t="shared" ca="1" si="1856"/>
        <v>2699310.5952625321</v>
      </c>
      <c r="BI1873" s="2">
        <f t="shared" ca="1" si="1857"/>
        <v>30813927.554330897</v>
      </c>
      <c r="BJ1873" s="2">
        <f t="shared" ca="1" si="1858"/>
        <v>0.18107535917174156</v>
      </c>
      <c r="BK1873" s="2">
        <f t="shared" ca="1" si="1859"/>
        <v>4939470.5323694684</v>
      </c>
    </row>
    <row r="1874" spans="1:63" x14ac:dyDescent="0.3">
      <c r="A1874" s="2">
        <v>1873</v>
      </c>
      <c r="B1874" s="2">
        <f t="shared" ca="1" si="1798"/>
        <v>0.60850308700307476</v>
      </c>
      <c r="C1874" s="2">
        <f t="shared" ca="1" si="1799"/>
        <v>7.1151306164219204</v>
      </c>
      <c r="D1874" s="2">
        <f t="shared" ca="1" si="1800"/>
        <v>0.81583039019874593</v>
      </c>
      <c r="E1874" s="2">
        <f t="shared" ca="1" si="1801"/>
        <v>7.8930904354003735</v>
      </c>
      <c r="F1874" s="2">
        <f t="shared" ca="1" si="1802"/>
        <v>0.73034333994111755</v>
      </c>
      <c r="G1874" s="2">
        <f t="shared" ca="1" si="1803"/>
        <v>5.8415551437140195E-2</v>
      </c>
      <c r="H1874" s="2">
        <f t="shared" ca="1" si="1804"/>
        <v>5.8415551437140195E-2</v>
      </c>
      <c r="I1874" s="2">
        <f t="shared" ca="1" si="1805"/>
        <v>0.83337260633392718</v>
      </c>
      <c r="J1874" s="2">
        <f t="shared" ca="1" si="1806"/>
        <v>1.4837893818885881E-2</v>
      </c>
      <c r="K1874" s="2">
        <f t="shared" ca="1" si="1807"/>
        <v>1.4837893818885881E-2</v>
      </c>
      <c r="L1874" s="2">
        <f t="shared" ca="1" si="1808"/>
        <v>0.46203487759036643</v>
      </c>
      <c r="M1874" s="2">
        <f t="shared" ca="1" si="1809"/>
        <v>-1.9061709111841802E-3</v>
      </c>
      <c r="N1874" s="2">
        <f t="shared" ca="1" si="1810"/>
        <v>-1.9061709111841802E-3</v>
      </c>
      <c r="O1874" s="2">
        <f t="shared" si="1811"/>
        <v>6000000</v>
      </c>
      <c r="P1874" s="2">
        <f t="shared" ca="1" si="1812"/>
        <v>42690783.698531523</v>
      </c>
      <c r="Q1874" s="2">
        <f t="shared" ca="1" si="1813"/>
        <v>1067269.5924632882</v>
      </c>
      <c r="R1874" s="2">
        <f t="shared" ca="1" si="1814"/>
        <v>25614470.219118912</v>
      </c>
      <c r="S1874" s="2">
        <f t="shared" ca="1" si="1815"/>
        <v>17076313.479412612</v>
      </c>
      <c r="T1874" s="2">
        <f t="shared" ca="1" si="1816"/>
        <v>49904691.454440795</v>
      </c>
      <c r="U1874" s="2">
        <f t="shared" ca="1" si="1817"/>
        <v>52819901.525052294</v>
      </c>
      <c r="V1874" s="2">
        <f t="shared" ca="1" si="1818"/>
        <v>55905405.199493669</v>
      </c>
      <c r="W1874" s="2">
        <f t="shared" ca="1" si="1819"/>
        <v>59171150.272538863</v>
      </c>
      <c r="X1874" s="2">
        <f t="shared" ca="1" si="1820"/>
        <v>62627665.644879118</v>
      </c>
      <c r="Y1874" s="2">
        <f t="shared" ca="1" si="1821"/>
        <v>0.12741894690944294</v>
      </c>
      <c r="Z1874" s="2">
        <f t="shared" ca="1" si="1822"/>
        <v>0.13038652567322012</v>
      </c>
      <c r="AA1874" s="2">
        <f t="shared" ca="1" si="1823"/>
        <v>6358803.2309655221</v>
      </c>
      <c r="AB1874" s="2">
        <f t="shared" ca="1" si="1824"/>
        <v>6887003.4462531898</v>
      </c>
      <c r="AC1874" s="2">
        <f t="shared" ca="1" si="1825"/>
        <v>7289311.5503155552</v>
      </c>
      <c r="AD1874" s="2">
        <f t="shared" ca="1" si="1826"/>
        <v>7715120.7041243538</v>
      </c>
      <c r="AE1874" s="2">
        <f t="shared" ca="1" si="1827"/>
        <v>8165803.734459877</v>
      </c>
      <c r="AF1874" s="2">
        <f t="shared" ca="1" si="1828"/>
        <v>998093.82908881595</v>
      </c>
      <c r="AG1874" s="2">
        <f t="shared" ca="1" si="1829"/>
        <v>1056398.030501046</v>
      </c>
      <c r="AH1874" s="2">
        <f t="shared" ca="1" si="1830"/>
        <v>1118108.1039898733</v>
      </c>
      <c r="AI1874" s="2">
        <f t="shared" ca="1" si="1831"/>
        <v>1183423.0054507772</v>
      </c>
      <c r="AJ1874" s="2">
        <f t="shared" ca="1" si="1832"/>
        <v>1252553.3128975823</v>
      </c>
      <c r="AK1874" s="2">
        <f t="shared" ca="1" si="1833"/>
        <v>0</v>
      </c>
      <c r="AL1874" s="2">
        <f t="shared" ca="1" si="1834"/>
        <v>29152.100706114994</v>
      </c>
      <c r="AM1874" s="2">
        <f t="shared" ca="1" si="1835"/>
        <v>30855.036744413748</v>
      </c>
      <c r="AN1874" s="2">
        <f t="shared" ca="1" si="1836"/>
        <v>32657.450730451943</v>
      </c>
      <c r="AO1874" s="2">
        <f t="shared" ca="1" si="1837"/>
        <v>34565.153723402545</v>
      </c>
      <c r="AP1874" s="2">
        <f t="shared" ca="1" si="1838"/>
        <v>2305302.3197207018</v>
      </c>
      <c r="AQ1874" s="2">
        <f t="shared" ca="1" si="1839"/>
        <v>794405.84136056132</v>
      </c>
      <c r="AR1874" s="2">
        <f t="shared" ca="1" si="1840"/>
        <v>916578.8049681749</v>
      </c>
      <c r="AS1874" s="2">
        <f t="shared" ca="1" si="1841"/>
        <v>1005134.2929172949</v>
      </c>
      <c r="AT1874" s="2">
        <f t="shared" ca="1" si="1842"/>
        <v>1098862.7985277472</v>
      </c>
      <c r="AU1874" s="2">
        <f t="shared" ca="1" si="1843"/>
        <v>1198066.5064788142</v>
      </c>
      <c r="AV1874" s="2">
        <f t="shared" ca="1" si="1844"/>
        <v>2261001.2407954433</v>
      </c>
      <c r="AW1874" s="2">
        <f t="shared" ca="1" si="1845"/>
        <v>2579572.1903571519</v>
      </c>
      <c r="AX1874" s="2">
        <f t="shared" ca="1" si="1846"/>
        <v>2829911.796943272</v>
      </c>
      <c r="AY1874" s="2">
        <f t="shared" ca="1" si="1847"/>
        <v>3094875.1296946746</v>
      </c>
      <c r="AZ1874" s="2">
        <f t="shared" ca="1" si="1848"/>
        <v>3375316.4416393754</v>
      </c>
      <c r="BA1874" s="2">
        <f t="shared" ca="1" si="1849"/>
        <v>64453427.353821903</v>
      </c>
      <c r="BB1874" s="2">
        <f t="shared" ca="1" si="1850"/>
        <v>1289068.5470764381</v>
      </c>
      <c r="BC1874" s="2">
        <f t="shared" ca="1" si="1851"/>
        <v>37549888.587626554</v>
      </c>
      <c r="BD1874" s="2">
        <f t="shared" ca="1" si="1852"/>
        <v>-18643583.0718759</v>
      </c>
      <c r="BE1874" s="2">
        <f t="shared" ca="1" si="1853"/>
        <v>2261001.2407954433</v>
      </c>
      <c r="BF1874" s="2">
        <f t="shared" ca="1" si="1854"/>
        <v>2579572.1903571519</v>
      </c>
      <c r="BG1874" s="2">
        <f t="shared" ca="1" si="1855"/>
        <v>2829911.796943272</v>
      </c>
      <c r="BH1874" s="2">
        <f t="shared" ca="1" si="1856"/>
        <v>3094875.1296946746</v>
      </c>
      <c r="BI1874" s="2">
        <f t="shared" ca="1" si="1857"/>
        <v>40925205.029265933</v>
      </c>
      <c r="BJ1874" s="2">
        <f t="shared" ca="1" si="1858"/>
        <v>0.26493899013205291</v>
      </c>
      <c r="BK1874" s="2">
        <f t="shared" ca="1" si="1859"/>
        <v>12634772.017670978</v>
      </c>
    </row>
    <row r="1875" spans="1:63" x14ac:dyDescent="0.3">
      <c r="A1875" s="2">
        <v>1874</v>
      </c>
      <c r="B1875" s="2">
        <f t="shared" ca="1" si="1798"/>
        <v>0.29898091699398355</v>
      </c>
      <c r="C1875" s="2">
        <f t="shared" ca="1" si="1799"/>
        <v>6.7732799195556339</v>
      </c>
      <c r="D1875" s="2">
        <f t="shared" ca="1" si="1800"/>
        <v>7.1430676949788552E-3</v>
      </c>
      <c r="E1875" s="2">
        <f t="shared" ca="1" si="1801"/>
        <v>6.619524622525895</v>
      </c>
      <c r="F1875" s="2">
        <f t="shared" ca="1" si="1802"/>
        <v>7.3986871907271046E-2</v>
      </c>
      <c r="G1875" s="2">
        <f t="shared" ca="1" si="1803"/>
        <v>-3.4017731123346731E-3</v>
      </c>
      <c r="H1875" s="2">
        <f t="shared" ca="1" si="1804"/>
        <v>-3.4017731123346731E-3</v>
      </c>
      <c r="I1875" s="2">
        <f t="shared" ca="1" si="1805"/>
        <v>0.22553097383130749</v>
      </c>
      <c r="J1875" s="2">
        <f t="shared" ca="1" si="1806"/>
        <v>6.2317711039101614E-3</v>
      </c>
      <c r="K1875" s="2">
        <f t="shared" ca="1" si="1807"/>
        <v>6.2317711039101614E-3</v>
      </c>
      <c r="L1875" s="2">
        <f t="shared" ca="1" si="1808"/>
        <v>0.44121857369324169</v>
      </c>
      <c r="M1875" s="2">
        <f t="shared" ca="1" si="1809"/>
        <v>-2.9576082349231864E-3</v>
      </c>
      <c r="N1875" s="2">
        <f t="shared" ca="1" si="1810"/>
        <v>-2.9576082349231864E-3</v>
      </c>
      <c r="O1875" s="2">
        <f t="shared" si="1811"/>
        <v>6000000</v>
      </c>
      <c r="P1875" s="2">
        <f t="shared" ca="1" si="1812"/>
        <v>40639679.517333806</v>
      </c>
      <c r="Q1875" s="2">
        <f t="shared" ca="1" si="1813"/>
        <v>1015991.9879333451</v>
      </c>
      <c r="R1875" s="2">
        <f t="shared" ca="1" si="1814"/>
        <v>24383807.710400283</v>
      </c>
      <c r="S1875" s="2">
        <f t="shared" ca="1" si="1815"/>
        <v>16255871.806933522</v>
      </c>
      <c r="T1875" s="2">
        <f t="shared" ca="1" si="1816"/>
        <v>49852119.588253841</v>
      </c>
      <c r="U1875" s="2">
        <f t="shared" ca="1" si="1817"/>
        <v>49682533.988245629</v>
      </c>
      <c r="V1875" s="2">
        <f t="shared" ca="1" si="1818"/>
        <v>49513525.279971763</v>
      </c>
      <c r="W1875" s="2">
        <f t="shared" ca="1" si="1819"/>
        <v>49345091.500977449</v>
      </c>
      <c r="X1875" s="2">
        <f t="shared" ca="1" si="1820"/>
        <v>49177230.695483729</v>
      </c>
      <c r="Y1875" s="2">
        <f t="shared" ca="1" si="1821"/>
        <v>0.12311588555195507</v>
      </c>
      <c r="Z1875" s="2">
        <f t="shared" ca="1" si="1822"/>
        <v>0.12436223977273711</v>
      </c>
      <c r="AA1875" s="2">
        <f t="shared" ca="1" si="1823"/>
        <v>6137587.8497498371</v>
      </c>
      <c r="AB1875" s="2">
        <f t="shared" ca="1" si="1824"/>
        <v>6178631.2043633638</v>
      </c>
      <c r="AC1875" s="2">
        <f t="shared" ca="1" si="1825"/>
        <v>6157612.9028613288</v>
      </c>
      <c r="AD1875" s="2">
        <f t="shared" ca="1" si="1826"/>
        <v>6136666.1008522101</v>
      </c>
      <c r="AE1875" s="2">
        <f t="shared" ca="1" si="1827"/>
        <v>6115790.5551109547</v>
      </c>
      <c r="AF1875" s="2">
        <f t="shared" ca="1" si="1828"/>
        <v>997042.39176507678</v>
      </c>
      <c r="AG1875" s="2">
        <f t="shared" ca="1" si="1829"/>
        <v>993650.67976491258</v>
      </c>
      <c r="AH1875" s="2">
        <f t="shared" ca="1" si="1830"/>
        <v>990270.5055994353</v>
      </c>
      <c r="AI1875" s="2">
        <f t="shared" ca="1" si="1831"/>
        <v>986901.830019549</v>
      </c>
      <c r="AJ1875" s="2">
        <f t="shared" ca="1" si="1832"/>
        <v>983544.61390967458</v>
      </c>
      <c r="AK1875" s="2">
        <f t="shared" ca="1" si="1833"/>
        <v>0</v>
      </c>
      <c r="AL1875" s="2">
        <f t="shared" ca="1" si="1834"/>
        <v>0</v>
      </c>
      <c r="AM1875" s="2">
        <f t="shared" ca="1" si="1835"/>
        <v>0</v>
      </c>
      <c r="AN1875" s="2">
        <f t="shared" ca="1" si="1836"/>
        <v>0</v>
      </c>
      <c r="AO1875" s="2">
        <f t="shared" ca="1" si="1837"/>
        <v>0</v>
      </c>
      <c r="AP1875" s="2">
        <f t="shared" ca="1" si="1838"/>
        <v>2194542.6939360253</v>
      </c>
      <c r="AQ1875" s="2">
        <f t="shared" ca="1" si="1839"/>
        <v>765960.7186526712</v>
      </c>
      <c r="AR1875" s="2">
        <f t="shared" ca="1" si="1840"/>
        <v>777513.83597223077</v>
      </c>
      <c r="AS1875" s="2">
        <f t="shared" ca="1" si="1841"/>
        <v>772927.9228647257</v>
      </c>
      <c r="AT1875" s="2">
        <f t="shared" ca="1" si="1842"/>
        <v>768357.60999312543</v>
      </c>
      <c r="AU1875" s="2">
        <f t="shared" ca="1" si="1843"/>
        <v>763802.84428896627</v>
      </c>
      <c r="AV1875" s="2">
        <f t="shared" ca="1" si="1844"/>
        <v>2180042.0453960639</v>
      </c>
      <c r="AW1875" s="2">
        <f t="shared" ca="1" si="1845"/>
        <v>2212923.9946901952</v>
      </c>
      <c r="AX1875" s="2">
        <f t="shared" ca="1" si="1846"/>
        <v>2199871.7804611423</v>
      </c>
      <c r="AY1875" s="2">
        <f t="shared" ca="1" si="1847"/>
        <v>2186863.966903511</v>
      </c>
      <c r="AZ1875" s="2">
        <f t="shared" ca="1" si="1848"/>
        <v>2173900.402976288</v>
      </c>
      <c r="BA1875" s="2">
        <f t="shared" ca="1" si="1849"/>
        <v>40483626.165768273</v>
      </c>
      <c r="BB1875" s="2">
        <f t="shared" ca="1" si="1850"/>
        <v>809672.52331536543</v>
      </c>
      <c r="BC1875" s="2">
        <f t="shared" ca="1" si="1851"/>
        <v>15290145.932052623</v>
      </c>
      <c r="BD1875" s="2">
        <f t="shared" ca="1" si="1852"/>
        <v>-17771863.794866867</v>
      </c>
      <c r="BE1875" s="2">
        <f t="shared" ca="1" si="1853"/>
        <v>2180042.0453960639</v>
      </c>
      <c r="BF1875" s="2">
        <f t="shared" ca="1" si="1854"/>
        <v>2212923.9946901952</v>
      </c>
      <c r="BG1875" s="2">
        <f t="shared" ca="1" si="1855"/>
        <v>2199871.7804611423</v>
      </c>
      <c r="BH1875" s="2">
        <f t="shared" ca="1" si="1856"/>
        <v>2186863.966903511</v>
      </c>
      <c r="BI1875" s="2">
        <f t="shared" ca="1" si="1857"/>
        <v>17464046.335028913</v>
      </c>
      <c r="BJ1875" s="2">
        <f t="shared" ca="1" si="1858"/>
        <v>0.1004528082271805</v>
      </c>
      <c r="BK1875" s="2">
        <f t="shared" ca="1" si="1859"/>
        <v>-1196082.4558102991</v>
      </c>
    </row>
    <row r="1876" spans="1:63" x14ac:dyDescent="0.3">
      <c r="A1876" s="2">
        <v>1875</v>
      </c>
      <c r="B1876" s="2">
        <f t="shared" ca="1" si="1798"/>
        <v>0.40641430145496105</v>
      </c>
      <c r="C1876" s="2">
        <f t="shared" ca="1" si="1799"/>
        <v>6.9015700765386585</v>
      </c>
      <c r="D1876" s="2">
        <f t="shared" ca="1" si="1800"/>
        <v>0.1336895858795063</v>
      </c>
      <c r="E1876" s="2">
        <f t="shared" ca="1" si="1801"/>
        <v>7.0170871993764807</v>
      </c>
      <c r="F1876" s="2">
        <f t="shared" ca="1" si="1802"/>
        <v>0.96013493801239846</v>
      </c>
      <c r="G1876" s="2">
        <f t="shared" ca="1" si="1803"/>
        <v>9.2567623142379277E-2</v>
      </c>
      <c r="H1876" s="2">
        <f t="shared" ca="1" si="1804"/>
        <v>9.2567623142379277E-2</v>
      </c>
      <c r="I1876" s="2">
        <f t="shared" ca="1" si="1805"/>
        <v>0.76915994510878727</v>
      </c>
      <c r="J1876" s="2">
        <f t="shared" ca="1" si="1806"/>
        <v>1.3680415641196621E-2</v>
      </c>
      <c r="K1876" s="2">
        <f t="shared" ca="1" si="1807"/>
        <v>1.3680415641196621E-2</v>
      </c>
      <c r="L1876" s="2">
        <f t="shared" ca="1" si="1808"/>
        <v>0.24873951861124077</v>
      </c>
      <c r="M1876" s="2">
        <f t="shared" ca="1" si="1809"/>
        <v>-1.3569232821695948E-2</v>
      </c>
      <c r="N1876" s="2">
        <f t="shared" ca="1" si="1810"/>
        <v>-1.3569232821695948E-2</v>
      </c>
      <c r="O1876" s="2">
        <f t="shared" si="1811"/>
        <v>6000000</v>
      </c>
      <c r="P1876" s="2">
        <f t="shared" ca="1" si="1812"/>
        <v>41409420.45923195</v>
      </c>
      <c r="Q1876" s="2">
        <f t="shared" ca="1" si="1813"/>
        <v>1035235.5114807988</v>
      </c>
      <c r="R1876" s="2">
        <f t="shared" ca="1" si="1814"/>
        <v>24845652.275539171</v>
      </c>
      <c r="S1876" s="2">
        <f t="shared" ca="1" si="1815"/>
        <v>16563768.183692781</v>
      </c>
      <c r="T1876" s="2">
        <f t="shared" ca="1" si="1816"/>
        <v>49321538.358915202</v>
      </c>
      <c r="U1876" s="2">
        <f t="shared" ca="1" si="1817"/>
        <v>53887115.934525669</v>
      </c>
      <c r="V1876" s="2">
        <f t="shared" ca="1" si="1818"/>
        <v>58875318.174582541</v>
      </c>
      <c r="W1876" s="2">
        <f t="shared" ca="1" si="1819"/>
        <v>64325266.43975497</v>
      </c>
      <c r="X1876" s="2">
        <f t="shared" ca="1" si="1820"/>
        <v>70279703.462083355</v>
      </c>
      <c r="Y1876" s="2">
        <f t="shared" ca="1" si="1821"/>
        <v>0.12684020782059829</v>
      </c>
      <c r="Z1876" s="2">
        <f t="shared" ca="1" si="1822"/>
        <v>0.12957629094883763</v>
      </c>
      <c r="AA1876" s="2">
        <f t="shared" ca="1" si="1823"/>
        <v>6255954.1754764151</v>
      </c>
      <c r="AB1876" s="2">
        <f t="shared" ca="1" si="1824"/>
        <v>6982492.6127258427</v>
      </c>
      <c r="AC1876" s="2">
        <f t="shared" ca="1" si="1825"/>
        <v>7628845.3574950956</v>
      </c>
      <c r="AD1876" s="2">
        <f t="shared" ca="1" si="1826"/>
        <v>8335029.4395591905</v>
      </c>
      <c r="AE1876" s="2">
        <f t="shared" ca="1" si="1827"/>
        <v>9106583.3036009446</v>
      </c>
      <c r="AF1876" s="2">
        <f t="shared" ca="1" si="1828"/>
        <v>986430.76717830403</v>
      </c>
      <c r="AG1876" s="2">
        <f t="shared" ca="1" si="1829"/>
        <v>1077742.3186905135</v>
      </c>
      <c r="AH1876" s="2">
        <f t="shared" ca="1" si="1830"/>
        <v>1177506.3634916509</v>
      </c>
      <c r="AI1876" s="2">
        <f t="shared" ca="1" si="1831"/>
        <v>1286505.3287950994</v>
      </c>
      <c r="AJ1876" s="2">
        <f t="shared" ca="1" si="1832"/>
        <v>1405594.0692416672</v>
      </c>
      <c r="AK1876" s="2">
        <f t="shared" ca="1" si="1833"/>
        <v>0</v>
      </c>
      <c r="AL1876" s="2">
        <f t="shared" ca="1" si="1834"/>
        <v>45655.775756104667</v>
      </c>
      <c r="AM1876" s="2">
        <f t="shared" ca="1" si="1835"/>
        <v>49882.022400568727</v>
      </c>
      <c r="AN1876" s="2">
        <f t="shared" ca="1" si="1836"/>
        <v>54499.482651724298</v>
      </c>
      <c r="AO1876" s="2">
        <f t="shared" ca="1" si="1837"/>
        <v>59544.37022328384</v>
      </c>
      <c r="AP1876" s="2">
        <f t="shared" ca="1" si="1838"/>
        <v>2236108.7047985252</v>
      </c>
      <c r="AQ1876" s="2">
        <f t="shared" ca="1" si="1839"/>
        <v>788687.82290989219</v>
      </c>
      <c r="AR1876" s="2">
        <f t="shared" ca="1" si="1840"/>
        <v>953846.81320156914</v>
      </c>
      <c r="AS1876" s="2">
        <f t="shared" ca="1" si="1841"/>
        <v>1095959.8751932792</v>
      </c>
      <c r="AT1876" s="2">
        <f t="shared" ca="1" si="1842"/>
        <v>1251228.0055510472</v>
      </c>
      <c r="AU1876" s="2">
        <f t="shared" ca="1" si="1843"/>
        <v>1420868.9376857956</v>
      </c>
      <c r="AV1876" s="2">
        <f t="shared" ca="1" si="1844"/>
        <v>2244726.8805896929</v>
      </c>
      <c r="AW1876" s="2">
        <f t="shared" ca="1" si="1845"/>
        <v>2669139.0002791304</v>
      </c>
      <c r="AX1876" s="2">
        <f t="shared" ca="1" si="1846"/>
        <v>3069388.3916110713</v>
      </c>
      <c r="AY1876" s="2">
        <f t="shared" ca="1" si="1847"/>
        <v>3506687.9177627936</v>
      </c>
      <c r="AZ1876" s="2">
        <f t="shared" ca="1" si="1848"/>
        <v>3984467.2216516733</v>
      </c>
      <c r="BA1876" s="2">
        <f t="shared" ca="1" si="1849"/>
        <v>63901689.129753768</v>
      </c>
      <c r="BB1876" s="2">
        <f t="shared" ca="1" si="1850"/>
        <v>1278033.7825950754</v>
      </c>
      <c r="BC1876" s="2">
        <f t="shared" ca="1" si="1851"/>
        <v>37778003.071619518</v>
      </c>
      <c r="BD1876" s="2">
        <f t="shared" ca="1" si="1852"/>
        <v>-18099003.69517358</v>
      </c>
      <c r="BE1876" s="2">
        <f t="shared" ca="1" si="1853"/>
        <v>2244726.8805896929</v>
      </c>
      <c r="BF1876" s="2">
        <f t="shared" ca="1" si="1854"/>
        <v>2669139.0002791304</v>
      </c>
      <c r="BG1876" s="2">
        <f t="shared" ca="1" si="1855"/>
        <v>3069388.3916110713</v>
      </c>
      <c r="BH1876" s="2">
        <f t="shared" ca="1" si="1856"/>
        <v>3506687.9177627936</v>
      </c>
      <c r="BI1876" s="2">
        <f t="shared" ca="1" si="1857"/>
        <v>41762470.293271191</v>
      </c>
      <c r="BJ1876" s="2">
        <f t="shared" ca="1" si="1858"/>
        <v>0.28356233239816664</v>
      </c>
      <c r="BK1876" s="2">
        <f t="shared" ca="1" si="1859"/>
        <v>14143478.80591039</v>
      </c>
    </row>
    <row r="1877" spans="1:63" x14ac:dyDescent="0.3">
      <c r="A1877" s="2">
        <v>1876</v>
      </c>
      <c r="B1877" s="2">
        <f t="shared" ca="1" si="1798"/>
        <v>0.55948771314741641</v>
      </c>
      <c r="C1877" s="2">
        <f t="shared" ca="1" si="1799"/>
        <v>7.0613709072774444</v>
      </c>
      <c r="D1877" s="2">
        <f t="shared" ca="1" si="1800"/>
        <v>0.40730394916549773</v>
      </c>
      <c r="E1877" s="2">
        <f t="shared" ca="1" si="1801"/>
        <v>7.4025563131079384</v>
      </c>
      <c r="F1877" s="2">
        <f t="shared" ca="1" si="1802"/>
        <v>0.80187495440742684</v>
      </c>
      <c r="G1877" s="2">
        <f t="shared" ca="1" si="1803"/>
        <v>6.5450122185316137E-2</v>
      </c>
      <c r="H1877" s="2">
        <f t="shared" ca="1" si="1804"/>
        <v>6.5450122185316137E-2</v>
      </c>
      <c r="I1877" s="2">
        <f t="shared" ca="1" si="1805"/>
        <v>0.46843244903780012</v>
      </c>
      <c r="J1877" s="2">
        <f t="shared" ca="1" si="1806"/>
        <v>9.6039456457527091E-3</v>
      </c>
      <c r="K1877" s="2">
        <f t="shared" ca="1" si="1807"/>
        <v>9.6039456457527091E-3</v>
      </c>
      <c r="L1877" s="2">
        <f t="shared" ca="1" si="1808"/>
        <v>0.43822775965918193</v>
      </c>
      <c r="M1877" s="2">
        <f t="shared" ca="1" si="1809"/>
        <v>-3.1092803390113223E-3</v>
      </c>
      <c r="N1877" s="2">
        <f t="shared" ca="1" si="1810"/>
        <v>-3.1092803390113223E-3</v>
      </c>
      <c r="O1877" s="2">
        <f t="shared" si="1811"/>
        <v>6000000</v>
      </c>
      <c r="P1877" s="2">
        <f t="shared" ca="1" si="1812"/>
        <v>42368225.44366467</v>
      </c>
      <c r="Q1877" s="2">
        <f t="shared" ca="1" si="1813"/>
        <v>1059205.6360916167</v>
      </c>
      <c r="R1877" s="2">
        <f t="shared" ca="1" si="1814"/>
        <v>25420935.266198803</v>
      </c>
      <c r="S1877" s="2">
        <f t="shared" ca="1" si="1815"/>
        <v>16947290.177465867</v>
      </c>
      <c r="T1877" s="2">
        <f t="shared" ca="1" si="1816"/>
        <v>49844535.98304943</v>
      </c>
      <c r="U1877" s="2">
        <f t="shared" ca="1" si="1817"/>
        <v>53106866.953410402</v>
      </c>
      <c r="V1877" s="2">
        <f t="shared" ca="1" si="1818"/>
        <v>56582717.884390436</v>
      </c>
      <c r="W1877" s="2">
        <f t="shared" ca="1" si="1819"/>
        <v>60286063.683501057</v>
      </c>
      <c r="X1877" s="2">
        <f t="shared" ca="1" si="1820"/>
        <v>64231793.917657949</v>
      </c>
      <c r="Y1877" s="2">
        <f t="shared" ca="1" si="1821"/>
        <v>0.12480197282287635</v>
      </c>
      <c r="Z1877" s="2">
        <f t="shared" ca="1" si="1822"/>
        <v>0.12672276195202689</v>
      </c>
      <c r="AA1877" s="2">
        <f t="shared" ca="1" si="1823"/>
        <v>6220696.4251254173</v>
      </c>
      <c r="AB1877" s="2">
        <f t="shared" ca="1" si="1824"/>
        <v>6729848.8589549903</v>
      </c>
      <c r="AC1877" s="2">
        <f t="shared" ca="1" si="1825"/>
        <v>7170318.2890623035</v>
      </c>
      <c r="AD1877" s="2">
        <f t="shared" ca="1" si="1826"/>
        <v>7639616.4971890375</v>
      </c>
      <c r="AE1877" s="2">
        <f t="shared" ca="1" si="1827"/>
        <v>8139630.3303790167</v>
      </c>
      <c r="AF1877" s="2">
        <f t="shared" ca="1" si="1828"/>
        <v>996890.71966098866</v>
      </c>
      <c r="AG1877" s="2">
        <f t="shared" ca="1" si="1829"/>
        <v>1062137.3390682081</v>
      </c>
      <c r="AH1877" s="2">
        <f t="shared" ca="1" si="1830"/>
        <v>1131654.3576878088</v>
      </c>
      <c r="AI1877" s="2">
        <f t="shared" ca="1" si="1831"/>
        <v>1205721.2736700212</v>
      </c>
      <c r="AJ1877" s="2">
        <f t="shared" ca="1" si="1832"/>
        <v>1284635.8783531589</v>
      </c>
      <c r="AK1877" s="2">
        <f t="shared" ca="1" si="1833"/>
        <v>0</v>
      </c>
      <c r="AL1877" s="2">
        <f t="shared" ca="1" si="1834"/>
        <v>32623.309703609721</v>
      </c>
      <c r="AM1877" s="2">
        <f t="shared" ca="1" si="1835"/>
        <v>34758.509309800342</v>
      </c>
      <c r="AN1877" s="2">
        <f t="shared" ca="1" si="1836"/>
        <v>37033.45799110621</v>
      </c>
      <c r="AO1877" s="2">
        <f t="shared" ca="1" si="1837"/>
        <v>39457.302341568917</v>
      </c>
      <c r="AP1877" s="2">
        <f t="shared" ca="1" si="1838"/>
        <v>2287884.1739578922</v>
      </c>
      <c r="AQ1877" s="2">
        <f t="shared" ca="1" si="1839"/>
        <v>763339.59819169936</v>
      </c>
      <c r="AR1877" s="2">
        <f t="shared" ca="1" si="1840"/>
        <v>878755.10994151141</v>
      </c>
      <c r="AS1877" s="2">
        <f t="shared" ca="1" si="1841"/>
        <v>975202.73692831676</v>
      </c>
      <c r="AT1877" s="2">
        <f t="shared" ca="1" si="1842"/>
        <v>1077962.8728858922</v>
      </c>
      <c r="AU1877" s="2">
        <f t="shared" ca="1" si="1843"/>
        <v>1187448.672297671</v>
      </c>
      <c r="AV1877" s="2">
        <f t="shared" ca="1" si="1844"/>
        <v>2172581.933314837</v>
      </c>
      <c r="AW1877" s="2">
        <f t="shared" ca="1" si="1845"/>
        <v>2468448.9262837688</v>
      </c>
      <c r="AX1877" s="2">
        <f t="shared" ca="1" si="1846"/>
        <v>2740818.5111784856</v>
      </c>
      <c r="AY1877" s="2">
        <f t="shared" ca="1" si="1847"/>
        <v>3031014.7186841252</v>
      </c>
      <c r="AZ1877" s="2">
        <f t="shared" ca="1" si="1848"/>
        <v>3340204.3034287258</v>
      </c>
      <c r="BA1877" s="2">
        <f t="shared" ca="1" si="1849"/>
        <v>60254071.888512045</v>
      </c>
      <c r="BB1877" s="2">
        <f t="shared" ca="1" si="1850"/>
        <v>1205081.4377702409</v>
      </c>
      <c r="BC1877" s="2">
        <f t="shared" ca="1" si="1851"/>
        <v>33628055.184543006</v>
      </c>
      <c r="BD1877" s="2">
        <f t="shared" ca="1" si="1852"/>
        <v>-18506495.813557483</v>
      </c>
      <c r="BE1877" s="2">
        <f t="shared" ca="1" si="1853"/>
        <v>2172581.933314837</v>
      </c>
      <c r="BF1877" s="2">
        <f t="shared" ca="1" si="1854"/>
        <v>2468448.9262837688</v>
      </c>
      <c r="BG1877" s="2">
        <f t="shared" ca="1" si="1855"/>
        <v>2740818.5111784856</v>
      </c>
      <c r="BH1877" s="2">
        <f t="shared" ca="1" si="1856"/>
        <v>3031014.7186841252</v>
      </c>
      <c r="BI1877" s="2">
        <f t="shared" ca="1" si="1857"/>
        <v>36968259.487971731</v>
      </c>
      <c r="BJ1877" s="2">
        <f t="shared" ca="1" si="1858"/>
        <v>0.24291197905315709</v>
      </c>
      <c r="BK1877" s="2">
        <f t="shared" ca="1" si="1859"/>
        <v>10255050.226508029</v>
      </c>
    </row>
    <row r="1878" spans="1:63" x14ac:dyDescent="0.3">
      <c r="A1878" s="2">
        <v>1877</v>
      </c>
      <c r="B1878" s="2">
        <f t="shared" ca="1" si="1798"/>
        <v>0.27135502097393815</v>
      </c>
      <c r="C1878" s="2">
        <f t="shared" ca="1" si="1799"/>
        <v>6.7366885650991719</v>
      </c>
      <c r="D1878" s="2">
        <f t="shared" ca="1" si="1800"/>
        <v>0.71894134661150277</v>
      </c>
      <c r="E1878" s="2">
        <f t="shared" ca="1" si="1801"/>
        <v>7.7502551722239126</v>
      </c>
      <c r="F1878" s="2">
        <f t="shared" ca="1" si="1802"/>
        <v>0.53282589988369344</v>
      </c>
      <c r="G1878" s="2">
        <f t="shared" ca="1" si="1803"/>
        <v>4.2471261897273557E-2</v>
      </c>
      <c r="H1878" s="2">
        <f t="shared" ca="1" si="1804"/>
        <v>4.2471261897273557E-2</v>
      </c>
      <c r="I1878" s="2">
        <f t="shared" ca="1" si="1805"/>
        <v>0.73930537949535391</v>
      </c>
      <c r="J1878" s="2">
        <f t="shared" ca="1" si="1806"/>
        <v>1.3206027005093501E-2</v>
      </c>
      <c r="K1878" s="2">
        <f t="shared" ca="1" si="1807"/>
        <v>1.3206027005093501E-2</v>
      </c>
      <c r="L1878" s="2">
        <f t="shared" ca="1" si="1808"/>
        <v>0.2886668098464239</v>
      </c>
      <c r="M1878" s="2">
        <f t="shared" ca="1" si="1809"/>
        <v>-1.1145673734659894E-2</v>
      </c>
      <c r="N1878" s="2">
        <f t="shared" ca="1" si="1810"/>
        <v>-1.1145673734659894E-2</v>
      </c>
      <c r="O1878" s="2">
        <f t="shared" si="1811"/>
        <v>6000000</v>
      </c>
      <c r="P1878" s="2">
        <f t="shared" ca="1" si="1812"/>
        <v>40420131.390595034</v>
      </c>
      <c r="Q1878" s="2">
        <f t="shared" ca="1" si="1813"/>
        <v>1010503.2847648759</v>
      </c>
      <c r="R1878" s="2">
        <f t="shared" ca="1" si="1814"/>
        <v>24252078.83435702</v>
      </c>
      <c r="S1878" s="2">
        <f t="shared" ca="1" si="1815"/>
        <v>16168052.556238014</v>
      </c>
      <c r="T1878" s="2">
        <f t="shared" ca="1" si="1816"/>
        <v>49442716.313267007</v>
      </c>
      <c r="U1878" s="2">
        <f t="shared" ca="1" si="1817"/>
        <v>51542610.866720371</v>
      </c>
      <c r="V1878" s="2">
        <f t="shared" ca="1" si="1818"/>
        <v>53731690.591710113</v>
      </c>
      <c r="W1878" s="2">
        <f t="shared" ca="1" si="1819"/>
        <v>56013743.295013905</v>
      </c>
      <c r="X1878" s="2">
        <f t="shared" ca="1" si="1820"/>
        <v>58392717.656343095</v>
      </c>
      <c r="Y1878" s="2">
        <f t="shared" ca="1" si="1821"/>
        <v>0.12660301350254674</v>
      </c>
      <c r="Z1878" s="2">
        <f t="shared" ca="1" si="1822"/>
        <v>0.12924421890356544</v>
      </c>
      <c r="AA1878" s="2">
        <f t="shared" ca="1" si="1823"/>
        <v>6259596.8810111312</v>
      </c>
      <c r="AB1878" s="2">
        <f t="shared" ca="1" si="1824"/>
        <v>6661584.4817196988</v>
      </c>
      <c r="AC1878" s="2">
        <f t="shared" ca="1" si="1825"/>
        <v>6944510.380893629</v>
      </c>
      <c r="AD1878" s="2">
        <f t="shared" ca="1" si="1826"/>
        <v>7239452.500028898</v>
      </c>
      <c r="AE1878" s="2">
        <f t="shared" ca="1" si="1827"/>
        <v>7546921.1831504973</v>
      </c>
      <c r="AF1878" s="2">
        <f t="shared" ca="1" si="1828"/>
        <v>988854.32626534021</v>
      </c>
      <c r="AG1878" s="2">
        <f t="shared" ca="1" si="1829"/>
        <v>1030852.2173344075</v>
      </c>
      <c r="AH1878" s="2">
        <f t="shared" ca="1" si="1830"/>
        <v>1074633.8118342024</v>
      </c>
      <c r="AI1878" s="2">
        <f t="shared" ca="1" si="1831"/>
        <v>1120274.8659002781</v>
      </c>
      <c r="AJ1878" s="2">
        <f t="shared" ca="1" si="1832"/>
        <v>1167854.3531268619</v>
      </c>
      <c r="AK1878" s="2">
        <f t="shared" ca="1" si="1833"/>
        <v>0</v>
      </c>
      <c r="AL1878" s="2">
        <f t="shared" ca="1" si="1834"/>
        <v>20998.945534533636</v>
      </c>
      <c r="AM1878" s="2">
        <f t="shared" ca="1" si="1835"/>
        <v>21890.79724989742</v>
      </c>
      <c r="AN1878" s="2">
        <f t="shared" ca="1" si="1836"/>
        <v>22820.527033037917</v>
      </c>
      <c r="AO1878" s="2">
        <f t="shared" ca="1" si="1837"/>
        <v>23789.743613291907</v>
      </c>
      <c r="AP1878" s="2">
        <f t="shared" ca="1" si="1838"/>
        <v>2182687.0950921318</v>
      </c>
      <c r="AQ1878" s="2">
        <f t="shared" ca="1" si="1839"/>
        <v>802894.41950995161</v>
      </c>
      <c r="AR1878" s="2">
        <f t="shared" ca="1" si="1840"/>
        <v>896491.74401622149</v>
      </c>
      <c r="AS1878" s="2">
        <f t="shared" ca="1" si="1841"/>
        <v>958669.26323149679</v>
      </c>
      <c r="AT1878" s="2">
        <f t="shared" ca="1" si="1842"/>
        <v>1023487.540149487</v>
      </c>
      <c r="AU1878" s="2">
        <f t="shared" ca="1" si="1843"/>
        <v>1091058.731082191</v>
      </c>
      <c r="AV1878" s="2">
        <f t="shared" ca="1" si="1844"/>
        <v>2285161.0401437078</v>
      </c>
      <c r="AW1878" s="2">
        <f t="shared" ca="1" si="1845"/>
        <v>2530554.4797424041</v>
      </c>
      <c r="AX1878" s="2">
        <f t="shared" ca="1" si="1846"/>
        <v>2706629.4134859005</v>
      </c>
      <c r="AY1878" s="2">
        <f t="shared" ca="1" si="1847"/>
        <v>2890182.471853964</v>
      </c>
      <c r="AZ1878" s="2">
        <f t="shared" ca="1" si="1848"/>
        <v>3081531.2602360211</v>
      </c>
      <c r="BA1878" s="2">
        <f t="shared" ca="1" si="1849"/>
        <v>58490564.934078351</v>
      </c>
      <c r="BB1878" s="2">
        <f t="shared" ca="1" si="1850"/>
        <v>1169811.298681567</v>
      </c>
      <c r="BC1878" s="2">
        <f t="shared" ca="1" si="1851"/>
        <v>33068674.801039759</v>
      </c>
      <c r="BD1878" s="2">
        <f t="shared" ca="1" si="1852"/>
        <v>-17678555.841002889</v>
      </c>
      <c r="BE1878" s="2">
        <f t="shared" ca="1" si="1853"/>
        <v>2285161.0401437078</v>
      </c>
      <c r="BF1878" s="2">
        <f t="shared" ca="1" si="1854"/>
        <v>2530554.4797424041</v>
      </c>
      <c r="BG1878" s="2">
        <f t="shared" ca="1" si="1855"/>
        <v>2706629.4134859005</v>
      </c>
      <c r="BH1878" s="2">
        <f t="shared" ca="1" si="1856"/>
        <v>2890182.471853964</v>
      </c>
      <c r="BI1878" s="2">
        <f t="shared" ca="1" si="1857"/>
        <v>36150206.06127578</v>
      </c>
      <c r="BJ1878" s="2">
        <f t="shared" ca="1" si="1858"/>
        <v>0.253172468548162</v>
      </c>
      <c r="BK1878" s="2">
        <f t="shared" ca="1" si="1859"/>
        <v>10654995.378679406</v>
      </c>
    </row>
    <row r="1879" spans="1:63" x14ac:dyDescent="0.3">
      <c r="A1879" s="2">
        <v>1878</v>
      </c>
      <c r="B1879" s="2">
        <f t="shared" ca="1" si="1798"/>
        <v>0.98849595789928557</v>
      </c>
      <c r="C1879" s="2">
        <f t="shared" ca="1" si="1799"/>
        <v>7.8483158406377616</v>
      </c>
      <c r="D1879" s="2">
        <f t="shared" ca="1" si="1800"/>
        <v>0.57504872499195825</v>
      </c>
      <c r="E1879" s="2">
        <f t="shared" ca="1" si="1801"/>
        <v>7.5780984054596265</v>
      </c>
      <c r="F1879" s="2">
        <f t="shared" ca="1" si="1802"/>
        <v>0.84575340609470939</v>
      </c>
      <c r="G1879" s="2">
        <f t="shared" ca="1" si="1803"/>
        <v>7.055166620074102E-2</v>
      </c>
      <c r="H1879" s="2">
        <f t="shared" ca="1" si="1804"/>
        <v>7.055166620074102E-2</v>
      </c>
      <c r="I1879" s="2">
        <f t="shared" ca="1" si="1805"/>
        <v>0.27435951273227188</v>
      </c>
      <c r="J1879" s="2">
        <f t="shared" ca="1" si="1806"/>
        <v>7.0015962926079939E-3</v>
      </c>
      <c r="K1879" s="2">
        <f t="shared" ca="1" si="1807"/>
        <v>7.0015962926079939E-3</v>
      </c>
      <c r="L1879" s="2">
        <f t="shared" ca="1" si="1808"/>
        <v>0.32146648996430816</v>
      </c>
      <c r="M1879" s="2">
        <f t="shared" ca="1" si="1809"/>
        <v>-9.2720383604260811E-3</v>
      </c>
      <c r="N1879" s="2">
        <f t="shared" ca="1" si="1810"/>
        <v>-9.2720383604260811E-3</v>
      </c>
      <c r="O1879" s="2">
        <f t="shared" si="1811"/>
        <v>6000000</v>
      </c>
      <c r="P1879" s="2">
        <f t="shared" ca="1" si="1812"/>
        <v>47089895.043826573</v>
      </c>
      <c r="Q1879" s="2">
        <f t="shared" ca="1" si="1813"/>
        <v>1177247.3760956645</v>
      </c>
      <c r="R1879" s="2">
        <f t="shared" ca="1" si="1814"/>
        <v>28253937.026295941</v>
      </c>
      <c r="S1879" s="2">
        <f t="shared" ca="1" si="1815"/>
        <v>18835958.017530631</v>
      </c>
      <c r="T1879" s="2">
        <f t="shared" ca="1" si="1816"/>
        <v>49536398.081978694</v>
      </c>
      <c r="U1879" s="2">
        <f t="shared" ca="1" si="1817"/>
        <v>53031273.504245482</v>
      </c>
      <c r="V1879" s="2">
        <f t="shared" ca="1" si="1818"/>
        <v>56772718.210717216</v>
      </c>
      <c r="W1879" s="2">
        <f t="shared" ca="1" si="1819"/>
        <v>60778128.075228468</v>
      </c>
      <c r="X1879" s="2">
        <f t="shared" ca="1" si="1820"/>
        <v>65066126.279497877</v>
      </c>
      <c r="Y1879" s="2">
        <f t="shared" ca="1" si="1821"/>
        <v>0.12350079814630399</v>
      </c>
      <c r="Z1879" s="2">
        <f t="shared" ca="1" si="1822"/>
        <v>0.1249011174048256</v>
      </c>
      <c r="AA1879" s="2">
        <f t="shared" ca="1" si="1823"/>
        <v>6117784.7004174106</v>
      </c>
      <c r="AB1879" s="2">
        <f t="shared" ca="1" si="1824"/>
        <v>6623665.3180811815</v>
      </c>
      <c r="AC1879" s="2">
        <f t="shared" ca="1" si="1825"/>
        <v>7090975.9426278714</v>
      </c>
      <c r="AD1879" s="2">
        <f t="shared" ca="1" si="1826"/>
        <v>7591256.1103696376</v>
      </c>
      <c r="AE1879" s="2">
        <f t="shared" ca="1" si="1827"/>
        <v>8126831.8775127726</v>
      </c>
      <c r="AF1879" s="2">
        <f t="shared" ca="1" si="1828"/>
        <v>990727.96163957391</v>
      </c>
      <c r="AG1879" s="2">
        <f t="shared" ca="1" si="1829"/>
        <v>1060625.4700849096</v>
      </c>
      <c r="AH1879" s="2">
        <f t="shared" ca="1" si="1830"/>
        <v>1135454.3642143444</v>
      </c>
      <c r="AI1879" s="2">
        <f t="shared" ca="1" si="1831"/>
        <v>1215562.5615045694</v>
      </c>
      <c r="AJ1879" s="2">
        <f t="shared" ca="1" si="1832"/>
        <v>1301322.5255899576</v>
      </c>
      <c r="AK1879" s="2">
        <f t="shared" ca="1" si="1833"/>
        <v>0</v>
      </c>
      <c r="AL1879" s="2">
        <f t="shared" ca="1" si="1834"/>
        <v>34948.754222667885</v>
      </c>
      <c r="AM1879" s="2">
        <f t="shared" ca="1" si="1835"/>
        <v>37414.447064717337</v>
      </c>
      <c r="AN1879" s="2">
        <f t="shared" ca="1" si="1836"/>
        <v>40054.098645112514</v>
      </c>
      <c r="AO1879" s="2">
        <f t="shared" ca="1" si="1837"/>
        <v>42879.982042694093</v>
      </c>
      <c r="AP1879" s="2">
        <f t="shared" ca="1" si="1838"/>
        <v>2542854.3323666346</v>
      </c>
      <c r="AQ1879" s="2">
        <f t="shared" ca="1" si="1839"/>
        <v>671892.62566691253</v>
      </c>
      <c r="AR1879" s="2">
        <f t="shared" ca="1" si="1840"/>
        <v>785248.23406370578</v>
      </c>
      <c r="AS1879" s="2">
        <f t="shared" ca="1" si="1841"/>
        <v>887293.48397219216</v>
      </c>
      <c r="AT1879" s="2">
        <f t="shared" ca="1" si="1842"/>
        <v>996538.19628959289</v>
      </c>
      <c r="AU1879" s="2">
        <f t="shared" ca="1" si="1843"/>
        <v>1113490.3050846066</v>
      </c>
      <c r="AV1879" s="2">
        <f t="shared" ca="1" si="1844"/>
        <v>1912309.7807442895</v>
      </c>
      <c r="AW1879" s="2">
        <f t="shared" ca="1" si="1845"/>
        <v>2199988.5273432643</v>
      </c>
      <c r="AX1879" s="2">
        <f t="shared" ca="1" si="1846"/>
        <v>2487959.3150099837</v>
      </c>
      <c r="AY1879" s="2">
        <f t="shared" ca="1" si="1847"/>
        <v>2796246.9215637292</v>
      </c>
      <c r="AZ1879" s="2">
        <f t="shared" ca="1" si="1848"/>
        <v>3126284.732428879</v>
      </c>
      <c r="BA1879" s="2">
        <f t="shared" ca="1" si="1849"/>
        <v>61585931.692418002</v>
      </c>
      <c r="BB1879" s="2">
        <f t="shared" ca="1" si="1850"/>
        <v>1231718.63384836</v>
      </c>
      <c r="BC1879" s="2">
        <f t="shared" ca="1" si="1851"/>
        <v>32100276.032273699</v>
      </c>
      <c r="BD1879" s="2">
        <f t="shared" ca="1" si="1852"/>
        <v>-20513205.393626295</v>
      </c>
      <c r="BE1879" s="2">
        <f t="shared" ca="1" si="1853"/>
        <v>1912309.7807442895</v>
      </c>
      <c r="BF1879" s="2">
        <f t="shared" ca="1" si="1854"/>
        <v>2199988.5273432643</v>
      </c>
      <c r="BG1879" s="2">
        <f t="shared" ca="1" si="1855"/>
        <v>2487959.3150099837</v>
      </c>
      <c r="BH1879" s="2">
        <f t="shared" ca="1" si="1856"/>
        <v>2796246.9215637292</v>
      </c>
      <c r="BI1879" s="2">
        <f t="shared" ca="1" si="1857"/>
        <v>35226560.764702581</v>
      </c>
      <c r="BJ1879" s="2">
        <f t="shared" ca="1" si="1858"/>
        <v>0.19379497996705974</v>
      </c>
      <c r="BK1879" s="2">
        <f t="shared" ca="1" si="1859"/>
        <v>6484473.8187678047</v>
      </c>
    </row>
    <row r="1880" spans="1:63" x14ac:dyDescent="0.3">
      <c r="A1880" s="2">
        <v>1879</v>
      </c>
      <c r="B1880" s="2">
        <f t="shared" ca="1" si="1798"/>
        <v>0.72025254478749567</v>
      </c>
      <c r="C1880" s="2">
        <f t="shared" ca="1" si="1799"/>
        <v>7.2520060759437888</v>
      </c>
      <c r="D1880" s="2">
        <f t="shared" ca="1" si="1800"/>
        <v>0.61219663423922832</v>
      </c>
      <c r="E1880" s="2">
        <f t="shared" ca="1" si="1801"/>
        <v>7.6193146239879175</v>
      </c>
      <c r="F1880" s="2">
        <f t="shared" ca="1" si="1802"/>
        <v>0.94937026154353821</v>
      </c>
      <c r="G1880" s="2">
        <f t="shared" ca="1" si="1803"/>
        <v>8.9163343694698638E-2</v>
      </c>
      <c r="H1880" s="2">
        <f t="shared" ca="1" si="1804"/>
        <v>8.9163343694698638E-2</v>
      </c>
      <c r="I1880" s="2">
        <f t="shared" ca="1" si="1805"/>
        <v>0.54175181893372426</v>
      </c>
      <c r="J1880" s="2">
        <f t="shared" ca="1" si="1806"/>
        <v>1.0524240373625159E-2</v>
      </c>
      <c r="K1880" s="2">
        <f t="shared" ca="1" si="1807"/>
        <v>1.0524240373625159E-2</v>
      </c>
      <c r="L1880" s="2">
        <f t="shared" ca="1" si="1808"/>
        <v>0.16049176430353485</v>
      </c>
      <c r="M1880" s="2">
        <f t="shared" ca="1" si="1809"/>
        <v>-1.9848775634822499E-2</v>
      </c>
      <c r="N1880" s="2">
        <f t="shared" ca="1" si="1810"/>
        <v>-1.9848775634822499E-2</v>
      </c>
      <c r="O1880" s="2">
        <f t="shared" si="1811"/>
        <v>6000000</v>
      </c>
      <c r="P1880" s="2">
        <f t="shared" ca="1" si="1812"/>
        <v>43512036.455662735</v>
      </c>
      <c r="Q1880" s="2">
        <f t="shared" ca="1" si="1813"/>
        <v>1087800.9113915684</v>
      </c>
      <c r="R1880" s="2">
        <f t="shared" ca="1" si="1814"/>
        <v>26107221.873397641</v>
      </c>
      <c r="S1880" s="2">
        <f t="shared" ca="1" si="1815"/>
        <v>17404814.582265094</v>
      </c>
      <c r="T1880" s="2">
        <f t="shared" ca="1" si="1816"/>
        <v>49007561.21825888</v>
      </c>
      <c r="U1880" s="2">
        <f t="shared" ca="1" si="1817"/>
        <v>53377239.24280148</v>
      </c>
      <c r="V1880" s="2">
        <f t="shared" ca="1" si="1818"/>
        <v>58136532.370881543</v>
      </c>
      <c r="W1880" s="2">
        <f t="shared" ca="1" si="1819"/>
        <v>63320179.987884425</v>
      </c>
      <c r="X1880" s="2">
        <f t="shared" ca="1" si="1820"/>
        <v>68966018.958954334</v>
      </c>
      <c r="Y1880" s="2">
        <f t="shared" ca="1" si="1821"/>
        <v>0.12526212018681257</v>
      </c>
      <c r="Z1880" s="2">
        <f t="shared" ca="1" si="1822"/>
        <v>0.12736696826153759</v>
      </c>
      <c r="AA1880" s="2">
        <f t="shared" ca="1" si="1823"/>
        <v>6138791.0233841185</v>
      </c>
      <c r="AB1880" s="2">
        <f t="shared" ca="1" si="1824"/>
        <v>6798497.1365263946</v>
      </c>
      <c r="AC1880" s="2">
        <f t="shared" ca="1" si="1825"/>
        <v>7404673.8733179225</v>
      </c>
      <c r="AD1880" s="2">
        <f t="shared" ca="1" si="1826"/>
        <v>8064899.3548317235</v>
      </c>
      <c r="AE1880" s="2">
        <f t="shared" ca="1" si="1827"/>
        <v>8783992.7478697374</v>
      </c>
      <c r="AF1880" s="2">
        <f t="shared" ca="1" si="1828"/>
        <v>980151.22436517756</v>
      </c>
      <c r="AG1880" s="2">
        <f t="shared" ca="1" si="1829"/>
        <v>1067544.7848560296</v>
      </c>
      <c r="AH1880" s="2">
        <f t="shared" ca="1" si="1830"/>
        <v>1162730.6474176308</v>
      </c>
      <c r="AI1880" s="2">
        <f t="shared" ca="1" si="1831"/>
        <v>1266403.5997576886</v>
      </c>
      <c r="AJ1880" s="2">
        <f t="shared" ca="1" si="1832"/>
        <v>1379320.3791790868</v>
      </c>
      <c r="AK1880" s="2">
        <f t="shared" ca="1" si="1833"/>
        <v>0</v>
      </c>
      <c r="AL1880" s="2">
        <f t="shared" ca="1" si="1834"/>
        <v>43696.780245426002</v>
      </c>
      <c r="AM1880" s="2">
        <f t="shared" ca="1" si="1835"/>
        <v>47592.931280800629</v>
      </c>
      <c r="AN1880" s="2">
        <f t="shared" ca="1" si="1836"/>
        <v>51836.476170028822</v>
      </c>
      <c r="AO1880" s="2">
        <f t="shared" ca="1" si="1837"/>
        <v>56458.389710699099</v>
      </c>
      <c r="AP1880" s="2">
        <f t="shared" ca="1" si="1838"/>
        <v>2349649.9686057875</v>
      </c>
      <c r="AQ1880" s="2">
        <f t="shared" ca="1" si="1839"/>
        <v>730337.35590741993</v>
      </c>
      <c r="AR1880" s="2">
        <f t="shared" ca="1" si="1840"/>
        <v>879138.61959679017</v>
      </c>
      <c r="AS1880" s="2">
        <f t="shared" ca="1" si="1841"/>
        <v>1011996.246896571</v>
      </c>
      <c r="AT1880" s="2">
        <f t="shared" ca="1" si="1842"/>
        <v>1156699.9044817444</v>
      </c>
      <c r="AU1880" s="2">
        <f t="shared" ca="1" si="1843"/>
        <v>1314305.8240220645</v>
      </c>
      <c r="AV1880" s="2">
        <f t="shared" ca="1" si="1844"/>
        <v>2078652.4745057337</v>
      </c>
      <c r="AW1880" s="2">
        <f t="shared" ca="1" si="1845"/>
        <v>2458466.9832223607</v>
      </c>
      <c r="AX1880" s="2">
        <f t="shared" ca="1" si="1846"/>
        <v>2832704.0791171314</v>
      </c>
      <c r="AY1880" s="2">
        <f t="shared" ca="1" si="1847"/>
        <v>3240309.4058164749</v>
      </c>
      <c r="AZ1880" s="2">
        <f t="shared" ca="1" si="1848"/>
        <v>3684258.1863520993</v>
      </c>
      <c r="BA1880" s="2">
        <f t="shared" ca="1" si="1849"/>
        <v>66928004.400847703</v>
      </c>
      <c r="BB1880" s="2">
        <f t="shared" ca="1" si="1850"/>
        <v>1338560.088016954</v>
      </c>
      <c r="BC1880" s="2">
        <f t="shared" ca="1" si="1851"/>
        <v>39482222.439433105</v>
      </c>
      <c r="BD1880" s="2">
        <f t="shared" ca="1" si="1852"/>
        <v>-18992615.493656661</v>
      </c>
      <c r="BE1880" s="2">
        <f t="shared" ca="1" si="1853"/>
        <v>2078652.4745057337</v>
      </c>
      <c r="BF1880" s="2">
        <f t="shared" ca="1" si="1854"/>
        <v>2458466.9832223607</v>
      </c>
      <c r="BG1880" s="2">
        <f t="shared" ca="1" si="1855"/>
        <v>2832704.0791171314</v>
      </c>
      <c r="BH1880" s="2">
        <f t="shared" ca="1" si="1856"/>
        <v>3240309.4058164749</v>
      </c>
      <c r="BI1880" s="2">
        <f t="shared" ca="1" si="1857"/>
        <v>43166480.625785202</v>
      </c>
      <c r="BJ1880" s="2">
        <f t="shared" ca="1" si="1858"/>
        <v>0.26780287212761289</v>
      </c>
      <c r="BK1880" s="2">
        <f t="shared" ca="1" si="1859"/>
        <v>13392557.435274415</v>
      </c>
    </row>
    <row r="1881" spans="1:63" x14ac:dyDescent="0.3">
      <c r="A1881" s="2">
        <v>1880</v>
      </c>
      <c r="B1881" s="2">
        <f t="shared" ca="1" si="1798"/>
        <v>0.26982887133182554</v>
      </c>
      <c r="C1881" s="2">
        <f t="shared" ca="1" si="1799"/>
        <v>6.7346140093026072</v>
      </c>
      <c r="D1881" s="2">
        <f t="shared" ca="1" si="1800"/>
        <v>0.28799842909853268</v>
      </c>
      <c r="E1881" s="2">
        <f t="shared" ca="1" si="1801"/>
        <v>7.2589445685931651</v>
      </c>
      <c r="F1881" s="2">
        <f t="shared" ca="1" si="1802"/>
        <v>0.54759019581361656</v>
      </c>
      <c r="G1881" s="2">
        <f t="shared" ca="1" si="1803"/>
        <v>4.3587258192663604E-2</v>
      </c>
      <c r="H1881" s="2">
        <f t="shared" ca="1" si="1804"/>
        <v>4.3587258192663604E-2</v>
      </c>
      <c r="I1881" s="2">
        <f t="shared" ca="1" si="1805"/>
        <v>0.29582728762625476</v>
      </c>
      <c r="J1881" s="2">
        <f t="shared" ca="1" si="1806"/>
        <v>7.317800596889008E-3</v>
      </c>
      <c r="K1881" s="2">
        <f t="shared" ca="1" si="1807"/>
        <v>7.317800596889008E-3</v>
      </c>
      <c r="L1881" s="2">
        <f t="shared" ca="1" si="1808"/>
        <v>0.12005123109135962</v>
      </c>
      <c r="M1881" s="2">
        <f t="shared" ca="1" si="1809"/>
        <v>-2.3494614539442633E-2</v>
      </c>
      <c r="N1881" s="2">
        <f t="shared" ca="1" si="1810"/>
        <v>-2.3494614539442633E-2</v>
      </c>
      <c r="O1881" s="2">
        <f t="shared" si="1811"/>
        <v>6000000</v>
      </c>
      <c r="P1881" s="2">
        <f t="shared" ca="1" si="1812"/>
        <v>40407684.055815645</v>
      </c>
      <c r="Q1881" s="2">
        <f t="shared" ca="1" si="1813"/>
        <v>1010192.1013953912</v>
      </c>
      <c r="R1881" s="2">
        <f t="shared" ca="1" si="1814"/>
        <v>24244610.433489386</v>
      </c>
      <c r="S1881" s="2">
        <f t="shared" ca="1" si="1815"/>
        <v>16163073.622326259</v>
      </c>
      <c r="T1881" s="2">
        <f t="shared" ca="1" si="1816"/>
        <v>48825269.273027867</v>
      </c>
      <c r="U1881" s="2">
        <f t="shared" ca="1" si="1817"/>
        <v>50953428.891157649</v>
      </c>
      <c r="V1881" s="2">
        <f t="shared" ca="1" si="1818"/>
        <v>53174349.15203806</v>
      </c>
      <c r="W1881" s="2">
        <f t="shared" ca="1" si="1819"/>
        <v>55492073.237754785</v>
      </c>
      <c r="X1881" s="2">
        <f t="shared" ca="1" si="1820"/>
        <v>57910820.561614998</v>
      </c>
      <c r="Y1881" s="2">
        <f t="shared" ca="1" si="1821"/>
        <v>0.12365890029844449</v>
      </c>
      <c r="Z1881" s="2">
        <f t="shared" ca="1" si="1822"/>
        <v>0.1251224604178223</v>
      </c>
      <c r="AA1881" s="2">
        <f t="shared" ca="1" si="1823"/>
        <v>6037679.1050780583</v>
      </c>
      <c r="AB1881" s="2">
        <f t="shared" ca="1" si="1824"/>
        <v>6375418.3895861963</v>
      </c>
      <c r="AC1881" s="2">
        <f t="shared" ca="1" si="1825"/>
        <v>6653305.3970193444</v>
      </c>
      <c r="AD1881" s="2">
        <f t="shared" ca="1" si="1826"/>
        <v>6943304.7371938685</v>
      </c>
      <c r="AE1881" s="2">
        <f t="shared" ca="1" si="1827"/>
        <v>7245944.3534842823</v>
      </c>
      <c r="AF1881" s="2">
        <f t="shared" ca="1" si="1828"/>
        <v>976505.38546055742</v>
      </c>
      <c r="AG1881" s="2">
        <f t="shared" ca="1" si="1829"/>
        <v>1019068.577823153</v>
      </c>
      <c r="AH1881" s="2">
        <f t="shared" ca="1" si="1830"/>
        <v>1063486.9830407612</v>
      </c>
      <c r="AI1881" s="2">
        <f t="shared" ca="1" si="1831"/>
        <v>1109841.4647550958</v>
      </c>
      <c r="AJ1881" s="2">
        <f t="shared" ca="1" si="1832"/>
        <v>1158216.4112322999</v>
      </c>
      <c r="AK1881" s="2">
        <f t="shared" ca="1" si="1833"/>
        <v>0</v>
      </c>
      <c r="AL1881" s="2">
        <f t="shared" ca="1" si="1834"/>
        <v>21281.596181297824</v>
      </c>
      <c r="AM1881" s="2">
        <f t="shared" ca="1" si="1835"/>
        <v>22209.202608804106</v>
      </c>
      <c r="AN1881" s="2">
        <f t="shared" ca="1" si="1836"/>
        <v>23177.240857167246</v>
      </c>
      <c r="AO1881" s="2">
        <f t="shared" ca="1" si="1837"/>
        <v>24187.473238602131</v>
      </c>
      <c r="AP1881" s="2">
        <f t="shared" ca="1" si="1838"/>
        <v>2182014.9390140446</v>
      </c>
      <c r="AQ1881" s="2">
        <f t="shared" ca="1" si="1839"/>
        <v>748581.28295689868</v>
      </c>
      <c r="AR1881" s="2">
        <f t="shared" ca="1" si="1840"/>
        <v>825327.06691473979</v>
      </c>
      <c r="AS1881" s="2">
        <f t="shared" ca="1" si="1841"/>
        <v>886028.90349078004</v>
      </c>
      <c r="AT1881" s="2">
        <f t="shared" ca="1" si="1842"/>
        <v>949376.56669042946</v>
      </c>
      <c r="AU1881" s="2">
        <f t="shared" ca="1" si="1843"/>
        <v>1015485.3808418638</v>
      </c>
      <c r="AV1881" s="2">
        <f t="shared" ca="1" si="1844"/>
        <v>2130577.4976465581</v>
      </c>
      <c r="AW1881" s="2">
        <f t="shared" ca="1" si="1845"/>
        <v>2327726.2096529612</v>
      </c>
      <c r="AX1881" s="2">
        <f t="shared" ca="1" si="1846"/>
        <v>2499565.3688649544</v>
      </c>
      <c r="AY1881" s="2">
        <f t="shared" ca="1" si="1847"/>
        <v>2678894.5258771321</v>
      </c>
      <c r="AZ1881" s="2">
        <f t="shared" ca="1" si="1848"/>
        <v>2866040.149157471</v>
      </c>
      <c r="BA1881" s="2">
        <f t="shared" ca="1" si="1849"/>
        <v>52597908.409053043</v>
      </c>
      <c r="BB1881" s="2">
        <f t="shared" ca="1" si="1850"/>
        <v>1051958.1681810608</v>
      </c>
      <c r="BC1881" s="2">
        <f t="shared" ca="1" si="1851"/>
        <v>27301339.807382595</v>
      </c>
      <c r="BD1881" s="2">
        <f t="shared" ca="1" si="1852"/>
        <v>-17673265.723721649</v>
      </c>
      <c r="BE1881" s="2">
        <f t="shared" ca="1" si="1853"/>
        <v>2130577.4976465581</v>
      </c>
      <c r="BF1881" s="2">
        <f t="shared" ca="1" si="1854"/>
        <v>2327726.2096529612</v>
      </c>
      <c r="BG1881" s="2">
        <f t="shared" ca="1" si="1855"/>
        <v>2499565.3688649544</v>
      </c>
      <c r="BH1881" s="2">
        <f t="shared" ca="1" si="1856"/>
        <v>2678894.5258771321</v>
      </c>
      <c r="BI1881" s="2">
        <f t="shared" ca="1" si="1857"/>
        <v>30167379.956540067</v>
      </c>
      <c r="BJ1881" s="2">
        <f t="shared" ca="1" si="1858"/>
        <v>0.20948041162922881</v>
      </c>
      <c r="BK1881" s="2">
        <f t="shared" ca="1" si="1859"/>
        <v>6684093.4094321579</v>
      </c>
    </row>
    <row r="1882" spans="1:63" x14ac:dyDescent="0.3">
      <c r="A1882" s="2">
        <v>1881</v>
      </c>
      <c r="B1882" s="2">
        <f t="shared" ca="1" si="1798"/>
        <v>0.43728301428347904</v>
      </c>
      <c r="C1882" s="2">
        <f t="shared" ca="1" si="1799"/>
        <v>6.9351823504359764</v>
      </c>
      <c r="D1882" s="2">
        <f t="shared" ca="1" si="1800"/>
        <v>0.95267447310268893</v>
      </c>
      <c r="E1882" s="2">
        <f t="shared" ca="1" si="1801"/>
        <v>8.1923458861080807</v>
      </c>
      <c r="F1882" s="2">
        <f t="shared" ca="1" si="1802"/>
        <v>0.47299899592542805</v>
      </c>
      <c r="G1882" s="2">
        <f t="shared" ca="1" si="1803"/>
        <v>3.7968002931227367E-2</v>
      </c>
      <c r="H1882" s="2">
        <f t="shared" ca="1" si="1804"/>
        <v>3.7968002931227367E-2</v>
      </c>
      <c r="I1882" s="2">
        <f t="shared" ca="1" si="1805"/>
        <v>0.3649446967870047</v>
      </c>
      <c r="J1882" s="2">
        <f t="shared" ca="1" si="1806"/>
        <v>8.2736366674870353E-3</v>
      </c>
      <c r="K1882" s="2">
        <f t="shared" ca="1" si="1807"/>
        <v>8.2736366674870353E-3</v>
      </c>
      <c r="L1882" s="2">
        <f t="shared" ca="1" si="1808"/>
        <v>0.63904410562335312</v>
      </c>
      <c r="M1882" s="2">
        <f t="shared" ca="1" si="1809"/>
        <v>7.1180979290676946E-3</v>
      </c>
      <c r="N1882" s="2">
        <f t="shared" ca="1" si="1810"/>
        <v>7.1180979290676946E-3</v>
      </c>
      <c r="O1882" s="2">
        <f t="shared" si="1811"/>
        <v>6000000</v>
      </c>
      <c r="P1882" s="2">
        <f t="shared" ca="1" si="1812"/>
        <v>41611094.102615856</v>
      </c>
      <c r="Q1882" s="2">
        <f t="shared" ca="1" si="1813"/>
        <v>1040277.3525653965</v>
      </c>
      <c r="R1882" s="2">
        <f t="shared" ca="1" si="1814"/>
        <v>24966656.461569514</v>
      </c>
      <c r="S1882" s="2">
        <f t="shared" ca="1" si="1815"/>
        <v>16644437.641046343</v>
      </c>
      <c r="T1882" s="2">
        <f t="shared" ca="1" si="1816"/>
        <v>50355904.896453388</v>
      </c>
      <c r="U1882" s="2">
        <f t="shared" ca="1" si="1817"/>
        <v>52267818.041166529</v>
      </c>
      <c r="V1882" s="2">
        <f t="shared" ca="1" si="1818"/>
        <v>54252322.709762394</v>
      </c>
      <c r="W1882" s="2">
        <f t="shared" ca="1" si="1819"/>
        <v>56312175.05743254</v>
      </c>
      <c r="X1882" s="2">
        <f t="shared" ca="1" si="1820"/>
        <v>58450235.885076918</v>
      </c>
      <c r="Y1882" s="2">
        <f t="shared" ca="1" si="1821"/>
        <v>0.12413681833374351</v>
      </c>
      <c r="Z1882" s="2">
        <f t="shared" ca="1" si="1822"/>
        <v>0.12579154566724093</v>
      </c>
      <c r="AA1882" s="2">
        <f t="shared" ca="1" si="1823"/>
        <v>6251021.8181622997</v>
      </c>
      <c r="AB1882" s="2">
        <f t="shared" ca="1" si="1824"/>
        <v>6574849.6200524392</v>
      </c>
      <c r="AC1882" s="2">
        <f t="shared" ca="1" si="1825"/>
        <v>6824483.5296989689</v>
      </c>
      <c r="AD1882" s="2">
        <f t="shared" ca="1" si="1826"/>
        <v>7083595.5403586915</v>
      </c>
      <c r="AE1882" s="2">
        <f t="shared" ca="1" si="1827"/>
        <v>7352545.5165986577</v>
      </c>
      <c r="AF1882" s="2">
        <f t="shared" ca="1" si="1828"/>
        <v>1007118.0979290678</v>
      </c>
      <c r="AG1882" s="2">
        <f t="shared" ca="1" si="1829"/>
        <v>1045356.3608233306</v>
      </c>
      <c r="AH1882" s="2">
        <f t="shared" ca="1" si="1830"/>
        <v>1085046.454195248</v>
      </c>
      <c r="AI1882" s="2">
        <f t="shared" ca="1" si="1831"/>
        <v>1126243.5011486509</v>
      </c>
      <c r="AJ1882" s="2">
        <f t="shared" ca="1" si="1832"/>
        <v>1169004.7177015385</v>
      </c>
      <c r="AK1882" s="2">
        <f t="shared" ca="1" si="1833"/>
        <v>0</v>
      </c>
      <c r="AL1882" s="2">
        <f t="shared" ca="1" si="1834"/>
        <v>19119.131447131411</v>
      </c>
      <c r="AM1882" s="2">
        <f t="shared" ca="1" si="1835"/>
        <v>19845.046685958656</v>
      </c>
      <c r="AN1882" s="2">
        <f t="shared" ca="1" si="1836"/>
        <v>20598.523476701455</v>
      </c>
      <c r="AO1882" s="2">
        <f t="shared" ca="1" si="1837"/>
        <v>21380.608276443782</v>
      </c>
      <c r="AP1882" s="2">
        <f t="shared" ca="1" si="1838"/>
        <v>2246999.081541256</v>
      </c>
      <c r="AQ1882" s="2">
        <f t="shared" ca="1" si="1839"/>
        <v>779195.20605991373</v>
      </c>
      <c r="AR1882" s="2">
        <f t="shared" ca="1" si="1840"/>
        <v>853448.48619884171</v>
      </c>
      <c r="AS1882" s="2">
        <f t="shared" ca="1" si="1841"/>
        <v>908033.8784302409</v>
      </c>
      <c r="AT1882" s="2">
        <f t="shared" ca="1" si="1842"/>
        <v>964691.76899388386</v>
      </c>
      <c r="AU1882" s="2">
        <f t="shared" ca="1" si="1843"/>
        <v>1023500.8465125244</v>
      </c>
      <c r="AV1882" s="2">
        <f t="shared" ca="1" si="1844"/>
        <v>2217709.4326320617</v>
      </c>
      <c r="AW1882" s="2">
        <f t="shared" ca="1" si="1845"/>
        <v>2409926.5600418793</v>
      </c>
      <c r="AX1882" s="2">
        <f t="shared" ca="1" si="1846"/>
        <v>2564559.0688462658</v>
      </c>
      <c r="AY1882" s="2">
        <f t="shared" ca="1" si="1847"/>
        <v>2725062.6651981985</v>
      </c>
      <c r="AZ1882" s="2">
        <f t="shared" ca="1" si="1848"/>
        <v>2891660.2625668952</v>
      </c>
      <c r="BA1882" s="2">
        <f t="shared" ca="1" si="1849"/>
        <v>60234596.015329428</v>
      </c>
      <c r="BB1882" s="2">
        <f t="shared" ca="1" si="1850"/>
        <v>1204691.9203065885</v>
      </c>
      <c r="BC1882" s="2">
        <f t="shared" ca="1" si="1851"/>
        <v>34063247.633453332</v>
      </c>
      <c r="BD1882" s="2">
        <f t="shared" ca="1" si="1852"/>
        <v>-18184714.993611738</v>
      </c>
      <c r="BE1882" s="2">
        <f t="shared" ca="1" si="1853"/>
        <v>2217709.4326320617</v>
      </c>
      <c r="BF1882" s="2">
        <f t="shared" ca="1" si="1854"/>
        <v>2409926.5600418793</v>
      </c>
      <c r="BG1882" s="2">
        <f t="shared" ca="1" si="1855"/>
        <v>2564559.0688462658</v>
      </c>
      <c r="BH1882" s="2">
        <f t="shared" ca="1" si="1856"/>
        <v>2725062.6651981985</v>
      </c>
      <c r="BI1882" s="2">
        <f t="shared" ca="1" si="1857"/>
        <v>36954907.896020226</v>
      </c>
      <c r="BJ1882" s="2">
        <f t="shared" ca="1" si="1858"/>
        <v>0.24448747083329114</v>
      </c>
      <c r="BK1882" s="2">
        <f t="shared" ca="1" si="1859"/>
        <v>10242997.681992657</v>
      </c>
    </row>
    <row r="1883" spans="1:63" x14ac:dyDescent="0.3">
      <c r="A1883" s="2">
        <v>1882</v>
      </c>
      <c r="B1883" s="2">
        <f t="shared" ca="1" si="1798"/>
        <v>0.54986336326229324</v>
      </c>
      <c r="C1883" s="2">
        <f t="shared" ca="1" si="1799"/>
        <v>7.0511726851131371</v>
      </c>
      <c r="D1883" s="2">
        <f t="shared" ca="1" si="1800"/>
        <v>0.5612559452940511</v>
      </c>
      <c r="E1883" s="2">
        <f t="shared" ca="1" si="1801"/>
        <v>7.5632566469881422</v>
      </c>
      <c r="F1883" s="2">
        <f t="shared" ca="1" si="1802"/>
        <v>0.57911312808323334</v>
      </c>
      <c r="G1883" s="2">
        <f t="shared" ca="1" si="1803"/>
        <v>4.5988754997809446E-2</v>
      </c>
      <c r="H1883" s="2">
        <f t="shared" ca="1" si="1804"/>
        <v>4.5988754997809446E-2</v>
      </c>
      <c r="I1883" s="2">
        <f t="shared" ca="1" si="1805"/>
        <v>0.31956433450728139</v>
      </c>
      <c r="J1883" s="2">
        <f t="shared" ca="1" si="1806"/>
        <v>7.6554129336555768E-3</v>
      </c>
      <c r="K1883" s="2">
        <f t="shared" ca="1" si="1807"/>
        <v>7.6554129336555768E-3</v>
      </c>
      <c r="L1883" s="2">
        <f t="shared" ca="1" si="1808"/>
        <v>8.7858239122224013E-2</v>
      </c>
      <c r="M1883" s="2">
        <f t="shared" ca="1" si="1809"/>
        <v>-2.7081247525224655E-2</v>
      </c>
      <c r="N1883" s="2">
        <f t="shared" ca="1" si="1810"/>
        <v>-2.7081247525224655E-2</v>
      </c>
      <c r="O1883" s="2">
        <f t="shared" si="1811"/>
        <v>6000000</v>
      </c>
      <c r="P1883" s="2">
        <f t="shared" ca="1" si="1812"/>
        <v>42307036.110678822</v>
      </c>
      <c r="Q1883" s="2">
        <f t="shared" ca="1" si="1813"/>
        <v>1057675.9027669707</v>
      </c>
      <c r="R1883" s="2">
        <f t="shared" ca="1" si="1814"/>
        <v>25384221.666407291</v>
      </c>
      <c r="S1883" s="2">
        <f t="shared" ca="1" si="1815"/>
        <v>16922814.444271531</v>
      </c>
      <c r="T1883" s="2">
        <f t="shared" ca="1" si="1816"/>
        <v>48645937.623738766</v>
      </c>
      <c r="U1883" s="2">
        <f t="shared" ca="1" si="1817"/>
        <v>50883103.730755612</v>
      </c>
      <c r="V1883" s="2">
        <f t="shared" ca="1" si="1818"/>
        <v>53223154.321757458</v>
      </c>
      <c r="W1883" s="2">
        <f t="shared" ca="1" si="1819"/>
        <v>55670820.926071368</v>
      </c>
      <c r="X1883" s="2">
        <f t="shared" ca="1" si="1820"/>
        <v>58231052.670167394</v>
      </c>
      <c r="Y1883" s="2">
        <f t="shared" ca="1" si="1821"/>
        <v>0.12382770646682778</v>
      </c>
      <c r="Z1883" s="2">
        <f t="shared" ca="1" si="1822"/>
        <v>0.12535878905355891</v>
      </c>
      <c r="AA1883" s="2">
        <f t="shared" ca="1" si="1823"/>
        <v>6023714.8848759374</v>
      </c>
      <c r="AB1883" s="2">
        <f t="shared" ca="1" si="1824"/>
        <v>6378644.2669741493</v>
      </c>
      <c r="AC1883" s="2">
        <f t="shared" ca="1" si="1825"/>
        <v>6671990.1753862053</v>
      </c>
      <c r="AD1883" s="2">
        <f t="shared" ca="1" si="1826"/>
        <v>6978826.6969098337</v>
      </c>
      <c r="AE1883" s="2">
        <f t="shared" ca="1" si="1827"/>
        <v>7299774.2480461923</v>
      </c>
      <c r="AF1883" s="2">
        <f t="shared" ca="1" si="1828"/>
        <v>972918.75247477531</v>
      </c>
      <c r="AG1883" s="2">
        <f t="shared" ca="1" si="1829"/>
        <v>1017662.0746151123</v>
      </c>
      <c r="AH1883" s="2">
        <f t="shared" ca="1" si="1830"/>
        <v>1064463.0864351492</v>
      </c>
      <c r="AI1883" s="2">
        <f t="shared" ca="1" si="1831"/>
        <v>1113416.4185214273</v>
      </c>
      <c r="AJ1883" s="2">
        <f t="shared" ca="1" si="1832"/>
        <v>1164621.053403348</v>
      </c>
      <c r="AK1883" s="2">
        <f t="shared" ca="1" si="1833"/>
        <v>0</v>
      </c>
      <c r="AL1883" s="2">
        <f t="shared" ca="1" si="1834"/>
        <v>22371.661070168466</v>
      </c>
      <c r="AM1883" s="2">
        <f t="shared" ca="1" si="1835"/>
        <v>23400.505910018459</v>
      </c>
      <c r="AN1883" s="2">
        <f t="shared" ca="1" si="1836"/>
        <v>24476.666043139099</v>
      </c>
      <c r="AO1883" s="2">
        <f t="shared" ca="1" si="1837"/>
        <v>25602.317440960258</v>
      </c>
      <c r="AP1883" s="2">
        <f t="shared" ca="1" si="1838"/>
        <v>2284579.9499766561</v>
      </c>
      <c r="AQ1883" s="2">
        <f t="shared" ca="1" si="1839"/>
        <v>719216.20743037155</v>
      </c>
      <c r="AR1883" s="2">
        <f t="shared" ca="1" si="1840"/>
        <v>799864.58301941899</v>
      </c>
      <c r="AS1883" s="2">
        <f t="shared" ca="1" si="1841"/>
        <v>863966.25613334402</v>
      </c>
      <c r="AT1883" s="2">
        <f t="shared" ca="1" si="1842"/>
        <v>931015.88538705499</v>
      </c>
      <c r="AU1883" s="2">
        <f t="shared" ca="1" si="1843"/>
        <v>1001149.043613209</v>
      </c>
      <c r="AV1883" s="2">
        <f t="shared" ca="1" si="1844"/>
        <v>2046999.9749941346</v>
      </c>
      <c r="AW1883" s="2">
        <f t="shared" ca="1" si="1845"/>
        <v>2254165.998292794</v>
      </c>
      <c r="AX1883" s="2">
        <f t="shared" ca="1" si="1846"/>
        <v>2435580.3769310373</v>
      </c>
      <c r="AY1883" s="2">
        <f t="shared" ca="1" si="1847"/>
        <v>2625337.7769815563</v>
      </c>
      <c r="AZ1883" s="2">
        <f t="shared" ca="1" si="1848"/>
        <v>2823821.8836120185</v>
      </c>
      <c r="BA1883" s="2">
        <f t="shared" ca="1" si="1849"/>
        <v>55210066.103048228</v>
      </c>
      <c r="BB1883" s="2">
        <f t="shared" ca="1" si="1850"/>
        <v>1104201.3220609645</v>
      </c>
      <c r="BC1883" s="2">
        <f t="shared" ca="1" si="1851"/>
        <v>28721643.114579972</v>
      </c>
      <c r="BD1883" s="2">
        <f t="shared" ca="1" si="1852"/>
        <v>-18480490.3470385</v>
      </c>
      <c r="BE1883" s="2">
        <f t="shared" ca="1" si="1853"/>
        <v>2046999.9749941346</v>
      </c>
      <c r="BF1883" s="2">
        <f t="shared" ca="1" si="1854"/>
        <v>2254165.998292794</v>
      </c>
      <c r="BG1883" s="2">
        <f t="shared" ca="1" si="1855"/>
        <v>2435580.3769310373</v>
      </c>
      <c r="BH1883" s="2">
        <f t="shared" ca="1" si="1856"/>
        <v>2625337.7769815563</v>
      </c>
      <c r="BI1883" s="2">
        <f t="shared" ca="1" si="1857"/>
        <v>31545464.99819199</v>
      </c>
      <c r="BJ1883" s="2">
        <f t="shared" ca="1" si="1858"/>
        <v>0.20223633145946818</v>
      </c>
      <c r="BK1883" s="2">
        <f t="shared" ca="1" si="1859"/>
        <v>6445987.1744436957</v>
      </c>
    </row>
    <row r="1884" spans="1:63" x14ac:dyDescent="0.3">
      <c r="A1884" s="2">
        <v>1883</v>
      </c>
      <c r="B1884" s="2">
        <f t="shared" ca="1" si="1798"/>
        <v>0.67845886840104153</v>
      </c>
      <c r="C1884" s="2">
        <f t="shared" ca="1" si="1799"/>
        <v>7.1980758993533636</v>
      </c>
      <c r="D1884" s="2">
        <f t="shared" ca="1" si="1800"/>
        <v>3.638390560546767E-2</v>
      </c>
      <c r="E1884" s="2">
        <f t="shared" ca="1" si="1801"/>
        <v>6.7697550948748422</v>
      </c>
      <c r="F1884" s="2">
        <f t="shared" ca="1" si="1802"/>
        <v>0.65278149907456406</v>
      </c>
      <c r="G1884" s="2">
        <f t="shared" ca="1" si="1803"/>
        <v>5.1785226693839885E-2</v>
      </c>
      <c r="H1884" s="2">
        <f t="shared" ca="1" si="1804"/>
        <v>5.1785226693839885E-2</v>
      </c>
      <c r="I1884" s="2">
        <f t="shared" ca="1" si="1805"/>
        <v>0.19076725761049684</v>
      </c>
      <c r="J1884" s="2">
        <f t="shared" ca="1" si="1806"/>
        <v>5.6246380168353365E-3</v>
      </c>
      <c r="K1884" s="2">
        <f t="shared" ca="1" si="1807"/>
        <v>5.6246380168353365E-3</v>
      </c>
      <c r="L1884" s="2">
        <f t="shared" ca="1" si="1808"/>
        <v>0.51619854053903425</v>
      </c>
      <c r="M1884" s="2">
        <f t="shared" ca="1" si="1809"/>
        <v>8.1229766268163734E-4</v>
      </c>
      <c r="N1884" s="2">
        <f t="shared" ca="1" si="1810"/>
        <v>8.1229766268163734E-4</v>
      </c>
      <c r="O1884" s="2">
        <f t="shared" si="1811"/>
        <v>6000000</v>
      </c>
      <c r="P1884" s="2">
        <f t="shared" ca="1" si="1812"/>
        <v>43188455.396120183</v>
      </c>
      <c r="Q1884" s="2">
        <f t="shared" ca="1" si="1813"/>
        <v>1079711.3849030046</v>
      </c>
      <c r="R1884" s="2">
        <f t="shared" ca="1" si="1814"/>
        <v>25913073.237672109</v>
      </c>
      <c r="S1884" s="2">
        <f t="shared" ca="1" si="1815"/>
        <v>17275382.158448074</v>
      </c>
      <c r="T1884" s="2">
        <f t="shared" ca="1" si="1816"/>
        <v>50040614.883134082</v>
      </c>
      <c r="U1884" s="2">
        <f t="shared" ca="1" si="1817"/>
        <v>52631979.468756318</v>
      </c>
      <c r="V1884" s="2">
        <f t="shared" ca="1" si="1818"/>
        <v>55357538.456891388</v>
      </c>
      <c r="W1884" s="2">
        <f t="shared" ca="1" si="1819"/>
        <v>58224241.135094471</v>
      </c>
      <c r="X1884" s="2">
        <f t="shared" ca="1" si="1820"/>
        <v>61239396.661352135</v>
      </c>
      <c r="Y1884" s="2">
        <f t="shared" ca="1" si="1821"/>
        <v>0.12281231900841766</v>
      </c>
      <c r="Z1884" s="2">
        <f t="shared" ca="1" si="1822"/>
        <v>0.12393724661178473</v>
      </c>
      <c r="AA1884" s="2">
        <f t="shared" ca="1" si="1823"/>
        <v>6145603.9584048353</v>
      </c>
      <c r="AB1884" s="2">
        <f t="shared" ca="1" si="1824"/>
        <v>6523062.6190856425</v>
      </c>
      <c r="AC1884" s="2">
        <f t="shared" ca="1" si="1825"/>
        <v>6860860.8955531055</v>
      </c>
      <c r="AD1884" s="2">
        <f t="shared" ca="1" si="1826"/>
        <v>7216152.1323442245</v>
      </c>
      <c r="AE1884" s="2">
        <f t="shared" ca="1" si="1827"/>
        <v>7589842.206374906</v>
      </c>
      <c r="AF1884" s="2">
        <f t="shared" ca="1" si="1828"/>
        <v>1000812.2976626817</v>
      </c>
      <c r="AG1884" s="2">
        <f t="shared" ca="1" si="1829"/>
        <v>1052639.5893751264</v>
      </c>
      <c r="AH1884" s="2">
        <f t="shared" ca="1" si="1830"/>
        <v>1107150.7691378277</v>
      </c>
      <c r="AI1884" s="2">
        <f t="shared" ca="1" si="1831"/>
        <v>1164484.8227018896</v>
      </c>
      <c r="AJ1884" s="2">
        <f t="shared" ca="1" si="1832"/>
        <v>1224787.9332270427</v>
      </c>
      <c r="AK1884" s="2">
        <f t="shared" ca="1" si="1833"/>
        <v>0</v>
      </c>
      <c r="AL1884" s="2">
        <f t="shared" ca="1" si="1834"/>
        <v>25913.645856222363</v>
      </c>
      <c r="AM1884" s="2">
        <f t="shared" ca="1" si="1835"/>
        <v>27255.589881350697</v>
      </c>
      <c r="AN1884" s="2">
        <f t="shared" ca="1" si="1836"/>
        <v>28667.026782030836</v>
      </c>
      <c r="AO1884" s="2">
        <f t="shared" ca="1" si="1837"/>
        <v>30151.55526257664</v>
      </c>
      <c r="AP1884" s="2">
        <f t="shared" ca="1" si="1838"/>
        <v>2332176.5913904896</v>
      </c>
      <c r="AQ1884" s="2">
        <f t="shared" ca="1" si="1839"/>
        <v>731279.91803143267</v>
      </c>
      <c r="AR1884" s="2">
        <f t="shared" ca="1" si="1840"/>
        <v>815944.07396320696</v>
      </c>
      <c r="AS1884" s="2">
        <f t="shared" ca="1" si="1841"/>
        <v>889598.71910644497</v>
      </c>
      <c r="AT1884" s="2">
        <f t="shared" ca="1" si="1842"/>
        <v>967067.58674547996</v>
      </c>
      <c r="AU1884" s="2">
        <f t="shared" ca="1" si="1843"/>
        <v>1048548.1972569173</v>
      </c>
      <c r="AV1884" s="2">
        <f t="shared" ca="1" si="1844"/>
        <v>2081335.1513202311</v>
      </c>
      <c r="AW1884" s="2">
        <f t="shared" ca="1" si="1845"/>
        <v>2296388.7185005974</v>
      </c>
      <c r="AX1884" s="2">
        <f t="shared" ca="1" si="1846"/>
        <v>2504679.2260369929</v>
      </c>
      <c r="AY1884" s="2">
        <f t="shared" ca="1" si="1847"/>
        <v>2723756.1047243346</v>
      </c>
      <c r="AZ1884" s="2">
        <f t="shared" ca="1" si="1848"/>
        <v>2954177.9292378798</v>
      </c>
      <c r="BA1884" s="2">
        <f t="shared" ca="1" si="1849"/>
        <v>51381372.945902631</v>
      </c>
      <c r="BB1884" s="2">
        <f t="shared" ca="1" si="1850"/>
        <v>1027627.4589180526</v>
      </c>
      <c r="BC1884" s="2">
        <f t="shared" ca="1" si="1851"/>
        <v>24440672.249312468</v>
      </c>
      <c r="BD1884" s="2">
        <f t="shared" ca="1" si="1852"/>
        <v>-18855093.54335108</v>
      </c>
      <c r="BE1884" s="2">
        <f t="shared" ca="1" si="1853"/>
        <v>2081335.1513202311</v>
      </c>
      <c r="BF1884" s="2">
        <f t="shared" ca="1" si="1854"/>
        <v>2296388.7185005974</v>
      </c>
      <c r="BG1884" s="2">
        <f t="shared" ca="1" si="1855"/>
        <v>2504679.2260369929</v>
      </c>
      <c r="BH1884" s="2">
        <f t="shared" ca="1" si="1856"/>
        <v>2723756.1047243346</v>
      </c>
      <c r="BI1884" s="2">
        <f t="shared" ca="1" si="1857"/>
        <v>27394850.178550348</v>
      </c>
      <c r="BJ1884" s="2">
        <f t="shared" ca="1" si="1858"/>
        <v>0.17171214201531027</v>
      </c>
      <c r="BK1884" s="2">
        <f t="shared" ca="1" si="1859"/>
        <v>3892259.5856672302</v>
      </c>
    </row>
    <row r="1885" spans="1:63" x14ac:dyDescent="0.3">
      <c r="A1885" s="2">
        <v>1884</v>
      </c>
      <c r="B1885" s="2">
        <f t="shared" ca="1" si="1798"/>
        <v>0.58232748620777341</v>
      </c>
      <c r="C1885" s="2">
        <f t="shared" ca="1" si="1799"/>
        <v>7.0860278846789395</v>
      </c>
      <c r="D1885" s="2">
        <f t="shared" ca="1" si="1800"/>
        <v>0.76792660225458631</v>
      </c>
      <c r="E1885" s="2">
        <f t="shared" ca="1" si="1801"/>
        <v>7.8187168022834941</v>
      </c>
      <c r="F1885" s="2">
        <f t="shared" ca="1" si="1802"/>
        <v>0.83491720100995248</v>
      </c>
      <c r="G1885" s="2">
        <f t="shared" ca="1" si="1803"/>
        <v>6.9213411331435243E-2</v>
      </c>
      <c r="H1885" s="2">
        <f t="shared" ca="1" si="1804"/>
        <v>6.9213411331435243E-2</v>
      </c>
      <c r="I1885" s="2">
        <f t="shared" ca="1" si="1805"/>
        <v>0.38615894584208621</v>
      </c>
      <c r="J1885" s="2">
        <f t="shared" ca="1" si="1806"/>
        <v>8.5532783484901058E-3</v>
      </c>
      <c r="K1885" s="2">
        <f t="shared" ca="1" si="1807"/>
        <v>8.5532783484901058E-3</v>
      </c>
      <c r="L1885" s="2">
        <f t="shared" ca="1" si="1808"/>
        <v>0.35467684075999262</v>
      </c>
      <c r="M1885" s="2">
        <f t="shared" ca="1" si="1809"/>
        <v>-7.4544851217806388E-3</v>
      </c>
      <c r="N1885" s="2">
        <f t="shared" ca="1" si="1810"/>
        <v>-7.4544851217806388E-3</v>
      </c>
      <c r="O1885" s="2">
        <f t="shared" si="1811"/>
        <v>6000000</v>
      </c>
      <c r="P1885" s="2">
        <f t="shared" ca="1" si="1812"/>
        <v>42516167.30807364</v>
      </c>
      <c r="Q1885" s="2">
        <f t="shared" ca="1" si="1813"/>
        <v>1062904.182701841</v>
      </c>
      <c r="R1885" s="2">
        <f t="shared" ca="1" si="1814"/>
        <v>25509700.384844184</v>
      </c>
      <c r="S1885" s="2">
        <f t="shared" ca="1" si="1815"/>
        <v>17006466.923229456</v>
      </c>
      <c r="T1885" s="2">
        <f t="shared" ca="1" si="1816"/>
        <v>49627275.743910968</v>
      </c>
      <c r="U1885" s="2">
        <f t="shared" ca="1" si="1817"/>
        <v>53062148.793232843</v>
      </c>
      <c r="V1885" s="2">
        <f t="shared" ca="1" si="1818"/>
        <v>56734761.123788692</v>
      </c>
      <c r="W1885" s="2">
        <f t="shared" ca="1" si="1819"/>
        <v>60661567.482240207</v>
      </c>
      <c r="X1885" s="2">
        <f t="shared" ca="1" si="1820"/>
        <v>64860161.504398122</v>
      </c>
      <c r="Y1885" s="2">
        <f t="shared" ca="1" si="1821"/>
        <v>0.12427663917424504</v>
      </c>
      <c r="Z1885" s="2">
        <f t="shared" ca="1" si="1822"/>
        <v>0.12598729484394308</v>
      </c>
      <c r="AA1885" s="2">
        <f t="shared" ca="1" si="1823"/>
        <v>6167511.0408267863</v>
      </c>
      <c r="AB1885" s="2">
        <f t="shared" ca="1" si="1824"/>
        <v>6685156.5850662049</v>
      </c>
      <c r="AC1885" s="2">
        <f t="shared" ca="1" si="1825"/>
        <v>7147859.0776034454</v>
      </c>
      <c r="AD1885" s="2">
        <f t="shared" ca="1" si="1826"/>
        <v>7642586.7880807472</v>
      </c>
      <c r="AE1885" s="2">
        <f t="shared" ca="1" si="1827"/>
        <v>8171556.2910803733</v>
      </c>
      <c r="AF1885" s="2">
        <f t="shared" ca="1" si="1828"/>
        <v>992545.51487821934</v>
      </c>
      <c r="AG1885" s="2">
        <f t="shared" ca="1" si="1829"/>
        <v>1061242.975864657</v>
      </c>
      <c r="AH1885" s="2">
        <f t="shared" ca="1" si="1830"/>
        <v>1134695.2224757739</v>
      </c>
      <c r="AI1885" s="2">
        <f t="shared" ca="1" si="1831"/>
        <v>1213231.3496448041</v>
      </c>
      <c r="AJ1885" s="2">
        <f t="shared" ca="1" si="1832"/>
        <v>1297203.2300879625</v>
      </c>
      <c r="AK1885" s="2">
        <f t="shared" ca="1" si="1833"/>
        <v>0</v>
      </c>
      <c r="AL1885" s="2">
        <f t="shared" ca="1" si="1834"/>
        <v>34348.730493218747</v>
      </c>
      <c r="AM1885" s="2">
        <f t="shared" ca="1" si="1835"/>
        <v>36726.123305558489</v>
      </c>
      <c r="AN1885" s="2">
        <f t="shared" ca="1" si="1836"/>
        <v>39268.063584515156</v>
      </c>
      <c r="AO1885" s="2">
        <f t="shared" ca="1" si="1837"/>
        <v>41985.940221579149</v>
      </c>
      <c r="AP1885" s="2">
        <f t="shared" ca="1" si="1838"/>
        <v>2295873.0346359764</v>
      </c>
      <c r="AQ1885" s="2">
        <f t="shared" ca="1" si="1839"/>
        <v>748564.04774127365</v>
      </c>
      <c r="AR1885" s="2">
        <f t="shared" ca="1" si="1840"/>
        <v>865290.54938704858</v>
      </c>
      <c r="AS1885" s="2">
        <f t="shared" ca="1" si="1841"/>
        <v>966495.61332784081</v>
      </c>
      <c r="AT1885" s="2">
        <f t="shared" ca="1" si="1842"/>
        <v>1074705.4249879913</v>
      </c>
      <c r="AU1885" s="2">
        <f t="shared" ca="1" si="1843"/>
        <v>1190404.8068526729</v>
      </c>
      <c r="AV1885" s="2">
        <f t="shared" ca="1" si="1844"/>
        <v>2130528.4435713175</v>
      </c>
      <c r="AW1885" s="2">
        <f t="shared" ca="1" si="1845"/>
        <v>2428401.2946853037</v>
      </c>
      <c r="AX1885" s="2">
        <f t="shared" ca="1" si="1846"/>
        <v>2714069.0838582958</v>
      </c>
      <c r="AY1885" s="2">
        <f t="shared" ca="1" si="1847"/>
        <v>3019508.9152274602</v>
      </c>
      <c r="AZ1885" s="2">
        <f t="shared" ca="1" si="1848"/>
        <v>3346089.279282182</v>
      </c>
      <c r="BA1885" s="2">
        <f t="shared" ca="1" si="1849"/>
        <v>63891084.473875508</v>
      </c>
      <c r="BB1885" s="2">
        <f t="shared" ca="1" si="1850"/>
        <v>1277821.6894775103</v>
      </c>
      <c r="BC1885" s="2">
        <f t="shared" ca="1" si="1851"/>
        <v>37103562.399553813</v>
      </c>
      <c r="BD1885" s="2">
        <f t="shared" ca="1" si="1852"/>
        <v>-18569371.105931297</v>
      </c>
      <c r="BE1885" s="2">
        <f t="shared" ca="1" si="1853"/>
        <v>2130528.4435713175</v>
      </c>
      <c r="BF1885" s="2">
        <f t="shared" ca="1" si="1854"/>
        <v>2428401.2946853037</v>
      </c>
      <c r="BG1885" s="2">
        <f t="shared" ca="1" si="1855"/>
        <v>2714069.0838582958</v>
      </c>
      <c r="BH1885" s="2">
        <f t="shared" ca="1" si="1856"/>
        <v>3019508.9152274602</v>
      </c>
      <c r="BI1885" s="2">
        <f t="shared" ca="1" si="1857"/>
        <v>40449651.678835995</v>
      </c>
      <c r="BJ1885" s="2">
        <f t="shared" ca="1" si="1858"/>
        <v>0.25906875882725355</v>
      </c>
      <c r="BK1885" s="2">
        <f t="shared" ca="1" si="1859"/>
        <v>12071785.012989212</v>
      </c>
    </row>
    <row r="1886" spans="1:63" x14ac:dyDescent="0.3">
      <c r="A1886" s="2">
        <v>1885</v>
      </c>
      <c r="B1886" s="2">
        <f t="shared" ca="1" si="1798"/>
        <v>0.27560363638486984</v>
      </c>
      <c r="C1886" s="2">
        <f t="shared" ca="1" si="1799"/>
        <v>6.7424333456747076</v>
      </c>
      <c r="D1886" s="2">
        <f t="shared" ca="1" si="1800"/>
        <v>0.2518468855643754</v>
      </c>
      <c r="E1886" s="2">
        <f t="shared" ca="1" si="1801"/>
        <v>7.2097138656731676</v>
      </c>
      <c r="F1886" s="2">
        <f t="shared" ca="1" si="1802"/>
        <v>0.14337386266727847</v>
      </c>
      <c r="G1886" s="2">
        <f t="shared" ca="1" si="1803"/>
        <v>8.0414995180532328E-3</v>
      </c>
      <c r="H1886" s="2">
        <f t="shared" ca="1" si="1804"/>
        <v>8.0414995180532328E-3</v>
      </c>
      <c r="I1886" s="2">
        <f t="shared" ca="1" si="1805"/>
        <v>0.42649887798363695</v>
      </c>
      <c r="J1886" s="2">
        <f t="shared" ca="1" si="1806"/>
        <v>9.0735256146801373E-3</v>
      </c>
      <c r="K1886" s="2">
        <f t="shared" ca="1" si="1807"/>
        <v>9.0735256146801373E-3</v>
      </c>
      <c r="L1886" s="2">
        <f t="shared" ca="1" si="1808"/>
        <v>0.1580472529713951</v>
      </c>
      <c r="M1886" s="2">
        <f t="shared" ca="1" si="1809"/>
        <v>-2.0050317388542745E-2</v>
      </c>
      <c r="N1886" s="2">
        <f t="shared" ca="1" si="1810"/>
        <v>-2.0050317388542745E-2</v>
      </c>
      <c r="O1886" s="2">
        <f t="shared" si="1811"/>
        <v>6000000</v>
      </c>
      <c r="P1886" s="2">
        <f t="shared" ca="1" si="1812"/>
        <v>40454600.074048243</v>
      </c>
      <c r="Q1886" s="2">
        <f t="shared" ca="1" si="1813"/>
        <v>1011365.0018512062</v>
      </c>
      <c r="R1886" s="2">
        <f t="shared" ca="1" si="1814"/>
        <v>24272760.044428945</v>
      </c>
      <c r="S1886" s="2">
        <f t="shared" ca="1" si="1815"/>
        <v>16181840.029619299</v>
      </c>
      <c r="T1886" s="2">
        <f t="shared" ca="1" si="1816"/>
        <v>48997484.130572863</v>
      </c>
      <c r="U1886" s="2">
        <f t="shared" ca="1" si="1817"/>
        <v>49391497.37559469</v>
      </c>
      <c r="V1886" s="2">
        <f t="shared" ca="1" si="1818"/>
        <v>49788679.077936471</v>
      </c>
      <c r="W1886" s="2">
        <f t="shared" ca="1" si="1819"/>
        <v>50189054.716746211</v>
      </c>
      <c r="X1886" s="2">
        <f t="shared" ca="1" si="1820"/>
        <v>50592649.976062477</v>
      </c>
      <c r="Y1886" s="2">
        <f t="shared" ca="1" si="1821"/>
        <v>0.12453676280734007</v>
      </c>
      <c r="Z1886" s="2">
        <f t="shared" ca="1" si="1822"/>
        <v>0.1263514679302761</v>
      </c>
      <c r="AA1886" s="2">
        <f t="shared" ca="1" si="1823"/>
        <v>6101988.0593255619</v>
      </c>
      <c r="AB1886" s="2">
        <f t="shared" ca="1" si="1824"/>
        <v>6240688.1966807684</v>
      </c>
      <c r="AC1886" s="2">
        <f t="shared" ca="1" si="1825"/>
        <v>6290872.6878066985</v>
      </c>
      <c r="AD1886" s="2">
        <f t="shared" ca="1" si="1826"/>
        <v>6341460.7374938317</v>
      </c>
      <c r="AE1886" s="2">
        <f t="shared" ca="1" si="1827"/>
        <v>6392455.5909581417</v>
      </c>
      <c r="AF1886" s="2">
        <f t="shared" ca="1" si="1828"/>
        <v>979949.68261145731</v>
      </c>
      <c r="AG1886" s="2">
        <f t="shared" ca="1" si="1829"/>
        <v>987829.94751189381</v>
      </c>
      <c r="AH1886" s="2">
        <f t="shared" ca="1" si="1830"/>
        <v>995773.58155872941</v>
      </c>
      <c r="AI1886" s="2">
        <f t="shared" ca="1" si="1831"/>
        <v>1003781.0943349242</v>
      </c>
      <c r="AJ1886" s="2">
        <f t="shared" ca="1" si="1832"/>
        <v>1011852.9995212496</v>
      </c>
      <c r="AK1886" s="2">
        <f t="shared" ca="1" si="1833"/>
        <v>0</v>
      </c>
      <c r="AL1886" s="2">
        <f t="shared" ca="1" si="1834"/>
        <v>3940.1324502182752</v>
      </c>
      <c r="AM1886" s="2">
        <f t="shared" ca="1" si="1835"/>
        <v>3971.8170234178006</v>
      </c>
      <c r="AN1886" s="2">
        <f t="shared" ca="1" si="1836"/>
        <v>4003.7563880974053</v>
      </c>
      <c r="AO1886" s="2">
        <f t="shared" ca="1" si="1837"/>
        <v>4035.9525931626558</v>
      </c>
      <c r="AP1886" s="2">
        <f t="shared" ca="1" si="1838"/>
        <v>2184548.403998605</v>
      </c>
      <c r="AQ1886" s="2">
        <f t="shared" ca="1" si="1839"/>
        <v>763747.39290602994</v>
      </c>
      <c r="AR1886" s="2">
        <f t="shared" ca="1" si="1840"/>
        <v>797760.55974427017</v>
      </c>
      <c r="AS1886" s="2">
        <f t="shared" ca="1" si="1841"/>
        <v>808743.18258483463</v>
      </c>
      <c r="AT1886" s="2">
        <f t="shared" ca="1" si="1842"/>
        <v>819814.12218167854</v>
      </c>
      <c r="AU1886" s="2">
        <f t="shared" ca="1" si="1843"/>
        <v>830974.08873395459</v>
      </c>
      <c r="AV1886" s="2">
        <f t="shared" ca="1" si="1844"/>
        <v>2173742.5798094701</v>
      </c>
      <c r="AW1886" s="2">
        <f t="shared" ca="1" si="1845"/>
        <v>2266609.1529757809</v>
      </c>
      <c r="AX1886" s="2">
        <f t="shared" ca="1" si="1846"/>
        <v>2297835.7026411118</v>
      </c>
      <c r="AY1886" s="2">
        <f t="shared" ca="1" si="1847"/>
        <v>2329313.3605905268</v>
      </c>
      <c r="AZ1886" s="2">
        <f t="shared" ca="1" si="1848"/>
        <v>2361044.1461111698</v>
      </c>
      <c r="BA1886" s="2">
        <f t="shared" ca="1" si="1849"/>
        <v>46087775.70983088</v>
      </c>
      <c r="BB1886" s="2">
        <f t="shared" ca="1" si="1850"/>
        <v>921755.51419661765</v>
      </c>
      <c r="BC1886" s="2">
        <f t="shared" ca="1" si="1851"/>
        <v>20893260.151205316</v>
      </c>
      <c r="BD1886" s="2">
        <f t="shared" ca="1" si="1852"/>
        <v>-17693205.031470504</v>
      </c>
      <c r="BE1886" s="2">
        <f t="shared" ca="1" si="1853"/>
        <v>2173742.5798094701</v>
      </c>
      <c r="BF1886" s="2">
        <f t="shared" ca="1" si="1854"/>
        <v>2266609.1529757809</v>
      </c>
      <c r="BG1886" s="2">
        <f t="shared" ca="1" si="1855"/>
        <v>2297835.7026411118</v>
      </c>
      <c r="BH1886" s="2">
        <f t="shared" ca="1" si="1856"/>
        <v>2329313.3605905268</v>
      </c>
      <c r="BI1886" s="2">
        <f t="shared" ca="1" si="1857"/>
        <v>23254304.297316484</v>
      </c>
      <c r="BJ1886" s="2">
        <f t="shared" ca="1" si="1858"/>
        <v>0.15502444004840399</v>
      </c>
      <c r="BK1886" s="2">
        <f t="shared" ca="1" si="1859"/>
        <v>2365555.083333876</v>
      </c>
    </row>
    <row r="1887" spans="1:63" x14ac:dyDescent="0.3">
      <c r="A1887" s="2">
        <v>1886</v>
      </c>
      <c r="B1887" s="2">
        <f t="shared" ca="1" si="1798"/>
        <v>0.50127515480802831</v>
      </c>
      <c r="C1887" s="2">
        <f t="shared" ca="1" si="1799"/>
        <v>7.0012759688562891</v>
      </c>
      <c r="D1887" s="2">
        <f t="shared" ca="1" si="1800"/>
        <v>0.46630618224713705</v>
      </c>
      <c r="E1887" s="2">
        <f t="shared" ca="1" si="1801"/>
        <v>7.4657185741686209</v>
      </c>
      <c r="F1887" s="2">
        <f t="shared" ca="1" si="1802"/>
        <v>0.16777724218585255</v>
      </c>
      <c r="G1887" s="2">
        <f t="shared" ca="1" si="1803"/>
        <v>1.1110416132842714E-2</v>
      </c>
      <c r="H1887" s="2">
        <f t="shared" ca="1" si="1804"/>
        <v>1.1110416132842714E-2</v>
      </c>
      <c r="I1887" s="2">
        <f t="shared" ca="1" si="1805"/>
        <v>0.72470372099207137</v>
      </c>
      <c r="J1887" s="2">
        <f t="shared" ca="1" si="1806"/>
        <v>1.2984362131642202E-2</v>
      </c>
      <c r="K1887" s="2">
        <f t="shared" ca="1" si="1807"/>
        <v>1.2984362131642202E-2</v>
      </c>
      <c r="L1887" s="2">
        <f t="shared" ca="1" si="1808"/>
        <v>0.18395120485939931</v>
      </c>
      <c r="M1887" s="2">
        <f t="shared" ca="1" si="1809"/>
        <v>-1.8008188395190396E-2</v>
      </c>
      <c r="N1887" s="2">
        <f t="shared" ca="1" si="1810"/>
        <v>-1.8008188395190396E-2</v>
      </c>
      <c r="O1887" s="2">
        <f t="shared" si="1811"/>
        <v>6000000</v>
      </c>
      <c r="P1887" s="2">
        <f t="shared" ca="1" si="1812"/>
        <v>42007655.813137732</v>
      </c>
      <c r="Q1887" s="2">
        <f t="shared" ca="1" si="1813"/>
        <v>1050191.3953284433</v>
      </c>
      <c r="R1887" s="2">
        <f t="shared" ca="1" si="1814"/>
        <v>25204593.48788264</v>
      </c>
      <c r="S1887" s="2">
        <f t="shared" ca="1" si="1815"/>
        <v>16803062.325255092</v>
      </c>
      <c r="T1887" s="2">
        <f t="shared" ca="1" si="1816"/>
        <v>49099590.580240481</v>
      </c>
      <c r="U1887" s="2">
        <f t="shared" ca="1" si="1817"/>
        <v>49645107.463539161</v>
      </c>
      <c r="V1887" s="2">
        <f t="shared" ca="1" si="1818"/>
        <v>50196685.266418777</v>
      </c>
      <c r="W1887" s="2">
        <f t="shared" ca="1" si="1819"/>
        <v>50754391.328218028</v>
      </c>
      <c r="X1887" s="2">
        <f t="shared" ca="1" si="1820"/>
        <v>51318293.736443676</v>
      </c>
      <c r="Y1887" s="2">
        <f t="shared" ca="1" si="1821"/>
        <v>0.12649218106582111</v>
      </c>
      <c r="Z1887" s="2">
        <f t="shared" ca="1" si="1822"/>
        <v>0.12908905349214952</v>
      </c>
      <c r="AA1887" s="2">
        <f t="shared" ca="1" si="1823"/>
        <v>6210714.3019334637</v>
      </c>
      <c r="AB1887" s="2">
        <f t="shared" ca="1" si="1824"/>
        <v>6408639.9329843186</v>
      </c>
      <c r="AC1887" s="2">
        <f t="shared" ca="1" si="1825"/>
        <v>6479842.5894853277</v>
      </c>
      <c r="AD1887" s="2">
        <f t="shared" ca="1" si="1826"/>
        <v>6551836.3371298267</v>
      </c>
      <c r="AE1887" s="2">
        <f t="shared" ca="1" si="1827"/>
        <v>6624629.9652696196</v>
      </c>
      <c r="AF1887" s="2">
        <f t="shared" ca="1" si="1828"/>
        <v>981991.8116048096</v>
      </c>
      <c r="AG1887" s="2">
        <f t="shared" ca="1" si="1829"/>
        <v>992902.14927078318</v>
      </c>
      <c r="AH1887" s="2">
        <f t="shared" ca="1" si="1830"/>
        <v>1003933.7053283756</v>
      </c>
      <c r="AI1887" s="2">
        <f t="shared" ca="1" si="1831"/>
        <v>1015087.8265643605</v>
      </c>
      <c r="AJ1887" s="2">
        <f t="shared" ca="1" si="1832"/>
        <v>1026365.8747288735</v>
      </c>
      <c r="AK1887" s="2">
        <f t="shared" ca="1" si="1833"/>
        <v>0</v>
      </c>
      <c r="AL1887" s="2">
        <f t="shared" ca="1" si="1834"/>
        <v>5455.168832986802</v>
      </c>
      <c r="AM1887" s="2">
        <f t="shared" ca="1" si="1835"/>
        <v>5515.7780287961659</v>
      </c>
      <c r="AN1887" s="2">
        <f t="shared" ca="1" si="1836"/>
        <v>5577.0606179925053</v>
      </c>
      <c r="AO1887" s="2">
        <f t="shared" ca="1" si="1837"/>
        <v>5639.0240822564811</v>
      </c>
      <c r="AP1887" s="2">
        <f t="shared" ca="1" si="1838"/>
        <v>2268413.4139094376</v>
      </c>
      <c r="AQ1887" s="2">
        <f t="shared" ca="1" si="1839"/>
        <v>769680.35986899619</v>
      </c>
      <c r="AR1887" s="2">
        <f t="shared" ca="1" si="1840"/>
        <v>818304.33614906541</v>
      </c>
      <c r="AS1887" s="2">
        <f t="shared" ca="1" si="1841"/>
        <v>833948.82226435374</v>
      </c>
      <c r="AT1887" s="2">
        <f t="shared" ca="1" si="1842"/>
        <v>849767.12513056747</v>
      </c>
      <c r="AU1887" s="2">
        <f t="shared" ca="1" si="1843"/>
        <v>865761.17592414026</v>
      </c>
      <c r="AV1887" s="2">
        <f t="shared" ca="1" si="1844"/>
        <v>2190628.7165502203</v>
      </c>
      <c r="AW1887" s="2">
        <f t="shared" ca="1" si="1845"/>
        <v>2323564.8648220454</v>
      </c>
      <c r="AX1887" s="2">
        <f t="shared" ca="1" si="1846"/>
        <v>2368030.8699543639</v>
      </c>
      <c r="AY1887" s="2">
        <f t="shared" ca="1" si="1847"/>
        <v>2412990.9109074683</v>
      </c>
      <c r="AZ1887" s="2">
        <f t="shared" ca="1" si="1848"/>
        <v>2458450.4766249121</v>
      </c>
      <c r="BA1887" s="2">
        <f t="shared" ca="1" si="1849"/>
        <v>49457622.978707425</v>
      </c>
      <c r="BB1887" s="2">
        <f t="shared" ca="1" si="1850"/>
        <v>989152.45957414852</v>
      </c>
      <c r="BC1887" s="2">
        <f t="shared" ca="1" si="1851"/>
        <v>23263877.031250637</v>
      </c>
      <c r="BD1887" s="2">
        <f t="shared" ca="1" si="1852"/>
        <v>-18353253.720583536</v>
      </c>
      <c r="BE1887" s="2">
        <f t="shared" ca="1" si="1853"/>
        <v>2190628.7165502203</v>
      </c>
      <c r="BF1887" s="2">
        <f t="shared" ca="1" si="1854"/>
        <v>2323564.8648220454</v>
      </c>
      <c r="BG1887" s="2">
        <f t="shared" ca="1" si="1855"/>
        <v>2368030.8699543639</v>
      </c>
      <c r="BH1887" s="2">
        <f t="shared" ca="1" si="1856"/>
        <v>2412990.9109074683</v>
      </c>
      <c r="BI1887" s="2">
        <f t="shared" ca="1" si="1857"/>
        <v>25722327.507875551</v>
      </c>
      <c r="BJ1887" s="2">
        <f t="shared" ca="1" si="1858"/>
        <v>0.16551151552131271</v>
      </c>
      <c r="BK1887" s="2">
        <f t="shared" ca="1" si="1859"/>
        <v>3269552.8265771158</v>
      </c>
    </row>
    <row r="1888" spans="1:63" x14ac:dyDescent="0.3">
      <c r="A1888" s="2">
        <v>1887</v>
      </c>
      <c r="B1888" s="2">
        <f t="shared" ca="1" si="1798"/>
        <v>0.10240760953958206</v>
      </c>
      <c r="C1888" s="2">
        <f t="shared" ca="1" si="1799"/>
        <v>6.452565154512766</v>
      </c>
      <c r="D1888" s="2">
        <f t="shared" ca="1" si="1800"/>
        <v>0.414696563277274</v>
      </c>
      <c r="E1888" s="2">
        <f t="shared" ca="1" si="1801"/>
        <v>7.4107102319368918</v>
      </c>
      <c r="F1888" s="2">
        <f t="shared" ca="1" si="1802"/>
        <v>0.33873572378813099</v>
      </c>
      <c r="G1888" s="2">
        <f t="shared" ca="1" si="1803"/>
        <v>2.7522519035399449E-2</v>
      </c>
      <c r="H1888" s="2">
        <f t="shared" ca="1" si="1804"/>
        <v>2.7522519035399449E-2</v>
      </c>
      <c r="I1888" s="2">
        <f t="shared" ca="1" si="1805"/>
        <v>0.9492812451902517</v>
      </c>
      <c r="J1888" s="2">
        <f t="shared" ca="1" si="1806"/>
        <v>1.8189620937558264E-2</v>
      </c>
      <c r="K1888" s="2">
        <f t="shared" ca="1" si="1807"/>
        <v>1.8189620937558264E-2</v>
      </c>
      <c r="L1888" s="2">
        <f t="shared" ca="1" si="1808"/>
        <v>0.91484502784919031</v>
      </c>
      <c r="M1888" s="2">
        <f t="shared" ca="1" si="1809"/>
        <v>2.7424171599855503E-2</v>
      </c>
      <c r="N1888" s="2">
        <f t="shared" ca="1" si="1810"/>
        <v>2.7424171599855503E-2</v>
      </c>
      <c r="O1888" s="2">
        <f t="shared" si="1811"/>
        <v>6000000</v>
      </c>
      <c r="P1888" s="2">
        <f t="shared" ca="1" si="1812"/>
        <v>38715390.927076593</v>
      </c>
      <c r="Q1888" s="2">
        <f t="shared" ca="1" si="1813"/>
        <v>967884.7731769149</v>
      </c>
      <c r="R1888" s="2">
        <f t="shared" ca="1" si="1814"/>
        <v>23229234.556245957</v>
      </c>
      <c r="S1888" s="2">
        <f t="shared" ca="1" si="1815"/>
        <v>15486156.370830638</v>
      </c>
      <c r="T1888" s="2">
        <f t="shared" ca="1" si="1816"/>
        <v>51371208.579992779</v>
      </c>
      <c r="U1888" s="2">
        <f t="shared" ca="1" si="1817"/>
        <v>52785073.646007098</v>
      </c>
      <c r="V1888" s="2">
        <f t="shared" ca="1" si="1818"/>
        <v>54237851.84021429</v>
      </c>
      <c r="W1888" s="2">
        <f t="shared" ca="1" si="1819"/>
        <v>55730614.149925761</v>
      </c>
      <c r="X1888" s="2">
        <f t="shared" ca="1" si="1820"/>
        <v>57264461.038721591</v>
      </c>
      <c r="Y1888" s="2">
        <f t="shared" ca="1" si="1821"/>
        <v>0.12909481046877913</v>
      </c>
      <c r="Z1888" s="2">
        <f t="shared" ca="1" si="1822"/>
        <v>0.13273273465629079</v>
      </c>
      <c r="AA1888" s="2">
        <f t="shared" ca="1" si="1823"/>
        <v>6631756.4351862883</v>
      </c>
      <c r="AB1888" s="2">
        <f t="shared" ca="1" si="1824"/>
        <v>7006307.1740682283</v>
      </c>
      <c r="AC1888" s="2">
        <f t="shared" ca="1" si="1825"/>
        <v>7199138.3966343766</v>
      </c>
      <c r="AD1888" s="2">
        <f t="shared" ca="1" si="1826"/>
        <v>7397276.8201942211</v>
      </c>
      <c r="AE1888" s="2">
        <f t="shared" ca="1" si="1827"/>
        <v>7600868.5122881355</v>
      </c>
      <c r="AF1888" s="2">
        <f t="shared" ca="1" si="1828"/>
        <v>1027424.1715998556</v>
      </c>
      <c r="AG1888" s="2">
        <f t="shared" ca="1" si="1829"/>
        <v>1055701.4729201419</v>
      </c>
      <c r="AH1888" s="2">
        <f t="shared" ca="1" si="1830"/>
        <v>1084757.0368042858</v>
      </c>
      <c r="AI1888" s="2">
        <f t="shared" ca="1" si="1831"/>
        <v>1114612.2829985153</v>
      </c>
      <c r="AJ1888" s="2">
        <f t="shared" ca="1" si="1832"/>
        <v>1145289.2207744319</v>
      </c>
      <c r="AK1888" s="2">
        <f t="shared" ca="1" si="1833"/>
        <v>0</v>
      </c>
      <c r="AL1888" s="2">
        <f t="shared" ca="1" si="1834"/>
        <v>14138.650660143197</v>
      </c>
      <c r="AM1888" s="2">
        <f t="shared" ca="1" si="1835"/>
        <v>14527.781942071915</v>
      </c>
      <c r="AN1888" s="2">
        <f t="shared" ca="1" si="1836"/>
        <v>14927.623097114712</v>
      </c>
      <c r="AO1888" s="2">
        <f t="shared" ca="1" si="1837"/>
        <v>15338.468887958303</v>
      </c>
      <c r="AP1888" s="2">
        <f t="shared" ca="1" si="1838"/>
        <v>2090631.1100621361</v>
      </c>
      <c r="AQ1888" s="2">
        <f t="shared" ca="1" si="1839"/>
        <v>913562.2999163171</v>
      </c>
      <c r="AR1888" s="2">
        <f t="shared" ca="1" si="1840"/>
        <v>1003593.393682347</v>
      </c>
      <c r="AS1888" s="2">
        <f t="shared" ca="1" si="1841"/>
        <v>1046175.0649396682</v>
      </c>
      <c r="AT1888" s="2">
        <f t="shared" ca="1" si="1842"/>
        <v>1089928.6910547281</v>
      </c>
      <c r="AU1888" s="2">
        <f t="shared" ca="1" si="1843"/>
        <v>1134886.5271774076</v>
      </c>
      <c r="AV1888" s="2">
        <f t="shared" ca="1" si="1844"/>
        <v>2600138.8536079796</v>
      </c>
      <c r="AW1888" s="2">
        <f t="shared" ca="1" si="1845"/>
        <v>2842242.54674346</v>
      </c>
      <c r="AX1888" s="2">
        <f t="shared" ca="1" si="1846"/>
        <v>2963047.4028862137</v>
      </c>
      <c r="AY1888" s="2">
        <f t="shared" ca="1" si="1847"/>
        <v>3087177.1129817273</v>
      </c>
      <c r="AZ1888" s="2">
        <f t="shared" ca="1" si="1848"/>
        <v>3214723.1853862014</v>
      </c>
      <c r="BA1888" s="2">
        <f t="shared" ca="1" si="1849"/>
        <v>56327834.055620626</v>
      </c>
      <c r="BB1888" s="2">
        <f t="shared" ca="1" si="1850"/>
        <v>1126556.6811124126</v>
      </c>
      <c r="BC1888" s="2">
        <f t="shared" ca="1" si="1851"/>
        <v>31972042.818262257</v>
      </c>
      <c r="BD1888" s="2">
        <f t="shared" ca="1" si="1852"/>
        <v>-16954041.144007552</v>
      </c>
      <c r="BE1888" s="2">
        <f t="shared" ca="1" si="1853"/>
        <v>2600138.8536079796</v>
      </c>
      <c r="BF1888" s="2">
        <f t="shared" ca="1" si="1854"/>
        <v>2842242.54674346</v>
      </c>
      <c r="BG1888" s="2">
        <f t="shared" ca="1" si="1855"/>
        <v>2963047.4028862137</v>
      </c>
      <c r="BH1888" s="2">
        <f t="shared" ca="1" si="1856"/>
        <v>3087177.1129817273</v>
      </c>
      <c r="BI1888" s="2">
        <f t="shared" ca="1" si="1857"/>
        <v>35186766.00364846</v>
      </c>
      <c r="BJ1888" s="2">
        <f t="shared" ca="1" si="1858"/>
        <v>0.27261476010823116</v>
      </c>
      <c r="BK1888" s="2">
        <f t="shared" ca="1" si="1859"/>
        <v>11670241.238238718</v>
      </c>
    </row>
    <row r="1889" spans="1:63" x14ac:dyDescent="0.3">
      <c r="A1889" s="2">
        <v>1888</v>
      </c>
      <c r="B1889" s="2">
        <f t="shared" ca="1" si="1798"/>
        <v>0.66720870325187731</v>
      </c>
      <c r="C1889" s="2">
        <f t="shared" ca="1" si="1799"/>
        <v>7.1841675456956589</v>
      </c>
      <c r="D1889" s="2">
        <f t="shared" ca="1" si="1800"/>
        <v>0.34255152769147224</v>
      </c>
      <c r="E1889" s="2">
        <f t="shared" ca="1" si="1801"/>
        <v>7.3277095235545771</v>
      </c>
      <c r="F1889" s="2">
        <f t="shared" ca="1" si="1802"/>
        <v>0.20598473150207253</v>
      </c>
      <c r="G1889" s="2">
        <f t="shared" ca="1" si="1803"/>
        <v>1.5387018080505088E-2</v>
      </c>
      <c r="H1889" s="2">
        <f t="shared" ca="1" si="1804"/>
        <v>1.5387018080505088E-2</v>
      </c>
      <c r="I1889" s="2">
        <f t="shared" ca="1" si="1805"/>
        <v>0.51192838220210457</v>
      </c>
      <c r="J1889" s="2">
        <f t="shared" ca="1" si="1806"/>
        <v>1.0149522383258966E-2</v>
      </c>
      <c r="K1889" s="2">
        <f t="shared" ca="1" si="1807"/>
        <v>1.0149522383258966E-2</v>
      </c>
      <c r="L1889" s="2">
        <f t="shared" ca="1" si="1808"/>
        <v>0.93885043570303517</v>
      </c>
      <c r="M1889" s="2">
        <f t="shared" ca="1" si="1809"/>
        <v>3.0903897917431637E-2</v>
      </c>
      <c r="N1889" s="2">
        <f t="shared" ca="1" si="1810"/>
        <v>3.0903897917431637E-2</v>
      </c>
      <c r="O1889" s="2">
        <f t="shared" si="1811"/>
        <v>6000000</v>
      </c>
      <c r="P1889" s="2">
        <f t="shared" ca="1" si="1812"/>
        <v>43105005.274173953</v>
      </c>
      <c r="Q1889" s="2">
        <f t="shared" ca="1" si="1813"/>
        <v>1077625.1318543488</v>
      </c>
      <c r="R1889" s="2">
        <f t="shared" ca="1" si="1814"/>
        <v>25863003.164504372</v>
      </c>
      <c r="S1889" s="2">
        <f t="shared" ca="1" si="1815"/>
        <v>17242002.109669581</v>
      </c>
      <c r="T1889" s="2">
        <f t="shared" ca="1" si="1816"/>
        <v>51545194.89587158</v>
      </c>
      <c r="U1889" s="2">
        <f t="shared" ca="1" si="1817"/>
        <v>52338321.74169752</v>
      </c>
      <c r="V1889" s="2">
        <f t="shared" ca="1" si="1818"/>
        <v>53143652.444640316</v>
      </c>
      <c r="W1889" s="2">
        <f t="shared" ca="1" si="1819"/>
        <v>53961374.785670079</v>
      </c>
      <c r="X1889" s="2">
        <f t="shared" ca="1" si="1820"/>
        <v>54791679.435146101</v>
      </c>
      <c r="Y1889" s="2">
        <f t="shared" ca="1" si="1821"/>
        <v>0.12507476119162947</v>
      </c>
      <c r="Z1889" s="2">
        <f t="shared" ca="1" si="1822"/>
        <v>0.12710466566828127</v>
      </c>
      <c r="AA1889" s="2">
        <f t="shared" ca="1" si="1823"/>
        <v>6447002.9421771364</v>
      </c>
      <c r="AB1889" s="2">
        <f t="shared" ca="1" si="1824"/>
        <v>6652444.8866173998</v>
      </c>
      <c r="AC1889" s="2">
        <f t="shared" ca="1" si="1825"/>
        <v>6754806.1763673462</v>
      </c>
      <c r="AD1889" s="2">
        <f t="shared" ca="1" si="1826"/>
        <v>6858742.5011334186</v>
      </c>
      <c r="AE1889" s="2">
        <f t="shared" ca="1" si="1827"/>
        <v>6964278.0960078873</v>
      </c>
      <c r="AF1889" s="2">
        <f t="shared" ca="1" si="1828"/>
        <v>1030903.8979174317</v>
      </c>
      <c r="AG1889" s="2">
        <f t="shared" ca="1" si="1829"/>
        <v>1046766.4348339505</v>
      </c>
      <c r="AH1889" s="2">
        <f t="shared" ca="1" si="1830"/>
        <v>1062873.0488928063</v>
      </c>
      <c r="AI1889" s="2">
        <f t="shared" ca="1" si="1831"/>
        <v>1079227.4957134016</v>
      </c>
      <c r="AJ1889" s="2">
        <f t="shared" ca="1" si="1832"/>
        <v>1095833.588702922</v>
      </c>
      <c r="AK1889" s="2">
        <f t="shared" ca="1" si="1833"/>
        <v>0</v>
      </c>
      <c r="AL1889" s="2">
        <f t="shared" ca="1" si="1834"/>
        <v>7931.2684582594038</v>
      </c>
      <c r="AM1889" s="2">
        <f t="shared" ca="1" si="1835"/>
        <v>8053.3070294279605</v>
      </c>
      <c r="AN1889" s="2">
        <f t="shared" ca="1" si="1836"/>
        <v>8177.2234102976327</v>
      </c>
      <c r="AO1889" s="2">
        <f t="shared" ca="1" si="1837"/>
        <v>8303.0464947602159</v>
      </c>
      <c r="AP1889" s="2">
        <f t="shared" ca="1" si="1838"/>
        <v>2327670.2848053933</v>
      </c>
      <c r="AQ1889" s="2">
        <f t="shared" ca="1" si="1839"/>
        <v>802991.47745812102</v>
      </c>
      <c r="AR1889" s="2">
        <f t="shared" ca="1" si="1840"/>
        <v>852282.12341429456</v>
      </c>
      <c r="AS1889" s="2">
        <f t="shared" ca="1" si="1841"/>
        <v>874708.33909397817</v>
      </c>
      <c r="AT1889" s="2">
        <f t="shared" ca="1" si="1842"/>
        <v>897479.62735980225</v>
      </c>
      <c r="AU1889" s="2">
        <f t="shared" ca="1" si="1843"/>
        <v>920601.2978498888</v>
      </c>
      <c r="AV1889" s="2">
        <f t="shared" ca="1" si="1844"/>
        <v>2285437.2819961901</v>
      </c>
      <c r="AW1889" s="2">
        <f t="shared" ca="1" si="1845"/>
        <v>2417794.775105502</v>
      </c>
      <c r="AX1889" s="2">
        <f t="shared" ca="1" si="1846"/>
        <v>2481501.1965457401</v>
      </c>
      <c r="AY1889" s="2">
        <f t="shared" ca="1" si="1847"/>
        <v>2546187.8698445247</v>
      </c>
      <c r="AZ1889" s="2">
        <f t="shared" ca="1" si="1848"/>
        <v>2611869.8781549227</v>
      </c>
      <c r="BA1889" s="2">
        <f t="shared" ca="1" si="1849"/>
        <v>51032206.928799532</v>
      </c>
      <c r="BB1889" s="2">
        <f t="shared" ca="1" si="1850"/>
        <v>1020644.1385759907</v>
      </c>
      <c r="BC1889" s="2">
        <f t="shared" ca="1" si="1851"/>
        <v>24148559.625719171</v>
      </c>
      <c r="BD1889" s="2">
        <f t="shared" ca="1" si="1852"/>
        <v>-18819627.241523929</v>
      </c>
      <c r="BE1889" s="2">
        <f t="shared" ca="1" si="1853"/>
        <v>2285437.2819961901</v>
      </c>
      <c r="BF1889" s="2">
        <f t="shared" ca="1" si="1854"/>
        <v>2417794.775105502</v>
      </c>
      <c r="BG1889" s="2">
        <f t="shared" ca="1" si="1855"/>
        <v>2481501.1965457401</v>
      </c>
      <c r="BH1889" s="2">
        <f t="shared" ca="1" si="1856"/>
        <v>2546187.8698445247</v>
      </c>
      <c r="BI1889" s="2">
        <f t="shared" ca="1" si="1857"/>
        <v>26760429.503874093</v>
      </c>
      <c r="BJ1889" s="2">
        <f t="shared" ca="1" si="1858"/>
        <v>0.17021165536156557</v>
      </c>
      <c r="BK1889" s="2">
        <f t="shared" ca="1" si="1859"/>
        <v>3717411.2821377292</v>
      </c>
    </row>
    <row r="1890" spans="1:63" x14ac:dyDescent="0.3">
      <c r="A1890" s="2">
        <v>1889</v>
      </c>
      <c r="B1890" s="2">
        <f t="shared" ca="1" si="1798"/>
        <v>0.56438970565945745</v>
      </c>
      <c r="C1890" s="2">
        <f t="shared" ca="1" si="1799"/>
        <v>7.0666080198110306</v>
      </c>
      <c r="D1890" s="2">
        <f t="shared" ca="1" si="1800"/>
        <v>0.64604100860919633</v>
      </c>
      <c r="E1890" s="2">
        <f t="shared" ca="1" si="1801"/>
        <v>7.6586213796502749</v>
      </c>
      <c r="F1890" s="2">
        <f t="shared" ca="1" si="1802"/>
        <v>0.72177942105021864</v>
      </c>
      <c r="G1890" s="2">
        <f t="shared" ca="1" si="1803"/>
        <v>5.7644073434409443E-2</v>
      </c>
      <c r="H1890" s="2">
        <f t="shared" ca="1" si="1804"/>
        <v>5.7644073434409443E-2</v>
      </c>
      <c r="I1890" s="2">
        <f t="shared" ca="1" si="1805"/>
        <v>0.38788646731908183</v>
      </c>
      <c r="J1890" s="2">
        <f t="shared" ca="1" si="1806"/>
        <v>8.575840521096164E-3</v>
      </c>
      <c r="K1890" s="2">
        <f t="shared" ca="1" si="1807"/>
        <v>8.575840521096164E-3</v>
      </c>
      <c r="L1890" s="2">
        <f t="shared" ca="1" si="1808"/>
        <v>7.62747943763189E-2</v>
      </c>
      <c r="M1890" s="2">
        <f t="shared" ca="1" si="1809"/>
        <v>-2.8611672118024123E-2</v>
      </c>
      <c r="N1890" s="2">
        <f t="shared" ca="1" si="1810"/>
        <v>-2.8611672118024123E-2</v>
      </c>
      <c r="O1890" s="2">
        <f t="shared" si="1811"/>
        <v>6000000</v>
      </c>
      <c r="P1890" s="2">
        <f t="shared" ca="1" si="1812"/>
        <v>42399648.118866183</v>
      </c>
      <c r="Q1890" s="2">
        <f t="shared" ca="1" si="1813"/>
        <v>1059991.2029716547</v>
      </c>
      <c r="R1890" s="2">
        <f t="shared" ca="1" si="1814"/>
        <v>25439788.871319707</v>
      </c>
      <c r="S1890" s="2">
        <f t="shared" ca="1" si="1815"/>
        <v>16959859.247546475</v>
      </c>
      <c r="T1890" s="2">
        <f t="shared" ca="1" si="1816"/>
        <v>48569416.394098796</v>
      </c>
      <c r="U1890" s="2">
        <f t="shared" ca="1" si="1817"/>
        <v>51369155.399386637</v>
      </c>
      <c r="V1890" s="2">
        <f t="shared" ca="1" si="1818"/>
        <v>54330282.765492469</v>
      </c>
      <c r="W1890" s="2">
        <f t="shared" ca="1" si="1819"/>
        <v>57462101.574938752</v>
      </c>
      <c r="X1890" s="2">
        <f t="shared" ca="1" si="1820"/>
        <v>60774451.177820019</v>
      </c>
      <c r="Y1890" s="2">
        <f t="shared" ca="1" si="1821"/>
        <v>0.12428792026054808</v>
      </c>
      <c r="Z1890" s="2">
        <f t="shared" ca="1" si="1822"/>
        <v>0.12600308836476731</v>
      </c>
      <c r="AA1890" s="2">
        <f t="shared" ca="1" si="1823"/>
        <v>6036591.7518911082</v>
      </c>
      <c r="AB1890" s="2">
        <f t="shared" ca="1" si="1824"/>
        <v>6472672.2270123782</v>
      </c>
      <c r="AC1890" s="2">
        <f t="shared" ca="1" si="1825"/>
        <v>6845783.4201831426</v>
      </c>
      <c r="AD1890" s="2">
        <f t="shared" ca="1" si="1826"/>
        <v>7240402.2623722423</v>
      </c>
      <c r="AE1890" s="2">
        <f t="shared" ca="1" si="1827"/>
        <v>7657768.5420790929</v>
      </c>
      <c r="AF1890" s="2">
        <f t="shared" ca="1" si="1828"/>
        <v>971388.32788197591</v>
      </c>
      <c r="AG1890" s="2">
        <f t="shared" ca="1" si="1829"/>
        <v>1027383.1079877327</v>
      </c>
      <c r="AH1890" s="2">
        <f t="shared" ca="1" si="1830"/>
        <v>1086605.6553098494</v>
      </c>
      <c r="AI1890" s="2">
        <f t="shared" ca="1" si="1831"/>
        <v>1149242.0314987751</v>
      </c>
      <c r="AJ1890" s="2">
        <f t="shared" ca="1" si="1832"/>
        <v>1215489.0235564003</v>
      </c>
      <c r="AK1890" s="2">
        <f t="shared" ca="1" si="1833"/>
        <v>0</v>
      </c>
      <c r="AL1890" s="2">
        <f t="shared" ca="1" si="1834"/>
        <v>27997.390052878411</v>
      </c>
      <c r="AM1890" s="2">
        <f t="shared" ca="1" si="1835"/>
        <v>29611.273661058323</v>
      </c>
      <c r="AN1890" s="2">
        <f t="shared" ca="1" si="1836"/>
        <v>31318.188094462828</v>
      </c>
      <c r="AO1890" s="2">
        <f t="shared" ca="1" si="1837"/>
        <v>33123.496028812675</v>
      </c>
      <c r="AP1890" s="2">
        <f t="shared" ca="1" si="1838"/>
        <v>2289580.9984187735</v>
      </c>
      <c r="AQ1890" s="2">
        <f t="shared" ca="1" si="1839"/>
        <v>721661.83065349329</v>
      </c>
      <c r="AR1890" s="2">
        <f t="shared" ca="1" si="1840"/>
        <v>820484.11135752674</v>
      </c>
      <c r="AS1890" s="2">
        <f t="shared" ca="1" si="1841"/>
        <v>902095.15927817521</v>
      </c>
      <c r="AT1890" s="2">
        <f t="shared" ca="1" si="1842"/>
        <v>988410.60043822043</v>
      </c>
      <c r="AU1890" s="2">
        <f t="shared" ca="1" si="1843"/>
        <v>1079701.6152270189</v>
      </c>
      <c r="AV1890" s="2">
        <f t="shared" ca="1" si="1844"/>
        <v>2053960.5949368654</v>
      </c>
      <c r="AW1890" s="2">
        <f t="shared" ca="1" si="1845"/>
        <v>2307226.6191954669</v>
      </c>
      <c r="AX1890" s="2">
        <f t="shared" ca="1" si="1846"/>
        <v>2537890.3335152864</v>
      </c>
      <c r="AY1890" s="2">
        <f t="shared" ca="1" si="1847"/>
        <v>2781850.4439220103</v>
      </c>
      <c r="AZ1890" s="2">
        <f t="shared" ca="1" si="1848"/>
        <v>3039873.4088480873</v>
      </c>
      <c r="BA1890" s="2">
        <f t="shared" ca="1" si="1849"/>
        <v>58647949.876780257</v>
      </c>
      <c r="BB1890" s="2">
        <f t="shared" ca="1" si="1850"/>
        <v>1172958.9975356052</v>
      </c>
      <c r="BC1890" s="2">
        <f t="shared" ca="1" si="1851"/>
        <v>32035202.007924944</v>
      </c>
      <c r="BD1890" s="2">
        <f t="shared" ca="1" si="1852"/>
        <v>-18519850.450518131</v>
      </c>
      <c r="BE1890" s="2">
        <f t="shared" ca="1" si="1853"/>
        <v>2053960.5949368654</v>
      </c>
      <c r="BF1890" s="2">
        <f t="shared" ca="1" si="1854"/>
        <v>2307226.6191954669</v>
      </c>
      <c r="BG1890" s="2">
        <f t="shared" ca="1" si="1855"/>
        <v>2537890.3335152864</v>
      </c>
      <c r="BH1890" s="2">
        <f t="shared" ca="1" si="1856"/>
        <v>2781850.4439220103</v>
      </c>
      <c r="BI1890" s="2">
        <f t="shared" ca="1" si="1857"/>
        <v>35075075.416773029</v>
      </c>
      <c r="BJ1890" s="2">
        <f t="shared" ca="1" si="1858"/>
        <v>0.22540157996133692</v>
      </c>
      <c r="BK1890" s="2">
        <f t="shared" ca="1" si="1859"/>
        <v>8630226.0896396823</v>
      </c>
    </row>
    <row r="1891" spans="1:63" x14ac:dyDescent="0.3">
      <c r="A1891" s="2">
        <v>1890</v>
      </c>
      <c r="B1891" s="2">
        <f t="shared" ca="1" si="1798"/>
        <v>0.56958743800565936</v>
      </c>
      <c r="C1891" s="2">
        <f t="shared" ca="1" si="1799"/>
        <v>7.0721933800685184</v>
      </c>
      <c r="D1891" s="2">
        <f t="shared" ca="1" si="1800"/>
        <v>0.93488566449346844</v>
      </c>
      <c r="E1891" s="2">
        <f t="shared" ca="1" si="1801"/>
        <v>8.1391279021411282</v>
      </c>
      <c r="F1891" s="2">
        <f t="shared" ca="1" si="1802"/>
        <v>0.78625862280612235</v>
      </c>
      <c r="G1891" s="2">
        <f t="shared" ca="1" si="1803"/>
        <v>6.3805196513250145E-2</v>
      </c>
      <c r="H1891" s="2">
        <f t="shared" ca="1" si="1804"/>
        <v>6.3805196513250145E-2</v>
      </c>
      <c r="I1891" s="2">
        <f t="shared" ca="1" si="1805"/>
        <v>0.12690339977914322</v>
      </c>
      <c r="J1891" s="2">
        <f t="shared" ca="1" si="1806"/>
        <v>4.2942414957180819E-3</v>
      </c>
      <c r="K1891" s="2">
        <f t="shared" ca="1" si="1807"/>
        <v>4.2942414957180819E-3</v>
      </c>
      <c r="L1891" s="2">
        <f t="shared" ca="1" si="1808"/>
        <v>0.49386735452737096</v>
      </c>
      <c r="M1891" s="2">
        <f t="shared" ca="1" si="1809"/>
        <v>-3.074573603507466E-4</v>
      </c>
      <c r="N1891" s="2">
        <f t="shared" ca="1" si="1810"/>
        <v>-3.074573603507466E-4</v>
      </c>
      <c r="O1891" s="2">
        <f t="shared" si="1811"/>
        <v>6000000</v>
      </c>
      <c r="P1891" s="2">
        <f t="shared" ca="1" si="1812"/>
        <v>42433160.280411109</v>
      </c>
      <c r="Q1891" s="2">
        <f t="shared" ca="1" si="1813"/>
        <v>1060829.0070102778</v>
      </c>
      <c r="R1891" s="2">
        <f t="shared" ca="1" si="1814"/>
        <v>25459896.168246664</v>
      </c>
      <c r="S1891" s="2">
        <f t="shared" ca="1" si="1815"/>
        <v>16973264.112164445</v>
      </c>
      <c r="T1891" s="2">
        <f t="shared" ca="1" si="1816"/>
        <v>49984627.131982461</v>
      </c>
      <c r="U1891" s="2">
        <f t="shared" ca="1" si="1817"/>
        <v>53173906.088780142</v>
      </c>
      <c r="V1891" s="2">
        <f t="shared" ca="1" si="1818"/>
        <v>56566677.616151869</v>
      </c>
      <c r="W1891" s="2">
        <f t="shared" ca="1" si="1819"/>
        <v>60175925.597552113</v>
      </c>
      <c r="X1891" s="2">
        <f t="shared" ca="1" si="1820"/>
        <v>64015462.355670653</v>
      </c>
      <c r="Y1891" s="2">
        <f t="shared" ca="1" si="1821"/>
        <v>0.12214712074785904</v>
      </c>
      <c r="Z1891" s="2">
        <f t="shared" ca="1" si="1822"/>
        <v>0.12300596904700266</v>
      </c>
      <c r="AA1891" s="2">
        <f t="shared" ca="1" si="1823"/>
        <v>6105478.2858269727</v>
      </c>
      <c r="AB1891" s="2">
        <f t="shared" ca="1" si="1824"/>
        <v>6540707.8464647168</v>
      </c>
      <c r="AC1891" s="2">
        <f t="shared" ca="1" si="1825"/>
        <v>6958038.9959441554</v>
      </c>
      <c r="AD1891" s="2">
        <f t="shared" ca="1" si="1826"/>
        <v>7401998.0414272305</v>
      </c>
      <c r="AE1891" s="2">
        <f t="shared" ca="1" si="1827"/>
        <v>7874283.981051188</v>
      </c>
      <c r="AF1891" s="2">
        <f t="shared" ca="1" si="1828"/>
        <v>999692.54263964924</v>
      </c>
      <c r="AG1891" s="2">
        <f t="shared" ca="1" si="1829"/>
        <v>1063478.1217756029</v>
      </c>
      <c r="AH1891" s="2">
        <f t="shared" ca="1" si="1830"/>
        <v>1131333.5523230375</v>
      </c>
      <c r="AI1891" s="2">
        <f t="shared" ca="1" si="1831"/>
        <v>1203518.5119510423</v>
      </c>
      <c r="AJ1891" s="2">
        <f t="shared" ca="1" si="1832"/>
        <v>1280309.2471134132</v>
      </c>
      <c r="AK1891" s="2">
        <f t="shared" ca="1" si="1833"/>
        <v>0</v>
      </c>
      <c r="AL1891" s="2">
        <f t="shared" ca="1" si="1834"/>
        <v>31892.789567976819</v>
      </c>
      <c r="AM1891" s="2">
        <f t="shared" ca="1" si="1835"/>
        <v>33927.715273717273</v>
      </c>
      <c r="AN1891" s="2">
        <f t="shared" ca="1" si="1836"/>
        <v>36092.479814002443</v>
      </c>
      <c r="AO1891" s="2">
        <f t="shared" ca="1" si="1837"/>
        <v>38395.367581185405</v>
      </c>
      <c r="AP1891" s="2">
        <f t="shared" ca="1" si="1838"/>
        <v>2291390.6551421997</v>
      </c>
      <c r="AQ1891" s="2">
        <f t="shared" ca="1" si="1839"/>
        <v>731742.72289173212</v>
      </c>
      <c r="AR1891" s="2">
        <f t="shared" ca="1" si="1840"/>
        <v>828318.15808219777</v>
      </c>
      <c r="AS1891" s="2">
        <f t="shared" ca="1" si="1841"/>
        <v>919181.84500451863</v>
      </c>
      <c r="AT1891" s="2">
        <f t="shared" ca="1" si="1842"/>
        <v>1015843.107326837</v>
      </c>
      <c r="AU1891" s="2">
        <f t="shared" ca="1" si="1843"/>
        <v>1118671.8604868494</v>
      </c>
      <c r="AV1891" s="2">
        <f t="shared" ca="1" si="1844"/>
        <v>2082652.3651533914</v>
      </c>
      <c r="AW1891" s="2">
        <f t="shared" ca="1" si="1845"/>
        <v>2325628.1218967396</v>
      </c>
      <c r="AX1891" s="2">
        <f t="shared" ca="1" si="1846"/>
        <v>2582205.228200682</v>
      </c>
      <c r="AY1891" s="2">
        <f t="shared" ca="1" si="1847"/>
        <v>2855153.2871931489</v>
      </c>
      <c r="AZ1891" s="2">
        <f t="shared" ca="1" si="1848"/>
        <v>3145516.8507275409</v>
      </c>
      <c r="BA1891" s="2">
        <f t="shared" ca="1" si="1849"/>
        <v>64089804.459556647</v>
      </c>
      <c r="BB1891" s="2">
        <f t="shared" ca="1" si="1850"/>
        <v>1281796.0891911329</v>
      </c>
      <c r="BC1891" s="2">
        <f t="shared" ca="1" si="1851"/>
        <v>37348112.202118851</v>
      </c>
      <c r="BD1891" s="2">
        <f t="shared" ca="1" si="1852"/>
        <v>-18534093.119174723</v>
      </c>
      <c r="BE1891" s="2">
        <f t="shared" ca="1" si="1853"/>
        <v>2082652.3651533914</v>
      </c>
      <c r="BF1891" s="2">
        <f t="shared" ca="1" si="1854"/>
        <v>2325628.1218967396</v>
      </c>
      <c r="BG1891" s="2">
        <f t="shared" ca="1" si="1855"/>
        <v>2582205.228200682</v>
      </c>
      <c r="BH1891" s="2">
        <f t="shared" ca="1" si="1856"/>
        <v>2855153.2871931489</v>
      </c>
      <c r="BI1891" s="2">
        <f t="shared" ca="1" si="1857"/>
        <v>40493629.052846394</v>
      </c>
      <c r="BJ1891" s="2">
        <f t="shared" ca="1" si="1858"/>
        <v>0.25606183532543425</v>
      </c>
      <c r="BK1891" s="2">
        <f t="shared" ca="1" si="1859"/>
        <v>11809031.239331301</v>
      </c>
    </row>
    <row r="1892" spans="1:63" x14ac:dyDescent="0.3">
      <c r="A1892" s="2">
        <v>1891</v>
      </c>
      <c r="B1892" s="2">
        <f t="shared" ca="1" si="1798"/>
        <v>0.33717094290759919</v>
      </c>
      <c r="C1892" s="2">
        <f t="shared" ca="1" si="1799"/>
        <v>6.8211832230478153</v>
      </c>
      <c r="D1892" s="2">
        <f t="shared" ca="1" si="1800"/>
        <v>0.41238024309685317</v>
      </c>
      <c r="E1892" s="2">
        <f t="shared" ca="1" si="1801"/>
        <v>7.408163248647349</v>
      </c>
      <c r="F1892" s="2">
        <f t="shared" ca="1" si="1802"/>
        <v>0.51929853328433517</v>
      </c>
      <c r="G1892" s="2">
        <f t="shared" ca="1" si="1803"/>
        <v>4.1451793934874324E-2</v>
      </c>
      <c r="H1892" s="2">
        <f t="shared" ca="1" si="1804"/>
        <v>4.1451793934874324E-2</v>
      </c>
      <c r="I1892" s="2">
        <f t="shared" ca="1" si="1805"/>
        <v>0.35127740059476809</v>
      </c>
      <c r="J1892" s="2">
        <f t="shared" ca="1" si="1806"/>
        <v>8.0906298299480272E-3</v>
      </c>
      <c r="K1892" s="2">
        <f t="shared" ca="1" si="1807"/>
        <v>8.0906298299480272E-3</v>
      </c>
      <c r="L1892" s="2">
        <f t="shared" ca="1" si="1808"/>
        <v>0.65897876311056536</v>
      </c>
      <c r="M1892" s="2">
        <f t="shared" ca="1" si="1809"/>
        <v>8.1935517330949583E-3</v>
      </c>
      <c r="N1892" s="2">
        <f t="shared" ca="1" si="1810"/>
        <v>8.1935517330949583E-3</v>
      </c>
      <c r="O1892" s="2">
        <f t="shared" si="1811"/>
        <v>6000000</v>
      </c>
      <c r="P1892" s="2">
        <f t="shared" ca="1" si="1812"/>
        <v>40927099.338286892</v>
      </c>
      <c r="Q1892" s="2">
        <f t="shared" ca="1" si="1813"/>
        <v>1023177.4834571723</v>
      </c>
      <c r="R1892" s="2">
        <f t="shared" ca="1" si="1814"/>
        <v>24556259.602972135</v>
      </c>
      <c r="S1892" s="2">
        <f t="shared" ca="1" si="1815"/>
        <v>16370839.735314757</v>
      </c>
      <c r="T1892" s="2">
        <f t="shared" ca="1" si="1816"/>
        <v>50409677.586654745</v>
      </c>
      <c r="U1892" s="2">
        <f t="shared" ca="1" si="1817"/>
        <v>52499249.154300213</v>
      </c>
      <c r="V1892" s="2">
        <f t="shared" ca="1" si="1818"/>
        <v>54675437.211979896</v>
      </c>
      <c r="W1892" s="2">
        <f t="shared" ca="1" si="1819"/>
        <v>56941832.168590054</v>
      </c>
      <c r="X1892" s="2">
        <f t="shared" ca="1" si="1820"/>
        <v>59302173.261916652</v>
      </c>
      <c r="Y1892" s="2">
        <f t="shared" ca="1" si="1821"/>
        <v>0.124045314914974</v>
      </c>
      <c r="Z1892" s="2">
        <f t="shared" ca="1" si="1822"/>
        <v>0.12566344088096362</v>
      </c>
      <c r="AA1892" s="2">
        <f t="shared" ca="1" si="1823"/>
        <v>6253084.3309988948</v>
      </c>
      <c r="AB1892" s="2">
        <f t="shared" ca="1" si="1824"/>
        <v>6597236.2923963843</v>
      </c>
      <c r="AC1892" s="2">
        <f t="shared" ca="1" si="1825"/>
        <v>6870703.5717284745</v>
      </c>
      <c r="AD1892" s="2">
        <f t="shared" ca="1" si="1826"/>
        <v>7155506.5603713691</v>
      </c>
      <c r="AE1892" s="2">
        <f t="shared" ca="1" si="1827"/>
        <v>7452115.1438115248</v>
      </c>
      <c r="AF1892" s="2">
        <f t="shared" ca="1" si="1828"/>
        <v>1008193.551733095</v>
      </c>
      <c r="AG1892" s="2">
        <f t="shared" ca="1" si="1829"/>
        <v>1049984.9830860044</v>
      </c>
      <c r="AH1892" s="2">
        <f t="shared" ca="1" si="1830"/>
        <v>1093508.744239598</v>
      </c>
      <c r="AI1892" s="2">
        <f t="shared" ca="1" si="1831"/>
        <v>1138836.6433718011</v>
      </c>
      <c r="AJ1892" s="2">
        <f t="shared" ca="1" si="1832"/>
        <v>1186043.465238333</v>
      </c>
      <c r="AK1892" s="2">
        <f t="shared" ca="1" si="1833"/>
        <v>0</v>
      </c>
      <c r="AL1892" s="2">
        <f t="shared" ca="1" si="1834"/>
        <v>20895.715676454678</v>
      </c>
      <c r="AM1892" s="2">
        <f t="shared" ca="1" si="1835"/>
        <v>21761.88057679683</v>
      </c>
      <c r="AN1892" s="2">
        <f t="shared" ca="1" si="1836"/>
        <v>22663.949566101583</v>
      </c>
      <c r="AO1892" s="2">
        <f t="shared" ca="1" si="1837"/>
        <v>23603.410933265983</v>
      </c>
      <c r="AP1892" s="2">
        <f t="shared" ca="1" si="1838"/>
        <v>2210063.3642674922</v>
      </c>
      <c r="AQ1892" s="2">
        <f t="shared" ca="1" si="1839"/>
        <v>789055.12789955991</v>
      </c>
      <c r="AR1892" s="2">
        <f t="shared" ca="1" si="1840"/>
        <v>867668.86571115092</v>
      </c>
      <c r="AS1892" s="2">
        <f t="shared" ca="1" si="1841"/>
        <v>927454.18043756008</v>
      </c>
      <c r="AT1892" s="2">
        <f t="shared" ca="1" si="1842"/>
        <v>989717.70371033985</v>
      </c>
      <c r="AU1892" s="2">
        <f t="shared" ca="1" si="1843"/>
        <v>1054562.1617194819</v>
      </c>
      <c r="AV1892" s="2">
        <f t="shared" ca="1" si="1844"/>
        <v>2245772.2870987472</v>
      </c>
      <c r="AW1892" s="2">
        <f t="shared" ca="1" si="1845"/>
        <v>2448623.3636552827</v>
      </c>
      <c r="AX1892" s="2">
        <f t="shared" ca="1" si="1846"/>
        <v>2617915.4022070277</v>
      </c>
      <c r="AY1892" s="2">
        <f t="shared" ca="1" si="1847"/>
        <v>2794224.8994556344</v>
      </c>
      <c r="AZ1892" s="2">
        <f t="shared" ca="1" si="1848"/>
        <v>2977842.7416529511</v>
      </c>
      <c r="BA1892" s="2">
        <f t="shared" ca="1" si="1849"/>
        <v>55206485.533072889</v>
      </c>
      <c r="BB1892" s="2">
        <f t="shared" ca="1" si="1850"/>
        <v>1104129.7106614579</v>
      </c>
      <c r="BC1892" s="2">
        <f t="shared" ca="1" si="1851"/>
        <v>29546096.219439298</v>
      </c>
      <c r="BD1892" s="2">
        <f t="shared" ca="1" si="1852"/>
        <v>-17894017.218771927</v>
      </c>
      <c r="BE1892" s="2">
        <f t="shared" ca="1" si="1853"/>
        <v>2245772.2870987472</v>
      </c>
      <c r="BF1892" s="2">
        <f t="shared" ca="1" si="1854"/>
        <v>2448623.3636552827</v>
      </c>
      <c r="BG1892" s="2">
        <f t="shared" ca="1" si="1855"/>
        <v>2617915.4022070277</v>
      </c>
      <c r="BH1892" s="2">
        <f t="shared" ca="1" si="1856"/>
        <v>2794224.8994556344</v>
      </c>
      <c r="BI1892" s="2">
        <f t="shared" ca="1" si="1857"/>
        <v>32523938.961092249</v>
      </c>
      <c r="BJ1892" s="2">
        <f t="shared" ca="1" si="1858"/>
        <v>0.22543854775033156</v>
      </c>
      <c r="BK1892" s="2">
        <f t="shared" ca="1" si="1859"/>
        <v>8157281.4956758432</v>
      </c>
    </row>
    <row r="1893" spans="1:63" x14ac:dyDescent="0.3">
      <c r="A1893" s="2">
        <v>1892</v>
      </c>
      <c r="B1893" s="2">
        <f t="shared" ca="1" si="1798"/>
        <v>0.35132315455016561</v>
      </c>
      <c r="C1893" s="2">
        <f t="shared" ca="1" si="1799"/>
        <v>6.8382400068598077</v>
      </c>
      <c r="D1893" s="2">
        <f t="shared" ca="1" si="1800"/>
        <v>0.22245179657883396</v>
      </c>
      <c r="E1893" s="2">
        <f t="shared" ca="1" si="1801"/>
        <v>7.1670109393088453</v>
      </c>
      <c r="F1893" s="2">
        <f t="shared" ca="1" si="1802"/>
        <v>0.66075160903159014</v>
      </c>
      <c r="G1893" s="2">
        <f t="shared" ca="1" si="1803"/>
        <v>5.2435458279812316E-2</v>
      </c>
      <c r="H1893" s="2">
        <f t="shared" ca="1" si="1804"/>
        <v>5.2435458279812316E-2</v>
      </c>
      <c r="I1893" s="2">
        <f t="shared" ca="1" si="1805"/>
        <v>0.26977208457486512</v>
      </c>
      <c r="J1893" s="2">
        <f t="shared" ca="1" si="1806"/>
        <v>6.9324877943052633E-3</v>
      </c>
      <c r="K1893" s="2">
        <f t="shared" ca="1" si="1807"/>
        <v>6.9324877943052633E-3</v>
      </c>
      <c r="L1893" s="2">
        <f t="shared" ca="1" si="1808"/>
        <v>0.37737352243406852</v>
      </c>
      <c r="M1893" s="2">
        <f t="shared" ca="1" si="1809"/>
        <v>-6.2477237877302336E-3</v>
      </c>
      <c r="N1893" s="2">
        <f t="shared" ca="1" si="1810"/>
        <v>-6.2477237877302336E-3</v>
      </c>
      <c r="O1893" s="2">
        <f t="shared" si="1811"/>
        <v>6000000</v>
      </c>
      <c r="P1893" s="2">
        <f t="shared" ca="1" si="1812"/>
        <v>41029440.041158848</v>
      </c>
      <c r="Q1893" s="2">
        <f t="shared" ca="1" si="1813"/>
        <v>1025736.0010289713</v>
      </c>
      <c r="R1893" s="2">
        <f t="shared" ca="1" si="1814"/>
        <v>24617664.024695307</v>
      </c>
      <c r="S1893" s="2">
        <f t="shared" ca="1" si="1815"/>
        <v>16411776.01646354</v>
      </c>
      <c r="T1893" s="2">
        <f t="shared" ca="1" si="1816"/>
        <v>49687613.810613491</v>
      </c>
      <c r="U1893" s="2">
        <f t="shared" ca="1" si="1817"/>
        <v>52293006.611603342</v>
      </c>
      <c r="V1893" s="2">
        <f t="shared" ca="1" si="1818"/>
        <v>55035014.378112018</v>
      </c>
      <c r="W1893" s="2">
        <f t="shared" ca="1" si="1819"/>
        <v>57920800.578464381</v>
      </c>
      <c r="X1893" s="2">
        <f t="shared" ca="1" si="1820"/>
        <v>60957904.300729781</v>
      </c>
      <c r="Y1893" s="2">
        <f t="shared" ca="1" si="1821"/>
        <v>0.12346624389715263</v>
      </c>
      <c r="Z1893" s="2">
        <f t="shared" ca="1" si="1822"/>
        <v>0.12485274145601367</v>
      </c>
      <c r="AA1893" s="2">
        <f t="shared" ca="1" si="1823"/>
        <v>6134743.0454087351</v>
      </c>
      <c r="AB1893" s="2">
        <f t="shared" ca="1" si="1824"/>
        <v>6528925.2344361255</v>
      </c>
      <c r="AC1893" s="2">
        <f t="shared" ca="1" si="1825"/>
        <v>6871272.4211784154</v>
      </c>
      <c r="AD1893" s="2">
        <f t="shared" ca="1" si="1826"/>
        <v>7231570.7395483404</v>
      </c>
      <c r="AE1893" s="2">
        <f t="shared" ca="1" si="1827"/>
        <v>7610761.4653594391</v>
      </c>
      <c r="AF1893" s="2">
        <f t="shared" ca="1" si="1828"/>
        <v>993752.27621226979</v>
      </c>
      <c r="AG1893" s="2">
        <f t="shared" ca="1" si="1829"/>
        <v>1045860.1322320668</v>
      </c>
      <c r="AH1893" s="2">
        <f t="shared" ca="1" si="1830"/>
        <v>1100700.2875622404</v>
      </c>
      <c r="AI1893" s="2">
        <f t="shared" ca="1" si="1831"/>
        <v>1158416.0115692876</v>
      </c>
      <c r="AJ1893" s="2">
        <f t="shared" ca="1" si="1832"/>
        <v>1219158.0860145956</v>
      </c>
      <c r="AK1893" s="2">
        <f t="shared" ca="1" si="1833"/>
        <v>0</v>
      </c>
      <c r="AL1893" s="2">
        <f t="shared" ca="1" si="1834"/>
        <v>26053.928009898515</v>
      </c>
      <c r="AM1893" s="2">
        <f t="shared" ca="1" si="1835"/>
        <v>27420.077665086763</v>
      </c>
      <c r="AN1893" s="2">
        <f t="shared" ca="1" si="1836"/>
        <v>28857.862003523634</v>
      </c>
      <c r="AO1893" s="2">
        <f t="shared" ca="1" si="1837"/>
        <v>30371.037222654002</v>
      </c>
      <c r="AP1893" s="2">
        <f t="shared" ca="1" si="1838"/>
        <v>2215589.7622225774</v>
      </c>
      <c r="AQ1893" s="2">
        <f t="shared" ca="1" si="1839"/>
        <v>760604.26181321102</v>
      </c>
      <c r="AR1893" s="2">
        <f t="shared" ca="1" si="1840"/>
        <v>849543.58839518507</v>
      </c>
      <c r="AS1893" s="2">
        <f t="shared" ca="1" si="1841"/>
        <v>924295.41656233557</v>
      </c>
      <c r="AT1893" s="2">
        <f t="shared" ca="1" si="1842"/>
        <v>1002966.8910966837</v>
      </c>
      <c r="AU1893" s="2">
        <f t="shared" ca="1" si="1843"/>
        <v>1085763.5404517893</v>
      </c>
      <c r="AV1893" s="2">
        <f t="shared" ca="1" si="1844"/>
        <v>2164796.745160677</v>
      </c>
      <c r="AW1893" s="2">
        <f t="shared" ca="1" si="1845"/>
        <v>2391877.8235763977</v>
      </c>
      <c r="AX1893" s="2">
        <f t="shared" ca="1" si="1846"/>
        <v>2603266.8771661757</v>
      </c>
      <c r="AY1893" s="2">
        <f t="shared" ca="1" si="1847"/>
        <v>2825740.2126562684</v>
      </c>
      <c r="AZ1893" s="2">
        <f t="shared" ca="1" si="1848"/>
        <v>3059879.0394478231</v>
      </c>
      <c r="BA1893" s="2">
        <f t="shared" ca="1" si="1849"/>
        <v>54546410.678701319</v>
      </c>
      <c r="BB1893" s="2">
        <f t="shared" ca="1" si="1850"/>
        <v>1090928.2135740265</v>
      </c>
      <c r="BC1893" s="2">
        <f t="shared" ca="1" si="1851"/>
        <v>28837818.440431986</v>
      </c>
      <c r="BD1893" s="2">
        <f t="shared" ca="1" si="1852"/>
        <v>-17937512.01749251</v>
      </c>
      <c r="BE1893" s="2">
        <f t="shared" ca="1" si="1853"/>
        <v>2164796.745160677</v>
      </c>
      <c r="BF1893" s="2">
        <f t="shared" ca="1" si="1854"/>
        <v>2391877.8235763977</v>
      </c>
      <c r="BG1893" s="2">
        <f t="shared" ca="1" si="1855"/>
        <v>2603266.8771661757</v>
      </c>
      <c r="BH1893" s="2">
        <f t="shared" ca="1" si="1856"/>
        <v>2825740.2126562684</v>
      </c>
      <c r="BI1893" s="2">
        <f t="shared" ca="1" si="1857"/>
        <v>31897697.479879808</v>
      </c>
      <c r="BJ1893" s="2">
        <f t="shared" ca="1" si="1858"/>
        <v>0.219257022097751</v>
      </c>
      <c r="BK1893" s="2">
        <f t="shared" ca="1" si="1859"/>
        <v>7650505.6947068945</v>
      </c>
    </row>
    <row r="1894" spans="1:63" x14ac:dyDescent="0.3">
      <c r="A1894" s="2">
        <v>1893</v>
      </c>
      <c r="B1894" s="2">
        <f t="shared" ca="1" si="1798"/>
        <v>0.67805124134142591</v>
      </c>
      <c r="C1894" s="2">
        <f t="shared" ca="1" si="1799"/>
        <v>7.1975677490796199</v>
      </c>
      <c r="D1894" s="2">
        <f t="shared" ca="1" si="1800"/>
        <v>0.92638706814341587</v>
      </c>
      <c r="E1894" s="2">
        <f t="shared" ca="1" si="1801"/>
        <v>8.1162997736341964</v>
      </c>
      <c r="F1894" s="2">
        <f t="shared" ca="1" si="1802"/>
        <v>0.25524678186888294</v>
      </c>
      <c r="G1894" s="2">
        <f t="shared" ca="1" si="1803"/>
        <v>2.0257919223165818E-2</v>
      </c>
      <c r="H1894" s="2">
        <f t="shared" ca="1" si="1804"/>
        <v>2.0257919223165818E-2</v>
      </c>
      <c r="I1894" s="2">
        <f t="shared" ca="1" si="1805"/>
        <v>0.31906371469570582</v>
      </c>
      <c r="J1894" s="2">
        <f t="shared" ca="1" si="1806"/>
        <v>7.6484071312960472E-3</v>
      </c>
      <c r="K1894" s="2">
        <f t="shared" ca="1" si="1807"/>
        <v>7.6484071312960472E-3</v>
      </c>
      <c r="L1894" s="2">
        <f t="shared" ca="1" si="1808"/>
        <v>0.84818332536399477</v>
      </c>
      <c r="M1894" s="2">
        <f t="shared" ca="1" si="1809"/>
        <v>2.0573460525827904E-2</v>
      </c>
      <c r="N1894" s="2">
        <f t="shared" ca="1" si="1810"/>
        <v>2.0573460525827904E-2</v>
      </c>
      <c r="O1894" s="2">
        <f t="shared" si="1811"/>
        <v>6000000</v>
      </c>
      <c r="P1894" s="2">
        <f t="shared" ca="1" si="1812"/>
        <v>43185406.494477719</v>
      </c>
      <c r="Q1894" s="2">
        <f t="shared" ca="1" si="1813"/>
        <v>1079635.1623619429</v>
      </c>
      <c r="R1894" s="2">
        <f t="shared" ca="1" si="1814"/>
        <v>25911243.896686632</v>
      </c>
      <c r="S1894" s="2">
        <f t="shared" ca="1" si="1815"/>
        <v>17274162.597791087</v>
      </c>
      <c r="T1894" s="2">
        <f t="shared" ca="1" si="1816"/>
        <v>51028673.026291393</v>
      </c>
      <c r="U1894" s="2">
        <f t="shared" ca="1" si="1817"/>
        <v>52062407.762523346</v>
      </c>
      <c r="V1894" s="2">
        <f t="shared" ca="1" si="1818"/>
        <v>53117083.813540064</v>
      </c>
      <c r="W1894" s="2">
        <f t="shared" ca="1" si="1819"/>
        <v>54193125.406804882</v>
      </c>
      <c r="X1894" s="2">
        <f t="shared" ca="1" si="1820"/>
        <v>55290965.363746829</v>
      </c>
      <c r="Y1894" s="2">
        <f t="shared" ca="1" si="1821"/>
        <v>0.12382420356564802</v>
      </c>
      <c r="Z1894" s="2">
        <f t="shared" ca="1" si="1822"/>
        <v>0.12535388499190722</v>
      </c>
      <c r="AA1894" s="2">
        <f t="shared" ca="1" si="1823"/>
        <v>6318584.7964923978</v>
      </c>
      <c r="AB1894" s="2">
        <f t="shared" ca="1" si="1824"/>
        <v>6526225.0750651294</v>
      </c>
      <c r="AC1894" s="2">
        <f t="shared" ca="1" si="1825"/>
        <v>6658432.8154679975</v>
      </c>
      <c r="AD1894" s="2">
        <f t="shared" ca="1" si="1826"/>
        <v>6793318.8095966242</v>
      </c>
      <c r="AE1894" s="2">
        <f t="shared" ca="1" si="1827"/>
        <v>6930937.3132986454</v>
      </c>
      <c r="AF1894" s="2">
        <f t="shared" ca="1" si="1828"/>
        <v>1020573.4605258278</v>
      </c>
      <c r="AG1894" s="2">
        <f t="shared" ca="1" si="1829"/>
        <v>1041248.1552504669</v>
      </c>
      <c r="AH1894" s="2">
        <f t="shared" ca="1" si="1830"/>
        <v>1062341.6762708013</v>
      </c>
      <c r="AI1894" s="2">
        <f t="shared" ca="1" si="1831"/>
        <v>1083862.5081360976</v>
      </c>
      <c r="AJ1894" s="2">
        <f t="shared" ca="1" si="1832"/>
        <v>1105819.3072749367</v>
      </c>
      <c r="AK1894" s="2">
        <f t="shared" ca="1" si="1833"/>
        <v>0</v>
      </c>
      <c r="AL1894" s="2">
        <f t="shared" ca="1" si="1834"/>
        <v>10337.34736231953</v>
      </c>
      <c r="AM1894" s="2">
        <f t="shared" ca="1" si="1835"/>
        <v>10546.760510167182</v>
      </c>
      <c r="AN1894" s="2">
        <f t="shared" ca="1" si="1836"/>
        <v>10760.415932648182</v>
      </c>
      <c r="AO1894" s="2">
        <f t="shared" ca="1" si="1837"/>
        <v>10978.399569419473</v>
      </c>
      <c r="AP1894" s="2">
        <f t="shared" ca="1" si="1838"/>
        <v>2332011.9507017969</v>
      </c>
      <c r="AQ1894" s="2">
        <f t="shared" ca="1" si="1839"/>
        <v>771159.84016884107</v>
      </c>
      <c r="AR1894" s="2">
        <f t="shared" ca="1" si="1840"/>
        <v>819770.89196934516</v>
      </c>
      <c r="AS1894" s="2">
        <f t="shared" ca="1" si="1841"/>
        <v>848660.58900880371</v>
      </c>
      <c r="AT1894" s="2">
        <f t="shared" ca="1" si="1842"/>
        <v>878135.5311972698</v>
      </c>
      <c r="AU1894" s="2">
        <f t="shared" ca="1" si="1843"/>
        <v>908207.57438369712</v>
      </c>
      <c r="AV1894" s="2">
        <f t="shared" ca="1" si="1844"/>
        <v>2194839.5450959322</v>
      </c>
      <c r="AW1894" s="2">
        <f t="shared" ca="1" si="1845"/>
        <v>2322856.7297812006</v>
      </c>
      <c r="AX1894" s="2">
        <f t="shared" ca="1" si="1846"/>
        <v>2404871.8389764284</v>
      </c>
      <c r="AY1894" s="2">
        <f t="shared" ca="1" si="1847"/>
        <v>2488548.4036288126</v>
      </c>
      <c r="AZ1894" s="2">
        <f t="shared" ca="1" si="1848"/>
        <v>2573920.0813687951</v>
      </c>
      <c r="BA1894" s="2">
        <f t="shared" ca="1" si="1849"/>
        <v>56253564.946998604</v>
      </c>
      <c r="BB1894" s="2">
        <f t="shared" ca="1" si="1850"/>
        <v>1125071.2989399722</v>
      </c>
      <c r="BC1894" s="2">
        <f t="shared" ca="1" si="1851"/>
        <v>29217249.751371998</v>
      </c>
      <c r="BD1894" s="2">
        <f t="shared" ca="1" si="1852"/>
        <v>-18853797.760153029</v>
      </c>
      <c r="BE1894" s="2">
        <f t="shared" ca="1" si="1853"/>
        <v>2194839.5450959322</v>
      </c>
      <c r="BF1894" s="2">
        <f t="shared" ca="1" si="1854"/>
        <v>2322856.7297812006</v>
      </c>
      <c r="BG1894" s="2">
        <f t="shared" ca="1" si="1855"/>
        <v>2404871.8389764284</v>
      </c>
      <c r="BH1894" s="2">
        <f t="shared" ca="1" si="1856"/>
        <v>2488548.4036288126</v>
      </c>
      <c r="BI1894" s="2">
        <f t="shared" ca="1" si="1857"/>
        <v>31791169.832740795</v>
      </c>
      <c r="BJ1894" s="2">
        <f t="shared" ca="1" si="1858"/>
        <v>0.19932808937574564</v>
      </c>
      <c r="BK1894" s="2">
        <f t="shared" ca="1" si="1859"/>
        <v>6290068.8793267757</v>
      </c>
    </row>
    <row r="1895" spans="1:63" x14ac:dyDescent="0.3">
      <c r="A1895" s="2">
        <v>1894</v>
      </c>
      <c r="B1895" s="2">
        <f t="shared" ca="1" si="1798"/>
        <v>2.0842515641210646E-3</v>
      </c>
      <c r="C1895" s="2">
        <f t="shared" ca="1" si="1799"/>
        <v>6.0645639460398924</v>
      </c>
      <c r="D1895" s="2">
        <f t="shared" ca="1" si="1800"/>
        <v>0.50583160214655132</v>
      </c>
      <c r="E1895" s="2">
        <f t="shared" ca="1" si="1801"/>
        <v>7.505848705826474</v>
      </c>
      <c r="F1895" s="2">
        <f t="shared" ca="1" si="1802"/>
        <v>0.18691438938812344</v>
      </c>
      <c r="G1895" s="2">
        <f t="shared" ca="1" si="1803"/>
        <v>1.3320268948082133E-2</v>
      </c>
      <c r="H1895" s="2">
        <f t="shared" ca="1" si="1804"/>
        <v>1.3320268948082133E-2</v>
      </c>
      <c r="I1895" s="2">
        <f t="shared" ca="1" si="1805"/>
        <v>0.28095867558629106</v>
      </c>
      <c r="J1895" s="2">
        <f t="shared" ca="1" si="1806"/>
        <v>7.1000202664207243E-3</v>
      </c>
      <c r="K1895" s="2">
        <f t="shared" ca="1" si="1807"/>
        <v>7.1000202664207243E-3</v>
      </c>
      <c r="L1895" s="2">
        <f t="shared" ca="1" si="1808"/>
        <v>5.8584324267706434E-2</v>
      </c>
      <c r="M1895" s="2">
        <f t="shared" ca="1" si="1809"/>
        <v>-3.1335384048677119E-2</v>
      </c>
      <c r="N1895" s="2">
        <f t="shared" ca="1" si="1810"/>
        <v>-3.1335384048677119E-2</v>
      </c>
      <c r="O1895" s="2">
        <f t="shared" si="1811"/>
        <v>6000000</v>
      </c>
      <c r="P1895" s="2">
        <f t="shared" ca="1" si="1812"/>
        <v>36387383.676239356</v>
      </c>
      <c r="Q1895" s="2">
        <f t="shared" ca="1" si="1813"/>
        <v>909684.59190598398</v>
      </c>
      <c r="R1895" s="2">
        <f t="shared" ca="1" si="1814"/>
        <v>21832430.205743615</v>
      </c>
      <c r="S1895" s="2">
        <f t="shared" ca="1" si="1815"/>
        <v>14554953.470495744</v>
      </c>
      <c r="T1895" s="2">
        <f t="shared" ca="1" si="1816"/>
        <v>48433230.797566146</v>
      </c>
      <c r="U1895" s="2">
        <f t="shared" ca="1" si="1817"/>
        <v>49078374.457814254</v>
      </c>
      <c r="V1895" s="2">
        <f t="shared" ca="1" si="1818"/>
        <v>49732111.605127022</v>
      </c>
      <c r="W1895" s="2">
        <f t="shared" ca="1" si="1819"/>
        <v>50394556.707063347</v>
      </c>
      <c r="X1895" s="2">
        <f t="shared" ca="1" si="1820"/>
        <v>51065825.755920805</v>
      </c>
      <c r="Y1895" s="2">
        <f t="shared" ca="1" si="1821"/>
        <v>0.12355001013321036</v>
      </c>
      <c r="Z1895" s="2">
        <f t="shared" ca="1" si="1822"/>
        <v>0.1249700141864945</v>
      </c>
      <c r="AA1895" s="2">
        <f t="shared" ca="1" si="1823"/>
        <v>5983926.1558234133</v>
      </c>
      <c r="AB1895" s="2">
        <f t="shared" ca="1" si="1824"/>
        <v>6133325.1522431364</v>
      </c>
      <c r="AC1895" s="2">
        <f t="shared" ca="1" si="1825"/>
        <v>6215022.6928170519</v>
      </c>
      <c r="AD1895" s="2">
        <f t="shared" ca="1" si="1826"/>
        <v>6297808.4666038081</v>
      </c>
      <c r="AE1895" s="2">
        <f t="shared" ca="1" si="1827"/>
        <v>6381696.969162479</v>
      </c>
      <c r="AF1895" s="2">
        <f t="shared" ca="1" si="1828"/>
        <v>968664.61595132295</v>
      </c>
      <c r="AG1895" s="2">
        <f t="shared" ca="1" si="1829"/>
        <v>981567.48915628507</v>
      </c>
      <c r="AH1895" s="2">
        <f t="shared" ca="1" si="1830"/>
        <v>994642.23210254044</v>
      </c>
      <c r="AI1895" s="2">
        <f t="shared" ca="1" si="1831"/>
        <v>1007891.1341412669</v>
      </c>
      <c r="AJ1895" s="2">
        <f t="shared" ca="1" si="1832"/>
        <v>1021316.5151184162</v>
      </c>
      <c r="AK1895" s="2">
        <f t="shared" ca="1" si="1833"/>
        <v>0</v>
      </c>
      <c r="AL1895" s="2">
        <f t="shared" ca="1" si="1834"/>
        <v>6451.4366024810824</v>
      </c>
      <c r="AM1895" s="2">
        <f t="shared" ca="1" si="1835"/>
        <v>6537.3714731276777</v>
      </c>
      <c r="AN1895" s="2">
        <f t="shared" ca="1" si="1836"/>
        <v>6624.4510193632541</v>
      </c>
      <c r="AO1895" s="2">
        <f t="shared" ca="1" si="1837"/>
        <v>6712.6904885745798</v>
      </c>
      <c r="AP1895" s="2">
        <f t="shared" ca="1" si="1838"/>
        <v>1964918.7185169253</v>
      </c>
      <c r="AQ1895" s="2">
        <f t="shared" ca="1" si="1839"/>
        <v>793089.13355234289</v>
      </c>
      <c r="AR1895" s="2">
        <f t="shared" ca="1" si="1840"/>
        <v>828578.12558818073</v>
      </c>
      <c r="AS1895" s="2">
        <f t="shared" ca="1" si="1841"/>
        <v>846420.0529713725</v>
      </c>
      <c r="AT1895" s="2">
        <f t="shared" ca="1" si="1842"/>
        <v>864499.63962586003</v>
      </c>
      <c r="AU1895" s="2">
        <f t="shared" ca="1" si="1843"/>
        <v>882820.05123705568</v>
      </c>
      <c r="AV1895" s="2">
        <f t="shared" ca="1" si="1844"/>
        <v>2257253.6878028223</v>
      </c>
      <c r="AW1895" s="2">
        <f t="shared" ca="1" si="1845"/>
        <v>2351809.3823792646</v>
      </c>
      <c r="AX1895" s="2">
        <f t="shared" ca="1" si="1846"/>
        <v>2402504.3177530859</v>
      </c>
      <c r="AY1895" s="2">
        <f t="shared" ca="1" si="1847"/>
        <v>2453874.5233003916</v>
      </c>
      <c r="AZ1895" s="2">
        <f t="shared" ca="1" si="1848"/>
        <v>2505928.9938015062</v>
      </c>
      <c r="BA1895" s="2">
        <f t="shared" ca="1" si="1849"/>
        <v>47900051.936964922</v>
      </c>
      <c r="BB1895" s="2">
        <f t="shared" ca="1" si="1850"/>
        <v>958001.03873929847</v>
      </c>
      <c r="BC1895" s="2">
        <f t="shared" ca="1" si="1851"/>
        <v>25109620.69248201</v>
      </c>
      <c r="BD1895" s="2">
        <f t="shared" ca="1" si="1852"/>
        <v>-15964638.062401727</v>
      </c>
      <c r="BE1895" s="2">
        <f t="shared" ca="1" si="1853"/>
        <v>2257253.6878028223</v>
      </c>
      <c r="BF1895" s="2">
        <f t="shared" ca="1" si="1854"/>
        <v>2351809.3823792646</v>
      </c>
      <c r="BG1895" s="2">
        <f t="shared" ca="1" si="1855"/>
        <v>2402504.3177530859</v>
      </c>
      <c r="BH1895" s="2">
        <f t="shared" ca="1" si="1856"/>
        <v>2453874.5233003916</v>
      </c>
      <c r="BI1895" s="2">
        <f t="shared" ca="1" si="1857"/>
        <v>27615549.686283514</v>
      </c>
      <c r="BJ1895" s="2">
        <f t="shared" ca="1" si="1858"/>
        <v>0.22216975847289566</v>
      </c>
      <c r="BK1895" s="2">
        <f t="shared" ca="1" si="1859"/>
        <v>6864956.3245795667</v>
      </c>
    </row>
    <row r="1896" spans="1:63" x14ac:dyDescent="0.3">
      <c r="A1896" s="2">
        <v>1895</v>
      </c>
      <c r="B1896" s="2">
        <f t="shared" ca="1" si="1798"/>
        <v>0.34216450837665979</v>
      </c>
      <c r="C1896" s="2">
        <f t="shared" ca="1" si="1799"/>
        <v>6.82724181274481</v>
      </c>
      <c r="D1896" s="2">
        <f t="shared" ca="1" si="1800"/>
        <v>8.3423999431420426E-2</v>
      </c>
      <c r="E1896" s="2">
        <f t="shared" ca="1" si="1801"/>
        <v>6.9084703157670591</v>
      </c>
      <c r="F1896" s="2">
        <f t="shared" ca="1" si="1802"/>
        <v>0.49145391317741205</v>
      </c>
      <c r="G1896" s="2">
        <f t="shared" ca="1" si="1803"/>
        <v>3.935729495403717E-2</v>
      </c>
      <c r="H1896" s="2">
        <f t="shared" ca="1" si="1804"/>
        <v>3.935729495403717E-2</v>
      </c>
      <c r="I1896" s="2">
        <f t="shared" ca="1" si="1805"/>
        <v>0.11307491791549062</v>
      </c>
      <c r="J1896" s="2">
        <f t="shared" ca="1" si="1806"/>
        <v>3.9483180024104661E-3</v>
      </c>
      <c r="K1896" s="2">
        <f t="shared" ca="1" si="1807"/>
        <v>3.9483180024104661E-3</v>
      </c>
      <c r="L1896" s="2">
        <f t="shared" ca="1" si="1808"/>
        <v>0.91972235657830281</v>
      </c>
      <c r="M1896" s="2">
        <f t="shared" ca="1" si="1809"/>
        <v>2.8064128861331045E-2</v>
      </c>
      <c r="N1896" s="2">
        <f t="shared" ca="1" si="1810"/>
        <v>2.8064128861331045E-2</v>
      </c>
      <c r="O1896" s="2">
        <f t="shared" si="1811"/>
        <v>6000000</v>
      </c>
      <c r="P1896" s="2">
        <f t="shared" ca="1" si="1812"/>
        <v>40963450.87646886</v>
      </c>
      <c r="Q1896" s="2">
        <f t="shared" ca="1" si="1813"/>
        <v>1024086.2719117216</v>
      </c>
      <c r="R1896" s="2">
        <f t="shared" ca="1" si="1814"/>
        <v>24578070.525881317</v>
      </c>
      <c r="S1896" s="2">
        <f t="shared" ca="1" si="1815"/>
        <v>16385380.350587545</v>
      </c>
      <c r="T1896" s="2">
        <f t="shared" ca="1" si="1816"/>
        <v>51403206.443066552</v>
      </c>
      <c r="U1896" s="2">
        <f t="shared" ca="1" si="1817"/>
        <v>53426297.600629583</v>
      </c>
      <c r="V1896" s="2">
        <f t="shared" ca="1" si="1818"/>
        <v>55529012.153599724</v>
      </c>
      <c r="W1896" s="2">
        <f t="shared" ca="1" si="1819"/>
        <v>57714483.863435254</v>
      </c>
      <c r="X1896" s="2">
        <f t="shared" ca="1" si="1820"/>
        <v>59985969.827968486</v>
      </c>
      <c r="Y1896" s="2">
        <f t="shared" ca="1" si="1821"/>
        <v>0.12197415900120523</v>
      </c>
      <c r="Z1896" s="2">
        <f t="shared" ca="1" si="1822"/>
        <v>0.12276382260168732</v>
      </c>
      <c r="AA1896" s="2">
        <f t="shared" ca="1" si="1823"/>
        <v>6269862.8758583767</v>
      </c>
      <c r="AB1896" s="2">
        <f t="shared" ca="1" si="1824"/>
        <v>6558816.5209086426</v>
      </c>
      <c r="AC1896" s="2">
        <f t="shared" ca="1" si="1825"/>
        <v>6816953.7972714556</v>
      </c>
      <c r="AD1896" s="2">
        <f t="shared" ca="1" si="1826"/>
        <v>7085250.6585587105</v>
      </c>
      <c r="AE1896" s="2">
        <f t="shared" ca="1" si="1827"/>
        <v>7364106.9585508909</v>
      </c>
      <c r="AF1896" s="2">
        <f t="shared" ca="1" si="1828"/>
        <v>1028064.128861331</v>
      </c>
      <c r="AG1896" s="2">
        <f t="shared" ca="1" si="1829"/>
        <v>1068525.9520125918</v>
      </c>
      <c r="AH1896" s="2">
        <f t="shared" ca="1" si="1830"/>
        <v>1110580.2430719945</v>
      </c>
      <c r="AI1896" s="2">
        <f t="shared" ca="1" si="1831"/>
        <v>1154289.6772687051</v>
      </c>
      <c r="AJ1896" s="2">
        <f t="shared" ca="1" si="1832"/>
        <v>1199719.3965593698</v>
      </c>
      <c r="AK1896" s="2">
        <f t="shared" ca="1" si="1833"/>
        <v>0</v>
      </c>
      <c r="AL1896" s="2">
        <f t="shared" ca="1" si="1834"/>
        <v>20230.911575630307</v>
      </c>
      <c r="AM1896" s="2">
        <f t="shared" ca="1" si="1835"/>
        <v>21027.145529701411</v>
      </c>
      <c r="AN1896" s="2">
        <f t="shared" ca="1" si="1836"/>
        <v>21854.717098355293</v>
      </c>
      <c r="AO1896" s="2">
        <f t="shared" ca="1" si="1837"/>
        <v>22714.859645332323</v>
      </c>
      <c r="AP1896" s="2">
        <f t="shared" ca="1" si="1838"/>
        <v>2212026.3473293185</v>
      </c>
      <c r="AQ1896" s="2">
        <f t="shared" ca="1" si="1839"/>
        <v>787740.82391360903</v>
      </c>
      <c r="AR1896" s="2">
        <f t="shared" ca="1" si="1840"/>
        <v>852348.6976073503</v>
      </c>
      <c r="AS1896" s="2">
        <f t="shared" ca="1" si="1841"/>
        <v>908530.273786237</v>
      </c>
      <c r="AT1896" s="2">
        <f t="shared" ca="1" si="1842"/>
        <v>966923.00482977857</v>
      </c>
      <c r="AU1896" s="2">
        <f t="shared" ca="1" si="1843"/>
        <v>1027613.9158121727</v>
      </c>
      <c r="AV1896" s="2">
        <f t="shared" ca="1" si="1844"/>
        <v>2242031.5757541182</v>
      </c>
      <c r="AW1896" s="2">
        <f t="shared" ca="1" si="1845"/>
        <v>2405684.6123837512</v>
      </c>
      <c r="AX1896" s="2">
        <f t="shared" ca="1" si="1846"/>
        <v>2564789.7875542045</v>
      </c>
      <c r="AY1896" s="2">
        <f t="shared" ca="1" si="1847"/>
        <v>2730156.912032553</v>
      </c>
      <c r="AZ1896" s="2">
        <f t="shared" ca="1" si="1848"/>
        <v>2902032.4392046975</v>
      </c>
      <c r="BA1896" s="2">
        <f t="shared" ca="1" si="1849"/>
        <v>50874714.325282469</v>
      </c>
      <c r="BB1896" s="2">
        <f t="shared" ca="1" si="1850"/>
        <v>1017494.2865056494</v>
      </c>
      <c r="BC1896" s="2">
        <f t="shared" ca="1" si="1851"/>
        <v>25279149.512895502</v>
      </c>
      <c r="BD1896" s="2">
        <f t="shared" ca="1" si="1852"/>
        <v>-17909466.622499265</v>
      </c>
      <c r="BE1896" s="2">
        <f t="shared" ca="1" si="1853"/>
        <v>2242031.5757541182</v>
      </c>
      <c r="BF1896" s="2">
        <f t="shared" ca="1" si="1854"/>
        <v>2405684.6123837512</v>
      </c>
      <c r="BG1896" s="2">
        <f t="shared" ca="1" si="1855"/>
        <v>2564789.7875542045</v>
      </c>
      <c r="BH1896" s="2">
        <f t="shared" ca="1" si="1856"/>
        <v>2730156.912032553</v>
      </c>
      <c r="BI1896" s="2">
        <f t="shared" ca="1" si="1857"/>
        <v>28181181.952100199</v>
      </c>
      <c r="BJ1896" s="2">
        <f t="shared" ca="1" si="1858"/>
        <v>0.19594267822542055</v>
      </c>
      <c r="BK1896" s="2">
        <f t="shared" ca="1" si="1859"/>
        <v>5561534.5793022588</v>
      </c>
    </row>
    <row r="1897" spans="1:63" x14ac:dyDescent="0.3">
      <c r="A1897" s="2">
        <v>1896</v>
      </c>
      <c r="B1897" s="2">
        <f t="shared" ca="1" si="1798"/>
        <v>0.45212461069477439</v>
      </c>
      <c r="C1897" s="2">
        <f t="shared" ca="1" si="1799"/>
        <v>6.9509201971719543</v>
      </c>
      <c r="D1897" s="2">
        <f t="shared" ca="1" si="1800"/>
        <v>0.92143529993091167</v>
      </c>
      <c r="E1897" s="2">
        <f t="shared" ca="1" si="1801"/>
        <v>8.1036044902648658</v>
      </c>
      <c r="F1897" s="2">
        <f t="shared" ca="1" si="1802"/>
        <v>0.52188253189579237</v>
      </c>
      <c r="G1897" s="2">
        <f t="shared" ca="1" si="1803"/>
        <v>4.1646367214423101E-2</v>
      </c>
      <c r="H1897" s="2">
        <f t="shared" ca="1" si="1804"/>
        <v>4.1646367214423101E-2</v>
      </c>
      <c r="I1897" s="2">
        <f t="shared" ca="1" si="1805"/>
        <v>0.59673510150518594</v>
      </c>
      <c r="J1897" s="2">
        <f t="shared" ca="1" si="1806"/>
        <v>1.1224526247165896E-2</v>
      </c>
      <c r="K1897" s="2">
        <f t="shared" ca="1" si="1807"/>
        <v>1.1224526247165896E-2</v>
      </c>
      <c r="L1897" s="2">
        <f t="shared" ca="1" si="1808"/>
        <v>0.27349084865150641</v>
      </c>
      <c r="M1897" s="2">
        <f t="shared" ca="1" si="1809"/>
        <v>-1.204578253567822E-2</v>
      </c>
      <c r="N1897" s="2">
        <f t="shared" ca="1" si="1810"/>
        <v>-1.204578253567822E-2</v>
      </c>
      <c r="O1897" s="2">
        <f t="shared" si="1811"/>
        <v>6000000</v>
      </c>
      <c r="P1897" s="2">
        <f t="shared" ca="1" si="1812"/>
        <v>41705521.183031723</v>
      </c>
      <c r="Q1897" s="2">
        <f t="shared" ca="1" si="1813"/>
        <v>1042638.0295757931</v>
      </c>
      <c r="R1897" s="2">
        <f t="shared" ca="1" si="1814"/>
        <v>25023312.709819034</v>
      </c>
      <c r="S1897" s="2">
        <f t="shared" ca="1" si="1815"/>
        <v>16682208.473212689</v>
      </c>
      <c r="T1897" s="2">
        <f t="shared" ca="1" si="1816"/>
        <v>49397710.873216085</v>
      </c>
      <c r="U1897" s="2">
        <f t="shared" ca="1" si="1817"/>
        <v>51454946.079793945</v>
      </c>
      <c r="V1897" s="2">
        <f t="shared" ca="1" si="1818"/>
        <v>53597857.659231387</v>
      </c>
      <c r="W1897" s="2">
        <f t="shared" ca="1" si="1819"/>
        <v>55830013.721214123</v>
      </c>
      <c r="X1897" s="2">
        <f t="shared" ca="1" si="1820"/>
        <v>58155130.974234089</v>
      </c>
      <c r="Y1897" s="2">
        <f t="shared" ca="1" si="1821"/>
        <v>0.12561226312358295</v>
      </c>
      <c r="Z1897" s="2">
        <f t="shared" ca="1" si="1822"/>
        <v>0.12785716837301611</v>
      </c>
      <c r="AA1897" s="2">
        <f t="shared" ca="1" si="1823"/>
        <v>6204958.2559090937</v>
      </c>
      <c r="AB1897" s="2">
        <f t="shared" ca="1" si="1824"/>
        <v>6578883.7045486793</v>
      </c>
      <c r="AC1897" s="2">
        <f t="shared" ca="1" si="1825"/>
        <v>6852870.3111692984</v>
      </c>
      <c r="AD1897" s="2">
        <f t="shared" ca="1" si="1826"/>
        <v>7138267.4646210736</v>
      </c>
      <c r="AE1897" s="2">
        <f t="shared" ca="1" si="1827"/>
        <v>7435550.3727274528</v>
      </c>
      <c r="AF1897" s="2">
        <f t="shared" ca="1" si="1828"/>
        <v>987954.21746432176</v>
      </c>
      <c r="AG1897" s="2">
        <f t="shared" ca="1" si="1829"/>
        <v>1029098.9215958789</v>
      </c>
      <c r="AH1897" s="2">
        <f t="shared" ca="1" si="1830"/>
        <v>1071957.1531846276</v>
      </c>
      <c r="AI1897" s="2">
        <f t="shared" ca="1" si="1831"/>
        <v>1116600.2744242824</v>
      </c>
      <c r="AJ1897" s="2">
        <f t="shared" ca="1" si="1832"/>
        <v>1163102.6194846819</v>
      </c>
      <c r="AK1897" s="2">
        <f t="shared" ca="1" si="1833"/>
        <v>0</v>
      </c>
      <c r="AL1897" s="2">
        <f t="shared" ca="1" si="1834"/>
        <v>20572.352065778599</v>
      </c>
      <c r="AM1897" s="2">
        <f t="shared" ca="1" si="1835"/>
        <v>21429.115794374422</v>
      </c>
      <c r="AN1897" s="2">
        <f t="shared" ca="1" si="1836"/>
        <v>22321.56061982736</v>
      </c>
      <c r="AO1897" s="2">
        <f t="shared" ca="1" si="1837"/>
        <v>23251.172530199663</v>
      </c>
      <c r="AP1897" s="2">
        <f t="shared" ca="1" si="1838"/>
        <v>2252098.1438837131</v>
      </c>
      <c r="AQ1897" s="2">
        <f t="shared" ca="1" si="1839"/>
        <v>770875.53258587548</v>
      </c>
      <c r="AR1897" s="2">
        <f t="shared" ca="1" si="1840"/>
        <v>857398.52615796274</v>
      </c>
      <c r="AS1897" s="2">
        <f t="shared" ca="1" si="1841"/>
        <v>917491.90366624889</v>
      </c>
      <c r="AT1897" s="2">
        <f t="shared" ca="1" si="1842"/>
        <v>980087.95204140048</v>
      </c>
      <c r="AU1897" s="2">
        <f t="shared" ca="1" si="1843"/>
        <v>1045290.8984333551</v>
      </c>
      <c r="AV1897" s="2">
        <f t="shared" ca="1" si="1844"/>
        <v>2194030.3619751842</v>
      </c>
      <c r="AW1897" s="2">
        <f t="shared" ca="1" si="1845"/>
        <v>2419715.7608453459</v>
      </c>
      <c r="AX1897" s="2">
        <f t="shared" ca="1" si="1846"/>
        <v>2589893.994640334</v>
      </c>
      <c r="AY1897" s="2">
        <f t="shared" ca="1" si="1847"/>
        <v>2767159.5336518507</v>
      </c>
      <c r="AZ1897" s="2">
        <f t="shared" ca="1" si="1848"/>
        <v>2951807.5383955031</v>
      </c>
      <c r="BA1897" s="2">
        <f t="shared" ca="1" si="1849"/>
        <v>60254759.388024785</v>
      </c>
      <c r="BB1897" s="2">
        <f t="shared" ca="1" si="1850"/>
        <v>1205095.1877604958</v>
      </c>
      <c r="BC1897" s="2">
        <f t="shared" ca="1" si="1851"/>
        <v>34026351.490445256</v>
      </c>
      <c r="BD1897" s="2">
        <f t="shared" ca="1" si="1852"/>
        <v>-18224846.502788484</v>
      </c>
      <c r="BE1897" s="2">
        <f t="shared" ca="1" si="1853"/>
        <v>2194030.3619751842</v>
      </c>
      <c r="BF1897" s="2">
        <f t="shared" ca="1" si="1854"/>
        <v>2419715.7608453459</v>
      </c>
      <c r="BG1897" s="2">
        <f t="shared" ca="1" si="1855"/>
        <v>2589893.994640334</v>
      </c>
      <c r="BH1897" s="2">
        <f t="shared" ca="1" si="1856"/>
        <v>2767159.5336518507</v>
      </c>
      <c r="BI1897" s="2">
        <f t="shared" ca="1" si="1857"/>
        <v>36978159.028840758</v>
      </c>
      <c r="BJ1897" s="2">
        <f t="shared" ca="1" si="1858"/>
        <v>0.24425091351214756</v>
      </c>
      <c r="BK1897" s="2">
        <f t="shared" ca="1" si="1859"/>
        <v>10247507.574285153</v>
      </c>
    </row>
    <row r="1898" spans="1:63" x14ac:dyDescent="0.3">
      <c r="A1898" s="2">
        <v>1897</v>
      </c>
      <c r="B1898" s="2">
        <f t="shared" ca="1" si="1798"/>
        <v>0.54566030262871057</v>
      </c>
      <c r="C1898" s="2">
        <f t="shared" ca="1" si="1799"/>
        <v>7.0467532351260882</v>
      </c>
      <c r="D1898" s="2">
        <f t="shared" ca="1" si="1800"/>
        <v>0.2467583463609655</v>
      </c>
      <c r="E1898" s="2">
        <f t="shared" ca="1" si="1801"/>
        <v>7.2025074325029816</v>
      </c>
      <c r="F1898" s="2">
        <f t="shared" ca="1" si="1802"/>
        <v>0.30381557293011763</v>
      </c>
      <c r="G1898" s="2">
        <f t="shared" ca="1" si="1803"/>
        <v>2.4596266987541041E-2</v>
      </c>
      <c r="H1898" s="2">
        <f t="shared" ca="1" si="1804"/>
        <v>2.4596266987541041E-2</v>
      </c>
      <c r="I1898" s="2">
        <f t="shared" ca="1" si="1805"/>
        <v>3.4597113590485007E-2</v>
      </c>
      <c r="J1898" s="2">
        <f t="shared" ca="1" si="1806"/>
        <v>9.1425256888799308E-4</v>
      </c>
      <c r="K1898" s="2">
        <f t="shared" ca="1" si="1807"/>
        <v>9.1425256888799308E-4</v>
      </c>
      <c r="L1898" s="2">
        <f t="shared" ca="1" si="1808"/>
        <v>0.21846214987271129</v>
      </c>
      <c r="M1898" s="2">
        <f t="shared" ca="1" si="1809"/>
        <v>-1.5547949566774197E-2</v>
      </c>
      <c r="N1898" s="2">
        <f t="shared" ca="1" si="1810"/>
        <v>-1.5547949566774197E-2</v>
      </c>
      <c r="O1898" s="2">
        <f t="shared" si="1811"/>
        <v>6000000</v>
      </c>
      <c r="P1898" s="2">
        <f t="shared" ca="1" si="1812"/>
        <v>42280519.410756528</v>
      </c>
      <c r="Q1898" s="2">
        <f t="shared" ca="1" si="1813"/>
        <v>1057012.9852689132</v>
      </c>
      <c r="R1898" s="2">
        <f t="shared" ca="1" si="1814"/>
        <v>25368311.646453917</v>
      </c>
      <c r="S1898" s="2">
        <f t="shared" ca="1" si="1815"/>
        <v>16912207.764302611</v>
      </c>
      <c r="T1898" s="2">
        <f t="shared" ca="1" si="1816"/>
        <v>49222602.521661289</v>
      </c>
      <c r="U1898" s="2">
        <f t="shared" ca="1" si="1817"/>
        <v>50433294.795105681</v>
      </c>
      <c r="V1898" s="2">
        <f t="shared" ca="1" si="1818"/>
        <v>51673765.578947462</v>
      </c>
      <c r="W1898" s="2">
        <f t="shared" ca="1" si="1819"/>
        <v>52944747.313378863</v>
      </c>
      <c r="X1898" s="2">
        <f t="shared" ca="1" si="1820"/>
        <v>54246990.453886628</v>
      </c>
      <c r="Y1898" s="2">
        <f t="shared" ca="1" si="1821"/>
        <v>0.12045712628444399</v>
      </c>
      <c r="Z1898" s="2">
        <f t="shared" ca="1" si="1822"/>
        <v>0.1206399767982216</v>
      </c>
      <c r="AA1898" s="2">
        <f t="shared" ca="1" si="1823"/>
        <v>5929213.2480007457</v>
      </c>
      <c r="AB1898" s="2">
        <f t="shared" ca="1" si="1824"/>
        <v>6084271.5139394198</v>
      </c>
      <c r="AC1898" s="2">
        <f t="shared" ca="1" si="1825"/>
        <v>6233921.8805209631</v>
      </c>
      <c r="AD1898" s="2">
        <f t="shared" ca="1" si="1826"/>
        <v>6387253.0874737315</v>
      </c>
      <c r="AE1898" s="2">
        <f t="shared" ca="1" si="1827"/>
        <v>6544355.6697302312</v>
      </c>
      <c r="AF1898" s="2">
        <f t="shared" ca="1" si="1828"/>
        <v>984452.05043322581</v>
      </c>
      <c r="AG1898" s="2">
        <f t="shared" ca="1" si="1829"/>
        <v>1008665.8959021136</v>
      </c>
      <c r="AH1898" s="2">
        <f t="shared" ca="1" si="1830"/>
        <v>1033475.3115789492</v>
      </c>
      <c r="AI1898" s="2">
        <f t="shared" ca="1" si="1831"/>
        <v>1058894.9462675774</v>
      </c>
      <c r="AJ1898" s="2">
        <f t="shared" ca="1" si="1832"/>
        <v>1084939.8090777325</v>
      </c>
      <c r="AK1898" s="2">
        <f t="shared" ca="1" si="1833"/>
        <v>0</v>
      </c>
      <c r="AL1898" s="2">
        <f t="shared" ca="1" si="1834"/>
        <v>12106.922734443919</v>
      </c>
      <c r="AM1898" s="2">
        <f t="shared" ca="1" si="1835"/>
        <v>12404.707838417813</v>
      </c>
      <c r="AN1898" s="2">
        <f t="shared" ca="1" si="1836"/>
        <v>12709.817344314009</v>
      </c>
      <c r="AO1898" s="2">
        <f t="shared" ca="1" si="1837"/>
        <v>13022.431405077652</v>
      </c>
      <c r="AP1898" s="2">
        <f t="shared" ca="1" si="1838"/>
        <v>2283148.0481808526</v>
      </c>
      <c r="AQ1898" s="2">
        <f t="shared" ca="1" si="1839"/>
        <v>692019.41884053347</v>
      </c>
      <c r="AR1898" s="2">
        <f t="shared" ca="1" si="1840"/>
        <v>726038.96816267783</v>
      </c>
      <c r="AS1898" s="2">
        <f t="shared" ca="1" si="1841"/>
        <v>758497.61539790209</v>
      </c>
      <c r="AT1898" s="2">
        <f t="shared" ca="1" si="1842"/>
        <v>791754.62418657856</v>
      </c>
      <c r="AU1898" s="2">
        <f t="shared" ca="1" si="1843"/>
        <v>825829.63124262809</v>
      </c>
      <c r="AV1898" s="2">
        <f t="shared" ca="1" si="1844"/>
        <v>1969593.7305461341</v>
      </c>
      <c r="AW1898" s="2">
        <f t="shared" ca="1" si="1845"/>
        <v>2054311.678959331</v>
      </c>
      <c r="AX1898" s="2">
        <f t="shared" ca="1" si="1846"/>
        <v>2146396.1975248414</v>
      </c>
      <c r="AY1898" s="2">
        <f t="shared" ca="1" si="1847"/>
        <v>2240745.6514944094</v>
      </c>
      <c r="AZ1898" s="2">
        <f t="shared" ca="1" si="1848"/>
        <v>2337415.7498239405</v>
      </c>
      <c r="BA1898" s="2">
        <f t="shared" ca="1" si="1849"/>
        <v>47135770.35217502</v>
      </c>
      <c r="BB1898" s="2">
        <f t="shared" ca="1" si="1850"/>
        <v>942715.40704350045</v>
      </c>
      <c r="BC1898" s="2">
        <f t="shared" ca="1" si="1851"/>
        <v>20824743.298677601</v>
      </c>
      <c r="BD1898" s="2">
        <f t="shared" ca="1" si="1852"/>
        <v>-18469220.749571525</v>
      </c>
      <c r="BE1898" s="2">
        <f t="shared" ca="1" si="1853"/>
        <v>1969593.7305461341</v>
      </c>
      <c r="BF1898" s="2">
        <f t="shared" ca="1" si="1854"/>
        <v>2054311.678959331</v>
      </c>
      <c r="BG1898" s="2">
        <f t="shared" ca="1" si="1855"/>
        <v>2146396.1975248414</v>
      </c>
      <c r="BH1898" s="2">
        <f t="shared" ca="1" si="1856"/>
        <v>2240745.6514944094</v>
      </c>
      <c r="BI1898" s="2">
        <f t="shared" ca="1" si="1857"/>
        <v>23162159.04850154</v>
      </c>
      <c r="BJ1898" s="2">
        <f t="shared" ca="1" si="1858"/>
        <v>0.13464328097975331</v>
      </c>
      <c r="BK1898" s="2">
        <f t="shared" ca="1" si="1859"/>
        <v>1021657.6428782083</v>
      </c>
    </row>
    <row r="1899" spans="1:63" x14ac:dyDescent="0.3">
      <c r="A1899" s="2">
        <v>1898</v>
      </c>
      <c r="B1899" s="2">
        <f t="shared" ca="1" si="1798"/>
        <v>0.56598382674956638</v>
      </c>
      <c r="C1899" s="2">
        <f t="shared" ca="1" si="1799"/>
        <v>7.0683174647440969</v>
      </c>
      <c r="D1899" s="2">
        <f t="shared" ca="1" si="1800"/>
        <v>0.43912598512783785</v>
      </c>
      <c r="E1899" s="2">
        <f t="shared" ca="1" si="1801"/>
        <v>7.4371509858372216</v>
      </c>
      <c r="F1899" s="2">
        <f t="shared" ca="1" si="1802"/>
        <v>0.74291557686165377</v>
      </c>
      <c r="G1899" s="2">
        <f t="shared" ca="1" si="1803"/>
        <v>5.957080538879779E-2</v>
      </c>
      <c r="H1899" s="2">
        <f t="shared" ca="1" si="1804"/>
        <v>5.957080538879779E-2</v>
      </c>
      <c r="I1899" s="2">
        <f t="shared" ca="1" si="1805"/>
        <v>0.8064694130266703</v>
      </c>
      <c r="J1899" s="2">
        <f t="shared" ca="1" si="1806"/>
        <v>1.432479608110278E-2</v>
      </c>
      <c r="K1899" s="2">
        <f t="shared" ca="1" si="1807"/>
        <v>1.432479608110278E-2</v>
      </c>
      <c r="L1899" s="2">
        <f t="shared" ca="1" si="1808"/>
        <v>0.94960175906823452</v>
      </c>
      <c r="M1899" s="2">
        <f t="shared" ca="1" si="1809"/>
        <v>3.2820089924744729E-2</v>
      </c>
      <c r="N1899" s="2">
        <f t="shared" ca="1" si="1810"/>
        <v>3.2820089924744729E-2</v>
      </c>
      <c r="O1899" s="2">
        <f t="shared" si="1811"/>
        <v>6000000</v>
      </c>
      <c r="P1899" s="2">
        <f t="shared" ca="1" si="1812"/>
        <v>42409904.788464583</v>
      </c>
      <c r="Q1899" s="2">
        <f t="shared" ca="1" si="1813"/>
        <v>1060247.6197116147</v>
      </c>
      <c r="R1899" s="2">
        <f t="shared" ca="1" si="1814"/>
        <v>25445942.873078749</v>
      </c>
      <c r="S1899" s="2">
        <f t="shared" ca="1" si="1815"/>
        <v>16963961.915385835</v>
      </c>
      <c r="T1899" s="2">
        <f t="shared" ca="1" si="1816"/>
        <v>51641004.496237241</v>
      </c>
      <c r="U1899" s="2">
        <f t="shared" ca="1" si="1817"/>
        <v>54717300.725164622</v>
      </c>
      <c r="V1899" s="2">
        <f t="shared" ca="1" si="1818"/>
        <v>57976854.398063727</v>
      </c>
      <c r="W1899" s="2">
        <f t="shared" ca="1" si="1819"/>
        <v>61430582.308465444</v>
      </c>
      <c r="X1899" s="2">
        <f t="shared" ca="1" si="1820"/>
        <v>65090051.572083563</v>
      </c>
      <c r="Y1899" s="2">
        <f t="shared" ca="1" si="1821"/>
        <v>0.12716239804055138</v>
      </c>
      <c r="Z1899" s="2">
        <f t="shared" ca="1" si="1822"/>
        <v>0.13002735725677195</v>
      </c>
      <c r="AA1899" s="2">
        <f t="shared" ca="1" si="1823"/>
        <v>6566793.9689644231</v>
      </c>
      <c r="AB1899" s="2">
        <f t="shared" ca="1" si="1824"/>
        <v>7114746.0095172068</v>
      </c>
      <c r="AC1899" s="2">
        <f t="shared" ca="1" si="1825"/>
        <v>7538577.1594408825</v>
      </c>
      <c r="AD1899" s="2">
        <f t="shared" ca="1" si="1826"/>
        <v>7987656.2723143706</v>
      </c>
      <c r="AE1899" s="2">
        <f t="shared" ca="1" si="1827"/>
        <v>8463487.3896250203</v>
      </c>
      <c r="AF1899" s="2">
        <f t="shared" ca="1" si="1828"/>
        <v>1032820.0899247448</v>
      </c>
      <c r="AG1899" s="2">
        <f t="shared" ca="1" si="1829"/>
        <v>1094346.0145032925</v>
      </c>
      <c r="AH1899" s="2">
        <f t="shared" ca="1" si="1830"/>
        <v>1159537.0879612747</v>
      </c>
      <c r="AI1899" s="2">
        <f t="shared" ca="1" si="1831"/>
        <v>1228611.6461693088</v>
      </c>
      <c r="AJ1899" s="2">
        <f t="shared" ca="1" si="1832"/>
        <v>1301801.0314416713</v>
      </c>
      <c r="AK1899" s="2">
        <f t="shared" ca="1" si="1833"/>
        <v>0</v>
      </c>
      <c r="AL1899" s="2">
        <f t="shared" ca="1" si="1834"/>
        <v>30762.962289273815</v>
      </c>
      <c r="AM1899" s="2">
        <f t="shared" ca="1" si="1835"/>
        <v>32595.536728991046</v>
      </c>
      <c r="AN1899" s="2">
        <f t="shared" ca="1" si="1836"/>
        <v>34537.279104017172</v>
      </c>
      <c r="AO1899" s="2">
        <f t="shared" ca="1" si="1837"/>
        <v>36594.692636181193</v>
      </c>
      <c r="AP1899" s="2">
        <f t="shared" ca="1" si="1838"/>
        <v>2290134.8585770871</v>
      </c>
      <c r="AQ1899" s="2">
        <f t="shared" ca="1" si="1839"/>
        <v>843398.14532027382</v>
      </c>
      <c r="AR1899" s="2">
        <f t="shared" ca="1" si="1840"/>
        <v>969868.93547357502</v>
      </c>
      <c r="AS1899" s="2">
        <f t="shared" ca="1" si="1841"/>
        <v>1063115.3553546553</v>
      </c>
      <c r="AT1899" s="2">
        <f t="shared" ca="1" si="1842"/>
        <v>1161916.5395676736</v>
      </c>
      <c r="AU1899" s="2">
        <f t="shared" ca="1" si="1843"/>
        <v>1266603.389897628</v>
      </c>
      <c r="AV1899" s="2">
        <f t="shared" ca="1" si="1844"/>
        <v>2400440.8751423177</v>
      </c>
      <c r="AW1899" s="2">
        <f t="shared" ca="1" si="1845"/>
        <v>2729633.238673978</v>
      </c>
      <c r="AX1899" s="2">
        <f t="shared" ca="1" si="1846"/>
        <v>2993194.3208188736</v>
      </c>
      <c r="AY1899" s="2">
        <f t="shared" ca="1" si="1847"/>
        <v>3272455.9488962847</v>
      </c>
      <c r="AZ1899" s="2">
        <f t="shared" ca="1" si="1848"/>
        <v>3568353.4170724521</v>
      </c>
      <c r="BA1899" s="2">
        <f t="shared" ca="1" si="1849"/>
        <v>62944233.583370611</v>
      </c>
      <c r="BB1899" s="2">
        <f t="shared" ca="1" si="1850"/>
        <v>1258884.6716674122</v>
      </c>
      <c r="BC1899" s="2">
        <f t="shared" ca="1" si="1851"/>
        <v>36239406.038624451</v>
      </c>
      <c r="BD1899" s="2">
        <f t="shared" ca="1" si="1852"/>
        <v>-18524209.53509745</v>
      </c>
      <c r="BE1899" s="2">
        <f t="shared" ca="1" si="1853"/>
        <v>2400440.8751423177</v>
      </c>
      <c r="BF1899" s="2">
        <f t="shared" ca="1" si="1854"/>
        <v>2729633.238673978</v>
      </c>
      <c r="BG1899" s="2">
        <f t="shared" ca="1" si="1855"/>
        <v>2993194.3208188736</v>
      </c>
      <c r="BH1899" s="2">
        <f t="shared" ca="1" si="1856"/>
        <v>3272455.9488962847</v>
      </c>
      <c r="BI1899" s="2">
        <f t="shared" ca="1" si="1857"/>
        <v>39807759.455696903</v>
      </c>
      <c r="BJ1899" s="2">
        <f t="shared" ca="1" si="1858"/>
        <v>0.2670768615252106</v>
      </c>
      <c r="BK1899" s="2">
        <f t="shared" ca="1" si="1859"/>
        <v>12593281.444991883</v>
      </c>
    </row>
    <row r="1900" spans="1:63" x14ac:dyDescent="0.3">
      <c r="A1900" s="2">
        <v>1899</v>
      </c>
      <c r="B1900" s="2">
        <f t="shared" ca="1" si="1798"/>
        <v>0.68388835749466503</v>
      </c>
      <c r="C1900" s="2">
        <f t="shared" ca="1" si="1799"/>
        <v>7.2048753022257017</v>
      </c>
      <c r="D1900" s="2">
        <f t="shared" ca="1" si="1800"/>
        <v>0.20013536915418251</v>
      </c>
      <c r="E1900" s="2">
        <f t="shared" ca="1" si="1801"/>
        <v>7.1326695332544192</v>
      </c>
      <c r="F1900" s="2">
        <f t="shared" ca="1" si="1802"/>
        <v>0.16487445050099392</v>
      </c>
      <c r="G1900" s="2">
        <f t="shared" ca="1" si="1803"/>
        <v>1.0761406764663421E-2</v>
      </c>
      <c r="H1900" s="2">
        <f t="shared" ca="1" si="1804"/>
        <v>1.0761406764663421E-2</v>
      </c>
      <c r="I1900" s="2">
        <f t="shared" ca="1" si="1805"/>
        <v>0.93874861018945444</v>
      </c>
      <c r="J1900" s="2">
        <f t="shared" ca="1" si="1806"/>
        <v>1.7721766236071079E-2</v>
      </c>
      <c r="K1900" s="2">
        <f t="shared" ca="1" si="1807"/>
        <v>1.7721766236071079E-2</v>
      </c>
      <c r="L1900" s="2">
        <f t="shared" ca="1" si="1808"/>
        <v>4.6948741488097578E-2</v>
      </c>
      <c r="M1900" s="2">
        <f t="shared" ca="1" si="1809"/>
        <v>-3.350374656787386E-2</v>
      </c>
      <c r="N1900" s="2">
        <f t="shared" ca="1" si="1810"/>
        <v>-3.350374656787386E-2</v>
      </c>
      <c r="O1900" s="2">
        <f t="shared" si="1811"/>
        <v>6000000</v>
      </c>
      <c r="P1900" s="2">
        <f t="shared" ca="1" si="1812"/>
        <v>43229251.813354209</v>
      </c>
      <c r="Q1900" s="2">
        <f t="shared" ca="1" si="1813"/>
        <v>1080731.2953338553</v>
      </c>
      <c r="R1900" s="2">
        <f t="shared" ca="1" si="1814"/>
        <v>25937551.088012524</v>
      </c>
      <c r="S1900" s="2">
        <f t="shared" ca="1" si="1815"/>
        <v>17291700.725341685</v>
      </c>
      <c r="T1900" s="2">
        <f t="shared" ca="1" si="1816"/>
        <v>48324812.67160631</v>
      </c>
      <c r="U1900" s="2">
        <f t="shared" ca="1" si="1817"/>
        <v>48844855.63759163</v>
      </c>
      <c r="V1900" s="2">
        <f t="shared" ca="1" si="1818"/>
        <v>49370494.997469023</v>
      </c>
      <c r="W1900" s="2">
        <f t="shared" ca="1" si="1819"/>
        <v>49901790.976309575</v>
      </c>
      <c r="X1900" s="2">
        <f t="shared" ca="1" si="1820"/>
        <v>50438804.44729086</v>
      </c>
      <c r="Y1900" s="2">
        <f t="shared" ca="1" si="1821"/>
        <v>0.12886088311803554</v>
      </c>
      <c r="Z1900" s="2">
        <f t="shared" ca="1" si="1822"/>
        <v>0.13240523636524976</v>
      </c>
      <c r="AA1900" s="2">
        <f t="shared" ca="1" si="1823"/>
        <v>6227178.0373768229</v>
      </c>
      <c r="AB1900" s="2">
        <f t="shared" ca="1" si="1824"/>
        <v>6467314.6559218215</v>
      </c>
      <c r="AC1900" s="2">
        <f t="shared" ca="1" si="1825"/>
        <v>6536912.0596092669</v>
      </c>
      <c r="AD1900" s="2">
        <f t="shared" ca="1" si="1826"/>
        <v>6607258.4292675564</v>
      </c>
      <c r="AE1900" s="2">
        <f t="shared" ca="1" si="1827"/>
        <v>6678361.8248241572</v>
      </c>
      <c r="AF1900" s="2">
        <f t="shared" ca="1" si="1828"/>
        <v>966496.25343212625</v>
      </c>
      <c r="AG1900" s="2">
        <f t="shared" ca="1" si="1829"/>
        <v>976897.11275183258</v>
      </c>
      <c r="AH1900" s="2">
        <f t="shared" ca="1" si="1830"/>
        <v>987409.89994938043</v>
      </c>
      <c r="AI1900" s="2">
        <f t="shared" ca="1" si="1831"/>
        <v>998035.81952619157</v>
      </c>
      <c r="AJ1900" s="2">
        <f t="shared" ca="1" si="1832"/>
        <v>1008776.0889458172</v>
      </c>
      <c r="AK1900" s="2">
        <f t="shared" ca="1" si="1833"/>
        <v>0</v>
      </c>
      <c r="AL1900" s="2">
        <f t="shared" ca="1" si="1834"/>
        <v>5200.4296598532055</v>
      </c>
      <c r="AM1900" s="2">
        <f t="shared" ca="1" si="1835"/>
        <v>5256.3935987739269</v>
      </c>
      <c r="AN1900" s="2">
        <f t="shared" ca="1" si="1836"/>
        <v>5312.9597884055229</v>
      </c>
      <c r="AO1900" s="2">
        <f t="shared" ca="1" si="1837"/>
        <v>5370.1347098128499</v>
      </c>
      <c r="AP1900" s="2">
        <f t="shared" ca="1" si="1838"/>
        <v>2334379.597921127</v>
      </c>
      <c r="AQ1900" s="2">
        <f t="shared" ca="1" si="1839"/>
        <v>760838.56836612802</v>
      </c>
      <c r="AR1900" s="2">
        <f t="shared" ca="1" si="1840"/>
        <v>820569.86576470418</v>
      </c>
      <c r="AS1900" s="2">
        <f t="shared" ca="1" si="1841"/>
        <v>835931.86605207762</v>
      </c>
      <c r="AT1900" s="2">
        <f t="shared" ca="1" si="1842"/>
        <v>851459.18307326175</v>
      </c>
      <c r="AU1900" s="2">
        <f t="shared" ca="1" si="1843"/>
        <v>867153.59586887539</v>
      </c>
      <c r="AV1900" s="2">
        <f t="shared" ca="1" si="1844"/>
        <v>2165463.6176574412</v>
      </c>
      <c r="AW1900" s="2">
        <f t="shared" ca="1" si="1845"/>
        <v>2330267.649824305</v>
      </c>
      <c r="AX1900" s="2">
        <f t="shared" ca="1" si="1846"/>
        <v>2373934.3020879091</v>
      </c>
      <c r="AY1900" s="2">
        <f t="shared" ca="1" si="1847"/>
        <v>2418070.8689585705</v>
      </c>
      <c r="AZ1900" s="2">
        <f t="shared" ca="1" si="1848"/>
        <v>2462682.407378525</v>
      </c>
      <c r="BA1900" s="2">
        <f t="shared" ca="1" si="1849"/>
        <v>47634547.919972651</v>
      </c>
      <c r="BB1900" s="2">
        <f t="shared" ca="1" si="1850"/>
        <v>952690.95839945308</v>
      </c>
      <c r="BC1900" s="2">
        <f t="shared" ca="1" si="1851"/>
        <v>20744305.873560674</v>
      </c>
      <c r="BD1900" s="2">
        <f t="shared" ca="1" si="1852"/>
        <v>-18872432.02067554</v>
      </c>
      <c r="BE1900" s="2">
        <f t="shared" ca="1" si="1853"/>
        <v>2165463.6176574412</v>
      </c>
      <c r="BF1900" s="2">
        <f t="shared" ca="1" si="1854"/>
        <v>2330267.649824305</v>
      </c>
      <c r="BG1900" s="2">
        <f t="shared" ca="1" si="1855"/>
        <v>2373934.3020879091</v>
      </c>
      <c r="BH1900" s="2">
        <f t="shared" ca="1" si="1856"/>
        <v>2418070.8689585705</v>
      </c>
      <c r="BI1900" s="2">
        <f t="shared" ca="1" si="1857"/>
        <v>23206988.280939199</v>
      </c>
      <c r="BJ1900" s="2">
        <f t="shared" ca="1" si="1858"/>
        <v>0.13861749292042025</v>
      </c>
      <c r="BK1900" s="2">
        <f t="shared" ca="1" si="1859"/>
        <v>1313408.4303141609</v>
      </c>
    </row>
    <row r="1901" spans="1:63" x14ac:dyDescent="0.3">
      <c r="A1901" s="2">
        <v>1900</v>
      </c>
      <c r="B1901" s="2">
        <f t="shared" ca="1" si="1798"/>
        <v>0.13820424158403599</v>
      </c>
      <c r="C1901" s="2">
        <f t="shared" ca="1" si="1799"/>
        <v>6.5257456449349549</v>
      </c>
      <c r="D1901" s="2">
        <f t="shared" ca="1" si="1800"/>
        <v>0.15161269882240647</v>
      </c>
      <c r="E1901" s="2">
        <f t="shared" ca="1" si="1801"/>
        <v>7.050659057534526</v>
      </c>
      <c r="F1901" s="2">
        <f t="shared" ca="1" si="1802"/>
        <v>0.3859503580612228</v>
      </c>
      <c r="G1901" s="2">
        <f t="shared" ca="1" si="1803"/>
        <v>3.1303312703916605E-2</v>
      </c>
      <c r="H1901" s="2">
        <f t="shared" ca="1" si="1804"/>
        <v>3.1303312703916605E-2</v>
      </c>
      <c r="I1901" s="2">
        <f t="shared" ca="1" si="1805"/>
        <v>4.8466550340240722E-2</v>
      </c>
      <c r="J1901" s="2">
        <f t="shared" ca="1" si="1806"/>
        <v>1.7004634502850047E-3</v>
      </c>
      <c r="K1901" s="2">
        <f t="shared" ca="1" si="1807"/>
        <v>1.7004634502850047E-3</v>
      </c>
      <c r="L1901" s="2">
        <f t="shared" ca="1" si="1808"/>
        <v>0.26808429435400505</v>
      </c>
      <c r="M1901" s="2">
        <f t="shared" ca="1" si="1809"/>
        <v>-1.2372343376829596E-2</v>
      </c>
      <c r="N1901" s="2">
        <f t="shared" ca="1" si="1810"/>
        <v>-1.2372343376829596E-2</v>
      </c>
      <c r="O1901" s="2">
        <f t="shared" si="1811"/>
        <v>6000000</v>
      </c>
      <c r="P1901" s="2">
        <f t="shared" ca="1" si="1812"/>
        <v>39154473.869609728</v>
      </c>
      <c r="Q1901" s="2">
        <f t="shared" ca="1" si="1813"/>
        <v>978861.84674024326</v>
      </c>
      <c r="R1901" s="2">
        <f t="shared" ca="1" si="1814"/>
        <v>23492684.321765836</v>
      </c>
      <c r="S1901" s="2">
        <f t="shared" ca="1" si="1815"/>
        <v>15661789.547843892</v>
      </c>
      <c r="T1901" s="2">
        <f t="shared" ca="1" si="1816"/>
        <v>49381382.831158519</v>
      </c>
      <c r="U1901" s="2">
        <f t="shared" ca="1" si="1817"/>
        <v>50927183.699674092</v>
      </c>
      <c r="V1901" s="2">
        <f t="shared" ca="1" si="1818"/>
        <v>52521373.256154798</v>
      </c>
      <c r="W1901" s="2">
        <f t="shared" ca="1" si="1819"/>
        <v>54165466.226831332</v>
      </c>
      <c r="X1901" s="2">
        <f t="shared" ca="1" si="1820"/>
        <v>55861024.753883265</v>
      </c>
      <c r="Y1901" s="2">
        <f t="shared" ca="1" si="1821"/>
        <v>0.1208502317251425</v>
      </c>
      <c r="Z1901" s="2">
        <f t="shared" ca="1" si="1822"/>
        <v>0.1211903244151995</v>
      </c>
      <c r="AA1901" s="2">
        <f t="shared" ca="1" si="1823"/>
        <v>5967751.5580534805</v>
      </c>
      <c r="AB1901" s="2">
        <f t="shared" ca="1" si="1824"/>
        <v>6171881.9141159635</v>
      </c>
      <c r="AC1901" s="2">
        <f t="shared" ca="1" si="1825"/>
        <v>6365082.2636451833</v>
      </c>
      <c r="AD1901" s="2">
        <f t="shared" ca="1" si="1826"/>
        <v>6564330.4241302209</v>
      </c>
      <c r="AE1901" s="2">
        <f t="shared" ca="1" si="1827"/>
        <v>6769815.7120886026</v>
      </c>
      <c r="AF1901" s="2">
        <f t="shared" ca="1" si="1828"/>
        <v>987627.65662317036</v>
      </c>
      <c r="AG1901" s="2">
        <f t="shared" ca="1" si="1829"/>
        <v>1018543.6739934819</v>
      </c>
      <c r="AH1901" s="2">
        <f t="shared" ca="1" si="1830"/>
        <v>1050427.465123096</v>
      </c>
      <c r="AI1901" s="2">
        <f t="shared" ca="1" si="1831"/>
        <v>1083309.3245366267</v>
      </c>
      <c r="AJ1901" s="2">
        <f t="shared" ca="1" si="1832"/>
        <v>1117220.4950776654</v>
      </c>
      <c r="AK1901" s="2">
        <f t="shared" ca="1" si="1833"/>
        <v>0</v>
      </c>
      <c r="AL1901" s="2">
        <f t="shared" ca="1" si="1834"/>
        <v>15458.008685155735</v>
      </c>
      <c r="AM1901" s="2">
        <f t="shared" ca="1" si="1835"/>
        <v>15941.895564807057</v>
      </c>
      <c r="AN1901" s="2">
        <f t="shared" ca="1" si="1836"/>
        <v>16440.929706765339</v>
      </c>
      <c r="AO1901" s="2">
        <f t="shared" ca="1" si="1837"/>
        <v>16955.585270519332</v>
      </c>
      <c r="AP1901" s="2">
        <f t="shared" ca="1" si="1838"/>
        <v>2114341.5889589251</v>
      </c>
      <c r="AQ1901" s="2">
        <f t="shared" ca="1" si="1839"/>
        <v>745103.40124256001</v>
      </c>
      <c r="AR1901" s="2">
        <f t="shared" ca="1" si="1840"/>
        <v>790139.12930252461</v>
      </c>
      <c r="AS1901" s="2">
        <f t="shared" ca="1" si="1841"/>
        <v>832081.43448642211</v>
      </c>
      <c r="AT1901" s="2">
        <f t="shared" ca="1" si="1842"/>
        <v>875336.67276501411</v>
      </c>
      <c r="AU1901" s="2">
        <f t="shared" ca="1" si="1843"/>
        <v>919945.94329352328</v>
      </c>
      <c r="AV1901" s="2">
        <f t="shared" ca="1" si="1844"/>
        <v>2120678.9112288249</v>
      </c>
      <c r="AW1901" s="2">
        <f t="shared" ca="1" si="1845"/>
        <v>2233399.5131758754</v>
      </c>
      <c r="AX1901" s="2">
        <f t="shared" ca="1" si="1846"/>
        <v>2352289.8795119333</v>
      </c>
      <c r="AY1901" s="2">
        <f t="shared" ca="1" si="1847"/>
        <v>2474901.9081628905</v>
      </c>
      <c r="AZ1901" s="2">
        <f t="shared" ca="1" si="1848"/>
        <v>2601352.0994879701</v>
      </c>
      <c r="BA1901" s="2">
        <f t="shared" ca="1" si="1849"/>
        <v>47731662.468277052</v>
      </c>
      <c r="BB1901" s="2">
        <f t="shared" ca="1" si="1850"/>
        <v>954633.24936554104</v>
      </c>
      <c r="BC1901" s="2">
        <f t="shared" ca="1" si="1851"/>
        <v>23284344.897145674</v>
      </c>
      <c r="BD1901" s="2">
        <f t="shared" ca="1" si="1852"/>
        <v>-17140651.394584134</v>
      </c>
      <c r="BE1901" s="2">
        <f t="shared" ca="1" si="1853"/>
        <v>2120678.9112288249</v>
      </c>
      <c r="BF1901" s="2">
        <f t="shared" ca="1" si="1854"/>
        <v>2233399.5131758754</v>
      </c>
      <c r="BG1901" s="2">
        <f t="shared" ca="1" si="1855"/>
        <v>2352289.8795119333</v>
      </c>
      <c r="BH1901" s="2">
        <f t="shared" ca="1" si="1856"/>
        <v>2474901.9081628905</v>
      </c>
      <c r="BI1901" s="2">
        <f t="shared" ca="1" si="1857"/>
        <v>25885696.996633645</v>
      </c>
      <c r="BJ1901" s="2">
        <f t="shared" ca="1" si="1858"/>
        <v>0.1847679183760047</v>
      </c>
      <c r="BK1901" s="2">
        <f t="shared" ca="1" si="1859"/>
        <v>4468662.3702105917</v>
      </c>
    </row>
    <row r="1902" spans="1:63" x14ac:dyDescent="0.3">
      <c r="A1902" s="2">
        <v>1901</v>
      </c>
      <c r="B1902" s="2">
        <f t="shared" ca="1" si="1798"/>
        <v>0.31441818558918844</v>
      </c>
      <c r="C1902" s="2">
        <f t="shared" ca="1" si="1799"/>
        <v>6.7929920372729962</v>
      </c>
      <c r="D1902" s="2">
        <f t="shared" ca="1" si="1800"/>
        <v>0.93354033221286459</v>
      </c>
      <c r="E1902" s="2">
        <f t="shared" ca="1" si="1801"/>
        <v>8.1354189588386809</v>
      </c>
      <c r="F1902" s="2">
        <f t="shared" ca="1" si="1802"/>
        <v>0.69740062267179626</v>
      </c>
      <c r="G1902" s="2">
        <f t="shared" ca="1" si="1803"/>
        <v>5.550816944608699E-2</v>
      </c>
      <c r="H1902" s="2">
        <f t="shared" ca="1" si="1804"/>
        <v>5.550816944608699E-2</v>
      </c>
      <c r="I1902" s="2">
        <f t="shared" ca="1" si="1805"/>
        <v>0.36279417796147295</v>
      </c>
      <c r="J1902" s="2">
        <f t="shared" ca="1" si="1806"/>
        <v>8.2450000501465785E-3</v>
      </c>
      <c r="K1902" s="2">
        <f t="shared" ca="1" si="1807"/>
        <v>8.2450000501465785E-3</v>
      </c>
      <c r="L1902" s="2">
        <f t="shared" ca="1" si="1808"/>
        <v>0.23060255516695516</v>
      </c>
      <c r="M1902" s="2">
        <f t="shared" ca="1" si="1809"/>
        <v>-1.4737278293009186E-2</v>
      </c>
      <c r="N1902" s="2">
        <f t="shared" ca="1" si="1810"/>
        <v>-1.4737278293009186E-2</v>
      </c>
      <c r="O1902" s="2">
        <f t="shared" si="1811"/>
        <v>6000000</v>
      </c>
      <c r="P1902" s="2">
        <f t="shared" ca="1" si="1812"/>
        <v>40757952.223637976</v>
      </c>
      <c r="Q1902" s="2">
        <f t="shared" ca="1" si="1813"/>
        <v>1018948.8055909495</v>
      </c>
      <c r="R1902" s="2">
        <f t="shared" ca="1" si="1814"/>
        <v>24454771.334182784</v>
      </c>
      <c r="S1902" s="2">
        <f t="shared" ca="1" si="1815"/>
        <v>16303180.889455192</v>
      </c>
      <c r="T1902" s="2">
        <f t="shared" ca="1" si="1816"/>
        <v>49263136.085349537</v>
      </c>
      <c r="U1902" s="2">
        <f t="shared" ca="1" si="1817"/>
        <v>51997642.590620764</v>
      </c>
      <c r="V1902" s="2">
        <f t="shared" ca="1" si="1818"/>
        <v>54883936.546338014</v>
      </c>
      <c r="W1902" s="2">
        <f t="shared" ca="1" si="1819"/>
        <v>57930443.396020435</v>
      </c>
      <c r="X1902" s="2">
        <f t="shared" ca="1" si="1820"/>
        <v>61146056.264133692</v>
      </c>
      <c r="Y1902" s="2">
        <f t="shared" ca="1" si="1821"/>
        <v>0.12412250002507329</v>
      </c>
      <c r="Z1902" s="2">
        <f t="shared" ca="1" si="1822"/>
        <v>0.1257715000351026</v>
      </c>
      <c r="AA1902" s="2">
        <f t="shared" ca="1" si="1823"/>
        <v>6114663.6099889865</v>
      </c>
      <c r="AB1902" s="2">
        <f t="shared" ca="1" si="1824"/>
        <v>6539821.5069115115</v>
      </c>
      <c r="AC1902" s="2">
        <f t="shared" ca="1" si="1825"/>
        <v>6902835.0272643203</v>
      </c>
      <c r="AD1902" s="2">
        <f t="shared" ca="1" si="1826"/>
        <v>7285998.7636160934</v>
      </c>
      <c r="AE1902" s="2">
        <f t="shared" ca="1" si="1827"/>
        <v>7690431.2175708758</v>
      </c>
      <c r="AF1902" s="2">
        <f t="shared" ca="1" si="1828"/>
        <v>985262.72170699073</v>
      </c>
      <c r="AG1902" s="2">
        <f t="shared" ca="1" si="1829"/>
        <v>1039952.8518124153</v>
      </c>
      <c r="AH1902" s="2">
        <f t="shared" ca="1" si="1830"/>
        <v>1097678.7309267602</v>
      </c>
      <c r="AI1902" s="2">
        <f t="shared" ca="1" si="1831"/>
        <v>1158608.8679204087</v>
      </c>
      <c r="AJ1902" s="2">
        <f t="shared" ca="1" si="1832"/>
        <v>1222921.1252826739</v>
      </c>
      <c r="AK1902" s="2">
        <f t="shared" ca="1" si="1833"/>
        <v>0</v>
      </c>
      <c r="AL1902" s="2">
        <f t="shared" ca="1" si="1834"/>
        <v>27345.065052712263</v>
      </c>
      <c r="AM1902" s="2">
        <f t="shared" ca="1" si="1835"/>
        <v>28862.939557172507</v>
      </c>
      <c r="AN1902" s="2">
        <f t="shared" ca="1" si="1836"/>
        <v>30465.068496824206</v>
      </c>
      <c r="AO1902" s="2">
        <f t="shared" ca="1" si="1837"/>
        <v>32156.12868113257</v>
      </c>
      <c r="AP1902" s="2">
        <f t="shared" ca="1" si="1838"/>
        <v>2200929.4200764503</v>
      </c>
      <c r="AQ1902" s="2">
        <f t="shared" ca="1" si="1839"/>
        <v>761402.5817334418</v>
      </c>
      <c r="AR1902" s="2">
        <f t="shared" ca="1" si="1840"/>
        <v>857724.20110588789</v>
      </c>
      <c r="AS1902" s="2">
        <f t="shared" ca="1" si="1841"/>
        <v>937098.98782788846</v>
      </c>
      <c r="AT1902" s="2">
        <f t="shared" ca="1" si="1842"/>
        <v>1020879.723661001</v>
      </c>
      <c r="AU1902" s="2">
        <f t="shared" ca="1" si="1843"/>
        <v>1109310.9747750554</v>
      </c>
      <c r="AV1902" s="2">
        <f t="shared" ca="1" si="1844"/>
        <v>2167068.8864721032</v>
      </c>
      <c r="AW1902" s="2">
        <f t="shared" ca="1" si="1845"/>
        <v>2413869.9688640451</v>
      </c>
      <c r="AX1902" s="2">
        <f t="shared" ca="1" si="1846"/>
        <v>2638264.9488760484</v>
      </c>
      <c r="AY1902" s="2">
        <f t="shared" ca="1" si="1847"/>
        <v>2875115.6834614091</v>
      </c>
      <c r="AZ1902" s="2">
        <f t="shared" ca="1" si="1848"/>
        <v>3125113.5687555633</v>
      </c>
      <c r="BA1902" s="2">
        <f t="shared" ca="1" si="1849"/>
        <v>62564879.929070942</v>
      </c>
      <c r="BB1902" s="2">
        <f t="shared" ca="1" si="1850"/>
        <v>1251297.5985814189</v>
      </c>
      <c r="BC1902" s="2">
        <f t="shared" ca="1" si="1851"/>
        <v>36858810.99630674</v>
      </c>
      <c r="BD1902" s="2">
        <f t="shared" ca="1" si="1852"/>
        <v>-17822129.695046142</v>
      </c>
      <c r="BE1902" s="2">
        <f t="shared" ca="1" si="1853"/>
        <v>2167068.8864721032</v>
      </c>
      <c r="BF1902" s="2">
        <f t="shared" ca="1" si="1854"/>
        <v>2413869.9688640451</v>
      </c>
      <c r="BG1902" s="2">
        <f t="shared" ca="1" si="1855"/>
        <v>2638264.9488760484</v>
      </c>
      <c r="BH1902" s="2">
        <f t="shared" ca="1" si="1856"/>
        <v>2875115.6834614091</v>
      </c>
      <c r="BI1902" s="2">
        <f t="shared" ca="1" si="1857"/>
        <v>39983924.565062299</v>
      </c>
      <c r="BJ1902" s="2">
        <f t="shared" ca="1" si="1858"/>
        <v>0.26787198957661662</v>
      </c>
      <c r="BK1902" s="2">
        <f t="shared" ca="1" si="1859"/>
        <v>12430081.068383016</v>
      </c>
    </row>
    <row r="1903" spans="1:63" x14ac:dyDescent="0.3">
      <c r="A1903" s="2">
        <v>1902</v>
      </c>
      <c r="B1903" s="2">
        <f t="shared" ca="1" si="1798"/>
        <v>0.9102756095857496</v>
      </c>
      <c r="C1903" s="2">
        <f t="shared" ca="1" si="1799"/>
        <v>7.576386047410498</v>
      </c>
      <c r="D1903" s="2">
        <f t="shared" ca="1" si="1800"/>
        <v>0.51090722412817335</v>
      </c>
      <c r="E1903" s="2">
        <f t="shared" ca="1" si="1801"/>
        <v>7.5109673656831877</v>
      </c>
      <c r="F1903" s="2">
        <f t="shared" ca="1" si="1802"/>
        <v>0.82591303355379231</v>
      </c>
      <c r="G1903" s="2">
        <f t="shared" ca="1" si="1803"/>
        <v>6.8144114466742206E-2</v>
      </c>
      <c r="H1903" s="2">
        <f t="shared" ca="1" si="1804"/>
        <v>6.8144114466742206E-2</v>
      </c>
      <c r="I1903" s="2">
        <f t="shared" ca="1" si="1805"/>
        <v>0.22745361115600649</v>
      </c>
      <c r="J1903" s="2">
        <f t="shared" ca="1" si="1806"/>
        <v>6.2637048857498148E-3</v>
      </c>
      <c r="K1903" s="2">
        <f t="shared" ca="1" si="1807"/>
        <v>6.2637048857498148E-3</v>
      </c>
      <c r="L1903" s="2">
        <f t="shared" ca="1" si="1808"/>
        <v>9.4836423969646755E-2</v>
      </c>
      <c r="M1903" s="2">
        <f t="shared" ca="1" si="1809"/>
        <v>-2.6230950527945184E-2</v>
      </c>
      <c r="N1903" s="2">
        <f t="shared" ca="1" si="1810"/>
        <v>-2.6230950527945184E-2</v>
      </c>
      <c r="O1903" s="2">
        <f t="shared" si="1811"/>
        <v>6000000</v>
      </c>
      <c r="P1903" s="2">
        <f t="shared" ca="1" si="1812"/>
        <v>45458316.284462988</v>
      </c>
      <c r="Q1903" s="2">
        <f t="shared" ca="1" si="1813"/>
        <v>1136457.9071115747</v>
      </c>
      <c r="R1903" s="2">
        <f t="shared" ca="1" si="1814"/>
        <v>27274989.770677794</v>
      </c>
      <c r="S1903" s="2">
        <f t="shared" ca="1" si="1815"/>
        <v>18183326.513785195</v>
      </c>
      <c r="T1903" s="2">
        <f t="shared" ca="1" si="1816"/>
        <v>48688452.473602742</v>
      </c>
      <c r="U1903" s="2">
        <f t="shared" ca="1" si="1817"/>
        <v>52006283.952172466</v>
      </c>
      <c r="V1903" s="2">
        <f t="shared" ca="1" si="1818"/>
        <v>55550206.11879921</v>
      </c>
      <c r="W1903" s="2">
        <f t="shared" ca="1" si="1819"/>
        <v>59335625.723209791</v>
      </c>
      <c r="X1903" s="2">
        <f t="shared" ca="1" si="1820"/>
        <v>63378999.394447975</v>
      </c>
      <c r="Y1903" s="2">
        <f t="shared" ca="1" si="1821"/>
        <v>0.1231318524428749</v>
      </c>
      <c r="Z1903" s="2">
        <f t="shared" ca="1" si="1822"/>
        <v>0.12438459342002486</v>
      </c>
      <c r="AA1903" s="2">
        <f t="shared" ca="1" si="1823"/>
        <v>5995099.34565158</v>
      </c>
      <c r="AB1903" s="2">
        <f t="shared" ca="1" si="1824"/>
        <v>6468780.4846773362</v>
      </c>
      <c r="AC1903" s="2">
        <f t="shared" ca="1" si="1825"/>
        <v>6909589.8024854166</v>
      </c>
      <c r="AD1903" s="2">
        <f t="shared" ca="1" si="1826"/>
        <v>7380437.6809042189</v>
      </c>
      <c r="AE1903" s="2">
        <f t="shared" ca="1" si="1827"/>
        <v>7883371.0710464139</v>
      </c>
      <c r="AF1903" s="2">
        <f t="shared" ca="1" si="1828"/>
        <v>973769.04947205482</v>
      </c>
      <c r="AG1903" s="2">
        <f t="shared" ca="1" si="1829"/>
        <v>1040125.6790434493</v>
      </c>
      <c r="AH1903" s="2">
        <f t="shared" ca="1" si="1830"/>
        <v>1111004.1223759842</v>
      </c>
      <c r="AI1903" s="2">
        <f t="shared" ca="1" si="1831"/>
        <v>1186712.5144641958</v>
      </c>
      <c r="AJ1903" s="2">
        <f t="shared" ca="1" si="1832"/>
        <v>1267579.9878889595</v>
      </c>
      <c r="AK1903" s="2">
        <f t="shared" ca="1" si="1833"/>
        <v>0</v>
      </c>
      <c r="AL1903" s="2">
        <f t="shared" ca="1" si="1834"/>
        <v>33178.314785697235</v>
      </c>
      <c r="AM1903" s="2">
        <f t="shared" ca="1" si="1835"/>
        <v>35439.22166626744</v>
      </c>
      <c r="AN1903" s="2">
        <f t="shared" ca="1" si="1836"/>
        <v>37854.196044105811</v>
      </c>
      <c r="AO1903" s="2">
        <f t="shared" ca="1" si="1837"/>
        <v>40433.73671238184</v>
      </c>
      <c r="AP1903" s="2">
        <f t="shared" ca="1" si="1838"/>
        <v>2454749.0793610015</v>
      </c>
      <c r="AQ1903" s="2">
        <f t="shared" ca="1" si="1839"/>
        <v>667311.11637281626</v>
      </c>
      <c r="AR1903" s="2">
        <f t="shared" ca="1" si="1840"/>
        <v>773215.48883095023</v>
      </c>
      <c r="AS1903" s="2">
        <f t="shared" ca="1" si="1841"/>
        <v>869397.516194592</v>
      </c>
      <c r="AT1903" s="2">
        <f t="shared" ca="1" si="1842"/>
        <v>972133.78264054563</v>
      </c>
      <c r="AU1903" s="2">
        <f t="shared" ca="1" si="1843"/>
        <v>1081870.9209870778</v>
      </c>
      <c r="AV1903" s="2">
        <f t="shared" ca="1" si="1844"/>
        <v>1899270.1004457078</v>
      </c>
      <c r="AW1903" s="2">
        <f t="shared" ca="1" si="1845"/>
        <v>2167511.9226562376</v>
      </c>
      <c r="AX1903" s="2">
        <f t="shared" ca="1" si="1846"/>
        <v>2438999.8628875711</v>
      </c>
      <c r="AY1903" s="2">
        <f t="shared" ca="1" si="1847"/>
        <v>2728988.1083943699</v>
      </c>
      <c r="AZ1903" s="2">
        <f t="shared" ca="1" si="1848"/>
        <v>3038737.346096993</v>
      </c>
      <c r="BA1903" s="2">
        <f t="shared" ca="1" si="1849"/>
        <v>59211742.846200533</v>
      </c>
      <c r="BB1903" s="2">
        <f t="shared" ca="1" si="1850"/>
        <v>1184234.8569240107</v>
      </c>
      <c r="BC1903" s="2">
        <f t="shared" ca="1" si="1851"/>
        <v>30752518.218598727</v>
      </c>
      <c r="BD1903" s="2">
        <f t="shared" ca="1" si="1852"/>
        <v>-19819784.420896769</v>
      </c>
      <c r="BE1903" s="2">
        <f t="shared" ca="1" si="1853"/>
        <v>1899270.1004457078</v>
      </c>
      <c r="BF1903" s="2">
        <f t="shared" ca="1" si="1854"/>
        <v>2167511.9226562376</v>
      </c>
      <c r="BG1903" s="2">
        <f t="shared" ca="1" si="1855"/>
        <v>2438999.8628875711</v>
      </c>
      <c r="BH1903" s="2">
        <f t="shared" ca="1" si="1856"/>
        <v>2728988.1083943699</v>
      </c>
      <c r="BI1903" s="2">
        <f t="shared" ca="1" si="1857"/>
        <v>33791255.564695723</v>
      </c>
      <c r="BJ1903" s="2">
        <f t="shared" ca="1" si="1858"/>
        <v>0.19387818731875339</v>
      </c>
      <c r="BK1903" s="2">
        <f t="shared" ca="1" si="1859"/>
        <v>6248338.7900799029</v>
      </c>
    </row>
    <row r="1904" spans="1:63" x14ac:dyDescent="0.3">
      <c r="A1904" s="2">
        <v>1903</v>
      </c>
      <c r="B1904" s="2">
        <f t="shared" ca="1" si="1798"/>
        <v>0.25802598876677629</v>
      </c>
      <c r="C1904" s="2">
        <f t="shared" ca="1" si="1799"/>
        <v>6.7183675782867383</v>
      </c>
      <c r="D1904" s="2">
        <f t="shared" ca="1" si="1800"/>
        <v>0.31353515667094722</v>
      </c>
      <c r="E1904" s="2">
        <f t="shared" ca="1" si="1801"/>
        <v>7.2918777136287485</v>
      </c>
      <c r="F1904" s="2">
        <f t="shared" ca="1" si="1802"/>
        <v>0.68592010944358794</v>
      </c>
      <c r="G1904" s="2">
        <f t="shared" ca="1" si="1803"/>
        <v>5.4529557851016902E-2</v>
      </c>
      <c r="H1904" s="2">
        <f t="shared" ca="1" si="1804"/>
        <v>5.4529557851016902E-2</v>
      </c>
      <c r="I1904" s="2">
        <f t="shared" ca="1" si="1805"/>
        <v>0.11835298125940064</v>
      </c>
      <c r="J1904" s="2">
        <f t="shared" ca="1" si="1806"/>
        <v>4.0836980085042149E-3</v>
      </c>
      <c r="K1904" s="2">
        <f t="shared" ca="1" si="1807"/>
        <v>4.0836980085042149E-3</v>
      </c>
      <c r="L1904" s="2">
        <f t="shared" ca="1" si="1808"/>
        <v>0.24057197764756011</v>
      </c>
      <c r="M1904" s="2">
        <f t="shared" ca="1" si="1809"/>
        <v>-1.4089276993073326E-2</v>
      </c>
      <c r="N1904" s="2">
        <f t="shared" ca="1" si="1810"/>
        <v>-1.4089276993073326E-2</v>
      </c>
      <c r="O1904" s="2">
        <f t="shared" si="1811"/>
        <v>6000000</v>
      </c>
      <c r="P1904" s="2">
        <f t="shared" ca="1" si="1812"/>
        <v>40310205.469720431</v>
      </c>
      <c r="Q1904" s="2">
        <f t="shared" ca="1" si="1813"/>
        <v>1007755.1367430108</v>
      </c>
      <c r="R1904" s="2">
        <f t="shared" ca="1" si="1814"/>
        <v>24186123.281832259</v>
      </c>
      <c r="S1904" s="2">
        <f t="shared" ca="1" si="1815"/>
        <v>16124082.187888173</v>
      </c>
      <c r="T1904" s="2">
        <f t="shared" ca="1" si="1816"/>
        <v>49295536.150346339</v>
      </c>
      <c r="U1904" s="2">
        <f t="shared" ca="1" si="1817"/>
        <v>51983599.940653548</v>
      </c>
      <c r="V1904" s="2">
        <f t="shared" ca="1" si="1818"/>
        <v>54818242.660921536</v>
      </c>
      <c r="W1904" s="2">
        <f t="shared" ca="1" si="1819"/>
        <v>57807457.195391342</v>
      </c>
      <c r="X1904" s="2">
        <f t="shared" ca="1" si="1820"/>
        <v>60959672.276747622</v>
      </c>
      <c r="Y1904" s="2">
        <f t="shared" ca="1" si="1821"/>
        <v>0.12204184900425211</v>
      </c>
      <c r="Z1904" s="2">
        <f t="shared" ca="1" si="1822"/>
        <v>0.12285858860595295</v>
      </c>
      <c r="AA1904" s="2">
        <f t="shared" ca="1" si="1823"/>
        <v>6016118.3794442192</v>
      </c>
      <c r="AB1904" s="2">
        <f t="shared" ca="1" si="1824"/>
        <v>6386631.7193651944</v>
      </c>
      <c r="AC1904" s="2">
        <f t="shared" ca="1" si="1825"/>
        <v>6734891.9231794579</v>
      </c>
      <c r="AD1904" s="2">
        <f t="shared" ca="1" si="1826"/>
        <v>7102142.6019248189</v>
      </c>
      <c r="AE1904" s="2">
        <f t="shared" ca="1" si="1827"/>
        <v>7489419.2978026513</v>
      </c>
      <c r="AF1904" s="2">
        <f t="shared" ca="1" si="1828"/>
        <v>985910.72300692683</v>
      </c>
      <c r="AG1904" s="2">
        <f t="shared" ca="1" si="1829"/>
        <v>1039671.9988130709</v>
      </c>
      <c r="AH1904" s="2">
        <f t="shared" ca="1" si="1830"/>
        <v>1096364.8532184307</v>
      </c>
      <c r="AI1904" s="2">
        <f t="shared" ca="1" si="1831"/>
        <v>1156149.1439078269</v>
      </c>
      <c r="AJ1904" s="2">
        <f t="shared" ca="1" si="1832"/>
        <v>1219193.4455349525</v>
      </c>
      <c r="AK1904" s="2">
        <f t="shared" ca="1" si="1833"/>
        <v>0</v>
      </c>
      <c r="AL1904" s="2">
        <f t="shared" ca="1" si="1834"/>
        <v>26880.637903072089</v>
      </c>
      <c r="AM1904" s="2">
        <f t="shared" ca="1" si="1835"/>
        <v>28346.427202679886</v>
      </c>
      <c r="AN1904" s="2">
        <f t="shared" ca="1" si="1836"/>
        <v>29892.145344698056</v>
      </c>
      <c r="AO1904" s="2">
        <f t="shared" ca="1" si="1837"/>
        <v>31522.150813562796</v>
      </c>
      <c r="AP1904" s="2">
        <f t="shared" ca="1" si="1838"/>
        <v>2176751.0953649031</v>
      </c>
      <c r="AQ1904" s="2">
        <f t="shared" ca="1" si="1839"/>
        <v>741898.70587882132</v>
      </c>
      <c r="AR1904" s="2">
        <f t="shared" ca="1" si="1840"/>
        <v>824254.24254867726</v>
      </c>
      <c r="AS1904" s="2">
        <f t="shared" ca="1" si="1841"/>
        <v>900061.75339499232</v>
      </c>
      <c r="AT1904" s="2">
        <f t="shared" ca="1" si="1842"/>
        <v>980003.01428954303</v>
      </c>
      <c r="AU1904" s="2">
        <f t="shared" ca="1" si="1843"/>
        <v>1064303.4367947271</v>
      </c>
      <c r="AV1904" s="2">
        <f t="shared" ca="1" si="1844"/>
        <v>2111557.8551935684</v>
      </c>
      <c r="AW1904" s="2">
        <f t="shared" ca="1" si="1845"/>
        <v>2319073.744735471</v>
      </c>
      <c r="AX1904" s="2">
        <f t="shared" ca="1" si="1846"/>
        <v>2533367.7939984519</v>
      </c>
      <c r="AY1904" s="2">
        <f t="shared" ca="1" si="1847"/>
        <v>2759347.2030178476</v>
      </c>
      <c r="AZ1904" s="2">
        <f t="shared" ca="1" si="1848"/>
        <v>2997649.1692945063</v>
      </c>
      <c r="BA1904" s="2">
        <f t="shared" ca="1" si="1849"/>
        <v>54611929.665668227</v>
      </c>
      <c r="BB1904" s="2">
        <f t="shared" ca="1" si="1850"/>
        <v>1092238.5933133645</v>
      </c>
      <c r="BC1904" s="2">
        <f t="shared" ca="1" si="1851"/>
        <v>29333567.790522601</v>
      </c>
      <c r="BD1904" s="2">
        <f t="shared" ca="1" si="1852"/>
        <v>-17631837.324631184</v>
      </c>
      <c r="BE1904" s="2">
        <f t="shared" ca="1" si="1853"/>
        <v>2111557.8551935684</v>
      </c>
      <c r="BF1904" s="2">
        <f t="shared" ca="1" si="1854"/>
        <v>2319073.744735471</v>
      </c>
      <c r="BG1904" s="2">
        <f t="shared" ca="1" si="1855"/>
        <v>2533367.7939984519</v>
      </c>
      <c r="BH1904" s="2">
        <f t="shared" ca="1" si="1856"/>
        <v>2759347.2030178476</v>
      </c>
      <c r="BI1904" s="2">
        <f t="shared" ca="1" si="1857"/>
        <v>32331216.959817108</v>
      </c>
      <c r="BJ1904" s="2">
        <f t="shared" ca="1" si="1858"/>
        <v>0.22434413453176849</v>
      </c>
      <c r="BK1904" s="2">
        <f t="shared" ca="1" si="1859"/>
        <v>8004650.5492201857</v>
      </c>
    </row>
    <row r="1905" spans="1:63" x14ac:dyDescent="0.3">
      <c r="A1905" s="2">
        <v>1904</v>
      </c>
      <c r="B1905" s="2">
        <f t="shared" ca="1" si="1798"/>
        <v>0.46133614324719996</v>
      </c>
      <c r="C1905" s="2">
        <f t="shared" ca="1" si="1799"/>
        <v>6.9605583201942505</v>
      </c>
      <c r="D1905" s="2">
        <f t="shared" ca="1" si="1800"/>
        <v>1.858162641018879E-2</v>
      </c>
      <c r="E1905" s="2">
        <f t="shared" ca="1" si="1801"/>
        <v>6.692777729057009</v>
      </c>
      <c r="F1905" s="2">
        <f t="shared" ca="1" si="1802"/>
        <v>0.96415381687595658</v>
      </c>
      <c r="G1905" s="2">
        <f t="shared" ca="1" si="1803"/>
        <v>9.4032001254800573E-2</v>
      </c>
      <c r="H1905" s="2">
        <f t="shared" ca="1" si="1804"/>
        <v>9.4032001254800573E-2</v>
      </c>
      <c r="I1905" s="2">
        <f t="shared" ca="1" si="1805"/>
        <v>0.87946806955794965</v>
      </c>
      <c r="J1905" s="2">
        <f t="shared" ca="1" si="1806"/>
        <v>1.586165910230555E-2</v>
      </c>
      <c r="K1905" s="2">
        <f t="shared" ca="1" si="1807"/>
        <v>1.586165910230555E-2</v>
      </c>
      <c r="L1905" s="2">
        <f t="shared" ca="1" si="1808"/>
        <v>0.94329314957201171</v>
      </c>
      <c r="M1905" s="2">
        <f t="shared" ca="1" si="1809"/>
        <v>3.1660681252262943E-2</v>
      </c>
      <c r="N1905" s="2">
        <f t="shared" ca="1" si="1810"/>
        <v>3.1660681252262943E-2</v>
      </c>
      <c r="O1905" s="2">
        <f t="shared" si="1811"/>
        <v>6000000</v>
      </c>
      <c r="P1905" s="2">
        <f t="shared" ca="1" si="1812"/>
        <v>41763349.921165504</v>
      </c>
      <c r="Q1905" s="2">
        <f t="shared" ca="1" si="1813"/>
        <v>1044083.7480291376</v>
      </c>
      <c r="R1905" s="2">
        <f t="shared" ca="1" si="1814"/>
        <v>25058009.9526993</v>
      </c>
      <c r="S1905" s="2">
        <f t="shared" ca="1" si="1815"/>
        <v>16705339.968466202</v>
      </c>
      <c r="T1905" s="2">
        <f t="shared" ca="1" si="1816"/>
        <v>51583034.062613145</v>
      </c>
      <c r="U1905" s="2">
        <f t="shared" ca="1" si="1817"/>
        <v>56433489.986315206</v>
      </c>
      <c r="V1905" s="2">
        <f t="shared" ca="1" si="1818"/>
        <v>61740043.987521172</v>
      </c>
      <c r="W1905" s="2">
        <f t="shared" ca="1" si="1819"/>
        <v>67545583.88122721</v>
      </c>
      <c r="X1905" s="2">
        <f t="shared" ca="1" si="1820"/>
        <v>73897030.309503004</v>
      </c>
      <c r="Y1905" s="2">
        <f t="shared" ca="1" si="1821"/>
        <v>0.12793082955115276</v>
      </c>
      <c r="Z1905" s="2">
        <f t="shared" ca="1" si="1822"/>
        <v>0.13110316137161387</v>
      </c>
      <c r="AA1905" s="2">
        <f t="shared" ca="1" si="1823"/>
        <v>6599060.3383954689</v>
      </c>
      <c r="AB1905" s="2">
        <f t="shared" ca="1" si="1824"/>
        <v>7398608.9444392379</v>
      </c>
      <c r="AC1905" s="2">
        <f t="shared" ca="1" si="1825"/>
        <v>8094314.9499865267</v>
      </c>
      <c r="AD1905" s="2">
        <f t="shared" ca="1" si="1826"/>
        <v>8855439.5835204124</v>
      </c>
      <c r="AE1905" s="2">
        <f t="shared" ca="1" si="1827"/>
        <v>9688134.2895498145</v>
      </c>
      <c r="AF1905" s="2">
        <f t="shared" ca="1" si="1828"/>
        <v>1031660.6812522629</v>
      </c>
      <c r="AG1905" s="2">
        <f t="shared" ca="1" si="1829"/>
        <v>1128669.7997263041</v>
      </c>
      <c r="AH1905" s="2">
        <f t="shared" ca="1" si="1830"/>
        <v>1234800.8797504234</v>
      </c>
      <c r="AI1905" s="2">
        <f t="shared" ca="1" si="1831"/>
        <v>1350911.6776245441</v>
      </c>
      <c r="AJ1905" s="2">
        <f t="shared" ca="1" si="1832"/>
        <v>1477940.60619006</v>
      </c>
      <c r="AK1905" s="2">
        <f t="shared" ca="1" si="1833"/>
        <v>0</v>
      </c>
      <c r="AL1905" s="2">
        <f t="shared" ca="1" si="1834"/>
        <v>48504.559237020614</v>
      </c>
      <c r="AM1905" s="2">
        <f t="shared" ca="1" si="1835"/>
        <v>53065.540012059661</v>
      </c>
      <c r="AN1905" s="2">
        <f t="shared" ca="1" si="1836"/>
        <v>58055.398937060389</v>
      </c>
      <c r="AO1905" s="2">
        <f t="shared" ca="1" si="1837"/>
        <v>63514.464282757937</v>
      </c>
      <c r="AP1905" s="2">
        <f t="shared" ca="1" si="1838"/>
        <v>2255220.895742937</v>
      </c>
      <c r="AQ1905" s="2">
        <f t="shared" ca="1" si="1839"/>
        <v>861166.47796407004</v>
      </c>
      <c r="AR1905" s="2">
        <f t="shared" ca="1" si="1840"/>
        <v>1043826.7447321994</v>
      </c>
      <c r="AS1905" s="2">
        <f t="shared" ca="1" si="1841"/>
        <v>1197116.2253682234</v>
      </c>
      <c r="AT1905" s="2">
        <f t="shared" ca="1" si="1842"/>
        <v>1364819.8226397622</v>
      </c>
      <c r="AU1905" s="2">
        <f t="shared" ca="1" si="1843"/>
        <v>1548292.9247803725</v>
      </c>
      <c r="AV1905" s="2">
        <f t="shared" ca="1" si="1844"/>
        <v>2451012.2834361997</v>
      </c>
      <c r="AW1905" s="2">
        <f t="shared" ca="1" si="1845"/>
        <v>2922386.945000777</v>
      </c>
      <c r="AX1905" s="2">
        <f t="shared" ca="1" si="1846"/>
        <v>3354111.4091128837</v>
      </c>
      <c r="AY1905" s="2">
        <f t="shared" ca="1" si="1847"/>
        <v>3826431.7885761084</v>
      </c>
      <c r="AZ1905" s="2">
        <f t="shared" ca="1" si="1848"/>
        <v>4343165.3985536871</v>
      </c>
      <c r="BA1905" s="2">
        <f t="shared" ca="1" si="1849"/>
        <v>64840529.409212545</v>
      </c>
      <c r="BB1905" s="2">
        <f t="shared" ca="1" si="1850"/>
        <v>1296810.588184251</v>
      </c>
      <c r="BC1905" s="2">
        <f t="shared" ca="1" si="1851"/>
        <v>38485708.868328989</v>
      </c>
      <c r="BD1905" s="2">
        <f t="shared" ca="1" si="1852"/>
        <v>-18249423.716495339</v>
      </c>
      <c r="BE1905" s="2">
        <f t="shared" ca="1" si="1853"/>
        <v>2451012.2834361997</v>
      </c>
      <c r="BF1905" s="2">
        <f t="shared" ca="1" si="1854"/>
        <v>2922386.945000777</v>
      </c>
      <c r="BG1905" s="2">
        <f t="shared" ca="1" si="1855"/>
        <v>3354111.4091128837</v>
      </c>
      <c r="BH1905" s="2">
        <f t="shared" ca="1" si="1856"/>
        <v>3826431.7885761084</v>
      </c>
      <c r="BI1905" s="2">
        <f t="shared" ca="1" si="1857"/>
        <v>42828874.266882673</v>
      </c>
      <c r="BJ1905" s="2">
        <f t="shared" ca="1" si="1858"/>
        <v>0.29587901508847536</v>
      </c>
      <c r="BK1905" s="2">
        <f t="shared" ca="1" si="1859"/>
        <v>15390099.375010576</v>
      </c>
    </row>
    <row r="1906" spans="1:63" x14ac:dyDescent="0.3">
      <c r="A1906" s="2">
        <v>1905</v>
      </c>
      <c r="B1906" s="2">
        <f t="shared" ca="1" si="1798"/>
        <v>0.9724318931085727</v>
      </c>
      <c r="C1906" s="2">
        <f t="shared" ca="1" si="1799"/>
        <v>7.7651889828333118</v>
      </c>
      <c r="D1906" s="2">
        <f t="shared" ca="1" si="1800"/>
        <v>0.29758743600693682</v>
      </c>
      <c r="E1906" s="2">
        <f t="shared" ca="1" si="1801"/>
        <v>7.2714757753901758</v>
      </c>
      <c r="F1906" s="2">
        <f t="shared" ca="1" si="1802"/>
        <v>0.10620751181287214</v>
      </c>
      <c r="G1906" s="2">
        <f t="shared" ca="1" si="1803"/>
        <v>2.5914338982550716E-3</v>
      </c>
      <c r="H1906" s="2">
        <f t="shared" ca="1" si="1804"/>
        <v>2.5914338982550716E-3</v>
      </c>
      <c r="I1906" s="2">
        <f t="shared" ca="1" si="1805"/>
        <v>0.65407970143249017</v>
      </c>
      <c r="J1906" s="2">
        <f t="shared" ca="1" si="1806"/>
        <v>1.1981792360851262E-2</v>
      </c>
      <c r="K1906" s="2">
        <f t="shared" ca="1" si="1807"/>
        <v>1.1981792360851262E-2</v>
      </c>
      <c r="L1906" s="2">
        <f t="shared" ca="1" si="1808"/>
        <v>2.6451051404629777E-2</v>
      </c>
      <c r="M1906" s="2">
        <f t="shared" ca="1" si="1809"/>
        <v>-3.8714383803714204E-2</v>
      </c>
      <c r="N1906" s="2">
        <f t="shared" ca="1" si="1810"/>
        <v>-3.8714383803714204E-2</v>
      </c>
      <c r="O1906" s="2">
        <f t="shared" si="1811"/>
        <v>6000000</v>
      </c>
      <c r="P1906" s="2">
        <f t="shared" ca="1" si="1812"/>
        <v>46591133.896999873</v>
      </c>
      <c r="Q1906" s="2">
        <f t="shared" ca="1" si="1813"/>
        <v>1164778.3474249968</v>
      </c>
      <c r="R1906" s="2">
        <f t="shared" ca="1" si="1814"/>
        <v>27954680.338199925</v>
      </c>
      <c r="S1906" s="2">
        <f t="shared" ca="1" si="1815"/>
        <v>18636453.558799949</v>
      </c>
      <c r="T1906" s="2">
        <f t="shared" ca="1" si="1816"/>
        <v>48064280.809814289</v>
      </c>
      <c r="U1906" s="2">
        <f t="shared" ca="1" si="1817"/>
        <v>48188836.216400094</v>
      </c>
      <c r="V1906" s="2">
        <f t="shared" ca="1" si="1818"/>
        <v>48313714.400088735</v>
      </c>
      <c r="W1906" s="2">
        <f t="shared" ca="1" si="1819"/>
        <v>48438916.197335742</v>
      </c>
      <c r="X1906" s="2">
        <f t="shared" ca="1" si="1820"/>
        <v>48564442.446764261</v>
      </c>
      <c r="Y1906" s="2">
        <f t="shared" ca="1" si="1821"/>
        <v>0.12599089618042564</v>
      </c>
      <c r="Z1906" s="2">
        <f t="shared" ca="1" si="1822"/>
        <v>0.12838725465259587</v>
      </c>
      <c r="AA1906" s="2">
        <f t="shared" ca="1" si="1823"/>
        <v>6055661.8134961361</v>
      </c>
      <c r="AB1906" s="2">
        <f t="shared" ca="1" si="1824"/>
        <v>6186832.3867271934</v>
      </c>
      <c r="AC1906" s="2">
        <f t="shared" ca="1" si="1825"/>
        <v>6202865.1538969809</v>
      </c>
      <c r="AD1906" s="2">
        <f t="shared" ca="1" si="1826"/>
        <v>6218939.4689230947</v>
      </c>
      <c r="AE1906" s="2">
        <f t="shared" ca="1" si="1827"/>
        <v>6235055.4394740593</v>
      </c>
      <c r="AF1906" s="2">
        <f t="shared" ca="1" si="1828"/>
        <v>961285.61619628582</v>
      </c>
      <c r="AG1906" s="2">
        <f t="shared" ca="1" si="1829"/>
        <v>963776.72432800196</v>
      </c>
      <c r="AH1906" s="2">
        <f t="shared" ca="1" si="1830"/>
        <v>966274.28800177469</v>
      </c>
      <c r="AI1906" s="2">
        <f t="shared" ca="1" si="1831"/>
        <v>968778.32394671487</v>
      </c>
      <c r="AJ1906" s="2">
        <f t="shared" ca="1" si="1832"/>
        <v>971288.84893528523</v>
      </c>
      <c r="AK1906" s="2">
        <f t="shared" ca="1" si="1833"/>
        <v>0</v>
      </c>
      <c r="AL1906" s="2">
        <f t="shared" ca="1" si="1834"/>
        <v>1245.5540658580512</v>
      </c>
      <c r="AM1906" s="2">
        <f t="shared" ca="1" si="1835"/>
        <v>1248.7818368864059</v>
      </c>
      <c r="AN1906" s="2">
        <f t="shared" ca="1" si="1836"/>
        <v>1252.0179724700749</v>
      </c>
      <c r="AO1906" s="2">
        <f t="shared" ca="1" si="1837"/>
        <v>1255.2624942851812</v>
      </c>
      <c r="AP1906" s="2">
        <f t="shared" ca="1" si="1838"/>
        <v>2515921.2304379931</v>
      </c>
      <c r="AQ1906" s="2">
        <f t="shared" ca="1" si="1839"/>
        <v>670398.29138408287</v>
      </c>
      <c r="AR1906" s="2">
        <f t="shared" ca="1" si="1840"/>
        <v>703854.9523099116</v>
      </c>
      <c r="AS1906" s="2">
        <f t="shared" ca="1" si="1841"/>
        <v>707374.10521887545</v>
      </c>
      <c r="AT1906" s="2">
        <f t="shared" ca="1" si="1842"/>
        <v>710902.37777998042</v>
      </c>
      <c r="AU1906" s="2">
        <f t="shared" ca="1" si="1843"/>
        <v>714439.79362620297</v>
      </c>
      <c r="AV1906" s="2">
        <f t="shared" ca="1" si="1844"/>
        <v>1908056.6754777739</v>
      </c>
      <c r="AW1906" s="2">
        <f t="shared" ca="1" si="1845"/>
        <v>2002033.9255854292</v>
      </c>
      <c r="AX1906" s="2">
        <f t="shared" ca="1" si="1846"/>
        <v>2012046.7484014519</v>
      </c>
      <c r="AY1906" s="2">
        <f t="shared" ca="1" si="1847"/>
        <v>2022085.5187859358</v>
      </c>
      <c r="AZ1906" s="2">
        <f t="shared" ca="1" si="1848"/>
        <v>2032150.3039802918</v>
      </c>
      <c r="BA1906" s="2">
        <f t="shared" ca="1" si="1849"/>
        <v>45338054.586350366</v>
      </c>
      <c r="BB1906" s="2">
        <f t="shared" ca="1" si="1850"/>
        <v>906761.0917270073</v>
      </c>
      <c r="BC1906" s="2">
        <f t="shared" ca="1" si="1851"/>
        <v>16476613.156423435</v>
      </c>
      <c r="BD1906" s="2">
        <f t="shared" ca="1" si="1852"/>
        <v>-20301231.906224944</v>
      </c>
      <c r="BE1906" s="2">
        <f t="shared" ca="1" si="1853"/>
        <v>1908056.6754777739</v>
      </c>
      <c r="BF1906" s="2">
        <f t="shared" ca="1" si="1854"/>
        <v>2002033.9255854292</v>
      </c>
      <c r="BG1906" s="2">
        <f t="shared" ca="1" si="1855"/>
        <v>2012046.7484014519</v>
      </c>
      <c r="BH1906" s="2">
        <f t="shared" ca="1" si="1856"/>
        <v>2022085.5187859358</v>
      </c>
      <c r="BI1906" s="2">
        <f t="shared" ca="1" si="1857"/>
        <v>18508763.460403726</v>
      </c>
      <c r="BJ1906" s="2">
        <f t="shared" ca="1" si="1858"/>
        <v>6.5027325501335387E-2</v>
      </c>
      <c r="BK1906" s="2">
        <f t="shared" ca="1" si="1859"/>
        <v>-3782024.1963876095</v>
      </c>
    </row>
    <row r="1907" spans="1:63" x14ac:dyDescent="0.3">
      <c r="A1907" s="2">
        <v>1906</v>
      </c>
      <c r="B1907" s="2">
        <f t="shared" ca="1" si="1798"/>
        <v>0.7519253932517429</v>
      </c>
      <c r="C1907" s="2">
        <f t="shared" ca="1" si="1799"/>
        <v>7.2956213990356362</v>
      </c>
      <c r="D1907" s="2">
        <f t="shared" ca="1" si="1800"/>
        <v>0.71020244730513016</v>
      </c>
      <c r="E1907" s="2">
        <f t="shared" ca="1" si="1801"/>
        <v>7.7386885621575496</v>
      </c>
      <c r="F1907" s="2">
        <f t="shared" ca="1" si="1802"/>
        <v>0.34694150098876397</v>
      </c>
      <c r="G1907" s="2">
        <f t="shared" ca="1" si="1803"/>
        <v>2.81922689852869E-2</v>
      </c>
      <c r="H1907" s="2">
        <f t="shared" ca="1" si="1804"/>
        <v>2.81922689852869E-2</v>
      </c>
      <c r="I1907" s="2">
        <f t="shared" ca="1" si="1805"/>
        <v>0.946850929347958</v>
      </c>
      <c r="J1907" s="2">
        <f t="shared" ca="1" si="1806"/>
        <v>1.8075289858677842E-2</v>
      </c>
      <c r="K1907" s="2">
        <f t="shared" ca="1" si="1807"/>
        <v>1.8075289858677842E-2</v>
      </c>
      <c r="L1907" s="2">
        <f t="shared" ca="1" si="1808"/>
        <v>0.37613443756507037</v>
      </c>
      <c r="M1907" s="2">
        <f t="shared" ca="1" si="1809"/>
        <v>-6.3129817354823196E-3</v>
      </c>
      <c r="N1907" s="2">
        <f t="shared" ca="1" si="1810"/>
        <v>-6.3129817354823196E-3</v>
      </c>
      <c r="O1907" s="2">
        <f t="shared" si="1811"/>
        <v>6000000</v>
      </c>
      <c r="P1907" s="2">
        <f t="shared" ca="1" si="1812"/>
        <v>43773728.394213818</v>
      </c>
      <c r="Q1907" s="2">
        <f t="shared" ca="1" si="1813"/>
        <v>1094343.2098553455</v>
      </c>
      <c r="R1907" s="2">
        <f t="shared" ca="1" si="1814"/>
        <v>26264237.036528289</v>
      </c>
      <c r="S1907" s="2">
        <f t="shared" ca="1" si="1815"/>
        <v>17509491.357685529</v>
      </c>
      <c r="T1907" s="2">
        <f t="shared" ca="1" si="1816"/>
        <v>49684350.913225882</v>
      </c>
      <c r="U1907" s="2">
        <f t="shared" ca="1" si="1817"/>
        <v>51085065.498530932</v>
      </c>
      <c r="V1907" s="2">
        <f t="shared" ca="1" si="1818"/>
        <v>52525269.40619652</v>
      </c>
      <c r="W1907" s="2">
        <f t="shared" ca="1" si="1819"/>
        <v>54006075.929820672</v>
      </c>
      <c r="X1907" s="2">
        <f t="shared" ca="1" si="1820"/>
        <v>55528629.749274008</v>
      </c>
      <c r="Y1907" s="2">
        <f t="shared" ca="1" si="1821"/>
        <v>0.12903764492933892</v>
      </c>
      <c r="Z1907" s="2">
        <f t="shared" ca="1" si="1822"/>
        <v>0.13265270290107448</v>
      </c>
      <c r="AA1907" s="2">
        <f t="shared" ca="1" si="1823"/>
        <v>6411151.6316855168</v>
      </c>
      <c r="AB1907" s="2">
        <f t="shared" ca="1" si="1824"/>
        <v>6776572.0162585536</v>
      </c>
      <c r="AC1907" s="2">
        <f t="shared" ca="1" si="1825"/>
        <v>6967618.9573390838</v>
      </c>
      <c r="AD1907" s="2">
        <f t="shared" ca="1" si="1826"/>
        <v>7164051.9451713711</v>
      </c>
      <c r="AE1907" s="2">
        <f t="shared" ca="1" si="1827"/>
        <v>7366022.8246342102</v>
      </c>
      <c r="AF1907" s="2">
        <f t="shared" ca="1" si="1828"/>
        <v>993687.01826451765</v>
      </c>
      <c r="AG1907" s="2">
        <f t="shared" ca="1" si="1829"/>
        <v>1021701.3099706187</v>
      </c>
      <c r="AH1907" s="2">
        <f t="shared" ca="1" si="1830"/>
        <v>1050505.3881239304</v>
      </c>
      <c r="AI1907" s="2">
        <f t="shared" ca="1" si="1831"/>
        <v>1080121.5185964135</v>
      </c>
      <c r="AJ1907" s="2">
        <f t="shared" ca="1" si="1832"/>
        <v>1110572.5949854802</v>
      </c>
      <c r="AK1907" s="2">
        <f t="shared" ca="1" si="1833"/>
        <v>0</v>
      </c>
      <c r="AL1907" s="2">
        <f t="shared" ca="1" si="1834"/>
        <v>14007.145853050501</v>
      </c>
      <c r="AM1907" s="2">
        <f t="shared" ca="1" si="1835"/>
        <v>14402.039076655879</v>
      </c>
      <c r="AN1907" s="2">
        <f t="shared" ca="1" si="1836"/>
        <v>14808.06523624152</v>
      </c>
      <c r="AO1907" s="2">
        <f t="shared" ca="1" si="1837"/>
        <v>15225.538194533363</v>
      </c>
      <c r="AP1907" s="2">
        <f t="shared" ca="1" si="1838"/>
        <v>2363781.3332875459</v>
      </c>
      <c r="AQ1907" s="2">
        <f t="shared" ca="1" si="1839"/>
        <v>793957.65283469774</v>
      </c>
      <c r="AR1907" s="2">
        <f t="shared" ca="1" si="1840"/>
        <v>881683.23698010133</v>
      </c>
      <c r="AS1907" s="2">
        <f t="shared" ca="1" si="1841"/>
        <v>923866.38134117797</v>
      </c>
      <c r="AT1907" s="2">
        <f t="shared" ca="1" si="1842"/>
        <v>967238.76425472705</v>
      </c>
      <c r="AU1907" s="2">
        <f t="shared" ca="1" si="1843"/>
        <v>1011833.9130539078</v>
      </c>
      <c r="AV1907" s="2">
        <f t="shared" ca="1" si="1844"/>
        <v>2259725.6272987551</v>
      </c>
      <c r="AW1907" s="2">
        <f t="shared" ca="1" si="1845"/>
        <v>2495398.9901672383</v>
      </c>
      <c r="AX1907" s="2">
        <f t="shared" ca="1" si="1846"/>
        <v>2615063.8155097733</v>
      </c>
      <c r="AY1907" s="2">
        <f t="shared" ca="1" si="1847"/>
        <v>2738102.2637964427</v>
      </c>
      <c r="AZ1907" s="2">
        <f t="shared" ca="1" si="1848"/>
        <v>2864609.4451127429</v>
      </c>
      <c r="BA1907" s="2">
        <f t="shared" ca="1" si="1849"/>
        <v>57003356.581588209</v>
      </c>
      <c r="BB1907" s="2">
        <f t="shared" ca="1" si="1850"/>
        <v>1140067.1316317641</v>
      </c>
      <c r="BC1907" s="2">
        <f t="shared" ca="1" si="1851"/>
        <v>29599052.413428154</v>
      </c>
      <c r="BD1907" s="2">
        <f t="shared" ca="1" si="1852"/>
        <v>-19103834.567540873</v>
      </c>
      <c r="BE1907" s="2">
        <f t="shared" ca="1" si="1853"/>
        <v>2259725.6272987551</v>
      </c>
      <c r="BF1907" s="2">
        <f t="shared" ca="1" si="1854"/>
        <v>2495398.9901672383</v>
      </c>
      <c r="BG1907" s="2">
        <f t="shared" ca="1" si="1855"/>
        <v>2615063.8155097733</v>
      </c>
      <c r="BH1907" s="2">
        <f t="shared" ca="1" si="1856"/>
        <v>2738102.2637964427</v>
      </c>
      <c r="BI1907" s="2">
        <f t="shared" ca="1" si="1857"/>
        <v>32463661.858540896</v>
      </c>
      <c r="BJ1907" s="2">
        <f t="shared" ca="1" si="1858"/>
        <v>0.20593798129360841</v>
      </c>
      <c r="BK1907" s="2">
        <f t="shared" ca="1" si="1859"/>
        <v>6925312.2300174162</v>
      </c>
    </row>
    <row r="1908" spans="1:63" x14ac:dyDescent="0.3">
      <c r="A1908" s="2">
        <v>1907</v>
      </c>
      <c r="B1908" s="2">
        <f t="shared" ca="1" si="1798"/>
        <v>0.23828057540151071</v>
      </c>
      <c r="C1908" s="2">
        <f t="shared" ca="1" si="1799"/>
        <v>6.6903340863690719</v>
      </c>
      <c r="D1908" s="2">
        <f t="shared" ca="1" si="1800"/>
        <v>0.15371521475585992</v>
      </c>
      <c r="E1908" s="2">
        <f t="shared" ca="1" si="1801"/>
        <v>7.0544640921752464</v>
      </c>
      <c r="F1908" s="2">
        <f t="shared" ca="1" si="1802"/>
        <v>0.34587696275539304</v>
      </c>
      <c r="G1908" s="2">
        <f t="shared" ca="1" si="1803"/>
        <v>2.8105720648516529E-2</v>
      </c>
      <c r="H1908" s="2">
        <f t="shared" ca="1" si="1804"/>
        <v>2.8105720648516529E-2</v>
      </c>
      <c r="I1908" s="2">
        <f t="shared" ca="1" si="1805"/>
        <v>0.69409095790482656</v>
      </c>
      <c r="J1908" s="2">
        <f t="shared" ca="1" si="1806"/>
        <v>1.2537399870134254E-2</v>
      </c>
      <c r="K1908" s="2">
        <f t="shared" ca="1" si="1807"/>
        <v>1.2537399870134254E-2</v>
      </c>
      <c r="L1908" s="2">
        <f t="shared" ca="1" si="1808"/>
        <v>0.5320752664799715</v>
      </c>
      <c r="M1908" s="2">
        <f t="shared" ca="1" si="1809"/>
        <v>1.6097517727808302E-3</v>
      </c>
      <c r="N1908" s="2">
        <f t="shared" ca="1" si="1810"/>
        <v>1.6097517727808302E-3</v>
      </c>
      <c r="O1908" s="2">
        <f t="shared" si="1811"/>
        <v>6000000</v>
      </c>
      <c r="P1908" s="2">
        <f t="shared" ca="1" si="1812"/>
        <v>40142004.518214434</v>
      </c>
      <c r="Q1908" s="2">
        <f t="shared" ca="1" si="1813"/>
        <v>1003550.1129553609</v>
      </c>
      <c r="R1908" s="2">
        <f t="shared" ca="1" si="1814"/>
        <v>24085202.71092866</v>
      </c>
      <c r="S1908" s="2">
        <f t="shared" ca="1" si="1815"/>
        <v>16056801.807285774</v>
      </c>
      <c r="T1908" s="2">
        <f t="shared" ca="1" si="1816"/>
        <v>50080487.588639043</v>
      </c>
      <c r="U1908" s="2">
        <f t="shared" ca="1" si="1817"/>
        <v>51488035.782746829</v>
      </c>
      <c r="V1908" s="2">
        <f t="shared" ca="1" si="1818"/>
        <v>52935144.133197531</v>
      </c>
      <c r="W1908" s="2">
        <f t="shared" ca="1" si="1819"/>
        <v>54422924.506694138</v>
      </c>
      <c r="X1908" s="2">
        <f t="shared" ca="1" si="1820"/>
        <v>55952520.019754581</v>
      </c>
      <c r="Y1908" s="2">
        <f t="shared" ca="1" si="1821"/>
        <v>0.12626869993506712</v>
      </c>
      <c r="Z1908" s="2">
        <f t="shared" ca="1" si="1822"/>
        <v>0.12877617990909399</v>
      </c>
      <c r="AA1908" s="2">
        <f t="shared" ca="1" si="1823"/>
        <v>6323598.0599317169</v>
      </c>
      <c r="AB1908" s="2">
        <f t="shared" ca="1" si="1824"/>
        <v>6630432.559124874</v>
      </c>
      <c r="AC1908" s="2">
        <f t="shared" ca="1" si="1825"/>
        <v>6816785.6444104658</v>
      </c>
      <c r="AD1908" s="2">
        <f t="shared" ca="1" si="1826"/>
        <v>7008376.3174530845</v>
      </c>
      <c r="AE1908" s="2">
        <f t="shared" ca="1" si="1827"/>
        <v>7205351.784431099</v>
      </c>
      <c r="AF1908" s="2">
        <f t="shared" ca="1" si="1828"/>
        <v>1001609.7517727809</v>
      </c>
      <c r="AG1908" s="2">
        <f t="shared" ca="1" si="1829"/>
        <v>1029760.7156549366</v>
      </c>
      <c r="AH1908" s="2">
        <f t="shared" ca="1" si="1830"/>
        <v>1058702.8826639506</v>
      </c>
      <c r="AI1908" s="2">
        <f t="shared" ca="1" si="1831"/>
        <v>1088458.4901338827</v>
      </c>
      <c r="AJ1908" s="2">
        <f t="shared" ca="1" si="1832"/>
        <v>1119050.4003950916</v>
      </c>
      <c r="AK1908" s="2">
        <f t="shared" ca="1" si="1833"/>
        <v>0</v>
      </c>
      <c r="AL1908" s="2">
        <f t="shared" ca="1" si="1834"/>
        <v>14075.481941077858</v>
      </c>
      <c r="AM1908" s="2">
        <f t="shared" ca="1" si="1835"/>
        <v>14471.08350450702</v>
      </c>
      <c r="AN1908" s="2">
        <f t="shared" ca="1" si="1836"/>
        <v>14877.80373496607</v>
      </c>
      <c r="AO1908" s="2">
        <f t="shared" ca="1" si="1837"/>
        <v>15295.95513060443</v>
      </c>
      <c r="AP1908" s="2">
        <f t="shared" ca="1" si="1838"/>
        <v>2167668.2439835793</v>
      </c>
      <c r="AQ1908" s="2">
        <f t="shared" ca="1" si="1839"/>
        <v>820123.21668559278</v>
      </c>
      <c r="AR1908" s="2">
        <f t="shared" ca="1" si="1840"/>
        <v>892580.9358664531</v>
      </c>
      <c r="AS1908" s="2">
        <f t="shared" ca="1" si="1841"/>
        <v>933507.77461836347</v>
      </c>
      <c r="AT1908" s="2">
        <f t="shared" ca="1" si="1842"/>
        <v>975584.89166726195</v>
      </c>
      <c r="AU1908" s="2">
        <f t="shared" ca="1" si="1843"/>
        <v>1018844.6164136314</v>
      </c>
      <c r="AV1908" s="2">
        <f t="shared" ca="1" si="1844"/>
        <v>2334196.8474897635</v>
      </c>
      <c r="AW1908" s="2">
        <f t="shared" ca="1" si="1845"/>
        <v>2526347.1816788274</v>
      </c>
      <c r="AX1908" s="2">
        <f t="shared" ca="1" si="1846"/>
        <v>2642435.6596400649</v>
      </c>
      <c r="AY1908" s="2">
        <f t="shared" ca="1" si="1847"/>
        <v>2761786.8879333953</v>
      </c>
      <c r="AZ1908" s="2">
        <f t="shared" ca="1" si="1848"/>
        <v>2884492.5685081924</v>
      </c>
      <c r="BA1908" s="2">
        <f t="shared" ca="1" si="1849"/>
        <v>50829895.434760027</v>
      </c>
      <c r="BB1908" s="2">
        <f t="shared" ca="1" si="1850"/>
        <v>1016597.9086952006</v>
      </c>
      <c r="BC1908" s="2">
        <f t="shared" ca="1" si="1851"/>
        <v>25728094.815136164</v>
      </c>
      <c r="BD1908" s="2">
        <f t="shared" ca="1" si="1852"/>
        <v>-17560351.920241136</v>
      </c>
      <c r="BE1908" s="2">
        <f t="shared" ca="1" si="1853"/>
        <v>2334196.8474897635</v>
      </c>
      <c r="BF1908" s="2">
        <f t="shared" ca="1" si="1854"/>
        <v>2526347.1816788274</v>
      </c>
      <c r="BG1908" s="2">
        <f t="shared" ca="1" si="1855"/>
        <v>2642435.6596400649</v>
      </c>
      <c r="BH1908" s="2">
        <f t="shared" ca="1" si="1856"/>
        <v>2761786.8879333953</v>
      </c>
      <c r="BI1908" s="2">
        <f t="shared" ca="1" si="1857"/>
        <v>28612587.383644357</v>
      </c>
      <c r="BJ1908" s="2">
        <f t="shared" ca="1" si="1858"/>
        <v>0.20837874353581998</v>
      </c>
      <c r="BK1908" s="2">
        <f t="shared" ca="1" si="1859"/>
        <v>6409290.4113850258</v>
      </c>
    </row>
    <row r="1909" spans="1:63" x14ac:dyDescent="0.3">
      <c r="A1909" s="2">
        <v>1908</v>
      </c>
      <c r="B1909" s="2">
        <f t="shared" ca="1" si="1798"/>
        <v>8.7372967428320458E-2</v>
      </c>
      <c r="C1909" s="2">
        <f t="shared" ca="1" si="1799"/>
        <v>6.4180262370433709</v>
      </c>
      <c r="D1909" s="2">
        <f t="shared" ca="1" si="1800"/>
        <v>0.70400998685189342</v>
      </c>
      <c r="E1909" s="2">
        <f t="shared" ca="1" si="1801"/>
        <v>7.7305976174353157</v>
      </c>
      <c r="F1909" s="2">
        <f t="shared" ca="1" si="1802"/>
        <v>0.553504948194945</v>
      </c>
      <c r="G1909" s="2">
        <f t="shared" ca="1" si="1803"/>
        <v>4.403564907681886E-2</v>
      </c>
      <c r="H1909" s="2">
        <f t="shared" ca="1" si="1804"/>
        <v>4.403564907681886E-2</v>
      </c>
      <c r="I1909" s="2">
        <f t="shared" ca="1" si="1805"/>
        <v>0.83142912013942272</v>
      </c>
      <c r="J1909" s="2">
        <f t="shared" ca="1" si="1806"/>
        <v>1.4799140278250456E-2</v>
      </c>
      <c r="K1909" s="2">
        <f t="shared" ca="1" si="1807"/>
        <v>1.4799140278250456E-2</v>
      </c>
      <c r="L1909" s="2">
        <f t="shared" ca="1" si="1808"/>
        <v>0.29071061068485837</v>
      </c>
      <c r="M1909" s="2">
        <f t="shared" ca="1" si="1809"/>
        <v>-1.1026198925440728E-2</v>
      </c>
      <c r="N1909" s="2">
        <f t="shared" ca="1" si="1810"/>
        <v>-1.1026198925440728E-2</v>
      </c>
      <c r="O1909" s="2">
        <f t="shared" si="1811"/>
        <v>6000000</v>
      </c>
      <c r="P1909" s="2">
        <f t="shared" ca="1" si="1812"/>
        <v>38508157.422260225</v>
      </c>
      <c r="Q1909" s="2">
        <f t="shared" ca="1" si="1813"/>
        <v>962703.93555650569</v>
      </c>
      <c r="R1909" s="2">
        <f t="shared" ca="1" si="1814"/>
        <v>23104894.453356136</v>
      </c>
      <c r="S1909" s="2">
        <f t="shared" ca="1" si="1815"/>
        <v>15403262.968904091</v>
      </c>
      <c r="T1909" s="2">
        <f t="shared" ca="1" si="1816"/>
        <v>49448690.053727962</v>
      </c>
      <c r="U1909" s="2">
        <f t="shared" ca="1" si="1817"/>
        <v>51626195.216242306</v>
      </c>
      <c r="V1909" s="2">
        <f t="shared" ca="1" si="1818"/>
        <v>53899588.231956095</v>
      </c>
      <c r="W1909" s="2">
        <f t="shared" ca="1" si="1819"/>
        <v>56273091.584723547</v>
      </c>
      <c r="X1909" s="2">
        <f t="shared" ca="1" si="1820"/>
        <v>58751113.698216118</v>
      </c>
      <c r="Y1909" s="2">
        <f t="shared" ca="1" si="1821"/>
        <v>0.12739957013912523</v>
      </c>
      <c r="Z1909" s="2">
        <f t="shared" ca="1" si="1822"/>
        <v>0.13035939819477532</v>
      </c>
      <c r="AA1909" s="2">
        <f t="shared" ca="1" si="1823"/>
        <v>6299741.8567877794</v>
      </c>
      <c r="AB1909" s="2">
        <f t="shared" ca="1" si="1824"/>
        <v>6729959.7394753359</v>
      </c>
      <c r="AC1909" s="2">
        <f t="shared" ca="1" si="1825"/>
        <v>7026317.8848639904</v>
      </c>
      <c r="AD1909" s="2">
        <f t="shared" ca="1" si="1826"/>
        <v>7335726.3535440369</v>
      </c>
      <c r="AE1909" s="2">
        <f t="shared" ca="1" si="1827"/>
        <v>7658759.8249722738</v>
      </c>
      <c r="AF1909" s="2">
        <f t="shared" ca="1" si="1828"/>
        <v>988973.80107455922</v>
      </c>
      <c r="AG1909" s="2">
        <f t="shared" ca="1" si="1829"/>
        <v>1032523.9043248461</v>
      </c>
      <c r="AH1909" s="2">
        <f t="shared" ca="1" si="1830"/>
        <v>1077991.7646391219</v>
      </c>
      <c r="AI1909" s="2">
        <f t="shared" ca="1" si="1831"/>
        <v>1125461.831694471</v>
      </c>
      <c r="AJ1909" s="2">
        <f t="shared" ca="1" si="1832"/>
        <v>1175022.2739643224</v>
      </c>
      <c r="AK1909" s="2">
        <f t="shared" ca="1" si="1833"/>
        <v>0</v>
      </c>
      <c r="AL1909" s="2">
        <f t="shared" ca="1" si="1834"/>
        <v>21775.051625143438</v>
      </c>
      <c r="AM1909" s="2">
        <f t="shared" ca="1" si="1835"/>
        <v>22733.930157137886</v>
      </c>
      <c r="AN1909" s="2">
        <f t="shared" ca="1" si="1836"/>
        <v>23735.033527674528</v>
      </c>
      <c r="AO1909" s="2">
        <f t="shared" ca="1" si="1837"/>
        <v>24780.221134925709</v>
      </c>
      <c r="AP1909" s="2">
        <f t="shared" ca="1" si="1838"/>
        <v>2079440.5008020522</v>
      </c>
      <c r="AQ1909" s="2">
        <f t="shared" ca="1" si="1839"/>
        <v>840145.16427690373</v>
      </c>
      <c r="AR1909" s="2">
        <f t="shared" ca="1" si="1840"/>
        <v>940678.78693059378</v>
      </c>
      <c r="AS1909" s="2">
        <f t="shared" ca="1" si="1841"/>
        <v>1005910.2610499323</v>
      </c>
      <c r="AT1909" s="2">
        <f t="shared" ca="1" si="1842"/>
        <v>1074014.2454723537</v>
      </c>
      <c r="AU1909" s="2">
        <f t="shared" ca="1" si="1843"/>
        <v>1145117.2330535338</v>
      </c>
      <c r="AV1909" s="2">
        <f t="shared" ca="1" si="1844"/>
        <v>2391182.3906342648</v>
      </c>
      <c r="AW1909" s="2">
        <f t="shared" ca="1" si="1845"/>
        <v>2655541.4957927</v>
      </c>
      <c r="AX1909" s="2">
        <f t="shared" ca="1" si="1846"/>
        <v>2840241.4282157468</v>
      </c>
      <c r="AY1909" s="2">
        <f t="shared" ca="1" si="1847"/>
        <v>3033074.7420474859</v>
      </c>
      <c r="AZ1909" s="2">
        <f t="shared" ca="1" si="1848"/>
        <v>3234399.5960174398</v>
      </c>
      <c r="BA1909" s="2">
        <f t="shared" ca="1" si="1849"/>
        <v>59206790.455439977</v>
      </c>
      <c r="BB1909" s="2">
        <f t="shared" ca="1" si="1850"/>
        <v>1184135.8091087996</v>
      </c>
      <c r="BC1909" s="2">
        <f t="shared" ca="1" si="1851"/>
        <v>34917760.192975037</v>
      </c>
      <c r="BD1909" s="2">
        <f t="shared" ca="1" si="1852"/>
        <v>-16865966.904460594</v>
      </c>
      <c r="BE1909" s="2">
        <f t="shared" ca="1" si="1853"/>
        <v>2391182.3906342648</v>
      </c>
      <c r="BF1909" s="2">
        <f t="shared" ca="1" si="1854"/>
        <v>2655541.4957927</v>
      </c>
      <c r="BG1909" s="2">
        <f t="shared" ca="1" si="1855"/>
        <v>2840241.4282157468</v>
      </c>
      <c r="BH1909" s="2">
        <f t="shared" ca="1" si="1856"/>
        <v>3033074.7420474859</v>
      </c>
      <c r="BI1909" s="2">
        <f t="shared" ca="1" si="1857"/>
        <v>38152159.788992479</v>
      </c>
      <c r="BJ1909" s="2">
        <f t="shared" ca="1" si="1858"/>
        <v>0.28393458589916154</v>
      </c>
      <c r="BK1909" s="2">
        <f t="shared" ca="1" si="1859"/>
        <v>12983760.442211188</v>
      </c>
    </row>
    <row r="1910" spans="1:63" x14ac:dyDescent="0.3">
      <c r="A1910" s="2">
        <v>1909</v>
      </c>
      <c r="B1910" s="2">
        <f t="shared" ca="1" si="1798"/>
        <v>0.65953290411309551</v>
      </c>
      <c r="C1910" s="2">
        <f t="shared" ca="1" si="1799"/>
        <v>7.174812632322932</v>
      </c>
      <c r="D1910" s="2">
        <f t="shared" ca="1" si="1800"/>
        <v>4.2790282760961307E-2</v>
      </c>
      <c r="E1910" s="2">
        <f t="shared" ca="1" si="1801"/>
        <v>6.7925415620419134</v>
      </c>
      <c r="F1910" s="2">
        <f t="shared" ca="1" si="1802"/>
        <v>0.95721254987319104</v>
      </c>
      <c r="G1910" s="2">
        <f t="shared" ca="1" si="1803"/>
        <v>9.1576504430496433E-2</v>
      </c>
      <c r="H1910" s="2">
        <f t="shared" ca="1" si="1804"/>
        <v>9.1576504430496433E-2</v>
      </c>
      <c r="I1910" s="2">
        <f t="shared" ca="1" si="1805"/>
        <v>3.6332156358565015E-3</v>
      </c>
      <c r="J1910" s="2">
        <f t="shared" ca="1" si="1806"/>
        <v>-3.4219034687143785E-3</v>
      </c>
      <c r="K1910" s="2">
        <f t="shared" ca="1" si="1807"/>
        <v>0</v>
      </c>
      <c r="L1910" s="2">
        <f t="shared" ca="1" si="1808"/>
        <v>0.16217539892411936</v>
      </c>
      <c r="M1910" s="2">
        <f t="shared" ca="1" si="1809"/>
        <v>-1.9711129805347626E-2</v>
      </c>
      <c r="N1910" s="2">
        <f t="shared" ca="1" si="1810"/>
        <v>-1.9711129805347626E-2</v>
      </c>
      <c r="O1910" s="2">
        <f t="shared" si="1811"/>
        <v>6000000</v>
      </c>
      <c r="P1910" s="2">
        <f t="shared" ca="1" si="1812"/>
        <v>43048875.793937594</v>
      </c>
      <c r="Q1910" s="2">
        <f t="shared" ca="1" si="1813"/>
        <v>1076221.8948484398</v>
      </c>
      <c r="R1910" s="2">
        <f t="shared" ca="1" si="1814"/>
        <v>25829325.476362556</v>
      </c>
      <c r="S1910" s="2">
        <f t="shared" ca="1" si="1815"/>
        <v>17219550.317575037</v>
      </c>
      <c r="T1910" s="2">
        <f t="shared" ca="1" si="1816"/>
        <v>49014443.509732619</v>
      </c>
      <c r="U1910" s="2">
        <f t="shared" ca="1" si="1817"/>
        <v>53503014.912959963</v>
      </c>
      <c r="V1910" s="2">
        <f t="shared" ca="1" si="1818"/>
        <v>58402633.995181553</v>
      </c>
      <c r="W1910" s="2">
        <f t="shared" ca="1" si="1819"/>
        <v>63750943.065993957</v>
      </c>
      <c r="X1910" s="2">
        <f t="shared" ca="1" si="1820"/>
        <v>69589031.58612527</v>
      </c>
      <c r="Y1910" s="2">
        <f t="shared" ca="1" si="1821"/>
        <v>0.12</v>
      </c>
      <c r="Z1910" s="2">
        <f t="shared" ca="1" si="1822"/>
        <v>0.12</v>
      </c>
      <c r="AA1910" s="2">
        <f t="shared" ca="1" si="1823"/>
        <v>5881733.2211679136</v>
      </c>
      <c r="AB1910" s="2">
        <f t="shared" ca="1" si="1824"/>
        <v>6420361.7895551957</v>
      </c>
      <c r="AC1910" s="2">
        <f t="shared" ca="1" si="1825"/>
        <v>7008316.0794217857</v>
      </c>
      <c r="AD1910" s="2">
        <f t="shared" ca="1" si="1826"/>
        <v>7650113.1679192744</v>
      </c>
      <c r="AE1910" s="2">
        <f t="shared" ca="1" si="1827"/>
        <v>8350683.7903350322</v>
      </c>
      <c r="AF1910" s="2">
        <f t="shared" ca="1" si="1828"/>
        <v>980288.87019465235</v>
      </c>
      <c r="AG1910" s="2">
        <f t="shared" ca="1" si="1829"/>
        <v>1070060.2982591994</v>
      </c>
      <c r="AH1910" s="2">
        <f t="shared" ca="1" si="1830"/>
        <v>1168052.6799036311</v>
      </c>
      <c r="AI1910" s="2">
        <f t="shared" ca="1" si="1831"/>
        <v>1275018.8613198791</v>
      </c>
      <c r="AJ1910" s="2">
        <f t="shared" ca="1" si="1832"/>
        <v>1391780.6317225054</v>
      </c>
      <c r="AK1910" s="2">
        <f t="shared" ca="1" si="1833"/>
        <v>0</v>
      </c>
      <c r="AL1910" s="2">
        <f t="shared" ca="1" si="1834"/>
        <v>44885.714032273441</v>
      </c>
      <c r="AM1910" s="2">
        <f t="shared" ca="1" si="1835"/>
        <v>48996.190822215904</v>
      </c>
      <c r="AN1910" s="2">
        <f t="shared" ca="1" si="1836"/>
        <v>53483.090708124044</v>
      </c>
      <c r="AO1910" s="2">
        <f t="shared" ca="1" si="1837"/>
        <v>58380.885201313125</v>
      </c>
      <c r="AP1910" s="2">
        <f t="shared" ca="1" si="1838"/>
        <v>2324639.2928726301</v>
      </c>
      <c r="AQ1910" s="2">
        <f t="shared" ca="1" si="1839"/>
        <v>669969.3151061642</v>
      </c>
      <c r="AR1910" s="2">
        <f t="shared" ca="1" si="1840"/>
        <v>786672.17159007525</v>
      </c>
      <c r="AS1910" s="2">
        <f t="shared" ca="1" si="1841"/>
        <v>914062.26772783638</v>
      </c>
      <c r="AT1910" s="2">
        <f t="shared" ca="1" si="1842"/>
        <v>1053118.303568959</v>
      </c>
      <c r="AU1910" s="2">
        <f t="shared" ca="1" si="1843"/>
        <v>1204908.6050923732</v>
      </c>
      <c r="AV1910" s="2">
        <f t="shared" ca="1" si="1844"/>
        <v>1906835.7429944668</v>
      </c>
      <c r="AW1910" s="2">
        <f t="shared" ca="1" si="1845"/>
        <v>2194104.3128010174</v>
      </c>
      <c r="AX1910" s="2">
        <f t="shared" ca="1" si="1846"/>
        <v>2552565.6480954727</v>
      </c>
      <c r="AY1910" s="2">
        <f t="shared" ca="1" si="1847"/>
        <v>2943853.6194496816</v>
      </c>
      <c r="AZ1910" s="2">
        <f t="shared" ca="1" si="1848"/>
        <v>3370974.3754462097</v>
      </c>
      <c r="BA1910" s="2">
        <f t="shared" ca="1" si="1849"/>
        <v>56722366.717320405</v>
      </c>
      <c r="BB1910" s="2">
        <f t="shared" ca="1" si="1850"/>
        <v>1134447.334346408</v>
      </c>
      <c r="BC1910" s="2">
        <f t="shared" ca="1" si="1851"/>
        <v>29758593.906611443</v>
      </c>
      <c r="BD1910" s="2">
        <f t="shared" ca="1" si="1852"/>
        <v>-18795772.212423477</v>
      </c>
      <c r="BE1910" s="2">
        <f t="shared" ca="1" si="1853"/>
        <v>1906835.7429944668</v>
      </c>
      <c r="BF1910" s="2">
        <f t="shared" ca="1" si="1854"/>
        <v>2194104.3128010174</v>
      </c>
      <c r="BG1910" s="2">
        <f t="shared" ca="1" si="1855"/>
        <v>2552565.6480954727</v>
      </c>
      <c r="BH1910" s="2">
        <f t="shared" ca="1" si="1856"/>
        <v>2943853.6194496816</v>
      </c>
      <c r="BI1910" s="2">
        <f t="shared" ca="1" si="1857"/>
        <v>33129568.28205765</v>
      </c>
      <c r="BJ1910" s="2">
        <f t="shared" ca="1" si="1858"/>
        <v>0.20793482116694739</v>
      </c>
      <c r="BK1910" s="2">
        <f t="shared" ca="1" si="1859"/>
        <v>7142230.9923394658</v>
      </c>
    </row>
    <row r="1911" spans="1:63" x14ac:dyDescent="0.3">
      <c r="A1911" s="2">
        <v>1910</v>
      </c>
      <c r="B1911" s="2">
        <f t="shared" ca="1" si="1798"/>
        <v>0.47290600181161468</v>
      </c>
      <c r="C1911" s="2">
        <f t="shared" ca="1" si="1799"/>
        <v>6.9725286646794684</v>
      </c>
      <c r="D1911" s="2">
        <f t="shared" ca="1" si="1800"/>
        <v>0.64736681016544495</v>
      </c>
      <c r="E1911" s="2">
        <f t="shared" ca="1" si="1801"/>
        <v>7.6601986070093062</v>
      </c>
      <c r="F1911" s="2">
        <f t="shared" ca="1" si="1802"/>
        <v>0.26867519674165996</v>
      </c>
      <c r="G1911" s="2">
        <f t="shared" ca="1" si="1803"/>
        <v>2.1495260603853952E-2</v>
      </c>
      <c r="H1911" s="2">
        <f t="shared" ca="1" si="1804"/>
        <v>2.1495260603853952E-2</v>
      </c>
      <c r="I1911" s="2">
        <f t="shared" ca="1" si="1805"/>
        <v>0.91634479210424102</v>
      </c>
      <c r="J1911" s="2">
        <f t="shared" ca="1" si="1806"/>
        <v>1.6904488523671213E-2</v>
      </c>
      <c r="K1911" s="2">
        <f t="shared" ca="1" si="1807"/>
        <v>1.6904488523671213E-2</v>
      </c>
      <c r="L1911" s="2">
        <f t="shared" ca="1" si="1808"/>
        <v>0.8711852278567338</v>
      </c>
      <c r="M1911" s="2">
        <f t="shared" ca="1" si="1809"/>
        <v>2.2640232632724709E-2</v>
      </c>
      <c r="N1911" s="2">
        <f t="shared" ca="1" si="1810"/>
        <v>2.2640232632724709E-2</v>
      </c>
      <c r="O1911" s="2">
        <f t="shared" si="1811"/>
        <v>6000000</v>
      </c>
      <c r="P1911" s="2">
        <f t="shared" ca="1" si="1812"/>
        <v>41835171.988076814</v>
      </c>
      <c r="Q1911" s="2">
        <f t="shared" ca="1" si="1813"/>
        <v>1045879.2997019204</v>
      </c>
      <c r="R1911" s="2">
        <f t="shared" ca="1" si="1814"/>
        <v>25101103.192846086</v>
      </c>
      <c r="S1911" s="2">
        <f t="shared" ca="1" si="1815"/>
        <v>16734068.795230726</v>
      </c>
      <c r="T1911" s="2">
        <f t="shared" ca="1" si="1816"/>
        <v>51132011.631636232</v>
      </c>
      <c r="U1911" s="2">
        <f t="shared" ca="1" si="1817"/>
        <v>52231107.546857543</v>
      </c>
      <c r="V1911" s="2">
        <f t="shared" ca="1" si="1818"/>
        <v>53353828.815205164</v>
      </c>
      <c r="W1911" s="2">
        <f t="shared" ca="1" si="1819"/>
        <v>54500683.269801408</v>
      </c>
      <c r="X1911" s="2">
        <f t="shared" ca="1" si="1820"/>
        <v>55672189.659773886</v>
      </c>
      <c r="Y1911" s="2">
        <f t="shared" ca="1" si="1821"/>
        <v>0.1284522442618356</v>
      </c>
      <c r="Z1911" s="2">
        <f t="shared" ca="1" si="1822"/>
        <v>0.13183314196656984</v>
      </c>
      <c r="AA1911" s="2">
        <f t="shared" ca="1" si="1823"/>
        <v>6568021.6477059564</v>
      </c>
      <c r="AB1911" s="2">
        <f t="shared" ca="1" si="1824"/>
        <v>6885791.0162960477</v>
      </c>
      <c r="AC1911" s="2">
        <f t="shared" ca="1" si="1825"/>
        <v>7033802.8886550069</v>
      </c>
      <c r="AD1911" s="2">
        <f t="shared" ca="1" si="1826"/>
        <v>7184996.3147827871</v>
      </c>
      <c r="AE1911" s="2">
        <f t="shared" ca="1" si="1827"/>
        <v>7339439.6830067718</v>
      </c>
      <c r="AF1911" s="2">
        <f t="shared" ca="1" si="1828"/>
        <v>1022640.2326327247</v>
      </c>
      <c r="AG1911" s="2">
        <f t="shared" ca="1" si="1829"/>
        <v>1044622.1509371509</v>
      </c>
      <c r="AH1911" s="2">
        <f t="shared" ca="1" si="1830"/>
        <v>1067076.5763041032</v>
      </c>
      <c r="AI1911" s="2">
        <f t="shared" ca="1" si="1831"/>
        <v>1090013.6653960282</v>
      </c>
      <c r="AJ1911" s="2">
        <f t="shared" ca="1" si="1832"/>
        <v>1113443.7931954777</v>
      </c>
      <c r="AK1911" s="2">
        <f t="shared" ca="1" si="1833"/>
        <v>0</v>
      </c>
      <c r="AL1911" s="2">
        <f t="shared" ca="1" si="1834"/>
        <v>10990.959152213112</v>
      </c>
      <c r="AM1911" s="2">
        <f t="shared" ca="1" si="1835"/>
        <v>11227.212683476209</v>
      </c>
      <c r="AN1911" s="2">
        <f t="shared" ca="1" si="1836"/>
        <v>11468.544545962439</v>
      </c>
      <c r="AO1911" s="2">
        <f t="shared" ca="1" si="1837"/>
        <v>11715.063899724782</v>
      </c>
      <c r="AP1911" s="2">
        <f t="shared" ca="1" si="1838"/>
        <v>2259099.2873561475</v>
      </c>
      <c r="AQ1911" s="2">
        <f t="shared" ca="1" si="1839"/>
        <v>854433.35320644197</v>
      </c>
      <c r="AR1911" s="2">
        <f t="shared" ca="1" si="1840"/>
        <v>931338.09028071479</v>
      </c>
      <c r="AS1911" s="2">
        <f t="shared" ca="1" si="1841"/>
        <v>963983.02649863658</v>
      </c>
      <c r="AT1911" s="2">
        <f t="shared" ca="1" si="1842"/>
        <v>997329.67412795895</v>
      </c>
      <c r="AU1911" s="2">
        <f t="shared" ca="1" si="1843"/>
        <v>1031393.1166383382</v>
      </c>
      <c r="AV1911" s="2">
        <f t="shared" ca="1" si="1844"/>
        <v>2431848.7745106425</v>
      </c>
      <c r="AW1911" s="2">
        <f t="shared" ca="1" si="1845"/>
        <v>2639740.5285698213</v>
      </c>
      <c r="AX1911" s="2">
        <f t="shared" ca="1" si="1846"/>
        <v>2732416.7858126434</v>
      </c>
      <c r="AY1911" s="2">
        <f t="shared" ca="1" si="1847"/>
        <v>2827085.1433566902</v>
      </c>
      <c r="AZ1911" s="2">
        <f t="shared" ca="1" si="1848"/>
        <v>2923788.4219170837</v>
      </c>
      <c r="BA1911" s="2">
        <f t="shared" ca="1" si="1849"/>
        <v>56221565.635997295</v>
      </c>
      <c r="BB1911" s="2">
        <f t="shared" ca="1" si="1850"/>
        <v>1124431.312719946</v>
      </c>
      <c r="BC1911" s="2">
        <f t="shared" ca="1" si="1851"/>
        <v>29996031.130431265</v>
      </c>
      <c r="BD1911" s="2">
        <f t="shared" ca="1" si="1852"/>
        <v>-18279948.094932646</v>
      </c>
      <c r="BE1911" s="2">
        <f t="shared" ca="1" si="1853"/>
        <v>2431848.7745106425</v>
      </c>
      <c r="BF1911" s="2">
        <f t="shared" ca="1" si="1854"/>
        <v>2639740.5285698213</v>
      </c>
      <c r="BG1911" s="2">
        <f t="shared" ca="1" si="1855"/>
        <v>2732416.7858126434</v>
      </c>
      <c r="BH1911" s="2">
        <f t="shared" ca="1" si="1856"/>
        <v>2827085.1433566902</v>
      </c>
      <c r="BI1911" s="2">
        <f t="shared" ca="1" si="1857"/>
        <v>32919819.552348349</v>
      </c>
      <c r="BJ1911" s="2">
        <f t="shared" ca="1" si="1858"/>
        <v>0.22730813827285368</v>
      </c>
      <c r="BK1911" s="2">
        <f t="shared" ca="1" si="1859"/>
        <v>8416864.1555775478</v>
      </c>
    </row>
    <row r="1912" spans="1:63" x14ac:dyDescent="0.3">
      <c r="A1912" s="2">
        <v>1911</v>
      </c>
      <c r="B1912" s="2">
        <f t="shared" ca="1" si="1798"/>
        <v>0.26701554148694795</v>
      </c>
      <c r="C1912" s="2">
        <f t="shared" ca="1" si="1799"/>
        <v>6.7307743037175678</v>
      </c>
      <c r="D1912" s="2">
        <f t="shared" ca="1" si="1800"/>
        <v>0.31243445636757583</v>
      </c>
      <c r="E1912" s="2">
        <f t="shared" ca="1" si="1801"/>
        <v>7.2904865038285926</v>
      </c>
      <c r="F1912" s="2">
        <f t="shared" ca="1" si="1802"/>
        <v>0.79661791154251704</v>
      </c>
      <c r="G1912" s="2">
        <f t="shared" ca="1" si="1803"/>
        <v>6.4888042427523537E-2</v>
      </c>
      <c r="H1912" s="2">
        <f t="shared" ca="1" si="1804"/>
        <v>6.4888042427523537E-2</v>
      </c>
      <c r="I1912" s="2">
        <f t="shared" ca="1" si="1805"/>
        <v>0.99702067315373488</v>
      </c>
      <c r="J1912" s="2">
        <f t="shared" ca="1" si="1806"/>
        <v>2.3750239959634621E-2</v>
      </c>
      <c r="K1912" s="2">
        <f t="shared" ca="1" si="1807"/>
        <v>2.3750239959634621E-2</v>
      </c>
      <c r="L1912" s="2">
        <f t="shared" ca="1" si="1808"/>
        <v>0.18871794210369908</v>
      </c>
      <c r="M1912" s="2">
        <f t="shared" ca="1" si="1809"/>
        <v>-1.7652612209185316E-2</v>
      </c>
      <c r="N1912" s="2">
        <f t="shared" ca="1" si="1810"/>
        <v>-1.7652612209185316E-2</v>
      </c>
      <c r="O1912" s="2">
        <f t="shared" si="1811"/>
        <v>6000000</v>
      </c>
      <c r="P1912" s="2">
        <f t="shared" ca="1" si="1812"/>
        <v>40384645.822305404</v>
      </c>
      <c r="Q1912" s="2">
        <f t="shared" ca="1" si="1813"/>
        <v>1009616.1455576351</v>
      </c>
      <c r="R1912" s="2">
        <f t="shared" ca="1" si="1814"/>
        <v>24230787.49338324</v>
      </c>
      <c r="S1912" s="2">
        <f t="shared" ca="1" si="1815"/>
        <v>16153858.328922162</v>
      </c>
      <c r="T1912" s="2">
        <f t="shared" ca="1" si="1816"/>
        <v>49117369.389540732</v>
      </c>
      <c r="U1912" s="2">
        <f t="shared" ca="1" si="1817"/>
        <v>52304499.338417597</v>
      </c>
      <c r="V1912" s="2">
        <f t="shared" ca="1" si="1818"/>
        <v>55698435.910639219</v>
      </c>
      <c r="W1912" s="2">
        <f t="shared" ca="1" si="1819"/>
        <v>59312598.38315548</v>
      </c>
      <c r="X1912" s="2">
        <f t="shared" ca="1" si="1820"/>
        <v>63161276.783528335</v>
      </c>
      <c r="Y1912" s="2">
        <f t="shared" ca="1" si="1821"/>
        <v>0.1318751199798173</v>
      </c>
      <c r="Z1912" s="2">
        <f t="shared" ca="1" si="1822"/>
        <v>0.13662516797174423</v>
      </c>
      <c r="AA1912" s="2">
        <f t="shared" ca="1" si="1823"/>
        <v>6477358.9813386891</v>
      </c>
      <c r="AB1912" s="2">
        <f t="shared" ca="1" si="1824"/>
        <v>7146111.0077892896</v>
      </c>
      <c r="AC1912" s="2">
        <f t="shared" ca="1" si="1825"/>
        <v>7609808.1620545145</v>
      </c>
      <c r="AD1912" s="2">
        <f t="shared" ca="1" si="1826"/>
        <v>8103593.716939223</v>
      </c>
      <c r="AE1912" s="2">
        <f t="shared" ca="1" si="1827"/>
        <v>8629420.0498593878</v>
      </c>
      <c r="AF1912" s="2">
        <f t="shared" ca="1" si="1828"/>
        <v>982347.38779081462</v>
      </c>
      <c r="AG1912" s="2">
        <f t="shared" ca="1" si="1829"/>
        <v>1046089.986768352</v>
      </c>
      <c r="AH1912" s="2">
        <f t="shared" ca="1" si="1830"/>
        <v>1113968.7182127845</v>
      </c>
      <c r="AI1912" s="2">
        <f t="shared" ca="1" si="1831"/>
        <v>1186251.9676631095</v>
      </c>
      <c r="AJ1912" s="2">
        <f t="shared" ca="1" si="1832"/>
        <v>1263225.5356705668</v>
      </c>
      <c r="AK1912" s="2">
        <f t="shared" ca="1" si="1833"/>
        <v>0</v>
      </c>
      <c r="AL1912" s="2">
        <f t="shared" ca="1" si="1834"/>
        <v>31871.299488768655</v>
      </c>
      <c r="AM1912" s="2">
        <f t="shared" ca="1" si="1835"/>
        <v>33939.365722216222</v>
      </c>
      <c r="AN1912" s="2">
        <f t="shared" ca="1" si="1836"/>
        <v>36141.624725162612</v>
      </c>
      <c r="AO1912" s="2">
        <f t="shared" ca="1" si="1837"/>
        <v>38486.784003728557</v>
      </c>
      <c r="AP1912" s="2">
        <f t="shared" ca="1" si="1838"/>
        <v>2180770.8744044914</v>
      </c>
      <c r="AQ1912" s="2">
        <f t="shared" ca="1" si="1839"/>
        <v>861702.58697727951</v>
      </c>
      <c r="AR1912" s="2">
        <f t="shared" ca="1" si="1840"/>
        <v>1019005.0381202761</v>
      </c>
      <c r="AS1912" s="2">
        <f t="shared" ca="1" si="1841"/>
        <v>1121917.8280536823</v>
      </c>
      <c r="AT1912" s="2">
        <f t="shared" ca="1" si="1842"/>
        <v>1231508.4274666219</v>
      </c>
      <c r="AU1912" s="2">
        <f t="shared" ca="1" si="1843"/>
        <v>1348210.1463439255</v>
      </c>
      <c r="AV1912" s="2">
        <f t="shared" ca="1" si="1844"/>
        <v>2452538.132166103</v>
      </c>
      <c r="AW1912" s="2">
        <f t="shared" ca="1" si="1845"/>
        <v>2868373.8090074011</v>
      </c>
      <c r="AX1912" s="2">
        <f t="shared" ca="1" si="1846"/>
        <v>3159211.3756613401</v>
      </c>
      <c r="AY1912" s="2">
        <f t="shared" ca="1" si="1847"/>
        <v>3468920.8226798377</v>
      </c>
      <c r="AZ1912" s="2">
        <f t="shared" ca="1" si="1848"/>
        <v>3798726.7094366741</v>
      </c>
      <c r="BA1912" s="2">
        <f t="shared" ca="1" si="1849"/>
        <v>62912670.409367725</v>
      </c>
      <c r="BB1912" s="2">
        <f t="shared" ca="1" si="1850"/>
        <v>1258253.4081873544</v>
      </c>
      <c r="BC1912" s="2">
        <f t="shared" ca="1" si="1851"/>
        <v>37423629.507797129</v>
      </c>
      <c r="BD1912" s="2">
        <f t="shared" ca="1" si="1852"/>
        <v>-17663474.474479798</v>
      </c>
      <c r="BE1912" s="2">
        <f t="shared" ca="1" si="1853"/>
        <v>2452538.132166103</v>
      </c>
      <c r="BF1912" s="2">
        <f t="shared" ca="1" si="1854"/>
        <v>2868373.8090074011</v>
      </c>
      <c r="BG1912" s="2">
        <f t="shared" ca="1" si="1855"/>
        <v>3159211.3756613401</v>
      </c>
      <c r="BH1912" s="2">
        <f t="shared" ca="1" si="1856"/>
        <v>3468920.8226798377</v>
      </c>
      <c r="BI1912" s="2">
        <f t="shared" ca="1" si="1857"/>
        <v>41222356.217233807</v>
      </c>
      <c r="BJ1912" s="2">
        <f t="shared" ca="1" si="1858"/>
        <v>0.29404282485965982</v>
      </c>
      <c r="BK1912" s="2">
        <f t="shared" ca="1" si="1859"/>
        <v>14656839.878910817</v>
      </c>
    </row>
    <row r="1913" spans="1:63" x14ac:dyDescent="0.3">
      <c r="A1913" s="2">
        <v>1912</v>
      </c>
      <c r="B1913" s="2">
        <f t="shared" ca="1" si="1798"/>
        <v>0.15849235047809607</v>
      </c>
      <c r="C1913" s="2">
        <f t="shared" ca="1" si="1799"/>
        <v>6.5630139438381541</v>
      </c>
      <c r="D1913" s="2">
        <f t="shared" ca="1" si="1800"/>
        <v>0.80375688529837441</v>
      </c>
      <c r="E1913" s="2">
        <f t="shared" ca="1" si="1801"/>
        <v>7.87351278592197</v>
      </c>
      <c r="F1913" s="2">
        <f t="shared" ca="1" si="1802"/>
        <v>0.36914742497857056</v>
      </c>
      <c r="G1913" s="2">
        <f t="shared" ca="1" si="1803"/>
        <v>2.997663223725907E-2</v>
      </c>
      <c r="H1913" s="2">
        <f t="shared" ca="1" si="1804"/>
        <v>2.997663223725907E-2</v>
      </c>
      <c r="I1913" s="2">
        <f t="shared" ca="1" si="1805"/>
        <v>0.23322119722054246</v>
      </c>
      <c r="J1913" s="2">
        <f t="shared" ca="1" si="1806"/>
        <v>6.3586015665172621E-3</v>
      </c>
      <c r="K1913" s="2">
        <f t="shared" ca="1" si="1807"/>
        <v>6.3586015665172621E-3</v>
      </c>
      <c r="L1913" s="2">
        <f t="shared" ca="1" si="1808"/>
        <v>0.85337844147350361</v>
      </c>
      <c r="M1913" s="2">
        <f t="shared" ca="1" si="1809"/>
        <v>2.1020673794086942E-2</v>
      </c>
      <c r="N1913" s="2">
        <f t="shared" ca="1" si="1810"/>
        <v>2.1020673794086942E-2</v>
      </c>
      <c r="O1913" s="2">
        <f t="shared" si="1811"/>
        <v>6000000</v>
      </c>
      <c r="P1913" s="2">
        <f t="shared" ca="1" si="1812"/>
        <v>39378083.663028926</v>
      </c>
      <c r="Q1913" s="2">
        <f t="shared" ca="1" si="1813"/>
        <v>984452.09157572314</v>
      </c>
      <c r="R1913" s="2">
        <f t="shared" ca="1" si="1814"/>
        <v>23626850.197817355</v>
      </c>
      <c r="S1913" s="2">
        <f t="shared" ca="1" si="1815"/>
        <v>15751233.46521157</v>
      </c>
      <c r="T1913" s="2">
        <f t="shared" ca="1" si="1816"/>
        <v>51051033.689704351</v>
      </c>
      <c r="U1913" s="2">
        <f t="shared" ca="1" si="1817"/>
        <v>52581371.751952536</v>
      </c>
      <c r="V1913" s="2">
        <f t="shared" ca="1" si="1818"/>
        <v>54157584.195491418</v>
      </c>
      <c r="W1913" s="2">
        <f t="shared" ca="1" si="1819"/>
        <v>55781046.179778054</v>
      </c>
      <c r="X1913" s="2">
        <f t="shared" ca="1" si="1820"/>
        <v>57453174.086918823</v>
      </c>
      <c r="Y1913" s="2">
        <f t="shared" ca="1" si="1821"/>
        <v>0.12317930078325863</v>
      </c>
      <c r="Z1913" s="2">
        <f t="shared" ca="1" si="1822"/>
        <v>0.12445102109656207</v>
      </c>
      <c r="AA1913" s="2">
        <f t="shared" ca="1" si="1823"/>
        <v>6288430.6341603622</v>
      </c>
      <c r="AB1913" s="2">
        <f t="shared" ca="1" si="1824"/>
        <v>6543805.405188418</v>
      </c>
      <c r="AC1913" s="2">
        <f t="shared" ca="1" si="1825"/>
        <v>6739966.6532519395</v>
      </c>
      <c r="AD1913" s="2">
        <f t="shared" ca="1" si="1826"/>
        <v>6942008.1549078617</v>
      </c>
      <c r="AE1913" s="2">
        <f t="shared" ca="1" si="1827"/>
        <v>7150106.180355588</v>
      </c>
      <c r="AF1913" s="2">
        <f t="shared" ca="1" si="1828"/>
        <v>1021020.673794087</v>
      </c>
      <c r="AG1913" s="2">
        <f t="shared" ca="1" si="1829"/>
        <v>1051627.4350390506</v>
      </c>
      <c r="AH1913" s="2">
        <f t="shared" ca="1" si="1830"/>
        <v>1083151.6839098283</v>
      </c>
      <c r="AI1913" s="2">
        <f t="shared" ca="1" si="1831"/>
        <v>1115620.9235955612</v>
      </c>
      <c r="AJ1913" s="2">
        <f t="shared" ca="1" si="1832"/>
        <v>1149063.4817383764</v>
      </c>
      <c r="AK1913" s="2">
        <f t="shared" ca="1" si="1833"/>
        <v>0</v>
      </c>
      <c r="AL1913" s="2">
        <f t="shared" ca="1" si="1834"/>
        <v>15303.380622481853</v>
      </c>
      <c r="AM1913" s="2">
        <f t="shared" ca="1" si="1835"/>
        <v>15762.12443538882</v>
      </c>
      <c r="AN1913" s="2">
        <f t="shared" ca="1" si="1836"/>
        <v>16234.619842866361</v>
      </c>
      <c r="AO1913" s="2">
        <f t="shared" ca="1" si="1837"/>
        <v>16721.279071407691</v>
      </c>
      <c r="AP1913" s="2">
        <f t="shared" ca="1" si="1838"/>
        <v>2126416.5178035619</v>
      </c>
      <c r="AQ1913" s="2">
        <f t="shared" ca="1" si="1839"/>
        <v>816658.29506630544</v>
      </c>
      <c r="AR1913" s="2">
        <f t="shared" ca="1" si="1840"/>
        <v>875097.97760990937</v>
      </c>
      <c r="AS1913" s="2">
        <f t="shared" ca="1" si="1841"/>
        <v>917903.59740002267</v>
      </c>
      <c r="AT1913" s="2">
        <f t="shared" ca="1" si="1842"/>
        <v>961992.38551227225</v>
      </c>
      <c r="AU1913" s="2">
        <f t="shared" ca="1" si="1843"/>
        <v>1007402.8070115489</v>
      </c>
      <c r="AV1913" s="2">
        <f t="shared" ca="1" si="1844"/>
        <v>2324335.1474964079</v>
      </c>
      <c r="AW1913" s="2">
        <f t="shared" ca="1" si="1845"/>
        <v>2475360.0941134142</v>
      </c>
      <c r="AX1913" s="2">
        <f t="shared" ca="1" si="1846"/>
        <v>2596732.7297031377</v>
      </c>
      <c r="AY1913" s="2">
        <f t="shared" ca="1" si="1847"/>
        <v>2721743.7081536008</v>
      </c>
      <c r="AZ1913" s="2">
        <f t="shared" ca="1" si="1848"/>
        <v>2850502.0947306929</v>
      </c>
      <c r="BA1913" s="2">
        <f t="shared" ca="1" si="1849"/>
        <v>56296452.431729421</v>
      </c>
      <c r="BB1913" s="2">
        <f t="shared" ca="1" si="1850"/>
        <v>1125929.0486345885</v>
      </c>
      <c r="BC1913" s="2">
        <f t="shared" ca="1" si="1851"/>
        <v>31543673.185277477</v>
      </c>
      <c r="BD1913" s="2">
        <f t="shared" ca="1" si="1852"/>
        <v>-17235685.556787293</v>
      </c>
      <c r="BE1913" s="2">
        <f t="shared" ca="1" si="1853"/>
        <v>2324335.1474964079</v>
      </c>
      <c r="BF1913" s="2">
        <f t="shared" ca="1" si="1854"/>
        <v>2475360.0941134142</v>
      </c>
      <c r="BG1913" s="2">
        <f t="shared" ca="1" si="1855"/>
        <v>2596732.7297031377</v>
      </c>
      <c r="BH1913" s="2">
        <f t="shared" ca="1" si="1856"/>
        <v>2721743.7081536008</v>
      </c>
      <c r="BI1913" s="2">
        <f t="shared" ca="1" si="1857"/>
        <v>34394175.280008167</v>
      </c>
      <c r="BJ1913" s="2">
        <f t="shared" ca="1" si="1858"/>
        <v>0.24861959130448241</v>
      </c>
      <c r="BK1913" s="2">
        <f t="shared" ca="1" si="1859"/>
        <v>9907154.7251490317</v>
      </c>
    </row>
    <row r="1914" spans="1:63" x14ac:dyDescent="0.3">
      <c r="A1914" s="2">
        <v>1913</v>
      </c>
      <c r="B1914" s="2">
        <f t="shared" ca="1" si="1798"/>
        <v>0.42719386075954757</v>
      </c>
      <c r="C1914" s="2">
        <f t="shared" ca="1" si="1799"/>
        <v>6.9243309588665172</v>
      </c>
      <c r="D1914" s="2">
        <f t="shared" ca="1" si="1800"/>
        <v>0.51207358963893967</v>
      </c>
      <c r="E1914" s="2">
        <f t="shared" ca="1" si="1801"/>
        <v>7.5121473689248379</v>
      </c>
      <c r="F1914" s="2">
        <f t="shared" ca="1" si="1802"/>
        <v>0.79286969802474316</v>
      </c>
      <c r="G1914" s="2">
        <f t="shared" ca="1" si="1803"/>
        <v>6.4492566297251558E-2</v>
      </c>
      <c r="H1914" s="2">
        <f t="shared" ca="1" si="1804"/>
        <v>6.4492566297251558E-2</v>
      </c>
      <c r="I1914" s="2">
        <f t="shared" ca="1" si="1805"/>
        <v>3.2541864081424565E-3</v>
      </c>
      <c r="J1914" s="2">
        <f t="shared" ca="1" si="1806"/>
        <v>-3.6050262427915359E-3</v>
      </c>
      <c r="K1914" s="2">
        <f t="shared" ca="1" si="1807"/>
        <v>0</v>
      </c>
      <c r="L1914" s="2">
        <f t="shared" ca="1" si="1808"/>
        <v>0.18539063457373905</v>
      </c>
      <c r="M1914" s="2">
        <f t="shared" ca="1" si="1809"/>
        <v>-1.7900217704815837E-2</v>
      </c>
      <c r="N1914" s="2">
        <f t="shared" ca="1" si="1810"/>
        <v>-1.7900217704815837E-2</v>
      </c>
      <c r="O1914" s="2">
        <f t="shared" si="1811"/>
        <v>6000000</v>
      </c>
      <c r="P1914" s="2">
        <f t="shared" ca="1" si="1812"/>
        <v>41545985.7531991</v>
      </c>
      <c r="Q1914" s="2">
        <f t="shared" ca="1" si="1813"/>
        <v>1038649.6438299776</v>
      </c>
      <c r="R1914" s="2">
        <f t="shared" ca="1" si="1814"/>
        <v>24927591.451919459</v>
      </c>
      <c r="S1914" s="2">
        <f t="shared" ca="1" si="1815"/>
        <v>16618394.301279642</v>
      </c>
      <c r="T1914" s="2">
        <f t="shared" ca="1" si="1816"/>
        <v>49104989.114759207</v>
      </c>
      <c r="U1914" s="2">
        <f t="shared" ca="1" si="1817"/>
        <v>52271895.880768627</v>
      </c>
      <c r="V1914" s="2">
        <f t="shared" ca="1" si="1818"/>
        <v>55643044.591342129</v>
      </c>
      <c r="W1914" s="2">
        <f t="shared" ca="1" si="1819"/>
        <v>59231607.333630182</v>
      </c>
      <c r="X1914" s="2">
        <f t="shared" ca="1" si="1820"/>
        <v>63051605.696487099</v>
      </c>
      <c r="Y1914" s="2">
        <f t="shared" ca="1" si="1821"/>
        <v>0.12</v>
      </c>
      <c r="Z1914" s="2">
        <f t="shared" ca="1" si="1822"/>
        <v>0.12</v>
      </c>
      <c r="AA1914" s="2">
        <f t="shared" ca="1" si="1823"/>
        <v>5892598.6937711043</v>
      </c>
      <c r="AB1914" s="2">
        <f t="shared" ca="1" si="1824"/>
        <v>6272627.5056922352</v>
      </c>
      <c r="AC1914" s="2">
        <f t="shared" ca="1" si="1825"/>
        <v>6677165.3509610556</v>
      </c>
      <c r="AD1914" s="2">
        <f t="shared" ca="1" si="1826"/>
        <v>7107792.8800356211</v>
      </c>
      <c r="AE1914" s="2">
        <f t="shared" ca="1" si="1827"/>
        <v>7566192.6835784512</v>
      </c>
      <c r="AF1914" s="2">
        <f t="shared" ca="1" si="1828"/>
        <v>982099.78229518421</v>
      </c>
      <c r="AG1914" s="2">
        <f t="shared" ca="1" si="1829"/>
        <v>1045437.9176153726</v>
      </c>
      <c r="AH1914" s="2">
        <f t="shared" ca="1" si="1830"/>
        <v>1112860.8918268427</v>
      </c>
      <c r="AI1914" s="2">
        <f t="shared" ca="1" si="1831"/>
        <v>1184632.1466726037</v>
      </c>
      <c r="AJ1914" s="2">
        <f t="shared" ca="1" si="1832"/>
        <v>1261032.113929742</v>
      </c>
      <c r="AK1914" s="2">
        <f t="shared" ca="1" si="1833"/>
        <v>0</v>
      </c>
      <c r="AL1914" s="2">
        <f t="shared" ca="1" si="1834"/>
        <v>31669.067660094202</v>
      </c>
      <c r="AM1914" s="2">
        <f t="shared" ca="1" si="1835"/>
        <v>33711.487105735017</v>
      </c>
      <c r="AN1914" s="2">
        <f t="shared" ca="1" si="1836"/>
        <v>35885.627422880534</v>
      </c>
      <c r="AO1914" s="2">
        <f t="shared" ca="1" si="1837"/>
        <v>38199.983628569171</v>
      </c>
      <c r="AP1914" s="2">
        <f t="shared" ca="1" si="1838"/>
        <v>2243483.2306727511</v>
      </c>
      <c r="AQ1914" s="2">
        <f t="shared" ca="1" si="1839"/>
        <v>693424.07700882398</v>
      </c>
      <c r="AR1914" s="2">
        <f t="shared" ca="1" si="1840"/>
        <v>775763.65292506898</v>
      </c>
      <c r="AS1914" s="2">
        <f t="shared" ca="1" si="1841"/>
        <v>863413.51939998008</v>
      </c>
      <c r="AT1914" s="2">
        <f t="shared" ca="1" si="1842"/>
        <v>956716.15069946926</v>
      </c>
      <c r="AU1914" s="2">
        <f t="shared" ca="1" si="1843"/>
        <v>1056036.1081337491</v>
      </c>
      <c r="AV1914" s="2">
        <f t="shared" ca="1" si="1844"/>
        <v>1973591.6037943452</v>
      </c>
      <c r="AW1914" s="2">
        <f t="shared" ca="1" si="1845"/>
        <v>2176273.6368189487</v>
      </c>
      <c r="AX1914" s="2">
        <f t="shared" ca="1" si="1846"/>
        <v>2423696.2219557469</v>
      </c>
      <c r="AY1914" s="2">
        <f t="shared" ca="1" si="1847"/>
        <v>2687075.7245679167</v>
      </c>
      <c r="AZ1914" s="2">
        <f t="shared" ca="1" si="1848"/>
        <v>2967441.2472136398</v>
      </c>
      <c r="BA1914" s="2">
        <f t="shared" ca="1" si="1849"/>
        <v>56838354.460722223</v>
      </c>
      <c r="BB1914" s="2">
        <f t="shared" ca="1" si="1850"/>
        <v>1136767.0892144444</v>
      </c>
      <c r="BC1914" s="2">
        <f t="shared" ca="1" si="1851"/>
        <v>30773995.91958832</v>
      </c>
      <c r="BD1914" s="2">
        <f t="shared" ca="1" si="1852"/>
        <v>-18157043.945109621</v>
      </c>
      <c r="BE1914" s="2">
        <f t="shared" ca="1" si="1853"/>
        <v>1973591.6037943452</v>
      </c>
      <c r="BF1914" s="2">
        <f t="shared" ca="1" si="1854"/>
        <v>2176273.6368189487</v>
      </c>
      <c r="BG1914" s="2">
        <f t="shared" ca="1" si="1855"/>
        <v>2423696.2219557469</v>
      </c>
      <c r="BH1914" s="2">
        <f t="shared" ca="1" si="1856"/>
        <v>2687075.7245679167</v>
      </c>
      <c r="BI1914" s="2">
        <f t="shared" ca="1" si="1857"/>
        <v>33741437.166801959</v>
      </c>
      <c r="BJ1914" s="2">
        <f t="shared" ca="1" si="1858"/>
        <v>0.21927402104042404</v>
      </c>
      <c r="BK1914" s="2">
        <f t="shared" ca="1" si="1859"/>
        <v>7918625.3320476785</v>
      </c>
    </row>
    <row r="1915" spans="1:63" x14ac:dyDescent="0.3">
      <c r="A1915" s="2">
        <v>1914</v>
      </c>
      <c r="B1915" s="2">
        <f t="shared" ca="1" si="1798"/>
        <v>0.60695485656514558</v>
      </c>
      <c r="C1915" s="2">
        <f t="shared" ca="1" si="1799"/>
        <v>7.1133826716842776</v>
      </c>
      <c r="D1915" s="2">
        <f t="shared" ca="1" si="1800"/>
        <v>0.74166718583266478</v>
      </c>
      <c r="E1915" s="2">
        <f t="shared" ca="1" si="1801"/>
        <v>7.7812054338445025</v>
      </c>
      <c r="F1915" s="2">
        <f t="shared" ca="1" si="1802"/>
        <v>0.75419601173890072</v>
      </c>
      <c r="G1915" s="2">
        <f t="shared" ca="1" si="1803"/>
        <v>6.0632607218305851E-2</v>
      </c>
      <c r="H1915" s="2">
        <f t="shared" ca="1" si="1804"/>
        <v>6.0632607218305851E-2</v>
      </c>
      <c r="I1915" s="2">
        <f t="shared" ca="1" si="1805"/>
        <v>0.78341433689293438</v>
      </c>
      <c r="J1915" s="2">
        <f t="shared" ca="1" si="1806"/>
        <v>1.3918881980905354E-2</v>
      </c>
      <c r="K1915" s="2">
        <f t="shared" ca="1" si="1807"/>
        <v>1.3918881980905354E-2</v>
      </c>
      <c r="L1915" s="2">
        <f t="shared" ca="1" si="1808"/>
        <v>9.0896075849204783E-2</v>
      </c>
      <c r="M1915" s="2">
        <f t="shared" ca="1" si="1809"/>
        <v>-2.6705145822332157E-2</v>
      </c>
      <c r="N1915" s="2">
        <f t="shared" ca="1" si="1810"/>
        <v>-2.6705145822332157E-2</v>
      </c>
      <c r="O1915" s="2">
        <f t="shared" si="1811"/>
        <v>6000000</v>
      </c>
      <c r="P1915" s="2">
        <f t="shared" ca="1" si="1812"/>
        <v>42680296.030105665</v>
      </c>
      <c r="Q1915" s="2">
        <f t="shared" ca="1" si="1813"/>
        <v>1067007.4007526417</v>
      </c>
      <c r="R1915" s="2">
        <f t="shared" ca="1" si="1814"/>
        <v>25608177.618063398</v>
      </c>
      <c r="S1915" s="2">
        <f t="shared" ca="1" si="1815"/>
        <v>17072118.412042268</v>
      </c>
      <c r="T1915" s="2">
        <f t="shared" ca="1" si="1816"/>
        <v>48664742.70888339</v>
      </c>
      <c r="U1915" s="2">
        <f t="shared" ca="1" si="1817"/>
        <v>51615412.938931033</v>
      </c>
      <c r="V1915" s="2">
        <f t="shared" ca="1" si="1818"/>
        <v>54744989.998067901</v>
      </c>
      <c r="W1915" s="2">
        <f t="shared" ca="1" si="1819"/>
        <v>58064321.473790832</v>
      </c>
      <c r="X1915" s="2">
        <f t="shared" ca="1" si="1820"/>
        <v>61584912.671108633</v>
      </c>
      <c r="Y1915" s="2">
        <f t="shared" ca="1" si="1821"/>
        <v>0.12695944099045267</v>
      </c>
      <c r="Z1915" s="2">
        <f t="shared" ca="1" si="1822"/>
        <v>0.12974321738663375</v>
      </c>
      <c r="AA1915" s="2">
        <f t="shared" ca="1" si="1823"/>
        <v>6178448.5302640423</v>
      </c>
      <c r="AB1915" s="2">
        <f t="shared" ca="1" si="1824"/>
        <v>6696749.741436597</v>
      </c>
      <c r="AC1915" s="2">
        <f t="shared" ca="1" si="1825"/>
        <v>7102791.138148414</v>
      </c>
      <c r="AD1915" s="2">
        <f t="shared" ca="1" si="1826"/>
        <v>7533451.8833814301</v>
      </c>
      <c r="AE1915" s="2">
        <f t="shared" ca="1" si="1827"/>
        <v>7990224.7124245027</v>
      </c>
      <c r="AF1915" s="2">
        <f t="shared" ca="1" si="1828"/>
        <v>973294.85417766776</v>
      </c>
      <c r="AG1915" s="2">
        <f t="shared" ca="1" si="1829"/>
        <v>1032308.2587786206</v>
      </c>
      <c r="AH1915" s="2">
        <f t="shared" ca="1" si="1830"/>
        <v>1094899.7999613581</v>
      </c>
      <c r="AI1915" s="2">
        <f t="shared" ca="1" si="1831"/>
        <v>1161286.4294758167</v>
      </c>
      <c r="AJ1915" s="2">
        <f t="shared" ca="1" si="1832"/>
        <v>1231698.2534221727</v>
      </c>
      <c r="AK1915" s="2">
        <f t="shared" ca="1" si="1833"/>
        <v>0</v>
      </c>
      <c r="AL1915" s="2">
        <f t="shared" ca="1" si="1834"/>
        <v>29506.702300476434</v>
      </c>
      <c r="AM1915" s="2">
        <f t="shared" ca="1" si="1835"/>
        <v>31295.770591368677</v>
      </c>
      <c r="AN1915" s="2">
        <f t="shared" ca="1" si="1836"/>
        <v>33193.314757229316</v>
      </c>
      <c r="AO1915" s="2">
        <f t="shared" ca="1" si="1837"/>
        <v>35205.911973178016</v>
      </c>
      <c r="AP1915" s="2">
        <f t="shared" ca="1" si="1838"/>
        <v>2304735.9856257057</v>
      </c>
      <c r="AQ1915" s="2">
        <f t="shared" ca="1" si="1839"/>
        <v>754108.59951977397</v>
      </c>
      <c r="AR1915" s="2">
        <f t="shared" ca="1" si="1840"/>
        <v>873523.42922839045</v>
      </c>
      <c r="AS1915" s="2">
        <f t="shared" ca="1" si="1841"/>
        <v>962820.391665951</v>
      </c>
      <c r="AT1915" s="2">
        <f t="shared" ca="1" si="1842"/>
        <v>1057531.661752776</v>
      </c>
      <c r="AU1915" s="2">
        <f t="shared" ca="1" si="1843"/>
        <v>1157985.5230779224</v>
      </c>
      <c r="AV1915" s="2">
        <f t="shared" ca="1" si="1844"/>
        <v>2146309.0909408946</v>
      </c>
      <c r="AW1915" s="2">
        <f t="shared" ca="1" si="1845"/>
        <v>2456675.3655034034</v>
      </c>
      <c r="AX1915" s="2">
        <f t="shared" ca="1" si="1846"/>
        <v>2709039.1903040297</v>
      </c>
      <c r="AY1915" s="2">
        <f t="shared" ca="1" si="1847"/>
        <v>2976704.4917699015</v>
      </c>
      <c r="AZ1915" s="2">
        <f t="shared" ca="1" si="1848"/>
        <v>3260599.038325523</v>
      </c>
      <c r="BA1915" s="2">
        <f t="shared" ca="1" si="1849"/>
        <v>62173579.949956171</v>
      </c>
      <c r="BB1915" s="2">
        <f t="shared" ca="1" si="1850"/>
        <v>1243471.5989991236</v>
      </c>
      <c r="BC1915" s="2">
        <f t="shared" ca="1" si="1851"/>
        <v>35321930.732893653</v>
      </c>
      <c r="BD1915" s="2">
        <f t="shared" ca="1" si="1852"/>
        <v>-18639125.812794909</v>
      </c>
      <c r="BE1915" s="2">
        <f t="shared" ca="1" si="1853"/>
        <v>2146309.0909408946</v>
      </c>
      <c r="BF1915" s="2">
        <f t="shared" ca="1" si="1854"/>
        <v>2456675.3655034034</v>
      </c>
      <c r="BG1915" s="2">
        <f t="shared" ca="1" si="1855"/>
        <v>2709039.1903040297</v>
      </c>
      <c r="BH1915" s="2">
        <f t="shared" ca="1" si="1856"/>
        <v>2976704.4917699015</v>
      </c>
      <c r="BI1915" s="2">
        <f t="shared" ca="1" si="1857"/>
        <v>38582529.771219179</v>
      </c>
      <c r="BJ1915" s="2">
        <f t="shared" ca="1" si="1858"/>
        <v>0.24837206663554645</v>
      </c>
      <c r="BK1915" s="2">
        <f t="shared" ca="1" si="1859"/>
        <v>10948421.808892239</v>
      </c>
    </row>
    <row r="1916" spans="1:63" x14ac:dyDescent="0.3">
      <c r="A1916" s="2">
        <v>1915</v>
      </c>
      <c r="B1916" s="2">
        <f t="shared" ca="1" si="1798"/>
        <v>0.40245502555470625</v>
      </c>
      <c r="C1916" s="2">
        <f t="shared" ca="1" si="1799"/>
        <v>6.8971677942890128</v>
      </c>
      <c r="D1916" s="2">
        <f t="shared" ca="1" si="1800"/>
        <v>0.87801244604213946</v>
      </c>
      <c r="E1916" s="2">
        <f t="shared" ca="1" si="1801"/>
        <v>8.0060616355093277</v>
      </c>
      <c r="F1916" s="2">
        <f t="shared" ca="1" si="1802"/>
        <v>0.95709672682070879</v>
      </c>
      <c r="G1916" s="2">
        <f t="shared" ca="1" si="1803"/>
        <v>9.1538366674364019E-2</v>
      </c>
      <c r="H1916" s="2">
        <f t="shared" ca="1" si="1804"/>
        <v>9.1538366674364019E-2</v>
      </c>
      <c r="I1916" s="2">
        <f t="shared" ca="1" si="1805"/>
        <v>0.50667131594622394</v>
      </c>
      <c r="J1916" s="2">
        <f t="shared" ca="1" si="1806"/>
        <v>1.0083616443214758E-2</v>
      </c>
      <c r="K1916" s="2">
        <f t="shared" ca="1" si="1807"/>
        <v>1.0083616443214758E-2</v>
      </c>
      <c r="L1916" s="2">
        <f t="shared" ca="1" si="1808"/>
        <v>0.7428926067612921</v>
      </c>
      <c r="M1916" s="2">
        <f t="shared" ca="1" si="1809"/>
        <v>1.3045779018871738E-2</v>
      </c>
      <c r="N1916" s="2">
        <f t="shared" ca="1" si="1810"/>
        <v>1.3045779018871738E-2</v>
      </c>
      <c r="O1916" s="2">
        <f t="shared" si="1811"/>
        <v>6000000</v>
      </c>
      <c r="P1916" s="2">
        <f t="shared" ca="1" si="1812"/>
        <v>41383006.765734076</v>
      </c>
      <c r="Q1916" s="2">
        <f t="shared" ca="1" si="1813"/>
        <v>1034575.169143352</v>
      </c>
      <c r="R1916" s="2">
        <f t="shared" ca="1" si="1814"/>
        <v>24829804.059440445</v>
      </c>
      <c r="S1916" s="2">
        <f t="shared" ca="1" si="1815"/>
        <v>16553202.706293631</v>
      </c>
      <c r="T1916" s="2">
        <f t="shared" ca="1" si="1816"/>
        <v>50652288.950943589</v>
      </c>
      <c r="U1916" s="2">
        <f t="shared" ca="1" si="1817"/>
        <v>55288916.749830902</v>
      </c>
      <c r="V1916" s="2">
        <f t="shared" ca="1" si="1818"/>
        <v>60349973.884305313</v>
      </c>
      <c r="W1916" s="2">
        <f t="shared" ca="1" si="1819"/>
        <v>65874311.922515154</v>
      </c>
      <c r="X1916" s="2">
        <f t="shared" ca="1" si="1820"/>
        <v>71904338.841699779</v>
      </c>
      <c r="Y1916" s="2">
        <f t="shared" ca="1" si="1821"/>
        <v>0.12504180822160738</v>
      </c>
      <c r="Z1916" s="2">
        <f t="shared" ca="1" si="1822"/>
        <v>0.12705853151025032</v>
      </c>
      <c r="AA1916" s="2">
        <f t="shared" ca="1" si="1823"/>
        <v>6333653.8009893307</v>
      </c>
      <c r="AB1916" s="2">
        <f t="shared" ca="1" si="1824"/>
        <v>7024928.5710259965</v>
      </c>
      <c r="AC1916" s="2">
        <f t="shared" ca="1" si="1825"/>
        <v>7667979.0584217906</v>
      </c>
      <c r="AD1916" s="2">
        <f t="shared" ca="1" si="1826"/>
        <v>8369893.3371229498</v>
      </c>
      <c r="AE1916" s="2">
        <f t="shared" ca="1" si="1827"/>
        <v>9136059.7024418265</v>
      </c>
      <c r="AF1916" s="2">
        <f t="shared" ca="1" si="1828"/>
        <v>1013045.7790188718</v>
      </c>
      <c r="AG1916" s="2">
        <f t="shared" ca="1" si="1829"/>
        <v>1105778.3349966181</v>
      </c>
      <c r="AH1916" s="2">
        <f t="shared" ca="1" si="1830"/>
        <v>1206999.4776861062</v>
      </c>
      <c r="AI1916" s="2">
        <f t="shared" ca="1" si="1831"/>
        <v>1317486.2384503032</v>
      </c>
      <c r="AJ1916" s="2">
        <f t="shared" ca="1" si="1832"/>
        <v>1438086.7768339957</v>
      </c>
      <c r="AK1916" s="2">
        <f t="shared" ca="1" si="1833"/>
        <v>0</v>
      </c>
      <c r="AL1916" s="2">
        <f t="shared" ca="1" si="1834"/>
        <v>46366.277988873124</v>
      </c>
      <c r="AM1916" s="2">
        <f t="shared" ca="1" si="1835"/>
        <v>50610.571344744116</v>
      </c>
      <c r="AN1916" s="2">
        <f t="shared" ca="1" si="1836"/>
        <v>55243.38038209841</v>
      </c>
      <c r="AO1916" s="2">
        <f t="shared" ca="1" si="1837"/>
        <v>60300.269191846251</v>
      </c>
      <c r="AP1916" s="2">
        <f t="shared" ca="1" si="1838"/>
        <v>2234682.3653496401</v>
      </c>
      <c r="AQ1916" s="2">
        <f t="shared" ca="1" si="1839"/>
        <v>802340.67072141299</v>
      </c>
      <c r="AR1916" s="2">
        <f t="shared" ca="1" si="1840"/>
        <v>957961.64637673192</v>
      </c>
      <c r="AS1916" s="2">
        <f t="shared" ca="1" si="1841"/>
        <v>1098837.2760003714</v>
      </c>
      <c r="AT1916" s="2">
        <f t="shared" ca="1" si="1842"/>
        <v>1252608.4306639819</v>
      </c>
      <c r="AU1916" s="2">
        <f t="shared" ca="1" si="1843"/>
        <v>1420455.5456671296</v>
      </c>
      <c r="AV1916" s="2">
        <f t="shared" ca="1" si="1844"/>
        <v>2283584.9858994065</v>
      </c>
      <c r="AW1916" s="2">
        <f t="shared" ca="1" si="1845"/>
        <v>2680139.9463141328</v>
      </c>
      <c r="AX1916" s="2">
        <f t="shared" ca="1" si="1846"/>
        <v>3076849.3680409286</v>
      </c>
      <c r="AY1916" s="2">
        <f t="shared" ca="1" si="1847"/>
        <v>3509872.9222769262</v>
      </c>
      <c r="AZ1916" s="2">
        <f t="shared" ca="1" si="1848"/>
        <v>3982534.7453992143</v>
      </c>
      <c r="BA1916" s="2">
        <f t="shared" ca="1" si="1849"/>
        <v>73143857.083442271</v>
      </c>
      <c r="BB1916" s="2">
        <f t="shared" ca="1" si="1850"/>
        <v>1462877.1416688454</v>
      </c>
      <c r="BC1916" s="2">
        <f t="shared" ca="1" si="1851"/>
        <v>46851175.882332973</v>
      </c>
      <c r="BD1916" s="2">
        <f t="shared" ca="1" si="1852"/>
        <v>-18087777.875436984</v>
      </c>
      <c r="BE1916" s="2">
        <f t="shared" ca="1" si="1853"/>
        <v>2283584.9858994065</v>
      </c>
      <c r="BF1916" s="2">
        <f t="shared" ca="1" si="1854"/>
        <v>2680139.9463141328</v>
      </c>
      <c r="BG1916" s="2">
        <f t="shared" ca="1" si="1855"/>
        <v>3076849.3680409286</v>
      </c>
      <c r="BH1916" s="2">
        <f t="shared" ca="1" si="1856"/>
        <v>3509872.9222769262</v>
      </c>
      <c r="BI1916" s="2">
        <f t="shared" ca="1" si="1857"/>
        <v>50833710.627732188</v>
      </c>
      <c r="BJ1916" s="2">
        <f t="shared" ca="1" si="1858"/>
        <v>0.32624778354011119</v>
      </c>
      <c r="BK1916" s="2">
        <f t="shared" ca="1" si="1859"/>
        <v>19352769.333408676</v>
      </c>
    </row>
    <row r="1917" spans="1:63" x14ac:dyDescent="0.3">
      <c r="A1917" s="2">
        <v>1916</v>
      </c>
      <c r="B1917" s="2">
        <f t="shared" ca="1" si="1798"/>
        <v>0.68837807986122179</v>
      </c>
      <c r="C1917" s="2">
        <f t="shared" ca="1" si="1799"/>
        <v>7.2105420592092599</v>
      </c>
      <c r="D1917" s="2">
        <f t="shared" ca="1" si="1800"/>
        <v>0.99120849419360491</v>
      </c>
      <c r="E1917" s="2">
        <f t="shared" ca="1" si="1801"/>
        <v>8.3673990512372178</v>
      </c>
      <c r="F1917" s="2">
        <f t="shared" ca="1" si="1802"/>
        <v>0.68608965832526103</v>
      </c>
      <c r="G1917" s="2">
        <f t="shared" ca="1" si="1803"/>
        <v>5.4543895945311005E-2</v>
      </c>
      <c r="H1917" s="2">
        <f t="shared" ca="1" si="1804"/>
        <v>5.4543895945311005E-2</v>
      </c>
      <c r="I1917" s="2">
        <f t="shared" ca="1" si="1805"/>
        <v>0.652554862367699</v>
      </c>
      <c r="J1917" s="2">
        <f t="shared" ca="1" si="1806"/>
        <v>1.1961136494596562E-2</v>
      </c>
      <c r="K1917" s="2">
        <f t="shared" ca="1" si="1807"/>
        <v>1.1961136494596562E-2</v>
      </c>
      <c r="L1917" s="2">
        <f t="shared" ca="1" si="1808"/>
        <v>0.25652785889723173</v>
      </c>
      <c r="M1917" s="2">
        <f t="shared" ca="1" si="1809"/>
        <v>-1.3081741198192201E-2</v>
      </c>
      <c r="N1917" s="2">
        <f t="shared" ca="1" si="1810"/>
        <v>-1.3081741198192201E-2</v>
      </c>
      <c r="O1917" s="2">
        <f t="shared" si="1811"/>
        <v>6000000</v>
      </c>
      <c r="P1917" s="2">
        <f t="shared" ca="1" si="1812"/>
        <v>43263252.355255559</v>
      </c>
      <c r="Q1917" s="2">
        <f t="shared" ca="1" si="1813"/>
        <v>1081581.308881389</v>
      </c>
      <c r="R1917" s="2">
        <f t="shared" ca="1" si="1814"/>
        <v>25957951.413153335</v>
      </c>
      <c r="S1917" s="2">
        <f t="shared" ca="1" si="1815"/>
        <v>17305300.942102224</v>
      </c>
      <c r="T1917" s="2">
        <f t="shared" ca="1" si="1816"/>
        <v>49345912.940090388</v>
      </c>
      <c r="U1917" s="2">
        <f t="shared" ca="1" si="1817"/>
        <v>52037431.280821055</v>
      </c>
      <c r="V1917" s="2">
        <f t="shared" ca="1" si="1818"/>
        <v>54875755.51786343</v>
      </c>
      <c r="W1917" s="2">
        <f t="shared" ca="1" si="1819"/>
        <v>57868893.016750105</v>
      </c>
      <c r="X1917" s="2">
        <f t="shared" ca="1" si="1820"/>
        <v>61025287.895926058</v>
      </c>
      <c r="Y1917" s="2">
        <f t="shared" ca="1" si="1821"/>
        <v>0.12598056824729828</v>
      </c>
      <c r="Z1917" s="2">
        <f t="shared" ca="1" si="1822"/>
        <v>0.12837279554621758</v>
      </c>
      <c r="AA1917" s="2">
        <f t="shared" ca="1" si="1823"/>
        <v>6216626.1528742965</v>
      </c>
      <c r="AB1917" s="2">
        <f t="shared" ca="1" si="1824"/>
        <v>6680190.526563189</v>
      </c>
      <c r="AC1917" s="2">
        <f t="shared" ca="1" si="1825"/>
        <v>7044554.1435389034</v>
      </c>
      <c r="AD1917" s="2">
        <f t="shared" ca="1" si="1826"/>
        <v>7428791.5717251999</v>
      </c>
      <c r="AE1917" s="2">
        <f t="shared" ca="1" si="1827"/>
        <v>7833986.8062127829</v>
      </c>
      <c r="AF1917" s="2">
        <f t="shared" ca="1" si="1828"/>
        <v>986918.25880180777</v>
      </c>
      <c r="AG1917" s="2">
        <f t="shared" ca="1" si="1829"/>
        <v>1040748.6256164211</v>
      </c>
      <c r="AH1917" s="2">
        <f t="shared" ca="1" si="1830"/>
        <v>1097515.1103572687</v>
      </c>
      <c r="AI1917" s="2">
        <f t="shared" ca="1" si="1831"/>
        <v>1157377.8603350022</v>
      </c>
      <c r="AJ1917" s="2">
        <f t="shared" ca="1" si="1832"/>
        <v>1220505.7579185213</v>
      </c>
      <c r="AK1917" s="2">
        <f t="shared" ca="1" si="1833"/>
        <v>0</v>
      </c>
      <c r="AL1917" s="2">
        <f t="shared" ca="1" si="1834"/>
        <v>26915.183407306671</v>
      </c>
      <c r="AM1917" s="2">
        <f t="shared" ca="1" si="1835"/>
        <v>28383.242370423748</v>
      </c>
      <c r="AN1917" s="2">
        <f t="shared" ca="1" si="1836"/>
        <v>29931.374988866748</v>
      </c>
      <c r="AO1917" s="2">
        <f t="shared" ca="1" si="1837"/>
        <v>31563.948791759536</v>
      </c>
      <c r="AP1917" s="2">
        <f t="shared" ca="1" si="1838"/>
        <v>2336215.6271838001</v>
      </c>
      <c r="AQ1917" s="2">
        <f t="shared" ca="1" si="1839"/>
        <v>752307.98939105915</v>
      </c>
      <c r="AR1917" s="2">
        <f t="shared" ca="1" si="1840"/>
        <v>858838.83117837168</v>
      </c>
      <c r="AS1917" s="2">
        <f t="shared" ca="1" si="1841"/>
        <v>938814.08555943705</v>
      </c>
      <c r="AT1917" s="2">
        <f t="shared" ca="1" si="1842"/>
        <v>1023151.5018936633</v>
      </c>
      <c r="AU1917" s="2">
        <f t="shared" ca="1" si="1843"/>
        <v>1112089.0094887197</v>
      </c>
      <c r="AV1917" s="2">
        <f t="shared" ca="1" si="1844"/>
        <v>2141184.2774976292</v>
      </c>
      <c r="AW1917" s="2">
        <f t="shared" ca="1" si="1845"/>
        <v>2417472.2591772894</v>
      </c>
      <c r="AX1917" s="2">
        <f t="shared" ca="1" si="1846"/>
        <v>2643626.0780679737</v>
      </c>
      <c r="AY1917" s="2">
        <f t="shared" ca="1" si="1847"/>
        <v>2882115.2073238664</v>
      </c>
      <c r="AZ1917" s="2">
        <f t="shared" ca="1" si="1848"/>
        <v>3133612.4628299824</v>
      </c>
      <c r="BA1917" s="2">
        <f t="shared" ca="1" si="1849"/>
        <v>65550093.769709721</v>
      </c>
      <c r="BB1917" s="2">
        <f t="shared" ca="1" si="1850"/>
        <v>1311001.8753941944</v>
      </c>
      <c r="BC1917" s="2">
        <f t="shared" ca="1" si="1851"/>
        <v>38281140.48116219</v>
      </c>
      <c r="BD1917" s="2">
        <f t="shared" ca="1" si="1852"/>
        <v>-18886882.250983611</v>
      </c>
      <c r="BE1917" s="2">
        <f t="shared" ca="1" si="1853"/>
        <v>2141184.2774976292</v>
      </c>
      <c r="BF1917" s="2">
        <f t="shared" ca="1" si="1854"/>
        <v>2417472.2591772894</v>
      </c>
      <c r="BG1917" s="2">
        <f t="shared" ca="1" si="1855"/>
        <v>2643626.0780679737</v>
      </c>
      <c r="BH1917" s="2">
        <f t="shared" ca="1" si="1856"/>
        <v>2882115.2073238664</v>
      </c>
      <c r="BI1917" s="2">
        <f t="shared" ca="1" si="1857"/>
        <v>41414752.943992175</v>
      </c>
      <c r="BJ1917" s="2">
        <f t="shared" ca="1" si="1858"/>
        <v>0.25746165704919211</v>
      </c>
      <c r="BK1917" s="2">
        <f t="shared" ca="1" si="1859"/>
        <v>12165243.696164228</v>
      </c>
    </row>
    <row r="1918" spans="1:63" x14ac:dyDescent="0.3">
      <c r="A1918" s="2">
        <v>1917</v>
      </c>
      <c r="B1918" s="2">
        <f t="shared" ca="1" si="1798"/>
        <v>0.94640022969615312</v>
      </c>
      <c r="C1918" s="2">
        <f t="shared" ca="1" si="1799"/>
        <v>7.6725865906721387</v>
      </c>
      <c r="D1918" s="2">
        <f t="shared" ca="1" si="1800"/>
        <v>0.44725804815891301</v>
      </c>
      <c r="E1918" s="2">
        <f t="shared" ca="1" si="1801"/>
        <v>7.4457886107993829</v>
      </c>
      <c r="F1918" s="2">
        <f t="shared" ca="1" si="1802"/>
        <v>0.80050061708859754</v>
      </c>
      <c r="G1918" s="2">
        <f t="shared" ca="1" si="1803"/>
        <v>6.5302322283748243E-2</v>
      </c>
      <c r="H1918" s="2">
        <f t="shared" ca="1" si="1804"/>
        <v>6.5302322283748243E-2</v>
      </c>
      <c r="I1918" s="2">
        <f t="shared" ca="1" si="1805"/>
        <v>0.43316252461324112</v>
      </c>
      <c r="J1918" s="2">
        <f t="shared" ca="1" si="1806"/>
        <v>9.1583587409413796E-3</v>
      </c>
      <c r="K1918" s="2">
        <f t="shared" ca="1" si="1807"/>
        <v>9.1583587409413796E-3</v>
      </c>
      <c r="L1918" s="2">
        <f t="shared" ca="1" si="1808"/>
        <v>0.15924385424888698</v>
      </c>
      <c r="M1918" s="2">
        <f t="shared" ca="1" si="1809"/>
        <v>-1.9951408488578674E-2</v>
      </c>
      <c r="N1918" s="2">
        <f t="shared" ca="1" si="1810"/>
        <v>-1.9951408488578674E-2</v>
      </c>
      <c r="O1918" s="2">
        <f t="shared" si="1811"/>
        <v>6000000</v>
      </c>
      <c r="P1918" s="2">
        <f t="shared" ca="1" si="1812"/>
        <v>46035519.544032834</v>
      </c>
      <c r="Q1918" s="2">
        <f t="shared" ca="1" si="1813"/>
        <v>1150887.988600821</v>
      </c>
      <c r="R1918" s="2">
        <f t="shared" ca="1" si="1814"/>
        <v>27621311.726419698</v>
      </c>
      <c r="S1918" s="2">
        <f t="shared" ca="1" si="1815"/>
        <v>18414207.817613136</v>
      </c>
      <c r="T1918" s="2">
        <f t="shared" ca="1" si="1816"/>
        <v>49002429.575571068</v>
      </c>
      <c r="U1918" s="2">
        <f t="shared" ca="1" si="1817"/>
        <v>52202402.024401687</v>
      </c>
      <c r="V1918" s="2">
        <f t="shared" ca="1" si="1818"/>
        <v>55611340.105384961</v>
      </c>
      <c r="W1918" s="2">
        <f t="shared" ca="1" si="1819"/>
        <v>59242889.759577945</v>
      </c>
      <c r="X1918" s="2">
        <f t="shared" ca="1" si="1820"/>
        <v>63111588.039678477</v>
      </c>
      <c r="Y1918" s="2">
        <f t="shared" ca="1" si="1821"/>
        <v>0.12457917937047068</v>
      </c>
      <c r="Z1918" s="2">
        <f t="shared" ca="1" si="1822"/>
        <v>0.12641085111865896</v>
      </c>
      <c r="AA1918" s="2">
        <f t="shared" ca="1" si="1823"/>
        <v>6104682.4636839256</v>
      </c>
      <c r="AB1918" s="2">
        <f t="shared" ca="1" si="1824"/>
        <v>6598950.0703430232</v>
      </c>
      <c r="AC1918" s="2">
        <f t="shared" ca="1" si="1825"/>
        <v>7029876.8345709266</v>
      </c>
      <c r="AD1918" s="2">
        <f t="shared" ca="1" si="1826"/>
        <v>7488944.117237133</v>
      </c>
      <c r="AE1918" s="2">
        <f t="shared" ca="1" si="1827"/>
        <v>7977989.5595459333</v>
      </c>
      <c r="AF1918" s="2">
        <f t="shared" ca="1" si="1828"/>
        <v>980048.59151142137</v>
      </c>
      <c r="AG1918" s="2">
        <f t="shared" ca="1" si="1829"/>
        <v>1044048.0404880338</v>
      </c>
      <c r="AH1918" s="2">
        <f t="shared" ca="1" si="1830"/>
        <v>1112226.8021076992</v>
      </c>
      <c r="AI1918" s="2">
        <f t="shared" ca="1" si="1831"/>
        <v>1184857.795191559</v>
      </c>
      <c r="AJ1918" s="2">
        <f t="shared" ca="1" si="1832"/>
        <v>1262231.7607935695</v>
      </c>
      <c r="AK1918" s="2">
        <f t="shared" ca="1" si="1833"/>
        <v>0</v>
      </c>
      <c r="AL1918" s="2">
        <f t="shared" ca="1" si="1834"/>
        <v>31999.724488306194</v>
      </c>
      <c r="AM1918" s="2">
        <f t="shared" ca="1" si="1835"/>
        <v>34089.380809832735</v>
      </c>
      <c r="AN1918" s="2">
        <f t="shared" ca="1" si="1836"/>
        <v>36315.496541929839</v>
      </c>
      <c r="AO1918" s="2">
        <f t="shared" ca="1" si="1837"/>
        <v>38686.982801005317</v>
      </c>
      <c r="AP1918" s="2">
        <f t="shared" ca="1" si="1838"/>
        <v>2485918.0553777725</v>
      </c>
      <c r="AQ1918" s="2">
        <f t="shared" ca="1" si="1839"/>
        <v>686066.11236663035</v>
      </c>
      <c r="AR1918" s="2">
        <f t="shared" ca="1" si="1840"/>
        <v>797935.83336407645</v>
      </c>
      <c r="AS1918" s="2">
        <f t="shared" ca="1" si="1841"/>
        <v>892250.31404221826</v>
      </c>
      <c r="AT1918" s="2">
        <f t="shared" ca="1" si="1842"/>
        <v>992723.74933362845</v>
      </c>
      <c r="AU1918" s="2">
        <f t="shared" ca="1" si="1843"/>
        <v>1099758.3332773938</v>
      </c>
      <c r="AV1918" s="2">
        <f t="shared" ca="1" si="1844"/>
        <v>1952649.7044281014</v>
      </c>
      <c r="AW1918" s="2">
        <f t="shared" ca="1" si="1845"/>
        <v>2239048.4166248343</v>
      </c>
      <c r="AX1918" s="2">
        <f t="shared" ca="1" si="1846"/>
        <v>2505392.2822334045</v>
      </c>
      <c r="AY1918" s="2">
        <f t="shared" ca="1" si="1847"/>
        <v>2789129.0207922435</v>
      </c>
      <c r="AZ1918" s="2">
        <f t="shared" ca="1" si="1848"/>
        <v>3091394.4272961919</v>
      </c>
      <c r="BA1918" s="2">
        <f t="shared" ca="1" si="1849"/>
        <v>59402423.799543492</v>
      </c>
      <c r="BB1918" s="2">
        <f t="shared" ca="1" si="1850"/>
        <v>1188048.4759908698</v>
      </c>
      <c r="BC1918" s="2">
        <f t="shared" ca="1" si="1851"/>
        <v>30593063.597132925</v>
      </c>
      <c r="BD1918" s="2">
        <f t="shared" ca="1" si="1852"/>
        <v>-20065095.806213956</v>
      </c>
      <c r="BE1918" s="2">
        <f t="shared" ca="1" si="1853"/>
        <v>1952649.7044281014</v>
      </c>
      <c r="BF1918" s="2">
        <f t="shared" ca="1" si="1854"/>
        <v>2239048.4166248343</v>
      </c>
      <c r="BG1918" s="2">
        <f t="shared" ca="1" si="1855"/>
        <v>2505392.2822334045</v>
      </c>
      <c r="BH1918" s="2">
        <f t="shared" ca="1" si="1856"/>
        <v>2789129.0207922435</v>
      </c>
      <c r="BI1918" s="2">
        <f t="shared" ca="1" si="1857"/>
        <v>33684458.02442912</v>
      </c>
      <c r="BJ1918" s="2">
        <f t="shared" ca="1" si="1858"/>
        <v>0.19209999594022031</v>
      </c>
      <c r="BK1918" s="2">
        <f t="shared" ca="1" si="1859"/>
        <v>6132593.8777780719</v>
      </c>
    </row>
    <row r="1919" spans="1:63" x14ac:dyDescent="0.3">
      <c r="A1919" s="2">
        <v>1918</v>
      </c>
      <c r="B1919" s="2">
        <f t="shared" ca="1" si="1798"/>
        <v>0.87900317252693982</v>
      </c>
      <c r="C1919" s="2">
        <f t="shared" ca="1" si="1799"/>
        <v>7.5080714940704087</v>
      </c>
      <c r="D1919" s="2">
        <f t="shared" ca="1" si="1800"/>
        <v>0.66733481546341011</v>
      </c>
      <c r="E1919" s="2">
        <f t="shared" ca="1" si="1801"/>
        <v>7.6843221413614442</v>
      </c>
      <c r="F1919" s="2">
        <f t="shared" ca="1" si="1802"/>
        <v>0.49528160975514146</v>
      </c>
      <c r="G1919" s="2">
        <f t="shared" ca="1" si="1803"/>
        <v>3.9645174215433086E-2</v>
      </c>
      <c r="H1919" s="2">
        <f t="shared" ca="1" si="1804"/>
        <v>3.9645174215433086E-2</v>
      </c>
      <c r="I1919" s="2">
        <f t="shared" ca="1" si="1805"/>
        <v>0.75417020405746704</v>
      </c>
      <c r="J1919" s="2">
        <f t="shared" ca="1" si="1806"/>
        <v>1.3438358129667963E-2</v>
      </c>
      <c r="K1919" s="2">
        <f t="shared" ca="1" si="1807"/>
        <v>1.3438358129667963E-2</v>
      </c>
      <c r="L1919" s="2">
        <f t="shared" ca="1" si="1808"/>
        <v>0.4204747533524793</v>
      </c>
      <c r="M1919" s="2">
        <f t="shared" ca="1" si="1809"/>
        <v>-4.0135819063153409E-3</v>
      </c>
      <c r="N1919" s="2">
        <f t="shared" ca="1" si="1810"/>
        <v>-4.0135819063153409E-3</v>
      </c>
      <c r="O1919" s="2">
        <f t="shared" si="1811"/>
        <v>6000000</v>
      </c>
      <c r="P1919" s="2">
        <f t="shared" ca="1" si="1812"/>
        <v>45048428.964422449</v>
      </c>
      <c r="Q1919" s="2">
        <f t="shared" ca="1" si="1813"/>
        <v>1126210.7241105612</v>
      </c>
      <c r="R1919" s="2">
        <f t="shared" ca="1" si="1814"/>
        <v>27029057.37865347</v>
      </c>
      <c r="S1919" s="2">
        <f t="shared" ca="1" si="1815"/>
        <v>18019371.585768979</v>
      </c>
      <c r="T1919" s="2">
        <f t="shared" ca="1" si="1816"/>
        <v>49799320.904684238</v>
      </c>
      <c r="U1919" s="2">
        <f t="shared" ca="1" si="1817"/>
        <v>51773623.657760702</v>
      </c>
      <c r="V1919" s="2">
        <f t="shared" ca="1" si="1818"/>
        <v>53826197.987436898</v>
      </c>
      <c r="W1919" s="2">
        <f t="shared" ca="1" si="1819"/>
        <v>55960146.984003231</v>
      </c>
      <c r="X1919" s="2">
        <f t="shared" ca="1" si="1820"/>
        <v>58178696.760305285</v>
      </c>
      <c r="Y1919" s="2">
        <f t="shared" ca="1" si="1821"/>
        <v>0.12671917906483399</v>
      </c>
      <c r="Z1919" s="2">
        <f t="shared" ca="1" si="1822"/>
        <v>0.12940685069076757</v>
      </c>
      <c r="AA1919" s="2">
        <f t="shared" ca="1" si="1823"/>
        <v>6310529.0630278122</v>
      </c>
      <c r="AB1919" s="2">
        <f t="shared" ca="1" si="1824"/>
        <v>6699861.5863998309</v>
      </c>
      <c r="AC1919" s="2">
        <f t="shared" ca="1" si="1825"/>
        <v>6965478.7662119409</v>
      </c>
      <c r="AD1919" s="2">
        <f t="shared" ca="1" si="1826"/>
        <v>7241626.3853923138</v>
      </c>
      <c r="AE1919" s="2">
        <f t="shared" ca="1" si="1827"/>
        <v>7528721.9250442693</v>
      </c>
      <c r="AF1919" s="2">
        <f t="shared" ca="1" si="1828"/>
        <v>995986.41809368483</v>
      </c>
      <c r="AG1919" s="2">
        <f t="shared" ca="1" si="1829"/>
        <v>1035472.4731552141</v>
      </c>
      <c r="AH1919" s="2">
        <f t="shared" ca="1" si="1830"/>
        <v>1076523.959748738</v>
      </c>
      <c r="AI1919" s="2">
        <f t="shared" ca="1" si="1831"/>
        <v>1119202.9396800646</v>
      </c>
      <c r="AJ1919" s="2">
        <f t="shared" ca="1" si="1832"/>
        <v>1163573.9352061057</v>
      </c>
      <c r="AK1919" s="2">
        <f t="shared" ca="1" si="1833"/>
        <v>0</v>
      </c>
      <c r="AL1919" s="2">
        <f t="shared" ca="1" si="1834"/>
        <v>19743.027530764641</v>
      </c>
      <c r="AM1919" s="2">
        <f t="shared" ca="1" si="1835"/>
        <v>20525.743296761961</v>
      </c>
      <c r="AN1919" s="2">
        <f t="shared" ca="1" si="1836"/>
        <v>21339.489965663328</v>
      </c>
      <c r="AO1919" s="2">
        <f t="shared" ca="1" si="1837"/>
        <v>22185.497763020547</v>
      </c>
      <c r="AP1919" s="2">
        <f t="shared" ca="1" si="1838"/>
        <v>2432615.1640788121</v>
      </c>
      <c r="AQ1919" s="2">
        <f t="shared" ca="1" si="1839"/>
        <v>749301.14502238191</v>
      </c>
      <c r="AR1919" s="2">
        <f t="shared" ca="1" si="1840"/>
        <v>840261.22678310913</v>
      </c>
      <c r="AS1919" s="2">
        <f t="shared" ca="1" si="1841"/>
        <v>898648.30701994151</v>
      </c>
      <c r="AT1919" s="2">
        <f t="shared" ca="1" si="1842"/>
        <v>959350.15322469384</v>
      </c>
      <c r="AU1919" s="2">
        <f t="shared" ca="1" si="1843"/>
        <v>1022458.5346974314</v>
      </c>
      <c r="AV1919" s="2">
        <f t="shared" ca="1" si="1844"/>
        <v>2132626.335832933</v>
      </c>
      <c r="AW1919" s="2">
        <f t="shared" ca="1" si="1845"/>
        <v>2371769.6948519312</v>
      </c>
      <c r="AX1919" s="2">
        <f t="shared" ca="1" si="1846"/>
        <v>2537165.5920676868</v>
      </c>
      <c r="AY1919" s="2">
        <f t="shared" ca="1" si="1847"/>
        <v>2709118.6384430807</v>
      </c>
      <c r="AZ1919" s="2">
        <f t="shared" ca="1" si="1848"/>
        <v>2887888.7932988992</v>
      </c>
      <c r="BA1919" s="2">
        <f t="shared" ca="1" si="1849"/>
        <v>57853124.584771037</v>
      </c>
      <c r="BB1919" s="2">
        <f t="shared" ca="1" si="1850"/>
        <v>1157062.4916954208</v>
      </c>
      <c r="BC1919" s="2">
        <f t="shared" ca="1" si="1851"/>
        <v>29667004.714422144</v>
      </c>
      <c r="BD1919" s="2">
        <f t="shared" ca="1" si="1852"/>
        <v>-19645582.309879541</v>
      </c>
      <c r="BE1919" s="2">
        <f t="shared" ca="1" si="1853"/>
        <v>2132626.335832933</v>
      </c>
      <c r="BF1919" s="2">
        <f t="shared" ca="1" si="1854"/>
        <v>2371769.6948519312</v>
      </c>
      <c r="BG1919" s="2">
        <f t="shared" ca="1" si="1855"/>
        <v>2537165.5920676868</v>
      </c>
      <c r="BH1919" s="2">
        <f t="shared" ca="1" si="1856"/>
        <v>2709118.6384430807</v>
      </c>
      <c r="BI1919" s="2">
        <f t="shared" ca="1" si="1857"/>
        <v>32554893.507721044</v>
      </c>
      <c r="BJ1919" s="2">
        <f t="shared" ca="1" si="1858"/>
        <v>0.19462374974311492</v>
      </c>
      <c r="BK1919" s="2">
        <f t="shared" ca="1" si="1859"/>
        <v>6149427.7132908069</v>
      </c>
    </row>
    <row r="1920" spans="1:63" x14ac:dyDescent="0.3">
      <c r="A1920" s="2">
        <v>1919</v>
      </c>
      <c r="B1920" s="2">
        <f t="shared" ca="1" si="1798"/>
        <v>0.70910984869231442</v>
      </c>
      <c r="C1920" s="2">
        <f t="shared" ca="1" si="1799"/>
        <v>7.237254759034597</v>
      </c>
      <c r="D1920" s="2">
        <f t="shared" ca="1" si="1800"/>
        <v>0.39543005372907125</v>
      </c>
      <c r="E1920" s="2">
        <f t="shared" ca="1" si="1801"/>
        <v>7.3893031583538553</v>
      </c>
      <c r="F1920" s="2">
        <f t="shared" ca="1" si="1802"/>
        <v>0.22764103417596193</v>
      </c>
      <c r="G1920" s="2">
        <f t="shared" ca="1" si="1803"/>
        <v>1.7600858228786303E-2</v>
      </c>
      <c r="H1920" s="2">
        <f t="shared" ca="1" si="1804"/>
        <v>1.7600858228786303E-2</v>
      </c>
      <c r="I1920" s="2">
        <f t="shared" ca="1" si="1805"/>
        <v>0.577113623047663</v>
      </c>
      <c r="J1920" s="2">
        <f t="shared" ca="1" si="1806"/>
        <v>1.0972574347484276E-2</v>
      </c>
      <c r="K1920" s="2">
        <f t="shared" ca="1" si="1807"/>
        <v>1.0972574347484276E-2</v>
      </c>
      <c r="L1920" s="2">
        <f t="shared" ca="1" si="1808"/>
        <v>0.44182542333479846</v>
      </c>
      <c r="M1920" s="2">
        <f t="shared" ca="1" si="1809"/>
        <v>-2.9268543113147071E-3</v>
      </c>
      <c r="N1920" s="2">
        <f t="shared" ca="1" si="1810"/>
        <v>-2.9268543113147071E-3</v>
      </c>
      <c r="O1920" s="2">
        <f t="shared" si="1811"/>
        <v>6000000</v>
      </c>
      <c r="P1920" s="2">
        <f t="shared" ca="1" si="1812"/>
        <v>43423528.554207586</v>
      </c>
      <c r="Q1920" s="2">
        <f t="shared" ca="1" si="1813"/>
        <v>1085588.2138551897</v>
      </c>
      <c r="R1920" s="2">
        <f t="shared" ca="1" si="1814"/>
        <v>26054117.13252455</v>
      </c>
      <c r="S1920" s="2">
        <f t="shared" ca="1" si="1815"/>
        <v>17369411.421683036</v>
      </c>
      <c r="T1920" s="2">
        <f t="shared" ca="1" si="1816"/>
        <v>49853657.284434266</v>
      </c>
      <c r="U1920" s="2">
        <f t="shared" ca="1" si="1817"/>
        <v>50731124.438484095</v>
      </c>
      <c r="V1920" s="2">
        <f t="shared" ca="1" si="1818"/>
        <v>51624035.767512769</v>
      </c>
      <c r="W1920" s="2">
        <f t="shared" ca="1" si="1819"/>
        <v>52532663.102254555</v>
      </c>
      <c r="X1920" s="2">
        <f t="shared" ca="1" si="1820"/>
        <v>53457283.057897933</v>
      </c>
      <c r="Y1920" s="2">
        <f t="shared" ca="1" si="1821"/>
        <v>0.12548628717374213</v>
      </c>
      <c r="Z1920" s="2">
        <f t="shared" ca="1" si="1822"/>
        <v>0.12768080204323898</v>
      </c>
      <c r="AA1920" s="2">
        <f t="shared" ca="1" si="1823"/>
        <v>6255950.3546558395</v>
      </c>
      <c r="AB1920" s="2">
        <f t="shared" ca="1" si="1824"/>
        <v>6477390.6568610109</v>
      </c>
      <c r="AC1920" s="2">
        <f t="shared" ca="1" si="1825"/>
        <v>6591398.291504886</v>
      </c>
      <c r="AD1920" s="2">
        <f t="shared" ca="1" si="1826"/>
        <v>6707412.5583631285</v>
      </c>
      <c r="AE1920" s="2">
        <f t="shared" ca="1" si="1827"/>
        <v>6825468.7758848583</v>
      </c>
      <c r="AF1920" s="2">
        <f t="shared" ca="1" si="1828"/>
        <v>997073.14568868536</v>
      </c>
      <c r="AG1920" s="2">
        <f t="shared" ca="1" si="1829"/>
        <v>1014622.4887696819</v>
      </c>
      <c r="AH1920" s="2">
        <f t="shared" ca="1" si="1830"/>
        <v>1032480.7153502554</v>
      </c>
      <c r="AI1920" s="2">
        <f t="shared" ca="1" si="1831"/>
        <v>1050653.262045091</v>
      </c>
      <c r="AJ1920" s="2">
        <f t="shared" ca="1" si="1832"/>
        <v>1069145.6611579587</v>
      </c>
      <c r="AK1920" s="2">
        <f t="shared" ca="1" si="1833"/>
        <v>0</v>
      </c>
      <c r="AL1920" s="2">
        <f t="shared" ca="1" si="1834"/>
        <v>8774.671540498286</v>
      </c>
      <c r="AM1920" s="2">
        <f t="shared" ca="1" si="1835"/>
        <v>8929.1132902867357</v>
      </c>
      <c r="AN1920" s="2">
        <f t="shared" ca="1" si="1836"/>
        <v>9086.2733474178622</v>
      </c>
      <c r="AO1920" s="2">
        <f t="shared" ca="1" si="1837"/>
        <v>9246.1995564337831</v>
      </c>
      <c r="AP1920" s="2">
        <f t="shared" ca="1" si="1838"/>
        <v>2344870.5419272096</v>
      </c>
      <c r="AQ1920" s="2">
        <f t="shared" ca="1" si="1839"/>
        <v>757641.73343038559</v>
      </c>
      <c r="AR1920" s="2">
        <f t="shared" ca="1" si="1840"/>
        <v>810653.38280267105</v>
      </c>
      <c r="AS1920" s="2">
        <f t="shared" ca="1" si="1841"/>
        <v>835652.22889912955</v>
      </c>
      <c r="AT1920" s="2">
        <f t="shared" ca="1" si="1842"/>
        <v>861091.07614161528</v>
      </c>
      <c r="AU1920" s="2">
        <f t="shared" ca="1" si="1843"/>
        <v>886977.66892791935</v>
      </c>
      <c r="AV1920" s="2">
        <f t="shared" ca="1" si="1844"/>
        <v>2156364.9336095587</v>
      </c>
      <c r="AW1920" s="2">
        <f t="shared" ca="1" si="1845"/>
        <v>2298469.5718209497</v>
      </c>
      <c r="AX1920" s="2">
        <f t="shared" ca="1" si="1846"/>
        <v>2369465.6920380048</v>
      </c>
      <c r="AY1920" s="2">
        <f t="shared" ca="1" si="1847"/>
        <v>2441711.4049017946</v>
      </c>
      <c r="AZ1920" s="2">
        <f t="shared" ca="1" si="1848"/>
        <v>2515228.7043153369</v>
      </c>
      <c r="BA1920" s="2">
        <f t="shared" ca="1" si="1849"/>
        <v>50435457.982891604</v>
      </c>
      <c r="BB1920" s="2">
        <f t="shared" ca="1" si="1850"/>
        <v>1008709.1596578321</v>
      </c>
      <c r="BC1920" s="2">
        <f t="shared" ca="1" si="1851"/>
        <v>23372631.690709222</v>
      </c>
      <c r="BD1920" s="2">
        <f t="shared" ca="1" si="1852"/>
        <v>-18954999.635538224</v>
      </c>
      <c r="BE1920" s="2">
        <f t="shared" ca="1" si="1853"/>
        <v>2156364.9336095587</v>
      </c>
      <c r="BF1920" s="2">
        <f t="shared" ca="1" si="1854"/>
        <v>2298469.5718209497</v>
      </c>
      <c r="BG1920" s="2">
        <f t="shared" ca="1" si="1855"/>
        <v>2369465.6920380048</v>
      </c>
      <c r="BH1920" s="2">
        <f t="shared" ca="1" si="1856"/>
        <v>2441711.4049017946</v>
      </c>
      <c r="BI1920" s="2">
        <f t="shared" ca="1" si="1857"/>
        <v>25887860.39502456</v>
      </c>
      <c r="BJ1920" s="2">
        <f t="shared" ca="1" si="1858"/>
        <v>0.15706499248331407</v>
      </c>
      <c r="BK1920" s="2">
        <f t="shared" ca="1" si="1859"/>
        <v>2730409.9111920893</v>
      </c>
    </row>
    <row r="1921" spans="1:63" x14ac:dyDescent="0.3">
      <c r="A1921" s="2">
        <v>1920</v>
      </c>
      <c r="B1921" s="2">
        <f t="shared" ca="1" si="1798"/>
        <v>0.16425112532513209</v>
      </c>
      <c r="C1921" s="2">
        <f t="shared" ca="1" si="1799"/>
        <v>6.5731511586399041</v>
      </c>
      <c r="D1921" s="2">
        <f t="shared" ca="1" si="1800"/>
        <v>0.38557737879708631</v>
      </c>
      <c r="E1921" s="2">
        <f t="shared" ca="1" si="1801"/>
        <v>7.3781541764372429</v>
      </c>
      <c r="F1921" s="2">
        <f t="shared" ca="1" si="1802"/>
        <v>0.58185579906624407</v>
      </c>
      <c r="G1921" s="2">
        <f t="shared" ca="1" si="1803"/>
        <v>4.6199300523308222E-2</v>
      </c>
      <c r="H1921" s="2">
        <f t="shared" ca="1" si="1804"/>
        <v>4.6199300523308222E-2</v>
      </c>
      <c r="I1921" s="2">
        <f t="shared" ca="1" si="1805"/>
        <v>7.9818179623477814E-2</v>
      </c>
      <c r="J1921" s="2">
        <f t="shared" ca="1" si="1806"/>
        <v>2.9685218835889069E-3</v>
      </c>
      <c r="K1921" s="2">
        <f t="shared" ca="1" si="1807"/>
        <v>2.9685218835889069E-3</v>
      </c>
      <c r="L1921" s="2">
        <f t="shared" ca="1" si="1808"/>
        <v>9.4163130126446282E-2</v>
      </c>
      <c r="M1921" s="2">
        <f t="shared" ca="1" si="1809"/>
        <v>-2.6310932387390597E-2</v>
      </c>
      <c r="N1921" s="2">
        <f t="shared" ca="1" si="1810"/>
        <v>-2.6310932387390597E-2</v>
      </c>
      <c r="O1921" s="2">
        <f t="shared" si="1811"/>
        <v>6000000</v>
      </c>
      <c r="P1921" s="2">
        <f t="shared" ca="1" si="1812"/>
        <v>39438906.951839425</v>
      </c>
      <c r="Q1921" s="2">
        <f t="shared" ca="1" si="1813"/>
        <v>985972.67379598564</v>
      </c>
      <c r="R1921" s="2">
        <f t="shared" ca="1" si="1814"/>
        <v>23663344.171103653</v>
      </c>
      <c r="S1921" s="2">
        <f t="shared" ca="1" si="1815"/>
        <v>15775562.78073577</v>
      </c>
      <c r="T1921" s="2">
        <f t="shared" ca="1" si="1816"/>
        <v>48684453.380630471</v>
      </c>
      <c r="U1921" s="2">
        <f t="shared" ca="1" si="1817"/>
        <v>50933641.073175199</v>
      </c>
      <c r="V1921" s="2">
        <f t="shared" ca="1" si="1818"/>
        <v>53286739.663861133</v>
      </c>
      <c r="W1921" s="2">
        <f t="shared" ca="1" si="1819"/>
        <v>55748549.763499133</v>
      </c>
      <c r="X1921" s="2">
        <f t="shared" ca="1" si="1820"/>
        <v>58324093.767761625</v>
      </c>
      <c r="Y1921" s="2">
        <f t="shared" ca="1" si="1821"/>
        <v>0.12148426094179444</v>
      </c>
      <c r="Z1921" s="2">
        <f t="shared" ca="1" si="1822"/>
        <v>0.12207796531851223</v>
      </c>
      <c r="AA1921" s="2">
        <f t="shared" ca="1" si="1823"/>
        <v>5914394.838301139</v>
      </c>
      <c r="AB1921" s="2">
        <f t="shared" ca="1" si="1824"/>
        <v>6217875.2684766315</v>
      </c>
      <c r="AC1921" s="2">
        <f t="shared" ca="1" si="1825"/>
        <v>6505136.7566214297</v>
      </c>
      <c r="AD1921" s="2">
        <f t="shared" ca="1" si="1826"/>
        <v>6805669.5245858002</v>
      </c>
      <c r="AE1921" s="2">
        <f t="shared" ca="1" si="1827"/>
        <v>7120086.6962144589</v>
      </c>
      <c r="AF1921" s="2">
        <f t="shared" ca="1" si="1828"/>
        <v>973689.06761260948</v>
      </c>
      <c r="AG1921" s="2">
        <f t="shared" ca="1" si="1829"/>
        <v>1018672.821463504</v>
      </c>
      <c r="AH1921" s="2">
        <f t="shared" ca="1" si="1830"/>
        <v>1065734.7932772227</v>
      </c>
      <c r="AI1921" s="2">
        <f t="shared" ca="1" si="1831"/>
        <v>1114970.9952699826</v>
      </c>
      <c r="AJ1921" s="2">
        <f t="shared" ca="1" si="1832"/>
        <v>1166481.8753552325</v>
      </c>
      <c r="AK1921" s="2">
        <f t="shared" ca="1" si="1833"/>
        <v>0</v>
      </c>
      <c r="AL1921" s="2">
        <f t="shared" ca="1" si="1834"/>
        <v>22491.876925447286</v>
      </c>
      <c r="AM1921" s="2">
        <f t="shared" ca="1" si="1835"/>
        <v>23530.98590685934</v>
      </c>
      <c r="AN1921" s="2">
        <f t="shared" ca="1" si="1836"/>
        <v>24618.100996380002</v>
      </c>
      <c r="AO1921" s="2">
        <f t="shared" ca="1" si="1837"/>
        <v>25755.440042624919</v>
      </c>
      <c r="AP1921" s="2">
        <f t="shared" ca="1" si="1838"/>
        <v>2129700.9753993289</v>
      </c>
      <c r="AQ1921" s="2">
        <f t="shared" ca="1" si="1839"/>
        <v>730861.24677519209</v>
      </c>
      <c r="AR1921" s="2">
        <f t="shared" ca="1" si="1840"/>
        <v>798070.3826195877</v>
      </c>
      <c r="AS1921" s="2">
        <f t="shared" ca="1" si="1841"/>
        <v>860522.25686566834</v>
      </c>
      <c r="AT1921" s="2">
        <f t="shared" ca="1" si="1842"/>
        <v>925859.36401828728</v>
      </c>
      <c r="AU1921" s="2">
        <f t="shared" ca="1" si="1843"/>
        <v>994214.99981957336</v>
      </c>
      <c r="AV1921" s="2">
        <f t="shared" ca="1" si="1844"/>
        <v>2080143.5485140081</v>
      </c>
      <c r="AW1921" s="2">
        <f t="shared" ca="1" si="1845"/>
        <v>2248939.212068764</v>
      </c>
      <c r="AX1921" s="2">
        <f t="shared" ca="1" si="1846"/>
        <v>2425647.7451723511</v>
      </c>
      <c r="AY1921" s="2">
        <f t="shared" ca="1" si="1847"/>
        <v>2610520.088901822</v>
      </c>
      <c r="AZ1921" s="2">
        <f t="shared" ca="1" si="1848"/>
        <v>2803933.4055976993</v>
      </c>
      <c r="BA1921" s="2">
        <f t="shared" ca="1" si="1849"/>
        <v>52533097.394269958</v>
      </c>
      <c r="BB1921" s="2">
        <f t="shared" ca="1" si="1850"/>
        <v>1050661.9478853992</v>
      </c>
      <c r="BC1921" s="2">
        <f t="shared" ca="1" si="1851"/>
        <v>27819091.275280908</v>
      </c>
      <c r="BD1921" s="2">
        <f t="shared" ca="1" si="1852"/>
        <v>-17261535.454531755</v>
      </c>
      <c r="BE1921" s="2">
        <f t="shared" ca="1" si="1853"/>
        <v>2080143.5485140081</v>
      </c>
      <c r="BF1921" s="2">
        <f t="shared" ca="1" si="1854"/>
        <v>2248939.212068764</v>
      </c>
      <c r="BG1921" s="2">
        <f t="shared" ca="1" si="1855"/>
        <v>2425647.7451723511</v>
      </c>
      <c r="BH1921" s="2">
        <f t="shared" ca="1" si="1856"/>
        <v>2610520.088901822</v>
      </c>
      <c r="BI1921" s="2">
        <f t="shared" ca="1" si="1857"/>
        <v>30623024.680878606</v>
      </c>
      <c r="BJ1921" s="2">
        <f t="shared" ca="1" si="1858"/>
        <v>0.21653276478511119</v>
      </c>
      <c r="BK1921" s="2">
        <f t="shared" ca="1" si="1859"/>
        <v>7150463.6127397306</v>
      </c>
    </row>
    <row r="1922" spans="1:63" x14ac:dyDescent="0.3">
      <c r="A1922" s="2">
        <v>1921</v>
      </c>
      <c r="B1922" s="2">
        <f t="shared" ref="B1922:B1985" ca="1" si="1860">RAND()</f>
        <v>0.93818540390580529</v>
      </c>
      <c r="C1922" s="2">
        <f t="shared" ref="C1922:C1985" ca="1" si="1861">IF(B1922&lt;((P_Mode)-(P_Low))/((P_High)-(P_Low)), (P_Low)+SQRT(B1922*((P_High)-(P_Low))*((P_Mode)-(P_Low))), (P_High)-SQRT((1-B1922)*((P_High)-(P_Low))*((P_High)-(P_Mode))))</f>
        <v>7.6483905686868034</v>
      </c>
      <c r="D1922" s="2">
        <f t="shared" ref="D1922:D1985" ca="1" si="1862">RAND()</f>
        <v>0.84114309201030957</v>
      </c>
      <c r="E1922" s="2">
        <f t="shared" ref="E1922:E1985" ca="1" si="1863">IF(D1922&lt;((X_Mode)-(X_Low))/((X_High)-(X_Low)), (X_Low)+SQRT(D1922*((X_High)-(X_Low))*((X_Mode)-(X_Low))), (X_High)-SQRT((1-D1922)*((X_High)-(X_Low))*((X_High)-(X_Mode))))</f>
        <v>7.9363389174518248</v>
      </c>
      <c r="F1922" s="2">
        <f t="shared" ref="F1922:F1985" ca="1" si="1864">RAND()</f>
        <v>0.4315697825293503</v>
      </c>
      <c r="G1922" s="2">
        <f t="shared" ref="G1922:G1985" ca="1" si="1865">NORMINV(F1922, g_Mean, g_SD)</f>
        <v>3.4828629406034886E-2</v>
      </c>
      <c r="H1922" s="2">
        <f t="shared" ref="H1922:H1985" ca="1" si="1866">MIN(MAX(G1922, g_Min), g_Max)</f>
        <v>3.4828629406034886E-2</v>
      </c>
      <c r="I1922" s="2">
        <f t="shared" ref="I1922:I1985" ca="1" si="1867">RAND()</f>
        <v>0.16110037567843605</v>
      </c>
      <c r="J1922" s="2">
        <f t="shared" ref="J1922:J1985" ca="1" si="1868">NORMINV(I1922, syn_Mean, syn_SD)</f>
        <v>5.0502724290959452E-3</v>
      </c>
      <c r="K1922" s="2">
        <f t="shared" ref="K1922:K1985" ca="1" si="1869">MIN(MAX(J1922, syn_Min), syn_Max)</f>
        <v>5.0502724290959452E-3</v>
      </c>
      <c r="L1922" s="2">
        <f t="shared" ref="L1922:L1985" ca="1" si="1870">RAND()</f>
        <v>0.50601260128240522</v>
      </c>
      <c r="M1922" s="2">
        <f t="shared" ref="M1922:M1985" ca="1" si="1871">NORMINV(L1922, shk_Mean, shk_SD)</f>
        <v>3.0143853979531376E-4</v>
      </c>
      <c r="N1922" s="2">
        <f t="shared" ref="N1922:N1985" ca="1" si="1872">MIN(MAX(M1922, shk_Min), shk_Max)</f>
        <v>3.0143853979531376E-4</v>
      </c>
      <c r="O1922" s="2">
        <f t="shared" ref="O1922:O1985" si="1873">BaseRev*BaseMargin</f>
        <v>6000000</v>
      </c>
      <c r="P1922" s="2">
        <f t="shared" ref="P1922:P1985" ca="1" si="1874">O1922*C1922</f>
        <v>45890343.412120819</v>
      </c>
      <c r="Q1922" s="2">
        <f t="shared" ref="Q1922:Q1985" ca="1" si="1875">P1922*TxnCostPct</f>
        <v>1147258.5853030204</v>
      </c>
      <c r="R1922" s="2">
        <f t="shared" ref="R1922:R1985" ca="1" si="1876">P1922*DebtPct</f>
        <v>27534206.047272492</v>
      </c>
      <c r="S1922" s="2">
        <f t="shared" ref="S1922:S1985" ca="1" si="1877">P1922*EqPct</f>
        <v>18356137.364848327</v>
      </c>
      <c r="T1922" s="2">
        <f t="shared" ref="T1922:T1985" ca="1" si="1878">BaseRev*(1+N1922)</f>
        <v>50015071.926989764</v>
      </c>
      <c r="U1922" s="2">
        <f t="shared" ref="U1922:U1985" ca="1" si="1879">T1922*(1+H1922)</f>
        <v>51757028.331851073</v>
      </c>
      <c r="V1922" s="2">
        <f t="shared" ref="V1922:V1985" ca="1" si="1880">U1922*(1+H1922)</f>
        <v>53559654.690778762</v>
      </c>
      <c r="W1922" s="2">
        <f t="shared" ref="W1922:W1985" ca="1" si="1881">V1922*(1+H1922)</f>
        <v>55425064.055119097</v>
      </c>
      <c r="X1922" s="2">
        <f t="shared" ref="X1922:X1985" ca="1" si="1882">W1922*(1+H1922)</f>
        <v>57355443.070900589</v>
      </c>
      <c r="Y1922" s="2">
        <f t="shared" ref="Y1922:Y1985" ca="1" si="1883">BaseMargin + SynReal_Y1*K1922</f>
        <v>0.12252513621454797</v>
      </c>
      <c r="Z1922" s="2">
        <f t="shared" ref="Z1922:Z1985" ca="1" si="1884">BaseMargin + SynReal_Y2toY5*K1922</f>
        <v>0.12353519070036716</v>
      </c>
      <c r="AA1922" s="2">
        <f t="shared" ref="AA1922:AA1985" ca="1" si="1885">T1922*Y1922</f>
        <v>6128103.5006348351</v>
      </c>
      <c r="AB1922" s="2">
        <f t="shared" ref="AB1922:AB1985" ca="1" si="1886">U1922*Z1922</f>
        <v>6393814.3650595285</v>
      </c>
      <c r="AC1922" s="2">
        <f t="shared" ref="AC1922:AC1985" ca="1" si="1887">V1922*Z1922</f>
        <v>6616502.1560711684</v>
      </c>
      <c r="AD1922" s="2">
        <f t="shared" ref="AD1922:AD1985" ca="1" si="1888">W1922*Z1922</f>
        <v>6846945.8576292023</v>
      </c>
      <c r="AE1922" s="2">
        <f t="shared" ref="AE1922:AE1985" ca="1" si="1889">X1922*Z1922</f>
        <v>7085415.5974677559</v>
      </c>
      <c r="AF1922" s="2">
        <f t="shared" ref="AF1922:AF1985" ca="1" si="1890">T1922*CapexPct</f>
        <v>1000301.4385397953</v>
      </c>
      <c r="AG1922" s="2">
        <f t="shared" ref="AG1922:AG1985" ca="1" si="1891">U1922*CapexPct</f>
        <v>1035140.5666370215</v>
      </c>
      <c r="AH1922" s="2">
        <f t="shared" ref="AH1922:AH1985" ca="1" si="1892">V1922*CapexPct</f>
        <v>1071193.0938155754</v>
      </c>
      <c r="AI1922" s="2">
        <f t="shared" ref="AI1922:AI1985" ca="1" si="1893">W1922*CapexPct</f>
        <v>1108501.2811023819</v>
      </c>
      <c r="AJ1922" s="2">
        <f t="shared" ref="AJ1922:AJ1985" ca="1" si="1894">X1922*CapexPct</f>
        <v>1147108.8614180118</v>
      </c>
      <c r="AK1922" s="2">
        <f t="shared" ref="AK1922:AK1985" ca="1" si="1895">MAX(T1922-BaseRev*(1+N1922),0)*WCPct</f>
        <v>0</v>
      </c>
      <c r="AL1922" s="2">
        <f t="shared" ref="AL1922:AL1985" ca="1" si="1896">MAX(U1922-T1922,0)*WCPct</f>
        <v>17419.564048613087</v>
      </c>
      <c r="AM1922" s="2">
        <f t="shared" ref="AM1922:AM1985" ca="1" si="1897">MAX(V1922-U1922,0)*WCPct</f>
        <v>18026.263589276896</v>
      </c>
      <c r="AN1922" s="2">
        <f t="shared" ref="AN1922:AN1985" ca="1" si="1898">MAX(W1922-V1922,0)*WCPct</f>
        <v>18654.09364340335</v>
      </c>
      <c r="AO1922" s="2">
        <f t="shared" ref="AO1922:AO1985" ca="1" si="1899">MAX(X1922-W1922,0)*WCPct</f>
        <v>19303.790157814921</v>
      </c>
      <c r="AP1922" s="2">
        <f t="shared" ref="AP1922:AP1985" ca="1" si="1900">R1922*DebtRate</f>
        <v>2478078.5442545242</v>
      </c>
      <c r="AQ1922" s="2">
        <f t="shared" ref="AQ1922:AQ1985" ca="1" si="1901">MAX(AA1922-AF1922-AP1922,0)*Tax</f>
        <v>688928.11463853403</v>
      </c>
      <c r="AR1922" s="2">
        <f t="shared" ref="AR1922:AR1985" ca="1" si="1902">MAX(AB1922-AG1922-AP1922,0)*Tax</f>
        <v>748954.76608367555</v>
      </c>
      <c r="AS1922" s="2">
        <f t="shared" ref="AS1922:AS1985" ca="1" si="1903">MAX(AC1922-AH1922-AP1922,0)*Tax</f>
        <v>797479.93468027795</v>
      </c>
      <c r="AT1922" s="2">
        <f t="shared" ref="AT1922:AT1985" ca="1" si="1904">MAX(AD1922-AI1922-AP1922,0)*Tax</f>
        <v>847695.1683907971</v>
      </c>
      <c r="AU1922" s="2">
        <f t="shared" ref="AU1922:AU1985" ca="1" si="1905">MAX(AE1922-AJ1922-AP1922,0)*Tax</f>
        <v>899659.32986675727</v>
      </c>
      <c r="AV1922" s="2">
        <f t="shared" ref="AV1922:AV1985" ca="1" si="1906">AA1922-AF1922-AK1922-AQ1922-AP1922</f>
        <v>1960795.403201981</v>
      </c>
      <c r="AW1922" s="2">
        <f t="shared" ref="AW1922:AW1985" ca="1" si="1907">AB1922-AG1922-AL1922-AR1922-AP1922</f>
        <v>2114220.924035694</v>
      </c>
      <c r="AX1922" s="2">
        <f t="shared" ref="AX1922:AX1985" ca="1" si="1908">AC1922-AH1922-AM1922-AS1922-AP1922</f>
        <v>2251724.3197315135</v>
      </c>
      <c r="AY1922" s="2">
        <f t="shared" ref="AY1922:AY1985" ca="1" si="1909">AD1922-AI1922-AN1922-AT1922-AP1922</f>
        <v>2394016.7702380954</v>
      </c>
      <c r="AZ1922" s="2">
        <f t="shared" ref="AZ1922:AZ1985" ca="1" si="1910">AE1922-AJ1922-AO1922-AU1922-AP1922</f>
        <v>2541265.071770648</v>
      </c>
      <c r="BA1922" s="2">
        <f t="shared" ref="BA1922:BA1985" ca="1" si="1911">AE1922*E1922</f>
        <v>56232259.552503526</v>
      </c>
      <c r="BB1922" s="2">
        <f t="shared" ref="BB1922:BB1985" ca="1" si="1912">BA1922*SellCostPct</f>
        <v>1124645.1910500706</v>
      </c>
      <c r="BC1922" s="2">
        <f t="shared" ref="BC1922:BC1985" ca="1" si="1913">BA1922-R1922-BB1922</f>
        <v>27573408.314180963</v>
      </c>
      <c r="BD1922" s="2">
        <f t="shared" ref="BD1922:BD1985" ca="1" si="1914">-S1922-Q1922-IntegrationPct*BaseRev</f>
        <v>-20003395.950151347</v>
      </c>
      <c r="BE1922" s="2">
        <f t="shared" ref="BE1922:BE1985" ca="1" si="1915">AV1922</f>
        <v>1960795.403201981</v>
      </c>
      <c r="BF1922" s="2">
        <f t="shared" ref="BF1922:BF1985" ca="1" si="1916">AW1922</f>
        <v>2114220.924035694</v>
      </c>
      <c r="BG1922" s="2">
        <f t="shared" ref="BG1922:BG1985" ca="1" si="1917">AX1922</f>
        <v>2251724.3197315135</v>
      </c>
      <c r="BH1922" s="2">
        <f t="shared" ref="BH1922:BH1985" ca="1" si="1918">AY1922</f>
        <v>2394016.7702380954</v>
      </c>
      <c r="BI1922" s="2">
        <f t="shared" ref="BI1922:BI1985" ca="1" si="1919">AZ1922+BC1922</f>
        <v>30114673.385951612</v>
      </c>
      <c r="BJ1922" s="2">
        <f t="shared" ref="BJ1922:BJ1985" ca="1" si="1920">IF(MIN(BD1922:BI1922)*MAX(BD1922:BI1922)&gt;=0, "", IFERROR(IRR(BD1922:BI1922,0.12), IFERROR(IRR(BD1922:BI1922,0.5), IFERROR(IRR(BD1922:BI1922,-0.5),""))))</f>
        <v>0.16491874397160511</v>
      </c>
      <c r="BK1922" s="2">
        <f t="shared" ref="BK1922:BK1985" ca="1" si="1921">NPV(12%,BE1922:BI1922)+BD1922</f>
        <v>3644806.469890248</v>
      </c>
    </row>
    <row r="1923" spans="1:63" x14ac:dyDescent="0.3">
      <c r="A1923" s="2">
        <v>1922</v>
      </c>
      <c r="B1923" s="2">
        <f t="shared" ca="1" si="1860"/>
        <v>9.927468856583721E-2</v>
      </c>
      <c r="C1923" s="2">
        <f t="shared" ca="1" si="1861"/>
        <v>6.4455887982565025</v>
      </c>
      <c r="D1923" s="2">
        <f t="shared" ca="1" si="1862"/>
        <v>0.3167631328605911</v>
      </c>
      <c r="E1923" s="2">
        <f t="shared" ca="1" si="1863"/>
        <v>7.2959436322511682</v>
      </c>
      <c r="F1923" s="2">
        <f t="shared" ca="1" si="1864"/>
        <v>0.60524452801107442</v>
      </c>
      <c r="G1923" s="2">
        <f t="shared" ca="1" si="1865"/>
        <v>4.8008371991356151E-2</v>
      </c>
      <c r="H1923" s="2">
        <f t="shared" ca="1" si="1866"/>
        <v>4.8008371991356151E-2</v>
      </c>
      <c r="I1923" s="2">
        <f t="shared" ca="1" si="1867"/>
        <v>0.12455376024278997</v>
      </c>
      <c r="J1923" s="2">
        <f t="shared" ca="1" si="1868"/>
        <v>4.2374007842724427E-3</v>
      </c>
      <c r="K1923" s="2">
        <f t="shared" ca="1" si="1869"/>
        <v>4.2374007842724427E-3</v>
      </c>
      <c r="L1923" s="2">
        <f t="shared" ca="1" si="1870"/>
        <v>0.93917889822077005</v>
      </c>
      <c r="M1923" s="2">
        <f t="shared" ca="1" si="1871"/>
        <v>3.0958346440647579E-2</v>
      </c>
      <c r="N1923" s="2">
        <f t="shared" ca="1" si="1872"/>
        <v>3.0958346440647579E-2</v>
      </c>
      <c r="O1923" s="2">
        <f t="shared" si="1873"/>
        <v>6000000</v>
      </c>
      <c r="P1923" s="2">
        <f t="shared" ca="1" si="1874"/>
        <v>38673532.789539017</v>
      </c>
      <c r="Q1923" s="2">
        <f t="shared" ca="1" si="1875"/>
        <v>966838.31973847549</v>
      </c>
      <c r="R1923" s="2">
        <f t="shared" ca="1" si="1876"/>
        <v>23204119.673723411</v>
      </c>
      <c r="S1923" s="2">
        <f t="shared" ca="1" si="1877"/>
        <v>15469413.115815608</v>
      </c>
      <c r="T1923" s="2">
        <f t="shared" ca="1" si="1878"/>
        <v>51547917.322032377</v>
      </c>
      <c r="U1923" s="2">
        <f t="shared" ca="1" si="1879"/>
        <v>54022648.912208185</v>
      </c>
      <c r="V1923" s="2">
        <f t="shared" ca="1" si="1880"/>
        <v>56616188.337143913</v>
      </c>
      <c r="W1923" s="2">
        <f t="shared" ca="1" si="1881"/>
        <v>59334239.367566198</v>
      </c>
      <c r="X1923" s="2">
        <f t="shared" ca="1" si="1882"/>
        <v>62182779.602948487</v>
      </c>
      <c r="Y1923" s="2">
        <f t="shared" ca="1" si="1883"/>
        <v>0.12211870039213622</v>
      </c>
      <c r="Z1923" s="2">
        <f t="shared" ca="1" si="1884"/>
        <v>0.12296618054899071</v>
      </c>
      <c r="AA1923" s="2">
        <f t="shared" ca="1" si="1885"/>
        <v>6294964.6712878812</v>
      </c>
      <c r="AB1923" s="2">
        <f t="shared" ca="1" si="1886"/>
        <v>6642958.7998733278</v>
      </c>
      <c r="AC1923" s="2">
        <f t="shared" ca="1" si="1887"/>
        <v>6961876.4370609</v>
      </c>
      <c r="AD1923" s="2">
        <f t="shared" ca="1" si="1888"/>
        <v>7296104.7908091778</v>
      </c>
      <c r="AE1923" s="2">
        <f t="shared" ca="1" si="1889"/>
        <v>7646378.9036942599</v>
      </c>
      <c r="AF1923" s="2">
        <f t="shared" ca="1" si="1890"/>
        <v>1030958.3464406476</v>
      </c>
      <c r="AG1923" s="2">
        <f t="shared" ca="1" si="1891"/>
        <v>1080452.9782441638</v>
      </c>
      <c r="AH1923" s="2">
        <f t="shared" ca="1" si="1892"/>
        <v>1132323.7667428784</v>
      </c>
      <c r="AI1923" s="2">
        <f t="shared" ca="1" si="1893"/>
        <v>1186684.787351324</v>
      </c>
      <c r="AJ1923" s="2">
        <f t="shared" ca="1" si="1894"/>
        <v>1243655.5920589697</v>
      </c>
      <c r="AK1923" s="2">
        <f t="shared" ca="1" si="1895"/>
        <v>0</v>
      </c>
      <c r="AL1923" s="2">
        <f t="shared" ca="1" si="1896"/>
        <v>24747.315901758077</v>
      </c>
      <c r="AM1923" s="2">
        <f t="shared" ca="1" si="1897"/>
        <v>25935.394249357283</v>
      </c>
      <c r="AN1923" s="2">
        <f t="shared" ca="1" si="1898"/>
        <v>27180.510304222851</v>
      </c>
      <c r="AO1923" s="2">
        <f t="shared" ca="1" si="1899"/>
        <v>28485.402353822887</v>
      </c>
      <c r="AP1923" s="2">
        <f t="shared" ca="1" si="1900"/>
        <v>2088370.7706351068</v>
      </c>
      <c r="AQ1923" s="2">
        <f t="shared" ca="1" si="1901"/>
        <v>825665.24409515306</v>
      </c>
      <c r="AR1923" s="2">
        <f t="shared" ca="1" si="1902"/>
        <v>903275.11325845495</v>
      </c>
      <c r="AS1923" s="2">
        <f t="shared" ca="1" si="1903"/>
        <v>972707.29391755792</v>
      </c>
      <c r="AT1923" s="2">
        <f t="shared" ca="1" si="1904"/>
        <v>1045472.8005339142</v>
      </c>
      <c r="AU1923" s="2">
        <f t="shared" ca="1" si="1905"/>
        <v>1121731.6606600478</v>
      </c>
      <c r="AV1923" s="2">
        <f t="shared" ca="1" si="1906"/>
        <v>2349970.3101169737</v>
      </c>
      <c r="AW1923" s="2">
        <f t="shared" ca="1" si="1907"/>
        <v>2546112.6218338441</v>
      </c>
      <c r="AX1923" s="2">
        <f t="shared" ca="1" si="1908"/>
        <v>2742539.2115159994</v>
      </c>
      <c r="AY1923" s="2">
        <f t="shared" ca="1" si="1909"/>
        <v>2948395.9219846101</v>
      </c>
      <c r="AZ1923" s="2">
        <f t="shared" ca="1" si="1910"/>
        <v>3164135.4779863125</v>
      </c>
      <c r="BA1923" s="2">
        <f t="shared" ca="1" si="1911"/>
        <v>55787549.472187802</v>
      </c>
      <c r="BB1923" s="2">
        <f t="shared" ca="1" si="1912"/>
        <v>1115750.9894437562</v>
      </c>
      <c r="BC1923" s="2">
        <f t="shared" ca="1" si="1913"/>
        <v>31467678.809020635</v>
      </c>
      <c r="BD1923" s="2">
        <f t="shared" ca="1" si="1914"/>
        <v>-16936251.435554083</v>
      </c>
      <c r="BE1923" s="2">
        <f t="shared" ca="1" si="1915"/>
        <v>2349970.3101169737</v>
      </c>
      <c r="BF1923" s="2">
        <f t="shared" ca="1" si="1916"/>
        <v>2546112.6218338441</v>
      </c>
      <c r="BG1923" s="2">
        <f t="shared" ca="1" si="1917"/>
        <v>2742539.2115159994</v>
      </c>
      <c r="BH1923" s="2">
        <f t="shared" ca="1" si="1918"/>
        <v>2948395.9219846101</v>
      </c>
      <c r="BI1923" s="2">
        <f t="shared" ca="1" si="1919"/>
        <v>34631814.287006944</v>
      </c>
      <c r="BJ1923" s="2">
        <f t="shared" ca="1" si="1920"/>
        <v>0.25959990929009669</v>
      </c>
      <c r="BK1923" s="2">
        <f t="shared" ca="1" si="1921"/>
        <v>10668547.374051351</v>
      </c>
    </row>
    <row r="1924" spans="1:63" x14ac:dyDescent="0.3">
      <c r="A1924" s="2">
        <v>1923</v>
      </c>
      <c r="B1924" s="2">
        <f t="shared" ca="1" si="1860"/>
        <v>0.59466724022955986</v>
      </c>
      <c r="C1924" s="2">
        <f t="shared" ca="1" si="1861"/>
        <v>7.0996303428364103</v>
      </c>
      <c r="D1924" s="2">
        <f t="shared" ca="1" si="1862"/>
        <v>0.22503586922614238</v>
      </c>
      <c r="E1924" s="2">
        <f t="shared" ca="1" si="1863"/>
        <v>7.1708738618043517</v>
      </c>
      <c r="F1924" s="2">
        <f t="shared" ca="1" si="1864"/>
        <v>8.9010801443133891E-2</v>
      </c>
      <c r="G1924" s="2">
        <f t="shared" ca="1" si="1865"/>
        <v>-4.0614676762212171E-4</v>
      </c>
      <c r="H1924" s="2">
        <f t="shared" ca="1" si="1866"/>
        <v>-4.0614676762212171E-4</v>
      </c>
      <c r="I1924" s="2">
        <f t="shared" ca="1" si="1867"/>
        <v>0.26356546015524862</v>
      </c>
      <c r="J1924" s="2">
        <f t="shared" ca="1" si="1868"/>
        <v>6.8380412256881535E-3</v>
      </c>
      <c r="K1924" s="2">
        <f t="shared" ca="1" si="1869"/>
        <v>6.8380412256881535E-3</v>
      </c>
      <c r="L1924" s="2">
        <f t="shared" ca="1" si="1870"/>
        <v>0.78831635406901901</v>
      </c>
      <c r="M1924" s="2">
        <f t="shared" ca="1" si="1871"/>
        <v>1.6011860436059958E-2</v>
      </c>
      <c r="N1924" s="2">
        <f t="shared" ca="1" si="1872"/>
        <v>1.6011860436059958E-2</v>
      </c>
      <c r="O1924" s="2">
        <f t="shared" si="1873"/>
        <v>6000000</v>
      </c>
      <c r="P1924" s="2">
        <f t="shared" ca="1" si="1874"/>
        <v>42597782.057018459</v>
      </c>
      <c r="Q1924" s="2">
        <f t="shared" ca="1" si="1875"/>
        <v>1064944.5514254614</v>
      </c>
      <c r="R1924" s="2">
        <f t="shared" ca="1" si="1876"/>
        <v>25558669.234211076</v>
      </c>
      <c r="S1924" s="2">
        <f t="shared" ca="1" si="1877"/>
        <v>17039112.822807383</v>
      </c>
      <c r="T1924" s="2">
        <f t="shared" ca="1" si="1878"/>
        <v>50800593.021802999</v>
      </c>
      <c r="U1924" s="2">
        <f t="shared" ca="1" si="1879"/>
        <v>50779960.525153913</v>
      </c>
      <c r="V1924" s="2">
        <f t="shared" ca="1" si="1880"/>
        <v>50759336.408326648</v>
      </c>
      <c r="W1924" s="2">
        <f t="shared" ca="1" si="1881"/>
        <v>50738720.667917766</v>
      </c>
      <c r="X1924" s="2">
        <f t="shared" ca="1" si="1882"/>
        <v>50718113.300525211</v>
      </c>
      <c r="Y1924" s="2">
        <f t="shared" ca="1" si="1883"/>
        <v>0.12341902061284407</v>
      </c>
      <c r="Z1924" s="2">
        <f t="shared" ca="1" si="1884"/>
        <v>0.1247866288579817</v>
      </c>
      <c r="AA1924" s="2">
        <f t="shared" ca="1" si="1885"/>
        <v>6269759.4373026071</v>
      </c>
      <c r="AB1924" s="2">
        <f t="shared" ca="1" si="1886"/>
        <v>6336660.0874753427</v>
      </c>
      <c r="AC1924" s="2">
        <f t="shared" ca="1" si="1887"/>
        <v>6334086.473463295</v>
      </c>
      <c r="AD1924" s="2">
        <f t="shared" ca="1" si="1888"/>
        <v>6331513.9047162598</v>
      </c>
      <c r="AE1924" s="2">
        <f t="shared" ca="1" si="1889"/>
        <v>6328942.3808097048</v>
      </c>
      <c r="AF1924" s="2">
        <f t="shared" ca="1" si="1890"/>
        <v>1016011.86043606</v>
      </c>
      <c r="AG1924" s="2">
        <f t="shared" ca="1" si="1891"/>
        <v>1015599.2105030783</v>
      </c>
      <c r="AH1924" s="2">
        <f t="shared" ca="1" si="1892"/>
        <v>1015186.7281665329</v>
      </c>
      <c r="AI1924" s="2">
        <f t="shared" ca="1" si="1893"/>
        <v>1014774.4133583553</v>
      </c>
      <c r="AJ1924" s="2">
        <f t="shared" ca="1" si="1894"/>
        <v>1014362.2660105042</v>
      </c>
      <c r="AK1924" s="2">
        <f t="shared" ca="1" si="1895"/>
        <v>0</v>
      </c>
      <c r="AL1924" s="2">
        <f t="shared" ca="1" si="1896"/>
        <v>0</v>
      </c>
      <c r="AM1924" s="2">
        <f t="shared" ca="1" si="1897"/>
        <v>0</v>
      </c>
      <c r="AN1924" s="2">
        <f t="shared" ca="1" si="1898"/>
        <v>0</v>
      </c>
      <c r="AO1924" s="2">
        <f t="shared" ca="1" si="1899"/>
        <v>0</v>
      </c>
      <c r="AP1924" s="2">
        <f t="shared" ca="1" si="1900"/>
        <v>2300280.2310789968</v>
      </c>
      <c r="AQ1924" s="2">
        <f t="shared" ca="1" si="1901"/>
        <v>767901.50990476296</v>
      </c>
      <c r="AR1924" s="2">
        <f t="shared" ca="1" si="1902"/>
        <v>785402.96793224965</v>
      </c>
      <c r="AS1924" s="2">
        <f t="shared" ca="1" si="1903"/>
        <v>784841.07369661902</v>
      </c>
      <c r="AT1924" s="2">
        <f t="shared" ca="1" si="1904"/>
        <v>784279.40767251607</v>
      </c>
      <c r="AU1924" s="2">
        <f t="shared" ca="1" si="1905"/>
        <v>783717.96976725303</v>
      </c>
      <c r="AV1924" s="2">
        <f t="shared" ca="1" si="1906"/>
        <v>2185565.8358827871</v>
      </c>
      <c r="AW1924" s="2">
        <f t="shared" ca="1" si="1907"/>
        <v>2235377.6779610184</v>
      </c>
      <c r="AX1924" s="2">
        <f t="shared" ca="1" si="1908"/>
        <v>2233778.4405211466</v>
      </c>
      <c r="AY1924" s="2">
        <f t="shared" ca="1" si="1909"/>
        <v>2232179.852606392</v>
      </c>
      <c r="AZ1924" s="2">
        <f t="shared" ca="1" si="1910"/>
        <v>2230581.9139529509</v>
      </c>
      <c r="BA1924" s="2">
        <f t="shared" ca="1" si="1911"/>
        <v>45384047.491414115</v>
      </c>
      <c r="BB1924" s="2">
        <f t="shared" ca="1" si="1912"/>
        <v>907680.94982828235</v>
      </c>
      <c r="BC1924" s="2">
        <f t="shared" ca="1" si="1913"/>
        <v>18917697.307374757</v>
      </c>
      <c r="BD1924" s="2">
        <f t="shared" ca="1" si="1914"/>
        <v>-18604057.374232844</v>
      </c>
      <c r="BE1924" s="2">
        <f t="shared" ca="1" si="1915"/>
        <v>2185565.8358827871</v>
      </c>
      <c r="BF1924" s="2">
        <f t="shared" ca="1" si="1916"/>
        <v>2235377.6779610184</v>
      </c>
      <c r="BG1924" s="2">
        <f t="shared" ca="1" si="1917"/>
        <v>2233778.4405211466</v>
      </c>
      <c r="BH1924" s="2">
        <f t="shared" ca="1" si="1918"/>
        <v>2232179.852606392</v>
      </c>
      <c r="BI1924" s="2">
        <f t="shared" ca="1" si="1919"/>
        <v>21148279.221327707</v>
      </c>
      <c r="BJ1924" s="2">
        <f t="shared" ca="1" si="1920"/>
        <v>0.12204540456303414</v>
      </c>
      <c r="BK1924" s="2">
        <f t="shared" ca="1" si="1921"/>
        <v>138021.69735813886</v>
      </c>
    </row>
    <row r="1925" spans="1:63" x14ac:dyDescent="0.3">
      <c r="A1925" s="2">
        <v>1924</v>
      </c>
      <c r="B1925" s="2">
        <f t="shared" ca="1" si="1860"/>
        <v>0.7640803893266116</v>
      </c>
      <c r="C1925" s="2">
        <f t="shared" ca="1" si="1861"/>
        <v>7.3130944596621914</v>
      </c>
      <c r="D1925" s="2">
        <f t="shared" ca="1" si="1862"/>
        <v>0.45876391711006792</v>
      </c>
      <c r="E1925" s="2">
        <f t="shared" ca="1" si="1863"/>
        <v>7.4578767322678505</v>
      </c>
      <c r="F1925" s="2">
        <f t="shared" ca="1" si="1864"/>
        <v>0.34387798308084994</v>
      </c>
      <c r="G1925" s="2">
        <f t="shared" ca="1" si="1865"/>
        <v>2.7942932474706778E-2</v>
      </c>
      <c r="H1925" s="2">
        <f t="shared" ca="1" si="1866"/>
        <v>2.7942932474706778E-2</v>
      </c>
      <c r="I1925" s="2">
        <f t="shared" ca="1" si="1867"/>
        <v>0.48809631248785745</v>
      </c>
      <c r="J1925" s="2">
        <f t="shared" ca="1" si="1868"/>
        <v>9.8507872569163109E-3</v>
      </c>
      <c r="K1925" s="2">
        <f t="shared" ca="1" si="1869"/>
        <v>9.8507872569163109E-3</v>
      </c>
      <c r="L1925" s="2">
        <f t="shared" ca="1" si="1870"/>
        <v>0.62173928538785339</v>
      </c>
      <c r="M1925" s="2">
        <f t="shared" ca="1" si="1871"/>
        <v>6.2010395768113385E-3</v>
      </c>
      <c r="N1925" s="2">
        <f t="shared" ca="1" si="1872"/>
        <v>6.2010395768113385E-3</v>
      </c>
      <c r="O1925" s="2">
        <f t="shared" si="1873"/>
        <v>6000000</v>
      </c>
      <c r="P1925" s="2">
        <f t="shared" ca="1" si="1874"/>
        <v>43878566.757973149</v>
      </c>
      <c r="Q1925" s="2">
        <f t="shared" ca="1" si="1875"/>
        <v>1096964.1689493288</v>
      </c>
      <c r="R1925" s="2">
        <f t="shared" ca="1" si="1876"/>
        <v>26327140.054783888</v>
      </c>
      <c r="S1925" s="2">
        <f t="shared" ca="1" si="1877"/>
        <v>17551426.703189261</v>
      </c>
      <c r="T1925" s="2">
        <f t="shared" ca="1" si="1878"/>
        <v>50310051.978840567</v>
      </c>
      <c r="U1925" s="2">
        <f t="shared" ca="1" si="1879"/>
        <v>51715862.364084296</v>
      </c>
      <c r="V1925" s="2">
        <f t="shared" ca="1" si="1880"/>
        <v>53160955.213995129</v>
      </c>
      <c r="W1925" s="2">
        <f t="shared" ca="1" si="1881"/>
        <v>54646428.195830703</v>
      </c>
      <c r="X1925" s="2">
        <f t="shared" ca="1" si="1882"/>
        <v>56173409.648890711</v>
      </c>
      <c r="Y1925" s="2">
        <f t="shared" ca="1" si="1883"/>
        <v>0.12492539362845816</v>
      </c>
      <c r="Z1925" s="2">
        <f t="shared" ca="1" si="1884"/>
        <v>0.12689555107984141</v>
      </c>
      <c r="AA1925" s="2">
        <f t="shared" ca="1" si="1885"/>
        <v>6285003.0469248481</v>
      </c>
      <c r="AB1925" s="2">
        <f t="shared" ca="1" si="1886"/>
        <v>6562512.8542597061</v>
      </c>
      <c r="AC1925" s="2">
        <f t="shared" ca="1" si="1887"/>
        <v>6745888.7078106804</v>
      </c>
      <c r="AD1925" s="2">
        <f t="shared" ca="1" si="1888"/>
        <v>6934388.6204549205</v>
      </c>
      <c r="AE1925" s="2">
        <f t="shared" ca="1" si="1889"/>
        <v>7128155.7734296676</v>
      </c>
      <c r="AF1925" s="2">
        <f t="shared" ca="1" si="1890"/>
        <v>1006201.0395768114</v>
      </c>
      <c r="AG1925" s="2">
        <f t="shared" ca="1" si="1891"/>
        <v>1034317.2472816859</v>
      </c>
      <c r="AH1925" s="2">
        <f t="shared" ca="1" si="1892"/>
        <v>1063219.1042799025</v>
      </c>
      <c r="AI1925" s="2">
        <f t="shared" ca="1" si="1893"/>
        <v>1092928.563916614</v>
      </c>
      <c r="AJ1925" s="2">
        <f t="shared" ca="1" si="1894"/>
        <v>1123468.1929778142</v>
      </c>
      <c r="AK1925" s="2">
        <f t="shared" ca="1" si="1895"/>
        <v>0</v>
      </c>
      <c r="AL1925" s="2">
        <f t="shared" ca="1" si="1896"/>
        <v>14058.103852437287</v>
      </c>
      <c r="AM1925" s="2">
        <f t="shared" ca="1" si="1897"/>
        <v>14450.92849910833</v>
      </c>
      <c r="AN1925" s="2">
        <f t="shared" ca="1" si="1898"/>
        <v>14854.72981835574</v>
      </c>
      <c r="AO1925" s="2">
        <f t="shared" ca="1" si="1899"/>
        <v>15269.814530600086</v>
      </c>
      <c r="AP1925" s="2">
        <f t="shared" ca="1" si="1900"/>
        <v>2369442.6049305499</v>
      </c>
      <c r="AQ1925" s="2">
        <f t="shared" ca="1" si="1901"/>
        <v>756433.44462854648</v>
      </c>
      <c r="AR1925" s="2">
        <f t="shared" ca="1" si="1902"/>
        <v>821275.78053234215</v>
      </c>
      <c r="AS1925" s="2">
        <f t="shared" ca="1" si="1903"/>
        <v>861439.0196360593</v>
      </c>
      <c r="AT1925" s="2">
        <f t="shared" ca="1" si="1904"/>
        <v>902724.5374180167</v>
      </c>
      <c r="AU1925" s="2">
        <f t="shared" ca="1" si="1905"/>
        <v>945163.69363553904</v>
      </c>
      <c r="AV1925" s="2">
        <f t="shared" ca="1" si="1906"/>
        <v>2152925.9577889405</v>
      </c>
      <c r="AW1925" s="2">
        <f t="shared" ca="1" si="1907"/>
        <v>2323419.1176626906</v>
      </c>
      <c r="AX1925" s="2">
        <f t="shared" ca="1" si="1908"/>
        <v>2437337.0504650604</v>
      </c>
      <c r="AY1925" s="2">
        <f t="shared" ca="1" si="1909"/>
        <v>2554438.1843713839</v>
      </c>
      <c r="AZ1925" s="2">
        <f t="shared" ca="1" si="1910"/>
        <v>2674811.4673551647</v>
      </c>
      <c r="BA1925" s="2">
        <f t="shared" ca="1" si="1911"/>
        <v>53160907.086641863</v>
      </c>
      <c r="BB1925" s="2">
        <f t="shared" ca="1" si="1912"/>
        <v>1063218.1417328373</v>
      </c>
      <c r="BC1925" s="2">
        <f t="shared" ca="1" si="1913"/>
        <v>25770548.890125137</v>
      </c>
      <c r="BD1925" s="2">
        <f t="shared" ca="1" si="1914"/>
        <v>-19148390.87213859</v>
      </c>
      <c r="BE1925" s="2">
        <f t="shared" ca="1" si="1915"/>
        <v>2152925.9577889405</v>
      </c>
      <c r="BF1925" s="2">
        <f t="shared" ca="1" si="1916"/>
        <v>2323419.1176626906</v>
      </c>
      <c r="BG1925" s="2">
        <f t="shared" ca="1" si="1917"/>
        <v>2437337.0504650604</v>
      </c>
      <c r="BH1925" s="2">
        <f t="shared" ca="1" si="1918"/>
        <v>2554438.1843713839</v>
      </c>
      <c r="BI1925" s="2">
        <f t="shared" ca="1" si="1919"/>
        <v>28445360.357480302</v>
      </c>
      <c r="BJ1925" s="2">
        <f t="shared" ca="1" si="1920"/>
        <v>0.173656505346236</v>
      </c>
      <c r="BK1925" s="2">
        <f t="shared" ca="1" si="1921"/>
        <v>4124981.3464495018</v>
      </c>
    </row>
    <row r="1926" spans="1:63" x14ac:dyDescent="0.3">
      <c r="A1926" s="2">
        <v>1925</v>
      </c>
      <c r="B1926" s="2">
        <f t="shared" ca="1" si="1860"/>
        <v>0.48031253005957564</v>
      </c>
      <c r="C1926" s="2">
        <f t="shared" ca="1" si="1861"/>
        <v>6.9801148198650766</v>
      </c>
      <c r="D1926" s="2">
        <f t="shared" ca="1" si="1862"/>
        <v>0.39674121943861751</v>
      </c>
      <c r="E1926" s="2">
        <f t="shared" ca="1" si="1863"/>
        <v>7.3907763124809929</v>
      </c>
      <c r="F1926" s="2">
        <f t="shared" ca="1" si="1864"/>
        <v>0.89609080294208332</v>
      </c>
      <c r="G1926" s="2">
        <f t="shared" ca="1" si="1865"/>
        <v>7.778760945764282E-2</v>
      </c>
      <c r="H1926" s="2">
        <f t="shared" ca="1" si="1866"/>
        <v>7.778760945764282E-2</v>
      </c>
      <c r="I1926" s="2">
        <f t="shared" ca="1" si="1867"/>
        <v>0.37440166548576137</v>
      </c>
      <c r="J1926" s="2">
        <f t="shared" ca="1" si="1868"/>
        <v>8.398911662001924E-3</v>
      </c>
      <c r="K1926" s="2">
        <f t="shared" ca="1" si="1869"/>
        <v>8.398911662001924E-3</v>
      </c>
      <c r="L1926" s="2">
        <f t="shared" ca="1" si="1870"/>
        <v>8.8479545827152006E-2</v>
      </c>
      <c r="M1926" s="2">
        <f t="shared" ca="1" si="1871"/>
        <v>-2.7003547627657914E-2</v>
      </c>
      <c r="N1926" s="2">
        <f t="shared" ca="1" si="1872"/>
        <v>-2.7003547627657914E-2</v>
      </c>
      <c r="O1926" s="2">
        <f t="shared" si="1873"/>
        <v>6000000</v>
      </c>
      <c r="P1926" s="2">
        <f t="shared" ca="1" si="1874"/>
        <v>41880688.919190459</v>
      </c>
      <c r="Q1926" s="2">
        <f t="shared" ca="1" si="1875"/>
        <v>1047017.2229797615</v>
      </c>
      <c r="R1926" s="2">
        <f t="shared" ca="1" si="1876"/>
        <v>25128413.351514276</v>
      </c>
      <c r="S1926" s="2">
        <f t="shared" ca="1" si="1877"/>
        <v>16752275.567676185</v>
      </c>
      <c r="T1926" s="2">
        <f t="shared" ca="1" si="1878"/>
        <v>48649822.618617103</v>
      </c>
      <c r="U1926" s="2">
        <f t="shared" ca="1" si="1879"/>
        <v>52434176.020657688</v>
      </c>
      <c r="V1926" s="2">
        <f t="shared" ca="1" si="1880"/>
        <v>56512905.227185912</v>
      </c>
      <c r="W1926" s="2">
        <f t="shared" ca="1" si="1881"/>
        <v>60908909.02831503</v>
      </c>
      <c r="X1926" s="2">
        <f t="shared" ca="1" si="1882"/>
        <v>65646867.456300698</v>
      </c>
      <c r="Y1926" s="2">
        <f t="shared" ca="1" si="1883"/>
        <v>0.12419945583100096</v>
      </c>
      <c r="Z1926" s="2">
        <f t="shared" ca="1" si="1884"/>
        <v>0.12587923816340135</v>
      </c>
      <c r="AA1926" s="2">
        <f t="shared" ca="1" si="1885"/>
        <v>6042281.4955069665</v>
      </c>
      <c r="AB1926" s="2">
        <f t="shared" ca="1" si="1886"/>
        <v>6600374.1312060775</v>
      </c>
      <c r="AC1926" s="2">
        <f t="shared" ca="1" si="1887"/>
        <v>7113801.456398665</v>
      </c>
      <c r="AD1926" s="2">
        <f t="shared" ca="1" si="1888"/>
        <v>7667167.0658482146</v>
      </c>
      <c r="AE1926" s="2">
        <f t="shared" ca="1" si="1889"/>
        <v>8263577.6632129168</v>
      </c>
      <c r="AF1926" s="2">
        <f t="shared" ca="1" si="1890"/>
        <v>972996.45237234212</v>
      </c>
      <c r="AG1926" s="2">
        <f t="shared" ca="1" si="1891"/>
        <v>1048683.5204131538</v>
      </c>
      <c r="AH1926" s="2">
        <f t="shared" ca="1" si="1892"/>
        <v>1130258.1045437183</v>
      </c>
      <c r="AI1926" s="2">
        <f t="shared" ca="1" si="1893"/>
        <v>1218178.1805663006</v>
      </c>
      <c r="AJ1926" s="2">
        <f t="shared" ca="1" si="1894"/>
        <v>1312937.3491260139</v>
      </c>
      <c r="AK1926" s="2">
        <f t="shared" ca="1" si="1895"/>
        <v>0</v>
      </c>
      <c r="AL1926" s="2">
        <f t="shared" ca="1" si="1896"/>
        <v>37843.534020405859</v>
      </c>
      <c r="AM1926" s="2">
        <f t="shared" ca="1" si="1897"/>
        <v>40787.292065282243</v>
      </c>
      <c r="AN1926" s="2">
        <f t="shared" ca="1" si="1898"/>
        <v>43960.038011291173</v>
      </c>
      <c r="AO1926" s="2">
        <f t="shared" ca="1" si="1899"/>
        <v>47379.584279856681</v>
      </c>
      <c r="AP1926" s="2">
        <f t="shared" ca="1" si="1900"/>
        <v>2261557.2016362846</v>
      </c>
      <c r="AQ1926" s="2">
        <f t="shared" ca="1" si="1901"/>
        <v>730009.23878956831</v>
      </c>
      <c r="AR1926" s="2">
        <f t="shared" ca="1" si="1902"/>
        <v>855434.68638072617</v>
      </c>
      <c r="AS1926" s="2">
        <f t="shared" ca="1" si="1903"/>
        <v>967716.3990568521</v>
      </c>
      <c r="AT1926" s="2">
        <f t="shared" ca="1" si="1904"/>
        <v>1088732.2377478636</v>
      </c>
      <c r="AU1926" s="2">
        <f t="shared" ca="1" si="1905"/>
        <v>1219161.6092371608</v>
      </c>
      <c r="AV1926" s="2">
        <f t="shared" ca="1" si="1906"/>
        <v>2077718.6027087709</v>
      </c>
      <c r="AW1926" s="2">
        <f t="shared" ca="1" si="1907"/>
        <v>2396855.1887555066</v>
      </c>
      <c r="AX1926" s="2">
        <f t="shared" ca="1" si="1908"/>
        <v>2713482.4590965277</v>
      </c>
      <c r="AY1926" s="2">
        <f t="shared" ca="1" si="1909"/>
        <v>3054739.4078864744</v>
      </c>
      <c r="AZ1926" s="2">
        <f t="shared" ca="1" si="1910"/>
        <v>3422541.9189336011</v>
      </c>
      <c r="BA1926" s="2">
        <f t="shared" ca="1" si="1911"/>
        <v>61074254.04962106</v>
      </c>
      <c r="BB1926" s="2">
        <f t="shared" ca="1" si="1912"/>
        <v>1221485.0809924211</v>
      </c>
      <c r="BC1926" s="2">
        <f t="shared" ca="1" si="1913"/>
        <v>34724355.617114358</v>
      </c>
      <c r="BD1926" s="2">
        <f t="shared" ca="1" si="1914"/>
        <v>-18299292.790655944</v>
      </c>
      <c r="BE1926" s="2">
        <f t="shared" ca="1" si="1915"/>
        <v>2077718.6027087709</v>
      </c>
      <c r="BF1926" s="2">
        <f t="shared" ca="1" si="1916"/>
        <v>2396855.1887555066</v>
      </c>
      <c r="BG1926" s="2">
        <f t="shared" ca="1" si="1917"/>
        <v>2713482.4590965277</v>
      </c>
      <c r="BH1926" s="2">
        <f t="shared" ca="1" si="1918"/>
        <v>3054739.4078864744</v>
      </c>
      <c r="BI1926" s="2">
        <f t="shared" ca="1" si="1919"/>
        <v>38146897.536047958</v>
      </c>
      <c r="BJ1926" s="2">
        <f t="shared" ca="1" si="1920"/>
        <v>0.25061222383851289</v>
      </c>
      <c r="BK1926" s="2">
        <f t="shared" ca="1" si="1921"/>
        <v>10984890.846471891</v>
      </c>
    </row>
    <row r="1927" spans="1:63" x14ac:dyDescent="0.3">
      <c r="A1927" s="2">
        <v>1926</v>
      </c>
      <c r="B1927" s="2">
        <f t="shared" ca="1" si="1860"/>
        <v>0.9805241094489936</v>
      </c>
      <c r="C1927" s="2">
        <f t="shared" ca="1" si="1861"/>
        <v>7.8026379441178904</v>
      </c>
      <c r="D1927" s="2">
        <f t="shared" ca="1" si="1862"/>
        <v>9.1933972681172871E-2</v>
      </c>
      <c r="E1927" s="2">
        <f t="shared" ca="1" si="1863"/>
        <v>6.928798257182029</v>
      </c>
      <c r="F1927" s="2">
        <f t="shared" ca="1" si="1864"/>
        <v>0.97609147726668366</v>
      </c>
      <c r="G1927" s="2">
        <f t="shared" ca="1" si="1865"/>
        <v>9.9369723100761559E-2</v>
      </c>
      <c r="H1927" s="2">
        <f t="shared" ca="1" si="1866"/>
        <v>9.9369723100761559E-2</v>
      </c>
      <c r="I1927" s="2">
        <f t="shared" ca="1" si="1867"/>
        <v>0.36593728809008164</v>
      </c>
      <c r="J1927" s="2">
        <f t="shared" ca="1" si="1868"/>
        <v>8.286835022465338E-3</v>
      </c>
      <c r="K1927" s="2">
        <f t="shared" ca="1" si="1869"/>
        <v>8.286835022465338E-3</v>
      </c>
      <c r="L1927" s="2">
        <f t="shared" ca="1" si="1870"/>
        <v>0.89246730735950142</v>
      </c>
      <c r="M1927" s="2">
        <f t="shared" ca="1" si="1871"/>
        <v>2.479513469863559E-2</v>
      </c>
      <c r="N1927" s="2">
        <f t="shared" ca="1" si="1872"/>
        <v>2.479513469863559E-2</v>
      </c>
      <c r="O1927" s="2">
        <f t="shared" si="1873"/>
        <v>6000000</v>
      </c>
      <c r="P1927" s="2">
        <f t="shared" ca="1" si="1874"/>
        <v>46815827.66470734</v>
      </c>
      <c r="Q1927" s="2">
        <f t="shared" ca="1" si="1875"/>
        <v>1170395.6916176835</v>
      </c>
      <c r="R1927" s="2">
        <f t="shared" ca="1" si="1876"/>
        <v>28089496.598824404</v>
      </c>
      <c r="S1927" s="2">
        <f t="shared" ca="1" si="1877"/>
        <v>18726331.065882936</v>
      </c>
      <c r="T1927" s="2">
        <f t="shared" ca="1" si="1878"/>
        <v>51239756.734931774</v>
      </c>
      <c r="U1927" s="2">
        <f t="shared" ca="1" si="1879"/>
        <v>56331437.173432328</v>
      </c>
      <c r="V1927" s="2">
        <f t="shared" ca="1" si="1880"/>
        <v>61929076.487224244</v>
      </c>
      <c r="W1927" s="2">
        <f t="shared" ca="1" si="1881"/>
        <v>68082951.669645593</v>
      </c>
      <c r="X1927" s="2">
        <f t="shared" ca="1" si="1882"/>
        <v>74848335.724940807</v>
      </c>
      <c r="Y1927" s="2">
        <f t="shared" ca="1" si="1883"/>
        <v>0.12414341751123266</v>
      </c>
      <c r="Z1927" s="2">
        <f t="shared" ca="1" si="1884"/>
        <v>0.12580078451572574</v>
      </c>
      <c r="AA1927" s="2">
        <f t="shared" ca="1" si="1885"/>
        <v>6361078.5135186305</v>
      </c>
      <c r="AB1927" s="2">
        <f t="shared" ca="1" si="1886"/>
        <v>7086538.989316103</v>
      </c>
      <c r="AC1927" s="2">
        <f t="shared" ca="1" si="1887"/>
        <v>7790726.4064271944</v>
      </c>
      <c r="AD1927" s="2">
        <f t="shared" ca="1" si="1888"/>
        <v>8564888.7321876548</v>
      </c>
      <c r="AE1927" s="2">
        <f t="shared" ca="1" si="1889"/>
        <v>9415979.3538939748</v>
      </c>
      <c r="AF1927" s="2">
        <f t="shared" ca="1" si="1890"/>
        <v>1024795.1346986355</v>
      </c>
      <c r="AG1927" s="2">
        <f t="shared" ca="1" si="1891"/>
        <v>1126628.7434686467</v>
      </c>
      <c r="AH1927" s="2">
        <f t="shared" ca="1" si="1892"/>
        <v>1238581.5297444849</v>
      </c>
      <c r="AI1927" s="2">
        <f t="shared" ca="1" si="1893"/>
        <v>1361659.0333929118</v>
      </c>
      <c r="AJ1927" s="2">
        <f t="shared" ca="1" si="1894"/>
        <v>1496966.7144988161</v>
      </c>
      <c r="AK1927" s="2">
        <f t="shared" ca="1" si="1895"/>
        <v>0</v>
      </c>
      <c r="AL1927" s="2">
        <f t="shared" ca="1" si="1896"/>
        <v>50916.804385005533</v>
      </c>
      <c r="AM1927" s="2">
        <f t="shared" ca="1" si="1897"/>
        <v>55976.393137919156</v>
      </c>
      <c r="AN1927" s="2">
        <f t="shared" ca="1" si="1898"/>
        <v>61538.75182421349</v>
      </c>
      <c r="AO1927" s="2">
        <f t="shared" ca="1" si="1899"/>
        <v>67653.840552952141</v>
      </c>
      <c r="AP1927" s="2">
        <f t="shared" ca="1" si="1900"/>
        <v>2528054.6938941963</v>
      </c>
      <c r="AQ1927" s="2">
        <f t="shared" ca="1" si="1901"/>
        <v>730139.45808070758</v>
      </c>
      <c r="AR1927" s="2">
        <f t="shared" ca="1" si="1902"/>
        <v>892282.44350784761</v>
      </c>
      <c r="AS1927" s="2">
        <f t="shared" ca="1" si="1903"/>
        <v>1046263.4475250136</v>
      </c>
      <c r="AT1927" s="2">
        <f t="shared" ca="1" si="1904"/>
        <v>1215545.5012741422</v>
      </c>
      <c r="AU1927" s="2">
        <f t="shared" ca="1" si="1905"/>
        <v>1401649.0658302503</v>
      </c>
      <c r="AV1927" s="2">
        <f t="shared" ca="1" si="1906"/>
        <v>2078089.2268450912</v>
      </c>
      <c r="AW1927" s="2">
        <f t="shared" ca="1" si="1907"/>
        <v>2488656.304060407</v>
      </c>
      <c r="AX1927" s="2">
        <f t="shared" ca="1" si="1908"/>
        <v>2921850.3421255816</v>
      </c>
      <c r="AY1927" s="2">
        <f t="shared" ca="1" si="1909"/>
        <v>3398090.7518021911</v>
      </c>
      <c r="AZ1927" s="2">
        <f t="shared" ca="1" si="1910"/>
        <v>3921655.03911776</v>
      </c>
      <c r="BA1927" s="2">
        <f t="shared" ca="1" si="1911"/>
        <v>65241421.336922541</v>
      </c>
      <c r="BB1927" s="2">
        <f t="shared" ca="1" si="1912"/>
        <v>1304828.4267384508</v>
      </c>
      <c r="BC1927" s="2">
        <f t="shared" ca="1" si="1913"/>
        <v>35847096.311359689</v>
      </c>
      <c r="BD1927" s="2">
        <f t="shared" ca="1" si="1914"/>
        <v>-20396726.757500619</v>
      </c>
      <c r="BE1927" s="2">
        <f t="shared" ca="1" si="1915"/>
        <v>2078089.2268450912</v>
      </c>
      <c r="BF1927" s="2">
        <f t="shared" ca="1" si="1916"/>
        <v>2488656.304060407</v>
      </c>
      <c r="BG1927" s="2">
        <f t="shared" ca="1" si="1917"/>
        <v>2921850.3421255816</v>
      </c>
      <c r="BH1927" s="2">
        <f t="shared" ca="1" si="1918"/>
        <v>3398090.7518021911</v>
      </c>
      <c r="BI1927" s="2">
        <f t="shared" ca="1" si="1919"/>
        <v>39768751.35047745</v>
      </c>
      <c r="BJ1927" s="2">
        <f t="shared" ca="1" si="1920"/>
        <v>0.23169511200297332</v>
      </c>
      <c r="BK1927" s="2">
        <f t="shared" ca="1" si="1921"/>
        <v>10247772.621186823</v>
      </c>
    </row>
    <row r="1928" spans="1:63" x14ac:dyDescent="0.3">
      <c r="A1928" s="2">
        <v>1927</v>
      </c>
      <c r="B1928" s="2">
        <f t="shared" ca="1" si="1860"/>
        <v>0.10879312255267171</v>
      </c>
      <c r="C1928" s="2">
        <f t="shared" ca="1" si="1861"/>
        <v>6.4664614079485494</v>
      </c>
      <c r="D1928" s="2">
        <f t="shared" ca="1" si="1862"/>
        <v>0.87678420262718049</v>
      </c>
      <c r="E1928" s="2">
        <f t="shared" ca="1" si="1863"/>
        <v>8.0035812304660112</v>
      </c>
      <c r="F1928" s="2">
        <f t="shared" ca="1" si="1864"/>
        <v>0.92062013172607526</v>
      </c>
      <c r="G1928" s="2">
        <f t="shared" ca="1" si="1865"/>
        <v>8.2277654393607125E-2</v>
      </c>
      <c r="H1928" s="2">
        <f t="shared" ca="1" si="1866"/>
        <v>8.2277654393607125E-2</v>
      </c>
      <c r="I1928" s="2">
        <f t="shared" ca="1" si="1867"/>
        <v>0.39134553501598657</v>
      </c>
      <c r="J1928" s="2">
        <f t="shared" ca="1" si="1868"/>
        <v>8.6209309101586817E-3</v>
      </c>
      <c r="K1928" s="2">
        <f t="shared" ca="1" si="1869"/>
        <v>8.6209309101586817E-3</v>
      </c>
      <c r="L1928" s="2">
        <f t="shared" ca="1" si="1870"/>
        <v>0.31710387226424208</v>
      </c>
      <c r="M1928" s="2">
        <f t="shared" ca="1" si="1871"/>
        <v>-9.5162561529007379E-3</v>
      </c>
      <c r="N1928" s="2">
        <f t="shared" ca="1" si="1872"/>
        <v>-9.5162561529007379E-3</v>
      </c>
      <c r="O1928" s="2">
        <f t="shared" si="1873"/>
        <v>6000000</v>
      </c>
      <c r="P1928" s="2">
        <f t="shared" ca="1" si="1874"/>
        <v>38798768.447691299</v>
      </c>
      <c r="Q1928" s="2">
        <f t="shared" ca="1" si="1875"/>
        <v>969969.2111922825</v>
      </c>
      <c r="R1928" s="2">
        <f t="shared" ca="1" si="1876"/>
        <v>23279261.068614777</v>
      </c>
      <c r="S1928" s="2">
        <f t="shared" ca="1" si="1877"/>
        <v>15519507.37907652</v>
      </c>
      <c r="T1928" s="2">
        <f t="shared" ca="1" si="1878"/>
        <v>49524187.192354962</v>
      </c>
      <c r="U1928" s="2">
        <f t="shared" ca="1" si="1879"/>
        <v>53598921.150291853</v>
      </c>
      <c r="V1928" s="2">
        <f t="shared" ca="1" si="1880"/>
        <v>58008914.660565771</v>
      </c>
      <c r="W1928" s="2">
        <f t="shared" ca="1" si="1881"/>
        <v>62781752.092756055</v>
      </c>
      <c r="X1928" s="2">
        <f t="shared" ca="1" si="1882"/>
        <v>67947287.393668965</v>
      </c>
      <c r="Y1928" s="2">
        <f t="shared" ca="1" si="1883"/>
        <v>0.12431046545507933</v>
      </c>
      <c r="Z1928" s="2">
        <f t="shared" ca="1" si="1884"/>
        <v>0.12603465163711108</v>
      </c>
      <c r="AA1928" s="2">
        <f t="shared" ca="1" si="1885"/>
        <v>6156374.7611661237</v>
      </c>
      <c r="AB1928" s="2">
        <f t="shared" ca="1" si="1886"/>
        <v>6755321.355302019</v>
      </c>
      <c r="AC1928" s="2">
        <f t="shared" ca="1" si="1887"/>
        <v>7311133.3510913132</v>
      </c>
      <c r="AD1928" s="2">
        <f t="shared" ca="1" si="1888"/>
        <v>7912676.2541779792</v>
      </c>
      <c r="AE1928" s="2">
        <f t="shared" ca="1" si="1889"/>
        <v>8563712.6963477377</v>
      </c>
      <c r="AF1928" s="2">
        <f t="shared" ca="1" si="1890"/>
        <v>990483.74384709925</v>
      </c>
      <c r="AG1928" s="2">
        <f t="shared" ca="1" si="1891"/>
        <v>1071978.423005837</v>
      </c>
      <c r="AH1928" s="2">
        <f t="shared" ca="1" si="1892"/>
        <v>1160178.2932113155</v>
      </c>
      <c r="AI1928" s="2">
        <f t="shared" ca="1" si="1893"/>
        <v>1255635.041855121</v>
      </c>
      <c r="AJ1928" s="2">
        <f t="shared" ca="1" si="1894"/>
        <v>1358945.7478733794</v>
      </c>
      <c r="AK1928" s="2">
        <f t="shared" ca="1" si="1895"/>
        <v>0</v>
      </c>
      <c r="AL1928" s="2">
        <f t="shared" ca="1" si="1896"/>
        <v>40747.339579368905</v>
      </c>
      <c r="AM1928" s="2">
        <f t="shared" ca="1" si="1897"/>
        <v>44099.935102739189</v>
      </c>
      <c r="AN1928" s="2">
        <f t="shared" ca="1" si="1898"/>
        <v>47728.37432190284</v>
      </c>
      <c r="AO1928" s="2">
        <f t="shared" ca="1" si="1899"/>
        <v>51655.353009129096</v>
      </c>
      <c r="AP1928" s="2">
        <f t="shared" ca="1" si="1900"/>
        <v>2095133.4961753299</v>
      </c>
      <c r="AQ1928" s="2">
        <f t="shared" ca="1" si="1901"/>
        <v>798396.95549736056</v>
      </c>
      <c r="AR1928" s="2">
        <f t="shared" ca="1" si="1902"/>
        <v>932934.45339142147</v>
      </c>
      <c r="AS1928" s="2">
        <f t="shared" ca="1" si="1903"/>
        <v>1054513.6060432135</v>
      </c>
      <c r="AT1928" s="2">
        <f t="shared" ca="1" si="1904"/>
        <v>1186096.0061983573</v>
      </c>
      <c r="AU1928" s="2">
        <f t="shared" ca="1" si="1905"/>
        <v>1328504.6975977474</v>
      </c>
      <c r="AV1928" s="2">
        <f t="shared" ca="1" si="1906"/>
        <v>2272360.5656463336</v>
      </c>
      <c r="AW1928" s="2">
        <f t="shared" ca="1" si="1907"/>
        <v>2614527.6431500614</v>
      </c>
      <c r="AX1928" s="2">
        <f t="shared" ca="1" si="1908"/>
        <v>2957208.0205587149</v>
      </c>
      <c r="AY1928" s="2">
        <f t="shared" ca="1" si="1909"/>
        <v>3328083.3356272671</v>
      </c>
      <c r="AZ1928" s="2">
        <f t="shared" ca="1" si="1910"/>
        <v>3729473.401692152</v>
      </c>
      <c r="BA1928" s="2">
        <f t="shared" ca="1" si="1911"/>
        <v>68540370.199592233</v>
      </c>
      <c r="BB1928" s="2">
        <f t="shared" ca="1" si="1912"/>
        <v>1370807.4039918447</v>
      </c>
      <c r="BC1928" s="2">
        <f t="shared" ca="1" si="1913"/>
        <v>43890301.726985604</v>
      </c>
      <c r="BD1928" s="2">
        <f t="shared" ca="1" si="1914"/>
        <v>-16989476.590268802</v>
      </c>
      <c r="BE1928" s="2">
        <f t="shared" ca="1" si="1915"/>
        <v>2272360.5656463336</v>
      </c>
      <c r="BF1928" s="2">
        <f t="shared" ca="1" si="1916"/>
        <v>2614527.6431500614</v>
      </c>
      <c r="BG1928" s="2">
        <f t="shared" ca="1" si="1917"/>
        <v>2957208.0205587149</v>
      </c>
      <c r="BH1928" s="2">
        <f t="shared" ca="1" si="1918"/>
        <v>3328083.3356272671</v>
      </c>
      <c r="BI1928" s="2">
        <f t="shared" ca="1" si="1919"/>
        <v>47619775.128677756</v>
      </c>
      <c r="BJ1928" s="2">
        <f t="shared" ca="1" si="1920"/>
        <v>0.32924838534630685</v>
      </c>
      <c r="BK1928" s="2">
        <f t="shared" ca="1" si="1921"/>
        <v>18364380.856952991</v>
      </c>
    </row>
    <row r="1929" spans="1:63" x14ac:dyDescent="0.3">
      <c r="A1929" s="2">
        <v>1928</v>
      </c>
      <c r="B1929" s="2">
        <f t="shared" ca="1" si="1860"/>
        <v>0.72165430498817684</v>
      </c>
      <c r="C1929" s="2">
        <f t="shared" ca="1" si="1861"/>
        <v>7.2538824556253578</v>
      </c>
      <c r="D1929" s="2">
        <f t="shared" ca="1" si="1862"/>
        <v>0.51953549664807819</v>
      </c>
      <c r="E1929" s="2">
        <f t="shared" ca="1" si="1863"/>
        <v>7.5197301357769666</v>
      </c>
      <c r="F1929" s="2">
        <f t="shared" ca="1" si="1864"/>
        <v>0.26484864172719658</v>
      </c>
      <c r="G1929" s="2">
        <f t="shared" ca="1" si="1865"/>
        <v>2.1145954517204392E-2</v>
      </c>
      <c r="H1929" s="2">
        <f t="shared" ca="1" si="1866"/>
        <v>2.1145954517204392E-2</v>
      </c>
      <c r="I1929" s="2">
        <f t="shared" ca="1" si="1867"/>
        <v>0.51008927654791802</v>
      </c>
      <c r="J1929" s="2">
        <f t="shared" ca="1" si="1868"/>
        <v>1.0126463811686397E-2</v>
      </c>
      <c r="K1929" s="2">
        <f t="shared" ca="1" si="1869"/>
        <v>1.0126463811686397E-2</v>
      </c>
      <c r="L1929" s="2">
        <f t="shared" ca="1" si="1870"/>
        <v>0.90750580860932406</v>
      </c>
      <c r="M1929" s="2">
        <f t="shared" ca="1" si="1871"/>
        <v>2.6511025012777158E-2</v>
      </c>
      <c r="N1929" s="2">
        <f t="shared" ca="1" si="1872"/>
        <v>2.6511025012777158E-2</v>
      </c>
      <c r="O1929" s="2">
        <f t="shared" si="1873"/>
        <v>6000000</v>
      </c>
      <c r="P1929" s="2">
        <f t="shared" ca="1" si="1874"/>
        <v>43523294.733752146</v>
      </c>
      <c r="Q1929" s="2">
        <f t="shared" ca="1" si="1875"/>
        <v>1088082.3683438038</v>
      </c>
      <c r="R1929" s="2">
        <f t="shared" ca="1" si="1876"/>
        <v>26113976.840251286</v>
      </c>
      <c r="S1929" s="2">
        <f t="shared" ca="1" si="1877"/>
        <v>17409317.893500861</v>
      </c>
      <c r="T1929" s="2">
        <f t="shared" ca="1" si="1878"/>
        <v>51325551.250638857</v>
      </c>
      <c r="U1929" s="2">
        <f t="shared" ca="1" si="1879"/>
        <v>52410879.022955306</v>
      </c>
      <c r="V1929" s="2">
        <f t="shared" ca="1" si="1880"/>
        <v>53519157.086981416</v>
      </c>
      <c r="W1929" s="2">
        <f t="shared" ca="1" si="1881"/>
        <v>54650870.748541839</v>
      </c>
      <c r="X1929" s="2">
        <f t="shared" ca="1" si="1882"/>
        <v>55806515.575716116</v>
      </c>
      <c r="Y1929" s="2">
        <f t="shared" ca="1" si="1883"/>
        <v>0.1250632319058432</v>
      </c>
      <c r="Z1929" s="2">
        <f t="shared" ca="1" si="1884"/>
        <v>0.12708852466818046</v>
      </c>
      <c r="AA1929" s="2">
        <f t="shared" ca="1" si="1885"/>
        <v>6418939.3187538879</v>
      </c>
      <c r="AB1929" s="2">
        <f t="shared" ca="1" si="1886"/>
        <v>6660821.2915898776</v>
      </c>
      <c r="AC1929" s="2">
        <f t="shared" ca="1" si="1887"/>
        <v>6801670.7156690629</v>
      </c>
      <c r="AD1929" s="2">
        <f t="shared" ca="1" si="1888"/>
        <v>6945498.5352636017</v>
      </c>
      <c r="AE1929" s="2">
        <f t="shared" ca="1" si="1889"/>
        <v>7092367.7313895952</v>
      </c>
      <c r="AF1929" s="2">
        <f t="shared" ca="1" si="1890"/>
        <v>1026511.0250127772</v>
      </c>
      <c r="AG1929" s="2">
        <f t="shared" ca="1" si="1891"/>
        <v>1048217.5804591061</v>
      </c>
      <c r="AH1929" s="2">
        <f t="shared" ca="1" si="1892"/>
        <v>1070383.1417396283</v>
      </c>
      <c r="AI1929" s="2">
        <f t="shared" ca="1" si="1893"/>
        <v>1093017.4149708368</v>
      </c>
      <c r="AJ1929" s="2">
        <f t="shared" ca="1" si="1894"/>
        <v>1116130.3115143224</v>
      </c>
      <c r="AK1929" s="2">
        <f t="shared" ca="1" si="1895"/>
        <v>0</v>
      </c>
      <c r="AL1929" s="2">
        <f t="shared" ca="1" si="1896"/>
        <v>10853.277723164485</v>
      </c>
      <c r="AM1929" s="2">
        <f t="shared" ca="1" si="1897"/>
        <v>11082.780640261099</v>
      </c>
      <c r="AN1929" s="2">
        <f t="shared" ca="1" si="1898"/>
        <v>11317.136615604237</v>
      </c>
      <c r="AO1929" s="2">
        <f t="shared" ca="1" si="1899"/>
        <v>11556.448271742762</v>
      </c>
      <c r="AP1929" s="2">
        <f t="shared" ca="1" si="1900"/>
        <v>2350257.9156226157</v>
      </c>
      <c r="AQ1929" s="2">
        <f t="shared" ca="1" si="1901"/>
        <v>790964.29831080872</v>
      </c>
      <c r="AR1929" s="2">
        <f t="shared" ca="1" si="1902"/>
        <v>848209.90683212061</v>
      </c>
      <c r="AS1929" s="2">
        <f t="shared" ca="1" si="1903"/>
        <v>879067.71115977294</v>
      </c>
      <c r="AT1929" s="2">
        <f t="shared" ca="1" si="1904"/>
        <v>910578.03321423882</v>
      </c>
      <c r="AU1929" s="2">
        <f t="shared" ca="1" si="1905"/>
        <v>942754.67110569077</v>
      </c>
      <c r="AV1929" s="2">
        <f t="shared" ca="1" si="1906"/>
        <v>2251206.0798076862</v>
      </c>
      <c r="AW1929" s="2">
        <f t="shared" ca="1" si="1907"/>
        <v>2403282.6109528714</v>
      </c>
      <c r="AX1929" s="2">
        <f t="shared" ca="1" si="1908"/>
        <v>2490879.1665067845</v>
      </c>
      <c r="AY1929" s="2">
        <f t="shared" ca="1" si="1909"/>
        <v>2580328.0348403067</v>
      </c>
      <c r="AZ1929" s="2">
        <f t="shared" ca="1" si="1910"/>
        <v>2671668.3848752235</v>
      </c>
      <c r="BA1929" s="2">
        <f t="shared" ca="1" si="1911"/>
        <v>53332691.363742456</v>
      </c>
      <c r="BB1929" s="2">
        <f t="shared" ca="1" si="1912"/>
        <v>1066653.8272748492</v>
      </c>
      <c r="BC1929" s="2">
        <f t="shared" ca="1" si="1913"/>
        <v>26152060.696216322</v>
      </c>
      <c r="BD1929" s="2">
        <f t="shared" ca="1" si="1914"/>
        <v>-18997400.261844665</v>
      </c>
      <c r="BE1929" s="2">
        <f t="shared" ca="1" si="1915"/>
        <v>2251206.0798076862</v>
      </c>
      <c r="BF1929" s="2">
        <f t="shared" ca="1" si="1916"/>
        <v>2403282.6109528714</v>
      </c>
      <c r="BG1929" s="2">
        <f t="shared" ca="1" si="1917"/>
        <v>2490879.1665067845</v>
      </c>
      <c r="BH1929" s="2">
        <f t="shared" ca="1" si="1918"/>
        <v>2580328.0348403067</v>
      </c>
      <c r="BI1929" s="2">
        <f t="shared" ca="1" si="1919"/>
        <v>28823729.081091546</v>
      </c>
      <c r="BJ1929" s="2">
        <f t="shared" ca="1" si="1920"/>
        <v>0.18124736955224496</v>
      </c>
      <c r="BK1929" s="2">
        <f t="shared" ca="1" si="1921"/>
        <v>4696649.0173653252</v>
      </c>
    </row>
    <row r="1930" spans="1:63" x14ac:dyDescent="0.3">
      <c r="A1930" s="2">
        <v>1929</v>
      </c>
      <c r="B1930" s="2">
        <f t="shared" ca="1" si="1860"/>
        <v>0.52525453321949955</v>
      </c>
      <c r="C1930" s="2">
        <f t="shared" ca="1" si="1861"/>
        <v>7.0255817460859014</v>
      </c>
      <c r="D1930" s="2">
        <f t="shared" ca="1" si="1862"/>
        <v>0.31428832244670202</v>
      </c>
      <c r="E1930" s="2">
        <f t="shared" ca="1" si="1863"/>
        <v>7.2928282568711866</v>
      </c>
      <c r="F1930" s="2">
        <f t="shared" ca="1" si="1864"/>
        <v>0.48100118087626786</v>
      </c>
      <c r="G1930" s="2">
        <f t="shared" ca="1" si="1865"/>
        <v>3.8570770222738138E-2</v>
      </c>
      <c r="H1930" s="2">
        <f t="shared" ca="1" si="1866"/>
        <v>3.8570770222738138E-2</v>
      </c>
      <c r="I1930" s="2">
        <f t="shared" ca="1" si="1867"/>
        <v>6.8461160016079936E-2</v>
      </c>
      <c r="J1930" s="2">
        <f t="shared" ca="1" si="1868"/>
        <v>2.5632485756816557E-3</v>
      </c>
      <c r="K1930" s="2">
        <f t="shared" ca="1" si="1869"/>
        <v>2.5632485756816557E-3</v>
      </c>
      <c r="L1930" s="2">
        <f t="shared" ca="1" si="1870"/>
        <v>0.34945355040544557</v>
      </c>
      <c r="M1930" s="2">
        <f t="shared" ca="1" si="1871"/>
        <v>-7.7359237255240163E-3</v>
      </c>
      <c r="N1930" s="2">
        <f t="shared" ca="1" si="1872"/>
        <v>-7.7359237255240163E-3</v>
      </c>
      <c r="O1930" s="2">
        <f t="shared" si="1873"/>
        <v>6000000</v>
      </c>
      <c r="P1930" s="2">
        <f t="shared" ca="1" si="1874"/>
        <v>42153490.476515405</v>
      </c>
      <c r="Q1930" s="2">
        <f t="shared" ca="1" si="1875"/>
        <v>1053837.2619128851</v>
      </c>
      <c r="R1930" s="2">
        <f t="shared" ca="1" si="1876"/>
        <v>25292094.285909243</v>
      </c>
      <c r="S1930" s="2">
        <f t="shared" ca="1" si="1877"/>
        <v>16861396.190606162</v>
      </c>
      <c r="T1930" s="2">
        <f t="shared" ca="1" si="1878"/>
        <v>49613203.813723803</v>
      </c>
      <c r="U1930" s="2">
        <f t="shared" ca="1" si="1879"/>
        <v>51526823.298036814</v>
      </c>
      <c r="V1930" s="2">
        <f t="shared" ca="1" si="1880"/>
        <v>53514252.559773013</v>
      </c>
      <c r="W1930" s="2">
        <f t="shared" ca="1" si="1881"/>
        <v>55578338.49889759</v>
      </c>
      <c r="X1930" s="2">
        <f t="shared" ca="1" si="1882"/>
        <v>57722037.822500125</v>
      </c>
      <c r="Y1930" s="2">
        <f t="shared" ca="1" si="1883"/>
        <v>0.12128162428784083</v>
      </c>
      <c r="Z1930" s="2">
        <f t="shared" ca="1" si="1884"/>
        <v>0.12179427400297715</v>
      </c>
      <c r="AA1930" s="2">
        <f t="shared" ca="1" si="1885"/>
        <v>6017169.9446521215</v>
      </c>
      <c r="AB1930" s="2">
        <f t="shared" ca="1" si="1886"/>
        <v>6275672.0352640823</v>
      </c>
      <c r="AC1930" s="2">
        <f t="shared" ca="1" si="1887"/>
        <v>6517729.5393295158</v>
      </c>
      <c r="AD1930" s="2">
        <f t="shared" ca="1" si="1888"/>
        <v>6769123.3877649475</v>
      </c>
      <c r="AE1930" s="2">
        <f t="shared" ca="1" si="1889"/>
        <v>7030213.6905637905</v>
      </c>
      <c r="AF1930" s="2">
        <f t="shared" ca="1" si="1890"/>
        <v>992264.07627447601</v>
      </c>
      <c r="AG1930" s="2">
        <f t="shared" ca="1" si="1891"/>
        <v>1030536.4659607363</v>
      </c>
      <c r="AH1930" s="2">
        <f t="shared" ca="1" si="1892"/>
        <v>1070285.0511954604</v>
      </c>
      <c r="AI1930" s="2">
        <f t="shared" ca="1" si="1893"/>
        <v>1111566.7699779519</v>
      </c>
      <c r="AJ1930" s="2">
        <f t="shared" ca="1" si="1894"/>
        <v>1154440.7564500025</v>
      </c>
      <c r="AK1930" s="2">
        <f t="shared" ca="1" si="1895"/>
        <v>0</v>
      </c>
      <c r="AL1930" s="2">
        <f t="shared" ca="1" si="1896"/>
        <v>19136.194843130113</v>
      </c>
      <c r="AM1930" s="2">
        <f t="shared" ca="1" si="1897"/>
        <v>19874.292617361993</v>
      </c>
      <c r="AN1930" s="2">
        <f t="shared" ca="1" si="1898"/>
        <v>20640.859391245769</v>
      </c>
      <c r="AO1930" s="2">
        <f t="shared" ca="1" si="1899"/>
        <v>21436.993236025348</v>
      </c>
      <c r="AP1930" s="2">
        <f t="shared" ca="1" si="1900"/>
        <v>2276288.4857318318</v>
      </c>
      <c r="AQ1930" s="2">
        <f t="shared" ca="1" si="1901"/>
        <v>714640.5194879116</v>
      </c>
      <c r="AR1930" s="2">
        <f t="shared" ca="1" si="1902"/>
        <v>771900.24172859371</v>
      </c>
      <c r="AS1930" s="2">
        <f t="shared" ca="1" si="1903"/>
        <v>824500.56062457815</v>
      </c>
      <c r="AT1930" s="2">
        <f t="shared" ca="1" si="1904"/>
        <v>879129.71433434275</v>
      </c>
      <c r="AU1930" s="2">
        <f t="shared" ca="1" si="1905"/>
        <v>935865.95657930849</v>
      </c>
      <c r="AV1930" s="2">
        <f t="shared" ca="1" si="1906"/>
        <v>2033976.8631579019</v>
      </c>
      <c r="AW1930" s="2">
        <f t="shared" ca="1" si="1907"/>
        <v>2177810.6469997903</v>
      </c>
      <c r="AX1930" s="2">
        <f t="shared" ca="1" si="1908"/>
        <v>2326781.1491602836</v>
      </c>
      <c r="AY1930" s="2">
        <f t="shared" ca="1" si="1909"/>
        <v>2481497.5583295757</v>
      </c>
      <c r="AZ1930" s="2">
        <f t="shared" ca="1" si="1910"/>
        <v>2642181.498566621</v>
      </c>
      <c r="BA1930" s="2">
        <f t="shared" ca="1" si="1911"/>
        <v>51270141.05438628</v>
      </c>
      <c r="BB1930" s="2">
        <f t="shared" ca="1" si="1912"/>
        <v>1025402.8210877256</v>
      </c>
      <c r="BC1930" s="2">
        <f t="shared" ca="1" si="1913"/>
        <v>24952643.947389312</v>
      </c>
      <c r="BD1930" s="2">
        <f t="shared" ca="1" si="1914"/>
        <v>-18415233.452519048</v>
      </c>
      <c r="BE1930" s="2">
        <f t="shared" ca="1" si="1915"/>
        <v>2033976.8631579019</v>
      </c>
      <c r="BF1930" s="2">
        <f t="shared" ca="1" si="1916"/>
        <v>2177810.6469997903</v>
      </c>
      <c r="BG1930" s="2">
        <f t="shared" ca="1" si="1917"/>
        <v>2326781.1491602836</v>
      </c>
      <c r="BH1930" s="2">
        <f t="shared" ca="1" si="1918"/>
        <v>2481497.5583295757</v>
      </c>
      <c r="BI1930" s="2">
        <f t="shared" ca="1" si="1919"/>
        <v>27594825.445955932</v>
      </c>
      <c r="BJ1930" s="2">
        <f t="shared" ca="1" si="1920"/>
        <v>0.17423092140485297</v>
      </c>
      <c r="BK1930" s="2">
        <f t="shared" ca="1" si="1921"/>
        <v>4028193.0921064466</v>
      </c>
    </row>
    <row r="1931" spans="1:63" x14ac:dyDescent="0.3">
      <c r="A1931" s="2">
        <v>1930</v>
      </c>
      <c r="B1931" s="2">
        <f t="shared" ca="1" si="1860"/>
        <v>9.0809133330725045E-2</v>
      </c>
      <c r="C1931" s="2">
        <f t="shared" ca="1" si="1861"/>
        <v>6.4261669469368199</v>
      </c>
      <c r="D1931" s="2">
        <f t="shared" ca="1" si="1862"/>
        <v>0.34729597960261382</v>
      </c>
      <c r="E1931" s="2">
        <f t="shared" ca="1" si="1863"/>
        <v>7.333421837490012</v>
      </c>
      <c r="F1931" s="2">
        <f t="shared" ca="1" si="1864"/>
        <v>0.57427010985666704</v>
      </c>
      <c r="G1931" s="2">
        <f t="shared" ca="1" si="1865"/>
        <v>4.5617685331532543E-2</v>
      </c>
      <c r="H1931" s="2">
        <f t="shared" ca="1" si="1866"/>
        <v>4.5617685331532543E-2</v>
      </c>
      <c r="I1931" s="2">
        <f t="shared" ca="1" si="1867"/>
        <v>0.32674349501119515</v>
      </c>
      <c r="J1931" s="2">
        <f t="shared" ca="1" si="1868"/>
        <v>7.7553835188974209E-3</v>
      </c>
      <c r="K1931" s="2">
        <f t="shared" ca="1" si="1869"/>
        <v>7.7553835188974209E-3</v>
      </c>
      <c r="L1931" s="2">
        <f t="shared" ca="1" si="1870"/>
        <v>0.23465109279194418</v>
      </c>
      <c r="M1931" s="2">
        <f t="shared" ca="1" si="1871"/>
        <v>-1.4472298185903929E-2</v>
      </c>
      <c r="N1931" s="2">
        <f t="shared" ca="1" si="1872"/>
        <v>-1.4472298185903929E-2</v>
      </c>
      <c r="O1931" s="2">
        <f t="shared" si="1873"/>
        <v>6000000</v>
      </c>
      <c r="P1931" s="2">
        <f t="shared" ca="1" si="1874"/>
        <v>38557001.681620918</v>
      </c>
      <c r="Q1931" s="2">
        <f t="shared" ca="1" si="1875"/>
        <v>963925.04204052303</v>
      </c>
      <c r="R1931" s="2">
        <f t="shared" ca="1" si="1876"/>
        <v>23134201.008972552</v>
      </c>
      <c r="S1931" s="2">
        <f t="shared" ca="1" si="1877"/>
        <v>15422800.672648368</v>
      </c>
      <c r="T1931" s="2">
        <f t="shared" ca="1" si="1878"/>
        <v>49276385.090704806</v>
      </c>
      <c r="U1931" s="2">
        <f t="shared" ca="1" si="1879"/>
        <v>51524259.720047995</v>
      </c>
      <c r="V1931" s="2">
        <f t="shared" ca="1" si="1880"/>
        <v>53874677.186897293</v>
      </c>
      <c r="W1931" s="2">
        <f t="shared" ca="1" si="1881"/>
        <v>56332315.258147061</v>
      </c>
      <c r="X1931" s="2">
        <f t="shared" ca="1" si="1882"/>
        <v>58902065.089589894</v>
      </c>
      <c r="Y1931" s="2">
        <f t="shared" ca="1" si="1883"/>
        <v>0.12387769175944871</v>
      </c>
      <c r="Z1931" s="2">
        <f t="shared" ca="1" si="1884"/>
        <v>0.1254287684632282</v>
      </c>
      <c r="AA1931" s="2">
        <f t="shared" ca="1" si="1885"/>
        <v>6104244.8432862237</v>
      </c>
      <c r="AB1931" s="2">
        <f t="shared" ca="1" si="1886"/>
        <v>6462624.4426651355</v>
      </c>
      <c r="AC1931" s="2">
        <f t="shared" ca="1" si="1887"/>
        <v>6757434.410906503</v>
      </c>
      <c r="AD1931" s="2">
        <f t="shared" ca="1" si="1888"/>
        <v>7065692.9275117051</v>
      </c>
      <c r="AE1931" s="2">
        <f t="shared" ca="1" si="1889"/>
        <v>7388013.4841281679</v>
      </c>
      <c r="AF1931" s="2">
        <f t="shared" ca="1" si="1890"/>
        <v>985527.70181409619</v>
      </c>
      <c r="AG1931" s="2">
        <f t="shared" ca="1" si="1891"/>
        <v>1030485.1944009599</v>
      </c>
      <c r="AH1931" s="2">
        <f t="shared" ca="1" si="1892"/>
        <v>1077493.5437379458</v>
      </c>
      <c r="AI1931" s="2">
        <f t="shared" ca="1" si="1893"/>
        <v>1126646.3051629413</v>
      </c>
      <c r="AJ1931" s="2">
        <f t="shared" ca="1" si="1894"/>
        <v>1178041.3017917979</v>
      </c>
      <c r="AK1931" s="2">
        <f t="shared" ca="1" si="1895"/>
        <v>0</v>
      </c>
      <c r="AL1931" s="2">
        <f t="shared" ca="1" si="1896"/>
        <v>22478.746293431894</v>
      </c>
      <c r="AM1931" s="2">
        <f t="shared" ca="1" si="1897"/>
        <v>23504.174668492975</v>
      </c>
      <c r="AN1931" s="2">
        <f t="shared" ca="1" si="1898"/>
        <v>24576.380712497681</v>
      </c>
      <c r="AO1931" s="2">
        <f t="shared" ca="1" si="1899"/>
        <v>25697.498314428329</v>
      </c>
      <c r="AP1931" s="2">
        <f t="shared" ca="1" si="1900"/>
        <v>2082078.0908075296</v>
      </c>
      <c r="AQ1931" s="2">
        <f t="shared" ca="1" si="1901"/>
        <v>789526.15317279543</v>
      </c>
      <c r="AR1931" s="2">
        <f t="shared" ca="1" si="1902"/>
        <v>871015.90093872801</v>
      </c>
      <c r="AS1931" s="2">
        <f t="shared" ca="1" si="1903"/>
        <v>935444.32185386715</v>
      </c>
      <c r="AT1931" s="2">
        <f t="shared" ca="1" si="1904"/>
        <v>1002811.8182007209</v>
      </c>
      <c r="AU1931" s="2">
        <f t="shared" ca="1" si="1905"/>
        <v>1073252.4637974985</v>
      </c>
      <c r="AV1931" s="2">
        <f t="shared" ca="1" si="1906"/>
        <v>2247112.897491802</v>
      </c>
      <c r="AW1931" s="2">
        <f t="shared" ca="1" si="1907"/>
        <v>2456566.5102244862</v>
      </c>
      <c r="AX1931" s="2">
        <f t="shared" ca="1" si="1908"/>
        <v>2638914.2798386677</v>
      </c>
      <c r="AY1931" s="2">
        <f t="shared" ca="1" si="1909"/>
        <v>2829580.332628015</v>
      </c>
      <c r="AZ1931" s="2">
        <f t="shared" ca="1" si="1910"/>
        <v>3028944.1294169133</v>
      </c>
      <c r="BA1931" s="2">
        <f t="shared" ca="1" si="1911"/>
        <v>54179419.420176171</v>
      </c>
      <c r="BB1931" s="2">
        <f t="shared" ca="1" si="1912"/>
        <v>1083588.3884035235</v>
      </c>
      <c r="BC1931" s="2">
        <f t="shared" ca="1" si="1913"/>
        <v>29961630.022800095</v>
      </c>
      <c r="BD1931" s="2">
        <f t="shared" ca="1" si="1914"/>
        <v>-16886725.71468889</v>
      </c>
      <c r="BE1931" s="2">
        <f t="shared" ca="1" si="1915"/>
        <v>2247112.897491802</v>
      </c>
      <c r="BF1931" s="2">
        <f t="shared" ca="1" si="1916"/>
        <v>2456566.5102244862</v>
      </c>
      <c r="BG1931" s="2">
        <f t="shared" ca="1" si="1917"/>
        <v>2638914.2798386677</v>
      </c>
      <c r="BH1931" s="2">
        <f t="shared" ca="1" si="1918"/>
        <v>2829580.332628015</v>
      </c>
      <c r="BI1931" s="2">
        <f t="shared" ca="1" si="1919"/>
        <v>32990574.152217008</v>
      </c>
      <c r="BJ1931" s="2">
        <f t="shared" ca="1" si="1920"/>
        <v>0.24640252469302748</v>
      </c>
      <c r="BK1931" s="2">
        <f t="shared" ca="1" si="1921"/>
        <v>9474299.1436804719</v>
      </c>
    </row>
    <row r="1932" spans="1:63" x14ac:dyDescent="0.3">
      <c r="A1932" s="2">
        <v>1931</v>
      </c>
      <c r="B1932" s="2">
        <f t="shared" ca="1" si="1860"/>
        <v>0.57473651978922347</v>
      </c>
      <c r="C1932" s="2">
        <f t="shared" ca="1" si="1861"/>
        <v>7.0777598141364946</v>
      </c>
      <c r="D1932" s="2">
        <f t="shared" ca="1" si="1862"/>
        <v>0.66418344167833454</v>
      </c>
      <c r="E1932" s="2">
        <f t="shared" ca="1" si="1863"/>
        <v>7.6804677452086887</v>
      </c>
      <c r="F1932" s="2">
        <f t="shared" ca="1" si="1864"/>
        <v>0.33323044882936559</v>
      </c>
      <c r="G1932" s="2">
        <f t="shared" ca="1" si="1865"/>
        <v>2.7069691677956337E-2</v>
      </c>
      <c r="H1932" s="2">
        <f t="shared" ca="1" si="1866"/>
        <v>2.7069691677956337E-2</v>
      </c>
      <c r="I1932" s="2">
        <f t="shared" ca="1" si="1867"/>
        <v>0.62520625680018627</v>
      </c>
      <c r="J1932" s="2">
        <f t="shared" ca="1" si="1868"/>
        <v>1.1595916720594181E-2</v>
      </c>
      <c r="K1932" s="2">
        <f t="shared" ca="1" si="1869"/>
        <v>1.1595916720594181E-2</v>
      </c>
      <c r="L1932" s="2">
        <f t="shared" ca="1" si="1870"/>
        <v>0.81491971779378514</v>
      </c>
      <c r="M1932" s="2">
        <f t="shared" ca="1" si="1871"/>
        <v>1.7923452853557478E-2</v>
      </c>
      <c r="N1932" s="2">
        <f t="shared" ca="1" si="1872"/>
        <v>1.7923452853557478E-2</v>
      </c>
      <c r="O1932" s="2">
        <f t="shared" si="1873"/>
        <v>6000000</v>
      </c>
      <c r="P1932" s="2">
        <f t="shared" ca="1" si="1874"/>
        <v>42466558.884818971</v>
      </c>
      <c r="Q1932" s="2">
        <f t="shared" ca="1" si="1875"/>
        <v>1061663.9721204743</v>
      </c>
      <c r="R1932" s="2">
        <f t="shared" ca="1" si="1876"/>
        <v>25479935.330891382</v>
      </c>
      <c r="S1932" s="2">
        <f t="shared" ca="1" si="1877"/>
        <v>16986623.553927589</v>
      </c>
      <c r="T1932" s="2">
        <f t="shared" ca="1" si="1878"/>
        <v>50896172.642677873</v>
      </c>
      <c r="U1932" s="2">
        <f t="shared" ca="1" si="1879"/>
        <v>52273916.343703195</v>
      </c>
      <c r="V1932" s="2">
        <f t="shared" ca="1" si="1880"/>
        <v>53688955.14192652</v>
      </c>
      <c r="W1932" s="2">
        <f t="shared" ca="1" si="1881"/>
        <v>55142298.604130097</v>
      </c>
      <c r="X1932" s="2">
        <f t="shared" ca="1" si="1882"/>
        <v>56634983.625757694</v>
      </c>
      <c r="Y1932" s="2">
        <f t="shared" ca="1" si="1883"/>
        <v>0.12579795836029709</v>
      </c>
      <c r="Z1932" s="2">
        <f t="shared" ca="1" si="1884"/>
        <v>0.12811714170441593</v>
      </c>
      <c r="AA1932" s="2">
        <f t="shared" ca="1" si="1885"/>
        <v>6402634.6068020826</v>
      </c>
      <c r="AB1932" s="2">
        <f t="shared" ca="1" si="1886"/>
        <v>6697184.7476510061</v>
      </c>
      <c r="AC1932" s="2">
        <f t="shared" ca="1" si="1887"/>
        <v>6878475.4738802304</v>
      </c>
      <c r="AD1932" s="2">
        <f t="shared" ca="1" si="1888"/>
        <v>7064673.6841725521</v>
      </c>
      <c r="AE1932" s="2">
        <f t="shared" ca="1" si="1889"/>
        <v>7255912.2226084741</v>
      </c>
      <c r="AF1932" s="2">
        <f t="shared" ca="1" si="1890"/>
        <v>1017923.4528535575</v>
      </c>
      <c r="AG1932" s="2">
        <f t="shared" ca="1" si="1891"/>
        <v>1045478.3268740639</v>
      </c>
      <c r="AH1932" s="2">
        <f t="shared" ca="1" si="1892"/>
        <v>1073779.1028385304</v>
      </c>
      <c r="AI1932" s="2">
        <f t="shared" ca="1" si="1893"/>
        <v>1102845.9720826019</v>
      </c>
      <c r="AJ1932" s="2">
        <f t="shared" ca="1" si="1894"/>
        <v>1132699.6725151539</v>
      </c>
      <c r="AK1932" s="2">
        <f t="shared" ca="1" si="1895"/>
        <v>0</v>
      </c>
      <c r="AL1932" s="2">
        <f t="shared" ca="1" si="1896"/>
        <v>13777.437010253221</v>
      </c>
      <c r="AM1932" s="2">
        <f t="shared" ca="1" si="1897"/>
        <v>14150.387982233242</v>
      </c>
      <c r="AN1932" s="2">
        <f t="shared" ca="1" si="1898"/>
        <v>14533.434622035771</v>
      </c>
      <c r="AO1932" s="2">
        <f t="shared" ca="1" si="1899"/>
        <v>14926.850216275976</v>
      </c>
      <c r="AP1932" s="2">
        <f t="shared" ca="1" si="1900"/>
        <v>2293194.1797802243</v>
      </c>
      <c r="AQ1932" s="2">
        <f t="shared" ca="1" si="1901"/>
        <v>803794.41328375821</v>
      </c>
      <c r="AR1932" s="2">
        <f t="shared" ca="1" si="1902"/>
        <v>873213.18265914661</v>
      </c>
      <c r="AS1932" s="2">
        <f t="shared" ca="1" si="1903"/>
        <v>912990.56972798379</v>
      </c>
      <c r="AT1932" s="2">
        <f t="shared" ca="1" si="1904"/>
        <v>953844.71840052877</v>
      </c>
      <c r="AU1932" s="2">
        <f t="shared" ca="1" si="1905"/>
        <v>995804.77628140501</v>
      </c>
      <c r="AV1932" s="2">
        <f t="shared" ca="1" si="1906"/>
        <v>2287722.5608845428</v>
      </c>
      <c r="AW1932" s="2">
        <f t="shared" ca="1" si="1907"/>
        <v>2471521.6213273183</v>
      </c>
      <c r="AX1932" s="2">
        <f t="shared" ca="1" si="1908"/>
        <v>2584361.2335512582</v>
      </c>
      <c r="AY1932" s="2">
        <f t="shared" ca="1" si="1909"/>
        <v>2700255.3792871619</v>
      </c>
      <c r="AZ1932" s="2">
        <f t="shared" ca="1" si="1910"/>
        <v>2819286.7438154146</v>
      </c>
      <c r="BA1932" s="2">
        <f t="shared" ca="1" si="1911"/>
        <v>55728799.787809871</v>
      </c>
      <c r="BB1932" s="2">
        <f t="shared" ca="1" si="1912"/>
        <v>1114575.9957561975</v>
      </c>
      <c r="BC1932" s="2">
        <f t="shared" ca="1" si="1913"/>
        <v>29134288.461162291</v>
      </c>
      <c r="BD1932" s="2">
        <f t="shared" ca="1" si="1914"/>
        <v>-18548287.526048064</v>
      </c>
      <c r="BE1932" s="2">
        <f t="shared" ca="1" si="1915"/>
        <v>2287722.5608845428</v>
      </c>
      <c r="BF1932" s="2">
        <f t="shared" ca="1" si="1916"/>
        <v>2471521.6213273183</v>
      </c>
      <c r="BG1932" s="2">
        <f t="shared" ca="1" si="1917"/>
        <v>2584361.2335512582</v>
      </c>
      <c r="BH1932" s="2">
        <f t="shared" ca="1" si="1918"/>
        <v>2700255.3792871619</v>
      </c>
      <c r="BI1932" s="2">
        <f t="shared" ca="1" si="1919"/>
        <v>31953575.204977706</v>
      </c>
      <c r="BJ1932" s="2">
        <f t="shared" ca="1" si="1920"/>
        <v>0.21108861186995309</v>
      </c>
      <c r="BK1932" s="2">
        <f t="shared" ca="1" si="1921"/>
        <v>7151478.9047019072</v>
      </c>
    </row>
    <row r="1933" spans="1:63" x14ac:dyDescent="0.3">
      <c r="A1933" s="2">
        <v>1932</v>
      </c>
      <c r="B1933" s="2">
        <f t="shared" ca="1" si="1860"/>
        <v>0.65002106050986808</v>
      </c>
      <c r="C1933" s="2">
        <f t="shared" ca="1" si="1861"/>
        <v>7.1633651459685268</v>
      </c>
      <c r="D1933" s="2">
        <f t="shared" ca="1" si="1862"/>
        <v>0.47007312296152237</v>
      </c>
      <c r="E1933" s="2">
        <f t="shared" ca="1" si="1863"/>
        <v>7.4696113891260998</v>
      </c>
      <c r="F1933" s="2">
        <f t="shared" ca="1" si="1864"/>
        <v>0.30966061035845616</v>
      </c>
      <c r="G1933" s="2">
        <f t="shared" ca="1" si="1865"/>
        <v>2.509562249629543E-2</v>
      </c>
      <c r="H1933" s="2">
        <f t="shared" ca="1" si="1866"/>
        <v>2.509562249629543E-2</v>
      </c>
      <c r="I1933" s="2">
        <f t="shared" ca="1" si="1867"/>
        <v>8.6366793388210628E-2</v>
      </c>
      <c r="J1933" s="2">
        <f t="shared" ca="1" si="1868"/>
        <v>3.1826365660008512E-3</v>
      </c>
      <c r="K1933" s="2">
        <f t="shared" ca="1" si="1869"/>
        <v>3.1826365660008512E-3</v>
      </c>
      <c r="L1933" s="2">
        <f t="shared" ca="1" si="1870"/>
        <v>0.21468548141192634</v>
      </c>
      <c r="M1933" s="2">
        <f t="shared" ca="1" si="1871"/>
        <v>-1.5805370551650242E-2</v>
      </c>
      <c r="N1933" s="2">
        <f t="shared" ca="1" si="1872"/>
        <v>-1.5805370551650242E-2</v>
      </c>
      <c r="O1933" s="2">
        <f t="shared" si="1873"/>
        <v>6000000</v>
      </c>
      <c r="P1933" s="2">
        <f t="shared" ca="1" si="1874"/>
        <v>42980190.87581116</v>
      </c>
      <c r="Q1933" s="2">
        <f t="shared" ca="1" si="1875"/>
        <v>1074504.7718952789</v>
      </c>
      <c r="R1933" s="2">
        <f t="shared" ca="1" si="1876"/>
        <v>25788114.525486697</v>
      </c>
      <c r="S1933" s="2">
        <f t="shared" ca="1" si="1877"/>
        <v>17192076.350324463</v>
      </c>
      <c r="T1933" s="2">
        <f t="shared" ca="1" si="1878"/>
        <v>49209731.472417489</v>
      </c>
      <c r="U1933" s="2">
        <f t="shared" ca="1" si="1879"/>
        <v>50444680.316593349</v>
      </c>
      <c r="V1933" s="2">
        <f t="shared" ca="1" si="1880"/>
        <v>51710620.970764883</v>
      </c>
      <c r="W1933" s="2">
        <f t="shared" ca="1" si="1881"/>
        <v>53008331.193696216</v>
      </c>
      <c r="X1933" s="2">
        <f t="shared" ca="1" si="1882"/>
        <v>54338608.262491822</v>
      </c>
      <c r="Y1933" s="2">
        <f t="shared" ca="1" si="1883"/>
        <v>0.12159131828300042</v>
      </c>
      <c r="Z1933" s="2">
        <f t="shared" ca="1" si="1884"/>
        <v>0.12222784559620059</v>
      </c>
      <c r="AA1933" s="2">
        <f t="shared" ca="1" si="1885"/>
        <v>5983476.1220836975</v>
      </c>
      <c r="AB1933" s="2">
        <f t="shared" ca="1" si="1886"/>
        <v>6165744.5968862707</v>
      </c>
      <c r="AC1933" s="2">
        <f t="shared" ca="1" si="1887"/>
        <v>6320477.7956983028</v>
      </c>
      <c r="AD1933" s="2">
        <f t="shared" ca="1" si="1888"/>
        <v>6479094.1204553647</v>
      </c>
      <c r="AE1933" s="2">
        <f t="shared" ca="1" si="1889"/>
        <v>6641691.0206202799</v>
      </c>
      <c r="AF1933" s="2">
        <f t="shared" ca="1" si="1890"/>
        <v>984194.62944834982</v>
      </c>
      <c r="AG1933" s="2">
        <f t="shared" ca="1" si="1891"/>
        <v>1008893.606331867</v>
      </c>
      <c r="AH1933" s="2">
        <f t="shared" ca="1" si="1892"/>
        <v>1034212.4194152977</v>
      </c>
      <c r="AI1933" s="2">
        <f t="shared" ca="1" si="1893"/>
        <v>1060166.6238739244</v>
      </c>
      <c r="AJ1933" s="2">
        <f t="shared" ca="1" si="1894"/>
        <v>1086772.1652498364</v>
      </c>
      <c r="AK1933" s="2">
        <f t="shared" ca="1" si="1895"/>
        <v>0</v>
      </c>
      <c r="AL1933" s="2">
        <f t="shared" ca="1" si="1896"/>
        <v>12349.488441758604</v>
      </c>
      <c r="AM1933" s="2">
        <f t="shared" ca="1" si="1897"/>
        <v>12659.40654171534</v>
      </c>
      <c r="AN1933" s="2">
        <f t="shared" ca="1" si="1898"/>
        <v>12977.102229313328</v>
      </c>
      <c r="AO1933" s="2">
        <f t="shared" ca="1" si="1899"/>
        <v>13302.770687956065</v>
      </c>
      <c r="AP1933" s="2">
        <f t="shared" ca="1" si="1900"/>
        <v>2320930.3072938025</v>
      </c>
      <c r="AQ1933" s="2">
        <f t="shared" ca="1" si="1901"/>
        <v>696371.30818880186</v>
      </c>
      <c r="AR1933" s="2">
        <f t="shared" ca="1" si="1902"/>
        <v>737339.37764775625</v>
      </c>
      <c r="AS1933" s="2">
        <f t="shared" ca="1" si="1903"/>
        <v>770987.11793719267</v>
      </c>
      <c r="AT1933" s="2">
        <f t="shared" ca="1" si="1904"/>
        <v>805479.26921478601</v>
      </c>
      <c r="AU1933" s="2">
        <f t="shared" ca="1" si="1905"/>
        <v>840837.02249992662</v>
      </c>
      <c r="AV1933" s="2">
        <f t="shared" ca="1" si="1906"/>
        <v>1981979.8771527437</v>
      </c>
      <c r="AW1933" s="2">
        <f t="shared" ca="1" si="1907"/>
        <v>2086231.8171710856</v>
      </c>
      <c r="AX1933" s="2">
        <f t="shared" ca="1" si="1908"/>
        <v>2181688.5445102947</v>
      </c>
      <c r="AY1933" s="2">
        <f t="shared" ca="1" si="1909"/>
        <v>2279540.8178435396</v>
      </c>
      <c r="AZ1933" s="2">
        <f t="shared" ca="1" si="1910"/>
        <v>2379848.7548887581</v>
      </c>
      <c r="BA1933" s="2">
        <f t="shared" ca="1" si="1911"/>
        <v>49610850.890681796</v>
      </c>
      <c r="BB1933" s="2">
        <f t="shared" ca="1" si="1912"/>
        <v>992217.01781363599</v>
      </c>
      <c r="BC1933" s="2">
        <f t="shared" ca="1" si="1913"/>
        <v>22830519.347381465</v>
      </c>
      <c r="BD1933" s="2">
        <f t="shared" ca="1" si="1914"/>
        <v>-18766581.122219741</v>
      </c>
      <c r="BE1933" s="2">
        <f t="shared" ca="1" si="1915"/>
        <v>1981979.8771527437</v>
      </c>
      <c r="BF1933" s="2">
        <f t="shared" ca="1" si="1916"/>
        <v>2086231.8171710856</v>
      </c>
      <c r="BG1933" s="2">
        <f t="shared" ca="1" si="1917"/>
        <v>2181688.5445102947</v>
      </c>
      <c r="BH1933" s="2">
        <f t="shared" ca="1" si="1918"/>
        <v>2279540.8178435396</v>
      </c>
      <c r="BI1933" s="2">
        <f t="shared" ca="1" si="1919"/>
        <v>25210368.102270223</v>
      </c>
      <c r="BJ1933" s="2">
        <f t="shared" ca="1" si="1920"/>
        <v>0.1471284021662338</v>
      </c>
      <c r="BK1933" s="2">
        <f t="shared" ca="1" si="1921"/>
        <v>1972787.1167403162</v>
      </c>
    </row>
    <row r="1934" spans="1:63" x14ac:dyDescent="0.3">
      <c r="A1934" s="2">
        <v>1933</v>
      </c>
      <c r="B1934" s="2">
        <f t="shared" ca="1" si="1860"/>
        <v>0.81987719360079803</v>
      </c>
      <c r="C1934" s="2">
        <f t="shared" ca="1" si="1861"/>
        <v>7.3997953575667683</v>
      </c>
      <c r="D1934" s="2">
        <f t="shared" ca="1" si="1862"/>
        <v>0.11391686986959104</v>
      </c>
      <c r="E1934" s="2">
        <f t="shared" ca="1" si="1863"/>
        <v>6.9773193268024896</v>
      </c>
      <c r="F1934" s="2">
        <f t="shared" ca="1" si="1864"/>
        <v>0.33666911655273912</v>
      </c>
      <c r="G1934" s="2">
        <f t="shared" ca="1" si="1865"/>
        <v>2.735287228951612E-2</v>
      </c>
      <c r="H1934" s="2">
        <f t="shared" ca="1" si="1866"/>
        <v>2.735287228951612E-2</v>
      </c>
      <c r="I1934" s="2">
        <f t="shared" ca="1" si="1867"/>
        <v>0.44390105198708241</v>
      </c>
      <c r="J1934" s="2">
        <f t="shared" ca="1" si="1868"/>
        <v>9.2945706365491505E-3</v>
      </c>
      <c r="K1934" s="2">
        <f t="shared" ca="1" si="1869"/>
        <v>9.2945706365491505E-3</v>
      </c>
      <c r="L1934" s="2">
        <f t="shared" ca="1" si="1870"/>
        <v>0.95781342910266287</v>
      </c>
      <c r="M1934" s="2">
        <f t="shared" ca="1" si="1871"/>
        <v>3.4517140050910132E-2</v>
      </c>
      <c r="N1934" s="2">
        <f t="shared" ca="1" si="1872"/>
        <v>3.4517140050910132E-2</v>
      </c>
      <c r="O1934" s="2">
        <f t="shared" si="1873"/>
        <v>6000000</v>
      </c>
      <c r="P1934" s="2">
        <f t="shared" ca="1" si="1874"/>
        <v>44398772.145400614</v>
      </c>
      <c r="Q1934" s="2">
        <f t="shared" ca="1" si="1875"/>
        <v>1109969.3036350154</v>
      </c>
      <c r="R1934" s="2">
        <f t="shared" ca="1" si="1876"/>
        <v>26639263.287240367</v>
      </c>
      <c r="S1934" s="2">
        <f t="shared" ca="1" si="1877"/>
        <v>17759508.858160246</v>
      </c>
      <c r="T1934" s="2">
        <f t="shared" ca="1" si="1878"/>
        <v>51725857.002545506</v>
      </c>
      <c r="U1934" s="2">
        <f t="shared" ca="1" si="1879"/>
        <v>53140707.763201915</v>
      </c>
      <c r="V1934" s="2">
        <f t="shared" ca="1" si="1880"/>
        <v>54594258.75602328</v>
      </c>
      <c r="W1934" s="2">
        <f t="shared" ca="1" si="1881"/>
        <v>56087568.54351759</v>
      </c>
      <c r="X1934" s="2">
        <f t="shared" ca="1" si="1882"/>
        <v>57621724.642917916</v>
      </c>
      <c r="Y1934" s="2">
        <f t="shared" ca="1" si="1883"/>
        <v>0.12464728531827457</v>
      </c>
      <c r="Z1934" s="2">
        <f t="shared" ca="1" si="1884"/>
        <v>0.12650619944558439</v>
      </c>
      <c r="AA1934" s="2">
        <f t="shared" ca="1" si="1885"/>
        <v>6447487.6561285602</v>
      </c>
      <c r="AB1934" s="2">
        <f t="shared" ca="1" si="1886"/>
        <v>6722628.9749711361</v>
      </c>
      <c r="AC1934" s="2">
        <f t="shared" ca="1" si="1887"/>
        <v>6906512.1867733225</v>
      </c>
      <c r="AD1934" s="2">
        <f t="shared" ca="1" si="1888"/>
        <v>7095425.1325841211</v>
      </c>
      <c r="AE1934" s="2">
        <f t="shared" ca="1" si="1889"/>
        <v>7289505.3900755187</v>
      </c>
      <c r="AF1934" s="2">
        <f t="shared" ca="1" si="1890"/>
        <v>1034517.1400509102</v>
      </c>
      <c r="AG1934" s="2">
        <f t="shared" ca="1" si="1891"/>
        <v>1062814.1552640384</v>
      </c>
      <c r="AH1934" s="2">
        <f t="shared" ca="1" si="1892"/>
        <v>1091885.1751204657</v>
      </c>
      <c r="AI1934" s="2">
        <f t="shared" ca="1" si="1893"/>
        <v>1121751.3708703518</v>
      </c>
      <c r="AJ1934" s="2">
        <f t="shared" ca="1" si="1894"/>
        <v>1152434.4928583584</v>
      </c>
      <c r="AK1934" s="2">
        <f t="shared" ca="1" si="1895"/>
        <v>0</v>
      </c>
      <c r="AL1934" s="2">
        <f t="shared" ca="1" si="1896"/>
        <v>14148.50760656409</v>
      </c>
      <c r="AM1934" s="2">
        <f t="shared" ca="1" si="1897"/>
        <v>14535.509928213656</v>
      </c>
      <c r="AN1934" s="2">
        <f t="shared" ca="1" si="1898"/>
        <v>14933.097874943092</v>
      </c>
      <c r="AO1934" s="2">
        <f t="shared" ca="1" si="1899"/>
        <v>15341.560994003266</v>
      </c>
      <c r="AP1934" s="2">
        <f t="shared" ca="1" si="1900"/>
        <v>2397533.6958516329</v>
      </c>
      <c r="AQ1934" s="2">
        <f t="shared" ca="1" si="1901"/>
        <v>784013.57325876446</v>
      </c>
      <c r="AR1934" s="2">
        <f t="shared" ca="1" si="1902"/>
        <v>848193.09220242081</v>
      </c>
      <c r="AS1934" s="2">
        <f t="shared" ca="1" si="1903"/>
        <v>888444.26210831827</v>
      </c>
      <c r="AT1934" s="2">
        <f t="shared" ca="1" si="1904"/>
        <v>929796.41712415556</v>
      </c>
      <c r="AU1934" s="2">
        <f t="shared" ca="1" si="1905"/>
        <v>972279.67235503707</v>
      </c>
      <c r="AV1934" s="2">
        <f t="shared" ca="1" si="1906"/>
        <v>2231423.2469672528</v>
      </c>
      <c r="AW1934" s="2">
        <f t="shared" ca="1" si="1907"/>
        <v>2399939.5240464793</v>
      </c>
      <c r="AX1934" s="2">
        <f t="shared" ca="1" si="1908"/>
        <v>2514113.5437646923</v>
      </c>
      <c r="AY1934" s="2">
        <f t="shared" ca="1" si="1909"/>
        <v>2631410.5508630374</v>
      </c>
      <c r="AZ1934" s="2">
        <f t="shared" ca="1" si="1910"/>
        <v>2751915.9680164871</v>
      </c>
      <c r="BA1934" s="2">
        <f t="shared" ca="1" si="1911"/>
        <v>50861206.841004841</v>
      </c>
      <c r="BB1934" s="2">
        <f t="shared" ca="1" si="1912"/>
        <v>1017224.1368200969</v>
      </c>
      <c r="BC1934" s="2">
        <f t="shared" ca="1" si="1913"/>
        <v>23204719.416944377</v>
      </c>
      <c r="BD1934" s="2">
        <f t="shared" ca="1" si="1914"/>
        <v>-19369478.161795262</v>
      </c>
      <c r="BE1934" s="2">
        <f t="shared" ca="1" si="1915"/>
        <v>2231423.2469672528</v>
      </c>
      <c r="BF1934" s="2">
        <f t="shared" ca="1" si="1916"/>
        <v>2399939.5240464793</v>
      </c>
      <c r="BG1934" s="2">
        <f t="shared" ca="1" si="1917"/>
        <v>2514113.5437646923</v>
      </c>
      <c r="BH1934" s="2">
        <f t="shared" ca="1" si="1918"/>
        <v>2631410.5508630374</v>
      </c>
      <c r="BI1934" s="2">
        <f t="shared" ca="1" si="1919"/>
        <v>25956635.384960864</v>
      </c>
      <c r="BJ1934" s="2">
        <f t="shared" ca="1" si="1920"/>
        <v>0.15645762678401876</v>
      </c>
      <c r="BK1934" s="2">
        <f t="shared" ca="1" si="1921"/>
        <v>2726378.4575725235</v>
      </c>
    </row>
    <row r="1935" spans="1:63" x14ac:dyDescent="0.3">
      <c r="A1935" s="2">
        <v>1934</v>
      </c>
      <c r="B1935" s="2">
        <f t="shared" ca="1" si="1860"/>
        <v>0.87647986678572876</v>
      </c>
      <c r="C1935" s="2">
        <f t="shared" ca="1" si="1861"/>
        <v>7.5029685458358371</v>
      </c>
      <c r="D1935" s="2">
        <f t="shared" ca="1" si="1862"/>
        <v>0.2722408023304882</v>
      </c>
      <c r="E1935" s="2">
        <f t="shared" ca="1" si="1863"/>
        <v>7.2378899678549482</v>
      </c>
      <c r="F1935" s="2">
        <f t="shared" ca="1" si="1864"/>
        <v>1.4200325482257581E-2</v>
      </c>
      <c r="G1935" s="2">
        <f t="shared" ca="1" si="1865"/>
        <v>-2.5751217891927781E-2</v>
      </c>
      <c r="H1935" s="2">
        <f t="shared" ca="1" si="1866"/>
        <v>-0.02</v>
      </c>
      <c r="I1935" s="2">
        <f t="shared" ca="1" si="1867"/>
        <v>0.27808986433946592</v>
      </c>
      <c r="J1935" s="2">
        <f t="shared" ca="1" si="1868"/>
        <v>7.0573732875164668E-3</v>
      </c>
      <c r="K1935" s="2">
        <f t="shared" ca="1" si="1869"/>
        <v>7.0573732875164668E-3</v>
      </c>
      <c r="L1935" s="2">
        <f t="shared" ca="1" si="1870"/>
        <v>0.28567003486395537</v>
      </c>
      <c r="M1935" s="2">
        <f t="shared" ca="1" si="1871"/>
        <v>-1.1321580249272404E-2</v>
      </c>
      <c r="N1935" s="2">
        <f t="shared" ca="1" si="1872"/>
        <v>-1.1321580249272404E-2</v>
      </c>
      <c r="O1935" s="2">
        <f t="shared" si="1873"/>
        <v>6000000</v>
      </c>
      <c r="P1935" s="2">
        <f t="shared" ca="1" si="1874"/>
        <v>45017811.275015019</v>
      </c>
      <c r="Q1935" s="2">
        <f t="shared" ca="1" si="1875"/>
        <v>1125445.2818753754</v>
      </c>
      <c r="R1935" s="2">
        <f t="shared" ca="1" si="1876"/>
        <v>27010686.765009012</v>
      </c>
      <c r="S1935" s="2">
        <f t="shared" ca="1" si="1877"/>
        <v>18007124.510006007</v>
      </c>
      <c r="T1935" s="2">
        <f t="shared" ca="1" si="1878"/>
        <v>49433920.987536378</v>
      </c>
      <c r="U1935" s="2">
        <f t="shared" ca="1" si="1879"/>
        <v>48445242.56778565</v>
      </c>
      <c r="V1935" s="2">
        <f t="shared" ca="1" si="1880"/>
        <v>47476337.716429934</v>
      </c>
      <c r="W1935" s="2">
        <f t="shared" ca="1" si="1881"/>
        <v>46526810.962101333</v>
      </c>
      <c r="X1935" s="2">
        <f t="shared" ca="1" si="1882"/>
        <v>45596274.742859304</v>
      </c>
      <c r="Y1935" s="2">
        <f t="shared" ca="1" si="1883"/>
        <v>0.12352868664375823</v>
      </c>
      <c r="Z1935" s="2">
        <f t="shared" ca="1" si="1884"/>
        <v>0.12494016130126152</v>
      </c>
      <c r="AA1935" s="2">
        <f t="shared" ca="1" si="1885"/>
        <v>6106507.3352416847</v>
      </c>
      <c r="AB1935" s="2">
        <f t="shared" ca="1" si="1886"/>
        <v>6052756.42069788</v>
      </c>
      <c r="AC1935" s="2">
        <f t="shared" ca="1" si="1887"/>
        <v>5931701.2922839224</v>
      </c>
      <c r="AD1935" s="2">
        <f t="shared" ca="1" si="1888"/>
        <v>5813067.266438243</v>
      </c>
      <c r="AE1935" s="2">
        <f t="shared" ca="1" si="1889"/>
        <v>5696805.921109478</v>
      </c>
      <c r="AF1935" s="2">
        <f t="shared" ca="1" si="1890"/>
        <v>988678.4197507276</v>
      </c>
      <c r="AG1935" s="2">
        <f t="shared" ca="1" si="1891"/>
        <v>968904.85135571298</v>
      </c>
      <c r="AH1935" s="2">
        <f t="shared" ca="1" si="1892"/>
        <v>949526.75432859873</v>
      </c>
      <c r="AI1935" s="2">
        <f t="shared" ca="1" si="1893"/>
        <v>930536.21924202668</v>
      </c>
      <c r="AJ1935" s="2">
        <f t="shared" ca="1" si="1894"/>
        <v>911925.4948571861</v>
      </c>
      <c r="AK1935" s="2">
        <f t="shared" ca="1" si="1895"/>
        <v>0</v>
      </c>
      <c r="AL1935" s="2">
        <f t="shared" ca="1" si="1896"/>
        <v>0</v>
      </c>
      <c r="AM1935" s="2">
        <f t="shared" ca="1" si="1897"/>
        <v>0</v>
      </c>
      <c r="AN1935" s="2">
        <f t="shared" ca="1" si="1898"/>
        <v>0</v>
      </c>
      <c r="AO1935" s="2">
        <f t="shared" ca="1" si="1899"/>
        <v>0</v>
      </c>
      <c r="AP1935" s="2">
        <f t="shared" ca="1" si="1900"/>
        <v>2430961.8088508109</v>
      </c>
      <c r="AQ1935" s="2">
        <f t="shared" ca="1" si="1901"/>
        <v>698585.44772643805</v>
      </c>
      <c r="AR1935" s="2">
        <f t="shared" ca="1" si="1902"/>
        <v>689751.33772775263</v>
      </c>
      <c r="AS1935" s="2">
        <f t="shared" ca="1" si="1903"/>
        <v>663315.30956717324</v>
      </c>
      <c r="AT1935" s="2">
        <f t="shared" ca="1" si="1904"/>
        <v>637408.00196980534</v>
      </c>
      <c r="AU1935" s="2">
        <f t="shared" ca="1" si="1905"/>
        <v>612018.84052438498</v>
      </c>
      <c r="AV1935" s="2">
        <f t="shared" ca="1" si="1906"/>
        <v>1988281.6589137083</v>
      </c>
      <c r="AW1935" s="2">
        <f t="shared" ca="1" si="1907"/>
        <v>1963138.4227636037</v>
      </c>
      <c r="AX1935" s="2">
        <f t="shared" ca="1" si="1908"/>
        <v>1887897.4195373394</v>
      </c>
      <c r="AY1935" s="2">
        <f t="shared" ca="1" si="1909"/>
        <v>1814161.2363756001</v>
      </c>
      <c r="AZ1935" s="2">
        <f t="shared" ca="1" si="1910"/>
        <v>1741899.7768770959</v>
      </c>
      <c r="BA1935" s="2">
        <f t="shared" ca="1" si="1911"/>
        <v>41232854.425214961</v>
      </c>
      <c r="BB1935" s="2">
        <f t="shared" ca="1" si="1912"/>
        <v>824657.08850429929</v>
      </c>
      <c r="BC1935" s="2">
        <f t="shared" ca="1" si="1913"/>
        <v>13397510.57170165</v>
      </c>
      <c r="BD1935" s="2">
        <f t="shared" ca="1" si="1914"/>
        <v>-19632569.791881382</v>
      </c>
      <c r="BE1935" s="2">
        <f t="shared" ca="1" si="1915"/>
        <v>1988281.6589137083</v>
      </c>
      <c r="BF1935" s="2">
        <f t="shared" ca="1" si="1916"/>
        <v>1963138.4227636037</v>
      </c>
      <c r="BG1935" s="2">
        <f t="shared" ca="1" si="1917"/>
        <v>1887897.4195373394</v>
      </c>
      <c r="BH1935" s="2">
        <f t="shared" ca="1" si="1918"/>
        <v>1814161.2363756001</v>
      </c>
      <c r="BI1935" s="2">
        <f t="shared" ca="1" si="1919"/>
        <v>15139410.348578745</v>
      </c>
      <c r="BJ1935" s="2">
        <f t="shared" ca="1" si="1920"/>
        <v>3.6955512603151552E-2</v>
      </c>
      <c r="BK1935" s="2">
        <f t="shared" ca="1" si="1921"/>
        <v>-5205108.011785917</v>
      </c>
    </row>
    <row r="1936" spans="1:63" x14ac:dyDescent="0.3">
      <c r="A1936" s="2">
        <v>1935</v>
      </c>
      <c r="B1936" s="2">
        <f t="shared" ca="1" si="1860"/>
        <v>0.75919604972698895</v>
      </c>
      <c r="C1936" s="2">
        <f t="shared" ca="1" si="1861"/>
        <v>7.3060202448586686</v>
      </c>
      <c r="D1936" s="2">
        <f t="shared" ca="1" si="1862"/>
        <v>0.79378224322418722</v>
      </c>
      <c r="E1936" s="2">
        <f t="shared" ca="1" si="1863"/>
        <v>7.8577885756609236</v>
      </c>
      <c r="F1936" s="2">
        <f t="shared" ca="1" si="1864"/>
        <v>0.48449479457711142</v>
      </c>
      <c r="G1936" s="2">
        <f t="shared" ca="1" si="1865"/>
        <v>3.8833732711754755E-2</v>
      </c>
      <c r="H1936" s="2">
        <f t="shared" ca="1" si="1866"/>
        <v>3.8833732711754755E-2</v>
      </c>
      <c r="I1936" s="2">
        <f t="shared" ca="1" si="1867"/>
        <v>0.10004101548670541</v>
      </c>
      <c r="J1936" s="2">
        <f t="shared" ca="1" si="1868"/>
        <v>3.5934105408188541E-3</v>
      </c>
      <c r="K1936" s="2">
        <f t="shared" ca="1" si="1869"/>
        <v>3.5934105408188541E-3</v>
      </c>
      <c r="L1936" s="2">
        <f t="shared" ca="1" si="1870"/>
        <v>0.50057560995171058</v>
      </c>
      <c r="M1936" s="2">
        <f t="shared" ca="1" si="1871"/>
        <v>2.885681361463181E-5</v>
      </c>
      <c r="N1936" s="2">
        <f t="shared" ca="1" si="1872"/>
        <v>2.885681361463181E-5</v>
      </c>
      <c r="O1936" s="2">
        <f t="shared" si="1873"/>
        <v>6000000</v>
      </c>
      <c r="P1936" s="2">
        <f t="shared" ca="1" si="1874"/>
        <v>43836121.469152011</v>
      </c>
      <c r="Q1936" s="2">
        <f t="shared" ca="1" si="1875"/>
        <v>1095903.0367288003</v>
      </c>
      <c r="R1936" s="2">
        <f t="shared" ca="1" si="1876"/>
        <v>26301672.881491207</v>
      </c>
      <c r="S1936" s="2">
        <f t="shared" ca="1" si="1877"/>
        <v>17534448.587660804</v>
      </c>
      <c r="T1936" s="2">
        <f t="shared" ca="1" si="1878"/>
        <v>50001442.840680733</v>
      </c>
      <c r="U1936" s="2">
        <f t="shared" ca="1" si="1879"/>
        <v>51943185.50715781</v>
      </c>
      <c r="V1936" s="2">
        <f t="shared" ca="1" si="1880"/>
        <v>53960333.28933987</v>
      </c>
      <c r="W1936" s="2">
        <f t="shared" ca="1" si="1881"/>
        <v>56055814.449335292</v>
      </c>
      <c r="X1936" s="2">
        <f t="shared" ca="1" si="1882"/>
        <v>58232670.964600496</v>
      </c>
      <c r="Y1936" s="2">
        <f t="shared" ca="1" si="1883"/>
        <v>0.12179670527040942</v>
      </c>
      <c r="Z1936" s="2">
        <f t="shared" ca="1" si="1884"/>
        <v>0.12251538737857319</v>
      </c>
      <c r="AA1936" s="2">
        <f t="shared" ca="1" si="1885"/>
        <v>6090010.9967616145</v>
      </c>
      <c r="AB1936" s="2">
        <f t="shared" ca="1" si="1886"/>
        <v>6363839.4940865282</v>
      </c>
      <c r="AC1936" s="2">
        <f t="shared" ca="1" si="1887"/>
        <v>6610971.1360203931</v>
      </c>
      <c r="AD1936" s="2">
        <f t="shared" ca="1" si="1888"/>
        <v>6867699.8220817335</v>
      </c>
      <c r="AE1936" s="2">
        <f t="shared" ca="1" si="1889"/>
        <v>7134398.2413170207</v>
      </c>
      <c r="AF1936" s="2">
        <f t="shared" ca="1" si="1890"/>
        <v>1000028.8568136147</v>
      </c>
      <c r="AG1936" s="2">
        <f t="shared" ca="1" si="1891"/>
        <v>1038863.7101431562</v>
      </c>
      <c r="AH1936" s="2">
        <f t="shared" ca="1" si="1892"/>
        <v>1079206.6657867974</v>
      </c>
      <c r="AI1936" s="2">
        <f t="shared" ca="1" si="1893"/>
        <v>1121116.2889867059</v>
      </c>
      <c r="AJ1936" s="2">
        <f t="shared" ca="1" si="1894"/>
        <v>1164653.4192920099</v>
      </c>
      <c r="AK1936" s="2">
        <f t="shared" ca="1" si="1895"/>
        <v>0</v>
      </c>
      <c r="AL1936" s="2">
        <f t="shared" ca="1" si="1896"/>
        <v>19417.426664770766</v>
      </c>
      <c r="AM1936" s="2">
        <f t="shared" ca="1" si="1897"/>
        <v>20171.477821820601</v>
      </c>
      <c r="AN1936" s="2">
        <f t="shared" ca="1" si="1898"/>
        <v>20954.811599954217</v>
      </c>
      <c r="AO1936" s="2">
        <f t="shared" ca="1" si="1899"/>
        <v>21768.565152652041</v>
      </c>
      <c r="AP1936" s="2">
        <f t="shared" ca="1" si="1900"/>
        <v>2367150.5593342087</v>
      </c>
      <c r="AQ1936" s="2">
        <f t="shared" ca="1" si="1901"/>
        <v>707936.21095958562</v>
      </c>
      <c r="AR1936" s="2">
        <f t="shared" ca="1" si="1902"/>
        <v>769034.55839838239</v>
      </c>
      <c r="AS1936" s="2">
        <f t="shared" ca="1" si="1903"/>
        <v>822799.61683384073</v>
      </c>
      <c r="AT1936" s="2">
        <f t="shared" ca="1" si="1904"/>
        <v>878652.57317781285</v>
      </c>
      <c r="AU1936" s="2">
        <f t="shared" ca="1" si="1905"/>
        <v>936674.50829960848</v>
      </c>
      <c r="AV1936" s="2">
        <f t="shared" ca="1" si="1906"/>
        <v>2014895.3696542052</v>
      </c>
      <c r="AW1936" s="2">
        <f t="shared" ca="1" si="1907"/>
        <v>2169373.2395460098</v>
      </c>
      <c r="AX1936" s="2">
        <f t="shared" ca="1" si="1908"/>
        <v>2321642.8162437263</v>
      </c>
      <c r="AY1936" s="2">
        <f t="shared" ca="1" si="1909"/>
        <v>2479825.5889830519</v>
      </c>
      <c r="AZ1936" s="2">
        <f t="shared" ca="1" si="1910"/>
        <v>2644151.1892385413</v>
      </c>
      <c r="BA1936" s="2">
        <f t="shared" ca="1" si="1911"/>
        <v>56060592.994836271</v>
      </c>
      <c r="BB1936" s="2">
        <f t="shared" ca="1" si="1912"/>
        <v>1121211.8598967255</v>
      </c>
      <c r="BC1936" s="2">
        <f t="shared" ca="1" si="1913"/>
        <v>28637708.253448337</v>
      </c>
      <c r="BD1936" s="2">
        <f t="shared" ca="1" si="1914"/>
        <v>-19130351.624389604</v>
      </c>
      <c r="BE1936" s="2">
        <f t="shared" ca="1" si="1915"/>
        <v>2014895.3696542052</v>
      </c>
      <c r="BF1936" s="2">
        <f t="shared" ca="1" si="1916"/>
        <v>2169373.2395460098</v>
      </c>
      <c r="BG1936" s="2">
        <f t="shared" ca="1" si="1917"/>
        <v>2321642.8162437263</v>
      </c>
      <c r="BH1936" s="2">
        <f t="shared" ca="1" si="1918"/>
        <v>2479825.5889830519</v>
      </c>
      <c r="BI1936" s="2">
        <f t="shared" ca="1" si="1919"/>
        <v>31281859.442686878</v>
      </c>
      <c r="BJ1936" s="2">
        <f t="shared" ca="1" si="1920"/>
        <v>0.18728504700025628</v>
      </c>
      <c r="BK1936" s="2">
        <f t="shared" ca="1" si="1921"/>
        <v>5376713.7999698445</v>
      </c>
    </row>
    <row r="1937" spans="1:63" x14ac:dyDescent="0.3">
      <c r="A1937" s="2">
        <v>1936</v>
      </c>
      <c r="B1937" s="2">
        <f t="shared" ca="1" si="1860"/>
        <v>0.26784110042287135</v>
      </c>
      <c r="C1937" s="2">
        <f t="shared" ca="1" si="1861"/>
        <v>6.7319031362453252</v>
      </c>
      <c r="D1937" s="2">
        <f t="shared" ca="1" si="1862"/>
        <v>0.21667706060960767</v>
      </c>
      <c r="E1937" s="2">
        <f t="shared" ca="1" si="1863"/>
        <v>7.158296377947817</v>
      </c>
      <c r="F1937" s="2">
        <f t="shared" ca="1" si="1864"/>
        <v>0.30423428724773771</v>
      </c>
      <c r="G1937" s="2">
        <f t="shared" ca="1" si="1865"/>
        <v>2.4632179358869827E-2</v>
      </c>
      <c r="H1937" s="2">
        <f t="shared" ca="1" si="1866"/>
        <v>2.4632179358869827E-2</v>
      </c>
      <c r="I1937" s="2">
        <f t="shared" ca="1" si="1867"/>
        <v>0.8763617542482347</v>
      </c>
      <c r="J1937" s="2">
        <f t="shared" ca="1" si="1868"/>
        <v>1.5784949442818295E-2</v>
      </c>
      <c r="K1937" s="2">
        <f t="shared" ca="1" si="1869"/>
        <v>1.5784949442818295E-2</v>
      </c>
      <c r="L1937" s="2">
        <f t="shared" ca="1" si="1870"/>
        <v>0.71781815217244893</v>
      </c>
      <c r="M1937" s="2">
        <f t="shared" ca="1" si="1871"/>
        <v>1.1527442081712407E-2</v>
      </c>
      <c r="N1937" s="2">
        <f t="shared" ca="1" si="1872"/>
        <v>1.1527442081712407E-2</v>
      </c>
      <c r="O1937" s="2">
        <f t="shared" si="1873"/>
        <v>6000000</v>
      </c>
      <c r="P1937" s="2">
        <f t="shared" ca="1" si="1874"/>
        <v>40391418.817471951</v>
      </c>
      <c r="Q1937" s="2">
        <f t="shared" ca="1" si="1875"/>
        <v>1009785.4704367989</v>
      </c>
      <c r="R1937" s="2">
        <f t="shared" ca="1" si="1876"/>
        <v>24234851.290483169</v>
      </c>
      <c r="S1937" s="2">
        <f t="shared" ca="1" si="1877"/>
        <v>16156567.526988782</v>
      </c>
      <c r="T1937" s="2">
        <f t="shared" ca="1" si="1878"/>
        <v>50576372.104085624</v>
      </c>
      <c r="U1937" s="2">
        <f t="shared" ca="1" si="1879"/>
        <v>51822178.373074397</v>
      </c>
      <c r="V1937" s="2">
        <f t="shared" ca="1" si="1880"/>
        <v>53098671.565527305</v>
      </c>
      <c r="W1937" s="2">
        <f t="shared" ca="1" si="1881"/>
        <v>54406607.567247093</v>
      </c>
      <c r="X1937" s="2">
        <f t="shared" ca="1" si="1882"/>
        <v>55746760.883151166</v>
      </c>
      <c r="Y1937" s="2">
        <f t="shared" ca="1" si="1883"/>
        <v>0.12789247472140913</v>
      </c>
      <c r="Z1937" s="2">
        <f t="shared" ca="1" si="1884"/>
        <v>0.1310494646099728</v>
      </c>
      <c r="AA1937" s="2">
        <f t="shared" ca="1" si="1885"/>
        <v>6468337.3908223528</v>
      </c>
      <c r="AB1937" s="2">
        <f t="shared" ca="1" si="1886"/>
        <v>6791268.7307139114</v>
      </c>
      <c r="AC1937" s="2">
        <f t="shared" ca="1" si="1887"/>
        <v>6958552.4801631393</v>
      </c>
      <c r="AD1937" s="2">
        <f t="shared" ca="1" si="1888"/>
        <v>7129956.7929326259</v>
      </c>
      <c r="AE1937" s="2">
        <f t="shared" ca="1" si="1889"/>
        <v>7305583.1674771346</v>
      </c>
      <c r="AF1937" s="2">
        <f t="shared" ca="1" si="1890"/>
        <v>1011527.4420817125</v>
      </c>
      <c r="AG1937" s="2">
        <f t="shared" ca="1" si="1891"/>
        <v>1036443.567461488</v>
      </c>
      <c r="AH1937" s="2">
        <f t="shared" ca="1" si="1892"/>
        <v>1061973.4313105461</v>
      </c>
      <c r="AI1937" s="2">
        <f t="shared" ca="1" si="1893"/>
        <v>1088132.1513449419</v>
      </c>
      <c r="AJ1937" s="2">
        <f t="shared" ca="1" si="1894"/>
        <v>1114935.2176630234</v>
      </c>
      <c r="AK1937" s="2">
        <f t="shared" ca="1" si="1895"/>
        <v>0</v>
      </c>
      <c r="AL1937" s="2">
        <f t="shared" ca="1" si="1896"/>
        <v>12458.062689887733</v>
      </c>
      <c r="AM1937" s="2">
        <f t="shared" ca="1" si="1897"/>
        <v>12764.931924529075</v>
      </c>
      <c r="AN1937" s="2">
        <f t="shared" ca="1" si="1898"/>
        <v>13079.360017197878</v>
      </c>
      <c r="AO1937" s="2">
        <f t="shared" ca="1" si="1899"/>
        <v>13401.533159040735</v>
      </c>
      <c r="AP1937" s="2">
        <f t="shared" ca="1" si="1900"/>
        <v>2181136.6161434851</v>
      </c>
      <c r="AQ1937" s="2">
        <f t="shared" ca="1" si="1901"/>
        <v>851675.06647526054</v>
      </c>
      <c r="AR1937" s="2">
        <f t="shared" ca="1" si="1902"/>
        <v>929159.02224832401</v>
      </c>
      <c r="AS1937" s="2">
        <f t="shared" ca="1" si="1903"/>
        <v>966015.03250436799</v>
      </c>
      <c r="AT1937" s="2">
        <f t="shared" ca="1" si="1904"/>
        <v>1003778.8866154917</v>
      </c>
      <c r="AU1937" s="2">
        <f t="shared" ca="1" si="1905"/>
        <v>1042472.9467543628</v>
      </c>
      <c r="AV1937" s="2">
        <f t="shared" ca="1" si="1906"/>
        <v>2423998.2661218946</v>
      </c>
      <c r="AW1937" s="2">
        <f t="shared" ca="1" si="1907"/>
        <v>2632071.4621707271</v>
      </c>
      <c r="AX1937" s="2">
        <f t="shared" ca="1" si="1908"/>
        <v>2736662.4682802106</v>
      </c>
      <c r="AY1937" s="2">
        <f t="shared" ca="1" si="1909"/>
        <v>2843829.7788115093</v>
      </c>
      <c r="AZ1937" s="2">
        <f t="shared" ca="1" si="1910"/>
        <v>2953636.8537572226</v>
      </c>
      <c r="BA1937" s="2">
        <f t="shared" ca="1" si="1911"/>
        <v>52295529.52654811</v>
      </c>
      <c r="BB1937" s="2">
        <f t="shared" ca="1" si="1912"/>
        <v>1045910.5905309622</v>
      </c>
      <c r="BC1937" s="2">
        <f t="shared" ca="1" si="1913"/>
        <v>27014767.645533979</v>
      </c>
      <c r="BD1937" s="2">
        <f t="shared" ca="1" si="1914"/>
        <v>-17666352.997425582</v>
      </c>
      <c r="BE1937" s="2">
        <f t="shared" ca="1" si="1915"/>
        <v>2423998.2661218946</v>
      </c>
      <c r="BF1937" s="2">
        <f t="shared" ca="1" si="1916"/>
        <v>2632071.4621707271</v>
      </c>
      <c r="BG1937" s="2">
        <f t="shared" ca="1" si="1917"/>
        <v>2736662.4682802106</v>
      </c>
      <c r="BH1937" s="2">
        <f t="shared" ca="1" si="1918"/>
        <v>2843829.7788115093</v>
      </c>
      <c r="BI1937" s="2">
        <f t="shared" ca="1" si="1919"/>
        <v>29968404.4992912</v>
      </c>
      <c r="BJ1937" s="2">
        <f t="shared" ca="1" si="1920"/>
        <v>0.21944803872670771</v>
      </c>
      <c r="BK1937" s="2">
        <f t="shared" ca="1" si="1921"/>
        <v>7356287.4858047478</v>
      </c>
    </row>
    <row r="1938" spans="1:63" x14ac:dyDescent="0.3">
      <c r="A1938" s="2">
        <v>1937</v>
      </c>
      <c r="B1938" s="2">
        <f t="shared" ca="1" si="1860"/>
        <v>0.26860820199018542</v>
      </c>
      <c r="C1938" s="2">
        <f t="shared" ca="1" si="1861"/>
        <v>6.7329504785320564</v>
      </c>
      <c r="D1938" s="2">
        <f t="shared" ca="1" si="1862"/>
        <v>0.83464096994749448</v>
      </c>
      <c r="E1938" s="2">
        <f t="shared" ca="1" si="1863"/>
        <v>7.9249190838629655</v>
      </c>
      <c r="F1938" s="2">
        <f t="shared" ca="1" si="1864"/>
        <v>0.91899272515966679</v>
      </c>
      <c r="G1938" s="2">
        <f t="shared" ca="1" si="1865"/>
        <v>8.1949844363903318E-2</v>
      </c>
      <c r="H1938" s="2">
        <f t="shared" ca="1" si="1866"/>
        <v>8.1949844363903318E-2</v>
      </c>
      <c r="I1938" s="2">
        <f t="shared" ca="1" si="1867"/>
        <v>0.67779447557764672</v>
      </c>
      <c r="J1938" s="2">
        <f t="shared" ca="1" si="1868"/>
        <v>1.2307701264724889E-2</v>
      </c>
      <c r="K1938" s="2">
        <f t="shared" ca="1" si="1869"/>
        <v>1.2307701264724889E-2</v>
      </c>
      <c r="L1938" s="2">
        <f t="shared" ca="1" si="1870"/>
        <v>0.90306996592800504</v>
      </c>
      <c r="M1938" s="2">
        <f t="shared" ca="1" si="1871"/>
        <v>2.5984888026358371E-2</v>
      </c>
      <c r="N1938" s="2">
        <f t="shared" ca="1" si="1872"/>
        <v>2.5984888026358371E-2</v>
      </c>
      <c r="O1938" s="2">
        <f t="shared" si="1873"/>
        <v>6000000</v>
      </c>
      <c r="P1938" s="2">
        <f t="shared" ca="1" si="1874"/>
        <v>40397702.871192336</v>
      </c>
      <c r="Q1938" s="2">
        <f t="shared" ca="1" si="1875"/>
        <v>1009942.5717798085</v>
      </c>
      <c r="R1938" s="2">
        <f t="shared" ca="1" si="1876"/>
        <v>24238621.7227154</v>
      </c>
      <c r="S1938" s="2">
        <f t="shared" ca="1" si="1877"/>
        <v>16159081.148476936</v>
      </c>
      <c r="T1938" s="2">
        <f t="shared" ca="1" si="1878"/>
        <v>51299244.401317924</v>
      </c>
      <c r="U1938" s="2">
        <f t="shared" ca="1" si="1879"/>
        <v>55503209.495991766</v>
      </c>
      <c r="V1938" s="2">
        <f t="shared" ca="1" si="1880"/>
        <v>60051688.875885412</v>
      </c>
      <c r="W1938" s="2">
        <f t="shared" ca="1" si="1881"/>
        <v>64972915.433053762</v>
      </c>
      <c r="X1938" s="2">
        <f t="shared" ca="1" si="1882"/>
        <v>70297435.740661561</v>
      </c>
      <c r="Y1938" s="2">
        <f t="shared" ca="1" si="1883"/>
        <v>0.12615385063236245</v>
      </c>
      <c r="Z1938" s="2">
        <f t="shared" ca="1" si="1884"/>
        <v>0.12861539088530741</v>
      </c>
      <c r="AA1938" s="2">
        <f t="shared" ca="1" si="1885"/>
        <v>6471597.2157569174</v>
      </c>
      <c r="AB1938" s="2">
        <f t="shared" ca="1" si="1886"/>
        <v>7138566.9847160866</v>
      </c>
      <c r="AC1938" s="2">
        <f t="shared" ca="1" si="1887"/>
        <v>7723571.4380948693</v>
      </c>
      <c r="AD1938" s="2">
        <f t="shared" ca="1" si="1888"/>
        <v>8356516.915380232</v>
      </c>
      <c r="AE1938" s="2">
        <f t="shared" ca="1" si="1889"/>
        <v>9041332.1760199666</v>
      </c>
      <c r="AF1938" s="2">
        <f t="shared" ca="1" si="1890"/>
        <v>1025984.8880263586</v>
      </c>
      <c r="AG1938" s="2">
        <f t="shared" ca="1" si="1891"/>
        <v>1110064.1899198354</v>
      </c>
      <c r="AH1938" s="2">
        <f t="shared" ca="1" si="1892"/>
        <v>1201033.7775177083</v>
      </c>
      <c r="AI1938" s="2">
        <f t="shared" ca="1" si="1893"/>
        <v>1299458.3086610753</v>
      </c>
      <c r="AJ1938" s="2">
        <f t="shared" ca="1" si="1894"/>
        <v>1405948.7148132313</v>
      </c>
      <c r="AK1938" s="2">
        <f t="shared" ca="1" si="1895"/>
        <v>0</v>
      </c>
      <c r="AL1938" s="2">
        <f t="shared" ca="1" si="1896"/>
        <v>42039.650946738424</v>
      </c>
      <c r="AM1938" s="2">
        <f t="shared" ca="1" si="1897"/>
        <v>45484.793798936458</v>
      </c>
      <c r="AN1938" s="2">
        <f t="shared" ca="1" si="1898"/>
        <v>49212.2655716835</v>
      </c>
      <c r="AO1938" s="2">
        <f t="shared" ca="1" si="1899"/>
        <v>53245.203076077996</v>
      </c>
      <c r="AP1938" s="2">
        <f t="shared" ca="1" si="1900"/>
        <v>2181475.955044386</v>
      </c>
      <c r="AQ1938" s="2">
        <f t="shared" ca="1" si="1901"/>
        <v>848675.45689840498</v>
      </c>
      <c r="AR1938" s="2">
        <f t="shared" ca="1" si="1902"/>
        <v>1000226.9783354849</v>
      </c>
      <c r="AS1938" s="2">
        <f t="shared" ca="1" si="1903"/>
        <v>1128676.0434385217</v>
      </c>
      <c r="AT1938" s="2">
        <f t="shared" ca="1" si="1904"/>
        <v>1267651.4894354404</v>
      </c>
      <c r="AU1938" s="2">
        <f t="shared" ca="1" si="1905"/>
        <v>1418015.9516022108</v>
      </c>
      <c r="AV1938" s="2">
        <f t="shared" ca="1" si="1906"/>
        <v>2415460.9157877676</v>
      </c>
      <c r="AW1938" s="2">
        <f t="shared" ca="1" si="1907"/>
        <v>2804760.2104696417</v>
      </c>
      <c r="AX1938" s="2">
        <f t="shared" ca="1" si="1908"/>
        <v>3166900.8682953166</v>
      </c>
      <c r="AY1938" s="2">
        <f t="shared" ca="1" si="1909"/>
        <v>3558718.8966676472</v>
      </c>
      <c r="AZ1938" s="2">
        <f t="shared" ca="1" si="1910"/>
        <v>3982646.3514840612</v>
      </c>
      <c r="BA1938" s="2">
        <f t="shared" ca="1" si="1911"/>
        <v>71651825.905284911</v>
      </c>
      <c r="BB1938" s="2">
        <f t="shared" ca="1" si="1912"/>
        <v>1433036.5181056983</v>
      </c>
      <c r="BC1938" s="2">
        <f t="shared" ca="1" si="1913"/>
        <v>45980167.664463811</v>
      </c>
      <c r="BD1938" s="2">
        <f t="shared" ca="1" si="1914"/>
        <v>-17669023.720256746</v>
      </c>
      <c r="BE1938" s="2">
        <f t="shared" ca="1" si="1915"/>
        <v>2415460.9157877676</v>
      </c>
      <c r="BF1938" s="2">
        <f t="shared" ca="1" si="1916"/>
        <v>2804760.2104696417</v>
      </c>
      <c r="BG1938" s="2">
        <f t="shared" ca="1" si="1917"/>
        <v>3166900.8682953166</v>
      </c>
      <c r="BH1938" s="2">
        <f t="shared" ca="1" si="1918"/>
        <v>3558718.8966676472</v>
      </c>
      <c r="BI1938" s="2">
        <f t="shared" ca="1" si="1919"/>
        <v>49962814.015947871</v>
      </c>
      <c r="BJ1938" s="2">
        <f t="shared" ca="1" si="1920"/>
        <v>0.33404350142058981</v>
      </c>
      <c r="BK1938" s="2">
        <f t="shared" ca="1" si="1921"/>
        <v>19589585.619033113</v>
      </c>
    </row>
    <row r="1939" spans="1:63" x14ac:dyDescent="0.3">
      <c r="A1939" s="2">
        <v>1938</v>
      </c>
      <c r="B1939" s="2">
        <f t="shared" ca="1" si="1860"/>
        <v>0.67762487663901894</v>
      </c>
      <c r="C1939" s="2">
        <f t="shared" ca="1" si="1861"/>
        <v>7.197036584443623</v>
      </c>
      <c r="D1939" s="2">
        <f t="shared" ca="1" si="1862"/>
        <v>0.35895852648393178</v>
      </c>
      <c r="E1939" s="2">
        <f t="shared" ca="1" si="1863"/>
        <v>7.3472998601250108</v>
      </c>
      <c r="F1939" s="2">
        <f t="shared" ca="1" si="1864"/>
        <v>0.17662387622769016</v>
      </c>
      <c r="G1939" s="2">
        <f t="shared" ca="1" si="1865"/>
        <v>1.2150755776404638E-2</v>
      </c>
      <c r="H1939" s="2">
        <f t="shared" ca="1" si="1866"/>
        <v>1.2150755776404638E-2</v>
      </c>
      <c r="I1939" s="2">
        <f t="shared" ca="1" si="1867"/>
        <v>0.56656794670107102</v>
      </c>
      <c r="J1939" s="2">
        <f t="shared" ca="1" si="1868"/>
        <v>1.0838215217262002E-2</v>
      </c>
      <c r="K1939" s="2">
        <f t="shared" ca="1" si="1869"/>
        <v>1.0838215217262002E-2</v>
      </c>
      <c r="L1939" s="2">
        <f t="shared" ca="1" si="1870"/>
        <v>0.41869832103806726</v>
      </c>
      <c r="M1939" s="2">
        <f t="shared" ca="1" si="1871"/>
        <v>-4.1044922143749184E-3</v>
      </c>
      <c r="N1939" s="2">
        <f t="shared" ca="1" si="1872"/>
        <v>-4.1044922143749184E-3</v>
      </c>
      <c r="O1939" s="2">
        <f t="shared" si="1873"/>
        <v>6000000</v>
      </c>
      <c r="P1939" s="2">
        <f t="shared" ca="1" si="1874"/>
        <v>43182219.506661735</v>
      </c>
      <c r="Q1939" s="2">
        <f t="shared" ca="1" si="1875"/>
        <v>1079555.4876665433</v>
      </c>
      <c r="R1939" s="2">
        <f t="shared" ca="1" si="1876"/>
        <v>25909331.703997042</v>
      </c>
      <c r="S1939" s="2">
        <f t="shared" ca="1" si="1877"/>
        <v>17272887.802664693</v>
      </c>
      <c r="T1939" s="2">
        <f t="shared" ca="1" si="1878"/>
        <v>49794775.389281251</v>
      </c>
      <c r="U1939" s="2">
        <f t="shared" ca="1" si="1879"/>
        <v>50399819.543977335</v>
      </c>
      <c r="V1939" s="2">
        <f t="shared" ca="1" si="1880"/>
        <v>51012215.44243107</v>
      </c>
      <c r="W1939" s="2">
        <f t="shared" ca="1" si="1881"/>
        <v>51632052.413885392</v>
      </c>
      <c r="X1939" s="2">
        <f t="shared" ca="1" si="1882"/>
        <v>52259420.873001039</v>
      </c>
      <c r="Y1939" s="2">
        <f t="shared" ca="1" si="1883"/>
        <v>0.12541910760863101</v>
      </c>
      <c r="Z1939" s="2">
        <f t="shared" ca="1" si="1884"/>
        <v>0.12758675065208339</v>
      </c>
      <c r="AA1939" s="2">
        <f t="shared" ca="1" si="1885"/>
        <v>6245216.2928958759</v>
      </c>
      <c r="AB1939" s="2">
        <f t="shared" ca="1" si="1886"/>
        <v>6430349.209067435</v>
      </c>
      <c r="AC1939" s="2">
        <f t="shared" ca="1" si="1887"/>
        <v>6508482.8118638108</v>
      </c>
      <c r="AD1939" s="2">
        <f t="shared" ca="1" si="1888"/>
        <v>6587565.7969856961</v>
      </c>
      <c r="AE1939" s="2">
        <f t="shared" ca="1" si="1889"/>
        <v>6667609.7001458658</v>
      </c>
      <c r="AF1939" s="2">
        <f t="shared" ca="1" si="1890"/>
        <v>995895.50778562506</v>
      </c>
      <c r="AG1939" s="2">
        <f t="shared" ca="1" si="1891"/>
        <v>1007996.3908795468</v>
      </c>
      <c r="AH1939" s="2">
        <f t="shared" ca="1" si="1892"/>
        <v>1020244.3088486214</v>
      </c>
      <c r="AI1939" s="2">
        <f t="shared" ca="1" si="1893"/>
        <v>1032641.0482777079</v>
      </c>
      <c r="AJ1939" s="2">
        <f t="shared" ca="1" si="1894"/>
        <v>1045188.4174600207</v>
      </c>
      <c r="AK1939" s="2">
        <f t="shared" ca="1" si="1895"/>
        <v>0</v>
      </c>
      <c r="AL1939" s="2">
        <f t="shared" ca="1" si="1896"/>
        <v>6050.4415469608457</v>
      </c>
      <c r="AM1939" s="2">
        <f t="shared" ca="1" si="1897"/>
        <v>6123.9589845373484</v>
      </c>
      <c r="AN1939" s="2">
        <f t="shared" ca="1" si="1898"/>
        <v>6198.3697145432234</v>
      </c>
      <c r="AO1939" s="2">
        <f t="shared" ca="1" si="1899"/>
        <v>6273.6845911564678</v>
      </c>
      <c r="AP1939" s="2">
        <f t="shared" ca="1" si="1900"/>
        <v>2331839.8533597337</v>
      </c>
      <c r="AQ1939" s="2">
        <f t="shared" ca="1" si="1901"/>
        <v>758545.04225513455</v>
      </c>
      <c r="AR1939" s="2">
        <f t="shared" ca="1" si="1902"/>
        <v>803533.37085532036</v>
      </c>
      <c r="AS1939" s="2">
        <f t="shared" ca="1" si="1903"/>
        <v>820663.6489104185</v>
      </c>
      <c r="AT1939" s="2">
        <f t="shared" ca="1" si="1904"/>
        <v>838002.07279054623</v>
      </c>
      <c r="AU1939" s="2">
        <f t="shared" ca="1" si="1905"/>
        <v>855551.17162478901</v>
      </c>
      <c r="AV1939" s="2">
        <f t="shared" ca="1" si="1906"/>
        <v>2158935.889495383</v>
      </c>
      <c r="AW1939" s="2">
        <f t="shared" ca="1" si="1907"/>
        <v>2280929.152425874</v>
      </c>
      <c r="AX1939" s="2">
        <f t="shared" ca="1" si="1908"/>
        <v>2329611.0417605005</v>
      </c>
      <c r="AY1939" s="2">
        <f t="shared" ca="1" si="1909"/>
        <v>2378884.452843165</v>
      </c>
      <c r="AZ1939" s="2">
        <f t="shared" ca="1" si="1910"/>
        <v>2428756.573110166</v>
      </c>
      <c r="BA1939" s="2">
        <f t="shared" ca="1" si="1911"/>
        <v>48988927.817249887</v>
      </c>
      <c r="BB1939" s="2">
        <f t="shared" ca="1" si="1912"/>
        <v>979778.55634499772</v>
      </c>
      <c r="BC1939" s="2">
        <f t="shared" ca="1" si="1913"/>
        <v>22099817.556907848</v>
      </c>
      <c r="BD1939" s="2">
        <f t="shared" ca="1" si="1914"/>
        <v>-18852443.290331237</v>
      </c>
      <c r="BE1939" s="2">
        <f t="shared" ca="1" si="1915"/>
        <v>2158935.889495383</v>
      </c>
      <c r="BF1939" s="2">
        <f t="shared" ca="1" si="1916"/>
        <v>2280929.152425874</v>
      </c>
      <c r="BG1939" s="2">
        <f t="shared" ca="1" si="1917"/>
        <v>2329611.0417605005</v>
      </c>
      <c r="BH1939" s="2">
        <f t="shared" ca="1" si="1918"/>
        <v>2378884.452843165</v>
      </c>
      <c r="BI1939" s="2">
        <f t="shared" ca="1" si="1919"/>
        <v>24528574.130018014</v>
      </c>
      <c r="BJ1939" s="2">
        <f t="shared" ca="1" si="1920"/>
        <v>0.14755199082545833</v>
      </c>
      <c r="BK1939" s="2">
        <f t="shared" ca="1" si="1921"/>
        <v>1981687.6897047609</v>
      </c>
    </row>
    <row r="1940" spans="1:63" x14ac:dyDescent="0.3">
      <c r="A1940" s="2">
        <v>1939</v>
      </c>
      <c r="B1940" s="2">
        <f t="shared" ca="1" si="1860"/>
        <v>0.45899761089747293</v>
      </c>
      <c r="C1940" s="2">
        <f t="shared" ca="1" si="1861"/>
        <v>6.9581206718336404</v>
      </c>
      <c r="D1940" s="2">
        <f t="shared" ca="1" si="1862"/>
        <v>0.80906748587921196</v>
      </c>
      <c r="E1940" s="2">
        <f t="shared" ca="1" si="1863"/>
        <v>7.8820477136205609</v>
      </c>
      <c r="F1940" s="2">
        <f t="shared" ca="1" si="1864"/>
        <v>0.66844067757963221</v>
      </c>
      <c r="G1940" s="2">
        <f t="shared" ca="1" si="1865"/>
        <v>5.3068344206580895E-2</v>
      </c>
      <c r="H1940" s="2">
        <f t="shared" ca="1" si="1866"/>
        <v>5.3068344206580895E-2</v>
      </c>
      <c r="I1940" s="2">
        <f t="shared" ca="1" si="1867"/>
        <v>0.28713566071867891</v>
      </c>
      <c r="J1940" s="2">
        <f t="shared" ca="1" si="1868"/>
        <v>7.1911396322984307E-3</v>
      </c>
      <c r="K1940" s="2">
        <f t="shared" ca="1" si="1869"/>
        <v>7.1911396322984307E-3</v>
      </c>
      <c r="L1940" s="2">
        <f t="shared" ca="1" si="1870"/>
        <v>0.6121328869949656</v>
      </c>
      <c r="M1940" s="2">
        <f t="shared" ca="1" si="1871"/>
        <v>5.6976483725819276E-3</v>
      </c>
      <c r="N1940" s="2">
        <f t="shared" ca="1" si="1872"/>
        <v>5.6976483725819276E-3</v>
      </c>
      <c r="O1940" s="2">
        <f t="shared" si="1873"/>
        <v>6000000</v>
      </c>
      <c r="P1940" s="2">
        <f t="shared" ca="1" si="1874"/>
        <v>41748724.031001844</v>
      </c>
      <c r="Q1940" s="2">
        <f t="shared" ca="1" si="1875"/>
        <v>1043718.1007750462</v>
      </c>
      <c r="R1940" s="2">
        <f t="shared" ca="1" si="1876"/>
        <v>25049234.418601107</v>
      </c>
      <c r="S1940" s="2">
        <f t="shared" ca="1" si="1877"/>
        <v>16699489.612400739</v>
      </c>
      <c r="T1940" s="2">
        <f t="shared" ca="1" si="1878"/>
        <v>50284882.418629095</v>
      </c>
      <c r="U1940" s="2">
        <f t="shared" ca="1" si="1879"/>
        <v>52953417.867208354</v>
      </c>
      <c r="V1940" s="2">
        <f t="shared" ca="1" si="1880"/>
        <v>55763568.073500276</v>
      </c>
      <c r="W1940" s="2">
        <f t="shared" ca="1" si="1881"/>
        <v>58722848.298211895</v>
      </c>
      <c r="X1940" s="2">
        <f t="shared" ca="1" si="1882"/>
        <v>61839172.624492235</v>
      </c>
      <c r="Y1940" s="2">
        <f t="shared" ca="1" si="1883"/>
        <v>0.12359556981614921</v>
      </c>
      <c r="Z1940" s="2">
        <f t="shared" ca="1" si="1884"/>
        <v>0.12503379774260889</v>
      </c>
      <c r="AA1940" s="2">
        <f t="shared" ca="1" si="1885"/>
        <v>6214988.695668526</v>
      </c>
      <c r="AB1940" s="2">
        <f t="shared" ca="1" si="1886"/>
        <v>6620966.9393883813</v>
      </c>
      <c r="AC1940" s="2">
        <f t="shared" ca="1" si="1887"/>
        <v>6972330.6919082357</v>
      </c>
      <c r="AD1940" s="2">
        <f t="shared" ca="1" si="1888"/>
        <v>7342340.7369885305</v>
      </c>
      <c r="AE1940" s="2">
        <f t="shared" ca="1" si="1889"/>
        <v>7731986.6025010394</v>
      </c>
      <c r="AF1940" s="2">
        <f t="shared" ca="1" si="1890"/>
        <v>1005697.6483725819</v>
      </c>
      <c r="AG1940" s="2">
        <f t="shared" ca="1" si="1891"/>
        <v>1059068.3573441671</v>
      </c>
      <c r="AH1940" s="2">
        <f t="shared" ca="1" si="1892"/>
        <v>1115271.3614700055</v>
      </c>
      <c r="AI1940" s="2">
        <f t="shared" ca="1" si="1893"/>
        <v>1174456.9659642379</v>
      </c>
      <c r="AJ1940" s="2">
        <f t="shared" ca="1" si="1894"/>
        <v>1236783.4524898448</v>
      </c>
      <c r="AK1940" s="2">
        <f t="shared" ca="1" si="1895"/>
        <v>0</v>
      </c>
      <c r="AL1940" s="2">
        <f t="shared" ca="1" si="1896"/>
        <v>26685.354485792592</v>
      </c>
      <c r="AM1940" s="2">
        <f t="shared" ca="1" si="1897"/>
        <v>28101.502062919215</v>
      </c>
      <c r="AN1940" s="2">
        <f t="shared" ca="1" si="1898"/>
        <v>29592.802247116193</v>
      </c>
      <c r="AO1940" s="2">
        <f t="shared" ca="1" si="1899"/>
        <v>31163.243262803408</v>
      </c>
      <c r="AP1940" s="2">
        <f t="shared" ca="1" si="1900"/>
        <v>2254431.0976740997</v>
      </c>
      <c r="AQ1940" s="2">
        <f t="shared" ca="1" si="1901"/>
        <v>768263.58690167952</v>
      </c>
      <c r="AR1940" s="2">
        <f t="shared" ca="1" si="1902"/>
        <v>859941.54593622976</v>
      </c>
      <c r="AS1940" s="2">
        <f t="shared" ca="1" si="1903"/>
        <v>936683.340518674</v>
      </c>
      <c r="AT1940" s="2">
        <f t="shared" ca="1" si="1904"/>
        <v>1017497.6950710501</v>
      </c>
      <c r="AU1940" s="2">
        <f t="shared" ca="1" si="1905"/>
        <v>1102600.7336076447</v>
      </c>
      <c r="AV1940" s="2">
        <f t="shared" ca="1" si="1906"/>
        <v>2186596.3627201645</v>
      </c>
      <c r="AW1940" s="2">
        <f t="shared" ca="1" si="1907"/>
        <v>2420840.5839480916</v>
      </c>
      <c r="AX1940" s="2">
        <f t="shared" ca="1" si="1908"/>
        <v>2637843.390182537</v>
      </c>
      <c r="AY1940" s="2">
        <f t="shared" ca="1" si="1909"/>
        <v>2866362.1760320263</v>
      </c>
      <c r="AZ1940" s="2">
        <f t="shared" ca="1" si="1910"/>
        <v>3107008.0754666477</v>
      </c>
      <c r="BA1940" s="2">
        <f t="shared" ca="1" si="1911"/>
        <v>60943887.321988128</v>
      </c>
      <c r="BB1940" s="2">
        <f t="shared" ca="1" si="1912"/>
        <v>1218877.7464397626</v>
      </c>
      <c r="BC1940" s="2">
        <f t="shared" ca="1" si="1913"/>
        <v>34675775.156947263</v>
      </c>
      <c r="BD1940" s="2">
        <f t="shared" ca="1" si="1914"/>
        <v>-18243207.713175785</v>
      </c>
      <c r="BE1940" s="2">
        <f t="shared" ca="1" si="1915"/>
        <v>2186596.3627201645</v>
      </c>
      <c r="BF1940" s="2">
        <f t="shared" ca="1" si="1916"/>
        <v>2420840.5839480916</v>
      </c>
      <c r="BG1940" s="2">
        <f t="shared" ca="1" si="1917"/>
        <v>2637843.390182537</v>
      </c>
      <c r="BH1940" s="2">
        <f t="shared" ca="1" si="1918"/>
        <v>2866362.1760320263</v>
      </c>
      <c r="BI1940" s="2">
        <f t="shared" ca="1" si="1919"/>
        <v>37782783.23241391</v>
      </c>
      <c r="BJ1940" s="2">
        <f t="shared" ca="1" si="1920"/>
        <v>0.24935040457142943</v>
      </c>
      <c r="BK1940" s="2">
        <f t="shared" ca="1" si="1921"/>
        <v>10777145.453822106</v>
      </c>
    </row>
    <row r="1941" spans="1:63" x14ac:dyDescent="0.3">
      <c r="A1941" s="2">
        <v>1940</v>
      </c>
      <c r="B1941" s="2">
        <f t="shared" ca="1" si="1860"/>
        <v>0.4039195629085317</v>
      </c>
      <c r="C1941" s="2">
        <f t="shared" ca="1" si="1861"/>
        <v>6.8987987126253927</v>
      </c>
      <c r="D1941" s="2">
        <f t="shared" ca="1" si="1862"/>
        <v>0.34888142808002665</v>
      </c>
      <c r="E1941" s="2">
        <f t="shared" ca="1" si="1863"/>
        <v>7.3353220074678109</v>
      </c>
      <c r="F1941" s="2">
        <f t="shared" ca="1" si="1864"/>
        <v>0.51029370119079376</v>
      </c>
      <c r="G1941" s="2">
        <f t="shared" ca="1" si="1865"/>
        <v>4.0774160386032397E-2</v>
      </c>
      <c r="H1941" s="2">
        <f t="shared" ca="1" si="1866"/>
        <v>4.0774160386032397E-2</v>
      </c>
      <c r="I1941" s="2">
        <f t="shared" ca="1" si="1867"/>
        <v>0.80110322340790086</v>
      </c>
      <c r="J1941" s="2">
        <f t="shared" ca="1" si="1868"/>
        <v>1.4227842061916757E-2</v>
      </c>
      <c r="K1941" s="2">
        <f t="shared" ca="1" si="1869"/>
        <v>1.4227842061916757E-2</v>
      </c>
      <c r="L1941" s="2">
        <f t="shared" ca="1" si="1870"/>
        <v>9.1466236546034696E-2</v>
      </c>
      <c r="M1941" s="2">
        <f t="shared" ca="1" si="1871"/>
        <v>-2.6635601143411684E-2</v>
      </c>
      <c r="N1941" s="2">
        <f t="shared" ca="1" si="1872"/>
        <v>-2.6635601143411684E-2</v>
      </c>
      <c r="O1941" s="2">
        <f t="shared" si="1873"/>
        <v>6000000</v>
      </c>
      <c r="P1941" s="2">
        <f t="shared" ca="1" si="1874"/>
        <v>41392792.275752358</v>
      </c>
      <c r="Q1941" s="2">
        <f t="shared" ca="1" si="1875"/>
        <v>1034819.806893809</v>
      </c>
      <c r="R1941" s="2">
        <f t="shared" ca="1" si="1876"/>
        <v>24835675.365451414</v>
      </c>
      <c r="S1941" s="2">
        <f t="shared" ca="1" si="1877"/>
        <v>16557116.910300944</v>
      </c>
      <c r="T1941" s="2">
        <f t="shared" ca="1" si="1878"/>
        <v>48668219.942829415</v>
      </c>
      <c r="U1941" s="2">
        <f t="shared" ca="1" si="1879"/>
        <v>50652625.748481035</v>
      </c>
      <c r="V1941" s="2">
        <f t="shared" ca="1" si="1880"/>
        <v>52717944.034723274</v>
      </c>
      <c r="W1941" s="2">
        <f t="shared" ca="1" si="1881"/>
        <v>54867473.940016955</v>
      </c>
      <c r="X1941" s="2">
        <f t="shared" ca="1" si="1882"/>
        <v>57104649.122423656</v>
      </c>
      <c r="Y1941" s="2">
        <f t="shared" ca="1" si="1883"/>
        <v>0.12711392103095837</v>
      </c>
      <c r="Z1941" s="2">
        <f t="shared" ca="1" si="1884"/>
        <v>0.12995948944334174</v>
      </c>
      <c r="AA1941" s="2">
        <f t="shared" ca="1" si="1885"/>
        <v>6186408.266530131</v>
      </c>
      <c r="AB1941" s="2">
        <f t="shared" ca="1" si="1886"/>
        <v>6582789.381237261</v>
      </c>
      <c r="AC1941" s="2">
        <f t="shared" ca="1" si="1887"/>
        <v>6851197.0912552997</v>
      </c>
      <c r="AD1941" s="2">
        <f t="shared" ca="1" si="1888"/>
        <v>7130548.9002904613</v>
      </c>
      <c r="AE1941" s="2">
        <f t="shared" ca="1" si="1889"/>
        <v>7421291.0447913511</v>
      </c>
      <c r="AF1941" s="2">
        <f t="shared" ca="1" si="1890"/>
        <v>973364.39885658829</v>
      </c>
      <c r="AG1941" s="2">
        <f t="shared" ca="1" si="1891"/>
        <v>1013052.5149696207</v>
      </c>
      <c r="AH1941" s="2">
        <f t="shared" ca="1" si="1892"/>
        <v>1054358.8806944655</v>
      </c>
      <c r="AI1941" s="2">
        <f t="shared" ca="1" si="1893"/>
        <v>1097349.4788003392</v>
      </c>
      <c r="AJ1941" s="2">
        <f t="shared" ca="1" si="1894"/>
        <v>1142092.9824484731</v>
      </c>
      <c r="AK1941" s="2">
        <f t="shared" ca="1" si="1895"/>
        <v>0</v>
      </c>
      <c r="AL1941" s="2">
        <f t="shared" ca="1" si="1896"/>
        <v>19844.058056516202</v>
      </c>
      <c r="AM1941" s="2">
        <f t="shared" ca="1" si="1897"/>
        <v>20653.182862422393</v>
      </c>
      <c r="AN1941" s="2">
        <f t="shared" ca="1" si="1898"/>
        <v>21495.299052936807</v>
      </c>
      <c r="AO1941" s="2">
        <f t="shared" ca="1" si="1899"/>
        <v>22371.751824067011</v>
      </c>
      <c r="AP1941" s="2">
        <f t="shared" ca="1" si="1900"/>
        <v>2235210.7828906272</v>
      </c>
      <c r="AQ1941" s="2">
        <f t="shared" ca="1" si="1901"/>
        <v>774236.60204355803</v>
      </c>
      <c r="AR1941" s="2">
        <f t="shared" ca="1" si="1902"/>
        <v>866976.7816780234</v>
      </c>
      <c r="AS1941" s="2">
        <f t="shared" ca="1" si="1903"/>
        <v>926023.1311942538</v>
      </c>
      <c r="AT1941" s="2">
        <f t="shared" ca="1" si="1904"/>
        <v>987477.04603586858</v>
      </c>
      <c r="AU1941" s="2">
        <f t="shared" ca="1" si="1905"/>
        <v>1051436.6926575853</v>
      </c>
      <c r="AV1941" s="2">
        <f t="shared" ca="1" si="1906"/>
        <v>2203596.4827393573</v>
      </c>
      <c r="AW1941" s="2">
        <f t="shared" ca="1" si="1907"/>
        <v>2447705.2436424727</v>
      </c>
      <c r="AX1941" s="2">
        <f t="shared" ca="1" si="1908"/>
        <v>2614951.113613531</v>
      </c>
      <c r="AY1941" s="2">
        <f t="shared" ca="1" si="1909"/>
        <v>2789016.2935106885</v>
      </c>
      <c r="AZ1941" s="2">
        <f t="shared" ca="1" si="1910"/>
        <v>2970178.834970599</v>
      </c>
      <c r="BA1941" s="2">
        <f t="shared" ca="1" si="1911"/>
        <v>54437559.524681784</v>
      </c>
      <c r="BB1941" s="2">
        <f t="shared" ca="1" si="1912"/>
        <v>1088751.1904936356</v>
      </c>
      <c r="BC1941" s="2">
        <f t="shared" ca="1" si="1913"/>
        <v>28513132.968736734</v>
      </c>
      <c r="BD1941" s="2">
        <f t="shared" ca="1" si="1914"/>
        <v>-18091936.717194755</v>
      </c>
      <c r="BE1941" s="2">
        <f t="shared" ca="1" si="1915"/>
        <v>2203596.4827393573</v>
      </c>
      <c r="BF1941" s="2">
        <f t="shared" ca="1" si="1916"/>
        <v>2447705.2436424727</v>
      </c>
      <c r="BG1941" s="2">
        <f t="shared" ca="1" si="1917"/>
        <v>2614951.113613531</v>
      </c>
      <c r="BH1941" s="2">
        <f t="shared" ca="1" si="1918"/>
        <v>2789016.2935106885</v>
      </c>
      <c r="BI1941" s="2">
        <f t="shared" ca="1" si="1919"/>
        <v>31483311.803707331</v>
      </c>
      <c r="BJ1941" s="2">
        <f t="shared" ca="1" si="1920"/>
        <v>0.21513145226393382</v>
      </c>
      <c r="BK1941" s="2">
        <f t="shared" ca="1" si="1921"/>
        <v>7325073.2282206416</v>
      </c>
    </row>
    <row r="1942" spans="1:63" x14ac:dyDescent="0.3">
      <c r="A1942" s="2">
        <v>1941</v>
      </c>
      <c r="B1942" s="2">
        <f t="shared" ca="1" si="1860"/>
        <v>0.78947736811861347</v>
      </c>
      <c r="C1942" s="2">
        <f t="shared" ca="1" si="1861"/>
        <v>7.3511199927854358</v>
      </c>
      <c r="D1942" s="2">
        <f t="shared" ca="1" si="1862"/>
        <v>0.76914113806716522</v>
      </c>
      <c r="E1942" s="2">
        <f t="shared" ca="1" si="1863"/>
        <v>7.820501858821034</v>
      </c>
      <c r="F1942" s="2">
        <f t="shared" ca="1" si="1864"/>
        <v>0.61975663444464824</v>
      </c>
      <c r="G1942" s="2">
        <f t="shared" ca="1" si="1865"/>
        <v>4.9145250567091639E-2</v>
      </c>
      <c r="H1942" s="2">
        <f t="shared" ca="1" si="1866"/>
        <v>4.9145250567091639E-2</v>
      </c>
      <c r="I1942" s="2">
        <f t="shared" ca="1" si="1867"/>
        <v>0.18296097374812581</v>
      </c>
      <c r="J1942" s="2">
        <f t="shared" ca="1" si="1868"/>
        <v>5.4793073271645091E-3</v>
      </c>
      <c r="K1942" s="2">
        <f t="shared" ca="1" si="1869"/>
        <v>5.4793073271645091E-3</v>
      </c>
      <c r="L1942" s="2">
        <f t="shared" ca="1" si="1870"/>
        <v>0.73260661107750424</v>
      </c>
      <c r="M1942" s="2">
        <f t="shared" ca="1" si="1871"/>
        <v>1.2414311560726247E-2</v>
      </c>
      <c r="N1942" s="2">
        <f t="shared" ca="1" si="1872"/>
        <v>1.2414311560726247E-2</v>
      </c>
      <c r="O1942" s="2">
        <f t="shared" si="1873"/>
        <v>6000000</v>
      </c>
      <c r="P1942" s="2">
        <f t="shared" ca="1" si="1874"/>
        <v>44106719.956712618</v>
      </c>
      <c r="Q1942" s="2">
        <f t="shared" ca="1" si="1875"/>
        <v>1102667.9989178155</v>
      </c>
      <c r="R1942" s="2">
        <f t="shared" ca="1" si="1876"/>
        <v>26464031.97402757</v>
      </c>
      <c r="S1942" s="2">
        <f t="shared" ca="1" si="1877"/>
        <v>17642687.982685048</v>
      </c>
      <c r="T1942" s="2">
        <f t="shared" ca="1" si="1878"/>
        <v>50620715.578036316</v>
      </c>
      <c r="U1942" s="2">
        <f t="shared" ca="1" si="1879"/>
        <v>53108483.329004392</v>
      </c>
      <c r="V1942" s="2">
        <f t="shared" ca="1" si="1880"/>
        <v>55718513.049446531</v>
      </c>
      <c r="W1942" s="2">
        <f t="shared" ca="1" si="1881"/>
        <v>58456813.334487349</v>
      </c>
      <c r="X1942" s="2">
        <f t="shared" ca="1" si="1882"/>
        <v>61329688.073164441</v>
      </c>
      <c r="Y1942" s="2">
        <f t="shared" ca="1" si="1883"/>
        <v>0.12273965366358225</v>
      </c>
      <c r="Z1942" s="2">
        <f t="shared" ca="1" si="1884"/>
        <v>0.12383551512901515</v>
      </c>
      <c r="AA1942" s="2">
        <f t="shared" ca="1" si="1885"/>
        <v>6213169.0982508799</v>
      </c>
      <c r="AB1942" s="2">
        <f t="shared" ca="1" si="1886"/>
        <v>6576716.390767972</v>
      </c>
      <c r="AC1942" s="2">
        <f t="shared" ca="1" si="1887"/>
        <v>6899930.7657009643</v>
      </c>
      <c r="AD1942" s="2">
        <f t="shared" ca="1" si="1888"/>
        <v>7239029.5920769228</v>
      </c>
      <c r="AE1942" s="2">
        <f t="shared" ca="1" si="1889"/>
        <v>7594793.5152421352</v>
      </c>
      <c r="AF1942" s="2">
        <f t="shared" ca="1" si="1890"/>
        <v>1012414.3115607264</v>
      </c>
      <c r="AG1942" s="2">
        <f t="shared" ca="1" si="1891"/>
        <v>1062169.666580088</v>
      </c>
      <c r="AH1942" s="2">
        <f t="shared" ca="1" si="1892"/>
        <v>1114370.2609889307</v>
      </c>
      <c r="AI1942" s="2">
        <f t="shared" ca="1" si="1893"/>
        <v>1169136.2666897471</v>
      </c>
      <c r="AJ1942" s="2">
        <f t="shared" ca="1" si="1894"/>
        <v>1226593.7614632889</v>
      </c>
      <c r="AK1942" s="2">
        <f t="shared" ca="1" si="1895"/>
        <v>0</v>
      </c>
      <c r="AL1942" s="2">
        <f t="shared" ca="1" si="1896"/>
        <v>24877.677509680765</v>
      </c>
      <c r="AM1942" s="2">
        <f t="shared" ca="1" si="1897"/>
        <v>26100.297204421386</v>
      </c>
      <c r="AN1942" s="2">
        <f t="shared" ca="1" si="1898"/>
        <v>27383.002850408182</v>
      </c>
      <c r="AO1942" s="2">
        <f t="shared" ca="1" si="1899"/>
        <v>28728.74738677092</v>
      </c>
      <c r="AP1942" s="2">
        <f t="shared" ca="1" si="1900"/>
        <v>2381762.8776624813</v>
      </c>
      <c r="AQ1942" s="2">
        <f t="shared" ca="1" si="1901"/>
        <v>732937.89634719468</v>
      </c>
      <c r="AR1942" s="2">
        <f t="shared" ca="1" si="1902"/>
        <v>814523.80009660486</v>
      </c>
      <c r="AS1942" s="2">
        <f t="shared" ca="1" si="1903"/>
        <v>884987.38303288375</v>
      </c>
      <c r="AT1942" s="2">
        <f t="shared" ca="1" si="1904"/>
        <v>958913.91640842066</v>
      </c>
      <c r="AU1942" s="2">
        <f t="shared" ca="1" si="1905"/>
        <v>1036473.5877902549</v>
      </c>
      <c r="AV1942" s="2">
        <f t="shared" ca="1" si="1906"/>
        <v>2086054.012680477</v>
      </c>
      <c r="AW1942" s="2">
        <f t="shared" ca="1" si="1907"/>
        <v>2293382.3689191178</v>
      </c>
      <c r="AX1942" s="2">
        <f t="shared" ca="1" si="1908"/>
        <v>2492709.9468122474</v>
      </c>
      <c r="AY1942" s="2">
        <f t="shared" ca="1" si="1909"/>
        <v>2701833.5284658666</v>
      </c>
      <c r="AZ1942" s="2">
        <f t="shared" ca="1" si="1910"/>
        <v>2921234.540939339</v>
      </c>
      <c r="BA1942" s="2">
        <f t="shared" ca="1" si="1911"/>
        <v>59395096.803313054</v>
      </c>
      <c r="BB1942" s="2">
        <f t="shared" ca="1" si="1912"/>
        <v>1187901.936066261</v>
      </c>
      <c r="BC1942" s="2">
        <f t="shared" ca="1" si="1913"/>
        <v>31743162.893219221</v>
      </c>
      <c r="BD1942" s="2">
        <f t="shared" ca="1" si="1914"/>
        <v>-19245355.981602862</v>
      </c>
      <c r="BE1942" s="2">
        <f t="shared" ca="1" si="1915"/>
        <v>2086054.012680477</v>
      </c>
      <c r="BF1942" s="2">
        <f t="shared" ca="1" si="1916"/>
        <v>2293382.3689191178</v>
      </c>
      <c r="BG1942" s="2">
        <f t="shared" ca="1" si="1917"/>
        <v>2492709.9468122474</v>
      </c>
      <c r="BH1942" s="2">
        <f t="shared" ca="1" si="1918"/>
        <v>2701833.5284658666</v>
      </c>
      <c r="BI1942" s="2">
        <f t="shared" ca="1" si="1919"/>
        <v>34664397.434158564</v>
      </c>
      <c r="BJ1942" s="2">
        <f t="shared" ca="1" si="1920"/>
        <v>0.21115697004604139</v>
      </c>
      <c r="BK1942" s="2">
        <f t="shared" ca="1" si="1921"/>
        <v>7606298.424684301</v>
      </c>
    </row>
    <row r="1943" spans="1:63" x14ac:dyDescent="0.3">
      <c r="A1943" s="2">
        <v>1942</v>
      </c>
      <c r="B1943" s="2">
        <f t="shared" ca="1" si="1860"/>
        <v>9.4843064147844824E-3</v>
      </c>
      <c r="C1943" s="2">
        <f t="shared" ca="1" si="1861"/>
        <v>6.137726587228352</v>
      </c>
      <c r="D1943" s="2">
        <f t="shared" ca="1" si="1862"/>
        <v>0.42342999116475799</v>
      </c>
      <c r="E1943" s="2">
        <f t="shared" ca="1" si="1863"/>
        <v>7.4202499564409203</v>
      </c>
      <c r="F1943" s="2">
        <f t="shared" ca="1" si="1864"/>
        <v>0.5851860247649916</v>
      </c>
      <c r="G1943" s="2">
        <f t="shared" ca="1" si="1865"/>
        <v>4.6455362786647053E-2</v>
      </c>
      <c r="H1943" s="2">
        <f t="shared" ca="1" si="1866"/>
        <v>4.6455362786647053E-2</v>
      </c>
      <c r="I1943" s="2">
        <f t="shared" ca="1" si="1867"/>
        <v>0.22920003265326994</v>
      </c>
      <c r="J1943" s="2">
        <f t="shared" ca="1" si="1868"/>
        <v>6.2925802953052237E-3</v>
      </c>
      <c r="K1943" s="2">
        <f t="shared" ca="1" si="1869"/>
        <v>6.2925802953052237E-3</v>
      </c>
      <c r="L1943" s="2">
        <f t="shared" ca="1" si="1870"/>
        <v>0.73929776595668739</v>
      </c>
      <c r="M1943" s="2">
        <f t="shared" ca="1" si="1871"/>
        <v>1.2823639226326393E-2</v>
      </c>
      <c r="N1943" s="2">
        <f t="shared" ca="1" si="1872"/>
        <v>1.2823639226326393E-2</v>
      </c>
      <c r="O1943" s="2">
        <f t="shared" si="1873"/>
        <v>6000000</v>
      </c>
      <c r="P1943" s="2">
        <f t="shared" ca="1" si="1874"/>
        <v>36826359.523370109</v>
      </c>
      <c r="Q1943" s="2">
        <f t="shared" ca="1" si="1875"/>
        <v>920658.98808425281</v>
      </c>
      <c r="R1943" s="2">
        <f t="shared" ca="1" si="1876"/>
        <v>22095815.714022066</v>
      </c>
      <c r="S1943" s="2">
        <f t="shared" ca="1" si="1877"/>
        <v>14730543.809348045</v>
      </c>
      <c r="T1943" s="2">
        <f t="shared" ca="1" si="1878"/>
        <v>50641181.961316317</v>
      </c>
      <c r="U1943" s="2">
        <f t="shared" ca="1" si="1879"/>
        <v>52993736.441273876</v>
      </c>
      <c r="V1943" s="2">
        <f t="shared" ca="1" si="1880"/>
        <v>55455579.693073213</v>
      </c>
      <c r="W1943" s="2">
        <f t="shared" ca="1" si="1881"/>
        <v>58031788.766258746</v>
      </c>
      <c r="X1943" s="2">
        <f t="shared" ca="1" si="1882"/>
        <v>60727676.566553369</v>
      </c>
      <c r="Y1943" s="2">
        <f t="shared" ca="1" si="1883"/>
        <v>0.1231462901476526</v>
      </c>
      <c r="Z1943" s="2">
        <f t="shared" ca="1" si="1884"/>
        <v>0.12440480620671365</v>
      </c>
      <c r="AA1943" s="2">
        <f t="shared" ca="1" si="1885"/>
        <v>6236273.6872283304</v>
      </c>
      <c r="AB1943" s="2">
        <f t="shared" ca="1" si="1886"/>
        <v>6592675.512146336</v>
      </c>
      <c r="AC1943" s="2">
        <f t="shared" ca="1" si="1887"/>
        <v>6898940.6447977377</v>
      </c>
      <c r="AD1943" s="2">
        <f t="shared" ca="1" si="1888"/>
        <v>7219433.435295362</v>
      </c>
      <c r="AE1943" s="2">
        <f t="shared" ca="1" si="1889"/>
        <v>7554814.8346460583</v>
      </c>
      <c r="AF1943" s="2">
        <f t="shared" ca="1" si="1890"/>
        <v>1012823.6392263264</v>
      </c>
      <c r="AG1943" s="2">
        <f t="shared" ca="1" si="1891"/>
        <v>1059874.7288254774</v>
      </c>
      <c r="AH1943" s="2">
        <f t="shared" ca="1" si="1892"/>
        <v>1109111.5938614642</v>
      </c>
      <c r="AI1943" s="2">
        <f t="shared" ca="1" si="1893"/>
        <v>1160635.7753251749</v>
      </c>
      <c r="AJ1943" s="2">
        <f t="shared" ca="1" si="1894"/>
        <v>1214553.5313310674</v>
      </c>
      <c r="AK1943" s="2">
        <f t="shared" ca="1" si="1895"/>
        <v>0</v>
      </c>
      <c r="AL1943" s="2">
        <f t="shared" ca="1" si="1896"/>
        <v>23525.544799575582</v>
      </c>
      <c r="AM1943" s="2">
        <f t="shared" ca="1" si="1897"/>
        <v>24618.432517993377</v>
      </c>
      <c r="AN1943" s="2">
        <f t="shared" ca="1" si="1898"/>
        <v>25762.090731855333</v>
      </c>
      <c r="AO1943" s="2">
        <f t="shared" ca="1" si="1899"/>
        <v>26958.878002946229</v>
      </c>
      <c r="AP1943" s="2">
        <f t="shared" ca="1" si="1900"/>
        <v>1988623.4142619858</v>
      </c>
      <c r="AQ1943" s="2">
        <f t="shared" ca="1" si="1901"/>
        <v>841054.92477240472</v>
      </c>
      <c r="AR1943" s="2">
        <f t="shared" ca="1" si="1902"/>
        <v>921486.11595530715</v>
      </c>
      <c r="AS1943" s="2">
        <f t="shared" ca="1" si="1903"/>
        <v>988313.46553531487</v>
      </c>
      <c r="AT1943" s="2">
        <f t="shared" ca="1" si="1904"/>
        <v>1058245.3038841323</v>
      </c>
      <c r="AU1943" s="2">
        <f t="shared" ca="1" si="1905"/>
        <v>1131425.8511537816</v>
      </c>
      <c r="AV1943" s="2">
        <f t="shared" ca="1" si="1906"/>
        <v>2393771.7089676131</v>
      </c>
      <c r="AW1943" s="2">
        <f t="shared" ca="1" si="1907"/>
        <v>2599165.7083039908</v>
      </c>
      <c r="AX1943" s="2">
        <f t="shared" ca="1" si="1908"/>
        <v>2788273.7386209797</v>
      </c>
      <c r="AY1943" s="2">
        <f t="shared" ca="1" si="1909"/>
        <v>2986166.8510922138</v>
      </c>
      <c r="AZ1943" s="2">
        <f t="shared" ca="1" si="1910"/>
        <v>3193253.1598962778</v>
      </c>
      <c r="BA1943" s="2">
        <f t="shared" ca="1" si="1911"/>
        <v>56058614.447701633</v>
      </c>
      <c r="BB1943" s="2">
        <f t="shared" ca="1" si="1912"/>
        <v>1121172.2889540326</v>
      </c>
      <c r="BC1943" s="2">
        <f t="shared" ca="1" si="1913"/>
        <v>32841626.444725528</v>
      </c>
      <c r="BD1943" s="2">
        <f t="shared" ca="1" si="1914"/>
        <v>-16151202.797432298</v>
      </c>
      <c r="BE1943" s="2">
        <f t="shared" ca="1" si="1915"/>
        <v>2393771.7089676131</v>
      </c>
      <c r="BF1943" s="2">
        <f t="shared" ca="1" si="1916"/>
        <v>2599165.7083039908</v>
      </c>
      <c r="BG1943" s="2">
        <f t="shared" ca="1" si="1917"/>
        <v>2788273.7386209797</v>
      </c>
      <c r="BH1943" s="2">
        <f t="shared" ca="1" si="1918"/>
        <v>2986166.8510922138</v>
      </c>
      <c r="BI1943" s="2">
        <f t="shared" ca="1" si="1919"/>
        <v>36034879.604621805</v>
      </c>
      <c r="BJ1943" s="2">
        <f t="shared" ca="1" si="1920"/>
        <v>0.28460597337859439</v>
      </c>
      <c r="BK1943" s="2">
        <f t="shared" ca="1" si="1921"/>
        <v>12387691.982587708</v>
      </c>
    </row>
    <row r="1944" spans="1:63" x14ac:dyDescent="0.3">
      <c r="A1944" s="2">
        <v>1943</v>
      </c>
      <c r="B1944" s="2">
        <f t="shared" ca="1" si="1860"/>
        <v>0.80046455279673445</v>
      </c>
      <c r="C1944" s="2">
        <f t="shared" ca="1" si="1861"/>
        <v>7.3682794174585329</v>
      </c>
      <c r="D1944" s="2">
        <f t="shared" ca="1" si="1862"/>
        <v>0.58114346235027314</v>
      </c>
      <c r="E1944" s="2">
        <f t="shared" ca="1" si="1863"/>
        <v>7.584733331045288</v>
      </c>
      <c r="F1944" s="2">
        <f t="shared" ca="1" si="1864"/>
        <v>0.40101857856636336</v>
      </c>
      <c r="G1944" s="2">
        <f t="shared" ca="1" si="1865"/>
        <v>3.2478654544074406E-2</v>
      </c>
      <c r="H1944" s="2">
        <f t="shared" ca="1" si="1866"/>
        <v>3.2478654544074406E-2</v>
      </c>
      <c r="I1944" s="2">
        <f t="shared" ca="1" si="1867"/>
        <v>0.33424371288210852</v>
      </c>
      <c r="J1944" s="2">
        <f t="shared" ca="1" si="1868"/>
        <v>7.8588757493127364E-3</v>
      </c>
      <c r="K1944" s="2">
        <f t="shared" ca="1" si="1869"/>
        <v>7.8588757493127364E-3</v>
      </c>
      <c r="L1944" s="2">
        <f t="shared" ca="1" si="1870"/>
        <v>0.46731602742593736</v>
      </c>
      <c r="M1944" s="2">
        <f t="shared" ca="1" si="1871"/>
        <v>-1.6403686744250832E-3</v>
      </c>
      <c r="N1944" s="2">
        <f t="shared" ca="1" si="1872"/>
        <v>-1.6403686744250832E-3</v>
      </c>
      <c r="O1944" s="2">
        <f t="shared" si="1873"/>
        <v>6000000</v>
      </c>
      <c r="P1944" s="2">
        <f t="shared" ca="1" si="1874"/>
        <v>44209676.504751198</v>
      </c>
      <c r="Q1944" s="2">
        <f t="shared" ca="1" si="1875"/>
        <v>1105241.91261878</v>
      </c>
      <c r="R1944" s="2">
        <f t="shared" ca="1" si="1876"/>
        <v>26525805.902850717</v>
      </c>
      <c r="S1944" s="2">
        <f t="shared" ca="1" si="1877"/>
        <v>17683870.601900481</v>
      </c>
      <c r="T1944" s="2">
        <f t="shared" ca="1" si="1878"/>
        <v>49917981.566278748</v>
      </c>
      <c r="U1944" s="2">
        <f t="shared" ca="1" si="1879"/>
        <v>51539250.445107393</v>
      </c>
      <c r="V1944" s="2">
        <f t="shared" ca="1" si="1880"/>
        <v>53213175.955774575</v>
      </c>
      <c r="W1944" s="2">
        <f t="shared" ca="1" si="1881"/>
        <v>54941468.314835228</v>
      </c>
      <c r="X1944" s="2">
        <f t="shared" ca="1" si="1882"/>
        <v>56725893.284376979</v>
      </c>
      <c r="Y1944" s="2">
        <f t="shared" ca="1" si="1883"/>
        <v>0.12392943787465636</v>
      </c>
      <c r="Z1944" s="2">
        <f t="shared" ca="1" si="1884"/>
        <v>0.12550121302451892</v>
      </c>
      <c r="AA1944" s="2">
        <f t="shared" ca="1" si="1885"/>
        <v>6186307.3953463836</v>
      </c>
      <c r="AB1944" s="2">
        <f t="shared" ca="1" si="1886"/>
        <v>6468238.4492354542</v>
      </c>
      <c r="AC1944" s="2">
        <f t="shared" ca="1" si="1887"/>
        <v>6678318.1313368725</v>
      </c>
      <c r="AD1944" s="2">
        <f t="shared" ca="1" si="1888"/>
        <v>6895220.9188599922</v>
      </c>
      <c r="AE1944" s="2">
        <f t="shared" ca="1" si="1889"/>
        <v>7119168.4170887219</v>
      </c>
      <c r="AF1944" s="2">
        <f t="shared" ca="1" si="1890"/>
        <v>998359.63132557494</v>
      </c>
      <c r="AG1944" s="2">
        <f t="shared" ca="1" si="1891"/>
        <v>1030785.0089021479</v>
      </c>
      <c r="AH1944" s="2">
        <f t="shared" ca="1" si="1892"/>
        <v>1064263.5191154915</v>
      </c>
      <c r="AI1944" s="2">
        <f t="shared" ca="1" si="1893"/>
        <v>1098829.3662967046</v>
      </c>
      <c r="AJ1944" s="2">
        <f t="shared" ca="1" si="1894"/>
        <v>1134517.8656875396</v>
      </c>
      <c r="AK1944" s="2">
        <f t="shared" ca="1" si="1895"/>
        <v>0</v>
      </c>
      <c r="AL1944" s="2">
        <f t="shared" ca="1" si="1896"/>
        <v>16212.688788286448</v>
      </c>
      <c r="AM1944" s="2">
        <f t="shared" ca="1" si="1897"/>
        <v>16739.255106671826</v>
      </c>
      <c r="AN1944" s="2">
        <f t="shared" ca="1" si="1898"/>
        <v>17282.923590606526</v>
      </c>
      <c r="AO1944" s="2">
        <f t="shared" ca="1" si="1899"/>
        <v>17844.249695417508</v>
      </c>
      <c r="AP1944" s="2">
        <f t="shared" ca="1" si="1900"/>
        <v>2387322.5312565644</v>
      </c>
      <c r="AQ1944" s="2">
        <f t="shared" ca="1" si="1901"/>
        <v>728162.56051870366</v>
      </c>
      <c r="AR1944" s="2">
        <f t="shared" ca="1" si="1902"/>
        <v>793034.036359953</v>
      </c>
      <c r="AS1944" s="2">
        <f t="shared" ca="1" si="1903"/>
        <v>838950.34105085221</v>
      </c>
      <c r="AT1944" s="2">
        <f t="shared" ca="1" si="1904"/>
        <v>886357.94553974795</v>
      </c>
      <c r="AU1944" s="2">
        <f t="shared" ca="1" si="1905"/>
        <v>935305.28523760068</v>
      </c>
      <c r="AV1944" s="2">
        <f t="shared" ca="1" si="1906"/>
        <v>2072462.6722455411</v>
      </c>
      <c r="AW1944" s="2">
        <f t="shared" ca="1" si="1907"/>
        <v>2240884.1839285032</v>
      </c>
      <c r="AX1944" s="2">
        <f t="shared" ca="1" si="1908"/>
        <v>2371042.4848072925</v>
      </c>
      <c r="AY1944" s="2">
        <f t="shared" ca="1" si="1909"/>
        <v>2505428.1521763685</v>
      </c>
      <c r="AZ1944" s="2">
        <f t="shared" ca="1" si="1910"/>
        <v>2644178.4852115992</v>
      </c>
      <c r="BA1944" s="2">
        <f t="shared" ca="1" si="1911"/>
        <v>53996993.982417755</v>
      </c>
      <c r="BB1944" s="2">
        <f t="shared" ca="1" si="1912"/>
        <v>1079939.8796483551</v>
      </c>
      <c r="BC1944" s="2">
        <f t="shared" ca="1" si="1913"/>
        <v>26391248.199918684</v>
      </c>
      <c r="BD1944" s="2">
        <f t="shared" ca="1" si="1914"/>
        <v>-19289112.514519259</v>
      </c>
      <c r="BE1944" s="2">
        <f t="shared" ca="1" si="1915"/>
        <v>2072462.6722455411</v>
      </c>
      <c r="BF1944" s="2">
        <f t="shared" ca="1" si="1916"/>
        <v>2240884.1839285032</v>
      </c>
      <c r="BG1944" s="2">
        <f t="shared" ca="1" si="1917"/>
        <v>2371042.4848072925</v>
      </c>
      <c r="BH1944" s="2">
        <f t="shared" ca="1" si="1918"/>
        <v>2505428.1521763685</v>
      </c>
      <c r="BI1944" s="2">
        <f t="shared" ca="1" si="1919"/>
        <v>29035426.685130283</v>
      </c>
      <c r="BJ1944" s="2">
        <f t="shared" ca="1" si="1920"/>
        <v>0.17261514257802091</v>
      </c>
      <c r="BK1944" s="2">
        <f t="shared" ca="1" si="1921"/>
        <v>4103106.6980848275</v>
      </c>
    </row>
    <row r="1945" spans="1:63" x14ac:dyDescent="0.3">
      <c r="A1945" s="2">
        <v>1944</v>
      </c>
      <c r="B1945" s="2">
        <f t="shared" ca="1" si="1860"/>
        <v>0.73393530626944847</v>
      </c>
      <c r="C1945" s="2">
        <f t="shared" ca="1" si="1861"/>
        <v>7.2705280077610226</v>
      </c>
      <c r="D1945" s="2">
        <f t="shared" ca="1" si="1862"/>
        <v>0.36733745349532421</v>
      </c>
      <c r="E1945" s="2">
        <f t="shared" ca="1" si="1863"/>
        <v>7.357131790911204</v>
      </c>
      <c r="F1945" s="2">
        <f t="shared" ca="1" si="1864"/>
        <v>0.44844241606853186</v>
      </c>
      <c r="G1945" s="2">
        <f t="shared" ca="1" si="1865"/>
        <v>3.6112073136764566E-2</v>
      </c>
      <c r="H1945" s="2">
        <f t="shared" ca="1" si="1866"/>
        <v>3.6112073136764566E-2</v>
      </c>
      <c r="I1945" s="2">
        <f t="shared" ca="1" si="1867"/>
        <v>0.20338093117392175</v>
      </c>
      <c r="J1945" s="2">
        <f t="shared" ca="1" si="1868"/>
        <v>5.8519724666767038E-3</v>
      </c>
      <c r="K1945" s="2">
        <f t="shared" ca="1" si="1869"/>
        <v>5.8519724666767038E-3</v>
      </c>
      <c r="L1945" s="2">
        <f t="shared" ca="1" si="1870"/>
        <v>6.8572174691141852E-2</v>
      </c>
      <c r="M1945" s="2">
        <f t="shared" ca="1" si="1871"/>
        <v>-2.9730194279178807E-2</v>
      </c>
      <c r="N1945" s="2">
        <f t="shared" ca="1" si="1872"/>
        <v>-2.9730194279178807E-2</v>
      </c>
      <c r="O1945" s="2">
        <f t="shared" si="1873"/>
        <v>6000000</v>
      </c>
      <c r="P1945" s="2">
        <f t="shared" ca="1" si="1874"/>
        <v>43623168.046566136</v>
      </c>
      <c r="Q1945" s="2">
        <f t="shared" ca="1" si="1875"/>
        <v>1090579.2011641534</v>
      </c>
      <c r="R1945" s="2">
        <f t="shared" ca="1" si="1876"/>
        <v>26173900.827939682</v>
      </c>
      <c r="S1945" s="2">
        <f t="shared" ca="1" si="1877"/>
        <v>17449267.218626454</v>
      </c>
      <c r="T1945" s="2">
        <f t="shared" ca="1" si="1878"/>
        <v>48513490.286041059</v>
      </c>
      <c r="U1945" s="2">
        <f t="shared" ca="1" si="1879"/>
        <v>50265412.995370291</v>
      </c>
      <c r="V1945" s="2">
        <f t="shared" ca="1" si="1880"/>
        <v>52080601.265708782</v>
      </c>
      <c r="W1945" s="2">
        <f t="shared" ca="1" si="1881"/>
        <v>53961339.747622728</v>
      </c>
      <c r="X1945" s="2">
        <f t="shared" ca="1" si="1882"/>
        <v>55909995.595146678</v>
      </c>
      <c r="Y1945" s="2">
        <f t="shared" ca="1" si="1883"/>
        <v>0.12292598623333835</v>
      </c>
      <c r="Z1945" s="2">
        <f t="shared" ca="1" si="1884"/>
        <v>0.12409638072667369</v>
      </c>
      <c r="AA1945" s="2">
        <f t="shared" ca="1" si="1885"/>
        <v>5963568.6390330773</v>
      </c>
      <c r="AB1945" s="2">
        <f t="shared" ca="1" si="1886"/>
        <v>6237755.8284569625</v>
      </c>
      <c r="AC1945" s="2">
        <f t="shared" ca="1" si="1887"/>
        <v>6463014.1231434802</v>
      </c>
      <c r="AD1945" s="2">
        <f t="shared" ca="1" si="1888"/>
        <v>6696406.9618423795</v>
      </c>
      <c r="AE1945" s="2">
        <f t="shared" ca="1" si="1889"/>
        <v>6938228.0998019706</v>
      </c>
      <c r="AF1945" s="2">
        <f t="shared" ca="1" si="1890"/>
        <v>970269.80572082114</v>
      </c>
      <c r="AG1945" s="2">
        <f t="shared" ca="1" si="1891"/>
        <v>1005308.2599074058</v>
      </c>
      <c r="AH1945" s="2">
        <f t="shared" ca="1" si="1892"/>
        <v>1041612.0253141756</v>
      </c>
      <c r="AI1945" s="2">
        <f t="shared" ca="1" si="1893"/>
        <v>1079226.7949524545</v>
      </c>
      <c r="AJ1945" s="2">
        <f t="shared" ca="1" si="1894"/>
        <v>1118199.9119029336</v>
      </c>
      <c r="AK1945" s="2">
        <f t="shared" ca="1" si="1895"/>
        <v>0</v>
      </c>
      <c r="AL1945" s="2">
        <f t="shared" ca="1" si="1896"/>
        <v>17519.227093292327</v>
      </c>
      <c r="AM1945" s="2">
        <f t="shared" ca="1" si="1897"/>
        <v>18151.882703384905</v>
      </c>
      <c r="AN1945" s="2">
        <f t="shared" ca="1" si="1898"/>
        <v>18807.384819139465</v>
      </c>
      <c r="AO1945" s="2">
        <f t="shared" ca="1" si="1899"/>
        <v>19486.558475239501</v>
      </c>
      <c r="AP1945" s="2">
        <f t="shared" ca="1" si="1900"/>
        <v>2355651.0745145711</v>
      </c>
      <c r="AQ1945" s="2">
        <f t="shared" ca="1" si="1901"/>
        <v>685788.41728739813</v>
      </c>
      <c r="AR1945" s="2">
        <f t="shared" ca="1" si="1902"/>
        <v>747967.08844909631</v>
      </c>
      <c r="AS1945" s="2">
        <f t="shared" ca="1" si="1903"/>
        <v>797095.2660618308</v>
      </c>
      <c r="AT1945" s="2">
        <f t="shared" ca="1" si="1904"/>
        <v>847997.56401759188</v>
      </c>
      <c r="AU1945" s="2">
        <f t="shared" ca="1" si="1905"/>
        <v>900738.04947996128</v>
      </c>
      <c r="AV1945" s="2">
        <f t="shared" ca="1" si="1906"/>
        <v>1951859.341510287</v>
      </c>
      <c r="AW1945" s="2">
        <f t="shared" ca="1" si="1907"/>
        <v>2111310.1784925968</v>
      </c>
      <c r="AX1945" s="2">
        <f t="shared" ca="1" si="1908"/>
        <v>2250503.8745495179</v>
      </c>
      <c r="AY1945" s="2">
        <f t="shared" ca="1" si="1909"/>
        <v>2394724.1435386217</v>
      </c>
      <c r="AZ1945" s="2">
        <f t="shared" ca="1" si="1910"/>
        <v>2544152.5054292656</v>
      </c>
      <c r="BA1945" s="2">
        <f t="shared" ca="1" si="1911"/>
        <v>51045458.525646515</v>
      </c>
      <c r="BB1945" s="2">
        <f t="shared" ca="1" si="1912"/>
        <v>1020909.1705129304</v>
      </c>
      <c r="BC1945" s="2">
        <f t="shared" ca="1" si="1913"/>
        <v>23850648.527193904</v>
      </c>
      <c r="BD1945" s="2">
        <f t="shared" ca="1" si="1914"/>
        <v>-19039846.419790607</v>
      </c>
      <c r="BE1945" s="2">
        <f t="shared" ca="1" si="1915"/>
        <v>1951859.341510287</v>
      </c>
      <c r="BF1945" s="2">
        <f t="shared" ca="1" si="1916"/>
        <v>2111310.1784925968</v>
      </c>
      <c r="BG1945" s="2">
        <f t="shared" ca="1" si="1917"/>
        <v>2250503.8745495179</v>
      </c>
      <c r="BH1945" s="2">
        <f t="shared" ca="1" si="1918"/>
        <v>2394724.1435386217</v>
      </c>
      <c r="BI1945" s="2">
        <f t="shared" ca="1" si="1919"/>
        <v>26394801.032623168</v>
      </c>
      <c r="BJ1945" s="2">
        <f t="shared" ca="1" si="1920"/>
        <v>0.15325303303026416</v>
      </c>
      <c r="BK1945" s="2">
        <f t="shared" ca="1" si="1921"/>
        <v>2486882.3318373598</v>
      </c>
    </row>
    <row r="1946" spans="1:63" x14ac:dyDescent="0.3">
      <c r="A1946" s="2">
        <v>1945</v>
      </c>
      <c r="B1946" s="2">
        <f t="shared" ca="1" si="1860"/>
        <v>8.8309686672578547E-3</v>
      </c>
      <c r="C1946" s="2">
        <f t="shared" ca="1" si="1861"/>
        <v>6.1328982217131429</v>
      </c>
      <c r="D1946" s="2">
        <f t="shared" ca="1" si="1862"/>
        <v>9.3703627423450286E-2</v>
      </c>
      <c r="E1946" s="2">
        <f t="shared" ca="1" si="1863"/>
        <v>6.9329055957675996</v>
      </c>
      <c r="F1946" s="2">
        <f t="shared" ca="1" si="1864"/>
        <v>0.59143935085420818</v>
      </c>
      <c r="G1946" s="2">
        <f t="shared" ca="1" si="1865"/>
        <v>4.69374725743502E-2</v>
      </c>
      <c r="H1946" s="2">
        <f t="shared" ca="1" si="1866"/>
        <v>4.69374725743502E-2</v>
      </c>
      <c r="I1946" s="2">
        <f t="shared" ca="1" si="1867"/>
        <v>0.67312750363445228</v>
      </c>
      <c r="J1946" s="2">
        <f t="shared" ca="1" si="1868"/>
        <v>1.2242828423516993E-2</v>
      </c>
      <c r="K1946" s="2">
        <f t="shared" ca="1" si="1869"/>
        <v>1.2242828423516993E-2</v>
      </c>
      <c r="L1946" s="2">
        <f t="shared" ca="1" si="1870"/>
        <v>0.48160764921178723</v>
      </c>
      <c r="M1946" s="2">
        <f t="shared" ca="1" si="1871"/>
        <v>-9.2238260682313863E-4</v>
      </c>
      <c r="N1946" s="2">
        <f t="shared" ca="1" si="1872"/>
        <v>-9.2238260682313863E-4</v>
      </c>
      <c r="O1946" s="2">
        <f t="shared" si="1873"/>
        <v>6000000</v>
      </c>
      <c r="P1946" s="2">
        <f t="shared" ca="1" si="1874"/>
        <v>36797389.330278859</v>
      </c>
      <c r="Q1946" s="2">
        <f t="shared" ca="1" si="1875"/>
        <v>919934.73325697146</v>
      </c>
      <c r="R1946" s="2">
        <f t="shared" ca="1" si="1876"/>
        <v>22078433.598167315</v>
      </c>
      <c r="S1946" s="2">
        <f t="shared" ca="1" si="1877"/>
        <v>14718955.732111543</v>
      </c>
      <c r="T1946" s="2">
        <f t="shared" ca="1" si="1878"/>
        <v>49953880.869658843</v>
      </c>
      <c r="U1946" s="2">
        <f t="shared" ca="1" si="1879"/>
        <v>52298589.78296081</v>
      </c>
      <c r="V1946" s="2">
        <f t="shared" ca="1" si="1880"/>
        <v>54753353.406575717</v>
      </c>
      <c r="W1946" s="2">
        <f t="shared" ca="1" si="1881"/>
        <v>57323337.430450566</v>
      </c>
      <c r="X1946" s="2">
        <f t="shared" ca="1" si="1882"/>
        <v>60013950.008962557</v>
      </c>
      <c r="Y1946" s="2">
        <f t="shared" ca="1" si="1883"/>
        <v>0.12612141421175849</v>
      </c>
      <c r="Z1946" s="2">
        <f t="shared" ca="1" si="1884"/>
        <v>0.12856997989646188</v>
      </c>
      <c r="AA1946" s="2">
        <f t="shared" ca="1" si="1885"/>
        <v>6300254.1006470816</v>
      </c>
      <c r="AB1946" s="2">
        <f t="shared" ca="1" si="1886"/>
        <v>6724028.6370085776</v>
      </c>
      <c r="AC1946" s="2">
        <f t="shared" ca="1" si="1887"/>
        <v>7039637.5467473119</v>
      </c>
      <c r="AD1946" s="2">
        <f t="shared" ca="1" si="1888"/>
        <v>7370060.3410311304</v>
      </c>
      <c r="AE1946" s="2">
        <f t="shared" ca="1" si="1889"/>
        <v>7715992.3461595839</v>
      </c>
      <c r="AF1946" s="2">
        <f t="shared" ca="1" si="1890"/>
        <v>999077.61739317689</v>
      </c>
      <c r="AG1946" s="2">
        <f t="shared" ca="1" si="1891"/>
        <v>1045971.7956592162</v>
      </c>
      <c r="AH1946" s="2">
        <f t="shared" ca="1" si="1892"/>
        <v>1095067.0681315144</v>
      </c>
      <c r="AI1946" s="2">
        <f t="shared" ca="1" si="1893"/>
        <v>1146466.7486090113</v>
      </c>
      <c r="AJ1946" s="2">
        <f t="shared" ca="1" si="1894"/>
        <v>1200279.0001792512</v>
      </c>
      <c r="AK1946" s="2">
        <f t="shared" ca="1" si="1895"/>
        <v>0</v>
      </c>
      <c r="AL1946" s="2">
        <f t="shared" ca="1" si="1896"/>
        <v>23447.089133019672</v>
      </c>
      <c r="AM1946" s="2">
        <f t="shared" ca="1" si="1897"/>
        <v>24547.636236149072</v>
      </c>
      <c r="AN1946" s="2">
        <f t="shared" ca="1" si="1898"/>
        <v>25699.840238748493</v>
      </c>
      <c r="AO1946" s="2">
        <f t="shared" ca="1" si="1899"/>
        <v>26906.125785119908</v>
      </c>
      <c r="AP1946" s="2">
        <f t="shared" ca="1" si="1900"/>
        <v>1987059.0238350583</v>
      </c>
      <c r="AQ1946" s="2">
        <f t="shared" ca="1" si="1901"/>
        <v>861670.53944890003</v>
      </c>
      <c r="AR1946" s="2">
        <f t="shared" ca="1" si="1902"/>
        <v>959659.4325537188</v>
      </c>
      <c r="AS1946" s="2">
        <f t="shared" ca="1" si="1903"/>
        <v>1028952.9782429924</v>
      </c>
      <c r="AT1946" s="2">
        <f t="shared" ca="1" si="1904"/>
        <v>1101498.9878326359</v>
      </c>
      <c r="AU1946" s="2">
        <f t="shared" ca="1" si="1905"/>
        <v>1177450.1237577714</v>
      </c>
      <c r="AV1946" s="2">
        <f t="shared" ca="1" si="1906"/>
        <v>2452446.9199699461</v>
      </c>
      <c r="AW1946" s="2">
        <f t="shared" ca="1" si="1907"/>
        <v>2707891.2958275648</v>
      </c>
      <c r="AX1946" s="2">
        <f t="shared" ca="1" si="1908"/>
        <v>2904010.8403015984</v>
      </c>
      <c r="AY1946" s="2">
        <f t="shared" ca="1" si="1909"/>
        <v>3109335.7405156773</v>
      </c>
      <c r="AZ1946" s="2">
        <f t="shared" ca="1" si="1910"/>
        <v>3324298.0726023838</v>
      </c>
      <c r="BA1946" s="2">
        <f t="shared" ca="1" si="1911"/>
        <v>53494246.513589747</v>
      </c>
      <c r="BB1946" s="2">
        <f t="shared" ca="1" si="1912"/>
        <v>1069884.930271795</v>
      </c>
      <c r="BC1946" s="2">
        <f t="shared" ca="1" si="1913"/>
        <v>30345927.985150635</v>
      </c>
      <c r="BD1946" s="2">
        <f t="shared" ca="1" si="1914"/>
        <v>-16138890.465368515</v>
      </c>
      <c r="BE1946" s="2">
        <f t="shared" ca="1" si="1915"/>
        <v>2452446.9199699461</v>
      </c>
      <c r="BF1946" s="2">
        <f t="shared" ca="1" si="1916"/>
        <v>2707891.2958275648</v>
      </c>
      <c r="BG1946" s="2">
        <f t="shared" ca="1" si="1917"/>
        <v>2904010.8403015984</v>
      </c>
      <c r="BH1946" s="2">
        <f t="shared" ca="1" si="1918"/>
        <v>3109335.7405156773</v>
      </c>
      <c r="BI1946" s="2">
        <f t="shared" ca="1" si="1919"/>
        <v>33670226.057753019</v>
      </c>
      <c r="BJ1946" s="2">
        <f t="shared" ca="1" si="1920"/>
        <v>0.27541835681143101</v>
      </c>
      <c r="BK1946" s="2">
        <f t="shared" ca="1" si="1921"/>
        <v>11357955.780488012</v>
      </c>
    </row>
    <row r="1947" spans="1:63" x14ac:dyDescent="0.3">
      <c r="A1947" s="2">
        <v>1946</v>
      </c>
      <c r="B1947" s="2">
        <f t="shared" ca="1" si="1860"/>
        <v>0.18868114273707093</v>
      </c>
      <c r="C1947" s="2">
        <f t="shared" ca="1" si="1861"/>
        <v>6.6142982056575956</v>
      </c>
      <c r="D1947" s="2">
        <f t="shared" ca="1" si="1862"/>
        <v>0.498012717855703</v>
      </c>
      <c r="E1947" s="2">
        <f t="shared" ca="1" si="1863"/>
        <v>7.49801073927659</v>
      </c>
      <c r="F1947" s="2">
        <f t="shared" ca="1" si="1864"/>
        <v>0.32424149408348912</v>
      </c>
      <c r="G1947" s="2">
        <f t="shared" ca="1" si="1865"/>
        <v>2.6323880168039375E-2</v>
      </c>
      <c r="H1947" s="2">
        <f t="shared" ca="1" si="1866"/>
        <v>2.6323880168039375E-2</v>
      </c>
      <c r="I1947" s="2">
        <f t="shared" ca="1" si="1867"/>
        <v>0.71421751768246067</v>
      </c>
      <c r="J1947" s="2">
        <f t="shared" ca="1" si="1868"/>
        <v>1.2828740996634641E-2</v>
      </c>
      <c r="K1947" s="2">
        <f t="shared" ca="1" si="1869"/>
        <v>1.2828740996634641E-2</v>
      </c>
      <c r="L1947" s="2">
        <f t="shared" ca="1" si="1870"/>
        <v>0.13331464429919249</v>
      </c>
      <c r="M1947" s="2">
        <f t="shared" ca="1" si="1871"/>
        <v>-2.2217168721409077E-2</v>
      </c>
      <c r="N1947" s="2">
        <f t="shared" ca="1" si="1872"/>
        <v>-2.2217168721409077E-2</v>
      </c>
      <c r="O1947" s="2">
        <f t="shared" si="1873"/>
        <v>6000000</v>
      </c>
      <c r="P1947" s="2">
        <f t="shared" ca="1" si="1874"/>
        <v>39685789.233945571</v>
      </c>
      <c r="Q1947" s="2">
        <f t="shared" ca="1" si="1875"/>
        <v>992144.73084863927</v>
      </c>
      <c r="R1947" s="2">
        <f t="shared" ca="1" si="1876"/>
        <v>23811473.540367343</v>
      </c>
      <c r="S1947" s="2">
        <f t="shared" ca="1" si="1877"/>
        <v>15874315.693578228</v>
      </c>
      <c r="T1947" s="2">
        <f t="shared" ca="1" si="1878"/>
        <v>48889141.563929543</v>
      </c>
      <c r="U1947" s="2">
        <f t="shared" ca="1" si="1879"/>
        <v>50176093.467976741</v>
      </c>
      <c r="V1947" s="2">
        <f t="shared" ca="1" si="1880"/>
        <v>51496922.939728111</v>
      </c>
      <c r="W1947" s="2">
        <f t="shared" ca="1" si="1881"/>
        <v>52852521.768216275</v>
      </c>
      <c r="X1947" s="2">
        <f t="shared" ca="1" si="1882"/>
        <v>54243805.217821494</v>
      </c>
      <c r="Y1947" s="2">
        <f t="shared" ca="1" si="1883"/>
        <v>0.12641437049831733</v>
      </c>
      <c r="Z1947" s="2">
        <f t="shared" ca="1" si="1884"/>
        <v>0.12898011869764425</v>
      </c>
      <c r="AA1947" s="2">
        <f t="shared" ca="1" si="1885"/>
        <v>6180290.0550072743</v>
      </c>
      <c r="AB1947" s="2">
        <f t="shared" ca="1" si="1886"/>
        <v>6471718.4912837325</v>
      </c>
      <c r="AC1947" s="2">
        <f t="shared" ca="1" si="1887"/>
        <v>6642079.2333295709</v>
      </c>
      <c r="AD1947" s="2">
        <f t="shared" ca="1" si="1888"/>
        <v>6816924.5311343614</v>
      </c>
      <c r="AE1947" s="2">
        <f t="shared" ca="1" si="1889"/>
        <v>6996372.4356065113</v>
      </c>
      <c r="AF1947" s="2">
        <f t="shared" ca="1" si="1890"/>
        <v>977782.83127859083</v>
      </c>
      <c r="AG1947" s="2">
        <f t="shared" ca="1" si="1891"/>
        <v>1003521.8693595348</v>
      </c>
      <c r="AH1947" s="2">
        <f t="shared" ca="1" si="1892"/>
        <v>1029938.4587945623</v>
      </c>
      <c r="AI1947" s="2">
        <f t="shared" ca="1" si="1893"/>
        <v>1057050.4353643255</v>
      </c>
      <c r="AJ1947" s="2">
        <f t="shared" ca="1" si="1894"/>
        <v>1084876.10435643</v>
      </c>
      <c r="AK1947" s="2">
        <f t="shared" ca="1" si="1895"/>
        <v>0</v>
      </c>
      <c r="AL1947" s="2">
        <f t="shared" ca="1" si="1896"/>
        <v>12869.519040471987</v>
      </c>
      <c r="AM1947" s="2">
        <f t="shared" ca="1" si="1897"/>
        <v>13208.294717513696</v>
      </c>
      <c r="AN1947" s="2">
        <f t="shared" ca="1" si="1898"/>
        <v>13555.988284881636</v>
      </c>
      <c r="AO1947" s="2">
        <f t="shared" ca="1" si="1899"/>
        <v>13912.834496052192</v>
      </c>
      <c r="AP1947" s="2">
        <f t="shared" ca="1" si="1900"/>
        <v>2143032.6186330607</v>
      </c>
      <c r="AQ1947" s="2">
        <f t="shared" ca="1" si="1901"/>
        <v>795463.39732486208</v>
      </c>
      <c r="AR1947" s="2">
        <f t="shared" ca="1" si="1902"/>
        <v>864542.64085569559</v>
      </c>
      <c r="AS1947" s="2">
        <f t="shared" ca="1" si="1903"/>
        <v>901968.12053450651</v>
      </c>
      <c r="AT1947" s="2">
        <f t="shared" ca="1" si="1904"/>
        <v>940378.78405561356</v>
      </c>
      <c r="AU1947" s="2">
        <f t="shared" ca="1" si="1905"/>
        <v>979800.56528042525</v>
      </c>
      <c r="AV1947" s="2">
        <f t="shared" ca="1" si="1906"/>
        <v>2264011.2077707611</v>
      </c>
      <c r="AW1947" s="2">
        <f t="shared" ca="1" si="1907"/>
        <v>2447751.8433949696</v>
      </c>
      <c r="AX1947" s="2">
        <f t="shared" ca="1" si="1908"/>
        <v>2553931.7406499274</v>
      </c>
      <c r="AY1947" s="2">
        <f t="shared" ca="1" si="1909"/>
        <v>2662906.70479648</v>
      </c>
      <c r="AZ1947" s="2">
        <f t="shared" ca="1" si="1910"/>
        <v>2774750.3128405428</v>
      </c>
      <c r="BA1947" s="2">
        <f t="shared" ca="1" si="1911"/>
        <v>52458875.658156335</v>
      </c>
      <c r="BB1947" s="2">
        <f t="shared" ca="1" si="1912"/>
        <v>1049177.5131631268</v>
      </c>
      <c r="BC1947" s="2">
        <f t="shared" ca="1" si="1913"/>
        <v>27598224.604625866</v>
      </c>
      <c r="BD1947" s="2">
        <f t="shared" ca="1" si="1914"/>
        <v>-17366460.424426869</v>
      </c>
      <c r="BE1947" s="2">
        <f t="shared" ca="1" si="1915"/>
        <v>2264011.2077707611</v>
      </c>
      <c r="BF1947" s="2">
        <f t="shared" ca="1" si="1916"/>
        <v>2447751.8433949696</v>
      </c>
      <c r="BG1947" s="2">
        <f t="shared" ca="1" si="1917"/>
        <v>2553931.7406499274</v>
      </c>
      <c r="BH1947" s="2">
        <f t="shared" ca="1" si="1918"/>
        <v>2662906.70479648</v>
      </c>
      <c r="BI1947" s="2">
        <f t="shared" ca="1" si="1919"/>
        <v>30372974.91746641</v>
      </c>
      <c r="BJ1947" s="2">
        <f t="shared" ca="1" si="1920"/>
        <v>0.21965900892047818</v>
      </c>
      <c r="BK1947" s="2">
        <f t="shared" ca="1" si="1921"/>
        <v>7350916.1127583571</v>
      </c>
    </row>
    <row r="1948" spans="1:63" x14ac:dyDescent="0.3">
      <c r="A1948" s="2">
        <v>1947</v>
      </c>
      <c r="B1948" s="2">
        <f t="shared" ca="1" si="1860"/>
        <v>0.7300931883688494</v>
      </c>
      <c r="C1948" s="2">
        <f t="shared" ca="1" si="1861"/>
        <v>7.265279901416668</v>
      </c>
      <c r="D1948" s="2">
        <f t="shared" ca="1" si="1862"/>
        <v>0.98949250548610845</v>
      </c>
      <c r="E1948" s="2">
        <f t="shared" ca="1" si="1863"/>
        <v>8.3550345247040418</v>
      </c>
      <c r="F1948" s="2">
        <f t="shared" ca="1" si="1864"/>
        <v>0.20282060287334991</v>
      </c>
      <c r="G1948" s="2">
        <f t="shared" ca="1" si="1865"/>
        <v>1.5052342358182712E-2</v>
      </c>
      <c r="H1948" s="2">
        <f t="shared" ca="1" si="1866"/>
        <v>1.5052342358182712E-2</v>
      </c>
      <c r="I1948" s="2">
        <f t="shared" ca="1" si="1867"/>
        <v>0.15481865509850079</v>
      </c>
      <c r="J1948" s="2">
        <f t="shared" ca="1" si="1868"/>
        <v>4.9200831961003387E-3</v>
      </c>
      <c r="K1948" s="2">
        <f t="shared" ca="1" si="1869"/>
        <v>4.9200831961003387E-3</v>
      </c>
      <c r="L1948" s="2">
        <f t="shared" ca="1" si="1870"/>
        <v>0.74120428727407239</v>
      </c>
      <c r="M1948" s="2">
        <f t="shared" ca="1" si="1871"/>
        <v>1.2941252122373362E-2</v>
      </c>
      <c r="N1948" s="2">
        <f t="shared" ca="1" si="1872"/>
        <v>1.2941252122373362E-2</v>
      </c>
      <c r="O1948" s="2">
        <f t="shared" si="1873"/>
        <v>6000000</v>
      </c>
      <c r="P1948" s="2">
        <f t="shared" ca="1" si="1874"/>
        <v>43591679.408500008</v>
      </c>
      <c r="Q1948" s="2">
        <f t="shared" ca="1" si="1875"/>
        <v>1089791.9852125002</v>
      </c>
      <c r="R1948" s="2">
        <f t="shared" ca="1" si="1876"/>
        <v>26155007.645100005</v>
      </c>
      <c r="S1948" s="2">
        <f t="shared" ca="1" si="1877"/>
        <v>17436671.763400003</v>
      </c>
      <c r="T1948" s="2">
        <f t="shared" ca="1" si="1878"/>
        <v>50647062.606118664</v>
      </c>
      <c r="U1948" s="2">
        <f t="shared" ca="1" si="1879"/>
        <v>51409419.531902276</v>
      </c>
      <c r="V1948" s="2">
        <f t="shared" ca="1" si="1880"/>
        <v>52183251.715131916</v>
      </c>
      <c r="W1948" s="2">
        <f t="shared" ca="1" si="1881"/>
        <v>52968731.885311313</v>
      </c>
      <c r="X1948" s="2">
        <f t="shared" ca="1" si="1882"/>
        <v>53766035.371927813</v>
      </c>
      <c r="Y1948" s="2">
        <f t="shared" ca="1" si="1883"/>
        <v>0.12246004159805017</v>
      </c>
      <c r="Z1948" s="2">
        <f t="shared" ca="1" si="1884"/>
        <v>0.12344405823727023</v>
      </c>
      <c r="AA1948" s="2">
        <f t="shared" ca="1" si="1885"/>
        <v>6202241.3935643425</v>
      </c>
      <c r="AB1948" s="2">
        <f t="shared" ca="1" si="1886"/>
        <v>6346187.3786404021</v>
      </c>
      <c r="AC1948" s="2">
        <f t="shared" ca="1" si="1887"/>
        <v>6441712.3637328753</v>
      </c>
      <c r="AD1948" s="2">
        <f t="shared" ca="1" si="1888"/>
        <v>6538675.2236047219</v>
      </c>
      <c r="AE1948" s="2">
        <f t="shared" ca="1" si="1889"/>
        <v>6637097.6016393881</v>
      </c>
      <c r="AF1948" s="2">
        <f t="shared" ca="1" si="1890"/>
        <v>1012941.2521223733</v>
      </c>
      <c r="AG1948" s="2">
        <f t="shared" ca="1" si="1891"/>
        <v>1028188.3906380455</v>
      </c>
      <c r="AH1948" s="2">
        <f t="shared" ca="1" si="1892"/>
        <v>1043665.0343026384</v>
      </c>
      <c r="AI1948" s="2">
        <f t="shared" ca="1" si="1893"/>
        <v>1059374.6377062262</v>
      </c>
      <c r="AJ1948" s="2">
        <f t="shared" ca="1" si="1894"/>
        <v>1075320.7074385562</v>
      </c>
      <c r="AK1948" s="2">
        <f t="shared" ca="1" si="1895"/>
        <v>0</v>
      </c>
      <c r="AL1948" s="2">
        <f t="shared" ca="1" si="1896"/>
        <v>7623.5692578361186</v>
      </c>
      <c r="AM1948" s="2">
        <f t="shared" ca="1" si="1897"/>
        <v>7738.3218322964012</v>
      </c>
      <c r="AN1948" s="2">
        <f t="shared" ca="1" si="1898"/>
        <v>7854.8017017939692</v>
      </c>
      <c r="AO1948" s="2">
        <f t="shared" ca="1" si="1899"/>
        <v>7973.0348661649978</v>
      </c>
      <c r="AP1948" s="2">
        <f t="shared" ca="1" si="1900"/>
        <v>2353950.6880590003</v>
      </c>
      <c r="AQ1948" s="2">
        <f t="shared" ca="1" si="1901"/>
        <v>737190.85787957197</v>
      </c>
      <c r="AR1948" s="2">
        <f t="shared" ca="1" si="1902"/>
        <v>770652.55798527249</v>
      </c>
      <c r="AS1948" s="2">
        <f t="shared" ca="1" si="1903"/>
        <v>791465.12675652164</v>
      </c>
      <c r="AT1948" s="2">
        <f t="shared" ca="1" si="1904"/>
        <v>812590.97343826899</v>
      </c>
      <c r="AU1948" s="2">
        <f t="shared" ca="1" si="1905"/>
        <v>834034.81359687622</v>
      </c>
      <c r="AV1948" s="2">
        <f t="shared" ca="1" si="1906"/>
        <v>2098158.5955033973</v>
      </c>
      <c r="AW1948" s="2">
        <f t="shared" ca="1" si="1907"/>
        <v>2185772.1727002477</v>
      </c>
      <c r="AX1948" s="2">
        <f t="shared" ca="1" si="1908"/>
        <v>2244893.1927824188</v>
      </c>
      <c r="AY1948" s="2">
        <f t="shared" ca="1" si="1909"/>
        <v>2304904.1226994321</v>
      </c>
      <c r="AZ1948" s="2">
        <f t="shared" ca="1" si="1910"/>
        <v>2365818.3576787896</v>
      </c>
      <c r="BA1948" s="2">
        <f t="shared" ca="1" si="1911"/>
        <v>55453179.605527483</v>
      </c>
      <c r="BB1948" s="2">
        <f t="shared" ca="1" si="1912"/>
        <v>1109063.5921105496</v>
      </c>
      <c r="BC1948" s="2">
        <f t="shared" ca="1" si="1913"/>
        <v>28189108.36831693</v>
      </c>
      <c r="BD1948" s="2">
        <f t="shared" ca="1" si="1914"/>
        <v>-19026463.748612504</v>
      </c>
      <c r="BE1948" s="2">
        <f t="shared" ca="1" si="1915"/>
        <v>2098158.5955033973</v>
      </c>
      <c r="BF1948" s="2">
        <f t="shared" ca="1" si="1916"/>
        <v>2185772.1727002477</v>
      </c>
      <c r="BG1948" s="2">
        <f t="shared" ca="1" si="1917"/>
        <v>2244893.1927824188</v>
      </c>
      <c r="BH1948" s="2">
        <f t="shared" ca="1" si="1918"/>
        <v>2304904.1226994321</v>
      </c>
      <c r="BI1948" s="2">
        <f t="shared" ca="1" si="1919"/>
        <v>30554926.725995719</v>
      </c>
      <c r="BJ1948" s="2">
        <f t="shared" ca="1" si="1920"/>
        <v>0.18343267676589048</v>
      </c>
      <c r="BK1948" s="2">
        <f t="shared" ca="1" si="1921"/>
        <v>4989741.2049104087</v>
      </c>
    </row>
    <row r="1949" spans="1:63" x14ac:dyDescent="0.3">
      <c r="A1949" s="2">
        <v>1948</v>
      </c>
      <c r="B1949" s="2">
        <f t="shared" ca="1" si="1860"/>
        <v>0.78360185975632468</v>
      </c>
      <c r="C1949" s="2">
        <f t="shared" ca="1" si="1861"/>
        <v>7.3421274587829721</v>
      </c>
      <c r="D1949" s="2">
        <f t="shared" ca="1" si="1862"/>
        <v>0.69740654904609956</v>
      </c>
      <c r="E1949" s="2">
        <f t="shared" ca="1" si="1863"/>
        <v>7.7220624048756861</v>
      </c>
      <c r="F1949" s="2">
        <f t="shared" ca="1" si="1864"/>
        <v>5.2552873115225385E-2</v>
      </c>
      <c r="G1949" s="2">
        <f t="shared" ca="1" si="1865"/>
        <v>-8.6176793202643459E-3</v>
      </c>
      <c r="H1949" s="2">
        <f t="shared" ca="1" si="1866"/>
        <v>-8.6176793202643459E-3</v>
      </c>
      <c r="I1949" s="2">
        <f t="shared" ca="1" si="1867"/>
        <v>4.830853048069772E-2</v>
      </c>
      <c r="J1949" s="2">
        <f t="shared" ca="1" si="1868"/>
        <v>1.6925994650871905E-3</v>
      </c>
      <c r="K1949" s="2">
        <f t="shared" ca="1" si="1869"/>
        <v>1.6925994650871905E-3</v>
      </c>
      <c r="L1949" s="2">
        <f t="shared" ca="1" si="1870"/>
        <v>0.2574963555747587</v>
      </c>
      <c r="M1949" s="2">
        <f t="shared" ca="1" si="1871"/>
        <v>-1.3021666154615601E-2</v>
      </c>
      <c r="N1949" s="2">
        <f t="shared" ca="1" si="1872"/>
        <v>-1.3021666154615601E-2</v>
      </c>
      <c r="O1949" s="2">
        <f t="shared" si="1873"/>
        <v>6000000</v>
      </c>
      <c r="P1949" s="2">
        <f t="shared" ca="1" si="1874"/>
        <v>44052764.752697833</v>
      </c>
      <c r="Q1949" s="2">
        <f t="shared" ca="1" si="1875"/>
        <v>1101319.1188174458</v>
      </c>
      <c r="R1949" s="2">
        <f t="shared" ca="1" si="1876"/>
        <v>26431658.8516187</v>
      </c>
      <c r="S1949" s="2">
        <f t="shared" ca="1" si="1877"/>
        <v>17621105.901079133</v>
      </c>
      <c r="T1949" s="2">
        <f t="shared" ca="1" si="1878"/>
        <v>49348916.692269221</v>
      </c>
      <c r="U1949" s="2">
        <f t="shared" ca="1" si="1879"/>
        <v>48923643.553412803</v>
      </c>
      <c r="V1949" s="2">
        <f t="shared" ca="1" si="1880"/>
        <v>48502035.282090575</v>
      </c>
      <c r="W1949" s="2">
        <f t="shared" ca="1" si="1881"/>
        <v>48084060.295649372</v>
      </c>
      <c r="X1949" s="2">
        <f t="shared" ca="1" si="1882"/>
        <v>47669687.28360521</v>
      </c>
      <c r="Y1949" s="2">
        <f t="shared" ca="1" si="1883"/>
        <v>0.12084629973254359</v>
      </c>
      <c r="Z1949" s="2">
        <f t="shared" ca="1" si="1884"/>
        <v>0.12118481962556103</v>
      </c>
      <c r="AA1949" s="2">
        <f t="shared" ca="1" si="1885"/>
        <v>5963633.9780702898</v>
      </c>
      <c r="AB1949" s="2">
        <f t="shared" ca="1" si="1886"/>
        <v>5928802.9194455724</v>
      </c>
      <c r="AC1949" s="2">
        <f t="shared" ca="1" si="1887"/>
        <v>5877710.3971327431</v>
      </c>
      <c r="AD1949" s="2">
        <f t="shared" ca="1" si="1888"/>
        <v>5827058.1737928698</v>
      </c>
      <c r="AE1949" s="2">
        <f t="shared" ca="1" si="1889"/>
        <v>5776842.4550705981</v>
      </c>
      <c r="AF1949" s="2">
        <f t="shared" ca="1" si="1890"/>
        <v>986978.33384538442</v>
      </c>
      <c r="AG1949" s="2">
        <f t="shared" ca="1" si="1891"/>
        <v>978472.87106825609</v>
      </c>
      <c r="AH1949" s="2">
        <f t="shared" ca="1" si="1892"/>
        <v>970040.70564181148</v>
      </c>
      <c r="AI1949" s="2">
        <f t="shared" ca="1" si="1893"/>
        <v>961681.20591298747</v>
      </c>
      <c r="AJ1949" s="2">
        <f t="shared" ca="1" si="1894"/>
        <v>953393.74567210418</v>
      </c>
      <c r="AK1949" s="2">
        <f t="shared" ca="1" si="1895"/>
        <v>0</v>
      </c>
      <c r="AL1949" s="2">
        <f t="shared" ca="1" si="1896"/>
        <v>0</v>
      </c>
      <c r="AM1949" s="2">
        <f t="shared" ca="1" si="1897"/>
        <v>0</v>
      </c>
      <c r="AN1949" s="2">
        <f t="shared" ca="1" si="1898"/>
        <v>0</v>
      </c>
      <c r="AO1949" s="2">
        <f t="shared" ca="1" si="1899"/>
        <v>0</v>
      </c>
      <c r="AP1949" s="2">
        <f t="shared" ca="1" si="1900"/>
        <v>2378849.2966456828</v>
      </c>
      <c r="AQ1949" s="2">
        <f t="shared" ca="1" si="1901"/>
        <v>675429.65037059796</v>
      </c>
      <c r="AR1949" s="2">
        <f t="shared" ca="1" si="1902"/>
        <v>668584.99545022473</v>
      </c>
      <c r="AS1949" s="2">
        <f t="shared" ca="1" si="1903"/>
        <v>657493.30265976465</v>
      </c>
      <c r="AT1949" s="2">
        <f t="shared" ca="1" si="1904"/>
        <v>646497.19452089188</v>
      </c>
      <c r="AU1949" s="2">
        <f t="shared" ca="1" si="1905"/>
        <v>635595.84731573099</v>
      </c>
      <c r="AV1949" s="2">
        <f t="shared" ca="1" si="1906"/>
        <v>1922376.6972086248</v>
      </c>
      <c r="AW1949" s="2">
        <f t="shared" ca="1" si="1907"/>
        <v>1902895.7562814089</v>
      </c>
      <c r="AX1949" s="2">
        <f t="shared" ca="1" si="1908"/>
        <v>1871327.0921854838</v>
      </c>
      <c r="AY1949" s="2">
        <f t="shared" ca="1" si="1909"/>
        <v>1840030.4767133077</v>
      </c>
      <c r="AZ1949" s="2">
        <f t="shared" ca="1" si="1910"/>
        <v>1809003.5654370803</v>
      </c>
      <c r="BA1949" s="2">
        <f t="shared" ca="1" si="1911"/>
        <v>44609137.941190422</v>
      </c>
      <c r="BB1949" s="2">
        <f t="shared" ca="1" si="1912"/>
        <v>892182.7588238084</v>
      </c>
      <c r="BC1949" s="2">
        <f t="shared" ca="1" si="1913"/>
        <v>17285296.330747914</v>
      </c>
      <c r="BD1949" s="2">
        <f t="shared" ca="1" si="1914"/>
        <v>-19222425.019896578</v>
      </c>
      <c r="BE1949" s="2">
        <f t="shared" ca="1" si="1915"/>
        <v>1922376.6972086248</v>
      </c>
      <c r="BF1949" s="2">
        <f t="shared" ca="1" si="1916"/>
        <v>1902895.7562814089</v>
      </c>
      <c r="BG1949" s="2">
        <f t="shared" ca="1" si="1917"/>
        <v>1871327.0921854838</v>
      </c>
      <c r="BH1949" s="2">
        <f t="shared" ca="1" si="1918"/>
        <v>1840030.4767133077</v>
      </c>
      <c r="BI1949" s="2">
        <f t="shared" ca="1" si="1919"/>
        <v>19094299.896184996</v>
      </c>
      <c r="BJ1949" s="2">
        <f t="shared" ca="1" si="1920"/>
        <v>8.0300858691602306E-2</v>
      </c>
      <c r="BK1949" s="2">
        <f t="shared" ca="1" si="1921"/>
        <v>-2653075.5615832526</v>
      </c>
    </row>
    <row r="1950" spans="1:63" x14ac:dyDescent="0.3">
      <c r="A1950" s="2">
        <v>1949</v>
      </c>
      <c r="B1950" s="2">
        <f t="shared" ca="1" si="1860"/>
        <v>0.6708850990659071</v>
      </c>
      <c r="C1950" s="2">
        <f t="shared" ca="1" si="1861"/>
        <v>7.1886863726842831</v>
      </c>
      <c r="D1950" s="2">
        <f t="shared" ca="1" si="1862"/>
        <v>0.20304754126852376</v>
      </c>
      <c r="E1950" s="2">
        <f t="shared" ca="1" si="1863"/>
        <v>7.1372559003548321</v>
      </c>
      <c r="F1950" s="2">
        <f t="shared" ca="1" si="1864"/>
        <v>0.36662897299994113</v>
      </c>
      <c r="G1950" s="2">
        <f t="shared" ca="1" si="1865"/>
        <v>2.9776151242842525E-2</v>
      </c>
      <c r="H1950" s="2">
        <f t="shared" ca="1" si="1866"/>
        <v>2.9776151242842525E-2</v>
      </c>
      <c r="I1950" s="2">
        <f t="shared" ca="1" si="1867"/>
        <v>0.11925431804269782</v>
      </c>
      <c r="J1950" s="2">
        <f t="shared" ca="1" si="1868"/>
        <v>4.1063867830833144E-3</v>
      </c>
      <c r="K1950" s="2">
        <f t="shared" ca="1" si="1869"/>
        <v>4.1063867830833144E-3</v>
      </c>
      <c r="L1950" s="2">
        <f t="shared" ca="1" si="1870"/>
        <v>0.69237131564910315</v>
      </c>
      <c r="M1950" s="2">
        <f t="shared" ca="1" si="1871"/>
        <v>1.0051663277996161E-2</v>
      </c>
      <c r="N1950" s="2">
        <f t="shared" ca="1" si="1872"/>
        <v>1.0051663277996161E-2</v>
      </c>
      <c r="O1950" s="2">
        <f t="shared" si="1873"/>
        <v>6000000</v>
      </c>
      <c r="P1950" s="2">
        <f t="shared" ca="1" si="1874"/>
        <v>43132118.236105695</v>
      </c>
      <c r="Q1950" s="2">
        <f t="shared" ca="1" si="1875"/>
        <v>1078302.9559026423</v>
      </c>
      <c r="R1950" s="2">
        <f t="shared" ca="1" si="1876"/>
        <v>25879270.941663418</v>
      </c>
      <c r="S1950" s="2">
        <f t="shared" ca="1" si="1877"/>
        <v>17252847.294442277</v>
      </c>
      <c r="T1950" s="2">
        <f t="shared" ca="1" si="1878"/>
        <v>50502583.163899809</v>
      </c>
      <c r="U1950" s="2">
        <f t="shared" ca="1" si="1879"/>
        <v>52006355.718342319</v>
      </c>
      <c r="V1950" s="2">
        <f t="shared" ca="1" si="1880"/>
        <v>53554904.831800744</v>
      </c>
      <c r="W1950" s="2">
        <f t="shared" ca="1" si="1881"/>
        <v>55149563.777868479</v>
      </c>
      <c r="X1950" s="2">
        <f t="shared" ca="1" si="1882"/>
        <v>56791705.529895082</v>
      </c>
      <c r="Y1950" s="2">
        <f t="shared" ca="1" si="1883"/>
        <v>0.12205319339154165</v>
      </c>
      <c r="Z1950" s="2">
        <f t="shared" ca="1" si="1884"/>
        <v>0.12287447074815831</v>
      </c>
      <c r="AA1950" s="2">
        <f t="shared" ca="1" si="1885"/>
        <v>6164001.5496758791</v>
      </c>
      <c r="AB1950" s="2">
        <f t="shared" ca="1" si="1886"/>
        <v>6390253.434431769</v>
      </c>
      <c r="AC1950" s="2">
        <f t="shared" ca="1" si="1887"/>
        <v>6580530.5871755024</v>
      </c>
      <c r="AD1950" s="2">
        <f t="shared" ca="1" si="1888"/>
        <v>6776473.4611973921</v>
      </c>
      <c r="AE1950" s="2">
        <f t="shared" ca="1" si="1889"/>
        <v>6978250.759871114</v>
      </c>
      <c r="AF1950" s="2">
        <f t="shared" ca="1" si="1890"/>
        <v>1010051.6632779962</v>
      </c>
      <c r="AG1950" s="2">
        <f t="shared" ca="1" si="1891"/>
        <v>1040127.1143668464</v>
      </c>
      <c r="AH1950" s="2">
        <f t="shared" ca="1" si="1892"/>
        <v>1071098.096636015</v>
      </c>
      <c r="AI1950" s="2">
        <f t="shared" ca="1" si="1893"/>
        <v>1102991.2755573697</v>
      </c>
      <c r="AJ1950" s="2">
        <f t="shared" ca="1" si="1894"/>
        <v>1135834.1105979017</v>
      </c>
      <c r="AK1950" s="2">
        <f t="shared" ca="1" si="1895"/>
        <v>0</v>
      </c>
      <c r="AL1950" s="2">
        <f t="shared" ca="1" si="1896"/>
        <v>15037.7255444251</v>
      </c>
      <c r="AM1950" s="2">
        <f t="shared" ca="1" si="1897"/>
        <v>15485.491134584248</v>
      </c>
      <c r="AN1950" s="2">
        <f t="shared" ca="1" si="1898"/>
        <v>15946.589460677356</v>
      </c>
      <c r="AO1950" s="2">
        <f t="shared" ca="1" si="1899"/>
        <v>16421.417520266026</v>
      </c>
      <c r="AP1950" s="2">
        <f t="shared" ca="1" si="1900"/>
        <v>2329134.3847497073</v>
      </c>
      <c r="AQ1950" s="2">
        <f t="shared" ca="1" si="1901"/>
        <v>734452.03042852576</v>
      </c>
      <c r="AR1950" s="2">
        <f t="shared" ca="1" si="1902"/>
        <v>785457.90318195603</v>
      </c>
      <c r="AS1950" s="2">
        <f t="shared" ca="1" si="1903"/>
        <v>826877.50750534283</v>
      </c>
      <c r="AT1950" s="2">
        <f t="shared" ca="1" si="1904"/>
        <v>869530.42823148193</v>
      </c>
      <c r="AU1950" s="2">
        <f t="shared" ca="1" si="1905"/>
        <v>913453.3887761113</v>
      </c>
      <c r="AV1950" s="2">
        <f t="shared" ca="1" si="1906"/>
        <v>2090363.47121965</v>
      </c>
      <c r="AW1950" s="2">
        <f t="shared" ca="1" si="1907"/>
        <v>2220496.3065888346</v>
      </c>
      <c r="AX1950" s="2">
        <f t="shared" ca="1" si="1908"/>
        <v>2337935.1071498538</v>
      </c>
      <c r="AY1950" s="2">
        <f t="shared" ca="1" si="1909"/>
        <v>2458870.783198155</v>
      </c>
      <c r="AZ1950" s="2">
        <f t="shared" ca="1" si="1910"/>
        <v>2583407.4582271273</v>
      </c>
      <c r="BA1950" s="2">
        <f t="shared" ca="1" si="1911"/>
        <v>49805561.410045698</v>
      </c>
      <c r="BB1950" s="2">
        <f t="shared" ca="1" si="1912"/>
        <v>996111.22820091399</v>
      </c>
      <c r="BC1950" s="2">
        <f t="shared" ca="1" si="1913"/>
        <v>22930179.240181368</v>
      </c>
      <c r="BD1950" s="2">
        <f t="shared" ca="1" si="1914"/>
        <v>-18831150.250344921</v>
      </c>
      <c r="BE1950" s="2">
        <f t="shared" ca="1" si="1915"/>
        <v>2090363.47121965</v>
      </c>
      <c r="BF1950" s="2">
        <f t="shared" ca="1" si="1916"/>
        <v>2220496.3065888346</v>
      </c>
      <c r="BG1950" s="2">
        <f t="shared" ca="1" si="1917"/>
        <v>2337935.1071498538</v>
      </c>
      <c r="BH1950" s="2">
        <f t="shared" ca="1" si="1918"/>
        <v>2458870.783198155</v>
      </c>
      <c r="BI1950" s="2">
        <f t="shared" ca="1" si="1919"/>
        <v>25513586.698408496</v>
      </c>
      <c r="BJ1950" s="2">
        <f t="shared" ca="1" si="1920"/>
        <v>0.1543255208387917</v>
      </c>
      <c r="BK1950" s="2">
        <f t="shared" ca="1" si="1921"/>
        <v>2509258.9103429429</v>
      </c>
    </row>
    <row r="1951" spans="1:63" x14ac:dyDescent="0.3">
      <c r="A1951" s="2">
        <v>1950</v>
      </c>
      <c r="B1951" s="2">
        <f t="shared" ca="1" si="1860"/>
        <v>0.68319224620314445</v>
      </c>
      <c r="C1951" s="2">
        <f t="shared" ca="1" si="1861"/>
        <v>7.2040003093004925</v>
      </c>
      <c r="D1951" s="2">
        <f t="shared" ca="1" si="1862"/>
        <v>0.35960212443316242</v>
      </c>
      <c r="E1951" s="2">
        <f t="shared" ca="1" si="1863"/>
        <v>7.3480591069414469</v>
      </c>
      <c r="F1951" s="2">
        <f t="shared" ca="1" si="1864"/>
        <v>0.11529764947405619</v>
      </c>
      <c r="G1951" s="2">
        <f t="shared" ca="1" si="1865"/>
        <v>4.0351959665640216E-3</v>
      </c>
      <c r="H1951" s="2">
        <f t="shared" ca="1" si="1866"/>
        <v>4.0351959665640216E-3</v>
      </c>
      <c r="I1951" s="2">
        <f t="shared" ca="1" si="1867"/>
        <v>0.24514653231820571</v>
      </c>
      <c r="J1951" s="2">
        <f t="shared" ca="1" si="1868"/>
        <v>6.5507861161780614E-3</v>
      </c>
      <c r="K1951" s="2">
        <f t="shared" ca="1" si="1869"/>
        <v>6.5507861161780614E-3</v>
      </c>
      <c r="L1951" s="2">
        <f t="shared" ca="1" si="1870"/>
        <v>0.44431509125477164</v>
      </c>
      <c r="M1951" s="2">
        <f t="shared" ca="1" si="1871"/>
        <v>-2.8007545329962764E-3</v>
      </c>
      <c r="N1951" s="2">
        <f t="shared" ca="1" si="1872"/>
        <v>-2.8007545329962764E-3</v>
      </c>
      <c r="O1951" s="2">
        <f t="shared" si="1873"/>
        <v>6000000</v>
      </c>
      <c r="P1951" s="2">
        <f t="shared" ca="1" si="1874"/>
        <v>43224001.855802953</v>
      </c>
      <c r="Q1951" s="2">
        <f t="shared" ca="1" si="1875"/>
        <v>1080600.0463950739</v>
      </c>
      <c r="R1951" s="2">
        <f t="shared" ca="1" si="1876"/>
        <v>25934401.113481771</v>
      </c>
      <c r="S1951" s="2">
        <f t="shared" ca="1" si="1877"/>
        <v>17289600.742321182</v>
      </c>
      <c r="T1951" s="2">
        <f t="shared" ca="1" si="1878"/>
        <v>49859962.273350187</v>
      </c>
      <c r="U1951" s="2">
        <f t="shared" ca="1" si="1879"/>
        <v>50061156.992008649</v>
      </c>
      <c r="V1951" s="2">
        <f t="shared" ca="1" si="1880"/>
        <v>50263163.570784338</v>
      </c>
      <c r="W1951" s="2">
        <f t="shared" ca="1" si="1881"/>
        <v>50465985.285691917</v>
      </c>
      <c r="X1951" s="2">
        <f t="shared" ca="1" si="1882"/>
        <v>50669625.425965421</v>
      </c>
      <c r="Y1951" s="2">
        <f t="shared" ca="1" si="1883"/>
        <v>0.12327539305808903</v>
      </c>
      <c r="Z1951" s="2">
        <f t="shared" ca="1" si="1884"/>
        <v>0.12458555028132463</v>
      </c>
      <c r="AA1951" s="2">
        <f t="shared" ca="1" si="1885"/>
        <v>6146506.4471087344</v>
      </c>
      <c r="AB1951" s="2">
        <f t="shared" ca="1" si="1886"/>
        <v>6236896.7915691799</v>
      </c>
      <c r="AC1951" s="2">
        <f t="shared" ca="1" si="1887"/>
        <v>6262063.892346397</v>
      </c>
      <c r="AD1951" s="2">
        <f t="shared" ca="1" si="1888"/>
        <v>6287332.5473071598</v>
      </c>
      <c r="AE1951" s="2">
        <f t="shared" ca="1" si="1889"/>
        <v>6312703.1662424998</v>
      </c>
      <c r="AF1951" s="2">
        <f t="shared" ca="1" si="1890"/>
        <v>997199.24546700378</v>
      </c>
      <c r="AG1951" s="2">
        <f t="shared" ca="1" si="1891"/>
        <v>1001223.139840173</v>
      </c>
      <c r="AH1951" s="2">
        <f t="shared" ca="1" si="1892"/>
        <v>1005263.2714156868</v>
      </c>
      <c r="AI1951" s="2">
        <f t="shared" ca="1" si="1893"/>
        <v>1009319.7057138383</v>
      </c>
      <c r="AJ1951" s="2">
        <f t="shared" ca="1" si="1894"/>
        <v>1013392.5085193084</v>
      </c>
      <c r="AK1951" s="2">
        <f t="shared" ca="1" si="1895"/>
        <v>0</v>
      </c>
      <c r="AL1951" s="2">
        <f t="shared" ca="1" si="1896"/>
        <v>2011.9471865846217</v>
      </c>
      <c r="AM1951" s="2">
        <f t="shared" ca="1" si="1897"/>
        <v>2020.0657877568901</v>
      </c>
      <c r="AN1951" s="2">
        <f t="shared" ca="1" si="1898"/>
        <v>2028.2171490757912</v>
      </c>
      <c r="AO1951" s="2">
        <f t="shared" ca="1" si="1899"/>
        <v>2036.4014027350397</v>
      </c>
      <c r="AP1951" s="2">
        <f t="shared" ca="1" si="1900"/>
        <v>2334096.1002133591</v>
      </c>
      <c r="AQ1951" s="2">
        <f t="shared" ca="1" si="1901"/>
        <v>731954.88637137669</v>
      </c>
      <c r="AR1951" s="2">
        <f t="shared" ca="1" si="1902"/>
        <v>754410.1633940686</v>
      </c>
      <c r="AS1951" s="2">
        <f t="shared" ca="1" si="1903"/>
        <v>759903.17538651126</v>
      </c>
      <c r="AT1951" s="2">
        <f t="shared" ca="1" si="1904"/>
        <v>765418.35275879025</v>
      </c>
      <c r="AU1951" s="2">
        <f t="shared" ca="1" si="1905"/>
        <v>770955.78495255637</v>
      </c>
      <c r="AV1951" s="2">
        <f t="shared" ca="1" si="1906"/>
        <v>2083256.2150569949</v>
      </c>
      <c r="AW1951" s="2">
        <f t="shared" ca="1" si="1907"/>
        <v>2145155.4409349952</v>
      </c>
      <c r="AX1951" s="2">
        <f t="shared" ca="1" si="1908"/>
        <v>2160781.2795430822</v>
      </c>
      <c r="AY1951" s="2">
        <f t="shared" ca="1" si="1909"/>
        <v>2176470.1714720959</v>
      </c>
      <c r="AZ1951" s="2">
        <f t="shared" ca="1" si="1910"/>
        <v>2192222.3711545402</v>
      </c>
      <c r="BA1951" s="2">
        <f t="shared" ca="1" si="1911"/>
        <v>46386115.990126304</v>
      </c>
      <c r="BB1951" s="2">
        <f t="shared" ca="1" si="1912"/>
        <v>927722.31980252615</v>
      </c>
      <c r="BC1951" s="2">
        <f t="shared" ca="1" si="1913"/>
        <v>19523992.556842007</v>
      </c>
      <c r="BD1951" s="2">
        <f t="shared" ca="1" si="1914"/>
        <v>-18870200.788716257</v>
      </c>
      <c r="BE1951" s="2">
        <f t="shared" ca="1" si="1915"/>
        <v>2083256.2150569949</v>
      </c>
      <c r="BF1951" s="2">
        <f t="shared" ca="1" si="1916"/>
        <v>2145155.4409349952</v>
      </c>
      <c r="BG1951" s="2">
        <f t="shared" ca="1" si="1917"/>
        <v>2160781.2795430822</v>
      </c>
      <c r="BH1951" s="2">
        <f t="shared" ca="1" si="1918"/>
        <v>2176470.1714720959</v>
      </c>
      <c r="BI1951" s="2">
        <f t="shared" ca="1" si="1919"/>
        <v>21716214.927996546</v>
      </c>
      <c r="BJ1951" s="2">
        <f t="shared" ca="1" si="1920"/>
        <v>0.11918034922672605</v>
      </c>
      <c r="BK1951" s="2">
        <f t="shared" ca="1" si="1921"/>
        <v>-56494.682386923581</v>
      </c>
    </row>
    <row r="1952" spans="1:63" x14ac:dyDescent="0.3">
      <c r="A1952" s="2">
        <v>1951</v>
      </c>
      <c r="B1952" s="2">
        <f t="shared" ca="1" si="1860"/>
        <v>0.94311933246086876</v>
      </c>
      <c r="C1952" s="2">
        <f t="shared" ca="1" si="1861"/>
        <v>7.6627147570997769</v>
      </c>
      <c r="D1952" s="2">
        <f t="shared" ca="1" si="1862"/>
        <v>0.17087399667567316</v>
      </c>
      <c r="E1952" s="2">
        <f t="shared" ca="1" si="1863"/>
        <v>7.0845921598442336</v>
      </c>
      <c r="F1952" s="2">
        <f t="shared" ca="1" si="1864"/>
        <v>0.19314945535300498</v>
      </c>
      <c r="G1952" s="2">
        <f t="shared" ca="1" si="1865"/>
        <v>1.4009535907487464E-2</v>
      </c>
      <c r="H1952" s="2">
        <f t="shared" ca="1" si="1866"/>
        <v>1.4009535907487464E-2</v>
      </c>
      <c r="I1952" s="2">
        <f t="shared" ca="1" si="1867"/>
        <v>0.63477689428783779</v>
      </c>
      <c r="J1952" s="2">
        <f t="shared" ca="1" si="1868"/>
        <v>1.1722660155924967E-2</v>
      </c>
      <c r="K1952" s="2">
        <f t="shared" ca="1" si="1869"/>
        <v>1.1722660155924967E-2</v>
      </c>
      <c r="L1952" s="2">
        <f t="shared" ca="1" si="1870"/>
        <v>0.35914481492072459</v>
      </c>
      <c r="M1952" s="2">
        <f t="shared" ca="1" si="1871"/>
        <v>-7.2149120830336966E-3</v>
      </c>
      <c r="N1952" s="2">
        <f t="shared" ca="1" si="1872"/>
        <v>-7.2149120830336966E-3</v>
      </c>
      <c r="O1952" s="2">
        <f t="shared" si="1873"/>
        <v>6000000</v>
      </c>
      <c r="P1952" s="2">
        <f t="shared" ca="1" si="1874"/>
        <v>45976288.542598665</v>
      </c>
      <c r="Q1952" s="2">
        <f t="shared" ca="1" si="1875"/>
        <v>1149407.2135649666</v>
      </c>
      <c r="R1952" s="2">
        <f t="shared" ca="1" si="1876"/>
        <v>27585773.1255592</v>
      </c>
      <c r="S1952" s="2">
        <f t="shared" ca="1" si="1877"/>
        <v>18390515.417039465</v>
      </c>
      <c r="T1952" s="2">
        <f t="shared" ca="1" si="1878"/>
        <v>49639254.395848311</v>
      </c>
      <c r="U1952" s="2">
        <f t="shared" ca="1" si="1879"/>
        <v>50334677.312727854</v>
      </c>
      <c r="V1952" s="2">
        <f t="shared" ca="1" si="1880"/>
        <v>51039842.781932309</v>
      </c>
      <c r="W1952" s="2">
        <f t="shared" ca="1" si="1881"/>
        <v>51754887.292098306</v>
      </c>
      <c r="X1952" s="2">
        <f t="shared" ca="1" si="1882"/>
        <v>52479949.24400492</v>
      </c>
      <c r="Y1952" s="2">
        <f t="shared" ca="1" si="1883"/>
        <v>0.12586133007796249</v>
      </c>
      <c r="Z1952" s="2">
        <f t="shared" ca="1" si="1884"/>
        <v>0.12820586210914747</v>
      </c>
      <c r="AA1952" s="2">
        <f t="shared" ca="1" si="1885"/>
        <v>6247662.5823398149</v>
      </c>
      <c r="AB1952" s="2">
        <f t="shared" ca="1" si="1886"/>
        <v>6453200.6988640204</v>
      </c>
      <c r="AC1952" s="2">
        <f t="shared" ca="1" si="1887"/>
        <v>6543607.04577298</v>
      </c>
      <c r="AD1952" s="2">
        <f t="shared" ca="1" si="1888"/>
        <v>6635279.943645224</v>
      </c>
      <c r="AE1952" s="2">
        <f t="shared" ca="1" si="1889"/>
        <v>6728237.1362719527</v>
      </c>
      <c r="AF1952" s="2">
        <f t="shared" ca="1" si="1890"/>
        <v>992785.08791696629</v>
      </c>
      <c r="AG1952" s="2">
        <f t="shared" ca="1" si="1891"/>
        <v>1006693.5462545571</v>
      </c>
      <c r="AH1952" s="2">
        <f t="shared" ca="1" si="1892"/>
        <v>1020796.8556386462</v>
      </c>
      <c r="AI1952" s="2">
        <f t="shared" ca="1" si="1893"/>
        <v>1035097.7458419661</v>
      </c>
      <c r="AJ1952" s="2">
        <f t="shared" ca="1" si="1894"/>
        <v>1049598.9848800984</v>
      </c>
      <c r="AK1952" s="2">
        <f t="shared" ca="1" si="1895"/>
        <v>0</v>
      </c>
      <c r="AL1952" s="2">
        <f t="shared" ca="1" si="1896"/>
        <v>6954.2291687954221</v>
      </c>
      <c r="AM1952" s="2">
        <f t="shared" ca="1" si="1897"/>
        <v>7051.6546920445562</v>
      </c>
      <c r="AN1952" s="2">
        <f t="shared" ca="1" si="1898"/>
        <v>7150.4451016599687</v>
      </c>
      <c r="AO1952" s="2">
        <f t="shared" ca="1" si="1899"/>
        <v>7250.6195190661401</v>
      </c>
      <c r="AP1952" s="2">
        <f t="shared" ca="1" si="1900"/>
        <v>2482719.581300328</v>
      </c>
      <c r="AQ1952" s="2">
        <f t="shared" ca="1" si="1901"/>
        <v>720761.05741185532</v>
      </c>
      <c r="AR1952" s="2">
        <f t="shared" ca="1" si="1902"/>
        <v>770584.76854037528</v>
      </c>
      <c r="AS1952" s="2">
        <f t="shared" ca="1" si="1903"/>
        <v>790423.55829684145</v>
      </c>
      <c r="AT1952" s="2">
        <f t="shared" ca="1" si="1904"/>
        <v>810540.28029076185</v>
      </c>
      <c r="AU1952" s="2">
        <f t="shared" ca="1" si="1905"/>
        <v>830938.82822379691</v>
      </c>
      <c r="AV1952" s="2">
        <f t="shared" ca="1" si="1906"/>
        <v>2051396.8557106652</v>
      </c>
      <c r="AW1952" s="2">
        <f t="shared" ca="1" si="1907"/>
        <v>2186248.5735999658</v>
      </c>
      <c r="AX1952" s="2">
        <f t="shared" ca="1" si="1908"/>
        <v>2242615.3958451194</v>
      </c>
      <c r="AY1952" s="2">
        <f t="shared" ca="1" si="1909"/>
        <v>2299771.8911105082</v>
      </c>
      <c r="AZ1952" s="2">
        <f t="shared" ca="1" si="1910"/>
        <v>2357729.1223486639</v>
      </c>
      <c r="BA1952" s="2">
        <f t="shared" ca="1" si="1911"/>
        <v>47666816.065205097</v>
      </c>
      <c r="BB1952" s="2">
        <f t="shared" ca="1" si="1912"/>
        <v>953336.32130410196</v>
      </c>
      <c r="BC1952" s="2">
        <f t="shared" ca="1" si="1913"/>
        <v>19127706.618341796</v>
      </c>
      <c r="BD1952" s="2">
        <f t="shared" ca="1" si="1914"/>
        <v>-20039922.630604431</v>
      </c>
      <c r="BE1952" s="2">
        <f t="shared" ca="1" si="1915"/>
        <v>2051396.8557106652</v>
      </c>
      <c r="BF1952" s="2">
        <f t="shared" ca="1" si="1916"/>
        <v>2186248.5735999658</v>
      </c>
      <c r="BG1952" s="2">
        <f t="shared" ca="1" si="1917"/>
        <v>2242615.3958451194</v>
      </c>
      <c r="BH1952" s="2">
        <f t="shared" ca="1" si="1918"/>
        <v>2299771.8911105082</v>
      </c>
      <c r="BI1952" s="2">
        <f t="shared" ca="1" si="1919"/>
        <v>21485435.740690459</v>
      </c>
      <c r="BJ1952" s="2">
        <f t="shared" ca="1" si="1920"/>
        <v>0.10302932479917826</v>
      </c>
      <c r="BK1952" s="2">
        <f t="shared" ca="1" si="1921"/>
        <v>-1216245.1161731333</v>
      </c>
    </row>
    <row r="1953" spans="1:63" x14ac:dyDescent="0.3">
      <c r="A1953" s="2">
        <v>1952</v>
      </c>
      <c r="B1953" s="2">
        <f t="shared" ca="1" si="1860"/>
        <v>0.5898162291599891</v>
      </c>
      <c r="C1953" s="2">
        <f t="shared" ca="1" si="1861"/>
        <v>7.0942585679786854</v>
      </c>
      <c r="D1953" s="2">
        <f t="shared" ca="1" si="1862"/>
        <v>0.44290806770039948</v>
      </c>
      <c r="E1953" s="2">
        <f t="shared" ca="1" si="1863"/>
        <v>7.4411780572244544</v>
      </c>
      <c r="F1953" s="2">
        <f t="shared" ca="1" si="1864"/>
        <v>0.52153361578906265</v>
      </c>
      <c r="G1953" s="2">
        <f t="shared" ca="1" si="1865"/>
        <v>4.1620090212944841E-2</v>
      </c>
      <c r="H1953" s="2">
        <f t="shared" ca="1" si="1866"/>
        <v>4.1620090212944841E-2</v>
      </c>
      <c r="I1953" s="2">
        <f t="shared" ca="1" si="1867"/>
        <v>0.98359082869976244</v>
      </c>
      <c r="J1953" s="2">
        <f t="shared" ca="1" si="1868"/>
        <v>2.0671493196085695E-2</v>
      </c>
      <c r="K1953" s="2">
        <f t="shared" ca="1" si="1869"/>
        <v>2.0671493196085695E-2</v>
      </c>
      <c r="L1953" s="2">
        <f t="shared" ca="1" si="1870"/>
        <v>0.61152903496036137</v>
      </c>
      <c r="M1953" s="2">
        <f t="shared" ca="1" si="1871"/>
        <v>5.6661290857316316E-3</v>
      </c>
      <c r="N1953" s="2">
        <f t="shared" ca="1" si="1872"/>
        <v>5.6661290857316316E-3</v>
      </c>
      <c r="O1953" s="2">
        <f t="shared" si="1873"/>
        <v>6000000</v>
      </c>
      <c r="P1953" s="2">
        <f t="shared" ca="1" si="1874"/>
        <v>42565551.407872111</v>
      </c>
      <c r="Q1953" s="2">
        <f t="shared" ca="1" si="1875"/>
        <v>1064138.7851968028</v>
      </c>
      <c r="R1953" s="2">
        <f t="shared" ca="1" si="1876"/>
        <v>25539330.844723266</v>
      </c>
      <c r="S1953" s="2">
        <f t="shared" ca="1" si="1877"/>
        <v>17026220.563148845</v>
      </c>
      <c r="T1953" s="2">
        <f t="shared" ca="1" si="1878"/>
        <v>50283306.454286583</v>
      </c>
      <c r="U1953" s="2">
        <f t="shared" ca="1" si="1879"/>
        <v>52376102.20511914</v>
      </c>
      <c r="V1953" s="2">
        <f t="shared" ca="1" si="1880"/>
        <v>54556000.303898618</v>
      </c>
      <c r="W1953" s="2">
        <f t="shared" ca="1" si="1881"/>
        <v>56826625.958204329</v>
      </c>
      <c r="X1953" s="2">
        <f t="shared" ca="1" si="1882"/>
        <v>59191755.257082067</v>
      </c>
      <c r="Y1953" s="2">
        <f t="shared" ca="1" si="1883"/>
        <v>0.13033574659804284</v>
      </c>
      <c r="Z1953" s="2">
        <f t="shared" ca="1" si="1884"/>
        <v>0.13447004523725997</v>
      </c>
      <c r="AA1953" s="2">
        <f t="shared" ca="1" si="1885"/>
        <v>6553712.2881376278</v>
      </c>
      <c r="AB1953" s="2">
        <f t="shared" ca="1" si="1886"/>
        <v>7043016.8328737225</v>
      </c>
      <c r="AC1953" s="2">
        <f t="shared" ca="1" si="1887"/>
        <v>7336147.8288292158</v>
      </c>
      <c r="AD1953" s="2">
        <f t="shared" ca="1" si="1888"/>
        <v>7641478.9632805875</v>
      </c>
      <c r="AE1953" s="2">
        <f t="shared" ca="1" si="1889"/>
        <v>7959518.0070926463</v>
      </c>
      <c r="AF1953" s="2">
        <f t="shared" ca="1" si="1890"/>
        <v>1005666.1290857317</v>
      </c>
      <c r="AG1953" s="2">
        <f t="shared" ca="1" si="1891"/>
        <v>1047522.0441023828</v>
      </c>
      <c r="AH1953" s="2">
        <f t="shared" ca="1" si="1892"/>
        <v>1091120.0060779725</v>
      </c>
      <c r="AI1953" s="2">
        <f t="shared" ca="1" si="1893"/>
        <v>1136532.5191640866</v>
      </c>
      <c r="AJ1953" s="2">
        <f t="shared" ca="1" si="1894"/>
        <v>1183835.1051416413</v>
      </c>
      <c r="AK1953" s="2">
        <f t="shared" ca="1" si="1895"/>
        <v>0</v>
      </c>
      <c r="AL1953" s="2">
        <f t="shared" ca="1" si="1896"/>
        <v>20927.957508325577</v>
      </c>
      <c r="AM1953" s="2">
        <f t="shared" ca="1" si="1897"/>
        <v>21798.980987794774</v>
      </c>
      <c r="AN1953" s="2">
        <f t="shared" ca="1" si="1898"/>
        <v>22706.256543057116</v>
      </c>
      <c r="AO1953" s="2">
        <f t="shared" ca="1" si="1899"/>
        <v>23651.292988777386</v>
      </c>
      <c r="AP1953" s="2">
        <f t="shared" ca="1" si="1900"/>
        <v>2298539.7760250936</v>
      </c>
      <c r="AQ1953" s="2">
        <f t="shared" ca="1" si="1901"/>
        <v>844871.65958696872</v>
      </c>
      <c r="AR1953" s="2">
        <f t="shared" ca="1" si="1902"/>
        <v>961208.303314024</v>
      </c>
      <c r="AS1953" s="2">
        <f t="shared" ca="1" si="1903"/>
        <v>1026086.892148799</v>
      </c>
      <c r="AT1953" s="2">
        <f t="shared" ca="1" si="1904"/>
        <v>1093665.7337037658</v>
      </c>
      <c r="AU1953" s="2">
        <f t="shared" ca="1" si="1905"/>
        <v>1164057.212740737</v>
      </c>
      <c r="AV1953" s="2">
        <f t="shared" ca="1" si="1906"/>
        <v>2404634.7234398336</v>
      </c>
      <c r="AW1953" s="2">
        <f t="shared" ca="1" si="1907"/>
        <v>2714818.7519238968</v>
      </c>
      <c r="AX1953" s="2">
        <f t="shared" ca="1" si="1908"/>
        <v>2898602.173589556</v>
      </c>
      <c r="AY1953" s="2">
        <f t="shared" ca="1" si="1909"/>
        <v>3090034.6778445845</v>
      </c>
      <c r="AZ1953" s="2">
        <f t="shared" ca="1" si="1910"/>
        <v>3289434.620196397</v>
      </c>
      <c r="BA1953" s="2">
        <f t="shared" ca="1" si="1911"/>
        <v>59228190.740460716</v>
      </c>
      <c r="BB1953" s="2">
        <f t="shared" ca="1" si="1912"/>
        <v>1184563.8148092143</v>
      </c>
      <c r="BC1953" s="2">
        <f t="shared" ca="1" si="1913"/>
        <v>32504296.08092824</v>
      </c>
      <c r="BD1953" s="2">
        <f t="shared" ca="1" si="1914"/>
        <v>-18590359.348345648</v>
      </c>
      <c r="BE1953" s="2">
        <f t="shared" ca="1" si="1915"/>
        <v>2404634.7234398336</v>
      </c>
      <c r="BF1953" s="2">
        <f t="shared" ca="1" si="1916"/>
        <v>2714818.7519238968</v>
      </c>
      <c r="BG1953" s="2">
        <f t="shared" ca="1" si="1917"/>
        <v>2898602.173589556</v>
      </c>
      <c r="BH1953" s="2">
        <f t="shared" ca="1" si="1918"/>
        <v>3090034.6778445845</v>
      </c>
      <c r="BI1953" s="2">
        <f t="shared" ca="1" si="1919"/>
        <v>35793730.701124638</v>
      </c>
      <c r="BJ1953" s="2">
        <f t="shared" ca="1" si="1920"/>
        <v>0.24247206986674286</v>
      </c>
      <c r="BK1953" s="2">
        <f t="shared" ca="1" si="1921"/>
        <v>10058137.568409938</v>
      </c>
    </row>
    <row r="1954" spans="1:63" x14ac:dyDescent="0.3">
      <c r="A1954" s="2">
        <v>1953</v>
      </c>
      <c r="B1954" s="2">
        <f t="shared" ca="1" si="1860"/>
        <v>3.1388903899208787E-2</v>
      </c>
      <c r="C1954" s="2">
        <f t="shared" ca="1" si="1861"/>
        <v>6.2505549995478393</v>
      </c>
      <c r="D1954" s="2">
        <f t="shared" ca="1" si="1862"/>
        <v>0.80085902712630763</v>
      </c>
      <c r="E1954" s="2">
        <f t="shared" ca="1" si="1863"/>
        <v>7.8689041707098797</v>
      </c>
      <c r="F1954" s="2">
        <f t="shared" ca="1" si="1864"/>
        <v>0.77438431424768805</v>
      </c>
      <c r="G1954" s="2">
        <f t="shared" ca="1" si="1865"/>
        <v>6.2600911917002788E-2</v>
      </c>
      <c r="H1954" s="2">
        <f t="shared" ca="1" si="1866"/>
        <v>6.2600911917002788E-2</v>
      </c>
      <c r="I1954" s="2">
        <f t="shared" ca="1" si="1867"/>
        <v>0.87685956545510979</v>
      </c>
      <c r="J1954" s="2">
        <f t="shared" ca="1" si="1868"/>
        <v>1.5797151044675984E-2</v>
      </c>
      <c r="K1954" s="2">
        <f t="shared" ca="1" si="1869"/>
        <v>1.5797151044675984E-2</v>
      </c>
      <c r="L1954" s="2">
        <f t="shared" ca="1" si="1870"/>
        <v>0.2397545366132533</v>
      </c>
      <c r="M1954" s="2">
        <f t="shared" ca="1" si="1871"/>
        <v>-1.4141847529329246E-2</v>
      </c>
      <c r="N1954" s="2">
        <f t="shared" ca="1" si="1872"/>
        <v>-1.4141847529329246E-2</v>
      </c>
      <c r="O1954" s="2">
        <f t="shared" si="1873"/>
        <v>6000000</v>
      </c>
      <c r="P1954" s="2">
        <f t="shared" ca="1" si="1874"/>
        <v>37503329.997287035</v>
      </c>
      <c r="Q1954" s="2">
        <f t="shared" ca="1" si="1875"/>
        <v>937583.24993217597</v>
      </c>
      <c r="R1954" s="2">
        <f t="shared" ca="1" si="1876"/>
        <v>22501997.99837222</v>
      </c>
      <c r="S1954" s="2">
        <f t="shared" ca="1" si="1877"/>
        <v>15001331.998914815</v>
      </c>
      <c r="T1954" s="2">
        <f t="shared" ca="1" si="1878"/>
        <v>49292907.623533539</v>
      </c>
      <c r="U1954" s="2">
        <f t="shared" ca="1" si="1879"/>
        <v>52378688.591807321</v>
      </c>
      <c r="V1954" s="2">
        <f t="shared" ca="1" si="1880"/>
        <v>55657642.262671173</v>
      </c>
      <c r="W1954" s="2">
        <f t="shared" ca="1" si="1881"/>
        <v>59141861.423464701</v>
      </c>
      <c r="X1954" s="2">
        <f t="shared" ca="1" si="1882"/>
        <v>62844195.8810426</v>
      </c>
      <c r="Y1954" s="2">
        <f t="shared" ca="1" si="1883"/>
        <v>0.12789857552233799</v>
      </c>
      <c r="Z1954" s="2">
        <f t="shared" ca="1" si="1884"/>
        <v>0.13105800573127319</v>
      </c>
      <c r="AA1954" s="2">
        <f t="shared" ca="1" si="1885"/>
        <v>6304492.6684041349</v>
      </c>
      <c r="AB1954" s="2">
        <f t="shared" ca="1" si="1886"/>
        <v>6864646.4696616577</v>
      </c>
      <c r="AC1954" s="2">
        <f t="shared" ca="1" si="1887"/>
        <v>7294379.5986503111</v>
      </c>
      <c r="AD1954" s="2">
        <f t="shared" ca="1" si="1888"/>
        <v>7751014.4133946011</v>
      </c>
      <c r="AE1954" s="2">
        <f t="shared" ca="1" si="1889"/>
        <v>8236234.9839549353</v>
      </c>
      <c r="AF1954" s="2">
        <f t="shared" ca="1" si="1890"/>
        <v>985858.15247067076</v>
      </c>
      <c r="AG1954" s="2">
        <f t="shared" ca="1" si="1891"/>
        <v>1047573.7718361465</v>
      </c>
      <c r="AH1954" s="2">
        <f t="shared" ca="1" si="1892"/>
        <v>1113152.8452534236</v>
      </c>
      <c r="AI1954" s="2">
        <f t="shared" ca="1" si="1893"/>
        <v>1182837.228469294</v>
      </c>
      <c r="AJ1954" s="2">
        <f t="shared" ca="1" si="1894"/>
        <v>1256883.9176208521</v>
      </c>
      <c r="AK1954" s="2">
        <f t="shared" ca="1" si="1895"/>
        <v>0</v>
      </c>
      <c r="AL1954" s="2">
        <f t="shared" ca="1" si="1896"/>
        <v>30857.809682737814</v>
      </c>
      <c r="AM1954" s="2">
        <f t="shared" ca="1" si="1897"/>
        <v>32789.536708638523</v>
      </c>
      <c r="AN1954" s="2">
        <f t="shared" ca="1" si="1898"/>
        <v>34842.191607935281</v>
      </c>
      <c r="AO1954" s="2">
        <f t="shared" ca="1" si="1899"/>
        <v>37023.344575778989</v>
      </c>
      <c r="AP1954" s="2">
        <f t="shared" ca="1" si="1900"/>
        <v>2025179.8198534998</v>
      </c>
      <c r="AQ1954" s="2">
        <f t="shared" ca="1" si="1901"/>
        <v>856298.22098079091</v>
      </c>
      <c r="AR1954" s="2">
        <f t="shared" ca="1" si="1902"/>
        <v>985892.14827272296</v>
      </c>
      <c r="AS1954" s="2">
        <f t="shared" ca="1" si="1903"/>
        <v>1080572.202721281</v>
      </c>
      <c r="AT1954" s="2">
        <f t="shared" ca="1" si="1904"/>
        <v>1181179.3149186699</v>
      </c>
      <c r="AU1954" s="2">
        <f t="shared" ca="1" si="1905"/>
        <v>1288084.524084952</v>
      </c>
      <c r="AV1954" s="2">
        <f t="shared" ca="1" si="1906"/>
        <v>2437156.4750991743</v>
      </c>
      <c r="AW1954" s="2">
        <f t="shared" ca="1" si="1907"/>
        <v>2775142.9200165505</v>
      </c>
      <c r="AX1954" s="2">
        <f t="shared" ca="1" si="1908"/>
        <v>3042685.1941134688</v>
      </c>
      <c r="AY1954" s="2">
        <f t="shared" ca="1" si="1909"/>
        <v>3326975.8585452018</v>
      </c>
      <c r="AZ1954" s="2">
        <f t="shared" ca="1" si="1910"/>
        <v>3629063.3778198538</v>
      </c>
      <c r="BA1954" s="2">
        <f t="shared" ca="1" si="1911"/>
        <v>64810143.816189609</v>
      </c>
      <c r="BB1954" s="2">
        <f t="shared" ca="1" si="1912"/>
        <v>1296202.8763237922</v>
      </c>
      <c r="BC1954" s="2">
        <f t="shared" ca="1" si="1913"/>
        <v>41011942.941493601</v>
      </c>
      <c r="BD1954" s="2">
        <f t="shared" ca="1" si="1914"/>
        <v>-16438915.248846991</v>
      </c>
      <c r="BE1954" s="2">
        <f t="shared" ca="1" si="1915"/>
        <v>2437156.4750991743</v>
      </c>
      <c r="BF1954" s="2">
        <f t="shared" ca="1" si="1916"/>
        <v>2775142.9200165505</v>
      </c>
      <c r="BG1954" s="2">
        <f t="shared" ca="1" si="1917"/>
        <v>3042685.1941134688</v>
      </c>
      <c r="BH1954" s="2">
        <f t="shared" ca="1" si="1918"/>
        <v>3326975.8585452018</v>
      </c>
      <c r="BI1954" s="2">
        <f t="shared" ca="1" si="1919"/>
        <v>44641006.319313452</v>
      </c>
      <c r="BJ1954" s="2">
        <f t="shared" ca="1" si="1920"/>
        <v>0.33091650091697256</v>
      </c>
      <c r="BK1954" s="2">
        <f t="shared" ca="1" si="1921"/>
        <v>17560026.64126043</v>
      </c>
    </row>
    <row r="1955" spans="1:63" x14ac:dyDescent="0.3">
      <c r="A1955" s="2">
        <v>1954</v>
      </c>
      <c r="B1955" s="2">
        <f t="shared" ca="1" si="1860"/>
        <v>0.27513050949495166</v>
      </c>
      <c r="C1955" s="2">
        <f t="shared" ca="1" si="1861"/>
        <v>6.7417958068025889</v>
      </c>
      <c r="D1955" s="2">
        <f t="shared" ca="1" si="1862"/>
        <v>0.73183185242250082</v>
      </c>
      <c r="E1955" s="2">
        <f t="shared" ca="1" si="1863"/>
        <v>7.7676501552161028</v>
      </c>
      <c r="F1955" s="2">
        <f t="shared" ca="1" si="1864"/>
        <v>0.77902634478433819</v>
      </c>
      <c r="G1955" s="2">
        <f t="shared" ca="1" si="1865"/>
        <v>6.3067271202197239E-2</v>
      </c>
      <c r="H1955" s="2">
        <f t="shared" ca="1" si="1866"/>
        <v>6.3067271202197239E-2</v>
      </c>
      <c r="I1955" s="2">
        <f t="shared" ca="1" si="1867"/>
        <v>9.2839860819241338E-2</v>
      </c>
      <c r="J1955" s="2">
        <f t="shared" ca="1" si="1868"/>
        <v>3.3826589538320075E-3</v>
      </c>
      <c r="K1955" s="2">
        <f t="shared" ca="1" si="1869"/>
        <v>3.3826589538320075E-3</v>
      </c>
      <c r="L1955" s="2">
        <f t="shared" ca="1" si="1870"/>
        <v>0.69307478849702531</v>
      </c>
      <c r="M1955" s="2">
        <f t="shared" ca="1" si="1871"/>
        <v>1.0091697849531719E-2</v>
      </c>
      <c r="N1955" s="2">
        <f t="shared" ca="1" si="1872"/>
        <v>1.0091697849531719E-2</v>
      </c>
      <c r="O1955" s="2">
        <f t="shared" si="1873"/>
        <v>6000000</v>
      </c>
      <c r="P1955" s="2">
        <f t="shared" ca="1" si="1874"/>
        <v>40450774.840815537</v>
      </c>
      <c r="Q1955" s="2">
        <f t="shared" ca="1" si="1875"/>
        <v>1011269.3710203884</v>
      </c>
      <c r="R1955" s="2">
        <f t="shared" ca="1" si="1876"/>
        <v>24270464.90448932</v>
      </c>
      <c r="S1955" s="2">
        <f t="shared" ca="1" si="1877"/>
        <v>16180309.936326215</v>
      </c>
      <c r="T1955" s="2">
        <f t="shared" ca="1" si="1878"/>
        <v>50504584.892476588</v>
      </c>
      <c r="U1955" s="2">
        <f t="shared" ca="1" si="1879"/>
        <v>53689771.244844809</v>
      </c>
      <c r="V1955" s="2">
        <f t="shared" ca="1" si="1880"/>
        <v>57075838.608727373</v>
      </c>
      <c r="W1955" s="2">
        <f t="shared" ca="1" si="1881"/>
        <v>60675456.001356825</v>
      </c>
      <c r="X1955" s="2">
        <f t="shared" ca="1" si="1882"/>
        <v>64502091.440311387</v>
      </c>
      <c r="Y1955" s="2">
        <f t="shared" ca="1" si="1883"/>
        <v>0.12169132947691599</v>
      </c>
      <c r="Z1955" s="2">
        <f t="shared" ca="1" si="1884"/>
        <v>0.1223678612676824</v>
      </c>
      <c r="AA1955" s="2">
        <f t="shared" ca="1" si="1885"/>
        <v>6145970.0802452425</v>
      </c>
      <c r="AB1955" s="2">
        <f t="shared" ca="1" si="1886"/>
        <v>6569902.4791827733</v>
      </c>
      <c r="AC1955" s="2">
        <f t="shared" ca="1" si="1887"/>
        <v>6984248.3006093819</v>
      </c>
      <c r="AD1955" s="2">
        <f t="shared" ca="1" si="1888"/>
        <v>7424725.7823273996</v>
      </c>
      <c r="AE1955" s="2">
        <f t="shared" ca="1" si="1889"/>
        <v>7892982.9768433878</v>
      </c>
      <c r="AF1955" s="2">
        <f t="shared" ca="1" si="1890"/>
        <v>1010091.6978495318</v>
      </c>
      <c r="AG1955" s="2">
        <f t="shared" ca="1" si="1891"/>
        <v>1073795.4248968961</v>
      </c>
      <c r="AH1955" s="2">
        <f t="shared" ca="1" si="1892"/>
        <v>1141516.7721745474</v>
      </c>
      <c r="AI1955" s="2">
        <f t="shared" ca="1" si="1893"/>
        <v>1213509.1200271365</v>
      </c>
      <c r="AJ1955" s="2">
        <f t="shared" ca="1" si="1894"/>
        <v>1290041.8288062278</v>
      </c>
      <c r="AK1955" s="2">
        <f t="shared" ca="1" si="1895"/>
        <v>0</v>
      </c>
      <c r="AL1955" s="2">
        <f t="shared" ca="1" si="1896"/>
        <v>31851.863523682208</v>
      </c>
      <c r="AM1955" s="2">
        <f t="shared" ca="1" si="1897"/>
        <v>33860.67363882564</v>
      </c>
      <c r="AN1955" s="2">
        <f t="shared" ca="1" si="1898"/>
        <v>35996.173926294519</v>
      </c>
      <c r="AO1955" s="2">
        <f t="shared" ca="1" si="1899"/>
        <v>38266.354389545617</v>
      </c>
      <c r="AP1955" s="2">
        <f t="shared" ca="1" si="1900"/>
        <v>2184341.8414040385</v>
      </c>
      <c r="AQ1955" s="2">
        <f t="shared" ca="1" si="1901"/>
        <v>767399.50065783481</v>
      </c>
      <c r="AR1955" s="2">
        <f t="shared" ca="1" si="1902"/>
        <v>861058.95534927817</v>
      </c>
      <c r="AS1955" s="2">
        <f t="shared" ca="1" si="1903"/>
        <v>951181.31862800696</v>
      </c>
      <c r="AT1955" s="2">
        <f t="shared" ca="1" si="1904"/>
        <v>1046987.4534330183</v>
      </c>
      <c r="AU1955" s="2">
        <f t="shared" ca="1" si="1905"/>
        <v>1148835.8197246115</v>
      </c>
      <c r="AV1955" s="2">
        <f t="shared" ca="1" si="1906"/>
        <v>2184137.0403338373</v>
      </c>
      <c r="AW1955" s="2">
        <f t="shared" ca="1" si="1907"/>
        <v>2418854.3940088777</v>
      </c>
      <c r="AX1955" s="2">
        <f t="shared" ca="1" si="1908"/>
        <v>2673347.694763964</v>
      </c>
      <c r="AY1955" s="2">
        <f t="shared" ca="1" si="1909"/>
        <v>2943891.1935369112</v>
      </c>
      <c r="AZ1955" s="2">
        <f t="shared" ca="1" si="1910"/>
        <v>3231497.1325189648</v>
      </c>
      <c r="BA1955" s="2">
        <f t="shared" ca="1" si="1911"/>
        <v>61309930.4451956</v>
      </c>
      <c r="BB1955" s="2">
        <f t="shared" ca="1" si="1912"/>
        <v>1226198.6089039121</v>
      </c>
      <c r="BC1955" s="2">
        <f t="shared" ca="1" si="1913"/>
        <v>35813266.931802362</v>
      </c>
      <c r="BD1955" s="2">
        <f t="shared" ca="1" si="1914"/>
        <v>-17691579.307346605</v>
      </c>
      <c r="BE1955" s="2">
        <f t="shared" ca="1" si="1915"/>
        <v>2184137.0403338373</v>
      </c>
      <c r="BF1955" s="2">
        <f t="shared" ca="1" si="1916"/>
        <v>2418854.3940088777</v>
      </c>
      <c r="BG1955" s="2">
        <f t="shared" ca="1" si="1917"/>
        <v>2673347.694763964</v>
      </c>
      <c r="BH1955" s="2">
        <f t="shared" ca="1" si="1918"/>
        <v>2943891.1935369112</v>
      </c>
      <c r="BI1955" s="2">
        <f t="shared" ca="1" si="1919"/>
        <v>39044764.064321324</v>
      </c>
      <c r="BJ1955" s="2">
        <f t="shared" ca="1" si="1920"/>
        <v>0.26621141968774054</v>
      </c>
      <c r="BK1955" s="2">
        <f t="shared" ca="1" si="1921"/>
        <v>12115618.827997971</v>
      </c>
    </row>
    <row r="1956" spans="1:63" x14ac:dyDescent="0.3">
      <c r="A1956" s="2">
        <v>1955</v>
      </c>
      <c r="B1956" s="2">
        <f t="shared" ca="1" si="1860"/>
        <v>0.99234050407295304</v>
      </c>
      <c r="C1956" s="2">
        <f t="shared" ca="1" si="1861"/>
        <v>7.8762300850202527</v>
      </c>
      <c r="D1956" s="2">
        <f t="shared" ca="1" si="1862"/>
        <v>0.34703988607385783</v>
      </c>
      <c r="E1956" s="2">
        <f t="shared" ca="1" si="1863"/>
        <v>7.3331145012228003</v>
      </c>
      <c r="F1956" s="2">
        <f t="shared" ca="1" si="1864"/>
        <v>0.46833324154447997</v>
      </c>
      <c r="G1956" s="2">
        <f t="shared" ca="1" si="1865"/>
        <v>3.7616190070236942E-2</v>
      </c>
      <c r="H1956" s="2">
        <f t="shared" ca="1" si="1866"/>
        <v>3.7616190070236942E-2</v>
      </c>
      <c r="I1956" s="2">
        <f t="shared" ca="1" si="1867"/>
        <v>0.82688169172010684</v>
      </c>
      <c r="J1956" s="2">
        <f t="shared" ca="1" si="1868"/>
        <v>1.4709570539570806E-2</v>
      </c>
      <c r="K1956" s="2">
        <f t="shared" ca="1" si="1869"/>
        <v>1.4709570539570806E-2</v>
      </c>
      <c r="L1956" s="2">
        <f t="shared" ca="1" si="1870"/>
        <v>0.46560403582773202</v>
      </c>
      <c r="M1956" s="2">
        <f t="shared" ca="1" si="1871"/>
        <v>-1.726499845801334E-3</v>
      </c>
      <c r="N1956" s="2">
        <f t="shared" ca="1" si="1872"/>
        <v>-1.726499845801334E-3</v>
      </c>
      <c r="O1956" s="2">
        <f t="shared" si="1873"/>
        <v>6000000</v>
      </c>
      <c r="P1956" s="2">
        <f t="shared" ca="1" si="1874"/>
        <v>47257380.510121517</v>
      </c>
      <c r="Q1956" s="2">
        <f t="shared" ca="1" si="1875"/>
        <v>1181434.512753038</v>
      </c>
      <c r="R1956" s="2">
        <f t="shared" ca="1" si="1876"/>
        <v>28354428.306072909</v>
      </c>
      <c r="S1956" s="2">
        <f t="shared" ca="1" si="1877"/>
        <v>18902952.204048607</v>
      </c>
      <c r="T1956" s="2">
        <f t="shared" ca="1" si="1878"/>
        <v>49913675.007709935</v>
      </c>
      <c r="U1956" s="2">
        <f t="shared" ca="1" si="1879"/>
        <v>51791237.293903992</v>
      </c>
      <c r="V1956" s="2">
        <f t="shared" ca="1" si="1880"/>
        <v>53739426.319924228</v>
      </c>
      <c r="W1956" s="2">
        <f t="shared" ca="1" si="1881"/>
        <v>55760898.79463999</v>
      </c>
      <c r="X1956" s="2">
        <f t="shared" ca="1" si="1882"/>
        <v>57858411.362186417</v>
      </c>
      <c r="Y1956" s="2">
        <f t="shared" ca="1" si="1883"/>
        <v>0.12735478526978539</v>
      </c>
      <c r="Z1956" s="2">
        <f t="shared" ca="1" si="1884"/>
        <v>0.13029669937769955</v>
      </c>
      <c r="AA1956" s="2">
        <f t="shared" ca="1" si="1885"/>
        <v>6356745.3626327524</v>
      </c>
      <c r="AB1956" s="2">
        <f t="shared" ca="1" si="1886"/>
        <v>6748227.2760829106</v>
      </c>
      <c r="AC1956" s="2">
        <f t="shared" ca="1" si="1887"/>
        <v>7002069.875937202</v>
      </c>
      <c r="AD1956" s="2">
        <f t="shared" ca="1" si="1888"/>
        <v>7265461.0672755362</v>
      </c>
      <c r="AE1956" s="2">
        <f t="shared" ca="1" si="1889"/>
        <v>7538760.03173008</v>
      </c>
      <c r="AF1956" s="2">
        <f t="shared" ca="1" si="1890"/>
        <v>998273.50015419873</v>
      </c>
      <c r="AG1956" s="2">
        <f t="shared" ca="1" si="1891"/>
        <v>1035824.7458780799</v>
      </c>
      <c r="AH1956" s="2">
        <f t="shared" ca="1" si="1892"/>
        <v>1074788.5263984846</v>
      </c>
      <c r="AI1956" s="2">
        <f t="shared" ca="1" si="1893"/>
        <v>1115217.9758927999</v>
      </c>
      <c r="AJ1956" s="2">
        <f t="shared" ca="1" si="1894"/>
        <v>1157168.2272437285</v>
      </c>
      <c r="AK1956" s="2">
        <f t="shared" ca="1" si="1895"/>
        <v>0</v>
      </c>
      <c r="AL1956" s="2">
        <f t="shared" ca="1" si="1896"/>
        <v>18775.622861940563</v>
      </c>
      <c r="AM1956" s="2">
        <f t="shared" ca="1" si="1897"/>
        <v>19481.890260202363</v>
      </c>
      <c r="AN1956" s="2">
        <f t="shared" ca="1" si="1898"/>
        <v>20214.724747157619</v>
      </c>
      <c r="AO1956" s="2">
        <f t="shared" ca="1" si="1899"/>
        <v>20975.125675464275</v>
      </c>
      <c r="AP1956" s="2">
        <f t="shared" ca="1" si="1900"/>
        <v>2551898.5475465618</v>
      </c>
      <c r="AQ1956" s="2">
        <f t="shared" ca="1" si="1901"/>
        <v>729709.06188231776</v>
      </c>
      <c r="AR1956" s="2">
        <f t="shared" ca="1" si="1902"/>
        <v>821731.03549114999</v>
      </c>
      <c r="AS1956" s="2">
        <f t="shared" ca="1" si="1903"/>
        <v>877599.52851796045</v>
      </c>
      <c r="AT1956" s="2">
        <f t="shared" ca="1" si="1904"/>
        <v>935569.58139740536</v>
      </c>
      <c r="AU1956" s="2">
        <f t="shared" ca="1" si="1905"/>
        <v>995720.24680434528</v>
      </c>
      <c r="AV1956" s="2">
        <f t="shared" ca="1" si="1906"/>
        <v>2076864.2530496735</v>
      </c>
      <c r="AW1956" s="2">
        <f t="shared" ca="1" si="1907"/>
        <v>2319997.3243051786</v>
      </c>
      <c r="AX1956" s="2">
        <f t="shared" ca="1" si="1908"/>
        <v>2478301.3832139922</v>
      </c>
      <c r="AY1956" s="2">
        <f t="shared" ca="1" si="1909"/>
        <v>2642560.2376916111</v>
      </c>
      <c r="AZ1956" s="2">
        <f t="shared" ca="1" si="1910"/>
        <v>2812997.8844599798</v>
      </c>
      <c r="BA1956" s="2">
        <f t="shared" ca="1" si="1911"/>
        <v>55282590.509918705</v>
      </c>
      <c r="BB1956" s="2">
        <f t="shared" ca="1" si="1912"/>
        <v>1105651.8101983741</v>
      </c>
      <c r="BC1956" s="2">
        <f t="shared" ca="1" si="1913"/>
        <v>25822510.393647421</v>
      </c>
      <c r="BD1956" s="2">
        <f t="shared" ca="1" si="1914"/>
        <v>-20584386.716801647</v>
      </c>
      <c r="BE1956" s="2">
        <f t="shared" ca="1" si="1915"/>
        <v>2076864.2530496735</v>
      </c>
      <c r="BF1956" s="2">
        <f t="shared" ca="1" si="1916"/>
        <v>2319997.3243051786</v>
      </c>
      <c r="BG1956" s="2">
        <f t="shared" ca="1" si="1917"/>
        <v>2478301.3832139922</v>
      </c>
      <c r="BH1956" s="2">
        <f t="shared" ca="1" si="1918"/>
        <v>2642560.2376916111</v>
      </c>
      <c r="BI1956" s="2">
        <f t="shared" ca="1" si="1919"/>
        <v>28635508.278107401</v>
      </c>
      <c r="BJ1956" s="2">
        <f t="shared" ca="1" si="1920"/>
        <v>0.15469857005261312</v>
      </c>
      <c r="BK1956" s="2">
        <f t="shared" ca="1" si="1921"/>
        <v>2811401.2303268127</v>
      </c>
    </row>
    <row r="1957" spans="1:63" x14ac:dyDescent="0.3">
      <c r="A1957" s="2">
        <v>1956</v>
      </c>
      <c r="B1957" s="2">
        <f t="shared" ca="1" si="1860"/>
        <v>0.62526758083622413</v>
      </c>
      <c r="C1957" s="2">
        <f t="shared" ca="1" si="1861"/>
        <v>7.1342836270882062</v>
      </c>
      <c r="D1957" s="2">
        <f t="shared" ca="1" si="1862"/>
        <v>0.36330840890759408</v>
      </c>
      <c r="E1957" s="2">
        <f t="shared" ca="1" si="1863"/>
        <v>7.3524182176697002</v>
      </c>
      <c r="F1957" s="2">
        <f t="shared" ca="1" si="1864"/>
        <v>0.72855957670565108</v>
      </c>
      <c r="G1957" s="2">
        <f t="shared" ca="1" si="1865"/>
        <v>5.8253871537482564E-2</v>
      </c>
      <c r="H1957" s="2">
        <f t="shared" ca="1" si="1866"/>
        <v>5.8253871537482564E-2</v>
      </c>
      <c r="I1957" s="2">
        <f t="shared" ca="1" si="1867"/>
        <v>0.87194860560967935</v>
      </c>
      <c r="J1957" s="2">
        <f t="shared" ca="1" si="1868"/>
        <v>1.5678253407848862E-2</v>
      </c>
      <c r="K1957" s="2">
        <f t="shared" ca="1" si="1869"/>
        <v>1.5678253407848862E-2</v>
      </c>
      <c r="L1957" s="2">
        <f t="shared" ca="1" si="1870"/>
        <v>0.86103466079228774</v>
      </c>
      <c r="M1957" s="2">
        <f t="shared" ca="1" si="1871"/>
        <v>2.1699592549967502E-2</v>
      </c>
      <c r="N1957" s="2">
        <f t="shared" ca="1" si="1872"/>
        <v>2.1699592549967502E-2</v>
      </c>
      <c r="O1957" s="2">
        <f t="shared" si="1873"/>
        <v>6000000</v>
      </c>
      <c r="P1957" s="2">
        <f t="shared" ca="1" si="1874"/>
        <v>42805701.762529239</v>
      </c>
      <c r="Q1957" s="2">
        <f t="shared" ca="1" si="1875"/>
        <v>1070142.544063231</v>
      </c>
      <c r="R1957" s="2">
        <f t="shared" ca="1" si="1876"/>
        <v>25683421.057517543</v>
      </c>
      <c r="S1957" s="2">
        <f t="shared" ca="1" si="1877"/>
        <v>17122280.705011696</v>
      </c>
      <c r="T1957" s="2">
        <f t="shared" ca="1" si="1878"/>
        <v>51084979.627498373</v>
      </c>
      <c r="U1957" s="2">
        <f t="shared" ca="1" si="1879"/>
        <v>54060877.468213573</v>
      </c>
      <c r="V1957" s="2">
        <f t="shared" ca="1" si="1880"/>
        <v>57210132.87945047</v>
      </c>
      <c r="W1957" s="2">
        <f t="shared" ca="1" si="1881"/>
        <v>60542844.610852286</v>
      </c>
      <c r="X1957" s="2">
        <f t="shared" ca="1" si="1882"/>
        <v>64069699.703326643</v>
      </c>
      <c r="Y1957" s="2">
        <f t="shared" ca="1" si="1883"/>
        <v>0.12783912670392442</v>
      </c>
      <c r="Z1957" s="2">
        <f t="shared" ca="1" si="1884"/>
        <v>0.13097477738549421</v>
      </c>
      <c r="AA1957" s="2">
        <f t="shared" ca="1" si="1885"/>
        <v>6530659.1832671622</v>
      </c>
      <c r="AB1957" s="2">
        <f t="shared" ca="1" si="1886"/>
        <v>7080611.3916637525</v>
      </c>
      <c r="AC1957" s="2">
        <f t="shared" ca="1" si="1887"/>
        <v>7493084.4180805683</v>
      </c>
      <c r="AD1957" s="2">
        <f t="shared" ca="1" si="1888"/>
        <v>7929585.595190946</v>
      </c>
      <c r="AE1957" s="2">
        <f t="shared" ca="1" si="1889"/>
        <v>8391514.6557986718</v>
      </c>
      <c r="AF1957" s="2">
        <f t="shared" ca="1" si="1890"/>
        <v>1021699.5925499675</v>
      </c>
      <c r="AG1957" s="2">
        <f t="shared" ca="1" si="1891"/>
        <v>1081217.5493642716</v>
      </c>
      <c r="AH1957" s="2">
        <f t="shared" ca="1" si="1892"/>
        <v>1144202.6575890095</v>
      </c>
      <c r="AI1957" s="2">
        <f t="shared" ca="1" si="1893"/>
        <v>1210856.8922170456</v>
      </c>
      <c r="AJ1957" s="2">
        <f t="shared" ca="1" si="1894"/>
        <v>1281393.9940665329</v>
      </c>
      <c r="AK1957" s="2">
        <f t="shared" ca="1" si="1895"/>
        <v>0</v>
      </c>
      <c r="AL1957" s="2">
        <f t="shared" ca="1" si="1896"/>
        <v>29758.978407151997</v>
      </c>
      <c r="AM1957" s="2">
        <f t="shared" ca="1" si="1897"/>
        <v>31492.554112368973</v>
      </c>
      <c r="AN1957" s="2">
        <f t="shared" ca="1" si="1898"/>
        <v>33327.117314018164</v>
      </c>
      <c r="AO1957" s="2">
        <f t="shared" ca="1" si="1899"/>
        <v>35268.550924743562</v>
      </c>
      <c r="AP1957" s="2">
        <f t="shared" ca="1" si="1900"/>
        <v>2311507.8951765788</v>
      </c>
      <c r="AQ1957" s="2">
        <f t="shared" ca="1" si="1901"/>
        <v>831337.44084056013</v>
      </c>
      <c r="AR1957" s="2">
        <f t="shared" ca="1" si="1902"/>
        <v>958850.34625195456</v>
      </c>
      <c r="AS1957" s="2">
        <f t="shared" ca="1" si="1903"/>
        <v>1049717.2049818949</v>
      </c>
      <c r="AT1957" s="2">
        <f t="shared" ca="1" si="1904"/>
        <v>1145877.4100273037</v>
      </c>
      <c r="AU1957" s="2">
        <f t="shared" ca="1" si="1905"/>
        <v>1247639.3193044458</v>
      </c>
      <c r="AV1957" s="2">
        <f t="shared" ca="1" si="1906"/>
        <v>2366114.2547000558</v>
      </c>
      <c r="AW1957" s="2">
        <f t="shared" ca="1" si="1907"/>
        <v>2699276.6224637958</v>
      </c>
      <c r="AX1957" s="2">
        <f t="shared" ca="1" si="1908"/>
        <v>2956164.1062207161</v>
      </c>
      <c r="AY1957" s="2">
        <f t="shared" ca="1" si="1909"/>
        <v>3228016.2804559995</v>
      </c>
      <c r="AZ1957" s="2">
        <f t="shared" ca="1" si="1910"/>
        <v>3515704.896326371</v>
      </c>
      <c r="BA1957" s="2">
        <f t="shared" ca="1" si="1911"/>
        <v>61697925.229136437</v>
      </c>
      <c r="BB1957" s="2">
        <f t="shared" ca="1" si="1912"/>
        <v>1233958.5045827287</v>
      </c>
      <c r="BC1957" s="2">
        <f t="shared" ca="1" si="1913"/>
        <v>34780545.667036168</v>
      </c>
      <c r="BD1957" s="2">
        <f t="shared" ca="1" si="1914"/>
        <v>-18692423.249074928</v>
      </c>
      <c r="BE1957" s="2">
        <f t="shared" ca="1" si="1915"/>
        <v>2366114.2547000558</v>
      </c>
      <c r="BF1957" s="2">
        <f t="shared" ca="1" si="1916"/>
        <v>2699276.6224637958</v>
      </c>
      <c r="BG1957" s="2">
        <f t="shared" ca="1" si="1917"/>
        <v>2956164.1062207161</v>
      </c>
      <c r="BH1957" s="2">
        <f t="shared" ca="1" si="1918"/>
        <v>3228016.2804559995</v>
      </c>
      <c r="BI1957" s="2">
        <f t="shared" ca="1" si="1919"/>
        <v>38296250.563362539</v>
      </c>
      <c r="BJ1957" s="2">
        <f t="shared" ca="1" si="1920"/>
        <v>0.25507275710910093</v>
      </c>
      <c r="BK1957" s="2">
        <f t="shared" ca="1" si="1921"/>
        <v>11457948.527993094</v>
      </c>
    </row>
    <row r="1958" spans="1:63" x14ac:dyDescent="0.3">
      <c r="A1958" s="2">
        <v>1957</v>
      </c>
      <c r="B1958" s="2">
        <f t="shared" ca="1" si="1860"/>
        <v>0.60523561107620771</v>
      </c>
      <c r="C1958" s="2">
        <f t="shared" ca="1" si="1861"/>
        <v>7.1114456809808502</v>
      </c>
      <c r="D1958" s="2">
        <f t="shared" ca="1" si="1862"/>
        <v>6.1159420259933928E-2</v>
      </c>
      <c r="E1958" s="2">
        <f t="shared" ca="1" si="1863"/>
        <v>6.8497411049903452</v>
      </c>
      <c r="F1958" s="2">
        <f t="shared" ca="1" si="1864"/>
        <v>0.25191014111634236</v>
      </c>
      <c r="G1958" s="2">
        <f t="shared" ca="1" si="1865"/>
        <v>1.9945272692921102E-2</v>
      </c>
      <c r="H1958" s="2">
        <f t="shared" ca="1" si="1866"/>
        <v>1.9945272692921102E-2</v>
      </c>
      <c r="I1958" s="2">
        <f t="shared" ca="1" si="1867"/>
        <v>0.53929417192743567</v>
      </c>
      <c r="J1958" s="2">
        <f t="shared" ca="1" si="1868"/>
        <v>1.0493278420257284E-2</v>
      </c>
      <c r="K1958" s="2">
        <f t="shared" ca="1" si="1869"/>
        <v>1.0493278420257284E-2</v>
      </c>
      <c r="L1958" s="2">
        <f t="shared" ca="1" si="1870"/>
        <v>4.0086142373087608E-2</v>
      </c>
      <c r="M1958" s="2">
        <f t="shared" ca="1" si="1871"/>
        <v>-3.4993746183262474E-2</v>
      </c>
      <c r="N1958" s="2">
        <f t="shared" ca="1" si="1872"/>
        <v>-3.4993746183262474E-2</v>
      </c>
      <c r="O1958" s="2">
        <f t="shared" si="1873"/>
        <v>6000000</v>
      </c>
      <c r="P1958" s="2">
        <f t="shared" ca="1" si="1874"/>
        <v>42668674.0858851</v>
      </c>
      <c r="Q1958" s="2">
        <f t="shared" ca="1" si="1875"/>
        <v>1066716.8521471275</v>
      </c>
      <c r="R1958" s="2">
        <f t="shared" ca="1" si="1876"/>
        <v>25601204.45153106</v>
      </c>
      <c r="S1958" s="2">
        <f t="shared" ca="1" si="1877"/>
        <v>17067469.63435404</v>
      </c>
      <c r="T1958" s="2">
        <f t="shared" ca="1" si="1878"/>
        <v>48250312.690836877</v>
      </c>
      <c r="U1958" s="2">
        <f t="shared" ca="1" si="1879"/>
        <v>49212678.334974326</v>
      </c>
      <c r="V1958" s="2">
        <f t="shared" ca="1" si="1880"/>
        <v>50194238.624314398</v>
      </c>
      <c r="W1958" s="2">
        <f t="shared" ca="1" si="1881"/>
        <v>51195376.401289895</v>
      </c>
      <c r="X1958" s="2">
        <f t="shared" ca="1" si="1882"/>
        <v>52216482.144230358</v>
      </c>
      <c r="Y1958" s="2">
        <f t="shared" ca="1" si="1883"/>
        <v>0.12524663921012863</v>
      </c>
      <c r="Z1958" s="2">
        <f t="shared" ca="1" si="1884"/>
        <v>0.12734529489418009</v>
      </c>
      <c r="AA1958" s="2">
        <f t="shared" ca="1" si="1885"/>
        <v>6043189.505365137</v>
      </c>
      <c r="AB1958" s="2">
        <f t="shared" ca="1" si="1886"/>
        <v>6267003.0350997327</v>
      </c>
      <c r="AC1958" s="2">
        <f t="shared" ca="1" si="1887"/>
        <v>6392000.1196021615</v>
      </c>
      <c r="AD1958" s="2">
        <f t="shared" ca="1" si="1888"/>
        <v>6519490.3050408103</v>
      </c>
      <c r="AE1958" s="2">
        <f t="shared" ca="1" si="1889"/>
        <v>6649523.3169937041</v>
      </c>
      <c r="AF1958" s="2">
        <f t="shared" ca="1" si="1890"/>
        <v>965006.25381673756</v>
      </c>
      <c r="AG1958" s="2">
        <f t="shared" ca="1" si="1891"/>
        <v>984253.56669948658</v>
      </c>
      <c r="AH1958" s="2">
        <f t="shared" ca="1" si="1892"/>
        <v>1003884.772486288</v>
      </c>
      <c r="AI1958" s="2">
        <f t="shared" ca="1" si="1893"/>
        <v>1023907.5280257979</v>
      </c>
      <c r="AJ1958" s="2">
        <f t="shared" ca="1" si="1894"/>
        <v>1044329.6428846072</v>
      </c>
      <c r="AK1958" s="2">
        <f t="shared" ca="1" si="1895"/>
        <v>0</v>
      </c>
      <c r="AL1958" s="2">
        <f t="shared" ca="1" si="1896"/>
        <v>9623.6564413744964</v>
      </c>
      <c r="AM1958" s="2">
        <f t="shared" ca="1" si="1897"/>
        <v>9815.6028934007136</v>
      </c>
      <c r="AN1958" s="2">
        <f t="shared" ca="1" si="1898"/>
        <v>10011.377769754976</v>
      </c>
      <c r="AO1958" s="2">
        <f t="shared" ca="1" si="1899"/>
        <v>10211.057429404631</v>
      </c>
      <c r="AP1958" s="2">
        <f t="shared" ca="1" si="1900"/>
        <v>2304108.4006377952</v>
      </c>
      <c r="AQ1958" s="2">
        <f t="shared" ca="1" si="1901"/>
        <v>721259.46123675711</v>
      </c>
      <c r="AR1958" s="2">
        <f t="shared" ca="1" si="1902"/>
        <v>774446.67761823733</v>
      </c>
      <c r="AS1958" s="2">
        <f t="shared" ca="1" si="1903"/>
        <v>801841.80608430039</v>
      </c>
      <c r="AT1958" s="2">
        <f t="shared" ca="1" si="1904"/>
        <v>829783.33785807656</v>
      </c>
      <c r="AU1958" s="2">
        <f t="shared" ca="1" si="1905"/>
        <v>858282.17110253836</v>
      </c>
      <c r="AV1958" s="2">
        <f t="shared" ca="1" si="1906"/>
        <v>2052815.3896738468</v>
      </c>
      <c r="AW1958" s="2">
        <f t="shared" ca="1" si="1907"/>
        <v>2194570.7337028394</v>
      </c>
      <c r="AX1958" s="2">
        <f t="shared" ca="1" si="1908"/>
        <v>2272349.5375003768</v>
      </c>
      <c r="AY1958" s="2">
        <f t="shared" ca="1" si="1909"/>
        <v>2351679.6607493861</v>
      </c>
      <c r="AZ1958" s="2">
        <f t="shared" ca="1" si="1910"/>
        <v>2432592.0449393578</v>
      </c>
      <c r="BA1958" s="2">
        <f t="shared" ca="1" si="1911"/>
        <v>45547513.19300352</v>
      </c>
      <c r="BB1958" s="2">
        <f t="shared" ca="1" si="1912"/>
        <v>910950.26386007038</v>
      </c>
      <c r="BC1958" s="2">
        <f t="shared" ca="1" si="1913"/>
        <v>19035358.477612391</v>
      </c>
      <c r="BD1958" s="2">
        <f t="shared" ca="1" si="1914"/>
        <v>-18634186.486501168</v>
      </c>
      <c r="BE1958" s="2">
        <f t="shared" ca="1" si="1915"/>
        <v>2052815.3896738468</v>
      </c>
      <c r="BF1958" s="2">
        <f t="shared" ca="1" si="1916"/>
        <v>2194570.7337028394</v>
      </c>
      <c r="BG1958" s="2">
        <f t="shared" ca="1" si="1917"/>
        <v>2272349.5375003768</v>
      </c>
      <c r="BH1958" s="2">
        <f t="shared" ca="1" si="1918"/>
        <v>2351679.6607493861</v>
      </c>
      <c r="BI1958" s="2">
        <f t="shared" ca="1" si="1919"/>
        <v>21467950.522551749</v>
      </c>
      <c r="BJ1958" s="2">
        <f t="shared" ca="1" si="1920"/>
        <v>0.12354229036701292</v>
      </c>
      <c r="BK1958" s="2">
        <f t="shared" ca="1" si="1921"/>
        <v>241622.86957462877</v>
      </c>
    </row>
    <row r="1959" spans="1:63" x14ac:dyDescent="0.3">
      <c r="A1959" s="2">
        <v>1958</v>
      </c>
      <c r="B1959" s="2">
        <f t="shared" ca="1" si="1860"/>
        <v>0.47260264495951054</v>
      </c>
      <c r="C1959" s="2">
        <f t="shared" ca="1" si="1861"/>
        <v>6.9722166887680039</v>
      </c>
      <c r="D1959" s="2">
        <f t="shared" ca="1" si="1862"/>
        <v>0.91734553076067749</v>
      </c>
      <c r="E1959" s="2">
        <f t="shared" ca="1" si="1863"/>
        <v>8.0934179806255013</v>
      </c>
      <c r="F1959" s="2">
        <f t="shared" ca="1" si="1864"/>
        <v>0.28084611243278812</v>
      </c>
      <c r="G1959" s="2">
        <f t="shared" ca="1" si="1865"/>
        <v>2.2590105541057722E-2</v>
      </c>
      <c r="H1959" s="2">
        <f t="shared" ca="1" si="1866"/>
        <v>2.2590105541057722E-2</v>
      </c>
      <c r="I1959" s="2">
        <f t="shared" ca="1" si="1867"/>
        <v>0.15556845238739969</v>
      </c>
      <c r="J1959" s="2">
        <f t="shared" ca="1" si="1868"/>
        <v>4.9358032818056135E-3</v>
      </c>
      <c r="K1959" s="2">
        <f t="shared" ca="1" si="1869"/>
        <v>4.9358032818056135E-3</v>
      </c>
      <c r="L1959" s="2">
        <f t="shared" ca="1" si="1870"/>
        <v>0.9706440496497365</v>
      </c>
      <c r="M1959" s="2">
        <f t="shared" ca="1" si="1871"/>
        <v>3.7806890029338541E-2</v>
      </c>
      <c r="N1959" s="2">
        <f t="shared" ca="1" si="1872"/>
        <v>3.7806890029338541E-2</v>
      </c>
      <c r="O1959" s="2">
        <f t="shared" si="1873"/>
        <v>6000000</v>
      </c>
      <c r="P1959" s="2">
        <f t="shared" ca="1" si="1874"/>
        <v>41833300.132608026</v>
      </c>
      <c r="Q1959" s="2">
        <f t="shared" ca="1" si="1875"/>
        <v>1045832.5033152007</v>
      </c>
      <c r="R1959" s="2">
        <f t="shared" ca="1" si="1876"/>
        <v>25099980.079564814</v>
      </c>
      <c r="S1959" s="2">
        <f t="shared" ca="1" si="1877"/>
        <v>16733320.053043211</v>
      </c>
      <c r="T1959" s="2">
        <f t="shared" ca="1" si="1878"/>
        <v>51890344.501466922</v>
      </c>
      <c r="U1959" s="2">
        <f t="shared" ca="1" si="1879"/>
        <v>53062552.86031691</v>
      </c>
      <c r="V1959" s="2">
        <f t="shared" ca="1" si="1880"/>
        <v>54261241.529709429</v>
      </c>
      <c r="W1959" s="2">
        <f t="shared" ca="1" si="1881"/>
        <v>55487008.702654392</v>
      </c>
      <c r="X1959" s="2">
        <f t="shared" ca="1" si="1882"/>
        <v>56740466.085404947</v>
      </c>
      <c r="Y1959" s="2">
        <f t="shared" ca="1" si="1883"/>
        <v>0.12246790164090281</v>
      </c>
      <c r="Z1959" s="2">
        <f t="shared" ca="1" si="1884"/>
        <v>0.12345506229726393</v>
      </c>
      <c r="AA1959" s="2">
        <f t="shared" ca="1" si="1885"/>
        <v>6354901.6065182127</v>
      </c>
      <c r="AB1959" s="2">
        <f t="shared" ca="1" si="1886"/>
        <v>6550840.7690222841</v>
      </c>
      <c r="AC1959" s="2">
        <f t="shared" ca="1" si="1887"/>
        <v>6698824.9533771621</v>
      </c>
      <c r="AD1959" s="2">
        <f t="shared" ca="1" si="1888"/>
        <v>6850152.1160750231</v>
      </c>
      <c r="AE1959" s="2">
        <f t="shared" ca="1" si="1889"/>
        <v>7004897.7753494587</v>
      </c>
      <c r="AF1959" s="2">
        <f t="shared" ca="1" si="1890"/>
        <v>1037806.8900293384</v>
      </c>
      <c r="AG1959" s="2">
        <f t="shared" ca="1" si="1891"/>
        <v>1061251.0572063383</v>
      </c>
      <c r="AH1959" s="2">
        <f t="shared" ca="1" si="1892"/>
        <v>1085224.8305941885</v>
      </c>
      <c r="AI1959" s="2">
        <f t="shared" ca="1" si="1893"/>
        <v>1109740.1740530878</v>
      </c>
      <c r="AJ1959" s="2">
        <f t="shared" ca="1" si="1894"/>
        <v>1134809.321708099</v>
      </c>
      <c r="AK1959" s="2">
        <f t="shared" ca="1" si="1895"/>
        <v>0</v>
      </c>
      <c r="AL1959" s="2">
        <f t="shared" ca="1" si="1896"/>
        <v>11722.083588499874</v>
      </c>
      <c r="AM1959" s="2">
        <f t="shared" ca="1" si="1897"/>
        <v>11986.886693925188</v>
      </c>
      <c r="AN1959" s="2">
        <f t="shared" ca="1" si="1898"/>
        <v>12257.67172944963</v>
      </c>
      <c r="AO1959" s="2">
        <f t="shared" ca="1" si="1899"/>
        <v>12534.573827505559</v>
      </c>
      <c r="AP1959" s="2">
        <f t="shared" ca="1" si="1900"/>
        <v>2258998.2071608333</v>
      </c>
      <c r="AQ1959" s="2">
        <f t="shared" ca="1" si="1901"/>
        <v>795105.09242529073</v>
      </c>
      <c r="AR1959" s="2">
        <f t="shared" ca="1" si="1902"/>
        <v>839953.79121032928</v>
      </c>
      <c r="AS1959" s="2">
        <f t="shared" ca="1" si="1903"/>
        <v>872196.49806175649</v>
      </c>
      <c r="AT1959" s="2">
        <f t="shared" ca="1" si="1904"/>
        <v>905167.57106388651</v>
      </c>
      <c r="AU1959" s="2">
        <f t="shared" ca="1" si="1905"/>
        <v>938883.46408493689</v>
      </c>
      <c r="AV1959" s="2">
        <f t="shared" ca="1" si="1906"/>
        <v>2262991.4169027507</v>
      </c>
      <c r="AW1959" s="2">
        <f t="shared" ca="1" si="1907"/>
        <v>2378915.6298562838</v>
      </c>
      <c r="AX1959" s="2">
        <f t="shared" ca="1" si="1908"/>
        <v>2470418.5308664581</v>
      </c>
      <c r="AY1959" s="2">
        <f t="shared" ca="1" si="1909"/>
        <v>2563988.4920677664</v>
      </c>
      <c r="AZ1959" s="2">
        <f t="shared" ca="1" si="1910"/>
        <v>2659672.2085680841</v>
      </c>
      <c r="BA1959" s="2">
        <f t="shared" ca="1" si="1911"/>
        <v>56693565.607456885</v>
      </c>
      <c r="BB1959" s="2">
        <f t="shared" ca="1" si="1912"/>
        <v>1133871.3121491377</v>
      </c>
      <c r="BC1959" s="2">
        <f t="shared" ca="1" si="1913"/>
        <v>30459714.215742934</v>
      </c>
      <c r="BD1959" s="2">
        <f t="shared" ca="1" si="1914"/>
        <v>-18279152.556358412</v>
      </c>
      <c r="BE1959" s="2">
        <f t="shared" ca="1" si="1915"/>
        <v>2262991.4169027507</v>
      </c>
      <c r="BF1959" s="2">
        <f t="shared" ca="1" si="1916"/>
        <v>2378915.6298562838</v>
      </c>
      <c r="BG1959" s="2">
        <f t="shared" ca="1" si="1917"/>
        <v>2470418.5308664581</v>
      </c>
      <c r="BH1959" s="2">
        <f t="shared" ca="1" si="1918"/>
        <v>2563988.4920677664</v>
      </c>
      <c r="BI1959" s="2">
        <f t="shared" ca="1" si="1919"/>
        <v>33119386.424311019</v>
      </c>
      <c r="BJ1959" s="2">
        <f t="shared" ca="1" si="1920"/>
        <v>0.21912487538909931</v>
      </c>
      <c r="BK1959" s="2">
        <f t="shared" ca="1" si="1921"/>
        <v>7818517.9254895113</v>
      </c>
    </row>
    <row r="1960" spans="1:63" x14ac:dyDescent="0.3">
      <c r="A1960" s="2">
        <v>1959</v>
      </c>
      <c r="B1960" s="2">
        <f t="shared" ca="1" si="1860"/>
        <v>0.50546656630776021</v>
      </c>
      <c r="C1960" s="2">
        <f t="shared" ca="1" si="1861"/>
        <v>7.0054815902234493</v>
      </c>
      <c r="D1960" s="2">
        <f t="shared" ca="1" si="1862"/>
        <v>0.48765460755825296</v>
      </c>
      <c r="E1960" s="2">
        <f t="shared" ca="1" si="1863"/>
        <v>7.4875774476548695</v>
      </c>
      <c r="F1960" s="2">
        <f t="shared" ca="1" si="1864"/>
        <v>0.52143293713600236</v>
      </c>
      <c r="G1960" s="2">
        <f t="shared" ca="1" si="1865"/>
        <v>4.1612508298170092E-2</v>
      </c>
      <c r="H1960" s="2">
        <f t="shared" ca="1" si="1866"/>
        <v>4.1612508298170092E-2</v>
      </c>
      <c r="I1960" s="2">
        <f t="shared" ca="1" si="1867"/>
        <v>0.37634744352557326</v>
      </c>
      <c r="J1960" s="2">
        <f t="shared" ca="1" si="1868"/>
        <v>8.4245603135864218E-3</v>
      </c>
      <c r="K1960" s="2">
        <f t="shared" ca="1" si="1869"/>
        <v>8.4245603135864218E-3</v>
      </c>
      <c r="L1960" s="2">
        <f t="shared" ca="1" si="1870"/>
        <v>0.81055099853247603</v>
      </c>
      <c r="M1960" s="2">
        <f t="shared" ca="1" si="1871"/>
        <v>1.7598571527788685E-2</v>
      </c>
      <c r="N1960" s="2">
        <f t="shared" ca="1" si="1872"/>
        <v>1.7598571527788685E-2</v>
      </c>
      <c r="O1960" s="2">
        <f t="shared" si="1873"/>
        <v>6000000</v>
      </c>
      <c r="P1960" s="2">
        <f t="shared" ca="1" si="1874"/>
        <v>42032889.541340694</v>
      </c>
      <c r="Q1960" s="2">
        <f t="shared" ca="1" si="1875"/>
        <v>1050822.2385335173</v>
      </c>
      <c r="R1960" s="2">
        <f t="shared" ca="1" si="1876"/>
        <v>25219733.724804416</v>
      </c>
      <c r="S1960" s="2">
        <f t="shared" ca="1" si="1877"/>
        <v>16813155.816536278</v>
      </c>
      <c r="T1960" s="2">
        <f t="shared" ca="1" si="1878"/>
        <v>50879928.576389432</v>
      </c>
      <c r="U1960" s="2">
        <f t="shared" ca="1" si="1879"/>
        <v>52997170.026484735</v>
      </c>
      <c r="V1960" s="2">
        <f t="shared" ca="1" si="1880"/>
        <v>55202515.203991354</v>
      </c>
      <c r="W1960" s="2">
        <f t="shared" ca="1" si="1881"/>
        <v>57499630.3259973</v>
      </c>
      <c r="X1960" s="2">
        <f t="shared" ca="1" si="1882"/>
        <v>59892334.170079567</v>
      </c>
      <c r="Y1960" s="2">
        <f t="shared" ca="1" si="1883"/>
        <v>0.12421228015679321</v>
      </c>
      <c r="Z1960" s="2">
        <f t="shared" ca="1" si="1884"/>
        <v>0.12589719221951048</v>
      </c>
      <c r="AA1960" s="2">
        <f t="shared" ca="1" si="1885"/>
        <v>6319911.9426881131</v>
      </c>
      <c r="AB1960" s="2">
        <f t="shared" ca="1" si="1886"/>
        <v>6672194.901914428</v>
      </c>
      <c r="AC1960" s="2">
        <f t="shared" ca="1" si="1887"/>
        <v>6949841.6676373491</v>
      </c>
      <c r="AD1960" s="2">
        <f t="shared" ca="1" si="1888"/>
        <v>7239042.0117028765</v>
      </c>
      <c r="AE1960" s="2">
        <f t="shared" ca="1" si="1889"/>
        <v>7540276.7074856628</v>
      </c>
      <c r="AF1960" s="2">
        <f t="shared" ca="1" si="1890"/>
        <v>1017598.5715277886</v>
      </c>
      <c r="AG1960" s="2">
        <f t="shared" ca="1" si="1891"/>
        <v>1059943.4005296947</v>
      </c>
      <c r="AH1960" s="2">
        <f t="shared" ca="1" si="1892"/>
        <v>1104050.3040798272</v>
      </c>
      <c r="AI1960" s="2">
        <f t="shared" ca="1" si="1893"/>
        <v>1149992.6065199461</v>
      </c>
      <c r="AJ1960" s="2">
        <f t="shared" ca="1" si="1894"/>
        <v>1197846.6834015914</v>
      </c>
      <c r="AK1960" s="2">
        <f t="shared" ca="1" si="1895"/>
        <v>0</v>
      </c>
      <c r="AL1960" s="2">
        <f t="shared" ca="1" si="1896"/>
        <v>21172.414500953033</v>
      </c>
      <c r="AM1960" s="2">
        <f t="shared" ca="1" si="1897"/>
        <v>22053.451775066183</v>
      </c>
      <c r="AN1960" s="2">
        <f t="shared" ca="1" si="1898"/>
        <v>22971.15122005947</v>
      </c>
      <c r="AO1960" s="2">
        <f t="shared" ca="1" si="1899"/>
        <v>23927.03844082266</v>
      </c>
      <c r="AP1960" s="2">
        <f t="shared" ca="1" si="1900"/>
        <v>2269776.0352323973</v>
      </c>
      <c r="AQ1960" s="2">
        <f t="shared" ca="1" si="1901"/>
        <v>788459.70734126121</v>
      </c>
      <c r="AR1960" s="2">
        <f t="shared" ca="1" si="1902"/>
        <v>869043.62119960738</v>
      </c>
      <c r="AS1960" s="2">
        <f t="shared" ca="1" si="1903"/>
        <v>929763.98536453256</v>
      </c>
      <c r="AT1960" s="2">
        <f t="shared" ca="1" si="1904"/>
        <v>993011.07618713868</v>
      </c>
      <c r="AU1960" s="2">
        <f t="shared" ca="1" si="1905"/>
        <v>1058890.0371014355</v>
      </c>
      <c r="AV1960" s="2">
        <f t="shared" ca="1" si="1906"/>
        <v>2244077.6285866662</v>
      </c>
      <c r="AW1960" s="2">
        <f t="shared" ca="1" si="1907"/>
        <v>2452259.4304517764</v>
      </c>
      <c r="AX1960" s="2">
        <f t="shared" ca="1" si="1908"/>
        <v>2624197.8911855253</v>
      </c>
      <c r="AY1960" s="2">
        <f t="shared" ca="1" si="1909"/>
        <v>2803291.1425433359</v>
      </c>
      <c r="AZ1960" s="2">
        <f t="shared" ca="1" si="1910"/>
        <v>2989836.9133094163</v>
      </c>
      <c r="BA1960" s="2">
        <f t="shared" ca="1" si="1911"/>
        <v>56458405.824046962</v>
      </c>
      <c r="BB1960" s="2">
        <f t="shared" ca="1" si="1912"/>
        <v>1129168.1164809393</v>
      </c>
      <c r="BC1960" s="2">
        <f t="shared" ca="1" si="1913"/>
        <v>30109503.982761607</v>
      </c>
      <c r="BD1960" s="2">
        <f t="shared" ca="1" si="1914"/>
        <v>-18363978.055069797</v>
      </c>
      <c r="BE1960" s="2">
        <f t="shared" ca="1" si="1915"/>
        <v>2244077.6285866662</v>
      </c>
      <c r="BF1960" s="2">
        <f t="shared" ca="1" si="1916"/>
        <v>2452259.4304517764</v>
      </c>
      <c r="BG1960" s="2">
        <f t="shared" ca="1" si="1917"/>
        <v>2624197.8911855253</v>
      </c>
      <c r="BH1960" s="2">
        <f t="shared" ca="1" si="1918"/>
        <v>2803291.1425433359</v>
      </c>
      <c r="BI1960" s="2">
        <f t="shared" ca="1" si="1919"/>
        <v>33099340.896071024</v>
      </c>
      <c r="BJ1960" s="2">
        <f t="shared" ca="1" si="1920"/>
        <v>0.22129701023499515</v>
      </c>
      <c r="BK1960" s="2">
        <f t="shared" ca="1" si="1921"/>
        <v>8025438.245296143</v>
      </c>
    </row>
    <row r="1961" spans="1:63" x14ac:dyDescent="0.3">
      <c r="A1961" s="2">
        <v>1960</v>
      </c>
      <c r="B1961" s="2">
        <f t="shared" ca="1" si="1860"/>
        <v>0.4514067247307022</v>
      </c>
      <c r="C1961" s="2">
        <f t="shared" ca="1" si="1861"/>
        <v>6.9501649590788981</v>
      </c>
      <c r="D1961" s="2">
        <f t="shared" ca="1" si="1862"/>
        <v>0.17809156075528898</v>
      </c>
      <c r="E1961" s="2">
        <f t="shared" ca="1" si="1863"/>
        <v>7.0968107920527057</v>
      </c>
      <c r="F1961" s="2">
        <f t="shared" ca="1" si="1864"/>
        <v>0.22470362914787889</v>
      </c>
      <c r="G1961" s="2">
        <f t="shared" ca="1" si="1865"/>
        <v>1.7307892403237636E-2</v>
      </c>
      <c r="H1961" s="2">
        <f t="shared" ca="1" si="1866"/>
        <v>1.7307892403237636E-2</v>
      </c>
      <c r="I1961" s="2">
        <f t="shared" ca="1" si="1867"/>
        <v>0.34003215156747779</v>
      </c>
      <c r="J1961" s="2">
        <f t="shared" ca="1" si="1868"/>
        <v>7.9381230820394222E-3</v>
      </c>
      <c r="K1961" s="2">
        <f t="shared" ca="1" si="1869"/>
        <v>7.9381230820394222E-3</v>
      </c>
      <c r="L1961" s="2">
        <f t="shared" ca="1" si="1870"/>
        <v>0.16245458971550586</v>
      </c>
      <c r="M1961" s="2">
        <f t="shared" ca="1" si="1871"/>
        <v>-1.9688394666197859E-2</v>
      </c>
      <c r="N1961" s="2">
        <f t="shared" ca="1" si="1872"/>
        <v>-1.9688394666197859E-2</v>
      </c>
      <c r="O1961" s="2">
        <f t="shared" si="1873"/>
        <v>6000000</v>
      </c>
      <c r="P1961" s="2">
        <f t="shared" ca="1" si="1874"/>
        <v>41700989.754473388</v>
      </c>
      <c r="Q1961" s="2">
        <f t="shared" ca="1" si="1875"/>
        <v>1042524.7438618348</v>
      </c>
      <c r="R1961" s="2">
        <f t="shared" ca="1" si="1876"/>
        <v>25020593.852684032</v>
      </c>
      <c r="S1961" s="2">
        <f t="shared" ca="1" si="1877"/>
        <v>16680395.901789356</v>
      </c>
      <c r="T1961" s="2">
        <f t="shared" ca="1" si="1878"/>
        <v>49015580.266690105</v>
      </c>
      <c r="U1961" s="2">
        <f t="shared" ca="1" si="1879"/>
        <v>49863936.656028241</v>
      </c>
      <c r="V1961" s="2">
        <f t="shared" ca="1" si="1880"/>
        <v>50726976.306472637</v>
      </c>
      <c r="W1961" s="2">
        <f t="shared" ca="1" si="1881"/>
        <v>51604953.354326651</v>
      </c>
      <c r="X1961" s="2">
        <f t="shared" ca="1" si="1882"/>
        <v>52498126.334457435</v>
      </c>
      <c r="Y1961" s="2">
        <f t="shared" ca="1" si="1883"/>
        <v>0.12396906154101971</v>
      </c>
      <c r="Z1961" s="2">
        <f t="shared" ca="1" si="1884"/>
        <v>0.1255566861574276</v>
      </c>
      <c r="AA1961" s="2">
        <f t="shared" ca="1" si="1885"/>
        <v>6076415.4865500964</v>
      </c>
      <c r="AB1961" s="2">
        <f t="shared" ca="1" si="1886"/>
        <v>6260750.6452947874</v>
      </c>
      <c r="AC1961" s="2">
        <f t="shared" ca="1" si="1887"/>
        <v>6369111.0438270504</v>
      </c>
      <c r="AD1961" s="2">
        <f t="shared" ca="1" si="1888"/>
        <v>6479346.9324778821</v>
      </c>
      <c r="AE1961" s="2">
        <f t="shared" ca="1" si="1889"/>
        <v>6591490.7720284574</v>
      </c>
      <c r="AF1961" s="2">
        <f t="shared" ca="1" si="1890"/>
        <v>980311.60533380217</v>
      </c>
      <c r="AG1961" s="2">
        <f t="shared" ca="1" si="1891"/>
        <v>997278.73312056484</v>
      </c>
      <c r="AH1961" s="2">
        <f t="shared" ca="1" si="1892"/>
        <v>1014539.5261294527</v>
      </c>
      <c r="AI1961" s="2">
        <f t="shared" ca="1" si="1893"/>
        <v>1032099.0670865331</v>
      </c>
      <c r="AJ1961" s="2">
        <f t="shared" ca="1" si="1894"/>
        <v>1049962.5266891487</v>
      </c>
      <c r="AK1961" s="2">
        <f t="shared" ca="1" si="1895"/>
        <v>0</v>
      </c>
      <c r="AL1961" s="2">
        <f t="shared" ca="1" si="1896"/>
        <v>8483.563893381357</v>
      </c>
      <c r="AM1961" s="2">
        <f t="shared" ca="1" si="1897"/>
        <v>8630.3965044439592</v>
      </c>
      <c r="AN1961" s="2">
        <f t="shared" ca="1" si="1898"/>
        <v>8779.7704785401384</v>
      </c>
      <c r="AO1961" s="2">
        <f t="shared" ca="1" si="1899"/>
        <v>8931.7298013078416</v>
      </c>
      <c r="AP1961" s="2">
        <f t="shared" ca="1" si="1900"/>
        <v>2251853.4467415628</v>
      </c>
      <c r="AQ1961" s="2">
        <f t="shared" ca="1" si="1901"/>
        <v>739505.11296343012</v>
      </c>
      <c r="AR1961" s="2">
        <f t="shared" ca="1" si="1902"/>
        <v>783020.80101249169</v>
      </c>
      <c r="AS1961" s="2">
        <f t="shared" ca="1" si="1903"/>
        <v>806706.69844856916</v>
      </c>
      <c r="AT1961" s="2">
        <f t="shared" ca="1" si="1904"/>
        <v>830802.5488489446</v>
      </c>
      <c r="AU1961" s="2">
        <f t="shared" ca="1" si="1905"/>
        <v>855315.44763541396</v>
      </c>
      <c r="AV1961" s="2">
        <f t="shared" ca="1" si="1906"/>
        <v>2104745.3215113017</v>
      </c>
      <c r="AW1961" s="2">
        <f t="shared" ca="1" si="1907"/>
        <v>2220114.1005267869</v>
      </c>
      <c r="AX1961" s="2">
        <f t="shared" ca="1" si="1908"/>
        <v>2287380.9760030215</v>
      </c>
      <c r="AY1961" s="2">
        <f t="shared" ca="1" si="1909"/>
        <v>2355812.0993223018</v>
      </c>
      <c r="AZ1961" s="2">
        <f t="shared" ca="1" si="1910"/>
        <v>2425427.6211610246</v>
      </c>
      <c r="BA1961" s="2">
        <f t="shared" ca="1" si="1911"/>
        <v>46778562.846647374</v>
      </c>
      <c r="BB1961" s="2">
        <f t="shared" ca="1" si="1912"/>
        <v>935571.25693294755</v>
      </c>
      <c r="BC1961" s="2">
        <f t="shared" ca="1" si="1913"/>
        <v>20822397.737030394</v>
      </c>
      <c r="BD1961" s="2">
        <f t="shared" ca="1" si="1914"/>
        <v>-18222920.645651191</v>
      </c>
      <c r="BE1961" s="2">
        <f t="shared" ca="1" si="1915"/>
        <v>2104745.3215113017</v>
      </c>
      <c r="BF1961" s="2">
        <f t="shared" ca="1" si="1916"/>
        <v>2220114.1005267869</v>
      </c>
      <c r="BG1961" s="2">
        <f t="shared" ca="1" si="1917"/>
        <v>2287380.9760030215</v>
      </c>
      <c r="BH1961" s="2">
        <f t="shared" ca="1" si="1918"/>
        <v>2355812.0993223018</v>
      </c>
      <c r="BI1961" s="2">
        <f t="shared" ca="1" si="1919"/>
        <v>23247825.358191419</v>
      </c>
      <c r="BJ1961" s="2">
        <f t="shared" ca="1" si="1920"/>
        <v>0.14524601126253645</v>
      </c>
      <c r="BK1961" s="2">
        <f t="shared" ca="1" si="1921"/>
        <v>1742891.8386409171</v>
      </c>
    </row>
    <row r="1962" spans="1:63" x14ac:dyDescent="0.3">
      <c r="A1962" s="2">
        <v>1961</v>
      </c>
      <c r="B1962" s="2">
        <f t="shared" ca="1" si="1860"/>
        <v>0.61981652583030356</v>
      </c>
      <c r="C1962" s="2">
        <f t="shared" ca="1" si="1861"/>
        <v>7.128009777383145</v>
      </c>
      <c r="D1962" s="2">
        <f t="shared" ca="1" si="1862"/>
        <v>0.13371372829052197</v>
      </c>
      <c r="E1962" s="2">
        <f t="shared" ca="1" si="1863"/>
        <v>7.0171338865139701</v>
      </c>
      <c r="F1962" s="2">
        <f t="shared" ca="1" si="1864"/>
        <v>0.38307745795432147</v>
      </c>
      <c r="G1962" s="2">
        <f t="shared" ca="1" si="1865"/>
        <v>3.1077755251230951E-2</v>
      </c>
      <c r="H1962" s="2">
        <f t="shared" ca="1" si="1866"/>
        <v>3.1077755251230951E-2</v>
      </c>
      <c r="I1962" s="2">
        <f t="shared" ca="1" si="1867"/>
        <v>1.5596683643033238E-3</v>
      </c>
      <c r="J1962" s="2">
        <f t="shared" ca="1" si="1868"/>
        <v>-4.7786319663253515E-3</v>
      </c>
      <c r="K1962" s="2">
        <f t="shared" ca="1" si="1869"/>
        <v>0</v>
      </c>
      <c r="L1962" s="2">
        <f t="shared" ca="1" si="1870"/>
        <v>0.46721925245869733</v>
      </c>
      <c r="M1962" s="2">
        <f t="shared" ca="1" si="1871"/>
        <v>-1.6452366462578255E-3</v>
      </c>
      <c r="N1962" s="2">
        <f t="shared" ca="1" si="1872"/>
        <v>-1.6452366462578255E-3</v>
      </c>
      <c r="O1962" s="2">
        <f t="shared" si="1873"/>
        <v>6000000</v>
      </c>
      <c r="P1962" s="2">
        <f t="shared" ca="1" si="1874"/>
        <v>42768058.66429887</v>
      </c>
      <c r="Q1962" s="2">
        <f t="shared" ca="1" si="1875"/>
        <v>1069201.4666074717</v>
      </c>
      <c r="R1962" s="2">
        <f t="shared" ca="1" si="1876"/>
        <v>25660835.198579323</v>
      </c>
      <c r="S1962" s="2">
        <f t="shared" ca="1" si="1877"/>
        <v>17107223.465719547</v>
      </c>
      <c r="T1962" s="2">
        <f t="shared" ca="1" si="1878"/>
        <v>49917738.167687111</v>
      </c>
      <c r="U1962" s="2">
        <f t="shared" ca="1" si="1879"/>
        <v>51469069.417157516</v>
      </c>
      <c r="V1962" s="2">
        <f t="shared" ca="1" si="1880"/>
        <v>53068612.559512548</v>
      </c>
      <c r="W1962" s="2">
        <f t="shared" ca="1" si="1881"/>
        <v>54717865.91215948</v>
      </c>
      <c r="X1962" s="2">
        <f t="shared" ca="1" si="1882"/>
        <v>56418374.356847242</v>
      </c>
      <c r="Y1962" s="2">
        <f t="shared" ca="1" si="1883"/>
        <v>0.12</v>
      </c>
      <c r="Z1962" s="2">
        <f t="shared" ca="1" si="1884"/>
        <v>0.12</v>
      </c>
      <c r="AA1962" s="2">
        <f t="shared" ca="1" si="1885"/>
        <v>5990128.5801224532</v>
      </c>
      <c r="AB1962" s="2">
        <f t="shared" ca="1" si="1886"/>
        <v>6176288.3300589016</v>
      </c>
      <c r="AC1962" s="2">
        <f t="shared" ca="1" si="1887"/>
        <v>6368233.5071415054</v>
      </c>
      <c r="AD1962" s="2">
        <f t="shared" ca="1" si="1888"/>
        <v>6566143.9094591374</v>
      </c>
      <c r="AE1962" s="2">
        <f t="shared" ca="1" si="1889"/>
        <v>6770204.9228216689</v>
      </c>
      <c r="AF1962" s="2">
        <f t="shared" ca="1" si="1890"/>
        <v>998354.76335374219</v>
      </c>
      <c r="AG1962" s="2">
        <f t="shared" ca="1" si="1891"/>
        <v>1029381.3883431504</v>
      </c>
      <c r="AH1962" s="2">
        <f t="shared" ca="1" si="1892"/>
        <v>1061372.251190251</v>
      </c>
      <c r="AI1962" s="2">
        <f t="shared" ca="1" si="1893"/>
        <v>1094357.3182431897</v>
      </c>
      <c r="AJ1962" s="2">
        <f t="shared" ca="1" si="1894"/>
        <v>1128367.4871369449</v>
      </c>
      <c r="AK1962" s="2">
        <f t="shared" ca="1" si="1895"/>
        <v>0</v>
      </c>
      <c r="AL1962" s="2">
        <f t="shared" ca="1" si="1896"/>
        <v>15513.312494704052</v>
      </c>
      <c r="AM1962" s="2">
        <f t="shared" ca="1" si="1897"/>
        <v>15995.431423550323</v>
      </c>
      <c r="AN1962" s="2">
        <f t="shared" ca="1" si="1898"/>
        <v>16492.53352646932</v>
      </c>
      <c r="AO1962" s="2">
        <f t="shared" ca="1" si="1899"/>
        <v>17005.084446877612</v>
      </c>
      <c r="AP1962" s="2">
        <f t="shared" ca="1" si="1900"/>
        <v>2309475.1678721388</v>
      </c>
      <c r="AQ1962" s="2">
        <f t="shared" ca="1" si="1901"/>
        <v>697397.64871310897</v>
      </c>
      <c r="AR1962" s="2">
        <f t="shared" ca="1" si="1902"/>
        <v>737732.26119933918</v>
      </c>
      <c r="AS1962" s="2">
        <f t="shared" ca="1" si="1903"/>
        <v>779320.38290057017</v>
      </c>
      <c r="AT1962" s="2">
        <f t="shared" ca="1" si="1904"/>
        <v>822200.97006939037</v>
      </c>
      <c r="AU1962" s="2">
        <f t="shared" ca="1" si="1905"/>
        <v>866414.18963127211</v>
      </c>
      <c r="AV1962" s="2">
        <f t="shared" ca="1" si="1906"/>
        <v>1984901.0001834636</v>
      </c>
      <c r="AW1962" s="2">
        <f t="shared" ca="1" si="1907"/>
        <v>2084186.2001495683</v>
      </c>
      <c r="AX1962" s="2">
        <f t="shared" ca="1" si="1908"/>
        <v>2202070.2737549949</v>
      </c>
      <c r="AY1962" s="2">
        <f t="shared" ca="1" si="1909"/>
        <v>2323617.9197479491</v>
      </c>
      <c r="AZ1962" s="2">
        <f t="shared" ca="1" si="1910"/>
        <v>2448942.9937344356</v>
      </c>
      <c r="BA1962" s="2">
        <f t="shared" ca="1" si="1911"/>
        <v>47507434.382575631</v>
      </c>
      <c r="BB1962" s="2">
        <f t="shared" ca="1" si="1912"/>
        <v>950148.68765151268</v>
      </c>
      <c r="BC1962" s="2">
        <f t="shared" ca="1" si="1913"/>
        <v>20896450.496344797</v>
      </c>
      <c r="BD1962" s="2">
        <f t="shared" ca="1" si="1914"/>
        <v>-18676424.932327017</v>
      </c>
      <c r="BE1962" s="2">
        <f t="shared" ca="1" si="1915"/>
        <v>1984901.0001834636</v>
      </c>
      <c r="BF1962" s="2">
        <f t="shared" ca="1" si="1916"/>
        <v>2084186.2001495683</v>
      </c>
      <c r="BG1962" s="2">
        <f t="shared" ca="1" si="1917"/>
        <v>2202070.2737549949</v>
      </c>
      <c r="BH1962" s="2">
        <f t="shared" ca="1" si="1918"/>
        <v>2323617.9197479491</v>
      </c>
      <c r="BI1962" s="2">
        <f t="shared" ca="1" si="1919"/>
        <v>23345393.490079232</v>
      </c>
      <c r="BJ1962" s="2">
        <f t="shared" ca="1" si="1920"/>
        <v>0.13486447597541495</v>
      </c>
      <c r="BK1962" s="2">
        <f t="shared" ca="1" si="1921"/>
        <v>1048203.1260368712</v>
      </c>
    </row>
    <row r="1963" spans="1:63" x14ac:dyDescent="0.3">
      <c r="A1963" s="2">
        <v>1962</v>
      </c>
      <c r="B1963" s="2">
        <f t="shared" ca="1" si="1860"/>
        <v>8.5947250384459939E-2</v>
      </c>
      <c r="C1963" s="2">
        <f t="shared" ca="1" si="1861"/>
        <v>6.4146016169395867</v>
      </c>
      <c r="D1963" s="2">
        <f t="shared" ca="1" si="1862"/>
        <v>0.35004474096592098</v>
      </c>
      <c r="E1963" s="2">
        <f t="shared" ca="1" si="1863"/>
        <v>7.3367135005076962</v>
      </c>
      <c r="F1963" s="2">
        <f t="shared" ca="1" si="1864"/>
        <v>0.23004155166540852</v>
      </c>
      <c r="G1963" s="2">
        <f t="shared" ca="1" si="1865"/>
        <v>1.7838699562544639E-2</v>
      </c>
      <c r="H1963" s="2">
        <f t="shared" ca="1" si="1866"/>
        <v>1.7838699562544639E-2</v>
      </c>
      <c r="I1963" s="2">
        <f t="shared" ca="1" si="1867"/>
        <v>0.37051892054961133</v>
      </c>
      <c r="J1963" s="2">
        <f t="shared" ca="1" si="1868"/>
        <v>8.3476035665500936E-3</v>
      </c>
      <c r="K1963" s="2">
        <f t="shared" ca="1" si="1869"/>
        <v>8.3476035665500936E-3</v>
      </c>
      <c r="L1963" s="2">
        <f t="shared" ca="1" si="1870"/>
        <v>0.20697070247347893</v>
      </c>
      <c r="M1963" s="2">
        <f t="shared" ca="1" si="1871"/>
        <v>-1.6339545849012076E-2</v>
      </c>
      <c r="N1963" s="2">
        <f t="shared" ca="1" si="1872"/>
        <v>-1.6339545849012076E-2</v>
      </c>
      <c r="O1963" s="2">
        <f t="shared" si="1873"/>
        <v>6000000</v>
      </c>
      <c r="P1963" s="2">
        <f t="shared" ca="1" si="1874"/>
        <v>38487609.701637521</v>
      </c>
      <c r="Q1963" s="2">
        <f t="shared" ca="1" si="1875"/>
        <v>962190.24254093808</v>
      </c>
      <c r="R1963" s="2">
        <f t="shared" ca="1" si="1876"/>
        <v>23092565.820982512</v>
      </c>
      <c r="S1963" s="2">
        <f t="shared" ca="1" si="1877"/>
        <v>15395043.880655009</v>
      </c>
      <c r="T1963" s="2">
        <f t="shared" ca="1" si="1878"/>
        <v>49183022.707549393</v>
      </c>
      <c r="U1963" s="2">
        <f t="shared" ca="1" si="1879"/>
        <v>50060383.873207174</v>
      </c>
      <c r="V1963" s="2">
        <f t="shared" ca="1" si="1880"/>
        <v>50953396.021106966</v>
      </c>
      <c r="W1963" s="2">
        <f t="shared" ca="1" si="1881"/>
        <v>51862338.344418846</v>
      </c>
      <c r="X1963" s="2">
        <f t="shared" ca="1" si="1882"/>
        <v>52787495.016755968</v>
      </c>
      <c r="Y1963" s="2">
        <f t="shared" ca="1" si="1883"/>
        <v>0.12417380178327504</v>
      </c>
      <c r="Z1963" s="2">
        <f t="shared" ca="1" si="1884"/>
        <v>0.12584332249658506</v>
      </c>
      <c r="AA1963" s="2">
        <f t="shared" ca="1" si="1885"/>
        <v>6107242.9127895534</v>
      </c>
      <c r="AB1963" s="2">
        <f t="shared" ca="1" si="1886"/>
        <v>6299765.0320588565</v>
      </c>
      <c r="AC1963" s="2">
        <f t="shared" ca="1" si="1887"/>
        <v>6412144.6477803774</v>
      </c>
      <c r="AD1963" s="2">
        <f t="shared" ca="1" si="1888"/>
        <v>6526528.9697037097</v>
      </c>
      <c r="AE1963" s="2">
        <f t="shared" ca="1" si="1889"/>
        <v>6642953.7591804983</v>
      </c>
      <c r="AF1963" s="2">
        <f t="shared" ca="1" si="1890"/>
        <v>983660.45415098791</v>
      </c>
      <c r="AG1963" s="2">
        <f t="shared" ca="1" si="1891"/>
        <v>1001207.6774641435</v>
      </c>
      <c r="AH1963" s="2">
        <f t="shared" ca="1" si="1892"/>
        <v>1019067.9204221393</v>
      </c>
      <c r="AI1963" s="2">
        <f t="shared" ca="1" si="1893"/>
        <v>1037246.7668883769</v>
      </c>
      <c r="AJ1963" s="2">
        <f t="shared" ca="1" si="1894"/>
        <v>1055749.9003351193</v>
      </c>
      <c r="AK1963" s="2">
        <f t="shared" ca="1" si="1895"/>
        <v>0</v>
      </c>
      <c r="AL1963" s="2">
        <f t="shared" ca="1" si="1896"/>
        <v>8773.6116565778102</v>
      </c>
      <c r="AM1963" s="2">
        <f t="shared" ca="1" si="1897"/>
        <v>8930.1214789979167</v>
      </c>
      <c r="AN1963" s="2">
        <f t="shared" ca="1" si="1898"/>
        <v>9089.4232331188032</v>
      </c>
      <c r="AO1963" s="2">
        <f t="shared" ca="1" si="1899"/>
        <v>9251.5667233712229</v>
      </c>
      <c r="AP1963" s="2">
        <f t="shared" ca="1" si="1900"/>
        <v>2078330.923888426</v>
      </c>
      <c r="AQ1963" s="2">
        <f t="shared" ca="1" si="1901"/>
        <v>791765.39903503621</v>
      </c>
      <c r="AR1963" s="2">
        <f t="shared" ca="1" si="1902"/>
        <v>837258.87198363454</v>
      </c>
      <c r="AS1963" s="2">
        <f t="shared" ca="1" si="1903"/>
        <v>861833.90890215104</v>
      </c>
      <c r="AT1963" s="2">
        <f t="shared" ca="1" si="1904"/>
        <v>886847.33252099564</v>
      </c>
      <c r="AU1963" s="2">
        <f t="shared" ca="1" si="1905"/>
        <v>912306.96308880777</v>
      </c>
      <c r="AV1963" s="2">
        <f t="shared" ca="1" si="1906"/>
        <v>2253486.1357151028</v>
      </c>
      <c r="AW1963" s="2">
        <f t="shared" ca="1" si="1907"/>
        <v>2374193.9470660742</v>
      </c>
      <c r="AX1963" s="2">
        <f t="shared" ca="1" si="1908"/>
        <v>2443981.773088662</v>
      </c>
      <c r="AY1963" s="2">
        <f t="shared" ca="1" si="1909"/>
        <v>2515014.523172792</v>
      </c>
      <c r="AZ1963" s="2">
        <f t="shared" ca="1" si="1910"/>
        <v>2587314.4051447744</v>
      </c>
      <c r="BA1963" s="2">
        <f t="shared" ca="1" si="1911"/>
        <v>48737448.52822791</v>
      </c>
      <c r="BB1963" s="2">
        <f t="shared" ca="1" si="1912"/>
        <v>974748.97056455817</v>
      </c>
      <c r="BC1963" s="2">
        <f t="shared" ca="1" si="1913"/>
        <v>24670133.736680839</v>
      </c>
      <c r="BD1963" s="2">
        <f t="shared" ca="1" si="1914"/>
        <v>-16857234.123195946</v>
      </c>
      <c r="BE1963" s="2">
        <f t="shared" ca="1" si="1915"/>
        <v>2253486.1357151028</v>
      </c>
      <c r="BF1963" s="2">
        <f t="shared" ca="1" si="1916"/>
        <v>2374193.9470660742</v>
      </c>
      <c r="BG1963" s="2">
        <f t="shared" ca="1" si="1917"/>
        <v>2443981.773088662</v>
      </c>
      <c r="BH1963" s="2">
        <f t="shared" ca="1" si="1918"/>
        <v>2515014.523172792</v>
      </c>
      <c r="BI1963" s="2">
        <f t="shared" ca="1" si="1919"/>
        <v>27257448.141825613</v>
      </c>
      <c r="BJ1963" s="2">
        <f t="shared" ca="1" si="1920"/>
        <v>0.20440348342093739</v>
      </c>
      <c r="BK1963" s="2">
        <f t="shared" ca="1" si="1921"/>
        <v>5852023.1911829934</v>
      </c>
    </row>
    <row r="1964" spans="1:63" x14ac:dyDescent="0.3">
      <c r="A1964" s="2">
        <v>1963</v>
      </c>
      <c r="B1964" s="2">
        <f t="shared" ca="1" si="1860"/>
        <v>0.75543086683923055</v>
      </c>
      <c r="C1964" s="2">
        <f t="shared" ca="1" si="1861"/>
        <v>7.3006157949155996</v>
      </c>
      <c r="D1964" s="2">
        <f t="shared" ca="1" si="1862"/>
        <v>0.76710673250598904</v>
      </c>
      <c r="E1964" s="2">
        <f t="shared" ca="1" si="1863"/>
        <v>7.817514443385047</v>
      </c>
      <c r="F1964" s="2">
        <f t="shared" ca="1" si="1864"/>
        <v>0.85658194803954124</v>
      </c>
      <c r="G1964" s="2">
        <f t="shared" ca="1" si="1865"/>
        <v>7.1952640342342611E-2</v>
      </c>
      <c r="H1964" s="2">
        <f t="shared" ca="1" si="1866"/>
        <v>7.1952640342342611E-2</v>
      </c>
      <c r="I1964" s="2">
        <f t="shared" ca="1" si="1867"/>
        <v>6.4538928095382087E-2</v>
      </c>
      <c r="J1964" s="2">
        <f t="shared" ca="1" si="1868"/>
        <v>2.4112583681560242E-3</v>
      </c>
      <c r="K1964" s="2">
        <f t="shared" ca="1" si="1869"/>
        <v>2.4112583681560242E-3</v>
      </c>
      <c r="L1964" s="2">
        <f t="shared" ca="1" si="1870"/>
        <v>0.19491483396091158</v>
      </c>
      <c r="M1964" s="2">
        <f t="shared" ca="1" si="1871"/>
        <v>-1.7198526072519531E-2</v>
      </c>
      <c r="N1964" s="2">
        <f t="shared" ca="1" si="1872"/>
        <v>-1.7198526072519531E-2</v>
      </c>
      <c r="O1964" s="2">
        <f t="shared" si="1873"/>
        <v>6000000</v>
      </c>
      <c r="P1964" s="2">
        <f t="shared" ca="1" si="1874"/>
        <v>43803694.769493595</v>
      </c>
      <c r="Q1964" s="2">
        <f t="shared" ca="1" si="1875"/>
        <v>1095092.3692373398</v>
      </c>
      <c r="R1964" s="2">
        <f t="shared" ca="1" si="1876"/>
        <v>26282216.861696158</v>
      </c>
      <c r="S1964" s="2">
        <f t="shared" ca="1" si="1877"/>
        <v>17521477.907797437</v>
      </c>
      <c r="T1964" s="2">
        <f t="shared" ca="1" si="1878"/>
        <v>49140073.696374029</v>
      </c>
      <c r="U1964" s="2">
        <f t="shared" ca="1" si="1879"/>
        <v>52675831.745445445</v>
      </c>
      <c r="V1964" s="2">
        <f t="shared" ca="1" si="1880"/>
        <v>56465996.92175924</v>
      </c>
      <c r="W1964" s="2">
        <f t="shared" ca="1" si="1881"/>
        <v>60528874.489842415</v>
      </c>
      <c r="X1964" s="2">
        <f t="shared" ca="1" si="1882"/>
        <v>64884086.826336846</v>
      </c>
      <c r="Y1964" s="2">
        <f t="shared" ca="1" si="1883"/>
        <v>0.12120562918407801</v>
      </c>
      <c r="Z1964" s="2">
        <f t="shared" ca="1" si="1884"/>
        <v>0.12168788085770921</v>
      </c>
      <c r="AA1964" s="2">
        <f t="shared" ca="1" si="1885"/>
        <v>5956053.5505209761</v>
      </c>
      <c r="AB1964" s="2">
        <f t="shared" ca="1" si="1886"/>
        <v>6410010.3375205016</v>
      </c>
      <c r="AC1964" s="2">
        <f t="shared" ca="1" si="1887"/>
        <v>6871227.505926813</v>
      </c>
      <c r="AD1964" s="2">
        <f t="shared" ca="1" si="1888"/>
        <v>7365630.4673711779</v>
      </c>
      <c r="AE1964" s="2">
        <f t="shared" ca="1" si="1889"/>
        <v>7895607.0272845374</v>
      </c>
      <c r="AF1964" s="2">
        <f t="shared" ca="1" si="1890"/>
        <v>982801.47392748063</v>
      </c>
      <c r="AG1964" s="2">
        <f t="shared" ca="1" si="1891"/>
        <v>1053516.634908909</v>
      </c>
      <c r="AH1964" s="2">
        <f t="shared" ca="1" si="1892"/>
        <v>1129319.9384351848</v>
      </c>
      <c r="AI1964" s="2">
        <f t="shared" ca="1" si="1893"/>
        <v>1210577.4897968483</v>
      </c>
      <c r="AJ1964" s="2">
        <f t="shared" ca="1" si="1894"/>
        <v>1297681.736526737</v>
      </c>
      <c r="AK1964" s="2">
        <f t="shared" ca="1" si="1895"/>
        <v>0</v>
      </c>
      <c r="AL1964" s="2">
        <f t="shared" ca="1" si="1896"/>
        <v>35357.580490714165</v>
      </c>
      <c r="AM1964" s="2">
        <f t="shared" ca="1" si="1897"/>
        <v>37901.651763137954</v>
      </c>
      <c r="AN1964" s="2">
        <f t="shared" ca="1" si="1898"/>
        <v>40628.775680831743</v>
      </c>
      <c r="AO1964" s="2">
        <f t="shared" ca="1" si="1899"/>
        <v>43552.123364944309</v>
      </c>
      <c r="AP1964" s="2">
        <f t="shared" ca="1" si="1900"/>
        <v>2365399.5175526543</v>
      </c>
      <c r="AQ1964" s="2">
        <f t="shared" ca="1" si="1901"/>
        <v>678041.66535061889</v>
      </c>
      <c r="AR1964" s="2">
        <f t="shared" ca="1" si="1902"/>
        <v>777684.48811532394</v>
      </c>
      <c r="AS1964" s="2">
        <f t="shared" ca="1" si="1903"/>
        <v>877892.09298413328</v>
      </c>
      <c r="AT1964" s="2">
        <f t="shared" ca="1" si="1904"/>
        <v>985309.89960563567</v>
      </c>
      <c r="AU1964" s="2">
        <f t="shared" ca="1" si="1905"/>
        <v>1100456.701033338</v>
      </c>
      <c r="AV1964" s="2">
        <f t="shared" ca="1" si="1906"/>
        <v>1929810.8936902229</v>
      </c>
      <c r="AW1964" s="2">
        <f t="shared" ca="1" si="1907"/>
        <v>2178052.1164529007</v>
      </c>
      <c r="AX1964" s="2">
        <f t="shared" ca="1" si="1908"/>
        <v>2460714.3051917022</v>
      </c>
      <c r="AY1964" s="2">
        <f t="shared" ca="1" si="1909"/>
        <v>2763714.7847352084</v>
      </c>
      <c r="AZ1964" s="2">
        <f t="shared" ca="1" si="1910"/>
        <v>3088516.9488068642</v>
      </c>
      <c r="BA1964" s="2">
        <f t="shared" ca="1" si="1911"/>
        <v>61724021.975089349</v>
      </c>
      <c r="BB1964" s="2">
        <f t="shared" ca="1" si="1912"/>
        <v>1234480.4395017871</v>
      </c>
      <c r="BC1964" s="2">
        <f t="shared" ca="1" si="1913"/>
        <v>34207324.673891403</v>
      </c>
      <c r="BD1964" s="2">
        <f t="shared" ca="1" si="1914"/>
        <v>-19116570.277034778</v>
      </c>
      <c r="BE1964" s="2">
        <f t="shared" ca="1" si="1915"/>
        <v>1929810.8936902229</v>
      </c>
      <c r="BF1964" s="2">
        <f t="shared" ca="1" si="1916"/>
        <v>2178052.1164529007</v>
      </c>
      <c r="BG1964" s="2">
        <f t="shared" ca="1" si="1917"/>
        <v>2460714.3051917022</v>
      </c>
      <c r="BH1964" s="2">
        <f t="shared" ca="1" si="1918"/>
        <v>2763714.7847352084</v>
      </c>
      <c r="BI1964" s="2">
        <f t="shared" ca="1" si="1919"/>
        <v>37295841.62269827</v>
      </c>
      <c r="BJ1964" s="2">
        <f t="shared" ca="1" si="1920"/>
        <v>0.22494282484874684</v>
      </c>
      <c r="BK1964" s="2">
        <f t="shared" ca="1" si="1921"/>
        <v>9013345.6665311903</v>
      </c>
    </row>
    <row r="1965" spans="1:63" x14ac:dyDescent="0.3">
      <c r="A1965" s="2">
        <v>1964</v>
      </c>
      <c r="B1965" s="2">
        <f t="shared" ca="1" si="1860"/>
        <v>1.1418095794783145E-2</v>
      </c>
      <c r="C1965" s="2">
        <f t="shared" ca="1" si="1861"/>
        <v>6.1511164835137659</v>
      </c>
      <c r="D1965" s="2">
        <f t="shared" ca="1" si="1862"/>
        <v>0.23295289376838857</v>
      </c>
      <c r="E1965" s="2">
        <f t="shared" ca="1" si="1863"/>
        <v>7.1825729173771675</v>
      </c>
      <c r="F1965" s="2">
        <f t="shared" ca="1" si="1864"/>
        <v>0.26391455081163451</v>
      </c>
      <c r="G1965" s="2">
        <f t="shared" ca="1" si="1865"/>
        <v>2.1060298543953668E-2</v>
      </c>
      <c r="H1965" s="2">
        <f t="shared" ca="1" si="1866"/>
        <v>2.1060298543953668E-2</v>
      </c>
      <c r="I1965" s="2">
        <f t="shared" ca="1" si="1867"/>
        <v>0.15958114091392739</v>
      </c>
      <c r="J1965" s="2">
        <f t="shared" ca="1" si="1868"/>
        <v>5.0190957461507622E-3</v>
      </c>
      <c r="K1965" s="2">
        <f t="shared" ca="1" si="1869"/>
        <v>5.0190957461507622E-3</v>
      </c>
      <c r="L1965" s="2">
        <f t="shared" ca="1" si="1870"/>
        <v>0.63738197317344225</v>
      </c>
      <c r="M1965" s="2">
        <f t="shared" ca="1" si="1871"/>
        <v>7.0293925749061043E-3</v>
      </c>
      <c r="N1965" s="2">
        <f t="shared" ca="1" si="1872"/>
        <v>7.0293925749061043E-3</v>
      </c>
      <c r="O1965" s="2">
        <f t="shared" si="1873"/>
        <v>6000000</v>
      </c>
      <c r="P1965" s="2">
        <f t="shared" ca="1" si="1874"/>
        <v>36906698.901082598</v>
      </c>
      <c r="Q1965" s="2">
        <f t="shared" ca="1" si="1875"/>
        <v>922667.47252706497</v>
      </c>
      <c r="R1965" s="2">
        <f t="shared" ca="1" si="1876"/>
        <v>22144019.340649556</v>
      </c>
      <c r="S1965" s="2">
        <f t="shared" ca="1" si="1877"/>
        <v>14762679.560433039</v>
      </c>
      <c r="T1965" s="2">
        <f t="shared" ca="1" si="1878"/>
        <v>50351469.628745303</v>
      </c>
      <c r="U1965" s="2">
        <f t="shared" ca="1" si="1879"/>
        <v>51411886.611253493</v>
      </c>
      <c r="V1965" s="2">
        <f t="shared" ca="1" si="1880"/>
        <v>52494636.291994385</v>
      </c>
      <c r="W1965" s="2">
        <f t="shared" ca="1" si="1881"/>
        <v>53600189.004260048</v>
      </c>
      <c r="X1965" s="2">
        <f t="shared" ca="1" si="1882"/>
        <v>54729024.986702107</v>
      </c>
      <c r="Y1965" s="2">
        <f t="shared" ca="1" si="1883"/>
        <v>0.12250954787307537</v>
      </c>
      <c r="Z1965" s="2">
        <f t="shared" ca="1" si="1884"/>
        <v>0.12351336702230553</v>
      </c>
      <c r="AA1965" s="2">
        <f t="shared" ca="1" si="1885"/>
        <v>6168535.7789624734</v>
      </c>
      <c r="AB1965" s="2">
        <f t="shared" ca="1" si="1886"/>
        <v>6350055.2203249084</v>
      </c>
      <c r="AC1965" s="2">
        <f t="shared" ca="1" si="1887"/>
        <v>6483789.2790355422</v>
      </c>
      <c r="AD1965" s="2">
        <f t="shared" ca="1" si="1888"/>
        <v>6620339.8169481168</v>
      </c>
      <c r="AE1965" s="2">
        <f t="shared" ca="1" si="1889"/>
        <v>6759766.1499554673</v>
      </c>
      <c r="AF1965" s="2">
        <f t="shared" ca="1" si="1890"/>
        <v>1007029.3925749061</v>
      </c>
      <c r="AG1965" s="2">
        <f t="shared" ca="1" si="1891"/>
        <v>1028237.7322250699</v>
      </c>
      <c r="AH1965" s="2">
        <f t="shared" ca="1" si="1892"/>
        <v>1049892.7258398877</v>
      </c>
      <c r="AI1965" s="2">
        <f t="shared" ca="1" si="1893"/>
        <v>1072003.7800852009</v>
      </c>
      <c r="AJ1965" s="2">
        <f t="shared" ca="1" si="1894"/>
        <v>1094580.4997340422</v>
      </c>
      <c r="AK1965" s="2">
        <f t="shared" ca="1" si="1895"/>
        <v>0</v>
      </c>
      <c r="AL1965" s="2">
        <f t="shared" ca="1" si="1896"/>
        <v>10604.169825081901</v>
      </c>
      <c r="AM1965" s="2">
        <f t="shared" ca="1" si="1897"/>
        <v>10827.496807408928</v>
      </c>
      <c r="AN1965" s="2">
        <f t="shared" ca="1" si="1898"/>
        <v>11055.527122656629</v>
      </c>
      <c r="AO1965" s="2">
        <f t="shared" ca="1" si="1899"/>
        <v>11288.359824420586</v>
      </c>
      <c r="AP1965" s="2">
        <f t="shared" ca="1" si="1900"/>
        <v>1992961.74065846</v>
      </c>
      <c r="AQ1965" s="2">
        <f t="shared" ca="1" si="1901"/>
        <v>823821.60788956785</v>
      </c>
      <c r="AR1965" s="2">
        <f t="shared" ca="1" si="1902"/>
        <v>865502.49433475838</v>
      </c>
      <c r="AS1965" s="2">
        <f t="shared" ca="1" si="1903"/>
        <v>894643.05125967052</v>
      </c>
      <c r="AT1965" s="2">
        <f t="shared" ca="1" si="1904"/>
        <v>924397.31701315835</v>
      </c>
      <c r="AU1965" s="2">
        <f t="shared" ca="1" si="1905"/>
        <v>954778.21648637089</v>
      </c>
      <c r="AV1965" s="2">
        <f t="shared" ca="1" si="1906"/>
        <v>2344723.0378395393</v>
      </c>
      <c r="AW1965" s="2">
        <f t="shared" ca="1" si="1907"/>
        <v>2452749.0832815384</v>
      </c>
      <c r="AX1965" s="2">
        <f t="shared" ca="1" si="1908"/>
        <v>2535464.2644701153</v>
      </c>
      <c r="AY1965" s="2">
        <f t="shared" ca="1" si="1909"/>
        <v>2619921.4520686399</v>
      </c>
      <c r="AZ1965" s="2">
        <f t="shared" ca="1" si="1910"/>
        <v>2706157.3332521729</v>
      </c>
      <c r="BA1965" s="2">
        <f t="shared" ca="1" si="1911"/>
        <v>48552513.276473068</v>
      </c>
      <c r="BB1965" s="2">
        <f t="shared" ca="1" si="1912"/>
        <v>971050.26552946132</v>
      </c>
      <c r="BC1965" s="2">
        <f t="shared" ca="1" si="1913"/>
        <v>25437443.67029405</v>
      </c>
      <c r="BD1965" s="2">
        <f t="shared" ca="1" si="1914"/>
        <v>-16185347.032960104</v>
      </c>
      <c r="BE1965" s="2">
        <f t="shared" ca="1" si="1915"/>
        <v>2344723.0378395393</v>
      </c>
      <c r="BF1965" s="2">
        <f t="shared" ca="1" si="1916"/>
        <v>2452749.0832815384</v>
      </c>
      <c r="BG1965" s="2">
        <f t="shared" ca="1" si="1917"/>
        <v>2535464.2644701153</v>
      </c>
      <c r="BH1965" s="2">
        <f t="shared" ca="1" si="1918"/>
        <v>2619921.4520686399</v>
      </c>
      <c r="BI1965" s="2">
        <f t="shared" ca="1" si="1919"/>
        <v>28143601.003546223</v>
      </c>
      <c r="BJ1965" s="2">
        <f t="shared" ca="1" si="1920"/>
        <v>0.22704967414202759</v>
      </c>
      <c r="BK1965" s="2">
        <f t="shared" ca="1" si="1921"/>
        <v>7302608.0870754328</v>
      </c>
    </row>
    <row r="1966" spans="1:63" x14ac:dyDescent="0.3">
      <c r="A1966" s="2">
        <v>1965</v>
      </c>
      <c r="B1966" s="2">
        <f t="shared" ca="1" si="1860"/>
        <v>0.85923665683241646</v>
      </c>
      <c r="C1966" s="2">
        <f t="shared" ca="1" si="1861"/>
        <v>7.4694091158574558</v>
      </c>
      <c r="D1966" s="2">
        <f t="shared" ca="1" si="1862"/>
        <v>0.50339614520498976</v>
      </c>
      <c r="E1966" s="2">
        <f t="shared" ca="1" si="1863"/>
        <v>7.5034019317748903</v>
      </c>
      <c r="F1966" s="2">
        <f t="shared" ca="1" si="1864"/>
        <v>0.52865666005968459</v>
      </c>
      <c r="G1966" s="2">
        <f t="shared" ca="1" si="1865"/>
        <v>4.2156804360414378E-2</v>
      </c>
      <c r="H1966" s="2">
        <f t="shared" ca="1" si="1866"/>
        <v>4.2156804360414378E-2</v>
      </c>
      <c r="I1966" s="2">
        <f t="shared" ca="1" si="1867"/>
        <v>0.97070328515179172</v>
      </c>
      <c r="J1966" s="2">
        <f t="shared" ca="1" si="1868"/>
        <v>1.94561581916552E-2</v>
      </c>
      <c r="K1966" s="2">
        <f t="shared" ca="1" si="1869"/>
        <v>1.94561581916552E-2</v>
      </c>
      <c r="L1966" s="2">
        <f t="shared" ca="1" si="1870"/>
        <v>0.25305530618472682</v>
      </c>
      <c r="M1966" s="2">
        <f t="shared" ca="1" si="1871"/>
        <v>-1.3298120171734934E-2</v>
      </c>
      <c r="N1966" s="2">
        <f t="shared" ca="1" si="1872"/>
        <v>-1.3298120171734934E-2</v>
      </c>
      <c r="O1966" s="2">
        <f t="shared" si="1873"/>
        <v>6000000</v>
      </c>
      <c r="P1966" s="2">
        <f t="shared" ca="1" si="1874"/>
        <v>44816454.695144735</v>
      </c>
      <c r="Q1966" s="2">
        <f t="shared" ca="1" si="1875"/>
        <v>1120411.3673786183</v>
      </c>
      <c r="R1966" s="2">
        <f t="shared" ca="1" si="1876"/>
        <v>26889872.817086842</v>
      </c>
      <c r="S1966" s="2">
        <f t="shared" ca="1" si="1877"/>
        <v>17926581.878057893</v>
      </c>
      <c r="T1966" s="2">
        <f t="shared" ca="1" si="1878"/>
        <v>49335093.991413251</v>
      </c>
      <c r="U1966" s="2">
        <f t="shared" ca="1" si="1879"/>
        <v>51414903.896911912</v>
      </c>
      <c r="V1966" s="2">
        <f t="shared" ca="1" si="1880"/>
        <v>53582391.941703536</v>
      </c>
      <c r="W1966" s="2">
        <f t="shared" ca="1" si="1881"/>
        <v>55841254.355952971</v>
      </c>
      <c r="X1966" s="2">
        <f t="shared" ca="1" si="1882"/>
        <v>58195343.191077016</v>
      </c>
      <c r="Y1966" s="2">
        <f t="shared" ca="1" si="1883"/>
        <v>0.12972807909582759</v>
      </c>
      <c r="Z1966" s="2">
        <f t="shared" ca="1" si="1884"/>
        <v>0.13361931073415864</v>
      </c>
      <c r="AA1966" s="2">
        <f t="shared" ca="1" si="1885"/>
        <v>6400146.9755181465</v>
      </c>
      <c r="AB1966" s="2">
        <f t="shared" ca="1" si="1886"/>
        <v>6870024.0201683771</v>
      </c>
      <c r="AC1966" s="2">
        <f t="shared" ca="1" si="1887"/>
        <v>7159642.2787379632</v>
      </c>
      <c r="AD1966" s="2">
        <f t="shared" ca="1" si="1888"/>
        <v>7461469.9175732695</v>
      </c>
      <c r="AE1966" s="2">
        <f t="shared" ca="1" si="1889"/>
        <v>7776021.6451295232</v>
      </c>
      <c r="AF1966" s="2">
        <f t="shared" ca="1" si="1890"/>
        <v>986701.87982826505</v>
      </c>
      <c r="AG1966" s="2">
        <f t="shared" ca="1" si="1891"/>
        <v>1028298.0779382383</v>
      </c>
      <c r="AH1966" s="2">
        <f t="shared" ca="1" si="1892"/>
        <v>1071647.8388340708</v>
      </c>
      <c r="AI1966" s="2">
        <f t="shared" ca="1" si="1893"/>
        <v>1116825.0871190594</v>
      </c>
      <c r="AJ1966" s="2">
        <f t="shared" ca="1" si="1894"/>
        <v>1163906.8638215403</v>
      </c>
      <c r="AK1966" s="2">
        <f t="shared" ca="1" si="1895"/>
        <v>0</v>
      </c>
      <c r="AL1966" s="2">
        <f t="shared" ca="1" si="1896"/>
        <v>20798.099054986611</v>
      </c>
      <c r="AM1966" s="2">
        <f t="shared" ca="1" si="1897"/>
        <v>21674.880447916239</v>
      </c>
      <c r="AN1966" s="2">
        <f t="shared" ca="1" si="1898"/>
        <v>22588.624142494351</v>
      </c>
      <c r="AO1966" s="2">
        <f t="shared" ca="1" si="1899"/>
        <v>23540.888351240457</v>
      </c>
      <c r="AP1966" s="2">
        <f t="shared" ca="1" si="1900"/>
        <v>2420088.5535378158</v>
      </c>
      <c r="AQ1966" s="2">
        <f t="shared" ca="1" si="1901"/>
        <v>778272.70095953718</v>
      </c>
      <c r="AR1966" s="2">
        <f t="shared" ca="1" si="1902"/>
        <v>889625.72106000409</v>
      </c>
      <c r="AS1966" s="2">
        <f t="shared" ca="1" si="1903"/>
        <v>953655.53045517998</v>
      </c>
      <c r="AT1966" s="2">
        <f t="shared" ca="1" si="1904"/>
        <v>1020384.6319982625</v>
      </c>
      <c r="AU1966" s="2">
        <f t="shared" ca="1" si="1905"/>
        <v>1089926.8192202435</v>
      </c>
      <c r="AV1966" s="2">
        <f t="shared" ca="1" si="1906"/>
        <v>2215083.8411925286</v>
      </c>
      <c r="AW1966" s="2">
        <f t="shared" ca="1" si="1907"/>
        <v>2511213.5685773324</v>
      </c>
      <c r="AX1966" s="2">
        <f t="shared" ca="1" si="1908"/>
        <v>2692575.4754629806</v>
      </c>
      <c r="AY1966" s="2">
        <f t="shared" ca="1" si="1909"/>
        <v>2881583.0207756376</v>
      </c>
      <c r="AZ1966" s="2">
        <f t="shared" ca="1" si="1910"/>
        <v>3078558.5201986842</v>
      </c>
      <c r="BA1966" s="2">
        <f t="shared" ca="1" si="1911"/>
        <v>58346615.833588228</v>
      </c>
      <c r="BB1966" s="2">
        <f t="shared" ca="1" si="1912"/>
        <v>1166932.3166717645</v>
      </c>
      <c r="BC1966" s="2">
        <f t="shared" ca="1" si="1913"/>
        <v>30289810.699829623</v>
      </c>
      <c r="BD1966" s="2">
        <f t="shared" ca="1" si="1914"/>
        <v>-19546993.245436512</v>
      </c>
      <c r="BE1966" s="2">
        <f t="shared" ca="1" si="1915"/>
        <v>2215083.8411925286</v>
      </c>
      <c r="BF1966" s="2">
        <f t="shared" ca="1" si="1916"/>
        <v>2511213.5685773324</v>
      </c>
      <c r="BG1966" s="2">
        <f t="shared" ca="1" si="1917"/>
        <v>2692575.4754629806</v>
      </c>
      <c r="BH1966" s="2">
        <f t="shared" ca="1" si="1918"/>
        <v>2881583.0207756376</v>
      </c>
      <c r="BI1966" s="2">
        <f t="shared" ca="1" si="1919"/>
        <v>33368369.220028307</v>
      </c>
      <c r="BJ1966" s="2">
        <f t="shared" ca="1" si="1920"/>
        <v>0.20589996258479082</v>
      </c>
      <c r="BK1966" s="2">
        <f t="shared" ca="1" si="1921"/>
        <v>7114613.2365791947</v>
      </c>
    </row>
    <row r="1967" spans="1:63" x14ac:dyDescent="0.3">
      <c r="A1967" s="2">
        <v>1966</v>
      </c>
      <c r="B1967" s="2">
        <f t="shared" ca="1" si="1860"/>
        <v>9.0896277043921558E-2</v>
      </c>
      <c r="C1967" s="2">
        <f t="shared" ca="1" si="1861"/>
        <v>6.4263713804746319</v>
      </c>
      <c r="D1967" s="2">
        <f t="shared" ca="1" si="1862"/>
        <v>0.41643785168379777</v>
      </c>
      <c r="E1967" s="2">
        <f t="shared" ca="1" si="1863"/>
        <v>7.41262024049853</v>
      </c>
      <c r="F1967" s="2">
        <f t="shared" ca="1" si="1864"/>
        <v>0.7364321344433139</v>
      </c>
      <c r="G1967" s="2">
        <f t="shared" ca="1" si="1865"/>
        <v>5.8971531723791187E-2</v>
      </c>
      <c r="H1967" s="2">
        <f t="shared" ca="1" si="1866"/>
        <v>5.8971531723791187E-2</v>
      </c>
      <c r="I1967" s="2">
        <f t="shared" ca="1" si="1867"/>
        <v>0.28256351267592328</v>
      </c>
      <c r="J1967" s="2">
        <f t="shared" ca="1" si="1868"/>
        <v>7.1237854450096096E-3</v>
      </c>
      <c r="K1967" s="2">
        <f t="shared" ca="1" si="1869"/>
        <v>7.1237854450096096E-3</v>
      </c>
      <c r="L1967" s="2">
        <f t="shared" ca="1" si="1870"/>
        <v>9.7195633623513134E-2</v>
      </c>
      <c r="M1967" s="2">
        <f t="shared" ca="1" si="1871"/>
        <v>-2.595395208493086E-2</v>
      </c>
      <c r="N1967" s="2">
        <f t="shared" ca="1" si="1872"/>
        <v>-2.595395208493086E-2</v>
      </c>
      <c r="O1967" s="2">
        <f t="shared" si="1873"/>
        <v>6000000</v>
      </c>
      <c r="P1967" s="2">
        <f t="shared" ca="1" si="1874"/>
        <v>38558228.282847792</v>
      </c>
      <c r="Q1967" s="2">
        <f t="shared" ca="1" si="1875"/>
        <v>963955.70707119489</v>
      </c>
      <c r="R1967" s="2">
        <f t="shared" ca="1" si="1876"/>
        <v>23134936.969708674</v>
      </c>
      <c r="S1967" s="2">
        <f t="shared" ca="1" si="1877"/>
        <v>15423291.313139118</v>
      </c>
      <c r="T1967" s="2">
        <f t="shared" ca="1" si="1878"/>
        <v>48702302.395753458</v>
      </c>
      <c r="U1967" s="2">
        <f t="shared" ca="1" si="1879"/>
        <v>51574351.766506299</v>
      </c>
      <c r="V1967" s="2">
        <f t="shared" ca="1" si="1880"/>
        <v>54615770.287838787</v>
      </c>
      <c r="W1967" s="2">
        <f t="shared" ca="1" si="1881"/>
        <v>57836545.917987362</v>
      </c>
      <c r="X1967" s="2">
        <f t="shared" ca="1" si="1882"/>
        <v>61247255.620384455</v>
      </c>
      <c r="Y1967" s="2">
        <f t="shared" ca="1" si="1883"/>
        <v>0.1235618927225048</v>
      </c>
      <c r="Z1967" s="2">
        <f t="shared" ca="1" si="1884"/>
        <v>0.12498664981150673</v>
      </c>
      <c r="AA1967" s="2">
        <f t="shared" ca="1" si="1885"/>
        <v>6017748.6639630776</v>
      </c>
      <c r="AB1967" s="2">
        <f t="shared" ca="1" si="1886"/>
        <v>6446105.4434957858</v>
      </c>
      <c r="AC1967" s="2">
        <f t="shared" ca="1" si="1887"/>
        <v>6826242.1551518003</v>
      </c>
      <c r="AD1967" s="2">
        <f t="shared" ca="1" si="1888"/>
        <v>7228796.1109586153</v>
      </c>
      <c r="AE1967" s="2">
        <f t="shared" ca="1" si="1889"/>
        <v>7655089.290140829</v>
      </c>
      <c r="AF1967" s="2">
        <f t="shared" ca="1" si="1890"/>
        <v>974046.04791506915</v>
      </c>
      <c r="AG1967" s="2">
        <f t="shared" ca="1" si="1891"/>
        <v>1031487.0353301261</v>
      </c>
      <c r="AH1967" s="2">
        <f t="shared" ca="1" si="1892"/>
        <v>1092315.4057567758</v>
      </c>
      <c r="AI1967" s="2">
        <f t="shared" ca="1" si="1893"/>
        <v>1156730.9183597472</v>
      </c>
      <c r="AJ1967" s="2">
        <f t="shared" ca="1" si="1894"/>
        <v>1224945.1124076892</v>
      </c>
      <c r="AK1967" s="2">
        <f t="shared" ca="1" si="1895"/>
        <v>0</v>
      </c>
      <c r="AL1967" s="2">
        <f t="shared" ca="1" si="1896"/>
        <v>28720.493707528414</v>
      </c>
      <c r="AM1967" s="2">
        <f t="shared" ca="1" si="1897"/>
        <v>30414.185213324876</v>
      </c>
      <c r="AN1967" s="2">
        <f t="shared" ca="1" si="1898"/>
        <v>32207.756301485748</v>
      </c>
      <c r="AO1967" s="2">
        <f t="shared" ca="1" si="1899"/>
        <v>34107.097023970935</v>
      </c>
      <c r="AP1967" s="2">
        <f t="shared" ca="1" si="1900"/>
        <v>2082144.3272737805</v>
      </c>
      <c r="AQ1967" s="2">
        <f t="shared" ca="1" si="1901"/>
        <v>770005.15508129925</v>
      </c>
      <c r="AR1967" s="2">
        <f t="shared" ca="1" si="1902"/>
        <v>866443.26103188866</v>
      </c>
      <c r="AS1967" s="2">
        <f t="shared" ca="1" si="1903"/>
        <v>949463.4297515233</v>
      </c>
      <c r="AT1967" s="2">
        <f t="shared" ca="1" si="1904"/>
        <v>1037379.4249845229</v>
      </c>
      <c r="AU1967" s="2">
        <f t="shared" ca="1" si="1905"/>
        <v>1130479.9611194336</v>
      </c>
      <c r="AV1967" s="2">
        <f t="shared" ca="1" si="1906"/>
        <v>2191553.1336929286</v>
      </c>
      <c r="AW1967" s="2">
        <f t="shared" ca="1" si="1907"/>
        <v>2437310.3261524625</v>
      </c>
      <c r="AX1967" s="2">
        <f t="shared" ca="1" si="1908"/>
        <v>2671904.8071563952</v>
      </c>
      <c r="AY1967" s="2">
        <f t="shared" ca="1" si="1909"/>
        <v>2920333.6840390787</v>
      </c>
      <c r="AZ1967" s="2">
        <f t="shared" ca="1" si="1910"/>
        <v>3183412.7923159543</v>
      </c>
      <c r="BA1967" s="2">
        <f t="shared" ca="1" si="1911"/>
        <v>56744269.814921431</v>
      </c>
      <c r="BB1967" s="2">
        <f t="shared" ca="1" si="1912"/>
        <v>1134885.3962984288</v>
      </c>
      <c r="BC1967" s="2">
        <f t="shared" ca="1" si="1913"/>
        <v>32474447.44891433</v>
      </c>
      <c r="BD1967" s="2">
        <f t="shared" ca="1" si="1914"/>
        <v>-16887247.020210311</v>
      </c>
      <c r="BE1967" s="2">
        <f t="shared" ca="1" si="1915"/>
        <v>2191553.1336929286</v>
      </c>
      <c r="BF1967" s="2">
        <f t="shared" ca="1" si="1916"/>
        <v>2437310.3261524625</v>
      </c>
      <c r="BG1967" s="2">
        <f t="shared" ca="1" si="1917"/>
        <v>2671904.8071563952</v>
      </c>
      <c r="BH1967" s="2">
        <f t="shared" ca="1" si="1918"/>
        <v>2920333.6840390787</v>
      </c>
      <c r="BI1967" s="2">
        <f t="shared" ca="1" si="1919"/>
        <v>35657860.241230287</v>
      </c>
      <c r="BJ1967" s="2">
        <f t="shared" ca="1" si="1920"/>
        <v>0.26199402615900413</v>
      </c>
      <c r="BK1967" s="2">
        <f t="shared" ca="1" si="1921"/>
        <v>11003467.154146589</v>
      </c>
    </row>
    <row r="1968" spans="1:63" x14ac:dyDescent="0.3">
      <c r="A1968" s="2">
        <v>1967</v>
      </c>
      <c r="B1968" s="2">
        <f t="shared" ca="1" si="1860"/>
        <v>0.14920644142589812</v>
      </c>
      <c r="C1968" s="2">
        <f t="shared" ca="1" si="1861"/>
        <v>6.546271803090546</v>
      </c>
      <c r="D1968" s="2">
        <f t="shared" ca="1" si="1862"/>
        <v>0.35581061635320588</v>
      </c>
      <c r="E1968" s="2">
        <f t="shared" ca="1" si="1863"/>
        <v>7.3435764533854719</v>
      </c>
      <c r="F1968" s="2">
        <f t="shared" ca="1" si="1864"/>
        <v>0.35346050472231783</v>
      </c>
      <c r="G1968" s="2">
        <f t="shared" ca="1" si="1865"/>
        <v>2.8720165990718305E-2</v>
      </c>
      <c r="H1968" s="2">
        <f t="shared" ca="1" si="1866"/>
        <v>2.8720165990718305E-2</v>
      </c>
      <c r="I1968" s="2">
        <f t="shared" ca="1" si="1867"/>
        <v>0.87514474634831618</v>
      </c>
      <c r="J1968" s="2">
        <f t="shared" ca="1" si="1868"/>
        <v>1.575526408548775E-2</v>
      </c>
      <c r="K1968" s="2">
        <f t="shared" ca="1" si="1869"/>
        <v>1.575526408548775E-2</v>
      </c>
      <c r="L1968" s="2">
        <f t="shared" ca="1" si="1870"/>
        <v>0.54754764453790383</v>
      </c>
      <c r="M1968" s="2">
        <f t="shared" ca="1" si="1871"/>
        <v>2.3893569657680324E-3</v>
      </c>
      <c r="N1968" s="2">
        <f t="shared" ca="1" si="1872"/>
        <v>2.3893569657680324E-3</v>
      </c>
      <c r="O1968" s="2">
        <f t="shared" si="1873"/>
        <v>6000000</v>
      </c>
      <c r="P1968" s="2">
        <f t="shared" ca="1" si="1874"/>
        <v>39277630.818543278</v>
      </c>
      <c r="Q1968" s="2">
        <f t="shared" ca="1" si="1875"/>
        <v>981940.77046358201</v>
      </c>
      <c r="R1968" s="2">
        <f t="shared" ca="1" si="1876"/>
        <v>23566578.491125967</v>
      </c>
      <c r="S1968" s="2">
        <f t="shared" ca="1" si="1877"/>
        <v>15711052.327417312</v>
      </c>
      <c r="T1968" s="2">
        <f t="shared" ca="1" si="1878"/>
        <v>50119467.848288402</v>
      </c>
      <c r="U1968" s="2">
        <f t="shared" ca="1" si="1879"/>
        <v>51558907.284257717</v>
      </c>
      <c r="V1968" s="2">
        <f t="shared" ca="1" si="1880"/>
        <v>53039687.65976166</v>
      </c>
      <c r="W1968" s="2">
        <f t="shared" ca="1" si="1881"/>
        <v>54562996.29344587</v>
      </c>
      <c r="X1968" s="2">
        <f t="shared" ca="1" si="1882"/>
        <v>56130054.603944585</v>
      </c>
      <c r="Y1968" s="2">
        <f t="shared" ca="1" si="1883"/>
        <v>0.12787763204274388</v>
      </c>
      <c r="Z1968" s="2">
        <f t="shared" ca="1" si="1884"/>
        <v>0.13102868485984143</v>
      </c>
      <c r="AA1968" s="2">
        <f t="shared" ca="1" si="1885"/>
        <v>6409158.8676815564</v>
      </c>
      <c r="AB1968" s="2">
        <f t="shared" ca="1" si="1886"/>
        <v>6755695.8142667869</v>
      </c>
      <c r="AC1968" s="2">
        <f t="shared" ca="1" si="1887"/>
        <v>6949720.5194353303</v>
      </c>
      <c r="AD1968" s="2">
        <f t="shared" ca="1" si="1888"/>
        <v>7149317.6463426147</v>
      </c>
      <c r="AE1968" s="2">
        <f t="shared" ca="1" si="1889"/>
        <v>7354647.2358659459</v>
      </c>
      <c r="AF1968" s="2">
        <f t="shared" ca="1" si="1890"/>
        <v>1002389.356965768</v>
      </c>
      <c r="AG1968" s="2">
        <f t="shared" ca="1" si="1891"/>
        <v>1031178.1456851544</v>
      </c>
      <c r="AH1968" s="2">
        <f t="shared" ca="1" si="1892"/>
        <v>1060793.7531952332</v>
      </c>
      <c r="AI1968" s="2">
        <f t="shared" ca="1" si="1893"/>
        <v>1091259.9258689175</v>
      </c>
      <c r="AJ1968" s="2">
        <f t="shared" ca="1" si="1894"/>
        <v>1122601.0920788918</v>
      </c>
      <c r="AK1968" s="2">
        <f t="shared" ca="1" si="1895"/>
        <v>0</v>
      </c>
      <c r="AL1968" s="2">
        <f t="shared" ca="1" si="1896"/>
        <v>14394.394359693155</v>
      </c>
      <c r="AM1968" s="2">
        <f t="shared" ca="1" si="1897"/>
        <v>14807.803755039424</v>
      </c>
      <c r="AN1968" s="2">
        <f t="shared" ca="1" si="1898"/>
        <v>15233.086336842105</v>
      </c>
      <c r="AO1968" s="2">
        <f t="shared" ca="1" si="1899"/>
        <v>15670.583104987145</v>
      </c>
      <c r="AP1968" s="2">
        <f t="shared" ca="1" si="1900"/>
        <v>2120992.0642013368</v>
      </c>
      <c r="AQ1968" s="2">
        <f t="shared" ca="1" si="1901"/>
        <v>854302.13609375735</v>
      </c>
      <c r="AR1968" s="2">
        <f t="shared" ca="1" si="1902"/>
        <v>936916.65713887697</v>
      </c>
      <c r="AS1968" s="2">
        <f t="shared" ca="1" si="1903"/>
        <v>979663.02253007784</v>
      </c>
      <c r="AT1968" s="2">
        <f t="shared" ca="1" si="1904"/>
        <v>1023637.0706308138</v>
      </c>
      <c r="AU1968" s="2">
        <f t="shared" ca="1" si="1905"/>
        <v>1068874.0606922866</v>
      </c>
      <c r="AV1968" s="2">
        <f t="shared" ca="1" si="1906"/>
        <v>2431475.3104206943</v>
      </c>
      <c r="AW1968" s="2">
        <f t="shared" ca="1" si="1907"/>
        <v>2652214.5528817265</v>
      </c>
      <c r="AX1968" s="2">
        <f t="shared" ca="1" si="1908"/>
        <v>2773463.8757536435</v>
      </c>
      <c r="AY1968" s="2">
        <f t="shared" ca="1" si="1909"/>
        <v>2898195.4993047048</v>
      </c>
      <c r="AZ1968" s="2">
        <f t="shared" ca="1" si="1910"/>
        <v>3026509.4357884447</v>
      </c>
      <c r="BA1968" s="2">
        <f t="shared" ca="1" si="1911"/>
        <v>54009414.264261708</v>
      </c>
      <c r="BB1968" s="2">
        <f t="shared" ca="1" si="1912"/>
        <v>1080188.2852852342</v>
      </c>
      <c r="BC1968" s="2">
        <f t="shared" ca="1" si="1913"/>
        <v>29362647.487850506</v>
      </c>
      <c r="BD1968" s="2">
        <f t="shared" ca="1" si="1914"/>
        <v>-17192993.097880892</v>
      </c>
      <c r="BE1968" s="2">
        <f t="shared" ca="1" si="1915"/>
        <v>2431475.3104206943</v>
      </c>
      <c r="BF1968" s="2">
        <f t="shared" ca="1" si="1916"/>
        <v>2652214.5528817265</v>
      </c>
      <c r="BG1968" s="2">
        <f t="shared" ca="1" si="1917"/>
        <v>2773463.8757536435</v>
      </c>
      <c r="BH1968" s="2">
        <f t="shared" ca="1" si="1918"/>
        <v>2898195.4993047048</v>
      </c>
      <c r="BI1968" s="2">
        <f t="shared" ca="1" si="1919"/>
        <v>32389156.923638951</v>
      </c>
      <c r="BJ1968" s="2">
        <f t="shared" ca="1" si="1920"/>
        <v>0.24396273307019123</v>
      </c>
      <c r="BK1968" s="2">
        <f t="shared" ca="1" si="1921"/>
        <v>9286726.1161199175</v>
      </c>
    </row>
    <row r="1969" spans="1:63" x14ac:dyDescent="0.3">
      <c r="A1969" s="2">
        <v>1968</v>
      </c>
      <c r="B1969" s="2">
        <f t="shared" ca="1" si="1860"/>
        <v>0.89661011950570013</v>
      </c>
      <c r="C1969" s="2">
        <f t="shared" ca="1" si="1861"/>
        <v>7.5452695732759905</v>
      </c>
      <c r="D1969" s="2">
        <f t="shared" ca="1" si="1862"/>
        <v>0.14785867423878674</v>
      </c>
      <c r="E1969" s="2">
        <f t="shared" ca="1" si="1863"/>
        <v>7.0437989963925762</v>
      </c>
      <c r="F1969" s="2">
        <f t="shared" ca="1" si="1864"/>
        <v>0.54613133445014916</v>
      </c>
      <c r="G1969" s="2">
        <f t="shared" ca="1" si="1865"/>
        <v>4.3476790469548443E-2</v>
      </c>
      <c r="H1969" s="2">
        <f t="shared" ca="1" si="1866"/>
        <v>4.3476790469548443E-2</v>
      </c>
      <c r="I1969" s="2">
        <f t="shared" ca="1" si="1867"/>
        <v>0.39575821759981755</v>
      </c>
      <c r="J1969" s="2">
        <f t="shared" ca="1" si="1868"/>
        <v>8.6782902313205755E-3</v>
      </c>
      <c r="K1969" s="2">
        <f t="shared" ca="1" si="1869"/>
        <v>8.6782902313205755E-3</v>
      </c>
      <c r="L1969" s="2">
        <f t="shared" ca="1" si="1870"/>
        <v>0.9404635772462433</v>
      </c>
      <c r="M1969" s="2">
        <f t="shared" ca="1" si="1871"/>
        <v>3.1173540223442098E-2</v>
      </c>
      <c r="N1969" s="2">
        <f t="shared" ca="1" si="1872"/>
        <v>3.1173540223442098E-2</v>
      </c>
      <c r="O1969" s="2">
        <f t="shared" si="1873"/>
        <v>6000000</v>
      </c>
      <c r="P1969" s="2">
        <f t="shared" ca="1" si="1874"/>
        <v>45271617.439655945</v>
      </c>
      <c r="Q1969" s="2">
        <f t="shared" ca="1" si="1875"/>
        <v>1131790.4359913988</v>
      </c>
      <c r="R1969" s="2">
        <f t="shared" ca="1" si="1876"/>
        <v>27162970.463793565</v>
      </c>
      <c r="S1969" s="2">
        <f t="shared" ca="1" si="1877"/>
        <v>18108646.97586238</v>
      </c>
      <c r="T1969" s="2">
        <f t="shared" ca="1" si="1878"/>
        <v>51558677.011172108</v>
      </c>
      <c r="U1969" s="2">
        <f t="shared" ca="1" si="1879"/>
        <v>53800282.808473967</v>
      </c>
      <c r="V1969" s="2">
        <f t="shared" ca="1" si="1880"/>
        <v>56139346.431340449</v>
      </c>
      <c r="W1969" s="2">
        <f t="shared" ca="1" si="1881"/>
        <v>58580105.033233233</v>
      </c>
      <c r="X1969" s="2">
        <f t="shared" ca="1" si="1882"/>
        <v>61126979.985447258</v>
      </c>
      <c r="Y1969" s="2">
        <f t="shared" ca="1" si="1883"/>
        <v>0.12433914511566029</v>
      </c>
      <c r="Z1969" s="2">
        <f t="shared" ca="1" si="1884"/>
        <v>0.1260748031619244</v>
      </c>
      <c r="AA1969" s="2">
        <f t="shared" ca="1" si="1885"/>
        <v>6410761.8228635862</v>
      </c>
      <c r="AB1969" s="2">
        <f t="shared" ca="1" si="1886"/>
        <v>6782860.0651342208</v>
      </c>
      <c r="AC1969" s="2">
        <f t="shared" ca="1" si="1887"/>
        <v>7077757.0509703299</v>
      </c>
      <c r="AD1969" s="2">
        <f t="shared" ca="1" si="1888"/>
        <v>7385475.2112697372</v>
      </c>
      <c r="AE1969" s="2">
        <f t="shared" ca="1" si="1889"/>
        <v>7706571.9695481556</v>
      </c>
      <c r="AF1969" s="2">
        <f t="shared" ca="1" si="1890"/>
        <v>1031173.5402234421</v>
      </c>
      <c r="AG1969" s="2">
        <f t="shared" ca="1" si="1891"/>
        <v>1076005.6561694792</v>
      </c>
      <c r="AH1969" s="2">
        <f t="shared" ca="1" si="1892"/>
        <v>1122786.928626809</v>
      </c>
      <c r="AI1969" s="2">
        <f t="shared" ca="1" si="1893"/>
        <v>1171602.1006646648</v>
      </c>
      <c r="AJ1969" s="2">
        <f t="shared" ca="1" si="1894"/>
        <v>1222539.5997089453</v>
      </c>
      <c r="AK1969" s="2">
        <f t="shared" ca="1" si="1895"/>
        <v>0</v>
      </c>
      <c r="AL1969" s="2">
        <f t="shared" ca="1" si="1896"/>
        <v>22416.057973018585</v>
      </c>
      <c r="AM1969" s="2">
        <f t="shared" ca="1" si="1897"/>
        <v>23390.636228664815</v>
      </c>
      <c r="AN1969" s="2">
        <f t="shared" ca="1" si="1898"/>
        <v>24407.586018927843</v>
      </c>
      <c r="AO1969" s="2">
        <f t="shared" ca="1" si="1899"/>
        <v>25468.74952214025</v>
      </c>
      <c r="AP1969" s="2">
        <f t="shared" ca="1" si="1900"/>
        <v>2444667.3417414208</v>
      </c>
      <c r="AQ1969" s="2">
        <f t="shared" ca="1" si="1901"/>
        <v>763079.44463366817</v>
      </c>
      <c r="AR1969" s="2">
        <f t="shared" ca="1" si="1902"/>
        <v>848168.63747806358</v>
      </c>
      <c r="AS1969" s="2">
        <f t="shared" ca="1" si="1903"/>
        <v>912678.722956546</v>
      </c>
      <c r="AT1969" s="2">
        <f t="shared" ca="1" si="1904"/>
        <v>979993.49990454945</v>
      </c>
      <c r="AU1969" s="2">
        <f t="shared" ca="1" si="1905"/>
        <v>1050234.9073054253</v>
      </c>
      <c r="AV1969" s="2">
        <f t="shared" ca="1" si="1906"/>
        <v>2171841.4962650551</v>
      </c>
      <c r="AW1969" s="2">
        <f t="shared" ca="1" si="1907"/>
        <v>2391602.3717722385</v>
      </c>
      <c r="AX1969" s="2">
        <f t="shared" ca="1" si="1908"/>
        <v>2574233.4214168894</v>
      </c>
      <c r="AY1969" s="2">
        <f t="shared" ca="1" si="1909"/>
        <v>2764804.6829401744</v>
      </c>
      <c r="AZ1969" s="2">
        <f t="shared" ca="1" si="1910"/>
        <v>2963661.371270224</v>
      </c>
      <c r="BA1969" s="2">
        <f t="shared" ca="1" si="1911"/>
        <v>54283543.904730454</v>
      </c>
      <c r="BB1969" s="2">
        <f t="shared" ca="1" si="1912"/>
        <v>1085670.8780946091</v>
      </c>
      <c r="BC1969" s="2">
        <f t="shared" ca="1" si="1913"/>
        <v>26034902.56284228</v>
      </c>
      <c r="BD1969" s="2">
        <f t="shared" ca="1" si="1914"/>
        <v>-19740437.411853779</v>
      </c>
      <c r="BE1969" s="2">
        <f t="shared" ca="1" si="1915"/>
        <v>2171841.4962650551</v>
      </c>
      <c r="BF1969" s="2">
        <f t="shared" ca="1" si="1916"/>
        <v>2391602.3717722385</v>
      </c>
      <c r="BG1969" s="2">
        <f t="shared" ca="1" si="1917"/>
        <v>2574233.4214168894</v>
      </c>
      <c r="BH1969" s="2">
        <f t="shared" ca="1" si="1918"/>
        <v>2764804.6829401744</v>
      </c>
      <c r="BI1969" s="2">
        <f t="shared" ca="1" si="1919"/>
        <v>28998563.934112504</v>
      </c>
      <c r="BJ1969" s="2">
        <f t="shared" ca="1" si="1920"/>
        <v>0.17246552544199267</v>
      </c>
      <c r="BK1969" s="2">
        <f t="shared" ca="1" si="1921"/>
        <v>4149213.3649340719</v>
      </c>
    </row>
    <row r="1970" spans="1:63" x14ac:dyDescent="0.3">
      <c r="A1970" s="2">
        <v>1969</v>
      </c>
      <c r="B1970" s="2">
        <f t="shared" ca="1" si="1860"/>
        <v>0.21191123861081018</v>
      </c>
      <c r="C1970" s="2">
        <f t="shared" ca="1" si="1861"/>
        <v>6.6510164953529367</v>
      </c>
      <c r="D1970" s="2">
        <f t="shared" ca="1" si="1862"/>
        <v>2.5754797811799901E-2</v>
      </c>
      <c r="E1970" s="2">
        <f t="shared" ca="1" si="1863"/>
        <v>6.7269572550583039</v>
      </c>
      <c r="F1970" s="2">
        <f t="shared" ca="1" si="1864"/>
        <v>0.2274734089154401</v>
      </c>
      <c r="G1970" s="2">
        <f t="shared" ca="1" si="1865"/>
        <v>1.7584197521386322E-2</v>
      </c>
      <c r="H1970" s="2">
        <f t="shared" ca="1" si="1866"/>
        <v>1.7584197521386322E-2</v>
      </c>
      <c r="I1970" s="2">
        <f t="shared" ca="1" si="1867"/>
        <v>0.39400981134893986</v>
      </c>
      <c r="J1970" s="2">
        <f t="shared" ca="1" si="1868"/>
        <v>8.655584371655917E-3</v>
      </c>
      <c r="K1970" s="2">
        <f t="shared" ca="1" si="1869"/>
        <v>8.655584371655917E-3</v>
      </c>
      <c r="L1970" s="2">
        <f t="shared" ca="1" si="1870"/>
        <v>0.17989939227133622</v>
      </c>
      <c r="M1970" s="2">
        <f t="shared" ca="1" si="1871"/>
        <v>-1.8314971374490948E-2</v>
      </c>
      <c r="N1970" s="2">
        <f t="shared" ca="1" si="1872"/>
        <v>-1.8314971374490948E-2</v>
      </c>
      <c r="O1970" s="2">
        <f t="shared" si="1873"/>
        <v>6000000</v>
      </c>
      <c r="P1970" s="2">
        <f t="shared" ca="1" si="1874"/>
        <v>39906098.972117618</v>
      </c>
      <c r="Q1970" s="2">
        <f t="shared" ca="1" si="1875"/>
        <v>997652.47430294054</v>
      </c>
      <c r="R1970" s="2">
        <f t="shared" ca="1" si="1876"/>
        <v>23943659.383270569</v>
      </c>
      <c r="S1970" s="2">
        <f t="shared" ca="1" si="1877"/>
        <v>15962439.588847049</v>
      </c>
      <c r="T1970" s="2">
        <f t="shared" ca="1" si="1878"/>
        <v>49084251.431275457</v>
      </c>
      <c r="U1970" s="2">
        <f t="shared" ca="1" si="1879"/>
        <v>49947358.603632398</v>
      </c>
      <c r="V1970" s="2">
        <f t="shared" ca="1" si="1880"/>
        <v>50825642.822990187</v>
      </c>
      <c r="W1970" s="2">
        <f t="shared" ca="1" si="1881"/>
        <v>51719370.96554108</v>
      </c>
      <c r="X1970" s="2">
        <f t="shared" ca="1" si="1882"/>
        <v>52628814.600281008</v>
      </c>
      <c r="Y1970" s="2">
        <f t="shared" ca="1" si="1883"/>
        <v>0.12432779218582796</v>
      </c>
      <c r="Z1970" s="2">
        <f t="shared" ca="1" si="1884"/>
        <v>0.12605890906015912</v>
      </c>
      <c r="AA1970" s="2">
        <f t="shared" ca="1" si="1885"/>
        <v>6102536.6115445439</v>
      </c>
      <c r="AB1970" s="2">
        <f t="shared" ca="1" si="1886"/>
        <v>6296309.5360104525</v>
      </c>
      <c r="AC1970" s="2">
        <f t="shared" ca="1" si="1887"/>
        <v>6407025.0865474492</v>
      </c>
      <c r="AD1970" s="2">
        <f t="shared" ca="1" si="1888"/>
        <v>6519687.4811937772</v>
      </c>
      <c r="AE1970" s="2">
        <f t="shared" ca="1" si="1889"/>
        <v>6634330.9536407981</v>
      </c>
      <c r="AF1970" s="2">
        <f t="shared" ca="1" si="1890"/>
        <v>981685.02862550912</v>
      </c>
      <c r="AG1970" s="2">
        <f t="shared" ca="1" si="1891"/>
        <v>998947.17207264795</v>
      </c>
      <c r="AH1970" s="2">
        <f t="shared" ca="1" si="1892"/>
        <v>1016512.8564598038</v>
      </c>
      <c r="AI1970" s="2">
        <f t="shared" ca="1" si="1893"/>
        <v>1034387.4193108216</v>
      </c>
      <c r="AJ1970" s="2">
        <f t="shared" ca="1" si="1894"/>
        <v>1052576.2920056202</v>
      </c>
      <c r="AK1970" s="2">
        <f t="shared" ca="1" si="1895"/>
        <v>0</v>
      </c>
      <c r="AL1970" s="2">
        <f t="shared" ca="1" si="1896"/>
        <v>8631.0717235694083</v>
      </c>
      <c r="AM1970" s="2">
        <f t="shared" ca="1" si="1897"/>
        <v>8782.8421935778861</v>
      </c>
      <c r="AN1970" s="2">
        <f t="shared" ca="1" si="1898"/>
        <v>8937.2814255089306</v>
      </c>
      <c r="AO1970" s="2">
        <f t="shared" ca="1" si="1899"/>
        <v>9094.4363473992798</v>
      </c>
      <c r="AP1970" s="2">
        <f t="shared" ca="1" si="1900"/>
        <v>2154929.3444943512</v>
      </c>
      <c r="AQ1970" s="2">
        <f t="shared" ca="1" si="1901"/>
        <v>771139.78199041786</v>
      </c>
      <c r="AR1970" s="2">
        <f t="shared" ca="1" si="1902"/>
        <v>817032.58505529794</v>
      </c>
      <c r="AS1970" s="2">
        <f t="shared" ca="1" si="1903"/>
        <v>841251.55025425646</v>
      </c>
      <c r="AT1970" s="2">
        <f t="shared" ca="1" si="1904"/>
        <v>865896.38652103732</v>
      </c>
      <c r="AU1970" s="2">
        <f t="shared" ca="1" si="1905"/>
        <v>890974.58245661505</v>
      </c>
      <c r="AV1970" s="2">
        <f t="shared" ca="1" si="1906"/>
        <v>2194782.4564342657</v>
      </c>
      <c r="AW1970" s="2">
        <f t="shared" ca="1" si="1907"/>
        <v>2316769.3626645859</v>
      </c>
      <c r="AX1970" s="2">
        <f t="shared" ca="1" si="1908"/>
        <v>2385548.4931454603</v>
      </c>
      <c r="AY1970" s="2">
        <f t="shared" ca="1" si="1909"/>
        <v>2455537.0494420584</v>
      </c>
      <c r="AZ1970" s="2">
        <f t="shared" ca="1" si="1910"/>
        <v>2526756.2983368132</v>
      </c>
      <c r="BA1970" s="2">
        <f t="shared" ca="1" si="1911"/>
        <v>44628860.741051845</v>
      </c>
      <c r="BB1970" s="2">
        <f t="shared" ca="1" si="1912"/>
        <v>892577.21482103691</v>
      </c>
      <c r="BC1970" s="2">
        <f t="shared" ca="1" si="1913"/>
        <v>19792624.142960239</v>
      </c>
      <c r="BD1970" s="2">
        <f t="shared" ca="1" si="1914"/>
        <v>-17460092.063149989</v>
      </c>
      <c r="BE1970" s="2">
        <f t="shared" ca="1" si="1915"/>
        <v>2194782.4564342657</v>
      </c>
      <c r="BF1970" s="2">
        <f t="shared" ca="1" si="1916"/>
        <v>2316769.3626645859</v>
      </c>
      <c r="BG1970" s="2">
        <f t="shared" ca="1" si="1917"/>
        <v>2385548.4931454603</v>
      </c>
      <c r="BH1970" s="2">
        <f t="shared" ca="1" si="1918"/>
        <v>2455537.0494420584</v>
      </c>
      <c r="BI1970" s="2">
        <f t="shared" ca="1" si="1919"/>
        <v>22319380.441297054</v>
      </c>
      <c r="BJ1970" s="2">
        <f t="shared" ca="1" si="1920"/>
        <v>0.15439633427753874</v>
      </c>
      <c r="BK1970" s="2">
        <f t="shared" ca="1" si="1921"/>
        <v>2269589.8318365328</v>
      </c>
    </row>
    <row r="1971" spans="1:63" x14ac:dyDescent="0.3">
      <c r="A1971" s="2">
        <v>1970</v>
      </c>
      <c r="B1971" s="2">
        <f t="shared" ca="1" si="1860"/>
        <v>0.3548886445631444</v>
      </c>
      <c r="C1971" s="2">
        <f t="shared" ca="1" si="1861"/>
        <v>6.8424828123625367</v>
      </c>
      <c r="D1971" s="2">
        <f t="shared" ca="1" si="1862"/>
        <v>0.7262383302332146</v>
      </c>
      <c r="E1971" s="2">
        <f t="shared" ca="1" si="1863"/>
        <v>7.7600517994254119</v>
      </c>
      <c r="F1971" s="2">
        <f t="shared" ca="1" si="1864"/>
        <v>0.64400801286638598</v>
      </c>
      <c r="G1971" s="2">
        <f t="shared" ca="1" si="1865"/>
        <v>5.1075785927896175E-2</v>
      </c>
      <c r="H1971" s="2">
        <f t="shared" ca="1" si="1866"/>
        <v>5.1075785927896175E-2</v>
      </c>
      <c r="I1971" s="2">
        <f t="shared" ca="1" si="1867"/>
        <v>0.11491584637750973</v>
      </c>
      <c r="J1971" s="2">
        <f t="shared" ca="1" si="1868"/>
        <v>3.9960373823619433E-3</v>
      </c>
      <c r="K1971" s="2">
        <f t="shared" ca="1" si="1869"/>
        <v>3.9960373823619433E-3</v>
      </c>
      <c r="L1971" s="2">
        <f t="shared" ca="1" si="1870"/>
        <v>8.9225548345223227E-2</v>
      </c>
      <c r="M1971" s="2">
        <f t="shared" ca="1" si="1871"/>
        <v>-2.6910788610883158E-2</v>
      </c>
      <c r="N1971" s="2">
        <f t="shared" ca="1" si="1872"/>
        <v>-2.6910788610883158E-2</v>
      </c>
      <c r="O1971" s="2">
        <f t="shared" si="1873"/>
        <v>6000000</v>
      </c>
      <c r="P1971" s="2">
        <f t="shared" ca="1" si="1874"/>
        <v>41054896.874175221</v>
      </c>
      <c r="Q1971" s="2">
        <f t="shared" ca="1" si="1875"/>
        <v>1026372.4218543805</v>
      </c>
      <c r="R1971" s="2">
        <f t="shared" ca="1" si="1876"/>
        <v>24632938.124505132</v>
      </c>
      <c r="S1971" s="2">
        <f t="shared" ca="1" si="1877"/>
        <v>16421958.749670088</v>
      </c>
      <c r="T1971" s="2">
        <f t="shared" ca="1" si="1878"/>
        <v>48654460.56945584</v>
      </c>
      <c r="U1971" s="2">
        <f t="shared" ca="1" si="1879"/>
        <v>51139525.381938629</v>
      </c>
      <c r="V1971" s="2">
        <f t="shared" ca="1" si="1880"/>
        <v>53751516.832800731</v>
      </c>
      <c r="W1971" s="2">
        <f t="shared" ca="1" si="1881"/>
        <v>56496917.799852565</v>
      </c>
      <c r="X1971" s="2">
        <f t="shared" ca="1" si="1882"/>
        <v>59382542.278983779</v>
      </c>
      <c r="Y1971" s="2">
        <f t="shared" ca="1" si="1883"/>
        <v>0.12199801869118097</v>
      </c>
      <c r="Z1971" s="2">
        <f t="shared" ca="1" si="1884"/>
        <v>0.12279722616765336</v>
      </c>
      <c r="AA1971" s="2">
        <f t="shared" ca="1" si="1885"/>
        <v>5935747.7899618009</v>
      </c>
      <c r="AB1971" s="2">
        <f t="shared" ca="1" si="1886"/>
        <v>6279791.8644323675</v>
      </c>
      <c r="AC1971" s="2">
        <f t="shared" ca="1" si="1887"/>
        <v>6600537.1693718582</v>
      </c>
      <c r="AD1971" s="2">
        <f t="shared" ca="1" si="1888"/>
        <v>6937664.7928438159</v>
      </c>
      <c r="AE1971" s="2">
        <f t="shared" ca="1" si="1889"/>
        <v>7292011.4746426092</v>
      </c>
      <c r="AF1971" s="2">
        <f t="shared" ca="1" si="1890"/>
        <v>973089.21138911683</v>
      </c>
      <c r="AG1971" s="2">
        <f t="shared" ca="1" si="1891"/>
        <v>1022790.5076387726</v>
      </c>
      <c r="AH1971" s="2">
        <f t="shared" ca="1" si="1892"/>
        <v>1075030.3366560147</v>
      </c>
      <c r="AI1971" s="2">
        <f t="shared" ca="1" si="1893"/>
        <v>1129938.3559970513</v>
      </c>
      <c r="AJ1971" s="2">
        <f t="shared" ca="1" si="1894"/>
        <v>1187650.8455796756</v>
      </c>
      <c r="AK1971" s="2">
        <f t="shared" ca="1" si="1895"/>
        <v>0</v>
      </c>
      <c r="AL1971" s="2">
        <f t="shared" ca="1" si="1896"/>
        <v>24850.648124827891</v>
      </c>
      <c r="AM1971" s="2">
        <f t="shared" ca="1" si="1897"/>
        <v>26119.914508621023</v>
      </c>
      <c r="AN1971" s="2">
        <f t="shared" ca="1" si="1898"/>
        <v>27454.009670518339</v>
      </c>
      <c r="AO1971" s="2">
        <f t="shared" ca="1" si="1899"/>
        <v>28856.244791312143</v>
      </c>
      <c r="AP1971" s="2">
        <f t="shared" ca="1" si="1900"/>
        <v>2216964.4312054617</v>
      </c>
      <c r="AQ1971" s="2">
        <f t="shared" ca="1" si="1901"/>
        <v>713880.47831547784</v>
      </c>
      <c r="AR1971" s="2">
        <f t="shared" ca="1" si="1902"/>
        <v>790409.60065291461</v>
      </c>
      <c r="AS1971" s="2">
        <f t="shared" ca="1" si="1903"/>
        <v>860221.02439269936</v>
      </c>
      <c r="AT1971" s="2">
        <f t="shared" ca="1" si="1904"/>
        <v>933598.12146673887</v>
      </c>
      <c r="AU1971" s="2">
        <f t="shared" ca="1" si="1905"/>
        <v>1010723.0114429428</v>
      </c>
      <c r="AV1971" s="2">
        <f t="shared" ca="1" si="1906"/>
        <v>2031813.669051744</v>
      </c>
      <c r="AW1971" s="2">
        <f t="shared" ca="1" si="1907"/>
        <v>2224776.6768103903</v>
      </c>
      <c r="AX1971" s="2">
        <f t="shared" ca="1" si="1908"/>
        <v>2422201.462609061</v>
      </c>
      <c r="AY1971" s="2">
        <f t="shared" ca="1" si="1909"/>
        <v>2629709.8745040456</v>
      </c>
      <c r="AZ1971" s="2">
        <f t="shared" ca="1" si="1910"/>
        <v>2847816.9416232174</v>
      </c>
      <c r="BA1971" s="2">
        <f t="shared" ca="1" si="1911"/>
        <v>56586386.765231133</v>
      </c>
      <c r="BB1971" s="2">
        <f t="shared" ca="1" si="1912"/>
        <v>1131727.7353046227</v>
      </c>
      <c r="BC1971" s="2">
        <f t="shared" ca="1" si="1913"/>
        <v>30821720.905421376</v>
      </c>
      <c r="BD1971" s="2">
        <f t="shared" ca="1" si="1914"/>
        <v>-17948331.171524469</v>
      </c>
      <c r="BE1971" s="2">
        <f t="shared" ca="1" si="1915"/>
        <v>2031813.669051744</v>
      </c>
      <c r="BF1971" s="2">
        <f t="shared" ca="1" si="1916"/>
        <v>2224776.6768103903</v>
      </c>
      <c r="BG1971" s="2">
        <f t="shared" ca="1" si="1917"/>
        <v>2422201.462609061</v>
      </c>
      <c r="BH1971" s="2">
        <f t="shared" ca="1" si="1918"/>
        <v>2629709.8745040456</v>
      </c>
      <c r="BI1971" s="2">
        <f t="shared" ca="1" si="1919"/>
        <v>33669537.847044595</v>
      </c>
      <c r="BJ1971" s="2">
        <f t="shared" ca="1" si="1920"/>
        <v>0.2230924826772227</v>
      </c>
      <c r="BK1971" s="2">
        <f t="shared" ca="1" si="1921"/>
        <v>8139669.8390784971</v>
      </c>
    </row>
    <row r="1972" spans="1:63" x14ac:dyDescent="0.3">
      <c r="A1972" s="2">
        <v>1971</v>
      </c>
      <c r="B1972" s="2">
        <f t="shared" ca="1" si="1860"/>
        <v>0.1057561449713148</v>
      </c>
      <c r="C1972" s="2">
        <f t="shared" ca="1" si="1861"/>
        <v>6.4599046530995636</v>
      </c>
      <c r="D1972" s="2">
        <f t="shared" ca="1" si="1862"/>
        <v>0.75267707718774612</v>
      </c>
      <c r="E1972" s="2">
        <f t="shared" ca="1" si="1863"/>
        <v>7.7966893676159108</v>
      </c>
      <c r="F1972" s="2">
        <f t="shared" ca="1" si="1864"/>
        <v>0.61267593220854499</v>
      </c>
      <c r="G1972" s="2">
        <f t="shared" ca="1" si="1865"/>
        <v>4.8589008717543382E-2</v>
      </c>
      <c r="H1972" s="2">
        <f t="shared" ca="1" si="1866"/>
        <v>4.8589008717543382E-2</v>
      </c>
      <c r="I1972" s="2">
        <f t="shared" ca="1" si="1867"/>
        <v>9.2758057502879243E-2</v>
      </c>
      <c r="J1972" s="2">
        <f t="shared" ca="1" si="1868"/>
        <v>3.3801967695212456E-3</v>
      </c>
      <c r="K1972" s="2">
        <f t="shared" ca="1" si="1869"/>
        <v>3.3801967695212456E-3</v>
      </c>
      <c r="L1972" s="2">
        <f t="shared" ca="1" si="1870"/>
        <v>0.25931842423617135</v>
      </c>
      <c r="M1972" s="2">
        <f t="shared" ca="1" si="1871"/>
        <v>-1.2908961776882959E-2</v>
      </c>
      <c r="N1972" s="2">
        <f t="shared" ca="1" si="1872"/>
        <v>-1.2908961776882959E-2</v>
      </c>
      <c r="O1972" s="2">
        <f t="shared" si="1873"/>
        <v>6000000</v>
      </c>
      <c r="P1972" s="2">
        <f t="shared" ca="1" si="1874"/>
        <v>38759427.918597385</v>
      </c>
      <c r="Q1972" s="2">
        <f t="shared" ca="1" si="1875"/>
        <v>968985.69796493463</v>
      </c>
      <c r="R1972" s="2">
        <f t="shared" ca="1" si="1876"/>
        <v>23255656.751158431</v>
      </c>
      <c r="S1972" s="2">
        <f t="shared" ca="1" si="1877"/>
        <v>15503771.167438954</v>
      </c>
      <c r="T1972" s="2">
        <f t="shared" ca="1" si="1878"/>
        <v>49354551.91115585</v>
      </c>
      <c r="U1972" s="2">
        <f t="shared" ca="1" si="1879"/>
        <v>51752640.66421745</v>
      </c>
      <c r="V1972" s="2">
        <f t="shared" ca="1" si="1880"/>
        <v>54267250.172606997</v>
      </c>
      <c r="W1972" s="2">
        <f t="shared" ca="1" si="1881"/>
        <v>56904042.064320907</v>
      </c>
      <c r="X1972" s="2">
        <f t="shared" ca="1" si="1882"/>
        <v>59668953.060247652</v>
      </c>
      <c r="Y1972" s="2">
        <f t="shared" ca="1" si="1883"/>
        <v>0.12169009838476062</v>
      </c>
      <c r="Z1972" s="2">
        <f t="shared" ca="1" si="1884"/>
        <v>0.12236613773866487</v>
      </c>
      <c r="AA1972" s="2">
        <f t="shared" ca="1" si="1885"/>
        <v>6005960.2778043309</v>
      </c>
      <c r="AB1972" s="2">
        <f t="shared" ca="1" si="1886"/>
        <v>6332770.7558572609</v>
      </c>
      <c r="AC1972" s="2">
        <f t="shared" ca="1" si="1887"/>
        <v>6640473.8093198128</v>
      </c>
      <c r="AD1972" s="2">
        <f t="shared" ca="1" si="1888"/>
        <v>6963127.8491294719</v>
      </c>
      <c r="AE1972" s="2">
        <f t="shared" ca="1" si="1889"/>
        <v>7301459.3288921928</v>
      </c>
      <c r="AF1972" s="2">
        <f t="shared" ca="1" si="1890"/>
        <v>987091.03822311701</v>
      </c>
      <c r="AG1972" s="2">
        <f t="shared" ca="1" si="1891"/>
        <v>1035052.813284349</v>
      </c>
      <c r="AH1972" s="2">
        <f t="shared" ca="1" si="1892"/>
        <v>1085345.0034521399</v>
      </c>
      <c r="AI1972" s="2">
        <f t="shared" ca="1" si="1893"/>
        <v>1138080.8412864183</v>
      </c>
      <c r="AJ1972" s="2">
        <f t="shared" ca="1" si="1894"/>
        <v>1193379.0612049531</v>
      </c>
      <c r="AK1972" s="2">
        <f t="shared" ca="1" si="1895"/>
        <v>0</v>
      </c>
      <c r="AL1972" s="2">
        <f t="shared" ca="1" si="1896"/>
        <v>23980.887530616001</v>
      </c>
      <c r="AM1972" s="2">
        <f t="shared" ca="1" si="1897"/>
        <v>25146.095083895474</v>
      </c>
      <c r="AN1972" s="2">
        <f t="shared" ca="1" si="1898"/>
        <v>26367.918917139097</v>
      </c>
      <c r="AO1972" s="2">
        <f t="shared" ca="1" si="1899"/>
        <v>27649.109959267455</v>
      </c>
      <c r="AP1972" s="2">
        <f t="shared" ca="1" si="1900"/>
        <v>2093009.1076042587</v>
      </c>
      <c r="AQ1972" s="2">
        <f t="shared" ca="1" si="1901"/>
        <v>760723.63431400852</v>
      </c>
      <c r="AR1972" s="2">
        <f t="shared" ca="1" si="1902"/>
        <v>833224.29709184996</v>
      </c>
      <c r="AS1972" s="2">
        <f t="shared" ca="1" si="1903"/>
        <v>900151.12154848769</v>
      </c>
      <c r="AT1972" s="2">
        <f t="shared" ca="1" si="1904"/>
        <v>970329.85406208679</v>
      </c>
      <c r="AU1972" s="2">
        <f t="shared" ca="1" si="1905"/>
        <v>1043918.5016215751</v>
      </c>
      <c r="AV1972" s="2">
        <f t="shared" ca="1" si="1906"/>
        <v>2165136.4976629475</v>
      </c>
      <c r="AW1972" s="2">
        <f t="shared" ca="1" si="1907"/>
        <v>2347503.6503461879</v>
      </c>
      <c r="AX1972" s="2">
        <f t="shared" ca="1" si="1908"/>
        <v>2536822.4816310313</v>
      </c>
      <c r="AY1972" s="2">
        <f t="shared" ca="1" si="1909"/>
        <v>2735340.1272595692</v>
      </c>
      <c r="AZ1972" s="2">
        <f t="shared" ca="1" si="1910"/>
        <v>2943503.5485021388</v>
      </c>
      <c r="BA1972" s="2">
        <f t="shared" ca="1" si="1911"/>
        <v>56927210.31765376</v>
      </c>
      <c r="BB1972" s="2">
        <f t="shared" ca="1" si="1912"/>
        <v>1138544.2063530753</v>
      </c>
      <c r="BC1972" s="2">
        <f t="shared" ca="1" si="1913"/>
        <v>32533009.360142253</v>
      </c>
      <c r="BD1972" s="2">
        <f t="shared" ca="1" si="1914"/>
        <v>-16972756.865403891</v>
      </c>
      <c r="BE1972" s="2">
        <f t="shared" ca="1" si="1915"/>
        <v>2165136.4976629475</v>
      </c>
      <c r="BF1972" s="2">
        <f t="shared" ca="1" si="1916"/>
        <v>2347503.6503461879</v>
      </c>
      <c r="BG1972" s="2">
        <f t="shared" ca="1" si="1917"/>
        <v>2536822.4816310313</v>
      </c>
      <c r="BH1972" s="2">
        <f t="shared" ca="1" si="1918"/>
        <v>2735340.1272595692</v>
      </c>
      <c r="BI1972" s="2">
        <f t="shared" ca="1" si="1919"/>
        <v>35476512.908644393</v>
      </c>
      <c r="BJ1972" s="2">
        <f t="shared" ca="1" si="1920"/>
        <v>0.25543380071893096</v>
      </c>
      <c r="BK1972" s="2">
        <f t="shared" ca="1" si="1921"/>
        <v>10506160.667085797</v>
      </c>
    </row>
    <row r="1973" spans="1:63" x14ac:dyDescent="0.3">
      <c r="A1973" s="2">
        <v>1972</v>
      </c>
      <c r="B1973" s="2">
        <f t="shared" ca="1" si="1860"/>
        <v>0.2055409285742178</v>
      </c>
      <c r="C1973" s="2">
        <f t="shared" ca="1" si="1861"/>
        <v>6.641156655700021</v>
      </c>
      <c r="D1973" s="2">
        <f t="shared" ca="1" si="1862"/>
        <v>0.36632525715510145</v>
      </c>
      <c r="E1973" s="2">
        <f t="shared" ca="1" si="1863"/>
        <v>7.3559500653135101</v>
      </c>
      <c r="F1973" s="2">
        <f t="shared" ca="1" si="1864"/>
        <v>0.63385307373538491</v>
      </c>
      <c r="G1973" s="2">
        <f t="shared" ca="1" si="1865"/>
        <v>5.0262273854593462E-2</v>
      </c>
      <c r="H1973" s="2">
        <f t="shared" ca="1" si="1866"/>
        <v>5.0262273854593462E-2</v>
      </c>
      <c r="I1973" s="2">
        <f t="shared" ca="1" si="1867"/>
        <v>0.24809106448324936</v>
      </c>
      <c r="J1973" s="2">
        <f t="shared" ca="1" si="1868"/>
        <v>6.5974542405297931E-3</v>
      </c>
      <c r="K1973" s="2">
        <f t="shared" ca="1" si="1869"/>
        <v>6.5974542405297931E-3</v>
      </c>
      <c r="L1973" s="2">
        <f t="shared" ca="1" si="1870"/>
        <v>4.6499996718147085E-2</v>
      </c>
      <c r="M1973" s="2">
        <f t="shared" ca="1" si="1871"/>
        <v>-3.3595613810421331E-2</v>
      </c>
      <c r="N1973" s="2">
        <f t="shared" ca="1" si="1872"/>
        <v>-3.3595613810421331E-2</v>
      </c>
      <c r="O1973" s="2">
        <f t="shared" si="1873"/>
        <v>6000000</v>
      </c>
      <c r="P1973" s="2">
        <f t="shared" ca="1" si="1874"/>
        <v>39846939.934200123</v>
      </c>
      <c r="Q1973" s="2">
        <f t="shared" ca="1" si="1875"/>
        <v>996173.49835500307</v>
      </c>
      <c r="R1973" s="2">
        <f t="shared" ca="1" si="1876"/>
        <v>23908163.960520074</v>
      </c>
      <c r="S1973" s="2">
        <f t="shared" ca="1" si="1877"/>
        <v>15938775.973680049</v>
      </c>
      <c r="T1973" s="2">
        <f t="shared" ca="1" si="1878"/>
        <v>48320219.309478931</v>
      </c>
      <c r="U1973" s="2">
        <f t="shared" ca="1" si="1879"/>
        <v>50748903.405125976</v>
      </c>
      <c r="V1973" s="2">
        <f t="shared" ca="1" si="1880"/>
        <v>53299658.685894728</v>
      </c>
      <c r="W1973" s="2">
        <f t="shared" ca="1" si="1881"/>
        <v>55978620.727121532</v>
      </c>
      <c r="X1973" s="2">
        <f t="shared" ca="1" si="1882"/>
        <v>58792233.492110536</v>
      </c>
      <c r="Y1973" s="2">
        <f t="shared" ca="1" si="1883"/>
        <v>0.12329872712026489</v>
      </c>
      <c r="Z1973" s="2">
        <f t="shared" ca="1" si="1884"/>
        <v>0.12461821796837085</v>
      </c>
      <c r="AA1973" s="2">
        <f t="shared" ca="1" si="1885"/>
        <v>5957821.5350307971</v>
      </c>
      <c r="AB1973" s="2">
        <f t="shared" ca="1" si="1886"/>
        <v>6324237.9061957859</v>
      </c>
      <c r="AC1973" s="2">
        <f t="shared" ca="1" si="1887"/>
        <v>6642108.4837585995</v>
      </c>
      <c r="AD1973" s="2">
        <f t="shared" ca="1" si="1888"/>
        <v>6975955.9593411935</v>
      </c>
      <c r="AE1973" s="2">
        <f t="shared" ca="1" si="1889"/>
        <v>7326583.3681671834</v>
      </c>
      <c r="AF1973" s="2">
        <f t="shared" ca="1" si="1890"/>
        <v>966404.38618957868</v>
      </c>
      <c r="AG1973" s="2">
        <f t="shared" ca="1" si="1891"/>
        <v>1014978.0681025195</v>
      </c>
      <c r="AH1973" s="2">
        <f t="shared" ca="1" si="1892"/>
        <v>1065993.1737178946</v>
      </c>
      <c r="AI1973" s="2">
        <f t="shared" ca="1" si="1893"/>
        <v>1119572.4145424305</v>
      </c>
      <c r="AJ1973" s="2">
        <f t="shared" ca="1" si="1894"/>
        <v>1175844.6698422108</v>
      </c>
      <c r="AK1973" s="2">
        <f t="shared" ca="1" si="1895"/>
        <v>0</v>
      </c>
      <c r="AL1973" s="2">
        <f t="shared" ca="1" si="1896"/>
        <v>24286.840956470445</v>
      </c>
      <c r="AM1973" s="2">
        <f t="shared" ca="1" si="1897"/>
        <v>25507.55280768752</v>
      </c>
      <c r="AN1973" s="2">
        <f t="shared" ca="1" si="1898"/>
        <v>26789.620412268043</v>
      </c>
      <c r="AO1973" s="2">
        <f t="shared" ca="1" si="1899"/>
        <v>28136.127649890037</v>
      </c>
      <c r="AP1973" s="2">
        <f t="shared" ca="1" si="1900"/>
        <v>2151734.7564468067</v>
      </c>
      <c r="AQ1973" s="2">
        <f t="shared" ca="1" si="1901"/>
        <v>738317.42202254699</v>
      </c>
      <c r="AR1973" s="2">
        <f t="shared" ca="1" si="1902"/>
        <v>820956.52122807945</v>
      </c>
      <c r="AS1973" s="2">
        <f t="shared" ca="1" si="1903"/>
        <v>890338.9439344136</v>
      </c>
      <c r="AT1973" s="2">
        <f t="shared" ca="1" si="1904"/>
        <v>963208.6849715088</v>
      </c>
      <c r="AU1973" s="2">
        <f t="shared" ca="1" si="1905"/>
        <v>1039741.0248883232</v>
      </c>
      <c r="AV1973" s="2">
        <f t="shared" ca="1" si="1906"/>
        <v>2101364.9703718647</v>
      </c>
      <c r="AW1973" s="2">
        <f t="shared" ca="1" si="1907"/>
        <v>2312281.7194619095</v>
      </c>
      <c r="AX1973" s="2">
        <f t="shared" ca="1" si="1908"/>
        <v>2508534.0568517968</v>
      </c>
      <c r="AY1973" s="2">
        <f t="shared" ca="1" si="1909"/>
        <v>2714650.4829681804</v>
      </c>
      <c r="AZ1973" s="2">
        <f t="shared" ca="1" si="1910"/>
        <v>2931126.7893399522</v>
      </c>
      <c r="BA1973" s="2">
        <f t="shared" ca="1" si="1911"/>
        <v>53893981.405594267</v>
      </c>
      <c r="BB1973" s="2">
        <f t="shared" ca="1" si="1912"/>
        <v>1077879.6281118854</v>
      </c>
      <c r="BC1973" s="2">
        <f t="shared" ca="1" si="1913"/>
        <v>28907937.816962309</v>
      </c>
      <c r="BD1973" s="2">
        <f t="shared" ca="1" si="1914"/>
        <v>-17434949.47203505</v>
      </c>
      <c r="BE1973" s="2">
        <f t="shared" ca="1" si="1915"/>
        <v>2101364.9703718647</v>
      </c>
      <c r="BF1973" s="2">
        <f t="shared" ca="1" si="1916"/>
        <v>2312281.7194619095</v>
      </c>
      <c r="BG1973" s="2">
        <f t="shared" ca="1" si="1917"/>
        <v>2508534.0568517968</v>
      </c>
      <c r="BH1973" s="2">
        <f t="shared" ca="1" si="1918"/>
        <v>2714650.4829681804</v>
      </c>
      <c r="BI1973" s="2">
        <f t="shared" ca="1" si="1919"/>
        <v>31839064.606302261</v>
      </c>
      <c r="BJ1973" s="2">
        <f t="shared" ca="1" si="1920"/>
        <v>0.22386109609465454</v>
      </c>
      <c r="BK1973" s="2">
        <f t="shared" ca="1" si="1921"/>
        <v>7861680.8511259072</v>
      </c>
    </row>
    <row r="1974" spans="1:63" x14ac:dyDescent="0.3">
      <c r="A1974" s="2">
        <v>1973</v>
      </c>
      <c r="B1974" s="2">
        <f t="shared" ca="1" si="1860"/>
        <v>0.87400045914792579</v>
      </c>
      <c r="C1974" s="2">
        <f t="shared" ca="1" si="1861"/>
        <v>7.4980048987249495</v>
      </c>
      <c r="D1974" s="2">
        <f t="shared" ca="1" si="1862"/>
        <v>0.32255866771256692</v>
      </c>
      <c r="E1974" s="2">
        <f t="shared" ca="1" si="1863"/>
        <v>7.3031919667334417</v>
      </c>
      <c r="F1974" s="2">
        <f t="shared" ca="1" si="1864"/>
        <v>0.74609488916421429</v>
      </c>
      <c r="G1974" s="2">
        <f t="shared" ca="1" si="1865"/>
        <v>5.9867537142303612E-2</v>
      </c>
      <c r="H1974" s="2">
        <f t="shared" ca="1" si="1866"/>
        <v>5.9867537142303612E-2</v>
      </c>
      <c r="I1974" s="2">
        <f t="shared" ca="1" si="1867"/>
        <v>4.2197225334157595E-2</v>
      </c>
      <c r="J1974" s="2">
        <f t="shared" ca="1" si="1868"/>
        <v>1.3713070081360357E-3</v>
      </c>
      <c r="K1974" s="2">
        <f t="shared" ca="1" si="1869"/>
        <v>1.3713070081360357E-3</v>
      </c>
      <c r="L1974" s="2">
        <f t="shared" ca="1" si="1870"/>
        <v>5.6976644911631569E-3</v>
      </c>
      <c r="M1974" s="2">
        <f t="shared" ca="1" si="1871"/>
        <v>-5.0606723284639936E-2</v>
      </c>
      <c r="N1974" s="2">
        <f t="shared" ca="1" si="1872"/>
        <v>-0.05</v>
      </c>
      <c r="O1974" s="2">
        <f t="shared" si="1873"/>
        <v>6000000</v>
      </c>
      <c r="P1974" s="2">
        <f t="shared" ca="1" si="1874"/>
        <v>44988029.392349698</v>
      </c>
      <c r="Q1974" s="2">
        <f t="shared" ca="1" si="1875"/>
        <v>1124700.7348087425</v>
      </c>
      <c r="R1974" s="2">
        <f t="shared" ca="1" si="1876"/>
        <v>26992817.635409817</v>
      </c>
      <c r="S1974" s="2">
        <f t="shared" ca="1" si="1877"/>
        <v>17995211.756939881</v>
      </c>
      <c r="T1974" s="2">
        <f t="shared" ca="1" si="1878"/>
        <v>47500000</v>
      </c>
      <c r="U1974" s="2">
        <f t="shared" ca="1" si="1879"/>
        <v>50343708.01425942</v>
      </c>
      <c r="V1974" s="2">
        <f t="shared" ca="1" si="1880"/>
        <v>53357661.823684387</v>
      </c>
      <c r="W1974" s="2">
        <f t="shared" ca="1" si="1881"/>
        <v>56552053.624740288</v>
      </c>
      <c r="X1974" s="2">
        <f t="shared" ca="1" si="1882"/>
        <v>59937685.795592971</v>
      </c>
      <c r="Y1974" s="2">
        <f t="shared" ca="1" si="1883"/>
        <v>0.12068565350406801</v>
      </c>
      <c r="Z1974" s="2">
        <f t="shared" ca="1" si="1884"/>
        <v>0.12095991490569521</v>
      </c>
      <c r="AA1974" s="2">
        <f t="shared" ca="1" si="1885"/>
        <v>5732568.5414432306</v>
      </c>
      <c r="AB1974" s="2">
        <f t="shared" ca="1" si="1886"/>
        <v>6089570.6374419853</v>
      </c>
      <c r="AC1974" s="2">
        <f t="shared" ca="1" si="1887"/>
        <v>6454138.2337597255</v>
      </c>
      <c r="AD1974" s="2">
        <f t="shared" ca="1" si="1888"/>
        <v>6840531.5941908974</v>
      </c>
      <c r="AE1974" s="2">
        <f t="shared" ca="1" si="1889"/>
        <v>7250057.3734792229</v>
      </c>
      <c r="AF1974" s="2">
        <f t="shared" ca="1" si="1890"/>
        <v>950000</v>
      </c>
      <c r="AG1974" s="2">
        <f t="shared" ca="1" si="1891"/>
        <v>1006874.1602851885</v>
      </c>
      <c r="AH1974" s="2">
        <f t="shared" ca="1" si="1892"/>
        <v>1067153.2364736877</v>
      </c>
      <c r="AI1974" s="2">
        <f t="shared" ca="1" si="1893"/>
        <v>1131041.0724948058</v>
      </c>
      <c r="AJ1974" s="2">
        <f t="shared" ca="1" si="1894"/>
        <v>1198753.7159118594</v>
      </c>
      <c r="AK1974" s="2">
        <f t="shared" ca="1" si="1895"/>
        <v>0</v>
      </c>
      <c r="AL1974" s="2">
        <f t="shared" ca="1" si="1896"/>
        <v>28437.080142594205</v>
      </c>
      <c r="AM1974" s="2">
        <f t="shared" ca="1" si="1897"/>
        <v>30139.538094249667</v>
      </c>
      <c r="AN1974" s="2">
        <f t="shared" ca="1" si="1898"/>
        <v>31943.918010559009</v>
      </c>
      <c r="AO1974" s="2">
        <f t="shared" ca="1" si="1899"/>
        <v>33856.321708526833</v>
      </c>
      <c r="AP1974" s="2">
        <f t="shared" ca="1" si="1900"/>
        <v>2429353.5871868837</v>
      </c>
      <c r="AQ1974" s="2">
        <f t="shared" ca="1" si="1901"/>
        <v>611835.88810665021</v>
      </c>
      <c r="AR1974" s="2">
        <f t="shared" ca="1" si="1902"/>
        <v>689869.15139217733</v>
      </c>
      <c r="AS1974" s="2">
        <f t="shared" ca="1" si="1903"/>
        <v>768984.16662578005</v>
      </c>
      <c r="AT1974" s="2">
        <f t="shared" ca="1" si="1904"/>
        <v>852835.60297239409</v>
      </c>
      <c r="AU1974" s="2">
        <f t="shared" ca="1" si="1905"/>
        <v>941707.01829892467</v>
      </c>
      <c r="AV1974" s="2">
        <f t="shared" ca="1" si="1906"/>
        <v>1741379.0661496967</v>
      </c>
      <c r="AW1974" s="2">
        <f t="shared" ca="1" si="1907"/>
        <v>1935036.6584351412</v>
      </c>
      <c r="AX1974" s="2">
        <f t="shared" ca="1" si="1908"/>
        <v>2158507.7053791243</v>
      </c>
      <c r="AY1974" s="2">
        <f t="shared" ca="1" si="1909"/>
        <v>2395357.4135262552</v>
      </c>
      <c r="AZ1974" s="2">
        <f t="shared" ca="1" si="1910"/>
        <v>2646386.7303730282</v>
      </c>
      <c r="BA1974" s="2">
        <f t="shared" ca="1" si="1911"/>
        <v>52948560.76835002</v>
      </c>
      <c r="BB1974" s="2">
        <f t="shared" ca="1" si="1912"/>
        <v>1058971.2153670003</v>
      </c>
      <c r="BC1974" s="2">
        <f t="shared" ca="1" si="1913"/>
        <v>24896771.917573202</v>
      </c>
      <c r="BD1974" s="2">
        <f t="shared" ca="1" si="1914"/>
        <v>-19619912.491748624</v>
      </c>
      <c r="BE1974" s="2">
        <f t="shared" ca="1" si="1915"/>
        <v>1741379.0661496967</v>
      </c>
      <c r="BF1974" s="2">
        <f t="shared" ca="1" si="1916"/>
        <v>1935036.6584351412</v>
      </c>
      <c r="BG1974" s="2">
        <f t="shared" ca="1" si="1917"/>
        <v>2158507.7053791243</v>
      </c>
      <c r="BH1974" s="2">
        <f t="shared" ca="1" si="1918"/>
        <v>2395357.4135262552</v>
      </c>
      <c r="BI1974" s="2">
        <f t="shared" ca="1" si="1919"/>
        <v>27543158.647946231</v>
      </c>
      <c r="BJ1974" s="2">
        <f t="shared" ca="1" si="1920"/>
        <v>0.14778738961378579</v>
      </c>
      <c r="BK1974" s="2">
        <f t="shared" ca="1" si="1921"/>
        <v>2164893.6209678687</v>
      </c>
    </row>
    <row r="1975" spans="1:63" x14ac:dyDescent="0.3">
      <c r="A1975" s="2">
        <v>1974</v>
      </c>
      <c r="B1975" s="2">
        <f t="shared" ca="1" si="1860"/>
        <v>0.24444966044152561</v>
      </c>
      <c r="C1975" s="2">
        <f t="shared" ca="1" si="1861"/>
        <v>6.6992133586274303</v>
      </c>
      <c r="D1975" s="2">
        <f t="shared" ca="1" si="1862"/>
        <v>0.47794216509675636</v>
      </c>
      <c r="E1975" s="2">
        <f t="shared" ca="1" si="1863"/>
        <v>7.4776933722765602</v>
      </c>
      <c r="F1975" s="2">
        <f t="shared" ca="1" si="1864"/>
        <v>0.70892109873819731</v>
      </c>
      <c r="G1975" s="2">
        <f t="shared" ca="1" si="1865"/>
        <v>5.6507067404171954E-2</v>
      </c>
      <c r="H1975" s="2">
        <f t="shared" ca="1" si="1866"/>
        <v>5.6507067404171954E-2</v>
      </c>
      <c r="I1975" s="2">
        <f t="shared" ca="1" si="1867"/>
        <v>0.22827080524957999</v>
      </c>
      <c r="J1975" s="2">
        <f t="shared" ca="1" si="1868"/>
        <v>6.2772318637277997E-3</v>
      </c>
      <c r="K1975" s="2">
        <f t="shared" ca="1" si="1869"/>
        <v>6.2772318637277997E-3</v>
      </c>
      <c r="L1975" s="2">
        <f t="shared" ca="1" si="1870"/>
        <v>6.0648984315426646E-2</v>
      </c>
      <c r="M1975" s="2">
        <f t="shared" ca="1" si="1871"/>
        <v>-3.0986969839401437E-2</v>
      </c>
      <c r="N1975" s="2">
        <f t="shared" ca="1" si="1872"/>
        <v>-3.0986969839401437E-2</v>
      </c>
      <c r="O1975" s="2">
        <f t="shared" si="1873"/>
        <v>6000000</v>
      </c>
      <c r="P1975" s="2">
        <f t="shared" ca="1" si="1874"/>
        <v>40195280.151764579</v>
      </c>
      <c r="Q1975" s="2">
        <f t="shared" ca="1" si="1875"/>
        <v>1004882.0037941146</v>
      </c>
      <c r="R1975" s="2">
        <f t="shared" ca="1" si="1876"/>
        <v>24117168.091058746</v>
      </c>
      <c r="S1975" s="2">
        <f t="shared" ca="1" si="1877"/>
        <v>16078112.060705833</v>
      </c>
      <c r="T1975" s="2">
        <f t="shared" ca="1" si="1878"/>
        <v>48450651.50802993</v>
      </c>
      <c r="U1975" s="2">
        <f t="shared" ca="1" si="1879"/>
        <v>51188455.738570221</v>
      </c>
      <c r="V1975" s="2">
        <f t="shared" ca="1" si="1880"/>
        <v>54080965.257305078</v>
      </c>
      <c r="W1975" s="2">
        <f t="shared" ca="1" si="1881"/>
        <v>57136922.006382294</v>
      </c>
      <c r="X1975" s="2">
        <f t="shared" ca="1" si="1882"/>
        <v>60365561.909463853</v>
      </c>
      <c r="Y1975" s="2">
        <f t="shared" ca="1" si="1883"/>
        <v>0.1231386159318639</v>
      </c>
      <c r="Z1975" s="2">
        <f t="shared" ca="1" si="1884"/>
        <v>0.12439406230460945</v>
      </c>
      <c r="AA1975" s="2">
        <f t="shared" ca="1" si="1885"/>
        <v>5966146.1676958799</v>
      </c>
      <c r="AB1975" s="2">
        <f t="shared" ca="1" si="1886"/>
        <v>6367539.952420447</v>
      </c>
      <c r="AC1975" s="2">
        <f t="shared" ca="1" si="1887"/>
        <v>6727350.9617106272</v>
      </c>
      <c r="AD1975" s="2">
        <f t="shared" ca="1" si="1888"/>
        <v>7107493.8359555295</v>
      </c>
      <c r="AE1975" s="2">
        <f t="shared" ca="1" si="1889"/>
        <v>7509117.4692186052</v>
      </c>
      <c r="AF1975" s="2">
        <f t="shared" ca="1" si="1890"/>
        <v>969013.03016059857</v>
      </c>
      <c r="AG1975" s="2">
        <f t="shared" ca="1" si="1891"/>
        <v>1023769.1147714044</v>
      </c>
      <c r="AH1975" s="2">
        <f t="shared" ca="1" si="1892"/>
        <v>1081619.3051461016</v>
      </c>
      <c r="AI1975" s="2">
        <f t="shared" ca="1" si="1893"/>
        <v>1142738.4401276459</v>
      </c>
      <c r="AJ1975" s="2">
        <f t="shared" ca="1" si="1894"/>
        <v>1207311.238189277</v>
      </c>
      <c r="AK1975" s="2">
        <f t="shared" ca="1" si="1895"/>
        <v>0</v>
      </c>
      <c r="AL1975" s="2">
        <f t="shared" ca="1" si="1896"/>
        <v>27378.042305402905</v>
      </c>
      <c r="AM1975" s="2">
        <f t="shared" ca="1" si="1897"/>
        <v>28925.095187348576</v>
      </c>
      <c r="AN1975" s="2">
        <f t="shared" ca="1" si="1898"/>
        <v>30559.567490772159</v>
      </c>
      <c r="AO1975" s="2">
        <f t="shared" ca="1" si="1899"/>
        <v>32286.399030815588</v>
      </c>
      <c r="AP1975" s="2">
        <f t="shared" ca="1" si="1900"/>
        <v>2170545.1281952872</v>
      </c>
      <c r="AQ1975" s="2">
        <f t="shared" ca="1" si="1901"/>
        <v>734912.88242839859</v>
      </c>
      <c r="AR1975" s="2">
        <f t="shared" ca="1" si="1902"/>
        <v>825038.68445797649</v>
      </c>
      <c r="AS1975" s="2">
        <f t="shared" ca="1" si="1903"/>
        <v>903548.49737600191</v>
      </c>
      <c r="AT1975" s="2">
        <f t="shared" ca="1" si="1904"/>
        <v>986494.66958447511</v>
      </c>
      <c r="AU1975" s="2">
        <f t="shared" ca="1" si="1905"/>
        <v>1074127.8867368507</v>
      </c>
      <c r="AV1975" s="2">
        <f t="shared" ca="1" si="1906"/>
        <v>2091675.1269115959</v>
      </c>
      <c r="AW1975" s="2">
        <f t="shared" ca="1" si="1907"/>
        <v>2320808.9826903767</v>
      </c>
      <c r="AX1975" s="2">
        <f t="shared" ca="1" si="1908"/>
        <v>2542712.9358058874</v>
      </c>
      <c r="AY1975" s="2">
        <f t="shared" ca="1" si="1909"/>
        <v>2777156.0305573489</v>
      </c>
      <c r="AZ1975" s="2">
        <f t="shared" ca="1" si="1910"/>
        <v>3024846.8170663738</v>
      </c>
      <c r="BA1975" s="2">
        <f t="shared" ca="1" si="1911"/>
        <v>56150877.931222104</v>
      </c>
      <c r="BB1975" s="2">
        <f t="shared" ca="1" si="1912"/>
        <v>1123017.5586244422</v>
      </c>
      <c r="BC1975" s="2">
        <f t="shared" ca="1" si="1913"/>
        <v>30910692.281538915</v>
      </c>
      <c r="BD1975" s="2">
        <f t="shared" ca="1" si="1914"/>
        <v>-17582994.064499948</v>
      </c>
      <c r="BE1975" s="2">
        <f t="shared" ca="1" si="1915"/>
        <v>2091675.1269115959</v>
      </c>
      <c r="BF1975" s="2">
        <f t="shared" ca="1" si="1916"/>
        <v>2320808.9826903767</v>
      </c>
      <c r="BG1975" s="2">
        <f t="shared" ca="1" si="1917"/>
        <v>2542712.9358058874</v>
      </c>
      <c r="BH1975" s="2">
        <f t="shared" ca="1" si="1918"/>
        <v>2777156.0305573489</v>
      </c>
      <c r="BI1975" s="2">
        <f t="shared" ca="1" si="1919"/>
        <v>33935539.09860529</v>
      </c>
      <c r="BJ1975" s="2">
        <f t="shared" ca="1" si="1920"/>
        <v>0.2347939734668254</v>
      </c>
      <c r="BK1975" s="2">
        <f t="shared" ca="1" si="1921"/>
        <v>8965429.6804395281</v>
      </c>
    </row>
    <row r="1976" spans="1:63" x14ac:dyDescent="0.3">
      <c r="A1976" s="2">
        <v>1975</v>
      </c>
      <c r="B1976" s="2">
        <f t="shared" ca="1" si="1860"/>
        <v>0.51308620271860284</v>
      </c>
      <c r="C1976" s="2">
        <f t="shared" ca="1" si="1861"/>
        <v>7.0131729662383613</v>
      </c>
      <c r="D1976" s="2">
        <f t="shared" ca="1" si="1862"/>
        <v>0.38647501101856729</v>
      </c>
      <c r="E1976" s="2">
        <f t="shared" ca="1" si="1863"/>
        <v>7.3791757628808554</v>
      </c>
      <c r="F1976" s="2">
        <f t="shared" ca="1" si="1864"/>
        <v>0.476769476692669</v>
      </c>
      <c r="G1976" s="2">
        <f t="shared" ca="1" si="1865"/>
        <v>3.8252103003514802E-2</v>
      </c>
      <c r="H1976" s="2">
        <f t="shared" ca="1" si="1866"/>
        <v>3.8252103003514802E-2</v>
      </c>
      <c r="I1976" s="2">
        <f t="shared" ca="1" si="1867"/>
        <v>0.9035600451499356</v>
      </c>
      <c r="J1976" s="2">
        <f t="shared" ca="1" si="1868"/>
        <v>1.6510533549905032E-2</v>
      </c>
      <c r="K1976" s="2">
        <f t="shared" ca="1" si="1869"/>
        <v>1.6510533549905032E-2</v>
      </c>
      <c r="L1976" s="2">
        <f t="shared" ca="1" si="1870"/>
        <v>0.92173297728582781</v>
      </c>
      <c r="M1976" s="2">
        <f t="shared" ca="1" si="1871"/>
        <v>2.8336503631699653E-2</v>
      </c>
      <c r="N1976" s="2">
        <f t="shared" ca="1" si="1872"/>
        <v>2.8336503631699653E-2</v>
      </c>
      <c r="O1976" s="2">
        <f t="shared" si="1873"/>
        <v>6000000</v>
      </c>
      <c r="P1976" s="2">
        <f t="shared" ca="1" si="1874"/>
        <v>42079037.797430165</v>
      </c>
      <c r="Q1976" s="2">
        <f t="shared" ca="1" si="1875"/>
        <v>1051975.9449357542</v>
      </c>
      <c r="R1976" s="2">
        <f t="shared" ca="1" si="1876"/>
        <v>25247422.678458098</v>
      </c>
      <c r="S1976" s="2">
        <f t="shared" ca="1" si="1877"/>
        <v>16831615.118972067</v>
      </c>
      <c r="T1976" s="2">
        <f t="shared" ca="1" si="1878"/>
        <v>51416825.181584977</v>
      </c>
      <c r="U1976" s="2">
        <f t="shared" ca="1" si="1879"/>
        <v>53383626.87454468</v>
      </c>
      <c r="V1976" s="2">
        <f t="shared" ca="1" si="1880"/>
        <v>55425662.868450962</v>
      </c>
      <c r="W1976" s="2">
        <f t="shared" ca="1" si="1881"/>
        <v>57545811.033533029</v>
      </c>
      <c r="X1976" s="2">
        <f t="shared" ca="1" si="1882"/>
        <v>59747059.324608535</v>
      </c>
      <c r="Y1976" s="2">
        <f t="shared" ca="1" si="1883"/>
        <v>0.12825526677495253</v>
      </c>
      <c r="Z1976" s="2">
        <f t="shared" ca="1" si="1884"/>
        <v>0.13155737348493352</v>
      </c>
      <c r="AA1976" s="2">
        <f t="shared" ca="1" si="1885"/>
        <v>6594478.6303852778</v>
      </c>
      <c r="AB1976" s="2">
        <f t="shared" ca="1" si="1886"/>
        <v>7023009.7387148086</v>
      </c>
      <c r="AC1976" s="2">
        <f t="shared" ca="1" si="1887"/>
        <v>7291654.6306348145</v>
      </c>
      <c r="AD1976" s="2">
        <f t="shared" ca="1" si="1888"/>
        <v>7570575.7546319123</v>
      </c>
      <c r="AE1976" s="2">
        <f t="shared" ca="1" si="1889"/>
        <v>7860166.1981940046</v>
      </c>
      <c r="AF1976" s="2">
        <f t="shared" ca="1" si="1890"/>
        <v>1028336.5036316996</v>
      </c>
      <c r="AG1976" s="2">
        <f t="shared" ca="1" si="1891"/>
        <v>1067672.5374908936</v>
      </c>
      <c r="AH1976" s="2">
        <f t="shared" ca="1" si="1892"/>
        <v>1108513.2573690193</v>
      </c>
      <c r="AI1976" s="2">
        <f t="shared" ca="1" si="1893"/>
        <v>1150916.2206706607</v>
      </c>
      <c r="AJ1976" s="2">
        <f t="shared" ca="1" si="1894"/>
        <v>1194941.1864921707</v>
      </c>
      <c r="AK1976" s="2">
        <f t="shared" ca="1" si="1895"/>
        <v>0</v>
      </c>
      <c r="AL1976" s="2">
        <f t="shared" ca="1" si="1896"/>
        <v>19668.016929597037</v>
      </c>
      <c r="AM1976" s="2">
        <f t="shared" ca="1" si="1897"/>
        <v>20420.359939062819</v>
      </c>
      <c r="AN1976" s="2">
        <f t="shared" ca="1" si="1898"/>
        <v>21201.481650820671</v>
      </c>
      <c r="AO1976" s="2">
        <f t="shared" ca="1" si="1899"/>
        <v>22012.482910755054</v>
      </c>
      <c r="AP1976" s="2">
        <f t="shared" ca="1" si="1900"/>
        <v>2272268.0410612286</v>
      </c>
      <c r="AQ1976" s="2">
        <f t="shared" ca="1" si="1901"/>
        <v>856407.26228001085</v>
      </c>
      <c r="AR1976" s="2">
        <f t="shared" ca="1" si="1902"/>
        <v>957597.98164229863</v>
      </c>
      <c r="AS1976" s="2">
        <f t="shared" ca="1" si="1903"/>
        <v>1016827.0663731874</v>
      </c>
      <c r="AT1976" s="2">
        <f t="shared" ca="1" si="1904"/>
        <v>1078321.788154006</v>
      </c>
      <c r="AU1976" s="2">
        <f t="shared" ca="1" si="1905"/>
        <v>1142168.8123665573</v>
      </c>
      <c r="AV1976" s="2">
        <f t="shared" ca="1" si="1906"/>
        <v>2437466.8234123387</v>
      </c>
      <c r="AW1976" s="2">
        <f t="shared" ca="1" si="1907"/>
        <v>2705803.1615907918</v>
      </c>
      <c r="AX1976" s="2">
        <f t="shared" ca="1" si="1908"/>
        <v>2873625.9058923167</v>
      </c>
      <c r="AY1976" s="2">
        <f t="shared" ca="1" si="1909"/>
        <v>3047868.2230951958</v>
      </c>
      <c r="AZ1976" s="2">
        <f t="shared" ca="1" si="1910"/>
        <v>3228775.6753632925</v>
      </c>
      <c r="BA1976" s="2">
        <f t="shared" ca="1" si="1911"/>
        <v>58001547.901928559</v>
      </c>
      <c r="BB1976" s="2">
        <f t="shared" ca="1" si="1912"/>
        <v>1160030.9580385713</v>
      </c>
      <c r="BC1976" s="2">
        <f t="shared" ca="1" si="1913"/>
        <v>31594094.265431888</v>
      </c>
      <c r="BD1976" s="2">
        <f t="shared" ca="1" si="1914"/>
        <v>-18383591.063907821</v>
      </c>
      <c r="BE1976" s="2">
        <f t="shared" ca="1" si="1915"/>
        <v>2437466.8234123387</v>
      </c>
      <c r="BF1976" s="2">
        <f t="shared" ca="1" si="1916"/>
        <v>2705803.1615907918</v>
      </c>
      <c r="BG1976" s="2">
        <f t="shared" ca="1" si="1917"/>
        <v>2873625.9058923167</v>
      </c>
      <c r="BH1976" s="2">
        <f t="shared" ca="1" si="1918"/>
        <v>3047868.2230951958</v>
      </c>
      <c r="BI1976" s="2">
        <f t="shared" ca="1" si="1919"/>
        <v>34822869.940795183</v>
      </c>
      <c r="BJ1976" s="2">
        <f t="shared" ca="1" si="1920"/>
        <v>0.24027566153098334</v>
      </c>
      <c r="BK1976" s="2">
        <f t="shared" ca="1" si="1921"/>
        <v>9691565.4275263734</v>
      </c>
    </row>
    <row r="1977" spans="1:63" x14ac:dyDescent="0.3">
      <c r="A1977" s="2">
        <v>1976</v>
      </c>
      <c r="B1977" s="2">
        <f t="shared" ca="1" si="1860"/>
        <v>0.26141855378300616</v>
      </c>
      <c r="C1977" s="2">
        <f t="shared" ca="1" si="1861"/>
        <v>6.7230747593202329</v>
      </c>
      <c r="D1977" s="2">
        <f t="shared" ca="1" si="1862"/>
        <v>0.89856261762754441</v>
      </c>
      <c r="E1977" s="2">
        <f t="shared" ca="1" si="1863"/>
        <v>8.0495837872090839</v>
      </c>
      <c r="F1977" s="2">
        <f t="shared" ca="1" si="1864"/>
        <v>0.57539174980311902</v>
      </c>
      <c r="G1977" s="2">
        <f t="shared" ca="1" si="1865"/>
        <v>4.5703546315673436E-2</v>
      </c>
      <c r="H1977" s="2">
        <f t="shared" ca="1" si="1866"/>
        <v>4.5703546315673436E-2</v>
      </c>
      <c r="I1977" s="2">
        <f t="shared" ca="1" si="1867"/>
        <v>0.83457140195025381</v>
      </c>
      <c r="J1977" s="2">
        <f t="shared" ca="1" si="1868"/>
        <v>1.4861943653923172E-2</v>
      </c>
      <c r="K1977" s="2">
        <f t="shared" ca="1" si="1869"/>
        <v>1.4861943653923172E-2</v>
      </c>
      <c r="L1977" s="2">
        <f t="shared" ca="1" si="1870"/>
        <v>0.772847440398851</v>
      </c>
      <c r="M1977" s="2">
        <f t="shared" ca="1" si="1871"/>
        <v>1.4965141212468298E-2</v>
      </c>
      <c r="N1977" s="2">
        <f t="shared" ca="1" si="1872"/>
        <v>1.4965141212468298E-2</v>
      </c>
      <c r="O1977" s="2">
        <f t="shared" si="1873"/>
        <v>6000000</v>
      </c>
      <c r="P1977" s="2">
        <f t="shared" ca="1" si="1874"/>
        <v>40338448.555921398</v>
      </c>
      <c r="Q1977" s="2">
        <f t="shared" ca="1" si="1875"/>
        <v>1008461.213898035</v>
      </c>
      <c r="R1977" s="2">
        <f t="shared" ca="1" si="1876"/>
        <v>24203069.133552838</v>
      </c>
      <c r="S1977" s="2">
        <f t="shared" ca="1" si="1877"/>
        <v>16135379.42236856</v>
      </c>
      <c r="T1977" s="2">
        <f t="shared" ca="1" si="1878"/>
        <v>50748257.060623415</v>
      </c>
      <c r="U1977" s="2">
        <f t="shared" ca="1" si="1879"/>
        <v>53067632.377633318</v>
      </c>
      <c r="V1977" s="2">
        <f t="shared" ca="1" si="1880"/>
        <v>55493011.371867612</v>
      </c>
      <c r="W1977" s="2">
        <f t="shared" ca="1" si="1881"/>
        <v>58029238.787297957</v>
      </c>
      <c r="X1977" s="2">
        <f t="shared" ca="1" si="1882"/>
        <v>60681380.789876498</v>
      </c>
      <c r="Y1977" s="2">
        <f t="shared" ca="1" si="1883"/>
        <v>0.12743097182696159</v>
      </c>
      <c r="Z1977" s="2">
        <f t="shared" ca="1" si="1884"/>
        <v>0.13040336055774621</v>
      </c>
      <c r="AA1977" s="2">
        <f t="shared" ca="1" si="1885"/>
        <v>6466899.7157597067</v>
      </c>
      <c r="AB1977" s="2">
        <f t="shared" ca="1" si="1886"/>
        <v>6920197.5988864442</v>
      </c>
      <c r="AC1977" s="2">
        <f t="shared" ca="1" si="1887"/>
        <v>7236475.1703607626</v>
      </c>
      <c r="AD1977" s="2">
        <f t="shared" ca="1" si="1888"/>
        <v>7567207.7484715665</v>
      </c>
      <c r="AE1977" s="2">
        <f t="shared" ca="1" si="1889"/>
        <v>7913055.9782841597</v>
      </c>
      <c r="AF1977" s="2">
        <f t="shared" ca="1" si="1890"/>
        <v>1014965.1412124683</v>
      </c>
      <c r="AG1977" s="2">
        <f t="shared" ca="1" si="1891"/>
        <v>1061352.6475526665</v>
      </c>
      <c r="AH1977" s="2">
        <f t="shared" ca="1" si="1892"/>
        <v>1109860.2274373523</v>
      </c>
      <c r="AI1977" s="2">
        <f t="shared" ca="1" si="1893"/>
        <v>1160584.7757459593</v>
      </c>
      <c r="AJ1977" s="2">
        <f t="shared" ca="1" si="1894"/>
        <v>1213627.6157975299</v>
      </c>
      <c r="AK1977" s="2">
        <f t="shared" ca="1" si="1895"/>
        <v>0</v>
      </c>
      <c r="AL1977" s="2">
        <f t="shared" ca="1" si="1896"/>
        <v>23193.753170099037</v>
      </c>
      <c r="AM1977" s="2">
        <f t="shared" ca="1" si="1897"/>
        <v>24253.789942342937</v>
      </c>
      <c r="AN1977" s="2">
        <f t="shared" ca="1" si="1898"/>
        <v>25362.274154303446</v>
      </c>
      <c r="AO1977" s="2">
        <f t="shared" ca="1" si="1899"/>
        <v>26521.420025785417</v>
      </c>
      <c r="AP1977" s="2">
        <f t="shared" ca="1" si="1900"/>
        <v>2178276.2220197553</v>
      </c>
      <c r="AQ1977" s="2">
        <f t="shared" ca="1" si="1901"/>
        <v>851151.17165714572</v>
      </c>
      <c r="AR1977" s="2">
        <f t="shared" ca="1" si="1902"/>
        <v>956947.86962164589</v>
      </c>
      <c r="AS1977" s="2">
        <f t="shared" ca="1" si="1903"/>
        <v>1026568.0674349503</v>
      </c>
      <c r="AT1977" s="2">
        <f t="shared" ca="1" si="1904"/>
        <v>1099370.1551835216</v>
      </c>
      <c r="AU1977" s="2">
        <f t="shared" ca="1" si="1905"/>
        <v>1175499.5565213873</v>
      </c>
      <c r="AV1977" s="2">
        <f t="shared" ca="1" si="1906"/>
        <v>2422507.1808703374</v>
      </c>
      <c r="AW1977" s="2">
        <f t="shared" ca="1" si="1907"/>
        <v>2700427.1065222779</v>
      </c>
      <c r="AX1977" s="2">
        <f t="shared" ca="1" si="1908"/>
        <v>2897516.863526362</v>
      </c>
      <c r="AY1977" s="2">
        <f t="shared" ca="1" si="1909"/>
        <v>3103614.3213680265</v>
      </c>
      <c r="AZ1977" s="2">
        <f t="shared" ca="1" si="1910"/>
        <v>3319131.1639197012</v>
      </c>
      <c r="BA1977" s="2">
        <f t="shared" ca="1" si="1911"/>
        <v>63696807.110074088</v>
      </c>
      <c r="BB1977" s="2">
        <f t="shared" ca="1" si="1912"/>
        <v>1273936.1422014819</v>
      </c>
      <c r="BC1977" s="2">
        <f t="shared" ca="1" si="1913"/>
        <v>38219801.83431977</v>
      </c>
      <c r="BD1977" s="2">
        <f t="shared" ca="1" si="1914"/>
        <v>-17643840.636266597</v>
      </c>
      <c r="BE1977" s="2">
        <f t="shared" ca="1" si="1915"/>
        <v>2422507.1808703374</v>
      </c>
      <c r="BF1977" s="2">
        <f t="shared" ca="1" si="1916"/>
        <v>2700427.1065222779</v>
      </c>
      <c r="BG1977" s="2">
        <f t="shared" ca="1" si="1917"/>
        <v>2897516.863526362</v>
      </c>
      <c r="BH1977" s="2">
        <f t="shared" ca="1" si="1918"/>
        <v>3103614.3213680265</v>
      </c>
      <c r="BI1977" s="2">
        <f t="shared" ca="1" si="1919"/>
        <v>41538932.998239473</v>
      </c>
      <c r="BJ1977" s="2">
        <f t="shared" ca="1" si="1920"/>
        <v>0.28919977655779561</v>
      </c>
      <c r="BK1977" s="2">
        <f t="shared" ca="1" si="1921"/>
        <v>14276980.581775017</v>
      </c>
    </row>
    <row r="1978" spans="1:63" x14ac:dyDescent="0.3">
      <c r="A1978" s="2">
        <v>1977</v>
      </c>
      <c r="B1978" s="2">
        <f t="shared" ca="1" si="1860"/>
        <v>0.50141334231348067</v>
      </c>
      <c r="C1978" s="2">
        <f t="shared" ca="1" si="1861"/>
        <v>7.0014143424958286</v>
      </c>
      <c r="D1978" s="2">
        <f t="shared" ca="1" si="1862"/>
        <v>0.2389371725995213</v>
      </c>
      <c r="E1978" s="2">
        <f t="shared" ca="1" si="1863"/>
        <v>7.1912845616669321</v>
      </c>
      <c r="F1978" s="2">
        <f t="shared" ca="1" si="1864"/>
        <v>0.16073929413760946</v>
      </c>
      <c r="G1978" s="2">
        <f t="shared" ca="1" si="1865"/>
        <v>1.0257280144761297E-2</v>
      </c>
      <c r="H1978" s="2">
        <f t="shared" ca="1" si="1866"/>
        <v>1.0257280144761297E-2</v>
      </c>
      <c r="I1978" s="2">
        <f t="shared" ca="1" si="1867"/>
        <v>0.83293298246479319</v>
      </c>
      <c r="J1978" s="2">
        <f t="shared" ca="1" si="1868"/>
        <v>1.4829102236143595E-2</v>
      </c>
      <c r="K1978" s="2">
        <f t="shared" ca="1" si="1869"/>
        <v>1.4829102236143595E-2</v>
      </c>
      <c r="L1978" s="2">
        <f t="shared" ca="1" si="1870"/>
        <v>7.7518328885613275E-2</v>
      </c>
      <c r="M1978" s="2">
        <f t="shared" ca="1" si="1871"/>
        <v>-2.8439283052692277E-2</v>
      </c>
      <c r="N1978" s="2">
        <f t="shared" ca="1" si="1872"/>
        <v>-2.8439283052692277E-2</v>
      </c>
      <c r="O1978" s="2">
        <f t="shared" si="1873"/>
        <v>6000000</v>
      </c>
      <c r="P1978" s="2">
        <f t="shared" ca="1" si="1874"/>
        <v>42008486.054974973</v>
      </c>
      <c r="Q1978" s="2">
        <f t="shared" ca="1" si="1875"/>
        <v>1050212.1513743743</v>
      </c>
      <c r="R1978" s="2">
        <f t="shared" ca="1" si="1876"/>
        <v>25205091.632984985</v>
      </c>
      <c r="S1978" s="2">
        <f t="shared" ca="1" si="1877"/>
        <v>16803394.421989989</v>
      </c>
      <c r="T1978" s="2">
        <f t="shared" ca="1" si="1878"/>
        <v>48578035.847365387</v>
      </c>
      <c r="U1978" s="2">
        <f t="shared" ca="1" si="1879"/>
        <v>49076314.369934075</v>
      </c>
      <c r="V1978" s="2">
        <f t="shared" ca="1" si="1880"/>
        <v>49579703.874898866</v>
      </c>
      <c r="W1978" s="2">
        <f t="shared" ca="1" si="1881"/>
        <v>50088256.787038013</v>
      </c>
      <c r="X1978" s="2">
        <f t="shared" ca="1" si="1882"/>
        <v>50602026.068865404</v>
      </c>
      <c r="Y1978" s="2">
        <f t="shared" ca="1" si="1883"/>
        <v>0.12741455111807179</v>
      </c>
      <c r="Z1978" s="2">
        <f t="shared" ca="1" si="1884"/>
        <v>0.13038037156530052</v>
      </c>
      <c r="AA1978" s="2">
        <f t="shared" ca="1" si="1885"/>
        <v>6189548.6316896612</v>
      </c>
      <c r="AB1978" s="2">
        <f t="shared" ca="1" si="1886"/>
        <v>6398588.1026075017</v>
      </c>
      <c r="AC1978" s="2">
        <f t="shared" ca="1" si="1887"/>
        <v>6464220.2133068843</v>
      </c>
      <c r="AD1978" s="2">
        <f t="shared" ca="1" si="1888"/>
        <v>6530525.5309522022</v>
      </c>
      <c r="AE1978" s="2">
        <f t="shared" ca="1" si="1889"/>
        <v>6597510.9608156951</v>
      </c>
      <c r="AF1978" s="2">
        <f t="shared" ca="1" si="1890"/>
        <v>971560.71694730781</v>
      </c>
      <c r="AG1978" s="2">
        <f t="shared" ca="1" si="1891"/>
        <v>981526.28739868151</v>
      </c>
      <c r="AH1978" s="2">
        <f t="shared" ca="1" si="1892"/>
        <v>991594.0774979773</v>
      </c>
      <c r="AI1978" s="2">
        <f t="shared" ca="1" si="1893"/>
        <v>1001765.1357407602</v>
      </c>
      <c r="AJ1978" s="2">
        <f t="shared" ca="1" si="1894"/>
        <v>1012040.5213773081</v>
      </c>
      <c r="AK1978" s="2">
        <f t="shared" ca="1" si="1895"/>
        <v>0</v>
      </c>
      <c r="AL1978" s="2">
        <f t="shared" ca="1" si="1896"/>
        <v>4982.7852256868782</v>
      </c>
      <c r="AM1978" s="2">
        <f t="shared" ca="1" si="1897"/>
        <v>5033.8950496479129</v>
      </c>
      <c r="AN1978" s="2">
        <f t="shared" ca="1" si="1898"/>
        <v>5085.5291213914752</v>
      </c>
      <c r="AO1978" s="2">
        <f t="shared" ca="1" si="1899"/>
        <v>5137.692818273902</v>
      </c>
      <c r="AP1978" s="2">
        <f t="shared" ca="1" si="1900"/>
        <v>2268458.2469686484</v>
      </c>
      <c r="AQ1978" s="2">
        <f t="shared" ca="1" si="1901"/>
        <v>766877.71362116328</v>
      </c>
      <c r="AR1978" s="2">
        <f t="shared" ca="1" si="1902"/>
        <v>818636.92774244479</v>
      </c>
      <c r="AS1978" s="2">
        <f t="shared" ca="1" si="1903"/>
        <v>833083.65109846741</v>
      </c>
      <c r="AT1978" s="2">
        <f t="shared" ca="1" si="1904"/>
        <v>847678.55854312622</v>
      </c>
      <c r="AU1978" s="2">
        <f t="shared" ca="1" si="1905"/>
        <v>862423.17004213203</v>
      </c>
      <c r="AV1978" s="2">
        <f t="shared" ca="1" si="1906"/>
        <v>2182651.9541525422</v>
      </c>
      <c r="AW1978" s="2">
        <f t="shared" ca="1" si="1907"/>
        <v>2324983.8552720407</v>
      </c>
      <c r="AX1978" s="2">
        <f t="shared" ca="1" si="1908"/>
        <v>2366050.3426921433</v>
      </c>
      <c r="AY1978" s="2">
        <f t="shared" ca="1" si="1909"/>
        <v>2407538.0605782755</v>
      </c>
      <c r="AZ1978" s="2">
        <f t="shared" ca="1" si="1910"/>
        <v>2449451.3296093326</v>
      </c>
      <c r="BA1978" s="2">
        <f t="shared" ca="1" si="1911"/>
        <v>47444578.717942275</v>
      </c>
      <c r="BB1978" s="2">
        <f t="shared" ca="1" si="1912"/>
        <v>948891.57435884548</v>
      </c>
      <c r="BC1978" s="2">
        <f t="shared" ca="1" si="1913"/>
        <v>21290595.510598443</v>
      </c>
      <c r="BD1978" s="2">
        <f t="shared" ca="1" si="1914"/>
        <v>-18353606.573364362</v>
      </c>
      <c r="BE1978" s="2">
        <f t="shared" ca="1" si="1915"/>
        <v>2182651.9541525422</v>
      </c>
      <c r="BF1978" s="2">
        <f t="shared" ca="1" si="1916"/>
        <v>2324983.8552720407</v>
      </c>
      <c r="BG1978" s="2">
        <f t="shared" ca="1" si="1917"/>
        <v>2366050.3426921433</v>
      </c>
      <c r="BH1978" s="2">
        <f t="shared" ca="1" si="1918"/>
        <v>2407538.0605782755</v>
      </c>
      <c r="BI1978" s="2">
        <f t="shared" ca="1" si="1919"/>
        <v>23740046.840207778</v>
      </c>
      <c r="BJ1978" s="2">
        <f t="shared" ca="1" si="1920"/>
        <v>0.15058052351463602</v>
      </c>
      <c r="BK1978" s="2">
        <f t="shared" ca="1" si="1921"/>
        <v>2133534.7034566589</v>
      </c>
    </row>
    <row r="1979" spans="1:63" x14ac:dyDescent="0.3">
      <c r="A1979" s="2">
        <v>1978</v>
      </c>
      <c r="B1979" s="2">
        <f t="shared" ca="1" si="1860"/>
        <v>0.43360036977063321</v>
      </c>
      <c r="C1979" s="2">
        <f t="shared" ca="1" si="1861"/>
        <v>6.9312361352209582</v>
      </c>
      <c r="D1979" s="2">
        <f t="shared" ca="1" si="1862"/>
        <v>0.13578125511752059</v>
      </c>
      <c r="E1979" s="2">
        <f t="shared" ca="1" si="1863"/>
        <v>7.0211165994621947</v>
      </c>
      <c r="F1979" s="2">
        <f t="shared" ca="1" si="1864"/>
        <v>0.37548657680379138</v>
      </c>
      <c r="G1979" s="2">
        <f t="shared" ca="1" si="1865"/>
        <v>3.0479306707186442E-2</v>
      </c>
      <c r="H1979" s="2">
        <f t="shared" ca="1" si="1866"/>
        <v>3.0479306707186442E-2</v>
      </c>
      <c r="I1979" s="2">
        <f t="shared" ca="1" si="1867"/>
        <v>0.75975664930714559</v>
      </c>
      <c r="J1979" s="2">
        <f t="shared" ca="1" si="1868"/>
        <v>1.3527599908964913E-2</v>
      </c>
      <c r="K1979" s="2">
        <f t="shared" ca="1" si="1869"/>
        <v>1.3527599908964913E-2</v>
      </c>
      <c r="L1979" s="2">
        <f t="shared" ca="1" si="1870"/>
        <v>0.70416133752195464</v>
      </c>
      <c r="M1979" s="2">
        <f t="shared" ca="1" si="1871"/>
        <v>1.0728139121489826E-2</v>
      </c>
      <c r="N1979" s="2">
        <f t="shared" ca="1" si="1872"/>
        <v>1.0728139121489826E-2</v>
      </c>
      <c r="O1979" s="2">
        <f t="shared" si="1873"/>
        <v>6000000</v>
      </c>
      <c r="P1979" s="2">
        <f t="shared" ca="1" si="1874"/>
        <v>41587416.811325751</v>
      </c>
      <c r="Q1979" s="2">
        <f t="shared" ca="1" si="1875"/>
        <v>1039685.4202831439</v>
      </c>
      <c r="R1979" s="2">
        <f t="shared" ca="1" si="1876"/>
        <v>24952450.086795449</v>
      </c>
      <c r="S1979" s="2">
        <f t="shared" ca="1" si="1877"/>
        <v>16634966.724530302</v>
      </c>
      <c r="T1979" s="2">
        <f t="shared" ca="1" si="1878"/>
        <v>50536406.956074484</v>
      </c>
      <c r="U1979" s="2">
        <f t="shared" ca="1" si="1879"/>
        <v>52076721.603567868</v>
      </c>
      <c r="V1979" s="2">
        <f t="shared" ca="1" si="1880"/>
        <v>53663983.973627776</v>
      </c>
      <c r="W1979" s="2">
        <f t="shared" ca="1" si="1881"/>
        <v>55299625.000289515</v>
      </c>
      <c r="X1979" s="2">
        <f t="shared" ca="1" si="1882"/>
        <v>56985119.231465735</v>
      </c>
      <c r="Y1979" s="2">
        <f t="shared" ca="1" si="1883"/>
        <v>0.12676379995448245</v>
      </c>
      <c r="Z1979" s="2">
        <f t="shared" ca="1" si="1884"/>
        <v>0.12946931993627545</v>
      </c>
      <c r="AA1979" s="2">
        <f t="shared" ca="1" si="1885"/>
        <v>6406186.9817981413</v>
      </c>
      <c r="AB1979" s="2">
        <f t="shared" ca="1" si="1886"/>
        <v>6742337.7305246759</v>
      </c>
      <c r="AC1979" s="2">
        <f t="shared" ca="1" si="1887"/>
        <v>6947839.5101367729</v>
      </c>
      <c r="AD1979" s="2">
        <f t="shared" ca="1" si="1888"/>
        <v>7159604.841518539</v>
      </c>
      <c r="AE1979" s="2">
        <f t="shared" ca="1" si="1889"/>
        <v>7377824.6333854403</v>
      </c>
      <c r="AF1979" s="2">
        <f t="shared" ca="1" si="1890"/>
        <v>1010728.1391214897</v>
      </c>
      <c r="AG1979" s="2">
        <f t="shared" ca="1" si="1891"/>
        <v>1041534.4320713574</v>
      </c>
      <c r="AH1979" s="2">
        <f t="shared" ca="1" si="1892"/>
        <v>1073279.6794725556</v>
      </c>
      <c r="AI1979" s="2">
        <f t="shared" ca="1" si="1893"/>
        <v>1105992.5000057903</v>
      </c>
      <c r="AJ1979" s="2">
        <f t="shared" ca="1" si="1894"/>
        <v>1139702.3846293148</v>
      </c>
      <c r="AK1979" s="2">
        <f t="shared" ca="1" si="1895"/>
        <v>0</v>
      </c>
      <c r="AL1979" s="2">
        <f t="shared" ca="1" si="1896"/>
        <v>15403.146474933848</v>
      </c>
      <c r="AM1979" s="2">
        <f t="shared" ca="1" si="1897"/>
        <v>15872.623700599075</v>
      </c>
      <c r="AN1979" s="2">
        <f t="shared" ca="1" si="1898"/>
        <v>16356.410266617388</v>
      </c>
      <c r="AO1979" s="2">
        <f t="shared" ca="1" si="1899"/>
        <v>16854.942311762199</v>
      </c>
      <c r="AP1979" s="2">
        <f t="shared" ca="1" si="1900"/>
        <v>2245720.5078115906</v>
      </c>
      <c r="AQ1979" s="2">
        <f t="shared" ca="1" si="1901"/>
        <v>818931.96706491592</v>
      </c>
      <c r="AR1979" s="2">
        <f t="shared" ca="1" si="1902"/>
        <v>898321.52556684939</v>
      </c>
      <c r="AS1979" s="2">
        <f t="shared" ca="1" si="1903"/>
        <v>943498.22394168307</v>
      </c>
      <c r="AT1979" s="2">
        <f t="shared" ca="1" si="1904"/>
        <v>990051.8767623012</v>
      </c>
      <c r="AU1979" s="2">
        <f t="shared" ca="1" si="1905"/>
        <v>1038024.4526455791</v>
      </c>
      <c r="AV1979" s="2">
        <f t="shared" ca="1" si="1906"/>
        <v>2330806.3678001449</v>
      </c>
      <c r="AW1979" s="2">
        <f t="shared" ca="1" si="1907"/>
        <v>2541358.1185999443</v>
      </c>
      <c r="AX1979" s="2">
        <f t="shared" ca="1" si="1908"/>
        <v>2669468.4752103449</v>
      </c>
      <c r="AY1979" s="2">
        <f t="shared" ca="1" si="1909"/>
        <v>2801483.5466722404</v>
      </c>
      <c r="AZ1979" s="2">
        <f t="shared" ca="1" si="1910"/>
        <v>2937522.3459871938</v>
      </c>
      <c r="BA1979" s="2">
        <f t="shared" ca="1" si="1911"/>
        <v>51800567.001383595</v>
      </c>
      <c r="BB1979" s="2">
        <f t="shared" ca="1" si="1912"/>
        <v>1036011.3400276719</v>
      </c>
      <c r="BC1979" s="2">
        <f t="shared" ca="1" si="1913"/>
        <v>25812105.574560475</v>
      </c>
      <c r="BD1979" s="2">
        <f t="shared" ca="1" si="1914"/>
        <v>-18174652.144813444</v>
      </c>
      <c r="BE1979" s="2">
        <f t="shared" ca="1" si="1915"/>
        <v>2330806.3678001449</v>
      </c>
      <c r="BF1979" s="2">
        <f t="shared" ca="1" si="1916"/>
        <v>2541358.1185999443</v>
      </c>
      <c r="BG1979" s="2">
        <f t="shared" ca="1" si="1917"/>
        <v>2669468.4752103449</v>
      </c>
      <c r="BH1979" s="2">
        <f t="shared" ca="1" si="1918"/>
        <v>2801483.5466722404</v>
      </c>
      <c r="BI1979" s="2">
        <f t="shared" ca="1" si="1919"/>
        <v>28749627.920547668</v>
      </c>
      <c r="BJ1979" s="2">
        <f t="shared" ca="1" si="1920"/>
        <v>0.19970878526186464</v>
      </c>
      <c r="BK1979" s="2">
        <f t="shared" ca="1" si="1921"/>
        <v>5926159.4492214918</v>
      </c>
    </row>
    <row r="1980" spans="1:63" x14ac:dyDescent="0.3">
      <c r="A1980" s="2">
        <v>1979</v>
      </c>
      <c r="B1980" s="2">
        <f t="shared" ca="1" si="1860"/>
        <v>0.89585928078047083</v>
      </c>
      <c r="C1980" s="2">
        <f t="shared" ca="1" si="1861"/>
        <v>7.5436213869613757</v>
      </c>
      <c r="D1980" s="2">
        <f t="shared" ca="1" si="1862"/>
        <v>0.30727875375553737</v>
      </c>
      <c r="E1980" s="2">
        <f t="shared" ca="1" si="1863"/>
        <v>7.2839371833961408</v>
      </c>
      <c r="F1980" s="2">
        <f t="shared" ca="1" si="1864"/>
        <v>0.445416082581644</v>
      </c>
      <c r="G1980" s="2">
        <f t="shared" ca="1" si="1865"/>
        <v>3.5882461081652044E-2</v>
      </c>
      <c r="H1980" s="2">
        <f t="shared" ca="1" si="1866"/>
        <v>3.5882461081652044E-2</v>
      </c>
      <c r="I1980" s="2">
        <f t="shared" ca="1" si="1867"/>
        <v>0.52697980127340183</v>
      </c>
      <c r="J1980" s="2">
        <f t="shared" ca="1" si="1868"/>
        <v>1.0338399830630344E-2</v>
      </c>
      <c r="K1980" s="2">
        <f t="shared" ca="1" si="1869"/>
        <v>1.0338399830630344E-2</v>
      </c>
      <c r="L1980" s="2">
        <f t="shared" ca="1" si="1870"/>
        <v>0.65892101097866185</v>
      </c>
      <c r="M1980" s="2">
        <f t="shared" ca="1" si="1871"/>
        <v>8.1904031220699433E-3</v>
      </c>
      <c r="N1980" s="2">
        <f t="shared" ca="1" si="1872"/>
        <v>8.1904031220699433E-3</v>
      </c>
      <c r="O1980" s="2">
        <f t="shared" si="1873"/>
        <v>6000000</v>
      </c>
      <c r="P1980" s="2">
        <f t="shared" ca="1" si="1874"/>
        <v>45261728.321768254</v>
      </c>
      <c r="Q1980" s="2">
        <f t="shared" ca="1" si="1875"/>
        <v>1131543.2080442065</v>
      </c>
      <c r="R1980" s="2">
        <f t="shared" ca="1" si="1876"/>
        <v>27157036.99306095</v>
      </c>
      <c r="S1980" s="2">
        <f t="shared" ca="1" si="1877"/>
        <v>18104691.328707304</v>
      </c>
      <c r="T1980" s="2">
        <f t="shared" ca="1" si="1878"/>
        <v>50409520.156103492</v>
      </c>
      <c r="U1980" s="2">
        <f t="shared" ca="1" si="1879"/>
        <v>52218337.801249623</v>
      </c>
      <c r="V1980" s="2">
        <f t="shared" ca="1" si="1880"/>
        <v>54092060.275151514</v>
      </c>
      <c r="W1980" s="2">
        <f t="shared" ca="1" si="1881"/>
        <v>56033016.522801012</v>
      </c>
      <c r="X1980" s="2">
        <f t="shared" ca="1" si="1882"/>
        <v>58043619.057467982</v>
      </c>
      <c r="Y1980" s="2">
        <f t="shared" ca="1" si="1883"/>
        <v>0.12516919991531517</v>
      </c>
      <c r="Z1980" s="2">
        <f t="shared" ca="1" si="1884"/>
        <v>0.12723687988144122</v>
      </c>
      <c r="AA1980" s="2">
        <f t="shared" ca="1" si="1885"/>
        <v>6309719.3060544273</v>
      </c>
      <c r="AB1980" s="2">
        <f t="shared" ca="1" si="1886"/>
        <v>6644098.37442612</v>
      </c>
      <c r="AC1980" s="2">
        <f t="shared" ca="1" si="1887"/>
        <v>6882504.9757691314</v>
      </c>
      <c r="AD1980" s="2">
        <f t="shared" ca="1" si="1888"/>
        <v>7129466.1927064434</v>
      </c>
      <c r="AE1980" s="2">
        <f t="shared" ca="1" si="1889"/>
        <v>7385288.9858991867</v>
      </c>
      <c r="AF1980" s="2">
        <f t="shared" ca="1" si="1890"/>
        <v>1008190.4031220699</v>
      </c>
      <c r="AG1980" s="2">
        <f t="shared" ca="1" si="1891"/>
        <v>1044366.7560249924</v>
      </c>
      <c r="AH1980" s="2">
        <f t="shared" ca="1" si="1892"/>
        <v>1081841.2055030302</v>
      </c>
      <c r="AI1980" s="2">
        <f t="shared" ca="1" si="1893"/>
        <v>1120660.3304560203</v>
      </c>
      <c r="AJ1980" s="2">
        <f t="shared" ca="1" si="1894"/>
        <v>1160872.3811493597</v>
      </c>
      <c r="AK1980" s="2">
        <f t="shared" ca="1" si="1895"/>
        <v>0</v>
      </c>
      <c r="AL1980" s="2">
        <f t="shared" ca="1" si="1896"/>
        <v>18088.176451461317</v>
      </c>
      <c r="AM1980" s="2">
        <f t="shared" ca="1" si="1897"/>
        <v>18737.224739018904</v>
      </c>
      <c r="AN1980" s="2">
        <f t="shared" ca="1" si="1898"/>
        <v>19409.562476494983</v>
      </c>
      <c r="AO1980" s="2">
        <f t="shared" ca="1" si="1899"/>
        <v>20106.025346669703</v>
      </c>
      <c r="AP1980" s="2">
        <f t="shared" ca="1" si="1900"/>
        <v>2444133.3293754854</v>
      </c>
      <c r="AQ1980" s="2">
        <f t="shared" ca="1" si="1901"/>
        <v>742922.84912478668</v>
      </c>
      <c r="AR1980" s="2">
        <f t="shared" ca="1" si="1902"/>
        <v>820455.55514666706</v>
      </c>
      <c r="AS1980" s="2">
        <f t="shared" ca="1" si="1903"/>
        <v>872697.91463155998</v>
      </c>
      <c r="AT1980" s="2">
        <f t="shared" ca="1" si="1904"/>
        <v>926814.8585474838</v>
      </c>
      <c r="AU1980" s="2">
        <f t="shared" ca="1" si="1905"/>
        <v>982873.65159732872</v>
      </c>
      <c r="AV1980" s="2">
        <f t="shared" ca="1" si="1906"/>
        <v>2114472.7244320852</v>
      </c>
      <c r="AW1980" s="2">
        <f t="shared" ca="1" si="1907"/>
        <v>2317054.5574275139</v>
      </c>
      <c r="AX1980" s="2">
        <f t="shared" ca="1" si="1908"/>
        <v>2465095.3015200361</v>
      </c>
      <c r="AY1980" s="2">
        <f t="shared" ca="1" si="1909"/>
        <v>2618448.1118509588</v>
      </c>
      <c r="AZ1980" s="2">
        <f t="shared" ca="1" si="1910"/>
        <v>2777303.5984303434</v>
      </c>
      <c r="BA1980" s="2">
        <f t="shared" ca="1" si="1911"/>
        <v>53793981.054517061</v>
      </c>
      <c r="BB1980" s="2">
        <f t="shared" ca="1" si="1912"/>
        <v>1075879.6210903411</v>
      </c>
      <c r="BC1980" s="2">
        <f t="shared" ca="1" si="1913"/>
        <v>25561064.440365769</v>
      </c>
      <c r="BD1980" s="2">
        <f t="shared" ca="1" si="1914"/>
        <v>-19736234.536751509</v>
      </c>
      <c r="BE1980" s="2">
        <f t="shared" ca="1" si="1915"/>
        <v>2114472.7244320852</v>
      </c>
      <c r="BF1980" s="2">
        <f t="shared" ca="1" si="1916"/>
        <v>2317054.5574275139</v>
      </c>
      <c r="BG1980" s="2">
        <f t="shared" ca="1" si="1917"/>
        <v>2465095.3015200361</v>
      </c>
      <c r="BH1980" s="2">
        <f t="shared" ca="1" si="1918"/>
        <v>2618448.1118509588</v>
      </c>
      <c r="BI1980" s="2">
        <f t="shared" ca="1" si="1919"/>
        <v>28338368.038796112</v>
      </c>
      <c r="BJ1980" s="2">
        <f t="shared" ca="1" si="1920"/>
        <v>0.1645962186263672</v>
      </c>
      <c r="BK1980" s="2">
        <f t="shared" ca="1" si="1921"/>
        <v>3497457.5752635933</v>
      </c>
    </row>
    <row r="1981" spans="1:63" x14ac:dyDescent="0.3">
      <c r="A1981" s="2">
        <v>1980</v>
      </c>
      <c r="B1981" s="2">
        <f t="shared" ca="1" si="1860"/>
        <v>0.20613761629890714</v>
      </c>
      <c r="C1981" s="2">
        <f t="shared" ca="1" si="1861"/>
        <v>6.6420866239050724</v>
      </c>
      <c r="D1981" s="2">
        <f t="shared" ca="1" si="1862"/>
        <v>0.15401841857056497</v>
      </c>
      <c r="E1981" s="2">
        <f t="shared" ca="1" si="1863"/>
        <v>7.0550106639886572</v>
      </c>
      <c r="F1981" s="2">
        <f t="shared" ca="1" si="1864"/>
        <v>0.84896107935815868</v>
      </c>
      <c r="G1981" s="2">
        <f t="shared" ca="1" si="1865"/>
        <v>7.0959633454022286E-2</v>
      </c>
      <c r="H1981" s="2">
        <f t="shared" ca="1" si="1866"/>
        <v>7.0959633454022286E-2</v>
      </c>
      <c r="I1981" s="2">
        <f t="shared" ca="1" si="1867"/>
        <v>8.0284294325877026E-2</v>
      </c>
      <c r="J1981" s="2">
        <f t="shared" ca="1" si="1868"/>
        <v>2.9841908784234194E-3</v>
      </c>
      <c r="K1981" s="2">
        <f t="shared" ca="1" si="1869"/>
        <v>2.9841908784234194E-3</v>
      </c>
      <c r="L1981" s="2">
        <f t="shared" ca="1" si="1870"/>
        <v>0.18668882110925678</v>
      </c>
      <c r="M1981" s="2">
        <f t="shared" ca="1" si="1871"/>
        <v>-1.7803287066609958E-2</v>
      </c>
      <c r="N1981" s="2">
        <f t="shared" ca="1" si="1872"/>
        <v>-1.7803287066609958E-2</v>
      </c>
      <c r="O1981" s="2">
        <f t="shared" si="1873"/>
        <v>6000000</v>
      </c>
      <c r="P1981" s="2">
        <f t="shared" ca="1" si="1874"/>
        <v>39852519.743430436</v>
      </c>
      <c r="Q1981" s="2">
        <f t="shared" ca="1" si="1875"/>
        <v>996312.99358576094</v>
      </c>
      <c r="R1981" s="2">
        <f t="shared" ca="1" si="1876"/>
        <v>23911511.846058261</v>
      </c>
      <c r="S1981" s="2">
        <f t="shared" ca="1" si="1877"/>
        <v>15941007.897372175</v>
      </c>
      <c r="T1981" s="2">
        <f t="shared" ca="1" si="1878"/>
        <v>49109835.6466695</v>
      </c>
      <c r="U1981" s="2">
        <f t="shared" ca="1" si="1879"/>
        <v>52594651.583144449</v>
      </c>
      <c r="V1981" s="2">
        <f t="shared" ca="1" si="1880"/>
        <v>56326748.781126395</v>
      </c>
      <c r="W1981" s="2">
        <f t="shared" ca="1" si="1881"/>
        <v>60323674.228291921</v>
      </c>
      <c r="X1981" s="2">
        <f t="shared" ca="1" si="1882"/>
        <v>64604220.040131368</v>
      </c>
      <c r="Y1981" s="2">
        <f t="shared" ca="1" si="1883"/>
        <v>0.1214920954392117</v>
      </c>
      <c r="Z1981" s="2">
        <f t="shared" ca="1" si="1884"/>
        <v>0.12208893361489639</v>
      </c>
      <c r="AA1981" s="2">
        <f t="shared" ca="1" si="1885"/>
        <v>5966456.8393891715</v>
      </c>
      <c r="AB1981" s="2">
        <f t="shared" ca="1" si="1886"/>
        <v>6421224.9256331278</v>
      </c>
      <c r="AC1981" s="2">
        <f t="shared" ca="1" si="1887"/>
        <v>6876872.6926818872</v>
      </c>
      <c r="AD1981" s="2">
        <f t="shared" ca="1" si="1888"/>
        <v>7364853.0582645684</v>
      </c>
      <c r="AE1981" s="2">
        <f t="shared" ca="1" si="1889"/>
        <v>7887460.3317217575</v>
      </c>
      <c r="AF1981" s="2">
        <f t="shared" ca="1" si="1890"/>
        <v>982196.71293339005</v>
      </c>
      <c r="AG1981" s="2">
        <f t="shared" ca="1" si="1891"/>
        <v>1051893.0316628891</v>
      </c>
      <c r="AH1981" s="2">
        <f t="shared" ca="1" si="1892"/>
        <v>1126534.975622528</v>
      </c>
      <c r="AI1981" s="2">
        <f t="shared" ca="1" si="1893"/>
        <v>1206473.4845658385</v>
      </c>
      <c r="AJ1981" s="2">
        <f t="shared" ca="1" si="1894"/>
        <v>1292084.4008026274</v>
      </c>
      <c r="AK1981" s="2">
        <f t="shared" ca="1" si="1895"/>
        <v>0</v>
      </c>
      <c r="AL1981" s="2">
        <f t="shared" ca="1" si="1896"/>
        <v>34848.159364749488</v>
      </c>
      <c r="AM1981" s="2">
        <f t="shared" ca="1" si="1897"/>
        <v>37320.971979819464</v>
      </c>
      <c r="AN1981" s="2">
        <f t="shared" ca="1" si="1898"/>
        <v>39969.254471655266</v>
      </c>
      <c r="AO1981" s="2">
        <f t="shared" ca="1" si="1899"/>
        <v>42805.458118394468</v>
      </c>
      <c r="AP1981" s="2">
        <f t="shared" ca="1" si="1900"/>
        <v>2152036.0661452436</v>
      </c>
      <c r="AQ1981" s="2">
        <f t="shared" ca="1" si="1901"/>
        <v>736378.25568073976</v>
      </c>
      <c r="AR1981" s="2">
        <f t="shared" ca="1" si="1902"/>
        <v>836496.9152344988</v>
      </c>
      <c r="AS1981" s="2">
        <f t="shared" ca="1" si="1903"/>
        <v>935558.42923767003</v>
      </c>
      <c r="AT1981" s="2">
        <f t="shared" ca="1" si="1904"/>
        <v>1041649.3119639065</v>
      </c>
      <c r="AU1981" s="2">
        <f t="shared" ca="1" si="1905"/>
        <v>1155268.3648412104</v>
      </c>
      <c r="AV1981" s="2">
        <f t="shared" ca="1" si="1906"/>
        <v>2095845.8046297976</v>
      </c>
      <c r="AW1981" s="2">
        <f t="shared" ca="1" si="1907"/>
        <v>2345950.753225747</v>
      </c>
      <c r="AX1981" s="2">
        <f t="shared" ca="1" si="1908"/>
        <v>2625422.2496966259</v>
      </c>
      <c r="AY1981" s="2">
        <f t="shared" ca="1" si="1909"/>
        <v>2924724.9411179251</v>
      </c>
      <c r="AZ1981" s="2">
        <f t="shared" ca="1" si="1910"/>
        <v>3245266.0418142821</v>
      </c>
      <c r="BA1981" s="2">
        <f t="shared" ca="1" si="1911"/>
        <v>55646116.752084509</v>
      </c>
      <c r="BB1981" s="2">
        <f t="shared" ca="1" si="1912"/>
        <v>1112922.3350416902</v>
      </c>
      <c r="BC1981" s="2">
        <f t="shared" ca="1" si="1913"/>
        <v>30621682.570984557</v>
      </c>
      <c r="BD1981" s="2">
        <f t="shared" ca="1" si="1914"/>
        <v>-17437320.890957937</v>
      </c>
      <c r="BE1981" s="2">
        <f t="shared" ca="1" si="1915"/>
        <v>2095845.8046297976</v>
      </c>
      <c r="BF1981" s="2">
        <f t="shared" ca="1" si="1916"/>
        <v>2345950.753225747</v>
      </c>
      <c r="BG1981" s="2">
        <f t="shared" ca="1" si="1917"/>
        <v>2625422.2496966259</v>
      </c>
      <c r="BH1981" s="2">
        <f t="shared" ca="1" si="1918"/>
        <v>2924724.9411179251</v>
      </c>
      <c r="BI1981" s="2">
        <f t="shared" ca="1" si="1919"/>
        <v>33866948.61279884</v>
      </c>
      <c r="BJ1981" s="2">
        <f t="shared" ca="1" si="1920"/>
        <v>0.23904860327382949</v>
      </c>
      <c r="BK1981" s="2">
        <f t="shared" ca="1" si="1921"/>
        <v>9248603.0216303952</v>
      </c>
    </row>
    <row r="1982" spans="1:63" x14ac:dyDescent="0.3">
      <c r="A1982" s="2">
        <v>1981</v>
      </c>
      <c r="B1982" s="2">
        <f t="shared" ca="1" si="1860"/>
        <v>0.81093856540155851</v>
      </c>
      <c r="C1982" s="2">
        <f t="shared" ca="1" si="1861"/>
        <v>7.3850830387793138</v>
      </c>
      <c r="D1982" s="2">
        <f t="shared" ca="1" si="1862"/>
        <v>0.8870188145359299</v>
      </c>
      <c r="E1982" s="2">
        <f t="shared" ca="1" si="1863"/>
        <v>8.0246450053611085</v>
      </c>
      <c r="F1982" s="2">
        <f t="shared" ca="1" si="1864"/>
        <v>0.69500603421077423</v>
      </c>
      <c r="G1982" s="2">
        <f t="shared" ca="1" si="1865"/>
        <v>5.530272051778818E-2</v>
      </c>
      <c r="H1982" s="2">
        <f t="shared" ca="1" si="1866"/>
        <v>5.530272051778818E-2</v>
      </c>
      <c r="I1982" s="2">
        <f t="shared" ca="1" si="1867"/>
        <v>0.58519652061084737</v>
      </c>
      <c r="J1982" s="2">
        <f t="shared" ca="1" si="1868"/>
        <v>1.1076028425023109E-2</v>
      </c>
      <c r="K1982" s="2">
        <f t="shared" ca="1" si="1869"/>
        <v>1.1076028425023109E-2</v>
      </c>
      <c r="L1982" s="2">
        <f t="shared" ca="1" si="1870"/>
        <v>0.9064888487028544</v>
      </c>
      <c r="M1982" s="2">
        <f t="shared" ca="1" si="1871"/>
        <v>2.6388785274235417E-2</v>
      </c>
      <c r="N1982" s="2">
        <f t="shared" ca="1" si="1872"/>
        <v>2.6388785274235417E-2</v>
      </c>
      <c r="O1982" s="2">
        <f t="shared" si="1873"/>
        <v>6000000</v>
      </c>
      <c r="P1982" s="2">
        <f t="shared" ca="1" si="1874"/>
        <v>44310498.23267588</v>
      </c>
      <c r="Q1982" s="2">
        <f t="shared" ca="1" si="1875"/>
        <v>1107762.4558168971</v>
      </c>
      <c r="R1982" s="2">
        <f t="shared" ca="1" si="1876"/>
        <v>26586298.939605527</v>
      </c>
      <c r="S1982" s="2">
        <f t="shared" ca="1" si="1877"/>
        <v>17724199.293070354</v>
      </c>
      <c r="T1982" s="2">
        <f t="shared" ca="1" si="1878"/>
        <v>51319439.263711773</v>
      </c>
      <c r="U1982" s="2">
        <f t="shared" ca="1" si="1879"/>
        <v>54157543.870442435</v>
      </c>
      <c r="V1982" s="2">
        <f t="shared" ca="1" si="1880"/>
        <v>57152603.38303937</v>
      </c>
      <c r="W1982" s="2">
        <f t="shared" ca="1" si="1881"/>
        <v>60313297.834795594</v>
      </c>
      <c r="X1982" s="2">
        <f t="shared" ca="1" si="1882"/>
        <v>63648787.28845942</v>
      </c>
      <c r="Y1982" s="2">
        <f t="shared" ca="1" si="1883"/>
        <v>0.12553801421251154</v>
      </c>
      <c r="Z1982" s="2">
        <f t="shared" ca="1" si="1884"/>
        <v>0.12775321989751617</v>
      </c>
      <c r="AA1982" s="2">
        <f t="shared" ca="1" si="1885"/>
        <v>6442540.4956659712</v>
      </c>
      <c r="AB1982" s="2">
        <f t="shared" ca="1" si="1886"/>
        <v>6918800.6111900117</v>
      </c>
      <c r="AC1982" s="2">
        <f t="shared" ca="1" si="1887"/>
        <v>7301429.1077089552</v>
      </c>
      <c r="AD1982" s="2">
        <f t="shared" ca="1" si="1888"/>
        <v>7705218.0010330277</v>
      </c>
      <c r="AE1982" s="2">
        <f t="shared" ca="1" si="1889"/>
        <v>8131337.5186727885</v>
      </c>
      <c r="AF1982" s="2">
        <f t="shared" ca="1" si="1890"/>
        <v>1026388.7852742355</v>
      </c>
      <c r="AG1982" s="2">
        <f t="shared" ca="1" si="1891"/>
        <v>1083150.8774088486</v>
      </c>
      <c r="AH1982" s="2">
        <f t="shared" ca="1" si="1892"/>
        <v>1143052.0676607874</v>
      </c>
      <c r="AI1982" s="2">
        <f t="shared" ca="1" si="1893"/>
        <v>1206265.9566959119</v>
      </c>
      <c r="AJ1982" s="2">
        <f t="shared" ca="1" si="1894"/>
        <v>1272975.7457691885</v>
      </c>
      <c r="AK1982" s="2">
        <f t="shared" ca="1" si="1895"/>
        <v>0</v>
      </c>
      <c r="AL1982" s="2">
        <f t="shared" ca="1" si="1896"/>
        <v>28381.046067306623</v>
      </c>
      <c r="AM1982" s="2">
        <f t="shared" ca="1" si="1897"/>
        <v>29950.59512596935</v>
      </c>
      <c r="AN1982" s="2">
        <f t="shared" ca="1" si="1898"/>
        <v>31606.944517562242</v>
      </c>
      <c r="AO1982" s="2">
        <f t="shared" ca="1" si="1899"/>
        <v>33354.894536638261</v>
      </c>
      <c r="AP1982" s="2">
        <f t="shared" ca="1" si="1900"/>
        <v>2392766.9045644975</v>
      </c>
      <c r="AQ1982" s="2">
        <f t="shared" ca="1" si="1901"/>
        <v>786080.04951508192</v>
      </c>
      <c r="AR1982" s="2">
        <f t="shared" ca="1" si="1902"/>
        <v>895149.53559633298</v>
      </c>
      <c r="AS1982" s="2">
        <f t="shared" ca="1" si="1903"/>
        <v>979058.63522575435</v>
      </c>
      <c r="AT1982" s="2">
        <f t="shared" ca="1" si="1904"/>
        <v>1067608.136340881</v>
      </c>
      <c r="AU1982" s="2">
        <f t="shared" ca="1" si="1905"/>
        <v>1161054.6657681668</v>
      </c>
      <c r="AV1982" s="2">
        <f t="shared" ca="1" si="1906"/>
        <v>2237304.7563121566</v>
      </c>
      <c r="AW1982" s="2">
        <f t="shared" ca="1" si="1907"/>
        <v>2519352.2475530249</v>
      </c>
      <c r="AX1982" s="2">
        <f t="shared" ca="1" si="1908"/>
        <v>2756600.9051319468</v>
      </c>
      <c r="AY1982" s="2">
        <f t="shared" ca="1" si="1909"/>
        <v>3006970.0589141757</v>
      </c>
      <c r="AZ1982" s="2">
        <f t="shared" ca="1" si="1910"/>
        <v>3271185.3080342966</v>
      </c>
      <c r="BA1982" s="2">
        <f t="shared" ca="1" si="1911"/>
        <v>65251097.006122984</v>
      </c>
      <c r="BB1982" s="2">
        <f t="shared" ca="1" si="1912"/>
        <v>1305021.9401224598</v>
      </c>
      <c r="BC1982" s="2">
        <f t="shared" ca="1" si="1913"/>
        <v>37359776.126394995</v>
      </c>
      <c r="BD1982" s="2">
        <f t="shared" ca="1" si="1914"/>
        <v>-19331961.748887252</v>
      </c>
      <c r="BE1982" s="2">
        <f t="shared" ca="1" si="1915"/>
        <v>2237304.7563121566</v>
      </c>
      <c r="BF1982" s="2">
        <f t="shared" ca="1" si="1916"/>
        <v>2519352.2475530249</v>
      </c>
      <c r="BG1982" s="2">
        <f t="shared" ca="1" si="1917"/>
        <v>2756600.9051319468</v>
      </c>
      <c r="BH1982" s="2">
        <f t="shared" ca="1" si="1918"/>
        <v>3006970.0589141757</v>
      </c>
      <c r="BI1982" s="2">
        <f t="shared" ca="1" si="1919"/>
        <v>40630961.434429288</v>
      </c>
      <c r="BJ1982" s="2">
        <f t="shared" ca="1" si="1920"/>
        <v>0.250422338800107</v>
      </c>
      <c r="BK1982" s="2">
        <f t="shared" ca="1" si="1921"/>
        <v>11602220.571279351</v>
      </c>
    </row>
    <row r="1983" spans="1:63" x14ac:dyDescent="0.3">
      <c r="A1983" s="2">
        <v>1982</v>
      </c>
      <c r="B1983" s="2">
        <f t="shared" ca="1" si="1860"/>
        <v>0.31941856341172059</v>
      </c>
      <c r="C1983" s="2">
        <f t="shared" ca="1" si="1861"/>
        <v>6.7992728738193495</v>
      </c>
      <c r="D1983" s="2">
        <f t="shared" ca="1" si="1862"/>
        <v>0.61574371857517951</v>
      </c>
      <c r="E1983" s="2">
        <f t="shared" ca="1" si="1863"/>
        <v>7.6233515169410024</v>
      </c>
      <c r="F1983" s="2">
        <f t="shared" ca="1" si="1864"/>
        <v>0.85693273541037096</v>
      </c>
      <c r="G1983" s="2">
        <f t="shared" ca="1" si="1865"/>
        <v>7.1999193452001009E-2</v>
      </c>
      <c r="H1983" s="2">
        <f t="shared" ca="1" si="1866"/>
        <v>7.1999193452001009E-2</v>
      </c>
      <c r="I1983" s="2">
        <f t="shared" ca="1" si="1867"/>
        <v>0.91837003822898911</v>
      </c>
      <c r="J1983" s="2">
        <f t="shared" ca="1" si="1868"/>
        <v>1.6970955189773224E-2</v>
      </c>
      <c r="K1983" s="2">
        <f t="shared" ca="1" si="1869"/>
        <v>1.6970955189773224E-2</v>
      </c>
      <c r="L1983" s="2">
        <f t="shared" ca="1" si="1870"/>
        <v>0.70936849669677249</v>
      </c>
      <c r="M1983" s="2">
        <f t="shared" ca="1" si="1871"/>
        <v>1.1030815978754603E-2</v>
      </c>
      <c r="N1983" s="2">
        <f t="shared" ca="1" si="1872"/>
        <v>1.1030815978754603E-2</v>
      </c>
      <c r="O1983" s="2">
        <f t="shared" si="1873"/>
        <v>6000000</v>
      </c>
      <c r="P1983" s="2">
        <f t="shared" ca="1" si="1874"/>
        <v>40795637.2429161</v>
      </c>
      <c r="Q1983" s="2">
        <f t="shared" ca="1" si="1875"/>
        <v>1019890.9310729025</v>
      </c>
      <c r="R1983" s="2">
        <f t="shared" ca="1" si="1876"/>
        <v>24477382.345749658</v>
      </c>
      <c r="S1983" s="2">
        <f t="shared" ca="1" si="1877"/>
        <v>16318254.89716644</v>
      </c>
      <c r="T1983" s="2">
        <f t="shared" ca="1" si="1878"/>
        <v>50551540.79893773</v>
      </c>
      <c r="U1983" s="2">
        <f t="shared" ca="1" si="1879"/>
        <v>54191210.964217171</v>
      </c>
      <c r="V1983" s="2">
        <f t="shared" ca="1" si="1880"/>
        <v>58092934.445828043</v>
      </c>
      <c r="W1983" s="2">
        <f t="shared" ca="1" si="1881"/>
        <v>62275578.871187627</v>
      </c>
      <c r="X1983" s="2">
        <f t="shared" ca="1" si="1882"/>
        <v>66759370.321669608</v>
      </c>
      <c r="Y1983" s="2">
        <f t="shared" ca="1" si="1883"/>
        <v>0.1284854775948866</v>
      </c>
      <c r="Z1983" s="2">
        <f t="shared" ca="1" si="1884"/>
        <v>0.13187966863284126</v>
      </c>
      <c r="AA1983" s="2">
        <f t="shared" ca="1" si="1885"/>
        <v>6495138.8627089094</v>
      </c>
      <c r="AB1983" s="2">
        <f t="shared" ca="1" si="1886"/>
        <v>7146718.9447733546</v>
      </c>
      <c r="AC1983" s="2">
        <f t="shared" ca="1" si="1887"/>
        <v>7661276.9446251718</v>
      </c>
      <c r="AD1983" s="2">
        <f t="shared" ca="1" si="1888"/>
        <v>8212882.7054505944</v>
      </c>
      <c r="AE1983" s="2">
        <f t="shared" ca="1" si="1889"/>
        <v>8804203.6361589245</v>
      </c>
      <c r="AF1983" s="2">
        <f t="shared" ca="1" si="1890"/>
        <v>1011030.8159787547</v>
      </c>
      <c r="AG1983" s="2">
        <f t="shared" ca="1" si="1891"/>
        <v>1083824.2192843435</v>
      </c>
      <c r="AH1983" s="2">
        <f t="shared" ca="1" si="1892"/>
        <v>1161858.688916561</v>
      </c>
      <c r="AI1983" s="2">
        <f t="shared" ca="1" si="1893"/>
        <v>1245511.5774237525</v>
      </c>
      <c r="AJ1983" s="2">
        <f t="shared" ca="1" si="1894"/>
        <v>1335187.4064333921</v>
      </c>
      <c r="AK1983" s="2">
        <f t="shared" ca="1" si="1895"/>
        <v>0</v>
      </c>
      <c r="AL1983" s="2">
        <f t="shared" ca="1" si="1896"/>
        <v>36396.701652794407</v>
      </c>
      <c r="AM1983" s="2">
        <f t="shared" ca="1" si="1897"/>
        <v>39017.234816108721</v>
      </c>
      <c r="AN1983" s="2">
        <f t="shared" ca="1" si="1898"/>
        <v>41826.444253595844</v>
      </c>
      <c r="AO1983" s="2">
        <f t="shared" ca="1" si="1899"/>
        <v>44837.914504819812</v>
      </c>
      <c r="AP1983" s="2">
        <f t="shared" ca="1" si="1900"/>
        <v>2202964.411117469</v>
      </c>
      <c r="AQ1983" s="2">
        <f t="shared" ca="1" si="1901"/>
        <v>853097.34525929845</v>
      </c>
      <c r="AR1983" s="2">
        <f t="shared" ca="1" si="1902"/>
        <v>1003581.881736601</v>
      </c>
      <c r="AS1983" s="2">
        <f t="shared" ca="1" si="1903"/>
        <v>1117077.9995936968</v>
      </c>
      <c r="AT1983" s="2">
        <f t="shared" ca="1" si="1904"/>
        <v>1238745.7463964371</v>
      </c>
      <c r="AU1983" s="2">
        <f t="shared" ca="1" si="1905"/>
        <v>1369173.4728380966</v>
      </c>
      <c r="AV1983" s="2">
        <f t="shared" ca="1" si="1906"/>
        <v>2428046.2903533876</v>
      </c>
      <c r="AW1983" s="2">
        <f t="shared" ca="1" si="1907"/>
        <v>2819951.7309821472</v>
      </c>
      <c r="AX1983" s="2">
        <f t="shared" ca="1" si="1908"/>
        <v>3140358.6101813363</v>
      </c>
      <c r="AY1983" s="2">
        <f t="shared" ca="1" si="1909"/>
        <v>3483834.5262593403</v>
      </c>
      <c r="AZ1983" s="2">
        <f t="shared" ca="1" si="1910"/>
        <v>3852040.4312651474</v>
      </c>
      <c r="BA1983" s="2">
        <f t="shared" ca="1" si="1911"/>
        <v>67117539.145169631</v>
      </c>
      <c r="BB1983" s="2">
        <f t="shared" ca="1" si="1912"/>
        <v>1342350.7829033926</v>
      </c>
      <c r="BC1983" s="2">
        <f t="shared" ca="1" si="1913"/>
        <v>41297806.016516574</v>
      </c>
      <c r="BD1983" s="2">
        <f t="shared" ca="1" si="1914"/>
        <v>-17838145.828239344</v>
      </c>
      <c r="BE1983" s="2">
        <f t="shared" ca="1" si="1915"/>
        <v>2428046.2903533876</v>
      </c>
      <c r="BF1983" s="2">
        <f t="shared" ca="1" si="1916"/>
        <v>2819951.7309821472</v>
      </c>
      <c r="BG1983" s="2">
        <f t="shared" ca="1" si="1917"/>
        <v>3140358.6101813363</v>
      </c>
      <c r="BH1983" s="2">
        <f t="shared" ca="1" si="1918"/>
        <v>3483834.5262593403</v>
      </c>
      <c r="BI1983" s="2">
        <f t="shared" ca="1" si="1919"/>
        <v>45149846.447781719</v>
      </c>
      <c r="BJ1983" s="2">
        <f t="shared" ca="1" si="1920"/>
        <v>0.30894635341367049</v>
      </c>
      <c r="BK1983" s="2">
        <f t="shared" ca="1" si="1921"/>
        <v>16646321.359647773</v>
      </c>
    </row>
    <row r="1984" spans="1:63" x14ac:dyDescent="0.3">
      <c r="A1984" s="2">
        <v>1983</v>
      </c>
      <c r="B1984" s="2">
        <f t="shared" ca="1" si="1860"/>
        <v>6.9278553784916208E-2</v>
      </c>
      <c r="C1984" s="2">
        <f t="shared" ca="1" si="1861"/>
        <v>6.3722325987468489</v>
      </c>
      <c r="D1984" s="2">
        <f t="shared" ca="1" si="1862"/>
        <v>0.53721571637316312</v>
      </c>
      <c r="E1984" s="2">
        <f t="shared" ca="1" si="1863"/>
        <v>7.5379352582836878</v>
      </c>
      <c r="F1984" s="2">
        <f t="shared" ca="1" si="1864"/>
        <v>0.48169312381679597</v>
      </c>
      <c r="G1984" s="2">
        <f t="shared" ca="1" si="1865"/>
        <v>3.8622860489138579E-2</v>
      </c>
      <c r="H1984" s="2">
        <f t="shared" ca="1" si="1866"/>
        <v>3.8622860489138579E-2</v>
      </c>
      <c r="I1984" s="2">
        <f t="shared" ca="1" si="1867"/>
        <v>0.91425379499750881</v>
      </c>
      <c r="J1984" s="2">
        <f t="shared" ca="1" si="1868"/>
        <v>1.6837120541591664E-2</v>
      </c>
      <c r="K1984" s="2">
        <f t="shared" ca="1" si="1869"/>
        <v>1.6837120541591664E-2</v>
      </c>
      <c r="L1984" s="2">
        <f t="shared" ca="1" si="1870"/>
        <v>0.90097654430110652</v>
      </c>
      <c r="M1984" s="2">
        <f t="shared" ca="1" si="1871"/>
        <v>2.5742718748724473E-2</v>
      </c>
      <c r="N1984" s="2">
        <f t="shared" ca="1" si="1872"/>
        <v>2.5742718748724473E-2</v>
      </c>
      <c r="O1984" s="2">
        <f t="shared" si="1873"/>
        <v>6000000</v>
      </c>
      <c r="P1984" s="2">
        <f t="shared" ca="1" si="1874"/>
        <v>38233395.592481092</v>
      </c>
      <c r="Q1984" s="2">
        <f t="shared" ca="1" si="1875"/>
        <v>955834.88981202734</v>
      </c>
      <c r="R1984" s="2">
        <f t="shared" ca="1" si="1876"/>
        <v>22940037.355488654</v>
      </c>
      <c r="S1984" s="2">
        <f t="shared" ca="1" si="1877"/>
        <v>15293358.236992437</v>
      </c>
      <c r="T1984" s="2">
        <f t="shared" ca="1" si="1878"/>
        <v>51287135.937436223</v>
      </c>
      <c r="U1984" s="2">
        <f t="shared" ca="1" si="1879"/>
        <v>53267991.833635308</v>
      </c>
      <c r="V1984" s="2">
        <f t="shared" ca="1" si="1880"/>
        <v>55325354.050762378</v>
      </c>
      <c r="W1984" s="2">
        <f t="shared" ca="1" si="1881"/>
        <v>57462177.481777169</v>
      </c>
      <c r="X1984" s="2">
        <f t="shared" ca="1" si="1882"/>
        <v>59681531.146057963</v>
      </c>
      <c r="Y1984" s="2">
        <f t="shared" ca="1" si="1883"/>
        <v>0.12841856027079582</v>
      </c>
      <c r="Z1984" s="2">
        <f t="shared" ca="1" si="1884"/>
        <v>0.13178598437911415</v>
      </c>
      <c r="AA1984" s="2">
        <f t="shared" ca="1" si="1885"/>
        <v>6586220.157498152</v>
      </c>
      <c r="AB1984" s="2">
        <f t="shared" ca="1" si="1886"/>
        <v>7019974.7396942433</v>
      </c>
      <c r="AC1984" s="2">
        <f t="shared" ca="1" si="1887"/>
        <v>7291106.2447027303</v>
      </c>
      <c r="AD1984" s="2">
        <f t="shared" ca="1" si="1888"/>
        <v>7572709.6240033712</v>
      </c>
      <c r="AE1984" s="2">
        <f t="shared" ca="1" si="1889"/>
        <v>7865189.3313360093</v>
      </c>
      <c r="AF1984" s="2">
        <f t="shared" ca="1" si="1890"/>
        <v>1025742.7187487244</v>
      </c>
      <c r="AG1984" s="2">
        <f t="shared" ca="1" si="1891"/>
        <v>1065359.8366727061</v>
      </c>
      <c r="AH1984" s="2">
        <f t="shared" ca="1" si="1892"/>
        <v>1106507.0810152476</v>
      </c>
      <c r="AI1984" s="2">
        <f t="shared" ca="1" si="1893"/>
        <v>1149243.5496355435</v>
      </c>
      <c r="AJ1984" s="2">
        <f t="shared" ca="1" si="1894"/>
        <v>1193630.6229211593</v>
      </c>
      <c r="AK1984" s="2">
        <f t="shared" ca="1" si="1895"/>
        <v>0</v>
      </c>
      <c r="AL1984" s="2">
        <f t="shared" ca="1" si="1896"/>
        <v>19808.55896199085</v>
      </c>
      <c r="AM1984" s="2">
        <f t="shared" ca="1" si="1897"/>
        <v>20573.622171270697</v>
      </c>
      <c r="AN1984" s="2">
        <f t="shared" ca="1" si="1898"/>
        <v>21368.234310147913</v>
      </c>
      <c r="AO1984" s="2">
        <f t="shared" ca="1" si="1899"/>
        <v>22193.536642807947</v>
      </c>
      <c r="AP1984" s="2">
        <f t="shared" ca="1" si="1900"/>
        <v>2064603.3619939787</v>
      </c>
      <c r="AQ1984" s="2">
        <f t="shared" ca="1" si="1901"/>
        <v>908927.25995641679</v>
      </c>
      <c r="AR1984" s="2">
        <f t="shared" ca="1" si="1902"/>
        <v>1011403.0006671651</v>
      </c>
      <c r="AS1984" s="2">
        <f t="shared" ca="1" si="1903"/>
        <v>1071198.908440311</v>
      </c>
      <c r="AT1984" s="2">
        <f t="shared" ca="1" si="1904"/>
        <v>1133304.3052172009</v>
      </c>
      <c r="AU1984" s="2">
        <f t="shared" ca="1" si="1905"/>
        <v>1197808.3900694265</v>
      </c>
      <c r="AV1984" s="2">
        <f t="shared" ca="1" si="1906"/>
        <v>2586946.8167990325</v>
      </c>
      <c r="AW1984" s="2">
        <f t="shared" ca="1" si="1907"/>
        <v>2858799.9813984018</v>
      </c>
      <c r="AX1984" s="2">
        <f t="shared" ca="1" si="1908"/>
        <v>3028223.2710819216</v>
      </c>
      <c r="AY1984" s="2">
        <f t="shared" ca="1" si="1909"/>
        <v>3204190.1728464998</v>
      </c>
      <c r="AZ1984" s="2">
        <f t="shared" ca="1" si="1910"/>
        <v>3386953.4197086366</v>
      </c>
      <c r="BA1984" s="2">
        <f t="shared" ca="1" si="1911"/>
        <v>59287287.973754406</v>
      </c>
      <c r="BB1984" s="2">
        <f t="shared" ca="1" si="1912"/>
        <v>1185745.7594750882</v>
      </c>
      <c r="BC1984" s="2">
        <f t="shared" ca="1" si="1913"/>
        <v>35161504.858790658</v>
      </c>
      <c r="BD1984" s="2">
        <f t="shared" ca="1" si="1914"/>
        <v>-16749193.126804465</v>
      </c>
      <c r="BE1984" s="2">
        <f t="shared" ca="1" si="1915"/>
        <v>2586946.8167990325</v>
      </c>
      <c r="BF1984" s="2">
        <f t="shared" ca="1" si="1916"/>
        <v>2858799.9813984018</v>
      </c>
      <c r="BG1984" s="2">
        <f t="shared" ca="1" si="1917"/>
        <v>3028223.2710819216</v>
      </c>
      <c r="BH1984" s="2">
        <f t="shared" ca="1" si="1918"/>
        <v>3204190.1728464998</v>
      </c>
      <c r="BI1984" s="2">
        <f t="shared" ca="1" si="1919"/>
        <v>38548458.278499298</v>
      </c>
      <c r="BJ1984" s="2">
        <f t="shared" ca="1" si="1920"/>
        <v>0.29637518920643813</v>
      </c>
      <c r="BK1984" s="2">
        <f t="shared" ca="1" si="1921"/>
        <v>13904779.42466441</v>
      </c>
    </row>
    <row r="1985" spans="1:63" x14ac:dyDescent="0.3">
      <c r="A1985" s="2">
        <v>1984</v>
      </c>
      <c r="B1985" s="2">
        <f t="shared" ca="1" si="1860"/>
        <v>0.91702564795111441</v>
      </c>
      <c r="C1985" s="2">
        <f t="shared" ca="1" si="1861"/>
        <v>7.5926319795347563</v>
      </c>
      <c r="D1985" s="2">
        <f t="shared" ca="1" si="1862"/>
        <v>0.27794990647155926</v>
      </c>
      <c r="E1985" s="2">
        <f t="shared" ca="1" si="1863"/>
        <v>7.2455868916116479</v>
      </c>
      <c r="F1985" s="2">
        <f t="shared" ca="1" si="1864"/>
        <v>0.98027799357619005</v>
      </c>
      <c r="G1985" s="2">
        <f t="shared" ca="1" si="1865"/>
        <v>0.1017857373938614</v>
      </c>
      <c r="H1985" s="2">
        <f t="shared" ca="1" si="1866"/>
        <v>0.1017857373938614</v>
      </c>
      <c r="I1985" s="2">
        <f t="shared" ca="1" si="1867"/>
        <v>0.30977335904985603</v>
      </c>
      <c r="J1985" s="2">
        <f t="shared" ca="1" si="1868"/>
        <v>7.5175356607524273E-3</v>
      </c>
      <c r="K1985" s="2">
        <f t="shared" ca="1" si="1869"/>
        <v>7.5175356607524273E-3</v>
      </c>
      <c r="L1985" s="2">
        <f t="shared" ca="1" si="1870"/>
        <v>6.9871041374119036E-2</v>
      </c>
      <c r="M1985" s="2">
        <f t="shared" ca="1" si="1871"/>
        <v>-2.9535043343326954E-2</v>
      </c>
      <c r="N1985" s="2">
        <f t="shared" ca="1" si="1872"/>
        <v>-2.9535043343326954E-2</v>
      </c>
      <c r="O1985" s="2">
        <f t="shared" si="1873"/>
        <v>6000000</v>
      </c>
      <c r="P1985" s="2">
        <f t="shared" ca="1" si="1874"/>
        <v>45555791.877208538</v>
      </c>
      <c r="Q1985" s="2">
        <f t="shared" ca="1" si="1875"/>
        <v>1138894.7969302135</v>
      </c>
      <c r="R1985" s="2">
        <f t="shared" ca="1" si="1876"/>
        <v>27333475.126325123</v>
      </c>
      <c r="S1985" s="2">
        <f t="shared" ca="1" si="1877"/>
        <v>18222316.750883415</v>
      </c>
      <c r="T1985" s="2">
        <f t="shared" ca="1" si="1878"/>
        <v>48523247.832833655</v>
      </c>
      <c r="U1985" s="2">
        <f t="shared" ca="1" si="1879"/>
        <v>53462222.39424371</v>
      </c>
      <c r="V1985" s="2">
        <f t="shared" ca="1" si="1880"/>
        <v>58903914.123356409</v>
      </c>
      <c r="W1985" s="2">
        <f t="shared" ca="1" si="1881"/>
        <v>64899492.457786925</v>
      </c>
      <c r="X1985" s="2">
        <f t="shared" ca="1" si="1882"/>
        <v>71505335.154090106</v>
      </c>
      <c r="Y1985" s="2">
        <f t="shared" ca="1" si="1883"/>
        <v>0.1237587678303762</v>
      </c>
      <c r="Z1985" s="2">
        <f t="shared" ca="1" si="1884"/>
        <v>0.1252622749625267</v>
      </c>
      <c r="AA1985" s="2">
        <f t="shared" ca="1" si="1885"/>
        <v>6005177.3629194656</v>
      </c>
      <c r="AB1985" s="2">
        <f t="shared" ca="1" si="1886"/>
        <v>6696799.6016555084</v>
      </c>
      <c r="AC1985" s="2">
        <f t="shared" ca="1" si="1887"/>
        <v>7378438.2872889303</v>
      </c>
      <c r="AD1985" s="2">
        <f t="shared" ca="1" si="1888"/>
        <v>8129458.0691757342</v>
      </c>
      <c r="AE1985" s="2">
        <f t="shared" ca="1" si="1889"/>
        <v>8956920.9533592612</v>
      </c>
      <c r="AF1985" s="2">
        <f t="shared" ca="1" si="1890"/>
        <v>970464.95665667311</v>
      </c>
      <c r="AG1985" s="2">
        <f t="shared" ca="1" si="1891"/>
        <v>1069244.4478848742</v>
      </c>
      <c r="AH1985" s="2">
        <f t="shared" ca="1" si="1892"/>
        <v>1178078.2824671282</v>
      </c>
      <c r="AI1985" s="2">
        <f t="shared" ca="1" si="1893"/>
        <v>1297989.8491557385</v>
      </c>
      <c r="AJ1985" s="2">
        <f t="shared" ca="1" si="1894"/>
        <v>1430106.7030818022</v>
      </c>
      <c r="AK1985" s="2">
        <f t="shared" ca="1" si="1895"/>
        <v>0</v>
      </c>
      <c r="AL1985" s="2">
        <f t="shared" ca="1" si="1896"/>
        <v>49389.745614100546</v>
      </c>
      <c r="AM1985" s="2">
        <f t="shared" ca="1" si="1897"/>
        <v>54416.917291127</v>
      </c>
      <c r="AN1985" s="2">
        <f t="shared" ca="1" si="1898"/>
        <v>59955.783344305157</v>
      </c>
      <c r="AO1985" s="2">
        <f t="shared" ca="1" si="1899"/>
        <v>66058.426963031816</v>
      </c>
      <c r="AP1985" s="2">
        <f t="shared" ca="1" si="1900"/>
        <v>2460012.761369261</v>
      </c>
      <c r="AQ1985" s="2">
        <f t="shared" ca="1" si="1901"/>
        <v>669421.90767231828</v>
      </c>
      <c r="AR1985" s="2">
        <f t="shared" ca="1" si="1902"/>
        <v>823561.02202435699</v>
      </c>
      <c r="AS1985" s="2">
        <f t="shared" ca="1" si="1903"/>
        <v>972490.28329766064</v>
      </c>
      <c r="AT1985" s="2">
        <f t="shared" ca="1" si="1904"/>
        <v>1136578.4192491912</v>
      </c>
      <c r="AU1985" s="2">
        <f t="shared" ca="1" si="1905"/>
        <v>1317368.3871161314</v>
      </c>
      <c r="AV1985" s="2">
        <f t="shared" ca="1" si="1906"/>
        <v>1905277.7372212131</v>
      </c>
      <c r="AW1985" s="2">
        <f t="shared" ca="1" si="1907"/>
        <v>2294591.624762916</v>
      </c>
      <c r="AX1985" s="2">
        <f t="shared" ca="1" si="1908"/>
        <v>2713440.0428637527</v>
      </c>
      <c r="AY1985" s="2">
        <f t="shared" ca="1" si="1909"/>
        <v>3174921.2560572391</v>
      </c>
      <c r="AZ1985" s="2">
        <f t="shared" ca="1" si="1910"/>
        <v>3683374.6748290341</v>
      </c>
      <c r="BA1985" s="2">
        <f t="shared" ca="1" si="1911"/>
        <v>64898149.048861571</v>
      </c>
      <c r="BB1985" s="2">
        <f t="shared" ca="1" si="1912"/>
        <v>1297962.9809772314</v>
      </c>
      <c r="BC1985" s="2">
        <f t="shared" ca="1" si="1913"/>
        <v>36266710.941559218</v>
      </c>
      <c r="BD1985" s="2">
        <f t="shared" ca="1" si="1914"/>
        <v>-19861211.547813628</v>
      </c>
      <c r="BE1985" s="2">
        <f t="shared" ca="1" si="1915"/>
        <v>1905277.7372212131</v>
      </c>
      <c r="BF1985" s="2">
        <f t="shared" ca="1" si="1916"/>
        <v>2294591.624762916</v>
      </c>
      <c r="BG1985" s="2">
        <f t="shared" ca="1" si="1917"/>
        <v>2713440.0428637527</v>
      </c>
      <c r="BH1985" s="2">
        <f t="shared" ca="1" si="1918"/>
        <v>3174921.2560572391</v>
      </c>
      <c r="BI1985" s="2">
        <f t="shared" ca="1" si="1919"/>
        <v>39950085.616388254</v>
      </c>
      <c r="BJ1985" s="2">
        <f t="shared" ca="1" si="1920"/>
        <v>0.2334831160083628</v>
      </c>
      <c r="BK1985" s="2">
        <f t="shared" ca="1" si="1921"/>
        <v>10287008.032600436</v>
      </c>
    </row>
    <row r="1986" spans="1:63" x14ac:dyDescent="0.3">
      <c r="A1986" s="2">
        <v>1985</v>
      </c>
      <c r="B1986" s="2">
        <f t="shared" ref="B1986:B2049" ca="1" si="1922">RAND()</f>
        <v>1.5021308071474837E-2</v>
      </c>
      <c r="C1986" s="2">
        <f t="shared" ref="C1986:C2049" ca="1" si="1923">IF(B1986&lt;((P_Mode)-(P_Low))/((P_High)-(P_Low)), (P_Low)+SQRT(B1986*((P_High)-(P_Low))*((P_Mode)-(P_Low))), (P_High)-SQRT((1-B1986)*((P_High)-(P_Low))*((P_High)-(P_Mode))))</f>
        <v>6.1733280593064768</v>
      </c>
      <c r="D1986" s="2">
        <f t="shared" ref="D1986:D2049" ca="1" si="1924">RAND()</f>
        <v>0.18729711818414374</v>
      </c>
      <c r="E1986" s="2">
        <f t="shared" ref="E1986:E2049" ca="1" si="1925">IF(D1986&lt;((X_Mode)-(X_Low))/((X_High)-(X_Low)), (X_Low)+SQRT(D1986*((X_High)-(X_Low))*((X_Mode)-(X_Low))), (X_High)-SQRT((1-D1986)*((X_High)-(X_Low))*((X_High)-(X_Mode))))</f>
        <v>7.112041041408407</v>
      </c>
      <c r="F1986" s="2">
        <f t="shared" ref="F1986:F2049" ca="1" si="1926">RAND()</f>
        <v>8.1725621796107983E-2</v>
      </c>
      <c r="G1986" s="2">
        <f t="shared" ref="G1986:G2049" ca="1" si="1927">NORMINV(F1986, g_Mean, g_SD)</f>
        <v>-1.8067276244279964E-3</v>
      </c>
      <c r="H1986" s="2">
        <f t="shared" ref="H1986:H2049" ca="1" si="1928">MIN(MAX(G1986, g_Min), g_Max)</f>
        <v>-1.8067276244279964E-3</v>
      </c>
      <c r="I1986" s="2">
        <f t="shared" ref="I1986:I2049" ca="1" si="1929">RAND()</f>
        <v>0.74088757070651101</v>
      </c>
      <c r="J1986" s="2">
        <f t="shared" ref="J1986:J2049" ca="1" si="1930">NORMINV(I1986, syn_Mean, syn_SD)</f>
        <v>1.3230420757590459E-2</v>
      </c>
      <c r="K1986" s="2">
        <f t="shared" ref="K1986:K2049" ca="1" si="1931">MIN(MAX(J1986, syn_Min), syn_Max)</f>
        <v>1.3230420757590459E-2</v>
      </c>
      <c r="L1986" s="2">
        <f t="shared" ref="L1986:L2049" ca="1" si="1932">RAND()</f>
        <v>0.52192774821003562</v>
      </c>
      <c r="M1986" s="2">
        <f t="shared" ref="M1986:M2049" ca="1" si="1933">NORMINV(L1986, shk_Mean, shk_SD)</f>
        <v>1.0998483759004885E-3</v>
      </c>
      <c r="N1986" s="2">
        <f t="shared" ref="N1986:N2049" ca="1" si="1934">MIN(MAX(M1986, shk_Min), shk_Max)</f>
        <v>1.0998483759004885E-3</v>
      </c>
      <c r="O1986" s="2">
        <f t="shared" ref="O1986:O2049" si="1935">BaseRev*BaseMargin</f>
        <v>6000000</v>
      </c>
      <c r="P1986" s="2">
        <f t="shared" ref="P1986:P2049" ca="1" si="1936">O1986*C1986</f>
        <v>37039968.355838858</v>
      </c>
      <c r="Q1986" s="2">
        <f t="shared" ref="Q1986:Q2049" ca="1" si="1937">P1986*TxnCostPct</f>
        <v>925999.20889597153</v>
      </c>
      <c r="R1986" s="2">
        <f t="shared" ref="R1986:R2049" ca="1" si="1938">P1986*DebtPct</f>
        <v>22223981.013503313</v>
      </c>
      <c r="S1986" s="2">
        <f t="shared" ref="S1986:S2049" ca="1" si="1939">P1986*EqPct</f>
        <v>14815987.342335545</v>
      </c>
      <c r="T1986" s="2">
        <f t="shared" ref="T1986:T2049" ca="1" si="1940">BaseRev*(1+N1986)</f>
        <v>50054992.418795019</v>
      </c>
      <c r="U1986" s="2">
        <f t="shared" ref="U1986:U2049" ca="1" si="1941">T1986*(1+H1986)</f>
        <v>49964556.681251444</v>
      </c>
      <c r="V1986" s="2">
        <f t="shared" ref="V1986:V2049" ca="1" si="1942">U1986*(1+H1986)</f>
        <v>49874284.336453125</v>
      </c>
      <c r="W1986" s="2">
        <f t="shared" ref="W1986:W2049" ca="1" si="1943">V1986*(1+H1986)</f>
        <v>49784175.089193881</v>
      </c>
      <c r="X1986" s="2">
        <f t="shared" ref="X1986:X2049" ca="1" si="1944">W1986*(1+H1986)</f>
        <v>49694228.644800872</v>
      </c>
      <c r="Y1986" s="2">
        <f t="shared" ref="Y1986:Y2049" ca="1" si="1945">BaseMargin + SynReal_Y1*K1986</f>
        <v>0.12661521037879522</v>
      </c>
      <c r="Z1986" s="2">
        <f t="shared" ref="Z1986:Z2049" ca="1" si="1946">BaseMargin + SynReal_Y2toY5*K1986</f>
        <v>0.12926129453031332</v>
      </c>
      <c r="AA1986" s="2">
        <f t="shared" ref="AA1986:AA2049" ca="1" si="1947">T1986*Y1986</f>
        <v>6337723.3956147311</v>
      </c>
      <c r="AB1986" s="2">
        <f t="shared" ref="AB1986:AB2049" ca="1" si="1948">U1986*Z1986</f>
        <v>6458483.2772517772</v>
      </c>
      <c r="AC1986" s="2">
        <f t="shared" ref="AC1986:AC2049" ca="1" si="1949">V1986*Z1986</f>
        <v>6446814.55710286</v>
      </c>
      <c r="AD1986" s="2">
        <f t="shared" ref="AD1986:AD2049" ca="1" si="1950">W1986*Z1986</f>
        <v>6435166.9191529779</v>
      </c>
      <c r="AE1986" s="2">
        <f t="shared" ref="AE1986:AE2049" ca="1" si="1951">X1986*Z1986</f>
        <v>6423540.3253123388</v>
      </c>
      <c r="AF1986" s="2">
        <f t="shared" ref="AF1986:AF2049" ca="1" si="1952">T1986*CapexPct</f>
        <v>1001099.8483759004</v>
      </c>
      <c r="AG1986" s="2">
        <f t="shared" ref="AG1986:AG2049" ca="1" si="1953">U1986*CapexPct</f>
        <v>999291.13362502889</v>
      </c>
      <c r="AH1986" s="2">
        <f t="shared" ref="AH1986:AH2049" ca="1" si="1954">V1986*CapexPct</f>
        <v>997485.68672906247</v>
      </c>
      <c r="AI1986" s="2">
        <f t="shared" ref="AI1986:AI2049" ca="1" si="1955">W1986*CapexPct</f>
        <v>995683.50178387761</v>
      </c>
      <c r="AJ1986" s="2">
        <f t="shared" ref="AJ1986:AJ2049" ca="1" si="1956">X1986*CapexPct</f>
        <v>993884.57289601746</v>
      </c>
      <c r="AK1986" s="2">
        <f t="shared" ref="AK1986:AK2049" ca="1" si="1957">MAX(T1986-BaseRev*(1+N1986),0)*WCPct</f>
        <v>0</v>
      </c>
      <c r="AL1986" s="2">
        <f t="shared" ref="AL1986:AL2049" ca="1" si="1958">MAX(U1986-T1986,0)*WCPct</f>
        <v>0</v>
      </c>
      <c r="AM1986" s="2">
        <f t="shared" ref="AM1986:AM2049" ca="1" si="1959">MAX(V1986-U1986,0)*WCPct</f>
        <v>0</v>
      </c>
      <c r="AN1986" s="2">
        <f t="shared" ref="AN1986:AN2049" ca="1" si="1960">MAX(W1986-V1986,0)*WCPct</f>
        <v>0</v>
      </c>
      <c r="AO1986" s="2">
        <f t="shared" ref="AO1986:AO2049" ca="1" si="1961">MAX(X1986-W1986,0)*WCPct</f>
        <v>0</v>
      </c>
      <c r="AP1986" s="2">
        <f t="shared" ref="AP1986:AP2049" ca="1" si="1962">R1986*DebtRate</f>
        <v>2000158.291215298</v>
      </c>
      <c r="AQ1986" s="2">
        <f t="shared" ref="AQ1986:AQ2049" ca="1" si="1963">MAX(AA1986-AF1986-AP1986,0)*Tax</f>
        <v>867480.96656611853</v>
      </c>
      <c r="AR1986" s="2">
        <f t="shared" ref="AR1986:AR2049" ca="1" si="1964">MAX(AB1986-AG1986-AP1986,0)*Tax</f>
        <v>899348.80162697728</v>
      </c>
      <c r="AS1986" s="2">
        <f t="shared" ref="AS1986:AS2049" ca="1" si="1965">MAX(AC1986-AH1986-AP1986,0)*Tax</f>
        <v>896784.35058120999</v>
      </c>
      <c r="AT1986" s="2">
        <f t="shared" ref="AT1986:AT2049" ca="1" si="1966">MAX(AD1986-AI1986-AP1986,0)*Tax</f>
        <v>894224.53279998864</v>
      </c>
      <c r="AU1986" s="2">
        <f t="shared" ref="AU1986:AU2049" ca="1" si="1967">MAX(AE1986-AJ1986-AP1986,0)*Tax</f>
        <v>891669.33991226612</v>
      </c>
      <c r="AV1986" s="2">
        <f t="shared" ref="AV1986:AV2049" ca="1" si="1968">AA1986-AF1986-AK1986-AQ1986-AP1986</f>
        <v>2468984.2894574143</v>
      </c>
      <c r="AW1986" s="2">
        <f t="shared" ref="AW1986:AW2049" ca="1" si="1969">AB1986-AG1986-AL1986-AR1986-AP1986</f>
        <v>2559685.0507844733</v>
      </c>
      <c r="AX1986" s="2">
        <f t="shared" ref="AX1986:AX2049" ca="1" si="1970">AC1986-AH1986-AM1986-AS1986-AP1986</f>
        <v>2552386.2285772897</v>
      </c>
      <c r="AY1986" s="2">
        <f t="shared" ref="AY1986:AY2049" ca="1" si="1971">AD1986-AI1986-AN1986-AT1986-AP1986</f>
        <v>2545100.5933538135</v>
      </c>
      <c r="AZ1986" s="2">
        <f t="shared" ref="AZ1986:AZ2049" ca="1" si="1972">AE1986-AJ1986-AO1986-AU1986-AP1986</f>
        <v>2537828.1212887568</v>
      </c>
      <c r="BA1986" s="2">
        <f t="shared" ref="BA1986:BA2049" ca="1" si="1973">AE1986*E1986</f>
        <v>45684482.424763262</v>
      </c>
      <c r="BB1986" s="2">
        <f t="shared" ref="BB1986:BB2049" ca="1" si="1974">BA1986*SellCostPct</f>
        <v>913689.64849526528</v>
      </c>
      <c r="BC1986" s="2">
        <f t="shared" ref="BC1986:BC2049" ca="1" si="1975">BA1986-R1986-BB1986</f>
        <v>22546811.762764685</v>
      </c>
      <c r="BD1986" s="2">
        <f t="shared" ref="BD1986:BD2049" ca="1" si="1976">-S1986-Q1986-IntegrationPct*BaseRev</f>
        <v>-16241986.551231517</v>
      </c>
      <c r="BE1986" s="2">
        <f t="shared" ref="BE1986:BE2049" ca="1" si="1977">AV1986</f>
        <v>2468984.2894574143</v>
      </c>
      <c r="BF1986" s="2">
        <f t="shared" ref="BF1986:BF2049" ca="1" si="1978">AW1986</f>
        <v>2559685.0507844733</v>
      </c>
      <c r="BG1986" s="2">
        <f t="shared" ref="BG1986:BG2049" ca="1" si="1979">AX1986</f>
        <v>2552386.2285772897</v>
      </c>
      <c r="BH1986" s="2">
        <f t="shared" ref="BH1986:BH2049" ca="1" si="1980">AY1986</f>
        <v>2545100.5933538135</v>
      </c>
      <c r="BI1986" s="2">
        <f t="shared" ref="BI1986:BI2049" ca="1" si="1981">AZ1986+BC1986</f>
        <v>25084639.884053443</v>
      </c>
      <c r="BJ1986" s="2">
        <f t="shared" ref="BJ1986:BJ2049" ca="1" si="1982">IF(MIN(BD1986:BI1986)*MAX(BD1986:BI1986)&gt;=0, "", IFERROR(IRR(BD1986:BI1986,0.12), IFERROR(IRR(BD1986:BI1986,0.5), IFERROR(IRR(BD1986:BI1986,-0.5),""))))</f>
        <v>0.20706167946894105</v>
      </c>
      <c r="BK1986" s="2">
        <f t="shared" ref="BK1986:BK2049" ca="1" si="1983">NPV(12%,BE1986:BI1986)+BD1986</f>
        <v>5670922.8351261597</v>
      </c>
    </row>
    <row r="1987" spans="1:63" x14ac:dyDescent="0.3">
      <c r="A1987" s="2">
        <v>1986</v>
      </c>
      <c r="B1987" s="2">
        <f t="shared" ca="1" si="1922"/>
        <v>0.66945397723263123</v>
      </c>
      <c r="C1987" s="2">
        <f t="shared" ca="1" si="1923"/>
        <v>7.1869243297609149</v>
      </c>
      <c r="D1987" s="2">
        <f t="shared" ca="1" si="1924"/>
        <v>0.98885216548604871</v>
      </c>
      <c r="E1987" s="2">
        <f t="shared" ca="1" si="1925"/>
        <v>8.3506826566406218</v>
      </c>
      <c r="F1987" s="2">
        <f t="shared" ca="1" si="1926"/>
        <v>0.78289445568480132</v>
      </c>
      <c r="G1987" s="2">
        <f t="shared" ca="1" si="1927"/>
        <v>6.3460177897880304E-2</v>
      </c>
      <c r="H1987" s="2">
        <f t="shared" ca="1" si="1928"/>
        <v>6.3460177897880304E-2</v>
      </c>
      <c r="I1987" s="2">
        <f t="shared" ca="1" si="1929"/>
        <v>0.916288506721046</v>
      </c>
      <c r="J1987" s="2">
        <f t="shared" ca="1" si="1930"/>
        <v>1.6902658657916694E-2</v>
      </c>
      <c r="K1987" s="2">
        <f t="shared" ca="1" si="1931"/>
        <v>1.6902658657916694E-2</v>
      </c>
      <c r="L1987" s="2">
        <f t="shared" ca="1" si="1932"/>
        <v>0.67410425872977253</v>
      </c>
      <c r="M1987" s="2">
        <f t="shared" ca="1" si="1933"/>
        <v>9.0254966201253183E-3</v>
      </c>
      <c r="N1987" s="2">
        <f t="shared" ca="1" si="1934"/>
        <v>9.0254966201253183E-3</v>
      </c>
      <c r="O1987" s="2">
        <f t="shared" si="1935"/>
        <v>6000000</v>
      </c>
      <c r="P1987" s="2">
        <f t="shared" ca="1" si="1936"/>
        <v>43121545.978565492</v>
      </c>
      <c r="Q1987" s="2">
        <f t="shared" ca="1" si="1937"/>
        <v>1078038.6494641374</v>
      </c>
      <c r="R1987" s="2">
        <f t="shared" ca="1" si="1938"/>
        <v>25872927.587139294</v>
      </c>
      <c r="S1987" s="2">
        <f t="shared" ca="1" si="1939"/>
        <v>17248618.391426198</v>
      </c>
      <c r="T1987" s="2">
        <f t="shared" ca="1" si="1940"/>
        <v>50451274.831006266</v>
      </c>
      <c r="U1987" s="2">
        <f t="shared" ca="1" si="1941"/>
        <v>53652921.706956774</v>
      </c>
      <c r="V1987" s="2">
        <f t="shared" ca="1" si="1942"/>
        <v>57057745.663221292</v>
      </c>
      <c r="W1987" s="2">
        <f t="shared" ca="1" si="1943"/>
        <v>60678640.353461325</v>
      </c>
      <c r="X1987" s="2">
        <f t="shared" ca="1" si="1944"/>
        <v>64529317.664893478</v>
      </c>
      <c r="Y1987" s="2">
        <f t="shared" ca="1" si="1945"/>
        <v>0.12845132932895834</v>
      </c>
      <c r="Z1987" s="2">
        <f t="shared" ca="1" si="1946"/>
        <v>0.13183186106054168</v>
      </c>
      <c r="AA1987" s="2">
        <f t="shared" ca="1" si="1947"/>
        <v>6480533.3183833724</v>
      </c>
      <c r="AB1987" s="2">
        <f t="shared" ca="1" si="1948"/>
        <v>7073164.5199636463</v>
      </c>
      <c r="AC1987" s="2">
        <f t="shared" ca="1" si="1949"/>
        <v>7522028.7987015136</v>
      </c>
      <c r="AD1987" s="2">
        <f t="shared" ca="1" si="1950"/>
        <v>7999378.0844200905</v>
      </c>
      <c r="AE1987" s="2">
        <f t="shared" ca="1" si="1951"/>
        <v>8507020.0407297947</v>
      </c>
      <c r="AF1987" s="2">
        <f t="shared" ca="1" si="1952"/>
        <v>1009025.4966201254</v>
      </c>
      <c r="AG1987" s="2">
        <f t="shared" ca="1" si="1953"/>
        <v>1073058.4341391355</v>
      </c>
      <c r="AH1987" s="2">
        <f t="shared" ca="1" si="1954"/>
        <v>1141154.9132644259</v>
      </c>
      <c r="AI1987" s="2">
        <f t="shared" ca="1" si="1955"/>
        <v>1213572.8070692266</v>
      </c>
      <c r="AJ1987" s="2">
        <f t="shared" ca="1" si="1956"/>
        <v>1290586.3532978697</v>
      </c>
      <c r="AK1987" s="2">
        <f t="shared" ca="1" si="1957"/>
        <v>0</v>
      </c>
      <c r="AL1987" s="2">
        <f t="shared" ca="1" si="1958"/>
        <v>32016.468759505078</v>
      </c>
      <c r="AM1987" s="2">
        <f t="shared" ca="1" si="1959"/>
        <v>34048.239562645183</v>
      </c>
      <c r="AN1987" s="2">
        <f t="shared" ca="1" si="1960"/>
        <v>36208.946902400334</v>
      </c>
      <c r="AO1987" s="2">
        <f t="shared" ca="1" si="1961"/>
        <v>38506.773114321528</v>
      </c>
      <c r="AP1987" s="2">
        <f t="shared" ca="1" si="1962"/>
        <v>2328563.4828425362</v>
      </c>
      <c r="AQ1987" s="2">
        <f t="shared" ca="1" si="1963"/>
        <v>817165.52811938489</v>
      </c>
      <c r="AR1987" s="2">
        <f t="shared" ca="1" si="1964"/>
        <v>954601.07677531347</v>
      </c>
      <c r="AS1987" s="2">
        <f t="shared" ca="1" si="1965"/>
        <v>1053600.7046745836</v>
      </c>
      <c r="AT1987" s="2">
        <f t="shared" ca="1" si="1966"/>
        <v>1158882.8665721649</v>
      </c>
      <c r="AU1987" s="2">
        <f t="shared" ca="1" si="1967"/>
        <v>1270846.2531932413</v>
      </c>
      <c r="AV1987" s="2">
        <f t="shared" ca="1" si="1968"/>
        <v>2325778.8108013258</v>
      </c>
      <c r="AW1987" s="2">
        <f t="shared" ca="1" si="1969"/>
        <v>2684925.0574471564</v>
      </c>
      <c r="AX1987" s="2">
        <f t="shared" ca="1" si="1970"/>
        <v>2964661.4583573225</v>
      </c>
      <c r="AY1987" s="2">
        <f t="shared" ca="1" si="1971"/>
        <v>3262149.9810337625</v>
      </c>
      <c r="AZ1987" s="2">
        <f t="shared" ca="1" si="1972"/>
        <v>3578517.1782818255</v>
      </c>
      <c r="BA1987" s="2">
        <f t="shared" ca="1" si="1973"/>
        <v>71039424.713816494</v>
      </c>
      <c r="BB1987" s="2">
        <f t="shared" ca="1" si="1974"/>
        <v>1420788.4942763299</v>
      </c>
      <c r="BC1987" s="2">
        <f t="shared" ca="1" si="1975"/>
        <v>43745708.63240087</v>
      </c>
      <c r="BD1987" s="2">
        <f t="shared" ca="1" si="1976"/>
        <v>-18826657.040890336</v>
      </c>
      <c r="BE1987" s="2">
        <f t="shared" ca="1" si="1977"/>
        <v>2325778.8108013258</v>
      </c>
      <c r="BF1987" s="2">
        <f t="shared" ca="1" si="1978"/>
        <v>2684925.0574471564</v>
      </c>
      <c r="BG1987" s="2">
        <f t="shared" ca="1" si="1979"/>
        <v>2964661.4583573225</v>
      </c>
      <c r="BH1987" s="2">
        <f t="shared" ca="1" si="1980"/>
        <v>3262149.9810337625</v>
      </c>
      <c r="BI1987" s="2">
        <f t="shared" ca="1" si="1981"/>
        <v>47324225.810682699</v>
      </c>
      <c r="BJ1987" s="2">
        <f t="shared" ca="1" si="1982"/>
        <v>0.29647056354992318</v>
      </c>
      <c r="BK1987" s="2">
        <f t="shared" ca="1" si="1983"/>
        <v>16426716.406519644</v>
      </c>
    </row>
    <row r="1988" spans="1:63" x14ac:dyDescent="0.3">
      <c r="A1988" s="2">
        <v>1987</v>
      </c>
      <c r="B1988" s="2">
        <f t="shared" ca="1" si="1922"/>
        <v>8.9825971908571667E-2</v>
      </c>
      <c r="C1988" s="2">
        <f t="shared" ca="1" si="1923"/>
        <v>6.4238536820851548</v>
      </c>
      <c r="D1988" s="2">
        <f t="shared" ca="1" si="1924"/>
        <v>0.41094022210374959</v>
      </c>
      <c r="E1988" s="2">
        <f t="shared" ca="1" si="1925"/>
        <v>7.406576220848252</v>
      </c>
      <c r="F1988" s="2">
        <f t="shared" ca="1" si="1926"/>
        <v>0.37844985638854756</v>
      </c>
      <c r="G1988" s="2">
        <f t="shared" ca="1" si="1927"/>
        <v>3.0713363081228649E-2</v>
      </c>
      <c r="H1988" s="2">
        <f t="shared" ca="1" si="1928"/>
        <v>3.0713363081228649E-2</v>
      </c>
      <c r="I1988" s="2">
        <f t="shared" ca="1" si="1929"/>
        <v>0.57443573618702259</v>
      </c>
      <c r="J1988" s="2">
        <f t="shared" ca="1" si="1930"/>
        <v>1.0938393505504181E-2</v>
      </c>
      <c r="K1988" s="2">
        <f t="shared" ca="1" si="1931"/>
        <v>1.0938393505504181E-2</v>
      </c>
      <c r="L1988" s="2">
        <f t="shared" ca="1" si="1932"/>
        <v>0.41508199994198769</v>
      </c>
      <c r="M1988" s="2">
        <f t="shared" ca="1" si="1933"/>
        <v>-4.2898247383420414E-3</v>
      </c>
      <c r="N1988" s="2">
        <f t="shared" ca="1" si="1934"/>
        <v>-4.2898247383420414E-3</v>
      </c>
      <c r="O1988" s="2">
        <f t="shared" si="1935"/>
        <v>6000000</v>
      </c>
      <c r="P1988" s="2">
        <f t="shared" ca="1" si="1936"/>
        <v>38543122.092510931</v>
      </c>
      <c r="Q1988" s="2">
        <f t="shared" ca="1" si="1937"/>
        <v>963578.0523127733</v>
      </c>
      <c r="R1988" s="2">
        <f t="shared" ca="1" si="1938"/>
        <v>23125873.255506556</v>
      </c>
      <c r="S1988" s="2">
        <f t="shared" ca="1" si="1939"/>
        <v>15417248.837004373</v>
      </c>
      <c r="T1988" s="2">
        <f t="shared" ca="1" si="1940"/>
        <v>49785508.763082899</v>
      </c>
      <c r="U1988" s="2">
        <f t="shared" ca="1" si="1941"/>
        <v>51314589.169907153</v>
      </c>
      <c r="V1988" s="2">
        <f t="shared" ca="1" si="1942"/>
        <v>52890632.778446592</v>
      </c>
      <c r="W1988" s="2">
        <f t="shared" ca="1" si="1943"/>
        <v>54515081.986566953</v>
      </c>
      <c r="X1988" s="2">
        <f t="shared" ca="1" si="1944"/>
        <v>56189423.493023328</v>
      </c>
      <c r="Y1988" s="2">
        <f t="shared" ca="1" si="1945"/>
        <v>0.12546919675275209</v>
      </c>
      <c r="Z1988" s="2">
        <f t="shared" ca="1" si="1946"/>
        <v>0.12765687545385293</v>
      </c>
      <c r="AA1988" s="2">
        <f t="shared" ca="1" si="1947"/>
        <v>6246547.7944311118</v>
      </c>
      <c r="AB1988" s="2">
        <f t="shared" ca="1" si="1948"/>
        <v>6550660.1186284674</v>
      </c>
      <c r="AC1988" s="2">
        <f t="shared" ca="1" si="1949"/>
        <v>6751852.9212736282</v>
      </c>
      <c r="AD1988" s="2">
        <f t="shared" ca="1" si="1950"/>
        <v>6959225.0315157594</v>
      </c>
      <c r="AE1988" s="2">
        <f t="shared" ca="1" si="1951"/>
        <v>7172966.2366726771</v>
      </c>
      <c r="AF1988" s="2">
        <f t="shared" ca="1" si="1952"/>
        <v>995710.17526165803</v>
      </c>
      <c r="AG1988" s="2">
        <f t="shared" ca="1" si="1953"/>
        <v>1026291.7833981431</v>
      </c>
      <c r="AH1988" s="2">
        <f t="shared" ca="1" si="1954"/>
        <v>1057812.655568932</v>
      </c>
      <c r="AI1988" s="2">
        <f t="shared" ca="1" si="1955"/>
        <v>1090301.6397313392</v>
      </c>
      <c r="AJ1988" s="2">
        <f t="shared" ca="1" si="1956"/>
        <v>1123788.4698604667</v>
      </c>
      <c r="AK1988" s="2">
        <f t="shared" ca="1" si="1957"/>
        <v>0</v>
      </c>
      <c r="AL1988" s="2">
        <f t="shared" ca="1" si="1958"/>
        <v>15290.804068242534</v>
      </c>
      <c r="AM1988" s="2">
        <f t="shared" ca="1" si="1959"/>
        <v>15760.436085394398</v>
      </c>
      <c r="AN1988" s="2">
        <f t="shared" ca="1" si="1960"/>
        <v>16244.492081203611</v>
      </c>
      <c r="AO1988" s="2">
        <f t="shared" ca="1" si="1961"/>
        <v>16743.415064563753</v>
      </c>
      <c r="AP1988" s="2">
        <f t="shared" ca="1" si="1962"/>
        <v>2081328.5929955901</v>
      </c>
      <c r="AQ1988" s="2">
        <f t="shared" ca="1" si="1963"/>
        <v>824072.34680520464</v>
      </c>
      <c r="AR1988" s="2">
        <f t="shared" ca="1" si="1964"/>
        <v>895190.33298103092</v>
      </c>
      <c r="AS1988" s="2">
        <f t="shared" ca="1" si="1965"/>
        <v>939305.03490436764</v>
      </c>
      <c r="AT1988" s="2">
        <f t="shared" ca="1" si="1966"/>
        <v>984774.6476850959</v>
      </c>
      <c r="AU1988" s="2">
        <f t="shared" ca="1" si="1967"/>
        <v>1031640.7851923214</v>
      </c>
      <c r="AV1988" s="2">
        <f t="shared" ca="1" si="1968"/>
        <v>2345436.6793686594</v>
      </c>
      <c r="AW1988" s="2">
        <f t="shared" ca="1" si="1969"/>
        <v>2532558.6051854617</v>
      </c>
      <c r="AX1988" s="2">
        <f t="shared" ca="1" si="1970"/>
        <v>2657646.2017193441</v>
      </c>
      <c r="AY1988" s="2">
        <f t="shared" ca="1" si="1971"/>
        <v>2786575.659022531</v>
      </c>
      <c r="AZ1988" s="2">
        <f t="shared" ca="1" si="1972"/>
        <v>2919464.9735597358</v>
      </c>
      <c r="BA1988" s="2">
        <f t="shared" ca="1" si="1973"/>
        <v>53127121.161487222</v>
      </c>
      <c r="BB1988" s="2">
        <f t="shared" ca="1" si="1974"/>
        <v>1062542.4232297444</v>
      </c>
      <c r="BC1988" s="2">
        <f t="shared" ca="1" si="1975"/>
        <v>28938705.482750922</v>
      </c>
      <c r="BD1988" s="2">
        <f t="shared" ca="1" si="1976"/>
        <v>-16880826.889317147</v>
      </c>
      <c r="BE1988" s="2">
        <f t="shared" ca="1" si="1977"/>
        <v>2345436.6793686594</v>
      </c>
      <c r="BF1988" s="2">
        <f t="shared" ca="1" si="1978"/>
        <v>2532558.6051854617</v>
      </c>
      <c r="BG1988" s="2">
        <f t="shared" ca="1" si="1979"/>
        <v>2657646.2017193441</v>
      </c>
      <c r="BH1988" s="2">
        <f t="shared" ca="1" si="1980"/>
        <v>2786575.659022531</v>
      </c>
      <c r="BI1988" s="2">
        <f t="shared" ca="1" si="1981"/>
        <v>31858170.45631066</v>
      </c>
      <c r="BJ1988" s="2">
        <f t="shared" ca="1" si="1982"/>
        <v>0.24177152556308812</v>
      </c>
      <c r="BK1988" s="2">
        <f t="shared" ca="1" si="1983"/>
        <v>8972013.9887526631</v>
      </c>
    </row>
    <row r="1989" spans="1:63" x14ac:dyDescent="0.3">
      <c r="A1989" s="2">
        <v>1988</v>
      </c>
      <c r="B1989" s="2">
        <f t="shared" ca="1" si="1922"/>
        <v>8.8692168566717466E-4</v>
      </c>
      <c r="C1989" s="2">
        <f t="shared" ca="1" si="1923"/>
        <v>6.0421170199721486</v>
      </c>
      <c r="D1989" s="2">
        <f t="shared" ca="1" si="1924"/>
        <v>0.54897248584329106</v>
      </c>
      <c r="E1989" s="2">
        <f t="shared" ca="1" si="1925"/>
        <v>7.5502342244987881</v>
      </c>
      <c r="F1989" s="2">
        <f t="shared" ca="1" si="1926"/>
        <v>0.33701354199439593</v>
      </c>
      <c r="G1989" s="2">
        <f t="shared" ca="1" si="1927"/>
        <v>2.738117395316432E-2</v>
      </c>
      <c r="H1989" s="2">
        <f t="shared" ca="1" si="1928"/>
        <v>2.738117395316432E-2</v>
      </c>
      <c r="I1989" s="2">
        <f t="shared" ca="1" si="1929"/>
        <v>0.95525491812762497</v>
      </c>
      <c r="J1989" s="2">
        <f t="shared" ca="1" si="1930"/>
        <v>1.8490466240120337E-2</v>
      </c>
      <c r="K1989" s="2">
        <f t="shared" ca="1" si="1931"/>
        <v>1.8490466240120337E-2</v>
      </c>
      <c r="L1989" s="2">
        <f t="shared" ca="1" si="1932"/>
        <v>0.18361678293250772</v>
      </c>
      <c r="M1989" s="2">
        <f t="shared" ca="1" si="1933"/>
        <v>-1.8033348361839577E-2</v>
      </c>
      <c r="N1989" s="2">
        <f t="shared" ca="1" si="1934"/>
        <v>-1.8033348361839577E-2</v>
      </c>
      <c r="O1989" s="2">
        <f t="shared" si="1935"/>
        <v>6000000</v>
      </c>
      <c r="P1989" s="2">
        <f t="shared" ca="1" si="1936"/>
        <v>36252702.119832888</v>
      </c>
      <c r="Q1989" s="2">
        <f t="shared" ca="1" si="1937"/>
        <v>906317.55299582228</v>
      </c>
      <c r="R1989" s="2">
        <f t="shared" ca="1" si="1938"/>
        <v>21751621.271899734</v>
      </c>
      <c r="S1989" s="2">
        <f t="shared" ca="1" si="1939"/>
        <v>14501080.847933156</v>
      </c>
      <c r="T1989" s="2">
        <f t="shared" ca="1" si="1940"/>
        <v>49098332.581908025</v>
      </c>
      <c r="U1989" s="2">
        <f t="shared" ca="1" si="1941"/>
        <v>50442702.567143567</v>
      </c>
      <c r="V1989" s="2">
        <f t="shared" ca="1" si="1942"/>
        <v>51823882.98080226</v>
      </c>
      <c r="W1989" s="2">
        <f t="shared" ca="1" si="1943"/>
        <v>53242881.735628046</v>
      </c>
      <c r="X1989" s="2">
        <f t="shared" ca="1" si="1944"/>
        <v>54700734.342199035</v>
      </c>
      <c r="Y1989" s="2">
        <f t="shared" ca="1" si="1945"/>
        <v>0.12924523312006017</v>
      </c>
      <c r="Z1989" s="2">
        <f t="shared" ca="1" si="1946"/>
        <v>0.13294332636808423</v>
      </c>
      <c r="AA1989" s="2">
        <f t="shared" ca="1" si="1947"/>
        <v>6345725.4403549489</v>
      </c>
      <c r="AB1989" s="2">
        <f t="shared" ca="1" si="1948"/>
        <v>6706020.6702719675</v>
      </c>
      <c r="AC1989" s="2">
        <f t="shared" ca="1" si="1949"/>
        <v>6889639.3887782004</v>
      </c>
      <c r="AD1989" s="2">
        <f t="shared" ca="1" si="1950"/>
        <v>7078285.8033569101</v>
      </c>
      <c r="AE1989" s="2">
        <f t="shared" ca="1" si="1951"/>
        <v>7272097.5782288397</v>
      </c>
      <c r="AF1989" s="2">
        <f t="shared" ca="1" si="1952"/>
        <v>981966.65163816046</v>
      </c>
      <c r="AG1989" s="2">
        <f t="shared" ca="1" si="1953"/>
        <v>1008854.0513428714</v>
      </c>
      <c r="AH1989" s="2">
        <f t="shared" ca="1" si="1954"/>
        <v>1036477.6596160452</v>
      </c>
      <c r="AI1989" s="2">
        <f t="shared" ca="1" si="1955"/>
        <v>1064857.634712561</v>
      </c>
      <c r="AJ1989" s="2">
        <f t="shared" ca="1" si="1956"/>
        <v>1094014.6868439808</v>
      </c>
      <c r="AK1989" s="2">
        <f t="shared" ca="1" si="1957"/>
        <v>0</v>
      </c>
      <c r="AL1989" s="2">
        <f t="shared" ca="1" si="1958"/>
        <v>13443.699852355421</v>
      </c>
      <c r="AM1989" s="2">
        <f t="shared" ca="1" si="1959"/>
        <v>13811.804136586934</v>
      </c>
      <c r="AN1989" s="2">
        <f t="shared" ca="1" si="1960"/>
        <v>14189.987548257857</v>
      </c>
      <c r="AO1989" s="2">
        <f t="shared" ca="1" si="1961"/>
        <v>14578.52606570989</v>
      </c>
      <c r="AP1989" s="2">
        <f t="shared" ca="1" si="1962"/>
        <v>1957645.914470976</v>
      </c>
      <c r="AQ1989" s="2">
        <f t="shared" ca="1" si="1963"/>
        <v>885589.34730391123</v>
      </c>
      <c r="AR1989" s="2">
        <f t="shared" ca="1" si="1964"/>
        <v>972275.38315911125</v>
      </c>
      <c r="AS1989" s="2">
        <f t="shared" ca="1" si="1965"/>
        <v>1012834.1118197064</v>
      </c>
      <c r="AT1989" s="2">
        <f t="shared" ca="1" si="1966"/>
        <v>1054503.386085077</v>
      </c>
      <c r="AU1989" s="2">
        <f t="shared" ca="1" si="1967"/>
        <v>1097313.6139976094</v>
      </c>
      <c r="AV1989" s="2">
        <f t="shared" ca="1" si="1968"/>
        <v>2520523.5269419011</v>
      </c>
      <c r="AW1989" s="2">
        <f t="shared" ca="1" si="1969"/>
        <v>2753801.6214466533</v>
      </c>
      <c r="AX1989" s="2">
        <f t="shared" ca="1" si="1970"/>
        <v>2868869.8987348843</v>
      </c>
      <c r="AY1989" s="2">
        <f t="shared" ca="1" si="1971"/>
        <v>2987088.8805400375</v>
      </c>
      <c r="AZ1989" s="2">
        <f t="shared" ca="1" si="1972"/>
        <v>3108544.8368505631</v>
      </c>
      <c r="BA1989" s="2">
        <f t="shared" ca="1" si="1973"/>
        <v>54906040.019038141</v>
      </c>
      <c r="BB1989" s="2">
        <f t="shared" ca="1" si="1974"/>
        <v>1098120.8003807629</v>
      </c>
      <c r="BC1989" s="2">
        <f t="shared" ca="1" si="1975"/>
        <v>32056297.946757644</v>
      </c>
      <c r="BD1989" s="2">
        <f t="shared" ca="1" si="1976"/>
        <v>-15907398.400928978</v>
      </c>
      <c r="BE1989" s="2">
        <f t="shared" ca="1" si="1977"/>
        <v>2520523.5269419011</v>
      </c>
      <c r="BF1989" s="2">
        <f t="shared" ca="1" si="1978"/>
        <v>2753801.6214466533</v>
      </c>
      <c r="BG1989" s="2">
        <f t="shared" ca="1" si="1979"/>
        <v>2868869.8987348843</v>
      </c>
      <c r="BH1989" s="2">
        <f t="shared" ca="1" si="1980"/>
        <v>2987088.8805400375</v>
      </c>
      <c r="BI1989" s="2">
        <f t="shared" ca="1" si="1981"/>
        <v>35164842.783608206</v>
      </c>
      <c r="BJ1989" s="2">
        <f t="shared" ca="1" si="1982"/>
        <v>0.28918299803507708</v>
      </c>
      <c r="BK1989" s="2">
        <f t="shared" ca="1" si="1983"/>
        <v>12432212.911840793</v>
      </c>
    </row>
    <row r="1990" spans="1:63" x14ac:dyDescent="0.3">
      <c r="A1990" s="2">
        <v>1989</v>
      </c>
      <c r="B1990" s="2">
        <f t="shared" ca="1" si="1922"/>
        <v>0.67442154871417404</v>
      </c>
      <c r="C1990" s="2">
        <f t="shared" ca="1" si="1923"/>
        <v>7.1930570636211923</v>
      </c>
      <c r="D1990" s="2">
        <f t="shared" ca="1" si="1924"/>
        <v>0.47707780663412824</v>
      </c>
      <c r="E1990" s="2">
        <f t="shared" ca="1" si="1925"/>
        <v>7.4768088929101006</v>
      </c>
      <c r="F1990" s="2">
        <f t="shared" ca="1" si="1926"/>
        <v>0.26044996316109048</v>
      </c>
      <c r="G1990" s="2">
        <f t="shared" ca="1" si="1927"/>
        <v>2.0741235637516071E-2</v>
      </c>
      <c r="H1990" s="2">
        <f t="shared" ca="1" si="1928"/>
        <v>2.0741235637516071E-2</v>
      </c>
      <c r="I1990" s="2">
        <f t="shared" ca="1" si="1929"/>
        <v>0.53426192304367404</v>
      </c>
      <c r="J1990" s="2">
        <f t="shared" ca="1" si="1930"/>
        <v>1.0429938758351544E-2</v>
      </c>
      <c r="K1990" s="2">
        <f t="shared" ca="1" si="1931"/>
        <v>1.0429938758351544E-2</v>
      </c>
      <c r="L1990" s="2">
        <f t="shared" ca="1" si="1932"/>
        <v>0.40341102810261686</v>
      </c>
      <c r="M1990" s="2">
        <f t="shared" ca="1" si="1933"/>
        <v>-4.8905564606625609E-3</v>
      </c>
      <c r="N1990" s="2">
        <f t="shared" ca="1" si="1934"/>
        <v>-4.8905564606625609E-3</v>
      </c>
      <c r="O1990" s="2">
        <f t="shared" si="1935"/>
        <v>6000000</v>
      </c>
      <c r="P1990" s="2">
        <f t="shared" ca="1" si="1936"/>
        <v>43158342.381727152</v>
      </c>
      <c r="Q1990" s="2">
        <f t="shared" ca="1" si="1937"/>
        <v>1078958.5595431789</v>
      </c>
      <c r="R1990" s="2">
        <f t="shared" ca="1" si="1938"/>
        <v>25895005.429036289</v>
      </c>
      <c r="S1990" s="2">
        <f t="shared" ca="1" si="1939"/>
        <v>17263336.952690862</v>
      </c>
      <c r="T1990" s="2">
        <f t="shared" ca="1" si="1940"/>
        <v>49755472.176966868</v>
      </c>
      <c r="U1990" s="2">
        <f t="shared" ca="1" si="1941"/>
        <v>50787462.149645209</v>
      </c>
      <c r="V1990" s="2">
        <f t="shared" ca="1" si="1942"/>
        <v>51840856.86952243</v>
      </c>
      <c r="W1990" s="2">
        <f t="shared" ca="1" si="1943"/>
        <v>52916100.297503941</v>
      </c>
      <c r="X1990" s="2">
        <f t="shared" ca="1" si="1944"/>
        <v>54013645.602792904</v>
      </c>
      <c r="Y1990" s="2">
        <f t="shared" ca="1" si="1945"/>
        <v>0.12521496937917576</v>
      </c>
      <c r="Z1990" s="2">
        <f t="shared" ca="1" si="1946"/>
        <v>0.12730095713084608</v>
      </c>
      <c r="AA1990" s="2">
        <f t="shared" ca="1" si="1947"/>
        <v>6230129.9250853378</v>
      </c>
      <c r="AB1990" s="2">
        <f t="shared" ca="1" si="1948"/>
        <v>6465292.5418964522</v>
      </c>
      <c r="AC1990" s="2">
        <f t="shared" ca="1" si="1949"/>
        <v>6599390.6979734022</v>
      </c>
      <c r="AD1990" s="2">
        <f t="shared" ca="1" si="1950"/>
        <v>6736270.2155041005</v>
      </c>
      <c r="AE1990" s="2">
        <f t="shared" ca="1" si="1951"/>
        <v>6875988.7833618522</v>
      </c>
      <c r="AF1990" s="2">
        <f t="shared" ca="1" si="1952"/>
        <v>995109.44353933737</v>
      </c>
      <c r="AG1990" s="2">
        <f t="shared" ca="1" si="1953"/>
        <v>1015749.2429929042</v>
      </c>
      <c r="AH1990" s="2">
        <f t="shared" ca="1" si="1954"/>
        <v>1036817.1373904486</v>
      </c>
      <c r="AI1990" s="2">
        <f t="shared" ca="1" si="1955"/>
        <v>1058322.0059500788</v>
      </c>
      <c r="AJ1990" s="2">
        <f t="shared" ca="1" si="1956"/>
        <v>1080272.9120558582</v>
      </c>
      <c r="AK1990" s="2">
        <f t="shared" ca="1" si="1957"/>
        <v>0</v>
      </c>
      <c r="AL1990" s="2">
        <f t="shared" ca="1" si="1958"/>
        <v>10319.899726783409</v>
      </c>
      <c r="AM1990" s="2">
        <f t="shared" ca="1" si="1959"/>
        <v>10533.947198772206</v>
      </c>
      <c r="AN1990" s="2">
        <f t="shared" ca="1" si="1960"/>
        <v>10752.434279815108</v>
      </c>
      <c r="AO1990" s="2">
        <f t="shared" ca="1" si="1961"/>
        <v>10975.45305288963</v>
      </c>
      <c r="AP1990" s="2">
        <f t="shared" ca="1" si="1962"/>
        <v>2330550.488613266</v>
      </c>
      <c r="AQ1990" s="2">
        <f t="shared" ca="1" si="1963"/>
        <v>755162.19816251099</v>
      </c>
      <c r="AR1990" s="2">
        <f t="shared" ca="1" si="1964"/>
        <v>810938.13067547337</v>
      </c>
      <c r="AS1990" s="2">
        <f t="shared" ca="1" si="1965"/>
        <v>840325.99871211872</v>
      </c>
      <c r="AT1990" s="2">
        <f t="shared" ca="1" si="1966"/>
        <v>870323.40744459664</v>
      </c>
      <c r="AU1990" s="2">
        <f t="shared" ca="1" si="1967"/>
        <v>900942.99950010923</v>
      </c>
      <c r="AV1990" s="2">
        <f t="shared" ca="1" si="1968"/>
        <v>2149307.7947702236</v>
      </c>
      <c r="AW1990" s="2">
        <f t="shared" ca="1" si="1969"/>
        <v>2297734.779888025</v>
      </c>
      <c r="AX1990" s="2">
        <f t="shared" ca="1" si="1970"/>
        <v>2381163.1260587969</v>
      </c>
      <c r="AY1990" s="2">
        <f t="shared" ca="1" si="1971"/>
        <v>2466321.8792163446</v>
      </c>
      <c r="AZ1990" s="2">
        <f t="shared" ca="1" si="1972"/>
        <v>2553246.9301397293</v>
      </c>
      <c r="BA1990" s="2">
        <f t="shared" ca="1" si="1973"/>
        <v>51410454.082989998</v>
      </c>
      <c r="BB1990" s="2">
        <f t="shared" ca="1" si="1974"/>
        <v>1028209.0816598</v>
      </c>
      <c r="BC1990" s="2">
        <f t="shared" ca="1" si="1975"/>
        <v>24487239.572293907</v>
      </c>
      <c r="BD1990" s="2">
        <f t="shared" ca="1" si="1976"/>
        <v>-18842295.51223404</v>
      </c>
      <c r="BE1990" s="2">
        <f t="shared" ca="1" si="1977"/>
        <v>2149307.7947702236</v>
      </c>
      <c r="BF1990" s="2">
        <f t="shared" ca="1" si="1978"/>
        <v>2297734.779888025</v>
      </c>
      <c r="BG1990" s="2">
        <f t="shared" ca="1" si="1979"/>
        <v>2381163.1260587969</v>
      </c>
      <c r="BH1990" s="2">
        <f t="shared" ca="1" si="1980"/>
        <v>2466321.8792163446</v>
      </c>
      <c r="BI1990" s="2">
        <f t="shared" ca="1" si="1981"/>
        <v>27040486.502433635</v>
      </c>
      <c r="BJ1990" s="2">
        <f t="shared" ca="1" si="1982"/>
        <v>0.16711123031004638</v>
      </c>
      <c r="BK1990" s="2">
        <f t="shared" ca="1" si="1983"/>
        <v>3514224.6578226537</v>
      </c>
    </row>
    <row r="1991" spans="1:63" x14ac:dyDescent="0.3">
      <c r="A1991" s="2">
        <v>1990</v>
      </c>
      <c r="B1991" s="2">
        <f t="shared" ca="1" si="1922"/>
        <v>0.11965513147371865</v>
      </c>
      <c r="C1991" s="2">
        <f t="shared" ca="1" si="1923"/>
        <v>6.4891934821187185</v>
      </c>
      <c r="D1991" s="2">
        <f t="shared" ca="1" si="1924"/>
        <v>8.9441927532455057E-2</v>
      </c>
      <c r="E1991" s="2">
        <f t="shared" ca="1" si="1925"/>
        <v>6.9229466338261956</v>
      </c>
      <c r="F1991" s="2">
        <f t="shared" ca="1" si="1926"/>
        <v>0.49591661654232622</v>
      </c>
      <c r="G1991" s="2">
        <f t="shared" ca="1" si="1927"/>
        <v>3.9692928905195685E-2</v>
      </c>
      <c r="H1991" s="2">
        <f t="shared" ca="1" si="1928"/>
        <v>3.9692928905195685E-2</v>
      </c>
      <c r="I1991" s="2">
        <f t="shared" ca="1" si="1929"/>
        <v>0.27005672972123118</v>
      </c>
      <c r="J1991" s="2">
        <f t="shared" ca="1" si="1930"/>
        <v>6.9367928629721527E-3</v>
      </c>
      <c r="K1991" s="2">
        <f t="shared" ca="1" si="1931"/>
        <v>6.9367928629721527E-3</v>
      </c>
      <c r="L1991" s="2">
        <f t="shared" ca="1" si="1932"/>
        <v>0.65680300568549999</v>
      </c>
      <c r="M1991" s="2">
        <f t="shared" ca="1" si="1933"/>
        <v>8.0750701370986624E-3</v>
      </c>
      <c r="N1991" s="2">
        <f t="shared" ca="1" si="1934"/>
        <v>8.0750701370986624E-3</v>
      </c>
      <c r="O1991" s="2">
        <f t="shared" si="1935"/>
        <v>6000000</v>
      </c>
      <c r="P1991" s="2">
        <f t="shared" ca="1" si="1936"/>
        <v>38935160.89271231</v>
      </c>
      <c r="Q1991" s="2">
        <f t="shared" ca="1" si="1937"/>
        <v>973379.02231780777</v>
      </c>
      <c r="R1991" s="2">
        <f t="shared" ca="1" si="1938"/>
        <v>23361096.535627384</v>
      </c>
      <c r="S1991" s="2">
        <f t="shared" ca="1" si="1939"/>
        <v>15574064.357084924</v>
      </c>
      <c r="T1991" s="2">
        <f t="shared" ca="1" si="1940"/>
        <v>50403753.506854929</v>
      </c>
      <c r="U1991" s="2">
        <f t="shared" ca="1" si="1941"/>
        <v>52404426.111357532</v>
      </c>
      <c r="V1991" s="2">
        <f t="shared" ca="1" si="1942"/>
        <v>54484511.271313228</v>
      </c>
      <c r="W1991" s="2">
        <f t="shared" ca="1" si="1943"/>
        <v>56647161.103639796</v>
      </c>
      <c r="X1991" s="2">
        <f t="shared" ca="1" si="1944"/>
        <v>58895652.842007741</v>
      </c>
      <c r="Y1991" s="2">
        <f t="shared" ca="1" si="1945"/>
        <v>0.12346839643148608</v>
      </c>
      <c r="Z1991" s="2">
        <f t="shared" ca="1" si="1946"/>
        <v>0.1248557550040805</v>
      </c>
      <c r="AA1991" s="2">
        <f t="shared" ca="1" si="1947"/>
        <v>6223270.6196192708</v>
      </c>
      <c r="AB1991" s="2">
        <f t="shared" ca="1" si="1948"/>
        <v>6542994.1876890948</v>
      </c>
      <c r="AC1991" s="2">
        <f t="shared" ca="1" si="1949"/>
        <v>6802704.7908081468</v>
      </c>
      <c r="AD1991" s="2">
        <f t="shared" ca="1" si="1950"/>
        <v>7072724.0684327288</v>
      </c>
      <c r="AE1991" s="2">
        <f t="shared" ca="1" si="1951"/>
        <v>7353461.2020470956</v>
      </c>
      <c r="AF1991" s="2">
        <f t="shared" ca="1" si="1952"/>
        <v>1008075.0701370985</v>
      </c>
      <c r="AG1991" s="2">
        <f t="shared" ca="1" si="1953"/>
        <v>1048088.5222271506</v>
      </c>
      <c r="AH1991" s="2">
        <f t="shared" ca="1" si="1954"/>
        <v>1089690.2254262646</v>
      </c>
      <c r="AI1991" s="2">
        <f t="shared" ca="1" si="1955"/>
        <v>1132943.222072796</v>
      </c>
      <c r="AJ1991" s="2">
        <f t="shared" ca="1" si="1956"/>
        <v>1177913.0568401548</v>
      </c>
      <c r="AK1991" s="2">
        <f t="shared" ca="1" si="1957"/>
        <v>0</v>
      </c>
      <c r="AL1991" s="2">
        <f t="shared" ca="1" si="1958"/>
        <v>20006.726045026033</v>
      </c>
      <c r="AM1991" s="2">
        <f t="shared" ca="1" si="1959"/>
        <v>20800.851599556954</v>
      </c>
      <c r="AN1991" s="2">
        <f t="shared" ca="1" si="1960"/>
        <v>21626.498323265689</v>
      </c>
      <c r="AO1991" s="2">
        <f t="shared" ca="1" si="1961"/>
        <v>22484.917383679451</v>
      </c>
      <c r="AP1991" s="2">
        <f t="shared" ca="1" si="1962"/>
        <v>2102498.6882064645</v>
      </c>
      <c r="AQ1991" s="2">
        <f t="shared" ca="1" si="1963"/>
        <v>809301.18393168412</v>
      </c>
      <c r="AR1991" s="2">
        <f t="shared" ca="1" si="1964"/>
        <v>882025.81408642477</v>
      </c>
      <c r="AS1991" s="2">
        <f t="shared" ca="1" si="1965"/>
        <v>938734.12806560879</v>
      </c>
      <c r="AT1991" s="2">
        <f t="shared" ca="1" si="1966"/>
        <v>997693.36111990176</v>
      </c>
      <c r="AU1991" s="2">
        <f t="shared" ca="1" si="1967"/>
        <v>1058992.8588201241</v>
      </c>
      <c r="AV1991" s="2">
        <f t="shared" ca="1" si="1968"/>
        <v>2303395.6773440237</v>
      </c>
      <c r="AW1991" s="2">
        <f t="shared" ca="1" si="1969"/>
        <v>2490374.4371240283</v>
      </c>
      <c r="AX1991" s="2">
        <f t="shared" ca="1" si="1970"/>
        <v>2650980.8975102524</v>
      </c>
      <c r="AY1991" s="2">
        <f t="shared" ca="1" si="1971"/>
        <v>2817962.2987103011</v>
      </c>
      <c r="AZ1991" s="2">
        <f t="shared" ca="1" si="1972"/>
        <v>2991571.6807966731</v>
      </c>
      <c r="BA1991" s="2">
        <f t="shared" ca="1" si="1973"/>
        <v>50907619.475683473</v>
      </c>
      <c r="BB1991" s="2">
        <f t="shared" ca="1" si="1974"/>
        <v>1018152.3895136695</v>
      </c>
      <c r="BC1991" s="2">
        <f t="shared" ca="1" si="1975"/>
        <v>26528370.550542422</v>
      </c>
      <c r="BD1991" s="2">
        <f t="shared" ca="1" si="1976"/>
        <v>-17047443.379402734</v>
      </c>
      <c r="BE1991" s="2">
        <f t="shared" ca="1" si="1977"/>
        <v>2303395.6773440237</v>
      </c>
      <c r="BF1991" s="2">
        <f t="shared" ca="1" si="1978"/>
        <v>2490374.4371240283</v>
      </c>
      <c r="BG1991" s="2">
        <f t="shared" ca="1" si="1979"/>
        <v>2650980.8975102524</v>
      </c>
      <c r="BH1991" s="2">
        <f t="shared" ca="1" si="1980"/>
        <v>2817962.2987103011</v>
      </c>
      <c r="BI1991" s="2">
        <f t="shared" ca="1" si="1981"/>
        <v>29519942.231339093</v>
      </c>
      <c r="BJ1991" s="2">
        <f t="shared" ca="1" si="1982"/>
        <v>0.222978269575554</v>
      </c>
      <c r="BK1991" s="2">
        <f t="shared" ca="1" si="1983"/>
        <v>7422660.9846205153</v>
      </c>
    </row>
    <row r="1992" spans="1:63" x14ac:dyDescent="0.3">
      <c r="A1992" s="2">
        <v>1991</v>
      </c>
      <c r="B1992" s="2">
        <f t="shared" ca="1" si="1922"/>
        <v>0.29508788669152186</v>
      </c>
      <c r="C1992" s="2">
        <f t="shared" ca="1" si="1923"/>
        <v>6.7682289849927848</v>
      </c>
      <c r="D1992" s="2">
        <f t="shared" ca="1" si="1924"/>
        <v>0.5124047697696682</v>
      </c>
      <c r="E1992" s="2">
        <f t="shared" ca="1" si="1925"/>
        <v>7.5124826783996834</v>
      </c>
      <c r="F1992" s="2">
        <f t="shared" ca="1" si="1926"/>
        <v>0.14615613101524838</v>
      </c>
      <c r="G1992" s="2">
        <f t="shared" ca="1" si="1927"/>
        <v>8.4081193555437042E-3</v>
      </c>
      <c r="H1992" s="2">
        <f t="shared" ca="1" si="1928"/>
        <v>8.4081193555437042E-3</v>
      </c>
      <c r="I1992" s="2">
        <f t="shared" ca="1" si="1929"/>
        <v>0.35325250865955382</v>
      </c>
      <c r="J1992" s="2">
        <f t="shared" ca="1" si="1930"/>
        <v>8.117229590644601E-3</v>
      </c>
      <c r="K1992" s="2">
        <f t="shared" ca="1" si="1931"/>
        <v>8.117229590644601E-3</v>
      </c>
      <c r="L1992" s="2">
        <f t="shared" ca="1" si="1932"/>
        <v>0.99093880272873947</v>
      </c>
      <c r="M1992" s="2">
        <f t="shared" ca="1" si="1933"/>
        <v>4.726215711166374E-2</v>
      </c>
      <c r="N1992" s="2">
        <f t="shared" ca="1" si="1934"/>
        <v>4.726215711166374E-2</v>
      </c>
      <c r="O1992" s="2">
        <f t="shared" si="1935"/>
        <v>6000000</v>
      </c>
      <c r="P1992" s="2">
        <f t="shared" ca="1" si="1936"/>
        <v>40609373.909956709</v>
      </c>
      <c r="Q1992" s="2">
        <f t="shared" ca="1" si="1937"/>
        <v>1015234.3477489178</v>
      </c>
      <c r="R1992" s="2">
        <f t="shared" ca="1" si="1938"/>
        <v>24365624.345974024</v>
      </c>
      <c r="S1992" s="2">
        <f t="shared" ca="1" si="1939"/>
        <v>16243749.563982684</v>
      </c>
      <c r="T1992" s="2">
        <f t="shared" ca="1" si="1940"/>
        <v>52363107.855583191</v>
      </c>
      <c r="U1992" s="2">
        <f t="shared" ca="1" si="1941"/>
        <v>52803383.116260141</v>
      </c>
      <c r="V1992" s="2">
        <f t="shared" ca="1" si="1942"/>
        <v>53247360.263878152</v>
      </c>
      <c r="W1992" s="2">
        <f t="shared" ca="1" si="1943"/>
        <v>53695070.424344473</v>
      </c>
      <c r="X1992" s="2">
        <f t="shared" ca="1" si="1944"/>
        <v>54146544.985276684</v>
      </c>
      <c r="Y1992" s="2">
        <f t="shared" ca="1" si="1945"/>
        <v>0.12405861479532229</v>
      </c>
      <c r="Z1992" s="2">
        <f t="shared" ca="1" si="1946"/>
        <v>0.12568206071345123</v>
      </c>
      <c r="AA1992" s="2">
        <f t="shared" ca="1" si="1947"/>
        <v>6496094.6269417098</v>
      </c>
      <c r="AB1992" s="2">
        <f t="shared" ca="1" si="1948"/>
        <v>6636438.0026934324</v>
      </c>
      <c r="AC1992" s="2">
        <f t="shared" ca="1" si="1949"/>
        <v>6692237.9655157439</v>
      </c>
      <c r="AD1992" s="2">
        <f t="shared" ca="1" si="1950"/>
        <v>6748507.1010855017</v>
      </c>
      <c r="AE1992" s="2">
        <f t="shared" ca="1" si="1951"/>
        <v>6805249.3542631622</v>
      </c>
      <c r="AF1992" s="2">
        <f t="shared" ca="1" si="1952"/>
        <v>1047262.1571116638</v>
      </c>
      <c r="AG1992" s="2">
        <f t="shared" ca="1" si="1953"/>
        <v>1056067.662325203</v>
      </c>
      <c r="AH1992" s="2">
        <f t="shared" ca="1" si="1954"/>
        <v>1064947.2052775631</v>
      </c>
      <c r="AI1992" s="2">
        <f t="shared" ca="1" si="1955"/>
        <v>1073901.4084868894</v>
      </c>
      <c r="AJ1992" s="2">
        <f t="shared" ca="1" si="1956"/>
        <v>1082930.8997055336</v>
      </c>
      <c r="AK1992" s="2">
        <f t="shared" ca="1" si="1957"/>
        <v>0</v>
      </c>
      <c r="AL1992" s="2">
        <f t="shared" ca="1" si="1958"/>
        <v>4402.7526067695026</v>
      </c>
      <c r="AM1992" s="2">
        <f t="shared" ca="1" si="1959"/>
        <v>4439.7714761801062</v>
      </c>
      <c r="AN1992" s="2">
        <f t="shared" ca="1" si="1960"/>
        <v>4477.1016046632085</v>
      </c>
      <c r="AO1992" s="2">
        <f t="shared" ca="1" si="1961"/>
        <v>4514.7456093221163</v>
      </c>
      <c r="AP1992" s="2">
        <f t="shared" ca="1" si="1962"/>
        <v>2192906.1911376622</v>
      </c>
      <c r="AQ1992" s="2">
        <f t="shared" ca="1" si="1963"/>
        <v>846540.83246001974</v>
      </c>
      <c r="AR1992" s="2">
        <f t="shared" ca="1" si="1964"/>
        <v>880740.67879994761</v>
      </c>
      <c r="AS1992" s="2">
        <f t="shared" ca="1" si="1965"/>
        <v>892939.98796613491</v>
      </c>
      <c r="AT1992" s="2">
        <f t="shared" ca="1" si="1966"/>
        <v>905241.87037984701</v>
      </c>
      <c r="AU1992" s="2">
        <f t="shared" ca="1" si="1967"/>
        <v>917647.18848919123</v>
      </c>
      <c r="AV1992" s="2">
        <f t="shared" ca="1" si="1968"/>
        <v>2409385.4462323636</v>
      </c>
      <c r="AW1992" s="2">
        <f t="shared" ca="1" si="1969"/>
        <v>2502320.7178238509</v>
      </c>
      <c r="AX1992" s="2">
        <f t="shared" ca="1" si="1970"/>
        <v>2537004.8096582033</v>
      </c>
      <c r="AY1992" s="2">
        <f t="shared" ca="1" si="1971"/>
        <v>2571980.5294764396</v>
      </c>
      <c r="AZ1992" s="2">
        <f t="shared" ca="1" si="1972"/>
        <v>2607250.3293214524</v>
      </c>
      <c r="BA1992" s="2">
        <f t="shared" ca="1" si="1973"/>
        <v>51124317.896092638</v>
      </c>
      <c r="BB1992" s="2">
        <f t="shared" ca="1" si="1974"/>
        <v>1022486.3579218528</v>
      </c>
      <c r="BC1992" s="2">
        <f t="shared" ca="1" si="1975"/>
        <v>25736207.19219676</v>
      </c>
      <c r="BD1992" s="2">
        <f t="shared" ca="1" si="1976"/>
        <v>-17758983.911731601</v>
      </c>
      <c r="BE1992" s="2">
        <f t="shared" ca="1" si="1977"/>
        <v>2409385.4462323636</v>
      </c>
      <c r="BF1992" s="2">
        <f t="shared" ca="1" si="1978"/>
        <v>2502320.7178238509</v>
      </c>
      <c r="BG1992" s="2">
        <f t="shared" ca="1" si="1979"/>
        <v>2537004.8096582033</v>
      </c>
      <c r="BH1992" s="2">
        <f t="shared" ca="1" si="1980"/>
        <v>2571980.5294764396</v>
      </c>
      <c r="BI1992" s="2">
        <f t="shared" ca="1" si="1981"/>
        <v>28343457.521518212</v>
      </c>
      <c r="BJ1992" s="2">
        <f t="shared" ca="1" si="1982"/>
        <v>0.20143668800185943</v>
      </c>
      <c r="BK1992" s="2">
        <f t="shared" ca="1" si="1983"/>
        <v>5910256.8672898561</v>
      </c>
    </row>
    <row r="1993" spans="1:63" x14ac:dyDescent="0.3">
      <c r="A1993" s="2">
        <v>1992</v>
      </c>
      <c r="B1993" s="2">
        <f t="shared" ca="1" si="1922"/>
        <v>0.95416434513216675</v>
      </c>
      <c r="C1993" s="2">
        <f t="shared" ca="1" si="1923"/>
        <v>7.6972272969112527</v>
      </c>
      <c r="D1993" s="2">
        <f t="shared" ca="1" si="1924"/>
        <v>0.7876388550206852</v>
      </c>
      <c r="E1993" s="2">
        <f t="shared" ca="1" si="1925"/>
        <v>7.8482927881643247</v>
      </c>
      <c r="F1993" s="2">
        <f t="shared" ca="1" si="1926"/>
        <v>4.4711513180148543E-2</v>
      </c>
      <c r="G1993" s="2">
        <f t="shared" ca="1" si="1927"/>
        <v>-1.0953473854557909E-2</v>
      </c>
      <c r="H1993" s="2">
        <f t="shared" ca="1" si="1928"/>
        <v>-1.0953473854557909E-2</v>
      </c>
      <c r="I1993" s="2">
        <f t="shared" ca="1" si="1929"/>
        <v>7.5115630180457416E-2</v>
      </c>
      <c r="J1993" s="2">
        <f t="shared" ca="1" si="1930"/>
        <v>2.8064245187024144E-3</v>
      </c>
      <c r="K1993" s="2">
        <f t="shared" ca="1" si="1931"/>
        <v>2.8064245187024144E-3</v>
      </c>
      <c r="L1993" s="2">
        <f t="shared" ca="1" si="1932"/>
        <v>0.31592122847744242</v>
      </c>
      <c r="M1993" s="2">
        <f t="shared" ca="1" si="1933"/>
        <v>-9.5827037950295263E-3</v>
      </c>
      <c r="N1993" s="2">
        <f t="shared" ca="1" si="1934"/>
        <v>-9.5827037950295263E-3</v>
      </c>
      <c r="O1993" s="2">
        <f t="shared" si="1935"/>
        <v>6000000</v>
      </c>
      <c r="P1993" s="2">
        <f t="shared" ca="1" si="1936"/>
        <v>46183363.78146752</v>
      </c>
      <c r="Q1993" s="2">
        <f t="shared" ca="1" si="1937"/>
        <v>1154584.0945366879</v>
      </c>
      <c r="R1993" s="2">
        <f t="shared" ca="1" si="1938"/>
        <v>27710018.268880513</v>
      </c>
      <c r="S1993" s="2">
        <f t="shared" ca="1" si="1939"/>
        <v>18473345.512587007</v>
      </c>
      <c r="T1993" s="2">
        <f t="shared" ca="1" si="1940"/>
        <v>49520864.810248524</v>
      </c>
      <c r="U1993" s="2">
        <f t="shared" ca="1" si="1941"/>
        <v>48978439.312294371</v>
      </c>
      <c r="V1993" s="2">
        <f t="shared" ca="1" si="1942"/>
        <v>48441955.257850103</v>
      </c>
      <c r="W1993" s="2">
        <f t="shared" ca="1" si="1943"/>
        <v>47911347.567469575</v>
      </c>
      <c r="X1993" s="2">
        <f t="shared" ca="1" si="1944"/>
        <v>47386551.87455266</v>
      </c>
      <c r="Y1993" s="2">
        <f t="shared" ca="1" si="1945"/>
        <v>0.1214032122593512</v>
      </c>
      <c r="Z1993" s="2">
        <f t="shared" ca="1" si="1946"/>
        <v>0.12196449716309168</v>
      </c>
      <c r="AA1993" s="2">
        <f t="shared" ca="1" si="1947"/>
        <v>6011992.0618252372</v>
      </c>
      <c r="AB1993" s="2">
        <f t="shared" ca="1" si="1948"/>
        <v>5973630.722556985</v>
      </c>
      <c r="AC1993" s="2">
        <f t="shared" ca="1" si="1949"/>
        <v>5908198.7146206731</v>
      </c>
      <c r="AD1993" s="2">
        <f t="shared" ca="1" si="1950"/>
        <v>5843483.4144725427</v>
      </c>
      <c r="AE1993" s="2">
        <f t="shared" ca="1" si="1951"/>
        <v>5779476.971672575</v>
      </c>
      <c r="AF1993" s="2">
        <f t="shared" ca="1" si="1952"/>
        <v>990417.29620497045</v>
      </c>
      <c r="AG1993" s="2">
        <f t="shared" ca="1" si="1953"/>
        <v>979568.7862458874</v>
      </c>
      <c r="AH1993" s="2">
        <f t="shared" ca="1" si="1954"/>
        <v>968839.10515700211</v>
      </c>
      <c r="AI1993" s="2">
        <f t="shared" ca="1" si="1955"/>
        <v>958226.95134939149</v>
      </c>
      <c r="AJ1993" s="2">
        <f t="shared" ca="1" si="1956"/>
        <v>947731.03749105323</v>
      </c>
      <c r="AK1993" s="2">
        <f t="shared" ca="1" si="1957"/>
        <v>0</v>
      </c>
      <c r="AL1993" s="2">
        <f t="shared" ca="1" si="1958"/>
        <v>0</v>
      </c>
      <c r="AM1993" s="2">
        <f t="shared" ca="1" si="1959"/>
        <v>0</v>
      </c>
      <c r="AN1993" s="2">
        <f t="shared" ca="1" si="1960"/>
        <v>0</v>
      </c>
      <c r="AO1993" s="2">
        <f t="shared" ca="1" si="1961"/>
        <v>0</v>
      </c>
      <c r="AP1993" s="2">
        <f t="shared" ca="1" si="1962"/>
        <v>2493901.6441992461</v>
      </c>
      <c r="AQ1993" s="2">
        <f t="shared" ca="1" si="1963"/>
        <v>657195.01156946551</v>
      </c>
      <c r="AR1993" s="2">
        <f t="shared" ca="1" si="1964"/>
        <v>650041.67594908143</v>
      </c>
      <c r="AS1993" s="2">
        <f t="shared" ca="1" si="1965"/>
        <v>635819.07096875052</v>
      </c>
      <c r="AT1993" s="2">
        <f t="shared" ca="1" si="1966"/>
        <v>621752.25292021537</v>
      </c>
      <c r="AU1993" s="2">
        <f t="shared" ca="1" si="1967"/>
        <v>607839.51539539162</v>
      </c>
      <c r="AV1993" s="2">
        <f t="shared" ca="1" si="1968"/>
        <v>1870478.1098515554</v>
      </c>
      <c r="AW1993" s="2">
        <f t="shared" ca="1" si="1969"/>
        <v>1850118.61616277</v>
      </c>
      <c r="AX1993" s="2">
        <f t="shared" ca="1" si="1970"/>
        <v>1809638.8942956743</v>
      </c>
      <c r="AY1993" s="2">
        <f t="shared" ca="1" si="1971"/>
        <v>1769602.56600369</v>
      </c>
      <c r="AZ1993" s="2">
        <f t="shared" ca="1" si="1972"/>
        <v>1730004.7745868838</v>
      </c>
      <c r="BA1993" s="2">
        <f t="shared" ca="1" si="1973"/>
        <v>45359027.436139658</v>
      </c>
      <c r="BB1993" s="2">
        <f t="shared" ca="1" si="1974"/>
        <v>907180.54872279323</v>
      </c>
      <c r="BC1993" s="2">
        <f t="shared" ca="1" si="1975"/>
        <v>16741828.618536353</v>
      </c>
      <c r="BD1993" s="2">
        <f t="shared" ca="1" si="1976"/>
        <v>-20127929.607123695</v>
      </c>
      <c r="BE1993" s="2">
        <f t="shared" ca="1" si="1977"/>
        <v>1870478.1098515554</v>
      </c>
      <c r="BF1993" s="2">
        <f t="shared" ca="1" si="1978"/>
        <v>1850118.61616277</v>
      </c>
      <c r="BG1993" s="2">
        <f t="shared" ca="1" si="1979"/>
        <v>1809638.8942956743</v>
      </c>
      <c r="BH1993" s="2">
        <f t="shared" ca="1" si="1980"/>
        <v>1769602.56600369</v>
      </c>
      <c r="BI1993" s="2">
        <f t="shared" ca="1" si="1981"/>
        <v>18471833.393123236</v>
      </c>
      <c r="BJ1993" s="2">
        <f t="shared" ca="1" si="1982"/>
        <v>6.0095638458075751E-2</v>
      </c>
      <c r="BK1993" s="2">
        <f t="shared" ca="1" si="1983"/>
        <v>-4088862.6480974574</v>
      </c>
    </row>
    <row r="1994" spans="1:63" x14ac:dyDescent="0.3">
      <c r="A1994" s="2">
        <v>1993</v>
      </c>
      <c r="B1994" s="2">
        <f t="shared" ca="1" si="1922"/>
        <v>0.98464558545860059</v>
      </c>
      <c r="C1994" s="2">
        <f t="shared" ca="1" si="1923"/>
        <v>7.8247606520133139</v>
      </c>
      <c r="D1994" s="2">
        <f t="shared" ca="1" si="1924"/>
        <v>0.49784340352334411</v>
      </c>
      <c r="E1994" s="2">
        <f t="shared" ca="1" si="1925"/>
        <v>7.4978410730405356</v>
      </c>
      <c r="F1994" s="2">
        <f t="shared" ca="1" si="1926"/>
        <v>0.8817397044505747</v>
      </c>
      <c r="G1994" s="2">
        <f t="shared" ca="1" si="1927"/>
        <v>7.551185214609997E-2</v>
      </c>
      <c r="H1994" s="2">
        <f t="shared" ca="1" si="1928"/>
        <v>7.551185214609997E-2</v>
      </c>
      <c r="I1994" s="2">
        <f t="shared" ca="1" si="1929"/>
        <v>0.81755988657502177</v>
      </c>
      <c r="J1994" s="2">
        <f t="shared" ca="1" si="1930"/>
        <v>1.4530525493714478E-2</v>
      </c>
      <c r="K1994" s="2">
        <f t="shared" ca="1" si="1931"/>
        <v>1.4530525493714478E-2</v>
      </c>
      <c r="L1994" s="2">
        <f t="shared" ca="1" si="1932"/>
        <v>0.9860398704392459</v>
      </c>
      <c r="M1994" s="2">
        <f t="shared" ca="1" si="1933"/>
        <v>4.3968099603123374E-2</v>
      </c>
      <c r="N1994" s="2">
        <f t="shared" ca="1" si="1934"/>
        <v>4.3968099603123374E-2</v>
      </c>
      <c r="O1994" s="2">
        <f t="shared" si="1935"/>
        <v>6000000</v>
      </c>
      <c r="P1994" s="2">
        <f t="shared" ca="1" si="1936"/>
        <v>46948563.912079886</v>
      </c>
      <c r="Q1994" s="2">
        <f t="shared" ca="1" si="1937"/>
        <v>1173714.0978019971</v>
      </c>
      <c r="R1994" s="2">
        <f t="shared" ca="1" si="1938"/>
        <v>28169138.347247932</v>
      </c>
      <c r="S1994" s="2">
        <f t="shared" ca="1" si="1939"/>
        <v>18779425.564831953</v>
      </c>
      <c r="T1994" s="2">
        <f t="shared" ca="1" si="1940"/>
        <v>52198404.980156168</v>
      </c>
      <c r="U1994" s="2">
        <f t="shared" ca="1" si="1941"/>
        <v>56140003.219279975</v>
      </c>
      <c r="V1994" s="2">
        <f t="shared" ca="1" si="1942"/>
        <v>60379238.841855824</v>
      </c>
      <c r="W1994" s="2">
        <f t="shared" ca="1" si="1943"/>
        <v>64938586.997976102</v>
      </c>
      <c r="X1994" s="2">
        <f t="shared" ca="1" si="1944"/>
        <v>69842219.977943927</v>
      </c>
      <c r="Y1994" s="2">
        <f t="shared" ca="1" si="1945"/>
        <v>0.12726526274685723</v>
      </c>
      <c r="Z1994" s="2">
        <f t="shared" ca="1" si="1946"/>
        <v>0.13017136784560013</v>
      </c>
      <c r="AA1994" s="2">
        <f t="shared" ca="1" si="1947"/>
        <v>6643043.724766436</v>
      </c>
      <c r="AB1994" s="2">
        <f t="shared" ca="1" si="1948"/>
        <v>7307821.0099100694</v>
      </c>
      <c r="AC1994" s="2">
        <f t="shared" ca="1" si="1949"/>
        <v>7859648.1095205611</v>
      </c>
      <c r="AD1994" s="2">
        <f t="shared" ca="1" si="1950"/>
        <v>8453144.6954870522</v>
      </c>
      <c r="AE1994" s="2">
        <f t="shared" ca="1" si="1951"/>
        <v>9091457.3079022616</v>
      </c>
      <c r="AF1994" s="2">
        <f t="shared" ca="1" si="1952"/>
        <v>1043968.0996031234</v>
      </c>
      <c r="AG1994" s="2">
        <f t="shared" ca="1" si="1953"/>
        <v>1122800.0643855995</v>
      </c>
      <c r="AH1994" s="2">
        <f t="shared" ca="1" si="1954"/>
        <v>1207584.7768371166</v>
      </c>
      <c r="AI1994" s="2">
        <f t="shared" ca="1" si="1955"/>
        <v>1298771.7399595222</v>
      </c>
      <c r="AJ1994" s="2">
        <f t="shared" ca="1" si="1956"/>
        <v>1396844.3995588785</v>
      </c>
      <c r="AK1994" s="2">
        <f t="shared" ca="1" si="1957"/>
        <v>0</v>
      </c>
      <c r="AL1994" s="2">
        <f t="shared" ca="1" si="1958"/>
        <v>39415.982391238067</v>
      </c>
      <c r="AM1994" s="2">
        <f t="shared" ca="1" si="1959"/>
        <v>42392.356225758493</v>
      </c>
      <c r="AN1994" s="2">
        <f t="shared" ca="1" si="1960"/>
        <v>45593.481561202781</v>
      </c>
      <c r="AO1994" s="2">
        <f t="shared" ca="1" si="1961"/>
        <v>49036.329799678249</v>
      </c>
      <c r="AP1994" s="2">
        <f t="shared" ca="1" si="1962"/>
        <v>2535222.4512523138</v>
      </c>
      <c r="AQ1994" s="2">
        <f t="shared" ca="1" si="1963"/>
        <v>796601.82521685981</v>
      </c>
      <c r="AR1994" s="2">
        <f t="shared" ca="1" si="1964"/>
        <v>948947.60851076059</v>
      </c>
      <c r="AS1994" s="2">
        <f t="shared" ca="1" si="1965"/>
        <v>1070378.6291720939</v>
      </c>
      <c r="AT1994" s="2">
        <f t="shared" ca="1" si="1966"/>
        <v>1200979.1311115562</v>
      </c>
      <c r="AU1994" s="2">
        <f t="shared" ca="1" si="1967"/>
        <v>1341441.5188436781</v>
      </c>
      <c r="AV1994" s="2">
        <f t="shared" ca="1" si="1968"/>
        <v>2267251.3486941396</v>
      </c>
      <c r="AW1994" s="2">
        <f t="shared" ca="1" si="1969"/>
        <v>2661434.9033701573</v>
      </c>
      <c r="AX1994" s="2">
        <f t="shared" ca="1" si="1970"/>
        <v>3004069.8960332773</v>
      </c>
      <c r="AY1994" s="2">
        <f t="shared" ca="1" si="1971"/>
        <v>3372577.891602458</v>
      </c>
      <c r="AZ1994" s="2">
        <f t="shared" ca="1" si="1972"/>
        <v>3768912.6084477133</v>
      </c>
      <c r="BA1994" s="2">
        <f t="shared" ca="1" si="1973"/>
        <v>68166302.016984105</v>
      </c>
      <c r="BB1994" s="2">
        <f t="shared" ca="1" si="1974"/>
        <v>1363326.040339682</v>
      </c>
      <c r="BC1994" s="2">
        <f t="shared" ca="1" si="1975"/>
        <v>38633837.629396498</v>
      </c>
      <c r="BD1994" s="2">
        <f t="shared" ca="1" si="1976"/>
        <v>-20453139.662633952</v>
      </c>
      <c r="BE1994" s="2">
        <f t="shared" ca="1" si="1977"/>
        <v>2267251.3486941396</v>
      </c>
      <c r="BF1994" s="2">
        <f t="shared" ca="1" si="1978"/>
        <v>2661434.9033701573</v>
      </c>
      <c r="BG1994" s="2">
        <f t="shared" ca="1" si="1979"/>
        <v>3004069.8960332773</v>
      </c>
      <c r="BH1994" s="2">
        <f t="shared" ca="1" si="1980"/>
        <v>3372577.891602458</v>
      </c>
      <c r="BI1994" s="2">
        <f t="shared" ca="1" si="1981"/>
        <v>42402750.237844214</v>
      </c>
      <c r="BJ1994" s="2">
        <f t="shared" ca="1" si="1982"/>
        <v>0.24820964775896037</v>
      </c>
      <c r="BK1994" s="2">
        <f t="shared" ca="1" si="1983"/>
        <v>12034902.58643759</v>
      </c>
    </row>
    <row r="1995" spans="1:63" x14ac:dyDescent="0.3">
      <c r="A1995" s="2">
        <v>1994</v>
      </c>
      <c r="B1995" s="2">
        <f t="shared" ca="1" si="1922"/>
        <v>0.63911228596609915</v>
      </c>
      <c r="C1995" s="2">
        <f t="shared" ca="1" si="1923"/>
        <v>7.1504263256975289</v>
      </c>
      <c r="D1995" s="2">
        <f t="shared" ca="1" si="1924"/>
        <v>0.14120251866864497</v>
      </c>
      <c r="E1995" s="2">
        <f t="shared" ca="1" si="1925"/>
        <v>7.0314179497695672</v>
      </c>
      <c r="F1995" s="2">
        <f t="shared" ca="1" si="1926"/>
        <v>0.82585814380566558</v>
      </c>
      <c r="G1995" s="2">
        <f t="shared" ca="1" si="1927"/>
        <v>6.8137705758767389E-2</v>
      </c>
      <c r="H1995" s="2">
        <f t="shared" ca="1" si="1928"/>
        <v>6.8137705758767389E-2</v>
      </c>
      <c r="I1995" s="2">
        <f t="shared" ca="1" si="1929"/>
        <v>0.78132911886846557</v>
      </c>
      <c r="J1995" s="2">
        <f t="shared" ca="1" si="1930"/>
        <v>1.3883449371886791E-2</v>
      </c>
      <c r="K1995" s="2">
        <f t="shared" ca="1" si="1931"/>
        <v>1.3883449371886791E-2</v>
      </c>
      <c r="L1995" s="2">
        <f t="shared" ca="1" si="1932"/>
        <v>0.69907042782441886</v>
      </c>
      <c r="M1995" s="2">
        <f t="shared" ca="1" si="1933"/>
        <v>1.0434576720254564E-2</v>
      </c>
      <c r="N1995" s="2">
        <f t="shared" ca="1" si="1934"/>
        <v>1.0434576720254564E-2</v>
      </c>
      <c r="O1995" s="2">
        <f t="shared" si="1935"/>
        <v>6000000</v>
      </c>
      <c r="P1995" s="2">
        <f t="shared" ca="1" si="1936"/>
        <v>42902557.954185173</v>
      </c>
      <c r="Q1995" s="2">
        <f t="shared" ca="1" si="1937"/>
        <v>1072563.9488546294</v>
      </c>
      <c r="R1995" s="2">
        <f t="shared" ca="1" si="1938"/>
        <v>25741534.772511102</v>
      </c>
      <c r="S1995" s="2">
        <f t="shared" ca="1" si="1939"/>
        <v>17161023.181674071</v>
      </c>
      <c r="T1995" s="2">
        <f t="shared" ca="1" si="1940"/>
        <v>50521728.836012729</v>
      </c>
      <c r="U1995" s="2">
        <f t="shared" ca="1" si="1941"/>
        <v>53964163.52986519</v>
      </c>
      <c r="V1995" s="2">
        <f t="shared" ca="1" si="1942"/>
        <v>57641157.825981148</v>
      </c>
      <c r="W1995" s="2">
        <f t="shared" ca="1" si="1943"/>
        <v>61568694.077522516</v>
      </c>
      <c r="X1995" s="2">
        <f t="shared" ca="1" si="1944"/>
        <v>65763843.638528302</v>
      </c>
      <c r="Y1995" s="2">
        <f t="shared" ca="1" si="1945"/>
        <v>0.12694172468594339</v>
      </c>
      <c r="Z1995" s="2">
        <f t="shared" ca="1" si="1946"/>
        <v>0.12971841456032074</v>
      </c>
      <c r="AA1995" s="2">
        <f t="shared" ca="1" si="1947"/>
        <v>6413315.3925590152</v>
      </c>
      <c r="AB1995" s="2">
        <f t="shared" ca="1" si="1948"/>
        <v>7000145.7361679943</v>
      </c>
      <c r="AC1995" s="2">
        <f t="shared" ca="1" si="1949"/>
        <v>7477119.6066074986</v>
      </c>
      <c r="AD1995" s="2">
        <f t="shared" ca="1" si="1950"/>
        <v>7986593.3822856303</v>
      </c>
      <c r="AE1995" s="2">
        <f t="shared" ca="1" si="1951"/>
        <v>8530781.532182727</v>
      </c>
      <c r="AF1995" s="2">
        <f t="shared" ca="1" si="1952"/>
        <v>1010434.5767202546</v>
      </c>
      <c r="AG1995" s="2">
        <f t="shared" ca="1" si="1953"/>
        <v>1079283.2705973038</v>
      </c>
      <c r="AH1995" s="2">
        <f t="shared" ca="1" si="1954"/>
        <v>1152823.156519623</v>
      </c>
      <c r="AI1995" s="2">
        <f t="shared" ca="1" si="1955"/>
        <v>1231373.8815504503</v>
      </c>
      <c r="AJ1995" s="2">
        <f t="shared" ca="1" si="1956"/>
        <v>1315276.872770566</v>
      </c>
      <c r="AK1995" s="2">
        <f t="shared" ca="1" si="1957"/>
        <v>0</v>
      </c>
      <c r="AL1995" s="2">
        <f t="shared" ca="1" si="1958"/>
        <v>34424.346938524621</v>
      </c>
      <c r="AM1995" s="2">
        <f t="shared" ca="1" si="1959"/>
        <v>36769.94296115957</v>
      </c>
      <c r="AN1995" s="2">
        <f t="shared" ca="1" si="1960"/>
        <v>39275.36251541369</v>
      </c>
      <c r="AO1995" s="2">
        <f t="shared" ca="1" si="1961"/>
        <v>41951.495610057864</v>
      </c>
      <c r="AP1995" s="2">
        <f t="shared" ca="1" si="1962"/>
        <v>2316738.1295259991</v>
      </c>
      <c r="AQ1995" s="2">
        <f t="shared" ca="1" si="1963"/>
        <v>802397.09844131803</v>
      </c>
      <c r="AR1995" s="2">
        <f t="shared" ca="1" si="1964"/>
        <v>937072.32737161976</v>
      </c>
      <c r="AS1995" s="2">
        <f t="shared" ca="1" si="1965"/>
        <v>1041965.1633460878</v>
      </c>
      <c r="AT1995" s="2">
        <f t="shared" ca="1" si="1966"/>
        <v>1154005.1565143873</v>
      </c>
      <c r="AU1995" s="2">
        <f t="shared" ca="1" si="1967"/>
        <v>1273679.2977704022</v>
      </c>
      <c r="AV1995" s="2">
        <f t="shared" ca="1" si="1968"/>
        <v>2283745.5878714439</v>
      </c>
      <c r="AW1995" s="2">
        <f t="shared" ca="1" si="1969"/>
        <v>2632627.661734547</v>
      </c>
      <c r="AX1995" s="2">
        <f t="shared" ca="1" si="1970"/>
        <v>2928823.2142546293</v>
      </c>
      <c r="AY1995" s="2">
        <f t="shared" ca="1" si="1971"/>
        <v>3245200.8521793797</v>
      </c>
      <c r="AZ1995" s="2">
        <f t="shared" ca="1" si="1972"/>
        <v>3583135.7365057007</v>
      </c>
      <c r="BA1995" s="2">
        <f t="shared" ca="1" si="1973"/>
        <v>59983490.390952356</v>
      </c>
      <c r="BB1995" s="2">
        <f t="shared" ca="1" si="1974"/>
        <v>1199669.8078190472</v>
      </c>
      <c r="BC1995" s="2">
        <f t="shared" ca="1" si="1975"/>
        <v>33042285.810622208</v>
      </c>
      <c r="BD1995" s="2">
        <f t="shared" ca="1" si="1976"/>
        <v>-18733587.1305287</v>
      </c>
      <c r="BE1995" s="2">
        <f t="shared" ca="1" si="1977"/>
        <v>2283745.5878714439</v>
      </c>
      <c r="BF1995" s="2">
        <f t="shared" ca="1" si="1978"/>
        <v>2632627.661734547</v>
      </c>
      <c r="BG1995" s="2">
        <f t="shared" ca="1" si="1979"/>
        <v>2928823.2142546293</v>
      </c>
      <c r="BH1995" s="2">
        <f t="shared" ca="1" si="1980"/>
        <v>3245200.8521793797</v>
      </c>
      <c r="BI1995" s="2">
        <f t="shared" ca="1" si="1981"/>
        <v>36625421.54712791</v>
      </c>
      <c r="BJ1995" s="2">
        <f t="shared" ca="1" si="1982"/>
        <v>0.2435700173774924</v>
      </c>
      <c r="BK1995" s="2">
        <f t="shared" ca="1" si="1983"/>
        <v>10333496.194590654</v>
      </c>
    </row>
    <row r="1996" spans="1:63" x14ac:dyDescent="0.3">
      <c r="A1996" s="2">
        <v>1995</v>
      </c>
      <c r="B1996" s="2">
        <f t="shared" ca="1" si="1922"/>
        <v>0.60393137552438858</v>
      </c>
      <c r="C1996" s="2">
        <f t="shared" ca="1" si="1923"/>
        <v>7.1099790738689217</v>
      </c>
      <c r="D1996" s="2">
        <f t="shared" ca="1" si="1924"/>
        <v>0.51099038204596403</v>
      </c>
      <c r="E1996" s="2">
        <f t="shared" ca="1" si="1925"/>
        <v>7.5110514493119105</v>
      </c>
      <c r="F1996" s="2">
        <f t="shared" ca="1" si="1926"/>
        <v>0.35509698253798727</v>
      </c>
      <c r="G1996" s="2">
        <f t="shared" ca="1" si="1927"/>
        <v>2.8852131979814948E-2</v>
      </c>
      <c r="H1996" s="2">
        <f t="shared" ca="1" si="1928"/>
        <v>2.8852131979814948E-2</v>
      </c>
      <c r="I1996" s="2">
        <f t="shared" ca="1" si="1929"/>
        <v>0.58509153650381573</v>
      </c>
      <c r="J1996" s="2">
        <f t="shared" ca="1" si="1930"/>
        <v>1.1074681858656543E-2</v>
      </c>
      <c r="K1996" s="2">
        <f t="shared" ca="1" si="1931"/>
        <v>1.1074681858656543E-2</v>
      </c>
      <c r="L1996" s="2">
        <f t="shared" ca="1" si="1932"/>
        <v>0.87496688342006979</v>
      </c>
      <c r="M1996" s="2">
        <f t="shared" ca="1" si="1933"/>
        <v>2.3003770415556981E-2</v>
      </c>
      <c r="N1996" s="2">
        <f t="shared" ca="1" si="1934"/>
        <v>2.3003770415556981E-2</v>
      </c>
      <c r="O1996" s="2">
        <f t="shared" si="1935"/>
        <v>6000000</v>
      </c>
      <c r="P1996" s="2">
        <f t="shared" ca="1" si="1936"/>
        <v>42659874.44321353</v>
      </c>
      <c r="Q1996" s="2">
        <f t="shared" ca="1" si="1937"/>
        <v>1066496.8610803382</v>
      </c>
      <c r="R1996" s="2">
        <f t="shared" ca="1" si="1938"/>
        <v>25595924.665928118</v>
      </c>
      <c r="S1996" s="2">
        <f t="shared" ca="1" si="1939"/>
        <v>17063949.777285412</v>
      </c>
      <c r="T1996" s="2">
        <f t="shared" ca="1" si="1940"/>
        <v>51150188.520777851</v>
      </c>
      <c r="U1996" s="2">
        <f t="shared" ca="1" si="1941"/>
        <v>52625980.510771751</v>
      </c>
      <c r="V1996" s="2">
        <f t="shared" ca="1" si="1942"/>
        <v>54144352.24603571</v>
      </c>
      <c r="W1996" s="2">
        <f t="shared" ca="1" si="1943"/>
        <v>55706532.242999926</v>
      </c>
      <c r="X1996" s="2">
        <f t="shared" ca="1" si="1944"/>
        <v>57313784.463412777</v>
      </c>
      <c r="Y1996" s="2">
        <f t="shared" ca="1" si="1945"/>
        <v>0.12553734092932828</v>
      </c>
      <c r="Z1996" s="2">
        <f t="shared" ca="1" si="1946"/>
        <v>0.12775227730105956</v>
      </c>
      <c r="AA1996" s="2">
        <f t="shared" ca="1" si="1947"/>
        <v>6421258.6549323024</v>
      </c>
      <c r="AB1996" s="2">
        <f t="shared" ca="1" si="1948"/>
        <v>6723088.8554522693</v>
      </c>
      <c r="AC1996" s="2">
        <f t="shared" ca="1" si="1949"/>
        <v>6917064.3024218008</v>
      </c>
      <c r="AD1996" s="2">
        <f t="shared" ca="1" si="1950"/>
        <v>7116636.3545881426</v>
      </c>
      <c r="AE1996" s="2">
        <f t="shared" ca="1" si="1951"/>
        <v>7321966.4859430688</v>
      </c>
      <c r="AF1996" s="2">
        <f t="shared" ca="1" si="1952"/>
        <v>1023003.7704155571</v>
      </c>
      <c r="AG1996" s="2">
        <f t="shared" ca="1" si="1953"/>
        <v>1052519.610215435</v>
      </c>
      <c r="AH1996" s="2">
        <f t="shared" ca="1" si="1954"/>
        <v>1082887.0449207141</v>
      </c>
      <c r="AI1996" s="2">
        <f t="shared" ca="1" si="1955"/>
        <v>1114130.6448599985</v>
      </c>
      <c r="AJ1996" s="2">
        <f t="shared" ca="1" si="1956"/>
        <v>1146275.6892682556</v>
      </c>
      <c r="AK1996" s="2">
        <f t="shared" ca="1" si="1957"/>
        <v>0</v>
      </c>
      <c r="AL1996" s="2">
        <f t="shared" ca="1" si="1958"/>
        <v>14757.919899939001</v>
      </c>
      <c r="AM1996" s="2">
        <f t="shared" ca="1" si="1959"/>
        <v>15183.717352639585</v>
      </c>
      <c r="AN1996" s="2">
        <f t="shared" ca="1" si="1960"/>
        <v>15621.799969642163</v>
      </c>
      <c r="AO1996" s="2">
        <f t="shared" ca="1" si="1961"/>
        <v>16072.522204128503</v>
      </c>
      <c r="AP1996" s="2">
        <f t="shared" ca="1" si="1962"/>
        <v>2303633.2199335303</v>
      </c>
      <c r="AQ1996" s="2">
        <f t="shared" ca="1" si="1963"/>
        <v>804601.63279163605</v>
      </c>
      <c r="AR1996" s="2">
        <f t="shared" ca="1" si="1964"/>
        <v>875403.36657885916</v>
      </c>
      <c r="AS1996" s="2">
        <f t="shared" ca="1" si="1965"/>
        <v>917941.44976756454</v>
      </c>
      <c r="AT1996" s="2">
        <f t="shared" ca="1" si="1966"/>
        <v>961706.84734659956</v>
      </c>
      <c r="AU1996" s="2">
        <f t="shared" ca="1" si="1967"/>
        <v>1006734.9699527336</v>
      </c>
      <c r="AV1996" s="2">
        <f t="shared" ca="1" si="1968"/>
        <v>2290020.031791579</v>
      </c>
      <c r="AW1996" s="2">
        <f t="shared" ca="1" si="1969"/>
        <v>2476774.7388245063</v>
      </c>
      <c r="AX1996" s="2">
        <f t="shared" ca="1" si="1970"/>
        <v>2597418.8704473516</v>
      </c>
      <c r="AY1996" s="2">
        <f t="shared" ca="1" si="1971"/>
        <v>2721543.8424783722</v>
      </c>
      <c r="AZ1996" s="2">
        <f t="shared" ca="1" si="1972"/>
        <v>2849250.0845844215</v>
      </c>
      <c r="BA1996" s="2">
        <f t="shared" ca="1" si="1973"/>
        <v>54995666.986055925</v>
      </c>
      <c r="BB1996" s="2">
        <f t="shared" ca="1" si="1974"/>
        <v>1099913.3397211186</v>
      </c>
      <c r="BC1996" s="2">
        <f t="shared" ca="1" si="1975"/>
        <v>28299828.98040669</v>
      </c>
      <c r="BD1996" s="2">
        <f t="shared" ca="1" si="1976"/>
        <v>-18630446.638365749</v>
      </c>
      <c r="BE1996" s="2">
        <f t="shared" ca="1" si="1977"/>
        <v>2290020.031791579</v>
      </c>
      <c r="BF1996" s="2">
        <f t="shared" ca="1" si="1978"/>
        <v>2476774.7388245063</v>
      </c>
      <c r="BG1996" s="2">
        <f t="shared" ca="1" si="1979"/>
        <v>2597418.8704473516</v>
      </c>
      <c r="BH1996" s="2">
        <f t="shared" ca="1" si="1980"/>
        <v>2721543.8424783722</v>
      </c>
      <c r="BI1996" s="2">
        <f t="shared" ca="1" si="1981"/>
        <v>31149079.064991113</v>
      </c>
      <c r="BJ1996" s="2">
        <f t="shared" ca="1" si="1982"/>
        <v>0.20518344863089366</v>
      </c>
      <c r="BK1996" s="2">
        <f t="shared" ca="1" si="1983"/>
        <v>6641889.5148957781</v>
      </c>
    </row>
    <row r="1997" spans="1:63" x14ac:dyDescent="0.3">
      <c r="A1997" s="2">
        <v>1996</v>
      </c>
      <c r="B1997" s="2">
        <f t="shared" ca="1" si="1922"/>
        <v>0.4430198607723923</v>
      </c>
      <c r="C1997" s="2">
        <f t="shared" ca="1" si="1923"/>
        <v>6.941296829668933</v>
      </c>
      <c r="D1997" s="2">
        <f t="shared" ca="1" si="1924"/>
        <v>0.84546840385102184</v>
      </c>
      <c r="E1997" s="2">
        <f t="shared" ca="1" si="1925"/>
        <v>7.9440654784077926</v>
      </c>
      <c r="F1997" s="2">
        <f t="shared" ca="1" si="1926"/>
        <v>0.54472624318280005</v>
      </c>
      <c r="G1997" s="2">
        <f t="shared" ca="1" si="1927"/>
        <v>4.3370438885695924E-2</v>
      </c>
      <c r="H1997" s="2">
        <f t="shared" ca="1" si="1928"/>
        <v>4.3370438885695924E-2</v>
      </c>
      <c r="I1997" s="2">
        <f t="shared" ca="1" si="1929"/>
        <v>0.39326854885377671</v>
      </c>
      <c r="J1997" s="2">
        <f t="shared" ca="1" si="1930"/>
        <v>8.6459495411204783E-3</v>
      </c>
      <c r="K1997" s="2">
        <f t="shared" ca="1" si="1931"/>
        <v>8.6459495411204783E-3</v>
      </c>
      <c r="L1997" s="2">
        <f t="shared" ca="1" si="1932"/>
        <v>0.95153335975743281</v>
      </c>
      <c r="M1997" s="2">
        <f t="shared" ca="1" si="1933"/>
        <v>3.3198128325975261E-2</v>
      </c>
      <c r="N1997" s="2">
        <f t="shared" ca="1" si="1934"/>
        <v>3.3198128325975261E-2</v>
      </c>
      <c r="O1997" s="2">
        <f t="shared" si="1935"/>
        <v>6000000</v>
      </c>
      <c r="P1997" s="2">
        <f t="shared" ca="1" si="1936"/>
        <v>41647780.978013597</v>
      </c>
      <c r="Q1997" s="2">
        <f t="shared" ca="1" si="1937"/>
        <v>1041194.52445034</v>
      </c>
      <c r="R1997" s="2">
        <f t="shared" ca="1" si="1938"/>
        <v>24988668.586808156</v>
      </c>
      <c r="S1997" s="2">
        <f t="shared" ca="1" si="1939"/>
        <v>16659112.391205439</v>
      </c>
      <c r="T1997" s="2">
        <f t="shared" ca="1" si="1940"/>
        <v>51659906.416298762</v>
      </c>
      <c r="U1997" s="2">
        <f t="shared" ca="1" si="1941"/>
        <v>53900419.230367616</v>
      </c>
      <c r="V1997" s="2">
        <f t="shared" ca="1" si="1942"/>
        <v>56238104.068511665</v>
      </c>
      <c r="W1997" s="2">
        <f t="shared" ca="1" si="1943"/>
        <v>58677175.324062459</v>
      </c>
      <c r="X1997" s="2">
        <f t="shared" ca="1" si="1944"/>
        <v>61222030.170439973</v>
      </c>
      <c r="Y1997" s="2">
        <f t="shared" ca="1" si="1945"/>
        <v>0.12432297477056023</v>
      </c>
      <c r="Z1997" s="2">
        <f t="shared" ca="1" si="1946"/>
        <v>0.12605216467878433</v>
      </c>
      <c r="AA1997" s="2">
        <f t="shared" ca="1" si="1947"/>
        <v>6422513.2420430137</v>
      </c>
      <c r="AB1997" s="2">
        <f t="shared" ca="1" si="1948"/>
        <v>6794264.5210818127</v>
      </c>
      <c r="AC1997" s="2">
        <f t="shared" ca="1" si="1949"/>
        <v>7088934.7552666431</v>
      </c>
      <c r="AD1997" s="2">
        <f t="shared" ca="1" si="1950"/>
        <v>7396384.9668346215</v>
      </c>
      <c r="AE1997" s="2">
        <f t="shared" ca="1" si="1951"/>
        <v>7717169.4290138017</v>
      </c>
      <c r="AF1997" s="2">
        <f t="shared" ca="1" si="1952"/>
        <v>1033198.1283259753</v>
      </c>
      <c r="AG1997" s="2">
        <f t="shared" ca="1" si="1953"/>
        <v>1078008.3846073523</v>
      </c>
      <c r="AH1997" s="2">
        <f t="shared" ca="1" si="1954"/>
        <v>1124762.0813702333</v>
      </c>
      <c r="AI1997" s="2">
        <f t="shared" ca="1" si="1955"/>
        <v>1173543.5064812491</v>
      </c>
      <c r="AJ1997" s="2">
        <f t="shared" ca="1" si="1956"/>
        <v>1224440.6034087995</v>
      </c>
      <c r="AK1997" s="2">
        <f t="shared" ca="1" si="1957"/>
        <v>0</v>
      </c>
      <c r="AL1997" s="2">
        <f t="shared" ca="1" si="1958"/>
        <v>22405.128140688539</v>
      </c>
      <c r="AM1997" s="2">
        <f t="shared" ca="1" si="1959"/>
        <v>23376.84838144049</v>
      </c>
      <c r="AN1997" s="2">
        <f t="shared" ca="1" si="1960"/>
        <v>24390.712555507944</v>
      </c>
      <c r="AO1997" s="2">
        <f t="shared" ca="1" si="1961"/>
        <v>25448.548463775143</v>
      </c>
      <c r="AP1997" s="2">
        <f t="shared" ca="1" si="1962"/>
        <v>2248980.1728127338</v>
      </c>
      <c r="AQ1997" s="2">
        <f t="shared" ca="1" si="1963"/>
        <v>816487.08463511919</v>
      </c>
      <c r="AR1997" s="2">
        <f t="shared" ca="1" si="1964"/>
        <v>901491.75055204891</v>
      </c>
      <c r="AS1997" s="2">
        <f t="shared" ca="1" si="1965"/>
        <v>965950.05028175574</v>
      </c>
      <c r="AT1997" s="2">
        <f t="shared" ca="1" si="1966"/>
        <v>1033203.9347605661</v>
      </c>
      <c r="AU1997" s="2">
        <f t="shared" ca="1" si="1967"/>
        <v>1103374.6497259899</v>
      </c>
      <c r="AV1997" s="2">
        <f t="shared" ca="1" si="1968"/>
        <v>2323847.8562691854</v>
      </c>
      <c r="AW1997" s="2">
        <f t="shared" ca="1" si="1969"/>
        <v>2543379.0849689888</v>
      </c>
      <c r="AX1997" s="2">
        <f t="shared" ca="1" si="1970"/>
        <v>2725865.60242048</v>
      </c>
      <c r="AY1997" s="2">
        <f t="shared" ca="1" si="1971"/>
        <v>2916266.6402245648</v>
      </c>
      <c r="AZ1997" s="2">
        <f t="shared" ca="1" si="1972"/>
        <v>3114925.4546025041</v>
      </c>
      <c r="BA1997" s="2">
        <f t="shared" ca="1" si="1973"/>
        <v>61305699.252052516</v>
      </c>
      <c r="BB1997" s="2">
        <f t="shared" ca="1" si="1974"/>
        <v>1226113.9850410502</v>
      </c>
      <c r="BC1997" s="2">
        <f t="shared" ca="1" si="1975"/>
        <v>35090916.680203304</v>
      </c>
      <c r="BD1997" s="2">
        <f t="shared" ca="1" si="1976"/>
        <v>-18200306.915655781</v>
      </c>
      <c r="BE1997" s="2">
        <f t="shared" ca="1" si="1977"/>
        <v>2323847.8562691854</v>
      </c>
      <c r="BF1997" s="2">
        <f t="shared" ca="1" si="1978"/>
        <v>2543379.0849689888</v>
      </c>
      <c r="BG1997" s="2">
        <f t="shared" ca="1" si="1979"/>
        <v>2725865.60242048</v>
      </c>
      <c r="BH1997" s="2">
        <f t="shared" ca="1" si="1980"/>
        <v>2916266.6402245648</v>
      </c>
      <c r="BI1997" s="2">
        <f t="shared" ca="1" si="1981"/>
        <v>38205842.134805806</v>
      </c>
      <c r="BJ1997" s="2">
        <f t="shared" ca="1" si="1982"/>
        <v>0.25655030916048416</v>
      </c>
      <c r="BK1997" s="2">
        <f t="shared" ca="1" si="1983"/>
        <v>11374701.814498574</v>
      </c>
    </row>
    <row r="1998" spans="1:63" x14ac:dyDescent="0.3">
      <c r="A1998" s="2">
        <v>1997</v>
      </c>
      <c r="B1998" s="2">
        <f t="shared" ca="1" si="1922"/>
        <v>0.83262253748232318</v>
      </c>
      <c r="C1998" s="2">
        <f t="shared" ca="1" si="1923"/>
        <v>7.4214199061189943</v>
      </c>
      <c r="D1998" s="2">
        <f t="shared" ca="1" si="1924"/>
        <v>8.4038131053830734E-2</v>
      </c>
      <c r="E1998" s="2">
        <f t="shared" ca="1" si="1925"/>
        <v>6.9099710503287533</v>
      </c>
      <c r="F1998" s="2">
        <f t="shared" ca="1" si="1926"/>
        <v>0.58422145614238674</v>
      </c>
      <c r="G1998" s="2">
        <f t="shared" ca="1" si="1927"/>
        <v>4.6381149186894989E-2</v>
      </c>
      <c r="H1998" s="2">
        <f t="shared" ca="1" si="1928"/>
        <v>4.6381149186894989E-2</v>
      </c>
      <c r="I1998" s="2">
        <f t="shared" ca="1" si="1929"/>
        <v>8.6592188120758973E-2</v>
      </c>
      <c r="J1998" s="2">
        <f t="shared" ca="1" si="1930"/>
        <v>3.1897859676204132E-3</v>
      </c>
      <c r="K1998" s="2">
        <f t="shared" ca="1" si="1931"/>
        <v>3.1897859676204132E-3</v>
      </c>
      <c r="L1998" s="2">
        <f t="shared" ca="1" si="1932"/>
        <v>0.340641764130306</v>
      </c>
      <c r="M1998" s="2">
        <f t="shared" ca="1" si="1933"/>
        <v>-8.2142454126455672E-3</v>
      </c>
      <c r="N1998" s="2">
        <f t="shared" ca="1" si="1934"/>
        <v>-8.2142454126455672E-3</v>
      </c>
      <c r="O1998" s="2">
        <f t="shared" si="1935"/>
        <v>6000000</v>
      </c>
      <c r="P1998" s="2">
        <f t="shared" ca="1" si="1936"/>
        <v>44528519.436713964</v>
      </c>
      <c r="Q1998" s="2">
        <f t="shared" ca="1" si="1937"/>
        <v>1113212.9859178492</v>
      </c>
      <c r="R1998" s="2">
        <f t="shared" ca="1" si="1938"/>
        <v>26717111.662028376</v>
      </c>
      <c r="S1998" s="2">
        <f t="shared" ca="1" si="1939"/>
        <v>17811407.774685588</v>
      </c>
      <c r="T1998" s="2">
        <f t="shared" ca="1" si="1940"/>
        <v>49589287.729367718</v>
      </c>
      <c r="U1998" s="2">
        <f t="shared" ca="1" si="1941"/>
        <v>51889295.881615385</v>
      </c>
      <c r="V1998" s="2">
        <f t="shared" ca="1" si="1942"/>
        <v>54295981.055103526</v>
      </c>
      <c r="W1998" s="2">
        <f t="shared" ca="1" si="1943"/>
        <v>56814291.052669108</v>
      </c>
      <c r="X1998" s="2">
        <f t="shared" ca="1" si="1944"/>
        <v>59449403.161930628</v>
      </c>
      <c r="Y1998" s="2">
        <f t="shared" ca="1" si="1945"/>
        <v>0.1215948929838102</v>
      </c>
      <c r="Z1998" s="2">
        <f t="shared" ca="1" si="1946"/>
        <v>0.12223285017733429</v>
      </c>
      <c r="AA1998" s="2">
        <f t="shared" ca="1" si="1947"/>
        <v>6029804.1345958402</v>
      </c>
      <c r="AB1998" s="2">
        <f t="shared" ca="1" si="1948"/>
        <v>6342576.529304863</v>
      </c>
      <c r="AC1998" s="2">
        <f t="shared" ca="1" si="1949"/>
        <v>6636752.5175398504</v>
      </c>
      <c r="AD1998" s="2">
        <f t="shared" ca="1" si="1950"/>
        <v>6944572.7261723671</v>
      </c>
      <c r="AE1998" s="2">
        <f t="shared" ca="1" si="1951"/>
        <v>7266669.9898242103</v>
      </c>
      <c r="AF1998" s="2">
        <f t="shared" ca="1" si="1952"/>
        <v>991785.75458735437</v>
      </c>
      <c r="AG1998" s="2">
        <f t="shared" ca="1" si="1953"/>
        <v>1037785.9176323077</v>
      </c>
      <c r="AH1998" s="2">
        <f t="shared" ca="1" si="1954"/>
        <v>1085919.6211020704</v>
      </c>
      <c r="AI1998" s="2">
        <f t="shared" ca="1" si="1955"/>
        <v>1136285.8210533822</v>
      </c>
      <c r="AJ1998" s="2">
        <f t="shared" ca="1" si="1956"/>
        <v>1188988.0632386126</v>
      </c>
      <c r="AK1998" s="2">
        <f t="shared" ca="1" si="1957"/>
        <v>0</v>
      </c>
      <c r="AL1998" s="2">
        <f t="shared" ca="1" si="1958"/>
        <v>23000.081522476674</v>
      </c>
      <c r="AM1998" s="2">
        <f t="shared" ca="1" si="1959"/>
        <v>24066.851734881402</v>
      </c>
      <c r="AN1998" s="2">
        <f t="shared" ca="1" si="1960"/>
        <v>25183.099975655823</v>
      </c>
      <c r="AO1998" s="2">
        <f t="shared" ca="1" si="1961"/>
        <v>26351.121092615202</v>
      </c>
      <c r="AP1998" s="2">
        <f t="shared" ca="1" si="1962"/>
        <v>2404540.0495825536</v>
      </c>
      <c r="AQ1998" s="2">
        <f t="shared" ca="1" si="1963"/>
        <v>684704.36591074243</v>
      </c>
      <c r="AR1998" s="2">
        <f t="shared" ca="1" si="1964"/>
        <v>754065.14614340046</v>
      </c>
      <c r="AS1998" s="2">
        <f t="shared" ca="1" si="1965"/>
        <v>818036.14018235891</v>
      </c>
      <c r="AT1998" s="2">
        <f t="shared" ca="1" si="1966"/>
        <v>884974.18243947218</v>
      </c>
      <c r="AU1998" s="2">
        <f t="shared" ca="1" si="1967"/>
        <v>955016.88802079158</v>
      </c>
      <c r="AV1998" s="2">
        <f t="shared" ca="1" si="1968"/>
        <v>1948773.9645151901</v>
      </c>
      <c r="AW1998" s="2">
        <f t="shared" ca="1" si="1969"/>
        <v>2123185.3344241246</v>
      </c>
      <c r="AX1998" s="2">
        <f t="shared" ca="1" si="1970"/>
        <v>2304189.854937986</v>
      </c>
      <c r="AY1998" s="2">
        <f t="shared" ca="1" si="1971"/>
        <v>2493589.5731213032</v>
      </c>
      <c r="AZ1998" s="2">
        <f t="shared" ca="1" si="1972"/>
        <v>2691773.8678896376</v>
      </c>
      <c r="BA1998" s="2">
        <f t="shared" ca="1" si="1973"/>
        <v>50212479.26197803</v>
      </c>
      <c r="BB1998" s="2">
        <f t="shared" ca="1" si="1974"/>
        <v>1004249.5852395606</v>
      </c>
      <c r="BC1998" s="2">
        <f t="shared" ca="1" si="1975"/>
        <v>22491118.014710095</v>
      </c>
      <c r="BD1998" s="2">
        <f t="shared" ca="1" si="1976"/>
        <v>-19424620.760603435</v>
      </c>
      <c r="BE1998" s="2">
        <f t="shared" ca="1" si="1977"/>
        <v>1948773.9645151901</v>
      </c>
      <c r="BF1998" s="2">
        <f t="shared" ca="1" si="1978"/>
        <v>2123185.3344241246</v>
      </c>
      <c r="BG1998" s="2">
        <f t="shared" ca="1" si="1979"/>
        <v>2304189.854937986</v>
      </c>
      <c r="BH1998" s="2">
        <f t="shared" ca="1" si="1980"/>
        <v>2493589.5731213032</v>
      </c>
      <c r="BI1998" s="2">
        <f t="shared" ca="1" si="1981"/>
        <v>25182891.882599734</v>
      </c>
      <c r="BJ1998" s="2">
        <f t="shared" ca="1" si="1982"/>
        <v>0.14041483591734805</v>
      </c>
      <c r="BK1998" s="2">
        <f t="shared" ca="1" si="1983"/>
        <v>1522193.5815792903</v>
      </c>
    </row>
    <row r="1999" spans="1:63" x14ac:dyDescent="0.3">
      <c r="A1999" s="2">
        <v>1998</v>
      </c>
      <c r="B1999" s="2">
        <f t="shared" ca="1" si="1922"/>
        <v>0.88464921300721311</v>
      </c>
      <c r="C1999" s="2">
        <f t="shared" ca="1" si="1923"/>
        <v>7.5196859631599615</v>
      </c>
      <c r="D1999" s="2">
        <f t="shared" ca="1" si="1924"/>
        <v>2.1337787334494873E-2</v>
      </c>
      <c r="E1999" s="2">
        <f t="shared" ca="1" si="1925"/>
        <v>6.7065806735127698</v>
      </c>
      <c r="F1999" s="2">
        <f t="shared" ca="1" si="1926"/>
        <v>0.20721049042266959</v>
      </c>
      <c r="G1999" s="2">
        <f t="shared" ca="1" si="1927"/>
        <v>1.5515847858565978E-2</v>
      </c>
      <c r="H1999" s="2">
        <f t="shared" ca="1" si="1928"/>
        <v>1.5515847858565978E-2</v>
      </c>
      <c r="I1999" s="2">
        <f t="shared" ca="1" si="1929"/>
        <v>0.18331555073465977</v>
      </c>
      <c r="J1999" s="2">
        <f t="shared" ca="1" si="1930"/>
        <v>5.4859910546499868E-3</v>
      </c>
      <c r="K1999" s="2">
        <f t="shared" ca="1" si="1931"/>
        <v>5.4859910546499868E-3</v>
      </c>
      <c r="L1999" s="2">
        <f t="shared" ca="1" si="1932"/>
        <v>5.6122007566976606E-3</v>
      </c>
      <c r="M1999" s="2">
        <f t="shared" ca="1" si="1933"/>
        <v>-5.0712677586028508E-2</v>
      </c>
      <c r="N1999" s="2">
        <f t="shared" ca="1" si="1934"/>
        <v>-0.05</v>
      </c>
      <c r="O1999" s="2">
        <f t="shared" si="1935"/>
        <v>6000000</v>
      </c>
      <c r="P1999" s="2">
        <f t="shared" ca="1" si="1936"/>
        <v>45118115.778959766</v>
      </c>
      <c r="Q1999" s="2">
        <f t="shared" ca="1" si="1937"/>
        <v>1127952.8944739942</v>
      </c>
      <c r="R1999" s="2">
        <f t="shared" ca="1" si="1938"/>
        <v>27070869.46737586</v>
      </c>
      <c r="S1999" s="2">
        <f t="shared" ca="1" si="1939"/>
        <v>18047246.311583906</v>
      </c>
      <c r="T1999" s="2">
        <f t="shared" ca="1" si="1940"/>
        <v>47500000</v>
      </c>
      <c r="U1999" s="2">
        <f t="shared" ca="1" si="1941"/>
        <v>48237002.773281887</v>
      </c>
      <c r="V1999" s="2">
        <f t="shared" ca="1" si="1942"/>
        <v>48985440.769465357</v>
      </c>
      <c r="W1999" s="2">
        <f t="shared" ca="1" si="1943"/>
        <v>49745491.415729173</v>
      </c>
      <c r="X1999" s="2">
        <f t="shared" ca="1" si="1944"/>
        <v>50517334.892185226</v>
      </c>
      <c r="Y1999" s="2">
        <f t="shared" ca="1" si="1945"/>
        <v>0.12274299552732498</v>
      </c>
      <c r="Z1999" s="2">
        <f t="shared" ca="1" si="1946"/>
        <v>0.12384019373825499</v>
      </c>
      <c r="AA1999" s="2">
        <f t="shared" ca="1" si="1947"/>
        <v>5830292.2875479367</v>
      </c>
      <c r="AB1999" s="2">
        <f t="shared" ca="1" si="1948"/>
        <v>5973679.7687959718</v>
      </c>
      <c r="AC1999" s="2">
        <f t="shared" ca="1" si="1949"/>
        <v>6066366.4752444038</v>
      </c>
      <c r="AD1999" s="2">
        <f t="shared" ca="1" si="1950"/>
        <v>6160491.2945286008</v>
      </c>
      <c r="AE1999" s="2">
        <f t="shared" ca="1" si="1951"/>
        <v>6256076.5401885267</v>
      </c>
      <c r="AF1999" s="2">
        <f t="shared" ca="1" si="1952"/>
        <v>950000</v>
      </c>
      <c r="AG1999" s="2">
        <f t="shared" ca="1" si="1953"/>
        <v>964740.05546563771</v>
      </c>
      <c r="AH1999" s="2">
        <f t="shared" ca="1" si="1954"/>
        <v>979708.81538930722</v>
      </c>
      <c r="AI1999" s="2">
        <f t="shared" ca="1" si="1955"/>
        <v>994909.82831458352</v>
      </c>
      <c r="AJ1999" s="2">
        <f t="shared" ca="1" si="1956"/>
        <v>1010346.6978437045</v>
      </c>
      <c r="AK1999" s="2">
        <f t="shared" ca="1" si="1957"/>
        <v>0</v>
      </c>
      <c r="AL1999" s="2">
        <f t="shared" ca="1" si="1958"/>
        <v>7370.0277328188722</v>
      </c>
      <c r="AM1999" s="2">
        <f t="shared" ca="1" si="1959"/>
        <v>7484.3799618346993</v>
      </c>
      <c r="AN1999" s="2">
        <f t="shared" ca="1" si="1960"/>
        <v>7600.5064626381545</v>
      </c>
      <c r="AO1999" s="2">
        <f t="shared" ca="1" si="1961"/>
        <v>7718.4347645605358</v>
      </c>
      <c r="AP1999" s="2">
        <f t="shared" ca="1" si="1962"/>
        <v>2436378.2520638271</v>
      </c>
      <c r="AQ1999" s="2">
        <f t="shared" ca="1" si="1963"/>
        <v>635417.64922586852</v>
      </c>
      <c r="AR1999" s="2">
        <f t="shared" ca="1" si="1964"/>
        <v>668865.97992929188</v>
      </c>
      <c r="AS1999" s="2">
        <f t="shared" ca="1" si="1965"/>
        <v>689072.64602573006</v>
      </c>
      <c r="AT1999" s="2">
        <f t="shared" ca="1" si="1966"/>
        <v>709592.83567904937</v>
      </c>
      <c r="AU1999" s="2">
        <f t="shared" ca="1" si="1967"/>
        <v>730431.41347305884</v>
      </c>
      <c r="AV1999" s="2">
        <f t="shared" ca="1" si="1968"/>
        <v>1808496.3862582413</v>
      </c>
      <c r="AW1999" s="2">
        <f t="shared" ca="1" si="1969"/>
        <v>1896325.453604396</v>
      </c>
      <c r="AX1999" s="2">
        <f t="shared" ca="1" si="1970"/>
        <v>1953722.3818037049</v>
      </c>
      <c r="AY1999" s="2">
        <f t="shared" ca="1" si="1971"/>
        <v>2012009.872008502</v>
      </c>
      <c r="AZ1999" s="2">
        <f t="shared" ca="1" si="1972"/>
        <v>2071201.7420433764</v>
      </c>
      <c r="BA1999" s="2">
        <f t="shared" ca="1" si="1973"/>
        <v>41956882.016445011</v>
      </c>
      <c r="BB1999" s="2">
        <f t="shared" ca="1" si="1974"/>
        <v>839137.64032890019</v>
      </c>
      <c r="BC1999" s="2">
        <f t="shared" ca="1" si="1975"/>
        <v>14046874.90874025</v>
      </c>
      <c r="BD1999" s="2">
        <f t="shared" ca="1" si="1976"/>
        <v>-19675199.206057899</v>
      </c>
      <c r="BE1999" s="2">
        <f t="shared" ca="1" si="1977"/>
        <v>1808496.3862582413</v>
      </c>
      <c r="BF1999" s="2">
        <f t="shared" ca="1" si="1978"/>
        <v>1896325.453604396</v>
      </c>
      <c r="BG1999" s="2">
        <f t="shared" ca="1" si="1979"/>
        <v>1953722.3818037049</v>
      </c>
      <c r="BH1999" s="2">
        <f t="shared" ca="1" si="1980"/>
        <v>2012009.872008502</v>
      </c>
      <c r="BI1999" s="2">
        <f t="shared" ca="1" si="1981"/>
        <v>16118076.650783626</v>
      </c>
      <c r="BJ1999" s="2">
        <f t="shared" ca="1" si="1982"/>
        <v>4.6606386220067186E-2</v>
      </c>
      <c r="BK1999" s="2">
        <f t="shared" ca="1" si="1983"/>
        <v>-4733612.0454435479</v>
      </c>
    </row>
    <row r="2000" spans="1:63" x14ac:dyDescent="0.3">
      <c r="A2000" s="2">
        <v>1999</v>
      </c>
      <c r="B2000" s="2">
        <f t="shared" ca="1" si="1922"/>
        <v>0.35534138769244428</v>
      </c>
      <c r="C2000" s="2">
        <f t="shared" ca="1" si="1923"/>
        <v>6.843020032611852</v>
      </c>
      <c r="D2000" s="2">
        <f t="shared" ca="1" si="1924"/>
        <v>0.76249830118439754</v>
      </c>
      <c r="E2000" s="2">
        <f t="shared" ca="1" si="1925"/>
        <v>7.8107950974991507</v>
      </c>
      <c r="F2000" s="2">
        <f t="shared" ca="1" si="1926"/>
        <v>0.29594153482153729</v>
      </c>
      <c r="G2000" s="2">
        <f t="shared" ca="1" si="1927"/>
        <v>2.3916723456288373E-2</v>
      </c>
      <c r="H2000" s="2">
        <f t="shared" ca="1" si="1928"/>
        <v>2.3916723456288373E-2</v>
      </c>
      <c r="I2000" s="2">
        <f t="shared" ca="1" si="1929"/>
        <v>0.31857286363666515</v>
      </c>
      <c r="J2000" s="2">
        <f t="shared" ca="1" si="1930"/>
        <v>7.6415335500258441E-3</v>
      </c>
      <c r="K2000" s="2">
        <f t="shared" ca="1" si="1931"/>
        <v>7.6415335500258441E-3</v>
      </c>
      <c r="L2000" s="2">
        <f t="shared" ca="1" si="1932"/>
        <v>0.24153153091492641</v>
      </c>
      <c r="M2000" s="2">
        <f t="shared" ca="1" si="1933"/>
        <v>-1.402769098073507E-2</v>
      </c>
      <c r="N2000" s="2">
        <f t="shared" ca="1" si="1934"/>
        <v>-1.402769098073507E-2</v>
      </c>
      <c r="O2000" s="2">
        <f t="shared" si="1935"/>
        <v>6000000</v>
      </c>
      <c r="P2000" s="2">
        <f t="shared" ca="1" si="1936"/>
        <v>41058120.195671111</v>
      </c>
      <c r="Q2000" s="2">
        <f t="shared" ca="1" si="1937"/>
        <v>1026453.0048917779</v>
      </c>
      <c r="R2000" s="2">
        <f t="shared" ca="1" si="1938"/>
        <v>24634872.117402665</v>
      </c>
      <c r="S2000" s="2">
        <f t="shared" ca="1" si="1939"/>
        <v>16423248.078268446</v>
      </c>
      <c r="T2000" s="2">
        <f t="shared" ca="1" si="1940"/>
        <v>49298615.450963244</v>
      </c>
      <c r="U2000" s="2">
        <f t="shared" ca="1" si="1941"/>
        <v>50477676.80348184</v>
      </c>
      <c r="V2000" s="2">
        <f t="shared" ca="1" si="1942"/>
        <v>51684937.440306626</v>
      </c>
      <c r="W2000" s="2">
        <f t="shared" ca="1" si="1943"/>
        <v>52921071.795922011</v>
      </c>
      <c r="X2000" s="2">
        <f t="shared" ca="1" si="1944"/>
        <v>54186770.435075469</v>
      </c>
      <c r="Y2000" s="2">
        <f t="shared" ca="1" si="1945"/>
        <v>0.12382076677501291</v>
      </c>
      <c r="Z2000" s="2">
        <f t="shared" ca="1" si="1946"/>
        <v>0.12534907348501809</v>
      </c>
      <c r="AA2000" s="2">
        <f t="shared" ca="1" si="1947"/>
        <v>6104192.3660847675</v>
      </c>
      <c r="AB2000" s="2">
        <f t="shared" ca="1" si="1948"/>
        <v>6327330.0189926382</v>
      </c>
      <c r="AC2000" s="2">
        <f t="shared" ca="1" si="1949"/>
        <v>6478659.021273558</v>
      </c>
      <c r="AD2000" s="2">
        <f t="shared" ca="1" si="1950"/>
        <v>6633607.3174529467</v>
      </c>
      <c r="AE2000" s="2">
        <f t="shared" ca="1" si="1951"/>
        <v>6792261.4691820806</v>
      </c>
      <c r="AF2000" s="2">
        <f t="shared" ca="1" si="1952"/>
        <v>985972.30901926488</v>
      </c>
      <c r="AG2000" s="2">
        <f t="shared" ca="1" si="1953"/>
        <v>1009553.5360696368</v>
      </c>
      <c r="AH2000" s="2">
        <f t="shared" ca="1" si="1954"/>
        <v>1033698.7488061326</v>
      </c>
      <c r="AI2000" s="2">
        <f t="shared" ca="1" si="1955"/>
        <v>1058421.4359184403</v>
      </c>
      <c r="AJ2000" s="2">
        <f t="shared" ca="1" si="1956"/>
        <v>1083735.4087015095</v>
      </c>
      <c r="AK2000" s="2">
        <f t="shared" ca="1" si="1957"/>
        <v>0</v>
      </c>
      <c r="AL2000" s="2">
        <f t="shared" ca="1" si="1958"/>
        <v>11790.613525185958</v>
      </c>
      <c r="AM2000" s="2">
        <f t="shared" ca="1" si="1959"/>
        <v>12072.606368247867</v>
      </c>
      <c r="AN2000" s="2">
        <f t="shared" ca="1" si="1960"/>
        <v>12361.34355615385</v>
      </c>
      <c r="AO2000" s="2">
        <f t="shared" ca="1" si="1961"/>
        <v>12656.986391534581</v>
      </c>
      <c r="AP2000" s="2">
        <f t="shared" ca="1" si="1962"/>
        <v>2217138.4905662397</v>
      </c>
      <c r="AQ2000" s="2">
        <f t="shared" ca="1" si="1963"/>
        <v>754281.20728980843</v>
      </c>
      <c r="AR2000" s="2">
        <f t="shared" ca="1" si="1964"/>
        <v>806165.87801275798</v>
      </c>
      <c r="AS2000" s="2">
        <f t="shared" ca="1" si="1965"/>
        <v>839233.66329430824</v>
      </c>
      <c r="AT2000" s="2">
        <f t="shared" ca="1" si="1966"/>
        <v>873092.32165174943</v>
      </c>
      <c r="AU2000" s="2">
        <f t="shared" ca="1" si="1967"/>
        <v>907760.76817772631</v>
      </c>
      <c r="AV2000" s="2">
        <f t="shared" ca="1" si="1968"/>
        <v>2146800.3592094546</v>
      </c>
      <c r="AW2000" s="2">
        <f t="shared" ca="1" si="1969"/>
        <v>2282681.5008188179</v>
      </c>
      <c r="AX2000" s="2">
        <f t="shared" ca="1" si="1970"/>
        <v>2376515.5122386301</v>
      </c>
      <c r="AY2000" s="2">
        <f t="shared" ca="1" si="1971"/>
        <v>2472593.725760364</v>
      </c>
      <c r="AZ2000" s="2">
        <f t="shared" ca="1" si="1972"/>
        <v>2570969.8153450703</v>
      </c>
      <c r="BA2000" s="2">
        <f t="shared" ca="1" si="1973"/>
        <v>53052962.584419772</v>
      </c>
      <c r="BB2000" s="2">
        <f t="shared" ca="1" si="1974"/>
        <v>1061059.2516883954</v>
      </c>
      <c r="BC2000" s="2">
        <f t="shared" ca="1" si="1975"/>
        <v>27357031.215328712</v>
      </c>
      <c r="BD2000" s="2">
        <f t="shared" ca="1" si="1976"/>
        <v>-17949701.083160225</v>
      </c>
      <c r="BE2000" s="2">
        <f t="shared" ca="1" si="1977"/>
        <v>2146800.3592094546</v>
      </c>
      <c r="BF2000" s="2">
        <f t="shared" ca="1" si="1978"/>
        <v>2282681.5008188179</v>
      </c>
      <c r="BG2000" s="2">
        <f t="shared" ca="1" si="1979"/>
        <v>2376515.5122386301</v>
      </c>
      <c r="BH2000" s="2">
        <f t="shared" ca="1" si="1980"/>
        <v>2472593.725760364</v>
      </c>
      <c r="BI2000" s="2">
        <f t="shared" ca="1" si="1981"/>
        <v>29928001.030673783</v>
      </c>
      <c r="BJ2000" s="2">
        <f t="shared" ca="1" si="1982"/>
        <v>0.2003181308682338</v>
      </c>
      <c r="BK2000" s="2">
        <f t="shared" ca="1" si="1983"/>
        <v>6031711.0049828663</v>
      </c>
    </row>
    <row r="2001" spans="1:63" x14ac:dyDescent="0.3">
      <c r="A2001" s="2">
        <v>2000</v>
      </c>
      <c r="B2001" s="2">
        <f t="shared" ca="1" si="1922"/>
        <v>0.33299613260635452</v>
      </c>
      <c r="C2001" s="2">
        <f t="shared" ca="1" si="1923"/>
        <v>6.8160834915697714</v>
      </c>
      <c r="D2001" s="2">
        <f t="shared" ca="1" si="1924"/>
        <v>0.33003865683559341</v>
      </c>
      <c r="E2001" s="2">
        <f t="shared" ca="1" si="1925"/>
        <v>7.3124514223454762</v>
      </c>
      <c r="F2001" s="2">
        <f t="shared" ca="1" si="1926"/>
        <v>0.46571182768860464</v>
      </c>
      <c r="G2001" s="2">
        <f t="shared" ca="1" si="1927"/>
        <v>3.7418386218600851E-2</v>
      </c>
      <c r="H2001" s="2">
        <f t="shared" ca="1" si="1928"/>
        <v>3.7418386218600851E-2</v>
      </c>
      <c r="I2001" s="2">
        <f t="shared" ca="1" si="1929"/>
        <v>0.74590813181630389</v>
      </c>
      <c r="J2001" s="2">
        <f t="shared" ca="1" si="1930"/>
        <v>1.3308342190238473E-2</v>
      </c>
      <c r="K2001" s="2">
        <f t="shared" ca="1" si="1931"/>
        <v>1.3308342190238473E-2</v>
      </c>
      <c r="L2001" s="2">
        <f t="shared" ca="1" si="1932"/>
        <v>3.2491922557126629E-2</v>
      </c>
      <c r="M2001" s="2">
        <f t="shared" ca="1" si="1933"/>
        <v>-3.6907384722802722E-2</v>
      </c>
      <c r="N2001" s="2">
        <f t="shared" ca="1" si="1934"/>
        <v>-3.6907384722802722E-2</v>
      </c>
      <c r="O2001" s="2">
        <f t="shared" si="1935"/>
        <v>6000000</v>
      </c>
      <c r="P2001" s="2">
        <f t="shared" ca="1" si="1936"/>
        <v>40896500.949418627</v>
      </c>
      <c r="Q2001" s="2">
        <f t="shared" ca="1" si="1937"/>
        <v>1022412.5237354657</v>
      </c>
      <c r="R2001" s="2">
        <f t="shared" ca="1" si="1938"/>
        <v>24537900.569651175</v>
      </c>
      <c r="S2001" s="2">
        <f t="shared" ca="1" si="1939"/>
        <v>16358600.379767451</v>
      </c>
      <c r="T2001" s="2">
        <f t="shared" ca="1" si="1940"/>
        <v>48154630.763859861</v>
      </c>
      <c r="U2001" s="2">
        <f t="shared" ca="1" si="1941"/>
        <v>49956499.335996084</v>
      </c>
      <c r="V2001" s="2">
        <f t="shared" ca="1" si="1942"/>
        <v>51825790.922279663</v>
      </c>
      <c r="W2001" s="2">
        <f t="shared" ca="1" si="1943"/>
        <v>53765028.383093983</v>
      </c>
      <c r="X2001" s="2">
        <f t="shared" ca="1" si="1944"/>
        <v>55776828.980186626</v>
      </c>
      <c r="Y2001" s="2">
        <f t="shared" ca="1" si="1945"/>
        <v>0.12665417109511923</v>
      </c>
      <c r="Z2001" s="2">
        <f t="shared" ca="1" si="1946"/>
        <v>0.12931583953316692</v>
      </c>
      <c r="AA2001" s="2">
        <f t="shared" ca="1" si="1947"/>
        <v>6098984.8437881991</v>
      </c>
      <c r="AB2001" s="2">
        <f t="shared" ca="1" si="1948"/>
        <v>6460166.6517724292</v>
      </c>
      <c r="AC2001" s="2">
        <f t="shared" ca="1" si="1949"/>
        <v>6701895.6625849754</v>
      </c>
      <c r="AD2001" s="2">
        <f t="shared" ca="1" si="1950"/>
        <v>6952669.7828843463</v>
      </c>
      <c r="AE2001" s="2">
        <f t="shared" ca="1" si="1951"/>
        <v>7212827.4660707079</v>
      </c>
      <c r="AF2001" s="2">
        <f t="shared" ca="1" si="1952"/>
        <v>963092.61527719721</v>
      </c>
      <c r="AG2001" s="2">
        <f t="shared" ca="1" si="1953"/>
        <v>999129.9867199217</v>
      </c>
      <c r="AH2001" s="2">
        <f t="shared" ca="1" si="1954"/>
        <v>1036515.8184455932</v>
      </c>
      <c r="AI2001" s="2">
        <f t="shared" ca="1" si="1955"/>
        <v>1075300.5676618796</v>
      </c>
      <c r="AJ2001" s="2">
        <f t="shared" ca="1" si="1956"/>
        <v>1115536.5796037326</v>
      </c>
      <c r="AK2001" s="2">
        <f t="shared" ca="1" si="1957"/>
        <v>0</v>
      </c>
      <c r="AL2001" s="2">
        <f t="shared" ca="1" si="1958"/>
        <v>18018.685721362235</v>
      </c>
      <c r="AM2001" s="2">
        <f t="shared" ca="1" si="1959"/>
        <v>18692.915862835795</v>
      </c>
      <c r="AN2001" s="2">
        <f t="shared" ca="1" si="1960"/>
        <v>19392.374608143196</v>
      </c>
      <c r="AO2001" s="2">
        <f t="shared" ca="1" si="1961"/>
        <v>20118.005970926435</v>
      </c>
      <c r="AP2001" s="2">
        <f t="shared" ca="1" si="1962"/>
        <v>2208411.0512686055</v>
      </c>
      <c r="AQ2001" s="2">
        <f t="shared" ca="1" si="1963"/>
        <v>761145.10608302313</v>
      </c>
      <c r="AR2001" s="2">
        <f t="shared" ca="1" si="1964"/>
        <v>845682.65958381444</v>
      </c>
      <c r="AS2001" s="2">
        <f t="shared" ca="1" si="1965"/>
        <v>898811.88614640199</v>
      </c>
      <c r="AT2001" s="2">
        <f t="shared" ca="1" si="1966"/>
        <v>953929.12262800394</v>
      </c>
      <c r="AU2001" s="2">
        <f t="shared" ca="1" si="1967"/>
        <v>1011108.7571515762</v>
      </c>
      <c r="AV2001" s="2">
        <f t="shared" ca="1" si="1968"/>
        <v>2166336.071159373</v>
      </c>
      <c r="AW2001" s="2">
        <f t="shared" ca="1" si="1969"/>
        <v>2388924.2684787251</v>
      </c>
      <c r="AX2001" s="2">
        <f t="shared" ca="1" si="1970"/>
        <v>2539463.9908615388</v>
      </c>
      <c r="AY2001" s="2">
        <f t="shared" ca="1" si="1971"/>
        <v>2695636.6667177137</v>
      </c>
      <c r="AZ2001" s="2">
        <f t="shared" ca="1" si="1972"/>
        <v>2857653.072075868</v>
      </c>
      <c r="BA2001" s="2">
        <f t="shared" ca="1" si="1973"/>
        <v>52743450.463401265</v>
      </c>
      <c r="BB2001" s="2">
        <f t="shared" ca="1" si="1974"/>
        <v>1054869.0092680254</v>
      </c>
      <c r="BC2001" s="2">
        <f t="shared" ca="1" si="1975"/>
        <v>27150680.884482063</v>
      </c>
      <c r="BD2001" s="2">
        <f t="shared" ca="1" si="1976"/>
        <v>-17881012.903502919</v>
      </c>
      <c r="BE2001" s="2">
        <f t="shared" ca="1" si="1977"/>
        <v>2166336.071159373</v>
      </c>
      <c r="BF2001" s="2">
        <f t="shared" ca="1" si="1978"/>
        <v>2388924.2684787251</v>
      </c>
      <c r="BG2001" s="2">
        <f t="shared" ca="1" si="1979"/>
        <v>2539463.9908615388</v>
      </c>
      <c r="BH2001" s="2">
        <f t="shared" ca="1" si="1980"/>
        <v>2695636.6667177137</v>
      </c>
      <c r="BI2001" s="2">
        <f t="shared" ca="1" si="1981"/>
        <v>30008333.95655793</v>
      </c>
      <c r="BJ2001" s="2">
        <f t="shared" ca="1" si="1982"/>
        <v>0.20670041805678729</v>
      </c>
      <c r="BK2001" s="2">
        <f t="shared" ca="1" si="1983"/>
        <v>6505852.2577871382</v>
      </c>
    </row>
    <row r="2002" spans="1:63" x14ac:dyDescent="0.3">
      <c r="A2002" s="2">
        <v>2001</v>
      </c>
      <c r="B2002" s="2">
        <f t="shared" ca="1" si="1922"/>
        <v>0.59440893268142625</v>
      </c>
      <c r="C2002" s="2">
        <f t="shared" ca="1" si="1923"/>
        <v>7.0993434979765331</v>
      </c>
      <c r="D2002" s="2">
        <f t="shared" ca="1" si="1924"/>
        <v>0.18484069787970181</v>
      </c>
      <c r="E2002" s="2">
        <f t="shared" ca="1" si="1925"/>
        <v>7.1080143055548968</v>
      </c>
      <c r="F2002" s="2">
        <f t="shared" ca="1" si="1926"/>
        <v>0.28945438307838212</v>
      </c>
      <c r="G2002" s="2">
        <f t="shared" ca="1" si="1927"/>
        <v>2.3350618672053413E-2</v>
      </c>
      <c r="H2002" s="2">
        <f t="shared" ca="1" si="1928"/>
        <v>2.3350618672053413E-2</v>
      </c>
      <c r="I2002" s="2">
        <f t="shared" ca="1" si="1929"/>
        <v>0.40142064622971496</v>
      </c>
      <c r="J2002" s="2">
        <f t="shared" ca="1" si="1930"/>
        <v>8.7516418046626708E-3</v>
      </c>
      <c r="K2002" s="2">
        <f t="shared" ca="1" si="1931"/>
        <v>8.7516418046626708E-3</v>
      </c>
      <c r="L2002" s="2">
        <f t="shared" ca="1" si="1932"/>
        <v>0.88457930669899509</v>
      </c>
      <c r="M2002" s="2">
        <f t="shared" ca="1" si="1933"/>
        <v>2.3963885861892048E-2</v>
      </c>
      <c r="N2002" s="2">
        <f t="shared" ca="1" si="1934"/>
        <v>2.3963885861892048E-2</v>
      </c>
      <c r="O2002" s="2">
        <f t="shared" si="1935"/>
        <v>6000000</v>
      </c>
      <c r="P2002" s="2">
        <f t="shared" ca="1" si="1936"/>
        <v>42596060.987859197</v>
      </c>
      <c r="Q2002" s="2">
        <f t="shared" ca="1" si="1937"/>
        <v>1064901.52469648</v>
      </c>
      <c r="R2002" s="2">
        <f t="shared" ca="1" si="1938"/>
        <v>25557636.592715517</v>
      </c>
      <c r="S2002" s="2">
        <f t="shared" ca="1" si="1939"/>
        <v>17038424.39514368</v>
      </c>
      <c r="T2002" s="2">
        <f t="shared" ca="1" si="1940"/>
        <v>51198194.293094598</v>
      </c>
      <c r="U2002" s="2">
        <f t="shared" ca="1" si="1941"/>
        <v>52393703.804730348</v>
      </c>
      <c r="V2002" s="2">
        <f t="shared" ca="1" si="1942"/>
        <v>53617129.203091115</v>
      </c>
      <c r="W2002" s="2">
        <f t="shared" ca="1" si="1943"/>
        <v>54869122.341402709</v>
      </c>
      <c r="X2002" s="2">
        <f t="shared" ca="1" si="1944"/>
        <v>56150350.294067048</v>
      </c>
      <c r="Y2002" s="2">
        <f t="shared" ca="1" si="1945"/>
        <v>0.12437582090233133</v>
      </c>
      <c r="Z2002" s="2">
        <f t="shared" ca="1" si="1946"/>
        <v>0.12612614926326388</v>
      </c>
      <c r="AA2002" s="2">
        <f t="shared" ca="1" si="1947"/>
        <v>6367817.4439206962</v>
      </c>
      <c r="AB2002" s="2">
        <f t="shared" ca="1" si="1948"/>
        <v>6608216.1065306561</v>
      </c>
      <c r="AC2002" s="2">
        <f t="shared" ca="1" si="1949"/>
        <v>6762522.0409367746</v>
      </c>
      <c r="AD2002" s="2">
        <f t="shared" ca="1" si="1950"/>
        <v>6920431.1143760448</v>
      </c>
      <c r="AE2002" s="2">
        <f t="shared" ca="1" si="1951"/>
        <v>7082027.462374053</v>
      </c>
      <c r="AF2002" s="2">
        <f t="shared" ca="1" si="1952"/>
        <v>1023963.885861892</v>
      </c>
      <c r="AG2002" s="2">
        <f t="shared" ca="1" si="1953"/>
        <v>1047874.076094607</v>
      </c>
      <c r="AH2002" s="2">
        <f t="shared" ca="1" si="1954"/>
        <v>1072342.5840618224</v>
      </c>
      <c r="AI2002" s="2">
        <f t="shared" ca="1" si="1955"/>
        <v>1097382.4468280543</v>
      </c>
      <c r="AJ2002" s="2">
        <f t="shared" ca="1" si="1956"/>
        <v>1123007.0058813409</v>
      </c>
      <c r="AK2002" s="2">
        <f t="shared" ca="1" si="1957"/>
        <v>0</v>
      </c>
      <c r="AL2002" s="2">
        <f t="shared" ca="1" si="1958"/>
        <v>11955.095116357506</v>
      </c>
      <c r="AM2002" s="2">
        <f t="shared" ca="1" si="1959"/>
        <v>12234.253983607665</v>
      </c>
      <c r="AN2002" s="2">
        <f t="shared" ca="1" si="1960"/>
        <v>12519.931383115947</v>
      </c>
      <c r="AO2002" s="2">
        <f t="shared" ca="1" si="1961"/>
        <v>12812.27952664338</v>
      </c>
      <c r="AP2002" s="2">
        <f t="shared" ca="1" si="1962"/>
        <v>2300187.2933443966</v>
      </c>
      <c r="AQ2002" s="2">
        <f t="shared" ca="1" si="1963"/>
        <v>791353.22882574587</v>
      </c>
      <c r="AR2002" s="2">
        <f t="shared" ca="1" si="1964"/>
        <v>847640.23164382973</v>
      </c>
      <c r="AS2002" s="2">
        <f t="shared" ca="1" si="1965"/>
        <v>881397.9625179444</v>
      </c>
      <c r="AT2002" s="2">
        <f t="shared" ca="1" si="1966"/>
        <v>915943.95729293441</v>
      </c>
      <c r="AU2002" s="2">
        <f t="shared" ca="1" si="1967"/>
        <v>951296.62241856195</v>
      </c>
      <c r="AV2002" s="2">
        <f t="shared" ca="1" si="1968"/>
        <v>2252313.0358886612</v>
      </c>
      <c r="AW2002" s="2">
        <f t="shared" ca="1" si="1969"/>
        <v>2400559.4103314658</v>
      </c>
      <c r="AX2002" s="2">
        <f t="shared" ca="1" si="1970"/>
        <v>2496359.9470290034</v>
      </c>
      <c r="AY2002" s="2">
        <f t="shared" ca="1" si="1971"/>
        <v>2594397.4855275438</v>
      </c>
      <c r="AZ2002" s="2">
        <f t="shared" ca="1" si="1972"/>
        <v>2694724.2612031098</v>
      </c>
      <c r="BA2002" s="2">
        <f t="shared" ca="1" si="1973"/>
        <v>50339152.514887415</v>
      </c>
      <c r="BB2002" s="2">
        <f t="shared" ca="1" si="1974"/>
        <v>1006783.0502977483</v>
      </c>
      <c r="BC2002" s="2">
        <f t="shared" ca="1" si="1975"/>
        <v>23774732.87187415</v>
      </c>
      <c r="BD2002" s="2">
        <f t="shared" ca="1" si="1976"/>
        <v>-18603325.919840161</v>
      </c>
      <c r="BE2002" s="2">
        <f t="shared" ca="1" si="1977"/>
        <v>2252313.0358886612</v>
      </c>
      <c r="BF2002" s="2">
        <f t="shared" ca="1" si="1978"/>
        <v>2400559.4103314658</v>
      </c>
      <c r="BG2002" s="2">
        <f t="shared" ca="1" si="1979"/>
        <v>2496359.9470290034</v>
      </c>
      <c r="BH2002" s="2">
        <f t="shared" ca="1" si="1980"/>
        <v>2594397.4855275438</v>
      </c>
      <c r="BI2002" s="2">
        <f t="shared" ca="1" si="1981"/>
        <v>26469457.13307726</v>
      </c>
      <c r="BJ2002" s="2">
        <f t="shared" ca="1" si="1982"/>
        <v>0.17141372809760669</v>
      </c>
      <c r="BK2002" s="2">
        <f t="shared" ca="1" si="1983"/>
        <v>3766506.1667658612</v>
      </c>
    </row>
    <row r="2003" spans="1:63" x14ac:dyDescent="0.3">
      <c r="A2003" s="2">
        <v>2002</v>
      </c>
      <c r="B2003" s="2">
        <f t="shared" ca="1" si="1922"/>
        <v>0.18134751751737166</v>
      </c>
      <c r="C2003" s="2">
        <f t="shared" ca="1" si="1923"/>
        <v>6.6022416749401716</v>
      </c>
      <c r="D2003" s="2">
        <f t="shared" ca="1" si="1924"/>
        <v>0.60543054305704491</v>
      </c>
      <c r="E2003" s="2">
        <f t="shared" ca="1" si="1925"/>
        <v>7.611665089121276</v>
      </c>
      <c r="F2003" s="2">
        <f t="shared" ca="1" si="1926"/>
        <v>3.7938563991132268E-2</v>
      </c>
      <c r="G2003" s="2">
        <f t="shared" ca="1" si="1927"/>
        <v>-1.3253772158247655E-2</v>
      </c>
      <c r="H2003" s="2">
        <f t="shared" ca="1" si="1928"/>
        <v>-1.3253772158247655E-2</v>
      </c>
      <c r="I2003" s="2">
        <f t="shared" ca="1" si="1929"/>
        <v>0.37129930672403266</v>
      </c>
      <c r="J2003" s="2">
        <f t="shared" ca="1" si="1930"/>
        <v>8.3579296985847266E-3</v>
      </c>
      <c r="K2003" s="2">
        <f t="shared" ca="1" si="1931"/>
        <v>8.3579296985847266E-3</v>
      </c>
      <c r="L2003" s="2">
        <f t="shared" ca="1" si="1932"/>
        <v>0.72734033487940453</v>
      </c>
      <c r="M2003" s="2">
        <f t="shared" ca="1" si="1933"/>
        <v>1.2095776183919899E-2</v>
      </c>
      <c r="N2003" s="2">
        <f t="shared" ca="1" si="1934"/>
        <v>1.2095776183919899E-2</v>
      </c>
      <c r="O2003" s="2">
        <f t="shared" si="1935"/>
        <v>6000000</v>
      </c>
      <c r="P2003" s="2">
        <f t="shared" ca="1" si="1936"/>
        <v>39613450.049641028</v>
      </c>
      <c r="Q2003" s="2">
        <f t="shared" ca="1" si="1937"/>
        <v>990336.25124102575</v>
      </c>
      <c r="R2003" s="2">
        <f t="shared" ca="1" si="1938"/>
        <v>23768070.029784616</v>
      </c>
      <c r="S2003" s="2">
        <f t="shared" ca="1" si="1939"/>
        <v>15845380.019856412</v>
      </c>
      <c r="T2003" s="2">
        <f t="shared" ca="1" si="1940"/>
        <v>50604788.809196003</v>
      </c>
      <c r="U2003" s="2">
        <f t="shared" ca="1" si="1941"/>
        <v>49934084.46820268</v>
      </c>
      <c r="V2003" s="2">
        <f t="shared" ca="1" si="1942"/>
        <v>49272269.489730433</v>
      </c>
      <c r="W2003" s="2">
        <f t="shared" ca="1" si="1943"/>
        <v>48619226.056193769</v>
      </c>
      <c r="X2003" s="2">
        <f t="shared" ca="1" si="1944"/>
        <v>47974837.911534637</v>
      </c>
      <c r="Y2003" s="2">
        <f t="shared" ca="1" si="1945"/>
        <v>0.12417896484929236</v>
      </c>
      <c r="Z2003" s="2">
        <f t="shared" ca="1" si="1946"/>
        <v>0.12585055078900931</v>
      </c>
      <c r="AA2003" s="2">
        <f t="shared" ca="1" si="1947"/>
        <v>6284050.2907430138</v>
      </c>
      <c r="AB2003" s="2">
        <f t="shared" ca="1" si="1948"/>
        <v>6284232.0334682222</v>
      </c>
      <c r="AC2003" s="2">
        <f t="shared" ca="1" si="1949"/>
        <v>6200942.2539070733</v>
      </c>
      <c r="AD2003" s="2">
        <f t="shared" ca="1" si="1950"/>
        <v>6118756.3781073382</v>
      </c>
      <c r="AE2003" s="2">
        <f t="shared" ca="1" si="1951"/>
        <v>6037659.775180079</v>
      </c>
      <c r="AF2003" s="2">
        <f t="shared" ca="1" si="1952"/>
        <v>1012095.7761839201</v>
      </c>
      <c r="AG2003" s="2">
        <f t="shared" ca="1" si="1953"/>
        <v>998681.68936405366</v>
      </c>
      <c r="AH2003" s="2">
        <f t="shared" ca="1" si="1954"/>
        <v>985445.38979460869</v>
      </c>
      <c r="AI2003" s="2">
        <f t="shared" ca="1" si="1955"/>
        <v>972384.5211238754</v>
      </c>
      <c r="AJ2003" s="2">
        <f t="shared" ca="1" si="1956"/>
        <v>959496.75823069271</v>
      </c>
      <c r="AK2003" s="2">
        <f t="shared" ca="1" si="1957"/>
        <v>0</v>
      </c>
      <c r="AL2003" s="2">
        <f t="shared" ca="1" si="1958"/>
        <v>0</v>
      </c>
      <c r="AM2003" s="2">
        <f t="shared" ca="1" si="1959"/>
        <v>0</v>
      </c>
      <c r="AN2003" s="2">
        <f t="shared" ca="1" si="1960"/>
        <v>0</v>
      </c>
      <c r="AO2003" s="2">
        <f t="shared" ca="1" si="1961"/>
        <v>0</v>
      </c>
      <c r="AP2003" s="2">
        <f t="shared" ca="1" si="1962"/>
        <v>2139126.3026806153</v>
      </c>
      <c r="AQ2003" s="2">
        <f t="shared" ca="1" si="1963"/>
        <v>814535.33508840448</v>
      </c>
      <c r="AR2003" s="2">
        <f t="shared" ca="1" si="1964"/>
        <v>818070.25077012391</v>
      </c>
      <c r="AS2003" s="2">
        <f t="shared" ca="1" si="1965"/>
        <v>799856.34597228083</v>
      </c>
      <c r="AT2003" s="2">
        <f t="shared" ca="1" si="1966"/>
        <v>781883.84411874029</v>
      </c>
      <c r="AU2003" s="2">
        <f t="shared" ca="1" si="1967"/>
        <v>764149.54570988053</v>
      </c>
      <c r="AV2003" s="2">
        <f t="shared" ca="1" si="1968"/>
        <v>2318292.8767900737</v>
      </c>
      <c r="AW2003" s="2">
        <f t="shared" ca="1" si="1969"/>
        <v>2328353.7906534299</v>
      </c>
      <c r="AX2003" s="2">
        <f t="shared" ca="1" si="1970"/>
        <v>2276514.2154595684</v>
      </c>
      <c r="AY2003" s="2">
        <f t="shared" ca="1" si="1971"/>
        <v>2225361.7101841066</v>
      </c>
      <c r="AZ2003" s="2">
        <f t="shared" ca="1" si="1972"/>
        <v>2174887.16855889</v>
      </c>
      <c r="BA2003" s="2">
        <f t="shared" ca="1" si="1973"/>
        <v>45956644.130730018</v>
      </c>
      <c r="BB2003" s="2">
        <f t="shared" ca="1" si="1974"/>
        <v>919132.88261460036</v>
      </c>
      <c r="BC2003" s="2">
        <f t="shared" ca="1" si="1975"/>
        <v>21269441.218330801</v>
      </c>
      <c r="BD2003" s="2">
        <f t="shared" ca="1" si="1976"/>
        <v>-17335716.271097437</v>
      </c>
      <c r="BE2003" s="2">
        <f t="shared" ca="1" si="1977"/>
        <v>2318292.8767900737</v>
      </c>
      <c r="BF2003" s="2">
        <f t="shared" ca="1" si="1978"/>
        <v>2328353.7906534299</v>
      </c>
      <c r="BG2003" s="2">
        <f t="shared" ca="1" si="1979"/>
        <v>2276514.2154595684</v>
      </c>
      <c r="BH2003" s="2">
        <f t="shared" ca="1" si="1980"/>
        <v>2225361.7101841066</v>
      </c>
      <c r="BI2003" s="2">
        <f t="shared" ca="1" si="1981"/>
        <v>23444328.386889689</v>
      </c>
      <c r="BJ2003" s="2">
        <f t="shared" ca="1" si="1982"/>
        <v>0.1640304121835614</v>
      </c>
      <c r="BK2003" s="2">
        <f t="shared" ca="1" si="1983"/>
        <v>2927914.4611106105</v>
      </c>
    </row>
    <row r="2004" spans="1:63" x14ac:dyDescent="0.3">
      <c r="A2004" s="2">
        <v>2003</v>
      </c>
      <c r="B2004" s="2">
        <f t="shared" ca="1" si="1922"/>
        <v>0.61089942479404669</v>
      </c>
      <c r="C2004" s="2">
        <f t="shared" ca="1" si="1923"/>
        <v>7.1178428992453178</v>
      </c>
      <c r="D2004" s="2">
        <f t="shared" ca="1" si="1924"/>
        <v>0.93943502882057606</v>
      </c>
      <c r="E2004" s="2">
        <f t="shared" ca="1" si="1925"/>
        <v>8.151962728491835</v>
      </c>
      <c r="F2004" s="2">
        <f t="shared" ca="1" si="1926"/>
        <v>0.65536138128622035</v>
      </c>
      <c r="G2004" s="2">
        <f t="shared" ca="1" si="1927"/>
        <v>5.1995083092066199E-2</v>
      </c>
      <c r="H2004" s="2">
        <f t="shared" ca="1" si="1928"/>
        <v>5.1995083092066199E-2</v>
      </c>
      <c r="I2004" s="2">
        <f t="shared" ca="1" si="1929"/>
        <v>0.17456272521383764</v>
      </c>
      <c r="J2004" s="2">
        <f t="shared" ca="1" si="1930"/>
        <v>5.3185651046763448E-3</v>
      </c>
      <c r="K2004" s="2">
        <f t="shared" ca="1" si="1931"/>
        <v>5.3185651046763448E-3</v>
      </c>
      <c r="L2004" s="2">
        <f t="shared" ca="1" si="1932"/>
        <v>0.74374813474754664</v>
      </c>
      <c r="M2004" s="2">
        <f t="shared" ca="1" si="1933"/>
        <v>1.3098882463190921E-2</v>
      </c>
      <c r="N2004" s="2">
        <f t="shared" ca="1" si="1934"/>
        <v>1.3098882463190921E-2</v>
      </c>
      <c r="O2004" s="2">
        <f t="shared" si="1935"/>
        <v>6000000</v>
      </c>
      <c r="P2004" s="2">
        <f t="shared" ca="1" si="1936"/>
        <v>42707057.395471908</v>
      </c>
      <c r="Q2004" s="2">
        <f t="shared" ca="1" si="1937"/>
        <v>1067676.4348867978</v>
      </c>
      <c r="R2004" s="2">
        <f t="shared" ca="1" si="1938"/>
        <v>25624234.437283143</v>
      </c>
      <c r="S2004" s="2">
        <f t="shared" ca="1" si="1939"/>
        <v>17082822.958188765</v>
      </c>
      <c r="T2004" s="2">
        <f t="shared" ca="1" si="1940"/>
        <v>50654944.12315955</v>
      </c>
      <c r="U2004" s="2">
        <f t="shared" ca="1" si="1941"/>
        <v>53288752.151867196</v>
      </c>
      <c r="V2004" s="2">
        <f t="shared" ca="1" si="1942"/>
        <v>56059505.247876048</v>
      </c>
      <c r="W2004" s="2">
        <f t="shared" ca="1" si="1943"/>
        <v>58974323.881339483</v>
      </c>
      <c r="X2004" s="2">
        <f t="shared" ca="1" si="1944"/>
        <v>62040698.751848146</v>
      </c>
      <c r="Y2004" s="2">
        <f t="shared" ca="1" si="1945"/>
        <v>0.12265928255233817</v>
      </c>
      <c r="Z2004" s="2">
        <f t="shared" ca="1" si="1946"/>
        <v>0.12372299557327343</v>
      </c>
      <c r="AA2004" s="2">
        <f t="shared" ca="1" si="1947"/>
        <v>6213299.103875529</v>
      </c>
      <c r="AB2004" s="2">
        <f t="shared" ca="1" si="1948"/>
        <v>6593044.0465907305</v>
      </c>
      <c r="AC2004" s="2">
        <f t="shared" ca="1" si="1949"/>
        <v>6935849.9196228674</v>
      </c>
      <c r="AD2004" s="2">
        <f t="shared" ca="1" si="1950"/>
        <v>7296480.0125077581</v>
      </c>
      <c r="AE2004" s="2">
        <f t="shared" ca="1" si="1951"/>
        <v>7675861.0970376991</v>
      </c>
      <c r="AF2004" s="2">
        <f t="shared" ca="1" si="1952"/>
        <v>1013098.8824631911</v>
      </c>
      <c r="AG2004" s="2">
        <f t="shared" ca="1" si="1953"/>
        <v>1065775.043037344</v>
      </c>
      <c r="AH2004" s="2">
        <f t="shared" ca="1" si="1954"/>
        <v>1121190.104957521</v>
      </c>
      <c r="AI2004" s="2">
        <f t="shared" ca="1" si="1955"/>
        <v>1179486.4776267896</v>
      </c>
      <c r="AJ2004" s="2">
        <f t="shared" ca="1" si="1956"/>
        <v>1240813.9750369629</v>
      </c>
      <c r="AK2004" s="2">
        <f t="shared" ca="1" si="1957"/>
        <v>0</v>
      </c>
      <c r="AL2004" s="2">
        <f t="shared" ca="1" si="1958"/>
        <v>26338.08028707646</v>
      </c>
      <c r="AM2004" s="2">
        <f t="shared" ca="1" si="1959"/>
        <v>27707.530960088523</v>
      </c>
      <c r="AN2004" s="2">
        <f t="shared" ca="1" si="1960"/>
        <v>29148.186334634349</v>
      </c>
      <c r="AO2004" s="2">
        <f t="shared" ca="1" si="1961"/>
        <v>30663.748705086633</v>
      </c>
      <c r="AP2004" s="2">
        <f t="shared" ca="1" si="1962"/>
        <v>2306181.099355483</v>
      </c>
      <c r="AQ2004" s="2">
        <f t="shared" ca="1" si="1963"/>
        <v>752444.97173478245</v>
      </c>
      <c r="AR2004" s="2">
        <f t="shared" ca="1" si="1964"/>
        <v>837482.85509145504</v>
      </c>
      <c r="AS2004" s="2">
        <f t="shared" ca="1" si="1965"/>
        <v>912204.46598056448</v>
      </c>
      <c r="AT2004" s="2">
        <f t="shared" ca="1" si="1966"/>
        <v>990811.23323662637</v>
      </c>
      <c r="AU2004" s="2">
        <f t="shared" ca="1" si="1967"/>
        <v>1073505.1658877658</v>
      </c>
      <c r="AV2004" s="2">
        <f t="shared" ca="1" si="1968"/>
        <v>2141574.1503220727</v>
      </c>
      <c r="AW2004" s="2">
        <f t="shared" ca="1" si="1969"/>
        <v>2357266.9688193719</v>
      </c>
      <c r="AX2004" s="2">
        <f t="shared" ca="1" si="1970"/>
        <v>2568566.7183692106</v>
      </c>
      <c r="AY2004" s="2">
        <f t="shared" ca="1" si="1971"/>
        <v>2790853.0159542249</v>
      </c>
      <c r="AZ2004" s="2">
        <f t="shared" ca="1" si="1972"/>
        <v>3024697.1080524013</v>
      </c>
      <c r="BA2004" s="2">
        <f t="shared" ca="1" si="1973"/>
        <v>62573333.572131768</v>
      </c>
      <c r="BB2004" s="2">
        <f t="shared" ca="1" si="1974"/>
        <v>1251466.6714426354</v>
      </c>
      <c r="BC2004" s="2">
        <f t="shared" ca="1" si="1975"/>
        <v>35697632.463405989</v>
      </c>
      <c r="BD2004" s="2">
        <f t="shared" ca="1" si="1976"/>
        <v>-18650499.393075563</v>
      </c>
      <c r="BE2004" s="2">
        <f t="shared" ca="1" si="1977"/>
        <v>2141574.1503220727</v>
      </c>
      <c r="BF2004" s="2">
        <f t="shared" ca="1" si="1978"/>
        <v>2357266.9688193719</v>
      </c>
      <c r="BG2004" s="2">
        <f t="shared" ca="1" si="1979"/>
        <v>2568566.7183692106</v>
      </c>
      <c r="BH2004" s="2">
        <f t="shared" ca="1" si="1980"/>
        <v>2790853.0159542249</v>
      </c>
      <c r="BI2004" s="2">
        <f t="shared" ca="1" si="1981"/>
        <v>38722329.571458392</v>
      </c>
      <c r="BJ2004" s="2">
        <f t="shared" ca="1" si="1982"/>
        <v>0.24545356026626064</v>
      </c>
      <c r="BK2004" s="2">
        <f t="shared" ca="1" si="1983"/>
        <v>10714801.495261408</v>
      </c>
    </row>
    <row r="2005" spans="1:63" x14ac:dyDescent="0.3">
      <c r="A2005" s="2">
        <v>2004</v>
      </c>
      <c r="B2005" s="2">
        <f t="shared" ca="1" si="1922"/>
        <v>0.12423782412500983</v>
      </c>
      <c r="C2005" s="2">
        <f t="shared" ca="1" si="1923"/>
        <v>6.4984733174905349</v>
      </c>
      <c r="D2005" s="2">
        <f t="shared" ca="1" si="1924"/>
        <v>0.34486057443985974</v>
      </c>
      <c r="E2005" s="2">
        <f t="shared" ca="1" si="1925"/>
        <v>7.33049452068013</v>
      </c>
      <c r="F2005" s="2">
        <f t="shared" ca="1" si="1926"/>
        <v>0.18724201943557628</v>
      </c>
      <c r="G2005" s="2">
        <f t="shared" ca="1" si="1927"/>
        <v>1.3356836921177562E-2</v>
      </c>
      <c r="H2005" s="2">
        <f t="shared" ca="1" si="1928"/>
        <v>1.3356836921177562E-2</v>
      </c>
      <c r="I2005" s="2">
        <f t="shared" ca="1" si="1929"/>
        <v>0.50945992008691288</v>
      </c>
      <c r="J2005" s="2">
        <f t="shared" ca="1" si="1930"/>
        <v>1.0118573628959203E-2</v>
      </c>
      <c r="K2005" s="2">
        <f t="shared" ca="1" si="1931"/>
        <v>1.0118573628959203E-2</v>
      </c>
      <c r="L2005" s="2">
        <f t="shared" ca="1" si="1932"/>
        <v>2.6700762099406083E-2</v>
      </c>
      <c r="M2005" s="2">
        <f t="shared" ca="1" si="1933"/>
        <v>-3.8633193640959872E-2</v>
      </c>
      <c r="N2005" s="2">
        <f t="shared" ca="1" si="1934"/>
        <v>-3.8633193640959872E-2</v>
      </c>
      <c r="O2005" s="2">
        <f t="shared" si="1935"/>
        <v>6000000</v>
      </c>
      <c r="P2005" s="2">
        <f t="shared" ca="1" si="1936"/>
        <v>38990839.904943213</v>
      </c>
      <c r="Q2005" s="2">
        <f t="shared" ca="1" si="1937"/>
        <v>974770.99762358039</v>
      </c>
      <c r="R2005" s="2">
        <f t="shared" ca="1" si="1938"/>
        <v>23394503.942965928</v>
      </c>
      <c r="S2005" s="2">
        <f t="shared" ca="1" si="1939"/>
        <v>15596335.961977286</v>
      </c>
      <c r="T2005" s="2">
        <f t="shared" ca="1" si="1940"/>
        <v>48068340.317952007</v>
      </c>
      <c r="U2005" s="2">
        <f t="shared" ca="1" si="1941"/>
        <v>48710381.300650559</v>
      </c>
      <c r="V2005" s="2">
        <f t="shared" ca="1" si="1942"/>
        <v>49360997.920051731</v>
      </c>
      <c r="W2005" s="2">
        <f t="shared" ca="1" si="1943"/>
        <v>50020304.719536446</v>
      </c>
      <c r="X2005" s="2">
        <f t="shared" ca="1" si="1944"/>
        <v>50688417.772422902</v>
      </c>
      <c r="Y2005" s="2">
        <f t="shared" ca="1" si="1945"/>
        <v>0.12505928681447959</v>
      </c>
      <c r="Z2005" s="2">
        <f t="shared" ca="1" si="1946"/>
        <v>0.12708300154027144</v>
      </c>
      <c r="AA2005" s="2">
        <f t="shared" ca="1" si="1947"/>
        <v>6011392.3585187728</v>
      </c>
      <c r="AB2005" s="2">
        <f t="shared" ca="1" si="1948"/>
        <v>6190261.4618577845</v>
      </c>
      <c r="AC2005" s="2">
        <f t="shared" ca="1" si="1949"/>
        <v>6272943.7747032698</v>
      </c>
      <c r="AD2005" s="2">
        <f t="shared" ca="1" si="1950"/>
        <v>6356730.4617176969</v>
      </c>
      <c r="AE2005" s="2">
        <f t="shared" ca="1" si="1951"/>
        <v>6441636.2738467418</v>
      </c>
      <c r="AF2005" s="2">
        <f t="shared" ca="1" si="1952"/>
        <v>961366.8063590402</v>
      </c>
      <c r="AG2005" s="2">
        <f t="shared" ca="1" si="1953"/>
        <v>974207.62601301121</v>
      </c>
      <c r="AH2005" s="2">
        <f t="shared" ca="1" si="1954"/>
        <v>987219.95840103459</v>
      </c>
      <c r="AI2005" s="2">
        <f t="shared" ca="1" si="1955"/>
        <v>1000406.094390729</v>
      </c>
      <c r="AJ2005" s="2">
        <f t="shared" ca="1" si="1956"/>
        <v>1013768.3554484581</v>
      </c>
      <c r="AK2005" s="2">
        <f t="shared" ca="1" si="1957"/>
        <v>0</v>
      </c>
      <c r="AL2005" s="2">
        <f t="shared" ca="1" si="1958"/>
        <v>6420.4098269855231</v>
      </c>
      <c r="AM2005" s="2">
        <f t="shared" ca="1" si="1959"/>
        <v>6506.1661940117183</v>
      </c>
      <c r="AN2005" s="2">
        <f t="shared" ca="1" si="1960"/>
        <v>6593.0679948471488</v>
      </c>
      <c r="AO2005" s="2">
        <f t="shared" ca="1" si="1961"/>
        <v>6681.1305288645626</v>
      </c>
      <c r="AP2005" s="2">
        <f t="shared" ca="1" si="1962"/>
        <v>2105505.3548669335</v>
      </c>
      <c r="AQ2005" s="2">
        <f t="shared" ca="1" si="1963"/>
        <v>765575.25129612768</v>
      </c>
      <c r="AR2005" s="2">
        <f t="shared" ca="1" si="1964"/>
        <v>808742.60505423846</v>
      </c>
      <c r="AS2005" s="2">
        <f t="shared" ca="1" si="1965"/>
        <v>826856.79997317842</v>
      </c>
      <c r="AT2005" s="2">
        <f t="shared" ca="1" si="1966"/>
        <v>845212.94323960878</v>
      </c>
      <c r="AU2005" s="2">
        <f t="shared" ca="1" si="1967"/>
        <v>863814.26651815104</v>
      </c>
      <c r="AV2005" s="2">
        <f t="shared" ca="1" si="1968"/>
        <v>2178944.9459966714</v>
      </c>
      <c r="AW2005" s="2">
        <f t="shared" ca="1" si="1969"/>
        <v>2295385.4660966159</v>
      </c>
      <c r="AX2005" s="2">
        <f t="shared" ca="1" si="1970"/>
        <v>2346855.4952681116</v>
      </c>
      <c r="AY2005" s="2">
        <f t="shared" ca="1" si="1971"/>
        <v>2399013.0012255781</v>
      </c>
      <c r="AZ2005" s="2">
        <f t="shared" ca="1" si="1972"/>
        <v>2451867.166484334</v>
      </c>
      <c r="BA2005" s="2">
        <f t="shared" ca="1" si="1973"/>
        <v>47220379.409647912</v>
      </c>
      <c r="BB2005" s="2">
        <f t="shared" ca="1" si="1974"/>
        <v>944407.58819295827</v>
      </c>
      <c r="BC2005" s="2">
        <f t="shared" ca="1" si="1975"/>
        <v>22881467.878489025</v>
      </c>
      <c r="BD2005" s="2">
        <f t="shared" ca="1" si="1976"/>
        <v>-17071106.959600866</v>
      </c>
      <c r="BE2005" s="2">
        <f t="shared" ca="1" si="1977"/>
        <v>2178944.9459966714</v>
      </c>
      <c r="BF2005" s="2">
        <f t="shared" ca="1" si="1978"/>
        <v>2295385.4660966159</v>
      </c>
      <c r="BG2005" s="2">
        <f t="shared" ca="1" si="1979"/>
        <v>2346855.4952681116</v>
      </c>
      <c r="BH2005" s="2">
        <f t="shared" ca="1" si="1980"/>
        <v>2399013.0012255781</v>
      </c>
      <c r="BI2005" s="2">
        <f t="shared" ca="1" si="1981"/>
        <v>25333335.044973359</v>
      </c>
      <c r="BJ2005" s="2">
        <f t="shared" ca="1" si="1982"/>
        <v>0.18277843321108111</v>
      </c>
      <c r="BK2005" s="2">
        <f t="shared" ca="1" si="1983"/>
        <v>4274123.0075628683</v>
      </c>
    </row>
    <row r="2006" spans="1:63" x14ac:dyDescent="0.3">
      <c r="A2006" s="2">
        <v>2005</v>
      </c>
      <c r="B2006" s="2">
        <f t="shared" ca="1" si="1922"/>
        <v>0.36634719443235775</v>
      </c>
      <c r="C2006" s="2">
        <f t="shared" ca="1" si="1923"/>
        <v>6.8559756940852443</v>
      </c>
      <c r="D2006" s="2">
        <f t="shared" ca="1" si="1924"/>
        <v>0.81403675771818496</v>
      </c>
      <c r="E2006" s="2">
        <f t="shared" ca="1" si="1925"/>
        <v>7.8901422423518497</v>
      </c>
      <c r="F2006" s="2">
        <f t="shared" ca="1" si="1926"/>
        <v>0.15971253162851229</v>
      </c>
      <c r="G2006" s="2">
        <f t="shared" ca="1" si="1927"/>
        <v>1.0130798205387627E-2</v>
      </c>
      <c r="H2006" s="2">
        <f t="shared" ca="1" si="1928"/>
        <v>1.0130798205387627E-2</v>
      </c>
      <c r="I2006" s="2">
        <f t="shared" ca="1" si="1929"/>
        <v>0.47846279428349292</v>
      </c>
      <c r="J2006" s="2">
        <f t="shared" ca="1" si="1930"/>
        <v>9.7299399057749914E-3</v>
      </c>
      <c r="K2006" s="2">
        <f t="shared" ca="1" si="1931"/>
        <v>9.7299399057749914E-3</v>
      </c>
      <c r="L2006" s="2">
        <f t="shared" ca="1" si="1932"/>
        <v>0.40425169872466804</v>
      </c>
      <c r="M2006" s="2">
        <f t="shared" ca="1" si="1933"/>
        <v>-4.8471439452439508E-3</v>
      </c>
      <c r="N2006" s="2">
        <f t="shared" ca="1" si="1934"/>
        <v>-4.8471439452439508E-3</v>
      </c>
      <c r="O2006" s="2">
        <f t="shared" si="1935"/>
        <v>6000000</v>
      </c>
      <c r="P2006" s="2">
        <f t="shared" ca="1" si="1936"/>
        <v>41135854.164511465</v>
      </c>
      <c r="Q2006" s="2">
        <f t="shared" ca="1" si="1937"/>
        <v>1028396.3541127867</v>
      </c>
      <c r="R2006" s="2">
        <f t="shared" ca="1" si="1938"/>
        <v>24681512.498706877</v>
      </c>
      <c r="S2006" s="2">
        <f t="shared" ca="1" si="1939"/>
        <v>16454341.665804587</v>
      </c>
      <c r="T2006" s="2">
        <f t="shared" ca="1" si="1940"/>
        <v>49757642.802737802</v>
      </c>
      <c r="U2006" s="2">
        <f t="shared" ca="1" si="1941"/>
        <v>50261727.441148095</v>
      </c>
      <c r="V2006" s="2">
        <f t="shared" ca="1" si="1942"/>
        <v>50770918.859308556</v>
      </c>
      <c r="W2006" s="2">
        <f t="shared" ca="1" si="1943"/>
        <v>51285268.792974316</v>
      </c>
      <c r="X2006" s="2">
        <f t="shared" ca="1" si="1944"/>
        <v>51804829.502025001</v>
      </c>
      <c r="Y2006" s="2">
        <f t="shared" ca="1" si="1945"/>
        <v>0.1248649699528875</v>
      </c>
      <c r="Z2006" s="2">
        <f t="shared" ca="1" si="1946"/>
        <v>0.12681095793404248</v>
      </c>
      <c r="AA2006" s="2">
        <f t="shared" ca="1" si="1947"/>
        <v>6212986.5734903645</v>
      </c>
      <c r="AB2006" s="2">
        <f t="shared" ca="1" si="1948"/>
        <v>6373737.8042317396</v>
      </c>
      <c r="AC2006" s="2">
        <f t="shared" ca="1" si="1949"/>
        <v>6438308.8557404615</v>
      </c>
      <c r="AD2006" s="2">
        <f t="shared" ca="1" si="1950"/>
        <v>6503534.0635419274</v>
      </c>
      <c r="AE2006" s="2">
        <f t="shared" ca="1" si="1951"/>
        <v>6569420.0547615355</v>
      </c>
      <c r="AF2006" s="2">
        <f t="shared" ca="1" si="1952"/>
        <v>995152.85605475609</v>
      </c>
      <c r="AG2006" s="2">
        <f t="shared" ca="1" si="1953"/>
        <v>1005234.5488229619</v>
      </c>
      <c r="AH2006" s="2">
        <f t="shared" ca="1" si="1954"/>
        <v>1015418.3771861711</v>
      </c>
      <c r="AI2006" s="2">
        <f t="shared" ca="1" si="1955"/>
        <v>1025705.3758594863</v>
      </c>
      <c r="AJ2006" s="2">
        <f t="shared" ca="1" si="1956"/>
        <v>1036096.5900405</v>
      </c>
      <c r="AK2006" s="2">
        <f t="shared" ca="1" si="1957"/>
        <v>0</v>
      </c>
      <c r="AL2006" s="2">
        <f t="shared" ca="1" si="1958"/>
        <v>5040.8463841029261</v>
      </c>
      <c r="AM2006" s="2">
        <f t="shared" ca="1" si="1959"/>
        <v>5091.9141816046094</v>
      </c>
      <c r="AN2006" s="2">
        <f t="shared" ca="1" si="1960"/>
        <v>5143.4993366575991</v>
      </c>
      <c r="AO2006" s="2">
        <f t="shared" ca="1" si="1961"/>
        <v>5195.6070905068518</v>
      </c>
      <c r="AP2006" s="2">
        <f t="shared" ca="1" si="1962"/>
        <v>2221336.1248836187</v>
      </c>
      <c r="AQ2006" s="2">
        <f t="shared" ca="1" si="1963"/>
        <v>779089.37406351743</v>
      </c>
      <c r="AR2006" s="2">
        <f t="shared" ca="1" si="1964"/>
        <v>818263.45393654145</v>
      </c>
      <c r="AS2006" s="2">
        <f t="shared" ca="1" si="1965"/>
        <v>832404.13195437472</v>
      </c>
      <c r="AT2006" s="2">
        <f t="shared" ca="1" si="1966"/>
        <v>846688.06632769399</v>
      </c>
      <c r="AU2006" s="2">
        <f t="shared" ca="1" si="1967"/>
        <v>861116.70835772832</v>
      </c>
      <c r="AV2006" s="2">
        <f t="shared" ca="1" si="1968"/>
        <v>2217408.218488473</v>
      </c>
      <c r="AW2006" s="2">
        <f t="shared" ca="1" si="1969"/>
        <v>2323862.8302045153</v>
      </c>
      <c r="AX2006" s="2">
        <f t="shared" ca="1" si="1970"/>
        <v>2364058.3075346923</v>
      </c>
      <c r="AY2006" s="2">
        <f t="shared" ca="1" si="1971"/>
        <v>2404660.9971344708</v>
      </c>
      <c r="AZ2006" s="2">
        <f t="shared" ca="1" si="1972"/>
        <v>2445675.0243891818</v>
      </c>
      <c r="BA2006" s="2">
        <f t="shared" ca="1" si="1973"/>
        <v>51833658.681827396</v>
      </c>
      <c r="BB2006" s="2">
        <f t="shared" ca="1" si="1974"/>
        <v>1036673.173636548</v>
      </c>
      <c r="BC2006" s="2">
        <f t="shared" ca="1" si="1975"/>
        <v>26115473.009483971</v>
      </c>
      <c r="BD2006" s="2">
        <f t="shared" ca="1" si="1976"/>
        <v>-17982738.019917373</v>
      </c>
      <c r="BE2006" s="2">
        <f t="shared" ca="1" si="1977"/>
        <v>2217408.218488473</v>
      </c>
      <c r="BF2006" s="2">
        <f t="shared" ca="1" si="1978"/>
        <v>2323862.8302045153</v>
      </c>
      <c r="BG2006" s="2">
        <f t="shared" ca="1" si="1979"/>
        <v>2364058.3075346923</v>
      </c>
      <c r="BH2006" s="2">
        <f t="shared" ca="1" si="1980"/>
        <v>2404660.9971344708</v>
      </c>
      <c r="BI2006" s="2">
        <f t="shared" ca="1" si="1981"/>
        <v>28561148.033873152</v>
      </c>
      <c r="BJ2006" s="2">
        <f t="shared" ca="1" si="1982"/>
        <v>0.19148783993342744</v>
      </c>
      <c r="BK2006" s="2">
        <f t="shared" ca="1" si="1983"/>
        <v>5266917.9357680492</v>
      </c>
    </row>
    <row r="2007" spans="1:63" x14ac:dyDescent="0.3">
      <c r="A2007" s="2">
        <v>2006</v>
      </c>
      <c r="B2007" s="2">
        <f t="shared" ca="1" si="1922"/>
        <v>0.31564992145888882</v>
      </c>
      <c r="C2007" s="2">
        <f t="shared" ca="1" si="1923"/>
        <v>6.7945437954686811</v>
      </c>
      <c r="D2007" s="2">
        <f t="shared" ca="1" si="1924"/>
        <v>1.5654571719802002E-2</v>
      </c>
      <c r="E2007" s="2">
        <f t="shared" ca="1" si="1925"/>
        <v>6.676943899130781</v>
      </c>
      <c r="F2007" s="2">
        <f t="shared" ca="1" si="1926"/>
        <v>0.8264080710473618</v>
      </c>
      <c r="G2007" s="2">
        <f t="shared" ca="1" si="1927"/>
        <v>6.8201971203808526E-2</v>
      </c>
      <c r="H2007" s="2">
        <f t="shared" ca="1" si="1928"/>
        <v>6.8201971203808526E-2</v>
      </c>
      <c r="I2007" s="2">
        <f t="shared" ca="1" si="1929"/>
        <v>0.11672449911080851</v>
      </c>
      <c r="J2007" s="2">
        <f t="shared" ca="1" si="1930"/>
        <v>4.0423934784367659E-3</v>
      </c>
      <c r="K2007" s="2">
        <f t="shared" ca="1" si="1931"/>
        <v>4.0423934784367659E-3</v>
      </c>
      <c r="L2007" s="2">
        <f t="shared" ca="1" si="1932"/>
        <v>0.70931982401709215</v>
      </c>
      <c r="M2007" s="2">
        <f t="shared" ca="1" si="1933"/>
        <v>1.1027975158401735E-2</v>
      </c>
      <c r="N2007" s="2">
        <f t="shared" ca="1" si="1934"/>
        <v>1.1027975158401735E-2</v>
      </c>
      <c r="O2007" s="2">
        <f t="shared" si="1935"/>
        <v>6000000</v>
      </c>
      <c r="P2007" s="2">
        <f t="shared" ca="1" si="1936"/>
        <v>40767262.772812083</v>
      </c>
      <c r="Q2007" s="2">
        <f t="shared" ca="1" si="1937"/>
        <v>1019181.5693203021</v>
      </c>
      <c r="R2007" s="2">
        <f t="shared" ca="1" si="1938"/>
        <v>24460357.663687248</v>
      </c>
      <c r="S2007" s="2">
        <f t="shared" ca="1" si="1939"/>
        <v>16306905.109124834</v>
      </c>
      <c r="T2007" s="2">
        <f t="shared" ca="1" si="1940"/>
        <v>50551398.757920086</v>
      </c>
      <c r="U2007" s="2">
        <f t="shared" ca="1" si="1941"/>
        <v>53999103.800319992</v>
      </c>
      <c r="V2007" s="2">
        <f t="shared" ca="1" si="1942"/>
        <v>57681949.12274088</v>
      </c>
      <c r="W2007" s="2">
        <f t="shared" ca="1" si="1943"/>
        <v>61615971.7557896</v>
      </c>
      <c r="X2007" s="2">
        <f t="shared" ca="1" si="1944"/>
        <v>65818302.487172633</v>
      </c>
      <c r="Y2007" s="2">
        <f t="shared" ca="1" si="1945"/>
        <v>0.12202119673921838</v>
      </c>
      <c r="Z2007" s="2">
        <f t="shared" ca="1" si="1946"/>
        <v>0.12282967543490574</v>
      </c>
      <c r="AA2007" s="2">
        <f t="shared" ca="1" si="1947"/>
        <v>6168342.1732828468</v>
      </c>
      <c r="AB2007" s="2">
        <f t="shared" ca="1" si="1948"/>
        <v>6632692.3935690895</v>
      </c>
      <c r="AC2007" s="2">
        <f t="shared" ca="1" si="1949"/>
        <v>7085055.0891990075</v>
      </c>
      <c r="AD2007" s="2">
        <f t="shared" ca="1" si="1950"/>
        <v>7568269.8123699557</v>
      </c>
      <c r="AE2007" s="2">
        <f t="shared" ca="1" si="1951"/>
        <v>8084440.7321758633</v>
      </c>
      <c r="AF2007" s="2">
        <f t="shared" ca="1" si="1952"/>
        <v>1011027.9751584018</v>
      </c>
      <c r="AG2007" s="2">
        <f t="shared" ca="1" si="1953"/>
        <v>1079982.0760063999</v>
      </c>
      <c r="AH2007" s="2">
        <f t="shared" ca="1" si="1954"/>
        <v>1153638.9824548175</v>
      </c>
      <c r="AI2007" s="2">
        <f t="shared" ca="1" si="1955"/>
        <v>1232319.4351157921</v>
      </c>
      <c r="AJ2007" s="2">
        <f t="shared" ca="1" si="1956"/>
        <v>1316366.0497434528</v>
      </c>
      <c r="AK2007" s="2">
        <f t="shared" ca="1" si="1957"/>
        <v>0</v>
      </c>
      <c r="AL2007" s="2">
        <f t="shared" ca="1" si="1958"/>
        <v>34477.050423999055</v>
      </c>
      <c r="AM2007" s="2">
        <f t="shared" ca="1" si="1959"/>
        <v>36828.453224208875</v>
      </c>
      <c r="AN2007" s="2">
        <f t="shared" ca="1" si="1960"/>
        <v>39340.22633048721</v>
      </c>
      <c r="AO2007" s="2">
        <f t="shared" ca="1" si="1961"/>
        <v>42023.30731383033</v>
      </c>
      <c r="AP2007" s="2">
        <f t="shared" ca="1" si="1962"/>
        <v>2201432.1897318522</v>
      </c>
      <c r="AQ2007" s="2">
        <f t="shared" ca="1" si="1963"/>
        <v>768529.32218207419</v>
      </c>
      <c r="AR2007" s="2">
        <f t="shared" ca="1" si="1964"/>
        <v>871332.31323601783</v>
      </c>
      <c r="AS2007" s="2">
        <f t="shared" ca="1" si="1965"/>
        <v>969795.81842320785</v>
      </c>
      <c r="AT2007" s="2">
        <f t="shared" ca="1" si="1966"/>
        <v>1074974.728755801</v>
      </c>
      <c r="AU2007" s="2">
        <f t="shared" ca="1" si="1967"/>
        <v>1187327.0481021451</v>
      </c>
      <c r="AV2007" s="2">
        <f t="shared" ca="1" si="1968"/>
        <v>2187352.6862105187</v>
      </c>
      <c r="AW2007" s="2">
        <f t="shared" ca="1" si="1969"/>
        <v>2445468.7641708208</v>
      </c>
      <c r="AX2007" s="2">
        <f t="shared" ca="1" si="1970"/>
        <v>2723359.6453649206</v>
      </c>
      <c r="AY2007" s="2">
        <f t="shared" ca="1" si="1971"/>
        <v>3020203.2324360237</v>
      </c>
      <c r="AZ2007" s="2">
        <f t="shared" ca="1" si="1972"/>
        <v>3337292.1372845825</v>
      </c>
      <c r="BA2007" s="2">
        <f t="shared" ca="1" si="1973"/>
        <v>53979357.224586017</v>
      </c>
      <c r="BB2007" s="2">
        <f t="shared" ca="1" si="1974"/>
        <v>1079587.1444917205</v>
      </c>
      <c r="BC2007" s="2">
        <f t="shared" ca="1" si="1975"/>
        <v>28439412.416407049</v>
      </c>
      <c r="BD2007" s="2">
        <f t="shared" ca="1" si="1976"/>
        <v>-17826086.678445134</v>
      </c>
      <c r="BE2007" s="2">
        <f t="shared" ca="1" si="1977"/>
        <v>2187352.6862105187</v>
      </c>
      <c r="BF2007" s="2">
        <f t="shared" ca="1" si="1978"/>
        <v>2445468.7641708208</v>
      </c>
      <c r="BG2007" s="2">
        <f t="shared" ca="1" si="1979"/>
        <v>2723359.6453649206</v>
      </c>
      <c r="BH2007" s="2">
        <f t="shared" ca="1" si="1980"/>
        <v>3020203.2324360237</v>
      </c>
      <c r="BI2007" s="2">
        <f t="shared" ca="1" si="1981"/>
        <v>31776704.553691633</v>
      </c>
      <c r="BJ2007" s="2">
        <f t="shared" ca="1" si="1982"/>
        <v>0.22383946530524002</v>
      </c>
      <c r="BK2007" s="2">
        <f t="shared" ca="1" si="1983"/>
        <v>7965202.4258577414</v>
      </c>
    </row>
    <row r="2008" spans="1:63" x14ac:dyDescent="0.3">
      <c r="A2008" s="2">
        <v>2007</v>
      </c>
      <c r="B2008" s="2">
        <f t="shared" ca="1" si="1922"/>
        <v>0.92729964297382039</v>
      </c>
      <c r="C2008" s="2">
        <f t="shared" ca="1" si="1923"/>
        <v>7.6186855443962829</v>
      </c>
      <c r="D2008" s="2">
        <f t="shared" ca="1" si="1924"/>
        <v>0.23088319171908789</v>
      </c>
      <c r="E2008" s="2">
        <f t="shared" ca="1" si="1925"/>
        <v>7.1795339457585436</v>
      </c>
      <c r="F2008" s="2">
        <f t="shared" ca="1" si="1926"/>
        <v>0.80131603596605983</v>
      </c>
      <c r="G2008" s="2">
        <f t="shared" ca="1" si="1927"/>
        <v>6.5389940262875895E-2</v>
      </c>
      <c r="H2008" s="2">
        <f t="shared" ca="1" si="1928"/>
        <v>6.5389940262875895E-2</v>
      </c>
      <c r="I2008" s="2">
        <f t="shared" ca="1" si="1929"/>
        <v>0.97083511381616205</v>
      </c>
      <c r="J2008" s="2">
        <f t="shared" ca="1" si="1930"/>
        <v>1.9466056609120409E-2</v>
      </c>
      <c r="K2008" s="2">
        <f t="shared" ca="1" si="1931"/>
        <v>1.9466056609120409E-2</v>
      </c>
      <c r="L2008" s="2">
        <f t="shared" ca="1" si="1932"/>
        <v>0.91190584130426333</v>
      </c>
      <c r="M2008" s="2">
        <f t="shared" ca="1" si="1933"/>
        <v>2.7051695603858984E-2</v>
      </c>
      <c r="N2008" s="2">
        <f t="shared" ca="1" si="1934"/>
        <v>2.7051695603858984E-2</v>
      </c>
      <c r="O2008" s="2">
        <f t="shared" si="1935"/>
        <v>6000000</v>
      </c>
      <c r="P2008" s="2">
        <f t="shared" ca="1" si="1936"/>
        <v>45712113.266377695</v>
      </c>
      <c r="Q2008" s="2">
        <f t="shared" ca="1" si="1937"/>
        <v>1142802.8316594425</v>
      </c>
      <c r="R2008" s="2">
        <f t="shared" ca="1" si="1938"/>
        <v>27427267.959826615</v>
      </c>
      <c r="S2008" s="2">
        <f t="shared" ca="1" si="1939"/>
        <v>18284845.30655108</v>
      </c>
      <c r="T2008" s="2">
        <f t="shared" ca="1" si="1940"/>
        <v>51352584.780192941</v>
      </c>
      <c r="U2008" s="2">
        <f t="shared" ca="1" si="1941"/>
        <v>54710527.231314026</v>
      </c>
      <c r="V2008" s="2">
        <f t="shared" ca="1" si="1942"/>
        <v>58288045.338720098</v>
      </c>
      <c r="W2008" s="2">
        <f t="shared" ca="1" si="1943"/>
        <v>62099497.141458809</v>
      </c>
      <c r="X2008" s="2">
        <f t="shared" ca="1" si="1944"/>
        <v>66160179.549893431</v>
      </c>
      <c r="Y2008" s="2">
        <f t="shared" ca="1" si="1945"/>
        <v>0.12973302830456021</v>
      </c>
      <c r="Z2008" s="2">
        <f t="shared" ca="1" si="1946"/>
        <v>0.13362623962638429</v>
      </c>
      <c r="AA2008" s="2">
        <f t="shared" ca="1" si="1947"/>
        <v>6662126.3348010983</v>
      </c>
      <c r="AB2008" s="2">
        <f t="shared" ca="1" si="1948"/>
        <v>7310762.0218973905</v>
      </c>
      <c r="AC2008" s="2">
        <f t="shared" ca="1" si="1949"/>
        <v>7788812.313785363</v>
      </c>
      <c r="AD2008" s="2">
        <f t="shared" ca="1" si="1950"/>
        <v>8298122.2857025405</v>
      </c>
      <c r="AE2008" s="2">
        <f t="shared" ca="1" si="1951"/>
        <v>8840736.0062586684</v>
      </c>
      <c r="AF2008" s="2">
        <f t="shared" ca="1" si="1952"/>
        <v>1027051.6956038588</v>
      </c>
      <c r="AG2008" s="2">
        <f t="shared" ca="1" si="1953"/>
        <v>1094210.5446262804</v>
      </c>
      <c r="AH2008" s="2">
        <f t="shared" ca="1" si="1954"/>
        <v>1165760.9067744019</v>
      </c>
      <c r="AI2008" s="2">
        <f t="shared" ca="1" si="1955"/>
        <v>1241989.9428291763</v>
      </c>
      <c r="AJ2008" s="2">
        <f t="shared" ca="1" si="1956"/>
        <v>1323203.5909978687</v>
      </c>
      <c r="AK2008" s="2">
        <f t="shared" ca="1" si="1957"/>
        <v>0</v>
      </c>
      <c r="AL2008" s="2">
        <f t="shared" ca="1" si="1958"/>
        <v>33579.424511210847</v>
      </c>
      <c r="AM2008" s="2">
        <f t="shared" ca="1" si="1959"/>
        <v>35775.181074060725</v>
      </c>
      <c r="AN2008" s="2">
        <f t="shared" ca="1" si="1960"/>
        <v>38114.518027387116</v>
      </c>
      <c r="AO2008" s="2">
        <f t="shared" ca="1" si="1961"/>
        <v>40606.824084346219</v>
      </c>
      <c r="AP2008" s="2">
        <f t="shared" ca="1" si="1962"/>
        <v>2468454.1163843954</v>
      </c>
      <c r="AQ2008" s="2">
        <f t="shared" ca="1" si="1963"/>
        <v>823321.33593133953</v>
      </c>
      <c r="AR2008" s="2">
        <f t="shared" ca="1" si="1964"/>
        <v>974505.31383054575</v>
      </c>
      <c r="AS2008" s="2">
        <f t="shared" ca="1" si="1965"/>
        <v>1080195.2955629071</v>
      </c>
      <c r="AT2008" s="2">
        <f t="shared" ca="1" si="1966"/>
        <v>1192796.338887132</v>
      </c>
      <c r="AU2008" s="2">
        <f t="shared" ca="1" si="1967"/>
        <v>1312760.3577078651</v>
      </c>
      <c r="AV2008" s="2">
        <f t="shared" ca="1" si="1968"/>
        <v>2343299.186881505</v>
      </c>
      <c r="AW2008" s="2">
        <f t="shared" ca="1" si="1969"/>
        <v>2740012.6225449573</v>
      </c>
      <c r="AX2008" s="2">
        <f t="shared" ca="1" si="1970"/>
        <v>3038626.8139895983</v>
      </c>
      <c r="AY2008" s="2">
        <f t="shared" ca="1" si="1971"/>
        <v>3356767.36957445</v>
      </c>
      <c r="AZ2008" s="2">
        <f t="shared" ca="1" si="1972"/>
        <v>3695711.117084193</v>
      </c>
      <c r="BA2008" s="2">
        <f t="shared" ca="1" si="1973"/>
        <v>63472364.262423925</v>
      </c>
      <c r="BB2008" s="2">
        <f t="shared" ca="1" si="1974"/>
        <v>1269447.2852484786</v>
      </c>
      <c r="BC2008" s="2">
        <f t="shared" ca="1" si="1975"/>
        <v>34775649.017348833</v>
      </c>
      <c r="BD2008" s="2">
        <f t="shared" ca="1" si="1976"/>
        <v>-19927648.138210524</v>
      </c>
      <c r="BE2008" s="2">
        <f t="shared" ca="1" si="1977"/>
        <v>2343299.186881505</v>
      </c>
      <c r="BF2008" s="2">
        <f t="shared" ca="1" si="1978"/>
        <v>2740012.6225449573</v>
      </c>
      <c r="BG2008" s="2">
        <f t="shared" ca="1" si="1979"/>
        <v>3038626.8139895983</v>
      </c>
      <c r="BH2008" s="2">
        <f t="shared" ca="1" si="1980"/>
        <v>3356767.36957445</v>
      </c>
      <c r="BI2008" s="2">
        <f t="shared" ca="1" si="1981"/>
        <v>38471360.134433024</v>
      </c>
      <c r="BJ2008" s="2">
        <f t="shared" ca="1" si="1982"/>
        <v>0.2381904778783035</v>
      </c>
      <c r="BK2008" s="2">
        <f t="shared" ca="1" si="1983"/>
        <v>10474708.377090499</v>
      </c>
    </row>
    <row r="2009" spans="1:63" x14ac:dyDescent="0.3">
      <c r="A2009" s="2">
        <v>2008</v>
      </c>
      <c r="B2009" s="2">
        <f t="shared" ca="1" si="1922"/>
        <v>0.39839639199506571</v>
      </c>
      <c r="C2009" s="2">
        <f t="shared" ca="1" si="1923"/>
        <v>6.8926325022035275</v>
      </c>
      <c r="D2009" s="2">
        <f t="shared" ca="1" si="1924"/>
        <v>0.7881237830797696</v>
      </c>
      <c r="E2009" s="2">
        <f t="shared" ca="1" si="1925"/>
        <v>7.8490373022665114</v>
      </c>
      <c r="F2009" s="2">
        <f t="shared" ca="1" si="1926"/>
        <v>0.57497935467970096</v>
      </c>
      <c r="G2009" s="2">
        <f t="shared" ca="1" si="1927"/>
        <v>4.5671972278755517E-2</v>
      </c>
      <c r="H2009" s="2">
        <f t="shared" ca="1" si="1928"/>
        <v>4.5671972278755517E-2</v>
      </c>
      <c r="I2009" s="2">
        <f t="shared" ca="1" si="1929"/>
        <v>0.13151657358343138</v>
      </c>
      <c r="J2009" s="2">
        <f t="shared" ca="1" si="1930"/>
        <v>4.4037458630342618E-3</v>
      </c>
      <c r="K2009" s="2">
        <f t="shared" ca="1" si="1931"/>
        <v>4.4037458630342618E-3</v>
      </c>
      <c r="L2009" s="2">
        <f t="shared" ca="1" si="1932"/>
        <v>0.34680222959246432</v>
      </c>
      <c r="M2009" s="2">
        <f t="shared" ca="1" si="1933"/>
        <v>-7.8793655721306807E-3</v>
      </c>
      <c r="N2009" s="2">
        <f t="shared" ca="1" si="1934"/>
        <v>-7.8793655721306807E-3</v>
      </c>
      <c r="O2009" s="2">
        <f t="shared" si="1935"/>
        <v>6000000</v>
      </c>
      <c r="P2009" s="2">
        <f t="shared" ca="1" si="1936"/>
        <v>41355795.013221167</v>
      </c>
      <c r="Q2009" s="2">
        <f t="shared" ca="1" si="1937"/>
        <v>1033894.8753305292</v>
      </c>
      <c r="R2009" s="2">
        <f t="shared" ca="1" si="1938"/>
        <v>24813477.0079327</v>
      </c>
      <c r="S2009" s="2">
        <f t="shared" ca="1" si="1939"/>
        <v>16542318.005288467</v>
      </c>
      <c r="T2009" s="2">
        <f t="shared" ca="1" si="1940"/>
        <v>49606031.721393466</v>
      </c>
      <c r="U2009" s="2">
        <f t="shared" ca="1" si="1941"/>
        <v>51871637.027032018</v>
      </c>
      <c r="V2009" s="2">
        <f t="shared" ca="1" si="1942"/>
        <v>54240716.995384291</v>
      </c>
      <c r="W2009" s="2">
        <f t="shared" ca="1" si="1943"/>
        <v>56717997.518377304</v>
      </c>
      <c r="X2009" s="2">
        <f t="shared" ca="1" si="1944"/>
        <v>59308420.32874316</v>
      </c>
      <c r="Y2009" s="2">
        <f t="shared" ca="1" si="1945"/>
        <v>0.12220187293151713</v>
      </c>
      <c r="Z2009" s="2">
        <f t="shared" ca="1" si="1946"/>
        <v>0.12308262210412398</v>
      </c>
      <c r="AA2009" s="2">
        <f t="shared" ca="1" si="1947"/>
        <v>6061949.9850545321</v>
      </c>
      <c r="AB2009" s="2">
        <f t="shared" ca="1" si="1948"/>
        <v>6384497.0981204668</v>
      </c>
      <c r="AC2009" s="2">
        <f t="shared" ca="1" si="1949"/>
        <v>6676089.6725996193</v>
      </c>
      <c r="AD2009" s="2">
        <f t="shared" ca="1" si="1950"/>
        <v>6980999.8550570756</v>
      </c>
      <c r="AE2009" s="2">
        <f t="shared" ca="1" si="1951"/>
        <v>7299835.8869152386</v>
      </c>
      <c r="AF2009" s="2">
        <f t="shared" ca="1" si="1952"/>
        <v>992120.63442786934</v>
      </c>
      <c r="AG2009" s="2">
        <f t="shared" ca="1" si="1953"/>
        <v>1037432.7405406404</v>
      </c>
      <c r="AH2009" s="2">
        <f t="shared" ca="1" si="1954"/>
        <v>1084814.3399076858</v>
      </c>
      <c r="AI2009" s="2">
        <f t="shared" ca="1" si="1955"/>
        <v>1134359.9503675462</v>
      </c>
      <c r="AJ2009" s="2">
        <f t="shared" ca="1" si="1956"/>
        <v>1186168.4065748632</v>
      </c>
      <c r="AK2009" s="2">
        <f t="shared" ca="1" si="1957"/>
        <v>0</v>
      </c>
      <c r="AL2009" s="2">
        <f t="shared" ca="1" si="1958"/>
        <v>22656.053056385517</v>
      </c>
      <c r="AM2009" s="2">
        <f t="shared" ca="1" si="1959"/>
        <v>23690.799683522731</v>
      </c>
      <c r="AN2009" s="2">
        <f t="shared" ca="1" si="1960"/>
        <v>24772.805229930134</v>
      </c>
      <c r="AO2009" s="2">
        <f t="shared" ca="1" si="1961"/>
        <v>25904.228103658559</v>
      </c>
      <c r="AP2009" s="2">
        <f t="shared" ca="1" si="1962"/>
        <v>2233212.9307139427</v>
      </c>
      <c r="AQ2009" s="2">
        <f t="shared" ca="1" si="1963"/>
        <v>737520.26917730714</v>
      </c>
      <c r="AR2009" s="2">
        <f t="shared" ca="1" si="1964"/>
        <v>809601.37098512973</v>
      </c>
      <c r="AS2009" s="2">
        <f t="shared" ca="1" si="1965"/>
        <v>873096.22451427777</v>
      </c>
      <c r="AT2009" s="2">
        <f t="shared" ca="1" si="1966"/>
        <v>939491.01323365269</v>
      </c>
      <c r="AU2009" s="2">
        <f t="shared" ca="1" si="1967"/>
        <v>1008918.1829028726</v>
      </c>
      <c r="AV2009" s="2">
        <f t="shared" ca="1" si="1968"/>
        <v>2099096.1507354123</v>
      </c>
      <c r="AW2009" s="2">
        <f t="shared" ca="1" si="1969"/>
        <v>2281594.0028243684</v>
      </c>
      <c r="AX2009" s="2">
        <f t="shared" ca="1" si="1970"/>
        <v>2461275.3777801911</v>
      </c>
      <c r="AY2009" s="2">
        <f t="shared" ca="1" si="1971"/>
        <v>2649163.1555120046</v>
      </c>
      <c r="AZ2009" s="2">
        <f t="shared" ca="1" si="1972"/>
        <v>2845632.1386199021</v>
      </c>
      <c r="BA2009" s="2">
        <f t="shared" ca="1" si="1973"/>
        <v>57296684.176821448</v>
      </c>
      <c r="BB2009" s="2">
        <f t="shared" ca="1" si="1974"/>
        <v>1145933.683536429</v>
      </c>
      <c r="BC2009" s="2">
        <f t="shared" ca="1" si="1975"/>
        <v>31337273.485352319</v>
      </c>
      <c r="BD2009" s="2">
        <f t="shared" ca="1" si="1976"/>
        <v>-18076212.880618997</v>
      </c>
      <c r="BE2009" s="2">
        <f t="shared" ca="1" si="1977"/>
        <v>2099096.1507354123</v>
      </c>
      <c r="BF2009" s="2">
        <f t="shared" ca="1" si="1978"/>
        <v>2281594.0028243684</v>
      </c>
      <c r="BG2009" s="2">
        <f t="shared" ca="1" si="1979"/>
        <v>2461275.3777801911</v>
      </c>
      <c r="BH2009" s="2">
        <f t="shared" ca="1" si="1980"/>
        <v>2649163.1555120046</v>
      </c>
      <c r="BI2009" s="2">
        <f t="shared" ca="1" si="1981"/>
        <v>34182905.623972222</v>
      </c>
      <c r="BJ2009" s="2">
        <f t="shared" ca="1" si="1982"/>
        <v>0.22605376459117199</v>
      </c>
      <c r="BK2009" s="2">
        <f t="shared" ca="1" si="1983"/>
        <v>8448629.8150592372</v>
      </c>
    </row>
    <row r="2010" spans="1:63" x14ac:dyDescent="0.3">
      <c r="A2010" s="2">
        <v>2009</v>
      </c>
      <c r="B2010" s="2">
        <f t="shared" ca="1" si="1922"/>
        <v>5.7507880674634415E-2</v>
      </c>
      <c r="C2010" s="2">
        <f t="shared" ca="1" si="1923"/>
        <v>6.3391397372017453</v>
      </c>
      <c r="D2010" s="2">
        <f t="shared" ca="1" si="1924"/>
        <v>0.34330593839823931</v>
      </c>
      <c r="E2010" s="2">
        <f t="shared" ca="1" si="1925"/>
        <v>7.328620466073871</v>
      </c>
      <c r="F2010" s="2">
        <f t="shared" ca="1" si="1926"/>
        <v>0.39607420828154061</v>
      </c>
      <c r="G2010" s="2">
        <f t="shared" ca="1" si="1927"/>
        <v>3.2094345741596121E-2</v>
      </c>
      <c r="H2010" s="2">
        <f t="shared" ca="1" si="1928"/>
        <v>3.2094345741596121E-2</v>
      </c>
      <c r="I2010" s="2">
        <f t="shared" ca="1" si="1929"/>
        <v>0.57368785227169372</v>
      </c>
      <c r="J2010" s="2">
        <f t="shared" ca="1" si="1930"/>
        <v>1.0928855330416196E-2</v>
      </c>
      <c r="K2010" s="2">
        <f t="shared" ca="1" si="1931"/>
        <v>1.0928855330416196E-2</v>
      </c>
      <c r="L2010" s="2">
        <f t="shared" ca="1" si="1932"/>
        <v>0.41666501953262192</v>
      </c>
      <c r="M2010" s="2">
        <f t="shared" ca="1" si="1933"/>
        <v>-4.2086523086561885E-3</v>
      </c>
      <c r="N2010" s="2">
        <f t="shared" ca="1" si="1934"/>
        <v>-4.2086523086561885E-3</v>
      </c>
      <c r="O2010" s="2">
        <f t="shared" si="1935"/>
        <v>6000000</v>
      </c>
      <c r="P2010" s="2">
        <f t="shared" ca="1" si="1936"/>
        <v>38034838.423210472</v>
      </c>
      <c r="Q2010" s="2">
        <f t="shared" ca="1" si="1937"/>
        <v>950870.96058026189</v>
      </c>
      <c r="R2010" s="2">
        <f t="shared" ca="1" si="1938"/>
        <v>22820903.053926282</v>
      </c>
      <c r="S2010" s="2">
        <f t="shared" ca="1" si="1939"/>
        <v>15213935.36928419</v>
      </c>
      <c r="T2010" s="2">
        <f t="shared" ca="1" si="1940"/>
        <v>49789567.384567194</v>
      </c>
      <c r="U2010" s="2">
        <f t="shared" ca="1" si="1941"/>
        <v>51387530.974531986</v>
      </c>
      <c r="V2010" s="2">
        <f t="shared" ca="1" si="1942"/>
        <v>53036780.160435595</v>
      </c>
      <c r="W2010" s="2">
        <f t="shared" ca="1" si="1943"/>
        <v>54738960.919925638</v>
      </c>
      <c r="X2010" s="2">
        <f t="shared" ca="1" si="1944"/>
        <v>56495772.057225451</v>
      </c>
      <c r="Y2010" s="2">
        <f t="shared" ca="1" si="1945"/>
        <v>0.1254644276652081</v>
      </c>
      <c r="Z2010" s="2">
        <f t="shared" ca="1" si="1946"/>
        <v>0.12765019873129133</v>
      </c>
      <c r="AA2010" s="2">
        <f t="shared" ca="1" si="1947"/>
        <v>6246819.5756030353</v>
      </c>
      <c r="AB2010" s="2">
        <f t="shared" ca="1" si="1948"/>
        <v>6559628.5412093969</v>
      </c>
      <c r="AC2010" s="2">
        <f t="shared" ca="1" si="1949"/>
        <v>6770155.5275474126</v>
      </c>
      <c r="AD2010" s="2">
        <f t="shared" ca="1" si="1950"/>
        <v>6987439.2397728972</v>
      </c>
      <c r="AE2010" s="2">
        <f t="shared" ca="1" si="1951"/>
        <v>7211696.530582564</v>
      </c>
      <c r="AF2010" s="2">
        <f t="shared" ca="1" si="1952"/>
        <v>995791.34769134386</v>
      </c>
      <c r="AG2010" s="2">
        <f t="shared" ca="1" si="1953"/>
        <v>1027750.6194906398</v>
      </c>
      <c r="AH2010" s="2">
        <f t="shared" ca="1" si="1954"/>
        <v>1060735.6032087118</v>
      </c>
      <c r="AI2010" s="2">
        <f t="shared" ca="1" si="1955"/>
        <v>1094779.2183985128</v>
      </c>
      <c r="AJ2010" s="2">
        <f t="shared" ca="1" si="1956"/>
        <v>1129915.441144509</v>
      </c>
      <c r="AK2010" s="2">
        <f t="shared" ca="1" si="1957"/>
        <v>0</v>
      </c>
      <c r="AL2010" s="2">
        <f t="shared" ca="1" si="1958"/>
        <v>15979.635899647921</v>
      </c>
      <c r="AM2010" s="2">
        <f t="shared" ca="1" si="1959"/>
        <v>16492.491859036087</v>
      </c>
      <c r="AN2010" s="2">
        <f t="shared" ca="1" si="1960"/>
        <v>17021.807594900431</v>
      </c>
      <c r="AO2010" s="2">
        <f t="shared" ca="1" si="1961"/>
        <v>17568.111372998133</v>
      </c>
      <c r="AP2010" s="2">
        <f t="shared" ca="1" si="1962"/>
        <v>2053881.2748533653</v>
      </c>
      <c r="AQ2010" s="2">
        <f t="shared" ca="1" si="1963"/>
        <v>831258.20779516466</v>
      </c>
      <c r="AR2010" s="2">
        <f t="shared" ca="1" si="1964"/>
        <v>904279.12818500202</v>
      </c>
      <c r="AS2010" s="2">
        <f t="shared" ca="1" si="1965"/>
        <v>950440.04886618711</v>
      </c>
      <c r="AT2010" s="2">
        <f t="shared" ca="1" si="1966"/>
        <v>998082.4740954648</v>
      </c>
      <c r="AU2010" s="2">
        <f t="shared" ca="1" si="1967"/>
        <v>1047253.9517920192</v>
      </c>
      <c r="AV2010" s="2">
        <f t="shared" ca="1" si="1968"/>
        <v>2365888.7452631611</v>
      </c>
      <c r="AW2010" s="2">
        <f t="shared" ca="1" si="1969"/>
        <v>2557737.8827807419</v>
      </c>
      <c r="AX2010" s="2">
        <f t="shared" ca="1" si="1970"/>
        <v>2688606.108760111</v>
      </c>
      <c r="AY2010" s="2">
        <f t="shared" ca="1" si="1971"/>
        <v>2823674.4648306537</v>
      </c>
      <c r="AZ2010" s="2">
        <f t="shared" ca="1" si="1972"/>
        <v>2963077.7514196718</v>
      </c>
      <c r="BA2010" s="2">
        <f t="shared" ca="1" si="1973"/>
        <v>52851786.789141305</v>
      </c>
      <c r="BB2010" s="2">
        <f t="shared" ca="1" si="1974"/>
        <v>1057035.7357828261</v>
      </c>
      <c r="BC2010" s="2">
        <f t="shared" ca="1" si="1975"/>
        <v>28973847.999432199</v>
      </c>
      <c r="BD2010" s="2">
        <f t="shared" ca="1" si="1976"/>
        <v>-16664806.329864452</v>
      </c>
      <c r="BE2010" s="2">
        <f t="shared" ca="1" si="1977"/>
        <v>2365888.7452631611</v>
      </c>
      <c r="BF2010" s="2">
        <f t="shared" ca="1" si="1978"/>
        <v>2557737.8827807419</v>
      </c>
      <c r="BG2010" s="2">
        <f t="shared" ca="1" si="1979"/>
        <v>2688606.108760111</v>
      </c>
      <c r="BH2010" s="2">
        <f t="shared" ca="1" si="1980"/>
        <v>2823674.4648306537</v>
      </c>
      <c r="BI2010" s="2">
        <f t="shared" ca="1" si="1981"/>
        <v>31936925.75085187</v>
      </c>
      <c r="BJ2010" s="2">
        <f t="shared" ca="1" si="1982"/>
        <v>0.24743145321439619</v>
      </c>
      <c r="BK2010" s="2">
        <f t="shared" ca="1" si="1983"/>
        <v>9316669.5685023274</v>
      </c>
    </row>
    <row r="2011" spans="1:63" x14ac:dyDescent="0.3">
      <c r="A2011" s="2">
        <v>2010</v>
      </c>
      <c r="B2011" s="2">
        <f t="shared" ca="1" si="1922"/>
        <v>0.90265371938586869</v>
      </c>
      <c r="C2011" s="2">
        <f t="shared" ca="1" si="1923"/>
        <v>7.5587601998592344</v>
      </c>
      <c r="D2011" s="2">
        <f t="shared" ca="1" si="1924"/>
        <v>0.93735726652120888</v>
      </c>
      <c r="E2011" s="2">
        <f t="shared" ca="1" si="1925"/>
        <v>8.1460431283933286</v>
      </c>
      <c r="F2011" s="2">
        <f t="shared" ca="1" si="1926"/>
        <v>0.93172770698049012</v>
      </c>
      <c r="G2011" s="2">
        <f t="shared" ca="1" si="1927"/>
        <v>8.4663482514814231E-2</v>
      </c>
      <c r="H2011" s="2">
        <f t="shared" ca="1" si="1928"/>
        <v>8.4663482514814231E-2</v>
      </c>
      <c r="I2011" s="2">
        <f t="shared" ca="1" si="1929"/>
        <v>0.61997245132941747</v>
      </c>
      <c r="J2011" s="2">
        <f t="shared" ca="1" si="1930"/>
        <v>1.1527042181248514E-2</v>
      </c>
      <c r="K2011" s="2">
        <f t="shared" ca="1" si="1931"/>
        <v>1.1527042181248514E-2</v>
      </c>
      <c r="L2011" s="2">
        <f t="shared" ca="1" si="1932"/>
        <v>0.77618232665501918</v>
      </c>
      <c r="M2011" s="2">
        <f t="shared" ca="1" si="1933"/>
        <v>1.5187263136507097E-2</v>
      </c>
      <c r="N2011" s="2">
        <f t="shared" ca="1" si="1934"/>
        <v>1.5187263136507097E-2</v>
      </c>
      <c r="O2011" s="2">
        <f t="shared" si="1935"/>
        <v>6000000</v>
      </c>
      <c r="P2011" s="2">
        <f t="shared" ca="1" si="1936"/>
        <v>45352561.199155405</v>
      </c>
      <c r="Q2011" s="2">
        <f t="shared" ca="1" si="1937"/>
        <v>1133814.0299788851</v>
      </c>
      <c r="R2011" s="2">
        <f t="shared" ca="1" si="1938"/>
        <v>27211536.719493244</v>
      </c>
      <c r="S2011" s="2">
        <f t="shared" ca="1" si="1939"/>
        <v>18141024.479662161</v>
      </c>
      <c r="T2011" s="2">
        <f t="shared" ca="1" si="1940"/>
        <v>50759363.156825356</v>
      </c>
      <c r="U2011" s="2">
        <f t="shared" ca="1" si="1941"/>
        <v>55056827.611916348</v>
      </c>
      <c r="V2011" s="2">
        <f t="shared" ca="1" si="1942"/>
        <v>59718130.373758972</v>
      </c>
      <c r="W2011" s="2">
        <f t="shared" ca="1" si="1943"/>
        <v>64774075.260475114</v>
      </c>
      <c r="X2011" s="2">
        <f t="shared" ca="1" si="1944"/>
        <v>70258074.048703611</v>
      </c>
      <c r="Y2011" s="2">
        <f t="shared" ca="1" si="1945"/>
        <v>0.12576352109062425</v>
      </c>
      <c r="Z2011" s="2">
        <f t="shared" ca="1" si="1946"/>
        <v>0.12806892952687396</v>
      </c>
      <c r="AA2011" s="2">
        <f t="shared" ca="1" si="1947"/>
        <v>6383676.2389200609</v>
      </c>
      <c r="AB2011" s="2">
        <f t="shared" ca="1" si="1948"/>
        <v>7051068.9754037634</v>
      </c>
      <c r="AC2011" s="2">
        <f t="shared" ca="1" si="1949"/>
        <v>7648037.0303136092</v>
      </c>
      <c r="AD2011" s="2">
        <f t="shared" ca="1" si="1950"/>
        <v>8295546.4797022175</v>
      </c>
      <c r="AE2011" s="2">
        <f t="shared" ca="1" si="1951"/>
        <v>8997876.3340373151</v>
      </c>
      <c r="AF2011" s="2">
        <f t="shared" ca="1" si="1952"/>
        <v>1015187.2631365071</v>
      </c>
      <c r="AG2011" s="2">
        <f t="shared" ca="1" si="1953"/>
        <v>1101136.552238327</v>
      </c>
      <c r="AH2011" s="2">
        <f t="shared" ca="1" si="1954"/>
        <v>1194362.6074751795</v>
      </c>
      <c r="AI2011" s="2">
        <f t="shared" ca="1" si="1955"/>
        <v>1295481.5052095023</v>
      </c>
      <c r="AJ2011" s="2">
        <f t="shared" ca="1" si="1956"/>
        <v>1405161.4809740724</v>
      </c>
      <c r="AK2011" s="2">
        <f t="shared" ca="1" si="1957"/>
        <v>0</v>
      </c>
      <c r="AL2011" s="2">
        <f t="shared" ca="1" si="1958"/>
        <v>42974.644550909921</v>
      </c>
      <c r="AM2011" s="2">
        <f t="shared" ca="1" si="1959"/>
        <v>46613.027618426233</v>
      </c>
      <c r="AN2011" s="2">
        <f t="shared" ca="1" si="1960"/>
        <v>50559.448867161424</v>
      </c>
      <c r="AO2011" s="2">
        <f t="shared" ca="1" si="1961"/>
        <v>54839.987882284971</v>
      </c>
      <c r="AP2011" s="2">
        <f t="shared" ca="1" si="1962"/>
        <v>2449038.3047543918</v>
      </c>
      <c r="AQ2011" s="2">
        <f t="shared" ca="1" si="1963"/>
        <v>759057.17446758214</v>
      </c>
      <c r="AR2011" s="2">
        <f t="shared" ca="1" si="1964"/>
        <v>910232.47078687174</v>
      </c>
      <c r="AS2011" s="2">
        <f t="shared" ca="1" si="1965"/>
        <v>1041205.3907018499</v>
      </c>
      <c r="AT2011" s="2">
        <f t="shared" ca="1" si="1966"/>
        <v>1183266.9341319643</v>
      </c>
      <c r="AU2011" s="2">
        <f t="shared" ca="1" si="1967"/>
        <v>1337355.9025603014</v>
      </c>
      <c r="AV2011" s="2">
        <f t="shared" ca="1" si="1968"/>
        <v>2160393.4965615799</v>
      </c>
      <c r="AW2011" s="2">
        <f t="shared" ca="1" si="1969"/>
        <v>2547687.0030732634</v>
      </c>
      <c r="AX2011" s="2">
        <f t="shared" ca="1" si="1970"/>
        <v>2916817.6997637623</v>
      </c>
      <c r="AY2011" s="2">
        <f t="shared" ca="1" si="1971"/>
        <v>3317200.286739198</v>
      </c>
      <c r="AZ2011" s="2">
        <f t="shared" ca="1" si="1972"/>
        <v>3751480.6578662642</v>
      </c>
      <c r="BA2011" s="2">
        <f t="shared" ca="1" si="1973"/>
        <v>73297088.681017622</v>
      </c>
      <c r="BB2011" s="2">
        <f t="shared" ca="1" si="1974"/>
        <v>1465941.7736203524</v>
      </c>
      <c r="BC2011" s="2">
        <f t="shared" ca="1" si="1975"/>
        <v>44619610.18790403</v>
      </c>
      <c r="BD2011" s="2">
        <f t="shared" ca="1" si="1976"/>
        <v>-19774838.509641048</v>
      </c>
      <c r="BE2011" s="2">
        <f t="shared" ca="1" si="1977"/>
        <v>2160393.4965615799</v>
      </c>
      <c r="BF2011" s="2">
        <f t="shared" ca="1" si="1978"/>
        <v>2547687.0030732634</v>
      </c>
      <c r="BG2011" s="2">
        <f t="shared" ca="1" si="1979"/>
        <v>2916817.6997637623</v>
      </c>
      <c r="BH2011" s="2">
        <f t="shared" ca="1" si="1980"/>
        <v>3317200.286739198</v>
      </c>
      <c r="BI2011" s="2">
        <f t="shared" ca="1" si="1981"/>
        <v>48371090.845770292</v>
      </c>
      <c r="BJ2011" s="2">
        <f t="shared" ca="1" si="1982"/>
        <v>0.28263276623450984</v>
      </c>
      <c r="BK2011" s="2">
        <f t="shared" ca="1" si="1983"/>
        <v>15816414.699283388</v>
      </c>
    </row>
    <row r="2012" spans="1:63" x14ac:dyDescent="0.3">
      <c r="A2012" s="2">
        <v>2011</v>
      </c>
      <c r="B2012" s="2">
        <f t="shared" ca="1" si="1922"/>
        <v>4.5717984059826189E-2</v>
      </c>
      <c r="C2012" s="2">
        <f t="shared" ca="1" si="1923"/>
        <v>6.3023838092882167</v>
      </c>
      <c r="D2012" s="2">
        <f t="shared" ca="1" si="1924"/>
        <v>0.39633068334492449</v>
      </c>
      <c r="E2012" s="2">
        <f t="shared" ca="1" si="1925"/>
        <v>7.3903153186876258</v>
      </c>
      <c r="F2012" s="2">
        <f t="shared" ca="1" si="1926"/>
        <v>9.4873594436714059E-2</v>
      </c>
      <c r="G2012" s="2">
        <f t="shared" ca="1" si="1927"/>
        <v>6.6017922346920527E-4</v>
      </c>
      <c r="H2012" s="2">
        <f t="shared" ca="1" si="1928"/>
        <v>6.6017922346920527E-4</v>
      </c>
      <c r="I2012" s="2">
        <f t="shared" ca="1" si="1929"/>
        <v>0.82525715069482297</v>
      </c>
      <c r="J2012" s="2">
        <f t="shared" ca="1" si="1930"/>
        <v>1.4677936668007173E-2</v>
      </c>
      <c r="K2012" s="2">
        <f t="shared" ca="1" si="1931"/>
        <v>1.4677936668007173E-2</v>
      </c>
      <c r="L2012" s="2">
        <f t="shared" ca="1" si="1932"/>
        <v>0.17359842801730141</v>
      </c>
      <c r="M2012" s="2">
        <f t="shared" ca="1" si="1933"/>
        <v>-1.8800807304205389E-2</v>
      </c>
      <c r="N2012" s="2">
        <f t="shared" ca="1" si="1934"/>
        <v>-1.8800807304205389E-2</v>
      </c>
      <c r="O2012" s="2">
        <f t="shared" si="1935"/>
        <v>6000000</v>
      </c>
      <c r="P2012" s="2">
        <f t="shared" ca="1" si="1936"/>
        <v>37814302.855729297</v>
      </c>
      <c r="Q2012" s="2">
        <f t="shared" ca="1" si="1937"/>
        <v>945357.57139323244</v>
      </c>
      <c r="R2012" s="2">
        <f t="shared" ca="1" si="1938"/>
        <v>22688581.713437576</v>
      </c>
      <c r="S2012" s="2">
        <f t="shared" ca="1" si="1939"/>
        <v>15125721.142291719</v>
      </c>
      <c r="T2012" s="2">
        <f t="shared" ca="1" si="1940"/>
        <v>49059959.634789728</v>
      </c>
      <c r="U2012" s="2">
        <f t="shared" ca="1" si="1941"/>
        <v>49092348.000844859</v>
      </c>
      <c r="V2012" s="2">
        <f t="shared" ca="1" si="1942"/>
        <v>49124757.749026343</v>
      </c>
      <c r="W2012" s="2">
        <f t="shared" ca="1" si="1943"/>
        <v>49157188.893450215</v>
      </c>
      <c r="X2012" s="2">
        <f t="shared" ca="1" si="1944"/>
        <v>49189641.44824183</v>
      </c>
      <c r="Y2012" s="2">
        <f t="shared" ca="1" si="1945"/>
        <v>0.12733896833400357</v>
      </c>
      <c r="Z2012" s="2">
        <f t="shared" ca="1" si="1946"/>
        <v>0.13027455566760501</v>
      </c>
      <c r="AA2012" s="2">
        <f t="shared" ca="1" si="1947"/>
        <v>6247244.6464019828</v>
      </c>
      <c r="AB2012" s="2">
        <f t="shared" ca="1" si="1948"/>
        <v>6395483.822489501</v>
      </c>
      <c r="AC2012" s="2">
        <f t="shared" ca="1" si="1949"/>
        <v>6399705.9880331429</v>
      </c>
      <c r="AD2012" s="2">
        <f t="shared" ca="1" si="1950"/>
        <v>6403930.9409627551</v>
      </c>
      <c r="AE2012" s="2">
        <f t="shared" ca="1" si="1951"/>
        <v>6408158.683118511</v>
      </c>
      <c r="AF2012" s="2">
        <f t="shared" ca="1" si="1952"/>
        <v>981199.19269579463</v>
      </c>
      <c r="AG2012" s="2">
        <f t="shared" ca="1" si="1953"/>
        <v>981846.96001689718</v>
      </c>
      <c r="AH2012" s="2">
        <f t="shared" ca="1" si="1954"/>
        <v>982495.15498052689</v>
      </c>
      <c r="AI2012" s="2">
        <f t="shared" ca="1" si="1955"/>
        <v>983143.77786900429</v>
      </c>
      <c r="AJ2012" s="2">
        <f t="shared" ca="1" si="1956"/>
        <v>983792.82896483666</v>
      </c>
      <c r="AK2012" s="2">
        <f t="shared" ca="1" si="1957"/>
        <v>0</v>
      </c>
      <c r="AL2012" s="2">
        <f t="shared" ca="1" si="1958"/>
        <v>323.88366055130962</v>
      </c>
      <c r="AM2012" s="2">
        <f t="shared" ca="1" si="1959"/>
        <v>324.09748181484639</v>
      </c>
      <c r="AN2012" s="2">
        <f t="shared" ca="1" si="1960"/>
        <v>324.31144423872234</v>
      </c>
      <c r="AO2012" s="2">
        <f t="shared" ca="1" si="1961"/>
        <v>324.52554791614415</v>
      </c>
      <c r="AP2012" s="2">
        <f t="shared" ca="1" si="1962"/>
        <v>2041972.3542093819</v>
      </c>
      <c r="AQ2012" s="2">
        <f t="shared" ca="1" si="1963"/>
        <v>838259.0058691696</v>
      </c>
      <c r="AR2012" s="2">
        <f t="shared" ca="1" si="1964"/>
        <v>876632.77214843768</v>
      </c>
      <c r="AS2012" s="2">
        <f t="shared" ca="1" si="1965"/>
        <v>877562.00449924078</v>
      </c>
      <c r="AT2012" s="2">
        <f t="shared" ca="1" si="1966"/>
        <v>878491.85030993598</v>
      </c>
      <c r="AU2012" s="2">
        <f t="shared" ca="1" si="1967"/>
        <v>879422.30998551589</v>
      </c>
      <c r="AV2012" s="2">
        <f t="shared" ca="1" si="1968"/>
        <v>2385814.0936276363</v>
      </c>
      <c r="AW2012" s="2">
        <f t="shared" ca="1" si="1969"/>
        <v>2494707.852454233</v>
      </c>
      <c r="AX2012" s="2">
        <f t="shared" ca="1" si="1970"/>
        <v>2497352.3768621776</v>
      </c>
      <c r="AY2012" s="2">
        <f t="shared" ca="1" si="1971"/>
        <v>2499998.6471301941</v>
      </c>
      <c r="AZ2012" s="2">
        <f t="shared" ca="1" si="1972"/>
        <v>2502646.6644108603</v>
      </c>
      <c r="BA2012" s="2">
        <f t="shared" ca="1" si="1973"/>
        <v>47358313.280431852</v>
      </c>
      <c r="BB2012" s="2">
        <f t="shared" ca="1" si="1974"/>
        <v>947166.26560863701</v>
      </c>
      <c r="BC2012" s="2">
        <f t="shared" ca="1" si="1975"/>
        <v>23722565.301385637</v>
      </c>
      <c r="BD2012" s="2">
        <f t="shared" ca="1" si="1976"/>
        <v>-16571078.713684952</v>
      </c>
      <c r="BE2012" s="2">
        <f t="shared" ca="1" si="1977"/>
        <v>2385814.0936276363</v>
      </c>
      <c r="BF2012" s="2">
        <f t="shared" ca="1" si="1978"/>
        <v>2494707.852454233</v>
      </c>
      <c r="BG2012" s="2">
        <f t="shared" ca="1" si="1979"/>
        <v>2497352.3768621776</v>
      </c>
      <c r="BH2012" s="2">
        <f t="shared" ca="1" si="1980"/>
        <v>2499998.6471301941</v>
      </c>
      <c r="BI2012" s="2">
        <f t="shared" ca="1" si="1981"/>
        <v>26225211.965796497</v>
      </c>
      <c r="BJ2012" s="2">
        <f t="shared" ca="1" si="1982"/>
        <v>0.20614259930857792</v>
      </c>
      <c r="BK2012" s="2">
        <f t="shared" ca="1" si="1983"/>
        <v>5795128.2638196107</v>
      </c>
    </row>
    <row r="2013" spans="1:63" x14ac:dyDescent="0.3">
      <c r="A2013" s="2">
        <v>2012</v>
      </c>
      <c r="B2013" s="2">
        <f t="shared" ca="1" si="1922"/>
        <v>0.37456065206323752</v>
      </c>
      <c r="C2013" s="2">
        <f t="shared" ca="1" si="1923"/>
        <v>6.8655179398062618</v>
      </c>
      <c r="D2013" s="2">
        <f t="shared" ca="1" si="1924"/>
        <v>0.10717969054161058</v>
      </c>
      <c r="E2013" s="2">
        <f t="shared" ca="1" si="1925"/>
        <v>6.9629896122843586</v>
      </c>
      <c r="F2013" s="2">
        <f t="shared" ca="1" si="1926"/>
        <v>0.58361811257647822</v>
      </c>
      <c r="G2013" s="2">
        <f t="shared" ca="1" si="1927"/>
        <v>4.6334748000287765E-2</v>
      </c>
      <c r="H2013" s="2">
        <f t="shared" ca="1" si="1928"/>
        <v>4.6334748000287765E-2</v>
      </c>
      <c r="I2013" s="2">
        <f t="shared" ca="1" si="1929"/>
        <v>0.50840481523156622</v>
      </c>
      <c r="J2013" s="2">
        <f t="shared" ca="1" si="1930"/>
        <v>1.0105346531156075E-2</v>
      </c>
      <c r="K2013" s="2">
        <f t="shared" ca="1" si="1931"/>
        <v>1.0105346531156075E-2</v>
      </c>
      <c r="L2013" s="2">
        <f t="shared" ca="1" si="1932"/>
        <v>0.28192395215062849</v>
      </c>
      <c r="M2013" s="2">
        <f t="shared" ca="1" si="1933"/>
        <v>-1.1542710601474404E-2</v>
      </c>
      <c r="N2013" s="2">
        <f t="shared" ca="1" si="1934"/>
        <v>-1.1542710601474404E-2</v>
      </c>
      <c r="O2013" s="2">
        <f t="shared" si="1935"/>
        <v>6000000</v>
      </c>
      <c r="P2013" s="2">
        <f t="shared" ca="1" si="1936"/>
        <v>41193107.638837568</v>
      </c>
      <c r="Q2013" s="2">
        <f t="shared" ca="1" si="1937"/>
        <v>1029827.6909709392</v>
      </c>
      <c r="R2013" s="2">
        <f t="shared" ca="1" si="1938"/>
        <v>24715864.583302539</v>
      </c>
      <c r="S2013" s="2">
        <f t="shared" ca="1" si="1939"/>
        <v>16477243.055535028</v>
      </c>
      <c r="T2013" s="2">
        <f t="shared" ca="1" si="1940"/>
        <v>49422864.469926283</v>
      </c>
      <c r="U2013" s="2">
        <f t="shared" ca="1" si="1941"/>
        <v>51712860.440592691</v>
      </c>
      <c r="V2013" s="2">
        <f t="shared" ca="1" si="1942"/>
        <v>54108962.797481604</v>
      </c>
      <c r="W2013" s="2">
        <f t="shared" ca="1" si="1943"/>
        <v>56616087.953259863</v>
      </c>
      <c r="X2013" s="2">
        <f t="shared" ca="1" si="1944"/>
        <v>59239380.121336289</v>
      </c>
      <c r="Y2013" s="2">
        <f t="shared" ca="1" si="1945"/>
        <v>0.12505267326557803</v>
      </c>
      <c r="Z2013" s="2">
        <f t="shared" ca="1" si="1946"/>
        <v>0.12707374257180926</v>
      </c>
      <c r="AA2013" s="2">
        <f t="shared" ca="1" si="1947"/>
        <v>6180461.3224066366</v>
      </c>
      <c r="AB2013" s="2">
        <f t="shared" ca="1" si="1948"/>
        <v>6571346.7152797738</v>
      </c>
      <c r="AC2013" s="2">
        <f t="shared" ca="1" si="1949"/>
        <v>6875828.4093547817</v>
      </c>
      <c r="AD2013" s="2">
        <f t="shared" ca="1" si="1950"/>
        <v>7194418.1859954549</v>
      </c>
      <c r="AE2013" s="2">
        <f t="shared" ca="1" si="1951"/>
        <v>7527769.7396522425</v>
      </c>
      <c r="AF2013" s="2">
        <f t="shared" ca="1" si="1952"/>
        <v>988457.28939852573</v>
      </c>
      <c r="AG2013" s="2">
        <f t="shared" ca="1" si="1953"/>
        <v>1034257.2088118539</v>
      </c>
      <c r="AH2013" s="2">
        <f t="shared" ca="1" si="1954"/>
        <v>1082179.255949632</v>
      </c>
      <c r="AI2013" s="2">
        <f t="shared" ca="1" si="1955"/>
        <v>1132321.7590651973</v>
      </c>
      <c r="AJ2013" s="2">
        <f t="shared" ca="1" si="1956"/>
        <v>1184787.6024267259</v>
      </c>
      <c r="AK2013" s="2">
        <f t="shared" ca="1" si="1957"/>
        <v>0</v>
      </c>
      <c r="AL2013" s="2">
        <f t="shared" ca="1" si="1958"/>
        <v>22899.959706664085</v>
      </c>
      <c r="AM2013" s="2">
        <f t="shared" ca="1" si="1959"/>
        <v>23961.023568889126</v>
      </c>
      <c r="AN2013" s="2">
        <f t="shared" ca="1" si="1960"/>
        <v>25071.251557782591</v>
      </c>
      <c r="AO2013" s="2">
        <f t="shared" ca="1" si="1961"/>
        <v>26232.921680764259</v>
      </c>
      <c r="AP2013" s="2">
        <f t="shared" ca="1" si="1962"/>
        <v>2224427.8124972284</v>
      </c>
      <c r="AQ2013" s="2">
        <f t="shared" ca="1" si="1963"/>
        <v>771569.81733282947</v>
      </c>
      <c r="AR2013" s="2">
        <f t="shared" ca="1" si="1964"/>
        <v>861292.04043237981</v>
      </c>
      <c r="AS2013" s="2">
        <f t="shared" ca="1" si="1965"/>
        <v>927997.54863605951</v>
      </c>
      <c r="AT2013" s="2">
        <f t="shared" ca="1" si="1966"/>
        <v>997793.83975258772</v>
      </c>
      <c r="AU2013" s="2">
        <f t="shared" ca="1" si="1967"/>
        <v>1070824.1244293549</v>
      </c>
      <c r="AV2013" s="2">
        <f t="shared" ca="1" si="1968"/>
        <v>2196006.403178053</v>
      </c>
      <c r="AW2013" s="2">
        <f t="shared" ca="1" si="1969"/>
        <v>2428469.6938316477</v>
      </c>
      <c r="AX2013" s="2">
        <f t="shared" ca="1" si="1970"/>
        <v>2617262.7687029727</v>
      </c>
      <c r="AY2013" s="2">
        <f t="shared" ca="1" si="1971"/>
        <v>2814803.5231226599</v>
      </c>
      <c r="AZ2013" s="2">
        <f t="shared" ca="1" si="1972"/>
        <v>3021497.2786181681</v>
      </c>
      <c r="BA2013" s="2">
        <f t="shared" ca="1" si="1973"/>
        <v>52415782.500867099</v>
      </c>
      <c r="BB2013" s="2">
        <f t="shared" ca="1" si="1974"/>
        <v>1048315.6500173419</v>
      </c>
      <c r="BC2013" s="2">
        <f t="shared" ca="1" si="1975"/>
        <v>26651602.267547216</v>
      </c>
      <c r="BD2013" s="2">
        <f t="shared" ca="1" si="1976"/>
        <v>-18007070.746505968</v>
      </c>
      <c r="BE2013" s="2">
        <f t="shared" ca="1" si="1977"/>
        <v>2196006.403178053</v>
      </c>
      <c r="BF2013" s="2">
        <f t="shared" ca="1" si="1978"/>
        <v>2428469.6938316477</v>
      </c>
      <c r="BG2013" s="2">
        <f t="shared" ca="1" si="1979"/>
        <v>2617262.7687029727</v>
      </c>
      <c r="BH2013" s="2">
        <f t="shared" ca="1" si="1980"/>
        <v>2814803.5231226599</v>
      </c>
      <c r="BI2013" s="2">
        <f t="shared" ca="1" si="1981"/>
        <v>29673099.546165384</v>
      </c>
      <c r="BJ2013" s="2">
        <f t="shared" ca="1" si="1982"/>
        <v>0.20497217682509494</v>
      </c>
      <c r="BK2013" s="2">
        <f t="shared" ca="1" si="1983"/>
        <v>6378698.4711802602</v>
      </c>
    </row>
    <row r="2014" spans="1:63" x14ac:dyDescent="0.3">
      <c r="A2014" s="2">
        <v>2013</v>
      </c>
      <c r="B2014" s="2">
        <f t="shared" ca="1" si="1922"/>
        <v>5.1454744988405188E-2</v>
      </c>
      <c r="C2014" s="2">
        <f t="shared" ca="1" si="1923"/>
        <v>6.320795090325289</v>
      </c>
      <c r="D2014" s="2">
        <f t="shared" ca="1" si="1924"/>
        <v>0.48834190069457206</v>
      </c>
      <c r="E2014" s="2">
        <f t="shared" ca="1" si="1925"/>
        <v>7.4882731410845604</v>
      </c>
      <c r="F2014" s="2">
        <f t="shared" ca="1" si="1926"/>
        <v>0.58021172268829002</v>
      </c>
      <c r="G2014" s="2">
        <f t="shared" ca="1" si="1927"/>
        <v>4.6073054378931659E-2</v>
      </c>
      <c r="H2014" s="2">
        <f t="shared" ca="1" si="1928"/>
        <v>4.6073054378931659E-2</v>
      </c>
      <c r="I2014" s="2">
        <f t="shared" ca="1" si="1929"/>
        <v>0.44431112017195151</v>
      </c>
      <c r="J2014" s="2">
        <f t="shared" ca="1" si="1930"/>
        <v>9.2997611061624835E-3</v>
      </c>
      <c r="K2014" s="2">
        <f t="shared" ca="1" si="1931"/>
        <v>9.2997611061624835E-3</v>
      </c>
      <c r="L2014" s="2">
        <f t="shared" ca="1" si="1932"/>
        <v>9.4222904743637259E-2</v>
      </c>
      <c r="M2014" s="2">
        <f t="shared" ca="1" si="1933"/>
        <v>-2.6303814620701652E-2</v>
      </c>
      <c r="N2014" s="2">
        <f t="shared" ca="1" si="1934"/>
        <v>-2.6303814620701652E-2</v>
      </c>
      <c r="O2014" s="2">
        <f t="shared" si="1935"/>
        <v>6000000</v>
      </c>
      <c r="P2014" s="2">
        <f t="shared" ca="1" si="1936"/>
        <v>37924770.541951731</v>
      </c>
      <c r="Q2014" s="2">
        <f t="shared" ca="1" si="1937"/>
        <v>948119.26354879327</v>
      </c>
      <c r="R2014" s="2">
        <f t="shared" ca="1" si="1938"/>
        <v>22754862.325171039</v>
      </c>
      <c r="S2014" s="2">
        <f t="shared" ca="1" si="1939"/>
        <v>15169908.216780692</v>
      </c>
      <c r="T2014" s="2">
        <f t="shared" ca="1" si="1940"/>
        <v>48684809.268964916</v>
      </c>
      <c r="U2014" s="2">
        <f t="shared" ca="1" si="1941"/>
        <v>50927867.13384185</v>
      </c>
      <c r="V2014" s="2">
        <f t="shared" ca="1" si="1942"/>
        <v>53274269.52570235</v>
      </c>
      <c r="W2014" s="2">
        <f t="shared" ca="1" si="1943"/>
        <v>55728777.842557892</v>
      </c>
      <c r="X2014" s="2">
        <f t="shared" ca="1" si="1944"/>
        <v>58296372.854569457</v>
      </c>
      <c r="Y2014" s="2">
        <f t="shared" ca="1" si="1945"/>
        <v>0.12464988055308124</v>
      </c>
      <c r="Z2014" s="2">
        <f t="shared" ca="1" si="1946"/>
        <v>0.12650983277431374</v>
      </c>
      <c r="AA2014" s="2">
        <f t="shared" ca="1" si="1947"/>
        <v>6068555.6601260193</v>
      </c>
      <c r="AB2014" s="2">
        <f t="shared" ca="1" si="1948"/>
        <v>6442875.9546548016</v>
      </c>
      <c r="AC2014" s="2">
        <f t="shared" ca="1" si="1949"/>
        <v>6739718.9288703231</v>
      </c>
      <c r="AD2014" s="2">
        <f t="shared" ca="1" si="1950"/>
        <v>7050238.3655788796</v>
      </c>
      <c r="AE2014" s="2">
        <f t="shared" ca="1" si="1951"/>
        <v>7375064.3811806254</v>
      </c>
      <c r="AF2014" s="2">
        <f t="shared" ca="1" si="1952"/>
        <v>973696.1853792984</v>
      </c>
      <c r="AG2014" s="2">
        <f t="shared" ca="1" si="1953"/>
        <v>1018557.342676837</v>
      </c>
      <c r="AH2014" s="2">
        <f t="shared" ca="1" si="1954"/>
        <v>1065485.3905140471</v>
      </c>
      <c r="AI2014" s="2">
        <f t="shared" ca="1" si="1955"/>
        <v>1114575.5568511579</v>
      </c>
      <c r="AJ2014" s="2">
        <f t="shared" ca="1" si="1956"/>
        <v>1165927.4570913892</v>
      </c>
      <c r="AK2014" s="2">
        <f t="shared" ca="1" si="1957"/>
        <v>0</v>
      </c>
      <c r="AL2014" s="2">
        <f t="shared" ca="1" si="1958"/>
        <v>22430.578648769333</v>
      </c>
      <c r="AM2014" s="2">
        <f t="shared" ca="1" si="1959"/>
        <v>23464.023918604998</v>
      </c>
      <c r="AN2014" s="2">
        <f t="shared" ca="1" si="1960"/>
        <v>24545.083168555426</v>
      </c>
      <c r="AO2014" s="2">
        <f t="shared" ca="1" si="1961"/>
        <v>25675.950120115653</v>
      </c>
      <c r="AP2014" s="2">
        <f t="shared" ca="1" si="1962"/>
        <v>2047937.6092653933</v>
      </c>
      <c r="AQ2014" s="2">
        <f t="shared" ca="1" si="1963"/>
        <v>792199.68502514507</v>
      </c>
      <c r="AR2014" s="2">
        <f t="shared" ca="1" si="1964"/>
        <v>877859.06070526852</v>
      </c>
      <c r="AS2014" s="2">
        <f t="shared" ca="1" si="1965"/>
        <v>942836.94156362955</v>
      </c>
      <c r="AT2014" s="2">
        <f t="shared" ca="1" si="1966"/>
        <v>1010808.5518602054</v>
      </c>
      <c r="AU2014" s="2">
        <f t="shared" ca="1" si="1967"/>
        <v>1081911.821854199</v>
      </c>
      <c r="AV2014" s="2">
        <f t="shared" ca="1" si="1968"/>
        <v>2254722.180456182</v>
      </c>
      <c r="AW2014" s="2">
        <f t="shared" ca="1" si="1969"/>
        <v>2476091.363358533</v>
      </c>
      <c r="AX2014" s="2">
        <f t="shared" ca="1" si="1970"/>
        <v>2659994.9636086477</v>
      </c>
      <c r="AY2014" s="2">
        <f t="shared" ca="1" si="1971"/>
        <v>2852371.5644335682</v>
      </c>
      <c r="AZ2014" s="2">
        <f t="shared" ca="1" si="1972"/>
        <v>3053611.5428495277</v>
      </c>
      <c r="BA2014" s="2">
        <f t="shared" ca="1" si="1973"/>
        <v>55226496.519364305</v>
      </c>
      <c r="BB2014" s="2">
        <f t="shared" ca="1" si="1974"/>
        <v>1104529.930387286</v>
      </c>
      <c r="BC2014" s="2">
        <f t="shared" ca="1" si="1975"/>
        <v>31367104.263805982</v>
      </c>
      <c r="BD2014" s="2">
        <f t="shared" ca="1" si="1976"/>
        <v>-16618027.480329486</v>
      </c>
      <c r="BE2014" s="2">
        <f t="shared" ca="1" si="1977"/>
        <v>2254722.180456182</v>
      </c>
      <c r="BF2014" s="2">
        <f t="shared" ca="1" si="1978"/>
        <v>2476091.363358533</v>
      </c>
      <c r="BG2014" s="2">
        <f t="shared" ca="1" si="1979"/>
        <v>2659994.9636086477</v>
      </c>
      <c r="BH2014" s="2">
        <f t="shared" ca="1" si="1980"/>
        <v>2852371.5644335682</v>
      </c>
      <c r="BI2014" s="2">
        <f t="shared" ca="1" si="1981"/>
        <v>34420715.806655511</v>
      </c>
      <c r="BJ2014" s="2">
        <f t="shared" ca="1" si="1982"/>
        <v>0.2605776004778726</v>
      </c>
      <c r="BK2014" s="2">
        <f t="shared" ca="1" si="1983"/>
        <v>10606346.310434842</v>
      </c>
    </row>
    <row r="2015" spans="1:63" x14ac:dyDescent="0.3">
      <c r="A2015" s="2">
        <v>2014</v>
      </c>
      <c r="B2015" s="2">
        <f t="shared" ca="1" si="1922"/>
        <v>0.28946722449201889</v>
      </c>
      <c r="C2015" s="2">
        <f t="shared" ca="1" si="1923"/>
        <v>6.7608774204719424</v>
      </c>
      <c r="D2015" s="2">
        <f t="shared" ca="1" si="1924"/>
        <v>0.87822229426835474</v>
      </c>
      <c r="E2015" s="2">
        <f t="shared" ca="1" si="1925"/>
        <v>8.0064866653642568</v>
      </c>
      <c r="F2015" s="2">
        <f t="shared" ca="1" si="1926"/>
        <v>0.32277429643801347</v>
      </c>
      <c r="G2015" s="2">
        <f t="shared" ca="1" si="1927"/>
        <v>2.6201353005654612E-2</v>
      </c>
      <c r="H2015" s="2">
        <f t="shared" ca="1" si="1928"/>
        <v>2.6201353005654612E-2</v>
      </c>
      <c r="I2015" s="2">
        <f t="shared" ca="1" si="1929"/>
        <v>0.85280815657024711</v>
      </c>
      <c r="J2015" s="2">
        <f t="shared" ca="1" si="1930"/>
        <v>1.524276728277758E-2</v>
      </c>
      <c r="K2015" s="2">
        <f t="shared" ca="1" si="1931"/>
        <v>1.524276728277758E-2</v>
      </c>
      <c r="L2015" s="2">
        <f t="shared" ca="1" si="1932"/>
        <v>0.66525070037692979</v>
      </c>
      <c r="M2015" s="2">
        <f t="shared" ca="1" si="1933"/>
        <v>8.5367250561021266E-3</v>
      </c>
      <c r="N2015" s="2">
        <f t="shared" ca="1" si="1934"/>
        <v>8.5367250561021266E-3</v>
      </c>
      <c r="O2015" s="2">
        <f t="shared" si="1935"/>
        <v>6000000</v>
      </c>
      <c r="P2015" s="2">
        <f t="shared" ca="1" si="1936"/>
        <v>40565264.522831656</v>
      </c>
      <c r="Q2015" s="2">
        <f t="shared" ca="1" si="1937"/>
        <v>1014131.6130707915</v>
      </c>
      <c r="R2015" s="2">
        <f t="shared" ca="1" si="1938"/>
        <v>24339158.713698994</v>
      </c>
      <c r="S2015" s="2">
        <f t="shared" ca="1" si="1939"/>
        <v>16226105.809132664</v>
      </c>
      <c r="T2015" s="2">
        <f t="shared" ca="1" si="1940"/>
        <v>50426836.252805106</v>
      </c>
      <c r="U2015" s="2">
        <f t="shared" ca="1" si="1941"/>
        <v>51748087.590423197</v>
      </c>
      <c r="V2015" s="2">
        <f t="shared" ca="1" si="1942"/>
        <v>53103957.500747412</v>
      </c>
      <c r="W2015" s="2">
        <f t="shared" ca="1" si="1943"/>
        <v>54495353.037221774</v>
      </c>
      <c r="X2015" s="2">
        <f t="shared" ca="1" si="1944"/>
        <v>55923205.019317798</v>
      </c>
      <c r="Y2015" s="2">
        <f t="shared" ca="1" si="1945"/>
        <v>0.12762138364138878</v>
      </c>
      <c r="Z2015" s="2">
        <f t="shared" ca="1" si="1946"/>
        <v>0.13066993709794431</v>
      </c>
      <c r="AA2015" s="2">
        <f t="shared" ca="1" si="1947"/>
        <v>6435542.6152407322</v>
      </c>
      <c r="AB2015" s="2">
        <f t="shared" ca="1" si="1948"/>
        <v>6761919.3503795117</v>
      </c>
      <c r="AC2015" s="2">
        <f t="shared" ca="1" si="1949"/>
        <v>6939090.7862745719</v>
      </c>
      <c r="AD2015" s="2">
        <f t="shared" ca="1" si="1950"/>
        <v>7120904.3535040375</v>
      </c>
      <c r="AE2015" s="2">
        <f t="shared" ca="1" si="1951"/>
        <v>7307481.6821897002</v>
      </c>
      <c r="AF2015" s="2">
        <f t="shared" ca="1" si="1952"/>
        <v>1008536.7250561022</v>
      </c>
      <c r="AG2015" s="2">
        <f t="shared" ca="1" si="1953"/>
        <v>1034961.7518084639</v>
      </c>
      <c r="AH2015" s="2">
        <f t="shared" ca="1" si="1954"/>
        <v>1062079.1500149483</v>
      </c>
      <c r="AI2015" s="2">
        <f t="shared" ca="1" si="1955"/>
        <v>1089907.0607444355</v>
      </c>
      <c r="AJ2015" s="2">
        <f t="shared" ca="1" si="1956"/>
        <v>1118464.100386356</v>
      </c>
      <c r="AK2015" s="2">
        <f t="shared" ca="1" si="1957"/>
        <v>0</v>
      </c>
      <c r="AL2015" s="2">
        <f t="shared" ca="1" si="1958"/>
        <v>13212.513376180903</v>
      </c>
      <c r="AM2015" s="2">
        <f t="shared" ca="1" si="1959"/>
        <v>13558.699103242159</v>
      </c>
      <c r="AN2015" s="2">
        <f t="shared" ca="1" si="1960"/>
        <v>13913.955364743621</v>
      </c>
      <c r="AO2015" s="2">
        <f t="shared" ca="1" si="1961"/>
        <v>14278.519820960239</v>
      </c>
      <c r="AP2015" s="2">
        <f t="shared" ca="1" si="1962"/>
        <v>2190524.2842329093</v>
      </c>
      <c r="AQ2015" s="2">
        <f t="shared" ca="1" si="1963"/>
        <v>841485.2175474473</v>
      </c>
      <c r="AR2015" s="2">
        <f t="shared" ca="1" si="1964"/>
        <v>919472.6617279161</v>
      </c>
      <c r="AS2015" s="2">
        <f t="shared" ca="1" si="1965"/>
        <v>958486.71152694582</v>
      </c>
      <c r="AT2015" s="2">
        <f t="shared" ca="1" si="1966"/>
        <v>998522.98221694015</v>
      </c>
      <c r="AU2015" s="2">
        <f t="shared" ca="1" si="1967"/>
        <v>1039608.2573683131</v>
      </c>
      <c r="AV2015" s="2">
        <f t="shared" ca="1" si="1968"/>
        <v>2394996.388404273</v>
      </c>
      <c r="AW2015" s="2">
        <f t="shared" ca="1" si="1969"/>
        <v>2603748.1392340413</v>
      </c>
      <c r="AX2015" s="2">
        <f t="shared" ca="1" si="1970"/>
        <v>2714441.9413965265</v>
      </c>
      <c r="AY2015" s="2">
        <f t="shared" ca="1" si="1971"/>
        <v>2828036.0709450091</v>
      </c>
      <c r="AZ2015" s="2">
        <f t="shared" ca="1" si="1972"/>
        <v>2944606.5203811615</v>
      </c>
      <c r="BA2015" s="2">
        <f t="shared" ca="1" si="1973"/>
        <v>58507254.645845406</v>
      </c>
      <c r="BB2015" s="2">
        <f t="shared" ca="1" si="1974"/>
        <v>1170145.0929169082</v>
      </c>
      <c r="BC2015" s="2">
        <f t="shared" ca="1" si="1975"/>
        <v>32997950.839229506</v>
      </c>
      <c r="BD2015" s="2">
        <f t="shared" ca="1" si="1976"/>
        <v>-17740237.422203455</v>
      </c>
      <c r="BE2015" s="2">
        <f t="shared" ca="1" si="1977"/>
        <v>2394996.388404273</v>
      </c>
      <c r="BF2015" s="2">
        <f t="shared" ca="1" si="1978"/>
        <v>2603748.1392340413</v>
      </c>
      <c r="BG2015" s="2">
        <f t="shared" ca="1" si="1979"/>
        <v>2714441.9413965265</v>
      </c>
      <c r="BH2015" s="2">
        <f t="shared" ca="1" si="1980"/>
        <v>2828036.0709450091</v>
      </c>
      <c r="BI2015" s="2">
        <f t="shared" ca="1" si="1981"/>
        <v>35942557.359610669</v>
      </c>
      <c r="BJ2015" s="2">
        <f t="shared" ca="1" si="1982"/>
        <v>0.25289726701547988</v>
      </c>
      <c r="BK2015" s="2">
        <f t="shared" ca="1" si="1983"/>
        <v>10597970.801820733</v>
      </c>
    </row>
    <row r="2016" spans="1:63" x14ac:dyDescent="0.3">
      <c r="A2016" s="2">
        <v>2015</v>
      </c>
      <c r="B2016" s="2">
        <f t="shared" ca="1" si="1922"/>
        <v>0.62643854184875802</v>
      </c>
      <c r="C2016" s="2">
        <f t="shared" ca="1" si="1923"/>
        <v>7.1356372773525667</v>
      </c>
      <c r="D2016" s="2">
        <f t="shared" ca="1" si="1924"/>
        <v>0.71685641741325101</v>
      </c>
      <c r="E2016" s="2">
        <f t="shared" ca="1" si="1925"/>
        <v>7.7474794586368434</v>
      </c>
      <c r="F2016" s="2">
        <f t="shared" ca="1" si="1926"/>
        <v>0.51406786293256712</v>
      </c>
      <c r="G2016" s="2">
        <f t="shared" ca="1" si="1927"/>
        <v>4.1058106427401285E-2</v>
      </c>
      <c r="H2016" s="2">
        <f t="shared" ca="1" si="1928"/>
        <v>4.1058106427401285E-2</v>
      </c>
      <c r="I2016" s="2">
        <f t="shared" ca="1" si="1929"/>
        <v>0.3954738704406161</v>
      </c>
      <c r="J2016" s="2">
        <f t="shared" ca="1" si="1930"/>
        <v>8.6745993951472412E-3</v>
      </c>
      <c r="K2016" s="2">
        <f t="shared" ca="1" si="1931"/>
        <v>8.6745993951472412E-3</v>
      </c>
      <c r="L2016" s="2">
        <f t="shared" ca="1" si="1932"/>
        <v>0.40366251707465406</v>
      </c>
      <c r="M2016" s="2">
        <f t="shared" ca="1" si="1933"/>
        <v>-4.8775670786126496E-3</v>
      </c>
      <c r="N2016" s="2">
        <f t="shared" ca="1" si="1934"/>
        <v>-4.8775670786126496E-3</v>
      </c>
      <c r="O2016" s="2">
        <f t="shared" si="1935"/>
        <v>6000000</v>
      </c>
      <c r="P2016" s="2">
        <f t="shared" ca="1" si="1936"/>
        <v>42813823.664115399</v>
      </c>
      <c r="Q2016" s="2">
        <f t="shared" ca="1" si="1937"/>
        <v>1070345.5916028849</v>
      </c>
      <c r="R2016" s="2">
        <f t="shared" ca="1" si="1938"/>
        <v>25688294.19846924</v>
      </c>
      <c r="S2016" s="2">
        <f t="shared" ca="1" si="1939"/>
        <v>17125529.465646159</v>
      </c>
      <c r="T2016" s="2">
        <f t="shared" ca="1" si="1940"/>
        <v>49756121.64606937</v>
      </c>
      <c r="U2016" s="2">
        <f t="shared" ca="1" si="1941"/>
        <v>51799013.784028418</v>
      </c>
      <c r="V2016" s="2">
        <f t="shared" ca="1" si="1942"/>
        <v>53925783.20480749</v>
      </c>
      <c r="W2016" s="2">
        <f t="shared" ca="1" si="1943"/>
        <v>56139873.75081145</v>
      </c>
      <c r="X2016" s="2">
        <f t="shared" ca="1" si="1944"/>
        <v>58444870.66209314</v>
      </c>
      <c r="Y2016" s="2">
        <f t="shared" ca="1" si="1945"/>
        <v>0.12433729969757362</v>
      </c>
      <c r="Z2016" s="2">
        <f t="shared" ca="1" si="1946"/>
        <v>0.12607221957660306</v>
      </c>
      <c r="AA2016" s="2">
        <f t="shared" ca="1" si="1947"/>
        <v>6186541.8088962575</v>
      </c>
      <c r="AB2016" s="2">
        <f t="shared" ca="1" si="1948"/>
        <v>6530416.6396315191</v>
      </c>
      <c r="AC2016" s="2">
        <f t="shared" ca="1" si="1949"/>
        <v>6798543.1810367834</v>
      </c>
      <c r="AD2016" s="2">
        <f t="shared" ca="1" si="1950"/>
        <v>7077678.4905150756</v>
      </c>
      <c r="AE2016" s="2">
        <f t="shared" ca="1" si="1951"/>
        <v>7368274.5672375727</v>
      </c>
      <c r="AF2016" s="2">
        <f t="shared" ca="1" si="1952"/>
        <v>995122.43292138737</v>
      </c>
      <c r="AG2016" s="2">
        <f t="shared" ca="1" si="1953"/>
        <v>1035980.2756805684</v>
      </c>
      <c r="AH2016" s="2">
        <f t="shared" ca="1" si="1954"/>
        <v>1078515.6640961498</v>
      </c>
      <c r="AI2016" s="2">
        <f t="shared" ca="1" si="1955"/>
        <v>1122797.4750162291</v>
      </c>
      <c r="AJ2016" s="2">
        <f t="shared" ca="1" si="1956"/>
        <v>1168897.4132418628</v>
      </c>
      <c r="AK2016" s="2">
        <f t="shared" ca="1" si="1957"/>
        <v>0</v>
      </c>
      <c r="AL2016" s="2">
        <f t="shared" ca="1" si="1958"/>
        <v>20428.921379590483</v>
      </c>
      <c r="AM2016" s="2">
        <f t="shared" ca="1" si="1959"/>
        <v>21267.694207790719</v>
      </c>
      <c r="AN2016" s="2">
        <f t="shared" ca="1" si="1960"/>
        <v>22140.905460039601</v>
      </c>
      <c r="AO2016" s="2">
        <f t="shared" ca="1" si="1961"/>
        <v>23049.9691128169</v>
      </c>
      <c r="AP2016" s="2">
        <f t="shared" ca="1" si="1962"/>
        <v>2311946.4778622314</v>
      </c>
      <c r="AQ2016" s="2">
        <f t="shared" ca="1" si="1963"/>
        <v>748662.95350928616</v>
      </c>
      <c r="AR2016" s="2">
        <f t="shared" ca="1" si="1964"/>
        <v>827447.37038306717</v>
      </c>
      <c r="AS2016" s="2">
        <f t="shared" ca="1" si="1965"/>
        <v>886101.07016038464</v>
      </c>
      <c r="AT2016" s="2">
        <f t="shared" ca="1" si="1966"/>
        <v>947162.97978552</v>
      </c>
      <c r="AU2016" s="2">
        <f t="shared" ca="1" si="1967"/>
        <v>1010731.9757947043</v>
      </c>
      <c r="AV2016" s="2">
        <f t="shared" ca="1" si="1968"/>
        <v>2130809.9446033528</v>
      </c>
      <c r="AW2016" s="2">
        <f t="shared" ca="1" si="1969"/>
        <v>2334613.5943260621</v>
      </c>
      <c r="AX2016" s="2">
        <f t="shared" ca="1" si="1970"/>
        <v>2500712.2747102277</v>
      </c>
      <c r="AY2016" s="2">
        <f t="shared" ca="1" si="1971"/>
        <v>2673630.6523910565</v>
      </c>
      <c r="AZ2016" s="2">
        <f t="shared" ca="1" si="1972"/>
        <v>2853648.7312259562</v>
      </c>
      <c r="BA2016" s="2">
        <f t="shared" ca="1" si="1973"/>
        <v>57085555.855269372</v>
      </c>
      <c r="BB2016" s="2">
        <f t="shared" ca="1" si="1974"/>
        <v>1141711.1171053874</v>
      </c>
      <c r="BC2016" s="2">
        <f t="shared" ca="1" si="1975"/>
        <v>30255550.539694745</v>
      </c>
      <c r="BD2016" s="2">
        <f t="shared" ca="1" si="1976"/>
        <v>-18695875.057249043</v>
      </c>
      <c r="BE2016" s="2">
        <f t="shared" ca="1" si="1977"/>
        <v>2130809.9446033528</v>
      </c>
      <c r="BF2016" s="2">
        <f t="shared" ca="1" si="1978"/>
        <v>2334613.5943260621</v>
      </c>
      <c r="BG2016" s="2">
        <f t="shared" ca="1" si="1979"/>
        <v>2500712.2747102277</v>
      </c>
      <c r="BH2016" s="2">
        <f t="shared" ca="1" si="1980"/>
        <v>2673630.6523910565</v>
      </c>
      <c r="BI2016" s="2">
        <f t="shared" ca="1" si="1981"/>
        <v>33109199.270920701</v>
      </c>
      <c r="BJ2016" s="2">
        <f t="shared" ca="1" si="1982"/>
        <v>0.21130052640606456</v>
      </c>
      <c r="BK2016" s="2">
        <f t="shared" ca="1" si="1983"/>
        <v>7333920.5405393802</v>
      </c>
    </row>
    <row r="2017" spans="1:63" x14ac:dyDescent="0.3">
      <c r="A2017" s="2">
        <v>2016</v>
      </c>
      <c r="B2017" s="2">
        <f t="shared" ca="1" si="1922"/>
        <v>2.0068556185880992E-2</v>
      </c>
      <c r="C2017" s="2">
        <f t="shared" ca="1" si="1923"/>
        <v>6.2003424876848694</v>
      </c>
      <c r="D2017" s="2">
        <f t="shared" ca="1" si="1924"/>
        <v>2.1197327004339739E-3</v>
      </c>
      <c r="E2017" s="2">
        <f t="shared" ca="1" si="1925"/>
        <v>6.5651111772345416</v>
      </c>
      <c r="F2017" s="2">
        <f t="shared" ca="1" si="1926"/>
        <v>5.4720365575204766E-2</v>
      </c>
      <c r="G2017" s="2">
        <f t="shared" ca="1" si="1927"/>
        <v>-8.0213587718271223E-3</v>
      </c>
      <c r="H2017" s="2">
        <f t="shared" ca="1" si="1928"/>
        <v>-8.0213587718271223E-3</v>
      </c>
      <c r="I2017" s="2">
        <f t="shared" ca="1" si="1929"/>
        <v>0.99341873815791459</v>
      </c>
      <c r="J2017" s="2">
        <f t="shared" ca="1" si="1930"/>
        <v>2.2396707216610332E-2</v>
      </c>
      <c r="K2017" s="2">
        <f t="shared" ca="1" si="1931"/>
        <v>2.2396707216610332E-2</v>
      </c>
      <c r="L2017" s="2">
        <f t="shared" ca="1" si="1932"/>
        <v>0.46197123994664568</v>
      </c>
      <c r="M2017" s="2">
        <f t="shared" ca="1" si="1933"/>
        <v>-1.9093757769456754E-3</v>
      </c>
      <c r="N2017" s="2">
        <f t="shared" ca="1" si="1934"/>
        <v>-1.9093757769456754E-3</v>
      </c>
      <c r="O2017" s="2">
        <f t="shared" si="1935"/>
        <v>6000000</v>
      </c>
      <c r="P2017" s="2">
        <f t="shared" ca="1" si="1936"/>
        <v>37202054.926109217</v>
      </c>
      <c r="Q2017" s="2">
        <f t="shared" ca="1" si="1937"/>
        <v>930051.37315273052</v>
      </c>
      <c r="R2017" s="2">
        <f t="shared" ca="1" si="1938"/>
        <v>22321232.955665529</v>
      </c>
      <c r="S2017" s="2">
        <f t="shared" ca="1" si="1939"/>
        <v>14880821.970443688</v>
      </c>
      <c r="T2017" s="2">
        <f t="shared" ca="1" si="1940"/>
        <v>49904531.211152717</v>
      </c>
      <c r="U2017" s="2">
        <f t="shared" ca="1" si="1941"/>
        <v>49504229.061968222</v>
      </c>
      <c r="V2017" s="2">
        <f t="shared" ca="1" si="1942"/>
        <v>49107137.879939467</v>
      </c>
      <c r="W2017" s="2">
        <f t="shared" ca="1" si="1943"/>
        <v>48713231.908746891</v>
      </c>
      <c r="X2017" s="2">
        <f t="shared" ca="1" si="1944"/>
        <v>48322485.598671615</v>
      </c>
      <c r="Y2017" s="2">
        <f t="shared" ca="1" si="1945"/>
        <v>0.13119835360830517</v>
      </c>
      <c r="Z2017" s="2">
        <f t="shared" ca="1" si="1946"/>
        <v>0.13567769505162722</v>
      </c>
      <c r="AA2017" s="2">
        <f t="shared" ca="1" si="1947"/>
        <v>6547392.3324975166</v>
      </c>
      <c r="AB2017" s="2">
        <f t="shared" ca="1" si="1948"/>
        <v>6716619.6944356263</v>
      </c>
      <c r="AC2017" s="2">
        <f t="shared" ca="1" si="1949"/>
        <v>6662743.2781326389</v>
      </c>
      <c r="AD2017" s="2">
        <f t="shared" ca="1" si="1950"/>
        <v>6609299.0238941573</v>
      </c>
      <c r="AE2017" s="2">
        <f t="shared" ca="1" si="1951"/>
        <v>6556283.4651932148</v>
      </c>
      <c r="AF2017" s="2">
        <f t="shared" ca="1" si="1952"/>
        <v>998090.62422305439</v>
      </c>
      <c r="AG2017" s="2">
        <f t="shared" ca="1" si="1953"/>
        <v>990084.58123936446</v>
      </c>
      <c r="AH2017" s="2">
        <f t="shared" ca="1" si="1954"/>
        <v>982142.75759878941</v>
      </c>
      <c r="AI2017" s="2">
        <f t="shared" ca="1" si="1955"/>
        <v>974264.63817493781</v>
      </c>
      <c r="AJ2017" s="2">
        <f t="shared" ca="1" si="1956"/>
        <v>966449.71197343234</v>
      </c>
      <c r="AK2017" s="2">
        <f t="shared" ca="1" si="1957"/>
        <v>0</v>
      </c>
      <c r="AL2017" s="2">
        <f t="shared" ca="1" si="1958"/>
        <v>0</v>
      </c>
      <c r="AM2017" s="2">
        <f t="shared" ca="1" si="1959"/>
        <v>0</v>
      </c>
      <c r="AN2017" s="2">
        <f t="shared" ca="1" si="1960"/>
        <v>0</v>
      </c>
      <c r="AO2017" s="2">
        <f t="shared" ca="1" si="1961"/>
        <v>0</v>
      </c>
      <c r="AP2017" s="2">
        <f t="shared" ca="1" si="1962"/>
        <v>2008910.9660098974</v>
      </c>
      <c r="AQ2017" s="2">
        <f t="shared" ca="1" si="1963"/>
        <v>920501.59298878699</v>
      </c>
      <c r="AR2017" s="2">
        <f t="shared" ca="1" si="1964"/>
        <v>966582.27826845495</v>
      </c>
      <c r="AS2017" s="2">
        <f t="shared" ca="1" si="1965"/>
        <v>954639.28417622764</v>
      </c>
      <c r="AT2017" s="2">
        <f t="shared" ca="1" si="1966"/>
        <v>942792.0891244238</v>
      </c>
      <c r="AU2017" s="2">
        <f t="shared" ca="1" si="1967"/>
        <v>931039.92467457021</v>
      </c>
      <c r="AV2017" s="2">
        <f t="shared" ca="1" si="1968"/>
        <v>2619889.1492757779</v>
      </c>
      <c r="AW2017" s="2">
        <f t="shared" ca="1" si="1969"/>
        <v>2751041.8689179104</v>
      </c>
      <c r="AX2017" s="2">
        <f t="shared" ca="1" si="1970"/>
        <v>2717050.2703477247</v>
      </c>
      <c r="AY2017" s="2">
        <f t="shared" ca="1" si="1971"/>
        <v>2683331.3305848986</v>
      </c>
      <c r="AZ2017" s="2">
        <f t="shared" ca="1" si="1972"/>
        <v>2649882.8625353146</v>
      </c>
      <c r="BA2017" s="2">
        <f t="shared" ca="1" si="1973"/>
        <v>43042729.85845799</v>
      </c>
      <c r="BB2017" s="2">
        <f t="shared" ca="1" si="1974"/>
        <v>860854.5971691598</v>
      </c>
      <c r="BC2017" s="2">
        <f t="shared" ca="1" si="1975"/>
        <v>19860642.3056233</v>
      </c>
      <c r="BD2017" s="2">
        <f t="shared" ca="1" si="1976"/>
        <v>-16310873.343596419</v>
      </c>
      <c r="BE2017" s="2">
        <f t="shared" ca="1" si="1977"/>
        <v>2619889.1492757779</v>
      </c>
      <c r="BF2017" s="2">
        <f t="shared" ca="1" si="1978"/>
        <v>2751041.8689179104</v>
      </c>
      <c r="BG2017" s="2">
        <f t="shared" ca="1" si="1979"/>
        <v>2717050.2703477247</v>
      </c>
      <c r="BH2017" s="2">
        <f t="shared" ca="1" si="1980"/>
        <v>2683331.3305848986</v>
      </c>
      <c r="BI2017" s="2">
        <f t="shared" ca="1" si="1981"/>
        <v>22510525.168158613</v>
      </c>
      <c r="BJ2017" s="2">
        <f t="shared" ca="1" si="1982"/>
        <v>0.19410596055585638</v>
      </c>
      <c r="BK2017" s="2">
        <f t="shared" ca="1" si="1983"/>
        <v>4633751.9340452794</v>
      </c>
    </row>
    <row r="2018" spans="1:63" x14ac:dyDescent="0.3">
      <c r="A2018" s="2">
        <v>2017</v>
      </c>
      <c r="B2018" s="2">
        <f t="shared" ca="1" si="1922"/>
        <v>0.70150239842468387</v>
      </c>
      <c r="C2018" s="2">
        <f t="shared" ca="1" si="1923"/>
        <v>7.227345353245946</v>
      </c>
      <c r="D2018" s="2">
        <f t="shared" ca="1" si="1924"/>
        <v>7.9893015828263803E-2</v>
      </c>
      <c r="E2018" s="2">
        <f t="shared" ca="1" si="1925"/>
        <v>6.8997324500919675</v>
      </c>
      <c r="F2018" s="2">
        <f t="shared" ca="1" si="1926"/>
        <v>0.66493588011832216</v>
      </c>
      <c r="G2018" s="2">
        <f t="shared" ca="1" si="1927"/>
        <v>5.2779160379972739E-2</v>
      </c>
      <c r="H2018" s="2">
        <f t="shared" ca="1" si="1928"/>
        <v>5.2779160379972739E-2</v>
      </c>
      <c r="I2018" s="2">
        <f t="shared" ca="1" si="1929"/>
        <v>7.2727314315494396E-2</v>
      </c>
      <c r="J2018" s="2">
        <f t="shared" ca="1" si="1930"/>
        <v>2.7211213783421744E-3</v>
      </c>
      <c r="K2018" s="2">
        <f t="shared" ca="1" si="1931"/>
        <v>2.7211213783421744E-3</v>
      </c>
      <c r="L2018" s="2">
        <f t="shared" ca="1" si="1932"/>
        <v>0.64826368908936349</v>
      </c>
      <c r="M2018" s="2">
        <f t="shared" ca="1" si="1933"/>
        <v>7.6127400146738305E-3</v>
      </c>
      <c r="N2018" s="2">
        <f t="shared" ca="1" si="1934"/>
        <v>7.6127400146738305E-3</v>
      </c>
      <c r="O2018" s="2">
        <f t="shared" si="1935"/>
        <v>6000000</v>
      </c>
      <c r="P2018" s="2">
        <f t="shared" ca="1" si="1936"/>
        <v>43364072.119475678</v>
      </c>
      <c r="Q2018" s="2">
        <f t="shared" ca="1" si="1937"/>
        <v>1084101.8029868919</v>
      </c>
      <c r="R2018" s="2">
        <f t="shared" ca="1" si="1938"/>
        <v>26018443.271685407</v>
      </c>
      <c r="S2018" s="2">
        <f t="shared" ca="1" si="1939"/>
        <v>17345628.847790271</v>
      </c>
      <c r="T2018" s="2">
        <f t="shared" ca="1" si="1940"/>
        <v>50380637.000733696</v>
      </c>
      <c r="U2018" s="2">
        <f t="shared" ca="1" si="1941"/>
        <v>53039684.721040606</v>
      </c>
      <c r="V2018" s="2">
        <f t="shared" ca="1" si="1942"/>
        <v>55839074.7474356</v>
      </c>
      <c r="W2018" s="2">
        <f t="shared" ca="1" si="1943"/>
        <v>58786214.228999794</v>
      </c>
      <c r="X2018" s="2">
        <f t="shared" ca="1" si="1944"/>
        <v>61888901.257923611</v>
      </c>
      <c r="Y2018" s="2">
        <f t="shared" ca="1" si="1945"/>
        <v>0.12136056068917109</v>
      </c>
      <c r="Z2018" s="2">
        <f t="shared" ca="1" si="1946"/>
        <v>0.12190478496483952</v>
      </c>
      <c r="AA2018" s="2">
        <f t="shared" ca="1" si="1947"/>
        <v>6114222.35428664</v>
      </c>
      <c r="AB2018" s="2">
        <f t="shared" ca="1" si="1948"/>
        <v>6465791.3605213389</v>
      </c>
      <c r="AC2018" s="2">
        <f t="shared" ca="1" si="1949"/>
        <v>6807050.399721737</v>
      </c>
      <c r="AD2018" s="2">
        <f t="shared" ca="1" si="1950"/>
        <v>7166320.8044832088</v>
      </c>
      <c r="AE2018" s="2">
        <f t="shared" ca="1" si="1951"/>
        <v>7544553.199557364</v>
      </c>
      <c r="AF2018" s="2">
        <f t="shared" ca="1" si="1952"/>
        <v>1007612.7400146739</v>
      </c>
      <c r="AG2018" s="2">
        <f t="shared" ca="1" si="1953"/>
        <v>1060793.6944208122</v>
      </c>
      <c r="AH2018" s="2">
        <f t="shared" ca="1" si="1954"/>
        <v>1116781.4949487119</v>
      </c>
      <c r="AI2018" s="2">
        <f t="shared" ca="1" si="1955"/>
        <v>1175724.2845799958</v>
      </c>
      <c r="AJ2018" s="2">
        <f t="shared" ca="1" si="1956"/>
        <v>1237778.0251584721</v>
      </c>
      <c r="AK2018" s="2">
        <f t="shared" ca="1" si="1957"/>
        <v>0</v>
      </c>
      <c r="AL2018" s="2">
        <f t="shared" ca="1" si="1958"/>
        <v>26590.477203069106</v>
      </c>
      <c r="AM2018" s="2">
        <f t="shared" ca="1" si="1959"/>
        <v>27993.90026394993</v>
      </c>
      <c r="AN2018" s="2">
        <f t="shared" ca="1" si="1960"/>
        <v>29471.394815641939</v>
      </c>
      <c r="AO2018" s="2">
        <f t="shared" ca="1" si="1961"/>
        <v>31026.87028923817</v>
      </c>
      <c r="AP2018" s="2">
        <f t="shared" ca="1" si="1962"/>
        <v>2341659.8944516866</v>
      </c>
      <c r="AQ2018" s="2">
        <f t="shared" ca="1" si="1963"/>
        <v>718886.92715327255</v>
      </c>
      <c r="AR2018" s="2">
        <f t="shared" ca="1" si="1964"/>
        <v>796467.82062869833</v>
      </c>
      <c r="AS2018" s="2">
        <f t="shared" ca="1" si="1965"/>
        <v>870638.34268354799</v>
      </c>
      <c r="AT2018" s="2">
        <f t="shared" ca="1" si="1966"/>
        <v>948723.52261739678</v>
      </c>
      <c r="AU2018" s="2">
        <f t="shared" ca="1" si="1967"/>
        <v>1030929.9727862733</v>
      </c>
      <c r="AV2018" s="2">
        <f t="shared" ca="1" si="1968"/>
        <v>2046062.7926670066</v>
      </c>
      <c r="AW2018" s="2">
        <f t="shared" ca="1" si="1969"/>
        <v>2240279.4738170723</v>
      </c>
      <c r="AX2018" s="2">
        <f t="shared" ca="1" si="1970"/>
        <v>2449976.7673738399</v>
      </c>
      <c r="AY2018" s="2">
        <f t="shared" ca="1" si="1971"/>
        <v>2670741.7080184869</v>
      </c>
      <c r="AZ2018" s="2">
        <f t="shared" ca="1" si="1972"/>
        <v>2903158.436871693</v>
      </c>
      <c r="BA2018" s="2">
        <f t="shared" ca="1" si="1973"/>
        <v>52055398.532431126</v>
      </c>
      <c r="BB2018" s="2">
        <f t="shared" ca="1" si="1974"/>
        <v>1041107.9706486225</v>
      </c>
      <c r="BC2018" s="2">
        <f t="shared" ca="1" si="1975"/>
        <v>24995847.290097095</v>
      </c>
      <c r="BD2018" s="2">
        <f t="shared" ca="1" si="1976"/>
        <v>-18929730.650777161</v>
      </c>
      <c r="BE2018" s="2">
        <f t="shared" ca="1" si="1977"/>
        <v>2046062.7926670066</v>
      </c>
      <c r="BF2018" s="2">
        <f t="shared" ca="1" si="1978"/>
        <v>2240279.4738170723</v>
      </c>
      <c r="BG2018" s="2">
        <f t="shared" ca="1" si="1979"/>
        <v>2449976.7673738399</v>
      </c>
      <c r="BH2018" s="2">
        <f t="shared" ca="1" si="1980"/>
        <v>2670741.7080184869</v>
      </c>
      <c r="BI2018" s="2">
        <f t="shared" ca="1" si="1981"/>
        <v>27899005.726968788</v>
      </c>
      <c r="BJ2018" s="2">
        <f t="shared" ca="1" si="1982"/>
        <v>0.17201924199187135</v>
      </c>
      <c r="BK2018" s="2">
        <f t="shared" ca="1" si="1983"/>
        <v>3954843.0150630884</v>
      </c>
    </row>
    <row r="2019" spans="1:63" x14ac:dyDescent="0.3">
      <c r="A2019" s="2">
        <v>2018</v>
      </c>
      <c r="B2019" s="2">
        <f t="shared" ca="1" si="1922"/>
        <v>0.9063763834854679</v>
      </c>
      <c r="C2019" s="2">
        <f t="shared" ca="1" si="1923"/>
        <v>7.5672792666984119</v>
      </c>
      <c r="D2019" s="2">
        <f t="shared" ca="1" si="1924"/>
        <v>0.17008349189320149</v>
      </c>
      <c r="E2019" s="2">
        <f t="shared" ca="1" si="1925"/>
        <v>7.0832383593235297</v>
      </c>
      <c r="F2019" s="2">
        <f t="shared" ca="1" si="1926"/>
        <v>2.7924111707894106E-2</v>
      </c>
      <c r="G2019" s="2">
        <f t="shared" ca="1" si="1927"/>
        <v>-1.7366543480867629E-2</v>
      </c>
      <c r="H2019" s="2">
        <f t="shared" ca="1" si="1928"/>
        <v>-1.7366543480867629E-2</v>
      </c>
      <c r="I2019" s="2">
        <f t="shared" ca="1" si="1929"/>
        <v>0.91850685611736993</v>
      </c>
      <c r="J2019" s="2">
        <f t="shared" ca="1" si="1930"/>
        <v>1.6975490024162061E-2</v>
      </c>
      <c r="K2019" s="2">
        <f t="shared" ca="1" si="1931"/>
        <v>1.6975490024162061E-2</v>
      </c>
      <c r="L2019" s="2">
        <f t="shared" ca="1" si="1932"/>
        <v>0.49889625282612549</v>
      </c>
      <c r="M2019" s="2">
        <f t="shared" ca="1" si="1933"/>
        <v>-5.5333748074052248E-5</v>
      </c>
      <c r="N2019" s="2">
        <f t="shared" ca="1" si="1934"/>
        <v>-5.5333748074052248E-5</v>
      </c>
      <c r="O2019" s="2">
        <f t="shared" si="1935"/>
        <v>6000000</v>
      </c>
      <c r="P2019" s="2">
        <f t="shared" ca="1" si="1936"/>
        <v>45403675.600190468</v>
      </c>
      <c r="Q2019" s="2">
        <f t="shared" ca="1" si="1937"/>
        <v>1135091.8900047617</v>
      </c>
      <c r="R2019" s="2">
        <f t="shared" ca="1" si="1938"/>
        <v>27242205.36011428</v>
      </c>
      <c r="S2019" s="2">
        <f t="shared" ca="1" si="1939"/>
        <v>18161470.240076188</v>
      </c>
      <c r="T2019" s="2">
        <f t="shared" ca="1" si="1940"/>
        <v>49997233.312596299</v>
      </c>
      <c r="U2019" s="2">
        <f t="shared" ca="1" si="1941"/>
        <v>49128954.18635001</v>
      </c>
      <c r="V2019" s="2">
        <f t="shared" ca="1" si="1942"/>
        <v>48275754.06730321</v>
      </c>
      <c r="W2019" s="2">
        <f t="shared" ca="1" si="1943"/>
        <v>47437371.085221715</v>
      </c>
      <c r="X2019" s="2">
        <f t="shared" ca="1" si="1944"/>
        <v>46613547.91765216</v>
      </c>
      <c r="Y2019" s="2">
        <f t="shared" ca="1" si="1945"/>
        <v>0.12848774501208102</v>
      </c>
      <c r="Z2019" s="2">
        <f t="shared" ca="1" si="1946"/>
        <v>0.13188284301691344</v>
      </c>
      <c r="AA2019" s="2">
        <f t="shared" ca="1" si="1947"/>
        <v>6424031.7651783964</v>
      </c>
      <c r="AB2019" s="2">
        <f t="shared" ca="1" si="1948"/>
        <v>6479266.1525435308</v>
      </c>
      <c r="AC2019" s="2">
        <f t="shared" ca="1" si="1949"/>
        <v>6366743.6951812701</v>
      </c>
      <c r="AD2019" s="2">
        <f t="shared" ca="1" si="1950"/>
        <v>6256175.3639673647</v>
      </c>
      <c r="AE2019" s="2">
        <f t="shared" ca="1" si="1951"/>
        <v>6147527.2224850925</v>
      </c>
      <c r="AF2019" s="2">
        <f t="shared" ca="1" si="1952"/>
        <v>999944.66625192598</v>
      </c>
      <c r="AG2019" s="2">
        <f t="shared" ca="1" si="1953"/>
        <v>982579.08372700028</v>
      </c>
      <c r="AH2019" s="2">
        <f t="shared" ca="1" si="1954"/>
        <v>965515.08134606422</v>
      </c>
      <c r="AI2019" s="2">
        <f t="shared" ca="1" si="1955"/>
        <v>948747.42170443432</v>
      </c>
      <c r="AJ2019" s="2">
        <f t="shared" ca="1" si="1956"/>
        <v>932270.95835304318</v>
      </c>
      <c r="AK2019" s="2">
        <f t="shared" ca="1" si="1957"/>
        <v>0</v>
      </c>
      <c r="AL2019" s="2">
        <f t="shared" ca="1" si="1958"/>
        <v>0</v>
      </c>
      <c r="AM2019" s="2">
        <f t="shared" ca="1" si="1959"/>
        <v>0</v>
      </c>
      <c r="AN2019" s="2">
        <f t="shared" ca="1" si="1960"/>
        <v>0</v>
      </c>
      <c r="AO2019" s="2">
        <f t="shared" ca="1" si="1961"/>
        <v>0</v>
      </c>
      <c r="AP2019" s="2">
        <f t="shared" ca="1" si="1962"/>
        <v>2451798.4824102852</v>
      </c>
      <c r="AQ2019" s="2">
        <f t="shared" ca="1" si="1963"/>
        <v>772795.04029420821</v>
      </c>
      <c r="AR2019" s="2">
        <f t="shared" ca="1" si="1964"/>
        <v>791671.03246562381</v>
      </c>
      <c r="AS2019" s="2">
        <f t="shared" ca="1" si="1965"/>
        <v>766851.83417047956</v>
      </c>
      <c r="AT2019" s="2">
        <f t="shared" ca="1" si="1966"/>
        <v>742463.65956168785</v>
      </c>
      <c r="AU2019" s="2">
        <f t="shared" ca="1" si="1967"/>
        <v>718499.02324765862</v>
      </c>
      <c r="AV2019" s="2">
        <f t="shared" ca="1" si="1968"/>
        <v>2199493.5762219769</v>
      </c>
      <c r="AW2019" s="2">
        <f t="shared" ca="1" si="1969"/>
        <v>2253217.5539406217</v>
      </c>
      <c r="AX2019" s="2">
        <f t="shared" ca="1" si="1970"/>
        <v>2182578.2972544418</v>
      </c>
      <c r="AY2019" s="2">
        <f t="shared" ca="1" si="1971"/>
        <v>2113165.8002909576</v>
      </c>
      <c r="AZ2019" s="2">
        <f t="shared" ca="1" si="1972"/>
        <v>2044958.7584741055</v>
      </c>
      <c r="BA2019" s="2">
        <f t="shared" ca="1" si="1973"/>
        <v>43544400.637292042</v>
      </c>
      <c r="BB2019" s="2">
        <f t="shared" ca="1" si="1974"/>
        <v>870888.01274584082</v>
      </c>
      <c r="BC2019" s="2">
        <f t="shared" ca="1" si="1975"/>
        <v>15431307.264431922</v>
      </c>
      <c r="BD2019" s="2">
        <f t="shared" ca="1" si="1976"/>
        <v>-19796562.13008095</v>
      </c>
      <c r="BE2019" s="2">
        <f t="shared" ca="1" si="1977"/>
        <v>2199493.5762219769</v>
      </c>
      <c r="BF2019" s="2">
        <f t="shared" ca="1" si="1978"/>
        <v>2253217.5539406217</v>
      </c>
      <c r="BG2019" s="2">
        <f t="shared" ca="1" si="1979"/>
        <v>2182578.2972544418</v>
      </c>
      <c r="BH2019" s="2">
        <f t="shared" ca="1" si="1980"/>
        <v>2113165.8002909576</v>
      </c>
      <c r="BI2019" s="2">
        <f t="shared" ca="1" si="1981"/>
        <v>17476266.022906028</v>
      </c>
      <c r="BJ2019" s="2">
        <f t="shared" ca="1" si="1982"/>
        <v>7.1087673633056792E-2</v>
      </c>
      <c r="BK2019" s="2">
        <f t="shared" ca="1" si="1983"/>
        <v>-3223503.4719677959</v>
      </c>
    </row>
    <row r="2020" spans="1:63" x14ac:dyDescent="0.3">
      <c r="A2020" s="2">
        <v>2019</v>
      </c>
      <c r="B2020" s="2">
        <f t="shared" ca="1" si="1922"/>
        <v>0.27041110038791416</v>
      </c>
      <c r="C2020" s="2">
        <f t="shared" ca="1" si="1923"/>
        <v>6.7354061468167288</v>
      </c>
      <c r="D2020" s="2">
        <f t="shared" ca="1" si="1924"/>
        <v>0.68182745318276428</v>
      </c>
      <c r="E2020" s="2">
        <f t="shared" ca="1" si="1925"/>
        <v>7.7022875871377758</v>
      </c>
      <c r="F2020" s="2">
        <f t="shared" ca="1" si="1926"/>
        <v>0.33152486604332965</v>
      </c>
      <c r="G2020" s="2">
        <f t="shared" ca="1" si="1927"/>
        <v>2.6928806776226926E-2</v>
      </c>
      <c r="H2020" s="2">
        <f t="shared" ca="1" si="1928"/>
        <v>2.6928806776226926E-2</v>
      </c>
      <c r="I2020" s="2">
        <f t="shared" ca="1" si="1929"/>
        <v>0.93601669848443636</v>
      </c>
      <c r="J2020" s="2">
        <f t="shared" ca="1" si="1930"/>
        <v>1.7610847743924678E-2</v>
      </c>
      <c r="K2020" s="2">
        <f t="shared" ca="1" si="1931"/>
        <v>1.7610847743924678E-2</v>
      </c>
      <c r="L2020" s="2">
        <f t="shared" ca="1" si="1932"/>
        <v>0.30821252489745288</v>
      </c>
      <c r="M2020" s="2">
        <f t="shared" ca="1" si="1933"/>
        <v>-1.0018467533342897E-2</v>
      </c>
      <c r="N2020" s="2">
        <f t="shared" ca="1" si="1934"/>
        <v>-1.0018467533342897E-2</v>
      </c>
      <c r="O2020" s="2">
        <f t="shared" si="1935"/>
        <v>6000000</v>
      </c>
      <c r="P2020" s="2">
        <f t="shared" ca="1" si="1936"/>
        <v>40412436.880900376</v>
      </c>
      <c r="Q2020" s="2">
        <f t="shared" ca="1" si="1937"/>
        <v>1010310.9220225094</v>
      </c>
      <c r="R2020" s="2">
        <f t="shared" ca="1" si="1938"/>
        <v>24247462.128540225</v>
      </c>
      <c r="S2020" s="2">
        <f t="shared" ca="1" si="1939"/>
        <v>16164974.75236015</v>
      </c>
      <c r="T2020" s="2">
        <f t="shared" ca="1" si="1940"/>
        <v>49499076.623332858</v>
      </c>
      <c r="U2020" s="2">
        <f t="shared" ca="1" si="1941"/>
        <v>50832027.693324246</v>
      </c>
      <c r="V2020" s="2">
        <f t="shared" ca="1" si="1942"/>
        <v>52200873.545121595</v>
      </c>
      <c r="W2020" s="2">
        <f t="shared" ca="1" si="1943"/>
        <v>53606580.782368436</v>
      </c>
      <c r="X2020" s="2">
        <f t="shared" ca="1" si="1944"/>
        <v>55050142.038191043</v>
      </c>
      <c r="Y2020" s="2">
        <f t="shared" ca="1" si="1945"/>
        <v>0.12880542387196234</v>
      </c>
      <c r="Z2020" s="2">
        <f t="shared" ca="1" si="1946"/>
        <v>0.13232759342074726</v>
      </c>
      <c r="AA2020" s="2">
        <f t="shared" ca="1" si="1947"/>
        <v>6375749.545739131</v>
      </c>
      <c r="AB2020" s="2">
        <f t="shared" ca="1" si="1948"/>
        <v>6726479.8933543758</v>
      </c>
      <c r="AC2020" s="2">
        <f t="shared" ca="1" si="1949"/>
        <v>6907615.9706866927</v>
      </c>
      <c r="AD2020" s="2">
        <f t="shared" ca="1" si="1950"/>
        <v>7093629.8264456941</v>
      </c>
      <c r="AE2020" s="2">
        <f t="shared" ca="1" si="1951"/>
        <v>7284652.8133841315</v>
      </c>
      <c r="AF2020" s="2">
        <f t="shared" ca="1" si="1952"/>
        <v>989981.53246665723</v>
      </c>
      <c r="AG2020" s="2">
        <f t="shared" ca="1" si="1953"/>
        <v>1016640.5538664849</v>
      </c>
      <c r="AH2020" s="2">
        <f t="shared" ca="1" si="1954"/>
        <v>1044017.4709024319</v>
      </c>
      <c r="AI2020" s="2">
        <f t="shared" ca="1" si="1955"/>
        <v>1072131.6156473688</v>
      </c>
      <c r="AJ2020" s="2">
        <f t="shared" ca="1" si="1956"/>
        <v>1101002.8407638208</v>
      </c>
      <c r="AK2020" s="2">
        <f t="shared" ca="1" si="1957"/>
        <v>0</v>
      </c>
      <c r="AL2020" s="2">
        <f t="shared" ca="1" si="1958"/>
        <v>13329.510699913875</v>
      </c>
      <c r="AM2020" s="2">
        <f t="shared" ca="1" si="1959"/>
        <v>13688.458517973499</v>
      </c>
      <c r="AN2020" s="2">
        <f t="shared" ca="1" si="1960"/>
        <v>14057.072372468412</v>
      </c>
      <c r="AO2020" s="2">
        <f t="shared" ca="1" si="1961"/>
        <v>14435.612558226065</v>
      </c>
      <c r="AP2020" s="2">
        <f t="shared" ca="1" si="1962"/>
        <v>2182271.5915686204</v>
      </c>
      <c r="AQ2020" s="2">
        <f t="shared" ca="1" si="1963"/>
        <v>832909.06964300189</v>
      </c>
      <c r="AR2020" s="2">
        <f t="shared" ca="1" si="1964"/>
        <v>917167.61445901031</v>
      </c>
      <c r="AS2020" s="2">
        <f t="shared" ca="1" si="1965"/>
        <v>957144.99613606662</v>
      </c>
      <c r="AT2020" s="2">
        <f t="shared" ca="1" si="1966"/>
        <v>998198.92099972325</v>
      </c>
      <c r="AU2020" s="2">
        <f t="shared" ca="1" si="1967"/>
        <v>1040358.3790734394</v>
      </c>
      <c r="AV2020" s="2">
        <f t="shared" ca="1" si="1968"/>
        <v>2370587.3520608512</v>
      </c>
      <c r="AW2020" s="2">
        <f t="shared" ca="1" si="1969"/>
        <v>2597070.6227603466</v>
      </c>
      <c r="AX2020" s="2">
        <f t="shared" ca="1" si="1970"/>
        <v>2710493.4535616008</v>
      </c>
      <c r="AY2020" s="2">
        <f t="shared" ca="1" si="1971"/>
        <v>2826970.6258575129</v>
      </c>
      <c r="AZ2020" s="2">
        <f t="shared" ca="1" si="1972"/>
        <v>2946584.3894200246</v>
      </c>
      <c r="BA2020" s="2">
        <f t="shared" ca="1" si="1973"/>
        <v>56108490.941136874</v>
      </c>
      <c r="BB2020" s="2">
        <f t="shared" ca="1" si="1974"/>
        <v>1122169.8188227376</v>
      </c>
      <c r="BC2020" s="2">
        <f t="shared" ca="1" si="1975"/>
        <v>30738858.993773911</v>
      </c>
      <c r="BD2020" s="2">
        <f t="shared" ca="1" si="1976"/>
        <v>-17675285.674382661</v>
      </c>
      <c r="BE2020" s="2">
        <f t="shared" ca="1" si="1977"/>
        <v>2370587.3520608512</v>
      </c>
      <c r="BF2020" s="2">
        <f t="shared" ca="1" si="1978"/>
        <v>2597070.6227603466</v>
      </c>
      <c r="BG2020" s="2">
        <f t="shared" ca="1" si="1979"/>
        <v>2710493.4535616008</v>
      </c>
      <c r="BH2020" s="2">
        <f t="shared" ca="1" si="1980"/>
        <v>2826970.6258575129</v>
      </c>
      <c r="BI2020" s="2">
        <f t="shared" ca="1" si="1981"/>
        <v>33685443.383193932</v>
      </c>
      <c r="BJ2020" s="2">
        <f t="shared" ca="1" si="1982"/>
        <v>0.24057486546590523</v>
      </c>
      <c r="BK2020" s="2">
        <f t="shared" ca="1" si="1983"/>
        <v>9351570.8400410339</v>
      </c>
    </row>
    <row r="2021" spans="1:63" x14ac:dyDescent="0.3">
      <c r="A2021" s="2">
        <v>2020</v>
      </c>
      <c r="B2021" s="2">
        <f t="shared" ca="1" si="1922"/>
        <v>0.1120369012699759</v>
      </c>
      <c r="C2021" s="2">
        <f t="shared" ca="1" si="1923"/>
        <v>6.4733643443901876</v>
      </c>
      <c r="D2021" s="2">
        <f t="shared" ca="1" si="1924"/>
        <v>0.65047059463718737</v>
      </c>
      <c r="E2021" s="2">
        <f t="shared" ca="1" si="1925"/>
        <v>7.6639026308344071</v>
      </c>
      <c r="F2021" s="2">
        <f t="shared" ca="1" si="1926"/>
        <v>0.54934341233362582</v>
      </c>
      <c r="G2021" s="2">
        <f t="shared" ca="1" si="1927"/>
        <v>4.3720079557975806E-2</v>
      </c>
      <c r="H2021" s="2">
        <f t="shared" ca="1" si="1928"/>
        <v>4.3720079557975806E-2</v>
      </c>
      <c r="I2021" s="2">
        <f t="shared" ca="1" si="1929"/>
        <v>0.68348982615699594</v>
      </c>
      <c r="J2021" s="2">
        <f t="shared" ca="1" si="1930"/>
        <v>1.2387400081191035E-2</v>
      </c>
      <c r="K2021" s="2">
        <f t="shared" ca="1" si="1931"/>
        <v>1.2387400081191035E-2</v>
      </c>
      <c r="L2021" s="2">
        <f t="shared" ca="1" si="1932"/>
        <v>0.31254509188434676</v>
      </c>
      <c r="M2021" s="2">
        <f t="shared" ca="1" si="1933"/>
        <v>-9.7729809123553793E-3</v>
      </c>
      <c r="N2021" s="2">
        <f t="shared" ca="1" si="1934"/>
        <v>-9.7729809123553793E-3</v>
      </c>
      <c r="O2021" s="2">
        <f t="shared" si="1935"/>
        <v>6000000</v>
      </c>
      <c r="P2021" s="2">
        <f t="shared" ca="1" si="1936"/>
        <v>38840186.066341124</v>
      </c>
      <c r="Q2021" s="2">
        <f t="shared" ca="1" si="1937"/>
        <v>971004.65165852814</v>
      </c>
      <c r="R2021" s="2">
        <f t="shared" ca="1" si="1938"/>
        <v>23304111.639804672</v>
      </c>
      <c r="S2021" s="2">
        <f t="shared" ca="1" si="1939"/>
        <v>15536074.42653645</v>
      </c>
      <c r="T2021" s="2">
        <f t="shared" ca="1" si="1940"/>
        <v>49511350.954382233</v>
      </c>
      <c r="U2021" s="2">
        <f t="shared" ca="1" si="1941"/>
        <v>51675991.157130681</v>
      </c>
      <c r="V2021" s="2">
        <f t="shared" ca="1" si="1942"/>
        <v>53935269.601757683</v>
      </c>
      <c r="W2021" s="2">
        <f t="shared" ca="1" si="1943"/>
        <v>56293323.879727401</v>
      </c>
      <c r="X2021" s="2">
        <f t="shared" ca="1" si="1944"/>
        <v>58754472.478331976</v>
      </c>
      <c r="Y2021" s="2">
        <f t="shared" ca="1" si="1945"/>
        <v>0.12619370004059552</v>
      </c>
      <c r="Z2021" s="2">
        <f t="shared" ca="1" si="1946"/>
        <v>0.12867118005683373</v>
      </c>
      <c r="AA2021" s="2">
        <f t="shared" ca="1" si="1947"/>
        <v>6248020.5709419642</v>
      </c>
      <c r="AB2021" s="2">
        <f t="shared" ca="1" si="1948"/>
        <v>6649210.7627945095</v>
      </c>
      <c r="AC2021" s="2">
        <f t="shared" ca="1" si="1949"/>
        <v>6939914.7863416336</v>
      </c>
      <c r="AD2021" s="2">
        <f t="shared" ca="1" si="1950"/>
        <v>7243328.412926062</v>
      </c>
      <c r="AE2021" s="2">
        <f t="shared" ca="1" si="1951"/>
        <v>7560007.3074037358</v>
      </c>
      <c r="AF2021" s="2">
        <f t="shared" ca="1" si="1952"/>
        <v>990227.01908764464</v>
      </c>
      <c r="AG2021" s="2">
        <f t="shared" ca="1" si="1953"/>
        <v>1033519.8231426136</v>
      </c>
      <c r="AH2021" s="2">
        <f t="shared" ca="1" si="1954"/>
        <v>1078705.3920351537</v>
      </c>
      <c r="AI2021" s="2">
        <f t="shared" ca="1" si="1955"/>
        <v>1125866.4775945481</v>
      </c>
      <c r="AJ2021" s="2">
        <f t="shared" ca="1" si="1956"/>
        <v>1175089.4495666395</v>
      </c>
      <c r="AK2021" s="2">
        <f t="shared" ca="1" si="1957"/>
        <v>0</v>
      </c>
      <c r="AL2021" s="2">
        <f t="shared" ca="1" si="1958"/>
        <v>21646.402027484477</v>
      </c>
      <c r="AM2021" s="2">
        <f t="shared" ca="1" si="1959"/>
        <v>22592.78444627002</v>
      </c>
      <c r="AN2021" s="2">
        <f t="shared" ca="1" si="1960"/>
        <v>23580.542779697182</v>
      </c>
      <c r="AO2021" s="2">
        <f t="shared" ca="1" si="1961"/>
        <v>24611.485986045747</v>
      </c>
      <c r="AP2021" s="2">
        <f t="shared" ca="1" si="1962"/>
        <v>2097370.0475824205</v>
      </c>
      <c r="AQ2021" s="2">
        <f t="shared" ca="1" si="1963"/>
        <v>821710.11111069389</v>
      </c>
      <c r="AR2021" s="2">
        <f t="shared" ca="1" si="1964"/>
        <v>914763.4319380637</v>
      </c>
      <c r="AS2021" s="2">
        <f t="shared" ca="1" si="1965"/>
        <v>978598.23014825548</v>
      </c>
      <c r="AT2021" s="2">
        <f t="shared" ca="1" si="1966"/>
        <v>1045223.8908147644</v>
      </c>
      <c r="AU2021" s="2">
        <f t="shared" ca="1" si="1967"/>
        <v>1114762.4306662157</v>
      </c>
      <c r="AV2021" s="2">
        <f t="shared" ca="1" si="1968"/>
        <v>2338713.3931612056</v>
      </c>
      <c r="AW2021" s="2">
        <f t="shared" ca="1" si="1969"/>
        <v>2581911.0581039283</v>
      </c>
      <c r="AX2021" s="2">
        <f t="shared" ca="1" si="1970"/>
        <v>2762648.3321295334</v>
      </c>
      <c r="AY2021" s="2">
        <f t="shared" ca="1" si="1971"/>
        <v>2951287.4541546321</v>
      </c>
      <c r="AZ2021" s="2">
        <f t="shared" ca="1" si="1972"/>
        <v>3148173.8936024141</v>
      </c>
      <c r="BA2021" s="2">
        <f t="shared" ca="1" si="1973"/>
        <v>57939159.892338835</v>
      </c>
      <c r="BB2021" s="2">
        <f t="shared" ca="1" si="1974"/>
        <v>1158783.1978467768</v>
      </c>
      <c r="BC2021" s="2">
        <f t="shared" ca="1" si="1975"/>
        <v>33476265.054687388</v>
      </c>
      <c r="BD2021" s="2">
        <f t="shared" ca="1" si="1976"/>
        <v>-17007079.078194976</v>
      </c>
      <c r="BE2021" s="2">
        <f t="shared" ca="1" si="1977"/>
        <v>2338713.3931612056</v>
      </c>
      <c r="BF2021" s="2">
        <f t="shared" ca="1" si="1978"/>
        <v>2581911.0581039283</v>
      </c>
      <c r="BG2021" s="2">
        <f t="shared" ca="1" si="1979"/>
        <v>2762648.3321295334</v>
      </c>
      <c r="BH2021" s="2">
        <f t="shared" ca="1" si="1980"/>
        <v>2951287.4541546321</v>
      </c>
      <c r="BI2021" s="2">
        <f t="shared" ca="1" si="1981"/>
        <v>36624438.948289804</v>
      </c>
      <c r="BJ2021" s="2">
        <f t="shared" ca="1" si="1982"/>
        <v>0.27007022690204185</v>
      </c>
      <c r="BK2021" s="2">
        <f t="shared" ca="1" si="1983"/>
        <v>11763026.848921385</v>
      </c>
    </row>
    <row r="2022" spans="1:63" x14ac:dyDescent="0.3">
      <c r="A2022" s="2">
        <v>2021</v>
      </c>
      <c r="B2022" s="2">
        <f t="shared" ca="1" si="1922"/>
        <v>0.11604635739416647</v>
      </c>
      <c r="C2022" s="2">
        <f t="shared" ca="1" si="1923"/>
        <v>6.481760017839103</v>
      </c>
      <c r="D2022" s="2">
        <f t="shared" ca="1" si="1924"/>
        <v>7.2077753474331097E-3</v>
      </c>
      <c r="E2022" s="2">
        <f t="shared" ca="1" si="1925"/>
        <v>6.6200647770783183</v>
      </c>
      <c r="F2022" s="2">
        <f t="shared" ca="1" si="1926"/>
        <v>0.4337603610853441</v>
      </c>
      <c r="G2022" s="2">
        <f t="shared" ca="1" si="1927"/>
        <v>3.4995744687586997E-2</v>
      </c>
      <c r="H2022" s="2">
        <f t="shared" ca="1" si="1928"/>
        <v>3.4995744687586997E-2</v>
      </c>
      <c r="I2022" s="2">
        <f t="shared" ca="1" si="1929"/>
        <v>4.7722174303447495E-2</v>
      </c>
      <c r="J2022" s="2">
        <f t="shared" ca="1" si="1930"/>
        <v>1.6632378917685649E-3</v>
      </c>
      <c r="K2022" s="2">
        <f t="shared" ca="1" si="1931"/>
        <v>1.6632378917685649E-3</v>
      </c>
      <c r="L2022" s="2">
        <f t="shared" ca="1" si="1932"/>
        <v>0.79489736175513059</v>
      </c>
      <c r="M2022" s="2">
        <f t="shared" ca="1" si="1933"/>
        <v>1.6470648831314848E-2</v>
      </c>
      <c r="N2022" s="2">
        <f t="shared" ca="1" si="1934"/>
        <v>1.6470648831314848E-2</v>
      </c>
      <c r="O2022" s="2">
        <f t="shared" si="1935"/>
        <v>6000000</v>
      </c>
      <c r="P2022" s="2">
        <f t="shared" ca="1" si="1936"/>
        <v>38890560.107034616</v>
      </c>
      <c r="Q2022" s="2">
        <f t="shared" ca="1" si="1937"/>
        <v>972264.00267586543</v>
      </c>
      <c r="R2022" s="2">
        <f t="shared" ca="1" si="1938"/>
        <v>23334336.064220767</v>
      </c>
      <c r="S2022" s="2">
        <f t="shared" ca="1" si="1939"/>
        <v>15556224.042813847</v>
      </c>
      <c r="T2022" s="2">
        <f t="shared" ca="1" si="1940"/>
        <v>50823532.441565745</v>
      </c>
      <c r="U2022" s="2">
        <f t="shared" ca="1" si="1941"/>
        <v>52602139.807012074</v>
      </c>
      <c r="V2022" s="2">
        <f t="shared" ca="1" si="1942"/>
        <v>54442990.861719027</v>
      </c>
      <c r="W2022" s="2">
        <f t="shared" ca="1" si="1943"/>
        <v>56348263.869944379</v>
      </c>
      <c r="X2022" s="2">
        <f t="shared" ca="1" si="1944"/>
        <v>58320213.325925738</v>
      </c>
      <c r="Y2022" s="2">
        <f t="shared" ca="1" si="1945"/>
        <v>0.12083161894588428</v>
      </c>
      <c r="Z2022" s="2">
        <f t="shared" ca="1" si="1946"/>
        <v>0.12116426652423799</v>
      </c>
      <c r="AA2022" s="2">
        <f t="shared" ca="1" si="1947"/>
        <v>6141089.7054630592</v>
      </c>
      <c r="AB2022" s="2">
        <f t="shared" ca="1" si="1948"/>
        <v>6373499.6873220401</v>
      </c>
      <c r="AC2022" s="2">
        <f t="shared" ca="1" si="1949"/>
        <v>6596545.055145978</v>
      </c>
      <c r="AD2022" s="2">
        <f t="shared" ca="1" si="1950"/>
        <v>6827396.0617160313</v>
      </c>
      <c r="AE2022" s="2">
        <f t="shared" ca="1" si="1951"/>
        <v>7066325.8711728826</v>
      </c>
      <c r="AF2022" s="2">
        <f t="shared" ca="1" si="1952"/>
        <v>1016470.6488313149</v>
      </c>
      <c r="AG2022" s="2">
        <f t="shared" ca="1" si="1953"/>
        <v>1052042.7961402414</v>
      </c>
      <c r="AH2022" s="2">
        <f t="shared" ca="1" si="1954"/>
        <v>1088859.8172343806</v>
      </c>
      <c r="AI2022" s="2">
        <f t="shared" ca="1" si="1955"/>
        <v>1126965.2773988876</v>
      </c>
      <c r="AJ2022" s="2">
        <f t="shared" ca="1" si="1956"/>
        <v>1166404.2665185148</v>
      </c>
      <c r="AK2022" s="2">
        <f t="shared" ca="1" si="1957"/>
        <v>0</v>
      </c>
      <c r="AL2022" s="2">
        <f t="shared" ca="1" si="1958"/>
        <v>17786.073654463293</v>
      </c>
      <c r="AM2022" s="2">
        <f t="shared" ca="1" si="1959"/>
        <v>18408.510547069534</v>
      </c>
      <c r="AN2022" s="2">
        <f t="shared" ca="1" si="1960"/>
        <v>19052.730082253514</v>
      </c>
      <c r="AO2022" s="2">
        <f t="shared" ca="1" si="1961"/>
        <v>19719.494559813589</v>
      </c>
      <c r="AP2022" s="2">
        <f t="shared" ca="1" si="1962"/>
        <v>2100090.2457798691</v>
      </c>
      <c r="AQ2022" s="2">
        <f t="shared" ca="1" si="1963"/>
        <v>786377.4908214875</v>
      </c>
      <c r="AR2022" s="2">
        <f t="shared" ca="1" si="1964"/>
        <v>837555.32780450175</v>
      </c>
      <c r="AS2022" s="2">
        <f t="shared" ca="1" si="1965"/>
        <v>885974.69795424922</v>
      </c>
      <c r="AT2022" s="2">
        <f t="shared" ca="1" si="1966"/>
        <v>936088.54001969134</v>
      </c>
      <c r="AU2022" s="2">
        <f t="shared" ca="1" si="1967"/>
        <v>987956.15330736979</v>
      </c>
      <c r="AV2022" s="2">
        <f t="shared" ca="1" si="1968"/>
        <v>2238151.3200303875</v>
      </c>
      <c r="AW2022" s="2">
        <f t="shared" ca="1" si="1969"/>
        <v>2366025.2439429639</v>
      </c>
      <c r="AX2022" s="2">
        <f t="shared" ca="1" si="1970"/>
        <v>2503211.7836304083</v>
      </c>
      <c r="AY2022" s="2">
        <f t="shared" ca="1" si="1971"/>
        <v>2645199.2684353292</v>
      </c>
      <c r="AZ2022" s="2">
        <f t="shared" ca="1" si="1972"/>
        <v>2792155.7110073157</v>
      </c>
      <c r="BA2022" s="2">
        <f t="shared" ca="1" si="1973"/>
        <v>46779535.003108859</v>
      </c>
      <c r="BB2022" s="2">
        <f t="shared" ca="1" si="1974"/>
        <v>935590.70006217714</v>
      </c>
      <c r="BC2022" s="2">
        <f t="shared" ca="1" si="1975"/>
        <v>22509608.238825914</v>
      </c>
      <c r="BD2022" s="2">
        <f t="shared" ca="1" si="1976"/>
        <v>-17028488.045489714</v>
      </c>
      <c r="BE2022" s="2">
        <f t="shared" ca="1" si="1977"/>
        <v>2238151.3200303875</v>
      </c>
      <c r="BF2022" s="2">
        <f t="shared" ca="1" si="1978"/>
        <v>2366025.2439429639</v>
      </c>
      <c r="BG2022" s="2">
        <f t="shared" ca="1" si="1979"/>
        <v>2503211.7836304083</v>
      </c>
      <c r="BH2022" s="2">
        <f t="shared" ca="1" si="1980"/>
        <v>2645199.2684353292</v>
      </c>
      <c r="BI2022" s="2">
        <f t="shared" ca="1" si="1981"/>
        <v>25301763.949833229</v>
      </c>
      <c r="BJ2022" s="2">
        <f t="shared" ca="1" si="1982"/>
        <v>0.18878360706573916</v>
      </c>
      <c r="BK2022" s="2">
        <f t="shared" ca="1" si="1983"/>
        <v>4675751.20794091</v>
      </c>
    </row>
    <row r="2023" spans="1:63" x14ac:dyDescent="0.3">
      <c r="A2023" s="2">
        <v>2022</v>
      </c>
      <c r="B2023" s="2">
        <f t="shared" ca="1" si="1922"/>
        <v>3.195723178319998E-2</v>
      </c>
      <c r="C2023" s="2">
        <f t="shared" ca="1" si="1923"/>
        <v>6.2528131000688054</v>
      </c>
      <c r="D2023" s="2">
        <f t="shared" ca="1" si="1924"/>
        <v>0.91926144906293317</v>
      </c>
      <c r="E2023" s="2">
        <f t="shared" ca="1" si="1925"/>
        <v>8.0981578644863959</v>
      </c>
      <c r="F2023" s="2">
        <f t="shared" ca="1" si="1926"/>
        <v>0.60766619216671802</v>
      </c>
      <c r="G2023" s="2">
        <f t="shared" ca="1" si="1927"/>
        <v>4.8197243642913223E-2</v>
      </c>
      <c r="H2023" s="2">
        <f t="shared" ca="1" si="1928"/>
        <v>4.8197243642913223E-2</v>
      </c>
      <c r="I2023" s="2">
        <f t="shared" ca="1" si="1929"/>
        <v>0.20173083446124251</v>
      </c>
      <c r="J2023" s="2">
        <f t="shared" ca="1" si="1930"/>
        <v>5.8227258463098806E-3</v>
      </c>
      <c r="K2023" s="2">
        <f t="shared" ca="1" si="1931"/>
        <v>5.8227258463098806E-3</v>
      </c>
      <c r="L2023" s="2">
        <f t="shared" ca="1" si="1932"/>
        <v>0.12148264816178889</v>
      </c>
      <c r="M2023" s="2">
        <f t="shared" ca="1" si="1933"/>
        <v>-2.3352141436819691E-2</v>
      </c>
      <c r="N2023" s="2">
        <f t="shared" ca="1" si="1934"/>
        <v>-2.3352141436819691E-2</v>
      </c>
      <c r="O2023" s="2">
        <f t="shared" si="1935"/>
        <v>6000000</v>
      </c>
      <c r="P2023" s="2">
        <f t="shared" ca="1" si="1936"/>
        <v>37516878.600412831</v>
      </c>
      <c r="Q2023" s="2">
        <f t="shared" ca="1" si="1937"/>
        <v>937921.96501032077</v>
      </c>
      <c r="R2023" s="2">
        <f t="shared" ca="1" si="1938"/>
        <v>22510127.160247698</v>
      </c>
      <c r="S2023" s="2">
        <f t="shared" ca="1" si="1939"/>
        <v>15006751.440165132</v>
      </c>
      <c r="T2023" s="2">
        <f t="shared" ca="1" si="1940"/>
        <v>48832392.928159013</v>
      </c>
      <c r="U2023" s="2">
        <f t="shared" ca="1" si="1941"/>
        <v>51185979.667783968</v>
      </c>
      <c r="V2023" s="2">
        <f t="shared" ca="1" si="1942"/>
        <v>53653002.800933354</v>
      </c>
      <c r="W2023" s="2">
        <f t="shared" ca="1" si="1943"/>
        <v>56238929.649103843</v>
      </c>
      <c r="X2023" s="2">
        <f t="shared" ca="1" si="1944"/>
        <v>58949491.043618359</v>
      </c>
      <c r="Y2023" s="2">
        <f t="shared" ca="1" si="1945"/>
        <v>0.12291136292315494</v>
      </c>
      <c r="Z2023" s="2">
        <f t="shared" ca="1" si="1946"/>
        <v>0.12407590809241691</v>
      </c>
      <c r="AA2023" s="2">
        <f t="shared" ca="1" si="1947"/>
        <v>6002055.969599057</v>
      </c>
      <c r="AB2023" s="2">
        <f t="shared" ca="1" si="1948"/>
        <v>6350946.9088802841</v>
      </c>
      <c r="AC2023" s="2">
        <f t="shared" ca="1" si="1949"/>
        <v>6657045.044410794</v>
      </c>
      <c r="AD2023" s="2">
        <f t="shared" ca="1" si="1950"/>
        <v>6977896.2663581083</v>
      </c>
      <c r="AE2023" s="2">
        <f t="shared" ca="1" si="1951"/>
        <v>7314211.6328227455</v>
      </c>
      <c r="AF2023" s="2">
        <f t="shared" ca="1" si="1952"/>
        <v>976647.85856318031</v>
      </c>
      <c r="AG2023" s="2">
        <f t="shared" ca="1" si="1953"/>
        <v>1023719.5933556794</v>
      </c>
      <c r="AH2023" s="2">
        <f t="shared" ca="1" si="1954"/>
        <v>1073060.0560186671</v>
      </c>
      <c r="AI2023" s="2">
        <f t="shared" ca="1" si="1955"/>
        <v>1124778.5929820768</v>
      </c>
      <c r="AJ2023" s="2">
        <f t="shared" ca="1" si="1956"/>
        <v>1178989.8208723671</v>
      </c>
      <c r="AK2023" s="2">
        <f t="shared" ca="1" si="1957"/>
        <v>0</v>
      </c>
      <c r="AL2023" s="2">
        <f t="shared" ca="1" si="1958"/>
        <v>23535.867396249549</v>
      </c>
      <c r="AM2023" s="2">
        <f t="shared" ca="1" si="1959"/>
        <v>24670.231331493855</v>
      </c>
      <c r="AN2023" s="2">
        <f t="shared" ca="1" si="1960"/>
        <v>25859.26848170489</v>
      </c>
      <c r="AO2023" s="2">
        <f t="shared" ca="1" si="1961"/>
        <v>27105.61394514516</v>
      </c>
      <c r="AP2023" s="2">
        <f t="shared" ca="1" si="1962"/>
        <v>2025911.4444222928</v>
      </c>
      <c r="AQ2023" s="2">
        <f t="shared" ca="1" si="1963"/>
        <v>779869.13331953192</v>
      </c>
      <c r="AR2023" s="2">
        <f t="shared" ca="1" si="1964"/>
        <v>858342.12648660108</v>
      </c>
      <c r="AS2023" s="2">
        <f t="shared" ca="1" si="1965"/>
        <v>925099.12143215688</v>
      </c>
      <c r="AT2023" s="2">
        <f t="shared" ca="1" si="1966"/>
        <v>995073.61952797207</v>
      </c>
      <c r="AU2023" s="2">
        <f t="shared" ca="1" si="1967"/>
        <v>1068420.6955573023</v>
      </c>
      <c r="AV2023" s="2">
        <f t="shared" ca="1" si="1968"/>
        <v>2219627.5332940528</v>
      </c>
      <c r="AW2023" s="2">
        <f t="shared" ca="1" si="1969"/>
        <v>2419437.8772194609</v>
      </c>
      <c r="AX2023" s="2">
        <f t="shared" ca="1" si="1970"/>
        <v>2608304.1912061833</v>
      </c>
      <c r="AY2023" s="2">
        <f t="shared" ca="1" si="1971"/>
        <v>2806273.3409440611</v>
      </c>
      <c r="AZ2023" s="2">
        <f t="shared" ca="1" si="1972"/>
        <v>3013784.0580256386</v>
      </c>
      <c r="BA2023" s="2">
        <f t="shared" ca="1" si="1973"/>
        <v>59231640.456861399</v>
      </c>
      <c r="BB2023" s="2">
        <f t="shared" ca="1" si="1974"/>
        <v>1184632.8091372279</v>
      </c>
      <c r="BC2023" s="2">
        <f t="shared" ca="1" si="1975"/>
        <v>35536880.487476476</v>
      </c>
      <c r="BD2023" s="2">
        <f t="shared" ca="1" si="1976"/>
        <v>-16444673.405175453</v>
      </c>
      <c r="BE2023" s="2">
        <f t="shared" ca="1" si="1977"/>
        <v>2219627.5332940528</v>
      </c>
      <c r="BF2023" s="2">
        <f t="shared" ca="1" si="1978"/>
        <v>2419437.8772194609</v>
      </c>
      <c r="BG2023" s="2">
        <f t="shared" ca="1" si="1979"/>
        <v>2608304.1912061833</v>
      </c>
      <c r="BH2023" s="2">
        <f t="shared" ca="1" si="1980"/>
        <v>2806273.3409440611</v>
      </c>
      <c r="BI2023" s="2">
        <f t="shared" ca="1" si="1981"/>
        <v>38550664.545502111</v>
      </c>
      <c r="BJ2023" s="2">
        <f t="shared" ca="1" si="1982"/>
        <v>0.28518188424226065</v>
      </c>
      <c r="BK2023" s="2">
        <f t="shared" ca="1" si="1983"/>
        <v>12980557.168864625</v>
      </c>
    </row>
    <row r="2024" spans="1:63" x14ac:dyDescent="0.3">
      <c r="A2024" s="2">
        <v>2023</v>
      </c>
      <c r="B2024" s="2">
        <f t="shared" ca="1" si="1922"/>
        <v>0.20214430498703195</v>
      </c>
      <c r="C2024" s="2">
        <f t="shared" ca="1" si="1923"/>
        <v>6.6358369366229555</v>
      </c>
      <c r="D2024" s="2">
        <f t="shared" ca="1" si="1924"/>
        <v>0.46819529068056687</v>
      </c>
      <c r="E2024" s="2">
        <f t="shared" ca="1" si="1925"/>
        <v>7.4676727656398798</v>
      </c>
      <c r="F2024" s="2">
        <f t="shared" ca="1" si="1926"/>
        <v>0.41992929562946391</v>
      </c>
      <c r="G2024" s="2">
        <f t="shared" ca="1" si="1927"/>
        <v>3.3937769166880856E-2</v>
      </c>
      <c r="H2024" s="2">
        <f t="shared" ca="1" si="1928"/>
        <v>3.3937769166880856E-2</v>
      </c>
      <c r="I2024" s="2">
        <f t="shared" ca="1" si="1929"/>
        <v>1.3769317723488106E-2</v>
      </c>
      <c r="J2024" s="2">
        <f t="shared" ca="1" si="1930"/>
        <v>-1.0189841626380459E-3</v>
      </c>
      <c r="K2024" s="2">
        <f t="shared" ca="1" si="1931"/>
        <v>0</v>
      </c>
      <c r="L2024" s="2">
        <f t="shared" ca="1" si="1932"/>
        <v>0.79795581578425112</v>
      </c>
      <c r="M2024" s="2">
        <f t="shared" ca="1" si="1933"/>
        <v>1.6686837242144939E-2</v>
      </c>
      <c r="N2024" s="2">
        <f t="shared" ca="1" si="1934"/>
        <v>1.6686837242144939E-2</v>
      </c>
      <c r="O2024" s="2">
        <f t="shared" si="1935"/>
        <v>6000000</v>
      </c>
      <c r="P2024" s="2">
        <f t="shared" ca="1" si="1936"/>
        <v>39815021.619737729</v>
      </c>
      <c r="Q2024" s="2">
        <f t="shared" ca="1" si="1937"/>
        <v>995375.54049344326</v>
      </c>
      <c r="R2024" s="2">
        <f t="shared" ca="1" si="1938"/>
        <v>23889012.971842635</v>
      </c>
      <c r="S2024" s="2">
        <f t="shared" ca="1" si="1939"/>
        <v>15926008.647895092</v>
      </c>
      <c r="T2024" s="2">
        <f t="shared" ca="1" si="1940"/>
        <v>50834341.862107247</v>
      </c>
      <c r="U2024" s="2">
        <f t="shared" ca="1" si="1941"/>
        <v>52559546.021973759</v>
      </c>
      <c r="V2024" s="2">
        <f t="shared" ca="1" si="1942"/>
        <v>54343299.762383558</v>
      </c>
      <c r="W2024" s="2">
        <f t="shared" ca="1" si="1943"/>
        <v>56187590.125485949</v>
      </c>
      <c r="X2024" s="2">
        <f t="shared" ca="1" si="1944"/>
        <v>58094471.589208014</v>
      </c>
      <c r="Y2024" s="2">
        <f t="shared" ca="1" si="1945"/>
        <v>0.12</v>
      </c>
      <c r="Z2024" s="2">
        <f t="shared" ca="1" si="1946"/>
        <v>0.12</v>
      </c>
      <c r="AA2024" s="2">
        <f t="shared" ca="1" si="1947"/>
        <v>6100121.0234528696</v>
      </c>
      <c r="AB2024" s="2">
        <f t="shared" ca="1" si="1948"/>
        <v>6307145.5226368513</v>
      </c>
      <c r="AC2024" s="2">
        <f t="shared" ca="1" si="1949"/>
        <v>6521195.9714860264</v>
      </c>
      <c r="AD2024" s="2">
        <f t="shared" ca="1" si="1950"/>
        <v>6742510.8150583133</v>
      </c>
      <c r="AE2024" s="2">
        <f t="shared" ca="1" si="1951"/>
        <v>6971336.5907049617</v>
      </c>
      <c r="AF2024" s="2">
        <f t="shared" ca="1" si="1952"/>
        <v>1016686.837242145</v>
      </c>
      <c r="AG2024" s="2">
        <f t="shared" ca="1" si="1953"/>
        <v>1051190.9204394752</v>
      </c>
      <c r="AH2024" s="2">
        <f t="shared" ca="1" si="1954"/>
        <v>1086865.9952476711</v>
      </c>
      <c r="AI2024" s="2">
        <f t="shared" ca="1" si="1955"/>
        <v>1123751.802509719</v>
      </c>
      <c r="AJ2024" s="2">
        <f t="shared" ca="1" si="1956"/>
        <v>1161889.4317841602</v>
      </c>
      <c r="AK2024" s="2">
        <f t="shared" ca="1" si="1957"/>
        <v>0</v>
      </c>
      <c r="AL2024" s="2">
        <f t="shared" ca="1" si="1958"/>
        <v>17252.041598665117</v>
      </c>
      <c r="AM2024" s="2">
        <f t="shared" ca="1" si="1959"/>
        <v>17837.537404097991</v>
      </c>
      <c r="AN2024" s="2">
        <f t="shared" ca="1" si="1960"/>
        <v>18442.903631023913</v>
      </c>
      <c r="AO2024" s="2">
        <f t="shared" ca="1" si="1961"/>
        <v>19068.81463722065</v>
      </c>
      <c r="AP2024" s="2">
        <f t="shared" ca="1" si="1962"/>
        <v>2150011.1674658372</v>
      </c>
      <c r="AQ2024" s="2">
        <f t="shared" ca="1" si="1963"/>
        <v>762689.98487367074</v>
      </c>
      <c r="AR2024" s="2">
        <f t="shared" ca="1" si="1964"/>
        <v>807545.29303020018</v>
      </c>
      <c r="AS2024" s="2">
        <f t="shared" ca="1" si="1965"/>
        <v>853922.89028085466</v>
      </c>
      <c r="AT2024" s="2">
        <f t="shared" ca="1" si="1966"/>
        <v>901874.4397215168</v>
      </c>
      <c r="AU2024" s="2">
        <f t="shared" ca="1" si="1967"/>
        <v>951453.35777829064</v>
      </c>
      <c r="AV2024" s="2">
        <f t="shared" ca="1" si="1968"/>
        <v>2170733.0338712162</v>
      </c>
      <c r="AW2024" s="2">
        <f t="shared" ca="1" si="1969"/>
        <v>2281146.1001026728</v>
      </c>
      <c r="AX2024" s="2">
        <f t="shared" ca="1" si="1970"/>
        <v>2412558.3810875653</v>
      </c>
      <c r="AY2024" s="2">
        <f t="shared" ca="1" si="1971"/>
        <v>2548430.5017302153</v>
      </c>
      <c r="AZ2024" s="2">
        <f t="shared" ca="1" si="1972"/>
        <v>2688913.8190394533</v>
      </c>
      <c r="BA2024" s="2">
        <f t="shared" ca="1" si="1973"/>
        <v>52059660.398516215</v>
      </c>
      <c r="BB2024" s="2">
        <f t="shared" ca="1" si="1974"/>
        <v>1041193.2079703243</v>
      </c>
      <c r="BC2024" s="2">
        <f t="shared" ca="1" si="1975"/>
        <v>27129454.218703255</v>
      </c>
      <c r="BD2024" s="2">
        <f t="shared" ca="1" si="1976"/>
        <v>-17421384.188388534</v>
      </c>
      <c r="BE2024" s="2">
        <f t="shared" ca="1" si="1977"/>
        <v>2170733.0338712162</v>
      </c>
      <c r="BF2024" s="2">
        <f t="shared" ca="1" si="1978"/>
        <v>2281146.1001026728</v>
      </c>
      <c r="BG2024" s="2">
        <f t="shared" ca="1" si="1979"/>
        <v>2412558.3810875653</v>
      </c>
      <c r="BH2024" s="2">
        <f t="shared" ca="1" si="1980"/>
        <v>2548430.5017302153</v>
      </c>
      <c r="BI2024" s="2">
        <f t="shared" ca="1" si="1981"/>
        <v>29818368.037742708</v>
      </c>
      <c r="BJ2024" s="2">
        <f t="shared" ca="1" si="1982"/>
        <v>0.20962022586720552</v>
      </c>
      <c r="BK2024" s="2">
        <f t="shared" ca="1" si="1983"/>
        <v>6591813.8870195709</v>
      </c>
    </row>
    <row r="2025" spans="1:63" x14ac:dyDescent="0.3">
      <c r="A2025" s="2">
        <v>2024</v>
      </c>
      <c r="B2025" s="2">
        <f t="shared" ca="1" si="1922"/>
        <v>0.34372339623955084</v>
      </c>
      <c r="C2025" s="2">
        <f t="shared" ca="1" si="1923"/>
        <v>6.8291241116256973</v>
      </c>
      <c r="D2025" s="2">
        <f t="shared" ca="1" si="1924"/>
        <v>0.22519114886763414</v>
      </c>
      <c r="E2025" s="2">
        <f t="shared" ca="1" si="1925"/>
        <v>7.1711052806641211</v>
      </c>
      <c r="F2025" s="2">
        <f t="shared" ca="1" si="1926"/>
        <v>0.99360366759075491</v>
      </c>
      <c r="G2025" s="2">
        <f t="shared" ca="1" si="1927"/>
        <v>0.11468468908812121</v>
      </c>
      <c r="H2025" s="2">
        <f t="shared" ca="1" si="1928"/>
        <v>0.11468468908812121</v>
      </c>
      <c r="I2025" s="2">
        <f t="shared" ca="1" si="1929"/>
        <v>0.91680453941670637</v>
      </c>
      <c r="J2025" s="2">
        <f t="shared" ca="1" si="1930"/>
        <v>1.6919469886857628E-2</v>
      </c>
      <c r="K2025" s="2">
        <f t="shared" ca="1" si="1931"/>
        <v>1.6919469886857628E-2</v>
      </c>
      <c r="L2025" s="2">
        <f t="shared" ca="1" si="1932"/>
        <v>8.3325078156100019E-2</v>
      </c>
      <c r="M2025" s="2">
        <f t="shared" ca="1" si="1933"/>
        <v>-2.7660959488476279E-2</v>
      </c>
      <c r="N2025" s="2">
        <f t="shared" ca="1" si="1934"/>
        <v>-2.7660959488476279E-2</v>
      </c>
      <c r="O2025" s="2">
        <f t="shared" si="1935"/>
        <v>6000000</v>
      </c>
      <c r="P2025" s="2">
        <f t="shared" ca="1" si="1936"/>
        <v>40974744.669754185</v>
      </c>
      <c r="Q2025" s="2">
        <f t="shared" ca="1" si="1937"/>
        <v>1024368.6167438547</v>
      </c>
      <c r="R2025" s="2">
        <f t="shared" ca="1" si="1938"/>
        <v>24584846.801852509</v>
      </c>
      <c r="S2025" s="2">
        <f t="shared" ca="1" si="1939"/>
        <v>16389897.867901675</v>
      </c>
      <c r="T2025" s="2">
        <f t="shared" ca="1" si="1940"/>
        <v>48616952.025576189</v>
      </c>
      <c r="U2025" s="2">
        <f t="shared" ca="1" si="1941"/>
        <v>54192572.053041503</v>
      </c>
      <c r="V2025" s="2">
        <f t="shared" ca="1" si="1942"/>
        <v>60407630.329830177</v>
      </c>
      <c r="W2025" s="2">
        <f t="shared" ca="1" si="1943"/>
        <v>67335460.632756919</v>
      </c>
      <c r="X2025" s="2">
        <f t="shared" ca="1" si="1944"/>
        <v>75057807.000030071</v>
      </c>
      <c r="Y2025" s="2">
        <f t="shared" ca="1" si="1945"/>
        <v>0.1284597349434288</v>
      </c>
      <c r="Z2025" s="2">
        <f t="shared" ca="1" si="1946"/>
        <v>0.13184362892080034</v>
      </c>
      <c r="AA2025" s="2">
        <f t="shared" ca="1" si="1947"/>
        <v>6245320.7709629107</v>
      </c>
      <c r="AB2025" s="2">
        <f t="shared" ca="1" si="1948"/>
        <v>7144945.3600249393</v>
      </c>
      <c r="AC2025" s="2">
        <f t="shared" ca="1" si="1949"/>
        <v>7964361.197191014</v>
      </c>
      <c r="AD2025" s="2">
        <f t="shared" ca="1" si="1950"/>
        <v>8877751.4848763626</v>
      </c>
      <c r="AE2025" s="2">
        <f t="shared" ca="1" si="1951"/>
        <v>9895893.6537210159</v>
      </c>
      <c r="AF2025" s="2">
        <f t="shared" ca="1" si="1952"/>
        <v>972339.04051152384</v>
      </c>
      <c r="AG2025" s="2">
        <f t="shared" ca="1" si="1953"/>
        <v>1083851.4410608301</v>
      </c>
      <c r="AH2025" s="2">
        <f t="shared" ca="1" si="1954"/>
        <v>1208152.6065966035</v>
      </c>
      <c r="AI2025" s="2">
        <f t="shared" ca="1" si="1955"/>
        <v>1346709.2126551385</v>
      </c>
      <c r="AJ2025" s="2">
        <f t="shared" ca="1" si="1956"/>
        <v>1501156.1400006015</v>
      </c>
      <c r="AK2025" s="2">
        <f t="shared" ca="1" si="1957"/>
        <v>0</v>
      </c>
      <c r="AL2025" s="2">
        <f t="shared" ca="1" si="1958"/>
        <v>55756.200274653136</v>
      </c>
      <c r="AM2025" s="2">
        <f t="shared" ca="1" si="1959"/>
        <v>62150.582767886743</v>
      </c>
      <c r="AN2025" s="2">
        <f t="shared" ca="1" si="1960"/>
        <v>69278.303029267423</v>
      </c>
      <c r="AO2025" s="2">
        <f t="shared" ca="1" si="1961"/>
        <v>77223.463672731523</v>
      </c>
      <c r="AP2025" s="2">
        <f t="shared" ca="1" si="1962"/>
        <v>2212636.2121667257</v>
      </c>
      <c r="AQ2025" s="2">
        <f t="shared" ca="1" si="1963"/>
        <v>795689.83475401183</v>
      </c>
      <c r="AR2025" s="2">
        <f t="shared" ca="1" si="1964"/>
        <v>1000599.0037673198</v>
      </c>
      <c r="AS2025" s="2">
        <f t="shared" ca="1" si="1965"/>
        <v>1181328.8183911983</v>
      </c>
      <c r="AT2025" s="2">
        <f t="shared" ca="1" si="1966"/>
        <v>1382785.5756141697</v>
      </c>
      <c r="AU2025" s="2">
        <f t="shared" ca="1" si="1967"/>
        <v>1607346.3384039588</v>
      </c>
      <c r="AV2025" s="2">
        <f t="shared" ca="1" si="1968"/>
        <v>2264655.6835306492</v>
      </c>
      <c r="AW2025" s="2">
        <f t="shared" ca="1" si="1969"/>
        <v>2792102.502755411</v>
      </c>
      <c r="AX2025" s="2">
        <f t="shared" ca="1" si="1970"/>
        <v>3300092.9772685999</v>
      </c>
      <c r="AY2025" s="2">
        <f t="shared" ca="1" si="1971"/>
        <v>3866342.1814110624</v>
      </c>
      <c r="AZ2025" s="2">
        <f t="shared" ca="1" si="1972"/>
        <v>4497531.4994769981</v>
      </c>
      <c r="BA2025" s="2">
        <f t="shared" ca="1" si="1973"/>
        <v>70964495.237089336</v>
      </c>
      <c r="BB2025" s="2">
        <f t="shared" ca="1" si="1974"/>
        <v>1419289.9047417867</v>
      </c>
      <c r="BC2025" s="2">
        <f t="shared" ca="1" si="1975"/>
        <v>44960358.53049504</v>
      </c>
      <c r="BD2025" s="2">
        <f t="shared" ca="1" si="1976"/>
        <v>-17914266.484645531</v>
      </c>
      <c r="BE2025" s="2">
        <f t="shared" ca="1" si="1977"/>
        <v>2264655.6835306492</v>
      </c>
      <c r="BF2025" s="2">
        <f t="shared" ca="1" si="1978"/>
        <v>2792102.502755411</v>
      </c>
      <c r="BG2025" s="2">
        <f t="shared" ca="1" si="1979"/>
        <v>3300092.9772685999</v>
      </c>
      <c r="BH2025" s="2">
        <f t="shared" ca="1" si="1980"/>
        <v>3866342.1814110624</v>
      </c>
      <c r="BI2025" s="2">
        <f t="shared" ca="1" si="1981"/>
        <v>49457890.029972039</v>
      </c>
      <c r="BJ2025" s="2">
        <f t="shared" ca="1" si="1982"/>
        <v>0.3280104554228489</v>
      </c>
      <c r="BK2025" s="2">
        <f t="shared" ca="1" si="1983"/>
        <v>19203400.920135058</v>
      </c>
    </row>
    <row r="2026" spans="1:63" x14ac:dyDescent="0.3">
      <c r="A2026" s="2">
        <v>2025</v>
      </c>
      <c r="B2026" s="2">
        <f t="shared" ca="1" si="1922"/>
        <v>0.25632133398432699</v>
      </c>
      <c r="C2026" s="2">
        <f t="shared" ca="1" si="1923"/>
        <v>6.715990689861715</v>
      </c>
      <c r="D2026" s="2">
        <f t="shared" ca="1" si="1924"/>
        <v>0.15562054575060613</v>
      </c>
      <c r="E2026" s="2">
        <f t="shared" ca="1" si="1925"/>
        <v>7.0578898560658834</v>
      </c>
      <c r="F2026" s="2">
        <f t="shared" ca="1" si="1926"/>
        <v>0.81843578794937888</v>
      </c>
      <c r="G2026" s="2">
        <f t="shared" ca="1" si="1927"/>
        <v>6.7282602531741745E-2</v>
      </c>
      <c r="H2026" s="2">
        <f t="shared" ca="1" si="1928"/>
        <v>6.7282602531741745E-2</v>
      </c>
      <c r="I2026" s="2">
        <f t="shared" ca="1" si="1929"/>
        <v>0.64551149175257416</v>
      </c>
      <c r="J2026" s="2">
        <f t="shared" ca="1" si="1930"/>
        <v>1.1866151702965289E-2</v>
      </c>
      <c r="K2026" s="2">
        <f t="shared" ca="1" si="1931"/>
        <v>1.1866151702965289E-2</v>
      </c>
      <c r="L2026" s="2">
        <f t="shared" ca="1" si="1932"/>
        <v>4.7133745150951811E-2</v>
      </c>
      <c r="M2026" s="2">
        <f t="shared" ca="1" si="1933"/>
        <v>-3.3466077470819235E-2</v>
      </c>
      <c r="N2026" s="2">
        <f t="shared" ca="1" si="1934"/>
        <v>-3.3466077470819235E-2</v>
      </c>
      <c r="O2026" s="2">
        <f t="shared" si="1935"/>
        <v>6000000</v>
      </c>
      <c r="P2026" s="2">
        <f t="shared" ca="1" si="1936"/>
        <v>40295944.139170289</v>
      </c>
      <c r="Q2026" s="2">
        <f t="shared" ca="1" si="1937"/>
        <v>1007398.6034792573</v>
      </c>
      <c r="R2026" s="2">
        <f t="shared" ca="1" si="1938"/>
        <v>24177566.483502172</v>
      </c>
      <c r="S2026" s="2">
        <f t="shared" ca="1" si="1939"/>
        <v>16118377.655668117</v>
      </c>
      <c r="T2026" s="2">
        <f t="shared" ca="1" si="1940"/>
        <v>48326696.12645904</v>
      </c>
      <c r="U2026" s="2">
        <f t="shared" ca="1" si="1941"/>
        <v>51578242.013607845</v>
      </c>
      <c r="V2026" s="2">
        <f t="shared" ca="1" si="1942"/>
        <v>55048560.370295398</v>
      </c>
      <c r="W2026" s="2">
        <f t="shared" ca="1" si="1943"/>
        <v>58752370.777634569</v>
      </c>
      <c r="X2026" s="2">
        <f t="shared" ca="1" si="1944"/>
        <v>62705383.188463673</v>
      </c>
      <c r="Y2026" s="2">
        <f t="shared" ca="1" si="1945"/>
        <v>0.12593307585148264</v>
      </c>
      <c r="Z2026" s="2">
        <f t="shared" ca="1" si="1946"/>
        <v>0.1283063061920757</v>
      </c>
      <c r="AA2026" s="2">
        <f t="shared" ca="1" si="1947"/>
        <v>6085929.4889449188</v>
      </c>
      <c r="AB2026" s="2">
        <f t="shared" ca="1" si="1948"/>
        <v>6617813.712646951</v>
      </c>
      <c r="AC2026" s="2">
        <f t="shared" ca="1" si="1949"/>
        <v>7063077.442304085</v>
      </c>
      <c r="AD2026" s="2">
        <f t="shared" ca="1" si="1950"/>
        <v>7538299.6745055411</v>
      </c>
      <c r="AE2026" s="2">
        <f t="shared" ca="1" si="1951"/>
        <v>8045496.0952704558</v>
      </c>
      <c r="AF2026" s="2">
        <f t="shared" ca="1" si="1952"/>
        <v>966533.92252918077</v>
      </c>
      <c r="AG2026" s="2">
        <f t="shared" ca="1" si="1953"/>
        <v>1031564.8402721569</v>
      </c>
      <c r="AH2026" s="2">
        <f t="shared" ca="1" si="1954"/>
        <v>1100971.207405908</v>
      </c>
      <c r="AI2026" s="2">
        <f t="shared" ca="1" si="1955"/>
        <v>1175047.4155526913</v>
      </c>
      <c r="AJ2026" s="2">
        <f t="shared" ca="1" si="1956"/>
        <v>1254107.6637692736</v>
      </c>
      <c r="AK2026" s="2">
        <f t="shared" ca="1" si="1957"/>
        <v>0</v>
      </c>
      <c r="AL2026" s="2">
        <f t="shared" ca="1" si="1958"/>
        <v>32515.458871488052</v>
      </c>
      <c r="AM2026" s="2">
        <f t="shared" ca="1" si="1959"/>
        <v>34703.18356687553</v>
      </c>
      <c r="AN2026" s="2">
        <f t="shared" ca="1" si="1960"/>
        <v>37038.104073391703</v>
      </c>
      <c r="AO2026" s="2">
        <f t="shared" ca="1" si="1961"/>
        <v>39530.124108291049</v>
      </c>
      <c r="AP2026" s="2">
        <f t="shared" ca="1" si="1962"/>
        <v>2175980.9835151955</v>
      </c>
      <c r="AQ2026" s="2">
        <f t="shared" ca="1" si="1963"/>
        <v>765287.79155414109</v>
      </c>
      <c r="AR2026" s="2">
        <f t="shared" ca="1" si="1964"/>
        <v>886669.65110349574</v>
      </c>
      <c r="AS2026" s="2">
        <f t="shared" ca="1" si="1965"/>
        <v>984392.56535957521</v>
      </c>
      <c r="AT2026" s="2">
        <f t="shared" ca="1" si="1966"/>
        <v>1088690.53161379</v>
      </c>
      <c r="AU2026" s="2">
        <f t="shared" ca="1" si="1967"/>
        <v>1200005.9364763563</v>
      </c>
      <c r="AV2026" s="2">
        <f t="shared" ca="1" si="1968"/>
        <v>2178126.7913464019</v>
      </c>
      <c r="AW2026" s="2">
        <f t="shared" ca="1" si="1969"/>
        <v>2491082.7788846148</v>
      </c>
      <c r="AX2026" s="2">
        <f t="shared" ca="1" si="1970"/>
        <v>2767029.5024565309</v>
      </c>
      <c r="AY2026" s="2">
        <f t="shared" ca="1" si="1971"/>
        <v>3061542.6397504732</v>
      </c>
      <c r="AZ2026" s="2">
        <f t="shared" ca="1" si="1972"/>
        <v>3375871.3874013387</v>
      </c>
      <c r="BA2026" s="2">
        <f t="shared" ca="1" si="1973"/>
        <v>56784225.277827024</v>
      </c>
      <c r="BB2026" s="2">
        <f t="shared" ca="1" si="1974"/>
        <v>1135684.5055565406</v>
      </c>
      <c r="BC2026" s="2">
        <f t="shared" ca="1" si="1975"/>
        <v>31470974.288768314</v>
      </c>
      <c r="BD2026" s="2">
        <f t="shared" ca="1" si="1976"/>
        <v>-17625776.259147376</v>
      </c>
      <c r="BE2026" s="2">
        <f t="shared" ca="1" si="1977"/>
        <v>2178126.7913464019</v>
      </c>
      <c r="BF2026" s="2">
        <f t="shared" ca="1" si="1978"/>
        <v>2491082.7788846148</v>
      </c>
      <c r="BG2026" s="2">
        <f t="shared" ca="1" si="1979"/>
        <v>2767029.5024565309</v>
      </c>
      <c r="BH2026" s="2">
        <f t="shared" ca="1" si="1980"/>
        <v>3061542.6397504732</v>
      </c>
      <c r="BI2026" s="2">
        <f t="shared" ca="1" si="1981"/>
        <v>34846845.676169649</v>
      </c>
      <c r="BJ2026" s="2">
        <f t="shared" ca="1" si="1982"/>
        <v>0.2465266071179677</v>
      </c>
      <c r="BK2026" s="2">
        <f t="shared" ca="1" si="1983"/>
        <v>9993074.458428774</v>
      </c>
    </row>
    <row r="2027" spans="1:63" x14ac:dyDescent="0.3">
      <c r="A2027" s="2">
        <v>2026</v>
      </c>
      <c r="B2027" s="2">
        <f t="shared" ca="1" si="1922"/>
        <v>0.60859203168271603</v>
      </c>
      <c r="C2027" s="2">
        <f t="shared" ca="1" si="1923"/>
        <v>7.1152311394298691</v>
      </c>
      <c r="D2027" s="2">
        <f t="shared" ca="1" si="1924"/>
        <v>0.66757217573552696</v>
      </c>
      <c r="E2027" s="2">
        <f t="shared" ca="1" si="1925"/>
        <v>7.6846131908542139</v>
      </c>
      <c r="F2027" s="2">
        <f t="shared" ca="1" si="1926"/>
        <v>0.67443460592661775</v>
      </c>
      <c r="G2027" s="2">
        <f t="shared" ca="1" si="1927"/>
        <v>5.356575511737896E-2</v>
      </c>
      <c r="H2027" s="2">
        <f t="shared" ca="1" si="1928"/>
        <v>5.356575511737896E-2</v>
      </c>
      <c r="I2027" s="2">
        <f t="shared" ca="1" si="1929"/>
        <v>0.55785148625830983</v>
      </c>
      <c r="J2027" s="2">
        <f t="shared" ca="1" si="1930"/>
        <v>1.0727620891080644E-2</v>
      </c>
      <c r="K2027" s="2">
        <f t="shared" ca="1" si="1931"/>
        <v>1.0727620891080644E-2</v>
      </c>
      <c r="L2027" s="2">
        <f t="shared" ca="1" si="1932"/>
        <v>0.19036520783350197</v>
      </c>
      <c r="M2027" s="2">
        <f t="shared" ca="1" si="1933"/>
        <v>-1.7531025453393741E-2</v>
      </c>
      <c r="N2027" s="2">
        <f t="shared" ca="1" si="1934"/>
        <v>-1.7531025453393741E-2</v>
      </c>
      <c r="O2027" s="2">
        <f t="shared" si="1935"/>
        <v>6000000</v>
      </c>
      <c r="P2027" s="2">
        <f t="shared" ca="1" si="1936"/>
        <v>42691386.836579211</v>
      </c>
      <c r="Q2027" s="2">
        <f t="shared" ca="1" si="1937"/>
        <v>1067284.6709144802</v>
      </c>
      <c r="R2027" s="2">
        <f t="shared" ca="1" si="1938"/>
        <v>25614832.101947527</v>
      </c>
      <c r="S2027" s="2">
        <f t="shared" ca="1" si="1939"/>
        <v>17076554.734631684</v>
      </c>
      <c r="T2027" s="2">
        <f t="shared" ca="1" si="1940"/>
        <v>49123448.727330312</v>
      </c>
      <c r="U2027" s="2">
        <f t="shared" ca="1" si="1941"/>
        <v>51754783.352379605</v>
      </c>
      <c r="V2027" s="2">
        <f t="shared" ca="1" si="1942"/>
        <v>54527067.403586172</v>
      </c>
      <c r="W2027" s="2">
        <f t="shared" ca="1" si="1943"/>
        <v>57447850.943395481</v>
      </c>
      <c r="X2027" s="2">
        <f t="shared" ca="1" si="1944"/>
        <v>60525088.459049091</v>
      </c>
      <c r="Y2027" s="2">
        <f t="shared" ca="1" si="1945"/>
        <v>0.12536381044554032</v>
      </c>
      <c r="Z2027" s="2">
        <f t="shared" ca="1" si="1946"/>
        <v>0.12750933462375644</v>
      </c>
      <c r="AA2027" s="2">
        <f t="shared" ca="1" si="1947"/>
        <v>6158302.7146842564</v>
      </c>
      <c r="AB2027" s="2">
        <f t="shared" ca="1" si="1948"/>
        <v>6599217.9888585899</v>
      </c>
      <c r="AC2027" s="2">
        <f t="shared" ca="1" si="1949"/>
        <v>6952710.0836159913</v>
      </c>
      <c r="AD2027" s="2">
        <f t="shared" ca="1" si="1950"/>
        <v>7325137.2493570959</v>
      </c>
      <c r="AE2027" s="2">
        <f t="shared" ca="1" si="1951"/>
        <v>7717513.7574573494</v>
      </c>
      <c r="AF2027" s="2">
        <f t="shared" ca="1" si="1952"/>
        <v>982468.9745466063</v>
      </c>
      <c r="AG2027" s="2">
        <f t="shared" ca="1" si="1953"/>
        <v>1035095.6670475921</v>
      </c>
      <c r="AH2027" s="2">
        <f t="shared" ca="1" si="1954"/>
        <v>1090541.3480717235</v>
      </c>
      <c r="AI2027" s="2">
        <f t="shared" ca="1" si="1955"/>
        <v>1148957.0188679097</v>
      </c>
      <c r="AJ2027" s="2">
        <f t="shared" ca="1" si="1956"/>
        <v>1210501.7691809819</v>
      </c>
      <c r="AK2027" s="2">
        <f t="shared" ca="1" si="1957"/>
        <v>0</v>
      </c>
      <c r="AL2027" s="2">
        <f t="shared" ca="1" si="1958"/>
        <v>26313.34625049293</v>
      </c>
      <c r="AM2027" s="2">
        <f t="shared" ca="1" si="1959"/>
        <v>27722.840512065664</v>
      </c>
      <c r="AN2027" s="2">
        <f t="shared" ca="1" si="1960"/>
        <v>29207.835398093091</v>
      </c>
      <c r="AO2027" s="2">
        <f t="shared" ca="1" si="1961"/>
        <v>30772.375156536102</v>
      </c>
      <c r="AP2027" s="2">
        <f t="shared" ca="1" si="1962"/>
        <v>2305334.8891752772</v>
      </c>
      <c r="AQ2027" s="2">
        <f t="shared" ca="1" si="1963"/>
        <v>746329.70125021692</v>
      </c>
      <c r="AR2027" s="2">
        <f t="shared" ca="1" si="1964"/>
        <v>847284.73248528747</v>
      </c>
      <c r="AS2027" s="2">
        <f t="shared" ca="1" si="1965"/>
        <v>924776.80005593761</v>
      </c>
      <c r="AT2027" s="2">
        <f t="shared" ca="1" si="1966"/>
        <v>1006419.7887416163</v>
      </c>
      <c r="AU2027" s="2">
        <f t="shared" ca="1" si="1967"/>
        <v>1092436.0457662838</v>
      </c>
      <c r="AV2027" s="2">
        <f t="shared" ca="1" si="1968"/>
        <v>2124169.1497121556</v>
      </c>
      <c r="AW2027" s="2">
        <f t="shared" ca="1" si="1969"/>
        <v>2385189.3538999399</v>
      </c>
      <c r="AX2027" s="2">
        <f t="shared" ca="1" si="1970"/>
        <v>2604334.2058009878</v>
      </c>
      <c r="AY2027" s="2">
        <f t="shared" ca="1" si="1971"/>
        <v>2835217.7171741994</v>
      </c>
      <c r="AZ2027" s="2">
        <f t="shared" ca="1" si="1972"/>
        <v>3078468.6781782713</v>
      </c>
      <c r="BA2027" s="2">
        <f t="shared" ca="1" si="1973"/>
        <v>59306108.021155618</v>
      </c>
      <c r="BB2027" s="2">
        <f t="shared" ca="1" si="1974"/>
        <v>1186122.1604231123</v>
      </c>
      <c r="BC2027" s="2">
        <f t="shared" ca="1" si="1975"/>
        <v>32505153.758784983</v>
      </c>
      <c r="BD2027" s="2">
        <f t="shared" ca="1" si="1976"/>
        <v>-18643839.405546162</v>
      </c>
      <c r="BE2027" s="2">
        <f t="shared" ca="1" si="1977"/>
        <v>2124169.1497121556</v>
      </c>
      <c r="BF2027" s="2">
        <f t="shared" ca="1" si="1978"/>
        <v>2385189.3538999399</v>
      </c>
      <c r="BG2027" s="2">
        <f t="shared" ca="1" si="1979"/>
        <v>2604334.2058009878</v>
      </c>
      <c r="BH2027" s="2">
        <f t="shared" ca="1" si="1980"/>
        <v>2835217.7171741994</v>
      </c>
      <c r="BI2027" s="2">
        <f t="shared" ca="1" si="1981"/>
        <v>35583622.436963253</v>
      </c>
      <c r="BJ2027" s="2">
        <f t="shared" ca="1" si="1982"/>
        <v>0.22900317517446966</v>
      </c>
      <c r="BK2027" s="2">
        <f t="shared" ca="1" si="1983"/>
        <v>9000847.2984957285</v>
      </c>
    </row>
    <row r="2028" spans="1:63" x14ac:dyDescent="0.3">
      <c r="A2028" s="2">
        <v>2027</v>
      </c>
      <c r="B2028" s="2">
        <f t="shared" ca="1" si="1922"/>
        <v>0.33738342742151817</v>
      </c>
      <c r="C2028" s="2">
        <f t="shared" ca="1" si="1923"/>
        <v>6.8214419363795811</v>
      </c>
      <c r="D2028" s="2">
        <f t="shared" ca="1" si="1924"/>
        <v>0.51957012686360871</v>
      </c>
      <c r="E2028" s="2">
        <f t="shared" ca="1" si="1925"/>
        <v>7.5197654636400619</v>
      </c>
      <c r="F2028" s="2">
        <f t="shared" ca="1" si="1926"/>
        <v>0.41196447756308585</v>
      </c>
      <c r="G2028" s="2">
        <f t="shared" ca="1" si="1927"/>
        <v>3.3325165030143489E-2</v>
      </c>
      <c r="H2028" s="2">
        <f t="shared" ca="1" si="1928"/>
        <v>3.3325165030143489E-2</v>
      </c>
      <c r="I2028" s="2">
        <f t="shared" ca="1" si="1929"/>
        <v>0.68410613295172729</v>
      </c>
      <c r="J2028" s="2">
        <f t="shared" ca="1" si="1930"/>
        <v>1.2396060591310012E-2</v>
      </c>
      <c r="K2028" s="2">
        <f t="shared" ca="1" si="1931"/>
        <v>1.2396060591310012E-2</v>
      </c>
      <c r="L2028" s="2">
        <f t="shared" ca="1" si="1932"/>
        <v>0.1130716800725371</v>
      </c>
      <c r="M2028" s="2">
        <f t="shared" ca="1" si="1933"/>
        <v>-2.420706565238576E-2</v>
      </c>
      <c r="N2028" s="2">
        <f t="shared" ca="1" si="1934"/>
        <v>-2.420706565238576E-2</v>
      </c>
      <c r="O2028" s="2">
        <f t="shared" si="1935"/>
        <v>6000000</v>
      </c>
      <c r="P2028" s="2">
        <f t="shared" ca="1" si="1936"/>
        <v>40928651.61827749</v>
      </c>
      <c r="Q2028" s="2">
        <f t="shared" ca="1" si="1937"/>
        <v>1023216.2904569373</v>
      </c>
      <c r="R2028" s="2">
        <f t="shared" ca="1" si="1938"/>
        <v>24557190.970966492</v>
      </c>
      <c r="S2028" s="2">
        <f t="shared" ca="1" si="1939"/>
        <v>16371460.647310996</v>
      </c>
      <c r="T2028" s="2">
        <f t="shared" ca="1" si="1940"/>
        <v>48789646.71738071</v>
      </c>
      <c r="U2028" s="2">
        <f t="shared" ca="1" si="1941"/>
        <v>50415569.745999813</v>
      </c>
      <c r="V2028" s="2">
        <f t="shared" ca="1" si="1942"/>
        <v>52095676.927873962</v>
      </c>
      <c r="W2028" s="2">
        <f t="shared" ca="1" si="1943"/>
        <v>53831773.958852395</v>
      </c>
      <c r="X2028" s="2">
        <f t="shared" ca="1" si="1944"/>
        <v>55625726.709896527</v>
      </c>
      <c r="Y2028" s="2">
        <f t="shared" ca="1" si="1945"/>
        <v>0.12619803029565499</v>
      </c>
      <c r="Z2028" s="2">
        <f t="shared" ca="1" si="1946"/>
        <v>0.12867724241391701</v>
      </c>
      <c r="AA2028" s="2">
        <f t="shared" ca="1" si="1947"/>
        <v>6157157.3145543151</v>
      </c>
      <c r="AB2028" s="2">
        <f t="shared" ca="1" si="1948"/>
        <v>6487336.4896417586</v>
      </c>
      <c r="AC2028" s="2">
        <f t="shared" ca="1" si="1949"/>
        <v>6703528.0487651415</v>
      </c>
      <c r="AD2028" s="2">
        <f t="shared" ca="1" si="1950"/>
        <v>6926924.2272744346</v>
      </c>
      <c r="AE2028" s="2">
        <f t="shared" ca="1" si="1951"/>
        <v>7157765.1202996541</v>
      </c>
      <c r="AF2028" s="2">
        <f t="shared" ca="1" si="1952"/>
        <v>975792.93434761418</v>
      </c>
      <c r="AG2028" s="2">
        <f t="shared" ca="1" si="1953"/>
        <v>1008311.3949199963</v>
      </c>
      <c r="AH2028" s="2">
        <f t="shared" ca="1" si="1954"/>
        <v>1041913.5385574793</v>
      </c>
      <c r="AI2028" s="2">
        <f t="shared" ca="1" si="1955"/>
        <v>1076635.479177048</v>
      </c>
      <c r="AJ2028" s="2">
        <f t="shared" ca="1" si="1956"/>
        <v>1112514.5341979305</v>
      </c>
      <c r="AK2028" s="2">
        <f t="shared" ca="1" si="1957"/>
        <v>0</v>
      </c>
      <c r="AL2028" s="2">
        <f t="shared" ca="1" si="1958"/>
        <v>16259.230286191032</v>
      </c>
      <c r="AM2028" s="2">
        <f t="shared" ca="1" si="1959"/>
        <v>16801.071818741486</v>
      </c>
      <c r="AN2028" s="2">
        <f t="shared" ca="1" si="1960"/>
        <v>17360.970309784338</v>
      </c>
      <c r="AO2028" s="2">
        <f t="shared" ca="1" si="1961"/>
        <v>17939.527510441319</v>
      </c>
      <c r="AP2028" s="2">
        <f t="shared" ca="1" si="1962"/>
        <v>2210147.187386984</v>
      </c>
      <c r="AQ2028" s="2">
        <f t="shared" ca="1" si="1963"/>
        <v>772516.47013312625</v>
      </c>
      <c r="AR2028" s="2">
        <f t="shared" ca="1" si="1964"/>
        <v>849908.25590704242</v>
      </c>
      <c r="AS2028" s="2">
        <f t="shared" ca="1" si="1965"/>
        <v>897381.5039333764</v>
      </c>
      <c r="AT2028" s="2">
        <f t="shared" ca="1" si="1966"/>
        <v>946436.80578470463</v>
      </c>
      <c r="AU2028" s="2">
        <f t="shared" ca="1" si="1967"/>
        <v>997126.88366583234</v>
      </c>
      <c r="AV2028" s="2">
        <f t="shared" ca="1" si="1968"/>
        <v>2198700.7226865906</v>
      </c>
      <c r="AW2028" s="2">
        <f t="shared" ca="1" si="1969"/>
        <v>2402710.4211415444</v>
      </c>
      <c r="AX2028" s="2">
        <f t="shared" ca="1" si="1970"/>
        <v>2537284.7470685607</v>
      </c>
      <c r="AY2028" s="2">
        <f t="shared" ca="1" si="1971"/>
        <v>2676343.7846159134</v>
      </c>
      <c r="AZ2028" s="2">
        <f t="shared" ca="1" si="1972"/>
        <v>2820036.9875384662</v>
      </c>
      <c r="BA2028" s="2">
        <f t="shared" ca="1" si="1973"/>
        <v>53824714.948476791</v>
      </c>
      <c r="BB2028" s="2">
        <f t="shared" ca="1" si="1974"/>
        <v>1076494.2989695359</v>
      </c>
      <c r="BC2028" s="2">
        <f t="shared" ca="1" si="1975"/>
        <v>28191029.678540763</v>
      </c>
      <c r="BD2028" s="2">
        <f t="shared" ca="1" si="1976"/>
        <v>-17894676.937767934</v>
      </c>
      <c r="BE2028" s="2">
        <f t="shared" ca="1" si="1977"/>
        <v>2198700.7226865906</v>
      </c>
      <c r="BF2028" s="2">
        <f t="shared" ca="1" si="1978"/>
        <v>2402710.4211415444</v>
      </c>
      <c r="BG2028" s="2">
        <f t="shared" ca="1" si="1979"/>
        <v>2537284.7470685607</v>
      </c>
      <c r="BH2028" s="2">
        <f t="shared" ca="1" si="1980"/>
        <v>2676343.7846159134</v>
      </c>
      <c r="BI2028" s="2">
        <f t="shared" ca="1" si="1981"/>
        <v>31011066.666079231</v>
      </c>
      <c r="BJ2028" s="2">
        <f t="shared" ca="1" si="1982"/>
        <v>0.213293977319577</v>
      </c>
      <c r="BK2028" s="2">
        <f t="shared" ca="1" si="1983"/>
        <v>7087240.8207546882</v>
      </c>
    </row>
    <row r="2029" spans="1:63" x14ac:dyDescent="0.3">
      <c r="A2029" s="2">
        <v>2028</v>
      </c>
      <c r="B2029" s="2">
        <f t="shared" ca="1" si="1922"/>
        <v>0.11460487330140168</v>
      </c>
      <c r="C2029" s="2">
        <f t="shared" ca="1" si="1923"/>
        <v>6.4787585472895532</v>
      </c>
      <c r="D2029" s="2">
        <f t="shared" ca="1" si="1924"/>
        <v>0.52910145632954042</v>
      </c>
      <c r="E2029" s="2">
        <f t="shared" ca="1" si="1925"/>
        <v>7.5295376940133538</v>
      </c>
      <c r="F2029" s="2">
        <f t="shared" ca="1" si="1926"/>
        <v>0.49307265475333573</v>
      </c>
      <c r="G2029" s="2">
        <f t="shared" ca="1" si="1927"/>
        <v>3.9479045435102882E-2</v>
      </c>
      <c r="H2029" s="2">
        <f t="shared" ca="1" si="1928"/>
        <v>3.9479045435102882E-2</v>
      </c>
      <c r="I2029" s="2">
        <f t="shared" ca="1" si="1929"/>
        <v>0.76461592139352474</v>
      </c>
      <c r="J2029" s="2">
        <f t="shared" ca="1" si="1930"/>
        <v>1.3606148859440424E-2</v>
      </c>
      <c r="K2029" s="2">
        <f t="shared" ca="1" si="1931"/>
        <v>1.3606148859440424E-2</v>
      </c>
      <c r="L2029" s="2">
        <f t="shared" ca="1" si="1932"/>
        <v>0.8163843422063406</v>
      </c>
      <c r="M2029" s="2">
        <f t="shared" ca="1" si="1933"/>
        <v>1.803343305892844E-2</v>
      </c>
      <c r="N2029" s="2">
        <f t="shared" ca="1" si="1934"/>
        <v>1.803343305892844E-2</v>
      </c>
      <c r="O2029" s="2">
        <f t="shared" si="1935"/>
        <v>6000000</v>
      </c>
      <c r="P2029" s="2">
        <f t="shared" ca="1" si="1936"/>
        <v>38872551.283737317</v>
      </c>
      <c r="Q2029" s="2">
        <f t="shared" ca="1" si="1937"/>
        <v>971813.78209343296</v>
      </c>
      <c r="R2029" s="2">
        <f t="shared" ca="1" si="1938"/>
        <v>23323530.770242389</v>
      </c>
      <c r="S2029" s="2">
        <f t="shared" ca="1" si="1939"/>
        <v>15549020.513494927</v>
      </c>
      <c r="T2029" s="2">
        <f t="shared" ca="1" si="1940"/>
        <v>50901671.65294642</v>
      </c>
      <c r="U2029" s="2">
        <f t="shared" ca="1" si="1941"/>
        <v>52911221.060855776</v>
      </c>
      <c r="V2029" s="2">
        <f t="shared" ca="1" si="1942"/>
        <v>55000105.561144069</v>
      </c>
      <c r="W2029" s="2">
        <f t="shared" ca="1" si="1943"/>
        <v>57171457.227527924</v>
      </c>
      <c r="X2029" s="2">
        <f t="shared" ca="1" si="1944"/>
        <v>59428531.785004534</v>
      </c>
      <c r="Y2029" s="2">
        <f t="shared" ca="1" si="1945"/>
        <v>0.12680307442972022</v>
      </c>
      <c r="Z2029" s="2">
        <f t="shared" ca="1" si="1946"/>
        <v>0.12952430420160829</v>
      </c>
      <c r="AA2029" s="2">
        <f t="shared" ca="1" si="1947"/>
        <v>6454488.4592057448</v>
      </c>
      <c r="AB2029" s="2">
        <f t="shared" ca="1" si="1948"/>
        <v>6853289.0923648272</v>
      </c>
      <c r="AC2029" s="2">
        <f t="shared" ca="1" si="1949"/>
        <v>7123850.403822192</v>
      </c>
      <c r="AD2029" s="2">
        <f t="shared" ca="1" si="1950"/>
        <v>7405093.2175875641</v>
      </c>
      <c r="AE2029" s="2">
        <f t="shared" ca="1" si="1951"/>
        <v>7697439.229175875</v>
      </c>
      <c r="AF2029" s="2">
        <f t="shared" ca="1" si="1952"/>
        <v>1018033.4330589285</v>
      </c>
      <c r="AG2029" s="2">
        <f t="shared" ca="1" si="1953"/>
        <v>1058224.4212171156</v>
      </c>
      <c r="AH2029" s="2">
        <f t="shared" ca="1" si="1954"/>
        <v>1100002.1112228814</v>
      </c>
      <c r="AI2029" s="2">
        <f t="shared" ca="1" si="1955"/>
        <v>1143429.1445505584</v>
      </c>
      <c r="AJ2029" s="2">
        <f t="shared" ca="1" si="1956"/>
        <v>1188570.6357000908</v>
      </c>
      <c r="AK2029" s="2">
        <f t="shared" ca="1" si="1957"/>
        <v>0</v>
      </c>
      <c r="AL2029" s="2">
        <f t="shared" ca="1" si="1958"/>
        <v>20095.494079093562</v>
      </c>
      <c r="AM2029" s="2">
        <f t="shared" ca="1" si="1959"/>
        <v>20888.845002882928</v>
      </c>
      <c r="AN2029" s="2">
        <f t="shared" ca="1" si="1960"/>
        <v>21713.516663838553</v>
      </c>
      <c r="AO2029" s="2">
        <f t="shared" ca="1" si="1961"/>
        <v>22570.745574766101</v>
      </c>
      <c r="AP2029" s="2">
        <f t="shared" ca="1" si="1962"/>
        <v>2099117.7693218151</v>
      </c>
      <c r="AQ2029" s="2">
        <f t="shared" ca="1" si="1963"/>
        <v>867707.6867745003</v>
      </c>
      <c r="AR2029" s="2">
        <f t="shared" ca="1" si="1964"/>
        <v>960946.19447473309</v>
      </c>
      <c r="AS2029" s="2">
        <f t="shared" ca="1" si="1965"/>
        <v>1020429.936052149</v>
      </c>
      <c r="AT2029" s="2">
        <f t="shared" ca="1" si="1966"/>
        <v>1082262.0389659496</v>
      </c>
      <c r="AU2029" s="2">
        <f t="shared" ca="1" si="1967"/>
        <v>1146535.2142800321</v>
      </c>
      <c r="AV2029" s="2">
        <f t="shared" ca="1" si="1968"/>
        <v>2469629.5700505003</v>
      </c>
      <c r="AW2029" s="2">
        <f t="shared" ca="1" si="1969"/>
        <v>2714905.2132720696</v>
      </c>
      <c r="AX2029" s="2">
        <f t="shared" ca="1" si="1970"/>
        <v>2883411.7422224637</v>
      </c>
      <c r="AY2029" s="2">
        <f t="shared" ca="1" si="1971"/>
        <v>3058570.7480854029</v>
      </c>
      <c r="AZ2029" s="2">
        <f t="shared" ca="1" si="1972"/>
        <v>3240644.8642991716</v>
      </c>
      <c r="BA2029" s="2">
        <f t="shared" ca="1" si="1973"/>
        <v>57958158.823456846</v>
      </c>
      <c r="BB2029" s="2">
        <f t="shared" ca="1" si="1974"/>
        <v>1159163.176469137</v>
      </c>
      <c r="BC2029" s="2">
        <f t="shared" ca="1" si="1975"/>
        <v>33475464.876745325</v>
      </c>
      <c r="BD2029" s="2">
        <f t="shared" ca="1" si="1976"/>
        <v>-17020834.295588359</v>
      </c>
      <c r="BE2029" s="2">
        <f t="shared" ca="1" si="1977"/>
        <v>2469629.5700505003</v>
      </c>
      <c r="BF2029" s="2">
        <f t="shared" ca="1" si="1978"/>
        <v>2714905.2132720696</v>
      </c>
      <c r="BG2029" s="2">
        <f t="shared" ca="1" si="1979"/>
        <v>2883411.7422224637</v>
      </c>
      <c r="BH2029" s="2">
        <f t="shared" ca="1" si="1980"/>
        <v>3058570.7480854029</v>
      </c>
      <c r="BI2029" s="2">
        <f t="shared" ca="1" si="1981"/>
        <v>36716109.741044499</v>
      </c>
      <c r="BJ2029" s="2">
        <f t="shared" ca="1" si="1982"/>
        <v>0.27559041913689408</v>
      </c>
      <c r="BK2029" s="2">
        <f t="shared" ca="1" si="1983"/>
        <v>12178337.153889861</v>
      </c>
    </row>
    <row r="2030" spans="1:63" x14ac:dyDescent="0.3">
      <c r="A2030" s="2">
        <v>2029</v>
      </c>
      <c r="B2030" s="2">
        <f t="shared" ca="1" si="1922"/>
        <v>0.25216757592655281</v>
      </c>
      <c r="C2030" s="2">
        <f t="shared" ca="1" si="1923"/>
        <v>6.7101655805888551</v>
      </c>
      <c r="D2030" s="2">
        <f t="shared" ca="1" si="1924"/>
        <v>8.6801822047107513E-2</v>
      </c>
      <c r="E2030" s="2">
        <f t="shared" ca="1" si="1925"/>
        <v>6.9166577061500423</v>
      </c>
      <c r="F2030" s="2">
        <f t="shared" ca="1" si="1926"/>
        <v>0.98573558335022748</v>
      </c>
      <c r="G2030" s="2">
        <f t="shared" ca="1" si="1927"/>
        <v>0.10569809876350145</v>
      </c>
      <c r="H2030" s="2">
        <f t="shared" ca="1" si="1928"/>
        <v>0.10569809876350145</v>
      </c>
      <c r="I2030" s="2">
        <f t="shared" ca="1" si="1929"/>
        <v>0.75730088442501386</v>
      </c>
      <c r="J2030" s="2">
        <f t="shared" ca="1" si="1930"/>
        <v>1.3488233000059812E-2</v>
      </c>
      <c r="K2030" s="2">
        <f t="shared" ca="1" si="1931"/>
        <v>1.3488233000059812E-2</v>
      </c>
      <c r="L2030" s="2">
        <f t="shared" ca="1" si="1932"/>
        <v>0.11928787345549063</v>
      </c>
      <c r="M2030" s="2">
        <f t="shared" ca="1" si="1933"/>
        <v>-2.3571083557704781E-2</v>
      </c>
      <c r="N2030" s="2">
        <f t="shared" ca="1" si="1934"/>
        <v>-2.3571083557704781E-2</v>
      </c>
      <c r="O2030" s="2">
        <f t="shared" si="1935"/>
        <v>6000000</v>
      </c>
      <c r="P2030" s="2">
        <f t="shared" ca="1" si="1936"/>
        <v>40260993.483533129</v>
      </c>
      <c r="Q2030" s="2">
        <f t="shared" ca="1" si="1937"/>
        <v>1006524.8370883283</v>
      </c>
      <c r="R2030" s="2">
        <f t="shared" ca="1" si="1938"/>
        <v>24156596.090119876</v>
      </c>
      <c r="S2030" s="2">
        <f t="shared" ca="1" si="1939"/>
        <v>16104397.393413253</v>
      </c>
      <c r="T2030" s="2">
        <f t="shared" ca="1" si="1940"/>
        <v>48821445.822114758</v>
      </c>
      <c r="U2030" s="2">
        <f t="shared" ca="1" si="1941"/>
        <v>53981779.824397579</v>
      </c>
      <c r="V2030" s="2">
        <f t="shared" ca="1" si="1942"/>
        <v>59687551.319706343</v>
      </c>
      <c r="W2030" s="2">
        <f t="shared" ca="1" si="1943"/>
        <v>65996412.014048226</v>
      </c>
      <c r="X2030" s="2">
        <f t="shared" ca="1" si="1944"/>
        <v>72972107.289145827</v>
      </c>
      <c r="Y2030" s="2">
        <f t="shared" ca="1" si="1945"/>
        <v>0.1267441165000299</v>
      </c>
      <c r="Z2030" s="2">
        <f t="shared" ca="1" si="1946"/>
        <v>0.12944176310004185</v>
      </c>
      <c r="AA2030" s="2">
        <f t="shared" ca="1" si="1947"/>
        <v>6187831.0169780105</v>
      </c>
      <c r="AB2030" s="2">
        <f t="shared" ca="1" si="1948"/>
        <v>6987496.7557482906</v>
      </c>
      <c r="AC2030" s="2">
        <f t="shared" ca="1" si="1949"/>
        <v>7726061.8779470185</v>
      </c>
      <c r="AD2030" s="2">
        <f t="shared" ca="1" si="1950"/>
        <v>8542691.9293751866</v>
      </c>
      <c r="AE2030" s="2">
        <f t="shared" ca="1" si="1951"/>
        <v>9445638.2246324513</v>
      </c>
      <c r="AF2030" s="2">
        <f t="shared" ca="1" si="1952"/>
        <v>976428.91644229519</v>
      </c>
      <c r="AG2030" s="2">
        <f t="shared" ca="1" si="1953"/>
        <v>1079635.5964879517</v>
      </c>
      <c r="AH2030" s="2">
        <f t="shared" ca="1" si="1954"/>
        <v>1193751.0263941269</v>
      </c>
      <c r="AI2030" s="2">
        <f t="shared" ca="1" si="1955"/>
        <v>1319928.2402809646</v>
      </c>
      <c r="AJ2030" s="2">
        <f t="shared" ca="1" si="1956"/>
        <v>1459442.1457829166</v>
      </c>
      <c r="AK2030" s="2">
        <f t="shared" ca="1" si="1957"/>
        <v>0</v>
      </c>
      <c r="AL2030" s="2">
        <f t="shared" ca="1" si="1958"/>
        <v>51603.340022828204</v>
      </c>
      <c r="AM2030" s="2">
        <f t="shared" ca="1" si="1959"/>
        <v>57057.714953087641</v>
      </c>
      <c r="AN2030" s="2">
        <f t="shared" ca="1" si="1960"/>
        <v>63088.606943418832</v>
      </c>
      <c r="AO2030" s="2">
        <f t="shared" ca="1" si="1961"/>
        <v>69756.952750976008</v>
      </c>
      <c r="AP2030" s="2">
        <f t="shared" ca="1" si="1962"/>
        <v>2174093.6481107888</v>
      </c>
      <c r="AQ2030" s="2">
        <f t="shared" ca="1" si="1963"/>
        <v>789700.19763048086</v>
      </c>
      <c r="AR2030" s="2">
        <f t="shared" ca="1" si="1964"/>
        <v>970779.55289888312</v>
      </c>
      <c r="AS2030" s="2">
        <f t="shared" ca="1" si="1965"/>
        <v>1133136.4728949466</v>
      </c>
      <c r="AT2030" s="2">
        <f t="shared" ca="1" si="1966"/>
        <v>1312654.2106556925</v>
      </c>
      <c r="AU2030" s="2">
        <f t="shared" ca="1" si="1967"/>
        <v>1511146.6319920737</v>
      </c>
      <c r="AV2030" s="2">
        <f t="shared" ca="1" si="1968"/>
        <v>2247608.2547944454</v>
      </c>
      <c r="AW2030" s="2">
        <f t="shared" ca="1" si="1969"/>
        <v>2711384.618227839</v>
      </c>
      <c r="AX2030" s="2">
        <f t="shared" ca="1" si="1970"/>
        <v>3168023.0155940684</v>
      </c>
      <c r="AY2030" s="2">
        <f t="shared" ca="1" si="1971"/>
        <v>3672927.2233843221</v>
      </c>
      <c r="AZ2030" s="2">
        <f t="shared" ca="1" si="1972"/>
        <v>4231198.8459956963</v>
      </c>
      <c r="BA2030" s="2">
        <f t="shared" ca="1" si="1973"/>
        <v>65332246.415909447</v>
      </c>
      <c r="BB2030" s="2">
        <f t="shared" ca="1" si="1974"/>
        <v>1306644.928318189</v>
      </c>
      <c r="BC2030" s="2">
        <f t="shared" ca="1" si="1975"/>
        <v>39869005.397471383</v>
      </c>
      <c r="BD2030" s="2">
        <f t="shared" ca="1" si="1976"/>
        <v>-17610922.230501581</v>
      </c>
      <c r="BE2030" s="2">
        <f t="shared" ca="1" si="1977"/>
        <v>2247608.2547944454</v>
      </c>
      <c r="BF2030" s="2">
        <f t="shared" ca="1" si="1978"/>
        <v>2711384.618227839</v>
      </c>
      <c r="BG2030" s="2">
        <f t="shared" ca="1" si="1979"/>
        <v>3168023.0155940684</v>
      </c>
      <c r="BH2030" s="2">
        <f t="shared" ca="1" si="1980"/>
        <v>3672927.2233843221</v>
      </c>
      <c r="BI2030" s="2">
        <f t="shared" ca="1" si="1981"/>
        <v>44100204.243467078</v>
      </c>
      <c r="BJ2030" s="2">
        <f t="shared" ca="1" si="1982"/>
        <v>0.30584767971337579</v>
      </c>
      <c r="BK2030" s="2">
        <f t="shared" ca="1" si="1983"/>
        <v>16170158.160136234</v>
      </c>
    </row>
    <row r="2031" spans="1:63" x14ac:dyDescent="0.3">
      <c r="A2031" s="2">
        <v>2030</v>
      </c>
      <c r="B2031" s="2">
        <f t="shared" ca="1" si="1922"/>
        <v>0.1827715112542585</v>
      </c>
      <c r="C2031" s="2">
        <f t="shared" ca="1" si="1923"/>
        <v>6.604601540279643</v>
      </c>
      <c r="D2031" s="2">
        <f t="shared" ca="1" si="1924"/>
        <v>0.49362983635070479</v>
      </c>
      <c r="E2031" s="2">
        <f t="shared" ca="1" si="1925"/>
        <v>7.4936094165724327</v>
      </c>
      <c r="F2031" s="2">
        <f t="shared" ca="1" si="1926"/>
        <v>0.75219757963084188</v>
      </c>
      <c r="G2031" s="2">
        <f t="shared" ca="1" si="1927"/>
        <v>6.0442644132570215E-2</v>
      </c>
      <c r="H2031" s="2">
        <f t="shared" ca="1" si="1928"/>
        <v>6.0442644132570215E-2</v>
      </c>
      <c r="I2031" s="2">
        <f t="shared" ca="1" si="1929"/>
        <v>0.18497115348418924</v>
      </c>
      <c r="J2031" s="2">
        <f t="shared" ca="1" si="1930"/>
        <v>5.5170928141716966E-3</v>
      </c>
      <c r="K2031" s="2">
        <f t="shared" ca="1" si="1931"/>
        <v>5.5170928141716966E-3</v>
      </c>
      <c r="L2031" s="2">
        <f t="shared" ca="1" si="1932"/>
        <v>0.44690525457968699</v>
      </c>
      <c r="M2031" s="2">
        <f t="shared" ca="1" si="1933"/>
        <v>-2.6696827319556875E-3</v>
      </c>
      <c r="N2031" s="2">
        <f t="shared" ca="1" si="1934"/>
        <v>-2.6696827319556875E-3</v>
      </c>
      <c r="O2031" s="2">
        <f t="shared" si="1935"/>
        <v>6000000</v>
      </c>
      <c r="P2031" s="2">
        <f t="shared" ca="1" si="1936"/>
        <v>39627609.241677858</v>
      </c>
      <c r="Q2031" s="2">
        <f t="shared" ca="1" si="1937"/>
        <v>990690.23104194645</v>
      </c>
      <c r="R2031" s="2">
        <f t="shared" ca="1" si="1938"/>
        <v>23776565.545006715</v>
      </c>
      <c r="S2031" s="2">
        <f t="shared" ca="1" si="1939"/>
        <v>15851043.696671143</v>
      </c>
      <c r="T2031" s="2">
        <f t="shared" ca="1" si="1940"/>
        <v>49866515.863402218</v>
      </c>
      <c r="U2031" s="2">
        <f t="shared" ca="1" si="1941"/>
        <v>52880579.935865007</v>
      </c>
      <c r="V2031" s="2">
        <f t="shared" ca="1" si="1942"/>
        <v>56076822.010452434</v>
      </c>
      <c r="W2031" s="2">
        <f t="shared" ca="1" si="1943"/>
        <v>59466253.407315694</v>
      </c>
      <c r="X2031" s="2">
        <f t="shared" ca="1" si="1944"/>
        <v>63060550.999911323</v>
      </c>
      <c r="Y2031" s="2">
        <f t="shared" ca="1" si="1945"/>
        <v>0.12275854640708585</v>
      </c>
      <c r="Z2031" s="2">
        <f t="shared" ca="1" si="1946"/>
        <v>0.12386196496992018</v>
      </c>
      <c r="AA2031" s="2">
        <f t="shared" ca="1" si="1947"/>
        <v>6121541.0017771441</v>
      </c>
      <c r="AB2031" s="2">
        <f t="shared" ca="1" si="1948"/>
        <v>6549892.5396051751</v>
      </c>
      <c r="AC2031" s="2">
        <f t="shared" ca="1" si="1949"/>
        <v>6945785.3634831086</v>
      </c>
      <c r="AD2031" s="2">
        <f t="shared" ca="1" si="1950"/>
        <v>7365606.9964293325</v>
      </c>
      <c r="AE2031" s="2">
        <f t="shared" ca="1" si="1951"/>
        <v>7810803.7589348815</v>
      </c>
      <c r="AF2031" s="2">
        <f t="shared" ca="1" si="1952"/>
        <v>997330.31726804434</v>
      </c>
      <c r="AG2031" s="2">
        <f t="shared" ca="1" si="1953"/>
        <v>1057611.5987173002</v>
      </c>
      <c r="AH2031" s="2">
        <f t="shared" ca="1" si="1954"/>
        <v>1121536.4402090488</v>
      </c>
      <c r="AI2031" s="2">
        <f t="shared" ca="1" si="1955"/>
        <v>1189325.068146314</v>
      </c>
      <c r="AJ2031" s="2">
        <f t="shared" ca="1" si="1956"/>
        <v>1261211.0199982265</v>
      </c>
      <c r="AK2031" s="2">
        <f t="shared" ca="1" si="1957"/>
        <v>0</v>
      </c>
      <c r="AL2031" s="2">
        <f t="shared" ca="1" si="1958"/>
        <v>30140.640724627898</v>
      </c>
      <c r="AM2031" s="2">
        <f t="shared" ca="1" si="1959"/>
        <v>31962.420745874271</v>
      </c>
      <c r="AN2031" s="2">
        <f t="shared" ca="1" si="1960"/>
        <v>33894.313968632596</v>
      </c>
      <c r="AO2031" s="2">
        <f t="shared" ca="1" si="1961"/>
        <v>35942.975925956292</v>
      </c>
      <c r="AP2031" s="2">
        <f t="shared" ca="1" si="1962"/>
        <v>2139890.8990506041</v>
      </c>
      <c r="AQ2031" s="2">
        <f t="shared" ca="1" si="1963"/>
        <v>775923.14421920886</v>
      </c>
      <c r="AR2031" s="2">
        <f t="shared" ca="1" si="1964"/>
        <v>871621.41087769042</v>
      </c>
      <c r="AS2031" s="2">
        <f t="shared" ca="1" si="1965"/>
        <v>957933.08629809855</v>
      </c>
      <c r="AT2031" s="2">
        <f t="shared" ca="1" si="1966"/>
        <v>1049461.667600428</v>
      </c>
      <c r="AU2031" s="2">
        <f t="shared" ca="1" si="1967"/>
        <v>1146522.4783703731</v>
      </c>
      <c r="AV2031" s="2">
        <f t="shared" ca="1" si="1968"/>
        <v>2208396.6412392869</v>
      </c>
      <c r="AW2031" s="2">
        <f t="shared" ca="1" si="1969"/>
        <v>2450627.990234952</v>
      </c>
      <c r="AX2031" s="2">
        <f t="shared" ca="1" si="1970"/>
        <v>2694462.5171794831</v>
      </c>
      <c r="AY2031" s="2">
        <f t="shared" ca="1" si="1971"/>
        <v>2953035.0476633548</v>
      </c>
      <c r="AZ2031" s="2">
        <f t="shared" ca="1" si="1972"/>
        <v>3227236.3855897221</v>
      </c>
      <c r="BA2031" s="2">
        <f t="shared" ca="1" si="1973"/>
        <v>58531112.598953784</v>
      </c>
      <c r="BB2031" s="2">
        <f t="shared" ca="1" si="1974"/>
        <v>1170622.2519790756</v>
      </c>
      <c r="BC2031" s="2">
        <f t="shared" ca="1" si="1975"/>
        <v>33583924.801967993</v>
      </c>
      <c r="BD2031" s="2">
        <f t="shared" ca="1" si="1976"/>
        <v>-17341733.927713089</v>
      </c>
      <c r="BE2031" s="2">
        <f t="shared" ca="1" si="1977"/>
        <v>2208396.6412392869</v>
      </c>
      <c r="BF2031" s="2">
        <f t="shared" ca="1" si="1978"/>
        <v>2450627.990234952</v>
      </c>
      <c r="BG2031" s="2">
        <f t="shared" ca="1" si="1979"/>
        <v>2694462.5171794831</v>
      </c>
      <c r="BH2031" s="2">
        <f t="shared" ca="1" si="1980"/>
        <v>2953035.0476633548</v>
      </c>
      <c r="BI2031" s="2">
        <f t="shared" ca="1" si="1981"/>
        <v>36811161.187557712</v>
      </c>
      <c r="BJ2031" s="2">
        <f t="shared" ca="1" si="1982"/>
        <v>0.26113598889746248</v>
      </c>
      <c r="BK2031" s="2">
        <f t="shared" ca="1" si="1983"/>
        <v>11265888.222811095</v>
      </c>
    </row>
    <row r="2032" spans="1:63" x14ac:dyDescent="0.3">
      <c r="A2032" s="2">
        <v>2031</v>
      </c>
      <c r="B2032" s="2">
        <f t="shared" ca="1" si="1922"/>
        <v>0.68801338917005328</v>
      </c>
      <c r="C2032" s="2">
        <f t="shared" ca="1" si="1923"/>
        <v>7.2100802435310953</v>
      </c>
      <c r="D2032" s="2">
        <f t="shared" ca="1" si="1924"/>
        <v>0.78987730588254301</v>
      </c>
      <c r="E2032" s="2">
        <f t="shared" ca="1" si="1925"/>
        <v>7.851736636670779</v>
      </c>
      <c r="F2032" s="2">
        <f t="shared" ca="1" si="1926"/>
        <v>0.84043606459452758</v>
      </c>
      <c r="G2032" s="2">
        <f t="shared" ca="1" si="1927"/>
        <v>6.9887550654537139E-2</v>
      </c>
      <c r="H2032" s="2">
        <f t="shared" ca="1" si="1928"/>
        <v>6.9887550654537139E-2</v>
      </c>
      <c r="I2032" s="2">
        <f t="shared" ca="1" si="1929"/>
        <v>0.87600159892846674</v>
      </c>
      <c r="J2032" s="2">
        <f t="shared" ca="1" si="1930"/>
        <v>1.5776143288502922E-2</v>
      </c>
      <c r="K2032" s="2">
        <f t="shared" ca="1" si="1931"/>
        <v>1.5776143288502922E-2</v>
      </c>
      <c r="L2032" s="2">
        <f t="shared" ca="1" si="1932"/>
        <v>0.53069042397586585</v>
      </c>
      <c r="M2032" s="2">
        <f t="shared" ca="1" si="1933"/>
        <v>1.5401104411370257E-3</v>
      </c>
      <c r="N2032" s="2">
        <f t="shared" ca="1" si="1934"/>
        <v>1.5401104411370257E-3</v>
      </c>
      <c r="O2032" s="2">
        <f t="shared" si="1935"/>
        <v>6000000</v>
      </c>
      <c r="P2032" s="2">
        <f t="shared" ca="1" si="1936"/>
        <v>43260481.461186573</v>
      </c>
      <c r="Q2032" s="2">
        <f t="shared" ca="1" si="1937"/>
        <v>1081512.0365296644</v>
      </c>
      <c r="R2032" s="2">
        <f t="shared" ca="1" si="1938"/>
        <v>25956288.876711942</v>
      </c>
      <c r="S2032" s="2">
        <f t="shared" ca="1" si="1939"/>
        <v>17304192.584474631</v>
      </c>
      <c r="T2032" s="2">
        <f t="shared" ca="1" si="1940"/>
        <v>50077005.522056848</v>
      </c>
      <c r="U2032" s="2">
        <f t="shared" ca="1" si="1941"/>
        <v>53576764.78210713</v>
      </c>
      <c r="V2032" s="2">
        <f t="shared" ca="1" si="1942"/>
        <v>57321113.644722864</v>
      </c>
      <c r="W2032" s="2">
        <f t="shared" ca="1" si="1943"/>
        <v>61327145.878142908</v>
      </c>
      <c r="X2032" s="2">
        <f t="shared" ca="1" si="1944"/>
        <v>65613149.892199807</v>
      </c>
      <c r="Y2032" s="2">
        <f t="shared" ca="1" si="1945"/>
        <v>0.12788807164425145</v>
      </c>
      <c r="Z2032" s="2">
        <f t="shared" ca="1" si="1946"/>
        <v>0.13104330030195205</v>
      </c>
      <c r="AA2032" s="2">
        <f t="shared" ca="1" si="1947"/>
        <v>6404251.6699343817</v>
      </c>
      <c r="AB2032" s="2">
        <f t="shared" ca="1" si="1948"/>
        <v>7020876.0765487133</v>
      </c>
      <c r="AC2032" s="2">
        <f t="shared" ca="1" si="1949"/>
        <v>7511547.9089877391</v>
      </c>
      <c r="AD2032" s="2">
        <f t="shared" ca="1" si="1950"/>
        <v>8036511.5939711016</v>
      </c>
      <c r="AE2032" s="2">
        <f t="shared" ca="1" si="1951"/>
        <v>8598163.7050805315</v>
      </c>
      <c r="AF2032" s="2">
        <f t="shared" ca="1" si="1952"/>
        <v>1001540.110441137</v>
      </c>
      <c r="AG2032" s="2">
        <f t="shared" ca="1" si="1953"/>
        <v>1071535.2956421426</v>
      </c>
      <c r="AH2032" s="2">
        <f t="shared" ca="1" si="1954"/>
        <v>1146422.2728944572</v>
      </c>
      <c r="AI2032" s="2">
        <f t="shared" ca="1" si="1955"/>
        <v>1226542.9175628582</v>
      </c>
      <c r="AJ2032" s="2">
        <f t="shared" ca="1" si="1956"/>
        <v>1312262.9978439962</v>
      </c>
      <c r="AK2032" s="2">
        <f t="shared" ca="1" si="1957"/>
        <v>0</v>
      </c>
      <c r="AL2032" s="2">
        <f t="shared" ca="1" si="1958"/>
        <v>34997.592600502816</v>
      </c>
      <c r="AM2032" s="2">
        <f t="shared" ca="1" si="1959"/>
        <v>37443.488626157341</v>
      </c>
      <c r="AN2032" s="2">
        <f t="shared" ca="1" si="1960"/>
        <v>40060.322334200442</v>
      </c>
      <c r="AO2032" s="2">
        <f t="shared" ca="1" si="1961"/>
        <v>42860.040140568984</v>
      </c>
      <c r="AP2032" s="2">
        <f t="shared" ca="1" si="1962"/>
        <v>2336065.9989040745</v>
      </c>
      <c r="AQ2032" s="2">
        <f t="shared" ca="1" si="1963"/>
        <v>797327.84575318429</v>
      </c>
      <c r="AR2032" s="2">
        <f t="shared" ca="1" si="1964"/>
        <v>939451.44332064909</v>
      </c>
      <c r="AS2032" s="2">
        <f t="shared" ca="1" si="1965"/>
        <v>1047555.505669194</v>
      </c>
      <c r="AT2032" s="2">
        <f t="shared" ca="1" si="1966"/>
        <v>1163214.696151084</v>
      </c>
      <c r="AU2032" s="2">
        <f t="shared" ca="1" si="1967"/>
        <v>1286957.0241664399</v>
      </c>
      <c r="AV2032" s="2">
        <f t="shared" ca="1" si="1968"/>
        <v>2269317.7148359856</v>
      </c>
      <c r="AW2032" s="2">
        <f t="shared" ca="1" si="1969"/>
        <v>2638825.7460813448</v>
      </c>
      <c r="AX2032" s="2">
        <f t="shared" ca="1" si="1970"/>
        <v>2944060.6428938564</v>
      </c>
      <c r="AY2032" s="2">
        <f t="shared" ca="1" si="1971"/>
        <v>3270627.6590188844</v>
      </c>
      <c r="AZ2032" s="2">
        <f t="shared" ca="1" si="1972"/>
        <v>3620017.6440254524</v>
      </c>
      <c r="BA2032" s="2">
        <f t="shared" ca="1" si="1973"/>
        <v>67510516.97127378</v>
      </c>
      <c r="BB2032" s="2">
        <f t="shared" ca="1" si="1974"/>
        <v>1350210.3394254756</v>
      </c>
      <c r="BC2032" s="2">
        <f t="shared" ca="1" si="1975"/>
        <v>40204017.755136363</v>
      </c>
      <c r="BD2032" s="2">
        <f t="shared" ca="1" si="1976"/>
        <v>-18885704.621004295</v>
      </c>
      <c r="BE2032" s="2">
        <f t="shared" ca="1" si="1977"/>
        <v>2269317.7148359856</v>
      </c>
      <c r="BF2032" s="2">
        <f t="shared" ca="1" si="1978"/>
        <v>2638825.7460813448</v>
      </c>
      <c r="BG2032" s="2">
        <f t="shared" ca="1" si="1979"/>
        <v>2944060.6428938564</v>
      </c>
      <c r="BH2032" s="2">
        <f t="shared" ca="1" si="1980"/>
        <v>3270627.6590188844</v>
      </c>
      <c r="BI2032" s="2">
        <f t="shared" ca="1" si="1981"/>
        <v>43824035.399161816</v>
      </c>
      <c r="BJ2032" s="2">
        <f t="shared" ca="1" si="1982"/>
        <v>0.27794628943718114</v>
      </c>
      <c r="BK2032" s="2">
        <f t="shared" ca="1" si="1983"/>
        <v>14285129.469260361</v>
      </c>
    </row>
    <row r="2033" spans="1:63" x14ac:dyDescent="0.3">
      <c r="A2033" s="2">
        <v>2032</v>
      </c>
      <c r="B2033" s="2">
        <f t="shared" ca="1" si="1922"/>
        <v>0.13754248331004026</v>
      </c>
      <c r="C2033" s="2">
        <f t="shared" ca="1" si="1923"/>
        <v>6.5244854303220254</v>
      </c>
      <c r="D2033" s="2">
        <f t="shared" ca="1" si="1924"/>
        <v>0.2107596504484105</v>
      </c>
      <c r="E2033" s="2">
        <f t="shared" ca="1" si="1925"/>
        <v>7.1492451778002062</v>
      </c>
      <c r="F2033" s="2">
        <f t="shared" ca="1" si="1926"/>
        <v>0.41067724432250685</v>
      </c>
      <c r="G2033" s="2">
        <f t="shared" ca="1" si="1927"/>
        <v>3.3225904020512342E-2</v>
      </c>
      <c r="H2033" s="2">
        <f t="shared" ca="1" si="1928"/>
        <v>3.3225904020512342E-2</v>
      </c>
      <c r="I2033" s="2">
        <f t="shared" ca="1" si="1929"/>
        <v>0.47203903887122389</v>
      </c>
      <c r="J2033" s="2">
        <f t="shared" ca="1" si="1930"/>
        <v>9.6492739174667275E-3</v>
      </c>
      <c r="K2033" s="2">
        <f t="shared" ca="1" si="1931"/>
        <v>9.6492739174667275E-3</v>
      </c>
      <c r="L2033" s="2">
        <f t="shared" ca="1" si="1932"/>
        <v>0.9935564985950246</v>
      </c>
      <c r="M2033" s="2">
        <f t="shared" ca="1" si="1933"/>
        <v>4.973753547273483E-2</v>
      </c>
      <c r="N2033" s="2">
        <f t="shared" ca="1" si="1934"/>
        <v>4.973753547273483E-2</v>
      </c>
      <c r="O2033" s="2">
        <f t="shared" si="1935"/>
        <v>6000000</v>
      </c>
      <c r="P2033" s="2">
        <f t="shared" ca="1" si="1936"/>
        <v>39146912.58193215</v>
      </c>
      <c r="Q2033" s="2">
        <f t="shared" ca="1" si="1937"/>
        <v>978672.81454830384</v>
      </c>
      <c r="R2033" s="2">
        <f t="shared" ca="1" si="1938"/>
        <v>23488147.549159288</v>
      </c>
      <c r="S2033" s="2">
        <f t="shared" ca="1" si="1939"/>
        <v>15658765.032772861</v>
      </c>
      <c r="T2033" s="2">
        <f t="shared" ca="1" si="1940"/>
        <v>52486876.773636736</v>
      </c>
      <c r="U2033" s="2">
        <f t="shared" ca="1" si="1941"/>
        <v>54230800.703654043</v>
      </c>
      <c r="V2033" s="2">
        <f t="shared" ca="1" si="1942"/>
        <v>56032668.082789183</v>
      </c>
      <c r="W2033" s="2">
        <f t="shared" ca="1" si="1943"/>
        <v>57894404.134521157</v>
      </c>
      <c r="X2033" s="2">
        <f t="shared" ca="1" si="1944"/>
        <v>59817998.049619503</v>
      </c>
      <c r="Y2033" s="2">
        <f t="shared" ca="1" si="1945"/>
        <v>0.12482463695873336</v>
      </c>
      <c r="Z2033" s="2">
        <f t="shared" ca="1" si="1946"/>
        <v>0.12675449174222669</v>
      </c>
      <c r="AA2033" s="2">
        <f t="shared" ca="1" si="1947"/>
        <v>6551655.3383669797</v>
      </c>
      <c r="AB2033" s="2">
        <f t="shared" ca="1" si="1948"/>
        <v>6873997.5799656576</v>
      </c>
      <c r="AC2033" s="2">
        <f t="shared" ca="1" si="1949"/>
        <v>7102392.3637948306</v>
      </c>
      <c r="AD2033" s="2">
        <f t="shared" ca="1" si="1950"/>
        <v>7338375.7707902966</v>
      </c>
      <c r="AE2033" s="2">
        <f t="shared" ca="1" si="1951"/>
        <v>7582199.9398170281</v>
      </c>
      <c r="AF2033" s="2">
        <f t="shared" ca="1" si="1952"/>
        <v>1049737.5354727348</v>
      </c>
      <c r="AG2033" s="2">
        <f t="shared" ca="1" si="1953"/>
        <v>1084616.0140730808</v>
      </c>
      <c r="AH2033" s="2">
        <f t="shared" ca="1" si="1954"/>
        <v>1120653.3616557836</v>
      </c>
      <c r="AI2033" s="2">
        <f t="shared" ca="1" si="1955"/>
        <v>1157888.0826904231</v>
      </c>
      <c r="AJ2033" s="2">
        <f t="shared" ca="1" si="1956"/>
        <v>1196359.9609923901</v>
      </c>
      <c r="AK2033" s="2">
        <f t="shared" ca="1" si="1957"/>
        <v>0</v>
      </c>
      <c r="AL2033" s="2">
        <f t="shared" ca="1" si="1958"/>
        <v>17439.239300173074</v>
      </c>
      <c r="AM2033" s="2">
        <f t="shared" ca="1" si="1959"/>
        <v>18018.673791351393</v>
      </c>
      <c r="AN2033" s="2">
        <f t="shared" ca="1" si="1960"/>
        <v>18617.360517319739</v>
      </c>
      <c r="AO2033" s="2">
        <f t="shared" ca="1" si="1961"/>
        <v>19235.939150983468</v>
      </c>
      <c r="AP2033" s="2">
        <f t="shared" ca="1" si="1962"/>
        <v>2113933.2794243358</v>
      </c>
      <c r="AQ2033" s="2">
        <f t="shared" ca="1" si="1963"/>
        <v>880875.97610217636</v>
      </c>
      <c r="AR2033" s="2">
        <f t="shared" ca="1" si="1964"/>
        <v>955616.55448174279</v>
      </c>
      <c r="AS2033" s="2">
        <f t="shared" ca="1" si="1965"/>
        <v>1005629.4879058249</v>
      </c>
      <c r="AT2033" s="2">
        <f t="shared" ca="1" si="1966"/>
        <v>1057304.1462556398</v>
      </c>
      <c r="AU2033" s="2">
        <f t="shared" ca="1" si="1967"/>
        <v>1110695.7418440785</v>
      </c>
      <c r="AV2033" s="2">
        <f t="shared" ca="1" si="1968"/>
        <v>2507108.547367733</v>
      </c>
      <c r="AW2033" s="2">
        <f t="shared" ca="1" si="1969"/>
        <v>2702392.4926863257</v>
      </c>
      <c r="AX2033" s="2">
        <f t="shared" ca="1" si="1970"/>
        <v>2844157.5610175347</v>
      </c>
      <c r="AY2033" s="2">
        <f t="shared" ca="1" si="1971"/>
        <v>2990632.9019025788</v>
      </c>
      <c r="AZ2033" s="2">
        <f t="shared" ca="1" si="1972"/>
        <v>3141975.01840524</v>
      </c>
      <c r="BA2033" s="2">
        <f t="shared" ca="1" si="1973"/>
        <v>54207006.356853902</v>
      </c>
      <c r="BB2033" s="2">
        <f t="shared" ca="1" si="1974"/>
        <v>1084140.127137078</v>
      </c>
      <c r="BC2033" s="2">
        <f t="shared" ca="1" si="1975"/>
        <v>29634718.680557534</v>
      </c>
      <c r="BD2033" s="2">
        <f t="shared" ca="1" si="1976"/>
        <v>-17137437.847321168</v>
      </c>
      <c r="BE2033" s="2">
        <f t="shared" ca="1" si="1977"/>
        <v>2507108.547367733</v>
      </c>
      <c r="BF2033" s="2">
        <f t="shared" ca="1" si="1978"/>
        <v>2702392.4926863257</v>
      </c>
      <c r="BG2033" s="2">
        <f t="shared" ca="1" si="1979"/>
        <v>2844157.5610175347</v>
      </c>
      <c r="BH2033" s="2">
        <f t="shared" ca="1" si="1980"/>
        <v>2990632.9019025788</v>
      </c>
      <c r="BI2033" s="2">
        <f t="shared" ca="1" si="1981"/>
        <v>32776693.698962774</v>
      </c>
      <c r="BJ2033" s="2">
        <f t="shared" ca="1" si="1982"/>
        <v>0.2503513215211044</v>
      </c>
      <c r="BK2033" s="2">
        <f t="shared" ca="1" si="1983"/>
        <v>9778775.3721105903</v>
      </c>
    </row>
    <row r="2034" spans="1:63" x14ac:dyDescent="0.3">
      <c r="A2034" s="2">
        <v>2033</v>
      </c>
      <c r="B2034" s="2">
        <f t="shared" ca="1" si="1922"/>
        <v>0.61184557245313664</v>
      </c>
      <c r="C2034" s="2">
        <f t="shared" ca="1" si="1923"/>
        <v>7.1189160907758406</v>
      </c>
      <c r="D2034" s="2">
        <f t="shared" ca="1" si="1924"/>
        <v>0.58658960694276374</v>
      </c>
      <c r="E2034" s="2">
        <f t="shared" ca="1" si="1925"/>
        <v>7.590703136421074</v>
      </c>
      <c r="F2034" s="2">
        <f t="shared" ca="1" si="1926"/>
        <v>0.32749294146964325</v>
      </c>
      <c r="G2034" s="2">
        <f t="shared" ca="1" si="1927"/>
        <v>2.6594604519851218E-2</v>
      </c>
      <c r="H2034" s="2">
        <f t="shared" ca="1" si="1928"/>
        <v>2.6594604519851218E-2</v>
      </c>
      <c r="I2034" s="2">
        <f t="shared" ca="1" si="1929"/>
        <v>0.54983997534188056</v>
      </c>
      <c r="J2034" s="2">
        <f t="shared" ca="1" si="1930"/>
        <v>1.0626285276149439E-2</v>
      </c>
      <c r="K2034" s="2">
        <f t="shared" ca="1" si="1931"/>
        <v>1.0626285276149439E-2</v>
      </c>
      <c r="L2034" s="2">
        <f t="shared" ca="1" si="1932"/>
        <v>0.57174500455089117</v>
      </c>
      <c r="M2034" s="2">
        <f t="shared" ca="1" si="1933"/>
        <v>3.6163712909595648E-3</v>
      </c>
      <c r="N2034" s="2">
        <f t="shared" ca="1" si="1934"/>
        <v>3.6163712909595648E-3</v>
      </c>
      <c r="O2034" s="2">
        <f t="shared" si="1935"/>
        <v>6000000</v>
      </c>
      <c r="P2034" s="2">
        <f t="shared" ca="1" si="1936"/>
        <v>42713496.544655047</v>
      </c>
      <c r="Q2034" s="2">
        <f t="shared" ca="1" si="1937"/>
        <v>1067837.4136163762</v>
      </c>
      <c r="R2034" s="2">
        <f t="shared" ca="1" si="1938"/>
        <v>25628097.926793028</v>
      </c>
      <c r="S2034" s="2">
        <f t="shared" ca="1" si="1939"/>
        <v>17085398.61786202</v>
      </c>
      <c r="T2034" s="2">
        <f t="shared" ca="1" si="1940"/>
        <v>50180818.564547978</v>
      </c>
      <c r="U2034" s="2">
        <f t="shared" ca="1" si="1941"/>
        <v>51515357.588754542</v>
      </c>
      <c r="V2034" s="2">
        <f t="shared" ca="1" si="1942"/>
        <v>52885388.150526188</v>
      </c>
      <c r="W2034" s="2">
        <f t="shared" ca="1" si="1943"/>
        <v>54291854.133268259</v>
      </c>
      <c r="X2034" s="2">
        <f t="shared" ca="1" si="1944"/>
        <v>55735724.522591986</v>
      </c>
      <c r="Y2034" s="2">
        <f t="shared" ca="1" si="1945"/>
        <v>0.12531314263807472</v>
      </c>
      <c r="Z2034" s="2">
        <f t="shared" ca="1" si="1946"/>
        <v>0.12743839969330462</v>
      </c>
      <c r="AA2034" s="2">
        <f t="shared" ca="1" si="1947"/>
        <v>6288316.0744745489</v>
      </c>
      <c r="AB2034" s="2">
        <f t="shared" ca="1" si="1948"/>
        <v>6565034.7307392145</v>
      </c>
      <c r="AC2034" s="2">
        <f t="shared" ca="1" si="1949"/>
        <v>6739629.233062312</v>
      </c>
      <c r="AD2034" s="2">
        <f t="shared" ca="1" si="1950"/>
        <v>6918867.0071260324</v>
      </c>
      <c r="AE2034" s="2">
        <f t="shared" ca="1" si="1951"/>
        <v>7102871.5389059968</v>
      </c>
      <c r="AF2034" s="2">
        <f t="shared" ca="1" si="1952"/>
        <v>1003616.3712909595</v>
      </c>
      <c r="AG2034" s="2">
        <f t="shared" ca="1" si="1953"/>
        <v>1030307.1517750908</v>
      </c>
      <c r="AH2034" s="2">
        <f t="shared" ca="1" si="1954"/>
        <v>1057707.7630105237</v>
      </c>
      <c r="AI2034" s="2">
        <f t="shared" ca="1" si="1955"/>
        <v>1085837.0826653652</v>
      </c>
      <c r="AJ2034" s="2">
        <f t="shared" ca="1" si="1956"/>
        <v>1114714.4904518398</v>
      </c>
      <c r="AK2034" s="2">
        <f t="shared" ca="1" si="1957"/>
        <v>0</v>
      </c>
      <c r="AL2034" s="2">
        <f t="shared" ca="1" si="1958"/>
        <v>13345.390242065638</v>
      </c>
      <c r="AM2034" s="2">
        <f t="shared" ca="1" si="1959"/>
        <v>13700.305617716462</v>
      </c>
      <c r="AN2034" s="2">
        <f t="shared" ca="1" si="1960"/>
        <v>14064.659827420712</v>
      </c>
      <c r="AO2034" s="2">
        <f t="shared" ca="1" si="1961"/>
        <v>14438.703893237263</v>
      </c>
      <c r="AP2034" s="2">
        <f t="shared" ca="1" si="1962"/>
        <v>2306528.8134113722</v>
      </c>
      <c r="AQ2034" s="2">
        <f t="shared" ca="1" si="1963"/>
        <v>774324.4313407765</v>
      </c>
      <c r="AR2034" s="2">
        <f t="shared" ca="1" si="1964"/>
        <v>839331.67904371535</v>
      </c>
      <c r="AS2034" s="2">
        <f t="shared" ca="1" si="1965"/>
        <v>877602.09072650806</v>
      </c>
      <c r="AT2034" s="2">
        <f t="shared" ca="1" si="1966"/>
        <v>916890.28887281672</v>
      </c>
      <c r="AU2034" s="2">
        <f t="shared" ca="1" si="1967"/>
        <v>957223.34111112414</v>
      </c>
      <c r="AV2034" s="2">
        <f t="shared" ca="1" si="1968"/>
        <v>2203846.4584314409</v>
      </c>
      <c r="AW2034" s="2">
        <f t="shared" ca="1" si="1969"/>
        <v>2375521.6962669711</v>
      </c>
      <c r="AX2034" s="2">
        <f t="shared" ca="1" si="1970"/>
        <v>2484090.2602961916</v>
      </c>
      <c r="AY2034" s="2">
        <f t="shared" ca="1" si="1971"/>
        <v>2595546.1623490578</v>
      </c>
      <c r="AZ2034" s="2">
        <f t="shared" ca="1" si="1972"/>
        <v>2709966.1900384235</v>
      </c>
      <c r="BA2034" s="2">
        <f t="shared" ca="1" si="1973"/>
        <v>53915789.267969728</v>
      </c>
      <c r="BB2034" s="2">
        <f t="shared" ca="1" si="1974"/>
        <v>1078315.7853593945</v>
      </c>
      <c r="BC2034" s="2">
        <f t="shared" ca="1" si="1975"/>
        <v>27209375.555817306</v>
      </c>
      <c r="BD2034" s="2">
        <f t="shared" ca="1" si="1976"/>
        <v>-18653236.031478398</v>
      </c>
      <c r="BE2034" s="2">
        <f t="shared" ca="1" si="1977"/>
        <v>2203846.4584314409</v>
      </c>
      <c r="BF2034" s="2">
        <f t="shared" ca="1" si="1978"/>
        <v>2375521.6962669711</v>
      </c>
      <c r="BG2034" s="2">
        <f t="shared" ca="1" si="1979"/>
        <v>2484090.2602961916</v>
      </c>
      <c r="BH2034" s="2">
        <f t="shared" ca="1" si="1980"/>
        <v>2595546.1623490578</v>
      </c>
      <c r="BI2034" s="2">
        <f t="shared" ca="1" si="1981"/>
        <v>29919341.74585573</v>
      </c>
      <c r="BJ2034" s="2">
        <f t="shared" ca="1" si="1982"/>
        <v>0.19281860448452703</v>
      </c>
      <c r="BK2034" s="2">
        <f t="shared" ca="1" si="1983"/>
        <v>5602916.2755389288</v>
      </c>
    </row>
    <row r="2035" spans="1:63" x14ac:dyDescent="0.3">
      <c r="A2035" s="2">
        <v>2034</v>
      </c>
      <c r="B2035" s="2">
        <f t="shared" ca="1" si="1922"/>
        <v>0.51448491197344293</v>
      </c>
      <c r="C2035" s="2">
        <f t="shared" ca="1" si="1923"/>
        <v>7.0145913659536392</v>
      </c>
      <c r="D2035" s="2">
        <f t="shared" ca="1" si="1924"/>
        <v>0.89955318920458871</v>
      </c>
      <c r="E2035" s="2">
        <f t="shared" ca="1" si="1925"/>
        <v>8.0517884187230067</v>
      </c>
      <c r="F2035" s="2">
        <f t="shared" ca="1" si="1926"/>
        <v>8.6831138254343743E-2</v>
      </c>
      <c r="G2035" s="2">
        <f t="shared" ca="1" si="1927"/>
        <v>-8.15899008291876E-4</v>
      </c>
      <c r="H2035" s="2">
        <f t="shared" ca="1" si="1928"/>
        <v>-8.15899008291876E-4</v>
      </c>
      <c r="I2035" s="2">
        <f t="shared" ca="1" si="1929"/>
        <v>0.97181179248591654</v>
      </c>
      <c r="J2035" s="2">
        <f t="shared" ca="1" si="1930"/>
        <v>1.9540572654221215E-2</v>
      </c>
      <c r="K2035" s="2">
        <f t="shared" ca="1" si="1931"/>
        <v>1.9540572654221215E-2</v>
      </c>
      <c r="L2035" s="2">
        <f t="shared" ca="1" si="1932"/>
        <v>0.27591735610141044</v>
      </c>
      <c r="M2035" s="2">
        <f t="shared" ca="1" si="1933"/>
        <v>-1.1900262066125303E-2</v>
      </c>
      <c r="N2035" s="2">
        <f t="shared" ca="1" si="1934"/>
        <v>-1.1900262066125303E-2</v>
      </c>
      <c r="O2035" s="2">
        <f t="shared" si="1935"/>
        <v>6000000</v>
      </c>
      <c r="P2035" s="2">
        <f t="shared" ca="1" si="1936"/>
        <v>42087548.195721835</v>
      </c>
      <c r="Q2035" s="2">
        <f t="shared" ca="1" si="1937"/>
        <v>1052188.7048930458</v>
      </c>
      <c r="R2035" s="2">
        <f t="shared" ca="1" si="1938"/>
        <v>25252528.917433102</v>
      </c>
      <c r="S2035" s="2">
        <f t="shared" ca="1" si="1939"/>
        <v>16835019.278288733</v>
      </c>
      <c r="T2035" s="2">
        <f t="shared" ca="1" si="1940"/>
        <v>49404986.896693736</v>
      </c>
      <c r="U2035" s="2">
        <f t="shared" ca="1" si="1941"/>
        <v>49364677.416880056</v>
      </c>
      <c r="V2035" s="2">
        <f t="shared" ca="1" si="1942"/>
        <v>49324400.825530976</v>
      </c>
      <c r="W2035" s="2">
        <f t="shared" ca="1" si="1943"/>
        <v>49284157.095812835</v>
      </c>
      <c r="X2035" s="2">
        <f t="shared" ca="1" si="1944"/>
        <v>49243946.200913861</v>
      </c>
      <c r="Y2035" s="2">
        <f t="shared" ca="1" si="1945"/>
        <v>0.1297702863271106</v>
      </c>
      <c r="Z2035" s="2">
        <f t="shared" ca="1" si="1946"/>
        <v>0.13367840085795485</v>
      </c>
      <c r="AA2035" s="2">
        <f t="shared" ca="1" si="1947"/>
        <v>6411299.2955710934</v>
      </c>
      <c r="AB2035" s="2">
        <f t="shared" ca="1" si="1948"/>
        <v>6598991.135957323</v>
      </c>
      <c r="AC2035" s="2">
        <f t="shared" ca="1" si="1949"/>
        <v>6593607.0256337691</v>
      </c>
      <c r="AD2035" s="2">
        <f t="shared" ca="1" si="1950"/>
        <v>6588227.3082004879</v>
      </c>
      <c r="AE2035" s="2">
        <f t="shared" ca="1" si="1951"/>
        <v>6582851.9800733263</v>
      </c>
      <c r="AF2035" s="2">
        <f t="shared" ca="1" si="1952"/>
        <v>988099.73793387471</v>
      </c>
      <c r="AG2035" s="2">
        <f t="shared" ca="1" si="1953"/>
        <v>987293.54833760113</v>
      </c>
      <c r="AH2035" s="2">
        <f t="shared" ca="1" si="1954"/>
        <v>986488.01651061955</v>
      </c>
      <c r="AI2035" s="2">
        <f t="shared" ca="1" si="1955"/>
        <v>985683.14191625675</v>
      </c>
      <c r="AJ2035" s="2">
        <f t="shared" ca="1" si="1956"/>
        <v>984878.9240182772</v>
      </c>
      <c r="AK2035" s="2">
        <f t="shared" ca="1" si="1957"/>
        <v>0</v>
      </c>
      <c r="AL2035" s="2">
        <f t="shared" ca="1" si="1958"/>
        <v>0</v>
      </c>
      <c r="AM2035" s="2">
        <f t="shared" ca="1" si="1959"/>
        <v>0</v>
      </c>
      <c r="AN2035" s="2">
        <f t="shared" ca="1" si="1960"/>
        <v>0</v>
      </c>
      <c r="AO2035" s="2">
        <f t="shared" ca="1" si="1961"/>
        <v>0</v>
      </c>
      <c r="AP2035" s="2">
        <f t="shared" ca="1" si="1962"/>
        <v>2272727.6025689789</v>
      </c>
      <c r="AQ2035" s="2">
        <f t="shared" ca="1" si="1963"/>
        <v>819122.70831774233</v>
      </c>
      <c r="AR2035" s="2">
        <f t="shared" ca="1" si="1964"/>
        <v>868132.19611319317</v>
      </c>
      <c r="AS2035" s="2">
        <f t="shared" ca="1" si="1965"/>
        <v>866941.7657040843</v>
      </c>
      <c r="AT2035" s="2">
        <f t="shared" ca="1" si="1966"/>
        <v>865752.30656596564</v>
      </c>
      <c r="AU2035" s="2">
        <f t="shared" ca="1" si="1967"/>
        <v>864563.8179063783</v>
      </c>
      <c r="AV2035" s="2">
        <f t="shared" ca="1" si="1968"/>
        <v>2331349.2467504968</v>
      </c>
      <c r="AW2035" s="2">
        <f t="shared" ca="1" si="1969"/>
        <v>2470837.7889375496</v>
      </c>
      <c r="AX2035" s="2">
        <f t="shared" ca="1" si="1970"/>
        <v>2467449.6408500862</v>
      </c>
      <c r="AY2035" s="2">
        <f t="shared" ca="1" si="1971"/>
        <v>2464064.257149287</v>
      </c>
      <c r="AZ2035" s="2">
        <f t="shared" ca="1" si="1972"/>
        <v>2460681.6355796917</v>
      </c>
      <c r="BA2035" s="2">
        <f t="shared" ca="1" si="1973"/>
        <v>53003731.335322224</v>
      </c>
      <c r="BB2035" s="2">
        <f t="shared" ca="1" si="1974"/>
        <v>1060074.6267064444</v>
      </c>
      <c r="BC2035" s="2">
        <f t="shared" ca="1" si="1975"/>
        <v>26691127.791182678</v>
      </c>
      <c r="BD2035" s="2">
        <f t="shared" ca="1" si="1976"/>
        <v>-18387207.983181778</v>
      </c>
      <c r="BE2035" s="2">
        <f t="shared" ca="1" si="1977"/>
        <v>2331349.2467504968</v>
      </c>
      <c r="BF2035" s="2">
        <f t="shared" ca="1" si="1978"/>
        <v>2470837.7889375496</v>
      </c>
      <c r="BG2035" s="2">
        <f t="shared" ca="1" si="1979"/>
        <v>2467449.6408500862</v>
      </c>
      <c r="BH2035" s="2">
        <f t="shared" ca="1" si="1980"/>
        <v>2464064.257149287</v>
      </c>
      <c r="BI2035" s="2">
        <f t="shared" ca="1" si="1981"/>
        <v>29151809.426762369</v>
      </c>
      <c r="BJ2035" s="2">
        <f t="shared" ca="1" si="1982"/>
        <v>0.19357209697297684</v>
      </c>
      <c r="BK2035" s="2">
        <f t="shared" ca="1" si="1983"/>
        <v>5527849.4621732533</v>
      </c>
    </row>
    <row r="2036" spans="1:63" x14ac:dyDescent="0.3">
      <c r="A2036" s="2">
        <v>2035</v>
      </c>
      <c r="B2036" s="2">
        <f t="shared" ca="1" si="1922"/>
        <v>0.75194130665602288</v>
      </c>
      <c r="C2036" s="2">
        <f t="shared" ca="1" si="1923"/>
        <v>7.2956439915156865</v>
      </c>
      <c r="D2036" s="2">
        <f t="shared" ca="1" si="1924"/>
        <v>0.14241336056406539</v>
      </c>
      <c r="E2036" s="2">
        <f t="shared" ca="1" si="1925"/>
        <v>7.0336915973932239</v>
      </c>
      <c r="F2036" s="2">
        <f t="shared" ca="1" si="1926"/>
        <v>0.57205732369123374</v>
      </c>
      <c r="G2036" s="2">
        <f t="shared" ca="1" si="1927"/>
        <v>4.5448431793950764E-2</v>
      </c>
      <c r="H2036" s="2">
        <f t="shared" ca="1" si="1928"/>
        <v>4.5448431793950764E-2</v>
      </c>
      <c r="I2036" s="2">
        <f t="shared" ca="1" si="1929"/>
        <v>0.13188682699815646</v>
      </c>
      <c r="J2036" s="2">
        <f t="shared" ca="1" si="1930"/>
        <v>4.4124187323432316E-3</v>
      </c>
      <c r="K2036" s="2">
        <f t="shared" ca="1" si="1931"/>
        <v>4.4124187323432316E-3</v>
      </c>
      <c r="L2036" s="2">
        <f t="shared" ca="1" si="1932"/>
        <v>3.4092003084962852E-2</v>
      </c>
      <c r="M2036" s="2">
        <f t="shared" ca="1" si="1933"/>
        <v>-3.647577620990182E-2</v>
      </c>
      <c r="N2036" s="2">
        <f t="shared" ca="1" si="1934"/>
        <v>-3.647577620990182E-2</v>
      </c>
      <c r="O2036" s="2">
        <f t="shared" si="1935"/>
        <v>6000000</v>
      </c>
      <c r="P2036" s="2">
        <f t="shared" ca="1" si="1936"/>
        <v>43773863.949094117</v>
      </c>
      <c r="Q2036" s="2">
        <f t="shared" ca="1" si="1937"/>
        <v>1094346.5987273529</v>
      </c>
      <c r="R2036" s="2">
        <f t="shared" ca="1" si="1938"/>
        <v>26264318.36945647</v>
      </c>
      <c r="S2036" s="2">
        <f t="shared" ca="1" si="1939"/>
        <v>17509545.579637647</v>
      </c>
      <c r="T2036" s="2">
        <f t="shared" ca="1" si="1940"/>
        <v>48176211.189504907</v>
      </c>
      <c r="U2036" s="2">
        <f t="shared" ca="1" si="1941"/>
        <v>50365744.437842086</v>
      </c>
      <c r="V2036" s="2">
        <f t="shared" ca="1" si="1942"/>
        <v>52654788.538676903</v>
      </c>
      <c r="W2036" s="2">
        <f t="shared" ca="1" si="1943"/>
        <v>55047866.104201861</v>
      </c>
      <c r="X2036" s="2">
        <f t="shared" ca="1" si="1944"/>
        <v>57549705.292241216</v>
      </c>
      <c r="Y2036" s="2">
        <f t="shared" ca="1" si="1945"/>
        <v>0.12220620936617162</v>
      </c>
      <c r="Z2036" s="2">
        <f t="shared" ca="1" si="1946"/>
        <v>0.12308869311264026</v>
      </c>
      <c r="AA2036" s="2">
        <f t="shared" ca="1" si="1947"/>
        <v>5887432.1510935361</v>
      </c>
      <c r="AB2036" s="2">
        <f t="shared" ca="1" si="1948"/>
        <v>6199453.6604992123</v>
      </c>
      <c r="AC2036" s="2">
        <f t="shared" ca="1" si="1949"/>
        <v>6481209.1073481692</v>
      </c>
      <c r="AD2036" s="2">
        <f t="shared" ca="1" si="1950"/>
        <v>6775769.8974058144</v>
      </c>
      <c r="AE2036" s="2">
        <f t="shared" ca="1" si="1951"/>
        <v>7083718.0134395678</v>
      </c>
      <c r="AF2036" s="2">
        <f t="shared" ca="1" si="1952"/>
        <v>963524.2237900981</v>
      </c>
      <c r="AG2036" s="2">
        <f t="shared" ca="1" si="1953"/>
        <v>1007314.8887568418</v>
      </c>
      <c r="AH2036" s="2">
        <f t="shared" ca="1" si="1954"/>
        <v>1053095.7707735382</v>
      </c>
      <c r="AI2036" s="2">
        <f t="shared" ca="1" si="1955"/>
        <v>1100957.3220840371</v>
      </c>
      <c r="AJ2036" s="2">
        <f t="shared" ca="1" si="1956"/>
        <v>1150994.1058448243</v>
      </c>
      <c r="AK2036" s="2">
        <f t="shared" ca="1" si="1957"/>
        <v>0</v>
      </c>
      <c r="AL2036" s="2">
        <f t="shared" ca="1" si="1958"/>
        <v>21895.332483371796</v>
      </c>
      <c r="AM2036" s="2">
        <f t="shared" ca="1" si="1959"/>
        <v>22890.441008348167</v>
      </c>
      <c r="AN2036" s="2">
        <f t="shared" ca="1" si="1960"/>
        <v>23930.775655249581</v>
      </c>
      <c r="AO2036" s="2">
        <f t="shared" ca="1" si="1961"/>
        <v>25018.391880393552</v>
      </c>
      <c r="AP2036" s="2">
        <f t="shared" ca="1" si="1962"/>
        <v>2363788.6532510822</v>
      </c>
      <c r="AQ2036" s="2">
        <f t="shared" ca="1" si="1963"/>
        <v>665631.01125361258</v>
      </c>
      <c r="AR2036" s="2">
        <f t="shared" ca="1" si="1964"/>
        <v>735371.03080773505</v>
      </c>
      <c r="AS2036" s="2">
        <f t="shared" ca="1" si="1965"/>
        <v>796724.41766412265</v>
      </c>
      <c r="AT2036" s="2">
        <f t="shared" ca="1" si="1966"/>
        <v>860866.21973838063</v>
      </c>
      <c r="AU2036" s="2">
        <f t="shared" ca="1" si="1967"/>
        <v>927923.16612935194</v>
      </c>
      <c r="AV2036" s="2">
        <f t="shared" ca="1" si="1968"/>
        <v>1894488.2627987429</v>
      </c>
      <c r="AW2036" s="2">
        <f t="shared" ca="1" si="1969"/>
        <v>2071083.7552001816</v>
      </c>
      <c r="AX2036" s="2">
        <f t="shared" ca="1" si="1970"/>
        <v>2244709.8246510779</v>
      </c>
      <c r="AY2036" s="2">
        <f t="shared" ca="1" si="1971"/>
        <v>2426226.9266770645</v>
      </c>
      <c r="AZ2036" s="2">
        <f t="shared" ca="1" si="1972"/>
        <v>2615993.6963339155</v>
      </c>
      <c r="BA2036" s="2">
        <f t="shared" ca="1" si="1973"/>
        <v>49824687.869432911</v>
      </c>
      <c r="BB2036" s="2">
        <f t="shared" ca="1" si="1974"/>
        <v>996493.75738865824</v>
      </c>
      <c r="BC2036" s="2">
        <f t="shared" ca="1" si="1975"/>
        <v>22563875.742587782</v>
      </c>
      <c r="BD2036" s="2">
        <f t="shared" ca="1" si="1976"/>
        <v>-19103892.178365</v>
      </c>
      <c r="BE2036" s="2">
        <f t="shared" ca="1" si="1977"/>
        <v>1894488.2627987429</v>
      </c>
      <c r="BF2036" s="2">
        <f t="shared" ca="1" si="1978"/>
        <v>2071083.7552001816</v>
      </c>
      <c r="BG2036" s="2">
        <f t="shared" ca="1" si="1979"/>
        <v>2244709.8246510779</v>
      </c>
      <c r="BH2036" s="2">
        <f t="shared" ca="1" si="1980"/>
        <v>2426226.9266770645</v>
      </c>
      <c r="BI2036" s="2">
        <f t="shared" ca="1" si="1981"/>
        <v>25179869.438921697</v>
      </c>
      <c r="BJ2036" s="2">
        <f t="shared" ca="1" si="1982"/>
        <v>0.14257635287702364</v>
      </c>
      <c r="BK2036" s="2">
        <f t="shared" ca="1" si="1983"/>
        <v>1666055.821282234</v>
      </c>
    </row>
    <row r="2037" spans="1:63" x14ac:dyDescent="0.3">
      <c r="A2037" s="2">
        <v>2036</v>
      </c>
      <c r="B2037" s="2">
        <f t="shared" ca="1" si="1922"/>
        <v>0.60508368755717279</v>
      </c>
      <c r="C2037" s="2">
        <f t="shared" ca="1" si="1923"/>
        <v>7.1112747191141379</v>
      </c>
      <c r="D2037" s="2">
        <f t="shared" ca="1" si="1924"/>
        <v>0.25530104292729427</v>
      </c>
      <c r="E2037" s="2">
        <f t="shared" ca="1" si="1925"/>
        <v>7.2145642629285263</v>
      </c>
      <c r="F2037" s="2">
        <f t="shared" ca="1" si="1926"/>
        <v>0.27415853592432782</v>
      </c>
      <c r="G2037" s="2">
        <f t="shared" ca="1" si="1927"/>
        <v>2.1991484132844352E-2</v>
      </c>
      <c r="H2037" s="2">
        <f t="shared" ca="1" si="1928"/>
        <v>2.1991484132844352E-2</v>
      </c>
      <c r="I2037" s="2">
        <f t="shared" ca="1" si="1929"/>
        <v>0.95848871795794788</v>
      </c>
      <c r="J2037" s="2">
        <f t="shared" ca="1" si="1930"/>
        <v>1.8667057245175908E-2</v>
      </c>
      <c r="K2037" s="2">
        <f t="shared" ca="1" si="1931"/>
        <v>1.8667057245175908E-2</v>
      </c>
      <c r="L2037" s="2">
        <f t="shared" ca="1" si="1932"/>
        <v>0.89866524570912609</v>
      </c>
      <c r="M2037" s="2">
        <f t="shared" ca="1" si="1933"/>
        <v>2.5479656188195653E-2</v>
      </c>
      <c r="N2037" s="2">
        <f t="shared" ca="1" si="1934"/>
        <v>2.5479656188195653E-2</v>
      </c>
      <c r="O2037" s="2">
        <f t="shared" si="1935"/>
        <v>6000000</v>
      </c>
      <c r="P2037" s="2">
        <f t="shared" ca="1" si="1936"/>
        <v>42667648.314684831</v>
      </c>
      <c r="Q2037" s="2">
        <f t="shared" ca="1" si="1937"/>
        <v>1066691.2078671209</v>
      </c>
      <c r="R2037" s="2">
        <f t="shared" ca="1" si="1938"/>
        <v>25600588.988810897</v>
      </c>
      <c r="S2037" s="2">
        <f t="shared" ca="1" si="1939"/>
        <v>17067059.325873934</v>
      </c>
      <c r="T2037" s="2">
        <f t="shared" ca="1" si="1940"/>
        <v>51273982.809409782</v>
      </c>
      <c r="U2037" s="2">
        <f t="shared" ca="1" si="1941"/>
        <v>52401573.788790651</v>
      </c>
      <c r="V2037" s="2">
        <f t="shared" ca="1" si="1942"/>
        <v>53553962.167302914</v>
      </c>
      <c r="W2037" s="2">
        <f t="shared" ca="1" si="1943"/>
        <v>54731693.276556104</v>
      </c>
      <c r="X2037" s="2">
        <f t="shared" ca="1" si="1944"/>
        <v>55935324.440811194</v>
      </c>
      <c r="Y2037" s="2">
        <f t="shared" ca="1" si="1945"/>
        <v>0.12933352862258796</v>
      </c>
      <c r="Z2037" s="2">
        <f t="shared" ca="1" si="1946"/>
        <v>0.13306694007162312</v>
      </c>
      <c r="AA2037" s="2">
        <f t="shared" ca="1" si="1947"/>
        <v>6631445.1232748833</v>
      </c>
      <c r="AB2037" s="2">
        <f t="shared" ca="1" si="1948"/>
        <v>6972917.079011742</v>
      </c>
      <c r="AC2037" s="2">
        <f t="shared" ca="1" si="1949"/>
        <v>7126261.8743144684</v>
      </c>
      <c r="AD2037" s="2">
        <f t="shared" ca="1" si="1950"/>
        <v>7282978.9492499493</v>
      </c>
      <c r="AE2037" s="2">
        <f t="shared" ca="1" si="1951"/>
        <v>7443142.4652522188</v>
      </c>
      <c r="AF2037" s="2">
        <f t="shared" ca="1" si="1952"/>
        <v>1025479.6561881957</v>
      </c>
      <c r="AG2037" s="2">
        <f t="shared" ca="1" si="1953"/>
        <v>1048031.475775813</v>
      </c>
      <c r="AH2037" s="2">
        <f t="shared" ca="1" si="1954"/>
        <v>1071079.2433460583</v>
      </c>
      <c r="AI2037" s="2">
        <f t="shared" ca="1" si="1955"/>
        <v>1094633.8655311221</v>
      </c>
      <c r="AJ2037" s="2">
        <f t="shared" ca="1" si="1956"/>
        <v>1118706.4888162238</v>
      </c>
      <c r="AK2037" s="2">
        <f t="shared" ca="1" si="1957"/>
        <v>0</v>
      </c>
      <c r="AL2037" s="2">
        <f t="shared" ca="1" si="1958"/>
        <v>11275.909793808683</v>
      </c>
      <c r="AM2037" s="2">
        <f t="shared" ca="1" si="1959"/>
        <v>11523.883785122633</v>
      </c>
      <c r="AN2037" s="2">
        <f t="shared" ca="1" si="1960"/>
        <v>11777.311092531905</v>
      </c>
      <c r="AO2037" s="2">
        <f t="shared" ca="1" si="1961"/>
        <v>12036.311642550902</v>
      </c>
      <c r="AP2037" s="2">
        <f t="shared" ca="1" si="1962"/>
        <v>2304053.0089929807</v>
      </c>
      <c r="AQ2037" s="2">
        <f t="shared" ca="1" si="1963"/>
        <v>858497.23910436383</v>
      </c>
      <c r="AR2037" s="2">
        <f t="shared" ca="1" si="1964"/>
        <v>941416.47450316662</v>
      </c>
      <c r="AS2037" s="2">
        <f t="shared" ca="1" si="1965"/>
        <v>975293.70171361184</v>
      </c>
      <c r="AT2037" s="2">
        <f t="shared" ca="1" si="1966"/>
        <v>1009915.93942872</v>
      </c>
      <c r="AU2037" s="2">
        <f t="shared" ca="1" si="1967"/>
        <v>1045299.5715351837</v>
      </c>
      <c r="AV2037" s="2">
        <f t="shared" ca="1" si="1968"/>
        <v>2443415.2189893429</v>
      </c>
      <c r="AW2037" s="2">
        <f t="shared" ca="1" si="1969"/>
        <v>2668140.2099459725</v>
      </c>
      <c r="AX2037" s="2">
        <f t="shared" ca="1" si="1970"/>
        <v>2764312.0364766945</v>
      </c>
      <c r="AY2037" s="2">
        <f t="shared" ca="1" si="1971"/>
        <v>2862598.8242045944</v>
      </c>
      <c r="AZ2037" s="2">
        <f t="shared" ca="1" si="1972"/>
        <v>2963047.0842652791</v>
      </c>
      <c r="BA2037" s="2">
        <f t="shared" ca="1" si="1973"/>
        <v>53699029.633694388</v>
      </c>
      <c r="BB2037" s="2">
        <f t="shared" ca="1" si="1974"/>
        <v>1073980.5926738877</v>
      </c>
      <c r="BC2037" s="2">
        <f t="shared" ca="1" si="1975"/>
        <v>27024460.052209605</v>
      </c>
      <c r="BD2037" s="2">
        <f t="shared" ca="1" si="1976"/>
        <v>-18633750.533741053</v>
      </c>
      <c r="BE2037" s="2">
        <f t="shared" ca="1" si="1977"/>
        <v>2443415.2189893429</v>
      </c>
      <c r="BF2037" s="2">
        <f t="shared" ca="1" si="1978"/>
        <v>2668140.2099459725</v>
      </c>
      <c r="BG2037" s="2">
        <f t="shared" ca="1" si="1979"/>
        <v>2764312.0364766945</v>
      </c>
      <c r="BH2037" s="2">
        <f t="shared" ca="1" si="1980"/>
        <v>2862598.8242045944</v>
      </c>
      <c r="BI2037" s="2">
        <f t="shared" ca="1" si="1981"/>
        <v>29987507.136474885</v>
      </c>
      <c r="BJ2037" s="2">
        <f t="shared" ca="1" si="1982"/>
        <v>0.20455747605049535</v>
      </c>
      <c r="BK2037" s="2">
        <f t="shared" ca="1" si="1983"/>
        <v>6477428.1329644583</v>
      </c>
    </row>
    <row r="2038" spans="1:63" x14ac:dyDescent="0.3">
      <c r="A2038" s="2">
        <v>2037</v>
      </c>
      <c r="B2038" s="2">
        <f t="shared" ca="1" si="1922"/>
        <v>0.53234363778951443</v>
      </c>
      <c r="C2038" s="2">
        <f t="shared" ca="1" si="1923"/>
        <v>7.032884327279838</v>
      </c>
      <c r="D2038" s="2">
        <f t="shared" ca="1" si="1924"/>
        <v>0.77384937683809385</v>
      </c>
      <c r="E2038" s="2">
        <f t="shared" ca="1" si="1925"/>
        <v>7.8274665463162352</v>
      </c>
      <c r="F2038" s="2">
        <f t="shared" ca="1" si="1926"/>
        <v>0.53161290008813555</v>
      </c>
      <c r="G2038" s="2">
        <f t="shared" ca="1" si="1927"/>
        <v>4.2379747058200058E-2</v>
      </c>
      <c r="H2038" s="2">
        <f t="shared" ca="1" si="1928"/>
        <v>4.2379747058200058E-2</v>
      </c>
      <c r="I2038" s="2">
        <f t="shared" ca="1" si="1929"/>
        <v>0.33134981715318912</v>
      </c>
      <c r="J2038" s="2">
        <f t="shared" ca="1" si="1930"/>
        <v>7.8190551799285496E-3</v>
      </c>
      <c r="K2038" s="2">
        <f t="shared" ca="1" si="1931"/>
        <v>7.8190551799285496E-3</v>
      </c>
      <c r="L2038" s="2">
        <f t="shared" ca="1" si="1932"/>
        <v>0.39901108028938304</v>
      </c>
      <c r="M2038" s="2">
        <f t="shared" ca="1" si="1933"/>
        <v>-5.1181526594178258E-3</v>
      </c>
      <c r="N2038" s="2">
        <f t="shared" ca="1" si="1934"/>
        <v>-5.1181526594178258E-3</v>
      </c>
      <c r="O2038" s="2">
        <f t="shared" si="1935"/>
        <v>6000000</v>
      </c>
      <c r="P2038" s="2">
        <f t="shared" ca="1" si="1936"/>
        <v>42197305.963679031</v>
      </c>
      <c r="Q2038" s="2">
        <f t="shared" ca="1" si="1937"/>
        <v>1054932.6490919758</v>
      </c>
      <c r="R2038" s="2">
        <f t="shared" ca="1" si="1938"/>
        <v>25318383.578207418</v>
      </c>
      <c r="S2038" s="2">
        <f t="shared" ca="1" si="1939"/>
        <v>16878922.385471612</v>
      </c>
      <c r="T2038" s="2">
        <f t="shared" ca="1" si="1940"/>
        <v>49744092.367029108</v>
      </c>
      <c r="U2038" s="2">
        <f t="shared" ca="1" si="1941"/>
        <v>51852234.419183545</v>
      </c>
      <c r="V2038" s="2">
        <f t="shared" ca="1" si="1942"/>
        <v>54049718.998271041</v>
      </c>
      <c r="W2038" s="2">
        <f t="shared" ca="1" si="1943"/>
        <v>56340332.41798456</v>
      </c>
      <c r="X2038" s="2">
        <f t="shared" ca="1" si="1944"/>
        <v>58728021.45503366</v>
      </c>
      <c r="Y2038" s="2">
        <f t="shared" ca="1" si="1945"/>
        <v>0.12390952758996426</v>
      </c>
      <c r="Z2038" s="2">
        <f t="shared" ca="1" si="1946"/>
        <v>0.12547333862594998</v>
      </c>
      <c r="AA2038" s="2">
        <f t="shared" ca="1" si="1947"/>
        <v>6163766.9855901236</v>
      </c>
      <c r="AB2038" s="2">
        <f t="shared" ca="1" si="1948"/>
        <v>6506072.9677903559</v>
      </c>
      <c r="AC2038" s="2">
        <f t="shared" ca="1" si="1949"/>
        <v>6781798.6945075039</v>
      </c>
      <c r="AD2038" s="2">
        <f t="shared" ca="1" si="1950"/>
        <v>7069209.6077803634</v>
      </c>
      <c r="AE2038" s="2">
        <f t="shared" ca="1" si="1951"/>
        <v>7368800.9228594936</v>
      </c>
      <c r="AF2038" s="2">
        <f t="shared" ca="1" si="1952"/>
        <v>994881.84734058217</v>
      </c>
      <c r="AG2038" s="2">
        <f t="shared" ca="1" si="1953"/>
        <v>1037044.6883836709</v>
      </c>
      <c r="AH2038" s="2">
        <f t="shared" ca="1" si="1954"/>
        <v>1080994.3799654208</v>
      </c>
      <c r="AI2038" s="2">
        <f t="shared" ca="1" si="1955"/>
        <v>1126806.6483596913</v>
      </c>
      <c r="AJ2038" s="2">
        <f t="shared" ca="1" si="1956"/>
        <v>1174560.4291006732</v>
      </c>
      <c r="AK2038" s="2">
        <f t="shared" ca="1" si="1957"/>
        <v>0</v>
      </c>
      <c r="AL2038" s="2">
        <f t="shared" ca="1" si="1958"/>
        <v>21081.420521544369</v>
      </c>
      <c r="AM2038" s="2">
        <f t="shared" ca="1" si="1959"/>
        <v>21974.845790874959</v>
      </c>
      <c r="AN2038" s="2">
        <f t="shared" ca="1" si="1960"/>
        <v>22906.134197135194</v>
      </c>
      <c r="AO2038" s="2">
        <f t="shared" ca="1" si="1961"/>
        <v>23876.890370490997</v>
      </c>
      <c r="AP2038" s="2">
        <f t="shared" ca="1" si="1962"/>
        <v>2278654.5220386675</v>
      </c>
      <c r="AQ2038" s="2">
        <f t="shared" ca="1" si="1963"/>
        <v>751459.96021482733</v>
      </c>
      <c r="AR2038" s="2">
        <f t="shared" ca="1" si="1964"/>
        <v>829497.17691568471</v>
      </c>
      <c r="AS2038" s="2">
        <f t="shared" ca="1" si="1965"/>
        <v>889758.94605088804</v>
      </c>
      <c r="AT2038" s="2">
        <f t="shared" ca="1" si="1966"/>
        <v>952574.59371932119</v>
      </c>
      <c r="AU2038" s="2">
        <f t="shared" ca="1" si="1967"/>
        <v>1018052.3526472397</v>
      </c>
      <c r="AV2038" s="2">
        <f t="shared" ca="1" si="1968"/>
        <v>2138770.655996047</v>
      </c>
      <c r="AW2038" s="2">
        <f t="shared" ca="1" si="1969"/>
        <v>2339795.1599307889</v>
      </c>
      <c r="AX2038" s="2">
        <f t="shared" ca="1" si="1970"/>
        <v>2510416.0006616525</v>
      </c>
      <c r="AY2038" s="2">
        <f t="shared" ca="1" si="1971"/>
        <v>2688267.7094655475</v>
      </c>
      <c r="AZ2038" s="2">
        <f t="shared" ca="1" si="1972"/>
        <v>2873656.7287024222</v>
      </c>
      <c r="BA2038" s="2">
        <f t="shared" ca="1" si="1973"/>
        <v>57679042.710146889</v>
      </c>
      <c r="BB2038" s="2">
        <f t="shared" ca="1" si="1974"/>
        <v>1153580.8542029378</v>
      </c>
      <c r="BC2038" s="2">
        <f t="shared" ca="1" si="1975"/>
        <v>31207078.277736533</v>
      </c>
      <c r="BD2038" s="2">
        <f t="shared" ca="1" si="1976"/>
        <v>-18433855.034563586</v>
      </c>
      <c r="BE2038" s="2">
        <f t="shared" ca="1" si="1977"/>
        <v>2138770.655996047</v>
      </c>
      <c r="BF2038" s="2">
        <f t="shared" ca="1" si="1978"/>
        <v>2339795.1599307889</v>
      </c>
      <c r="BG2038" s="2">
        <f t="shared" ca="1" si="1979"/>
        <v>2510416.0006616525</v>
      </c>
      <c r="BH2038" s="2">
        <f t="shared" ca="1" si="1980"/>
        <v>2688267.7094655475</v>
      </c>
      <c r="BI2038" s="2">
        <f t="shared" ca="1" si="1981"/>
        <v>34080735.006438956</v>
      </c>
      <c r="BJ2038" s="2">
        <f t="shared" ca="1" si="1982"/>
        <v>0.22154478958066748</v>
      </c>
      <c r="BK2038" s="2">
        <f t="shared" ca="1" si="1983"/>
        <v>8174663.5561015271</v>
      </c>
    </row>
    <row r="2039" spans="1:63" x14ac:dyDescent="0.3">
      <c r="A2039" s="2">
        <v>2038</v>
      </c>
      <c r="B2039" s="2">
        <f t="shared" ca="1" si="1922"/>
        <v>0.56420587964622781</v>
      </c>
      <c r="C2039" s="2">
        <f t="shared" ca="1" si="1923"/>
        <v>7.0664110965164895</v>
      </c>
      <c r="D2039" s="2">
        <f t="shared" ca="1" si="1924"/>
        <v>0.95787014332461518</v>
      </c>
      <c r="E2039" s="2">
        <f t="shared" ca="1" si="1925"/>
        <v>8.2097247627668359</v>
      </c>
      <c r="F2039" s="2">
        <f t="shared" ca="1" si="1926"/>
        <v>0.50171475948724087</v>
      </c>
      <c r="G2039" s="2">
        <f t="shared" ca="1" si="1927"/>
        <v>4.0128948335503747E-2</v>
      </c>
      <c r="H2039" s="2">
        <f t="shared" ca="1" si="1928"/>
        <v>4.0128948335503747E-2</v>
      </c>
      <c r="I2039" s="2">
        <f t="shared" ca="1" si="1929"/>
        <v>0.5120333437947624</v>
      </c>
      <c r="J2039" s="2">
        <f t="shared" ca="1" si="1930"/>
        <v>1.015083847527545E-2</v>
      </c>
      <c r="K2039" s="2">
        <f t="shared" ca="1" si="1931"/>
        <v>1.015083847527545E-2</v>
      </c>
      <c r="L2039" s="2">
        <f t="shared" ca="1" si="1932"/>
        <v>0.63912875394617119</v>
      </c>
      <c r="M2039" s="2">
        <f t="shared" ca="1" si="1933"/>
        <v>7.1226192093750557E-3</v>
      </c>
      <c r="N2039" s="2">
        <f t="shared" ca="1" si="1934"/>
        <v>7.1226192093750557E-3</v>
      </c>
      <c r="O2039" s="2">
        <f t="shared" si="1935"/>
        <v>6000000</v>
      </c>
      <c r="P2039" s="2">
        <f t="shared" ca="1" si="1936"/>
        <v>42398466.57909894</v>
      </c>
      <c r="Q2039" s="2">
        <f t="shared" ca="1" si="1937"/>
        <v>1059961.6644774736</v>
      </c>
      <c r="R2039" s="2">
        <f t="shared" ca="1" si="1938"/>
        <v>25439079.947459362</v>
      </c>
      <c r="S2039" s="2">
        <f t="shared" ca="1" si="1939"/>
        <v>16959386.631639577</v>
      </c>
      <c r="T2039" s="2">
        <f t="shared" ca="1" si="1940"/>
        <v>50356130.960468747</v>
      </c>
      <c r="U2039" s="2">
        <f t="shared" ca="1" si="1941"/>
        <v>52376869.538157262</v>
      </c>
      <c r="V2039" s="2">
        <f t="shared" ca="1" si="1942"/>
        <v>54478698.229829401</v>
      </c>
      <c r="W2039" s="2">
        <f t="shared" ca="1" si="1943"/>
        <v>56664871.096479729</v>
      </c>
      <c r="X2039" s="2">
        <f t="shared" ca="1" si="1944"/>
        <v>58938772.781148352</v>
      </c>
      <c r="Y2039" s="2">
        <f t="shared" ca="1" si="1945"/>
        <v>0.12507541923763771</v>
      </c>
      <c r="Z2039" s="2">
        <f t="shared" ca="1" si="1946"/>
        <v>0.1271055869326928</v>
      </c>
      <c r="AA2039" s="2">
        <f t="shared" ca="1" si="1947"/>
        <v>6298314.1910660164</v>
      </c>
      <c r="AB2039" s="2">
        <f t="shared" ca="1" si="1948"/>
        <v>6657392.7443445576</v>
      </c>
      <c r="AC2039" s="2">
        <f t="shared" ca="1" si="1949"/>
        <v>6924546.913831519</v>
      </c>
      <c r="AD2039" s="2">
        <f t="shared" ca="1" si="1950"/>
        <v>7202421.6991834361</v>
      </c>
      <c r="AE2039" s="2">
        <f t="shared" ca="1" si="1951"/>
        <v>7491447.3074404802</v>
      </c>
      <c r="AF2039" s="2">
        <f t="shared" ca="1" si="1952"/>
        <v>1007122.619209375</v>
      </c>
      <c r="AG2039" s="2">
        <f t="shared" ca="1" si="1953"/>
        <v>1047537.3907631453</v>
      </c>
      <c r="AH2039" s="2">
        <f t="shared" ca="1" si="1954"/>
        <v>1089573.9645965879</v>
      </c>
      <c r="AI2039" s="2">
        <f t="shared" ca="1" si="1955"/>
        <v>1133297.4219295946</v>
      </c>
      <c r="AJ2039" s="2">
        <f t="shared" ca="1" si="1956"/>
        <v>1178775.4556229671</v>
      </c>
      <c r="AK2039" s="2">
        <f t="shared" ca="1" si="1957"/>
        <v>0</v>
      </c>
      <c r="AL2039" s="2">
        <f t="shared" ca="1" si="1958"/>
        <v>20207.385776885152</v>
      </c>
      <c r="AM2039" s="2">
        <f t="shared" ca="1" si="1959"/>
        <v>21018.28691672139</v>
      </c>
      <c r="AN2039" s="2">
        <f t="shared" ca="1" si="1960"/>
        <v>21861.728666503281</v>
      </c>
      <c r="AO2039" s="2">
        <f t="shared" ca="1" si="1961"/>
        <v>22739.016846686231</v>
      </c>
      <c r="AP2039" s="2">
        <f t="shared" ca="1" si="1962"/>
        <v>2289517.1952713425</v>
      </c>
      <c r="AQ2039" s="2">
        <f t="shared" ca="1" si="1963"/>
        <v>780435.33791217767</v>
      </c>
      <c r="AR2039" s="2">
        <f t="shared" ca="1" si="1964"/>
        <v>863287.92116061831</v>
      </c>
      <c r="AS2039" s="2">
        <f t="shared" ca="1" si="1965"/>
        <v>921818.49603053299</v>
      </c>
      <c r="AT2039" s="2">
        <f t="shared" ca="1" si="1966"/>
        <v>982697.84131544991</v>
      </c>
      <c r="AU2039" s="2">
        <f t="shared" ca="1" si="1967"/>
        <v>1046020.2107020044</v>
      </c>
      <c r="AV2039" s="2">
        <f t="shared" ca="1" si="1968"/>
        <v>2221239.038673121</v>
      </c>
      <c r="AW2039" s="2">
        <f t="shared" ca="1" si="1969"/>
        <v>2436842.8513725665</v>
      </c>
      <c r="AX2039" s="2">
        <f t="shared" ca="1" si="1970"/>
        <v>2602618.9710163339</v>
      </c>
      <c r="AY2039" s="2">
        <f t="shared" ca="1" si="1971"/>
        <v>2775047.5120005463</v>
      </c>
      <c r="AZ2039" s="2">
        <f t="shared" ca="1" si="1972"/>
        <v>2954395.4289974798</v>
      </c>
      <c r="BA2039" s="2">
        <f t="shared" ca="1" si="1973"/>
        <v>61502720.46885705</v>
      </c>
      <c r="BB2039" s="2">
        <f t="shared" ca="1" si="1974"/>
        <v>1230054.4093771409</v>
      </c>
      <c r="BC2039" s="2">
        <f t="shared" ca="1" si="1975"/>
        <v>34833586.112020545</v>
      </c>
      <c r="BD2039" s="2">
        <f t="shared" ca="1" si="1976"/>
        <v>-18519348.296117052</v>
      </c>
      <c r="BE2039" s="2">
        <f t="shared" ca="1" si="1977"/>
        <v>2221239.038673121</v>
      </c>
      <c r="BF2039" s="2">
        <f t="shared" ca="1" si="1978"/>
        <v>2436842.8513725665</v>
      </c>
      <c r="BG2039" s="2">
        <f t="shared" ca="1" si="1979"/>
        <v>2602618.9710163339</v>
      </c>
      <c r="BH2039" s="2">
        <f t="shared" ca="1" si="1980"/>
        <v>2775047.5120005463</v>
      </c>
      <c r="BI2039" s="2">
        <f t="shared" ca="1" si="1981"/>
        <v>37787981.541018024</v>
      </c>
      <c r="BJ2039" s="2">
        <f t="shared" ca="1" si="1982"/>
        <v>0.2445724315471649</v>
      </c>
      <c r="BK2039" s="2">
        <f t="shared" ca="1" si="1983"/>
        <v>10464538.235458463</v>
      </c>
    </row>
    <row r="2040" spans="1:63" x14ac:dyDescent="0.3">
      <c r="A2040" s="2">
        <v>2039</v>
      </c>
      <c r="B2040" s="2">
        <f t="shared" ca="1" si="1922"/>
        <v>0.15242285666034638</v>
      </c>
      <c r="C2040" s="2">
        <f t="shared" ca="1" si="1923"/>
        <v>6.5521283485935973</v>
      </c>
      <c r="D2040" s="2">
        <f t="shared" ca="1" si="1924"/>
        <v>0.97799458946313933</v>
      </c>
      <c r="E2040" s="2">
        <f t="shared" ca="1" si="1925"/>
        <v>8.2902124382292381</v>
      </c>
      <c r="F2040" s="2">
        <f t="shared" ca="1" si="1926"/>
        <v>0.73739752579900675</v>
      </c>
      <c r="G2040" s="2">
        <f t="shared" ca="1" si="1927"/>
        <v>5.906028016917509E-2</v>
      </c>
      <c r="H2040" s="2">
        <f t="shared" ca="1" si="1928"/>
        <v>5.906028016917509E-2</v>
      </c>
      <c r="I2040" s="2">
        <f t="shared" ca="1" si="1929"/>
        <v>0.2227483170167226</v>
      </c>
      <c r="J2040" s="2">
        <f t="shared" ca="1" si="1930"/>
        <v>6.1852786597527479E-3</v>
      </c>
      <c r="K2040" s="2">
        <f t="shared" ca="1" si="1931"/>
        <v>6.1852786597527479E-3</v>
      </c>
      <c r="L2040" s="2">
        <f t="shared" ca="1" si="1932"/>
        <v>0.16186455426068358</v>
      </c>
      <c r="M2040" s="2">
        <f t="shared" ca="1" si="1933"/>
        <v>-1.9736472595051697E-2</v>
      </c>
      <c r="N2040" s="2">
        <f t="shared" ca="1" si="1934"/>
        <v>-1.9736472595051697E-2</v>
      </c>
      <c r="O2040" s="2">
        <f t="shared" si="1935"/>
        <v>6000000</v>
      </c>
      <c r="P2040" s="2">
        <f t="shared" ca="1" si="1936"/>
        <v>39312770.091561586</v>
      </c>
      <c r="Q2040" s="2">
        <f t="shared" ca="1" si="1937"/>
        <v>982819.25228903966</v>
      </c>
      <c r="R2040" s="2">
        <f t="shared" ca="1" si="1938"/>
        <v>23587662.054936949</v>
      </c>
      <c r="S2040" s="2">
        <f t="shared" ca="1" si="1939"/>
        <v>15725108.036624635</v>
      </c>
      <c r="T2040" s="2">
        <f t="shared" ca="1" si="1940"/>
        <v>49013176.370247416</v>
      </c>
      <c r="U2040" s="2">
        <f t="shared" ca="1" si="1941"/>
        <v>51907908.298655421</v>
      </c>
      <c r="V2040" s="2">
        <f t="shared" ca="1" si="1942"/>
        <v>54973603.905769855</v>
      </c>
      <c r="W2040" s="2">
        <f t="shared" ca="1" si="1943"/>
        <v>58220360.354353882</v>
      </c>
      <c r="X2040" s="2">
        <f t="shared" ca="1" si="1944"/>
        <v>61658871.148432359</v>
      </c>
      <c r="Y2040" s="2">
        <f t="shared" ca="1" si="1945"/>
        <v>0.12309263932987637</v>
      </c>
      <c r="Z2040" s="2">
        <f t="shared" ca="1" si="1946"/>
        <v>0.12432969506182692</v>
      </c>
      <c r="AA2040" s="2">
        <f t="shared" ca="1" si="1947"/>
        <v>6033161.2413544841</v>
      </c>
      <c r="AB2040" s="2">
        <f t="shared" ca="1" si="1948"/>
        <v>6453694.4100691034</v>
      </c>
      <c r="AC2040" s="2">
        <f t="shared" ca="1" si="1949"/>
        <v>6834851.4100540234</v>
      </c>
      <c r="AD2040" s="2">
        <f t="shared" ca="1" si="1950"/>
        <v>7238519.6492464961</v>
      </c>
      <c r="AE2040" s="2">
        <f t="shared" ca="1" si="1951"/>
        <v>7666028.6477410728</v>
      </c>
      <c r="AF2040" s="2">
        <f t="shared" ca="1" si="1952"/>
        <v>980263.52740494837</v>
      </c>
      <c r="AG2040" s="2">
        <f t="shared" ca="1" si="1953"/>
        <v>1038158.1659731084</v>
      </c>
      <c r="AH2040" s="2">
        <f t="shared" ca="1" si="1954"/>
        <v>1099472.0781153971</v>
      </c>
      <c r="AI2040" s="2">
        <f t="shared" ca="1" si="1955"/>
        <v>1164407.2070870777</v>
      </c>
      <c r="AJ2040" s="2">
        <f t="shared" ca="1" si="1956"/>
        <v>1233177.4229686472</v>
      </c>
      <c r="AK2040" s="2">
        <f t="shared" ca="1" si="1957"/>
        <v>0</v>
      </c>
      <c r="AL2040" s="2">
        <f t="shared" ca="1" si="1958"/>
        <v>28947.319284080044</v>
      </c>
      <c r="AM2040" s="2">
        <f t="shared" ca="1" si="1959"/>
        <v>30656.956071144345</v>
      </c>
      <c r="AN2040" s="2">
        <f t="shared" ca="1" si="1960"/>
        <v>32467.564485840277</v>
      </c>
      <c r="AO2040" s="2">
        <f t="shared" ca="1" si="1961"/>
        <v>34385.107940784765</v>
      </c>
      <c r="AP2040" s="2">
        <f t="shared" ca="1" si="1962"/>
        <v>2122889.5849443255</v>
      </c>
      <c r="AQ2040" s="2">
        <f t="shared" ca="1" si="1963"/>
        <v>761802.11354135477</v>
      </c>
      <c r="AR2040" s="2">
        <f t="shared" ca="1" si="1964"/>
        <v>856088.13137943414</v>
      </c>
      <c r="AS2040" s="2">
        <f t="shared" ca="1" si="1965"/>
        <v>939247.33421851823</v>
      </c>
      <c r="AT2040" s="2">
        <f t="shared" ca="1" si="1966"/>
        <v>1027317.9428759241</v>
      </c>
      <c r="AU2040" s="2">
        <f t="shared" ca="1" si="1967"/>
        <v>1120590.0263553059</v>
      </c>
      <c r="AV2040" s="2">
        <f t="shared" ca="1" si="1968"/>
        <v>2168206.015463856</v>
      </c>
      <c r="AW2040" s="2">
        <f t="shared" ca="1" si="1969"/>
        <v>2407611.2084881561</v>
      </c>
      <c r="AX2040" s="2">
        <f t="shared" ca="1" si="1970"/>
        <v>2642585.4567046389</v>
      </c>
      <c r="AY2040" s="2">
        <f t="shared" ca="1" si="1971"/>
        <v>2891437.3498533284</v>
      </c>
      <c r="AZ2040" s="2">
        <f t="shared" ca="1" si="1972"/>
        <v>3154986.5055320095</v>
      </c>
      <c r="BA2040" s="2">
        <f t="shared" ca="1" si="1973"/>
        <v>63553006.04732471</v>
      </c>
      <c r="BB2040" s="2">
        <f t="shared" ca="1" si="1974"/>
        <v>1271060.1209464942</v>
      </c>
      <c r="BC2040" s="2">
        <f t="shared" ca="1" si="1975"/>
        <v>38694283.87144126</v>
      </c>
      <c r="BD2040" s="2">
        <f t="shared" ca="1" si="1976"/>
        <v>-17207927.288913675</v>
      </c>
      <c r="BE2040" s="2">
        <f t="shared" ca="1" si="1977"/>
        <v>2168206.015463856</v>
      </c>
      <c r="BF2040" s="2">
        <f t="shared" ca="1" si="1978"/>
        <v>2407611.2084881561</v>
      </c>
      <c r="BG2040" s="2">
        <f t="shared" ca="1" si="1979"/>
        <v>2642585.4567046389</v>
      </c>
      <c r="BH2040" s="2">
        <f t="shared" ca="1" si="1980"/>
        <v>2891437.3498533284</v>
      </c>
      <c r="BI2040" s="2">
        <f t="shared" ca="1" si="1981"/>
        <v>41849270.376973271</v>
      </c>
      <c r="BJ2040" s="2">
        <f t="shared" ca="1" si="1982"/>
        <v>0.28836567061616925</v>
      </c>
      <c r="BK2040" s="2">
        <f t="shared" ca="1" si="1983"/>
        <v>14112204.597880568</v>
      </c>
    </row>
    <row r="2041" spans="1:63" x14ac:dyDescent="0.3">
      <c r="A2041" s="2">
        <v>2040</v>
      </c>
      <c r="B2041" s="2">
        <f t="shared" ca="1" si="1922"/>
        <v>0.31825902525234229</v>
      </c>
      <c r="C2041" s="2">
        <f t="shared" ca="1" si="1923"/>
        <v>6.7978208135318887</v>
      </c>
      <c r="D2041" s="2">
        <f t="shared" ca="1" si="1924"/>
        <v>0.48191959121816141</v>
      </c>
      <c r="E2041" s="2">
        <f t="shared" ca="1" si="1925"/>
        <v>7.4817531168457387</v>
      </c>
      <c r="F2041" s="2">
        <f t="shared" ca="1" si="1926"/>
        <v>0.28185589507731601</v>
      </c>
      <c r="G2041" s="2">
        <f t="shared" ca="1" si="1927"/>
        <v>2.2679888513289306E-2</v>
      </c>
      <c r="H2041" s="2">
        <f t="shared" ca="1" si="1928"/>
        <v>2.2679888513289306E-2</v>
      </c>
      <c r="I2041" s="2">
        <f t="shared" ca="1" si="1929"/>
        <v>0.12258295770062655</v>
      </c>
      <c r="J2041" s="2">
        <f t="shared" ca="1" si="1930"/>
        <v>4.1891438120345674E-3</v>
      </c>
      <c r="K2041" s="2">
        <f t="shared" ca="1" si="1931"/>
        <v>4.1891438120345674E-3</v>
      </c>
      <c r="L2041" s="2">
        <f t="shared" ca="1" si="1932"/>
        <v>0.59009485243484439</v>
      </c>
      <c r="M2041" s="2">
        <f t="shared" ca="1" si="1933"/>
        <v>4.5557795757825955E-3</v>
      </c>
      <c r="N2041" s="2">
        <f t="shared" ca="1" si="1934"/>
        <v>4.5557795757825955E-3</v>
      </c>
      <c r="O2041" s="2">
        <f t="shared" si="1935"/>
        <v>6000000</v>
      </c>
      <c r="P2041" s="2">
        <f t="shared" ca="1" si="1936"/>
        <v>40786924.881191336</v>
      </c>
      <c r="Q2041" s="2">
        <f t="shared" ca="1" si="1937"/>
        <v>1019673.1220297834</v>
      </c>
      <c r="R2041" s="2">
        <f t="shared" ca="1" si="1938"/>
        <v>24472154.928714801</v>
      </c>
      <c r="S2041" s="2">
        <f t="shared" ca="1" si="1939"/>
        <v>16314769.952476535</v>
      </c>
      <c r="T2041" s="2">
        <f t="shared" ca="1" si="1940"/>
        <v>50227788.978789136</v>
      </c>
      <c r="U2041" s="2">
        <f t="shared" ca="1" si="1941"/>
        <v>51366949.63309709</v>
      </c>
      <c r="V2041" s="2">
        <f t="shared" ca="1" si="1942"/>
        <v>52531946.324043475</v>
      </c>
      <c r="W2041" s="2">
        <f t="shared" ca="1" si="1943"/>
        <v>53723365.01005888</v>
      </c>
      <c r="X2041" s="2">
        <f t="shared" ca="1" si="1944"/>
        <v>54941804.939045765</v>
      </c>
      <c r="Y2041" s="2">
        <f t="shared" ca="1" si="1945"/>
        <v>0.12209457190601727</v>
      </c>
      <c r="Z2041" s="2">
        <f t="shared" ca="1" si="1946"/>
        <v>0.12293240066842419</v>
      </c>
      <c r="AA2041" s="2">
        <f t="shared" ca="1" si="1947"/>
        <v>6132540.3931510318</v>
      </c>
      <c r="AB2041" s="2">
        <f t="shared" ca="1" si="1948"/>
        <v>6314662.4334106566</v>
      </c>
      <c r="AC2041" s="2">
        <f t="shared" ca="1" si="1949"/>
        <v>6457878.2733994657</v>
      </c>
      <c r="AD2041" s="2">
        <f t="shared" ca="1" si="1950"/>
        <v>6604342.2326725591</v>
      </c>
      <c r="AE2041" s="2">
        <f t="shared" ca="1" si="1951"/>
        <v>6754127.9782131808</v>
      </c>
      <c r="AF2041" s="2">
        <f t="shared" ca="1" si="1952"/>
        <v>1004555.7795757827</v>
      </c>
      <c r="AG2041" s="2">
        <f t="shared" ca="1" si="1953"/>
        <v>1027338.9926619418</v>
      </c>
      <c r="AH2041" s="2">
        <f t="shared" ca="1" si="1954"/>
        <v>1050638.9264808695</v>
      </c>
      <c r="AI2041" s="2">
        <f t="shared" ca="1" si="1955"/>
        <v>1074467.3002011776</v>
      </c>
      <c r="AJ2041" s="2">
        <f t="shared" ca="1" si="1956"/>
        <v>1098836.0987809154</v>
      </c>
      <c r="AK2041" s="2">
        <f t="shared" ca="1" si="1957"/>
        <v>0</v>
      </c>
      <c r="AL2041" s="2">
        <f t="shared" ca="1" si="1958"/>
        <v>11391.606543079541</v>
      </c>
      <c r="AM2041" s="2">
        <f t="shared" ca="1" si="1959"/>
        <v>11649.966909463852</v>
      </c>
      <c r="AN2041" s="2">
        <f t="shared" ca="1" si="1960"/>
        <v>11914.186860154048</v>
      </c>
      <c r="AO2041" s="2">
        <f t="shared" ca="1" si="1961"/>
        <v>12184.399289868847</v>
      </c>
      <c r="AP2041" s="2">
        <f t="shared" ca="1" si="1962"/>
        <v>2202493.9435843318</v>
      </c>
      <c r="AQ2041" s="2">
        <f t="shared" ca="1" si="1963"/>
        <v>760627.57419763855</v>
      </c>
      <c r="AR2041" s="2">
        <f t="shared" ca="1" si="1964"/>
        <v>802055.6692627396</v>
      </c>
      <c r="AS2041" s="2">
        <f t="shared" ca="1" si="1965"/>
        <v>833233.8048669087</v>
      </c>
      <c r="AT2041" s="2">
        <f t="shared" ca="1" si="1966"/>
        <v>865119.057110633</v>
      </c>
      <c r="AU2041" s="2">
        <f t="shared" ca="1" si="1967"/>
        <v>897727.46332046285</v>
      </c>
      <c r="AV2041" s="2">
        <f t="shared" ca="1" si="1968"/>
        <v>2164863.0957932784</v>
      </c>
      <c r="AW2041" s="2">
        <f t="shared" ca="1" si="1969"/>
        <v>2271382.2213585633</v>
      </c>
      <c r="AX2041" s="2">
        <f t="shared" ca="1" si="1970"/>
        <v>2359861.6315578916</v>
      </c>
      <c r="AY2041" s="2">
        <f t="shared" ca="1" si="1971"/>
        <v>2450347.7449162626</v>
      </c>
      <c r="AZ2041" s="2">
        <f t="shared" ca="1" si="1972"/>
        <v>2542886.0732376021</v>
      </c>
      <c r="BA2041" s="2">
        <f t="shared" ca="1" si="1973"/>
        <v>50532718.052571476</v>
      </c>
      <c r="BB2041" s="2">
        <f t="shared" ca="1" si="1974"/>
        <v>1010654.3610514295</v>
      </c>
      <c r="BC2041" s="2">
        <f t="shared" ca="1" si="1975"/>
        <v>25049908.762805246</v>
      </c>
      <c r="BD2041" s="2">
        <f t="shared" ca="1" si="1976"/>
        <v>-17834443.07450632</v>
      </c>
      <c r="BE2041" s="2">
        <f t="shared" ca="1" si="1977"/>
        <v>2164863.0957932784</v>
      </c>
      <c r="BF2041" s="2">
        <f t="shared" ca="1" si="1978"/>
        <v>2271382.2213585633</v>
      </c>
      <c r="BG2041" s="2">
        <f t="shared" ca="1" si="1979"/>
        <v>2359861.6315578916</v>
      </c>
      <c r="BH2041" s="2">
        <f t="shared" ca="1" si="1980"/>
        <v>2450347.7449162626</v>
      </c>
      <c r="BI2041" s="2">
        <f t="shared" ca="1" si="1981"/>
        <v>27592794.836042847</v>
      </c>
      <c r="BJ2041" s="2">
        <f t="shared" ca="1" si="1982"/>
        <v>0.18628983630169627</v>
      </c>
      <c r="BK2041" s="2">
        <f t="shared" ca="1" si="1983"/>
        <v>4803038.40581844</v>
      </c>
    </row>
    <row r="2042" spans="1:63" x14ac:dyDescent="0.3">
      <c r="A2042" s="2">
        <v>2041</v>
      </c>
      <c r="B2042" s="2">
        <f t="shared" ca="1" si="1922"/>
        <v>0.18199833429938794</v>
      </c>
      <c r="C2042" s="2">
        <f t="shared" ca="1" si="1923"/>
        <v>6.6033213642817365</v>
      </c>
      <c r="D2042" s="2">
        <f t="shared" ca="1" si="1924"/>
        <v>0.85395844435110357</v>
      </c>
      <c r="E2042" s="2">
        <f t="shared" ca="1" si="1925"/>
        <v>7.9595528598486318</v>
      </c>
      <c r="F2042" s="2">
        <f t="shared" ca="1" si="1926"/>
        <v>0.74904571846506074</v>
      </c>
      <c r="G2042" s="2">
        <f t="shared" ca="1" si="1927"/>
        <v>6.014469362879224E-2</v>
      </c>
      <c r="H2042" s="2">
        <f t="shared" ca="1" si="1928"/>
        <v>6.014469362879224E-2</v>
      </c>
      <c r="I2042" s="2">
        <f t="shared" ca="1" si="1929"/>
        <v>0.71834020640715224</v>
      </c>
      <c r="J2042" s="2">
        <f t="shared" ca="1" si="1930"/>
        <v>1.2889589221985917E-2</v>
      </c>
      <c r="K2042" s="2">
        <f t="shared" ca="1" si="1931"/>
        <v>1.2889589221985917E-2</v>
      </c>
      <c r="L2042" s="2">
        <f t="shared" ca="1" si="1932"/>
        <v>0.34762378925576221</v>
      </c>
      <c r="M2042" s="2">
        <f t="shared" ca="1" si="1933"/>
        <v>-7.8348745159848559E-3</v>
      </c>
      <c r="N2042" s="2">
        <f t="shared" ca="1" si="1934"/>
        <v>-7.8348745159848559E-3</v>
      </c>
      <c r="O2042" s="2">
        <f t="shared" si="1935"/>
        <v>6000000</v>
      </c>
      <c r="P2042" s="2">
        <f t="shared" ca="1" si="1936"/>
        <v>39619928.185690418</v>
      </c>
      <c r="Q2042" s="2">
        <f t="shared" ca="1" si="1937"/>
        <v>990498.20464226045</v>
      </c>
      <c r="R2042" s="2">
        <f t="shared" ca="1" si="1938"/>
        <v>23771956.911414251</v>
      </c>
      <c r="S2042" s="2">
        <f t="shared" ca="1" si="1939"/>
        <v>15847971.274276167</v>
      </c>
      <c r="T2042" s="2">
        <f t="shared" ca="1" si="1940"/>
        <v>49608256.27420076</v>
      </c>
      <c r="U2042" s="2">
        <f t="shared" ca="1" si="1941"/>
        <v>52591929.649271168</v>
      </c>
      <c r="V2042" s="2">
        <f t="shared" ca="1" si="1942"/>
        <v>55755055.145373575</v>
      </c>
      <c r="W2042" s="2">
        <f t="shared" ca="1" si="1943"/>
        <v>59108425.855348483</v>
      </c>
      <c r="X2042" s="2">
        <f t="shared" ca="1" si="1944"/>
        <v>62663484.019298591</v>
      </c>
      <c r="Y2042" s="2">
        <f t="shared" ca="1" si="1945"/>
        <v>0.12644479461099295</v>
      </c>
      <c r="Z2042" s="2">
        <f t="shared" ca="1" si="1946"/>
        <v>0.12902271245539013</v>
      </c>
      <c r="AA2042" s="2">
        <f t="shared" ca="1" si="1947"/>
        <v>6272705.7756008171</v>
      </c>
      <c r="AB2042" s="2">
        <f t="shared" ca="1" si="1948"/>
        <v>6785553.4166120207</v>
      </c>
      <c r="AC2042" s="2">
        <f t="shared" ca="1" si="1949"/>
        <v>7193668.4479559548</v>
      </c>
      <c r="AD2042" s="2">
        <f t="shared" ca="1" si="1950"/>
        <v>7626329.4328253744</v>
      </c>
      <c r="AE2042" s="2">
        <f t="shared" ca="1" si="1951"/>
        <v>8085012.6800748967</v>
      </c>
      <c r="AF2042" s="2">
        <f t="shared" ca="1" si="1952"/>
        <v>992165.12548401521</v>
      </c>
      <c r="AG2042" s="2">
        <f t="shared" ca="1" si="1953"/>
        <v>1051838.5929854233</v>
      </c>
      <c r="AH2042" s="2">
        <f t="shared" ca="1" si="1954"/>
        <v>1115101.1029074716</v>
      </c>
      <c r="AI2042" s="2">
        <f t="shared" ca="1" si="1955"/>
        <v>1182168.5171069696</v>
      </c>
      <c r="AJ2042" s="2">
        <f t="shared" ca="1" si="1956"/>
        <v>1253269.6803859719</v>
      </c>
      <c r="AK2042" s="2">
        <f t="shared" ca="1" si="1957"/>
        <v>0</v>
      </c>
      <c r="AL2042" s="2">
        <f t="shared" ca="1" si="1958"/>
        <v>29836.733750704079</v>
      </c>
      <c r="AM2042" s="2">
        <f t="shared" ca="1" si="1959"/>
        <v>31631.254961024075</v>
      </c>
      <c r="AN2042" s="2">
        <f t="shared" ca="1" si="1960"/>
        <v>33533.707099749074</v>
      </c>
      <c r="AO2042" s="2">
        <f t="shared" ca="1" si="1961"/>
        <v>35550.581639501084</v>
      </c>
      <c r="AP2042" s="2">
        <f t="shared" ca="1" si="1962"/>
        <v>2139476.1220272826</v>
      </c>
      <c r="AQ2042" s="2">
        <f t="shared" ca="1" si="1963"/>
        <v>816676.77730327507</v>
      </c>
      <c r="AR2042" s="2">
        <f t="shared" ca="1" si="1964"/>
        <v>934502.06241582183</v>
      </c>
      <c r="AS2042" s="2">
        <f t="shared" ca="1" si="1965"/>
        <v>1024163.7179855122</v>
      </c>
      <c r="AT2042" s="2">
        <f t="shared" ca="1" si="1966"/>
        <v>1119218.0463596918</v>
      </c>
      <c r="AU2042" s="2">
        <f t="shared" ca="1" si="1967"/>
        <v>1219989.3881920271</v>
      </c>
      <c r="AV2042" s="2">
        <f t="shared" ca="1" si="1968"/>
        <v>2324387.7507862449</v>
      </c>
      <c r="AW2042" s="2">
        <f t="shared" ca="1" si="1969"/>
        <v>2629899.9054327896</v>
      </c>
      <c r="AX2042" s="2">
        <f t="shared" ca="1" si="1970"/>
        <v>2883296.2500746651</v>
      </c>
      <c r="AY2042" s="2">
        <f t="shared" ca="1" si="1971"/>
        <v>3151933.0402316814</v>
      </c>
      <c r="AZ2042" s="2">
        <f t="shared" ca="1" si="1972"/>
        <v>3436726.9078301145</v>
      </c>
      <c r="BA2042" s="2">
        <f t="shared" ca="1" si="1973"/>
        <v>64353085.799602598</v>
      </c>
      <c r="BB2042" s="2">
        <f t="shared" ca="1" si="1974"/>
        <v>1287061.7159920519</v>
      </c>
      <c r="BC2042" s="2">
        <f t="shared" ca="1" si="1975"/>
        <v>39294067.172196299</v>
      </c>
      <c r="BD2042" s="2">
        <f t="shared" ca="1" si="1976"/>
        <v>-17338469.478918426</v>
      </c>
      <c r="BE2042" s="2">
        <f t="shared" ca="1" si="1977"/>
        <v>2324387.7507862449</v>
      </c>
      <c r="BF2042" s="2">
        <f t="shared" ca="1" si="1978"/>
        <v>2629899.9054327896</v>
      </c>
      <c r="BG2042" s="2">
        <f t="shared" ca="1" si="1979"/>
        <v>2883296.2500746651</v>
      </c>
      <c r="BH2042" s="2">
        <f t="shared" ca="1" si="1980"/>
        <v>3151933.0402316814</v>
      </c>
      <c r="BI2042" s="2">
        <f t="shared" ca="1" si="1981"/>
        <v>42730794.080026411</v>
      </c>
      <c r="BJ2042" s="2">
        <f t="shared" ca="1" si="1982"/>
        <v>0.29872322305943921</v>
      </c>
      <c r="BK2042" s="2">
        <f t="shared" ca="1" si="1983"/>
        <v>15135400.705898423</v>
      </c>
    </row>
    <row r="2043" spans="1:63" x14ac:dyDescent="0.3">
      <c r="A2043" s="2">
        <v>2042</v>
      </c>
      <c r="B2043" s="2">
        <f t="shared" ca="1" si="1922"/>
        <v>0.44093007322762245</v>
      </c>
      <c r="C2043" s="2">
        <f t="shared" ca="1" si="1923"/>
        <v>6.9390740899712036</v>
      </c>
      <c r="D2043" s="2">
        <f t="shared" ca="1" si="1924"/>
        <v>0.86074400483515012</v>
      </c>
      <c r="E2043" s="2">
        <f t="shared" ca="1" si="1925"/>
        <v>7.9722576477771563</v>
      </c>
      <c r="F2043" s="2">
        <f t="shared" ca="1" si="1926"/>
        <v>0.3021599625631004</v>
      </c>
      <c r="G2043" s="2">
        <f t="shared" ca="1" si="1927"/>
        <v>2.445405118741082E-2</v>
      </c>
      <c r="H2043" s="2">
        <f t="shared" ca="1" si="1928"/>
        <v>2.445405118741082E-2</v>
      </c>
      <c r="I2043" s="2">
        <f t="shared" ca="1" si="1929"/>
        <v>0.14020658228271432</v>
      </c>
      <c r="J2043" s="2">
        <f t="shared" ca="1" si="1930"/>
        <v>4.6030416700994572E-3</v>
      </c>
      <c r="K2043" s="2">
        <f t="shared" ca="1" si="1931"/>
        <v>4.6030416700994572E-3</v>
      </c>
      <c r="L2043" s="2">
        <f t="shared" ca="1" si="1932"/>
        <v>0.12972099963158235</v>
      </c>
      <c r="M2043" s="2">
        <f t="shared" ca="1" si="1933"/>
        <v>-2.2554219588234722E-2</v>
      </c>
      <c r="N2043" s="2">
        <f t="shared" ca="1" si="1934"/>
        <v>-2.2554219588234722E-2</v>
      </c>
      <c r="O2043" s="2">
        <f t="shared" si="1935"/>
        <v>6000000</v>
      </c>
      <c r="P2043" s="2">
        <f t="shared" ca="1" si="1936"/>
        <v>41634444.53982722</v>
      </c>
      <c r="Q2043" s="2">
        <f t="shared" ca="1" si="1937"/>
        <v>1040861.1134956805</v>
      </c>
      <c r="R2043" s="2">
        <f t="shared" ca="1" si="1938"/>
        <v>24980666.723896332</v>
      </c>
      <c r="S2043" s="2">
        <f t="shared" ca="1" si="1939"/>
        <v>16653777.815930888</v>
      </c>
      <c r="T2043" s="2">
        <f t="shared" ca="1" si="1940"/>
        <v>48872289.020588264</v>
      </c>
      <c r="U2043" s="2">
        <f t="shared" ca="1" si="1941"/>
        <v>50067414.477943659</v>
      </c>
      <c r="V2043" s="2">
        <f t="shared" ca="1" si="1942"/>
        <v>51291765.594408602</v>
      </c>
      <c r="W2043" s="2">
        <f t="shared" ca="1" si="1943"/>
        <v>52546057.055746943</v>
      </c>
      <c r="X2043" s="2">
        <f t="shared" ca="1" si="1944"/>
        <v>53831021.024684787</v>
      </c>
      <c r="Y2043" s="2">
        <f t="shared" ca="1" si="1945"/>
        <v>0.12230152083504972</v>
      </c>
      <c r="Z2043" s="2">
        <f t="shared" ca="1" si="1946"/>
        <v>0.12322212916906962</v>
      </c>
      <c r="AA2043" s="2">
        <f t="shared" ca="1" si="1947"/>
        <v>5977155.273908047</v>
      </c>
      <c r="AB2043" s="2">
        <f t="shared" ca="1" si="1948"/>
        <v>6169413.4139625197</v>
      </c>
      <c r="AC2043" s="2">
        <f t="shared" ca="1" si="1949"/>
        <v>6320280.565383858</v>
      </c>
      <c r="AD2043" s="2">
        <f t="shared" ca="1" si="1950"/>
        <v>6474837.0298485514</v>
      </c>
      <c r="AE2043" s="2">
        <f t="shared" ca="1" si="1951"/>
        <v>6633173.0260066111</v>
      </c>
      <c r="AF2043" s="2">
        <f t="shared" ca="1" si="1952"/>
        <v>977445.78041176533</v>
      </c>
      <c r="AG2043" s="2">
        <f t="shared" ca="1" si="1953"/>
        <v>1001348.2895588732</v>
      </c>
      <c r="AH2043" s="2">
        <f t="shared" ca="1" si="1954"/>
        <v>1025835.3118881721</v>
      </c>
      <c r="AI2043" s="2">
        <f t="shared" ca="1" si="1955"/>
        <v>1050921.1411149388</v>
      </c>
      <c r="AJ2043" s="2">
        <f t="shared" ca="1" si="1956"/>
        <v>1076620.4204936957</v>
      </c>
      <c r="AK2043" s="2">
        <f t="shared" ca="1" si="1957"/>
        <v>0</v>
      </c>
      <c r="AL2043" s="2">
        <f t="shared" ca="1" si="1958"/>
        <v>11951.25457355395</v>
      </c>
      <c r="AM2043" s="2">
        <f t="shared" ca="1" si="1959"/>
        <v>12243.511164649428</v>
      </c>
      <c r="AN2043" s="2">
        <f t="shared" ca="1" si="1960"/>
        <v>12542.914613383413</v>
      </c>
      <c r="AO2043" s="2">
        <f t="shared" ca="1" si="1961"/>
        <v>12849.63968937844</v>
      </c>
      <c r="AP2043" s="2">
        <f t="shared" ca="1" si="1962"/>
        <v>2248260.0051506697</v>
      </c>
      <c r="AQ2043" s="2">
        <f t="shared" ca="1" si="1963"/>
        <v>715376.86696985923</v>
      </c>
      <c r="AR2043" s="2">
        <f t="shared" ca="1" si="1964"/>
        <v>759149.33100577397</v>
      </c>
      <c r="AS2043" s="2">
        <f t="shared" ca="1" si="1965"/>
        <v>792008.16456970421</v>
      </c>
      <c r="AT2043" s="2">
        <f t="shared" ca="1" si="1966"/>
        <v>825670.52973156516</v>
      </c>
      <c r="AU2043" s="2">
        <f t="shared" ca="1" si="1967"/>
        <v>860156.07609418384</v>
      </c>
      <c r="AV2043" s="2">
        <f t="shared" ca="1" si="1968"/>
        <v>2036072.6213757531</v>
      </c>
      <c r="AW2043" s="2">
        <f t="shared" ca="1" si="1969"/>
        <v>2148704.5336736483</v>
      </c>
      <c r="AX2043" s="2">
        <f t="shared" ca="1" si="1970"/>
        <v>2241933.5726106628</v>
      </c>
      <c r="AY2043" s="2">
        <f t="shared" ca="1" si="1971"/>
        <v>2337442.4392379937</v>
      </c>
      <c r="AZ2043" s="2">
        <f t="shared" ca="1" si="1972"/>
        <v>2435286.8845786829</v>
      </c>
      <c r="BA2043" s="2">
        <f t="shared" ca="1" si="1973"/>
        <v>52881364.385610349</v>
      </c>
      <c r="BB2043" s="2">
        <f t="shared" ca="1" si="1974"/>
        <v>1057627.2877122071</v>
      </c>
      <c r="BC2043" s="2">
        <f t="shared" ca="1" si="1975"/>
        <v>26843070.374001808</v>
      </c>
      <c r="BD2043" s="2">
        <f t="shared" ca="1" si="1976"/>
        <v>-18194638.929426569</v>
      </c>
      <c r="BE2043" s="2">
        <f t="shared" ca="1" si="1977"/>
        <v>2036072.6213757531</v>
      </c>
      <c r="BF2043" s="2">
        <f t="shared" ca="1" si="1978"/>
        <v>2148704.5336736483</v>
      </c>
      <c r="BG2043" s="2">
        <f t="shared" ca="1" si="1979"/>
        <v>2241933.5726106628</v>
      </c>
      <c r="BH2043" s="2">
        <f t="shared" ca="1" si="1980"/>
        <v>2337442.4392379937</v>
      </c>
      <c r="BI2043" s="2">
        <f t="shared" ca="1" si="1981"/>
        <v>29278357.258580491</v>
      </c>
      <c r="BJ2043" s="2">
        <f t="shared" ca="1" si="1982"/>
        <v>0.18682027760525743</v>
      </c>
      <c r="BK2043" s="2">
        <f t="shared" ca="1" si="1983"/>
        <v>5030794.3139580004</v>
      </c>
    </row>
    <row r="2044" spans="1:63" x14ac:dyDescent="0.3">
      <c r="A2044" s="2">
        <v>2043</v>
      </c>
      <c r="B2044" s="2">
        <f t="shared" ca="1" si="1922"/>
        <v>0.59321639503640367</v>
      </c>
      <c r="C2044" s="2">
        <f t="shared" ca="1" si="1923"/>
        <v>7.098020393840752</v>
      </c>
      <c r="D2044" s="2">
        <f t="shared" ca="1" si="1924"/>
        <v>0.33838966719225372</v>
      </c>
      <c r="E2044" s="2">
        <f t="shared" ca="1" si="1925"/>
        <v>7.3226659919946293</v>
      </c>
      <c r="F2044" s="2">
        <f t="shared" ca="1" si="1926"/>
        <v>0.60276471475231441</v>
      </c>
      <c r="G2044" s="2">
        <f t="shared" ca="1" si="1927"/>
        <v>4.7815293471602661E-2</v>
      </c>
      <c r="H2044" s="2">
        <f t="shared" ca="1" si="1928"/>
        <v>4.7815293471602661E-2</v>
      </c>
      <c r="I2044" s="2">
        <f t="shared" ca="1" si="1929"/>
        <v>0.59129111063228579</v>
      </c>
      <c r="J2044" s="2">
        <f t="shared" ca="1" si="1930"/>
        <v>1.1154337250384897E-2</v>
      </c>
      <c r="K2044" s="2">
        <f t="shared" ca="1" si="1931"/>
        <v>1.1154337250384897E-2</v>
      </c>
      <c r="L2044" s="2">
        <f t="shared" ca="1" si="1932"/>
        <v>0.31153275166459116</v>
      </c>
      <c r="M2044" s="2">
        <f t="shared" ca="1" si="1933"/>
        <v>-9.8302078560705084E-3</v>
      </c>
      <c r="N2044" s="2">
        <f t="shared" ca="1" si="1934"/>
        <v>-9.8302078560705084E-3</v>
      </c>
      <c r="O2044" s="2">
        <f t="shared" si="1935"/>
        <v>6000000</v>
      </c>
      <c r="P2044" s="2">
        <f t="shared" ca="1" si="1936"/>
        <v>42588122.363044515</v>
      </c>
      <c r="Q2044" s="2">
        <f t="shared" ca="1" si="1937"/>
        <v>1064703.0590761129</v>
      </c>
      <c r="R2044" s="2">
        <f t="shared" ca="1" si="1938"/>
        <v>25552873.417826708</v>
      </c>
      <c r="S2044" s="2">
        <f t="shared" ca="1" si="1939"/>
        <v>17035248.945217807</v>
      </c>
      <c r="T2044" s="2">
        <f t="shared" ca="1" si="1940"/>
        <v>49508489.60719648</v>
      </c>
      <c r="U2044" s="2">
        <f t="shared" ca="1" si="1941"/>
        <v>51875752.567100376</v>
      </c>
      <c r="V2044" s="2">
        <f t="shared" ca="1" si="1942"/>
        <v>54356206.900156528</v>
      </c>
      <c r="W2044" s="2">
        <f t="shared" ca="1" si="1943"/>
        <v>56955264.885090671</v>
      </c>
      <c r="X2044" s="2">
        <f t="shared" ca="1" si="1944"/>
        <v>59678597.590324149</v>
      </c>
      <c r="Y2044" s="2">
        <f t="shared" ca="1" si="1945"/>
        <v>0.12557716862519244</v>
      </c>
      <c r="Z2044" s="2">
        <f t="shared" ca="1" si="1946"/>
        <v>0.12780803607526942</v>
      </c>
      <c r="AA2044" s="2">
        <f t="shared" ca="1" si="1947"/>
        <v>6217135.9477814995</v>
      </c>
      <c r="AB2044" s="2">
        <f t="shared" ca="1" si="1948"/>
        <v>6630138.055527715</v>
      </c>
      <c r="AC2044" s="2">
        <f t="shared" ca="1" si="1949"/>
        <v>6947160.052410014</v>
      </c>
      <c r="AD2044" s="2">
        <f t="shared" ca="1" si="1950"/>
        <v>7279340.5491101937</v>
      </c>
      <c r="AE2044" s="2">
        <f t="shared" ca="1" si="1951"/>
        <v>7627404.3537456356</v>
      </c>
      <c r="AF2044" s="2">
        <f t="shared" ca="1" si="1952"/>
        <v>990169.79214392963</v>
      </c>
      <c r="AG2044" s="2">
        <f t="shared" ca="1" si="1953"/>
        <v>1037515.0513420076</v>
      </c>
      <c r="AH2044" s="2">
        <f t="shared" ca="1" si="1954"/>
        <v>1087124.1380031307</v>
      </c>
      <c r="AI2044" s="2">
        <f t="shared" ca="1" si="1955"/>
        <v>1139105.2977018135</v>
      </c>
      <c r="AJ2044" s="2">
        <f t="shared" ca="1" si="1956"/>
        <v>1193571.9518064831</v>
      </c>
      <c r="AK2044" s="2">
        <f t="shared" ca="1" si="1957"/>
        <v>0</v>
      </c>
      <c r="AL2044" s="2">
        <f t="shared" ca="1" si="1958"/>
        <v>23672.629599038959</v>
      </c>
      <c r="AM2044" s="2">
        <f t="shared" ca="1" si="1959"/>
        <v>24804.543330561519</v>
      </c>
      <c r="AN2044" s="2">
        <f t="shared" ca="1" si="1960"/>
        <v>25990.579849341437</v>
      </c>
      <c r="AO2044" s="2">
        <f t="shared" ca="1" si="1961"/>
        <v>27233.327052334771</v>
      </c>
      <c r="AP2044" s="2">
        <f t="shared" ca="1" si="1962"/>
        <v>2299758.6076044035</v>
      </c>
      <c r="AQ2044" s="2">
        <f t="shared" ca="1" si="1963"/>
        <v>761073.96248862322</v>
      </c>
      <c r="AR2044" s="2">
        <f t="shared" ca="1" si="1964"/>
        <v>856144.74311113905</v>
      </c>
      <c r="AS2044" s="2">
        <f t="shared" ca="1" si="1965"/>
        <v>925672.09976864478</v>
      </c>
      <c r="AT2044" s="2">
        <f t="shared" ca="1" si="1966"/>
        <v>998523.92738903407</v>
      </c>
      <c r="AU2044" s="2">
        <f t="shared" ca="1" si="1967"/>
        <v>1074859.1865270347</v>
      </c>
      <c r="AV2044" s="2">
        <f t="shared" ca="1" si="1968"/>
        <v>2166133.5855445429</v>
      </c>
      <c r="AW2044" s="2">
        <f t="shared" ca="1" si="1969"/>
        <v>2413047.0238711261</v>
      </c>
      <c r="AX2044" s="2">
        <f t="shared" ca="1" si="1970"/>
        <v>2609800.6637032735</v>
      </c>
      <c r="AY2044" s="2">
        <f t="shared" ca="1" si="1971"/>
        <v>2815962.136565601</v>
      </c>
      <c r="AZ2044" s="2">
        <f t="shared" ca="1" si="1972"/>
        <v>3031981.2807553797</v>
      </c>
      <c r="BA2044" s="2">
        <f t="shared" ca="1" si="1973"/>
        <v>55852934.468364939</v>
      </c>
      <c r="BB2044" s="2">
        <f t="shared" ca="1" si="1974"/>
        <v>1117058.6893672987</v>
      </c>
      <c r="BC2044" s="2">
        <f t="shared" ca="1" si="1975"/>
        <v>29183002.361170933</v>
      </c>
      <c r="BD2044" s="2">
        <f t="shared" ca="1" si="1976"/>
        <v>-18599952.004293919</v>
      </c>
      <c r="BE2044" s="2">
        <f t="shared" ca="1" si="1977"/>
        <v>2166133.5855445429</v>
      </c>
      <c r="BF2044" s="2">
        <f t="shared" ca="1" si="1978"/>
        <v>2413047.0238711261</v>
      </c>
      <c r="BG2044" s="2">
        <f t="shared" ca="1" si="1979"/>
        <v>2609800.6637032735</v>
      </c>
      <c r="BH2044" s="2">
        <f t="shared" ca="1" si="1980"/>
        <v>2815962.136565601</v>
      </c>
      <c r="BI2044" s="2">
        <f t="shared" ca="1" si="1981"/>
        <v>32214983.641926311</v>
      </c>
      <c r="BJ2044" s="2">
        <f t="shared" ca="1" si="1982"/>
        <v>0.21071726608795904</v>
      </c>
      <c r="BK2044" s="2">
        <f t="shared" ca="1" si="1983"/>
        <v>7184608.4376246557</v>
      </c>
    </row>
    <row r="2045" spans="1:63" x14ac:dyDescent="0.3">
      <c r="A2045" s="2">
        <v>2044</v>
      </c>
      <c r="B2045" s="2">
        <f t="shared" ca="1" si="1922"/>
        <v>0.41321144909961816</v>
      </c>
      <c r="C2045" s="2">
        <f t="shared" ca="1" si="1923"/>
        <v>6.9090780484640666</v>
      </c>
      <c r="D2045" s="2">
        <f t="shared" ca="1" si="1924"/>
        <v>0.18718786218186401</v>
      </c>
      <c r="E2045" s="2">
        <f t="shared" ca="1" si="1925"/>
        <v>7.1118625044597259</v>
      </c>
      <c r="F2045" s="2">
        <f t="shared" ca="1" si="1926"/>
        <v>0.38362333460960074</v>
      </c>
      <c r="G2045" s="2">
        <f t="shared" ca="1" si="1927"/>
        <v>3.1120651620535629E-2</v>
      </c>
      <c r="H2045" s="2">
        <f t="shared" ca="1" si="1928"/>
        <v>3.1120651620535629E-2</v>
      </c>
      <c r="I2045" s="2">
        <f t="shared" ca="1" si="1929"/>
        <v>0.35963331041980651</v>
      </c>
      <c r="J2045" s="2">
        <f t="shared" ca="1" si="1930"/>
        <v>8.202804446714786E-3</v>
      </c>
      <c r="K2045" s="2">
        <f t="shared" ca="1" si="1931"/>
        <v>8.202804446714786E-3</v>
      </c>
      <c r="L2045" s="2">
        <f t="shared" ca="1" si="1932"/>
        <v>0.21828772577731292</v>
      </c>
      <c r="M2045" s="2">
        <f t="shared" ca="1" si="1933"/>
        <v>-1.555978157729925E-2</v>
      </c>
      <c r="N2045" s="2">
        <f t="shared" ca="1" si="1934"/>
        <v>-1.555978157729925E-2</v>
      </c>
      <c r="O2045" s="2">
        <f t="shared" si="1935"/>
        <v>6000000</v>
      </c>
      <c r="P2045" s="2">
        <f t="shared" ca="1" si="1936"/>
        <v>41454468.290784396</v>
      </c>
      <c r="Q2045" s="2">
        <f t="shared" ca="1" si="1937"/>
        <v>1036361.7072696099</v>
      </c>
      <c r="R2045" s="2">
        <f t="shared" ca="1" si="1938"/>
        <v>24872680.974470638</v>
      </c>
      <c r="S2045" s="2">
        <f t="shared" ca="1" si="1939"/>
        <v>16581787.316313758</v>
      </c>
      <c r="T2045" s="2">
        <f t="shared" ca="1" si="1940"/>
        <v>49222010.921135038</v>
      </c>
      <c r="U2045" s="2">
        <f t="shared" ca="1" si="1941"/>
        <v>50753831.975073881</v>
      </c>
      <c r="V2045" s="2">
        <f t="shared" ca="1" si="1942"/>
        <v>52333324.298377357</v>
      </c>
      <c r="W2045" s="2">
        <f t="shared" ca="1" si="1943"/>
        <v>53961971.452011667</v>
      </c>
      <c r="X2045" s="2">
        <f t="shared" ca="1" si="1944"/>
        <v>55641303.166327007</v>
      </c>
      <c r="Y2045" s="2">
        <f t="shared" ca="1" si="1945"/>
        <v>0.12410140222335739</v>
      </c>
      <c r="Z2045" s="2">
        <f t="shared" ca="1" si="1946"/>
        <v>0.12574196311270033</v>
      </c>
      <c r="AA2045" s="2">
        <f t="shared" ca="1" si="1947"/>
        <v>6108520.5755662695</v>
      </c>
      <c r="AB2045" s="2">
        <f t="shared" ca="1" si="1948"/>
        <v>6381886.4680379303</v>
      </c>
      <c r="AC2045" s="2">
        <f t="shared" ca="1" si="1949"/>
        <v>6580494.9334915495</v>
      </c>
      <c r="AD2045" s="2">
        <f t="shared" ca="1" si="1950"/>
        <v>6785284.2238074392</v>
      </c>
      <c r="AE2045" s="2">
        <f t="shared" ca="1" si="1951"/>
        <v>6996446.6902828664</v>
      </c>
      <c r="AF2045" s="2">
        <f t="shared" ca="1" si="1952"/>
        <v>984440.21842270077</v>
      </c>
      <c r="AG2045" s="2">
        <f t="shared" ca="1" si="1953"/>
        <v>1015076.6395014777</v>
      </c>
      <c r="AH2045" s="2">
        <f t="shared" ca="1" si="1954"/>
        <v>1046666.4859675472</v>
      </c>
      <c r="AI2045" s="2">
        <f t="shared" ca="1" si="1955"/>
        <v>1079239.4290402334</v>
      </c>
      <c r="AJ2045" s="2">
        <f t="shared" ca="1" si="1956"/>
        <v>1112826.0633265402</v>
      </c>
      <c r="AK2045" s="2">
        <f t="shared" ca="1" si="1957"/>
        <v>0</v>
      </c>
      <c r="AL2045" s="2">
        <f t="shared" ca="1" si="1958"/>
        <v>15318.210539388434</v>
      </c>
      <c r="AM2045" s="2">
        <f t="shared" ca="1" si="1959"/>
        <v>15794.92323303476</v>
      </c>
      <c r="AN2045" s="2">
        <f t="shared" ca="1" si="1960"/>
        <v>16286.471536343099</v>
      </c>
      <c r="AO2045" s="2">
        <f t="shared" ca="1" si="1961"/>
        <v>16793.317143153399</v>
      </c>
      <c r="AP2045" s="2">
        <f t="shared" ca="1" si="1962"/>
        <v>2238541.2877023574</v>
      </c>
      <c r="AQ2045" s="2">
        <f t="shared" ca="1" si="1963"/>
        <v>750240.15805471502</v>
      </c>
      <c r="AR2045" s="2">
        <f t="shared" ca="1" si="1964"/>
        <v>813349.82061686483</v>
      </c>
      <c r="AS2045" s="2">
        <f t="shared" ca="1" si="1965"/>
        <v>856774.66155362758</v>
      </c>
      <c r="AT2045" s="2">
        <f t="shared" ca="1" si="1966"/>
        <v>901550.91183686059</v>
      </c>
      <c r="AU2045" s="2">
        <f t="shared" ca="1" si="1967"/>
        <v>947720.62820603186</v>
      </c>
      <c r="AV2045" s="2">
        <f t="shared" ca="1" si="1968"/>
        <v>2135298.9113864964</v>
      </c>
      <c r="AW2045" s="2">
        <f t="shared" ca="1" si="1969"/>
        <v>2299600.5096778423</v>
      </c>
      <c r="AX2045" s="2">
        <f t="shared" ca="1" si="1970"/>
        <v>2422717.5750349816</v>
      </c>
      <c r="AY2045" s="2">
        <f t="shared" ca="1" si="1971"/>
        <v>2549666.1236916445</v>
      </c>
      <c r="AZ2045" s="2">
        <f t="shared" ca="1" si="1972"/>
        <v>2680565.3939047828</v>
      </c>
      <c r="BA2045" s="2">
        <f t="shared" ca="1" si="1973"/>
        <v>49757766.881074063</v>
      </c>
      <c r="BB2045" s="2">
        <f t="shared" ca="1" si="1974"/>
        <v>995155.33762148127</v>
      </c>
      <c r="BC2045" s="2">
        <f t="shared" ca="1" si="1975"/>
        <v>23889930.568981946</v>
      </c>
      <c r="BD2045" s="2">
        <f t="shared" ca="1" si="1976"/>
        <v>-18118149.023583367</v>
      </c>
      <c r="BE2045" s="2">
        <f t="shared" ca="1" si="1977"/>
        <v>2135298.9113864964</v>
      </c>
      <c r="BF2045" s="2">
        <f t="shared" ca="1" si="1978"/>
        <v>2299600.5096778423</v>
      </c>
      <c r="BG2045" s="2">
        <f t="shared" ca="1" si="1979"/>
        <v>2422717.5750349816</v>
      </c>
      <c r="BH2045" s="2">
        <f t="shared" ca="1" si="1980"/>
        <v>2549666.1236916445</v>
      </c>
      <c r="BI2045" s="2">
        <f t="shared" ca="1" si="1981"/>
        <v>26570495.962886728</v>
      </c>
      <c r="BJ2045" s="2">
        <f t="shared" ca="1" si="1982"/>
        <v>0.17593901790040412</v>
      </c>
      <c r="BK2045" s="2">
        <f t="shared" ca="1" si="1983"/>
        <v>4043209.719258789</v>
      </c>
    </row>
    <row r="2046" spans="1:63" x14ac:dyDescent="0.3">
      <c r="A2046" s="2">
        <v>2045</v>
      </c>
      <c r="B2046" s="2">
        <f t="shared" ca="1" si="1922"/>
        <v>0.29683334706750863</v>
      </c>
      <c r="C2046" s="2">
        <f t="shared" ca="1" si="1923"/>
        <v>6.7704976924916886</v>
      </c>
      <c r="D2046" s="2">
        <f t="shared" ca="1" si="1924"/>
        <v>0.35717962969985473</v>
      </c>
      <c r="E2046" s="2">
        <f t="shared" ca="1" si="1925"/>
        <v>7.3451977634848014</v>
      </c>
      <c r="F2046" s="2">
        <f t="shared" ca="1" si="1926"/>
        <v>0.88681134889774405</v>
      </c>
      <c r="G2046" s="2">
        <f t="shared" ca="1" si="1927"/>
        <v>7.6292307361693595E-2</v>
      </c>
      <c r="H2046" s="2">
        <f t="shared" ca="1" si="1928"/>
        <v>7.6292307361693595E-2</v>
      </c>
      <c r="I2046" s="2">
        <f t="shared" ca="1" si="1929"/>
        <v>0.29304984701015302</v>
      </c>
      <c r="J2046" s="2">
        <f t="shared" ca="1" si="1930"/>
        <v>7.2775163209204113E-3</v>
      </c>
      <c r="K2046" s="2">
        <f t="shared" ca="1" si="1931"/>
        <v>7.2775163209204113E-3</v>
      </c>
      <c r="L2046" s="2">
        <f t="shared" ca="1" si="1932"/>
        <v>0.75401874464458507</v>
      </c>
      <c r="M2046" s="2">
        <f t="shared" ca="1" si="1933"/>
        <v>1.3743815694801261E-2</v>
      </c>
      <c r="N2046" s="2">
        <f t="shared" ca="1" si="1934"/>
        <v>1.3743815694801261E-2</v>
      </c>
      <c r="O2046" s="2">
        <f t="shared" si="1935"/>
        <v>6000000</v>
      </c>
      <c r="P2046" s="2">
        <f t="shared" ca="1" si="1936"/>
        <v>40622986.154950134</v>
      </c>
      <c r="Q2046" s="2">
        <f t="shared" ca="1" si="1937"/>
        <v>1015574.6538737534</v>
      </c>
      <c r="R2046" s="2">
        <f t="shared" ca="1" si="1938"/>
        <v>24373791.692970078</v>
      </c>
      <c r="S2046" s="2">
        <f t="shared" ca="1" si="1939"/>
        <v>16249194.461980054</v>
      </c>
      <c r="T2046" s="2">
        <f t="shared" ca="1" si="1940"/>
        <v>50687190.784740068</v>
      </c>
      <c r="U2046" s="2">
        <f t="shared" ca="1" si="1941"/>
        <v>54554233.523390263</v>
      </c>
      <c r="V2046" s="2">
        <f t="shared" ca="1" si="1942"/>
        <v>58716301.875238366</v>
      </c>
      <c r="W2046" s="2">
        <f t="shared" ca="1" si="1943"/>
        <v>63195904.025046043</v>
      </c>
      <c r="X2046" s="2">
        <f t="shared" ca="1" si="1944"/>
        <v>68017265.358924955</v>
      </c>
      <c r="Y2046" s="2">
        <f t="shared" ca="1" si="1945"/>
        <v>0.1236387581604602</v>
      </c>
      <c r="Z2046" s="2">
        <f t="shared" ca="1" si="1946"/>
        <v>0.12509426142464428</v>
      </c>
      <c r="AA2046" s="2">
        <f t="shared" ca="1" si="1947"/>
        <v>6266901.3232675847</v>
      </c>
      <c r="AB2046" s="2">
        <f t="shared" ca="1" si="1948"/>
        <v>6824421.5501960739</v>
      </c>
      <c r="AC2046" s="2">
        <f t="shared" ca="1" si="1949"/>
        <v>7345072.4166693995</v>
      </c>
      <c r="AD2046" s="2">
        <f t="shared" ca="1" si="1950"/>
        <v>7905444.9390758388</v>
      </c>
      <c r="AE2046" s="2">
        <f t="shared" ca="1" si="1951"/>
        <v>8508569.5741987601</v>
      </c>
      <c r="AF2046" s="2">
        <f t="shared" ca="1" si="1952"/>
        <v>1013743.8156948014</v>
      </c>
      <c r="AG2046" s="2">
        <f t="shared" ca="1" si="1953"/>
        <v>1091084.6704678054</v>
      </c>
      <c r="AH2046" s="2">
        <f t="shared" ca="1" si="1954"/>
        <v>1174326.0375047673</v>
      </c>
      <c r="AI2046" s="2">
        <f t="shared" ca="1" si="1955"/>
        <v>1263918.080500921</v>
      </c>
      <c r="AJ2046" s="2">
        <f t="shared" ca="1" si="1956"/>
        <v>1360345.3071784992</v>
      </c>
      <c r="AK2046" s="2">
        <f t="shared" ca="1" si="1957"/>
        <v>0</v>
      </c>
      <c r="AL2046" s="2">
        <f t="shared" ca="1" si="1958"/>
        <v>38670.427386501957</v>
      </c>
      <c r="AM2046" s="2">
        <f t="shared" ca="1" si="1959"/>
        <v>41620.683518481033</v>
      </c>
      <c r="AN2046" s="2">
        <f t="shared" ca="1" si="1960"/>
        <v>44796.021498076771</v>
      </c>
      <c r="AO2046" s="2">
        <f t="shared" ca="1" si="1961"/>
        <v>48213.613338789124</v>
      </c>
      <c r="AP2046" s="2">
        <f t="shared" ca="1" si="1962"/>
        <v>2193641.252367307</v>
      </c>
      <c r="AQ2046" s="2">
        <f t="shared" ca="1" si="1963"/>
        <v>795474.22635342379</v>
      </c>
      <c r="AR2046" s="2">
        <f t="shared" ca="1" si="1964"/>
        <v>920320.86311385012</v>
      </c>
      <c r="AS2046" s="2">
        <f t="shared" ca="1" si="1965"/>
        <v>1034047.3329673046</v>
      </c>
      <c r="AT2046" s="2">
        <f t="shared" ca="1" si="1966"/>
        <v>1156450.2576139788</v>
      </c>
      <c r="AU2046" s="2">
        <f t="shared" ca="1" si="1967"/>
        <v>1288191.5838097681</v>
      </c>
      <c r="AV2046" s="2">
        <f t="shared" ca="1" si="1968"/>
        <v>2264042.0288520525</v>
      </c>
      <c r="AW2046" s="2">
        <f t="shared" ca="1" si="1969"/>
        <v>2580704.3368606097</v>
      </c>
      <c r="AX2046" s="2">
        <f t="shared" ca="1" si="1970"/>
        <v>2901437.1103115394</v>
      </c>
      <c r="AY2046" s="2">
        <f t="shared" ca="1" si="1971"/>
        <v>3246639.3270955547</v>
      </c>
      <c r="AZ2046" s="2">
        <f t="shared" ca="1" si="1972"/>
        <v>3618177.8175043971</v>
      </c>
      <c r="BA2046" s="2">
        <f t="shared" ca="1" si="1973"/>
        <v>62497126.206859559</v>
      </c>
      <c r="BB2046" s="2">
        <f t="shared" ca="1" si="1974"/>
        <v>1249942.5241371912</v>
      </c>
      <c r="BC2046" s="2">
        <f t="shared" ca="1" si="1975"/>
        <v>36873391.989752285</v>
      </c>
      <c r="BD2046" s="2">
        <f t="shared" ca="1" si="1976"/>
        <v>-17764769.115853809</v>
      </c>
      <c r="BE2046" s="2">
        <f t="shared" ca="1" si="1977"/>
        <v>2264042.0288520525</v>
      </c>
      <c r="BF2046" s="2">
        <f t="shared" ca="1" si="1978"/>
        <v>2580704.3368606097</v>
      </c>
      <c r="BG2046" s="2">
        <f t="shared" ca="1" si="1979"/>
        <v>2901437.1103115394</v>
      </c>
      <c r="BH2046" s="2">
        <f t="shared" ca="1" si="1980"/>
        <v>3246639.3270955547</v>
      </c>
      <c r="BI2046" s="2">
        <f t="shared" ca="1" si="1981"/>
        <v>40491569.807256684</v>
      </c>
      <c r="BJ2046" s="2">
        <f t="shared" ca="1" si="1982"/>
        <v>0.2792407684774576</v>
      </c>
      <c r="BK2046" s="2">
        <f t="shared" ca="1" si="1983"/>
        <v>13418506.429113891</v>
      </c>
    </row>
    <row r="2047" spans="1:63" x14ac:dyDescent="0.3">
      <c r="A2047" s="2">
        <v>2046</v>
      </c>
      <c r="B2047" s="2">
        <f t="shared" ca="1" si="1922"/>
        <v>0.12384242524429723</v>
      </c>
      <c r="C2047" s="2">
        <f t="shared" ca="1" si="1923"/>
        <v>6.4976794656087336</v>
      </c>
      <c r="D2047" s="2">
        <f t="shared" ca="1" si="1924"/>
        <v>0.3237556809967661</v>
      </c>
      <c r="E2047" s="2">
        <f t="shared" ca="1" si="1925"/>
        <v>7.3046809069398453</v>
      </c>
      <c r="F2047" s="2">
        <f t="shared" ca="1" si="1926"/>
        <v>0.49000964256872004</v>
      </c>
      <c r="G2047" s="2">
        <f t="shared" ca="1" si="1927"/>
        <v>3.9248658089964306E-2</v>
      </c>
      <c r="H2047" s="2">
        <f t="shared" ca="1" si="1928"/>
        <v>3.9248658089964306E-2</v>
      </c>
      <c r="I2047" s="2">
        <f t="shared" ca="1" si="1929"/>
        <v>0.99743812284150635</v>
      </c>
      <c r="J2047" s="2">
        <f t="shared" ca="1" si="1930"/>
        <v>2.3995743268364279E-2</v>
      </c>
      <c r="K2047" s="2">
        <f t="shared" ca="1" si="1931"/>
        <v>2.3995743268364279E-2</v>
      </c>
      <c r="L2047" s="2">
        <f t="shared" ca="1" si="1932"/>
        <v>0.97592924622408739</v>
      </c>
      <c r="M2047" s="2">
        <f t="shared" ca="1" si="1933"/>
        <v>3.9522343514331565E-2</v>
      </c>
      <c r="N2047" s="2">
        <f t="shared" ca="1" si="1934"/>
        <v>3.9522343514331565E-2</v>
      </c>
      <c r="O2047" s="2">
        <f t="shared" si="1935"/>
        <v>6000000</v>
      </c>
      <c r="P2047" s="2">
        <f t="shared" ca="1" si="1936"/>
        <v>38986076.7936524</v>
      </c>
      <c r="Q2047" s="2">
        <f t="shared" ca="1" si="1937"/>
        <v>974651.91984131001</v>
      </c>
      <c r="R2047" s="2">
        <f t="shared" ca="1" si="1938"/>
        <v>23391646.07619144</v>
      </c>
      <c r="S2047" s="2">
        <f t="shared" ca="1" si="1939"/>
        <v>15594430.71746096</v>
      </c>
      <c r="T2047" s="2">
        <f t="shared" ca="1" si="1940"/>
        <v>51976117.175716572</v>
      </c>
      <c r="U2047" s="2">
        <f t="shared" ca="1" si="1941"/>
        <v>54016110.027590193</v>
      </c>
      <c r="V2047" s="2">
        <f t="shared" ca="1" si="1942"/>
        <v>56136169.861412972</v>
      </c>
      <c r="W2047" s="2">
        <f t="shared" ca="1" si="1943"/>
        <v>58339439.198783726</v>
      </c>
      <c r="X2047" s="2">
        <f t="shared" ca="1" si="1944"/>
        <v>60629183.901057042</v>
      </c>
      <c r="Y2047" s="2">
        <f t="shared" ca="1" si="1945"/>
        <v>0.13199787163418214</v>
      </c>
      <c r="Z2047" s="2">
        <f t="shared" ca="1" si="1946"/>
        <v>0.13679702028785498</v>
      </c>
      <c r="AA2047" s="2">
        <f t="shared" ca="1" si="1947"/>
        <v>6860736.8430034453</v>
      </c>
      <c r="AB2047" s="2">
        <f t="shared" ca="1" si="1948"/>
        <v>7389242.8993152622</v>
      </c>
      <c r="AC2047" s="2">
        <f t="shared" ca="1" si="1949"/>
        <v>7679260.7674141834</v>
      </c>
      <c r="AD2047" s="2">
        <f t="shared" ca="1" si="1950"/>
        <v>7980661.4476580992</v>
      </c>
      <c r="AE2047" s="2">
        <f t="shared" ca="1" si="1951"/>
        <v>8293891.7001489904</v>
      </c>
      <c r="AF2047" s="2">
        <f t="shared" ca="1" si="1952"/>
        <v>1039522.3435143315</v>
      </c>
      <c r="AG2047" s="2">
        <f t="shared" ca="1" si="1953"/>
        <v>1080322.2005518039</v>
      </c>
      <c r="AH2047" s="2">
        <f t="shared" ca="1" si="1954"/>
        <v>1122723.3972282594</v>
      </c>
      <c r="AI2047" s="2">
        <f t="shared" ca="1" si="1955"/>
        <v>1166788.7839756745</v>
      </c>
      <c r="AJ2047" s="2">
        <f t="shared" ca="1" si="1956"/>
        <v>1212583.6780211409</v>
      </c>
      <c r="AK2047" s="2">
        <f t="shared" ca="1" si="1957"/>
        <v>0</v>
      </c>
      <c r="AL2047" s="2">
        <f t="shared" ca="1" si="1958"/>
        <v>20399.928518736215</v>
      </c>
      <c r="AM2047" s="2">
        <f t="shared" ca="1" si="1959"/>
        <v>21200.598338227795</v>
      </c>
      <c r="AN2047" s="2">
        <f t="shared" ca="1" si="1960"/>
        <v>22032.693373707534</v>
      </c>
      <c r="AO2047" s="2">
        <f t="shared" ca="1" si="1961"/>
        <v>22897.447022733166</v>
      </c>
      <c r="AP2047" s="2">
        <f t="shared" ca="1" si="1962"/>
        <v>2105248.1468572295</v>
      </c>
      <c r="AQ2047" s="2">
        <f t="shared" ca="1" si="1963"/>
        <v>966151.25168428989</v>
      </c>
      <c r="AR2047" s="2">
        <f t="shared" ca="1" si="1964"/>
        <v>1092954.8634956193</v>
      </c>
      <c r="AS2047" s="2">
        <f t="shared" ca="1" si="1965"/>
        <v>1157335.1980654607</v>
      </c>
      <c r="AT2047" s="2">
        <f t="shared" ca="1" si="1966"/>
        <v>1224242.3743745508</v>
      </c>
      <c r="AU2047" s="2">
        <f t="shared" ca="1" si="1967"/>
        <v>1293775.5675703613</v>
      </c>
      <c r="AV2047" s="2">
        <f t="shared" ca="1" si="1968"/>
        <v>2749815.1009475947</v>
      </c>
      <c r="AW2047" s="2">
        <f t="shared" ca="1" si="1969"/>
        <v>3090317.7598918737</v>
      </c>
      <c r="AX2047" s="2">
        <f t="shared" ca="1" si="1970"/>
        <v>3272753.4269250059</v>
      </c>
      <c r="AY2047" s="2">
        <f t="shared" ca="1" si="1971"/>
        <v>3462349.449076937</v>
      </c>
      <c r="AZ2047" s="2">
        <f t="shared" ca="1" si="1972"/>
        <v>3659386.8606775259</v>
      </c>
      <c r="BA2047" s="2">
        <f t="shared" ca="1" si="1973"/>
        <v>60584232.346305184</v>
      </c>
      <c r="BB2047" s="2">
        <f t="shared" ca="1" si="1974"/>
        <v>1211684.6469261036</v>
      </c>
      <c r="BC2047" s="2">
        <f t="shared" ca="1" si="1975"/>
        <v>35980901.623187639</v>
      </c>
      <c r="BD2047" s="2">
        <f t="shared" ca="1" si="1976"/>
        <v>-17069082.637302272</v>
      </c>
      <c r="BE2047" s="2">
        <f t="shared" ca="1" si="1977"/>
        <v>2749815.1009475947</v>
      </c>
      <c r="BF2047" s="2">
        <f t="shared" ca="1" si="1978"/>
        <v>3090317.7598918737</v>
      </c>
      <c r="BG2047" s="2">
        <f t="shared" ca="1" si="1979"/>
        <v>3272753.4269250059</v>
      </c>
      <c r="BH2047" s="2">
        <f t="shared" ca="1" si="1980"/>
        <v>3462349.449076937</v>
      </c>
      <c r="BI2047" s="2">
        <f t="shared" ca="1" si="1981"/>
        <v>39640288.483865164</v>
      </c>
      <c r="BJ2047" s="2">
        <f t="shared" ca="1" si="1982"/>
        <v>0.30485188373860872</v>
      </c>
      <c r="BK2047" s="2">
        <f t="shared" ca="1" si="1983"/>
        <v>14872522.983058285</v>
      </c>
    </row>
    <row r="2048" spans="1:63" x14ac:dyDescent="0.3">
      <c r="A2048" s="2">
        <v>2047</v>
      </c>
      <c r="B2048" s="2">
        <f t="shared" ca="1" si="1922"/>
        <v>0.95620792823078482</v>
      </c>
      <c r="C2048" s="2">
        <f t="shared" ca="1" si="1923"/>
        <v>7.7040538164827428</v>
      </c>
      <c r="D2048" s="2">
        <f t="shared" ca="1" si="1924"/>
        <v>0.78371441141389231</v>
      </c>
      <c r="E2048" s="2">
        <f t="shared" ca="1" si="1925"/>
        <v>7.8422985653260167</v>
      </c>
      <c r="F2048" s="2">
        <f t="shared" ca="1" si="1926"/>
        <v>0.84697184169448625</v>
      </c>
      <c r="G2048" s="2">
        <f t="shared" ca="1" si="1927"/>
        <v>7.0705963889693607E-2</v>
      </c>
      <c r="H2048" s="2">
        <f t="shared" ca="1" si="1928"/>
        <v>7.0705963889693607E-2</v>
      </c>
      <c r="I2048" s="2">
        <f t="shared" ca="1" si="1929"/>
        <v>0.11633201520026526</v>
      </c>
      <c r="J2048" s="2">
        <f t="shared" ca="1" si="1930"/>
        <v>4.03237759611926E-3</v>
      </c>
      <c r="K2048" s="2">
        <f t="shared" ca="1" si="1931"/>
        <v>4.03237759611926E-3</v>
      </c>
      <c r="L2048" s="2">
        <f t="shared" ca="1" si="1932"/>
        <v>0.50456658636727614</v>
      </c>
      <c r="M2048" s="2">
        <f t="shared" ca="1" si="1933"/>
        <v>2.2893968982995794E-4</v>
      </c>
      <c r="N2048" s="2">
        <f t="shared" ca="1" si="1934"/>
        <v>2.2893968982995794E-4</v>
      </c>
      <c r="O2048" s="2">
        <f t="shared" si="1935"/>
        <v>6000000</v>
      </c>
      <c r="P2048" s="2">
        <f t="shared" ca="1" si="1936"/>
        <v>46224322.898896456</v>
      </c>
      <c r="Q2048" s="2">
        <f t="shared" ca="1" si="1937"/>
        <v>1155608.0724724114</v>
      </c>
      <c r="R2048" s="2">
        <f t="shared" ca="1" si="1938"/>
        <v>27734593.739337873</v>
      </c>
      <c r="S2048" s="2">
        <f t="shared" ca="1" si="1939"/>
        <v>18489729.159558583</v>
      </c>
      <c r="T2048" s="2">
        <f t="shared" ca="1" si="1940"/>
        <v>50011446.984491505</v>
      </c>
      <c r="U2048" s="2">
        <f t="shared" ca="1" si="1941"/>
        <v>53547554.54904829</v>
      </c>
      <c r="V2048" s="2">
        <f t="shared" ca="1" si="1942"/>
        <v>57333686.007374696</v>
      </c>
      <c r="W2048" s="2">
        <f t="shared" ca="1" si="1943"/>
        <v>61387519.539875165</v>
      </c>
      <c r="X2048" s="2">
        <f t="shared" ca="1" si="1944"/>
        <v>65727983.279739439</v>
      </c>
      <c r="Y2048" s="2">
        <f t="shared" ca="1" si="1945"/>
        <v>0.12201618879805963</v>
      </c>
      <c r="Z2048" s="2">
        <f t="shared" ca="1" si="1946"/>
        <v>0.12282266431728348</v>
      </c>
      <c r="AA2048" s="2">
        <f t="shared" ca="1" si="1947"/>
        <v>6102206.1573238652</v>
      </c>
      <c r="AB2048" s="2">
        <f t="shared" ca="1" si="1948"/>
        <v>6576853.3173891837</v>
      </c>
      <c r="AC2048" s="2">
        <f t="shared" ca="1" si="1949"/>
        <v>7041876.0705563147</v>
      </c>
      <c r="AD2048" s="2">
        <f t="shared" ca="1" si="1950"/>
        <v>7539778.7057167673</v>
      </c>
      <c r="AE2048" s="2">
        <f t="shared" ca="1" si="1951"/>
        <v>8072886.0266194586</v>
      </c>
      <c r="AF2048" s="2">
        <f t="shared" ca="1" si="1952"/>
        <v>1000228.9396898301</v>
      </c>
      <c r="AG2048" s="2">
        <f t="shared" ca="1" si="1953"/>
        <v>1070951.0909809659</v>
      </c>
      <c r="AH2048" s="2">
        <f t="shared" ca="1" si="1954"/>
        <v>1146673.720147494</v>
      </c>
      <c r="AI2048" s="2">
        <f t="shared" ca="1" si="1955"/>
        <v>1227750.3907975033</v>
      </c>
      <c r="AJ2048" s="2">
        <f t="shared" ca="1" si="1956"/>
        <v>1314559.6655947887</v>
      </c>
      <c r="AK2048" s="2">
        <f t="shared" ca="1" si="1957"/>
        <v>0</v>
      </c>
      <c r="AL2048" s="2">
        <f t="shared" ca="1" si="1958"/>
        <v>35361.075645567849</v>
      </c>
      <c r="AM2048" s="2">
        <f t="shared" ca="1" si="1959"/>
        <v>37861.314583264066</v>
      </c>
      <c r="AN2048" s="2">
        <f t="shared" ca="1" si="1960"/>
        <v>40538.335325004686</v>
      </c>
      <c r="AO2048" s="2">
        <f t="shared" ca="1" si="1961"/>
        <v>43404.63739864275</v>
      </c>
      <c r="AP2048" s="2">
        <f t="shared" ca="1" si="1962"/>
        <v>2496113.4365404085</v>
      </c>
      <c r="AQ2048" s="2">
        <f t="shared" ca="1" si="1963"/>
        <v>677524.583084343</v>
      </c>
      <c r="AR2048" s="2">
        <f t="shared" ca="1" si="1964"/>
        <v>782545.08536563045</v>
      </c>
      <c r="AS2048" s="2">
        <f t="shared" ca="1" si="1965"/>
        <v>883763.11760578712</v>
      </c>
      <c r="AT2048" s="2">
        <f t="shared" ca="1" si="1966"/>
        <v>992137.86837850243</v>
      </c>
      <c r="AU2048" s="2">
        <f t="shared" ca="1" si="1967"/>
        <v>1108175.3603659081</v>
      </c>
      <c r="AV2048" s="2">
        <f t="shared" ca="1" si="1968"/>
        <v>1928339.1980092837</v>
      </c>
      <c r="AW2048" s="2">
        <f t="shared" ca="1" si="1969"/>
        <v>2191882.628856611</v>
      </c>
      <c r="AX2048" s="2">
        <f t="shared" ca="1" si="1970"/>
        <v>2477464.4816793608</v>
      </c>
      <c r="AY2048" s="2">
        <f t="shared" ca="1" si="1971"/>
        <v>2783238.6746753487</v>
      </c>
      <c r="AZ2048" s="2">
        <f t="shared" ca="1" si="1972"/>
        <v>3110632.9267197116</v>
      </c>
      <c r="BA2048" s="2">
        <f t="shared" ca="1" si="1973"/>
        <v>63309982.50459823</v>
      </c>
      <c r="BB2048" s="2">
        <f t="shared" ca="1" si="1974"/>
        <v>1266199.6500919645</v>
      </c>
      <c r="BC2048" s="2">
        <f t="shared" ca="1" si="1975"/>
        <v>34309189.115168393</v>
      </c>
      <c r="BD2048" s="2">
        <f t="shared" ca="1" si="1976"/>
        <v>-20145337.232030995</v>
      </c>
      <c r="BE2048" s="2">
        <f t="shared" ca="1" si="1977"/>
        <v>1928339.1980092837</v>
      </c>
      <c r="BF2048" s="2">
        <f t="shared" ca="1" si="1978"/>
        <v>2191882.628856611</v>
      </c>
      <c r="BG2048" s="2">
        <f t="shared" ca="1" si="1979"/>
        <v>2477464.4816793608</v>
      </c>
      <c r="BH2048" s="2">
        <f t="shared" ca="1" si="1980"/>
        <v>2783238.6746753487</v>
      </c>
      <c r="BI2048" s="2">
        <f t="shared" ca="1" si="1981"/>
        <v>37419822.041888103</v>
      </c>
      <c r="BJ2048" s="2">
        <f t="shared" ca="1" si="1982"/>
        <v>0.2109752004186578</v>
      </c>
      <c r="BK2048" s="2">
        <f t="shared" ca="1" si="1983"/>
        <v>8088970.3465663716</v>
      </c>
    </row>
    <row r="2049" spans="1:63" x14ac:dyDescent="0.3">
      <c r="A2049" s="2">
        <v>2048</v>
      </c>
      <c r="B2049" s="2">
        <f t="shared" ca="1" si="1922"/>
        <v>0.82481128787538438</v>
      </c>
      <c r="C2049" s="2">
        <f t="shared" ca="1" si="1923"/>
        <v>7.4080731259275083</v>
      </c>
      <c r="D2049" s="2">
        <f t="shared" ca="1" si="1924"/>
        <v>0.54118097235538376</v>
      </c>
      <c r="E2049" s="2">
        <f t="shared" ca="1" si="1925"/>
        <v>7.5420657354028764</v>
      </c>
      <c r="F2049" s="2">
        <f t="shared" ca="1" si="1926"/>
        <v>2.128552550609486E-2</v>
      </c>
      <c r="G2049" s="2">
        <f t="shared" ca="1" si="1927"/>
        <v>-2.08368248885984E-2</v>
      </c>
      <c r="H2049" s="2">
        <f t="shared" ca="1" si="1928"/>
        <v>-0.02</v>
      </c>
      <c r="I2049" s="2">
        <f t="shared" ca="1" si="1929"/>
        <v>0.6042071376834619</v>
      </c>
      <c r="J2049" s="2">
        <f t="shared" ca="1" si="1930"/>
        <v>1.1321260128287719E-2</v>
      </c>
      <c r="K2049" s="2">
        <f t="shared" ca="1" si="1931"/>
        <v>1.1321260128287719E-2</v>
      </c>
      <c r="L2049" s="2">
        <f t="shared" ca="1" si="1932"/>
        <v>0.49788518863143116</v>
      </c>
      <c r="M2049" s="2">
        <f t="shared" ca="1" si="1933"/>
        <v>-1.0602141599473656E-4</v>
      </c>
      <c r="N2049" s="2">
        <f t="shared" ca="1" si="1934"/>
        <v>-1.0602141599473656E-4</v>
      </c>
      <c r="O2049" s="2">
        <f t="shared" si="1935"/>
        <v>6000000</v>
      </c>
      <c r="P2049" s="2">
        <f t="shared" ca="1" si="1936"/>
        <v>44448438.755565047</v>
      </c>
      <c r="Q2049" s="2">
        <f t="shared" ca="1" si="1937"/>
        <v>1111210.9688891263</v>
      </c>
      <c r="R2049" s="2">
        <f t="shared" ca="1" si="1938"/>
        <v>26669063.253339026</v>
      </c>
      <c r="S2049" s="2">
        <f t="shared" ca="1" si="1939"/>
        <v>17779375.502226021</v>
      </c>
      <c r="T2049" s="2">
        <f t="shared" ca="1" si="1940"/>
        <v>49994698.929200262</v>
      </c>
      <c r="U2049" s="2">
        <f t="shared" ca="1" si="1941"/>
        <v>48994804.950616255</v>
      </c>
      <c r="V2049" s="2">
        <f t="shared" ca="1" si="1942"/>
        <v>48014908.851603933</v>
      </c>
      <c r="W2049" s="2">
        <f t="shared" ca="1" si="1943"/>
        <v>47054610.674571857</v>
      </c>
      <c r="X2049" s="2">
        <f t="shared" ca="1" si="1944"/>
        <v>46113518.461080417</v>
      </c>
      <c r="Y2049" s="2">
        <f t="shared" ca="1" si="1945"/>
        <v>0.12566063006414385</v>
      </c>
      <c r="Z2049" s="2">
        <f t="shared" ca="1" si="1946"/>
        <v>0.12792488208980141</v>
      </c>
      <c r="AA2049" s="2">
        <f t="shared" ca="1" si="1947"/>
        <v>6282365.367310483</v>
      </c>
      <c r="AB2049" s="2">
        <f t="shared" ca="1" si="1948"/>
        <v>6267654.6463204026</v>
      </c>
      <c r="AC2049" s="2">
        <f t="shared" ca="1" si="1949"/>
        <v>6142301.5533939954</v>
      </c>
      <c r="AD2049" s="2">
        <f t="shared" ca="1" si="1950"/>
        <v>6019455.5223261155</v>
      </c>
      <c r="AE2049" s="2">
        <f t="shared" ca="1" si="1951"/>
        <v>5899066.4118795926</v>
      </c>
      <c r="AF2049" s="2">
        <f t="shared" ca="1" si="1952"/>
        <v>999893.97858400526</v>
      </c>
      <c r="AG2049" s="2">
        <f t="shared" ca="1" si="1953"/>
        <v>979896.09901232517</v>
      </c>
      <c r="AH2049" s="2">
        <f t="shared" ca="1" si="1954"/>
        <v>960298.17703207862</v>
      </c>
      <c r="AI2049" s="2">
        <f t="shared" ca="1" si="1955"/>
        <v>941092.21349143714</v>
      </c>
      <c r="AJ2049" s="2">
        <f t="shared" ca="1" si="1956"/>
        <v>922270.36922160839</v>
      </c>
      <c r="AK2049" s="2">
        <f t="shared" ca="1" si="1957"/>
        <v>0</v>
      </c>
      <c r="AL2049" s="2">
        <f t="shared" ca="1" si="1958"/>
        <v>0</v>
      </c>
      <c r="AM2049" s="2">
        <f t="shared" ca="1" si="1959"/>
        <v>0</v>
      </c>
      <c r="AN2049" s="2">
        <f t="shared" ca="1" si="1960"/>
        <v>0</v>
      </c>
      <c r="AO2049" s="2">
        <f t="shared" ca="1" si="1961"/>
        <v>0</v>
      </c>
      <c r="AP2049" s="2">
        <f t="shared" ca="1" si="1962"/>
        <v>2400215.6928005121</v>
      </c>
      <c r="AQ2049" s="2">
        <f t="shared" ca="1" si="1963"/>
        <v>749386.48094075103</v>
      </c>
      <c r="AR2049" s="2">
        <f t="shared" ca="1" si="1964"/>
        <v>750761.14217196696</v>
      </c>
      <c r="AS2049" s="2">
        <f t="shared" ca="1" si="1965"/>
        <v>723264.79772596527</v>
      </c>
      <c r="AT2049" s="2">
        <f t="shared" ca="1" si="1966"/>
        <v>696318.38016888325</v>
      </c>
      <c r="AU2049" s="2">
        <f t="shared" ca="1" si="1967"/>
        <v>669910.89096294285</v>
      </c>
      <c r="AV2049" s="2">
        <f t="shared" ca="1" si="1968"/>
        <v>2132869.2149852146</v>
      </c>
      <c r="AW2049" s="2">
        <f t="shared" ca="1" si="1969"/>
        <v>2136781.7123355982</v>
      </c>
      <c r="AX2049" s="2">
        <f t="shared" ca="1" si="1970"/>
        <v>2058522.8858354394</v>
      </c>
      <c r="AY2049" s="2">
        <f t="shared" ca="1" si="1971"/>
        <v>1981829.2358652833</v>
      </c>
      <c r="AZ2049" s="2">
        <f t="shared" ca="1" si="1972"/>
        <v>1906669.4588945298</v>
      </c>
      <c r="BA2049" s="2">
        <f t="shared" ca="1" si="1973"/>
        <v>44491146.655903064</v>
      </c>
      <c r="BB2049" s="2">
        <f t="shared" ca="1" si="1974"/>
        <v>889822.93311806128</v>
      </c>
      <c r="BC2049" s="2">
        <f t="shared" ca="1" si="1975"/>
        <v>16932260.469445977</v>
      </c>
      <c r="BD2049" s="2">
        <f t="shared" ca="1" si="1976"/>
        <v>-19390586.471115146</v>
      </c>
      <c r="BE2049" s="2">
        <f t="shared" ca="1" si="1977"/>
        <v>2132869.2149852146</v>
      </c>
      <c r="BF2049" s="2">
        <f t="shared" ca="1" si="1978"/>
        <v>2136781.7123355982</v>
      </c>
      <c r="BG2049" s="2">
        <f t="shared" ca="1" si="1979"/>
        <v>2058522.8858354394</v>
      </c>
      <c r="BH2049" s="2">
        <f t="shared" ca="1" si="1980"/>
        <v>1981829.2358652833</v>
      </c>
      <c r="BI2049" s="2">
        <f t="shared" ca="1" si="1981"/>
        <v>18838929.928340506</v>
      </c>
      <c r="BJ2049" s="2">
        <f t="shared" ca="1" si="1982"/>
        <v>8.4459693969147986E-2</v>
      </c>
      <c r="BK2049" s="2">
        <f t="shared" ca="1" si="1983"/>
        <v>-2368390.64714415</v>
      </c>
    </row>
    <row r="2050" spans="1:63" x14ac:dyDescent="0.3">
      <c r="A2050" s="2">
        <v>2049</v>
      </c>
      <c r="B2050" s="2">
        <f t="shared" ref="B2050:B2113" ca="1" si="1984">RAND()</f>
        <v>0.53753667749643597</v>
      </c>
      <c r="C2050" s="2">
        <f t="shared" ref="C2050:C2113" ca="1" si="1985">IF(B2050&lt;((P_Mode)-(P_Low))/((P_High)-(P_Low)), (P_Low)+SQRT(B2050*((P_High)-(P_Low))*((P_Mode)-(P_Low))), (P_High)-SQRT((1-B2050)*((P_High)-(P_Low))*((P_High)-(P_Mode))))</f>
        <v>7.0382689331174086</v>
      </c>
      <c r="D2050" s="2">
        <f t="shared" ref="D2050:D2113" ca="1" si="1986">RAND()</f>
        <v>0.31379017017873145</v>
      </c>
      <c r="E2050" s="2">
        <f t="shared" ref="E2050:E2113" ca="1" si="1987">IF(D2050&lt;((X_Mode)-(X_Low))/((X_High)-(X_Low)), (X_Low)+SQRT(D2050*((X_High)-(X_Low))*((X_Mode)-(X_Low))), (X_High)-SQRT((1-D2050)*((X_High)-(X_Low))*((X_High)-(X_Mode))))</f>
        <v>7.2921996846486765</v>
      </c>
      <c r="F2050" s="2">
        <f t="shared" ref="F2050:F2113" ca="1" si="1988">RAND()</f>
        <v>0.52737151067865196</v>
      </c>
      <c r="G2050" s="2">
        <f t="shared" ref="G2050:G2113" ca="1" si="1989">NORMINV(F2050, g_Mean, g_SD)</f>
        <v>4.2059923608210273E-2</v>
      </c>
      <c r="H2050" s="2">
        <f t="shared" ref="H2050:H2113" ca="1" si="1990">MIN(MAX(G2050, g_Min), g_Max)</f>
        <v>4.2059923608210273E-2</v>
      </c>
      <c r="I2050" s="2">
        <f t="shared" ref="I2050:I2113" ca="1" si="1991">RAND()</f>
        <v>0.28271780762240861</v>
      </c>
      <c r="J2050" s="2">
        <f t="shared" ref="J2050:J2113" ca="1" si="1992">NORMINV(I2050, syn_Mean, syn_SD)</f>
        <v>7.1260668880860668E-3</v>
      </c>
      <c r="K2050" s="2">
        <f t="shared" ref="K2050:K2113" ca="1" si="1993">MIN(MAX(J2050, syn_Min), syn_Max)</f>
        <v>7.1260668880860668E-3</v>
      </c>
      <c r="L2050" s="2">
        <f t="shared" ref="L2050:L2113" ca="1" si="1994">RAND()</f>
        <v>5.0916958647498567E-2</v>
      </c>
      <c r="M2050" s="2">
        <f t="shared" ref="M2050:M2113" ca="1" si="1995">NORMINV(L2050, shk_Mean, shk_SD)</f>
        <v>-3.2720541856245358E-2</v>
      </c>
      <c r="N2050" s="2">
        <f t="shared" ref="N2050:N2113" ca="1" si="1996">MIN(MAX(M2050, shk_Min), shk_Max)</f>
        <v>-3.2720541856245358E-2</v>
      </c>
      <c r="O2050" s="2">
        <f t="shared" ref="O2050:O2113" si="1997">BaseRev*BaseMargin</f>
        <v>6000000</v>
      </c>
      <c r="P2050" s="2">
        <f t="shared" ref="P2050:P2113" ca="1" si="1998">O2050*C2050</f>
        <v>42229613.59870445</v>
      </c>
      <c r="Q2050" s="2">
        <f t="shared" ref="Q2050:Q2113" ca="1" si="1999">P2050*TxnCostPct</f>
        <v>1055740.3399676112</v>
      </c>
      <c r="R2050" s="2">
        <f t="shared" ref="R2050:R2113" ca="1" si="2000">P2050*DebtPct</f>
        <v>25337768.15922267</v>
      </c>
      <c r="S2050" s="2">
        <f t="shared" ref="S2050:S2113" ca="1" si="2001">P2050*EqPct</f>
        <v>16891845.43948178</v>
      </c>
      <c r="T2050" s="2">
        <f t="shared" ref="T2050:T2113" ca="1" si="2002">BaseRev*(1+N2050)</f>
        <v>48363972.90718773</v>
      </c>
      <c r="U2050" s="2">
        <f t="shared" ref="U2050:U2113" ca="1" si="2003">T2050*(1+H2050)</f>
        <v>50398157.913053595</v>
      </c>
      <c r="V2050" s="2">
        <f t="shared" ref="V2050:V2113" ca="1" si="2004">U2050*(1+H2050)</f>
        <v>52517900.584871143</v>
      </c>
      <c r="W2050" s="2">
        <f t="shared" ref="W2050:W2113" ca="1" si="2005">V2050*(1+H2050)</f>
        <v>54726799.471534401</v>
      </c>
      <c r="X2050" s="2">
        <f t="shared" ref="X2050:X2113" ca="1" si="2006">W2050*(1+H2050)</f>
        <v>57028604.476628974</v>
      </c>
      <c r="Y2050" s="2">
        <f t="shared" ref="Y2050:Y2113" ca="1" si="2007">BaseMargin + SynReal_Y1*K2050</f>
        <v>0.12356303344404303</v>
      </c>
      <c r="Z2050" s="2">
        <f t="shared" ref="Z2050:Z2113" ca="1" si="2008">BaseMargin + SynReal_Y2toY5*K2050</f>
        <v>0.12498824682166024</v>
      </c>
      <c r="AA2050" s="2">
        <f t="shared" ref="AA2050:AA2113" ca="1" si="2009">T2050*Y2050</f>
        <v>5975999.201817628</v>
      </c>
      <c r="AB2050" s="2">
        <f t="shared" ref="AB2050:AB2113" ca="1" si="2010">U2050*Z2050</f>
        <v>6299177.400593752</v>
      </c>
      <c r="AC2050" s="2">
        <f t="shared" ref="AC2050:AC2113" ca="1" si="2011">V2050*Z2050</f>
        <v>6564120.3208572892</v>
      </c>
      <c r="AD2050" s="2">
        <f t="shared" ref="AD2050:AD2113" ca="1" si="2012">W2050*Z2050</f>
        <v>6840206.7201076467</v>
      </c>
      <c r="AE2050" s="2">
        <f t="shared" ref="AE2050:AE2113" ca="1" si="2013">X2050*Z2050</f>
        <v>7127905.2922197403</v>
      </c>
      <c r="AF2050" s="2">
        <f t="shared" ref="AF2050:AF2113" ca="1" si="2014">T2050*CapexPct</f>
        <v>967279.45814375463</v>
      </c>
      <c r="AG2050" s="2">
        <f t="shared" ref="AG2050:AG2113" ca="1" si="2015">U2050*CapexPct</f>
        <v>1007963.1582610719</v>
      </c>
      <c r="AH2050" s="2">
        <f t="shared" ref="AH2050:AH2113" ca="1" si="2016">V2050*CapexPct</f>
        <v>1050358.0116974229</v>
      </c>
      <c r="AI2050" s="2">
        <f t="shared" ref="AI2050:AI2113" ca="1" si="2017">W2050*CapexPct</f>
        <v>1094535.9894306881</v>
      </c>
      <c r="AJ2050" s="2">
        <f t="shared" ref="AJ2050:AJ2113" ca="1" si="2018">X2050*CapexPct</f>
        <v>1140572.0895325795</v>
      </c>
      <c r="AK2050" s="2">
        <f t="shared" ref="AK2050:AK2113" ca="1" si="2019">MAX(T2050-BaseRev*(1+N2050),0)*WCPct</f>
        <v>0</v>
      </c>
      <c r="AL2050" s="2">
        <f t="shared" ref="AL2050:AL2113" ca="1" si="2020">MAX(U2050-T2050,0)*WCPct</f>
        <v>20341.850058658645</v>
      </c>
      <c r="AM2050" s="2">
        <f t="shared" ref="AM2050:AM2113" ca="1" si="2021">MAX(V2050-U2050,0)*WCPct</f>
        <v>21197.426718175488</v>
      </c>
      <c r="AN2050" s="2">
        <f t="shared" ref="AN2050:AN2113" ca="1" si="2022">MAX(W2050-V2050,0)*WCPct</f>
        <v>22088.988866632582</v>
      </c>
      <c r="AO2050" s="2">
        <f t="shared" ref="AO2050:AO2113" ca="1" si="2023">MAX(X2050-W2050,0)*WCPct</f>
        <v>23018.050050945731</v>
      </c>
      <c r="AP2050" s="2">
        <f t="shared" ref="AP2050:AP2113" ca="1" si="2024">R2050*DebtRate</f>
        <v>2280399.1343300403</v>
      </c>
      <c r="AQ2050" s="2">
        <f t="shared" ref="AQ2050:AQ2113" ca="1" si="2025">MAX(AA2050-AF2050-AP2050,0)*Tax</f>
        <v>709363.35842939653</v>
      </c>
      <c r="AR2050" s="2">
        <f t="shared" ref="AR2050:AR2113" ca="1" si="2026">MAX(AB2050-AG2050-AP2050,0)*Tax</f>
        <v>782811.92808068637</v>
      </c>
      <c r="AS2050" s="2">
        <f t="shared" ref="AS2050:AS2113" ca="1" si="2027">MAX(AC2050-AH2050-AP2050,0)*Tax</f>
        <v>840674.42545575486</v>
      </c>
      <c r="AT2050" s="2">
        <f t="shared" ref="AT2050:AT2113" ca="1" si="2028">MAX(AD2050-AI2050-AP2050,0)*Tax</f>
        <v>900970.61505019874</v>
      </c>
      <c r="AU2050" s="2">
        <f t="shared" ref="AU2050:AU2113" ca="1" si="2029">MAX(AE2050-AJ2050-AP2050,0)*Tax</f>
        <v>963802.85777285148</v>
      </c>
      <c r="AV2050" s="2">
        <f t="shared" ref="AV2050:AV2113" ca="1" si="2030">AA2050-AF2050-AK2050-AQ2050-AP2050</f>
        <v>2018957.2509144363</v>
      </c>
      <c r="AW2050" s="2">
        <f t="shared" ref="AW2050:AW2113" ca="1" si="2031">AB2050-AG2050-AL2050-AR2050-AP2050</f>
        <v>2207661.3298632945</v>
      </c>
      <c r="AX2050" s="2">
        <f t="shared" ref="AX2050:AX2113" ca="1" si="2032">AC2050-AH2050-AM2050-AS2050-AP2050</f>
        <v>2371491.3226558962</v>
      </c>
      <c r="AY2050" s="2">
        <f t="shared" ref="AY2050:AY2113" ca="1" si="2033">AD2050-AI2050-AN2050-AT2050-AP2050</f>
        <v>2542211.9924300867</v>
      </c>
      <c r="AZ2050" s="2">
        <f t="shared" ref="AZ2050:AZ2113" ca="1" si="2034">AE2050-AJ2050-AO2050-AU2050-AP2050</f>
        <v>2720113.1605333234</v>
      </c>
      <c r="BA2050" s="2">
        <f t="shared" ref="BA2050:BA2113" ca="1" si="2035">AE2050*E2050</f>
        <v>51978108.724130422</v>
      </c>
      <c r="BB2050" s="2">
        <f t="shared" ref="BB2050:BB2113" ca="1" si="2036">BA2050*SellCostPct</f>
        <v>1039562.1744826084</v>
      </c>
      <c r="BC2050" s="2">
        <f t="shared" ref="BC2050:BC2113" ca="1" si="2037">BA2050-R2050-BB2050</f>
        <v>25600778.390425142</v>
      </c>
      <c r="BD2050" s="2">
        <f t="shared" ref="BD2050:BD2113" ca="1" si="2038">-S2050-Q2050-IntegrationPct*BaseRev</f>
        <v>-18447585.779449392</v>
      </c>
      <c r="BE2050" s="2">
        <f t="shared" ref="BE2050:BE2113" ca="1" si="2039">AV2050</f>
        <v>2018957.2509144363</v>
      </c>
      <c r="BF2050" s="2">
        <f t="shared" ref="BF2050:BF2113" ca="1" si="2040">AW2050</f>
        <v>2207661.3298632945</v>
      </c>
      <c r="BG2050" s="2">
        <f t="shared" ref="BG2050:BG2113" ca="1" si="2041">AX2050</f>
        <v>2371491.3226558962</v>
      </c>
      <c r="BH2050" s="2">
        <f t="shared" ref="BH2050:BH2113" ca="1" si="2042">AY2050</f>
        <v>2542211.9924300867</v>
      </c>
      <c r="BI2050" s="2">
        <f t="shared" ref="BI2050:BI2113" ca="1" si="2043">AZ2050+BC2050</f>
        <v>28320891.550958466</v>
      </c>
      <c r="BJ2050" s="2">
        <f t="shared" ref="BJ2050:BJ2113" ca="1" si="2044">IF(MIN(BD2050:BI2050)*MAX(BD2050:BI2050)&gt;=0, "", IFERROR(IRR(BD2050:BI2050,0.12), IFERROR(IRR(BD2050:BI2050,0.5), IFERROR(IRR(BD2050:BI2050,-0.5),""))))</f>
        <v>0.17973486355587598</v>
      </c>
      <c r="BK2050" s="2">
        <f t="shared" ref="BK2050:BK2113" ca="1" si="2045">NPV(12%,BE2050:BI2050)+BD2050</f>
        <v>4488625.524588</v>
      </c>
    </row>
    <row r="2051" spans="1:63" x14ac:dyDescent="0.3">
      <c r="A2051" s="2">
        <v>2050</v>
      </c>
      <c r="B2051" s="2">
        <f t="shared" ca="1" si="1984"/>
        <v>0.47111342476787599</v>
      </c>
      <c r="C2051" s="2">
        <f t="shared" ca="1" si="1985"/>
        <v>6.9706837021067942</v>
      </c>
      <c r="D2051" s="2">
        <f t="shared" ca="1" si="1986"/>
        <v>0.48533863666218324</v>
      </c>
      <c r="E2051" s="2">
        <f t="shared" ca="1" si="1987"/>
        <v>7.4852295536190372</v>
      </c>
      <c r="F2051" s="2">
        <f t="shared" ca="1" si="1988"/>
        <v>1.5511584713801541E-2</v>
      </c>
      <c r="G2051" s="2">
        <f t="shared" ca="1" si="1989"/>
        <v>-2.4703261742662221E-2</v>
      </c>
      <c r="H2051" s="2">
        <f t="shared" ca="1" si="1990"/>
        <v>-0.02</v>
      </c>
      <c r="I2051" s="2">
        <f t="shared" ca="1" si="1991"/>
        <v>0.39831111937232999</v>
      </c>
      <c r="J2051" s="2">
        <f t="shared" ca="1" si="1992"/>
        <v>8.7113950061195287E-3</v>
      </c>
      <c r="K2051" s="2">
        <f t="shared" ca="1" si="1993"/>
        <v>8.7113950061195287E-3</v>
      </c>
      <c r="L2051" s="2">
        <f t="shared" ca="1" si="1994"/>
        <v>0.59983877864610347</v>
      </c>
      <c r="M2051" s="2">
        <f t="shared" ca="1" si="1995"/>
        <v>5.0585964718030674E-3</v>
      </c>
      <c r="N2051" s="2">
        <f t="shared" ca="1" si="1996"/>
        <v>5.0585964718030674E-3</v>
      </c>
      <c r="O2051" s="2">
        <f t="shared" si="1997"/>
        <v>6000000</v>
      </c>
      <c r="P2051" s="2">
        <f t="shared" ca="1" si="1998"/>
        <v>41824102.212640762</v>
      </c>
      <c r="Q2051" s="2">
        <f t="shared" ca="1" si="1999"/>
        <v>1045602.5553160191</v>
      </c>
      <c r="R2051" s="2">
        <f t="shared" ca="1" si="2000"/>
        <v>25094461.327584457</v>
      </c>
      <c r="S2051" s="2">
        <f t="shared" ca="1" si="2001"/>
        <v>16729640.885056306</v>
      </c>
      <c r="T2051" s="2">
        <f t="shared" ca="1" si="2002"/>
        <v>50252929.823590152</v>
      </c>
      <c r="U2051" s="2">
        <f t="shared" ca="1" si="2003"/>
        <v>49247871.227118351</v>
      </c>
      <c r="V2051" s="2">
        <f t="shared" ca="1" si="2004"/>
        <v>48262913.802575983</v>
      </c>
      <c r="W2051" s="2">
        <f t="shared" ca="1" si="2005"/>
        <v>47297655.526524462</v>
      </c>
      <c r="X2051" s="2">
        <f t="shared" ca="1" si="2006"/>
        <v>46351702.415993974</v>
      </c>
      <c r="Y2051" s="2">
        <f t="shared" ca="1" si="2007"/>
        <v>0.12435569750305976</v>
      </c>
      <c r="Z2051" s="2">
        <f t="shared" ca="1" si="2008"/>
        <v>0.12609797650428367</v>
      </c>
      <c r="AA2051" s="2">
        <f t="shared" ca="1" si="2009"/>
        <v>6249238.1397848669</v>
      </c>
      <c r="AB2051" s="2">
        <f t="shared" ca="1" si="2010"/>
        <v>6210056.9088831572</v>
      </c>
      <c r="AC2051" s="2">
        <f t="shared" ca="1" si="2011"/>
        <v>6085855.7707054941</v>
      </c>
      <c r="AD2051" s="2">
        <f t="shared" ca="1" si="2012"/>
        <v>5964138.6552913841</v>
      </c>
      <c r="AE2051" s="2">
        <f t="shared" ca="1" si="2013"/>
        <v>5844855.8821855569</v>
      </c>
      <c r="AF2051" s="2">
        <f t="shared" ca="1" si="2014"/>
        <v>1005058.596471803</v>
      </c>
      <c r="AG2051" s="2">
        <f t="shared" ca="1" si="2015"/>
        <v>984957.42454236699</v>
      </c>
      <c r="AH2051" s="2">
        <f t="shared" ca="1" si="2016"/>
        <v>965258.27605151967</v>
      </c>
      <c r="AI2051" s="2">
        <f t="shared" ca="1" si="2017"/>
        <v>945953.11053048924</v>
      </c>
      <c r="AJ2051" s="2">
        <f t="shared" ca="1" si="2018"/>
        <v>927034.04831987945</v>
      </c>
      <c r="AK2051" s="2">
        <f t="shared" ca="1" si="2019"/>
        <v>0</v>
      </c>
      <c r="AL2051" s="2">
        <f t="shared" ca="1" si="2020"/>
        <v>0</v>
      </c>
      <c r="AM2051" s="2">
        <f t="shared" ca="1" si="2021"/>
        <v>0</v>
      </c>
      <c r="AN2051" s="2">
        <f t="shared" ca="1" si="2022"/>
        <v>0</v>
      </c>
      <c r="AO2051" s="2">
        <f t="shared" ca="1" si="2023"/>
        <v>0</v>
      </c>
      <c r="AP2051" s="2">
        <f t="shared" ca="1" si="2024"/>
        <v>2258501.519482601</v>
      </c>
      <c r="AQ2051" s="2">
        <f t="shared" ca="1" si="2025"/>
        <v>776276.28619592031</v>
      </c>
      <c r="AR2051" s="2">
        <f t="shared" ca="1" si="2026"/>
        <v>771315.47086312936</v>
      </c>
      <c r="AS2051" s="2">
        <f t="shared" ca="1" si="2027"/>
        <v>744144.95354455721</v>
      </c>
      <c r="AT2051" s="2">
        <f t="shared" ca="1" si="2028"/>
        <v>717517.84657235641</v>
      </c>
      <c r="AU2051" s="2">
        <f t="shared" ca="1" si="2029"/>
        <v>691423.2817396</v>
      </c>
      <c r="AV2051" s="2">
        <f t="shared" ca="1" si="2030"/>
        <v>2209401.7376345419</v>
      </c>
      <c r="AW2051" s="2">
        <f t="shared" ca="1" si="2031"/>
        <v>2195282.4939950607</v>
      </c>
      <c r="AX2051" s="2">
        <f t="shared" ca="1" si="2032"/>
        <v>2117951.0216268166</v>
      </c>
      <c r="AY2051" s="2">
        <f t="shared" ca="1" si="2033"/>
        <v>2042166.1787059377</v>
      </c>
      <c r="AZ2051" s="2">
        <f t="shared" ca="1" si="2034"/>
        <v>1967897.032643477</v>
      </c>
      <c r="BA2051" s="2">
        <f t="shared" ca="1" si="2035"/>
        <v>43750087.985979401</v>
      </c>
      <c r="BB2051" s="2">
        <f t="shared" ca="1" si="2036"/>
        <v>875001.75971958798</v>
      </c>
      <c r="BC2051" s="2">
        <f t="shared" ca="1" si="2037"/>
        <v>17780624.898675356</v>
      </c>
      <c r="BD2051" s="2">
        <f t="shared" ca="1" si="2038"/>
        <v>-18275243.440372325</v>
      </c>
      <c r="BE2051" s="2">
        <f t="shared" ca="1" si="2039"/>
        <v>2209401.7376345419</v>
      </c>
      <c r="BF2051" s="2">
        <f t="shared" ca="1" si="2040"/>
        <v>2195282.4939950607</v>
      </c>
      <c r="BG2051" s="2">
        <f t="shared" ca="1" si="2041"/>
        <v>2117951.0216268166</v>
      </c>
      <c r="BH2051" s="2">
        <f t="shared" ca="1" si="2042"/>
        <v>2042166.1787059377</v>
      </c>
      <c r="BI2051" s="2">
        <f t="shared" ca="1" si="2043"/>
        <v>19748521.931318834</v>
      </c>
      <c r="BJ2051" s="2">
        <f t="shared" ca="1" si="2044"/>
        <v>0.11166188314216363</v>
      </c>
      <c r="BK2051" s="2">
        <f t="shared" ca="1" si="2045"/>
        <v>-541306.62049376592</v>
      </c>
    </row>
    <row r="2052" spans="1:63" x14ac:dyDescent="0.3">
      <c r="A2052" s="2">
        <v>2051</v>
      </c>
      <c r="B2052" s="2">
        <f t="shared" ca="1" si="1984"/>
        <v>0.84680959222479335</v>
      </c>
      <c r="C2052" s="2">
        <f t="shared" ca="1" si="1985"/>
        <v>7.446483229205823</v>
      </c>
      <c r="D2052" s="2">
        <f t="shared" ca="1" si="1986"/>
        <v>5.3281561062562655E-2</v>
      </c>
      <c r="E2052" s="2">
        <f t="shared" ca="1" si="1987"/>
        <v>6.8264400743247151</v>
      </c>
      <c r="F2052" s="2">
        <f t="shared" ca="1" si="1988"/>
        <v>0.12879007939764697</v>
      </c>
      <c r="G2052" s="2">
        <f t="shared" ca="1" si="1989"/>
        <v>6.0361267510437508E-3</v>
      </c>
      <c r="H2052" s="2">
        <f t="shared" ca="1" si="1990"/>
        <v>6.0361267510437508E-3</v>
      </c>
      <c r="I2052" s="2">
        <f t="shared" ca="1" si="1991"/>
        <v>0.21638381184857858</v>
      </c>
      <c r="J2052" s="2">
        <f t="shared" ca="1" si="1992"/>
        <v>6.0776776640318313E-3</v>
      </c>
      <c r="K2052" s="2">
        <f t="shared" ca="1" si="1993"/>
        <v>6.0776776640318313E-3</v>
      </c>
      <c r="L2052" s="2">
        <f t="shared" ca="1" si="1994"/>
        <v>1.5314543696815175E-2</v>
      </c>
      <c r="M2052" s="2">
        <f t="shared" ca="1" si="1995"/>
        <v>-4.3237169290885086E-2</v>
      </c>
      <c r="N2052" s="2">
        <f t="shared" ca="1" si="1996"/>
        <v>-4.3237169290885086E-2</v>
      </c>
      <c r="O2052" s="2">
        <f t="shared" si="1997"/>
        <v>6000000</v>
      </c>
      <c r="P2052" s="2">
        <f t="shared" ca="1" si="1998"/>
        <v>44678899.375234939</v>
      </c>
      <c r="Q2052" s="2">
        <f t="shared" ca="1" si="1999"/>
        <v>1116972.4843808736</v>
      </c>
      <c r="R2052" s="2">
        <f t="shared" ca="1" si="2000"/>
        <v>26807339.625140961</v>
      </c>
      <c r="S2052" s="2">
        <f t="shared" ca="1" si="2001"/>
        <v>17871559.750093978</v>
      </c>
      <c r="T2052" s="2">
        <f t="shared" ca="1" si="2002"/>
        <v>47838141.535455748</v>
      </c>
      <c r="U2052" s="2">
        <f t="shared" ca="1" si="2003"/>
        <v>48126898.621298134</v>
      </c>
      <c r="V2052" s="2">
        <f t="shared" ca="1" si="2004"/>
        <v>48417398.681510925</v>
      </c>
      <c r="W2052" s="2">
        <f t="shared" ca="1" si="2005"/>
        <v>48709652.236908346</v>
      </c>
      <c r="X2052" s="2">
        <f t="shared" ca="1" si="2006"/>
        <v>49003669.871809587</v>
      </c>
      <c r="Y2052" s="2">
        <f t="shared" ca="1" si="2007"/>
        <v>0.12303883883201591</v>
      </c>
      <c r="Z2052" s="2">
        <f t="shared" ca="1" si="2008"/>
        <v>0.12425437436482228</v>
      </c>
      <c r="AA2052" s="2">
        <f t="shared" ca="1" si="2009"/>
        <v>5885949.3864041064</v>
      </c>
      <c r="AB2052" s="2">
        <f t="shared" ca="1" si="2010"/>
        <v>5979977.6783086276</v>
      </c>
      <c r="AC2052" s="2">
        <f t="shared" ca="1" si="2011"/>
        <v>6016073.5815433115</v>
      </c>
      <c r="AD2052" s="2">
        <f t="shared" ca="1" si="2012"/>
        <v>6052387.3642251128</v>
      </c>
      <c r="AE2052" s="2">
        <f t="shared" ca="1" si="2013"/>
        <v>6088920.3415019913</v>
      </c>
      <c r="AF2052" s="2">
        <f t="shared" ca="1" si="2014"/>
        <v>956762.83070911502</v>
      </c>
      <c r="AG2052" s="2">
        <f t="shared" ca="1" si="2015"/>
        <v>962537.97242596268</v>
      </c>
      <c r="AH2052" s="2">
        <f t="shared" ca="1" si="2016"/>
        <v>968347.97363021853</v>
      </c>
      <c r="AI2052" s="2">
        <f t="shared" ca="1" si="2017"/>
        <v>974193.04473816697</v>
      </c>
      <c r="AJ2052" s="2">
        <f t="shared" ca="1" si="2018"/>
        <v>980073.39743619179</v>
      </c>
      <c r="AK2052" s="2">
        <f t="shared" ca="1" si="2019"/>
        <v>0</v>
      </c>
      <c r="AL2052" s="2">
        <f t="shared" ca="1" si="2020"/>
        <v>2887.5708584238591</v>
      </c>
      <c r="AM2052" s="2">
        <f t="shared" ca="1" si="2021"/>
        <v>2905.0006021279096</v>
      </c>
      <c r="AN2052" s="2">
        <f t="shared" ca="1" si="2022"/>
        <v>2922.5355539742113</v>
      </c>
      <c r="AO2052" s="2">
        <f t="shared" ca="1" si="2023"/>
        <v>2940.1763490124049</v>
      </c>
      <c r="AP2052" s="2">
        <f t="shared" ca="1" si="2024"/>
        <v>2412660.5662626866</v>
      </c>
      <c r="AQ2052" s="2">
        <f t="shared" ca="1" si="2025"/>
        <v>654296.75725239934</v>
      </c>
      <c r="AR2052" s="2">
        <f t="shared" ca="1" si="2026"/>
        <v>677242.57630119438</v>
      </c>
      <c r="AS2052" s="2">
        <f t="shared" ca="1" si="2027"/>
        <v>685116.91082910565</v>
      </c>
      <c r="AT2052" s="2">
        <f t="shared" ca="1" si="2028"/>
        <v>693038.77583830745</v>
      </c>
      <c r="AU2052" s="2">
        <f t="shared" ca="1" si="2029"/>
        <v>701008.45822880953</v>
      </c>
      <c r="AV2052" s="2">
        <f t="shared" ca="1" si="2030"/>
        <v>1862229.2321799062</v>
      </c>
      <c r="AW2052" s="2">
        <f t="shared" ca="1" si="2031"/>
        <v>1924648.9924603598</v>
      </c>
      <c r="AX2052" s="2">
        <f t="shared" ca="1" si="2032"/>
        <v>1947043.1302191727</v>
      </c>
      <c r="AY2052" s="2">
        <f t="shared" ca="1" si="2033"/>
        <v>1969572.441831978</v>
      </c>
      <c r="AZ2052" s="2">
        <f t="shared" ca="1" si="2034"/>
        <v>1992237.7432252914</v>
      </c>
      <c r="BA2052" s="2">
        <f t="shared" ca="1" si="2035"/>
        <v>41565649.828600124</v>
      </c>
      <c r="BB2052" s="2">
        <f t="shared" ca="1" si="2036"/>
        <v>831312.99657200254</v>
      </c>
      <c r="BC2052" s="2">
        <f t="shared" ca="1" si="2037"/>
        <v>13926997.206887159</v>
      </c>
      <c r="BD2052" s="2">
        <f t="shared" ca="1" si="2038"/>
        <v>-19488532.234474853</v>
      </c>
      <c r="BE2052" s="2">
        <f t="shared" ca="1" si="2039"/>
        <v>1862229.2321799062</v>
      </c>
      <c r="BF2052" s="2">
        <f t="shared" ca="1" si="2040"/>
        <v>1924648.9924603598</v>
      </c>
      <c r="BG2052" s="2">
        <f t="shared" ca="1" si="2041"/>
        <v>1947043.1302191727</v>
      </c>
      <c r="BH2052" s="2">
        <f t="shared" ca="1" si="2042"/>
        <v>1969572.441831978</v>
      </c>
      <c r="BI2052" s="2">
        <f t="shared" ca="1" si="2043"/>
        <v>15919234.950112451</v>
      </c>
      <c r="BJ2052" s="2">
        <f t="shared" ca="1" si="2044"/>
        <v>4.7446320998184577E-2</v>
      </c>
      <c r="BK2052" s="2">
        <f t="shared" ca="1" si="2045"/>
        <v>-4620942.0012306031</v>
      </c>
    </row>
    <row r="2053" spans="1:63" x14ac:dyDescent="0.3">
      <c r="A2053" s="2">
        <v>2052</v>
      </c>
      <c r="B2053" s="2">
        <f t="shared" ca="1" si="1984"/>
        <v>0.50325192293226417</v>
      </c>
      <c r="C2053" s="2">
        <f t="shared" ca="1" si="1985"/>
        <v>7.0032572276984038</v>
      </c>
      <c r="D2053" s="2">
        <f t="shared" ca="1" si="1986"/>
        <v>0.77689194387977134</v>
      </c>
      <c r="E2053" s="2">
        <f t="shared" ca="1" si="1987"/>
        <v>7.8320059040377252</v>
      </c>
      <c r="F2053" s="2">
        <f t="shared" ca="1" si="1988"/>
        <v>0.96027364032459939</v>
      </c>
      <c r="G2053" s="2">
        <f t="shared" ca="1" si="1989"/>
        <v>9.261611151474132E-2</v>
      </c>
      <c r="H2053" s="2">
        <f t="shared" ca="1" si="1990"/>
        <v>9.261611151474132E-2</v>
      </c>
      <c r="I2053" s="2">
        <f t="shared" ca="1" si="1991"/>
        <v>0.87781352313421834</v>
      </c>
      <c r="J2053" s="2">
        <f t="shared" ca="1" si="1992"/>
        <v>1.5820629996103223E-2</v>
      </c>
      <c r="K2053" s="2">
        <f t="shared" ca="1" si="1993"/>
        <v>1.5820629996103223E-2</v>
      </c>
      <c r="L2053" s="2">
        <f t="shared" ca="1" si="1994"/>
        <v>0.50320891379845933</v>
      </c>
      <c r="M2053" s="2">
        <f t="shared" ca="1" si="1995"/>
        <v>1.6087281589401283E-4</v>
      </c>
      <c r="N2053" s="2">
        <f t="shared" ca="1" si="1996"/>
        <v>1.6087281589401283E-4</v>
      </c>
      <c r="O2053" s="2">
        <f t="shared" si="1997"/>
        <v>6000000</v>
      </c>
      <c r="P2053" s="2">
        <f t="shared" ca="1" si="1998"/>
        <v>42019543.366190426</v>
      </c>
      <c r="Q2053" s="2">
        <f t="shared" ca="1" si="1999"/>
        <v>1050488.5841547607</v>
      </c>
      <c r="R2053" s="2">
        <f t="shared" ca="1" si="2000"/>
        <v>25211726.019714255</v>
      </c>
      <c r="S2053" s="2">
        <f t="shared" ca="1" si="2001"/>
        <v>16807817.346476171</v>
      </c>
      <c r="T2053" s="2">
        <f t="shared" ca="1" si="2002"/>
        <v>50008043.640794694</v>
      </c>
      <c r="U2053" s="2">
        <f t="shared" ca="1" si="2003"/>
        <v>54639594.187264584</v>
      </c>
      <c r="V2053" s="2">
        <f t="shared" ca="1" si="2004"/>
        <v>59700100.93563249</v>
      </c>
      <c r="W2053" s="2">
        <f t="shared" ca="1" si="2005"/>
        <v>65229292.141328335</v>
      </c>
      <c r="X2053" s="2">
        <f t="shared" ca="1" si="2006"/>
        <v>71270575.536317229</v>
      </c>
      <c r="Y2053" s="2">
        <f t="shared" ca="1" si="2007"/>
        <v>0.12791031499805161</v>
      </c>
      <c r="Z2053" s="2">
        <f t="shared" ca="1" si="2008"/>
        <v>0.13107444099727225</v>
      </c>
      <c r="AA2053" s="2">
        <f t="shared" ca="1" si="2009"/>
        <v>6396544.6145303613</v>
      </c>
      <c r="AB2053" s="2">
        <f t="shared" ca="1" si="2010"/>
        <v>7161854.2644135114</v>
      </c>
      <c r="AC2053" s="2">
        <f t="shared" ca="1" si="2011"/>
        <v>7825157.3576187585</v>
      </c>
      <c r="AD2053" s="2">
        <f t="shared" ca="1" si="2012"/>
        <v>8549893.0040723756</v>
      </c>
      <c r="AE2053" s="2">
        <f t="shared" ca="1" si="2013"/>
        <v>9341750.8479766473</v>
      </c>
      <c r="AF2053" s="2">
        <f t="shared" ca="1" si="2014"/>
        <v>1000160.872815894</v>
      </c>
      <c r="AG2053" s="2">
        <f t="shared" ca="1" si="2015"/>
        <v>1092791.8837452917</v>
      </c>
      <c r="AH2053" s="2">
        <f t="shared" ca="1" si="2016"/>
        <v>1194002.0187126498</v>
      </c>
      <c r="AI2053" s="2">
        <f t="shared" ca="1" si="2017"/>
        <v>1304585.8428265667</v>
      </c>
      <c r="AJ2053" s="2">
        <f t="shared" ca="1" si="2018"/>
        <v>1425411.5107263445</v>
      </c>
      <c r="AK2053" s="2">
        <f t="shared" ca="1" si="2019"/>
        <v>0</v>
      </c>
      <c r="AL2053" s="2">
        <f t="shared" ca="1" si="2020"/>
        <v>46315.505464698894</v>
      </c>
      <c r="AM2053" s="2">
        <f t="shared" ca="1" si="2021"/>
        <v>50605.067483679057</v>
      </c>
      <c r="AN2053" s="2">
        <f t="shared" ca="1" si="2022"/>
        <v>55291.912056958456</v>
      </c>
      <c r="AO2053" s="2">
        <f t="shared" ca="1" si="2023"/>
        <v>60412.833949888947</v>
      </c>
      <c r="AP2053" s="2">
        <f t="shared" ca="1" si="2024"/>
        <v>2269055.341774283</v>
      </c>
      <c r="AQ2053" s="2">
        <f t="shared" ca="1" si="2025"/>
        <v>813105.38398444792</v>
      </c>
      <c r="AR2053" s="2">
        <f t="shared" ca="1" si="2026"/>
        <v>988001.8301124234</v>
      </c>
      <c r="AS2053" s="2">
        <f t="shared" ca="1" si="2027"/>
        <v>1134145.9992542746</v>
      </c>
      <c r="AT2053" s="2">
        <f t="shared" ca="1" si="2028"/>
        <v>1293825.4730625967</v>
      </c>
      <c r="AU2053" s="2">
        <f t="shared" ca="1" si="2029"/>
        <v>1468293.8388237651</v>
      </c>
      <c r="AV2053" s="2">
        <f t="shared" ca="1" si="2030"/>
        <v>2314223.0159557369</v>
      </c>
      <c r="AW2053" s="2">
        <f t="shared" ca="1" si="2031"/>
        <v>2765689.7033168133</v>
      </c>
      <c r="AX2053" s="2">
        <f t="shared" ca="1" si="2032"/>
        <v>3177348.9303938709</v>
      </c>
      <c r="AY2053" s="2">
        <f t="shared" ca="1" si="2033"/>
        <v>3627134.4343519714</v>
      </c>
      <c r="AZ2053" s="2">
        <f t="shared" ca="1" si="2034"/>
        <v>4118577.322702365</v>
      </c>
      <c r="BA2053" s="2">
        <f t="shared" ca="1" si="2035"/>
        <v>73164647.795402527</v>
      </c>
      <c r="BB2053" s="2">
        <f t="shared" ca="1" si="2036"/>
        <v>1463292.9559080505</v>
      </c>
      <c r="BC2053" s="2">
        <f t="shared" ca="1" si="2037"/>
        <v>46489628.819780223</v>
      </c>
      <c r="BD2053" s="2">
        <f t="shared" ca="1" si="2038"/>
        <v>-18358305.930630933</v>
      </c>
      <c r="BE2053" s="2">
        <f t="shared" ca="1" si="2039"/>
        <v>2314223.0159557369</v>
      </c>
      <c r="BF2053" s="2">
        <f t="shared" ca="1" si="2040"/>
        <v>2765689.7033168133</v>
      </c>
      <c r="BG2053" s="2">
        <f t="shared" ca="1" si="2041"/>
        <v>3177348.9303938709</v>
      </c>
      <c r="BH2053" s="2">
        <f t="shared" ca="1" si="2042"/>
        <v>3627134.4343519714</v>
      </c>
      <c r="BI2053" s="2">
        <f t="shared" ca="1" si="2043"/>
        <v>50608206.142482586</v>
      </c>
      <c r="BJ2053" s="2">
        <f t="shared" ca="1" si="2044"/>
        <v>0.3232257152809217</v>
      </c>
      <c r="BK2053" s="2">
        <f t="shared" ca="1" si="2045"/>
        <v>19195894.517907981</v>
      </c>
    </row>
    <row r="2054" spans="1:63" x14ac:dyDescent="0.3">
      <c r="A2054" s="2">
        <v>2053</v>
      </c>
      <c r="B2054" s="2">
        <f t="shared" ca="1" si="1984"/>
        <v>0.55892169481891429</v>
      </c>
      <c r="C2054" s="2">
        <f t="shared" ca="1" si="1985"/>
        <v>7.0607680742424845</v>
      </c>
      <c r="D2054" s="2">
        <f t="shared" ca="1" si="1986"/>
        <v>0.16472775844620369</v>
      </c>
      <c r="E2054" s="2">
        <f t="shared" ca="1" si="1987"/>
        <v>7.0739821572944646</v>
      </c>
      <c r="F2054" s="2">
        <f t="shared" ca="1" si="1988"/>
        <v>0.38580432120532671</v>
      </c>
      <c r="G2054" s="2">
        <f t="shared" ca="1" si="1989"/>
        <v>3.1291859001774405E-2</v>
      </c>
      <c r="H2054" s="2">
        <f t="shared" ca="1" si="1990"/>
        <v>3.1291859001774405E-2</v>
      </c>
      <c r="I2054" s="2">
        <f t="shared" ca="1" si="1991"/>
        <v>0.98150744406979296</v>
      </c>
      <c r="J2054" s="2">
        <f t="shared" ca="1" si="1992"/>
        <v>2.0429641857864108E-2</v>
      </c>
      <c r="K2054" s="2">
        <f t="shared" ca="1" si="1993"/>
        <v>2.0429641857864108E-2</v>
      </c>
      <c r="L2054" s="2">
        <f t="shared" ca="1" si="1994"/>
        <v>0.26220016163313964</v>
      </c>
      <c r="M2054" s="2">
        <f t="shared" ca="1" si="1995"/>
        <v>-1.2731542682712716E-2</v>
      </c>
      <c r="N2054" s="2">
        <f t="shared" ca="1" si="1996"/>
        <v>-1.2731542682712716E-2</v>
      </c>
      <c r="O2054" s="2">
        <f t="shared" si="1997"/>
        <v>6000000</v>
      </c>
      <c r="P2054" s="2">
        <f t="shared" ca="1" si="1998"/>
        <v>42364608.44545491</v>
      </c>
      <c r="Q2054" s="2">
        <f t="shared" ca="1" si="1999"/>
        <v>1059115.2111363728</v>
      </c>
      <c r="R2054" s="2">
        <f t="shared" ca="1" si="2000"/>
        <v>25418765.067272946</v>
      </c>
      <c r="S2054" s="2">
        <f t="shared" ca="1" si="2001"/>
        <v>16945843.378181964</v>
      </c>
      <c r="T2054" s="2">
        <f t="shared" ca="1" si="2002"/>
        <v>49363422.865864366</v>
      </c>
      <c r="U2054" s="2">
        <f t="shared" ca="1" si="2003"/>
        <v>50908096.134027958</v>
      </c>
      <c r="V2054" s="2">
        <f t="shared" ca="1" si="2004"/>
        <v>52501105.100302733</v>
      </c>
      <c r="W2054" s="2">
        <f t="shared" ca="1" si="2005"/>
        <v>54143962.278538741</v>
      </c>
      <c r="X2054" s="2">
        <f t="shared" ca="1" si="2006"/>
        <v>55838227.511956163</v>
      </c>
      <c r="Y2054" s="2">
        <f t="shared" ca="1" si="2007"/>
        <v>0.13021482092893205</v>
      </c>
      <c r="Z2054" s="2">
        <f t="shared" ca="1" si="2008"/>
        <v>0.13430074930050487</v>
      </c>
      <c r="AA2054" s="2">
        <f t="shared" ca="1" si="2009"/>
        <v>6427849.2689176779</v>
      </c>
      <c r="AB2054" s="2">
        <f t="shared" ca="1" si="2010"/>
        <v>6836995.4562620902</v>
      </c>
      <c r="AC2054" s="2">
        <f t="shared" ca="1" si="2011"/>
        <v>7050937.7540752152</v>
      </c>
      <c r="AD2054" s="2">
        <f t="shared" ca="1" si="2012"/>
        <v>7271574.7041060235</v>
      </c>
      <c r="AE2054" s="2">
        <f t="shared" ca="1" si="2013"/>
        <v>7499115.7944677779</v>
      </c>
      <c r="AF2054" s="2">
        <f t="shared" ca="1" si="2014"/>
        <v>987268.45731728734</v>
      </c>
      <c r="AG2054" s="2">
        <f t="shared" ca="1" si="2015"/>
        <v>1018161.9226805592</v>
      </c>
      <c r="AH2054" s="2">
        <f t="shared" ca="1" si="2016"/>
        <v>1050022.1020060547</v>
      </c>
      <c r="AI2054" s="2">
        <f t="shared" ca="1" si="2017"/>
        <v>1082879.2455707749</v>
      </c>
      <c r="AJ2054" s="2">
        <f t="shared" ca="1" si="2018"/>
        <v>1116764.5502391232</v>
      </c>
      <c r="AK2054" s="2">
        <f t="shared" ca="1" si="2019"/>
        <v>0</v>
      </c>
      <c r="AL2054" s="2">
        <f t="shared" ca="1" si="2020"/>
        <v>15446.732681635916</v>
      </c>
      <c r="AM2054" s="2">
        <f t="shared" ca="1" si="2021"/>
        <v>15930.089662747756</v>
      </c>
      <c r="AN2054" s="2">
        <f t="shared" ca="1" si="2022"/>
        <v>16428.571782360079</v>
      </c>
      <c r="AO2054" s="2">
        <f t="shared" ca="1" si="2023"/>
        <v>16942.652334174218</v>
      </c>
      <c r="AP2054" s="2">
        <f t="shared" ca="1" si="2024"/>
        <v>2287688.8560545649</v>
      </c>
      <c r="AQ2054" s="2">
        <f t="shared" ca="1" si="2025"/>
        <v>819751.90844191471</v>
      </c>
      <c r="AR2054" s="2">
        <f t="shared" ca="1" si="2026"/>
        <v>918097.61615701113</v>
      </c>
      <c r="AS2054" s="2">
        <f t="shared" ca="1" si="2027"/>
        <v>965438.9669637949</v>
      </c>
      <c r="AT2054" s="2">
        <f t="shared" ca="1" si="2028"/>
        <v>1014261.7166449777</v>
      </c>
      <c r="AU2054" s="2">
        <f t="shared" ca="1" si="2029"/>
        <v>1064612.2209252634</v>
      </c>
      <c r="AV2054" s="2">
        <f t="shared" ca="1" si="2030"/>
        <v>2333140.0471039116</v>
      </c>
      <c r="AW2054" s="2">
        <f t="shared" ca="1" si="2031"/>
        <v>2597600.3286883188</v>
      </c>
      <c r="AX2054" s="2">
        <f t="shared" ca="1" si="2032"/>
        <v>2731857.7393880533</v>
      </c>
      <c r="AY2054" s="2">
        <f t="shared" ca="1" si="2033"/>
        <v>2870316.3140533455</v>
      </c>
      <c r="AZ2054" s="2">
        <f t="shared" ca="1" si="2034"/>
        <v>3013107.5149146523</v>
      </c>
      <c r="BA2054" s="2">
        <f t="shared" ca="1" si="2035"/>
        <v>53048611.325550161</v>
      </c>
      <c r="BB2054" s="2">
        <f t="shared" ca="1" si="2036"/>
        <v>1060972.2265110032</v>
      </c>
      <c r="BC2054" s="2">
        <f t="shared" ca="1" si="2037"/>
        <v>26568874.031766213</v>
      </c>
      <c r="BD2054" s="2">
        <f t="shared" ca="1" si="2038"/>
        <v>-18504958.589318335</v>
      </c>
      <c r="BE2054" s="2">
        <f t="shared" ca="1" si="2039"/>
        <v>2333140.0471039116</v>
      </c>
      <c r="BF2054" s="2">
        <f t="shared" ca="1" si="2040"/>
        <v>2597600.3286883188</v>
      </c>
      <c r="BG2054" s="2">
        <f t="shared" ca="1" si="2041"/>
        <v>2731857.7393880533</v>
      </c>
      <c r="BH2054" s="2">
        <f t="shared" ca="1" si="2042"/>
        <v>2870316.3140533455</v>
      </c>
      <c r="BI2054" s="2">
        <f t="shared" ca="1" si="2043"/>
        <v>29581981.546680868</v>
      </c>
      <c r="BJ2054" s="2">
        <f t="shared" ca="1" si="2044"/>
        <v>0.20154716520562355</v>
      </c>
      <c r="BK2054" s="2">
        <f t="shared" ca="1" si="2045"/>
        <v>6203224.3073918708</v>
      </c>
    </row>
    <row r="2055" spans="1:63" x14ac:dyDescent="0.3">
      <c r="A2055" s="2">
        <v>2054</v>
      </c>
      <c r="B2055" s="2">
        <f t="shared" ca="1" si="1984"/>
        <v>0.5440717939468368</v>
      </c>
      <c r="C2055" s="2">
        <f t="shared" ca="1" si="1985"/>
        <v>7.0450882699922852</v>
      </c>
      <c r="D2055" s="2">
        <f t="shared" ca="1" si="1986"/>
        <v>0.46261779620727117</v>
      </c>
      <c r="E2055" s="2">
        <f t="shared" ca="1" si="1987"/>
        <v>7.4618916739501087</v>
      </c>
      <c r="F2055" s="2">
        <f t="shared" ca="1" si="1988"/>
        <v>0.37914430427253576</v>
      </c>
      <c r="G2055" s="2">
        <f t="shared" ca="1" si="1989"/>
        <v>3.0768132267581738E-2</v>
      </c>
      <c r="H2055" s="2">
        <f t="shared" ca="1" si="1990"/>
        <v>3.0768132267581738E-2</v>
      </c>
      <c r="I2055" s="2">
        <f t="shared" ca="1" si="1991"/>
        <v>0.52712601353966881</v>
      </c>
      <c r="J2055" s="2">
        <f t="shared" ca="1" si="1992"/>
        <v>1.0340236554269204E-2</v>
      </c>
      <c r="K2055" s="2">
        <f t="shared" ca="1" si="1993"/>
        <v>1.0340236554269204E-2</v>
      </c>
      <c r="L2055" s="2">
        <f t="shared" ca="1" si="1994"/>
        <v>0.96662685526492509</v>
      </c>
      <c r="M2055" s="2">
        <f t="shared" ca="1" si="1995"/>
        <v>3.666757177677113E-2</v>
      </c>
      <c r="N2055" s="2">
        <f t="shared" ca="1" si="1996"/>
        <v>3.666757177677113E-2</v>
      </c>
      <c r="O2055" s="2">
        <f t="shared" si="1997"/>
        <v>6000000</v>
      </c>
      <c r="P2055" s="2">
        <f t="shared" ca="1" si="1998"/>
        <v>42270529.619953714</v>
      </c>
      <c r="Q2055" s="2">
        <f t="shared" ca="1" si="1999"/>
        <v>1056763.2404988429</v>
      </c>
      <c r="R2055" s="2">
        <f t="shared" ca="1" si="2000"/>
        <v>25362317.771972228</v>
      </c>
      <c r="S2055" s="2">
        <f t="shared" ca="1" si="2001"/>
        <v>16908211.847981486</v>
      </c>
      <c r="T2055" s="2">
        <f t="shared" ca="1" si="2002"/>
        <v>51833378.588838555</v>
      </c>
      <c r="U2055" s="2">
        <f t="shared" ca="1" si="2003"/>
        <v>53428194.837135576</v>
      </c>
      <c r="V2055" s="2">
        <f t="shared" ca="1" si="2004"/>
        <v>55072080.602702685</v>
      </c>
      <c r="W2055" s="2">
        <f t="shared" ca="1" si="2005"/>
        <v>56766545.662937559</v>
      </c>
      <c r="X2055" s="2">
        <f t="shared" ca="1" si="2006"/>
        <v>58513146.248268537</v>
      </c>
      <c r="Y2055" s="2">
        <f t="shared" ca="1" si="2007"/>
        <v>0.12517011827713459</v>
      </c>
      <c r="Z2055" s="2">
        <f t="shared" ca="1" si="2008"/>
        <v>0.12723816558798845</v>
      </c>
      <c r="AA2055" s="2">
        <f t="shared" ca="1" si="2009"/>
        <v>6487990.1286684172</v>
      </c>
      <c r="AB2055" s="2">
        <f t="shared" ca="1" si="2010"/>
        <v>6798105.5017547663</v>
      </c>
      <c r="AC2055" s="2">
        <f t="shared" ca="1" si="2011"/>
        <v>7007270.5110017313</v>
      </c>
      <c r="AD2055" s="2">
        <f t="shared" ca="1" si="2012"/>
        <v>7222871.1369189564</v>
      </c>
      <c r="AE2055" s="2">
        <f t="shared" ca="1" si="2013"/>
        <v>7445105.3914113771</v>
      </c>
      <c r="AF2055" s="2">
        <f t="shared" ca="1" si="2014"/>
        <v>1036667.5717767711</v>
      </c>
      <c r="AG2055" s="2">
        <f t="shared" ca="1" si="2015"/>
        <v>1068563.8967427115</v>
      </c>
      <c r="AH2055" s="2">
        <f t="shared" ca="1" si="2016"/>
        <v>1101441.6120540537</v>
      </c>
      <c r="AI2055" s="2">
        <f t="shared" ca="1" si="2017"/>
        <v>1135330.9132587512</v>
      </c>
      <c r="AJ2055" s="2">
        <f t="shared" ca="1" si="2018"/>
        <v>1170262.9249653707</v>
      </c>
      <c r="AK2055" s="2">
        <f t="shared" ca="1" si="2019"/>
        <v>0</v>
      </c>
      <c r="AL2055" s="2">
        <f t="shared" ca="1" si="2020"/>
        <v>15948.162482970209</v>
      </c>
      <c r="AM2055" s="2">
        <f t="shared" ca="1" si="2021"/>
        <v>16438.85765567109</v>
      </c>
      <c r="AN2055" s="2">
        <f t="shared" ca="1" si="2022"/>
        <v>16944.650602348745</v>
      </c>
      <c r="AO2055" s="2">
        <f t="shared" ca="1" si="2023"/>
        <v>17466.00585330978</v>
      </c>
      <c r="AP2055" s="2">
        <f t="shared" ca="1" si="2024"/>
        <v>2282608.5994775002</v>
      </c>
      <c r="AQ2055" s="2">
        <f t="shared" ca="1" si="2025"/>
        <v>823865.62892767799</v>
      </c>
      <c r="AR2055" s="2">
        <f t="shared" ca="1" si="2026"/>
        <v>896202.58143898414</v>
      </c>
      <c r="AS2055" s="2">
        <f t="shared" ca="1" si="2027"/>
        <v>942037.27786224615</v>
      </c>
      <c r="AT2055" s="2">
        <f t="shared" ca="1" si="2028"/>
        <v>989282.22228750342</v>
      </c>
      <c r="AU2055" s="2">
        <f t="shared" ca="1" si="2029"/>
        <v>1037980.8054118117</v>
      </c>
      <c r="AV2055" s="2">
        <f t="shared" ca="1" si="2030"/>
        <v>2344848.3284864682</v>
      </c>
      <c r="AW2055" s="2">
        <f t="shared" ca="1" si="2031"/>
        <v>2534782.2616126002</v>
      </c>
      <c r="AX2055" s="2">
        <f t="shared" ca="1" si="2032"/>
        <v>2664744.1639522598</v>
      </c>
      <c r="AY2055" s="2">
        <f t="shared" ca="1" si="2033"/>
        <v>2798704.7512928532</v>
      </c>
      <c r="AZ2055" s="2">
        <f t="shared" ca="1" si="2034"/>
        <v>2936787.0557033843</v>
      </c>
      <c r="BA2055" s="2">
        <f t="shared" ca="1" si="2035"/>
        <v>55554569.931853622</v>
      </c>
      <c r="BB2055" s="2">
        <f t="shared" ca="1" si="2036"/>
        <v>1111091.3986370724</v>
      </c>
      <c r="BC2055" s="2">
        <f t="shared" ca="1" si="2037"/>
        <v>29081160.761244323</v>
      </c>
      <c r="BD2055" s="2">
        <f t="shared" ca="1" si="2038"/>
        <v>-18464975.088480331</v>
      </c>
      <c r="BE2055" s="2">
        <f t="shared" ca="1" si="2039"/>
        <v>2344848.3284864682</v>
      </c>
      <c r="BF2055" s="2">
        <f t="shared" ca="1" si="2040"/>
        <v>2534782.2616126002</v>
      </c>
      <c r="BG2055" s="2">
        <f t="shared" ca="1" si="2041"/>
        <v>2664744.1639522598</v>
      </c>
      <c r="BH2055" s="2">
        <f t="shared" ca="1" si="2042"/>
        <v>2798704.7512928532</v>
      </c>
      <c r="BI2055" s="2">
        <f t="shared" ca="1" si="2043"/>
        <v>32017947.816947706</v>
      </c>
      <c r="BJ2055" s="2">
        <f t="shared" ca="1" si="2044"/>
        <v>0.21571551813102463</v>
      </c>
      <c r="BK2055" s="2">
        <f t="shared" ca="1" si="2045"/>
        <v>7492535.5736821443</v>
      </c>
    </row>
    <row r="2056" spans="1:63" x14ac:dyDescent="0.3">
      <c r="A2056" s="2">
        <v>2055</v>
      </c>
      <c r="B2056" s="2">
        <f t="shared" ca="1" si="1984"/>
        <v>0.72601433726823372</v>
      </c>
      <c r="C2056" s="2">
        <f t="shared" ca="1" si="1985"/>
        <v>7.2597491469349507</v>
      </c>
      <c r="D2056" s="2">
        <f t="shared" ca="1" si="1986"/>
        <v>0.28547847496851719</v>
      </c>
      <c r="E2056" s="2">
        <f t="shared" ca="1" si="1987"/>
        <v>7.2556169333313241</v>
      </c>
      <c r="F2056" s="2">
        <f t="shared" ca="1" si="1988"/>
        <v>0.21470707303171799</v>
      </c>
      <c r="G2056" s="2">
        <f t="shared" ca="1" si="1989"/>
        <v>1.629416286678886E-2</v>
      </c>
      <c r="H2056" s="2">
        <f t="shared" ca="1" si="1990"/>
        <v>1.629416286678886E-2</v>
      </c>
      <c r="I2056" s="2">
        <f t="shared" ca="1" si="1991"/>
        <v>0.36029991320757726</v>
      </c>
      <c r="J2056" s="2">
        <f t="shared" ca="1" si="1992"/>
        <v>8.2117137320531948E-3</v>
      </c>
      <c r="K2056" s="2">
        <f t="shared" ca="1" si="1993"/>
        <v>8.2117137320531948E-3</v>
      </c>
      <c r="L2056" s="2">
        <f t="shared" ca="1" si="1994"/>
        <v>0.76620860638712274</v>
      </c>
      <c r="M2056" s="2">
        <f t="shared" ca="1" si="1995"/>
        <v>1.4528352578435631E-2</v>
      </c>
      <c r="N2056" s="2">
        <f t="shared" ca="1" si="1996"/>
        <v>1.4528352578435631E-2</v>
      </c>
      <c r="O2056" s="2">
        <f t="shared" si="1997"/>
        <v>6000000</v>
      </c>
      <c r="P2056" s="2">
        <f t="shared" ca="1" si="1998"/>
        <v>43558494.881609701</v>
      </c>
      <c r="Q2056" s="2">
        <f t="shared" ca="1" si="1999"/>
        <v>1088962.3720402427</v>
      </c>
      <c r="R2056" s="2">
        <f t="shared" ca="1" si="2000"/>
        <v>26135096.928965818</v>
      </c>
      <c r="S2056" s="2">
        <f t="shared" ca="1" si="2001"/>
        <v>17423397.952643882</v>
      </c>
      <c r="T2056" s="2">
        <f t="shared" ca="1" si="2002"/>
        <v>50726417.628921784</v>
      </c>
      <c r="U2056" s="2">
        <f t="shared" ca="1" si="2003"/>
        <v>51552962.139416181</v>
      </c>
      <c r="V2056" s="2">
        <f t="shared" ca="1" si="2004"/>
        <v>52392974.500781223</v>
      </c>
      <c r="W2056" s="2">
        <f t="shared" ca="1" si="2005"/>
        <v>53246674.160372466</v>
      </c>
      <c r="X2056" s="2">
        <f t="shared" ca="1" si="2006"/>
        <v>54114284.141256407</v>
      </c>
      <c r="Y2056" s="2">
        <f t="shared" ca="1" si="2007"/>
        <v>0.1241058568660266</v>
      </c>
      <c r="Z2056" s="2">
        <f t="shared" ca="1" si="2008"/>
        <v>0.12574819961243724</v>
      </c>
      <c r="AA2056" s="2">
        <f t="shared" ca="1" si="2009"/>
        <v>6295445.5255812556</v>
      </c>
      <c r="AB2056" s="2">
        <f t="shared" ca="1" si="2010"/>
        <v>6482692.1737197256</v>
      </c>
      <c r="AC2056" s="2">
        <f t="shared" ca="1" si="2011"/>
        <v>6588322.2158135716</v>
      </c>
      <c r="AD2056" s="2">
        <f t="shared" ca="1" si="2012"/>
        <v>6695673.4110169215</v>
      </c>
      <c r="AE2056" s="2">
        <f t="shared" ca="1" si="2013"/>
        <v>6804773.8040788574</v>
      </c>
      <c r="AF2056" s="2">
        <f t="shared" ca="1" si="2014"/>
        <v>1014528.3525784357</v>
      </c>
      <c r="AG2056" s="2">
        <f t="shared" ca="1" si="2015"/>
        <v>1031059.2427883237</v>
      </c>
      <c r="AH2056" s="2">
        <f t="shared" ca="1" si="2016"/>
        <v>1047859.4900156244</v>
      </c>
      <c r="AI2056" s="2">
        <f t="shared" ca="1" si="2017"/>
        <v>1064933.4832074493</v>
      </c>
      <c r="AJ2056" s="2">
        <f t="shared" ca="1" si="2018"/>
        <v>1082285.6828251281</v>
      </c>
      <c r="AK2056" s="2">
        <f t="shared" ca="1" si="2019"/>
        <v>0</v>
      </c>
      <c r="AL2056" s="2">
        <f t="shared" ca="1" si="2020"/>
        <v>8265.4451049439613</v>
      </c>
      <c r="AM2056" s="2">
        <f t="shared" ca="1" si="2021"/>
        <v>8400.1236136504267</v>
      </c>
      <c r="AN2056" s="2">
        <f t="shared" ca="1" si="2022"/>
        <v>8536.9965959124274</v>
      </c>
      <c r="AO2056" s="2">
        <f t="shared" ca="1" si="2023"/>
        <v>8676.0998088394099</v>
      </c>
      <c r="AP2056" s="2">
        <f t="shared" ca="1" si="2024"/>
        <v>2352158.7236069236</v>
      </c>
      <c r="AQ2056" s="2">
        <f t="shared" ca="1" si="2025"/>
        <v>761477.19684293296</v>
      </c>
      <c r="AR2056" s="2">
        <f t="shared" ca="1" si="2026"/>
        <v>805863.29390436446</v>
      </c>
      <c r="AS2056" s="2">
        <f t="shared" ca="1" si="2027"/>
        <v>828959.04056966619</v>
      </c>
      <c r="AT2056" s="2">
        <f t="shared" ca="1" si="2028"/>
        <v>852431.11309266265</v>
      </c>
      <c r="AU2056" s="2">
        <f t="shared" ca="1" si="2029"/>
        <v>876285.64338816935</v>
      </c>
      <c r="AV2056" s="2">
        <f t="shared" ca="1" si="2030"/>
        <v>2167281.2525529629</v>
      </c>
      <c r="AW2056" s="2">
        <f t="shared" ca="1" si="2031"/>
        <v>2285345.4683151711</v>
      </c>
      <c r="AX2056" s="2">
        <f t="shared" ca="1" si="2032"/>
        <v>2350944.8380077081</v>
      </c>
      <c r="AY2056" s="2">
        <f t="shared" ca="1" si="2033"/>
        <v>2417613.0945139732</v>
      </c>
      <c r="AZ2056" s="2">
        <f t="shared" ca="1" si="2034"/>
        <v>2485367.6544497963</v>
      </c>
      <c r="BA2056" s="2">
        <f t="shared" ca="1" si="2035"/>
        <v>49372832.040363967</v>
      </c>
      <c r="BB2056" s="2">
        <f t="shared" ca="1" si="2036"/>
        <v>987456.64080727939</v>
      </c>
      <c r="BC2056" s="2">
        <f t="shared" ca="1" si="2037"/>
        <v>22250278.470590871</v>
      </c>
      <c r="BD2056" s="2">
        <f t="shared" ca="1" si="2038"/>
        <v>-19012360.324684124</v>
      </c>
      <c r="BE2056" s="2">
        <f t="shared" ca="1" si="2039"/>
        <v>2167281.2525529629</v>
      </c>
      <c r="BF2056" s="2">
        <f t="shared" ca="1" si="2040"/>
        <v>2285345.4683151711</v>
      </c>
      <c r="BG2056" s="2">
        <f t="shared" ca="1" si="2041"/>
        <v>2350944.8380077081</v>
      </c>
      <c r="BH2056" s="2">
        <f t="shared" ca="1" si="2042"/>
        <v>2417613.0945139732</v>
      </c>
      <c r="BI2056" s="2">
        <f t="shared" ca="1" si="2043"/>
        <v>24735646.125040665</v>
      </c>
      <c r="BJ2056" s="2">
        <f t="shared" ca="1" si="2044"/>
        <v>0.14742234478906391</v>
      </c>
      <c r="BK2056" s="2">
        <f t="shared" ca="1" si="2045"/>
        <v>1990038.4701124243</v>
      </c>
    </row>
    <row r="2057" spans="1:63" x14ac:dyDescent="0.3">
      <c r="A2057" s="2">
        <v>2056</v>
      </c>
      <c r="B2057" s="2">
        <f t="shared" ca="1" si="1984"/>
        <v>0.99191627813307337</v>
      </c>
      <c r="C2057" s="2">
        <f t="shared" ca="1" si="1985"/>
        <v>7.8728487367980433</v>
      </c>
      <c r="D2057" s="2">
        <f t="shared" ca="1" si="1986"/>
        <v>0.1515320476109181</v>
      </c>
      <c r="E2057" s="2">
        <f t="shared" ca="1" si="1987"/>
        <v>7.0505125749897424</v>
      </c>
      <c r="F2057" s="2">
        <f t="shared" ca="1" si="1988"/>
        <v>0.6623537632829124</v>
      </c>
      <c r="G2057" s="2">
        <f t="shared" ca="1" si="1989"/>
        <v>5.2566866334831569E-2</v>
      </c>
      <c r="H2057" s="2">
        <f t="shared" ca="1" si="1990"/>
        <v>5.2566866334831569E-2</v>
      </c>
      <c r="I2057" s="2">
        <f t="shared" ca="1" si="1991"/>
        <v>4.9221893762559366E-2</v>
      </c>
      <c r="J2057" s="2">
        <f t="shared" ca="1" si="1992"/>
        <v>1.7377730138639653E-3</v>
      </c>
      <c r="K2057" s="2">
        <f t="shared" ca="1" si="1993"/>
        <v>1.7377730138639653E-3</v>
      </c>
      <c r="L2057" s="2">
        <f t="shared" ca="1" si="1994"/>
        <v>0.91617098453388912</v>
      </c>
      <c r="M2057" s="2">
        <f t="shared" ca="1" si="1995"/>
        <v>2.7595363723323912E-2</v>
      </c>
      <c r="N2057" s="2">
        <f t="shared" ca="1" si="1996"/>
        <v>2.7595363723323912E-2</v>
      </c>
      <c r="O2057" s="2">
        <f t="shared" si="1997"/>
        <v>6000000</v>
      </c>
      <c r="P2057" s="2">
        <f t="shared" ca="1" si="1998"/>
        <v>47237092.420788258</v>
      </c>
      <c r="Q2057" s="2">
        <f t="shared" ca="1" si="1999"/>
        <v>1180927.3105197065</v>
      </c>
      <c r="R2057" s="2">
        <f t="shared" ca="1" si="2000"/>
        <v>28342255.452472955</v>
      </c>
      <c r="S2057" s="2">
        <f t="shared" ca="1" si="2001"/>
        <v>18894836.968315303</v>
      </c>
      <c r="T2057" s="2">
        <f t="shared" ca="1" si="2002"/>
        <v>51379768.186166197</v>
      </c>
      <c r="U2057" s="2">
        <f t="shared" ca="1" si="2003"/>
        <v>54080641.592723027</v>
      </c>
      <c r="V2057" s="2">
        <f t="shared" ca="1" si="2004"/>
        <v>56923491.450629629</v>
      </c>
      <c r="W2057" s="2">
        <f t="shared" ca="1" si="2005"/>
        <v>59915781.017026804</v>
      </c>
      <c r="X2057" s="2">
        <f t="shared" ca="1" si="2006"/>
        <v>63065365.869095892</v>
      </c>
      <c r="Y2057" s="2">
        <f t="shared" ca="1" si="2007"/>
        <v>0.12086888650693198</v>
      </c>
      <c r="Z2057" s="2">
        <f t="shared" ca="1" si="2008"/>
        <v>0.12121644110970477</v>
      </c>
      <c r="AA2057" s="2">
        <f t="shared" ca="1" si="2009"/>
        <v>6210215.3696461963</v>
      </c>
      <c r="AB2057" s="2">
        <f t="shared" ca="1" si="2010"/>
        <v>6555462.9067993611</v>
      </c>
      <c r="AC2057" s="2">
        <f t="shared" ca="1" si="2011"/>
        <v>6900063.049184029</v>
      </c>
      <c r="AD2057" s="2">
        <f t="shared" ca="1" si="2012"/>
        <v>7262777.7411923967</v>
      </c>
      <c r="AE2057" s="2">
        <f t="shared" ca="1" si="2013"/>
        <v>7644559.2079332471</v>
      </c>
      <c r="AF2057" s="2">
        <f t="shared" ca="1" si="2014"/>
        <v>1027595.3637233239</v>
      </c>
      <c r="AG2057" s="2">
        <f t="shared" ca="1" si="2015"/>
        <v>1081612.8318544605</v>
      </c>
      <c r="AH2057" s="2">
        <f t="shared" ca="1" si="2016"/>
        <v>1138469.8290125926</v>
      </c>
      <c r="AI2057" s="2">
        <f t="shared" ca="1" si="2017"/>
        <v>1198315.6203405361</v>
      </c>
      <c r="AJ2057" s="2">
        <f t="shared" ca="1" si="2018"/>
        <v>1261307.317381918</v>
      </c>
      <c r="AK2057" s="2">
        <f t="shared" ca="1" si="2019"/>
        <v>0</v>
      </c>
      <c r="AL2057" s="2">
        <f t="shared" ca="1" si="2020"/>
        <v>27008.7340655683</v>
      </c>
      <c r="AM2057" s="2">
        <f t="shared" ca="1" si="2021"/>
        <v>28428.498579066025</v>
      </c>
      <c r="AN2057" s="2">
        <f t="shared" ca="1" si="2022"/>
        <v>29922.895663971751</v>
      </c>
      <c r="AO2057" s="2">
        <f t="shared" ca="1" si="2023"/>
        <v>31495.848520690874</v>
      </c>
      <c r="AP2057" s="2">
        <f t="shared" ca="1" si="2024"/>
        <v>2550802.9907225659</v>
      </c>
      <c r="AQ2057" s="2">
        <f t="shared" ca="1" si="2025"/>
        <v>684272.42395207973</v>
      </c>
      <c r="AR2057" s="2">
        <f t="shared" ca="1" si="2026"/>
        <v>759992.24189780699</v>
      </c>
      <c r="AS2057" s="2">
        <f t="shared" ca="1" si="2027"/>
        <v>834805.45965670643</v>
      </c>
      <c r="AT2057" s="2">
        <f t="shared" ca="1" si="2028"/>
        <v>913551.37383361661</v>
      </c>
      <c r="AU2057" s="2">
        <f t="shared" ca="1" si="2029"/>
        <v>996436.71395547839</v>
      </c>
      <c r="AV2057" s="2">
        <f t="shared" ca="1" si="2030"/>
        <v>1947544.5912482273</v>
      </c>
      <c r="AW2057" s="2">
        <f t="shared" ca="1" si="2031"/>
        <v>2136046.1082589598</v>
      </c>
      <c r="AX2057" s="2">
        <f t="shared" ca="1" si="2032"/>
        <v>2347556.2712130984</v>
      </c>
      <c r="AY2057" s="2">
        <f t="shared" ca="1" si="2033"/>
        <v>2570184.8606317062</v>
      </c>
      <c r="AZ2057" s="2">
        <f t="shared" ca="1" si="2034"/>
        <v>2804516.3373525934</v>
      </c>
      <c r="BA2057" s="2">
        <f t="shared" ca="1" si="2035"/>
        <v>53898060.825786985</v>
      </c>
      <c r="BB2057" s="2">
        <f t="shared" ca="1" si="2036"/>
        <v>1077961.2165157397</v>
      </c>
      <c r="BC2057" s="2">
        <f t="shared" ca="1" si="2037"/>
        <v>24477844.156798292</v>
      </c>
      <c r="BD2057" s="2">
        <f t="shared" ca="1" si="2038"/>
        <v>-20575764.27883501</v>
      </c>
      <c r="BE2057" s="2">
        <f t="shared" ca="1" si="2039"/>
        <v>1947544.5912482273</v>
      </c>
      <c r="BF2057" s="2">
        <f t="shared" ca="1" si="2040"/>
        <v>2136046.1082589598</v>
      </c>
      <c r="BG2057" s="2">
        <f t="shared" ca="1" si="2041"/>
        <v>2347556.2712130984</v>
      </c>
      <c r="BH2057" s="2">
        <f t="shared" ca="1" si="2042"/>
        <v>2570184.8606317062</v>
      </c>
      <c r="BI2057" s="2">
        <f t="shared" ca="1" si="2043"/>
        <v>27282360.494150884</v>
      </c>
      <c r="BJ2057" s="2">
        <f t="shared" ca="1" si="2044"/>
        <v>0.14068658556787672</v>
      </c>
      <c r="BK2057" s="2">
        <f t="shared" ca="1" si="2045"/>
        <v>1651044.8601956889</v>
      </c>
    </row>
    <row r="2058" spans="1:63" x14ac:dyDescent="0.3">
      <c r="A2058" s="2">
        <v>2057</v>
      </c>
      <c r="B2058" s="2">
        <f t="shared" ca="1" si="1984"/>
        <v>0.36843657850022338</v>
      </c>
      <c r="C2058" s="2">
        <f t="shared" ca="1" si="1985"/>
        <v>6.8584131621780076</v>
      </c>
      <c r="D2058" s="2">
        <f t="shared" ca="1" si="1986"/>
        <v>0.39627734409702775</v>
      </c>
      <c r="E2058" s="2">
        <f t="shared" ca="1" si="1987"/>
        <v>7.3902554061582864</v>
      </c>
      <c r="F2058" s="2">
        <f t="shared" ca="1" si="1988"/>
        <v>0.98948507672904495</v>
      </c>
      <c r="G2058" s="2">
        <f t="shared" ca="1" si="1989"/>
        <v>0.10922344615043231</v>
      </c>
      <c r="H2058" s="2">
        <f t="shared" ca="1" si="1990"/>
        <v>0.10922344615043231</v>
      </c>
      <c r="I2058" s="2">
        <f t="shared" ca="1" si="1991"/>
        <v>0.53238520655930333</v>
      </c>
      <c r="J2058" s="2">
        <f t="shared" ca="1" si="1992"/>
        <v>1.0406335191526521E-2</v>
      </c>
      <c r="K2058" s="2">
        <f t="shared" ca="1" si="1993"/>
        <v>1.0406335191526521E-2</v>
      </c>
      <c r="L2058" s="2">
        <f t="shared" ca="1" si="1994"/>
        <v>0.99946838082086731</v>
      </c>
      <c r="M2058" s="2">
        <f t="shared" ca="1" si="1995"/>
        <v>6.5464710768388848E-2</v>
      </c>
      <c r="N2058" s="2">
        <f t="shared" ca="1" si="1996"/>
        <v>0.05</v>
      </c>
      <c r="O2058" s="2">
        <f t="shared" si="1997"/>
        <v>6000000</v>
      </c>
      <c r="P2058" s="2">
        <f t="shared" ca="1" si="1998"/>
        <v>41150478.973068044</v>
      </c>
      <c r="Q2058" s="2">
        <f t="shared" ca="1" si="1999"/>
        <v>1028761.9743267011</v>
      </c>
      <c r="R2058" s="2">
        <f t="shared" ca="1" si="2000"/>
        <v>24690287.383840825</v>
      </c>
      <c r="S2058" s="2">
        <f t="shared" ca="1" si="2001"/>
        <v>16460191.589227218</v>
      </c>
      <c r="T2058" s="2">
        <f t="shared" ca="1" si="2002"/>
        <v>52500000</v>
      </c>
      <c r="U2058" s="2">
        <f t="shared" ca="1" si="2003"/>
        <v>58234230.922897689</v>
      </c>
      <c r="V2058" s="2">
        <f t="shared" ca="1" si="2004"/>
        <v>64594774.308216639</v>
      </c>
      <c r="W2058" s="2">
        <f t="shared" ca="1" si="2005"/>
        <v>71650038.16146946</v>
      </c>
      <c r="X2058" s="2">
        <f t="shared" ca="1" si="2006"/>
        <v>79475902.246275127</v>
      </c>
      <c r="Y2058" s="2">
        <f t="shared" ca="1" si="2007"/>
        <v>0.12520316759576325</v>
      </c>
      <c r="Z2058" s="2">
        <f t="shared" ca="1" si="2008"/>
        <v>0.12728443463406855</v>
      </c>
      <c r="AA2058" s="2">
        <f t="shared" ca="1" si="2009"/>
        <v>6573166.2987775709</v>
      </c>
      <c r="AB2058" s="2">
        <f t="shared" ca="1" si="2010"/>
        <v>7412311.1593708247</v>
      </c>
      <c r="AC2058" s="2">
        <f t="shared" ca="1" si="2011"/>
        <v>8221909.3281366117</v>
      </c>
      <c r="AD2058" s="2">
        <f t="shared" ca="1" si="2012"/>
        <v>9119934.5988920759</v>
      </c>
      <c r="AE2058" s="2">
        <f t="shared" ca="1" si="2013"/>
        <v>10116045.284449628</v>
      </c>
      <c r="AF2058" s="2">
        <f t="shared" ca="1" si="2014"/>
        <v>1050000</v>
      </c>
      <c r="AG2058" s="2">
        <f t="shared" ca="1" si="2015"/>
        <v>1164684.6184579539</v>
      </c>
      <c r="AH2058" s="2">
        <f t="shared" ca="1" si="2016"/>
        <v>1291895.4861643328</v>
      </c>
      <c r="AI2058" s="2">
        <f t="shared" ca="1" si="2017"/>
        <v>1433000.7632293892</v>
      </c>
      <c r="AJ2058" s="2">
        <f t="shared" ca="1" si="2018"/>
        <v>1589518.0449255025</v>
      </c>
      <c r="AK2058" s="2">
        <f t="shared" ca="1" si="2019"/>
        <v>0</v>
      </c>
      <c r="AL2058" s="2">
        <f t="shared" ca="1" si="2020"/>
        <v>57342.30922897689</v>
      </c>
      <c r="AM2058" s="2">
        <f t="shared" ca="1" si="2021"/>
        <v>63605.433853189497</v>
      </c>
      <c r="AN2058" s="2">
        <f t="shared" ca="1" si="2022"/>
        <v>70552.638532528203</v>
      </c>
      <c r="AO2058" s="2">
        <f t="shared" ca="1" si="2023"/>
        <v>78258.640848056675</v>
      </c>
      <c r="AP2058" s="2">
        <f t="shared" ca="1" si="2024"/>
        <v>2222125.8645456741</v>
      </c>
      <c r="AQ2058" s="2">
        <f t="shared" ca="1" si="2025"/>
        <v>858270.51290029322</v>
      </c>
      <c r="AR2058" s="2">
        <f t="shared" ca="1" si="2026"/>
        <v>1046630.1758554711</v>
      </c>
      <c r="AS2058" s="2">
        <f t="shared" ca="1" si="2027"/>
        <v>1224050.8741309172</v>
      </c>
      <c r="AT2058" s="2">
        <f t="shared" ca="1" si="2028"/>
        <v>1420850.0724904235</v>
      </c>
      <c r="AU2058" s="2">
        <f t="shared" ca="1" si="2029"/>
        <v>1639144.3574943976</v>
      </c>
      <c r="AV2058" s="2">
        <f t="shared" ca="1" si="2030"/>
        <v>2442769.921331604</v>
      </c>
      <c r="AW2058" s="2">
        <f t="shared" ca="1" si="2031"/>
        <v>2921528.1912827482</v>
      </c>
      <c r="AX2058" s="2">
        <f t="shared" ca="1" si="2032"/>
        <v>3420231.6694424981</v>
      </c>
      <c r="AY2058" s="2">
        <f t="shared" ca="1" si="2033"/>
        <v>3973405.2600940606</v>
      </c>
      <c r="AZ2058" s="2">
        <f t="shared" ca="1" si="2034"/>
        <v>4586998.3766359976</v>
      </c>
      <c r="BA2058" s="2">
        <f t="shared" ca="1" si="2035"/>
        <v>74760158.352345899</v>
      </c>
      <c r="BB2058" s="2">
        <f t="shared" ca="1" si="2036"/>
        <v>1495203.1670469181</v>
      </c>
      <c r="BC2058" s="2">
        <f t="shared" ca="1" si="2037"/>
        <v>48574667.80145815</v>
      </c>
      <c r="BD2058" s="2">
        <f t="shared" ca="1" si="2038"/>
        <v>-17988953.563553918</v>
      </c>
      <c r="BE2058" s="2">
        <f t="shared" ca="1" si="2039"/>
        <v>2442769.921331604</v>
      </c>
      <c r="BF2058" s="2">
        <f t="shared" ca="1" si="2040"/>
        <v>2921528.1912827482</v>
      </c>
      <c r="BG2058" s="2">
        <f t="shared" ca="1" si="2041"/>
        <v>3420231.6694424981</v>
      </c>
      <c r="BH2058" s="2">
        <f t="shared" ca="1" si="2042"/>
        <v>3973405.2600940606</v>
      </c>
      <c r="BI2058" s="2">
        <f t="shared" ca="1" si="2043"/>
        <v>53161666.178094149</v>
      </c>
      <c r="BJ2058" s="2">
        <f t="shared" ca="1" si="2044"/>
        <v>0.34753745825051485</v>
      </c>
      <c r="BK2058" s="2">
        <f t="shared" ca="1" si="2045"/>
        <v>21646096.701318342</v>
      </c>
    </row>
    <row r="2059" spans="1:63" x14ac:dyDescent="0.3">
      <c r="A2059" s="2">
        <v>2058</v>
      </c>
      <c r="B2059" s="2">
        <f t="shared" ca="1" si="1984"/>
        <v>0.9585422294288618</v>
      </c>
      <c r="C2059" s="2">
        <f t="shared" ca="1" si="1985"/>
        <v>7.712049411977894</v>
      </c>
      <c r="D2059" s="2">
        <f t="shared" ca="1" si="1986"/>
        <v>0.21034159786732121</v>
      </c>
      <c r="E2059" s="2">
        <f t="shared" ca="1" si="1987"/>
        <v>7.1486009526162002</v>
      </c>
      <c r="F2059" s="2">
        <f t="shared" ca="1" si="1988"/>
        <v>0.90325873190096795</v>
      </c>
      <c r="G2059" s="2">
        <f t="shared" ca="1" si="1989"/>
        <v>7.9010368841486739E-2</v>
      </c>
      <c r="H2059" s="2">
        <f t="shared" ca="1" si="1990"/>
        <v>7.9010368841486739E-2</v>
      </c>
      <c r="I2059" s="2">
        <f t="shared" ca="1" si="1991"/>
        <v>0.72608244688244161</v>
      </c>
      <c r="J2059" s="2">
        <f t="shared" ca="1" si="1992"/>
        <v>1.3005036634503577E-2</v>
      </c>
      <c r="K2059" s="2">
        <f t="shared" ca="1" si="1993"/>
        <v>1.3005036634503577E-2</v>
      </c>
      <c r="L2059" s="2">
        <f t="shared" ca="1" si="1994"/>
        <v>4.3617753199063025E-2</v>
      </c>
      <c r="M2059" s="2">
        <f t="shared" ca="1" si="1995"/>
        <v>-3.420328479333435E-2</v>
      </c>
      <c r="N2059" s="2">
        <f t="shared" ca="1" si="1996"/>
        <v>-3.420328479333435E-2</v>
      </c>
      <c r="O2059" s="2">
        <f t="shared" si="1997"/>
        <v>6000000</v>
      </c>
      <c r="P2059" s="2">
        <f t="shared" ca="1" si="1998"/>
        <v>46272296.47186736</v>
      </c>
      <c r="Q2059" s="2">
        <f t="shared" ca="1" si="1999"/>
        <v>1156807.4117966841</v>
      </c>
      <c r="R2059" s="2">
        <f t="shared" ca="1" si="2000"/>
        <v>27763377.883120414</v>
      </c>
      <c r="S2059" s="2">
        <f t="shared" ca="1" si="2001"/>
        <v>18508918.588746946</v>
      </c>
      <c r="T2059" s="2">
        <f t="shared" ca="1" si="2002"/>
        <v>48289835.760333285</v>
      </c>
      <c r="U2059" s="2">
        <f t="shared" ca="1" si="2003"/>
        <v>52105233.495052032</v>
      </c>
      <c r="V2059" s="2">
        <f t="shared" ca="1" si="2004"/>
        <v>56222087.21206788</v>
      </c>
      <c r="W2059" s="2">
        <f t="shared" ca="1" si="2005"/>
        <v>60664215.059731595</v>
      </c>
      <c r="X2059" s="2">
        <f t="shared" ca="1" si="2006"/>
        <v>65457317.067080259</v>
      </c>
      <c r="Y2059" s="2">
        <f t="shared" ca="1" si="2007"/>
        <v>0.12650251831725179</v>
      </c>
      <c r="Z2059" s="2">
        <f t="shared" ca="1" si="2008"/>
        <v>0.12910352564415251</v>
      </c>
      <c r="AA2059" s="2">
        <f t="shared" ca="1" si="2009"/>
        <v>6108785.8328086417</v>
      </c>
      <c r="AB2059" s="2">
        <f t="shared" ca="1" si="2010"/>
        <v>6726969.3487230046</v>
      </c>
      <c r="AC2059" s="2">
        <f t="shared" ca="1" si="2011"/>
        <v>7258469.6781509845</v>
      </c>
      <c r="AD2059" s="2">
        <f t="shared" ca="1" si="2012"/>
        <v>7831964.044646441</v>
      </c>
      <c r="AE2059" s="2">
        <f t="shared" ca="1" si="2013"/>
        <v>8450770.4125672169</v>
      </c>
      <c r="AF2059" s="2">
        <f t="shared" ca="1" si="2014"/>
        <v>965796.71520666569</v>
      </c>
      <c r="AG2059" s="2">
        <f t="shared" ca="1" si="2015"/>
        <v>1042104.6699010406</v>
      </c>
      <c r="AH2059" s="2">
        <f t="shared" ca="1" si="2016"/>
        <v>1124441.7442413575</v>
      </c>
      <c r="AI2059" s="2">
        <f t="shared" ca="1" si="2017"/>
        <v>1213284.301194632</v>
      </c>
      <c r="AJ2059" s="2">
        <f t="shared" ca="1" si="2018"/>
        <v>1309146.3413416052</v>
      </c>
      <c r="AK2059" s="2">
        <f t="shared" ca="1" si="2019"/>
        <v>0</v>
      </c>
      <c r="AL2059" s="2">
        <f t="shared" ca="1" si="2020"/>
        <v>38153.977347187472</v>
      </c>
      <c r="AM2059" s="2">
        <f t="shared" ca="1" si="2021"/>
        <v>41168.537170158474</v>
      </c>
      <c r="AN2059" s="2">
        <f t="shared" ca="1" si="2022"/>
        <v>44421.278476637155</v>
      </c>
      <c r="AO2059" s="2">
        <f t="shared" ca="1" si="2023"/>
        <v>47931.020073486645</v>
      </c>
      <c r="AP2059" s="2">
        <f t="shared" ca="1" si="2024"/>
        <v>2498704.0094808373</v>
      </c>
      <c r="AQ2059" s="2">
        <f t="shared" ca="1" si="2025"/>
        <v>687514.12811149599</v>
      </c>
      <c r="AR2059" s="2">
        <f t="shared" ca="1" si="2026"/>
        <v>828401.77402869298</v>
      </c>
      <c r="AS2059" s="2">
        <f t="shared" ca="1" si="2027"/>
        <v>945184.2203514853</v>
      </c>
      <c r="AT2059" s="2">
        <f t="shared" ca="1" si="2028"/>
        <v>1071193.6908324528</v>
      </c>
      <c r="AU2059" s="2">
        <f t="shared" ca="1" si="2029"/>
        <v>1207159.2160536412</v>
      </c>
      <c r="AV2059" s="2">
        <f t="shared" ca="1" si="2030"/>
        <v>1956770.9800096429</v>
      </c>
      <c r="AW2059" s="2">
        <f t="shared" ca="1" si="2031"/>
        <v>2319604.9179652459</v>
      </c>
      <c r="AX2059" s="2">
        <f t="shared" ca="1" si="2032"/>
        <v>2648971.1669071452</v>
      </c>
      <c r="AY2059" s="2">
        <f t="shared" ca="1" si="2033"/>
        <v>3004360.7646618825</v>
      </c>
      <c r="AZ2059" s="2">
        <f t="shared" ca="1" si="2034"/>
        <v>3387829.8256176463</v>
      </c>
      <c r="BA2059" s="2">
        <f t="shared" ca="1" si="2035"/>
        <v>60411185.421618804</v>
      </c>
      <c r="BB2059" s="2">
        <f t="shared" ca="1" si="2036"/>
        <v>1208223.7084323762</v>
      </c>
      <c r="BC2059" s="2">
        <f t="shared" ca="1" si="2037"/>
        <v>31439583.830066014</v>
      </c>
      <c r="BD2059" s="2">
        <f t="shared" ca="1" si="2038"/>
        <v>-20165726.000543632</v>
      </c>
      <c r="BE2059" s="2">
        <f t="shared" ca="1" si="2039"/>
        <v>1956770.9800096429</v>
      </c>
      <c r="BF2059" s="2">
        <f t="shared" ca="1" si="2040"/>
        <v>2319604.9179652459</v>
      </c>
      <c r="BG2059" s="2">
        <f t="shared" ca="1" si="2041"/>
        <v>2648971.1669071452</v>
      </c>
      <c r="BH2059" s="2">
        <f t="shared" ca="1" si="2042"/>
        <v>3004360.7646618825</v>
      </c>
      <c r="BI2059" s="2">
        <f t="shared" ca="1" si="2043"/>
        <v>34827413.655683659</v>
      </c>
      <c r="BJ2059" s="2">
        <f t="shared" ca="1" si="2044"/>
        <v>0.20076084064595956</v>
      </c>
      <c r="BK2059" s="2">
        <f t="shared" ca="1" si="2045"/>
        <v>6987386.5419127941</v>
      </c>
    </row>
    <row r="2060" spans="1:63" x14ac:dyDescent="0.3">
      <c r="A2060" s="2">
        <v>2059</v>
      </c>
      <c r="B2060" s="2">
        <f t="shared" ca="1" si="1984"/>
        <v>0.17649507148047494</v>
      </c>
      <c r="C2060" s="2">
        <f t="shared" ca="1" si="1985"/>
        <v>6.5941297357993029</v>
      </c>
      <c r="D2060" s="2">
        <f t="shared" ca="1" si="1986"/>
        <v>0.77097075930587788</v>
      </c>
      <c r="E2060" s="2">
        <f t="shared" ca="1" si="1987"/>
        <v>7.8231998216694647</v>
      </c>
      <c r="F2060" s="2">
        <f t="shared" ca="1" si="1988"/>
        <v>0.9357239044780743</v>
      </c>
      <c r="G2060" s="2">
        <f t="shared" ca="1" si="1989"/>
        <v>8.5595080922767214E-2</v>
      </c>
      <c r="H2060" s="2">
        <f t="shared" ca="1" si="1990"/>
        <v>8.5595080922767214E-2</v>
      </c>
      <c r="I2060" s="2">
        <f t="shared" ca="1" si="1991"/>
        <v>0.43782104276819156</v>
      </c>
      <c r="J2060" s="2">
        <f t="shared" ca="1" si="1992"/>
        <v>9.2175200862751067E-3</v>
      </c>
      <c r="K2060" s="2">
        <f t="shared" ca="1" si="1993"/>
        <v>9.2175200862751067E-3</v>
      </c>
      <c r="L2060" s="2">
        <f t="shared" ca="1" si="1994"/>
        <v>0.44829459918429349</v>
      </c>
      <c r="M2060" s="2">
        <f t="shared" ca="1" si="1995"/>
        <v>-2.5994243560578667E-3</v>
      </c>
      <c r="N2060" s="2">
        <f t="shared" ca="1" si="1996"/>
        <v>-2.5994243560578667E-3</v>
      </c>
      <c r="O2060" s="2">
        <f t="shared" si="1997"/>
        <v>6000000</v>
      </c>
      <c r="P2060" s="2">
        <f t="shared" ca="1" si="1998"/>
        <v>39564778.414795816</v>
      </c>
      <c r="Q2060" s="2">
        <f t="shared" ca="1" si="1999"/>
        <v>989119.46036989545</v>
      </c>
      <c r="R2060" s="2">
        <f t="shared" ca="1" si="2000"/>
        <v>23738867.048877489</v>
      </c>
      <c r="S2060" s="2">
        <f t="shared" ca="1" si="2001"/>
        <v>15825911.365918327</v>
      </c>
      <c r="T2060" s="2">
        <f t="shared" ca="1" si="2002"/>
        <v>49870028.78219711</v>
      </c>
      <c r="U2060" s="2">
        <f t="shared" ca="1" si="2003"/>
        <v>54138657.931430005</v>
      </c>
      <c r="V2060" s="2">
        <f t="shared" ca="1" si="2004"/>
        <v>58772660.738120772</v>
      </c>
      <c r="W2060" s="2">
        <f t="shared" ca="1" si="2005"/>
        <v>63803311.390046567</v>
      </c>
      <c r="X2060" s="2">
        <f t="shared" ca="1" si="2006"/>
        <v>69264560.991618127</v>
      </c>
      <c r="Y2060" s="2">
        <f t="shared" ca="1" si="2007"/>
        <v>0.12460876004313755</v>
      </c>
      <c r="Z2060" s="2">
        <f t="shared" ca="1" si="2008"/>
        <v>0.12645226406039256</v>
      </c>
      <c r="AA2060" s="2">
        <f t="shared" ca="1" si="2009"/>
        <v>6214242.4498651624</v>
      </c>
      <c r="AB2060" s="2">
        <f t="shared" ca="1" si="2010"/>
        <v>6845955.8686204534</v>
      </c>
      <c r="AC2060" s="2">
        <f t="shared" ca="1" si="2011"/>
        <v>7431936.0151887145</v>
      </c>
      <c r="AD2060" s="2">
        <f t="shared" ca="1" si="2012"/>
        <v>8068073.1798216207</v>
      </c>
      <c r="AE2060" s="2">
        <f t="shared" ca="1" si="2013"/>
        <v>8758660.5565392617</v>
      </c>
      <c r="AF2060" s="2">
        <f t="shared" ca="1" si="2014"/>
        <v>997400.57564394223</v>
      </c>
      <c r="AG2060" s="2">
        <f t="shared" ca="1" si="2015"/>
        <v>1082773.1586286002</v>
      </c>
      <c r="AH2060" s="2">
        <f t="shared" ca="1" si="2016"/>
        <v>1175453.2147624155</v>
      </c>
      <c r="AI2060" s="2">
        <f t="shared" ca="1" si="2017"/>
        <v>1276066.2278009313</v>
      </c>
      <c r="AJ2060" s="2">
        <f t="shared" ca="1" si="2018"/>
        <v>1385291.2198323626</v>
      </c>
      <c r="AK2060" s="2">
        <f t="shared" ca="1" si="2019"/>
        <v>0</v>
      </c>
      <c r="AL2060" s="2">
        <f t="shared" ca="1" si="2020"/>
        <v>42686.291492328943</v>
      </c>
      <c r="AM2060" s="2">
        <f t="shared" ca="1" si="2021"/>
        <v>46340.028066907675</v>
      </c>
      <c r="AN2060" s="2">
        <f t="shared" ca="1" si="2022"/>
        <v>50306.50651925795</v>
      </c>
      <c r="AO2060" s="2">
        <f t="shared" ca="1" si="2023"/>
        <v>54612.496015715602</v>
      </c>
      <c r="AP2060" s="2">
        <f t="shared" ca="1" si="2024"/>
        <v>2136498.0343989739</v>
      </c>
      <c r="AQ2060" s="2">
        <f t="shared" ca="1" si="2025"/>
        <v>800889.39835378411</v>
      </c>
      <c r="AR2060" s="2">
        <f t="shared" ca="1" si="2026"/>
        <v>942938.01565414877</v>
      </c>
      <c r="AS2060" s="2">
        <f t="shared" ca="1" si="2027"/>
        <v>1071196.0391671045</v>
      </c>
      <c r="AT2060" s="2">
        <f t="shared" ca="1" si="2028"/>
        <v>1210432.3185816461</v>
      </c>
      <c r="AU2060" s="2">
        <f t="shared" ca="1" si="2029"/>
        <v>1361586.5386000606</v>
      </c>
      <c r="AV2060" s="2">
        <f t="shared" ca="1" si="2030"/>
        <v>2279454.4414684623</v>
      </c>
      <c r="AW2060" s="2">
        <f t="shared" ca="1" si="2031"/>
        <v>2641060.3684464023</v>
      </c>
      <c r="AX2060" s="2">
        <f t="shared" ca="1" si="2032"/>
        <v>3002448.6987933125</v>
      </c>
      <c r="AY2060" s="2">
        <f t="shared" ca="1" si="2033"/>
        <v>3394770.0925208116</v>
      </c>
      <c r="AZ2060" s="2">
        <f t="shared" ca="1" si="2034"/>
        <v>3820672.2676921496</v>
      </c>
      <c r="BA2060" s="2">
        <f t="shared" ca="1" si="2035"/>
        <v>68520751.703981325</v>
      </c>
      <c r="BB2060" s="2">
        <f t="shared" ca="1" si="2036"/>
        <v>1370415.0340796264</v>
      </c>
      <c r="BC2060" s="2">
        <f t="shared" ca="1" si="2037"/>
        <v>43411469.621024206</v>
      </c>
      <c r="BD2060" s="2">
        <f t="shared" ca="1" si="2038"/>
        <v>-17315030.826288223</v>
      </c>
      <c r="BE2060" s="2">
        <f t="shared" ca="1" si="2039"/>
        <v>2279454.4414684623</v>
      </c>
      <c r="BF2060" s="2">
        <f t="shared" ca="1" si="2040"/>
        <v>2641060.3684464023</v>
      </c>
      <c r="BG2060" s="2">
        <f t="shared" ca="1" si="2041"/>
        <v>3002448.6987933125</v>
      </c>
      <c r="BH2060" s="2">
        <f t="shared" ca="1" si="2042"/>
        <v>3394770.0925208116</v>
      </c>
      <c r="BI2060" s="2">
        <f t="shared" ca="1" si="2043"/>
        <v>47232141.888716355</v>
      </c>
      <c r="BJ2060" s="2">
        <f t="shared" ca="1" si="2044"/>
        <v>0.32252702374080466</v>
      </c>
      <c r="BK2060" s="2">
        <f t="shared" ca="1" si="2045"/>
        <v>17920940.715030678</v>
      </c>
    </row>
    <row r="2061" spans="1:63" x14ac:dyDescent="0.3">
      <c r="A2061" s="2">
        <v>2060</v>
      </c>
      <c r="B2061" s="2">
        <f t="shared" ca="1" si="1984"/>
        <v>0.61374663556807196</v>
      </c>
      <c r="C2061" s="2">
        <f t="shared" ca="1" si="1985"/>
        <v>7.1210763805290833</v>
      </c>
      <c r="D2061" s="2">
        <f t="shared" ca="1" si="1986"/>
        <v>0.76228224958334689</v>
      </c>
      <c r="E2061" s="2">
        <f t="shared" ca="1" si="1987"/>
        <v>7.810481689269019</v>
      </c>
      <c r="F2061" s="2">
        <f t="shared" ca="1" si="1988"/>
        <v>0.76840471636137631</v>
      </c>
      <c r="G2061" s="2">
        <f t="shared" ca="1" si="1989"/>
        <v>6.2008098106033707E-2</v>
      </c>
      <c r="H2061" s="2">
        <f t="shared" ca="1" si="1990"/>
        <v>6.2008098106033707E-2</v>
      </c>
      <c r="I2061" s="2">
        <f t="shared" ca="1" si="1991"/>
        <v>4.3366846794852365E-2</v>
      </c>
      <c r="J2061" s="2">
        <f t="shared" ca="1" si="1992"/>
        <v>1.4355748701379255E-3</v>
      </c>
      <c r="K2061" s="2">
        <f t="shared" ca="1" si="1993"/>
        <v>1.4355748701379255E-3</v>
      </c>
      <c r="L2061" s="2">
        <f t="shared" ca="1" si="1994"/>
        <v>0.55818134792167329</v>
      </c>
      <c r="M2061" s="2">
        <f t="shared" ca="1" si="1995"/>
        <v>2.9271974267103657E-3</v>
      </c>
      <c r="N2061" s="2">
        <f t="shared" ca="1" si="1996"/>
        <v>2.9271974267103657E-3</v>
      </c>
      <c r="O2061" s="2">
        <f t="shared" si="1997"/>
        <v>6000000</v>
      </c>
      <c r="P2061" s="2">
        <f t="shared" ca="1" si="1998"/>
        <v>42726458.2831745</v>
      </c>
      <c r="Q2061" s="2">
        <f t="shared" ca="1" si="1999"/>
        <v>1068161.4570793626</v>
      </c>
      <c r="R2061" s="2">
        <f t="shared" ca="1" si="2000"/>
        <v>25635874.969904698</v>
      </c>
      <c r="S2061" s="2">
        <f t="shared" ca="1" si="2001"/>
        <v>17090583.313269801</v>
      </c>
      <c r="T2061" s="2">
        <f t="shared" ca="1" si="2002"/>
        <v>50146359.871335521</v>
      </c>
      <c r="U2061" s="2">
        <f t="shared" ca="1" si="2003"/>
        <v>53255840.273897775</v>
      </c>
      <c r="V2061" s="2">
        <f t="shared" ca="1" si="2004"/>
        <v>56558133.642320894</v>
      </c>
      <c r="W2061" s="2">
        <f t="shared" ca="1" si="2005"/>
        <v>60065195.941908099</v>
      </c>
      <c r="X2061" s="2">
        <f t="shared" ca="1" si="2006"/>
        <v>63789724.504632078</v>
      </c>
      <c r="Y2061" s="2">
        <f t="shared" ca="1" si="2007"/>
        <v>0.12071778743506896</v>
      </c>
      <c r="Z2061" s="2">
        <f t="shared" ca="1" si="2008"/>
        <v>0.12100490240909655</v>
      </c>
      <c r="AA2061" s="2">
        <f t="shared" ca="1" si="2009"/>
        <v>6053557.6115903538</v>
      </c>
      <c r="AB2061" s="2">
        <f t="shared" ca="1" si="2010"/>
        <v>6444217.7550574336</v>
      </c>
      <c r="AC2061" s="2">
        <f t="shared" ca="1" si="2011"/>
        <v>6843811.4418296795</v>
      </c>
      <c r="AD2061" s="2">
        <f t="shared" ca="1" si="2012"/>
        <v>7268183.173133851</v>
      </c>
      <c r="AE2061" s="2">
        <f t="shared" ca="1" si="2013"/>
        <v>7718869.3883861592</v>
      </c>
      <c r="AF2061" s="2">
        <f t="shared" ca="1" si="2014"/>
        <v>1002927.1974267104</v>
      </c>
      <c r="AG2061" s="2">
        <f t="shared" ca="1" si="2015"/>
        <v>1065116.8054779556</v>
      </c>
      <c r="AH2061" s="2">
        <f t="shared" ca="1" si="2016"/>
        <v>1131162.6728464179</v>
      </c>
      <c r="AI2061" s="2">
        <f t="shared" ca="1" si="2017"/>
        <v>1201303.918838162</v>
      </c>
      <c r="AJ2061" s="2">
        <f t="shared" ca="1" si="2018"/>
        <v>1275794.4900926417</v>
      </c>
      <c r="AK2061" s="2">
        <f t="shared" ca="1" si="2019"/>
        <v>0</v>
      </c>
      <c r="AL2061" s="2">
        <f t="shared" ca="1" si="2020"/>
        <v>31094.804025622532</v>
      </c>
      <c r="AM2061" s="2">
        <f t="shared" ca="1" si="2021"/>
        <v>33022.93368423119</v>
      </c>
      <c r="AN2061" s="2">
        <f t="shared" ca="1" si="2022"/>
        <v>35070.622995872051</v>
      </c>
      <c r="AO2061" s="2">
        <f t="shared" ca="1" si="2023"/>
        <v>37245.285627239791</v>
      </c>
      <c r="AP2061" s="2">
        <f t="shared" ca="1" si="2024"/>
        <v>2307228.7472914229</v>
      </c>
      <c r="AQ2061" s="2">
        <f t="shared" ca="1" si="2025"/>
        <v>713284.43338677741</v>
      </c>
      <c r="AR2061" s="2">
        <f t="shared" ca="1" si="2026"/>
        <v>798686.7725948944</v>
      </c>
      <c r="AS2061" s="2">
        <f t="shared" ca="1" si="2027"/>
        <v>885409.20563987806</v>
      </c>
      <c r="AT2061" s="2">
        <f t="shared" ca="1" si="2028"/>
        <v>977509.13182110921</v>
      </c>
      <c r="AU2061" s="2">
        <f t="shared" ca="1" si="2029"/>
        <v>1075319.9992605445</v>
      </c>
      <c r="AV2061" s="2">
        <f t="shared" ca="1" si="2030"/>
        <v>2030117.2334854431</v>
      </c>
      <c r="AW2061" s="2">
        <f t="shared" ca="1" si="2031"/>
        <v>2242090.625667539</v>
      </c>
      <c r="AX2061" s="2">
        <f t="shared" ca="1" si="2032"/>
        <v>2486987.8823677297</v>
      </c>
      <c r="AY2061" s="2">
        <f t="shared" ca="1" si="2033"/>
        <v>2747070.7521872851</v>
      </c>
      <c r="AZ2061" s="2">
        <f t="shared" ca="1" si="2034"/>
        <v>3023280.8661143105</v>
      </c>
      <c r="BA2061" s="2">
        <f t="shared" ca="1" si="2035"/>
        <v>60288088.019849248</v>
      </c>
      <c r="BB2061" s="2">
        <f t="shared" ca="1" si="2036"/>
        <v>1205761.7603969851</v>
      </c>
      <c r="BC2061" s="2">
        <f t="shared" ca="1" si="2037"/>
        <v>33446451.289547566</v>
      </c>
      <c r="BD2061" s="2">
        <f t="shared" ca="1" si="2038"/>
        <v>-18658744.770349164</v>
      </c>
      <c r="BE2061" s="2">
        <f t="shared" ca="1" si="2039"/>
        <v>2030117.2334854431</v>
      </c>
      <c r="BF2061" s="2">
        <f t="shared" ca="1" si="2040"/>
        <v>2242090.625667539</v>
      </c>
      <c r="BG2061" s="2">
        <f t="shared" ca="1" si="2041"/>
        <v>2486987.8823677297</v>
      </c>
      <c r="BH2061" s="2">
        <f t="shared" ca="1" si="2042"/>
        <v>2747070.7521872851</v>
      </c>
      <c r="BI2061" s="2">
        <f t="shared" ca="1" si="2043"/>
        <v>36469732.155661874</v>
      </c>
      <c r="BJ2061" s="2">
        <f t="shared" ca="1" si="2044"/>
        <v>0.2294421123953001</v>
      </c>
      <c r="BK2061" s="2">
        <f t="shared" ca="1" si="2045"/>
        <v>9151148.2449819297</v>
      </c>
    </row>
    <row r="2062" spans="1:63" x14ac:dyDescent="0.3">
      <c r="A2062" s="2">
        <v>2061</v>
      </c>
      <c r="B2062" s="2">
        <f t="shared" ca="1" si="1984"/>
        <v>0.372012311844787</v>
      </c>
      <c r="C2062" s="2">
        <f t="shared" ca="1" si="1985"/>
        <v>6.8625686196990792</v>
      </c>
      <c r="D2062" s="2">
        <f t="shared" ca="1" si="1986"/>
        <v>0.50675975380060856</v>
      </c>
      <c r="E2062" s="2">
        <f t="shared" ca="1" si="1987"/>
        <v>7.5067827566947987</v>
      </c>
      <c r="F2062" s="2">
        <f t="shared" ca="1" si="1988"/>
        <v>0.45685848814331553</v>
      </c>
      <c r="G2062" s="2">
        <f t="shared" ca="1" si="1989"/>
        <v>3.6749458946200748E-2</v>
      </c>
      <c r="H2062" s="2">
        <f t="shared" ca="1" si="1990"/>
        <v>3.6749458946200748E-2</v>
      </c>
      <c r="I2062" s="2">
        <f t="shared" ca="1" si="1991"/>
        <v>0.62595267460436732</v>
      </c>
      <c r="J2062" s="2">
        <f t="shared" ca="1" si="1992"/>
        <v>1.1605763659152562E-2</v>
      </c>
      <c r="K2062" s="2">
        <f t="shared" ca="1" si="1993"/>
        <v>1.1605763659152562E-2</v>
      </c>
      <c r="L2062" s="2">
        <f t="shared" ca="1" si="1994"/>
        <v>0.75954783900145828</v>
      </c>
      <c r="M2062" s="2">
        <f t="shared" ca="1" si="1995"/>
        <v>1.4096976439673423E-2</v>
      </c>
      <c r="N2062" s="2">
        <f t="shared" ca="1" si="1996"/>
        <v>1.4096976439673423E-2</v>
      </c>
      <c r="O2062" s="2">
        <f t="shared" si="1997"/>
        <v>6000000</v>
      </c>
      <c r="P2062" s="2">
        <f t="shared" ca="1" si="1998"/>
        <v>41175411.718194477</v>
      </c>
      <c r="Q2062" s="2">
        <f t="shared" ca="1" si="1999"/>
        <v>1029385.292954862</v>
      </c>
      <c r="R2062" s="2">
        <f t="shared" ca="1" si="2000"/>
        <v>24705247.030916687</v>
      </c>
      <c r="S2062" s="2">
        <f t="shared" ca="1" si="2001"/>
        <v>16470164.687277792</v>
      </c>
      <c r="T2062" s="2">
        <f t="shared" ca="1" si="2002"/>
        <v>50704848.821983673</v>
      </c>
      <c r="U2062" s="2">
        <f t="shared" ca="1" si="2003"/>
        <v>52568224.582140476</v>
      </c>
      <c r="V2062" s="2">
        <f t="shared" ca="1" si="2004"/>
        <v>54500078.39329651</v>
      </c>
      <c r="W2062" s="2">
        <f t="shared" ca="1" si="2005"/>
        <v>56502926.786775686</v>
      </c>
      <c r="X2062" s="2">
        <f t="shared" ca="1" si="2006"/>
        <v>58579378.775066487</v>
      </c>
      <c r="Y2062" s="2">
        <f t="shared" ca="1" si="2007"/>
        <v>0.12580288182957627</v>
      </c>
      <c r="Z2062" s="2">
        <f t="shared" ca="1" si="2008"/>
        <v>0.12812403456140678</v>
      </c>
      <c r="AA2062" s="2">
        <f t="shared" ca="1" si="2009"/>
        <v>6378816.1045385413</v>
      </c>
      <c r="AB2062" s="2">
        <f t="shared" ca="1" si="2010"/>
        <v>6735253.0231939601</v>
      </c>
      <c r="AC2062" s="2">
        <f t="shared" ca="1" si="2011"/>
        <v>6982769.9276621006</v>
      </c>
      <c r="AD2062" s="2">
        <f t="shared" ca="1" si="2012"/>
        <v>7239382.9444494853</v>
      </c>
      <c r="AE2062" s="2">
        <f t="shared" ca="1" si="2013"/>
        <v>7505426.350762357</v>
      </c>
      <c r="AF2062" s="2">
        <f t="shared" ca="1" si="2014"/>
        <v>1014096.9764396735</v>
      </c>
      <c r="AG2062" s="2">
        <f t="shared" ca="1" si="2015"/>
        <v>1051364.4916428095</v>
      </c>
      <c r="AH2062" s="2">
        <f t="shared" ca="1" si="2016"/>
        <v>1090001.5678659303</v>
      </c>
      <c r="AI2062" s="2">
        <f t="shared" ca="1" si="2017"/>
        <v>1130058.5357355138</v>
      </c>
      <c r="AJ2062" s="2">
        <f t="shared" ca="1" si="2018"/>
        <v>1171587.5755013297</v>
      </c>
      <c r="AK2062" s="2">
        <f t="shared" ca="1" si="2019"/>
        <v>0</v>
      </c>
      <c r="AL2062" s="2">
        <f t="shared" ca="1" si="2020"/>
        <v>18633.757601568028</v>
      </c>
      <c r="AM2062" s="2">
        <f t="shared" ca="1" si="2021"/>
        <v>19318.538111560345</v>
      </c>
      <c r="AN2062" s="2">
        <f t="shared" ca="1" si="2022"/>
        <v>20028.483934791759</v>
      </c>
      <c r="AO2062" s="2">
        <f t="shared" ca="1" si="2023"/>
        <v>20764.519882908018</v>
      </c>
      <c r="AP2062" s="2">
        <f t="shared" ca="1" si="2024"/>
        <v>2223472.2327825017</v>
      </c>
      <c r="AQ2062" s="2">
        <f t="shared" ca="1" si="2025"/>
        <v>816724.19278225524</v>
      </c>
      <c r="AR2062" s="2">
        <f t="shared" ca="1" si="2026"/>
        <v>899708.2376798488</v>
      </c>
      <c r="AS2062" s="2">
        <f t="shared" ca="1" si="2027"/>
        <v>954016.99302355386</v>
      </c>
      <c r="AT2062" s="2">
        <f t="shared" ca="1" si="2028"/>
        <v>1010321.5657421821</v>
      </c>
      <c r="AU2062" s="2">
        <f t="shared" ca="1" si="2029"/>
        <v>1068695.3010444168</v>
      </c>
      <c r="AV2062" s="2">
        <f t="shared" ca="1" si="2030"/>
        <v>2324522.7025341112</v>
      </c>
      <c r="AW2062" s="2">
        <f t="shared" ca="1" si="2031"/>
        <v>2542074.303487232</v>
      </c>
      <c r="AX2062" s="2">
        <f t="shared" ca="1" si="2032"/>
        <v>2695960.5958785545</v>
      </c>
      <c r="AY2062" s="2">
        <f t="shared" ca="1" si="2033"/>
        <v>2855502.1262544952</v>
      </c>
      <c r="AZ2062" s="2">
        <f t="shared" ca="1" si="2034"/>
        <v>3020906.7215512013</v>
      </c>
      <c r="BA2062" s="2">
        <f t="shared" ca="1" si="2035"/>
        <v>56341605.11154563</v>
      </c>
      <c r="BB2062" s="2">
        <f t="shared" ca="1" si="2036"/>
        <v>1126832.1022309125</v>
      </c>
      <c r="BC2062" s="2">
        <f t="shared" ca="1" si="2037"/>
        <v>30509525.978398029</v>
      </c>
      <c r="BD2062" s="2">
        <f t="shared" ca="1" si="2038"/>
        <v>-17999549.980232652</v>
      </c>
      <c r="BE2062" s="2">
        <f t="shared" ca="1" si="2039"/>
        <v>2324522.7025341112</v>
      </c>
      <c r="BF2062" s="2">
        <f t="shared" ca="1" si="2040"/>
        <v>2542074.303487232</v>
      </c>
      <c r="BG2062" s="2">
        <f t="shared" ca="1" si="2041"/>
        <v>2695960.5958785545</v>
      </c>
      <c r="BH2062" s="2">
        <f t="shared" ca="1" si="2042"/>
        <v>2855502.1262544952</v>
      </c>
      <c r="BI2062" s="2">
        <f t="shared" ca="1" si="2043"/>
        <v>33530432.699949231</v>
      </c>
      <c r="BJ2062" s="2">
        <f t="shared" ca="1" si="2044"/>
        <v>0.23295544795817591</v>
      </c>
      <c r="BK2062" s="2">
        <f t="shared" ca="1" si="2045"/>
        <v>8862165.512482401</v>
      </c>
    </row>
    <row r="2063" spans="1:63" x14ac:dyDescent="0.3">
      <c r="A2063" s="2">
        <v>2062</v>
      </c>
      <c r="B2063" s="2">
        <f t="shared" ca="1" si="1984"/>
        <v>0.3811670427906334</v>
      </c>
      <c r="C2063" s="2">
        <f t="shared" ca="1" si="1985"/>
        <v>6.8731174523403293</v>
      </c>
      <c r="D2063" s="2">
        <f t="shared" ca="1" si="1986"/>
        <v>0.4101919474748551</v>
      </c>
      <c r="E2063" s="2">
        <f t="shared" ca="1" si="1987"/>
        <v>7.4057504595360193</v>
      </c>
      <c r="F2063" s="2">
        <f t="shared" ca="1" si="1988"/>
        <v>0.14178543996368154</v>
      </c>
      <c r="G2063" s="2">
        <f t="shared" ca="1" si="1989"/>
        <v>7.8300360773508257E-3</v>
      </c>
      <c r="H2063" s="2">
        <f t="shared" ca="1" si="1990"/>
        <v>7.8300360773508257E-3</v>
      </c>
      <c r="I2063" s="2">
        <f t="shared" ca="1" si="1991"/>
        <v>0.97857841016659197</v>
      </c>
      <c r="J2063" s="2">
        <f t="shared" ca="1" si="1992"/>
        <v>2.0126177907414611E-2</v>
      </c>
      <c r="K2063" s="2">
        <f t="shared" ca="1" si="1993"/>
        <v>2.0126177907414611E-2</v>
      </c>
      <c r="L2063" s="2">
        <f t="shared" ca="1" si="1994"/>
        <v>0.27162467339460883</v>
      </c>
      <c r="M2063" s="2">
        <f t="shared" ca="1" si="1995"/>
        <v>-1.2158134266689175E-2</v>
      </c>
      <c r="N2063" s="2">
        <f t="shared" ca="1" si="1996"/>
        <v>-1.2158134266689175E-2</v>
      </c>
      <c r="O2063" s="2">
        <f t="shared" si="1997"/>
        <v>6000000</v>
      </c>
      <c r="P2063" s="2">
        <f t="shared" ca="1" si="1998"/>
        <v>41238704.714041978</v>
      </c>
      <c r="Q2063" s="2">
        <f t="shared" ca="1" si="1999"/>
        <v>1030967.6178510495</v>
      </c>
      <c r="R2063" s="2">
        <f t="shared" ca="1" si="2000"/>
        <v>24743222.828425188</v>
      </c>
      <c r="S2063" s="2">
        <f t="shared" ca="1" si="2001"/>
        <v>16495481.885616792</v>
      </c>
      <c r="T2063" s="2">
        <f t="shared" ca="1" si="2002"/>
        <v>49392093.286665536</v>
      </c>
      <c r="U2063" s="2">
        <f t="shared" ca="1" si="2003"/>
        <v>49778835.159036011</v>
      </c>
      <c r="V2063" s="2">
        <f t="shared" ca="1" si="2004"/>
        <v>50168605.234219767</v>
      </c>
      <c r="W2063" s="2">
        <f t="shared" ca="1" si="2005"/>
        <v>50561427.223154083</v>
      </c>
      <c r="X2063" s="2">
        <f t="shared" ca="1" si="2006"/>
        <v>50957325.022433728</v>
      </c>
      <c r="Y2063" s="2">
        <f t="shared" ca="1" si="2007"/>
        <v>0.1300630889537073</v>
      </c>
      <c r="Z2063" s="2">
        <f t="shared" ca="1" si="2008"/>
        <v>0.13408832453519023</v>
      </c>
      <c r="AA2063" s="2">
        <f t="shared" ca="1" si="2009"/>
        <v>6424088.2227533888</v>
      </c>
      <c r="AB2063" s="2">
        <f t="shared" ca="1" si="2010"/>
        <v>6674760.6037885584</v>
      </c>
      <c r="AC2063" s="2">
        <f t="shared" ca="1" si="2011"/>
        <v>6727024.2201239038</v>
      </c>
      <c r="AD2063" s="2">
        <f t="shared" ca="1" si="2012"/>
        <v>6779697.062460687</v>
      </c>
      <c r="AE2063" s="2">
        <f t="shared" ca="1" si="2013"/>
        <v>6832782.3350532642</v>
      </c>
      <c r="AF2063" s="2">
        <f t="shared" ca="1" si="2014"/>
        <v>987841.8657333107</v>
      </c>
      <c r="AG2063" s="2">
        <f t="shared" ca="1" si="2015"/>
        <v>995576.70318072021</v>
      </c>
      <c r="AH2063" s="2">
        <f t="shared" ca="1" si="2016"/>
        <v>1003372.1046843954</v>
      </c>
      <c r="AI2063" s="2">
        <f t="shared" ca="1" si="2017"/>
        <v>1011228.5444630816</v>
      </c>
      <c r="AJ2063" s="2">
        <f t="shared" ca="1" si="2018"/>
        <v>1019146.5004486745</v>
      </c>
      <c r="AK2063" s="2">
        <f t="shared" ca="1" si="2019"/>
        <v>0</v>
      </c>
      <c r="AL2063" s="2">
        <f t="shared" ca="1" si="2020"/>
        <v>3867.4187237047404</v>
      </c>
      <c r="AM2063" s="2">
        <f t="shared" ca="1" si="2021"/>
        <v>3897.7007518375667</v>
      </c>
      <c r="AN2063" s="2">
        <f t="shared" ca="1" si="2022"/>
        <v>3928.2198893431573</v>
      </c>
      <c r="AO2063" s="2">
        <f t="shared" ca="1" si="2023"/>
        <v>3958.977992796451</v>
      </c>
      <c r="AP2063" s="2">
        <f t="shared" ca="1" si="2024"/>
        <v>2226890.0545582669</v>
      </c>
      <c r="AQ2063" s="2">
        <f t="shared" ca="1" si="2025"/>
        <v>834432.63864007103</v>
      </c>
      <c r="AR2063" s="2">
        <f t="shared" ca="1" si="2026"/>
        <v>897596.39997288864</v>
      </c>
      <c r="AS2063" s="2">
        <f t="shared" ca="1" si="2027"/>
        <v>909158.13582912274</v>
      </c>
      <c r="AT2063" s="2">
        <f t="shared" ca="1" si="2028"/>
        <v>920810.40049422812</v>
      </c>
      <c r="AU2063" s="2">
        <f t="shared" ca="1" si="2029"/>
        <v>932553.9028120439</v>
      </c>
      <c r="AV2063" s="2">
        <f t="shared" ca="1" si="2030"/>
        <v>2374923.6638217401</v>
      </c>
      <c r="AW2063" s="2">
        <f t="shared" ca="1" si="2031"/>
        <v>2550830.0273529785</v>
      </c>
      <c r="AX2063" s="2">
        <f t="shared" ca="1" si="2032"/>
        <v>2583706.2243002811</v>
      </c>
      <c r="AY2063" s="2">
        <f t="shared" ca="1" si="2033"/>
        <v>2616839.8430557679</v>
      </c>
      <c r="AZ2063" s="2">
        <f t="shared" ca="1" si="2034"/>
        <v>2650232.8992414819</v>
      </c>
      <c r="BA2063" s="2">
        <f t="shared" ca="1" si="2035"/>
        <v>50601880.917730309</v>
      </c>
      <c r="BB2063" s="2">
        <f t="shared" ca="1" si="2036"/>
        <v>1012037.6183546062</v>
      </c>
      <c r="BC2063" s="2">
        <f t="shared" ca="1" si="2037"/>
        <v>24846620.470950514</v>
      </c>
      <c r="BD2063" s="2">
        <f t="shared" ca="1" si="2038"/>
        <v>-18026449.503467843</v>
      </c>
      <c r="BE2063" s="2">
        <f t="shared" ca="1" si="2039"/>
        <v>2374923.6638217401</v>
      </c>
      <c r="BF2063" s="2">
        <f t="shared" ca="1" si="2040"/>
        <v>2550830.0273529785</v>
      </c>
      <c r="BG2063" s="2">
        <f t="shared" ca="1" si="2041"/>
        <v>2583706.2243002811</v>
      </c>
      <c r="BH2063" s="2">
        <f t="shared" ca="1" si="2042"/>
        <v>2616839.8430557679</v>
      </c>
      <c r="BI2063" s="2">
        <f t="shared" ca="1" si="2043"/>
        <v>27496853.370191995</v>
      </c>
      <c r="BJ2063" s="2">
        <f t="shared" ca="1" si="2044"/>
        <v>0.19214985455893019</v>
      </c>
      <c r="BK2063" s="2">
        <f t="shared" ca="1" si="2045"/>
        <v>5232057.2691598646</v>
      </c>
    </row>
    <row r="2064" spans="1:63" x14ac:dyDescent="0.3">
      <c r="A2064" s="2">
        <v>2063</v>
      </c>
      <c r="B2064" s="2">
        <f t="shared" ca="1" si="1984"/>
        <v>0.99684378304948096</v>
      </c>
      <c r="C2064" s="2">
        <f t="shared" ca="1" si="1985"/>
        <v>7.9205491730625912</v>
      </c>
      <c r="D2064" s="2">
        <f t="shared" ca="1" si="1986"/>
        <v>0.60150806905268261</v>
      </c>
      <c r="E2064" s="2">
        <f t="shared" ca="1" si="1987"/>
        <v>7.6072604736572735</v>
      </c>
      <c r="F2064" s="2">
        <f t="shared" ca="1" si="1988"/>
        <v>0.67686919333730911</v>
      </c>
      <c r="G2064" s="2">
        <f t="shared" ca="1" si="1989"/>
        <v>5.3768853365567283E-2</v>
      </c>
      <c r="H2064" s="2">
        <f t="shared" ca="1" si="1990"/>
        <v>5.3768853365567283E-2</v>
      </c>
      <c r="I2064" s="2">
        <f t="shared" ca="1" si="1991"/>
        <v>0.99227137342683935</v>
      </c>
      <c r="J2064" s="2">
        <f t="shared" ca="1" si="1992"/>
        <v>2.2107423331260343E-2</v>
      </c>
      <c r="K2064" s="2">
        <f t="shared" ca="1" si="1993"/>
        <v>2.2107423331260343E-2</v>
      </c>
      <c r="L2064" s="2">
        <f t="shared" ca="1" si="1994"/>
        <v>0.18750402363211649</v>
      </c>
      <c r="M2064" s="2">
        <f t="shared" ca="1" si="1995"/>
        <v>-1.7742632204261463E-2</v>
      </c>
      <c r="N2064" s="2">
        <f t="shared" ca="1" si="1996"/>
        <v>-1.7742632204261463E-2</v>
      </c>
      <c r="O2064" s="2">
        <f t="shared" si="1997"/>
        <v>6000000</v>
      </c>
      <c r="P2064" s="2">
        <f t="shared" ca="1" si="1998"/>
        <v>47523295.038375549</v>
      </c>
      <c r="Q2064" s="2">
        <f t="shared" ca="1" si="1999"/>
        <v>1188082.3759593887</v>
      </c>
      <c r="R2064" s="2">
        <f t="shared" ca="1" si="2000"/>
        <v>28513977.02302533</v>
      </c>
      <c r="S2064" s="2">
        <f t="shared" ca="1" si="2001"/>
        <v>19009318.015350219</v>
      </c>
      <c r="T2064" s="2">
        <f t="shared" ca="1" si="2002"/>
        <v>49112868.389786929</v>
      </c>
      <c r="U2064" s="2">
        <f t="shared" ca="1" si="2003"/>
        <v>51753611.008599788</v>
      </c>
      <c r="V2064" s="2">
        <f t="shared" ca="1" si="2004"/>
        <v>54536343.330059804</v>
      </c>
      <c r="W2064" s="2">
        <f t="shared" ca="1" si="2005"/>
        <v>57468699.977668025</v>
      </c>
      <c r="X2064" s="2">
        <f t="shared" ca="1" si="2006"/>
        <v>60558726.079877041</v>
      </c>
      <c r="Y2064" s="2">
        <f t="shared" ca="1" si="2007"/>
        <v>0.13105371166563018</v>
      </c>
      <c r="Z2064" s="2">
        <f t="shared" ca="1" si="2008"/>
        <v>0.13547519633188224</v>
      </c>
      <c r="AA2064" s="2">
        <f t="shared" ca="1" si="2009"/>
        <v>6436423.6930271788</v>
      </c>
      <c r="AB2064" s="2">
        <f t="shared" ca="1" si="2010"/>
        <v>7011330.6122739185</v>
      </c>
      <c r="AC2064" s="2">
        <f t="shared" ca="1" si="2011"/>
        <v>7388321.8198627885</v>
      </c>
      <c r="AD2064" s="2">
        <f t="shared" ca="1" si="2012"/>
        <v>7785583.4124126118</v>
      </c>
      <c r="AE2064" s="2">
        <f t="shared" ca="1" si="2013"/>
        <v>8204205.3052800195</v>
      </c>
      <c r="AF2064" s="2">
        <f t="shared" ca="1" si="2014"/>
        <v>982257.36779573862</v>
      </c>
      <c r="AG2064" s="2">
        <f t="shared" ca="1" si="2015"/>
        <v>1035072.2201719958</v>
      </c>
      <c r="AH2064" s="2">
        <f t="shared" ca="1" si="2016"/>
        <v>1090726.8666011961</v>
      </c>
      <c r="AI2064" s="2">
        <f t="shared" ca="1" si="2017"/>
        <v>1149373.9995533605</v>
      </c>
      <c r="AJ2064" s="2">
        <f t="shared" ca="1" si="2018"/>
        <v>1211174.5215975409</v>
      </c>
      <c r="AK2064" s="2">
        <f t="shared" ca="1" si="2019"/>
        <v>0</v>
      </c>
      <c r="AL2064" s="2">
        <f t="shared" ca="1" si="2020"/>
        <v>26407.426188128593</v>
      </c>
      <c r="AM2064" s="2">
        <f t="shared" ca="1" si="2021"/>
        <v>27827.323214600161</v>
      </c>
      <c r="AN2064" s="2">
        <f t="shared" ca="1" si="2022"/>
        <v>29323.566476082207</v>
      </c>
      <c r="AO2064" s="2">
        <f t="shared" ca="1" si="2023"/>
        <v>30900.261022090166</v>
      </c>
      <c r="AP2064" s="2">
        <f t="shared" ca="1" si="2024"/>
        <v>2566257.9320722795</v>
      </c>
      <c r="AQ2064" s="2">
        <f t="shared" ca="1" si="2025"/>
        <v>750856.18222138181</v>
      </c>
      <c r="AR2064" s="2">
        <f t="shared" ca="1" si="2026"/>
        <v>886600.11960770737</v>
      </c>
      <c r="AS2064" s="2">
        <f t="shared" ca="1" si="2027"/>
        <v>970147.62550922134</v>
      </c>
      <c r="AT2064" s="2">
        <f t="shared" ca="1" si="2028"/>
        <v>1058187.3850046129</v>
      </c>
      <c r="AU2064" s="2">
        <f t="shared" ca="1" si="2029"/>
        <v>1150960.9414186517</v>
      </c>
      <c r="AV2064" s="2">
        <f t="shared" ca="1" si="2030"/>
        <v>2137052.2109377789</v>
      </c>
      <c r="AW2064" s="2">
        <f t="shared" ca="1" si="2031"/>
        <v>2496992.914233807</v>
      </c>
      <c r="AX2064" s="2">
        <f t="shared" ca="1" si="2032"/>
        <v>2733362.0724654919</v>
      </c>
      <c r="AY2064" s="2">
        <f t="shared" ca="1" si="2033"/>
        <v>2982440.5293062772</v>
      </c>
      <c r="AZ2064" s="2">
        <f t="shared" ca="1" si="2034"/>
        <v>3244911.6491694576</v>
      </c>
      <c r="BA2064" s="2">
        <f t="shared" ca="1" si="2035"/>
        <v>62411526.736625999</v>
      </c>
      <c r="BB2064" s="2">
        <f t="shared" ca="1" si="2036"/>
        <v>1248230.5347325201</v>
      </c>
      <c r="BC2064" s="2">
        <f t="shared" ca="1" si="2037"/>
        <v>32649319.178868145</v>
      </c>
      <c r="BD2064" s="2">
        <f t="shared" ca="1" si="2038"/>
        <v>-20697400.391309608</v>
      </c>
      <c r="BE2064" s="2">
        <f t="shared" ca="1" si="2039"/>
        <v>2137052.2109377789</v>
      </c>
      <c r="BF2064" s="2">
        <f t="shared" ca="1" si="2040"/>
        <v>2496992.914233807</v>
      </c>
      <c r="BG2064" s="2">
        <f t="shared" ca="1" si="2041"/>
        <v>2733362.0724654919</v>
      </c>
      <c r="BH2064" s="2">
        <f t="shared" ca="1" si="2042"/>
        <v>2982440.5293062772</v>
      </c>
      <c r="BI2064" s="2">
        <f t="shared" ca="1" si="2043"/>
        <v>35894230.828037605</v>
      </c>
      <c r="BJ2064" s="2">
        <f t="shared" ca="1" si="2044"/>
        <v>0.20361770599226436</v>
      </c>
      <c r="BK2064" s="2">
        <f t="shared" ca="1" si="2045"/>
        <v>7409567.9480359741</v>
      </c>
    </row>
    <row r="2065" spans="1:63" x14ac:dyDescent="0.3">
      <c r="A2065" s="2">
        <v>2064</v>
      </c>
      <c r="B2065" s="2">
        <f t="shared" ca="1" si="1984"/>
        <v>0.42048198584353569</v>
      </c>
      <c r="C2065" s="2">
        <f t="shared" ca="1" si="1985"/>
        <v>6.9170408778713579</v>
      </c>
      <c r="D2065" s="2">
        <f t="shared" ca="1" si="1986"/>
        <v>0.42346793905662516</v>
      </c>
      <c r="E2065" s="2">
        <f t="shared" ca="1" si="1987"/>
        <v>7.4202911920219874</v>
      </c>
      <c r="F2065" s="2">
        <f t="shared" ca="1" si="1988"/>
        <v>0.93807663921473039</v>
      </c>
      <c r="G2065" s="2">
        <f t="shared" ca="1" si="1989"/>
        <v>8.6164787259425279E-2</v>
      </c>
      <c r="H2065" s="2">
        <f t="shared" ca="1" si="1990"/>
        <v>8.6164787259425279E-2</v>
      </c>
      <c r="I2065" s="2">
        <f t="shared" ca="1" si="1991"/>
        <v>0.1833161872266984</v>
      </c>
      <c r="J2065" s="2">
        <f t="shared" ca="1" si="1992"/>
        <v>5.4860030451842684E-3</v>
      </c>
      <c r="K2065" s="2">
        <f t="shared" ca="1" si="1993"/>
        <v>5.4860030451842684E-3</v>
      </c>
      <c r="L2065" s="2">
        <f t="shared" ca="1" si="1994"/>
        <v>0.85453313547396581</v>
      </c>
      <c r="M2065" s="2">
        <f t="shared" ca="1" si="1995"/>
        <v>2.1121509719926192E-2</v>
      </c>
      <c r="N2065" s="2">
        <f t="shared" ca="1" si="1996"/>
        <v>2.1121509719926192E-2</v>
      </c>
      <c r="O2065" s="2">
        <f t="shared" si="1997"/>
        <v>6000000</v>
      </c>
      <c r="P2065" s="2">
        <f t="shared" ca="1" si="1998"/>
        <v>41502245.267228149</v>
      </c>
      <c r="Q2065" s="2">
        <f t="shared" ca="1" si="1999"/>
        <v>1037556.1316807037</v>
      </c>
      <c r="R2065" s="2">
        <f t="shared" ca="1" si="2000"/>
        <v>24901347.160336889</v>
      </c>
      <c r="S2065" s="2">
        <f t="shared" ca="1" si="2001"/>
        <v>16600898.10689126</v>
      </c>
      <c r="T2065" s="2">
        <f t="shared" ca="1" si="2002"/>
        <v>51056075.485996313</v>
      </c>
      <c r="U2065" s="2">
        <f t="shared" ca="1" si="2003"/>
        <v>55455311.368548349</v>
      </c>
      <c r="V2065" s="2">
        <f t="shared" ca="1" si="2004"/>
        <v>60233606.475024506</v>
      </c>
      <c r="W2065" s="2">
        <f t="shared" ca="1" si="2005"/>
        <v>65423622.362812936</v>
      </c>
      <c r="X2065" s="2">
        <f t="shared" ca="1" si="2006"/>
        <v>71060834.865445688</v>
      </c>
      <c r="Y2065" s="2">
        <f t="shared" ca="1" si="2007"/>
        <v>0.12274300152259213</v>
      </c>
      <c r="Z2065" s="2">
        <f t="shared" ca="1" si="2008"/>
        <v>0.12384020213162898</v>
      </c>
      <c r="AA2065" s="2">
        <f t="shared" ca="1" si="2009"/>
        <v>6266775.9511152245</v>
      </c>
      <c r="AB2065" s="2">
        <f t="shared" ca="1" si="2010"/>
        <v>6867596.9691534499</v>
      </c>
      <c r="AC2065" s="2">
        <f t="shared" ca="1" si="2011"/>
        <v>7459342.0009840308</v>
      </c>
      <c r="AD2065" s="2">
        <f t="shared" ca="1" si="2012"/>
        <v>8102074.6175941164</v>
      </c>
      <c r="AE2065" s="2">
        <f t="shared" ca="1" si="2013"/>
        <v>8800188.1533791013</v>
      </c>
      <c r="AF2065" s="2">
        <f t="shared" ca="1" si="2014"/>
        <v>1021121.5097199263</v>
      </c>
      <c r="AG2065" s="2">
        <f t="shared" ca="1" si="2015"/>
        <v>1109106.2273709669</v>
      </c>
      <c r="AH2065" s="2">
        <f t="shared" ca="1" si="2016"/>
        <v>1204672.1295004901</v>
      </c>
      <c r="AI2065" s="2">
        <f t="shared" ca="1" si="2017"/>
        <v>1308472.4472562587</v>
      </c>
      <c r="AJ2065" s="2">
        <f t="shared" ca="1" si="2018"/>
        <v>1421216.6973089138</v>
      </c>
      <c r="AK2065" s="2">
        <f t="shared" ca="1" si="2019"/>
        <v>0</v>
      </c>
      <c r="AL2065" s="2">
        <f t="shared" ca="1" si="2020"/>
        <v>43992.35882552035</v>
      </c>
      <c r="AM2065" s="2">
        <f t="shared" ca="1" si="2021"/>
        <v>47782.951064761583</v>
      </c>
      <c r="AN2065" s="2">
        <f t="shared" ca="1" si="2022"/>
        <v>51900.1588778843</v>
      </c>
      <c r="AO2065" s="2">
        <f t="shared" ca="1" si="2023"/>
        <v>56372.125026327521</v>
      </c>
      <c r="AP2065" s="2">
        <f t="shared" ca="1" si="2024"/>
        <v>2241121.2444303199</v>
      </c>
      <c r="AQ2065" s="2">
        <f t="shared" ca="1" si="2025"/>
        <v>781178.63121089444</v>
      </c>
      <c r="AR2065" s="2">
        <f t="shared" ca="1" si="2026"/>
        <v>914516.06931156234</v>
      </c>
      <c r="AS2065" s="2">
        <f t="shared" ca="1" si="2027"/>
        <v>1043522.6430338373</v>
      </c>
      <c r="AT2065" s="2">
        <f t="shared" ca="1" si="2028"/>
        <v>1183645.0407359598</v>
      </c>
      <c r="AU2065" s="2">
        <f t="shared" ca="1" si="2029"/>
        <v>1335841.0550263657</v>
      </c>
      <c r="AV2065" s="2">
        <f t="shared" ca="1" si="2030"/>
        <v>2223354.5657540844</v>
      </c>
      <c r="AW2065" s="2">
        <f t="shared" ca="1" si="2031"/>
        <v>2558861.0692150802</v>
      </c>
      <c r="AX2065" s="2">
        <f t="shared" ca="1" si="2032"/>
        <v>2922243.0329546216</v>
      </c>
      <c r="AY2065" s="2">
        <f t="shared" ca="1" si="2033"/>
        <v>3316935.7262936938</v>
      </c>
      <c r="AZ2065" s="2">
        <f t="shared" ca="1" si="2034"/>
        <v>3745637.0315871746</v>
      </c>
      <c r="BA2065" s="2">
        <f t="shared" ca="1" si="2035"/>
        <v>65299958.642655186</v>
      </c>
      <c r="BB2065" s="2">
        <f t="shared" ca="1" si="2036"/>
        <v>1305999.1728531038</v>
      </c>
      <c r="BC2065" s="2">
        <f t="shared" ca="1" si="2037"/>
        <v>39092612.309465192</v>
      </c>
      <c r="BD2065" s="2">
        <f t="shared" ca="1" si="2038"/>
        <v>-18138454.238571964</v>
      </c>
      <c r="BE2065" s="2">
        <f t="shared" ca="1" si="2039"/>
        <v>2223354.5657540844</v>
      </c>
      <c r="BF2065" s="2">
        <f t="shared" ca="1" si="2040"/>
        <v>2558861.0692150802</v>
      </c>
      <c r="BG2065" s="2">
        <f t="shared" ca="1" si="2041"/>
        <v>2922243.0329546216</v>
      </c>
      <c r="BH2065" s="2">
        <f t="shared" ca="1" si="2042"/>
        <v>3316935.7262936938</v>
      </c>
      <c r="BI2065" s="2">
        <f t="shared" ca="1" si="2043"/>
        <v>42838249.341052368</v>
      </c>
      <c r="BJ2065" s="2">
        <f t="shared" ca="1" si="2044"/>
        <v>0.28435150058823622</v>
      </c>
      <c r="BK2065" s="2">
        <f t="shared" ca="1" si="2045"/>
        <v>14382132.761664182</v>
      </c>
    </row>
    <row r="2066" spans="1:63" x14ac:dyDescent="0.3">
      <c r="A2066" s="2">
        <v>2065</v>
      </c>
      <c r="B2066" s="2">
        <f t="shared" ca="1" si="1984"/>
        <v>0.10997820289939897</v>
      </c>
      <c r="C2066" s="2">
        <f t="shared" ca="1" si="1985"/>
        <v>6.4689951021053398</v>
      </c>
      <c r="D2066" s="2">
        <f t="shared" ca="1" si="1986"/>
        <v>0.91106533726666561</v>
      </c>
      <c r="E2066" s="2">
        <f t="shared" ca="1" si="1987"/>
        <v>8.0782544304125192</v>
      </c>
      <c r="F2066" s="2">
        <f t="shared" ca="1" si="1988"/>
        <v>0.57545229235050688</v>
      </c>
      <c r="G2066" s="2">
        <f t="shared" ca="1" si="1989"/>
        <v>4.5708182140672633E-2</v>
      </c>
      <c r="H2066" s="2">
        <f t="shared" ca="1" si="1990"/>
        <v>4.5708182140672633E-2</v>
      </c>
      <c r="I2066" s="2">
        <f t="shared" ca="1" si="1991"/>
        <v>0.14532531523963854</v>
      </c>
      <c r="J2066" s="2">
        <f t="shared" ca="1" si="1992"/>
        <v>4.7165230594099616E-3</v>
      </c>
      <c r="K2066" s="2">
        <f t="shared" ca="1" si="1993"/>
        <v>4.7165230594099616E-3</v>
      </c>
      <c r="L2066" s="2">
        <f t="shared" ca="1" si="1994"/>
        <v>0.51562269823316287</v>
      </c>
      <c r="M2066" s="2">
        <f t="shared" ca="1" si="1995"/>
        <v>7.8340622801334361E-4</v>
      </c>
      <c r="N2066" s="2">
        <f t="shared" ca="1" si="1996"/>
        <v>7.8340622801334361E-4</v>
      </c>
      <c r="O2066" s="2">
        <f t="shared" si="1997"/>
        <v>6000000</v>
      </c>
      <c r="P2066" s="2">
        <f t="shared" ca="1" si="1998"/>
        <v>38813970.612632036</v>
      </c>
      <c r="Q2066" s="2">
        <f t="shared" ca="1" si="1999"/>
        <v>970349.26531580091</v>
      </c>
      <c r="R2066" s="2">
        <f t="shared" ca="1" si="2000"/>
        <v>23288382.367579222</v>
      </c>
      <c r="S2066" s="2">
        <f t="shared" ca="1" si="2001"/>
        <v>15525588.245052814</v>
      </c>
      <c r="T2066" s="2">
        <f t="shared" ca="1" si="2002"/>
        <v>50039170.311400674</v>
      </c>
      <c r="U2066" s="2">
        <f t="shared" ca="1" si="2003"/>
        <v>52326369.822162315</v>
      </c>
      <c r="V2066" s="2">
        <f t="shared" ca="1" si="2004"/>
        <v>54718113.064753905</v>
      </c>
      <c r="W2066" s="2">
        <f t="shared" ca="1" si="2005"/>
        <v>57219178.543111593</v>
      </c>
      <c r="X2066" s="2">
        <f t="shared" ca="1" si="2006"/>
        <v>59834563.177899808</v>
      </c>
      <c r="Y2066" s="2">
        <f t="shared" ca="1" si="2007"/>
        <v>0.12235826152970497</v>
      </c>
      <c r="Z2066" s="2">
        <f t="shared" ca="1" si="2008"/>
        <v>0.12330156614158697</v>
      </c>
      <c r="AA2066" s="2">
        <f t="shared" ca="1" si="2009"/>
        <v>6122705.8876918126</v>
      </c>
      <c r="AB2066" s="2">
        <f t="shared" ca="1" si="2010"/>
        <v>6451923.3495764872</v>
      </c>
      <c r="AC2066" s="2">
        <f t="shared" ca="1" si="2011"/>
        <v>6746829.0371965878</v>
      </c>
      <c r="AD2066" s="2">
        <f t="shared" ca="1" si="2012"/>
        <v>7055214.3277007481</v>
      </c>
      <c r="AE2066" s="2">
        <f t="shared" ca="1" si="2013"/>
        <v>7377695.349232777</v>
      </c>
      <c r="AF2066" s="2">
        <f t="shared" ca="1" si="2014"/>
        <v>1000783.4062280135</v>
      </c>
      <c r="AG2066" s="2">
        <f t="shared" ca="1" si="2015"/>
        <v>1046527.3964432463</v>
      </c>
      <c r="AH2066" s="2">
        <f t="shared" ca="1" si="2016"/>
        <v>1094362.2612950781</v>
      </c>
      <c r="AI2066" s="2">
        <f t="shared" ca="1" si="2017"/>
        <v>1144383.5708622318</v>
      </c>
      <c r="AJ2066" s="2">
        <f t="shared" ca="1" si="2018"/>
        <v>1196691.2635579961</v>
      </c>
      <c r="AK2066" s="2">
        <f t="shared" ca="1" si="2019"/>
        <v>0</v>
      </c>
      <c r="AL2066" s="2">
        <f t="shared" ca="1" si="2020"/>
        <v>22871.995107616411</v>
      </c>
      <c r="AM2066" s="2">
        <f t="shared" ca="1" si="2021"/>
        <v>23917.432425915897</v>
      </c>
      <c r="AN2066" s="2">
        <f t="shared" ca="1" si="2022"/>
        <v>25010.654783576876</v>
      </c>
      <c r="AO2066" s="2">
        <f t="shared" ca="1" si="2023"/>
        <v>26153.84634788215</v>
      </c>
      <c r="AP2066" s="2">
        <f t="shared" ca="1" si="2024"/>
        <v>2095954.4130821298</v>
      </c>
      <c r="AQ2066" s="2">
        <f t="shared" ca="1" si="2025"/>
        <v>786751.69777923403</v>
      </c>
      <c r="AR2066" s="2">
        <f t="shared" ca="1" si="2026"/>
        <v>860454.80041328899</v>
      </c>
      <c r="AS2066" s="2">
        <f t="shared" ca="1" si="2027"/>
        <v>924693.21433303878</v>
      </c>
      <c r="AT2066" s="2">
        <f t="shared" ca="1" si="2028"/>
        <v>991867.84937666054</v>
      </c>
      <c r="AU2066" s="2">
        <f t="shared" ca="1" si="2029"/>
        <v>1062112.9148740894</v>
      </c>
      <c r="AV2066" s="2">
        <f t="shared" ca="1" si="2030"/>
        <v>2239216.370602435</v>
      </c>
      <c r="AW2066" s="2">
        <f t="shared" ca="1" si="2031"/>
        <v>2426114.7445302061</v>
      </c>
      <c r="AX2066" s="2">
        <f t="shared" ca="1" si="2032"/>
        <v>2607901.7160604247</v>
      </c>
      <c r="AY2066" s="2">
        <f t="shared" ca="1" si="2033"/>
        <v>2797997.839596149</v>
      </c>
      <c r="AZ2066" s="2">
        <f t="shared" ca="1" si="2034"/>
        <v>2996782.9113706802</v>
      </c>
      <c r="BA2066" s="2">
        <f t="shared" ca="1" si="2035"/>
        <v>59598900.141173519</v>
      </c>
      <c r="BB2066" s="2">
        <f t="shared" ca="1" si="2036"/>
        <v>1191978.0028234704</v>
      </c>
      <c r="BC2066" s="2">
        <f t="shared" ca="1" si="2037"/>
        <v>35118539.770770825</v>
      </c>
      <c r="BD2066" s="2">
        <f t="shared" ca="1" si="2038"/>
        <v>-16995937.510368615</v>
      </c>
      <c r="BE2066" s="2">
        <f t="shared" ca="1" si="2039"/>
        <v>2239216.370602435</v>
      </c>
      <c r="BF2066" s="2">
        <f t="shared" ca="1" si="2040"/>
        <v>2426114.7445302061</v>
      </c>
      <c r="BG2066" s="2">
        <f t="shared" ca="1" si="2041"/>
        <v>2607901.7160604247</v>
      </c>
      <c r="BH2066" s="2">
        <f t="shared" ca="1" si="2042"/>
        <v>2797997.839596149</v>
      </c>
      <c r="BI2066" s="2">
        <f t="shared" ca="1" si="2043"/>
        <v>38115322.682141505</v>
      </c>
      <c r="BJ2066" s="2">
        <f t="shared" ca="1" si="2044"/>
        <v>0.27283941755076468</v>
      </c>
      <c r="BK2066" s="2">
        <f t="shared" ca="1" si="2045"/>
        <v>12199535.48546103</v>
      </c>
    </row>
    <row r="2067" spans="1:63" x14ac:dyDescent="0.3">
      <c r="A2067" s="2">
        <v>2066</v>
      </c>
      <c r="B2067" s="2">
        <f t="shared" ca="1" si="1984"/>
        <v>0.58227673619904297</v>
      </c>
      <c r="C2067" s="2">
        <f t="shared" ca="1" si="1985"/>
        <v>7.0859723594978572</v>
      </c>
      <c r="D2067" s="2">
        <f t="shared" ca="1" si="1986"/>
        <v>0.75876737375691161</v>
      </c>
      <c r="E2067" s="2">
        <f t="shared" ca="1" si="1987"/>
        <v>7.8054028127855855</v>
      </c>
      <c r="F2067" s="2">
        <f t="shared" ca="1" si="1988"/>
        <v>0.27281954437907319</v>
      </c>
      <c r="G2067" s="2">
        <f t="shared" ca="1" si="1989"/>
        <v>2.187076903561895E-2</v>
      </c>
      <c r="H2067" s="2">
        <f t="shared" ca="1" si="1990"/>
        <v>2.187076903561895E-2</v>
      </c>
      <c r="I2067" s="2">
        <f t="shared" ca="1" si="1991"/>
        <v>0.82405258306122986</v>
      </c>
      <c r="J2067" s="2">
        <f t="shared" ca="1" si="1992"/>
        <v>1.4654601103715456E-2</v>
      </c>
      <c r="K2067" s="2">
        <f t="shared" ca="1" si="1993"/>
        <v>1.4654601103715456E-2</v>
      </c>
      <c r="L2067" s="2">
        <f t="shared" ca="1" si="1994"/>
        <v>0.79521320650494121</v>
      </c>
      <c r="M2067" s="2">
        <f t="shared" ca="1" si="1995"/>
        <v>1.6492885154762531E-2</v>
      </c>
      <c r="N2067" s="2">
        <f t="shared" ca="1" si="1996"/>
        <v>1.6492885154762531E-2</v>
      </c>
      <c r="O2067" s="2">
        <f t="shared" si="1997"/>
        <v>6000000</v>
      </c>
      <c r="P2067" s="2">
        <f t="shared" ca="1" si="1998"/>
        <v>42515834.156987146</v>
      </c>
      <c r="Q2067" s="2">
        <f t="shared" ca="1" si="1999"/>
        <v>1062895.8539246786</v>
      </c>
      <c r="R2067" s="2">
        <f t="shared" ca="1" si="2000"/>
        <v>25509500.494192287</v>
      </c>
      <c r="S2067" s="2">
        <f t="shared" ca="1" si="2001"/>
        <v>17006333.662794858</v>
      </c>
      <c r="T2067" s="2">
        <f t="shared" ca="1" si="2002"/>
        <v>50824644.257738128</v>
      </c>
      <c r="U2067" s="2">
        <f t="shared" ca="1" si="2003"/>
        <v>51936218.313616619</v>
      </c>
      <c r="V2067" s="2">
        <f t="shared" ca="1" si="2004"/>
        <v>53072103.348937213</v>
      </c>
      <c r="W2067" s="2">
        <f t="shared" ca="1" si="2005"/>
        <v>54232831.063516319</v>
      </c>
      <c r="X2067" s="2">
        <f t="shared" ca="1" si="2006"/>
        <v>55418944.785854228</v>
      </c>
      <c r="Y2067" s="2">
        <f t="shared" ca="1" si="2007"/>
        <v>0.12732730055185773</v>
      </c>
      <c r="Z2067" s="2">
        <f t="shared" ca="1" si="2008"/>
        <v>0.13025822077260082</v>
      </c>
      <c r="AA2067" s="2">
        <f t="shared" ca="1" si="2009"/>
        <v>6471364.754846273</v>
      </c>
      <c r="AB2067" s="2">
        <f t="shared" ca="1" si="2010"/>
        <v>6765119.3911890676</v>
      </c>
      <c r="AC2067" s="2">
        <f t="shared" ca="1" si="2011"/>
        <v>6913077.7548921509</v>
      </c>
      <c r="AD2067" s="2">
        <f t="shared" ca="1" si="2012"/>
        <v>7064272.0817946726</v>
      </c>
      <c r="AE2067" s="2">
        <f t="shared" ca="1" si="2013"/>
        <v>7218773.144900375</v>
      </c>
      <c r="AF2067" s="2">
        <f t="shared" ca="1" si="2014"/>
        <v>1016492.8851547625</v>
      </c>
      <c r="AG2067" s="2">
        <f t="shared" ca="1" si="2015"/>
        <v>1038724.3662723324</v>
      </c>
      <c r="AH2067" s="2">
        <f t="shared" ca="1" si="2016"/>
        <v>1061442.0669787442</v>
      </c>
      <c r="AI2067" s="2">
        <f t="shared" ca="1" si="2017"/>
        <v>1084656.6212703264</v>
      </c>
      <c r="AJ2067" s="2">
        <f t="shared" ca="1" si="2018"/>
        <v>1108378.8957170846</v>
      </c>
      <c r="AK2067" s="2">
        <f t="shared" ca="1" si="2019"/>
        <v>0</v>
      </c>
      <c r="AL2067" s="2">
        <f t="shared" ca="1" si="2020"/>
        <v>11115.740558784903</v>
      </c>
      <c r="AM2067" s="2">
        <f t="shared" ca="1" si="2021"/>
        <v>11358.850353205949</v>
      </c>
      <c r="AN2067" s="2">
        <f t="shared" ca="1" si="2022"/>
        <v>11607.277145791055</v>
      </c>
      <c r="AO2067" s="2">
        <f t="shared" ca="1" si="2023"/>
        <v>11861.13722337909</v>
      </c>
      <c r="AP2067" s="2">
        <f t="shared" ca="1" si="2024"/>
        <v>2295855.0444773058</v>
      </c>
      <c r="AQ2067" s="2">
        <f t="shared" ca="1" si="2025"/>
        <v>821344.37455569324</v>
      </c>
      <c r="AR2067" s="2">
        <f t="shared" ca="1" si="2026"/>
        <v>891940.39491425175</v>
      </c>
      <c r="AS2067" s="2">
        <f t="shared" ca="1" si="2027"/>
        <v>924502.96729338623</v>
      </c>
      <c r="AT2067" s="2">
        <f t="shared" ca="1" si="2028"/>
        <v>957777.70817223063</v>
      </c>
      <c r="AU2067" s="2">
        <f t="shared" ca="1" si="2029"/>
        <v>991780.19322355604</v>
      </c>
      <c r="AV2067" s="2">
        <f t="shared" ca="1" si="2030"/>
        <v>2337672.4506585118</v>
      </c>
      <c r="AW2067" s="2">
        <f t="shared" ca="1" si="2031"/>
        <v>2527483.8449663934</v>
      </c>
      <c r="AX2067" s="2">
        <f t="shared" ca="1" si="2032"/>
        <v>2619918.8257895089</v>
      </c>
      <c r="AY2067" s="2">
        <f t="shared" ca="1" si="2033"/>
        <v>2714375.430729019</v>
      </c>
      <c r="AZ2067" s="2">
        <f t="shared" ca="1" si="2034"/>
        <v>2810897.8742590495</v>
      </c>
      <c r="BA2067" s="2">
        <f t="shared" ca="1" si="2035"/>
        <v>56345432.210066438</v>
      </c>
      <c r="BB2067" s="2">
        <f t="shared" ca="1" si="2036"/>
        <v>1126908.6442013287</v>
      </c>
      <c r="BC2067" s="2">
        <f t="shared" ca="1" si="2037"/>
        <v>29709023.071672823</v>
      </c>
      <c r="BD2067" s="2">
        <f t="shared" ca="1" si="2038"/>
        <v>-18569229.516719535</v>
      </c>
      <c r="BE2067" s="2">
        <f t="shared" ca="1" si="2039"/>
        <v>2337672.4506585118</v>
      </c>
      <c r="BF2067" s="2">
        <f t="shared" ca="1" si="2040"/>
        <v>2527483.8449663934</v>
      </c>
      <c r="BG2067" s="2">
        <f t="shared" ca="1" si="2041"/>
        <v>2619918.8257895089</v>
      </c>
      <c r="BH2067" s="2">
        <f t="shared" ca="1" si="2042"/>
        <v>2714375.430729019</v>
      </c>
      <c r="BI2067" s="2">
        <f t="shared" ca="1" si="2043"/>
        <v>32519920.945931874</v>
      </c>
      <c r="BJ2067" s="2">
        <f t="shared" ca="1" si="2044"/>
        <v>0.21588175966521805</v>
      </c>
      <c r="BK2067" s="2">
        <f t="shared" ca="1" si="2045"/>
        <v>7575390.2947728038</v>
      </c>
    </row>
    <row r="2068" spans="1:63" x14ac:dyDescent="0.3">
      <c r="A2068" s="2">
        <v>2067</v>
      </c>
      <c r="B2068" s="2">
        <f t="shared" ca="1" si="1984"/>
        <v>0.95354941374400715</v>
      </c>
      <c r="C2068" s="2">
        <f t="shared" ca="1" si="1985"/>
        <v>7.6952030634799859</v>
      </c>
      <c r="D2068" s="2">
        <f t="shared" ca="1" si="1986"/>
        <v>0.41964866112770127</v>
      </c>
      <c r="E2068" s="2">
        <f t="shared" ca="1" si="1987"/>
        <v>7.4161317166518153</v>
      </c>
      <c r="F2068" s="2">
        <f t="shared" ca="1" si="1988"/>
        <v>0.5490286652364279</v>
      </c>
      <c r="G2068" s="2">
        <f t="shared" ca="1" si="1989"/>
        <v>4.36962294384549E-2</v>
      </c>
      <c r="H2068" s="2">
        <f t="shared" ca="1" si="1990"/>
        <v>4.36962294384549E-2</v>
      </c>
      <c r="I2068" s="2">
        <f t="shared" ca="1" si="1991"/>
        <v>0.23670010784854245</v>
      </c>
      <c r="J2068" s="2">
        <f t="shared" ca="1" si="1992"/>
        <v>6.4152116476896177E-3</v>
      </c>
      <c r="K2068" s="2">
        <f t="shared" ca="1" si="1993"/>
        <v>6.4152116476896177E-3</v>
      </c>
      <c r="L2068" s="2">
        <f t="shared" ca="1" si="1994"/>
        <v>0.95174398557417117</v>
      </c>
      <c r="M2068" s="2">
        <f t="shared" ca="1" si="1995"/>
        <v>3.3240074375288774E-2</v>
      </c>
      <c r="N2068" s="2">
        <f t="shared" ca="1" si="1996"/>
        <v>3.3240074375288774E-2</v>
      </c>
      <c r="O2068" s="2">
        <f t="shared" si="1997"/>
        <v>6000000</v>
      </c>
      <c r="P2068" s="2">
        <f t="shared" ca="1" si="1998"/>
        <v>46171218.380879916</v>
      </c>
      <c r="Q2068" s="2">
        <f t="shared" ca="1" si="1999"/>
        <v>1154280.459521998</v>
      </c>
      <c r="R2068" s="2">
        <f t="shared" ca="1" si="2000"/>
        <v>27702731.028527949</v>
      </c>
      <c r="S2068" s="2">
        <f t="shared" ca="1" si="2001"/>
        <v>18468487.352351967</v>
      </c>
      <c r="T2068" s="2">
        <f t="shared" ca="1" si="2002"/>
        <v>51662003.718764439</v>
      </c>
      <c r="U2068" s="2">
        <f t="shared" ca="1" si="2003"/>
        <v>53919438.486509882</v>
      </c>
      <c r="V2068" s="2">
        <f t="shared" ca="1" si="2004"/>
        <v>56275514.641809069</v>
      </c>
      <c r="W2068" s="2">
        <f t="shared" ca="1" si="2005"/>
        <v>58734542.441364683</v>
      </c>
      <c r="X2068" s="2">
        <f t="shared" ca="1" si="2006"/>
        <v>61301020.483845219</v>
      </c>
      <c r="Y2068" s="2">
        <f t="shared" ca="1" si="2007"/>
        <v>0.12320760582384481</v>
      </c>
      <c r="Z2068" s="2">
        <f t="shared" ca="1" si="2008"/>
        <v>0.12449064815338273</v>
      </c>
      <c r="AA2068" s="2">
        <f t="shared" ca="1" si="2009"/>
        <v>6365151.7902515335</v>
      </c>
      <c r="AB2068" s="2">
        <f t="shared" ca="1" si="2010"/>
        <v>6712465.845252065</v>
      </c>
      <c r="AC2068" s="2">
        <f t="shared" ca="1" si="2011"/>
        <v>7005775.2929239906</v>
      </c>
      <c r="AD2068" s="2">
        <f t="shared" ca="1" si="2012"/>
        <v>7311901.2575178556</v>
      </c>
      <c r="AE2068" s="2">
        <f t="shared" ca="1" si="2013"/>
        <v>7631403.7724976828</v>
      </c>
      <c r="AF2068" s="2">
        <f t="shared" ca="1" si="2014"/>
        <v>1033240.0743752888</v>
      </c>
      <c r="AG2068" s="2">
        <f t="shared" ca="1" si="2015"/>
        <v>1078388.7697301977</v>
      </c>
      <c r="AH2068" s="2">
        <f t="shared" ca="1" si="2016"/>
        <v>1125510.2928361814</v>
      </c>
      <c r="AI2068" s="2">
        <f t="shared" ca="1" si="2017"/>
        <v>1174690.8488272936</v>
      </c>
      <c r="AJ2068" s="2">
        <f t="shared" ca="1" si="2018"/>
        <v>1226020.4096769043</v>
      </c>
      <c r="AK2068" s="2">
        <f t="shared" ca="1" si="2019"/>
        <v>0</v>
      </c>
      <c r="AL2068" s="2">
        <f t="shared" ca="1" si="2020"/>
        <v>22574.347677454429</v>
      </c>
      <c r="AM2068" s="2">
        <f t="shared" ca="1" si="2021"/>
        <v>23560.761552991866</v>
      </c>
      <c r="AN2068" s="2">
        <f t="shared" ca="1" si="2022"/>
        <v>24590.277995556145</v>
      </c>
      <c r="AO2068" s="2">
        <f t="shared" ca="1" si="2023"/>
        <v>25664.780424805358</v>
      </c>
      <c r="AP2068" s="2">
        <f t="shared" ca="1" si="2024"/>
        <v>2493245.7925675153</v>
      </c>
      <c r="AQ2068" s="2">
        <f t="shared" ca="1" si="2025"/>
        <v>738053.14006026974</v>
      </c>
      <c r="AR2068" s="2">
        <f t="shared" ca="1" si="2026"/>
        <v>816616.13356813171</v>
      </c>
      <c r="AS2068" s="2">
        <f t="shared" ca="1" si="2027"/>
        <v>880624.99395527632</v>
      </c>
      <c r="AT2068" s="2">
        <f t="shared" ca="1" si="2028"/>
        <v>947430.80019199231</v>
      </c>
      <c r="AU2068" s="2">
        <f t="shared" ca="1" si="2029"/>
        <v>1017155.7682658484</v>
      </c>
      <c r="AV2068" s="2">
        <f t="shared" ca="1" si="2030"/>
        <v>2100612.7832484604</v>
      </c>
      <c r="AW2068" s="2">
        <f t="shared" ca="1" si="2031"/>
        <v>2301640.8017087667</v>
      </c>
      <c r="AX2068" s="2">
        <f t="shared" ca="1" si="2032"/>
        <v>2482833.4520120253</v>
      </c>
      <c r="AY2068" s="2">
        <f t="shared" ca="1" si="2033"/>
        <v>2671943.5379354986</v>
      </c>
      <c r="AZ2068" s="2">
        <f t="shared" ca="1" si="2034"/>
        <v>2869317.0215626094</v>
      </c>
      <c r="BA2068" s="2">
        <f t="shared" ca="1" si="2035"/>
        <v>56595495.559796378</v>
      </c>
      <c r="BB2068" s="2">
        <f t="shared" ca="1" si="2036"/>
        <v>1131909.9111959275</v>
      </c>
      <c r="BC2068" s="2">
        <f t="shared" ca="1" si="2037"/>
        <v>27760854.620072503</v>
      </c>
      <c r="BD2068" s="2">
        <f t="shared" ca="1" si="2038"/>
        <v>-20122767.811873965</v>
      </c>
      <c r="BE2068" s="2">
        <f t="shared" ca="1" si="2039"/>
        <v>2100612.7832484604</v>
      </c>
      <c r="BF2068" s="2">
        <f t="shared" ca="1" si="2040"/>
        <v>2301640.8017087667</v>
      </c>
      <c r="BG2068" s="2">
        <f t="shared" ca="1" si="2041"/>
        <v>2482833.4520120253</v>
      </c>
      <c r="BH2068" s="2">
        <f t="shared" ca="1" si="2042"/>
        <v>2671943.5379354986</v>
      </c>
      <c r="BI2068" s="2">
        <f t="shared" ca="1" si="2043"/>
        <v>30630171.641635112</v>
      </c>
      <c r="BJ2068" s="2">
        <f t="shared" ca="1" si="2044"/>
        <v>0.17416484782612862</v>
      </c>
      <c r="BK2068" s="2">
        <f t="shared" ca="1" si="2045"/>
        <v>4433315.4887918308</v>
      </c>
    </row>
    <row r="2069" spans="1:63" x14ac:dyDescent="0.3">
      <c r="A2069" s="2">
        <v>2068</v>
      </c>
      <c r="B2069" s="2">
        <f t="shared" ca="1" si="1984"/>
        <v>0.9664496092762801</v>
      </c>
      <c r="C2069" s="2">
        <f t="shared" ca="1" si="1985"/>
        <v>7.7409618146924286</v>
      </c>
      <c r="D2069" s="2">
        <f t="shared" ca="1" si="1986"/>
        <v>6.832254824565609E-2</v>
      </c>
      <c r="E2069" s="2">
        <f t="shared" ca="1" si="1987"/>
        <v>6.8696553753042311</v>
      </c>
      <c r="F2069" s="2">
        <f t="shared" ca="1" si="1988"/>
        <v>5.2144434522600869E-2</v>
      </c>
      <c r="G2069" s="2">
        <f t="shared" ca="1" si="1989"/>
        <v>-8.7322247779828555E-3</v>
      </c>
      <c r="H2069" s="2">
        <f t="shared" ca="1" si="1990"/>
        <v>-8.7322247779828555E-3</v>
      </c>
      <c r="I2069" s="2">
        <f t="shared" ca="1" si="1991"/>
        <v>0.7451117879187823</v>
      </c>
      <c r="J2069" s="2">
        <f t="shared" ca="1" si="1992"/>
        <v>1.329592931268039E-2</v>
      </c>
      <c r="K2069" s="2">
        <f t="shared" ca="1" si="1993"/>
        <v>1.329592931268039E-2</v>
      </c>
      <c r="L2069" s="2">
        <f t="shared" ca="1" si="1994"/>
        <v>3.9575746010956925E-2</v>
      </c>
      <c r="M2069" s="2">
        <f t="shared" ca="1" si="1995"/>
        <v>-3.5112613376757043E-2</v>
      </c>
      <c r="N2069" s="2">
        <f t="shared" ca="1" si="1996"/>
        <v>-3.5112613376757043E-2</v>
      </c>
      <c r="O2069" s="2">
        <f t="shared" si="1997"/>
        <v>6000000</v>
      </c>
      <c r="P2069" s="2">
        <f t="shared" ca="1" si="1998"/>
        <v>46445770.888154574</v>
      </c>
      <c r="Q2069" s="2">
        <f t="shared" ca="1" si="1999"/>
        <v>1161144.2722038643</v>
      </c>
      <c r="R2069" s="2">
        <f t="shared" ca="1" si="2000"/>
        <v>27867462.532892745</v>
      </c>
      <c r="S2069" s="2">
        <f t="shared" ca="1" si="2001"/>
        <v>18578308.355261829</v>
      </c>
      <c r="T2069" s="2">
        <f t="shared" ca="1" si="2002"/>
        <v>48244369.331162147</v>
      </c>
      <c r="U2069" s="2">
        <f t="shared" ca="1" si="2003"/>
        <v>47823088.653890416</v>
      </c>
      <c r="V2069" s="2">
        <f t="shared" ca="1" si="2004"/>
        <v>47405486.694187246</v>
      </c>
      <c r="W2069" s="2">
        <f t="shared" ca="1" si="2005"/>
        <v>46991531.32866393</v>
      </c>
      <c r="X2069" s="2">
        <f t="shared" ca="1" si="2006"/>
        <v>46581190.714440413</v>
      </c>
      <c r="Y2069" s="2">
        <f t="shared" ca="1" si="2007"/>
        <v>0.12664796465634018</v>
      </c>
      <c r="Z2069" s="2">
        <f t="shared" ca="1" si="2008"/>
        <v>0.12930715051887626</v>
      </c>
      <c r="AA2069" s="2">
        <f t="shared" ca="1" si="2009"/>
        <v>6110051.1819204455</v>
      </c>
      <c r="AB2069" s="2">
        <f t="shared" ca="1" si="2010"/>
        <v>6183867.3228461714</v>
      </c>
      <c r="AC2069" s="2">
        <f t="shared" ca="1" si="2011"/>
        <v>6129868.4033858562</v>
      </c>
      <c r="AD2069" s="2">
        <f t="shared" ca="1" si="2012"/>
        <v>6076341.0146280359</v>
      </c>
      <c r="AE2069" s="2">
        <f t="shared" ca="1" si="2013"/>
        <v>6023281.0390606271</v>
      </c>
      <c r="AF2069" s="2">
        <f t="shared" ca="1" si="2014"/>
        <v>964887.38662324299</v>
      </c>
      <c r="AG2069" s="2">
        <f t="shared" ca="1" si="2015"/>
        <v>956461.77307780832</v>
      </c>
      <c r="AH2069" s="2">
        <f t="shared" ca="1" si="2016"/>
        <v>948109.73388374492</v>
      </c>
      <c r="AI2069" s="2">
        <f t="shared" ca="1" si="2017"/>
        <v>939830.62657327857</v>
      </c>
      <c r="AJ2069" s="2">
        <f t="shared" ca="1" si="2018"/>
        <v>931623.81428880827</v>
      </c>
      <c r="AK2069" s="2">
        <f t="shared" ca="1" si="2019"/>
        <v>0</v>
      </c>
      <c r="AL2069" s="2">
        <f t="shared" ca="1" si="2020"/>
        <v>0</v>
      </c>
      <c r="AM2069" s="2">
        <f t="shared" ca="1" si="2021"/>
        <v>0</v>
      </c>
      <c r="AN2069" s="2">
        <f t="shared" ca="1" si="2022"/>
        <v>0</v>
      </c>
      <c r="AO2069" s="2">
        <f t="shared" ca="1" si="2023"/>
        <v>0</v>
      </c>
      <c r="AP2069" s="2">
        <f t="shared" ca="1" si="2024"/>
        <v>2508071.6279603471</v>
      </c>
      <c r="AQ2069" s="2">
        <f t="shared" ca="1" si="2025"/>
        <v>685643.96350758243</v>
      </c>
      <c r="AR2069" s="2">
        <f t="shared" ca="1" si="2026"/>
        <v>707026.81967008417</v>
      </c>
      <c r="AS2069" s="2">
        <f t="shared" ca="1" si="2027"/>
        <v>695158.63080085872</v>
      </c>
      <c r="AT2069" s="2">
        <f t="shared" ca="1" si="2028"/>
        <v>683394.07762454671</v>
      </c>
      <c r="AU2069" s="2">
        <f t="shared" ca="1" si="2029"/>
        <v>671732.25517098268</v>
      </c>
      <c r="AV2069" s="2">
        <f t="shared" ca="1" si="2030"/>
        <v>1951448.2038292731</v>
      </c>
      <c r="AW2069" s="2">
        <f t="shared" ca="1" si="2031"/>
        <v>2012307.1021379321</v>
      </c>
      <c r="AX2069" s="2">
        <f t="shared" ca="1" si="2032"/>
        <v>1978528.410740905</v>
      </c>
      <c r="AY2069" s="2">
        <f t="shared" ca="1" si="2033"/>
        <v>1945044.6824698639</v>
      </c>
      <c r="AZ2069" s="2">
        <f t="shared" ca="1" si="2034"/>
        <v>1911853.3416404896</v>
      </c>
      <c r="BA2069" s="2">
        <f t="shared" ca="1" si="2035"/>
        <v>41377864.966950893</v>
      </c>
      <c r="BB2069" s="2">
        <f t="shared" ca="1" si="2036"/>
        <v>827557.29933901783</v>
      </c>
      <c r="BC2069" s="2">
        <f t="shared" ca="1" si="2037"/>
        <v>12682845.13471913</v>
      </c>
      <c r="BD2069" s="2">
        <f t="shared" ca="1" si="2038"/>
        <v>-20239452.627465691</v>
      </c>
      <c r="BE2069" s="2">
        <f t="shared" ca="1" si="2039"/>
        <v>1951448.2038292731</v>
      </c>
      <c r="BF2069" s="2">
        <f t="shared" ca="1" si="2040"/>
        <v>2012307.1021379321</v>
      </c>
      <c r="BG2069" s="2">
        <f t="shared" ca="1" si="2041"/>
        <v>1978528.410740905</v>
      </c>
      <c r="BH2069" s="2">
        <f t="shared" ca="1" si="2042"/>
        <v>1945044.6824698639</v>
      </c>
      <c r="BI2069" s="2">
        <f t="shared" ca="1" si="2043"/>
        <v>14594698.476359619</v>
      </c>
      <c r="BJ2069" s="2">
        <f t="shared" ca="1" si="2044"/>
        <v>2.59769565752761E-2</v>
      </c>
      <c r="BK2069" s="2">
        <f t="shared" ca="1" si="2045"/>
        <v>-5967076.8900646009</v>
      </c>
    </row>
    <row r="2070" spans="1:63" x14ac:dyDescent="0.3">
      <c r="A2070" s="2">
        <v>2069</v>
      </c>
      <c r="B2070" s="2">
        <f t="shared" ca="1" si="1984"/>
        <v>0.2432247460666197</v>
      </c>
      <c r="C2070" s="2">
        <f t="shared" ca="1" si="1985"/>
        <v>6.6974593121704231</v>
      </c>
      <c r="D2070" s="2">
        <f t="shared" ca="1" si="1986"/>
        <v>0.1840373874516682</v>
      </c>
      <c r="E2070" s="2">
        <f t="shared" ca="1" si="1987"/>
        <v>7.1066916637826303</v>
      </c>
      <c r="F2070" s="2">
        <f t="shared" ca="1" si="1988"/>
        <v>0.48969803319162875</v>
      </c>
      <c r="G2070" s="2">
        <f t="shared" ca="1" si="1989"/>
        <v>3.9225217841890037E-2</v>
      </c>
      <c r="H2070" s="2">
        <f t="shared" ca="1" si="1990"/>
        <v>3.9225217841890037E-2</v>
      </c>
      <c r="I2070" s="2">
        <f t="shared" ca="1" si="1991"/>
        <v>0.90696769011074496</v>
      </c>
      <c r="J2070" s="2">
        <f t="shared" ca="1" si="1992"/>
        <v>1.6611554873153373E-2</v>
      </c>
      <c r="K2070" s="2">
        <f t="shared" ca="1" si="1993"/>
        <v>1.6611554873153373E-2</v>
      </c>
      <c r="L2070" s="2">
        <f t="shared" ca="1" si="1994"/>
        <v>0.29341135728109879</v>
      </c>
      <c r="M2070" s="2">
        <f t="shared" ca="1" si="1995"/>
        <v>-1.0868921355678487E-2</v>
      </c>
      <c r="N2070" s="2">
        <f t="shared" ca="1" si="1996"/>
        <v>-1.0868921355678487E-2</v>
      </c>
      <c r="O2070" s="2">
        <f t="shared" si="1997"/>
        <v>6000000</v>
      </c>
      <c r="P2070" s="2">
        <f t="shared" ca="1" si="1998"/>
        <v>40184755.873022541</v>
      </c>
      <c r="Q2070" s="2">
        <f t="shared" ca="1" si="1999"/>
        <v>1004618.8968255636</v>
      </c>
      <c r="R2070" s="2">
        <f t="shared" ca="1" si="2000"/>
        <v>24110853.523813523</v>
      </c>
      <c r="S2070" s="2">
        <f t="shared" ca="1" si="2001"/>
        <v>16073902.349209018</v>
      </c>
      <c r="T2070" s="2">
        <f t="shared" ca="1" si="2002"/>
        <v>49456553.932216071</v>
      </c>
      <c r="U2070" s="2">
        <f t="shared" ca="1" si="2003"/>
        <v>51396498.033916421</v>
      </c>
      <c r="V2070" s="2">
        <f t="shared" ca="1" si="2004"/>
        <v>53412536.86560706</v>
      </c>
      <c r="W2070" s="2">
        <f t="shared" ca="1" si="2005"/>
        <v>55507655.259648472</v>
      </c>
      <c r="X2070" s="2">
        <f t="shared" ca="1" si="2006"/>
        <v>57684955.12910071</v>
      </c>
      <c r="Y2070" s="2">
        <f t="shared" ca="1" si="2007"/>
        <v>0.12830577743657667</v>
      </c>
      <c r="Z2070" s="2">
        <f t="shared" ca="1" si="2008"/>
        <v>0.13162808841120735</v>
      </c>
      <c r="AA2070" s="2">
        <f t="shared" ca="1" si="2009"/>
        <v>6345561.601606966</v>
      </c>
      <c r="AB2070" s="2">
        <f t="shared" ca="1" si="2010"/>
        <v>6765222.7872347953</v>
      </c>
      <c r="AC2070" s="2">
        <f t="shared" ca="1" si="2011"/>
        <v>7030590.1248129979</v>
      </c>
      <c r="AD2070" s="2">
        <f t="shared" ca="1" si="2012"/>
        <v>7306366.5540158274</v>
      </c>
      <c r="AE2070" s="2">
        <f t="shared" ca="1" si="2013"/>
        <v>7592960.3737297971</v>
      </c>
      <c r="AF2070" s="2">
        <f t="shared" ca="1" si="2014"/>
        <v>989131.07864432142</v>
      </c>
      <c r="AG2070" s="2">
        <f t="shared" ca="1" si="2015"/>
        <v>1027929.9606783284</v>
      </c>
      <c r="AH2070" s="2">
        <f t="shared" ca="1" si="2016"/>
        <v>1068250.7373121413</v>
      </c>
      <c r="AI2070" s="2">
        <f t="shared" ca="1" si="2017"/>
        <v>1110153.1051929696</v>
      </c>
      <c r="AJ2070" s="2">
        <f t="shared" ca="1" si="2018"/>
        <v>1153699.1025820142</v>
      </c>
      <c r="AK2070" s="2">
        <f t="shared" ca="1" si="2019"/>
        <v>0</v>
      </c>
      <c r="AL2070" s="2">
        <f t="shared" ca="1" si="2020"/>
        <v>19399.441017003508</v>
      </c>
      <c r="AM2070" s="2">
        <f t="shared" ca="1" si="2021"/>
        <v>20160.388316906392</v>
      </c>
      <c r="AN2070" s="2">
        <f t="shared" ca="1" si="2022"/>
        <v>20951.183940414117</v>
      </c>
      <c r="AO2070" s="2">
        <f t="shared" ca="1" si="2023"/>
        <v>21772.998694522383</v>
      </c>
      <c r="AP2070" s="2">
        <f t="shared" ca="1" si="2024"/>
        <v>2169976.8171432172</v>
      </c>
      <c r="AQ2070" s="2">
        <f t="shared" ca="1" si="2025"/>
        <v>828477.96351305116</v>
      </c>
      <c r="AR2070" s="2">
        <f t="shared" ca="1" si="2026"/>
        <v>927502.16244744486</v>
      </c>
      <c r="AS2070" s="2">
        <f t="shared" ca="1" si="2027"/>
        <v>986014.26829298609</v>
      </c>
      <c r="AT2070" s="2">
        <f t="shared" ca="1" si="2028"/>
        <v>1046821.5242367066</v>
      </c>
      <c r="AU2070" s="2">
        <f t="shared" ca="1" si="2029"/>
        <v>1110013.9580411869</v>
      </c>
      <c r="AV2070" s="2">
        <f t="shared" ca="1" si="2030"/>
        <v>2357975.7423063763</v>
      </c>
      <c r="AW2070" s="2">
        <f t="shared" ca="1" si="2031"/>
        <v>2620414.4059488005</v>
      </c>
      <c r="AX2070" s="2">
        <f t="shared" ca="1" si="2032"/>
        <v>2786187.913747747</v>
      </c>
      <c r="AY2070" s="2">
        <f t="shared" ca="1" si="2033"/>
        <v>2958463.9235025193</v>
      </c>
      <c r="AZ2070" s="2">
        <f t="shared" ca="1" si="2034"/>
        <v>3137497.497268857</v>
      </c>
      <c r="BA2070" s="2">
        <f t="shared" ca="1" si="2035"/>
        <v>53960828.191417396</v>
      </c>
      <c r="BB2070" s="2">
        <f t="shared" ca="1" si="2036"/>
        <v>1079216.5638283479</v>
      </c>
      <c r="BC2070" s="2">
        <f t="shared" ca="1" si="2037"/>
        <v>28770758.103775524</v>
      </c>
      <c r="BD2070" s="2">
        <f t="shared" ca="1" si="2038"/>
        <v>-17578521.246034581</v>
      </c>
      <c r="BE2070" s="2">
        <f t="shared" ca="1" si="2039"/>
        <v>2357975.7423063763</v>
      </c>
      <c r="BF2070" s="2">
        <f t="shared" ca="1" si="2040"/>
        <v>2620414.4059488005</v>
      </c>
      <c r="BG2070" s="2">
        <f t="shared" ca="1" si="2041"/>
        <v>2786187.913747747</v>
      </c>
      <c r="BH2070" s="2">
        <f t="shared" ca="1" si="2042"/>
        <v>2958463.9235025193</v>
      </c>
      <c r="BI2070" s="2">
        <f t="shared" ca="1" si="2043"/>
        <v>31908255.601044379</v>
      </c>
      <c r="BJ2070" s="2">
        <f t="shared" ca="1" si="2044"/>
        <v>0.23335665265722039</v>
      </c>
      <c r="BK2070" s="2">
        <f t="shared" ca="1" si="2045"/>
        <v>8584704.5377988517</v>
      </c>
    </row>
    <row r="2071" spans="1:63" x14ac:dyDescent="0.3">
      <c r="A2071" s="2">
        <v>2070</v>
      </c>
      <c r="B2071" s="2">
        <f t="shared" ca="1" si="1984"/>
        <v>0.23735260865403129</v>
      </c>
      <c r="C2071" s="2">
        <f t="shared" ca="1" si="1985"/>
        <v>6.6889885465724834</v>
      </c>
      <c r="D2071" s="2">
        <f t="shared" ca="1" si="1986"/>
        <v>0.19893488883661625</v>
      </c>
      <c r="E2071" s="2">
        <f t="shared" ca="1" si="1987"/>
        <v>7.1307691952475425</v>
      </c>
      <c r="F2071" s="2">
        <f t="shared" ca="1" si="1988"/>
        <v>0.20007693652833702</v>
      </c>
      <c r="G2071" s="2">
        <f t="shared" ca="1" si="1989"/>
        <v>1.4759606360343468E-2</v>
      </c>
      <c r="H2071" s="2">
        <f t="shared" ca="1" si="1990"/>
        <v>1.4759606360343468E-2</v>
      </c>
      <c r="I2071" s="2">
        <f t="shared" ca="1" si="1991"/>
        <v>0.66637520077073298</v>
      </c>
      <c r="J2071" s="2">
        <f t="shared" ca="1" si="1992"/>
        <v>1.2149629128474058E-2</v>
      </c>
      <c r="K2071" s="2">
        <f t="shared" ca="1" si="1993"/>
        <v>1.2149629128474058E-2</v>
      </c>
      <c r="L2071" s="2">
        <f t="shared" ca="1" si="1994"/>
        <v>0.32511597693875571</v>
      </c>
      <c r="M2071" s="2">
        <f t="shared" ca="1" si="1995"/>
        <v>-9.0687995816853949E-3</v>
      </c>
      <c r="N2071" s="2">
        <f t="shared" ca="1" si="1996"/>
        <v>-9.0687995816853949E-3</v>
      </c>
      <c r="O2071" s="2">
        <f t="shared" si="1997"/>
        <v>6000000</v>
      </c>
      <c r="P2071" s="2">
        <f t="shared" ca="1" si="1998"/>
        <v>40133931.279434897</v>
      </c>
      <c r="Q2071" s="2">
        <f t="shared" ca="1" si="1999"/>
        <v>1003348.2819858724</v>
      </c>
      <c r="R2071" s="2">
        <f t="shared" ca="1" si="2000"/>
        <v>24080358.767660938</v>
      </c>
      <c r="S2071" s="2">
        <f t="shared" ca="1" si="2001"/>
        <v>16053572.511773959</v>
      </c>
      <c r="T2071" s="2">
        <f t="shared" ca="1" si="2002"/>
        <v>49546560.020915732</v>
      </c>
      <c r="U2071" s="2">
        <f t="shared" ca="1" si="2003"/>
        <v>50277847.743333578</v>
      </c>
      <c r="V2071" s="2">
        <f t="shared" ca="1" si="2004"/>
        <v>51019928.984670468</v>
      </c>
      <c r="W2071" s="2">
        <f t="shared" ca="1" si="2005"/>
        <v>51772963.053016879</v>
      </c>
      <c r="X2071" s="2">
        <f t="shared" ca="1" si="2006"/>
        <v>52537111.607788011</v>
      </c>
      <c r="Y2071" s="2">
        <f t="shared" ca="1" si="2007"/>
        <v>0.12607481456423703</v>
      </c>
      <c r="Z2071" s="2">
        <f t="shared" ca="1" si="2008"/>
        <v>0.12850474038993184</v>
      </c>
      <c r="AA2071" s="2">
        <f t="shared" ca="1" si="2009"/>
        <v>6246573.3669327907</v>
      </c>
      <c r="AB2071" s="2">
        <f t="shared" ca="1" si="2010"/>
        <v>6460941.7716216017</v>
      </c>
      <c r="AC2071" s="2">
        <f t="shared" ca="1" si="2011"/>
        <v>6556302.7288878374</v>
      </c>
      <c r="AD2071" s="2">
        <f t="shared" ca="1" si="2012"/>
        <v>6653071.1763454676</v>
      </c>
      <c r="AE2071" s="2">
        <f t="shared" ca="1" si="2013"/>
        <v>6751267.8879956733</v>
      </c>
      <c r="AF2071" s="2">
        <f t="shared" ca="1" si="2014"/>
        <v>990931.20041831466</v>
      </c>
      <c r="AG2071" s="2">
        <f t="shared" ca="1" si="2015"/>
        <v>1005556.9548666716</v>
      </c>
      <c r="AH2071" s="2">
        <f t="shared" ca="1" si="2016"/>
        <v>1020398.5796934094</v>
      </c>
      <c r="AI2071" s="2">
        <f t="shared" ca="1" si="2017"/>
        <v>1035459.2610603377</v>
      </c>
      <c r="AJ2071" s="2">
        <f t="shared" ca="1" si="2018"/>
        <v>1050742.2321557603</v>
      </c>
      <c r="AK2071" s="2">
        <f t="shared" ca="1" si="2019"/>
        <v>0</v>
      </c>
      <c r="AL2071" s="2">
        <f t="shared" ca="1" si="2020"/>
        <v>7312.8772241784636</v>
      </c>
      <c r="AM2071" s="2">
        <f t="shared" ca="1" si="2021"/>
        <v>7420.8124133688962</v>
      </c>
      <c r="AN2071" s="2">
        <f t="shared" ca="1" si="2022"/>
        <v>7530.34068346411</v>
      </c>
      <c r="AO2071" s="2">
        <f t="shared" ca="1" si="2023"/>
        <v>7641.4855477113279</v>
      </c>
      <c r="AP2071" s="2">
        <f t="shared" ca="1" si="2024"/>
        <v>2167232.2890894841</v>
      </c>
      <c r="AQ2071" s="2">
        <f t="shared" ca="1" si="2025"/>
        <v>802986.56813049782</v>
      </c>
      <c r="AR2071" s="2">
        <f t="shared" ca="1" si="2026"/>
        <v>854919.65719301591</v>
      </c>
      <c r="AS2071" s="2">
        <f t="shared" ca="1" si="2027"/>
        <v>875854.68362728541</v>
      </c>
      <c r="AT2071" s="2">
        <f t="shared" ca="1" si="2028"/>
        <v>897098.70281086792</v>
      </c>
      <c r="AU2071" s="2">
        <f t="shared" ca="1" si="2029"/>
        <v>918656.27535511146</v>
      </c>
      <c r="AV2071" s="2">
        <f t="shared" ca="1" si="2030"/>
        <v>2285423.3092944939</v>
      </c>
      <c r="AW2071" s="2">
        <f t="shared" ca="1" si="2031"/>
        <v>2425919.9932482513</v>
      </c>
      <c r="AX2071" s="2">
        <f t="shared" ca="1" si="2032"/>
        <v>2485396.3640642893</v>
      </c>
      <c r="AY2071" s="2">
        <f t="shared" ca="1" si="2033"/>
        <v>2545750.5827013142</v>
      </c>
      <c r="AZ2071" s="2">
        <f t="shared" ca="1" si="2034"/>
        <v>2606995.6058476055</v>
      </c>
      <c r="BA2071" s="2">
        <f t="shared" ca="1" si="2035"/>
        <v>48141733.084583484</v>
      </c>
      <c r="BB2071" s="2">
        <f t="shared" ca="1" si="2036"/>
        <v>962834.66169166972</v>
      </c>
      <c r="BC2071" s="2">
        <f t="shared" ca="1" si="2037"/>
        <v>23098539.655230876</v>
      </c>
      <c r="BD2071" s="2">
        <f t="shared" ca="1" si="2038"/>
        <v>-17556920.79375983</v>
      </c>
      <c r="BE2071" s="2">
        <f t="shared" ca="1" si="2039"/>
        <v>2285423.3092944939</v>
      </c>
      <c r="BF2071" s="2">
        <f t="shared" ca="1" si="2040"/>
        <v>2425919.9932482513</v>
      </c>
      <c r="BG2071" s="2">
        <f t="shared" ca="1" si="2041"/>
        <v>2485396.3640642893</v>
      </c>
      <c r="BH2071" s="2">
        <f t="shared" ca="1" si="2042"/>
        <v>2545750.5827013142</v>
      </c>
      <c r="BI2071" s="2">
        <f t="shared" ca="1" si="2043"/>
        <v>25705535.261078481</v>
      </c>
      <c r="BJ2071" s="2">
        <f t="shared" ca="1" si="2044"/>
        <v>0.18306350477555711</v>
      </c>
      <c r="BK2071" s="2">
        <f t="shared" ca="1" si="2045"/>
        <v>4390501.9045439735</v>
      </c>
    </row>
    <row r="2072" spans="1:63" x14ac:dyDescent="0.3">
      <c r="A2072" s="2">
        <v>2071</v>
      </c>
      <c r="B2072" s="2">
        <f t="shared" ca="1" si="1984"/>
        <v>0.79701229187075784</v>
      </c>
      <c r="C2072" s="2">
        <f t="shared" ca="1" si="1985"/>
        <v>7.3628379984191739</v>
      </c>
      <c r="D2072" s="2">
        <f t="shared" ca="1" si="1986"/>
        <v>0.4964215700920126</v>
      </c>
      <c r="E2072" s="2">
        <f t="shared" ca="1" si="1987"/>
        <v>7.4964151444975258</v>
      </c>
      <c r="F2072" s="2">
        <f t="shared" ca="1" si="1988"/>
        <v>0.61419999285610094</v>
      </c>
      <c r="G2072" s="2">
        <f t="shared" ca="1" si="1989"/>
        <v>4.8708479370289895E-2</v>
      </c>
      <c r="H2072" s="2">
        <f t="shared" ca="1" si="1990"/>
        <v>4.8708479370289895E-2</v>
      </c>
      <c r="I2072" s="2">
        <f t="shared" ca="1" si="1991"/>
        <v>0.35852443916823085</v>
      </c>
      <c r="J2072" s="2">
        <f t="shared" ca="1" si="1992"/>
        <v>8.1879714847528269E-3</v>
      </c>
      <c r="K2072" s="2">
        <f t="shared" ca="1" si="1993"/>
        <v>8.1879714847528269E-3</v>
      </c>
      <c r="L2072" s="2">
        <f t="shared" ca="1" si="1994"/>
        <v>6.3516203045223429E-2</v>
      </c>
      <c r="M2072" s="2">
        <f t="shared" ca="1" si="1995"/>
        <v>-3.0518189868335543E-2</v>
      </c>
      <c r="N2072" s="2">
        <f t="shared" ca="1" si="1996"/>
        <v>-3.0518189868335543E-2</v>
      </c>
      <c r="O2072" s="2">
        <f t="shared" si="1997"/>
        <v>6000000</v>
      </c>
      <c r="P2072" s="2">
        <f t="shared" ca="1" si="1998"/>
        <v>44177027.990515046</v>
      </c>
      <c r="Q2072" s="2">
        <f t="shared" ca="1" si="1999"/>
        <v>1104425.6997628761</v>
      </c>
      <c r="R2072" s="2">
        <f t="shared" ca="1" si="2000"/>
        <v>26506216.794309027</v>
      </c>
      <c r="S2072" s="2">
        <f t="shared" ca="1" si="2001"/>
        <v>17670811.196206018</v>
      </c>
      <c r="T2072" s="2">
        <f t="shared" ca="1" si="2002"/>
        <v>48474090.506583221</v>
      </c>
      <c r="U2072" s="2">
        <f t="shared" ca="1" si="2003"/>
        <v>50835189.744016692</v>
      </c>
      <c r="V2072" s="2">
        <f t="shared" ca="1" si="2004"/>
        <v>53311294.534947902</v>
      </c>
      <c r="W2072" s="2">
        <f t="shared" ca="1" si="2005"/>
        <v>55908006.625006862</v>
      </c>
      <c r="X2072" s="2">
        <f t="shared" ca="1" si="2006"/>
        <v>58631200.612335041</v>
      </c>
      <c r="Y2072" s="2">
        <f t="shared" ca="1" si="2007"/>
        <v>0.12409398574237641</v>
      </c>
      <c r="Z2072" s="2">
        <f t="shared" ca="1" si="2008"/>
        <v>0.12573158003932697</v>
      </c>
      <c r="AA2072" s="2">
        <f t="shared" ca="1" si="2009"/>
        <v>6015343.0961986026</v>
      </c>
      <c r="AB2072" s="2">
        <f t="shared" ca="1" si="2010"/>
        <v>6391588.7281142082</v>
      </c>
      <c r="AC2072" s="2">
        <f t="shared" ca="1" si="2011"/>
        <v>6702913.2958209366</v>
      </c>
      <c r="AD2072" s="2">
        <f t="shared" ca="1" si="2012"/>
        <v>7029402.0098112728</v>
      </c>
      <c r="AE2072" s="2">
        <f t="shared" ca="1" si="2013"/>
        <v>7371793.49259164</v>
      </c>
      <c r="AF2072" s="2">
        <f t="shared" ca="1" si="2014"/>
        <v>969481.81013166439</v>
      </c>
      <c r="AG2072" s="2">
        <f t="shared" ca="1" si="2015"/>
        <v>1016703.7948803338</v>
      </c>
      <c r="AH2072" s="2">
        <f t="shared" ca="1" si="2016"/>
        <v>1066225.890698958</v>
      </c>
      <c r="AI2072" s="2">
        <f t="shared" ca="1" si="2017"/>
        <v>1118160.1325001372</v>
      </c>
      <c r="AJ2072" s="2">
        <f t="shared" ca="1" si="2018"/>
        <v>1172624.0122467009</v>
      </c>
      <c r="AK2072" s="2">
        <f t="shared" ca="1" si="2019"/>
        <v>0</v>
      </c>
      <c r="AL2072" s="2">
        <f t="shared" ca="1" si="2020"/>
        <v>23610.99237433471</v>
      </c>
      <c r="AM2072" s="2">
        <f t="shared" ca="1" si="2021"/>
        <v>24761.047909312099</v>
      </c>
      <c r="AN2072" s="2">
        <f t="shared" ca="1" si="2022"/>
        <v>25967.120900589602</v>
      </c>
      <c r="AO2072" s="2">
        <f t="shared" ca="1" si="2023"/>
        <v>27231.939873281794</v>
      </c>
      <c r="AP2072" s="2">
        <f t="shared" ca="1" si="2024"/>
        <v>2385559.5114878123</v>
      </c>
      <c r="AQ2072" s="2">
        <f t="shared" ca="1" si="2025"/>
        <v>691678.46139057272</v>
      </c>
      <c r="AR2072" s="2">
        <f t="shared" ca="1" si="2026"/>
        <v>777224.60965397605</v>
      </c>
      <c r="AS2072" s="2">
        <f t="shared" ca="1" si="2027"/>
        <v>845293.25234488316</v>
      </c>
      <c r="AT2072" s="2">
        <f t="shared" ca="1" si="2028"/>
        <v>916677.41511406412</v>
      </c>
      <c r="AU2072" s="2">
        <f t="shared" ca="1" si="2029"/>
        <v>991538.59190285299</v>
      </c>
      <c r="AV2072" s="2">
        <f t="shared" ca="1" si="2030"/>
        <v>1968623.3131885533</v>
      </c>
      <c r="AW2072" s="2">
        <f t="shared" ca="1" si="2031"/>
        <v>2188489.8197177514</v>
      </c>
      <c r="AX2072" s="2">
        <f t="shared" ca="1" si="2032"/>
        <v>2381073.5933799711</v>
      </c>
      <c r="AY2072" s="2">
        <f t="shared" ca="1" si="2033"/>
        <v>2583037.8298086696</v>
      </c>
      <c r="AZ2072" s="2">
        <f t="shared" ca="1" si="2034"/>
        <v>2794839.4370809919</v>
      </c>
      <c r="BA2072" s="2">
        <f t="shared" ca="1" si="2035"/>
        <v>55262024.379972279</v>
      </c>
      <c r="BB2072" s="2">
        <f t="shared" ca="1" si="2036"/>
        <v>1105240.4875994455</v>
      </c>
      <c r="BC2072" s="2">
        <f t="shared" ca="1" si="2037"/>
        <v>27650567.098063804</v>
      </c>
      <c r="BD2072" s="2">
        <f t="shared" ca="1" si="2038"/>
        <v>-19275236.895968895</v>
      </c>
      <c r="BE2072" s="2">
        <f t="shared" ca="1" si="2039"/>
        <v>1968623.3131885533</v>
      </c>
      <c r="BF2072" s="2">
        <f t="shared" ca="1" si="2040"/>
        <v>2188489.8197177514</v>
      </c>
      <c r="BG2072" s="2">
        <f t="shared" ca="1" si="2041"/>
        <v>2381073.5933799711</v>
      </c>
      <c r="BH2072" s="2">
        <f t="shared" ca="1" si="2042"/>
        <v>2583037.8298086696</v>
      </c>
      <c r="BI2072" s="2">
        <f t="shared" ca="1" si="2043"/>
        <v>30445406.535144795</v>
      </c>
      <c r="BJ2072" s="2">
        <f t="shared" ca="1" si="2044"/>
        <v>0.18079213889570012</v>
      </c>
      <c r="BK2072" s="2">
        <f t="shared" ca="1" si="2045"/>
        <v>4839022.8678849787</v>
      </c>
    </row>
    <row r="2073" spans="1:63" x14ac:dyDescent="0.3">
      <c r="A2073" s="2">
        <v>2072</v>
      </c>
      <c r="B2073" s="2">
        <f t="shared" ca="1" si="1984"/>
        <v>0.18052755112593399</v>
      </c>
      <c r="C2073" s="2">
        <f t="shared" ca="1" si="1985"/>
        <v>6.6008786085823559</v>
      </c>
      <c r="D2073" s="2">
        <f t="shared" ca="1" si="1986"/>
        <v>0.81527718668012716</v>
      </c>
      <c r="E2073" s="2">
        <f t="shared" ca="1" si="1987"/>
        <v>7.89217960988484</v>
      </c>
      <c r="F2073" s="2">
        <f t="shared" ca="1" si="1988"/>
        <v>7.4444597667900014E-2</v>
      </c>
      <c r="G2073" s="2">
        <f t="shared" ca="1" si="1989"/>
        <v>-3.3039851421225661E-3</v>
      </c>
      <c r="H2073" s="2">
        <f t="shared" ca="1" si="1990"/>
        <v>-3.3039851421225661E-3</v>
      </c>
      <c r="I2073" s="2">
        <f t="shared" ca="1" si="1991"/>
        <v>0.90758741074868965</v>
      </c>
      <c r="J2073" s="2">
        <f t="shared" ca="1" si="1992"/>
        <v>1.6630219169652627E-2</v>
      </c>
      <c r="K2073" s="2">
        <f t="shared" ca="1" si="1993"/>
        <v>1.6630219169652627E-2</v>
      </c>
      <c r="L2073" s="2">
        <f t="shared" ca="1" si="1994"/>
        <v>0.68133121038379096</v>
      </c>
      <c r="M2073" s="2">
        <f t="shared" ca="1" si="1995"/>
        <v>9.4284912421650699E-3</v>
      </c>
      <c r="N2073" s="2">
        <f t="shared" ca="1" si="1996"/>
        <v>9.4284912421650699E-3</v>
      </c>
      <c r="O2073" s="2">
        <f t="shared" si="1997"/>
        <v>6000000</v>
      </c>
      <c r="P2073" s="2">
        <f t="shared" ca="1" si="1998"/>
        <v>39605271.651494138</v>
      </c>
      <c r="Q2073" s="2">
        <f t="shared" ca="1" si="1999"/>
        <v>990131.7912873535</v>
      </c>
      <c r="R2073" s="2">
        <f t="shared" ca="1" si="2000"/>
        <v>23763162.990896482</v>
      </c>
      <c r="S2073" s="2">
        <f t="shared" ca="1" si="2001"/>
        <v>15842108.660597656</v>
      </c>
      <c r="T2073" s="2">
        <f t="shared" ca="1" si="2002"/>
        <v>50471424.562108256</v>
      </c>
      <c r="U2073" s="2">
        <f t="shared" ca="1" si="2003"/>
        <v>50304667.725253291</v>
      </c>
      <c r="V2073" s="2">
        <f t="shared" ca="1" si="2004"/>
        <v>50138461.850509644</v>
      </c>
      <c r="W2073" s="2">
        <f t="shared" ca="1" si="2005"/>
        <v>49972805.117506675</v>
      </c>
      <c r="X2073" s="2">
        <f t="shared" ca="1" si="2006"/>
        <v>49807695.711888246</v>
      </c>
      <c r="Y2073" s="2">
        <f t="shared" ca="1" si="2007"/>
        <v>0.12831510958482631</v>
      </c>
      <c r="Z2073" s="2">
        <f t="shared" ca="1" si="2008"/>
        <v>0.13164115341875685</v>
      </c>
      <c r="AA2073" s="2">
        <f t="shared" ca="1" si="2009"/>
        <v>6476246.3735892149</v>
      </c>
      <c r="AB2073" s="2">
        <f t="shared" ca="1" si="2010"/>
        <v>6622164.4816996548</v>
      </c>
      <c r="AC2073" s="2">
        <f t="shared" ca="1" si="2011"/>
        <v>6600284.9486434273</v>
      </c>
      <c r="AD2073" s="2">
        <f t="shared" ca="1" si="2012"/>
        <v>6578477.7052393332</v>
      </c>
      <c r="AE2073" s="2">
        <f t="shared" ca="1" si="2013"/>
        <v>6556742.5126434378</v>
      </c>
      <c r="AF2073" s="2">
        <f t="shared" ca="1" si="2014"/>
        <v>1009428.4912421651</v>
      </c>
      <c r="AG2073" s="2">
        <f t="shared" ca="1" si="2015"/>
        <v>1006093.3545050658</v>
      </c>
      <c r="AH2073" s="2">
        <f t="shared" ca="1" si="2016"/>
        <v>1002769.2370101929</v>
      </c>
      <c r="AI2073" s="2">
        <f t="shared" ca="1" si="2017"/>
        <v>999456.10235013347</v>
      </c>
      <c r="AJ2073" s="2">
        <f t="shared" ca="1" si="2018"/>
        <v>996153.9142377649</v>
      </c>
      <c r="AK2073" s="2">
        <f t="shared" ca="1" si="2019"/>
        <v>0</v>
      </c>
      <c r="AL2073" s="2">
        <f t="shared" ca="1" si="2020"/>
        <v>0</v>
      </c>
      <c r="AM2073" s="2">
        <f t="shared" ca="1" si="2021"/>
        <v>0</v>
      </c>
      <c r="AN2073" s="2">
        <f t="shared" ca="1" si="2022"/>
        <v>0</v>
      </c>
      <c r="AO2073" s="2">
        <f t="shared" ca="1" si="2023"/>
        <v>0</v>
      </c>
      <c r="AP2073" s="2">
        <f t="shared" ca="1" si="2024"/>
        <v>2138684.6691806833</v>
      </c>
      <c r="AQ2073" s="2">
        <f t="shared" ca="1" si="2025"/>
        <v>865314.63542325539</v>
      </c>
      <c r="AR2073" s="2">
        <f t="shared" ca="1" si="2026"/>
        <v>904120.47908361547</v>
      </c>
      <c r="AS2073" s="2">
        <f t="shared" ca="1" si="2027"/>
        <v>899296.07103766326</v>
      </c>
      <c r="AT2073" s="2">
        <f t="shared" ca="1" si="2028"/>
        <v>894487.60276421427</v>
      </c>
      <c r="AU2073" s="2">
        <f t="shared" ca="1" si="2029"/>
        <v>889695.02159849741</v>
      </c>
      <c r="AV2073" s="2">
        <f t="shared" ca="1" si="2030"/>
        <v>2462818.5777431116</v>
      </c>
      <c r="AW2073" s="2">
        <f t="shared" ca="1" si="2031"/>
        <v>2573265.9789302903</v>
      </c>
      <c r="AX2073" s="2">
        <f t="shared" ca="1" si="2032"/>
        <v>2559534.9714148878</v>
      </c>
      <c r="AY2073" s="2">
        <f t="shared" ca="1" si="2033"/>
        <v>2545849.330944302</v>
      </c>
      <c r="AZ2073" s="2">
        <f t="shared" ca="1" si="2034"/>
        <v>2532208.9076264924</v>
      </c>
      <c r="BA2073" s="2">
        <f t="shared" ca="1" si="2035"/>
        <v>51746989.565549634</v>
      </c>
      <c r="BB2073" s="2">
        <f t="shared" ca="1" si="2036"/>
        <v>1034939.7913109927</v>
      </c>
      <c r="BC2073" s="2">
        <f t="shared" ca="1" si="2037"/>
        <v>26948886.78334216</v>
      </c>
      <c r="BD2073" s="2">
        <f t="shared" ca="1" si="2038"/>
        <v>-17332240.451885011</v>
      </c>
      <c r="BE2073" s="2">
        <f t="shared" ca="1" si="2039"/>
        <v>2462818.5777431116</v>
      </c>
      <c r="BF2073" s="2">
        <f t="shared" ca="1" si="2040"/>
        <v>2573265.9789302903</v>
      </c>
      <c r="BG2073" s="2">
        <f t="shared" ca="1" si="2041"/>
        <v>2559534.9714148878</v>
      </c>
      <c r="BH2073" s="2">
        <f t="shared" ca="1" si="2042"/>
        <v>2545849.330944302</v>
      </c>
      <c r="BI2073" s="2">
        <f t="shared" ca="1" si="2043"/>
        <v>29481095.690968651</v>
      </c>
      <c r="BJ2073" s="2">
        <f t="shared" ca="1" si="2044"/>
        <v>0.21792002197981541</v>
      </c>
      <c r="BK2073" s="2">
        <f t="shared" ca="1" si="2045"/>
        <v>7086221.7325439677</v>
      </c>
    </row>
    <row r="2074" spans="1:63" x14ac:dyDescent="0.3">
      <c r="A2074" s="2">
        <v>2073</v>
      </c>
      <c r="B2074" s="2">
        <f t="shared" ca="1" si="1984"/>
        <v>0.29334392446181523</v>
      </c>
      <c r="C2074" s="2">
        <f t="shared" ca="1" si="1985"/>
        <v>6.7659555136714076</v>
      </c>
      <c r="D2074" s="2">
        <f t="shared" ca="1" si="1986"/>
        <v>0.78386101297085453</v>
      </c>
      <c r="E2074" s="2">
        <f t="shared" ca="1" si="1987"/>
        <v>7.8425215029688875</v>
      </c>
      <c r="F2074" s="2">
        <f t="shared" ca="1" si="1988"/>
        <v>0.66463018625935211</v>
      </c>
      <c r="G2074" s="2">
        <f t="shared" ca="1" si="1989"/>
        <v>5.2753993916445918E-2</v>
      </c>
      <c r="H2074" s="2">
        <f t="shared" ca="1" si="1990"/>
        <v>5.2753993916445918E-2</v>
      </c>
      <c r="I2074" s="2">
        <f t="shared" ca="1" si="1991"/>
        <v>0.35081181303909104</v>
      </c>
      <c r="J2074" s="2">
        <f t="shared" ca="1" si="1992"/>
        <v>8.0843516807489711E-3</v>
      </c>
      <c r="K2074" s="2">
        <f t="shared" ca="1" si="1993"/>
        <v>8.0843516807489711E-3</v>
      </c>
      <c r="L2074" s="2">
        <f t="shared" ca="1" si="1994"/>
        <v>0.75897079121282141</v>
      </c>
      <c r="M2074" s="2">
        <f t="shared" ca="1" si="1995"/>
        <v>1.4059914373664915E-2</v>
      </c>
      <c r="N2074" s="2">
        <f t="shared" ca="1" si="1996"/>
        <v>1.4059914373664915E-2</v>
      </c>
      <c r="O2074" s="2">
        <f t="shared" si="1997"/>
        <v>6000000</v>
      </c>
      <c r="P2074" s="2">
        <f t="shared" ca="1" si="1998"/>
        <v>40595733.082028449</v>
      </c>
      <c r="Q2074" s="2">
        <f t="shared" ca="1" si="1999"/>
        <v>1014893.3270507113</v>
      </c>
      <c r="R2074" s="2">
        <f t="shared" ca="1" si="2000"/>
        <v>24357439.849217068</v>
      </c>
      <c r="S2074" s="2">
        <f t="shared" ca="1" si="2001"/>
        <v>16238293.23281138</v>
      </c>
      <c r="T2074" s="2">
        <f t="shared" ca="1" si="2002"/>
        <v>50702995.718683243</v>
      </c>
      <c r="U2074" s="2">
        <f t="shared" ca="1" si="2003"/>
        <v>53377781.246372238</v>
      </c>
      <c r="V2074" s="2">
        <f t="shared" ca="1" si="2004"/>
        <v>56193672.393516734</v>
      </c>
      <c r="W2074" s="2">
        <f t="shared" ca="1" si="2005"/>
        <v>59158113.045107067</v>
      </c>
      <c r="X2074" s="2">
        <f t="shared" ca="1" si="2006"/>
        <v>62278939.780797064</v>
      </c>
      <c r="Y2074" s="2">
        <f t="shared" ca="1" si="2007"/>
        <v>0.12404217584037448</v>
      </c>
      <c r="Z2074" s="2">
        <f t="shared" ca="1" si="2008"/>
        <v>0.12565904617652426</v>
      </c>
      <c r="AA2074" s="2">
        <f t="shared" ca="1" si="2009"/>
        <v>6289309.9105706615</v>
      </c>
      <c r="AB2074" s="2">
        <f t="shared" ca="1" si="2010"/>
        <v>6707401.0784382997</v>
      </c>
      <c r="AC2074" s="2">
        <f t="shared" ca="1" si="2011"/>
        <v>7061243.2741253963</v>
      </c>
      <c r="AD2074" s="2">
        <f t="shared" ca="1" si="2012"/>
        <v>7433752.0588511517</v>
      </c>
      <c r="AE2074" s="2">
        <f t="shared" ca="1" si="2013"/>
        <v>7825912.1697401525</v>
      </c>
      <c r="AF2074" s="2">
        <f t="shared" ca="1" si="2014"/>
        <v>1014059.9143736649</v>
      </c>
      <c r="AG2074" s="2">
        <f t="shared" ca="1" si="2015"/>
        <v>1067555.6249274448</v>
      </c>
      <c r="AH2074" s="2">
        <f t="shared" ca="1" si="2016"/>
        <v>1123873.4478703346</v>
      </c>
      <c r="AI2074" s="2">
        <f t="shared" ca="1" si="2017"/>
        <v>1183162.2609021415</v>
      </c>
      <c r="AJ2074" s="2">
        <f t="shared" ca="1" si="2018"/>
        <v>1245578.7956159413</v>
      </c>
      <c r="AK2074" s="2">
        <f t="shared" ca="1" si="2019"/>
        <v>0</v>
      </c>
      <c r="AL2074" s="2">
        <f t="shared" ca="1" si="2020"/>
        <v>26747.85527688995</v>
      </c>
      <c r="AM2074" s="2">
        <f t="shared" ca="1" si="2021"/>
        <v>28158.911471444964</v>
      </c>
      <c r="AN2074" s="2">
        <f t="shared" ca="1" si="2022"/>
        <v>29644.406515903323</v>
      </c>
      <c r="AO2074" s="2">
        <f t="shared" ca="1" si="2023"/>
        <v>31208.267356899978</v>
      </c>
      <c r="AP2074" s="2">
        <f t="shared" ca="1" si="2024"/>
        <v>2192169.5864295359</v>
      </c>
      <c r="AQ2074" s="2">
        <f t="shared" ca="1" si="2025"/>
        <v>801600.90653953981</v>
      </c>
      <c r="AR2074" s="2">
        <f t="shared" ca="1" si="2026"/>
        <v>896395.7254411428</v>
      </c>
      <c r="AS2074" s="2">
        <f t="shared" ca="1" si="2027"/>
        <v>973752.06235463673</v>
      </c>
      <c r="AT2074" s="2">
        <f t="shared" ca="1" si="2028"/>
        <v>1055189.2549950634</v>
      </c>
      <c r="AU2074" s="2">
        <f t="shared" ca="1" si="2029"/>
        <v>1140922.5848006157</v>
      </c>
      <c r="AV2074" s="2">
        <f t="shared" ca="1" si="2030"/>
        <v>2281479.5032279207</v>
      </c>
      <c r="AW2074" s="2">
        <f t="shared" ca="1" si="2031"/>
        <v>2524532.2863632855</v>
      </c>
      <c r="AX2074" s="2">
        <f t="shared" ca="1" si="2032"/>
        <v>2743289.2659994443</v>
      </c>
      <c r="AY2074" s="2">
        <f t="shared" ca="1" si="2033"/>
        <v>2973586.5500085079</v>
      </c>
      <c r="AZ2074" s="2">
        <f t="shared" ca="1" si="2034"/>
        <v>3216032.9355371599</v>
      </c>
      <c r="BA2074" s="2">
        <f t="shared" ca="1" si="2035"/>
        <v>61374884.471533045</v>
      </c>
      <c r="BB2074" s="2">
        <f t="shared" ca="1" si="2036"/>
        <v>1227497.689430661</v>
      </c>
      <c r="BC2074" s="2">
        <f t="shared" ca="1" si="2037"/>
        <v>35789946.932885312</v>
      </c>
      <c r="BD2074" s="2">
        <f t="shared" ca="1" si="2038"/>
        <v>-17753186.559862092</v>
      </c>
      <c r="BE2074" s="2">
        <f t="shared" ca="1" si="2039"/>
        <v>2281479.5032279207</v>
      </c>
      <c r="BF2074" s="2">
        <f t="shared" ca="1" si="2040"/>
        <v>2524532.2863632855</v>
      </c>
      <c r="BG2074" s="2">
        <f t="shared" ca="1" si="2041"/>
        <v>2743289.2659994443</v>
      </c>
      <c r="BH2074" s="2">
        <f t="shared" ca="1" si="2042"/>
        <v>2973586.5500085079</v>
      </c>
      <c r="BI2074" s="2">
        <f t="shared" ca="1" si="2043"/>
        <v>39005979.868422471</v>
      </c>
      <c r="BJ2074" s="2">
        <f t="shared" ca="1" si="2044"/>
        <v>0.26820459580538492</v>
      </c>
      <c r="BK2074" s="2">
        <f t="shared" ca="1" si="2045"/>
        <v>12271818.028016564</v>
      </c>
    </row>
    <row r="2075" spans="1:63" x14ac:dyDescent="0.3">
      <c r="A2075" s="2">
        <v>2074</v>
      </c>
      <c r="B2075" s="2">
        <f t="shared" ca="1" si="1984"/>
        <v>0.50520883677492445</v>
      </c>
      <c r="C2075" s="2">
        <f t="shared" ca="1" si="1985"/>
        <v>7.0052224738916991</v>
      </c>
      <c r="D2075" s="2">
        <f t="shared" ca="1" si="1986"/>
        <v>0.37220826161988529</v>
      </c>
      <c r="E2075" s="2">
        <f t="shared" ca="1" si="1987"/>
        <v>7.3627957598642748</v>
      </c>
      <c r="F2075" s="2">
        <f t="shared" ca="1" si="1988"/>
        <v>0.57914121372373151</v>
      </c>
      <c r="G2075" s="2">
        <f t="shared" ca="1" si="1989"/>
        <v>4.5990909525089801E-2</v>
      </c>
      <c r="H2075" s="2">
        <f t="shared" ca="1" si="1990"/>
        <v>4.5990909525089801E-2</v>
      </c>
      <c r="I2075" s="2">
        <f t="shared" ca="1" si="1991"/>
        <v>3.2701263663991731E-2</v>
      </c>
      <c r="J2075" s="2">
        <f t="shared" ca="1" si="1992"/>
        <v>7.8751645020945851E-4</v>
      </c>
      <c r="K2075" s="2">
        <f t="shared" ca="1" si="1993"/>
        <v>7.8751645020945851E-4</v>
      </c>
      <c r="L2075" s="2">
        <f t="shared" ca="1" si="1994"/>
        <v>0.59664012210511042</v>
      </c>
      <c r="M2075" s="2">
        <f t="shared" ca="1" si="1995"/>
        <v>4.8931986164347284E-3</v>
      </c>
      <c r="N2075" s="2">
        <f t="shared" ca="1" si="1996"/>
        <v>4.8931986164347284E-3</v>
      </c>
      <c r="O2075" s="2">
        <f t="shared" si="1997"/>
        <v>6000000</v>
      </c>
      <c r="P2075" s="2">
        <f t="shared" ca="1" si="1998"/>
        <v>42031334.843350194</v>
      </c>
      <c r="Q2075" s="2">
        <f t="shared" ca="1" si="1999"/>
        <v>1050783.3710837548</v>
      </c>
      <c r="R2075" s="2">
        <f t="shared" ca="1" si="2000"/>
        <v>25218800.906010117</v>
      </c>
      <c r="S2075" s="2">
        <f t="shared" ca="1" si="2001"/>
        <v>16812533.937340077</v>
      </c>
      <c r="T2075" s="2">
        <f t="shared" ca="1" si="2002"/>
        <v>50244659.930821732</v>
      </c>
      <c r="U2075" s="2">
        <f t="shared" ca="1" si="2003"/>
        <v>52555457.539819062</v>
      </c>
      <c r="V2075" s="2">
        <f t="shared" ca="1" si="2004"/>
        <v>54972530.832582586</v>
      </c>
      <c r="W2075" s="2">
        <f t="shared" ca="1" si="2005"/>
        <v>57500767.524469107</v>
      </c>
      <c r="X2075" s="2">
        <f t="shared" ca="1" si="2006"/>
        <v>60145280.121310189</v>
      </c>
      <c r="Y2075" s="2">
        <f t="shared" ca="1" si="2007"/>
        <v>0.12039375822510473</v>
      </c>
      <c r="Z2075" s="2">
        <f t="shared" ca="1" si="2008"/>
        <v>0.12055126151514661</v>
      </c>
      <c r="AA2075" s="2">
        <f t="shared" ca="1" si="2009"/>
        <v>6049143.4398139585</v>
      </c>
      <c r="AB2075" s="2">
        <f t="shared" ca="1" si="2010"/>
        <v>6335626.7059309119</v>
      </c>
      <c r="AC2075" s="2">
        <f t="shared" ca="1" si="2011"/>
        <v>6627007.9405481238</v>
      </c>
      <c r="AD2075" s="2">
        <f t="shared" ca="1" si="2012"/>
        <v>6931790.063163925</v>
      </c>
      <c r="AE2075" s="2">
        <f t="shared" ca="1" si="2013"/>
        <v>7250589.3928058138</v>
      </c>
      <c r="AF2075" s="2">
        <f t="shared" ca="1" si="2014"/>
        <v>1004893.1986164347</v>
      </c>
      <c r="AG2075" s="2">
        <f t="shared" ca="1" si="2015"/>
        <v>1051109.1507963813</v>
      </c>
      <c r="AH2075" s="2">
        <f t="shared" ca="1" si="2016"/>
        <v>1099450.6166516517</v>
      </c>
      <c r="AI2075" s="2">
        <f t="shared" ca="1" si="2017"/>
        <v>1150015.3504893822</v>
      </c>
      <c r="AJ2075" s="2">
        <f t="shared" ca="1" si="2018"/>
        <v>1202905.6024262039</v>
      </c>
      <c r="AK2075" s="2">
        <f t="shared" ca="1" si="2019"/>
        <v>0</v>
      </c>
      <c r="AL2075" s="2">
        <f t="shared" ca="1" si="2020"/>
        <v>23107.976089973301</v>
      </c>
      <c r="AM2075" s="2">
        <f t="shared" ca="1" si="2021"/>
        <v>24170.732927635239</v>
      </c>
      <c r="AN2075" s="2">
        <f t="shared" ca="1" si="2022"/>
        <v>25282.36691886522</v>
      </c>
      <c r="AO2075" s="2">
        <f t="shared" ca="1" si="2023"/>
        <v>26445.125968410819</v>
      </c>
      <c r="AP2075" s="2">
        <f t="shared" ca="1" si="2024"/>
        <v>2269692.0815409105</v>
      </c>
      <c r="AQ2075" s="2">
        <f t="shared" ca="1" si="2025"/>
        <v>721385.12151071941</v>
      </c>
      <c r="AR2075" s="2">
        <f t="shared" ca="1" si="2026"/>
        <v>783854.62313434132</v>
      </c>
      <c r="AS2075" s="2">
        <f t="shared" ca="1" si="2027"/>
        <v>847044.96301244607</v>
      </c>
      <c r="AT2075" s="2">
        <f t="shared" ca="1" si="2028"/>
        <v>913141.48409474455</v>
      </c>
      <c r="AU2075" s="2">
        <f t="shared" ca="1" si="2029"/>
        <v>982277.84429806191</v>
      </c>
      <c r="AV2075" s="2">
        <f t="shared" ca="1" si="2030"/>
        <v>2053173.0381458942</v>
      </c>
      <c r="AW2075" s="2">
        <f t="shared" ca="1" si="2031"/>
        <v>2207862.8743693065</v>
      </c>
      <c r="AX2075" s="2">
        <f t="shared" ca="1" si="2032"/>
        <v>2386649.5464154808</v>
      </c>
      <c r="AY2075" s="2">
        <f t="shared" ca="1" si="2033"/>
        <v>2573658.7801200226</v>
      </c>
      <c r="AZ2075" s="2">
        <f t="shared" ca="1" si="2034"/>
        <v>2769268.7385722268</v>
      </c>
      <c r="BA2075" s="2">
        <f t="shared" ca="1" si="2035"/>
        <v>53384608.837867536</v>
      </c>
      <c r="BB2075" s="2">
        <f t="shared" ca="1" si="2036"/>
        <v>1067692.1767573508</v>
      </c>
      <c r="BC2075" s="2">
        <f t="shared" ca="1" si="2037"/>
        <v>27098115.755100068</v>
      </c>
      <c r="BD2075" s="2">
        <f t="shared" ca="1" si="2038"/>
        <v>-18363317.308423832</v>
      </c>
      <c r="BE2075" s="2">
        <f t="shared" ca="1" si="2039"/>
        <v>2053173.0381458942</v>
      </c>
      <c r="BF2075" s="2">
        <f t="shared" ca="1" si="2040"/>
        <v>2207862.8743693065</v>
      </c>
      <c r="BG2075" s="2">
        <f t="shared" ca="1" si="2041"/>
        <v>2386649.5464154808</v>
      </c>
      <c r="BH2075" s="2">
        <f t="shared" ca="1" si="2042"/>
        <v>2573658.7801200226</v>
      </c>
      <c r="BI2075" s="2">
        <f t="shared" ca="1" si="2043"/>
        <v>29867384.493672296</v>
      </c>
      <c r="BJ2075" s="2">
        <f t="shared" ca="1" si="2044"/>
        <v>0.19212926120720319</v>
      </c>
      <c r="BK2075" s="2">
        <f t="shared" ca="1" si="2045"/>
        <v>5511900.4299117289</v>
      </c>
    </row>
    <row r="2076" spans="1:63" x14ac:dyDescent="0.3">
      <c r="A2076" s="2">
        <v>2075</v>
      </c>
      <c r="B2076" s="2">
        <f t="shared" ca="1" si="1984"/>
        <v>0.91946920328681125</v>
      </c>
      <c r="C2076" s="2">
        <f t="shared" ca="1" si="1985"/>
        <v>7.598675202078943</v>
      </c>
      <c r="D2076" s="2">
        <f t="shared" ca="1" si="1986"/>
        <v>0.91497830414582426</v>
      </c>
      <c r="E2076" s="2">
        <f t="shared" ca="1" si="1987"/>
        <v>8.0876368206200375</v>
      </c>
      <c r="F2076" s="2">
        <f t="shared" ca="1" si="1988"/>
        <v>0.46224094382910375</v>
      </c>
      <c r="G2076" s="2">
        <f t="shared" ca="1" si="1989"/>
        <v>3.7156309733306359E-2</v>
      </c>
      <c r="H2076" s="2">
        <f t="shared" ca="1" si="1990"/>
        <v>3.7156309733306359E-2</v>
      </c>
      <c r="I2076" s="2">
        <f t="shared" ca="1" si="1991"/>
        <v>7.6823534493561274E-2</v>
      </c>
      <c r="J2076" s="2">
        <f t="shared" ca="1" si="1992"/>
        <v>2.8661650498137525E-3</v>
      </c>
      <c r="K2076" s="2">
        <f t="shared" ca="1" si="1993"/>
        <v>2.8661650498137525E-3</v>
      </c>
      <c r="L2076" s="2">
        <f t="shared" ca="1" si="1994"/>
        <v>0.78660524442101087</v>
      </c>
      <c r="M2076" s="2">
        <f t="shared" ca="1" si="1995"/>
        <v>1.5893949168103601E-2</v>
      </c>
      <c r="N2076" s="2">
        <f t="shared" ca="1" si="1996"/>
        <v>1.5893949168103601E-2</v>
      </c>
      <c r="O2076" s="2">
        <f t="shared" si="1997"/>
        <v>6000000</v>
      </c>
      <c r="P2076" s="2">
        <f t="shared" ca="1" si="1998"/>
        <v>45592051.212473661</v>
      </c>
      <c r="Q2076" s="2">
        <f t="shared" ca="1" si="1999"/>
        <v>1139801.2803118415</v>
      </c>
      <c r="R2076" s="2">
        <f t="shared" ca="1" si="2000"/>
        <v>27355230.727484196</v>
      </c>
      <c r="S2076" s="2">
        <f t="shared" ca="1" si="2001"/>
        <v>18236820.484989464</v>
      </c>
      <c r="T2076" s="2">
        <f t="shared" ca="1" si="2002"/>
        <v>50794697.458405182</v>
      </c>
      <c r="U2076" s="2">
        <f t="shared" ca="1" si="2003"/>
        <v>52682040.969979271</v>
      </c>
      <c r="V2076" s="2">
        <f t="shared" ca="1" si="2004"/>
        <v>54639511.201642551</v>
      </c>
      <c r="W2076" s="2">
        <f t="shared" ca="1" si="2005"/>
        <v>56669713.803527243</v>
      </c>
      <c r="X2076" s="2">
        <f t="shared" ca="1" si="2006"/>
        <v>58775351.242108926</v>
      </c>
      <c r="Y2076" s="2">
        <f t="shared" ca="1" si="2007"/>
        <v>0.12143308252490687</v>
      </c>
      <c r="Z2076" s="2">
        <f t="shared" ca="1" si="2008"/>
        <v>0.12200631553486962</v>
      </c>
      <c r="AA2076" s="2">
        <f t="shared" ca="1" si="2009"/>
        <v>6168156.6882941937</v>
      </c>
      <c r="AB2076" s="2">
        <f t="shared" ca="1" si="2010"/>
        <v>6427541.7136042202</v>
      </c>
      <c r="AC2076" s="2">
        <f t="shared" ca="1" si="2011"/>
        <v>6666365.4443386449</v>
      </c>
      <c r="AD2076" s="2">
        <f t="shared" ca="1" si="2012"/>
        <v>6914062.9835839011</v>
      </c>
      <c r="AE2076" s="2">
        <f t="shared" ca="1" si="2013"/>
        <v>7170964.0493175332</v>
      </c>
      <c r="AF2076" s="2">
        <f t="shared" ca="1" si="2014"/>
        <v>1015893.9491681036</v>
      </c>
      <c r="AG2076" s="2">
        <f t="shared" ca="1" si="2015"/>
        <v>1053640.8193995855</v>
      </c>
      <c r="AH2076" s="2">
        <f t="shared" ca="1" si="2016"/>
        <v>1092790.2240328509</v>
      </c>
      <c r="AI2076" s="2">
        <f t="shared" ca="1" si="2017"/>
        <v>1133394.276070545</v>
      </c>
      <c r="AJ2076" s="2">
        <f t="shared" ca="1" si="2018"/>
        <v>1175507.0248421784</v>
      </c>
      <c r="AK2076" s="2">
        <f t="shared" ca="1" si="2019"/>
        <v>0</v>
      </c>
      <c r="AL2076" s="2">
        <f t="shared" ca="1" si="2020"/>
        <v>18873.435115740896</v>
      </c>
      <c r="AM2076" s="2">
        <f t="shared" ca="1" si="2021"/>
        <v>19574.702316632793</v>
      </c>
      <c r="AN2076" s="2">
        <f t="shared" ca="1" si="2022"/>
        <v>20302.026018846929</v>
      </c>
      <c r="AO2076" s="2">
        <f t="shared" ca="1" si="2023"/>
        <v>21056.374385816827</v>
      </c>
      <c r="AP2076" s="2">
        <f t="shared" ca="1" si="2024"/>
        <v>2461970.7654735777</v>
      </c>
      <c r="AQ2076" s="2">
        <f t="shared" ca="1" si="2025"/>
        <v>699475.91314965324</v>
      </c>
      <c r="AR2076" s="2">
        <f t="shared" ca="1" si="2026"/>
        <v>757101.83347007493</v>
      </c>
      <c r="AS2076" s="2">
        <f t="shared" ca="1" si="2027"/>
        <v>809017.15825637628</v>
      </c>
      <c r="AT2076" s="2">
        <f t="shared" ca="1" si="2028"/>
        <v>862861.46493034251</v>
      </c>
      <c r="AU2076" s="2">
        <f t="shared" ca="1" si="2029"/>
        <v>918706.42734046211</v>
      </c>
      <c r="AV2076" s="2">
        <f t="shared" ca="1" si="2030"/>
        <v>1990816.0605028593</v>
      </c>
      <c r="AW2076" s="2">
        <f t="shared" ca="1" si="2031"/>
        <v>2135954.8601452415</v>
      </c>
      <c r="AX2076" s="2">
        <f t="shared" ca="1" si="2032"/>
        <v>2283012.5942592076</v>
      </c>
      <c r="AY2076" s="2">
        <f t="shared" ca="1" si="2033"/>
        <v>2435534.4510905896</v>
      </c>
      <c r="AZ2076" s="2">
        <f t="shared" ca="1" si="2034"/>
        <v>2593723.4572754982</v>
      </c>
      <c r="BA2076" s="2">
        <f t="shared" ca="1" si="2035"/>
        <v>57996152.884603046</v>
      </c>
      <c r="BB2076" s="2">
        <f t="shared" ca="1" si="2036"/>
        <v>1159923.0576920609</v>
      </c>
      <c r="BC2076" s="2">
        <f t="shared" ca="1" si="2037"/>
        <v>29480999.099426787</v>
      </c>
      <c r="BD2076" s="2">
        <f t="shared" ca="1" si="2038"/>
        <v>-19876621.765301306</v>
      </c>
      <c r="BE2076" s="2">
        <f t="shared" ca="1" si="2039"/>
        <v>1990816.0605028593</v>
      </c>
      <c r="BF2076" s="2">
        <f t="shared" ca="1" si="2040"/>
        <v>2135954.8601452415</v>
      </c>
      <c r="BG2076" s="2">
        <f t="shared" ca="1" si="2041"/>
        <v>2283012.5942592076</v>
      </c>
      <c r="BH2076" s="2">
        <f t="shared" ca="1" si="2042"/>
        <v>2435534.4510905896</v>
      </c>
      <c r="BI2076" s="2">
        <f t="shared" ca="1" si="2043"/>
        <v>32074722.556702286</v>
      </c>
      <c r="BJ2076" s="2">
        <f t="shared" ca="1" si="2044"/>
        <v>0.18014620624290978</v>
      </c>
      <c r="BK2076" s="2">
        <f t="shared" ca="1" si="2045"/>
        <v>4976551.1244113371</v>
      </c>
    </row>
    <row r="2077" spans="1:63" x14ac:dyDescent="0.3">
      <c r="A2077" s="2">
        <v>2076</v>
      </c>
      <c r="B2077" s="2">
        <f t="shared" ca="1" si="1984"/>
        <v>0.88781263337370808</v>
      </c>
      <c r="C2077" s="2">
        <f t="shared" ca="1" si="1985"/>
        <v>7.5263178985304764</v>
      </c>
      <c r="D2077" s="2">
        <f t="shared" ca="1" si="1986"/>
        <v>3.8023049149268129E-2</v>
      </c>
      <c r="E2077" s="2">
        <f t="shared" ca="1" si="1987"/>
        <v>6.775764570419291</v>
      </c>
      <c r="F2077" s="2">
        <f t="shared" ca="1" si="1988"/>
        <v>0.36289956263009493</v>
      </c>
      <c r="G2077" s="2">
        <f t="shared" ca="1" si="1989"/>
        <v>2.947842821249063E-2</v>
      </c>
      <c r="H2077" s="2">
        <f t="shared" ca="1" si="1990"/>
        <v>2.947842821249063E-2</v>
      </c>
      <c r="I2077" s="2">
        <f t="shared" ca="1" si="1991"/>
        <v>0.3863877998704387</v>
      </c>
      <c r="J2077" s="2">
        <f t="shared" ca="1" si="1992"/>
        <v>8.5562689637343828E-3</v>
      </c>
      <c r="K2077" s="2">
        <f t="shared" ca="1" si="1993"/>
        <v>8.5562689637343828E-3</v>
      </c>
      <c r="L2077" s="2">
        <f t="shared" ca="1" si="1994"/>
        <v>7.6204599506082271E-2</v>
      </c>
      <c r="M2077" s="2">
        <f t="shared" ca="1" si="1995"/>
        <v>-2.8621466665068734E-2</v>
      </c>
      <c r="N2077" s="2">
        <f t="shared" ca="1" si="1996"/>
        <v>-2.8621466665068734E-2</v>
      </c>
      <c r="O2077" s="2">
        <f t="shared" si="1997"/>
        <v>6000000</v>
      </c>
      <c r="P2077" s="2">
        <f t="shared" ca="1" si="1998"/>
        <v>45157907.391182855</v>
      </c>
      <c r="Q2077" s="2">
        <f t="shared" ca="1" si="1999"/>
        <v>1128947.6847795714</v>
      </c>
      <c r="R2077" s="2">
        <f t="shared" ca="1" si="2000"/>
        <v>27094744.434709713</v>
      </c>
      <c r="S2077" s="2">
        <f t="shared" ca="1" si="2001"/>
        <v>18063162.956473142</v>
      </c>
      <c r="T2077" s="2">
        <f t="shared" ca="1" si="2002"/>
        <v>48568926.666746564</v>
      </c>
      <c r="U2077" s="2">
        <f t="shared" ca="1" si="2003"/>
        <v>50000662.284849979</v>
      </c>
      <c r="V2077" s="2">
        <f t="shared" ca="1" si="2004"/>
        <v>51474603.218590923</v>
      </c>
      <c r="W2077" s="2">
        <f t="shared" ca="1" si="2005"/>
        <v>52991993.614336595</v>
      </c>
      <c r="X2077" s="2">
        <f t="shared" ca="1" si="2006"/>
        <v>54554114.293933578</v>
      </c>
      <c r="Y2077" s="2">
        <f t="shared" ca="1" si="2007"/>
        <v>0.12427813448186718</v>
      </c>
      <c r="Z2077" s="2">
        <f t="shared" ca="1" si="2008"/>
        <v>0.12598938827461406</v>
      </c>
      <c r="AA2077" s="2">
        <f t="shared" ca="1" si="2009"/>
        <v>6036055.5999298748</v>
      </c>
      <c r="AB2077" s="2">
        <f t="shared" ca="1" si="2010"/>
        <v>6299552.8545938153</v>
      </c>
      <c r="AC2077" s="2">
        <f t="shared" ca="1" si="2011"/>
        <v>6485253.7711887509</v>
      </c>
      <c r="AD2077" s="2">
        <f t="shared" ca="1" si="2012"/>
        <v>6676428.8589225225</v>
      </c>
      <c r="AE2077" s="2">
        <f t="shared" ca="1" si="2013"/>
        <v>6873239.4877560707</v>
      </c>
      <c r="AF2077" s="2">
        <f t="shared" ca="1" si="2014"/>
        <v>971378.53333493136</v>
      </c>
      <c r="AG2077" s="2">
        <f t="shared" ca="1" si="2015"/>
        <v>1000013.2456969996</v>
      </c>
      <c r="AH2077" s="2">
        <f t="shared" ca="1" si="2016"/>
        <v>1029492.0643718184</v>
      </c>
      <c r="AI2077" s="2">
        <f t="shared" ca="1" si="2017"/>
        <v>1059839.8722867318</v>
      </c>
      <c r="AJ2077" s="2">
        <f t="shared" ca="1" si="2018"/>
        <v>1091082.2858786716</v>
      </c>
      <c r="AK2077" s="2">
        <f t="shared" ca="1" si="2019"/>
        <v>0</v>
      </c>
      <c r="AL2077" s="2">
        <f t="shared" ca="1" si="2020"/>
        <v>14317.356181034149</v>
      </c>
      <c r="AM2077" s="2">
        <f t="shared" ca="1" si="2021"/>
        <v>14739.409337409437</v>
      </c>
      <c r="AN2077" s="2">
        <f t="shared" ca="1" si="2022"/>
        <v>15173.903957456723</v>
      </c>
      <c r="AO2077" s="2">
        <f t="shared" ca="1" si="2023"/>
        <v>15621.206795969829</v>
      </c>
      <c r="AP2077" s="2">
        <f t="shared" ca="1" si="2024"/>
        <v>2438526.9991238741</v>
      </c>
      <c r="AQ2077" s="2">
        <f t="shared" ca="1" si="2025"/>
        <v>682799.01754247805</v>
      </c>
      <c r="AR2077" s="2">
        <f t="shared" ca="1" si="2026"/>
        <v>743863.27854096494</v>
      </c>
      <c r="AS2077" s="2">
        <f t="shared" ca="1" si="2027"/>
        <v>784481.02400019509</v>
      </c>
      <c r="AT2077" s="2">
        <f t="shared" ca="1" si="2028"/>
        <v>826296.11675309844</v>
      </c>
      <c r="AU2077" s="2">
        <f t="shared" ca="1" si="2029"/>
        <v>869343.85271591658</v>
      </c>
      <c r="AV2077" s="2">
        <f t="shared" ca="1" si="2030"/>
        <v>1943351.0499285916</v>
      </c>
      <c r="AW2077" s="2">
        <f t="shared" ca="1" si="2031"/>
        <v>2102831.975050943</v>
      </c>
      <c r="AX2077" s="2">
        <f t="shared" ca="1" si="2032"/>
        <v>2218014.2743554534</v>
      </c>
      <c r="AY2077" s="2">
        <f t="shared" ca="1" si="2033"/>
        <v>2336591.9668013621</v>
      </c>
      <c r="AZ2077" s="2">
        <f t="shared" ca="1" si="2034"/>
        <v>2458665.1432416383</v>
      </c>
      <c r="BA2077" s="2">
        <f t="shared" ca="1" si="2035"/>
        <v>46571452.605144419</v>
      </c>
      <c r="BB2077" s="2">
        <f t="shared" ca="1" si="2036"/>
        <v>931429.05210288835</v>
      </c>
      <c r="BC2077" s="2">
        <f t="shared" ca="1" si="2037"/>
        <v>18545279.118331816</v>
      </c>
      <c r="BD2077" s="2">
        <f t="shared" ca="1" si="2038"/>
        <v>-19692110.641252711</v>
      </c>
      <c r="BE2077" s="2">
        <f t="shared" ca="1" si="2039"/>
        <v>1943351.0499285916</v>
      </c>
      <c r="BF2077" s="2">
        <f t="shared" ca="1" si="2040"/>
        <v>2102831.975050943</v>
      </c>
      <c r="BG2077" s="2">
        <f t="shared" ca="1" si="2041"/>
        <v>2218014.2743554534</v>
      </c>
      <c r="BH2077" s="2">
        <f t="shared" ca="1" si="2042"/>
        <v>2336591.9668013621</v>
      </c>
      <c r="BI2077" s="2">
        <f t="shared" ca="1" si="2043"/>
        <v>21003944.261573456</v>
      </c>
      <c r="BJ2077" s="2">
        <f t="shared" ca="1" si="2044"/>
        <v>0.10157354290276266</v>
      </c>
      <c r="BK2077" s="2">
        <f t="shared" ca="1" si="2045"/>
        <v>-1298723.7625703961</v>
      </c>
    </row>
    <row r="2078" spans="1:63" x14ac:dyDescent="0.3">
      <c r="A2078" s="2">
        <v>2077</v>
      </c>
      <c r="B2078" s="2">
        <f t="shared" ca="1" si="1984"/>
        <v>0.34809101054975633</v>
      </c>
      <c r="C2078" s="2">
        <f t="shared" ca="1" si="1985"/>
        <v>6.8343752279996766</v>
      </c>
      <c r="D2078" s="2">
        <f t="shared" ca="1" si="1986"/>
        <v>0.63743968880550039</v>
      </c>
      <c r="E2078" s="2">
        <f t="shared" ca="1" si="1987"/>
        <v>7.6484598527438656</v>
      </c>
      <c r="F2078" s="2">
        <f t="shared" ca="1" si="1988"/>
        <v>0.18063572881591017</v>
      </c>
      <c r="G2078" s="2">
        <f t="shared" ca="1" si="1989"/>
        <v>1.2611649366202078E-2</v>
      </c>
      <c r="H2078" s="2">
        <f t="shared" ca="1" si="1990"/>
        <v>1.2611649366202078E-2</v>
      </c>
      <c r="I2078" s="2">
        <f t="shared" ca="1" si="1991"/>
        <v>0.28906462976796632</v>
      </c>
      <c r="J2078" s="2">
        <f t="shared" ca="1" si="1992"/>
        <v>7.219403188490587E-3</v>
      </c>
      <c r="K2078" s="2">
        <f t="shared" ca="1" si="1993"/>
        <v>7.219403188490587E-3</v>
      </c>
      <c r="L2078" s="2">
        <f t="shared" ca="1" si="1994"/>
        <v>0.20745141628245356</v>
      </c>
      <c r="M2078" s="2">
        <f t="shared" ca="1" si="1995"/>
        <v>-1.6305922281753503E-2</v>
      </c>
      <c r="N2078" s="2">
        <f t="shared" ca="1" si="1996"/>
        <v>-1.6305922281753503E-2</v>
      </c>
      <c r="O2078" s="2">
        <f t="shared" si="1997"/>
        <v>6000000</v>
      </c>
      <c r="P2078" s="2">
        <f t="shared" ca="1" si="1998"/>
        <v>41006251.367998056</v>
      </c>
      <c r="Q2078" s="2">
        <f t="shared" ca="1" si="1999"/>
        <v>1025156.2841999514</v>
      </c>
      <c r="R2078" s="2">
        <f t="shared" ca="1" si="2000"/>
        <v>24603750.820798833</v>
      </c>
      <c r="S2078" s="2">
        <f t="shared" ca="1" si="2001"/>
        <v>16402500.547199223</v>
      </c>
      <c r="T2078" s="2">
        <f t="shared" ca="1" si="2002"/>
        <v>49184703.885912322</v>
      </c>
      <c r="U2078" s="2">
        <f t="shared" ca="1" si="2003"/>
        <v>49805004.125501923</v>
      </c>
      <c r="V2078" s="2">
        <f t="shared" ca="1" si="2004"/>
        <v>50433127.374214999</v>
      </c>
      <c r="W2078" s="2">
        <f t="shared" ca="1" si="2005"/>
        <v>51069172.293099605</v>
      </c>
      <c r="X2078" s="2">
        <f t="shared" ca="1" si="2006"/>
        <v>51713238.787482336</v>
      </c>
      <c r="Y2078" s="2">
        <f t="shared" ca="1" si="2007"/>
        <v>0.12360970159424529</v>
      </c>
      <c r="Z2078" s="2">
        <f t="shared" ca="1" si="2008"/>
        <v>0.12505358223194341</v>
      </c>
      <c r="AA2078" s="2">
        <f t="shared" ca="1" si="2009"/>
        <v>6079706.5703389393</v>
      </c>
      <c r="AB2078" s="2">
        <f t="shared" ca="1" si="2010"/>
        <v>6228294.1789707355</v>
      </c>
      <c r="AC2078" s="2">
        <f t="shared" ca="1" si="2011"/>
        <v>6306843.2413054714</v>
      </c>
      <c r="AD2078" s="2">
        <f t="shared" ca="1" si="2012"/>
        <v>6386382.9368724171</v>
      </c>
      <c r="AE2078" s="2">
        <f t="shared" ca="1" si="2013"/>
        <v>6466925.7591905473</v>
      </c>
      <c r="AF2078" s="2">
        <f t="shared" ca="1" si="2014"/>
        <v>983694.0777182465</v>
      </c>
      <c r="AG2078" s="2">
        <f t="shared" ca="1" si="2015"/>
        <v>996100.08251003851</v>
      </c>
      <c r="AH2078" s="2">
        <f t="shared" ca="1" si="2016"/>
        <v>1008662.5474843</v>
      </c>
      <c r="AI2078" s="2">
        <f t="shared" ca="1" si="2017"/>
        <v>1021383.4458619921</v>
      </c>
      <c r="AJ2078" s="2">
        <f t="shared" ca="1" si="2018"/>
        <v>1034264.7757496467</v>
      </c>
      <c r="AK2078" s="2">
        <f t="shared" ca="1" si="2019"/>
        <v>0</v>
      </c>
      <c r="AL2078" s="2">
        <f t="shared" ca="1" si="2020"/>
        <v>6203.0023958960173</v>
      </c>
      <c r="AM2078" s="2">
        <f t="shared" ca="1" si="2021"/>
        <v>6281.232487130761</v>
      </c>
      <c r="AN2078" s="2">
        <f t="shared" ca="1" si="2022"/>
        <v>6360.4491888460516</v>
      </c>
      <c r="AO2078" s="2">
        <f t="shared" ca="1" si="2023"/>
        <v>6440.6649438273162</v>
      </c>
      <c r="AP2078" s="2">
        <f t="shared" ca="1" si="2024"/>
        <v>2214337.5738718947</v>
      </c>
      <c r="AQ2078" s="2">
        <f t="shared" ca="1" si="2025"/>
        <v>749235.47887468745</v>
      </c>
      <c r="AR2078" s="2">
        <f t="shared" ca="1" si="2026"/>
        <v>784642.69587308867</v>
      </c>
      <c r="AS2078" s="2">
        <f t="shared" ca="1" si="2027"/>
        <v>801799.21118681191</v>
      </c>
      <c r="AT2078" s="2">
        <f t="shared" ca="1" si="2028"/>
        <v>819172.09845601779</v>
      </c>
      <c r="AU2078" s="2">
        <f t="shared" ca="1" si="2029"/>
        <v>836764.08648794144</v>
      </c>
      <c r="AV2078" s="2">
        <f t="shared" ca="1" si="2030"/>
        <v>2132439.4398741107</v>
      </c>
      <c r="AW2078" s="2">
        <f t="shared" ca="1" si="2031"/>
        <v>2227010.8243198181</v>
      </c>
      <c r="AX2078" s="2">
        <f t="shared" ca="1" si="2032"/>
        <v>2275762.6762753334</v>
      </c>
      <c r="AY2078" s="2">
        <f t="shared" ca="1" si="2033"/>
        <v>2325129.3694936661</v>
      </c>
      <c r="AZ2078" s="2">
        <f t="shared" ca="1" si="2034"/>
        <v>2375118.6581372367</v>
      </c>
      <c r="BA2078" s="2">
        <f t="shared" ca="1" si="2035"/>
        <v>49462022.039844044</v>
      </c>
      <c r="BB2078" s="2">
        <f t="shared" ca="1" si="2036"/>
        <v>989240.44079688087</v>
      </c>
      <c r="BC2078" s="2">
        <f t="shared" ca="1" si="2037"/>
        <v>23869030.778248329</v>
      </c>
      <c r="BD2078" s="2">
        <f t="shared" ca="1" si="2038"/>
        <v>-17927656.831399176</v>
      </c>
      <c r="BE2078" s="2">
        <f t="shared" ca="1" si="2039"/>
        <v>2132439.4398741107</v>
      </c>
      <c r="BF2078" s="2">
        <f t="shared" ca="1" si="2040"/>
        <v>2227010.8243198181</v>
      </c>
      <c r="BG2078" s="2">
        <f t="shared" ca="1" si="2041"/>
        <v>2275762.6762753334</v>
      </c>
      <c r="BH2078" s="2">
        <f t="shared" ca="1" si="2042"/>
        <v>2325129.3694936661</v>
      </c>
      <c r="BI2078" s="2">
        <f t="shared" ca="1" si="2043"/>
        <v>26244149.436385565</v>
      </c>
      <c r="BJ2078" s="2">
        <f t="shared" ca="1" si="2044"/>
        <v>0.17244045192110447</v>
      </c>
      <c r="BK2078" s="2">
        <f t="shared" ca="1" si="2045"/>
        <v>3740806.2149146423</v>
      </c>
    </row>
    <row r="2079" spans="1:63" x14ac:dyDescent="0.3">
      <c r="A2079" s="2">
        <v>2078</v>
      </c>
      <c r="B2079" s="2">
        <f t="shared" ca="1" si="1984"/>
        <v>2.3439852765851588E-2</v>
      </c>
      <c r="C2079" s="2">
        <f t="shared" ca="1" si="1985"/>
        <v>6.2165172176333865</v>
      </c>
      <c r="D2079" s="2">
        <f t="shared" ca="1" si="1986"/>
        <v>0.12404144194553579</v>
      </c>
      <c r="E2079" s="2">
        <f t="shared" ca="1" si="1987"/>
        <v>6.9980791943969063</v>
      </c>
      <c r="F2079" s="2">
        <f t="shared" ca="1" si="1988"/>
        <v>0.23768318348580042</v>
      </c>
      <c r="G2079" s="2">
        <f t="shared" ca="1" si="1989"/>
        <v>1.8586752232414128E-2</v>
      </c>
      <c r="H2079" s="2">
        <f t="shared" ca="1" si="1990"/>
        <v>1.8586752232414128E-2</v>
      </c>
      <c r="I2079" s="2">
        <f t="shared" ca="1" si="1991"/>
        <v>0.86953722062933214</v>
      </c>
      <c r="J2079" s="2">
        <f t="shared" ca="1" si="1992"/>
        <v>1.5621031012971083E-2</v>
      </c>
      <c r="K2079" s="2">
        <f t="shared" ca="1" si="1993"/>
        <v>1.5621031012971083E-2</v>
      </c>
      <c r="L2079" s="2">
        <f t="shared" ca="1" si="1994"/>
        <v>4.8057667942370319E-2</v>
      </c>
      <c r="M2079" s="2">
        <f t="shared" ca="1" si="1995"/>
        <v>-3.3279709121201158E-2</v>
      </c>
      <c r="N2079" s="2">
        <f t="shared" ca="1" si="1996"/>
        <v>-3.3279709121201158E-2</v>
      </c>
      <c r="O2079" s="2">
        <f t="shared" si="1997"/>
        <v>6000000</v>
      </c>
      <c r="P2079" s="2">
        <f t="shared" ca="1" si="1998"/>
        <v>37299103.305800319</v>
      </c>
      <c r="Q2079" s="2">
        <f t="shared" ca="1" si="1999"/>
        <v>932477.58264500799</v>
      </c>
      <c r="R2079" s="2">
        <f t="shared" ca="1" si="2000"/>
        <v>22379461.983480189</v>
      </c>
      <c r="S2079" s="2">
        <f t="shared" ca="1" si="2001"/>
        <v>14919641.322320128</v>
      </c>
      <c r="T2079" s="2">
        <f t="shared" ca="1" si="2002"/>
        <v>48336014.543939941</v>
      </c>
      <c r="U2079" s="2">
        <f t="shared" ca="1" si="2003"/>
        <v>49234424.070170522</v>
      </c>
      <c r="V2079" s="2">
        <f t="shared" ca="1" si="2004"/>
        <v>50149532.111668386</v>
      </c>
      <c r="W2079" s="2">
        <f t="shared" ca="1" si="2005"/>
        <v>51081649.039599463</v>
      </c>
      <c r="X2079" s="2">
        <f t="shared" ca="1" si="2006"/>
        <v>52031090.99392163</v>
      </c>
      <c r="Y2079" s="2">
        <f t="shared" ca="1" si="2007"/>
        <v>0.12781051550648553</v>
      </c>
      <c r="Z2079" s="2">
        <f t="shared" ca="1" si="2008"/>
        <v>0.13093472170907974</v>
      </c>
      <c r="AA2079" s="2">
        <f t="shared" ca="1" si="2009"/>
        <v>6177850.9363899464</v>
      </c>
      <c r="AB2079" s="2">
        <f t="shared" ca="1" si="2010"/>
        <v>6446495.6141345948</v>
      </c>
      <c r="AC2079" s="2">
        <f t="shared" ca="1" si="2011"/>
        <v>6566315.0308818584</v>
      </c>
      <c r="AD2079" s="2">
        <f t="shared" ca="1" si="2012"/>
        <v>6688361.5014408361</v>
      </c>
      <c r="AE2079" s="2">
        <f t="shared" ca="1" si="2013"/>
        <v>6812676.419508934</v>
      </c>
      <c r="AF2079" s="2">
        <f t="shared" ca="1" si="2014"/>
        <v>966720.29087879881</v>
      </c>
      <c r="AG2079" s="2">
        <f t="shared" ca="1" si="2015"/>
        <v>984688.48140341043</v>
      </c>
      <c r="AH2079" s="2">
        <f t="shared" ca="1" si="2016"/>
        <v>1002990.6422333678</v>
      </c>
      <c r="AI2079" s="2">
        <f t="shared" ca="1" si="2017"/>
        <v>1021632.9807919892</v>
      </c>
      <c r="AJ2079" s="2">
        <f t="shared" ca="1" si="2018"/>
        <v>1040621.8198784327</v>
      </c>
      <c r="AK2079" s="2">
        <f t="shared" ca="1" si="2019"/>
        <v>0</v>
      </c>
      <c r="AL2079" s="2">
        <f t="shared" ca="1" si="2020"/>
        <v>8984.095262305811</v>
      </c>
      <c r="AM2079" s="2">
        <f t="shared" ca="1" si="2021"/>
        <v>9151.0804149786381</v>
      </c>
      <c r="AN2079" s="2">
        <f t="shared" ca="1" si="2022"/>
        <v>9321.1692793107777</v>
      </c>
      <c r="AO2079" s="2">
        <f t="shared" ca="1" si="2023"/>
        <v>9494.4195432216675</v>
      </c>
      <c r="AP2079" s="2">
        <f t="shared" ca="1" si="2024"/>
        <v>2014151.5785132169</v>
      </c>
      <c r="AQ2079" s="2">
        <f t="shared" ca="1" si="2025"/>
        <v>831214.5574194619</v>
      </c>
      <c r="AR2079" s="2">
        <f t="shared" ca="1" si="2026"/>
        <v>896390.44409667153</v>
      </c>
      <c r="AS2079" s="2">
        <f t="shared" ca="1" si="2027"/>
        <v>922784.93063517113</v>
      </c>
      <c r="AT2079" s="2">
        <f t="shared" ca="1" si="2028"/>
        <v>949670.00495526369</v>
      </c>
      <c r="AU2079" s="2">
        <f t="shared" ca="1" si="2029"/>
        <v>977054.78549049387</v>
      </c>
      <c r="AV2079" s="2">
        <f t="shared" ca="1" si="2030"/>
        <v>2365764.5095784683</v>
      </c>
      <c r="AW2079" s="2">
        <f t="shared" ca="1" si="2031"/>
        <v>2542281.01485899</v>
      </c>
      <c r="AX2079" s="2">
        <f t="shared" ca="1" si="2032"/>
        <v>2617236.7990851235</v>
      </c>
      <c r="AY2079" s="2">
        <f t="shared" ca="1" si="2033"/>
        <v>2693585.7679010546</v>
      </c>
      <c r="AZ2079" s="2">
        <f t="shared" ca="1" si="2034"/>
        <v>2771353.8160835681</v>
      </c>
      <c r="BA2079" s="2">
        <f t="shared" ca="1" si="2035"/>
        <v>47675649.109523878</v>
      </c>
      <c r="BB2079" s="2">
        <f t="shared" ca="1" si="2036"/>
        <v>953512.98219047755</v>
      </c>
      <c r="BC2079" s="2">
        <f t="shared" ca="1" si="2037"/>
        <v>24342674.14385321</v>
      </c>
      <c r="BD2079" s="2">
        <f t="shared" ca="1" si="2038"/>
        <v>-16352118.904965136</v>
      </c>
      <c r="BE2079" s="2">
        <f t="shared" ca="1" si="2039"/>
        <v>2365764.5095784683</v>
      </c>
      <c r="BF2079" s="2">
        <f t="shared" ca="1" si="2040"/>
        <v>2542281.01485899</v>
      </c>
      <c r="BG2079" s="2">
        <f t="shared" ca="1" si="2041"/>
        <v>2617236.7990851235</v>
      </c>
      <c r="BH2079" s="2">
        <f t="shared" ca="1" si="2042"/>
        <v>2693585.7679010546</v>
      </c>
      <c r="BI2079" s="2">
        <f t="shared" ca="1" si="2043"/>
        <v>27114027.959936779</v>
      </c>
      <c r="BJ2079" s="2">
        <f t="shared" ca="1" si="2044"/>
        <v>0.21970752168863905</v>
      </c>
      <c r="BK2079" s="2">
        <f t="shared" ca="1" si="2045"/>
        <v>6746809.2356370836</v>
      </c>
    </row>
    <row r="2080" spans="1:63" x14ac:dyDescent="0.3">
      <c r="A2080" s="2">
        <v>2079</v>
      </c>
      <c r="B2080" s="2">
        <f t="shared" ca="1" si="1984"/>
        <v>0.65856583497874155</v>
      </c>
      <c r="C2080" s="2">
        <f t="shared" ca="1" si="1985"/>
        <v>7.1736415244928402</v>
      </c>
      <c r="D2080" s="2">
        <f t="shared" ca="1" si="1986"/>
        <v>0.20919410905572444</v>
      </c>
      <c r="E2080" s="2">
        <f t="shared" ca="1" si="1987"/>
        <v>7.1468293577996045</v>
      </c>
      <c r="F2080" s="2">
        <f t="shared" ca="1" si="1988"/>
        <v>0.8637244449381305</v>
      </c>
      <c r="G2080" s="2">
        <f t="shared" ca="1" si="1989"/>
        <v>7.2916196527778726E-2</v>
      </c>
      <c r="H2080" s="2">
        <f t="shared" ca="1" si="1990"/>
        <v>7.2916196527778726E-2</v>
      </c>
      <c r="I2080" s="2">
        <f t="shared" ca="1" si="1991"/>
        <v>0.1413384943985404</v>
      </c>
      <c r="J2080" s="2">
        <f t="shared" ca="1" si="1992"/>
        <v>4.6283743844157208E-3</v>
      </c>
      <c r="K2080" s="2">
        <f t="shared" ca="1" si="1993"/>
        <v>4.6283743844157208E-3</v>
      </c>
      <c r="L2080" s="2">
        <f t="shared" ca="1" si="1994"/>
        <v>0.3031979977512308</v>
      </c>
      <c r="M2080" s="2">
        <f t="shared" ca="1" si="1995"/>
        <v>-1.030449443774996E-2</v>
      </c>
      <c r="N2080" s="2">
        <f t="shared" ca="1" si="1996"/>
        <v>-1.030449443774996E-2</v>
      </c>
      <c r="O2080" s="2">
        <f t="shared" si="1997"/>
        <v>6000000</v>
      </c>
      <c r="P2080" s="2">
        <f t="shared" ca="1" si="1998"/>
        <v>43041849.14695704</v>
      </c>
      <c r="Q2080" s="2">
        <f t="shared" ca="1" si="1999"/>
        <v>1076046.2286739261</v>
      </c>
      <c r="R2080" s="2">
        <f t="shared" ca="1" si="2000"/>
        <v>25825109.488174222</v>
      </c>
      <c r="S2080" s="2">
        <f t="shared" ca="1" si="2001"/>
        <v>17216739.658782817</v>
      </c>
      <c r="T2080" s="2">
        <f t="shared" ca="1" si="2002"/>
        <v>49484775.278112501</v>
      </c>
      <c r="U2080" s="2">
        <f t="shared" ca="1" si="2003"/>
        <v>53093016.877424315</v>
      </c>
      <c r="V2080" s="2">
        <f t="shared" ca="1" si="2004"/>
        <v>56964357.73031126</v>
      </c>
      <c r="W2080" s="2">
        <f t="shared" ca="1" si="2005"/>
        <v>61117982.033653326</v>
      </c>
      <c r="X2080" s="2">
        <f t="shared" ca="1" si="2006"/>
        <v>65574472.823000439</v>
      </c>
      <c r="Y2080" s="2">
        <f t="shared" ca="1" si="2007"/>
        <v>0.12231418719220785</v>
      </c>
      <c r="Z2080" s="2">
        <f t="shared" ca="1" si="2008"/>
        <v>0.123239862069091</v>
      </c>
      <c r="AA2080" s="2">
        <f t="shared" ca="1" si="2009"/>
        <v>6052690.0665313918</v>
      </c>
      <c r="AB2080" s="2">
        <f t="shared" ca="1" si="2010"/>
        <v>6543176.0768056931</v>
      </c>
      <c r="AC2080" s="2">
        <f t="shared" ca="1" si="2011"/>
        <v>7020279.5895379176</v>
      </c>
      <c r="AD2080" s="2">
        <f t="shared" ca="1" si="2012"/>
        <v>7532171.6757686175</v>
      </c>
      <c r="AE2080" s="2">
        <f t="shared" ca="1" si="2013"/>
        <v>8081388.9859599303</v>
      </c>
      <c r="AF2080" s="2">
        <f t="shared" ca="1" si="2014"/>
        <v>989695.50556225004</v>
      </c>
      <c r="AG2080" s="2">
        <f t="shared" ca="1" si="2015"/>
        <v>1061860.3375484864</v>
      </c>
      <c r="AH2080" s="2">
        <f t="shared" ca="1" si="2016"/>
        <v>1139287.1546062252</v>
      </c>
      <c r="AI2080" s="2">
        <f t="shared" ca="1" si="2017"/>
        <v>1222359.6406730665</v>
      </c>
      <c r="AJ2080" s="2">
        <f t="shared" ca="1" si="2018"/>
        <v>1311489.4564600089</v>
      </c>
      <c r="AK2080" s="2">
        <f t="shared" ca="1" si="2019"/>
        <v>0</v>
      </c>
      <c r="AL2080" s="2">
        <f t="shared" ca="1" si="2020"/>
        <v>36082.415993118135</v>
      </c>
      <c r="AM2080" s="2">
        <f t="shared" ca="1" si="2021"/>
        <v>38713.408528869448</v>
      </c>
      <c r="AN2080" s="2">
        <f t="shared" ca="1" si="2022"/>
        <v>41536.243033420666</v>
      </c>
      <c r="AO2080" s="2">
        <f t="shared" ca="1" si="2023"/>
        <v>44564.907893471121</v>
      </c>
      <c r="AP2080" s="2">
        <f t="shared" ca="1" si="2024"/>
        <v>2324259.8539356799</v>
      </c>
      <c r="AQ2080" s="2">
        <f t="shared" ca="1" si="2025"/>
        <v>712071.02382870018</v>
      </c>
      <c r="AR2080" s="2">
        <f t="shared" ca="1" si="2026"/>
        <v>820834.53018359712</v>
      </c>
      <c r="AS2080" s="2">
        <f t="shared" ca="1" si="2027"/>
        <v>924750.47105896333</v>
      </c>
      <c r="AT2080" s="2">
        <f t="shared" ca="1" si="2028"/>
        <v>1036243.5671015666</v>
      </c>
      <c r="AU2080" s="2">
        <f t="shared" ca="1" si="2029"/>
        <v>1155866.3156467031</v>
      </c>
      <c r="AV2080" s="2">
        <f t="shared" ca="1" si="2030"/>
        <v>2026663.6832047622</v>
      </c>
      <c r="AW2080" s="2">
        <f t="shared" ca="1" si="2031"/>
        <v>2300138.9391448121</v>
      </c>
      <c r="AX2080" s="2">
        <f t="shared" ca="1" si="2032"/>
        <v>2593268.7014081809</v>
      </c>
      <c r="AY2080" s="2">
        <f t="shared" ca="1" si="2033"/>
        <v>2907772.3710248838</v>
      </c>
      <c r="AZ2080" s="2">
        <f t="shared" ca="1" si="2034"/>
        <v>3245208.4520240673</v>
      </c>
      <c r="BA2080" s="2">
        <f t="shared" ca="1" si="2035"/>
        <v>57756308.056656808</v>
      </c>
      <c r="BB2080" s="2">
        <f t="shared" ca="1" si="2036"/>
        <v>1155126.1611331361</v>
      </c>
      <c r="BC2080" s="2">
        <f t="shared" ca="1" si="2037"/>
        <v>30776072.407349449</v>
      </c>
      <c r="BD2080" s="2">
        <f t="shared" ca="1" si="2038"/>
        <v>-18792785.887456745</v>
      </c>
      <c r="BE2080" s="2">
        <f t="shared" ca="1" si="2039"/>
        <v>2026663.6832047622</v>
      </c>
      <c r="BF2080" s="2">
        <f t="shared" ca="1" si="2040"/>
        <v>2300138.9391448121</v>
      </c>
      <c r="BG2080" s="2">
        <f t="shared" ca="1" si="2041"/>
        <v>2593268.7014081809</v>
      </c>
      <c r="BH2080" s="2">
        <f t="shared" ca="1" si="2042"/>
        <v>2907772.3710248838</v>
      </c>
      <c r="BI2080" s="2">
        <f t="shared" ca="1" si="2043"/>
        <v>34021280.859373517</v>
      </c>
      <c r="BJ2080" s="2">
        <f t="shared" ca="1" si="2044"/>
        <v>0.21596717685700884</v>
      </c>
      <c r="BK2080" s="2">
        <f t="shared" ca="1" si="2045"/>
        <v>7848759.7122258805</v>
      </c>
    </row>
    <row r="2081" spans="1:63" x14ac:dyDescent="0.3">
      <c r="A2081" s="2">
        <v>2080</v>
      </c>
      <c r="B2081" s="2">
        <f t="shared" ca="1" si="1984"/>
        <v>0.18074865129036366</v>
      </c>
      <c r="C2081" s="2">
        <f t="shared" ca="1" si="1985"/>
        <v>6.6012464574371537</v>
      </c>
      <c r="D2081" s="2">
        <f t="shared" ca="1" si="1986"/>
        <v>0.97202881170741362</v>
      </c>
      <c r="E2081" s="2">
        <f t="shared" ca="1" si="1987"/>
        <v>8.2634785916979752</v>
      </c>
      <c r="F2081" s="2">
        <f t="shared" ca="1" si="1988"/>
        <v>0.52401052398369019</v>
      </c>
      <c r="G2081" s="2">
        <f t="shared" ca="1" si="1989"/>
        <v>4.1806655179049974E-2</v>
      </c>
      <c r="H2081" s="2">
        <f t="shared" ca="1" si="1990"/>
        <v>4.1806655179049974E-2</v>
      </c>
      <c r="I2081" s="2">
        <f t="shared" ca="1" si="1991"/>
        <v>0.89644274709084182</v>
      </c>
      <c r="J2081" s="2">
        <f t="shared" ca="1" si="1992"/>
        <v>1.6307697946081886E-2</v>
      </c>
      <c r="K2081" s="2">
        <f t="shared" ca="1" si="1993"/>
        <v>1.6307697946081886E-2</v>
      </c>
      <c r="L2081" s="2">
        <f t="shared" ca="1" si="1994"/>
        <v>0.91041099164166206</v>
      </c>
      <c r="M2081" s="2">
        <f t="shared" ca="1" si="1995"/>
        <v>2.6865804458589763E-2</v>
      </c>
      <c r="N2081" s="2">
        <f t="shared" ca="1" si="1996"/>
        <v>2.6865804458589763E-2</v>
      </c>
      <c r="O2081" s="2">
        <f t="shared" si="1997"/>
        <v>6000000</v>
      </c>
      <c r="P2081" s="2">
        <f t="shared" ca="1" si="1998"/>
        <v>39607478.744622923</v>
      </c>
      <c r="Q2081" s="2">
        <f t="shared" ca="1" si="1999"/>
        <v>990186.96861557313</v>
      </c>
      <c r="R2081" s="2">
        <f t="shared" ca="1" si="2000"/>
        <v>23764487.246773753</v>
      </c>
      <c r="S2081" s="2">
        <f t="shared" ca="1" si="2001"/>
        <v>15842991.49784917</v>
      </c>
      <c r="T2081" s="2">
        <f t="shared" ca="1" si="2002"/>
        <v>51343290.222929485</v>
      </c>
      <c r="U2081" s="2">
        <f t="shared" ca="1" si="2003"/>
        <v>53489781.453037381</v>
      </c>
      <c r="V2081" s="2">
        <f t="shared" ca="1" si="2004"/>
        <v>55726010.301847257</v>
      </c>
      <c r="W2081" s="2">
        <f t="shared" ca="1" si="2005"/>
        <v>58055728.399040766</v>
      </c>
      <c r="X2081" s="2">
        <f t="shared" ca="1" si="2006"/>
        <v>60482844.217388041</v>
      </c>
      <c r="Y2081" s="2">
        <f t="shared" ca="1" si="2007"/>
        <v>0.12815384897304094</v>
      </c>
      <c r="Z2081" s="2">
        <f t="shared" ca="1" si="2008"/>
        <v>0.13141538856225732</v>
      </c>
      <c r="AA2081" s="2">
        <f t="shared" ca="1" si="2009"/>
        <v>6579840.2610083148</v>
      </c>
      <c r="AB2081" s="2">
        <f t="shared" ca="1" si="2010"/>
        <v>7029380.4137611324</v>
      </c>
      <c r="AC2081" s="2">
        <f t="shared" ca="1" si="2011"/>
        <v>7323255.2968416112</v>
      </c>
      <c r="AD2081" s="2">
        <f t="shared" ca="1" si="2012"/>
        <v>7629416.1058248188</v>
      </c>
      <c r="AE2081" s="2">
        <f t="shared" ca="1" si="2013"/>
        <v>7948376.4741785275</v>
      </c>
      <c r="AF2081" s="2">
        <f t="shared" ca="1" si="2014"/>
        <v>1026865.8044585898</v>
      </c>
      <c r="AG2081" s="2">
        <f t="shared" ca="1" si="2015"/>
        <v>1069795.6290607476</v>
      </c>
      <c r="AH2081" s="2">
        <f t="shared" ca="1" si="2016"/>
        <v>1114520.2060369451</v>
      </c>
      <c r="AI2081" s="2">
        <f t="shared" ca="1" si="2017"/>
        <v>1161114.5679808154</v>
      </c>
      <c r="AJ2081" s="2">
        <f t="shared" ca="1" si="2018"/>
        <v>1209656.8843477608</v>
      </c>
      <c r="AK2081" s="2">
        <f t="shared" ca="1" si="2019"/>
        <v>0</v>
      </c>
      <c r="AL2081" s="2">
        <f t="shared" ca="1" si="2020"/>
        <v>21464.912301078959</v>
      </c>
      <c r="AM2081" s="2">
        <f t="shared" ca="1" si="2021"/>
        <v>22362.288488098755</v>
      </c>
      <c r="AN2081" s="2">
        <f t="shared" ca="1" si="2022"/>
        <v>23297.180971935093</v>
      </c>
      <c r="AO2081" s="2">
        <f t="shared" ca="1" si="2023"/>
        <v>24271.158183472751</v>
      </c>
      <c r="AP2081" s="2">
        <f t="shared" ca="1" si="2024"/>
        <v>2138803.8522096379</v>
      </c>
      <c r="AQ2081" s="2">
        <f t="shared" ca="1" si="2025"/>
        <v>887684.35712842259</v>
      </c>
      <c r="AR2081" s="2">
        <f t="shared" ca="1" si="2026"/>
        <v>993403.04244759411</v>
      </c>
      <c r="AS2081" s="2">
        <f t="shared" ca="1" si="2027"/>
        <v>1058182.1220347073</v>
      </c>
      <c r="AT2081" s="2">
        <f t="shared" ca="1" si="2028"/>
        <v>1125669.398264935</v>
      </c>
      <c r="AU2081" s="2">
        <f t="shared" ca="1" si="2029"/>
        <v>1195978.0917814935</v>
      </c>
      <c r="AV2081" s="2">
        <f t="shared" ca="1" si="2030"/>
        <v>2526486.247211664</v>
      </c>
      <c r="AW2081" s="2">
        <f t="shared" ca="1" si="2031"/>
        <v>2805912.9777420731</v>
      </c>
      <c r="AX2081" s="2">
        <f t="shared" ca="1" si="2032"/>
        <v>2989386.8280722229</v>
      </c>
      <c r="AY2081" s="2">
        <f t="shared" ca="1" si="2033"/>
        <v>3180531.1063974947</v>
      </c>
      <c r="AZ2081" s="2">
        <f t="shared" ca="1" si="2034"/>
        <v>3379666.4876561621</v>
      </c>
      <c r="BA2081" s="2">
        <f t="shared" ca="1" si="2035"/>
        <v>65681238.833130099</v>
      </c>
      <c r="BB2081" s="2">
        <f t="shared" ca="1" si="2036"/>
        <v>1313624.7766626021</v>
      </c>
      <c r="BC2081" s="2">
        <f t="shared" ca="1" si="2037"/>
        <v>40603126.809693739</v>
      </c>
      <c r="BD2081" s="2">
        <f t="shared" ca="1" si="2038"/>
        <v>-17333178.466464743</v>
      </c>
      <c r="BE2081" s="2">
        <f t="shared" ca="1" si="2039"/>
        <v>2526486.247211664</v>
      </c>
      <c r="BF2081" s="2">
        <f t="shared" ca="1" si="2040"/>
        <v>2805912.9777420731</v>
      </c>
      <c r="BG2081" s="2">
        <f t="shared" ca="1" si="2041"/>
        <v>2989386.8280722229</v>
      </c>
      <c r="BH2081" s="2">
        <f t="shared" ca="1" si="2042"/>
        <v>3180531.1063974947</v>
      </c>
      <c r="BI2081" s="2">
        <f t="shared" ca="1" si="2043"/>
        <v>43982793.2973499</v>
      </c>
      <c r="BJ2081" s="2">
        <f t="shared" ca="1" si="2044"/>
        <v>0.31075876119089174</v>
      </c>
      <c r="BK2081" s="2">
        <f t="shared" ca="1" si="2045"/>
        <v>16265559.093261719</v>
      </c>
    </row>
    <row r="2082" spans="1:63" x14ac:dyDescent="0.3">
      <c r="A2082" s="2">
        <v>2081</v>
      </c>
      <c r="B2082" s="2">
        <f t="shared" ca="1" si="1984"/>
        <v>0.92114893221831373</v>
      </c>
      <c r="C2082" s="2">
        <f t="shared" ca="1" si="1985"/>
        <v>7.6028827181255236</v>
      </c>
      <c r="D2082" s="2">
        <f t="shared" ca="1" si="1986"/>
        <v>0.72571606594429494</v>
      </c>
      <c r="E2082" s="2">
        <f t="shared" ca="1" si="1987"/>
        <v>7.7593463237710827</v>
      </c>
      <c r="F2082" s="2">
        <f t="shared" ca="1" si="1988"/>
        <v>0.31466446478703014</v>
      </c>
      <c r="G2082" s="2">
        <f t="shared" ca="1" si="1989"/>
        <v>2.5519851922500808E-2</v>
      </c>
      <c r="H2082" s="2">
        <f t="shared" ca="1" si="1990"/>
        <v>2.5519851922500808E-2</v>
      </c>
      <c r="I2082" s="2">
        <f t="shared" ca="1" si="1991"/>
        <v>0.85638256238598587</v>
      </c>
      <c r="J2082" s="2">
        <f t="shared" ca="1" si="1992"/>
        <v>1.5321035677952247E-2</v>
      </c>
      <c r="K2082" s="2">
        <f t="shared" ca="1" si="1993"/>
        <v>1.5321035677952247E-2</v>
      </c>
      <c r="L2082" s="2">
        <f t="shared" ca="1" si="1994"/>
        <v>0.20394807339712795</v>
      </c>
      <c r="M2082" s="2">
        <f t="shared" ca="1" si="1995"/>
        <v>-1.6552032531384302E-2</v>
      </c>
      <c r="N2082" s="2">
        <f t="shared" ca="1" si="1996"/>
        <v>-1.6552032531384302E-2</v>
      </c>
      <c r="O2082" s="2">
        <f t="shared" si="1997"/>
        <v>6000000</v>
      </c>
      <c r="P2082" s="2">
        <f t="shared" ca="1" si="1998"/>
        <v>45617296.30875314</v>
      </c>
      <c r="Q2082" s="2">
        <f t="shared" ca="1" si="1999"/>
        <v>1140432.4077188286</v>
      </c>
      <c r="R2082" s="2">
        <f t="shared" ca="1" si="2000"/>
        <v>27370377.785251882</v>
      </c>
      <c r="S2082" s="2">
        <f t="shared" ca="1" si="2001"/>
        <v>18246918.523501258</v>
      </c>
      <c r="T2082" s="2">
        <f t="shared" ca="1" si="2002"/>
        <v>49172398.373430789</v>
      </c>
      <c r="U2082" s="2">
        <f t="shared" ca="1" si="2003"/>
        <v>50427270.698594965</v>
      </c>
      <c r="V2082" s="2">
        <f t="shared" ca="1" si="2004"/>
        <v>51714167.179678977</v>
      </c>
      <c r="W2082" s="2">
        <f t="shared" ca="1" si="2005"/>
        <v>53033905.068399839</v>
      </c>
      <c r="X2082" s="2">
        <f t="shared" ca="1" si="2006"/>
        <v>54387322.472617373</v>
      </c>
      <c r="Y2082" s="2">
        <f t="shared" ca="1" si="2007"/>
        <v>0.12766051783897611</v>
      </c>
      <c r="Z2082" s="2">
        <f t="shared" ca="1" si="2008"/>
        <v>0.13072472497456655</v>
      </c>
      <c r="AA2082" s="2">
        <f t="shared" ca="1" si="2009"/>
        <v>6277373.8397366013</v>
      </c>
      <c r="AB2082" s="2">
        <f t="shared" ca="1" si="2010"/>
        <v>6592091.0932918452</v>
      </c>
      <c r="AC2082" s="2">
        <f t="shared" ca="1" si="2011"/>
        <v>6760320.28185229</v>
      </c>
      <c r="AD2082" s="2">
        <f t="shared" ca="1" si="2012"/>
        <v>6932842.6543938406</v>
      </c>
      <c r="AE2082" s="2">
        <f t="shared" ca="1" si="2013"/>
        <v>7109767.7723359689</v>
      </c>
      <c r="AF2082" s="2">
        <f t="shared" ca="1" si="2014"/>
        <v>983447.96746861574</v>
      </c>
      <c r="AG2082" s="2">
        <f t="shared" ca="1" si="2015"/>
        <v>1008545.4139718993</v>
      </c>
      <c r="AH2082" s="2">
        <f t="shared" ca="1" si="2016"/>
        <v>1034283.3435935796</v>
      </c>
      <c r="AI2082" s="2">
        <f t="shared" ca="1" si="2017"/>
        <v>1060678.1013679968</v>
      </c>
      <c r="AJ2082" s="2">
        <f t="shared" ca="1" si="2018"/>
        <v>1087746.4494523476</v>
      </c>
      <c r="AK2082" s="2">
        <f t="shared" ca="1" si="2019"/>
        <v>0</v>
      </c>
      <c r="AL2082" s="2">
        <f t="shared" ca="1" si="2020"/>
        <v>12548.723251641766</v>
      </c>
      <c r="AM2082" s="2">
        <f t="shared" ca="1" si="2021"/>
        <v>12868.964810840116</v>
      </c>
      <c r="AN2082" s="2">
        <f t="shared" ca="1" si="2022"/>
        <v>13197.378887208626</v>
      </c>
      <c r="AO2082" s="2">
        <f t="shared" ca="1" si="2023"/>
        <v>13534.174042175338</v>
      </c>
      <c r="AP2082" s="2">
        <f t="shared" ca="1" si="2024"/>
        <v>2463334.0006726691</v>
      </c>
      <c r="AQ2082" s="2">
        <f t="shared" ca="1" si="2025"/>
        <v>735953.88661478239</v>
      </c>
      <c r="AR2082" s="2">
        <f t="shared" ca="1" si="2026"/>
        <v>811255.03644829208</v>
      </c>
      <c r="AS2082" s="2">
        <f t="shared" ca="1" si="2027"/>
        <v>848302.76377237076</v>
      </c>
      <c r="AT2082" s="2">
        <f t="shared" ca="1" si="2028"/>
        <v>886295.94361182535</v>
      </c>
      <c r="AU2082" s="2">
        <f t="shared" ca="1" si="2029"/>
        <v>925258.70377484744</v>
      </c>
      <c r="AV2082" s="2">
        <f t="shared" ca="1" si="2030"/>
        <v>2094637.9849805338</v>
      </c>
      <c r="AW2082" s="2">
        <f t="shared" ca="1" si="2031"/>
        <v>2296407.9189473428</v>
      </c>
      <c r="AX2082" s="2">
        <f t="shared" ca="1" si="2032"/>
        <v>2401531.209002831</v>
      </c>
      <c r="AY2082" s="2">
        <f t="shared" ca="1" si="2033"/>
        <v>2509337.2298541414</v>
      </c>
      <c r="AZ2082" s="2">
        <f t="shared" ca="1" si="2034"/>
        <v>2619894.4443939291</v>
      </c>
      <c r="BA2082" s="2">
        <f t="shared" ca="1" si="2035"/>
        <v>55167150.427141219</v>
      </c>
      <c r="BB2082" s="2">
        <f t="shared" ca="1" si="2036"/>
        <v>1103343.0085428243</v>
      </c>
      <c r="BC2082" s="2">
        <f t="shared" ca="1" si="2037"/>
        <v>26693429.633346513</v>
      </c>
      <c r="BD2082" s="2">
        <f t="shared" ca="1" si="2038"/>
        <v>-19887350.931220088</v>
      </c>
      <c r="BE2082" s="2">
        <f t="shared" ca="1" si="2039"/>
        <v>2094637.9849805338</v>
      </c>
      <c r="BF2082" s="2">
        <f t="shared" ca="1" si="2040"/>
        <v>2296407.9189473428</v>
      </c>
      <c r="BG2082" s="2">
        <f t="shared" ca="1" si="2041"/>
        <v>2401531.209002831</v>
      </c>
      <c r="BH2082" s="2">
        <f t="shared" ca="1" si="2042"/>
        <v>2509337.2298541414</v>
      </c>
      <c r="BI2082" s="2">
        <f t="shared" ca="1" si="2043"/>
        <v>29313324.077740442</v>
      </c>
      <c r="BJ2082" s="2">
        <f t="shared" ca="1" si="2044"/>
        <v>0.16700811185258391</v>
      </c>
      <c r="BK2082" s="2">
        <f t="shared" ca="1" si="2045"/>
        <v>3750802.8542690165</v>
      </c>
    </row>
    <row r="2083" spans="1:63" x14ac:dyDescent="0.3">
      <c r="A2083" s="2">
        <v>2082</v>
      </c>
      <c r="B2083" s="2">
        <f t="shared" ca="1" si="1984"/>
        <v>0.32660953974167739</v>
      </c>
      <c r="C2083" s="2">
        <f t="shared" ca="1" si="1985"/>
        <v>6.8082196975348683</v>
      </c>
      <c r="D2083" s="2">
        <f t="shared" ca="1" si="1986"/>
        <v>0.85784460057304113</v>
      </c>
      <c r="E2083" s="2">
        <f t="shared" ca="1" si="1987"/>
        <v>7.9667919741283733</v>
      </c>
      <c r="F2083" s="2">
        <f t="shared" ca="1" si="1988"/>
        <v>0.90354509699844743</v>
      </c>
      <c r="G2083" s="2">
        <f t="shared" ca="1" si="1989"/>
        <v>7.9060577424301309E-2</v>
      </c>
      <c r="H2083" s="2">
        <f t="shared" ca="1" si="1990"/>
        <v>7.9060577424301309E-2</v>
      </c>
      <c r="I2083" s="2">
        <f t="shared" ca="1" si="1991"/>
        <v>0.16306789876426941</v>
      </c>
      <c r="J2083" s="2">
        <f t="shared" ca="1" si="1992"/>
        <v>5.090364842414194E-3</v>
      </c>
      <c r="K2083" s="2">
        <f t="shared" ca="1" si="1993"/>
        <v>5.090364842414194E-3</v>
      </c>
      <c r="L2083" s="2">
        <f t="shared" ca="1" si="1994"/>
        <v>9.6556197024892376E-2</v>
      </c>
      <c r="M2083" s="2">
        <f t="shared" ca="1" si="1995"/>
        <v>-2.6028536649930316E-2</v>
      </c>
      <c r="N2083" s="2">
        <f t="shared" ca="1" si="1996"/>
        <v>-2.6028536649930316E-2</v>
      </c>
      <c r="O2083" s="2">
        <f t="shared" si="1997"/>
        <v>6000000</v>
      </c>
      <c r="P2083" s="2">
        <f t="shared" ca="1" si="1998"/>
        <v>40849318.185209207</v>
      </c>
      <c r="Q2083" s="2">
        <f t="shared" ca="1" si="1999"/>
        <v>1021232.9546302302</v>
      </c>
      <c r="R2083" s="2">
        <f t="shared" ca="1" si="2000"/>
        <v>24509590.911125522</v>
      </c>
      <c r="S2083" s="2">
        <f t="shared" ca="1" si="2001"/>
        <v>16339727.274083683</v>
      </c>
      <c r="T2083" s="2">
        <f t="shared" ca="1" si="2002"/>
        <v>48698573.167503484</v>
      </c>
      <c r="U2083" s="2">
        <f t="shared" ca="1" si="2003"/>
        <v>52548710.481865898</v>
      </c>
      <c r="V2083" s="2">
        <f t="shared" ca="1" si="2004"/>
        <v>56703241.875464655</v>
      </c>
      <c r="W2083" s="2">
        <f t="shared" ca="1" si="2005"/>
        <v>61186232.919968717</v>
      </c>
      <c r="X2083" s="2">
        <f t="shared" ca="1" si="2006"/>
        <v>66023651.825039245</v>
      </c>
      <c r="Y2083" s="2">
        <f t="shared" ca="1" si="2007"/>
        <v>0.1225451824212071</v>
      </c>
      <c r="Z2083" s="2">
        <f t="shared" ca="1" si="2008"/>
        <v>0.12356325538968993</v>
      </c>
      <c r="AA2083" s="2">
        <f t="shared" ca="1" si="2009"/>
        <v>5967775.5324642155</v>
      </c>
      <c r="AB2083" s="2">
        <f t="shared" ca="1" si="2010"/>
        <v>6493089.7336696722</v>
      </c>
      <c r="AC2083" s="2">
        <f t="shared" ca="1" si="2011"/>
        <v>7006437.1572813997</v>
      </c>
      <c r="AD2083" s="2">
        <f t="shared" ca="1" si="2012"/>
        <v>7560370.1246231478</v>
      </c>
      <c r="AE2083" s="2">
        <f t="shared" ca="1" si="2013"/>
        <v>8158097.3522172915</v>
      </c>
      <c r="AF2083" s="2">
        <f t="shared" ca="1" si="2014"/>
        <v>973971.46335006971</v>
      </c>
      <c r="AG2083" s="2">
        <f t="shared" ca="1" si="2015"/>
        <v>1050974.209637318</v>
      </c>
      <c r="AH2083" s="2">
        <f t="shared" ca="1" si="2016"/>
        <v>1134064.8375092931</v>
      </c>
      <c r="AI2083" s="2">
        <f t="shared" ca="1" si="2017"/>
        <v>1223724.6583993745</v>
      </c>
      <c r="AJ2083" s="2">
        <f t="shared" ca="1" si="2018"/>
        <v>1320473.036500785</v>
      </c>
      <c r="AK2083" s="2">
        <f t="shared" ca="1" si="2019"/>
        <v>0</v>
      </c>
      <c r="AL2083" s="2">
        <f t="shared" ca="1" si="2020"/>
        <v>38501.373143624143</v>
      </c>
      <c r="AM2083" s="2">
        <f t="shared" ca="1" si="2021"/>
        <v>41545.313935987579</v>
      </c>
      <c r="AN2083" s="2">
        <f t="shared" ca="1" si="2022"/>
        <v>44829.910445040616</v>
      </c>
      <c r="AO2083" s="2">
        <f t="shared" ca="1" si="2023"/>
        <v>48374.189050705281</v>
      </c>
      <c r="AP2083" s="2">
        <f t="shared" ca="1" si="2024"/>
        <v>2205863.1820012969</v>
      </c>
      <c r="AQ2083" s="2">
        <f t="shared" ca="1" si="2025"/>
        <v>724864.63064934069</v>
      </c>
      <c r="AR2083" s="2">
        <f t="shared" ca="1" si="2026"/>
        <v>841425.60892807494</v>
      </c>
      <c r="AS2083" s="2">
        <f t="shared" ca="1" si="2027"/>
        <v>953292.37582041055</v>
      </c>
      <c r="AT2083" s="2">
        <f t="shared" ca="1" si="2028"/>
        <v>1074003.393897844</v>
      </c>
      <c r="AU2083" s="2">
        <f t="shared" ca="1" si="2029"/>
        <v>1204257.8947659547</v>
      </c>
      <c r="AV2083" s="2">
        <f t="shared" ca="1" si="2030"/>
        <v>2063076.2564635086</v>
      </c>
      <c r="AW2083" s="2">
        <f t="shared" ca="1" si="2031"/>
        <v>2356325.3599593579</v>
      </c>
      <c r="AX2083" s="2">
        <f t="shared" ca="1" si="2032"/>
        <v>2671671.4480144116</v>
      </c>
      <c r="AY2083" s="2">
        <f t="shared" ca="1" si="2033"/>
        <v>3011948.9798795911</v>
      </c>
      <c r="AZ2083" s="2">
        <f t="shared" ca="1" si="2034"/>
        <v>3379129.0498985504</v>
      </c>
      <c r="BA2083" s="2">
        <f t="shared" ca="1" si="2035"/>
        <v>64993864.509802647</v>
      </c>
      <c r="BB2083" s="2">
        <f t="shared" ca="1" si="2036"/>
        <v>1299877.290196053</v>
      </c>
      <c r="BC2083" s="2">
        <f t="shared" ca="1" si="2037"/>
        <v>39184396.308481075</v>
      </c>
      <c r="BD2083" s="2">
        <f t="shared" ca="1" si="2038"/>
        <v>-17860960.228713915</v>
      </c>
      <c r="BE2083" s="2">
        <f t="shared" ca="1" si="2039"/>
        <v>2063076.2564635086</v>
      </c>
      <c r="BF2083" s="2">
        <f t="shared" ca="1" si="2040"/>
        <v>2356325.3599593579</v>
      </c>
      <c r="BG2083" s="2">
        <f t="shared" ca="1" si="2041"/>
        <v>2671671.4480144116</v>
      </c>
      <c r="BH2083" s="2">
        <f t="shared" ca="1" si="2042"/>
        <v>3011948.9798795911</v>
      </c>
      <c r="BI2083" s="2">
        <f t="shared" ca="1" si="2043"/>
        <v>42563525.358379625</v>
      </c>
      <c r="BJ2083" s="2">
        <f t="shared" ca="1" si="2044"/>
        <v>0.27953141012221505</v>
      </c>
      <c r="BK2083" s="2">
        <f t="shared" ca="1" si="2045"/>
        <v>13826998.649300706</v>
      </c>
    </row>
    <row r="2084" spans="1:63" x14ac:dyDescent="0.3">
      <c r="A2084" s="2">
        <v>2083</v>
      </c>
      <c r="B2084" s="2">
        <f t="shared" ca="1" si="1984"/>
        <v>0.45769030105346797</v>
      </c>
      <c r="C2084" s="2">
        <f t="shared" ca="1" si="1985"/>
        <v>6.9567552467099079</v>
      </c>
      <c r="D2084" s="2">
        <f t="shared" ca="1" si="1986"/>
        <v>0.92269691835778411</v>
      </c>
      <c r="E2084" s="2">
        <f t="shared" ca="1" si="1987"/>
        <v>8.1068000975528705</v>
      </c>
      <c r="F2084" s="2">
        <f t="shared" ca="1" si="1988"/>
        <v>6.5500552736774131E-2</v>
      </c>
      <c r="G2084" s="2">
        <f t="shared" ca="1" si="1989"/>
        <v>-5.3049760572373636E-3</v>
      </c>
      <c r="H2084" s="2">
        <f t="shared" ca="1" si="1990"/>
        <v>-5.3049760572373636E-3</v>
      </c>
      <c r="I2084" s="2">
        <f t="shared" ca="1" si="1991"/>
        <v>0.53209750103665221</v>
      </c>
      <c r="J2084" s="2">
        <f t="shared" ca="1" si="1992"/>
        <v>1.0402717516773652E-2</v>
      </c>
      <c r="K2084" s="2">
        <f t="shared" ca="1" si="1993"/>
        <v>1.0402717516773652E-2</v>
      </c>
      <c r="L2084" s="2">
        <f t="shared" ca="1" si="1994"/>
        <v>0.18460707840272172</v>
      </c>
      <c r="M2084" s="2">
        <f t="shared" ca="1" si="1995"/>
        <v>-1.7958926837800825E-2</v>
      </c>
      <c r="N2084" s="2">
        <f t="shared" ca="1" si="1996"/>
        <v>-1.7958926837800825E-2</v>
      </c>
      <c r="O2084" s="2">
        <f t="shared" si="1997"/>
        <v>6000000</v>
      </c>
      <c r="P2084" s="2">
        <f t="shared" ca="1" si="1998"/>
        <v>41740531.480259448</v>
      </c>
      <c r="Q2084" s="2">
        <f t="shared" ca="1" si="1999"/>
        <v>1043513.2870064862</v>
      </c>
      <c r="R2084" s="2">
        <f t="shared" ca="1" si="2000"/>
        <v>25044318.888155669</v>
      </c>
      <c r="S2084" s="2">
        <f t="shared" ca="1" si="2001"/>
        <v>16696212.592103779</v>
      </c>
      <c r="T2084" s="2">
        <f t="shared" ca="1" si="2002"/>
        <v>49102053.658109955</v>
      </c>
      <c r="U2084" s="2">
        <f t="shared" ca="1" si="2003"/>
        <v>48841568.439092502</v>
      </c>
      <c r="V2084" s="2">
        <f t="shared" ca="1" si="2004"/>
        <v>48582465.087925196</v>
      </c>
      <c r="W2084" s="2">
        <f t="shared" ca="1" si="2005"/>
        <v>48324736.273832187</v>
      </c>
      <c r="X2084" s="2">
        <f t="shared" ca="1" si="2006"/>
        <v>48068374.704927199</v>
      </c>
      <c r="Y2084" s="2">
        <f t="shared" ca="1" si="2007"/>
        <v>0.12520135875838681</v>
      </c>
      <c r="Z2084" s="2">
        <f t="shared" ca="1" si="2008"/>
        <v>0.12728190226174155</v>
      </c>
      <c r="AA2084" s="2">
        <f t="shared" ca="1" si="2009"/>
        <v>6147643.8358225841</v>
      </c>
      <c r="AB2084" s="2">
        <f t="shared" ca="1" si="2010"/>
        <v>6216647.7403747328</v>
      </c>
      <c r="AC2084" s="2">
        <f t="shared" ca="1" si="2011"/>
        <v>6183668.5729557658</v>
      </c>
      <c r="AD2084" s="2">
        <f t="shared" ca="1" si="2012"/>
        <v>6150864.3592303451</v>
      </c>
      <c r="AE2084" s="2">
        <f t="shared" ca="1" si="2013"/>
        <v>6118234.1710733138</v>
      </c>
      <c r="AF2084" s="2">
        <f t="shared" ca="1" si="2014"/>
        <v>982041.07316219911</v>
      </c>
      <c r="AG2084" s="2">
        <f t="shared" ca="1" si="2015"/>
        <v>976831.36878185009</v>
      </c>
      <c r="AH2084" s="2">
        <f t="shared" ca="1" si="2016"/>
        <v>971649.30175850389</v>
      </c>
      <c r="AI2084" s="2">
        <f t="shared" ca="1" si="2017"/>
        <v>966494.72547664377</v>
      </c>
      <c r="AJ2084" s="2">
        <f t="shared" ca="1" si="2018"/>
        <v>961367.494098544</v>
      </c>
      <c r="AK2084" s="2">
        <f t="shared" ca="1" si="2019"/>
        <v>0</v>
      </c>
      <c r="AL2084" s="2">
        <f t="shared" ca="1" si="2020"/>
        <v>0</v>
      </c>
      <c r="AM2084" s="2">
        <f t="shared" ca="1" si="2021"/>
        <v>0</v>
      </c>
      <c r="AN2084" s="2">
        <f t="shared" ca="1" si="2022"/>
        <v>0</v>
      </c>
      <c r="AO2084" s="2">
        <f t="shared" ca="1" si="2023"/>
        <v>0</v>
      </c>
      <c r="AP2084" s="2">
        <f t="shared" ca="1" si="2024"/>
        <v>2253988.6999340099</v>
      </c>
      <c r="AQ2084" s="2">
        <f t="shared" ca="1" si="2025"/>
        <v>757019.65630885761</v>
      </c>
      <c r="AR2084" s="2">
        <f t="shared" ca="1" si="2026"/>
        <v>776315.19463130704</v>
      </c>
      <c r="AS2084" s="2">
        <f t="shared" ca="1" si="2027"/>
        <v>769087.94852844568</v>
      </c>
      <c r="AT2084" s="2">
        <f t="shared" ca="1" si="2028"/>
        <v>761899.04279311979</v>
      </c>
      <c r="AU2084" s="2">
        <f t="shared" ca="1" si="2029"/>
        <v>754748.27403059753</v>
      </c>
      <c r="AV2084" s="2">
        <f t="shared" ca="1" si="2030"/>
        <v>2154594.4064175175</v>
      </c>
      <c r="AW2084" s="2">
        <f t="shared" ca="1" si="2031"/>
        <v>2209512.4770275657</v>
      </c>
      <c r="AX2084" s="2">
        <f t="shared" ca="1" si="2032"/>
        <v>2188942.622734807</v>
      </c>
      <c r="AY2084" s="2">
        <f t="shared" ca="1" si="2033"/>
        <v>2168481.8910265709</v>
      </c>
      <c r="AZ2084" s="2">
        <f t="shared" ca="1" si="2034"/>
        <v>2148129.7030101619</v>
      </c>
      <c r="BA2084" s="2">
        <f t="shared" ca="1" si="2035"/>
        <v>49599301.374908447</v>
      </c>
      <c r="BB2084" s="2">
        <f t="shared" ca="1" si="2036"/>
        <v>991986.02749816899</v>
      </c>
      <c r="BC2084" s="2">
        <f t="shared" ca="1" si="2037"/>
        <v>23562996.459254608</v>
      </c>
      <c r="BD2084" s="2">
        <f t="shared" ca="1" si="2038"/>
        <v>-18239725.879110266</v>
      </c>
      <c r="BE2084" s="2">
        <f t="shared" ca="1" si="2039"/>
        <v>2154594.4064175175</v>
      </c>
      <c r="BF2084" s="2">
        <f t="shared" ca="1" si="2040"/>
        <v>2209512.4770275657</v>
      </c>
      <c r="BG2084" s="2">
        <f t="shared" ca="1" si="2041"/>
        <v>2188942.622734807</v>
      </c>
      <c r="BH2084" s="2">
        <f t="shared" ca="1" si="2042"/>
        <v>2168481.8910265709</v>
      </c>
      <c r="BI2084" s="2">
        <f t="shared" ca="1" si="2043"/>
        <v>25711126.162264768</v>
      </c>
      <c r="BJ2084" s="2">
        <f t="shared" ca="1" si="2044"/>
        <v>0.16156250223961899</v>
      </c>
      <c r="BK2084" s="2">
        <f t="shared" ca="1" si="2045"/>
        <v>2970767.9878171347</v>
      </c>
    </row>
    <row r="2085" spans="1:63" x14ac:dyDescent="0.3">
      <c r="A2085" s="2">
        <v>2084</v>
      </c>
      <c r="B2085" s="2">
        <f t="shared" ca="1" si="1984"/>
        <v>0.32665450792190243</v>
      </c>
      <c r="C2085" s="2">
        <f t="shared" ca="1" si="1985"/>
        <v>6.8082753341800091</v>
      </c>
      <c r="D2085" s="2">
        <f t="shared" ca="1" si="1986"/>
        <v>0.39820797507462635</v>
      </c>
      <c r="E2085" s="2">
        <f t="shared" ca="1" si="1987"/>
        <v>7.3924213971825488</v>
      </c>
      <c r="F2085" s="2">
        <f t="shared" ca="1" si="1988"/>
        <v>0.47939480694177594</v>
      </c>
      <c r="G2085" s="2">
        <f t="shared" ca="1" si="1989"/>
        <v>3.8449823648591598E-2</v>
      </c>
      <c r="H2085" s="2">
        <f t="shared" ca="1" si="1990"/>
        <v>3.8449823648591598E-2</v>
      </c>
      <c r="I2085" s="2">
        <f t="shared" ca="1" si="1991"/>
        <v>0.32988169460141525</v>
      </c>
      <c r="J2085" s="2">
        <f t="shared" ca="1" si="1992"/>
        <v>7.7988006727893727E-3</v>
      </c>
      <c r="K2085" s="2">
        <f t="shared" ca="1" si="1993"/>
        <v>7.7988006727893727E-3</v>
      </c>
      <c r="L2085" s="2">
        <f t="shared" ca="1" si="1994"/>
        <v>0.65173613201772607</v>
      </c>
      <c r="M2085" s="2">
        <f t="shared" ca="1" si="1995"/>
        <v>7.8002383100952057E-3</v>
      </c>
      <c r="N2085" s="2">
        <f t="shared" ca="1" si="1996"/>
        <v>7.8002383100952057E-3</v>
      </c>
      <c r="O2085" s="2">
        <f t="shared" si="1997"/>
        <v>6000000</v>
      </c>
      <c r="P2085" s="2">
        <f t="shared" ca="1" si="1998"/>
        <v>40849652.005080052</v>
      </c>
      <c r="Q2085" s="2">
        <f t="shared" ca="1" si="1999"/>
        <v>1021241.3001270014</v>
      </c>
      <c r="R2085" s="2">
        <f t="shared" ca="1" si="2000"/>
        <v>24509791.203048032</v>
      </c>
      <c r="S2085" s="2">
        <f t="shared" ca="1" si="2001"/>
        <v>16339860.802032022</v>
      </c>
      <c r="T2085" s="2">
        <f t="shared" ca="1" si="2002"/>
        <v>50390011.915504761</v>
      </c>
      <c r="U2085" s="2">
        <f t="shared" ca="1" si="2003"/>
        <v>52327498.987306342</v>
      </c>
      <c r="V2085" s="2">
        <f t="shared" ca="1" si="2004"/>
        <v>54339482.095340118</v>
      </c>
      <c r="W2085" s="2">
        <f t="shared" ca="1" si="2005"/>
        <v>56428825.599061742</v>
      </c>
      <c r="X2085" s="2">
        <f t="shared" ca="1" si="2006"/>
        <v>58598503.992042795</v>
      </c>
      <c r="Y2085" s="2">
        <f t="shared" ca="1" si="2007"/>
        <v>0.12389940033639468</v>
      </c>
      <c r="Z2085" s="2">
        <f t="shared" ca="1" si="2008"/>
        <v>0.12545916047095257</v>
      </c>
      <c r="AA2085" s="2">
        <f t="shared" ca="1" si="2009"/>
        <v>6243292.2592748227</v>
      </c>
      <c r="AB2085" s="2">
        <f t="shared" ca="1" si="2010"/>
        <v>6564964.0924920747</v>
      </c>
      <c r="AC2085" s="2">
        <f t="shared" ca="1" si="2011"/>
        <v>6817385.8041077293</v>
      </c>
      <c r="AD2085" s="2">
        <f t="shared" ca="1" si="2012"/>
        <v>7079513.0860200832</v>
      </c>
      <c r="AE2085" s="2">
        <f t="shared" ca="1" si="2013"/>
        <v>7351719.1156954514</v>
      </c>
      <c r="AF2085" s="2">
        <f t="shared" ca="1" si="2014"/>
        <v>1007800.2383100953</v>
      </c>
      <c r="AG2085" s="2">
        <f t="shared" ca="1" si="2015"/>
        <v>1046549.9797461268</v>
      </c>
      <c r="AH2085" s="2">
        <f t="shared" ca="1" si="2016"/>
        <v>1086789.6419068023</v>
      </c>
      <c r="AI2085" s="2">
        <f t="shared" ca="1" si="2017"/>
        <v>1128576.5119812349</v>
      </c>
      <c r="AJ2085" s="2">
        <f t="shared" ca="1" si="2018"/>
        <v>1171970.0798408559</v>
      </c>
      <c r="AK2085" s="2">
        <f t="shared" ca="1" si="2019"/>
        <v>0</v>
      </c>
      <c r="AL2085" s="2">
        <f t="shared" ca="1" si="2020"/>
        <v>19374.870718015805</v>
      </c>
      <c r="AM2085" s="2">
        <f t="shared" ca="1" si="2021"/>
        <v>20119.831080337764</v>
      </c>
      <c r="AN2085" s="2">
        <f t="shared" ca="1" si="2022"/>
        <v>20893.435037216248</v>
      </c>
      <c r="AO2085" s="2">
        <f t="shared" ca="1" si="2023"/>
        <v>21696.783929810525</v>
      </c>
      <c r="AP2085" s="2">
        <f t="shared" ca="1" si="2024"/>
        <v>2205881.2082743226</v>
      </c>
      <c r="AQ2085" s="2">
        <f t="shared" ca="1" si="2025"/>
        <v>787698.81129950541</v>
      </c>
      <c r="AR2085" s="2">
        <f t="shared" ca="1" si="2026"/>
        <v>861258.55516262271</v>
      </c>
      <c r="AS2085" s="2">
        <f t="shared" ca="1" si="2027"/>
        <v>916425.88802091719</v>
      </c>
      <c r="AT2085" s="2">
        <f t="shared" ca="1" si="2028"/>
        <v>973714.39509877667</v>
      </c>
      <c r="AU2085" s="2">
        <f t="shared" ca="1" si="2029"/>
        <v>1033205.635170871</v>
      </c>
      <c r="AV2085" s="2">
        <f t="shared" ca="1" si="2030"/>
        <v>2241912.0013908995</v>
      </c>
      <c r="AW2085" s="2">
        <f t="shared" ca="1" si="2031"/>
        <v>2431899.4785909876</v>
      </c>
      <c r="AX2085" s="2">
        <f t="shared" ca="1" si="2032"/>
        <v>2588169.2348253494</v>
      </c>
      <c r="AY2085" s="2">
        <f t="shared" ca="1" si="2033"/>
        <v>2750447.535628533</v>
      </c>
      <c r="AZ2085" s="2">
        <f t="shared" ca="1" si="2034"/>
        <v>2918965.4084795909</v>
      </c>
      <c r="BA2085" s="2">
        <f t="shared" ca="1" si="2035"/>
        <v>54347005.696943022</v>
      </c>
      <c r="BB2085" s="2">
        <f t="shared" ca="1" si="2036"/>
        <v>1086940.1139388604</v>
      </c>
      <c r="BC2085" s="2">
        <f t="shared" ca="1" si="2037"/>
        <v>28750274.37995613</v>
      </c>
      <c r="BD2085" s="2">
        <f t="shared" ca="1" si="2038"/>
        <v>-17861102.102159023</v>
      </c>
      <c r="BE2085" s="2">
        <f t="shared" ca="1" si="2039"/>
        <v>2241912.0013908995</v>
      </c>
      <c r="BF2085" s="2">
        <f t="shared" ca="1" si="2040"/>
        <v>2431899.4785909876</v>
      </c>
      <c r="BG2085" s="2">
        <f t="shared" ca="1" si="2041"/>
        <v>2588169.2348253494</v>
      </c>
      <c r="BH2085" s="2">
        <f t="shared" ca="1" si="2042"/>
        <v>2750447.535628533</v>
      </c>
      <c r="BI2085" s="2">
        <f t="shared" ca="1" si="2043"/>
        <v>31669239.78843572</v>
      </c>
      <c r="BJ2085" s="2">
        <f t="shared" ca="1" si="2044"/>
        <v>0.21991470333489072</v>
      </c>
      <c r="BK2085" s="2">
        <f t="shared" ca="1" si="2045"/>
        <v>7639444.4451856613</v>
      </c>
    </row>
    <row r="2086" spans="1:63" x14ac:dyDescent="0.3">
      <c r="A2086" s="2">
        <v>2085</v>
      </c>
      <c r="B2086" s="2">
        <f t="shared" ca="1" si="1984"/>
        <v>5.5851962717867298E-2</v>
      </c>
      <c r="C2086" s="2">
        <f t="shared" ca="1" si="1985"/>
        <v>6.3342213719015206</v>
      </c>
      <c r="D2086" s="2">
        <f t="shared" ca="1" si="1986"/>
        <v>0.48990802408307288</v>
      </c>
      <c r="E2086" s="2">
        <f t="shared" ca="1" si="1987"/>
        <v>7.4898565795943099</v>
      </c>
      <c r="F2086" s="2">
        <f t="shared" ca="1" si="1988"/>
        <v>0.94883834553552637</v>
      </c>
      <c r="G2086" s="2">
        <f t="shared" ca="1" si="1989"/>
        <v>8.9010792855791748E-2</v>
      </c>
      <c r="H2086" s="2">
        <f t="shared" ca="1" si="1990"/>
        <v>8.9010792855791748E-2</v>
      </c>
      <c r="I2086" s="2">
        <f t="shared" ca="1" si="1991"/>
        <v>0.89207690162539122</v>
      </c>
      <c r="J2086" s="2">
        <f t="shared" ca="1" si="1992"/>
        <v>1.6188245545013094E-2</v>
      </c>
      <c r="K2086" s="2">
        <f t="shared" ca="1" si="1993"/>
        <v>1.6188245545013094E-2</v>
      </c>
      <c r="L2086" s="2">
        <f t="shared" ca="1" si="1994"/>
        <v>0.79288078600359768</v>
      </c>
      <c r="M2086" s="2">
        <f t="shared" ca="1" si="1995"/>
        <v>1.6329153272008456E-2</v>
      </c>
      <c r="N2086" s="2">
        <f t="shared" ca="1" si="1996"/>
        <v>1.6329153272008456E-2</v>
      </c>
      <c r="O2086" s="2">
        <f t="shared" si="1997"/>
        <v>6000000</v>
      </c>
      <c r="P2086" s="2">
        <f t="shared" ca="1" si="1998"/>
        <v>38005328.231409125</v>
      </c>
      <c r="Q2086" s="2">
        <f t="shared" ca="1" si="1999"/>
        <v>950133.20578522817</v>
      </c>
      <c r="R2086" s="2">
        <f t="shared" ca="1" si="2000"/>
        <v>22803196.938845474</v>
      </c>
      <c r="S2086" s="2">
        <f t="shared" ca="1" si="2001"/>
        <v>15202131.292563651</v>
      </c>
      <c r="T2086" s="2">
        <f t="shared" ca="1" si="2002"/>
        <v>50816457.663600422</v>
      </c>
      <c r="U2086" s="2">
        <f t="shared" ca="1" si="2003"/>
        <v>55339670.850360267</v>
      </c>
      <c r="V2086" s="2">
        <f t="shared" ca="1" si="2004"/>
        <v>60265498.829129383</v>
      </c>
      <c r="W2086" s="2">
        <f t="shared" ca="1" si="2005"/>
        <v>65629778.66175998</v>
      </c>
      <c r="X2086" s="2">
        <f t="shared" ca="1" si="2006"/>
        <v>71471537.295393363</v>
      </c>
      <c r="Y2086" s="2">
        <f t="shared" ca="1" si="2007"/>
        <v>0.12809412277250654</v>
      </c>
      <c r="Z2086" s="2">
        <f t="shared" ca="1" si="2008"/>
        <v>0.13133177188150916</v>
      </c>
      <c r="AA2086" s="2">
        <f t="shared" ca="1" si="2009"/>
        <v>6509289.5668251133</v>
      </c>
      <c r="AB2086" s="2">
        <f t="shared" ca="1" si="2010"/>
        <v>7267857.0281173168</v>
      </c>
      <c r="AC2086" s="2">
        <f t="shared" ca="1" si="2011"/>
        <v>7914774.7445525769</v>
      </c>
      <c r="AD2086" s="2">
        <f t="shared" ca="1" si="2012"/>
        <v>8619275.1198401991</v>
      </c>
      <c r="AE2086" s="2">
        <f t="shared" ca="1" si="2013"/>
        <v>9386483.6320993751</v>
      </c>
      <c r="AF2086" s="2">
        <f t="shared" ca="1" si="2014"/>
        <v>1016329.1532720085</v>
      </c>
      <c r="AG2086" s="2">
        <f t="shared" ca="1" si="2015"/>
        <v>1106793.4170072053</v>
      </c>
      <c r="AH2086" s="2">
        <f t="shared" ca="1" si="2016"/>
        <v>1205309.9765825877</v>
      </c>
      <c r="AI2086" s="2">
        <f t="shared" ca="1" si="2017"/>
        <v>1312595.5732351996</v>
      </c>
      <c r="AJ2086" s="2">
        <f t="shared" ca="1" si="2018"/>
        <v>1429430.7459078673</v>
      </c>
      <c r="AK2086" s="2">
        <f t="shared" ca="1" si="2019"/>
        <v>0</v>
      </c>
      <c r="AL2086" s="2">
        <f t="shared" ca="1" si="2020"/>
        <v>45232.131867598444</v>
      </c>
      <c r="AM2086" s="2">
        <f t="shared" ca="1" si="2021"/>
        <v>49258.279787691165</v>
      </c>
      <c r="AN2086" s="2">
        <f t="shared" ca="1" si="2022"/>
        <v>53642.798326305972</v>
      </c>
      <c r="AO2086" s="2">
        <f t="shared" ca="1" si="2023"/>
        <v>58417.586336333829</v>
      </c>
      <c r="AP2086" s="2">
        <f t="shared" ca="1" si="2024"/>
        <v>2052287.7244960926</v>
      </c>
      <c r="AQ2086" s="2">
        <f t="shared" ca="1" si="2025"/>
        <v>894574.89915482316</v>
      </c>
      <c r="AR2086" s="2">
        <f t="shared" ca="1" si="2026"/>
        <v>1068281.7305196449</v>
      </c>
      <c r="AS2086" s="2">
        <f t="shared" ca="1" si="2027"/>
        <v>1210866.0313032132</v>
      </c>
      <c r="AT2086" s="2">
        <f t="shared" ca="1" si="2028"/>
        <v>1366141.8737483157</v>
      </c>
      <c r="AU2086" s="2">
        <f t="shared" ca="1" si="2029"/>
        <v>1535238.942040808</v>
      </c>
      <c r="AV2086" s="2">
        <f t="shared" ca="1" si="2030"/>
        <v>2546097.7899021888</v>
      </c>
      <c r="AW2086" s="2">
        <f t="shared" ca="1" si="2031"/>
        <v>2995262.0242267754</v>
      </c>
      <c r="AX2086" s="2">
        <f t="shared" ca="1" si="2032"/>
        <v>3397052.7323829923</v>
      </c>
      <c r="AY2086" s="2">
        <f t="shared" ca="1" si="2033"/>
        <v>3834607.1500342852</v>
      </c>
      <c r="AZ2086" s="2">
        <f t="shared" ca="1" si="2034"/>
        <v>4311108.6333182734</v>
      </c>
      <c r="BA2086" s="2">
        <f t="shared" ca="1" si="2035"/>
        <v>70303416.191133797</v>
      </c>
      <c r="BB2086" s="2">
        <f t="shared" ca="1" si="2036"/>
        <v>1406068.323822676</v>
      </c>
      <c r="BC2086" s="2">
        <f t="shared" ca="1" si="2037"/>
        <v>46094150.928465649</v>
      </c>
      <c r="BD2086" s="2">
        <f t="shared" ca="1" si="2038"/>
        <v>-16652264.498348879</v>
      </c>
      <c r="BE2086" s="2">
        <f t="shared" ca="1" si="2039"/>
        <v>2546097.7899021888</v>
      </c>
      <c r="BF2086" s="2">
        <f t="shared" ca="1" si="2040"/>
        <v>2995262.0242267754</v>
      </c>
      <c r="BG2086" s="2">
        <f t="shared" ca="1" si="2041"/>
        <v>3397052.7323829923</v>
      </c>
      <c r="BH2086" s="2">
        <f t="shared" ca="1" si="2042"/>
        <v>3834607.1500342852</v>
      </c>
      <c r="BI2086" s="2">
        <f t="shared" ca="1" si="2043"/>
        <v>50405259.561783925</v>
      </c>
      <c r="BJ2086" s="2">
        <f t="shared" ca="1" si="2044"/>
        <v>0.36291430368366484</v>
      </c>
      <c r="BK2086" s="2">
        <f t="shared" ca="1" si="2045"/>
        <v>21465056.795093648</v>
      </c>
    </row>
    <row r="2087" spans="1:63" x14ac:dyDescent="0.3">
      <c r="A2087" s="2">
        <v>2086</v>
      </c>
      <c r="B2087" s="2">
        <f t="shared" ca="1" si="1984"/>
        <v>0.57611605798197651</v>
      </c>
      <c r="C2087" s="2">
        <f t="shared" ca="1" si="1985"/>
        <v>7.0792568848826249</v>
      </c>
      <c r="D2087" s="2">
        <f t="shared" ca="1" si="1986"/>
        <v>0.15012422967895167</v>
      </c>
      <c r="E2087" s="2">
        <f t="shared" ca="1" si="1987"/>
        <v>7.0479493218883507</v>
      </c>
      <c r="F2087" s="2">
        <f t="shared" ca="1" si="1988"/>
        <v>0.40310836866419675</v>
      </c>
      <c r="G2087" s="2">
        <f t="shared" ca="1" si="1989"/>
        <v>3.2640712706909714E-2</v>
      </c>
      <c r="H2087" s="2">
        <f t="shared" ca="1" si="1990"/>
        <v>3.2640712706909714E-2</v>
      </c>
      <c r="I2087" s="2">
        <f t="shared" ca="1" si="1991"/>
        <v>0.28691967041639255</v>
      </c>
      <c r="J2087" s="2">
        <f t="shared" ca="1" si="1992"/>
        <v>7.1879693305624028E-3</v>
      </c>
      <c r="K2087" s="2">
        <f t="shared" ca="1" si="1993"/>
        <v>7.1879693305624028E-3</v>
      </c>
      <c r="L2087" s="2">
        <f t="shared" ca="1" si="1994"/>
        <v>0.15653008050017947</v>
      </c>
      <c r="M2087" s="2">
        <f t="shared" ca="1" si="1995"/>
        <v>-2.0176433627999119E-2</v>
      </c>
      <c r="N2087" s="2">
        <f t="shared" ca="1" si="1996"/>
        <v>-2.0176433627999119E-2</v>
      </c>
      <c r="O2087" s="2">
        <f t="shared" si="1997"/>
        <v>6000000</v>
      </c>
      <c r="P2087" s="2">
        <f t="shared" ca="1" si="1998"/>
        <v>42475541.309295751</v>
      </c>
      <c r="Q2087" s="2">
        <f t="shared" ca="1" si="1999"/>
        <v>1061888.5327323938</v>
      </c>
      <c r="R2087" s="2">
        <f t="shared" ca="1" si="2000"/>
        <v>25485324.78557745</v>
      </c>
      <c r="S2087" s="2">
        <f t="shared" ca="1" si="2001"/>
        <v>16990216.523718301</v>
      </c>
      <c r="T2087" s="2">
        <f t="shared" ca="1" si="2002"/>
        <v>48991178.318600044</v>
      </c>
      <c r="U2087" s="2">
        <f t="shared" ca="1" si="2003"/>
        <v>50590285.29527045</v>
      </c>
      <c r="V2087" s="2">
        <f t="shared" ca="1" si="2004"/>
        <v>52241588.263353974</v>
      </c>
      <c r="W2087" s="2">
        <f t="shared" ca="1" si="2005"/>
        <v>53946790.937210776</v>
      </c>
      <c r="X2087" s="2">
        <f t="shared" ca="1" si="2006"/>
        <v>55707652.641651995</v>
      </c>
      <c r="Y2087" s="2">
        <f t="shared" ca="1" si="2007"/>
        <v>0.1235939846652812</v>
      </c>
      <c r="Z2087" s="2">
        <f t="shared" ca="1" si="2008"/>
        <v>0.12503157853139368</v>
      </c>
      <c r="AA2087" s="2">
        <f t="shared" ca="1" si="2009"/>
        <v>6055014.9418431101</v>
      </c>
      <c r="AB2087" s="2">
        <f t="shared" ca="1" si="2010"/>
        <v>6325383.228821218</v>
      </c>
      <c r="AC2087" s="2">
        <f t="shared" ca="1" si="2011"/>
        <v>6531848.2455542767</v>
      </c>
      <c r="AD2087" s="2">
        <f t="shared" ca="1" si="2012"/>
        <v>6745052.4275825461</v>
      </c>
      <c r="AE2087" s="2">
        <f t="shared" ca="1" si="2013"/>
        <v>6965215.7460643118</v>
      </c>
      <c r="AF2087" s="2">
        <f t="shared" ca="1" si="2014"/>
        <v>979823.56637200085</v>
      </c>
      <c r="AG2087" s="2">
        <f t="shared" ca="1" si="2015"/>
        <v>1011805.7059054091</v>
      </c>
      <c r="AH2087" s="2">
        <f t="shared" ca="1" si="2016"/>
        <v>1044831.7652670795</v>
      </c>
      <c r="AI2087" s="2">
        <f t="shared" ca="1" si="2017"/>
        <v>1078935.8187442156</v>
      </c>
      <c r="AJ2087" s="2">
        <f t="shared" ca="1" si="2018"/>
        <v>1114153.05283304</v>
      </c>
      <c r="AK2087" s="2">
        <f t="shared" ca="1" si="2019"/>
        <v>0</v>
      </c>
      <c r="AL2087" s="2">
        <f t="shared" ca="1" si="2020"/>
        <v>15991.069766704068</v>
      </c>
      <c r="AM2087" s="2">
        <f t="shared" ca="1" si="2021"/>
        <v>16513.029680835232</v>
      </c>
      <c r="AN2087" s="2">
        <f t="shared" ca="1" si="2022"/>
        <v>17052.026738568024</v>
      </c>
      <c r="AO2087" s="2">
        <f t="shared" ca="1" si="2023"/>
        <v>17608.617044412196</v>
      </c>
      <c r="AP2087" s="2">
        <f t="shared" ca="1" si="2024"/>
        <v>2293679.2307019704</v>
      </c>
      <c r="AQ2087" s="2">
        <f t="shared" ca="1" si="2025"/>
        <v>723193.15763997624</v>
      </c>
      <c r="AR2087" s="2">
        <f t="shared" ca="1" si="2026"/>
        <v>785173.55597559793</v>
      </c>
      <c r="AS2087" s="2">
        <f t="shared" ca="1" si="2027"/>
        <v>830267.68489215896</v>
      </c>
      <c r="AT2087" s="2">
        <f t="shared" ca="1" si="2028"/>
        <v>876833.71831545373</v>
      </c>
      <c r="AU2087" s="2">
        <f t="shared" ca="1" si="2029"/>
        <v>924919.70025761833</v>
      </c>
      <c r="AV2087" s="2">
        <f t="shared" ca="1" si="2030"/>
        <v>2058318.9871291625</v>
      </c>
      <c r="AW2087" s="2">
        <f t="shared" ca="1" si="2031"/>
        <v>2218733.6664715358</v>
      </c>
      <c r="AX2087" s="2">
        <f t="shared" ca="1" si="2032"/>
        <v>2346556.5350122326</v>
      </c>
      <c r="AY2087" s="2">
        <f t="shared" ca="1" si="2033"/>
        <v>2478551.6330823391</v>
      </c>
      <c r="AZ2087" s="2">
        <f t="shared" ca="1" si="2034"/>
        <v>2614855.1452272707</v>
      </c>
      <c r="BA2087" s="2">
        <f t="shared" ca="1" si="2035"/>
        <v>49090487.594280027</v>
      </c>
      <c r="BB2087" s="2">
        <f t="shared" ca="1" si="2036"/>
        <v>981809.7518856005</v>
      </c>
      <c r="BC2087" s="2">
        <f t="shared" ca="1" si="2037"/>
        <v>22623353.056816977</v>
      </c>
      <c r="BD2087" s="2">
        <f t="shared" ca="1" si="2038"/>
        <v>-18552105.056450695</v>
      </c>
      <c r="BE2087" s="2">
        <f t="shared" ca="1" si="2039"/>
        <v>2058318.9871291625</v>
      </c>
      <c r="BF2087" s="2">
        <f t="shared" ca="1" si="2040"/>
        <v>2218733.6664715358</v>
      </c>
      <c r="BG2087" s="2">
        <f t="shared" ca="1" si="2041"/>
        <v>2346556.5350122326</v>
      </c>
      <c r="BH2087" s="2">
        <f t="shared" ca="1" si="2042"/>
        <v>2478551.6330823391</v>
      </c>
      <c r="BI2087" s="2">
        <f t="shared" ca="1" si="2043"/>
        <v>25238208.202044249</v>
      </c>
      <c r="BJ2087" s="2">
        <f t="shared" ca="1" si="2044"/>
        <v>0.15632221973088356</v>
      </c>
      <c r="BK2087" s="2">
        <f t="shared" ca="1" si="2045"/>
        <v>2620674.7354536504</v>
      </c>
    </row>
    <row r="2088" spans="1:63" x14ac:dyDescent="0.3">
      <c r="A2088" s="2">
        <v>2087</v>
      </c>
      <c r="B2088" s="2">
        <f t="shared" ca="1" si="1984"/>
        <v>0.31615509805206354</v>
      </c>
      <c r="C2088" s="2">
        <f t="shared" ca="1" si="1985"/>
        <v>6.7951793483888565</v>
      </c>
      <c r="D2088" s="2">
        <f t="shared" ca="1" si="1986"/>
        <v>0.38893646099360568</v>
      </c>
      <c r="E2088" s="2">
        <f t="shared" ca="1" si="1987"/>
        <v>7.3819710437351169</v>
      </c>
      <c r="F2088" s="2">
        <f t="shared" ca="1" si="1988"/>
        <v>0.93991454378924844</v>
      </c>
      <c r="G2088" s="2">
        <f t="shared" ca="1" si="1989"/>
        <v>8.6621698485089021E-2</v>
      </c>
      <c r="H2088" s="2">
        <f t="shared" ca="1" si="1990"/>
        <v>8.6621698485089021E-2</v>
      </c>
      <c r="I2088" s="2">
        <f t="shared" ca="1" si="1991"/>
        <v>1.106430505751399E-2</v>
      </c>
      <c r="J2088" s="2">
        <f t="shared" ca="1" si="1992"/>
        <v>-1.4407652199142813E-3</v>
      </c>
      <c r="K2088" s="2">
        <f t="shared" ca="1" si="1993"/>
        <v>0</v>
      </c>
      <c r="L2088" s="2">
        <f t="shared" ca="1" si="1994"/>
        <v>1.282203636714585E-2</v>
      </c>
      <c r="M2088" s="2">
        <f t="shared" ca="1" si="1995"/>
        <v>-4.4631195490963567E-2</v>
      </c>
      <c r="N2088" s="2">
        <f t="shared" ca="1" si="1996"/>
        <v>-4.4631195490963567E-2</v>
      </c>
      <c r="O2088" s="2">
        <f t="shared" si="1997"/>
        <v>6000000</v>
      </c>
      <c r="P2088" s="2">
        <f t="shared" ca="1" si="1998"/>
        <v>40771076.090333141</v>
      </c>
      <c r="Q2088" s="2">
        <f t="shared" ca="1" si="1999"/>
        <v>1019276.9022583286</v>
      </c>
      <c r="R2088" s="2">
        <f t="shared" ca="1" si="2000"/>
        <v>24462645.654199883</v>
      </c>
      <c r="S2088" s="2">
        <f t="shared" ca="1" si="2001"/>
        <v>16308430.436133258</v>
      </c>
      <c r="T2088" s="2">
        <f t="shared" ca="1" si="2002"/>
        <v>47768440.22545182</v>
      </c>
      <c r="U2088" s="2">
        <f t="shared" ca="1" si="2003"/>
        <v>51906223.651763901</v>
      </c>
      <c r="V2088" s="2">
        <f t="shared" ca="1" si="2004"/>
        <v>56402428.906426586</v>
      </c>
      <c r="W2088" s="2">
        <f t="shared" ca="1" si="2005"/>
        <v>61288103.096985735</v>
      </c>
      <c r="X2088" s="2">
        <f t="shared" ca="1" si="2006"/>
        <v>66596982.684175879</v>
      </c>
      <c r="Y2088" s="2">
        <f t="shared" ca="1" si="2007"/>
        <v>0.12</v>
      </c>
      <c r="Z2088" s="2">
        <f t="shared" ca="1" si="2008"/>
        <v>0.12</v>
      </c>
      <c r="AA2088" s="2">
        <f t="shared" ca="1" si="2009"/>
        <v>5732212.8270542184</v>
      </c>
      <c r="AB2088" s="2">
        <f t="shared" ca="1" si="2010"/>
        <v>6228746.8382116677</v>
      </c>
      <c r="AC2088" s="2">
        <f t="shared" ca="1" si="2011"/>
        <v>6768291.4687711904</v>
      </c>
      <c r="AD2088" s="2">
        <f t="shared" ca="1" si="2012"/>
        <v>7354572.3716382878</v>
      </c>
      <c r="AE2088" s="2">
        <f t="shared" ca="1" si="2013"/>
        <v>7991637.9221011056</v>
      </c>
      <c r="AF2088" s="2">
        <f t="shared" ca="1" si="2014"/>
        <v>955368.80450903636</v>
      </c>
      <c r="AG2088" s="2">
        <f t="shared" ca="1" si="2015"/>
        <v>1038124.473035278</v>
      </c>
      <c r="AH2088" s="2">
        <f t="shared" ca="1" si="2016"/>
        <v>1128048.5781285318</v>
      </c>
      <c r="AI2088" s="2">
        <f t="shared" ca="1" si="2017"/>
        <v>1225762.0619397147</v>
      </c>
      <c r="AJ2088" s="2">
        <f t="shared" ca="1" si="2018"/>
        <v>1331939.6536835176</v>
      </c>
      <c r="AK2088" s="2">
        <f t="shared" ca="1" si="2019"/>
        <v>0</v>
      </c>
      <c r="AL2088" s="2">
        <f t="shared" ca="1" si="2020"/>
        <v>41377.834263120814</v>
      </c>
      <c r="AM2088" s="2">
        <f t="shared" ca="1" si="2021"/>
        <v>44962.052546626852</v>
      </c>
      <c r="AN2088" s="2">
        <f t="shared" ca="1" si="2022"/>
        <v>48856.741905591487</v>
      </c>
      <c r="AO2088" s="2">
        <f t="shared" ca="1" si="2023"/>
        <v>53088.795871901442</v>
      </c>
      <c r="AP2088" s="2">
        <f t="shared" ca="1" si="2024"/>
        <v>2201638.1088779895</v>
      </c>
      <c r="AQ2088" s="2">
        <f t="shared" ca="1" si="2025"/>
        <v>669553.53755347012</v>
      </c>
      <c r="AR2088" s="2">
        <f t="shared" ca="1" si="2026"/>
        <v>777135.90663758409</v>
      </c>
      <c r="AS2088" s="2">
        <f t="shared" ca="1" si="2027"/>
        <v>894037.24325881409</v>
      </c>
      <c r="AT2088" s="2">
        <f t="shared" ca="1" si="2028"/>
        <v>1021064.7722133518</v>
      </c>
      <c r="AU2088" s="2">
        <f t="shared" ca="1" si="2029"/>
        <v>1159095.6414802955</v>
      </c>
      <c r="AV2088" s="2">
        <f t="shared" ca="1" si="2030"/>
        <v>1905652.3761137226</v>
      </c>
      <c r="AW2088" s="2">
        <f t="shared" ca="1" si="2031"/>
        <v>2170470.5153976958</v>
      </c>
      <c r="AX2088" s="2">
        <f t="shared" ca="1" si="2032"/>
        <v>2499605.4859592281</v>
      </c>
      <c r="AY2088" s="2">
        <f t="shared" ca="1" si="2033"/>
        <v>2857250.6867016405</v>
      </c>
      <c r="AZ2088" s="2">
        <f t="shared" ca="1" si="2034"/>
        <v>3245875.7221874008</v>
      </c>
      <c r="BA2088" s="2">
        <f t="shared" ca="1" si="2035"/>
        <v>58994039.732965842</v>
      </c>
      <c r="BB2088" s="2">
        <f t="shared" ca="1" si="2036"/>
        <v>1179880.7946593168</v>
      </c>
      <c r="BC2088" s="2">
        <f t="shared" ca="1" si="2037"/>
        <v>33351513.284106642</v>
      </c>
      <c r="BD2088" s="2">
        <f t="shared" ca="1" si="2038"/>
        <v>-17827707.338391587</v>
      </c>
      <c r="BE2088" s="2">
        <f t="shared" ca="1" si="2039"/>
        <v>1905652.3761137226</v>
      </c>
      <c r="BF2088" s="2">
        <f t="shared" ca="1" si="2040"/>
        <v>2170470.5153976958</v>
      </c>
      <c r="BG2088" s="2">
        <f t="shared" ca="1" si="2041"/>
        <v>2499605.4859592281</v>
      </c>
      <c r="BH2088" s="2">
        <f t="shared" ca="1" si="2042"/>
        <v>2857250.6867016405</v>
      </c>
      <c r="BI2088" s="2">
        <f t="shared" ca="1" si="2043"/>
        <v>36597389.006294042</v>
      </c>
      <c r="BJ2088" s="2">
        <f t="shared" ca="1" si="2044"/>
        <v>0.24204332552942898</v>
      </c>
      <c r="BK2088" s="2">
        <f t="shared" ca="1" si="2045"/>
        <v>9965399.4532214701</v>
      </c>
    </row>
    <row r="2089" spans="1:63" x14ac:dyDescent="0.3">
      <c r="A2089" s="2">
        <v>2088</v>
      </c>
      <c r="B2089" s="2">
        <f t="shared" ca="1" si="1984"/>
        <v>0.65048980379730992</v>
      </c>
      <c r="C2089" s="2">
        <f t="shared" ca="1" si="1985"/>
        <v>7.1639256059384548</v>
      </c>
      <c r="D2089" s="2">
        <f t="shared" ca="1" si="1986"/>
        <v>0.96594458460525567</v>
      </c>
      <c r="E2089" s="2">
        <f t="shared" ca="1" si="1987"/>
        <v>8.2390194819732923</v>
      </c>
      <c r="F2089" s="2">
        <f t="shared" ca="1" si="1988"/>
        <v>0.19782815083452365</v>
      </c>
      <c r="G2089" s="2">
        <f t="shared" ca="1" si="1989"/>
        <v>1.451786778493825E-2</v>
      </c>
      <c r="H2089" s="2">
        <f t="shared" ca="1" si="1990"/>
        <v>1.451786778493825E-2</v>
      </c>
      <c r="I2089" s="2">
        <f t="shared" ca="1" si="1991"/>
        <v>5.8020264759552798E-2</v>
      </c>
      <c r="J2089" s="2">
        <f t="shared" ca="1" si="1992"/>
        <v>2.1419393050675136E-3</v>
      </c>
      <c r="K2089" s="2">
        <f t="shared" ca="1" si="1993"/>
        <v>2.1419393050675136E-3</v>
      </c>
      <c r="L2089" s="2">
        <f t="shared" ca="1" si="1994"/>
        <v>0.48766865120951841</v>
      </c>
      <c r="M2089" s="2">
        <f t="shared" ca="1" si="1995"/>
        <v>-6.1830062575335767E-4</v>
      </c>
      <c r="N2089" s="2">
        <f t="shared" ca="1" si="1996"/>
        <v>-6.1830062575335767E-4</v>
      </c>
      <c r="O2089" s="2">
        <f t="shared" si="1997"/>
        <v>6000000</v>
      </c>
      <c r="P2089" s="2">
        <f t="shared" ca="1" si="1998"/>
        <v>42983553.635630727</v>
      </c>
      <c r="Q2089" s="2">
        <f t="shared" ca="1" si="1999"/>
        <v>1074588.8408907682</v>
      </c>
      <c r="R2089" s="2">
        <f t="shared" ca="1" si="2000"/>
        <v>25790132.181378435</v>
      </c>
      <c r="S2089" s="2">
        <f t="shared" ca="1" si="2001"/>
        <v>17193421.454252291</v>
      </c>
      <c r="T2089" s="2">
        <f t="shared" ca="1" si="2002"/>
        <v>49969084.96871233</v>
      </c>
      <c r="U2089" s="2">
        <f t="shared" ca="1" si="2003"/>
        <v>50694529.537622437</v>
      </c>
      <c r="V2089" s="2">
        <f t="shared" ca="1" si="2004"/>
        <v>51430506.014869288</v>
      </c>
      <c r="W2089" s="2">
        <f t="shared" ca="1" si="2005"/>
        <v>52177167.301305629</v>
      </c>
      <c r="X2089" s="2">
        <f t="shared" ca="1" si="2006"/>
        <v>52934668.517578587</v>
      </c>
      <c r="Y2089" s="2">
        <f t="shared" ca="1" si="2007"/>
        <v>0.12107096965253375</v>
      </c>
      <c r="Z2089" s="2">
        <f t="shared" ca="1" si="2008"/>
        <v>0.12149935751354725</v>
      </c>
      <c r="AA2089" s="2">
        <f t="shared" ca="1" si="2009"/>
        <v>6049805.5698118508</v>
      </c>
      <c r="AB2089" s="2">
        <f t="shared" ca="1" si="2010"/>
        <v>6159352.76827267</v>
      </c>
      <c r="AC2089" s="2">
        <f t="shared" ca="1" si="2011"/>
        <v>6248773.4374032458</v>
      </c>
      <c r="AD2089" s="2">
        <f t="shared" ca="1" si="2012"/>
        <v>6339492.3039854998</v>
      </c>
      <c r="AE2089" s="2">
        <f t="shared" ca="1" si="2013"/>
        <v>6431528.2150783949</v>
      </c>
      <c r="AF2089" s="2">
        <f t="shared" ca="1" si="2014"/>
        <v>999381.69937424664</v>
      </c>
      <c r="AG2089" s="2">
        <f t="shared" ca="1" si="2015"/>
        <v>1013890.5907524488</v>
      </c>
      <c r="AH2089" s="2">
        <f t="shared" ca="1" si="2016"/>
        <v>1028610.1202973857</v>
      </c>
      <c r="AI2089" s="2">
        <f t="shared" ca="1" si="2017"/>
        <v>1043543.3460261126</v>
      </c>
      <c r="AJ2089" s="2">
        <f t="shared" ca="1" si="2018"/>
        <v>1058693.3703515718</v>
      </c>
      <c r="AK2089" s="2">
        <f t="shared" ca="1" si="2019"/>
        <v>0</v>
      </c>
      <c r="AL2089" s="2">
        <f t="shared" ca="1" si="2020"/>
        <v>7254.4456891010705</v>
      </c>
      <c r="AM2089" s="2">
        <f t="shared" ca="1" si="2021"/>
        <v>7359.7647724685075</v>
      </c>
      <c r="AN2089" s="2">
        <f t="shared" ca="1" si="2022"/>
        <v>7466.6128643634174</v>
      </c>
      <c r="AO2089" s="2">
        <f t="shared" ca="1" si="2023"/>
        <v>7575.0121627295766</v>
      </c>
      <c r="AP2089" s="2">
        <f t="shared" ca="1" si="2024"/>
        <v>2321111.896324059</v>
      </c>
      <c r="AQ2089" s="2">
        <f t="shared" ca="1" si="2025"/>
        <v>709621.11326952185</v>
      </c>
      <c r="AR2089" s="2">
        <f t="shared" ca="1" si="2026"/>
        <v>734331.07311100222</v>
      </c>
      <c r="AS2089" s="2">
        <f t="shared" ca="1" si="2027"/>
        <v>753753.36940326844</v>
      </c>
      <c r="AT2089" s="2">
        <f t="shared" ca="1" si="2028"/>
        <v>773457.63602518546</v>
      </c>
      <c r="AU2089" s="2">
        <f t="shared" ca="1" si="2029"/>
        <v>793447.96658471879</v>
      </c>
      <c r="AV2089" s="2">
        <f t="shared" ca="1" si="2030"/>
        <v>2019690.8608440235</v>
      </c>
      <c r="AW2089" s="2">
        <f t="shared" ca="1" si="2031"/>
        <v>2082764.762396059</v>
      </c>
      <c r="AX2089" s="2">
        <f t="shared" ca="1" si="2032"/>
        <v>2137938.286606065</v>
      </c>
      <c r="AY2089" s="2">
        <f t="shared" ca="1" si="2033"/>
        <v>2193912.8127457798</v>
      </c>
      <c r="AZ2089" s="2">
        <f t="shared" ca="1" si="2034"/>
        <v>2250699.9696553163</v>
      </c>
      <c r="BA2089" s="2">
        <f t="shared" ca="1" si="2035"/>
        <v>52989486.262891807</v>
      </c>
      <c r="BB2089" s="2">
        <f t="shared" ca="1" si="2036"/>
        <v>1059789.725257836</v>
      </c>
      <c r="BC2089" s="2">
        <f t="shared" ca="1" si="2037"/>
        <v>26139564.356255535</v>
      </c>
      <c r="BD2089" s="2">
        <f t="shared" ca="1" si="2038"/>
        <v>-18768010.29514306</v>
      </c>
      <c r="BE2089" s="2">
        <f t="shared" ca="1" si="2039"/>
        <v>2019690.8608440235</v>
      </c>
      <c r="BF2089" s="2">
        <f t="shared" ca="1" si="2040"/>
        <v>2082764.762396059</v>
      </c>
      <c r="BG2089" s="2">
        <f t="shared" ca="1" si="2041"/>
        <v>2137938.286606065</v>
      </c>
      <c r="BH2089" s="2">
        <f t="shared" ca="1" si="2042"/>
        <v>2193912.8127457798</v>
      </c>
      <c r="BI2089" s="2">
        <f t="shared" ca="1" si="2043"/>
        <v>28390264.325910851</v>
      </c>
      <c r="BJ2089" s="2">
        <f t="shared" ca="1" si="2044"/>
        <v>0.169021942310841</v>
      </c>
      <c r="BK2089" s="2">
        <f t="shared" ca="1" si="2045"/>
        <v>3721064.3511516489</v>
      </c>
    </row>
    <row r="2090" spans="1:63" x14ac:dyDescent="0.3">
      <c r="A2090" s="2">
        <v>2089</v>
      </c>
      <c r="B2090" s="2">
        <f t="shared" ca="1" si="1984"/>
        <v>0.89665659984934543</v>
      </c>
      <c r="C2090" s="2">
        <f t="shared" ca="1" si="1985"/>
        <v>7.5453717999273371</v>
      </c>
      <c r="D2090" s="2">
        <f t="shared" ca="1" si="1986"/>
        <v>0.28181103125015317</v>
      </c>
      <c r="E2090" s="2">
        <f t="shared" ca="1" si="1987"/>
        <v>7.2507476689942543</v>
      </c>
      <c r="F2090" s="2">
        <f t="shared" ca="1" si="1988"/>
        <v>0.51101303345981486</v>
      </c>
      <c r="G2090" s="2">
        <f t="shared" ca="1" si="1989"/>
        <v>4.0828272646524222E-2</v>
      </c>
      <c r="H2090" s="2">
        <f t="shared" ca="1" si="1990"/>
        <v>4.0828272646524222E-2</v>
      </c>
      <c r="I2090" s="2">
        <f t="shared" ca="1" si="1991"/>
        <v>0.46852186408515284</v>
      </c>
      <c r="J2090" s="2">
        <f t="shared" ca="1" si="1992"/>
        <v>9.6050698083881229E-3</v>
      </c>
      <c r="K2090" s="2">
        <f t="shared" ca="1" si="1993"/>
        <v>9.6050698083881229E-3</v>
      </c>
      <c r="L2090" s="2">
        <f t="shared" ca="1" si="1994"/>
        <v>0.67095288543118348</v>
      </c>
      <c r="M2090" s="2">
        <f t="shared" ca="1" si="1995"/>
        <v>8.8509178388019392E-3</v>
      </c>
      <c r="N2090" s="2">
        <f t="shared" ca="1" si="1996"/>
        <v>8.8509178388019392E-3</v>
      </c>
      <c r="O2090" s="2">
        <f t="shared" si="1997"/>
        <v>6000000</v>
      </c>
      <c r="P2090" s="2">
        <f t="shared" ca="1" si="1998"/>
        <v>45272230.799564019</v>
      </c>
      <c r="Q2090" s="2">
        <f t="shared" ca="1" si="1999"/>
        <v>1131805.7699891005</v>
      </c>
      <c r="R2090" s="2">
        <f t="shared" ca="1" si="2000"/>
        <v>27163338.479738411</v>
      </c>
      <c r="S2090" s="2">
        <f t="shared" ca="1" si="2001"/>
        <v>18108892.319825608</v>
      </c>
      <c r="T2090" s="2">
        <f t="shared" ca="1" si="2002"/>
        <v>50442545.891940095</v>
      </c>
      <c r="U2090" s="2">
        <f t="shared" ca="1" si="2003"/>
        <v>52502027.908601038</v>
      </c>
      <c r="V2090" s="2">
        <f t="shared" ca="1" si="2004"/>
        <v>54645595.018548831</v>
      </c>
      <c r="W2090" s="2">
        <f t="shared" ca="1" si="2005"/>
        <v>56876680.270897694</v>
      </c>
      <c r="X2090" s="2">
        <f t="shared" ca="1" si="2006"/>
        <v>59198856.880227096</v>
      </c>
      <c r="Y2090" s="2">
        <f t="shared" ca="1" si="2007"/>
        <v>0.12480253490419406</v>
      </c>
      <c r="Z2090" s="2">
        <f t="shared" ca="1" si="2008"/>
        <v>0.12672354886587167</v>
      </c>
      <c r="AA2090" s="2">
        <f t="shared" ca="1" si="2009"/>
        <v>6295357.5943352645</v>
      </c>
      <c r="AB2090" s="2">
        <f t="shared" ca="1" si="2010"/>
        <v>6653243.2992329616</v>
      </c>
      <c r="AC2090" s="2">
        <f t="shared" ca="1" si="2011"/>
        <v>6924883.7306377068</v>
      </c>
      <c r="AD2090" s="2">
        <f t="shared" ca="1" si="2012"/>
        <v>7207614.7716376632</v>
      </c>
      <c r="AE2090" s="2">
        <f t="shared" ca="1" si="2013"/>
        <v>7501889.2326652016</v>
      </c>
      <c r="AF2090" s="2">
        <f t="shared" ca="1" si="2014"/>
        <v>1008850.9178388019</v>
      </c>
      <c r="AG2090" s="2">
        <f t="shared" ca="1" si="2015"/>
        <v>1050040.5581720208</v>
      </c>
      <c r="AH2090" s="2">
        <f t="shared" ca="1" si="2016"/>
        <v>1092911.9003709767</v>
      </c>
      <c r="AI2090" s="2">
        <f t="shared" ca="1" si="2017"/>
        <v>1137533.6054179538</v>
      </c>
      <c r="AJ2090" s="2">
        <f t="shared" ca="1" si="2018"/>
        <v>1183977.1376045418</v>
      </c>
      <c r="AK2090" s="2">
        <f t="shared" ca="1" si="2019"/>
        <v>0</v>
      </c>
      <c r="AL2090" s="2">
        <f t="shared" ca="1" si="2020"/>
        <v>20594.820166609436</v>
      </c>
      <c r="AM2090" s="2">
        <f t="shared" ca="1" si="2021"/>
        <v>21435.671099477931</v>
      </c>
      <c r="AN2090" s="2">
        <f t="shared" ca="1" si="2022"/>
        <v>22310.852523488626</v>
      </c>
      <c r="AO2090" s="2">
        <f t="shared" ca="1" si="2023"/>
        <v>23221.766093294023</v>
      </c>
      <c r="AP2090" s="2">
        <f t="shared" ca="1" si="2024"/>
        <v>2444700.4631764567</v>
      </c>
      <c r="AQ2090" s="2">
        <f t="shared" ca="1" si="2025"/>
        <v>738869.61546320166</v>
      </c>
      <c r="AR2090" s="2">
        <f t="shared" ca="1" si="2026"/>
        <v>821210.59224996576</v>
      </c>
      <c r="AS2090" s="2">
        <f t="shared" ca="1" si="2027"/>
        <v>880690.55544347106</v>
      </c>
      <c r="AT2090" s="2">
        <f t="shared" ca="1" si="2028"/>
        <v>942598.98279124568</v>
      </c>
      <c r="AU2090" s="2">
        <f t="shared" ca="1" si="2029"/>
        <v>1007035.0242898928</v>
      </c>
      <c r="AV2090" s="2">
        <f t="shared" ca="1" si="2030"/>
        <v>2102936.5978568043</v>
      </c>
      <c r="AW2090" s="2">
        <f t="shared" ca="1" si="2031"/>
        <v>2316696.8654679083</v>
      </c>
      <c r="AX2090" s="2">
        <f t="shared" ca="1" si="2032"/>
        <v>2485145.1405473235</v>
      </c>
      <c r="AY2090" s="2">
        <f t="shared" ca="1" si="2033"/>
        <v>2660470.8677285179</v>
      </c>
      <c r="AZ2090" s="2">
        <f t="shared" ca="1" si="2034"/>
        <v>2842954.8415010157</v>
      </c>
      <c r="BA2090" s="2">
        <f t="shared" ca="1" si="2035"/>
        <v>54394305.866800308</v>
      </c>
      <c r="BB2090" s="2">
        <f t="shared" ca="1" si="2036"/>
        <v>1087886.1173360061</v>
      </c>
      <c r="BC2090" s="2">
        <f t="shared" ca="1" si="2037"/>
        <v>26143081.269725893</v>
      </c>
      <c r="BD2090" s="2">
        <f t="shared" ca="1" si="2038"/>
        <v>-19740698.089814708</v>
      </c>
      <c r="BE2090" s="2">
        <f t="shared" ca="1" si="2039"/>
        <v>2102936.5978568043</v>
      </c>
      <c r="BF2090" s="2">
        <f t="shared" ca="1" si="2040"/>
        <v>2316696.8654679083</v>
      </c>
      <c r="BG2090" s="2">
        <f t="shared" ca="1" si="2041"/>
        <v>2485145.1405473235</v>
      </c>
      <c r="BH2090" s="2">
        <f t="shared" ca="1" si="2042"/>
        <v>2660470.8677285179</v>
      </c>
      <c r="BI2090" s="2">
        <f t="shared" ca="1" si="2043"/>
        <v>28986036.111226909</v>
      </c>
      <c r="BJ2090" s="2">
        <f t="shared" ca="1" si="2044"/>
        <v>0.16916065107624578</v>
      </c>
      <c r="BK2090" s="2">
        <f t="shared" ca="1" si="2045"/>
        <v>3890890.3176912777</v>
      </c>
    </row>
    <row r="2091" spans="1:63" x14ac:dyDescent="0.3">
      <c r="A2091" s="2">
        <v>2090</v>
      </c>
      <c r="B2091" s="2">
        <f t="shared" ca="1" si="1984"/>
        <v>0.47436591510817283</v>
      </c>
      <c r="C2091" s="2">
        <f t="shared" ca="1" si="1985"/>
        <v>6.9740286598536745</v>
      </c>
      <c r="D2091" s="2">
        <f t="shared" ca="1" si="1986"/>
        <v>4.4177593092945444E-2</v>
      </c>
      <c r="E2091" s="2">
        <f t="shared" ca="1" si="1987"/>
        <v>6.7972460028089374</v>
      </c>
      <c r="F2091" s="2">
        <f t="shared" ca="1" si="1988"/>
        <v>0.53769276619046591</v>
      </c>
      <c r="G2091" s="2">
        <f t="shared" ca="1" si="1989"/>
        <v>4.2838682930718797E-2</v>
      </c>
      <c r="H2091" s="2">
        <f t="shared" ca="1" si="1990"/>
        <v>4.2838682930718797E-2</v>
      </c>
      <c r="I2091" s="2">
        <f t="shared" ca="1" si="1991"/>
        <v>0.63365426113166901</v>
      </c>
      <c r="J2091" s="2">
        <f t="shared" ca="1" si="1992"/>
        <v>1.1707737331731354E-2</v>
      </c>
      <c r="K2091" s="2">
        <f t="shared" ca="1" si="1993"/>
        <v>1.1707737331731354E-2</v>
      </c>
      <c r="L2091" s="2">
        <f t="shared" ca="1" si="1994"/>
        <v>6.1323334646555261E-2</v>
      </c>
      <c r="M2091" s="2">
        <f t="shared" ca="1" si="1995"/>
        <v>-3.0875184781606543E-2</v>
      </c>
      <c r="N2091" s="2">
        <f t="shared" ca="1" si="1996"/>
        <v>-3.0875184781606543E-2</v>
      </c>
      <c r="O2091" s="2">
        <f t="shared" si="1997"/>
        <v>6000000</v>
      </c>
      <c r="P2091" s="2">
        <f t="shared" ca="1" si="1998"/>
        <v>41844171.959122047</v>
      </c>
      <c r="Q2091" s="2">
        <f t="shared" ca="1" si="1999"/>
        <v>1046104.2989780512</v>
      </c>
      <c r="R2091" s="2">
        <f t="shared" ca="1" si="2000"/>
        <v>25106503.175473228</v>
      </c>
      <c r="S2091" s="2">
        <f t="shared" ca="1" si="2001"/>
        <v>16737668.783648819</v>
      </c>
      <c r="T2091" s="2">
        <f t="shared" ca="1" si="2002"/>
        <v>48456240.760919675</v>
      </c>
      <c r="U2091" s="2">
        <f t="shared" ca="1" si="2003"/>
        <v>50532042.294891283</v>
      </c>
      <c r="V2091" s="2">
        <f t="shared" ca="1" si="2004"/>
        <v>52696768.432603799</v>
      </c>
      <c r="W2091" s="2">
        <f t="shared" ca="1" si="2005"/>
        <v>54954228.586961627</v>
      </c>
      <c r="X2091" s="2">
        <f t="shared" ca="1" si="2006"/>
        <v>57308395.361100718</v>
      </c>
      <c r="Y2091" s="2">
        <f t="shared" ca="1" si="2007"/>
        <v>0.12585386866586568</v>
      </c>
      <c r="Z2091" s="2">
        <f t="shared" ca="1" si="2008"/>
        <v>0.12819541613221194</v>
      </c>
      <c r="AA2091" s="2">
        <f t="shared" ca="1" si="2009"/>
        <v>6098405.3607663522</v>
      </c>
      <c r="AB2091" s="2">
        <f t="shared" ca="1" si="2010"/>
        <v>6477976.1900041224</v>
      </c>
      <c r="AC2091" s="2">
        <f t="shared" ca="1" si="2011"/>
        <v>6755484.1580404537</v>
      </c>
      <c r="AD2091" s="2">
        <f t="shared" ca="1" si="2012"/>
        <v>7044880.2019302435</v>
      </c>
      <c r="AE2091" s="2">
        <f t="shared" ca="1" si="2013"/>
        <v>7346673.5911856312</v>
      </c>
      <c r="AF2091" s="2">
        <f t="shared" ca="1" si="2014"/>
        <v>969124.81521839357</v>
      </c>
      <c r="AG2091" s="2">
        <f t="shared" ca="1" si="2015"/>
        <v>1010640.8458978257</v>
      </c>
      <c r="AH2091" s="2">
        <f t="shared" ca="1" si="2016"/>
        <v>1053935.368652076</v>
      </c>
      <c r="AI2091" s="2">
        <f t="shared" ca="1" si="2017"/>
        <v>1099084.5717392326</v>
      </c>
      <c r="AJ2091" s="2">
        <f t="shared" ca="1" si="2018"/>
        <v>1146167.9072220144</v>
      </c>
      <c r="AK2091" s="2">
        <f t="shared" ca="1" si="2019"/>
        <v>0</v>
      </c>
      <c r="AL2091" s="2">
        <f t="shared" ca="1" si="2020"/>
        <v>20758.015339716076</v>
      </c>
      <c r="AM2091" s="2">
        <f t="shared" ca="1" si="2021"/>
        <v>21647.26137712516</v>
      </c>
      <c r="AN2091" s="2">
        <f t="shared" ca="1" si="2022"/>
        <v>22574.601543578283</v>
      </c>
      <c r="AO2091" s="2">
        <f t="shared" ca="1" si="2023"/>
        <v>23541.667741390913</v>
      </c>
      <c r="AP2091" s="2">
        <f t="shared" ca="1" si="2024"/>
        <v>2259585.2857925906</v>
      </c>
      <c r="AQ2091" s="2">
        <f t="shared" ca="1" si="2025"/>
        <v>746120.7675363957</v>
      </c>
      <c r="AR2091" s="2">
        <f t="shared" ca="1" si="2026"/>
        <v>834015.01516156364</v>
      </c>
      <c r="AS2091" s="2">
        <f t="shared" ca="1" si="2027"/>
        <v>894910.51093490457</v>
      </c>
      <c r="AT2091" s="2">
        <f t="shared" ca="1" si="2028"/>
        <v>958414.68954358948</v>
      </c>
      <c r="AU2091" s="2">
        <f t="shared" ca="1" si="2029"/>
        <v>1024639.3035244669</v>
      </c>
      <c r="AV2091" s="2">
        <f t="shared" ca="1" si="2030"/>
        <v>2123574.4922189717</v>
      </c>
      <c r="AW2091" s="2">
        <f t="shared" ca="1" si="2031"/>
        <v>2352977.0278124264</v>
      </c>
      <c r="AX2091" s="2">
        <f t="shared" ca="1" si="2032"/>
        <v>2525405.7312837574</v>
      </c>
      <c r="AY2091" s="2">
        <f t="shared" ca="1" si="2033"/>
        <v>2705221.0533112534</v>
      </c>
      <c r="AZ2091" s="2">
        <f t="shared" ca="1" si="2034"/>
        <v>2892739.4269051687</v>
      </c>
      <c r="BA2091" s="2">
        <f t="shared" ca="1" si="2035"/>
        <v>49937147.701628514</v>
      </c>
      <c r="BB2091" s="2">
        <f t="shared" ca="1" si="2036"/>
        <v>998742.95403257024</v>
      </c>
      <c r="BC2091" s="2">
        <f t="shared" ca="1" si="2037"/>
        <v>23831901.572122715</v>
      </c>
      <c r="BD2091" s="2">
        <f t="shared" ca="1" si="2038"/>
        <v>-18283773.082626872</v>
      </c>
      <c r="BE2091" s="2">
        <f t="shared" ca="1" si="2039"/>
        <v>2123574.4922189717</v>
      </c>
      <c r="BF2091" s="2">
        <f t="shared" ca="1" si="2040"/>
        <v>2352977.0278124264</v>
      </c>
      <c r="BG2091" s="2">
        <f t="shared" ca="1" si="2041"/>
        <v>2525405.7312837574</v>
      </c>
      <c r="BH2091" s="2">
        <f t="shared" ca="1" si="2042"/>
        <v>2705221.0533112534</v>
      </c>
      <c r="BI2091" s="2">
        <f t="shared" ca="1" si="2043"/>
        <v>26724640.999027885</v>
      </c>
      <c r="BJ2091" s="2">
        <f t="shared" ca="1" si="2044"/>
        <v>0.17713561296757652</v>
      </c>
      <c r="BK2091" s="2">
        <f t="shared" ca="1" si="2045"/>
        <v>4169084.2667203061</v>
      </c>
    </row>
    <row r="2092" spans="1:63" x14ac:dyDescent="0.3">
      <c r="A2092" s="2">
        <v>2091</v>
      </c>
      <c r="B2092" s="2">
        <f t="shared" ca="1" si="1984"/>
        <v>0.41869736810434399</v>
      </c>
      <c r="C2092" s="2">
        <f t="shared" ca="1" si="1985"/>
        <v>6.9150927473260229</v>
      </c>
      <c r="D2092" s="2">
        <f t="shared" ca="1" si="1986"/>
        <v>0.12250552414195071</v>
      </c>
      <c r="E2092" s="2">
        <f t="shared" ca="1" si="1987"/>
        <v>6.9949859071568614</v>
      </c>
      <c r="F2092" s="2">
        <f t="shared" ca="1" si="1988"/>
        <v>0.19981976878047325</v>
      </c>
      <c r="G2092" s="2">
        <f t="shared" ca="1" si="1989"/>
        <v>1.4732044643196832E-2</v>
      </c>
      <c r="H2092" s="2">
        <f t="shared" ca="1" si="1990"/>
        <v>1.4732044643196832E-2</v>
      </c>
      <c r="I2092" s="2">
        <f t="shared" ca="1" si="1991"/>
        <v>0.60374859308668749</v>
      </c>
      <c r="J2092" s="2">
        <f t="shared" ca="1" si="1992"/>
        <v>1.1315309860161727E-2</v>
      </c>
      <c r="K2092" s="2">
        <f t="shared" ca="1" si="1993"/>
        <v>1.1315309860161727E-2</v>
      </c>
      <c r="L2092" s="2">
        <f t="shared" ca="1" si="1994"/>
        <v>0.20615770110011877</v>
      </c>
      <c r="M2092" s="2">
        <f t="shared" ca="1" si="1995"/>
        <v>-1.6396516657057512E-2</v>
      </c>
      <c r="N2092" s="2">
        <f t="shared" ca="1" si="1996"/>
        <v>-1.6396516657057512E-2</v>
      </c>
      <c r="O2092" s="2">
        <f t="shared" si="1997"/>
        <v>6000000</v>
      </c>
      <c r="P2092" s="2">
        <f t="shared" ca="1" si="1998"/>
        <v>41490556.483956136</v>
      </c>
      <c r="Q2092" s="2">
        <f t="shared" ca="1" si="1999"/>
        <v>1037263.9120989034</v>
      </c>
      <c r="R2092" s="2">
        <f t="shared" ca="1" si="2000"/>
        <v>24894333.890373681</v>
      </c>
      <c r="S2092" s="2">
        <f t="shared" ca="1" si="2001"/>
        <v>16596222.593582455</v>
      </c>
      <c r="T2092" s="2">
        <f t="shared" ca="1" si="2002"/>
        <v>49180174.167147122</v>
      </c>
      <c r="U2092" s="2">
        <f t="shared" ca="1" si="2003"/>
        <v>49904698.688537732</v>
      </c>
      <c r="V2092" s="2">
        <f t="shared" ca="1" si="2004"/>
        <v>50639896.93752256</v>
      </c>
      <c r="W2092" s="2">
        <f t="shared" ca="1" si="2005"/>
        <v>51385926.159933031</v>
      </c>
      <c r="X2092" s="2">
        <f t="shared" ca="1" si="2006"/>
        <v>52142945.918153182</v>
      </c>
      <c r="Y2092" s="2">
        <f t="shared" ca="1" si="2007"/>
        <v>0.12565765493008085</v>
      </c>
      <c r="Z2092" s="2">
        <f t="shared" ca="1" si="2008"/>
        <v>0.12792071690211321</v>
      </c>
      <c r="AA2092" s="2">
        <f t="shared" ca="1" si="2009"/>
        <v>6179865.3548966497</v>
      </c>
      <c r="AB2092" s="2">
        <f t="shared" ca="1" si="2010"/>
        <v>6383844.8330216957</v>
      </c>
      <c r="AC2092" s="2">
        <f t="shared" ca="1" si="2011"/>
        <v>6477891.920097013</v>
      </c>
      <c r="AD2092" s="2">
        <f t="shared" ca="1" si="2012"/>
        <v>6573324.5130576864</v>
      </c>
      <c r="AE2092" s="2">
        <f t="shared" ca="1" si="2013"/>
        <v>6670163.0232382724</v>
      </c>
      <c r="AF2092" s="2">
        <f t="shared" ca="1" si="2014"/>
        <v>983603.48334294243</v>
      </c>
      <c r="AG2092" s="2">
        <f t="shared" ca="1" si="2015"/>
        <v>998093.97377075464</v>
      </c>
      <c r="AH2092" s="2">
        <f t="shared" ca="1" si="2016"/>
        <v>1012797.9387504512</v>
      </c>
      <c r="AI2092" s="2">
        <f t="shared" ca="1" si="2017"/>
        <v>1027718.5231986606</v>
      </c>
      <c r="AJ2092" s="2">
        <f t="shared" ca="1" si="2018"/>
        <v>1042858.9183630637</v>
      </c>
      <c r="AK2092" s="2">
        <f t="shared" ca="1" si="2019"/>
        <v>0</v>
      </c>
      <c r="AL2092" s="2">
        <f t="shared" ca="1" si="2020"/>
        <v>7245.2452139060942</v>
      </c>
      <c r="AM2092" s="2">
        <f t="shared" ca="1" si="2021"/>
        <v>7351.9824898482857</v>
      </c>
      <c r="AN2092" s="2">
        <f t="shared" ca="1" si="2022"/>
        <v>7460.2922241047027</v>
      </c>
      <c r="AO2092" s="2">
        <f t="shared" ca="1" si="2023"/>
        <v>7570.1975822015111</v>
      </c>
      <c r="AP2092" s="2">
        <f t="shared" ca="1" si="2024"/>
        <v>2240490.0501336311</v>
      </c>
      <c r="AQ2092" s="2">
        <f t="shared" ca="1" si="2025"/>
        <v>768500.67356921977</v>
      </c>
      <c r="AR2092" s="2">
        <f t="shared" ca="1" si="2026"/>
        <v>817767.81037050067</v>
      </c>
      <c r="AS2092" s="2">
        <f t="shared" ca="1" si="2027"/>
        <v>838397.02211536199</v>
      </c>
      <c r="AT2092" s="2">
        <f t="shared" ca="1" si="2028"/>
        <v>859330.14432860271</v>
      </c>
      <c r="AU2092" s="2">
        <f t="shared" ca="1" si="2029"/>
        <v>880571.65423281025</v>
      </c>
      <c r="AV2092" s="2">
        <f t="shared" ca="1" si="2030"/>
        <v>2187271.1478508557</v>
      </c>
      <c r="AW2092" s="2">
        <f t="shared" ca="1" si="2031"/>
        <v>2320247.7535329028</v>
      </c>
      <c r="AX2092" s="2">
        <f t="shared" ca="1" si="2032"/>
        <v>2378854.9266077201</v>
      </c>
      <c r="AY2092" s="2">
        <f t="shared" ca="1" si="2033"/>
        <v>2438325.5031726877</v>
      </c>
      <c r="AZ2092" s="2">
        <f t="shared" ca="1" si="2034"/>
        <v>2498672.2029265664</v>
      </c>
      <c r="BA2092" s="2">
        <f t="shared" ca="1" si="2035"/>
        <v>46657696.345990524</v>
      </c>
      <c r="BB2092" s="2">
        <f t="shared" ca="1" si="2036"/>
        <v>933153.92691981047</v>
      </c>
      <c r="BC2092" s="2">
        <f t="shared" ca="1" si="2037"/>
        <v>20830208.528697032</v>
      </c>
      <c r="BD2092" s="2">
        <f t="shared" ca="1" si="2038"/>
        <v>-18133486.505681358</v>
      </c>
      <c r="BE2092" s="2">
        <f t="shared" ca="1" si="2039"/>
        <v>2187271.1478508557</v>
      </c>
      <c r="BF2092" s="2">
        <f t="shared" ca="1" si="2040"/>
        <v>2320247.7535329028</v>
      </c>
      <c r="BG2092" s="2">
        <f t="shared" ca="1" si="2041"/>
        <v>2378854.9266077201</v>
      </c>
      <c r="BH2092" s="2">
        <f t="shared" ca="1" si="2042"/>
        <v>2438325.5031726877</v>
      </c>
      <c r="BI2092" s="2">
        <f t="shared" ca="1" si="2043"/>
        <v>23328880.731623597</v>
      </c>
      <c r="BJ2092" s="2">
        <f t="shared" ca="1" si="2044"/>
        <v>0.1512488081335146</v>
      </c>
      <c r="BK2092" s="2">
        <f t="shared" ca="1" si="2045"/>
        <v>2149376.7940147445</v>
      </c>
    </row>
    <row r="2093" spans="1:63" x14ac:dyDescent="0.3">
      <c r="A2093" s="2">
        <v>2092</v>
      </c>
      <c r="B2093" s="2">
        <f t="shared" ca="1" si="1984"/>
        <v>9.6566148137924301E-3</v>
      </c>
      <c r="C2093" s="2">
        <f t="shared" ca="1" si="1985"/>
        <v>6.1389720462092461</v>
      </c>
      <c r="D2093" s="2">
        <f t="shared" ca="1" si="1986"/>
        <v>0.62419116167230038</v>
      </c>
      <c r="E2093" s="2">
        <f t="shared" ca="1" si="1987"/>
        <v>7.6330411332390682</v>
      </c>
      <c r="F2093" s="2">
        <f t="shared" ca="1" si="1988"/>
        <v>0.6976488016040745</v>
      </c>
      <c r="G2093" s="2">
        <f t="shared" ca="1" si="1989"/>
        <v>5.552950398848356E-2</v>
      </c>
      <c r="H2093" s="2">
        <f t="shared" ca="1" si="1990"/>
        <v>5.552950398848356E-2</v>
      </c>
      <c r="I2093" s="2">
        <f t="shared" ca="1" si="1991"/>
        <v>0.28326934689362071</v>
      </c>
      <c r="J2093" s="2">
        <f t="shared" ca="1" si="1992"/>
        <v>7.134217198212927E-3</v>
      </c>
      <c r="K2093" s="2">
        <f t="shared" ca="1" si="1993"/>
        <v>7.134217198212927E-3</v>
      </c>
      <c r="L2093" s="2">
        <f t="shared" ca="1" si="1994"/>
        <v>0.72802926451642835</v>
      </c>
      <c r="M2093" s="2">
        <f t="shared" ca="1" si="1995"/>
        <v>1.2137270956735721E-2</v>
      </c>
      <c r="N2093" s="2">
        <f t="shared" ca="1" si="1996"/>
        <v>1.2137270956735721E-2</v>
      </c>
      <c r="O2093" s="2">
        <f t="shared" si="1997"/>
        <v>6000000</v>
      </c>
      <c r="P2093" s="2">
        <f t="shared" ca="1" si="1998"/>
        <v>36833832.277255476</v>
      </c>
      <c r="Q2093" s="2">
        <f t="shared" ca="1" si="1999"/>
        <v>920845.80693138693</v>
      </c>
      <c r="R2093" s="2">
        <f t="shared" ca="1" si="2000"/>
        <v>22100299.366353285</v>
      </c>
      <c r="S2093" s="2">
        <f t="shared" ca="1" si="2001"/>
        <v>14733532.910902191</v>
      </c>
      <c r="T2093" s="2">
        <f t="shared" ca="1" si="2002"/>
        <v>50606863.547836788</v>
      </c>
      <c r="U2093" s="2">
        <f t="shared" ca="1" si="2003"/>
        <v>53417037.579061031</v>
      </c>
      <c r="V2093" s="2">
        <f t="shared" ca="1" si="2004"/>
        <v>56383259.180360474</v>
      </c>
      <c r="W2093" s="2">
        <f t="shared" ca="1" si="2005"/>
        <v>59514193.595899999</v>
      </c>
      <c r="X2093" s="2">
        <f t="shared" ca="1" si="2006"/>
        <v>62818987.246554911</v>
      </c>
      <c r="Y2093" s="2">
        <f t="shared" ca="1" si="2007"/>
        <v>0.12356710859910645</v>
      </c>
      <c r="Z2093" s="2">
        <f t="shared" ca="1" si="2008"/>
        <v>0.12499395203874905</v>
      </c>
      <c r="AA2093" s="2">
        <f t="shared" ca="1" si="2009"/>
        <v>6253343.8038757099</v>
      </c>
      <c r="AB2093" s="2">
        <f t="shared" ca="1" si="2010"/>
        <v>6676806.6332092099</v>
      </c>
      <c r="AC2093" s="2">
        <f t="shared" ca="1" si="2011"/>
        <v>7047566.3937783344</v>
      </c>
      <c r="AD2093" s="2">
        <f t="shared" ca="1" si="2012"/>
        <v>7438914.2599507505</v>
      </c>
      <c r="AE2093" s="2">
        <f t="shared" ca="1" si="2013"/>
        <v>7851993.4790186733</v>
      </c>
      <c r="AF2093" s="2">
        <f t="shared" ca="1" si="2014"/>
        <v>1012137.2709567358</v>
      </c>
      <c r="AG2093" s="2">
        <f t="shared" ca="1" si="2015"/>
        <v>1068340.7515812207</v>
      </c>
      <c r="AH2093" s="2">
        <f t="shared" ca="1" si="2016"/>
        <v>1127665.1836072095</v>
      </c>
      <c r="AI2093" s="2">
        <f t="shared" ca="1" si="2017"/>
        <v>1190283.871918</v>
      </c>
      <c r="AJ2093" s="2">
        <f t="shared" ca="1" si="2018"/>
        <v>1256379.7449310983</v>
      </c>
      <c r="AK2093" s="2">
        <f t="shared" ca="1" si="2019"/>
        <v>0</v>
      </c>
      <c r="AL2093" s="2">
        <f t="shared" ca="1" si="2020"/>
        <v>28101.740312242433</v>
      </c>
      <c r="AM2093" s="2">
        <f t="shared" ca="1" si="2021"/>
        <v>29662.216012994424</v>
      </c>
      <c r="AN2093" s="2">
        <f t="shared" ca="1" si="2022"/>
        <v>31309.344155395254</v>
      </c>
      <c r="AO2093" s="2">
        <f t="shared" ca="1" si="2023"/>
        <v>33047.936506549122</v>
      </c>
      <c r="AP2093" s="2">
        <f t="shared" ca="1" si="2024"/>
        <v>1989026.9429717956</v>
      </c>
      <c r="AQ2093" s="2">
        <f t="shared" ca="1" si="2025"/>
        <v>845566.69338626636</v>
      </c>
      <c r="AR2093" s="2">
        <f t="shared" ca="1" si="2026"/>
        <v>941054.12405061023</v>
      </c>
      <c r="AS2093" s="2">
        <f t="shared" ca="1" si="2027"/>
        <v>1022027.3094718256</v>
      </c>
      <c r="AT2093" s="2">
        <f t="shared" ca="1" si="2028"/>
        <v>1107496.8957158481</v>
      </c>
      <c r="AU2093" s="2">
        <f t="shared" ca="1" si="2029"/>
        <v>1197712.5656901028</v>
      </c>
      <c r="AV2093" s="2">
        <f t="shared" ca="1" si="2030"/>
        <v>2406612.896560912</v>
      </c>
      <c r="AW2093" s="2">
        <f t="shared" ca="1" si="2031"/>
        <v>2650283.0742933396</v>
      </c>
      <c r="AX2093" s="2">
        <f t="shared" ca="1" si="2032"/>
        <v>2879184.7417145092</v>
      </c>
      <c r="AY2093" s="2">
        <f t="shared" ca="1" si="2033"/>
        <v>3120797.2051897105</v>
      </c>
      <c r="AZ2093" s="2">
        <f t="shared" ca="1" si="2034"/>
        <v>3375826.2889191275</v>
      </c>
      <c r="BA2093" s="2">
        <f t="shared" ca="1" si="2035"/>
        <v>59934589.203274466</v>
      </c>
      <c r="BB2093" s="2">
        <f t="shared" ca="1" si="2036"/>
        <v>1198691.7840654894</v>
      </c>
      <c r="BC2093" s="2">
        <f t="shared" ca="1" si="2037"/>
        <v>36635598.052855693</v>
      </c>
      <c r="BD2093" s="2">
        <f t="shared" ca="1" si="2038"/>
        <v>-16154378.717833579</v>
      </c>
      <c r="BE2093" s="2">
        <f t="shared" ca="1" si="2039"/>
        <v>2406612.896560912</v>
      </c>
      <c r="BF2093" s="2">
        <f t="shared" ca="1" si="2040"/>
        <v>2650283.0742933396</v>
      </c>
      <c r="BG2093" s="2">
        <f t="shared" ca="1" si="2041"/>
        <v>2879184.7417145092</v>
      </c>
      <c r="BH2093" s="2">
        <f t="shared" ca="1" si="2042"/>
        <v>3120797.2051897105</v>
      </c>
      <c r="BI2093" s="2">
        <f t="shared" ca="1" si="2043"/>
        <v>40011424.341774821</v>
      </c>
      <c r="BJ2093" s="2">
        <f t="shared" ca="1" si="2044"/>
        <v>0.30876473582538155</v>
      </c>
      <c r="BK2093" s="2">
        <f t="shared" ca="1" si="2045"/>
        <v>14843398.816524085</v>
      </c>
    </row>
    <row r="2094" spans="1:63" x14ac:dyDescent="0.3">
      <c r="A2094" s="2">
        <v>2093</v>
      </c>
      <c r="B2094" s="2">
        <f t="shared" ca="1" si="1984"/>
        <v>0.50982211974757674</v>
      </c>
      <c r="C2094" s="2">
        <f t="shared" ca="1" si="1985"/>
        <v>7.0098708364537252</v>
      </c>
      <c r="D2094" s="2">
        <f t="shared" ca="1" si="1986"/>
        <v>0.86081826506977144</v>
      </c>
      <c r="E2094" s="2">
        <f t="shared" ca="1" si="1987"/>
        <v>7.9723983795888635</v>
      </c>
      <c r="F2094" s="2">
        <f t="shared" ca="1" si="1988"/>
        <v>0.19944219995763857</v>
      </c>
      <c r="G2094" s="2">
        <f t="shared" ca="1" si="1989"/>
        <v>1.4691540362913522E-2</v>
      </c>
      <c r="H2094" s="2">
        <f t="shared" ca="1" si="1990"/>
        <v>1.4691540362913522E-2</v>
      </c>
      <c r="I2094" s="2">
        <f t="shared" ca="1" si="1991"/>
        <v>0.76277757373198951</v>
      </c>
      <c r="J2094" s="2">
        <f t="shared" ca="1" si="1992"/>
        <v>1.3576328712359415E-2</v>
      </c>
      <c r="K2094" s="2">
        <f t="shared" ca="1" si="1993"/>
        <v>1.3576328712359415E-2</v>
      </c>
      <c r="L2094" s="2">
        <f t="shared" ca="1" si="1994"/>
        <v>8.5762740697232331E-2</v>
      </c>
      <c r="M2094" s="2">
        <f t="shared" ca="1" si="1995"/>
        <v>-2.7346370897634361E-2</v>
      </c>
      <c r="N2094" s="2">
        <f t="shared" ca="1" si="1996"/>
        <v>-2.7346370897634361E-2</v>
      </c>
      <c r="O2094" s="2">
        <f t="shared" si="1997"/>
        <v>6000000</v>
      </c>
      <c r="P2094" s="2">
        <f t="shared" ca="1" si="1998"/>
        <v>42059225.018722348</v>
      </c>
      <c r="Q2094" s="2">
        <f t="shared" ca="1" si="1999"/>
        <v>1051480.6254680587</v>
      </c>
      <c r="R2094" s="2">
        <f t="shared" ca="1" si="2000"/>
        <v>25235535.011233408</v>
      </c>
      <c r="S2094" s="2">
        <f t="shared" ca="1" si="2001"/>
        <v>16823690.00748894</v>
      </c>
      <c r="T2094" s="2">
        <f t="shared" ca="1" si="2002"/>
        <v>48632681.455118284</v>
      </c>
      <c r="U2094" s="2">
        <f t="shared" ca="1" si="2003"/>
        <v>49347170.457672872</v>
      </c>
      <c r="V2094" s="2">
        <f t="shared" ca="1" si="2004"/>
        <v>50072156.404247344</v>
      </c>
      <c r="W2094" s="2">
        <f t="shared" ca="1" si="2005"/>
        <v>50807793.511118464</v>
      </c>
      <c r="X2094" s="2">
        <f t="shared" ca="1" si="2006"/>
        <v>51554238.260237634</v>
      </c>
      <c r="Y2094" s="2">
        <f t="shared" ca="1" si="2007"/>
        <v>0.12678816435617971</v>
      </c>
      <c r="Z2094" s="2">
        <f t="shared" ca="1" si="2008"/>
        <v>0.12950343009865159</v>
      </c>
      <c r="AA2094" s="2">
        <f t="shared" ca="1" si="2009"/>
        <v>6166048.4094132697</v>
      </c>
      <c r="AB2094" s="2">
        <f t="shared" ca="1" si="2010"/>
        <v>6390627.8399314834</v>
      </c>
      <c r="AC2094" s="2">
        <f t="shared" ca="1" si="2011"/>
        <v>6484516.0067861956</v>
      </c>
      <c r="AD2094" s="2">
        <f t="shared" ca="1" si="2012"/>
        <v>6579783.535433854</v>
      </c>
      <c r="AE2094" s="2">
        <f t="shared" ca="1" si="2013"/>
        <v>6676450.6908239136</v>
      </c>
      <c r="AF2094" s="2">
        <f t="shared" ca="1" si="2014"/>
        <v>972653.6291023657</v>
      </c>
      <c r="AG2094" s="2">
        <f t="shared" ca="1" si="2015"/>
        <v>986943.4091534575</v>
      </c>
      <c r="AH2094" s="2">
        <f t="shared" ca="1" si="2016"/>
        <v>1001443.1280849469</v>
      </c>
      <c r="AI2094" s="2">
        <f t="shared" ca="1" si="2017"/>
        <v>1016155.8702223693</v>
      </c>
      <c r="AJ2094" s="2">
        <f t="shared" ca="1" si="2018"/>
        <v>1031084.7652047527</v>
      </c>
      <c r="AK2094" s="2">
        <f t="shared" ca="1" si="2019"/>
        <v>0</v>
      </c>
      <c r="AL2094" s="2">
        <f t="shared" ca="1" si="2020"/>
        <v>7144.8900255458802</v>
      </c>
      <c r="AM2094" s="2">
        <f t="shared" ca="1" si="2021"/>
        <v>7249.8594657447193</v>
      </c>
      <c r="AN2094" s="2">
        <f t="shared" ca="1" si="2022"/>
        <v>7356.3710687112061</v>
      </c>
      <c r="AO2094" s="2">
        <f t="shared" ca="1" si="2023"/>
        <v>7464.4474911917005</v>
      </c>
      <c r="AP2094" s="2">
        <f t="shared" ca="1" si="2024"/>
        <v>2271198.1510110064</v>
      </c>
      <c r="AQ2094" s="2">
        <f t="shared" ca="1" si="2025"/>
        <v>759771.1236179733</v>
      </c>
      <c r="AR2094" s="2">
        <f t="shared" ca="1" si="2026"/>
        <v>814446.43273942498</v>
      </c>
      <c r="AS2094" s="2">
        <f t="shared" ca="1" si="2027"/>
        <v>835087.42919946311</v>
      </c>
      <c r="AT2094" s="2">
        <f t="shared" ca="1" si="2028"/>
        <v>856031.67369212443</v>
      </c>
      <c r="AU2094" s="2">
        <f t="shared" ca="1" si="2029"/>
        <v>877283.62139812019</v>
      </c>
      <c r="AV2094" s="2">
        <f t="shared" ca="1" si="2030"/>
        <v>2162425.5056819241</v>
      </c>
      <c r="AW2094" s="2">
        <f t="shared" ca="1" si="2031"/>
        <v>2310894.9570020479</v>
      </c>
      <c r="AX2094" s="2">
        <f t="shared" ca="1" si="2032"/>
        <v>2369537.4390250356</v>
      </c>
      <c r="AY2094" s="2">
        <f t="shared" ca="1" si="2033"/>
        <v>2429041.469439643</v>
      </c>
      <c r="AZ2094" s="2">
        <f t="shared" ca="1" si="2034"/>
        <v>2489419.7057188428</v>
      </c>
      <c r="BA2094" s="2">
        <f t="shared" ca="1" si="2035"/>
        <v>53227324.668929517</v>
      </c>
      <c r="BB2094" s="2">
        <f t="shared" ca="1" si="2036"/>
        <v>1064546.4933785903</v>
      </c>
      <c r="BC2094" s="2">
        <f t="shared" ca="1" si="2037"/>
        <v>26927243.164317518</v>
      </c>
      <c r="BD2094" s="2">
        <f t="shared" ca="1" si="2038"/>
        <v>-18375170.632957</v>
      </c>
      <c r="BE2094" s="2">
        <f t="shared" ca="1" si="2039"/>
        <v>2162425.5056819241</v>
      </c>
      <c r="BF2094" s="2">
        <f t="shared" ca="1" si="2040"/>
        <v>2310894.9570020479</v>
      </c>
      <c r="BG2094" s="2">
        <f t="shared" ca="1" si="2041"/>
        <v>2369537.4390250356</v>
      </c>
      <c r="BH2094" s="2">
        <f t="shared" ca="1" si="2042"/>
        <v>2429041.469439643</v>
      </c>
      <c r="BI2094" s="2">
        <f t="shared" ca="1" si="2043"/>
        <v>29416662.87003636</v>
      </c>
      <c r="BJ2094" s="2">
        <f t="shared" ca="1" si="2044"/>
        <v>0.1902877011952302</v>
      </c>
      <c r="BK2094" s="2">
        <f t="shared" ca="1" si="2045"/>
        <v>5319891.9677282535</v>
      </c>
    </row>
    <row r="2095" spans="1:63" x14ac:dyDescent="0.3">
      <c r="A2095" s="2">
        <v>2094</v>
      </c>
      <c r="B2095" s="2">
        <f t="shared" ca="1" si="1984"/>
        <v>0.28772447332240525</v>
      </c>
      <c r="C2095" s="2">
        <f t="shared" ca="1" si="1985"/>
        <v>6.7585835132962027</v>
      </c>
      <c r="D2095" s="2">
        <f t="shared" ca="1" si="1986"/>
        <v>0.54552993803825345</v>
      </c>
      <c r="E2095" s="2">
        <f t="shared" ca="1" si="1987"/>
        <v>7.5466164864423693</v>
      </c>
      <c r="F2095" s="2">
        <f t="shared" ca="1" si="1988"/>
        <v>0.99592277556851361</v>
      </c>
      <c r="G2095" s="2">
        <f t="shared" ca="1" si="1989"/>
        <v>0.11936821053386795</v>
      </c>
      <c r="H2095" s="2">
        <f t="shared" ca="1" si="1990"/>
        <v>0.11936821053386795</v>
      </c>
      <c r="I2095" s="2">
        <f t="shared" ca="1" si="1991"/>
        <v>0.27519976438414706</v>
      </c>
      <c r="J2095" s="2">
        <f t="shared" ca="1" si="1992"/>
        <v>7.0141922598450186E-3</v>
      </c>
      <c r="K2095" s="2">
        <f t="shared" ca="1" si="1993"/>
        <v>7.0141922598450186E-3</v>
      </c>
      <c r="L2095" s="2">
        <f t="shared" ca="1" si="1994"/>
        <v>0.85303515441269029</v>
      </c>
      <c r="M2095" s="2">
        <f t="shared" ca="1" si="1995"/>
        <v>2.0990798444413841E-2</v>
      </c>
      <c r="N2095" s="2">
        <f t="shared" ca="1" si="1996"/>
        <v>2.0990798444413841E-2</v>
      </c>
      <c r="O2095" s="2">
        <f t="shared" si="1997"/>
        <v>6000000</v>
      </c>
      <c r="P2095" s="2">
        <f t="shared" ca="1" si="1998"/>
        <v>40551501.079777218</v>
      </c>
      <c r="Q2095" s="2">
        <f t="shared" ca="1" si="1999"/>
        <v>1013787.5269944305</v>
      </c>
      <c r="R2095" s="2">
        <f t="shared" ca="1" si="2000"/>
        <v>24330900.647866331</v>
      </c>
      <c r="S2095" s="2">
        <f t="shared" ca="1" si="2001"/>
        <v>16220600.431910887</v>
      </c>
      <c r="T2095" s="2">
        <f t="shared" ca="1" si="2002"/>
        <v>51049539.922220685</v>
      </c>
      <c r="U2095" s="2">
        <f t="shared" ca="1" si="2003"/>
        <v>57143232.151313424</v>
      </c>
      <c r="V2095" s="2">
        <f t="shared" ca="1" si="2004"/>
        <v>63964317.517337099</v>
      </c>
      <c r="W2095" s="2">
        <f t="shared" ca="1" si="2005"/>
        <v>71599623.637401775</v>
      </c>
      <c r="X2095" s="2">
        <f t="shared" ca="1" si="2006"/>
        <v>80146342.585896865</v>
      </c>
      <c r="Y2095" s="2">
        <f t="shared" ca="1" si="2007"/>
        <v>0.1235070961299225</v>
      </c>
      <c r="Z2095" s="2">
        <f t="shared" ca="1" si="2008"/>
        <v>0.12490993458189151</v>
      </c>
      <c r="AA2095" s="2">
        <f t="shared" ca="1" si="2009"/>
        <v>6304980.4345620265</v>
      </c>
      <c r="AB2095" s="2">
        <f t="shared" ca="1" si="2010"/>
        <v>7137757.3898183992</v>
      </c>
      <c r="AC2095" s="2">
        <f t="shared" ca="1" si="2011"/>
        <v>7989778.7166659143</v>
      </c>
      <c r="AD2095" s="2">
        <f t="shared" ca="1" si="2012"/>
        <v>8943504.3046359085</v>
      </c>
      <c r="AE2095" s="2">
        <f t="shared" ca="1" si="2013"/>
        <v>10011074.409382243</v>
      </c>
      <c r="AF2095" s="2">
        <f t="shared" ca="1" si="2014"/>
        <v>1020990.7984444137</v>
      </c>
      <c r="AG2095" s="2">
        <f t="shared" ca="1" si="2015"/>
        <v>1142864.6430262686</v>
      </c>
      <c r="AH2095" s="2">
        <f t="shared" ca="1" si="2016"/>
        <v>1279286.350346742</v>
      </c>
      <c r="AI2095" s="2">
        <f t="shared" ca="1" si="2017"/>
        <v>1431992.4727480356</v>
      </c>
      <c r="AJ2095" s="2">
        <f t="shared" ca="1" si="2018"/>
        <v>1602926.8517179373</v>
      </c>
      <c r="AK2095" s="2">
        <f t="shared" ca="1" si="2019"/>
        <v>0</v>
      </c>
      <c r="AL2095" s="2">
        <f t="shared" ca="1" si="2020"/>
        <v>60936.922290927396</v>
      </c>
      <c r="AM2095" s="2">
        <f t="shared" ca="1" si="2021"/>
        <v>68210.853660236753</v>
      </c>
      <c r="AN2095" s="2">
        <f t="shared" ca="1" si="2022"/>
        <v>76353.061200646756</v>
      </c>
      <c r="AO2095" s="2">
        <f t="shared" ca="1" si="2023"/>
        <v>85467.189484950897</v>
      </c>
      <c r="AP2095" s="2">
        <f t="shared" ca="1" si="2024"/>
        <v>2189781.0583079699</v>
      </c>
      <c r="AQ2095" s="2">
        <f t="shared" ca="1" si="2025"/>
        <v>804494.23023050721</v>
      </c>
      <c r="AR2095" s="2">
        <f t="shared" ca="1" si="2026"/>
        <v>989329.03900588164</v>
      </c>
      <c r="AS2095" s="2">
        <f t="shared" ca="1" si="2027"/>
        <v>1175384.9400829126</v>
      </c>
      <c r="AT2095" s="2">
        <f t="shared" ca="1" si="2028"/>
        <v>1383650.0011307749</v>
      </c>
      <c r="AU2095" s="2">
        <f t="shared" ca="1" si="2029"/>
        <v>1616775.2898326472</v>
      </c>
      <c r="AV2095" s="2">
        <f t="shared" ca="1" si="2030"/>
        <v>2289714.3475791356</v>
      </c>
      <c r="AW2095" s="2">
        <f t="shared" ca="1" si="2031"/>
        <v>2754845.7271873504</v>
      </c>
      <c r="AX2095" s="2">
        <f t="shared" ca="1" si="2032"/>
        <v>3277115.5142680528</v>
      </c>
      <c r="AY2095" s="2">
        <f t="shared" ca="1" si="2033"/>
        <v>3861727.7112484816</v>
      </c>
      <c r="AZ2095" s="2">
        <f t="shared" ca="1" si="2034"/>
        <v>4516124.020038737</v>
      </c>
      <c r="BA2095" s="2">
        <f t="shared" ca="1" si="2035"/>
        <v>75549739.184845343</v>
      </c>
      <c r="BB2095" s="2">
        <f t="shared" ca="1" si="2036"/>
        <v>1510994.7836969069</v>
      </c>
      <c r="BC2095" s="2">
        <f t="shared" ca="1" si="2037"/>
        <v>49707843.753282107</v>
      </c>
      <c r="BD2095" s="2">
        <f t="shared" ca="1" si="2038"/>
        <v>-17734387.958905317</v>
      </c>
      <c r="BE2095" s="2">
        <f t="shared" ca="1" si="2039"/>
        <v>2289714.3475791356</v>
      </c>
      <c r="BF2095" s="2">
        <f t="shared" ca="1" si="2040"/>
        <v>2754845.7271873504</v>
      </c>
      <c r="BG2095" s="2">
        <f t="shared" ca="1" si="2041"/>
        <v>3277115.5142680528</v>
      </c>
      <c r="BH2095" s="2">
        <f t="shared" ca="1" si="2042"/>
        <v>3861727.7112484816</v>
      </c>
      <c r="BI2095" s="2">
        <f t="shared" ca="1" si="2043"/>
        <v>54223967.773320846</v>
      </c>
      <c r="BJ2095" s="2">
        <f t="shared" ca="1" si="2044"/>
        <v>0.35110974366870229</v>
      </c>
      <c r="BK2095" s="2">
        <f t="shared" ca="1" si="2045"/>
        <v>22061065.40418084</v>
      </c>
    </row>
    <row r="2096" spans="1:63" x14ac:dyDescent="0.3">
      <c r="A2096" s="2">
        <v>2095</v>
      </c>
      <c r="B2096" s="2">
        <f t="shared" ca="1" si="1984"/>
        <v>0.85368381637144852</v>
      </c>
      <c r="C2096" s="2">
        <f t="shared" ca="1" si="1985"/>
        <v>7.4590449489494501</v>
      </c>
      <c r="D2096" s="2">
        <f t="shared" ca="1" si="1986"/>
        <v>0.26456457306521752</v>
      </c>
      <c r="E2096" s="2">
        <f t="shared" ca="1" si="1987"/>
        <v>7.22741263814319</v>
      </c>
      <c r="F2096" s="2">
        <f t="shared" ca="1" si="1988"/>
        <v>0.74443304260640752</v>
      </c>
      <c r="G2096" s="2">
        <f t="shared" ca="1" si="1989"/>
        <v>5.971219298849053E-2</v>
      </c>
      <c r="H2096" s="2">
        <f t="shared" ca="1" si="1990"/>
        <v>5.971219298849053E-2</v>
      </c>
      <c r="I2096" s="2">
        <f t="shared" ca="1" si="1991"/>
        <v>0.54269447411643623</v>
      </c>
      <c r="J2096" s="2">
        <f t="shared" ca="1" si="1992"/>
        <v>1.0536121412894936E-2</v>
      </c>
      <c r="K2096" s="2">
        <f t="shared" ca="1" si="1993"/>
        <v>1.0536121412894936E-2</v>
      </c>
      <c r="L2096" s="2">
        <f t="shared" ca="1" si="1994"/>
        <v>0.86257692259071106</v>
      </c>
      <c r="M2096" s="2">
        <f t="shared" ca="1" si="1995"/>
        <v>2.1839406043340316E-2</v>
      </c>
      <c r="N2096" s="2">
        <f t="shared" ca="1" si="1996"/>
        <v>2.1839406043340316E-2</v>
      </c>
      <c r="O2096" s="2">
        <f t="shared" si="1997"/>
        <v>6000000</v>
      </c>
      <c r="P2096" s="2">
        <f t="shared" ca="1" si="1998"/>
        <v>44754269.6936967</v>
      </c>
      <c r="Q2096" s="2">
        <f t="shared" ca="1" si="1999"/>
        <v>1118856.7423424176</v>
      </c>
      <c r="R2096" s="2">
        <f t="shared" ca="1" si="2000"/>
        <v>26852561.816218019</v>
      </c>
      <c r="S2096" s="2">
        <f t="shared" ca="1" si="2001"/>
        <v>17901707.877478682</v>
      </c>
      <c r="T2096" s="2">
        <f t="shared" ca="1" si="2002"/>
        <v>51091970.302167013</v>
      </c>
      <c r="U2096" s="2">
        <f t="shared" ca="1" si="2003"/>
        <v>54142783.893012233</v>
      </c>
      <c r="V2096" s="2">
        <f t="shared" ca="1" si="2004"/>
        <v>57375768.253765918</v>
      </c>
      <c r="W2096" s="2">
        <f t="shared" ca="1" si="2005"/>
        <v>60801801.200597696</v>
      </c>
      <c r="X2096" s="2">
        <f t="shared" ca="1" si="2006"/>
        <v>64432410.087935619</v>
      </c>
      <c r="Y2096" s="2">
        <f t="shared" ca="1" si="2007"/>
        <v>0.12526806070644747</v>
      </c>
      <c r="Z2096" s="2">
        <f t="shared" ca="1" si="2008"/>
        <v>0.12737528498902645</v>
      </c>
      <c r="AA2096" s="2">
        <f t="shared" ca="1" si="2009"/>
        <v>6400192.0374238687</v>
      </c>
      <c r="AB2096" s="2">
        <f t="shared" ca="1" si="2010"/>
        <v>6896452.5284717046</v>
      </c>
      <c r="AC2096" s="2">
        <f t="shared" ca="1" si="2011"/>
        <v>7308254.8327877698</v>
      </c>
      <c r="AD2096" s="2">
        <f t="shared" ca="1" si="2012"/>
        <v>7744646.7557722619</v>
      </c>
      <c r="AE2096" s="2">
        <f t="shared" ca="1" si="2013"/>
        <v>8207096.5974806221</v>
      </c>
      <c r="AF2096" s="2">
        <f t="shared" ca="1" si="2014"/>
        <v>1021839.4060433403</v>
      </c>
      <c r="AG2096" s="2">
        <f t="shared" ca="1" si="2015"/>
        <v>1082855.6778602446</v>
      </c>
      <c r="AH2096" s="2">
        <f t="shared" ca="1" si="2016"/>
        <v>1147515.3650753184</v>
      </c>
      <c r="AI2096" s="2">
        <f t="shared" ca="1" si="2017"/>
        <v>1216036.024011954</v>
      </c>
      <c r="AJ2096" s="2">
        <f t="shared" ca="1" si="2018"/>
        <v>1288648.2017587123</v>
      </c>
      <c r="AK2096" s="2">
        <f t="shared" ca="1" si="2019"/>
        <v>0</v>
      </c>
      <c r="AL2096" s="2">
        <f t="shared" ca="1" si="2020"/>
        <v>30508.135908452197</v>
      </c>
      <c r="AM2096" s="2">
        <f t="shared" ca="1" si="2021"/>
        <v>32329.843607536852</v>
      </c>
      <c r="AN2096" s="2">
        <f t="shared" ca="1" si="2022"/>
        <v>34260.329468317781</v>
      </c>
      <c r="AO2096" s="2">
        <f t="shared" ca="1" si="2023"/>
        <v>36306.088873379231</v>
      </c>
      <c r="AP2096" s="2">
        <f t="shared" ca="1" si="2024"/>
        <v>2416730.5634596217</v>
      </c>
      <c r="AQ2096" s="2">
        <f t="shared" ca="1" si="2025"/>
        <v>770021.73765943572</v>
      </c>
      <c r="AR2096" s="2">
        <f t="shared" ca="1" si="2026"/>
        <v>883185.23465947784</v>
      </c>
      <c r="AS2096" s="2">
        <f t="shared" ca="1" si="2027"/>
        <v>973442.31510573579</v>
      </c>
      <c r="AT2096" s="2">
        <f t="shared" ca="1" si="2028"/>
        <v>1069088.8437581784</v>
      </c>
      <c r="AU2096" s="2">
        <f t="shared" ca="1" si="2029"/>
        <v>1170446.636388195</v>
      </c>
      <c r="AV2096" s="2">
        <f t="shared" ca="1" si="2030"/>
        <v>2191600.3302614707</v>
      </c>
      <c r="AW2096" s="2">
        <f t="shared" ca="1" si="2031"/>
        <v>2483172.9165839078</v>
      </c>
      <c r="AX2096" s="2">
        <f t="shared" ca="1" si="2032"/>
        <v>2738236.7455395572</v>
      </c>
      <c r="AY2096" s="2">
        <f t="shared" ca="1" si="2033"/>
        <v>3008530.9950741902</v>
      </c>
      <c r="AZ2096" s="2">
        <f t="shared" ca="1" si="2034"/>
        <v>3294965.1070007142</v>
      </c>
      <c r="BA2096" s="2">
        <f t="shared" ca="1" si="2035"/>
        <v>59316073.671093419</v>
      </c>
      <c r="BB2096" s="2">
        <f t="shared" ca="1" si="2036"/>
        <v>1186321.4734218684</v>
      </c>
      <c r="BC2096" s="2">
        <f t="shared" ca="1" si="2037"/>
        <v>31277190.381453533</v>
      </c>
      <c r="BD2096" s="2">
        <f t="shared" ca="1" si="2038"/>
        <v>-19520564.619821098</v>
      </c>
      <c r="BE2096" s="2">
        <f t="shared" ca="1" si="2039"/>
        <v>2191600.3302614707</v>
      </c>
      <c r="BF2096" s="2">
        <f t="shared" ca="1" si="2040"/>
        <v>2483172.9165839078</v>
      </c>
      <c r="BG2096" s="2">
        <f t="shared" ca="1" si="2041"/>
        <v>2738236.7455395572</v>
      </c>
      <c r="BH2096" s="2">
        <f t="shared" ca="1" si="2042"/>
        <v>3008530.9950741902</v>
      </c>
      <c r="BI2096" s="2">
        <f t="shared" ca="1" si="2043"/>
        <v>34572155.488454245</v>
      </c>
      <c r="BJ2096" s="2">
        <f t="shared" ca="1" si="2044"/>
        <v>0.21394049921997138</v>
      </c>
      <c r="BK2096" s="2">
        <f t="shared" ca="1" si="2045"/>
        <v>7893959.7856930941</v>
      </c>
    </row>
    <row r="2097" spans="1:63" x14ac:dyDescent="0.3">
      <c r="A2097" s="2">
        <v>2096</v>
      </c>
      <c r="B2097" s="2">
        <f t="shared" ca="1" si="1984"/>
        <v>0.12522147744949375</v>
      </c>
      <c r="C2097" s="2">
        <f t="shared" ca="1" si="1985"/>
        <v>6.500442758863576</v>
      </c>
      <c r="D2097" s="2">
        <f t="shared" ca="1" si="1986"/>
        <v>0.24989446042500296</v>
      </c>
      <c r="E2097" s="2">
        <f t="shared" ca="1" si="1987"/>
        <v>7.2069575099325318</v>
      </c>
      <c r="F2097" s="2">
        <f t="shared" ca="1" si="1988"/>
        <v>0.23677367402686966</v>
      </c>
      <c r="G2097" s="2">
        <f t="shared" ca="1" si="1989"/>
        <v>1.8498422620494673E-2</v>
      </c>
      <c r="H2097" s="2">
        <f t="shared" ca="1" si="1990"/>
        <v>1.8498422620494673E-2</v>
      </c>
      <c r="I2097" s="2">
        <f t="shared" ca="1" si="1991"/>
        <v>0.11715053721897262</v>
      </c>
      <c r="J2097" s="2">
        <f t="shared" ca="1" si="1992"/>
        <v>4.0532386477397661E-3</v>
      </c>
      <c r="K2097" s="2">
        <f t="shared" ca="1" si="1993"/>
        <v>4.0532386477397661E-3</v>
      </c>
      <c r="L2097" s="2">
        <f t="shared" ca="1" si="1994"/>
        <v>0.85703575367728224</v>
      </c>
      <c r="M2097" s="2">
        <f t="shared" ca="1" si="1995"/>
        <v>2.1341919790561423E-2</v>
      </c>
      <c r="N2097" s="2">
        <f t="shared" ca="1" si="1996"/>
        <v>2.1341919790561423E-2</v>
      </c>
      <c r="O2097" s="2">
        <f t="shared" si="1997"/>
        <v>6000000</v>
      </c>
      <c r="P2097" s="2">
        <f t="shared" ca="1" si="1998"/>
        <v>39002656.553181455</v>
      </c>
      <c r="Q2097" s="2">
        <f t="shared" ca="1" si="1999"/>
        <v>975066.41382953641</v>
      </c>
      <c r="R2097" s="2">
        <f t="shared" ca="1" si="2000"/>
        <v>23401593.931908872</v>
      </c>
      <c r="S2097" s="2">
        <f t="shared" ca="1" si="2001"/>
        <v>15601062.621272583</v>
      </c>
      <c r="T2097" s="2">
        <f t="shared" ca="1" si="2002"/>
        <v>51067095.989528067</v>
      </c>
      <c r="U2097" s="2">
        <f t="shared" ca="1" si="2003"/>
        <v>52011756.713143729</v>
      </c>
      <c r="V2097" s="2">
        <f t="shared" ca="1" si="2004"/>
        <v>52973892.170057818</v>
      </c>
      <c r="W2097" s="2">
        <f t="shared" ca="1" si="2005"/>
        <v>53953825.615272067</v>
      </c>
      <c r="X2097" s="2">
        <f t="shared" ca="1" si="2006"/>
        <v>54951886.283495843</v>
      </c>
      <c r="Y2097" s="2">
        <f t="shared" ca="1" si="2007"/>
        <v>0.12202661932386988</v>
      </c>
      <c r="Z2097" s="2">
        <f t="shared" ca="1" si="2008"/>
        <v>0.12283726705341783</v>
      </c>
      <c r="AA2097" s="2">
        <f t="shared" ca="1" si="2009"/>
        <v>6231545.0822896641</v>
      </c>
      <c r="AB2097" s="2">
        <f t="shared" ca="1" si="2010"/>
        <v>6388982.0492898338</v>
      </c>
      <c r="AC2097" s="2">
        <f t="shared" ca="1" si="2011"/>
        <v>6507168.1393523514</v>
      </c>
      <c r="AD2097" s="2">
        <f t="shared" ca="1" si="2012"/>
        <v>6627540.4856567103</v>
      </c>
      <c r="AE2097" s="2">
        <f t="shared" ca="1" si="2013"/>
        <v>6750139.5304948268</v>
      </c>
      <c r="AF2097" s="2">
        <f t="shared" ca="1" si="2014"/>
        <v>1021341.9197905614</v>
      </c>
      <c r="AG2097" s="2">
        <f t="shared" ca="1" si="2015"/>
        <v>1040235.1342628746</v>
      </c>
      <c r="AH2097" s="2">
        <f t="shared" ca="1" si="2016"/>
        <v>1059477.8434011564</v>
      </c>
      <c r="AI2097" s="2">
        <f t="shared" ca="1" si="2017"/>
        <v>1079076.5123054413</v>
      </c>
      <c r="AJ2097" s="2">
        <f t="shared" ca="1" si="2018"/>
        <v>1099037.725669917</v>
      </c>
      <c r="AK2097" s="2">
        <f t="shared" ca="1" si="2019"/>
        <v>0</v>
      </c>
      <c r="AL2097" s="2">
        <f t="shared" ca="1" si="2020"/>
        <v>9446.607236156613</v>
      </c>
      <c r="AM2097" s="2">
        <f t="shared" ca="1" si="2021"/>
        <v>9621.3545691408963</v>
      </c>
      <c r="AN2097" s="2">
        <f t="shared" ca="1" si="2022"/>
        <v>9799.3344521424915</v>
      </c>
      <c r="AO2097" s="2">
        <f t="shared" ca="1" si="2023"/>
        <v>9980.6066822377597</v>
      </c>
      <c r="AP2097" s="2">
        <f t="shared" ca="1" si="2024"/>
        <v>2106143.4538717982</v>
      </c>
      <c r="AQ2097" s="2">
        <f t="shared" ca="1" si="2025"/>
        <v>807055.52424309915</v>
      </c>
      <c r="AR2097" s="2">
        <f t="shared" ca="1" si="2026"/>
        <v>843076.89990034187</v>
      </c>
      <c r="AS2097" s="2">
        <f t="shared" ca="1" si="2027"/>
        <v>868802.17894064321</v>
      </c>
      <c r="AT2097" s="2">
        <f t="shared" ca="1" si="2028"/>
        <v>895003.33506466239</v>
      </c>
      <c r="AU2097" s="2">
        <f t="shared" ca="1" si="2029"/>
        <v>921689.17124780908</v>
      </c>
      <c r="AV2097" s="2">
        <f t="shared" ca="1" si="2030"/>
        <v>2297004.1843842058</v>
      </c>
      <c r="AW2097" s="2">
        <f t="shared" ca="1" si="2031"/>
        <v>2390079.9540186631</v>
      </c>
      <c r="AX2097" s="2">
        <f t="shared" ca="1" si="2032"/>
        <v>2463123.3085696124</v>
      </c>
      <c r="AY2097" s="2">
        <f t="shared" ca="1" si="2033"/>
        <v>2537517.8499626652</v>
      </c>
      <c r="AZ2097" s="2">
        <f t="shared" ca="1" si="2034"/>
        <v>2613288.5730230645</v>
      </c>
      <c r="BA2097" s="2">
        <f t="shared" ca="1" si="2035"/>
        <v>48647968.782392144</v>
      </c>
      <c r="BB2097" s="2">
        <f t="shared" ca="1" si="2036"/>
        <v>972959.37564784288</v>
      </c>
      <c r="BC2097" s="2">
        <f t="shared" ca="1" si="2037"/>
        <v>24273415.474835429</v>
      </c>
      <c r="BD2097" s="2">
        <f t="shared" ca="1" si="2038"/>
        <v>-17076129.035102122</v>
      </c>
      <c r="BE2097" s="2">
        <f t="shared" ca="1" si="2039"/>
        <v>2297004.1843842058</v>
      </c>
      <c r="BF2097" s="2">
        <f t="shared" ca="1" si="2040"/>
        <v>2390079.9540186631</v>
      </c>
      <c r="BG2097" s="2">
        <f t="shared" ca="1" si="2041"/>
        <v>2463123.3085696124</v>
      </c>
      <c r="BH2097" s="2">
        <f t="shared" ca="1" si="2042"/>
        <v>2537517.8499626652</v>
      </c>
      <c r="BI2097" s="2">
        <f t="shared" ca="1" si="2043"/>
        <v>26886704.047858495</v>
      </c>
      <c r="BJ2097" s="2">
        <f t="shared" ca="1" si="2044"/>
        <v>0.19916211753282642</v>
      </c>
      <c r="BK2097" s="2">
        <f t="shared" ca="1" si="2045"/>
        <v>5502203.5897069424</v>
      </c>
    </row>
    <row r="2098" spans="1:63" x14ac:dyDescent="0.3">
      <c r="A2098" s="2">
        <v>2097</v>
      </c>
      <c r="B2098" s="2">
        <f t="shared" ca="1" si="1984"/>
        <v>0.89249955324277053</v>
      </c>
      <c r="C2098" s="2">
        <f t="shared" ca="1" si="1985"/>
        <v>7.5363181117247962</v>
      </c>
      <c r="D2098" s="2">
        <f t="shared" ca="1" si="1986"/>
        <v>0.98899259049320465</v>
      </c>
      <c r="E2098" s="2">
        <f t="shared" ca="1" si="1987"/>
        <v>8.3516260837829286</v>
      </c>
      <c r="F2098" s="2">
        <f t="shared" ca="1" si="1988"/>
        <v>0.63049314757947461</v>
      </c>
      <c r="G2098" s="2">
        <f t="shared" ca="1" si="1989"/>
        <v>4.9994792269058702E-2</v>
      </c>
      <c r="H2098" s="2">
        <f t="shared" ca="1" si="1990"/>
        <v>4.9994792269058702E-2</v>
      </c>
      <c r="I2098" s="2">
        <f t="shared" ca="1" si="1991"/>
        <v>0.7788544306673636</v>
      </c>
      <c r="J2098" s="2">
        <f t="shared" ca="1" si="1992"/>
        <v>1.3841650145105954E-2</v>
      </c>
      <c r="K2098" s="2">
        <f t="shared" ca="1" si="1993"/>
        <v>1.3841650145105954E-2</v>
      </c>
      <c r="L2098" s="2">
        <f t="shared" ca="1" si="1994"/>
        <v>0.43667743823505434</v>
      </c>
      <c r="M2098" s="2">
        <f t="shared" ca="1" si="1995"/>
        <v>-3.1879711210421207E-3</v>
      </c>
      <c r="N2098" s="2">
        <f t="shared" ca="1" si="1996"/>
        <v>-3.1879711210421207E-3</v>
      </c>
      <c r="O2098" s="2">
        <f t="shared" si="1997"/>
        <v>6000000</v>
      </c>
      <c r="P2098" s="2">
        <f t="shared" ca="1" si="1998"/>
        <v>45217908.670348778</v>
      </c>
      <c r="Q2098" s="2">
        <f t="shared" ca="1" si="1999"/>
        <v>1130447.7167587194</v>
      </c>
      <c r="R2098" s="2">
        <f t="shared" ca="1" si="2000"/>
        <v>27130745.202209268</v>
      </c>
      <c r="S2098" s="2">
        <f t="shared" ca="1" si="2001"/>
        <v>18087163.468139511</v>
      </c>
      <c r="T2098" s="2">
        <f t="shared" ca="1" si="2002"/>
        <v>49840601.443947896</v>
      </c>
      <c r="U2098" s="2">
        <f t="shared" ca="1" si="2003"/>
        <v>52332371.959703021</v>
      </c>
      <c r="V2098" s="2">
        <f t="shared" ca="1" si="2004"/>
        <v>54948718.024775483</v>
      </c>
      <c r="W2098" s="2">
        <f t="shared" ca="1" si="2005"/>
        <v>57695867.767875209</v>
      </c>
      <c r="X2098" s="2">
        <f t="shared" ca="1" si="2006"/>
        <v>60580360.691713206</v>
      </c>
      <c r="Y2098" s="2">
        <f t="shared" ca="1" si="2007"/>
        <v>0.12692082507255298</v>
      </c>
      <c r="Z2098" s="2">
        <f t="shared" ca="1" si="2008"/>
        <v>0.12968915510157417</v>
      </c>
      <c r="AA2098" s="2">
        <f t="shared" ca="1" si="2009"/>
        <v>6325810.2573781423</v>
      </c>
      <c r="AB2098" s="2">
        <f t="shared" ca="1" si="2010"/>
        <v>6786941.1039151959</v>
      </c>
      <c r="AC2098" s="2">
        <f t="shared" ca="1" si="2011"/>
        <v>7126252.8145477716</v>
      </c>
      <c r="AD2098" s="2">
        <f t="shared" ca="1" si="2012"/>
        <v>7482528.3436678816</v>
      </c>
      <c r="AE2098" s="2">
        <f t="shared" ca="1" si="2013"/>
        <v>7856615.7938569011</v>
      </c>
      <c r="AF2098" s="2">
        <f t="shared" ca="1" si="2014"/>
        <v>996812.02887895796</v>
      </c>
      <c r="AG2098" s="2">
        <f t="shared" ca="1" si="2015"/>
        <v>1046647.4391940604</v>
      </c>
      <c r="AH2098" s="2">
        <f t="shared" ca="1" si="2016"/>
        <v>1098974.3604955096</v>
      </c>
      <c r="AI2098" s="2">
        <f t="shared" ca="1" si="2017"/>
        <v>1153917.3553575042</v>
      </c>
      <c r="AJ2098" s="2">
        <f t="shared" ca="1" si="2018"/>
        <v>1211607.2138342641</v>
      </c>
      <c r="AK2098" s="2">
        <f t="shared" ca="1" si="2019"/>
        <v>0</v>
      </c>
      <c r="AL2098" s="2">
        <f t="shared" ca="1" si="2020"/>
        <v>24917.705157551245</v>
      </c>
      <c r="AM2098" s="2">
        <f t="shared" ca="1" si="2021"/>
        <v>26163.460650724621</v>
      </c>
      <c r="AN2098" s="2">
        <f t="shared" ca="1" si="2022"/>
        <v>27471.497430997268</v>
      </c>
      <c r="AO2098" s="2">
        <f t="shared" ca="1" si="2023"/>
        <v>28844.929238379969</v>
      </c>
      <c r="AP2098" s="2">
        <f t="shared" ca="1" si="2024"/>
        <v>2441767.0681988341</v>
      </c>
      <c r="AQ2098" s="2">
        <f t="shared" ca="1" si="2025"/>
        <v>750680.1016780911</v>
      </c>
      <c r="AR2098" s="2">
        <f t="shared" ca="1" si="2026"/>
        <v>857616.91509579832</v>
      </c>
      <c r="AS2098" s="2">
        <f t="shared" ca="1" si="2027"/>
        <v>932232.96032189124</v>
      </c>
      <c r="AT2098" s="2">
        <f t="shared" ca="1" si="2028"/>
        <v>1010579.4192290013</v>
      </c>
      <c r="AU2098" s="2">
        <f t="shared" ca="1" si="2029"/>
        <v>1092842.7930741888</v>
      </c>
      <c r="AV2098" s="2">
        <f t="shared" ca="1" si="2030"/>
        <v>2136551.0586222592</v>
      </c>
      <c r="AW2098" s="2">
        <f t="shared" ca="1" si="2031"/>
        <v>2415991.9762689513</v>
      </c>
      <c r="AX2098" s="2">
        <f t="shared" ca="1" si="2032"/>
        <v>2627114.9648808124</v>
      </c>
      <c r="AY2098" s="2">
        <f t="shared" ca="1" si="2033"/>
        <v>2848793.0034515443</v>
      </c>
      <c r="AZ2098" s="2">
        <f t="shared" ca="1" si="2034"/>
        <v>3081553.789511234</v>
      </c>
      <c r="BA2098" s="2">
        <f t="shared" ca="1" si="2035"/>
        <v>65615517.394236214</v>
      </c>
      <c r="BB2098" s="2">
        <f t="shared" ca="1" si="2036"/>
        <v>1312310.3478847244</v>
      </c>
      <c r="BC2098" s="2">
        <f t="shared" ca="1" si="2037"/>
        <v>37172461.844142221</v>
      </c>
      <c r="BD2098" s="2">
        <f t="shared" ca="1" si="2038"/>
        <v>-19717611.184898231</v>
      </c>
      <c r="BE2098" s="2">
        <f t="shared" ca="1" si="2039"/>
        <v>2136551.0586222592</v>
      </c>
      <c r="BF2098" s="2">
        <f t="shared" ca="1" si="2040"/>
        <v>2415991.9762689513</v>
      </c>
      <c r="BG2098" s="2">
        <f t="shared" ca="1" si="2041"/>
        <v>2627114.9648808124</v>
      </c>
      <c r="BH2098" s="2">
        <f t="shared" ca="1" si="2042"/>
        <v>2848793.0034515443</v>
      </c>
      <c r="BI2098" s="2">
        <f t="shared" ca="1" si="2043"/>
        <v>40254015.633653454</v>
      </c>
      <c r="BJ2098" s="2">
        <f t="shared" ca="1" si="2044"/>
        <v>0.23835976235410694</v>
      </c>
      <c r="BK2098" s="2">
        <f t="shared" ca="1" si="2045"/>
        <v>10637635.217680793</v>
      </c>
    </row>
    <row r="2099" spans="1:63" x14ac:dyDescent="0.3">
      <c r="A2099" s="2">
        <v>2098</v>
      </c>
      <c r="B2099" s="2">
        <f t="shared" ca="1" si="1984"/>
        <v>0.2672141026880821</v>
      </c>
      <c r="C2099" s="2">
        <f t="shared" ca="1" si="1985"/>
        <v>6.7310459666643156</v>
      </c>
      <c r="D2099" s="2">
        <f t="shared" ca="1" si="1986"/>
        <v>0.98902434123645111</v>
      </c>
      <c r="E2099" s="2">
        <f t="shared" ca="1" si="1987"/>
        <v>8.3518402297278449</v>
      </c>
      <c r="F2099" s="2">
        <f t="shared" ca="1" si="1988"/>
        <v>1.2362391440098763E-2</v>
      </c>
      <c r="G2099" s="2">
        <f t="shared" ca="1" si="1989"/>
        <v>-2.737027328290708E-2</v>
      </c>
      <c r="H2099" s="2">
        <f t="shared" ca="1" si="1990"/>
        <v>-0.02</v>
      </c>
      <c r="I2099" s="2">
        <f t="shared" ca="1" si="1991"/>
        <v>0.48761459288703146</v>
      </c>
      <c r="J2099" s="2">
        <f t="shared" ca="1" si="1992"/>
        <v>9.8447469976971382E-3</v>
      </c>
      <c r="K2099" s="2">
        <f t="shared" ca="1" si="1993"/>
        <v>9.8447469976971382E-3</v>
      </c>
      <c r="L2099" s="2">
        <f t="shared" ca="1" si="1994"/>
        <v>0.82401552324161342</v>
      </c>
      <c r="M2099" s="2">
        <f t="shared" ca="1" si="1995"/>
        <v>1.8615539070819642E-2</v>
      </c>
      <c r="N2099" s="2">
        <f t="shared" ca="1" si="1996"/>
        <v>1.8615539070819642E-2</v>
      </c>
      <c r="O2099" s="2">
        <f t="shared" si="1997"/>
        <v>6000000</v>
      </c>
      <c r="P2099" s="2">
        <f t="shared" ca="1" si="1998"/>
        <v>40386275.799985893</v>
      </c>
      <c r="Q2099" s="2">
        <f t="shared" ca="1" si="1999"/>
        <v>1009656.8949996474</v>
      </c>
      <c r="R2099" s="2">
        <f t="shared" ca="1" si="2000"/>
        <v>24231765.479991537</v>
      </c>
      <c r="S2099" s="2">
        <f t="shared" ca="1" si="2001"/>
        <v>16154510.319994358</v>
      </c>
      <c r="T2099" s="2">
        <f t="shared" ca="1" si="2002"/>
        <v>50930776.953540981</v>
      </c>
      <c r="U2099" s="2">
        <f t="shared" ca="1" si="2003"/>
        <v>49912161.414470159</v>
      </c>
      <c r="V2099" s="2">
        <f t="shared" ca="1" si="2004"/>
        <v>48913918.186180755</v>
      </c>
      <c r="W2099" s="2">
        <f t="shared" ca="1" si="2005"/>
        <v>47935639.822457142</v>
      </c>
      <c r="X2099" s="2">
        <f t="shared" ca="1" si="2006"/>
        <v>46976927.026007995</v>
      </c>
      <c r="Y2099" s="2">
        <f t="shared" ca="1" si="2007"/>
        <v>0.12492237349884856</v>
      </c>
      <c r="Z2099" s="2">
        <f t="shared" ca="1" si="2008"/>
        <v>0.126891322898388</v>
      </c>
      <c r="AA2099" s="2">
        <f t="shared" ca="1" si="2009"/>
        <v>6362393.541176795</v>
      </c>
      <c r="AB2099" s="2">
        <f t="shared" ca="1" si="2010"/>
        <v>6333420.1905999957</v>
      </c>
      <c r="AC2099" s="2">
        <f t="shared" ca="1" si="2011"/>
        <v>6206751.7867879951</v>
      </c>
      <c r="AD2099" s="2">
        <f t="shared" ca="1" si="2012"/>
        <v>6082616.7510522362</v>
      </c>
      <c r="AE2099" s="2">
        <f t="shared" ca="1" si="2013"/>
        <v>5960964.4160311902</v>
      </c>
      <c r="AF2099" s="2">
        <f t="shared" ca="1" si="2014"/>
        <v>1018615.5390708196</v>
      </c>
      <c r="AG2099" s="2">
        <f t="shared" ca="1" si="2015"/>
        <v>998243.22828940314</v>
      </c>
      <c r="AH2099" s="2">
        <f t="shared" ca="1" si="2016"/>
        <v>978278.36372361518</v>
      </c>
      <c r="AI2099" s="2">
        <f t="shared" ca="1" si="2017"/>
        <v>958712.79644914286</v>
      </c>
      <c r="AJ2099" s="2">
        <f t="shared" ca="1" si="2018"/>
        <v>939538.54052015988</v>
      </c>
      <c r="AK2099" s="2">
        <f t="shared" ca="1" si="2019"/>
        <v>0</v>
      </c>
      <c r="AL2099" s="2">
        <f t="shared" ca="1" si="2020"/>
        <v>0</v>
      </c>
      <c r="AM2099" s="2">
        <f t="shared" ca="1" si="2021"/>
        <v>0</v>
      </c>
      <c r="AN2099" s="2">
        <f t="shared" ca="1" si="2022"/>
        <v>0</v>
      </c>
      <c r="AO2099" s="2">
        <f t="shared" ca="1" si="2023"/>
        <v>0</v>
      </c>
      <c r="AP2099" s="2">
        <f t="shared" ca="1" si="2024"/>
        <v>2180858.893199238</v>
      </c>
      <c r="AQ2099" s="2">
        <f t="shared" ca="1" si="2025"/>
        <v>822358.96831575176</v>
      </c>
      <c r="AR2099" s="2">
        <f t="shared" ca="1" si="2026"/>
        <v>820122.69796895224</v>
      </c>
      <c r="AS2099" s="2">
        <f t="shared" ca="1" si="2027"/>
        <v>792379.77776493691</v>
      </c>
      <c r="AT2099" s="2">
        <f t="shared" ca="1" si="2028"/>
        <v>765191.71596500254</v>
      </c>
      <c r="AU2099" s="2">
        <f t="shared" ca="1" si="2029"/>
        <v>738547.41540106607</v>
      </c>
      <c r="AV2099" s="2">
        <f t="shared" ca="1" si="2030"/>
        <v>2340560.1405909853</v>
      </c>
      <c r="AW2099" s="2">
        <f t="shared" ca="1" si="2031"/>
        <v>2334195.3711424023</v>
      </c>
      <c r="AX2099" s="2">
        <f t="shared" ca="1" si="2032"/>
        <v>2255234.752100205</v>
      </c>
      <c r="AY2099" s="2">
        <f t="shared" ca="1" si="2033"/>
        <v>2177853.3454388529</v>
      </c>
      <c r="AZ2099" s="2">
        <f t="shared" ca="1" si="2034"/>
        <v>2102019.5669107269</v>
      </c>
      <c r="BA2099" s="2">
        <f t="shared" ca="1" si="2035"/>
        <v>49785022.417785443</v>
      </c>
      <c r="BB2099" s="2">
        <f t="shared" ca="1" si="2036"/>
        <v>995700.44835570885</v>
      </c>
      <c r="BC2099" s="2">
        <f t="shared" ca="1" si="2037"/>
        <v>24557556.489438199</v>
      </c>
      <c r="BD2099" s="2">
        <f t="shared" ca="1" si="2038"/>
        <v>-17664167.214994006</v>
      </c>
      <c r="BE2099" s="2">
        <f t="shared" ca="1" si="2039"/>
        <v>2340560.1405909853</v>
      </c>
      <c r="BF2099" s="2">
        <f t="shared" ca="1" si="2040"/>
        <v>2334195.3711424023</v>
      </c>
      <c r="BG2099" s="2">
        <f t="shared" ca="1" si="2041"/>
        <v>2255234.752100205</v>
      </c>
      <c r="BH2099" s="2">
        <f t="shared" ca="1" si="2042"/>
        <v>2177853.3454388529</v>
      </c>
      <c r="BI2099" s="2">
        <f t="shared" ca="1" si="2043"/>
        <v>26659576.056348927</v>
      </c>
      <c r="BJ2099" s="2">
        <f t="shared" ca="1" si="2044"/>
        <v>0.18237951259705376</v>
      </c>
      <c r="BK2099" s="2">
        <f t="shared" ca="1" si="2045"/>
        <v>4403081.0240150839</v>
      </c>
    </row>
    <row r="2100" spans="1:63" x14ac:dyDescent="0.3">
      <c r="A2100" s="2">
        <v>2099</v>
      </c>
      <c r="B2100" s="2">
        <f t="shared" ca="1" si="1984"/>
        <v>0.2686500383091146</v>
      </c>
      <c r="C2100" s="2">
        <f t="shared" ca="1" si="1985"/>
        <v>6.7330075556351581</v>
      </c>
      <c r="D2100" s="2">
        <f t="shared" ca="1" si="1986"/>
        <v>0.74263305724635031</v>
      </c>
      <c r="E2100" s="2">
        <f t="shared" ca="1" si="1987"/>
        <v>7.7825504299901631</v>
      </c>
      <c r="F2100" s="2">
        <f t="shared" ca="1" si="1988"/>
        <v>0.8764088491754336</v>
      </c>
      <c r="G2100" s="2">
        <f t="shared" ca="1" si="1989"/>
        <v>7.4716613725863606E-2</v>
      </c>
      <c r="H2100" s="2">
        <f t="shared" ca="1" si="1990"/>
        <v>7.4716613725863606E-2</v>
      </c>
      <c r="I2100" s="2">
        <f t="shared" ca="1" si="1991"/>
        <v>0.51005434718785225</v>
      </c>
      <c r="J2100" s="2">
        <f t="shared" ca="1" si="1992"/>
        <v>1.0126025897513276E-2</v>
      </c>
      <c r="K2100" s="2">
        <f t="shared" ca="1" si="1993"/>
        <v>1.0126025897513276E-2</v>
      </c>
      <c r="L2100" s="2">
        <f t="shared" ca="1" si="1994"/>
        <v>0.34620735227822619</v>
      </c>
      <c r="M2100" s="2">
        <f t="shared" ca="1" si="1995"/>
        <v>-7.9116051289114756E-3</v>
      </c>
      <c r="N2100" s="2">
        <f t="shared" ca="1" si="1996"/>
        <v>-7.9116051289114756E-3</v>
      </c>
      <c r="O2100" s="2">
        <f t="shared" si="1997"/>
        <v>6000000</v>
      </c>
      <c r="P2100" s="2">
        <f t="shared" ca="1" si="1998"/>
        <v>40398045.333810948</v>
      </c>
      <c r="Q2100" s="2">
        <f t="shared" ca="1" si="1999"/>
        <v>1009951.1333452738</v>
      </c>
      <c r="R2100" s="2">
        <f t="shared" ca="1" si="2000"/>
        <v>24238827.200286567</v>
      </c>
      <c r="S2100" s="2">
        <f t="shared" ca="1" si="2001"/>
        <v>16159218.133524381</v>
      </c>
      <c r="T2100" s="2">
        <f t="shared" ca="1" si="2002"/>
        <v>49604419.743554428</v>
      </c>
      <c r="U2100" s="2">
        <f t="shared" ca="1" si="2003"/>
        <v>53310694.012629189</v>
      </c>
      <c r="V2100" s="2">
        <f t="shared" ca="1" si="2004"/>
        <v>57293888.544628516</v>
      </c>
      <c r="W2100" s="2">
        <f t="shared" ca="1" si="2005"/>
        <v>61574693.883870214</v>
      </c>
      <c r="X2100" s="2">
        <f t="shared" ca="1" si="2006"/>
        <v>66175346.502079643</v>
      </c>
      <c r="Y2100" s="2">
        <f t="shared" ca="1" si="2007"/>
        <v>0.12506301294875663</v>
      </c>
      <c r="Z2100" s="2">
        <f t="shared" ca="1" si="2008"/>
        <v>0.12708821812825929</v>
      </c>
      <c r="AA2100" s="2">
        <f t="shared" ca="1" si="2009"/>
        <v>6203678.1887037065</v>
      </c>
      <c r="AB2100" s="2">
        <f t="shared" ca="1" si="2010"/>
        <v>6775161.1092459047</v>
      </c>
      <c r="AC2100" s="2">
        <f t="shared" ca="1" si="2011"/>
        <v>7281378.2047759257</v>
      </c>
      <c r="AD2100" s="2">
        <f t="shared" ca="1" si="2012"/>
        <v>7825418.1274940912</v>
      </c>
      <c r="AE2100" s="2">
        <f t="shared" ca="1" si="2013"/>
        <v>8410106.8709694389</v>
      </c>
      <c r="AF2100" s="2">
        <f t="shared" ca="1" si="2014"/>
        <v>992088.39487108856</v>
      </c>
      <c r="AG2100" s="2">
        <f t="shared" ca="1" si="2015"/>
        <v>1066213.8802525839</v>
      </c>
      <c r="AH2100" s="2">
        <f t="shared" ca="1" si="2016"/>
        <v>1145877.7708925703</v>
      </c>
      <c r="AI2100" s="2">
        <f t="shared" ca="1" si="2017"/>
        <v>1231493.8776774043</v>
      </c>
      <c r="AJ2100" s="2">
        <f t="shared" ca="1" si="2018"/>
        <v>1323506.9300415928</v>
      </c>
      <c r="AK2100" s="2">
        <f t="shared" ca="1" si="2019"/>
        <v>0</v>
      </c>
      <c r="AL2100" s="2">
        <f t="shared" ca="1" si="2020"/>
        <v>37062.742690747604</v>
      </c>
      <c r="AM2100" s="2">
        <f t="shared" ca="1" si="2021"/>
        <v>39831.945319993276</v>
      </c>
      <c r="AN2100" s="2">
        <f t="shared" ca="1" si="2022"/>
        <v>42808.053392416987</v>
      </c>
      <c r="AO2100" s="2">
        <f t="shared" ca="1" si="2023"/>
        <v>46006.526182094291</v>
      </c>
      <c r="AP2100" s="2">
        <f t="shared" ca="1" si="2024"/>
        <v>2181494.448025791</v>
      </c>
      <c r="AQ2100" s="2">
        <f t="shared" ca="1" si="2025"/>
        <v>787824.78990977502</v>
      </c>
      <c r="AR2100" s="2">
        <f t="shared" ca="1" si="2026"/>
        <v>917137.72305155778</v>
      </c>
      <c r="AS2100" s="2">
        <f t="shared" ca="1" si="2027"/>
        <v>1028041.5563229669</v>
      </c>
      <c r="AT2100" s="2">
        <f t="shared" ca="1" si="2028"/>
        <v>1147231.748465633</v>
      </c>
      <c r="AU2100" s="2">
        <f t="shared" ca="1" si="2029"/>
        <v>1275327.4281545344</v>
      </c>
      <c r="AV2100" s="2">
        <f t="shared" ca="1" si="2030"/>
        <v>2242270.5558970515</v>
      </c>
      <c r="AW2100" s="2">
        <f t="shared" ca="1" si="2031"/>
        <v>2573252.3152252249</v>
      </c>
      <c r="AX2100" s="2">
        <f t="shared" ca="1" si="2032"/>
        <v>2886132.4842146048</v>
      </c>
      <c r="AY2100" s="2">
        <f t="shared" ca="1" si="2033"/>
        <v>3222389.9999328461</v>
      </c>
      <c r="AZ2100" s="2">
        <f t="shared" ca="1" si="2034"/>
        <v>3583771.5385654261</v>
      </c>
      <c r="BA2100" s="2">
        <f t="shared" ca="1" si="2035"/>
        <v>65452080.844926432</v>
      </c>
      <c r="BB2100" s="2">
        <f t="shared" ca="1" si="2036"/>
        <v>1309041.6168985288</v>
      </c>
      <c r="BC2100" s="2">
        <f t="shared" ca="1" si="2037"/>
        <v>39904212.027741335</v>
      </c>
      <c r="BD2100" s="2">
        <f t="shared" ca="1" si="2038"/>
        <v>-17669169.266869653</v>
      </c>
      <c r="BE2100" s="2">
        <f t="shared" ca="1" si="2039"/>
        <v>2242270.5558970515</v>
      </c>
      <c r="BF2100" s="2">
        <f t="shared" ca="1" si="2040"/>
        <v>2573252.3152252249</v>
      </c>
      <c r="BG2100" s="2">
        <f t="shared" ca="1" si="2041"/>
        <v>2886132.4842146048</v>
      </c>
      <c r="BH2100" s="2">
        <f t="shared" ca="1" si="2042"/>
        <v>3222389.9999328461</v>
      </c>
      <c r="BI2100" s="2">
        <f t="shared" ca="1" si="2043"/>
        <v>43487983.566306762</v>
      </c>
      <c r="BJ2100" s="2">
        <f t="shared" ca="1" si="2044"/>
        <v>0.29521082133765875</v>
      </c>
      <c r="BK2100" s="2">
        <f t="shared" ca="1" si="2045"/>
        <v>15162667.978309251</v>
      </c>
    </row>
    <row r="2101" spans="1:63" x14ac:dyDescent="0.3">
      <c r="A2101" s="2">
        <v>2100</v>
      </c>
      <c r="B2101" s="2">
        <f t="shared" ca="1" si="1984"/>
        <v>0.24941601905929356</v>
      </c>
      <c r="C2101" s="2">
        <f t="shared" ca="1" si="1985"/>
        <v>6.7062804245613687</v>
      </c>
      <c r="D2101" s="2">
        <f t="shared" ca="1" si="1986"/>
        <v>0.31506063118416205</v>
      </c>
      <c r="E2101" s="2">
        <f t="shared" ca="1" si="1987"/>
        <v>7.293801777755835</v>
      </c>
      <c r="F2101" s="2">
        <f t="shared" ca="1" si="1988"/>
        <v>0.13008013750417569</v>
      </c>
      <c r="G2101" s="2">
        <f t="shared" ca="1" si="1989"/>
        <v>6.2196283031653657E-3</v>
      </c>
      <c r="H2101" s="2">
        <f t="shared" ca="1" si="1990"/>
        <v>6.2196283031653657E-3</v>
      </c>
      <c r="I2101" s="2">
        <f t="shared" ca="1" si="1991"/>
        <v>0.49429769743548857</v>
      </c>
      <c r="J2101" s="2">
        <f t="shared" ca="1" si="1992"/>
        <v>9.9285298020877401E-3</v>
      </c>
      <c r="K2101" s="2">
        <f t="shared" ca="1" si="1993"/>
        <v>9.9285298020877401E-3</v>
      </c>
      <c r="L2101" s="2">
        <f t="shared" ca="1" si="1994"/>
        <v>0.17230762214196427</v>
      </c>
      <c r="M2101" s="2">
        <f t="shared" ca="1" si="1995"/>
        <v>-1.8901709337964055E-2</v>
      </c>
      <c r="N2101" s="2">
        <f t="shared" ca="1" si="1996"/>
        <v>-1.8901709337964055E-2</v>
      </c>
      <c r="O2101" s="2">
        <f t="shared" si="1997"/>
        <v>6000000</v>
      </c>
      <c r="P2101" s="2">
        <f t="shared" ca="1" si="1998"/>
        <v>40237682.547368214</v>
      </c>
      <c r="Q2101" s="2">
        <f t="shared" ca="1" si="1999"/>
        <v>1005942.0636842054</v>
      </c>
      <c r="R2101" s="2">
        <f t="shared" ca="1" si="2000"/>
        <v>24142609.528420929</v>
      </c>
      <c r="S2101" s="2">
        <f t="shared" ca="1" si="2001"/>
        <v>16095073.018947287</v>
      </c>
      <c r="T2101" s="2">
        <f t="shared" ca="1" si="2002"/>
        <v>49054914.533101797</v>
      </c>
      <c r="U2101" s="2">
        <f t="shared" ca="1" si="2003"/>
        <v>49360017.867941238</v>
      </c>
      <c r="V2101" s="2">
        <f t="shared" ca="1" si="2004"/>
        <v>49667018.832117438</v>
      </c>
      <c r="W2101" s="2">
        <f t="shared" ca="1" si="2005"/>
        <v>49975929.228179529</v>
      </c>
      <c r="X2101" s="2">
        <f t="shared" ca="1" si="2006"/>
        <v>50286760.932084106</v>
      </c>
      <c r="Y2101" s="2">
        <f t="shared" ca="1" si="2007"/>
        <v>0.12496426490104387</v>
      </c>
      <c r="Z2101" s="2">
        <f t="shared" ca="1" si="2008"/>
        <v>0.12694997086146143</v>
      </c>
      <c r="AA2101" s="2">
        <f t="shared" ca="1" si="2009"/>
        <v>6130111.3344125999</v>
      </c>
      <c r="AB2101" s="2">
        <f t="shared" ca="1" si="2010"/>
        <v>6266252.8300563553</v>
      </c>
      <c r="AC2101" s="2">
        <f t="shared" ca="1" si="2011"/>
        <v>6305226.5935129644</v>
      </c>
      <c r="AD2101" s="2">
        <f t="shared" ca="1" si="2012"/>
        <v>6344442.75929185</v>
      </c>
      <c r="AE2101" s="2">
        <f t="shared" ca="1" si="2013"/>
        <v>6383902.8350453544</v>
      </c>
      <c r="AF2101" s="2">
        <f t="shared" ca="1" si="2014"/>
        <v>981098.29066203593</v>
      </c>
      <c r="AG2101" s="2">
        <f t="shared" ca="1" si="2015"/>
        <v>987200.35735882481</v>
      </c>
      <c r="AH2101" s="2">
        <f t="shared" ca="1" si="2016"/>
        <v>993340.37664234883</v>
      </c>
      <c r="AI2101" s="2">
        <f t="shared" ca="1" si="2017"/>
        <v>999518.58456359059</v>
      </c>
      <c r="AJ2101" s="2">
        <f t="shared" ca="1" si="2018"/>
        <v>1005735.2186416822</v>
      </c>
      <c r="AK2101" s="2">
        <f t="shared" ca="1" si="2019"/>
        <v>0</v>
      </c>
      <c r="AL2101" s="2">
        <f t="shared" ca="1" si="2020"/>
        <v>3051.0333483944087</v>
      </c>
      <c r="AM2101" s="2">
        <f t="shared" ca="1" si="2021"/>
        <v>3070.0096417620034</v>
      </c>
      <c r="AN2101" s="2">
        <f t="shared" ca="1" si="2022"/>
        <v>3089.1039606209101</v>
      </c>
      <c r="AO2101" s="2">
        <f t="shared" ca="1" si="2023"/>
        <v>3108.3170390457663</v>
      </c>
      <c r="AP2101" s="2">
        <f t="shared" ca="1" si="2024"/>
        <v>2172834.8575578835</v>
      </c>
      <c r="AQ2101" s="2">
        <f t="shared" ca="1" si="2025"/>
        <v>773806.32841009682</v>
      </c>
      <c r="AR2101" s="2">
        <f t="shared" ca="1" si="2026"/>
        <v>807616.57993630832</v>
      </c>
      <c r="AS2101" s="2">
        <f t="shared" ca="1" si="2027"/>
        <v>816153.35342131031</v>
      </c>
      <c r="AT2101" s="2">
        <f t="shared" ca="1" si="2028"/>
        <v>824743.22246429778</v>
      </c>
      <c r="AU2101" s="2">
        <f t="shared" ca="1" si="2029"/>
        <v>833386.51729990507</v>
      </c>
      <c r="AV2101" s="2">
        <f t="shared" ca="1" si="2030"/>
        <v>2202371.8577825837</v>
      </c>
      <c r="AW2101" s="2">
        <f t="shared" ca="1" si="2031"/>
        <v>2295550.001854945</v>
      </c>
      <c r="AX2101" s="2">
        <f t="shared" ca="1" si="2032"/>
        <v>2319827.9962496599</v>
      </c>
      <c r="AY2101" s="2">
        <f t="shared" ca="1" si="2033"/>
        <v>2344256.9907454569</v>
      </c>
      <c r="AZ2101" s="2">
        <f t="shared" ca="1" si="2034"/>
        <v>2368837.9245068375</v>
      </c>
      <c r="BA2101" s="2">
        <f t="shared" ca="1" si="2035"/>
        <v>46562921.847274318</v>
      </c>
      <c r="BB2101" s="2">
        <f t="shared" ca="1" si="2036"/>
        <v>931258.43694548635</v>
      </c>
      <c r="BC2101" s="2">
        <f t="shared" ca="1" si="2037"/>
        <v>21489053.881907903</v>
      </c>
      <c r="BD2101" s="2">
        <f t="shared" ca="1" si="2038"/>
        <v>-17601015.082631491</v>
      </c>
      <c r="BE2101" s="2">
        <f t="shared" ca="1" si="2039"/>
        <v>2202371.8577825837</v>
      </c>
      <c r="BF2101" s="2">
        <f t="shared" ca="1" si="2040"/>
        <v>2295550.001854945</v>
      </c>
      <c r="BG2101" s="2">
        <f t="shared" ca="1" si="2041"/>
        <v>2319827.9962496599</v>
      </c>
      <c r="BH2101" s="2">
        <f t="shared" ca="1" si="2042"/>
        <v>2344256.9907454569</v>
      </c>
      <c r="BI2101" s="2">
        <f t="shared" ca="1" si="2043"/>
        <v>23857891.806414738</v>
      </c>
      <c r="BJ2101" s="2">
        <f t="shared" ca="1" si="2044"/>
        <v>0.16233367736870186</v>
      </c>
      <c r="BK2101" s="2">
        <f t="shared" ca="1" si="2045"/>
        <v>2874020.7447974011</v>
      </c>
    </row>
    <row r="2102" spans="1:63" x14ac:dyDescent="0.3">
      <c r="A2102" s="2">
        <v>2101</v>
      </c>
      <c r="B2102" s="2">
        <f t="shared" ca="1" si="1984"/>
        <v>0.11356305322241766</v>
      </c>
      <c r="C2102" s="2">
        <f t="shared" ca="1" si="1985"/>
        <v>6.4765774925915354</v>
      </c>
      <c r="D2102" s="2">
        <f t="shared" ca="1" si="1986"/>
        <v>0.82714412094108503</v>
      </c>
      <c r="E2102" s="2">
        <f t="shared" ca="1" si="1987"/>
        <v>7.9120274172056746</v>
      </c>
      <c r="F2102" s="2">
        <f t="shared" ca="1" si="1988"/>
        <v>0.10164368806108892</v>
      </c>
      <c r="G2102" s="2">
        <f t="shared" ca="1" si="1989"/>
        <v>1.8327591751247166E-3</v>
      </c>
      <c r="H2102" s="2">
        <f t="shared" ca="1" si="1990"/>
        <v>1.8327591751247166E-3</v>
      </c>
      <c r="I2102" s="2">
        <f t="shared" ca="1" si="1991"/>
        <v>0.22245601011319383</v>
      </c>
      <c r="J2102" s="2">
        <f t="shared" ca="1" si="1992"/>
        <v>6.180375687316165E-3</v>
      </c>
      <c r="K2102" s="2">
        <f t="shared" ca="1" si="1993"/>
        <v>6.180375687316165E-3</v>
      </c>
      <c r="L2102" s="2">
        <f t="shared" ca="1" si="1994"/>
        <v>0.74450191424436274</v>
      </c>
      <c r="M2102" s="2">
        <f t="shared" ca="1" si="1995"/>
        <v>1.3145746916705787E-2</v>
      </c>
      <c r="N2102" s="2">
        <f t="shared" ca="1" si="1996"/>
        <v>1.3145746916705787E-2</v>
      </c>
      <c r="O2102" s="2">
        <f t="shared" si="1997"/>
        <v>6000000</v>
      </c>
      <c r="P2102" s="2">
        <f t="shared" ca="1" si="1998"/>
        <v>38859464.95554921</v>
      </c>
      <c r="Q2102" s="2">
        <f t="shared" ca="1" si="1999"/>
        <v>971486.6238887303</v>
      </c>
      <c r="R2102" s="2">
        <f t="shared" ca="1" si="2000"/>
        <v>23315678.973329525</v>
      </c>
      <c r="S2102" s="2">
        <f t="shared" ca="1" si="2001"/>
        <v>15543785.982219685</v>
      </c>
      <c r="T2102" s="2">
        <f t="shared" ca="1" si="2002"/>
        <v>50657287.345835291</v>
      </c>
      <c r="U2102" s="2">
        <f t="shared" ca="1" si="2003"/>
        <v>50750129.954005308</v>
      </c>
      <c r="V2102" s="2">
        <f t="shared" ca="1" si="2004"/>
        <v>50843142.720317289</v>
      </c>
      <c r="W2102" s="2">
        <f t="shared" ca="1" si="2005"/>
        <v>50936325.956630133</v>
      </c>
      <c r="X2102" s="2">
        <f t="shared" ca="1" si="2006"/>
        <v>51029679.975374296</v>
      </c>
      <c r="Y2102" s="2">
        <f t="shared" ca="1" si="2007"/>
        <v>0.12309018784365808</v>
      </c>
      <c r="Z2102" s="2">
        <f t="shared" ca="1" si="2008"/>
        <v>0.12432626298112132</v>
      </c>
      <c r="AA2102" s="2">
        <f t="shared" ca="1" si="2009"/>
        <v>6235415.0150490291</v>
      </c>
      <c r="AB2102" s="2">
        <f t="shared" ca="1" si="2010"/>
        <v>6309574.0029877461</v>
      </c>
      <c r="AC2102" s="2">
        <f t="shared" ca="1" si="2011"/>
        <v>6321137.9326328514</v>
      </c>
      <c r="AD2102" s="2">
        <f t="shared" ca="1" si="2012"/>
        <v>6332723.0561761139</v>
      </c>
      <c r="AE2102" s="2">
        <f t="shared" ca="1" si="2013"/>
        <v>6344329.412460845</v>
      </c>
      <c r="AF2102" s="2">
        <f t="shared" ca="1" si="2014"/>
        <v>1013145.7469167059</v>
      </c>
      <c r="AG2102" s="2">
        <f t="shared" ca="1" si="2015"/>
        <v>1015002.5990801062</v>
      </c>
      <c r="AH2102" s="2">
        <f t="shared" ca="1" si="2016"/>
        <v>1016862.8544063458</v>
      </c>
      <c r="AI2102" s="2">
        <f t="shared" ca="1" si="2017"/>
        <v>1018726.5191326027</v>
      </c>
      <c r="AJ2102" s="2">
        <f t="shared" ca="1" si="2018"/>
        <v>1020593.599507486</v>
      </c>
      <c r="AK2102" s="2">
        <f t="shared" ca="1" si="2019"/>
        <v>0</v>
      </c>
      <c r="AL2102" s="2">
        <f t="shared" ca="1" si="2020"/>
        <v>928.42608170017604</v>
      </c>
      <c r="AM2102" s="2">
        <f t="shared" ca="1" si="2021"/>
        <v>930.12766311980783</v>
      </c>
      <c r="AN2102" s="2">
        <f t="shared" ca="1" si="2022"/>
        <v>931.8323631284386</v>
      </c>
      <c r="AO2102" s="2">
        <f t="shared" ca="1" si="2023"/>
        <v>933.54018744163216</v>
      </c>
      <c r="AP2102" s="2">
        <f t="shared" ca="1" si="2024"/>
        <v>2098411.107599657</v>
      </c>
      <c r="AQ2102" s="2">
        <f t="shared" ca="1" si="2025"/>
        <v>812203.12173849333</v>
      </c>
      <c r="AR2102" s="2">
        <f t="shared" ca="1" si="2026"/>
        <v>831001.67704007553</v>
      </c>
      <c r="AS2102" s="2">
        <f t="shared" ca="1" si="2027"/>
        <v>833524.63236298074</v>
      </c>
      <c r="AT2102" s="2">
        <f t="shared" ca="1" si="2028"/>
        <v>836052.21165540209</v>
      </c>
      <c r="AU2102" s="2">
        <f t="shared" ca="1" si="2029"/>
        <v>838584.42339196242</v>
      </c>
      <c r="AV2102" s="2">
        <f t="shared" ca="1" si="2030"/>
        <v>2311655.0387941729</v>
      </c>
      <c r="AW2102" s="2">
        <f t="shared" ca="1" si="2031"/>
        <v>2364230.1931862067</v>
      </c>
      <c r="AX2102" s="2">
        <f t="shared" ca="1" si="2032"/>
        <v>2371409.2106007487</v>
      </c>
      <c r="AY2102" s="2">
        <f t="shared" ca="1" si="2033"/>
        <v>2378601.3854253236</v>
      </c>
      <c r="AZ2102" s="2">
        <f t="shared" ca="1" si="2034"/>
        <v>2385806.7417742973</v>
      </c>
      <c r="BA2102" s="2">
        <f t="shared" ca="1" si="2035"/>
        <v>50196508.255174577</v>
      </c>
      <c r="BB2102" s="2">
        <f t="shared" ca="1" si="2036"/>
        <v>1003930.1651034915</v>
      </c>
      <c r="BC2102" s="2">
        <f t="shared" ca="1" si="2037"/>
        <v>25876899.11674156</v>
      </c>
      <c r="BD2102" s="2">
        <f t="shared" ca="1" si="2038"/>
        <v>-17015272.606108416</v>
      </c>
      <c r="BE2102" s="2">
        <f t="shared" ca="1" si="2039"/>
        <v>2311655.0387941729</v>
      </c>
      <c r="BF2102" s="2">
        <f t="shared" ca="1" si="2040"/>
        <v>2364230.1931862067</v>
      </c>
      <c r="BG2102" s="2">
        <f t="shared" ca="1" si="2041"/>
        <v>2371409.2106007487</v>
      </c>
      <c r="BH2102" s="2">
        <f t="shared" ca="1" si="2042"/>
        <v>2378601.3854253236</v>
      </c>
      <c r="BI2102" s="2">
        <f t="shared" ca="1" si="2043"/>
        <v>28262705.858515859</v>
      </c>
      <c r="BJ2102" s="2">
        <f t="shared" ca="1" si="2044"/>
        <v>0.20743296408909684</v>
      </c>
      <c r="BK2102" s="2">
        <f t="shared" ca="1" si="2045"/>
        <v>6170039.6789722405</v>
      </c>
    </row>
    <row r="2103" spans="1:63" x14ac:dyDescent="0.3">
      <c r="A2103" s="2">
        <v>2102</v>
      </c>
      <c r="B2103" s="2">
        <f t="shared" ca="1" si="1984"/>
        <v>0.84417776645801457</v>
      </c>
      <c r="C2103" s="2">
        <f t="shared" ca="1" si="1985"/>
        <v>7.4417487419772606</v>
      </c>
      <c r="D2103" s="2">
        <f t="shared" ca="1" si="1986"/>
        <v>0.11746513794664704</v>
      </c>
      <c r="E2103" s="2">
        <f t="shared" ca="1" si="1987"/>
        <v>6.9846960654815486</v>
      </c>
      <c r="F2103" s="2">
        <f t="shared" ca="1" si="1988"/>
        <v>9.1849538950007359E-3</v>
      </c>
      <c r="G2103" s="2">
        <f t="shared" ca="1" si="1989"/>
        <v>-3.0742294456214035E-2</v>
      </c>
      <c r="H2103" s="2">
        <f t="shared" ca="1" si="1990"/>
        <v>-0.02</v>
      </c>
      <c r="I2103" s="2">
        <f t="shared" ca="1" si="1991"/>
        <v>0.52287997066831726</v>
      </c>
      <c r="J2103" s="2">
        <f t="shared" ca="1" si="1992"/>
        <v>1.0286915289100688E-2</v>
      </c>
      <c r="K2103" s="2">
        <f t="shared" ca="1" si="1993"/>
        <v>1.0286915289100688E-2</v>
      </c>
      <c r="L2103" s="2">
        <f t="shared" ca="1" si="1994"/>
        <v>0.15660417560801221</v>
      </c>
      <c r="M2103" s="2">
        <f t="shared" ca="1" si="1995"/>
        <v>-2.0170255780977461E-2</v>
      </c>
      <c r="N2103" s="2">
        <f t="shared" ca="1" si="1996"/>
        <v>-2.0170255780977461E-2</v>
      </c>
      <c r="O2103" s="2">
        <f t="shared" si="1997"/>
        <v>6000000</v>
      </c>
      <c r="P2103" s="2">
        <f t="shared" ca="1" si="1998"/>
        <v>44650492.451863565</v>
      </c>
      <c r="Q2103" s="2">
        <f t="shared" ca="1" si="1999"/>
        <v>1116262.3112965892</v>
      </c>
      <c r="R2103" s="2">
        <f t="shared" ca="1" si="2000"/>
        <v>26790295.471118137</v>
      </c>
      <c r="S2103" s="2">
        <f t="shared" ca="1" si="2001"/>
        <v>17860196.980745427</v>
      </c>
      <c r="T2103" s="2">
        <f t="shared" ca="1" si="2002"/>
        <v>48991487.210951127</v>
      </c>
      <c r="U2103" s="2">
        <f t="shared" ca="1" si="2003"/>
        <v>48011657.466732107</v>
      </c>
      <c r="V2103" s="2">
        <f t="shared" ca="1" si="2004"/>
        <v>47051424.317397468</v>
      </c>
      <c r="W2103" s="2">
        <f t="shared" ca="1" si="2005"/>
        <v>46110395.831049517</v>
      </c>
      <c r="X2103" s="2">
        <f t="shared" ca="1" si="2006"/>
        <v>45188187.914428525</v>
      </c>
      <c r="Y2103" s="2">
        <f t="shared" ca="1" si="2007"/>
        <v>0.12514345764455034</v>
      </c>
      <c r="Z2103" s="2">
        <f t="shared" ca="1" si="2008"/>
        <v>0.12720084070237048</v>
      </c>
      <c r="AA2103" s="2">
        <f t="shared" ca="1" si="2009"/>
        <v>6130964.1047271919</v>
      </c>
      <c r="AB2103" s="2">
        <f t="shared" ca="1" si="2010"/>
        <v>6107123.193282567</v>
      </c>
      <c r="AC2103" s="2">
        <f t="shared" ca="1" si="2011"/>
        <v>5984980.7294169161</v>
      </c>
      <c r="AD2103" s="2">
        <f t="shared" ca="1" si="2012"/>
        <v>5865281.1148285773</v>
      </c>
      <c r="AE2103" s="2">
        <f t="shared" ca="1" si="2013"/>
        <v>5747975.4925320055</v>
      </c>
      <c r="AF2103" s="2">
        <f t="shared" ca="1" si="2014"/>
        <v>979829.74421902257</v>
      </c>
      <c r="AG2103" s="2">
        <f t="shared" ca="1" si="2015"/>
        <v>960233.1493346421</v>
      </c>
      <c r="AH2103" s="2">
        <f t="shared" ca="1" si="2016"/>
        <v>941028.48634794937</v>
      </c>
      <c r="AI2103" s="2">
        <f t="shared" ca="1" si="2017"/>
        <v>922207.91662099038</v>
      </c>
      <c r="AJ2103" s="2">
        <f t="shared" ca="1" si="2018"/>
        <v>903763.75828857056</v>
      </c>
      <c r="AK2103" s="2">
        <f t="shared" ca="1" si="2019"/>
        <v>0</v>
      </c>
      <c r="AL2103" s="2">
        <f t="shared" ca="1" si="2020"/>
        <v>0</v>
      </c>
      <c r="AM2103" s="2">
        <f t="shared" ca="1" si="2021"/>
        <v>0</v>
      </c>
      <c r="AN2103" s="2">
        <f t="shared" ca="1" si="2022"/>
        <v>0</v>
      </c>
      <c r="AO2103" s="2">
        <f t="shared" ca="1" si="2023"/>
        <v>0</v>
      </c>
      <c r="AP2103" s="2">
        <f t="shared" ca="1" si="2024"/>
        <v>2411126.5924006323</v>
      </c>
      <c r="AQ2103" s="2">
        <f t="shared" ca="1" si="2025"/>
        <v>712402.01970795961</v>
      </c>
      <c r="AR2103" s="2">
        <f t="shared" ca="1" si="2026"/>
        <v>711298.49740229605</v>
      </c>
      <c r="AS2103" s="2">
        <f t="shared" ca="1" si="2027"/>
        <v>684534.66917376709</v>
      </c>
      <c r="AT2103" s="2">
        <f t="shared" ca="1" si="2028"/>
        <v>658306.11750980827</v>
      </c>
      <c r="AU2103" s="2">
        <f t="shared" ca="1" si="2029"/>
        <v>632602.13687912864</v>
      </c>
      <c r="AV2103" s="2">
        <f t="shared" ca="1" si="2030"/>
        <v>2027605.7483995766</v>
      </c>
      <c r="AW2103" s="2">
        <f t="shared" ca="1" si="2031"/>
        <v>2024464.9541449961</v>
      </c>
      <c r="AX2103" s="2">
        <f t="shared" ca="1" si="2032"/>
        <v>1948290.9814945678</v>
      </c>
      <c r="AY2103" s="2">
        <f t="shared" ca="1" si="2033"/>
        <v>1873640.4882971463</v>
      </c>
      <c r="AZ2103" s="2">
        <f t="shared" ca="1" si="2034"/>
        <v>1800483.0049636741</v>
      </c>
      <c r="BA2103" s="2">
        <f t="shared" ca="1" si="2035"/>
        <v>40147861.807172664</v>
      </c>
      <c r="BB2103" s="2">
        <f t="shared" ca="1" si="2036"/>
        <v>802957.23614345328</v>
      </c>
      <c r="BC2103" s="2">
        <f t="shared" ca="1" si="2037"/>
        <v>12554609.099911073</v>
      </c>
      <c r="BD2103" s="2">
        <f t="shared" ca="1" si="2038"/>
        <v>-19476459.292042017</v>
      </c>
      <c r="BE2103" s="2">
        <f t="shared" ca="1" si="2039"/>
        <v>2027605.7483995766</v>
      </c>
      <c r="BF2103" s="2">
        <f t="shared" ca="1" si="2040"/>
        <v>2024464.9541449961</v>
      </c>
      <c r="BG2103" s="2">
        <f t="shared" ca="1" si="2041"/>
        <v>1948290.9814945678</v>
      </c>
      <c r="BH2103" s="2">
        <f t="shared" ca="1" si="2042"/>
        <v>1873640.4882971463</v>
      </c>
      <c r="BI2103" s="2">
        <f t="shared" ca="1" si="2043"/>
        <v>14355092.104874747</v>
      </c>
      <c r="BJ2103" s="2">
        <f t="shared" ca="1" si="2044"/>
        <v>3.3007134176388897E-2</v>
      </c>
      <c r="BK2103" s="2">
        <f t="shared" ca="1" si="2045"/>
        <v>-5329253.7329393625</v>
      </c>
    </row>
    <row r="2104" spans="1:63" x14ac:dyDescent="0.3">
      <c r="A2104" s="2">
        <v>2103</v>
      </c>
      <c r="B2104" s="2">
        <f t="shared" ca="1" si="1984"/>
        <v>0.48281644675535318</v>
      </c>
      <c r="C2104" s="2">
        <f t="shared" ca="1" si="1985"/>
        <v>6.9826662167342004</v>
      </c>
      <c r="D2104" s="2">
        <f t="shared" ca="1" si="1986"/>
        <v>0.68772589363969705</v>
      </c>
      <c r="E2104" s="2">
        <f t="shared" ca="1" si="1987"/>
        <v>7.7097163719773727</v>
      </c>
      <c r="F2104" s="2">
        <f t="shared" ca="1" si="1988"/>
        <v>0.31895983378034132</v>
      </c>
      <c r="G2104" s="2">
        <f t="shared" ca="1" si="1989"/>
        <v>2.5881716901627879E-2</v>
      </c>
      <c r="H2104" s="2">
        <f t="shared" ca="1" si="1990"/>
        <v>2.5881716901627879E-2</v>
      </c>
      <c r="I2104" s="2">
        <f t="shared" ca="1" si="1991"/>
        <v>0.22243988967779937</v>
      </c>
      <c r="J2104" s="2">
        <f t="shared" ca="1" si="1992"/>
        <v>6.1801051864083367E-3</v>
      </c>
      <c r="K2104" s="2">
        <f t="shared" ca="1" si="1993"/>
        <v>6.1801051864083367E-3</v>
      </c>
      <c r="L2104" s="2">
        <f t="shared" ca="1" si="1994"/>
        <v>0.29758867186190807</v>
      </c>
      <c r="M2104" s="2">
        <f t="shared" ca="1" si="1995"/>
        <v>-1.0626968803083017E-2</v>
      </c>
      <c r="N2104" s="2">
        <f t="shared" ca="1" si="1996"/>
        <v>-1.0626968803083017E-2</v>
      </c>
      <c r="O2104" s="2">
        <f t="shared" si="1997"/>
        <v>6000000</v>
      </c>
      <c r="P2104" s="2">
        <f t="shared" ca="1" si="1998"/>
        <v>41895997.300405204</v>
      </c>
      <c r="Q2104" s="2">
        <f t="shared" ca="1" si="1999"/>
        <v>1047399.9325101301</v>
      </c>
      <c r="R2104" s="2">
        <f t="shared" ca="1" si="2000"/>
        <v>25137598.380243123</v>
      </c>
      <c r="S2104" s="2">
        <f t="shared" ca="1" si="2001"/>
        <v>16758398.920162082</v>
      </c>
      <c r="T2104" s="2">
        <f t="shared" ca="1" si="2002"/>
        <v>49468651.55984585</v>
      </c>
      <c r="U2104" s="2">
        <f t="shared" ca="1" si="2003"/>
        <v>50748985.195023052</v>
      </c>
      <c r="V2104" s="2">
        <f t="shared" ca="1" si="2004"/>
        <v>52062456.062885545</v>
      </c>
      <c r="W2104" s="2">
        <f t="shared" ca="1" si="2005"/>
        <v>53409921.811908588</v>
      </c>
      <c r="X2104" s="2">
        <f t="shared" ca="1" si="2006"/>
        <v>54792262.287982486</v>
      </c>
      <c r="Y2104" s="2">
        <f t="shared" ca="1" si="2007"/>
        <v>0.12309005259320416</v>
      </c>
      <c r="Z2104" s="2">
        <f t="shared" ca="1" si="2008"/>
        <v>0.12432607363048583</v>
      </c>
      <c r="AA2104" s="2">
        <f t="shared" ca="1" si="2009"/>
        <v>6089098.9222163167</v>
      </c>
      <c r="AB2104" s="2">
        <f t="shared" ca="1" si="2010"/>
        <v>6309422.0700288713</v>
      </c>
      <c r="AC2104" s="2">
        <f t="shared" ca="1" si="2011"/>
        <v>6472720.7458582418</v>
      </c>
      <c r="AD2104" s="2">
        <f t="shared" ca="1" si="2012"/>
        <v>6640245.8717858382</v>
      </c>
      <c r="AE2104" s="2">
        <f t="shared" ca="1" si="2013"/>
        <v>6812106.8355966024</v>
      </c>
      <c r="AF2104" s="2">
        <f t="shared" ca="1" si="2014"/>
        <v>989373.03119691706</v>
      </c>
      <c r="AG2104" s="2">
        <f t="shared" ca="1" si="2015"/>
        <v>1014979.7039004611</v>
      </c>
      <c r="AH2104" s="2">
        <f t="shared" ca="1" si="2016"/>
        <v>1041249.121257711</v>
      </c>
      <c r="AI2104" s="2">
        <f t="shared" ca="1" si="2017"/>
        <v>1068198.4362381718</v>
      </c>
      <c r="AJ2104" s="2">
        <f t="shared" ca="1" si="2018"/>
        <v>1095845.2457596497</v>
      </c>
      <c r="AK2104" s="2">
        <f t="shared" ca="1" si="2019"/>
        <v>0</v>
      </c>
      <c r="AL2104" s="2">
        <f t="shared" ca="1" si="2020"/>
        <v>12803.336351772026</v>
      </c>
      <c r="AM2104" s="2">
        <f t="shared" ca="1" si="2021"/>
        <v>13134.708678624927</v>
      </c>
      <c r="AN2104" s="2">
        <f t="shared" ca="1" si="2022"/>
        <v>13474.657490230427</v>
      </c>
      <c r="AO2104" s="2">
        <f t="shared" ca="1" si="2023"/>
        <v>13823.404760738984</v>
      </c>
      <c r="AP2104" s="2">
        <f t="shared" ca="1" si="2024"/>
        <v>2262383.8542218809</v>
      </c>
      <c r="AQ2104" s="2">
        <f t="shared" ca="1" si="2025"/>
        <v>737708.92956735485</v>
      </c>
      <c r="AR2104" s="2">
        <f t="shared" ca="1" si="2026"/>
        <v>788335.21309569769</v>
      </c>
      <c r="AS2104" s="2">
        <f t="shared" ca="1" si="2027"/>
        <v>823962.8202984489</v>
      </c>
      <c r="AT2104" s="2">
        <f t="shared" ca="1" si="2028"/>
        <v>860512.53114470432</v>
      </c>
      <c r="AU2104" s="2">
        <f t="shared" ca="1" si="2029"/>
        <v>898008.21125991887</v>
      </c>
      <c r="AV2104" s="2">
        <f t="shared" ca="1" si="2030"/>
        <v>2099633.1072301636</v>
      </c>
      <c r="AW2104" s="2">
        <f t="shared" ca="1" si="2031"/>
        <v>2230919.9624590599</v>
      </c>
      <c r="AX2104" s="2">
        <f t="shared" ca="1" si="2032"/>
        <v>2331990.241401576</v>
      </c>
      <c r="AY2104" s="2">
        <f t="shared" ca="1" si="2033"/>
        <v>2435676.3926908509</v>
      </c>
      <c r="AZ2104" s="2">
        <f t="shared" ca="1" si="2034"/>
        <v>2542046.1195944143</v>
      </c>
      <c r="BA2104" s="2">
        <f t="shared" ca="1" si="2035"/>
        <v>52519411.598058097</v>
      </c>
      <c r="BB2104" s="2">
        <f t="shared" ca="1" si="2036"/>
        <v>1050388.2319611621</v>
      </c>
      <c r="BC2104" s="2">
        <f t="shared" ca="1" si="2037"/>
        <v>26331424.985853814</v>
      </c>
      <c r="BD2104" s="2">
        <f t="shared" ca="1" si="2038"/>
        <v>-18305798.852672212</v>
      </c>
      <c r="BE2104" s="2">
        <f t="shared" ca="1" si="2039"/>
        <v>2099633.1072301636</v>
      </c>
      <c r="BF2104" s="2">
        <f t="shared" ca="1" si="2040"/>
        <v>2230919.9624590599</v>
      </c>
      <c r="BG2104" s="2">
        <f t="shared" ca="1" si="2041"/>
        <v>2331990.241401576</v>
      </c>
      <c r="BH2104" s="2">
        <f t="shared" ca="1" si="2042"/>
        <v>2435676.3926908509</v>
      </c>
      <c r="BI2104" s="2">
        <f t="shared" ca="1" si="2043"/>
        <v>28873471.105448227</v>
      </c>
      <c r="BJ2104" s="2">
        <f t="shared" ca="1" si="2044"/>
        <v>0.18575493497407169</v>
      </c>
      <c r="BK2104" s="2">
        <f t="shared" ca="1" si="2045"/>
        <v>4938713.1955447756</v>
      </c>
    </row>
    <row r="2105" spans="1:63" x14ac:dyDescent="0.3">
      <c r="A2105" s="2">
        <v>2104</v>
      </c>
      <c r="B2105" s="2">
        <f t="shared" ca="1" si="1984"/>
        <v>0.94487826564753197</v>
      </c>
      <c r="C2105" s="2">
        <f t="shared" ca="1" si="1985"/>
        <v>7.667970680955829</v>
      </c>
      <c r="D2105" s="2">
        <f t="shared" ca="1" si="1986"/>
        <v>0.41903119503115138</v>
      </c>
      <c r="E2105" s="2">
        <f t="shared" ca="1" si="1987"/>
        <v>7.415457475835062</v>
      </c>
      <c r="F2105" s="2">
        <f t="shared" ca="1" si="1988"/>
        <v>0.27491349256631303</v>
      </c>
      <c r="G2105" s="2">
        <f t="shared" ca="1" si="1989"/>
        <v>2.2059417846643167E-2</v>
      </c>
      <c r="H2105" s="2">
        <f t="shared" ca="1" si="1990"/>
        <v>2.2059417846643167E-2</v>
      </c>
      <c r="I2105" s="2">
        <f t="shared" ca="1" si="1991"/>
        <v>1.4983744883227512E-2</v>
      </c>
      <c r="J2105" s="2">
        <f t="shared" ca="1" si="1992"/>
        <v>-8.5259903704578213E-4</v>
      </c>
      <c r="K2105" s="2">
        <f t="shared" ca="1" si="1993"/>
        <v>0</v>
      </c>
      <c r="L2105" s="2">
        <f t="shared" ca="1" si="1994"/>
        <v>0.79788345396468729</v>
      </c>
      <c r="M2105" s="2">
        <f t="shared" ca="1" si="1995"/>
        <v>1.6681699825496984E-2</v>
      </c>
      <c r="N2105" s="2">
        <f t="shared" ca="1" si="1996"/>
        <v>1.6681699825496984E-2</v>
      </c>
      <c r="O2105" s="2">
        <f t="shared" si="1997"/>
        <v>6000000</v>
      </c>
      <c r="P2105" s="2">
        <f t="shared" ca="1" si="1998"/>
        <v>46007824.085734971</v>
      </c>
      <c r="Q2105" s="2">
        <f t="shared" ca="1" si="1999"/>
        <v>1150195.6021433743</v>
      </c>
      <c r="R2105" s="2">
        <f t="shared" ca="1" si="2000"/>
        <v>27604694.451440983</v>
      </c>
      <c r="S2105" s="2">
        <f t="shared" ca="1" si="2001"/>
        <v>18403129.634293988</v>
      </c>
      <c r="T2105" s="2">
        <f t="shared" ca="1" si="2002"/>
        <v>50834084.991274856</v>
      </c>
      <c r="U2105" s="2">
        <f t="shared" ca="1" si="2003"/>
        <v>51955455.312949158</v>
      </c>
      <c r="V2105" s="2">
        <f t="shared" ca="1" si="2004"/>
        <v>53101562.411110096</v>
      </c>
      <c r="W2105" s="2">
        <f t="shared" ca="1" si="2005"/>
        <v>54272951.964646369</v>
      </c>
      <c r="X2105" s="2">
        <f t="shared" ca="1" si="2006"/>
        <v>55470181.689805292</v>
      </c>
      <c r="Y2105" s="2">
        <f t="shared" ca="1" si="2007"/>
        <v>0.12</v>
      </c>
      <c r="Z2105" s="2">
        <f t="shared" ca="1" si="2008"/>
        <v>0.12</v>
      </c>
      <c r="AA2105" s="2">
        <f t="shared" ca="1" si="2009"/>
        <v>6100090.1989529822</v>
      </c>
      <c r="AB2105" s="2">
        <f t="shared" ca="1" si="2010"/>
        <v>6234654.6375538986</v>
      </c>
      <c r="AC2105" s="2">
        <f t="shared" ca="1" si="2011"/>
        <v>6372187.4893332114</v>
      </c>
      <c r="AD2105" s="2">
        <f t="shared" ca="1" si="2012"/>
        <v>6512754.2357575642</v>
      </c>
      <c r="AE2105" s="2">
        <f t="shared" ca="1" si="2013"/>
        <v>6656421.8027766347</v>
      </c>
      <c r="AF2105" s="2">
        <f t="shared" ca="1" si="2014"/>
        <v>1016681.6998254971</v>
      </c>
      <c r="AG2105" s="2">
        <f t="shared" ca="1" si="2015"/>
        <v>1039109.1062589831</v>
      </c>
      <c r="AH2105" s="2">
        <f t="shared" ca="1" si="2016"/>
        <v>1062031.2482222018</v>
      </c>
      <c r="AI2105" s="2">
        <f t="shared" ca="1" si="2017"/>
        <v>1085459.0392929274</v>
      </c>
      <c r="AJ2105" s="2">
        <f t="shared" ca="1" si="2018"/>
        <v>1109403.6337961059</v>
      </c>
      <c r="AK2105" s="2">
        <f t="shared" ca="1" si="2019"/>
        <v>0</v>
      </c>
      <c r="AL2105" s="2">
        <f t="shared" ca="1" si="2020"/>
        <v>11213.703216743022</v>
      </c>
      <c r="AM2105" s="2">
        <f t="shared" ca="1" si="2021"/>
        <v>11461.070981609375</v>
      </c>
      <c r="AN2105" s="2">
        <f t="shared" ca="1" si="2022"/>
        <v>11713.895535362735</v>
      </c>
      <c r="AO2105" s="2">
        <f t="shared" ca="1" si="2023"/>
        <v>11972.297251589223</v>
      </c>
      <c r="AP2105" s="2">
        <f t="shared" ca="1" si="2024"/>
        <v>2484422.5006296881</v>
      </c>
      <c r="AQ2105" s="2">
        <f t="shared" ca="1" si="2025"/>
        <v>675736.35960942716</v>
      </c>
      <c r="AR2105" s="2">
        <f t="shared" ca="1" si="2026"/>
        <v>704891.98797295918</v>
      </c>
      <c r="AS2105" s="2">
        <f t="shared" ca="1" si="2027"/>
        <v>734690.77252514358</v>
      </c>
      <c r="AT2105" s="2">
        <f t="shared" ca="1" si="2028"/>
        <v>765146.90091708675</v>
      </c>
      <c r="AU2105" s="2">
        <f t="shared" ca="1" si="2029"/>
        <v>796274.87377121858</v>
      </c>
      <c r="AV2105" s="2">
        <f t="shared" ca="1" si="2030"/>
        <v>1923249.6388883698</v>
      </c>
      <c r="AW2105" s="2">
        <f t="shared" ca="1" si="2031"/>
        <v>1995017.339475526</v>
      </c>
      <c r="AX2105" s="2">
        <f t="shared" ca="1" si="2032"/>
        <v>2079581.8969745678</v>
      </c>
      <c r="AY2105" s="2">
        <f t="shared" ca="1" si="2033"/>
        <v>2166011.8993824995</v>
      </c>
      <c r="AZ2105" s="2">
        <f t="shared" ca="1" si="2034"/>
        <v>2254348.4973280323</v>
      </c>
      <c r="BA2105" s="2">
        <f t="shared" ca="1" si="2035"/>
        <v>49360412.819711499</v>
      </c>
      <c r="BB2105" s="2">
        <f t="shared" ca="1" si="2036"/>
        <v>987208.25639422995</v>
      </c>
      <c r="BC2105" s="2">
        <f t="shared" ca="1" si="2037"/>
        <v>20768510.111876287</v>
      </c>
      <c r="BD2105" s="2">
        <f t="shared" ca="1" si="2038"/>
        <v>-20053325.236437362</v>
      </c>
      <c r="BE2105" s="2">
        <f t="shared" ca="1" si="2039"/>
        <v>1923249.6388883698</v>
      </c>
      <c r="BF2105" s="2">
        <f t="shared" ca="1" si="2040"/>
        <v>1995017.339475526</v>
      </c>
      <c r="BG2105" s="2">
        <f t="shared" ca="1" si="2041"/>
        <v>2079581.8969745678</v>
      </c>
      <c r="BH2105" s="2">
        <f t="shared" ca="1" si="2042"/>
        <v>2166011.8993824995</v>
      </c>
      <c r="BI2105" s="2">
        <f t="shared" ca="1" si="2043"/>
        <v>23022858.609204318</v>
      </c>
      <c r="BJ2105" s="2">
        <f t="shared" ca="1" si="2044"/>
        <v>0.10879307008644634</v>
      </c>
      <c r="BK2105" s="2">
        <f t="shared" ca="1" si="2045"/>
        <v>-825189.14187135547</v>
      </c>
    </row>
    <row r="2106" spans="1:63" x14ac:dyDescent="0.3">
      <c r="A2106" s="2">
        <v>2105</v>
      </c>
      <c r="B2106" s="2">
        <f t="shared" ca="1" si="1984"/>
        <v>0.99620990301972145</v>
      </c>
      <c r="C2106" s="2">
        <f t="shared" ca="1" si="1985"/>
        <v>7.9129356906616888</v>
      </c>
      <c r="D2106" s="2">
        <f t="shared" ca="1" si="1986"/>
        <v>0.72963345187975426</v>
      </c>
      <c r="E2106" s="2">
        <f t="shared" ca="1" si="1987"/>
        <v>7.7646544375326041</v>
      </c>
      <c r="F2106" s="2">
        <f t="shared" ca="1" si="1988"/>
        <v>0.45245189836202382</v>
      </c>
      <c r="G2106" s="2">
        <f t="shared" ca="1" si="1989"/>
        <v>3.6415929931770938E-2</v>
      </c>
      <c r="H2106" s="2">
        <f t="shared" ca="1" si="1990"/>
        <v>3.6415929931770938E-2</v>
      </c>
      <c r="I2106" s="2">
        <f t="shared" ca="1" si="1991"/>
        <v>0.62872746333982898</v>
      </c>
      <c r="J2106" s="2">
        <f t="shared" ca="1" si="1992"/>
        <v>1.1642424408800924E-2</v>
      </c>
      <c r="K2106" s="2">
        <f t="shared" ca="1" si="1993"/>
        <v>1.1642424408800924E-2</v>
      </c>
      <c r="L2106" s="2">
        <f t="shared" ca="1" si="1994"/>
        <v>0.75762011791978756</v>
      </c>
      <c r="M2106" s="2">
        <f t="shared" ca="1" si="1995"/>
        <v>1.3973352719272299E-2</v>
      </c>
      <c r="N2106" s="2">
        <f t="shared" ca="1" si="1996"/>
        <v>1.3973352719272299E-2</v>
      </c>
      <c r="O2106" s="2">
        <f t="shared" si="1997"/>
        <v>6000000</v>
      </c>
      <c r="P2106" s="2">
        <f t="shared" ca="1" si="1998"/>
        <v>47477614.143970132</v>
      </c>
      <c r="Q2106" s="2">
        <f t="shared" ca="1" si="1999"/>
        <v>1186940.3535992533</v>
      </c>
      <c r="R2106" s="2">
        <f t="shared" ca="1" si="2000"/>
        <v>28486568.486382078</v>
      </c>
      <c r="S2106" s="2">
        <f t="shared" ca="1" si="2001"/>
        <v>18991045.657588053</v>
      </c>
      <c r="T2106" s="2">
        <f t="shared" ca="1" si="2002"/>
        <v>50698667.635963611</v>
      </c>
      <c r="U2106" s="2">
        <f t="shared" ca="1" si="2003"/>
        <v>52544906.764229007</v>
      </c>
      <c r="V2106" s="2">
        <f t="shared" ca="1" si="2004"/>
        <v>54458378.407226615</v>
      </c>
      <c r="W2106" s="2">
        <f t="shared" ca="1" si="2005"/>
        <v>56441530.899502054</v>
      </c>
      <c r="X2106" s="2">
        <f t="shared" ca="1" si="2006"/>
        <v>58496901.733980209</v>
      </c>
      <c r="Y2106" s="2">
        <f t="shared" ca="1" si="2007"/>
        <v>0.12582121220440046</v>
      </c>
      <c r="Z2106" s="2">
        <f t="shared" ca="1" si="2008"/>
        <v>0.12814969708616064</v>
      </c>
      <c r="AA2106" s="2">
        <f t="shared" ca="1" si="2009"/>
        <v>6378967.8191049471</v>
      </c>
      <c r="AB2106" s="2">
        <f t="shared" ca="1" si="2010"/>
        <v>6733613.8852565009</v>
      </c>
      <c r="AC2106" s="2">
        <f t="shared" ca="1" si="2011"/>
        <v>6978824.696689602</v>
      </c>
      <c r="AD2106" s="2">
        <f t="shared" ca="1" si="2012"/>
        <v>7232965.0878503639</v>
      </c>
      <c r="AE2106" s="2">
        <f t="shared" ca="1" si="2013"/>
        <v>7496360.2376884688</v>
      </c>
      <c r="AF2106" s="2">
        <f t="shared" ca="1" si="2014"/>
        <v>1013973.3527192723</v>
      </c>
      <c r="AG2106" s="2">
        <f t="shared" ca="1" si="2015"/>
        <v>1050898.1352845801</v>
      </c>
      <c r="AH2106" s="2">
        <f t="shared" ca="1" si="2016"/>
        <v>1089167.5681445324</v>
      </c>
      <c r="AI2106" s="2">
        <f t="shared" ca="1" si="2017"/>
        <v>1128830.6179900412</v>
      </c>
      <c r="AJ2106" s="2">
        <f t="shared" ca="1" si="2018"/>
        <v>1169938.0346796042</v>
      </c>
      <c r="AK2106" s="2">
        <f t="shared" ca="1" si="2019"/>
        <v>0</v>
      </c>
      <c r="AL2106" s="2">
        <f t="shared" ca="1" si="2020"/>
        <v>18462.391282653956</v>
      </c>
      <c r="AM2106" s="2">
        <f t="shared" ca="1" si="2021"/>
        <v>19134.716429976077</v>
      </c>
      <c r="AN2106" s="2">
        <f t="shared" ca="1" si="2022"/>
        <v>19831.524922754394</v>
      </c>
      <c r="AO2106" s="2">
        <f t="shared" ca="1" si="2023"/>
        <v>20553.708344781549</v>
      </c>
      <c r="AP2106" s="2">
        <f t="shared" ca="1" si="2024"/>
        <v>2563791.163774387</v>
      </c>
      <c r="AQ2106" s="2">
        <f t="shared" ca="1" si="2025"/>
        <v>728312.85867893486</v>
      </c>
      <c r="AR2106" s="2">
        <f t="shared" ca="1" si="2026"/>
        <v>810920.39241135877</v>
      </c>
      <c r="AS2106" s="2">
        <f t="shared" ca="1" si="2027"/>
        <v>864725.15084037767</v>
      </c>
      <c r="AT2106" s="2">
        <f t="shared" ca="1" si="2028"/>
        <v>920489.25958234339</v>
      </c>
      <c r="AU2106" s="2">
        <f t="shared" ca="1" si="2029"/>
        <v>978284.07020096411</v>
      </c>
      <c r="AV2106" s="2">
        <f t="shared" ca="1" si="2030"/>
        <v>2072890.4439323526</v>
      </c>
      <c r="AW2106" s="2">
        <f t="shared" ca="1" si="2031"/>
        <v>2289541.8025035206</v>
      </c>
      <c r="AX2106" s="2">
        <f t="shared" ca="1" si="2032"/>
        <v>2442006.0975003298</v>
      </c>
      <c r="AY2106" s="2">
        <f t="shared" ca="1" si="2033"/>
        <v>2600022.5215808377</v>
      </c>
      <c r="AZ2106" s="2">
        <f t="shared" ca="1" si="2034"/>
        <v>2763793.2606887314</v>
      </c>
      <c r="BA2106" s="2">
        <f t="shared" ca="1" si="2035"/>
        <v>58206646.784910738</v>
      </c>
      <c r="BB2106" s="2">
        <f t="shared" ca="1" si="2036"/>
        <v>1164132.9356982147</v>
      </c>
      <c r="BC2106" s="2">
        <f t="shared" ca="1" si="2037"/>
        <v>28555945.362830445</v>
      </c>
      <c r="BD2106" s="2">
        <f t="shared" ca="1" si="2038"/>
        <v>-20677986.011187308</v>
      </c>
      <c r="BE2106" s="2">
        <f t="shared" ca="1" si="2039"/>
        <v>2072890.4439323526</v>
      </c>
      <c r="BF2106" s="2">
        <f t="shared" ca="1" si="2040"/>
        <v>2289541.8025035206</v>
      </c>
      <c r="BG2106" s="2">
        <f t="shared" ca="1" si="2041"/>
        <v>2442006.0975003298</v>
      </c>
      <c r="BH2106" s="2">
        <f t="shared" ca="1" si="2042"/>
        <v>2600022.5215808377</v>
      </c>
      <c r="BI2106" s="2">
        <f t="shared" ca="1" si="2043"/>
        <v>31319738.623519175</v>
      </c>
      <c r="BJ2106" s="2">
        <f t="shared" ca="1" si="2044"/>
        <v>0.16951130501709311</v>
      </c>
      <c r="BK2106" s="2">
        <f t="shared" ca="1" si="2045"/>
        <v>4160211.5664277747</v>
      </c>
    </row>
    <row r="2107" spans="1:63" x14ac:dyDescent="0.3">
      <c r="A2107" s="2">
        <v>2106</v>
      </c>
      <c r="B2107" s="2">
        <f t="shared" ca="1" si="1984"/>
        <v>0.52717720631851128</v>
      </c>
      <c r="C2107" s="2">
        <f t="shared" ca="1" si="1985"/>
        <v>7.0275568976217802</v>
      </c>
      <c r="D2107" s="2">
        <f t="shared" ca="1" si="1986"/>
        <v>0.62207699258903093</v>
      </c>
      <c r="E2107" s="2">
        <f t="shared" ca="1" si="1987"/>
        <v>7.6306059496281691</v>
      </c>
      <c r="F2107" s="2">
        <f t="shared" ca="1" si="1988"/>
        <v>0.85396977570412957</v>
      </c>
      <c r="G2107" s="2">
        <f t="shared" ca="1" si="1989"/>
        <v>7.1608369453170728E-2</v>
      </c>
      <c r="H2107" s="2">
        <f t="shared" ca="1" si="1990"/>
        <v>7.1608369453170728E-2</v>
      </c>
      <c r="I2107" s="2">
        <f t="shared" ca="1" si="1991"/>
        <v>0.80478690340623538</v>
      </c>
      <c r="J2107" s="2">
        <f t="shared" ca="1" si="1992"/>
        <v>1.4294223583107489E-2</v>
      </c>
      <c r="K2107" s="2">
        <f t="shared" ca="1" si="1993"/>
        <v>1.4294223583107489E-2</v>
      </c>
      <c r="L2107" s="2">
        <f t="shared" ca="1" si="1994"/>
        <v>0.77666012038953591</v>
      </c>
      <c r="M2107" s="2">
        <f t="shared" ca="1" si="1995"/>
        <v>1.5219240180514517E-2</v>
      </c>
      <c r="N2107" s="2">
        <f t="shared" ca="1" si="1996"/>
        <v>1.5219240180514517E-2</v>
      </c>
      <c r="O2107" s="2">
        <f t="shared" si="1997"/>
        <v>6000000</v>
      </c>
      <c r="P2107" s="2">
        <f t="shared" ca="1" si="1998"/>
        <v>42165341.385730684</v>
      </c>
      <c r="Q2107" s="2">
        <f t="shared" ca="1" si="1999"/>
        <v>1054133.534643267</v>
      </c>
      <c r="R2107" s="2">
        <f t="shared" ca="1" si="2000"/>
        <v>25299204.831438411</v>
      </c>
      <c r="S2107" s="2">
        <f t="shared" ca="1" si="2001"/>
        <v>16866136.554292273</v>
      </c>
      <c r="T2107" s="2">
        <f t="shared" ca="1" si="2002"/>
        <v>50760962.009025723</v>
      </c>
      <c r="U2107" s="2">
        <f t="shared" ca="1" si="2003"/>
        <v>54395871.730366394</v>
      </c>
      <c r="V2107" s="2">
        <f t="shared" ca="1" si="2004"/>
        <v>58291071.409961753</v>
      </c>
      <c r="W2107" s="2">
        <f t="shared" ca="1" si="2005"/>
        <v>62465199.987307444</v>
      </c>
      <c r="X2107" s="2">
        <f t="shared" ca="1" si="2006"/>
        <v>66938231.105964743</v>
      </c>
      <c r="Y2107" s="2">
        <f t="shared" ca="1" si="2007"/>
        <v>0.12714711179155375</v>
      </c>
      <c r="Z2107" s="2">
        <f t="shared" ca="1" si="2008"/>
        <v>0.13000595650817523</v>
      </c>
      <c r="AA2107" s="2">
        <f t="shared" ca="1" si="2009"/>
        <v>6454109.7112084059</v>
      </c>
      <c r="AB2107" s="2">
        <f t="shared" ca="1" si="2010"/>
        <v>7071787.334402292</v>
      </c>
      <c r="AC2107" s="2">
        <f t="shared" ca="1" si="2011"/>
        <v>7578186.4945384245</v>
      </c>
      <c r="AD2107" s="2">
        <f t="shared" ca="1" si="2012"/>
        <v>8120848.0728243599</v>
      </c>
      <c r="AE2107" s="2">
        <f t="shared" ca="1" si="2013"/>
        <v>8702368.761896234</v>
      </c>
      <c r="AF2107" s="2">
        <f t="shared" ca="1" si="2014"/>
        <v>1015219.2401805145</v>
      </c>
      <c r="AG2107" s="2">
        <f t="shared" ca="1" si="2015"/>
        <v>1087917.4346073279</v>
      </c>
      <c r="AH2107" s="2">
        <f t="shared" ca="1" si="2016"/>
        <v>1165821.4281992351</v>
      </c>
      <c r="AI2107" s="2">
        <f t="shared" ca="1" si="2017"/>
        <v>1249303.9997461489</v>
      </c>
      <c r="AJ2107" s="2">
        <f t="shared" ca="1" si="2018"/>
        <v>1338764.6221192949</v>
      </c>
      <c r="AK2107" s="2">
        <f t="shared" ca="1" si="2019"/>
        <v>0</v>
      </c>
      <c r="AL2107" s="2">
        <f t="shared" ca="1" si="2020"/>
        <v>36349.097213406712</v>
      </c>
      <c r="AM2107" s="2">
        <f t="shared" ca="1" si="2021"/>
        <v>38951.996795953586</v>
      </c>
      <c r="AN2107" s="2">
        <f t="shared" ca="1" si="2022"/>
        <v>41741.285773456919</v>
      </c>
      <c r="AO2107" s="2">
        <f t="shared" ca="1" si="2023"/>
        <v>44730.311186572988</v>
      </c>
      <c r="AP2107" s="2">
        <f t="shared" ca="1" si="2024"/>
        <v>2276928.4348294567</v>
      </c>
      <c r="AQ2107" s="2">
        <f t="shared" ca="1" si="2025"/>
        <v>822110.12941159296</v>
      </c>
      <c r="AR2107" s="2">
        <f t="shared" ca="1" si="2026"/>
        <v>963804.78089103196</v>
      </c>
      <c r="AS2107" s="2">
        <f t="shared" ca="1" si="2027"/>
        <v>1075213.5241925304</v>
      </c>
      <c r="AT2107" s="2">
        <f t="shared" ca="1" si="2028"/>
        <v>1194600.0659446763</v>
      </c>
      <c r="AU2107" s="2">
        <f t="shared" ca="1" si="2029"/>
        <v>1322535.6832863456</v>
      </c>
      <c r="AV2107" s="2">
        <f t="shared" ca="1" si="2030"/>
        <v>2339851.9067868413</v>
      </c>
      <c r="AW2107" s="2">
        <f t="shared" ca="1" si="2031"/>
        <v>2706787.5868610684</v>
      </c>
      <c r="AX2107" s="2">
        <f t="shared" ca="1" si="2032"/>
        <v>3021271.1105212485</v>
      </c>
      <c r="AY2107" s="2">
        <f t="shared" ca="1" si="2033"/>
        <v>3358274.2865306213</v>
      </c>
      <c r="AZ2107" s="2">
        <f t="shared" ca="1" si="2034"/>
        <v>3719409.7104745647</v>
      </c>
      <c r="BA2107" s="2">
        <f t="shared" ca="1" si="2035"/>
        <v>66404346.850383729</v>
      </c>
      <c r="BB2107" s="2">
        <f t="shared" ca="1" si="2036"/>
        <v>1328086.9370076747</v>
      </c>
      <c r="BC2107" s="2">
        <f t="shared" ca="1" si="2037"/>
        <v>39777055.081937648</v>
      </c>
      <c r="BD2107" s="2">
        <f t="shared" ca="1" si="2038"/>
        <v>-18420270.088935539</v>
      </c>
      <c r="BE2107" s="2">
        <f t="shared" ca="1" si="2039"/>
        <v>2339851.9067868413</v>
      </c>
      <c r="BF2107" s="2">
        <f t="shared" ca="1" si="2040"/>
        <v>2706787.5868610684</v>
      </c>
      <c r="BG2107" s="2">
        <f t="shared" ca="1" si="2041"/>
        <v>3021271.1105212485</v>
      </c>
      <c r="BH2107" s="2">
        <f t="shared" ca="1" si="2042"/>
        <v>3358274.2865306213</v>
      </c>
      <c r="BI2107" s="2">
        <f t="shared" ca="1" si="2043"/>
        <v>43496464.792412214</v>
      </c>
      <c r="BJ2107" s="2">
        <f t="shared" ca="1" si="2044"/>
        <v>0.28686248048951657</v>
      </c>
      <c r="BK2107" s="2">
        <f t="shared" ca="1" si="2045"/>
        <v>14792505.264467567</v>
      </c>
    </row>
    <row r="2108" spans="1:63" x14ac:dyDescent="0.3">
      <c r="A2108" s="2">
        <v>2107</v>
      </c>
      <c r="B2108" s="2">
        <f t="shared" ca="1" si="1984"/>
        <v>0.32246012947585412</v>
      </c>
      <c r="C2108" s="2">
        <f t="shared" ca="1" si="1985"/>
        <v>6.8030692740677532</v>
      </c>
      <c r="D2108" s="2">
        <f t="shared" ca="1" si="1986"/>
        <v>0.52001515884322358</v>
      </c>
      <c r="E2108" s="2">
        <f t="shared" ca="1" si="1987"/>
        <v>7.5202195744384595</v>
      </c>
      <c r="F2108" s="2">
        <f t="shared" ca="1" si="1988"/>
        <v>2.8889373111842254E-2</v>
      </c>
      <c r="G2108" s="2">
        <f t="shared" ca="1" si="1989"/>
        <v>-1.6921185518568138E-2</v>
      </c>
      <c r="H2108" s="2">
        <f t="shared" ca="1" si="1990"/>
        <v>-1.6921185518568138E-2</v>
      </c>
      <c r="I2108" s="2">
        <f t="shared" ca="1" si="1991"/>
        <v>0.31368436991038329</v>
      </c>
      <c r="J2108" s="2">
        <f t="shared" ca="1" si="1992"/>
        <v>7.5728315547618601E-3</v>
      </c>
      <c r="K2108" s="2">
        <f t="shared" ca="1" si="1993"/>
        <v>7.5728315547618601E-3</v>
      </c>
      <c r="L2108" s="2">
        <f t="shared" ca="1" si="1994"/>
        <v>0.46833711085536489</v>
      </c>
      <c r="M2108" s="2">
        <f t="shared" ca="1" si="1995"/>
        <v>-1.5890120280835944E-3</v>
      </c>
      <c r="N2108" s="2">
        <f t="shared" ca="1" si="1996"/>
        <v>-1.5890120280835944E-3</v>
      </c>
      <c r="O2108" s="2">
        <f t="shared" si="1997"/>
        <v>6000000</v>
      </c>
      <c r="P2108" s="2">
        <f t="shared" ca="1" si="1998"/>
        <v>40818415.64440652</v>
      </c>
      <c r="Q2108" s="2">
        <f t="shared" ca="1" si="1999"/>
        <v>1020460.3911101631</v>
      </c>
      <c r="R2108" s="2">
        <f t="shared" ca="1" si="2000"/>
        <v>24491049.386643913</v>
      </c>
      <c r="S2108" s="2">
        <f t="shared" ca="1" si="2001"/>
        <v>16327366.257762609</v>
      </c>
      <c r="T2108" s="2">
        <f t="shared" ca="1" si="2002"/>
        <v>49920549.398595817</v>
      </c>
      <c r="U2108" s="2">
        <f t="shared" ca="1" si="2003"/>
        <v>49075834.521033332</v>
      </c>
      <c r="V2108" s="2">
        <f t="shared" ca="1" si="2004"/>
        <v>48245413.22062438</v>
      </c>
      <c r="W2108" s="2">
        <f t="shared" ca="1" si="2005"/>
        <v>47429043.633098215</v>
      </c>
      <c r="X2108" s="2">
        <f t="shared" ca="1" si="2006"/>
        <v>46626487.986814298</v>
      </c>
      <c r="Y2108" s="2">
        <f t="shared" ca="1" si="2007"/>
        <v>0.12378641577738092</v>
      </c>
      <c r="Z2108" s="2">
        <f t="shared" ca="1" si="2008"/>
        <v>0.12530098208833329</v>
      </c>
      <c r="AA2108" s="2">
        <f t="shared" ca="1" si="2009"/>
        <v>6179485.8836898645</v>
      </c>
      <c r="AB2108" s="2">
        <f t="shared" ca="1" si="2010"/>
        <v>6149250.2622900065</v>
      </c>
      <c r="AC2108" s="2">
        <f t="shared" ca="1" si="2011"/>
        <v>6045197.6578016933</v>
      </c>
      <c r="AD2108" s="2">
        <f t="shared" ca="1" si="2012"/>
        <v>5942905.7467376171</v>
      </c>
      <c r="AE2108" s="2">
        <f t="shared" ca="1" si="2013"/>
        <v>5842344.7360777054</v>
      </c>
      <c r="AF2108" s="2">
        <f t="shared" ca="1" si="2014"/>
        <v>998410.98797191633</v>
      </c>
      <c r="AG2108" s="2">
        <f t="shared" ca="1" si="2015"/>
        <v>981516.69042066671</v>
      </c>
      <c r="AH2108" s="2">
        <f t="shared" ca="1" si="2016"/>
        <v>964908.26441248762</v>
      </c>
      <c r="AI2108" s="2">
        <f t="shared" ca="1" si="2017"/>
        <v>948580.87266196427</v>
      </c>
      <c r="AJ2108" s="2">
        <f t="shared" ca="1" si="2018"/>
        <v>932529.75973628601</v>
      </c>
      <c r="AK2108" s="2">
        <f t="shared" ca="1" si="2019"/>
        <v>0</v>
      </c>
      <c r="AL2108" s="2">
        <f t="shared" ca="1" si="2020"/>
        <v>0</v>
      </c>
      <c r="AM2108" s="2">
        <f t="shared" ca="1" si="2021"/>
        <v>0</v>
      </c>
      <c r="AN2108" s="2">
        <f t="shared" ca="1" si="2022"/>
        <v>0</v>
      </c>
      <c r="AO2108" s="2">
        <f t="shared" ca="1" si="2023"/>
        <v>0</v>
      </c>
      <c r="AP2108" s="2">
        <f t="shared" ca="1" si="2024"/>
        <v>2204194.4447979522</v>
      </c>
      <c r="AQ2108" s="2">
        <f t="shared" ca="1" si="2025"/>
        <v>773988.91723919916</v>
      </c>
      <c r="AR2108" s="2">
        <f t="shared" ca="1" si="2026"/>
        <v>770520.17303856078</v>
      </c>
      <c r="AS2108" s="2">
        <f t="shared" ca="1" si="2027"/>
        <v>747784.68663372588</v>
      </c>
      <c r="AT2108" s="2">
        <f t="shared" ca="1" si="2028"/>
        <v>725433.9116122023</v>
      </c>
      <c r="AU2108" s="2">
        <f t="shared" ca="1" si="2029"/>
        <v>703461.33820130141</v>
      </c>
      <c r="AV2108" s="2">
        <f t="shared" ca="1" si="2030"/>
        <v>2202891.5336807971</v>
      </c>
      <c r="AW2108" s="2">
        <f t="shared" ca="1" si="2031"/>
        <v>2193018.9540328267</v>
      </c>
      <c r="AX2108" s="2">
        <f t="shared" ca="1" si="2032"/>
        <v>2128310.2619575276</v>
      </c>
      <c r="AY2108" s="2">
        <f t="shared" ca="1" si="2033"/>
        <v>2064696.5176654984</v>
      </c>
      <c r="AZ2108" s="2">
        <f t="shared" ca="1" si="2034"/>
        <v>2002159.1933421656</v>
      </c>
      <c r="BA2108" s="2">
        <f t="shared" ca="1" si="2035"/>
        <v>43935715.244869053</v>
      </c>
      <c r="BB2108" s="2">
        <f t="shared" ca="1" si="2036"/>
        <v>878714.30489738111</v>
      </c>
      <c r="BC2108" s="2">
        <f t="shared" ca="1" si="2037"/>
        <v>18565951.553327758</v>
      </c>
      <c r="BD2108" s="2">
        <f t="shared" ca="1" si="2038"/>
        <v>-17847826.64887277</v>
      </c>
      <c r="BE2108" s="2">
        <f t="shared" ca="1" si="2039"/>
        <v>2202891.5336807971</v>
      </c>
      <c r="BF2108" s="2">
        <f t="shared" ca="1" si="2040"/>
        <v>2193018.9540328267</v>
      </c>
      <c r="BG2108" s="2">
        <f t="shared" ca="1" si="2041"/>
        <v>2128310.2619575276</v>
      </c>
      <c r="BH2108" s="2">
        <f t="shared" ca="1" si="2042"/>
        <v>2064696.5176654984</v>
      </c>
      <c r="BI2108" s="2">
        <f t="shared" ca="1" si="2043"/>
        <v>20568110.746669922</v>
      </c>
      <c r="BJ2108" s="2">
        <f t="shared" ca="1" si="2044"/>
        <v>0.12563506103707245</v>
      </c>
      <c r="BK2108" s="2">
        <f t="shared" ca="1" si="2045"/>
        <v>365241.65355268866</v>
      </c>
    </row>
    <row r="2109" spans="1:63" x14ac:dyDescent="0.3">
      <c r="A2109" s="2">
        <v>2108</v>
      </c>
      <c r="B2109" s="2">
        <f t="shared" ca="1" si="1984"/>
        <v>0.72741042126674982</v>
      </c>
      <c r="C2109" s="2">
        <f t="shared" ca="1" si="1985"/>
        <v>7.2616375162113798</v>
      </c>
      <c r="D2109" s="2">
        <f t="shared" ca="1" si="1986"/>
        <v>0.816749119381878</v>
      </c>
      <c r="E2109" s="2">
        <f t="shared" ca="1" si="1987"/>
        <v>7.8946061106715364</v>
      </c>
      <c r="F2109" s="2">
        <f t="shared" ca="1" si="1988"/>
        <v>0.84485141571529065</v>
      </c>
      <c r="G2109" s="2">
        <f t="shared" ca="1" si="1989"/>
        <v>7.0437960416823639E-2</v>
      </c>
      <c r="H2109" s="2">
        <f t="shared" ca="1" si="1990"/>
        <v>7.0437960416823639E-2</v>
      </c>
      <c r="I2109" s="2">
        <f t="shared" ca="1" si="1991"/>
        <v>0.29472843009250393</v>
      </c>
      <c r="J2109" s="2">
        <f t="shared" ca="1" si="1992"/>
        <v>7.3018836120154413E-3</v>
      </c>
      <c r="K2109" s="2">
        <f t="shared" ca="1" si="1993"/>
        <v>7.3018836120154413E-3</v>
      </c>
      <c r="L2109" s="2">
        <f t="shared" ca="1" si="1994"/>
        <v>0.1643535084885217</v>
      </c>
      <c r="M2109" s="2">
        <f t="shared" ca="1" si="1995"/>
        <v>-1.9534431259222832E-2</v>
      </c>
      <c r="N2109" s="2">
        <f t="shared" ca="1" si="1996"/>
        <v>-1.9534431259222832E-2</v>
      </c>
      <c r="O2109" s="2">
        <f t="shared" si="1997"/>
        <v>6000000</v>
      </c>
      <c r="P2109" s="2">
        <f t="shared" ca="1" si="1998"/>
        <v>43569825.097268276</v>
      </c>
      <c r="Q2109" s="2">
        <f t="shared" ca="1" si="1999"/>
        <v>1089245.627431707</v>
      </c>
      <c r="R2109" s="2">
        <f t="shared" ca="1" si="2000"/>
        <v>26141895.058360964</v>
      </c>
      <c r="S2109" s="2">
        <f t="shared" ca="1" si="2001"/>
        <v>17427930.038907312</v>
      </c>
      <c r="T2109" s="2">
        <f t="shared" ca="1" si="2002"/>
        <v>49023278.437038861</v>
      </c>
      <c r="U2109" s="2">
        <f t="shared" ca="1" si="2003"/>
        <v>52476378.183089934</v>
      </c>
      <c r="V2109" s="2">
        <f t="shared" ca="1" si="2004"/>
        <v>56172707.232368693</v>
      </c>
      <c r="W2109" s="2">
        <f t="shared" ca="1" si="2005"/>
        <v>60129398.160908103</v>
      </c>
      <c r="X2109" s="2">
        <f t="shared" ca="1" si="2006"/>
        <v>64364790.328453578</v>
      </c>
      <c r="Y2109" s="2">
        <f t="shared" ca="1" si="2007"/>
        <v>0.12365094180600772</v>
      </c>
      <c r="Z2109" s="2">
        <f t="shared" ca="1" si="2008"/>
        <v>0.12511131852841081</v>
      </c>
      <c r="AA2109" s="2">
        <f t="shared" ca="1" si="2009"/>
        <v>6061774.549158005</v>
      </c>
      <c r="AB2109" s="2">
        <f t="shared" ca="1" si="2010"/>
        <v>6565388.866081913</v>
      </c>
      <c r="AC2109" s="2">
        <f t="shared" ca="1" si="2011"/>
        <v>7027841.4671520451</v>
      </c>
      <c r="AD2109" s="2">
        <f t="shared" ca="1" si="2012"/>
        <v>7522868.286231013</v>
      </c>
      <c r="AE2109" s="2">
        <f t="shared" ca="1" si="2013"/>
        <v>8052763.7847975316</v>
      </c>
      <c r="AF2109" s="2">
        <f t="shared" ca="1" si="2014"/>
        <v>980465.56874077721</v>
      </c>
      <c r="AG2109" s="2">
        <f t="shared" ca="1" si="2015"/>
        <v>1049527.5636617986</v>
      </c>
      <c r="AH2109" s="2">
        <f t="shared" ca="1" si="2016"/>
        <v>1123454.1446473738</v>
      </c>
      <c r="AI2109" s="2">
        <f t="shared" ca="1" si="2017"/>
        <v>1202587.9632181621</v>
      </c>
      <c r="AJ2109" s="2">
        <f t="shared" ca="1" si="2018"/>
        <v>1287295.8065690715</v>
      </c>
      <c r="AK2109" s="2">
        <f t="shared" ca="1" si="2019"/>
        <v>0</v>
      </c>
      <c r="AL2109" s="2">
        <f t="shared" ca="1" si="2020"/>
        <v>34530.997460510735</v>
      </c>
      <c r="AM2109" s="2">
        <f t="shared" ca="1" si="2021"/>
        <v>36963.290492787586</v>
      </c>
      <c r="AN2109" s="2">
        <f t="shared" ca="1" si="2022"/>
        <v>39566.909285394104</v>
      </c>
      <c r="AO2109" s="2">
        <f t="shared" ca="1" si="2023"/>
        <v>42353.921675454752</v>
      </c>
      <c r="AP2109" s="2">
        <f t="shared" ca="1" si="2024"/>
        <v>2352770.5552524868</v>
      </c>
      <c r="AQ2109" s="2">
        <f t="shared" ca="1" si="2025"/>
        <v>709419.99054283253</v>
      </c>
      <c r="AR2109" s="2">
        <f t="shared" ca="1" si="2026"/>
        <v>822403.59426358319</v>
      </c>
      <c r="AS2109" s="2">
        <f t="shared" ca="1" si="2027"/>
        <v>923420.35948556801</v>
      </c>
      <c r="AT2109" s="2">
        <f t="shared" ca="1" si="2028"/>
        <v>1031552.5396176948</v>
      </c>
      <c r="AU2109" s="2">
        <f t="shared" ca="1" si="2029"/>
        <v>1147301.3299737531</v>
      </c>
      <c r="AV2109" s="2">
        <f t="shared" ca="1" si="2030"/>
        <v>2019118.4346219078</v>
      </c>
      <c r="AW2109" s="2">
        <f t="shared" ca="1" si="2031"/>
        <v>2306156.1554435333</v>
      </c>
      <c r="AX2109" s="2">
        <f t="shared" ca="1" si="2032"/>
        <v>2591233.117273828</v>
      </c>
      <c r="AY2109" s="2">
        <f t="shared" ca="1" si="2033"/>
        <v>2896390.3188572749</v>
      </c>
      <c r="AZ2109" s="2">
        <f t="shared" ca="1" si="2034"/>
        <v>3223042.1713267658</v>
      </c>
      <c r="BA2109" s="2">
        <f t="shared" ca="1" si="2035"/>
        <v>63573398.183257043</v>
      </c>
      <c r="BB2109" s="2">
        <f t="shared" ca="1" si="2036"/>
        <v>1271467.9636651408</v>
      </c>
      <c r="BC2109" s="2">
        <f t="shared" ca="1" si="2037"/>
        <v>36160035.161230937</v>
      </c>
      <c r="BD2109" s="2">
        <f t="shared" ca="1" si="2038"/>
        <v>-19017175.666339017</v>
      </c>
      <c r="BE2109" s="2">
        <f t="shared" ca="1" si="2039"/>
        <v>2019118.4346219078</v>
      </c>
      <c r="BF2109" s="2">
        <f t="shared" ca="1" si="2040"/>
        <v>2306156.1554435333</v>
      </c>
      <c r="BG2109" s="2">
        <f t="shared" ca="1" si="2041"/>
        <v>2591233.117273828</v>
      </c>
      <c r="BH2109" s="2">
        <f t="shared" ca="1" si="2042"/>
        <v>2896390.3188572749</v>
      </c>
      <c r="BI2109" s="2">
        <f t="shared" ca="1" si="2043"/>
        <v>39383077.332557701</v>
      </c>
      <c r="BJ2109" s="2">
        <f t="shared" ca="1" si="2044"/>
        <v>0.24198968061595427</v>
      </c>
      <c r="BK2109" s="2">
        <f t="shared" ca="1" si="2045"/>
        <v>10656174.917525534</v>
      </c>
    </row>
    <row r="2110" spans="1:63" x14ac:dyDescent="0.3">
      <c r="A2110" s="2">
        <v>2109</v>
      </c>
      <c r="B2110" s="2">
        <f t="shared" ca="1" si="1984"/>
        <v>0.99897748187222124</v>
      </c>
      <c r="C2110" s="2">
        <f t="shared" ca="1" si="1985"/>
        <v>7.9547779229185842</v>
      </c>
      <c r="D2110" s="2">
        <f t="shared" ca="1" si="1986"/>
        <v>0.18286565897414142</v>
      </c>
      <c r="E2110" s="2">
        <f t="shared" ca="1" si="1987"/>
        <v>7.1047572388556279</v>
      </c>
      <c r="F2110" s="2">
        <f t="shared" ca="1" si="1988"/>
        <v>0.86291474957484648</v>
      </c>
      <c r="G2110" s="2">
        <f t="shared" ca="1" si="1989"/>
        <v>7.2805261712275957E-2</v>
      </c>
      <c r="H2110" s="2">
        <f t="shared" ca="1" si="1990"/>
        <v>7.2805261712275957E-2</v>
      </c>
      <c r="I2110" s="2">
        <f t="shared" ca="1" si="1991"/>
        <v>0.97669544644153994</v>
      </c>
      <c r="J2110" s="2">
        <f t="shared" ca="1" si="1992"/>
        <v>1.9949175336024798E-2</v>
      </c>
      <c r="K2110" s="2">
        <f t="shared" ca="1" si="1993"/>
        <v>1.9949175336024798E-2</v>
      </c>
      <c r="L2110" s="2">
        <f t="shared" ca="1" si="1994"/>
        <v>0.67216987754283497</v>
      </c>
      <c r="M2110" s="2">
        <f t="shared" ca="1" si="1995"/>
        <v>8.9182557484291398E-3</v>
      </c>
      <c r="N2110" s="2">
        <f t="shared" ca="1" si="1996"/>
        <v>8.9182557484291398E-3</v>
      </c>
      <c r="O2110" s="2">
        <f t="shared" si="1997"/>
        <v>6000000</v>
      </c>
      <c r="P2110" s="2">
        <f t="shared" ca="1" si="1998"/>
        <v>47728667.537511505</v>
      </c>
      <c r="Q2110" s="2">
        <f t="shared" ca="1" si="1999"/>
        <v>1193216.6884377876</v>
      </c>
      <c r="R2110" s="2">
        <f t="shared" ca="1" si="2000"/>
        <v>28637200.522506904</v>
      </c>
      <c r="S2110" s="2">
        <f t="shared" ca="1" si="2001"/>
        <v>19091467.015004601</v>
      </c>
      <c r="T2110" s="2">
        <f t="shared" ca="1" si="2002"/>
        <v>50445912.787421457</v>
      </c>
      <c r="U2110" s="2">
        <f t="shared" ca="1" si="2003"/>
        <v>54118640.670224316</v>
      </c>
      <c r="V2110" s="2">
        <f t="shared" ca="1" si="2004"/>
        <v>58058762.467732616</v>
      </c>
      <c r="W2110" s="2">
        <f t="shared" ca="1" si="2005"/>
        <v>62285745.863886751</v>
      </c>
      <c r="X2110" s="2">
        <f t="shared" ca="1" si="2006"/>
        <v>66820475.892451331</v>
      </c>
      <c r="Y2110" s="2">
        <f t="shared" ca="1" si="2007"/>
        <v>0.1299745876680124</v>
      </c>
      <c r="Z2110" s="2">
        <f t="shared" ca="1" si="2008"/>
        <v>0.13396442273521736</v>
      </c>
      <c r="AA2110" s="2">
        <f t="shared" ca="1" si="2009"/>
        <v>6556686.714081618</v>
      </c>
      <c r="AB2110" s="2">
        <f t="shared" ca="1" si="2010"/>
        <v>7249972.4566012574</v>
      </c>
      <c r="AC2110" s="2">
        <f t="shared" ca="1" si="2011"/>
        <v>7777808.5987109039</v>
      </c>
      <c r="AD2110" s="2">
        <f t="shared" ca="1" si="2012"/>
        <v>8344073.9892880404</v>
      </c>
      <c r="AE2110" s="2">
        <f t="shared" ca="1" si="2013"/>
        <v>8951566.4798247498</v>
      </c>
      <c r="AF2110" s="2">
        <f t="shared" ca="1" si="2014"/>
        <v>1008918.2557484292</v>
      </c>
      <c r="AG2110" s="2">
        <f t="shared" ca="1" si="2015"/>
        <v>1082372.8134044863</v>
      </c>
      <c r="AH2110" s="2">
        <f t="shared" ca="1" si="2016"/>
        <v>1161175.2493546524</v>
      </c>
      <c r="AI2110" s="2">
        <f t="shared" ca="1" si="2017"/>
        <v>1245714.917277735</v>
      </c>
      <c r="AJ2110" s="2">
        <f t="shared" ca="1" si="2018"/>
        <v>1336409.5178490267</v>
      </c>
      <c r="AK2110" s="2">
        <f t="shared" ca="1" si="2019"/>
        <v>0</v>
      </c>
      <c r="AL2110" s="2">
        <f t="shared" ca="1" si="2020"/>
        <v>36727.278828028589</v>
      </c>
      <c r="AM2110" s="2">
        <f t="shared" ca="1" si="2021"/>
        <v>39401.217975082996</v>
      </c>
      <c r="AN2110" s="2">
        <f t="shared" ca="1" si="2022"/>
        <v>42269.833961541357</v>
      </c>
      <c r="AO2110" s="2">
        <f t="shared" ca="1" si="2023"/>
        <v>45347.300285645797</v>
      </c>
      <c r="AP2110" s="2">
        <f t="shared" ca="1" si="2024"/>
        <v>2577348.0470256214</v>
      </c>
      <c r="AQ2110" s="2">
        <f t="shared" ca="1" si="2025"/>
        <v>772309.30693996756</v>
      </c>
      <c r="AR2110" s="2">
        <f t="shared" ca="1" si="2026"/>
        <v>933465.41500449891</v>
      </c>
      <c r="AS2110" s="2">
        <f t="shared" ca="1" si="2027"/>
        <v>1050214.1786059639</v>
      </c>
      <c r="AT2110" s="2">
        <f t="shared" ca="1" si="2028"/>
        <v>1175462.8664960179</v>
      </c>
      <c r="AU2110" s="2">
        <f t="shared" ca="1" si="2029"/>
        <v>1309830.3178870268</v>
      </c>
      <c r="AV2110" s="2">
        <f t="shared" ca="1" si="2030"/>
        <v>2198111.1043675994</v>
      </c>
      <c r="AW2110" s="2">
        <f t="shared" ca="1" si="2031"/>
        <v>2620058.9023386217</v>
      </c>
      <c r="AX2110" s="2">
        <f t="shared" ca="1" si="2032"/>
        <v>2949669.9057495832</v>
      </c>
      <c r="AY2110" s="2">
        <f t="shared" ca="1" si="2033"/>
        <v>3303278.3245271244</v>
      </c>
      <c r="AZ2110" s="2">
        <f t="shared" ca="1" si="2034"/>
        <v>3682631.2967774295</v>
      </c>
      <c r="BA2110" s="2">
        <f t="shared" ca="1" si="2035"/>
        <v>63598706.746632285</v>
      </c>
      <c r="BB2110" s="2">
        <f t="shared" ca="1" si="2036"/>
        <v>1271974.1349326458</v>
      </c>
      <c r="BC2110" s="2">
        <f t="shared" ca="1" si="2037"/>
        <v>33689532.089192741</v>
      </c>
      <c r="BD2110" s="2">
        <f t="shared" ca="1" si="2038"/>
        <v>-20784683.703442387</v>
      </c>
      <c r="BE2110" s="2">
        <f t="shared" ca="1" si="2039"/>
        <v>2198111.1043675994</v>
      </c>
      <c r="BF2110" s="2">
        <f t="shared" ca="1" si="2040"/>
        <v>2620058.9023386217</v>
      </c>
      <c r="BG2110" s="2">
        <f t="shared" ca="1" si="2041"/>
        <v>2949669.9057495832</v>
      </c>
      <c r="BH2110" s="2">
        <f t="shared" ca="1" si="2042"/>
        <v>3303278.3245271244</v>
      </c>
      <c r="BI2110" s="2">
        <f t="shared" ca="1" si="2043"/>
        <v>37372163.385970168</v>
      </c>
      <c r="BJ2110" s="2">
        <f t="shared" ca="1" si="2044"/>
        <v>0.21603925414152392</v>
      </c>
      <c r="BK2110" s="2">
        <f t="shared" ca="1" si="2045"/>
        <v>8671389.4438780397</v>
      </c>
    </row>
    <row r="2111" spans="1:63" x14ac:dyDescent="0.3">
      <c r="A2111" s="2">
        <v>2110</v>
      </c>
      <c r="B2111" s="2">
        <f t="shared" ca="1" si="1984"/>
        <v>3.2925948133542216E-2</v>
      </c>
      <c r="C2111" s="2">
        <f t="shared" ca="1" si="1985"/>
        <v>6.2566162431863663</v>
      </c>
      <c r="D2111" s="2">
        <f t="shared" ca="1" si="1986"/>
        <v>9.8156297958185479E-2</v>
      </c>
      <c r="E2111" s="2">
        <f t="shared" ca="1" si="1987"/>
        <v>6.9430717728724893</v>
      </c>
      <c r="F2111" s="2">
        <f t="shared" ca="1" si="1988"/>
        <v>0.47370468277250377</v>
      </c>
      <c r="G2111" s="2">
        <f t="shared" ca="1" si="1989"/>
        <v>3.8021188473305566E-2</v>
      </c>
      <c r="H2111" s="2">
        <f t="shared" ca="1" si="1990"/>
        <v>3.8021188473305566E-2</v>
      </c>
      <c r="I2111" s="2">
        <f t="shared" ca="1" si="1991"/>
        <v>0.18253351927981964</v>
      </c>
      <c r="J2111" s="2">
        <f t="shared" ca="1" si="1992"/>
        <v>5.4712391142425574E-3</v>
      </c>
      <c r="K2111" s="2">
        <f t="shared" ca="1" si="1993"/>
        <v>5.4712391142425574E-3</v>
      </c>
      <c r="L2111" s="2">
        <f t="shared" ca="1" si="1994"/>
        <v>0.97683706267264725</v>
      </c>
      <c r="M2111" s="2">
        <f t="shared" ca="1" si="1995"/>
        <v>3.9848239475311659E-2</v>
      </c>
      <c r="N2111" s="2">
        <f t="shared" ca="1" si="1996"/>
        <v>3.9848239475311659E-2</v>
      </c>
      <c r="O2111" s="2">
        <f t="shared" si="1997"/>
        <v>6000000</v>
      </c>
      <c r="P2111" s="2">
        <f t="shared" ca="1" si="1998"/>
        <v>37539697.459118195</v>
      </c>
      <c r="Q2111" s="2">
        <f t="shared" ca="1" si="1999"/>
        <v>938492.43647795497</v>
      </c>
      <c r="R2111" s="2">
        <f t="shared" ca="1" si="2000"/>
        <v>22523818.475470915</v>
      </c>
      <c r="S2111" s="2">
        <f t="shared" ca="1" si="2001"/>
        <v>15015878.983647279</v>
      </c>
      <c r="T2111" s="2">
        <f t="shared" ca="1" si="2002"/>
        <v>51992411.973765582</v>
      </c>
      <c r="U2111" s="2">
        <f t="shared" ca="1" si="2003"/>
        <v>53969225.268601865</v>
      </c>
      <c r="V2111" s="2">
        <f t="shared" ca="1" si="2004"/>
        <v>56021199.35429766</v>
      </c>
      <c r="W2111" s="2">
        <f t="shared" ca="1" si="2005"/>
        <v>58151191.933448032</v>
      </c>
      <c r="X2111" s="2">
        <f t="shared" ca="1" si="2006"/>
        <v>60362169.361897022</v>
      </c>
      <c r="Y2111" s="2">
        <f t="shared" ca="1" si="2007"/>
        <v>0.12273561955712127</v>
      </c>
      <c r="Z2111" s="2">
        <f t="shared" ca="1" si="2008"/>
        <v>0.12382986737996979</v>
      </c>
      <c r="AA2111" s="2">
        <f t="shared" ca="1" si="2009"/>
        <v>6381320.8958692094</v>
      </c>
      <c r="AB2111" s="2">
        <f t="shared" ca="1" si="2010"/>
        <v>6683002.0076106833</v>
      </c>
      <c r="AC2111" s="2">
        <f t="shared" ca="1" si="2011"/>
        <v>6937097.6865095282</v>
      </c>
      <c r="AD2111" s="2">
        <f t="shared" ca="1" si="2012"/>
        <v>7200854.3851060383</v>
      </c>
      <c r="AE2111" s="2">
        <f t="shared" ca="1" si="2013"/>
        <v>7474639.4268509839</v>
      </c>
      <c r="AF2111" s="2">
        <f t="shared" ca="1" si="2014"/>
        <v>1039848.2394753117</v>
      </c>
      <c r="AG2111" s="2">
        <f t="shared" ca="1" si="2015"/>
        <v>1079384.5053720374</v>
      </c>
      <c r="AH2111" s="2">
        <f t="shared" ca="1" si="2016"/>
        <v>1120423.9870859531</v>
      </c>
      <c r="AI2111" s="2">
        <f t="shared" ca="1" si="2017"/>
        <v>1163023.8386689606</v>
      </c>
      <c r="AJ2111" s="2">
        <f t="shared" ca="1" si="2018"/>
        <v>1207243.3872379404</v>
      </c>
      <c r="AK2111" s="2">
        <f t="shared" ca="1" si="2019"/>
        <v>0</v>
      </c>
      <c r="AL2111" s="2">
        <f t="shared" ca="1" si="2020"/>
        <v>19768.132948362829</v>
      </c>
      <c r="AM2111" s="2">
        <f t="shared" ca="1" si="2021"/>
        <v>20519.740856957957</v>
      </c>
      <c r="AN2111" s="2">
        <f t="shared" ca="1" si="2022"/>
        <v>21299.925791503712</v>
      </c>
      <c r="AO2111" s="2">
        <f t="shared" ca="1" si="2023"/>
        <v>22109.7742844899</v>
      </c>
      <c r="AP2111" s="2">
        <f t="shared" ca="1" si="2024"/>
        <v>2027143.6627923823</v>
      </c>
      <c r="AQ2111" s="2">
        <f t="shared" ca="1" si="2025"/>
        <v>861725.53833639401</v>
      </c>
      <c r="AR2111" s="2">
        <f t="shared" ca="1" si="2026"/>
        <v>929883.19825602858</v>
      </c>
      <c r="AS2111" s="2">
        <f t="shared" ca="1" si="2027"/>
        <v>985277.80952411005</v>
      </c>
      <c r="AT2111" s="2">
        <f t="shared" ca="1" si="2028"/>
        <v>1042778.5897476207</v>
      </c>
      <c r="AU2111" s="2">
        <f t="shared" ca="1" si="2029"/>
        <v>1102465.6179733719</v>
      </c>
      <c r="AV2111" s="2">
        <f t="shared" ca="1" si="2030"/>
        <v>2452603.4552651211</v>
      </c>
      <c r="AW2111" s="2">
        <f t="shared" ca="1" si="2031"/>
        <v>2626822.5082418718</v>
      </c>
      <c r="AX2111" s="2">
        <f t="shared" ca="1" si="2032"/>
        <v>2783732.4862501253</v>
      </c>
      <c r="AY2111" s="2">
        <f t="shared" ca="1" si="2033"/>
        <v>2946608.3681055703</v>
      </c>
      <c r="AZ2111" s="2">
        <f t="shared" ca="1" si="2034"/>
        <v>3115676.9845627998</v>
      </c>
      <c r="BA2111" s="2">
        <f t="shared" ca="1" si="2035"/>
        <v>51896958.016968869</v>
      </c>
      <c r="BB2111" s="2">
        <f t="shared" ca="1" si="2036"/>
        <v>1037939.1603393774</v>
      </c>
      <c r="BC2111" s="2">
        <f t="shared" ca="1" si="2037"/>
        <v>28335200.381158575</v>
      </c>
      <c r="BD2111" s="2">
        <f t="shared" ca="1" si="2038"/>
        <v>-16454371.420125235</v>
      </c>
      <c r="BE2111" s="2">
        <f t="shared" ca="1" si="2039"/>
        <v>2452603.4552651211</v>
      </c>
      <c r="BF2111" s="2">
        <f t="shared" ca="1" si="2040"/>
        <v>2626822.5082418718</v>
      </c>
      <c r="BG2111" s="2">
        <f t="shared" ca="1" si="2041"/>
        <v>2783732.4862501253</v>
      </c>
      <c r="BH2111" s="2">
        <f t="shared" ca="1" si="2042"/>
        <v>2946608.3681055703</v>
      </c>
      <c r="BI2111" s="2">
        <f t="shared" ca="1" si="2043"/>
        <v>31450877.365721375</v>
      </c>
      <c r="BJ2111" s="2">
        <f t="shared" ca="1" si="2044"/>
        <v>0.25241789649272106</v>
      </c>
      <c r="BK2111" s="2">
        <f t="shared" ca="1" si="2045"/>
        <v>9529641.0545299165</v>
      </c>
    </row>
    <row r="2112" spans="1:63" x14ac:dyDescent="0.3">
      <c r="A2112" s="2">
        <v>2111</v>
      </c>
      <c r="B2112" s="2">
        <f t="shared" ca="1" si="1984"/>
        <v>0.4416760918280126</v>
      </c>
      <c r="C2112" s="2">
        <f t="shared" ca="1" si="1985"/>
        <v>6.9398681735520285</v>
      </c>
      <c r="D2112" s="2">
        <f t="shared" ca="1" si="1986"/>
        <v>0.48519031512445387</v>
      </c>
      <c r="E2112" s="2">
        <f t="shared" ca="1" si="1987"/>
        <v>7.4850789969585723</v>
      </c>
      <c r="F2112" s="2">
        <f t="shared" ca="1" si="1988"/>
        <v>0.51758982184100377</v>
      </c>
      <c r="G2112" s="2">
        <f t="shared" ca="1" si="1989"/>
        <v>4.1323163207352381E-2</v>
      </c>
      <c r="H2112" s="2">
        <f t="shared" ca="1" si="1990"/>
        <v>4.1323163207352381E-2</v>
      </c>
      <c r="I2112" s="2">
        <f t="shared" ca="1" si="1991"/>
        <v>0.75619732094862835</v>
      </c>
      <c r="J2112" s="2">
        <f t="shared" ca="1" si="1992"/>
        <v>1.3470612749313771E-2</v>
      </c>
      <c r="K2112" s="2">
        <f t="shared" ca="1" si="1993"/>
        <v>1.3470612749313771E-2</v>
      </c>
      <c r="L2112" s="2">
        <f t="shared" ca="1" si="1994"/>
        <v>0.53062729757021909</v>
      </c>
      <c r="M2112" s="2">
        <f t="shared" ca="1" si="1995"/>
        <v>1.536936374864544E-3</v>
      </c>
      <c r="N2112" s="2">
        <f t="shared" ca="1" si="1996"/>
        <v>1.536936374864544E-3</v>
      </c>
      <c r="O2112" s="2">
        <f t="shared" si="1997"/>
        <v>6000000</v>
      </c>
      <c r="P2112" s="2">
        <f t="shared" ca="1" si="1998"/>
        <v>41639209.041312173</v>
      </c>
      <c r="Q2112" s="2">
        <f t="shared" ca="1" si="1999"/>
        <v>1040980.2260328043</v>
      </c>
      <c r="R2112" s="2">
        <f t="shared" ca="1" si="2000"/>
        <v>24983525.424787302</v>
      </c>
      <c r="S2112" s="2">
        <f t="shared" ca="1" si="2001"/>
        <v>16655683.61652487</v>
      </c>
      <c r="T2112" s="2">
        <f t="shared" ca="1" si="2002"/>
        <v>50076846.818743229</v>
      </c>
      <c r="U2112" s="2">
        <f t="shared" ca="1" si="2003"/>
        <v>52146180.532743737</v>
      </c>
      <c r="V2112" s="2">
        <f t="shared" ca="1" si="2004"/>
        <v>54301025.661538363</v>
      </c>
      <c r="W2112" s="2">
        <f t="shared" ca="1" si="2005"/>
        <v>56544915.807276741</v>
      </c>
      <c r="X2112" s="2">
        <f t="shared" ca="1" si="2006"/>
        <v>58881530.591726832</v>
      </c>
      <c r="Y2112" s="2">
        <f t="shared" ca="1" si="2007"/>
        <v>0.12673530637465688</v>
      </c>
      <c r="Z2112" s="2">
        <f t="shared" ca="1" si="2008"/>
        <v>0.12942942892451964</v>
      </c>
      <c r="AA2112" s="2">
        <f t="shared" ca="1" si="2009"/>
        <v>6346504.5238501849</v>
      </c>
      <c r="AB2112" s="2">
        <f t="shared" ca="1" si="2010"/>
        <v>6749250.3669479256</v>
      </c>
      <c r="AC2112" s="2">
        <f t="shared" ca="1" si="2011"/>
        <v>7028150.7413885966</v>
      </c>
      <c r="AD2112" s="2">
        <f t="shared" ca="1" si="2012"/>
        <v>7318576.1615208723</v>
      </c>
      <c r="AE2112" s="2">
        <f t="shared" ca="1" si="2013"/>
        <v>7621002.8786888365</v>
      </c>
      <c r="AF2112" s="2">
        <f t="shared" ca="1" si="2014"/>
        <v>1001536.9363748645</v>
      </c>
      <c r="AG2112" s="2">
        <f t="shared" ca="1" si="2015"/>
        <v>1042923.6106548748</v>
      </c>
      <c r="AH2112" s="2">
        <f t="shared" ca="1" si="2016"/>
        <v>1086020.5132307673</v>
      </c>
      <c r="AI2112" s="2">
        <f t="shared" ca="1" si="2017"/>
        <v>1130898.3161455349</v>
      </c>
      <c r="AJ2112" s="2">
        <f t="shared" ca="1" si="2018"/>
        <v>1177630.6118345368</v>
      </c>
      <c r="AK2112" s="2">
        <f t="shared" ca="1" si="2019"/>
        <v>0</v>
      </c>
      <c r="AL2112" s="2">
        <f t="shared" ca="1" si="2020"/>
        <v>20693.337140005082</v>
      </c>
      <c r="AM2112" s="2">
        <f t="shared" ca="1" si="2021"/>
        <v>21548.451287946253</v>
      </c>
      <c r="AN2112" s="2">
        <f t="shared" ca="1" si="2022"/>
        <v>22438.901457383781</v>
      </c>
      <c r="AO2112" s="2">
        <f t="shared" ca="1" si="2023"/>
        <v>23366.147844500916</v>
      </c>
      <c r="AP2112" s="2">
        <f t="shared" ca="1" si="2024"/>
        <v>2248517.2882308569</v>
      </c>
      <c r="AQ2112" s="2">
        <f t="shared" ca="1" si="2025"/>
        <v>805077.07780356053</v>
      </c>
      <c r="AR2112" s="2">
        <f t="shared" ca="1" si="2026"/>
        <v>899030.4616961705</v>
      </c>
      <c r="AS2112" s="2">
        <f t="shared" ca="1" si="2027"/>
        <v>960339.36438101286</v>
      </c>
      <c r="AT2112" s="2">
        <f t="shared" ca="1" si="2028"/>
        <v>1024181.744857565</v>
      </c>
      <c r="AU2112" s="2">
        <f t="shared" ca="1" si="2029"/>
        <v>1090662.2944420951</v>
      </c>
      <c r="AV2112" s="2">
        <f t="shared" ca="1" si="2030"/>
        <v>2291373.2214409029</v>
      </c>
      <c r="AW2112" s="2">
        <f t="shared" ca="1" si="2031"/>
        <v>2538085.6692260187</v>
      </c>
      <c r="AX2112" s="2">
        <f t="shared" ca="1" si="2032"/>
        <v>2711725.1242580134</v>
      </c>
      <c r="AY2112" s="2">
        <f t="shared" ca="1" si="2033"/>
        <v>2892539.910829531</v>
      </c>
      <c r="AZ2112" s="2">
        <f t="shared" ca="1" si="2034"/>
        <v>3080826.5363368466</v>
      </c>
      <c r="BA2112" s="2">
        <f t="shared" ca="1" si="2035"/>
        <v>57043808.583034627</v>
      </c>
      <c r="BB2112" s="2">
        <f t="shared" ca="1" si="2036"/>
        <v>1140876.1716606927</v>
      </c>
      <c r="BC2112" s="2">
        <f t="shared" ca="1" si="2037"/>
        <v>30919406.986586634</v>
      </c>
      <c r="BD2112" s="2">
        <f t="shared" ca="1" si="2038"/>
        <v>-18196663.842557672</v>
      </c>
      <c r="BE2112" s="2">
        <f t="shared" ca="1" si="2039"/>
        <v>2291373.2214409029</v>
      </c>
      <c r="BF2112" s="2">
        <f t="shared" ca="1" si="2040"/>
        <v>2538085.6692260187</v>
      </c>
      <c r="BG2112" s="2">
        <f t="shared" ca="1" si="2041"/>
        <v>2711725.1242580134</v>
      </c>
      <c r="BH2112" s="2">
        <f t="shared" ca="1" si="2042"/>
        <v>2892539.910829531</v>
      </c>
      <c r="BI2112" s="2">
        <f t="shared" ca="1" si="2043"/>
        <v>34000233.522923484</v>
      </c>
      <c r="BJ2112" s="2">
        <f t="shared" ca="1" si="2044"/>
        <v>0.23233654798868919</v>
      </c>
      <c r="BK2112" s="2">
        <f t="shared" ca="1" si="2045"/>
        <v>8933610.8497608528</v>
      </c>
    </row>
    <row r="2113" spans="1:63" x14ac:dyDescent="0.3">
      <c r="A2113" s="2">
        <v>2112</v>
      </c>
      <c r="B2113" s="2">
        <f t="shared" ca="1" si="1984"/>
        <v>0.30505221734491972</v>
      </c>
      <c r="C2113" s="2">
        <f t="shared" ca="1" si="1985"/>
        <v>6.7810918221885563</v>
      </c>
      <c r="D2113" s="2">
        <f t="shared" ca="1" si="1986"/>
        <v>0.34767596412097423</v>
      </c>
      <c r="E2113" s="2">
        <f t="shared" ca="1" si="1987"/>
        <v>7.3338776458461687</v>
      </c>
      <c r="F2113" s="2">
        <f t="shared" ca="1" si="1988"/>
        <v>0.55320433175975581</v>
      </c>
      <c r="G2113" s="2">
        <f t="shared" ca="1" si="1989"/>
        <v>4.4012838763410389E-2</v>
      </c>
      <c r="H2113" s="2">
        <f t="shared" ca="1" si="1990"/>
        <v>4.4012838763410389E-2</v>
      </c>
      <c r="I2113" s="2">
        <f t="shared" ca="1" si="1991"/>
        <v>0.78496767072514695</v>
      </c>
      <c r="J2113" s="2">
        <f t="shared" ca="1" si="1992"/>
        <v>1.3945405064351137E-2</v>
      </c>
      <c r="K2113" s="2">
        <f t="shared" ca="1" si="1993"/>
        <v>1.3945405064351137E-2</v>
      </c>
      <c r="L2113" s="2">
        <f t="shared" ca="1" si="1994"/>
        <v>0.45391069642899529</v>
      </c>
      <c r="M2113" s="2">
        <f t="shared" ca="1" si="1995"/>
        <v>-2.3157390121060152E-3</v>
      </c>
      <c r="N2113" s="2">
        <f t="shared" ca="1" si="1996"/>
        <v>-2.3157390121060152E-3</v>
      </c>
      <c r="O2113" s="2">
        <f t="shared" si="1997"/>
        <v>6000000</v>
      </c>
      <c r="P2113" s="2">
        <f t="shared" ca="1" si="1998"/>
        <v>40686550.933131337</v>
      </c>
      <c r="Q2113" s="2">
        <f t="shared" ca="1" si="1999"/>
        <v>1017163.7733282835</v>
      </c>
      <c r="R2113" s="2">
        <f t="shared" ca="1" si="2000"/>
        <v>24411930.5598788</v>
      </c>
      <c r="S2113" s="2">
        <f t="shared" ca="1" si="2001"/>
        <v>16274620.373252535</v>
      </c>
      <c r="T2113" s="2">
        <f t="shared" ca="1" si="2002"/>
        <v>49884213.049394697</v>
      </c>
      <c r="U2113" s="2">
        <f t="shared" ca="1" si="2003"/>
        <v>52079758.875177324</v>
      </c>
      <c r="V2113" s="2">
        <f t="shared" ca="1" si="2004"/>
        <v>54371936.905387796</v>
      </c>
      <c r="W2113" s="2">
        <f t="shared" ca="1" si="2005"/>
        <v>56765000.197658956</v>
      </c>
      <c r="X2113" s="2">
        <f t="shared" ca="1" si="2006"/>
        <v>59263388.998763479</v>
      </c>
      <c r="Y2113" s="2">
        <f t="shared" ca="1" si="2007"/>
        <v>0.12697270253217557</v>
      </c>
      <c r="Z2113" s="2">
        <f t="shared" ca="1" si="2008"/>
        <v>0.12976178354504578</v>
      </c>
      <c r="AA2113" s="2">
        <f t="shared" ca="1" si="2009"/>
        <v>6333933.344572464</v>
      </c>
      <c r="AB2113" s="2">
        <f t="shared" ca="1" si="2010"/>
        <v>6757962.3982389364</v>
      </c>
      <c r="AC2113" s="2">
        <f t="shared" ca="1" si="2011"/>
        <v>7055399.5076418174</v>
      </c>
      <c r="AD2113" s="2">
        <f t="shared" ca="1" si="2012"/>
        <v>7365927.6685831025</v>
      </c>
      <c r="AE2113" s="2">
        <f t="shared" ca="1" si="2013"/>
        <v>7690123.0554033937</v>
      </c>
      <c r="AF2113" s="2">
        <f t="shared" ca="1" si="2014"/>
        <v>997684.26098789391</v>
      </c>
      <c r="AG2113" s="2">
        <f t="shared" ca="1" si="2015"/>
        <v>1041595.1775035465</v>
      </c>
      <c r="AH2113" s="2">
        <f t="shared" ca="1" si="2016"/>
        <v>1087438.738107756</v>
      </c>
      <c r="AI2113" s="2">
        <f t="shared" ca="1" si="2017"/>
        <v>1135300.0039531791</v>
      </c>
      <c r="AJ2113" s="2">
        <f t="shared" ca="1" si="2018"/>
        <v>1185267.7799752697</v>
      </c>
      <c r="AK2113" s="2">
        <f t="shared" ca="1" si="2019"/>
        <v>0</v>
      </c>
      <c r="AL2113" s="2">
        <f t="shared" ca="1" si="2020"/>
        <v>21955.458257826271</v>
      </c>
      <c r="AM2113" s="2">
        <f t="shared" ca="1" si="2021"/>
        <v>22921.780302104726</v>
      </c>
      <c r="AN2113" s="2">
        <f t="shared" ca="1" si="2022"/>
        <v>23930.632922711597</v>
      </c>
      <c r="AO2113" s="2">
        <f t="shared" ca="1" si="2023"/>
        <v>24983.888011045234</v>
      </c>
      <c r="AP2113" s="2">
        <f t="shared" ca="1" si="2024"/>
        <v>2197073.7503890921</v>
      </c>
      <c r="AQ2113" s="2">
        <f t="shared" ca="1" si="2025"/>
        <v>816185.58663082437</v>
      </c>
      <c r="AR2113" s="2">
        <f t="shared" ca="1" si="2026"/>
        <v>915016.30229003739</v>
      </c>
      <c r="AS2113" s="2">
        <f t="shared" ca="1" si="2027"/>
        <v>980430.62497769215</v>
      </c>
      <c r="AT2113" s="2">
        <f t="shared" ca="1" si="2028"/>
        <v>1048724.0177026161</v>
      </c>
      <c r="AU2113" s="2">
        <f t="shared" ca="1" si="2029"/>
        <v>1120023.1965101485</v>
      </c>
      <c r="AV2113" s="2">
        <f t="shared" ca="1" si="2030"/>
        <v>2322989.7465646542</v>
      </c>
      <c r="AW2113" s="2">
        <f t="shared" ca="1" si="2031"/>
        <v>2582321.7097984343</v>
      </c>
      <c r="AX2113" s="2">
        <f t="shared" ca="1" si="2032"/>
        <v>2767534.613865173</v>
      </c>
      <c r="AY2113" s="2">
        <f t="shared" ca="1" si="2033"/>
        <v>2960899.2636155034</v>
      </c>
      <c r="AZ2113" s="2">
        <f t="shared" ca="1" si="2034"/>
        <v>3162774.4405178386</v>
      </c>
      <c r="BA2113" s="2">
        <f t="shared" ca="1" si="2035"/>
        <v>56398421.569829188</v>
      </c>
      <c r="BB2113" s="2">
        <f t="shared" ca="1" si="2036"/>
        <v>1127968.4313965838</v>
      </c>
      <c r="BC2113" s="2">
        <f t="shared" ca="1" si="2037"/>
        <v>30858522.578553803</v>
      </c>
      <c r="BD2113" s="2">
        <f t="shared" ca="1" si="2038"/>
        <v>-17791784.146580819</v>
      </c>
      <c r="BE2113" s="2">
        <f t="shared" ca="1" si="2039"/>
        <v>2322989.7465646542</v>
      </c>
      <c r="BF2113" s="2">
        <f t="shared" ca="1" si="2040"/>
        <v>2582321.7097984343</v>
      </c>
      <c r="BG2113" s="2">
        <f t="shared" ca="1" si="2041"/>
        <v>2767534.613865173</v>
      </c>
      <c r="BH2113" s="2">
        <f t="shared" ca="1" si="2042"/>
        <v>2960899.2636155034</v>
      </c>
      <c r="BI2113" s="2">
        <f t="shared" ca="1" si="2043"/>
        <v>34021297.019071639</v>
      </c>
      <c r="BJ2113" s="2">
        <f t="shared" ca="1" si="2044"/>
        <v>0.24119659101829671</v>
      </c>
      <c r="BK2113" s="2">
        <f t="shared" ca="1" si="2045"/>
        <v>9497103.9769944474</v>
      </c>
    </row>
    <row r="2114" spans="1:63" x14ac:dyDescent="0.3">
      <c r="A2114" s="2">
        <v>2113</v>
      </c>
      <c r="B2114" s="2">
        <f t="shared" ref="B2114:B2177" ca="1" si="2046">RAND()</f>
        <v>0.64915336664396428</v>
      </c>
      <c r="C2114" s="2">
        <f t="shared" ref="C2114:C2177" ca="1" si="2047">IF(B2114&lt;((P_Mode)-(P_Low))/((P_High)-(P_Low)), (P_Low)+SQRT(B2114*((P_High)-(P_Low))*((P_Mode)-(P_Low))), (P_High)-SQRT((1-B2114)*((P_High)-(P_Low))*((P_High)-(P_Mode))))</f>
        <v>7.1623286642649928</v>
      </c>
      <c r="D2114" s="2">
        <f t="shared" ref="D2114:D2177" ca="1" si="2048">RAND()</f>
        <v>0.94429754403683486</v>
      </c>
      <c r="E2114" s="2">
        <f t="shared" ref="E2114:E2177" ca="1" si="2049">IF(D2114&lt;((X_Mode)-(X_Low))/((X_High)-(X_Low)), (X_Low)+SQRT(D2114*((X_High)-(X_Low))*((X_Mode)-(X_Low))), (X_High)-SQRT((1-D2114)*((X_High)-(X_Low))*((X_High)-(X_Mode))))</f>
        <v>8.1662262563856611</v>
      </c>
      <c r="F2114" s="2">
        <f t="shared" ref="F2114:F2177" ca="1" si="2050">RAND()</f>
        <v>7.1429954490642045E-2</v>
      </c>
      <c r="G2114" s="2">
        <f t="shared" ref="G2114:G2177" ca="1" si="2051">NORMINV(F2114, g_Mean, g_SD)</f>
        <v>-3.9567095203064118E-3</v>
      </c>
      <c r="H2114" s="2">
        <f t="shared" ref="H2114:H2177" ca="1" si="2052">MIN(MAX(G2114, g_Min), g_Max)</f>
        <v>-3.9567095203064118E-3</v>
      </c>
      <c r="I2114" s="2">
        <f t="shared" ref="I2114:I2177" ca="1" si="2053">RAND()</f>
        <v>0.18962714754154619</v>
      </c>
      <c r="J2114" s="2">
        <f t="shared" ref="J2114:J2177" ca="1" si="2054">NORMINV(I2114, syn_Mean, syn_SD)</f>
        <v>5.6036444391209927E-3</v>
      </c>
      <c r="K2114" s="2">
        <f t="shared" ref="K2114:K2177" ca="1" si="2055">MIN(MAX(J2114, syn_Min), syn_Max)</f>
        <v>5.6036444391209927E-3</v>
      </c>
      <c r="L2114" s="2">
        <f t="shared" ref="L2114:L2177" ca="1" si="2056">RAND()</f>
        <v>0.16601808392037665</v>
      </c>
      <c r="M2114" s="2">
        <f t="shared" ref="M2114:M2177" ca="1" si="2057">NORMINV(L2114, shk_Mean, shk_SD)</f>
        <v>-1.9400414255397371E-2</v>
      </c>
      <c r="N2114" s="2">
        <f t="shared" ref="N2114:N2177" ca="1" si="2058">MIN(MAX(M2114, shk_Min), shk_Max)</f>
        <v>-1.9400414255397371E-2</v>
      </c>
      <c r="O2114" s="2">
        <f t="shared" ref="O2114:O2177" si="2059">BaseRev*BaseMargin</f>
        <v>6000000</v>
      </c>
      <c r="P2114" s="2">
        <f t="shared" ref="P2114:P2177" ca="1" si="2060">O2114*C2114</f>
        <v>42973971.985589959</v>
      </c>
      <c r="Q2114" s="2">
        <f t="shared" ref="Q2114:Q2177" ca="1" si="2061">P2114*TxnCostPct</f>
        <v>1074349.2996397491</v>
      </c>
      <c r="R2114" s="2">
        <f t="shared" ref="R2114:R2177" ca="1" si="2062">P2114*DebtPct</f>
        <v>25784383.191353973</v>
      </c>
      <c r="S2114" s="2">
        <f t="shared" ref="S2114:S2177" ca="1" si="2063">P2114*EqPct</f>
        <v>17189588.794235986</v>
      </c>
      <c r="T2114" s="2">
        <f t="shared" ref="T2114:T2177" ca="1" si="2064">BaseRev*(1+N2114)</f>
        <v>49029979.287230127</v>
      </c>
      <c r="U2114" s="2">
        <f t="shared" ref="U2114:U2177" ca="1" si="2065">T2114*(1+H2114)</f>
        <v>48835981.901403919</v>
      </c>
      <c r="V2114" s="2">
        <f t="shared" ref="V2114:V2177" ca="1" si="2066">U2114*(1+H2114)</f>
        <v>48642752.106881127</v>
      </c>
      <c r="W2114" s="2">
        <f t="shared" ref="W2114:W2177" ca="1" si="2067">V2114*(1+H2114)</f>
        <v>48450286.866525926</v>
      </c>
      <c r="X2114" s="2">
        <f t="shared" ref="X2114:X2177" ca="1" si="2068">W2114*(1+H2114)</f>
        <v>48258583.15521957</v>
      </c>
      <c r="Y2114" s="2">
        <f t="shared" ref="Y2114:Y2177" ca="1" si="2069">BaseMargin + SynReal_Y1*K2114</f>
        <v>0.12280182221956049</v>
      </c>
      <c r="Z2114" s="2">
        <f t="shared" ref="Z2114:Z2177" ca="1" si="2070">BaseMargin + SynReal_Y2toY5*K2114</f>
        <v>0.12392255110738469</v>
      </c>
      <c r="AA2114" s="2">
        <f t="shared" ref="AA2114:AA2177" ca="1" si="2071">T2114*Y2114</f>
        <v>6020970.7998591671</v>
      </c>
      <c r="AB2114" s="2">
        <f t="shared" ref="AB2114:AB2177" ca="1" si="2072">U2114*Z2114</f>
        <v>6051879.4630560409</v>
      </c>
      <c r="AC2114" s="2">
        <f t="shared" ref="AC2114:AC2177" ca="1" si="2073">V2114*Z2114</f>
        <v>6027933.9339688206</v>
      </c>
      <c r="AD2114" s="2">
        <f t="shared" ref="AD2114:AD2177" ca="1" si="2074">W2114*Z2114</f>
        <v>6004083.1503845081</v>
      </c>
      <c r="AE2114" s="2">
        <f t="shared" ref="AE2114:AE2177" ca="1" si="2075">X2114*Z2114</f>
        <v>5980326.7374226712</v>
      </c>
      <c r="AF2114" s="2">
        <f t="shared" ref="AF2114:AF2177" ca="1" si="2076">T2114*CapexPct</f>
        <v>980599.58574460261</v>
      </c>
      <c r="AG2114" s="2">
        <f t="shared" ref="AG2114:AG2177" ca="1" si="2077">U2114*CapexPct</f>
        <v>976719.63802807836</v>
      </c>
      <c r="AH2114" s="2">
        <f t="shared" ref="AH2114:AH2177" ca="1" si="2078">V2114*CapexPct</f>
        <v>972855.0421376226</v>
      </c>
      <c r="AI2114" s="2">
        <f t="shared" ref="AI2114:AI2177" ca="1" si="2079">W2114*CapexPct</f>
        <v>969005.73733051855</v>
      </c>
      <c r="AJ2114" s="2">
        <f t="shared" ref="AJ2114:AJ2177" ca="1" si="2080">X2114*CapexPct</f>
        <v>965171.66310439142</v>
      </c>
      <c r="AK2114" s="2">
        <f t="shared" ref="AK2114:AK2177" ca="1" si="2081">MAX(T2114-BaseRev*(1+N2114),0)*WCPct</f>
        <v>0</v>
      </c>
      <c r="AL2114" s="2">
        <f t="shared" ref="AL2114:AL2177" ca="1" si="2082">MAX(U2114-T2114,0)*WCPct</f>
        <v>0</v>
      </c>
      <c r="AM2114" s="2">
        <f t="shared" ref="AM2114:AM2177" ca="1" si="2083">MAX(V2114-U2114,0)*WCPct</f>
        <v>0</v>
      </c>
      <c r="AN2114" s="2">
        <f t="shared" ref="AN2114:AN2177" ca="1" si="2084">MAX(W2114-V2114,0)*WCPct</f>
        <v>0</v>
      </c>
      <c r="AO2114" s="2">
        <f t="shared" ref="AO2114:AO2177" ca="1" si="2085">MAX(X2114-W2114,0)*WCPct</f>
        <v>0</v>
      </c>
      <c r="AP2114" s="2">
        <f t="shared" ref="AP2114:AP2177" ca="1" si="2086">R2114*DebtRate</f>
        <v>2320594.4872218575</v>
      </c>
      <c r="AQ2114" s="2">
        <f t="shared" ref="AQ2114:AQ2177" ca="1" si="2087">MAX(AA2114-AF2114-AP2114,0)*Tax</f>
        <v>707141.9489921038</v>
      </c>
      <c r="AR2114" s="2">
        <f t="shared" ref="AR2114:AR2177" ca="1" si="2088">MAX(AB2114-AG2114-AP2114,0)*Tax</f>
        <v>716186.98782958719</v>
      </c>
      <c r="AS2114" s="2">
        <f t="shared" ref="AS2114:AS2177" ca="1" si="2089">MAX(AC2114-AH2114-AP2114,0)*Tax</f>
        <v>710965.94519842847</v>
      </c>
      <c r="AT2114" s="2">
        <f t="shared" ref="AT2114:AT2177" ca="1" si="2090">MAX(AD2114-AI2114-AP2114,0)*Tax</f>
        <v>705765.56071635429</v>
      </c>
      <c r="AU2114" s="2">
        <f t="shared" ref="AU2114:AU2177" ca="1" si="2091">MAX(AE2114-AJ2114-AP2114,0)*Tax</f>
        <v>700585.75264506973</v>
      </c>
      <c r="AV2114" s="2">
        <f t="shared" ref="AV2114:AV2177" ca="1" si="2092">AA2114-AF2114-AK2114-AQ2114-AP2114</f>
        <v>2012634.7779006027</v>
      </c>
      <c r="AW2114" s="2">
        <f t="shared" ref="AW2114:AW2177" ca="1" si="2093">AB2114-AG2114-AL2114-AR2114-AP2114</f>
        <v>2038378.3499765173</v>
      </c>
      <c r="AX2114" s="2">
        <f t="shared" ref="AX2114:AX2177" ca="1" si="2094">AC2114-AH2114-AM2114-AS2114-AP2114</f>
        <v>2023518.4594109114</v>
      </c>
      <c r="AY2114" s="2">
        <f t="shared" ref="AY2114:AY2177" ca="1" si="2095">AD2114-AI2114-AN2114-AT2114-AP2114</f>
        <v>2008717.3651157776</v>
      </c>
      <c r="AZ2114" s="2">
        <f t="shared" ref="AZ2114:AZ2177" ca="1" si="2096">AE2114-AJ2114-AO2114-AU2114-AP2114</f>
        <v>1993974.8344513522</v>
      </c>
      <c r="BA2114" s="2">
        <f t="shared" ref="BA2114:BA2177" ca="1" si="2097">AE2114*E2114</f>
        <v>48836701.224906214</v>
      </c>
      <c r="BB2114" s="2">
        <f t="shared" ref="BB2114:BB2177" ca="1" si="2098">BA2114*SellCostPct</f>
        <v>976734.02449812426</v>
      </c>
      <c r="BC2114" s="2">
        <f t="shared" ref="BC2114:BC2177" ca="1" si="2099">BA2114-R2114-BB2114</f>
        <v>22075584.009054117</v>
      </c>
      <c r="BD2114" s="2">
        <f t="shared" ref="BD2114:BD2177" ca="1" si="2100">-S2114-Q2114-IntegrationPct*BaseRev</f>
        <v>-18763938.093875736</v>
      </c>
      <c r="BE2114" s="2">
        <f t="shared" ref="BE2114:BE2177" ca="1" si="2101">AV2114</f>
        <v>2012634.7779006027</v>
      </c>
      <c r="BF2114" s="2">
        <f t="shared" ref="BF2114:BF2177" ca="1" si="2102">AW2114</f>
        <v>2038378.3499765173</v>
      </c>
      <c r="BG2114" s="2">
        <f t="shared" ref="BG2114:BG2177" ca="1" si="2103">AX2114</f>
        <v>2023518.4594109114</v>
      </c>
      <c r="BH2114" s="2">
        <f t="shared" ref="BH2114:BH2177" ca="1" si="2104">AY2114</f>
        <v>2008717.3651157776</v>
      </c>
      <c r="BI2114" s="2">
        <f t="shared" ref="BI2114:BI2177" ca="1" si="2105">AZ2114+BC2114</f>
        <v>24069558.843505468</v>
      </c>
      <c r="BJ2114" s="2">
        <f t="shared" ref="BJ2114:BJ2177" ca="1" si="2106">IF(MIN(BD2114:BI2114)*MAX(BD2114:BI2114)&gt;=0, "", IFERROR(IRR(BD2114:BI2114,0.12), IFERROR(IRR(BD2114:BI2114,0.5), IFERROR(IRR(BD2114:BI2114,-0.5),""))))</f>
        <v>0.13448660525246914</v>
      </c>
      <c r="BK2114" s="2">
        <f t="shared" ref="BK2114:BK2177" ca="1" si="2107">NPV(12%,BE2114:BI2114)+BD2114</f>
        <v>1032630.7478047609</v>
      </c>
    </row>
    <row r="2115" spans="1:63" x14ac:dyDescent="0.3">
      <c r="A2115" s="2">
        <v>2114</v>
      </c>
      <c r="B2115" s="2">
        <f t="shared" ca="1" si="2046"/>
        <v>0.98094461633158136</v>
      </c>
      <c r="C2115" s="2">
        <f t="shared" ca="1" si="2047"/>
        <v>7.8047802076201362</v>
      </c>
      <c r="D2115" s="2">
        <f t="shared" ca="1" si="2048"/>
        <v>0.95663033842899337</v>
      </c>
      <c r="E2115" s="2">
        <f t="shared" ca="1" si="2049"/>
        <v>8.2054845960870413</v>
      </c>
      <c r="F2115" s="2">
        <f t="shared" ca="1" si="2050"/>
        <v>0.72920270941384524</v>
      </c>
      <c r="G2115" s="2">
        <f t="shared" ca="1" si="2051"/>
        <v>5.8312103597818549E-2</v>
      </c>
      <c r="H2115" s="2">
        <f t="shared" ca="1" si="2052"/>
        <v>5.8312103597818549E-2</v>
      </c>
      <c r="I2115" s="2">
        <f t="shared" ca="1" si="2053"/>
        <v>0.69992015078067193</v>
      </c>
      <c r="J2115" s="2">
        <f t="shared" ca="1" si="2054"/>
        <v>1.2620854359508913E-2</v>
      </c>
      <c r="K2115" s="2">
        <f t="shared" ca="1" si="2055"/>
        <v>1.2620854359508913E-2</v>
      </c>
      <c r="L2115" s="2">
        <f t="shared" ca="1" si="2056"/>
        <v>6.6022650271044814E-2</v>
      </c>
      <c r="M2115" s="2">
        <f t="shared" ca="1" si="2057"/>
        <v>-3.0121704222938344E-2</v>
      </c>
      <c r="N2115" s="2">
        <f t="shared" ca="1" si="2058"/>
        <v>-3.0121704222938344E-2</v>
      </c>
      <c r="O2115" s="2">
        <f t="shared" si="2059"/>
        <v>6000000</v>
      </c>
      <c r="P2115" s="2">
        <f t="shared" ca="1" si="2060"/>
        <v>46828681.245720819</v>
      </c>
      <c r="Q2115" s="2">
        <f t="shared" ca="1" si="2061"/>
        <v>1170717.0311430206</v>
      </c>
      <c r="R2115" s="2">
        <f t="shared" ca="1" si="2062"/>
        <v>28097208.747432489</v>
      </c>
      <c r="S2115" s="2">
        <f t="shared" ca="1" si="2063"/>
        <v>18731472.49828833</v>
      </c>
      <c r="T2115" s="2">
        <f t="shared" ca="1" si="2064"/>
        <v>48493914.788853079</v>
      </c>
      <c r="U2115" s="2">
        <f t="shared" ca="1" si="2065"/>
        <v>51321696.971884459</v>
      </c>
      <c r="V2115" s="2">
        <f t="shared" ca="1" si="2066"/>
        <v>54314373.082524829</v>
      </c>
      <c r="W2115" s="2">
        <f t="shared" ca="1" si="2067"/>
        <v>57481558.432563581</v>
      </c>
      <c r="X2115" s="2">
        <f t="shared" ca="1" si="2068"/>
        <v>60833429.022847287</v>
      </c>
      <c r="Y2115" s="2">
        <f t="shared" ca="1" si="2069"/>
        <v>0.12631042717975446</v>
      </c>
      <c r="Z2115" s="2">
        <f t="shared" ca="1" si="2070"/>
        <v>0.12883459805165623</v>
      </c>
      <c r="AA2115" s="2">
        <f t="shared" ca="1" si="2071"/>
        <v>6125287.092598645</v>
      </c>
      <c r="AB2115" s="2">
        <f t="shared" ca="1" si="2072"/>
        <v>6612010.2007016372</v>
      </c>
      <c r="AC2115" s="2">
        <f t="shared" ca="1" si="2073"/>
        <v>6997570.4245147826</v>
      </c>
      <c r="AD2115" s="2">
        <f t="shared" ca="1" si="2074"/>
        <v>7405613.4760421198</v>
      </c>
      <c r="AE2115" s="2">
        <f t="shared" ca="1" si="2075"/>
        <v>7837450.3762624888</v>
      </c>
      <c r="AF2115" s="2">
        <f t="shared" ca="1" si="2076"/>
        <v>969878.2957770616</v>
      </c>
      <c r="AG2115" s="2">
        <f t="shared" ca="1" si="2077"/>
        <v>1026433.9394376893</v>
      </c>
      <c r="AH2115" s="2">
        <f t="shared" ca="1" si="2078"/>
        <v>1086287.4616504966</v>
      </c>
      <c r="AI2115" s="2">
        <f t="shared" ca="1" si="2079"/>
        <v>1149631.1686512716</v>
      </c>
      <c r="AJ2115" s="2">
        <f t="shared" ca="1" si="2080"/>
        <v>1216668.5804569458</v>
      </c>
      <c r="AK2115" s="2">
        <f t="shared" ca="1" si="2081"/>
        <v>0</v>
      </c>
      <c r="AL2115" s="2">
        <f t="shared" ca="1" si="2082"/>
        <v>28277.821830313802</v>
      </c>
      <c r="AM2115" s="2">
        <f t="shared" ca="1" si="2083"/>
        <v>29926.761106403694</v>
      </c>
      <c r="AN2115" s="2">
        <f t="shared" ca="1" si="2084"/>
        <v>31671.853500387519</v>
      </c>
      <c r="AO2115" s="2">
        <f t="shared" ca="1" si="2085"/>
        <v>33518.705902837071</v>
      </c>
      <c r="AP2115" s="2">
        <f t="shared" ca="1" si="2086"/>
        <v>2528748.7872689241</v>
      </c>
      <c r="AQ2115" s="2">
        <f t="shared" ca="1" si="2087"/>
        <v>682931.60248369141</v>
      </c>
      <c r="AR2115" s="2">
        <f t="shared" ca="1" si="2088"/>
        <v>794775.14323870628</v>
      </c>
      <c r="AS2115" s="2">
        <f t="shared" ca="1" si="2089"/>
        <v>879458.88565479417</v>
      </c>
      <c r="AT2115" s="2">
        <f t="shared" ca="1" si="2090"/>
        <v>969080.71523170033</v>
      </c>
      <c r="AU2115" s="2">
        <f t="shared" ca="1" si="2091"/>
        <v>1063928.5822195208</v>
      </c>
      <c r="AV2115" s="2">
        <f t="shared" ca="1" si="2092"/>
        <v>1943728.4070689674</v>
      </c>
      <c r="AW2115" s="2">
        <f t="shared" ca="1" si="2093"/>
        <v>2233774.5089260037</v>
      </c>
      <c r="AX2115" s="2">
        <f t="shared" ca="1" si="2094"/>
        <v>2473148.5288341646</v>
      </c>
      <c r="AY2115" s="2">
        <f t="shared" ca="1" si="2095"/>
        <v>2726480.9513898357</v>
      </c>
      <c r="AZ2115" s="2">
        <f t="shared" ca="1" si="2096"/>
        <v>2994585.7204142609</v>
      </c>
      <c r="BA2115" s="2">
        <f t="shared" ca="1" si="2097"/>
        <v>64310078.335018441</v>
      </c>
      <c r="BB2115" s="2">
        <f t="shared" ca="1" si="2098"/>
        <v>1286201.5667003689</v>
      </c>
      <c r="BC2115" s="2">
        <f t="shared" ca="1" si="2099"/>
        <v>34926668.020885587</v>
      </c>
      <c r="BD2115" s="2">
        <f t="shared" ca="1" si="2100"/>
        <v>-20402189.529431351</v>
      </c>
      <c r="BE2115" s="2">
        <f t="shared" ca="1" si="2101"/>
        <v>1943728.4070689674</v>
      </c>
      <c r="BF2115" s="2">
        <f t="shared" ca="1" si="2102"/>
        <v>2233774.5089260037</v>
      </c>
      <c r="BG2115" s="2">
        <f t="shared" ca="1" si="2103"/>
        <v>2473148.5288341646</v>
      </c>
      <c r="BH2115" s="2">
        <f t="shared" ca="1" si="2104"/>
        <v>2726480.9513898357</v>
      </c>
      <c r="BI2115" s="2">
        <f t="shared" ca="1" si="2105"/>
        <v>37921253.741299845</v>
      </c>
      <c r="BJ2115" s="2">
        <f t="shared" ca="1" si="2106"/>
        <v>0.21025222670687427</v>
      </c>
      <c r="BK2115" s="2">
        <f t="shared" ca="1" si="2107"/>
        <v>8124637.6080403924</v>
      </c>
    </row>
    <row r="2116" spans="1:63" x14ac:dyDescent="0.3">
      <c r="A2116" s="2">
        <v>2115</v>
      </c>
      <c r="B2116" s="2">
        <f t="shared" ca="1" si="2046"/>
        <v>0.50844464998551897</v>
      </c>
      <c r="C2116" s="2">
        <f t="shared" ca="1" si="2047"/>
        <v>7.0084806103615716</v>
      </c>
      <c r="D2116" s="2">
        <f t="shared" ca="1" si="2048"/>
        <v>8.5222109509833777E-2</v>
      </c>
      <c r="E2116" s="2">
        <f t="shared" ca="1" si="2049"/>
        <v>6.9128489057992857</v>
      </c>
      <c r="F2116" s="2">
        <f t="shared" ca="1" si="2050"/>
        <v>0.14496392119374146</v>
      </c>
      <c r="G2116" s="2">
        <f t="shared" ca="1" si="2051"/>
        <v>8.2516022480951939E-3</v>
      </c>
      <c r="H2116" s="2">
        <f t="shared" ca="1" si="2052"/>
        <v>8.2516022480951939E-3</v>
      </c>
      <c r="I2116" s="2">
        <f t="shared" ca="1" si="2053"/>
        <v>0.34897825126287707</v>
      </c>
      <c r="J2116" s="2">
        <f t="shared" ca="1" si="2054"/>
        <v>8.059597773502028E-3</v>
      </c>
      <c r="K2116" s="2">
        <f t="shared" ca="1" si="2055"/>
        <v>8.059597773502028E-3</v>
      </c>
      <c r="L2116" s="2">
        <f t="shared" ca="1" si="2056"/>
        <v>0.74047452170850581</v>
      </c>
      <c r="M2116" s="2">
        <f t="shared" ca="1" si="2057"/>
        <v>1.2896180378543067E-2</v>
      </c>
      <c r="N2116" s="2">
        <f t="shared" ca="1" si="2058"/>
        <v>1.2896180378543067E-2</v>
      </c>
      <c r="O2116" s="2">
        <f t="shared" si="2059"/>
        <v>6000000</v>
      </c>
      <c r="P2116" s="2">
        <f t="shared" ca="1" si="2060"/>
        <v>42050883.662169427</v>
      </c>
      <c r="Q2116" s="2">
        <f t="shared" ca="1" si="2061"/>
        <v>1051272.0915542357</v>
      </c>
      <c r="R2116" s="2">
        <f t="shared" ca="1" si="2062"/>
        <v>25230530.197301656</v>
      </c>
      <c r="S2116" s="2">
        <f t="shared" ca="1" si="2063"/>
        <v>16820353.464867771</v>
      </c>
      <c r="T2116" s="2">
        <f t="shared" ca="1" si="2064"/>
        <v>50644809.018927149</v>
      </c>
      <c r="U2116" s="2">
        <f t="shared" ca="1" si="2065"/>
        <v>51062709.838882081</v>
      </c>
      <c r="V2116" s="2">
        <f t="shared" ca="1" si="2066"/>
        <v>51484059.010182433</v>
      </c>
      <c r="W2116" s="2">
        <f t="shared" ca="1" si="2067"/>
        <v>51908884.987251922</v>
      </c>
      <c r="X2116" s="2">
        <f t="shared" ca="1" si="2068"/>
        <v>52337216.459308848</v>
      </c>
      <c r="Y2116" s="2">
        <f t="shared" ca="1" si="2069"/>
        <v>0.124029798886751</v>
      </c>
      <c r="Z2116" s="2">
        <f t="shared" ca="1" si="2070"/>
        <v>0.12564171844145142</v>
      </c>
      <c r="AA2116" s="2">
        <f t="shared" ca="1" si="2071"/>
        <v>6281465.4772754479</v>
      </c>
      <c r="AB2116" s="2">
        <f t="shared" ca="1" si="2072"/>
        <v>6415606.6124343537</v>
      </c>
      <c r="AC2116" s="2">
        <f t="shared" ca="1" si="2073"/>
        <v>6468545.6463804115</v>
      </c>
      <c r="AD2116" s="2">
        <f t="shared" ca="1" si="2074"/>
        <v>6521921.5121779907</v>
      </c>
      <c r="AE2116" s="2">
        <f t="shared" ca="1" si="2075"/>
        <v>6575737.8143897792</v>
      </c>
      <c r="AF2116" s="2">
        <f t="shared" ca="1" si="2076"/>
        <v>1012896.180378543</v>
      </c>
      <c r="AG2116" s="2">
        <f t="shared" ca="1" si="2077"/>
        <v>1021254.1967776417</v>
      </c>
      <c r="AH2116" s="2">
        <f t="shared" ca="1" si="2078"/>
        <v>1029681.1802036486</v>
      </c>
      <c r="AI2116" s="2">
        <f t="shared" ca="1" si="2079"/>
        <v>1038177.6997450385</v>
      </c>
      <c r="AJ2116" s="2">
        <f t="shared" ca="1" si="2080"/>
        <v>1046744.329186177</v>
      </c>
      <c r="AK2116" s="2">
        <f t="shared" ca="1" si="2081"/>
        <v>0</v>
      </c>
      <c r="AL2116" s="2">
        <f t="shared" ca="1" si="2082"/>
        <v>4179.0081995493174</v>
      </c>
      <c r="AM2116" s="2">
        <f t="shared" ca="1" si="2083"/>
        <v>4213.4917130035165</v>
      </c>
      <c r="AN2116" s="2">
        <f t="shared" ca="1" si="2084"/>
        <v>4248.2597706948964</v>
      </c>
      <c r="AO2116" s="2">
        <f t="shared" ca="1" si="2085"/>
        <v>4283.314720569253</v>
      </c>
      <c r="AP2116" s="2">
        <f t="shared" ca="1" si="2086"/>
        <v>2270747.7177571491</v>
      </c>
      <c r="AQ2116" s="2">
        <f t="shared" ca="1" si="2087"/>
        <v>779433.6105763365</v>
      </c>
      <c r="AR2116" s="2">
        <f t="shared" ca="1" si="2088"/>
        <v>812137.22145388636</v>
      </c>
      <c r="AS2116" s="2">
        <f t="shared" ca="1" si="2089"/>
        <v>823710.35458909965</v>
      </c>
      <c r="AT2116" s="2">
        <f t="shared" ca="1" si="2090"/>
        <v>835378.98461570882</v>
      </c>
      <c r="AU2116" s="2">
        <f t="shared" ca="1" si="2091"/>
        <v>847143.89953607786</v>
      </c>
      <c r="AV2116" s="2">
        <f t="shared" ca="1" si="2092"/>
        <v>2218387.9685634193</v>
      </c>
      <c r="AW2116" s="2">
        <f t="shared" ca="1" si="2093"/>
        <v>2307288.468246127</v>
      </c>
      <c r="AX2116" s="2">
        <f t="shared" ca="1" si="2094"/>
        <v>2340192.9021175108</v>
      </c>
      <c r="AY2116" s="2">
        <f t="shared" ca="1" si="2095"/>
        <v>2373368.8502893993</v>
      </c>
      <c r="AZ2116" s="2">
        <f t="shared" ca="1" si="2096"/>
        <v>2406818.5531898062</v>
      </c>
      <c r="BA2116" s="2">
        <f t="shared" ca="1" si="2097"/>
        <v>45457081.955027372</v>
      </c>
      <c r="BB2116" s="2">
        <f t="shared" ca="1" si="2098"/>
        <v>909141.63910054741</v>
      </c>
      <c r="BC2116" s="2">
        <f t="shared" ca="1" si="2099"/>
        <v>19317410.118625168</v>
      </c>
      <c r="BD2116" s="2">
        <f t="shared" ca="1" si="2100"/>
        <v>-18371625.556422006</v>
      </c>
      <c r="BE2116" s="2">
        <f t="shared" ca="1" si="2101"/>
        <v>2218387.9685634193</v>
      </c>
      <c r="BF2116" s="2">
        <f t="shared" ca="1" si="2102"/>
        <v>2307288.468246127</v>
      </c>
      <c r="BG2116" s="2">
        <f t="shared" ca="1" si="2103"/>
        <v>2340192.9021175108</v>
      </c>
      <c r="BH2116" s="2">
        <f t="shared" ca="1" si="2104"/>
        <v>2373368.8502893993</v>
      </c>
      <c r="BI2116" s="2">
        <f t="shared" ca="1" si="2105"/>
        <v>21724228.671814974</v>
      </c>
      <c r="BJ2116" s="2">
        <f t="shared" ca="1" si="2106"/>
        <v>0.13405154288743604</v>
      </c>
      <c r="BK2116" s="2">
        <f t="shared" ca="1" si="2107"/>
        <v>949366.89061007276</v>
      </c>
    </row>
    <row r="2117" spans="1:63" x14ac:dyDescent="0.3">
      <c r="A2117" s="2">
        <v>2116</v>
      </c>
      <c r="B2117" s="2">
        <f t="shared" ca="1" si="2046"/>
        <v>0.75395817203808013</v>
      </c>
      <c r="C2117" s="2">
        <f t="shared" ca="1" si="2047"/>
        <v>7.2985132532087009</v>
      </c>
      <c r="D2117" s="2">
        <f t="shared" ca="1" si="2048"/>
        <v>0.55030476901807646</v>
      </c>
      <c r="E2117" s="2">
        <f t="shared" ca="1" si="2049"/>
        <v>7.5516380111139805</v>
      </c>
      <c r="F2117" s="2">
        <f t="shared" ca="1" si="2050"/>
        <v>0.98236810625258619</v>
      </c>
      <c r="G2117" s="2">
        <f t="shared" ca="1" si="2051"/>
        <v>0.10315948785390319</v>
      </c>
      <c r="H2117" s="2">
        <f t="shared" ca="1" si="2052"/>
        <v>0.10315948785390319</v>
      </c>
      <c r="I2117" s="2">
        <f t="shared" ca="1" si="2053"/>
        <v>0.6455237690567831</v>
      </c>
      <c r="J2117" s="2">
        <f t="shared" ca="1" si="2054"/>
        <v>1.1866316676558237E-2</v>
      </c>
      <c r="K2117" s="2">
        <f t="shared" ca="1" si="2055"/>
        <v>1.1866316676558237E-2</v>
      </c>
      <c r="L2117" s="2">
        <f t="shared" ca="1" si="2056"/>
        <v>0.20223205768474062</v>
      </c>
      <c r="M2117" s="2">
        <f t="shared" ca="1" si="2057"/>
        <v>-1.6673501213555639E-2</v>
      </c>
      <c r="N2117" s="2">
        <f t="shared" ca="1" si="2058"/>
        <v>-1.6673501213555639E-2</v>
      </c>
      <c r="O2117" s="2">
        <f t="shared" si="2059"/>
        <v>6000000</v>
      </c>
      <c r="P2117" s="2">
        <f t="shared" ca="1" si="2060"/>
        <v>43791079.519252203</v>
      </c>
      <c r="Q2117" s="2">
        <f t="shared" ca="1" si="2061"/>
        <v>1094776.9879813052</v>
      </c>
      <c r="R2117" s="2">
        <f t="shared" ca="1" si="2062"/>
        <v>26274647.71155132</v>
      </c>
      <c r="S2117" s="2">
        <f t="shared" ca="1" si="2063"/>
        <v>17516431.807700884</v>
      </c>
      <c r="T2117" s="2">
        <f t="shared" ca="1" si="2064"/>
        <v>49166324.939322218</v>
      </c>
      <c r="U2117" s="2">
        <f t="shared" ca="1" si="2065"/>
        <v>54238297.839721292</v>
      </c>
      <c r="V2117" s="2">
        <f t="shared" ca="1" si="2066"/>
        <v>59833492.866934411</v>
      </c>
      <c r="W2117" s="2">
        <f t="shared" ca="1" si="2067"/>
        <v>66005885.347597539</v>
      </c>
      <c r="X2117" s="2">
        <f t="shared" ca="1" si="2068"/>
        <v>72815018.675399154</v>
      </c>
      <c r="Y2117" s="2">
        <f t="shared" ca="1" si="2069"/>
        <v>0.12593315833827912</v>
      </c>
      <c r="Z2117" s="2">
        <f t="shared" ca="1" si="2070"/>
        <v>0.12830642167359077</v>
      </c>
      <c r="AA2117" s="2">
        <f t="shared" ca="1" si="2071"/>
        <v>6191670.5834949464</v>
      </c>
      <c r="AB2117" s="2">
        <f t="shared" ca="1" si="2072"/>
        <v>6959121.9134810874</v>
      </c>
      <c r="AC2117" s="2">
        <f t="shared" ca="1" si="2073"/>
        <v>7677021.3659886718</v>
      </c>
      <c r="AD2117" s="2">
        <f t="shared" ca="1" si="2074"/>
        <v>8468978.9583475366</v>
      </c>
      <c r="AE2117" s="2">
        <f t="shared" ca="1" si="2075"/>
        <v>9342634.4903361499</v>
      </c>
      <c r="AF2117" s="2">
        <f t="shared" ca="1" si="2076"/>
        <v>983326.49878644443</v>
      </c>
      <c r="AG2117" s="2">
        <f t="shared" ca="1" si="2077"/>
        <v>1084765.9567944258</v>
      </c>
      <c r="AH2117" s="2">
        <f t="shared" ca="1" si="2078"/>
        <v>1196669.8573386883</v>
      </c>
      <c r="AI2117" s="2">
        <f t="shared" ca="1" si="2079"/>
        <v>1320117.7069519509</v>
      </c>
      <c r="AJ2117" s="2">
        <f t="shared" ca="1" si="2080"/>
        <v>1456300.3735079831</v>
      </c>
      <c r="AK2117" s="2">
        <f t="shared" ca="1" si="2081"/>
        <v>0</v>
      </c>
      <c r="AL2117" s="2">
        <f t="shared" ca="1" si="2082"/>
        <v>50719.729003990738</v>
      </c>
      <c r="AM2117" s="2">
        <f t="shared" ca="1" si="2083"/>
        <v>55951.950272131187</v>
      </c>
      <c r="AN2117" s="2">
        <f t="shared" ca="1" si="2084"/>
        <v>61723.924806631287</v>
      </c>
      <c r="AO2117" s="2">
        <f t="shared" ca="1" si="2085"/>
        <v>68091.333278016158</v>
      </c>
      <c r="AP2117" s="2">
        <f t="shared" ca="1" si="2086"/>
        <v>2364718.2940396187</v>
      </c>
      <c r="AQ2117" s="2">
        <f t="shared" ca="1" si="2087"/>
        <v>739342.70557390957</v>
      </c>
      <c r="AR2117" s="2">
        <f t="shared" ca="1" si="2088"/>
        <v>912505.7922882312</v>
      </c>
      <c r="AS2117" s="2">
        <f t="shared" ca="1" si="2089"/>
        <v>1070064.6357986948</v>
      </c>
      <c r="AT2117" s="2">
        <f t="shared" ca="1" si="2090"/>
        <v>1243877.1689125514</v>
      </c>
      <c r="AU2117" s="2">
        <f t="shared" ca="1" si="2091"/>
        <v>1435620.1139250225</v>
      </c>
      <c r="AV2117" s="2">
        <f t="shared" ca="1" si="2092"/>
        <v>2104283.085094973</v>
      </c>
      <c r="AW2117" s="2">
        <f t="shared" ca="1" si="2093"/>
        <v>2546412.1413548212</v>
      </c>
      <c r="AX2117" s="2">
        <f t="shared" ca="1" si="2094"/>
        <v>2989616.6285395394</v>
      </c>
      <c r="AY2117" s="2">
        <f t="shared" ca="1" si="2095"/>
        <v>3478541.8636367847</v>
      </c>
      <c r="AZ2117" s="2">
        <f t="shared" ca="1" si="2096"/>
        <v>4017904.375585509</v>
      </c>
      <c r="BA2117" s="2">
        <f t="shared" ca="1" si="2097"/>
        <v>70552193.741166964</v>
      </c>
      <c r="BB2117" s="2">
        <f t="shared" ca="1" si="2098"/>
        <v>1411043.8748233393</v>
      </c>
      <c r="BC2117" s="2">
        <f t="shared" ca="1" si="2099"/>
        <v>42866502.154792301</v>
      </c>
      <c r="BD2117" s="2">
        <f t="shared" ca="1" si="2100"/>
        <v>-19111208.795682188</v>
      </c>
      <c r="BE2117" s="2">
        <f t="shared" ca="1" si="2101"/>
        <v>2104283.085094973</v>
      </c>
      <c r="BF2117" s="2">
        <f t="shared" ca="1" si="2102"/>
        <v>2546412.1413548212</v>
      </c>
      <c r="BG2117" s="2">
        <f t="shared" ca="1" si="2103"/>
        <v>2989616.6285395394</v>
      </c>
      <c r="BH2117" s="2">
        <f t="shared" ca="1" si="2104"/>
        <v>3478541.8636367847</v>
      </c>
      <c r="BI2117" s="2">
        <f t="shared" ca="1" si="2105"/>
        <v>46884406.530377813</v>
      </c>
      <c r="BJ2117" s="2">
        <f t="shared" ca="1" si="2106"/>
        <v>0.28715342978055736</v>
      </c>
      <c r="BK2117" s="2">
        <f t="shared" ca="1" si="2107"/>
        <v>15739697.241570983</v>
      </c>
    </row>
    <row r="2118" spans="1:63" x14ac:dyDescent="0.3">
      <c r="A2118" s="2">
        <v>2117</v>
      </c>
      <c r="B2118" s="2">
        <f t="shared" ca="1" si="2046"/>
        <v>0.32130775028409875</v>
      </c>
      <c r="C2118" s="2">
        <f t="shared" ca="1" si="2047"/>
        <v>6.801633021131364</v>
      </c>
      <c r="D2118" s="2">
        <f t="shared" ca="1" si="2048"/>
        <v>0.147750285074847</v>
      </c>
      <c r="E2118" s="2">
        <f t="shared" ca="1" si="2049"/>
        <v>7.0435996414179227</v>
      </c>
      <c r="F2118" s="2">
        <f t="shared" ca="1" si="2050"/>
        <v>0.11722752654908863</v>
      </c>
      <c r="G2118" s="2">
        <f t="shared" ca="1" si="2051"/>
        <v>4.3311729707228019E-3</v>
      </c>
      <c r="H2118" s="2">
        <f t="shared" ca="1" si="2052"/>
        <v>4.3311729707228019E-3</v>
      </c>
      <c r="I2118" s="2">
        <f t="shared" ca="1" si="2053"/>
        <v>0.42259021708941902</v>
      </c>
      <c r="J2118" s="2">
        <f t="shared" ca="1" si="2054"/>
        <v>9.0236426717965144E-3</v>
      </c>
      <c r="K2118" s="2">
        <f t="shared" ca="1" si="2055"/>
        <v>9.0236426717965144E-3</v>
      </c>
      <c r="L2118" s="2">
        <f t="shared" ca="1" si="2056"/>
        <v>0.95465515511295107</v>
      </c>
      <c r="M2118" s="2">
        <f t="shared" ca="1" si="2057"/>
        <v>3.3835415303094446E-2</v>
      </c>
      <c r="N2118" s="2">
        <f t="shared" ca="1" si="2058"/>
        <v>3.3835415303094446E-2</v>
      </c>
      <c r="O2118" s="2">
        <f t="shared" si="2059"/>
        <v>6000000</v>
      </c>
      <c r="P2118" s="2">
        <f t="shared" ca="1" si="2060"/>
        <v>40809798.126788184</v>
      </c>
      <c r="Q2118" s="2">
        <f t="shared" ca="1" si="2061"/>
        <v>1020244.9531697046</v>
      </c>
      <c r="R2118" s="2">
        <f t="shared" ca="1" si="2062"/>
        <v>24485878.87607291</v>
      </c>
      <c r="S2118" s="2">
        <f t="shared" ca="1" si="2063"/>
        <v>16323919.250715274</v>
      </c>
      <c r="T2118" s="2">
        <f t="shared" ca="1" si="2064"/>
        <v>51691770.765154719</v>
      </c>
      <c r="U2118" s="2">
        <f t="shared" ca="1" si="2065"/>
        <v>51915656.765501551</v>
      </c>
      <c r="V2118" s="2">
        <f t="shared" ca="1" si="2066"/>
        <v>52140512.454841606</v>
      </c>
      <c r="W2118" s="2">
        <f t="shared" ca="1" si="2067"/>
        <v>52366342.033065647</v>
      </c>
      <c r="X2118" s="2">
        <f t="shared" ca="1" si="2068"/>
        <v>52593149.718254879</v>
      </c>
      <c r="Y2118" s="2">
        <f t="shared" ca="1" si="2069"/>
        <v>0.12451182133589825</v>
      </c>
      <c r="Z2118" s="2">
        <f t="shared" ca="1" si="2070"/>
        <v>0.12631654987025756</v>
      </c>
      <c r="AA2118" s="2">
        <f t="shared" ca="1" si="2071"/>
        <v>6436236.5260471525</v>
      </c>
      <c r="AB2118" s="2">
        <f t="shared" ca="1" si="2072"/>
        <v>6557806.6468666513</v>
      </c>
      <c r="AC2118" s="2">
        <f t="shared" ca="1" si="2073"/>
        <v>6586209.6417627856</v>
      </c>
      <c r="AD2118" s="2">
        <f t="shared" ca="1" si="2074"/>
        <v>6614735.6549427016</v>
      </c>
      <c r="AE2118" s="2">
        <f t="shared" ca="1" si="2075"/>
        <v>6643385.2192198653</v>
      </c>
      <c r="AF2118" s="2">
        <f t="shared" ca="1" si="2076"/>
        <v>1033835.4153030944</v>
      </c>
      <c r="AG2118" s="2">
        <f t="shared" ca="1" si="2077"/>
        <v>1038313.135310031</v>
      </c>
      <c r="AH2118" s="2">
        <f t="shared" ca="1" si="2078"/>
        <v>1042810.2490968321</v>
      </c>
      <c r="AI2118" s="2">
        <f t="shared" ca="1" si="2079"/>
        <v>1047326.8406613129</v>
      </c>
      <c r="AJ2118" s="2">
        <f t="shared" ca="1" si="2080"/>
        <v>1051862.9943650975</v>
      </c>
      <c r="AK2118" s="2">
        <f t="shared" ca="1" si="2081"/>
        <v>0</v>
      </c>
      <c r="AL2118" s="2">
        <f t="shared" ca="1" si="2082"/>
        <v>2238.86000346832</v>
      </c>
      <c r="AM2118" s="2">
        <f t="shared" ca="1" si="2083"/>
        <v>2248.5568934005501</v>
      </c>
      <c r="AN2118" s="2">
        <f t="shared" ca="1" si="2084"/>
        <v>2258.2957822404055</v>
      </c>
      <c r="AO2118" s="2">
        <f t="shared" ca="1" si="2085"/>
        <v>2268.0768518923223</v>
      </c>
      <c r="AP2118" s="2">
        <f t="shared" ca="1" si="2086"/>
        <v>2203729.0988465617</v>
      </c>
      <c r="AQ2118" s="2">
        <f t="shared" ca="1" si="2087"/>
        <v>831654.72309334914</v>
      </c>
      <c r="AR2118" s="2">
        <f t="shared" ca="1" si="2088"/>
        <v>862098.7473046151</v>
      </c>
      <c r="AS2118" s="2">
        <f t="shared" ca="1" si="2089"/>
        <v>868314.27639304183</v>
      </c>
      <c r="AT2118" s="2">
        <f t="shared" ca="1" si="2090"/>
        <v>874556.72601305519</v>
      </c>
      <c r="AU2118" s="2">
        <f t="shared" ca="1" si="2091"/>
        <v>880826.21276213345</v>
      </c>
      <c r="AV2118" s="2">
        <f t="shared" ca="1" si="2092"/>
        <v>2367017.2888041469</v>
      </c>
      <c r="AW2118" s="2">
        <f t="shared" ca="1" si="2093"/>
        <v>2451426.8054019739</v>
      </c>
      <c r="AX2118" s="2">
        <f t="shared" ca="1" si="2094"/>
        <v>2469107.4605329488</v>
      </c>
      <c r="AY2118" s="2">
        <f t="shared" ca="1" si="2095"/>
        <v>2486864.6936395322</v>
      </c>
      <c r="AZ2118" s="2">
        <f t="shared" ca="1" si="2096"/>
        <v>2504698.8363941801</v>
      </c>
      <c r="BA2118" s="2">
        <f t="shared" ca="1" si="2097"/>
        <v>46793345.747898169</v>
      </c>
      <c r="BB2118" s="2">
        <f t="shared" ca="1" si="2098"/>
        <v>935866.9149579634</v>
      </c>
      <c r="BC2118" s="2">
        <f t="shared" ca="1" si="2099"/>
        <v>21371599.956867296</v>
      </c>
      <c r="BD2118" s="2">
        <f t="shared" ca="1" si="2100"/>
        <v>-17844164.203884978</v>
      </c>
      <c r="BE2118" s="2">
        <f t="shared" ca="1" si="2101"/>
        <v>2367017.2888041469</v>
      </c>
      <c r="BF2118" s="2">
        <f t="shared" ca="1" si="2102"/>
        <v>2451426.8054019739</v>
      </c>
      <c r="BG2118" s="2">
        <f t="shared" ca="1" si="2103"/>
        <v>2469107.4605329488</v>
      </c>
      <c r="BH2118" s="2">
        <f t="shared" ca="1" si="2104"/>
        <v>2486864.6936395322</v>
      </c>
      <c r="BI2118" s="2">
        <f t="shared" ca="1" si="2105"/>
        <v>23876298.793261476</v>
      </c>
      <c r="BJ2118" s="2">
        <f t="shared" ca="1" si="2106"/>
        <v>0.16551310912478456</v>
      </c>
      <c r="BK2118" s="2">
        <f t="shared" ca="1" si="2107"/>
        <v>3109469.0721699037</v>
      </c>
    </row>
    <row r="2119" spans="1:63" x14ac:dyDescent="0.3">
      <c r="A2119" s="2">
        <v>2118</v>
      </c>
      <c r="B2119" s="2">
        <f t="shared" ca="1" si="2046"/>
        <v>0.3983687139149461</v>
      </c>
      <c r="C2119" s="2">
        <f t="shared" ca="1" si="2047"/>
        <v>6.8926014944138805</v>
      </c>
      <c r="D2119" s="2">
        <f t="shared" ca="1" si="2048"/>
        <v>0.29894174239039761</v>
      </c>
      <c r="E2119" s="2">
        <f t="shared" ca="1" si="2049"/>
        <v>7.2732292575819901</v>
      </c>
      <c r="F2119" s="2">
        <f t="shared" ca="1" si="2050"/>
        <v>0.92307615328298309</v>
      </c>
      <c r="G2119" s="2">
        <f t="shared" ca="1" si="2051"/>
        <v>8.2782146140421634E-2</v>
      </c>
      <c r="H2119" s="2">
        <f t="shared" ca="1" si="2052"/>
        <v>8.2782146140421634E-2</v>
      </c>
      <c r="I2119" s="2">
        <f t="shared" ca="1" si="2053"/>
        <v>0.39189934218160571</v>
      </c>
      <c r="J2119" s="2">
        <f t="shared" ca="1" si="2054"/>
        <v>8.6281395181329931E-3</v>
      </c>
      <c r="K2119" s="2">
        <f t="shared" ca="1" si="2055"/>
        <v>8.6281395181329931E-3</v>
      </c>
      <c r="L2119" s="2">
        <f t="shared" ca="1" si="2056"/>
        <v>1.4010834561833718E-2</v>
      </c>
      <c r="M2119" s="2">
        <f t="shared" ca="1" si="2057"/>
        <v>-4.3939657542614252E-2</v>
      </c>
      <c r="N2119" s="2">
        <f t="shared" ca="1" si="2058"/>
        <v>-4.3939657542614252E-2</v>
      </c>
      <c r="O2119" s="2">
        <f t="shared" si="2059"/>
        <v>6000000</v>
      </c>
      <c r="P2119" s="2">
        <f t="shared" ca="1" si="2060"/>
        <v>41355608.96648328</v>
      </c>
      <c r="Q2119" s="2">
        <f t="shared" ca="1" si="2061"/>
        <v>1033890.2241620821</v>
      </c>
      <c r="R2119" s="2">
        <f t="shared" ca="1" si="2062"/>
        <v>24813365.379889969</v>
      </c>
      <c r="S2119" s="2">
        <f t="shared" ca="1" si="2063"/>
        <v>16542243.586593313</v>
      </c>
      <c r="T2119" s="2">
        <f t="shared" ca="1" si="2064"/>
        <v>47803017.122869283</v>
      </c>
      <c r="U2119" s="2">
        <f t="shared" ca="1" si="2065"/>
        <v>51760253.472287729</v>
      </c>
      <c r="V2119" s="2">
        <f t="shared" ca="1" si="2066"/>
        <v>56045078.33949592</v>
      </c>
      <c r="W2119" s="2">
        <f t="shared" ca="1" si="2067"/>
        <v>60684610.205047451</v>
      </c>
      <c r="X2119" s="2">
        <f t="shared" ca="1" si="2068"/>
        <v>65708212.475516215</v>
      </c>
      <c r="Y2119" s="2">
        <f t="shared" ca="1" si="2069"/>
        <v>0.12431406975906649</v>
      </c>
      <c r="Z2119" s="2">
        <f t="shared" ca="1" si="2070"/>
        <v>0.1260396976626931</v>
      </c>
      <c r="AA2119" s="2">
        <f t="shared" ca="1" si="2071"/>
        <v>5942587.6053062221</v>
      </c>
      <c r="AB2119" s="2">
        <f t="shared" ca="1" si="2072"/>
        <v>6523846.6985915061</v>
      </c>
      <c r="AC2119" s="2">
        <f t="shared" ca="1" si="2073"/>
        <v>7063904.7293920154</v>
      </c>
      <c r="AD2119" s="2">
        <f t="shared" ca="1" si="2074"/>
        <v>7648669.9230225608</v>
      </c>
      <c r="AE2119" s="2">
        <f t="shared" ca="1" si="2075"/>
        <v>8281843.2343700631</v>
      </c>
      <c r="AF2119" s="2">
        <f t="shared" ca="1" si="2076"/>
        <v>956060.34245738573</v>
      </c>
      <c r="AG2119" s="2">
        <f t="shared" ca="1" si="2077"/>
        <v>1035205.0694457546</v>
      </c>
      <c r="AH2119" s="2">
        <f t="shared" ca="1" si="2078"/>
        <v>1120901.5667899183</v>
      </c>
      <c r="AI2119" s="2">
        <f t="shared" ca="1" si="2079"/>
        <v>1213692.204100949</v>
      </c>
      <c r="AJ2119" s="2">
        <f t="shared" ca="1" si="2080"/>
        <v>1314164.2495103243</v>
      </c>
      <c r="AK2119" s="2">
        <f t="shared" ca="1" si="2081"/>
        <v>0</v>
      </c>
      <c r="AL2119" s="2">
        <f t="shared" ca="1" si="2082"/>
        <v>39572.363494184465</v>
      </c>
      <c r="AM2119" s="2">
        <f t="shared" ca="1" si="2083"/>
        <v>42848.248672081907</v>
      </c>
      <c r="AN2119" s="2">
        <f t="shared" ca="1" si="2084"/>
        <v>46395.318655515315</v>
      </c>
      <c r="AO2119" s="2">
        <f t="shared" ca="1" si="2085"/>
        <v>50236.022704687639</v>
      </c>
      <c r="AP2119" s="2">
        <f t="shared" ca="1" si="2086"/>
        <v>2233202.884190097</v>
      </c>
      <c r="AQ2119" s="2">
        <f t="shared" ca="1" si="2087"/>
        <v>715864.33845127223</v>
      </c>
      <c r="AR2119" s="2">
        <f t="shared" ca="1" si="2088"/>
        <v>846414.07368847029</v>
      </c>
      <c r="AS2119" s="2">
        <f t="shared" ca="1" si="2089"/>
        <v>964548.07238711999</v>
      </c>
      <c r="AT2119" s="2">
        <f t="shared" ca="1" si="2090"/>
        <v>1092461.4570301941</v>
      </c>
      <c r="AU2119" s="2">
        <f t="shared" ca="1" si="2091"/>
        <v>1230963.7861741066</v>
      </c>
      <c r="AV2119" s="2">
        <f t="shared" ca="1" si="2092"/>
        <v>2037460.0402074675</v>
      </c>
      <c r="AW2119" s="2">
        <f t="shared" ca="1" si="2093"/>
        <v>2369452.3077730001</v>
      </c>
      <c r="AX2119" s="2">
        <f t="shared" ca="1" si="2094"/>
        <v>2702403.957352798</v>
      </c>
      <c r="AY2119" s="2">
        <f t="shared" ca="1" si="2095"/>
        <v>3062918.0590458061</v>
      </c>
      <c r="AZ2119" s="2">
        <f t="shared" ca="1" si="2096"/>
        <v>3453276.2917908472</v>
      </c>
      <c r="BA2119" s="2">
        <f t="shared" ca="1" si="2097"/>
        <v>60235744.518927805</v>
      </c>
      <c r="BB2119" s="2">
        <f t="shared" ca="1" si="2098"/>
        <v>1204714.8903785562</v>
      </c>
      <c r="BC2119" s="2">
        <f t="shared" ca="1" si="2099"/>
        <v>34217664.248659275</v>
      </c>
      <c r="BD2119" s="2">
        <f t="shared" ca="1" si="2100"/>
        <v>-18076133.810755394</v>
      </c>
      <c r="BE2119" s="2">
        <f t="shared" ca="1" si="2101"/>
        <v>2037460.0402074675</v>
      </c>
      <c r="BF2119" s="2">
        <f t="shared" ca="1" si="2102"/>
        <v>2369452.3077730001</v>
      </c>
      <c r="BG2119" s="2">
        <f t="shared" ca="1" si="2103"/>
        <v>2702403.957352798</v>
      </c>
      <c r="BH2119" s="2">
        <f t="shared" ca="1" si="2104"/>
        <v>3062918.0590458061</v>
      </c>
      <c r="BI2119" s="2">
        <f t="shared" ca="1" si="2105"/>
        <v>37670940.540450126</v>
      </c>
      <c r="BJ2119" s="2">
        <f t="shared" ca="1" si="2106"/>
        <v>0.25087029752113366</v>
      </c>
      <c r="BK2119" s="2">
        <f t="shared" ca="1" si="2107"/>
        <v>10877500.712818298</v>
      </c>
    </row>
    <row r="2120" spans="1:63" x14ac:dyDescent="0.3">
      <c r="A2120" s="2">
        <v>2119</v>
      </c>
      <c r="B2120" s="2">
        <f t="shared" ca="1" si="2046"/>
        <v>0.53155567990987396</v>
      </c>
      <c r="C2120" s="2">
        <f t="shared" ca="1" si="2047"/>
        <v>7.0320699197874612</v>
      </c>
      <c r="D2120" s="2">
        <f t="shared" ca="1" si="2048"/>
        <v>0.17989380409896139</v>
      </c>
      <c r="E2120" s="2">
        <f t="shared" ca="1" si="2049"/>
        <v>7.0998229807184137</v>
      </c>
      <c r="F2120" s="2">
        <f t="shared" ca="1" si="2050"/>
        <v>0.1236942689385454</v>
      </c>
      <c r="G2120" s="2">
        <f t="shared" ca="1" si="2051"/>
        <v>5.2985293480818305E-3</v>
      </c>
      <c r="H2120" s="2">
        <f t="shared" ca="1" si="2052"/>
        <v>5.2985293480818305E-3</v>
      </c>
      <c r="I2120" s="2">
        <f t="shared" ca="1" si="2053"/>
        <v>0.65374120742338904</v>
      </c>
      <c r="J2120" s="2">
        <f t="shared" ca="1" si="2054"/>
        <v>1.1977204123844523E-2</v>
      </c>
      <c r="K2120" s="2">
        <f t="shared" ca="1" si="2055"/>
        <v>1.1977204123844523E-2</v>
      </c>
      <c r="L2120" s="2">
        <f t="shared" ca="1" si="2056"/>
        <v>0.28687084574071176</v>
      </c>
      <c r="M2120" s="2">
        <f t="shared" ca="1" si="2057"/>
        <v>-1.1250989895138933E-2</v>
      </c>
      <c r="N2120" s="2">
        <f t="shared" ca="1" si="2058"/>
        <v>-1.1250989895138933E-2</v>
      </c>
      <c r="O2120" s="2">
        <f t="shared" si="2059"/>
        <v>6000000</v>
      </c>
      <c r="P2120" s="2">
        <f t="shared" ca="1" si="2060"/>
        <v>42192419.518724769</v>
      </c>
      <c r="Q2120" s="2">
        <f t="shared" ca="1" si="2061"/>
        <v>1054810.4879681193</v>
      </c>
      <c r="R2120" s="2">
        <f t="shared" ca="1" si="2062"/>
        <v>25315451.71123486</v>
      </c>
      <c r="S2120" s="2">
        <f t="shared" ca="1" si="2063"/>
        <v>16876967.807489909</v>
      </c>
      <c r="T2120" s="2">
        <f t="shared" ca="1" si="2064"/>
        <v>49437450.505243056</v>
      </c>
      <c r="U2120" s="2">
        <f t="shared" ca="1" si="2065"/>
        <v>49699396.287639432</v>
      </c>
      <c r="V2120" s="2">
        <f t="shared" ca="1" si="2066"/>
        <v>49962729.997451439</v>
      </c>
      <c r="W2120" s="2">
        <f t="shared" ca="1" si="2067"/>
        <v>50227458.988653228</v>
      </c>
      <c r="X2120" s="2">
        <f t="shared" ca="1" si="2068"/>
        <v>50493590.654184185</v>
      </c>
      <c r="Y2120" s="2">
        <f t="shared" ca="1" si="2069"/>
        <v>0.12598860206192225</v>
      </c>
      <c r="Z2120" s="2">
        <f t="shared" ca="1" si="2070"/>
        <v>0.12838404288669117</v>
      </c>
      <c r="AA2120" s="2">
        <f t="shared" ca="1" si="2071"/>
        <v>6228555.2786610443</v>
      </c>
      <c r="AB2120" s="2">
        <f t="shared" ca="1" si="2072"/>
        <v>6380609.4244349608</v>
      </c>
      <c r="AC2120" s="2">
        <f t="shared" ca="1" si="2073"/>
        <v>6414417.2707289774</v>
      </c>
      <c r="AD2120" s="2">
        <f t="shared" ca="1" si="2074"/>
        <v>6448404.2488887776</v>
      </c>
      <c r="AE2120" s="2">
        <f t="shared" ca="1" si="2075"/>
        <v>6482571.3080498111</v>
      </c>
      <c r="AF2120" s="2">
        <f t="shared" ca="1" si="2076"/>
        <v>988749.01010486111</v>
      </c>
      <c r="AG2120" s="2">
        <f t="shared" ca="1" si="2077"/>
        <v>993987.92575278867</v>
      </c>
      <c r="AH2120" s="2">
        <f t="shared" ca="1" si="2078"/>
        <v>999254.59994902881</v>
      </c>
      <c r="AI2120" s="2">
        <f t="shared" ca="1" si="2079"/>
        <v>1004549.1797730646</v>
      </c>
      <c r="AJ2120" s="2">
        <f t="shared" ca="1" si="2080"/>
        <v>1009871.8130836837</v>
      </c>
      <c r="AK2120" s="2">
        <f t="shared" ca="1" si="2081"/>
        <v>0</v>
      </c>
      <c r="AL2120" s="2">
        <f t="shared" ca="1" si="2082"/>
        <v>2619.4578239637613</v>
      </c>
      <c r="AM2120" s="2">
        <f t="shared" ca="1" si="2083"/>
        <v>2633.3370981200783</v>
      </c>
      <c r="AN2120" s="2">
        <f t="shared" ca="1" si="2084"/>
        <v>2647.2899120178818</v>
      </c>
      <c r="AO2120" s="2">
        <f t="shared" ca="1" si="2085"/>
        <v>2661.316655309573</v>
      </c>
      <c r="AP2120" s="2">
        <f t="shared" ca="1" si="2086"/>
        <v>2278390.6540111373</v>
      </c>
      <c r="AQ2120" s="2">
        <f t="shared" ca="1" si="2087"/>
        <v>769968.05978171201</v>
      </c>
      <c r="AR2120" s="2">
        <f t="shared" ca="1" si="2088"/>
        <v>808140.01961446903</v>
      </c>
      <c r="AS2120" s="2">
        <f t="shared" ca="1" si="2089"/>
        <v>815560.72435989103</v>
      </c>
      <c r="AT2120" s="2">
        <f t="shared" ca="1" si="2090"/>
        <v>823020.7479271898</v>
      </c>
      <c r="AU2120" s="2">
        <f t="shared" ca="1" si="2091"/>
        <v>830520.29864829732</v>
      </c>
      <c r="AV2120" s="2">
        <f t="shared" ca="1" si="2092"/>
        <v>2191447.5547633343</v>
      </c>
      <c r="AW2120" s="2">
        <f t="shared" ca="1" si="2093"/>
        <v>2297471.3672326016</v>
      </c>
      <c r="AX2120" s="2">
        <f t="shared" ca="1" si="2094"/>
        <v>2318577.9553108006</v>
      </c>
      <c r="AY2120" s="2">
        <f t="shared" ca="1" si="2095"/>
        <v>2339796.3772653681</v>
      </c>
      <c r="AZ2120" s="2">
        <f t="shared" ca="1" si="2096"/>
        <v>2361127.225651382</v>
      </c>
      <c r="BA2120" s="2">
        <f t="shared" ca="1" si="2097"/>
        <v>46025108.747037873</v>
      </c>
      <c r="BB2120" s="2">
        <f t="shared" ca="1" si="2098"/>
        <v>920502.17494075745</v>
      </c>
      <c r="BC2120" s="2">
        <f t="shared" ca="1" si="2099"/>
        <v>19789154.860862255</v>
      </c>
      <c r="BD2120" s="2">
        <f t="shared" ca="1" si="2100"/>
        <v>-18431778.29545803</v>
      </c>
      <c r="BE2120" s="2">
        <f t="shared" ca="1" si="2101"/>
        <v>2191447.5547633343</v>
      </c>
      <c r="BF2120" s="2">
        <f t="shared" ca="1" si="2102"/>
        <v>2297471.3672326016</v>
      </c>
      <c r="BG2120" s="2">
        <f t="shared" ca="1" si="2103"/>
        <v>2318577.9553108006</v>
      </c>
      <c r="BH2120" s="2">
        <f t="shared" ca="1" si="2104"/>
        <v>2339796.3772653681</v>
      </c>
      <c r="BI2120" s="2">
        <f t="shared" ca="1" si="2105"/>
        <v>22150282.086513638</v>
      </c>
      <c r="BJ2120" s="2">
        <f t="shared" ca="1" si="2106"/>
        <v>0.13557703512613206</v>
      </c>
      <c r="BK2120" s="2">
        <f t="shared" ca="1" si="2107"/>
        <v>1062367.2215903848</v>
      </c>
    </row>
    <row r="2121" spans="1:63" x14ac:dyDescent="0.3">
      <c r="A2121" s="2">
        <v>2120</v>
      </c>
      <c r="B2121" s="2">
        <f t="shared" ca="1" si="2046"/>
        <v>0.96527787950659805</v>
      </c>
      <c r="C2121" s="2">
        <f t="shared" ca="1" si="2047"/>
        <v>7.7364772476866488</v>
      </c>
      <c r="D2121" s="2">
        <f t="shared" ca="1" si="2048"/>
        <v>2.2631673657339868E-2</v>
      </c>
      <c r="E2121" s="2">
        <f t="shared" ca="1" si="2049"/>
        <v>6.7127518444448357</v>
      </c>
      <c r="F2121" s="2">
        <f t="shared" ca="1" si="2050"/>
        <v>0.97465535980970319</v>
      </c>
      <c r="G2121" s="2">
        <f t="shared" ca="1" si="2051"/>
        <v>9.8623028346657898E-2</v>
      </c>
      <c r="H2121" s="2">
        <f t="shared" ca="1" si="2052"/>
        <v>9.8623028346657898E-2</v>
      </c>
      <c r="I2121" s="2">
        <f t="shared" ca="1" si="2053"/>
        <v>0.48586733298565832</v>
      </c>
      <c r="J2121" s="2">
        <f t="shared" ca="1" si="2054"/>
        <v>9.8228362223749949E-3</v>
      </c>
      <c r="K2121" s="2">
        <f t="shared" ca="1" si="2055"/>
        <v>9.8228362223749949E-3</v>
      </c>
      <c r="L2121" s="2">
        <f t="shared" ca="1" si="2056"/>
        <v>0.32355746823225151</v>
      </c>
      <c r="M2121" s="2">
        <f t="shared" ca="1" si="2057"/>
        <v>-9.1554766765251823E-3</v>
      </c>
      <c r="N2121" s="2">
        <f t="shared" ca="1" si="2058"/>
        <v>-9.1554766765251823E-3</v>
      </c>
      <c r="O2121" s="2">
        <f t="shared" si="2059"/>
        <v>6000000</v>
      </c>
      <c r="P2121" s="2">
        <f t="shared" ca="1" si="2060"/>
        <v>46418863.486119896</v>
      </c>
      <c r="Q2121" s="2">
        <f t="shared" ca="1" si="2061"/>
        <v>1160471.5871529975</v>
      </c>
      <c r="R2121" s="2">
        <f t="shared" ca="1" si="2062"/>
        <v>27851318.091671936</v>
      </c>
      <c r="S2121" s="2">
        <f t="shared" ca="1" si="2063"/>
        <v>18567545.39444796</v>
      </c>
      <c r="T2121" s="2">
        <f t="shared" ca="1" si="2064"/>
        <v>49542226.166173741</v>
      </c>
      <c r="U2121" s="2">
        <f t="shared" ca="1" si="2065"/>
        <v>54428230.541716829</v>
      </c>
      <c r="V2121" s="2">
        <f t="shared" ca="1" si="2066"/>
        <v>59796107.465290993</v>
      </c>
      <c r="W2121" s="2">
        <f t="shared" ca="1" si="2067"/>
        <v>65693380.666860186</v>
      </c>
      <c r="X2121" s="2">
        <f t="shared" ca="1" si="2068"/>
        <v>72172260.810555726</v>
      </c>
      <c r="Y2121" s="2">
        <f t="shared" ca="1" si="2069"/>
        <v>0.1249114181111875</v>
      </c>
      <c r="Z2121" s="2">
        <f t="shared" ca="1" si="2070"/>
        <v>0.1268759853556625</v>
      </c>
      <c r="AA2121" s="2">
        <f t="shared" ca="1" si="2071"/>
        <v>6188389.7268019421</v>
      </c>
      <c r="AB2121" s="2">
        <f t="shared" ca="1" si="2072"/>
        <v>6905635.3811454866</v>
      </c>
      <c r="AC2121" s="2">
        <f t="shared" ca="1" si="2073"/>
        <v>7586690.0550918812</v>
      </c>
      <c r="AD2121" s="2">
        <f t="shared" ca="1" si="2074"/>
        <v>8334912.4034525147</v>
      </c>
      <c r="AE2121" s="2">
        <f t="shared" ca="1" si="2075"/>
        <v>9156926.7056851219</v>
      </c>
      <c r="AF2121" s="2">
        <f t="shared" ca="1" si="2076"/>
        <v>990844.5233234748</v>
      </c>
      <c r="AG2121" s="2">
        <f t="shared" ca="1" si="2077"/>
        <v>1088564.6108343366</v>
      </c>
      <c r="AH2121" s="2">
        <f t="shared" ca="1" si="2078"/>
        <v>1195922.14930582</v>
      </c>
      <c r="AI2121" s="2">
        <f t="shared" ca="1" si="2079"/>
        <v>1313867.6133372036</v>
      </c>
      <c r="AJ2121" s="2">
        <f t="shared" ca="1" si="2080"/>
        <v>1443445.2162111145</v>
      </c>
      <c r="AK2121" s="2">
        <f t="shared" ca="1" si="2081"/>
        <v>0</v>
      </c>
      <c r="AL2121" s="2">
        <f t="shared" ca="1" si="2082"/>
        <v>48860.043755430881</v>
      </c>
      <c r="AM2121" s="2">
        <f t="shared" ca="1" si="2083"/>
        <v>53678.769235741645</v>
      </c>
      <c r="AN2121" s="2">
        <f t="shared" ca="1" si="2084"/>
        <v>58972.732015691923</v>
      </c>
      <c r="AO2121" s="2">
        <f t="shared" ca="1" si="2085"/>
        <v>64788.801436955408</v>
      </c>
      <c r="AP2121" s="2">
        <f t="shared" ca="1" si="2086"/>
        <v>2506618.6282504741</v>
      </c>
      <c r="AQ2121" s="2">
        <f t="shared" ca="1" si="2087"/>
        <v>699640.9095592784</v>
      </c>
      <c r="AR2121" s="2">
        <f t="shared" ca="1" si="2088"/>
        <v>860717.55693577568</v>
      </c>
      <c r="AS2121" s="2">
        <f t="shared" ca="1" si="2089"/>
        <v>1009878.8121592528</v>
      </c>
      <c r="AT2121" s="2">
        <f t="shared" ca="1" si="2090"/>
        <v>1173750.8020848576</v>
      </c>
      <c r="AU2121" s="2">
        <f t="shared" ca="1" si="2091"/>
        <v>1353784.3439181189</v>
      </c>
      <c r="AV2121" s="2">
        <f t="shared" ca="1" si="2092"/>
        <v>1991285.6656687148</v>
      </c>
      <c r="AW2121" s="2">
        <f t="shared" ca="1" si="2093"/>
        <v>2400874.5413694689</v>
      </c>
      <c r="AX2121" s="2">
        <f t="shared" ca="1" si="2094"/>
        <v>2820591.6961405929</v>
      </c>
      <c r="AY2121" s="2">
        <f t="shared" ca="1" si="2095"/>
        <v>3281702.6277642874</v>
      </c>
      <c r="AZ2121" s="2">
        <f t="shared" ca="1" si="2096"/>
        <v>3788289.71586846</v>
      </c>
      <c r="BA2121" s="2">
        <f t="shared" ca="1" si="2097"/>
        <v>61468176.633033976</v>
      </c>
      <c r="BB2121" s="2">
        <f t="shared" ca="1" si="2098"/>
        <v>1229363.5326606797</v>
      </c>
      <c r="BC2121" s="2">
        <f t="shared" ca="1" si="2099"/>
        <v>32387495.008701362</v>
      </c>
      <c r="BD2121" s="2">
        <f t="shared" ca="1" si="2100"/>
        <v>-20228016.981600959</v>
      </c>
      <c r="BE2121" s="2">
        <f t="shared" ca="1" si="2101"/>
        <v>1991285.6656687148</v>
      </c>
      <c r="BF2121" s="2">
        <f t="shared" ca="1" si="2102"/>
        <v>2400874.5413694689</v>
      </c>
      <c r="BG2121" s="2">
        <f t="shared" ca="1" si="2103"/>
        <v>2820591.6961405929</v>
      </c>
      <c r="BH2121" s="2">
        <f t="shared" ca="1" si="2104"/>
        <v>3281702.6277642874</v>
      </c>
      <c r="BI2121" s="2">
        <f t="shared" ca="1" si="2105"/>
        <v>36175784.72456982</v>
      </c>
      <c r="BJ2121" s="2">
        <f t="shared" ca="1" si="2106"/>
        <v>0.21181670532079888</v>
      </c>
      <c r="BK2121" s="2">
        <f t="shared" ca="1" si="2107"/>
        <v>8084213.7173760757</v>
      </c>
    </row>
    <row r="2122" spans="1:63" x14ac:dyDescent="0.3">
      <c r="A2122" s="2">
        <v>2121</v>
      </c>
      <c r="B2122" s="2">
        <f t="shared" ca="1" si="2046"/>
        <v>0.1035020000090584</v>
      </c>
      <c r="C2122" s="2">
        <f t="shared" ca="1" si="2047"/>
        <v>6.4549769225115892</v>
      </c>
      <c r="D2122" s="2">
        <f t="shared" ca="1" si="2048"/>
        <v>0.14750703758619688</v>
      </c>
      <c r="E2122" s="2">
        <f t="shared" ca="1" si="2049"/>
        <v>7.0431519816519073</v>
      </c>
      <c r="F2122" s="2">
        <f t="shared" ca="1" si="2050"/>
        <v>0.94910903589861084</v>
      </c>
      <c r="G2122" s="2">
        <f t="shared" ca="1" si="2051"/>
        <v>8.9088266875046535E-2</v>
      </c>
      <c r="H2122" s="2">
        <f t="shared" ca="1" si="2052"/>
        <v>8.9088266875046535E-2</v>
      </c>
      <c r="I2122" s="2">
        <f t="shared" ca="1" si="2053"/>
        <v>0.3640151695040329</v>
      </c>
      <c r="J2122" s="2">
        <f t="shared" ca="1" si="2054"/>
        <v>8.2612659517007914E-3</v>
      </c>
      <c r="K2122" s="2">
        <f t="shared" ca="1" si="2055"/>
        <v>8.2612659517007914E-3</v>
      </c>
      <c r="L2122" s="2">
        <f t="shared" ca="1" si="2056"/>
        <v>0.75338593164813061</v>
      </c>
      <c r="M2122" s="2">
        <f t="shared" ca="1" si="2057"/>
        <v>1.3703669929341416E-2</v>
      </c>
      <c r="N2122" s="2">
        <f t="shared" ca="1" si="2058"/>
        <v>1.3703669929341416E-2</v>
      </c>
      <c r="O2122" s="2">
        <f t="shared" si="2059"/>
        <v>6000000</v>
      </c>
      <c r="P2122" s="2">
        <f t="shared" ca="1" si="2060"/>
        <v>38729861.535069533</v>
      </c>
      <c r="Q2122" s="2">
        <f t="shared" ca="1" si="2061"/>
        <v>968246.53837673832</v>
      </c>
      <c r="R2122" s="2">
        <f t="shared" ca="1" si="2062"/>
        <v>23237916.92104172</v>
      </c>
      <c r="S2122" s="2">
        <f t="shared" ca="1" si="2063"/>
        <v>15491944.614027813</v>
      </c>
      <c r="T2122" s="2">
        <f t="shared" ca="1" si="2064"/>
        <v>50685183.496467069</v>
      </c>
      <c r="U2122" s="2">
        <f t="shared" ca="1" si="2065"/>
        <v>55200638.650411032</v>
      </c>
      <c r="V2122" s="2">
        <f t="shared" ca="1" si="2066"/>
        <v>60118367.878171861</v>
      </c>
      <c r="W2122" s="2">
        <f t="shared" ca="1" si="2067"/>
        <v>65474209.07979466</v>
      </c>
      <c r="X2122" s="2">
        <f t="shared" ca="1" si="2068"/>
        <v>71307192.891727999</v>
      </c>
      <c r="Y2122" s="2">
        <f t="shared" ca="1" si="2069"/>
        <v>0.12413063297585039</v>
      </c>
      <c r="Z2122" s="2">
        <f t="shared" ca="1" si="2070"/>
        <v>0.12578288616619054</v>
      </c>
      <c r="AA2122" s="2">
        <f t="shared" ca="1" si="2071"/>
        <v>6291583.9099135827</v>
      </c>
      <c r="AB2122" s="2">
        <f t="shared" ca="1" si="2072"/>
        <v>6943295.6476656692</v>
      </c>
      <c r="AC2122" s="2">
        <f t="shared" ca="1" si="2073"/>
        <v>7561861.8233172577</v>
      </c>
      <c r="AD2122" s="2">
        <f t="shared" ca="1" si="2074"/>
        <v>8235534.9875051714</v>
      </c>
      <c r="AE2122" s="2">
        <f t="shared" ca="1" si="2075"/>
        <v>8969224.5263308138</v>
      </c>
      <c r="AF2122" s="2">
        <f t="shared" ca="1" si="2076"/>
        <v>1013703.6699293414</v>
      </c>
      <c r="AG2122" s="2">
        <f t="shared" ca="1" si="2077"/>
        <v>1104012.7730082206</v>
      </c>
      <c r="AH2122" s="2">
        <f t="shared" ca="1" si="2078"/>
        <v>1202367.3575634372</v>
      </c>
      <c r="AI2122" s="2">
        <f t="shared" ca="1" si="2079"/>
        <v>1309484.1815958933</v>
      </c>
      <c r="AJ2122" s="2">
        <f t="shared" ca="1" si="2080"/>
        <v>1426143.8578345601</v>
      </c>
      <c r="AK2122" s="2">
        <f t="shared" ca="1" si="2081"/>
        <v>0</v>
      </c>
      <c r="AL2122" s="2">
        <f t="shared" ca="1" si="2082"/>
        <v>45154.551539439635</v>
      </c>
      <c r="AM2122" s="2">
        <f t="shared" ca="1" si="2083"/>
        <v>49177.292277608292</v>
      </c>
      <c r="AN2122" s="2">
        <f t="shared" ca="1" si="2084"/>
        <v>53558.412016227994</v>
      </c>
      <c r="AO2122" s="2">
        <f t="shared" ca="1" si="2085"/>
        <v>58329.838119333384</v>
      </c>
      <c r="AP2122" s="2">
        <f t="shared" ca="1" si="2086"/>
        <v>2091412.5228937548</v>
      </c>
      <c r="AQ2122" s="2">
        <f t="shared" ca="1" si="2087"/>
        <v>828481.60644352657</v>
      </c>
      <c r="AR2122" s="2">
        <f t="shared" ca="1" si="2088"/>
        <v>974446.29145856039</v>
      </c>
      <c r="AS2122" s="2">
        <f t="shared" ca="1" si="2089"/>
        <v>1109701.3051436171</v>
      </c>
      <c r="AT2122" s="2">
        <f t="shared" ca="1" si="2090"/>
        <v>1257005.9535840361</v>
      </c>
      <c r="AU2122" s="2">
        <f t="shared" ca="1" si="2091"/>
        <v>1417433.7178566498</v>
      </c>
      <c r="AV2122" s="2">
        <f t="shared" ca="1" si="2092"/>
        <v>2357986.1106469603</v>
      </c>
      <c r="AW2122" s="2">
        <f t="shared" ca="1" si="2093"/>
        <v>2728269.5087656938</v>
      </c>
      <c r="AX2122" s="2">
        <f t="shared" ca="1" si="2094"/>
        <v>3109203.3454388408</v>
      </c>
      <c r="AY2122" s="2">
        <f t="shared" ca="1" si="2095"/>
        <v>3524073.9174152594</v>
      </c>
      <c r="AZ2122" s="2">
        <f t="shared" ca="1" si="2096"/>
        <v>3975904.5896265153</v>
      </c>
      <c r="BA2122" s="2">
        <f t="shared" ca="1" si="2097"/>
        <v>63171611.496507764</v>
      </c>
      <c r="BB2122" s="2">
        <f t="shared" ca="1" si="2098"/>
        <v>1263432.2299301552</v>
      </c>
      <c r="BC2122" s="2">
        <f t="shared" ca="1" si="2099"/>
        <v>38670262.345535889</v>
      </c>
      <c r="BD2122" s="2">
        <f t="shared" ca="1" si="2100"/>
        <v>-16960191.15240455</v>
      </c>
      <c r="BE2122" s="2">
        <f t="shared" ca="1" si="2101"/>
        <v>2357986.1106469603</v>
      </c>
      <c r="BF2122" s="2">
        <f t="shared" ca="1" si="2102"/>
        <v>2728269.5087656938</v>
      </c>
      <c r="BG2122" s="2">
        <f t="shared" ca="1" si="2103"/>
        <v>3109203.3454388408</v>
      </c>
      <c r="BH2122" s="2">
        <f t="shared" ca="1" si="2104"/>
        <v>3524073.9174152594</v>
      </c>
      <c r="BI2122" s="2">
        <f t="shared" ca="1" si="2105"/>
        <v>42646166.935162403</v>
      </c>
      <c r="BJ2122" s="2">
        <f t="shared" ca="1" si="2106"/>
        <v>0.3112031621412954</v>
      </c>
      <c r="BK2122" s="2">
        <f t="shared" ca="1" si="2107"/>
        <v>15971375.962282427</v>
      </c>
    </row>
    <row r="2123" spans="1:63" x14ac:dyDescent="0.3">
      <c r="A2123" s="2">
        <v>2122</v>
      </c>
      <c r="B2123" s="2">
        <f t="shared" ca="1" si="2046"/>
        <v>0.47032361625029473</v>
      </c>
      <c r="C2123" s="2">
        <f t="shared" ca="1" si="2047"/>
        <v>6.969869698722766</v>
      </c>
      <c r="D2123" s="2">
        <f t="shared" ca="1" si="2048"/>
        <v>7.5126180516653207E-2</v>
      </c>
      <c r="E2123" s="2">
        <f t="shared" ca="1" si="2049"/>
        <v>6.8876239943983171</v>
      </c>
      <c r="F2123" s="2">
        <f t="shared" ca="1" si="2050"/>
        <v>0.99796564047072356</v>
      </c>
      <c r="G2123" s="2">
        <f t="shared" ca="1" si="2051"/>
        <v>0.12618352672986713</v>
      </c>
      <c r="H2123" s="2">
        <f t="shared" ca="1" si="2052"/>
        <v>0.12</v>
      </c>
      <c r="I2123" s="2">
        <f t="shared" ca="1" si="2053"/>
        <v>0.60531327950869374</v>
      </c>
      <c r="J2123" s="2">
        <f t="shared" ca="1" si="2054"/>
        <v>1.133562161364687E-2</v>
      </c>
      <c r="K2123" s="2">
        <f t="shared" ca="1" si="2055"/>
        <v>1.133562161364687E-2</v>
      </c>
      <c r="L2123" s="2">
        <f t="shared" ca="1" si="2056"/>
        <v>0.88533718143765827</v>
      </c>
      <c r="M2123" s="2">
        <f t="shared" ca="1" si="2057"/>
        <v>2.4041956078654846E-2</v>
      </c>
      <c r="N2123" s="2">
        <f t="shared" ca="1" si="2058"/>
        <v>2.4041956078654846E-2</v>
      </c>
      <c r="O2123" s="2">
        <f t="shared" si="2059"/>
        <v>6000000</v>
      </c>
      <c r="P2123" s="2">
        <f t="shared" ca="1" si="2060"/>
        <v>41819218.192336597</v>
      </c>
      <c r="Q2123" s="2">
        <f t="shared" ca="1" si="2061"/>
        <v>1045480.4548084149</v>
      </c>
      <c r="R2123" s="2">
        <f t="shared" ca="1" si="2062"/>
        <v>25091530.915401958</v>
      </c>
      <c r="S2123" s="2">
        <f t="shared" ca="1" si="2063"/>
        <v>16727687.276934639</v>
      </c>
      <c r="T2123" s="2">
        <f t="shared" ca="1" si="2064"/>
        <v>51202097.803932741</v>
      </c>
      <c r="U2123" s="2">
        <f t="shared" ca="1" si="2065"/>
        <v>57346349.540404677</v>
      </c>
      <c r="V2123" s="2">
        <f t="shared" ca="1" si="2066"/>
        <v>64227911.485253245</v>
      </c>
      <c r="W2123" s="2">
        <f t="shared" ca="1" si="2067"/>
        <v>71935260.863483638</v>
      </c>
      <c r="X2123" s="2">
        <f t="shared" ca="1" si="2068"/>
        <v>80567492.167101681</v>
      </c>
      <c r="Y2123" s="2">
        <f t="shared" ca="1" si="2069"/>
        <v>0.12566781080682343</v>
      </c>
      <c r="Z2123" s="2">
        <f t="shared" ca="1" si="2070"/>
        <v>0.12793493512955281</v>
      </c>
      <c r="AA2123" s="2">
        <f t="shared" ca="1" si="2071"/>
        <v>6434455.5397370895</v>
      </c>
      <c r="AB2123" s="2">
        <f t="shared" ca="1" si="2072"/>
        <v>7336601.5083683329</v>
      </c>
      <c r="AC2123" s="2">
        <f t="shared" ca="1" si="2073"/>
        <v>8216993.6893725339</v>
      </c>
      <c r="AD2123" s="2">
        <f t="shared" ca="1" si="2074"/>
        <v>9203032.9320972376</v>
      </c>
      <c r="AE2123" s="2">
        <f t="shared" ca="1" si="2075"/>
        <v>10307396.883948907</v>
      </c>
      <c r="AF2123" s="2">
        <f t="shared" ca="1" si="2076"/>
        <v>1024041.9560786549</v>
      </c>
      <c r="AG2123" s="2">
        <f t="shared" ca="1" si="2077"/>
        <v>1146926.9908080937</v>
      </c>
      <c r="AH2123" s="2">
        <f t="shared" ca="1" si="2078"/>
        <v>1284558.229705065</v>
      </c>
      <c r="AI2123" s="2">
        <f t="shared" ca="1" si="2079"/>
        <v>1438705.2172696728</v>
      </c>
      <c r="AJ2123" s="2">
        <f t="shared" ca="1" si="2080"/>
        <v>1611349.8433420337</v>
      </c>
      <c r="AK2123" s="2">
        <f t="shared" ca="1" si="2081"/>
        <v>0</v>
      </c>
      <c r="AL2123" s="2">
        <f t="shared" ca="1" si="2082"/>
        <v>61442.517364719359</v>
      </c>
      <c r="AM2123" s="2">
        <f t="shared" ca="1" si="2083"/>
        <v>68815.619448485668</v>
      </c>
      <c r="AN2123" s="2">
        <f t="shared" ca="1" si="2084"/>
        <v>77073.493782303936</v>
      </c>
      <c r="AO2123" s="2">
        <f t="shared" ca="1" si="2085"/>
        <v>86322.313036180436</v>
      </c>
      <c r="AP2123" s="2">
        <f t="shared" ca="1" si="2086"/>
        <v>2258237.7823861763</v>
      </c>
      <c r="AQ2123" s="2">
        <f t="shared" ca="1" si="2087"/>
        <v>819565.70833078714</v>
      </c>
      <c r="AR2123" s="2">
        <f t="shared" ca="1" si="2088"/>
        <v>1022173.5511452564</v>
      </c>
      <c r="AS2123" s="2">
        <f t="shared" ca="1" si="2089"/>
        <v>1215291.3960931359</v>
      </c>
      <c r="AT2123" s="2">
        <f t="shared" ca="1" si="2090"/>
        <v>1431583.3824347609</v>
      </c>
      <c r="AU2123" s="2">
        <f t="shared" ca="1" si="2091"/>
        <v>1673830.4071373811</v>
      </c>
      <c r="AV2123" s="2">
        <f t="shared" ca="1" si="2092"/>
        <v>2332610.0929414714</v>
      </c>
      <c r="AW2123" s="2">
        <f t="shared" ca="1" si="2093"/>
        <v>2847820.6666640872</v>
      </c>
      <c r="AX2123" s="2">
        <f t="shared" ca="1" si="2094"/>
        <v>3390090.6617396707</v>
      </c>
      <c r="AY2123" s="2">
        <f t="shared" ca="1" si="2095"/>
        <v>3997433.0562243229</v>
      </c>
      <c r="AZ2123" s="2">
        <f t="shared" ca="1" si="2096"/>
        <v>4677656.5380471349</v>
      </c>
      <c r="BA2123" s="2">
        <f t="shared" ca="1" si="2097"/>
        <v>70993474.097672939</v>
      </c>
      <c r="BB2123" s="2">
        <f t="shared" ca="1" si="2098"/>
        <v>1419869.4819534589</v>
      </c>
      <c r="BC2123" s="2">
        <f t="shared" ca="1" si="2099"/>
        <v>44482073.700317524</v>
      </c>
      <c r="BD2123" s="2">
        <f t="shared" ca="1" si="2100"/>
        <v>-18273167.731743053</v>
      </c>
      <c r="BE2123" s="2">
        <f t="shared" ca="1" si="2101"/>
        <v>2332610.0929414714</v>
      </c>
      <c r="BF2123" s="2">
        <f t="shared" ca="1" si="2102"/>
        <v>2847820.6666640872</v>
      </c>
      <c r="BG2123" s="2">
        <f t="shared" ca="1" si="2103"/>
        <v>3390090.6617396707</v>
      </c>
      <c r="BH2123" s="2">
        <f t="shared" ca="1" si="2104"/>
        <v>3997433.0562243229</v>
      </c>
      <c r="BI2123" s="2">
        <f t="shared" ca="1" si="2105"/>
        <v>49159730.238364659</v>
      </c>
      <c r="BJ2123" s="2">
        <f t="shared" ca="1" si="2106"/>
        <v>0.32325192126999447</v>
      </c>
      <c r="BK2123" s="2">
        <f t="shared" ca="1" si="2107"/>
        <v>18927776.753964707</v>
      </c>
    </row>
    <row r="2124" spans="1:63" x14ac:dyDescent="0.3">
      <c r="A2124" s="2">
        <v>2123</v>
      </c>
      <c r="B2124" s="2">
        <f t="shared" ca="1" si="2046"/>
        <v>0.46655053938884394</v>
      </c>
      <c r="C2124" s="2">
        <f t="shared" ca="1" si="2047"/>
        <v>6.965971572448014</v>
      </c>
      <c r="D2124" s="2">
        <f t="shared" ca="1" si="2048"/>
        <v>0.65892452888410347</v>
      </c>
      <c r="E2124" s="2">
        <f t="shared" ca="1" si="2049"/>
        <v>7.6740757042974259</v>
      </c>
      <c r="F2124" s="2">
        <f t="shared" ca="1" si="2050"/>
        <v>2.4440420105197758E-2</v>
      </c>
      <c r="G2124" s="2">
        <f t="shared" ca="1" si="2051"/>
        <v>-1.9088887081239583E-2</v>
      </c>
      <c r="H2124" s="2">
        <f t="shared" ca="1" si="2052"/>
        <v>-1.9088887081239583E-2</v>
      </c>
      <c r="I2124" s="2">
        <f t="shared" ca="1" si="2053"/>
        <v>0.48678040031404546</v>
      </c>
      <c r="J2124" s="2">
        <f t="shared" ca="1" si="2054"/>
        <v>9.8342865555847512E-3</v>
      </c>
      <c r="K2124" s="2">
        <f t="shared" ca="1" si="2055"/>
        <v>9.8342865555847512E-3</v>
      </c>
      <c r="L2124" s="2">
        <f t="shared" ca="1" si="2056"/>
        <v>0.51295974944999922</v>
      </c>
      <c r="M2124" s="2">
        <f t="shared" ca="1" si="2057"/>
        <v>6.4981980191048034E-4</v>
      </c>
      <c r="N2124" s="2">
        <f t="shared" ca="1" si="2058"/>
        <v>6.4981980191048034E-4</v>
      </c>
      <c r="O2124" s="2">
        <f t="shared" si="2059"/>
        <v>6000000</v>
      </c>
      <c r="P2124" s="2">
        <f t="shared" ca="1" si="2060"/>
        <v>41795829.434688084</v>
      </c>
      <c r="Q2124" s="2">
        <f t="shared" ca="1" si="2061"/>
        <v>1044895.7358672022</v>
      </c>
      <c r="R2124" s="2">
        <f t="shared" ca="1" si="2062"/>
        <v>25077497.660812851</v>
      </c>
      <c r="S2124" s="2">
        <f t="shared" ca="1" si="2063"/>
        <v>16718331.773875235</v>
      </c>
      <c r="T2124" s="2">
        <f t="shared" ca="1" si="2064"/>
        <v>50032490.990095526</v>
      </c>
      <c r="U2124" s="2">
        <f t="shared" ca="1" si="2065"/>
        <v>49077426.419192456</v>
      </c>
      <c r="V2124" s="2">
        <f t="shared" ca="1" si="2066"/>
        <v>48140592.968038648</v>
      </c>
      <c r="W2124" s="2">
        <f t="shared" ca="1" si="2067"/>
        <v>47221642.624847844</v>
      </c>
      <c r="X2124" s="2">
        <f t="shared" ca="1" si="2068"/>
        <v>46320234.020991474</v>
      </c>
      <c r="Y2124" s="2">
        <f t="shared" ca="1" si="2069"/>
        <v>0.12491714327779237</v>
      </c>
      <c r="Z2124" s="2">
        <f t="shared" ca="1" si="2070"/>
        <v>0.12688400058890931</v>
      </c>
      <c r="AA2124" s="2">
        <f t="shared" ca="1" si="2071"/>
        <v>6249915.8455546182</v>
      </c>
      <c r="AB2124" s="2">
        <f t="shared" ca="1" si="2072"/>
        <v>6227140.2026749691</v>
      </c>
      <c r="AC2124" s="2">
        <f t="shared" ca="1" si="2073"/>
        <v>6108271.0265070591</v>
      </c>
      <c r="AD2124" s="2">
        <f t="shared" ca="1" si="2074"/>
        <v>5991670.9306204589</v>
      </c>
      <c r="AE2124" s="2">
        <f t="shared" ca="1" si="2075"/>
        <v>5877296.6007978991</v>
      </c>
      <c r="AF2124" s="2">
        <f t="shared" ca="1" si="2076"/>
        <v>1000649.8198019105</v>
      </c>
      <c r="AG2124" s="2">
        <f t="shared" ca="1" si="2077"/>
        <v>981548.52838384919</v>
      </c>
      <c r="AH2124" s="2">
        <f t="shared" ca="1" si="2078"/>
        <v>962811.859360773</v>
      </c>
      <c r="AI2124" s="2">
        <f t="shared" ca="1" si="2079"/>
        <v>944432.85249695694</v>
      </c>
      <c r="AJ2124" s="2">
        <f t="shared" ca="1" si="2080"/>
        <v>926404.68041982956</v>
      </c>
      <c r="AK2124" s="2">
        <f t="shared" ca="1" si="2081"/>
        <v>0</v>
      </c>
      <c r="AL2124" s="2">
        <f t="shared" ca="1" si="2082"/>
        <v>0</v>
      </c>
      <c r="AM2124" s="2">
        <f t="shared" ca="1" si="2083"/>
        <v>0</v>
      </c>
      <c r="AN2124" s="2">
        <f t="shared" ca="1" si="2084"/>
        <v>0</v>
      </c>
      <c r="AO2124" s="2">
        <f t="shared" ca="1" si="2085"/>
        <v>0</v>
      </c>
      <c r="AP2124" s="2">
        <f t="shared" ca="1" si="2086"/>
        <v>2256974.7894731564</v>
      </c>
      <c r="AQ2124" s="2">
        <f t="shared" ca="1" si="2087"/>
        <v>777995.72143268329</v>
      </c>
      <c r="AR2124" s="2">
        <f t="shared" ca="1" si="2088"/>
        <v>777040.3900526705</v>
      </c>
      <c r="AS2124" s="2">
        <f t="shared" ca="1" si="2089"/>
        <v>751005.93819501367</v>
      </c>
      <c r="AT2124" s="2">
        <f t="shared" ca="1" si="2090"/>
        <v>725468.45504908997</v>
      </c>
      <c r="AU2124" s="2">
        <f t="shared" ca="1" si="2091"/>
        <v>700418.45403527736</v>
      </c>
      <c r="AV2124" s="2">
        <f t="shared" ca="1" si="2092"/>
        <v>2214295.5148468679</v>
      </c>
      <c r="AW2124" s="2">
        <f t="shared" ca="1" si="2093"/>
        <v>2211576.4947652929</v>
      </c>
      <c r="AX2124" s="2">
        <f t="shared" ca="1" si="2094"/>
        <v>2137478.4394781161</v>
      </c>
      <c r="AY2124" s="2">
        <f t="shared" ca="1" si="2095"/>
        <v>2064794.8336012559</v>
      </c>
      <c r="AZ2124" s="2">
        <f t="shared" ca="1" si="2096"/>
        <v>1993498.6768696355</v>
      </c>
      <c r="BA2124" s="2">
        <f t="shared" ca="1" si="2097"/>
        <v>45102819.051133007</v>
      </c>
      <c r="BB2124" s="2">
        <f t="shared" ca="1" si="2098"/>
        <v>902056.38102266018</v>
      </c>
      <c r="BC2124" s="2">
        <f t="shared" ca="1" si="2099"/>
        <v>19123265.009297494</v>
      </c>
      <c r="BD2124" s="2">
        <f t="shared" ca="1" si="2100"/>
        <v>-18263227.509742435</v>
      </c>
      <c r="BE2124" s="2">
        <f t="shared" ca="1" si="2101"/>
        <v>2214295.5148468679</v>
      </c>
      <c r="BF2124" s="2">
        <f t="shared" ca="1" si="2102"/>
        <v>2211576.4947652929</v>
      </c>
      <c r="BG2124" s="2">
        <f t="shared" ca="1" si="2103"/>
        <v>2137478.4394781161</v>
      </c>
      <c r="BH2124" s="2">
        <f t="shared" ca="1" si="2104"/>
        <v>2064794.8336012559</v>
      </c>
      <c r="BI2124" s="2">
        <f t="shared" ca="1" si="2105"/>
        <v>21116763.686167128</v>
      </c>
      <c r="BJ2124" s="2">
        <f t="shared" ca="1" si="2106"/>
        <v>0.12440594483504852</v>
      </c>
      <c r="BK2124" s="2">
        <f t="shared" ca="1" si="2107"/>
        <v>292725.49814032018</v>
      </c>
    </row>
    <row r="2125" spans="1:63" x14ac:dyDescent="0.3">
      <c r="A2125" s="2">
        <v>2124</v>
      </c>
      <c r="B2125" s="2">
        <f t="shared" ca="1" si="2046"/>
        <v>0.66509667240207992</v>
      </c>
      <c r="C2125" s="2">
        <f t="shared" ca="1" si="2047"/>
        <v>7.1815828354709073</v>
      </c>
      <c r="D2125" s="2">
        <f t="shared" ca="1" si="2048"/>
        <v>3.5743595133373218E-2</v>
      </c>
      <c r="E2125" s="2">
        <f t="shared" ca="1" si="2049"/>
        <v>6.7673708852263958</v>
      </c>
      <c r="F2125" s="2">
        <f t="shared" ca="1" si="2050"/>
        <v>0.36738420502617142</v>
      </c>
      <c r="G2125" s="2">
        <f t="shared" ca="1" si="2051"/>
        <v>2.9836318912734017E-2</v>
      </c>
      <c r="H2125" s="2">
        <f t="shared" ca="1" si="2052"/>
        <v>2.9836318912734017E-2</v>
      </c>
      <c r="I2125" s="2">
        <f t="shared" ca="1" si="2053"/>
        <v>0.27323100016787594</v>
      </c>
      <c r="J2125" s="2">
        <f t="shared" ca="1" si="2054"/>
        <v>6.9846490790953656E-3</v>
      </c>
      <c r="K2125" s="2">
        <f t="shared" ca="1" si="2055"/>
        <v>6.9846490790953656E-3</v>
      </c>
      <c r="L2125" s="2">
        <f t="shared" ca="1" si="2056"/>
        <v>0.73958280132209175</v>
      </c>
      <c r="M2125" s="2">
        <f t="shared" ca="1" si="2057"/>
        <v>1.2841194729382988E-2</v>
      </c>
      <c r="N2125" s="2">
        <f t="shared" ca="1" si="2058"/>
        <v>1.2841194729382988E-2</v>
      </c>
      <c r="O2125" s="2">
        <f t="shared" si="2059"/>
        <v>6000000</v>
      </c>
      <c r="P2125" s="2">
        <f t="shared" ca="1" si="2060"/>
        <v>43089497.012825444</v>
      </c>
      <c r="Q2125" s="2">
        <f t="shared" ca="1" si="2061"/>
        <v>1077237.4253206362</v>
      </c>
      <c r="R2125" s="2">
        <f t="shared" ca="1" si="2062"/>
        <v>25853698.207695264</v>
      </c>
      <c r="S2125" s="2">
        <f t="shared" ca="1" si="2063"/>
        <v>17235798.80513018</v>
      </c>
      <c r="T2125" s="2">
        <f t="shared" ca="1" si="2064"/>
        <v>50642059.73646915</v>
      </c>
      <c r="U2125" s="2">
        <f t="shared" ca="1" si="2065"/>
        <v>52153032.381164171</v>
      </c>
      <c r="V2125" s="2">
        <f t="shared" ca="1" si="2066"/>
        <v>53709086.887554727</v>
      </c>
      <c r="W2125" s="2">
        <f t="shared" ca="1" si="2067"/>
        <v>55311568.33244355</v>
      </c>
      <c r="X2125" s="2">
        <f t="shared" ca="1" si="2068"/>
        <v>56961861.924773812</v>
      </c>
      <c r="Y2125" s="2">
        <f t="shared" ca="1" si="2069"/>
        <v>0.12349232453954768</v>
      </c>
      <c r="Z2125" s="2">
        <f t="shared" ca="1" si="2070"/>
        <v>0.12488925435536676</v>
      </c>
      <c r="AA2125" s="2">
        <f t="shared" ca="1" si="2071"/>
        <v>6253905.676327209</v>
      </c>
      <c r="AB2125" s="2">
        <f t="shared" ca="1" si="2072"/>
        <v>6513353.3264548909</v>
      </c>
      <c r="AC2125" s="2">
        <f t="shared" ca="1" si="2073"/>
        <v>6707687.8134943154</v>
      </c>
      <c r="AD2125" s="2">
        <f t="shared" ca="1" si="2074"/>
        <v>6907820.5262647914</v>
      </c>
      <c r="AE2125" s="2">
        <f t="shared" ca="1" si="2075"/>
        <v>7113924.4624783574</v>
      </c>
      <c r="AF2125" s="2">
        <f t="shared" ca="1" si="2076"/>
        <v>1012841.194729383</v>
      </c>
      <c r="AG2125" s="2">
        <f t="shared" ca="1" si="2077"/>
        <v>1043060.6476232834</v>
      </c>
      <c r="AH2125" s="2">
        <f t="shared" ca="1" si="2078"/>
        <v>1074181.7377510946</v>
      </c>
      <c r="AI2125" s="2">
        <f t="shared" ca="1" si="2079"/>
        <v>1106231.366648871</v>
      </c>
      <c r="AJ2125" s="2">
        <f t="shared" ca="1" si="2080"/>
        <v>1139237.2384954763</v>
      </c>
      <c r="AK2125" s="2">
        <f t="shared" ca="1" si="2081"/>
        <v>0</v>
      </c>
      <c r="AL2125" s="2">
        <f t="shared" ca="1" si="2082"/>
        <v>15109.726446950212</v>
      </c>
      <c r="AM2125" s="2">
        <f t="shared" ca="1" si="2083"/>
        <v>15560.545063905567</v>
      </c>
      <c r="AN2125" s="2">
        <f t="shared" ca="1" si="2084"/>
        <v>16024.814448888228</v>
      </c>
      <c r="AO2125" s="2">
        <f t="shared" ca="1" si="2085"/>
        <v>16502.935923302623</v>
      </c>
      <c r="AP2125" s="2">
        <f t="shared" ca="1" si="2086"/>
        <v>2326832.8386925738</v>
      </c>
      <c r="AQ2125" s="2">
        <f t="shared" ca="1" si="2087"/>
        <v>757700.22715536552</v>
      </c>
      <c r="AR2125" s="2">
        <f t="shared" ca="1" si="2088"/>
        <v>817299.55843614868</v>
      </c>
      <c r="AS2125" s="2">
        <f t="shared" ca="1" si="2089"/>
        <v>859735.04163316824</v>
      </c>
      <c r="AT2125" s="2">
        <f t="shared" ca="1" si="2090"/>
        <v>903436.64344007021</v>
      </c>
      <c r="AU2125" s="2">
        <f t="shared" ca="1" si="2091"/>
        <v>948442.14017547981</v>
      </c>
      <c r="AV2125" s="2">
        <f t="shared" ca="1" si="2092"/>
        <v>2156531.415749887</v>
      </c>
      <c r="AW2125" s="2">
        <f t="shared" ca="1" si="2093"/>
        <v>2311050.5552559346</v>
      </c>
      <c r="AX2125" s="2">
        <f t="shared" ca="1" si="2094"/>
        <v>2431377.6503535733</v>
      </c>
      <c r="AY2125" s="2">
        <f t="shared" ca="1" si="2095"/>
        <v>2555294.8630343881</v>
      </c>
      <c r="AZ2125" s="2">
        <f t="shared" ca="1" si="2096"/>
        <v>2682909.309191525</v>
      </c>
      <c r="BA2125" s="2">
        <f t="shared" ca="1" si="2097"/>
        <v>48142565.287075877</v>
      </c>
      <c r="BB2125" s="2">
        <f t="shared" ca="1" si="2098"/>
        <v>962851.30574151757</v>
      </c>
      <c r="BC2125" s="2">
        <f t="shared" ca="1" si="2099"/>
        <v>21326015.773639094</v>
      </c>
      <c r="BD2125" s="2">
        <f t="shared" ca="1" si="2100"/>
        <v>-18813036.230450816</v>
      </c>
      <c r="BE2125" s="2">
        <f t="shared" ca="1" si="2101"/>
        <v>2156531.415749887</v>
      </c>
      <c r="BF2125" s="2">
        <f t="shared" ca="1" si="2102"/>
        <v>2311050.5552559346</v>
      </c>
      <c r="BG2125" s="2">
        <f t="shared" ca="1" si="2103"/>
        <v>2431377.6503535733</v>
      </c>
      <c r="BH2125" s="2">
        <f t="shared" ca="1" si="2104"/>
        <v>2555294.8630343881</v>
      </c>
      <c r="BI2125" s="2">
        <f t="shared" ca="1" si="2105"/>
        <v>24008925.082830619</v>
      </c>
      <c r="BJ2125" s="2">
        <f t="shared" ca="1" si="2106"/>
        <v>0.14707404022102</v>
      </c>
      <c r="BK2125" s="2">
        <f t="shared" ca="1" si="2107"/>
        <v>1932645.1378022023</v>
      </c>
    </row>
    <row r="2126" spans="1:63" x14ac:dyDescent="0.3">
      <c r="A2126" s="2">
        <v>2125</v>
      </c>
      <c r="B2126" s="2">
        <f t="shared" ca="1" si="2046"/>
        <v>6.9942514225661556E-2</v>
      </c>
      <c r="C2126" s="2">
        <f t="shared" ca="1" si="2047"/>
        <v>6.3740120699273266</v>
      </c>
      <c r="D2126" s="2">
        <f t="shared" ca="1" si="2048"/>
        <v>0.6716838131676367</v>
      </c>
      <c r="E2126" s="2">
        <f t="shared" ca="1" si="2049"/>
        <v>7.689671440917496</v>
      </c>
      <c r="F2126" s="2">
        <f t="shared" ca="1" si="2050"/>
        <v>0.78949474748420911</v>
      </c>
      <c r="G2126" s="2">
        <f t="shared" ca="1" si="2051"/>
        <v>6.4140080813152714E-2</v>
      </c>
      <c r="H2126" s="2">
        <f t="shared" ca="1" si="2052"/>
        <v>6.4140080813152714E-2</v>
      </c>
      <c r="I2126" s="2">
        <f t="shared" ca="1" si="2053"/>
        <v>0.25942163341808933</v>
      </c>
      <c r="J2126" s="2">
        <f t="shared" ca="1" si="2054"/>
        <v>6.774352490107759E-3</v>
      </c>
      <c r="K2126" s="2">
        <f t="shared" ca="1" si="2055"/>
        <v>6.774352490107759E-3</v>
      </c>
      <c r="L2126" s="2">
        <f t="shared" ca="1" si="2056"/>
        <v>0.37308383753678964</v>
      </c>
      <c r="M2126" s="2">
        <f t="shared" ca="1" si="2057"/>
        <v>-6.473933852279283E-3</v>
      </c>
      <c r="N2126" s="2">
        <f t="shared" ca="1" si="2058"/>
        <v>-6.473933852279283E-3</v>
      </c>
      <c r="O2126" s="2">
        <f t="shared" si="2059"/>
        <v>6000000</v>
      </c>
      <c r="P2126" s="2">
        <f t="shared" ca="1" si="2060"/>
        <v>38244072.419563957</v>
      </c>
      <c r="Q2126" s="2">
        <f t="shared" ca="1" si="2061"/>
        <v>956101.81048909901</v>
      </c>
      <c r="R2126" s="2">
        <f t="shared" ca="1" si="2062"/>
        <v>22946443.451738372</v>
      </c>
      <c r="S2126" s="2">
        <f t="shared" ca="1" si="2063"/>
        <v>15297628.967825584</v>
      </c>
      <c r="T2126" s="2">
        <f t="shared" ca="1" si="2064"/>
        <v>49676303.307386041</v>
      </c>
      <c r="U2126" s="2">
        <f t="shared" ca="1" si="2065"/>
        <v>52862545.416020468</v>
      </c>
      <c r="V2126" s="2">
        <f t="shared" ca="1" si="2066"/>
        <v>56253153.350992978</v>
      </c>
      <c r="W2126" s="2">
        <f t="shared" ca="1" si="2067"/>
        <v>59861235.152920336</v>
      </c>
      <c r="X2126" s="2">
        <f t="shared" ca="1" si="2068"/>
        <v>63700739.613203786</v>
      </c>
      <c r="Y2126" s="2">
        <f t="shared" ca="1" si="2069"/>
        <v>0.12338717624505388</v>
      </c>
      <c r="Z2126" s="2">
        <f t="shared" ca="1" si="2070"/>
        <v>0.12474204674307543</v>
      </c>
      <c r="AA2126" s="2">
        <f t="shared" ca="1" si="2071"/>
        <v>6129418.7913911948</v>
      </c>
      <c r="AB2126" s="2">
        <f t="shared" ca="1" si="2072"/>
        <v>6594182.1112431725</v>
      </c>
      <c r="AC2126" s="2">
        <f t="shared" ca="1" si="2073"/>
        <v>7017133.4847549563</v>
      </c>
      <c r="AD2126" s="2">
        <f t="shared" ca="1" si="2074"/>
        <v>7467212.9935438186</v>
      </c>
      <c r="AE2126" s="2">
        <f t="shared" ca="1" si="2075"/>
        <v>7946160.6383987432</v>
      </c>
      <c r="AF2126" s="2">
        <f t="shared" ca="1" si="2076"/>
        <v>993526.06614772079</v>
      </c>
      <c r="AG2126" s="2">
        <f t="shared" ca="1" si="2077"/>
        <v>1057250.9083204095</v>
      </c>
      <c r="AH2126" s="2">
        <f t="shared" ca="1" si="2078"/>
        <v>1125063.0670198596</v>
      </c>
      <c r="AI2126" s="2">
        <f t="shared" ca="1" si="2079"/>
        <v>1197224.7030584067</v>
      </c>
      <c r="AJ2126" s="2">
        <f t="shared" ca="1" si="2080"/>
        <v>1274014.7922640757</v>
      </c>
      <c r="AK2126" s="2">
        <f t="shared" ca="1" si="2081"/>
        <v>0</v>
      </c>
      <c r="AL2126" s="2">
        <f t="shared" ca="1" si="2082"/>
        <v>31862.421086344271</v>
      </c>
      <c r="AM2126" s="2">
        <f t="shared" ca="1" si="2083"/>
        <v>33906.0793497251</v>
      </c>
      <c r="AN2126" s="2">
        <f t="shared" ca="1" si="2084"/>
        <v>36080.818019273582</v>
      </c>
      <c r="AO2126" s="2">
        <f t="shared" ca="1" si="2085"/>
        <v>38395.04460283451</v>
      </c>
      <c r="AP2126" s="2">
        <f t="shared" ca="1" si="2086"/>
        <v>2065179.9106564533</v>
      </c>
      <c r="AQ2126" s="2">
        <f t="shared" ca="1" si="2087"/>
        <v>798385.3317926256</v>
      </c>
      <c r="AR2126" s="2">
        <f t="shared" ca="1" si="2088"/>
        <v>902655.33598924067</v>
      </c>
      <c r="AS2126" s="2">
        <f t="shared" ca="1" si="2089"/>
        <v>994991.53184044745</v>
      </c>
      <c r="AT2126" s="2">
        <f t="shared" ca="1" si="2090"/>
        <v>1093250.1787555292</v>
      </c>
      <c r="AU2126" s="2">
        <f t="shared" ca="1" si="2091"/>
        <v>1197811.1432243357</v>
      </c>
      <c r="AV2126" s="2">
        <f t="shared" ca="1" si="2092"/>
        <v>2272327.4827943956</v>
      </c>
      <c r="AW2126" s="2">
        <f t="shared" ca="1" si="2093"/>
        <v>2537233.5351907257</v>
      </c>
      <c r="AX2126" s="2">
        <f t="shared" ca="1" si="2094"/>
        <v>2797992.895888471</v>
      </c>
      <c r="AY2126" s="2">
        <f t="shared" ca="1" si="2095"/>
        <v>3075477.3830541559</v>
      </c>
      <c r="AZ2126" s="2">
        <f t="shared" ca="1" si="2096"/>
        <v>3370759.7476510433</v>
      </c>
      <c r="BA2126" s="2">
        <f t="shared" ca="1" si="2097"/>
        <v>61103364.526037551</v>
      </c>
      <c r="BB2126" s="2">
        <f t="shared" ca="1" si="2098"/>
        <v>1222067.2905207512</v>
      </c>
      <c r="BC2126" s="2">
        <f t="shared" ca="1" si="2099"/>
        <v>36934853.783778429</v>
      </c>
      <c r="BD2126" s="2">
        <f t="shared" ca="1" si="2100"/>
        <v>-16753730.778314684</v>
      </c>
      <c r="BE2126" s="2">
        <f t="shared" ca="1" si="2101"/>
        <v>2272327.4827943956</v>
      </c>
      <c r="BF2126" s="2">
        <f t="shared" ca="1" si="2102"/>
        <v>2537233.5351907257</v>
      </c>
      <c r="BG2126" s="2">
        <f t="shared" ca="1" si="2103"/>
        <v>2797992.895888471</v>
      </c>
      <c r="BH2126" s="2">
        <f t="shared" ca="1" si="2104"/>
        <v>3075477.3830541559</v>
      </c>
      <c r="BI2126" s="2">
        <f t="shared" ca="1" si="2105"/>
        <v>40305613.53142947</v>
      </c>
      <c r="BJ2126" s="2">
        <f t="shared" ca="1" si="2106"/>
        <v>0.29428986386767675</v>
      </c>
      <c r="BK2126" s="2">
        <f t="shared" ca="1" si="2107"/>
        <v>14114365.193199866</v>
      </c>
    </row>
    <row r="2127" spans="1:63" x14ac:dyDescent="0.3">
      <c r="A2127" s="2">
        <v>2126</v>
      </c>
      <c r="B2127" s="2">
        <f t="shared" ca="1" si="2046"/>
        <v>0.6505217505224441</v>
      </c>
      <c r="C2127" s="2">
        <f t="shared" ca="1" si="2047"/>
        <v>7.163963817197418</v>
      </c>
      <c r="D2127" s="2">
        <f t="shared" ca="1" si="2048"/>
        <v>0.91775944439750212</v>
      </c>
      <c r="E2127" s="2">
        <f t="shared" ca="1" si="2049"/>
        <v>8.0944372906627198</v>
      </c>
      <c r="F2127" s="2">
        <f t="shared" ca="1" si="2050"/>
        <v>7.9320697360462544E-2</v>
      </c>
      <c r="G2127" s="2">
        <f t="shared" ca="1" si="2051"/>
        <v>-2.2896686378170023E-3</v>
      </c>
      <c r="H2127" s="2">
        <f t="shared" ca="1" si="2052"/>
        <v>-2.2896686378170023E-3</v>
      </c>
      <c r="I2127" s="2">
        <f t="shared" ca="1" si="2053"/>
        <v>0.23894416774982286</v>
      </c>
      <c r="J2127" s="2">
        <f t="shared" ca="1" si="2054"/>
        <v>6.4514850329966868E-3</v>
      </c>
      <c r="K2127" s="2">
        <f t="shared" ca="1" si="2055"/>
        <v>6.4514850329966868E-3</v>
      </c>
      <c r="L2127" s="2">
        <f t="shared" ca="1" si="2056"/>
        <v>0.11985584910736868</v>
      </c>
      <c r="M2127" s="2">
        <f t="shared" ca="1" si="2057"/>
        <v>-2.351415411941693E-2</v>
      </c>
      <c r="N2127" s="2">
        <f t="shared" ca="1" si="2058"/>
        <v>-2.351415411941693E-2</v>
      </c>
      <c r="O2127" s="2">
        <f t="shared" si="2059"/>
        <v>6000000</v>
      </c>
      <c r="P2127" s="2">
        <f t="shared" ca="1" si="2060"/>
        <v>42983782.903184511</v>
      </c>
      <c r="Q2127" s="2">
        <f t="shared" ca="1" si="2061"/>
        <v>1074594.5725796127</v>
      </c>
      <c r="R2127" s="2">
        <f t="shared" ca="1" si="2062"/>
        <v>25790269.741910707</v>
      </c>
      <c r="S2127" s="2">
        <f t="shared" ca="1" si="2063"/>
        <v>17193513.161273804</v>
      </c>
      <c r="T2127" s="2">
        <f t="shared" ca="1" si="2064"/>
        <v>48824292.294029154</v>
      </c>
      <c r="U2127" s="2">
        <f t="shared" ca="1" si="2065"/>
        <v>48712500.843199909</v>
      </c>
      <c r="V2127" s="2">
        <f t="shared" ca="1" si="2066"/>
        <v>48600965.357749604</v>
      </c>
      <c r="W2127" s="2">
        <f t="shared" ca="1" si="2067"/>
        <v>48489685.251602337</v>
      </c>
      <c r="X2127" s="2">
        <f t="shared" ca="1" si="2068"/>
        <v>48378659.940024123</v>
      </c>
      <c r="Y2127" s="2">
        <f t="shared" ca="1" si="2069"/>
        <v>0.12322574251649834</v>
      </c>
      <c r="Z2127" s="2">
        <f t="shared" ca="1" si="2070"/>
        <v>0.12451603952309767</v>
      </c>
      <c r="AA2127" s="2">
        <f t="shared" ca="1" si="2071"/>
        <v>6016409.6707742903</v>
      </c>
      <c r="AB2127" s="2">
        <f t="shared" ca="1" si="2072"/>
        <v>6065487.6802608082</v>
      </c>
      <c r="AC2127" s="2">
        <f t="shared" ca="1" si="2073"/>
        <v>6051599.7233462501</v>
      </c>
      <c r="AD2127" s="2">
        <f t="shared" ca="1" si="2074"/>
        <v>6037743.5652510831</v>
      </c>
      <c r="AE2127" s="2">
        <f t="shared" ca="1" si="2075"/>
        <v>6023919.133166546</v>
      </c>
      <c r="AF2127" s="2">
        <f t="shared" ca="1" si="2076"/>
        <v>976485.84588058305</v>
      </c>
      <c r="AG2127" s="2">
        <f t="shared" ca="1" si="2077"/>
        <v>974250.01686399814</v>
      </c>
      <c r="AH2127" s="2">
        <f t="shared" ca="1" si="2078"/>
        <v>972019.30715499213</v>
      </c>
      <c r="AI2127" s="2">
        <f t="shared" ca="1" si="2079"/>
        <v>969793.70503204677</v>
      </c>
      <c r="AJ2127" s="2">
        <f t="shared" ca="1" si="2080"/>
        <v>967573.19880048244</v>
      </c>
      <c r="AK2127" s="2">
        <f t="shared" ca="1" si="2081"/>
        <v>0</v>
      </c>
      <c r="AL2127" s="2">
        <f t="shared" ca="1" si="2082"/>
        <v>0</v>
      </c>
      <c r="AM2127" s="2">
        <f t="shared" ca="1" si="2083"/>
        <v>0</v>
      </c>
      <c r="AN2127" s="2">
        <f t="shared" ca="1" si="2084"/>
        <v>0</v>
      </c>
      <c r="AO2127" s="2">
        <f t="shared" ca="1" si="2085"/>
        <v>0</v>
      </c>
      <c r="AP2127" s="2">
        <f t="shared" ca="1" si="2086"/>
        <v>2321124.2767719636</v>
      </c>
      <c r="AQ2127" s="2">
        <f t="shared" ca="1" si="2087"/>
        <v>706887.88251165347</v>
      </c>
      <c r="AR2127" s="2">
        <f t="shared" ca="1" si="2088"/>
        <v>720229.48052246019</v>
      </c>
      <c r="AS2127" s="2">
        <f t="shared" ca="1" si="2089"/>
        <v>717198.59624901647</v>
      </c>
      <c r="AT2127" s="2">
        <f t="shared" ca="1" si="2090"/>
        <v>714174.6516962389</v>
      </c>
      <c r="AU2127" s="2">
        <f t="shared" ca="1" si="2091"/>
        <v>711157.63097446598</v>
      </c>
      <c r="AV2127" s="2">
        <f t="shared" ca="1" si="2092"/>
        <v>2011911.6656100908</v>
      </c>
      <c r="AW2127" s="2">
        <f t="shared" ca="1" si="2093"/>
        <v>2049883.9061023863</v>
      </c>
      <c r="AX2127" s="2">
        <f t="shared" ca="1" si="2094"/>
        <v>2041257.543170278</v>
      </c>
      <c r="AY2127" s="2">
        <f t="shared" ca="1" si="2095"/>
        <v>2032650.931750834</v>
      </c>
      <c r="AZ2127" s="2">
        <f t="shared" ca="1" si="2096"/>
        <v>2024064.0266196337</v>
      </c>
      <c r="BA2127" s="2">
        <f t="shared" ca="1" si="2097"/>
        <v>48760235.667439938</v>
      </c>
      <c r="BB2127" s="2">
        <f t="shared" ca="1" si="2098"/>
        <v>975204.7133487988</v>
      </c>
      <c r="BC2127" s="2">
        <f t="shared" ca="1" si="2099"/>
        <v>21994761.212180432</v>
      </c>
      <c r="BD2127" s="2">
        <f t="shared" ca="1" si="2100"/>
        <v>-18768107.733853415</v>
      </c>
      <c r="BE2127" s="2">
        <f t="shared" ca="1" si="2101"/>
        <v>2011911.6656100908</v>
      </c>
      <c r="BF2127" s="2">
        <f t="shared" ca="1" si="2102"/>
        <v>2049883.9061023863</v>
      </c>
      <c r="BG2127" s="2">
        <f t="shared" ca="1" si="2103"/>
        <v>2041257.543170278</v>
      </c>
      <c r="BH2127" s="2">
        <f t="shared" ca="1" si="2104"/>
        <v>2032650.931750834</v>
      </c>
      <c r="BI2127" s="2">
        <f t="shared" ca="1" si="2105"/>
        <v>24018825.238800064</v>
      </c>
      <c r="BJ2127" s="2">
        <f t="shared" ca="1" si="2106"/>
        <v>0.13454093669924605</v>
      </c>
      <c r="BK2127" s="2">
        <f t="shared" ca="1" si="2107"/>
        <v>1036036.5646690242</v>
      </c>
    </row>
    <row r="2128" spans="1:63" x14ac:dyDescent="0.3">
      <c r="A2128" s="2">
        <v>2127</v>
      </c>
      <c r="B2128" s="2">
        <f t="shared" ca="1" si="2046"/>
        <v>0.78011526410057752</v>
      </c>
      <c r="C2128" s="2">
        <f t="shared" ca="1" si="2047"/>
        <v>7.3368488318649776</v>
      </c>
      <c r="D2128" s="2">
        <f t="shared" ca="1" si="2048"/>
        <v>0.72148807626102485</v>
      </c>
      <c r="E2128" s="2">
        <f t="shared" ca="1" si="2049"/>
        <v>7.7536596972707752</v>
      </c>
      <c r="F2128" s="2">
        <f t="shared" ca="1" si="2050"/>
        <v>0.86563663819914516</v>
      </c>
      <c r="G2128" s="2">
        <f t="shared" ca="1" si="2051"/>
        <v>7.3179985844761486E-2</v>
      </c>
      <c r="H2128" s="2">
        <f t="shared" ca="1" si="2052"/>
        <v>7.3179985844761486E-2</v>
      </c>
      <c r="I2128" s="2">
        <f t="shared" ca="1" si="2053"/>
        <v>0.23221322158019375</v>
      </c>
      <c r="J2128" s="2">
        <f t="shared" ca="1" si="2054"/>
        <v>6.3421121531412553E-3</v>
      </c>
      <c r="K2128" s="2">
        <f t="shared" ca="1" si="2055"/>
        <v>6.3421121531412553E-3</v>
      </c>
      <c r="L2128" s="2">
        <f t="shared" ca="1" si="2056"/>
        <v>0.57724520494769549</v>
      </c>
      <c r="M2128" s="2">
        <f t="shared" ca="1" si="2057"/>
        <v>3.8970201293833774E-3</v>
      </c>
      <c r="N2128" s="2">
        <f t="shared" ca="1" si="2058"/>
        <v>3.8970201293833774E-3</v>
      </c>
      <c r="O2128" s="2">
        <f t="shared" si="2059"/>
        <v>6000000</v>
      </c>
      <c r="P2128" s="2">
        <f t="shared" ca="1" si="2060"/>
        <v>44021092.991189867</v>
      </c>
      <c r="Q2128" s="2">
        <f t="shared" ca="1" si="2061"/>
        <v>1100527.3247797468</v>
      </c>
      <c r="R2128" s="2">
        <f t="shared" ca="1" si="2062"/>
        <v>26412655.794713918</v>
      </c>
      <c r="S2128" s="2">
        <f t="shared" ca="1" si="2063"/>
        <v>17608437.196475949</v>
      </c>
      <c r="T2128" s="2">
        <f t="shared" ca="1" si="2064"/>
        <v>50194851.006469168</v>
      </c>
      <c r="U2128" s="2">
        <f t="shared" ca="1" si="2065"/>
        <v>53868109.49260249</v>
      </c>
      <c r="V2128" s="2">
        <f t="shared" ca="1" si="2066"/>
        <v>57810176.982755199</v>
      </c>
      <c r="W2128" s="2">
        <f t="shared" ca="1" si="2067"/>
        <v>62040724.916036382</v>
      </c>
      <c r="X2128" s="2">
        <f t="shared" ca="1" si="2068"/>
        <v>66580864.287190668</v>
      </c>
      <c r="Y2128" s="2">
        <f t="shared" ca="1" si="2069"/>
        <v>0.12317105607657063</v>
      </c>
      <c r="Z2128" s="2">
        <f t="shared" ca="1" si="2070"/>
        <v>0.12443947850719887</v>
      </c>
      <c r="AA2128" s="2">
        <f t="shared" ca="1" si="2071"/>
        <v>6182552.8080729218</v>
      </c>
      <c r="AB2128" s="2">
        <f t="shared" ca="1" si="2072"/>
        <v>6703319.4534281427</v>
      </c>
      <c r="AC2128" s="2">
        <f t="shared" ca="1" si="2073"/>
        <v>7193868.2761429287</v>
      </c>
      <c r="AD2128" s="2">
        <f t="shared" ca="1" si="2074"/>
        <v>7720315.4547601473</v>
      </c>
      <c r="AE2128" s="2">
        <f t="shared" ca="1" si="2075"/>
        <v>8285288.0304565877</v>
      </c>
      <c r="AF2128" s="2">
        <f t="shared" ca="1" si="2076"/>
        <v>1003897.0201293834</v>
      </c>
      <c r="AG2128" s="2">
        <f t="shared" ca="1" si="2077"/>
        <v>1077362.1898520498</v>
      </c>
      <c r="AH2128" s="2">
        <f t="shared" ca="1" si="2078"/>
        <v>1156203.539655104</v>
      </c>
      <c r="AI2128" s="2">
        <f t="shared" ca="1" si="2079"/>
        <v>1240814.4983207276</v>
      </c>
      <c r="AJ2128" s="2">
        <f t="shared" ca="1" si="2080"/>
        <v>1331617.2857438135</v>
      </c>
      <c r="AK2128" s="2">
        <f t="shared" ca="1" si="2081"/>
        <v>0</v>
      </c>
      <c r="AL2128" s="2">
        <f t="shared" ca="1" si="2082"/>
        <v>36732.58486133322</v>
      </c>
      <c r="AM2128" s="2">
        <f t="shared" ca="1" si="2083"/>
        <v>39420.674901527091</v>
      </c>
      <c r="AN2128" s="2">
        <f t="shared" ca="1" si="2084"/>
        <v>42305.479332811832</v>
      </c>
      <c r="AO2128" s="2">
        <f t="shared" ca="1" si="2085"/>
        <v>45401.393711542863</v>
      </c>
      <c r="AP2128" s="2">
        <f t="shared" ca="1" si="2086"/>
        <v>2377139.0215242524</v>
      </c>
      <c r="AQ2128" s="2">
        <f t="shared" ca="1" si="2087"/>
        <v>728394.35926901433</v>
      </c>
      <c r="AR2128" s="2">
        <f t="shared" ca="1" si="2088"/>
        <v>844692.74293347867</v>
      </c>
      <c r="AS2128" s="2">
        <f t="shared" ca="1" si="2089"/>
        <v>951736.68589052872</v>
      </c>
      <c r="AT2128" s="2">
        <f t="shared" ca="1" si="2090"/>
        <v>1066614.1030779434</v>
      </c>
      <c r="AU2128" s="2">
        <f t="shared" ca="1" si="2091"/>
        <v>1189898.2480290155</v>
      </c>
      <c r="AV2128" s="2">
        <f t="shared" ca="1" si="2092"/>
        <v>2073122.4071502713</v>
      </c>
      <c r="AW2128" s="2">
        <f t="shared" ca="1" si="2093"/>
        <v>2367392.9142570291</v>
      </c>
      <c r="AX2128" s="2">
        <f t="shared" ca="1" si="2094"/>
        <v>2669368.3541715164</v>
      </c>
      <c r="AY2128" s="2">
        <f t="shared" ca="1" si="2095"/>
        <v>2993442.3525044117</v>
      </c>
      <c r="AZ2128" s="2">
        <f t="shared" ca="1" si="2096"/>
        <v>3341232.0814479627</v>
      </c>
      <c r="BA2128" s="2">
        <f t="shared" ca="1" si="2097"/>
        <v>64241303.882031202</v>
      </c>
      <c r="BB2128" s="2">
        <f t="shared" ca="1" si="2098"/>
        <v>1284826.077640624</v>
      </c>
      <c r="BC2128" s="2">
        <f t="shared" ca="1" si="2099"/>
        <v>36543822.009676665</v>
      </c>
      <c r="BD2128" s="2">
        <f t="shared" ca="1" si="2100"/>
        <v>-19208964.521255694</v>
      </c>
      <c r="BE2128" s="2">
        <f t="shared" ca="1" si="2101"/>
        <v>2073122.4071502713</v>
      </c>
      <c r="BF2128" s="2">
        <f t="shared" ca="1" si="2102"/>
        <v>2367392.9142570291</v>
      </c>
      <c r="BG2128" s="2">
        <f t="shared" ca="1" si="2103"/>
        <v>2669368.3541715164</v>
      </c>
      <c r="BH2128" s="2">
        <f t="shared" ca="1" si="2104"/>
        <v>2993442.3525044117</v>
      </c>
      <c r="BI2128" s="2">
        <f t="shared" ca="1" si="2105"/>
        <v>39885054.091124624</v>
      </c>
      <c r="BJ2128" s="2">
        <f t="shared" ca="1" si="2106"/>
        <v>0.24417883356386838</v>
      </c>
      <c r="BK2128" s="2">
        <f t="shared" ca="1" si="2107"/>
        <v>10963549.998398803</v>
      </c>
    </row>
    <row r="2129" spans="1:63" x14ac:dyDescent="0.3">
      <c r="A2129" s="2">
        <v>2128</v>
      </c>
      <c r="B2129" s="2">
        <f t="shared" ca="1" si="2046"/>
        <v>0.28045523512451975</v>
      </c>
      <c r="C2129" s="2">
        <f t="shared" ca="1" si="2047"/>
        <v>6.7489395638160925</v>
      </c>
      <c r="D2129" s="2">
        <f t="shared" ca="1" si="2048"/>
        <v>0.58893800876816926</v>
      </c>
      <c r="E2129" s="2">
        <f t="shared" ca="1" si="2049"/>
        <v>7.5932894715160399</v>
      </c>
      <c r="F2129" s="2">
        <f t="shared" ca="1" si="2050"/>
        <v>0.37434432654199956</v>
      </c>
      <c r="G2129" s="2">
        <f t="shared" ca="1" si="2051"/>
        <v>3.0388931208685539E-2</v>
      </c>
      <c r="H2129" s="2">
        <f t="shared" ca="1" si="2052"/>
        <v>3.0388931208685539E-2</v>
      </c>
      <c r="I2129" s="2">
        <f t="shared" ca="1" si="2053"/>
        <v>0.76509400390901328</v>
      </c>
      <c r="J2129" s="2">
        <f t="shared" ca="1" si="2054"/>
        <v>1.3613924935800523E-2</v>
      </c>
      <c r="K2129" s="2">
        <f t="shared" ca="1" si="2055"/>
        <v>1.3613924935800523E-2</v>
      </c>
      <c r="L2129" s="2">
        <f t="shared" ca="1" si="2056"/>
        <v>0.47499553630071856</v>
      </c>
      <c r="M2129" s="2">
        <f t="shared" ca="1" si="2057"/>
        <v>-1.2543597760330887E-3</v>
      </c>
      <c r="N2129" s="2">
        <f t="shared" ca="1" si="2058"/>
        <v>-1.2543597760330887E-3</v>
      </c>
      <c r="O2129" s="2">
        <f t="shared" si="2059"/>
        <v>6000000</v>
      </c>
      <c r="P2129" s="2">
        <f t="shared" ca="1" si="2060"/>
        <v>40493637.382896557</v>
      </c>
      <c r="Q2129" s="2">
        <f t="shared" ca="1" si="2061"/>
        <v>1012340.934572414</v>
      </c>
      <c r="R2129" s="2">
        <f t="shared" ca="1" si="2062"/>
        <v>24296182.429737933</v>
      </c>
      <c r="S2129" s="2">
        <f t="shared" ca="1" si="2063"/>
        <v>16197454.953158624</v>
      </c>
      <c r="T2129" s="2">
        <f t="shared" ca="1" si="2064"/>
        <v>49937282.011198349</v>
      </c>
      <c r="U2129" s="2">
        <f t="shared" ca="1" si="2065"/>
        <v>51454822.638985388</v>
      </c>
      <c r="V2129" s="2">
        <f t="shared" ca="1" si="2066"/>
        <v>53018479.704516634</v>
      </c>
      <c r="W2129" s="2">
        <f t="shared" ca="1" si="2067"/>
        <v>54629654.637046285</v>
      </c>
      <c r="X2129" s="2">
        <f t="shared" ca="1" si="2068"/>
        <v>56289791.453765735</v>
      </c>
      <c r="Y2129" s="2">
        <f t="shared" ca="1" si="2069"/>
        <v>0.12680696246790027</v>
      </c>
      <c r="Z2129" s="2">
        <f t="shared" ca="1" si="2070"/>
        <v>0.12952974745506035</v>
      </c>
      <c r="AA2129" s="2">
        <f t="shared" ca="1" si="2071"/>
        <v>6332395.0457429802</v>
      </c>
      <c r="AB2129" s="2">
        <f t="shared" ca="1" si="2072"/>
        <v>6664930.1817726996</v>
      </c>
      <c r="AC2129" s="2">
        <f t="shared" ca="1" si="2073"/>
        <v>6867470.2865772825</v>
      </c>
      <c r="AD2129" s="2">
        <f t="shared" ca="1" si="2074"/>
        <v>7076165.3686937718</v>
      </c>
      <c r="AE2129" s="2">
        <f t="shared" ca="1" si="2075"/>
        <v>7291202.47130429</v>
      </c>
      <c r="AF2129" s="2">
        <f t="shared" ca="1" si="2076"/>
        <v>998745.64022396703</v>
      </c>
      <c r="AG2129" s="2">
        <f t="shared" ca="1" si="2077"/>
        <v>1029096.4527797077</v>
      </c>
      <c r="AH2129" s="2">
        <f t="shared" ca="1" si="2078"/>
        <v>1060369.5940903327</v>
      </c>
      <c r="AI2129" s="2">
        <f t="shared" ca="1" si="2079"/>
        <v>1092593.0927409257</v>
      </c>
      <c r="AJ2129" s="2">
        <f t="shared" ca="1" si="2080"/>
        <v>1125795.8290753148</v>
      </c>
      <c r="AK2129" s="2">
        <f t="shared" ca="1" si="2081"/>
        <v>0</v>
      </c>
      <c r="AL2129" s="2">
        <f t="shared" ca="1" si="2082"/>
        <v>15175.406277870386</v>
      </c>
      <c r="AM2129" s="2">
        <f t="shared" ca="1" si="2083"/>
        <v>15636.570655312464</v>
      </c>
      <c r="AN2129" s="2">
        <f t="shared" ca="1" si="2084"/>
        <v>16111.749325296507</v>
      </c>
      <c r="AO2129" s="2">
        <f t="shared" ca="1" si="2085"/>
        <v>16601.368167194501</v>
      </c>
      <c r="AP2129" s="2">
        <f t="shared" ca="1" si="2086"/>
        <v>2186656.4186764141</v>
      </c>
      <c r="AQ2129" s="2">
        <f t="shared" ca="1" si="2087"/>
        <v>818218.17657907587</v>
      </c>
      <c r="AR2129" s="2">
        <f t="shared" ca="1" si="2088"/>
        <v>896786.10068231029</v>
      </c>
      <c r="AS2129" s="2">
        <f t="shared" ca="1" si="2089"/>
        <v>941315.51119073923</v>
      </c>
      <c r="AT2129" s="2">
        <f t="shared" ca="1" si="2090"/>
        <v>987198.12289187231</v>
      </c>
      <c r="AU2129" s="2">
        <f t="shared" ca="1" si="2091"/>
        <v>1034475.0581236659</v>
      </c>
      <c r="AV2129" s="2">
        <f t="shared" ca="1" si="2092"/>
        <v>2328774.8102635234</v>
      </c>
      <c r="AW2129" s="2">
        <f t="shared" ca="1" si="2093"/>
        <v>2537215.8033563974</v>
      </c>
      <c r="AX2129" s="2">
        <f t="shared" ca="1" si="2094"/>
        <v>2663492.1919644834</v>
      </c>
      <c r="AY2129" s="2">
        <f t="shared" ca="1" si="2095"/>
        <v>2793605.9850592627</v>
      </c>
      <c r="AZ2129" s="2">
        <f t="shared" ca="1" si="2096"/>
        <v>2927673.7972617005</v>
      </c>
      <c r="BA2129" s="2">
        <f t="shared" ca="1" si="2097"/>
        <v>55364210.960046597</v>
      </c>
      <c r="BB2129" s="2">
        <f t="shared" ca="1" si="2098"/>
        <v>1107284.219200932</v>
      </c>
      <c r="BC2129" s="2">
        <f t="shared" ca="1" si="2099"/>
        <v>29960744.311107732</v>
      </c>
      <c r="BD2129" s="2">
        <f t="shared" ca="1" si="2100"/>
        <v>-17709795.887731038</v>
      </c>
      <c r="BE2129" s="2">
        <f t="shared" ca="1" si="2101"/>
        <v>2328774.8102635234</v>
      </c>
      <c r="BF2129" s="2">
        <f t="shared" ca="1" si="2102"/>
        <v>2537215.8033563974</v>
      </c>
      <c r="BG2129" s="2">
        <f t="shared" ca="1" si="2103"/>
        <v>2663492.1919644834</v>
      </c>
      <c r="BH2129" s="2">
        <f t="shared" ca="1" si="2104"/>
        <v>2793605.9850592627</v>
      </c>
      <c r="BI2129" s="2">
        <f t="shared" ca="1" si="2105"/>
        <v>32888418.108369432</v>
      </c>
      <c r="BJ2129" s="2">
        <f t="shared" ca="1" si="2106"/>
        <v>0.23330788652568191</v>
      </c>
      <c r="BK2129" s="2">
        <f t="shared" ca="1" si="2107"/>
        <v>8725100.1568613201</v>
      </c>
    </row>
    <row r="2130" spans="1:63" x14ac:dyDescent="0.3">
      <c r="A2130" s="2">
        <v>2129</v>
      </c>
      <c r="B2130" s="2">
        <f t="shared" ca="1" si="2046"/>
        <v>0.99034925365403681</v>
      </c>
      <c r="C2130" s="2">
        <f t="shared" ca="1" si="2047"/>
        <v>7.861070187893576</v>
      </c>
      <c r="D2130" s="2">
        <f t="shared" ca="1" si="2048"/>
        <v>0.57512394451224946</v>
      </c>
      <c r="E2130" s="2">
        <f t="shared" ca="1" si="2049"/>
        <v>7.5781800007726554</v>
      </c>
      <c r="F2130" s="2">
        <f t="shared" ca="1" si="2050"/>
        <v>0.80950608837271332</v>
      </c>
      <c r="G2130" s="2">
        <f t="shared" ca="1" si="2051"/>
        <v>6.6282329433294082E-2</v>
      </c>
      <c r="H2130" s="2">
        <f t="shared" ca="1" si="2052"/>
        <v>6.6282329433294082E-2</v>
      </c>
      <c r="I2130" s="2">
        <f t="shared" ca="1" si="2053"/>
        <v>0.27936810603648721</v>
      </c>
      <c r="J2130" s="2">
        <f t="shared" ca="1" si="2054"/>
        <v>7.076401548403808E-3</v>
      </c>
      <c r="K2130" s="2">
        <f t="shared" ca="1" si="2055"/>
        <v>7.076401548403808E-3</v>
      </c>
      <c r="L2130" s="2">
        <f t="shared" ca="1" si="2056"/>
        <v>0.8688890071590164</v>
      </c>
      <c r="M2130" s="2">
        <f t="shared" ca="1" si="2057"/>
        <v>2.2423095535338021E-2</v>
      </c>
      <c r="N2130" s="2">
        <f t="shared" ca="1" si="2058"/>
        <v>2.2423095535338021E-2</v>
      </c>
      <c r="O2130" s="2">
        <f t="shared" si="2059"/>
        <v>6000000</v>
      </c>
      <c r="P2130" s="2">
        <f t="shared" ca="1" si="2060"/>
        <v>47166421.127361454</v>
      </c>
      <c r="Q2130" s="2">
        <f t="shared" ca="1" si="2061"/>
        <v>1179160.5281840365</v>
      </c>
      <c r="R2130" s="2">
        <f t="shared" ca="1" si="2062"/>
        <v>28299852.67641687</v>
      </c>
      <c r="S2130" s="2">
        <f t="shared" ca="1" si="2063"/>
        <v>18866568.450944584</v>
      </c>
      <c r="T2130" s="2">
        <f t="shared" ca="1" si="2064"/>
        <v>51121154.776766896</v>
      </c>
      <c r="U2130" s="2">
        <f t="shared" ca="1" si="2065"/>
        <v>54509583.998690978</v>
      </c>
      <c r="V2130" s="2">
        <f t="shared" ca="1" si="2066"/>
        <v>58122606.202564031</v>
      </c>
      <c r="W2130" s="2">
        <f t="shared" ca="1" si="2067"/>
        <v>61975107.934404008</v>
      </c>
      <c r="X2130" s="2">
        <f t="shared" ca="1" si="2068"/>
        <v>66082962.455176137</v>
      </c>
      <c r="Y2130" s="2">
        <f t="shared" ca="1" si="2069"/>
        <v>0.1235382007742019</v>
      </c>
      <c r="Z2130" s="2">
        <f t="shared" ca="1" si="2070"/>
        <v>0.12495348108388266</v>
      </c>
      <c r="AA2130" s="2">
        <f t="shared" ca="1" si="2071"/>
        <v>6315415.4826212795</v>
      </c>
      <c r="AB2130" s="2">
        <f t="shared" ca="1" si="2072"/>
        <v>6811162.2730707461</v>
      </c>
      <c r="AC2130" s="2">
        <f t="shared" ca="1" si="2073"/>
        <v>7262621.9746780451</v>
      </c>
      <c r="AD2130" s="2">
        <f t="shared" ca="1" si="2074"/>
        <v>7744005.4769531367</v>
      </c>
      <c r="AE2130" s="2">
        <f t="shared" ca="1" si="2075"/>
        <v>8257296.1991097797</v>
      </c>
      <c r="AF2130" s="2">
        <f t="shared" ca="1" si="2076"/>
        <v>1022423.0955353379</v>
      </c>
      <c r="AG2130" s="2">
        <f t="shared" ca="1" si="2077"/>
        <v>1090191.6799738195</v>
      </c>
      <c r="AH2130" s="2">
        <f t="shared" ca="1" si="2078"/>
        <v>1162452.1240512806</v>
      </c>
      <c r="AI2130" s="2">
        <f t="shared" ca="1" si="2079"/>
        <v>1239502.1586880803</v>
      </c>
      <c r="AJ2130" s="2">
        <f t="shared" ca="1" si="2080"/>
        <v>1321659.2491035229</v>
      </c>
      <c r="AK2130" s="2">
        <f t="shared" ca="1" si="2081"/>
        <v>0</v>
      </c>
      <c r="AL2130" s="2">
        <f t="shared" ca="1" si="2082"/>
        <v>33884.292219240815</v>
      </c>
      <c r="AM2130" s="2">
        <f t="shared" ca="1" si="2083"/>
        <v>36130.222038730535</v>
      </c>
      <c r="AN2130" s="2">
        <f t="shared" ca="1" si="2084"/>
        <v>38525.017318399776</v>
      </c>
      <c r="AO2130" s="2">
        <f t="shared" ca="1" si="2085"/>
        <v>41078.54520772129</v>
      </c>
      <c r="AP2130" s="2">
        <f t="shared" ca="1" si="2086"/>
        <v>2546986.7408775184</v>
      </c>
      <c r="AQ2130" s="2">
        <f t="shared" ca="1" si="2087"/>
        <v>713961.46801419009</v>
      </c>
      <c r="AR2130" s="2">
        <f t="shared" ca="1" si="2088"/>
        <v>825235.80157704616</v>
      </c>
      <c r="AS2130" s="2">
        <f t="shared" ca="1" si="2089"/>
        <v>923827.60853480408</v>
      </c>
      <c r="AT2130" s="2">
        <f t="shared" ca="1" si="2090"/>
        <v>1028954.3101207599</v>
      </c>
      <c r="AU2130" s="2">
        <f t="shared" ca="1" si="2091"/>
        <v>1141049.054373472</v>
      </c>
      <c r="AV2130" s="2">
        <f t="shared" ca="1" si="2092"/>
        <v>2032044.1781942332</v>
      </c>
      <c r="AW2130" s="2">
        <f t="shared" ca="1" si="2093"/>
        <v>2314863.7584231207</v>
      </c>
      <c r="AX2130" s="2">
        <f t="shared" ca="1" si="2094"/>
        <v>2593225.2791757118</v>
      </c>
      <c r="AY2130" s="2">
        <f t="shared" ca="1" si="2095"/>
        <v>2890037.2499483787</v>
      </c>
      <c r="AZ2130" s="2">
        <f t="shared" ca="1" si="2096"/>
        <v>3206522.6095475452</v>
      </c>
      <c r="BA2130" s="2">
        <f t="shared" ca="1" si="2097"/>
        <v>62575276.916549794</v>
      </c>
      <c r="BB2130" s="2">
        <f t="shared" ca="1" si="2098"/>
        <v>1251505.5383309959</v>
      </c>
      <c r="BC2130" s="2">
        <f t="shared" ca="1" si="2099"/>
        <v>33023918.701801933</v>
      </c>
      <c r="BD2130" s="2">
        <f t="shared" ca="1" si="2100"/>
        <v>-20545728.979128622</v>
      </c>
      <c r="BE2130" s="2">
        <f t="shared" ca="1" si="2101"/>
        <v>2032044.1781942332</v>
      </c>
      <c r="BF2130" s="2">
        <f t="shared" ca="1" si="2102"/>
        <v>2314863.7584231207</v>
      </c>
      <c r="BG2130" s="2">
        <f t="shared" ca="1" si="2103"/>
        <v>2593225.2791757118</v>
      </c>
      <c r="BH2130" s="2">
        <f t="shared" ca="1" si="2104"/>
        <v>2890037.2499483787</v>
      </c>
      <c r="BI2130" s="2">
        <f t="shared" ca="1" si="2105"/>
        <v>36230441.311349481</v>
      </c>
      <c r="BJ2130" s="2">
        <f t="shared" ca="1" si="2106"/>
        <v>0.20288773200534971</v>
      </c>
      <c r="BK2130" s="2">
        <f t="shared" ca="1" si="2107"/>
        <v>7354594.2416025661</v>
      </c>
    </row>
    <row r="2131" spans="1:63" x14ac:dyDescent="0.3">
      <c r="A2131" s="2">
        <v>2130</v>
      </c>
      <c r="B2131" s="2">
        <f t="shared" ca="1" si="2046"/>
        <v>0.81885775105078384</v>
      </c>
      <c r="C2131" s="2">
        <f t="shared" ca="1" si="2047"/>
        <v>7.3980992624207609</v>
      </c>
      <c r="D2131" s="2">
        <f t="shared" ca="1" si="2048"/>
        <v>2.7635425760359378E-2</v>
      </c>
      <c r="E2131" s="2">
        <f t="shared" ca="1" si="2049"/>
        <v>6.7350975361859815</v>
      </c>
      <c r="F2131" s="2">
        <f t="shared" ca="1" si="2050"/>
        <v>0.16195347239993929</v>
      </c>
      <c r="G2131" s="2">
        <f t="shared" ca="1" si="2051"/>
        <v>1.0406170042164761E-2</v>
      </c>
      <c r="H2131" s="2">
        <f t="shared" ca="1" si="2052"/>
        <v>1.0406170042164761E-2</v>
      </c>
      <c r="I2131" s="2">
        <f t="shared" ca="1" si="2053"/>
        <v>0.78839641843155417</v>
      </c>
      <c r="J2131" s="2">
        <f t="shared" ca="1" si="2054"/>
        <v>1.4004347807911655E-2</v>
      </c>
      <c r="K2131" s="2">
        <f t="shared" ca="1" si="2055"/>
        <v>1.4004347807911655E-2</v>
      </c>
      <c r="L2131" s="2">
        <f t="shared" ca="1" si="2056"/>
        <v>0.88883543277025301</v>
      </c>
      <c r="M2131" s="2">
        <f t="shared" ca="1" si="2057"/>
        <v>2.4407163017546699E-2</v>
      </c>
      <c r="N2131" s="2">
        <f t="shared" ca="1" si="2058"/>
        <v>2.4407163017546699E-2</v>
      </c>
      <c r="O2131" s="2">
        <f t="shared" si="2059"/>
        <v>6000000</v>
      </c>
      <c r="P2131" s="2">
        <f t="shared" ca="1" si="2060"/>
        <v>44388595.574524567</v>
      </c>
      <c r="Q2131" s="2">
        <f t="shared" ca="1" si="2061"/>
        <v>1109714.8893631143</v>
      </c>
      <c r="R2131" s="2">
        <f t="shared" ca="1" si="2062"/>
        <v>26633157.344714738</v>
      </c>
      <c r="S2131" s="2">
        <f t="shared" ca="1" si="2063"/>
        <v>17755438.229809828</v>
      </c>
      <c r="T2131" s="2">
        <f t="shared" ca="1" si="2064"/>
        <v>51220358.150877334</v>
      </c>
      <c r="U2131" s="2">
        <f t="shared" ca="1" si="2065"/>
        <v>51753365.907415941</v>
      </c>
      <c r="V2131" s="2">
        <f t="shared" ca="1" si="2066"/>
        <v>52291920.233302884</v>
      </c>
      <c r="W2131" s="2">
        <f t="shared" ca="1" si="2067"/>
        <v>52836078.847081944</v>
      </c>
      <c r="X2131" s="2">
        <f t="shared" ca="1" si="2068"/>
        <v>53385900.0679259</v>
      </c>
      <c r="Y2131" s="2">
        <f t="shared" ca="1" si="2069"/>
        <v>0.12700217390395582</v>
      </c>
      <c r="Z2131" s="2">
        <f t="shared" ca="1" si="2070"/>
        <v>0.12980304346553814</v>
      </c>
      <c r="AA2131" s="2">
        <f t="shared" ca="1" si="2071"/>
        <v>6505096.833300624</v>
      </c>
      <c r="AB2131" s="2">
        <f t="shared" ca="1" si="2072"/>
        <v>6717744.4043682115</v>
      </c>
      <c r="AC2131" s="2">
        <f t="shared" ca="1" si="2073"/>
        <v>6787650.3949398678</v>
      </c>
      <c r="AD2131" s="2">
        <f t="shared" ca="1" si="2074"/>
        <v>6858283.8391363779</v>
      </c>
      <c r="AE2131" s="2">
        <f t="shared" ca="1" si="2075"/>
        <v>6929652.306963861</v>
      </c>
      <c r="AF2131" s="2">
        <f t="shared" ca="1" si="2076"/>
        <v>1024407.1630175468</v>
      </c>
      <c r="AG2131" s="2">
        <f t="shared" ca="1" si="2077"/>
        <v>1035067.3181483188</v>
      </c>
      <c r="AH2131" s="2">
        <f t="shared" ca="1" si="2078"/>
        <v>1045838.4046660577</v>
      </c>
      <c r="AI2131" s="2">
        <f t="shared" ca="1" si="2079"/>
        <v>1056721.576941639</v>
      </c>
      <c r="AJ2131" s="2">
        <f t="shared" ca="1" si="2080"/>
        <v>1067718.0013585179</v>
      </c>
      <c r="AK2131" s="2">
        <f t="shared" ca="1" si="2081"/>
        <v>0</v>
      </c>
      <c r="AL2131" s="2">
        <f t="shared" ca="1" si="2082"/>
        <v>5330.0775653860719</v>
      </c>
      <c r="AM2131" s="2">
        <f t="shared" ca="1" si="2083"/>
        <v>5385.5432588694248</v>
      </c>
      <c r="AN2131" s="2">
        <f t="shared" ca="1" si="2084"/>
        <v>5441.5861377906058</v>
      </c>
      <c r="AO2131" s="2">
        <f t="shared" ca="1" si="2085"/>
        <v>5498.2122084395587</v>
      </c>
      <c r="AP2131" s="2">
        <f t="shared" ca="1" si="2086"/>
        <v>2396984.1610243265</v>
      </c>
      <c r="AQ2131" s="2">
        <f t="shared" ca="1" si="2087"/>
        <v>801763.43240727519</v>
      </c>
      <c r="AR2131" s="2">
        <f t="shared" ca="1" si="2088"/>
        <v>854280.1605508473</v>
      </c>
      <c r="AS2131" s="2">
        <f t="shared" ca="1" si="2089"/>
        <v>869655.23560486571</v>
      </c>
      <c r="AT2131" s="2">
        <f t="shared" ca="1" si="2090"/>
        <v>885190.30630430719</v>
      </c>
      <c r="AU2131" s="2">
        <f t="shared" ca="1" si="2091"/>
        <v>900887.03759106423</v>
      </c>
      <c r="AV2131" s="2">
        <f t="shared" ca="1" si="2092"/>
        <v>2281942.076851476</v>
      </c>
      <c r="AW2131" s="2">
        <f t="shared" ca="1" si="2093"/>
        <v>2426082.6870793328</v>
      </c>
      <c r="AX2131" s="2">
        <f t="shared" ca="1" si="2094"/>
        <v>2469787.050385749</v>
      </c>
      <c r="AY2131" s="2">
        <f t="shared" ca="1" si="2095"/>
        <v>2513946.2087283153</v>
      </c>
      <c r="AZ2131" s="2">
        <f t="shared" ca="1" si="2096"/>
        <v>2558564.8947815122</v>
      </c>
      <c r="BA2131" s="2">
        <f t="shared" ca="1" si="2097"/>
        <v>46671884.179257803</v>
      </c>
      <c r="BB2131" s="2">
        <f t="shared" ca="1" si="2098"/>
        <v>933437.6835851561</v>
      </c>
      <c r="BC2131" s="2">
        <f t="shared" ca="1" si="2099"/>
        <v>19105289.150957908</v>
      </c>
      <c r="BD2131" s="2">
        <f t="shared" ca="1" si="2100"/>
        <v>-19365153.119172942</v>
      </c>
      <c r="BE2131" s="2">
        <f t="shared" ca="1" si="2101"/>
        <v>2281942.076851476</v>
      </c>
      <c r="BF2131" s="2">
        <f t="shared" ca="1" si="2102"/>
        <v>2426082.6870793328</v>
      </c>
      <c r="BG2131" s="2">
        <f t="shared" ca="1" si="2103"/>
        <v>2469787.050385749</v>
      </c>
      <c r="BH2131" s="2">
        <f t="shared" ca="1" si="2104"/>
        <v>2513946.2087283153</v>
      </c>
      <c r="BI2131" s="2">
        <f t="shared" ca="1" si="2105"/>
        <v>21663854.04573942</v>
      </c>
      <c r="BJ2131" s="2">
        <f t="shared" ca="1" si="2106"/>
        <v>0.12364065767937826</v>
      </c>
      <c r="BK2131" s="2">
        <f t="shared" ca="1" si="2107"/>
        <v>254609.9147769548</v>
      </c>
    </row>
    <row r="2132" spans="1:63" x14ac:dyDescent="0.3">
      <c r="A2132" s="2">
        <v>2131</v>
      </c>
      <c r="B2132" s="2">
        <f t="shared" ca="1" si="2046"/>
        <v>0.46307315037153363</v>
      </c>
      <c r="C2132" s="2">
        <f t="shared" ca="1" si="2047"/>
        <v>6.9623649519506969</v>
      </c>
      <c r="D2132" s="2">
        <f t="shared" ca="1" si="2048"/>
        <v>0.18083251387202559</v>
      </c>
      <c r="E2132" s="2">
        <f t="shared" ca="1" si="2049"/>
        <v>7.1013859224691336</v>
      </c>
      <c r="F2132" s="2">
        <f t="shared" ca="1" si="2050"/>
        <v>0.1555440386570407</v>
      </c>
      <c r="G2132" s="2">
        <f t="shared" ca="1" si="2051"/>
        <v>9.6117533042448591E-3</v>
      </c>
      <c r="H2132" s="2">
        <f t="shared" ca="1" si="2052"/>
        <v>9.6117533042448591E-3</v>
      </c>
      <c r="I2132" s="2">
        <f t="shared" ca="1" si="2053"/>
        <v>0.64086059783310201</v>
      </c>
      <c r="J2132" s="2">
        <f t="shared" ca="1" si="2054"/>
        <v>1.1803800420718035E-2</v>
      </c>
      <c r="K2132" s="2">
        <f t="shared" ca="1" si="2055"/>
        <v>1.1803800420718035E-2</v>
      </c>
      <c r="L2132" s="2">
        <f t="shared" ca="1" si="2056"/>
        <v>0.48444886338377302</v>
      </c>
      <c r="M2132" s="2">
        <f t="shared" ca="1" si="2057"/>
        <v>-7.7981591988705162E-4</v>
      </c>
      <c r="N2132" s="2">
        <f t="shared" ca="1" si="2058"/>
        <v>-7.7981591988705162E-4</v>
      </c>
      <c r="O2132" s="2">
        <f t="shared" si="2059"/>
        <v>6000000</v>
      </c>
      <c r="P2132" s="2">
        <f t="shared" ca="1" si="2060"/>
        <v>41774189.71170418</v>
      </c>
      <c r="Q2132" s="2">
        <f t="shared" ca="1" si="2061"/>
        <v>1044354.7427926045</v>
      </c>
      <c r="R2132" s="2">
        <f t="shared" ca="1" si="2062"/>
        <v>25064513.827022508</v>
      </c>
      <c r="S2132" s="2">
        <f t="shared" ca="1" si="2063"/>
        <v>16709675.884681672</v>
      </c>
      <c r="T2132" s="2">
        <f t="shared" ca="1" si="2064"/>
        <v>49961009.204005644</v>
      </c>
      <c r="U2132" s="2">
        <f t="shared" ca="1" si="2065"/>
        <v>50441222.099305652</v>
      </c>
      <c r="V2132" s="2">
        <f t="shared" ca="1" si="2066"/>
        <v>50926050.682488799</v>
      </c>
      <c r="W2132" s="2">
        <f t="shared" ca="1" si="2067"/>
        <v>51415539.318408348</v>
      </c>
      <c r="X2132" s="2">
        <f t="shared" ca="1" si="2068"/>
        <v>51909732.798341587</v>
      </c>
      <c r="Y2132" s="2">
        <f t="shared" ca="1" si="2069"/>
        <v>0.12590190021035902</v>
      </c>
      <c r="Z2132" s="2">
        <f t="shared" ca="1" si="2070"/>
        <v>0.12826266029450262</v>
      </c>
      <c r="AA2132" s="2">
        <f t="shared" ca="1" si="2071"/>
        <v>6290185.9952115472</v>
      </c>
      <c r="AB2132" s="2">
        <f t="shared" ca="1" si="2072"/>
        <v>6469725.3349627992</v>
      </c>
      <c r="AC2132" s="2">
        <f t="shared" ca="1" si="2073"/>
        <v>6531910.7388286842</v>
      </c>
      <c r="AD2132" s="2">
        <f t="shared" ca="1" si="2074"/>
        <v>6594693.8534556525</v>
      </c>
      <c r="AE2132" s="2">
        <f t="shared" ca="1" si="2075"/>
        <v>6658080.4238920873</v>
      </c>
      <c r="AF2132" s="2">
        <f t="shared" ca="1" si="2076"/>
        <v>999220.18408011284</v>
      </c>
      <c r="AG2132" s="2">
        <f t="shared" ca="1" si="2077"/>
        <v>1008824.4419861131</v>
      </c>
      <c r="AH2132" s="2">
        <f t="shared" ca="1" si="2078"/>
        <v>1018521.013649776</v>
      </c>
      <c r="AI2132" s="2">
        <f t="shared" ca="1" si="2079"/>
        <v>1028310.786368167</v>
      </c>
      <c r="AJ2132" s="2">
        <f t="shared" ca="1" si="2080"/>
        <v>1038194.6559668317</v>
      </c>
      <c r="AK2132" s="2">
        <f t="shared" ca="1" si="2081"/>
        <v>0</v>
      </c>
      <c r="AL2132" s="2">
        <f t="shared" ca="1" si="2082"/>
        <v>4802.128953000084</v>
      </c>
      <c r="AM2132" s="2">
        <f t="shared" ca="1" si="2083"/>
        <v>4848.2858318314702</v>
      </c>
      <c r="AN2132" s="2">
        <f t="shared" ca="1" si="2084"/>
        <v>4894.886359195486</v>
      </c>
      <c r="AO2132" s="2">
        <f t="shared" ca="1" si="2085"/>
        <v>4941.9347993323954</v>
      </c>
      <c r="AP2132" s="2">
        <f t="shared" ca="1" si="2086"/>
        <v>2255806.2444320256</v>
      </c>
      <c r="AQ2132" s="2">
        <f t="shared" ca="1" si="2087"/>
        <v>789141.48734184634</v>
      </c>
      <c r="AR2132" s="2">
        <f t="shared" ca="1" si="2088"/>
        <v>833324.60862161184</v>
      </c>
      <c r="AS2132" s="2">
        <f t="shared" ca="1" si="2089"/>
        <v>846971.70499418955</v>
      </c>
      <c r="AT2132" s="2">
        <f t="shared" ca="1" si="2090"/>
        <v>860749.97389041958</v>
      </c>
      <c r="AU2132" s="2">
        <f t="shared" ca="1" si="2091"/>
        <v>874660.67610823992</v>
      </c>
      <c r="AV2132" s="2">
        <f t="shared" ca="1" si="2092"/>
        <v>2246018.0793575626</v>
      </c>
      <c r="AW2132" s="2">
        <f t="shared" ca="1" si="2093"/>
        <v>2366967.910970048</v>
      </c>
      <c r="AX2132" s="2">
        <f t="shared" ca="1" si="2094"/>
        <v>2405763.489920862</v>
      </c>
      <c r="AY2132" s="2">
        <f t="shared" ca="1" si="2095"/>
        <v>2444931.9624058446</v>
      </c>
      <c r="AZ2132" s="2">
        <f t="shared" ca="1" si="2096"/>
        <v>2484476.912585658</v>
      </c>
      <c r="BA2132" s="2">
        <f t="shared" ca="1" si="2097"/>
        <v>47281598.592894591</v>
      </c>
      <c r="BB2132" s="2">
        <f t="shared" ca="1" si="2098"/>
        <v>945631.97185789188</v>
      </c>
      <c r="BC2132" s="2">
        <f t="shared" ca="1" si="2099"/>
        <v>21271452.794014193</v>
      </c>
      <c r="BD2132" s="2">
        <f t="shared" ca="1" si="2100"/>
        <v>-18254030.627474278</v>
      </c>
      <c r="BE2132" s="2">
        <f t="shared" ca="1" si="2101"/>
        <v>2246018.0793575626</v>
      </c>
      <c r="BF2132" s="2">
        <f t="shared" ca="1" si="2102"/>
        <v>2366967.910970048</v>
      </c>
      <c r="BG2132" s="2">
        <f t="shared" ca="1" si="2103"/>
        <v>2405763.489920862</v>
      </c>
      <c r="BH2132" s="2">
        <f t="shared" ca="1" si="2104"/>
        <v>2444931.9624058446</v>
      </c>
      <c r="BI2132" s="2">
        <f t="shared" ca="1" si="2105"/>
        <v>23755929.70659985</v>
      </c>
      <c r="BJ2132" s="2">
        <f t="shared" ca="1" si="2106"/>
        <v>0.15433369896532723</v>
      </c>
      <c r="BK2132" s="2">
        <f t="shared" ca="1" si="2107"/>
        <v>2384200.8783545084</v>
      </c>
    </row>
    <row r="2133" spans="1:63" x14ac:dyDescent="0.3">
      <c r="A2133" s="2">
        <v>2132</v>
      </c>
      <c r="B2133" s="2">
        <f t="shared" ca="1" si="2046"/>
        <v>0.24846083353809523</v>
      </c>
      <c r="C2133" s="2">
        <f t="shared" ca="1" si="2047"/>
        <v>6.7049267104289569</v>
      </c>
      <c r="D2133" s="2">
        <f t="shared" ca="1" si="2048"/>
        <v>0.85799686491231009</v>
      </c>
      <c r="E2133" s="2">
        <f t="shared" ca="1" si="2049"/>
        <v>7.9670776133662802</v>
      </c>
      <c r="F2133" s="2">
        <f t="shared" ca="1" si="2050"/>
        <v>0.36612837252144659</v>
      </c>
      <c r="G2133" s="2">
        <f t="shared" ca="1" si="2051"/>
        <v>2.973624684607399E-2</v>
      </c>
      <c r="H2133" s="2">
        <f t="shared" ca="1" si="2052"/>
        <v>2.973624684607399E-2</v>
      </c>
      <c r="I2133" s="2">
        <f t="shared" ca="1" si="2053"/>
        <v>0.49542190519887463</v>
      </c>
      <c r="J2133" s="2">
        <f t="shared" ca="1" si="2054"/>
        <v>9.9426208312400222E-3</v>
      </c>
      <c r="K2133" s="2">
        <f t="shared" ca="1" si="2055"/>
        <v>9.9426208312400222E-3</v>
      </c>
      <c r="L2133" s="2">
        <f t="shared" ca="1" si="2056"/>
        <v>0.44688072134904777</v>
      </c>
      <c r="M2133" s="2">
        <f t="shared" ca="1" si="2057"/>
        <v>-2.6709236571527042E-3</v>
      </c>
      <c r="N2133" s="2">
        <f t="shared" ca="1" si="2058"/>
        <v>-2.6709236571527042E-3</v>
      </c>
      <c r="O2133" s="2">
        <f t="shared" si="2059"/>
        <v>6000000</v>
      </c>
      <c r="P2133" s="2">
        <f t="shared" ca="1" si="2060"/>
        <v>40229560.262573741</v>
      </c>
      <c r="Q2133" s="2">
        <f t="shared" ca="1" si="2061"/>
        <v>1005739.0065643436</v>
      </c>
      <c r="R2133" s="2">
        <f t="shared" ca="1" si="2062"/>
        <v>24137736.157544244</v>
      </c>
      <c r="S2133" s="2">
        <f t="shared" ca="1" si="2063"/>
        <v>16091824.105029497</v>
      </c>
      <c r="T2133" s="2">
        <f t="shared" ca="1" si="2064"/>
        <v>49866453.817142367</v>
      </c>
      <c r="U2133" s="2">
        <f t="shared" ca="1" si="2065"/>
        <v>51349294.997187264</v>
      </c>
      <c r="V2133" s="2">
        <f t="shared" ca="1" si="2066"/>
        <v>52876230.308595501</v>
      </c>
      <c r="W2133" s="2">
        <f t="shared" ca="1" si="2067"/>
        <v>54448570.945341758</v>
      </c>
      <c r="X2133" s="2">
        <f t="shared" ca="1" si="2068"/>
        <v>56067667.091388412</v>
      </c>
      <c r="Y2133" s="2">
        <f t="shared" ca="1" si="2069"/>
        <v>0.12497131041562001</v>
      </c>
      <c r="Z2133" s="2">
        <f t="shared" ca="1" si="2070"/>
        <v>0.12695983458186802</v>
      </c>
      <c r="AA2133" s="2">
        <f t="shared" ca="1" si="2071"/>
        <v>6231876.0793082779</v>
      </c>
      <c r="AB2133" s="2">
        <f t="shared" ca="1" si="2072"/>
        <v>6519297.9987384379</v>
      </c>
      <c r="AC2133" s="2">
        <f t="shared" ca="1" si="2073"/>
        <v>6713157.4532920411</v>
      </c>
      <c r="AD2133" s="2">
        <f t="shared" ca="1" si="2074"/>
        <v>6912781.5604396947</v>
      </c>
      <c r="AE2133" s="2">
        <f t="shared" ca="1" si="2075"/>
        <v>7118341.7393139182</v>
      </c>
      <c r="AF2133" s="2">
        <f t="shared" ca="1" si="2076"/>
        <v>997329.07634284731</v>
      </c>
      <c r="AG2133" s="2">
        <f t="shared" ca="1" si="2077"/>
        <v>1026985.8999437453</v>
      </c>
      <c r="AH2133" s="2">
        <f t="shared" ca="1" si="2078"/>
        <v>1057524.60617191</v>
      </c>
      <c r="AI2133" s="2">
        <f t="shared" ca="1" si="2079"/>
        <v>1088971.4189068351</v>
      </c>
      <c r="AJ2133" s="2">
        <f t="shared" ca="1" si="2080"/>
        <v>1121353.3418277684</v>
      </c>
      <c r="AK2133" s="2">
        <f t="shared" ca="1" si="2081"/>
        <v>0</v>
      </c>
      <c r="AL2133" s="2">
        <f t="shared" ca="1" si="2082"/>
        <v>14828.41180044897</v>
      </c>
      <c r="AM2133" s="2">
        <f t="shared" ca="1" si="2083"/>
        <v>15269.353114082367</v>
      </c>
      <c r="AN2133" s="2">
        <f t="shared" ca="1" si="2084"/>
        <v>15723.406367462576</v>
      </c>
      <c r="AO2133" s="2">
        <f t="shared" ca="1" si="2085"/>
        <v>16190.961460466535</v>
      </c>
      <c r="AP2133" s="2">
        <f t="shared" ca="1" si="2086"/>
        <v>2172396.2541789818</v>
      </c>
      <c r="AQ2133" s="2">
        <f t="shared" ca="1" si="2087"/>
        <v>796159.19468447671</v>
      </c>
      <c r="AR2133" s="2">
        <f t="shared" ca="1" si="2088"/>
        <v>863178.11960008473</v>
      </c>
      <c r="AS2133" s="2">
        <f t="shared" ca="1" si="2089"/>
        <v>905641.51416469889</v>
      </c>
      <c r="AT2133" s="2">
        <f t="shared" ca="1" si="2090"/>
        <v>949367.61071200832</v>
      </c>
      <c r="AU2133" s="2">
        <f t="shared" ca="1" si="2091"/>
        <v>994393.95725986385</v>
      </c>
      <c r="AV2133" s="2">
        <f t="shared" ca="1" si="2092"/>
        <v>2265991.5541019724</v>
      </c>
      <c r="AW2133" s="2">
        <f t="shared" ca="1" si="2093"/>
        <v>2441909.313215177</v>
      </c>
      <c r="AX2133" s="2">
        <f t="shared" ca="1" si="2094"/>
        <v>2562325.7256623679</v>
      </c>
      <c r="AY2133" s="2">
        <f t="shared" ca="1" si="2095"/>
        <v>2686322.8702744073</v>
      </c>
      <c r="AZ2133" s="2">
        <f t="shared" ca="1" si="2096"/>
        <v>2814007.2245868384</v>
      </c>
      <c r="BA2133" s="2">
        <f t="shared" ca="1" si="2097"/>
        <v>56712381.115578704</v>
      </c>
      <c r="BB2133" s="2">
        <f t="shared" ca="1" si="2098"/>
        <v>1134247.6223115742</v>
      </c>
      <c r="BC2133" s="2">
        <f t="shared" ca="1" si="2099"/>
        <v>31440397.335722886</v>
      </c>
      <c r="BD2133" s="2">
        <f t="shared" ca="1" si="2100"/>
        <v>-17597563.111593843</v>
      </c>
      <c r="BE2133" s="2">
        <f t="shared" ca="1" si="2101"/>
        <v>2265991.5541019724</v>
      </c>
      <c r="BF2133" s="2">
        <f t="shared" ca="1" si="2102"/>
        <v>2441909.313215177</v>
      </c>
      <c r="BG2133" s="2">
        <f t="shared" ca="1" si="2103"/>
        <v>2562325.7256623679</v>
      </c>
      <c r="BH2133" s="2">
        <f t="shared" ca="1" si="2104"/>
        <v>2686322.8702744073</v>
      </c>
      <c r="BI2133" s="2">
        <f t="shared" ca="1" si="2105"/>
        <v>34254404.560309723</v>
      </c>
      <c r="BJ2133" s="2">
        <f t="shared" ca="1" si="2106"/>
        <v>0.23970008577907742</v>
      </c>
      <c r="BK2133" s="2">
        <f t="shared" ca="1" si="2107"/>
        <v>9340207.4498217851</v>
      </c>
    </row>
    <row r="2134" spans="1:63" x14ac:dyDescent="0.3">
      <c r="A2134" s="2">
        <v>2133</v>
      </c>
      <c r="B2134" s="2">
        <f t="shared" ca="1" si="2046"/>
        <v>0.75170417927233624</v>
      </c>
      <c r="C2134" s="2">
        <f t="shared" ca="1" si="2047"/>
        <v>7.2953074135090343</v>
      </c>
      <c r="D2134" s="2">
        <f t="shared" ca="1" si="2048"/>
        <v>0.97366830861713605</v>
      </c>
      <c r="E2134" s="2">
        <f t="shared" ca="1" si="2049"/>
        <v>8.2705149617824123</v>
      </c>
      <c r="F2134" s="2">
        <f t="shared" ca="1" si="2050"/>
        <v>0.72701369830930496</v>
      </c>
      <c r="G2134" s="2">
        <f t="shared" ca="1" si="2051"/>
        <v>5.811418119714705E-2</v>
      </c>
      <c r="H2134" s="2">
        <f t="shared" ca="1" si="2052"/>
        <v>5.811418119714705E-2</v>
      </c>
      <c r="I2134" s="2">
        <f t="shared" ca="1" si="2053"/>
        <v>0.73270299962465379</v>
      </c>
      <c r="J2134" s="2">
        <f t="shared" ca="1" si="2054"/>
        <v>1.3105042726352803E-2</v>
      </c>
      <c r="K2134" s="2">
        <f t="shared" ca="1" si="2055"/>
        <v>1.3105042726352803E-2</v>
      </c>
      <c r="L2134" s="2">
        <f t="shared" ca="1" si="2056"/>
        <v>0.96745410702746459</v>
      </c>
      <c r="M2134" s="2">
        <f t="shared" ca="1" si="2057"/>
        <v>3.6892544210953566E-2</v>
      </c>
      <c r="N2134" s="2">
        <f t="shared" ca="1" si="2058"/>
        <v>3.6892544210953566E-2</v>
      </c>
      <c r="O2134" s="2">
        <f t="shared" si="2059"/>
        <v>6000000</v>
      </c>
      <c r="P2134" s="2">
        <f t="shared" ca="1" si="2060"/>
        <v>43771844.481054209</v>
      </c>
      <c r="Q2134" s="2">
        <f t="shared" ca="1" si="2061"/>
        <v>1094296.1120263552</v>
      </c>
      <c r="R2134" s="2">
        <f t="shared" ca="1" si="2062"/>
        <v>26263106.688632526</v>
      </c>
      <c r="S2134" s="2">
        <f t="shared" ca="1" si="2063"/>
        <v>17508737.792421684</v>
      </c>
      <c r="T2134" s="2">
        <f t="shared" ca="1" si="2064"/>
        <v>51844627.210547678</v>
      </c>
      <c r="U2134" s="2">
        <f t="shared" ca="1" si="2065"/>
        <v>54857535.270359986</v>
      </c>
      <c r="V2134" s="2">
        <f t="shared" ca="1" si="2066"/>
        <v>58045536.01509057</v>
      </c>
      <c r="W2134" s="2">
        <f t="shared" ca="1" si="2067"/>
        <v>61418804.812757067</v>
      </c>
      <c r="X2134" s="2">
        <f t="shared" ca="1" si="2068"/>
        <v>64988108.36455784</v>
      </c>
      <c r="Y2134" s="2">
        <f t="shared" ca="1" si="2069"/>
        <v>0.12655252136317641</v>
      </c>
      <c r="Z2134" s="2">
        <f t="shared" ca="1" si="2070"/>
        <v>0.12917352990844697</v>
      </c>
      <c r="AA2134" s="2">
        <f t="shared" ca="1" si="2071"/>
        <v>6561068.2926287521</v>
      </c>
      <c r="AB2134" s="2">
        <f t="shared" ca="1" si="2072"/>
        <v>7086141.47294953</v>
      </c>
      <c r="AC2134" s="2">
        <f t="shared" ca="1" si="2073"/>
        <v>7497946.7824971369</v>
      </c>
      <c r="AD2134" s="2">
        <f t="shared" ca="1" si="2074"/>
        <v>7933683.8204217413</v>
      </c>
      <c r="AE2134" s="2">
        <f t="shared" ca="1" si="2075"/>
        <v>8394743.3595226053</v>
      </c>
      <c r="AF2134" s="2">
        <f t="shared" ca="1" si="2076"/>
        <v>1036892.5442109536</v>
      </c>
      <c r="AG2134" s="2">
        <f t="shared" ca="1" si="2077"/>
        <v>1097150.7054071997</v>
      </c>
      <c r="AH2134" s="2">
        <f t="shared" ca="1" si="2078"/>
        <v>1160910.7203018114</v>
      </c>
      <c r="AI2134" s="2">
        <f t="shared" ca="1" si="2079"/>
        <v>1228376.0962551413</v>
      </c>
      <c r="AJ2134" s="2">
        <f t="shared" ca="1" si="2080"/>
        <v>1299762.1672911567</v>
      </c>
      <c r="AK2134" s="2">
        <f t="shared" ca="1" si="2081"/>
        <v>0</v>
      </c>
      <c r="AL2134" s="2">
        <f t="shared" ca="1" si="2082"/>
        <v>30129.080598123073</v>
      </c>
      <c r="AM2134" s="2">
        <f t="shared" ca="1" si="2083"/>
        <v>31880.007447305845</v>
      </c>
      <c r="AN2134" s="2">
        <f t="shared" ca="1" si="2084"/>
        <v>33732.687976664973</v>
      </c>
      <c r="AO2134" s="2">
        <f t="shared" ca="1" si="2085"/>
        <v>35693.035518007724</v>
      </c>
      <c r="AP2134" s="2">
        <f t="shared" ca="1" si="2086"/>
        <v>2363679.6019769274</v>
      </c>
      <c r="AQ2134" s="2">
        <f t="shared" ca="1" si="2087"/>
        <v>821728.99807462655</v>
      </c>
      <c r="AR2134" s="2">
        <f t="shared" ca="1" si="2088"/>
        <v>942580.90304700483</v>
      </c>
      <c r="AS2134" s="2">
        <f t="shared" ca="1" si="2089"/>
        <v>1033072.6796567835</v>
      </c>
      <c r="AT2134" s="2">
        <f t="shared" ca="1" si="2090"/>
        <v>1128823.311769315</v>
      </c>
      <c r="AU2134" s="2">
        <f t="shared" ca="1" si="2091"/>
        <v>1230138.4134661756</v>
      </c>
      <c r="AV2134" s="2">
        <f t="shared" ca="1" si="2092"/>
        <v>2338767.1483662445</v>
      </c>
      <c r="AW2134" s="2">
        <f t="shared" ca="1" si="2093"/>
        <v>2652601.1819202751</v>
      </c>
      <c r="AX2134" s="2">
        <f t="shared" ca="1" si="2094"/>
        <v>2908403.7731143087</v>
      </c>
      <c r="AY2134" s="2">
        <f t="shared" ca="1" si="2095"/>
        <v>3179072.1224436928</v>
      </c>
      <c r="AZ2134" s="2">
        <f t="shared" ca="1" si="2096"/>
        <v>3465470.1412703376</v>
      </c>
      <c r="BA2134" s="2">
        <f t="shared" ca="1" si="2097"/>
        <v>69428850.555255264</v>
      </c>
      <c r="BB2134" s="2">
        <f t="shared" ca="1" si="2098"/>
        <v>1388577.0111051053</v>
      </c>
      <c r="BC2134" s="2">
        <f t="shared" ca="1" si="2099"/>
        <v>41777166.855517633</v>
      </c>
      <c r="BD2134" s="2">
        <f t="shared" ca="1" si="2100"/>
        <v>-19103033.90444804</v>
      </c>
      <c r="BE2134" s="2">
        <f t="shared" ca="1" si="2101"/>
        <v>2338767.1483662445</v>
      </c>
      <c r="BF2134" s="2">
        <f t="shared" ca="1" si="2102"/>
        <v>2652601.1819202751</v>
      </c>
      <c r="BG2134" s="2">
        <f t="shared" ca="1" si="2103"/>
        <v>2908403.7731143087</v>
      </c>
      <c r="BH2134" s="2">
        <f t="shared" ca="1" si="2104"/>
        <v>3179072.1224436928</v>
      </c>
      <c r="BI2134" s="2">
        <f t="shared" ca="1" si="2105"/>
        <v>45242636.996787973</v>
      </c>
      <c r="BJ2134" s="2">
        <f t="shared" ca="1" si="2106"/>
        <v>0.28131296480846713</v>
      </c>
      <c r="BK2134" s="2">
        <f t="shared" ca="1" si="2107"/>
        <v>14862177.891501747</v>
      </c>
    </row>
    <row r="2135" spans="1:63" x14ac:dyDescent="0.3">
      <c r="A2135" s="2">
        <v>2134</v>
      </c>
      <c r="B2135" s="2">
        <f t="shared" ca="1" si="2046"/>
        <v>0.34461459045140852</v>
      </c>
      <c r="C2135" s="2">
        <f t="shared" ca="1" si="2047"/>
        <v>6.8301982780654376</v>
      </c>
      <c r="D2135" s="2">
        <f t="shared" ca="1" si="2048"/>
        <v>0.16771088591198424</v>
      </c>
      <c r="E2135" s="2">
        <f t="shared" ca="1" si="2049"/>
        <v>7.0791560858904692</v>
      </c>
      <c r="F2135" s="2">
        <f t="shared" ca="1" si="2050"/>
        <v>0.36217851279687852</v>
      </c>
      <c r="G2135" s="2">
        <f t="shared" ca="1" si="2051"/>
        <v>2.9420747169333392E-2</v>
      </c>
      <c r="H2135" s="2">
        <f t="shared" ca="1" si="2052"/>
        <v>2.9420747169333392E-2</v>
      </c>
      <c r="I2135" s="2">
        <f t="shared" ca="1" si="2053"/>
        <v>0.37440532526082437</v>
      </c>
      <c r="J2135" s="2">
        <f t="shared" ca="1" si="2054"/>
        <v>8.3989599433956941E-3</v>
      </c>
      <c r="K2135" s="2">
        <f t="shared" ca="1" si="2055"/>
        <v>8.3989599433956941E-3</v>
      </c>
      <c r="L2135" s="2">
        <f t="shared" ca="1" si="2056"/>
        <v>0.51433864947448238</v>
      </c>
      <c r="M2135" s="2">
        <f t="shared" ca="1" si="2057"/>
        <v>7.1898811906082212E-4</v>
      </c>
      <c r="N2135" s="2">
        <f t="shared" ca="1" si="2058"/>
        <v>7.1898811906082212E-4</v>
      </c>
      <c r="O2135" s="2">
        <f t="shared" si="2059"/>
        <v>6000000</v>
      </c>
      <c r="P2135" s="2">
        <f t="shared" ca="1" si="2060"/>
        <v>40981189.668392628</v>
      </c>
      <c r="Q2135" s="2">
        <f t="shared" ca="1" si="2061"/>
        <v>1024529.7417098158</v>
      </c>
      <c r="R2135" s="2">
        <f t="shared" ca="1" si="2062"/>
        <v>24588713.801035576</v>
      </c>
      <c r="S2135" s="2">
        <f t="shared" ca="1" si="2063"/>
        <v>16392475.867357053</v>
      </c>
      <c r="T2135" s="2">
        <f t="shared" ca="1" si="2064"/>
        <v>50035949.405953042</v>
      </c>
      <c r="U2135" s="2">
        <f t="shared" ca="1" si="2065"/>
        <v>51508044.422803141</v>
      </c>
      <c r="V2135" s="2">
        <f t="shared" ca="1" si="2066"/>
        <v>53023449.574953221</v>
      </c>
      <c r="W2135" s="2">
        <f t="shared" ca="1" si="2067"/>
        <v>54583439.078943811</v>
      </c>
      <c r="X2135" s="2">
        <f t="shared" ca="1" si="2068"/>
        <v>56189324.639718123</v>
      </c>
      <c r="Y2135" s="2">
        <f t="shared" ca="1" si="2069"/>
        <v>0.12419947997169785</v>
      </c>
      <c r="Z2135" s="2">
        <f t="shared" ca="1" si="2070"/>
        <v>0.12587927196037699</v>
      </c>
      <c r="AA2135" s="2">
        <f t="shared" ca="1" si="2071"/>
        <v>6214438.8961095521</v>
      </c>
      <c r="AB2135" s="2">
        <f t="shared" ca="1" si="2072"/>
        <v>6483795.1320452159</v>
      </c>
      <c r="AC2135" s="2">
        <f t="shared" ca="1" si="2073"/>
        <v>6674553.2293228721</v>
      </c>
      <c r="AD2135" s="2">
        <f t="shared" ca="1" si="2074"/>
        <v>6870923.5723510375</v>
      </c>
      <c r="AE2135" s="2">
        <f t="shared" ca="1" si="2075"/>
        <v>7073071.2775929896</v>
      </c>
      <c r="AF2135" s="2">
        <f t="shared" ca="1" si="2076"/>
        <v>1000718.9881190609</v>
      </c>
      <c r="AG2135" s="2">
        <f t="shared" ca="1" si="2077"/>
        <v>1030160.8884560629</v>
      </c>
      <c r="AH2135" s="2">
        <f t="shared" ca="1" si="2078"/>
        <v>1060468.9914990645</v>
      </c>
      <c r="AI2135" s="2">
        <f t="shared" ca="1" si="2079"/>
        <v>1091668.7815788763</v>
      </c>
      <c r="AJ2135" s="2">
        <f t="shared" ca="1" si="2080"/>
        <v>1123786.4927943626</v>
      </c>
      <c r="AK2135" s="2">
        <f t="shared" ca="1" si="2081"/>
        <v>0</v>
      </c>
      <c r="AL2135" s="2">
        <f t="shared" ca="1" si="2082"/>
        <v>14720.950168500989</v>
      </c>
      <c r="AM2135" s="2">
        <f t="shared" ca="1" si="2083"/>
        <v>15154.051521500796</v>
      </c>
      <c r="AN2135" s="2">
        <f t="shared" ca="1" si="2084"/>
        <v>15599.895039905907</v>
      </c>
      <c r="AO2135" s="2">
        <f t="shared" ca="1" si="2085"/>
        <v>16058.855607743115</v>
      </c>
      <c r="AP2135" s="2">
        <f t="shared" ca="1" si="2086"/>
        <v>2212984.2420932017</v>
      </c>
      <c r="AQ2135" s="2">
        <f t="shared" ca="1" si="2087"/>
        <v>780191.27313329524</v>
      </c>
      <c r="AR2135" s="2">
        <f t="shared" ca="1" si="2088"/>
        <v>842569.00038894755</v>
      </c>
      <c r="AS2135" s="2">
        <f t="shared" ca="1" si="2089"/>
        <v>884285.99888995755</v>
      </c>
      <c r="AT2135" s="2">
        <f t="shared" ca="1" si="2090"/>
        <v>927230.34265652951</v>
      </c>
      <c r="AU2135" s="2">
        <f t="shared" ca="1" si="2091"/>
        <v>971438.14110341051</v>
      </c>
      <c r="AV2135" s="2">
        <f t="shared" ca="1" si="2092"/>
        <v>2220544.3927639937</v>
      </c>
      <c r="AW2135" s="2">
        <f t="shared" ca="1" si="2093"/>
        <v>2383360.0509385038</v>
      </c>
      <c r="AX2135" s="2">
        <f t="shared" ca="1" si="2094"/>
        <v>2501659.9453191478</v>
      </c>
      <c r="AY2135" s="2">
        <f t="shared" ca="1" si="2095"/>
        <v>2623440.3109825244</v>
      </c>
      <c r="AZ2135" s="2">
        <f t="shared" ca="1" si="2096"/>
        <v>2748803.5459942715</v>
      </c>
      <c r="BA2135" s="2">
        <f t="shared" ca="1" si="2097"/>
        <v>50071375.580709487</v>
      </c>
      <c r="BB2135" s="2">
        <f t="shared" ca="1" si="2098"/>
        <v>1001427.5116141897</v>
      </c>
      <c r="BC2135" s="2">
        <f t="shared" ca="1" si="2099"/>
        <v>24481234.268059723</v>
      </c>
      <c r="BD2135" s="2">
        <f t="shared" ca="1" si="2100"/>
        <v>-17917005.60906687</v>
      </c>
      <c r="BE2135" s="2">
        <f t="shared" ca="1" si="2101"/>
        <v>2220544.3927639937</v>
      </c>
      <c r="BF2135" s="2">
        <f t="shared" ca="1" si="2102"/>
        <v>2383360.0509385038</v>
      </c>
      <c r="BG2135" s="2">
        <f t="shared" ca="1" si="2103"/>
        <v>2501659.9453191478</v>
      </c>
      <c r="BH2135" s="2">
        <f t="shared" ca="1" si="2104"/>
        <v>2623440.3109825244</v>
      </c>
      <c r="BI2135" s="2">
        <f t="shared" ca="1" si="2105"/>
        <v>27230037.814053994</v>
      </c>
      <c r="BJ2135" s="2">
        <f t="shared" ca="1" si="2106"/>
        <v>0.18729769997503354</v>
      </c>
      <c r="BK2135" s="2">
        <f t="shared" ca="1" si="2107"/>
        <v>4864553.9726484492</v>
      </c>
    </row>
    <row r="2136" spans="1:63" x14ac:dyDescent="0.3">
      <c r="A2136" s="2">
        <v>2135</v>
      </c>
      <c r="B2136" s="2">
        <f t="shared" ca="1" si="2046"/>
        <v>0.41174863041472964</v>
      </c>
      <c r="C2136" s="2">
        <f t="shared" ca="1" si="2047"/>
        <v>6.9074674984975823</v>
      </c>
      <c r="D2136" s="2">
        <f t="shared" ca="1" si="2048"/>
        <v>0.25152599579334622</v>
      </c>
      <c r="E2136" s="2">
        <f t="shared" ca="1" si="2049"/>
        <v>7.2092615819193178</v>
      </c>
      <c r="F2136" s="2">
        <f t="shared" ca="1" si="2050"/>
        <v>0.82968074479979159</v>
      </c>
      <c r="G2136" s="2">
        <f t="shared" ca="1" si="2051"/>
        <v>6.8587132008142787E-2</v>
      </c>
      <c r="H2136" s="2">
        <f t="shared" ca="1" si="2052"/>
        <v>6.8587132008142787E-2</v>
      </c>
      <c r="I2136" s="2">
        <f t="shared" ca="1" si="2053"/>
        <v>0.33967210906115908</v>
      </c>
      <c r="J2136" s="2">
        <f t="shared" ca="1" si="2054"/>
        <v>7.9332091581523489E-3</v>
      </c>
      <c r="K2136" s="2">
        <f t="shared" ca="1" si="2055"/>
        <v>7.9332091581523489E-3</v>
      </c>
      <c r="L2136" s="2">
        <f t="shared" ca="1" si="2056"/>
        <v>0.78762971371699697</v>
      </c>
      <c r="M2136" s="2">
        <f t="shared" ca="1" si="2057"/>
        <v>1.5964477924582637E-2</v>
      </c>
      <c r="N2136" s="2">
        <f t="shared" ca="1" si="2058"/>
        <v>1.5964477924582637E-2</v>
      </c>
      <c r="O2136" s="2">
        <f t="shared" si="2059"/>
        <v>6000000</v>
      </c>
      <c r="P2136" s="2">
        <f t="shared" ca="1" si="2060"/>
        <v>41444804.99098549</v>
      </c>
      <c r="Q2136" s="2">
        <f t="shared" ca="1" si="2061"/>
        <v>1036120.1247746373</v>
      </c>
      <c r="R2136" s="2">
        <f t="shared" ca="1" si="2062"/>
        <v>24866882.994591292</v>
      </c>
      <c r="S2136" s="2">
        <f t="shared" ca="1" si="2063"/>
        <v>16577921.996394197</v>
      </c>
      <c r="T2136" s="2">
        <f t="shared" ca="1" si="2064"/>
        <v>50798223.896229133</v>
      </c>
      <c r="U2136" s="2">
        <f t="shared" ca="1" si="2065"/>
        <v>54282328.384378992</v>
      </c>
      <c r="V2136" s="2">
        <f t="shared" ca="1" si="2066"/>
        <v>58005397.606987752</v>
      </c>
      <c r="W2136" s="2">
        <f t="shared" ca="1" si="2067"/>
        <v>61983821.46984303</v>
      </c>
      <c r="X2136" s="2">
        <f t="shared" ca="1" si="2068"/>
        <v>66235114.015364312</v>
      </c>
      <c r="Y2136" s="2">
        <f t="shared" ca="1" si="2069"/>
        <v>0.12396660457907617</v>
      </c>
      <c r="Z2136" s="2">
        <f t="shared" ca="1" si="2070"/>
        <v>0.12555324641070664</v>
      </c>
      <c r="AA2136" s="2">
        <f t="shared" ca="1" si="2071"/>
        <v>6297283.3350632153</v>
      </c>
      <c r="AB2136" s="2">
        <f t="shared" ca="1" si="2072"/>
        <v>6815322.5513908314</v>
      </c>
      <c r="AC2136" s="2">
        <f t="shared" ca="1" si="2073"/>
        <v>7282765.9789011469</v>
      </c>
      <c r="AD2136" s="2">
        <f t="shared" ca="1" si="2074"/>
        <v>7782270.0104804505</v>
      </c>
      <c r="AE2136" s="2">
        <f t="shared" ca="1" si="2075"/>
        <v>8316033.5910122842</v>
      </c>
      <c r="AF2136" s="2">
        <f t="shared" ca="1" si="2076"/>
        <v>1015964.4779245827</v>
      </c>
      <c r="AG2136" s="2">
        <f t="shared" ca="1" si="2077"/>
        <v>1085646.5676875799</v>
      </c>
      <c r="AH2136" s="2">
        <f t="shared" ca="1" si="2078"/>
        <v>1160107.952139755</v>
      </c>
      <c r="AI2136" s="2">
        <f t="shared" ca="1" si="2079"/>
        <v>1239676.4293968605</v>
      </c>
      <c r="AJ2136" s="2">
        <f t="shared" ca="1" si="2080"/>
        <v>1324702.2803072862</v>
      </c>
      <c r="AK2136" s="2">
        <f t="shared" ca="1" si="2081"/>
        <v>0</v>
      </c>
      <c r="AL2136" s="2">
        <f t="shared" ca="1" si="2082"/>
        <v>34841.044881498594</v>
      </c>
      <c r="AM2136" s="2">
        <f t="shared" ca="1" si="2083"/>
        <v>37230.692226087602</v>
      </c>
      <c r="AN2136" s="2">
        <f t="shared" ca="1" si="2084"/>
        <v>39784.238628552783</v>
      </c>
      <c r="AO2136" s="2">
        <f t="shared" ca="1" si="2085"/>
        <v>42512.925455212819</v>
      </c>
      <c r="AP2136" s="2">
        <f t="shared" ca="1" si="2086"/>
        <v>2238019.4695132161</v>
      </c>
      <c r="AQ2136" s="2">
        <f t="shared" ca="1" si="2087"/>
        <v>791257.84078260837</v>
      </c>
      <c r="AR2136" s="2">
        <f t="shared" ca="1" si="2088"/>
        <v>907830.69368940941</v>
      </c>
      <c r="AS2136" s="2">
        <f t="shared" ca="1" si="2089"/>
        <v>1010006.0248845258</v>
      </c>
      <c r="AT2136" s="2">
        <f t="shared" ca="1" si="2090"/>
        <v>1119189.2690082972</v>
      </c>
      <c r="AU2136" s="2">
        <f t="shared" ca="1" si="2091"/>
        <v>1235861.0787098634</v>
      </c>
      <c r="AV2136" s="2">
        <f t="shared" ca="1" si="2092"/>
        <v>2252041.5468428088</v>
      </c>
      <c r="AW2136" s="2">
        <f t="shared" ca="1" si="2093"/>
        <v>2548984.7756191278</v>
      </c>
      <c r="AX2136" s="2">
        <f t="shared" ca="1" si="2094"/>
        <v>2837401.8401375627</v>
      </c>
      <c r="AY2136" s="2">
        <f t="shared" ca="1" si="2095"/>
        <v>3145600.6039335234</v>
      </c>
      <c r="AZ2136" s="2">
        <f t="shared" ca="1" si="2096"/>
        <v>3474937.837026706</v>
      </c>
      <c r="BA2136" s="2">
        <f t="shared" ca="1" si="2097"/>
        <v>59952461.481635407</v>
      </c>
      <c r="BB2136" s="2">
        <f t="shared" ca="1" si="2098"/>
        <v>1199049.2296327082</v>
      </c>
      <c r="BC2136" s="2">
        <f t="shared" ca="1" si="2099"/>
        <v>33886529.257411405</v>
      </c>
      <c r="BD2136" s="2">
        <f t="shared" ca="1" si="2100"/>
        <v>-18114042.121168833</v>
      </c>
      <c r="BE2136" s="2">
        <f t="shared" ca="1" si="2101"/>
        <v>2252041.5468428088</v>
      </c>
      <c r="BF2136" s="2">
        <f t="shared" ca="1" si="2102"/>
        <v>2548984.7756191278</v>
      </c>
      <c r="BG2136" s="2">
        <f t="shared" ca="1" si="2103"/>
        <v>2837401.8401375627</v>
      </c>
      <c r="BH2136" s="2">
        <f t="shared" ca="1" si="2104"/>
        <v>3145600.6039335234</v>
      </c>
      <c r="BI2136" s="2">
        <f t="shared" ca="1" si="2105"/>
        <v>37361467.094438113</v>
      </c>
      <c r="BJ2136" s="2">
        <f t="shared" ca="1" si="2106"/>
        <v>0.25504955380798089</v>
      </c>
      <c r="BK2136" s="2">
        <f t="shared" ca="1" si="2107"/>
        <v>11147336.75162632</v>
      </c>
    </row>
    <row r="2137" spans="1:63" x14ac:dyDescent="0.3">
      <c r="A2137" s="2">
        <v>2136</v>
      </c>
      <c r="B2137" s="2">
        <f t="shared" ca="1" si="2046"/>
        <v>0.78120767928117418</v>
      </c>
      <c r="C2137" s="2">
        <f t="shared" ca="1" si="2047"/>
        <v>7.3384981924154316</v>
      </c>
      <c r="D2137" s="2">
        <f t="shared" ca="1" si="2048"/>
        <v>0.72093089541977984</v>
      </c>
      <c r="E2137" s="2">
        <f t="shared" ca="1" si="2049"/>
        <v>7.7529135196241068</v>
      </c>
      <c r="F2137" s="2">
        <f t="shared" ca="1" si="2050"/>
        <v>0.64530355282603313</v>
      </c>
      <c r="G2137" s="2">
        <f t="shared" ca="1" si="2051"/>
        <v>5.1180147264842463E-2</v>
      </c>
      <c r="H2137" s="2">
        <f t="shared" ca="1" si="2052"/>
        <v>5.1180147264842463E-2</v>
      </c>
      <c r="I2137" s="2">
        <f t="shared" ca="1" si="2053"/>
        <v>0.58793974842966479</v>
      </c>
      <c r="J2137" s="2">
        <f t="shared" ca="1" si="2054"/>
        <v>1.1111242097796993E-2</v>
      </c>
      <c r="K2137" s="2">
        <f t="shared" ca="1" si="2055"/>
        <v>1.1111242097796993E-2</v>
      </c>
      <c r="L2137" s="2">
        <f t="shared" ca="1" si="2056"/>
        <v>0.53094745680997446</v>
      </c>
      <c r="M2137" s="2">
        <f t="shared" ca="1" si="2057"/>
        <v>1.5530347408673978E-3</v>
      </c>
      <c r="N2137" s="2">
        <f t="shared" ca="1" si="2058"/>
        <v>1.5530347408673978E-3</v>
      </c>
      <c r="O2137" s="2">
        <f t="shared" si="2059"/>
        <v>6000000</v>
      </c>
      <c r="P2137" s="2">
        <f t="shared" ca="1" si="2060"/>
        <v>44030989.154492587</v>
      </c>
      <c r="Q2137" s="2">
        <f t="shared" ca="1" si="2061"/>
        <v>1100774.7288623147</v>
      </c>
      <c r="R2137" s="2">
        <f t="shared" ca="1" si="2062"/>
        <v>26418593.492695551</v>
      </c>
      <c r="S2137" s="2">
        <f t="shared" ca="1" si="2063"/>
        <v>17612395.661797035</v>
      </c>
      <c r="T2137" s="2">
        <f t="shared" ca="1" si="2064"/>
        <v>50077651.737043373</v>
      </c>
      <c r="U2137" s="2">
        <f t="shared" ca="1" si="2065"/>
        <v>52640633.327622749</v>
      </c>
      <c r="V2137" s="2">
        <f t="shared" ca="1" si="2066"/>
        <v>55334788.693445057</v>
      </c>
      <c r="W2137" s="2">
        <f t="shared" ca="1" si="2067"/>
        <v>58166831.32764452</v>
      </c>
      <c r="X2137" s="2">
        <f t="shared" ca="1" si="2068"/>
        <v>61143818.320922621</v>
      </c>
      <c r="Y2137" s="2">
        <f t="shared" ca="1" si="2069"/>
        <v>0.1255556210488985</v>
      </c>
      <c r="Z2137" s="2">
        <f t="shared" ca="1" si="2070"/>
        <v>0.1277778694684579</v>
      </c>
      <c r="AA2137" s="2">
        <f t="shared" ca="1" si="2071"/>
        <v>6287530.6645149319</v>
      </c>
      <c r="AB2137" s="2">
        <f t="shared" ca="1" si="2072"/>
        <v>6726307.9740739344</v>
      </c>
      <c r="AC2137" s="2">
        <f t="shared" ca="1" si="2073"/>
        <v>7070561.4067357229</v>
      </c>
      <c r="AD2137" s="2">
        <f t="shared" ca="1" si="2074"/>
        <v>7432433.7807775689</v>
      </c>
      <c r="AE2137" s="2">
        <f t="shared" ca="1" si="2075"/>
        <v>7812826.8362139557</v>
      </c>
      <c r="AF2137" s="2">
        <f t="shared" ca="1" si="2076"/>
        <v>1001553.0347408674</v>
      </c>
      <c r="AG2137" s="2">
        <f t="shared" ca="1" si="2077"/>
        <v>1052812.6665524549</v>
      </c>
      <c r="AH2137" s="2">
        <f t="shared" ca="1" si="2078"/>
        <v>1106695.7738689012</v>
      </c>
      <c r="AI2137" s="2">
        <f t="shared" ca="1" si="2079"/>
        <v>1163336.6265528905</v>
      </c>
      <c r="AJ2137" s="2">
        <f t="shared" ca="1" si="2080"/>
        <v>1222876.3664184525</v>
      </c>
      <c r="AK2137" s="2">
        <f t="shared" ca="1" si="2081"/>
        <v>0</v>
      </c>
      <c r="AL2137" s="2">
        <f t="shared" ca="1" si="2082"/>
        <v>25629.815905793756</v>
      </c>
      <c r="AM2137" s="2">
        <f t="shared" ca="1" si="2083"/>
        <v>26941.553658223078</v>
      </c>
      <c r="AN2137" s="2">
        <f t="shared" ca="1" si="2084"/>
        <v>28320.426341994629</v>
      </c>
      <c r="AO2137" s="2">
        <f t="shared" ca="1" si="2085"/>
        <v>29769.86993278101</v>
      </c>
      <c r="AP2137" s="2">
        <f t="shared" ca="1" si="2086"/>
        <v>2377673.4143425995</v>
      </c>
      <c r="AQ2137" s="2">
        <f t="shared" ca="1" si="2087"/>
        <v>756159.09601218102</v>
      </c>
      <c r="AR2137" s="2">
        <f t="shared" ca="1" si="2088"/>
        <v>856913.69222650875</v>
      </c>
      <c r="AS2137" s="2">
        <f t="shared" ca="1" si="2089"/>
        <v>932409.97681629797</v>
      </c>
      <c r="AT2137" s="2">
        <f t="shared" ca="1" si="2090"/>
        <v>1011770.1723693407</v>
      </c>
      <c r="AU2137" s="2">
        <f t="shared" ca="1" si="2091"/>
        <v>1095192.034417755</v>
      </c>
      <c r="AV2137" s="2">
        <f t="shared" ca="1" si="2092"/>
        <v>2152145.1194192846</v>
      </c>
      <c r="AW2137" s="2">
        <f t="shared" ca="1" si="2093"/>
        <v>2413278.3850465775</v>
      </c>
      <c r="AX2137" s="2">
        <f t="shared" ca="1" si="2094"/>
        <v>2626840.6880497015</v>
      </c>
      <c r="AY2137" s="2">
        <f t="shared" ca="1" si="2095"/>
        <v>2851333.1411707443</v>
      </c>
      <c r="AZ2137" s="2">
        <f t="shared" ca="1" si="2096"/>
        <v>3087315.1511023673</v>
      </c>
      <c r="BA2137" s="2">
        <f t="shared" ca="1" si="2097"/>
        <v>60572170.804965213</v>
      </c>
      <c r="BB2137" s="2">
        <f t="shared" ca="1" si="2098"/>
        <v>1211443.4160993043</v>
      </c>
      <c r="BC2137" s="2">
        <f t="shared" ca="1" si="2099"/>
        <v>32942133.896170355</v>
      </c>
      <c r="BD2137" s="2">
        <f t="shared" ca="1" si="2100"/>
        <v>-19213170.390659351</v>
      </c>
      <c r="BE2137" s="2">
        <f t="shared" ca="1" si="2101"/>
        <v>2152145.1194192846</v>
      </c>
      <c r="BF2137" s="2">
        <f t="shared" ca="1" si="2102"/>
        <v>2413278.3850465775</v>
      </c>
      <c r="BG2137" s="2">
        <f t="shared" ca="1" si="2103"/>
        <v>2626840.6880497015</v>
      </c>
      <c r="BH2137" s="2">
        <f t="shared" ca="1" si="2104"/>
        <v>2851333.1411707443</v>
      </c>
      <c r="BI2137" s="2">
        <f t="shared" ca="1" si="2105"/>
        <v>36029449.047272719</v>
      </c>
      <c r="BJ2137" s="2">
        <f t="shared" ca="1" si="2106"/>
        <v>0.22359033650881477</v>
      </c>
      <c r="BK2137" s="2">
        <f t="shared" ca="1" si="2107"/>
        <v>8758122.5659072846</v>
      </c>
    </row>
    <row r="2138" spans="1:63" x14ac:dyDescent="0.3">
      <c r="A2138" s="2">
        <v>2137</v>
      </c>
      <c r="B2138" s="2">
        <f t="shared" ca="1" si="2046"/>
        <v>0.86311159735168219</v>
      </c>
      <c r="C2138" s="2">
        <f t="shared" ca="1" si="2047"/>
        <v>7.4767631460833099</v>
      </c>
      <c r="D2138" s="2">
        <f t="shared" ca="1" si="2048"/>
        <v>0.48242264924744427</v>
      </c>
      <c r="E2138" s="2">
        <f t="shared" ca="1" si="2049"/>
        <v>7.482265391070503</v>
      </c>
      <c r="F2138" s="2">
        <f t="shared" ca="1" si="2050"/>
        <v>0.9449000921118198</v>
      </c>
      <c r="G2138" s="2">
        <f t="shared" ca="1" si="2051"/>
        <v>8.7918870070174238E-2</v>
      </c>
      <c r="H2138" s="2">
        <f t="shared" ca="1" si="2052"/>
        <v>8.7918870070174238E-2</v>
      </c>
      <c r="I2138" s="2">
        <f t="shared" ca="1" si="2053"/>
        <v>0.68334128369658886</v>
      </c>
      <c r="J2138" s="2">
        <f t="shared" ca="1" si="2054"/>
        <v>1.2385313794032548E-2</v>
      </c>
      <c r="K2138" s="2">
        <f t="shared" ca="1" si="2055"/>
        <v>1.2385313794032548E-2</v>
      </c>
      <c r="L2138" s="2">
        <f t="shared" ca="1" si="2056"/>
        <v>0.16968860964460142</v>
      </c>
      <c r="M2138" s="2">
        <f t="shared" ca="1" si="2057"/>
        <v>-1.9107930158922332E-2</v>
      </c>
      <c r="N2138" s="2">
        <f t="shared" ca="1" si="2058"/>
        <v>-1.9107930158922332E-2</v>
      </c>
      <c r="O2138" s="2">
        <f t="shared" si="2059"/>
        <v>6000000</v>
      </c>
      <c r="P2138" s="2">
        <f t="shared" ca="1" si="2060"/>
        <v>44860578.876499861</v>
      </c>
      <c r="Q2138" s="2">
        <f t="shared" ca="1" si="2061"/>
        <v>1121514.4719124965</v>
      </c>
      <c r="R2138" s="2">
        <f t="shared" ca="1" si="2062"/>
        <v>26916347.325899918</v>
      </c>
      <c r="S2138" s="2">
        <f t="shared" ca="1" si="2063"/>
        <v>17944231.550599944</v>
      </c>
      <c r="T2138" s="2">
        <f t="shared" ca="1" si="2064"/>
        <v>49044603.492053881</v>
      </c>
      <c r="U2138" s="2">
        <f t="shared" ca="1" si="2065"/>
        <v>53356549.614114985</v>
      </c>
      <c r="V2138" s="2">
        <f t="shared" ca="1" si="2066"/>
        <v>58047597.167031169</v>
      </c>
      <c r="W2138" s="2">
        <f t="shared" ca="1" si="2067"/>
        <v>63151076.320245199</v>
      </c>
      <c r="X2138" s="2">
        <f t="shared" ca="1" si="2068"/>
        <v>68703247.59403649</v>
      </c>
      <c r="Y2138" s="2">
        <f t="shared" ca="1" si="2069"/>
        <v>0.12619265689701628</v>
      </c>
      <c r="Z2138" s="2">
        <f t="shared" ca="1" si="2070"/>
        <v>0.12866971965582277</v>
      </c>
      <c r="AA2138" s="2">
        <f t="shared" ca="1" si="2071"/>
        <v>6189068.8211229621</v>
      </c>
      <c r="AB2138" s="2">
        <f t="shared" ca="1" si="2072"/>
        <v>6865372.2806501742</v>
      </c>
      <c r="AC2138" s="2">
        <f t="shared" ca="1" si="2073"/>
        <v>7468968.0541760325</v>
      </c>
      <c r="AD2138" s="2">
        <f t="shared" ca="1" si="2074"/>
        <v>8125631.2860894175</v>
      </c>
      <c r="AE2138" s="2">
        <f t="shared" ca="1" si="2075"/>
        <v>8840027.6073692553</v>
      </c>
      <c r="AF2138" s="2">
        <f t="shared" ca="1" si="2076"/>
        <v>980892.06984107767</v>
      </c>
      <c r="AG2138" s="2">
        <f t="shared" ca="1" si="2077"/>
        <v>1067130.9922822998</v>
      </c>
      <c r="AH2138" s="2">
        <f t="shared" ca="1" si="2078"/>
        <v>1160951.9433406235</v>
      </c>
      <c r="AI2138" s="2">
        <f t="shared" ca="1" si="2079"/>
        <v>1263021.526404904</v>
      </c>
      <c r="AJ2138" s="2">
        <f t="shared" ca="1" si="2080"/>
        <v>1374064.9518807298</v>
      </c>
      <c r="AK2138" s="2">
        <f t="shared" ca="1" si="2081"/>
        <v>0</v>
      </c>
      <c r="AL2138" s="2">
        <f t="shared" ca="1" si="2082"/>
        <v>43119.46122061104</v>
      </c>
      <c r="AM2138" s="2">
        <f t="shared" ca="1" si="2083"/>
        <v>46910.475529161842</v>
      </c>
      <c r="AN2138" s="2">
        <f t="shared" ca="1" si="2084"/>
        <v>51034.791532140298</v>
      </c>
      <c r="AO2138" s="2">
        <f t="shared" ca="1" si="2085"/>
        <v>55521.712737912909</v>
      </c>
      <c r="AP2138" s="2">
        <f t="shared" ca="1" si="2086"/>
        <v>2422471.2593309926</v>
      </c>
      <c r="AQ2138" s="2">
        <f t="shared" ca="1" si="2087"/>
        <v>724283.42790723196</v>
      </c>
      <c r="AR2138" s="2">
        <f t="shared" ca="1" si="2088"/>
        <v>877700.20754958945</v>
      </c>
      <c r="AS2138" s="2">
        <f t="shared" ca="1" si="2089"/>
        <v>1010241.6613911482</v>
      </c>
      <c r="AT2138" s="2">
        <f t="shared" ca="1" si="2090"/>
        <v>1154436.0100919155</v>
      </c>
      <c r="AU2138" s="2">
        <f t="shared" ca="1" si="2091"/>
        <v>1311307.7630009586</v>
      </c>
      <c r="AV2138" s="2">
        <f t="shared" ca="1" si="2092"/>
        <v>2061422.0640436597</v>
      </c>
      <c r="AW2138" s="2">
        <f t="shared" ca="1" si="2093"/>
        <v>2454950.3602666818</v>
      </c>
      <c r="AX2138" s="2">
        <f t="shared" ca="1" si="2094"/>
        <v>2828392.7145841056</v>
      </c>
      <c r="AY2138" s="2">
        <f t="shared" ca="1" si="2095"/>
        <v>3234667.6987294648</v>
      </c>
      <c r="AZ2138" s="2">
        <f t="shared" ca="1" si="2096"/>
        <v>3676661.9204186611</v>
      </c>
      <c r="BA2138" s="2">
        <f t="shared" ca="1" si="2097"/>
        <v>66143432.622726761</v>
      </c>
      <c r="BB2138" s="2">
        <f t="shared" ca="1" si="2098"/>
        <v>1322868.6524545352</v>
      </c>
      <c r="BC2138" s="2">
        <f t="shared" ca="1" si="2099"/>
        <v>37904216.644372307</v>
      </c>
      <c r="BD2138" s="2">
        <f t="shared" ca="1" si="2100"/>
        <v>-19565746.02251244</v>
      </c>
      <c r="BE2138" s="2">
        <f t="shared" ca="1" si="2101"/>
        <v>2061422.0640436597</v>
      </c>
      <c r="BF2138" s="2">
        <f t="shared" ca="1" si="2102"/>
        <v>2454950.3602666818</v>
      </c>
      <c r="BG2138" s="2">
        <f t="shared" ca="1" si="2103"/>
        <v>2828392.7145841056</v>
      </c>
      <c r="BH2138" s="2">
        <f t="shared" ca="1" si="2104"/>
        <v>3234667.6987294648</v>
      </c>
      <c r="BI2138" s="2">
        <f t="shared" ca="1" si="2105"/>
        <v>41580878.564790964</v>
      </c>
      <c r="BJ2138" s="2">
        <f t="shared" ca="1" si="2106"/>
        <v>0.25080144050286379</v>
      </c>
      <c r="BK2138" s="2">
        <f t="shared" ca="1" si="2107"/>
        <v>11894871.83821981</v>
      </c>
    </row>
    <row r="2139" spans="1:63" x14ac:dyDescent="0.3">
      <c r="A2139" s="2">
        <v>2138</v>
      </c>
      <c r="B2139" s="2">
        <f t="shared" ca="1" si="2046"/>
        <v>0.49295705606116558</v>
      </c>
      <c r="C2139" s="2">
        <f t="shared" ca="1" si="2047"/>
        <v>6.992932078302605</v>
      </c>
      <c r="D2139" s="2">
        <f t="shared" ca="1" si="2048"/>
        <v>0.73049404462058831</v>
      </c>
      <c r="E2139" s="2">
        <f t="shared" ca="1" si="2049"/>
        <v>7.7658256945664581</v>
      </c>
      <c r="F2139" s="2">
        <f t="shared" ca="1" si="2050"/>
        <v>0.44715240393469757</v>
      </c>
      <c r="G2139" s="2">
        <f t="shared" ca="1" si="2051"/>
        <v>3.6014226784648551E-2</v>
      </c>
      <c r="H2139" s="2">
        <f t="shared" ca="1" si="2052"/>
        <v>3.6014226784648551E-2</v>
      </c>
      <c r="I2139" s="2">
        <f t="shared" ca="1" si="2053"/>
        <v>0.17232671431913482</v>
      </c>
      <c r="J2139" s="2">
        <f t="shared" ca="1" si="2054"/>
        <v>5.2749466495219752E-3</v>
      </c>
      <c r="K2139" s="2">
        <f t="shared" ca="1" si="2055"/>
        <v>5.2749466495219752E-3</v>
      </c>
      <c r="L2139" s="2">
        <f t="shared" ca="1" si="2056"/>
        <v>0.45593011200316114</v>
      </c>
      <c r="M2139" s="2">
        <f t="shared" ca="1" si="2057"/>
        <v>-2.2138492322222193E-3</v>
      </c>
      <c r="N2139" s="2">
        <f t="shared" ca="1" si="2058"/>
        <v>-2.2138492322222193E-3</v>
      </c>
      <c r="O2139" s="2">
        <f t="shared" si="2059"/>
        <v>6000000</v>
      </c>
      <c r="P2139" s="2">
        <f t="shared" ca="1" si="2060"/>
        <v>41957592.469815627</v>
      </c>
      <c r="Q2139" s="2">
        <f t="shared" ca="1" si="2061"/>
        <v>1048939.8117453908</v>
      </c>
      <c r="R2139" s="2">
        <f t="shared" ca="1" si="2062"/>
        <v>25174555.481889375</v>
      </c>
      <c r="S2139" s="2">
        <f t="shared" ca="1" si="2063"/>
        <v>16783036.987926252</v>
      </c>
      <c r="T2139" s="2">
        <f t="shared" ca="1" si="2064"/>
        <v>49889307.538388886</v>
      </c>
      <c r="U2139" s="2">
        <f t="shared" ca="1" si="2065"/>
        <v>51686032.3742055</v>
      </c>
      <c r="V2139" s="2">
        <f t="shared" ca="1" si="2066"/>
        <v>53547464.865728825</v>
      </c>
      <c r="W2139" s="2">
        <f t="shared" ca="1" si="2067"/>
        <v>55475935.40914619</v>
      </c>
      <c r="X2139" s="2">
        <f t="shared" ca="1" si="2068"/>
        <v>57473858.3280617</v>
      </c>
      <c r="Y2139" s="2">
        <f t="shared" ca="1" si="2069"/>
        <v>0.12263747332476098</v>
      </c>
      <c r="Z2139" s="2">
        <f t="shared" ca="1" si="2070"/>
        <v>0.12369246265466538</v>
      </c>
      <c r="AA2139" s="2">
        <f t="shared" ca="1" si="2071"/>
        <v>6118298.6224299641</v>
      </c>
      <c r="AB2139" s="2">
        <f t="shared" ca="1" si="2072"/>
        <v>6393172.6292142393</v>
      </c>
      <c r="AC2139" s="2">
        <f t="shared" ca="1" si="2073"/>
        <v>6623417.7981561692</v>
      </c>
      <c r="AD2139" s="2">
        <f t="shared" ca="1" si="2074"/>
        <v>6861955.068828444</v>
      </c>
      <c r="AE2139" s="2">
        <f t="shared" ca="1" si="2075"/>
        <v>7109083.0748633007</v>
      </c>
      <c r="AF2139" s="2">
        <f t="shared" ca="1" si="2076"/>
        <v>997786.1507677777</v>
      </c>
      <c r="AG2139" s="2">
        <f t="shared" ca="1" si="2077"/>
        <v>1033720.64748411</v>
      </c>
      <c r="AH2139" s="2">
        <f t="shared" ca="1" si="2078"/>
        <v>1070949.2973145766</v>
      </c>
      <c r="AI2139" s="2">
        <f t="shared" ca="1" si="2079"/>
        <v>1109518.7081829237</v>
      </c>
      <c r="AJ2139" s="2">
        <f t="shared" ca="1" si="2080"/>
        <v>1149477.166561234</v>
      </c>
      <c r="AK2139" s="2">
        <f t="shared" ca="1" si="2081"/>
        <v>0</v>
      </c>
      <c r="AL2139" s="2">
        <f t="shared" ca="1" si="2082"/>
        <v>17967.248358166144</v>
      </c>
      <c r="AM2139" s="2">
        <f t="shared" ca="1" si="2083"/>
        <v>18614.324915233254</v>
      </c>
      <c r="AN2139" s="2">
        <f t="shared" ca="1" si="2084"/>
        <v>19284.705434173644</v>
      </c>
      <c r="AO2139" s="2">
        <f t="shared" ca="1" si="2085"/>
        <v>19979.229189155103</v>
      </c>
      <c r="AP2139" s="2">
        <f t="shared" ca="1" si="2086"/>
        <v>2265709.9933700436</v>
      </c>
      <c r="AQ2139" s="2">
        <f t="shared" ca="1" si="2087"/>
        <v>742248.64435595705</v>
      </c>
      <c r="AR2139" s="2">
        <f t="shared" ca="1" si="2088"/>
        <v>804372.9169736224</v>
      </c>
      <c r="AS2139" s="2">
        <f t="shared" ca="1" si="2089"/>
        <v>854557.21194260276</v>
      </c>
      <c r="AT2139" s="2">
        <f t="shared" ca="1" si="2090"/>
        <v>906548.85549162398</v>
      </c>
      <c r="AU2139" s="2">
        <f t="shared" ca="1" si="2091"/>
        <v>960412.93788232608</v>
      </c>
      <c r="AV2139" s="2">
        <f t="shared" ca="1" si="2092"/>
        <v>2112553.8339361851</v>
      </c>
      <c r="AW2139" s="2">
        <f t="shared" ca="1" si="2093"/>
        <v>2271401.8230282976</v>
      </c>
      <c r="AX2139" s="2">
        <f t="shared" ca="1" si="2094"/>
        <v>2413586.9706137129</v>
      </c>
      <c r="AY2139" s="2">
        <f t="shared" ca="1" si="2095"/>
        <v>2560892.8063496794</v>
      </c>
      <c r="AZ2139" s="2">
        <f t="shared" ca="1" si="2096"/>
        <v>2713503.747860543</v>
      </c>
      <c r="BA2139" s="2">
        <f t="shared" ca="1" si="2097"/>
        <v>55207900.007580943</v>
      </c>
      <c r="BB2139" s="2">
        <f t="shared" ca="1" si="2098"/>
        <v>1104158.0001516188</v>
      </c>
      <c r="BC2139" s="2">
        <f t="shared" ca="1" si="2099"/>
        <v>28929186.52553995</v>
      </c>
      <c r="BD2139" s="2">
        <f t="shared" ca="1" si="2100"/>
        <v>-18331976.799671642</v>
      </c>
      <c r="BE2139" s="2">
        <f t="shared" ca="1" si="2101"/>
        <v>2112553.8339361851</v>
      </c>
      <c r="BF2139" s="2">
        <f t="shared" ca="1" si="2102"/>
        <v>2271401.8230282976</v>
      </c>
      <c r="BG2139" s="2">
        <f t="shared" ca="1" si="2103"/>
        <v>2413586.9706137129</v>
      </c>
      <c r="BH2139" s="2">
        <f t="shared" ca="1" si="2104"/>
        <v>2560892.8063496794</v>
      </c>
      <c r="BI2139" s="2">
        <f t="shared" ca="1" si="2105"/>
        <v>31642690.273400493</v>
      </c>
      <c r="BJ2139" s="2">
        <f t="shared" ca="1" si="2106"/>
        <v>0.20554476834406454</v>
      </c>
      <c r="BK2139" s="2">
        <f t="shared" ca="1" si="2107"/>
        <v>6665329.0630728006</v>
      </c>
    </row>
    <row r="2140" spans="1:63" x14ac:dyDescent="0.3">
      <c r="A2140" s="2">
        <v>2139</v>
      </c>
      <c r="B2140" s="2">
        <f t="shared" ca="1" si="2046"/>
        <v>0.90017281208553801</v>
      </c>
      <c r="C2140" s="2">
        <f t="shared" ca="1" si="2047"/>
        <v>7.5531729911599745</v>
      </c>
      <c r="D2140" s="2">
        <f t="shared" ca="1" si="2048"/>
        <v>0.86909015126333711</v>
      </c>
      <c r="E2140" s="2">
        <f t="shared" ca="1" si="2049"/>
        <v>7.9883167996960172</v>
      </c>
      <c r="F2140" s="2">
        <f t="shared" ca="1" si="2050"/>
        <v>0.86474421199397744</v>
      </c>
      <c r="G2140" s="2">
        <f t="shared" ca="1" si="2051"/>
        <v>7.305655652410814E-2</v>
      </c>
      <c r="H2140" s="2">
        <f t="shared" ca="1" si="2052"/>
        <v>7.305655652410814E-2</v>
      </c>
      <c r="I2140" s="2">
        <f t="shared" ca="1" si="2053"/>
        <v>0.74662970769004544</v>
      </c>
      <c r="J2140" s="2">
        <f t="shared" ca="1" si="2054"/>
        <v>1.3319607267011941E-2</v>
      </c>
      <c r="K2140" s="2">
        <f t="shared" ca="1" si="2055"/>
        <v>1.3319607267011941E-2</v>
      </c>
      <c r="L2140" s="2">
        <f t="shared" ca="1" si="2056"/>
        <v>6.6661719310059375E-3</v>
      </c>
      <c r="M2140" s="2">
        <f t="shared" ca="1" si="2057"/>
        <v>-4.9495323123844151E-2</v>
      </c>
      <c r="N2140" s="2">
        <f t="shared" ca="1" si="2058"/>
        <v>-4.9495323123844151E-2</v>
      </c>
      <c r="O2140" s="2">
        <f t="shared" si="2059"/>
        <v>6000000</v>
      </c>
      <c r="P2140" s="2">
        <f t="shared" ca="1" si="2060"/>
        <v>45319037.946959846</v>
      </c>
      <c r="Q2140" s="2">
        <f t="shared" ca="1" si="2061"/>
        <v>1132975.9486739961</v>
      </c>
      <c r="R2140" s="2">
        <f t="shared" ca="1" si="2062"/>
        <v>27191422.768175907</v>
      </c>
      <c r="S2140" s="2">
        <f t="shared" ca="1" si="2063"/>
        <v>18127615.178783938</v>
      </c>
      <c r="T2140" s="2">
        <f t="shared" ca="1" si="2064"/>
        <v>47525233.843807787</v>
      </c>
      <c r="U2140" s="2">
        <f t="shared" ca="1" si="2065"/>
        <v>50997263.776439391</v>
      </c>
      <c r="V2140" s="2">
        <f t="shared" ca="1" si="2066"/>
        <v>54722948.26009769</v>
      </c>
      <c r="W2140" s="2">
        <f t="shared" ca="1" si="2067"/>
        <v>58720818.422827363</v>
      </c>
      <c r="X2140" s="2">
        <f t="shared" ca="1" si="2068"/>
        <v>63010759.213076539</v>
      </c>
      <c r="Y2140" s="2">
        <f t="shared" ca="1" si="2069"/>
        <v>0.12665980363350596</v>
      </c>
      <c r="Z2140" s="2">
        <f t="shared" ca="1" si="2070"/>
        <v>0.12932372508690834</v>
      </c>
      <c r="AA2140" s="2">
        <f t="shared" ca="1" si="2071"/>
        <v>6019536.7862931462</v>
      </c>
      <c r="AB2140" s="2">
        <f t="shared" ca="1" si="2072"/>
        <v>6595156.120808797</v>
      </c>
      <c r="AC2140" s="2">
        <f t="shared" ca="1" si="2073"/>
        <v>7076975.5167339826</v>
      </c>
      <c r="AD2140" s="2">
        <f t="shared" ca="1" si="2074"/>
        <v>7593994.9785919888</v>
      </c>
      <c r="AE2140" s="2">
        <f t="shared" ca="1" si="2075"/>
        <v>8148786.101989287</v>
      </c>
      <c r="AF2140" s="2">
        <f t="shared" ca="1" si="2076"/>
        <v>950504.67687615578</v>
      </c>
      <c r="AG2140" s="2">
        <f t="shared" ca="1" si="2077"/>
        <v>1019945.2755287879</v>
      </c>
      <c r="AH2140" s="2">
        <f t="shared" ca="1" si="2078"/>
        <v>1094458.9652019539</v>
      </c>
      <c r="AI2140" s="2">
        <f t="shared" ca="1" si="2079"/>
        <v>1174416.3684565474</v>
      </c>
      <c r="AJ2140" s="2">
        <f t="shared" ca="1" si="2080"/>
        <v>1260215.1842615309</v>
      </c>
      <c r="AK2140" s="2">
        <f t="shared" ca="1" si="2081"/>
        <v>0</v>
      </c>
      <c r="AL2140" s="2">
        <f t="shared" ca="1" si="2082"/>
        <v>34720.299326316046</v>
      </c>
      <c r="AM2140" s="2">
        <f t="shared" ca="1" si="2083"/>
        <v>37256.84483658299</v>
      </c>
      <c r="AN2140" s="2">
        <f t="shared" ca="1" si="2084"/>
        <v>39978.70162729673</v>
      </c>
      <c r="AO2140" s="2">
        <f t="shared" ca="1" si="2085"/>
        <v>42899.407902491766</v>
      </c>
      <c r="AP2140" s="2">
        <f t="shared" ca="1" si="2086"/>
        <v>2447228.0491358317</v>
      </c>
      <c r="AQ2140" s="2">
        <f t="shared" ca="1" si="2087"/>
        <v>681669.05567310133</v>
      </c>
      <c r="AR2140" s="2">
        <f t="shared" ca="1" si="2088"/>
        <v>813275.52699748625</v>
      </c>
      <c r="AS2140" s="2">
        <f t="shared" ca="1" si="2089"/>
        <v>919175.01062301116</v>
      </c>
      <c r="AT2140" s="2">
        <f t="shared" ca="1" si="2090"/>
        <v>1032811.1458598987</v>
      </c>
      <c r="AU2140" s="2">
        <f t="shared" ca="1" si="2091"/>
        <v>1154749.1458339007</v>
      </c>
      <c r="AV2140" s="2">
        <f t="shared" ca="1" si="2092"/>
        <v>1940135.0046080579</v>
      </c>
      <c r="AW2140" s="2">
        <f t="shared" ca="1" si="2093"/>
        <v>2279986.9698203751</v>
      </c>
      <c r="AX2140" s="2">
        <f t="shared" ca="1" si="2094"/>
        <v>2578856.6469366024</v>
      </c>
      <c r="AY2140" s="2">
        <f t="shared" ca="1" si="2095"/>
        <v>2899560.7135124146</v>
      </c>
      <c r="AZ2140" s="2">
        <f t="shared" ca="1" si="2096"/>
        <v>3243694.3148555313</v>
      </c>
      <c r="BA2140" s="2">
        <f t="shared" ca="1" si="2097"/>
        <v>65095084.915650442</v>
      </c>
      <c r="BB2140" s="2">
        <f t="shared" ca="1" si="2098"/>
        <v>1301901.6983130088</v>
      </c>
      <c r="BC2140" s="2">
        <f t="shared" ca="1" si="2099"/>
        <v>36601760.44916153</v>
      </c>
      <c r="BD2140" s="2">
        <f t="shared" ca="1" si="2100"/>
        <v>-19760591.127457935</v>
      </c>
      <c r="BE2140" s="2">
        <f t="shared" ca="1" si="2101"/>
        <v>1940135.0046080579</v>
      </c>
      <c r="BF2140" s="2">
        <f t="shared" ca="1" si="2102"/>
        <v>2279986.9698203751</v>
      </c>
      <c r="BG2140" s="2">
        <f t="shared" ca="1" si="2103"/>
        <v>2578856.6469366024</v>
      </c>
      <c r="BH2140" s="2">
        <f t="shared" ca="1" si="2104"/>
        <v>2899560.7135124146</v>
      </c>
      <c r="BI2140" s="2">
        <f t="shared" ca="1" si="2105"/>
        <v>39845454.76401706</v>
      </c>
      <c r="BJ2140" s="2">
        <f t="shared" ca="1" si="2106"/>
        <v>0.23189266955241483</v>
      </c>
      <c r="BK2140" s="2">
        <f t="shared" ca="1" si="2107"/>
        <v>10076947.510275673</v>
      </c>
    </row>
    <row r="2141" spans="1:63" x14ac:dyDescent="0.3">
      <c r="A2141" s="2">
        <v>2140</v>
      </c>
      <c r="B2141" s="2">
        <f t="shared" ca="1" si="2046"/>
        <v>0.90969499271976639</v>
      </c>
      <c r="C2141" s="2">
        <f t="shared" ca="1" si="2047"/>
        <v>7.5750176302945409</v>
      </c>
      <c r="D2141" s="2">
        <f t="shared" ca="1" si="2048"/>
        <v>0.80765608459075111</v>
      </c>
      <c r="E2141" s="2">
        <f t="shared" ca="1" si="2049"/>
        <v>7.8797679218078951</v>
      </c>
      <c r="F2141" s="2">
        <f t="shared" ca="1" si="2050"/>
        <v>0.26203498933504676</v>
      </c>
      <c r="G2141" s="2">
        <f t="shared" ca="1" si="2051"/>
        <v>2.0887473034710592E-2</v>
      </c>
      <c r="H2141" s="2">
        <f t="shared" ca="1" si="2052"/>
        <v>2.0887473034710592E-2</v>
      </c>
      <c r="I2141" s="2">
        <f t="shared" ca="1" si="2053"/>
        <v>0.5212585690363577</v>
      </c>
      <c r="J2141" s="2">
        <f t="shared" ca="1" si="2054"/>
        <v>1.0266562869495554E-2</v>
      </c>
      <c r="K2141" s="2">
        <f t="shared" ca="1" si="2055"/>
        <v>1.0266562869495554E-2</v>
      </c>
      <c r="L2141" s="2">
        <f t="shared" ca="1" si="2056"/>
        <v>0.60628015987000938</v>
      </c>
      <c r="M2141" s="2">
        <f t="shared" ca="1" si="2057"/>
        <v>5.3927361558584871E-3</v>
      </c>
      <c r="N2141" s="2">
        <f t="shared" ca="1" si="2058"/>
        <v>5.3927361558584871E-3</v>
      </c>
      <c r="O2141" s="2">
        <f t="shared" si="2059"/>
        <v>6000000</v>
      </c>
      <c r="P2141" s="2">
        <f t="shared" ca="1" si="2060"/>
        <v>45450105.781767242</v>
      </c>
      <c r="Q2141" s="2">
        <f t="shared" ca="1" si="2061"/>
        <v>1136252.6445441812</v>
      </c>
      <c r="R2141" s="2">
        <f t="shared" ca="1" si="2062"/>
        <v>27270063.469060343</v>
      </c>
      <c r="S2141" s="2">
        <f t="shared" ca="1" si="2063"/>
        <v>18180042.312706899</v>
      </c>
      <c r="T2141" s="2">
        <f t="shared" ca="1" si="2064"/>
        <v>50269636.807792924</v>
      </c>
      <c r="U2141" s="2">
        <f t="shared" ca="1" si="2065"/>
        <v>51319642.491080396</v>
      </c>
      <c r="V2141" s="2">
        <f t="shared" ca="1" si="2066"/>
        <v>52391580.139763825</v>
      </c>
      <c r="W2141" s="2">
        <f t="shared" ca="1" si="2067"/>
        <v>53485907.857179023</v>
      </c>
      <c r="X2141" s="2">
        <f t="shared" ca="1" si="2068"/>
        <v>54603093.315282866</v>
      </c>
      <c r="Y2141" s="2">
        <f t="shared" ca="1" si="2069"/>
        <v>0.12513328143474778</v>
      </c>
      <c r="Z2141" s="2">
        <f t="shared" ca="1" si="2070"/>
        <v>0.12718659400864687</v>
      </c>
      <c r="AA2141" s="2">
        <f t="shared" ca="1" si="2071"/>
        <v>6290404.6102921078</v>
      </c>
      <c r="AB2141" s="2">
        <f t="shared" ca="1" si="2072"/>
        <v>6527170.534181945</v>
      </c>
      <c r="AC2141" s="2">
        <f t="shared" ca="1" si="2073"/>
        <v>6663506.6327076284</v>
      </c>
      <c r="AD2141" s="2">
        <f t="shared" ca="1" si="2074"/>
        <v>6802690.4478149246</v>
      </c>
      <c r="AE2141" s="2">
        <f t="shared" ca="1" si="2075"/>
        <v>6944781.4611071423</v>
      </c>
      <c r="AF2141" s="2">
        <f t="shared" ca="1" si="2076"/>
        <v>1005392.7361558585</v>
      </c>
      <c r="AG2141" s="2">
        <f t="shared" ca="1" si="2077"/>
        <v>1026392.8498216079</v>
      </c>
      <c r="AH2141" s="2">
        <f t="shared" ca="1" si="2078"/>
        <v>1047831.6027952766</v>
      </c>
      <c r="AI2141" s="2">
        <f t="shared" ca="1" si="2079"/>
        <v>1069718.1571435805</v>
      </c>
      <c r="AJ2141" s="2">
        <f t="shared" ca="1" si="2080"/>
        <v>1092061.8663056574</v>
      </c>
      <c r="AK2141" s="2">
        <f t="shared" ca="1" si="2081"/>
        <v>0</v>
      </c>
      <c r="AL2141" s="2">
        <f t="shared" ca="1" si="2082"/>
        <v>10500.056832874716</v>
      </c>
      <c r="AM2141" s="2">
        <f t="shared" ca="1" si="2083"/>
        <v>10719.376486834288</v>
      </c>
      <c r="AN2141" s="2">
        <f t="shared" ca="1" si="2084"/>
        <v>10943.277174151986</v>
      </c>
      <c r="AO2141" s="2">
        <f t="shared" ca="1" si="2085"/>
        <v>11171.854581038431</v>
      </c>
      <c r="AP2141" s="2">
        <f t="shared" ca="1" si="2086"/>
        <v>2454305.7122154306</v>
      </c>
      <c r="AQ2141" s="2">
        <f t="shared" ca="1" si="2087"/>
        <v>735983.60209941294</v>
      </c>
      <c r="AR2141" s="2">
        <f t="shared" ca="1" si="2088"/>
        <v>792082.71275767579</v>
      </c>
      <c r="AS2141" s="2">
        <f t="shared" ca="1" si="2089"/>
        <v>821956.02260119945</v>
      </c>
      <c r="AT2141" s="2">
        <f t="shared" ca="1" si="2090"/>
        <v>852453.31039853755</v>
      </c>
      <c r="AU2141" s="2">
        <f t="shared" ca="1" si="2091"/>
        <v>883587.60947237408</v>
      </c>
      <c r="AV2141" s="2">
        <f t="shared" ca="1" si="2092"/>
        <v>2094722.5598214059</v>
      </c>
      <c r="AW2141" s="2">
        <f t="shared" ca="1" si="2093"/>
        <v>2243889.2025543558</v>
      </c>
      <c r="AX2141" s="2">
        <f t="shared" ca="1" si="2094"/>
        <v>2328693.9186088876</v>
      </c>
      <c r="AY2141" s="2">
        <f t="shared" ca="1" si="2095"/>
        <v>2415269.9908832232</v>
      </c>
      <c r="AZ2141" s="2">
        <f t="shared" ca="1" si="2096"/>
        <v>2503654.4185326411</v>
      </c>
      <c r="BA2141" s="2">
        <f t="shared" ca="1" si="2097"/>
        <v>54723266.181198224</v>
      </c>
      <c r="BB2141" s="2">
        <f t="shared" ca="1" si="2098"/>
        <v>1094465.3236239646</v>
      </c>
      <c r="BC2141" s="2">
        <f t="shared" ca="1" si="2099"/>
        <v>26358737.388513915</v>
      </c>
      <c r="BD2141" s="2">
        <f t="shared" ca="1" si="2100"/>
        <v>-19816294.957251079</v>
      </c>
      <c r="BE2141" s="2">
        <f t="shared" ca="1" si="2101"/>
        <v>2094722.5598214059</v>
      </c>
      <c r="BF2141" s="2">
        <f t="shared" ca="1" si="2102"/>
        <v>2243889.2025543558</v>
      </c>
      <c r="BG2141" s="2">
        <f t="shared" ca="1" si="2103"/>
        <v>2328693.9186088876</v>
      </c>
      <c r="BH2141" s="2">
        <f t="shared" ca="1" si="2104"/>
        <v>2415269.9908832232</v>
      </c>
      <c r="BI2141" s="2">
        <f t="shared" ca="1" si="2105"/>
        <v>28862391.807046555</v>
      </c>
      <c r="BJ2141" s="2">
        <f t="shared" ca="1" si="2106"/>
        <v>0.16313879884066385</v>
      </c>
      <c r="BK2141" s="2">
        <f t="shared" ca="1" si="2107"/>
        <v>3412570.0862632915</v>
      </c>
    </row>
    <row r="2142" spans="1:63" x14ac:dyDescent="0.3">
      <c r="A2142" s="2">
        <v>2141</v>
      </c>
      <c r="B2142" s="2">
        <f t="shared" ca="1" si="2046"/>
        <v>1.6774490171133527E-2</v>
      </c>
      <c r="C2142" s="2">
        <f t="shared" ca="1" si="2047"/>
        <v>6.1831638074027371</v>
      </c>
      <c r="D2142" s="2">
        <f t="shared" ca="1" si="2048"/>
        <v>0.54103637228165746</v>
      </c>
      <c r="E2142" s="2">
        <f t="shared" ca="1" si="2049"/>
        <v>7.5419147974022955</v>
      </c>
      <c r="F2142" s="2">
        <f t="shared" ca="1" si="2050"/>
        <v>0.11638781553282385</v>
      </c>
      <c r="G2142" s="2">
        <f t="shared" ca="1" si="2051"/>
        <v>4.2028182225298805E-3</v>
      </c>
      <c r="H2142" s="2">
        <f t="shared" ca="1" si="2052"/>
        <v>4.2028182225298805E-3</v>
      </c>
      <c r="I2142" s="2">
        <f t="shared" ca="1" si="2053"/>
        <v>0.73942615601757877</v>
      </c>
      <c r="J2142" s="2">
        <f t="shared" ca="1" si="2054"/>
        <v>1.3207886406312196E-2</v>
      </c>
      <c r="K2142" s="2">
        <f t="shared" ca="1" si="2055"/>
        <v>1.3207886406312196E-2</v>
      </c>
      <c r="L2142" s="2">
        <f t="shared" ca="1" si="2056"/>
        <v>0.84899397570355317</v>
      </c>
      <c r="M2142" s="2">
        <f t="shared" ca="1" si="2057"/>
        <v>2.0642564693361641E-2</v>
      </c>
      <c r="N2142" s="2">
        <f t="shared" ca="1" si="2058"/>
        <v>2.0642564693361641E-2</v>
      </c>
      <c r="O2142" s="2">
        <f t="shared" si="2059"/>
        <v>6000000</v>
      </c>
      <c r="P2142" s="2">
        <f t="shared" ca="1" si="2060"/>
        <v>37098982.844416425</v>
      </c>
      <c r="Q2142" s="2">
        <f t="shared" ca="1" si="2061"/>
        <v>927474.57111041062</v>
      </c>
      <c r="R2142" s="2">
        <f t="shared" ca="1" si="2062"/>
        <v>22259389.706649855</v>
      </c>
      <c r="S2142" s="2">
        <f t="shared" ca="1" si="2063"/>
        <v>14839593.13776657</v>
      </c>
      <c r="T2142" s="2">
        <f t="shared" ca="1" si="2064"/>
        <v>51032128.234668083</v>
      </c>
      <c r="U2142" s="2">
        <f t="shared" ca="1" si="2065"/>
        <v>51246606.993147232</v>
      </c>
      <c r="V2142" s="2">
        <f t="shared" ca="1" si="2066"/>
        <v>51461987.166860864</v>
      </c>
      <c r="W2142" s="2">
        <f t="shared" ca="1" si="2067"/>
        <v>51678272.544293351</v>
      </c>
      <c r="X2142" s="2">
        <f t="shared" ca="1" si="2068"/>
        <v>51895466.929851376</v>
      </c>
      <c r="Y2142" s="2">
        <f t="shared" ca="1" si="2069"/>
        <v>0.1266039432031561</v>
      </c>
      <c r="Z2142" s="2">
        <f t="shared" ca="1" si="2070"/>
        <v>0.12924552048441854</v>
      </c>
      <c r="AA2142" s="2">
        <f t="shared" ca="1" si="2071"/>
        <v>6460868.6645580968</v>
      </c>
      <c r="AB2142" s="2">
        <f t="shared" ca="1" si="2072"/>
        <v>6623394.3938897569</v>
      </c>
      <c r="AC2142" s="2">
        <f t="shared" ca="1" si="2073"/>
        <v>6651231.3165433994</v>
      </c>
      <c r="AD2142" s="2">
        <f t="shared" ca="1" si="2074"/>
        <v>6679185.23272283</v>
      </c>
      <c r="AE2142" s="2">
        <f t="shared" ca="1" si="2075"/>
        <v>6707256.634130571</v>
      </c>
      <c r="AF2142" s="2">
        <f t="shared" ca="1" si="2076"/>
        <v>1020642.5646933616</v>
      </c>
      <c r="AG2142" s="2">
        <f t="shared" ca="1" si="2077"/>
        <v>1024932.1398629446</v>
      </c>
      <c r="AH2142" s="2">
        <f t="shared" ca="1" si="2078"/>
        <v>1029239.7433372173</v>
      </c>
      <c r="AI2142" s="2">
        <f t="shared" ca="1" si="2079"/>
        <v>1033565.450885867</v>
      </c>
      <c r="AJ2142" s="2">
        <f t="shared" ca="1" si="2080"/>
        <v>1037909.3385970276</v>
      </c>
      <c r="AK2142" s="2">
        <f t="shared" ca="1" si="2081"/>
        <v>0</v>
      </c>
      <c r="AL2142" s="2">
        <f t="shared" ca="1" si="2082"/>
        <v>2144.7875847914815</v>
      </c>
      <c r="AM2142" s="2">
        <f t="shared" ca="1" si="2083"/>
        <v>2153.8017371363194</v>
      </c>
      <c r="AN2142" s="2">
        <f t="shared" ca="1" si="2084"/>
        <v>2162.8537743248789</v>
      </c>
      <c r="AO2142" s="2">
        <f t="shared" ca="1" si="2085"/>
        <v>2171.9438555802403</v>
      </c>
      <c r="AP2142" s="2">
        <f t="shared" ca="1" si="2086"/>
        <v>2003345.0735984868</v>
      </c>
      <c r="AQ2142" s="2">
        <f t="shared" ca="1" si="2087"/>
        <v>893589.06682922458</v>
      </c>
      <c r="AR2142" s="2">
        <f t="shared" ca="1" si="2088"/>
        <v>934730.4669113647</v>
      </c>
      <c r="AS2142" s="2">
        <f t="shared" ca="1" si="2089"/>
        <v>940848.08989800094</v>
      </c>
      <c r="AT2142" s="2">
        <f t="shared" ca="1" si="2090"/>
        <v>946991.42414200387</v>
      </c>
      <c r="AU2142" s="2">
        <f t="shared" ca="1" si="2091"/>
        <v>953160.57770311472</v>
      </c>
      <c r="AV2142" s="2">
        <f t="shared" ca="1" si="2092"/>
        <v>2543291.9594370243</v>
      </c>
      <c r="AW2142" s="2">
        <f t="shared" ca="1" si="2093"/>
        <v>2658241.9259321694</v>
      </c>
      <c r="AX2142" s="2">
        <f t="shared" ca="1" si="2094"/>
        <v>2675644.6079725591</v>
      </c>
      <c r="AY2142" s="2">
        <f t="shared" ca="1" si="2095"/>
        <v>2693120.4303221474</v>
      </c>
      <c r="AZ2142" s="2">
        <f t="shared" ca="1" si="2096"/>
        <v>2710669.7003763621</v>
      </c>
      <c r="BA2142" s="2">
        <f t="shared" ca="1" si="2097"/>
        <v>50585558.058924071</v>
      </c>
      <c r="BB2142" s="2">
        <f t="shared" ca="1" si="2098"/>
        <v>1011711.1611784814</v>
      </c>
      <c r="BC2142" s="2">
        <f t="shared" ca="1" si="2099"/>
        <v>27314457.191095736</v>
      </c>
      <c r="BD2142" s="2">
        <f t="shared" ca="1" si="2100"/>
        <v>-16267067.70887698</v>
      </c>
      <c r="BE2142" s="2">
        <f t="shared" ca="1" si="2101"/>
        <v>2543291.9594370243</v>
      </c>
      <c r="BF2142" s="2">
        <f t="shared" ca="1" si="2102"/>
        <v>2658241.9259321694</v>
      </c>
      <c r="BG2142" s="2">
        <f t="shared" ca="1" si="2103"/>
        <v>2675644.6079725591</v>
      </c>
      <c r="BH2142" s="2">
        <f t="shared" ca="1" si="2104"/>
        <v>2693120.4303221474</v>
      </c>
      <c r="BI2142" s="2">
        <f t="shared" ca="1" si="2105"/>
        <v>30025126.891472097</v>
      </c>
      <c r="BJ2142" s="2">
        <f t="shared" ca="1" si="2106"/>
        <v>0.24569661736422366</v>
      </c>
      <c r="BK2142" s="2">
        <f t="shared" ca="1" si="2107"/>
        <v>8775923.9193744827</v>
      </c>
    </row>
    <row r="2143" spans="1:63" x14ac:dyDescent="0.3">
      <c r="A2143" s="2">
        <v>2142</v>
      </c>
      <c r="B2143" s="2">
        <f t="shared" ca="1" si="2046"/>
        <v>0.13575733325868677</v>
      </c>
      <c r="C2143" s="2">
        <f t="shared" ca="1" si="2047"/>
        <v>6.5210706924375748</v>
      </c>
      <c r="D2143" s="2">
        <f t="shared" ca="1" si="2048"/>
        <v>0.28427210551043636</v>
      </c>
      <c r="E2143" s="2">
        <f t="shared" ca="1" si="2049"/>
        <v>7.2540187073414506</v>
      </c>
      <c r="F2143" s="2">
        <f t="shared" ca="1" si="2050"/>
        <v>0.47376467077419426</v>
      </c>
      <c r="G2143" s="2">
        <f t="shared" ca="1" si="2051"/>
        <v>3.8025709303400393E-2</v>
      </c>
      <c r="H2143" s="2">
        <f t="shared" ca="1" si="2052"/>
        <v>3.8025709303400393E-2</v>
      </c>
      <c r="I2143" s="2">
        <f t="shared" ca="1" si="2053"/>
        <v>5.1865176760011789E-2</v>
      </c>
      <c r="J2143" s="2">
        <f t="shared" ca="1" si="2054"/>
        <v>1.8648412210599871E-3</v>
      </c>
      <c r="K2143" s="2">
        <f t="shared" ca="1" si="2055"/>
        <v>1.8648412210599871E-3</v>
      </c>
      <c r="L2143" s="2">
        <f t="shared" ca="1" si="2056"/>
        <v>0.24609703664412474</v>
      </c>
      <c r="M2143" s="2">
        <f t="shared" ca="1" si="2057"/>
        <v>-1.37364663744144E-2</v>
      </c>
      <c r="N2143" s="2">
        <f t="shared" ca="1" si="2058"/>
        <v>-1.37364663744144E-2</v>
      </c>
      <c r="O2143" s="2">
        <f t="shared" si="2059"/>
        <v>6000000</v>
      </c>
      <c r="P2143" s="2">
        <f t="shared" ca="1" si="2060"/>
        <v>39126424.154625446</v>
      </c>
      <c r="Q2143" s="2">
        <f t="shared" ca="1" si="2061"/>
        <v>978160.60386563616</v>
      </c>
      <c r="R2143" s="2">
        <f t="shared" ca="1" si="2062"/>
        <v>23475854.492775265</v>
      </c>
      <c r="S2143" s="2">
        <f t="shared" ca="1" si="2063"/>
        <v>15650569.661850179</v>
      </c>
      <c r="T2143" s="2">
        <f t="shared" ca="1" si="2064"/>
        <v>49313176.681279279</v>
      </c>
      <c r="U2143" s="2">
        <f t="shared" ca="1" si="2065"/>
        <v>51188345.202588834</v>
      </c>
      <c r="V2143" s="2">
        <f t="shared" ca="1" si="2066"/>
        <v>53134818.33698459</v>
      </c>
      <c r="W2143" s="2">
        <f t="shared" ca="1" si="2067"/>
        <v>55155307.492955759</v>
      </c>
      <c r="X2143" s="2">
        <f t="shared" ca="1" si="2068"/>
        <v>57252627.18222256</v>
      </c>
      <c r="Y2143" s="2">
        <f t="shared" ca="1" si="2069"/>
        <v>0.12093242061052999</v>
      </c>
      <c r="Z2143" s="2">
        <f t="shared" ca="1" si="2070"/>
        <v>0.12130538885474199</v>
      </c>
      <c r="AA2143" s="2">
        <f t="shared" ca="1" si="2071"/>
        <v>5963561.8240618454</v>
      </c>
      <c r="AB2143" s="2">
        <f t="shared" ca="1" si="2072"/>
        <v>6209422.1196308052</v>
      </c>
      <c r="AC2143" s="2">
        <f t="shared" ca="1" si="2073"/>
        <v>6445539.8000939908</v>
      </c>
      <c r="AD2143" s="2">
        <f t="shared" ca="1" si="2074"/>
        <v>6690636.0228358628</v>
      </c>
      <c r="AE2143" s="2">
        <f t="shared" ca="1" si="2075"/>
        <v>6945052.2032950781</v>
      </c>
      <c r="AF2143" s="2">
        <f t="shared" ca="1" si="2076"/>
        <v>986263.53362558561</v>
      </c>
      <c r="AG2143" s="2">
        <f t="shared" ca="1" si="2077"/>
        <v>1023766.9040517767</v>
      </c>
      <c r="AH2143" s="2">
        <f t="shared" ca="1" si="2078"/>
        <v>1062696.3667396917</v>
      </c>
      <c r="AI2143" s="2">
        <f t="shared" ca="1" si="2079"/>
        <v>1103106.1498591152</v>
      </c>
      <c r="AJ2143" s="2">
        <f t="shared" ca="1" si="2080"/>
        <v>1145052.5436444513</v>
      </c>
      <c r="AK2143" s="2">
        <f t="shared" ca="1" si="2081"/>
        <v>0</v>
      </c>
      <c r="AL2143" s="2">
        <f t="shared" ca="1" si="2082"/>
        <v>18751.685213095545</v>
      </c>
      <c r="AM2143" s="2">
        <f t="shared" ca="1" si="2083"/>
        <v>19464.731343957559</v>
      </c>
      <c r="AN2143" s="2">
        <f t="shared" ca="1" si="2084"/>
        <v>20204.891559711694</v>
      </c>
      <c r="AO2143" s="2">
        <f t="shared" ca="1" si="2085"/>
        <v>20973.196892668009</v>
      </c>
      <c r="AP2143" s="2">
        <f t="shared" ca="1" si="2086"/>
        <v>2112826.9043497737</v>
      </c>
      <c r="AQ2143" s="2">
        <f t="shared" ca="1" si="2087"/>
        <v>744762.56038248632</v>
      </c>
      <c r="AR2143" s="2">
        <f t="shared" ca="1" si="2088"/>
        <v>798935.36091960617</v>
      </c>
      <c r="AS2143" s="2">
        <f t="shared" ca="1" si="2089"/>
        <v>850204.29754117678</v>
      </c>
      <c r="AT2143" s="2">
        <f t="shared" ca="1" si="2090"/>
        <v>903422.77184301324</v>
      </c>
      <c r="AU2143" s="2">
        <f t="shared" ca="1" si="2091"/>
        <v>958664.91637822182</v>
      </c>
      <c r="AV2143" s="2">
        <f t="shared" ca="1" si="2092"/>
        <v>2119708.8257039995</v>
      </c>
      <c r="AW2143" s="2">
        <f t="shared" ca="1" si="2093"/>
        <v>2255141.2650965531</v>
      </c>
      <c r="AX2143" s="2">
        <f t="shared" ca="1" si="2094"/>
        <v>2400347.5001193914</v>
      </c>
      <c r="AY2143" s="2">
        <f t="shared" ca="1" si="2095"/>
        <v>2551075.3052242487</v>
      </c>
      <c r="AZ2143" s="2">
        <f t="shared" ca="1" si="2096"/>
        <v>2707534.6420299639</v>
      </c>
      <c r="BA2143" s="2">
        <f t="shared" ca="1" si="2097"/>
        <v>50379538.606165454</v>
      </c>
      <c r="BB2143" s="2">
        <f t="shared" ca="1" si="2098"/>
        <v>1007590.7721233091</v>
      </c>
      <c r="BC2143" s="2">
        <f t="shared" ca="1" si="2099"/>
        <v>25896093.341266878</v>
      </c>
      <c r="BD2143" s="2">
        <f t="shared" ca="1" si="2100"/>
        <v>-17128730.265715815</v>
      </c>
      <c r="BE2143" s="2">
        <f t="shared" ca="1" si="2101"/>
        <v>2119708.8257039995</v>
      </c>
      <c r="BF2143" s="2">
        <f t="shared" ca="1" si="2102"/>
        <v>2255141.2650965531</v>
      </c>
      <c r="BG2143" s="2">
        <f t="shared" ca="1" si="2103"/>
        <v>2400347.5001193914</v>
      </c>
      <c r="BH2143" s="2">
        <f t="shared" ca="1" si="2104"/>
        <v>2551075.3052242487</v>
      </c>
      <c r="BI2143" s="2">
        <f t="shared" ca="1" si="2105"/>
        <v>28603627.983296841</v>
      </c>
      <c r="BJ2143" s="2">
        <f t="shared" ca="1" si="2106"/>
        <v>0.20541192326369107</v>
      </c>
      <c r="BK2143" s="2">
        <f t="shared" ca="1" si="2107"/>
        <v>6121892.8126610368</v>
      </c>
    </row>
    <row r="2144" spans="1:63" x14ac:dyDescent="0.3">
      <c r="A2144" s="2">
        <v>2143</v>
      </c>
      <c r="B2144" s="2">
        <f t="shared" ca="1" si="2046"/>
        <v>0.32782360400426169</v>
      </c>
      <c r="C2144" s="2">
        <f t="shared" ca="1" si="2047"/>
        <v>6.8097204505312456</v>
      </c>
      <c r="D2144" s="2">
        <f t="shared" ca="1" si="2048"/>
        <v>0.94541308075643105</v>
      </c>
      <c r="E2144" s="2">
        <f t="shared" ca="1" si="2049"/>
        <v>8.1695853537036562</v>
      </c>
      <c r="F2144" s="2">
        <f t="shared" ca="1" si="2050"/>
        <v>6.4284209259697689E-2</v>
      </c>
      <c r="G2144" s="2">
        <f t="shared" ca="1" si="2051"/>
        <v>-5.5931445025648382E-3</v>
      </c>
      <c r="H2144" s="2">
        <f t="shared" ca="1" si="2052"/>
        <v>-5.5931445025648382E-3</v>
      </c>
      <c r="I2144" s="2">
        <f t="shared" ca="1" si="2053"/>
        <v>0.60579428221970066</v>
      </c>
      <c r="J2144" s="2">
        <f t="shared" ca="1" si="2054"/>
        <v>1.1341870098073947E-2</v>
      </c>
      <c r="K2144" s="2">
        <f t="shared" ca="1" si="2055"/>
        <v>1.1341870098073947E-2</v>
      </c>
      <c r="L2144" s="2">
        <f t="shared" ca="1" si="2056"/>
        <v>0.93500406645191458</v>
      </c>
      <c r="M2144" s="2">
        <f t="shared" ca="1" si="2057"/>
        <v>3.0282679194024543E-2</v>
      </c>
      <c r="N2144" s="2">
        <f t="shared" ca="1" si="2058"/>
        <v>3.0282679194024543E-2</v>
      </c>
      <c r="O2144" s="2">
        <f t="shared" si="2059"/>
        <v>6000000</v>
      </c>
      <c r="P2144" s="2">
        <f t="shared" ca="1" si="2060"/>
        <v>40858322.703187473</v>
      </c>
      <c r="Q2144" s="2">
        <f t="shared" ca="1" si="2061"/>
        <v>1021458.0675796869</v>
      </c>
      <c r="R2144" s="2">
        <f t="shared" ca="1" si="2062"/>
        <v>24514993.621912483</v>
      </c>
      <c r="S2144" s="2">
        <f t="shared" ca="1" si="2063"/>
        <v>16343329.08127499</v>
      </c>
      <c r="T2144" s="2">
        <f t="shared" ca="1" si="2064"/>
        <v>51514133.959701225</v>
      </c>
      <c r="U2144" s="2">
        <f t="shared" ca="1" si="2065"/>
        <v>51226007.964540131</v>
      </c>
      <c r="V2144" s="2">
        <f t="shared" ca="1" si="2066"/>
        <v>50939493.49970492</v>
      </c>
      <c r="W2144" s="2">
        <f t="shared" ca="1" si="2067"/>
        <v>50654581.551673606</v>
      </c>
      <c r="X2144" s="2">
        <f t="shared" ca="1" si="2068"/>
        <v>50371263.157338142</v>
      </c>
      <c r="Y2144" s="2">
        <f t="shared" ca="1" si="2069"/>
        <v>0.12567093504903698</v>
      </c>
      <c r="Z2144" s="2">
        <f t="shared" ca="1" si="2070"/>
        <v>0.12793930906865175</v>
      </c>
      <c r="AA2144" s="2">
        <f t="shared" ca="1" si="2071"/>
        <v>6473829.3829570031</v>
      </c>
      <c r="AB2144" s="2">
        <f t="shared" ca="1" si="2072"/>
        <v>6553820.0653285161</v>
      </c>
      <c r="AC2144" s="2">
        <f t="shared" ca="1" si="2073"/>
        <v>6517163.6026593242</v>
      </c>
      <c r="AD2144" s="2">
        <f t="shared" ca="1" si="2074"/>
        <v>6480712.164882795</v>
      </c>
      <c r="AE2144" s="2">
        <f t="shared" ca="1" si="2075"/>
        <v>6444464.6052650753</v>
      </c>
      <c r="AF2144" s="2">
        <f t="shared" ca="1" si="2076"/>
        <v>1030282.6791940245</v>
      </c>
      <c r="AG2144" s="2">
        <f t="shared" ca="1" si="2077"/>
        <v>1024520.1592908027</v>
      </c>
      <c r="AH2144" s="2">
        <f t="shared" ca="1" si="2078"/>
        <v>1018789.8699940984</v>
      </c>
      <c r="AI2144" s="2">
        <f t="shared" ca="1" si="2079"/>
        <v>1013091.6310334721</v>
      </c>
      <c r="AJ2144" s="2">
        <f t="shared" ca="1" si="2080"/>
        <v>1007425.2631467629</v>
      </c>
      <c r="AK2144" s="2">
        <f t="shared" ca="1" si="2081"/>
        <v>0</v>
      </c>
      <c r="AL2144" s="2">
        <f t="shared" ca="1" si="2082"/>
        <v>0</v>
      </c>
      <c r="AM2144" s="2">
        <f t="shared" ca="1" si="2083"/>
        <v>0</v>
      </c>
      <c r="AN2144" s="2">
        <f t="shared" ca="1" si="2084"/>
        <v>0</v>
      </c>
      <c r="AO2144" s="2">
        <f t="shared" ca="1" si="2085"/>
        <v>0</v>
      </c>
      <c r="AP2144" s="2">
        <f t="shared" ca="1" si="2086"/>
        <v>2206349.4259721236</v>
      </c>
      <c r="AQ2144" s="2">
        <f t="shared" ca="1" si="2087"/>
        <v>841671.29222562222</v>
      </c>
      <c r="AR2144" s="2">
        <f t="shared" ca="1" si="2088"/>
        <v>863967.12481705332</v>
      </c>
      <c r="AS2144" s="2">
        <f t="shared" ca="1" si="2089"/>
        <v>855926.31974020659</v>
      </c>
      <c r="AT2144" s="2">
        <f t="shared" ca="1" si="2090"/>
        <v>847930.48804807186</v>
      </c>
      <c r="AU2144" s="2">
        <f t="shared" ca="1" si="2091"/>
        <v>839979.37819800922</v>
      </c>
      <c r="AV2144" s="2">
        <f t="shared" ca="1" si="2092"/>
        <v>2395525.9855652321</v>
      </c>
      <c r="AW2144" s="2">
        <f t="shared" ca="1" si="2093"/>
        <v>2458983.355248536</v>
      </c>
      <c r="AX2144" s="2">
        <f t="shared" ca="1" si="2094"/>
        <v>2436097.9869528953</v>
      </c>
      <c r="AY2144" s="2">
        <f t="shared" ca="1" si="2095"/>
        <v>2413340.6198291276</v>
      </c>
      <c r="AZ2144" s="2">
        <f t="shared" ca="1" si="2096"/>
        <v>2390710.53794818</v>
      </c>
      <c r="BA2144" s="2">
        <f t="shared" ca="1" si="2097"/>
        <v>52648603.651635177</v>
      </c>
      <c r="BB2144" s="2">
        <f t="shared" ca="1" si="2098"/>
        <v>1052972.0730327035</v>
      </c>
      <c r="BC2144" s="2">
        <f t="shared" ca="1" si="2099"/>
        <v>27080637.956689991</v>
      </c>
      <c r="BD2144" s="2">
        <f t="shared" ca="1" si="2100"/>
        <v>-17864787.148854677</v>
      </c>
      <c r="BE2144" s="2">
        <f t="shared" ca="1" si="2101"/>
        <v>2395525.9855652321</v>
      </c>
      <c r="BF2144" s="2">
        <f t="shared" ca="1" si="2102"/>
        <v>2458983.355248536</v>
      </c>
      <c r="BG2144" s="2">
        <f t="shared" ca="1" si="2103"/>
        <v>2436097.9869528953</v>
      </c>
      <c r="BH2144" s="2">
        <f t="shared" ca="1" si="2104"/>
        <v>2413340.6198291276</v>
      </c>
      <c r="BI2144" s="2">
        <f t="shared" ca="1" si="2105"/>
        <v>29471348.494638171</v>
      </c>
      <c r="BJ2144" s="2">
        <f t="shared" ca="1" si="2106"/>
        <v>0.20422981479171809</v>
      </c>
      <c r="BK2144" s="2">
        <f t="shared" ca="1" si="2107"/>
        <v>6224884.446261961</v>
      </c>
    </row>
    <row r="2145" spans="1:63" x14ac:dyDescent="0.3">
      <c r="A2145" s="2">
        <v>2144</v>
      </c>
      <c r="B2145" s="2">
        <f t="shared" ca="1" si="2046"/>
        <v>0.34083312497568263</v>
      </c>
      <c r="C2145" s="2">
        <f t="shared" ca="1" si="2047"/>
        <v>6.8256308194049957</v>
      </c>
      <c r="D2145" s="2">
        <f t="shared" ca="1" si="2048"/>
        <v>0.31638521770610661</v>
      </c>
      <c r="E2145" s="2">
        <f t="shared" ca="1" si="2049"/>
        <v>7.2954686891463503</v>
      </c>
      <c r="F2145" s="2">
        <f t="shared" ca="1" si="2050"/>
        <v>0.86895509128909521</v>
      </c>
      <c r="G2145" s="2">
        <f t="shared" ca="1" si="2051"/>
        <v>7.3643961576952396E-2</v>
      </c>
      <c r="H2145" s="2">
        <f t="shared" ca="1" si="2052"/>
        <v>7.3643961576952396E-2</v>
      </c>
      <c r="I2145" s="2">
        <f t="shared" ca="1" si="2053"/>
        <v>0.32720537711252451</v>
      </c>
      <c r="J2145" s="2">
        <f t="shared" ca="1" si="2054"/>
        <v>7.76178423459945E-3</v>
      </c>
      <c r="K2145" s="2">
        <f t="shared" ca="1" si="2055"/>
        <v>7.76178423459945E-3</v>
      </c>
      <c r="L2145" s="2">
        <f t="shared" ca="1" si="2056"/>
        <v>4.7746630041785365E-2</v>
      </c>
      <c r="M2145" s="2">
        <f t="shared" ca="1" si="2057"/>
        <v>-3.3342126962664573E-2</v>
      </c>
      <c r="N2145" s="2">
        <f t="shared" ca="1" si="2058"/>
        <v>-3.3342126962664573E-2</v>
      </c>
      <c r="O2145" s="2">
        <f t="shared" si="2059"/>
        <v>6000000</v>
      </c>
      <c r="P2145" s="2">
        <f t="shared" ca="1" si="2060"/>
        <v>40953784.916429974</v>
      </c>
      <c r="Q2145" s="2">
        <f t="shared" ca="1" si="2061"/>
        <v>1023844.6229107494</v>
      </c>
      <c r="R2145" s="2">
        <f t="shared" ca="1" si="2062"/>
        <v>24572270.949857984</v>
      </c>
      <c r="S2145" s="2">
        <f t="shared" ca="1" si="2063"/>
        <v>16381513.96657199</v>
      </c>
      <c r="T2145" s="2">
        <f t="shared" ca="1" si="2064"/>
        <v>48332893.651866771</v>
      </c>
      <c r="U2145" s="2">
        <f t="shared" ca="1" si="2065"/>
        <v>51892319.414867774</v>
      </c>
      <c r="V2145" s="2">
        <f t="shared" ca="1" si="2066"/>
        <v>55713875.391995236</v>
      </c>
      <c r="W2145" s="2">
        <f t="shared" ca="1" si="2067"/>
        <v>59816865.890666448</v>
      </c>
      <c r="X2145" s="2">
        <f t="shared" ca="1" si="2068"/>
        <v>64222016.863972403</v>
      </c>
      <c r="Y2145" s="2">
        <f t="shared" ca="1" si="2069"/>
        <v>0.12388089211729972</v>
      </c>
      <c r="Z2145" s="2">
        <f t="shared" ca="1" si="2070"/>
        <v>0.12543324896421962</v>
      </c>
      <c r="AA2145" s="2">
        <f t="shared" ca="1" si="2071"/>
        <v>5987521.9842038276</v>
      </c>
      <c r="AB2145" s="2">
        <f t="shared" ca="1" si="2072"/>
        <v>6509022.2204959169</v>
      </c>
      <c r="AC2145" s="2">
        <f t="shared" ca="1" si="2073"/>
        <v>6988372.4028056469</v>
      </c>
      <c r="AD2145" s="2">
        <f t="shared" ca="1" si="2074"/>
        <v>7503023.8315233011</v>
      </c>
      <c r="AE2145" s="2">
        <f t="shared" ca="1" si="2075"/>
        <v>8055576.2302829614</v>
      </c>
      <c r="AF2145" s="2">
        <f t="shared" ca="1" si="2076"/>
        <v>966657.87303733546</v>
      </c>
      <c r="AG2145" s="2">
        <f t="shared" ca="1" si="2077"/>
        <v>1037846.3882973555</v>
      </c>
      <c r="AH2145" s="2">
        <f t="shared" ca="1" si="2078"/>
        <v>1114277.5078399046</v>
      </c>
      <c r="AI2145" s="2">
        <f t="shared" ca="1" si="2079"/>
        <v>1196337.3178133289</v>
      </c>
      <c r="AJ2145" s="2">
        <f t="shared" ca="1" si="2080"/>
        <v>1284440.3372794481</v>
      </c>
      <c r="AK2145" s="2">
        <f t="shared" ca="1" si="2081"/>
        <v>0</v>
      </c>
      <c r="AL2145" s="2">
        <f t="shared" ca="1" si="2082"/>
        <v>35594.257630010026</v>
      </c>
      <c r="AM2145" s="2">
        <f t="shared" ca="1" si="2083"/>
        <v>38215.559771274624</v>
      </c>
      <c r="AN2145" s="2">
        <f t="shared" ca="1" si="2084"/>
        <v>41029.904986712114</v>
      </c>
      <c r="AO2145" s="2">
        <f t="shared" ca="1" si="2085"/>
        <v>44051.509733059553</v>
      </c>
      <c r="AP2145" s="2">
        <f t="shared" ca="1" si="2086"/>
        <v>2211504.3854872184</v>
      </c>
      <c r="AQ2145" s="2">
        <f t="shared" ca="1" si="2087"/>
        <v>730433.52867661114</v>
      </c>
      <c r="AR2145" s="2">
        <f t="shared" ca="1" si="2088"/>
        <v>847514.57614494918</v>
      </c>
      <c r="AS2145" s="2">
        <f t="shared" ca="1" si="2089"/>
        <v>952273.53246441612</v>
      </c>
      <c r="AT2145" s="2">
        <f t="shared" ca="1" si="2090"/>
        <v>1064747.3533379158</v>
      </c>
      <c r="AU2145" s="2">
        <f t="shared" ca="1" si="2091"/>
        <v>1185504.1919542367</v>
      </c>
      <c r="AV2145" s="2">
        <f t="shared" ca="1" si="2092"/>
        <v>2078926.1970026623</v>
      </c>
      <c r="AW2145" s="2">
        <f t="shared" ca="1" si="2093"/>
        <v>2376562.6129363831</v>
      </c>
      <c r="AX2145" s="2">
        <f t="shared" ca="1" si="2094"/>
        <v>2672101.4172428334</v>
      </c>
      <c r="AY2145" s="2">
        <f t="shared" ca="1" si="2095"/>
        <v>2989404.8698981255</v>
      </c>
      <c r="AZ2145" s="2">
        <f t="shared" ca="1" si="2096"/>
        <v>3330075.8058289988</v>
      </c>
      <c r="BA2145" s="2">
        <f t="shared" ca="1" si="2097"/>
        <v>58769204.161060937</v>
      </c>
      <c r="BB2145" s="2">
        <f t="shared" ca="1" si="2098"/>
        <v>1175384.0832212188</v>
      </c>
      <c r="BC2145" s="2">
        <f t="shared" ca="1" si="2099"/>
        <v>33021549.12798173</v>
      </c>
      <c r="BD2145" s="2">
        <f t="shared" ca="1" si="2100"/>
        <v>-17905358.58948274</v>
      </c>
      <c r="BE2145" s="2">
        <f t="shared" ca="1" si="2101"/>
        <v>2078926.1970026623</v>
      </c>
      <c r="BF2145" s="2">
        <f t="shared" ca="1" si="2102"/>
        <v>2376562.6129363831</v>
      </c>
      <c r="BG2145" s="2">
        <f t="shared" ca="1" si="2103"/>
        <v>2672101.4172428334</v>
      </c>
      <c r="BH2145" s="2">
        <f t="shared" ca="1" si="2104"/>
        <v>2989404.8698981255</v>
      </c>
      <c r="BI2145" s="2">
        <f t="shared" ca="1" si="2105"/>
        <v>36351624.933810726</v>
      </c>
      <c r="BJ2145" s="2">
        <f t="shared" ca="1" si="2106"/>
        <v>0.24632915254621079</v>
      </c>
      <c r="BK2145" s="2">
        <f t="shared" ca="1" si="2107"/>
        <v>10274064.763526887</v>
      </c>
    </row>
    <row r="2146" spans="1:63" x14ac:dyDescent="0.3">
      <c r="A2146" s="2">
        <v>2145</v>
      </c>
      <c r="B2146" s="2">
        <f t="shared" ca="1" si="2046"/>
        <v>0.65789077514311378</v>
      </c>
      <c r="C2146" s="2">
        <f t="shared" ca="1" si="2047"/>
        <v>7.1728250186848177</v>
      </c>
      <c r="D2146" s="2">
        <f t="shared" ca="1" si="2048"/>
        <v>0.87761059837504241</v>
      </c>
      <c r="E2146" s="2">
        <f t="shared" ca="1" si="2049"/>
        <v>8.0052487460855559</v>
      </c>
      <c r="F2146" s="2">
        <f t="shared" ca="1" si="2050"/>
        <v>0.49921416728532053</v>
      </c>
      <c r="G2146" s="2">
        <f t="shared" ca="1" si="2051"/>
        <v>3.994090624673291E-2</v>
      </c>
      <c r="H2146" s="2">
        <f t="shared" ca="1" si="2052"/>
        <v>3.994090624673291E-2</v>
      </c>
      <c r="I2146" s="2">
        <f t="shared" ca="1" si="2053"/>
        <v>0.35959225450900456</v>
      </c>
      <c r="J2146" s="2">
        <f t="shared" ca="1" si="2054"/>
        <v>8.2022555396038133E-3</v>
      </c>
      <c r="K2146" s="2">
        <f t="shared" ca="1" si="2055"/>
        <v>8.2022555396038133E-3</v>
      </c>
      <c r="L2146" s="2">
        <f t="shared" ca="1" si="2056"/>
        <v>0.1775926150651691</v>
      </c>
      <c r="M2146" s="2">
        <f t="shared" ca="1" si="2057"/>
        <v>-1.8491568876910277E-2</v>
      </c>
      <c r="N2146" s="2">
        <f t="shared" ca="1" si="2058"/>
        <v>-1.8491568876910277E-2</v>
      </c>
      <c r="O2146" s="2">
        <f t="shared" si="2059"/>
        <v>6000000</v>
      </c>
      <c r="P2146" s="2">
        <f t="shared" ca="1" si="2060"/>
        <v>43036950.112108909</v>
      </c>
      <c r="Q2146" s="2">
        <f t="shared" ca="1" si="2061"/>
        <v>1075923.7528027229</v>
      </c>
      <c r="R2146" s="2">
        <f t="shared" ca="1" si="2062"/>
        <v>25822170.067265343</v>
      </c>
      <c r="S2146" s="2">
        <f t="shared" ca="1" si="2063"/>
        <v>17214780.044843566</v>
      </c>
      <c r="T2146" s="2">
        <f t="shared" ca="1" si="2064"/>
        <v>49075421.55615449</v>
      </c>
      <c r="U2146" s="2">
        <f t="shared" ca="1" si="2065"/>
        <v>51035538.36754775</v>
      </c>
      <c r="V2146" s="2">
        <f t="shared" ca="1" si="2066"/>
        <v>53073944.020737514</v>
      </c>
      <c r="W2146" s="2">
        <f t="shared" ca="1" si="2067"/>
        <v>55193765.443014137</v>
      </c>
      <c r="X2146" s="2">
        <f t="shared" ca="1" si="2068"/>
        <v>57398254.453977726</v>
      </c>
      <c r="Y2146" s="2">
        <f t="shared" ca="1" si="2069"/>
        <v>0.12410112776980191</v>
      </c>
      <c r="Z2146" s="2">
        <f t="shared" ca="1" si="2070"/>
        <v>0.12574157887772267</v>
      </c>
      <c r="AA2146" s="2">
        <f t="shared" ca="1" si="2071"/>
        <v>6090315.1608972196</v>
      </c>
      <c r="AB2146" s="2">
        <f t="shared" ca="1" si="2072"/>
        <v>6417289.1732100472</v>
      </c>
      <c r="AC2146" s="2">
        <f t="shared" ca="1" si="2073"/>
        <v>6673601.5184354037</v>
      </c>
      <c r="AD2146" s="2">
        <f t="shared" ca="1" si="2074"/>
        <v>6940151.2110112859</v>
      </c>
      <c r="AE2146" s="2">
        <f t="shared" ca="1" si="2075"/>
        <v>7217347.1398684364</v>
      </c>
      <c r="AF2146" s="2">
        <f t="shared" ca="1" si="2076"/>
        <v>981508.43112308986</v>
      </c>
      <c r="AG2146" s="2">
        <f t="shared" ca="1" si="2077"/>
        <v>1020710.7673509551</v>
      </c>
      <c r="AH2146" s="2">
        <f t="shared" ca="1" si="2078"/>
        <v>1061478.8804147502</v>
      </c>
      <c r="AI2146" s="2">
        <f t="shared" ca="1" si="2079"/>
        <v>1103875.3088602829</v>
      </c>
      <c r="AJ2146" s="2">
        <f t="shared" ca="1" si="2080"/>
        <v>1147965.0890795547</v>
      </c>
      <c r="AK2146" s="2">
        <f t="shared" ca="1" si="2081"/>
        <v>0</v>
      </c>
      <c r="AL2146" s="2">
        <f t="shared" ca="1" si="2082"/>
        <v>19601.16811393261</v>
      </c>
      <c r="AM2146" s="2">
        <f t="shared" ca="1" si="2083"/>
        <v>20384.056531897633</v>
      </c>
      <c r="AN2146" s="2">
        <f t="shared" ca="1" si="2084"/>
        <v>21198.214222766237</v>
      </c>
      <c r="AO2146" s="2">
        <f t="shared" ca="1" si="2085"/>
        <v>22044.89010963589</v>
      </c>
      <c r="AP2146" s="2">
        <f t="shared" ca="1" si="2086"/>
        <v>2323995.3060538806</v>
      </c>
      <c r="AQ2146" s="2">
        <f t="shared" ca="1" si="2087"/>
        <v>724050.97016726481</v>
      </c>
      <c r="AR2146" s="2">
        <f t="shared" ca="1" si="2088"/>
        <v>798871.60594935506</v>
      </c>
      <c r="AS2146" s="2">
        <f t="shared" ca="1" si="2089"/>
        <v>854913.10631136096</v>
      </c>
      <c r="AT2146" s="2">
        <f t="shared" ca="1" si="2090"/>
        <v>913192.954985252</v>
      </c>
      <c r="AU2146" s="2">
        <f t="shared" ca="1" si="2091"/>
        <v>973800.55363110022</v>
      </c>
      <c r="AV2146" s="2">
        <f t="shared" ca="1" si="2092"/>
        <v>2060760.4535529837</v>
      </c>
      <c r="AW2146" s="2">
        <f t="shared" ca="1" si="2093"/>
        <v>2254110.3257419234</v>
      </c>
      <c r="AX2146" s="2">
        <f t="shared" ca="1" si="2094"/>
        <v>2412830.1691235136</v>
      </c>
      <c r="AY2146" s="2">
        <f t="shared" ca="1" si="2095"/>
        <v>2577889.4268891048</v>
      </c>
      <c r="AZ2146" s="2">
        <f t="shared" ca="1" si="2096"/>
        <v>2749541.3009942649</v>
      </c>
      <c r="BA2146" s="2">
        <f t="shared" ca="1" si="2097"/>
        <v>57776659.141495973</v>
      </c>
      <c r="BB2146" s="2">
        <f t="shared" ca="1" si="2098"/>
        <v>1155533.1828299195</v>
      </c>
      <c r="BC2146" s="2">
        <f t="shared" ca="1" si="2099"/>
        <v>30798955.89140071</v>
      </c>
      <c r="BD2146" s="2">
        <f t="shared" ca="1" si="2100"/>
        <v>-18790703.797646288</v>
      </c>
      <c r="BE2146" s="2">
        <f t="shared" ca="1" si="2101"/>
        <v>2060760.4535529837</v>
      </c>
      <c r="BF2146" s="2">
        <f t="shared" ca="1" si="2102"/>
        <v>2254110.3257419234</v>
      </c>
      <c r="BG2146" s="2">
        <f t="shared" ca="1" si="2103"/>
        <v>2412830.1691235136</v>
      </c>
      <c r="BH2146" s="2">
        <f t="shared" ca="1" si="2104"/>
        <v>2577889.4268891048</v>
      </c>
      <c r="BI2146" s="2">
        <f t="shared" ca="1" si="2105"/>
        <v>33548497.192394976</v>
      </c>
      <c r="BJ2146" s="2">
        <f t="shared" ca="1" si="2106"/>
        <v>0.20924420003974697</v>
      </c>
      <c r="BK2146" s="2">
        <f t="shared" ca="1" si="2107"/>
        <v>7238242.3106240481</v>
      </c>
    </row>
    <row r="2147" spans="1:63" x14ac:dyDescent="0.3">
      <c r="A2147" s="2">
        <v>2146</v>
      </c>
      <c r="B2147" s="2">
        <f t="shared" ca="1" si="2046"/>
        <v>0.13819476750936521</v>
      </c>
      <c r="C2147" s="2">
        <f t="shared" ca="1" si="2047"/>
        <v>6.5257276243633484</v>
      </c>
      <c r="D2147" s="2">
        <f t="shared" ca="1" si="2048"/>
        <v>0.62251451219630283</v>
      </c>
      <c r="E2147" s="2">
        <f t="shared" ca="1" si="2049"/>
        <v>7.6311093419725387</v>
      </c>
      <c r="F2147" s="2">
        <f t="shared" ca="1" si="2050"/>
        <v>0.29650269126053697</v>
      </c>
      <c r="G2147" s="2">
        <f t="shared" ca="1" si="2051"/>
        <v>2.3965422148912431E-2</v>
      </c>
      <c r="H2147" s="2">
        <f t="shared" ca="1" si="2052"/>
        <v>2.3965422148912431E-2</v>
      </c>
      <c r="I2147" s="2">
        <f t="shared" ca="1" si="2053"/>
        <v>0.90188496028332032</v>
      </c>
      <c r="J2147" s="2">
        <f t="shared" ca="1" si="2054"/>
        <v>1.6461834997445766E-2</v>
      </c>
      <c r="K2147" s="2">
        <f t="shared" ca="1" si="2055"/>
        <v>1.6461834997445766E-2</v>
      </c>
      <c r="L2147" s="2">
        <f t="shared" ca="1" si="2056"/>
        <v>0.60402096284737117</v>
      </c>
      <c r="M2147" s="2">
        <f t="shared" ca="1" si="2057"/>
        <v>5.2753760796489611E-3</v>
      </c>
      <c r="N2147" s="2">
        <f t="shared" ca="1" si="2058"/>
        <v>5.2753760796489611E-3</v>
      </c>
      <c r="O2147" s="2">
        <f t="shared" si="2059"/>
        <v>6000000</v>
      </c>
      <c r="P2147" s="2">
        <f t="shared" ca="1" si="2060"/>
        <v>39154365.746180087</v>
      </c>
      <c r="Q2147" s="2">
        <f t="shared" ca="1" si="2061"/>
        <v>978859.14365450223</v>
      </c>
      <c r="R2147" s="2">
        <f t="shared" ca="1" si="2062"/>
        <v>23492619.447708052</v>
      </c>
      <c r="S2147" s="2">
        <f t="shared" ca="1" si="2063"/>
        <v>15661746.298472036</v>
      </c>
      <c r="T2147" s="2">
        <f t="shared" ca="1" si="2064"/>
        <v>50263768.803982444</v>
      </c>
      <c r="U2147" s="2">
        <f t="shared" ca="1" si="2065"/>
        <v>51468361.242165223</v>
      </c>
      <c r="V2147" s="2">
        <f t="shared" ca="1" si="2066"/>
        <v>52701822.246646442</v>
      </c>
      <c r="W2147" s="2">
        <f t="shared" ca="1" si="2067"/>
        <v>53964843.664804272</v>
      </c>
      <c r="X2147" s="2">
        <f t="shared" ca="1" si="2068"/>
        <v>55258133.924431376</v>
      </c>
      <c r="Y2147" s="2">
        <f t="shared" ca="1" si="2069"/>
        <v>0.12823091749872287</v>
      </c>
      <c r="Z2147" s="2">
        <f t="shared" ca="1" si="2070"/>
        <v>0.13152328449821205</v>
      </c>
      <c r="AA2147" s="2">
        <f t="shared" ca="1" si="2071"/>
        <v>6445369.1906783534</v>
      </c>
      <c r="AB2147" s="2">
        <f t="shared" ca="1" si="2072"/>
        <v>6769287.9183100471</v>
      </c>
      <c r="AC2147" s="2">
        <f t="shared" ca="1" si="2073"/>
        <v>6931516.7609198811</v>
      </c>
      <c r="AD2147" s="2">
        <f t="shared" ca="1" si="2074"/>
        <v>7097633.4862275878</v>
      </c>
      <c r="AE2147" s="2">
        <f t="shared" ca="1" si="2075"/>
        <v>7267731.2689832905</v>
      </c>
      <c r="AF2147" s="2">
        <f t="shared" ca="1" si="2076"/>
        <v>1005275.3760796488</v>
      </c>
      <c r="AG2147" s="2">
        <f t="shared" ca="1" si="2077"/>
        <v>1029367.2248433045</v>
      </c>
      <c r="AH2147" s="2">
        <f t="shared" ca="1" si="2078"/>
        <v>1054036.4449329288</v>
      </c>
      <c r="AI2147" s="2">
        <f t="shared" ca="1" si="2079"/>
        <v>1079296.8732960855</v>
      </c>
      <c r="AJ2147" s="2">
        <f t="shared" ca="1" si="2080"/>
        <v>1105162.6784886275</v>
      </c>
      <c r="AK2147" s="2">
        <f t="shared" ca="1" si="2081"/>
        <v>0</v>
      </c>
      <c r="AL2147" s="2">
        <f t="shared" ca="1" si="2082"/>
        <v>12045.924381827786</v>
      </c>
      <c r="AM2147" s="2">
        <f t="shared" ca="1" si="2083"/>
        <v>12334.610044812187</v>
      </c>
      <c r="AN2147" s="2">
        <f t="shared" ca="1" si="2084"/>
        <v>12630.214181578309</v>
      </c>
      <c r="AO2147" s="2">
        <f t="shared" ca="1" si="2085"/>
        <v>12932.902596271038</v>
      </c>
      <c r="AP2147" s="2">
        <f t="shared" ca="1" si="2086"/>
        <v>2114335.7502937247</v>
      </c>
      <c r="AQ2147" s="2">
        <f t="shared" ca="1" si="2087"/>
        <v>864697.09671929479</v>
      </c>
      <c r="AR2147" s="2">
        <f t="shared" ca="1" si="2088"/>
        <v>942652.08522498468</v>
      </c>
      <c r="AS2147" s="2">
        <f t="shared" ca="1" si="2089"/>
        <v>978417.58708023909</v>
      </c>
      <c r="AT2147" s="2">
        <f t="shared" ca="1" si="2090"/>
        <v>1015040.2242858221</v>
      </c>
      <c r="AU2147" s="2">
        <f t="shared" ca="1" si="2091"/>
        <v>1052540.5384522439</v>
      </c>
      <c r="AV2147" s="2">
        <f t="shared" ca="1" si="2092"/>
        <v>2461060.9675856852</v>
      </c>
      <c r="AW2147" s="2">
        <f t="shared" ca="1" si="2093"/>
        <v>2670886.9335662047</v>
      </c>
      <c r="AX2147" s="2">
        <f t="shared" ca="1" si="2094"/>
        <v>2772392.3685681759</v>
      </c>
      <c r="AY2147" s="2">
        <f t="shared" ca="1" si="2095"/>
        <v>2876330.4241703763</v>
      </c>
      <c r="AZ2147" s="2">
        <f t="shared" ca="1" si="2096"/>
        <v>2982759.3991524237</v>
      </c>
      <c r="BA2147" s="2">
        <f t="shared" ca="1" si="2097"/>
        <v>55460851.98168432</v>
      </c>
      <c r="BB2147" s="2">
        <f t="shared" ca="1" si="2098"/>
        <v>1109217.0396336864</v>
      </c>
      <c r="BC2147" s="2">
        <f t="shared" ca="1" si="2099"/>
        <v>30859015.49434258</v>
      </c>
      <c r="BD2147" s="2">
        <f t="shared" ca="1" si="2100"/>
        <v>-17140605.442126539</v>
      </c>
      <c r="BE2147" s="2">
        <f t="shared" ca="1" si="2101"/>
        <v>2461060.9675856852</v>
      </c>
      <c r="BF2147" s="2">
        <f t="shared" ca="1" si="2102"/>
        <v>2670886.9335662047</v>
      </c>
      <c r="BG2147" s="2">
        <f t="shared" ca="1" si="2103"/>
        <v>2772392.3685681759</v>
      </c>
      <c r="BH2147" s="2">
        <f t="shared" ca="1" si="2104"/>
        <v>2876330.4241703763</v>
      </c>
      <c r="BI2147" s="2">
        <f t="shared" ca="1" si="2105"/>
        <v>33841774.893495001</v>
      </c>
      <c r="BJ2147" s="2">
        <f t="shared" ca="1" si="2106"/>
        <v>0.2540562845443477</v>
      </c>
      <c r="BK2147" s="2">
        <f t="shared" ca="1" si="2107"/>
        <v>10190011.163773321</v>
      </c>
    </row>
    <row r="2148" spans="1:63" x14ac:dyDescent="0.3">
      <c r="A2148" s="2">
        <v>2147</v>
      </c>
      <c r="B2148" s="2">
        <f t="shared" ca="1" si="2046"/>
        <v>0.96026665322024318</v>
      </c>
      <c r="C2148" s="2">
        <f t="shared" ca="1" si="2047"/>
        <v>7.7181016254755734</v>
      </c>
      <c r="D2148" s="2">
        <f t="shared" ca="1" si="2048"/>
        <v>0.4260378286045492</v>
      </c>
      <c r="E2148" s="2">
        <f t="shared" ca="1" si="2049"/>
        <v>7.4230794425232851</v>
      </c>
      <c r="F2148" s="2">
        <f t="shared" ca="1" si="2050"/>
        <v>0.16691007987462969</v>
      </c>
      <c r="G2148" s="2">
        <f t="shared" ca="1" si="2051"/>
        <v>1.100656626825806E-2</v>
      </c>
      <c r="H2148" s="2">
        <f t="shared" ca="1" si="2052"/>
        <v>1.100656626825806E-2</v>
      </c>
      <c r="I2148" s="2">
        <f t="shared" ca="1" si="2053"/>
        <v>0.39152606756231756</v>
      </c>
      <c r="J2148" s="2">
        <f t="shared" ca="1" si="2054"/>
        <v>8.6232811187476333E-3</v>
      </c>
      <c r="K2148" s="2">
        <f t="shared" ca="1" si="2055"/>
        <v>8.6232811187476333E-3</v>
      </c>
      <c r="L2148" s="2">
        <f t="shared" ca="1" si="2056"/>
        <v>1.9530069243939518E-2</v>
      </c>
      <c r="M2148" s="2">
        <f t="shared" ca="1" si="2057"/>
        <v>-4.1271055630317868E-2</v>
      </c>
      <c r="N2148" s="2">
        <f t="shared" ca="1" si="2058"/>
        <v>-4.1271055630317868E-2</v>
      </c>
      <c r="O2148" s="2">
        <f t="shared" si="2059"/>
        <v>6000000</v>
      </c>
      <c r="P2148" s="2">
        <f t="shared" ca="1" si="2060"/>
        <v>46308609.752853438</v>
      </c>
      <c r="Q2148" s="2">
        <f t="shared" ca="1" si="2061"/>
        <v>1157715.243821336</v>
      </c>
      <c r="R2148" s="2">
        <f t="shared" ca="1" si="2062"/>
        <v>27785165.851712063</v>
      </c>
      <c r="S2148" s="2">
        <f t="shared" ca="1" si="2063"/>
        <v>18523443.901141375</v>
      </c>
      <c r="T2148" s="2">
        <f t="shared" ca="1" si="2064"/>
        <v>47936447.218484104</v>
      </c>
      <c r="U2148" s="2">
        <f t="shared" ca="1" si="2065"/>
        <v>48464062.90145921</v>
      </c>
      <c r="V2148" s="2">
        <f t="shared" ca="1" si="2066"/>
        <v>48997485.821413152</v>
      </c>
      <c r="W2148" s="2">
        <f t="shared" ca="1" si="2067"/>
        <v>49536779.896084577</v>
      </c>
      <c r="X2148" s="2">
        <f t="shared" ca="1" si="2068"/>
        <v>50082009.746726952</v>
      </c>
      <c r="Y2148" s="2">
        <f t="shared" ca="1" si="2069"/>
        <v>0.12431164055937381</v>
      </c>
      <c r="Z2148" s="2">
        <f t="shared" ca="1" si="2070"/>
        <v>0.12603629678312334</v>
      </c>
      <c r="AA2148" s="2">
        <f t="shared" ca="1" si="2071"/>
        <v>5959058.39631759</v>
      </c>
      <c r="AB2148" s="2">
        <f t="shared" ca="1" si="2072"/>
        <v>6108231.0151642701</v>
      </c>
      <c r="AC2148" s="2">
        <f t="shared" ca="1" si="2073"/>
        <v>6175461.6646145061</v>
      </c>
      <c r="AD2148" s="2">
        <f t="shared" ca="1" si="2074"/>
        <v>6243432.2926631738</v>
      </c>
      <c r="AE2148" s="2">
        <f t="shared" ca="1" si="2075"/>
        <v>6312151.0439337539</v>
      </c>
      <c r="AF2148" s="2">
        <f t="shared" ca="1" si="2076"/>
        <v>958728.94436968211</v>
      </c>
      <c r="AG2148" s="2">
        <f t="shared" ca="1" si="2077"/>
        <v>969281.25802918419</v>
      </c>
      <c r="AH2148" s="2">
        <f t="shared" ca="1" si="2078"/>
        <v>979949.71642826311</v>
      </c>
      <c r="AI2148" s="2">
        <f t="shared" ca="1" si="2079"/>
        <v>990735.5979216916</v>
      </c>
      <c r="AJ2148" s="2">
        <f t="shared" ca="1" si="2080"/>
        <v>1001640.194934539</v>
      </c>
      <c r="AK2148" s="2">
        <f t="shared" ca="1" si="2081"/>
        <v>0</v>
      </c>
      <c r="AL2148" s="2">
        <f t="shared" ca="1" si="2082"/>
        <v>5276.1568297510594</v>
      </c>
      <c r="AM2148" s="2">
        <f t="shared" ca="1" si="2083"/>
        <v>5334.2291995394235</v>
      </c>
      <c r="AN2148" s="2">
        <f t="shared" ca="1" si="2084"/>
        <v>5392.9407467142491</v>
      </c>
      <c r="AO2148" s="2">
        <f t="shared" ca="1" si="2085"/>
        <v>5452.2985064237564</v>
      </c>
      <c r="AP2148" s="2">
        <f t="shared" ca="1" si="2086"/>
        <v>2500664.9266540855</v>
      </c>
      <c r="AQ2148" s="2">
        <f t="shared" ca="1" si="2087"/>
        <v>649912.77657639387</v>
      </c>
      <c r="AR2148" s="2">
        <f t="shared" ca="1" si="2088"/>
        <v>685954.05592506006</v>
      </c>
      <c r="AS2148" s="2">
        <f t="shared" ca="1" si="2089"/>
        <v>700660.22559836099</v>
      </c>
      <c r="AT2148" s="2">
        <f t="shared" ca="1" si="2090"/>
        <v>715528.25970272312</v>
      </c>
      <c r="AU2148" s="2">
        <f t="shared" ca="1" si="2091"/>
        <v>730559.93980973377</v>
      </c>
      <c r="AV2148" s="2">
        <f t="shared" ca="1" si="2092"/>
        <v>1849751.7487174282</v>
      </c>
      <c r="AW2148" s="2">
        <f t="shared" ca="1" si="2093"/>
        <v>1947054.6177261891</v>
      </c>
      <c r="AX2148" s="2">
        <f t="shared" ca="1" si="2094"/>
        <v>1988852.5667342562</v>
      </c>
      <c r="AY2148" s="2">
        <f t="shared" ca="1" si="2095"/>
        <v>2031110.5676379586</v>
      </c>
      <c r="AZ2148" s="2">
        <f t="shared" ca="1" si="2096"/>
        <v>2073833.6840289719</v>
      </c>
      <c r="BA2148" s="2">
        <f t="shared" ca="1" si="2097"/>
        <v>46855598.652326539</v>
      </c>
      <c r="BB2148" s="2">
        <f t="shared" ca="1" si="2098"/>
        <v>937111.97304653085</v>
      </c>
      <c r="BC2148" s="2">
        <f t="shared" ca="1" si="2099"/>
        <v>18133320.827567946</v>
      </c>
      <c r="BD2148" s="2">
        <f t="shared" ca="1" si="2100"/>
        <v>-20181159.144962713</v>
      </c>
      <c r="BE2148" s="2">
        <f t="shared" ca="1" si="2101"/>
        <v>1849751.7487174282</v>
      </c>
      <c r="BF2148" s="2">
        <f t="shared" ca="1" si="2102"/>
        <v>1947054.6177261891</v>
      </c>
      <c r="BG2148" s="2">
        <f t="shared" ca="1" si="2103"/>
        <v>1988852.5667342562</v>
      </c>
      <c r="BH2148" s="2">
        <f t="shared" ca="1" si="2104"/>
        <v>2031110.5676379586</v>
      </c>
      <c r="BI2148" s="2">
        <f t="shared" ca="1" si="2105"/>
        <v>20207154.511596918</v>
      </c>
      <c r="BJ2148" s="2">
        <f t="shared" ca="1" si="2106"/>
        <v>8.0322925095923425E-2</v>
      </c>
      <c r="BK2148" s="2">
        <f t="shared" ca="1" si="2107"/>
        <v>-2804899.4577762969</v>
      </c>
    </row>
    <row r="2149" spans="1:63" x14ac:dyDescent="0.3">
      <c r="A2149" s="2">
        <v>2148</v>
      </c>
      <c r="B2149" s="2">
        <f t="shared" ca="1" si="2046"/>
        <v>0.53669850574672673</v>
      </c>
      <c r="C2149" s="2">
        <f t="shared" ca="1" si="2047"/>
        <v>7.037397803603926</v>
      </c>
      <c r="D2149" s="2">
        <f t="shared" ca="1" si="2048"/>
        <v>0.84247512247868284</v>
      </c>
      <c r="E2149" s="2">
        <f t="shared" ca="1" si="2049"/>
        <v>7.9387070684191414</v>
      </c>
      <c r="F2149" s="2">
        <f t="shared" ca="1" si="2050"/>
        <v>0.22011496478145931</v>
      </c>
      <c r="G2149" s="2">
        <f t="shared" ca="1" si="2051"/>
        <v>1.6845849982063687E-2</v>
      </c>
      <c r="H2149" s="2">
        <f t="shared" ca="1" si="2052"/>
        <v>1.6845849982063687E-2</v>
      </c>
      <c r="I2149" s="2">
        <f t="shared" ca="1" si="2053"/>
        <v>0.39728021079739617</v>
      </c>
      <c r="J2149" s="2">
        <f t="shared" ca="1" si="2054"/>
        <v>8.6980335714246116E-3</v>
      </c>
      <c r="K2149" s="2">
        <f t="shared" ca="1" si="2055"/>
        <v>8.6980335714246116E-3</v>
      </c>
      <c r="L2149" s="2">
        <f t="shared" ca="1" si="2056"/>
        <v>0.21840937532664795</v>
      </c>
      <c r="M2149" s="2">
        <f t="shared" ca="1" si="2057"/>
        <v>-1.5551528939286628E-2</v>
      </c>
      <c r="N2149" s="2">
        <f t="shared" ca="1" si="2058"/>
        <v>-1.5551528939286628E-2</v>
      </c>
      <c r="O2149" s="2">
        <f t="shared" si="2059"/>
        <v>6000000</v>
      </c>
      <c r="P2149" s="2">
        <f t="shared" ca="1" si="2060"/>
        <v>42224386.821623556</v>
      </c>
      <c r="Q2149" s="2">
        <f t="shared" ca="1" si="2061"/>
        <v>1055609.6705405889</v>
      </c>
      <c r="R2149" s="2">
        <f t="shared" ca="1" si="2062"/>
        <v>25334632.092974134</v>
      </c>
      <c r="S2149" s="2">
        <f t="shared" ca="1" si="2063"/>
        <v>16889754.728649423</v>
      </c>
      <c r="T2149" s="2">
        <f t="shared" ca="1" si="2064"/>
        <v>49222423.553035669</v>
      </c>
      <c r="U2149" s="2">
        <f t="shared" ca="1" si="2065"/>
        <v>50051617.115963705</v>
      </c>
      <c r="V2149" s="2">
        <f t="shared" ca="1" si="2066"/>
        <v>50894779.149258919</v>
      </c>
      <c r="W2149" s="2">
        <f t="shared" ca="1" si="2067"/>
        <v>51752144.963677593</v>
      </c>
      <c r="X2149" s="2">
        <f t="shared" ca="1" si="2068"/>
        <v>52623953.833985716</v>
      </c>
      <c r="Y2149" s="2">
        <f t="shared" ca="1" si="2069"/>
        <v>0.12434901678571231</v>
      </c>
      <c r="Z2149" s="2">
        <f t="shared" ca="1" si="2070"/>
        <v>0.12608862349999722</v>
      </c>
      <c r="AA2149" s="2">
        <f t="shared" ca="1" si="2071"/>
        <v>6120759.9726298731</v>
      </c>
      <c r="AB2149" s="2">
        <f t="shared" ca="1" si="2072"/>
        <v>6310939.5061007645</v>
      </c>
      <c r="AC2149" s="2">
        <f t="shared" ca="1" si="2073"/>
        <v>6417252.6462664166</v>
      </c>
      <c r="AD2149" s="2">
        <f t="shared" ca="1" si="2074"/>
        <v>6525356.7216424216</v>
      </c>
      <c r="AE2149" s="2">
        <f t="shared" ca="1" si="2075"/>
        <v>6635281.90205466</v>
      </c>
      <c r="AF2149" s="2">
        <f t="shared" ca="1" si="2076"/>
        <v>984448.4710607134</v>
      </c>
      <c r="AG2149" s="2">
        <f t="shared" ca="1" si="2077"/>
        <v>1001032.3423192741</v>
      </c>
      <c r="AH2149" s="2">
        <f t="shared" ca="1" si="2078"/>
        <v>1017895.5829851785</v>
      </c>
      <c r="AI2149" s="2">
        <f t="shared" ca="1" si="2079"/>
        <v>1035042.8992735519</v>
      </c>
      <c r="AJ2149" s="2">
        <f t="shared" ca="1" si="2080"/>
        <v>1052479.0766797143</v>
      </c>
      <c r="AK2149" s="2">
        <f t="shared" ca="1" si="2081"/>
        <v>0</v>
      </c>
      <c r="AL2149" s="2">
        <f t="shared" ca="1" si="2082"/>
        <v>8291.9356292803586</v>
      </c>
      <c r="AM2149" s="2">
        <f t="shared" ca="1" si="2083"/>
        <v>8431.6203329521413</v>
      </c>
      <c r="AN2149" s="2">
        <f t="shared" ca="1" si="2084"/>
        <v>8573.6581441867347</v>
      </c>
      <c r="AO2149" s="2">
        <f t="shared" ca="1" si="2085"/>
        <v>8718.0887030812355</v>
      </c>
      <c r="AP2149" s="2">
        <f t="shared" ca="1" si="2086"/>
        <v>2280116.888367672</v>
      </c>
      <c r="AQ2149" s="2">
        <f t="shared" ca="1" si="2087"/>
        <v>742610.59943238669</v>
      </c>
      <c r="AR2149" s="2">
        <f t="shared" ca="1" si="2088"/>
        <v>787745.47160759277</v>
      </c>
      <c r="AS2149" s="2">
        <f t="shared" ca="1" si="2089"/>
        <v>811002.44547752722</v>
      </c>
      <c r="AT2149" s="2">
        <f t="shared" ca="1" si="2090"/>
        <v>834651.20284031145</v>
      </c>
      <c r="AU2149" s="2">
        <f t="shared" ca="1" si="2091"/>
        <v>858698.34362189122</v>
      </c>
      <c r="AV2149" s="2">
        <f t="shared" ca="1" si="2092"/>
        <v>2113584.0137691009</v>
      </c>
      <c r="AW2149" s="2">
        <f t="shared" ca="1" si="2093"/>
        <v>2233752.868176945</v>
      </c>
      <c r="AX2149" s="2">
        <f t="shared" ca="1" si="2094"/>
        <v>2299806.1091030859</v>
      </c>
      <c r="AY2149" s="2">
        <f t="shared" ca="1" si="2095"/>
        <v>2366972.0730166989</v>
      </c>
      <c r="AZ2149" s="2">
        <f t="shared" ca="1" si="2096"/>
        <v>2435269.504682302</v>
      </c>
      <c r="BA2149" s="2">
        <f t="shared" ca="1" si="2097"/>
        <v>52675559.336794935</v>
      </c>
      <c r="BB2149" s="2">
        <f t="shared" ca="1" si="2098"/>
        <v>1053511.1867358987</v>
      </c>
      <c r="BC2149" s="2">
        <f t="shared" ca="1" si="2099"/>
        <v>26287416.057084903</v>
      </c>
      <c r="BD2149" s="2">
        <f t="shared" ca="1" si="2100"/>
        <v>-18445364.399190012</v>
      </c>
      <c r="BE2149" s="2">
        <f t="shared" ca="1" si="2101"/>
        <v>2113584.0137691009</v>
      </c>
      <c r="BF2149" s="2">
        <f t="shared" ca="1" si="2102"/>
        <v>2233752.868176945</v>
      </c>
      <c r="BG2149" s="2">
        <f t="shared" ca="1" si="2103"/>
        <v>2299806.1091030859</v>
      </c>
      <c r="BH2149" s="2">
        <f t="shared" ca="1" si="2104"/>
        <v>2366972.0730166989</v>
      </c>
      <c r="BI2149" s="2">
        <f t="shared" ca="1" si="2105"/>
        <v>28722685.561767206</v>
      </c>
      <c r="BJ2149" s="2">
        <f t="shared" ca="1" si="2106"/>
        <v>0.1819371905693814</v>
      </c>
      <c r="BK2149" s="2">
        <f t="shared" ca="1" si="2107"/>
        <v>4661731.5568543226</v>
      </c>
    </row>
    <row r="2150" spans="1:63" x14ac:dyDescent="0.3">
      <c r="A2150" s="2">
        <v>2149</v>
      </c>
      <c r="B2150" s="2">
        <f t="shared" ca="1" si="2046"/>
        <v>0.65827199031433348</v>
      </c>
      <c r="C2150" s="2">
        <f t="shared" ca="1" si="2047"/>
        <v>7.1732860111433139</v>
      </c>
      <c r="D2150" s="2">
        <f t="shared" ca="1" si="2048"/>
        <v>0.31185705493402416</v>
      </c>
      <c r="E2150" s="2">
        <f t="shared" ca="1" si="2049"/>
        <v>7.2897557279741934</v>
      </c>
      <c r="F2150" s="2">
        <f t="shared" ca="1" si="2050"/>
        <v>0.9912744943629781</v>
      </c>
      <c r="G2150" s="2">
        <f t="shared" ca="1" si="2051"/>
        <v>0.11131195088404561</v>
      </c>
      <c r="H2150" s="2">
        <f t="shared" ca="1" si="2052"/>
        <v>0.11131195088404561</v>
      </c>
      <c r="I2150" s="2">
        <f t="shared" ca="1" si="2053"/>
        <v>0.22149359271800539</v>
      </c>
      <c r="J2150" s="2">
        <f t="shared" ca="1" si="2054"/>
        <v>6.1642066735124301E-3</v>
      </c>
      <c r="K2150" s="2">
        <f t="shared" ca="1" si="2055"/>
        <v>6.1642066735124301E-3</v>
      </c>
      <c r="L2150" s="2">
        <f t="shared" ca="1" si="2056"/>
        <v>4.661917330974763E-3</v>
      </c>
      <c r="M2150" s="2">
        <f t="shared" ca="1" si="2057"/>
        <v>-5.1998926219529069E-2</v>
      </c>
      <c r="N2150" s="2">
        <f t="shared" ca="1" si="2058"/>
        <v>-0.05</v>
      </c>
      <c r="O2150" s="2">
        <f t="shared" si="2059"/>
        <v>6000000</v>
      </c>
      <c r="P2150" s="2">
        <f t="shared" ca="1" si="2060"/>
        <v>43039716.066859886</v>
      </c>
      <c r="Q2150" s="2">
        <f t="shared" ca="1" si="2061"/>
        <v>1075992.9016714972</v>
      </c>
      <c r="R2150" s="2">
        <f t="shared" ca="1" si="2062"/>
        <v>25823829.640115932</v>
      </c>
      <c r="S2150" s="2">
        <f t="shared" ca="1" si="2063"/>
        <v>17215886.426743954</v>
      </c>
      <c r="T2150" s="2">
        <f t="shared" ca="1" si="2064"/>
        <v>47500000</v>
      </c>
      <c r="U2150" s="2">
        <f t="shared" ca="1" si="2065"/>
        <v>52787317.666992173</v>
      </c>
      <c r="V2150" s="2">
        <f t="shared" ca="1" si="2066"/>
        <v>58663176.978440918</v>
      </c>
      <c r="W2150" s="2">
        <f t="shared" ca="1" si="2067"/>
        <v>65193089.652967215</v>
      </c>
      <c r="X2150" s="2">
        <f t="shared" ca="1" si="2068"/>
        <v>72449859.646397486</v>
      </c>
      <c r="Y2150" s="2">
        <f t="shared" ca="1" si="2069"/>
        <v>0.1230821033367562</v>
      </c>
      <c r="Z2150" s="2">
        <f t="shared" ca="1" si="2070"/>
        <v>0.12431494467145869</v>
      </c>
      <c r="AA2150" s="2">
        <f t="shared" ca="1" si="2071"/>
        <v>5846399.9084959198</v>
      </c>
      <c r="AB2150" s="2">
        <f t="shared" ca="1" si="2072"/>
        <v>6562252.4751268458</v>
      </c>
      <c r="AC2150" s="2">
        <f t="shared" ca="1" si="2073"/>
        <v>7292709.6003268715</v>
      </c>
      <c r="AD2150" s="2">
        <f t="shared" ca="1" si="2074"/>
        <v>8104475.3331700657</v>
      </c>
      <c r="AE2150" s="2">
        <f t="shared" ca="1" si="2075"/>
        <v>9006600.293396851</v>
      </c>
      <c r="AF2150" s="2">
        <f t="shared" ca="1" si="2076"/>
        <v>950000</v>
      </c>
      <c r="AG2150" s="2">
        <f t="shared" ca="1" si="2077"/>
        <v>1055746.3533398435</v>
      </c>
      <c r="AH2150" s="2">
        <f t="shared" ca="1" si="2078"/>
        <v>1173263.5395688184</v>
      </c>
      <c r="AI2150" s="2">
        <f t="shared" ca="1" si="2079"/>
        <v>1303861.7930593444</v>
      </c>
      <c r="AJ2150" s="2">
        <f t="shared" ca="1" si="2080"/>
        <v>1448997.1929279498</v>
      </c>
      <c r="AK2150" s="2">
        <f t="shared" ca="1" si="2081"/>
        <v>0</v>
      </c>
      <c r="AL2150" s="2">
        <f t="shared" ca="1" si="2082"/>
        <v>52873.176669921726</v>
      </c>
      <c r="AM2150" s="2">
        <f t="shared" ca="1" si="2083"/>
        <v>58758.593114487456</v>
      </c>
      <c r="AN2150" s="2">
        <f t="shared" ca="1" si="2084"/>
        <v>65299.126745262969</v>
      </c>
      <c r="AO2150" s="2">
        <f t="shared" ca="1" si="2085"/>
        <v>72567.699934302713</v>
      </c>
      <c r="AP2150" s="2">
        <f t="shared" ca="1" si="2086"/>
        <v>2324144.6676104339</v>
      </c>
      <c r="AQ2150" s="2">
        <f t="shared" ca="1" si="2087"/>
        <v>668786.3626302263</v>
      </c>
      <c r="AR2150" s="2">
        <f t="shared" ca="1" si="2088"/>
        <v>827413.97808590787</v>
      </c>
      <c r="AS2150" s="2">
        <f t="shared" ca="1" si="2089"/>
        <v>986778.36221838114</v>
      </c>
      <c r="AT2150" s="2">
        <f t="shared" ca="1" si="2090"/>
        <v>1163881.9068500747</v>
      </c>
      <c r="AU2150" s="2">
        <f t="shared" ca="1" si="2091"/>
        <v>1360699.1925432014</v>
      </c>
      <c r="AV2150" s="2">
        <f t="shared" ca="1" si="2092"/>
        <v>1903468.8782552592</v>
      </c>
      <c r="AW2150" s="2">
        <f t="shared" ca="1" si="2093"/>
        <v>2302074.2994207386</v>
      </c>
      <c r="AX2150" s="2">
        <f t="shared" ca="1" si="2094"/>
        <v>2749764.4378147507</v>
      </c>
      <c r="AY2150" s="2">
        <f t="shared" ca="1" si="2095"/>
        <v>3247287.8389049498</v>
      </c>
      <c r="AZ2150" s="2">
        <f t="shared" ca="1" si="2096"/>
        <v>3800191.5403809631</v>
      </c>
      <c r="BA2150" s="2">
        <f t="shared" ca="1" si="2097"/>
        <v>65655916.078363746</v>
      </c>
      <c r="BB2150" s="2">
        <f t="shared" ca="1" si="2098"/>
        <v>1313118.3215672749</v>
      </c>
      <c r="BC2150" s="2">
        <f t="shared" ca="1" si="2099"/>
        <v>38518968.11668054</v>
      </c>
      <c r="BD2150" s="2">
        <f t="shared" ca="1" si="2100"/>
        <v>-18791879.328415453</v>
      </c>
      <c r="BE2150" s="2">
        <f t="shared" ca="1" si="2101"/>
        <v>1903468.8782552592</v>
      </c>
      <c r="BF2150" s="2">
        <f t="shared" ca="1" si="2102"/>
        <v>2302074.2994207386</v>
      </c>
      <c r="BG2150" s="2">
        <f t="shared" ca="1" si="2103"/>
        <v>2749764.4378147507</v>
      </c>
      <c r="BH2150" s="2">
        <f t="shared" ca="1" si="2104"/>
        <v>3247287.8389049498</v>
      </c>
      <c r="BI2150" s="2">
        <f t="shared" ca="1" si="2105"/>
        <v>42319159.657061502</v>
      </c>
      <c r="BJ2150" s="2">
        <f t="shared" ca="1" si="2106"/>
        <v>0.26248238040597149</v>
      </c>
      <c r="BK2150" s="2">
        <f t="shared" ca="1" si="2107"/>
        <v>12776811.83415113</v>
      </c>
    </row>
    <row r="2151" spans="1:63" x14ac:dyDescent="0.3">
      <c r="A2151" s="2">
        <v>2150</v>
      </c>
      <c r="B2151" s="2">
        <f t="shared" ca="1" si="2046"/>
        <v>1.3641297428291232E-2</v>
      </c>
      <c r="C2151" s="2">
        <f t="shared" ca="1" si="2047"/>
        <v>6.1651744376608635</v>
      </c>
      <c r="D2151" s="2">
        <f t="shared" ca="1" si="2048"/>
        <v>0.15994965531174121</v>
      </c>
      <c r="E2151" s="2">
        <f t="shared" ca="1" si="2049"/>
        <v>7.0655964202710999</v>
      </c>
      <c r="F2151" s="2">
        <f t="shared" ca="1" si="2050"/>
        <v>0.11084591655013587</v>
      </c>
      <c r="G2151" s="2">
        <f t="shared" ca="1" si="2051"/>
        <v>3.3387470210230197E-3</v>
      </c>
      <c r="H2151" s="2">
        <f t="shared" ca="1" si="2052"/>
        <v>3.3387470210230197E-3</v>
      </c>
      <c r="I2151" s="2">
        <f t="shared" ca="1" si="2053"/>
        <v>0.22228955112576931</v>
      </c>
      <c r="J2151" s="2">
        <f t="shared" ca="1" si="2054"/>
        <v>6.1775819669128134E-3</v>
      </c>
      <c r="K2151" s="2">
        <f t="shared" ca="1" si="2055"/>
        <v>6.1775819669128134E-3</v>
      </c>
      <c r="L2151" s="2">
        <f t="shared" ca="1" si="2056"/>
        <v>0.23629733061390867</v>
      </c>
      <c r="M2151" s="2">
        <f t="shared" ca="1" si="2057"/>
        <v>-1.4365275511312036E-2</v>
      </c>
      <c r="N2151" s="2">
        <f t="shared" ca="1" si="2058"/>
        <v>-1.4365275511312036E-2</v>
      </c>
      <c r="O2151" s="2">
        <f t="shared" si="2059"/>
        <v>6000000</v>
      </c>
      <c r="P2151" s="2">
        <f t="shared" ca="1" si="2060"/>
        <v>36991046.625965178</v>
      </c>
      <c r="Q2151" s="2">
        <f t="shared" ca="1" si="2061"/>
        <v>924776.16564912954</v>
      </c>
      <c r="R2151" s="2">
        <f t="shared" ca="1" si="2062"/>
        <v>22194627.975579105</v>
      </c>
      <c r="S2151" s="2">
        <f t="shared" ca="1" si="2063"/>
        <v>14796418.650386073</v>
      </c>
      <c r="T2151" s="2">
        <f t="shared" ca="1" si="2064"/>
        <v>49281736.224434398</v>
      </c>
      <c r="U2151" s="2">
        <f t="shared" ca="1" si="2065"/>
        <v>49446275.474444576</v>
      </c>
      <c r="V2151" s="2">
        <f t="shared" ca="1" si="2066"/>
        <v>49611364.079385564</v>
      </c>
      <c r="W2151" s="2">
        <f t="shared" ca="1" si="2067"/>
        <v>49777003.873414502</v>
      </c>
      <c r="X2151" s="2">
        <f t="shared" ca="1" si="2068"/>
        <v>49943196.696812317</v>
      </c>
      <c r="Y2151" s="2">
        <f t="shared" ca="1" si="2069"/>
        <v>0.1230887909834564</v>
      </c>
      <c r="Z2151" s="2">
        <f t="shared" ca="1" si="2070"/>
        <v>0.12432430737683897</v>
      </c>
      <c r="AA2151" s="2">
        <f t="shared" ca="1" si="2071"/>
        <v>6066029.3294312377</v>
      </c>
      <c r="AB2151" s="2">
        <f t="shared" ca="1" si="2072"/>
        <v>6147373.9507247014</v>
      </c>
      <c r="AC2151" s="2">
        <f t="shared" ca="1" si="2073"/>
        <v>6167898.4771897988</v>
      </c>
      <c r="AD2151" s="2">
        <f t="shared" ca="1" si="2074"/>
        <v>6188491.529856489</v>
      </c>
      <c r="AE2151" s="2">
        <f t="shared" ca="1" si="2075"/>
        <v>6209153.3375164233</v>
      </c>
      <c r="AF2151" s="2">
        <f t="shared" ca="1" si="2076"/>
        <v>985634.72448868793</v>
      </c>
      <c r="AG2151" s="2">
        <f t="shared" ca="1" si="2077"/>
        <v>988925.50948889158</v>
      </c>
      <c r="AH2151" s="2">
        <f t="shared" ca="1" si="2078"/>
        <v>992227.2815877113</v>
      </c>
      <c r="AI2151" s="2">
        <f t="shared" ca="1" si="2079"/>
        <v>995540.07746828999</v>
      </c>
      <c r="AJ2151" s="2">
        <f t="shared" ca="1" si="2080"/>
        <v>998863.93393624632</v>
      </c>
      <c r="AK2151" s="2">
        <f t="shared" ca="1" si="2081"/>
        <v>0</v>
      </c>
      <c r="AL2151" s="2">
        <f t="shared" ca="1" si="2082"/>
        <v>1645.3925001017749</v>
      </c>
      <c r="AM2151" s="2">
        <f t="shared" ca="1" si="2083"/>
        <v>1650.8860494098813</v>
      </c>
      <c r="AN2151" s="2">
        <f t="shared" ca="1" si="2084"/>
        <v>1656.3979402893783</v>
      </c>
      <c r="AO2151" s="2">
        <f t="shared" ca="1" si="2085"/>
        <v>1661.9282339781523</v>
      </c>
      <c r="AP2151" s="2">
        <f t="shared" ca="1" si="2086"/>
        <v>1997516.5178021195</v>
      </c>
      <c r="AQ2151" s="2">
        <f t="shared" ca="1" si="2087"/>
        <v>801548.30265651201</v>
      </c>
      <c r="AR2151" s="2">
        <f t="shared" ca="1" si="2088"/>
        <v>821842.30009275954</v>
      </c>
      <c r="AS2151" s="2">
        <f t="shared" ca="1" si="2089"/>
        <v>826320.21622799174</v>
      </c>
      <c r="AT2151" s="2">
        <f t="shared" ca="1" si="2090"/>
        <v>830813.08299238072</v>
      </c>
      <c r="AU2151" s="2">
        <f t="shared" ca="1" si="2091"/>
        <v>835320.95030229492</v>
      </c>
      <c r="AV2151" s="2">
        <f t="shared" ca="1" si="2092"/>
        <v>2281329.7844839189</v>
      </c>
      <c r="AW2151" s="2">
        <f t="shared" ca="1" si="2093"/>
        <v>2337444.2308408292</v>
      </c>
      <c r="AX2151" s="2">
        <f t="shared" ca="1" si="2094"/>
        <v>2350183.5755225662</v>
      </c>
      <c r="AY2151" s="2">
        <f t="shared" ca="1" si="2095"/>
        <v>2362965.4536534101</v>
      </c>
      <c r="AZ2151" s="2">
        <f t="shared" ca="1" si="2096"/>
        <v>2375790.0072417837</v>
      </c>
      <c r="BA2151" s="2">
        <f t="shared" ca="1" si="2097"/>
        <v>43871371.594470397</v>
      </c>
      <c r="BB2151" s="2">
        <f t="shared" ca="1" si="2098"/>
        <v>877427.43188940792</v>
      </c>
      <c r="BC2151" s="2">
        <f t="shared" ca="1" si="2099"/>
        <v>20799316.187001884</v>
      </c>
      <c r="BD2151" s="2">
        <f t="shared" ca="1" si="2100"/>
        <v>-16221194.816035202</v>
      </c>
      <c r="BE2151" s="2">
        <f t="shared" ca="1" si="2101"/>
        <v>2281329.7844839189</v>
      </c>
      <c r="BF2151" s="2">
        <f t="shared" ca="1" si="2102"/>
        <v>2337444.2308408292</v>
      </c>
      <c r="BG2151" s="2">
        <f t="shared" ca="1" si="2103"/>
        <v>2350183.5755225662</v>
      </c>
      <c r="BH2151" s="2">
        <f t="shared" ca="1" si="2104"/>
        <v>2362965.4536534101</v>
      </c>
      <c r="BI2151" s="2">
        <f t="shared" ca="1" si="2105"/>
        <v>23175106.19424367</v>
      </c>
      <c r="BJ2151" s="2">
        <f t="shared" ca="1" si="2106"/>
        <v>0.18310510788623269</v>
      </c>
      <c r="BK2151" s="2">
        <f t="shared" ca="1" si="2107"/>
        <v>4003802.1581768636</v>
      </c>
    </row>
    <row r="2152" spans="1:63" x14ac:dyDescent="0.3">
      <c r="A2152" s="2">
        <v>2151</v>
      </c>
      <c r="B2152" s="2">
        <f t="shared" ca="1" si="2046"/>
        <v>0.53180204138641518</v>
      </c>
      <c r="C2152" s="2">
        <f t="shared" ca="1" si="2047"/>
        <v>7.0323244773028666</v>
      </c>
      <c r="D2152" s="2">
        <f t="shared" ca="1" si="2048"/>
        <v>0.1804956056885364</v>
      </c>
      <c r="E2152" s="2">
        <f t="shared" ca="1" si="2049"/>
        <v>7.1008254416859131</v>
      </c>
      <c r="F2152" s="2">
        <f t="shared" ca="1" si="2050"/>
        <v>0.47008584538405562</v>
      </c>
      <c r="G2152" s="2">
        <f t="shared" ca="1" si="2051"/>
        <v>3.7748377871325768E-2</v>
      </c>
      <c r="H2152" s="2">
        <f t="shared" ca="1" si="2052"/>
        <v>3.7748377871325768E-2</v>
      </c>
      <c r="I2152" s="2">
        <f t="shared" ca="1" si="2053"/>
        <v>0.87356437512548946</v>
      </c>
      <c r="J2152" s="2">
        <f t="shared" ca="1" si="2054"/>
        <v>1.5717015695700196E-2</v>
      </c>
      <c r="K2152" s="2">
        <f t="shared" ca="1" si="2055"/>
        <v>1.5717015695700196E-2</v>
      </c>
      <c r="L2152" s="2">
        <f t="shared" ca="1" si="2056"/>
        <v>0.54430523556945587</v>
      </c>
      <c r="M2152" s="2">
        <f t="shared" ca="1" si="2057"/>
        <v>2.2257207053112357E-3</v>
      </c>
      <c r="N2152" s="2">
        <f t="shared" ca="1" si="2058"/>
        <v>2.2257207053112357E-3</v>
      </c>
      <c r="O2152" s="2">
        <f t="shared" si="2059"/>
        <v>6000000</v>
      </c>
      <c r="P2152" s="2">
        <f t="shared" ca="1" si="2060"/>
        <v>42193946.8638172</v>
      </c>
      <c r="Q2152" s="2">
        <f t="shared" ca="1" si="2061"/>
        <v>1054848.67159543</v>
      </c>
      <c r="R2152" s="2">
        <f t="shared" ca="1" si="2062"/>
        <v>25316368.11829032</v>
      </c>
      <c r="S2152" s="2">
        <f t="shared" ca="1" si="2063"/>
        <v>16877578.74552688</v>
      </c>
      <c r="T2152" s="2">
        <f t="shared" ca="1" si="2064"/>
        <v>50111286.035265557</v>
      </c>
      <c r="U2152" s="2">
        <f t="shared" ca="1" si="2065"/>
        <v>52002905.796142846</v>
      </c>
      <c r="V2152" s="2">
        <f t="shared" ca="1" si="2066"/>
        <v>53965931.134542599</v>
      </c>
      <c r="W2152" s="2">
        <f t="shared" ca="1" si="2067"/>
        <v>56003057.495187253</v>
      </c>
      <c r="X2152" s="2">
        <f t="shared" ca="1" si="2068"/>
        <v>58117082.071465157</v>
      </c>
      <c r="Y2152" s="2">
        <f t="shared" ca="1" si="2069"/>
        <v>0.12785850784785011</v>
      </c>
      <c r="Z2152" s="2">
        <f t="shared" ca="1" si="2070"/>
        <v>0.13100191098699013</v>
      </c>
      <c r="AA2152" s="2">
        <f t="shared" ca="1" si="2071"/>
        <v>6407154.2588058626</v>
      </c>
      <c r="AB2152" s="2">
        <f t="shared" ca="1" si="2072"/>
        <v>6812480.0361711383</v>
      </c>
      <c r="AC2152" s="2">
        <f t="shared" ca="1" si="2073"/>
        <v>7069640.1068173889</v>
      </c>
      <c r="AD2152" s="2">
        <f t="shared" ca="1" si="2074"/>
        <v>7336507.5529838111</v>
      </c>
      <c r="AE2152" s="2">
        <f t="shared" ca="1" si="2075"/>
        <v>7613448.812349678</v>
      </c>
      <c r="AF2152" s="2">
        <f t="shared" ca="1" si="2076"/>
        <v>1002225.7207053112</v>
      </c>
      <c r="AG2152" s="2">
        <f t="shared" ca="1" si="2077"/>
        <v>1040058.115922857</v>
      </c>
      <c r="AH2152" s="2">
        <f t="shared" ca="1" si="2078"/>
        <v>1079318.622690852</v>
      </c>
      <c r="AI2152" s="2">
        <f t="shared" ca="1" si="2079"/>
        <v>1120061.1499037452</v>
      </c>
      <c r="AJ2152" s="2">
        <f t="shared" ca="1" si="2080"/>
        <v>1162341.6414293032</v>
      </c>
      <c r="AK2152" s="2">
        <f t="shared" ca="1" si="2081"/>
        <v>0</v>
      </c>
      <c r="AL2152" s="2">
        <f t="shared" ca="1" si="2082"/>
        <v>18916.197608772891</v>
      </c>
      <c r="AM2152" s="2">
        <f t="shared" ca="1" si="2083"/>
        <v>19630.253383997529</v>
      </c>
      <c r="AN2152" s="2">
        <f t="shared" ca="1" si="2084"/>
        <v>20371.263606446533</v>
      </c>
      <c r="AO2152" s="2">
        <f t="shared" ca="1" si="2085"/>
        <v>21140.245762779043</v>
      </c>
      <c r="AP2152" s="2">
        <f t="shared" ca="1" si="2086"/>
        <v>2278473.1306461287</v>
      </c>
      <c r="AQ2152" s="2">
        <f t="shared" ca="1" si="2087"/>
        <v>812878.40593815001</v>
      </c>
      <c r="AR2152" s="2">
        <f t="shared" ca="1" si="2088"/>
        <v>908426.68529655971</v>
      </c>
      <c r="AS2152" s="2">
        <f t="shared" ca="1" si="2089"/>
        <v>965080.57190490619</v>
      </c>
      <c r="AT2152" s="2">
        <f t="shared" ca="1" si="2090"/>
        <v>1023873.0508328236</v>
      </c>
      <c r="AU2152" s="2">
        <f t="shared" ca="1" si="2091"/>
        <v>1084884.850471304</v>
      </c>
      <c r="AV2152" s="2">
        <f t="shared" ca="1" si="2092"/>
        <v>2313577.0015162728</v>
      </c>
      <c r="AW2152" s="2">
        <f t="shared" ca="1" si="2093"/>
        <v>2566605.9066968202</v>
      </c>
      <c r="AX2152" s="2">
        <f t="shared" ca="1" si="2094"/>
        <v>2727137.5281915045</v>
      </c>
      <c r="AY2152" s="2">
        <f t="shared" ca="1" si="2095"/>
        <v>2893728.9579946664</v>
      </c>
      <c r="AZ2152" s="2">
        <f t="shared" ca="1" si="2096"/>
        <v>3066608.944040163</v>
      </c>
      <c r="BA2152" s="2">
        <f t="shared" ca="1" si="2097"/>
        <v>54061771.025705993</v>
      </c>
      <c r="BB2152" s="2">
        <f t="shared" ca="1" si="2098"/>
        <v>1081235.4205141198</v>
      </c>
      <c r="BC2152" s="2">
        <f t="shared" ca="1" si="2099"/>
        <v>27664167.486901551</v>
      </c>
      <c r="BD2152" s="2">
        <f t="shared" ca="1" si="2100"/>
        <v>-18432427.417122312</v>
      </c>
      <c r="BE2152" s="2">
        <f t="shared" ca="1" si="2101"/>
        <v>2313577.0015162728</v>
      </c>
      <c r="BF2152" s="2">
        <f t="shared" ca="1" si="2102"/>
        <v>2566605.9066968202</v>
      </c>
      <c r="BG2152" s="2">
        <f t="shared" ca="1" si="2103"/>
        <v>2727137.5281915045</v>
      </c>
      <c r="BH2152" s="2">
        <f t="shared" ca="1" si="2104"/>
        <v>2893728.9579946664</v>
      </c>
      <c r="BI2152" s="2">
        <f t="shared" ca="1" si="2105"/>
        <v>30730776.430941716</v>
      </c>
      <c r="BJ2152" s="2">
        <f t="shared" ca="1" si="2106"/>
        <v>0.20951500436632342</v>
      </c>
      <c r="BK2152" s="2">
        <f t="shared" ca="1" si="2107"/>
        <v>6896956.3855835684</v>
      </c>
    </row>
    <row r="2153" spans="1:63" x14ac:dyDescent="0.3">
      <c r="A2153" s="2">
        <v>2152</v>
      </c>
      <c r="B2153" s="2">
        <f t="shared" ca="1" si="2046"/>
        <v>0.44037989146692669</v>
      </c>
      <c r="C2153" s="2">
        <f t="shared" ca="1" si="2047"/>
        <v>6.9384880302560354</v>
      </c>
      <c r="D2153" s="2">
        <f t="shared" ca="1" si="2048"/>
        <v>0.73703769789769358</v>
      </c>
      <c r="E2153" s="2">
        <f t="shared" ca="1" si="2049"/>
        <v>7.7747934058458839</v>
      </c>
      <c r="F2153" s="2">
        <f t="shared" ca="1" si="2050"/>
        <v>0.27018601017793309</v>
      </c>
      <c r="G2153" s="2">
        <f t="shared" ca="1" si="2051"/>
        <v>2.1632484364616452E-2</v>
      </c>
      <c r="H2153" s="2">
        <f t="shared" ca="1" si="2052"/>
        <v>2.1632484364616452E-2</v>
      </c>
      <c r="I2153" s="2">
        <f t="shared" ca="1" si="2053"/>
        <v>0.81241482600087389</v>
      </c>
      <c r="J2153" s="2">
        <f t="shared" ca="1" si="2054"/>
        <v>1.4434150792428446E-2</v>
      </c>
      <c r="K2153" s="2">
        <f t="shared" ca="1" si="2055"/>
        <v>1.4434150792428446E-2</v>
      </c>
      <c r="L2153" s="2">
        <f t="shared" ca="1" si="2056"/>
        <v>0.25939530005832923</v>
      </c>
      <c r="M2153" s="2">
        <f t="shared" ca="1" si="2057"/>
        <v>-1.29042156352983E-2</v>
      </c>
      <c r="N2153" s="2">
        <f t="shared" ca="1" si="2058"/>
        <v>-1.29042156352983E-2</v>
      </c>
      <c r="O2153" s="2">
        <f t="shared" si="2059"/>
        <v>6000000</v>
      </c>
      <c r="P2153" s="2">
        <f t="shared" ca="1" si="2060"/>
        <v>41630928.181536213</v>
      </c>
      <c r="Q2153" s="2">
        <f t="shared" ca="1" si="2061"/>
        <v>1040773.2045384054</v>
      </c>
      <c r="R2153" s="2">
        <f t="shared" ca="1" si="2062"/>
        <v>24978556.908921726</v>
      </c>
      <c r="S2153" s="2">
        <f t="shared" ca="1" si="2063"/>
        <v>16652371.272614487</v>
      </c>
      <c r="T2153" s="2">
        <f t="shared" ca="1" si="2064"/>
        <v>49354789.218235083</v>
      </c>
      <c r="U2153" s="2">
        <f t="shared" ca="1" si="2065"/>
        <v>50422455.924317494</v>
      </c>
      <c r="V2153" s="2">
        <f t="shared" ca="1" si="2066"/>
        <v>51513218.91372586</v>
      </c>
      <c r="W2153" s="2">
        <f t="shared" ca="1" si="2067"/>
        <v>52627577.8164481</v>
      </c>
      <c r="X2153" s="2">
        <f t="shared" ca="1" si="2068"/>
        <v>53766043.070710056</v>
      </c>
      <c r="Y2153" s="2">
        <f t="shared" ca="1" si="2069"/>
        <v>0.12721707539621421</v>
      </c>
      <c r="Z2153" s="2">
        <f t="shared" ca="1" si="2070"/>
        <v>0.13010390555469992</v>
      </c>
      <c r="AA2153" s="2">
        <f t="shared" ca="1" si="2071"/>
        <v>6278771.9411404729</v>
      </c>
      <c r="AB2153" s="2">
        <f t="shared" ca="1" si="2072"/>
        <v>6560158.4434134224</v>
      </c>
      <c r="AC2153" s="2">
        <f t="shared" ca="1" si="2073"/>
        <v>6702070.968369971</v>
      </c>
      <c r="AD2153" s="2">
        <f t="shared" ca="1" si="2074"/>
        <v>6847053.4138037842</v>
      </c>
      <c r="AE2153" s="2">
        <f t="shared" ca="1" si="2075"/>
        <v>6995172.189721589</v>
      </c>
      <c r="AF2153" s="2">
        <f t="shared" ca="1" si="2076"/>
        <v>987095.78436470171</v>
      </c>
      <c r="AG2153" s="2">
        <f t="shared" ca="1" si="2077"/>
        <v>1008449.1184863499</v>
      </c>
      <c r="AH2153" s="2">
        <f t="shared" ca="1" si="2078"/>
        <v>1030264.3782745173</v>
      </c>
      <c r="AI2153" s="2">
        <f t="shared" ca="1" si="2079"/>
        <v>1052551.5563289621</v>
      </c>
      <c r="AJ2153" s="2">
        <f t="shared" ca="1" si="2080"/>
        <v>1075320.8614142011</v>
      </c>
      <c r="AK2153" s="2">
        <f t="shared" ca="1" si="2081"/>
        <v>0</v>
      </c>
      <c r="AL2153" s="2">
        <f t="shared" ca="1" si="2082"/>
        <v>10676.667060824111</v>
      </c>
      <c r="AM2153" s="2">
        <f t="shared" ca="1" si="2083"/>
        <v>10907.629894083664</v>
      </c>
      <c r="AN2153" s="2">
        <f t="shared" ca="1" si="2084"/>
        <v>11143.589027222395</v>
      </c>
      <c r="AO2153" s="2">
        <f t="shared" ca="1" si="2085"/>
        <v>11384.652542619557</v>
      </c>
      <c r="AP2153" s="2">
        <f t="shared" ca="1" si="2086"/>
        <v>2248070.1218029554</v>
      </c>
      <c r="AQ2153" s="2">
        <f t="shared" ca="1" si="2087"/>
        <v>791337.56909293204</v>
      </c>
      <c r="AR2153" s="2">
        <f t="shared" ca="1" si="2088"/>
        <v>858946.1928122706</v>
      </c>
      <c r="AS2153" s="2">
        <f t="shared" ca="1" si="2089"/>
        <v>890171.48175604967</v>
      </c>
      <c r="AT2153" s="2">
        <f t="shared" ca="1" si="2090"/>
        <v>922072.25127468549</v>
      </c>
      <c r="AU2153" s="2">
        <f t="shared" ca="1" si="2091"/>
        <v>954663.11369115266</v>
      </c>
      <c r="AV2153" s="2">
        <f t="shared" ca="1" si="2092"/>
        <v>2252268.4658798832</v>
      </c>
      <c r="AW2153" s="2">
        <f t="shared" ca="1" si="2093"/>
        <v>2434016.343251023</v>
      </c>
      <c r="AX2153" s="2">
        <f t="shared" ca="1" si="2094"/>
        <v>2522657.3566423659</v>
      </c>
      <c r="AY2153" s="2">
        <f t="shared" ca="1" si="2095"/>
        <v>2613215.8953699595</v>
      </c>
      <c r="AZ2153" s="2">
        <f t="shared" ca="1" si="2096"/>
        <v>2705733.44027066</v>
      </c>
      <c r="BA2153" s="2">
        <f t="shared" ca="1" si="2097"/>
        <v>54386018.613403924</v>
      </c>
      <c r="BB2153" s="2">
        <f t="shared" ca="1" si="2098"/>
        <v>1087720.3722680784</v>
      </c>
      <c r="BC2153" s="2">
        <f t="shared" ca="1" si="2099"/>
        <v>28319741.332214121</v>
      </c>
      <c r="BD2153" s="2">
        <f t="shared" ca="1" si="2100"/>
        <v>-18193144.477152891</v>
      </c>
      <c r="BE2153" s="2">
        <f t="shared" ca="1" si="2101"/>
        <v>2252268.4658798832</v>
      </c>
      <c r="BF2153" s="2">
        <f t="shared" ca="1" si="2102"/>
        <v>2434016.343251023</v>
      </c>
      <c r="BG2153" s="2">
        <f t="shared" ca="1" si="2103"/>
        <v>2522657.3566423659</v>
      </c>
      <c r="BH2153" s="2">
        <f t="shared" ca="1" si="2104"/>
        <v>2613215.8953699595</v>
      </c>
      <c r="BI2153" s="2">
        <f t="shared" ca="1" si="2105"/>
        <v>31025474.772484779</v>
      </c>
      <c r="BJ2153" s="2">
        <f t="shared" ca="1" si="2106"/>
        <v>0.20894866507909793</v>
      </c>
      <c r="BK2153" s="2">
        <f t="shared" ca="1" si="2107"/>
        <v>6819203.6570081599</v>
      </c>
    </row>
    <row r="2154" spans="1:63" x14ac:dyDescent="0.3">
      <c r="A2154" s="2">
        <v>2153</v>
      </c>
      <c r="B2154" s="2">
        <f t="shared" ca="1" si="2046"/>
        <v>0.6453192740726269</v>
      </c>
      <c r="C2154" s="2">
        <f t="shared" ca="1" si="2047"/>
        <v>7.1577640165281782</v>
      </c>
      <c r="D2154" s="2">
        <f t="shared" ca="1" si="2048"/>
        <v>4.6303441021880776E-2</v>
      </c>
      <c r="E2154" s="2">
        <f t="shared" ca="1" si="2049"/>
        <v>6.8043137887834888</v>
      </c>
      <c r="F2154" s="2">
        <f t="shared" ca="1" si="2050"/>
        <v>0.75744097068396887</v>
      </c>
      <c r="G2154" s="2">
        <f t="shared" ca="1" si="2051"/>
        <v>6.0942836862674675E-2</v>
      </c>
      <c r="H2154" s="2">
        <f t="shared" ca="1" si="2052"/>
        <v>6.0942836862674675E-2</v>
      </c>
      <c r="I2154" s="2">
        <f t="shared" ca="1" si="2053"/>
        <v>0.41046901413761439</v>
      </c>
      <c r="J2154" s="2">
        <f t="shared" ca="1" si="2054"/>
        <v>8.8683066752718292E-3</v>
      </c>
      <c r="K2154" s="2">
        <f t="shared" ca="1" si="2055"/>
        <v>8.8683066752718292E-3</v>
      </c>
      <c r="L2154" s="2">
        <f t="shared" ca="1" si="2056"/>
        <v>0.11389496936327337</v>
      </c>
      <c r="M2154" s="2">
        <f t="shared" ca="1" si="2057"/>
        <v>-2.4121429169933775E-2</v>
      </c>
      <c r="N2154" s="2">
        <f t="shared" ca="1" si="2058"/>
        <v>-2.4121429169933775E-2</v>
      </c>
      <c r="O2154" s="2">
        <f t="shared" si="2059"/>
        <v>6000000</v>
      </c>
      <c r="P2154" s="2">
        <f t="shared" ca="1" si="2060"/>
        <v>42946584.099169068</v>
      </c>
      <c r="Q2154" s="2">
        <f t="shared" ca="1" si="2061"/>
        <v>1073664.6024792267</v>
      </c>
      <c r="R2154" s="2">
        <f t="shared" ca="1" si="2062"/>
        <v>25767950.459501442</v>
      </c>
      <c r="S2154" s="2">
        <f t="shared" ca="1" si="2063"/>
        <v>17178633.639667626</v>
      </c>
      <c r="T2154" s="2">
        <f t="shared" ca="1" si="2064"/>
        <v>48793928.54150331</v>
      </c>
      <c r="U2154" s="2">
        <f t="shared" ca="1" si="2065"/>
        <v>51767568.968497157</v>
      </c>
      <c r="V2154" s="2">
        <f t="shared" ca="1" si="2066"/>
        <v>54922431.478921548</v>
      </c>
      <c r="W2154" s="2">
        <f t="shared" ca="1" si="2067"/>
        <v>58269560.260642894</v>
      </c>
      <c r="X2154" s="2">
        <f t="shared" ca="1" si="2068"/>
        <v>61820672.565667048</v>
      </c>
      <c r="Y2154" s="2">
        <f t="shared" ca="1" si="2069"/>
        <v>0.12443415333763591</v>
      </c>
      <c r="Z2154" s="2">
        <f t="shared" ca="1" si="2070"/>
        <v>0.12620781467269027</v>
      </c>
      <c r="AA2154" s="2">
        <f t="shared" ca="1" si="2071"/>
        <v>6071631.1860790718</v>
      </c>
      <c r="AB2154" s="2">
        <f t="shared" ca="1" si="2072"/>
        <v>6533471.7504318012</v>
      </c>
      <c r="AC2154" s="2">
        <f t="shared" ca="1" si="2073"/>
        <v>6931640.0534652602</v>
      </c>
      <c r="AD2154" s="2">
        <f t="shared" ca="1" si="2074"/>
        <v>7354073.862434376</v>
      </c>
      <c r="AE2154" s="2">
        <f t="shared" ca="1" si="2075"/>
        <v>7802251.9861087743</v>
      </c>
      <c r="AF2154" s="2">
        <f t="shared" ca="1" si="2076"/>
        <v>975878.57083006622</v>
      </c>
      <c r="AG2154" s="2">
        <f t="shared" ca="1" si="2077"/>
        <v>1035351.3793699432</v>
      </c>
      <c r="AH2154" s="2">
        <f t="shared" ca="1" si="2078"/>
        <v>1098448.6295784309</v>
      </c>
      <c r="AI2154" s="2">
        <f t="shared" ca="1" si="2079"/>
        <v>1165391.2052128578</v>
      </c>
      <c r="AJ2154" s="2">
        <f t="shared" ca="1" si="2080"/>
        <v>1236413.451313341</v>
      </c>
      <c r="AK2154" s="2">
        <f t="shared" ca="1" si="2081"/>
        <v>0</v>
      </c>
      <c r="AL2154" s="2">
        <f t="shared" ca="1" si="2082"/>
        <v>29736.40426993847</v>
      </c>
      <c r="AM2154" s="2">
        <f t="shared" ca="1" si="2083"/>
        <v>31548.625104243903</v>
      </c>
      <c r="AN2154" s="2">
        <f t="shared" ca="1" si="2084"/>
        <v>33471.287817213459</v>
      </c>
      <c r="AO2154" s="2">
        <f t="shared" ca="1" si="2085"/>
        <v>35511.123050241549</v>
      </c>
      <c r="AP2154" s="2">
        <f t="shared" ca="1" si="2086"/>
        <v>2319115.5413551298</v>
      </c>
      <c r="AQ2154" s="2">
        <f t="shared" ca="1" si="2087"/>
        <v>721925.63921240787</v>
      </c>
      <c r="AR2154" s="2">
        <f t="shared" ca="1" si="2088"/>
        <v>826541.25572374929</v>
      </c>
      <c r="AS2154" s="2">
        <f t="shared" ca="1" si="2089"/>
        <v>913659.72945824184</v>
      </c>
      <c r="AT2154" s="2">
        <f t="shared" ca="1" si="2090"/>
        <v>1006087.4501252611</v>
      </c>
      <c r="AU2154" s="2">
        <f t="shared" ca="1" si="2091"/>
        <v>1104147.978294479</v>
      </c>
      <c r="AV2154" s="2">
        <f t="shared" ca="1" si="2092"/>
        <v>2054711.4346814682</v>
      </c>
      <c r="AW2154" s="2">
        <f t="shared" ca="1" si="2093"/>
        <v>2322727.1697130403</v>
      </c>
      <c r="AX2154" s="2">
        <f t="shared" ca="1" si="2094"/>
        <v>2568867.5279692137</v>
      </c>
      <c r="AY2154" s="2">
        <f t="shared" ca="1" si="2095"/>
        <v>2830008.3779239138</v>
      </c>
      <c r="AZ2154" s="2">
        <f t="shared" ca="1" si="2096"/>
        <v>3107063.892095583</v>
      </c>
      <c r="BA2154" s="2">
        <f t="shared" ca="1" si="2097"/>
        <v>53088970.772643298</v>
      </c>
      <c r="BB2154" s="2">
        <f t="shared" ca="1" si="2098"/>
        <v>1061779.4154528659</v>
      </c>
      <c r="BC2154" s="2">
        <f t="shared" ca="1" si="2099"/>
        <v>26259240.897688992</v>
      </c>
      <c r="BD2154" s="2">
        <f t="shared" ca="1" si="2100"/>
        <v>-18752298.242146853</v>
      </c>
      <c r="BE2154" s="2">
        <f t="shared" ca="1" si="2101"/>
        <v>2054711.4346814682</v>
      </c>
      <c r="BF2154" s="2">
        <f t="shared" ca="1" si="2102"/>
        <v>2322727.1697130403</v>
      </c>
      <c r="BG2154" s="2">
        <f t="shared" ca="1" si="2103"/>
        <v>2568867.5279692137</v>
      </c>
      <c r="BH2154" s="2">
        <f t="shared" ca="1" si="2104"/>
        <v>2830008.3779239138</v>
      </c>
      <c r="BI2154" s="2">
        <f t="shared" ca="1" si="2105"/>
        <v>29366304.789784577</v>
      </c>
      <c r="BJ2154" s="2">
        <f t="shared" ca="1" si="2106"/>
        <v>0.18778142157502309</v>
      </c>
      <c r="BK2154" s="2">
        <f t="shared" ca="1" si="2107"/>
        <v>5224150.0605424196</v>
      </c>
    </row>
    <row r="2155" spans="1:63" x14ac:dyDescent="0.3">
      <c r="A2155" s="2">
        <v>2154</v>
      </c>
      <c r="B2155" s="2">
        <f t="shared" ca="1" si="2046"/>
        <v>0.16825147518172556</v>
      </c>
      <c r="C2155" s="2">
        <f t="shared" ca="1" si="2047"/>
        <v>6.5800887435241711</v>
      </c>
      <c r="D2155" s="2">
        <f t="shared" ca="1" si="2048"/>
        <v>0.77406661778522179</v>
      </c>
      <c r="E2155" s="2">
        <f t="shared" ca="1" si="2049"/>
        <v>7.8277896427236815</v>
      </c>
      <c r="F2155" s="2">
        <f t="shared" ca="1" si="2050"/>
        <v>0.6396098567867845</v>
      </c>
      <c r="G2155" s="2">
        <f t="shared" ca="1" si="2051"/>
        <v>5.0722484571330481E-2</v>
      </c>
      <c r="H2155" s="2">
        <f t="shared" ca="1" si="2052"/>
        <v>5.0722484571330481E-2</v>
      </c>
      <c r="I2155" s="2">
        <f t="shared" ca="1" si="2053"/>
        <v>5.5875708052860351E-2</v>
      </c>
      <c r="J2155" s="2">
        <f t="shared" ca="1" si="2054"/>
        <v>2.0481497258942067E-3</v>
      </c>
      <c r="K2155" s="2">
        <f t="shared" ca="1" si="2055"/>
        <v>2.0481497258942067E-3</v>
      </c>
      <c r="L2155" s="2">
        <f t="shared" ca="1" si="2056"/>
        <v>0.12853893629494684</v>
      </c>
      <c r="M2155" s="2">
        <f t="shared" ca="1" si="2057"/>
        <v>-2.2666496394203706E-2</v>
      </c>
      <c r="N2155" s="2">
        <f t="shared" ca="1" si="2058"/>
        <v>-2.2666496394203706E-2</v>
      </c>
      <c r="O2155" s="2">
        <f t="shared" si="2059"/>
        <v>6000000</v>
      </c>
      <c r="P2155" s="2">
        <f t="shared" ca="1" si="2060"/>
        <v>39480532.461145028</v>
      </c>
      <c r="Q2155" s="2">
        <f t="shared" ca="1" si="2061"/>
        <v>987013.31152862578</v>
      </c>
      <c r="R2155" s="2">
        <f t="shared" ca="1" si="2062"/>
        <v>23688319.476687018</v>
      </c>
      <c r="S2155" s="2">
        <f t="shared" ca="1" si="2063"/>
        <v>15792212.984458013</v>
      </c>
      <c r="T2155" s="2">
        <f t="shared" ca="1" si="2064"/>
        <v>48866675.180289812</v>
      </c>
      <c r="U2155" s="2">
        <f t="shared" ca="1" si="2065"/>
        <v>51345314.358174287</v>
      </c>
      <c r="V2155" s="2">
        <f t="shared" ca="1" si="2066"/>
        <v>53949676.273516901</v>
      </c>
      <c r="W2155" s="2">
        <f t="shared" ca="1" si="2067"/>
        <v>56686137.895928636</v>
      </c>
      <c r="X2155" s="2">
        <f t="shared" ca="1" si="2068"/>
        <v>59561399.650763191</v>
      </c>
      <c r="Y2155" s="2">
        <f t="shared" ca="1" si="2069"/>
        <v>0.1210240748629471</v>
      </c>
      <c r="Z2155" s="2">
        <f t="shared" ca="1" si="2070"/>
        <v>0.12143370480812594</v>
      </c>
      <c r="AA2155" s="2">
        <f t="shared" ca="1" si="2071"/>
        <v>5914044.1553227128</v>
      </c>
      <c r="AB2155" s="2">
        <f t="shared" ca="1" si="2072"/>
        <v>6235051.7470509671</v>
      </c>
      <c r="AC2155" s="2">
        <f t="shared" ca="1" si="2073"/>
        <v>6551309.0630922075</v>
      </c>
      <c r="AD2155" s="2">
        <f t="shared" ca="1" si="2074"/>
        <v>6883607.7359669199</v>
      </c>
      <c r="AE2155" s="2">
        <f t="shared" ca="1" si="2075"/>
        <v>7232761.4231495932</v>
      </c>
      <c r="AF2155" s="2">
        <f t="shared" ca="1" si="2076"/>
        <v>977333.50360579626</v>
      </c>
      <c r="AG2155" s="2">
        <f t="shared" ca="1" si="2077"/>
        <v>1026906.2871634858</v>
      </c>
      <c r="AH2155" s="2">
        <f t="shared" ca="1" si="2078"/>
        <v>1078993.5254703381</v>
      </c>
      <c r="AI2155" s="2">
        <f t="shared" ca="1" si="2079"/>
        <v>1133722.7579185728</v>
      </c>
      <c r="AJ2155" s="2">
        <f t="shared" ca="1" si="2080"/>
        <v>1191227.9930152639</v>
      </c>
      <c r="AK2155" s="2">
        <f t="shared" ca="1" si="2081"/>
        <v>0</v>
      </c>
      <c r="AL2155" s="2">
        <f t="shared" ca="1" si="2082"/>
        <v>24786.391778844743</v>
      </c>
      <c r="AM2155" s="2">
        <f t="shared" ca="1" si="2083"/>
        <v>26043.619153426142</v>
      </c>
      <c r="AN2155" s="2">
        <f t="shared" ca="1" si="2084"/>
        <v>27364.616224117355</v>
      </c>
      <c r="AO2155" s="2">
        <f t="shared" ca="1" si="2085"/>
        <v>28752.617548345552</v>
      </c>
      <c r="AP2155" s="2">
        <f t="shared" ca="1" si="2086"/>
        <v>2131948.7529018316</v>
      </c>
      <c r="AQ2155" s="2">
        <f t="shared" ca="1" si="2087"/>
        <v>729238.09369192214</v>
      </c>
      <c r="AR2155" s="2">
        <f t="shared" ca="1" si="2088"/>
        <v>799811.14381626889</v>
      </c>
      <c r="AS2155" s="2">
        <f t="shared" ca="1" si="2089"/>
        <v>868495.36402720993</v>
      </c>
      <c r="AT2155" s="2">
        <f t="shared" ca="1" si="2090"/>
        <v>940663.41853809403</v>
      </c>
      <c r="AU2155" s="2">
        <f t="shared" ca="1" si="2091"/>
        <v>1016492.0160804493</v>
      </c>
      <c r="AV2155" s="2">
        <f t="shared" ca="1" si="2092"/>
        <v>2075523.8051231634</v>
      </c>
      <c r="AW2155" s="2">
        <f t="shared" ca="1" si="2093"/>
        <v>2251599.1713905362</v>
      </c>
      <c r="AX2155" s="2">
        <f t="shared" ca="1" si="2094"/>
        <v>2445827.8015394025</v>
      </c>
      <c r="AY2155" s="2">
        <f t="shared" ca="1" si="2095"/>
        <v>2649908.1903843042</v>
      </c>
      <c r="AZ2155" s="2">
        <f t="shared" ca="1" si="2096"/>
        <v>2864340.0436037024</v>
      </c>
      <c r="BA2155" s="2">
        <f t="shared" ca="1" si="2097"/>
        <v>56616534.956421778</v>
      </c>
      <c r="BB2155" s="2">
        <f t="shared" ca="1" si="2098"/>
        <v>1132330.6991284357</v>
      </c>
      <c r="BC2155" s="2">
        <f t="shared" ca="1" si="2099"/>
        <v>31795884.780606326</v>
      </c>
      <c r="BD2155" s="2">
        <f t="shared" ca="1" si="2100"/>
        <v>-17279226.295986637</v>
      </c>
      <c r="BE2155" s="2">
        <f t="shared" ca="1" si="2101"/>
        <v>2075523.8051231634</v>
      </c>
      <c r="BF2155" s="2">
        <f t="shared" ca="1" si="2102"/>
        <v>2251599.1713905362</v>
      </c>
      <c r="BG2155" s="2">
        <f t="shared" ca="1" si="2103"/>
        <v>2445827.8015394025</v>
      </c>
      <c r="BH2155" s="2">
        <f t="shared" ca="1" si="2104"/>
        <v>2649908.1903843042</v>
      </c>
      <c r="BI2155" s="2">
        <f t="shared" ca="1" si="2105"/>
        <v>34660224.824210025</v>
      </c>
      <c r="BJ2155" s="2">
        <f t="shared" ca="1" si="2106"/>
        <v>0.24147574269601302</v>
      </c>
      <c r="BK2155" s="2">
        <f t="shared" ca="1" si="2107"/>
        <v>9460979.9030112363</v>
      </c>
    </row>
    <row r="2156" spans="1:63" x14ac:dyDescent="0.3">
      <c r="A2156" s="2">
        <v>2155</v>
      </c>
      <c r="B2156" s="2">
        <f t="shared" ca="1" si="2046"/>
        <v>0.51493754908578993</v>
      </c>
      <c r="C2156" s="2">
        <f t="shared" ca="1" si="2047"/>
        <v>7.0150508125652262</v>
      </c>
      <c r="D2156" s="2">
        <f t="shared" ca="1" si="2048"/>
        <v>0.41185526037475872</v>
      </c>
      <c r="E2156" s="2">
        <f t="shared" ca="1" si="2049"/>
        <v>7.4075849936780118</v>
      </c>
      <c r="F2156" s="2">
        <f t="shared" ca="1" si="2050"/>
        <v>0.45886969236471298</v>
      </c>
      <c r="G2156" s="2">
        <f t="shared" ca="1" si="2051"/>
        <v>3.6901548452076618E-2</v>
      </c>
      <c r="H2156" s="2">
        <f t="shared" ca="1" si="2052"/>
        <v>3.6901548452076618E-2</v>
      </c>
      <c r="I2156" s="2">
        <f t="shared" ca="1" si="2053"/>
        <v>0.91206926044040237</v>
      </c>
      <c r="J2156" s="2">
        <f t="shared" ca="1" si="2054"/>
        <v>1.6768039908344808E-2</v>
      </c>
      <c r="K2156" s="2">
        <f t="shared" ca="1" si="2055"/>
        <v>1.6768039908344808E-2</v>
      </c>
      <c r="L2156" s="2">
        <f t="shared" ca="1" si="2056"/>
        <v>0.58790270406238843</v>
      </c>
      <c r="M2156" s="2">
        <f t="shared" ca="1" si="2057"/>
        <v>4.443064845225924E-3</v>
      </c>
      <c r="N2156" s="2">
        <f t="shared" ca="1" si="2058"/>
        <v>4.443064845225924E-3</v>
      </c>
      <c r="O2156" s="2">
        <f t="shared" si="2059"/>
        <v>6000000</v>
      </c>
      <c r="P2156" s="2">
        <f t="shared" ca="1" si="2060"/>
        <v>42090304.875391357</v>
      </c>
      <c r="Q2156" s="2">
        <f t="shared" ca="1" si="2061"/>
        <v>1052257.621884784</v>
      </c>
      <c r="R2156" s="2">
        <f t="shared" ca="1" si="2062"/>
        <v>25254182.925234813</v>
      </c>
      <c r="S2156" s="2">
        <f t="shared" ca="1" si="2063"/>
        <v>16836121.950156543</v>
      </c>
      <c r="T2156" s="2">
        <f t="shared" ca="1" si="2064"/>
        <v>50222153.242261291</v>
      </c>
      <c r="U2156" s="2">
        <f t="shared" ca="1" si="2065"/>
        <v>52075428.46349822</v>
      </c>
      <c r="V2156" s="2">
        <f t="shared" ca="1" si="2066"/>
        <v>53997092.410106651</v>
      </c>
      <c r="W2156" s="2">
        <f t="shared" ca="1" si="2067"/>
        <v>55989668.731949463</v>
      </c>
      <c r="X2156" s="2">
        <f t="shared" ca="1" si="2068"/>
        <v>58055774.205477223</v>
      </c>
      <c r="Y2156" s="2">
        <f t="shared" ca="1" si="2069"/>
        <v>0.1283840199541724</v>
      </c>
      <c r="Z2156" s="2">
        <f t="shared" ca="1" si="2070"/>
        <v>0.13173762793584137</v>
      </c>
      <c r="AA2156" s="2">
        <f t="shared" ca="1" si="2071"/>
        <v>6447721.9239959773</v>
      </c>
      <c r="AB2156" s="2">
        <f t="shared" ca="1" si="2072"/>
        <v>6860293.4195238519</v>
      </c>
      <c r="AC2156" s="2">
        <f t="shared" ca="1" si="2073"/>
        <v>7113448.8695398746</v>
      </c>
      <c r="AD2156" s="2">
        <f t="shared" ca="1" si="2074"/>
        <v>7375946.1476605702</v>
      </c>
      <c r="AE2156" s="2">
        <f t="shared" ca="1" si="2075"/>
        <v>7648129.9818083756</v>
      </c>
      <c r="AF2156" s="2">
        <f t="shared" ca="1" si="2076"/>
        <v>1004443.0648452258</v>
      </c>
      <c r="AG2156" s="2">
        <f t="shared" ca="1" si="2077"/>
        <v>1041508.5692699645</v>
      </c>
      <c r="AH2156" s="2">
        <f t="shared" ca="1" si="2078"/>
        <v>1079941.8482021331</v>
      </c>
      <c r="AI2156" s="2">
        <f t="shared" ca="1" si="2079"/>
        <v>1119793.3746389893</v>
      </c>
      <c r="AJ2156" s="2">
        <f t="shared" ca="1" si="2080"/>
        <v>1161115.4841095444</v>
      </c>
      <c r="AK2156" s="2">
        <f t="shared" ca="1" si="2081"/>
        <v>0</v>
      </c>
      <c r="AL2156" s="2">
        <f t="shared" ca="1" si="2082"/>
        <v>18532.752212369294</v>
      </c>
      <c r="AM2156" s="2">
        <f t="shared" ca="1" si="2083"/>
        <v>19216.639466084318</v>
      </c>
      <c r="AN2156" s="2">
        <f t="shared" ca="1" si="2084"/>
        <v>19925.763218428121</v>
      </c>
      <c r="AO2156" s="2">
        <f t="shared" ca="1" si="2085"/>
        <v>20661.054735277594</v>
      </c>
      <c r="AP2156" s="2">
        <f t="shared" ca="1" si="2086"/>
        <v>2272876.4632711331</v>
      </c>
      <c r="AQ2156" s="2">
        <f t="shared" ca="1" si="2087"/>
        <v>824304.62292870076</v>
      </c>
      <c r="AR2156" s="2">
        <f t="shared" ca="1" si="2088"/>
        <v>921936.18061551615</v>
      </c>
      <c r="AS2156" s="2">
        <f t="shared" ca="1" si="2089"/>
        <v>977763.94509731838</v>
      </c>
      <c r="AT2156" s="2">
        <f t="shared" ca="1" si="2090"/>
        <v>1035651.8405351164</v>
      </c>
      <c r="AU2156" s="2">
        <f t="shared" ca="1" si="2091"/>
        <v>1095675.8889512017</v>
      </c>
      <c r="AV2156" s="2">
        <f t="shared" ca="1" si="2092"/>
        <v>2346097.7729509179</v>
      </c>
      <c r="AW2156" s="2">
        <f t="shared" ca="1" si="2093"/>
        <v>2605439.4541548691</v>
      </c>
      <c r="AX2156" s="2">
        <f t="shared" ca="1" si="2094"/>
        <v>2763649.9735032064</v>
      </c>
      <c r="AY2156" s="2">
        <f t="shared" ca="1" si="2095"/>
        <v>2927698.7059969031</v>
      </c>
      <c r="AZ2156" s="2">
        <f t="shared" ca="1" si="2096"/>
        <v>3097801.0907412185</v>
      </c>
      <c r="BA2156" s="2">
        <f t="shared" ca="1" si="2097"/>
        <v>56654172.882942609</v>
      </c>
      <c r="BB2156" s="2">
        <f t="shared" ca="1" si="2098"/>
        <v>1133083.4576588522</v>
      </c>
      <c r="BC2156" s="2">
        <f t="shared" ca="1" si="2099"/>
        <v>30266906.500048943</v>
      </c>
      <c r="BD2156" s="2">
        <f t="shared" ca="1" si="2100"/>
        <v>-18388379.572041329</v>
      </c>
      <c r="BE2156" s="2">
        <f t="shared" ca="1" si="2101"/>
        <v>2346097.7729509179</v>
      </c>
      <c r="BF2156" s="2">
        <f t="shared" ca="1" si="2102"/>
        <v>2605439.4541548691</v>
      </c>
      <c r="BG2156" s="2">
        <f t="shared" ca="1" si="2103"/>
        <v>2763649.9735032064</v>
      </c>
      <c r="BH2156" s="2">
        <f t="shared" ca="1" si="2104"/>
        <v>2927698.7059969031</v>
      </c>
      <c r="BI2156" s="2">
        <f t="shared" ca="1" si="2105"/>
        <v>33364707.59079016</v>
      </c>
      <c r="BJ2156" s="2">
        <f t="shared" ca="1" si="2106"/>
        <v>0.22763487893748313</v>
      </c>
      <c r="BK2156" s="2">
        <f t="shared" ca="1" si="2107"/>
        <v>8543139.0025669038</v>
      </c>
    </row>
    <row r="2157" spans="1:63" x14ac:dyDescent="0.3">
      <c r="A2157" s="2">
        <v>2156</v>
      </c>
      <c r="B2157" s="2">
        <f t="shared" ca="1" si="2046"/>
        <v>0.69053111044701576</v>
      </c>
      <c r="C2157" s="2">
        <f t="shared" ca="1" si="2047"/>
        <v>7.2132740126918593</v>
      </c>
      <c r="D2157" s="2">
        <f t="shared" ca="1" si="2048"/>
        <v>0.1991982247267382</v>
      </c>
      <c r="E2157" s="2">
        <f t="shared" ca="1" si="2049"/>
        <v>7.1311865409318198</v>
      </c>
      <c r="F2157" s="2">
        <f t="shared" ca="1" si="2050"/>
        <v>0.17807920381510534</v>
      </c>
      <c r="G2157" s="2">
        <f t="shared" ca="1" si="2051"/>
        <v>1.2318703136032911E-2</v>
      </c>
      <c r="H2157" s="2">
        <f t="shared" ca="1" si="2052"/>
        <v>1.2318703136032911E-2</v>
      </c>
      <c r="I2157" s="2">
        <f t="shared" ca="1" si="2053"/>
        <v>9.3390104019630438E-2</v>
      </c>
      <c r="J2157" s="2">
        <f t="shared" ca="1" si="2054"/>
        <v>3.3991790934061209E-3</v>
      </c>
      <c r="K2157" s="2">
        <f t="shared" ca="1" si="2055"/>
        <v>3.3991790934061209E-3</v>
      </c>
      <c r="L2157" s="2">
        <f t="shared" ca="1" si="2056"/>
        <v>0.24168161710668012</v>
      </c>
      <c r="M2157" s="2">
        <f t="shared" ca="1" si="2057"/>
        <v>-1.401807018721008E-2</v>
      </c>
      <c r="N2157" s="2">
        <f t="shared" ca="1" si="2058"/>
        <v>-1.401807018721008E-2</v>
      </c>
      <c r="O2157" s="2">
        <f t="shared" si="2059"/>
        <v>6000000</v>
      </c>
      <c r="P2157" s="2">
        <f t="shared" ca="1" si="2060"/>
        <v>43279644.076151155</v>
      </c>
      <c r="Q2157" s="2">
        <f t="shared" ca="1" si="2061"/>
        <v>1081991.101903779</v>
      </c>
      <c r="R2157" s="2">
        <f t="shared" ca="1" si="2062"/>
        <v>25967786.445690691</v>
      </c>
      <c r="S2157" s="2">
        <f t="shared" ca="1" si="2063"/>
        <v>17311857.630460463</v>
      </c>
      <c r="T2157" s="2">
        <f t="shared" ca="1" si="2064"/>
        <v>49299096.490639493</v>
      </c>
      <c r="U2157" s="2">
        <f t="shared" ca="1" si="2065"/>
        <v>49906397.425182328</v>
      </c>
      <c r="V2157" s="2">
        <f t="shared" ca="1" si="2066"/>
        <v>50521179.519652031</v>
      </c>
      <c r="W2157" s="2">
        <f t="shared" ca="1" si="2067"/>
        <v>51143534.932236858</v>
      </c>
      <c r="X2157" s="2">
        <f t="shared" ca="1" si="2068"/>
        <v>51773556.956394419</v>
      </c>
      <c r="Y2157" s="2">
        <f t="shared" ca="1" si="2069"/>
        <v>0.12169958954670305</v>
      </c>
      <c r="Z2157" s="2">
        <f t="shared" ca="1" si="2070"/>
        <v>0.12237942536538428</v>
      </c>
      <c r="AA2157" s="2">
        <f t="shared" ca="1" si="2071"/>
        <v>5999679.8079341352</v>
      </c>
      <c r="AB2157" s="2">
        <f t="shared" ca="1" si="2072"/>
        <v>6107516.2389503065</v>
      </c>
      <c r="AC2157" s="2">
        <f t="shared" ca="1" si="2073"/>
        <v>6182752.9183964366</v>
      </c>
      <c r="AD2157" s="2">
        <f t="shared" ca="1" si="2074"/>
        <v>6258916.4161616042</v>
      </c>
      <c r="AE2157" s="2">
        <f t="shared" ca="1" si="2075"/>
        <v>6336018.1494455431</v>
      </c>
      <c r="AF2157" s="2">
        <f t="shared" ca="1" si="2076"/>
        <v>985981.92981278989</v>
      </c>
      <c r="AG2157" s="2">
        <f t="shared" ca="1" si="2077"/>
        <v>998127.94850364653</v>
      </c>
      <c r="AH2157" s="2">
        <f t="shared" ca="1" si="2078"/>
        <v>1010423.5903930407</v>
      </c>
      <c r="AI2157" s="2">
        <f t="shared" ca="1" si="2079"/>
        <v>1022870.6986447371</v>
      </c>
      <c r="AJ2157" s="2">
        <f t="shared" ca="1" si="2080"/>
        <v>1035471.1391278884</v>
      </c>
      <c r="AK2157" s="2">
        <f t="shared" ca="1" si="2081"/>
        <v>0</v>
      </c>
      <c r="AL2157" s="2">
        <f t="shared" ca="1" si="2082"/>
        <v>6073.0093454283478</v>
      </c>
      <c r="AM2157" s="2">
        <f t="shared" ca="1" si="2083"/>
        <v>6147.8209446970377</v>
      </c>
      <c r="AN2157" s="2">
        <f t="shared" ca="1" si="2084"/>
        <v>6223.5541258482635</v>
      </c>
      <c r="AO2157" s="2">
        <f t="shared" ca="1" si="2085"/>
        <v>6300.2202415756137</v>
      </c>
      <c r="AP2157" s="2">
        <f t="shared" ca="1" si="2086"/>
        <v>2337100.7801121622</v>
      </c>
      <c r="AQ2157" s="2">
        <f t="shared" ca="1" si="2087"/>
        <v>695915.2454823876</v>
      </c>
      <c r="AR2157" s="2">
        <f t="shared" ca="1" si="2088"/>
        <v>720794.75268696935</v>
      </c>
      <c r="AS2157" s="2">
        <f t="shared" ca="1" si="2089"/>
        <v>737159.42245172092</v>
      </c>
      <c r="AT2157" s="2">
        <f t="shared" ca="1" si="2090"/>
        <v>753725.68372522341</v>
      </c>
      <c r="AU2157" s="2">
        <f t="shared" ca="1" si="2091"/>
        <v>770496.01985342801</v>
      </c>
      <c r="AV2157" s="2">
        <f t="shared" ca="1" si="2092"/>
        <v>1980681.8525267951</v>
      </c>
      <c r="AW2157" s="2">
        <f t="shared" ca="1" si="2093"/>
        <v>2045419.7483021002</v>
      </c>
      <c r="AX2157" s="2">
        <f t="shared" ca="1" si="2094"/>
        <v>2091921.3044948168</v>
      </c>
      <c r="AY2157" s="2">
        <f t="shared" ca="1" si="2095"/>
        <v>2138995.6995536331</v>
      </c>
      <c r="AZ2157" s="2">
        <f t="shared" ca="1" si="2096"/>
        <v>2186649.9901104886</v>
      </c>
      <c r="BA2157" s="2">
        <f t="shared" ca="1" si="2097"/>
        <v>45183327.350425795</v>
      </c>
      <c r="BB2157" s="2">
        <f t="shared" ca="1" si="2098"/>
        <v>903666.54700851592</v>
      </c>
      <c r="BC2157" s="2">
        <f t="shared" ca="1" si="2099"/>
        <v>18311874.357726589</v>
      </c>
      <c r="BD2157" s="2">
        <f t="shared" ca="1" si="2100"/>
        <v>-18893848.732364241</v>
      </c>
      <c r="BE2157" s="2">
        <f t="shared" ca="1" si="2101"/>
        <v>1980681.8525267951</v>
      </c>
      <c r="BF2157" s="2">
        <f t="shared" ca="1" si="2102"/>
        <v>2045419.7483021002</v>
      </c>
      <c r="BG2157" s="2">
        <f t="shared" ca="1" si="2103"/>
        <v>2091921.3044948168</v>
      </c>
      <c r="BH2157" s="2">
        <f t="shared" ca="1" si="2104"/>
        <v>2138995.6995536331</v>
      </c>
      <c r="BI2157" s="2">
        <f t="shared" ca="1" si="2105"/>
        <v>20498524.347837076</v>
      </c>
      <c r="BJ2157" s="2">
        <f t="shared" ca="1" si="2106"/>
        <v>0.10502193610118415</v>
      </c>
      <c r="BK2157" s="2">
        <f t="shared" ca="1" si="2107"/>
        <v>-1015014.7734594531</v>
      </c>
    </row>
    <row r="2158" spans="1:63" x14ac:dyDescent="0.3">
      <c r="A2158" s="2">
        <v>2157</v>
      </c>
      <c r="B2158" s="2">
        <f t="shared" ca="1" si="2046"/>
        <v>0.41585009694797925</v>
      </c>
      <c r="C2158" s="2">
        <f t="shared" ca="1" si="2047"/>
        <v>6.9119759831793592</v>
      </c>
      <c r="D2158" s="2">
        <f t="shared" ca="1" si="2048"/>
        <v>0.23022181421376886</v>
      </c>
      <c r="E2158" s="2">
        <f t="shared" ca="1" si="2049"/>
        <v>7.1785599667144666</v>
      </c>
      <c r="F2158" s="2">
        <f t="shared" ca="1" si="2050"/>
        <v>0.62836357647461438</v>
      </c>
      <c r="G2158" s="2">
        <f t="shared" ca="1" si="2051"/>
        <v>4.9825670277691324E-2</v>
      </c>
      <c r="H2158" s="2">
        <f t="shared" ca="1" si="2052"/>
        <v>4.9825670277691324E-2</v>
      </c>
      <c r="I2158" s="2">
        <f t="shared" ca="1" si="2053"/>
        <v>0.85191341626906147</v>
      </c>
      <c r="J2158" s="2">
        <f t="shared" ca="1" si="2054"/>
        <v>1.522337538519411E-2</v>
      </c>
      <c r="K2158" s="2">
        <f t="shared" ca="1" si="2055"/>
        <v>1.522337538519411E-2</v>
      </c>
      <c r="L2158" s="2">
        <f t="shared" ca="1" si="2056"/>
        <v>0.90544893383651059</v>
      </c>
      <c r="M2158" s="2">
        <f t="shared" ca="1" si="2057"/>
        <v>2.6264797444562189E-2</v>
      </c>
      <c r="N2158" s="2">
        <f t="shared" ca="1" si="2058"/>
        <v>2.6264797444562189E-2</v>
      </c>
      <c r="O2158" s="2">
        <f t="shared" si="2059"/>
        <v>6000000</v>
      </c>
      <c r="P2158" s="2">
        <f t="shared" ca="1" si="2060"/>
        <v>41471855.899076156</v>
      </c>
      <c r="Q2158" s="2">
        <f t="shared" ca="1" si="2061"/>
        <v>1036796.397476904</v>
      </c>
      <c r="R2158" s="2">
        <f t="shared" ca="1" si="2062"/>
        <v>24883113.539445695</v>
      </c>
      <c r="S2158" s="2">
        <f t="shared" ca="1" si="2063"/>
        <v>16588742.359630464</v>
      </c>
      <c r="T2158" s="2">
        <f t="shared" ca="1" si="2064"/>
        <v>51313239.872228108</v>
      </c>
      <c r="U2158" s="2">
        <f t="shared" ca="1" si="2065"/>
        <v>53869956.442981832</v>
      </c>
      <c r="V2158" s="2">
        <f t="shared" ca="1" si="2066"/>
        <v>56554063.130583443</v>
      </c>
      <c r="W2158" s="2">
        <f t="shared" ca="1" si="2067"/>
        <v>59371907.232991636</v>
      </c>
      <c r="X2158" s="2">
        <f t="shared" ca="1" si="2068"/>
        <v>62330152.306540355</v>
      </c>
      <c r="Y2158" s="2">
        <f t="shared" ca="1" si="2069"/>
        <v>0.12761168769259706</v>
      </c>
      <c r="Z2158" s="2">
        <f t="shared" ca="1" si="2070"/>
        <v>0.13065636276963588</v>
      </c>
      <c r="AA2158" s="2">
        <f t="shared" ca="1" si="2071"/>
        <v>6548169.141070093</v>
      </c>
      <c r="AB2158" s="2">
        <f t="shared" ca="1" si="2072"/>
        <v>7038452.5713987183</v>
      </c>
      <c r="AC2158" s="2">
        <f t="shared" ca="1" si="2073"/>
        <v>7389148.1884864001</v>
      </c>
      <c r="AD2158" s="2">
        <f t="shared" ca="1" si="2074"/>
        <v>7757317.4497589236</v>
      </c>
      <c r="AE2158" s="2">
        <f t="shared" ca="1" si="2075"/>
        <v>8143830.9912499934</v>
      </c>
      <c r="AF2158" s="2">
        <f t="shared" ca="1" si="2076"/>
        <v>1026264.7974445622</v>
      </c>
      <c r="AG2158" s="2">
        <f t="shared" ca="1" si="2077"/>
        <v>1077399.1288596366</v>
      </c>
      <c r="AH2158" s="2">
        <f t="shared" ca="1" si="2078"/>
        <v>1131081.2626116688</v>
      </c>
      <c r="AI2158" s="2">
        <f t="shared" ca="1" si="2079"/>
        <v>1187438.1446598328</v>
      </c>
      <c r="AJ2158" s="2">
        <f t="shared" ca="1" si="2080"/>
        <v>1246603.0461308071</v>
      </c>
      <c r="AK2158" s="2">
        <f t="shared" ca="1" si="2081"/>
        <v>0</v>
      </c>
      <c r="AL2158" s="2">
        <f t="shared" ca="1" si="2082"/>
        <v>25567.165707537235</v>
      </c>
      <c r="AM2158" s="2">
        <f t="shared" ca="1" si="2083"/>
        <v>26841.06687601611</v>
      </c>
      <c r="AN2158" s="2">
        <f t="shared" ca="1" si="2084"/>
        <v>28178.441024081931</v>
      </c>
      <c r="AO2158" s="2">
        <f t="shared" ca="1" si="2085"/>
        <v>29582.450735487193</v>
      </c>
      <c r="AP2158" s="2">
        <f t="shared" ca="1" si="2086"/>
        <v>2239480.2185501126</v>
      </c>
      <c r="AQ2158" s="2">
        <f t="shared" ca="1" si="2087"/>
        <v>853430.27251960873</v>
      </c>
      <c r="AR2158" s="2">
        <f t="shared" ca="1" si="2088"/>
        <v>967609.03823713202</v>
      </c>
      <c r="AS2158" s="2">
        <f t="shared" ca="1" si="2089"/>
        <v>1044832.543904401</v>
      </c>
      <c r="AT2158" s="2">
        <f t="shared" ca="1" si="2090"/>
        <v>1125903.7625027345</v>
      </c>
      <c r="AU2158" s="2">
        <f t="shared" ca="1" si="2091"/>
        <v>1211014.408907959</v>
      </c>
      <c r="AV2158" s="2">
        <f t="shared" ca="1" si="2092"/>
        <v>2428993.8525558091</v>
      </c>
      <c r="AW2158" s="2">
        <f t="shared" ca="1" si="2093"/>
        <v>2728397.0200443002</v>
      </c>
      <c r="AX2158" s="2">
        <f t="shared" ca="1" si="2094"/>
        <v>2946913.096544201</v>
      </c>
      <c r="AY2158" s="2">
        <f t="shared" ca="1" si="2095"/>
        <v>3176316.8830221617</v>
      </c>
      <c r="AZ2158" s="2">
        <f t="shared" ca="1" si="2096"/>
        <v>3417150.8669256275</v>
      </c>
      <c r="BA2158" s="2">
        <f t="shared" ca="1" si="2097"/>
        <v>58460979.129475795</v>
      </c>
      <c r="BB2158" s="2">
        <f t="shared" ca="1" si="2098"/>
        <v>1169219.582589516</v>
      </c>
      <c r="BC2158" s="2">
        <f t="shared" ca="1" si="2099"/>
        <v>32408646.007440589</v>
      </c>
      <c r="BD2158" s="2">
        <f t="shared" ca="1" si="2100"/>
        <v>-18125538.757107366</v>
      </c>
      <c r="BE2158" s="2">
        <f t="shared" ca="1" si="2101"/>
        <v>2428993.8525558091</v>
      </c>
      <c r="BF2158" s="2">
        <f t="shared" ca="1" si="2102"/>
        <v>2728397.0200443002</v>
      </c>
      <c r="BG2158" s="2">
        <f t="shared" ca="1" si="2103"/>
        <v>2946913.096544201</v>
      </c>
      <c r="BH2158" s="2">
        <f t="shared" ca="1" si="2104"/>
        <v>3176316.8830221617</v>
      </c>
      <c r="BI2158" s="2">
        <f t="shared" ca="1" si="2105"/>
        <v>35825796.874366216</v>
      </c>
      <c r="BJ2158" s="2">
        <f t="shared" ca="1" si="2106"/>
        <v>0.25192163092694853</v>
      </c>
      <c r="BK2158" s="2">
        <f t="shared" ca="1" si="2107"/>
        <v>10662947.764091663</v>
      </c>
    </row>
    <row r="2159" spans="1:63" x14ac:dyDescent="0.3">
      <c r="A2159" s="2">
        <v>2158</v>
      </c>
      <c r="B2159" s="2">
        <f t="shared" ca="1" si="2046"/>
        <v>0.80046347548500918</v>
      </c>
      <c r="C2159" s="2">
        <f t="shared" ca="1" si="2047"/>
        <v>7.3682777120997063</v>
      </c>
      <c r="D2159" s="2">
        <f t="shared" ca="1" si="2048"/>
        <v>0.60085522789274803</v>
      </c>
      <c r="E2159" s="2">
        <f t="shared" ca="1" si="2049"/>
        <v>7.606529494491002</v>
      </c>
      <c r="F2159" s="2">
        <f t="shared" ca="1" si="2050"/>
        <v>0.50254843287656648</v>
      </c>
      <c r="G2159" s="2">
        <f t="shared" ca="1" si="2051"/>
        <v>4.0191640520495682E-2</v>
      </c>
      <c r="H2159" s="2">
        <f t="shared" ca="1" si="2052"/>
        <v>4.0191640520495682E-2</v>
      </c>
      <c r="I2159" s="2">
        <f t="shared" ca="1" si="2053"/>
        <v>0.49949684130885852</v>
      </c>
      <c r="J2159" s="2">
        <f t="shared" ca="1" si="2054"/>
        <v>9.9936938393189179E-3</v>
      </c>
      <c r="K2159" s="2">
        <f t="shared" ca="1" si="2055"/>
        <v>9.9936938393189179E-3</v>
      </c>
      <c r="L2159" s="2">
        <f t="shared" ca="1" si="2056"/>
        <v>0.18892592625956051</v>
      </c>
      <c r="M2159" s="2">
        <f t="shared" ca="1" si="2057"/>
        <v>-1.7637224695663069E-2</v>
      </c>
      <c r="N2159" s="2">
        <f t="shared" ca="1" si="2058"/>
        <v>-1.7637224695663069E-2</v>
      </c>
      <c r="O2159" s="2">
        <f t="shared" si="2059"/>
        <v>6000000</v>
      </c>
      <c r="P2159" s="2">
        <f t="shared" ca="1" si="2060"/>
        <v>44209666.272598237</v>
      </c>
      <c r="Q2159" s="2">
        <f t="shared" ca="1" si="2061"/>
        <v>1105241.6568149559</v>
      </c>
      <c r="R2159" s="2">
        <f t="shared" ca="1" si="2062"/>
        <v>26525799.763558943</v>
      </c>
      <c r="S2159" s="2">
        <f t="shared" ca="1" si="2063"/>
        <v>17683866.509039294</v>
      </c>
      <c r="T2159" s="2">
        <f t="shared" ca="1" si="2064"/>
        <v>49118138.765216842</v>
      </c>
      <c r="U2159" s="2">
        <f t="shared" ca="1" si="2065"/>
        <v>51092277.341504261</v>
      </c>
      <c r="V2159" s="2">
        <f t="shared" ca="1" si="2066"/>
        <v>53145759.785787463</v>
      </c>
      <c r="W2159" s="2">
        <f t="shared" ca="1" si="2067"/>
        <v>55281775.058286443</v>
      </c>
      <c r="X2159" s="2">
        <f t="shared" ca="1" si="2068"/>
        <v>57503640.288763992</v>
      </c>
      <c r="Y2159" s="2">
        <f t="shared" ca="1" si="2069"/>
        <v>0.12499684691965945</v>
      </c>
      <c r="Z2159" s="2">
        <f t="shared" ca="1" si="2070"/>
        <v>0.12699558568752323</v>
      </c>
      <c r="AA2159" s="2">
        <f t="shared" ca="1" si="2071"/>
        <v>6139612.4722144008</v>
      </c>
      <c r="AB2159" s="2">
        <f t="shared" ca="1" si="2072"/>
        <v>6488493.6850937055</v>
      </c>
      <c r="AC2159" s="2">
        <f t="shared" ca="1" si="2073"/>
        <v>6749276.8908044975</v>
      </c>
      <c r="AD2159" s="2">
        <f t="shared" ca="1" si="2074"/>
        <v>7020541.4013730008</v>
      </c>
      <c r="AE2159" s="2">
        <f t="shared" ca="1" si="2075"/>
        <v>7302708.4776362404</v>
      </c>
      <c r="AF2159" s="2">
        <f t="shared" ca="1" si="2076"/>
        <v>982362.77530433692</v>
      </c>
      <c r="AG2159" s="2">
        <f t="shared" ca="1" si="2077"/>
        <v>1021845.5468300852</v>
      </c>
      <c r="AH2159" s="2">
        <f t="shared" ca="1" si="2078"/>
        <v>1062915.1957157492</v>
      </c>
      <c r="AI2159" s="2">
        <f t="shared" ca="1" si="2079"/>
        <v>1105635.5011657288</v>
      </c>
      <c r="AJ2159" s="2">
        <f t="shared" ca="1" si="2080"/>
        <v>1150072.8057752799</v>
      </c>
      <c r="AK2159" s="2">
        <f t="shared" ca="1" si="2081"/>
        <v>0</v>
      </c>
      <c r="AL2159" s="2">
        <f t="shared" ca="1" si="2082"/>
        <v>19741.385762874186</v>
      </c>
      <c r="AM2159" s="2">
        <f t="shared" ca="1" si="2083"/>
        <v>20534.824442832025</v>
      </c>
      <c r="AN2159" s="2">
        <f t="shared" ca="1" si="2084"/>
        <v>21360.152724989803</v>
      </c>
      <c r="AO2159" s="2">
        <f t="shared" ca="1" si="2085"/>
        <v>22218.652304775493</v>
      </c>
      <c r="AP2159" s="2">
        <f t="shared" ca="1" si="2086"/>
        <v>2387321.9787203046</v>
      </c>
      <c r="AQ2159" s="2">
        <f t="shared" ca="1" si="2087"/>
        <v>720181.20672933746</v>
      </c>
      <c r="AR2159" s="2">
        <f t="shared" ca="1" si="2088"/>
        <v>800624.8014812622</v>
      </c>
      <c r="AS2159" s="2">
        <f t="shared" ca="1" si="2089"/>
        <v>857750.32625579531</v>
      </c>
      <c r="AT2159" s="2">
        <f t="shared" ca="1" si="2090"/>
        <v>917171.81958661147</v>
      </c>
      <c r="AU2159" s="2">
        <f t="shared" ca="1" si="2091"/>
        <v>978981.56021657051</v>
      </c>
      <c r="AV2159" s="2">
        <f t="shared" ca="1" si="2092"/>
        <v>2049746.5114604216</v>
      </c>
      <c r="AW2159" s="2">
        <f t="shared" ca="1" si="2093"/>
        <v>2258959.97229918</v>
      </c>
      <c r="AX2159" s="2">
        <f t="shared" ca="1" si="2094"/>
        <v>2420754.565669816</v>
      </c>
      <c r="AY2159" s="2">
        <f t="shared" ca="1" si="2095"/>
        <v>2589051.9491753662</v>
      </c>
      <c r="AZ2159" s="2">
        <f t="shared" ca="1" si="2096"/>
        <v>2764113.4806193104</v>
      </c>
      <c r="BA2159" s="2">
        <f t="shared" ca="1" si="2097"/>
        <v>55548267.424809545</v>
      </c>
      <c r="BB2159" s="2">
        <f t="shared" ca="1" si="2098"/>
        <v>1110965.348496191</v>
      </c>
      <c r="BC2159" s="2">
        <f t="shared" ca="1" si="2099"/>
        <v>27911502.312754411</v>
      </c>
      <c r="BD2159" s="2">
        <f t="shared" ca="1" si="2100"/>
        <v>-19289108.165854249</v>
      </c>
      <c r="BE2159" s="2">
        <f t="shared" ca="1" si="2101"/>
        <v>2049746.5114604216</v>
      </c>
      <c r="BF2159" s="2">
        <f t="shared" ca="1" si="2102"/>
        <v>2258959.97229918</v>
      </c>
      <c r="BG2159" s="2">
        <f t="shared" ca="1" si="2103"/>
        <v>2420754.565669816</v>
      </c>
      <c r="BH2159" s="2">
        <f t="shared" ca="1" si="2104"/>
        <v>2589051.9491753662</v>
      </c>
      <c r="BI2159" s="2">
        <f t="shared" ca="1" si="2105"/>
        <v>30675615.793373723</v>
      </c>
      <c r="BJ2159" s="2">
        <f t="shared" ca="1" si="2106"/>
        <v>0.18419183240916737</v>
      </c>
      <c r="BK2159" s="2">
        <f t="shared" ca="1" si="2107"/>
        <v>5116454.5286433958</v>
      </c>
    </row>
    <row r="2160" spans="1:63" x14ac:dyDescent="0.3">
      <c r="A2160" s="2">
        <v>2159</v>
      </c>
      <c r="B2160" s="2">
        <f t="shared" ca="1" si="2046"/>
        <v>0.23121006288250701</v>
      </c>
      <c r="C2160" s="2">
        <f t="shared" ca="1" si="2047"/>
        <v>6.6800147981956082</v>
      </c>
      <c r="D2160" s="2">
        <f t="shared" ca="1" si="2048"/>
        <v>0.33141694948452827</v>
      </c>
      <c r="E2160" s="2">
        <f t="shared" ca="1" si="2049"/>
        <v>7.3141461164736068</v>
      </c>
      <c r="F2160" s="2">
        <f t="shared" ca="1" si="2050"/>
        <v>5.2657039780309001E-2</v>
      </c>
      <c r="G2160" s="2">
        <f t="shared" ca="1" si="2051"/>
        <v>-8.5885792169805089E-3</v>
      </c>
      <c r="H2160" s="2">
        <f t="shared" ca="1" si="2052"/>
        <v>-8.5885792169805089E-3</v>
      </c>
      <c r="I2160" s="2">
        <f t="shared" ca="1" si="2053"/>
        <v>0.10955782785055967</v>
      </c>
      <c r="J2160" s="2">
        <f t="shared" ca="1" si="2054"/>
        <v>3.8555847271726099E-3</v>
      </c>
      <c r="K2160" s="2">
        <f t="shared" ca="1" si="2055"/>
        <v>3.8555847271726099E-3</v>
      </c>
      <c r="L2160" s="2">
        <f t="shared" ca="1" si="2056"/>
        <v>0.82290434086617592</v>
      </c>
      <c r="M2160" s="2">
        <f t="shared" ca="1" si="2057"/>
        <v>1.8529802823139613E-2</v>
      </c>
      <c r="N2160" s="2">
        <f t="shared" ca="1" si="2058"/>
        <v>1.8529802823139613E-2</v>
      </c>
      <c r="O2160" s="2">
        <f t="shared" si="2059"/>
        <v>6000000</v>
      </c>
      <c r="P2160" s="2">
        <f t="shared" ca="1" si="2060"/>
        <v>40080088.789173648</v>
      </c>
      <c r="Q2160" s="2">
        <f t="shared" ca="1" si="2061"/>
        <v>1002002.2197293412</v>
      </c>
      <c r="R2160" s="2">
        <f t="shared" ca="1" si="2062"/>
        <v>24048053.273504186</v>
      </c>
      <c r="S2160" s="2">
        <f t="shared" ca="1" si="2063"/>
        <v>16032035.515669459</v>
      </c>
      <c r="T2160" s="2">
        <f t="shared" ca="1" si="2064"/>
        <v>50926490.141156979</v>
      </c>
      <c r="U2160" s="2">
        <f t="shared" ca="1" si="2065"/>
        <v>50489103.946336873</v>
      </c>
      <c r="V2160" s="2">
        <f t="shared" ca="1" si="2066"/>
        <v>50055474.277499393</v>
      </c>
      <c r="W2160" s="2">
        <f t="shared" ca="1" si="2067"/>
        <v>49625568.871423557</v>
      </c>
      <c r="X2160" s="2">
        <f t="shared" ca="1" si="2068"/>
        <v>49199355.741983615</v>
      </c>
      <c r="Y2160" s="2">
        <f t="shared" ca="1" si="2069"/>
        <v>0.12192779236358631</v>
      </c>
      <c r="Z2160" s="2">
        <f t="shared" ca="1" si="2070"/>
        <v>0.12269890930902082</v>
      </c>
      <c r="AA2160" s="2">
        <f t="shared" ca="1" si="2071"/>
        <v>6209354.5157372132</v>
      </c>
      <c r="AB2160" s="2">
        <f t="shared" ca="1" si="2072"/>
        <v>6194957.9862053134</v>
      </c>
      <c r="AC2160" s="2">
        <f t="shared" ca="1" si="2073"/>
        <v>6141752.0987949222</v>
      </c>
      <c r="AD2160" s="2">
        <f t="shared" ca="1" si="2074"/>
        <v>6089003.1743633654</v>
      </c>
      <c r="AE2160" s="2">
        <f t="shared" ca="1" si="2075"/>
        <v>6036707.2882479001</v>
      </c>
      <c r="AF2160" s="2">
        <f t="shared" ca="1" si="2076"/>
        <v>1018529.8028231396</v>
      </c>
      <c r="AG2160" s="2">
        <f t="shared" ca="1" si="2077"/>
        <v>1009782.0789267375</v>
      </c>
      <c r="AH2160" s="2">
        <f t="shared" ca="1" si="2078"/>
        <v>1001109.4855499879</v>
      </c>
      <c r="AI2160" s="2">
        <f t="shared" ca="1" si="2079"/>
        <v>992511.37742847111</v>
      </c>
      <c r="AJ2160" s="2">
        <f t="shared" ca="1" si="2080"/>
        <v>983987.11483967234</v>
      </c>
      <c r="AK2160" s="2">
        <f t="shared" ca="1" si="2081"/>
        <v>0</v>
      </c>
      <c r="AL2160" s="2">
        <f t="shared" ca="1" si="2082"/>
        <v>0</v>
      </c>
      <c r="AM2160" s="2">
        <f t="shared" ca="1" si="2083"/>
        <v>0</v>
      </c>
      <c r="AN2160" s="2">
        <f t="shared" ca="1" si="2084"/>
        <v>0</v>
      </c>
      <c r="AO2160" s="2">
        <f t="shared" ca="1" si="2085"/>
        <v>0</v>
      </c>
      <c r="AP2160" s="2">
        <f t="shared" ca="1" si="2086"/>
        <v>2164324.7946153767</v>
      </c>
      <c r="AQ2160" s="2">
        <f t="shared" ca="1" si="2087"/>
        <v>786889.9787576613</v>
      </c>
      <c r="AR2160" s="2">
        <f t="shared" ca="1" si="2088"/>
        <v>785421.28929243179</v>
      </c>
      <c r="AS2160" s="2">
        <f t="shared" ca="1" si="2089"/>
        <v>773842.63284368487</v>
      </c>
      <c r="AT2160" s="2">
        <f t="shared" ca="1" si="2090"/>
        <v>762363.4206030746</v>
      </c>
      <c r="AU2160" s="2">
        <f t="shared" ca="1" si="2091"/>
        <v>750982.79848614137</v>
      </c>
      <c r="AV2160" s="2">
        <f t="shared" ca="1" si="2092"/>
        <v>2239609.9395410363</v>
      </c>
      <c r="AW2160" s="2">
        <f t="shared" ca="1" si="2093"/>
        <v>2235429.8233707678</v>
      </c>
      <c r="AX2160" s="2">
        <f t="shared" ca="1" si="2094"/>
        <v>2202475.1857858729</v>
      </c>
      <c r="AY2160" s="2">
        <f t="shared" ca="1" si="2095"/>
        <v>2169803.5817164425</v>
      </c>
      <c r="AZ2160" s="2">
        <f t="shared" ca="1" si="2096"/>
        <v>2137412.5803067097</v>
      </c>
      <c r="BA2160" s="2">
        <f t="shared" ca="1" si="2097"/>
        <v>44153359.168626294</v>
      </c>
      <c r="BB2160" s="2">
        <f t="shared" ca="1" si="2098"/>
        <v>883067.18337252585</v>
      </c>
      <c r="BC2160" s="2">
        <f t="shared" ca="1" si="2099"/>
        <v>19222238.71174958</v>
      </c>
      <c r="BD2160" s="2">
        <f t="shared" ca="1" si="2100"/>
        <v>-17534037.735398799</v>
      </c>
      <c r="BE2160" s="2">
        <f t="shared" ca="1" si="2101"/>
        <v>2239609.9395410363</v>
      </c>
      <c r="BF2160" s="2">
        <f t="shared" ca="1" si="2102"/>
        <v>2235429.8233707678</v>
      </c>
      <c r="BG2160" s="2">
        <f t="shared" ca="1" si="2103"/>
        <v>2202475.1857858729</v>
      </c>
      <c r="BH2160" s="2">
        <f t="shared" ca="1" si="2104"/>
        <v>2169803.5817164425</v>
      </c>
      <c r="BI2160" s="2">
        <f t="shared" ca="1" si="2105"/>
        <v>21359651.292056289</v>
      </c>
      <c r="BJ2160" s="2">
        <f t="shared" ca="1" si="2106"/>
        <v>0.14025028742651324</v>
      </c>
      <c r="BK2160" s="2">
        <f t="shared" ca="1" si="2107"/>
        <v>1314352.4734275267</v>
      </c>
    </row>
    <row r="2161" spans="1:63" x14ac:dyDescent="0.3">
      <c r="A2161" s="2">
        <v>2160</v>
      </c>
      <c r="B2161" s="2">
        <f t="shared" ca="1" si="2046"/>
        <v>0.6971769271633298</v>
      </c>
      <c r="C2161" s="2">
        <f t="shared" ca="1" si="2047"/>
        <v>7.2217672933669901</v>
      </c>
      <c r="D2161" s="2">
        <f t="shared" ca="1" si="2048"/>
        <v>0.54072373712404231</v>
      </c>
      <c r="E2161" s="2">
        <f t="shared" ca="1" si="2049"/>
        <v>7.5415885404733958</v>
      </c>
      <c r="F2161" s="2">
        <f t="shared" ca="1" si="2050"/>
        <v>0.52258399194553207</v>
      </c>
      <c r="G2161" s="2">
        <f t="shared" ca="1" si="2051"/>
        <v>4.1699198274119442E-2</v>
      </c>
      <c r="H2161" s="2">
        <f t="shared" ca="1" si="2052"/>
        <v>4.1699198274119442E-2</v>
      </c>
      <c r="I2161" s="2">
        <f t="shared" ca="1" si="2053"/>
        <v>0.93880706998457009</v>
      </c>
      <c r="J2161" s="2">
        <f t="shared" ca="1" si="2054"/>
        <v>1.7724181592654525E-2</v>
      </c>
      <c r="K2161" s="2">
        <f t="shared" ca="1" si="2055"/>
        <v>1.7724181592654525E-2</v>
      </c>
      <c r="L2161" s="2">
        <f t="shared" ca="1" si="2056"/>
        <v>0.18698126157660522</v>
      </c>
      <c r="M2161" s="2">
        <f t="shared" ca="1" si="2057"/>
        <v>-1.7781509324468293E-2</v>
      </c>
      <c r="N2161" s="2">
        <f t="shared" ca="1" si="2058"/>
        <v>-1.7781509324468293E-2</v>
      </c>
      <c r="O2161" s="2">
        <f t="shared" si="2059"/>
        <v>6000000</v>
      </c>
      <c r="P2161" s="2">
        <f t="shared" ca="1" si="2060"/>
        <v>43330603.760201938</v>
      </c>
      <c r="Q2161" s="2">
        <f t="shared" ca="1" si="2061"/>
        <v>1083265.0940050485</v>
      </c>
      <c r="R2161" s="2">
        <f t="shared" ca="1" si="2062"/>
        <v>25998362.256121162</v>
      </c>
      <c r="S2161" s="2">
        <f t="shared" ca="1" si="2063"/>
        <v>17332241.504080776</v>
      </c>
      <c r="T2161" s="2">
        <f t="shared" ca="1" si="2064"/>
        <v>49110924.533776581</v>
      </c>
      <c r="U2161" s="2">
        <f t="shared" ca="1" si="2065"/>
        <v>51158810.713335849</v>
      </c>
      <c r="V2161" s="2">
        <f t="shared" ca="1" si="2066"/>
        <v>53292092.10473939</v>
      </c>
      <c r="W2161" s="2">
        <f t="shared" ca="1" si="2067"/>
        <v>55514329.619857557</v>
      </c>
      <c r="X2161" s="2">
        <f t="shared" ca="1" si="2068"/>
        <v>57829232.657730825</v>
      </c>
      <c r="Y2161" s="2">
        <f t="shared" ca="1" si="2069"/>
        <v>0.12886209079632727</v>
      </c>
      <c r="Z2161" s="2">
        <f t="shared" ca="1" si="2070"/>
        <v>0.13240692711485816</v>
      </c>
      <c r="AA2161" s="2">
        <f t="shared" ca="1" si="2071"/>
        <v>6328536.416363094</v>
      </c>
      <c r="AB2161" s="2">
        <f t="shared" ca="1" si="2072"/>
        <v>6773780.9214034844</v>
      </c>
      <c r="AC2161" s="2">
        <f t="shared" ca="1" si="2073"/>
        <v>7056242.1551105361</v>
      </c>
      <c r="AD2161" s="2">
        <f t="shared" ca="1" si="2074"/>
        <v>7350481.7958066911</v>
      </c>
      <c r="AE2161" s="2">
        <f t="shared" ca="1" si="2075"/>
        <v>7656990.9936203407</v>
      </c>
      <c r="AF2161" s="2">
        <f t="shared" ca="1" si="2076"/>
        <v>982218.49067553168</v>
      </c>
      <c r="AG2161" s="2">
        <f t="shared" ca="1" si="2077"/>
        <v>1023176.214266717</v>
      </c>
      <c r="AH2161" s="2">
        <f t="shared" ca="1" si="2078"/>
        <v>1065841.8420947879</v>
      </c>
      <c r="AI2161" s="2">
        <f t="shared" ca="1" si="2079"/>
        <v>1110286.592397151</v>
      </c>
      <c r="AJ2161" s="2">
        <f t="shared" ca="1" si="2080"/>
        <v>1156584.6531546165</v>
      </c>
      <c r="AK2161" s="2">
        <f t="shared" ca="1" si="2081"/>
        <v>0</v>
      </c>
      <c r="AL2161" s="2">
        <f t="shared" ca="1" si="2082"/>
        <v>20478.861795592682</v>
      </c>
      <c r="AM2161" s="2">
        <f t="shared" ca="1" si="2083"/>
        <v>21332.813914035411</v>
      </c>
      <c r="AN2161" s="2">
        <f t="shared" ca="1" si="2084"/>
        <v>22222.37515118167</v>
      </c>
      <c r="AO2161" s="2">
        <f t="shared" ca="1" si="2085"/>
        <v>23149.030378732681</v>
      </c>
      <c r="AP2161" s="2">
        <f t="shared" ca="1" si="2086"/>
        <v>2339852.6030509043</v>
      </c>
      <c r="AQ2161" s="2">
        <f t="shared" ca="1" si="2087"/>
        <v>781680.9838855312</v>
      </c>
      <c r="AR2161" s="2">
        <f t="shared" ca="1" si="2088"/>
        <v>886795.54706232436</v>
      </c>
      <c r="AS2161" s="2">
        <f t="shared" ca="1" si="2089"/>
        <v>949142.40459085931</v>
      </c>
      <c r="AT2161" s="2">
        <f t="shared" ca="1" si="2090"/>
        <v>1014089.0760932452</v>
      </c>
      <c r="AU2161" s="2">
        <f t="shared" ca="1" si="2091"/>
        <v>1081743.9717278532</v>
      </c>
      <c r="AV2161" s="2">
        <f t="shared" ca="1" si="2092"/>
        <v>2224784.338751127</v>
      </c>
      <c r="AW2161" s="2">
        <f t="shared" ca="1" si="2093"/>
        <v>2503477.6952279452</v>
      </c>
      <c r="AX2161" s="2">
        <f t="shared" ca="1" si="2094"/>
        <v>2680072.4914599489</v>
      </c>
      <c r="AY2161" s="2">
        <f t="shared" ca="1" si="2095"/>
        <v>2864031.1491142083</v>
      </c>
      <c r="AZ2161" s="2">
        <f t="shared" ca="1" si="2096"/>
        <v>3055660.7353082336</v>
      </c>
      <c r="BA2161" s="2">
        <f t="shared" ca="1" si="2097"/>
        <v>57745875.531995162</v>
      </c>
      <c r="BB2161" s="2">
        <f t="shared" ca="1" si="2098"/>
        <v>1154917.5106399034</v>
      </c>
      <c r="BC2161" s="2">
        <f t="shared" ca="1" si="2099"/>
        <v>30592595.765234098</v>
      </c>
      <c r="BD2161" s="2">
        <f t="shared" ca="1" si="2100"/>
        <v>-18915506.598085824</v>
      </c>
      <c r="BE2161" s="2">
        <f t="shared" ca="1" si="2101"/>
        <v>2224784.338751127</v>
      </c>
      <c r="BF2161" s="2">
        <f t="shared" ca="1" si="2102"/>
        <v>2503477.6952279452</v>
      </c>
      <c r="BG2161" s="2">
        <f t="shared" ca="1" si="2103"/>
        <v>2680072.4914599489</v>
      </c>
      <c r="BH2161" s="2">
        <f t="shared" ca="1" si="2104"/>
        <v>2864031.1491142083</v>
      </c>
      <c r="BI2161" s="2">
        <f t="shared" ca="1" si="2105"/>
        <v>33648256.500542328</v>
      </c>
      <c r="BJ2161" s="2">
        <f t="shared" ca="1" si="2106"/>
        <v>0.21699073579246497</v>
      </c>
      <c r="BK2161" s="2">
        <f t="shared" ca="1" si="2107"/>
        <v>7887355.7023276389</v>
      </c>
    </row>
    <row r="2162" spans="1:63" x14ac:dyDescent="0.3">
      <c r="A2162" s="2">
        <v>2161</v>
      </c>
      <c r="B2162" s="2">
        <f t="shared" ca="1" si="2046"/>
        <v>0.71772674944401815</v>
      </c>
      <c r="C2162" s="2">
        <f t="shared" ca="1" si="2047"/>
        <v>7.2486369046113834</v>
      </c>
      <c r="D2162" s="2">
        <f t="shared" ca="1" si="2048"/>
        <v>0.30163615726430637</v>
      </c>
      <c r="E2162" s="2">
        <f t="shared" ca="1" si="2049"/>
        <v>7.2767060670090151</v>
      </c>
      <c r="F2162" s="2">
        <f t="shared" ca="1" si="2050"/>
        <v>0.5486099412448453</v>
      </c>
      <c r="G2162" s="2">
        <f t="shared" ca="1" si="2051"/>
        <v>4.3664504035706174E-2</v>
      </c>
      <c r="H2162" s="2">
        <f t="shared" ca="1" si="2052"/>
        <v>4.3664504035706174E-2</v>
      </c>
      <c r="I2162" s="2">
        <f t="shared" ca="1" si="2053"/>
        <v>0.63183812091176672</v>
      </c>
      <c r="J2162" s="2">
        <f t="shared" ca="1" si="2054"/>
        <v>1.1683628033399581E-2</v>
      </c>
      <c r="K2162" s="2">
        <f t="shared" ca="1" si="2055"/>
        <v>1.1683628033399581E-2</v>
      </c>
      <c r="L2162" s="2">
        <f t="shared" ca="1" si="2056"/>
        <v>0.90147330429609518</v>
      </c>
      <c r="M2162" s="2">
        <f t="shared" ca="1" si="2057"/>
        <v>2.5799842554201792E-2</v>
      </c>
      <c r="N2162" s="2">
        <f t="shared" ca="1" si="2058"/>
        <v>2.5799842554201792E-2</v>
      </c>
      <c r="O2162" s="2">
        <f t="shared" si="2059"/>
        <v>6000000</v>
      </c>
      <c r="P2162" s="2">
        <f t="shared" ca="1" si="2060"/>
        <v>43491821.427668303</v>
      </c>
      <c r="Q2162" s="2">
        <f t="shared" ca="1" si="2061"/>
        <v>1087295.5356917076</v>
      </c>
      <c r="R2162" s="2">
        <f t="shared" ca="1" si="2062"/>
        <v>26095092.856600981</v>
      </c>
      <c r="S2162" s="2">
        <f t="shared" ca="1" si="2063"/>
        <v>17396728.571067322</v>
      </c>
      <c r="T2162" s="2">
        <f t="shared" ca="1" si="2064"/>
        <v>51289992.127710097</v>
      </c>
      <c r="U2162" s="2">
        <f t="shared" ca="1" si="2065"/>
        <v>53529544.195961833</v>
      </c>
      <c r="V2162" s="2">
        <f t="shared" ca="1" si="2066"/>
        <v>55866885.194535926</v>
      </c>
      <c r="W2162" s="2">
        <f t="shared" ca="1" si="2067"/>
        <v>58306285.028575078</v>
      </c>
      <c r="X2162" s="2">
        <f t="shared" ca="1" si="2068"/>
        <v>60852200.046512328</v>
      </c>
      <c r="Y2162" s="2">
        <f t="shared" ca="1" si="2069"/>
        <v>0.12584181401669978</v>
      </c>
      <c r="Z2162" s="2">
        <f t="shared" ca="1" si="2070"/>
        <v>0.12817853962337969</v>
      </c>
      <c r="AA2162" s="2">
        <f t="shared" ca="1" si="2071"/>
        <v>6454425.6502532894</v>
      </c>
      <c r="AB2162" s="2">
        <f t="shared" ca="1" si="2072"/>
        <v>6861338.8017435484</v>
      </c>
      <c r="AC2162" s="2">
        <f t="shared" ca="1" si="2073"/>
        <v>7160935.7575426269</v>
      </c>
      <c r="AD2162" s="2">
        <f t="shared" ca="1" si="2074"/>
        <v>7473614.4658272807</v>
      </c>
      <c r="AE2162" s="2">
        <f t="shared" ca="1" si="2075"/>
        <v>7799946.1348317079</v>
      </c>
      <c r="AF2162" s="2">
        <f t="shared" ca="1" si="2076"/>
        <v>1025799.842554202</v>
      </c>
      <c r="AG2162" s="2">
        <f t="shared" ca="1" si="2077"/>
        <v>1070590.8839192367</v>
      </c>
      <c r="AH2162" s="2">
        <f t="shared" ca="1" si="2078"/>
        <v>1117337.7038907185</v>
      </c>
      <c r="AI2162" s="2">
        <f t="shared" ca="1" si="2079"/>
        <v>1166125.7005715016</v>
      </c>
      <c r="AJ2162" s="2">
        <f t="shared" ca="1" si="2080"/>
        <v>1217044.0009302467</v>
      </c>
      <c r="AK2162" s="2">
        <f t="shared" ca="1" si="2081"/>
        <v>0</v>
      </c>
      <c r="AL2162" s="2">
        <f t="shared" ca="1" si="2082"/>
        <v>22395.520682517366</v>
      </c>
      <c r="AM2162" s="2">
        <f t="shared" ca="1" si="2083"/>
        <v>23373.409985740931</v>
      </c>
      <c r="AN2162" s="2">
        <f t="shared" ca="1" si="2084"/>
        <v>24393.998340391518</v>
      </c>
      <c r="AO2162" s="2">
        <f t="shared" ca="1" si="2085"/>
        <v>25459.150179372504</v>
      </c>
      <c r="AP2162" s="2">
        <f t="shared" ca="1" si="2086"/>
        <v>2348558.3570940881</v>
      </c>
      <c r="AQ2162" s="2">
        <f t="shared" ca="1" si="2087"/>
        <v>800817.53715729981</v>
      </c>
      <c r="AR2162" s="2">
        <f t="shared" ca="1" si="2088"/>
        <v>894969.28578985808</v>
      </c>
      <c r="AS2162" s="2">
        <f t="shared" ca="1" si="2089"/>
        <v>960710.32110503328</v>
      </c>
      <c r="AT2162" s="2">
        <f t="shared" ca="1" si="2090"/>
        <v>1029321.9061220397</v>
      </c>
      <c r="AU2162" s="2">
        <f t="shared" ca="1" si="2091"/>
        <v>1100929.3819699171</v>
      </c>
      <c r="AV2162" s="2">
        <f t="shared" ca="1" si="2092"/>
        <v>2279249.913447699</v>
      </c>
      <c r="AW2162" s="2">
        <f t="shared" ca="1" si="2093"/>
        <v>2524824.7542578471</v>
      </c>
      <c r="AX2162" s="2">
        <f t="shared" ca="1" si="2094"/>
        <v>2710955.9654670465</v>
      </c>
      <c r="AY2162" s="2">
        <f t="shared" ca="1" si="2095"/>
        <v>2905214.5036992594</v>
      </c>
      <c r="AZ2162" s="2">
        <f t="shared" ca="1" si="2096"/>
        <v>3107955.2446580832</v>
      </c>
      <c r="BA2162" s="2">
        <f t="shared" ca="1" si="2097"/>
        <v>56757915.361673407</v>
      </c>
      <c r="BB2162" s="2">
        <f t="shared" ca="1" si="2098"/>
        <v>1135158.3072334682</v>
      </c>
      <c r="BC2162" s="2">
        <f t="shared" ca="1" si="2099"/>
        <v>29527664.197838958</v>
      </c>
      <c r="BD2162" s="2">
        <f t="shared" ca="1" si="2100"/>
        <v>-18984024.10675903</v>
      </c>
      <c r="BE2162" s="2">
        <f t="shared" ca="1" si="2101"/>
        <v>2279249.913447699</v>
      </c>
      <c r="BF2162" s="2">
        <f t="shared" ca="1" si="2102"/>
        <v>2524824.7542578471</v>
      </c>
      <c r="BG2162" s="2">
        <f t="shared" ca="1" si="2103"/>
        <v>2710955.9654670465</v>
      </c>
      <c r="BH2162" s="2">
        <f t="shared" ca="1" si="2104"/>
        <v>2905214.5036992594</v>
      </c>
      <c r="BI2162" s="2">
        <f t="shared" ca="1" si="2105"/>
        <v>32635619.442497041</v>
      </c>
      <c r="BJ2162" s="2">
        <f t="shared" ca="1" si="2106"/>
        <v>0.21142959274269324</v>
      </c>
      <c r="BK2162" s="2">
        <f t="shared" ca="1" si="2107"/>
        <v>7358043.4671439417</v>
      </c>
    </row>
    <row r="2163" spans="1:63" x14ac:dyDescent="0.3">
      <c r="A2163" s="2">
        <v>2162</v>
      </c>
      <c r="B2163" s="2">
        <f t="shared" ca="1" si="2046"/>
        <v>0.39670546623630032</v>
      </c>
      <c r="C2163" s="2">
        <f t="shared" ca="1" si="2047"/>
        <v>6.890736174449315</v>
      </c>
      <c r="D2163" s="2">
        <f t="shared" ca="1" si="2048"/>
        <v>0.95067410177978295</v>
      </c>
      <c r="E2163" s="2">
        <f t="shared" ca="1" si="2049"/>
        <v>8.1859111647313227</v>
      </c>
      <c r="F2163" s="2">
        <f t="shared" ca="1" si="2050"/>
        <v>0.88572618583513385</v>
      </c>
      <c r="G2163" s="2">
        <f t="shared" ca="1" si="2051"/>
        <v>7.6123256296059122E-2</v>
      </c>
      <c r="H2163" s="2">
        <f t="shared" ca="1" si="2052"/>
        <v>7.6123256296059122E-2</v>
      </c>
      <c r="I2163" s="2">
        <f t="shared" ca="1" si="2053"/>
        <v>0.53971729373556698</v>
      </c>
      <c r="J2163" s="2">
        <f t="shared" ca="1" si="2054"/>
        <v>1.049860761690017E-2</v>
      </c>
      <c r="K2163" s="2">
        <f t="shared" ca="1" si="2055"/>
        <v>1.049860761690017E-2</v>
      </c>
      <c r="L2163" s="2">
        <f t="shared" ca="1" si="2056"/>
        <v>0.42563398658757545</v>
      </c>
      <c r="M2163" s="2">
        <f t="shared" ca="1" si="2057"/>
        <v>-3.7500165951073919E-3</v>
      </c>
      <c r="N2163" s="2">
        <f t="shared" ca="1" si="2058"/>
        <v>-3.7500165951073919E-3</v>
      </c>
      <c r="O2163" s="2">
        <f t="shared" si="2059"/>
        <v>6000000</v>
      </c>
      <c r="P2163" s="2">
        <f t="shared" ca="1" si="2060"/>
        <v>41344417.046695888</v>
      </c>
      <c r="Q2163" s="2">
        <f t="shared" ca="1" si="2061"/>
        <v>1033610.4261673973</v>
      </c>
      <c r="R2163" s="2">
        <f t="shared" ca="1" si="2062"/>
        <v>24806650.228017531</v>
      </c>
      <c r="S2163" s="2">
        <f t="shared" ca="1" si="2063"/>
        <v>16537766.818678357</v>
      </c>
      <c r="T2163" s="2">
        <f t="shared" ca="1" si="2064"/>
        <v>49812499.170244627</v>
      </c>
      <c r="U2163" s="2">
        <f t="shared" ca="1" si="2065"/>
        <v>53604388.811328396</v>
      </c>
      <c r="V2163" s="2">
        <f t="shared" ca="1" si="2066"/>
        <v>57684929.439406753</v>
      </c>
      <c r="W2163" s="2">
        <f t="shared" ca="1" si="2067"/>
        <v>62076094.107542805</v>
      </c>
      <c r="X2163" s="2">
        <f t="shared" ca="1" si="2068"/>
        <v>66801528.529149577</v>
      </c>
      <c r="Y2163" s="2">
        <f t="shared" ca="1" si="2069"/>
        <v>0.12524930380845009</v>
      </c>
      <c r="Z2163" s="2">
        <f t="shared" ca="1" si="2070"/>
        <v>0.12734902533183012</v>
      </c>
      <c r="AA2163" s="2">
        <f t="shared" ca="1" si="2071"/>
        <v>6238980.8420321373</v>
      </c>
      <c r="AB2163" s="2">
        <f t="shared" ca="1" si="2072"/>
        <v>6826466.6686311308</v>
      </c>
      <c r="AC2163" s="2">
        <f t="shared" ca="1" si="2073"/>
        <v>7346119.5404438442</v>
      </c>
      <c r="AD2163" s="2">
        <f t="shared" ca="1" si="2074"/>
        <v>7905330.081002539</v>
      </c>
      <c r="AE2163" s="2">
        <f t="shared" ca="1" si="2075"/>
        <v>8507109.5488636419</v>
      </c>
      <c r="AF2163" s="2">
        <f t="shared" ca="1" si="2076"/>
        <v>996249.9834048925</v>
      </c>
      <c r="AG2163" s="2">
        <f t="shared" ca="1" si="2077"/>
        <v>1072087.776226568</v>
      </c>
      <c r="AH2163" s="2">
        <f t="shared" ca="1" si="2078"/>
        <v>1153698.588788135</v>
      </c>
      <c r="AI2163" s="2">
        <f t="shared" ca="1" si="2079"/>
        <v>1241521.8821508561</v>
      </c>
      <c r="AJ2163" s="2">
        <f t="shared" ca="1" si="2080"/>
        <v>1336030.5705829915</v>
      </c>
      <c r="AK2163" s="2">
        <f t="shared" ca="1" si="2081"/>
        <v>0</v>
      </c>
      <c r="AL2163" s="2">
        <f t="shared" ca="1" si="2082"/>
        <v>37918.896410837697</v>
      </c>
      <c r="AM2163" s="2">
        <f t="shared" ca="1" si="2083"/>
        <v>40805.406280783565</v>
      </c>
      <c r="AN2163" s="2">
        <f t="shared" ca="1" si="2084"/>
        <v>43911.646681360529</v>
      </c>
      <c r="AO2163" s="2">
        <f t="shared" ca="1" si="2085"/>
        <v>47254.344216067715</v>
      </c>
      <c r="AP2163" s="2">
        <f t="shared" ca="1" si="2086"/>
        <v>2232598.5205215779</v>
      </c>
      <c r="AQ2163" s="2">
        <f t="shared" ca="1" si="2087"/>
        <v>782634.40790747339</v>
      </c>
      <c r="AR2163" s="2">
        <f t="shared" ca="1" si="2088"/>
        <v>915662.8966895761</v>
      </c>
      <c r="AS2163" s="2">
        <f t="shared" ca="1" si="2089"/>
        <v>1029553.8320948741</v>
      </c>
      <c r="AT2163" s="2">
        <f t="shared" ca="1" si="2090"/>
        <v>1152114.5163658273</v>
      </c>
      <c r="AU2163" s="2">
        <f t="shared" ca="1" si="2091"/>
        <v>1284004.9190173589</v>
      </c>
      <c r="AV2163" s="2">
        <f t="shared" ca="1" si="2092"/>
        <v>2227497.930198194</v>
      </c>
      <c r="AW2163" s="2">
        <f t="shared" ca="1" si="2093"/>
        <v>2568198.578782571</v>
      </c>
      <c r="AX2163" s="2">
        <f t="shared" ca="1" si="2094"/>
        <v>2889463.1927584731</v>
      </c>
      <c r="AY2163" s="2">
        <f t="shared" ca="1" si="2095"/>
        <v>3235183.5152829173</v>
      </c>
      <c r="AZ2163" s="2">
        <f t="shared" ca="1" si="2096"/>
        <v>3607221.1945256465</v>
      </c>
      <c r="BA2163" s="2">
        <f t="shared" ca="1" si="2097"/>
        <v>69638443.035635337</v>
      </c>
      <c r="BB2163" s="2">
        <f t="shared" ca="1" si="2098"/>
        <v>1392768.8607127068</v>
      </c>
      <c r="BC2163" s="2">
        <f t="shared" ca="1" si="2099"/>
        <v>43439023.946905099</v>
      </c>
      <c r="BD2163" s="2">
        <f t="shared" ca="1" si="2100"/>
        <v>-18071377.244845755</v>
      </c>
      <c r="BE2163" s="2">
        <f t="shared" ca="1" si="2101"/>
        <v>2227497.930198194</v>
      </c>
      <c r="BF2163" s="2">
        <f t="shared" ca="1" si="2102"/>
        <v>2568198.578782571</v>
      </c>
      <c r="BG2163" s="2">
        <f t="shared" ca="1" si="2103"/>
        <v>2889463.1927584731</v>
      </c>
      <c r="BH2163" s="2">
        <f t="shared" ca="1" si="2104"/>
        <v>3235183.5152829173</v>
      </c>
      <c r="BI2163" s="2">
        <f t="shared" ca="1" si="2105"/>
        <v>47046245.141430743</v>
      </c>
      <c r="BJ2163" s="2">
        <f t="shared" ca="1" si="2106"/>
        <v>0.30481222284705178</v>
      </c>
      <c r="BK2163" s="2">
        <f t="shared" ca="1" si="2107"/>
        <v>16772795.768449306</v>
      </c>
    </row>
    <row r="2164" spans="1:63" x14ac:dyDescent="0.3">
      <c r="A2164" s="2">
        <v>2163</v>
      </c>
      <c r="B2164" s="2">
        <f t="shared" ca="1" si="2046"/>
        <v>0.60752792913995557</v>
      </c>
      <c r="C2164" s="2">
        <f t="shared" ca="1" si="2047"/>
        <v>7.1140292658783313</v>
      </c>
      <c r="D2164" s="2">
        <f t="shared" ca="1" si="2048"/>
        <v>0.86527003203301189</v>
      </c>
      <c r="E2164" s="2">
        <f t="shared" ca="1" si="2049"/>
        <v>7.9809046947486655</v>
      </c>
      <c r="F2164" s="2">
        <f t="shared" ca="1" si="2050"/>
        <v>7.9406816503121092E-2</v>
      </c>
      <c r="G2164" s="2">
        <f t="shared" ca="1" si="2051"/>
        <v>-2.2721849888134374E-3</v>
      </c>
      <c r="H2164" s="2">
        <f t="shared" ca="1" si="2052"/>
        <v>-2.2721849888134374E-3</v>
      </c>
      <c r="I2164" s="2">
        <f t="shared" ca="1" si="2053"/>
        <v>0.62577778545530593</v>
      </c>
      <c r="J2164" s="2">
        <f t="shared" ca="1" si="2054"/>
        <v>1.1603455918518538E-2</v>
      </c>
      <c r="K2164" s="2">
        <f t="shared" ca="1" si="2055"/>
        <v>1.1603455918518538E-2</v>
      </c>
      <c r="L2164" s="2">
        <f t="shared" ca="1" si="2056"/>
        <v>0.42781289557397495</v>
      </c>
      <c r="M2164" s="2">
        <f t="shared" ca="1" si="2057"/>
        <v>-3.6389024925083864E-3</v>
      </c>
      <c r="N2164" s="2">
        <f t="shared" ca="1" si="2058"/>
        <v>-3.6389024925083864E-3</v>
      </c>
      <c r="O2164" s="2">
        <f t="shared" si="2059"/>
        <v>6000000</v>
      </c>
      <c r="P2164" s="2">
        <f t="shared" ca="1" si="2060"/>
        <v>42684175.595269985</v>
      </c>
      <c r="Q2164" s="2">
        <f t="shared" ca="1" si="2061"/>
        <v>1067104.3898817496</v>
      </c>
      <c r="R2164" s="2">
        <f t="shared" ca="1" si="2062"/>
        <v>25610505.357161991</v>
      </c>
      <c r="S2164" s="2">
        <f t="shared" ca="1" si="2063"/>
        <v>17073670.238107994</v>
      </c>
      <c r="T2164" s="2">
        <f t="shared" ca="1" si="2064"/>
        <v>49818054.875374578</v>
      </c>
      <c r="U2164" s="2">
        <f t="shared" ca="1" si="2065"/>
        <v>49704859.038914867</v>
      </c>
      <c r="V2164" s="2">
        <f t="shared" ca="1" si="2066"/>
        <v>49591920.404335558</v>
      </c>
      <c r="W2164" s="2">
        <f t="shared" ca="1" si="2067"/>
        <v>49479238.387226395</v>
      </c>
      <c r="X2164" s="2">
        <f t="shared" ca="1" si="2068"/>
        <v>49366812.404505022</v>
      </c>
      <c r="Y2164" s="2">
        <f t="shared" ca="1" si="2069"/>
        <v>0.12580172795925926</v>
      </c>
      <c r="Z2164" s="2">
        <f t="shared" ca="1" si="2070"/>
        <v>0.12812241914296296</v>
      </c>
      <c r="AA2164" s="2">
        <f t="shared" ca="1" si="2071"/>
        <v>6267197.3868913222</v>
      </c>
      <c r="AB2164" s="2">
        <f t="shared" ca="1" si="2072"/>
        <v>6368306.7832257422</v>
      </c>
      <c r="AC2164" s="2">
        <f t="shared" ca="1" si="2073"/>
        <v>6353836.8121487377</v>
      </c>
      <c r="AD2164" s="2">
        <f t="shared" ca="1" si="2074"/>
        <v>6339399.7195228031</v>
      </c>
      <c r="AE2164" s="2">
        <f t="shared" ca="1" si="2075"/>
        <v>6324995.4306420153</v>
      </c>
      <c r="AF2164" s="2">
        <f t="shared" ca="1" si="2076"/>
        <v>996361.09750749159</v>
      </c>
      <c r="AG2164" s="2">
        <f t="shared" ca="1" si="2077"/>
        <v>994097.18077829736</v>
      </c>
      <c r="AH2164" s="2">
        <f t="shared" ca="1" si="2078"/>
        <v>991838.40808671119</v>
      </c>
      <c r="AI2164" s="2">
        <f t="shared" ca="1" si="2079"/>
        <v>989584.7677445279</v>
      </c>
      <c r="AJ2164" s="2">
        <f t="shared" ca="1" si="2080"/>
        <v>987336.24809010047</v>
      </c>
      <c r="AK2164" s="2">
        <f t="shared" ca="1" si="2081"/>
        <v>0</v>
      </c>
      <c r="AL2164" s="2">
        <f t="shared" ca="1" si="2082"/>
        <v>0</v>
      </c>
      <c r="AM2164" s="2">
        <f t="shared" ca="1" si="2083"/>
        <v>0</v>
      </c>
      <c r="AN2164" s="2">
        <f t="shared" ca="1" si="2084"/>
        <v>0</v>
      </c>
      <c r="AO2164" s="2">
        <f t="shared" ca="1" si="2085"/>
        <v>0</v>
      </c>
      <c r="AP2164" s="2">
        <f t="shared" ca="1" si="2086"/>
        <v>2304945.4821445793</v>
      </c>
      <c r="AQ2164" s="2">
        <f t="shared" ca="1" si="2087"/>
        <v>771131.60988220538</v>
      </c>
      <c r="AR2164" s="2">
        <f t="shared" ca="1" si="2088"/>
        <v>798008.67127874505</v>
      </c>
      <c r="AS2164" s="2">
        <f t="shared" ca="1" si="2089"/>
        <v>794833.75969853625</v>
      </c>
      <c r="AT2164" s="2">
        <f t="shared" ca="1" si="2090"/>
        <v>791666.0621047609</v>
      </c>
      <c r="AU2164" s="2">
        <f t="shared" ca="1" si="2091"/>
        <v>788505.56210590724</v>
      </c>
      <c r="AV2164" s="2">
        <f t="shared" ca="1" si="2092"/>
        <v>2194759.1973570455</v>
      </c>
      <c r="AW2164" s="2">
        <f t="shared" ca="1" si="2093"/>
        <v>2271255.4490241203</v>
      </c>
      <c r="AX2164" s="2">
        <f t="shared" ca="1" si="2094"/>
        <v>2262219.1622189106</v>
      </c>
      <c r="AY2164" s="2">
        <f t="shared" ca="1" si="2095"/>
        <v>2253203.407528935</v>
      </c>
      <c r="AZ2164" s="2">
        <f t="shared" ca="1" si="2096"/>
        <v>2244208.1383014284</v>
      </c>
      <c r="BA2164" s="2">
        <f t="shared" ca="1" si="2097"/>
        <v>50479185.726674721</v>
      </c>
      <c r="BB2164" s="2">
        <f t="shared" ca="1" si="2098"/>
        <v>1009583.7145334944</v>
      </c>
      <c r="BC2164" s="2">
        <f t="shared" ca="1" si="2099"/>
        <v>23859096.654979236</v>
      </c>
      <c r="BD2164" s="2">
        <f t="shared" ca="1" si="2100"/>
        <v>-18640774.627989743</v>
      </c>
      <c r="BE2164" s="2">
        <f t="shared" ca="1" si="2101"/>
        <v>2194759.1973570455</v>
      </c>
      <c r="BF2164" s="2">
        <f t="shared" ca="1" si="2102"/>
        <v>2271255.4490241203</v>
      </c>
      <c r="BG2164" s="2">
        <f t="shared" ca="1" si="2103"/>
        <v>2262219.1622189106</v>
      </c>
      <c r="BH2164" s="2">
        <f t="shared" ca="1" si="2104"/>
        <v>2253203.407528935</v>
      </c>
      <c r="BI2164" s="2">
        <f t="shared" ca="1" si="2105"/>
        <v>26103304.793280665</v>
      </c>
      <c r="BJ2164" s="2">
        <f t="shared" ca="1" si="2106"/>
        <v>0.16092461571475081</v>
      </c>
      <c r="BK2164" s="2">
        <f t="shared" ca="1" si="2107"/>
        <v>2983333.3149542436</v>
      </c>
    </row>
    <row r="2165" spans="1:63" x14ac:dyDescent="0.3">
      <c r="A2165" s="2">
        <v>2164</v>
      </c>
      <c r="B2165" s="2">
        <f t="shared" ca="1" si="2046"/>
        <v>1.2192378767023282E-2</v>
      </c>
      <c r="C2165" s="2">
        <f t="shared" ca="1" si="2047"/>
        <v>6.1561561959515103</v>
      </c>
      <c r="D2165" s="2">
        <f t="shared" ca="1" si="2048"/>
        <v>0.70614065917753366</v>
      </c>
      <c r="E2165" s="2">
        <f t="shared" ca="1" si="2049"/>
        <v>7.733371875258328</v>
      </c>
      <c r="F2165" s="2">
        <f t="shared" ca="1" si="2050"/>
        <v>0.51874704103072811</v>
      </c>
      <c r="G2165" s="2">
        <f t="shared" ca="1" si="2051"/>
        <v>4.1410275140219034E-2</v>
      </c>
      <c r="H2165" s="2">
        <f t="shared" ca="1" si="2052"/>
        <v>4.1410275140219034E-2</v>
      </c>
      <c r="I2165" s="2">
        <f t="shared" ca="1" si="2053"/>
        <v>0.38086766492450308</v>
      </c>
      <c r="J2165" s="2">
        <f t="shared" ca="1" si="2054"/>
        <v>8.4839860954355854E-3</v>
      </c>
      <c r="K2165" s="2">
        <f t="shared" ca="1" si="2055"/>
        <v>8.4839860954355854E-3</v>
      </c>
      <c r="L2165" s="2">
        <f t="shared" ca="1" si="2056"/>
        <v>0.69389853128449153</v>
      </c>
      <c r="M2165" s="2">
        <f t="shared" ca="1" si="2057"/>
        <v>1.0138628438767297E-2</v>
      </c>
      <c r="N2165" s="2">
        <f t="shared" ca="1" si="2058"/>
        <v>1.0138628438767297E-2</v>
      </c>
      <c r="O2165" s="2">
        <f t="shared" si="2059"/>
        <v>6000000</v>
      </c>
      <c r="P2165" s="2">
        <f t="shared" ca="1" si="2060"/>
        <v>36936937.175709061</v>
      </c>
      <c r="Q2165" s="2">
        <f t="shared" ca="1" si="2061"/>
        <v>923423.42939272663</v>
      </c>
      <c r="R2165" s="2">
        <f t="shared" ca="1" si="2062"/>
        <v>22162162.305425435</v>
      </c>
      <c r="S2165" s="2">
        <f t="shared" ca="1" si="2063"/>
        <v>14774774.870283626</v>
      </c>
      <c r="T2165" s="2">
        <f t="shared" ca="1" si="2064"/>
        <v>50506931.42193836</v>
      </c>
      <c r="U2165" s="2">
        <f t="shared" ca="1" si="2065"/>
        <v>52598437.348609</v>
      </c>
      <c r="V2165" s="2">
        <f t="shared" ca="1" si="2066"/>
        <v>54776553.111160472</v>
      </c>
      <c r="W2165" s="2">
        <f t="shared" ca="1" si="2067"/>
        <v>57044865.246726446</v>
      </c>
      <c r="X2165" s="2">
        <f t="shared" ca="1" si="2068"/>
        <v>59407108.811930105</v>
      </c>
      <c r="Y2165" s="2">
        <f t="shared" ca="1" si="2069"/>
        <v>0.12424199304771778</v>
      </c>
      <c r="Z2165" s="2">
        <f t="shared" ca="1" si="2070"/>
        <v>0.12593879026680491</v>
      </c>
      <c r="AA2165" s="2">
        <f t="shared" ca="1" si="2071"/>
        <v>6275081.8225860242</v>
      </c>
      <c r="AB2165" s="2">
        <f t="shared" ca="1" si="2072"/>
        <v>6624183.5696081473</v>
      </c>
      <c r="AC2165" s="2">
        <f t="shared" ca="1" si="2073"/>
        <v>6898492.833804938</v>
      </c>
      <c r="AD2165" s="2">
        <f t="shared" ca="1" si="2074"/>
        <v>7184161.32010563</v>
      </c>
      <c r="AE2165" s="2">
        <f t="shared" ca="1" si="2075"/>
        <v>7481659.417022923</v>
      </c>
      <c r="AF2165" s="2">
        <f t="shared" ca="1" si="2076"/>
        <v>1010138.6284387672</v>
      </c>
      <c r="AG2165" s="2">
        <f t="shared" ca="1" si="2077"/>
        <v>1051968.74697218</v>
      </c>
      <c r="AH2165" s="2">
        <f t="shared" ca="1" si="2078"/>
        <v>1095531.0622232095</v>
      </c>
      <c r="AI2165" s="2">
        <f t="shared" ca="1" si="2079"/>
        <v>1140897.3049345289</v>
      </c>
      <c r="AJ2165" s="2">
        <f t="shared" ca="1" si="2080"/>
        <v>1188142.176238602</v>
      </c>
      <c r="AK2165" s="2">
        <f t="shared" ca="1" si="2081"/>
        <v>0</v>
      </c>
      <c r="AL2165" s="2">
        <f t="shared" ca="1" si="2082"/>
        <v>20915.059266706408</v>
      </c>
      <c r="AM2165" s="2">
        <f t="shared" ca="1" si="2083"/>
        <v>21781.157625514716</v>
      </c>
      <c r="AN2165" s="2">
        <f t="shared" ca="1" si="2084"/>
        <v>22683.121355659739</v>
      </c>
      <c r="AO2165" s="2">
        <f t="shared" ca="1" si="2085"/>
        <v>23622.435652036595</v>
      </c>
      <c r="AP2165" s="2">
        <f t="shared" ca="1" si="2086"/>
        <v>1994594.607488289</v>
      </c>
      <c r="AQ2165" s="2">
        <f t="shared" ca="1" si="2087"/>
        <v>850290.63253133174</v>
      </c>
      <c r="AR2165" s="2">
        <f t="shared" ca="1" si="2088"/>
        <v>930181.25593839644</v>
      </c>
      <c r="AS2165" s="2">
        <f t="shared" ca="1" si="2089"/>
        <v>990175.46266429417</v>
      </c>
      <c r="AT2165" s="2">
        <f t="shared" ca="1" si="2090"/>
        <v>1052654.0459975312</v>
      </c>
      <c r="AU2165" s="2">
        <f t="shared" ca="1" si="2091"/>
        <v>1117719.8846569683</v>
      </c>
      <c r="AV2165" s="2">
        <f t="shared" ca="1" si="2092"/>
        <v>2420057.9541276363</v>
      </c>
      <c r="AW2165" s="2">
        <f t="shared" ca="1" si="2093"/>
        <v>2626523.8999425755</v>
      </c>
      <c r="AX2165" s="2">
        <f t="shared" ca="1" si="2094"/>
        <v>2796410.5438036299</v>
      </c>
      <c r="AY2165" s="2">
        <f t="shared" ca="1" si="2095"/>
        <v>2973332.2403296218</v>
      </c>
      <c r="AZ2165" s="2">
        <f t="shared" ca="1" si="2096"/>
        <v>3157580.3129870272</v>
      </c>
      <c r="BA2165" s="2">
        <f t="shared" ca="1" si="2097"/>
        <v>57858454.515866689</v>
      </c>
      <c r="BB2165" s="2">
        <f t="shared" ca="1" si="2098"/>
        <v>1157169.0903173338</v>
      </c>
      <c r="BC2165" s="2">
        <f t="shared" ca="1" si="2099"/>
        <v>34539123.120123923</v>
      </c>
      <c r="BD2165" s="2">
        <f t="shared" ca="1" si="2100"/>
        <v>-16198198.299676353</v>
      </c>
      <c r="BE2165" s="2">
        <f t="shared" ca="1" si="2101"/>
        <v>2420057.9541276363</v>
      </c>
      <c r="BF2165" s="2">
        <f t="shared" ca="1" si="2102"/>
        <v>2626523.8999425755</v>
      </c>
      <c r="BG2165" s="2">
        <f t="shared" ca="1" si="2103"/>
        <v>2796410.5438036299</v>
      </c>
      <c r="BH2165" s="2">
        <f t="shared" ca="1" si="2104"/>
        <v>2973332.2403296218</v>
      </c>
      <c r="BI2165" s="2">
        <f t="shared" ca="1" si="2105"/>
        <v>37696703.433110952</v>
      </c>
      <c r="BJ2165" s="2">
        <f t="shared" ca="1" si="2106"/>
        <v>0.29364473392802926</v>
      </c>
      <c r="BK2165" s="2">
        <f t="shared" ca="1" si="2107"/>
        <v>13326574.584767068</v>
      </c>
    </row>
    <row r="2166" spans="1:63" x14ac:dyDescent="0.3">
      <c r="A2166" s="2">
        <v>2165</v>
      </c>
      <c r="B2166" s="2">
        <f t="shared" ca="1" si="2046"/>
        <v>0.8747315316715637</v>
      </c>
      <c r="C2166" s="2">
        <f t="shared" ca="1" si="2047"/>
        <v>7.4994633513349171</v>
      </c>
      <c r="D2166" s="2">
        <f t="shared" ca="1" si="2048"/>
        <v>7.9616391403930953E-2</v>
      </c>
      <c r="E2166" s="2">
        <f t="shared" ca="1" si="2049"/>
        <v>6.8990398260924115</v>
      </c>
      <c r="F2166" s="2">
        <f t="shared" ca="1" si="2050"/>
        <v>0.87472384626363986</v>
      </c>
      <c r="G2166" s="2">
        <f t="shared" ca="1" si="2051"/>
        <v>7.4470267241904281E-2</v>
      </c>
      <c r="H2166" s="2">
        <f t="shared" ca="1" si="2052"/>
        <v>7.4470267241904281E-2</v>
      </c>
      <c r="I2166" s="2">
        <f t="shared" ca="1" si="2053"/>
        <v>0.9791600622379818</v>
      </c>
      <c r="J2166" s="2">
        <f t="shared" ca="1" si="2054"/>
        <v>2.0183511918224682E-2</v>
      </c>
      <c r="K2166" s="2">
        <f t="shared" ca="1" si="2055"/>
        <v>2.0183511918224682E-2</v>
      </c>
      <c r="L2166" s="2">
        <f t="shared" ca="1" si="2056"/>
        <v>0.64689474768925215</v>
      </c>
      <c r="M2166" s="2">
        <f t="shared" ca="1" si="2057"/>
        <v>7.5390069486161596E-3</v>
      </c>
      <c r="N2166" s="2">
        <f t="shared" ca="1" si="2058"/>
        <v>7.5390069486161596E-3</v>
      </c>
      <c r="O2166" s="2">
        <f t="shared" si="2059"/>
        <v>6000000</v>
      </c>
      <c r="P2166" s="2">
        <f t="shared" ca="1" si="2060"/>
        <v>44996780.108009502</v>
      </c>
      <c r="Q2166" s="2">
        <f t="shared" ca="1" si="2061"/>
        <v>1124919.5027002376</v>
      </c>
      <c r="R2166" s="2">
        <f t="shared" ca="1" si="2062"/>
        <v>26998068.064805701</v>
      </c>
      <c r="S2166" s="2">
        <f t="shared" ca="1" si="2063"/>
        <v>17998712.043203801</v>
      </c>
      <c r="T2166" s="2">
        <f t="shared" ca="1" si="2064"/>
        <v>50376950.347430803</v>
      </c>
      <c r="U2166" s="2">
        <f t="shared" ca="1" si="2065"/>
        <v>54128535.302636117</v>
      </c>
      <c r="V2166" s="2">
        <f t="shared" ca="1" si="2066"/>
        <v>58159501.792036273</v>
      </c>
      <c r="W2166" s="2">
        <f t="shared" ca="1" si="2067"/>
        <v>62490655.433145218</v>
      </c>
      <c r="X2166" s="2">
        <f t="shared" ca="1" si="2068"/>
        <v>67144351.24337329</v>
      </c>
      <c r="Y2166" s="2">
        <f t="shared" ca="1" si="2069"/>
        <v>0.13009175595911235</v>
      </c>
      <c r="Z2166" s="2">
        <f t="shared" ca="1" si="2070"/>
        <v>0.13412845834275727</v>
      </c>
      <c r="AA2166" s="2">
        <f t="shared" ca="1" si="2071"/>
        <v>6553625.9305622885</v>
      </c>
      <c r="AB2166" s="2">
        <f t="shared" ca="1" si="2072"/>
        <v>7260176.9924940951</v>
      </c>
      <c r="AC2166" s="2">
        <f t="shared" ca="1" si="2073"/>
        <v>7800844.3133486537</v>
      </c>
      <c r="AD2166" s="2">
        <f t="shared" ca="1" si="2074"/>
        <v>8381775.2740762169</v>
      </c>
      <c r="AE2166" s="2">
        <f t="shared" ca="1" si="2075"/>
        <v>9005968.3186982572</v>
      </c>
      <c r="AF2166" s="2">
        <f t="shared" ca="1" si="2076"/>
        <v>1007539.0069486161</v>
      </c>
      <c r="AG2166" s="2">
        <f t="shared" ca="1" si="2077"/>
        <v>1082570.7060527224</v>
      </c>
      <c r="AH2166" s="2">
        <f t="shared" ca="1" si="2078"/>
        <v>1163190.0358407255</v>
      </c>
      <c r="AI2166" s="2">
        <f t="shared" ca="1" si="2079"/>
        <v>1249813.1086629045</v>
      </c>
      <c r="AJ2166" s="2">
        <f t="shared" ca="1" si="2080"/>
        <v>1342887.0248674657</v>
      </c>
      <c r="AK2166" s="2">
        <f t="shared" ca="1" si="2081"/>
        <v>0</v>
      </c>
      <c r="AL2166" s="2">
        <f t="shared" ca="1" si="2082"/>
        <v>37515.849552053136</v>
      </c>
      <c r="AM2166" s="2">
        <f t="shared" ca="1" si="2083"/>
        <v>40309.664894001558</v>
      </c>
      <c r="AN2166" s="2">
        <f t="shared" ca="1" si="2084"/>
        <v>43311.536411089452</v>
      </c>
      <c r="AO2166" s="2">
        <f t="shared" ca="1" si="2085"/>
        <v>46536.958102280725</v>
      </c>
      <c r="AP2166" s="2">
        <f t="shared" ca="1" si="2086"/>
        <v>2429826.125832513</v>
      </c>
      <c r="AQ2166" s="2">
        <f t="shared" ca="1" si="2087"/>
        <v>810227.80742310139</v>
      </c>
      <c r="AR2166" s="2">
        <f t="shared" ca="1" si="2088"/>
        <v>974422.84175830358</v>
      </c>
      <c r="AS2166" s="2">
        <f t="shared" ca="1" si="2089"/>
        <v>1094035.3194356081</v>
      </c>
      <c r="AT2166" s="2">
        <f t="shared" ca="1" si="2090"/>
        <v>1222555.3702910079</v>
      </c>
      <c r="AU2166" s="2">
        <f t="shared" ca="1" si="2091"/>
        <v>1360646.3436795524</v>
      </c>
      <c r="AV2166" s="2">
        <f t="shared" ca="1" si="2092"/>
        <v>2306032.9903580574</v>
      </c>
      <c r="AW2166" s="2">
        <f t="shared" ca="1" si="2093"/>
        <v>2735841.4692985034</v>
      </c>
      <c r="AX2166" s="2">
        <f t="shared" ca="1" si="2094"/>
        <v>3073483.1673458051</v>
      </c>
      <c r="AY2166" s="2">
        <f t="shared" ca="1" si="2095"/>
        <v>3436269.1328787021</v>
      </c>
      <c r="AZ2166" s="2">
        <f t="shared" ca="1" si="2096"/>
        <v>3826071.8662164453</v>
      </c>
      <c r="BA2166" s="2">
        <f t="shared" ca="1" si="2097"/>
        <v>62132534.10322579</v>
      </c>
      <c r="BB2166" s="2">
        <f t="shared" ca="1" si="2098"/>
        <v>1242650.6820645158</v>
      </c>
      <c r="BC2166" s="2">
        <f t="shared" ca="1" si="2099"/>
        <v>33891815.35635557</v>
      </c>
      <c r="BD2166" s="2">
        <f t="shared" ca="1" si="2100"/>
        <v>-19623631.54590404</v>
      </c>
      <c r="BE2166" s="2">
        <f t="shared" ca="1" si="2101"/>
        <v>2306032.9903580574</v>
      </c>
      <c r="BF2166" s="2">
        <f t="shared" ca="1" si="2102"/>
        <v>2735841.4692985034</v>
      </c>
      <c r="BG2166" s="2">
        <f t="shared" ca="1" si="2103"/>
        <v>3073483.1673458051</v>
      </c>
      <c r="BH2166" s="2">
        <f t="shared" ca="1" si="2104"/>
        <v>3436269.1328787021</v>
      </c>
      <c r="BI2166" s="2">
        <f t="shared" ca="1" si="2105"/>
        <v>37717887.222572014</v>
      </c>
      <c r="BJ2166" s="2">
        <f t="shared" ca="1" si="2106"/>
        <v>0.23917919031122326</v>
      </c>
      <c r="BK2166" s="2">
        <f t="shared" ca="1" si="2107"/>
        <v>10389920.468241736</v>
      </c>
    </row>
    <row r="2167" spans="1:63" x14ac:dyDescent="0.3">
      <c r="A2167" s="2">
        <v>2166</v>
      </c>
      <c r="B2167" s="2">
        <f t="shared" ca="1" si="2046"/>
        <v>0.43213669156327683</v>
      </c>
      <c r="C2167" s="2">
        <f t="shared" ca="1" si="2047"/>
        <v>6.9296630481666748</v>
      </c>
      <c r="D2167" s="2">
        <f t="shared" ca="1" si="2048"/>
        <v>0.36260196840747561</v>
      </c>
      <c r="E2167" s="2">
        <f t="shared" ca="1" si="2049"/>
        <v>7.3515890656971541</v>
      </c>
      <c r="F2167" s="2">
        <f t="shared" ca="1" si="2050"/>
        <v>0.51764203715918877</v>
      </c>
      <c r="G2167" s="2">
        <f t="shared" ca="1" si="2051"/>
        <v>4.1327093571486208E-2</v>
      </c>
      <c r="H2167" s="2">
        <f t="shared" ca="1" si="2052"/>
        <v>4.1327093571486208E-2</v>
      </c>
      <c r="I2167" s="2">
        <f t="shared" ca="1" si="2053"/>
        <v>0.97682990291530447</v>
      </c>
      <c r="J2167" s="2">
        <f t="shared" ca="1" si="2054"/>
        <v>1.9961406870108798E-2</v>
      </c>
      <c r="K2167" s="2">
        <f t="shared" ca="1" si="2055"/>
        <v>1.9961406870108798E-2</v>
      </c>
      <c r="L2167" s="2">
        <f t="shared" ca="1" si="2056"/>
        <v>0.81802565126239446</v>
      </c>
      <c r="M2167" s="2">
        <f t="shared" ca="1" si="2057"/>
        <v>1.8157332319230883E-2</v>
      </c>
      <c r="N2167" s="2">
        <f t="shared" ca="1" si="2058"/>
        <v>1.8157332319230883E-2</v>
      </c>
      <c r="O2167" s="2">
        <f t="shared" si="2059"/>
        <v>6000000</v>
      </c>
      <c r="P2167" s="2">
        <f t="shared" ca="1" si="2060"/>
        <v>41577978.289000049</v>
      </c>
      <c r="Q2167" s="2">
        <f t="shared" ca="1" si="2061"/>
        <v>1039449.4572250013</v>
      </c>
      <c r="R2167" s="2">
        <f t="shared" ca="1" si="2062"/>
        <v>24946786.97340003</v>
      </c>
      <c r="S2167" s="2">
        <f t="shared" ca="1" si="2063"/>
        <v>16631191.315600021</v>
      </c>
      <c r="T2167" s="2">
        <f t="shared" ca="1" si="2064"/>
        <v>50907866.615961537</v>
      </c>
      <c r="U2167" s="2">
        <f t="shared" ca="1" si="2065"/>
        <v>53011740.783124119</v>
      </c>
      <c r="V2167" s="2">
        <f t="shared" ca="1" si="2066"/>
        <v>55202561.954855666</v>
      </c>
      <c r="W2167" s="2">
        <f t="shared" ca="1" si="2067"/>
        <v>57483923.398149751</v>
      </c>
      <c r="X2167" s="2">
        <f t="shared" ca="1" si="2068"/>
        <v>59859566.87928123</v>
      </c>
      <c r="Y2167" s="2">
        <f t="shared" ca="1" si="2069"/>
        <v>0.12998070343505438</v>
      </c>
      <c r="Z2167" s="2">
        <f t="shared" ca="1" si="2070"/>
        <v>0.13397298480907616</v>
      </c>
      <c r="AA2167" s="2">
        <f t="shared" ca="1" si="2071"/>
        <v>6617040.3131206017</v>
      </c>
      <c r="AB2167" s="2">
        <f t="shared" ca="1" si="2072"/>
        <v>7102141.1426401706</v>
      </c>
      <c r="AC2167" s="2">
        <f t="shared" ca="1" si="2073"/>
        <v>7395651.9941999633</v>
      </c>
      <c r="AD2167" s="2">
        <f t="shared" ca="1" si="2074"/>
        <v>7701292.7961864136</v>
      </c>
      <c r="AE2167" s="2">
        <f t="shared" ca="1" si="2075"/>
        <v>8019564.8441958223</v>
      </c>
      <c r="AF2167" s="2">
        <f t="shared" ca="1" si="2076"/>
        <v>1018157.3323192308</v>
      </c>
      <c r="AG2167" s="2">
        <f t="shared" ca="1" si="2077"/>
        <v>1060234.8156624823</v>
      </c>
      <c r="AH2167" s="2">
        <f t="shared" ca="1" si="2078"/>
        <v>1104051.2390971133</v>
      </c>
      <c r="AI2167" s="2">
        <f t="shared" ca="1" si="2079"/>
        <v>1149678.4679629949</v>
      </c>
      <c r="AJ2167" s="2">
        <f t="shared" ca="1" si="2080"/>
        <v>1197191.3375856245</v>
      </c>
      <c r="AK2167" s="2">
        <f t="shared" ca="1" si="2081"/>
        <v>0</v>
      </c>
      <c r="AL2167" s="2">
        <f t="shared" ca="1" si="2082"/>
        <v>21038.741671625823</v>
      </c>
      <c r="AM2167" s="2">
        <f t="shared" ca="1" si="2083"/>
        <v>21908.211717315466</v>
      </c>
      <c r="AN2167" s="2">
        <f t="shared" ca="1" si="2084"/>
        <v>22813.614432940856</v>
      </c>
      <c r="AO2167" s="2">
        <f t="shared" ca="1" si="2085"/>
        <v>23756.434811314793</v>
      </c>
      <c r="AP2167" s="2">
        <f t="shared" ca="1" si="2086"/>
        <v>2245210.8276060028</v>
      </c>
      <c r="AQ2167" s="2">
        <f t="shared" ca="1" si="2087"/>
        <v>871954.75983079569</v>
      </c>
      <c r="AR2167" s="2">
        <f t="shared" ca="1" si="2088"/>
        <v>987140.82983663841</v>
      </c>
      <c r="AS2167" s="2">
        <f t="shared" ca="1" si="2089"/>
        <v>1052061.3811491805</v>
      </c>
      <c r="AT2167" s="2">
        <f t="shared" ca="1" si="2090"/>
        <v>1119664.910160528</v>
      </c>
      <c r="AU2167" s="2">
        <f t="shared" ca="1" si="2091"/>
        <v>1190062.2965410908</v>
      </c>
      <c r="AV2167" s="2">
        <f t="shared" ca="1" si="2092"/>
        <v>2481717.393364572</v>
      </c>
      <c r="AW2167" s="2">
        <f t="shared" ca="1" si="2093"/>
        <v>2788515.9278634218</v>
      </c>
      <c r="AX2167" s="2">
        <f t="shared" ca="1" si="2094"/>
        <v>2972420.3346303524</v>
      </c>
      <c r="AY2167" s="2">
        <f t="shared" ca="1" si="2095"/>
        <v>3163924.9760239469</v>
      </c>
      <c r="AZ2167" s="2">
        <f t="shared" ca="1" si="2096"/>
        <v>3363343.9476517895</v>
      </c>
      <c r="BA2167" s="2">
        <f t="shared" ca="1" si="2097"/>
        <v>58956545.220239311</v>
      </c>
      <c r="BB2167" s="2">
        <f t="shared" ca="1" si="2098"/>
        <v>1179130.9044047862</v>
      </c>
      <c r="BC2167" s="2">
        <f t="shared" ca="1" si="2099"/>
        <v>32830627.342434499</v>
      </c>
      <c r="BD2167" s="2">
        <f t="shared" ca="1" si="2100"/>
        <v>-18170640.772825021</v>
      </c>
      <c r="BE2167" s="2">
        <f t="shared" ca="1" si="2101"/>
        <v>2481717.393364572</v>
      </c>
      <c r="BF2167" s="2">
        <f t="shared" ca="1" si="2102"/>
        <v>2788515.9278634218</v>
      </c>
      <c r="BG2167" s="2">
        <f t="shared" ca="1" si="2103"/>
        <v>2972420.3346303524</v>
      </c>
      <c r="BH2167" s="2">
        <f t="shared" ca="1" si="2104"/>
        <v>3163924.9760239469</v>
      </c>
      <c r="BI2167" s="2">
        <f t="shared" ca="1" si="2105"/>
        <v>36193971.290086292</v>
      </c>
      <c r="BJ2167" s="2">
        <f t="shared" ca="1" si="2106"/>
        <v>0.25469386174040798</v>
      </c>
      <c r="BK2167" s="2">
        <f t="shared" ca="1" si="2107"/>
        <v>10932039.082011089</v>
      </c>
    </row>
    <row r="2168" spans="1:63" x14ac:dyDescent="0.3">
      <c r="A2168" s="2">
        <v>2167</v>
      </c>
      <c r="B2168" s="2">
        <f t="shared" ca="1" si="2046"/>
        <v>0.70474020459081499</v>
      </c>
      <c r="C2168" s="2">
        <f t="shared" ca="1" si="2047"/>
        <v>7.2315472748318408</v>
      </c>
      <c r="D2168" s="2">
        <f t="shared" ca="1" si="2048"/>
        <v>0.6987154341910542</v>
      </c>
      <c r="E2168" s="2">
        <f t="shared" ca="1" si="2049"/>
        <v>7.7237467348745694</v>
      </c>
      <c r="F2168" s="2">
        <f t="shared" ca="1" si="2050"/>
        <v>0.12445503543396652</v>
      </c>
      <c r="G2168" s="2">
        <f t="shared" ca="1" si="2051"/>
        <v>5.4099770764409541E-3</v>
      </c>
      <c r="H2168" s="2">
        <f t="shared" ca="1" si="2052"/>
        <v>5.4099770764409541E-3</v>
      </c>
      <c r="I2168" s="2">
        <f t="shared" ca="1" si="2053"/>
        <v>0.50819820376650426</v>
      </c>
      <c r="J2168" s="2">
        <f t="shared" ca="1" si="2054"/>
        <v>1.0102756479651885E-2</v>
      </c>
      <c r="K2168" s="2">
        <f t="shared" ca="1" si="2055"/>
        <v>1.0102756479651885E-2</v>
      </c>
      <c r="L2168" s="2">
        <f t="shared" ca="1" si="2056"/>
        <v>0.47445637552342379</v>
      </c>
      <c r="M2168" s="2">
        <f t="shared" ca="1" si="2057"/>
        <v>-1.2814436606354987E-3</v>
      </c>
      <c r="N2168" s="2">
        <f t="shared" ca="1" si="2058"/>
        <v>-1.2814436606354987E-3</v>
      </c>
      <c r="O2168" s="2">
        <f t="shared" si="2059"/>
        <v>6000000</v>
      </c>
      <c r="P2168" s="2">
        <f t="shared" ca="1" si="2060"/>
        <v>43389283.648991048</v>
      </c>
      <c r="Q2168" s="2">
        <f t="shared" ca="1" si="2061"/>
        <v>1084732.0912247763</v>
      </c>
      <c r="R2168" s="2">
        <f t="shared" ca="1" si="2062"/>
        <v>26033570.189394627</v>
      </c>
      <c r="S2168" s="2">
        <f t="shared" ca="1" si="2063"/>
        <v>17355713.459596422</v>
      </c>
      <c r="T2168" s="2">
        <f t="shared" ca="1" si="2064"/>
        <v>49935927.816968225</v>
      </c>
      <c r="U2168" s="2">
        <f t="shared" ca="1" si="2065"/>
        <v>50206080.041748829</v>
      </c>
      <c r="V2168" s="2">
        <f t="shared" ca="1" si="2066"/>
        <v>50477693.783872649</v>
      </c>
      <c r="W2168" s="2">
        <f t="shared" ca="1" si="2067"/>
        <v>50750776.950115003</v>
      </c>
      <c r="X2168" s="2">
        <f t="shared" ca="1" si="2068"/>
        <v>51025337.49002669</v>
      </c>
      <c r="Y2168" s="2">
        <f t="shared" ca="1" si="2069"/>
        <v>0.12505137823982593</v>
      </c>
      <c r="Z2168" s="2">
        <f t="shared" ca="1" si="2070"/>
        <v>0.1270719295357563</v>
      </c>
      <c r="AA2168" s="2">
        <f t="shared" ca="1" si="2071"/>
        <v>6244556.5971963387</v>
      </c>
      <c r="AB2168" s="2">
        <f t="shared" ca="1" si="2072"/>
        <v>6379783.4653316475</v>
      </c>
      <c r="AC2168" s="2">
        <f t="shared" ca="1" si="2073"/>
        <v>6414297.9476317493</v>
      </c>
      <c r="AD2168" s="2">
        <f t="shared" ca="1" si="2074"/>
        <v>6448999.1524898987</v>
      </c>
      <c r="AE2168" s="2">
        <f t="shared" ca="1" si="2075"/>
        <v>6483888.0900708558</v>
      </c>
      <c r="AF2168" s="2">
        <f t="shared" ca="1" si="2076"/>
        <v>998718.5563393645</v>
      </c>
      <c r="AG2168" s="2">
        <f t="shared" ca="1" si="2077"/>
        <v>1004121.6008349766</v>
      </c>
      <c r="AH2168" s="2">
        <f t="shared" ca="1" si="2078"/>
        <v>1009553.875677453</v>
      </c>
      <c r="AI2168" s="2">
        <f t="shared" ca="1" si="2079"/>
        <v>1015015.5390023001</v>
      </c>
      <c r="AJ2168" s="2">
        <f t="shared" ca="1" si="2080"/>
        <v>1020506.7498005339</v>
      </c>
      <c r="AK2168" s="2">
        <f t="shared" ca="1" si="2081"/>
        <v>0</v>
      </c>
      <c r="AL2168" s="2">
        <f t="shared" ca="1" si="2082"/>
        <v>2701.5222478060423</v>
      </c>
      <c r="AM2168" s="2">
        <f t="shared" ca="1" si="2083"/>
        <v>2716.1374212381988</v>
      </c>
      <c r="AN2168" s="2">
        <f t="shared" ca="1" si="2084"/>
        <v>2730.8316624235363</v>
      </c>
      <c r="AO2168" s="2">
        <f t="shared" ca="1" si="2085"/>
        <v>2745.6053991168737</v>
      </c>
      <c r="AP2168" s="2">
        <f t="shared" ca="1" si="2086"/>
        <v>2343021.3170455163</v>
      </c>
      <c r="AQ2168" s="2">
        <f t="shared" ca="1" si="2087"/>
        <v>754732.3481909791</v>
      </c>
      <c r="AR2168" s="2">
        <f t="shared" ca="1" si="2088"/>
        <v>788486.54233730014</v>
      </c>
      <c r="AS2168" s="2">
        <f t="shared" ca="1" si="2089"/>
        <v>796047.91627628275</v>
      </c>
      <c r="AT2168" s="2">
        <f t="shared" ca="1" si="2090"/>
        <v>803650.19707494136</v>
      </c>
      <c r="AU2168" s="2">
        <f t="shared" ca="1" si="2091"/>
        <v>811293.60603844945</v>
      </c>
      <c r="AV2168" s="2">
        <f t="shared" ca="1" si="2092"/>
        <v>2148084.3756204788</v>
      </c>
      <c r="AW2168" s="2">
        <f t="shared" ca="1" si="2093"/>
        <v>2241452.4828660479</v>
      </c>
      <c r="AX2168" s="2">
        <f t="shared" ca="1" si="2094"/>
        <v>2262958.7012112588</v>
      </c>
      <c r="AY2168" s="2">
        <f t="shared" ca="1" si="2095"/>
        <v>2284581.2677047169</v>
      </c>
      <c r="AZ2168" s="2">
        <f t="shared" ca="1" si="2096"/>
        <v>2306320.8117872393</v>
      </c>
      <c r="BA2168" s="2">
        <f t="shared" ca="1" si="2097"/>
        <v>50079909.464976877</v>
      </c>
      <c r="BB2168" s="2">
        <f t="shared" ca="1" si="2098"/>
        <v>1001598.1892995376</v>
      </c>
      <c r="BC2168" s="2">
        <f t="shared" ca="1" si="2099"/>
        <v>23044741.086282711</v>
      </c>
      <c r="BD2168" s="2">
        <f t="shared" ca="1" si="2100"/>
        <v>-18940445.550821196</v>
      </c>
      <c r="BE2168" s="2">
        <f t="shared" ca="1" si="2101"/>
        <v>2148084.3756204788</v>
      </c>
      <c r="BF2168" s="2">
        <f t="shared" ca="1" si="2102"/>
        <v>2241452.4828660479</v>
      </c>
      <c r="BG2168" s="2">
        <f t="shared" ca="1" si="2103"/>
        <v>2262958.7012112588</v>
      </c>
      <c r="BH2168" s="2">
        <f t="shared" ca="1" si="2104"/>
        <v>2284581.2677047169</v>
      </c>
      <c r="BI2168" s="2">
        <f t="shared" ca="1" si="2105"/>
        <v>25351061.898069952</v>
      </c>
      <c r="BJ2168" s="2">
        <f t="shared" ca="1" si="2106"/>
        <v>0.15030143111096561</v>
      </c>
      <c r="BK2168" s="2">
        <f t="shared" ca="1" si="2107"/>
        <v>2211854.4678741731</v>
      </c>
    </row>
    <row r="2169" spans="1:63" x14ac:dyDescent="0.3">
      <c r="A2169" s="2">
        <v>2168</v>
      </c>
      <c r="B2169" s="2">
        <f t="shared" ca="1" si="2046"/>
        <v>0.80154067436582321</v>
      </c>
      <c r="C2169" s="2">
        <f t="shared" ca="1" si="2047"/>
        <v>7.3699851975799664</v>
      </c>
      <c r="D2169" s="2">
        <f t="shared" ca="1" si="2048"/>
        <v>0.21030348527357789</v>
      </c>
      <c r="E2169" s="2">
        <f t="shared" ca="1" si="2049"/>
        <v>7.1485421887180172</v>
      </c>
      <c r="F2169" s="2">
        <f t="shared" ca="1" si="2050"/>
        <v>5.5490631877073038E-2</v>
      </c>
      <c r="G2169" s="2">
        <f t="shared" ca="1" si="2051"/>
        <v>-7.8139429331165119E-3</v>
      </c>
      <c r="H2169" s="2">
        <f t="shared" ca="1" si="2052"/>
        <v>-7.8139429331165119E-3</v>
      </c>
      <c r="I2169" s="2">
        <f t="shared" ca="1" si="2053"/>
        <v>0.69115555822615715</v>
      </c>
      <c r="J2169" s="2">
        <f t="shared" ca="1" si="2054"/>
        <v>1.2495642339655846E-2</v>
      </c>
      <c r="K2169" s="2">
        <f t="shared" ca="1" si="2055"/>
        <v>1.2495642339655846E-2</v>
      </c>
      <c r="L2169" s="2">
        <f t="shared" ca="1" si="2056"/>
        <v>0.1923130838884245</v>
      </c>
      <c r="M2169" s="2">
        <f t="shared" ca="1" si="2057"/>
        <v>-1.7388081032617998E-2</v>
      </c>
      <c r="N2169" s="2">
        <f t="shared" ca="1" si="2058"/>
        <v>-1.7388081032617998E-2</v>
      </c>
      <c r="O2169" s="2">
        <f t="shared" si="2059"/>
        <v>6000000</v>
      </c>
      <c r="P2169" s="2">
        <f t="shared" ca="1" si="2060"/>
        <v>44219911.185479797</v>
      </c>
      <c r="Q2169" s="2">
        <f t="shared" ca="1" si="2061"/>
        <v>1105497.7796369949</v>
      </c>
      <c r="R2169" s="2">
        <f t="shared" ca="1" si="2062"/>
        <v>26531946.711287878</v>
      </c>
      <c r="S2169" s="2">
        <f t="shared" ca="1" si="2063"/>
        <v>17687964.474191919</v>
      </c>
      <c r="T2169" s="2">
        <f t="shared" ca="1" si="2064"/>
        <v>49130595.948369101</v>
      </c>
      <c r="U2169" s="2">
        <f t="shared" ca="1" si="2065"/>
        <v>48746692.275358535</v>
      </c>
      <c r="V2169" s="2">
        <f t="shared" ca="1" si="2066"/>
        <v>48365788.403740689</v>
      </c>
      <c r="W2169" s="2">
        <f t="shared" ca="1" si="2067"/>
        <v>47987860.893238671</v>
      </c>
      <c r="X2169" s="2">
        <f t="shared" ca="1" si="2068"/>
        <v>47612886.486736566</v>
      </c>
      <c r="Y2169" s="2">
        <f t="shared" ca="1" si="2069"/>
        <v>0.12624782116982791</v>
      </c>
      <c r="Z2169" s="2">
        <f t="shared" ca="1" si="2070"/>
        <v>0.12874694963775909</v>
      </c>
      <c r="AA2169" s="2">
        <f t="shared" ca="1" si="2071"/>
        <v>6202630.6912567737</v>
      </c>
      <c r="AB2169" s="2">
        <f t="shared" ca="1" si="2072"/>
        <v>6275987.9353829259</v>
      </c>
      <c r="AC2169" s="2">
        <f t="shared" ca="1" si="2073"/>
        <v>6226947.7238069158</v>
      </c>
      <c r="AD2169" s="2">
        <f t="shared" ca="1" si="2074"/>
        <v>6178290.709645588</v>
      </c>
      <c r="AE2169" s="2">
        <f t="shared" ca="1" si="2075"/>
        <v>6130013.8986162134</v>
      </c>
      <c r="AF2169" s="2">
        <f t="shared" ca="1" si="2076"/>
        <v>982611.91896738205</v>
      </c>
      <c r="AG2169" s="2">
        <f t="shared" ca="1" si="2077"/>
        <v>974933.84550717077</v>
      </c>
      <c r="AH2169" s="2">
        <f t="shared" ca="1" si="2078"/>
        <v>967315.76807481376</v>
      </c>
      <c r="AI2169" s="2">
        <f t="shared" ca="1" si="2079"/>
        <v>959757.21786477347</v>
      </c>
      <c r="AJ2169" s="2">
        <f t="shared" ca="1" si="2080"/>
        <v>952257.72973473137</v>
      </c>
      <c r="AK2169" s="2">
        <f t="shared" ca="1" si="2081"/>
        <v>0</v>
      </c>
      <c r="AL2169" s="2">
        <f t="shared" ca="1" si="2082"/>
        <v>0</v>
      </c>
      <c r="AM2169" s="2">
        <f t="shared" ca="1" si="2083"/>
        <v>0</v>
      </c>
      <c r="AN2169" s="2">
        <f t="shared" ca="1" si="2084"/>
        <v>0</v>
      </c>
      <c r="AO2169" s="2">
        <f t="shared" ca="1" si="2085"/>
        <v>0</v>
      </c>
      <c r="AP2169" s="2">
        <f t="shared" ca="1" si="2086"/>
        <v>2387875.2040159088</v>
      </c>
      <c r="AQ2169" s="2">
        <f t="shared" ca="1" si="2087"/>
        <v>736357.32775110553</v>
      </c>
      <c r="AR2169" s="2">
        <f t="shared" ca="1" si="2088"/>
        <v>757426.51032355998</v>
      </c>
      <c r="AS2169" s="2">
        <f t="shared" ca="1" si="2089"/>
        <v>746656.75544621015</v>
      </c>
      <c r="AT2169" s="2">
        <f t="shared" ca="1" si="2090"/>
        <v>735971.1548188756</v>
      </c>
      <c r="AU2169" s="2">
        <f t="shared" ca="1" si="2091"/>
        <v>725369.05086504889</v>
      </c>
      <c r="AV2169" s="2">
        <f t="shared" ca="1" si="2092"/>
        <v>2095786.2405223772</v>
      </c>
      <c r="AW2169" s="2">
        <f t="shared" ca="1" si="2093"/>
        <v>2155752.3755362863</v>
      </c>
      <c r="AX2169" s="2">
        <f t="shared" ca="1" si="2094"/>
        <v>2125099.9962699823</v>
      </c>
      <c r="AY2169" s="2">
        <f t="shared" ca="1" si="2095"/>
        <v>2094687.1329460302</v>
      </c>
      <c r="AZ2169" s="2">
        <f t="shared" ca="1" si="2096"/>
        <v>2064511.9140005242</v>
      </c>
      <c r="BA2169" s="2">
        <f t="shared" ca="1" si="2097"/>
        <v>43820662.971685812</v>
      </c>
      <c r="BB2169" s="2">
        <f t="shared" ca="1" si="2098"/>
        <v>876413.2594337163</v>
      </c>
      <c r="BC2169" s="2">
        <f t="shared" ca="1" si="2099"/>
        <v>16412303.000964217</v>
      </c>
      <c r="BD2169" s="2">
        <f t="shared" ca="1" si="2100"/>
        <v>-19293462.253828913</v>
      </c>
      <c r="BE2169" s="2">
        <f t="shared" ca="1" si="2101"/>
        <v>2095786.2405223772</v>
      </c>
      <c r="BF2169" s="2">
        <f t="shared" ca="1" si="2102"/>
        <v>2155752.3755362863</v>
      </c>
      <c r="BG2169" s="2">
        <f t="shared" ca="1" si="2103"/>
        <v>2125099.9962699823</v>
      </c>
      <c r="BH2169" s="2">
        <f t="shared" ca="1" si="2104"/>
        <v>2094687.1329460302</v>
      </c>
      <c r="BI2169" s="2">
        <f t="shared" ca="1" si="2105"/>
        <v>18476814.914964743</v>
      </c>
      <c r="BJ2169" s="2">
        <f t="shared" ca="1" si="2106"/>
        <v>8.4064221655447469E-2</v>
      </c>
      <c r="BK2169" s="2">
        <f t="shared" ca="1" si="2107"/>
        <v>-2375615.2093277238</v>
      </c>
    </row>
    <row r="2170" spans="1:63" x14ac:dyDescent="0.3">
      <c r="A2170" s="2">
        <v>2169</v>
      </c>
      <c r="B2170" s="2">
        <f t="shared" ca="1" si="2046"/>
        <v>5.2157763078710229E-2</v>
      </c>
      <c r="C2170" s="2">
        <f t="shared" ca="1" si="2047"/>
        <v>6.3229791419850834</v>
      </c>
      <c r="D2170" s="2">
        <f t="shared" ca="1" si="2048"/>
        <v>5.7735208053332321E-2</v>
      </c>
      <c r="E2170" s="2">
        <f t="shared" ca="1" si="2049"/>
        <v>6.8398093820168366</v>
      </c>
      <c r="F2170" s="2">
        <f t="shared" ca="1" si="2050"/>
        <v>0.88146267964123381</v>
      </c>
      <c r="G2170" s="2">
        <f t="shared" ca="1" si="2051"/>
        <v>7.5469911017538208E-2</v>
      </c>
      <c r="H2170" s="2">
        <f t="shared" ca="1" si="2052"/>
        <v>7.5469911017538208E-2</v>
      </c>
      <c r="I2170" s="2">
        <f t="shared" ca="1" si="2053"/>
        <v>0.69359302468525796</v>
      </c>
      <c r="J2170" s="2">
        <f t="shared" ca="1" si="2054"/>
        <v>1.2530304125062628E-2</v>
      </c>
      <c r="K2170" s="2">
        <f t="shared" ca="1" si="2055"/>
        <v>1.2530304125062628E-2</v>
      </c>
      <c r="L2170" s="2">
        <f t="shared" ca="1" si="2056"/>
        <v>0.71837535780416439</v>
      </c>
      <c r="M2170" s="2">
        <f t="shared" ca="1" si="2057"/>
        <v>1.1560439461670661E-2</v>
      </c>
      <c r="N2170" s="2">
        <f t="shared" ca="1" si="2058"/>
        <v>1.1560439461670661E-2</v>
      </c>
      <c r="O2170" s="2">
        <f t="shared" si="2059"/>
        <v>6000000</v>
      </c>
      <c r="P2170" s="2">
        <f t="shared" ca="1" si="2060"/>
        <v>37937874.851910502</v>
      </c>
      <c r="Q2170" s="2">
        <f t="shared" ca="1" si="2061"/>
        <v>948446.87129776261</v>
      </c>
      <c r="R2170" s="2">
        <f t="shared" ca="1" si="2062"/>
        <v>22762724.911146302</v>
      </c>
      <c r="S2170" s="2">
        <f t="shared" ca="1" si="2063"/>
        <v>15175149.940764202</v>
      </c>
      <c r="T2170" s="2">
        <f t="shared" ca="1" si="2064"/>
        <v>50578021.973083533</v>
      </c>
      <c r="U2170" s="2">
        <f t="shared" ca="1" si="2065"/>
        <v>54395140.790835246</v>
      </c>
      <c r="V2170" s="2">
        <f t="shared" ca="1" si="2066"/>
        <v>58500337.226106048</v>
      </c>
      <c r="W2170" s="2">
        <f t="shared" ca="1" si="2067"/>
        <v>62915352.471056253</v>
      </c>
      <c r="X2170" s="2">
        <f t="shared" ca="1" si="2068"/>
        <v>67663568.523683921</v>
      </c>
      <c r="Y2170" s="2">
        <f t="shared" ca="1" si="2069"/>
        <v>0.12626515206253131</v>
      </c>
      <c r="Z2170" s="2">
        <f t="shared" ca="1" si="2070"/>
        <v>0.12877121288754384</v>
      </c>
      <c r="AA2170" s="2">
        <f t="shared" ca="1" si="2071"/>
        <v>6386241.6354534421</v>
      </c>
      <c r="AB2170" s="2">
        <f t="shared" ca="1" si="2072"/>
        <v>7004528.2548245657</v>
      </c>
      <c r="AC2170" s="2">
        <f t="shared" ca="1" si="2073"/>
        <v>7533159.3789360076</v>
      </c>
      <c r="AD2170" s="2">
        <f t="shared" ca="1" si="2074"/>
        <v>8101686.2469452424</v>
      </c>
      <c r="AE2170" s="2">
        <f t="shared" ca="1" si="2075"/>
        <v>8713119.7870942131</v>
      </c>
      <c r="AF2170" s="2">
        <f t="shared" ca="1" si="2076"/>
        <v>1011560.4394616707</v>
      </c>
      <c r="AG2170" s="2">
        <f t="shared" ca="1" si="2077"/>
        <v>1087902.8158167049</v>
      </c>
      <c r="AH2170" s="2">
        <f t="shared" ca="1" si="2078"/>
        <v>1170006.744522121</v>
      </c>
      <c r="AI2170" s="2">
        <f t="shared" ca="1" si="2079"/>
        <v>1258307.0494211251</v>
      </c>
      <c r="AJ2170" s="2">
        <f t="shared" ca="1" si="2080"/>
        <v>1353271.3704736785</v>
      </c>
      <c r="AK2170" s="2">
        <f t="shared" ca="1" si="2081"/>
        <v>0</v>
      </c>
      <c r="AL2170" s="2">
        <f t="shared" ca="1" si="2082"/>
        <v>38171.188177517135</v>
      </c>
      <c r="AM2170" s="2">
        <f t="shared" ca="1" si="2083"/>
        <v>41051.964352708012</v>
      </c>
      <c r="AN2170" s="2">
        <f t="shared" ca="1" si="2084"/>
        <v>44150.152449502049</v>
      </c>
      <c r="AO2170" s="2">
        <f t="shared" ca="1" si="2085"/>
        <v>47482.160526276675</v>
      </c>
      <c r="AP2170" s="2">
        <f t="shared" ca="1" si="2086"/>
        <v>2048645.242003167</v>
      </c>
      <c r="AQ2170" s="2">
        <f t="shared" ca="1" si="2087"/>
        <v>864769.34803703718</v>
      </c>
      <c r="AR2170" s="2">
        <f t="shared" ca="1" si="2088"/>
        <v>1005674.8512212203</v>
      </c>
      <c r="AS2170" s="2">
        <f t="shared" ca="1" si="2089"/>
        <v>1121771.9220267872</v>
      </c>
      <c r="AT2170" s="2">
        <f t="shared" ca="1" si="2090"/>
        <v>1246630.8284354471</v>
      </c>
      <c r="AU2170" s="2">
        <f t="shared" ca="1" si="2091"/>
        <v>1380912.8254005157</v>
      </c>
      <c r="AV2170" s="2">
        <f t="shared" ca="1" si="2092"/>
        <v>2461266.6059515672</v>
      </c>
      <c r="AW2170" s="2">
        <f t="shared" ca="1" si="2093"/>
        <v>2824134.1576059563</v>
      </c>
      <c r="AX2170" s="2">
        <f t="shared" ca="1" si="2094"/>
        <v>3151683.5060312245</v>
      </c>
      <c r="AY2170" s="2">
        <f t="shared" ca="1" si="2095"/>
        <v>3503952.9746360015</v>
      </c>
      <c r="AZ2170" s="2">
        <f t="shared" ca="1" si="2096"/>
        <v>3882808.1886905758</v>
      </c>
      <c r="BA2170" s="2">
        <f t="shared" ca="1" si="2097"/>
        <v>59596078.466403544</v>
      </c>
      <c r="BB2170" s="2">
        <f t="shared" ca="1" si="2098"/>
        <v>1191921.5693280709</v>
      </c>
      <c r="BC2170" s="2">
        <f t="shared" ca="1" si="2099"/>
        <v>35641431.985929176</v>
      </c>
      <c r="BD2170" s="2">
        <f t="shared" ca="1" si="2100"/>
        <v>-16623596.812061964</v>
      </c>
      <c r="BE2170" s="2">
        <f t="shared" ca="1" si="2101"/>
        <v>2461266.6059515672</v>
      </c>
      <c r="BF2170" s="2">
        <f t="shared" ca="1" si="2102"/>
        <v>2824134.1576059563</v>
      </c>
      <c r="BG2170" s="2">
        <f t="shared" ca="1" si="2103"/>
        <v>3151683.5060312245</v>
      </c>
      <c r="BH2170" s="2">
        <f t="shared" ca="1" si="2104"/>
        <v>3503952.9746360015</v>
      </c>
      <c r="BI2170" s="2">
        <f t="shared" ca="1" si="2105"/>
        <v>39524240.174619749</v>
      </c>
      <c r="BJ2170" s="2">
        <f t="shared" ca="1" si="2106"/>
        <v>0.30479684284381037</v>
      </c>
      <c r="BK2170" s="2">
        <f t="shared" ca="1" si="2107"/>
        <v>14722591.972528955</v>
      </c>
    </row>
    <row r="2171" spans="1:63" x14ac:dyDescent="0.3">
      <c r="A2171" s="2">
        <v>2170</v>
      </c>
      <c r="B2171" s="2">
        <f t="shared" ca="1" si="2046"/>
        <v>0.91691167171382726</v>
      </c>
      <c r="C2171" s="2">
        <f t="shared" ca="1" si="2047"/>
        <v>7.5923522886457651</v>
      </c>
      <c r="D2171" s="2">
        <f t="shared" ca="1" si="2048"/>
        <v>0.15417941671464208</v>
      </c>
      <c r="E2171" s="2">
        <f t="shared" ca="1" si="2049"/>
        <v>7.0553006693938736</v>
      </c>
      <c r="F2171" s="2">
        <f t="shared" ca="1" si="2050"/>
        <v>0.10912426570649736</v>
      </c>
      <c r="G2171" s="2">
        <f t="shared" ca="1" si="2051"/>
        <v>3.0640369055695699E-3</v>
      </c>
      <c r="H2171" s="2">
        <f t="shared" ca="1" si="2052"/>
        <v>3.0640369055695699E-3</v>
      </c>
      <c r="I2171" s="2">
        <f t="shared" ca="1" si="2053"/>
        <v>0.80332599905684987</v>
      </c>
      <c r="J2171" s="2">
        <f t="shared" ca="1" si="2054"/>
        <v>1.4267807466646423E-2</v>
      </c>
      <c r="K2171" s="2">
        <f t="shared" ca="1" si="2055"/>
        <v>1.4267807466646423E-2</v>
      </c>
      <c r="L2171" s="2">
        <f t="shared" ca="1" si="2056"/>
        <v>0.26017288363811242</v>
      </c>
      <c r="M2171" s="2">
        <f t="shared" ca="1" si="2057"/>
        <v>-1.2856250120875896E-2</v>
      </c>
      <c r="N2171" s="2">
        <f t="shared" ca="1" si="2058"/>
        <v>-1.2856250120875896E-2</v>
      </c>
      <c r="O2171" s="2">
        <f t="shared" si="2059"/>
        <v>6000000</v>
      </c>
      <c r="P2171" s="2">
        <f t="shared" ca="1" si="2060"/>
        <v>45554113.731874593</v>
      </c>
      <c r="Q2171" s="2">
        <f t="shared" ca="1" si="2061"/>
        <v>1138852.8432968648</v>
      </c>
      <c r="R2171" s="2">
        <f t="shared" ca="1" si="2062"/>
        <v>27332468.239124756</v>
      </c>
      <c r="S2171" s="2">
        <f t="shared" ca="1" si="2063"/>
        <v>18221645.492749836</v>
      </c>
      <c r="T2171" s="2">
        <f t="shared" ca="1" si="2064"/>
        <v>49357187.493956208</v>
      </c>
      <c r="U2171" s="2">
        <f t="shared" ca="1" si="2065"/>
        <v>49508419.737992808</v>
      </c>
      <c r="V2171" s="2">
        <f t="shared" ca="1" si="2066"/>
        <v>49660115.363206454</v>
      </c>
      <c r="W2171" s="2">
        <f t="shared" ca="1" si="2067"/>
        <v>49812275.789414167</v>
      </c>
      <c r="X2171" s="2">
        <f t="shared" ca="1" si="2068"/>
        <v>49964902.440783344</v>
      </c>
      <c r="Y2171" s="2">
        <f t="shared" ca="1" si="2069"/>
        <v>0.1271339037333232</v>
      </c>
      <c r="Z2171" s="2">
        <f t="shared" ca="1" si="2070"/>
        <v>0.1299874652266525</v>
      </c>
      <c r="AA2171" s="2">
        <f t="shared" ca="1" si="2071"/>
        <v>6274971.9234042121</v>
      </c>
      <c r="AB2171" s="2">
        <f t="shared" ca="1" si="2072"/>
        <v>6435473.9891188564</v>
      </c>
      <c r="AC2171" s="2">
        <f t="shared" ca="1" si="2073"/>
        <v>6455192.5189263504</v>
      </c>
      <c r="AD2171" s="2">
        <f t="shared" ca="1" si="2074"/>
        <v>6474971.4670368982</v>
      </c>
      <c r="AE2171" s="2">
        <f t="shared" ca="1" si="2075"/>
        <v>6494811.0185744092</v>
      </c>
      <c r="AF2171" s="2">
        <f t="shared" ca="1" si="2076"/>
        <v>987143.74987912423</v>
      </c>
      <c r="AG2171" s="2">
        <f t="shared" ca="1" si="2077"/>
        <v>990168.39475985616</v>
      </c>
      <c r="AH2171" s="2">
        <f t="shared" ca="1" si="2078"/>
        <v>993202.30726412905</v>
      </c>
      <c r="AI2171" s="2">
        <f t="shared" ca="1" si="2079"/>
        <v>996245.51578828332</v>
      </c>
      <c r="AJ2171" s="2">
        <f t="shared" ca="1" si="2080"/>
        <v>999298.04881566693</v>
      </c>
      <c r="AK2171" s="2">
        <f t="shared" ca="1" si="2081"/>
        <v>0</v>
      </c>
      <c r="AL2171" s="2">
        <f t="shared" ca="1" si="2082"/>
        <v>1512.3224403659999</v>
      </c>
      <c r="AM2171" s="2">
        <f t="shared" ca="1" si="2083"/>
        <v>1516.9562521364539</v>
      </c>
      <c r="AN2171" s="2">
        <f t="shared" ca="1" si="2084"/>
        <v>1521.6042620771379</v>
      </c>
      <c r="AO2171" s="2">
        <f t="shared" ca="1" si="2085"/>
        <v>1526.2665136917681</v>
      </c>
      <c r="AP2171" s="2">
        <f t="shared" ca="1" si="2086"/>
        <v>2459922.141521228</v>
      </c>
      <c r="AQ2171" s="2">
        <f t="shared" ca="1" si="2087"/>
        <v>735255.56832100346</v>
      </c>
      <c r="AR2171" s="2">
        <f t="shared" ca="1" si="2088"/>
        <v>776199.6977378208</v>
      </c>
      <c r="AS2171" s="2">
        <f t="shared" ca="1" si="2089"/>
        <v>780537.69823665835</v>
      </c>
      <c r="AT2171" s="2">
        <f t="shared" ca="1" si="2090"/>
        <v>784888.99052912067</v>
      </c>
      <c r="AU2171" s="2">
        <f t="shared" ca="1" si="2091"/>
        <v>789253.61534175382</v>
      </c>
      <c r="AV2171" s="2">
        <f t="shared" ca="1" si="2092"/>
        <v>2092650.4636828559</v>
      </c>
      <c r="AW2171" s="2">
        <f t="shared" ca="1" si="2093"/>
        <v>2207671.4326595855</v>
      </c>
      <c r="AX2171" s="2">
        <f t="shared" ca="1" si="2094"/>
        <v>2220013.4156521992</v>
      </c>
      <c r="AY2171" s="2">
        <f t="shared" ca="1" si="2095"/>
        <v>2232393.2149361889</v>
      </c>
      <c r="AZ2171" s="2">
        <f t="shared" ca="1" si="2096"/>
        <v>2244810.9463820686</v>
      </c>
      <c r="BA2171" s="2">
        <f t="shared" ca="1" si="2097"/>
        <v>45822844.526934735</v>
      </c>
      <c r="BB2171" s="2">
        <f t="shared" ca="1" si="2098"/>
        <v>916456.89053869469</v>
      </c>
      <c r="BC2171" s="2">
        <f t="shared" ca="1" si="2099"/>
        <v>17573919.397271283</v>
      </c>
      <c r="BD2171" s="2">
        <f t="shared" ca="1" si="2100"/>
        <v>-19860498.336046699</v>
      </c>
      <c r="BE2171" s="2">
        <f t="shared" ca="1" si="2101"/>
        <v>2092650.4636828559</v>
      </c>
      <c r="BF2171" s="2">
        <f t="shared" ca="1" si="2102"/>
        <v>2207671.4326595855</v>
      </c>
      <c r="BG2171" s="2">
        <f t="shared" ca="1" si="2103"/>
        <v>2220013.4156521992</v>
      </c>
      <c r="BH2171" s="2">
        <f t="shared" ca="1" si="2104"/>
        <v>2232393.2149361889</v>
      </c>
      <c r="BI2171" s="2">
        <f t="shared" ca="1" si="2105"/>
        <v>19818730.343653351</v>
      </c>
      <c r="BJ2171" s="2">
        <f t="shared" ca="1" si="2106"/>
        <v>9.1262079275393981E-2</v>
      </c>
      <c r="BK2171" s="2">
        <f t="shared" ca="1" si="2107"/>
        <v>-1987550.4837073795</v>
      </c>
    </row>
    <row r="2172" spans="1:63" x14ac:dyDescent="0.3">
      <c r="A2172" s="2">
        <v>2171</v>
      </c>
      <c r="B2172" s="2">
        <f t="shared" ca="1" si="2046"/>
        <v>0.61678983277500488</v>
      </c>
      <c r="C2172" s="2">
        <f t="shared" ca="1" si="2047"/>
        <v>7.124545641138277</v>
      </c>
      <c r="D2172" s="2">
        <f t="shared" ca="1" si="2048"/>
        <v>0.37127768898340241</v>
      </c>
      <c r="E2172" s="2">
        <f t="shared" ca="1" si="2049"/>
        <v>7.3617165299370813</v>
      </c>
      <c r="F2172" s="2">
        <f t="shared" ca="1" si="2050"/>
        <v>0.77894847148102708</v>
      </c>
      <c r="G2172" s="2">
        <f t="shared" ca="1" si="2051"/>
        <v>6.3059401867325782E-2</v>
      </c>
      <c r="H2172" s="2">
        <f t="shared" ca="1" si="2052"/>
        <v>6.3059401867325782E-2</v>
      </c>
      <c r="I2172" s="2">
        <f t="shared" ca="1" si="2053"/>
        <v>0.97804312374700719</v>
      </c>
      <c r="J2172" s="2">
        <f t="shared" ca="1" si="2054"/>
        <v>2.0074565626146096E-2</v>
      </c>
      <c r="K2172" s="2">
        <f t="shared" ca="1" si="2055"/>
        <v>2.0074565626146096E-2</v>
      </c>
      <c r="L2172" s="2">
        <f t="shared" ca="1" si="2056"/>
        <v>0.62740041073424524</v>
      </c>
      <c r="M2172" s="2">
        <f t="shared" ca="1" si="2057"/>
        <v>6.4995215164175392E-3</v>
      </c>
      <c r="N2172" s="2">
        <f t="shared" ca="1" si="2058"/>
        <v>6.4995215164175392E-3</v>
      </c>
      <c r="O2172" s="2">
        <f t="shared" si="2059"/>
        <v>6000000</v>
      </c>
      <c r="P2172" s="2">
        <f t="shared" ca="1" si="2060"/>
        <v>42747273.84682966</v>
      </c>
      <c r="Q2172" s="2">
        <f t="shared" ca="1" si="2061"/>
        <v>1068681.8461707416</v>
      </c>
      <c r="R2172" s="2">
        <f t="shared" ca="1" si="2062"/>
        <v>25648364.308097795</v>
      </c>
      <c r="S2172" s="2">
        <f t="shared" ca="1" si="2063"/>
        <v>17098909.538731866</v>
      </c>
      <c r="T2172" s="2">
        <f t="shared" ca="1" si="2064"/>
        <v>50324976.075820886</v>
      </c>
      <c r="U2172" s="2">
        <f t="shared" ca="1" si="2065"/>
        <v>53498438.966149636</v>
      </c>
      <c r="V2172" s="2">
        <f t="shared" ca="1" si="2066"/>
        <v>56872018.528190672</v>
      </c>
      <c r="W2172" s="2">
        <f t="shared" ca="1" si="2067"/>
        <v>60458333.999565847</v>
      </c>
      <c r="X2172" s="2">
        <f t="shared" ca="1" si="2068"/>
        <v>64270800.379473478</v>
      </c>
      <c r="Y2172" s="2">
        <f t="shared" ca="1" si="2069"/>
        <v>0.13003728281307303</v>
      </c>
      <c r="Z2172" s="2">
        <f t="shared" ca="1" si="2070"/>
        <v>0.13405219593830225</v>
      </c>
      <c r="AA2172" s="2">
        <f t="shared" ca="1" si="2071"/>
        <v>6544123.1465326548</v>
      </c>
      <c r="AB2172" s="2">
        <f t="shared" ca="1" si="2072"/>
        <v>7171583.2226835955</v>
      </c>
      <c r="AC2172" s="2">
        <f t="shared" ca="1" si="2073"/>
        <v>7623818.9711477719</v>
      </c>
      <c r="AD2172" s="2">
        <f t="shared" ca="1" si="2074"/>
        <v>8104572.4354131222</v>
      </c>
      <c r="AE2172" s="2">
        <f t="shared" ca="1" si="2075"/>
        <v>8615641.9255806897</v>
      </c>
      <c r="AF2172" s="2">
        <f t="shared" ca="1" si="2076"/>
        <v>1006499.5215164177</v>
      </c>
      <c r="AG2172" s="2">
        <f t="shared" ca="1" si="2077"/>
        <v>1069968.7793229928</v>
      </c>
      <c r="AH2172" s="2">
        <f t="shared" ca="1" si="2078"/>
        <v>1137440.3705638135</v>
      </c>
      <c r="AI2172" s="2">
        <f t="shared" ca="1" si="2079"/>
        <v>1209166.679991317</v>
      </c>
      <c r="AJ2172" s="2">
        <f t="shared" ca="1" si="2080"/>
        <v>1285416.0075894697</v>
      </c>
      <c r="AK2172" s="2">
        <f t="shared" ca="1" si="2081"/>
        <v>0</v>
      </c>
      <c r="AL2172" s="2">
        <f t="shared" ca="1" si="2082"/>
        <v>31734.628903287499</v>
      </c>
      <c r="AM2172" s="2">
        <f t="shared" ca="1" si="2083"/>
        <v>33735.795620410368</v>
      </c>
      <c r="AN2172" s="2">
        <f t="shared" ca="1" si="2084"/>
        <v>35863.154713751748</v>
      </c>
      <c r="AO2172" s="2">
        <f t="shared" ca="1" si="2085"/>
        <v>38124.663799076305</v>
      </c>
      <c r="AP2172" s="2">
        <f t="shared" ca="1" si="2086"/>
        <v>2308352.7877288014</v>
      </c>
      <c r="AQ2172" s="2">
        <f t="shared" ca="1" si="2087"/>
        <v>839610.41769473325</v>
      </c>
      <c r="AR2172" s="2">
        <f t="shared" ca="1" si="2088"/>
        <v>986248.03046426829</v>
      </c>
      <c r="AS2172" s="2">
        <f t="shared" ca="1" si="2089"/>
        <v>1086286.7113423408</v>
      </c>
      <c r="AT2172" s="2">
        <f t="shared" ca="1" si="2090"/>
        <v>1192633.771600181</v>
      </c>
      <c r="AU2172" s="2">
        <f t="shared" ca="1" si="2091"/>
        <v>1305687.013868229</v>
      </c>
      <c r="AV2172" s="2">
        <f t="shared" ca="1" si="2092"/>
        <v>2389660.4195927018</v>
      </c>
      <c r="AW2172" s="2">
        <f t="shared" ca="1" si="2093"/>
        <v>2775278.9962642454</v>
      </c>
      <c r="AX2172" s="2">
        <f t="shared" ca="1" si="2094"/>
        <v>3058003.305892406</v>
      </c>
      <c r="AY2172" s="2">
        <f t="shared" ca="1" si="2095"/>
        <v>3358556.0413790708</v>
      </c>
      <c r="AZ2172" s="2">
        <f t="shared" ca="1" si="2096"/>
        <v>3678061.4525951128</v>
      </c>
      <c r="BA2172" s="2">
        <f t="shared" ca="1" si="2097"/>
        <v>63425913.579566307</v>
      </c>
      <c r="BB2172" s="2">
        <f t="shared" ca="1" si="2098"/>
        <v>1268518.2715913262</v>
      </c>
      <c r="BC2172" s="2">
        <f t="shared" ca="1" si="2099"/>
        <v>36509030.999877185</v>
      </c>
      <c r="BD2172" s="2">
        <f t="shared" ca="1" si="2100"/>
        <v>-18667591.384902608</v>
      </c>
      <c r="BE2172" s="2">
        <f t="shared" ca="1" si="2101"/>
        <v>2389660.4195927018</v>
      </c>
      <c r="BF2172" s="2">
        <f t="shared" ca="1" si="2102"/>
        <v>2775278.9962642454</v>
      </c>
      <c r="BG2172" s="2">
        <f t="shared" ca="1" si="2103"/>
        <v>3058003.305892406</v>
      </c>
      <c r="BH2172" s="2">
        <f t="shared" ca="1" si="2104"/>
        <v>3358556.0413790708</v>
      </c>
      <c r="BI2172" s="2">
        <f t="shared" ca="1" si="2105"/>
        <v>40187092.452472299</v>
      </c>
      <c r="BJ2172" s="2">
        <f t="shared" ca="1" si="2106"/>
        <v>0.26803760711034141</v>
      </c>
      <c r="BK2172" s="2">
        <f t="shared" ca="1" si="2107"/>
        <v>12792754.357345022</v>
      </c>
    </row>
    <row r="2173" spans="1:63" x14ac:dyDescent="0.3">
      <c r="A2173" s="2">
        <v>2172</v>
      </c>
      <c r="B2173" s="2">
        <f t="shared" ca="1" si="2046"/>
        <v>0.76876586145176917</v>
      </c>
      <c r="C2173" s="2">
        <f t="shared" ca="1" si="2047"/>
        <v>7.3199497981057124</v>
      </c>
      <c r="D2173" s="2">
        <f t="shared" ca="1" si="2048"/>
        <v>0.14984337792458968</v>
      </c>
      <c r="E2173" s="2">
        <f t="shared" ca="1" si="2049"/>
        <v>7.0474365313432958</v>
      </c>
      <c r="F2173" s="2">
        <f t="shared" ca="1" si="2050"/>
        <v>0.71906432485254967</v>
      </c>
      <c r="G2173" s="2">
        <f t="shared" ca="1" si="2051"/>
        <v>5.7401924861255851E-2</v>
      </c>
      <c r="H2173" s="2">
        <f t="shared" ca="1" si="2052"/>
        <v>5.7401924861255851E-2</v>
      </c>
      <c r="I2173" s="2">
        <f t="shared" ca="1" si="2053"/>
        <v>0.30227399802540322</v>
      </c>
      <c r="J2173" s="2">
        <f t="shared" ca="1" si="2054"/>
        <v>7.4106429883259543E-3</v>
      </c>
      <c r="K2173" s="2">
        <f t="shared" ca="1" si="2055"/>
        <v>7.4106429883259543E-3</v>
      </c>
      <c r="L2173" s="2">
        <f t="shared" ca="1" si="2056"/>
        <v>0.3603561207982946</v>
      </c>
      <c r="M2173" s="2">
        <f t="shared" ca="1" si="2057"/>
        <v>-7.1501412066394422E-3</v>
      </c>
      <c r="N2173" s="2">
        <f t="shared" ca="1" si="2058"/>
        <v>-7.1501412066394422E-3</v>
      </c>
      <c r="O2173" s="2">
        <f t="shared" si="2059"/>
        <v>6000000</v>
      </c>
      <c r="P2173" s="2">
        <f t="shared" ca="1" si="2060"/>
        <v>43919698.788634278</v>
      </c>
      <c r="Q2173" s="2">
        <f t="shared" ca="1" si="2061"/>
        <v>1097992.4697158569</v>
      </c>
      <c r="R2173" s="2">
        <f t="shared" ca="1" si="2062"/>
        <v>26351819.273180567</v>
      </c>
      <c r="S2173" s="2">
        <f t="shared" ca="1" si="2063"/>
        <v>17567879.515453711</v>
      </c>
      <c r="T2173" s="2">
        <f t="shared" ca="1" si="2064"/>
        <v>49642492.93966803</v>
      </c>
      <c r="U2173" s="2">
        <f t="shared" ca="1" si="2065"/>
        <v>52492067.589316279</v>
      </c>
      <c r="V2173" s="2">
        <f t="shared" ca="1" si="2066"/>
        <v>55505213.308890171</v>
      </c>
      <c r="W2173" s="2">
        <f t="shared" ca="1" si="2067"/>
        <v>58691319.39265506</v>
      </c>
      <c r="X2173" s="2">
        <f t="shared" ca="1" si="2068"/>
        <v>62060314.098440215</v>
      </c>
      <c r="Y2173" s="2">
        <f t="shared" ca="1" si="2069"/>
        <v>0.12370532149416297</v>
      </c>
      <c r="Z2173" s="2">
        <f t="shared" ca="1" si="2070"/>
        <v>0.12518745009182816</v>
      </c>
      <c r="AA2173" s="2">
        <f t="shared" ca="1" si="2071"/>
        <v>6141040.5488733491</v>
      </c>
      <c r="AB2173" s="2">
        <f t="shared" ca="1" si="2072"/>
        <v>6571348.0915544024</v>
      </c>
      <c r="AC2173" s="2">
        <f t="shared" ca="1" si="2073"/>
        <v>6948556.1209429642</v>
      </c>
      <c r="AD2173" s="2">
        <f t="shared" ca="1" si="2074"/>
        <v>7347416.617291552</v>
      </c>
      <c r="AE2173" s="2">
        <f t="shared" ca="1" si="2075"/>
        <v>7769172.4738816638</v>
      </c>
      <c r="AF2173" s="2">
        <f t="shared" ca="1" si="2076"/>
        <v>992849.85879336065</v>
      </c>
      <c r="AG2173" s="2">
        <f t="shared" ca="1" si="2077"/>
        <v>1049841.3517863257</v>
      </c>
      <c r="AH2173" s="2">
        <f t="shared" ca="1" si="2078"/>
        <v>1110104.2661778035</v>
      </c>
      <c r="AI2173" s="2">
        <f t="shared" ca="1" si="2079"/>
        <v>1173826.3878531011</v>
      </c>
      <c r="AJ2173" s="2">
        <f t="shared" ca="1" si="2080"/>
        <v>1241206.2819688043</v>
      </c>
      <c r="AK2173" s="2">
        <f t="shared" ca="1" si="2081"/>
        <v>0</v>
      </c>
      <c r="AL2173" s="2">
        <f t="shared" ca="1" si="2082"/>
        <v>28495.74649648249</v>
      </c>
      <c r="AM2173" s="2">
        <f t="shared" ca="1" si="2083"/>
        <v>30131.457195738927</v>
      </c>
      <c r="AN2173" s="2">
        <f t="shared" ca="1" si="2084"/>
        <v>31861.060837648885</v>
      </c>
      <c r="AO2173" s="2">
        <f t="shared" ca="1" si="2085"/>
        <v>33689.947057851554</v>
      </c>
      <c r="AP2173" s="2">
        <f t="shared" ca="1" si="2086"/>
        <v>2371663.734586251</v>
      </c>
      <c r="AQ2173" s="2">
        <f t="shared" ca="1" si="2087"/>
        <v>721897.00842837186</v>
      </c>
      <c r="AR2173" s="2">
        <f t="shared" ca="1" si="2088"/>
        <v>818959.18134727469</v>
      </c>
      <c r="AS2173" s="2">
        <f t="shared" ca="1" si="2089"/>
        <v>901364.91124651663</v>
      </c>
      <c r="AT2173" s="2">
        <f t="shared" ca="1" si="2090"/>
        <v>988500.88866157213</v>
      </c>
      <c r="AU2173" s="2">
        <f t="shared" ca="1" si="2091"/>
        <v>1080638.6389049182</v>
      </c>
      <c r="AV2173" s="2">
        <f t="shared" ca="1" si="2092"/>
        <v>2054629.9470653664</v>
      </c>
      <c r="AW2173" s="2">
        <f t="shared" ca="1" si="2093"/>
        <v>2302388.0773380687</v>
      </c>
      <c r="AX2173" s="2">
        <f t="shared" ca="1" si="2094"/>
        <v>2535291.751736654</v>
      </c>
      <c r="AY2173" s="2">
        <f t="shared" ca="1" si="2095"/>
        <v>2781564.5453529796</v>
      </c>
      <c r="AZ2173" s="2">
        <f t="shared" ca="1" si="2096"/>
        <v>3041973.8713638391</v>
      </c>
      <c r="BA2173" s="2">
        <f t="shared" ca="1" si="2097"/>
        <v>54752749.910740405</v>
      </c>
      <c r="BB2173" s="2">
        <f t="shared" ca="1" si="2098"/>
        <v>1095054.9982148081</v>
      </c>
      <c r="BC2173" s="2">
        <f t="shared" ca="1" si="2099"/>
        <v>27305875.639345031</v>
      </c>
      <c r="BD2173" s="2">
        <f t="shared" ca="1" si="2100"/>
        <v>-19165871.985169567</v>
      </c>
      <c r="BE2173" s="2">
        <f t="shared" ca="1" si="2101"/>
        <v>2054629.9470653664</v>
      </c>
      <c r="BF2173" s="2">
        <f t="shared" ca="1" si="2102"/>
        <v>2302388.0773380687</v>
      </c>
      <c r="BG2173" s="2">
        <f t="shared" ca="1" si="2103"/>
        <v>2535291.751736654</v>
      </c>
      <c r="BH2173" s="2">
        <f t="shared" ca="1" si="2104"/>
        <v>2781564.5453529796</v>
      </c>
      <c r="BI2173" s="2">
        <f t="shared" ca="1" si="2105"/>
        <v>30347849.510708869</v>
      </c>
      <c r="BJ2173" s="2">
        <f t="shared" ca="1" si="2106"/>
        <v>0.18692551330347729</v>
      </c>
      <c r="BK2173" s="2">
        <f t="shared" ca="1" si="2107"/>
        <v>5296558.6898312159</v>
      </c>
    </row>
    <row r="2174" spans="1:63" x14ac:dyDescent="0.3">
      <c r="A2174" s="2">
        <v>2173</v>
      </c>
      <c r="B2174" s="2">
        <f t="shared" ca="1" si="2046"/>
        <v>0.10374553073343307</v>
      </c>
      <c r="C2174" s="2">
        <f t="shared" ca="1" si="2047"/>
        <v>6.4555118675368028</v>
      </c>
      <c r="D2174" s="2">
        <f t="shared" ca="1" si="2048"/>
        <v>0.68615361613972714</v>
      </c>
      <c r="E2174" s="2">
        <f t="shared" ca="1" si="2049"/>
        <v>7.7077293595490577</v>
      </c>
      <c r="F2174" s="2">
        <f t="shared" ca="1" si="2050"/>
        <v>0.91168479260882207</v>
      </c>
      <c r="G2174" s="2">
        <f t="shared" ca="1" si="2051"/>
        <v>8.0536089913472234E-2</v>
      </c>
      <c r="H2174" s="2">
        <f t="shared" ca="1" si="2052"/>
        <v>8.0536089913472234E-2</v>
      </c>
      <c r="I2174" s="2">
        <f t="shared" ca="1" si="2053"/>
        <v>0.32807897301656153</v>
      </c>
      <c r="J2174" s="2">
        <f t="shared" ca="1" si="2054"/>
        <v>7.7738804270353267E-3</v>
      </c>
      <c r="K2174" s="2">
        <f t="shared" ca="1" si="2055"/>
        <v>7.7738804270353267E-3</v>
      </c>
      <c r="L2174" s="2">
        <f t="shared" ca="1" si="2056"/>
        <v>1.5545103728984433E-2</v>
      </c>
      <c r="M2174" s="2">
        <f t="shared" ca="1" si="2057"/>
        <v>-4.3118324460585271E-2</v>
      </c>
      <c r="N2174" s="2">
        <f t="shared" ca="1" si="2058"/>
        <v>-4.3118324460585271E-2</v>
      </c>
      <c r="O2174" s="2">
        <f t="shared" si="2059"/>
        <v>6000000</v>
      </c>
      <c r="P2174" s="2">
        <f t="shared" ca="1" si="2060"/>
        <v>38733071.205220819</v>
      </c>
      <c r="Q2174" s="2">
        <f t="shared" ca="1" si="2061"/>
        <v>968326.78013052046</v>
      </c>
      <c r="R2174" s="2">
        <f t="shared" ca="1" si="2062"/>
        <v>23239842.723132491</v>
      </c>
      <c r="S2174" s="2">
        <f t="shared" ca="1" si="2063"/>
        <v>15493228.482088327</v>
      </c>
      <c r="T2174" s="2">
        <f t="shared" ca="1" si="2064"/>
        <v>47844083.776970737</v>
      </c>
      <c r="U2174" s="2">
        <f t="shared" ca="1" si="2065"/>
        <v>51697259.209860548</v>
      </c>
      <c r="V2174" s="2">
        <f t="shared" ca="1" si="2066"/>
        <v>55860754.325865954</v>
      </c>
      <c r="W2174" s="2">
        <f t="shared" ca="1" si="2067"/>
        <v>60359561.058888271</v>
      </c>
      <c r="X2174" s="2">
        <f t="shared" ca="1" si="2068"/>
        <v>65220684.09546461</v>
      </c>
      <c r="Y2174" s="2">
        <f t="shared" ca="1" si="2069"/>
        <v>0.12388694021351766</v>
      </c>
      <c r="Z2174" s="2">
        <f t="shared" ca="1" si="2070"/>
        <v>0.12544171629892473</v>
      </c>
      <c r="AA2174" s="2">
        <f t="shared" ca="1" si="2071"/>
        <v>5927257.1464481037</v>
      </c>
      <c r="AB2174" s="2">
        <f t="shared" ca="1" si="2072"/>
        <v>6484992.9232353</v>
      </c>
      <c r="AC2174" s="2">
        <f t="shared" ca="1" si="2073"/>
        <v>7007268.8963892097</v>
      </c>
      <c r="AD2174" s="2">
        <f t="shared" ca="1" si="2074"/>
        <v>7571606.934276687</v>
      </c>
      <c r="AE2174" s="2">
        <f t="shared" ca="1" si="2075"/>
        <v>8181394.5511250636</v>
      </c>
      <c r="AF2174" s="2">
        <f t="shared" ca="1" si="2076"/>
        <v>956881.67553941475</v>
      </c>
      <c r="AG2174" s="2">
        <f t="shared" ca="1" si="2077"/>
        <v>1033945.1841972109</v>
      </c>
      <c r="AH2174" s="2">
        <f t="shared" ca="1" si="2078"/>
        <v>1117215.0865173191</v>
      </c>
      <c r="AI2174" s="2">
        <f t="shared" ca="1" si="2079"/>
        <v>1207191.2211777654</v>
      </c>
      <c r="AJ2174" s="2">
        <f t="shared" ca="1" si="2080"/>
        <v>1304413.6819092922</v>
      </c>
      <c r="AK2174" s="2">
        <f t="shared" ca="1" si="2081"/>
        <v>0</v>
      </c>
      <c r="AL2174" s="2">
        <f t="shared" ca="1" si="2082"/>
        <v>38531.754328898118</v>
      </c>
      <c r="AM2174" s="2">
        <f t="shared" ca="1" si="2083"/>
        <v>41634.951160054057</v>
      </c>
      <c r="AN2174" s="2">
        <f t="shared" ca="1" si="2084"/>
        <v>44988.067330223173</v>
      </c>
      <c r="AO2174" s="2">
        <f t="shared" ca="1" si="2085"/>
        <v>48611.230365763382</v>
      </c>
      <c r="AP2174" s="2">
        <f t="shared" ca="1" si="2086"/>
        <v>2091585.8450819242</v>
      </c>
      <c r="AQ2174" s="2">
        <f t="shared" ca="1" si="2087"/>
        <v>748485.3027149589</v>
      </c>
      <c r="AR2174" s="2">
        <f t="shared" ca="1" si="2088"/>
        <v>873460.09242860286</v>
      </c>
      <c r="AS2174" s="2">
        <f t="shared" ca="1" si="2089"/>
        <v>987601.67084539123</v>
      </c>
      <c r="AT2174" s="2">
        <f t="shared" ca="1" si="2090"/>
        <v>1110935.7656844193</v>
      </c>
      <c r="AU2174" s="2">
        <f t="shared" ca="1" si="2091"/>
        <v>1244202.7062748002</v>
      </c>
      <c r="AV2174" s="2">
        <f t="shared" ca="1" si="2092"/>
        <v>2130304.3231118061</v>
      </c>
      <c r="AW2174" s="2">
        <f t="shared" ca="1" si="2093"/>
        <v>2447470.0471986635</v>
      </c>
      <c r="AX2174" s="2">
        <f t="shared" ca="1" si="2094"/>
        <v>2769231.3427845212</v>
      </c>
      <c r="AY2174" s="2">
        <f t="shared" ca="1" si="2095"/>
        <v>3116906.0350023545</v>
      </c>
      <c r="AZ2174" s="2">
        <f t="shared" ca="1" si="2096"/>
        <v>3492581.0874932837</v>
      </c>
      <c r="BA2174" s="2">
        <f t="shared" ca="1" si="2097"/>
        <v>63059974.983761333</v>
      </c>
      <c r="BB2174" s="2">
        <f t="shared" ca="1" si="2098"/>
        <v>1261199.4996752266</v>
      </c>
      <c r="BC2174" s="2">
        <f t="shared" ca="1" si="2099"/>
        <v>38558932.760953613</v>
      </c>
      <c r="BD2174" s="2">
        <f t="shared" ca="1" si="2100"/>
        <v>-16961555.262218848</v>
      </c>
      <c r="BE2174" s="2">
        <f t="shared" ca="1" si="2101"/>
        <v>2130304.3231118061</v>
      </c>
      <c r="BF2174" s="2">
        <f t="shared" ca="1" si="2102"/>
        <v>2447470.0471986635</v>
      </c>
      <c r="BG2174" s="2">
        <f t="shared" ca="1" si="2103"/>
        <v>2769231.3427845212</v>
      </c>
      <c r="BH2174" s="2">
        <f t="shared" ca="1" si="2104"/>
        <v>3116906.0350023545</v>
      </c>
      <c r="BI2174" s="2">
        <f t="shared" ca="1" si="2105"/>
        <v>42051513.848446898</v>
      </c>
      <c r="BJ2174" s="2">
        <f t="shared" ca="1" si="2106"/>
        <v>0.29633083952563677</v>
      </c>
      <c r="BK2174" s="2">
        <f t="shared" ca="1" si="2107"/>
        <v>14704702.892831556</v>
      </c>
    </row>
    <row r="2175" spans="1:63" x14ac:dyDescent="0.3">
      <c r="A2175" s="2">
        <v>2174</v>
      </c>
      <c r="B2175" s="2">
        <f t="shared" ca="1" si="2046"/>
        <v>2.9209376657656216E-3</v>
      </c>
      <c r="C2175" s="2">
        <f t="shared" ca="1" si="2047"/>
        <v>6.0764321616306329</v>
      </c>
      <c r="D2175" s="2">
        <f t="shared" ca="1" si="2048"/>
        <v>0.31477712352326292</v>
      </c>
      <c r="E2175" s="2">
        <f t="shared" ca="1" si="2049"/>
        <v>7.2934445456656221</v>
      </c>
      <c r="F2175" s="2">
        <f t="shared" ca="1" si="2050"/>
        <v>0.47783898699337357</v>
      </c>
      <c r="G2175" s="2">
        <f t="shared" ca="1" si="2051"/>
        <v>3.8332659364350298E-2</v>
      </c>
      <c r="H2175" s="2">
        <f t="shared" ca="1" si="2052"/>
        <v>3.8332659364350298E-2</v>
      </c>
      <c r="I2175" s="2">
        <f t="shared" ca="1" si="2053"/>
        <v>0.16499392263432311</v>
      </c>
      <c r="J2175" s="2">
        <f t="shared" ca="1" si="2054"/>
        <v>5.1293082007186821E-3</v>
      </c>
      <c r="K2175" s="2">
        <f t="shared" ca="1" si="2055"/>
        <v>5.1293082007186821E-3</v>
      </c>
      <c r="L2175" s="2">
        <f t="shared" ca="1" si="2056"/>
        <v>0.23981780766212257</v>
      </c>
      <c r="M2175" s="2">
        <f t="shared" ca="1" si="2057"/>
        <v>-1.4137775012402647E-2</v>
      </c>
      <c r="N2175" s="2">
        <f t="shared" ca="1" si="2058"/>
        <v>-1.4137775012402647E-2</v>
      </c>
      <c r="O2175" s="2">
        <f t="shared" si="2059"/>
        <v>6000000</v>
      </c>
      <c r="P2175" s="2">
        <f t="shared" ca="1" si="2060"/>
        <v>36458592.969783798</v>
      </c>
      <c r="Q2175" s="2">
        <f t="shared" ca="1" si="2061"/>
        <v>911464.82424459502</v>
      </c>
      <c r="R2175" s="2">
        <f t="shared" ca="1" si="2062"/>
        <v>21875155.781870279</v>
      </c>
      <c r="S2175" s="2">
        <f t="shared" ca="1" si="2063"/>
        <v>14583437.18791352</v>
      </c>
      <c r="T2175" s="2">
        <f t="shared" ca="1" si="2064"/>
        <v>49293111.249379866</v>
      </c>
      <c r="U2175" s="2">
        <f t="shared" ca="1" si="2065"/>
        <v>51182647.291911364</v>
      </c>
      <c r="V2175" s="2">
        <f t="shared" ca="1" si="2066"/>
        <v>53144614.275917888</v>
      </c>
      <c r="W2175" s="2">
        <f t="shared" ca="1" si="2067"/>
        <v>55181788.672006436</v>
      </c>
      <c r="X2175" s="2">
        <f t="shared" ca="1" si="2068"/>
        <v>57297053.380286023</v>
      </c>
      <c r="Y2175" s="2">
        <f t="shared" ca="1" si="2069"/>
        <v>0.12256465410035934</v>
      </c>
      <c r="Z2175" s="2">
        <f t="shared" ca="1" si="2070"/>
        <v>0.12359051574050307</v>
      </c>
      <c r="AA2175" s="2">
        <f t="shared" ca="1" si="2071"/>
        <v>6041593.1298107747</v>
      </c>
      <c r="AB2175" s="2">
        <f t="shared" ca="1" si="2072"/>
        <v>6325689.7757715881</v>
      </c>
      <c r="AC2175" s="2">
        <f t="shared" ca="1" si="2073"/>
        <v>6568170.287190794</v>
      </c>
      <c r="AD2175" s="2">
        <f t="shared" ca="1" si="2074"/>
        <v>6819945.7214567252</v>
      </c>
      <c r="AE2175" s="2">
        <f t="shared" ca="1" si="2075"/>
        <v>7081372.3776806844</v>
      </c>
      <c r="AF2175" s="2">
        <f t="shared" ca="1" si="2076"/>
        <v>985862.22498759732</v>
      </c>
      <c r="AG2175" s="2">
        <f t="shared" ca="1" si="2077"/>
        <v>1023652.9458382273</v>
      </c>
      <c r="AH2175" s="2">
        <f t="shared" ca="1" si="2078"/>
        <v>1062892.2855183578</v>
      </c>
      <c r="AI2175" s="2">
        <f t="shared" ca="1" si="2079"/>
        <v>1103635.7734401287</v>
      </c>
      <c r="AJ2175" s="2">
        <f t="shared" ca="1" si="2080"/>
        <v>1145941.0676057206</v>
      </c>
      <c r="AK2175" s="2">
        <f t="shared" ca="1" si="2081"/>
        <v>0</v>
      </c>
      <c r="AL2175" s="2">
        <f t="shared" ca="1" si="2082"/>
        <v>18895.360425314979</v>
      </c>
      <c r="AM2175" s="2">
        <f t="shared" ca="1" si="2083"/>
        <v>19619.669840065242</v>
      </c>
      <c r="AN2175" s="2">
        <f t="shared" ca="1" si="2084"/>
        <v>20371.74396088548</v>
      </c>
      <c r="AO2175" s="2">
        <f t="shared" ca="1" si="2085"/>
        <v>21152.647082795873</v>
      </c>
      <c r="AP2175" s="2">
        <f t="shared" ca="1" si="2086"/>
        <v>1968764.0203683251</v>
      </c>
      <c r="AQ2175" s="2">
        <f t="shared" ca="1" si="2087"/>
        <v>802611.38995826163</v>
      </c>
      <c r="AR2175" s="2">
        <f t="shared" ca="1" si="2088"/>
        <v>866650.93048690946</v>
      </c>
      <c r="AS2175" s="2">
        <f t="shared" ca="1" si="2089"/>
        <v>919493.63513906905</v>
      </c>
      <c r="AT2175" s="2">
        <f t="shared" ca="1" si="2090"/>
        <v>974361.94118855067</v>
      </c>
      <c r="AU2175" s="2">
        <f t="shared" ca="1" si="2091"/>
        <v>1031333.4953237261</v>
      </c>
      <c r="AV2175" s="2">
        <f t="shared" ca="1" si="2092"/>
        <v>2284355.4944965909</v>
      </c>
      <c r="AW2175" s="2">
        <f t="shared" ca="1" si="2093"/>
        <v>2447726.5186528121</v>
      </c>
      <c r="AX2175" s="2">
        <f t="shared" ca="1" si="2094"/>
        <v>2597400.676324978</v>
      </c>
      <c r="AY2175" s="2">
        <f t="shared" ca="1" si="2095"/>
        <v>2752812.242498836</v>
      </c>
      <c r="AZ2175" s="2">
        <f t="shared" ca="1" si="2096"/>
        <v>2914181.1473001163</v>
      </c>
      <c r="BA2175" s="2">
        <f t="shared" ca="1" si="2097"/>
        <v>51647596.743822388</v>
      </c>
      <c r="BB2175" s="2">
        <f t="shared" ca="1" si="2098"/>
        <v>1032951.9348764478</v>
      </c>
      <c r="BC2175" s="2">
        <f t="shared" ca="1" si="2099"/>
        <v>28739489.027075659</v>
      </c>
      <c r="BD2175" s="2">
        <f t="shared" ca="1" si="2100"/>
        <v>-15994902.012158114</v>
      </c>
      <c r="BE2175" s="2">
        <f t="shared" ca="1" si="2101"/>
        <v>2284355.4944965909</v>
      </c>
      <c r="BF2175" s="2">
        <f t="shared" ca="1" si="2102"/>
        <v>2447726.5186528121</v>
      </c>
      <c r="BG2175" s="2">
        <f t="shared" ca="1" si="2103"/>
        <v>2597400.676324978</v>
      </c>
      <c r="BH2175" s="2">
        <f t="shared" ca="1" si="2104"/>
        <v>2752812.242498836</v>
      </c>
      <c r="BI2175" s="2">
        <f t="shared" ca="1" si="2105"/>
        <v>31653670.174375776</v>
      </c>
      <c r="BJ2175" s="2">
        <f t="shared" ca="1" si="2106"/>
        <v>0.25442185565086795</v>
      </c>
      <c r="BK2175" s="2">
        <f t="shared" ca="1" si="2107"/>
        <v>9555396.6851445399</v>
      </c>
    </row>
    <row r="2176" spans="1:63" x14ac:dyDescent="0.3">
      <c r="A2176" s="2">
        <v>2175</v>
      </c>
      <c r="B2176" s="2">
        <f t="shared" ca="1" si="2046"/>
        <v>0.83179930992176221</v>
      </c>
      <c r="C2176" s="2">
        <f t="shared" ca="1" si="2047"/>
        <v>7.4199988102111547</v>
      </c>
      <c r="D2176" s="2">
        <f t="shared" ca="1" si="2048"/>
        <v>0.78151466163409389</v>
      </c>
      <c r="E2176" s="2">
        <f t="shared" ca="1" si="2049"/>
        <v>7.8389624241150795</v>
      </c>
      <c r="F2176" s="2">
        <f t="shared" ca="1" si="2050"/>
        <v>0.61337161820150599</v>
      </c>
      <c r="G2176" s="2">
        <f t="shared" ca="1" si="2051"/>
        <v>4.8643526320645433E-2</v>
      </c>
      <c r="H2176" s="2">
        <f t="shared" ca="1" si="2052"/>
        <v>4.8643526320645433E-2</v>
      </c>
      <c r="I2176" s="2">
        <f t="shared" ca="1" si="2053"/>
        <v>0.2913629792309409</v>
      </c>
      <c r="J2176" s="2">
        <f t="shared" ca="1" si="2054"/>
        <v>7.2529634489545188E-3</v>
      </c>
      <c r="K2176" s="2">
        <f t="shared" ca="1" si="2055"/>
        <v>7.2529634489545188E-3</v>
      </c>
      <c r="L2176" s="2">
        <f t="shared" ca="1" si="2056"/>
        <v>9.6575241947437496E-2</v>
      </c>
      <c r="M2176" s="2">
        <f t="shared" ca="1" si="2057"/>
        <v>-2.6026309997029772E-2</v>
      </c>
      <c r="N2176" s="2">
        <f t="shared" ca="1" si="2058"/>
        <v>-2.6026309997029772E-2</v>
      </c>
      <c r="O2176" s="2">
        <f t="shared" si="2059"/>
        <v>6000000</v>
      </c>
      <c r="P2176" s="2">
        <f t="shared" ca="1" si="2060"/>
        <v>44519992.861266926</v>
      </c>
      <c r="Q2176" s="2">
        <f t="shared" ca="1" si="2061"/>
        <v>1112999.8215316732</v>
      </c>
      <c r="R2176" s="2">
        <f t="shared" ca="1" si="2062"/>
        <v>26711995.716760155</v>
      </c>
      <c r="S2176" s="2">
        <f t="shared" ca="1" si="2063"/>
        <v>17807997.144506771</v>
      </c>
      <c r="T2176" s="2">
        <f t="shared" ca="1" si="2064"/>
        <v>48698684.500148512</v>
      </c>
      <c r="U2176" s="2">
        <f t="shared" ca="1" si="2065"/>
        <v>51067560.241412297</v>
      </c>
      <c r="V2176" s="2">
        <f t="shared" ca="1" si="2066"/>
        <v>53551666.452146582</v>
      </c>
      <c r="W2176" s="2">
        <f t="shared" ca="1" si="2067"/>
        <v>56156608.348726004</v>
      </c>
      <c r="X2176" s="2">
        <f t="shared" ca="1" si="2068"/>
        <v>58888263.805015437</v>
      </c>
      <c r="Y2176" s="2">
        <f t="shared" ca="1" si="2069"/>
        <v>0.12362648172447725</v>
      </c>
      <c r="Z2176" s="2">
        <f t="shared" ca="1" si="2070"/>
        <v>0.12507707441426816</v>
      </c>
      <c r="AA2176" s="2">
        <f t="shared" ca="1" si="2071"/>
        <v>6020447.0293636937</v>
      </c>
      <c r="AB2176" s="2">
        <f t="shared" ca="1" si="2072"/>
        <v>6387381.0324702477</v>
      </c>
      <c r="AC2176" s="2">
        <f t="shared" ca="1" si="2073"/>
        <v>6698085.7698432058</v>
      </c>
      <c r="AD2176" s="2">
        <f t="shared" ca="1" si="2074"/>
        <v>7023904.2812865153</v>
      </c>
      <c r="AE2176" s="2">
        <f t="shared" ca="1" si="2075"/>
        <v>7365571.7540669702</v>
      </c>
      <c r="AF2176" s="2">
        <f t="shared" ca="1" si="2076"/>
        <v>973973.69000297028</v>
      </c>
      <c r="AG2176" s="2">
        <f t="shared" ca="1" si="2077"/>
        <v>1021351.2048282459</v>
      </c>
      <c r="AH2176" s="2">
        <f t="shared" ca="1" si="2078"/>
        <v>1071033.3290429316</v>
      </c>
      <c r="AI2176" s="2">
        <f t="shared" ca="1" si="2079"/>
        <v>1123132.1669745201</v>
      </c>
      <c r="AJ2176" s="2">
        <f t="shared" ca="1" si="2080"/>
        <v>1177765.2761003089</v>
      </c>
      <c r="AK2176" s="2">
        <f t="shared" ca="1" si="2081"/>
        <v>0</v>
      </c>
      <c r="AL2176" s="2">
        <f t="shared" ca="1" si="2082"/>
        <v>23688.757412637846</v>
      </c>
      <c r="AM2176" s="2">
        <f t="shared" ca="1" si="2083"/>
        <v>24841.062107342856</v>
      </c>
      <c r="AN2176" s="2">
        <f t="shared" ca="1" si="2084"/>
        <v>26049.418965794222</v>
      </c>
      <c r="AO2176" s="2">
        <f t="shared" ca="1" si="2085"/>
        <v>27316.554562894329</v>
      </c>
      <c r="AP2176" s="2">
        <f t="shared" ca="1" si="2086"/>
        <v>2404079.6145084137</v>
      </c>
      <c r="AQ2176" s="2">
        <f t="shared" ca="1" si="2087"/>
        <v>687022.3684616005</v>
      </c>
      <c r="AR2176" s="2">
        <f t="shared" ca="1" si="2088"/>
        <v>770107.05541473301</v>
      </c>
      <c r="AS2176" s="2">
        <f t="shared" ca="1" si="2089"/>
        <v>837972.93483588367</v>
      </c>
      <c r="AT2176" s="2">
        <f t="shared" ca="1" si="2090"/>
        <v>909140.04994893121</v>
      </c>
      <c r="AU2176" s="2">
        <f t="shared" ca="1" si="2091"/>
        <v>983768.98449914448</v>
      </c>
      <c r="AV2176" s="2">
        <f t="shared" ca="1" si="2092"/>
        <v>1955371.3563907091</v>
      </c>
      <c r="AW2176" s="2">
        <f t="shared" ca="1" si="2093"/>
        <v>2168154.4003062183</v>
      </c>
      <c r="AX2176" s="2">
        <f t="shared" ca="1" si="2094"/>
        <v>2360158.8293486331</v>
      </c>
      <c r="AY2176" s="2">
        <f t="shared" ca="1" si="2095"/>
        <v>2561503.0308888564</v>
      </c>
      <c r="AZ2176" s="2">
        <f t="shared" ca="1" si="2096"/>
        <v>2772641.3243962089</v>
      </c>
      <c r="BA2176" s="2">
        <f t="shared" ca="1" si="2097"/>
        <v>57738440.212254375</v>
      </c>
      <c r="BB2176" s="2">
        <f t="shared" ca="1" si="2098"/>
        <v>1154768.8042450876</v>
      </c>
      <c r="BC2176" s="2">
        <f t="shared" ca="1" si="2099"/>
        <v>29871675.691249132</v>
      </c>
      <c r="BD2176" s="2">
        <f t="shared" ca="1" si="2100"/>
        <v>-19420996.966038443</v>
      </c>
      <c r="BE2176" s="2">
        <f t="shared" ca="1" si="2101"/>
        <v>1955371.3563907091</v>
      </c>
      <c r="BF2176" s="2">
        <f t="shared" ca="1" si="2102"/>
        <v>2168154.4003062183</v>
      </c>
      <c r="BG2176" s="2">
        <f t="shared" ca="1" si="2103"/>
        <v>2360158.8293486331</v>
      </c>
      <c r="BH2176" s="2">
        <f t="shared" ca="1" si="2104"/>
        <v>2561503.0308888564</v>
      </c>
      <c r="BI2176" s="2">
        <f t="shared" ca="1" si="2105"/>
        <v>32644317.01564534</v>
      </c>
      <c r="BJ2176" s="2">
        <f t="shared" ca="1" si="2106"/>
        <v>0.1916048645531736</v>
      </c>
      <c r="BK2176" s="2">
        <f t="shared" ca="1" si="2107"/>
        <v>5884367.8116828948</v>
      </c>
    </row>
    <row r="2177" spans="1:63" x14ac:dyDescent="0.3">
      <c r="A2177" s="2">
        <v>2176</v>
      </c>
      <c r="B2177" s="2">
        <f t="shared" ca="1" si="2046"/>
        <v>0.56928281639668599</v>
      </c>
      <c r="C2177" s="2">
        <f t="shared" ca="1" si="2047"/>
        <v>7.0718651136787134</v>
      </c>
      <c r="D2177" s="2">
        <f t="shared" ca="1" si="2048"/>
        <v>0.77350449672225396</v>
      </c>
      <c r="E2177" s="2">
        <f t="shared" ca="1" si="2049"/>
        <v>7.8269539342990768</v>
      </c>
      <c r="F2177" s="2">
        <f t="shared" ca="1" si="2050"/>
        <v>0.27851445484975823</v>
      </c>
      <c r="G2177" s="2">
        <f t="shared" ca="1" si="2051"/>
        <v>2.2382191446367786E-2</v>
      </c>
      <c r="H2177" s="2">
        <f t="shared" ca="1" si="2052"/>
        <v>2.2382191446367786E-2</v>
      </c>
      <c r="I2177" s="2">
        <f t="shared" ca="1" si="2053"/>
        <v>0.25183556866266954</v>
      </c>
      <c r="J2177" s="2">
        <f t="shared" ca="1" si="2054"/>
        <v>6.6563767271796276E-3</v>
      </c>
      <c r="K2177" s="2">
        <f t="shared" ca="1" si="2055"/>
        <v>6.6563767271796276E-3</v>
      </c>
      <c r="L2177" s="2">
        <f t="shared" ca="1" si="2056"/>
        <v>0.93955730470691357</v>
      </c>
      <c r="M2177" s="2">
        <f t="shared" ca="1" si="2057"/>
        <v>3.1021359857781653E-2</v>
      </c>
      <c r="N2177" s="2">
        <f t="shared" ca="1" si="2058"/>
        <v>3.1021359857781653E-2</v>
      </c>
      <c r="O2177" s="2">
        <f t="shared" si="2059"/>
        <v>6000000</v>
      </c>
      <c r="P2177" s="2">
        <f t="shared" ca="1" si="2060"/>
        <v>42431190.682072282</v>
      </c>
      <c r="Q2177" s="2">
        <f t="shared" ca="1" si="2061"/>
        <v>1060779.7670518071</v>
      </c>
      <c r="R2177" s="2">
        <f t="shared" ca="1" si="2062"/>
        <v>25458714.409243368</v>
      </c>
      <c r="S2177" s="2">
        <f t="shared" ca="1" si="2063"/>
        <v>16972476.272828914</v>
      </c>
      <c r="T2177" s="2">
        <f t="shared" ca="1" si="2064"/>
        <v>51551067.992889091</v>
      </c>
      <c r="U2177" s="2">
        <f t="shared" ca="1" si="2065"/>
        <v>52704893.865970656</v>
      </c>
      <c r="V2177" s="2">
        <f t="shared" ca="1" si="2066"/>
        <v>53884544.890639305</v>
      </c>
      <c r="W2177" s="2">
        <f t="shared" ca="1" si="2067"/>
        <v>55090599.090381995</v>
      </c>
      <c r="X2177" s="2">
        <f t="shared" ca="1" si="2068"/>
        <v>56323647.426118016</v>
      </c>
      <c r="Y2177" s="2">
        <f t="shared" ca="1" si="2069"/>
        <v>0.1233281883635898</v>
      </c>
      <c r="Z2177" s="2">
        <f t="shared" ca="1" si="2070"/>
        <v>0.12465946370902574</v>
      </c>
      <c r="AA2177" s="2">
        <f t="shared" ca="1" si="2071"/>
        <v>6357699.8237712514</v>
      </c>
      <c r="AB2177" s="2">
        <f t="shared" ca="1" si="2072"/>
        <v>6570163.8041730225</v>
      </c>
      <c r="AC2177" s="2">
        <f t="shared" ca="1" si="2073"/>
        <v>6717218.4682720192</v>
      </c>
      <c r="AD2177" s="2">
        <f t="shared" ca="1" si="2074"/>
        <v>6867564.5380159607</v>
      </c>
      <c r="AE2177" s="2">
        <f t="shared" ca="1" si="2075"/>
        <v>7021275.6822761195</v>
      </c>
      <c r="AF2177" s="2">
        <f t="shared" ca="1" si="2076"/>
        <v>1031021.3598577819</v>
      </c>
      <c r="AG2177" s="2">
        <f t="shared" ca="1" si="2077"/>
        <v>1054097.8773194132</v>
      </c>
      <c r="AH2177" s="2">
        <f t="shared" ca="1" si="2078"/>
        <v>1077690.897812786</v>
      </c>
      <c r="AI2177" s="2">
        <f t="shared" ca="1" si="2079"/>
        <v>1101811.9818076398</v>
      </c>
      <c r="AJ2177" s="2">
        <f t="shared" ca="1" si="2080"/>
        <v>1126472.9485223603</v>
      </c>
      <c r="AK2177" s="2">
        <f t="shared" ca="1" si="2081"/>
        <v>0</v>
      </c>
      <c r="AL2177" s="2">
        <f t="shared" ca="1" si="2082"/>
        <v>11538.258730815649</v>
      </c>
      <c r="AM2177" s="2">
        <f t="shared" ca="1" si="2083"/>
        <v>11796.510246686488</v>
      </c>
      <c r="AN2177" s="2">
        <f t="shared" ca="1" si="2084"/>
        <v>12060.541997426897</v>
      </c>
      <c r="AO2177" s="2">
        <f t="shared" ca="1" si="2085"/>
        <v>12330.483357360214</v>
      </c>
      <c r="AP2177" s="2">
        <f t="shared" ca="1" si="2086"/>
        <v>2291284.296831903</v>
      </c>
      <c r="AQ2177" s="2">
        <f t="shared" ca="1" si="2087"/>
        <v>789202.48344120733</v>
      </c>
      <c r="AR2177" s="2">
        <f t="shared" ca="1" si="2088"/>
        <v>838443.22380564362</v>
      </c>
      <c r="AS2177" s="2">
        <f t="shared" ca="1" si="2089"/>
        <v>870543.25114310603</v>
      </c>
      <c r="AT2177" s="2">
        <f t="shared" ca="1" si="2090"/>
        <v>903361.74743786862</v>
      </c>
      <c r="AU2177" s="2">
        <f t="shared" ca="1" si="2091"/>
        <v>936914.79359968274</v>
      </c>
      <c r="AV2177" s="2">
        <f t="shared" ca="1" si="2092"/>
        <v>2246191.683640359</v>
      </c>
      <c r="AW2177" s="2">
        <f t="shared" ca="1" si="2093"/>
        <v>2374800.1474852469</v>
      </c>
      <c r="AX2177" s="2">
        <f t="shared" ca="1" si="2094"/>
        <v>2465903.5122375377</v>
      </c>
      <c r="AY2177" s="2">
        <f t="shared" ca="1" si="2095"/>
        <v>2559045.9699411225</v>
      </c>
      <c r="AZ2177" s="2">
        <f t="shared" ca="1" si="2096"/>
        <v>2654273.1599648129</v>
      </c>
      <c r="BA2177" s="2">
        <f t="shared" ca="1" si="2097"/>
        <v>54955201.325189508</v>
      </c>
      <c r="BB2177" s="2">
        <f t="shared" ca="1" si="2098"/>
        <v>1099104.0265037902</v>
      </c>
      <c r="BC2177" s="2">
        <f t="shared" ca="1" si="2099"/>
        <v>28397382.889442351</v>
      </c>
      <c r="BD2177" s="2">
        <f t="shared" ca="1" si="2100"/>
        <v>-18533256.039880723</v>
      </c>
      <c r="BE2177" s="2">
        <f t="shared" ca="1" si="2101"/>
        <v>2246191.683640359</v>
      </c>
      <c r="BF2177" s="2">
        <f t="shared" ca="1" si="2102"/>
        <v>2374800.1474852469</v>
      </c>
      <c r="BG2177" s="2">
        <f t="shared" ca="1" si="2103"/>
        <v>2465903.5122375377</v>
      </c>
      <c r="BH2177" s="2">
        <f t="shared" ca="1" si="2104"/>
        <v>2559045.9699411225</v>
      </c>
      <c r="BI2177" s="2">
        <f t="shared" ca="1" si="2105"/>
        <v>31051656.049407162</v>
      </c>
      <c r="BJ2177" s="2">
        <f t="shared" ca="1" si="2106"/>
        <v>0.20200726432702232</v>
      </c>
      <c r="BK2177" s="2">
        <f t="shared" ca="1" si="2107"/>
        <v>6366493.3344279081</v>
      </c>
    </row>
    <row r="2178" spans="1:63" x14ac:dyDescent="0.3">
      <c r="A2178" s="2">
        <v>2177</v>
      </c>
      <c r="B2178" s="2">
        <f t="shared" ref="B2178:B2241" ca="1" si="2108">RAND()</f>
        <v>0.13520688144761706</v>
      </c>
      <c r="C2178" s="2">
        <f t="shared" ref="C2178:C2241" ca="1" si="2109">IF(B2178&lt;((P_Mode)-(P_Low))/((P_High)-(P_Low)), (P_Low)+SQRT(B2178*((P_High)-(P_Low))*((P_Mode)-(P_Low))), (P_High)-SQRT((1-B2178)*((P_High)-(P_Low))*((P_High)-(P_Mode))))</f>
        <v>6.5200132333847227</v>
      </c>
      <c r="D2178" s="2">
        <f t="shared" ref="D2178:D2241" ca="1" si="2110">RAND()</f>
        <v>0.76846099970506454</v>
      </c>
      <c r="E2178" s="2">
        <f t="shared" ref="E2178:E2241" ca="1" si="2111">IF(D2178&lt;((X_Mode)-(X_Low))/((X_High)-(X_Low)), (X_Low)+SQRT(D2178*((X_High)-(X_Low))*((X_Mode)-(X_Low))), (X_High)-SQRT((1-D2178)*((X_High)-(X_Low))*((X_High)-(X_Mode))))</f>
        <v>7.8195016527647763</v>
      </c>
      <c r="F2178" s="2">
        <f t="shared" ref="F2178:F2241" ca="1" si="2112">RAND()</f>
        <v>2.7691354427870296E-2</v>
      </c>
      <c r="G2178" s="2">
        <f t="shared" ref="G2178:G2241" ca="1" si="2113">NORMINV(F2178, g_Mean, g_SD)</f>
        <v>-1.7475849305844254E-2</v>
      </c>
      <c r="H2178" s="2">
        <f t="shared" ref="H2178:H2241" ca="1" si="2114">MIN(MAX(G2178, g_Min), g_Max)</f>
        <v>-1.7475849305844254E-2</v>
      </c>
      <c r="I2178" s="2">
        <f t="shared" ref="I2178:I2241" ca="1" si="2115">RAND()</f>
        <v>0.77388703106167755</v>
      </c>
      <c r="J2178" s="2">
        <f t="shared" ref="J2178:J2241" ca="1" si="2116">NORMINV(I2178, syn_Mean, syn_SD)</f>
        <v>1.3758546155419885E-2</v>
      </c>
      <c r="K2178" s="2">
        <f t="shared" ref="K2178:K2241" ca="1" si="2117">MIN(MAX(J2178, syn_Min), syn_Max)</f>
        <v>1.3758546155419885E-2</v>
      </c>
      <c r="L2178" s="2">
        <f t="shared" ref="L2178:L2241" ca="1" si="2118">RAND()</f>
        <v>0.71177066592695615</v>
      </c>
      <c r="M2178" s="2">
        <f t="shared" ref="M2178:M2241" ca="1" si="2119">NORMINV(L2178, shk_Mean, shk_SD)</f>
        <v>1.1171298945767618E-2</v>
      </c>
      <c r="N2178" s="2">
        <f t="shared" ref="N2178:N2241" ca="1" si="2120">MIN(MAX(M2178, shk_Min), shk_Max)</f>
        <v>1.1171298945767618E-2</v>
      </c>
      <c r="O2178" s="2">
        <f t="shared" ref="O2178:O2241" si="2121">BaseRev*BaseMargin</f>
        <v>6000000</v>
      </c>
      <c r="P2178" s="2">
        <f t="shared" ref="P2178:P2241" ca="1" si="2122">O2178*C2178</f>
        <v>39120079.400308333</v>
      </c>
      <c r="Q2178" s="2">
        <f t="shared" ref="Q2178:Q2241" ca="1" si="2123">P2178*TxnCostPct</f>
        <v>978001.98500770843</v>
      </c>
      <c r="R2178" s="2">
        <f t="shared" ref="R2178:R2241" ca="1" si="2124">P2178*DebtPct</f>
        <v>23472047.640184999</v>
      </c>
      <c r="S2178" s="2">
        <f t="shared" ref="S2178:S2241" ca="1" si="2125">P2178*EqPct</f>
        <v>15648031.760123335</v>
      </c>
      <c r="T2178" s="2">
        <f t="shared" ref="T2178:T2241" ca="1" si="2126">BaseRev*(1+N2178)</f>
        <v>50558564.947288379</v>
      </c>
      <c r="U2178" s="2">
        <f t="shared" ref="U2178:U2241" ca="1" si="2127">T2178*(1+H2178)</f>
        <v>49675011.085149832</v>
      </c>
      <c r="V2178" s="2">
        <f t="shared" ref="V2178:V2241" ca="1" si="2128">U2178*(1+H2178)</f>
        <v>48806898.077159613</v>
      </c>
      <c r="W2178" s="2">
        <f t="shared" ref="W2178:W2241" ca="1" si="2129">V2178*(1+H2178)</f>
        <v>47953956.081277475</v>
      </c>
      <c r="X2178" s="2">
        <f t="shared" ref="X2178:X2241" ca="1" si="2130">W2178*(1+H2178)</f>
        <v>47115919.971181996</v>
      </c>
      <c r="Y2178" s="2">
        <f t="shared" ref="Y2178:Y2241" ca="1" si="2131">BaseMargin + SynReal_Y1*K2178</f>
        <v>0.12687927307770994</v>
      </c>
      <c r="Z2178" s="2">
        <f t="shared" ref="Z2178:Z2241" ca="1" si="2132">BaseMargin + SynReal_Y2toY5*K2178</f>
        <v>0.12963098230879391</v>
      </c>
      <c r="AA2178" s="2">
        <f t="shared" ref="AA2178:AA2241" ca="1" si="2133">T2178*Y2178</f>
        <v>6414833.9683641354</v>
      </c>
      <c r="AB2178" s="2">
        <f t="shared" ref="AB2178:AB2241" ca="1" si="2134">U2178*Z2178</f>
        <v>6439420.4831681997</v>
      </c>
      <c r="AC2178" s="2">
        <f t="shared" ref="AC2178:AC2241" ca="1" si="2135">V2178*Z2178</f>
        <v>6326886.1411873857</v>
      </c>
      <c r="AD2178" s="2">
        <f t="shared" ref="AD2178:AD2241" ca="1" si="2136">W2178*Z2178</f>
        <v>6216318.4324087603</v>
      </c>
      <c r="AE2178" s="2">
        <f t="shared" ref="AE2178:AE2241" ca="1" si="2137">X2178*Z2178</f>
        <v>6107682.9882468432</v>
      </c>
      <c r="AF2178" s="2">
        <f t="shared" ref="AF2178:AF2241" ca="1" si="2138">T2178*CapexPct</f>
        <v>1011171.2989457676</v>
      </c>
      <c r="AG2178" s="2">
        <f t="shared" ref="AG2178:AG2241" ca="1" si="2139">U2178*CapexPct</f>
        <v>993500.22170299664</v>
      </c>
      <c r="AH2178" s="2">
        <f t="shared" ref="AH2178:AH2241" ca="1" si="2140">V2178*CapexPct</f>
        <v>976137.96154319227</v>
      </c>
      <c r="AI2178" s="2">
        <f t="shared" ref="AI2178:AI2241" ca="1" si="2141">W2178*CapexPct</f>
        <v>959079.12162554951</v>
      </c>
      <c r="AJ2178" s="2">
        <f t="shared" ref="AJ2178:AJ2241" ca="1" si="2142">X2178*CapexPct</f>
        <v>942318.39942363999</v>
      </c>
      <c r="AK2178" s="2">
        <f t="shared" ref="AK2178:AK2241" ca="1" si="2143">MAX(T2178-BaseRev*(1+N2178),0)*WCPct</f>
        <v>0</v>
      </c>
      <c r="AL2178" s="2">
        <f t="shared" ref="AL2178:AL2241" ca="1" si="2144">MAX(U2178-T2178,0)*WCPct</f>
        <v>0</v>
      </c>
      <c r="AM2178" s="2">
        <f t="shared" ref="AM2178:AM2241" ca="1" si="2145">MAX(V2178-U2178,0)*WCPct</f>
        <v>0</v>
      </c>
      <c r="AN2178" s="2">
        <f t="shared" ref="AN2178:AN2241" ca="1" si="2146">MAX(W2178-V2178,0)*WCPct</f>
        <v>0</v>
      </c>
      <c r="AO2178" s="2">
        <f t="shared" ref="AO2178:AO2241" ca="1" si="2147">MAX(X2178-W2178,0)*WCPct</f>
        <v>0</v>
      </c>
      <c r="AP2178" s="2">
        <f t="shared" ref="AP2178:AP2241" ca="1" si="2148">R2178*DebtRate</f>
        <v>2112484.2876166496</v>
      </c>
      <c r="AQ2178" s="2">
        <f t="shared" ref="AQ2178:AQ2241" ca="1" si="2149">MAX(AA2178-AF2178-AP2178,0)*Tax</f>
        <v>855706.3792684467</v>
      </c>
      <c r="AR2178" s="2">
        <f t="shared" ref="AR2178:AR2241" ca="1" si="2150">MAX(AB2178-AG2178-AP2178,0)*Tax</f>
        <v>866693.35320062388</v>
      </c>
      <c r="AS2178" s="2">
        <f t="shared" ref="AS2178:AS2241" ca="1" si="2151">MAX(AC2178-AH2178-AP2178,0)*Tax</f>
        <v>841948.61192716146</v>
      </c>
      <c r="AT2178" s="2">
        <f t="shared" ref="AT2178:AT2241" ca="1" si="2152">MAX(AD2178-AI2178-AP2178,0)*Tax</f>
        <v>817636.30602330598</v>
      </c>
      <c r="AU2178" s="2">
        <f t="shared" ref="AU2178:AU2241" ca="1" si="2153">MAX(AE2178-AJ2178-AP2178,0)*Tax</f>
        <v>793748.87831370393</v>
      </c>
      <c r="AV2178" s="2">
        <f t="shared" ref="AV2178:AV2241" ca="1" si="2154">AA2178-AF2178-AK2178-AQ2178-AP2178</f>
        <v>2435472.002533271</v>
      </c>
      <c r="AW2178" s="2">
        <f t="shared" ref="AW2178:AW2241" ca="1" si="2155">AB2178-AG2178-AL2178-AR2178-AP2178</f>
        <v>2466742.6206479296</v>
      </c>
      <c r="AX2178" s="2">
        <f t="shared" ref="AX2178:AX2241" ca="1" si="2156">AC2178-AH2178-AM2178-AS2178-AP2178</f>
        <v>2396315.2801003829</v>
      </c>
      <c r="AY2178" s="2">
        <f t="shared" ref="AY2178:AY2241" ca="1" si="2157">AD2178-AI2178-AN2178-AT2178-AP2178</f>
        <v>2327118.7171432553</v>
      </c>
      <c r="AZ2178" s="2">
        <f t="shared" ref="AZ2178:AZ2241" ca="1" si="2158">AE2178-AJ2178-AO2178-AU2178-AP2178</f>
        <v>2259131.4228928499</v>
      </c>
      <c r="BA2178" s="2">
        <f t="shared" ref="BA2178:BA2241" ca="1" si="2159">AE2178*E2178</f>
        <v>47759037.221159495</v>
      </c>
      <c r="BB2178" s="2">
        <f t="shared" ref="BB2178:BB2241" ca="1" si="2160">BA2178*SellCostPct</f>
        <v>955180.7444231899</v>
      </c>
      <c r="BC2178" s="2">
        <f t="shared" ref="BC2178:BC2241" ca="1" si="2161">BA2178-R2178-BB2178</f>
        <v>23331808.836551309</v>
      </c>
      <c r="BD2178" s="2">
        <f t="shared" ref="BD2178:BD2241" ca="1" si="2162">-S2178-Q2178-IntegrationPct*BaseRev</f>
        <v>-17126033.745131046</v>
      </c>
      <c r="BE2178" s="2">
        <f t="shared" ref="BE2178:BE2241" ca="1" si="2163">AV2178</f>
        <v>2435472.002533271</v>
      </c>
      <c r="BF2178" s="2">
        <f t="shared" ref="BF2178:BF2241" ca="1" si="2164">AW2178</f>
        <v>2466742.6206479296</v>
      </c>
      <c r="BG2178" s="2">
        <f t="shared" ref="BG2178:BG2241" ca="1" si="2165">AX2178</f>
        <v>2396315.2801003829</v>
      </c>
      <c r="BH2178" s="2">
        <f t="shared" ref="BH2178:BH2241" ca="1" si="2166">AY2178</f>
        <v>2327118.7171432553</v>
      </c>
      <c r="BI2178" s="2">
        <f t="shared" ref="BI2178:BI2241" ca="1" si="2167">AZ2178+BC2178</f>
        <v>25590940.259444159</v>
      </c>
      <c r="BJ2178" s="2">
        <f t="shared" ref="BJ2178:BJ2241" ca="1" si="2168">IF(MIN(BD2178:BI2178)*MAX(BD2178:BI2178)&gt;=0, "", IFERROR(IRR(BD2178:BI2178,0.12), IFERROR(IRR(BD2178:BI2178,0.5), IFERROR(IRR(BD2178:BI2178,-0.5),""))))</f>
        <v>0.18945599814055547</v>
      </c>
      <c r="BK2178" s="2">
        <f t="shared" ref="BK2178:BK2241" ca="1" si="2169">NPV(12%,BE2178:BI2178)+BD2178</f>
        <v>4720529.6087806858</v>
      </c>
    </row>
    <row r="2179" spans="1:63" x14ac:dyDescent="0.3">
      <c r="A2179" s="2">
        <v>2178</v>
      </c>
      <c r="B2179" s="2">
        <f t="shared" ca="1" si="2108"/>
        <v>0.53461152295913161</v>
      </c>
      <c r="C2179" s="2">
        <f t="shared" ca="1" si="2109"/>
        <v>7.0352321760746079</v>
      </c>
      <c r="D2179" s="2">
        <f t="shared" ca="1" si="2110"/>
        <v>0.1202007150593668</v>
      </c>
      <c r="E2179" s="2">
        <f t="shared" ca="1" si="2111"/>
        <v>6.9903074852770795</v>
      </c>
      <c r="F2179" s="2">
        <f t="shared" ca="1" si="2112"/>
        <v>0.23743924381243164</v>
      </c>
      <c r="G2179" s="2">
        <f t="shared" ca="1" si="2113"/>
        <v>1.8563079576601554E-2</v>
      </c>
      <c r="H2179" s="2">
        <f t="shared" ca="1" si="2114"/>
        <v>1.8563079576601554E-2</v>
      </c>
      <c r="I2179" s="2">
        <f t="shared" ca="1" si="2115"/>
        <v>0.82767328361108372</v>
      </c>
      <c r="J2179" s="2">
        <f t="shared" ca="1" si="2116"/>
        <v>1.4725053309935877E-2</v>
      </c>
      <c r="K2179" s="2">
        <f t="shared" ca="1" si="2117"/>
        <v>1.4725053309935877E-2</v>
      </c>
      <c r="L2179" s="2">
        <f t="shared" ca="1" si="2118"/>
        <v>0.87580275934476437</v>
      </c>
      <c r="M2179" s="2">
        <f t="shared" ca="1" si="2119"/>
        <v>2.3085156524703967E-2</v>
      </c>
      <c r="N2179" s="2">
        <f t="shared" ca="1" si="2120"/>
        <v>2.3085156524703967E-2</v>
      </c>
      <c r="O2179" s="2">
        <f t="shared" si="2121"/>
        <v>6000000</v>
      </c>
      <c r="P2179" s="2">
        <f t="shared" ca="1" si="2122"/>
        <v>42211393.056447648</v>
      </c>
      <c r="Q2179" s="2">
        <f t="shared" ca="1" si="2123"/>
        <v>1055284.8264111911</v>
      </c>
      <c r="R2179" s="2">
        <f t="shared" ca="1" si="2124"/>
        <v>25326835.833868589</v>
      </c>
      <c r="S2179" s="2">
        <f t="shared" ca="1" si="2125"/>
        <v>16884557.222579058</v>
      </c>
      <c r="T2179" s="2">
        <f t="shared" ca="1" si="2126"/>
        <v>51154257.826235197</v>
      </c>
      <c r="U2179" s="2">
        <f t="shared" ca="1" si="2127"/>
        <v>52103838.384945601</v>
      </c>
      <c r="V2179" s="2">
        <f t="shared" ca="1" si="2128"/>
        <v>53071046.083131738</v>
      </c>
      <c r="W2179" s="2">
        <f t="shared" ca="1" si="2129"/>
        <v>54056208.134786405</v>
      </c>
      <c r="X2179" s="2">
        <f t="shared" ca="1" si="2130"/>
        <v>55059657.828001782</v>
      </c>
      <c r="Y2179" s="2">
        <f t="shared" ca="1" si="2131"/>
        <v>0.12736252665496794</v>
      </c>
      <c r="Z2179" s="2">
        <f t="shared" ca="1" si="2132"/>
        <v>0.1303075373169551</v>
      </c>
      <c r="AA2179" s="2">
        <f t="shared" ca="1" si="2133"/>
        <v>6515135.5259089833</v>
      </c>
      <c r="AB2179" s="2">
        <f t="shared" ca="1" si="2134"/>
        <v>6789522.8647028962</v>
      </c>
      <c r="AC2179" s="2">
        <f t="shared" ca="1" si="2135"/>
        <v>6915557.3179275328</v>
      </c>
      <c r="AD2179" s="2">
        <f t="shared" ca="1" si="2136"/>
        <v>7043931.3587367712</v>
      </c>
      <c r="AE2179" s="2">
        <f t="shared" ca="1" si="2137"/>
        <v>7174688.4170811214</v>
      </c>
      <c r="AF2179" s="2">
        <f t="shared" ca="1" si="2138"/>
        <v>1023085.156524704</v>
      </c>
      <c r="AG2179" s="2">
        <f t="shared" ca="1" si="2139"/>
        <v>1042076.7676989121</v>
      </c>
      <c r="AH2179" s="2">
        <f t="shared" ca="1" si="2140"/>
        <v>1061420.9216626347</v>
      </c>
      <c r="AI2179" s="2">
        <f t="shared" ca="1" si="2141"/>
        <v>1081124.162695728</v>
      </c>
      <c r="AJ2179" s="2">
        <f t="shared" ca="1" si="2142"/>
        <v>1101193.1565600357</v>
      </c>
      <c r="AK2179" s="2">
        <f t="shared" ca="1" si="2143"/>
        <v>0</v>
      </c>
      <c r="AL2179" s="2">
        <f t="shared" ca="1" si="2144"/>
        <v>9495.8055871040378</v>
      </c>
      <c r="AM2179" s="2">
        <f t="shared" ca="1" si="2145"/>
        <v>9672.076981861368</v>
      </c>
      <c r="AN2179" s="2">
        <f t="shared" ca="1" si="2146"/>
        <v>9851.6205165466672</v>
      </c>
      <c r="AO2179" s="2">
        <f t="shared" ca="1" si="2147"/>
        <v>10034.496932153777</v>
      </c>
      <c r="AP2179" s="2">
        <f t="shared" ca="1" si="2148"/>
        <v>2279415.2250481728</v>
      </c>
      <c r="AQ2179" s="2">
        <f t="shared" ca="1" si="2149"/>
        <v>835285.13752738782</v>
      </c>
      <c r="AR2179" s="2">
        <f t="shared" ca="1" si="2150"/>
        <v>901688.02670851105</v>
      </c>
      <c r="AS2179" s="2">
        <f t="shared" ca="1" si="2151"/>
        <v>929427.50451634848</v>
      </c>
      <c r="AT2179" s="2">
        <f t="shared" ca="1" si="2152"/>
        <v>957681.91245814622</v>
      </c>
      <c r="AU2179" s="2">
        <f t="shared" ca="1" si="2153"/>
        <v>986460.80922295747</v>
      </c>
      <c r="AV2179" s="2">
        <f t="shared" ca="1" si="2154"/>
        <v>2377350.0068087191</v>
      </c>
      <c r="AW2179" s="2">
        <f t="shared" ca="1" si="2155"/>
        <v>2556847.0396601972</v>
      </c>
      <c r="AX2179" s="2">
        <f t="shared" ca="1" si="2156"/>
        <v>2635621.5897185155</v>
      </c>
      <c r="AY2179" s="2">
        <f t="shared" ca="1" si="2157"/>
        <v>2715858.4380181772</v>
      </c>
      <c r="AZ2179" s="2">
        <f t="shared" ca="1" si="2158"/>
        <v>2797584.7293178025</v>
      </c>
      <c r="BA2179" s="2">
        <f t="shared" ca="1" si="2159"/>
        <v>50153278.146452926</v>
      </c>
      <c r="BB2179" s="2">
        <f t="shared" ca="1" si="2160"/>
        <v>1003065.5629290586</v>
      </c>
      <c r="BC2179" s="2">
        <f t="shared" ca="1" si="2161"/>
        <v>23823376.749655277</v>
      </c>
      <c r="BD2179" s="2">
        <f t="shared" ca="1" si="2162"/>
        <v>-18439842.04899025</v>
      </c>
      <c r="BE2179" s="2">
        <f t="shared" ca="1" si="2163"/>
        <v>2377350.0068087191</v>
      </c>
      <c r="BF2179" s="2">
        <f t="shared" ca="1" si="2164"/>
        <v>2556847.0396601972</v>
      </c>
      <c r="BG2179" s="2">
        <f t="shared" ca="1" si="2165"/>
        <v>2635621.5897185155</v>
      </c>
      <c r="BH2179" s="2">
        <f t="shared" ca="1" si="2166"/>
        <v>2715858.4380181772</v>
      </c>
      <c r="BI2179" s="2">
        <f t="shared" ca="1" si="2167"/>
        <v>26620961.478973079</v>
      </c>
      <c r="BJ2179" s="2">
        <f t="shared" ca="1" si="2168"/>
        <v>0.18083315389009158</v>
      </c>
      <c r="BK2179" s="2">
        <f t="shared" ca="1" si="2169"/>
        <v>4428503.6837526746</v>
      </c>
    </row>
    <row r="2180" spans="1:63" x14ac:dyDescent="0.3">
      <c r="A2180" s="2">
        <v>2179</v>
      </c>
      <c r="B2180" s="2">
        <f t="shared" ca="1" si="2108"/>
        <v>0.59038811461110607</v>
      </c>
      <c r="C2180" s="2">
        <f t="shared" ca="1" si="2109"/>
        <v>7.0948901885529096</v>
      </c>
      <c r="D2180" s="2">
        <f t="shared" ca="1" si="2110"/>
        <v>0.49092941442423066</v>
      </c>
      <c r="E2180" s="2">
        <f t="shared" ca="1" si="2111"/>
        <v>7.4908878992340462</v>
      </c>
      <c r="F2180" s="2">
        <f t="shared" ca="1" si="2112"/>
        <v>0.94152797353616857</v>
      </c>
      <c r="G2180" s="2">
        <f t="shared" ca="1" si="2113"/>
        <v>8.7031913407733252E-2</v>
      </c>
      <c r="H2180" s="2">
        <f t="shared" ca="1" si="2114"/>
        <v>8.7031913407733252E-2</v>
      </c>
      <c r="I2180" s="2">
        <f t="shared" ca="1" si="2115"/>
        <v>0.49146643902583742</v>
      </c>
      <c r="J2180" s="2">
        <f t="shared" ca="1" si="2116"/>
        <v>9.8930395165461611E-3</v>
      </c>
      <c r="K2180" s="2">
        <f t="shared" ca="1" si="2117"/>
        <v>9.8930395165461611E-3</v>
      </c>
      <c r="L2180" s="2">
        <f t="shared" ca="1" si="2118"/>
        <v>3.9063404689657411E-2</v>
      </c>
      <c r="M2180" s="2">
        <f t="shared" ca="1" si="2119"/>
        <v>-3.5233194150893245E-2</v>
      </c>
      <c r="N2180" s="2">
        <f t="shared" ca="1" si="2120"/>
        <v>-3.5233194150893245E-2</v>
      </c>
      <c r="O2180" s="2">
        <f t="shared" si="2121"/>
        <v>6000000</v>
      </c>
      <c r="P2180" s="2">
        <f t="shared" ca="1" si="2122"/>
        <v>42569341.131317459</v>
      </c>
      <c r="Q2180" s="2">
        <f t="shared" ca="1" si="2123"/>
        <v>1064233.5282829364</v>
      </c>
      <c r="R2180" s="2">
        <f t="shared" ca="1" si="2124"/>
        <v>25541604.678790476</v>
      </c>
      <c r="S2180" s="2">
        <f t="shared" ca="1" si="2125"/>
        <v>17027736.452526983</v>
      </c>
      <c r="T2180" s="2">
        <f t="shared" ca="1" si="2126"/>
        <v>48238340.292455338</v>
      </c>
      <c r="U2180" s="2">
        <f t="shared" ca="1" si="2127"/>
        <v>52436615.347721085</v>
      </c>
      <c r="V2180" s="2">
        <f t="shared" ca="1" si="2128"/>
        <v>57000274.314058565</v>
      </c>
      <c r="W2180" s="2">
        <f t="shared" ca="1" si="2129"/>
        <v>61961117.252376758</v>
      </c>
      <c r="X2180" s="2">
        <f t="shared" ca="1" si="2130"/>
        <v>67353711.843732029</v>
      </c>
      <c r="Y2180" s="2">
        <f t="shared" ca="1" si="2131"/>
        <v>0.12494651975827308</v>
      </c>
      <c r="Z2180" s="2">
        <f t="shared" ca="1" si="2132"/>
        <v>0.12692512766158232</v>
      </c>
      <c r="AA2180" s="2">
        <f t="shared" ca="1" si="2133"/>
        <v>6027212.7384575708</v>
      </c>
      <c r="AB2180" s="2">
        <f t="shared" ca="1" si="2134"/>
        <v>6655524.0971507849</v>
      </c>
      <c r="AC2180" s="2">
        <f t="shared" ca="1" si="2135"/>
        <v>7234767.0940570943</v>
      </c>
      <c r="AD2180" s="2">
        <f t="shared" ca="1" si="2136"/>
        <v>7864422.7173121907</v>
      </c>
      <c r="AE2180" s="2">
        <f t="shared" ca="1" si="2137"/>
        <v>8548878.4742471166</v>
      </c>
      <c r="AF2180" s="2">
        <f t="shared" ca="1" si="2138"/>
        <v>964766.80584910675</v>
      </c>
      <c r="AG2180" s="2">
        <f t="shared" ca="1" si="2139"/>
        <v>1048732.3069544218</v>
      </c>
      <c r="AH2180" s="2">
        <f t="shared" ca="1" si="2140"/>
        <v>1140005.4862811712</v>
      </c>
      <c r="AI2180" s="2">
        <f t="shared" ca="1" si="2141"/>
        <v>1239222.3450475351</v>
      </c>
      <c r="AJ2180" s="2">
        <f t="shared" ca="1" si="2142"/>
        <v>1347074.2368746407</v>
      </c>
      <c r="AK2180" s="2">
        <f t="shared" ca="1" si="2143"/>
        <v>0</v>
      </c>
      <c r="AL2180" s="2">
        <f t="shared" ca="1" si="2144"/>
        <v>41982.750552657468</v>
      </c>
      <c r="AM2180" s="2">
        <f t="shared" ca="1" si="2145"/>
        <v>45636.589663374798</v>
      </c>
      <c r="AN2180" s="2">
        <f t="shared" ca="1" si="2146"/>
        <v>49608.42938318193</v>
      </c>
      <c r="AO2180" s="2">
        <f t="shared" ca="1" si="2147"/>
        <v>53925.945913552714</v>
      </c>
      <c r="AP2180" s="2">
        <f t="shared" ca="1" si="2148"/>
        <v>2298744.4210911426</v>
      </c>
      <c r="AQ2180" s="2">
        <f t="shared" ca="1" si="2149"/>
        <v>718562.39299450349</v>
      </c>
      <c r="AR2180" s="2">
        <f t="shared" ca="1" si="2150"/>
        <v>860092.31596735725</v>
      </c>
      <c r="AS2180" s="2">
        <f t="shared" ca="1" si="2151"/>
        <v>986964.46853804286</v>
      </c>
      <c r="AT2180" s="2">
        <f t="shared" ca="1" si="2152"/>
        <v>1124878.5473051132</v>
      </c>
      <c r="AU2180" s="2">
        <f t="shared" ca="1" si="2153"/>
        <v>1274795.5522331467</v>
      </c>
      <c r="AV2180" s="2">
        <f t="shared" ca="1" si="2154"/>
        <v>2045139.1185228177</v>
      </c>
      <c r="AW2180" s="2">
        <f t="shared" ca="1" si="2155"/>
        <v>2405972.3025852055</v>
      </c>
      <c r="AX2180" s="2">
        <f t="shared" ca="1" si="2156"/>
        <v>2763416.128483362</v>
      </c>
      <c r="AY2180" s="2">
        <f t="shared" ca="1" si="2157"/>
        <v>3151968.9744852171</v>
      </c>
      <c r="AZ2180" s="2">
        <f t="shared" ca="1" si="2158"/>
        <v>3574338.3181346343</v>
      </c>
      <c r="BA2180" s="2">
        <f t="shared" ca="1" si="2159"/>
        <v>64038690.314760141</v>
      </c>
      <c r="BB2180" s="2">
        <f t="shared" ca="1" si="2160"/>
        <v>1280773.8062952028</v>
      </c>
      <c r="BC2180" s="2">
        <f t="shared" ca="1" si="2161"/>
        <v>37216311.829674467</v>
      </c>
      <c r="BD2180" s="2">
        <f t="shared" ca="1" si="2162"/>
        <v>-18591969.98080992</v>
      </c>
      <c r="BE2180" s="2">
        <f t="shared" ca="1" si="2163"/>
        <v>2045139.1185228177</v>
      </c>
      <c r="BF2180" s="2">
        <f t="shared" ca="1" si="2164"/>
        <v>2405972.3025852055</v>
      </c>
      <c r="BG2180" s="2">
        <f t="shared" ca="1" si="2165"/>
        <v>2763416.128483362</v>
      </c>
      <c r="BH2180" s="2">
        <f t="shared" ca="1" si="2166"/>
        <v>3151968.9744852171</v>
      </c>
      <c r="BI2180" s="2">
        <f t="shared" ca="1" si="2167"/>
        <v>40790650.147809103</v>
      </c>
      <c r="BJ2180" s="2">
        <f t="shared" ca="1" si="2168"/>
        <v>0.2603693728267269</v>
      </c>
      <c r="BK2180" s="2">
        <f t="shared" ca="1" si="2169"/>
        <v>12267862.117166679</v>
      </c>
    </row>
    <row r="2181" spans="1:63" x14ac:dyDescent="0.3">
      <c r="A2181" s="2">
        <v>2180</v>
      </c>
      <c r="B2181" s="2">
        <f t="shared" ca="1" si="2108"/>
        <v>0.37304155025795427</v>
      </c>
      <c r="C2181" s="2">
        <f t="shared" ca="1" si="2109"/>
        <v>6.8637610204888322</v>
      </c>
      <c r="D2181" s="2">
        <f t="shared" ca="1" si="2110"/>
        <v>6.1941470288378042E-2</v>
      </c>
      <c r="E2181" s="2">
        <f t="shared" ca="1" si="2111"/>
        <v>6.8519700847753349</v>
      </c>
      <c r="F2181" s="2">
        <f t="shared" ca="1" si="2112"/>
        <v>0.77681677033604857</v>
      </c>
      <c r="G2181" s="2">
        <f t="shared" ca="1" si="2113"/>
        <v>6.2844599016461139E-2</v>
      </c>
      <c r="H2181" s="2">
        <f t="shared" ca="1" si="2114"/>
        <v>6.2844599016461139E-2</v>
      </c>
      <c r="I2181" s="2">
        <f t="shared" ca="1" si="2115"/>
        <v>0.70074251674548638</v>
      </c>
      <c r="J2181" s="2">
        <f t="shared" ca="1" si="2116"/>
        <v>1.2632686330730506E-2</v>
      </c>
      <c r="K2181" s="2">
        <f t="shared" ca="1" si="2117"/>
        <v>1.2632686330730506E-2</v>
      </c>
      <c r="L2181" s="2">
        <f t="shared" ca="1" si="2118"/>
        <v>0.72036104004898172</v>
      </c>
      <c r="M2181" s="2">
        <f t="shared" ca="1" si="2119"/>
        <v>1.1678287540876979E-2</v>
      </c>
      <c r="N2181" s="2">
        <f t="shared" ca="1" si="2120"/>
        <v>1.1678287540876979E-2</v>
      </c>
      <c r="O2181" s="2">
        <f t="shared" si="2121"/>
        <v>6000000</v>
      </c>
      <c r="P2181" s="2">
        <f t="shared" ca="1" si="2122"/>
        <v>41182566.122932993</v>
      </c>
      <c r="Q2181" s="2">
        <f t="shared" ca="1" si="2123"/>
        <v>1029564.1530733248</v>
      </c>
      <c r="R2181" s="2">
        <f t="shared" ca="1" si="2124"/>
        <v>24709539.673759796</v>
      </c>
      <c r="S2181" s="2">
        <f t="shared" ca="1" si="2125"/>
        <v>16473026.449173197</v>
      </c>
      <c r="T2181" s="2">
        <f t="shared" ca="1" si="2126"/>
        <v>50583914.377043851</v>
      </c>
      <c r="U2181" s="2">
        <f t="shared" ca="1" si="2127"/>
        <v>53762840.192752182</v>
      </c>
      <c r="V2181" s="2">
        <f t="shared" ca="1" si="2128"/>
        <v>57141544.326651782</v>
      </c>
      <c r="W2181" s="2">
        <f t="shared" ca="1" si="2129"/>
        <v>60732581.767041557</v>
      </c>
      <c r="X2181" s="2">
        <f t="shared" ca="1" si="2130"/>
        <v>64549296.515425727</v>
      </c>
      <c r="Y2181" s="2">
        <f t="shared" ca="1" si="2131"/>
        <v>0.12631634316536525</v>
      </c>
      <c r="Z2181" s="2">
        <f t="shared" ca="1" si="2132"/>
        <v>0.12884288043151135</v>
      </c>
      <c r="AA2181" s="2">
        <f t="shared" ca="1" si="2133"/>
        <v>6389575.0870981235</v>
      </c>
      <c r="AB2181" s="2">
        <f t="shared" ca="1" si="2134"/>
        <v>6926959.1906132223</v>
      </c>
      <c r="AC2181" s="2">
        <f t="shared" ca="1" si="2135"/>
        <v>7362281.1633507013</v>
      </c>
      <c r="AD2181" s="2">
        <f t="shared" ca="1" si="2136"/>
        <v>7824960.7709079217</v>
      </c>
      <c r="AE2181" s="2">
        <f t="shared" ca="1" si="2137"/>
        <v>8316717.2928751688</v>
      </c>
      <c r="AF2181" s="2">
        <f t="shared" ca="1" si="2138"/>
        <v>1011678.287540877</v>
      </c>
      <c r="AG2181" s="2">
        <f t="shared" ca="1" si="2139"/>
        <v>1075256.8038550436</v>
      </c>
      <c r="AH2181" s="2">
        <f t="shared" ca="1" si="2140"/>
        <v>1142830.8865330357</v>
      </c>
      <c r="AI2181" s="2">
        <f t="shared" ca="1" si="2141"/>
        <v>1214651.6353408312</v>
      </c>
      <c r="AJ2181" s="2">
        <f t="shared" ca="1" si="2142"/>
        <v>1290985.9303085145</v>
      </c>
      <c r="AK2181" s="2">
        <f t="shared" ca="1" si="2143"/>
        <v>0</v>
      </c>
      <c r="AL2181" s="2">
        <f t="shared" ca="1" si="2144"/>
        <v>31789.258157083317</v>
      </c>
      <c r="AM2181" s="2">
        <f t="shared" ca="1" si="2145"/>
        <v>33787.041338995994</v>
      </c>
      <c r="AN2181" s="2">
        <f t="shared" ca="1" si="2146"/>
        <v>35910.374403897746</v>
      </c>
      <c r="AO2181" s="2">
        <f t="shared" ca="1" si="2147"/>
        <v>38167.147483841705</v>
      </c>
      <c r="AP2181" s="2">
        <f t="shared" ca="1" si="2148"/>
        <v>2223858.5706383814</v>
      </c>
      <c r="AQ2181" s="2">
        <f t="shared" ca="1" si="2149"/>
        <v>820049.9395189049</v>
      </c>
      <c r="AR2181" s="2">
        <f t="shared" ca="1" si="2150"/>
        <v>943239.39219114732</v>
      </c>
      <c r="AS2181" s="2">
        <f t="shared" ca="1" si="2151"/>
        <v>1038853.8436066139</v>
      </c>
      <c r="AT2181" s="2">
        <f t="shared" ca="1" si="2152"/>
        <v>1140477.1468814642</v>
      </c>
      <c r="AU2181" s="2">
        <f t="shared" ca="1" si="2153"/>
        <v>1248486.925901351</v>
      </c>
      <c r="AV2181" s="2">
        <f t="shared" ca="1" si="2154"/>
        <v>2333988.2893999596</v>
      </c>
      <c r="AW2181" s="2">
        <f t="shared" ca="1" si="2155"/>
        <v>2652815.1657715659</v>
      </c>
      <c r="AX2181" s="2">
        <f t="shared" ca="1" si="2156"/>
        <v>2922950.8212336744</v>
      </c>
      <c r="AY2181" s="2">
        <f t="shared" ca="1" si="2157"/>
        <v>3210063.0436433475</v>
      </c>
      <c r="AZ2181" s="2">
        <f t="shared" ca="1" si="2158"/>
        <v>3515218.7185430801</v>
      </c>
      <c r="BA2181" s="2">
        <f t="shared" ca="1" si="2159"/>
        <v>56985898.094314367</v>
      </c>
      <c r="BB2181" s="2">
        <f t="shared" ca="1" si="2160"/>
        <v>1139717.9618862874</v>
      </c>
      <c r="BC2181" s="2">
        <f t="shared" ca="1" si="2161"/>
        <v>31136640.458668284</v>
      </c>
      <c r="BD2181" s="2">
        <f t="shared" ca="1" si="2162"/>
        <v>-18002590.602246523</v>
      </c>
      <c r="BE2181" s="2">
        <f t="shared" ca="1" si="2163"/>
        <v>2333988.2893999596</v>
      </c>
      <c r="BF2181" s="2">
        <f t="shared" ca="1" si="2164"/>
        <v>2652815.1657715659</v>
      </c>
      <c r="BG2181" s="2">
        <f t="shared" ca="1" si="2165"/>
        <v>2922950.8212336744</v>
      </c>
      <c r="BH2181" s="2">
        <f t="shared" ca="1" si="2166"/>
        <v>3210063.0436433475</v>
      </c>
      <c r="BI2181" s="2">
        <f t="shared" ca="1" si="2167"/>
        <v>34651859.177211367</v>
      </c>
      <c r="BJ2181" s="2">
        <f t="shared" ca="1" si="2168"/>
        <v>0.24532168969704471</v>
      </c>
      <c r="BK2181" s="2">
        <f t="shared" ca="1" si="2169"/>
        <v>9979082.7763841748</v>
      </c>
    </row>
    <row r="2182" spans="1:63" x14ac:dyDescent="0.3">
      <c r="A2182" s="2">
        <v>2181</v>
      </c>
      <c r="B2182" s="2">
        <f t="shared" ca="1" si="2108"/>
        <v>0.57838599339319319</v>
      </c>
      <c r="C2182" s="2">
        <f t="shared" ca="1" si="2109"/>
        <v>7.0817255240323762</v>
      </c>
      <c r="D2182" s="2">
        <f t="shared" ca="1" si="2110"/>
        <v>0.36643945027251679</v>
      </c>
      <c r="E2182" s="2">
        <f t="shared" ca="1" si="2111"/>
        <v>7.3560834658752814</v>
      </c>
      <c r="F2182" s="2">
        <f t="shared" ca="1" si="2112"/>
        <v>0.45015800586169985</v>
      </c>
      <c r="G2182" s="2">
        <f t="shared" ca="1" si="2113"/>
        <v>3.6242135336297811E-2</v>
      </c>
      <c r="H2182" s="2">
        <f t="shared" ca="1" si="2114"/>
        <v>3.6242135336297811E-2</v>
      </c>
      <c r="I2182" s="2">
        <f t="shared" ca="1" si="2115"/>
        <v>0.60959480955446721</v>
      </c>
      <c r="J2182" s="2">
        <f t="shared" ca="1" si="2116"/>
        <v>1.1391315623461197E-2</v>
      </c>
      <c r="K2182" s="2">
        <f t="shared" ca="1" si="2117"/>
        <v>1.1391315623461197E-2</v>
      </c>
      <c r="L2182" s="2">
        <f t="shared" ca="1" si="2118"/>
        <v>0.43378534184558837</v>
      </c>
      <c r="M2182" s="2">
        <f t="shared" ca="1" si="2119"/>
        <v>-3.3349003202714496E-3</v>
      </c>
      <c r="N2182" s="2">
        <f t="shared" ca="1" si="2120"/>
        <v>-3.3349003202714496E-3</v>
      </c>
      <c r="O2182" s="2">
        <f t="shared" si="2121"/>
        <v>6000000</v>
      </c>
      <c r="P2182" s="2">
        <f t="shared" ca="1" si="2122"/>
        <v>42490353.14419426</v>
      </c>
      <c r="Q2182" s="2">
        <f t="shared" ca="1" si="2123"/>
        <v>1062258.8286048565</v>
      </c>
      <c r="R2182" s="2">
        <f t="shared" ca="1" si="2124"/>
        <v>25494211.886516556</v>
      </c>
      <c r="S2182" s="2">
        <f t="shared" ca="1" si="2125"/>
        <v>16996141.257677704</v>
      </c>
      <c r="T2182" s="2">
        <f t="shared" ca="1" si="2126"/>
        <v>49833254.98398643</v>
      </c>
      <c r="U2182" s="2">
        <f t="shared" ca="1" si="2127"/>
        <v>51639318.555364303</v>
      </c>
      <c r="V2182" s="2">
        <f t="shared" ca="1" si="2128"/>
        <v>53510837.727122009</v>
      </c>
      <c r="W2182" s="2">
        <f t="shared" ca="1" si="2129"/>
        <v>55450184.749987036</v>
      </c>
      <c r="X2182" s="2">
        <f t="shared" ca="1" si="2130"/>
        <v>57459817.850118786</v>
      </c>
      <c r="Y2182" s="2">
        <f t="shared" ca="1" si="2131"/>
        <v>0.12569565781173059</v>
      </c>
      <c r="Z2182" s="2">
        <f t="shared" ca="1" si="2132"/>
        <v>0.12797392093642285</v>
      </c>
      <c r="AA2182" s="2">
        <f t="shared" ca="1" si="2133"/>
        <v>6263823.7661118759</v>
      </c>
      <c r="AB2182" s="2">
        <f t="shared" ca="1" si="2134"/>
        <v>6608486.0700149443</v>
      </c>
      <c r="AC2182" s="2">
        <f t="shared" ca="1" si="2135"/>
        <v>6847991.7165324651</v>
      </c>
      <c r="AD2182" s="2">
        <f t="shared" ca="1" si="2136"/>
        <v>7096177.5591048812</v>
      </c>
      <c r="AE2182" s="2">
        <f t="shared" ca="1" si="2137"/>
        <v>7353358.1865723599</v>
      </c>
      <c r="AF2182" s="2">
        <f t="shared" ca="1" si="2138"/>
        <v>996665.09967972862</v>
      </c>
      <c r="AG2182" s="2">
        <f t="shared" ca="1" si="2139"/>
        <v>1032786.3711072861</v>
      </c>
      <c r="AH2182" s="2">
        <f t="shared" ca="1" si="2140"/>
        <v>1070216.7545424402</v>
      </c>
      <c r="AI2182" s="2">
        <f t="shared" ca="1" si="2141"/>
        <v>1109003.6949997407</v>
      </c>
      <c r="AJ2182" s="2">
        <f t="shared" ca="1" si="2142"/>
        <v>1149196.3570023756</v>
      </c>
      <c r="AK2182" s="2">
        <f t="shared" ca="1" si="2143"/>
        <v>0</v>
      </c>
      <c r="AL2182" s="2">
        <f t="shared" ca="1" si="2144"/>
        <v>18060.635713778734</v>
      </c>
      <c r="AM2182" s="2">
        <f t="shared" ca="1" si="2145"/>
        <v>18715.191717577054</v>
      </c>
      <c r="AN2182" s="2">
        <f t="shared" ca="1" si="2146"/>
        <v>19393.470228650272</v>
      </c>
      <c r="AO2182" s="2">
        <f t="shared" ca="1" si="2147"/>
        <v>20096.331001317503</v>
      </c>
      <c r="AP2182" s="2">
        <f t="shared" ca="1" si="2148"/>
        <v>2294479.0697864899</v>
      </c>
      <c r="AQ2182" s="2">
        <f t="shared" ca="1" si="2149"/>
        <v>772896.69512787089</v>
      </c>
      <c r="AR2182" s="2">
        <f t="shared" ca="1" si="2150"/>
        <v>853117.3635715039</v>
      </c>
      <c r="AS2182" s="2">
        <f t="shared" ca="1" si="2151"/>
        <v>905656.93197291915</v>
      </c>
      <c r="AT2182" s="2">
        <f t="shared" ca="1" si="2152"/>
        <v>960100.64652284922</v>
      </c>
      <c r="AU2182" s="2">
        <f t="shared" ca="1" si="2153"/>
        <v>1016517.5175437086</v>
      </c>
      <c r="AV2182" s="2">
        <f t="shared" ca="1" si="2154"/>
        <v>2199782.9015177861</v>
      </c>
      <c r="AW2182" s="2">
        <f t="shared" ca="1" si="2155"/>
        <v>2410042.6298358859</v>
      </c>
      <c r="AX2182" s="2">
        <f t="shared" ca="1" si="2156"/>
        <v>2558923.7685130388</v>
      </c>
      <c r="AY2182" s="2">
        <f t="shared" ca="1" si="2157"/>
        <v>2713200.6775671514</v>
      </c>
      <c r="AZ2182" s="2">
        <f t="shared" ca="1" si="2158"/>
        <v>2873068.9112384683</v>
      </c>
      <c r="BA2182" s="2">
        <f t="shared" ca="1" si="2159"/>
        <v>54091916.574903578</v>
      </c>
      <c r="BB2182" s="2">
        <f t="shared" ca="1" si="2160"/>
        <v>1081838.3314980716</v>
      </c>
      <c r="BC2182" s="2">
        <f t="shared" ca="1" si="2161"/>
        <v>27515866.35688895</v>
      </c>
      <c r="BD2182" s="2">
        <f t="shared" ca="1" si="2162"/>
        <v>-18558400.086282559</v>
      </c>
      <c r="BE2182" s="2">
        <f t="shared" ca="1" si="2163"/>
        <v>2199782.9015177861</v>
      </c>
      <c r="BF2182" s="2">
        <f t="shared" ca="1" si="2164"/>
        <v>2410042.6298358859</v>
      </c>
      <c r="BG2182" s="2">
        <f t="shared" ca="1" si="2165"/>
        <v>2558923.7685130388</v>
      </c>
      <c r="BH2182" s="2">
        <f t="shared" ca="1" si="2166"/>
        <v>2713200.6775671514</v>
      </c>
      <c r="BI2182" s="2">
        <f t="shared" ca="1" si="2167"/>
        <v>30388935.268127419</v>
      </c>
      <c r="BJ2182" s="2">
        <f t="shared" ca="1" si="2168"/>
        <v>0.19921638277396547</v>
      </c>
      <c r="BK2182" s="2">
        <f t="shared" ca="1" si="2169"/>
        <v>6116140.4820663258</v>
      </c>
    </row>
    <row r="2183" spans="1:63" x14ac:dyDescent="0.3">
      <c r="A2183" s="2">
        <v>2182</v>
      </c>
      <c r="B2183" s="2">
        <f t="shared" ca="1" si="2108"/>
        <v>0.31332164686158981</v>
      </c>
      <c r="C2183" s="2">
        <f t="shared" ca="1" si="2109"/>
        <v>6.7916080429879297</v>
      </c>
      <c r="D2183" s="2">
        <f t="shared" ca="1" si="2110"/>
        <v>0.28360420847886914</v>
      </c>
      <c r="E2183" s="2">
        <f t="shared" ca="1" si="2111"/>
        <v>7.2531324033380438</v>
      </c>
      <c r="F2183" s="2">
        <f t="shared" ca="1" si="2112"/>
        <v>0.10813399717326677</v>
      </c>
      <c r="G2183" s="2">
        <f t="shared" ca="1" si="2113"/>
        <v>2.9046146703960093E-3</v>
      </c>
      <c r="H2183" s="2">
        <f t="shared" ca="1" si="2114"/>
        <v>2.9046146703960093E-3</v>
      </c>
      <c r="I2183" s="2">
        <f t="shared" ca="1" si="2115"/>
        <v>3.7705428551770725E-2</v>
      </c>
      <c r="J2183" s="2">
        <f t="shared" ca="1" si="2116"/>
        <v>1.1102131636062211E-3</v>
      </c>
      <c r="K2183" s="2">
        <f t="shared" ca="1" si="2117"/>
        <v>1.1102131636062211E-3</v>
      </c>
      <c r="L2183" s="2">
        <f t="shared" ca="1" si="2118"/>
        <v>0.13092138328023961</v>
      </c>
      <c r="M2183" s="2">
        <f t="shared" ca="1" si="2119"/>
        <v>-2.2440925427815943E-2</v>
      </c>
      <c r="N2183" s="2">
        <f t="shared" ca="1" si="2120"/>
        <v>-2.2440925427815943E-2</v>
      </c>
      <c r="O2183" s="2">
        <f t="shared" si="2121"/>
        <v>6000000</v>
      </c>
      <c r="P2183" s="2">
        <f t="shared" ca="1" si="2122"/>
        <v>40749648.257927582</v>
      </c>
      <c r="Q2183" s="2">
        <f t="shared" ca="1" si="2123"/>
        <v>1018741.2064481896</v>
      </c>
      <c r="R2183" s="2">
        <f t="shared" ca="1" si="2124"/>
        <v>24449788.954756547</v>
      </c>
      <c r="S2183" s="2">
        <f t="shared" ca="1" si="2125"/>
        <v>16299859.303171033</v>
      </c>
      <c r="T2183" s="2">
        <f t="shared" ca="1" si="2126"/>
        <v>48877953.728609204</v>
      </c>
      <c r="U2183" s="2">
        <f t="shared" ca="1" si="2127"/>
        <v>49019925.350068256</v>
      </c>
      <c r="V2183" s="2">
        <f t="shared" ca="1" si="2128"/>
        <v>49162309.344381779</v>
      </c>
      <c r="W2183" s="2">
        <f t="shared" ca="1" si="2129"/>
        <v>49305106.909334011</v>
      </c>
      <c r="X2183" s="2">
        <f t="shared" ca="1" si="2130"/>
        <v>49448319.246188305</v>
      </c>
      <c r="Y2183" s="2">
        <f t="shared" ca="1" si="2131"/>
        <v>0.1205551065818031</v>
      </c>
      <c r="Z2183" s="2">
        <f t="shared" ca="1" si="2132"/>
        <v>0.12077714921452436</v>
      </c>
      <c r="AA2183" s="2">
        <f t="shared" ca="1" si="2133"/>
        <v>5892486.9212529231</v>
      </c>
      <c r="AB2183" s="2">
        <f t="shared" ca="1" si="2134"/>
        <v>5920486.8384900391</v>
      </c>
      <c r="AC2183" s="2">
        <f t="shared" ca="1" si="2135"/>
        <v>5937683.5714170029</v>
      </c>
      <c r="AD2183" s="2">
        <f t="shared" ca="1" si="2136"/>
        <v>5954930.2542267097</v>
      </c>
      <c r="AE2183" s="2">
        <f t="shared" ca="1" si="2137"/>
        <v>5972227.0320043219</v>
      </c>
      <c r="AF2183" s="2">
        <f t="shared" ca="1" si="2138"/>
        <v>977559.07457218412</v>
      </c>
      <c r="AG2183" s="2">
        <f t="shared" ca="1" si="2139"/>
        <v>980398.50700136519</v>
      </c>
      <c r="AH2183" s="2">
        <f t="shared" ca="1" si="2140"/>
        <v>983246.18688763562</v>
      </c>
      <c r="AI2183" s="2">
        <f t="shared" ca="1" si="2141"/>
        <v>986102.13818668027</v>
      </c>
      <c r="AJ2183" s="2">
        <f t="shared" ca="1" si="2142"/>
        <v>988966.38492376613</v>
      </c>
      <c r="AK2183" s="2">
        <f t="shared" ca="1" si="2143"/>
        <v>0</v>
      </c>
      <c r="AL2183" s="2">
        <f t="shared" ca="1" si="2144"/>
        <v>1419.7162145905197</v>
      </c>
      <c r="AM2183" s="2">
        <f t="shared" ca="1" si="2145"/>
        <v>1423.8399431352318</v>
      </c>
      <c r="AN2183" s="2">
        <f t="shared" ca="1" si="2146"/>
        <v>1427.9756495223194</v>
      </c>
      <c r="AO2183" s="2">
        <f t="shared" ca="1" si="2147"/>
        <v>1432.1233685429395</v>
      </c>
      <c r="AP2183" s="2">
        <f t="shared" ca="1" si="2148"/>
        <v>2200481.0059280889</v>
      </c>
      <c r="AQ2183" s="2">
        <f t="shared" ca="1" si="2149"/>
        <v>705756.17859568901</v>
      </c>
      <c r="AR2183" s="2">
        <f t="shared" ca="1" si="2150"/>
        <v>712297.90464575205</v>
      </c>
      <c r="AS2183" s="2">
        <f t="shared" ca="1" si="2151"/>
        <v>716028.65843633236</v>
      </c>
      <c r="AT2183" s="2">
        <f t="shared" ca="1" si="2152"/>
        <v>719770.24862910458</v>
      </c>
      <c r="AU2183" s="2">
        <f t="shared" ca="1" si="2153"/>
        <v>723522.70669964131</v>
      </c>
      <c r="AV2183" s="2">
        <f t="shared" ca="1" si="2154"/>
        <v>2008690.6621569609</v>
      </c>
      <c r="AW2183" s="2">
        <f t="shared" ca="1" si="2155"/>
        <v>2025889.7047002418</v>
      </c>
      <c r="AX2183" s="2">
        <f t="shared" ca="1" si="2156"/>
        <v>2036503.8802218111</v>
      </c>
      <c r="AY2183" s="2">
        <f t="shared" ca="1" si="2157"/>
        <v>2047148.8858333137</v>
      </c>
      <c r="AZ2183" s="2">
        <f t="shared" ca="1" si="2158"/>
        <v>2057824.8110842826</v>
      </c>
      <c r="BA2183" s="2">
        <f t="shared" ca="1" si="2159"/>
        <v>43317353.405921936</v>
      </c>
      <c r="BB2183" s="2">
        <f t="shared" ca="1" si="2160"/>
        <v>866347.06811843871</v>
      </c>
      <c r="BC2183" s="2">
        <f t="shared" ca="1" si="2161"/>
        <v>18001217.383046951</v>
      </c>
      <c r="BD2183" s="2">
        <f t="shared" ca="1" si="2162"/>
        <v>-17818600.509619221</v>
      </c>
      <c r="BE2183" s="2">
        <f t="shared" ca="1" si="2163"/>
        <v>2008690.6621569609</v>
      </c>
      <c r="BF2183" s="2">
        <f t="shared" ca="1" si="2164"/>
        <v>2025889.7047002418</v>
      </c>
      <c r="BG2183" s="2">
        <f t="shared" ca="1" si="2165"/>
        <v>2036503.8802218111</v>
      </c>
      <c r="BH2183" s="2">
        <f t="shared" ca="1" si="2166"/>
        <v>2047148.8858333137</v>
      </c>
      <c r="BI2183" s="2">
        <f t="shared" ca="1" si="2167"/>
        <v>20059042.194131233</v>
      </c>
      <c r="BJ2183" s="2">
        <f t="shared" ca="1" si="2168"/>
        <v>0.11569845439066428</v>
      </c>
      <c r="BK2183" s="2">
        <f t="shared" ca="1" si="2169"/>
        <v>-277517.23132802919</v>
      </c>
    </row>
    <row r="2184" spans="1:63" x14ac:dyDescent="0.3">
      <c r="A2184" s="2">
        <v>2183</v>
      </c>
      <c r="B2184" s="2">
        <f t="shared" ca="1" si="2108"/>
        <v>0.66990340398125559</v>
      </c>
      <c r="C2184" s="2">
        <f t="shared" ca="1" si="2109"/>
        <v>7.187477266756499</v>
      </c>
      <c r="D2184" s="2">
        <f t="shared" ca="1" si="2110"/>
        <v>4.5513175703587594E-2</v>
      </c>
      <c r="E2184" s="2">
        <f t="shared" ca="1" si="2111"/>
        <v>6.8017057364505611</v>
      </c>
      <c r="F2184" s="2">
        <f t="shared" ca="1" si="2112"/>
        <v>0.62769291851536602</v>
      </c>
      <c r="G2184" s="2">
        <f t="shared" ca="1" si="2113"/>
        <v>4.9772474157461853E-2</v>
      </c>
      <c r="H2184" s="2">
        <f t="shared" ca="1" si="2114"/>
        <v>4.9772474157461853E-2</v>
      </c>
      <c r="I2184" s="2">
        <f t="shared" ca="1" si="2115"/>
        <v>0.56528972687668833</v>
      </c>
      <c r="J2184" s="2">
        <f t="shared" ca="1" si="2116"/>
        <v>1.0821972797201205E-2</v>
      </c>
      <c r="K2184" s="2">
        <f t="shared" ca="1" si="2117"/>
        <v>1.0821972797201205E-2</v>
      </c>
      <c r="L2184" s="2">
        <f t="shared" ca="1" si="2118"/>
        <v>0.81845678757673546</v>
      </c>
      <c r="M2184" s="2">
        <f t="shared" ca="1" si="2119"/>
        <v>1.8189993668362998E-2</v>
      </c>
      <c r="N2184" s="2">
        <f t="shared" ca="1" si="2120"/>
        <v>1.8189993668362998E-2</v>
      </c>
      <c r="O2184" s="2">
        <f t="shared" si="2121"/>
        <v>6000000</v>
      </c>
      <c r="P2184" s="2">
        <f t="shared" ca="1" si="2122"/>
        <v>43124863.600538991</v>
      </c>
      <c r="Q2184" s="2">
        <f t="shared" ca="1" si="2123"/>
        <v>1078121.5900134749</v>
      </c>
      <c r="R2184" s="2">
        <f t="shared" ca="1" si="2124"/>
        <v>25874918.160323393</v>
      </c>
      <c r="S2184" s="2">
        <f t="shared" ca="1" si="2125"/>
        <v>17249945.440215599</v>
      </c>
      <c r="T2184" s="2">
        <f t="shared" ca="1" si="2126"/>
        <v>50909499.683418147</v>
      </c>
      <c r="U2184" s="2">
        <f t="shared" ca="1" si="2127"/>
        <v>53443391.440780394</v>
      </c>
      <c r="V2184" s="2">
        <f t="shared" ca="1" si="2128"/>
        <v>56103401.260153756</v>
      </c>
      <c r="W2184" s="2">
        <f t="shared" ca="1" si="2129"/>
        <v>58895806.349520475</v>
      </c>
      <c r="X2184" s="2">
        <f t="shared" ca="1" si="2130"/>
        <v>61827196.349034861</v>
      </c>
      <c r="Y2184" s="2">
        <f t="shared" ca="1" si="2131"/>
        <v>0.1254109863986006</v>
      </c>
      <c r="Z2184" s="2">
        <f t="shared" ca="1" si="2132"/>
        <v>0.12757538095804083</v>
      </c>
      <c r="AA2184" s="2">
        <f t="shared" ca="1" si="2133"/>
        <v>6384610.5723567149</v>
      </c>
      <c r="AB2184" s="2">
        <f t="shared" ca="1" si="2134"/>
        <v>6818061.0227472577</v>
      </c>
      <c r="AC2184" s="2">
        <f t="shared" ca="1" si="2135"/>
        <v>7157412.788805943</v>
      </c>
      <c r="AD2184" s="2">
        <f t="shared" ca="1" si="2136"/>
        <v>7513654.9318710743</v>
      </c>
      <c r="AE2184" s="2">
        <f t="shared" ca="1" si="2137"/>
        <v>7887628.127795713</v>
      </c>
      <c r="AF2184" s="2">
        <f t="shared" ca="1" si="2138"/>
        <v>1018189.993668363</v>
      </c>
      <c r="AG2184" s="2">
        <f t="shared" ca="1" si="2139"/>
        <v>1068867.8288156078</v>
      </c>
      <c r="AH2184" s="2">
        <f t="shared" ca="1" si="2140"/>
        <v>1122068.025203075</v>
      </c>
      <c r="AI2184" s="2">
        <f t="shared" ca="1" si="2141"/>
        <v>1177916.1269904096</v>
      </c>
      <c r="AJ2184" s="2">
        <f t="shared" ca="1" si="2142"/>
        <v>1236543.9269806973</v>
      </c>
      <c r="AK2184" s="2">
        <f t="shared" ca="1" si="2143"/>
        <v>0</v>
      </c>
      <c r="AL2184" s="2">
        <f t="shared" ca="1" si="2144"/>
        <v>25338.917573622464</v>
      </c>
      <c r="AM2184" s="2">
        <f t="shared" ca="1" si="2145"/>
        <v>26600.098193733618</v>
      </c>
      <c r="AN2184" s="2">
        <f t="shared" ca="1" si="2146"/>
        <v>27924.05089366719</v>
      </c>
      <c r="AO2184" s="2">
        <f t="shared" ca="1" si="2147"/>
        <v>29313.89999514386</v>
      </c>
      <c r="AP2184" s="2">
        <f t="shared" ca="1" si="2148"/>
        <v>2328742.6344291051</v>
      </c>
      <c r="AQ2184" s="2">
        <f t="shared" ca="1" si="2149"/>
        <v>789796.26550740411</v>
      </c>
      <c r="AR2184" s="2">
        <f t="shared" ca="1" si="2150"/>
        <v>889317.14547066181</v>
      </c>
      <c r="AS2184" s="2">
        <f t="shared" ca="1" si="2151"/>
        <v>963716.55358517834</v>
      </c>
      <c r="AT2184" s="2">
        <f t="shared" ca="1" si="2152"/>
        <v>1041819.0043174055</v>
      </c>
      <c r="AU2184" s="2">
        <f t="shared" ca="1" si="2153"/>
        <v>1123808.8072603366</v>
      </c>
      <c r="AV2184" s="2">
        <f t="shared" ca="1" si="2154"/>
        <v>2247881.6787518426</v>
      </c>
      <c r="AW2184" s="2">
        <f t="shared" ca="1" si="2155"/>
        <v>2505794.4964582608</v>
      </c>
      <c r="AX2184" s="2">
        <f t="shared" ca="1" si="2156"/>
        <v>2716285.4773948505</v>
      </c>
      <c r="AY2184" s="2">
        <f t="shared" ca="1" si="2157"/>
        <v>2937253.1152404868</v>
      </c>
      <c r="AZ2184" s="2">
        <f t="shared" ca="1" si="2158"/>
        <v>3169218.8591304305</v>
      </c>
      <c r="BA2184" s="2">
        <f t="shared" ca="1" si="2159"/>
        <v>53649325.483816899</v>
      </c>
      <c r="BB2184" s="2">
        <f t="shared" ca="1" si="2160"/>
        <v>1072986.5096763379</v>
      </c>
      <c r="BC2184" s="2">
        <f t="shared" ca="1" si="2161"/>
        <v>26701420.81381717</v>
      </c>
      <c r="BD2184" s="2">
        <f t="shared" ca="1" si="2162"/>
        <v>-18828067.030229073</v>
      </c>
      <c r="BE2184" s="2">
        <f t="shared" ca="1" si="2163"/>
        <v>2247881.6787518426</v>
      </c>
      <c r="BF2184" s="2">
        <f t="shared" ca="1" si="2164"/>
        <v>2505794.4964582608</v>
      </c>
      <c r="BG2184" s="2">
        <f t="shared" ca="1" si="2165"/>
        <v>2716285.4773948505</v>
      </c>
      <c r="BH2184" s="2">
        <f t="shared" ca="1" si="2166"/>
        <v>2937253.1152404868</v>
      </c>
      <c r="BI2184" s="2">
        <f t="shared" ca="1" si="2167"/>
        <v>29870639.6729476</v>
      </c>
      <c r="BJ2184" s="2">
        <f t="shared" ca="1" si="2168"/>
        <v>0.19651292475216908</v>
      </c>
      <c r="BK2184" s="2">
        <f t="shared" ca="1" si="2169"/>
        <v>5926053.1676619947</v>
      </c>
    </row>
    <row r="2185" spans="1:63" x14ac:dyDescent="0.3">
      <c r="A2185" s="2">
        <v>2184</v>
      </c>
      <c r="B2185" s="2">
        <f t="shared" ca="1" si="2108"/>
        <v>0.66802005056500779</v>
      </c>
      <c r="C2185" s="2">
        <f t="shared" ca="1" si="2109"/>
        <v>7.185162654961136</v>
      </c>
      <c r="D2185" s="2">
        <f t="shared" ca="1" si="2110"/>
        <v>0.52498601036062398</v>
      </c>
      <c r="E2185" s="2">
        <f t="shared" ca="1" si="2111"/>
        <v>7.5253062125576298</v>
      </c>
      <c r="F2185" s="2">
        <f t="shared" ca="1" si="2112"/>
        <v>0.6623553662735594</v>
      </c>
      <c r="G2185" s="2">
        <f t="shared" ca="1" si="2113"/>
        <v>5.2566997931882749E-2</v>
      </c>
      <c r="H2185" s="2">
        <f t="shared" ca="1" si="2114"/>
        <v>5.2566997931882749E-2</v>
      </c>
      <c r="I2185" s="2">
        <f t="shared" ca="1" si="2115"/>
        <v>0.94732727663330762</v>
      </c>
      <c r="J2185" s="2">
        <f t="shared" ca="1" si="2116"/>
        <v>1.8097366965414106E-2</v>
      </c>
      <c r="K2185" s="2">
        <f t="shared" ca="1" si="2117"/>
        <v>1.8097366965414106E-2</v>
      </c>
      <c r="L2185" s="2">
        <f t="shared" ca="1" si="2118"/>
        <v>0.14701865549396032</v>
      </c>
      <c r="M2185" s="2">
        <f t="shared" ca="1" si="2119"/>
        <v>-2.0986119758019603E-2</v>
      </c>
      <c r="N2185" s="2">
        <f t="shared" ca="1" si="2120"/>
        <v>-2.0986119758019603E-2</v>
      </c>
      <c r="O2185" s="2">
        <f t="shared" si="2121"/>
        <v>6000000</v>
      </c>
      <c r="P2185" s="2">
        <f t="shared" ca="1" si="2122"/>
        <v>43110975.929766819</v>
      </c>
      <c r="Q2185" s="2">
        <f t="shared" ca="1" si="2123"/>
        <v>1077774.3982441705</v>
      </c>
      <c r="R2185" s="2">
        <f t="shared" ca="1" si="2124"/>
        <v>25866585.557860091</v>
      </c>
      <c r="S2185" s="2">
        <f t="shared" ca="1" si="2125"/>
        <v>17244390.371906728</v>
      </c>
      <c r="T2185" s="2">
        <f t="shared" ca="1" si="2126"/>
        <v>48950694.01209902</v>
      </c>
      <c r="U2185" s="2">
        <f t="shared" ca="1" si="2127"/>
        <v>51523885.042997256</v>
      </c>
      <c r="V2185" s="2">
        <f t="shared" ca="1" si="2128"/>
        <v>54232341.001495063</v>
      </c>
      <c r="W2185" s="2">
        <f t="shared" ca="1" si="2129"/>
        <v>57083172.358761817</v>
      </c>
      <c r="X2185" s="2">
        <f t="shared" ca="1" si="2130"/>
        <v>60083863.362090155</v>
      </c>
      <c r="Y2185" s="2">
        <f t="shared" ca="1" si="2131"/>
        <v>0.12904868348270704</v>
      </c>
      <c r="Z2185" s="2">
        <f t="shared" ca="1" si="2132"/>
        <v>0.13266815687578987</v>
      </c>
      <c r="AA2185" s="2">
        <f t="shared" ca="1" si="2133"/>
        <v>6317022.6178262094</v>
      </c>
      <c r="AB2185" s="2">
        <f t="shared" ca="1" si="2134"/>
        <v>6835578.8637345228</v>
      </c>
      <c r="AC2185" s="2">
        <f t="shared" ca="1" si="2135"/>
        <v>7194904.7237276779</v>
      </c>
      <c r="AD2185" s="2">
        <f t="shared" ca="1" si="2136"/>
        <v>7573119.265459965</v>
      </c>
      <c r="AE2185" s="2">
        <f t="shared" ca="1" si="2137"/>
        <v>7971215.4102253001</v>
      </c>
      <c r="AF2185" s="2">
        <f t="shared" ca="1" si="2138"/>
        <v>979013.88024198043</v>
      </c>
      <c r="AG2185" s="2">
        <f t="shared" ca="1" si="2139"/>
        <v>1030477.7008599452</v>
      </c>
      <c r="AH2185" s="2">
        <f t="shared" ca="1" si="2140"/>
        <v>1084646.8200299013</v>
      </c>
      <c r="AI2185" s="2">
        <f t="shared" ca="1" si="2141"/>
        <v>1141663.4471752364</v>
      </c>
      <c r="AJ2185" s="2">
        <f t="shared" ca="1" si="2142"/>
        <v>1201677.2672418032</v>
      </c>
      <c r="AK2185" s="2">
        <f t="shared" ca="1" si="2143"/>
        <v>0</v>
      </c>
      <c r="AL2185" s="2">
        <f t="shared" ca="1" si="2144"/>
        <v>25731.910308982358</v>
      </c>
      <c r="AM2185" s="2">
        <f t="shared" ca="1" si="2145"/>
        <v>27084.559584978073</v>
      </c>
      <c r="AN2185" s="2">
        <f t="shared" ca="1" si="2146"/>
        <v>28508.313572667539</v>
      </c>
      <c r="AO2185" s="2">
        <f t="shared" ca="1" si="2147"/>
        <v>30006.910033283384</v>
      </c>
      <c r="AP2185" s="2">
        <f t="shared" ca="1" si="2148"/>
        <v>2327992.7002074081</v>
      </c>
      <c r="AQ2185" s="2">
        <f t="shared" ca="1" si="2149"/>
        <v>782604.16971797333</v>
      </c>
      <c r="AR2185" s="2">
        <f t="shared" ca="1" si="2150"/>
        <v>904048.20029346412</v>
      </c>
      <c r="AS2185" s="2">
        <f t="shared" ca="1" si="2151"/>
        <v>983388.9529074959</v>
      </c>
      <c r="AT2185" s="2">
        <f t="shared" ca="1" si="2152"/>
        <v>1066900.4107001033</v>
      </c>
      <c r="AU2185" s="2">
        <f t="shared" ca="1" si="2153"/>
        <v>1154801.8151217834</v>
      </c>
      <c r="AV2185" s="2">
        <f t="shared" ca="1" si="2154"/>
        <v>2227411.8676588475</v>
      </c>
      <c r="AW2185" s="2">
        <f t="shared" ca="1" si="2155"/>
        <v>2547328.3520647236</v>
      </c>
      <c r="AX2185" s="2">
        <f t="shared" ca="1" si="2156"/>
        <v>2771791.6909978944</v>
      </c>
      <c r="AY2185" s="2">
        <f t="shared" ca="1" si="2157"/>
        <v>3008054.3938045497</v>
      </c>
      <c r="AZ2185" s="2">
        <f t="shared" ca="1" si="2158"/>
        <v>3256736.7176210214</v>
      </c>
      <c r="BA2185" s="2">
        <f t="shared" ca="1" si="2159"/>
        <v>59985836.84820357</v>
      </c>
      <c r="BB2185" s="2">
        <f t="shared" ca="1" si="2160"/>
        <v>1199716.7369640714</v>
      </c>
      <c r="BC2185" s="2">
        <f t="shared" ca="1" si="2161"/>
        <v>32919534.553379405</v>
      </c>
      <c r="BD2185" s="2">
        <f t="shared" ca="1" si="2162"/>
        <v>-18822164.7701509</v>
      </c>
      <c r="BE2185" s="2">
        <f t="shared" ca="1" si="2163"/>
        <v>2227411.8676588475</v>
      </c>
      <c r="BF2185" s="2">
        <f t="shared" ca="1" si="2164"/>
        <v>2547328.3520647236</v>
      </c>
      <c r="BG2185" s="2">
        <f t="shared" ca="1" si="2165"/>
        <v>2771791.6909978944</v>
      </c>
      <c r="BH2185" s="2">
        <f t="shared" ca="1" si="2166"/>
        <v>3008054.3938045497</v>
      </c>
      <c r="BI2185" s="2">
        <f t="shared" ca="1" si="2167"/>
        <v>36176271.27100043</v>
      </c>
      <c r="BJ2185" s="2">
        <f t="shared" ca="1" si="2168"/>
        <v>0.2351261086178551</v>
      </c>
      <c r="BK2185" s="2">
        <f t="shared" ca="1" si="2169"/>
        <v>9609277.7760715708</v>
      </c>
    </row>
    <row r="2186" spans="1:63" x14ac:dyDescent="0.3">
      <c r="A2186" s="2">
        <v>2185</v>
      </c>
      <c r="B2186" s="2">
        <f t="shared" ca="1" si="2108"/>
        <v>0.91974365855401641</v>
      </c>
      <c r="C2186" s="2">
        <f t="shared" ca="1" si="2109"/>
        <v>7.5993596589308972</v>
      </c>
      <c r="D2186" s="2">
        <f t="shared" ca="1" si="2110"/>
        <v>0.43539098218452643</v>
      </c>
      <c r="E2186" s="2">
        <f t="shared" ca="1" si="2111"/>
        <v>7.4331569880620583</v>
      </c>
      <c r="F2186" s="2">
        <f t="shared" ca="1" si="2112"/>
        <v>0.85278581543048138</v>
      </c>
      <c r="G2186" s="2">
        <f t="shared" ca="1" si="2113"/>
        <v>7.145369271096659E-2</v>
      </c>
      <c r="H2186" s="2">
        <f t="shared" ca="1" si="2114"/>
        <v>7.145369271096659E-2</v>
      </c>
      <c r="I2186" s="2">
        <f t="shared" ca="1" si="2115"/>
        <v>0.41108069520471013</v>
      </c>
      <c r="J2186" s="2">
        <f t="shared" ca="1" si="2116"/>
        <v>8.876170469338928E-3</v>
      </c>
      <c r="K2186" s="2">
        <f t="shared" ca="1" si="2117"/>
        <v>8.876170469338928E-3</v>
      </c>
      <c r="L2186" s="2">
        <f t="shared" ca="1" si="2118"/>
        <v>0.39124987202699379</v>
      </c>
      <c r="M2186" s="2">
        <f t="shared" ca="1" si="2119"/>
        <v>-5.5212582925475914E-3</v>
      </c>
      <c r="N2186" s="2">
        <f t="shared" ca="1" si="2120"/>
        <v>-5.5212582925475914E-3</v>
      </c>
      <c r="O2186" s="2">
        <f t="shared" si="2121"/>
        <v>6000000</v>
      </c>
      <c r="P2186" s="2">
        <f t="shared" ca="1" si="2122"/>
        <v>45596157.953585386</v>
      </c>
      <c r="Q2186" s="2">
        <f t="shared" ca="1" si="2123"/>
        <v>1139903.9488396347</v>
      </c>
      <c r="R2186" s="2">
        <f t="shared" ca="1" si="2124"/>
        <v>27357694.772151232</v>
      </c>
      <c r="S2186" s="2">
        <f t="shared" ca="1" si="2125"/>
        <v>18238463.181434155</v>
      </c>
      <c r="T2186" s="2">
        <f t="shared" ca="1" si="2126"/>
        <v>49723937.085372619</v>
      </c>
      <c r="U2186" s="2">
        <f t="shared" ca="1" si="2127"/>
        <v>53276896.00625027</v>
      </c>
      <c r="V2186" s="2">
        <f t="shared" ca="1" si="2128"/>
        <v>57083726.962075002</v>
      </c>
      <c r="W2186" s="2">
        <f t="shared" ca="1" si="2129"/>
        <v>61162570.047219828</v>
      </c>
      <c r="X2186" s="2">
        <f t="shared" ca="1" si="2130"/>
        <v>65532861.532786839</v>
      </c>
      <c r="Y2186" s="2">
        <f t="shared" ca="1" si="2131"/>
        <v>0.12443808523466945</v>
      </c>
      <c r="Z2186" s="2">
        <f t="shared" ca="1" si="2132"/>
        <v>0.12621331932853724</v>
      </c>
      <c r="AA2186" s="2">
        <f t="shared" ca="1" si="2133"/>
        <v>6187551.5212329393</v>
      </c>
      <c r="AB2186" s="2">
        <f t="shared" ca="1" si="2134"/>
        <v>6724253.8884701356</v>
      </c>
      <c r="AC2186" s="2">
        <f t="shared" ca="1" si="2135"/>
        <v>7204726.6595274033</v>
      </c>
      <c r="AD2186" s="2">
        <f t="shared" ca="1" si="2136"/>
        <v>7719530.9843237838</v>
      </c>
      <c r="AE2186" s="2">
        <f t="shared" ca="1" si="2137"/>
        <v>8271119.9791504396</v>
      </c>
      <c r="AF2186" s="2">
        <f t="shared" ca="1" si="2138"/>
        <v>994478.74170745246</v>
      </c>
      <c r="AG2186" s="2">
        <f t="shared" ca="1" si="2139"/>
        <v>1065537.9201250053</v>
      </c>
      <c r="AH2186" s="2">
        <f t="shared" ca="1" si="2140"/>
        <v>1141674.5392415</v>
      </c>
      <c r="AI2186" s="2">
        <f t="shared" ca="1" si="2141"/>
        <v>1223251.4009443966</v>
      </c>
      <c r="AJ2186" s="2">
        <f t="shared" ca="1" si="2142"/>
        <v>1310657.2306557368</v>
      </c>
      <c r="AK2186" s="2">
        <f t="shared" ca="1" si="2143"/>
        <v>0</v>
      </c>
      <c r="AL2186" s="2">
        <f t="shared" ca="1" si="2144"/>
        <v>35529.589208776502</v>
      </c>
      <c r="AM2186" s="2">
        <f t="shared" ca="1" si="2145"/>
        <v>38068.309558247325</v>
      </c>
      <c r="AN2186" s="2">
        <f t="shared" ca="1" si="2146"/>
        <v>40788.430851448255</v>
      </c>
      <c r="AO2186" s="2">
        <f t="shared" ca="1" si="2147"/>
        <v>43702.914855670111</v>
      </c>
      <c r="AP2186" s="2">
        <f t="shared" ca="1" si="2148"/>
        <v>2462192.5294936108</v>
      </c>
      <c r="AQ2186" s="2">
        <f t="shared" ca="1" si="2149"/>
        <v>710028.86500828771</v>
      </c>
      <c r="AR2186" s="2">
        <f t="shared" ca="1" si="2150"/>
        <v>831096.09410139499</v>
      </c>
      <c r="AS2186" s="2">
        <f t="shared" ca="1" si="2151"/>
        <v>936223.49360599602</v>
      </c>
      <c r="AT2186" s="2">
        <f t="shared" ca="1" si="2152"/>
        <v>1048862.6340103019</v>
      </c>
      <c r="AU2186" s="2">
        <f t="shared" ca="1" si="2153"/>
        <v>1169550.256940284</v>
      </c>
      <c r="AV2186" s="2">
        <f t="shared" ca="1" si="2154"/>
        <v>2020851.3850235878</v>
      </c>
      <c r="AW2186" s="2">
        <f t="shared" ca="1" si="2155"/>
        <v>2329897.7555413474</v>
      </c>
      <c r="AX2186" s="2">
        <f t="shared" ca="1" si="2156"/>
        <v>2626567.7876280495</v>
      </c>
      <c r="AY2186" s="2">
        <f t="shared" ca="1" si="2157"/>
        <v>2944435.9890240259</v>
      </c>
      <c r="AZ2186" s="2">
        <f t="shared" ca="1" si="2158"/>
        <v>3285017.0472051385</v>
      </c>
      <c r="BA2186" s="2">
        <f t="shared" ca="1" si="2159"/>
        <v>61480533.272121795</v>
      </c>
      <c r="BB2186" s="2">
        <f t="shared" ca="1" si="2160"/>
        <v>1229610.665442436</v>
      </c>
      <c r="BC2186" s="2">
        <f t="shared" ca="1" si="2161"/>
        <v>32893227.834528126</v>
      </c>
      <c r="BD2186" s="2">
        <f t="shared" ca="1" si="2162"/>
        <v>-19878367.130273789</v>
      </c>
      <c r="BE2186" s="2">
        <f t="shared" ca="1" si="2163"/>
        <v>2020851.3850235878</v>
      </c>
      <c r="BF2186" s="2">
        <f t="shared" ca="1" si="2164"/>
        <v>2329897.7555413474</v>
      </c>
      <c r="BG2186" s="2">
        <f t="shared" ca="1" si="2165"/>
        <v>2626567.7876280495</v>
      </c>
      <c r="BH2186" s="2">
        <f t="shared" ca="1" si="2166"/>
        <v>2944435.9890240259</v>
      </c>
      <c r="BI2186" s="2">
        <f t="shared" ca="1" si="2167"/>
        <v>36178244.881733261</v>
      </c>
      <c r="BJ2186" s="2">
        <f t="shared" ca="1" si="2168"/>
        <v>0.2127023853664376</v>
      </c>
      <c r="BK2186" s="2">
        <f t="shared" ca="1" si="2169"/>
        <v>8052633.8007012978</v>
      </c>
    </row>
    <row r="2187" spans="1:63" x14ac:dyDescent="0.3">
      <c r="A2187" s="2">
        <v>2186</v>
      </c>
      <c r="B2187" s="2">
        <f t="shared" ca="1" si="2108"/>
        <v>0.75892804685333803</v>
      </c>
      <c r="C2187" s="2">
        <f t="shared" ca="1" si="2109"/>
        <v>7.3056341696963161</v>
      </c>
      <c r="D2187" s="2">
        <f t="shared" ca="1" si="2110"/>
        <v>0.77519260923031463</v>
      </c>
      <c r="E2187" s="2">
        <f t="shared" ca="1" si="2111"/>
        <v>7.8294667931121005</v>
      </c>
      <c r="F2187" s="2">
        <f t="shared" ca="1" si="2112"/>
        <v>0.98819054952802965</v>
      </c>
      <c r="G2187" s="2">
        <f t="shared" ca="1" si="2113"/>
        <v>0.10789817279526945</v>
      </c>
      <c r="H2187" s="2">
        <f t="shared" ca="1" si="2114"/>
        <v>0.10789817279526945</v>
      </c>
      <c r="I2187" s="2">
        <f t="shared" ca="1" si="2115"/>
        <v>0.90440277786563517</v>
      </c>
      <c r="J2187" s="2">
        <f t="shared" ca="1" si="2116"/>
        <v>1.6535268942304837E-2</v>
      </c>
      <c r="K2187" s="2">
        <f t="shared" ca="1" si="2117"/>
        <v>1.6535268942304837E-2</v>
      </c>
      <c r="L2187" s="2">
        <f t="shared" ca="1" si="2118"/>
        <v>0.17456466339971621</v>
      </c>
      <c r="M2187" s="2">
        <f t="shared" ca="1" si="2119"/>
        <v>-1.8725588964872166E-2</v>
      </c>
      <c r="N2187" s="2">
        <f t="shared" ca="1" si="2120"/>
        <v>-1.8725588964872166E-2</v>
      </c>
      <c r="O2187" s="2">
        <f t="shared" si="2121"/>
        <v>6000000</v>
      </c>
      <c r="P2187" s="2">
        <f t="shared" ca="1" si="2122"/>
        <v>43833805.018177897</v>
      </c>
      <c r="Q2187" s="2">
        <f t="shared" ca="1" si="2123"/>
        <v>1095845.1254544475</v>
      </c>
      <c r="R2187" s="2">
        <f t="shared" ca="1" si="2124"/>
        <v>26300283.010906737</v>
      </c>
      <c r="S2187" s="2">
        <f t="shared" ca="1" si="2125"/>
        <v>17533522.007271159</v>
      </c>
      <c r="T2187" s="2">
        <f t="shared" ca="1" si="2126"/>
        <v>49063720.551756389</v>
      </c>
      <c r="U2187" s="2">
        <f t="shared" ca="1" si="2127"/>
        <v>54357606.349828616</v>
      </c>
      <c r="V2187" s="2">
        <f t="shared" ca="1" si="2128"/>
        <v>60222692.752499662</v>
      </c>
      <c r="W2187" s="2">
        <f t="shared" ca="1" si="2129"/>
        <v>66720611.261305295</v>
      </c>
      <c r="X2187" s="2">
        <f t="shared" ca="1" si="2130"/>
        <v>73919643.304183617</v>
      </c>
      <c r="Y2187" s="2">
        <f t="shared" ca="1" si="2131"/>
        <v>0.12826763447115241</v>
      </c>
      <c r="Z2187" s="2">
        <f t="shared" ca="1" si="2132"/>
        <v>0.13157468825961338</v>
      </c>
      <c r="AA2187" s="2">
        <f t="shared" ca="1" si="2133"/>
        <v>6293287.373527457</v>
      </c>
      <c r="AB2187" s="2">
        <f t="shared" ca="1" si="2134"/>
        <v>7152085.1100174813</v>
      </c>
      <c r="AC2187" s="2">
        <f t="shared" ca="1" si="2135"/>
        <v>7923782.0250646211</v>
      </c>
      <c r="AD2187" s="2">
        <f t="shared" ca="1" si="2136"/>
        <v>8778743.6271970943</v>
      </c>
      <c r="AE2187" s="2">
        <f t="shared" ca="1" si="2137"/>
        <v>9725954.0240097772</v>
      </c>
      <c r="AF2187" s="2">
        <f t="shared" ca="1" si="2138"/>
        <v>981274.41103512782</v>
      </c>
      <c r="AG2187" s="2">
        <f t="shared" ca="1" si="2139"/>
        <v>1087152.1269965724</v>
      </c>
      <c r="AH2187" s="2">
        <f t="shared" ca="1" si="2140"/>
        <v>1204453.8550499934</v>
      </c>
      <c r="AI2187" s="2">
        <f t="shared" ca="1" si="2141"/>
        <v>1334412.2252261059</v>
      </c>
      <c r="AJ2187" s="2">
        <f t="shared" ca="1" si="2142"/>
        <v>1478392.8660836723</v>
      </c>
      <c r="AK2187" s="2">
        <f t="shared" ca="1" si="2143"/>
        <v>0</v>
      </c>
      <c r="AL2187" s="2">
        <f t="shared" ca="1" si="2144"/>
        <v>52938.857980722263</v>
      </c>
      <c r="AM2187" s="2">
        <f t="shared" ca="1" si="2145"/>
        <v>58650.864026710464</v>
      </c>
      <c r="AN2187" s="2">
        <f t="shared" ca="1" si="2146"/>
        <v>64979.185088056329</v>
      </c>
      <c r="AO2187" s="2">
        <f t="shared" ca="1" si="2147"/>
        <v>71990.32042878322</v>
      </c>
      <c r="AP2187" s="2">
        <f t="shared" ca="1" si="2148"/>
        <v>2367025.4709816063</v>
      </c>
      <c r="AQ2187" s="2">
        <f t="shared" ca="1" si="2149"/>
        <v>765696.74779278797</v>
      </c>
      <c r="AR2187" s="2">
        <f t="shared" ca="1" si="2150"/>
        <v>961455.95313021878</v>
      </c>
      <c r="AS2187" s="2">
        <f t="shared" ca="1" si="2151"/>
        <v>1131598.7017485856</v>
      </c>
      <c r="AT2187" s="2">
        <f t="shared" ca="1" si="2152"/>
        <v>1320099.5420572392</v>
      </c>
      <c r="AU2187" s="2">
        <f t="shared" ca="1" si="2153"/>
        <v>1528939.2786055696</v>
      </c>
      <c r="AV2187" s="2">
        <f t="shared" ca="1" si="2154"/>
        <v>2179290.7437179349</v>
      </c>
      <c r="AW2187" s="2">
        <f t="shared" ca="1" si="2155"/>
        <v>2683512.7009283612</v>
      </c>
      <c r="AX2187" s="2">
        <f t="shared" ca="1" si="2156"/>
        <v>3162053.1332577253</v>
      </c>
      <c r="AY2187" s="2">
        <f t="shared" ca="1" si="2157"/>
        <v>3692227.2038440863</v>
      </c>
      <c r="AZ2187" s="2">
        <f t="shared" ca="1" si="2158"/>
        <v>4279606.0879101465</v>
      </c>
      <c r="BA2187" s="2">
        <f t="shared" ca="1" si="2159"/>
        <v>76149034.062319562</v>
      </c>
      <c r="BB2187" s="2">
        <f t="shared" ca="1" si="2160"/>
        <v>1522980.6812463913</v>
      </c>
      <c r="BC2187" s="2">
        <f t="shared" ca="1" si="2161"/>
        <v>48325770.370166428</v>
      </c>
      <c r="BD2187" s="2">
        <f t="shared" ca="1" si="2162"/>
        <v>-19129367.132725608</v>
      </c>
      <c r="BE2187" s="2">
        <f t="shared" ca="1" si="2163"/>
        <v>2179290.7437179349</v>
      </c>
      <c r="BF2187" s="2">
        <f t="shared" ca="1" si="2164"/>
        <v>2683512.7009283612</v>
      </c>
      <c r="BG2187" s="2">
        <f t="shared" ca="1" si="2165"/>
        <v>3162053.1332577253</v>
      </c>
      <c r="BH2187" s="2">
        <f t="shared" ca="1" si="2166"/>
        <v>3692227.2038440863</v>
      </c>
      <c r="BI2187" s="2">
        <f t="shared" ca="1" si="2167"/>
        <v>52605376.458076574</v>
      </c>
      <c r="BJ2187" s="2">
        <f t="shared" ca="1" si="2168"/>
        <v>0.31636182192716134</v>
      </c>
      <c r="BK2187" s="2">
        <f t="shared" ca="1" si="2169"/>
        <v>19402575.527585898</v>
      </c>
    </row>
    <row r="2188" spans="1:63" x14ac:dyDescent="0.3">
      <c r="A2188" s="2">
        <v>2187</v>
      </c>
      <c r="B2188" s="2">
        <f t="shared" ca="1" si="2108"/>
        <v>0.43830847016664576</v>
      </c>
      <c r="C2188" s="2">
        <f t="shared" ca="1" si="2109"/>
        <v>6.9362782387374446</v>
      </c>
      <c r="D2188" s="2">
        <f t="shared" ca="1" si="2110"/>
        <v>0.30444302638422549</v>
      </c>
      <c r="E2188" s="2">
        <f t="shared" ca="1" si="2111"/>
        <v>7.2803115100832816</v>
      </c>
      <c r="F2188" s="2">
        <f t="shared" ca="1" si="2112"/>
        <v>0.25802160930120133</v>
      </c>
      <c r="G2188" s="2">
        <f t="shared" ca="1" si="2113"/>
        <v>2.0516298687450502E-2</v>
      </c>
      <c r="H2188" s="2">
        <f t="shared" ca="1" si="2114"/>
        <v>2.0516298687450502E-2</v>
      </c>
      <c r="I2188" s="2">
        <f t="shared" ca="1" si="2115"/>
        <v>0.75368442648510958</v>
      </c>
      <c r="J2188" s="2">
        <f t="shared" ca="1" si="2116"/>
        <v>1.3430649900936441E-2</v>
      </c>
      <c r="K2188" s="2">
        <f t="shared" ca="1" si="2117"/>
        <v>1.3430649900936441E-2</v>
      </c>
      <c r="L2188" s="2">
        <f t="shared" ca="1" si="2118"/>
        <v>0.15375440545565489</v>
      </c>
      <c r="M2188" s="2">
        <f t="shared" ca="1" si="2119"/>
        <v>-2.0409264957249037E-2</v>
      </c>
      <c r="N2188" s="2">
        <f t="shared" ca="1" si="2120"/>
        <v>-2.0409264957249037E-2</v>
      </c>
      <c r="O2188" s="2">
        <f t="shared" si="2121"/>
        <v>6000000</v>
      </c>
      <c r="P2188" s="2">
        <f t="shared" ca="1" si="2122"/>
        <v>41617669.432424664</v>
      </c>
      <c r="Q2188" s="2">
        <f t="shared" ca="1" si="2123"/>
        <v>1040441.7358106166</v>
      </c>
      <c r="R2188" s="2">
        <f t="shared" ca="1" si="2124"/>
        <v>24970601.659454796</v>
      </c>
      <c r="S2188" s="2">
        <f t="shared" ca="1" si="2125"/>
        <v>16647067.772969866</v>
      </c>
      <c r="T2188" s="2">
        <f t="shared" ca="1" si="2126"/>
        <v>48979536.752137549</v>
      </c>
      <c r="U2188" s="2">
        <f t="shared" ca="1" si="2127"/>
        <v>49984415.557717361</v>
      </c>
      <c r="V2188" s="2">
        <f t="shared" ca="1" si="2128"/>
        <v>51009910.757017136</v>
      </c>
      <c r="W2188" s="2">
        <f t="shared" ca="1" si="2129"/>
        <v>52056445.322128296</v>
      </c>
      <c r="X2188" s="2">
        <f t="shared" ca="1" si="2130"/>
        <v>53124450.902964018</v>
      </c>
      <c r="Y2188" s="2">
        <f t="shared" ca="1" si="2131"/>
        <v>0.12671532495046822</v>
      </c>
      <c r="Z2188" s="2">
        <f t="shared" ca="1" si="2132"/>
        <v>0.1294014549306555</v>
      </c>
      <c r="AA2188" s="2">
        <f t="shared" ca="1" si="2133"/>
        <v>6206457.9154705107</v>
      </c>
      <c r="AB2188" s="2">
        <f t="shared" ca="1" si="2134"/>
        <v>6468056.0970271183</v>
      </c>
      <c r="AC2188" s="2">
        <f t="shared" ca="1" si="2135"/>
        <v>6600756.667840912</v>
      </c>
      <c r="AD2188" s="2">
        <f t="shared" ca="1" si="2136"/>
        <v>6736179.7632015171</v>
      </c>
      <c r="AE2188" s="2">
        <f t="shared" ca="1" si="2137"/>
        <v>6874381.2392357187</v>
      </c>
      <c r="AF2188" s="2">
        <f t="shared" ca="1" si="2138"/>
        <v>979590.73504275095</v>
      </c>
      <c r="AG2188" s="2">
        <f t="shared" ca="1" si="2139"/>
        <v>999688.31115434726</v>
      </c>
      <c r="AH2188" s="2">
        <f t="shared" ca="1" si="2140"/>
        <v>1020198.2151403427</v>
      </c>
      <c r="AI2188" s="2">
        <f t="shared" ca="1" si="2141"/>
        <v>1041128.906442566</v>
      </c>
      <c r="AJ2188" s="2">
        <f t="shared" ca="1" si="2142"/>
        <v>1062489.0180592805</v>
      </c>
      <c r="AK2188" s="2">
        <f t="shared" ca="1" si="2143"/>
        <v>0</v>
      </c>
      <c r="AL2188" s="2">
        <f t="shared" ca="1" si="2144"/>
        <v>10048.788055798113</v>
      </c>
      <c r="AM2188" s="2">
        <f t="shared" ca="1" si="2145"/>
        <v>10254.95199299775</v>
      </c>
      <c r="AN2188" s="2">
        <f t="shared" ca="1" si="2146"/>
        <v>10465.345651111604</v>
      </c>
      <c r="AO2188" s="2">
        <f t="shared" ca="1" si="2147"/>
        <v>10680.055808357223</v>
      </c>
      <c r="AP2188" s="2">
        <f t="shared" ca="1" si="2148"/>
        <v>2247354.1493509314</v>
      </c>
      <c r="AQ2188" s="2">
        <f t="shared" ca="1" si="2149"/>
        <v>774673.38807997538</v>
      </c>
      <c r="AR2188" s="2">
        <f t="shared" ca="1" si="2150"/>
        <v>837463.54549567844</v>
      </c>
      <c r="AS2188" s="2">
        <f t="shared" ca="1" si="2151"/>
        <v>866633.11887090583</v>
      </c>
      <c r="AT2188" s="2">
        <f t="shared" ca="1" si="2152"/>
        <v>896401.14392608521</v>
      </c>
      <c r="AU2188" s="2">
        <f t="shared" ca="1" si="2153"/>
        <v>926779.89867463172</v>
      </c>
      <c r="AV2188" s="2">
        <f t="shared" ca="1" si="2154"/>
        <v>2204839.6429968528</v>
      </c>
      <c r="AW2188" s="2">
        <f t="shared" ca="1" si="2155"/>
        <v>2373501.3029703633</v>
      </c>
      <c r="AX2188" s="2">
        <f t="shared" ca="1" si="2156"/>
        <v>2456316.2324857344</v>
      </c>
      <c r="AY2188" s="2">
        <f t="shared" ca="1" si="2157"/>
        <v>2540830.2178308233</v>
      </c>
      <c r="AZ2188" s="2">
        <f t="shared" ca="1" si="2158"/>
        <v>2627078.1173425182</v>
      </c>
      <c r="BA2188" s="2">
        <f t="shared" ca="1" si="2159"/>
        <v>50047636.860708378</v>
      </c>
      <c r="BB2188" s="2">
        <f t="shared" ca="1" si="2160"/>
        <v>1000952.7372141676</v>
      </c>
      <c r="BC2188" s="2">
        <f t="shared" ca="1" si="2161"/>
        <v>24076082.464039415</v>
      </c>
      <c r="BD2188" s="2">
        <f t="shared" ca="1" si="2162"/>
        <v>-18187509.508780483</v>
      </c>
      <c r="BE2188" s="2">
        <f t="shared" ca="1" si="2163"/>
        <v>2204839.6429968528</v>
      </c>
      <c r="BF2188" s="2">
        <f t="shared" ca="1" si="2164"/>
        <v>2373501.3029703633</v>
      </c>
      <c r="BG2188" s="2">
        <f t="shared" ca="1" si="2165"/>
        <v>2456316.2324857344</v>
      </c>
      <c r="BH2188" s="2">
        <f t="shared" ca="1" si="2166"/>
        <v>2540830.2178308233</v>
      </c>
      <c r="BI2188" s="2">
        <f t="shared" ca="1" si="2167"/>
        <v>26703160.581381932</v>
      </c>
      <c r="BJ2188" s="2">
        <f t="shared" ca="1" si="2168"/>
        <v>0.17781314978846074</v>
      </c>
      <c r="BK2188" s="2">
        <f t="shared" ca="1" si="2169"/>
        <v>4188429.3831091523</v>
      </c>
    </row>
    <row r="2189" spans="1:63" x14ac:dyDescent="0.3">
      <c r="A2189" s="2">
        <v>2188</v>
      </c>
      <c r="B2189" s="2">
        <f t="shared" ca="1" si="2108"/>
        <v>0.36433344095094522</v>
      </c>
      <c r="C2189" s="2">
        <f t="shared" ca="1" si="2109"/>
        <v>6.8536198696737856</v>
      </c>
      <c r="D2189" s="2">
        <f t="shared" ca="1" si="2110"/>
        <v>0.30880137997918167</v>
      </c>
      <c r="E2189" s="2">
        <f t="shared" ca="1" si="2111"/>
        <v>7.2858770641508528</v>
      </c>
      <c r="F2189" s="2">
        <f t="shared" ca="1" si="2112"/>
        <v>0.85190173455644724</v>
      </c>
      <c r="G2189" s="2">
        <f t="shared" ca="1" si="2113"/>
        <v>7.1338736346703929E-2</v>
      </c>
      <c r="H2189" s="2">
        <f t="shared" ca="1" si="2114"/>
        <v>7.1338736346703929E-2</v>
      </c>
      <c r="I2189" s="2">
        <f t="shared" ca="1" si="2115"/>
        <v>0.64146113769541246</v>
      </c>
      <c r="J2189" s="2">
        <f t="shared" ca="1" si="2116"/>
        <v>1.1811835480153351E-2</v>
      </c>
      <c r="K2189" s="2">
        <f t="shared" ca="1" si="2117"/>
        <v>1.1811835480153351E-2</v>
      </c>
      <c r="L2189" s="2">
        <f t="shared" ca="1" si="2118"/>
        <v>4.0372663126519992E-4</v>
      </c>
      <c r="M2189" s="2">
        <f t="shared" ca="1" si="2119"/>
        <v>-6.7004542258222805E-2</v>
      </c>
      <c r="N2189" s="2">
        <f t="shared" ca="1" si="2120"/>
        <v>-0.05</v>
      </c>
      <c r="O2189" s="2">
        <f t="shared" si="2121"/>
        <v>6000000</v>
      </c>
      <c r="P2189" s="2">
        <f t="shared" ca="1" si="2122"/>
        <v>41121719.218042716</v>
      </c>
      <c r="Q2189" s="2">
        <f t="shared" ca="1" si="2123"/>
        <v>1028042.9804510679</v>
      </c>
      <c r="R2189" s="2">
        <f t="shared" ca="1" si="2124"/>
        <v>24673031.53082563</v>
      </c>
      <c r="S2189" s="2">
        <f t="shared" ca="1" si="2125"/>
        <v>16448687.687217087</v>
      </c>
      <c r="T2189" s="2">
        <f t="shared" ca="1" si="2126"/>
        <v>47500000</v>
      </c>
      <c r="U2189" s="2">
        <f t="shared" ca="1" si="2127"/>
        <v>50888589.976468436</v>
      </c>
      <c r="V2189" s="2">
        <f t="shared" ca="1" si="2128"/>
        <v>54518917.679855242</v>
      </c>
      <c r="W2189" s="2">
        <f t="shared" ca="1" si="2129"/>
        <v>58408228.374126092</v>
      </c>
      <c r="X2189" s="2">
        <f t="shared" ca="1" si="2130"/>
        <v>62574997.578585945</v>
      </c>
      <c r="Y2189" s="2">
        <f t="shared" ca="1" si="2131"/>
        <v>0.12590591774007667</v>
      </c>
      <c r="Z2189" s="2">
        <f t="shared" ca="1" si="2132"/>
        <v>0.12826828483610733</v>
      </c>
      <c r="AA2189" s="2">
        <f t="shared" ca="1" si="2133"/>
        <v>5980531.0926536424</v>
      </c>
      <c r="AB2189" s="2">
        <f t="shared" ca="1" si="2134"/>
        <v>6527392.1540095303</v>
      </c>
      <c r="AC2189" s="2">
        <f t="shared" ca="1" si="2135"/>
        <v>6993048.0619159602</v>
      </c>
      <c r="AD2189" s="2">
        <f t="shared" ca="1" si="2136"/>
        <v>7491923.2738648122</v>
      </c>
      <c r="AE2189" s="2">
        <f t="shared" ca="1" si="2137"/>
        <v>8026387.6130287889</v>
      </c>
      <c r="AF2189" s="2">
        <f t="shared" ca="1" si="2138"/>
        <v>950000</v>
      </c>
      <c r="AG2189" s="2">
        <f t="shared" ca="1" si="2139"/>
        <v>1017771.7995293688</v>
      </c>
      <c r="AH2189" s="2">
        <f t="shared" ca="1" si="2140"/>
        <v>1090378.3535971048</v>
      </c>
      <c r="AI2189" s="2">
        <f t="shared" ca="1" si="2141"/>
        <v>1168164.5674825218</v>
      </c>
      <c r="AJ2189" s="2">
        <f t="shared" ca="1" si="2142"/>
        <v>1251499.951571719</v>
      </c>
      <c r="AK2189" s="2">
        <f t="shared" ca="1" si="2143"/>
        <v>0</v>
      </c>
      <c r="AL2189" s="2">
        <f t="shared" ca="1" si="2144"/>
        <v>33885.899764684364</v>
      </c>
      <c r="AM2189" s="2">
        <f t="shared" ca="1" si="2145"/>
        <v>36303.277033868064</v>
      </c>
      <c r="AN2189" s="2">
        <f t="shared" ca="1" si="2146"/>
        <v>38893.106942708495</v>
      </c>
      <c r="AO2189" s="2">
        <f t="shared" ca="1" si="2147"/>
        <v>41667.692044598538</v>
      </c>
      <c r="AP2189" s="2">
        <f t="shared" ca="1" si="2148"/>
        <v>2220572.8377743065</v>
      </c>
      <c r="AQ2189" s="2">
        <f t="shared" ca="1" si="2149"/>
        <v>730589.14626862737</v>
      </c>
      <c r="AR2189" s="2">
        <f t="shared" ca="1" si="2150"/>
        <v>855152.35434352222</v>
      </c>
      <c r="AS2189" s="2">
        <f t="shared" ca="1" si="2151"/>
        <v>957345.1863415828</v>
      </c>
      <c r="AT2189" s="2">
        <f t="shared" ca="1" si="2152"/>
        <v>1066828.325838076</v>
      </c>
      <c r="AU2189" s="2">
        <f t="shared" ca="1" si="2153"/>
        <v>1184121.8541575186</v>
      </c>
      <c r="AV2189" s="2">
        <f t="shared" ca="1" si="2154"/>
        <v>2079369.1086107083</v>
      </c>
      <c r="AW2189" s="2">
        <f t="shared" ca="1" si="2155"/>
        <v>2400009.2625976484</v>
      </c>
      <c r="AX2189" s="2">
        <f t="shared" ca="1" si="2156"/>
        <v>2688448.407169098</v>
      </c>
      <c r="AY2189" s="2">
        <f t="shared" ca="1" si="2157"/>
        <v>2997464.4358271994</v>
      </c>
      <c r="AZ2189" s="2">
        <f t="shared" ca="1" si="2158"/>
        <v>3328525.277480646</v>
      </c>
      <c r="BA2189" s="2">
        <f t="shared" ca="1" si="2159"/>
        <v>58479273.417750962</v>
      </c>
      <c r="BB2189" s="2">
        <f t="shared" ca="1" si="2160"/>
        <v>1169585.4683550193</v>
      </c>
      <c r="BC2189" s="2">
        <f t="shared" ca="1" si="2161"/>
        <v>32636656.418570314</v>
      </c>
      <c r="BD2189" s="2">
        <f t="shared" ca="1" si="2162"/>
        <v>-17976730.667668156</v>
      </c>
      <c r="BE2189" s="2">
        <f t="shared" ca="1" si="2163"/>
        <v>2079369.1086107083</v>
      </c>
      <c r="BF2189" s="2">
        <f t="shared" ca="1" si="2164"/>
        <v>2400009.2625976484</v>
      </c>
      <c r="BG2189" s="2">
        <f t="shared" ca="1" si="2165"/>
        <v>2688448.407169098</v>
      </c>
      <c r="BH2189" s="2">
        <f t="shared" ca="1" si="2166"/>
        <v>2997464.4358271994</v>
      </c>
      <c r="BI2189" s="2">
        <f t="shared" ca="1" si="2167"/>
        <v>35965181.696050957</v>
      </c>
      <c r="BJ2189" s="2">
        <f t="shared" ca="1" si="2168"/>
        <v>0.2434282984410765</v>
      </c>
      <c r="BK2189" s="2">
        <f t="shared" ca="1" si="2169"/>
        <v>10019258.860770408</v>
      </c>
    </row>
    <row r="2190" spans="1:63" x14ac:dyDescent="0.3">
      <c r="A2190" s="2">
        <v>2189</v>
      </c>
      <c r="B2190" s="2">
        <f t="shared" ca="1" si="2108"/>
        <v>0.29921520995113604</v>
      </c>
      <c r="C2190" s="2">
        <f t="shared" ca="1" si="2109"/>
        <v>6.7735828461789156</v>
      </c>
      <c r="D2190" s="2">
        <f t="shared" ca="1" si="2110"/>
        <v>0.60511314319101428</v>
      </c>
      <c r="E2190" s="2">
        <f t="shared" ca="1" si="2111"/>
        <v>7.6113078634206488</v>
      </c>
      <c r="F2190" s="2">
        <f t="shared" ca="1" si="2112"/>
        <v>0.51677341836444124</v>
      </c>
      <c r="G2190" s="2">
        <f t="shared" ca="1" si="2113"/>
        <v>4.1261713596818531E-2</v>
      </c>
      <c r="H2190" s="2">
        <f t="shared" ca="1" si="2114"/>
        <v>4.1261713596818531E-2</v>
      </c>
      <c r="I2190" s="2">
        <f t="shared" ca="1" si="2115"/>
        <v>0.95905744995860631</v>
      </c>
      <c r="J2190" s="2">
        <f t="shared" ca="1" si="2116"/>
        <v>1.8699257405396314E-2</v>
      </c>
      <c r="K2190" s="2">
        <f t="shared" ca="1" si="2117"/>
        <v>1.8699257405396314E-2</v>
      </c>
      <c r="L2190" s="2">
        <f t="shared" ca="1" si="2118"/>
        <v>0.6979790544142559</v>
      </c>
      <c r="M2190" s="2">
        <f t="shared" ca="1" si="2119"/>
        <v>1.0371937430409914E-2</v>
      </c>
      <c r="N2190" s="2">
        <f t="shared" ca="1" si="2120"/>
        <v>1.0371937430409914E-2</v>
      </c>
      <c r="O2190" s="2">
        <f t="shared" si="2121"/>
        <v>6000000</v>
      </c>
      <c r="P2190" s="2">
        <f t="shared" ca="1" si="2122"/>
        <v>40641497.077073492</v>
      </c>
      <c r="Q2190" s="2">
        <f t="shared" ca="1" si="2123"/>
        <v>1016037.4269268373</v>
      </c>
      <c r="R2190" s="2">
        <f t="shared" ca="1" si="2124"/>
        <v>24384898.246244095</v>
      </c>
      <c r="S2190" s="2">
        <f t="shared" ca="1" si="2125"/>
        <v>16256598.830829397</v>
      </c>
      <c r="T2190" s="2">
        <f t="shared" ca="1" si="2126"/>
        <v>50518596.871520497</v>
      </c>
      <c r="U2190" s="2">
        <f t="shared" ca="1" si="2127"/>
        <v>52603080.746946305</v>
      </c>
      <c r="V2190" s="2">
        <f t="shared" ca="1" si="2128"/>
        <v>54773573.999037124</v>
      </c>
      <c r="W2190" s="2">
        <f t="shared" ca="1" si="2129"/>
        <v>57033625.522059537</v>
      </c>
      <c r="X2190" s="2">
        <f t="shared" ca="1" si="2130"/>
        <v>59386930.643738955</v>
      </c>
      <c r="Y2190" s="2">
        <f t="shared" ca="1" si="2131"/>
        <v>0.12934962870269814</v>
      </c>
      <c r="Z2190" s="2">
        <f t="shared" ca="1" si="2132"/>
        <v>0.13308948018377742</v>
      </c>
      <c r="AA2190" s="2">
        <f t="shared" ca="1" si="2133"/>
        <v>6534561.7479124647</v>
      </c>
      <c r="AB2190" s="2">
        <f t="shared" ca="1" si="2134"/>
        <v>7000916.6726763537</v>
      </c>
      <c r="AC2190" s="2">
        <f t="shared" ca="1" si="2135"/>
        <v>7289786.4913395178</v>
      </c>
      <c r="AD2190" s="2">
        <f t="shared" ca="1" si="2136"/>
        <v>7590575.5737271253</v>
      </c>
      <c r="AE2190" s="2">
        <f t="shared" ca="1" si="2137"/>
        <v>7903775.7290852601</v>
      </c>
      <c r="AF2190" s="2">
        <f t="shared" ca="1" si="2138"/>
        <v>1010371.9374304099</v>
      </c>
      <c r="AG2190" s="2">
        <f t="shared" ca="1" si="2139"/>
        <v>1052061.6149389262</v>
      </c>
      <c r="AH2190" s="2">
        <f t="shared" ca="1" si="2140"/>
        <v>1095471.4799807426</v>
      </c>
      <c r="AI2190" s="2">
        <f t="shared" ca="1" si="2141"/>
        <v>1140672.5104411908</v>
      </c>
      <c r="AJ2190" s="2">
        <f t="shared" ca="1" si="2142"/>
        <v>1187738.6128747792</v>
      </c>
      <c r="AK2190" s="2">
        <f t="shared" ca="1" si="2143"/>
        <v>0</v>
      </c>
      <c r="AL2190" s="2">
        <f t="shared" ca="1" si="2144"/>
        <v>20844.838754258082</v>
      </c>
      <c r="AM2190" s="2">
        <f t="shared" ca="1" si="2145"/>
        <v>21704.932520908191</v>
      </c>
      <c r="AN2190" s="2">
        <f t="shared" ca="1" si="2146"/>
        <v>22600.515230224133</v>
      </c>
      <c r="AO2190" s="2">
        <f t="shared" ca="1" si="2147"/>
        <v>23533.051216794178</v>
      </c>
      <c r="AP2190" s="2">
        <f t="shared" ca="1" si="2148"/>
        <v>2194640.8421619684</v>
      </c>
      <c r="AQ2190" s="2">
        <f t="shared" ca="1" si="2149"/>
        <v>865682.73176322249</v>
      </c>
      <c r="AR2190" s="2">
        <f t="shared" ca="1" si="2150"/>
        <v>976095.69604961947</v>
      </c>
      <c r="AS2190" s="2">
        <f t="shared" ca="1" si="2151"/>
        <v>1039915.2839911698</v>
      </c>
      <c r="AT2190" s="2">
        <f t="shared" ca="1" si="2152"/>
        <v>1106368.1774922314</v>
      </c>
      <c r="AU2190" s="2">
        <f t="shared" ca="1" si="2153"/>
        <v>1175563.0312526133</v>
      </c>
      <c r="AV2190" s="2">
        <f t="shared" ca="1" si="2154"/>
        <v>2463866.2365568643</v>
      </c>
      <c r="AW2190" s="2">
        <f t="shared" ca="1" si="2155"/>
        <v>2757273.6807715818</v>
      </c>
      <c r="AX2190" s="2">
        <f t="shared" ca="1" si="2156"/>
        <v>2938053.9526847284</v>
      </c>
      <c r="AY2190" s="2">
        <f t="shared" ca="1" si="2157"/>
        <v>3126293.5284015108</v>
      </c>
      <c r="AZ2190" s="2">
        <f t="shared" ca="1" si="2158"/>
        <v>3322300.1915791053</v>
      </c>
      <c r="BA2190" s="2">
        <f t="shared" ca="1" si="2159"/>
        <v>60158070.357499912</v>
      </c>
      <c r="BB2190" s="2">
        <f t="shared" ca="1" si="2160"/>
        <v>1203161.4071499982</v>
      </c>
      <c r="BC2190" s="2">
        <f t="shared" ca="1" si="2161"/>
        <v>34570010.704105817</v>
      </c>
      <c r="BD2190" s="2">
        <f t="shared" ca="1" si="2162"/>
        <v>-17772636.257756233</v>
      </c>
      <c r="BE2190" s="2">
        <f t="shared" ca="1" si="2163"/>
        <v>2463866.2365568643</v>
      </c>
      <c r="BF2190" s="2">
        <f t="shared" ca="1" si="2164"/>
        <v>2757273.6807715818</v>
      </c>
      <c r="BG2190" s="2">
        <f t="shared" ca="1" si="2165"/>
        <v>2938053.9526847284</v>
      </c>
      <c r="BH2190" s="2">
        <f t="shared" ca="1" si="2166"/>
        <v>3126293.5284015108</v>
      </c>
      <c r="BI2190" s="2">
        <f t="shared" ca="1" si="2167"/>
        <v>37892310.89568492</v>
      </c>
      <c r="BJ2190" s="2">
        <f t="shared" ca="1" si="2168"/>
        <v>0.26968530477620134</v>
      </c>
      <c r="BK2190" s="2">
        <f t="shared" ca="1" si="2169"/>
        <v>12204505.661322188</v>
      </c>
    </row>
    <row r="2191" spans="1:63" x14ac:dyDescent="0.3">
      <c r="A2191" s="2">
        <v>2190</v>
      </c>
      <c r="B2191" s="2">
        <f t="shared" ca="1" si="2108"/>
        <v>0.94530166388528347</v>
      </c>
      <c r="C2191" s="2">
        <f t="shared" ca="1" si="2109"/>
        <v>7.6692483224087393</v>
      </c>
      <c r="D2191" s="2">
        <f t="shared" ca="1" si="2110"/>
        <v>0.64152171283873094</v>
      </c>
      <c r="E2191" s="2">
        <f t="shared" ca="1" si="2111"/>
        <v>7.6532671174906826</v>
      </c>
      <c r="F2191" s="2">
        <f t="shared" ca="1" si="2112"/>
        <v>0.96261263689060628</v>
      </c>
      <c r="G2191" s="2">
        <f t="shared" ca="1" si="2113"/>
        <v>9.3455310535782044E-2</v>
      </c>
      <c r="H2191" s="2">
        <f t="shared" ca="1" si="2114"/>
        <v>9.3455310535782044E-2</v>
      </c>
      <c r="I2191" s="2">
        <f t="shared" ca="1" si="2115"/>
        <v>0.16164402577199699</v>
      </c>
      <c r="J2191" s="2">
        <f t="shared" ca="1" si="2116"/>
        <v>5.0613821876694448E-3</v>
      </c>
      <c r="K2191" s="2">
        <f t="shared" ca="1" si="2117"/>
        <v>5.0613821876694448E-3</v>
      </c>
      <c r="L2191" s="2">
        <f t="shared" ca="1" si="2118"/>
        <v>0.22984961460050246</v>
      </c>
      <c r="M2191" s="2">
        <f t="shared" ca="1" si="2119"/>
        <v>-1.4786844039602622E-2</v>
      </c>
      <c r="N2191" s="2">
        <f t="shared" ca="1" si="2120"/>
        <v>-1.4786844039602622E-2</v>
      </c>
      <c r="O2191" s="2">
        <f t="shared" si="2121"/>
        <v>6000000</v>
      </c>
      <c r="P2191" s="2">
        <f t="shared" ca="1" si="2122"/>
        <v>46015489.934452437</v>
      </c>
      <c r="Q2191" s="2">
        <f t="shared" ca="1" si="2123"/>
        <v>1150387.2483613109</v>
      </c>
      <c r="R2191" s="2">
        <f t="shared" ca="1" si="2124"/>
        <v>27609293.960671462</v>
      </c>
      <c r="S2191" s="2">
        <f t="shared" ca="1" si="2125"/>
        <v>18406195.973780975</v>
      </c>
      <c r="T2191" s="2">
        <f t="shared" ca="1" si="2126"/>
        <v>49260657.798019871</v>
      </c>
      <c r="U2191" s="2">
        <f t="shared" ca="1" si="2127"/>
        <v>53864327.869730711</v>
      </c>
      <c r="V2191" s="2">
        <f t="shared" ca="1" si="2128"/>
        <v>58898235.357597575</v>
      </c>
      <c r="W2191" s="2">
        <f t="shared" ca="1" si="2129"/>
        <v>64402588.232951432</v>
      </c>
      <c r="X2191" s="2">
        <f t="shared" ca="1" si="2130"/>
        <v>70421352.115570009</v>
      </c>
      <c r="Y2191" s="2">
        <f t="shared" ca="1" si="2131"/>
        <v>0.12253069109383471</v>
      </c>
      <c r="Z2191" s="2">
        <f t="shared" ca="1" si="2132"/>
        <v>0.12354296753136861</v>
      </c>
      <c r="AA2191" s="2">
        <f t="shared" ca="1" si="2133"/>
        <v>6035942.4437282728</v>
      </c>
      <c r="AB2191" s="2">
        <f t="shared" ca="1" si="2134"/>
        <v>6654558.9091091342</v>
      </c>
      <c r="AC2191" s="2">
        <f t="shared" ca="1" si="2135"/>
        <v>7276462.7784385839</v>
      </c>
      <c r="AD2191" s="2">
        <f t="shared" ca="1" si="2136"/>
        <v>7956486.8669996206</v>
      </c>
      <c r="AE2191" s="2">
        <f t="shared" ca="1" si="2137"/>
        <v>8700062.8179289419</v>
      </c>
      <c r="AF2191" s="2">
        <f t="shared" ca="1" si="2138"/>
        <v>985213.15596039745</v>
      </c>
      <c r="AG2191" s="2">
        <f t="shared" ca="1" si="2139"/>
        <v>1077286.5573946142</v>
      </c>
      <c r="AH2191" s="2">
        <f t="shared" ca="1" si="2140"/>
        <v>1177964.7071519515</v>
      </c>
      <c r="AI2191" s="2">
        <f t="shared" ca="1" si="2141"/>
        <v>1288051.7646590287</v>
      </c>
      <c r="AJ2191" s="2">
        <f t="shared" ca="1" si="2142"/>
        <v>1408427.0423114002</v>
      </c>
      <c r="AK2191" s="2">
        <f t="shared" ca="1" si="2143"/>
        <v>0</v>
      </c>
      <c r="AL2191" s="2">
        <f t="shared" ca="1" si="2144"/>
        <v>46036.700717108397</v>
      </c>
      <c r="AM2191" s="2">
        <f t="shared" ca="1" si="2145"/>
        <v>50339.074878668638</v>
      </c>
      <c r="AN2191" s="2">
        <f t="shared" ca="1" si="2146"/>
        <v>55043.52875353858</v>
      </c>
      <c r="AO2191" s="2">
        <f t="shared" ca="1" si="2147"/>
        <v>60187.638826185765</v>
      </c>
      <c r="AP2191" s="2">
        <f t="shared" ca="1" si="2148"/>
        <v>2484836.4564604317</v>
      </c>
      <c r="AQ2191" s="2">
        <f t="shared" ca="1" si="2149"/>
        <v>667132.13613993523</v>
      </c>
      <c r="AR2191" s="2">
        <f t="shared" ca="1" si="2150"/>
        <v>804033.33276606293</v>
      </c>
      <c r="AS2191" s="2">
        <f t="shared" ca="1" si="2151"/>
        <v>939552.0198548123</v>
      </c>
      <c r="AT2191" s="2">
        <f t="shared" ca="1" si="2152"/>
        <v>1087735.6479288416</v>
      </c>
      <c r="AU2191" s="2">
        <f t="shared" ca="1" si="2153"/>
        <v>1249767.8229808488</v>
      </c>
      <c r="AV2191" s="2">
        <f t="shared" ca="1" si="2154"/>
        <v>1898760.6951675084</v>
      </c>
      <c r="AW2191" s="2">
        <f t="shared" ca="1" si="2155"/>
        <v>2242365.8617709172</v>
      </c>
      <c r="AX2191" s="2">
        <f t="shared" ca="1" si="2156"/>
        <v>2623770.5200927206</v>
      </c>
      <c r="AY2191" s="2">
        <f t="shared" ca="1" si="2157"/>
        <v>3040819.4691977804</v>
      </c>
      <c r="AZ2191" s="2">
        <f t="shared" ca="1" si="2158"/>
        <v>3496843.8573500752</v>
      </c>
      <c r="BA2191" s="2">
        <f t="shared" ca="1" si="2159"/>
        <v>66583904.684558898</v>
      </c>
      <c r="BB2191" s="2">
        <f t="shared" ca="1" si="2160"/>
        <v>1331678.0936911779</v>
      </c>
      <c r="BC2191" s="2">
        <f t="shared" ca="1" si="2161"/>
        <v>37642932.630196258</v>
      </c>
      <c r="BD2191" s="2">
        <f t="shared" ca="1" si="2162"/>
        <v>-20056583.222142287</v>
      </c>
      <c r="BE2191" s="2">
        <f t="shared" ca="1" si="2163"/>
        <v>1898760.6951675084</v>
      </c>
      <c r="BF2191" s="2">
        <f t="shared" ca="1" si="2164"/>
        <v>2242365.8617709172</v>
      </c>
      <c r="BG2191" s="2">
        <f t="shared" ca="1" si="2165"/>
        <v>2623770.5200927206</v>
      </c>
      <c r="BH2191" s="2">
        <f t="shared" ca="1" si="2166"/>
        <v>3040819.4691977804</v>
      </c>
      <c r="BI2191" s="2">
        <f t="shared" ca="1" si="2167"/>
        <v>41139776.487546332</v>
      </c>
      <c r="BJ2191" s="2">
        <f t="shared" ca="1" si="2168"/>
        <v>0.23457560931231014</v>
      </c>
      <c r="BK2191" s="2">
        <f t="shared" ca="1" si="2169"/>
        <v>10570196.957479667</v>
      </c>
    </row>
    <row r="2192" spans="1:63" x14ac:dyDescent="0.3">
      <c r="A2192" s="2">
        <v>2191</v>
      </c>
      <c r="B2192" s="2">
        <f t="shared" ca="1" si="2108"/>
        <v>0.61732681742043261</v>
      </c>
      <c r="C2192" s="2">
        <f t="shared" ca="1" si="2109"/>
        <v>7.1251592343979766</v>
      </c>
      <c r="D2192" s="2">
        <f t="shared" ca="1" si="2110"/>
        <v>0.78909994906752512</v>
      </c>
      <c r="E2192" s="2">
        <f t="shared" ca="1" si="2111"/>
        <v>7.8505386063321776</v>
      </c>
      <c r="F2192" s="2">
        <f t="shared" ca="1" si="2112"/>
        <v>0.74578047553997096</v>
      </c>
      <c r="G2192" s="2">
        <f t="shared" ca="1" si="2113"/>
        <v>5.9838105991143239E-2</v>
      </c>
      <c r="H2192" s="2">
        <f t="shared" ca="1" si="2114"/>
        <v>5.9838105991143239E-2</v>
      </c>
      <c r="I2192" s="2">
        <f t="shared" ca="1" si="2115"/>
        <v>0.30670988305933644</v>
      </c>
      <c r="J2192" s="2">
        <f t="shared" ca="1" si="2116"/>
        <v>7.4740099374140381E-3</v>
      </c>
      <c r="K2192" s="2">
        <f t="shared" ca="1" si="2117"/>
        <v>7.4740099374140381E-3</v>
      </c>
      <c r="L2192" s="2">
        <f t="shared" ca="1" si="2118"/>
        <v>9.3463822900896942E-2</v>
      </c>
      <c r="M2192" s="2">
        <f t="shared" ca="1" si="2119"/>
        <v>-2.6394452348112846E-2</v>
      </c>
      <c r="N2192" s="2">
        <f t="shared" ca="1" si="2120"/>
        <v>-2.6394452348112846E-2</v>
      </c>
      <c r="O2192" s="2">
        <f t="shared" si="2121"/>
        <v>6000000</v>
      </c>
      <c r="P2192" s="2">
        <f t="shared" ca="1" si="2122"/>
        <v>42750955.406387858</v>
      </c>
      <c r="Q2192" s="2">
        <f t="shared" ca="1" si="2123"/>
        <v>1068773.8851596965</v>
      </c>
      <c r="R2192" s="2">
        <f t="shared" ca="1" si="2124"/>
        <v>25650573.243832715</v>
      </c>
      <c r="S2192" s="2">
        <f t="shared" ca="1" si="2125"/>
        <v>17100382.162555143</v>
      </c>
      <c r="T2192" s="2">
        <f t="shared" ca="1" si="2126"/>
        <v>48680277.382594354</v>
      </c>
      <c r="U2192" s="2">
        <f t="shared" ca="1" si="2127"/>
        <v>51593212.98029229</v>
      </c>
      <c r="V2192" s="2">
        <f t="shared" ca="1" si="2128"/>
        <v>54680453.127030648</v>
      </c>
      <c r="W2192" s="2">
        <f t="shared" ca="1" si="2129"/>
        <v>57952427.876889646</v>
      </c>
      <c r="X2192" s="2">
        <f t="shared" ca="1" si="2130"/>
        <v>61420191.398631051</v>
      </c>
      <c r="Y2192" s="2">
        <f t="shared" ca="1" si="2131"/>
        <v>0.12373700496870702</v>
      </c>
      <c r="Z2192" s="2">
        <f t="shared" ca="1" si="2132"/>
        <v>0.12523180695618982</v>
      </c>
      <c r="AA2192" s="2">
        <f t="shared" ca="1" si="2133"/>
        <v>6023551.7243681131</v>
      </c>
      <c r="AB2192" s="2">
        <f t="shared" ca="1" si="2134"/>
        <v>6461111.2881975509</v>
      </c>
      <c r="AC2192" s="2">
        <f t="shared" ca="1" si="2135"/>
        <v>6847731.9502812885</v>
      </c>
      <c r="AD2192" s="2">
        <f t="shared" ca="1" si="2136"/>
        <v>7257487.2605211576</v>
      </c>
      <c r="AE2192" s="2">
        <f t="shared" ca="1" si="2137"/>
        <v>7691761.5524455942</v>
      </c>
      <c r="AF2192" s="2">
        <f t="shared" ca="1" si="2138"/>
        <v>973605.54765188706</v>
      </c>
      <c r="AG2192" s="2">
        <f t="shared" ca="1" si="2139"/>
        <v>1031864.2596058458</v>
      </c>
      <c r="AH2192" s="2">
        <f t="shared" ca="1" si="2140"/>
        <v>1093609.0625406129</v>
      </c>
      <c r="AI2192" s="2">
        <f t="shared" ca="1" si="2141"/>
        <v>1159048.5575377929</v>
      </c>
      <c r="AJ2192" s="2">
        <f t="shared" ca="1" si="2142"/>
        <v>1228403.827972621</v>
      </c>
      <c r="AK2192" s="2">
        <f t="shared" ca="1" si="2143"/>
        <v>0</v>
      </c>
      <c r="AL2192" s="2">
        <f t="shared" ca="1" si="2144"/>
        <v>29129.355976979361</v>
      </c>
      <c r="AM2192" s="2">
        <f t="shared" ca="1" si="2145"/>
        <v>30872.401467383577</v>
      </c>
      <c r="AN2192" s="2">
        <f t="shared" ca="1" si="2146"/>
        <v>32719.747498589979</v>
      </c>
      <c r="AO2192" s="2">
        <f t="shared" ca="1" si="2147"/>
        <v>34677.635217414048</v>
      </c>
      <c r="AP2192" s="2">
        <f t="shared" ca="1" si="2148"/>
        <v>2308551.5919449441</v>
      </c>
      <c r="AQ2192" s="2">
        <f t="shared" ca="1" si="2149"/>
        <v>712762.59204053332</v>
      </c>
      <c r="AR2192" s="2">
        <f t="shared" ca="1" si="2150"/>
        <v>811380.813528158</v>
      </c>
      <c r="AS2192" s="2">
        <f t="shared" ca="1" si="2151"/>
        <v>895848.53690689011</v>
      </c>
      <c r="AT2192" s="2">
        <f t="shared" ca="1" si="2152"/>
        <v>985370.64886998932</v>
      </c>
      <c r="AU2192" s="2">
        <f t="shared" ca="1" si="2153"/>
        <v>1080249.5944572876</v>
      </c>
      <c r="AV2192" s="2">
        <f t="shared" ca="1" si="2154"/>
        <v>2028631.9927307488</v>
      </c>
      <c r="AW2192" s="2">
        <f t="shared" ca="1" si="2155"/>
        <v>2280185.2671416244</v>
      </c>
      <c r="AX2192" s="2">
        <f t="shared" ca="1" si="2156"/>
        <v>2518850.3574214578</v>
      </c>
      <c r="AY2192" s="2">
        <f t="shared" ca="1" si="2157"/>
        <v>2771796.7146698413</v>
      </c>
      <c r="AZ2192" s="2">
        <f t="shared" ca="1" si="2158"/>
        <v>3039878.9028533278</v>
      </c>
      <c r="BA2192" s="2">
        <f t="shared" ca="1" si="2159"/>
        <v>60384471.018175662</v>
      </c>
      <c r="BB2192" s="2">
        <f t="shared" ca="1" si="2160"/>
        <v>1207689.4203635133</v>
      </c>
      <c r="BC2192" s="2">
        <f t="shared" ca="1" si="2161"/>
        <v>33526208.353979435</v>
      </c>
      <c r="BD2192" s="2">
        <f t="shared" ca="1" si="2162"/>
        <v>-18669156.047714841</v>
      </c>
      <c r="BE2192" s="2">
        <f t="shared" ca="1" si="2163"/>
        <v>2028631.9927307488</v>
      </c>
      <c r="BF2192" s="2">
        <f t="shared" ca="1" si="2164"/>
        <v>2280185.2671416244</v>
      </c>
      <c r="BG2192" s="2">
        <f t="shared" ca="1" si="2165"/>
        <v>2518850.3574214578</v>
      </c>
      <c r="BH2192" s="2">
        <f t="shared" ca="1" si="2166"/>
        <v>2771796.7146698413</v>
      </c>
      <c r="BI2192" s="2">
        <f t="shared" ca="1" si="2167"/>
        <v>36566087.256832764</v>
      </c>
      <c r="BJ2192" s="2">
        <f t="shared" ca="1" si="2168"/>
        <v>0.23063070822210974</v>
      </c>
      <c r="BK2192" s="2">
        <f t="shared" ca="1" si="2169"/>
        <v>9262847.0233933628</v>
      </c>
    </row>
    <row r="2193" spans="1:63" x14ac:dyDescent="0.3">
      <c r="A2193" s="2">
        <v>2192</v>
      </c>
      <c r="B2193" s="2">
        <f t="shared" ca="1" si="2108"/>
        <v>0.35367935484407642</v>
      </c>
      <c r="C2193" s="2">
        <f t="shared" ca="1" si="2109"/>
        <v>6.8410461994968843</v>
      </c>
      <c r="D2193" s="2">
        <f t="shared" ca="1" si="2110"/>
        <v>0.1973733190998902</v>
      </c>
      <c r="E2193" s="2">
        <f t="shared" ca="1" si="2111"/>
        <v>7.1282886583408782</v>
      </c>
      <c r="F2193" s="2">
        <f t="shared" ca="1" si="2112"/>
        <v>0.71099104565613414</v>
      </c>
      <c r="G2193" s="2">
        <f t="shared" ca="1" si="2113"/>
        <v>5.6688467969346762E-2</v>
      </c>
      <c r="H2193" s="2">
        <f t="shared" ca="1" si="2114"/>
        <v>5.6688467969346762E-2</v>
      </c>
      <c r="I2193" s="2">
        <f t="shared" ca="1" si="2115"/>
        <v>8.0475995083733154E-2</v>
      </c>
      <c r="J2193" s="2">
        <f t="shared" ca="1" si="2116"/>
        <v>2.990615174275838E-3</v>
      </c>
      <c r="K2193" s="2">
        <f t="shared" ca="1" si="2117"/>
        <v>2.990615174275838E-3</v>
      </c>
      <c r="L2193" s="2">
        <f t="shared" ca="1" si="2118"/>
        <v>0.15216553581640457</v>
      </c>
      <c r="M2193" s="2">
        <f t="shared" ca="1" si="2119"/>
        <v>-2.0543797209915254E-2</v>
      </c>
      <c r="N2193" s="2">
        <f t="shared" ca="1" si="2120"/>
        <v>-2.0543797209915254E-2</v>
      </c>
      <c r="O2193" s="2">
        <f t="shared" si="2121"/>
        <v>6000000</v>
      </c>
      <c r="P2193" s="2">
        <f t="shared" ca="1" si="2122"/>
        <v>41046277.196981303</v>
      </c>
      <c r="Q2193" s="2">
        <f t="shared" ca="1" si="2123"/>
        <v>1026156.9299245327</v>
      </c>
      <c r="R2193" s="2">
        <f t="shared" ca="1" si="2124"/>
        <v>24627766.318188783</v>
      </c>
      <c r="S2193" s="2">
        <f t="shared" ca="1" si="2125"/>
        <v>16418510.878792522</v>
      </c>
      <c r="T2193" s="2">
        <f t="shared" ca="1" si="2126"/>
        <v>48972810.139504239</v>
      </c>
      <c r="U2193" s="2">
        <f t="shared" ca="1" si="2127"/>
        <v>51749003.718466423</v>
      </c>
      <c r="V2193" s="2">
        <f t="shared" ca="1" si="2128"/>
        <v>54682575.458206311</v>
      </c>
      <c r="W2193" s="2">
        <f t="shared" ca="1" si="2129"/>
        <v>57782446.885550223</v>
      </c>
      <c r="X2193" s="2">
        <f t="shared" ca="1" si="2130"/>
        <v>61058045.27501221</v>
      </c>
      <c r="Y2193" s="2">
        <f t="shared" ca="1" si="2131"/>
        <v>0.12149530758713792</v>
      </c>
      <c r="Z2193" s="2">
        <f t="shared" ca="1" si="2132"/>
        <v>0.12209343062199308</v>
      </c>
      <c r="AA2193" s="2">
        <f t="shared" ca="1" si="2133"/>
        <v>5949966.6313055744</v>
      </c>
      <c r="AB2193" s="2">
        <f t="shared" ca="1" si="2134"/>
        <v>6318213.3952578427</v>
      </c>
      <c r="AC2193" s="2">
        <f t="shared" ca="1" si="2135"/>
        <v>6676383.2329384135</v>
      </c>
      <c r="AD2193" s="2">
        <f t="shared" ca="1" si="2136"/>
        <v>7054857.1699899267</v>
      </c>
      <c r="AE2193" s="2">
        <f t="shared" ca="1" si="2137"/>
        <v>7454786.2146992162</v>
      </c>
      <c r="AF2193" s="2">
        <f t="shared" ca="1" si="2138"/>
        <v>979456.20279008476</v>
      </c>
      <c r="AG2193" s="2">
        <f t="shared" ca="1" si="2139"/>
        <v>1034980.0743693284</v>
      </c>
      <c r="AH2193" s="2">
        <f t="shared" ca="1" si="2140"/>
        <v>1093651.5091641261</v>
      </c>
      <c r="AI2193" s="2">
        <f t="shared" ca="1" si="2141"/>
        <v>1155648.9377110044</v>
      </c>
      <c r="AJ2193" s="2">
        <f t="shared" ca="1" si="2142"/>
        <v>1221160.9055002441</v>
      </c>
      <c r="AK2193" s="2">
        <f t="shared" ca="1" si="2143"/>
        <v>0</v>
      </c>
      <c r="AL2193" s="2">
        <f t="shared" ca="1" si="2144"/>
        <v>27761.935789621846</v>
      </c>
      <c r="AM2193" s="2">
        <f t="shared" ca="1" si="2145"/>
        <v>29335.717397398876</v>
      </c>
      <c r="AN2193" s="2">
        <f t="shared" ca="1" si="2146"/>
        <v>30998.714273439124</v>
      </c>
      <c r="AO2193" s="2">
        <f t="shared" ca="1" si="2147"/>
        <v>32755.983894619869</v>
      </c>
      <c r="AP2193" s="2">
        <f t="shared" ca="1" si="2148"/>
        <v>2216498.9686369905</v>
      </c>
      <c r="AQ2193" s="2">
        <f t="shared" ca="1" si="2149"/>
        <v>716042.97956840997</v>
      </c>
      <c r="AR2193" s="2">
        <f t="shared" ca="1" si="2150"/>
        <v>797350.93158539629</v>
      </c>
      <c r="AS2193" s="2">
        <f t="shared" ca="1" si="2151"/>
        <v>875220.51633569738</v>
      </c>
      <c r="AT2193" s="2">
        <f t="shared" ca="1" si="2152"/>
        <v>957504.40854690236</v>
      </c>
      <c r="AU2193" s="2">
        <f t="shared" ca="1" si="2153"/>
        <v>1044452.8485461152</v>
      </c>
      <c r="AV2193" s="2">
        <f t="shared" ca="1" si="2154"/>
        <v>2037968.4803100899</v>
      </c>
      <c r="AW2193" s="2">
        <f t="shared" ca="1" si="2155"/>
        <v>2241621.484876506</v>
      </c>
      <c r="AX2193" s="2">
        <f t="shared" ca="1" si="2156"/>
        <v>2461676.5214042002</v>
      </c>
      <c r="AY2193" s="2">
        <f t="shared" ca="1" si="2157"/>
        <v>2694206.140821591</v>
      </c>
      <c r="AZ2193" s="2">
        <f t="shared" ca="1" si="2158"/>
        <v>2939917.5081212455</v>
      </c>
      <c r="BA2193" s="2">
        <f t="shared" ca="1" si="2159"/>
        <v>53139868.024596348</v>
      </c>
      <c r="BB2193" s="2">
        <f t="shared" ca="1" si="2160"/>
        <v>1062797.360491927</v>
      </c>
      <c r="BC2193" s="2">
        <f t="shared" ca="1" si="2161"/>
        <v>27449304.345915638</v>
      </c>
      <c r="BD2193" s="2">
        <f t="shared" ca="1" si="2162"/>
        <v>-17944667.808717053</v>
      </c>
      <c r="BE2193" s="2">
        <f t="shared" ca="1" si="2163"/>
        <v>2037968.4803100899</v>
      </c>
      <c r="BF2193" s="2">
        <f t="shared" ca="1" si="2164"/>
        <v>2241621.484876506</v>
      </c>
      <c r="BG2193" s="2">
        <f t="shared" ca="1" si="2165"/>
        <v>2461676.5214042002</v>
      </c>
      <c r="BH2193" s="2">
        <f t="shared" ca="1" si="2166"/>
        <v>2694206.140821591</v>
      </c>
      <c r="BI2193" s="2">
        <f t="shared" ca="1" si="2167"/>
        <v>30389221.854036883</v>
      </c>
      <c r="BJ2193" s="2">
        <f t="shared" ca="1" si="2168"/>
        <v>0.20396936383002728</v>
      </c>
      <c r="BK2193" s="2">
        <f t="shared" ca="1" si="2169"/>
        <v>6370003.8676299602</v>
      </c>
    </row>
    <row r="2194" spans="1:63" x14ac:dyDescent="0.3">
      <c r="A2194" s="2">
        <v>2193</v>
      </c>
      <c r="B2194" s="2">
        <f t="shared" ca="1" si="2108"/>
        <v>0.54705638681659674</v>
      </c>
      <c r="C2194" s="2">
        <f t="shared" ca="1" si="2109"/>
        <v>7.0482189188858575</v>
      </c>
      <c r="D2194" s="2">
        <f t="shared" ca="1" si="2110"/>
        <v>0.38513810439213236</v>
      </c>
      <c r="E2194" s="2">
        <f t="shared" ca="1" si="2111"/>
        <v>7.377653809189173</v>
      </c>
      <c r="F2194" s="2">
        <f t="shared" ca="1" si="2112"/>
        <v>0.3255214040345793</v>
      </c>
      <c r="G2194" s="2">
        <f t="shared" ca="1" si="2113"/>
        <v>2.6430580682000288E-2</v>
      </c>
      <c r="H2194" s="2">
        <f t="shared" ca="1" si="2114"/>
        <v>2.6430580682000288E-2</v>
      </c>
      <c r="I2194" s="2">
        <f t="shared" ca="1" si="2115"/>
        <v>4.5308969783548037E-2</v>
      </c>
      <c r="J2194" s="2">
        <f t="shared" ca="1" si="2116"/>
        <v>1.5392647535193999E-3</v>
      </c>
      <c r="K2194" s="2">
        <f t="shared" ca="1" si="2117"/>
        <v>1.5392647535193999E-3</v>
      </c>
      <c r="L2194" s="2">
        <f t="shared" ca="1" si="2118"/>
        <v>0.59207239421509028</v>
      </c>
      <c r="M2194" s="2">
        <f t="shared" ca="1" si="2119"/>
        <v>4.6575839705232536E-3</v>
      </c>
      <c r="N2194" s="2">
        <f t="shared" ca="1" si="2120"/>
        <v>4.6575839705232536E-3</v>
      </c>
      <c r="O2194" s="2">
        <f t="shared" si="2121"/>
        <v>6000000</v>
      </c>
      <c r="P2194" s="2">
        <f t="shared" ca="1" si="2122"/>
        <v>42289313.513315149</v>
      </c>
      <c r="Q2194" s="2">
        <f t="shared" ca="1" si="2123"/>
        <v>1057232.8378328788</v>
      </c>
      <c r="R2194" s="2">
        <f t="shared" ca="1" si="2124"/>
        <v>25373588.107989088</v>
      </c>
      <c r="S2194" s="2">
        <f t="shared" ca="1" si="2125"/>
        <v>16915725.405326061</v>
      </c>
      <c r="T2194" s="2">
        <f t="shared" ca="1" si="2126"/>
        <v>50232879.198526159</v>
      </c>
      <c r="U2194" s="2">
        <f t="shared" ca="1" si="2127"/>
        <v>51560563.365071975</v>
      </c>
      <c r="V2194" s="2">
        <f t="shared" ca="1" si="2128"/>
        <v>52923338.995101891</v>
      </c>
      <c r="W2194" s="2">
        <f t="shared" ca="1" si="2129"/>
        <v>54322133.57637278</v>
      </c>
      <c r="X2194" s="2">
        <f t="shared" ca="1" si="2130"/>
        <v>55757899.110681497</v>
      </c>
      <c r="Y2194" s="2">
        <f t="shared" ca="1" si="2131"/>
        <v>0.12076963237675969</v>
      </c>
      <c r="Z2194" s="2">
        <f t="shared" ca="1" si="2132"/>
        <v>0.12107748532746357</v>
      </c>
      <c r="AA2194" s="2">
        <f t="shared" ca="1" si="2133"/>
        <v>6066606.3540321831</v>
      </c>
      <c r="AB2194" s="2">
        <f t="shared" ca="1" si="2134"/>
        <v>6242823.3543102574</v>
      </c>
      <c r="AC2194" s="2">
        <f t="shared" ca="1" si="2135"/>
        <v>6407824.8006598298</v>
      </c>
      <c r="AD2194" s="2">
        <f t="shared" ca="1" si="2136"/>
        <v>6577187.3310497915</v>
      </c>
      <c r="AE2194" s="2">
        <f t="shared" ca="1" si="2137"/>
        <v>6751026.2114637326</v>
      </c>
      <c r="AF2194" s="2">
        <f t="shared" ca="1" si="2138"/>
        <v>1004657.5839705232</v>
      </c>
      <c r="AG2194" s="2">
        <f t="shared" ca="1" si="2139"/>
        <v>1031211.2673014395</v>
      </c>
      <c r="AH2194" s="2">
        <f t="shared" ca="1" si="2140"/>
        <v>1058466.7799020379</v>
      </c>
      <c r="AI2194" s="2">
        <f t="shared" ca="1" si="2141"/>
        <v>1086442.6715274556</v>
      </c>
      <c r="AJ2194" s="2">
        <f t="shared" ca="1" si="2142"/>
        <v>1115157.9822136299</v>
      </c>
      <c r="AK2194" s="2">
        <f t="shared" ca="1" si="2143"/>
        <v>0</v>
      </c>
      <c r="AL2194" s="2">
        <f t="shared" ca="1" si="2144"/>
        <v>13276.841665458158</v>
      </c>
      <c r="AM2194" s="2">
        <f t="shared" ca="1" si="2145"/>
        <v>13627.756300299168</v>
      </c>
      <c r="AN2194" s="2">
        <f t="shared" ca="1" si="2146"/>
        <v>13987.945812708886</v>
      </c>
      <c r="AO2194" s="2">
        <f t="shared" ca="1" si="2147"/>
        <v>14357.655343087166</v>
      </c>
      <c r="AP2194" s="2">
        <f t="shared" ca="1" si="2148"/>
        <v>2283622.9297190178</v>
      </c>
      <c r="AQ2194" s="2">
        <f t="shared" ca="1" si="2149"/>
        <v>722364.71848908684</v>
      </c>
      <c r="AR2194" s="2">
        <f t="shared" ca="1" si="2150"/>
        <v>761277.18089534808</v>
      </c>
      <c r="AS2194" s="2">
        <f t="shared" ca="1" si="2151"/>
        <v>797091.12367008126</v>
      </c>
      <c r="AT2194" s="2">
        <f t="shared" ca="1" si="2152"/>
        <v>833851.64974886272</v>
      </c>
      <c r="AU2194" s="2">
        <f t="shared" ca="1" si="2153"/>
        <v>871583.77787808224</v>
      </c>
      <c r="AV2194" s="2">
        <f t="shared" ca="1" si="2154"/>
        <v>2055961.1218535546</v>
      </c>
      <c r="AW2194" s="2">
        <f t="shared" ca="1" si="2155"/>
        <v>2153435.1347289942</v>
      </c>
      <c r="AX2194" s="2">
        <f t="shared" ca="1" si="2156"/>
        <v>2255016.2110683927</v>
      </c>
      <c r="AY2194" s="2">
        <f t="shared" ca="1" si="2157"/>
        <v>2359282.1342417467</v>
      </c>
      <c r="AZ2194" s="2">
        <f t="shared" ca="1" si="2158"/>
        <v>2466303.8663099157</v>
      </c>
      <c r="BA2194" s="2">
        <f t="shared" ca="1" si="2159"/>
        <v>49806734.244941361</v>
      </c>
      <c r="BB2194" s="2">
        <f t="shared" ca="1" si="2160"/>
        <v>996134.68489882722</v>
      </c>
      <c r="BC2194" s="2">
        <f t="shared" ca="1" si="2161"/>
        <v>23437011.452053446</v>
      </c>
      <c r="BD2194" s="2">
        <f t="shared" ca="1" si="2162"/>
        <v>-18472958.24315894</v>
      </c>
      <c r="BE2194" s="2">
        <f t="shared" ca="1" si="2163"/>
        <v>2055961.1218535546</v>
      </c>
      <c r="BF2194" s="2">
        <f t="shared" ca="1" si="2164"/>
        <v>2153435.1347289942</v>
      </c>
      <c r="BG2194" s="2">
        <f t="shared" ca="1" si="2165"/>
        <v>2255016.2110683927</v>
      </c>
      <c r="BH2194" s="2">
        <f t="shared" ca="1" si="2166"/>
        <v>2359282.1342417467</v>
      </c>
      <c r="BI2194" s="2">
        <f t="shared" ca="1" si="2167"/>
        <v>25903315.318363361</v>
      </c>
      <c r="BJ2194" s="2">
        <f t="shared" ca="1" si="2168"/>
        <v>0.15970154514380042</v>
      </c>
      <c r="BK2194" s="2">
        <f t="shared" ca="1" si="2169"/>
        <v>2882105.8447258323</v>
      </c>
    </row>
    <row r="2195" spans="1:63" x14ac:dyDescent="0.3">
      <c r="A2195" s="2">
        <v>2194</v>
      </c>
      <c r="B2195" s="2">
        <f t="shared" ca="1" si="2108"/>
        <v>0.71826466446097936</v>
      </c>
      <c r="C2195" s="2">
        <f t="shared" ca="1" si="2109"/>
        <v>7.2493531648784222</v>
      </c>
      <c r="D2195" s="2">
        <f t="shared" ca="1" si="2110"/>
        <v>8.5779673225336195E-2</v>
      </c>
      <c r="E2195" s="2">
        <f t="shared" ca="1" si="2111"/>
        <v>6.9141972313411477</v>
      </c>
      <c r="F2195" s="2">
        <f t="shared" ca="1" si="2112"/>
        <v>0.25868852875687953</v>
      </c>
      <c r="G2195" s="2">
        <f t="shared" ca="1" si="2113"/>
        <v>2.0578183679902839E-2</v>
      </c>
      <c r="H2195" s="2">
        <f t="shared" ca="1" si="2114"/>
        <v>2.0578183679902839E-2</v>
      </c>
      <c r="I2195" s="2">
        <f t="shared" ca="1" si="2115"/>
        <v>0.52052789394668275</v>
      </c>
      <c r="J2195" s="2">
        <f t="shared" ca="1" si="2116"/>
        <v>1.0257392635160671E-2</v>
      </c>
      <c r="K2195" s="2">
        <f t="shared" ca="1" si="2117"/>
        <v>1.0257392635160671E-2</v>
      </c>
      <c r="L2195" s="2">
        <f t="shared" ca="1" si="2118"/>
        <v>0.16804444213450664</v>
      </c>
      <c r="M2195" s="2">
        <f t="shared" ca="1" si="2119"/>
        <v>-1.9238436109368894E-2</v>
      </c>
      <c r="N2195" s="2">
        <f t="shared" ca="1" si="2120"/>
        <v>-1.9238436109368894E-2</v>
      </c>
      <c r="O2195" s="2">
        <f t="shared" si="2121"/>
        <v>6000000</v>
      </c>
      <c r="P2195" s="2">
        <f t="shared" ca="1" si="2122"/>
        <v>43496118.989270531</v>
      </c>
      <c r="Q2195" s="2">
        <f t="shared" ca="1" si="2123"/>
        <v>1087402.9747317634</v>
      </c>
      <c r="R2195" s="2">
        <f t="shared" ca="1" si="2124"/>
        <v>26097671.393562317</v>
      </c>
      <c r="S2195" s="2">
        <f t="shared" ca="1" si="2125"/>
        <v>17398447.595708214</v>
      </c>
      <c r="T2195" s="2">
        <f t="shared" ca="1" si="2126"/>
        <v>49038078.194531552</v>
      </c>
      <c r="U2195" s="2">
        <f t="shared" ca="1" si="2127"/>
        <v>50047192.774928063</v>
      </c>
      <c r="V2195" s="2">
        <f t="shared" ca="1" si="2128"/>
        <v>51077073.100514039</v>
      </c>
      <c r="W2195" s="2">
        <f t="shared" ca="1" si="2129"/>
        <v>52128146.492608242</v>
      </c>
      <c r="X2195" s="2">
        <f t="shared" ca="1" si="2130"/>
        <v>53200849.066026017</v>
      </c>
      <c r="Y2195" s="2">
        <f t="shared" ca="1" si="2131"/>
        <v>0.12512869631758033</v>
      </c>
      <c r="Z2195" s="2">
        <f t="shared" ca="1" si="2132"/>
        <v>0.12718017484461247</v>
      </c>
      <c r="AA2195" s="2">
        <f t="shared" ca="1" si="2133"/>
        <v>6136070.7944012964</v>
      </c>
      <c r="AB2195" s="2">
        <f t="shared" ca="1" si="2134"/>
        <v>6365010.7275973773</v>
      </c>
      <c r="AC2195" s="2">
        <f t="shared" ca="1" si="2135"/>
        <v>6495991.0874744281</v>
      </c>
      <c r="AD2195" s="2">
        <f t="shared" ca="1" si="2136"/>
        <v>6629666.7852554889</v>
      </c>
      <c r="AE2195" s="2">
        <f t="shared" ca="1" si="2137"/>
        <v>6766093.2860990269</v>
      </c>
      <c r="AF2195" s="2">
        <f t="shared" ca="1" si="2138"/>
        <v>980761.56389063108</v>
      </c>
      <c r="AG2195" s="2">
        <f t="shared" ca="1" si="2139"/>
        <v>1000943.8554985613</v>
      </c>
      <c r="AH2195" s="2">
        <f t="shared" ca="1" si="2140"/>
        <v>1021541.4620102808</v>
      </c>
      <c r="AI2195" s="2">
        <f t="shared" ca="1" si="2141"/>
        <v>1042562.9298521648</v>
      </c>
      <c r="AJ2195" s="2">
        <f t="shared" ca="1" si="2142"/>
        <v>1064016.9813205204</v>
      </c>
      <c r="AK2195" s="2">
        <f t="shared" ca="1" si="2143"/>
        <v>0</v>
      </c>
      <c r="AL2195" s="2">
        <f t="shared" ca="1" si="2144"/>
        <v>10091.145803965106</v>
      </c>
      <c r="AM2195" s="2">
        <f t="shared" ca="1" si="2145"/>
        <v>10298.803255859762</v>
      </c>
      <c r="AN2195" s="2">
        <f t="shared" ca="1" si="2146"/>
        <v>10510.733920942024</v>
      </c>
      <c r="AO2195" s="2">
        <f t="shared" ca="1" si="2147"/>
        <v>10727.025734177754</v>
      </c>
      <c r="AP2195" s="2">
        <f t="shared" ca="1" si="2148"/>
        <v>2348790.4254206084</v>
      </c>
      <c r="AQ2195" s="2">
        <f t="shared" ca="1" si="2149"/>
        <v>729694.88932341477</v>
      </c>
      <c r="AR2195" s="2">
        <f t="shared" ca="1" si="2150"/>
        <v>783971.87613633391</v>
      </c>
      <c r="AS2195" s="2">
        <f t="shared" ca="1" si="2151"/>
        <v>812671.3920113201</v>
      </c>
      <c r="AT2195" s="2">
        <f t="shared" ca="1" si="2152"/>
        <v>841961.49179550621</v>
      </c>
      <c r="AU2195" s="2">
        <f t="shared" ca="1" si="2153"/>
        <v>871854.32863305369</v>
      </c>
      <c r="AV2195" s="2">
        <f t="shared" ca="1" si="2154"/>
        <v>2076823.9157666415</v>
      </c>
      <c r="AW2195" s="2">
        <f t="shared" ca="1" si="2155"/>
        <v>2221213.4247379089</v>
      </c>
      <c r="AX2195" s="2">
        <f t="shared" ca="1" si="2156"/>
        <v>2302689.0047763586</v>
      </c>
      <c r="AY2195" s="2">
        <f t="shared" ca="1" si="2157"/>
        <v>2385841.2042662678</v>
      </c>
      <c r="AZ2195" s="2">
        <f t="shared" ca="1" si="2158"/>
        <v>2470704.5249906667</v>
      </c>
      <c r="BA2195" s="2">
        <f t="shared" ca="1" si="2159"/>
        <v>46782103.465741821</v>
      </c>
      <c r="BB2195" s="2">
        <f t="shared" ca="1" si="2160"/>
        <v>935642.06931483641</v>
      </c>
      <c r="BC2195" s="2">
        <f t="shared" ca="1" si="2161"/>
        <v>19748790.002864666</v>
      </c>
      <c r="BD2195" s="2">
        <f t="shared" ca="1" si="2162"/>
        <v>-18985850.570439976</v>
      </c>
      <c r="BE2195" s="2">
        <f t="shared" ca="1" si="2163"/>
        <v>2076823.9157666415</v>
      </c>
      <c r="BF2195" s="2">
        <f t="shared" ca="1" si="2164"/>
        <v>2221213.4247379089</v>
      </c>
      <c r="BG2195" s="2">
        <f t="shared" ca="1" si="2165"/>
        <v>2302689.0047763586</v>
      </c>
      <c r="BH2195" s="2">
        <f t="shared" ca="1" si="2166"/>
        <v>2385841.2042662678</v>
      </c>
      <c r="BI2195" s="2">
        <f t="shared" ca="1" si="2167"/>
        <v>22219494.527855333</v>
      </c>
      <c r="BJ2195" s="2">
        <f t="shared" ca="1" si="2168"/>
        <v>0.1257562116847708</v>
      </c>
      <c r="BK2195" s="2">
        <f t="shared" ca="1" si="2169"/>
        <v>402385.92371287569</v>
      </c>
    </row>
    <row r="2196" spans="1:63" x14ac:dyDescent="0.3">
      <c r="A2196" s="2">
        <v>2195</v>
      </c>
      <c r="B2196" s="2">
        <f t="shared" ca="1" si="2108"/>
        <v>0.336825801485228</v>
      </c>
      <c r="C2196" s="2">
        <f t="shared" ca="1" si="2109"/>
        <v>6.8207628177314419</v>
      </c>
      <c r="D2196" s="2">
        <f t="shared" ca="1" si="2110"/>
        <v>0.2561796046487943</v>
      </c>
      <c r="E2196" s="2">
        <f t="shared" ca="1" si="2111"/>
        <v>7.2157927139176454</v>
      </c>
      <c r="F2196" s="2">
        <f t="shared" ca="1" si="2112"/>
        <v>0.78355893424735135</v>
      </c>
      <c r="G2196" s="2">
        <f t="shared" ca="1" si="2113"/>
        <v>6.3528077867166952E-2</v>
      </c>
      <c r="H2196" s="2">
        <f t="shared" ca="1" si="2114"/>
        <v>6.3528077867166952E-2</v>
      </c>
      <c r="I2196" s="2">
        <f t="shared" ca="1" si="2115"/>
        <v>0.76324512609996087</v>
      </c>
      <c r="J2196" s="2">
        <f t="shared" ca="1" si="2116"/>
        <v>1.3583900862113706E-2</v>
      </c>
      <c r="K2196" s="2">
        <f t="shared" ca="1" si="2117"/>
        <v>1.3583900862113706E-2</v>
      </c>
      <c r="L2196" s="2">
        <f t="shared" ca="1" si="2118"/>
        <v>0.74363091068356324</v>
      </c>
      <c r="M2196" s="2">
        <f t="shared" ca="1" si="2119"/>
        <v>1.3091600799225184E-2</v>
      </c>
      <c r="N2196" s="2">
        <f t="shared" ca="1" si="2120"/>
        <v>1.3091600799225184E-2</v>
      </c>
      <c r="O2196" s="2">
        <f t="shared" si="2121"/>
        <v>6000000</v>
      </c>
      <c r="P2196" s="2">
        <f t="shared" ca="1" si="2122"/>
        <v>40924576.906388648</v>
      </c>
      <c r="Q2196" s="2">
        <f t="shared" ca="1" si="2123"/>
        <v>1023114.4226597162</v>
      </c>
      <c r="R2196" s="2">
        <f t="shared" ca="1" si="2124"/>
        <v>24554746.143833186</v>
      </c>
      <c r="S2196" s="2">
        <f t="shared" ca="1" si="2125"/>
        <v>16369830.76255546</v>
      </c>
      <c r="T2196" s="2">
        <f t="shared" ca="1" si="2126"/>
        <v>50654580.039961264</v>
      </c>
      <c r="U2196" s="2">
        <f t="shared" ca="1" si="2127"/>
        <v>53872568.145068564</v>
      </c>
      <c r="V2196" s="2">
        <f t="shared" ca="1" si="2128"/>
        <v>57294988.849092737</v>
      </c>
      <c r="W2196" s="2">
        <f t="shared" ca="1" si="2129"/>
        <v>60934829.362096362</v>
      </c>
      <c r="X2196" s="2">
        <f t="shared" ca="1" si="2130"/>
        <v>64805901.946634151</v>
      </c>
      <c r="Y2196" s="2">
        <f t="shared" ca="1" si="2131"/>
        <v>0.12679195043105684</v>
      </c>
      <c r="Z2196" s="2">
        <f t="shared" ca="1" si="2132"/>
        <v>0.12950873060347959</v>
      </c>
      <c r="AA2196" s="2">
        <f t="shared" ca="1" si="2133"/>
        <v>6422593.0015327698</v>
      </c>
      <c r="AB2196" s="2">
        <f t="shared" ca="1" si="2134"/>
        <v>6976967.9148172811</v>
      </c>
      <c r="AC2196" s="2">
        <f t="shared" ca="1" si="2135"/>
        <v>7420201.2757865181</v>
      </c>
      <c r="AD2196" s="2">
        <f t="shared" ca="1" si="2136"/>
        <v>7891592.400224736</v>
      </c>
      <c r="AE2196" s="2">
        <f t="shared" ca="1" si="2137"/>
        <v>8392930.0967221558</v>
      </c>
      <c r="AF2196" s="2">
        <f t="shared" ca="1" si="2138"/>
        <v>1013091.6007992253</v>
      </c>
      <c r="AG2196" s="2">
        <f t="shared" ca="1" si="2139"/>
        <v>1077451.3629013712</v>
      </c>
      <c r="AH2196" s="2">
        <f t="shared" ca="1" si="2140"/>
        <v>1145899.7769818548</v>
      </c>
      <c r="AI2196" s="2">
        <f t="shared" ca="1" si="2141"/>
        <v>1218696.5872419272</v>
      </c>
      <c r="AJ2196" s="2">
        <f t="shared" ca="1" si="2142"/>
        <v>1296118.0389326829</v>
      </c>
      <c r="AK2196" s="2">
        <f t="shared" ca="1" si="2143"/>
        <v>0</v>
      </c>
      <c r="AL2196" s="2">
        <f t="shared" ca="1" si="2144"/>
        <v>32179.881051073</v>
      </c>
      <c r="AM2196" s="2">
        <f t="shared" ca="1" si="2145"/>
        <v>34224.20704024173</v>
      </c>
      <c r="AN2196" s="2">
        <f t="shared" ca="1" si="2146"/>
        <v>36398.405130036248</v>
      </c>
      <c r="AO2196" s="2">
        <f t="shared" ca="1" si="2147"/>
        <v>38710.725845377892</v>
      </c>
      <c r="AP2196" s="2">
        <f t="shared" ca="1" si="2148"/>
        <v>2209927.1529449867</v>
      </c>
      <c r="AQ2196" s="2">
        <f t="shared" ca="1" si="2149"/>
        <v>831889.30442502501</v>
      </c>
      <c r="AR2196" s="2">
        <f t="shared" ca="1" si="2150"/>
        <v>959293.24373244017</v>
      </c>
      <c r="AS2196" s="2">
        <f t="shared" ca="1" si="2151"/>
        <v>1056737.3299235159</v>
      </c>
      <c r="AT2196" s="2">
        <f t="shared" ca="1" si="2152"/>
        <v>1160371.8516098338</v>
      </c>
      <c r="AU2196" s="2">
        <f t="shared" ca="1" si="2153"/>
        <v>1270590.0752595665</v>
      </c>
      <c r="AV2196" s="2">
        <f t="shared" ca="1" si="2154"/>
        <v>2367684.9433635324</v>
      </c>
      <c r="AW2196" s="2">
        <f t="shared" ca="1" si="2155"/>
        <v>2698116.2741874103</v>
      </c>
      <c r="AX2196" s="2">
        <f t="shared" ca="1" si="2156"/>
        <v>2973412.8088959185</v>
      </c>
      <c r="AY2196" s="2">
        <f t="shared" ca="1" si="2157"/>
        <v>3266198.4032979524</v>
      </c>
      <c r="AZ2196" s="2">
        <f t="shared" ca="1" si="2158"/>
        <v>3577584.103739542</v>
      </c>
      <c r="BA2196" s="2">
        <f t="shared" ca="1" si="2159"/>
        <v>60561643.840347849</v>
      </c>
      <c r="BB2196" s="2">
        <f t="shared" ca="1" si="2160"/>
        <v>1211232.8768069569</v>
      </c>
      <c r="BC2196" s="2">
        <f t="shared" ca="1" si="2161"/>
        <v>34795664.819707707</v>
      </c>
      <c r="BD2196" s="2">
        <f t="shared" ca="1" si="2162"/>
        <v>-17892945.185215175</v>
      </c>
      <c r="BE2196" s="2">
        <f t="shared" ca="1" si="2163"/>
        <v>2367684.9433635324</v>
      </c>
      <c r="BF2196" s="2">
        <f t="shared" ca="1" si="2164"/>
        <v>2698116.2741874103</v>
      </c>
      <c r="BG2196" s="2">
        <f t="shared" ca="1" si="2165"/>
        <v>2973412.8088959185</v>
      </c>
      <c r="BH2196" s="2">
        <f t="shared" ca="1" si="2166"/>
        <v>3266198.4032979524</v>
      </c>
      <c r="BI2196" s="2">
        <f t="shared" ca="1" si="2167"/>
        <v>38373248.923447251</v>
      </c>
      <c r="BJ2196" s="2">
        <f t="shared" ca="1" si="2168"/>
        <v>0.2694079633747366</v>
      </c>
      <c r="BK2196" s="2">
        <f t="shared" ca="1" si="2169"/>
        <v>12338137.622464377</v>
      </c>
    </row>
    <row r="2197" spans="1:63" x14ac:dyDescent="0.3">
      <c r="A2197" s="2">
        <v>2196</v>
      </c>
      <c r="B2197" s="2">
        <f t="shared" ca="1" si="2108"/>
        <v>0.25590330356616819</v>
      </c>
      <c r="C2197" s="2">
        <f t="shared" ca="1" si="2109"/>
        <v>6.7154066026619663</v>
      </c>
      <c r="D2197" s="2">
        <f t="shared" ca="1" si="2110"/>
        <v>0.96779960065831905</v>
      </c>
      <c r="E2197" s="2">
        <f t="shared" ca="1" si="2111"/>
        <v>8.2462268755692172</v>
      </c>
      <c r="F2197" s="2">
        <f t="shared" ca="1" si="2112"/>
        <v>0.79979089974266493</v>
      </c>
      <c r="G2197" s="2">
        <f t="shared" ca="1" si="2113"/>
        <v>6.5226237398260278E-2</v>
      </c>
      <c r="H2197" s="2">
        <f t="shared" ca="1" si="2114"/>
        <v>6.5226237398260278E-2</v>
      </c>
      <c r="I2197" s="2">
        <f t="shared" ca="1" si="2115"/>
        <v>0.15541260030965831</v>
      </c>
      <c r="J2197" s="2">
        <f t="shared" ca="1" si="2116"/>
        <v>4.9325398450520653E-3</v>
      </c>
      <c r="K2197" s="2">
        <f t="shared" ca="1" si="2117"/>
        <v>4.9325398450520653E-3</v>
      </c>
      <c r="L2197" s="2">
        <f t="shared" ca="1" si="2118"/>
        <v>0.40943167635886979</v>
      </c>
      <c r="M2197" s="2">
        <f t="shared" ca="1" si="2119"/>
        <v>-4.5801431589820654E-3</v>
      </c>
      <c r="N2197" s="2">
        <f t="shared" ca="1" si="2120"/>
        <v>-4.5801431589820654E-3</v>
      </c>
      <c r="O2197" s="2">
        <f t="shared" si="2121"/>
        <v>6000000</v>
      </c>
      <c r="P2197" s="2">
        <f t="shared" ca="1" si="2122"/>
        <v>40292439.615971796</v>
      </c>
      <c r="Q2197" s="2">
        <f t="shared" ca="1" si="2123"/>
        <v>1007310.990399295</v>
      </c>
      <c r="R2197" s="2">
        <f t="shared" ca="1" si="2124"/>
        <v>24175463.769583076</v>
      </c>
      <c r="S2197" s="2">
        <f t="shared" ca="1" si="2125"/>
        <v>16116975.84638872</v>
      </c>
      <c r="T2197" s="2">
        <f t="shared" ca="1" si="2126"/>
        <v>49770992.842050895</v>
      </c>
      <c r="U2197" s="2">
        <f t="shared" ca="1" si="2127"/>
        <v>53017367.436713614</v>
      </c>
      <c r="V2197" s="2">
        <f t="shared" ca="1" si="2128"/>
        <v>56475490.831371486</v>
      </c>
      <c r="W2197" s="2">
        <f t="shared" ca="1" si="2129"/>
        <v>60159174.603521787</v>
      </c>
      <c r="X2197" s="2">
        <f t="shared" ca="1" si="2130"/>
        <v>64083131.207894482</v>
      </c>
      <c r="Y2197" s="2">
        <f t="shared" ca="1" si="2131"/>
        <v>0.12246626992252603</v>
      </c>
      <c r="Z2197" s="2">
        <f t="shared" ca="1" si="2132"/>
        <v>0.12345277789153644</v>
      </c>
      <c r="AA2197" s="2">
        <f t="shared" ca="1" si="2133"/>
        <v>6095267.8437067159</v>
      </c>
      <c r="AB2197" s="2">
        <f t="shared" ca="1" si="2134"/>
        <v>6545141.2865585824</v>
      </c>
      <c r="AC2197" s="2">
        <f t="shared" ca="1" si="2135"/>
        <v>6972056.2259208066</v>
      </c>
      <c r="AD2197" s="2">
        <f t="shared" ca="1" si="2136"/>
        <v>7426817.2204667348</v>
      </c>
      <c r="AE2197" s="2">
        <f t="shared" ca="1" si="2137"/>
        <v>7911240.5636023851</v>
      </c>
      <c r="AF2197" s="2">
        <f t="shared" ca="1" si="2138"/>
        <v>995419.85684101796</v>
      </c>
      <c r="AG2197" s="2">
        <f t="shared" ca="1" si="2139"/>
        <v>1060347.3487342722</v>
      </c>
      <c r="AH2197" s="2">
        <f t="shared" ca="1" si="2140"/>
        <v>1129509.8166274298</v>
      </c>
      <c r="AI2197" s="2">
        <f t="shared" ca="1" si="2141"/>
        <v>1203183.4920704358</v>
      </c>
      <c r="AJ2197" s="2">
        <f t="shared" ca="1" si="2142"/>
        <v>1281662.6241578897</v>
      </c>
      <c r="AK2197" s="2">
        <f t="shared" ca="1" si="2143"/>
        <v>0</v>
      </c>
      <c r="AL2197" s="2">
        <f t="shared" ca="1" si="2144"/>
        <v>32463.745946627187</v>
      </c>
      <c r="AM2197" s="2">
        <f t="shared" ca="1" si="2145"/>
        <v>34581.23394657873</v>
      </c>
      <c r="AN2197" s="2">
        <f t="shared" ca="1" si="2146"/>
        <v>36836.837721503005</v>
      </c>
      <c r="AO2197" s="2">
        <f t="shared" ca="1" si="2147"/>
        <v>39239.566043726954</v>
      </c>
      <c r="AP2197" s="2">
        <f t="shared" ca="1" si="2148"/>
        <v>2175791.7392624766</v>
      </c>
      <c r="AQ2197" s="2">
        <f t="shared" ca="1" si="2149"/>
        <v>760254.6243768374</v>
      </c>
      <c r="AR2197" s="2">
        <f t="shared" ca="1" si="2150"/>
        <v>860340.57162607694</v>
      </c>
      <c r="AS2197" s="2">
        <f t="shared" ca="1" si="2151"/>
        <v>953356.2142080341</v>
      </c>
      <c r="AT2197" s="2">
        <f t="shared" ca="1" si="2152"/>
        <v>1052438.917174794</v>
      </c>
      <c r="AU2197" s="2">
        <f t="shared" ca="1" si="2153"/>
        <v>1157984.4120473249</v>
      </c>
      <c r="AV2197" s="2">
        <f t="shared" ca="1" si="2154"/>
        <v>2163801.6232263837</v>
      </c>
      <c r="AW2197" s="2">
        <f t="shared" ca="1" si="2155"/>
        <v>2416197.8809891306</v>
      </c>
      <c r="AX2197" s="2">
        <f t="shared" ca="1" si="2156"/>
        <v>2678817.2218762878</v>
      </c>
      <c r="AY2197" s="2">
        <f t="shared" ca="1" si="2157"/>
        <v>2958566.2342375256</v>
      </c>
      <c r="AZ2197" s="2">
        <f t="shared" ca="1" si="2158"/>
        <v>3256562.222090967</v>
      </c>
      <c r="BA2197" s="2">
        <f t="shared" ca="1" si="2159"/>
        <v>65237884.554671347</v>
      </c>
      <c r="BB2197" s="2">
        <f t="shared" ca="1" si="2160"/>
        <v>1304757.6910934269</v>
      </c>
      <c r="BC2197" s="2">
        <f t="shared" ca="1" si="2161"/>
        <v>39757663.093994841</v>
      </c>
      <c r="BD2197" s="2">
        <f t="shared" ca="1" si="2162"/>
        <v>-17624286.836788014</v>
      </c>
      <c r="BE2197" s="2">
        <f t="shared" ca="1" si="2163"/>
        <v>2163801.6232263837</v>
      </c>
      <c r="BF2197" s="2">
        <f t="shared" ca="1" si="2164"/>
        <v>2416197.8809891306</v>
      </c>
      <c r="BG2197" s="2">
        <f t="shared" ca="1" si="2165"/>
        <v>2678817.2218762878</v>
      </c>
      <c r="BH2197" s="2">
        <f t="shared" ca="1" si="2166"/>
        <v>2958566.2342375256</v>
      </c>
      <c r="BI2197" s="2">
        <f t="shared" ca="1" si="2167"/>
        <v>43014225.316085808</v>
      </c>
      <c r="BJ2197" s="2">
        <f t="shared" ca="1" si="2168"/>
        <v>0.28757329182397884</v>
      </c>
      <c r="BK2197" s="2">
        <f t="shared" ca="1" si="2169"/>
        <v>14428235.19223975</v>
      </c>
    </row>
    <row r="2198" spans="1:63" x14ac:dyDescent="0.3">
      <c r="A2198" s="2">
        <v>2197</v>
      </c>
      <c r="B2198" s="2">
        <f t="shared" ca="1" si="2108"/>
        <v>0.36243214649859556</v>
      </c>
      <c r="C2198" s="2">
        <f t="shared" ca="1" si="2109"/>
        <v>6.8513896246708619</v>
      </c>
      <c r="D2198" s="2">
        <f t="shared" ca="1" si="2110"/>
        <v>0.36926884216479094</v>
      </c>
      <c r="E2198" s="2">
        <f t="shared" ca="1" si="2111"/>
        <v>7.3593821526710812</v>
      </c>
      <c r="F2198" s="2">
        <f t="shared" ca="1" si="2112"/>
        <v>0.22321606341277966</v>
      </c>
      <c r="G2198" s="2">
        <f t="shared" ca="1" si="2113"/>
        <v>1.7158700337318471E-2</v>
      </c>
      <c r="H2198" s="2">
        <f t="shared" ca="1" si="2114"/>
        <v>1.7158700337318471E-2</v>
      </c>
      <c r="I2198" s="2">
        <f t="shared" ca="1" si="2115"/>
        <v>0.59930473339073831</v>
      </c>
      <c r="J2198" s="2">
        <f t="shared" ca="1" si="2116"/>
        <v>1.125773950207817E-2</v>
      </c>
      <c r="K2198" s="2">
        <f t="shared" ca="1" si="2117"/>
        <v>1.125773950207817E-2</v>
      </c>
      <c r="L2198" s="2">
        <f t="shared" ca="1" si="2118"/>
        <v>0.85199920623338665</v>
      </c>
      <c r="M2198" s="2">
        <f t="shared" ca="1" si="2119"/>
        <v>2.0900925291900144E-2</v>
      </c>
      <c r="N2198" s="2">
        <f t="shared" ca="1" si="2120"/>
        <v>2.0900925291900144E-2</v>
      </c>
      <c r="O2198" s="2">
        <f t="shared" si="2121"/>
        <v>6000000</v>
      </c>
      <c r="P2198" s="2">
        <f t="shared" ca="1" si="2122"/>
        <v>41108337.748025171</v>
      </c>
      <c r="Q2198" s="2">
        <f t="shared" ca="1" si="2123"/>
        <v>1027708.4437006293</v>
      </c>
      <c r="R2198" s="2">
        <f t="shared" ca="1" si="2124"/>
        <v>24665002.648815103</v>
      </c>
      <c r="S2198" s="2">
        <f t="shared" ca="1" si="2125"/>
        <v>16443335.099210069</v>
      </c>
      <c r="T2198" s="2">
        <f t="shared" ca="1" si="2126"/>
        <v>51045046.264595009</v>
      </c>
      <c r="U2198" s="2">
        <f t="shared" ca="1" si="2127"/>
        <v>51920912.917153746</v>
      </c>
      <c r="V2198" s="2">
        <f t="shared" ca="1" si="2128"/>
        <v>52811808.303139187</v>
      </c>
      <c r="W2198" s="2">
        <f t="shared" ca="1" si="2129"/>
        <v>53717990.296084657</v>
      </c>
      <c r="X2198" s="2">
        <f t="shared" ca="1" si="2130"/>
        <v>54639721.194298148</v>
      </c>
      <c r="Y2198" s="2">
        <f t="shared" ca="1" si="2131"/>
        <v>0.12562886975103907</v>
      </c>
      <c r="Z2198" s="2">
        <f t="shared" ca="1" si="2132"/>
        <v>0.12788041765145472</v>
      </c>
      <c r="AA2198" s="2">
        <f t="shared" ca="1" si="2133"/>
        <v>6412731.4686105698</v>
      </c>
      <c r="AB2198" s="2">
        <f t="shared" ca="1" si="2134"/>
        <v>6639668.0286904313</v>
      </c>
      <c r="AC2198" s="2">
        <f t="shared" ca="1" si="2135"/>
        <v>6753596.1027340032</v>
      </c>
      <c r="AD2198" s="2">
        <f t="shared" ca="1" si="2136"/>
        <v>6869479.0344600976</v>
      </c>
      <c r="AE2198" s="2">
        <f t="shared" ca="1" si="2137"/>
        <v>6987350.3666858897</v>
      </c>
      <c r="AF2198" s="2">
        <f t="shared" ca="1" si="2138"/>
        <v>1020900.9252919002</v>
      </c>
      <c r="AG2198" s="2">
        <f t="shared" ca="1" si="2139"/>
        <v>1038418.2583430749</v>
      </c>
      <c r="AH2198" s="2">
        <f t="shared" ca="1" si="2140"/>
        <v>1056236.1660627837</v>
      </c>
      <c r="AI2198" s="2">
        <f t="shared" ca="1" si="2141"/>
        <v>1074359.8059216931</v>
      </c>
      <c r="AJ2198" s="2">
        <f t="shared" ca="1" si="2142"/>
        <v>1092794.4238859629</v>
      </c>
      <c r="AK2198" s="2">
        <f t="shared" ca="1" si="2143"/>
        <v>0</v>
      </c>
      <c r="AL2198" s="2">
        <f t="shared" ca="1" si="2144"/>
        <v>8758.666525587365</v>
      </c>
      <c r="AM2198" s="2">
        <f t="shared" ca="1" si="2145"/>
        <v>8908.953859854415</v>
      </c>
      <c r="AN2198" s="2">
        <f t="shared" ca="1" si="2146"/>
        <v>9061.8199294546994</v>
      </c>
      <c r="AO2198" s="2">
        <f t="shared" ca="1" si="2147"/>
        <v>9217.3089821349095</v>
      </c>
      <c r="AP2198" s="2">
        <f t="shared" ca="1" si="2148"/>
        <v>2219850.2383933594</v>
      </c>
      <c r="AQ2198" s="2">
        <f t="shared" ca="1" si="2149"/>
        <v>824714.87928058067</v>
      </c>
      <c r="AR2198" s="2">
        <f t="shared" ca="1" si="2150"/>
        <v>879163.87830803939</v>
      </c>
      <c r="AS2198" s="2">
        <f t="shared" ca="1" si="2151"/>
        <v>904152.52155224374</v>
      </c>
      <c r="AT2198" s="2">
        <f t="shared" ca="1" si="2152"/>
        <v>929569.93743771175</v>
      </c>
      <c r="AU2198" s="2">
        <f t="shared" ca="1" si="2153"/>
        <v>955423.48314570752</v>
      </c>
      <c r="AV2198" s="2">
        <f t="shared" ca="1" si="2154"/>
        <v>2347265.4256447288</v>
      </c>
      <c r="AW2198" s="2">
        <f t="shared" ca="1" si="2155"/>
        <v>2493476.9871203708</v>
      </c>
      <c r="AX2198" s="2">
        <f t="shared" ca="1" si="2156"/>
        <v>2564448.2228657617</v>
      </c>
      <c r="AY2198" s="2">
        <f t="shared" ca="1" si="2157"/>
        <v>2636637.2327778782</v>
      </c>
      <c r="AZ2198" s="2">
        <f t="shared" ca="1" si="2158"/>
        <v>2710064.9122787253</v>
      </c>
      <c r="BA2198" s="2">
        <f t="shared" ca="1" si="2159"/>
        <v>51422581.583047874</v>
      </c>
      <c r="BB2198" s="2">
        <f t="shared" ca="1" si="2160"/>
        <v>1028451.6316609575</v>
      </c>
      <c r="BC2198" s="2">
        <f t="shared" ca="1" si="2161"/>
        <v>25729127.302571815</v>
      </c>
      <c r="BD2198" s="2">
        <f t="shared" ca="1" si="2162"/>
        <v>-17971043.542910699</v>
      </c>
      <c r="BE2198" s="2">
        <f t="shared" ca="1" si="2163"/>
        <v>2347265.4256447288</v>
      </c>
      <c r="BF2198" s="2">
        <f t="shared" ca="1" si="2164"/>
        <v>2493476.9871203708</v>
      </c>
      <c r="BG2198" s="2">
        <f t="shared" ca="1" si="2165"/>
        <v>2564448.2228657617</v>
      </c>
      <c r="BH2198" s="2">
        <f t="shared" ca="1" si="2166"/>
        <v>2636637.2327778782</v>
      </c>
      <c r="BI2198" s="2">
        <f t="shared" ca="1" si="2167"/>
        <v>28439192.214850541</v>
      </c>
      <c r="BJ2198" s="2">
        <f t="shared" ca="1" si="2168"/>
        <v>0.1983627009921054</v>
      </c>
      <c r="BK2198" s="2">
        <f t="shared" ca="1" si="2169"/>
        <v>5750629.3833557218</v>
      </c>
    </row>
    <row r="2199" spans="1:63" x14ac:dyDescent="0.3">
      <c r="A2199" s="2">
        <v>2198</v>
      </c>
      <c r="B2199" s="2">
        <f t="shared" ca="1" si="2108"/>
        <v>0.20603452381736542</v>
      </c>
      <c r="C2199" s="2">
        <f t="shared" ca="1" si="2109"/>
        <v>6.6419260453001812</v>
      </c>
      <c r="D2199" s="2">
        <f t="shared" ca="1" si="2110"/>
        <v>0.33001432403225617</v>
      </c>
      <c r="E2199" s="2">
        <f t="shared" ca="1" si="2111"/>
        <v>7.3124214719371423</v>
      </c>
      <c r="F2199" s="2">
        <f t="shared" ca="1" si="2112"/>
        <v>0.97653871040413087</v>
      </c>
      <c r="G2199" s="2">
        <f t="shared" ca="1" si="2113"/>
        <v>9.9609950635988723E-2</v>
      </c>
      <c r="H2199" s="2">
        <f t="shared" ca="1" si="2114"/>
        <v>9.9609950635988723E-2</v>
      </c>
      <c r="I2199" s="2">
        <f t="shared" ca="1" si="2115"/>
        <v>0.14336043036632173</v>
      </c>
      <c r="J2199" s="2">
        <f t="shared" ca="1" si="2116"/>
        <v>4.6732863264861736E-3</v>
      </c>
      <c r="K2199" s="2">
        <f t="shared" ca="1" si="2117"/>
        <v>4.6732863264861736E-3</v>
      </c>
      <c r="L2199" s="2">
        <f t="shared" ca="1" si="2118"/>
        <v>0.63320762911051254</v>
      </c>
      <c r="M2199" s="2">
        <f t="shared" ca="1" si="2119"/>
        <v>6.807218486215451E-3</v>
      </c>
      <c r="N2199" s="2">
        <f t="shared" ca="1" si="2120"/>
        <v>6.807218486215451E-3</v>
      </c>
      <c r="O2199" s="2">
        <f t="shared" si="2121"/>
        <v>6000000</v>
      </c>
      <c r="P2199" s="2">
        <f t="shared" ca="1" si="2122"/>
        <v>39851556.271801084</v>
      </c>
      <c r="Q2199" s="2">
        <f t="shared" ca="1" si="2123"/>
        <v>996288.9067950272</v>
      </c>
      <c r="R2199" s="2">
        <f t="shared" ca="1" si="2124"/>
        <v>23910933.763080649</v>
      </c>
      <c r="S2199" s="2">
        <f t="shared" ca="1" si="2125"/>
        <v>15940622.508720435</v>
      </c>
      <c r="T2199" s="2">
        <f t="shared" ca="1" si="2126"/>
        <v>50340360.924310766</v>
      </c>
      <c r="U2199" s="2">
        <f t="shared" ca="1" si="2127"/>
        <v>55354761.790979214</v>
      </c>
      <c r="V2199" s="2">
        <f t="shared" ca="1" si="2128"/>
        <v>60868646.880445562</v>
      </c>
      <c r="W2199" s="2">
        <f t="shared" ca="1" si="2129"/>
        <v>66931769.791486166</v>
      </c>
      <c r="X2199" s="2">
        <f t="shared" ca="1" si="2130"/>
        <v>73598840.076395467</v>
      </c>
      <c r="Y2199" s="2">
        <f t="shared" ca="1" si="2131"/>
        <v>0.12233664316324308</v>
      </c>
      <c r="Z2199" s="2">
        <f t="shared" ca="1" si="2132"/>
        <v>0.12327130042854031</v>
      </c>
      <c r="AA2199" s="2">
        <f t="shared" ca="1" si="2133"/>
        <v>6158470.771106272</v>
      </c>
      <c r="AB2199" s="2">
        <f t="shared" ca="1" si="2134"/>
        <v>6823653.4708860833</v>
      </c>
      <c r="AC2199" s="2">
        <f t="shared" ca="1" si="2135"/>
        <v>7503357.2562781377</v>
      </c>
      <c r="AD2199" s="2">
        <f t="shared" ca="1" si="2136"/>
        <v>8250766.3021801906</v>
      </c>
      <c r="AE2199" s="2">
        <f t="shared" ca="1" si="2137"/>
        <v>9072624.7262494378</v>
      </c>
      <c r="AF2199" s="2">
        <f t="shared" ca="1" si="2138"/>
        <v>1006807.2184862153</v>
      </c>
      <c r="AG2199" s="2">
        <f t="shared" ca="1" si="2139"/>
        <v>1107095.2358195842</v>
      </c>
      <c r="AH2199" s="2">
        <f t="shared" ca="1" si="2140"/>
        <v>1217372.9376089112</v>
      </c>
      <c r="AI2199" s="2">
        <f t="shared" ca="1" si="2141"/>
        <v>1338635.3958297234</v>
      </c>
      <c r="AJ2199" s="2">
        <f t="shared" ca="1" si="2142"/>
        <v>1471976.8015279095</v>
      </c>
      <c r="AK2199" s="2">
        <f t="shared" ca="1" si="2143"/>
        <v>0</v>
      </c>
      <c r="AL2199" s="2">
        <f t="shared" ca="1" si="2144"/>
        <v>50144.00866668448</v>
      </c>
      <c r="AM2199" s="2">
        <f t="shared" ca="1" si="2145"/>
        <v>55138.850894663483</v>
      </c>
      <c r="AN2199" s="2">
        <f t="shared" ca="1" si="2146"/>
        <v>60631.229110406042</v>
      </c>
      <c r="AO2199" s="2">
        <f t="shared" ca="1" si="2147"/>
        <v>66670.70284909301</v>
      </c>
      <c r="AP2199" s="2">
        <f t="shared" ca="1" si="2148"/>
        <v>2151984.0386772584</v>
      </c>
      <c r="AQ2199" s="2">
        <f t="shared" ca="1" si="2149"/>
        <v>779916.67362512765</v>
      </c>
      <c r="AR2199" s="2">
        <f t="shared" ca="1" si="2150"/>
        <v>926789.29106120276</v>
      </c>
      <c r="AS2199" s="2">
        <f t="shared" ca="1" si="2151"/>
        <v>1074840.0727979117</v>
      </c>
      <c r="AT2199" s="2">
        <f t="shared" ca="1" si="2152"/>
        <v>1237638.1855950344</v>
      </c>
      <c r="AU2199" s="2">
        <f t="shared" ca="1" si="2153"/>
        <v>1416652.61037151</v>
      </c>
      <c r="AV2199" s="2">
        <f t="shared" ca="1" si="2154"/>
        <v>2219762.8403176712</v>
      </c>
      <c r="AW2199" s="2">
        <f t="shared" ca="1" si="2155"/>
        <v>2587640.8966613533</v>
      </c>
      <c r="AX2199" s="2">
        <f t="shared" ca="1" si="2156"/>
        <v>3004021.3562993929</v>
      </c>
      <c r="AY2199" s="2">
        <f t="shared" ca="1" si="2157"/>
        <v>3461877.4529677685</v>
      </c>
      <c r="AZ2199" s="2">
        <f t="shared" ca="1" si="2158"/>
        <v>3965340.572823666</v>
      </c>
      <c r="BA2199" s="2">
        <f t="shared" ca="1" si="2159"/>
        <v>66342855.855054229</v>
      </c>
      <c r="BB2199" s="2">
        <f t="shared" ca="1" si="2160"/>
        <v>1326857.1171010847</v>
      </c>
      <c r="BC2199" s="2">
        <f t="shared" ca="1" si="2161"/>
        <v>41105064.974872492</v>
      </c>
      <c r="BD2199" s="2">
        <f t="shared" ca="1" si="2162"/>
        <v>-17436911.415515464</v>
      </c>
      <c r="BE2199" s="2">
        <f t="shared" ca="1" si="2163"/>
        <v>2219762.8403176712</v>
      </c>
      <c r="BF2199" s="2">
        <f t="shared" ca="1" si="2164"/>
        <v>2587640.8966613533</v>
      </c>
      <c r="BG2199" s="2">
        <f t="shared" ca="1" si="2165"/>
        <v>3004021.3562993929</v>
      </c>
      <c r="BH2199" s="2">
        <f t="shared" ca="1" si="2166"/>
        <v>3461877.4529677685</v>
      </c>
      <c r="BI2199" s="2">
        <f t="shared" ca="1" si="2167"/>
        <v>45070405.547696158</v>
      </c>
      <c r="BJ2199" s="2">
        <f t="shared" ca="1" si="2168"/>
        <v>0.30926564631623643</v>
      </c>
      <c r="BK2199" s="2">
        <f t="shared" ca="1" si="2169"/>
        <v>16520318.449928079</v>
      </c>
    </row>
    <row r="2200" spans="1:63" x14ac:dyDescent="0.3">
      <c r="A2200" s="2">
        <v>2199</v>
      </c>
      <c r="B2200" s="2">
        <f t="shared" ca="1" si="2108"/>
        <v>0.75592759936524789</v>
      </c>
      <c r="C2200" s="2">
        <f t="shared" ca="1" si="2109"/>
        <v>7.3013263986169905</v>
      </c>
      <c r="D2200" s="2">
        <f t="shared" ca="1" si="2110"/>
        <v>0.37444891647815648</v>
      </c>
      <c r="E2200" s="2">
        <f t="shared" ca="1" si="2111"/>
        <v>7.3653888333901198</v>
      </c>
      <c r="F2200" s="2">
        <f t="shared" ca="1" si="2112"/>
        <v>7.2910188769757411E-2</v>
      </c>
      <c r="G2200" s="2">
        <f t="shared" ca="1" si="2113"/>
        <v>-3.6336308731188954E-3</v>
      </c>
      <c r="H2200" s="2">
        <f t="shared" ca="1" si="2114"/>
        <v>-3.6336308731188954E-3</v>
      </c>
      <c r="I2200" s="2">
        <f t="shared" ca="1" si="2115"/>
        <v>0.26235630966376411</v>
      </c>
      <c r="J2200" s="2">
        <f t="shared" ca="1" si="2116"/>
        <v>6.8195105394098666E-3</v>
      </c>
      <c r="K2200" s="2">
        <f t="shared" ca="1" si="2117"/>
        <v>6.8195105394098666E-3</v>
      </c>
      <c r="L2200" s="2">
        <f t="shared" ca="1" si="2118"/>
        <v>0.49296589097692056</v>
      </c>
      <c r="M2200" s="2">
        <f t="shared" ca="1" si="2119"/>
        <v>-3.5265620483877584E-4</v>
      </c>
      <c r="N2200" s="2">
        <f t="shared" ca="1" si="2120"/>
        <v>-3.5265620483877584E-4</v>
      </c>
      <c r="O2200" s="2">
        <f t="shared" si="2121"/>
        <v>6000000</v>
      </c>
      <c r="P2200" s="2">
        <f t="shared" ca="1" si="2122"/>
        <v>43807958.391701944</v>
      </c>
      <c r="Q2200" s="2">
        <f t="shared" ca="1" si="2123"/>
        <v>1095198.9597925486</v>
      </c>
      <c r="R2200" s="2">
        <f t="shared" ca="1" si="2124"/>
        <v>26284775.035021167</v>
      </c>
      <c r="S2200" s="2">
        <f t="shared" ca="1" si="2125"/>
        <v>17523183.356680777</v>
      </c>
      <c r="T2200" s="2">
        <f t="shared" ca="1" si="2126"/>
        <v>49982367.189758062</v>
      </c>
      <c r="U2200" s="2">
        <f t="shared" ca="1" si="2127"/>
        <v>49800749.717225797</v>
      </c>
      <c r="V2200" s="2">
        <f t="shared" ca="1" si="2128"/>
        <v>49619792.175548822</v>
      </c>
      <c r="W2200" s="2">
        <f t="shared" ca="1" si="2129"/>
        <v>49439492.166782007</v>
      </c>
      <c r="X2200" s="2">
        <f t="shared" ca="1" si="2130"/>
        <v>49259847.301693469</v>
      </c>
      <c r="Y2200" s="2">
        <f t="shared" ca="1" si="2131"/>
        <v>0.12340975526970493</v>
      </c>
      <c r="Z2200" s="2">
        <f t="shared" ca="1" si="2132"/>
        <v>0.1247736573775869</v>
      </c>
      <c r="AA2200" s="2">
        <f t="shared" ca="1" si="2133"/>
        <v>6168311.702688572</v>
      </c>
      <c r="AB2200" s="2">
        <f t="shared" ca="1" si="2134"/>
        <v>6213821.6823640894</v>
      </c>
      <c r="AC2200" s="2">
        <f t="shared" ca="1" si="2135"/>
        <v>6191242.9480589963</v>
      </c>
      <c r="AD2200" s="2">
        <f t="shared" ca="1" si="2136"/>
        <v>6168746.2565399492</v>
      </c>
      <c r="AE2200" s="2">
        <f t="shared" ca="1" si="2137"/>
        <v>6146331.30969375</v>
      </c>
      <c r="AF2200" s="2">
        <f t="shared" ca="1" si="2138"/>
        <v>999647.34379516123</v>
      </c>
      <c r="AG2200" s="2">
        <f t="shared" ca="1" si="2139"/>
        <v>996014.99434451596</v>
      </c>
      <c r="AH2200" s="2">
        <f t="shared" ca="1" si="2140"/>
        <v>992395.84351097641</v>
      </c>
      <c r="AI2200" s="2">
        <f t="shared" ca="1" si="2141"/>
        <v>988789.84333564015</v>
      </c>
      <c r="AJ2200" s="2">
        <f t="shared" ca="1" si="2142"/>
        <v>985196.9460338694</v>
      </c>
      <c r="AK2200" s="2">
        <f t="shared" ca="1" si="2143"/>
        <v>0</v>
      </c>
      <c r="AL2200" s="2">
        <f t="shared" ca="1" si="2144"/>
        <v>0</v>
      </c>
      <c r="AM2200" s="2">
        <f t="shared" ca="1" si="2145"/>
        <v>0</v>
      </c>
      <c r="AN2200" s="2">
        <f t="shared" ca="1" si="2146"/>
        <v>0</v>
      </c>
      <c r="AO2200" s="2">
        <f t="shared" ca="1" si="2147"/>
        <v>0</v>
      </c>
      <c r="AP2200" s="2">
        <f t="shared" ca="1" si="2148"/>
        <v>2365629.7531519048</v>
      </c>
      <c r="AQ2200" s="2">
        <f t="shared" ca="1" si="2149"/>
        <v>728788.99749279174</v>
      </c>
      <c r="AR2200" s="2">
        <f t="shared" ca="1" si="2150"/>
        <v>741566.00306559389</v>
      </c>
      <c r="AS2200" s="2">
        <f t="shared" ca="1" si="2151"/>
        <v>736636.51136299002</v>
      </c>
      <c r="AT2200" s="2">
        <f t="shared" ca="1" si="2152"/>
        <v>731724.93161362503</v>
      </c>
      <c r="AU2200" s="2">
        <f t="shared" ca="1" si="2153"/>
        <v>726831.19873207388</v>
      </c>
      <c r="AV2200" s="2">
        <f t="shared" ca="1" si="2154"/>
        <v>2074245.6082487144</v>
      </c>
      <c r="AW2200" s="2">
        <f t="shared" ca="1" si="2155"/>
        <v>2110610.9318020754</v>
      </c>
      <c r="AX2200" s="2">
        <f t="shared" ca="1" si="2156"/>
        <v>2096580.8400331251</v>
      </c>
      <c r="AY2200" s="2">
        <f t="shared" ca="1" si="2157"/>
        <v>2082601.7284387788</v>
      </c>
      <c r="AZ2200" s="2">
        <f t="shared" ca="1" si="2158"/>
        <v>2068673.4117759019</v>
      </c>
      <c r="BA2200" s="2">
        <f t="shared" ca="1" si="2159"/>
        <v>45270119.994734414</v>
      </c>
      <c r="BB2200" s="2">
        <f t="shared" ca="1" si="2160"/>
        <v>905402.39989468828</v>
      </c>
      <c r="BC2200" s="2">
        <f t="shared" ca="1" si="2161"/>
        <v>18079942.559818558</v>
      </c>
      <c r="BD2200" s="2">
        <f t="shared" ca="1" si="2162"/>
        <v>-19118382.316473324</v>
      </c>
      <c r="BE2200" s="2">
        <f t="shared" ca="1" si="2163"/>
        <v>2074245.6082487144</v>
      </c>
      <c r="BF2200" s="2">
        <f t="shared" ca="1" si="2164"/>
        <v>2110610.9318020754</v>
      </c>
      <c r="BG2200" s="2">
        <f t="shared" ca="1" si="2165"/>
        <v>2096580.8400331251</v>
      </c>
      <c r="BH2200" s="2">
        <f t="shared" ca="1" si="2166"/>
        <v>2082601.7284387788</v>
      </c>
      <c r="BI2200" s="2">
        <f t="shared" ca="1" si="2167"/>
        <v>20148615.97159446</v>
      </c>
      <c r="BJ2200" s="2">
        <f t="shared" ca="1" si="2168"/>
        <v>0.1002802364720059</v>
      </c>
      <c r="BK2200" s="2">
        <f t="shared" ca="1" si="2169"/>
        <v>-1335109.5101205185</v>
      </c>
    </row>
    <row r="2201" spans="1:63" x14ac:dyDescent="0.3">
      <c r="A2201" s="2">
        <v>2200</v>
      </c>
      <c r="B2201" s="2">
        <f t="shared" ca="1" si="2108"/>
        <v>0.75386411481930216</v>
      </c>
      <c r="C2201" s="2">
        <f t="shared" ca="1" si="2109"/>
        <v>7.2983791833465919</v>
      </c>
      <c r="D2201" s="2">
        <f t="shared" ca="1" si="2110"/>
        <v>0.42727660734142459</v>
      </c>
      <c r="E2201" s="2">
        <f t="shared" ca="1" si="2111"/>
        <v>7.4244204750452303</v>
      </c>
      <c r="F2201" s="2">
        <f t="shared" ca="1" si="2112"/>
        <v>1.4450419162986394E-2</v>
      </c>
      <c r="G2201" s="2">
        <f t="shared" ca="1" si="2113"/>
        <v>-2.5545094362801647E-2</v>
      </c>
      <c r="H2201" s="2">
        <f t="shared" ca="1" si="2114"/>
        <v>-0.02</v>
      </c>
      <c r="I2201" s="2">
        <f t="shared" ca="1" si="2115"/>
        <v>0.1295138680874991</v>
      </c>
      <c r="J2201" s="2">
        <f t="shared" ca="1" si="2116"/>
        <v>4.3565394186506614E-3</v>
      </c>
      <c r="K2201" s="2">
        <f t="shared" ca="1" si="2117"/>
        <v>4.3565394186506614E-3</v>
      </c>
      <c r="L2201" s="2">
        <f t="shared" ca="1" si="2118"/>
        <v>0.91359996107406283</v>
      </c>
      <c r="M2201" s="2">
        <f t="shared" ca="1" si="2119"/>
        <v>2.7265232107015383E-2</v>
      </c>
      <c r="N2201" s="2">
        <f t="shared" ca="1" si="2120"/>
        <v>2.7265232107015383E-2</v>
      </c>
      <c r="O2201" s="2">
        <f t="shared" si="2121"/>
        <v>6000000</v>
      </c>
      <c r="P2201" s="2">
        <f t="shared" ca="1" si="2122"/>
        <v>43790275.100079551</v>
      </c>
      <c r="Q2201" s="2">
        <f t="shared" ca="1" si="2123"/>
        <v>1094756.8775019888</v>
      </c>
      <c r="R2201" s="2">
        <f t="shared" ca="1" si="2124"/>
        <v>26274165.060047731</v>
      </c>
      <c r="S2201" s="2">
        <f t="shared" ca="1" si="2125"/>
        <v>17516110.040031821</v>
      </c>
      <c r="T2201" s="2">
        <f t="shared" ca="1" si="2126"/>
        <v>51363261.605350778</v>
      </c>
      <c r="U2201" s="2">
        <f t="shared" ca="1" si="2127"/>
        <v>50335996.373243764</v>
      </c>
      <c r="V2201" s="2">
        <f t="shared" ca="1" si="2128"/>
        <v>49329276.445778891</v>
      </c>
      <c r="W2201" s="2">
        <f t="shared" ca="1" si="2129"/>
        <v>48342690.916863315</v>
      </c>
      <c r="X2201" s="2">
        <f t="shared" ca="1" si="2130"/>
        <v>47375837.098526046</v>
      </c>
      <c r="Y2201" s="2">
        <f t="shared" ca="1" si="2131"/>
        <v>0.12217826970932533</v>
      </c>
      <c r="Z2201" s="2">
        <f t="shared" ca="1" si="2132"/>
        <v>0.12304957759305546</v>
      </c>
      <c r="AA2201" s="2">
        <f t="shared" ca="1" si="2133"/>
        <v>6275474.4295691811</v>
      </c>
      <c r="AB2201" s="2">
        <f t="shared" ca="1" si="2134"/>
        <v>6193823.091453217</v>
      </c>
      <c r="AC2201" s="2">
        <f t="shared" ca="1" si="2135"/>
        <v>6069946.6296241526</v>
      </c>
      <c r="AD2201" s="2">
        <f t="shared" ca="1" si="2136"/>
        <v>5948547.6970316702</v>
      </c>
      <c r="AE2201" s="2">
        <f t="shared" ca="1" si="2137"/>
        <v>5829576.7430910356</v>
      </c>
      <c r="AF2201" s="2">
        <f t="shared" ca="1" si="2138"/>
        <v>1027265.2321070156</v>
      </c>
      <c r="AG2201" s="2">
        <f t="shared" ca="1" si="2139"/>
        <v>1006719.9274648753</v>
      </c>
      <c r="AH2201" s="2">
        <f t="shared" ca="1" si="2140"/>
        <v>986585.5289155778</v>
      </c>
      <c r="AI2201" s="2">
        <f t="shared" ca="1" si="2141"/>
        <v>966853.81833726633</v>
      </c>
      <c r="AJ2201" s="2">
        <f t="shared" ca="1" si="2142"/>
        <v>947516.74197052093</v>
      </c>
      <c r="AK2201" s="2">
        <f t="shared" ca="1" si="2143"/>
        <v>0</v>
      </c>
      <c r="AL2201" s="2">
        <f t="shared" ca="1" si="2144"/>
        <v>0</v>
      </c>
      <c r="AM2201" s="2">
        <f t="shared" ca="1" si="2145"/>
        <v>0</v>
      </c>
      <c r="AN2201" s="2">
        <f t="shared" ca="1" si="2146"/>
        <v>0</v>
      </c>
      <c r="AO2201" s="2">
        <f t="shared" ca="1" si="2147"/>
        <v>0</v>
      </c>
      <c r="AP2201" s="2">
        <f t="shared" ca="1" si="2148"/>
        <v>2364674.8554042955</v>
      </c>
      <c r="AQ2201" s="2">
        <f t="shared" ca="1" si="2149"/>
        <v>749718.92893504631</v>
      </c>
      <c r="AR2201" s="2">
        <f t="shared" ca="1" si="2150"/>
        <v>733831.36023185204</v>
      </c>
      <c r="AS2201" s="2">
        <f t="shared" ca="1" si="2151"/>
        <v>706858.42377911264</v>
      </c>
      <c r="AT2201" s="2">
        <f t="shared" ca="1" si="2152"/>
        <v>680424.94605542824</v>
      </c>
      <c r="AU2201" s="2">
        <f t="shared" ca="1" si="2153"/>
        <v>654520.1378862171</v>
      </c>
      <c r="AV2201" s="2">
        <f t="shared" ca="1" si="2154"/>
        <v>2133815.4131228239</v>
      </c>
      <c r="AW2201" s="2">
        <f t="shared" ca="1" si="2155"/>
        <v>2088596.9483521939</v>
      </c>
      <c r="AX2201" s="2">
        <f t="shared" ca="1" si="2156"/>
        <v>2011827.8215251672</v>
      </c>
      <c r="AY2201" s="2">
        <f t="shared" ca="1" si="2157"/>
        <v>1936594.0772346803</v>
      </c>
      <c r="AZ2201" s="2">
        <f t="shared" ca="1" si="2158"/>
        <v>1862865.0078300028</v>
      </c>
      <c r="BA2201" s="2">
        <f t="shared" ca="1" si="2159"/>
        <v>43281228.932252571</v>
      </c>
      <c r="BB2201" s="2">
        <f t="shared" ca="1" si="2160"/>
        <v>865624.57864505146</v>
      </c>
      <c r="BC2201" s="2">
        <f t="shared" ca="1" si="2161"/>
        <v>16141439.29355979</v>
      </c>
      <c r="BD2201" s="2">
        <f t="shared" ca="1" si="2162"/>
        <v>-19110866.917533807</v>
      </c>
      <c r="BE2201" s="2">
        <f t="shared" ca="1" si="2163"/>
        <v>2133815.4131228239</v>
      </c>
      <c r="BF2201" s="2">
        <f t="shared" ca="1" si="2164"/>
        <v>2088596.9483521939</v>
      </c>
      <c r="BG2201" s="2">
        <f t="shared" ca="1" si="2165"/>
        <v>2011827.8215251672</v>
      </c>
      <c r="BH2201" s="2">
        <f t="shared" ca="1" si="2166"/>
        <v>1936594.0772346803</v>
      </c>
      <c r="BI2201" s="2">
        <f t="shared" ca="1" si="2167"/>
        <v>18004304.301389791</v>
      </c>
      <c r="BJ2201" s="2">
        <f t="shared" ca="1" si="2168"/>
        <v>7.9017036854956979E-2</v>
      </c>
      <c r="BK2201" s="2">
        <f t="shared" ca="1" si="2169"/>
        <v>-2661812.2533743996</v>
      </c>
    </row>
    <row r="2202" spans="1:63" x14ac:dyDescent="0.3">
      <c r="A2202" s="2">
        <v>2201</v>
      </c>
      <c r="B2202" s="2">
        <f t="shared" ca="1" si="2108"/>
        <v>0.99650501979855888</v>
      </c>
      <c r="C2202" s="2">
        <f t="shared" ca="1" si="2109"/>
        <v>7.9163940169432703</v>
      </c>
      <c r="D2202" s="2">
        <f t="shared" ca="1" si="2110"/>
        <v>3.0043891455711069E-2</v>
      </c>
      <c r="E2202" s="2">
        <f t="shared" ca="1" si="2111"/>
        <v>6.745128094904322</v>
      </c>
      <c r="F2202" s="2">
        <f t="shared" ca="1" si="2112"/>
        <v>0.95776831293368436</v>
      </c>
      <c r="G2202" s="2">
        <f t="shared" ca="1" si="2113"/>
        <v>9.1760673584683164E-2</v>
      </c>
      <c r="H2202" s="2">
        <f t="shared" ca="1" si="2114"/>
        <v>9.1760673584683164E-2</v>
      </c>
      <c r="I2202" s="2">
        <f t="shared" ca="1" si="2115"/>
        <v>0.87745052397134338</v>
      </c>
      <c r="J2202" s="2">
        <f t="shared" ca="1" si="2116"/>
        <v>1.5811680699760414E-2</v>
      </c>
      <c r="K2202" s="2">
        <f t="shared" ca="1" si="2117"/>
        <v>1.5811680699760414E-2</v>
      </c>
      <c r="L2202" s="2">
        <f t="shared" ca="1" si="2118"/>
        <v>5.1458586574655629E-2</v>
      </c>
      <c r="M2202" s="2">
        <f t="shared" ca="1" si="2119"/>
        <v>-3.2617454959852354E-2</v>
      </c>
      <c r="N2202" s="2">
        <f t="shared" ca="1" si="2120"/>
        <v>-3.2617454959852354E-2</v>
      </c>
      <c r="O2202" s="2">
        <f t="shared" si="2121"/>
        <v>6000000</v>
      </c>
      <c r="P2202" s="2">
        <f t="shared" ca="1" si="2122"/>
        <v>47498364.101659618</v>
      </c>
      <c r="Q2202" s="2">
        <f t="shared" ca="1" si="2123"/>
        <v>1187459.1025414905</v>
      </c>
      <c r="R2202" s="2">
        <f t="shared" ca="1" si="2124"/>
        <v>28499018.460995771</v>
      </c>
      <c r="S2202" s="2">
        <f t="shared" ca="1" si="2125"/>
        <v>18999345.640663847</v>
      </c>
      <c r="T2202" s="2">
        <f t="shared" ca="1" si="2126"/>
        <v>48369127.25200738</v>
      </c>
      <c r="U2202" s="2">
        <f t="shared" ca="1" si="2127"/>
        <v>52807510.949354835</v>
      </c>
      <c r="V2202" s="2">
        <f t="shared" ca="1" si="2128"/>
        <v>57653163.724398166</v>
      </c>
      <c r="W2202" s="2">
        <f t="shared" ca="1" si="2129"/>
        <v>62943456.862036966</v>
      </c>
      <c r="X2202" s="2">
        <f t="shared" ca="1" si="2130"/>
        <v>68719190.861445934</v>
      </c>
      <c r="Y2202" s="2">
        <f t="shared" ca="1" si="2131"/>
        <v>0.1279058403498802</v>
      </c>
      <c r="Z2202" s="2">
        <f t="shared" ca="1" si="2132"/>
        <v>0.13106817648983229</v>
      </c>
      <c r="AA2202" s="2">
        <f t="shared" ca="1" si="2133"/>
        <v>6186693.8681582958</v>
      </c>
      <c r="AB2202" s="2">
        <f t="shared" ca="1" si="2134"/>
        <v>6921384.165098791</v>
      </c>
      <c r="AC2202" s="2">
        <f t="shared" ca="1" si="2135"/>
        <v>7556495.0382266156</v>
      </c>
      <c r="AD2202" s="2">
        <f t="shared" ca="1" si="2136"/>
        <v>8249884.1128736064</v>
      </c>
      <c r="AE2202" s="2">
        <f t="shared" ca="1" si="2137"/>
        <v>9006899.0360664669</v>
      </c>
      <c r="AF2202" s="2">
        <f t="shared" ca="1" si="2138"/>
        <v>967382.54504014761</v>
      </c>
      <c r="AG2202" s="2">
        <f t="shared" ca="1" si="2139"/>
        <v>1056150.2189870968</v>
      </c>
      <c r="AH2202" s="2">
        <f t="shared" ca="1" si="2140"/>
        <v>1153063.2744879634</v>
      </c>
      <c r="AI2202" s="2">
        <f t="shared" ca="1" si="2141"/>
        <v>1258869.1372407393</v>
      </c>
      <c r="AJ2202" s="2">
        <f t="shared" ca="1" si="2142"/>
        <v>1374383.8172289187</v>
      </c>
      <c r="AK2202" s="2">
        <f t="shared" ca="1" si="2143"/>
        <v>0</v>
      </c>
      <c r="AL2202" s="2">
        <f t="shared" ca="1" si="2144"/>
        <v>44383.83697347455</v>
      </c>
      <c r="AM2202" s="2">
        <f t="shared" ca="1" si="2145"/>
        <v>48456.527750433313</v>
      </c>
      <c r="AN2202" s="2">
        <f t="shared" ca="1" si="2146"/>
        <v>52902.931376387998</v>
      </c>
      <c r="AO2202" s="2">
        <f t="shared" ca="1" si="2147"/>
        <v>57757.339994089678</v>
      </c>
      <c r="AP2202" s="2">
        <f t="shared" ca="1" si="2148"/>
        <v>2564911.6614896194</v>
      </c>
      <c r="AQ2202" s="2">
        <f t="shared" ca="1" si="2149"/>
        <v>690143.91202341754</v>
      </c>
      <c r="AR2202" s="2">
        <f t="shared" ca="1" si="2150"/>
        <v>858083.79400173947</v>
      </c>
      <c r="AS2202" s="2">
        <f t="shared" ca="1" si="2151"/>
        <v>998015.22658474871</v>
      </c>
      <c r="AT2202" s="2">
        <f t="shared" ca="1" si="2152"/>
        <v>1150786.8616772445</v>
      </c>
      <c r="AU2202" s="2">
        <f t="shared" ca="1" si="2153"/>
        <v>1317576.9249104615</v>
      </c>
      <c r="AV2202" s="2">
        <f t="shared" ca="1" si="2154"/>
        <v>1964255.7496051113</v>
      </c>
      <c r="AW2202" s="2">
        <f t="shared" ca="1" si="2155"/>
        <v>2397854.6536468607</v>
      </c>
      <c r="AX2202" s="2">
        <f t="shared" ca="1" si="2156"/>
        <v>2792048.3479138515</v>
      </c>
      <c r="AY2202" s="2">
        <f t="shared" ca="1" si="2157"/>
        <v>3222413.5210896148</v>
      </c>
      <c r="AZ2202" s="2">
        <f t="shared" ca="1" si="2158"/>
        <v>3692269.2924433774</v>
      </c>
      <c r="BA2202" s="2">
        <f t="shared" ca="1" si="2159"/>
        <v>60752687.736138582</v>
      </c>
      <c r="BB2202" s="2">
        <f t="shared" ca="1" si="2160"/>
        <v>1215053.7547227717</v>
      </c>
      <c r="BC2202" s="2">
        <f t="shared" ca="1" si="2161"/>
        <v>31038615.520420041</v>
      </c>
      <c r="BD2202" s="2">
        <f t="shared" ca="1" si="2162"/>
        <v>-20686804.743205339</v>
      </c>
      <c r="BE2202" s="2">
        <f t="shared" ca="1" si="2163"/>
        <v>1964255.7496051113</v>
      </c>
      <c r="BF2202" s="2">
        <f t="shared" ca="1" si="2164"/>
        <v>2397854.6536468607</v>
      </c>
      <c r="BG2202" s="2">
        <f t="shared" ca="1" si="2165"/>
        <v>2792048.3479138515</v>
      </c>
      <c r="BH2202" s="2">
        <f t="shared" ca="1" si="2166"/>
        <v>3222413.5210896148</v>
      </c>
      <c r="BI2202" s="2">
        <f t="shared" ca="1" si="2167"/>
        <v>34730884.812863417</v>
      </c>
      <c r="BJ2202" s="2">
        <f t="shared" ca="1" si="2168"/>
        <v>0.19643085846192165</v>
      </c>
      <c r="BK2202" s="2">
        <f t="shared" ca="1" si="2169"/>
        <v>6721013.7617939934</v>
      </c>
    </row>
    <row r="2203" spans="1:63" x14ac:dyDescent="0.3">
      <c r="A2203" s="2">
        <v>2202</v>
      </c>
      <c r="B2203" s="2">
        <f t="shared" ca="1" si="2108"/>
        <v>0.34990411441459168</v>
      </c>
      <c r="C2203" s="2">
        <f t="shared" ca="1" si="2109"/>
        <v>6.8365454134888211</v>
      </c>
      <c r="D2203" s="2">
        <f t="shared" ca="1" si="2110"/>
        <v>0.17649624696592847</v>
      </c>
      <c r="E2203" s="2">
        <f t="shared" ca="1" si="2111"/>
        <v>7.0941317142956244</v>
      </c>
      <c r="F2203" s="2">
        <f t="shared" ca="1" si="2112"/>
        <v>0.8833162459855779</v>
      </c>
      <c r="G2203" s="2">
        <f t="shared" ca="1" si="2113"/>
        <v>7.5751871154927514E-2</v>
      </c>
      <c r="H2203" s="2">
        <f t="shared" ca="1" si="2114"/>
        <v>7.5751871154927514E-2</v>
      </c>
      <c r="I2203" s="2">
        <f t="shared" ca="1" si="2115"/>
        <v>0.49149708319691288</v>
      </c>
      <c r="J2203" s="2">
        <f t="shared" ca="1" si="2116"/>
        <v>9.8934236718481346E-3</v>
      </c>
      <c r="K2203" s="2">
        <f t="shared" ca="1" si="2117"/>
        <v>9.8934236718481346E-3</v>
      </c>
      <c r="L2203" s="2">
        <f t="shared" ca="1" si="2118"/>
        <v>0.65285252682298744</v>
      </c>
      <c r="M2203" s="2">
        <f t="shared" ca="1" si="2119"/>
        <v>7.860664381567661E-3</v>
      </c>
      <c r="N2203" s="2">
        <f t="shared" ca="1" si="2120"/>
        <v>7.860664381567661E-3</v>
      </c>
      <c r="O2203" s="2">
        <f t="shared" si="2121"/>
        <v>6000000</v>
      </c>
      <c r="P2203" s="2">
        <f t="shared" ca="1" si="2122"/>
        <v>41019272.480932929</v>
      </c>
      <c r="Q2203" s="2">
        <f t="shared" ca="1" si="2123"/>
        <v>1025481.8120233233</v>
      </c>
      <c r="R2203" s="2">
        <f t="shared" ca="1" si="2124"/>
        <v>24611563.488559756</v>
      </c>
      <c r="S2203" s="2">
        <f t="shared" ca="1" si="2125"/>
        <v>16407708.992373172</v>
      </c>
      <c r="T2203" s="2">
        <f t="shared" ca="1" si="2126"/>
        <v>50393033.219078384</v>
      </c>
      <c r="U2203" s="2">
        <f t="shared" ca="1" si="2127"/>
        <v>54210399.778595991</v>
      </c>
      <c r="V2203" s="2">
        <f t="shared" ca="1" si="2128"/>
        <v>58316938.997881301</v>
      </c>
      <c r="W2203" s="2">
        <f t="shared" ca="1" si="2129"/>
        <v>62734556.246998571</v>
      </c>
      <c r="X2203" s="2">
        <f t="shared" ca="1" si="2130"/>
        <v>67486816.26878275</v>
      </c>
      <c r="Y2203" s="2">
        <f t="shared" ca="1" si="2131"/>
        <v>0.12494671183592407</v>
      </c>
      <c r="Z2203" s="2">
        <f t="shared" ca="1" si="2132"/>
        <v>0.1269253965702937</v>
      </c>
      <c r="AA2203" s="2">
        <f t="shared" ca="1" si="2133"/>
        <v>6296443.8001623359</v>
      </c>
      <c r="AB2203" s="2">
        <f t="shared" ca="1" si="2134"/>
        <v>6880676.4901324576</v>
      </c>
      <c r="AC2203" s="2">
        <f t="shared" ca="1" si="2135"/>
        <v>7401900.6090717101</v>
      </c>
      <c r="AD2203" s="2">
        <f t="shared" ca="1" si="2136"/>
        <v>7962608.4303116892</v>
      </c>
      <c r="AE2203" s="2">
        <f t="shared" ca="1" si="2137"/>
        <v>8565790.9181817994</v>
      </c>
      <c r="AF2203" s="2">
        <f t="shared" ca="1" si="2138"/>
        <v>1007860.6643815677</v>
      </c>
      <c r="AG2203" s="2">
        <f t="shared" ca="1" si="2139"/>
        <v>1084207.9955719199</v>
      </c>
      <c r="AH2203" s="2">
        <f t="shared" ca="1" si="2140"/>
        <v>1166338.779957626</v>
      </c>
      <c r="AI2203" s="2">
        <f t="shared" ca="1" si="2141"/>
        <v>1254691.1249399714</v>
      </c>
      <c r="AJ2203" s="2">
        <f t="shared" ca="1" si="2142"/>
        <v>1349736.325375655</v>
      </c>
      <c r="AK2203" s="2">
        <f t="shared" ca="1" si="2143"/>
        <v>0</v>
      </c>
      <c r="AL2203" s="2">
        <f t="shared" ca="1" si="2144"/>
        <v>38173.665595176069</v>
      </c>
      <c r="AM2203" s="2">
        <f t="shared" ca="1" si="2145"/>
        <v>41065.392192853091</v>
      </c>
      <c r="AN2203" s="2">
        <f t="shared" ca="1" si="2146"/>
        <v>44176.1724911727</v>
      </c>
      <c r="AO2203" s="2">
        <f t="shared" ca="1" si="2147"/>
        <v>47522.600217841791</v>
      </c>
      <c r="AP2203" s="2">
        <f t="shared" ca="1" si="2148"/>
        <v>2215040.713970378</v>
      </c>
      <c r="AQ2203" s="2">
        <f t="shared" ca="1" si="2149"/>
        <v>799121.0296707016</v>
      </c>
      <c r="AR2203" s="2">
        <f t="shared" ca="1" si="2150"/>
        <v>931171.22295344155</v>
      </c>
      <c r="AS2203" s="2">
        <f t="shared" ca="1" si="2151"/>
        <v>1045335.4899373637</v>
      </c>
      <c r="AT2203" s="2">
        <f t="shared" ca="1" si="2152"/>
        <v>1168147.9137643483</v>
      </c>
      <c r="AU2203" s="2">
        <f t="shared" ca="1" si="2153"/>
        <v>1300263.6084972993</v>
      </c>
      <c r="AV2203" s="2">
        <f t="shared" ca="1" si="2154"/>
        <v>2274421.3921396891</v>
      </c>
      <c r="AW2203" s="2">
        <f t="shared" ca="1" si="2155"/>
        <v>2612082.8920415426</v>
      </c>
      <c r="AX2203" s="2">
        <f t="shared" ca="1" si="2156"/>
        <v>2934120.2330134902</v>
      </c>
      <c r="AY2203" s="2">
        <f t="shared" ca="1" si="2157"/>
        <v>3280552.5051458189</v>
      </c>
      <c r="AZ2203" s="2">
        <f t="shared" ca="1" si="2158"/>
        <v>3653227.6701206258</v>
      </c>
      <c r="BA2203" s="2">
        <f t="shared" ca="1" si="2159"/>
        <v>60766849.010698937</v>
      </c>
      <c r="BB2203" s="2">
        <f t="shared" ca="1" si="2160"/>
        <v>1215336.9802139788</v>
      </c>
      <c r="BC2203" s="2">
        <f t="shared" ca="1" si="2161"/>
        <v>34939948.541925199</v>
      </c>
      <c r="BD2203" s="2">
        <f t="shared" ca="1" si="2162"/>
        <v>-17933190.804396495</v>
      </c>
      <c r="BE2203" s="2">
        <f t="shared" ca="1" si="2163"/>
        <v>2274421.3921396891</v>
      </c>
      <c r="BF2203" s="2">
        <f t="shared" ca="1" si="2164"/>
        <v>2612082.8920415426</v>
      </c>
      <c r="BG2203" s="2">
        <f t="shared" ca="1" si="2165"/>
        <v>2934120.2330134902</v>
      </c>
      <c r="BH2203" s="2">
        <f t="shared" ca="1" si="2166"/>
        <v>3280552.5051458189</v>
      </c>
      <c r="BI2203" s="2">
        <f t="shared" ca="1" si="2167"/>
        <v>38593176.212045826</v>
      </c>
      <c r="BJ2203" s="2">
        <f t="shared" ca="1" si="2168"/>
        <v>0.267431285591746</v>
      </c>
      <c r="BK2203" s="2">
        <f t="shared" ca="1" si="2169"/>
        <v>12251982.951573901</v>
      </c>
    </row>
    <row r="2204" spans="1:63" x14ac:dyDescent="0.3">
      <c r="A2204" s="2">
        <v>2203</v>
      </c>
      <c r="B2204" s="2">
        <f t="shared" ca="1" si="2108"/>
        <v>0.19747277484842973</v>
      </c>
      <c r="C2204" s="2">
        <f t="shared" ca="1" si="2109"/>
        <v>6.6284469346705892</v>
      </c>
      <c r="D2204" s="2">
        <f t="shared" ca="1" si="2110"/>
        <v>0.98383535745734307</v>
      </c>
      <c r="E2204" s="2">
        <f t="shared" ca="1" si="2111"/>
        <v>8.3201965376158906</v>
      </c>
      <c r="F2204" s="2">
        <f t="shared" ca="1" si="2112"/>
        <v>8.7646076048951693E-3</v>
      </c>
      <c r="G2204" s="2">
        <f t="shared" ca="1" si="2113"/>
        <v>-3.1262458858397964E-2</v>
      </c>
      <c r="H2204" s="2">
        <f t="shared" ca="1" si="2114"/>
        <v>-0.02</v>
      </c>
      <c r="I2204" s="2">
        <f t="shared" ca="1" si="2115"/>
        <v>0.44554737310808767</v>
      </c>
      <c r="J2204" s="2">
        <f t="shared" ca="1" si="2116"/>
        <v>9.3154045304557481E-3</v>
      </c>
      <c r="K2204" s="2">
        <f t="shared" ca="1" si="2117"/>
        <v>9.3154045304557481E-3</v>
      </c>
      <c r="L2204" s="2">
        <f t="shared" ca="1" si="2118"/>
        <v>0.97902221645984122</v>
      </c>
      <c r="M2204" s="2">
        <f t="shared" ca="1" si="2119"/>
        <v>4.0679212205208301E-2</v>
      </c>
      <c r="N2204" s="2">
        <f t="shared" ca="1" si="2120"/>
        <v>4.0679212205208301E-2</v>
      </c>
      <c r="O2204" s="2">
        <f t="shared" si="2121"/>
        <v>6000000</v>
      </c>
      <c r="P2204" s="2">
        <f t="shared" ca="1" si="2122"/>
        <v>39770681.608023532</v>
      </c>
      <c r="Q2204" s="2">
        <f t="shared" ca="1" si="2123"/>
        <v>994267.04020058829</v>
      </c>
      <c r="R2204" s="2">
        <f t="shared" ca="1" si="2124"/>
        <v>23862408.964814119</v>
      </c>
      <c r="S2204" s="2">
        <f t="shared" ca="1" si="2125"/>
        <v>15908272.643209413</v>
      </c>
      <c r="T2204" s="2">
        <f t="shared" ca="1" si="2126"/>
        <v>52033960.610260412</v>
      </c>
      <c r="U2204" s="2">
        <f t="shared" ca="1" si="2127"/>
        <v>50993281.398055203</v>
      </c>
      <c r="V2204" s="2">
        <f t="shared" ca="1" si="2128"/>
        <v>49973415.770094097</v>
      </c>
      <c r="W2204" s="2">
        <f t="shared" ca="1" si="2129"/>
        <v>48973947.454692215</v>
      </c>
      <c r="X2204" s="2">
        <f t="shared" ca="1" si="2130"/>
        <v>47994468.505598366</v>
      </c>
      <c r="Y2204" s="2">
        <f t="shared" ca="1" si="2131"/>
        <v>0.12465770226522788</v>
      </c>
      <c r="Z2204" s="2">
        <f t="shared" ca="1" si="2132"/>
        <v>0.12652078317131901</v>
      </c>
      <c r="AA2204" s="2">
        <f t="shared" ca="1" si="2133"/>
        <v>6486433.9694344373</v>
      </c>
      <c r="AB2204" s="2">
        <f t="shared" ca="1" si="2134"/>
        <v>6451709.8989573978</v>
      </c>
      <c r="AC2204" s="2">
        <f t="shared" ca="1" si="2135"/>
        <v>6322675.7009782493</v>
      </c>
      <c r="AD2204" s="2">
        <f t="shared" ca="1" si="2136"/>
        <v>6196222.1869586846</v>
      </c>
      <c r="AE2204" s="2">
        <f t="shared" ca="1" si="2137"/>
        <v>6072297.7432195097</v>
      </c>
      <c r="AF2204" s="2">
        <f t="shared" ca="1" si="2138"/>
        <v>1040679.2122052083</v>
      </c>
      <c r="AG2204" s="2">
        <f t="shared" ca="1" si="2139"/>
        <v>1019865.627961104</v>
      </c>
      <c r="AH2204" s="2">
        <f t="shared" ca="1" si="2140"/>
        <v>999468.31540188193</v>
      </c>
      <c r="AI2204" s="2">
        <f t="shared" ca="1" si="2141"/>
        <v>979478.94909384428</v>
      </c>
      <c r="AJ2204" s="2">
        <f t="shared" ca="1" si="2142"/>
        <v>959889.37011196732</v>
      </c>
      <c r="AK2204" s="2">
        <f t="shared" ca="1" si="2143"/>
        <v>0</v>
      </c>
      <c r="AL2204" s="2">
        <f t="shared" ca="1" si="2144"/>
        <v>0</v>
      </c>
      <c r="AM2204" s="2">
        <f t="shared" ca="1" si="2145"/>
        <v>0</v>
      </c>
      <c r="AN2204" s="2">
        <f t="shared" ca="1" si="2146"/>
        <v>0</v>
      </c>
      <c r="AO2204" s="2">
        <f t="shared" ca="1" si="2147"/>
        <v>0</v>
      </c>
      <c r="AP2204" s="2">
        <f t="shared" ca="1" si="2148"/>
        <v>2147616.8068332705</v>
      </c>
      <c r="AQ2204" s="2">
        <f t="shared" ca="1" si="2149"/>
        <v>857515.86710294941</v>
      </c>
      <c r="AR2204" s="2">
        <f t="shared" ca="1" si="2150"/>
        <v>853899.14068238612</v>
      </c>
      <c r="AS2204" s="2">
        <f t="shared" ca="1" si="2151"/>
        <v>825653.55047320528</v>
      </c>
      <c r="AT2204" s="2">
        <f t="shared" ca="1" si="2152"/>
        <v>797972.87206820829</v>
      </c>
      <c r="AU2204" s="2">
        <f t="shared" ca="1" si="2153"/>
        <v>770845.80723131076</v>
      </c>
      <c r="AV2204" s="2">
        <f t="shared" ca="1" si="2154"/>
        <v>2440622.08329301</v>
      </c>
      <c r="AW2204" s="2">
        <f t="shared" ca="1" si="2155"/>
        <v>2430328.3234806373</v>
      </c>
      <c r="AX2204" s="2">
        <f t="shared" ca="1" si="2156"/>
        <v>2349937.0282698912</v>
      </c>
      <c r="AY2204" s="2">
        <f t="shared" ca="1" si="2157"/>
        <v>2271153.5589633617</v>
      </c>
      <c r="AZ2204" s="2">
        <f t="shared" ca="1" si="2158"/>
        <v>2193945.7590429611</v>
      </c>
      <c r="BA2204" s="2">
        <f t="shared" ca="1" si="2159"/>
        <v>50522710.658507749</v>
      </c>
      <c r="BB2204" s="2">
        <f t="shared" ca="1" si="2160"/>
        <v>1010454.2131701551</v>
      </c>
      <c r="BC2204" s="2">
        <f t="shared" ca="1" si="2161"/>
        <v>25649847.480523475</v>
      </c>
      <c r="BD2204" s="2">
        <f t="shared" ca="1" si="2162"/>
        <v>-17402539.68341</v>
      </c>
      <c r="BE2204" s="2">
        <f t="shared" ca="1" si="2163"/>
        <v>2440622.08329301</v>
      </c>
      <c r="BF2204" s="2">
        <f t="shared" ca="1" si="2164"/>
        <v>2430328.3234806373</v>
      </c>
      <c r="BG2204" s="2">
        <f t="shared" ca="1" si="2165"/>
        <v>2349937.0282698912</v>
      </c>
      <c r="BH2204" s="2">
        <f t="shared" ca="1" si="2166"/>
        <v>2271153.5589633617</v>
      </c>
      <c r="BI2204" s="2">
        <f t="shared" ca="1" si="2167"/>
        <v>27843793.239566434</v>
      </c>
      <c r="BJ2204" s="2">
        <f t="shared" ca="1" si="2168"/>
        <v>0.19938255749778611</v>
      </c>
      <c r="BK2204" s="2">
        <f t="shared" ca="1" si="2169"/>
        <v>5629343.9916791581</v>
      </c>
    </row>
    <row r="2205" spans="1:63" x14ac:dyDescent="0.3">
      <c r="A2205" s="2">
        <v>2204</v>
      </c>
      <c r="B2205" s="2">
        <f t="shared" ca="1" si="2108"/>
        <v>0.26332133459045981</v>
      </c>
      <c r="C2205" s="2">
        <f t="shared" ca="1" si="2109"/>
        <v>6.7257015014321793</v>
      </c>
      <c r="D2205" s="2">
        <f t="shared" ca="1" si="2110"/>
        <v>0.67843476360256982</v>
      </c>
      <c r="E2205" s="2">
        <f t="shared" ca="1" si="2111"/>
        <v>7.6980458412135642</v>
      </c>
      <c r="F2205" s="2">
        <f t="shared" ca="1" si="2112"/>
        <v>0.52258914806015389</v>
      </c>
      <c r="G2205" s="2">
        <f t="shared" ca="1" si="2113"/>
        <v>4.1699586630583103E-2</v>
      </c>
      <c r="H2205" s="2">
        <f t="shared" ca="1" si="2114"/>
        <v>4.1699586630583103E-2</v>
      </c>
      <c r="I2205" s="2">
        <f t="shared" ca="1" si="2115"/>
        <v>0.22528231522954412</v>
      </c>
      <c r="J2205" s="2">
        <f t="shared" ca="1" si="2116"/>
        <v>6.2276298226240957E-3</v>
      </c>
      <c r="K2205" s="2">
        <f t="shared" ca="1" si="2117"/>
        <v>6.2276298226240957E-3</v>
      </c>
      <c r="L2205" s="2">
        <f t="shared" ca="1" si="2118"/>
        <v>0.98031254277726265</v>
      </c>
      <c r="M2205" s="2">
        <f t="shared" ca="1" si="2119"/>
        <v>4.1204944058563814E-2</v>
      </c>
      <c r="N2205" s="2">
        <f t="shared" ca="1" si="2120"/>
        <v>4.1204944058563814E-2</v>
      </c>
      <c r="O2205" s="2">
        <f t="shared" si="2121"/>
        <v>6000000</v>
      </c>
      <c r="P2205" s="2">
        <f t="shared" ca="1" si="2122"/>
        <v>40354209.008593075</v>
      </c>
      <c r="Q2205" s="2">
        <f t="shared" ca="1" si="2123"/>
        <v>1008855.2252148269</v>
      </c>
      <c r="R2205" s="2">
        <f t="shared" ca="1" si="2124"/>
        <v>24212525.405155845</v>
      </c>
      <c r="S2205" s="2">
        <f t="shared" ca="1" si="2125"/>
        <v>16141683.60343723</v>
      </c>
      <c r="T2205" s="2">
        <f t="shared" ca="1" si="2126"/>
        <v>52060247.202928193</v>
      </c>
      <c r="U2205" s="2">
        <f t="shared" ca="1" si="2127"/>
        <v>54231137.99117627</v>
      </c>
      <c r="V2205" s="2">
        <f t="shared" ca="1" si="2128"/>
        <v>56492554.027914435</v>
      </c>
      <c r="W2205" s="2">
        <f t="shared" ca="1" si="2129"/>
        <v>58848270.178584352</v>
      </c>
      <c r="X2205" s="2">
        <f t="shared" ca="1" si="2130"/>
        <v>61302218.718956195</v>
      </c>
      <c r="Y2205" s="2">
        <f t="shared" ca="1" si="2131"/>
        <v>0.12311381491131204</v>
      </c>
      <c r="Z2205" s="2">
        <f t="shared" ca="1" si="2132"/>
        <v>0.12435934087583686</v>
      </c>
      <c r="AA2205" s="2">
        <f t="shared" ca="1" si="2133"/>
        <v>6409335.6383784516</v>
      </c>
      <c r="AB2205" s="2">
        <f t="shared" ca="1" si="2134"/>
        <v>6744148.5755292363</v>
      </c>
      <c r="AC2205" s="2">
        <f t="shared" ca="1" si="2135"/>
        <v>7025376.7833040422</v>
      </c>
      <c r="AD2205" s="2">
        <f t="shared" ca="1" si="2136"/>
        <v>7318332.091091916</v>
      </c>
      <c r="AE2205" s="2">
        <f t="shared" ca="1" si="2137"/>
        <v>7623503.5141157806</v>
      </c>
      <c r="AF2205" s="2">
        <f t="shared" ca="1" si="2138"/>
        <v>1041204.9440585639</v>
      </c>
      <c r="AG2205" s="2">
        <f t="shared" ca="1" si="2139"/>
        <v>1084622.7598235253</v>
      </c>
      <c r="AH2205" s="2">
        <f t="shared" ca="1" si="2140"/>
        <v>1129851.0805582886</v>
      </c>
      <c r="AI2205" s="2">
        <f t="shared" ca="1" si="2141"/>
        <v>1176965.4035716872</v>
      </c>
      <c r="AJ2205" s="2">
        <f t="shared" ca="1" si="2142"/>
        <v>1226044.374379124</v>
      </c>
      <c r="AK2205" s="2">
        <f t="shared" ca="1" si="2143"/>
        <v>0</v>
      </c>
      <c r="AL2205" s="2">
        <f t="shared" ca="1" si="2144"/>
        <v>21708.907882480769</v>
      </c>
      <c r="AM2205" s="2">
        <f t="shared" ca="1" si="2145"/>
        <v>22614.160367381646</v>
      </c>
      <c r="AN2205" s="2">
        <f t="shared" ca="1" si="2146"/>
        <v>23557.161506699176</v>
      </c>
      <c r="AO2205" s="2">
        <f t="shared" ca="1" si="2147"/>
        <v>24539.485403718427</v>
      </c>
      <c r="AP2205" s="2">
        <f t="shared" ca="1" si="2148"/>
        <v>2179127.2864640262</v>
      </c>
      <c r="AQ2205" s="2">
        <f t="shared" ca="1" si="2149"/>
        <v>829140.88604252413</v>
      </c>
      <c r="AR2205" s="2">
        <f t="shared" ca="1" si="2150"/>
        <v>904903.61760283809</v>
      </c>
      <c r="AS2205" s="2">
        <f t="shared" ca="1" si="2151"/>
        <v>966263.58823324915</v>
      </c>
      <c r="AT2205" s="2">
        <f t="shared" ca="1" si="2152"/>
        <v>1030182.2442746126</v>
      </c>
      <c r="AU2205" s="2">
        <f t="shared" ca="1" si="2153"/>
        <v>1096766.2818508837</v>
      </c>
      <c r="AV2205" s="2">
        <f t="shared" ca="1" si="2154"/>
        <v>2359862.5218133377</v>
      </c>
      <c r="AW2205" s="2">
        <f t="shared" ca="1" si="2155"/>
        <v>2553786.0037563657</v>
      </c>
      <c r="AX2205" s="2">
        <f t="shared" ca="1" si="2156"/>
        <v>2727520.6676810961</v>
      </c>
      <c r="AY2205" s="2">
        <f t="shared" ca="1" si="2157"/>
        <v>2908499.9952748902</v>
      </c>
      <c r="AZ2205" s="2">
        <f t="shared" ca="1" si="2158"/>
        <v>3097026.0860180277</v>
      </c>
      <c r="BA2205" s="2">
        <f t="shared" ca="1" si="2159"/>
        <v>58686079.522315979</v>
      </c>
      <c r="BB2205" s="2">
        <f t="shared" ca="1" si="2160"/>
        <v>1173721.5904463197</v>
      </c>
      <c r="BC2205" s="2">
        <f t="shared" ca="1" si="2161"/>
        <v>33299832.526713815</v>
      </c>
      <c r="BD2205" s="2">
        <f t="shared" ca="1" si="2162"/>
        <v>-17650538.828652058</v>
      </c>
      <c r="BE2205" s="2">
        <f t="shared" ca="1" si="2163"/>
        <v>2359862.5218133377</v>
      </c>
      <c r="BF2205" s="2">
        <f t="shared" ca="1" si="2164"/>
        <v>2553786.0037563657</v>
      </c>
      <c r="BG2205" s="2">
        <f t="shared" ca="1" si="2165"/>
        <v>2727520.6676810961</v>
      </c>
      <c r="BH2205" s="2">
        <f t="shared" ca="1" si="2166"/>
        <v>2908499.9952748902</v>
      </c>
      <c r="BI2205" s="2">
        <f t="shared" ca="1" si="2167"/>
        <v>36396858.612731844</v>
      </c>
      <c r="BJ2205" s="2">
        <f t="shared" ca="1" si="2168"/>
        <v>0.25664216155829433</v>
      </c>
      <c r="BK2205" s="2">
        <f t="shared" ca="1" si="2169"/>
        <v>10934698.552332565</v>
      </c>
    </row>
    <row r="2206" spans="1:63" x14ac:dyDescent="0.3">
      <c r="A2206" s="2">
        <v>2205</v>
      </c>
      <c r="B2206" s="2">
        <f t="shared" ca="1" si="2108"/>
        <v>0.24980179163348049</v>
      </c>
      <c r="C2206" s="2">
        <f t="shared" ca="1" si="2109"/>
        <v>6.706826416644823</v>
      </c>
      <c r="D2206" s="2">
        <f t="shared" ca="1" si="2110"/>
        <v>0.2991803447828999</v>
      </c>
      <c r="E2206" s="2">
        <f t="shared" ca="1" si="2111"/>
        <v>7.2735377751382284</v>
      </c>
      <c r="F2206" s="2">
        <f t="shared" ca="1" si="2112"/>
        <v>0.34699514629469608</v>
      </c>
      <c r="G2206" s="2">
        <f t="shared" ca="1" si="2113"/>
        <v>2.8196627812214863E-2</v>
      </c>
      <c r="H2206" s="2">
        <f t="shared" ca="1" si="2114"/>
        <v>2.8196627812214863E-2</v>
      </c>
      <c r="I2206" s="2">
        <f t="shared" ca="1" si="2115"/>
        <v>0.71060445202418254</v>
      </c>
      <c r="J2206" s="2">
        <f t="shared" ca="1" si="2116"/>
        <v>1.2775757087116337E-2</v>
      </c>
      <c r="K2206" s="2">
        <f t="shared" ca="1" si="2117"/>
        <v>1.2775757087116337E-2</v>
      </c>
      <c r="L2206" s="2">
        <f t="shared" ca="1" si="2118"/>
        <v>0.4874376166501766</v>
      </c>
      <c r="M2206" s="2">
        <f t="shared" ca="1" si="2119"/>
        <v>-6.2988862153926146E-4</v>
      </c>
      <c r="N2206" s="2">
        <f t="shared" ca="1" si="2120"/>
        <v>-6.2988862153926146E-4</v>
      </c>
      <c r="O2206" s="2">
        <f t="shared" si="2121"/>
        <v>6000000</v>
      </c>
      <c r="P2206" s="2">
        <f t="shared" ca="1" si="2122"/>
        <v>40240958.499868937</v>
      </c>
      <c r="Q2206" s="2">
        <f t="shared" ca="1" si="2123"/>
        <v>1006023.9624967235</v>
      </c>
      <c r="R2206" s="2">
        <f t="shared" ca="1" si="2124"/>
        <v>24144575.099921361</v>
      </c>
      <c r="S2206" s="2">
        <f t="shared" ca="1" si="2125"/>
        <v>16096383.399947576</v>
      </c>
      <c r="T2206" s="2">
        <f t="shared" ca="1" si="2126"/>
        <v>49968505.568923041</v>
      </c>
      <c r="U2206" s="2">
        <f t="shared" ca="1" si="2127"/>
        <v>51377448.922782548</v>
      </c>
      <c r="V2206" s="2">
        <f t="shared" ca="1" si="2128"/>
        <v>52826119.727999322</v>
      </c>
      <c r="W2206" s="2">
        <f t="shared" ca="1" si="2129"/>
        <v>54315638.164733216</v>
      </c>
      <c r="X2206" s="2">
        <f t="shared" ca="1" si="2130"/>
        <v>55847155.998447128</v>
      </c>
      <c r="Y2206" s="2">
        <f t="shared" ca="1" si="2131"/>
        <v>0.12638787854355815</v>
      </c>
      <c r="Z2206" s="2">
        <f t="shared" ca="1" si="2132"/>
        <v>0.12894302996098142</v>
      </c>
      <c r="AA2206" s="2">
        <f t="shared" ca="1" si="2133"/>
        <v>6315413.4128481541</v>
      </c>
      <c r="AB2206" s="2">
        <f t="shared" ca="1" si="2134"/>
        <v>6624763.9357691426</v>
      </c>
      <c r="AC2206" s="2">
        <f t="shared" ca="1" si="2135"/>
        <v>6811559.9388098083</v>
      </c>
      <c r="AD2206" s="2">
        <f t="shared" ca="1" si="2136"/>
        <v>7003622.9592250213</v>
      </c>
      <c r="AE2206" s="2">
        <f t="shared" ca="1" si="2137"/>
        <v>7201101.5091433711</v>
      </c>
      <c r="AF2206" s="2">
        <f t="shared" ca="1" si="2138"/>
        <v>999370.11137846089</v>
      </c>
      <c r="AG2206" s="2">
        <f t="shared" ca="1" si="2139"/>
        <v>1027548.978455651</v>
      </c>
      <c r="AH2206" s="2">
        <f t="shared" ca="1" si="2140"/>
        <v>1056522.3945599864</v>
      </c>
      <c r="AI2206" s="2">
        <f t="shared" ca="1" si="2141"/>
        <v>1086312.7632946644</v>
      </c>
      <c r="AJ2206" s="2">
        <f t="shared" ca="1" si="2142"/>
        <v>1116943.1199689426</v>
      </c>
      <c r="AK2206" s="2">
        <f t="shared" ca="1" si="2143"/>
        <v>0</v>
      </c>
      <c r="AL2206" s="2">
        <f t="shared" ca="1" si="2144"/>
        <v>14089.433538595065</v>
      </c>
      <c r="AM2206" s="2">
        <f t="shared" ca="1" si="2145"/>
        <v>14486.708052167744</v>
      </c>
      <c r="AN2206" s="2">
        <f t="shared" ca="1" si="2146"/>
        <v>14895.184367338941</v>
      </c>
      <c r="AO2206" s="2">
        <f t="shared" ca="1" si="2147"/>
        <v>15315.178337139116</v>
      </c>
      <c r="AP2206" s="2">
        <f t="shared" ca="1" si="2148"/>
        <v>2173011.7589929225</v>
      </c>
      <c r="AQ2206" s="2">
        <f t="shared" ca="1" si="2149"/>
        <v>817188.20104396041</v>
      </c>
      <c r="AR2206" s="2">
        <f t="shared" ca="1" si="2150"/>
        <v>890292.83156334807</v>
      </c>
      <c r="AS2206" s="2">
        <f t="shared" ca="1" si="2151"/>
        <v>931326.70416679373</v>
      </c>
      <c r="AT2206" s="2">
        <f t="shared" ca="1" si="2152"/>
        <v>973517.593603733</v>
      </c>
      <c r="AU2206" s="2">
        <f t="shared" ca="1" si="2153"/>
        <v>1016898.1238471917</v>
      </c>
      <c r="AV2206" s="2">
        <f t="shared" ca="1" si="2154"/>
        <v>2325843.3414328098</v>
      </c>
      <c r="AW2206" s="2">
        <f t="shared" ca="1" si="2155"/>
        <v>2519820.9332186263</v>
      </c>
      <c r="AX2206" s="2">
        <f t="shared" ca="1" si="2156"/>
        <v>2636212.3730379371</v>
      </c>
      <c r="AY2206" s="2">
        <f t="shared" ca="1" si="2157"/>
        <v>2755885.6589663625</v>
      </c>
      <c r="AZ2206" s="2">
        <f t="shared" ca="1" si="2158"/>
        <v>2878933.327997175</v>
      </c>
      <c r="BA2206" s="2">
        <f t="shared" ca="1" si="2159"/>
        <v>52377483.849359214</v>
      </c>
      <c r="BB2206" s="2">
        <f t="shared" ca="1" si="2160"/>
        <v>1047549.6769871843</v>
      </c>
      <c r="BC2206" s="2">
        <f t="shared" ca="1" si="2161"/>
        <v>27185359.072450668</v>
      </c>
      <c r="BD2206" s="2">
        <f t="shared" ca="1" si="2162"/>
        <v>-17602407.3624443</v>
      </c>
      <c r="BE2206" s="2">
        <f t="shared" ca="1" si="2163"/>
        <v>2325843.3414328098</v>
      </c>
      <c r="BF2206" s="2">
        <f t="shared" ca="1" si="2164"/>
        <v>2519820.9332186263</v>
      </c>
      <c r="BG2206" s="2">
        <f t="shared" ca="1" si="2165"/>
        <v>2636212.3730379371</v>
      </c>
      <c r="BH2206" s="2">
        <f t="shared" ca="1" si="2166"/>
        <v>2755885.6589663625</v>
      </c>
      <c r="BI2206" s="2">
        <f t="shared" ca="1" si="2167"/>
        <v>30064292.400447842</v>
      </c>
      <c r="BJ2206" s="2">
        <f t="shared" ca="1" si="2168"/>
        <v>0.2168365834446131</v>
      </c>
      <c r="BK2206" s="2">
        <f t="shared" ca="1" si="2169"/>
        <v>7170130.2592576444</v>
      </c>
    </row>
    <row r="2207" spans="1:63" x14ac:dyDescent="0.3">
      <c r="A2207" s="2">
        <v>2206</v>
      </c>
      <c r="B2207" s="2">
        <f t="shared" ca="1" si="2108"/>
        <v>0.81588453514276194</v>
      </c>
      <c r="C2207" s="2">
        <f t="shared" ca="1" si="2109"/>
        <v>7.3931796561465033</v>
      </c>
      <c r="D2207" s="2">
        <f t="shared" ca="1" si="2110"/>
        <v>0.66582704596365039</v>
      </c>
      <c r="E2207" s="2">
        <f t="shared" ca="1" si="2111"/>
        <v>7.6824757446578733</v>
      </c>
      <c r="F2207" s="2">
        <f t="shared" ca="1" si="2112"/>
        <v>0.16137788052736179</v>
      </c>
      <c r="G2207" s="2">
        <f t="shared" ca="1" si="2113"/>
        <v>1.0335678566561337E-2</v>
      </c>
      <c r="H2207" s="2">
        <f t="shared" ca="1" si="2114"/>
        <v>1.0335678566561337E-2</v>
      </c>
      <c r="I2207" s="2">
        <f t="shared" ca="1" si="2115"/>
        <v>0.22367311024019076</v>
      </c>
      <c r="J2207" s="2">
        <f t="shared" ca="1" si="2116"/>
        <v>6.2007664664415936E-3</v>
      </c>
      <c r="K2207" s="2">
        <f t="shared" ca="1" si="2117"/>
        <v>6.2007664664415936E-3</v>
      </c>
      <c r="L2207" s="2">
        <f t="shared" ca="1" si="2118"/>
        <v>0.48642087977692239</v>
      </c>
      <c r="M2207" s="2">
        <f t="shared" ca="1" si="2119"/>
        <v>-6.8088763811055043E-4</v>
      </c>
      <c r="N2207" s="2">
        <f t="shared" ca="1" si="2120"/>
        <v>-6.8088763811055043E-4</v>
      </c>
      <c r="O2207" s="2">
        <f t="shared" si="2121"/>
        <v>6000000</v>
      </c>
      <c r="P2207" s="2">
        <f t="shared" ca="1" si="2122"/>
        <v>44359077.936879016</v>
      </c>
      <c r="Q2207" s="2">
        <f t="shared" ca="1" si="2123"/>
        <v>1108976.9484219754</v>
      </c>
      <c r="R2207" s="2">
        <f t="shared" ca="1" si="2124"/>
        <v>26615446.762127411</v>
      </c>
      <c r="S2207" s="2">
        <f t="shared" ca="1" si="2125"/>
        <v>17743631.174751606</v>
      </c>
      <c r="T2207" s="2">
        <f t="shared" ca="1" si="2126"/>
        <v>49965955.618094474</v>
      </c>
      <c r="U2207" s="2">
        <f t="shared" ca="1" si="2127"/>
        <v>50482387.674634166</v>
      </c>
      <c r="V2207" s="2">
        <f t="shared" ca="1" si="2128"/>
        <v>51004157.406911723</v>
      </c>
      <c r="W2207" s="2">
        <f t="shared" ca="1" si="2129"/>
        <v>51531319.98342786</v>
      </c>
      <c r="X2207" s="2">
        <f t="shared" ca="1" si="2130"/>
        <v>52063931.14288719</v>
      </c>
      <c r="Y2207" s="2">
        <f t="shared" ca="1" si="2131"/>
        <v>0.1231003832332208</v>
      </c>
      <c r="Z2207" s="2">
        <f t="shared" ca="1" si="2132"/>
        <v>0.12434053652650912</v>
      </c>
      <c r="AA2207" s="2">
        <f t="shared" ca="1" si="2133"/>
        <v>6150828.2852015318</v>
      </c>
      <c r="AB2207" s="2">
        <f t="shared" ca="1" si="2134"/>
        <v>6277007.1686032433</v>
      </c>
      <c r="AC2207" s="2">
        <f t="shared" ca="1" si="2135"/>
        <v>6341884.2970579276</v>
      </c>
      <c r="AD2207" s="2">
        <f t="shared" ca="1" si="2136"/>
        <v>6407431.974658641</v>
      </c>
      <c r="AE2207" s="2">
        <f t="shared" ca="1" si="2137"/>
        <v>6473657.1319858199</v>
      </c>
      <c r="AF2207" s="2">
        <f t="shared" ca="1" si="2138"/>
        <v>999319.11236188945</v>
      </c>
      <c r="AG2207" s="2">
        <f t="shared" ca="1" si="2139"/>
        <v>1009647.7534926833</v>
      </c>
      <c r="AH2207" s="2">
        <f t="shared" ca="1" si="2140"/>
        <v>1020083.1481382345</v>
      </c>
      <c r="AI2207" s="2">
        <f t="shared" ca="1" si="2141"/>
        <v>1030626.3996685572</v>
      </c>
      <c r="AJ2207" s="2">
        <f t="shared" ca="1" si="2142"/>
        <v>1041278.6228577439</v>
      </c>
      <c r="AK2207" s="2">
        <f t="shared" ca="1" si="2143"/>
        <v>0</v>
      </c>
      <c r="AL2207" s="2">
        <f t="shared" ca="1" si="2144"/>
        <v>5164.3205653969198</v>
      </c>
      <c r="AM2207" s="2">
        <f t="shared" ca="1" si="2145"/>
        <v>5217.6973227755725</v>
      </c>
      <c r="AN2207" s="2">
        <f t="shared" ca="1" si="2146"/>
        <v>5271.6257651613651</v>
      </c>
      <c r="AO2207" s="2">
        <f t="shared" ca="1" si="2147"/>
        <v>5326.1115945933016</v>
      </c>
      <c r="AP2207" s="2">
        <f t="shared" ca="1" si="2148"/>
        <v>2395390.2085914668</v>
      </c>
      <c r="AQ2207" s="2">
        <f t="shared" ca="1" si="2149"/>
        <v>716590.93070452567</v>
      </c>
      <c r="AR2207" s="2">
        <f t="shared" ca="1" si="2150"/>
        <v>746711.99369496433</v>
      </c>
      <c r="AS2207" s="2">
        <f t="shared" ca="1" si="2151"/>
        <v>760866.84448533889</v>
      </c>
      <c r="AT2207" s="2">
        <f t="shared" ca="1" si="2152"/>
        <v>775167.99526364042</v>
      </c>
      <c r="AU2207" s="2">
        <f t="shared" ca="1" si="2153"/>
        <v>789616.95813951839</v>
      </c>
      <c r="AV2207" s="2">
        <f t="shared" ca="1" si="2154"/>
        <v>2039528.0335436501</v>
      </c>
      <c r="AW2207" s="2">
        <f t="shared" ca="1" si="2155"/>
        <v>2120092.8922587316</v>
      </c>
      <c r="AX2207" s="2">
        <f t="shared" ca="1" si="2156"/>
        <v>2160326.398520112</v>
      </c>
      <c r="AY2207" s="2">
        <f t="shared" ca="1" si="2157"/>
        <v>2200975.7453698143</v>
      </c>
      <c r="AZ2207" s="2">
        <f t="shared" ca="1" si="2158"/>
        <v>2242045.2308024978</v>
      </c>
      <c r="BA2207" s="2">
        <f t="shared" ca="1" si="2159"/>
        <v>49733713.895712517</v>
      </c>
      <c r="BB2207" s="2">
        <f t="shared" ca="1" si="2160"/>
        <v>994674.27791425039</v>
      </c>
      <c r="BC2207" s="2">
        <f t="shared" ca="1" si="2161"/>
        <v>22123592.855670854</v>
      </c>
      <c r="BD2207" s="2">
        <f t="shared" ca="1" si="2162"/>
        <v>-19352608.12317358</v>
      </c>
      <c r="BE2207" s="2">
        <f t="shared" ca="1" si="2163"/>
        <v>2039528.0335436501</v>
      </c>
      <c r="BF2207" s="2">
        <f t="shared" ca="1" si="2164"/>
        <v>2120092.8922587316</v>
      </c>
      <c r="BG2207" s="2">
        <f t="shared" ca="1" si="2165"/>
        <v>2160326.398520112</v>
      </c>
      <c r="BH2207" s="2">
        <f t="shared" ca="1" si="2166"/>
        <v>2200975.7453698143</v>
      </c>
      <c r="BI2207" s="2">
        <f t="shared" ca="1" si="2167"/>
        <v>24365638.086473353</v>
      </c>
      <c r="BJ2207" s="2">
        <f t="shared" ca="1" si="2168"/>
        <v>0.13258502556700602</v>
      </c>
      <c r="BK2207" s="2">
        <f t="shared" ca="1" si="2169"/>
        <v>920679.0657758303</v>
      </c>
    </row>
    <row r="2208" spans="1:63" x14ac:dyDescent="0.3">
      <c r="A2208" s="2">
        <v>2207</v>
      </c>
      <c r="B2208" s="2">
        <f t="shared" ca="1" si="2108"/>
        <v>0.86130576766911116</v>
      </c>
      <c r="C2208" s="2">
        <f t="shared" ca="1" si="2109"/>
        <v>7.4733231876551072</v>
      </c>
      <c r="D2208" s="2">
        <f t="shared" ca="1" si="2110"/>
        <v>0.8970771502214927</v>
      </c>
      <c r="E2208" s="2">
        <f t="shared" ca="1" si="2111"/>
        <v>8.0462977853734738</v>
      </c>
      <c r="F2208" s="2">
        <f t="shared" ca="1" si="2112"/>
        <v>0.54311474454806752</v>
      </c>
      <c r="G2208" s="2">
        <f t="shared" ca="1" si="2113"/>
        <v>4.324851634010498E-2</v>
      </c>
      <c r="H2208" s="2">
        <f t="shared" ca="1" si="2114"/>
        <v>4.324851634010498E-2</v>
      </c>
      <c r="I2208" s="2">
        <f t="shared" ca="1" si="2115"/>
        <v>0.34483397700549034</v>
      </c>
      <c r="J2208" s="2">
        <f t="shared" ca="1" si="2116"/>
        <v>8.0034714072888345E-3</v>
      </c>
      <c r="K2208" s="2">
        <f t="shared" ca="1" si="2117"/>
        <v>8.0034714072888345E-3</v>
      </c>
      <c r="L2208" s="2">
        <f t="shared" ca="1" si="2118"/>
        <v>0.60518127960667156</v>
      </c>
      <c r="M2208" s="2">
        <f t="shared" ca="1" si="2119"/>
        <v>5.3356289155679715E-3</v>
      </c>
      <c r="N2208" s="2">
        <f t="shared" ca="1" si="2120"/>
        <v>5.3356289155679715E-3</v>
      </c>
      <c r="O2208" s="2">
        <f t="shared" si="2121"/>
        <v>6000000</v>
      </c>
      <c r="P2208" s="2">
        <f t="shared" ca="1" si="2122"/>
        <v>44839939.125930645</v>
      </c>
      <c r="Q2208" s="2">
        <f t="shared" ca="1" si="2123"/>
        <v>1120998.4781482662</v>
      </c>
      <c r="R2208" s="2">
        <f t="shared" ca="1" si="2124"/>
        <v>26903963.475558385</v>
      </c>
      <c r="S2208" s="2">
        <f t="shared" ca="1" si="2125"/>
        <v>17935975.650372259</v>
      </c>
      <c r="T2208" s="2">
        <f t="shared" ca="1" si="2126"/>
        <v>50266781.4457784</v>
      </c>
      <c r="U2208" s="2">
        <f t="shared" ca="1" si="2127"/>
        <v>52440745.164500639</v>
      </c>
      <c r="V2208" s="2">
        <f t="shared" ca="1" si="2128"/>
        <v>54708729.588634834</v>
      </c>
      <c r="W2208" s="2">
        <f t="shared" ca="1" si="2129"/>
        <v>57074800.974195294</v>
      </c>
      <c r="X2208" s="2">
        <f t="shared" ca="1" si="2130"/>
        <v>59543201.436736025</v>
      </c>
      <c r="Y2208" s="2">
        <f t="shared" ca="1" si="2131"/>
        <v>0.12400173570364441</v>
      </c>
      <c r="Z2208" s="2">
        <f t="shared" ca="1" si="2132"/>
        <v>0.12560242998510218</v>
      </c>
      <c r="AA2208" s="2">
        <f t="shared" ca="1" si="2133"/>
        <v>6233168.1475122701</v>
      </c>
      <c r="AB2208" s="2">
        <f t="shared" ca="1" si="2134"/>
        <v>6586685.0228907773</v>
      </c>
      <c r="AC2208" s="2">
        <f t="shared" ca="1" si="2135"/>
        <v>6871549.3777303947</v>
      </c>
      <c r="AD2208" s="2">
        <f t="shared" ca="1" si="2136"/>
        <v>7168733.6932750065</v>
      </c>
      <c r="AE2208" s="2">
        <f t="shared" ca="1" si="2137"/>
        <v>7478770.789546472</v>
      </c>
      <c r="AF2208" s="2">
        <f t="shared" ca="1" si="2138"/>
        <v>1005335.628915568</v>
      </c>
      <c r="AG2208" s="2">
        <f t="shared" ca="1" si="2139"/>
        <v>1048814.9032900129</v>
      </c>
      <c r="AH2208" s="2">
        <f t="shared" ca="1" si="2140"/>
        <v>1094174.5917726967</v>
      </c>
      <c r="AI2208" s="2">
        <f t="shared" ca="1" si="2141"/>
        <v>1141496.019483906</v>
      </c>
      <c r="AJ2208" s="2">
        <f t="shared" ca="1" si="2142"/>
        <v>1190864.0287347205</v>
      </c>
      <c r="AK2208" s="2">
        <f t="shared" ca="1" si="2143"/>
        <v>0</v>
      </c>
      <c r="AL2208" s="2">
        <f t="shared" ca="1" si="2144"/>
        <v>21739.637187222394</v>
      </c>
      <c r="AM2208" s="2">
        <f t="shared" ca="1" si="2145"/>
        <v>22679.844241341951</v>
      </c>
      <c r="AN2208" s="2">
        <f t="shared" ca="1" si="2146"/>
        <v>23660.713855604605</v>
      </c>
      <c r="AO2208" s="2">
        <f t="shared" ca="1" si="2147"/>
        <v>24684.00462540731</v>
      </c>
      <c r="AP2208" s="2">
        <f t="shared" ca="1" si="2148"/>
        <v>2421356.7128002546</v>
      </c>
      <c r="AQ2208" s="2">
        <f t="shared" ca="1" si="2149"/>
        <v>729683.70950707642</v>
      </c>
      <c r="AR2208" s="2">
        <f t="shared" ca="1" si="2150"/>
        <v>810293.48576813261</v>
      </c>
      <c r="AS2208" s="2">
        <f t="shared" ca="1" si="2151"/>
        <v>872564.69902093522</v>
      </c>
      <c r="AT2208" s="2">
        <f t="shared" ca="1" si="2152"/>
        <v>937529.04985761992</v>
      </c>
      <c r="AU2208" s="2">
        <f t="shared" ca="1" si="2153"/>
        <v>1005303.0124829892</v>
      </c>
      <c r="AV2208" s="2">
        <f t="shared" ca="1" si="2154"/>
        <v>2076792.0962893716</v>
      </c>
      <c r="AW2208" s="2">
        <f t="shared" ca="1" si="2155"/>
        <v>2284480.283845155</v>
      </c>
      <c r="AX2208" s="2">
        <f t="shared" ca="1" si="2156"/>
        <v>2460773.5298951664</v>
      </c>
      <c r="AY2208" s="2">
        <f t="shared" ca="1" si="2157"/>
        <v>2644691.1972776209</v>
      </c>
      <c r="AZ2208" s="2">
        <f t="shared" ca="1" si="2158"/>
        <v>2836563.0309031005</v>
      </c>
      <c r="BA2208" s="2">
        <f t="shared" ca="1" si="2159"/>
        <v>60176416.841243602</v>
      </c>
      <c r="BB2208" s="2">
        <f t="shared" ca="1" si="2160"/>
        <v>1203528.3368248721</v>
      </c>
      <c r="BC2208" s="2">
        <f t="shared" ca="1" si="2161"/>
        <v>32068925.028860345</v>
      </c>
      <c r="BD2208" s="2">
        <f t="shared" ca="1" si="2162"/>
        <v>-19556974.128520526</v>
      </c>
      <c r="BE2208" s="2">
        <f t="shared" ca="1" si="2163"/>
        <v>2076792.0962893716</v>
      </c>
      <c r="BF2208" s="2">
        <f t="shared" ca="1" si="2164"/>
        <v>2284480.283845155</v>
      </c>
      <c r="BG2208" s="2">
        <f t="shared" ca="1" si="2165"/>
        <v>2460773.5298951664</v>
      </c>
      <c r="BH2208" s="2">
        <f t="shared" ca="1" si="2166"/>
        <v>2644691.1972776209</v>
      </c>
      <c r="BI2208" s="2">
        <f t="shared" ca="1" si="2167"/>
        <v>34905488.059763446</v>
      </c>
      <c r="BJ2208" s="2">
        <f t="shared" ca="1" si="2168"/>
        <v>0.20704268618990418</v>
      </c>
      <c r="BK2208" s="2">
        <f t="shared" ca="1" si="2169"/>
        <v>7357068.6222122572</v>
      </c>
    </row>
    <row r="2209" spans="1:63" x14ac:dyDescent="0.3">
      <c r="A2209" s="2">
        <v>2208</v>
      </c>
      <c r="B2209" s="2">
        <f t="shared" ca="1" si="2108"/>
        <v>0.48444415450714196</v>
      </c>
      <c r="C2209" s="2">
        <f t="shared" ca="1" si="2109"/>
        <v>6.9843212427933699</v>
      </c>
      <c r="D2209" s="2">
        <f t="shared" ca="1" si="2110"/>
        <v>0.26431962259546826</v>
      </c>
      <c r="E2209" s="2">
        <f t="shared" ca="1" si="2111"/>
        <v>7.2270758180485286</v>
      </c>
      <c r="F2209" s="2">
        <f t="shared" ca="1" si="2112"/>
        <v>0.23451872455917644</v>
      </c>
      <c r="G2209" s="2">
        <f t="shared" ca="1" si="2113"/>
        <v>1.8278617762595553E-2</v>
      </c>
      <c r="H2209" s="2">
        <f t="shared" ca="1" si="2114"/>
        <v>1.8278617762595553E-2</v>
      </c>
      <c r="I2209" s="2">
        <f t="shared" ca="1" si="2115"/>
        <v>0.99437072957557937</v>
      </c>
      <c r="J2209" s="2">
        <f t="shared" ca="1" si="2116"/>
        <v>2.2672850345041573E-2</v>
      </c>
      <c r="K2209" s="2">
        <f t="shared" ca="1" si="2117"/>
        <v>2.2672850345041573E-2</v>
      </c>
      <c r="L2209" s="2">
        <f t="shared" ca="1" si="2118"/>
        <v>0.90406956535367411</v>
      </c>
      <c r="M2209" s="2">
        <f t="shared" ca="1" si="2119"/>
        <v>2.6101878372641451E-2</v>
      </c>
      <c r="N2209" s="2">
        <f t="shared" ca="1" si="2120"/>
        <v>2.6101878372641451E-2</v>
      </c>
      <c r="O2209" s="2">
        <f t="shared" si="2121"/>
        <v>6000000</v>
      </c>
      <c r="P2209" s="2">
        <f t="shared" ca="1" si="2122"/>
        <v>41905927.45676022</v>
      </c>
      <c r="Q2209" s="2">
        <f t="shared" ca="1" si="2123"/>
        <v>1047648.1864190055</v>
      </c>
      <c r="R2209" s="2">
        <f t="shared" ca="1" si="2124"/>
        <v>25143556.474056132</v>
      </c>
      <c r="S2209" s="2">
        <f t="shared" ca="1" si="2125"/>
        <v>16762370.982704088</v>
      </c>
      <c r="T2209" s="2">
        <f t="shared" ca="1" si="2126"/>
        <v>51305093.918632075</v>
      </c>
      <c r="U2209" s="2">
        <f t="shared" ca="1" si="2127"/>
        <v>52242880.119644813</v>
      </c>
      <c r="V2209" s="2">
        <f t="shared" ca="1" si="2128"/>
        <v>53197807.756168902</v>
      </c>
      <c r="W2209" s="2">
        <f t="shared" ca="1" si="2129"/>
        <v>54170190.149951957</v>
      </c>
      <c r="X2209" s="2">
        <f t="shared" ca="1" si="2130"/>
        <v>55160346.349830046</v>
      </c>
      <c r="Y2209" s="2">
        <f t="shared" ca="1" si="2131"/>
        <v>0.13133642517252078</v>
      </c>
      <c r="Z2209" s="2">
        <f t="shared" ca="1" si="2132"/>
        <v>0.1358709952415291</v>
      </c>
      <c r="AA2209" s="2">
        <f t="shared" ca="1" si="2133"/>
        <v>6738227.6284135729</v>
      </c>
      <c r="AB2209" s="2">
        <f t="shared" ca="1" si="2134"/>
        <v>7098292.1161400359</v>
      </c>
      <c r="AC2209" s="2">
        <f t="shared" ca="1" si="2135"/>
        <v>7228039.0844982043</v>
      </c>
      <c r="AD2209" s="2">
        <f t="shared" ca="1" si="2136"/>
        <v>7360157.6480968483</v>
      </c>
      <c r="AE2209" s="2">
        <f t="shared" ca="1" si="2137"/>
        <v>7494691.1564188553</v>
      </c>
      <c r="AF2209" s="2">
        <f t="shared" ca="1" si="2138"/>
        <v>1026101.8783726415</v>
      </c>
      <c r="AG2209" s="2">
        <f t="shared" ca="1" si="2139"/>
        <v>1044857.6023928963</v>
      </c>
      <c r="AH2209" s="2">
        <f t="shared" ca="1" si="2140"/>
        <v>1063956.1551233782</v>
      </c>
      <c r="AI2209" s="2">
        <f t="shared" ca="1" si="2141"/>
        <v>1083403.8029990392</v>
      </c>
      <c r="AJ2209" s="2">
        <f t="shared" ca="1" si="2142"/>
        <v>1103206.926996601</v>
      </c>
      <c r="AK2209" s="2">
        <f t="shared" ca="1" si="2143"/>
        <v>0</v>
      </c>
      <c r="AL2209" s="2">
        <f t="shared" ca="1" si="2144"/>
        <v>9377.8620101273809</v>
      </c>
      <c r="AM2209" s="2">
        <f t="shared" ca="1" si="2145"/>
        <v>9549.2763652408867</v>
      </c>
      <c r="AN2209" s="2">
        <f t="shared" ca="1" si="2146"/>
        <v>9723.8239378305534</v>
      </c>
      <c r="AO2209" s="2">
        <f t="shared" ca="1" si="2147"/>
        <v>9901.5619987808914</v>
      </c>
      <c r="AP2209" s="2">
        <f t="shared" ca="1" si="2148"/>
        <v>2262920.0826650518</v>
      </c>
      <c r="AQ2209" s="2">
        <f t="shared" ca="1" si="2149"/>
        <v>896793.47351772874</v>
      </c>
      <c r="AR2209" s="2">
        <f t="shared" ca="1" si="2150"/>
        <v>985533.75208134297</v>
      </c>
      <c r="AS2209" s="2">
        <f t="shared" ca="1" si="2151"/>
        <v>1014302.3401445413</v>
      </c>
      <c r="AT2209" s="2">
        <f t="shared" ca="1" si="2152"/>
        <v>1043596.778232517</v>
      </c>
      <c r="AU2209" s="2">
        <f t="shared" ca="1" si="2153"/>
        <v>1073426.6781568727</v>
      </c>
      <c r="AV2209" s="2">
        <f t="shared" ca="1" si="2154"/>
        <v>2552412.1938581509</v>
      </c>
      <c r="AW2209" s="2">
        <f t="shared" ca="1" si="2155"/>
        <v>2795602.8169906181</v>
      </c>
      <c r="AX2209" s="2">
        <f t="shared" ca="1" si="2156"/>
        <v>2877311.2301999922</v>
      </c>
      <c r="AY2209" s="2">
        <f t="shared" ca="1" si="2157"/>
        <v>2960513.1602624101</v>
      </c>
      <c r="AZ2209" s="2">
        <f t="shared" ca="1" si="2158"/>
        <v>3045235.9066015487</v>
      </c>
      <c r="BA2209" s="2">
        <f t="shared" ca="1" si="2159"/>
        <v>54164701.220296875</v>
      </c>
      <c r="BB2209" s="2">
        <f t="shared" ca="1" si="2160"/>
        <v>1083294.0244059374</v>
      </c>
      <c r="BC2209" s="2">
        <f t="shared" ca="1" si="2161"/>
        <v>27937850.721834805</v>
      </c>
      <c r="BD2209" s="2">
        <f t="shared" ca="1" si="2162"/>
        <v>-18310019.169123095</v>
      </c>
      <c r="BE2209" s="2">
        <f t="shared" ca="1" si="2163"/>
        <v>2552412.1938581509</v>
      </c>
      <c r="BF2209" s="2">
        <f t="shared" ca="1" si="2164"/>
        <v>2795602.8169906181</v>
      </c>
      <c r="BG2209" s="2">
        <f t="shared" ca="1" si="2165"/>
        <v>2877311.2301999922</v>
      </c>
      <c r="BH2209" s="2">
        <f t="shared" ca="1" si="2166"/>
        <v>2960513.1602624101</v>
      </c>
      <c r="BI2209" s="2">
        <f t="shared" ca="1" si="2167"/>
        <v>30983086.628436353</v>
      </c>
      <c r="BJ2209" s="2">
        <f t="shared" ca="1" si="2168"/>
        <v>0.22075108534644317</v>
      </c>
      <c r="BK2209" s="2">
        <f t="shared" ca="1" si="2169"/>
        <v>7707666.1006489843</v>
      </c>
    </row>
    <row r="2210" spans="1:63" x14ac:dyDescent="0.3">
      <c r="A2210" s="2">
        <v>2209</v>
      </c>
      <c r="B2210" s="2">
        <f t="shared" ca="1" si="2108"/>
        <v>0.44767561745051943</v>
      </c>
      <c r="C2210" s="2">
        <f t="shared" ca="1" si="2109"/>
        <v>6.9462300116256293</v>
      </c>
      <c r="D2210" s="2">
        <f t="shared" ca="1" si="2110"/>
        <v>0.73409374811655781</v>
      </c>
      <c r="E2210" s="2">
        <f t="shared" ca="1" si="2111"/>
        <v>7.7707452408335724</v>
      </c>
      <c r="F2210" s="2">
        <f t="shared" ca="1" si="2112"/>
        <v>0.46983878022811199</v>
      </c>
      <c r="G2210" s="2">
        <f t="shared" ca="1" si="2113"/>
        <v>3.7729746018108537E-2</v>
      </c>
      <c r="H2210" s="2">
        <f t="shared" ca="1" si="2114"/>
        <v>3.7729746018108537E-2</v>
      </c>
      <c r="I2210" s="2">
        <f t="shared" ca="1" si="2115"/>
        <v>0.59867640788871168</v>
      </c>
      <c r="J2210" s="2">
        <f t="shared" ca="1" si="2116"/>
        <v>1.1249613137163491E-2</v>
      </c>
      <c r="K2210" s="2">
        <f t="shared" ca="1" si="2117"/>
        <v>1.1249613137163491E-2</v>
      </c>
      <c r="L2210" s="2">
        <f t="shared" ca="1" si="2118"/>
        <v>0.11280279397611581</v>
      </c>
      <c r="M2210" s="2">
        <f t="shared" ca="1" si="2119"/>
        <v>-2.4235130851600544E-2</v>
      </c>
      <c r="N2210" s="2">
        <f t="shared" ca="1" si="2120"/>
        <v>-2.4235130851600544E-2</v>
      </c>
      <c r="O2210" s="2">
        <f t="shared" si="2121"/>
        <v>6000000</v>
      </c>
      <c r="P2210" s="2">
        <f t="shared" ca="1" si="2122"/>
        <v>41677380.069753774</v>
      </c>
      <c r="Q2210" s="2">
        <f t="shared" ca="1" si="2123"/>
        <v>1041934.5017438444</v>
      </c>
      <c r="R2210" s="2">
        <f t="shared" ca="1" si="2124"/>
        <v>25006428.041852262</v>
      </c>
      <c r="S2210" s="2">
        <f t="shared" ca="1" si="2125"/>
        <v>16670952.02790151</v>
      </c>
      <c r="T2210" s="2">
        <f t="shared" ca="1" si="2126"/>
        <v>48788243.457419969</v>
      </c>
      <c r="U2210" s="2">
        <f t="shared" ca="1" si="2127"/>
        <v>50629011.491738066</v>
      </c>
      <c r="V2210" s="2">
        <f t="shared" ca="1" si="2128"/>
        <v>52539231.236469239</v>
      </c>
      <c r="W2210" s="2">
        <f t="shared" ca="1" si="2129"/>
        <v>54521523.087007895</v>
      </c>
      <c r="X2210" s="2">
        <f t="shared" ca="1" si="2130"/>
        <v>56578606.305601142</v>
      </c>
      <c r="Y2210" s="2">
        <f t="shared" ca="1" si="2131"/>
        <v>0.12562480656858174</v>
      </c>
      <c r="Z2210" s="2">
        <f t="shared" ca="1" si="2132"/>
        <v>0.12787472919601445</v>
      </c>
      <c r="AA2210" s="2">
        <f t="shared" ca="1" si="2133"/>
        <v>6129013.647159257</v>
      </c>
      <c r="AB2210" s="2">
        <f t="shared" ca="1" si="2134"/>
        <v>6474171.133967909</v>
      </c>
      <c r="AC2210" s="2">
        <f t="shared" ca="1" si="2135"/>
        <v>6718439.9665302876</v>
      </c>
      <c r="AD2210" s="2">
        <f t="shared" ca="1" si="2136"/>
        <v>6971925.0001053838</v>
      </c>
      <c r="AE2210" s="2">
        <f t="shared" ca="1" si="2137"/>
        <v>7234973.9596166611</v>
      </c>
      <c r="AF2210" s="2">
        <f t="shared" ca="1" si="2138"/>
        <v>975764.86914839945</v>
      </c>
      <c r="AG2210" s="2">
        <f t="shared" ca="1" si="2139"/>
        <v>1012580.2298347614</v>
      </c>
      <c r="AH2210" s="2">
        <f t="shared" ca="1" si="2140"/>
        <v>1050784.6247293849</v>
      </c>
      <c r="AI2210" s="2">
        <f t="shared" ca="1" si="2141"/>
        <v>1090430.461740158</v>
      </c>
      <c r="AJ2210" s="2">
        <f t="shared" ca="1" si="2142"/>
        <v>1131572.1261120229</v>
      </c>
      <c r="AK2210" s="2">
        <f t="shared" ca="1" si="2143"/>
        <v>0</v>
      </c>
      <c r="AL2210" s="2">
        <f t="shared" ca="1" si="2144"/>
        <v>18407.680343180971</v>
      </c>
      <c r="AM2210" s="2">
        <f t="shared" ca="1" si="2145"/>
        <v>19102.19744731173</v>
      </c>
      <c r="AN2210" s="2">
        <f t="shared" ca="1" si="2146"/>
        <v>19822.918505386562</v>
      </c>
      <c r="AO2210" s="2">
        <f t="shared" ca="1" si="2147"/>
        <v>20570.832185932471</v>
      </c>
      <c r="AP2210" s="2">
        <f t="shared" ca="1" si="2148"/>
        <v>2250578.5237667034</v>
      </c>
      <c r="AQ2210" s="2">
        <f t="shared" ca="1" si="2149"/>
        <v>754694.26610348001</v>
      </c>
      <c r="AR2210" s="2">
        <f t="shared" ca="1" si="2150"/>
        <v>834863.2188952755</v>
      </c>
      <c r="AS2210" s="2">
        <f t="shared" ca="1" si="2151"/>
        <v>888439.97268889192</v>
      </c>
      <c r="AT2210" s="2">
        <f t="shared" ca="1" si="2152"/>
        <v>944038.16379561601</v>
      </c>
      <c r="AU2210" s="2">
        <f t="shared" ca="1" si="2153"/>
        <v>1001734.0605318629</v>
      </c>
      <c r="AV2210" s="2">
        <f t="shared" ca="1" si="2154"/>
        <v>2147975.9881406738</v>
      </c>
      <c r="AW2210" s="2">
        <f t="shared" ca="1" si="2155"/>
        <v>2357741.4811279881</v>
      </c>
      <c r="AX2210" s="2">
        <f t="shared" ca="1" si="2156"/>
        <v>2509534.6478979955</v>
      </c>
      <c r="AY2210" s="2">
        <f t="shared" ca="1" si="2157"/>
        <v>2667054.9322975208</v>
      </c>
      <c r="AZ2210" s="2">
        <f t="shared" ca="1" si="2158"/>
        <v>2830518.4170201388</v>
      </c>
      <c r="BA2210" s="2">
        <f t="shared" ca="1" si="2159"/>
        <v>56221139.464245997</v>
      </c>
      <c r="BB2210" s="2">
        <f t="shared" ca="1" si="2160"/>
        <v>1124422.7892849201</v>
      </c>
      <c r="BC2210" s="2">
        <f t="shared" ca="1" si="2161"/>
        <v>30090288.633108817</v>
      </c>
      <c r="BD2210" s="2">
        <f t="shared" ca="1" si="2162"/>
        <v>-18212886.529645354</v>
      </c>
      <c r="BE2210" s="2">
        <f t="shared" ca="1" si="2163"/>
        <v>2147975.9881406738</v>
      </c>
      <c r="BF2210" s="2">
        <f t="shared" ca="1" si="2164"/>
        <v>2357741.4811279881</v>
      </c>
      <c r="BG2210" s="2">
        <f t="shared" ca="1" si="2165"/>
        <v>2509534.6478979955</v>
      </c>
      <c r="BH2210" s="2">
        <f t="shared" ca="1" si="2166"/>
        <v>2667054.9322975208</v>
      </c>
      <c r="BI2210" s="2">
        <f t="shared" ca="1" si="2167"/>
        <v>32920807.050128955</v>
      </c>
      <c r="BJ2210" s="2">
        <f t="shared" ca="1" si="2168"/>
        <v>0.21834944378029153</v>
      </c>
      <c r="BK2210" s="2">
        <f t="shared" ca="1" si="2169"/>
        <v>7745875.0989793725</v>
      </c>
    </row>
    <row r="2211" spans="1:63" x14ac:dyDescent="0.3">
      <c r="A2211" s="2">
        <v>2210</v>
      </c>
      <c r="B2211" s="2">
        <f t="shared" ca="1" si="2108"/>
        <v>4.2702367009588516E-2</v>
      </c>
      <c r="C2211" s="2">
        <f t="shared" ca="1" si="2109"/>
        <v>6.2922408835518686</v>
      </c>
      <c r="D2211" s="2">
        <f t="shared" ca="1" si="2110"/>
        <v>0.73518588040787214</v>
      </c>
      <c r="E2211" s="2">
        <f t="shared" ca="1" si="2111"/>
        <v>7.7722443822379272</v>
      </c>
      <c r="F2211" s="2">
        <f t="shared" ca="1" si="2112"/>
        <v>0.60602200586137323</v>
      </c>
      <c r="G2211" s="2">
        <f t="shared" ca="1" si="2113"/>
        <v>4.8068974488400612E-2</v>
      </c>
      <c r="H2211" s="2">
        <f t="shared" ca="1" si="2114"/>
        <v>4.8068974488400612E-2</v>
      </c>
      <c r="I2211" s="2">
        <f t="shared" ca="1" si="2115"/>
        <v>0.59556534164143993</v>
      </c>
      <c r="J2211" s="2">
        <f t="shared" ca="1" si="2116"/>
        <v>1.1209424720040316E-2</v>
      </c>
      <c r="K2211" s="2">
        <f t="shared" ca="1" si="2117"/>
        <v>1.1209424720040316E-2</v>
      </c>
      <c r="L2211" s="2">
        <f t="shared" ca="1" si="2118"/>
        <v>0.19292694582257974</v>
      </c>
      <c r="M2211" s="2">
        <f t="shared" ca="1" si="2119"/>
        <v>-1.7343216712788344E-2</v>
      </c>
      <c r="N2211" s="2">
        <f t="shared" ca="1" si="2120"/>
        <v>-1.7343216712788344E-2</v>
      </c>
      <c r="O2211" s="2">
        <f t="shared" si="2121"/>
        <v>6000000</v>
      </c>
      <c r="P2211" s="2">
        <f t="shared" ca="1" si="2122"/>
        <v>37753445.30131121</v>
      </c>
      <c r="Q2211" s="2">
        <f t="shared" ca="1" si="2123"/>
        <v>943836.13253278029</v>
      </c>
      <c r="R2211" s="2">
        <f t="shared" ca="1" si="2124"/>
        <v>22652067.180786725</v>
      </c>
      <c r="S2211" s="2">
        <f t="shared" ca="1" si="2125"/>
        <v>15101378.120524485</v>
      </c>
      <c r="T2211" s="2">
        <f t="shared" ca="1" si="2126"/>
        <v>49132839.164360583</v>
      </c>
      <c r="U2211" s="2">
        <f t="shared" ca="1" si="2127"/>
        <v>51494604.356694922</v>
      </c>
      <c r="V2211" s="2">
        <f t="shared" ca="1" si="2128"/>
        <v>53969897.179807171</v>
      </c>
      <c r="W2211" s="2">
        <f t="shared" ca="1" si="2129"/>
        <v>56564174.790484928</v>
      </c>
      <c r="X2211" s="2">
        <f t="shared" ca="1" si="2130"/>
        <v>59283156.665446185</v>
      </c>
      <c r="Y2211" s="2">
        <f t="shared" ca="1" si="2131"/>
        <v>0.12560471236002016</v>
      </c>
      <c r="Z2211" s="2">
        <f t="shared" ca="1" si="2132"/>
        <v>0.12784659730402823</v>
      </c>
      <c r="AA2211" s="2">
        <f t="shared" ca="1" si="2133"/>
        <v>6171316.1306706443</v>
      </c>
      <c r="AB2211" s="2">
        <f t="shared" ca="1" si="2134"/>
        <v>6583409.9465206331</v>
      </c>
      <c r="AC2211" s="2">
        <f t="shared" ca="1" si="2135"/>
        <v>6899867.7112866156</v>
      </c>
      <c r="AD2211" s="2">
        <f t="shared" ca="1" si="2136"/>
        <v>7231537.2762737917</v>
      </c>
      <c r="AE2211" s="2">
        <f t="shared" ca="1" si="2137"/>
        <v>7579149.8571189148</v>
      </c>
      <c r="AF2211" s="2">
        <f t="shared" ca="1" si="2138"/>
        <v>982656.78328721167</v>
      </c>
      <c r="AG2211" s="2">
        <f t="shared" ca="1" si="2139"/>
        <v>1029892.0871338985</v>
      </c>
      <c r="AH2211" s="2">
        <f t="shared" ca="1" si="2140"/>
        <v>1079397.9435961435</v>
      </c>
      <c r="AI2211" s="2">
        <f t="shared" ca="1" si="2141"/>
        <v>1131283.4958096985</v>
      </c>
      <c r="AJ2211" s="2">
        <f t="shared" ca="1" si="2142"/>
        <v>1185663.1333089238</v>
      </c>
      <c r="AK2211" s="2">
        <f t="shared" ca="1" si="2143"/>
        <v>0</v>
      </c>
      <c r="AL2211" s="2">
        <f t="shared" ca="1" si="2144"/>
        <v>23617.65192334339</v>
      </c>
      <c r="AM2211" s="2">
        <f t="shared" ca="1" si="2145"/>
        <v>24752.928231122496</v>
      </c>
      <c r="AN2211" s="2">
        <f t="shared" ca="1" si="2146"/>
        <v>25942.776106777565</v>
      </c>
      <c r="AO2211" s="2">
        <f t="shared" ca="1" si="2147"/>
        <v>27189.818749612572</v>
      </c>
      <c r="AP2211" s="2">
        <f t="shared" ca="1" si="2148"/>
        <v>2038686.0462708052</v>
      </c>
      <c r="AQ2211" s="2">
        <f t="shared" ca="1" si="2149"/>
        <v>818993.05828928319</v>
      </c>
      <c r="AR2211" s="2">
        <f t="shared" ca="1" si="2150"/>
        <v>913856.27141014161</v>
      </c>
      <c r="AS2211" s="2">
        <f t="shared" ca="1" si="2151"/>
        <v>983263.76756911341</v>
      </c>
      <c r="AT2211" s="2">
        <f t="shared" ca="1" si="2152"/>
        <v>1056007.6108902548</v>
      </c>
      <c r="AU2211" s="2">
        <f t="shared" ca="1" si="2153"/>
        <v>1132248.1761601884</v>
      </c>
      <c r="AV2211" s="2">
        <f t="shared" ca="1" si="2154"/>
        <v>2330980.2428233447</v>
      </c>
      <c r="AW2211" s="2">
        <f t="shared" ca="1" si="2155"/>
        <v>2577357.8897824446</v>
      </c>
      <c r="AX2211" s="2">
        <f t="shared" ca="1" si="2156"/>
        <v>2773767.0256194305</v>
      </c>
      <c r="AY2211" s="2">
        <f t="shared" ca="1" si="2157"/>
        <v>2979617.3471962558</v>
      </c>
      <c r="AZ2211" s="2">
        <f t="shared" ca="1" si="2158"/>
        <v>3195362.682629385</v>
      </c>
      <c r="BA2211" s="2">
        <f t="shared" ca="1" si="2159"/>
        <v>58907004.899131872</v>
      </c>
      <c r="BB2211" s="2">
        <f t="shared" ca="1" si="2160"/>
        <v>1178140.0979826374</v>
      </c>
      <c r="BC2211" s="2">
        <f t="shared" ca="1" si="2161"/>
        <v>35076797.620362513</v>
      </c>
      <c r="BD2211" s="2">
        <f t="shared" ca="1" si="2162"/>
        <v>-16545214.253057266</v>
      </c>
      <c r="BE2211" s="2">
        <f t="shared" ca="1" si="2163"/>
        <v>2330980.2428233447</v>
      </c>
      <c r="BF2211" s="2">
        <f t="shared" ca="1" si="2164"/>
        <v>2577357.8897824446</v>
      </c>
      <c r="BG2211" s="2">
        <f t="shared" ca="1" si="2165"/>
        <v>2773767.0256194305</v>
      </c>
      <c r="BH2211" s="2">
        <f t="shared" ca="1" si="2166"/>
        <v>2979617.3471962558</v>
      </c>
      <c r="BI2211" s="2">
        <f t="shared" ca="1" si="2167"/>
        <v>38272160.302991897</v>
      </c>
      <c r="BJ2211" s="2">
        <f t="shared" ca="1" si="2168"/>
        <v>0.28792317505432408</v>
      </c>
      <c r="BK2211" s="2">
        <f t="shared" ca="1" si="2169"/>
        <v>13175236.890627628</v>
      </c>
    </row>
    <row r="2212" spans="1:63" x14ac:dyDescent="0.3">
      <c r="A2212" s="2">
        <v>2211</v>
      </c>
      <c r="B2212" s="2">
        <f t="shared" ca="1" si="2108"/>
        <v>0.605114951774128</v>
      </c>
      <c r="C2212" s="2">
        <f t="shared" ca="1" si="2109"/>
        <v>7.1113098985294458</v>
      </c>
      <c r="D2212" s="2">
        <f t="shared" ca="1" si="2110"/>
        <v>0.92797065098894627</v>
      </c>
      <c r="E2212" s="2">
        <f t="shared" ca="1" si="2111"/>
        <v>8.1204493472247652</v>
      </c>
      <c r="F2212" s="2">
        <f t="shared" ca="1" si="2112"/>
        <v>0.60557367102391446</v>
      </c>
      <c r="G2212" s="2">
        <f t="shared" ca="1" si="2113"/>
        <v>4.8034023881052226E-2</v>
      </c>
      <c r="H2212" s="2">
        <f t="shared" ca="1" si="2114"/>
        <v>4.8034023881052226E-2</v>
      </c>
      <c r="I2212" s="2">
        <f t="shared" ca="1" si="2115"/>
        <v>0.23650890827395654</v>
      </c>
      <c r="J2212" s="2">
        <f t="shared" ca="1" si="2116"/>
        <v>6.412112350554406E-3</v>
      </c>
      <c r="K2212" s="2">
        <f t="shared" ca="1" si="2117"/>
        <v>6.412112350554406E-3</v>
      </c>
      <c r="L2212" s="2">
        <f t="shared" ca="1" si="2118"/>
        <v>0.30406550102279684</v>
      </c>
      <c r="M2212" s="2">
        <f t="shared" ca="1" si="2119"/>
        <v>-1.025486298589851E-2</v>
      </c>
      <c r="N2212" s="2">
        <f t="shared" ca="1" si="2120"/>
        <v>-1.025486298589851E-2</v>
      </c>
      <c r="O2212" s="2">
        <f t="shared" si="2121"/>
        <v>6000000</v>
      </c>
      <c r="P2212" s="2">
        <f t="shared" ca="1" si="2122"/>
        <v>42667859.391176678</v>
      </c>
      <c r="Q2212" s="2">
        <f t="shared" ca="1" si="2123"/>
        <v>1066696.484779417</v>
      </c>
      <c r="R2212" s="2">
        <f t="shared" ca="1" si="2124"/>
        <v>25600715.634706005</v>
      </c>
      <c r="S2212" s="2">
        <f t="shared" ca="1" si="2125"/>
        <v>17067143.756470673</v>
      </c>
      <c r="T2212" s="2">
        <f t="shared" ca="1" si="2126"/>
        <v>49487256.850705072</v>
      </c>
      <c r="U2212" s="2">
        <f t="shared" ca="1" si="2127"/>
        <v>51864328.928079605</v>
      </c>
      <c r="V2212" s="2">
        <f t="shared" ca="1" si="2128"/>
        <v>54355581.342385724</v>
      </c>
      <c r="W2212" s="2">
        <f t="shared" ca="1" si="2129"/>
        <v>56966498.634654351</v>
      </c>
      <c r="X2212" s="2">
        <f t="shared" ca="1" si="2130"/>
        <v>59702828.790491261</v>
      </c>
      <c r="Y2212" s="2">
        <f t="shared" ca="1" si="2131"/>
        <v>0.1232060561752772</v>
      </c>
      <c r="Z2212" s="2">
        <f t="shared" ca="1" si="2132"/>
        <v>0.12448847864538808</v>
      </c>
      <c r="AA2212" s="2">
        <f t="shared" ca="1" si="2133"/>
        <v>6097129.7475083405</v>
      </c>
      <c r="AB2212" s="2">
        <f t="shared" ca="1" si="2134"/>
        <v>6456511.4042206211</v>
      </c>
      <c r="AC2212" s="2">
        <f t="shared" ca="1" si="2135"/>
        <v>6766643.62719924</v>
      </c>
      <c r="AD2212" s="2">
        <f t="shared" ca="1" si="2136"/>
        <v>7091672.7487826971</v>
      </c>
      <c r="AE2212" s="2">
        <f t="shared" ca="1" si="2137"/>
        <v>7432314.3269543312</v>
      </c>
      <c r="AF2212" s="2">
        <f t="shared" ca="1" si="2138"/>
        <v>989745.13701410149</v>
      </c>
      <c r="AG2212" s="2">
        <f t="shared" ca="1" si="2139"/>
        <v>1037286.5785615921</v>
      </c>
      <c r="AH2212" s="2">
        <f t="shared" ca="1" si="2140"/>
        <v>1087111.6268477144</v>
      </c>
      <c r="AI2212" s="2">
        <f t="shared" ca="1" si="2141"/>
        <v>1139329.9726930871</v>
      </c>
      <c r="AJ2212" s="2">
        <f t="shared" ca="1" si="2142"/>
        <v>1194056.5758098252</v>
      </c>
      <c r="AK2212" s="2">
        <f t="shared" ca="1" si="2143"/>
        <v>0</v>
      </c>
      <c r="AL2212" s="2">
        <f t="shared" ca="1" si="2144"/>
        <v>23770.720773745328</v>
      </c>
      <c r="AM2212" s="2">
        <f t="shared" ca="1" si="2145"/>
        <v>24912.524143061193</v>
      </c>
      <c r="AN2212" s="2">
        <f t="shared" ca="1" si="2146"/>
        <v>26109.172922686266</v>
      </c>
      <c r="AO2212" s="2">
        <f t="shared" ca="1" si="2147"/>
        <v>27363.301558369101</v>
      </c>
      <c r="AP2212" s="2">
        <f t="shared" ca="1" si="2148"/>
        <v>2304064.4071235405</v>
      </c>
      <c r="AQ2212" s="2">
        <f t="shared" ca="1" si="2149"/>
        <v>728863.25287638174</v>
      </c>
      <c r="AR2212" s="2">
        <f t="shared" ca="1" si="2150"/>
        <v>809941.70881922706</v>
      </c>
      <c r="AS2212" s="2">
        <f t="shared" ca="1" si="2151"/>
        <v>877621.57423927623</v>
      </c>
      <c r="AT2212" s="2">
        <f t="shared" ca="1" si="2152"/>
        <v>948552.37593117822</v>
      </c>
      <c r="AU2212" s="2">
        <f t="shared" ca="1" si="2153"/>
        <v>1022890.2694454511</v>
      </c>
      <c r="AV2212" s="2">
        <f t="shared" ca="1" si="2154"/>
        <v>2074456.9504943173</v>
      </c>
      <c r="AW2212" s="2">
        <f t="shared" ca="1" si="2155"/>
        <v>2281447.988942516</v>
      </c>
      <c r="AX2212" s="2">
        <f t="shared" ca="1" si="2156"/>
        <v>2472933.4948456474</v>
      </c>
      <c r="AY2212" s="2">
        <f t="shared" ca="1" si="2157"/>
        <v>2673616.8201122051</v>
      </c>
      <c r="AZ2212" s="2">
        <f t="shared" ca="1" si="2158"/>
        <v>2883939.7730171457</v>
      </c>
      <c r="BA2212" s="2">
        <f t="shared" ca="1" si="2159"/>
        <v>60353732.024685569</v>
      </c>
      <c r="BB2212" s="2">
        <f t="shared" ca="1" si="2160"/>
        <v>1207074.6404937115</v>
      </c>
      <c r="BC2212" s="2">
        <f t="shared" ca="1" si="2161"/>
        <v>33545941.74948585</v>
      </c>
      <c r="BD2212" s="2">
        <f t="shared" ca="1" si="2162"/>
        <v>-18633840.24125009</v>
      </c>
      <c r="BE2212" s="2">
        <f t="shared" ca="1" si="2163"/>
        <v>2074456.9504943173</v>
      </c>
      <c r="BF2212" s="2">
        <f t="shared" ca="1" si="2164"/>
        <v>2281447.988942516</v>
      </c>
      <c r="BG2212" s="2">
        <f t="shared" ca="1" si="2165"/>
        <v>2472933.4948456474</v>
      </c>
      <c r="BH2212" s="2">
        <f t="shared" ca="1" si="2166"/>
        <v>2673616.8201122051</v>
      </c>
      <c r="BI2212" s="2">
        <f t="shared" ca="1" si="2167"/>
        <v>36429881.522502996</v>
      </c>
      <c r="BJ2212" s="2">
        <f t="shared" ca="1" si="2168"/>
        <v>0.22996306982325687</v>
      </c>
      <c r="BK2212" s="2">
        <f t="shared" ca="1" si="2169"/>
        <v>9167719.9994952977</v>
      </c>
    </row>
    <row r="2213" spans="1:63" x14ac:dyDescent="0.3">
      <c r="A2213" s="2">
        <v>2212</v>
      </c>
      <c r="B2213" s="2">
        <f t="shared" ca="1" si="2108"/>
        <v>0.74437071342387673</v>
      </c>
      <c r="C2213" s="2">
        <f t="shared" ca="1" si="2109"/>
        <v>7.284976522656601</v>
      </c>
      <c r="D2213" s="2">
        <f t="shared" ca="1" si="2110"/>
        <v>0.37644491627315924</v>
      </c>
      <c r="E2213" s="2">
        <f t="shared" ca="1" si="2111"/>
        <v>7.3676922452957143</v>
      </c>
      <c r="F2213" s="2">
        <f t="shared" ca="1" si="2112"/>
        <v>0.81936359867957098</v>
      </c>
      <c r="G2213" s="2">
        <f t="shared" ca="1" si="2113"/>
        <v>6.7388273916853231E-2</v>
      </c>
      <c r="H2213" s="2">
        <f t="shared" ca="1" si="2114"/>
        <v>6.7388273916853231E-2</v>
      </c>
      <c r="I2213" s="2">
        <f t="shared" ca="1" si="2115"/>
        <v>0.38588099270225296</v>
      </c>
      <c r="J2213" s="2">
        <f t="shared" ca="1" si="2116"/>
        <v>8.5496454203328916E-3</v>
      </c>
      <c r="K2213" s="2">
        <f t="shared" ca="1" si="2117"/>
        <v>8.5496454203328916E-3</v>
      </c>
      <c r="L2213" s="2">
        <f t="shared" ca="1" si="2118"/>
        <v>0.58983436964257763</v>
      </c>
      <c r="M2213" s="2">
        <f t="shared" ca="1" si="2119"/>
        <v>4.5423787008376029E-3</v>
      </c>
      <c r="N2213" s="2">
        <f t="shared" ca="1" si="2120"/>
        <v>4.5423787008376029E-3</v>
      </c>
      <c r="O2213" s="2">
        <f t="shared" si="2121"/>
        <v>6000000</v>
      </c>
      <c r="P2213" s="2">
        <f t="shared" ca="1" si="2122"/>
        <v>43709859.135939606</v>
      </c>
      <c r="Q2213" s="2">
        <f t="shared" ca="1" si="2123"/>
        <v>1092746.4783984902</v>
      </c>
      <c r="R2213" s="2">
        <f t="shared" ca="1" si="2124"/>
        <v>26225915.481563762</v>
      </c>
      <c r="S2213" s="2">
        <f t="shared" ca="1" si="2125"/>
        <v>17483943.654375844</v>
      </c>
      <c r="T2213" s="2">
        <f t="shared" ca="1" si="2126"/>
        <v>50227118.935041882</v>
      </c>
      <c r="U2213" s="2">
        <f t="shared" ca="1" si="2127"/>
        <v>53611837.783890851</v>
      </c>
      <c r="V2213" s="2">
        <f t="shared" ca="1" si="2128"/>
        <v>57224646.993657589</v>
      </c>
      <c r="W2213" s="2">
        <f t="shared" ca="1" si="2129"/>
        <v>61080917.180061415</v>
      </c>
      <c r="X2213" s="2">
        <f t="shared" ca="1" si="2130"/>
        <v>65197054.758084022</v>
      </c>
      <c r="Y2213" s="2">
        <f t="shared" ca="1" si="2131"/>
        <v>0.12427482271016645</v>
      </c>
      <c r="Z2213" s="2">
        <f t="shared" ca="1" si="2132"/>
        <v>0.12598475179423302</v>
      </c>
      <c r="AA2213" s="2">
        <f t="shared" ca="1" si="2133"/>
        <v>6241966.3008947745</v>
      </c>
      <c r="AB2213" s="2">
        <f t="shared" ca="1" si="2134"/>
        <v>6754274.0764361722</v>
      </c>
      <c r="AC2213" s="2">
        <f t="shared" ca="1" si="2135"/>
        <v>7209432.9480085541</v>
      </c>
      <c r="AD2213" s="2">
        <f t="shared" ca="1" si="2136"/>
        <v>7695264.1902941409</v>
      </c>
      <c r="AE2213" s="2">
        <f t="shared" ca="1" si="2137"/>
        <v>8213834.761412234</v>
      </c>
      <c r="AF2213" s="2">
        <f t="shared" ca="1" si="2138"/>
        <v>1004542.3787008376</v>
      </c>
      <c r="AG2213" s="2">
        <f t="shared" ca="1" si="2139"/>
        <v>1072236.7556778169</v>
      </c>
      <c r="AH2213" s="2">
        <f t="shared" ca="1" si="2140"/>
        <v>1144492.9398731517</v>
      </c>
      <c r="AI2213" s="2">
        <f t="shared" ca="1" si="2141"/>
        <v>1221618.3436012284</v>
      </c>
      <c r="AJ2213" s="2">
        <f t="shared" ca="1" si="2142"/>
        <v>1303941.0951616804</v>
      </c>
      <c r="AK2213" s="2">
        <f t="shared" ca="1" si="2143"/>
        <v>0</v>
      </c>
      <c r="AL2213" s="2">
        <f t="shared" ca="1" si="2144"/>
        <v>33847.188488489686</v>
      </c>
      <c r="AM2213" s="2">
        <f t="shared" ca="1" si="2145"/>
        <v>36128.092097667381</v>
      </c>
      <c r="AN2213" s="2">
        <f t="shared" ca="1" si="2146"/>
        <v>38562.701864038259</v>
      </c>
      <c r="AO2213" s="2">
        <f t="shared" ca="1" si="2147"/>
        <v>41161.375780226066</v>
      </c>
      <c r="AP2213" s="2">
        <f t="shared" ca="1" si="2148"/>
        <v>2360332.3933407385</v>
      </c>
      <c r="AQ2213" s="2">
        <f t="shared" ca="1" si="2149"/>
        <v>748043.79750183166</v>
      </c>
      <c r="AR2213" s="2">
        <f t="shared" ca="1" si="2150"/>
        <v>863643.28112858057</v>
      </c>
      <c r="AS2213" s="2">
        <f t="shared" ca="1" si="2151"/>
        <v>963197.97984661267</v>
      </c>
      <c r="AT2213" s="2">
        <f t="shared" ca="1" si="2152"/>
        <v>1069461.4978715652</v>
      </c>
      <c r="AU2213" s="2">
        <f t="shared" ca="1" si="2153"/>
        <v>1182885.930956552</v>
      </c>
      <c r="AV2213" s="2">
        <f t="shared" ca="1" si="2154"/>
        <v>2129047.7313513672</v>
      </c>
      <c r="AW2213" s="2">
        <f t="shared" ca="1" si="2155"/>
        <v>2424214.4578005467</v>
      </c>
      <c r="AX2213" s="2">
        <f t="shared" ca="1" si="2156"/>
        <v>2705281.5428503845</v>
      </c>
      <c r="AY2213" s="2">
        <f t="shared" ca="1" si="2157"/>
        <v>3005289.2536165696</v>
      </c>
      <c r="AZ2213" s="2">
        <f t="shared" ca="1" si="2158"/>
        <v>3325513.9661730379</v>
      </c>
      <c r="BA2213" s="2">
        <f t="shared" ca="1" si="2159"/>
        <v>60517006.675797291</v>
      </c>
      <c r="BB2213" s="2">
        <f t="shared" ca="1" si="2160"/>
        <v>1210340.1335159459</v>
      </c>
      <c r="BC2213" s="2">
        <f t="shared" ca="1" si="2161"/>
        <v>33080751.060717583</v>
      </c>
      <c r="BD2213" s="2">
        <f t="shared" ca="1" si="2162"/>
        <v>-19076690.132774334</v>
      </c>
      <c r="BE2213" s="2">
        <f t="shared" ca="1" si="2163"/>
        <v>2129047.7313513672</v>
      </c>
      <c r="BF2213" s="2">
        <f t="shared" ca="1" si="2164"/>
        <v>2424214.4578005467</v>
      </c>
      <c r="BG2213" s="2">
        <f t="shared" ca="1" si="2165"/>
        <v>2705281.5428503845</v>
      </c>
      <c r="BH2213" s="2">
        <f t="shared" ca="1" si="2166"/>
        <v>3005289.2536165696</v>
      </c>
      <c r="BI2213" s="2">
        <f t="shared" ca="1" si="2167"/>
        <v>36406265.026890621</v>
      </c>
      <c r="BJ2213" s="2">
        <f t="shared" ca="1" si="2168"/>
        <v>0.22930127663583888</v>
      </c>
      <c r="BK2213" s="2">
        <f t="shared" ca="1" si="2169"/>
        <v>9250188.376426518</v>
      </c>
    </row>
    <row r="2214" spans="1:63" x14ac:dyDescent="0.3">
      <c r="A2214" s="2">
        <v>2213</v>
      </c>
      <c r="B2214" s="2">
        <f t="shared" ca="1" si="2108"/>
        <v>0.18753115695810496</v>
      </c>
      <c r="C2214" s="2">
        <f t="shared" ca="1" si="2109"/>
        <v>6.612423312681849</v>
      </c>
      <c r="D2214" s="2">
        <f t="shared" ca="1" si="2110"/>
        <v>5.0334491918569091E-2</v>
      </c>
      <c r="E2214" s="2">
        <f t="shared" ca="1" si="2111"/>
        <v>6.8172837591764477</v>
      </c>
      <c r="F2214" s="2">
        <f t="shared" ca="1" si="2112"/>
        <v>0.84014442422825852</v>
      </c>
      <c r="G2214" s="2">
        <f t="shared" ca="1" si="2113"/>
        <v>6.9851549062051072E-2</v>
      </c>
      <c r="H2214" s="2">
        <f t="shared" ca="1" si="2114"/>
        <v>6.9851549062051072E-2</v>
      </c>
      <c r="I2214" s="2">
        <f t="shared" ca="1" si="2115"/>
        <v>0.66415129262857997</v>
      </c>
      <c r="J2214" s="2">
        <f t="shared" ca="1" si="2116"/>
        <v>1.2119097781183183E-2</v>
      </c>
      <c r="K2214" s="2">
        <f t="shared" ca="1" si="2117"/>
        <v>1.2119097781183183E-2</v>
      </c>
      <c r="L2214" s="2">
        <f t="shared" ca="1" si="2118"/>
        <v>0.50103874599818077</v>
      </c>
      <c r="M2214" s="2">
        <f t="shared" ca="1" si="2119"/>
        <v>5.2075060624672429E-5</v>
      </c>
      <c r="N2214" s="2">
        <f t="shared" ca="1" si="2120"/>
        <v>5.2075060624672429E-5</v>
      </c>
      <c r="O2214" s="2">
        <f t="shared" si="2121"/>
        <v>6000000</v>
      </c>
      <c r="P2214" s="2">
        <f t="shared" ca="1" si="2122"/>
        <v>39674539.876091093</v>
      </c>
      <c r="Q2214" s="2">
        <f t="shared" ca="1" si="2123"/>
        <v>991863.49690227734</v>
      </c>
      <c r="R2214" s="2">
        <f t="shared" ca="1" si="2124"/>
        <v>23804723.925654653</v>
      </c>
      <c r="S2214" s="2">
        <f t="shared" ca="1" si="2125"/>
        <v>15869815.950436438</v>
      </c>
      <c r="T2214" s="2">
        <f t="shared" ca="1" si="2126"/>
        <v>50002603.753031239</v>
      </c>
      <c r="U2214" s="2">
        <f t="shared" ca="1" si="2127"/>
        <v>53495363.082316399</v>
      </c>
      <c r="V2214" s="2">
        <f t="shared" ca="1" si="2128"/>
        <v>57232097.061253056</v>
      </c>
      <c r="W2214" s="2">
        <f t="shared" ca="1" si="2129"/>
        <v>61229847.697051242</v>
      </c>
      <c r="X2214" s="2">
        <f t="shared" ca="1" si="2130"/>
        <v>65506847.407523729</v>
      </c>
      <c r="Y2214" s="2">
        <f t="shared" ca="1" si="2131"/>
        <v>0.12605954889059159</v>
      </c>
      <c r="Z2214" s="2">
        <f t="shared" ca="1" si="2132"/>
        <v>0.12848336844682823</v>
      </c>
      <c r="AA2214" s="2">
        <f t="shared" ca="1" si="2133"/>
        <v>6303305.6724621197</v>
      </c>
      <c r="AB2214" s="2">
        <f t="shared" ca="1" si="2134"/>
        <v>6873264.4451021105</v>
      </c>
      <c r="AC2214" s="2">
        <f t="shared" ca="1" si="2135"/>
        <v>7353372.6137056118</v>
      </c>
      <c r="AD2214" s="2">
        <f t="shared" ca="1" si="2136"/>
        <v>7867017.0816034116</v>
      </c>
      <c r="AE2214" s="2">
        <f t="shared" ca="1" si="2137"/>
        <v>8416540.4112510253</v>
      </c>
      <c r="AF2214" s="2">
        <f t="shared" ca="1" si="2138"/>
        <v>1000052.0750606247</v>
      </c>
      <c r="AG2214" s="2">
        <f t="shared" ca="1" si="2139"/>
        <v>1069907.261646328</v>
      </c>
      <c r="AH2214" s="2">
        <f t="shared" ca="1" si="2140"/>
        <v>1144641.9412250612</v>
      </c>
      <c r="AI2214" s="2">
        <f t="shared" ca="1" si="2141"/>
        <v>1224596.9539410248</v>
      </c>
      <c r="AJ2214" s="2">
        <f t="shared" ca="1" si="2142"/>
        <v>1310136.9481504746</v>
      </c>
      <c r="AK2214" s="2">
        <f t="shared" ca="1" si="2143"/>
        <v>0</v>
      </c>
      <c r="AL2214" s="2">
        <f t="shared" ca="1" si="2144"/>
        <v>34927.593292851598</v>
      </c>
      <c r="AM2214" s="2">
        <f t="shared" ca="1" si="2145"/>
        <v>37367.339789366575</v>
      </c>
      <c r="AN2214" s="2">
        <f t="shared" ca="1" si="2146"/>
        <v>39977.50635798186</v>
      </c>
      <c r="AO2214" s="2">
        <f t="shared" ca="1" si="2147"/>
        <v>42769.997104724869</v>
      </c>
      <c r="AP2214" s="2">
        <f t="shared" ca="1" si="2148"/>
        <v>2142425.1533089187</v>
      </c>
      <c r="AQ2214" s="2">
        <f t="shared" ca="1" si="2149"/>
        <v>821815.39546406991</v>
      </c>
      <c r="AR2214" s="2">
        <f t="shared" ca="1" si="2150"/>
        <v>951842.32783818454</v>
      </c>
      <c r="AS2214" s="2">
        <f t="shared" ca="1" si="2151"/>
        <v>1057239.4349846244</v>
      </c>
      <c r="AT2214" s="2">
        <f t="shared" ca="1" si="2152"/>
        <v>1169998.6933319017</v>
      </c>
      <c r="AU2214" s="2">
        <f t="shared" ca="1" si="2153"/>
        <v>1290634.3605458243</v>
      </c>
      <c r="AV2214" s="2">
        <f t="shared" ca="1" si="2154"/>
        <v>2339013.0486285063</v>
      </c>
      <c r="AW2214" s="2">
        <f t="shared" ca="1" si="2155"/>
        <v>2674162.1090158271</v>
      </c>
      <c r="AX2214" s="2">
        <f t="shared" ca="1" si="2156"/>
        <v>2971698.7443976412</v>
      </c>
      <c r="AY2214" s="2">
        <f t="shared" ca="1" si="2157"/>
        <v>3290018.7746635843</v>
      </c>
      <c r="AZ2214" s="2">
        <f t="shared" ca="1" si="2158"/>
        <v>3630573.9521410828</v>
      </c>
      <c r="BA2214" s="2">
        <f t="shared" ca="1" si="2159"/>
        <v>57377944.254073873</v>
      </c>
      <c r="BB2214" s="2">
        <f t="shared" ca="1" si="2160"/>
        <v>1147558.8850814775</v>
      </c>
      <c r="BC2214" s="2">
        <f t="shared" ca="1" si="2161"/>
        <v>32425661.443337746</v>
      </c>
      <c r="BD2214" s="2">
        <f t="shared" ca="1" si="2162"/>
        <v>-17361679.447338715</v>
      </c>
      <c r="BE2214" s="2">
        <f t="shared" ca="1" si="2163"/>
        <v>2339013.0486285063</v>
      </c>
      <c r="BF2214" s="2">
        <f t="shared" ca="1" si="2164"/>
        <v>2674162.1090158271</v>
      </c>
      <c r="BG2214" s="2">
        <f t="shared" ca="1" si="2165"/>
        <v>2971698.7443976412</v>
      </c>
      <c r="BH2214" s="2">
        <f t="shared" ca="1" si="2166"/>
        <v>3290018.7746635843</v>
      </c>
      <c r="BI2214" s="2">
        <f t="shared" ca="1" si="2167"/>
        <v>36056235.39547883</v>
      </c>
      <c r="BJ2214" s="2">
        <f t="shared" ca="1" si="2168"/>
        <v>0.26575823668733833</v>
      </c>
      <c r="BK2214" s="2">
        <f t="shared" ca="1" si="2169"/>
        <v>11523889.879062034</v>
      </c>
    </row>
    <row r="2215" spans="1:63" x14ac:dyDescent="0.3">
      <c r="A2215" s="2">
        <v>2214</v>
      </c>
      <c r="B2215" s="2">
        <f t="shared" ca="1" si="2108"/>
        <v>0.86147034718564719</v>
      </c>
      <c r="C2215" s="2">
        <f t="shared" ca="1" si="2109"/>
        <v>7.4736357671453106</v>
      </c>
      <c r="D2215" s="2">
        <f t="shared" ca="1" si="2110"/>
        <v>6.7343557821836098E-2</v>
      </c>
      <c r="E2215" s="2">
        <f t="shared" ca="1" si="2111"/>
        <v>6.8669974327480672</v>
      </c>
      <c r="F2215" s="2">
        <f t="shared" ca="1" si="2112"/>
        <v>0.20757356803223348</v>
      </c>
      <c r="G2215" s="2">
        <f t="shared" ca="1" si="2113"/>
        <v>1.5553921435810841E-2</v>
      </c>
      <c r="H2215" s="2">
        <f t="shared" ca="1" si="2114"/>
        <v>1.5553921435810841E-2</v>
      </c>
      <c r="I2215" s="2">
        <f t="shared" ca="1" si="2115"/>
        <v>0.11523042890145918</v>
      </c>
      <c r="J2215" s="2">
        <f t="shared" ca="1" si="2116"/>
        <v>4.0041372409472357E-3</v>
      </c>
      <c r="K2215" s="2">
        <f t="shared" ca="1" si="2117"/>
        <v>4.0041372409472357E-3</v>
      </c>
      <c r="L2215" s="2">
        <f t="shared" ca="1" si="2118"/>
        <v>0.3073349781999376</v>
      </c>
      <c r="M2215" s="2">
        <f t="shared" ca="1" si="2119"/>
        <v>-1.0068373160125764E-2</v>
      </c>
      <c r="N2215" s="2">
        <f t="shared" ca="1" si="2120"/>
        <v>-1.0068373160125764E-2</v>
      </c>
      <c r="O2215" s="2">
        <f t="shared" si="2121"/>
        <v>6000000</v>
      </c>
      <c r="P2215" s="2">
        <f t="shared" ca="1" si="2122"/>
        <v>44841814.602871865</v>
      </c>
      <c r="Q2215" s="2">
        <f t="shared" ca="1" si="2123"/>
        <v>1121045.3650717966</v>
      </c>
      <c r="R2215" s="2">
        <f t="shared" ca="1" si="2124"/>
        <v>26905088.76172312</v>
      </c>
      <c r="S2215" s="2">
        <f t="shared" ca="1" si="2125"/>
        <v>17936725.841148745</v>
      </c>
      <c r="T2215" s="2">
        <f t="shared" ca="1" si="2126"/>
        <v>49496581.341993712</v>
      </c>
      <c r="U2215" s="2">
        <f t="shared" ca="1" si="2127"/>
        <v>50266447.279528305</v>
      </c>
      <c r="V2215" s="2">
        <f t="shared" ca="1" si="2128"/>
        <v>51048287.651371419</v>
      </c>
      <c r="W2215" s="2">
        <f t="shared" ca="1" si="2129"/>
        <v>51842288.706933528</v>
      </c>
      <c r="X2215" s="2">
        <f t="shared" ca="1" si="2130"/>
        <v>52648639.592533797</v>
      </c>
      <c r="Y2215" s="2">
        <f t="shared" ca="1" si="2131"/>
        <v>0.12200206862047361</v>
      </c>
      <c r="Z2215" s="2">
        <f t="shared" ca="1" si="2132"/>
        <v>0.12280289606866306</v>
      </c>
      <c r="AA2215" s="2">
        <f t="shared" ca="1" si="2133"/>
        <v>6038685.3133647703</v>
      </c>
      <c r="AB2215" s="2">
        <f t="shared" ca="1" si="2134"/>
        <v>6172865.3010088457</v>
      </c>
      <c r="AC2215" s="2">
        <f t="shared" ca="1" si="2135"/>
        <v>6268877.5629345803</v>
      </c>
      <c r="AD2215" s="2">
        <f t="shared" ca="1" si="2136"/>
        <v>6366383.1920391824</v>
      </c>
      <c r="AE2215" s="2">
        <f t="shared" ca="1" si="2137"/>
        <v>6465405.4160384266</v>
      </c>
      <c r="AF2215" s="2">
        <f t="shared" ca="1" si="2138"/>
        <v>989931.62683987431</v>
      </c>
      <c r="AG2215" s="2">
        <f t="shared" ca="1" si="2139"/>
        <v>1005328.9455905661</v>
      </c>
      <c r="AH2215" s="2">
        <f t="shared" ca="1" si="2140"/>
        <v>1020965.7530274284</v>
      </c>
      <c r="AI2215" s="2">
        <f t="shared" ca="1" si="2141"/>
        <v>1036845.7741386705</v>
      </c>
      <c r="AJ2215" s="2">
        <f t="shared" ca="1" si="2142"/>
        <v>1052972.7918506761</v>
      </c>
      <c r="AK2215" s="2">
        <f t="shared" ca="1" si="2143"/>
        <v>0</v>
      </c>
      <c r="AL2215" s="2">
        <f t="shared" ca="1" si="2144"/>
        <v>7698.659375345931</v>
      </c>
      <c r="AM2215" s="2">
        <f t="shared" ca="1" si="2145"/>
        <v>7818.4037184311455</v>
      </c>
      <c r="AN2215" s="2">
        <f t="shared" ca="1" si="2146"/>
        <v>7940.0105556210874</v>
      </c>
      <c r="AO2215" s="2">
        <f t="shared" ca="1" si="2147"/>
        <v>8063.5088560026888</v>
      </c>
      <c r="AP2215" s="2">
        <f t="shared" ca="1" si="2148"/>
        <v>2421457.9885550807</v>
      </c>
      <c r="AQ2215" s="2">
        <f t="shared" ca="1" si="2149"/>
        <v>683096.88147215196</v>
      </c>
      <c r="AR2215" s="2">
        <f t="shared" ca="1" si="2150"/>
        <v>713980.3753844318</v>
      </c>
      <c r="AS2215" s="2">
        <f t="shared" ca="1" si="2151"/>
        <v>734877.99355153844</v>
      </c>
      <c r="AT2215" s="2">
        <f t="shared" ca="1" si="2152"/>
        <v>756100.6516298122</v>
      </c>
      <c r="AU2215" s="2">
        <f t="shared" ca="1" si="2153"/>
        <v>777653.40526449424</v>
      </c>
      <c r="AV2215" s="2">
        <f t="shared" ca="1" si="2154"/>
        <v>1944198.8164976635</v>
      </c>
      <c r="AW2215" s="2">
        <f t="shared" ca="1" si="2155"/>
        <v>2024399.3321034205</v>
      </c>
      <c r="AX2215" s="2">
        <f t="shared" ca="1" si="2156"/>
        <v>2083757.4240821009</v>
      </c>
      <c r="AY2215" s="2">
        <f t="shared" ca="1" si="2157"/>
        <v>2144038.767159998</v>
      </c>
      <c r="AZ2215" s="2">
        <f t="shared" ca="1" si="2158"/>
        <v>2205257.7215121738</v>
      </c>
      <c r="BA2215" s="2">
        <f t="shared" ca="1" si="2159"/>
        <v>44397922.393611327</v>
      </c>
      <c r="BB2215" s="2">
        <f t="shared" ca="1" si="2160"/>
        <v>887958.44787222659</v>
      </c>
      <c r="BC2215" s="2">
        <f t="shared" ca="1" si="2161"/>
        <v>16604875.18401598</v>
      </c>
      <c r="BD2215" s="2">
        <f t="shared" ca="1" si="2162"/>
        <v>-19557771.206220541</v>
      </c>
      <c r="BE2215" s="2">
        <f t="shared" ca="1" si="2163"/>
        <v>1944198.8164976635</v>
      </c>
      <c r="BF2215" s="2">
        <f t="shared" ca="1" si="2164"/>
        <v>2024399.3321034205</v>
      </c>
      <c r="BG2215" s="2">
        <f t="shared" ca="1" si="2165"/>
        <v>2083757.4240821009</v>
      </c>
      <c r="BH2215" s="2">
        <f t="shared" ca="1" si="2166"/>
        <v>2144038.767159998</v>
      </c>
      <c r="BI2215" s="2">
        <f t="shared" ca="1" si="2167"/>
        <v>18810132.905528154</v>
      </c>
      <c r="BJ2215" s="2">
        <f t="shared" ca="1" si="2168"/>
        <v>8.0133535926203647E-2</v>
      </c>
      <c r="BK2215" s="2">
        <f t="shared" ca="1" si="2169"/>
        <v>-2688913.3092450015</v>
      </c>
    </row>
    <row r="2216" spans="1:63" x14ac:dyDescent="0.3">
      <c r="A2216" s="2">
        <v>2215</v>
      </c>
      <c r="B2216" s="2">
        <f t="shared" ca="1" si="2108"/>
        <v>0.70790147476653953</v>
      </c>
      <c r="C2216" s="2">
        <f t="shared" ca="1" si="2109"/>
        <v>7.2356721577314342</v>
      </c>
      <c r="D2216" s="2">
        <f t="shared" ca="1" si="2110"/>
        <v>0.23563971150744101</v>
      </c>
      <c r="E2216" s="2">
        <f t="shared" ca="1" si="2111"/>
        <v>7.18649794101285</v>
      </c>
      <c r="F2216" s="2">
        <f t="shared" ca="1" si="2112"/>
        <v>1.5392409205512214E-2</v>
      </c>
      <c r="G2216" s="2">
        <f t="shared" ca="1" si="2113"/>
        <v>-2.4795292777892948E-2</v>
      </c>
      <c r="H2216" s="2">
        <f t="shared" ca="1" si="2114"/>
        <v>-0.02</v>
      </c>
      <c r="I2216" s="2">
        <f t="shared" ca="1" si="2115"/>
        <v>0.13163966785575509</v>
      </c>
      <c r="J2216" s="2">
        <f t="shared" ca="1" si="2116"/>
        <v>4.4066311085127832E-3</v>
      </c>
      <c r="K2216" s="2">
        <f t="shared" ca="1" si="2117"/>
        <v>4.4066311085127832E-3</v>
      </c>
      <c r="L2216" s="2">
        <f t="shared" ca="1" si="2118"/>
        <v>0.97610416001656064</v>
      </c>
      <c r="M2216" s="2">
        <f t="shared" ca="1" si="2119"/>
        <v>3.9584322183198788E-2</v>
      </c>
      <c r="N2216" s="2">
        <f t="shared" ca="1" si="2120"/>
        <v>3.9584322183198788E-2</v>
      </c>
      <c r="O2216" s="2">
        <f t="shared" si="2121"/>
        <v>6000000</v>
      </c>
      <c r="P2216" s="2">
        <f t="shared" ca="1" si="2122"/>
        <v>43414032.946388602</v>
      </c>
      <c r="Q2216" s="2">
        <f t="shared" ca="1" si="2123"/>
        <v>1085350.823659715</v>
      </c>
      <c r="R2216" s="2">
        <f t="shared" ca="1" si="2124"/>
        <v>26048419.767833162</v>
      </c>
      <c r="S2216" s="2">
        <f t="shared" ca="1" si="2125"/>
        <v>17365613.17855544</v>
      </c>
      <c r="T2216" s="2">
        <f t="shared" ca="1" si="2126"/>
        <v>51979216.109159939</v>
      </c>
      <c r="U2216" s="2">
        <f t="shared" ca="1" si="2127"/>
        <v>50939631.78697674</v>
      </c>
      <c r="V2216" s="2">
        <f t="shared" ca="1" si="2128"/>
        <v>49920839.151237205</v>
      </c>
      <c r="W2216" s="2">
        <f t="shared" ca="1" si="2129"/>
        <v>48922422.368212461</v>
      </c>
      <c r="X2216" s="2">
        <f t="shared" ca="1" si="2130"/>
        <v>47943973.920848213</v>
      </c>
      <c r="Y2216" s="2">
        <f t="shared" ca="1" si="2131"/>
        <v>0.12220331555425638</v>
      </c>
      <c r="Z2216" s="2">
        <f t="shared" ca="1" si="2132"/>
        <v>0.12308464177595894</v>
      </c>
      <c r="AA2216" s="2">
        <f t="shared" ca="1" si="2133"/>
        <v>6352032.5484505584</v>
      </c>
      <c r="AB2216" s="2">
        <f t="shared" ca="1" si="2134"/>
        <v>6269886.3306992836</v>
      </c>
      <c r="AC2216" s="2">
        <f t="shared" ca="1" si="2135"/>
        <v>6144488.6040852973</v>
      </c>
      <c r="AD2216" s="2">
        <f t="shared" ca="1" si="2136"/>
        <v>6021598.8320035916</v>
      </c>
      <c r="AE2216" s="2">
        <f t="shared" ca="1" si="2137"/>
        <v>5901166.8553635199</v>
      </c>
      <c r="AF2216" s="2">
        <f t="shared" ca="1" si="2138"/>
        <v>1039584.3221831988</v>
      </c>
      <c r="AG2216" s="2">
        <f t="shared" ca="1" si="2139"/>
        <v>1018792.6357395349</v>
      </c>
      <c r="AH2216" s="2">
        <f t="shared" ca="1" si="2140"/>
        <v>998416.78302474413</v>
      </c>
      <c r="AI2216" s="2">
        <f t="shared" ca="1" si="2141"/>
        <v>978448.44736424927</v>
      </c>
      <c r="AJ2216" s="2">
        <f t="shared" ca="1" si="2142"/>
        <v>958879.4784169643</v>
      </c>
      <c r="AK2216" s="2">
        <f t="shared" ca="1" si="2143"/>
        <v>0</v>
      </c>
      <c r="AL2216" s="2">
        <f t="shared" ca="1" si="2144"/>
        <v>0</v>
      </c>
      <c r="AM2216" s="2">
        <f t="shared" ca="1" si="2145"/>
        <v>0</v>
      </c>
      <c r="AN2216" s="2">
        <f t="shared" ca="1" si="2146"/>
        <v>0</v>
      </c>
      <c r="AO2216" s="2">
        <f t="shared" ca="1" si="2147"/>
        <v>0</v>
      </c>
      <c r="AP2216" s="2">
        <f t="shared" ca="1" si="2148"/>
        <v>2344357.7791049844</v>
      </c>
      <c r="AQ2216" s="2">
        <f t="shared" ca="1" si="2149"/>
        <v>771703.51626221777</v>
      </c>
      <c r="AR2216" s="2">
        <f t="shared" ca="1" si="2150"/>
        <v>755751.33812223875</v>
      </c>
      <c r="AS2216" s="2">
        <f t="shared" ca="1" si="2151"/>
        <v>728445.65090844792</v>
      </c>
      <c r="AT2216" s="2">
        <f t="shared" ca="1" si="2152"/>
        <v>701686.07743893308</v>
      </c>
      <c r="AU2216" s="2">
        <f t="shared" ca="1" si="2153"/>
        <v>675461.69543880853</v>
      </c>
      <c r="AV2216" s="2">
        <f t="shared" ca="1" si="2154"/>
        <v>2196386.9309001584</v>
      </c>
      <c r="AW2216" s="2">
        <f t="shared" ca="1" si="2155"/>
        <v>2150984.5777325258</v>
      </c>
      <c r="AX2216" s="2">
        <f t="shared" ca="1" si="2156"/>
        <v>2073268.391047121</v>
      </c>
      <c r="AY2216" s="2">
        <f t="shared" ca="1" si="2157"/>
        <v>1997106.5280954251</v>
      </c>
      <c r="AZ2216" s="2">
        <f t="shared" ca="1" si="2158"/>
        <v>1922467.9024027623</v>
      </c>
      <c r="BA2216" s="2">
        <f t="shared" ca="1" si="2159"/>
        <v>42408723.455643207</v>
      </c>
      <c r="BB2216" s="2">
        <f t="shared" ca="1" si="2160"/>
        <v>848174.46911286411</v>
      </c>
      <c r="BC2216" s="2">
        <f t="shared" ca="1" si="2161"/>
        <v>15512129.218697181</v>
      </c>
      <c r="BD2216" s="2">
        <f t="shared" ca="1" si="2162"/>
        <v>-18950964.002215154</v>
      </c>
      <c r="BE2216" s="2">
        <f t="shared" ca="1" si="2163"/>
        <v>2196386.9309001584</v>
      </c>
      <c r="BF2216" s="2">
        <f t="shared" ca="1" si="2164"/>
        <v>2150984.5777325258</v>
      </c>
      <c r="BG2216" s="2">
        <f t="shared" ca="1" si="2165"/>
        <v>2073268.391047121</v>
      </c>
      <c r="BH2216" s="2">
        <f t="shared" ca="1" si="2166"/>
        <v>1997106.5280954251</v>
      </c>
      <c r="BI2216" s="2">
        <f t="shared" ca="1" si="2167"/>
        <v>17434597.121099941</v>
      </c>
      <c r="BJ2216" s="2">
        <f t="shared" ca="1" si="2168"/>
        <v>7.8670614689244633E-2</v>
      </c>
      <c r="BK2216" s="2">
        <f t="shared" ca="1" si="2169"/>
        <v>-2637385.0889933743</v>
      </c>
    </row>
    <row r="2217" spans="1:63" x14ac:dyDescent="0.3">
      <c r="A2217" s="2">
        <v>2216</v>
      </c>
      <c r="B2217" s="2">
        <f t="shared" ca="1" si="2108"/>
        <v>8.2794343914055157E-2</v>
      </c>
      <c r="C2217" s="2">
        <f t="shared" ca="1" si="2109"/>
        <v>6.4069258996772147</v>
      </c>
      <c r="D2217" s="2">
        <f t="shared" ca="1" si="2110"/>
        <v>0.43932160441748414</v>
      </c>
      <c r="E2217" s="2">
        <f t="shared" ca="1" si="2111"/>
        <v>7.4373597008806005</v>
      </c>
      <c r="F2217" s="2">
        <f t="shared" ca="1" si="2112"/>
        <v>0.66225214654385844</v>
      </c>
      <c r="G2217" s="2">
        <f t="shared" ca="1" si="2113"/>
        <v>5.255852463156209E-2</v>
      </c>
      <c r="H2217" s="2">
        <f t="shared" ca="1" si="2114"/>
        <v>5.255852463156209E-2</v>
      </c>
      <c r="I2217" s="2">
        <f t="shared" ca="1" si="2115"/>
        <v>0.7136801355602348</v>
      </c>
      <c r="J2217" s="2">
        <f t="shared" ca="1" si="2116"/>
        <v>1.2820840548181337E-2</v>
      </c>
      <c r="K2217" s="2">
        <f t="shared" ca="1" si="2117"/>
        <v>1.2820840548181337E-2</v>
      </c>
      <c r="L2217" s="2">
        <f t="shared" ca="1" si="2118"/>
        <v>0.23596263781098759</v>
      </c>
      <c r="M2217" s="2">
        <f t="shared" ca="1" si="2119"/>
        <v>-1.4387000656175963E-2</v>
      </c>
      <c r="N2217" s="2">
        <f t="shared" ca="1" si="2120"/>
        <v>-1.4387000656175963E-2</v>
      </c>
      <c r="O2217" s="2">
        <f t="shared" si="2121"/>
        <v>6000000</v>
      </c>
      <c r="P2217" s="2">
        <f t="shared" ca="1" si="2122"/>
        <v>38441555.398063287</v>
      </c>
      <c r="Q2217" s="2">
        <f t="shared" ca="1" si="2123"/>
        <v>961038.88495158218</v>
      </c>
      <c r="R2217" s="2">
        <f t="shared" ca="1" si="2124"/>
        <v>23064933.238837972</v>
      </c>
      <c r="S2217" s="2">
        <f t="shared" ca="1" si="2125"/>
        <v>15376622.159225315</v>
      </c>
      <c r="T2217" s="2">
        <f t="shared" ca="1" si="2126"/>
        <v>49280649.967191204</v>
      </c>
      <c r="U2217" s="2">
        <f t="shared" ca="1" si="2127"/>
        <v>51870768.222351216</v>
      </c>
      <c r="V2217" s="2">
        <f t="shared" ca="1" si="2128"/>
        <v>54597019.271623708</v>
      </c>
      <c r="W2217" s="2">
        <f t="shared" ca="1" si="2129"/>
        <v>57466558.053821214</v>
      </c>
      <c r="X2217" s="2">
        <f t="shared" ca="1" si="2130"/>
        <v>60486915.560784064</v>
      </c>
      <c r="Y2217" s="2">
        <f t="shared" ca="1" si="2131"/>
        <v>0.12641042027409066</v>
      </c>
      <c r="Z2217" s="2">
        <f t="shared" ca="1" si="2132"/>
        <v>0.12897458838372694</v>
      </c>
      <c r="AA2217" s="2">
        <f t="shared" ca="1" si="2133"/>
        <v>6229587.6737329923</v>
      </c>
      <c r="AB2217" s="2">
        <f t="shared" ca="1" si="2134"/>
        <v>6690010.9806254515</v>
      </c>
      <c r="AC2217" s="2">
        <f t="shared" ca="1" si="2135"/>
        <v>7041628.0875360752</v>
      </c>
      <c r="AD2217" s="2">
        <f t="shared" ca="1" si="2136"/>
        <v>7411725.6708211396</v>
      </c>
      <c r="AE2217" s="2">
        <f t="shared" ca="1" si="2137"/>
        <v>7801275.0370533727</v>
      </c>
      <c r="AF2217" s="2">
        <f t="shared" ca="1" si="2138"/>
        <v>985612.99934382411</v>
      </c>
      <c r="AG2217" s="2">
        <f t="shared" ca="1" si="2139"/>
        <v>1037415.3644470243</v>
      </c>
      <c r="AH2217" s="2">
        <f t="shared" ca="1" si="2140"/>
        <v>1091940.3854324741</v>
      </c>
      <c r="AI2217" s="2">
        <f t="shared" ca="1" si="2141"/>
        <v>1149331.1610764244</v>
      </c>
      <c r="AJ2217" s="2">
        <f t="shared" ca="1" si="2142"/>
        <v>1209738.3112156813</v>
      </c>
      <c r="AK2217" s="2">
        <f t="shared" ca="1" si="2143"/>
        <v>0</v>
      </c>
      <c r="AL2217" s="2">
        <f t="shared" ca="1" si="2144"/>
        <v>25901.182551600115</v>
      </c>
      <c r="AM2217" s="2">
        <f t="shared" ca="1" si="2145"/>
        <v>27262.510492724927</v>
      </c>
      <c r="AN2217" s="2">
        <f t="shared" ca="1" si="2146"/>
        <v>28695.387821975051</v>
      </c>
      <c r="AO2217" s="2">
        <f t="shared" ca="1" si="2147"/>
        <v>30203.575069628507</v>
      </c>
      <c r="AP2217" s="2">
        <f t="shared" ca="1" si="2148"/>
        <v>2075843.9914954174</v>
      </c>
      <c r="AQ2217" s="2">
        <f t="shared" ca="1" si="2149"/>
        <v>823713.97755237529</v>
      </c>
      <c r="AR2217" s="2">
        <f t="shared" ca="1" si="2150"/>
        <v>929955.42241758248</v>
      </c>
      <c r="AS2217" s="2">
        <f t="shared" ca="1" si="2151"/>
        <v>1007199.3647581277</v>
      </c>
      <c r="AT2217" s="2">
        <f t="shared" ca="1" si="2152"/>
        <v>1088503.1347448174</v>
      </c>
      <c r="AU2217" s="2">
        <f t="shared" ca="1" si="2153"/>
        <v>1174080.1109289913</v>
      </c>
      <c r="AV2217" s="2">
        <f t="shared" ca="1" si="2154"/>
        <v>2344416.7053413764</v>
      </c>
      <c r="AW2217" s="2">
        <f t="shared" ca="1" si="2155"/>
        <v>2620895.0197138265</v>
      </c>
      <c r="AX2217" s="2">
        <f t="shared" ca="1" si="2156"/>
        <v>2839381.8353573307</v>
      </c>
      <c r="AY2217" s="2">
        <f t="shared" ca="1" si="2157"/>
        <v>3069351.995682505</v>
      </c>
      <c r="AZ2217" s="2">
        <f t="shared" ca="1" si="2158"/>
        <v>3311409.0483436547</v>
      </c>
      <c r="BA2217" s="2">
        <f t="shared" ca="1" si="2159"/>
        <v>58020888.576066568</v>
      </c>
      <c r="BB2217" s="2">
        <f t="shared" ca="1" si="2160"/>
        <v>1160417.7715213315</v>
      </c>
      <c r="BC2217" s="2">
        <f t="shared" ca="1" si="2161"/>
        <v>33795537.565707266</v>
      </c>
      <c r="BD2217" s="2">
        <f t="shared" ca="1" si="2162"/>
        <v>-16837661.044176899</v>
      </c>
      <c r="BE2217" s="2">
        <f t="shared" ca="1" si="2163"/>
        <v>2344416.7053413764</v>
      </c>
      <c r="BF2217" s="2">
        <f t="shared" ca="1" si="2164"/>
        <v>2620895.0197138265</v>
      </c>
      <c r="BG2217" s="2">
        <f t="shared" ca="1" si="2165"/>
        <v>2839381.8353573307</v>
      </c>
      <c r="BH2217" s="2">
        <f t="shared" ca="1" si="2166"/>
        <v>3069351.995682505</v>
      </c>
      <c r="BI2217" s="2">
        <f t="shared" ca="1" si="2167"/>
        <v>37106946.614050925</v>
      </c>
      <c r="BJ2217" s="2">
        <f t="shared" ca="1" si="2168"/>
        <v>0.27793730500471137</v>
      </c>
      <c r="BK2217" s="2">
        <f t="shared" ca="1" si="2169"/>
        <v>12372052.251621131</v>
      </c>
    </row>
    <row r="2218" spans="1:63" x14ac:dyDescent="0.3">
      <c r="A2218" s="2">
        <v>2217</v>
      </c>
      <c r="B2218" s="2">
        <f t="shared" ca="1" si="2108"/>
        <v>0.51460480678764897</v>
      </c>
      <c r="C2218" s="2">
        <f t="shared" ca="1" si="2109"/>
        <v>7.0147130436138401</v>
      </c>
      <c r="D2218" s="2">
        <f t="shared" ca="1" si="2110"/>
        <v>0.29455687309074974</v>
      </c>
      <c r="E2218" s="2">
        <f t="shared" ca="1" si="2111"/>
        <v>7.2675374558817953</v>
      </c>
      <c r="F2218" s="2">
        <f t="shared" ca="1" si="2112"/>
        <v>0.23680816420163375</v>
      </c>
      <c r="G2218" s="2">
        <f t="shared" ca="1" si="2113"/>
        <v>1.8501775630051596E-2</v>
      </c>
      <c r="H2218" s="2">
        <f t="shared" ca="1" si="2114"/>
        <v>1.8501775630051596E-2</v>
      </c>
      <c r="I2218" s="2">
        <f t="shared" ca="1" si="2115"/>
        <v>0.76609797598120033</v>
      </c>
      <c r="J2218" s="2">
        <f t="shared" ca="1" si="2116"/>
        <v>1.3630283206456404E-2</v>
      </c>
      <c r="K2218" s="2">
        <f t="shared" ca="1" si="2117"/>
        <v>1.3630283206456404E-2</v>
      </c>
      <c r="L2218" s="2">
        <f t="shared" ca="1" si="2118"/>
        <v>0.65940925472980594</v>
      </c>
      <c r="M2218" s="2">
        <f t="shared" ca="1" si="2119"/>
        <v>8.2170282798366551E-3</v>
      </c>
      <c r="N2218" s="2">
        <f t="shared" ca="1" si="2120"/>
        <v>8.2170282798366551E-3</v>
      </c>
      <c r="O2218" s="2">
        <f t="shared" si="2121"/>
        <v>6000000</v>
      </c>
      <c r="P2218" s="2">
        <f t="shared" ca="1" si="2122"/>
        <v>42088278.261683039</v>
      </c>
      <c r="Q2218" s="2">
        <f t="shared" ca="1" si="2123"/>
        <v>1052206.9565420761</v>
      </c>
      <c r="R2218" s="2">
        <f t="shared" ca="1" si="2124"/>
        <v>25252966.957009822</v>
      </c>
      <c r="S2218" s="2">
        <f t="shared" ca="1" si="2125"/>
        <v>16835311.304673217</v>
      </c>
      <c r="T2218" s="2">
        <f t="shared" ca="1" si="2126"/>
        <v>50410851.413991831</v>
      </c>
      <c r="U2218" s="2">
        <f t="shared" ca="1" si="2127"/>
        <v>51343541.676173382</v>
      </c>
      <c r="V2218" s="2">
        <f t="shared" ca="1" si="2128"/>
        <v>52293488.364318147</v>
      </c>
      <c r="W2218" s="2">
        <f t="shared" ca="1" si="2129"/>
        <v>53261010.752947479</v>
      </c>
      <c r="X2218" s="2">
        <f t="shared" ca="1" si="2130"/>
        <v>54246434.023728281</v>
      </c>
      <c r="Y2218" s="2">
        <f t="shared" ca="1" si="2131"/>
        <v>0.12681514160322821</v>
      </c>
      <c r="Z2218" s="2">
        <f t="shared" ca="1" si="2132"/>
        <v>0.12954119824451948</v>
      </c>
      <c r="AA2218" s="2">
        <f t="shared" ca="1" si="2133"/>
        <v>6392859.2604046715</v>
      </c>
      <c r="AB2218" s="2">
        <f t="shared" ca="1" si="2134"/>
        <v>6651103.910848924</v>
      </c>
      <c r="AC2218" s="2">
        <f t="shared" ca="1" si="2135"/>
        <v>6774161.1430996098</v>
      </c>
      <c r="AD2218" s="2">
        <f t="shared" ca="1" si="2136"/>
        <v>6899495.1526510539</v>
      </c>
      <c r="AE2218" s="2">
        <f t="shared" ca="1" si="2137"/>
        <v>7027148.0639260318</v>
      </c>
      <c r="AF2218" s="2">
        <f t="shared" ca="1" si="2138"/>
        <v>1008217.0282798366</v>
      </c>
      <c r="AG2218" s="2">
        <f t="shared" ca="1" si="2139"/>
        <v>1026870.8335234676</v>
      </c>
      <c r="AH2218" s="2">
        <f t="shared" ca="1" si="2140"/>
        <v>1045869.7672863629</v>
      </c>
      <c r="AI2218" s="2">
        <f t="shared" ca="1" si="2141"/>
        <v>1065220.2150589495</v>
      </c>
      <c r="AJ2218" s="2">
        <f t="shared" ca="1" si="2142"/>
        <v>1084928.6804745656</v>
      </c>
      <c r="AK2218" s="2">
        <f t="shared" ca="1" si="2143"/>
        <v>0</v>
      </c>
      <c r="AL2218" s="2">
        <f t="shared" ca="1" si="2144"/>
        <v>9326.9026218155032</v>
      </c>
      <c r="AM2218" s="2">
        <f t="shared" ca="1" si="2145"/>
        <v>9499.466881447659</v>
      </c>
      <c r="AN2218" s="2">
        <f t="shared" ca="1" si="2146"/>
        <v>9675.2238862933227</v>
      </c>
      <c r="AO2218" s="2">
        <f t="shared" ca="1" si="2147"/>
        <v>9854.2327078080179</v>
      </c>
      <c r="AP2218" s="2">
        <f t="shared" ca="1" si="2148"/>
        <v>2272767.026130884</v>
      </c>
      <c r="AQ2218" s="2">
        <f t="shared" ca="1" si="2149"/>
        <v>809087.55355842737</v>
      </c>
      <c r="AR2218" s="2">
        <f t="shared" ca="1" si="2150"/>
        <v>871381.1733105887</v>
      </c>
      <c r="AS2218" s="2">
        <f t="shared" ca="1" si="2151"/>
        <v>898436.33091741439</v>
      </c>
      <c r="AT2218" s="2">
        <f t="shared" ca="1" si="2152"/>
        <v>925992.05697991722</v>
      </c>
      <c r="AU2218" s="2">
        <f t="shared" ca="1" si="2153"/>
        <v>954057.61290335143</v>
      </c>
      <c r="AV2218" s="2">
        <f t="shared" ca="1" si="2154"/>
        <v>2302787.6524355235</v>
      </c>
      <c r="AW2218" s="2">
        <f t="shared" ca="1" si="2155"/>
        <v>2470757.9752621669</v>
      </c>
      <c r="AX2218" s="2">
        <f t="shared" ca="1" si="2156"/>
        <v>2547588.551883501</v>
      </c>
      <c r="AY2218" s="2">
        <f t="shared" ca="1" si="2157"/>
        <v>2625840.6305950098</v>
      </c>
      <c r="AZ2218" s="2">
        <f t="shared" ca="1" si="2158"/>
        <v>2705540.5117094228</v>
      </c>
      <c r="BA2218" s="2">
        <f t="shared" ca="1" si="2159"/>
        <v>51070061.762609676</v>
      </c>
      <c r="BB2218" s="2">
        <f t="shared" ca="1" si="2160"/>
        <v>1021401.2352521935</v>
      </c>
      <c r="BC2218" s="2">
        <f t="shared" ca="1" si="2161"/>
        <v>24795693.570347659</v>
      </c>
      <c r="BD2218" s="2">
        <f t="shared" ca="1" si="2162"/>
        <v>-18387518.261215292</v>
      </c>
      <c r="BE2218" s="2">
        <f t="shared" ca="1" si="2163"/>
        <v>2302787.6524355235</v>
      </c>
      <c r="BF2218" s="2">
        <f t="shared" ca="1" si="2164"/>
        <v>2470757.9752621669</v>
      </c>
      <c r="BG2218" s="2">
        <f t="shared" ca="1" si="2165"/>
        <v>2547588.551883501</v>
      </c>
      <c r="BH2218" s="2">
        <f t="shared" ca="1" si="2166"/>
        <v>2625840.6305950098</v>
      </c>
      <c r="BI2218" s="2">
        <f t="shared" ca="1" si="2167"/>
        <v>27501234.082057081</v>
      </c>
      <c r="BJ2218" s="2">
        <f t="shared" ca="1" si="2168"/>
        <v>0.18416364300018073</v>
      </c>
      <c r="BK2218" s="2">
        <f t="shared" ca="1" si="2169"/>
        <v>4725246.4596364945</v>
      </c>
    </row>
    <row r="2219" spans="1:63" x14ac:dyDescent="0.3">
      <c r="A2219" s="2">
        <v>2218</v>
      </c>
      <c r="B2219" s="2">
        <f t="shared" ca="1" si="2108"/>
        <v>0.98562057486588073</v>
      </c>
      <c r="C2219" s="2">
        <f t="shared" ca="1" si="2109"/>
        <v>7.8304156544128007</v>
      </c>
      <c r="D2219" s="2">
        <f t="shared" ca="1" si="2110"/>
        <v>0.87897134862776694</v>
      </c>
      <c r="E2219" s="2">
        <f t="shared" ca="1" si="2111"/>
        <v>8.0080068062010756</v>
      </c>
      <c r="F2219" s="2">
        <f t="shared" ca="1" si="2112"/>
        <v>0.22781594506213698</v>
      </c>
      <c r="G2219" s="2">
        <f t="shared" ca="1" si="2113"/>
        <v>1.7618235711255377E-2</v>
      </c>
      <c r="H2219" s="2">
        <f t="shared" ca="1" si="2114"/>
        <v>1.7618235711255377E-2</v>
      </c>
      <c r="I2219" s="2">
        <f t="shared" ca="1" si="2115"/>
        <v>0.62445324225539578</v>
      </c>
      <c r="J2219" s="2">
        <f t="shared" ca="1" si="2116"/>
        <v>1.158598902408222E-2</v>
      </c>
      <c r="K2219" s="2">
        <f t="shared" ca="1" si="2117"/>
        <v>1.158598902408222E-2</v>
      </c>
      <c r="L2219" s="2">
        <f t="shared" ca="1" si="2118"/>
        <v>0.38590727010369463</v>
      </c>
      <c r="M2219" s="2">
        <f t="shared" ca="1" si="2119"/>
        <v>-5.8000443746600095E-3</v>
      </c>
      <c r="N2219" s="2">
        <f t="shared" ca="1" si="2120"/>
        <v>-5.8000443746600095E-3</v>
      </c>
      <c r="O2219" s="2">
        <f t="shared" si="2121"/>
        <v>6000000</v>
      </c>
      <c r="P2219" s="2">
        <f t="shared" ca="1" si="2122"/>
        <v>46982493.926476806</v>
      </c>
      <c r="Q2219" s="2">
        <f t="shared" ca="1" si="2123"/>
        <v>1174562.3481619202</v>
      </c>
      <c r="R2219" s="2">
        <f t="shared" ca="1" si="2124"/>
        <v>28189496.355886083</v>
      </c>
      <c r="S2219" s="2">
        <f t="shared" ca="1" si="2125"/>
        <v>18792997.570590723</v>
      </c>
      <c r="T2219" s="2">
        <f t="shared" ca="1" si="2126"/>
        <v>49709997.781267002</v>
      </c>
      <c r="U2219" s="2">
        <f t="shared" ca="1" si="2127"/>
        <v>50585800.23938334</v>
      </c>
      <c r="V2219" s="2">
        <f t="shared" ca="1" si="2128"/>
        <v>51477032.791643269</v>
      </c>
      <c r="W2219" s="2">
        <f t="shared" ca="1" si="2129"/>
        <v>52383967.28908246</v>
      </c>
      <c r="X2219" s="2">
        <f t="shared" ca="1" si="2130"/>
        <v>53306880.372272201</v>
      </c>
      <c r="Y2219" s="2">
        <f t="shared" ca="1" si="2131"/>
        <v>0.1257929945120411</v>
      </c>
      <c r="Z2219" s="2">
        <f t="shared" ca="1" si="2132"/>
        <v>0.12811019231685755</v>
      </c>
      <c r="AA2219" s="2">
        <f t="shared" ca="1" si="2133"/>
        <v>6253169.4780924954</v>
      </c>
      <c r="AB2219" s="2">
        <f t="shared" ca="1" si="2134"/>
        <v>6480556.597169538</v>
      </c>
      <c r="AC2219" s="2">
        <f t="shared" ca="1" si="2135"/>
        <v>6594732.5708386023</v>
      </c>
      <c r="AD2219" s="2">
        <f t="shared" ca="1" si="2136"/>
        <v>6710920.1237243293</v>
      </c>
      <c r="AE2219" s="2">
        <f t="shared" ca="1" si="2137"/>
        <v>6829154.696303511</v>
      </c>
      <c r="AF2219" s="2">
        <f t="shared" ca="1" si="2138"/>
        <v>994199.95562534011</v>
      </c>
      <c r="AG2219" s="2">
        <f t="shared" ca="1" si="2139"/>
        <v>1011716.0047876668</v>
      </c>
      <c r="AH2219" s="2">
        <f t="shared" ca="1" si="2140"/>
        <v>1029540.6558328654</v>
      </c>
      <c r="AI2219" s="2">
        <f t="shared" ca="1" si="2141"/>
        <v>1047679.3457816492</v>
      </c>
      <c r="AJ2219" s="2">
        <f t="shared" ca="1" si="2142"/>
        <v>1066137.607445444</v>
      </c>
      <c r="AK2219" s="2">
        <f t="shared" ca="1" si="2143"/>
        <v>0</v>
      </c>
      <c r="AL2219" s="2">
        <f t="shared" ca="1" si="2144"/>
        <v>8758.0245811633758</v>
      </c>
      <c r="AM2219" s="2">
        <f t="shared" ca="1" si="2145"/>
        <v>8912.3255225992943</v>
      </c>
      <c r="AN2219" s="2">
        <f t="shared" ca="1" si="2146"/>
        <v>9069.3449743919082</v>
      </c>
      <c r="AO2219" s="2">
        <f t="shared" ca="1" si="2147"/>
        <v>9229.1308318974079</v>
      </c>
      <c r="AP2219" s="2">
        <f t="shared" ca="1" si="2148"/>
        <v>2537054.6720297472</v>
      </c>
      <c r="AQ2219" s="2">
        <f t="shared" ca="1" si="2149"/>
        <v>707697.86111372605</v>
      </c>
      <c r="AR2219" s="2">
        <f t="shared" ca="1" si="2150"/>
        <v>762264.33929155231</v>
      </c>
      <c r="AS2219" s="2">
        <f t="shared" ca="1" si="2151"/>
        <v>787315.6831737574</v>
      </c>
      <c r="AT2219" s="2">
        <f t="shared" ca="1" si="2152"/>
        <v>812808.38753736252</v>
      </c>
      <c r="AU2219" s="2">
        <f t="shared" ca="1" si="2153"/>
        <v>838750.22837536316</v>
      </c>
      <c r="AV2219" s="2">
        <f t="shared" ca="1" si="2154"/>
        <v>2014216.9893236817</v>
      </c>
      <c r="AW2219" s="2">
        <f t="shared" ca="1" si="2155"/>
        <v>2160763.5564794089</v>
      </c>
      <c r="AX2219" s="2">
        <f t="shared" ca="1" si="2156"/>
        <v>2231909.234279633</v>
      </c>
      <c r="AY2219" s="2">
        <f t="shared" ca="1" si="2157"/>
        <v>2304308.3734011776</v>
      </c>
      <c r="AZ2219" s="2">
        <f t="shared" ca="1" si="2158"/>
        <v>2377983.0576210595</v>
      </c>
      <c r="BA2219" s="2">
        <f t="shared" ca="1" si="2159"/>
        <v>54687917.288598552</v>
      </c>
      <c r="BB2219" s="2">
        <f t="shared" ca="1" si="2160"/>
        <v>1093758.3457719712</v>
      </c>
      <c r="BC2219" s="2">
        <f t="shared" ca="1" si="2161"/>
        <v>25404662.586940497</v>
      </c>
      <c r="BD2219" s="2">
        <f t="shared" ca="1" si="2162"/>
        <v>-20467559.918752644</v>
      </c>
      <c r="BE2219" s="2">
        <f t="shared" ca="1" si="2163"/>
        <v>2014216.9893236817</v>
      </c>
      <c r="BF2219" s="2">
        <f t="shared" ca="1" si="2164"/>
        <v>2160763.5564794089</v>
      </c>
      <c r="BG2219" s="2">
        <f t="shared" ca="1" si="2165"/>
        <v>2231909.234279633</v>
      </c>
      <c r="BH2219" s="2">
        <f t="shared" ca="1" si="2166"/>
        <v>2304308.3734011776</v>
      </c>
      <c r="BI2219" s="2">
        <f t="shared" ca="1" si="2167"/>
        <v>27782645.644561555</v>
      </c>
      <c r="BJ2219" s="2">
        <f t="shared" ca="1" si="2168"/>
        <v>0.14345630136831655</v>
      </c>
      <c r="BK2219" s="2">
        <f t="shared" ca="1" si="2169"/>
        <v>1871073.3845162392</v>
      </c>
    </row>
    <row r="2220" spans="1:63" x14ac:dyDescent="0.3">
      <c r="A2220" s="2">
        <v>2219</v>
      </c>
      <c r="B2220" s="2">
        <f t="shared" ca="1" si="2108"/>
        <v>0.90635075120404762</v>
      </c>
      <c r="C2220" s="2">
        <f t="shared" ca="1" si="2109"/>
        <v>7.5672200355932535</v>
      </c>
      <c r="D2220" s="2">
        <f t="shared" ca="1" si="2110"/>
        <v>0.218129376039361</v>
      </c>
      <c r="E2220" s="2">
        <f t="shared" ca="1" si="2111"/>
        <v>7.1604988660692177</v>
      </c>
      <c r="F2220" s="2">
        <f t="shared" ca="1" si="2112"/>
        <v>0.14775638397389768</v>
      </c>
      <c r="G2220" s="2">
        <f t="shared" ca="1" si="2113"/>
        <v>8.6168637079117039E-3</v>
      </c>
      <c r="H2220" s="2">
        <f t="shared" ca="1" si="2114"/>
        <v>8.6168637079117039E-3</v>
      </c>
      <c r="I2220" s="2">
        <f t="shared" ca="1" si="2115"/>
        <v>0.44950402617224383</v>
      </c>
      <c r="J2220" s="2">
        <f t="shared" ca="1" si="2116"/>
        <v>9.365427387794837E-3</v>
      </c>
      <c r="K2220" s="2">
        <f t="shared" ca="1" si="2117"/>
        <v>9.365427387794837E-3</v>
      </c>
      <c r="L2220" s="2">
        <f t="shared" ca="1" si="2118"/>
        <v>0.88485425242692284</v>
      </c>
      <c r="M2220" s="2">
        <f t="shared" ca="1" si="2119"/>
        <v>2.3992166329783609E-2</v>
      </c>
      <c r="N2220" s="2">
        <f t="shared" ca="1" si="2120"/>
        <v>2.3992166329783609E-2</v>
      </c>
      <c r="O2220" s="2">
        <f t="shared" si="2121"/>
        <v>6000000</v>
      </c>
      <c r="P2220" s="2">
        <f t="shared" ca="1" si="2122"/>
        <v>45403320.213559523</v>
      </c>
      <c r="Q2220" s="2">
        <f t="shared" ca="1" si="2123"/>
        <v>1135083.005338988</v>
      </c>
      <c r="R2220" s="2">
        <f t="shared" ca="1" si="2124"/>
        <v>27241992.128135715</v>
      </c>
      <c r="S2220" s="2">
        <f t="shared" ca="1" si="2125"/>
        <v>18161328.085423809</v>
      </c>
      <c r="T2220" s="2">
        <f t="shared" ca="1" si="2126"/>
        <v>51199608.316489175</v>
      </c>
      <c r="U2220" s="2">
        <f t="shared" ca="1" si="2127"/>
        <v>51640788.363250829</v>
      </c>
      <c r="V2220" s="2">
        <f t="shared" ca="1" si="2128"/>
        <v>52085769.998346083</v>
      </c>
      <c r="W2220" s="2">
        <f t="shared" ca="1" si="2129"/>
        <v>52534585.97954347</v>
      </c>
      <c r="X2220" s="2">
        <f t="shared" ca="1" si="2130"/>
        <v>52987269.346880771</v>
      </c>
      <c r="Y2220" s="2">
        <f t="shared" ca="1" si="2131"/>
        <v>0.12468271369389741</v>
      </c>
      <c r="Z2220" s="2">
        <f t="shared" ca="1" si="2132"/>
        <v>0.12655579917145637</v>
      </c>
      <c r="AA2220" s="2">
        <f t="shared" ca="1" si="2133"/>
        <v>6383706.1049645087</v>
      </c>
      <c r="AB2220" s="2">
        <f t="shared" ca="1" si="2134"/>
        <v>6535441.2411552528</v>
      </c>
      <c r="AC2220" s="2">
        <f t="shared" ca="1" si="2135"/>
        <v>6591756.2476013545</v>
      </c>
      <c r="AD2220" s="2">
        <f t="shared" ca="1" si="2136"/>
        <v>6648556.5127827115</v>
      </c>
      <c r="AE2220" s="2">
        <f t="shared" ca="1" si="2137"/>
        <v>6705846.2181077097</v>
      </c>
      <c r="AF2220" s="2">
        <f t="shared" ca="1" si="2138"/>
        <v>1023992.1663297835</v>
      </c>
      <c r="AG2220" s="2">
        <f t="shared" ca="1" si="2139"/>
        <v>1032815.7672650166</v>
      </c>
      <c r="AH2220" s="2">
        <f t="shared" ca="1" si="2140"/>
        <v>1041715.3999669217</v>
      </c>
      <c r="AI2220" s="2">
        <f t="shared" ca="1" si="2141"/>
        <v>1050691.7195908695</v>
      </c>
      <c r="AJ2220" s="2">
        <f t="shared" ca="1" si="2142"/>
        <v>1059745.3869376155</v>
      </c>
      <c r="AK2220" s="2">
        <f t="shared" ca="1" si="2143"/>
        <v>0</v>
      </c>
      <c r="AL2220" s="2">
        <f t="shared" ca="1" si="2144"/>
        <v>4411.8004676165428</v>
      </c>
      <c r="AM2220" s="2">
        <f t="shared" ca="1" si="2145"/>
        <v>4449.8163509525357</v>
      </c>
      <c r="AN2220" s="2">
        <f t="shared" ca="1" si="2146"/>
        <v>4488.1598119738701</v>
      </c>
      <c r="AO2220" s="2">
        <f t="shared" ca="1" si="2147"/>
        <v>4526.8336733730139</v>
      </c>
      <c r="AP2220" s="2">
        <f t="shared" ca="1" si="2148"/>
        <v>2451779.2915322143</v>
      </c>
      <c r="AQ2220" s="2">
        <f t="shared" ca="1" si="2149"/>
        <v>756063.0082466529</v>
      </c>
      <c r="AR2220" s="2">
        <f t="shared" ca="1" si="2150"/>
        <v>793220.00741308578</v>
      </c>
      <c r="AS2220" s="2">
        <f t="shared" ca="1" si="2151"/>
        <v>805548.00458657683</v>
      </c>
      <c r="AT2220" s="2">
        <f t="shared" ca="1" si="2152"/>
        <v>817982.23043150315</v>
      </c>
      <c r="AU2220" s="2">
        <f t="shared" ca="1" si="2153"/>
        <v>830523.60030584875</v>
      </c>
      <c r="AV2220" s="2">
        <f t="shared" ca="1" si="2154"/>
        <v>2151871.6388558582</v>
      </c>
      <c r="AW2220" s="2">
        <f t="shared" ca="1" si="2155"/>
        <v>2253214.3744773199</v>
      </c>
      <c r="AX2220" s="2">
        <f t="shared" ca="1" si="2156"/>
        <v>2288263.7351646894</v>
      </c>
      <c r="AY2220" s="2">
        <f t="shared" ca="1" si="2157"/>
        <v>2323615.1114161504</v>
      </c>
      <c r="AZ2220" s="2">
        <f t="shared" ca="1" si="2158"/>
        <v>2359271.1056586583</v>
      </c>
      <c r="BA2220" s="2">
        <f t="shared" ca="1" si="2159"/>
        <v>48017204.240794808</v>
      </c>
      <c r="BB2220" s="2">
        <f t="shared" ca="1" si="2160"/>
        <v>960344.08481589612</v>
      </c>
      <c r="BC2220" s="2">
        <f t="shared" ca="1" si="2161"/>
        <v>19814868.027843196</v>
      </c>
      <c r="BD2220" s="2">
        <f t="shared" ca="1" si="2162"/>
        <v>-19796411.090762798</v>
      </c>
      <c r="BE2220" s="2">
        <f t="shared" ca="1" si="2163"/>
        <v>2151871.6388558582</v>
      </c>
      <c r="BF2220" s="2">
        <f t="shared" ca="1" si="2164"/>
        <v>2253214.3744773199</v>
      </c>
      <c r="BG2220" s="2">
        <f t="shared" ca="1" si="2165"/>
        <v>2288263.7351646894</v>
      </c>
      <c r="BH2220" s="2">
        <f t="shared" ca="1" si="2166"/>
        <v>2323615.1114161504</v>
      </c>
      <c r="BI2220" s="2">
        <f t="shared" ca="1" si="2167"/>
        <v>22174139.133501854</v>
      </c>
      <c r="BJ2220" s="2">
        <f t="shared" ca="1" si="2168"/>
        <v>0.11454386837663844</v>
      </c>
      <c r="BK2220" s="2">
        <f t="shared" ca="1" si="2169"/>
        <v>-391206.03752808645</v>
      </c>
    </row>
    <row r="2221" spans="1:63" x14ac:dyDescent="0.3">
      <c r="A2221" s="2">
        <v>2220</v>
      </c>
      <c r="B2221" s="2">
        <f t="shared" ca="1" si="2108"/>
        <v>0.60780616969025969</v>
      </c>
      <c r="C2221" s="2">
        <f t="shared" ca="1" si="2109"/>
        <v>7.114343373186041</v>
      </c>
      <c r="D2221" s="2">
        <f t="shared" ca="1" si="2110"/>
        <v>0.17747779951380982</v>
      </c>
      <c r="E2221" s="2">
        <f t="shared" ca="1" si="2111"/>
        <v>7.0957815027571938</v>
      </c>
      <c r="F2221" s="2">
        <f t="shared" ca="1" si="2112"/>
        <v>0.68008569207882563</v>
      </c>
      <c r="G2221" s="2">
        <f t="shared" ca="1" si="2113"/>
        <v>5.4038153089031815E-2</v>
      </c>
      <c r="H2221" s="2">
        <f t="shared" ca="1" si="2114"/>
        <v>5.4038153089031815E-2</v>
      </c>
      <c r="I2221" s="2">
        <f t="shared" ca="1" si="2115"/>
        <v>0.52445558457352082</v>
      </c>
      <c r="J2221" s="2">
        <f t="shared" ca="1" si="2116"/>
        <v>1.0306697517000182E-2</v>
      </c>
      <c r="K2221" s="2">
        <f t="shared" ca="1" si="2117"/>
        <v>1.0306697517000182E-2</v>
      </c>
      <c r="L2221" s="2">
        <f t="shared" ca="1" si="2118"/>
        <v>0.53860598870831766</v>
      </c>
      <c r="M2221" s="2">
        <f t="shared" ca="1" si="2119"/>
        <v>1.9384479330575607E-3</v>
      </c>
      <c r="N2221" s="2">
        <f t="shared" ca="1" si="2120"/>
        <v>1.9384479330575607E-3</v>
      </c>
      <c r="O2221" s="2">
        <f t="shared" si="2121"/>
        <v>6000000</v>
      </c>
      <c r="P2221" s="2">
        <f t="shared" ca="1" si="2122"/>
        <v>42686060.239116244</v>
      </c>
      <c r="Q2221" s="2">
        <f t="shared" ca="1" si="2123"/>
        <v>1067151.5059779061</v>
      </c>
      <c r="R2221" s="2">
        <f t="shared" ca="1" si="2124"/>
        <v>25611636.143469747</v>
      </c>
      <c r="S2221" s="2">
        <f t="shared" ca="1" si="2125"/>
        <v>17074424.095646497</v>
      </c>
      <c r="T2221" s="2">
        <f t="shared" ca="1" si="2126"/>
        <v>50096922.396652877</v>
      </c>
      <c r="U2221" s="2">
        <f t="shared" ca="1" si="2127"/>
        <v>52804067.558412559</v>
      </c>
      <c r="V2221" s="2">
        <f t="shared" ca="1" si="2128"/>
        <v>55657501.844857641</v>
      </c>
      <c r="W2221" s="2">
        <f t="shared" ca="1" si="2129"/>
        <v>58665130.450103134</v>
      </c>
      <c r="X2221" s="2">
        <f t="shared" ca="1" si="2130"/>
        <v>61835285.750353836</v>
      </c>
      <c r="Y2221" s="2">
        <f t="shared" ca="1" si="2131"/>
        <v>0.12515334875850009</v>
      </c>
      <c r="Z2221" s="2">
        <f t="shared" ca="1" si="2132"/>
        <v>0.12721468826190013</v>
      </c>
      <c r="AA2221" s="2">
        <f t="shared" ca="1" si="2133"/>
        <v>6269797.600435812</v>
      </c>
      <c r="AB2221" s="2">
        <f t="shared" ca="1" si="2134"/>
        <v>6717452.9934037682</v>
      </c>
      <c r="AC2221" s="2">
        <f t="shared" ca="1" si="2135"/>
        <v>7080451.7466296963</v>
      </c>
      <c r="AD2221" s="2">
        <f t="shared" ca="1" si="2136"/>
        <v>7463066.2820535749</v>
      </c>
      <c r="AE2221" s="2">
        <f t="shared" ca="1" si="2137"/>
        <v>7866356.6003167788</v>
      </c>
      <c r="AF2221" s="2">
        <f t="shared" ca="1" si="2138"/>
        <v>1001938.4479330576</v>
      </c>
      <c r="AG2221" s="2">
        <f t="shared" ca="1" si="2139"/>
        <v>1056081.3511682511</v>
      </c>
      <c r="AH2221" s="2">
        <f t="shared" ca="1" si="2140"/>
        <v>1113150.0368971529</v>
      </c>
      <c r="AI2221" s="2">
        <f t="shared" ca="1" si="2141"/>
        <v>1173302.6090020628</v>
      </c>
      <c r="AJ2221" s="2">
        <f t="shared" ca="1" si="2142"/>
        <v>1236705.7150070767</v>
      </c>
      <c r="AK2221" s="2">
        <f t="shared" ca="1" si="2143"/>
        <v>0</v>
      </c>
      <c r="AL2221" s="2">
        <f t="shared" ca="1" si="2144"/>
        <v>27071.45161759682</v>
      </c>
      <c r="AM2221" s="2">
        <f t="shared" ca="1" si="2145"/>
        <v>28534.342864450813</v>
      </c>
      <c r="AN2221" s="2">
        <f t="shared" ca="1" si="2146"/>
        <v>30076.286052454932</v>
      </c>
      <c r="AO2221" s="2">
        <f t="shared" ca="1" si="2147"/>
        <v>31701.553002507018</v>
      </c>
      <c r="AP2221" s="2">
        <f t="shared" ca="1" si="2148"/>
        <v>2305047.2529122774</v>
      </c>
      <c r="AQ2221" s="2">
        <f t="shared" ca="1" si="2149"/>
        <v>770331.09389352414</v>
      </c>
      <c r="AR2221" s="2">
        <f t="shared" ca="1" si="2150"/>
        <v>872644.34122404247</v>
      </c>
      <c r="AS2221" s="2">
        <f t="shared" ca="1" si="2151"/>
        <v>952186.15877326927</v>
      </c>
      <c r="AT2221" s="2">
        <f t="shared" ca="1" si="2152"/>
        <v>1036026.269236201</v>
      </c>
      <c r="AU2221" s="2">
        <f t="shared" ca="1" si="2153"/>
        <v>1124396.9444233305</v>
      </c>
      <c r="AV2221" s="2">
        <f t="shared" ca="1" si="2154"/>
        <v>2192480.8056969531</v>
      </c>
      <c r="AW2221" s="2">
        <f t="shared" ca="1" si="2155"/>
        <v>2456608.5964816008</v>
      </c>
      <c r="AX2221" s="2">
        <f t="shared" ca="1" si="2156"/>
        <v>2681533.9551825458</v>
      </c>
      <c r="AY2221" s="2">
        <f t="shared" ca="1" si="2157"/>
        <v>2918613.8648505788</v>
      </c>
      <c r="AZ2221" s="2">
        <f t="shared" ca="1" si="2158"/>
        <v>3168505.134971587</v>
      </c>
      <c r="BA2221" s="2">
        <f t="shared" ca="1" si="2159"/>
        <v>55817947.658619761</v>
      </c>
      <c r="BB2221" s="2">
        <f t="shared" ca="1" si="2160"/>
        <v>1116358.9531723952</v>
      </c>
      <c r="BC2221" s="2">
        <f t="shared" ca="1" si="2161"/>
        <v>29089952.561977617</v>
      </c>
      <c r="BD2221" s="2">
        <f t="shared" ca="1" si="2162"/>
        <v>-18641575.601624403</v>
      </c>
      <c r="BE2221" s="2">
        <f t="shared" ca="1" si="2163"/>
        <v>2192480.8056969531</v>
      </c>
      <c r="BF2221" s="2">
        <f t="shared" ca="1" si="2164"/>
        <v>2456608.5964816008</v>
      </c>
      <c r="BG2221" s="2">
        <f t="shared" ca="1" si="2165"/>
        <v>2681533.9551825458</v>
      </c>
      <c r="BH2221" s="2">
        <f t="shared" ca="1" si="2166"/>
        <v>2918613.8648505788</v>
      </c>
      <c r="BI2221" s="2">
        <f t="shared" ca="1" si="2167"/>
        <v>32258457.696949206</v>
      </c>
      <c r="BJ2221" s="2">
        <f t="shared" ca="1" si="2168"/>
        <v>0.21252621287553475</v>
      </c>
      <c r="BK2221" s="2">
        <f t="shared" ca="1" si="2169"/>
        <v>7342199.8784204163</v>
      </c>
    </row>
    <row r="2222" spans="1:63" x14ac:dyDescent="0.3">
      <c r="A2222" s="2">
        <v>2221</v>
      </c>
      <c r="B2222" s="2">
        <f t="shared" ca="1" si="2108"/>
        <v>0.86573539119202858</v>
      </c>
      <c r="C2222" s="2">
        <f t="shared" ca="1" si="2109"/>
        <v>7.4818019513584186</v>
      </c>
      <c r="D2222" s="2">
        <f t="shared" ca="1" si="2110"/>
        <v>0.48570032340983504</v>
      </c>
      <c r="E2222" s="2">
        <f t="shared" ca="1" si="2111"/>
        <v>7.4855965943628613</v>
      </c>
      <c r="F2222" s="2">
        <f t="shared" ca="1" si="2112"/>
        <v>0.64190123149363176</v>
      </c>
      <c r="G2222" s="2">
        <f t="shared" ca="1" si="2113"/>
        <v>5.090636071710529E-2</v>
      </c>
      <c r="H2222" s="2">
        <f t="shared" ca="1" si="2114"/>
        <v>5.090636071710529E-2</v>
      </c>
      <c r="I2222" s="2">
        <f t="shared" ca="1" si="2115"/>
        <v>0.38312667938784495</v>
      </c>
      <c r="J2222" s="2">
        <f t="shared" ca="1" si="2116"/>
        <v>8.5136039905207607E-3</v>
      </c>
      <c r="K2222" s="2">
        <f t="shared" ca="1" si="2117"/>
        <v>8.5136039905207607E-3</v>
      </c>
      <c r="L2222" s="2">
        <f t="shared" ca="1" si="2118"/>
        <v>0.59418705962105633</v>
      </c>
      <c r="M2222" s="2">
        <f t="shared" ca="1" si="2119"/>
        <v>4.7665812832948865E-3</v>
      </c>
      <c r="N2222" s="2">
        <f t="shared" ca="1" si="2120"/>
        <v>4.7665812832948865E-3</v>
      </c>
      <c r="O2222" s="2">
        <f t="shared" si="2121"/>
        <v>6000000</v>
      </c>
      <c r="P2222" s="2">
        <f t="shared" ca="1" si="2122"/>
        <v>44890811.708150513</v>
      </c>
      <c r="Q2222" s="2">
        <f t="shared" ca="1" si="2123"/>
        <v>1122270.2927037629</v>
      </c>
      <c r="R2222" s="2">
        <f t="shared" ca="1" si="2124"/>
        <v>26934487.024890307</v>
      </c>
      <c r="S2222" s="2">
        <f t="shared" ca="1" si="2125"/>
        <v>17956324.683260206</v>
      </c>
      <c r="T2222" s="2">
        <f t="shared" ca="1" si="2126"/>
        <v>50238329.064164743</v>
      </c>
      <c r="U2222" s="2">
        <f t="shared" ca="1" si="2127"/>
        <v>52795779.565329745</v>
      </c>
      <c r="V2222" s="2">
        <f t="shared" ca="1" si="2128"/>
        <v>55483420.564223193</v>
      </c>
      <c r="W2222" s="2">
        <f t="shared" ca="1" si="2129"/>
        <v>58307879.58528439</v>
      </c>
      <c r="X2222" s="2">
        <f t="shared" ca="1" si="2130"/>
        <v>61276121.536102414</v>
      </c>
      <c r="Y2222" s="2">
        <f t="shared" ca="1" si="2131"/>
        <v>0.12425680199526037</v>
      </c>
      <c r="Z2222" s="2">
        <f t="shared" ca="1" si="2132"/>
        <v>0.12595952279336453</v>
      </c>
      <c r="AA2222" s="2">
        <f t="shared" ca="1" si="2133"/>
        <v>6242454.107098653</v>
      </c>
      <c r="AB2222" s="2">
        <f t="shared" ca="1" si="2134"/>
        <v>6650131.1995526012</v>
      </c>
      <c r="AC2222" s="2">
        <f t="shared" ca="1" si="2135"/>
        <v>6988665.1772131016</v>
      </c>
      <c r="AD2222" s="2">
        <f t="shared" ca="1" si="2136"/>
        <v>7344432.6876553837</v>
      </c>
      <c r="AE2222" s="2">
        <f t="shared" ca="1" si="2137"/>
        <v>7718311.0273156669</v>
      </c>
      <c r="AF2222" s="2">
        <f t="shared" ca="1" si="2138"/>
        <v>1004766.5812832948</v>
      </c>
      <c r="AG2222" s="2">
        <f t="shared" ca="1" si="2139"/>
        <v>1055915.5913065949</v>
      </c>
      <c r="AH2222" s="2">
        <f t="shared" ca="1" si="2140"/>
        <v>1109668.4112844639</v>
      </c>
      <c r="AI2222" s="2">
        <f t="shared" ca="1" si="2141"/>
        <v>1166157.5917056878</v>
      </c>
      <c r="AJ2222" s="2">
        <f t="shared" ca="1" si="2142"/>
        <v>1225522.4307220483</v>
      </c>
      <c r="AK2222" s="2">
        <f t="shared" ca="1" si="2143"/>
        <v>0</v>
      </c>
      <c r="AL2222" s="2">
        <f t="shared" ca="1" si="2144"/>
        <v>25574.505011650028</v>
      </c>
      <c r="AM2222" s="2">
        <f t="shared" ca="1" si="2145"/>
        <v>26876.409988934472</v>
      </c>
      <c r="AN2222" s="2">
        <f t="shared" ca="1" si="2146"/>
        <v>28244.590210611968</v>
      </c>
      <c r="AO2222" s="2">
        <f t="shared" ca="1" si="2147"/>
        <v>29682.419508180246</v>
      </c>
      <c r="AP2222" s="2">
        <f t="shared" ca="1" si="2148"/>
        <v>2424103.8322401275</v>
      </c>
      <c r="AQ2222" s="2">
        <f t="shared" ca="1" si="2149"/>
        <v>731531.76032956003</v>
      </c>
      <c r="AR2222" s="2">
        <f t="shared" ca="1" si="2150"/>
        <v>824229.06176152849</v>
      </c>
      <c r="AS2222" s="2">
        <f t="shared" ca="1" si="2151"/>
        <v>898272.16275901254</v>
      </c>
      <c r="AT2222" s="2">
        <f t="shared" ca="1" si="2152"/>
        <v>976084.52856448793</v>
      </c>
      <c r="AU2222" s="2">
        <f t="shared" ca="1" si="2153"/>
        <v>1057858.0387319077</v>
      </c>
      <c r="AV2222" s="2">
        <f t="shared" ca="1" si="2154"/>
        <v>2082051.9332456705</v>
      </c>
      <c r="AW2222" s="2">
        <f t="shared" ca="1" si="2155"/>
        <v>2320308.2092327005</v>
      </c>
      <c r="AX2222" s="2">
        <f t="shared" ca="1" si="2156"/>
        <v>2529744.360940563</v>
      </c>
      <c r="AY2222" s="2">
        <f t="shared" ca="1" si="2157"/>
        <v>2749842.1449344694</v>
      </c>
      <c r="AZ2222" s="2">
        <f t="shared" ca="1" si="2158"/>
        <v>2981144.3061134028</v>
      </c>
      <c r="BA2222" s="2">
        <f t="shared" ca="1" si="2159"/>
        <v>57776162.740307473</v>
      </c>
      <c r="BB2222" s="2">
        <f t="shared" ca="1" si="2160"/>
        <v>1155523.2548061495</v>
      </c>
      <c r="BC2222" s="2">
        <f t="shared" ca="1" si="2161"/>
        <v>29686152.460611016</v>
      </c>
      <c r="BD2222" s="2">
        <f t="shared" ca="1" si="2162"/>
        <v>-19578594.975963969</v>
      </c>
      <c r="BE2222" s="2">
        <f t="shared" ca="1" si="2163"/>
        <v>2082051.9332456705</v>
      </c>
      <c r="BF2222" s="2">
        <f t="shared" ca="1" si="2164"/>
        <v>2320308.2092327005</v>
      </c>
      <c r="BG2222" s="2">
        <f t="shared" ca="1" si="2165"/>
        <v>2529744.360940563</v>
      </c>
      <c r="BH2222" s="2">
        <f t="shared" ca="1" si="2166"/>
        <v>2749842.1449344694</v>
      </c>
      <c r="BI2222" s="2">
        <f t="shared" ca="1" si="2167"/>
        <v>32667296.766724419</v>
      </c>
      <c r="BJ2222" s="2">
        <f t="shared" ca="1" si="2168"/>
        <v>0.19535995206827983</v>
      </c>
      <c r="BK2222" s="2">
        <f t="shared" ca="1" si="2169"/>
        <v>6214613.4160346538</v>
      </c>
    </row>
    <row r="2223" spans="1:63" x14ac:dyDescent="0.3">
      <c r="A2223" s="2">
        <v>2222</v>
      </c>
      <c r="B2223" s="2">
        <f t="shared" ca="1" si="2108"/>
        <v>0.49855893736972423</v>
      </c>
      <c r="C2223" s="2">
        <f t="shared" ca="1" si="2109"/>
        <v>6.9985578975399712</v>
      </c>
      <c r="D2223" s="2">
        <f t="shared" ca="1" si="2110"/>
        <v>0.46367932427344483</v>
      </c>
      <c r="E2223" s="2">
        <f t="shared" ca="1" si="2111"/>
        <v>7.4629946253987551</v>
      </c>
      <c r="F2223" s="2">
        <f t="shared" ca="1" si="2112"/>
        <v>0.91757956303640242</v>
      </c>
      <c r="G2223" s="2">
        <f t="shared" ca="1" si="2113"/>
        <v>8.1669198537300119E-2</v>
      </c>
      <c r="H2223" s="2">
        <f t="shared" ca="1" si="2114"/>
        <v>8.1669198537300119E-2</v>
      </c>
      <c r="I2223" s="2">
        <f t="shared" ca="1" si="2115"/>
        <v>0.62637490310857369</v>
      </c>
      <c r="J2223" s="2">
        <f t="shared" ca="1" si="2116"/>
        <v>1.1611336564525895E-2</v>
      </c>
      <c r="K2223" s="2">
        <f t="shared" ca="1" si="2117"/>
        <v>1.1611336564525895E-2</v>
      </c>
      <c r="L2223" s="2">
        <f t="shared" ca="1" si="2118"/>
        <v>0.78423010291725315</v>
      </c>
      <c r="M2223" s="2">
        <f t="shared" ca="1" si="2119"/>
        <v>1.573118936051373E-2</v>
      </c>
      <c r="N2223" s="2">
        <f t="shared" ca="1" si="2120"/>
        <v>1.573118936051373E-2</v>
      </c>
      <c r="O2223" s="2">
        <f t="shared" si="2121"/>
        <v>6000000</v>
      </c>
      <c r="P2223" s="2">
        <f t="shared" ca="1" si="2122"/>
        <v>41991347.385239825</v>
      </c>
      <c r="Q2223" s="2">
        <f t="shared" ca="1" si="2123"/>
        <v>1049783.6846309956</v>
      </c>
      <c r="R2223" s="2">
        <f t="shared" ca="1" si="2124"/>
        <v>25194808.431143895</v>
      </c>
      <c r="S2223" s="2">
        <f t="shared" ca="1" si="2125"/>
        <v>16796538.95409593</v>
      </c>
      <c r="T2223" s="2">
        <f t="shared" ca="1" si="2126"/>
        <v>50786559.468025684</v>
      </c>
      <c r="U2223" s="2">
        <f t="shared" ca="1" si="2127"/>
        <v>54934257.076246276</v>
      </c>
      <c r="V2223" s="2">
        <f t="shared" ca="1" si="2128"/>
        <v>59420693.823905319</v>
      </c>
      <c r="W2223" s="2">
        <f t="shared" ca="1" si="2129"/>
        <v>64273534.265033968</v>
      </c>
      <c r="X2223" s="2">
        <f t="shared" ca="1" si="2130"/>
        <v>69522702.295618996</v>
      </c>
      <c r="Y2223" s="2">
        <f t="shared" ca="1" si="2131"/>
        <v>0.12580566828226294</v>
      </c>
      <c r="Z2223" s="2">
        <f t="shared" ca="1" si="2132"/>
        <v>0.12812793559516811</v>
      </c>
      <c r="AA2223" s="2">
        <f t="shared" ca="1" si="2133"/>
        <v>6389237.0536318598</v>
      </c>
      <c r="AB2223" s="2">
        <f t="shared" ca="1" si="2134"/>
        <v>7038612.952633691</v>
      </c>
      <c r="AC2223" s="2">
        <f t="shared" ca="1" si="2135"/>
        <v>7613450.8312895438</v>
      </c>
      <c r="AD2223" s="2">
        <f t="shared" ca="1" si="2136"/>
        <v>8235235.2587841032</v>
      </c>
      <c r="AE2223" s="2">
        <f t="shared" ca="1" si="2137"/>
        <v>8907800.3221351169</v>
      </c>
      <c r="AF2223" s="2">
        <f t="shared" ca="1" si="2138"/>
        <v>1015731.1893605137</v>
      </c>
      <c r="AG2223" s="2">
        <f t="shared" ca="1" si="2139"/>
        <v>1098685.1415249256</v>
      </c>
      <c r="AH2223" s="2">
        <f t="shared" ca="1" si="2140"/>
        <v>1188413.8764781065</v>
      </c>
      <c r="AI2223" s="2">
        <f t="shared" ca="1" si="2141"/>
        <v>1285470.6853006794</v>
      </c>
      <c r="AJ2223" s="2">
        <f t="shared" ca="1" si="2142"/>
        <v>1390454.0459123799</v>
      </c>
      <c r="AK2223" s="2">
        <f t="shared" ca="1" si="2143"/>
        <v>0</v>
      </c>
      <c r="AL2223" s="2">
        <f t="shared" ca="1" si="2144"/>
        <v>41476.976082205925</v>
      </c>
      <c r="AM2223" s="2">
        <f t="shared" ca="1" si="2145"/>
        <v>44864.367476590429</v>
      </c>
      <c r="AN2223" s="2">
        <f t="shared" ca="1" si="2146"/>
        <v>48528.404411286487</v>
      </c>
      <c r="AO2223" s="2">
        <f t="shared" ca="1" si="2147"/>
        <v>52491.680305850285</v>
      </c>
      <c r="AP2223" s="2">
        <f t="shared" ca="1" si="2148"/>
        <v>2267532.7588029504</v>
      </c>
      <c r="AQ2223" s="2">
        <f t="shared" ca="1" si="2149"/>
        <v>807553.00742178306</v>
      </c>
      <c r="AR2223" s="2">
        <f t="shared" ca="1" si="2150"/>
        <v>954822.71359951189</v>
      </c>
      <c r="AS2223" s="2">
        <f t="shared" ca="1" si="2151"/>
        <v>1080951.0909622065</v>
      </c>
      <c r="AT2223" s="2">
        <f t="shared" ca="1" si="2152"/>
        <v>1217380.2718169233</v>
      </c>
      <c r="AU2223" s="2">
        <f t="shared" ca="1" si="2153"/>
        <v>1364951.5145291446</v>
      </c>
      <c r="AV2223" s="2">
        <f t="shared" ca="1" si="2154"/>
        <v>2298420.0980466129</v>
      </c>
      <c r="AW2223" s="2">
        <f t="shared" ca="1" si="2155"/>
        <v>2676095.3626240976</v>
      </c>
      <c r="AX2223" s="2">
        <f t="shared" ca="1" si="2156"/>
        <v>3031688.7375696898</v>
      </c>
      <c r="AY2223" s="2">
        <f t="shared" ca="1" si="2157"/>
        <v>3416323.1384522645</v>
      </c>
      <c r="AZ2223" s="2">
        <f t="shared" ca="1" si="2158"/>
        <v>3832370.322584792</v>
      </c>
      <c r="BA2223" s="2">
        <f t="shared" ca="1" si="2159"/>
        <v>66478865.928219676</v>
      </c>
      <c r="BB2223" s="2">
        <f t="shared" ca="1" si="2160"/>
        <v>1329577.3185643936</v>
      </c>
      <c r="BC2223" s="2">
        <f t="shared" ca="1" si="2161"/>
        <v>39954480.178511389</v>
      </c>
      <c r="BD2223" s="2">
        <f t="shared" ca="1" si="2162"/>
        <v>-18346322.638726927</v>
      </c>
      <c r="BE2223" s="2">
        <f t="shared" ca="1" si="2163"/>
        <v>2298420.0980466129</v>
      </c>
      <c r="BF2223" s="2">
        <f t="shared" ca="1" si="2164"/>
        <v>2676095.3626240976</v>
      </c>
      <c r="BG2223" s="2">
        <f t="shared" ca="1" si="2165"/>
        <v>3031688.7375696898</v>
      </c>
      <c r="BH2223" s="2">
        <f t="shared" ca="1" si="2166"/>
        <v>3416323.1384522645</v>
      </c>
      <c r="BI2223" s="2">
        <f t="shared" ca="1" si="2167"/>
        <v>43786850.501096182</v>
      </c>
      <c r="BJ2223" s="2">
        <f t="shared" ca="1" si="2168"/>
        <v>0.28909189862145057</v>
      </c>
      <c r="BK2223" s="2">
        <f t="shared" ca="1" si="2169"/>
        <v>15014071.18066401</v>
      </c>
    </row>
    <row r="2224" spans="1:63" x14ac:dyDescent="0.3">
      <c r="A2224" s="2">
        <v>2223</v>
      </c>
      <c r="B2224" s="2">
        <f t="shared" ca="1" si="2108"/>
        <v>0.46625591570189007</v>
      </c>
      <c r="C2224" s="2">
        <f t="shared" ca="1" si="2109"/>
        <v>6.96566652184063</v>
      </c>
      <c r="D2224" s="2">
        <f t="shared" ca="1" si="2110"/>
        <v>0.53123624348503418</v>
      </c>
      <c r="E2224" s="2">
        <f t="shared" ca="1" si="2111"/>
        <v>7.5317399558848193</v>
      </c>
      <c r="F2224" s="2">
        <f t="shared" ca="1" si="2112"/>
        <v>8.1597411714161794E-2</v>
      </c>
      <c r="G2224" s="2">
        <f t="shared" ca="1" si="2113"/>
        <v>-1.8322012571365953E-3</v>
      </c>
      <c r="H2224" s="2">
        <f t="shared" ca="1" si="2114"/>
        <v>-1.8322012571365953E-3</v>
      </c>
      <c r="I2224" s="2">
        <f t="shared" ca="1" si="2115"/>
        <v>0.65320959150833213</v>
      </c>
      <c r="J2224" s="2">
        <f t="shared" ca="1" si="2116"/>
        <v>1.1970001505164486E-2</v>
      </c>
      <c r="K2224" s="2">
        <f t="shared" ca="1" si="2117"/>
        <v>1.1970001505164486E-2</v>
      </c>
      <c r="L2224" s="2">
        <f t="shared" ca="1" si="2118"/>
        <v>0.42245457176268186</v>
      </c>
      <c r="M2224" s="2">
        <f t="shared" ca="1" si="2119"/>
        <v>-3.9123606894716388E-3</v>
      </c>
      <c r="N2224" s="2">
        <f t="shared" ca="1" si="2120"/>
        <v>-3.9123606894716388E-3</v>
      </c>
      <c r="O2224" s="2">
        <f t="shared" si="2121"/>
        <v>6000000</v>
      </c>
      <c r="P2224" s="2">
        <f t="shared" ca="1" si="2122"/>
        <v>41793999.131043777</v>
      </c>
      <c r="Q2224" s="2">
        <f t="shared" ca="1" si="2123"/>
        <v>1044849.9782760944</v>
      </c>
      <c r="R2224" s="2">
        <f t="shared" ca="1" si="2124"/>
        <v>25076399.478626266</v>
      </c>
      <c r="S2224" s="2">
        <f t="shared" ca="1" si="2125"/>
        <v>16717599.652417511</v>
      </c>
      <c r="T2224" s="2">
        <f t="shared" ca="1" si="2126"/>
        <v>49804381.965526417</v>
      </c>
      <c r="U2224" s="2">
        <f t="shared" ca="1" si="2127"/>
        <v>49713130.314278267</v>
      </c>
      <c r="V2224" s="2">
        <f t="shared" ca="1" si="2128"/>
        <v>49622045.854420252</v>
      </c>
      <c r="W2224" s="2">
        <f t="shared" ca="1" si="2129"/>
        <v>49531128.279624097</v>
      </c>
      <c r="X2224" s="2">
        <f t="shared" ca="1" si="2130"/>
        <v>49440377.28412278</v>
      </c>
      <c r="Y2224" s="2">
        <f t="shared" ca="1" si="2131"/>
        <v>0.12598500075258223</v>
      </c>
      <c r="Z2224" s="2">
        <f t="shared" ca="1" si="2132"/>
        <v>0.12837900105361513</v>
      </c>
      <c r="AA2224" s="2">
        <f t="shared" ca="1" si="2133"/>
        <v>6274605.0994087383</v>
      </c>
      <c r="AB2224" s="2">
        <f t="shared" ca="1" si="2134"/>
        <v>6382122.0089952359</v>
      </c>
      <c r="AC2224" s="2">
        <f t="shared" ca="1" si="2135"/>
        <v>6370428.6770271556</v>
      </c>
      <c r="AD2224" s="2">
        <f t="shared" ca="1" si="2136"/>
        <v>6358756.7695966084</v>
      </c>
      <c r="AE2224" s="2">
        <f t="shared" ca="1" si="2137"/>
        <v>6347106.2474495284</v>
      </c>
      <c r="AF2224" s="2">
        <f t="shared" ca="1" si="2138"/>
        <v>996087.63931052841</v>
      </c>
      <c r="AG2224" s="2">
        <f t="shared" ca="1" si="2139"/>
        <v>994262.60628556542</v>
      </c>
      <c r="AH2224" s="2">
        <f t="shared" ca="1" si="2140"/>
        <v>992440.91708840511</v>
      </c>
      <c r="AI2224" s="2">
        <f t="shared" ca="1" si="2141"/>
        <v>990622.56559248199</v>
      </c>
      <c r="AJ2224" s="2">
        <f t="shared" ca="1" si="2142"/>
        <v>988807.54568245565</v>
      </c>
      <c r="AK2224" s="2">
        <f t="shared" ca="1" si="2143"/>
        <v>0</v>
      </c>
      <c r="AL2224" s="2">
        <f t="shared" ca="1" si="2144"/>
        <v>0</v>
      </c>
      <c r="AM2224" s="2">
        <f t="shared" ca="1" si="2145"/>
        <v>0</v>
      </c>
      <c r="AN2224" s="2">
        <f t="shared" ca="1" si="2146"/>
        <v>0</v>
      </c>
      <c r="AO2224" s="2">
        <f t="shared" ca="1" si="2147"/>
        <v>0</v>
      </c>
      <c r="AP2224" s="2">
        <f t="shared" ca="1" si="2148"/>
        <v>2256875.953076364</v>
      </c>
      <c r="AQ2224" s="2">
        <f t="shared" ca="1" si="2149"/>
        <v>785626.79182567995</v>
      </c>
      <c r="AR2224" s="2">
        <f t="shared" ca="1" si="2150"/>
        <v>814055.69690465974</v>
      </c>
      <c r="AS2224" s="2">
        <f t="shared" ca="1" si="2151"/>
        <v>811489.06978422054</v>
      </c>
      <c r="AT2224" s="2">
        <f t="shared" ca="1" si="2152"/>
        <v>808927.14524121827</v>
      </c>
      <c r="AU2224" s="2">
        <f t="shared" ca="1" si="2153"/>
        <v>806369.91465958441</v>
      </c>
      <c r="AV2224" s="2">
        <f t="shared" ca="1" si="2154"/>
        <v>2236014.7151961657</v>
      </c>
      <c r="AW2224" s="2">
        <f t="shared" ca="1" si="2155"/>
        <v>2316927.7527286471</v>
      </c>
      <c r="AX2224" s="2">
        <f t="shared" ca="1" si="2156"/>
        <v>2309622.7370781661</v>
      </c>
      <c r="AY2224" s="2">
        <f t="shared" ca="1" si="2157"/>
        <v>2302331.105686544</v>
      </c>
      <c r="AZ2224" s="2">
        <f t="shared" ca="1" si="2158"/>
        <v>2295052.8340311241</v>
      </c>
      <c r="BA2224" s="2">
        <f t="shared" ca="1" si="2159"/>
        <v>47804753.728161775</v>
      </c>
      <c r="BB2224" s="2">
        <f t="shared" ca="1" si="2160"/>
        <v>956095.07456323551</v>
      </c>
      <c r="BC2224" s="2">
        <f t="shared" ca="1" si="2161"/>
        <v>21772259.174972273</v>
      </c>
      <c r="BD2224" s="2">
        <f t="shared" ca="1" si="2162"/>
        <v>-18262449.630693607</v>
      </c>
      <c r="BE2224" s="2">
        <f t="shared" ca="1" si="2163"/>
        <v>2236014.7151961657</v>
      </c>
      <c r="BF2224" s="2">
        <f t="shared" ca="1" si="2164"/>
        <v>2316927.7527286471</v>
      </c>
      <c r="BG2224" s="2">
        <f t="shared" ca="1" si="2165"/>
        <v>2309622.7370781661</v>
      </c>
      <c r="BH2224" s="2">
        <f t="shared" ca="1" si="2166"/>
        <v>2302331.105686544</v>
      </c>
      <c r="BI2224" s="2">
        <f t="shared" ca="1" si="2167"/>
        <v>24067312.009003397</v>
      </c>
      <c r="BJ2224" s="2">
        <f t="shared" ca="1" si="2168"/>
        <v>0.15362294432413348</v>
      </c>
      <c r="BK2224" s="2">
        <f t="shared" ca="1" si="2169"/>
        <v>2344588.7616641372</v>
      </c>
    </row>
    <row r="2225" spans="1:63" x14ac:dyDescent="0.3">
      <c r="A2225" s="2">
        <v>2224</v>
      </c>
      <c r="B2225" s="2">
        <f t="shared" ca="1" si="2108"/>
        <v>0.96026325552134295</v>
      </c>
      <c r="C2225" s="2">
        <f t="shared" ca="1" si="2109"/>
        <v>7.718089572812012</v>
      </c>
      <c r="D2225" s="2">
        <f t="shared" ca="1" si="2110"/>
        <v>1.8340760313012239E-2</v>
      </c>
      <c r="E2225" s="2">
        <f t="shared" ca="1" si="2111"/>
        <v>6.69152420376032</v>
      </c>
      <c r="F2225" s="2">
        <f t="shared" ca="1" si="2112"/>
        <v>0.72522180895634625</v>
      </c>
      <c r="G2225" s="2">
        <f t="shared" ca="1" si="2113"/>
        <v>5.7952750296686555E-2</v>
      </c>
      <c r="H2225" s="2">
        <f t="shared" ca="1" si="2114"/>
        <v>5.7952750296686555E-2</v>
      </c>
      <c r="I2225" s="2">
        <f t="shared" ca="1" si="2115"/>
        <v>0.56320085543582854</v>
      </c>
      <c r="J2225" s="2">
        <f t="shared" ca="1" si="2116"/>
        <v>1.0795447953905409E-2</v>
      </c>
      <c r="K2225" s="2">
        <f t="shared" ca="1" si="2117"/>
        <v>1.0795447953905409E-2</v>
      </c>
      <c r="L2225" s="2">
        <f t="shared" ca="1" si="2118"/>
        <v>0.8143226728578502</v>
      </c>
      <c r="M2225" s="2">
        <f t="shared" ca="1" si="2119"/>
        <v>1.7878775340714054E-2</v>
      </c>
      <c r="N2225" s="2">
        <f t="shared" ca="1" si="2120"/>
        <v>1.7878775340714054E-2</v>
      </c>
      <c r="O2225" s="2">
        <f t="shared" si="2121"/>
        <v>6000000</v>
      </c>
      <c r="P2225" s="2">
        <f t="shared" ca="1" si="2122"/>
        <v>46308537.436872073</v>
      </c>
      <c r="Q2225" s="2">
        <f t="shared" ca="1" si="2123"/>
        <v>1157713.435921802</v>
      </c>
      <c r="R2225" s="2">
        <f t="shared" ca="1" si="2124"/>
        <v>27785122.462123241</v>
      </c>
      <c r="S2225" s="2">
        <f t="shared" ca="1" si="2125"/>
        <v>18523414.974748831</v>
      </c>
      <c r="T2225" s="2">
        <f t="shared" ca="1" si="2126"/>
        <v>50893938.767035708</v>
      </c>
      <c r="U2225" s="2">
        <f t="shared" ca="1" si="2127"/>
        <v>53843382.492016584</v>
      </c>
      <c r="V2225" s="2">
        <f t="shared" ca="1" si="2128"/>
        <v>56963754.592705406</v>
      </c>
      <c r="W2225" s="2">
        <f t="shared" ca="1" si="2129"/>
        <v>60264960.838578194</v>
      </c>
      <c r="X2225" s="2">
        <f t="shared" ca="1" si="2130"/>
        <v>63757481.065695912</v>
      </c>
      <c r="Y2225" s="2">
        <f t="shared" ca="1" si="2131"/>
        <v>0.1253977239769527</v>
      </c>
      <c r="Z2225" s="2">
        <f t="shared" ca="1" si="2132"/>
        <v>0.1275568135677338</v>
      </c>
      <c r="AA2225" s="2">
        <f t="shared" ca="1" si="2133"/>
        <v>6381984.0856086761</v>
      </c>
      <c r="AB2225" s="2">
        <f t="shared" ca="1" si="2134"/>
        <v>6868090.3023903416</v>
      </c>
      <c r="AC2225" s="2">
        <f t="shared" ca="1" si="2135"/>
        <v>7266115.024699863</v>
      </c>
      <c r="AD2225" s="2">
        <f t="shared" ca="1" si="2136"/>
        <v>7687206.3743532971</v>
      </c>
      <c r="AE2225" s="2">
        <f t="shared" ca="1" si="2137"/>
        <v>8132701.1258452907</v>
      </c>
      <c r="AF2225" s="2">
        <f t="shared" ca="1" si="2138"/>
        <v>1017878.7753407141</v>
      </c>
      <c r="AG2225" s="2">
        <f t="shared" ca="1" si="2139"/>
        <v>1076867.6498403316</v>
      </c>
      <c r="AH2225" s="2">
        <f t="shared" ca="1" si="2140"/>
        <v>1139275.0918541083</v>
      </c>
      <c r="AI2225" s="2">
        <f t="shared" ca="1" si="2141"/>
        <v>1205299.216771564</v>
      </c>
      <c r="AJ2225" s="2">
        <f t="shared" ca="1" si="2142"/>
        <v>1275149.6213139181</v>
      </c>
      <c r="AK2225" s="2">
        <f t="shared" ca="1" si="2143"/>
        <v>0</v>
      </c>
      <c r="AL2225" s="2">
        <f t="shared" ca="1" si="2144"/>
        <v>29494.437249808758</v>
      </c>
      <c r="AM2225" s="2">
        <f t="shared" ca="1" si="2145"/>
        <v>31203.721006888227</v>
      </c>
      <c r="AN2225" s="2">
        <f t="shared" ca="1" si="2146"/>
        <v>33012.06245872788</v>
      </c>
      <c r="AO2225" s="2">
        <f t="shared" ca="1" si="2147"/>
        <v>34925.202271177171</v>
      </c>
      <c r="AP2225" s="2">
        <f t="shared" ca="1" si="2148"/>
        <v>2500661.0215910915</v>
      </c>
      <c r="AQ2225" s="2">
        <f t="shared" ca="1" si="2149"/>
        <v>744495.51505598624</v>
      </c>
      <c r="AR2225" s="2">
        <f t="shared" ca="1" si="2150"/>
        <v>855546.02404931886</v>
      </c>
      <c r="AS2225" s="2">
        <f t="shared" ca="1" si="2151"/>
        <v>942806.51692621247</v>
      </c>
      <c r="AT2225" s="2">
        <f t="shared" ca="1" si="2152"/>
        <v>1035123.995357567</v>
      </c>
      <c r="AU2225" s="2">
        <f t="shared" ca="1" si="2153"/>
        <v>1132791.5255644731</v>
      </c>
      <c r="AV2225" s="2">
        <f t="shared" ca="1" si="2154"/>
        <v>2118948.7736208839</v>
      </c>
      <c r="AW2225" s="2">
        <f t="shared" ca="1" si="2155"/>
        <v>2405521.1696597915</v>
      </c>
      <c r="AX2225" s="2">
        <f t="shared" ca="1" si="2156"/>
        <v>2652168.6733215628</v>
      </c>
      <c r="AY2225" s="2">
        <f t="shared" ca="1" si="2157"/>
        <v>2913110.0781743471</v>
      </c>
      <c r="AZ2225" s="2">
        <f t="shared" ca="1" si="2158"/>
        <v>3189173.7551046303</v>
      </c>
      <c r="BA2225" s="2">
        <f t="shared" ca="1" si="2159"/>
        <v>54420166.425542563</v>
      </c>
      <c r="BB2225" s="2">
        <f t="shared" ca="1" si="2160"/>
        <v>1088403.3285108514</v>
      </c>
      <c r="BC2225" s="2">
        <f t="shared" ca="1" si="2161"/>
        <v>25546640.634908471</v>
      </c>
      <c r="BD2225" s="2">
        <f t="shared" ca="1" si="2162"/>
        <v>-20181128.410670634</v>
      </c>
      <c r="BE2225" s="2">
        <f t="shared" ca="1" si="2163"/>
        <v>2118948.7736208839</v>
      </c>
      <c r="BF2225" s="2">
        <f t="shared" ca="1" si="2164"/>
        <v>2405521.1696597915</v>
      </c>
      <c r="BG2225" s="2">
        <f t="shared" ca="1" si="2165"/>
        <v>2652168.6733215628</v>
      </c>
      <c r="BH2225" s="2">
        <f t="shared" ca="1" si="2166"/>
        <v>2913110.0781743471</v>
      </c>
      <c r="BI2225" s="2">
        <f t="shared" ca="1" si="2167"/>
        <v>28735814.390013102</v>
      </c>
      <c r="BJ2225" s="2">
        <f t="shared" ca="1" si="2168"/>
        <v>0.16582720594499878</v>
      </c>
      <c r="BK2225" s="2">
        <f t="shared" ca="1" si="2169"/>
        <v>3673025.0864186138</v>
      </c>
    </row>
    <row r="2226" spans="1:63" x14ac:dyDescent="0.3">
      <c r="A2226" s="2">
        <v>2225</v>
      </c>
      <c r="B2226" s="2">
        <f t="shared" ca="1" si="2108"/>
        <v>0.42230460239459</v>
      </c>
      <c r="C2226" s="2">
        <f t="shared" ca="1" si="2109"/>
        <v>6.9190262263881159</v>
      </c>
      <c r="D2226" s="2">
        <f t="shared" ca="1" si="2110"/>
        <v>0.17625725434906148</v>
      </c>
      <c r="E2226" s="2">
        <f t="shared" ca="1" si="2111"/>
        <v>7.093729322754168</v>
      </c>
      <c r="F2226" s="2">
        <f t="shared" ca="1" si="2112"/>
        <v>0.31834513678922294</v>
      </c>
      <c r="G2226" s="2">
        <f t="shared" ca="1" si="2113"/>
        <v>2.5830058525438196E-2</v>
      </c>
      <c r="H2226" s="2">
        <f t="shared" ca="1" si="2114"/>
        <v>2.5830058525438196E-2</v>
      </c>
      <c r="I2226" s="2">
        <f t="shared" ca="1" si="2115"/>
        <v>0.16989303793445032</v>
      </c>
      <c r="J2226" s="2">
        <f t="shared" ca="1" si="2116"/>
        <v>5.227059880324474E-3</v>
      </c>
      <c r="K2226" s="2">
        <f t="shared" ca="1" si="2117"/>
        <v>5.227059880324474E-3</v>
      </c>
      <c r="L2226" s="2">
        <f t="shared" ca="1" si="2118"/>
        <v>0.28123668337887231</v>
      </c>
      <c r="M2226" s="2">
        <f t="shared" ca="1" si="2119"/>
        <v>-1.1583432739109643E-2</v>
      </c>
      <c r="N2226" s="2">
        <f t="shared" ca="1" si="2120"/>
        <v>-1.1583432739109643E-2</v>
      </c>
      <c r="O2226" s="2">
        <f t="shared" si="2121"/>
        <v>6000000</v>
      </c>
      <c r="P2226" s="2">
        <f t="shared" ca="1" si="2122"/>
        <v>41514157.358328693</v>
      </c>
      <c r="Q2226" s="2">
        <f t="shared" ca="1" si="2123"/>
        <v>1037853.9339582174</v>
      </c>
      <c r="R2226" s="2">
        <f t="shared" ca="1" si="2124"/>
        <v>24908494.414997216</v>
      </c>
      <c r="S2226" s="2">
        <f t="shared" ca="1" si="2125"/>
        <v>16605662.943331478</v>
      </c>
      <c r="T2226" s="2">
        <f t="shared" ca="1" si="2126"/>
        <v>49420828.363044515</v>
      </c>
      <c r="U2226" s="2">
        <f t="shared" ca="1" si="2127"/>
        <v>50697371.252037592</v>
      </c>
      <c r="V2226" s="2">
        <f t="shared" ca="1" si="2128"/>
        <v>52006887.318563595</v>
      </c>
      <c r="W2226" s="2">
        <f t="shared" ca="1" si="2129"/>
        <v>53350228.261727966</v>
      </c>
      <c r="X2226" s="2">
        <f t="shared" ca="1" si="2130"/>
        <v>54728267.780073889</v>
      </c>
      <c r="Y2226" s="2">
        <f t="shared" ca="1" si="2131"/>
        <v>0.12261352994016224</v>
      </c>
      <c r="Z2226" s="2">
        <f t="shared" ca="1" si="2132"/>
        <v>0.12365894191622713</v>
      </c>
      <c r="AA2226" s="2">
        <f t="shared" ca="1" si="2133"/>
        <v>6059662.218159778</v>
      </c>
      <c r="AB2226" s="2">
        <f t="shared" ca="1" si="2134"/>
        <v>6269183.2869611196</v>
      </c>
      <c r="AC2226" s="2">
        <f t="shared" ca="1" si="2135"/>
        <v>6431116.6581700249</v>
      </c>
      <c r="AD2226" s="2">
        <f t="shared" ca="1" si="2136"/>
        <v>6597232.7778344778</v>
      </c>
      <c r="AE2226" s="2">
        <f t="shared" ca="1" si="2137"/>
        <v>6767639.6865918813</v>
      </c>
      <c r="AF2226" s="2">
        <f t="shared" ca="1" si="2138"/>
        <v>988416.56726089027</v>
      </c>
      <c r="AG2226" s="2">
        <f t="shared" ca="1" si="2139"/>
        <v>1013947.4250407518</v>
      </c>
      <c r="AH2226" s="2">
        <f t="shared" ca="1" si="2140"/>
        <v>1040137.7463712719</v>
      </c>
      <c r="AI2226" s="2">
        <f t="shared" ca="1" si="2141"/>
        <v>1067004.5652345594</v>
      </c>
      <c r="AJ2226" s="2">
        <f t="shared" ca="1" si="2142"/>
        <v>1094565.3556014779</v>
      </c>
      <c r="AK2226" s="2">
        <f t="shared" ca="1" si="2143"/>
        <v>0</v>
      </c>
      <c r="AL2226" s="2">
        <f t="shared" ca="1" si="2144"/>
        <v>12765.42888993077</v>
      </c>
      <c r="AM2226" s="2">
        <f t="shared" ca="1" si="2145"/>
        <v>13095.160665260031</v>
      </c>
      <c r="AN2226" s="2">
        <f t="shared" ca="1" si="2146"/>
        <v>13433.409431643709</v>
      </c>
      <c r="AO2226" s="2">
        <f t="shared" ca="1" si="2147"/>
        <v>13780.395183459223</v>
      </c>
      <c r="AP2226" s="2">
        <f t="shared" ca="1" si="2148"/>
        <v>2241764.4973497493</v>
      </c>
      <c r="AQ2226" s="2">
        <f t="shared" ca="1" si="2149"/>
        <v>735665.09992277599</v>
      </c>
      <c r="AR2226" s="2">
        <f t="shared" ca="1" si="2150"/>
        <v>783502.55478836084</v>
      </c>
      <c r="AS2226" s="2">
        <f t="shared" ca="1" si="2151"/>
        <v>818795.74775674089</v>
      </c>
      <c r="AT2226" s="2">
        <f t="shared" ca="1" si="2152"/>
        <v>855000.56596504396</v>
      </c>
      <c r="AU2226" s="2">
        <f t="shared" ca="1" si="2153"/>
        <v>892140.55674657028</v>
      </c>
      <c r="AV2226" s="2">
        <f t="shared" ca="1" si="2154"/>
        <v>2093816.0536263622</v>
      </c>
      <c r="AW2226" s="2">
        <f t="shared" ca="1" si="2155"/>
        <v>2217203.3808923261</v>
      </c>
      <c r="AX2226" s="2">
        <f t="shared" ca="1" si="2156"/>
        <v>2317323.5060270028</v>
      </c>
      <c r="AY2226" s="2">
        <f t="shared" ca="1" si="2157"/>
        <v>2420029.7398534808</v>
      </c>
      <c r="AZ2226" s="2">
        <f t="shared" ca="1" si="2158"/>
        <v>2525388.8817106253</v>
      </c>
      <c r="BA2226" s="2">
        <f t="shared" ca="1" si="2159"/>
        <v>48007804.090611659</v>
      </c>
      <c r="BB2226" s="2">
        <f t="shared" ca="1" si="2160"/>
        <v>960156.0818122332</v>
      </c>
      <c r="BC2226" s="2">
        <f t="shared" ca="1" si="2161"/>
        <v>22139153.59380221</v>
      </c>
      <c r="BD2226" s="2">
        <f t="shared" ca="1" si="2162"/>
        <v>-18143516.877289694</v>
      </c>
      <c r="BE2226" s="2">
        <f t="shared" ca="1" si="2163"/>
        <v>2093816.0536263622</v>
      </c>
      <c r="BF2226" s="2">
        <f t="shared" ca="1" si="2164"/>
        <v>2217203.3808923261</v>
      </c>
      <c r="BG2226" s="2">
        <f t="shared" ca="1" si="2165"/>
        <v>2317323.5060270028</v>
      </c>
      <c r="BH2226" s="2">
        <f t="shared" ca="1" si="2166"/>
        <v>2420029.7398534808</v>
      </c>
      <c r="BI2226" s="2">
        <f t="shared" ca="1" si="2167"/>
        <v>24664542.475512836</v>
      </c>
      <c r="BJ2226" s="2">
        <f t="shared" ca="1" si="2168"/>
        <v>0.15801652079221729</v>
      </c>
      <c r="BK2226" s="2">
        <f t="shared" ca="1" si="2169"/>
        <v>2676224.2365083955</v>
      </c>
    </row>
    <row r="2227" spans="1:63" x14ac:dyDescent="0.3">
      <c r="A2227" s="2">
        <v>2226</v>
      </c>
      <c r="B2227" s="2">
        <f t="shared" ca="1" si="2108"/>
        <v>0.60905848697538467</v>
      </c>
      <c r="C2227" s="2">
        <f t="shared" ca="1" si="2109"/>
        <v>7.115758502416206</v>
      </c>
      <c r="D2227" s="2">
        <f t="shared" ca="1" si="2110"/>
        <v>0.29289849337915708</v>
      </c>
      <c r="E2227" s="2">
        <f t="shared" ca="1" si="2111"/>
        <v>7.2653737562513587</v>
      </c>
      <c r="F2227" s="2">
        <f t="shared" ca="1" si="2112"/>
        <v>0.28638719007444835</v>
      </c>
      <c r="G2227" s="2">
        <f t="shared" ca="1" si="2113"/>
        <v>2.3080892551925837E-2</v>
      </c>
      <c r="H2227" s="2">
        <f t="shared" ca="1" si="2114"/>
        <v>2.3080892551925837E-2</v>
      </c>
      <c r="I2227" s="2">
        <f t="shared" ca="1" si="2115"/>
        <v>0.41680425251914455</v>
      </c>
      <c r="J2227" s="2">
        <f t="shared" ca="1" si="2116"/>
        <v>8.949620950035958E-3</v>
      </c>
      <c r="K2227" s="2">
        <f t="shared" ca="1" si="2117"/>
        <v>8.949620950035958E-3</v>
      </c>
      <c r="L2227" s="2">
        <f t="shared" ca="1" si="2118"/>
        <v>0.98214098149297524</v>
      </c>
      <c r="M2227" s="2">
        <f t="shared" ca="1" si="2119"/>
        <v>4.2002456712534782E-2</v>
      </c>
      <c r="N2227" s="2">
        <f t="shared" ca="1" si="2120"/>
        <v>4.2002456712534782E-2</v>
      </c>
      <c r="O2227" s="2">
        <f t="shared" si="2121"/>
        <v>6000000</v>
      </c>
      <c r="P2227" s="2">
        <f t="shared" ca="1" si="2122"/>
        <v>42694551.014497235</v>
      </c>
      <c r="Q2227" s="2">
        <f t="shared" ca="1" si="2123"/>
        <v>1067363.7753624308</v>
      </c>
      <c r="R2227" s="2">
        <f t="shared" ca="1" si="2124"/>
        <v>25616730.608698342</v>
      </c>
      <c r="S2227" s="2">
        <f t="shared" ca="1" si="2125"/>
        <v>17077820.405798893</v>
      </c>
      <c r="T2227" s="2">
        <f t="shared" ca="1" si="2126"/>
        <v>52100122.835626736</v>
      </c>
      <c r="U2227" s="2">
        <f t="shared" ca="1" si="2127"/>
        <v>53302640.172737978</v>
      </c>
      <c r="V2227" s="2">
        <f t="shared" ca="1" si="2128"/>
        <v>54532912.683298916</v>
      </c>
      <c r="W2227" s="2">
        <f t="shared" ca="1" si="2129"/>
        <v>55791580.981485695</v>
      </c>
      <c r="X2227" s="2">
        <f t="shared" ca="1" si="2130"/>
        <v>57079300.467421442</v>
      </c>
      <c r="Y2227" s="2">
        <f t="shared" ca="1" si="2131"/>
        <v>0.12447481047501797</v>
      </c>
      <c r="Z2227" s="2">
        <f t="shared" ca="1" si="2132"/>
        <v>0.12626473466502516</v>
      </c>
      <c r="AA2227" s="2">
        <f t="shared" ca="1" si="2133"/>
        <v>6485152.9156897943</v>
      </c>
      <c r="AB2227" s="2">
        <f t="shared" ca="1" si="2134"/>
        <v>6730243.718356072</v>
      </c>
      <c r="AC2227" s="2">
        <f t="shared" ca="1" si="2135"/>
        <v>6885583.7504677232</v>
      </c>
      <c r="AD2227" s="2">
        <f t="shared" ca="1" si="2136"/>
        <v>7044509.1691695554</v>
      </c>
      <c r="AE2227" s="2">
        <f t="shared" ca="1" si="2137"/>
        <v>7207102.7283842154</v>
      </c>
      <c r="AF2227" s="2">
        <f t="shared" ca="1" si="2138"/>
        <v>1042002.4567125348</v>
      </c>
      <c r="AG2227" s="2">
        <f t="shared" ca="1" si="2139"/>
        <v>1066052.8034547595</v>
      </c>
      <c r="AH2227" s="2">
        <f t="shared" ca="1" si="2140"/>
        <v>1090658.2536659783</v>
      </c>
      <c r="AI2227" s="2">
        <f t="shared" ca="1" si="2141"/>
        <v>1115831.6196297139</v>
      </c>
      <c r="AJ2227" s="2">
        <f t="shared" ca="1" si="2142"/>
        <v>1141586.0093484288</v>
      </c>
      <c r="AK2227" s="2">
        <f t="shared" ca="1" si="2143"/>
        <v>0</v>
      </c>
      <c r="AL2227" s="2">
        <f t="shared" ca="1" si="2144"/>
        <v>12025.173371112422</v>
      </c>
      <c r="AM2227" s="2">
        <f t="shared" ca="1" si="2145"/>
        <v>12302.725105609372</v>
      </c>
      <c r="AN2227" s="2">
        <f t="shared" ca="1" si="2146"/>
        <v>12586.682981867791</v>
      </c>
      <c r="AO2227" s="2">
        <f t="shared" ca="1" si="2147"/>
        <v>12877.194859357476</v>
      </c>
      <c r="AP2227" s="2">
        <f t="shared" ca="1" si="2148"/>
        <v>2305505.7547828509</v>
      </c>
      <c r="AQ2227" s="2">
        <f t="shared" ca="1" si="2149"/>
        <v>815787.62309054635</v>
      </c>
      <c r="AR2227" s="2">
        <f t="shared" ca="1" si="2150"/>
        <v>873258.14163080009</v>
      </c>
      <c r="AS2227" s="2">
        <f t="shared" ca="1" si="2151"/>
        <v>907249.1329249125</v>
      </c>
      <c r="AT2227" s="2">
        <f t="shared" ca="1" si="2152"/>
        <v>942024.66663681762</v>
      </c>
      <c r="AU2227" s="2">
        <f t="shared" ca="1" si="2153"/>
        <v>977602.85070576333</v>
      </c>
      <c r="AV2227" s="2">
        <f t="shared" ca="1" si="2154"/>
        <v>2321857.0811038623</v>
      </c>
      <c r="AW2227" s="2">
        <f t="shared" ca="1" si="2155"/>
        <v>2473401.8451165492</v>
      </c>
      <c r="AX2227" s="2">
        <f t="shared" ca="1" si="2156"/>
        <v>2569867.8839883721</v>
      </c>
      <c r="AY2227" s="2">
        <f t="shared" ca="1" si="2157"/>
        <v>2668560.4451383064</v>
      </c>
      <c r="AZ2227" s="2">
        <f t="shared" ca="1" si="2158"/>
        <v>2769530.9186878148</v>
      </c>
      <c r="BA2227" s="2">
        <f t="shared" ca="1" si="2159"/>
        <v>52362295.021410242</v>
      </c>
      <c r="BB2227" s="2">
        <f t="shared" ca="1" si="2160"/>
        <v>1047245.9004282049</v>
      </c>
      <c r="BC2227" s="2">
        <f t="shared" ca="1" si="2161"/>
        <v>25698318.512283694</v>
      </c>
      <c r="BD2227" s="2">
        <f t="shared" ca="1" si="2162"/>
        <v>-18645184.181161325</v>
      </c>
      <c r="BE2227" s="2">
        <f t="shared" ca="1" si="2163"/>
        <v>2321857.0811038623</v>
      </c>
      <c r="BF2227" s="2">
        <f t="shared" ca="1" si="2164"/>
        <v>2473401.8451165492</v>
      </c>
      <c r="BG2227" s="2">
        <f t="shared" ca="1" si="2165"/>
        <v>2569867.8839883721</v>
      </c>
      <c r="BH2227" s="2">
        <f t="shared" ca="1" si="2166"/>
        <v>2668560.4451383064</v>
      </c>
      <c r="BI2227" s="2">
        <f t="shared" ca="1" si="2167"/>
        <v>28467849.430971511</v>
      </c>
      <c r="BJ2227" s="2">
        <f t="shared" ca="1" si="2168"/>
        <v>0.18744062507600456</v>
      </c>
      <c r="BK2227" s="2">
        <f t="shared" ca="1" si="2169"/>
        <v>5078205.2032470889</v>
      </c>
    </row>
    <row r="2228" spans="1:63" x14ac:dyDescent="0.3">
      <c r="A2228" s="2">
        <v>2227</v>
      </c>
      <c r="B2228" s="2">
        <f t="shared" ca="1" si="2108"/>
        <v>4.0004230428790533E-2</v>
      </c>
      <c r="C2228" s="2">
        <f t="shared" ca="1" si="2109"/>
        <v>6.2828576689036044</v>
      </c>
      <c r="D2228" s="2">
        <f t="shared" ca="1" si="2110"/>
        <v>0.31028570808340594</v>
      </c>
      <c r="E2228" s="2">
        <f t="shared" ca="1" si="2111"/>
        <v>7.2877635534643703</v>
      </c>
      <c r="F2228" s="2">
        <f t="shared" ca="1" si="2112"/>
        <v>0.45310655605872485</v>
      </c>
      <c r="G2228" s="2">
        <f t="shared" ca="1" si="2113"/>
        <v>3.646550714381732E-2</v>
      </c>
      <c r="H2228" s="2">
        <f t="shared" ca="1" si="2114"/>
        <v>3.646550714381732E-2</v>
      </c>
      <c r="I2228" s="2">
        <f t="shared" ca="1" si="2115"/>
        <v>0.62907155059806918</v>
      </c>
      <c r="J2228" s="2">
        <f t="shared" ca="1" si="2116"/>
        <v>1.1646976639045925E-2</v>
      </c>
      <c r="K2228" s="2">
        <f t="shared" ca="1" si="2117"/>
        <v>1.1646976639045925E-2</v>
      </c>
      <c r="L2228" s="2">
        <f t="shared" ca="1" si="2118"/>
        <v>0.9187988981448626</v>
      </c>
      <c r="M2228" s="2">
        <f t="shared" ca="1" si="2119"/>
        <v>2.7940756048071523E-2</v>
      </c>
      <c r="N2228" s="2">
        <f t="shared" ca="1" si="2120"/>
        <v>2.7940756048071523E-2</v>
      </c>
      <c r="O2228" s="2">
        <f t="shared" si="2121"/>
        <v>6000000</v>
      </c>
      <c r="P2228" s="2">
        <f t="shared" ca="1" si="2122"/>
        <v>37697146.013421625</v>
      </c>
      <c r="Q2228" s="2">
        <f t="shared" ca="1" si="2123"/>
        <v>942428.65033554065</v>
      </c>
      <c r="R2228" s="2">
        <f t="shared" ca="1" si="2124"/>
        <v>22618287.608052973</v>
      </c>
      <c r="S2228" s="2">
        <f t="shared" ca="1" si="2125"/>
        <v>15078858.40536865</v>
      </c>
      <c r="T2228" s="2">
        <f t="shared" ca="1" si="2126"/>
        <v>51397037.802403577</v>
      </c>
      <c r="U2228" s="2">
        <f t="shared" ca="1" si="2127"/>
        <v>53271256.851558179</v>
      </c>
      <c r="V2228" s="2">
        <f t="shared" ca="1" si="2128"/>
        <v>55213820.248838805</v>
      </c>
      <c r="W2228" s="2">
        <f t="shared" ca="1" si="2129"/>
        <v>57227220.205560282</v>
      </c>
      <c r="X2228" s="2">
        <f t="shared" ca="1" si="2130"/>
        <v>59314039.812786952</v>
      </c>
      <c r="Y2228" s="2">
        <f t="shared" ca="1" si="2131"/>
        <v>0.12582348831952295</v>
      </c>
      <c r="Z2228" s="2">
        <f t="shared" ca="1" si="2132"/>
        <v>0.12815288364733216</v>
      </c>
      <c r="AA2228" s="2">
        <f t="shared" ca="1" si="2133"/>
        <v>6466954.5855888054</v>
      </c>
      <c r="AB2228" s="2">
        <f t="shared" ca="1" si="2134"/>
        <v>6826865.1810448812</v>
      </c>
      <c r="AC2228" s="2">
        <f t="shared" ca="1" si="2135"/>
        <v>7075810.2820741516</v>
      </c>
      <c r="AD2228" s="2">
        <f t="shared" ca="1" si="2136"/>
        <v>7333833.2924634228</v>
      </c>
      <c r="AE2228" s="2">
        <f t="shared" ca="1" si="2137"/>
        <v>7601265.2427813131</v>
      </c>
      <c r="AF2228" s="2">
        <f t="shared" ca="1" si="2138"/>
        <v>1027940.7560480715</v>
      </c>
      <c r="AG2228" s="2">
        <f t="shared" ca="1" si="2139"/>
        <v>1065425.1370311636</v>
      </c>
      <c r="AH2228" s="2">
        <f t="shared" ca="1" si="2140"/>
        <v>1104276.4049767761</v>
      </c>
      <c r="AI2228" s="2">
        <f t="shared" ca="1" si="2141"/>
        <v>1144544.4041112056</v>
      </c>
      <c r="AJ2228" s="2">
        <f t="shared" ca="1" si="2142"/>
        <v>1186280.7962557392</v>
      </c>
      <c r="AK2228" s="2">
        <f t="shared" ca="1" si="2143"/>
        <v>0</v>
      </c>
      <c r="AL2228" s="2">
        <f t="shared" ca="1" si="2144"/>
        <v>18742.190491546022</v>
      </c>
      <c r="AM2228" s="2">
        <f t="shared" ca="1" si="2145"/>
        <v>19425.633972806259</v>
      </c>
      <c r="AN2228" s="2">
        <f t="shared" ca="1" si="2146"/>
        <v>20133.999567214774</v>
      </c>
      <c r="AO2228" s="2">
        <f t="shared" ca="1" si="2147"/>
        <v>20868.196072266699</v>
      </c>
      <c r="AP2228" s="2">
        <f t="shared" ca="1" si="2148"/>
        <v>2035645.8847247674</v>
      </c>
      <c r="AQ2228" s="2">
        <f t="shared" ca="1" si="2149"/>
        <v>884875.66565215134</v>
      </c>
      <c r="AR2228" s="2">
        <f t="shared" ca="1" si="2150"/>
        <v>968706.48141512717</v>
      </c>
      <c r="AS2228" s="2">
        <f t="shared" ca="1" si="2151"/>
        <v>1023330.8780168782</v>
      </c>
      <c r="AT2228" s="2">
        <f t="shared" ca="1" si="2152"/>
        <v>1079947.180943137</v>
      </c>
      <c r="AU2228" s="2">
        <f t="shared" ca="1" si="2153"/>
        <v>1138628.0260682097</v>
      </c>
      <c r="AV2228" s="2">
        <f t="shared" ca="1" si="2154"/>
        <v>2518492.2791638155</v>
      </c>
      <c r="AW2228" s="2">
        <f t="shared" ca="1" si="2155"/>
        <v>2738345.4873822774</v>
      </c>
      <c r="AX2228" s="2">
        <f t="shared" ca="1" si="2156"/>
        <v>2893131.4803829244</v>
      </c>
      <c r="AY2228" s="2">
        <f t="shared" ca="1" si="2157"/>
        <v>3053561.8231170983</v>
      </c>
      <c r="AZ2228" s="2">
        <f t="shared" ca="1" si="2158"/>
        <v>3219842.3396603302</v>
      </c>
      <c r="BA2228" s="2">
        <f t="shared" ca="1" si="2159"/>
        <v>55396223.796557151</v>
      </c>
      <c r="BB2228" s="2">
        <f t="shared" ca="1" si="2160"/>
        <v>1107924.4759311429</v>
      </c>
      <c r="BC2228" s="2">
        <f t="shared" ca="1" si="2161"/>
        <v>31670011.712573037</v>
      </c>
      <c r="BD2228" s="2">
        <f t="shared" ca="1" si="2162"/>
        <v>-16521287.055704191</v>
      </c>
      <c r="BE2228" s="2">
        <f t="shared" ca="1" si="2163"/>
        <v>2518492.2791638155</v>
      </c>
      <c r="BF2228" s="2">
        <f t="shared" ca="1" si="2164"/>
        <v>2738345.4873822774</v>
      </c>
      <c r="BG2228" s="2">
        <f t="shared" ca="1" si="2165"/>
        <v>2893131.4803829244</v>
      </c>
      <c r="BH2228" s="2">
        <f t="shared" ca="1" si="2166"/>
        <v>3053561.8231170983</v>
      </c>
      <c r="BI2228" s="2">
        <f t="shared" ca="1" si="2167"/>
        <v>34889854.052233368</v>
      </c>
      <c r="BJ2228" s="2">
        <f t="shared" ca="1" si="2168"/>
        <v>0.27586763404623893</v>
      </c>
      <c r="BK2228" s="2">
        <f t="shared" ca="1" si="2169"/>
        <v>11707666.787659477</v>
      </c>
    </row>
    <row r="2229" spans="1:63" x14ac:dyDescent="0.3">
      <c r="A2229" s="2">
        <v>2228</v>
      </c>
      <c r="B2229" s="2">
        <f t="shared" ca="1" si="2108"/>
        <v>0.99852754867274518</v>
      </c>
      <c r="C2229" s="2">
        <f t="shared" ca="1" si="2109"/>
        <v>7.9457330427008328</v>
      </c>
      <c r="D2229" s="2">
        <f t="shared" ca="1" si="2110"/>
        <v>0.63711328776266785</v>
      </c>
      <c r="E2229" s="2">
        <f t="shared" ca="1" si="2111"/>
        <v>7.6480766322757283</v>
      </c>
      <c r="F2229" s="2">
        <f t="shared" ca="1" si="2112"/>
        <v>0.46844047632095887</v>
      </c>
      <c r="G2229" s="2">
        <f t="shared" ca="1" si="2113"/>
        <v>3.7624279413189486E-2</v>
      </c>
      <c r="H2229" s="2">
        <f t="shared" ca="1" si="2114"/>
        <v>3.7624279413189486E-2</v>
      </c>
      <c r="I2229" s="2">
        <f t="shared" ca="1" si="2115"/>
        <v>8.6083439671005402E-2</v>
      </c>
      <c r="J2229" s="2">
        <f t="shared" ca="1" si="2116"/>
        <v>3.1736289133569339E-3</v>
      </c>
      <c r="K2229" s="2">
        <f t="shared" ca="1" si="2117"/>
        <v>3.1736289133569339E-3</v>
      </c>
      <c r="L2229" s="2">
        <f t="shared" ca="1" si="2118"/>
        <v>0.57505885182133654</v>
      </c>
      <c r="M2229" s="2">
        <f t="shared" ca="1" si="2119"/>
        <v>3.7853721970478068E-3</v>
      </c>
      <c r="N2229" s="2">
        <f t="shared" ca="1" si="2120"/>
        <v>3.7853721970478068E-3</v>
      </c>
      <c r="O2229" s="2">
        <f t="shared" si="2121"/>
        <v>6000000</v>
      </c>
      <c r="P2229" s="2">
        <f t="shared" ca="1" si="2122"/>
        <v>47674398.256205</v>
      </c>
      <c r="Q2229" s="2">
        <f t="shared" ca="1" si="2123"/>
        <v>1191859.9564051251</v>
      </c>
      <c r="R2229" s="2">
        <f t="shared" ca="1" si="2124"/>
        <v>28604638.953722998</v>
      </c>
      <c r="S2229" s="2">
        <f t="shared" ca="1" si="2125"/>
        <v>19069759.302482001</v>
      </c>
      <c r="T2229" s="2">
        <f t="shared" ca="1" si="2126"/>
        <v>50189268.609852389</v>
      </c>
      <c r="U2229" s="2">
        <f t="shared" ca="1" si="2127"/>
        <v>52077603.675573103</v>
      </c>
      <c r="V2229" s="2">
        <f t="shared" ca="1" si="2128"/>
        <v>54036985.987432212</v>
      </c>
      <c r="W2229" s="2">
        <f t="shared" ca="1" si="2129"/>
        <v>56070088.646869972</v>
      </c>
      <c r="X2229" s="2">
        <f t="shared" ca="1" si="2130"/>
        <v>58179685.328842118</v>
      </c>
      <c r="Y2229" s="2">
        <f t="shared" ca="1" si="2131"/>
        <v>0.12158681445667846</v>
      </c>
      <c r="Z2229" s="2">
        <f t="shared" ca="1" si="2132"/>
        <v>0.12222154023934985</v>
      </c>
      <c r="AA2229" s="2">
        <f t="shared" ca="1" si="2133"/>
        <v>6102353.2901825188</v>
      </c>
      <c r="AB2229" s="2">
        <f t="shared" ca="1" si="2134"/>
        <v>6365004.9332029717</v>
      </c>
      <c r="AC2229" s="2">
        <f t="shared" ca="1" si="2135"/>
        <v>6604483.6572761303</v>
      </c>
      <c r="AD2229" s="2">
        <f t="shared" ca="1" si="2136"/>
        <v>6852972.5957773319</v>
      </c>
      <c r="AE2229" s="2">
        <f t="shared" ca="1" si="2137"/>
        <v>7110810.7515317891</v>
      </c>
      <c r="AF2229" s="2">
        <f t="shared" ca="1" si="2138"/>
        <v>1003785.3721970478</v>
      </c>
      <c r="AG2229" s="2">
        <f t="shared" ca="1" si="2139"/>
        <v>1041552.0735114621</v>
      </c>
      <c r="AH2229" s="2">
        <f t="shared" ca="1" si="2140"/>
        <v>1080739.7197486442</v>
      </c>
      <c r="AI2229" s="2">
        <f t="shared" ca="1" si="2141"/>
        <v>1121401.7729373996</v>
      </c>
      <c r="AJ2229" s="2">
        <f t="shared" ca="1" si="2142"/>
        <v>1163593.7065768423</v>
      </c>
      <c r="AK2229" s="2">
        <f t="shared" ca="1" si="2143"/>
        <v>0</v>
      </c>
      <c r="AL2229" s="2">
        <f t="shared" ca="1" si="2144"/>
        <v>18883.350657207146</v>
      </c>
      <c r="AM2229" s="2">
        <f t="shared" ca="1" si="2145"/>
        <v>19593.823118591084</v>
      </c>
      <c r="AN2229" s="2">
        <f t="shared" ca="1" si="2146"/>
        <v>20331.026594377607</v>
      </c>
      <c r="AO2229" s="2">
        <f t="shared" ca="1" si="2147"/>
        <v>21095.96681972146</v>
      </c>
      <c r="AP2229" s="2">
        <f t="shared" ca="1" si="2148"/>
        <v>2574417.5058350698</v>
      </c>
      <c r="AQ2229" s="2">
        <f t="shared" ca="1" si="2149"/>
        <v>656279.10715910431</v>
      </c>
      <c r="AR2229" s="2">
        <f t="shared" ca="1" si="2150"/>
        <v>714749.19200267445</v>
      </c>
      <c r="AS2229" s="2">
        <f t="shared" ca="1" si="2151"/>
        <v>766824.87224002823</v>
      </c>
      <c r="AT2229" s="2">
        <f t="shared" ca="1" si="2152"/>
        <v>820859.86242126429</v>
      </c>
      <c r="AU2229" s="2">
        <f t="shared" ca="1" si="2153"/>
        <v>876927.8801711679</v>
      </c>
      <c r="AV2229" s="2">
        <f t="shared" ca="1" si="2154"/>
        <v>1867871.304991297</v>
      </c>
      <c r="AW2229" s="2">
        <f t="shared" ca="1" si="2155"/>
        <v>2015402.8111965586</v>
      </c>
      <c r="AX2229" s="2">
        <f t="shared" ca="1" si="2156"/>
        <v>2162907.7363337972</v>
      </c>
      <c r="AY2229" s="2">
        <f t="shared" ca="1" si="2157"/>
        <v>2315962.4279892207</v>
      </c>
      <c r="AZ2229" s="2">
        <f t="shared" ca="1" si="2158"/>
        <v>2474775.6921289875</v>
      </c>
      <c r="BA2229" s="2">
        <f t="shared" ca="1" si="2159"/>
        <v>54384025.545325287</v>
      </c>
      <c r="BB2229" s="2">
        <f t="shared" ca="1" si="2160"/>
        <v>1087680.5109065059</v>
      </c>
      <c r="BC2229" s="2">
        <f t="shared" ca="1" si="2161"/>
        <v>24691706.080695782</v>
      </c>
      <c r="BD2229" s="2">
        <f t="shared" ca="1" si="2162"/>
        <v>-20761619.258887127</v>
      </c>
      <c r="BE2229" s="2">
        <f t="shared" ca="1" si="2163"/>
        <v>1867871.304991297</v>
      </c>
      <c r="BF2229" s="2">
        <f t="shared" ca="1" si="2164"/>
        <v>2015402.8111965586</v>
      </c>
      <c r="BG2229" s="2">
        <f t="shared" ca="1" si="2165"/>
        <v>2162907.7363337972</v>
      </c>
      <c r="BH2229" s="2">
        <f t="shared" ca="1" si="2166"/>
        <v>2315962.4279892207</v>
      </c>
      <c r="BI2229" s="2">
        <f t="shared" ca="1" si="2167"/>
        <v>27166481.772824768</v>
      </c>
      <c r="BJ2229" s="2">
        <f t="shared" ca="1" si="2168"/>
        <v>0.13171450054284817</v>
      </c>
      <c r="BK2229" s="2">
        <f t="shared" ca="1" si="2169"/>
        <v>939132.08934655786</v>
      </c>
    </row>
    <row r="2230" spans="1:63" x14ac:dyDescent="0.3">
      <c r="A2230" s="2">
        <v>2229</v>
      </c>
      <c r="B2230" s="2">
        <f t="shared" ca="1" si="2108"/>
        <v>0.96459893358743098</v>
      </c>
      <c r="C2230" s="2">
        <f t="shared" ca="1" si="2109"/>
        <v>7.7339132982933227</v>
      </c>
      <c r="D2230" s="2">
        <f t="shared" ca="1" si="2110"/>
        <v>0.66290429582463017</v>
      </c>
      <c r="E2230" s="2">
        <f t="shared" ca="1" si="2111"/>
        <v>7.6789084044086557</v>
      </c>
      <c r="F2230" s="2">
        <f t="shared" ca="1" si="2112"/>
        <v>0.31287547675175298</v>
      </c>
      <c r="G2230" s="2">
        <f t="shared" ca="1" si="2113"/>
        <v>2.5368517307835542E-2</v>
      </c>
      <c r="H2230" s="2">
        <f t="shared" ca="1" si="2114"/>
        <v>2.5368517307835542E-2</v>
      </c>
      <c r="I2230" s="2">
        <f t="shared" ca="1" si="2115"/>
        <v>0.42006734704296689</v>
      </c>
      <c r="J2230" s="2">
        <f t="shared" ca="1" si="2116"/>
        <v>8.9913940383778874E-3</v>
      </c>
      <c r="K2230" s="2">
        <f t="shared" ca="1" si="2117"/>
        <v>8.9913940383778874E-3</v>
      </c>
      <c r="L2230" s="2">
        <f t="shared" ca="1" si="2118"/>
        <v>0.37141680863665261</v>
      </c>
      <c r="M2230" s="2">
        <f t="shared" ca="1" si="2119"/>
        <v>-6.5620644572267029E-3</v>
      </c>
      <c r="N2230" s="2">
        <f t="shared" ca="1" si="2120"/>
        <v>-6.5620644572267029E-3</v>
      </c>
      <c r="O2230" s="2">
        <f t="shared" si="2121"/>
        <v>6000000</v>
      </c>
      <c r="P2230" s="2">
        <f t="shared" ca="1" si="2122"/>
        <v>46403479.789759934</v>
      </c>
      <c r="Q2230" s="2">
        <f t="shared" ca="1" si="2123"/>
        <v>1160086.9947439984</v>
      </c>
      <c r="R2230" s="2">
        <f t="shared" ca="1" si="2124"/>
        <v>27842087.87385596</v>
      </c>
      <c r="S2230" s="2">
        <f t="shared" ca="1" si="2125"/>
        <v>18561391.915903974</v>
      </c>
      <c r="T2230" s="2">
        <f t="shared" ca="1" si="2126"/>
        <v>49671896.777138665</v>
      </c>
      <c r="U2230" s="2">
        <f t="shared" ca="1" si="2127"/>
        <v>50931999.15024253</v>
      </c>
      <c r="V2230" s="2">
        <f t="shared" ca="1" si="2128"/>
        <v>52224068.452208124</v>
      </c>
      <c r="W2230" s="2">
        <f t="shared" ca="1" si="2129"/>
        <v>53548915.636623554</v>
      </c>
      <c r="X2230" s="2">
        <f t="shared" ca="1" si="2130"/>
        <v>54907372.229767062</v>
      </c>
      <c r="Y2230" s="2">
        <f t="shared" ca="1" si="2131"/>
        <v>0.12449569701918894</v>
      </c>
      <c r="Z2230" s="2">
        <f t="shared" ca="1" si="2132"/>
        <v>0.12629397582686452</v>
      </c>
      <c r="AA2230" s="2">
        <f t="shared" ca="1" si="2133"/>
        <v>6183937.4115350833</v>
      </c>
      <c r="AB2230" s="2">
        <f t="shared" ca="1" si="2134"/>
        <v>6432404.6694946149</v>
      </c>
      <c r="AC2230" s="2">
        <f t="shared" ca="1" si="2135"/>
        <v>6595585.2386836912</v>
      </c>
      <c r="AD2230" s="2">
        <f t="shared" ca="1" si="2136"/>
        <v>6762905.4569665426</v>
      </c>
      <c r="AE2230" s="2">
        <f t="shared" ca="1" si="2137"/>
        <v>6934470.3411028534</v>
      </c>
      <c r="AF2230" s="2">
        <f t="shared" ca="1" si="2138"/>
        <v>993437.93554277334</v>
      </c>
      <c r="AG2230" s="2">
        <f t="shared" ca="1" si="2139"/>
        <v>1018639.9830048506</v>
      </c>
      <c r="AH2230" s="2">
        <f t="shared" ca="1" si="2140"/>
        <v>1044481.3690441624</v>
      </c>
      <c r="AI2230" s="2">
        <f t="shared" ca="1" si="2141"/>
        <v>1070978.3127324712</v>
      </c>
      <c r="AJ2230" s="2">
        <f t="shared" ca="1" si="2142"/>
        <v>1098147.4445953413</v>
      </c>
      <c r="AK2230" s="2">
        <f t="shared" ca="1" si="2143"/>
        <v>0</v>
      </c>
      <c r="AL2230" s="2">
        <f t="shared" ca="1" si="2144"/>
        <v>12601.023731038646</v>
      </c>
      <c r="AM2230" s="2">
        <f t="shared" ca="1" si="2145"/>
        <v>12920.693019655942</v>
      </c>
      <c r="AN2230" s="2">
        <f t="shared" ca="1" si="2146"/>
        <v>13248.471844154299</v>
      </c>
      <c r="AO2230" s="2">
        <f t="shared" ca="1" si="2147"/>
        <v>13584.565931435078</v>
      </c>
      <c r="AP2230" s="2">
        <f t="shared" ca="1" si="2148"/>
        <v>2505787.9086470362</v>
      </c>
      <c r="AQ2230" s="2">
        <f t="shared" ca="1" si="2149"/>
        <v>698025.00750977115</v>
      </c>
      <c r="AR2230" s="2">
        <f t="shared" ca="1" si="2150"/>
        <v>756073.96223910945</v>
      </c>
      <c r="AS2230" s="2">
        <f t="shared" ca="1" si="2151"/>
        <v>791782.14985804819</v>
      </c>
      <c r="AT2230" s="2">
        <f t="shared" ca="1" si="2152"/>
        <v>828396.20125262917</v>
      </c>
      <c r="AU2230" s="2">
        <f t="shared" ca="1" si="2153"/>
        <v>865939.09684372367</v>
      </c>
      <c r="AV2230" s="2">
        <f t="shared" ca="1" si="2154"/>
        <v>1986686.5598355029</v>
      </c>
      <c r="AW2230" s="2">
        <f t="shared" ca="1" si="2155"/>
        <v>2139301.7918725796</v>
      </c>
      <c r="AX2230" s="2">
        <f t="shared" ca="1" si="2156"/>
        <v>2240613.118114789</v>
      </c>
      <c r="AY2230" s="2">
        <f t="shared" ca="1" si="2157"/>
        <v>2344494.5624902518</v>
      </c>
      <c r="AZ2230" s="2">
        <f t="shared" ca="1" si="2158"/>
        <v>2451011.3250853177</v>
      </c>
      <c r="BA2230" s="2">
        <f t="shared" ca="1" si="2159"/>
        <v>53249162.582417257</v>
      </c>
      <c r="BB2230" s="2">
        <f t="shared" ca="1" si="2160"/>
        <v>1064983.2516483453</v>
      </c>
      <c r="BC2230" s="2">
        <f t="shared" ca="1" si="2161"/>
        <v>24342091.456912953</v>
      </c>
      <c r="BD2230" s="2">
        <f t="shared" ca="1" si="2162"/>
        <v>-20221478.910647973</v>
      </c>
      <c r="BE2230" s="2">
        <f t="shared" ca="1" si="2163"/>
        <v>1986686.5598355029</v>
      </c>
      <c r="BF2230" s="2">
        <f t="shared" ca="1" si="2164"/>
        <v>2139301.7918725796</v>
      </c>
      <c r="BG2230" s="2">
        <f t="shared" ca="1" si="2165"/>
        <v>2240613.118114789</v>
      </c>
      <c r="BH2230" s="2">
        <f t="shared" ca="1" si="2166"/>
        <v>2344494.5624902518</v>
      </c>
      <c r="BI2230" s="2">
        <f t="shared" ca="1" si="2167"/>
        <v>26793102.781998269</v>
      </c>
      <c r="BJ2230" s="2">
        <f t="shared" ca="1" si="2168"/>
        <v>0.13977574859587705</v>
      </c>
      <c r="BK2230" s="2">
        <f t="shared" ca="1" si="2169"/>
        <v>1545705.5718188211</v>
      </c>
    </row>
    <row r="2231" spans="1:63" x14ac:dyDescent="0.3">
      <c r="A2231" s="2">
        <v>2230</v>
      </c>
      <c r="B2231" s="2">
        <f t="shared" ca="1" si="2108"/>
        <v>0.9506606021130557</v>
      </c>
      <c r="C2231" s="2">
        <f t="shared" ca="1" si="2109"/>
        <v>7.6858681872622761</v>
      </c>
      <c r="D2231" s="2">
        <f t="shared" ca="1" si="2110"/>
        <v>4.9019414928252458E-2</v>
      </c>
      <c r="E2231" s="2">
        <f t="shared" ca="1" si="2111"/>
        <v>6.813111529421235</v>
      </c>
      <c r="F2231" s="2">
        <f t="shared" ca="1" si="2112"/>
        <v>0.46105550045375543</v>
      </c>
      <c r="G2231" s="2">
        <f t="shared" ca="1" si="2113"/>
        <v>3.7066751569822261E-2</v>
      </c>
      <c r="H2231" s="2">
        <f t="shared" ca="1" si="2114"/>
        <v>3.7066751569822261E-2</v>
      </c>
      <c r="I2231" s="2">
        <f t="shared" ca="1" si="2115"/>
        <v>0.24419473597790642</v>
      </c>
      <c r="J2231" s="2">
        <f t="shared" ca="1" si="2116"/>
        <v>6.5356367272633182E-3</v>
      </c>
      <c r="K2231" s="2">
        <f t="shared" ca="1" si="2117"/>
        <v>6.5356367272633182E-3</v>
      </c>
      <c r="L2231" s="2">
        <f t="shared" ca="1" si="2118"/>
        <v>0.59091294434189989</v>
      </c>
      <c r="M2231" s="2">
        <f t="shared" ca="1" si="2119"/>
        <v>4.5978807068495688E-3</v>
      </c>
      <c r="N2231" s="2">
        <f t="shared" ca="1" si="2120"/>
        <v>4.5978807068495688E-3</v>
      </c>
      <c r="O2231" s="2">
        <f t="shared" si="2121"/>
        <v>6000000</v>
      </c>
      <c r="P2231" s="2">
        <f t="shared" ca="1" si="2122"/>
        <v>46115209.123573653</v>
      </c>
      <c r="Q2231" s="2">
        <f t="shared" ca="1" si="2123"/>
        <v>1152880.2280893414</v>
      </c>
      <c r="R2231" s="2">
        <f t="shared" ca="1" si="2124"/>
        <v>27669125.474144191</v>
      </c>
      <c r="S2231" s="2">
        <f t="shared" ca="1" si="2125"/>
        <v>18446083.649429463</v>
      </c>
      <c r="T2231" s="2">
        <f t="shared" ca="1" si="2126"/>
        <v>50229894.035342485</v>
      </c>
      <c r="U2231" s="2">
        <f t="shared" ca="1" si="2127"/>
        <v>52091753.038929015</v>
      </c>
      <c r="V2231" s="2">
        <f t="shared" ca="1" si="2128"/>
        <v>54022625.107659526</v>
      </c>
      <c r="W2231" s="2">
        <f t="shared" ca="1" si="2129"/>
        <v>56025068.331674784</v>
      </c>
      <c r="X2231" s="2">
        <f t="shared" ca="1" si="2130"/>
        <v>58101735.621207289</v>
      </c>
      <c r="Y2231" s="2">
        <f t="shared" ca="1" si="2131"/>
        <v>0.12326781836363165</v>
      </c>
      <c r="Z2231" s="2">
        <f t="shared" ca="1" si="2132"/>
        <v>0.12457494570908431</v>
      </c>
      <c r="AA2231" s="2">
        <f t="shared" ca="1" si="2133"/>
        <v>6191729.4543730626</v>
      </c>
      <c r="AB2231" s="2">
        <f t="shared" ca="1" si="2134"/>
        <v>6489327.3067156095</v>
      </c>
      <c r="AC2231" s="2">
        <f t="shared" ca="1" si="2135"/>
        <v>6729865.5898489002</v>
      </c>
      <c r="AD2231" s="2">
        <f t="shared" ca="1" si="2136"/>
        <v>6979319.8457661252</v>
      </c>
      <c r="AE2231" s="2">
        <f t="shared" ca="1" si="2137"/>
        <v>7238020.5606154678</v>
      </c>
      <c r="AF2231" s="2">
        <f t="shared" ca="1" si="2138"/>
        <v>1004597.8807068497</v>
      </c>
      <c r="AG2231" s="2">
        <f t="shared" ca="1" si="2139"/>
        <v>1041835.0607785804</v>
      </c>
      <c r="AH2231" s="2">
        <f t="shared" ca="1" si="2140"/>
        <v>1080452.5021531906</v>
      </c>
      <c r="AI2231" s="2">
        <f t="shared" ca="1" si="2141"/>
        <v>1120501.3666334958</v>
      </c>
      <c r="AJ2231" s="2">
        <f t="shared" ca="1" si="2142"/>
        <v>1162034.7124241458</v>
      </c>
      <c r="AK2231" s="2">
        <f t="shared" ca="1" si="2143"/>
        <v>0</v>
      </c>
      <c r="AL2231" s="2">
        <f t="shared" ca="1" si="2144"/>
        <v>18618.590035865309</v>
      </c>
      <c r="AM2231" s="2">
        <f t="shared" ca="1" si="2145"/>
        <v>19308.720687305107</v>
      </c>
      <c r="AN2231" s="2">
        <f t="shared" ca="1" si="2146"/>
        <v>20024.432240152582</v>
      </c>
      <c r="AO2231" s="2">
        <f t="shared" ca="1" si="2147"/>
        <v>20766.672895325049</v>
      </c>
      <c r="AP2231" s="2">
        <f t="shared" ca="1" si="2148"/>
        <v>2490221.2926729769</v>
      </c>
      <c r="AQ2231" s="2">
        <f t="shared" ca="1" si="2149"/>
        <v>701196.67305824149</v>
      </c>
      <c r="AR2231" s="2">
        <f t="shared" ca="1" si="2150"/>
        <v>768890.44784865354</v>
      </c>
      <c r="AS2231" s="2">
        <f t="shared" ca="1" si="2151"/>
        <v>821389.86670591054</v>
      </c>
      <c r="AT2231" s="2">
        <f t="shared" ca="1" si="2152"/>
        <v>875835.26847950986</v>
      </c>
      <c r="AU2231" s="2">
        <f t="shared" ca="1" si="2153"/>
        <v>932298.78443476977</v>
      </c>
      <c r="AV2231" s="2">
        <f t="shared" ca="1" si="2154"/>
        <v>1995713.6079349946</v>
      </c>
      <c r="AW2231" s="2">
        <f t="shared" ca="1" si="2155"/>
        <v>2169761.9153795335</v>
      </c>
      <c r="AX2231" s="2">
        <f t="shared" ca="1" si="2156"/>
        <v>2318493.2076295167</v>
      </c>
      <c r="AY2231" s="2">
        <f t="shared" ca="1" si="2157"/>
        <v>2472737.4857399901</v>
      </c>
      <c r="AZ2231" s="2">
        <f t="shared" ca="1" si="2158"/>
        <v>2632699.0981882494</v>
      </c>
      <c r="BA2231" s="2">
        <f t="shared" ca="1" si="2159"/>
        <v>49313441.331717193</v>
      </c>
      <c r="BB2231" s="2">
        <f t="shared" ca="1" si="2160"/>
        <v>986268.82663434383</v>
      </c>
      <c r="BC2231" s="2">
        <f t="shared" ca="1" si="2161"/>
        <v>20658047.030938659</v>
      </c>
      <c r="BD2231" s="2">
        <f t="shared" ca="1" si="2162"/>
        <v>-20098963.877518803</v>
      </c>
      <c r="BE2231" s="2">
        <f t="shared" ca="1" si="2163"/>
        <v>1995713.6079349946</v>
      </c>
      <c r="BF2231" s="2">
        <f t="shared" ca="1" si="2164"/>
        <v>2169761.9153795335</v>
      </c>
      <c r="BG2231" s="2">
        <f t="shared" ca="1" si="2165"/>
        <v>2318493.2076295167</v>
      </c>
      <c r="BH2231" s="2">
        <f t="shared" ca="1" si="2166"/>
        <v>2472737.4857399901</v>
      </c>
      <c r="BI2231" s="2">
        <f t="shared" ca="1" si="2167"/>
        <v>23290746.129126906</v>
      </c>
      <c r="BJ2231" s="2">
        <f t="shared" ca="1" si="2168"/>
        <v>0.11797754682310169</v>
      </c>
      <c r="BK2231" s="2">
        <f t="shared" ca="1" si="2169"/>
        <v>-149833.92428496853</v>
      </c>
    </row>
    <row r="2232" spans="1:63" x14ac:dyDescent="0.3">
      <c r="A2232" s="2">
        <v>2231</v>
      </c>
      <c r="B2232" s="2">
        <f t="shared" ca="1" si="2108"/>
        <v>0.69627992751870282</v>
      </c>
      <c r="C2232" s="2">
        <f t="shared" ca="1" si="2109"/>
        <v>7.2206155345642342</v>
      </c>
      <c r="D2232" s="2">
        <f t="shared" ca="1" si="2110"/>
        <v>0.13047660347082746</v>
      </c>
      <c r="E2232" s="2">
        <f t="shared" ca="1" si="2111"/>
        <v>7.0108357925416493</v>
      </c>
      <c r="F2232" s="2">
        <f t="shared" ca="1" si="2112"/>
        <v>0.44479601347260611</v>
      </c>
      <c r="G2232" s="2">
        <f t="shared" ca="1" si="2113"/>
        <v>3.58353862439761E-2</v>
      </c>
      <c r="H2232" s="2">
        <f t="shared" ca="1" si="2114"/>
        <v>3.58353862439761E-2</v>
      </c>
      <c r="I2232" s="2">
        <f t="shared" ca="1" si="2115"/>
        <v>0.83641080153270497</v>
      </c>
      <c r="J2232" s="2">
        <f t="shared" ca="1" si="2116"/>
        <v>1.4899065373988329E-2</v>
      </c>
      <c r="K2232" s="2">
        <f t="shared" ca="1" si="2117"/>
        <v>1.4899065373988329E-2</v>
      </c>
      <c r="L2232" s="2">
        <f t="shared" ca="1" si="2118"/>
        <v>0.24510791768218376</v>
      </c>
      <c r="M2232" s="2">
        <f t="shared" ca="1" si="2119"/>
        <v>-1.3799311527380443E-2</v>
      </c>
      <c r="N2232" s="2">
        <f t="shared" ca="1" si="2120"/>
        <v>-1.3799311527380443E-2</v>
      </c>
      <c r="O2232" s="2">
        <f t="shared" si="2121"/>
        <v>6000000</v>
      </c>
      <c r="P2232" s="2">
        <f t="shared" ca="1" si="2122"/>
        <v>43323693.207385406</v>
      </c>
      <c r="Q2232" s="2">
        <f t="shared" ca="1" si="2123"/>
        <v>1083092.3301846352</v>
      </c>
      <c r="R2232" s="2">
        <f t="shared" ca="1" si="2124"/>
        <v>25994215.924431242</v>
      </c>
      <c r="S2232" s="2">
        <f t="shared" ca="1" si="2125"/>
        <v>17329477.282954164</v>
      </c>
      <c r="T2232" s="2">
        <f t="shared" ca="1" si="2126"/>
        <v>49310034.423630975</v>
      </c>
      <c r="U2232" s="2">
        <f t="shared" ca="1" si="2127"/>
        <v>51077078.552905552</v>
      </c>
      <c r="V2232" s="2">
        <f t="shared" ca="1" si="2128"/>
        <v>52907445.391062833</v>
      </c>
      <c r="W2232" s="2">
        <f t="shared" ca="1" si="2129"/>
        <v>54803404.13183365</v>
      </c>
      <c r="X2232" s="2">
        <f t="shared" ca="1" si="2130"/>
        <v>56767305.28638263</v>
      </c>
      <c r="Y2232" s="2">
        <f t="shared" ca="1" si="2131"/>
        <v>0.12744953268699416</v>
      </c>
      <c r="Z2232" s="2">
        <f t="shared" ca="1" si="2132"/>
        <v>0.13042934576179183</v>
      </c>
      <c r="AA2232" s="2">
        <f t="shared" ca="1" si="2133"/>
        <v>6284540.8440713631</v>
      </c>
      <c r="AB2232" s="2">
        <f t="shared" ca="1" si="2134"/>
        <v>6661949.9390791198</v>
      </c>
      <c r="AC2232" s="2">
        <f t="shared" ca="1" si="2135"/>
        <v>6900683.4882840533</v>
      </c>
      <c r="AD2232" s="2">
        <f t="shared" ca="1" si="2136"/>
        <v>7147972.1464341423</v>
      </c>
      <c r="AE2232" s="2">
        <f t="shared" ca="1" si="2137"/>
        <v>7404122.4891627934</v>
      </c>
      <c r="AF2232" s="2">
        <f t="shared" ca="1" si="2138"/>
        <v>986200.68847261951</v>
      </c>
      <c r="AG2232" s="2">
        <f t="shared" ca="1" si="2139"/>
        <v>1021541.571058111</v>
      </c>
      <c r="AH2232" s="2">
        <f t="shared" ca="1" si="2140"/>
        <v>1058148.9078212567</v>
      </c>
      <c r="AI2232" s="2">
        <f t="shared" ca="1" si="2141"/>
        <v>1096068.082636673</v>
      </c>
      <c r="AJ2232" s="2">
        <f t="shared" ca="1" si="2142"/>
        <v>1135346.1057276526</v>
      </c>
      <c r="AK2232" s="2">
        <f t="shared" ca="1" si="2143"/>
        <v>0</v>
      </c>
      <c r="AL2232" s="2">
        <f t="shared" ca="1" si="2144"/>
        <v>17670.441292745771</v>
      </c>
      <c r="AM2232" s="2">
        <f t="shared" ca="1" si="2145"/>
        <v>18303.668381572814</v>
      </c>
      <c r="AN2232" s="2">
        <f t="shared" ca="1" si="2146"/>
        <v>18959.587407708168</v>
      </c>
      <c r="AO2232" s="2">
        <f t="shared" ca="1" si="2147"/>
        <v>19639.011545489804</v>
      </c>
      <c r="AP2232" s="2">
        <f t="shared" ca="1" si="2148"/>
        <v>2339479.4331988115</v>
      </c>
      <c r="AQ2232" s="2">
        <f t="shared" ca="1" si="2149"/>
        <v>769303.78782398242</v>
      </c>
      <c r="AR2232" s="2">
        <f t="shared" ca="1" si="2150"/>
        <v>858241.52305377123</v>
      </c>
      <c r="AS2232" s="2">
        <f t="shared" ca="1" si="2151"/>
        <v>910794.33828863618</v>
      </c>
      <c r="AT2232" s="2">
        <f t="shared" ca="1" si="2152"/>
        <v>965230.4039556511</v>
      </c>
      <c r="AU2232" s="2">
        <f t="shared" ca="1" si="2153"/>
        <v>1021617.2070614458</v>
      </c>
      <c r="AV2232" s="2">
        <f t="shared" ca="1" si="2154"/>
        <v>2189556.9345759498</v>
      </c>
      <c r="AW2232" s="2">
        <f t="shared" ca="1" si="2155"/>
        <v>2425016.9704756802</v>
      </c>
      <c r="AX2232" s="2">
        <f t="shared" ca="1" si="2156"/>
        <v>2573957.1405937765</v>
      </c>
      <c r="AY2232" s="2">
        <f t="shared" ca="1" si="2157"/>
        <v>2728234.6392352981</v>
      </c>
      <c r="AZ2232" s="2">
        <f t="shared" ca="1" si="2158"/>
        <v>2888040.731629394</v>
      </c>
      <c r="BA2232" s="2">
        <f t="shared" ca="1" si="2159"/>
        <v>51909086.959385082</v>
      </c>
      <c r="BB2232" s="2">
        <f t="shared" ca="1" si="2160"/>
        <v>1038181.7391877017</v>
      </c>
      <c r="BC2232" s="2">
        <f t="shared" ca="1" si="2161"/>
        <v>24876689.295766138</v>
      </c>
      <c r="BD2232" s="2">
        <f t="shared" ca="1" si="2162"/>
        <v>-18912569.613138799</v>
      </c>
      <c r="BE2232" s="2">
        <f t="shared" ca="1" si="2163"/>
        <v>2189556.9345759498</v>
      </c>
      <c r="BF2232" s="2">
        <f t="shared" ca="1" si="2164"/>
        <v>2425016.9704756802</v>
      </c>
      <c r="BG2232" s="2">
        <f t="shared" ca="1" si="2165"/>
        <v>2573957.1405937765</v>
      </c>
      <c r="BH2232" s="2">
        <f t="shared" ca="1" si="2166"/>
        <v>2728234.6392352981</v>
      </c>
      <c r="BI2232" s="2">
        <f t="shared" ca="1" si="2167"/>
        <v>27764730.027395532</v>
      </c>
      <c r="BJ2232" s="2">
        <f t="shared" ca="1" si="2168"/>
        <v>0.17684900026970229</v>
      </c>
      <c r="BK2232" s="2">
        <f t="shared" ca="1" si="2169"/>
        <v>4295988.3634883352</v>
      </c>
    </row>
    <row r="2233" spans="1:63" x14ac:dyDescent="0.3">
      <c r="A2233" s="2">
        <v>2232</v>
      </c>
      <c r="B2233" s="2">
        <f t="shared" ca="1" si="2108"/>
        <v>0.46905485865911667</v>
      </c>
      <c r="C2233" s="2">
        <f t="shared" ca="1" si="2109"/>
        <v>6.9685606420447987</v>
      </c>
      <c r="D2233" s="2">
        <f t="shared" ca="1" si="2110"/>
        <v>0.27044438546611149</v>
      </c>
      <c r="E2233" s="2">
        <f t="shared" ca="1" si="2111"/>
        <v>7.2354514062344455</v>
      </c>
      <c r="F2233" s="2">
        <f t="shared" ca="1" si="2112"/>
        <v>0.93171351574817807</v>
      </c>
      <c r="G2233" s="2">
        <f t="shared" ca="1" si="2113"/>
        <v>8.4660250318736918E-2</v>
      </c>
      <c r="H2233" s="2">
        <f t="shared" ca="1" si="2114"/>
        <v>8.4660250318736918E-2</v>
      </c>
      <c r="I2233" s="2">
        <f t="shared" ca="1" si="2115"/>
        <v>0.16797563765804768</v>
      </c>
      <c r="J2233" s="2">
        <f t="shared" ca="1" si="2116"/>
        <v>5.1890211674736229E-3</v>
      </c>
      <c r="K2233" s="2">
        <f t="shared" ca="1" si="2117"/>
        <v>5.1890211674736229E-3</v>
      </c>
      <c r="L2233" s="2">
        <f t="shared" ca="1" si="2118"/>
        <v>0.10930678967634555</v>
      </c>
      <c r="M2233" s="2">
        <f t="shared" ca="1" si="2119"/>
        <v>-2.4604461600264558E-2</v>
      </c>
      <c r="N2233" s="2">
        <f t="shared" ca="1" si="2120"/>
        <v>-2.4604461600264558E-2</v>
      </c>
      <c r="O2233" s="2">
        <f t="shared" si="2121"/>
        <v>6000000</v>
      </c>
      <c r="P2233" s="2">
        <f t="shared" ca="1" si="2122"/>
        <v>41811363.852268793</v>
      </c>
      <c r="Q2233" s="2">
        <f t="shared" ca="1" si="2123"/>
        <v>1045284.0963067198</v>
      </c>
      <c r="R2233" s="2">
        <f t="shared" ca="1" si="2124"/>
        <v>25086818.311361276</v>
      </c>
      <c r="S2233" s="2">
        <f t="shared" ca="1" si="2125"/>
        <v>16724545.540907517</v>
      </c>
      <c r="T2233" s="2">
        <f t="shared" ca="1" si="2126"/>
        <v>48769776.919986777</v>
      </c>
      <c r="U2233" s="2">
        <f t="shared" ca="1" si="2127"/>
        <v>52898638.44202181</v>
      </c>
      <c r="V2233" s="2">
        <f t="shared" ca="1" si="2128"/>
        <v>57377050.414043732</v>
      </c>
      <c r="W2233" s="2">
        <f t="shared" ca="1" si="2129"/>
        <v>62234605.864647456</v>
      </c>
      <c r="X2233" s="2">
        <f t="shared" ca="1" si="2130"/>
        <v>67503403.175636441</v>
      </c>
      <c r="Y2233" s="2">
        <f t="shared" ca="1" si="2131"/>
        <v>0.12259451058373681</v>
      </c>
      <c r="Z2233" s="2">
        <f t="shared" ca="1" si="2132"/>
        <v>0.12363231481723153</v>
      </c>
      <c r="AA2233" s="2">
        <f t="shared" ca="1" si="2133"/>
        <v>5978906.932783802</v>
      </c>
      <c r="AB2233" s="2">
        <f t="shared" ca="1" si="2134"/>
        <v>6539981.1212669462</v>
      </c>
      <c r="AC2233" s="2">
        <f t="shared" ca="1" si="2135"/>
        <v>7093657.5600732192</v>
      </c>
      <c r="AD2233" s="2">
        <f t="shared" ca="1" si="2136"/>
        <v>7694208.3847844172</v>
      </c>
      <c r="AE2233" s="2">
        <f t="shared" ca="1" si="2137"/>
        <v>8345601.9926447906</v>
      </c>
      <c r="AF2233" s="2">
        <f t="shared" ca="1" si="2138"/>
        <v>975395.53839973558</v>
      </c>
      <c r="AG2233" s="2">
        <f t="shared" ca="1" si="2139"/>
        <v>1057972.7688404361</v>
      </c>
      <c r="AH2233" s="2">
        <f t="shared" ca="1" si="2140"/>
        <v>1147541.0082808747</v>
      </c>
      <c r="AI2233" s="2">
        <f t="shared" ca="1" si="2141"/>
        <v>1244692.1172929492</v>
      </c>
      <c r="AJ2233" s="2">
        <f t="shared" ca="1" si="2142"/>
        <v>1350068.0635127288</v>
      </c>
      <c r="AK2233" s="2">
        <f t="shared" ca="1" si="2143"/>
        <v>0</v>
      </c>
      <c r="AL2233" s="2">
        <f t="shared" ca="1" si="2144"/>
        <v>41288.615220350322</v>
      </c>
      <c r="AM2233" s="2">
        <f t="shared" ca="1" si="2145"/>
        <v>44784.119720219227</v>
      </c>
      <c r="AN2233" s="2">
        <f t="shared" ca="1" si="2146"/>
        <v>48575.554506037239</v>
      </c>
      <c r="AO2233" s="2">
        <f t="shared" ca="1" si="2147"/>
        <v>52687.973109889848</v>
      </c>
      <c r="AP2233" s="2">
        <f t="shared" ca="1" si="2148"/>
        <v>2257813.6480225148</v>
      </c>
      <c r="AQ2233" s="2">
        <f t="shared" ca="1" si="2149"/>
        <v>713881.41405400354</v>
      </c>
      <c r="AR2233" s="2">
        <f t="shared" ca="1" si="2150"/>
        <v>838290.62314503884</v>
      </c>
      <c r="AS2233" s="2">
        <f t="shared" ca="1" si="2151"/>
        <v>958958.75498015562</v>
      </c>
      <c r="AT2233" s="2">
        <f t="shared" ca="1" si="2152"/>
        <v>1089842.6810619279</v>
      </c>
      <c r="AU2233" s="2">
        <f t="shared" ca="1" si="2153"/>
        <v>1231807.2730884824</v>
      </c>
      <c r="AV2233" s="2">
        <f t="shared" ca="1" si="2154"/>
        <v>2031816.3323075483</v>
      </c>
      <c r="AW2233" s="2">
        <f t="shared" ca="1" si="2155"/>
        <v>2344615.4660386061</v>
      </c>
      <c r="AX2233" s="2">
        <f t="shared" ca="1" si="2156"/>
        <v>2684560.0290694544</v>
      </c>
      <c r="AY2233" s="2">
        <f t="shared" ca="1" si="2157"/>
        <v>3053284.3839009879</v>
      </c>
      <c r="AZ2233" s="2">
        <f t="shared" ca="1" si="2158"/>
        <v>3453225.0349111753</v>
      </c>
      <c r="BA2233" s="2">
        <f t="shared" ca="1" si="2159"/>
        <v>60384197.673554741</v>
      </c>
      <c r="BB2233" s="2">
        <f t="shared" ca="1" si="2160"/>
        <v>1207683.9534710948</v>
      </c>
      <c r="BC2233" s="2">
        <f t="shared" ca="1" si="2161"/>
        <v>34089695.408722371</v>
      </c>
      <c r="BD2233" s="2">
        <f t="shared" ca="1" si="2162"/>
        <v>-18269829.637214236</v>
      </c>
      <c r="BE2233" s="2">
        <f t="shared" ca="1" si="2163"/>
        <v>2031816.3323075483</v>
      </c>
      <c r="BF2233" s="2">
        <f t="shared" ca="1" si="2164"/>
        <v>2344615.4660386061</v>
      </c>
      <c r="BG2233" s="2">
        <f t="shared" ca="1" si="2165"/>
        <v>2684560.0290694544</v>
      </c>
      <c r="BH2233" s="2">
        <f t="shared" ca="1" si="2166"/>
        <v>3053284.3839009879</v>
      </c>
      <c r="BI2233" s="2">
        <f t="shared" ca="1" si="2167"/>
        <v>37542920.443633549</v>
      </c>
      <c r="BJ2233" s="2">
        <f t="shared" ca="1" si="2168"/>
        <v>0.24643078228115467</v>
      </c>
      <c r="BK2233" s="2">
        <f t="shared" ca="1" si="2169"/>
        <v>10567500.711863536</v>
      </c>
    </row>
    <row r="2234" spans="1:63" x14ac:dyDescent="0.3">
      <c r="A2234" s="2">
        <v>2233</v>
      </c>
      <c r="B2234" s="2">
        <f t="shared" ca="1" si="2108"/>
        <v>0.57391681317141474</v>
      </c>
      <c r="C2234" s="2">
        <f t="shared" ca="1" si="2109"/>
        <v>7.0768714208425942</v>
      </c>
      <c r="D2234" s="2">
        <f t="shared" ca="1" si="2110"/>
        <v>0.39019241325390175</v>
      </c>
      <c r="E2234" s="2">
        <f t="shared" ca="1" si="2111"/>
        <v>7.3833939248759881</v>
      </c>
      <c r="F2234" s="2">
        <f t="shared" ca="1" si="2112"/>
        <v>0.91771681677335237</v>
      </c>
      <c r="G2234" s="2">
        <f t="shared" ca="1" si="2113"/>
        <v>8.1696296612908365E-2</v>
      </c>
      <c r="H2234" s="2">
        <f t="shared" ca="1" si="2114"/>
        <v>8.1696296612908365E-2</v>
      </c>
      <c r="I2234" s="2">
        <f t="shared" ca="1" si="2115"/>
        <v>0.94380004782841065</v>
      </c>
      <c r="J2234" s="2">
        <f t="shared" ca="1" si="2116"/>
        <v>1.7937489894724618E-2</v>
      </c>
      <c r="K2234" s="2">
        <f t="shared" ca="1" si="2117"/>
        <v>1.7937489894724618E-2</v>
      </c>
      <c r="L2234" s="2">
        <f t="shared" ca="1" si="2118"/>
        <v>0.39416426372611735</v>
      </c>
      <c r="M2234" s="2">
        <f t="shared" ca="1" si="2119"/>
        <v>-5.3696348261524189E-3</v>
      </c>
      <c r="N2234" s="2">
        <f t="shared" ca="1" si="2120"/>
        <v>-5.3696348261524189E-3</v>
      </c>
      <c r="O2234" s="2">
        <f t="shared" si="2121"/>
        <v>6000000</v>
      </c>
      <c r="P2234" s="2">
        <f t="shared" ca="1" si="2122"/>
        <v>42461228.525055565</v>
      </c>
      <c r="Q2234" s="2">
        <f t="shared" ca="1" si="2123"/>
        <v>1061530.7131263891</v>
      </c>
      <c r="R2234" s="2">
        <f t="shared" ca="1" si="2124"/>
        <v>25476737.11503334</v>
      </c>
      <c r="S2234" s="2">
        <f t="shared" ca="1" si="2125"/>
        <v>16984491.410022225</v>
      </c>
      <c r="T2234" s="2">
        <f t="shared" ca="1" si="2126"/>
        <v>49731518.258692384</v>
      </c>
      <c r="U2234" s="2">
        <f t="shared" ca="1" si="2127"/>
        <v>53794399.125364788</v>
      </c>
      <c r="V2234" s="2">
        <f t="shared" ca="1" si="2128"/>
        <v>58189202.312423773</v>
      </c>
      <c r="W2234" s="2">
        <f t="shared" ca="1" si="2129"/>
        <v>62943044.644208081</v>
      </c>
      <c r="X2234" s="2">
        <f t="shared" ca="1" si="2130"/>
        <v>68085258.289180845</v>
      </c>
      <c r="Y2234" s="2">
        <f t="shared" ca="1" si="2131"/>
        <v>0.1289687449473623</v>
      </c>
      <c r="Z2234" s="2">
        <f t="shared" ca="1" si="2132"/>
        <v>0.13255624292630722</v>
      </c>
      <c r="AA2234" s="2">
        <f t="shared" ca="1" si="2133"/>
        <v>6413811.494150389</v>
      </c>
      <c r="AB2234" s="2">
        <f t="shared" ca="1" si="2134"/>
        <v>7130783.4385365834</v>
      </c>
      <c r="AC2234" s="2">
        <f t="shared" ca="1" si="2135"/>
        <v>7713342.0374136837</v>
      </c>
      <c r="AD2234" s="2">
        <f t="shared" ca="1" si="2136"/>
        <v>8343493.5163790472</v>
      </c>
      <c r="AE2234" s="2">
        <f t="shared" ca="1" si="2137"/>
        <v>9025126.0374810286</v>
      </c>
      <c r="AF2234" s="2">
        <f t="shared" ca="1" si="2138"/>
        <v>994630.36517384765</v>
      </c>
      <c r="AG2234" s="2">
        <f t="shared" ca="1" si="2139"/>
        <v>1075887.9825072957</v>
      </c>
      <c r="AH2234" s="2">
        <f t="shared" ca="1" si="2140"/>
        <v>1163784.0462484756</v>
      </c>
      <c r="AI2234" s="2">
        <f t="shared" ca="1" si="2141"/>
        <v>1258860.8928841616</v>
      </c>
      <c r="AJ2234" s="2">
        <f t="shared" ca="1" si="2142"/>
        <v>1361705.1657836169</v>
      </c>
      <c r="AK2234" s="2">
        <f t="shared" ca="1" si="2143"/>
        <v>0</v>
      </c>
      <c r="AL2234" s="2">
        <f t="shared" ca="1" si="2144"/>
        <v>40628.808666724042</v>
      </c>
      <c r="AM2234" s="2">
        <f t="shared" ca="1" si="2145"/>
        <v>43948.031870589853</v>
      </c>
      <c r="AN2234" s="2">
        <f t="shared" ca="1" si="2146"/>
        <v>47538.42331784308</v>
      </c>
      <c r="AO2234" s="2">
        <f t="shared" ca="1" si="2147"/>
        <v>51422.136449727637</v>
      </c>
      <c r="AP2234" s="2">
        <f t="shared" ca="1" si="2148"/>
        <v>2292906.3403530004</v>
      </c>
      <c r="AQ2234" s="2">
        <f t="shared" ca="1" si="2149"/>
        <v>812831.44504212076</v>
      </c>
      <c r="AR2234" s="2">
        <f t="shared" ca="1" si="2150"/>
        <v>978117.17007583473</v>
      </c>
      <c r="AS2234" s="2">
        <f t="shared" ca="1" si="2151"/>
        <v>1106729.4292111739</v>
      </c>
      <c r="AT2234" s="2">
        <f t="shared" ca="1" si="2152"/>
        <v>1245848.8336168902</v>
      </c>
      <c r="AU2234" s="2">
        <f t="shared" ca="1" si="2153"/>
        <v>1396333.7781495471</v>
      </c>
      <c r="AV2234" s="2">
        <f t="shared" ca="1" si="2154"/>
        <v>2313443.3435814199</v>
      </c>
      <c r="AW2234" s="2">
        <f t="shared" ca="1" si="2155"/>
        <v>2743243.1369337286</v>
      </c>
      <c r="AX2234" s="2">
        <f t="shared" ca="1" si="2156"/>
        <v>3105974.1897304435</v>
      </c>
      <c r="AY2234" s="2">
        <f t="shared" ca="1" si="2157"/>
        <v>3498339.0262071523</v>
      </c>
      <c r="AZ2234" s="2">
        <f t="shared" ca="1" si="2158"/>
        <v>3922758.6167451371</v>
      </c>
      <c r="BA2234" s="2">
        <f t="shared" ca="1" si="2159"/>
        <v>66636060.756377526</v>
      </c>
      <c r="BB2234" s="2">
        <f t="shared" ca="1" si="2160"/>
        <v>1332721.2151275505</v>
      </c>
      <c r="BC2234" s="2">
        <f t="shared" ca="1" si="2161"/>
        <v>39826602.42621664</v>
      </c>
      <c r="BD2234" s="2">
        <f t="shared" ca="1" si="2162"/>
        <v>-18546022.123148613</v>
      </c>
      <c r="BE2234" s="2">
        <f t="shared" ca="1" si="2163"/>
        <v>2313443.3435814199</v>
      </c>
      <c r="BF2234" s="2">
        <f t="shared" ca="1" si="2164"/>
        <v>2743243.1369337286</v>
      </c>
      <c r="BG2234" s="2">
        <f t="shared" ca="1" si="2165"/>
        <v>3105974.1897304435</v>
      </c>
      <c r="BH2234" s="2">
        <f t="shared" ca="1" si="2166"/>
        <v>3498339.0262071523</v>
      </c>
      <c r="BI2234" s="2">
        <f t="shared" ca="1" si="2167"/>
        <v>43749361.042961776</v>
      </c>
      <c r="BJ2234" s="2">
        <f t="shared" ca="1" si="2168"/>
        <v>0.28750575154622737</v>
      </c>
      <c r="BK2234" s="2">
        <f t="shared" ca="1" si="2169"/>
        <v>14965040.074478552</v>
      </c>
    </row>
    <row r="2235" spans="1:63" x14ac:dyDescent="0.3">
      <c r="A2235" s="2">
        <v>2234</v>
      </c>
      <c r="B2235" s="2">
        <f t="shared" ca="1" si="2108"/>
        <v>0.56982419378625437</v>
      </c>
      <c r="C2235" s="2">
        <f t="shared" ca="1" si="2109"/>
        <v>7.0724485931079126</v>
      </c>
      <c r="D2235" s="2">
        <f t="shared" ca="1" si="2110"/>
        <v>0.22285001115689074</v>
      </c>
      <c r="E2235" s="2">
        <f t="shared" ca="1" si="2111"/>
        <v>7.1676076859307276</v>
      </c>
      <c r="F2235" s="2">
        <f t="shared" ca="1" si="2112"/>
        <v>0.38090619167052919</v>
      </c>
      <c r="G2235" s="2">
        <f t="shared" ca="1" si="2113"/>
        <v>3.0906949972222961E-2</v>
      </c>
      <c r="H2235" s="2">
        <f t="shared" ca="1" si="2114"/>
        <v>3.0906949972222961E-2</v>
      </c>
      <c r="I2235" s="2">
        <f t="shared" ca="1" si="2115"/>
        <v>0.68075627326462096</v>
      </c>
      <c r="J2235" s="2">
        <f t="shared" ca="1" si="2116"/>
        <v>1.2349073203043704E-2</v>
      </c>
      <c r="K2235" s="2">
        <f t="shared" ca="1" si="2117"/>
        <v>1.2349073203043704E-2</v>
      </c>
      <c r="L2235" s="2">
        <f t="shared" ca="1" si="2118"/>
        <v>6.5511226821666879E-2</v>
      </c>
      <c r="M2235" s="2">
        <f t="shared" ca="1" si="2119"/>
        <v>-3.0201643780437288E-2</v>
      </c>
      <c r="N2235" s="2">
        <f t="shared" ca="1" si="2120"/>
        <v>-3.0201643780437288E-2</v>
      </c>
      <c r="O2235" s="2">
        <f t="shared" si="2121"/>
        <v>6000000</v>
      </c>
      <c r="P2235" s="2">
        <f t="shared" ca="1" si="2122"/>
        <v>42434691.558647476</v>
      </c>
      <c r="Q2235" s="2">
        <f t="shared" ca="1" si="2123"/>
        <v>1060867.288966187</v>
      </c>
      <c r="R2235" s="2">
        <f t="shared" ca="1" si="2124"/>
        <v>25460814.935188483</v>
      </c>
      <c r="S2235" s="2">
        <f t="shared" ca="1" si="2125"/>
        <v>16973876.623458993</v>
      </c>
      <c r="T2235" s="2">
        <f t="shared" ca="1" si="2126"/>
        <v>48489917.810978137</v>
      </c>
      <c r="U2235" s="2">
        <f t="shared" ca="1" si="2127"/>
        <v>49988593.274919242</v>
      </c>
      <c r="V2235" s="2">
        <f t="shared" ca="1" si="2128"/>
        <v>51533588.226448976</v>
      </c>
      <c r="W2235" s="2">
        <f t="shared" ca="1" si="2129"/>
        <v>53126334.259652972</v>
      </c>
      <c r="X2235" s="2">
        <f t="shared" ca="1" si="2130"/>
        <v>54768307.214823663</v>
      </c>
      <c r="Y2235" s="2">
        <f t="shared" ca="1" si="2131"/>
        <v>0.12617453660152184</v>
      </c>
      <c r="Z2235" s="2">
        <f t="shared" ca="1" si="2132"/>
        <v>0.12864435124213058</v>
      </c>
      <c r="AA2235" s="2">
        <f t="shared" ca="1" si="2133"/>
        <v>6118192.9096460463</v>
      </c>
      <c r="AB2235" s="2">
        <f t="shared" ca="1" si="2134"/>
        <v>6430750.1513587181</v>
      </c>
      <c r="AC2235" s="2">
        <f t="shared" ca="1" si="2135"/>
        <v>6629505.0245706271</v>
      </c>
      <c r="AD2235" s="2">
        <f t="shared" ca="1" si="2136"/>
        <v>6834402.8047056329</v>
      </c>
      <c r="AE2235" s="2">
        <f t="shared" ca="1" si="2137"/>
        <v>7045633.35028069</v>
      </c>
      <c r="AF2235" s="2">
        <f t="shared" ca="1" si="2138"/>
        <v>969798.3562195627</v>
      </c>
      <c r="AG2235" s="2">
        <f t="shared" ca="1" si="2139"/>
        <v>999771.86549838481</v>
      </c>
      <c r="AH2235" s="2">
        <f t="shared" ca="1" si="2140"/>
        <v>1030671.7645289795</v>
      </c>
      <c r="AI2235" s="2">
        <f t="shared" ca="1" si="2141"/>
        <v>1062526.6851930595</v>
      </c>
      <c r="AJ2235" s="2">
        <f t="shared" ca="1" si="2142"/>
        <v>1095366.1442964734</v>
      </c>
      <c r="AK2235" s="2">
        <f t="shared" ca="1" si="2143"/>
        <v>0</v>
      </c>
      <c r="AL2235" s="2">
        <f t="shared" ca="1" si="2144"/>
        <v>14986.754639411047</v>
      </c>
      <c r="AM2235" s="2">
        <f t="shared" ca="1" si="2145"/>
        <v>15449.94951529734</v>
      </c>
      <c r="AN2235" s="2">
        <f t="shared" ca="1" si="2146"/>
        <v>15927.460332039967</v>
      </c>
      <c r="AO2235" s="2">
        <f t="shared" ca="1" si="2147"/>
        <v>16419.729551706911</v>
      </c>
      <c r="AP2235" s="2">
        <f t="shared" ca="1" si="2148"/>
        <v>2291473.3441669634</v>
      </c>
      <c r="AQ2235" s="2">
        <f t="shared" ca="1" si="2149"/>
        <v>742799.51440747525</v>
      </c>
      <c r="AR2235" s="2">
        <f t="shared" ca="1" si="2150"/>
        <v>816271.28484027623</v>
      </c>
      <c r="AS2235" s="2">
        <f t="shared" ca="1" si="2151"/>
        <v>859913.57812741795</v>
      </c>
      <c r="AT2235" s="2">
        <f t="shared" ca="1" si="2152"/>
        <v>904904.72158985853</v>
      </c>
      <c r="AU2235" s="2">
        <f t="shared" ca="1" si="2153"/>
        <v>951286.40407248575</v>
      </c>
      <c r="AV2235" s="2">
        <f t="shared" ca="1" si="2154"/>
        <v>2114121.6948520448</v>
      </c>
      <c r="AW2235" s="2">
        <f t="shared" ca="1" si="2155"/>
        <v>2308246.9022136824</v>
      </c>
      <c r="AX2235" s="2">
        <f t="shared" ca="1" si="2156"/>
        <v>2431996.3882319694</v>
      </c>
      <c r="AY2235" s="2">
        <f t="shared" ca="1" si="2157"/>
        <v>2559570.5934237111</v>
      </c>
      <c r="AZ2235" s="2">
        <f t="shared" ca="1" si="2158"/>
        <v>2691087.7281930605</v>
      </c>
      <c r="BA2235" s="2">
        <f t="shared" ca="1" si="2159"/>
        <v>50500335.753721736</v>
      </c>
      <c r="BB2235" s="2">
        <f t="shared" ca="1" si="2160"/>
        <v>1010006.7150744348</v>
      </c>
      <c r="BC2235" s="2">
        <f t="shared" ca="1" si="2161"/>
        <v>24029514.103458818</v>
      </c>
      <c r="BD2235" s="2">
        <f t="shared" ca="1" si="2162"/>
        <v>-18534743.912425179</v>
      </c>
      <c r="BE2235" s="2">
        <f t="shared" ca="1" si="2163"/>
        <v>2114121.6948520448</v>
      </c>
      <c r="BF2235" s="2">
        <f t="shared" ca="1" si="2164"/>
        <v>2308246.9022136824</v>
      </c>
      <c r="BG2235" s="2">
        <f t="shared" ca="1" si="2165"/>
        <v>2431996.3882319694</v>
      </c>
      <c r="BH2235" s="2">
        <f t="shared" ca="1" si="2166"/>
        <v>2559570.5934237111</v>
      </c>
      <c r="BI2235" s="2">
        <f t="shared" ca="1" si="2167"/>
        <v>26720601.831651878</v>
      </c>
      <c r="BJ2235" s="2">
        <f t="shared" ca="1" si="2168"/>
        <v>0.17046690982907009</v>
      </c>
      <c r="BK2235" s="2">
        <f t="shared" ca="1" si="2169"/>
        <v>3712672.4992276616</v>
      </c>
    </row>
    <row r="2236" spans="1:63" x14ac:dyDescent="0.3">
      <c r="A2236" s="2">
        <v>2235</v>
      </c>
      <c r="B2236" s="2">
        <f t="shared" ca="1" si="2108"/>
        <v>0.86936268549547835</v>
      </c>
      <c r="C2236" s="2">
        <f t="shared" ca="1" si="2109"/>
        <v>7.4888497001770968</v>
      </c>
      <c r="D2236" s="2">
        <f t="shared" ca="1" si="2110"/>
        <v>0.61222473451961734</v>
      </c>
      <c r="E2236" s="2">
        <f t="shared" ca="1" si="2111"/>
        <v>7.61934653185219</v>
      </c>
      <c r="F2236" s="2">
        <f t="shared" ca="1" si="2112"/>
        <v>0.49419410931018548</v>
      </c>
      <c r="G2236" s="2">
        <f t="shared" ca="1" si="2113"/>
        <v>3.9563388294430436E-2</v>
      </c>
      <c r="H2236" s="2">
        <f t="shared" ca="1" si="2114"/>
        <v>3.9563388294430436E-2</v>
      </c>
      <c r="I2236" s="2">
        <f t="shared" ca="1" si="2115"/>
        <v>0.24633680065306196</v>
      </c>
      <c r="J2236" s="2">
        <f t="shared" ca="1" si="2116"/>
        <v>6.5696867413791412E-3</v>
      </c>
      <c r="K2236" s="2">
        <f t="shared" ca="1" si="2117"/>
        <v>6.5696867413791412E-3</v>
      </c>
      <c r="L2236" s="2">
        <f t="shared" ca="1" si="2118"/>
        <v>0.46069958491755769</v>
      </c>
      <c r="M2236" s="2">
        <f t="shared" ca="1" si="2119"/>
        <v>-1.9734281934971061E-3</v>
      </c>
      <c r="N2236" s="2">
        <f t="shared" ca="1" si="2120"/>
        <v>-1.9734281934971061E-3</v>
      </c>
      <c r="O2236" s="2">
        <f t="shared" si="2121"/>
        <v>6000000</v>
      </c>
      <c r="P2236" s="2">
        <f t="shared" ca="1" si="2122"/>
        <v>44933098.201062582</v>
      </c>
      <c r="Q2236" s="2">
        <f t="shared" ca="1" si="2123"/>
        <v>1123327.4550265647</v>
      </c>
      <c r="R2236" s="2">
        <f t="shared" ca="1" si="2124"/>
        <v>26959858.920637548</v>
      </c>
      <c r="S2236" s="2">
        <f t="shared" ca="1" si="2125"/>
        <v>17973239.280425034</v>
      </c>
      <c r="T2236" s="2">
        <f t="shared" ca="1" si="2126"/>
        <v>49901328.590325147</v>
      </c>
      <c r="U2236" s="2">
        <f t="shared" ca="1" si="2127"/>
        <v>51875594.229752138</v>
      </c>
      <c r="V2236" s="2">
        <f t="shared" ca="1" si="2128"/>
        <v>53927968.507268138</v>
      </c>
      <c r="W2236" s="2">
        <f t="shared" ca="1" si="2129"/>
        <v>56061541.665251002</v>
      </c>
      <c r="X2236" s="2">
        <f t="shared" ca="1" si="2130"/>
        <v>58279526.206537716</v>
      </c>
      <c r="Y2236" s="2">
        <f t="shared" ca="1" si="2131"/>
        <v>0.12328484337068957</v>
      </c>
      <c r="Z2236" s="2">
        <f t="shared" ca="1" si="2132"/>
        <v>0.12459878071896539</v>
      </c>
      <c r="AA2236" s="2">
        <f t="shared" ca="1" si="2133"/>
        <v>6152077.4792475486</v>
      </c>
      <c r="AB2236" s="2">
        <f t="shared" ca="1" si="2134"/>
        <v>6463635.790098913</v>
      </c>
      <c r="AC2236" s="2">
        <f t="shared" ca="1" si="2135"/>
        <v>6719359.1226563742</v>
      </c>
      <c r="AD2236" s="2">
        <f t="shared" ca="1" si="2136"/>
        <v>6985199.7367157517</v>
      </c>
      <c r="AE2236" s="2">
        <f t="shared" ca="1" si="2137"/>
        <v>7261557.9062135899</v>
      </c>
      <c r="AF2236" s="2">
        <f t="shared" ca="1" si="2138"/>
        <v>998026.57180650299</v>
      </c>
      <c r="AG2236" s="2">
        <f t="shared" ca="1" si="2139"/>
        <v>1037511.8845950428</v>
      </c>
      <c r="AH2236" s="2">
        <f t="shared" ca="1" si="2140"/>
        <v>1078559.3701453628</v>
      </c>
      <c r="AI2236" s="2">
        <f t="shared" ca="1" si="2141"/>
        <v>1121230.8333050201</v>
      </c>
      <c r="AJ2236" s="2">
        <f t="shared" ca="1" si="2142"/>
        <v>1165590.5241307544</v>
      </c>
      <c r="AK2236" s="2">
        <f t="shared" ca="1" si="2143"/>
        <v>0</v>
      </c>
      <c r="AL2236" s="2">
        <f t="shared" ca="1" si="2144"/>
        <v>19742.656394269914</v>
      </c>
      <c r="AM2236" s="2">
        <f t="shared" ca="1" si="2145"/>
        <v>20523.742775160001</v>
      </c>
      <c r="AN2236" s="2">
        <f t="shared" ca="1" si="2146"/>
        <v>21335.731579828636</v>
      </c>
      <c r="AO2236" s="2">
        <f t="shared" ca="1" si="2147"/>
        <v>22179.845412867144</v>
      </c>
      <c r="AP2236" s="2">
        <f t="shared" ca="1" si="2148"/>
        <v>2426387.3028573794</v>
      </c>
      <c r="AQ2236" s="2">
        <f t="shared" ca="1" si="2149"/>
        <v>709192.53719175339</v>
      </c>
      <c r="AR2236" s="2">
        <f t="shared" ca="1" si="2150"/>
        <v>779931.51668808761</v>
      </c>
      <c r="AS2236" s="2">
        <f t="shared" ca="1" si="2151"/>
        <v>835747.23690994433</v>
      </c>
      <c r="AT2236" s="2">
        <f t="shared" ca="1" si="2152"/>
        <v>893771.21614387166</v>
      </c>
      <c r="AU2236" s="2">
        <f t="shared" ca="1" si="2153"/>
        <v>954090.82059861871</v>
      </c>
      <c r="AV2236" s="2">
        <f t="shared" ca="1" si="2154"/>
        <v>2018471.0673919134</v>
      </c>
      <c r="AW2236" s="2">
        <f t="shared" ca="1" si="2155"/>
        <v>2200062.4295641324</v>
      </c>
      <c r="AX2236" s="2">
        <f t="shared" ca="1" si="2156"/>
        <v>2358141.4699685276</v>
      </c>
      <c r="AY2236" s="2">
        <f t="shared" ca="1" si="2157"/>
        <v>2522474.6528296517</v>
      </c>
      <c r="AZ2236" s="2">
        <f t="shared" ca="1" si="2158"/>
        <v>2693309.4132139701</v>
      </c>
      <c r="BA2236" s="2">
        <f t="shared" ca="1" si="2159"/>
        <v>55328326.048552364</v>
      </c>
      <c r="BB2236" s="2">
        <f t="shared" ca="1" si="2160"/>
        <v>1106566.5209710472</v>
      </c>
      <c r="BC2236" s="2">
        <f t="shared" ca="1" si="2161"/>
        <v>27261900.606943768</v>
      </c>
      <c r="BD2236" s="2">
        <f t="shared" ca="1" si="2162"/>
        <v>-19596566.735451598</v>
      </c>
      <c r="BE2236" s="2">
        <f t="shared" ca="1" si="2163"/>
        <v>2018471.0673919134</v>
      </c>
      <c r="BF2236" s="2">
        <f t="shared" ca="1" si="2164"/>
        <v>2200062.4295641324</v>
      </c>
      <c r="BG2236" s="2">
        <f t="shared" ca="1" si="2165"/>
        <v>2358141.4699685276</v>
      </c>
      <c r="BH2236" s="2">
        <f t="shared" ca="1" si="2166"/>
        <v>2522474.6528296517</v>
      </c>
      <c r="BI2236" s="2">
        <f t="shared" ca="1" si="2167"/>
        <v>29955210.02015774</v>
      </c>
      <c r="BJ2236" s="2">
        <f t="shared" ca="1" si="2168"/>
        <v>0.17308206231197065</v>
      </c>
      <c r="BK2236" s="2">
        <f t="shared" ca="1" si="2169"/>
        <v>4238463.271991156</v>
      </c>
    </row>
    <row r="2237" spans="1:63" x14ac:dyDescent="0.3">
      <c r="A2237" s="2">
        <v>2236</v>
      </c>
      <c r="B2237" s="2">
        <f t="shared" ca="1" si="2108"/>
        <v>0.51088076970124929</v>
      </c>
      <c r="C2237" s="2">
        <f t="shared" ca="1" si="2109"/>
        <v>7.0109406182652627</v>
      </c>
      <c r="D2237" s="2">
        <f t="shared" ca="1" si="2110"/>
        <v>0.7937242912221526</v>
      </c>
      <c r="E2237" s="2">
        <f t="shared" ca="1" si="2111"/>
        <v>7.8576983438012205</v>
      </c>
      <c r="F2237" s="2">
        <f t="shared" ca="1" si="2112"/>
        <v>6.7829791428996034E-3</v>
      </c>
      <c r="G2237" s="2">
        <f t="shared" ca="1" si="2113"/>
        <v>-3.4056667417638874E-2</v>
      </c>
      <c r="H2237" s="2">
        <f t="shared" ca="1" si="2114"/>
        <v>-0.02</v>
      </c>
      <c r="I2237" s="2">
        <f t="shared" ca="1" si="2115"/>
        <v>0.39959359862015831</v>
      </c>
      <c r="J2237" s="2">
        <f t="shared" ca="1" si="2116"/>
        <v>8.7280041831327461E-3</v>
      </c>
      <c r="K2237" s="2">
        <f t="shared" ca="1" si="2117"/>
        <v>8.7280041831327461E-3</v>
      </c>
      <c r="L2237" s="2">
        <f t="shared" ca="1" si="2118"/>
        <v>0.68768462096403038</v>
      </c>
      <c r="M2237" s="2">
        <f t="shared" ca="1" si="2119"/>
        <v>9.7859593992236354E-3</v>
      </c>
      <c r="N2237" s="2">
        <f t="shared" ca="1" si="2120"/>
        <v>9.7859593992236354E-3</v>
      </c>
      <c r="O2237" s="2">
        <f t="shared" si="2121"/>
        <v>6000000</v>
      </c>
      <c r="P2237" s="2">
        <f t="shared" ca="1" si="2122"/>
        <v>42065643.709591575</v>
      </c>
      <c r="Q2237" s="2">
        <f t="shared" ca="1" si="2123"/>
        <v>1051641.0927397895</v>
      </c>
      <c r="R2237" s="2">
        <f t="shared" ca="1" si="2124"/>
        <v>25239386.225754943</v>
      </c>
      <c r="S2237" s="2">
        <f t="shared" ca="1" si="2125"/>
        <v>16826257.483836632</v>
      </c>
      <c r="T2237" s="2">
        <f t="shared" ca="1" si="2126"/>
        <v>50489297.969961181</v>
      </c>
      <c r="U2237" s="2">
        <f t="shared" ca="1" si="2127"/>
        <v>49479512.010561958</v>
      </c>
      <c r="V2237" s="2">
        <f t="shared" ca="1" si="2128"/>
        <v>48489921.770350717</v>
      </c>
      <c r="W2237" s="2">
        <f t="shared" ca="1" si="2129"/>
        <v>47520123.334943704</v>
      </c>
      <c r="X2237" s="2">
        <f t="shared" ca="1" si="2130"/>
        <v>46569720.868244827</v>
      </c>
      <c r="Y2237" s="2">
        <f t="shared" ca="1" si="2131"/>
        <v>0.12436400209156637</v>
      </c>
      <c r="Z2237" s="2">
        <f t="shared" ca="1" si="2132"/>
        <v>0.12610960292819293</v>
      </c>
      <c r="AA2237" s="2">
        <f t="shared" ca="1" si="2133"/>
        <v>6279051.1583379703</v>
      </c>
      <c r="AB2237" s="2">
        <f t="shared" ca="1" si="2134"/>
        <v>6239841.6127327215</v>
      </c>
      <c r="AC2237" s="2">
        <f t="shared" ca="1" si="2135"/>
        <v>6115044.7804780668</v>
      </c>
      <c r="AD2237" s="2">
        <f t="shared" ca="1" si="2136"/>
        <v>5992743.8848685054</v>
      </c>
      <c r="AE2237" s="2">
        <f t="shared" ca="1" si="2137"/>
        <v>5872889.0071711354</v>
      </c>
      <c r="AF2237" s="2">
        <f t="shared" ca="1" si="2138"/>
        <v>1009785.9593992237</v>
      </c>
      <c r="AG2237" s="2">
        <f t="shared" ca="1" si="2139"/>
        <v>989590.2402112392</v>
      </c>
      <c r="AH2237" s="2">
        <f t="shared" ca="1" si="2140"/>
        <v>969798.43540701433</v>
      </c>
      <c r="AI2237" s="2">
        <f t="shared" ca="1" si="2141"/>
        <v>950402.46669887414</v>
      </c>
      <c r="AJ2237" s="2">
        <f t="shared" ca="1" si="2142"/>
        <v>931394.41736489651</v>
      </c>
      <c r="AK2237" s="2">
        <f t="shared" ca="1" si="2143"/>
        <v>0</v>
      </c>
      <c r="AL2237" s="2">
        <f t="shared" ca="1" si="2144"/>
        <v>0</v>
      </c>
      <c r="AM2237" s="2">
        <f t="shared" ca="1" si="2145"/>
        <v>0</v>
      </c>
      <c r="AN2237" s="2">
        <f t="shared" ca="1" si="2146"/>
        <v>0</v>
      </c>
      <c r="AO2237" s="2">
        <f t="shared" ca="1" si="2147"/>
        <v>0</v>
      </c>
      <c r="AP2237" s="2">
        <f t="shared" ca="1" si="2148"/>
        <v>2271544.7603179449</v>
      </c>
      <c r="AQ2237" s="2">
        <f t="shared" ca="1" si="2149"/>
        <v>779407.31404140859</v>
      </c>
      <c r="AR2237" s="2">
        <f t="shared" ca="1" si="2150"/>
        <v>774463.71917291975</v>
      </c>
      <c r="AS2237" s="2">
        <f t="shared" ca="1" si="2151"/>
        <v>747162.41203580797</v>
      </c>
      <c r="AT2237" s="2">
        <f t="shared" ca="1" si="2152"/>
        <v>720407.13104143855</v>
      </c>
      <c r="AU2237" s="2">
        <f t="shared" ca="1" si="2153"/>
        <v>694186.95566695649</v>
      </c>
      <c r="AV2237" s="2">
        <f t="shared" ca="1" si="2154"/>
        <v>2218313.1245793933</v>
      </c>
      <c r="AW2237" s="2">
        <f t="shared" ca="1" si="2155"/>
        <v>2204242.8930306174</v>
      </c>
      <c r="AX2237" s="2">
        <f t="shared" ca="1" si="2156"/>
        <v>2126539.1727172993</v>
      </c>
      <c r="AY2237" s="2">
        <f t="shared" ca="1" si="2157"/>
        <v>2050389.5268102484</v>
      </c>
      <c r="AZ2237" s="2">
        <f t="shared" ca="1" si="2158"/>
        <v>1975762.8738213377</v>
      </c>
      <c r="BA2237" s="2">
        <f t="shared" ca="1" si="2159"/>
        <v>46147390.224977024</v>
      </c>
      <c r="BB2237" s="2">
        <f t="shared" ca="1" si="2160"/>
        <v>922947.80449954048</v>
      </c>
      <c r="BC2237" s="2">
        <f t="shared" ca="1" si="2161"/>
        <v>19985056.194722541</v>
      </c>
      <c r="BD2237" s="2">
        <f t="shared" ca="1" si="2162"/>
        <v>-18377898.576576423</v>
      </c>
      <c r="BE2237" s="2">
        <f t="shared" ca="1" si="2163"/>
        <v>2218313.1245793933</v>
      </c>
      <c r="BF2237" s="2">
        <f t="shared" ca="1" si="2164"/>
        <v>2204242.8930306174</v>
      </c>
      <c r="BG2237" s="2">
        <f t="shared" ca="1" si="2165"/>
        <v>2126539.1727172993</v>
      </c>
      <c r="BH2237" s="2">
        <f t="shared" ca="1" si="2166"/>
        <v>2050389.5268102484</v>
      </c>
      <c r="BI2237" s="2">
        <f t="shared" ca="1" si="2167"/>
        <v>21960819.068543877</v>
      </c>
      <c r="BJ2237" s="2">
        <f t="shared" ca="1" si="2168"/>
        <v>0.12942793871218683</v>
      </c>
      <c r="BK2237" s="2">
        <f t="shared" ca="1" si="2169"/>
        <v>637793.78522778302</v>
      </c>
    </row>
    <row r="2238" spans="1:63" x14ac:dyDescent="0.3">
      <c r="A2238" s="2">
        <v>2237</v>
      </c>
      <c r="B2238" s="2">
        <f t="shared" ca="1" si="2108"/>
        <v>0.19157813011372327</v>
      </c>
      <c r="C2238" s="2">
        <f t="shared" ca="1" si="2109"/>
        <v>6.618996171415823</v>
      </c>
      <c r="D2238" s="2">
        <f t="shared" ca="1" si="2110"/>
        <v>0.71513769093657575</v>
      </c>
      <c r="E2238" s="2">
        <f t="shared" ca="1" si="2111"/>
        <v>7.7451989546066802</v>
      </c>
      <c r="F2238" s="2">
        <f t="shared" ca="1" si="2112"/>
        <v>0.9255350934896478</v>
      </c>
      <c r="G2238" s="2">
        <f t="shared" ca="1" si="2113"/>
        <v>8.3299657035456012E-2</v>
      </c>
      <c r="H2238" s="2">
        <f t="shared" ca="1" si="2114"/>
        <v>8.3299657035456012E-2</v>
      </c>
      <c r="I2238" s="2">
        <f t="shared" ca="1" si="2115"/>
        <v>0.52221421673377388</v>
      </c>
      <c r="J2238" s="2">
        <f t="shared" ca="1" si="2116"/>
        <v>1.0278557948912E-2</v>
      </c>
      <c r="K2238" s="2">
        <f t="shared" ca="1" si="2117"/>
        <v>1.0278557948912E-2</v>
      </c>
      <c r="L2238" s="2">
        <f t="shared" ca="1" si="2118"/>
        <v>0.48178535138573997</v>
      </c>
      <c r="M2238" s="2">
        <f t="shared" ca="1" si="2119"/>
        <v>-9.1346455306184947E-4</v>
      </c>
      <c r="N2238" s="2">
        <f t="shared" ca="1" si="2120"/>
        <v>-9.1346455306184947E-4</v>
      </c>
      <c r="O2238" s="2">
        <f t="shared" si="2121"/>
        <v>6000000</v>
      </c>
      <c r="P2238" s="2">
        <f t="shared" ca="1" si="2122"/>
        <v>39713977.028494939</v>
      </c>
      <c r="Q2238" s="2">
        <f t="shared" ca="1" si="2123"/>
        <v>992849.42571237357</v>
      </c>
      <c r="R2238" s="2">
        <f t="shared" ca="1" si="2124"/>
        <v>23828386.217096962</v>
      </c>
      <c r="S2238" s="2">
        <f t="shared" ca="1" si="2125"/>
        <v>15885590.811397977</v>
      </c>
      <c r="T2238" s="2">
        <f t="shared" ca="1" si="2126"/>
        <v>49954326.772346906</v>
      </c>
      <c r="U2238" s="2">
        <f t="shared" ca="1" si="2127"/>
        <v>54115505.059920505</v>
      </c>
      <c r="V2238" s="2">
        <f t="shared" ca="1" si="2128"/>
        <v>58623308.071712367</v>
      </c>
      <c r="W2238" s="2">
        <f t="shared" ca="1" si="2129"/>
        <v>63506609.528369889</v>
      </c>
      <c r="X2238" s="2">
        <f t="shared" ca="1" si="2130"/>
        <v>68796688.321567729</v>
      </c>
      <c r="Y2238" s="2">
        <f t="shared" ca="1" si="2131"/>
        <v>0.12513927897445601</v>
      </c>
      <c r="Z2238" s="2">
        <f t="shared" ca="1" si="2132"/>
        <v>0.12719499056423839</v>
      </c>
      <c r="AA2238" s="2">
        <f t="shared" ca="1" si="2133"/>
        <v>6251248.4339458561</v>
      </c>
      <c r="AB2238" s="2">
        <f t="shared" ca="1" si="2134"/>
        <v>6883221.1554755829</v>
      </c>
      <c r="AC2238" s="2">
        <f t="shared" ca="1" si="2135"/>
        <v>7456591.1170258941</v>
      </c>
      <c r="AD2238" s="2">
        <f t="shared" ca="1" si="2136"/>
        <v>8077722.5997277796</v>
      </c>
      <c r="AE2238" s="2">
        <f t="shared" ca="1" si="2137"/>
        <v>8750594.1219126564</v>
      </c>
      <c r="AF2238" s="2">
        <f t="shared" ca="1" si="2138"/>
        <v>999086.53544693813</v>
      </c>
      <c r="AG2238" s="2">
        <f t="shared" ca="1" si="2139"/>
        <v>1082310.1011984101</v>
      </c>
      <c r="AH2238" s="2">
        <f t="shared" ca="1" si="2140"/>
        <v>1172466.1614342474</v>
      </c>
      <c r="AI2238" s="2">
        <f t="shared" ca="1" si="2141"/>
        <v>1270132.1905673977</v>
      </c>
      <c r="AJ2238" s="2">
        <f t="shared" ca="1" si="2142"/>
        <v>1375933.7664313547</v>
      </c>
      <c r="AK2238" s="2">
        <f t="shared" ca="1" si="2143"/>
        <v>0</v>
      </c>
      <c r="AL2238" s="2">
        <f t="shared" ca="1" si="2144"/>
        <v>41611.782875735982</v>
      </c>
      <c r="AM2238" s="2">
        <f t="shared" ca="1" si="2145"/>
        <v>45078.030117918628</v>
      </c>
      <c r="AN2238" s="2">
        <f t="shared" ca="1" si="2146"/>
        <v>48833.014566575213</v>
      </c>
      <c r="AO2238" s="2">
        <f t="shared" ca="1" si="2147"/>
        <v>52900.787931978404</v>
      </c>
      <c r="AP2238" s="2">
        <f t="shared" ca="1" si="2148"/>
        <v>2144554.7595387264</v>
      </c>
      <c r="AQ2238" s="2">
        <f t="shared" ca="1" si="2149"/>
        <v>807977.85612964979</v>
      </c>
      <c r="AR2238" s="2">
        <f t="shared" ca="1" si="2150"/>
        <v>950652.63663199602</v>
      </c>
      <c r="AS2238" s="2">
        <f t="shared" ca="1" si="2151"/>
        <v>1076288.2509737595</v>
      </c>
      <c r="AT2238" s="2">
        <f t="shared" ca="1" si="2152"/>
        <v>1212389.2689016305</v>
      </c>
      <c r="AU2238" s="2">
        <f t="shared" ca="1" si="2153"/>
        <v>1359827.4549450697</v>
      </c>
      <c r="AV2238" s="2">
        <f t="shared" ca="1" si="2154"/>
        <v>2299629.2828305415</v>
      </c>
      <c r="AW2238" s="2">
        <f t="shared" ca="1" si="2155"/>
        <v>2664091.8752307133</v>
      </c>
      <c r="AX2238" s="2">
        <f t="shared" ca="1" si="2156"/>
        <v>3018203.9149612426</v>
      </c>
      <c r="AY2238" s="2">
        <f t="shared" ca="1" si="2157"/>
        <v>3401813.3661534502</v>
      </c>
      <c r="AZ2238" s="2">
        <f t="shared" ca="1" si="2158"/>
        <v>3817377.3530655266</v>
      </c>
      <c r="BA2238" s="2">
        <f t="shared" ca="1" si="2159"/>
        <v>67775092.445225269</v>
      </c>
      <c r="BB2238" s="2">
        <f t="shared" ca="1" si="2160"/>
        <v>1355501.8489045054</v>
      </c>
      <c r="BC2238" s="2">
        <f t="shared" ca="1" si="2161"/>
        <v>42591204.379223801</v>
      </c>
      <c r="BD2238" s="2">
        <f t="shared" ca="1" si="2162"/>
        <v>-17378440.23711035</v>
      </c>
      <c r="BE2238" s="2">
        <f t="shared" ca="1" si="2163"/>
        <v>2299629.2828305415</v>
      </c>
      <c r="BF2238" s="2">
        <f t="shared" ca="1" si="2164"/>
        <v>2664091.8752307133</v>
      </c>
      <c r="BG2238" s="2">
        <f t="shared" ca="1" si="2165"/>
        <v>3018203.9149612426</v>
      </c>
      <c r="BH2238" s="2">
        <f t="shared" ca="1" si="2166"/>
        <v>3401813.3661534502</v>
      </c>
      <c r="BI2238" s="2">
        <f t="shared" ca="1" si="2167"/>
        <v>46408581.732289329</v>
      </c>
      <c r="BJ2238" s="2">
        <f t="shared" ca="1" si="2168"/>
        <v>0.31826190760511919</v>
      </c>
      <c r="BK2238" s="2">
        <f t="shared" ca="1" si="2169"/>
        <v>17442285.360960472</v>
      </c>
    </row>
    <row r="2239" spans="1:63" x14ac:dyDescent="0.3">
      <c r="A2239" s="2">
        <v>2238</v>
      </c>
      <c r="B2239" s="2">
        <f t="shared" ca="1" si="2108"/>
        <v>0.82961055363678005</v>
      </c>
      <c r="C2239" s="2">
        <f t="shared" ca="1" si="2109"/>
        <v>7.4162372975887889</v>
      </c>
      <c r="D2239" s="2">
        <f t="shared" ca="1" si="2110"/>
        <v>0.85986397888135391</v>
      </c>
      <c r="E2239" s="2">
        <f t="shared" ca="1" si="2111"/>
        <v>7.9705927444421523</v>
      </c>
      <c r="F2239" s="2">
        <f t="shared" ca="1" si="2112"/>
        <v>6.6726255294112913E-2</v>
      </c>
      <c r="G2239" s="2">
        <f t="shared" ca="1" si="2113"/>
        <v>-5.018758210939625E-3</v>
      </c>
      <c r="H2239" s="2">
        <f t="shared" ca="1" si="2114"/>
        <v>-5.018758210939625E-3</v>
      </c>
      <c r="I2239" s="2">
        <f t="shared" ca="1" si="2115"/>
        <v>0.81088847309990719</v>
      </c>
      <c r="J2239" s="2">
        <f t="shared" ca="1" si="2116"/>
        <v>1.4405875503897915E-2</v>
      </c>
      <c r="K2239" s="2">
        <f t="shared" ca="1" si="2117"/>
        <v>1.4405875503897915E-2</v>
      </c>
      <c r="L2239" s="2">
        <f t="shared" ca="1" si="2118"/>
        <v>0.36221019221139439</v>
      </c>
      <c r="M2239" s="2">
        <f t="shared" ca="1" si="2119"/>
        <v>-7.0511451912206478E-3</v>
      </c>
      <c r="N2239" s="2">
        <f t="shared" ca="1" si="2120"/>
        <v>-7.0511451912206478E-3</v>
      </c>
      <c r="O2239" s="2">
        <f t="shared" si="2121"/>
        <v>6000000</v>
      </c>
      <c r="P2239" s="2">
        <f t="shared" ca="1" si="2122"/>
        <v>44497423.785532735</v>
      </c>
      <c r="Q2239" s="2">
        <f t="shared" ca="1" si="2123"/>
        <v>1112435.5946383185</v>
      </c>
      <c r="R2239" s="2">
        <f t="shared" ca="1" si="2124"/>
        <v>26698454.271319639</v>
      </c>
      <c r="S2239" s="2">
        <f t="shared" ca="1" si="2125"/>
        <v>17798969.514213096</v>
      </c>
      <c r="T2239" s="2">
        <f t="shared" ca="1" si="2126"/>
        <v>49647442.740438968</v>
      </c>
      <c r="U2239" s="2">
        <f t="shared" ca="1" si="2127"/>
        <v>49398274.229533233</v>
      </c>
      <c r="V2239" s="2">
        <f t="shared" ca="1" si="2128"/>
        <v>49150356.235137515</v>
      </c>
      <c r="W2239" s="2">
        <f t="shared" ca="1" si="2129"/>
        <v>48903682.481211811</v>
      </c>
      <c r="X2239" s="2">
        <f t="shared" ca="1" si="2130"/>
        <v>48658246.723214045</v>
      </c>
      <c r="Y2239" s="2">
        <f t="shared" ca="1" si="2131"/>
        <v>0.12720293775194896</v>
      </c>
      <c r="Z2239" s="2">
        <f t="shared" ca="1" si="2132"/>
        <v>0.13008411285272853</v>
      </c>
      <c r="AA2239" s="2">
        <f t="shared" ca="1" si="2133"/>
        <v>6315300.5684555089</v>
      </c>
      <c r="AB2239" s="2">
        <f t="shared" ca="1" si="2134"/>
        <v>6425930.6796046328</v>
      </c>
      <c r="AC2239" s="2">
        <f t="shared" ca="1" si="2135"/>
        <v>6393680.4872434381</v>
      </c>
      <c r="AD2239" s="2">
        <f t="shared" ca="1" si="2136"/>
        <v>6361592.1507999599</v>
      </c>
      <c r="AE2239" s="2">
        <f t="shared" ca="1" si="2137"/>
        <v>6329664.8579584844</v>
      </c>
      <c r="AF2239" s="2">
        <f t="shared" ca="1" si="2138"/>
        <v>992948.85480877943</v>
      </c>
      <c r="AG2239" s="2">
        <f t="shared" ca="1" si="2139"/>
        <v>987965.48459066462</v>
      </c>
      <c r="AH2239" s="2">
        <f t="shared" ca="1" si="2140"/>
        <v>983007.12470275036</v>
      </c>
      <c r="AI2239" s="2">
        <f t="shared" ca="1" si="2141"/>
        <v>978073.64962423628</v>
      </c>
      <c r="AJ2239" s="2">
        <f t="shared" ca="1" si="2142"/>
        <v>973164.93446428096</v>
      </c>
      <c r="AK2239" s="2">
        <f t="shared" ca="1" si="2143"/>
        <v>0</v>
      </c>
      <c r="AL2239" s="2">
        <f t="shared" ca="1" si="2144"/>
        <v>0</v>
      </c>
      <c r="AM2239" s="2">
        <f t="shared" ca="1" si="2145"/>
        <v>0</v>
      </c>
      <c r="AN2239" s="2">
        <f t="shared" ca="1" si="2146"/>
        <v>0</v>
      </c>
      <c r="AO2239" s="2">
        <f t="shared" ca="1" si="2147"/>
        <v>0</v>
      </c>
      <c r="AP2239" s="2">
        <f t="shared" ca="1" si="2148"/>
        <v>2402860.8844187674</v>
      </c>
      <c r="AQ2239" s="2">
        <f t="shared" ca="1" si="2149"/>
        <v>759067.61559927021</v>
      </c>
      <c r="AR2239" s="2">
        <f t="shared" ca="1" si="2150"/>
        <v>789127.12075475231</v>
      </c>
      <c r="AS2239" s="2">
        <f t="shared" ca="1" si="2151"/>
        <v>782031.24431169918</v>
      </c>
      <c r="AT2239" s="2">
        <f t="shared" ca="1" si="2152"/>
        <v>774970.98035680875</v>
      </c>
      <c r="AU2239" s="2">
        <f t="shared" ca="1" si="2153"/>
        <v>767946.15015961323</v>
      </c>
      <c r="AV2239" s="2">
        <f t="shared" ca="1" si="2154"/>
        <v>2160423.2136286921</v>
      </c>
      <c r="AW2239" s="2">
        <f t="shared" ca="1" si="2155"/>
        <v>2245977.1898404486</v>
      </c>
      <c r="AX2239" s="2">
        <f t="shared" ca="1" si="2156"/>
        <v>2225781.2338102213</v>
      </c>
      <c r="AY2239" s="2">
        <f t="shared" ca="1" si="2157"/>
        <v>2205686.6364001478</v>
      </c>
      <c r="AZ2239" s="2">
        <f t="shared" ca="1" si="2158"/>
        <v>2185692.8889158224</v>
      </c>
      <c r="BA2239" s="2">
        <f t="shared" ca="1" si="2159"/>
        <v>50451180.791594364</v>
      </c>
      <c r="BB2239" s="2">
        <f t="shared" ca="1" si="2160"/>
        <v>1009023.6158318873</v>
      </c>
      <c r="BC2239" s="2">
        <f t="shared" ca="1" si="2161"/>
        <v>22743702.904442839</v>
      </c>
      <c r="BD2239" s="2">
        <f t="shared" ca="1" si="2162"/>
        <v>-19411405.108851414</v>
      </c>
      <c r="BE2239" s="2">
        <f t="shared" ca="1" si="2163"/>
        <v>2160423.2136286921</v>
      </c>
      <c r="BF2239" s="2">
        <f t="shared" ca="1" si="2164"/>
        <v>2245977.1898404486</v>
      </c>
      <c r="BG2239" s="2">
        <f t="shared" ca="1" si="2165"/>
        <v>2225781.2338102213</v>
      </c>
      <c r="BH2239" s="2">
        <f t="shared" ca="1" si="2166"/>
        <v>2205686.6364001478</v>
      </c>
      <c r="BI2239" s="2">
        <f t="shared" ca="1" si="2167"/>
        <v>24929395.793358661</v>
      </c>
      <c r="BJ2239" s="2">
        <f t="shared" ca="1" si="2168"/>
        <v>0.13953976441034377</v>
      </c>
      <c r="BK2239" s="2">
        <f t="shared" ca="1" si="2169"/>
        <v>1439652.9747894928</v>
      </c>
    </row>
    <row r="2240" spans="1:63" x14ac:dyDescent="0.3">
      <c r="A2240" s="2">
        <v>2239</v>
      </c>
      <c r="B2240" s="2">
        <f t="shared" ca="1" si="2108"/>
        <v>0.50160453260833948</v>
      </c>
      <c r="C2240" s="2">
        <f t="shared" ca="1" si="2109"/>
        <v>7.0016058219403918</v>
      </c>
      <c r="D2240" s="2">
        <f t="shared" ca="1" si="2110"/>
        <v>0.61201947204867602</v>
      </c>
      <c r="E2240" s="2">
        <f t="shared" ca="1" si="2111"/>
        <v>7.6191134829601213</v>
      </c>
      <c r="F2240" s="2">
        <f t="shared" ca="1" si="2112"/>
        <v>0.27225851722186878</v>
      </c>
      <c r="G2240" s="2">
        <f t="shared" ca="1" si="2113"/>
        <v>2.1820103060891594E-2</v>
      </c>
      <c r="H2240" s="2">
        <f t="shared" ca="1" si="2114"/>
        <v>2.1820103060891594E-2</v>
      </c>
      <c r="I2240" s="2">
        <f t="shared" ca="1" si="2115"/>
        <v>0.18705940118141029</v>
      </c>
      <c r="J2240" s="2">
        <f t="shared" ca="1" si="2116"/>
        <v>5.556076520822165E-3</v>
      </c>
      <c r="K2240" s="2">
        <f t="shared" ca="1" si="2117"/>
        <v>5.556076520822165E-3</v>
      </c>
      <c r="L2240" s="2">
        <f t="shared" ca="1" si="2118"/>
        <v>0.83569424834684802</v>
      </c>
      <c r="M2240" s="2">
        <f t="shared" ca="1" si="2119"/>
        <v>1.953828916482676E-2</v>
      </c>
      <c r="N2240" s="2">
        <f t="shared" ca="1" si="2120"/>
        <v>1.953828916482676E-2</v>
      </c>
      <c r="O2240" s="2">
        <f t="shared" si="2121"/>
        <v>6000000</v>
      </c>
      <c r="P2240" s="2">
        <f t="shared" ca="1" si="2122"/>
        <v>42009634.931642354</v>
      </c>
      <c r="Q2240" s="2">
        <f t="shared" ca="1" si="2123"/>
        <v>1050240.8732910589</v>
      </c>
      <c r="R2240" s="2">
        <f t="shared" ca="1" si="2124"/>
        <v>25205780.958985411</v>
      </c>
      <c r="S2240" s="2">
        <f t="shared" ca="1" si="2125"/>
        <v>16803853.972656943</v>
      </c>
      <c r="T2240" s="2">
        <f t="shared" ca="1" si="2126"/>
        <v>50976914.458241343</v>
      </c>
      <c r="U2240" s="2">
        <f t="shared" ca="1" si="2127"/>
        <v>52089235.985446423</v>
      </c>
      <c r="V2240" s="2">
        <f t="shared" ca="1" si="2128"/>
        <v>53225828.483011968</v>
      </c>
      <c r="W2240" s="2">
        <f t="shared" ca="1" si="2129"/>
        <v>54387221.546012625</v>
      </c>
      <c r="X2240" s="2">
        <f t="shared" ca="1" si="2130"/>
        <v>55573956.325342163</v>
      </c>
      <c r="Y2240" s="2">
        <f t="shared" ca="1" si="2131"/>
        <v>0.12277803826041107</v>
      </c>
      <c r="Z2240" s="2">
        <f t="shared" ca="1" si="2132"/>
        <v>0.12388925356457552</v>
      </c>
      <c r="AA2240" s="2">
        <f t="shared" ca="1" si="2133"/>
        <v>6258845.5537516577</v>
      </c>
      <c r="AB2240" s="2">
        <f t="shared" ca="1" si="2134"/>
        <v>6453296.564985984</v>
      </c>
      <c r="AC2240" s="2">
        <f t="shared" ca="1" si="2135"/>
        <v>6594108.1611164752</v>
      </c>
      <c r="AD2240" s="2">
        <f t="shared" ca="1" si="2136"/>
        <v>6737992.2807867033</v>
      </c>
      <c r="AE2240" s="2">
        <f t="shared" ca="1" si="2137"/>
        <v>6885015.9667769605</v>
      </c>
      <c r="AF2240" s="2">
        <f t="shared" ca="1" si="2138"/>
        <v>1019538.2891648269</v>
      </c>
      <c r="AG2240" s="2">
        <f t="shared" ca="1" si="2139"/>
        <v>1041784.7197089285</v>
      </c>
      <c r="AH2240" s="2">
        <f t="shared" ca="1" si="2140"/>
        <v>1064516.5696602394</v>
      </c>
      <c r="AI2240" s="2">
        <f t="shared" ca="1" si="2141"/>
        <v>1087744.4309202526</v>
      </c>
      <c r="AJ2240" s="2">
        <f t="shared" ca="1" si="2142"/>
        <v>1111479.1265068434</v>
      </c>
      <c r="AK2240" s="2">
        <f t="shared" ca="1" si="2143"/>
        <v>0</v>
      </c>
      <c r="AL2240" s="2">
        <f t="shared" ca="1" si="2144"/>
        <v>11123.215272050798</v>
      </c>
      <c r="AM2240" s="2">
        <f t="shared" ca="1" si="2145"/>
        <v>11365.924975655451</v>
      </c>
      <c r="AN2240" s="2">
        <f t="shared" ca="1" si="2146"/>
        <v>11613.930630006567</v>
      </c>
      <c r="AO2240" s="2">
        <f t="shared" ca="1" si="2147"/>
        <v>11867.347793295383</v>
      </c>
      <c r="AP2240" s="2">
        <f t="shared" ca="1" si="2148"/>
        <v>2268520.2863086867</v>
      </c>
      <c r="AQ2240" s="2">
        <f t="shared" ca="1" si="2149"/>
        <v>772404.61435231741</v>
      </c>
      <c r="AR2240" s="2">
        <f t="shared" ca="1" si="2150"/>
        <v>817177.8053317758</v>
      </c>
      <c r="AS2240" s="2">
        <f t="shared" ca="1" si="2151"/>
        <v>847878.53933836287</v>
      </c>
      <c r="AT2240" s="2">
        <f t="shared" ca="1" si="2152"/>
        <v>879249.16652501863</v>
      </c>
      <c r="AU2240" s="2">
        <f t="shared" ca="1" si="2153"/>
        <v>911304.30402997194</v>
      </c>
      <c r="AV2240" s="2">
        <f t="shared" ca="1" si="2154"/>
        <v>2198382.3639258263</v>
      </c>
      <c r="AW2240" s="2">
        <f t="shared" ca="1" si="2155"/>
        <v>2314690.5383645422</v>
      </c>
      <c r="AX2240" s="2">
        <f t="shared" ca="1" si="2156"/>
        <v>2401826.8408335322</v>
      </c>
      <c r="AY2240" s="2">
        <f t="shared" ca="1" si="2157"/>
        <v>2490864.4664027388</v>
      </c>
      <c r="AZ2240" s="2">
        <f t="shared" ca="1" si="2158"/>
        <v>2581844.9021381629</v>
      </c>
      <c r="BA2240" s="2">
        <f t="shared" ca="1" si="2159"/>
        <v>52457717.982866056</v>
      </c>
      <c r="BB2240" s="2">
        <f t="shared" ca="1" si="2160"/>
        <v>1049154.3596573211</v>
      </c>
      <c r="BC2240" s="2">
        <f t="shared" ca="1" si="2161"/>
        <v>26202782.664223325</v>
      </c>
      <c r="BD2240" s="2">
        <f t="shared" ca="1" si="2162"/>
        <v>-18354094.845948003</v>
      </c>
      <c r="BE2240" s="2">
        <f t="shared" ca="1" si="2163"/>
        <v>2198382.3639258263</v>
      </c>
      <c r="BF2240" s="2">
        <f t="shared" ca="1" si="2164"/>
        <v>2314690.5383645422</v>
      </c>
      <c r="BG2240" s="2">
        <f t="shared" ca="1" si="2165"/>
        <v>2401826.8408335322</v>
      </c>
      <c r="BH2240" s="2">
        <f t="shared" ca="1" si="2166"/>
        <v>2490864.4664027388</v>
      </c>
      <c r="BI2240" s="2">
        <f t="shared" ca="1" si="2167"/>
        <v>28784627.566361487</v>
      </c>
      <c r="BJ2240" s="2">
        <f t="shared" ca="1" si="2168"/>
        <v>0.18773977899640903</v>
      </c>
      <c r="BK2240" s="2">
        <f t="shared" ca="1" si="2169"/>
        <v>5079736.6922637746</v>
      </c>
    </row>
    <row r="2241" spans="1:63" x14ac:dyDescent="0.3">
      <c r="A2241" s="2">
        <v>2240</v>
      </c>
      <c r="B2241" s="2">
        <f t="shared" ca="1" si="2108"/>
        <v>0.74072802479762656</v>
      </c>
      <c r="C2241" s="2">
        <f t="shared" ca="1" si="2109"/>
        <v>7.2799000413798467</v>
      </c>
      <c r="D2241" s="2">
        <f t="shared" ca="1" si="2110"/>
        <v>0.92890773512993496</v>
      </c>
      <c r="E2241" s="2">
        <f t="shared" ca="1" si="2111"/>
        <v>8.1229263603218467</v>
      </c>
      <c r="F2241" s="2">
        <f t="shared" ca="1" si="2112"/>
        <v>0.49958750108828331</v>
      </c>
      <c r="G2241" s="2">
        <f t="shared" ca="1" si="2113"/>
        <v>3.9968980551411855E-2</v>
      </c>
      <c r="H2241" s="2">
        <f t="shared" ca="1" si="2114"/>
        <v>3.9968980551411855E-2</v>
      </c>
      <c r="I2241" s="2">
        <f t="shared" ca="1" si="2115"/>
        <v>0.81955491062216934</v>
      </c>
      <c r="J2241" s="2">
        <f t="shared" ca="1" si="2116"/>
        <v>1.4568350889271813E-2</v>
      </c>
      <c r="K2241" s="2">
        <f t="shared" ca="1" si="2117"/>
        <v>1.4568350889271813E-2</v>
      </c>
      <c r="L2241" s="2">
        <f t="shared" ca="1" si="2118"/>
        <v>0.66696374355886845</v>
      </c>
      <c r="M2241" s="2">
        <f t="shared" ca="1" si="2119"/>
        <v>8.6308897370517366E-3</v>
      </c>
      <c r="N2241" s="2">
        <f t="shared" ca="1" si="2120"/>
        <v>8.6308897370517366E-3</v>
      </c>
      <c r="O2241" s="2">
        <f t="shared" si="2121"/>
        <v>6000000</v>
      </c>
      <c r="P2241" s="2">
        <f t="shared" ca="1" si="2122"/>
        <v>43679400.24827908</v>
      </c>
      <c r="Q2241" s="2">
        <f t="shared" ca="1" si="2123"/>
        <v>1091985.0062069769</v>
      </c>
      <c r="R2241" s="2">
        <f t="shared" ca="1" si="2124"/>
        <v>26207640.148967449</v>
      </c>
      <c r="S2241" s="2">
        <f t="shared" ca="1" si="2125"/>
        <v>17471760.099311631</v>
      </c>
      <c r="T2241" s="2">
        <f t="shared" ca="1" si="2126"/>
        <v>50431544.486852586</v>
      </c>
      <c r="U2241" s="2">
        <f t="shared" ca="1" si="2127"/>
        <v>52447241.907625258</v>
      </c>
      <c r="V2241" s="2">
        <f t="shared" ca="1" si="2128"/>
        <v>54543504.699406326</v>
      </c>
      <c r="W2241" s="2">
        <f t="shared" ca="1" si="2129"/>
        <v>56723552.977942735</v>
      </c>
      <c r="X2241" s="2">
        <f t="shared" ca="1" si="2130"/>
        <v>58990735.563725106</v>
      </c>
      <c r="Y2241" s="2">
        <f t="shared" ca="1" si="2131"/>
        <v>0.12728417544463591</v>
      </c>
      <c r="Z2241" s="2">
        <f t="shared" ca="1" si="2132"/>
        <v>0.13019784562249026</v>
      </c>
      <c r="AA2241" s="2">
        <f t="shared" ca="1" si="2133"/>
        <v>6419137.5564085059</v>
      </c>
      <c r="AB2241" s="2">
        <f t="shared" ca="1" si="2134"/>
        <v>6828517.9052143954</v>
      </c>
      <c r="AC2241" s="2">
        <f t="shared" ca="1" si="2135"/>
        <v>7101446.8045628769</v>
      </c>
      <c r="AD2241" s="2">
        <f t="shared" ca="1" si="2136"/>
        <v>7385284.393781336</v>
      </c>
      <c r="AE2241" s="2">
        <f t="shared" ca="1" si="2137"/>
        <v>7680466.6820830274</v>
      </c>
      <c r="AF2241" s="2">
        <f t="shared" ca="1" si="2138"/>
        <v>1008630.8897370518</v>
      </c>
      <c r="AG2241" s="2">
        <f t="shared" ca="1" si="2139"/>
        <v>1048944.8381525052</v>
      </c>
      <c r="AH2241" s="2">
        <f t="shared" ca="1" si="2140"/>
        <v>1090870.0939881266</v>
      </c>
      <c r="AI2241" s="2">
        <f t="shared" ca="1" si="2141"/>
        <v>1134471.0595588547</v>
      </c>
      <c r="AJ2241" s="2">
        <f t="shared" ca="1" si="2142"/>
        <v>1179814.7112745021</v>
      </c>
      <c r="AK2241" s="2">
        <f t="shared" ca="1" si="2143"/>
        <v>0</v>
      </c>
      <c r="AL2241" s="2">
        <f t="shared" ca="1" si="2144"/>
        <v>20156.974207726718</v>
      </c>
      <c r="AM2241" s="2">
        <f t="shared" ca="1" si="2145"/>
        <v>20962.627917810678</v>
      </c>
      <c r="AN2241" s="2">
        <f t="shared" ca="1" si="2146"/>
        <v>21800.482785364093</v>
      </c>
      <c r="AO2241" s="2">
        <f t="shared" ca="1" si="2147"/>
        <v>22671.825857823715</v>
      </c>
      <c r="AP2241" s="2">
        <f t="shared" ca="1" si="2148"/>
        <v>2358687.6134070703</v>
      </c>
      <c r="AQ2241" s="2">
        <f t="shared" ca="1" si="2149"/>
        <v>793472.95384873974</v>
      </c>
      <c r="AR2241" s="2">
        <f t="shared" ca="1" si="2150"/>
        <v>889430.21795025317</v>
      </c>
      <c r="AS2241" s="2">
        <f t="shared" ca="1" si="2151"/>
        <v>949491.16526359669</v>
      </c>
      <c r="AT2241" s="2">
        <f t="shared" ca="1" si="2152"/>
        <v>1011952.687412007</v>
      </c>
      <c r="AU2241" s="2">
        <f t="shared" ca="1" si="2153"/>
        <v>1076910.7329243785</v>
      </c>
      <c r="AV2241" s="2">
        <f t="shared" ca="1" si="2154"/>
        <v>2258346.0994156436</v>
      </c>
      <c r="AW2241" s="2">
        <f t="shared" ca="1" si="2155"/>
        <v>2511298.2614968405</v>
      </c>
      <c r="AX2241" s="2">
        <f t="shared" ca="1" si="2156"/>
        <v>2681435.3039862723</v>
      </c>
      <c r="AY2241" s="2">
        <f t="shared" ca="1" si="2157"/>
        <v>2858372.5506180408</v>
      </c>
      <c r="AZ2241" s="2">
        <f t="shared" ca="1" si="2158"/>
        <v>3042381.7986192531</v>
      </c>
      <c r="BA2241" s="2">
        <f t="shared" ca="1" si="2159"/>
        <v>62387865.271465898</v>
      </c>
      <c r="BB2241" s="2">
        <f t="shared" ca="1" si="2160"/>
        <v>1247757.305429318</v>
      </c>
      <c r="BC2241" s="2">
        <f t="shared" ca="1" si="2161"/>
        <v>34932467.817069136</v>
      </c>
      <c r="BD2241" s="2">
        <f t="shared" ca="1" si="2162"/>
        <v>-19063745.105518609</v>
      </c>
      <c r="BE2241" s="2">
        <f t="shared" ca="1" si="2163"/>
        <v>2258346.0994156436</v>
      </c>
      <c r="BF2241" s="2">
        <f t="shared" ca="1" si="2164"/>
        <v>2511298.2614968405</v>
      </c>
      <c r="BG2241" s="2">
        <f t="shared" ca="1" si="2165"/>
        <v>2681435.3039862723</v>
      </c>
      <c r="BH2241" s="2">
        <f t="shared" ca="1" si="2166"/>
        <v>2858372.5506180408</v>
      </c>
      <c r="BI2241" s="2">
        <f t="shared" ca="1" si="2167"/>
        <v>37974849.615688391</v>
      </c>
      <c r="BJ2241" s="2">
        <f t="shared" ca="1" si="2168"/>
        <v>0.23936716481386533</v>
      </c>
      <c r="BK2241" s="2">
        <f t="shared" ca="1" si="2169"/>
        <v>10227716.568875603</v>
      </c>
    </row>
    <row r="2242" spans="1:63" x14ac:dyDescent="0.3">
      <c r="A2242" s="2">
        <v>2241</v>
      </c>
      <c r="B2242" s="2">
        <f t="shared" ref="B2242:B2305" ca="1" si="2170">RAND()</f>
        <v>0.70612801196703878</v>
      </c>
      <c r="C2242" s="2">
        <f t="shared" ref="C2242:C2305" ca="1" si="2171">IF(B2242&lt;((P_Mode)-(P_Low))/((P_High)-(P_Low)), (P_Low)+SQRT(B2242*((P_High)-(P_Low))*((P_Mode)-(P_Low))), (P_High)-SQRT((1-B2242)*((P_High)-(P_Low))*((P_High)-(P_Mode))))</f>
        <v>7.2333553782449638</v>
      </c>
      <c r="D2242" s="2">
        <f t="shared" ref="D2242:D2305" ca="1" si="2172">RAND()</f>
        <v>0.17162083511586212</v>
      </c>
      <c r="E2242" s="2">
        <f t="shared" ref="E2242:E2305" ca="1" si="2173">IF(D2242&lt;((X_Mode)-(X_Low))/((X_High)-(X_Low)), (X_Low)+SQRT(D2242*((X_High)-(X_Low))*((X_Mode)-(X_Low))), (X_High)-SQRT((1-D2242)*((X_High)-(X_Low))*((X_High)-(X_Mode))))</f>
        <v>7.0858683045119646</v>
      </c>
      <c r="F2242" s="2">
        <f t="shared" ref="F2242:F2305" ca="1" si="2174">RAND()</f>
        <v>0.33819294765037367</v>
      </c>
      <c r="G2242" s="2">
        <f t="shared" ref="G2242:G2305" ca="1" si="2175">NORMINV(F2242, g_Mean, g_SD)</f>
        <v>2.7478001657970014E-2</v>
      </c>
      <c r="H2242" s="2">
        <f t="shared" ref="H2242:H2305" ca="1" si="2176">MIN(MAX(G2242, g_Min), g_Max)</f>
        <v>2.7478001657970014E-2</v>
      </c>
      <c r="I2242" s="2">
        <f t="shared" ref="I2242:I2305" ca="1" si="2177">RAND()</f>
        <v>0.58524860120598976</v>
      </c>
      <c r="J2242" s="2">
        <f t="shared" ref="J2242:J2305" ca="1" si="2178">NORMINV(I2242, syn_Mean, syn_SD)</f>
        <v>1.1076696459639938E-2</v>
      </c>
      <c r="K2242" s="2">
        <f t="shared" ref="K2242:K2305" ca="1" si="2179">MIN(MAX(J2242, syn_Min), syn_Max)</f>
        <v>1.1076696459639938E-2</v>
      </c>
      <c r="L2242" s="2">
        <f t="shared" ref="L2242:L2305" ca="1" si="2180">RAND()</f>
        <v>0.4506822535969266</v>
      </c>
      <c r="M2242" s="2">
        <f t="shared" ref="M2242:M2305" ca="1" si="2181">NORMINV(L2242, shk_Mean, shk_SD)</f>
        <v>-2.4787564142263363E-3</v>
      </c>
      <c r="N2242" s="2">
        <f t="shared" ref="N2242:N2305" ca="1" si="2182">MIN(MAX(M2242, shk_Min), shk_Max)</f>
        <v>-2.4787564142263363E-3</v>
      </c>
      <c r="O2242" s="2">
        <f t="shared" ref="O2242:O2305" si="2183">BaseRev*BaseMargin</f>
        <v>6000000</v>
      </c>
      <c r="P2242" s="2">
        <f t="shared" ref="P2242:P2305" ca="1" si="2184">O2242*C2242</f>
        <v>43400132.269469783</v>
      </c>
      <c r="Q2242" s="2">
        <f t="shared" ref="Q2242:Q2305" ca="1" si="2185">P2242*TxnCostPct</f>
        <v>1085003.3067367447</v>
      </c>
      <c r="R2242" s="2">
        <f t="shared" ref="R2242:R2305" ca="1" si="2186">P2242*DebtPct</f>
        <v>26040079.361681867</v>
      </c>
      <c r="S2242" s="2">
        <f t="shared" ref="S2242:S2305" ca="1" si="2187">P2242*EqPct</f>
        <v>17360052.907787915</v>
      </c>
      <c r="T2242" s="2">
        <f t="shared" ref="T2242:T2305" ca="1" si="2188">BaseRev*(1+N2242)</f>
        <v>49876062.179288685</v>
      </c>
      <c r="U2242" s="2">
        <f t="shared" ref="U2242:U2305" ca="1" si="2189">T2242*(1+H2242)</f>
        <v>51246556.698544197</v>
      </c>
      <c r="V2242" s="2">
        <f t="shared" ref="V2242:V2305" ca="1" si="2190">U2242*(1+H2242)</f>
        <v>52654709.668472052</v>
      </c>
      <c r="W2242" s="2">
        <f t="shared" ref="W2242:W2305" ca="1" si="2191">V2242*(1+H2242)</f>
        <v>54101555.86804226</v>
      </c>
      <c r="X2242" s="2">
        <f t="shared" ref="X2242:X2305" ca="1" si="2192">W2242*(1+H2242)</f>
        <v>55588158.509883091</v>
      </c>
      <c r="Y2242" s="2">
        <f t="shared" ref="Y2242:Y2305" ca="1" si="2193">BaseMargin + SynReal_Y1*K2242</f>
        <v>0.12553834822981996</v>
      </c>
      <c r="Z2242" s="2">
        <f t="shared" ref="Z2242:Z2305" ca="1" si="2194">BaseMargin + SynReal_Y2toY5*K2242</f>
        <v>0.12775368752174796</v>
      </c>
      <c r="AA2242" s="2">
        <f t="shared" ref="AA2242:AA2305" ca="1" si="2195">T2242*Y2242</f>
        <v>6261358.4621956963</v>
      </c>
      <c r="AB2242" s="2">
        <f t="shared" ref="AB2242:AB2305" ca="1" si="2196">U2242*Z2242</f>
        <v>6546936.5910313549</v>
      </c>
      <c r="AC2242" s="2">
        <f t="shared" ref="AC2242:AC2305" ca="1" si="2197">V2242*Z2242</f>
        <v>6726833.3255343391</v>
      </c>
      <c r="AD2242" s="2">
        <f t="shared" ref="AD2242:AD2305" ca="1" si="2198">W2242*Z2242</f>
        <v>6911673.26280626</v>
      </c>
      <c r="AE2242" s="2">
        <f t="shared" ref="AE2242:AE2305" ca="1" si="2199">X2242*Z2242</f>
        <v>7101592.2321809987</v>
      </c>
      <c r="AF2242" s="2">
        <f t="shared" ref="AF2242:AF2305" ca="1" si="2200">T2242*CapexPct</f>
        <v>997521.24358577374</v>
      </c>
      <c r="AG2242" s="2">
        <f t="shared" ref="AG2242:AG2305" ca="1" si="2201">U2242*CapexPct</f>
        <v>1024931.1339708839</v>
      </c>
      <c r="AH2242" s="2">
        <f t="shared" ref="AH2242:AH2305" ca="1" si="2202">V2242*CapexPct</f>
        <v>1053094.193369441</v>
      </c>
      <c r="AI2242" s="2">
        <f t="shared" ref="AI2242:AI2305" ca="1" si="2203">W2242*CapexPct</f>
        <v>1082031.1173608452</v>
      </c>
      <c r="AJ2242" s="2">
        <f t="shared" ref="AJ2242:AJ2305" ca="1" si="2204">X2242*CapexPct</f>
        <v>1111763.1701976617</v>
      </c>
      <c r="AK2242" s="2">
        <f t="shared" ref="AK2242:AK2305" ca="1" si="2205">MAX(T2242-BaseRev*(1+N2242),0)*WCPct</f>
        <v>0</v>
      </c>
      <c r="AL2242" s="2">
        <f t="shared" ref="AL2242:AL2305" ca="1" si="2206">MAX(U2242-T2242,0)*WCPct</f>
        <v>13704.945192555115</v>
      </c>
      <c r="AM2242" s="2">
        <f t="shared" ref="AM2242:AM2305" ca="1" si="2207">MAX(V2242-U2242,0)*WCPct</f>
        <v>14081.529699278548</v>
      </c>
      <c r="AN2242" s="2">
        <f t="shared" ref="AN2242:AN2305" ca="1" si="2208">MAX(W2242-V2242,0)*WCPct</f>
        <v>14468.461995702088</v>
      </c>
      <c r="AO2242" s="2">
        <f t="shared" ref="AO2242:AO2305" ca="1" si="2209">MAX(X2242-W2242,0)*WCPct</f>
        <v>14866.026418408304</v>
      </c>
      <c r="AP2242" s="2">
        <f t="shared" ref="AP2242:AP2305" ca="1" si="2210">R2242*DebtRate</f>
        <v>2343607.1425513681</v>
      </c>
      <c r="AQ2242" s="2">
        <f t="shared" ref="AQ2242:AQ2305" ca="1" si="2211">MAX(AA2242-AF2242-AP2242,0)*Tax</f>
        <v>759259.8197752242</v>
      </c>
      <c r="AR2242" s="2">
        <f t="shared" ref="AR2242:AR2305" ca="1" si="2212">MAX(AB2242-AG2242-AP2242,0)*Tax</f>
        <v>826383.56177236687</v>
      </c>
      <c r="AS2242" s="2">
        <f t="shared" ref="AS2242:AS2305" ca="1" si="2213">MAX(AC2242-AH2242-AP2242,0)*Tax</f>
        <v>865834.31729951792</v>
      </c>
      <c r="AT2242" s="2">
        <f t="shared" ref="AT2242:AT2305" ca="1" si="2214">MAX(AD2242-AI2242-AP2242,0)*Tax</f>
        <v>906369.10075245216</v>
      </c>
      <c r="AU2242" s="2">
        <f t="shared" ref="AU2242:AU2305" ca="1" si="2215">MAX(AE2242-AJ2242-AP2242,0)*Tax</f>
        <v>948017.69905231183</v>
      </c>
      <c r="AV2242" s="2">
        <f t="shared" ref="AV2242:AV2305" ca="1" si="2216">AA2242-AF2242-AK2242-AQ2242-AP2242</f>
        <v>2160970.2562833298</v>
      </c>
      <c r="AW2242" s="2">
        <f t="shared" ref="AW2242:AW2305" ca="1" si="2217">AB2242-AG2242-AL2242-AR2242-AP2242</f>
        <v>2338309.8075441811</v>
      </c>
      <c r="AX2242" s="2">
        <f t="shared" ref="AX2242:AX2305" ca="1" si="2218">AC2242-AH2242-AM2242-AS2242-AP2242</f>
        <v>2450216.1426147334</v>
      </c>
      <c r="AY2242" s="2">
        <f t="shared" ref="AY2242:AY2305" ca="1" si="2219">AD2242-AI2242-AN2242-AT2242-AP2242</f>
        <v>2565197.4401458921</v>
      </c>
      <c r="AZ2242" s="2">
        <f t="shared" ref="AZ2242:AZ2305" ca="1" si="2220">AE2242-AJ2242-AO2242-AU2242-AP2242</f>
        <v>2683338.1939612487</v>
      </c>
      <c r="BA2242" s="2">
        <f t="shared" ref="BA2242:BA2305" ca="1" si="2221">AE2242*E2242</f>
        <v>50320947.309579708</v>
      </c>
      <c r="BB2242" s="2">
        <f t="shared" ref="BB2242:BB2305" ca="1" si="2222">BA2242*SellCostPct</f>
        <v>1006418.9461915941</v>
      </c>
      <c r="BC2242" s="2">
        <f t="shared" ref="BC2242:BC2305" ca="1" si="2223">BA2242-R2242-BB2242</f>
        <v>23274449.001706246</v>
      </c>
      <c r="BD2242" s="2">
        <f t="shared" ref="BD2242:BD2305" ca="1" si="2224">-S2242-Q2242-IntegrationPct*BaseRev</f>
        <v>-18945056.21452466</v>
      </c>
      <c r="BE2242" s="2">
        <f t="shared" ref="BE2242:BE2305" ca="1" si="2225">AV2242</f>
        <v>2160970.2562833298</v>
      </c>
      <c r="BF2242" s="2">
        <f t="shared" ref="BF2242:BF2305" ca="1" si="2226">AW2242</f>
        <v>2338309.8075441811</v>
      </c>
      <c r="BG2242" s="2">
        <f t="shared" ref="BG2242:BG2305" ca="1" si="2227">AX2242</f>
        <v>2450216.1426147334</v>
      </c>
      <c r="BH2242" s="2">
        <f t="shared" ref="BH2242:BH2305" ca="1" si="2228">AY2242</f>
        <v>2565197.4401458921</v>
      </c>
      <c r="BI2242" s="2">
        <f t="shared" ref="BI2242:BI2305" ca="1" si="2229">AZ2242+BC2242</f>
        <v>25957787.195667494</v>
      </c>
      <c r="BJ2242" s="2">
        <f t="shared" ref="BJ2242:BJ2305" ca="1" si="2230">IF(MIN(BD2242:BI2242)*MAX(BD2242:BI2242)&gt;=0, "", IFERROR(IRR(BD2242:BI2242,0.12), IFERROR(IRR(BD2242:BI2242,0.5), IFERROR(IRR(BD2242:BI2242,-0.5),""))))</f>
        <v>0.16001377069628253</v>
      </c>
      <c r="BK2242" s="2">
        <f t="shared" ref="BK2242:BK2305" ca="1" si="2231">NPV(12%,BE2242:BI2242)+BD2242</f>
        <v>2951858.1476188302</v>
      </c>
    </row>
    <row r="2243" spans="1:63" x14ac:dyDescent="0.3">
      <c r="A2243" s="2">
        <v>2242</v>
      </c>
      <c r="B2243" s="2">
        <f t="shared" ca="1" si="2170"/>
        <v>0.80784609360587156</v>
      </c>
      <c r="C2243" s="2">
        <f t="shared" ca="1" si="2171"/>
        <v>7.380074348983479</v>
      </c>
      <c r="D2243" s="2">
        <f t="shared" ca="1" si="2172"/>
        <v>0.84394712985313258</v>
      </c>
      <c r="E2243" s="2">
        <f t="shared" ca="1" si="2173"/>
        <v>7.9413357535211917</v>
      </c>
      <c r="F2243" s="2">
        <f t="shared" ca="1" si="2174"/>
        <v>6.1280684447631573E-2</v>
      </c>
      <c r="G2243" s="2">
        <f t="shared" ca="1" si="2175"/>
        <v>-6.3233393623169445E-3</v>
      </c>
      <c r="H2243" s="2">
        <f t="shared" ca="1" si="2176"/>
        <v>-6.3233393623169445E-3</v>
      </c>
      <c r="I2243" s="2">
        <f t="shared" ca="1" si="2177"/>
        <v>0.90226310191170866</v>
      </c>
      <c r="J2243" s="2">
        <f t="shared" ca="1" si="2178"/>
        <v>1.6472774830022144E-2</v>
      </c>
      <c r="K2243" s="2">
        <f t="shared" ca="1" si="2179"/>
        <v>1.6472774830022144E-2</v>
      </c>
      <c r="L2243" s="2">
        <f t="shared" ca="1" si="2180"/>
        <v>0.92690839852973328</v>
      </c>
      <c r="M2243" s="2">
        <f t="shared" ca="1" si="2181"/>
        <v>2.9062921335843438E-2</v>
      </c>
      <c r="N2243" s="2">
        <f t="shared" ca="1" si="2182"/>
        <v>2.9062921335843438E-2</v>
      </c>
      <c r="O2243" s="2">
        <f t="shared" si="2183"/>
        <v>6000000</v>
      </c>
      <c r="P2243" s="2">
        <f t="shared" ca="1" si="2184"/>
        <v>44280446.093900874</v>
      </c>
      <c r="Q2243" s="2">
        <f t="shared" ca="1" si="2185"/>
        <v>1107011.1523475219</v>
      </c>
      <c r="R2243" s="2">
        <f t="shared" ca="1" si="2186"/>
        <v>26568267.656340525</v>
      </c>
      <c r="S2243" s="2">
        <f t="shared" ca="1" si="2187"/>
        <v>17712178.43756035</v>
      </c>
      <c r="T2243" s="2">
        <f t="shared" ca="1" si="2188"/>
        <v>51453146.066792175</v>
      </c>
      <c r="U2243" s="2">
        <f t="shared" ca="1" si="2189"/>
        <v>51127790.362952985</v>
      </c>
      <c r="V2243" s="2">
        <f t="shared" ca="1" si="2190"/>
        <v>50804491.993642636</v>
      </c>
      <c r="W2243" s="2">
        <f t="shared" ca="1" si="2191"/>
        <v>50483237.94963672</v>
      </c>
      <c r="X2243" s="2">
        <f t="shared" ca="1" si="2192"/>
        <v>50164015.303972565</v>
      </c>
      <c r="Y2243" s="2">
        <f t="shared" ca="1" si="2193"/>
        <v>0.12823638741501106</v>
      </c>
      <c r="Z2243" s="2">
        <f t="shared" ca="1" si="2194"/>
        <v>0.13153094238101548</v>
      </c>
      <c r="AA2243" s="2">
        <f t="shared" ca="1" si="2195"/>
        <v>6598165.5727423141</v>
      </c>
      <c r="AB2243" s="2">
        <f t="shared" ca="1" si="2196"/>
        <v>6724886.4482982075</v>
      </c>
      <c r="AC2243" s="2">
        <f t="shared" ca="1" si="2197"/>
        <v>6682362.7091125716</v>
      </c>
      <c r="AD2243" s="2">
        <f t="shared" ca="1" si="2198"/>
        <v>6640107.8619607612</v>
      </c>
      <c r="AE2243" s="2">
        <f t="shared" ca="1" si="2199"/>
        <v>6598120.2065471942</v>
      </c>
      <c r="AF2243" s="2">
        <f t="shared" ca="1" si="2200"/>
        <v>1029062.9213358435</v>
      </c>
      <c r="AG2243" s="2">
        <f t="shared" ca="1" si="2201"/>
        <v>1022555.8072590597</v>
      </c>
      <c r="AH2243" s="2">
        <f t="shared" ca="1" si="2202"/>
        <v>1016089.8398728528</v>
      </c>
      <c r="AI2243" s="2">
        <f t="shared" ca="1" si="2203"/>
        <v>1009664.7589927345</v>
      </c>
      <c r="AJ2243" s="2">
        <f t="shared" ca="1" si="2204"/>
        <v>1003280.3060794513</v>
      </c>
      <c r="AK2243" s="2">
        <f t="shared" ca="1" si="2205"/>
        <v>0</v>
      </c>
      <c r="AL2243" s="2">
        <f t="shared" ca="1" si="2206"/>
        <v>0</v>
      </c>
      <c r="AM2243" s="2">
        <f t="shared" ca="1" si="2207"/>
        <v>0</v>
      </c>
      <c r="AN2243" s="2">
        <f t="shared" ca="1" si="2208"/>
        <v>0</v>
      </c>
      <c r="AO2243" s="2">
        <f t="shared" ca="1" si="2209"/>
        <v>0</v>
      </c>
      <c r="AP2243" s="2">
        <f t="shared" ca="1" si="2210"/>
        <v>2391144.089070647</v>
      </c>
      <c r="AQ2243" s="2">
        <f t="shared" ca="1" si="2211"/>
        <v>826269.22620731418</v>
      </c>
      <c r="AR2243" s="2">
        <f t="shared" ca="1" si="2212"/>
        <v>860908.50351181033</v>
      </c>
      <c r="AS2243" s="2">
        <f t="shared" ca="1" si="2213"/>
        <v>851533.48284395866</v>
      </c>
      <c r="AT2243" s="2">
        <f t="shared" ca="1" si="2214"/>
        <v>842217.74361331877</v>
      </c>
      <c r="AU2243" s="2">
        <f t="shared" ca="1" si="2215"/>
        <v>832960.91096324497</v>
      </c>
      <c r="AV2243" s="2">
        <f t="shared" ca="1" si="2216"/>
        <v>2351689.3361285096</v>
      </c>
      <c r="AW2243" s="2">
        <f t="shared" ca="1" si="2217"/>
        <v>2450278.0484566903</v>
      </c>
      <c r="AX2243" s="2">
        <f t="shared" ca="1" si="2218"/>
        <v>2423595.2973251129</v>
      </c>
      <c r="AY2243" s="2">
        <f t="shared" ca="1" si="2219"/>
        <v>2397081.2702840613</v>
      </c>
      <c r="AZ2243" s="2">
        <f t="shared" ca="1" si="2220"/>
        <v>2370734.9004338514</v>
      </c>
      <c r="BA2243" s="2">
        <f t="shared" ca="1" si="2221"/>
        <v>52397887.902283862</v>
      </c>
      <c r="BB2243" s="2">
        <f t="shared" ca="1" si="2222"/>
        <v>1047957.7580456772</v>
      </c>
      <c r="BC2243" s="2">
        <f t="shared" ca="1" si="2223"/>
        <v>24781662.487897661</v>
      </c>
      <c r="BD2243" s="2">
        <f t="shared" ca="1" si="2224"/>
        <v>-19319189.58990787</v>
      </c>
      <c r="BE2243" s="2">
        <f t="shared" ca="1" si="2225"/>
        <v>2351689.3361285096</v>
      </c>
      <c r="BF2243" s="2">
        <f t="shared" ca="1" si="2226"/>
        <v>2450278.0484566903</v>
      </c>
      <c r="BG2243" s="2">
        <f t="shared" ca="1" si="2227"/>
        <v>2423595.2973251129</v>
      </c>
      <c r="BH2243" s="2">
        <f t="shared" ca="1" si="2228"/>
        <v>2397081.2702840613</v>
      </c>
      <c r="BI2243" s="2">
        <f t="shared" ca="1" si="2229"/>
        <v>27152397.38833151</v>
      </c>
      <c r="BJ2243" s="2">
        <f t="shared" ca="1" si="2230"/>
        <v>0.16487338649640648</v>
      </c>
      <c r="BK2243" s="2">
        <f t="shared" ca="1" si="2231"/>
        <v>3389334.9094462544</v>
      </c>
    </row>
    <row r="2244" spans="1:63" x14ac:dyDescent="0.3">
      <c r="A2244" s="2">
        <v>2243</v>
      </c>
      <c r="B2244" s="2">
        <f t="shared" ca="1" si="2170"/>
        <v>0.48247885881903529</v>
      </c>
      <c r="C2244" s="2">
        <f t="shared" ca="1" si="2171"/>
        <v>6.9823226138281003</v>
      </c>
      <c r="D2244" s="2">
        <f t="shared" ca="1" si="2172"/>
        <v>0.87424525379183116</v>
      </c>
      <c r="E2244" s="2">
        <f t="shared" ca="1" si="2173"/>
        <v>7.9984927792979068</v>
      </c>
      <c r="F2244" s="2">
        <f t="shared" ca="1" si="2174"/>
        <v>0.12863500621061508</v>
      </c>
      <c r="G2244" s="2">
        <f t="shared" ca="1" si="2175"/>
        <v>6.0139830326527491E-3</v>
      </c>
      <c r="H2244" s="2">
        <f t="shared" ca="1" si="2176"/>
        <v>6.0139830326527491E-3</v>
      </c>
      <c r="I2244" s="2">
        <f t="shared" ca="1" si="2177"/>
        <v>1.5787729213519452E-2</v>
      </c>
      <c r="J2244" s="2">
        <f t="shared" ca="1" si="2178"/>
        <v>-7.4872072968189957E-4</v>
      </c>
      <c r="K2244" s="2">
        <f t="shared" ca="1" si="2179"/>
        <v>0</v>
      </c>
      <c r="L2244" s="2">
        <f t="shared" ca="1" si="2180"/>
        <v>0.18071430005569467</v>
      </c>
      <c r="M2244" s="2">
        <f t="shared" ca="1" si="2181"/>
        <v>-1.8252925810227277E-2</v>
      </c>
      <c r="N2244" s="2">
        <f t="shared" ca="1" si="2182"/>
        <v>-1.8252925810227277E-2</v>
      </c>
      <c r="O2244" s="2">
        <f t="shared" si="2183"/>
        <v>6000000</v>
      </c>
      <c r="P2244" s="2">
        <f t="shared" ca="1" si="2184"/>
        <v>41893935.682968602</v>
      </c>
      <c r="Q2244" s="2">
        <f t="shared" ca="1" si="2185"/>
        <v>1047348.3920742151</v>
      </c>
      <c r="R2244" s="2">
        <f t="shared" ca="1" si="2186"/>
        <v>25136361.409781162</v>
      </c>
      <c r="S2244" s="2">
        <f t="shared" ca="1" si="2187"/>
        <v>16757574.273187442</v>
      </c>
      <c r="T2244" s="2">
        <f t="shared" ca="1" si="2188"/>
        <v>49087353.709488638</v>
      </c>
      <c r="U2244" s="2">
        <f t="shared" ca="1" si="2189"/>
        <v>49382564.221815325</v>
      </c>
      <c r="V2244" s="2">
        <f t="shared" ca="1" si="2190"/>
        <v>49679550.125154205</v>
      </c>
      <c r="W2244" s="2">
        <f t="shared" ca="1" si="2191"/>
        <v>49978322.0966767</v>
      </c>
      <c r="X2244" s="2">
        <f t="shared" ca="1" si="2192"/>
        <v>50278890.877766564</v>
      </c>
      <c r="Y2244" s="2">
        <f t="shared" ca="1" si="2193"/>
        <v>0.12</v>
      </c>
      <c r="Z2244" s="2">
        <f t="shared" ca="1" si="2194"/>
        <v>0.12</v>
      </c>
      <c r="AA2244" s="2">
        <f t="shared" ca="1" si="2195"/>
        <v>5890482.445138636</v>
      </c>
      <c r="AB2244" s="2">
        <f t="shared" ca="1" si="2196"/>
        <v>5925907.7066178387</v>
      </c>
      <c r="AC2244" s="2">
        <f t="shared" ca="1" si="2197"/>
        <v>5961546.0150185041</v>
      </c>
      <c r="AD2244" s="2">
        <f t="shared" ca="1" si="2198"/>
        <v>5997398.6516012037</v>
      </c>
      <c r="AE2244" s="2">
        <f t="shared" ca="1" si="2199"/>
        <v>6033466.9053319879</v>
      </c>
      <c r="AF2244" s="2">
        <f t="shared" ca="1" si="2200"/>
        <v>981747.07418977283</v>
      </c>
      <c r="AG2244" s="2">
        <f t="shared" ca="1" si="2201"/>
        <v>987651.28443630657</v>
      </c>
      <c r="AH2244" s="2">
        <f t="shared" ca="1" si="2202"/>
        <v>993591.00250308414</v>
      </c>
      <c r="AI2244" s="2">
        <f t="shared" ca="1" si="2203"/>
        <v>999566.44193353399</v>
      </c>
      <c r="AJ2244" s="2">
        <f t="shared" ca="1" si="2204"/>
        <v>1005577.8175553313</v>
      </c>
      <c r="AK2244" s="2">
        <f t="shared" ca="1" si="2205"/>
        <v>0</v>
      </c>
      <c r="AL2244" s="2">
        <f t="shared" ca="1" si="2206"/>
        <v>2952.1051232668756</v>
      </c>
      <c r="AM2244" s="2">
        <f t="shared" ca="1" si="2207"/>
        <v>2969.8590333887937</v>
      </c>
      <c r="AN2244" s="2">
        <f t="shared" ca="1" si="2208"/>
        <v>2987.7197152249514</v>
      </c>
      <c r="AO2244" s="2">
        <f t="shared" ca="1" si="2209"/>
        <v>3005.6878108986466</v>
      </c>
      <c r="AP2244" s="2">
        <f t="shared" ca="1" si="2210"/>
        <v>2262272.5268803043</v>
      </c>
      <c r="AQ2244" s="2">
        <f t="shared" ca="1" si="2211"/>
        <v>688080.33945782529</v>
      </c>
      <c r="AR2244" s="2">
        <f t="shared" ca="1" si="2212"/>
        <v>695755.81277831912</v>
      </c>
      <c r="AS2244" s="2">
        <f t="shared" ca="1" si="2213"/>
        <v>703477.44626513007</v>
      </c>
      <c r="AT2244" s="2">
        <f t="shared" ca="1" si="2214"/>
        <v>711245.51752471505</v>
      </c>
      <c r="AU2244" s="2">
        <f t="shared" ca="1" si="2215"/>
        <v>719060.30583305156</v>
      </c>
      <c r="AV2244" s="2">
        <f t="shared" ca="1" si="2216"/>
        <v>1958382.5046107331</v>
      </c>
      <c r="AW2244" s="2">
        <f t="shared" ca="1" si="2217"/>
        <v>1977275.9773996416</v>
      </c>
      <c r="AX2244" s="2">
        <f t="shared" ca="1" si="2218"/>
        <v>1999235.1803365964</v>
      </c>
      <c r="AY2244" s="2">
        <f t="shared" ca="1" si="2219"/>
        <v>2021326.4455474252</v>
      </c>
      <c r="AZ2244" s="2">
        <f t="shared" ca="1" si="2220"/>
        <v>2043550.5672524013</v>
      </c>
      <c r="BA2244" s="2">
        <f t="shared" ca="1" si="2221"/>
        <v>48258641.476430796</v>
      </c>
      <c r="BB2244" s="2">
        <f t="shared" ca="1" si="2222"/>
        <v>965172.82952861593</v>
      </c>
      <c r="BC2244" s="2">
        <f t="shared" ca="1" si="2223"/>
        <v>22157107.23712102</v>
      </c>
      <c r="BD2244" s="2">
        <f t="shared" ca="1" si="2224"/>
        <v>-18304922.665261656</v>
      </c>
      <c r="BE2244" s="2">
        <f t="shared" ca="1" si="2225"/>
        <v>1958382.5046107331</v>
      </c>
      <c r="BF2244" s="2">
        <f t="shared" ca="1" si="2226"/>
        <v>1977275.9773996416</v>
      </c>
      <c r="BG2244" s="2">
        <f t="shared" ca="1" si="2227"/>
        <v>1999235.1803365964</v>
      </c>
      <c r="BH2244" s="2">
        <f t="shared" ca="1" si="2228"/>
        <v>2021326.4455474252</v>
      </c>
      <c r="BI2244" s="2">
        <f t="shared" ca="1" si="2229"/>
        <v>24200657.804373421</v>
      </c>
      <c r="BJ2244" s="2">
        <f t="shared" ca="1" si="2230"/>
        <v>0.14074231256053382</v>
      </c>
      <c r="BK2244" s="2">
        <f t="shared" ca="1" si="2231"/>
        <v>1459614.2206960283</v>
      </c>
    </row>
    <row r="2245" spans="1:63" x14ac:dyDescent="0.3">
      <c r="A2245" s="2">
        <v>2244</v>
      </c>
      <c r="B2245" s="2">
        <f t="shared" ca="1" si="2170"/>
        <v>0.39765777231901256</v>
      </c>
      <c r="C2245" s="2">
        <f t="shared" ca="1" si="2171"/>
        <v>6.8918046560979738</v>
      </c>
      <c r="D2245" s="2">
        <f t="shared" ca="1" si="2172"/>
        <v>0.35495955841231996</v>
      </c>
      <c r="E2245" s="2">
        <f t="shared" ca="1" si="2173"/>
        <v>7.342566980616164</v>
      </c>
      <c r="F2245" s="2">
        <f t="shared" ca="1" si="2174"/>
        <v>0.75871699441185425</v>
      </c>
      <c r="G2245" s="2">
        <f t="shared" ca="1" si="2175"/>
        <v>6.1065443561833119E-2</v>
      </c>
      <c r="H2245" s="2">
        <f t="shared" ca="1" si="2176"/>
        <v>6.1065443561833119E-2</v>
      </c>
      <c r="I2245" s="2">
        <f t="shared" ca="1" si="2177"/>
        <v>0.63749647710219648</v>
      </c>
      <c r="J2245" s="2">
        <f t="shared" ca="1" si="2178"/>
        <v>1.1758874753468802E-2</v>
      </c>
      <c r="K2245" s="2">
        <f t="shared" ca="1" si="2179"/>
        <v>1.1758874753468802E-2</v>
      </c>
      <c r="L2245" s="2">
        <f t="shared" ca="1" si="2180"/>
        <v>0.19643507149573713</v>
      </c>
      <c r="M2245" s="2">
        <f t="shared" ca="1" si="2181"/>
        <v>-1.7088478546607191E-2</v>
      </c>
      <c r="N2245" s="2">
        <f t="shared" ca="1" si="2182"/>
        <v>-1.7088478546607191E-2</v>
      </c>
      <c r="O2245" s="2">
        <f t="shared" si="2183"/>
        <v>6000000</v>
      </c>
      <c r="P2245" s="2">
        <f t="shared" ca="1" si="2184"/>
        <v>41350827.93658784</v>
      </c>
      <c r="Q2245" s="2">
        <f t="shared" ca="1" si="2185"/>
        <v>1033770.698414696</v>
      </c>
      <c r="R2245" s="2">
        <f t="shared" ca="1" si="2186"/>
        <v>24810496.761952702</v>
      </c>
      <c r="S2245" s="2">
        <f t="shared" ca="1" si="2187"/>
        <v>16540331.174635137</v>
      </c>
      <c r="T2245" s="2">
        <f t="shared" ca="1" si="2188"/>
        <v>49145576.07266964</v>
      </c>
      <c r="U2245" s="2">
        <f t="shared" ca="1" si="2189"/>
        <v>52146672.474649027</v>
      </c>
      <c r="V2245" s="2">
        <f t="shared" ca="1" si="2190"/>
        <v>55331032.159587108</v>
      </c>
      <c r="W2245" s="2">
        <f t="shared" ca="1" si="2191"/>
        <v>58709846.181146353</v>
      </c>
      <c r="X2245" s="2">
        <f t="shared" ca="1" si="2192"/>
        <v>62294988.979645051</v>
      </c>
      <c r="Y2245" s="2">
        <f t="shared" ca="1" si="2193"/>
        <v>0.1258794373767344</v>
      </c>
      <c r="Z2245" s="2">
        <f t="shared" ca="1" si="2194"/>
        <v>0.12823121232742815</v>
      </c>
      <c r="AA2245" s="2">
        <f t="shared" ca="1" si="2195"/>
        <v>6186417.4655831549</v>
      </c>
      <c r="AB2245" s="2">
        <f t="shared" ca="1" si="2196"/>
        <v>6686831.0302655725</v>
      </c>
      <c r="AC2245" s="2">
        <f t="shared" ca="1" si="2197"/>
        <v>7095165.3331517698</v>
      </c>
      <c r="AD2245" s="2">
        <f t="shared" ca="1" si="2198"/>
        <v>7528434.7513652248</v>
      </c>
      <c r="AE2245" s="2">
        <f t="shared" ca="1" si="2199"/>
        <v>7988161.958783661</v>
      </c>
      <c r="AF2245" s="2">
        <f t="shared" ca="1" si="2200"/>
        <v>982911.52145339281</v>
      </c>
      <c r="AG2245" s="2">
        <f t="shared" ca="1" si="2201"/>
        <v>1042933.4494929806</v>
      </c>
      <c r="AH2245" s="2">
        <f t="shared" ca="1" si="2202"/>
        <v>1106620.6431917422</v>
      </c>
      <c r="AI2245" s="2">
        <f t="shared" ca="1" si="2203"/>
        <v>1174196.9236229272</v>
      </c>
      <c r="AJ2245" s="2">
        <f t="shared" ca="1" si="2204"/>
        <v>1245899.779592901</v>
      </c>
      <c r="AK2245" s="2">
        <f t="shared" ca="1" si="2205"/>
        <v>0</v>
      </c>
      <c r="AL2245" s="2">
        <f t="shared" ca="1" si="2206"/>
        <v>30010.964019793868</v>
      </c>
      <c r="AM2245" s="2">
        <f t="shared" ca="1" si="2207"/>
        <v>31843.596849380807</v>
      </c>
      <c r="AN2245" s="2">
        <f t="shared" ca="1" si="2208"/>
        <v>33788.140215592459</v>
      </c>
      <c r="AO2245" s="2">
        <f t="shared" ca="1" si="2209"/>
        <v>35851.427984986978</v>
      </c>
      <c r="AP2245" s="2">
        <f t="shared" ca="1" si="2210"/>
        <v>2232944.7085757433</v>
      </c>
      <c r="AQ2245" s="2">
        <f t="shared" ca="1" si="2211"/>
        <v>772345.92124404502</v>
      </c>
      <c r="AR2245" s="2">
        <f t="shared" ca="1" si="2212"/>
        <v>886847.74677118065</v>
      </c>
      <c r="AS2245" s="2">
        <f t="shared" ca="1" si="2213"/>
        <v>976455.99515991379</v>
      </c>
      <c r="AT2245" s="2">
        <f t="shared" ca="1" si="2214"/>
        <v>1071536.2109833041</v>
      </c>
      <c r="AU2245" s="2">
        <f t="shared" ca="1" si="2215"/>
        <v>1172422.5423599046</v>
      </c>
      <c r="AV2245" s="2">
        <f t="shared" ca="1" si="2216"/>
        <v>2198215.3143099742</v>
      </c>
      <c r="AW2245" s="2">
        <f t="shared" ca="1" si="2217"/>
        <v>2494094.1614058735</v>
      </c>
      <c r="AX2245" s="2">
        <f t="shared" ca="1" si="2218"/>
        <v>2747300.3893749891</v>
      </c>
      <c r="AY2245" s="2">
        <f t="shared" ca="1" si="2219"/>
        <v>3015968.7679676572</v>
      </c>
      <c r="AZ2245" s="2">
        <f t="shared" ca="1" si="2220"/>
        <v>3301043.5002701255</v>
      </c>
      <c r="BA2245" s="2">
        <f t="shared" ca="1" si="2221"/>
        <v>58653614.234379046</v>
      </c>
      <c r="BB2245" s="2">
        <f t="shared" ca="1" si="2222"/>
        <v>1173072.284687581</v>
      </c>
      <c r="BC2245" s="2">
        <f t="shared" ca="1" si="2223"/>
        <v>32670045.187738758</v>
      </c>
      <c r="BD2245" s="2">
        <f t="shared" ca="1" si="2224"/>
        <v>-18074101.873049833</v>
      </c>
      <c r="BE2245" s="2">
        <f t="shared" ca="1" si="2225"/>
        <v>2198215.3143099742</v>
      </c>
      <c r="BF2245" s="2">
        <f t="shared" ca="1" si="2226"/>
        <v>2494094.1614058735</v>
      </c>
      <c r="BG2245" s="2">
        <f t="shared" ca="1" si="2227"/>
        <v>2747300.3893749891</v>
      </c>
      <c r="BH2245" s="2">
        <f t="shared" ca="1" si="2228"/>
        <v>3015968.7679676572</v>
      </c>
      <c r="BI2245" s="2">
        <f t="shared" ca="1" si="2229"/>
        <v>35971088.688008882</v>
      </c>
      <c r="BJ2245" s="2">
        <f t="shared" ca="1" si="2230"/>
        <v>0.24508603422825948</v>
      </c>
      <c r="BK2245" s="2">
        <f t="shared" ca="1" si="2231"/>
        <v>10160005.546305045</v>
      </c>
    </row>
    <row r="2246" spans="1:63" x14ac:dyDescent="0.3">
      <c r="A2246" s="2">
        <v>2245</v>
      </c>
      <c r="B2246" s="2">
        <f t="shared" ca="1" si="2170"/>
        <v>0.92490472284374659</v>
      </c>
      <c r="C2246" s="2">
        <f t="shared" ca="1" si="2171"/>
        <v>7.6124557388987588</v>
      </c>
      <c r="D2246" s="2">
        <f t="shared" ca="1" si="2172"/>
        <v>3.2735648304188736E-2</v>
      </c>
      <c r="E2246" s="2">
        <f t="shared" ca="1" si="2173"/>
        <v>6.7558735949807591</v>
      </c>
      <c r="F2246" s="2">
        <f t="shared" ca="1" si="2174"/>
        <v>0.938370562414792</v>
      </c>
      <c r="G2246" s="2">
        <f t="shared" ca="1" si="2175"/>
        <v>8.6237139633755622E-2</v>
      </c>
      <c r="H2246" s="2">
        <f t="shared" ca="1" si="2176"/>
        <v>8.6237139633755622E-2</v>
      </c>
      <c r="I2246" s="2">
        <f t="shared" ca="1" si="2177"/>
        <v>0.38003026513929394</v>
      </c>
      <c r="J2246" s="2">
        <f t="shared" ca="1" si="2178"/>
        <v>8.4729934900100272E-3</v>
      </c>
      <c r="K2246" s="2">
        <f t="shared" ca="1" si="2179"/>
        <v>8.4729934900100272E-3</v>
      </c>
      <c r="L2246" s="2">
        <f t="shared" ca="1" si="2180"/>
        <v>0.76015406797861129</v>
      </c>
      <c r="M2246" s="2">
        <f t="shared" ca="1" si="2181"/>
        <v>1.4135964942486002E-2</v>
      </c>
      <c r="N2246" s="2">
        <f t="shared" ca="1" si="2182"/>
        <v>1.4135964942486002E-2</v>
      </c>
      <c r="O2246" s="2">
        <f t="shared" si="2183"/>
        <v>6000000</v>
      </c>
      <c r="P2246" s="2">
        <f t="shared" ca="1" si="2184"/>
        <v>45674734.433392555</v>
      </c>
      <c r="Q2246" s="2">
        <f t="shared" ca="1" si="2185"/>
        <v>1141868.3608348139</v>
      </c>
      <c r="R2246" s="2">
        <f t="shared" ca="1" si="2186"/>
        <v>27404840.660035532</v>
      </c>
      <c r="S2246" s="2">
        <f t="shared" ca="1" si="2187"/>
        <v>18269893.773357023</v>
      </c>
      <c r="T2246" s="2">
        <f t="shared" ca="1" si="2188"/>
        <v>50706798.247124299</v>
      </c>
      <c r="U2246" s="2">
        <f t="shared" ca="1" si="2189"/>
        <v>55079607.487942226</v>
      </c>
      <c r="V2246" s="2">
        <f t="shared" ca="1" si="2190"/>
        <v>59829515.289852351</v>
      </c>
      <c r="W2246" s="2">
        <f t="shared" ca="1" si="2191"/>
        <v>64989041.55412326</v>
      </c>
      <c r="X2246" s="2">
        <f t="shared" ca="1" si="2192"/>
        <v>70593510.60529013</v>
      </c>
      <c r="Y2246" s="2">
        <f t="shared" ca="1" si="2193"/>
        <v>0.124236496745005</v>
      </c>
      <c r="Z2246" s="2">
        <f t="shared" ca="1" si="2194"/>
        <v>0.12593109544300701</v>
      </c>
      <c r="AA2246" s="2">
        <f t="shared" ca="1" si="2195"/>
        <v>6299634.9753784835</v>
      </c>
      <c r="AB2246" s="2">
        <f t="shared" ca="1" si="2196"/>
        <v>6936235.3075274164</v>
      </c>
      <c r="AC2246" s="2">
        <f t="shared" ca="1" si="2197"/>
        <v>7534396.4002752434</v>
      </c>
      <c r="AD2246" s="2">
        <f t="shared" ca="1" si="2198"/>
        <v>8184141.1947018448</v>
      </c>
      <c r="AE2246" s="2">
        <f t="shared" ca="1" si="2199"/>
        <v>8889918.1216917187</v>
      </c>
      <c r="AF2246" s="2">
        <f t="shared" ca="1" si="2200"/>
        <v>1014135.964942486</v>
      </c>
      <c r="AG2246" s="2">
        <f t="shared" ca="1" si="2201"/>
        <v>1101592.1497588446</v>
      </c>
      <c r="AH2246" s="2">
        <f t="shared" ca="1" si="2202"/>
        <v>1196590.305797047</v>
      </c>
      <c r="AI2246" s="2">
        <f t="shared" ca="1" si="2203"/>
        <v>1299780.8310824651</v>
      </c>
      <c r="AJ2246" s="2">
        <f t="shared" ca="1" si="2204"/>
        <v>1411870.2121058027</v>
      </c>
      <c r="AK2246" s="2">
        <f t="shared" ca="1" si="2205"/>
        <v>0</v>
      </c>
      <c r="AL2246" s="2">
        <f t="shared" ca="1" si="2206"/>
        <v>43728.092408179269</v>
      </c>
      <c r="AM2246" s="2">
        <f t="shared" ca="1" si="2207"/>
        <v>47499.078019101245</v>
      </c>
      <c r="AN2246" s="2">
        <f t="shared" ca="1" si="2208"/>
        <v>51595.262642709095</v>
      </c>
      <c r="AO2246" s="2">
        <f t="shared" ca="1" si="2209"/>
        <v>56044.690511668698</v>
      </c>
      <c r="AP2246" s="2">
        <f t="shared" ca="1" si="2210"/>
        <v>2466435.6594031979</v>
      </c>
      <c r="AQ2246" s="2">
        <f t="shared" ca="1" si="2211"/>
        <v>732956.47126852791</v>
      </c>
      <c r="AR2246" s="2">
        <f t="shared" ca="1" si="2212"/>
        <v>875733.94957499718</v>
      </c>
      <c r="AS2246" s="2">
        <f t="shared" ca="1" si="2213"/>
        <v>1006556.3131194996</v>
      </c>
      <c r="AT2246" s="2">
        <f t="shared" ca="1" si="2214"/>
        <v>1148660.4230962074</v>
      </c>
      <c r="AU2246" s="2">
        <f t="shared" ca="1" si="2215"/>
        <v>1303019.1850475068</v>
      </c>
      <c r="AV2246" s="2">
        <f t="shared" ca="1" si="2216"/>
        <v>2086106.8797642714</v>
      </c>
      <c r="AW2246" s="2">
        <f t="shared" ca="1" si="2217"/>
        <v>2448745.4563821978</v>
      </c>
      <c r="AX2246" s="2">
        <f t="shared" ca="1" si="2218"/>
        <v>2817315.0439363974</v>
      </c>
      <c r="AY2246" s="2">
        <f t="shared" ca="1" si="2219"/>
        <v>3217669.0184772643</v>
      </c>
      <c r="AZ2246" s="2">
        <f t="shared" ca="1" si="2220"/>
        <v>3652548.3746235422</v>
      </c>
      <c r="BA2246" s="2">
        <f t="shared" ca="1" si="2221"/>
        <v>60059163.099878028</v>
      </c>
      <c r="BB2246" s="2">
        <f t="shared" ca="1" si="2222"/>
        <v>1201183.2619975605</v>
      </c>
      <c r="BC2246" s="2">
        <f t="shared" ca="1" si="2223"/>
        <v>31453139.177844934</v>
      </c>
      <c r="BD2246" s="2">
        <f t="shared" ca="1" si="2224"/>
        <v>-19911762.134191837</v>
      </c>
      <c r="BE2246" s="2">
        <f t="shared" ca="1" si="2225"/>
        <v>2086106.8797642714</v>
      </c>
      <c r="BF2246" s="2">
        <f t="shared" ca="1" si="2226"/>
        <v>2448745.4563821978</v>
      </c>
      <c r="BG2246" s="2">
        <f t="shared" ca="1" si="2227"/>
        <v>2817315.0439363974</v>
      </c>
      <c r="BH2246" s="2">
        <f t="shared" ca="1" si="2228"/>
        <v>3217669.0184772643</v>
      </c>
      <c r="BI2246" s="2">
        <f t="shared" ca="1" si="2229"/>
        <v>35105687.552468479</v>
      </c>
      <c r="BJ2246" s="2">
        <f t="shared" ca="1" si="2230"/>
        <v>0.21161342957116003</v>
      </c>
      <c r="BK2246" s="2">
        <f t="shared" ca="1" si="2231"/>
        <v>7873064.1171215698</v>
      </c>
    </row>
    <row r="2247" spans="1:63" x14ac:dyDescent="0.3">
      <c r="A2247" s="2">
        <v>2246</v>
      </c>
      <c r="B2247" s="2">
        <f t="shared" ca="1" si="2170"/>
        <v>0.12232298067791081</v>
      </c>
      <c r="C2247" s="2">
        <f t="shared" ca="1" si="2171"/>
        <v>6.494616984499948</v>
      </c>
      <c r="D2247" s="2">
        <f t="shared" ca="1" si="2172"/>
        <v>0.10109174534460741</v>
      </c>
      <c r="E2247" s="2">
        <f t="shared" ca="1" si="2173"/>
        <v>6.9496481854619399</v>
      </c>
      <c r="F2247" s="2">
        <f t="shared" ca="1" si="2174"/>
        <v>0.55032862517266301</v>
      </c>
      <c r="G2247" s="2">
        <f t="shared" ca="1" si="2175"/>
        <v>4.3794749827392121E-2</v>
      </c>
      <c r="H2247" s="2">
        <f t="shared" ca="1" si="2176"/>
        <v>4.3794749827392121E-2</v>
      </c>
      <c r="I2247" s="2">
        <f t="shared" ca="1" si="2177"/>
        <v>9.7617032602869025E-2</v>
      </c>
      <c r="J2247" s="2">
        <f t="shared" ca="1" si="2178"/>
        <v>3.5237509242009649E-3</v>
      </c>
      <c r="K2247" s="2">
        <f t="shared" ca="1" si="2179"/>
        <v>3.5237509242009649E-3</v>
      </c>
      <c r="L2247" s="2">
        <f t="shared" ca="1" si="2180"/>
        <v>0.56207402114773808</v>
      </c>
      <c r="M2247" s="2">
        <f t="shared" ca="1" si="2181"/>
        <v>3.1245942345768376E-3</v>
      </c>
      <c r="N2247" s="2">
        <f t="shared" ca="1" si="2182"/>
        <v>3.1245942345768376E-3</v>
      </c>
      <c r="O2247" s="2">
        <f t="shared" si="2183"/>
        <v>6000000</v>
      </c>
      <c r="P2247" s="2">
        <f t="shared" ca="1" si="2184"/>
        <v>38967701.906999685</v>
      </c>
      <c r="Q2247" s="2">
        <f t="shared" ca="1" si="2185"/>
        <v>974192.54767499212</v>
      </c>
      <c r="R2247" s="2">
        <f t="shared" ca="1" si="2186"/>
        <v>23380621.144199811</v>
      </c>
      <c r="S2247" s="2">
        <f t="shared" ca="1" si="2187"/>
        <v>15587080.762799874</v>
      </c>
      <c r="T2247" s="2">
        <f t="shared" ca="1" si="2188"/>
        <v>50156229.711728841</v>
      </c>
      <c r="U2247" s="2">
        <f t="shared" ca="1" si="2189"/>
        <v>52352809.244239211</v>
      </c>
      <c r="V2247" s="2">
        <f t="shared" ca="1" si="2190"/>
        <v>54645587.427851848</v>
      </c>
      <c r="W2247" s="2">
        <f t="shared" ca="1" si="2191"/>
        <v>57038777.258425504</v>
      </c>
      <c r="X2247" s="2">
        <f t="shared" ca="1" si="2192"/>
        <v>59536776.238918588</v>
      </c>
      <c r="Y2247" s="2">
        <f t="shared" ca="1" si="2193"/>
        <v>0.12176187546210047</v>
      </c>
      <c r="Z2247" s="2">
        <f t="shared" ca="1" si="2194"/>
        <v>0.12246662564694068</v>
      </c>
      <c r="AA2247" s="2">
        <f t="shared" ca="1" si="2195"/>
        <v>6107116.595808031</v>
      </c>
      <c r="AB2247" s="2">
        <f t="shared" ca="1" si="2196"/>
        <v>6411471.8912799386</v>
      </c>
      <c r="AC2247" s="2">
        <f t="shared" ca="1" si="2197"/>
        <v>6692260.6987839006</v>
      </c>
      <c r="AD2247" s="2">
        <f t="shared" ca="1" si="2198"/>
        <v>6985346.5818668297</v>
      </c>
      <c r="AE2247" s="2">
        <f t="shared" ca="1" si="2199"/>
        <v>7291268.0878773155</v>
      </c>
      <c r="AF2247" s="2">
        <f t="shared" ca="1" si="2200"/>
        <v>1003124.5942345768</v>
      </c>
      <c r="AG2247" s="2">
        <f t="shared" ca="1" si="2201"/>
        <v>1047056.1848847843</v>
      </c>
      <c r="AH2247" s="2">
        <f t="shared" ca="1" si="2202"/>
        <v>1092911.748557037</v>
      </c>
      <c r="AI2247" s="2">
        <f t="shared" ca="1" si="2203"/>
        <v>1140775.5451685102</v>
      </c>
      <c r="AJ2247" s="2">
        <f t="shared" ca="1" si="2204"/>
        <v>1190735.5247783717</v>
      </c>
      <c r="AK2247" s="2">
        <f t="shared" ca="1" si="2205"/>
        <v>0</v>
      </c>
      <c r="AL2247" s="2">
        <f t="shared" ca="1" si="2206"/>
        <v>21965.7953251037</v>
      </c>
      <c r="AM2247" s="2">
        <f t="shared" ca="1" si="2207"/>
        <v>22927.781836126374</v>
      </c>
      <c r="AN2247" s="2">
        <f t="shared" ca="1" si="2208"/>
        <v>23931.898305736559</v>
      </c>
      <c r="AO2247" s="2">
        <f t="shared" ca="1" si="2209"/>
        <v>24979.989804930836</v>
      </c>
      <c r="AP2247" s="2">
        <f t="shared" ca="1" si="2210"/>
        <v>2104255.902977983</v>
      </c>
      <c r="AQ2247" s="2">
        <f t="shared" ca="1" si="2211"/>
        <v>779931.38563482265</v>
      </c>
      <c r="AR2247" s="2">
        <f t="shared" ca="1" si="2212"/>
        <v>847641.54888846469</v>
      </c>
      <c r="AS2247" s="2">
        <f t="shared" ca="1" si="2213"/>
        <v>908724.19228470908</v>
      </c>
      <c r="AT2247" s="2">
        <f t="shared" ca="1" si="2214"/>
        <v>972481.93476728734</v>
      </c>
      <c r="AU2247" s="2">
        <f t="shared" ca="1" si="2215"/>
        <v>1039031.9316314498</v>
      </c>
      <c r="AV2247" s="2">
        <f t="shared" ca="1" si="2216"/>
        <v>2219804.7129606488</v>
      </c>
      <c r="AW2247" s="2">
        <f t="shared" ca="1" si="2217"/>
        <v>2390552.4592036032</v>
      </c>
      <c r="AX2247" s="2">
        <f t="shared" ca="1" si="2218"/>
        <v>2563441.073128046</v>
      </c>
      <c r="AY2247" s="2">
        <f t="shared" ca="1" si="2219"/>
        <v>2743901.3006473123</v>
      </c>
      <c r="AZ2247" s="2">
        <f t="shared" ca="1" si="2220"/>
        <v>2932264.7386845802</v>
      </c>
      <c r="BA2247" s="2">
        <f t="shared" ca="1" si="2221"/>
        <v>50671748.036633134</v>
      </c>
      <c r="BB2247" s="2">
        <f t="shared" ca="1" si="2222"/>
        <v>1013434.9607326627</v>
      </c>
      <c r="BC2247" s="2">
        <f t="shared" ca="1" si="2223"/>
        <v>26277691.931700662</v>
      </c>
      <c r="BD2247" s="2">
        <f t="shared" ca="1" si="2224"/>
        <v>-17061273.310474865</v>
      </c>
      <c r="BE2247" s="2">
        <f t="shared" ca="1" si="2225"/>
        <v>2219804.7129606488</v>
      </c>
      <c r="BF2247" s="2">
        <f t="shared" ca="1" si="2226"/>
        <v>2390552.4592036032</v>
      </c>
      <c r="BG2247" s="2">
        <f t="shared" ca="1" si="2227"/>
        <v>2563441.073128046</v>
      </c>
      <c r="BH2247" s="2">
        <f t="shared" ca="1" si="2228"/>
        <v>2743901.3006473123</v>
      </c>
      <c r="BI2247" s="2">
        <f t="shared" ca="1" si="2229"/>
        <v>29209956.670385242</v>
      </c>
      <c r="BJ2247" s="2">
        <f t="shared" ca="1" si="2230"/>
        <v>0.21684714135628069</v>
      </c>
      <c r="BK2247" s="2">
        <f t="shared" ca="1" si="2231"/>
        <v>6969348.4410409182</v>
      </c>
    </row>
    <row r="2248" spans="1:63" x14ac:dyDescent="0.3">
      <c r="A2248" s="2">
        <v>2247</v>
      </c>
      <c r="B2248" s="2">
        <f t="shared" ca="1" si="2170"/>
        <v>0.32553135683799483</v>
      </c>
      <c r="C2248" s="2">
        <f t="shared" ca="1" si="2171"/>
        <v>6.8068845727091265</v>
      </c>
      <c r="D2248" s="2">
        <f t="shared" ca="1" si="2172"/>
        <v>8.4138467961259233E-2</v>
      </c>
      <c r="E2248" s="2">
        <f t="shared" ca="1" si="2173"/>
        <v>6.9102157187657713</v>
      </c>
      <c r="F2248" s="2">
        <f t="shared" ca="1" si="2174"/>
        <v>0.12502758470908182</v>
      </c>
      <c r="G2248" s="2">
        <f t="shared" ca="1" si="2175"/>
        <v>5.4935383278934755E-3</v>
      </c>
      <c r="H2248" s="2">
        <f t="shared" ca="1" si="2176"/>
        <v>5.4935383278934755E-3</v>
      </c>
      <c r="I2248" s="2">
        <f t="shared" ca="1" si="2177"/>
        <v>0.30046876102536757</v>
      </c>
      <c r="J2248" s="2">
        <f t="shared" ca="1" si="2178"/>
        <v>7.3847360831725342E-3</v>
      </c>
      <c r="K2248" s="2">
        <f t="shared" ca="1" si="2179"/>
        <v>7.3847360831725342E-3</v>
      </c>
      <c r="L2248" s="2">
        <f t="shared" ca="1" si="2180"/>
        <v>0.48984305855786636</v>
      </c>
      <c r="M2248" s="2">
        <f t="shared" ca="1" si="2181"/>
        <v>-5.0924855399738336E-4</v>
      </c>
      <c r="N2248" s="2">
        <f t="shared" ca="1" si="2182"/>
        <v>-5.0924855399738336E-4</v>
      </c>
      <c r="O2248" s="2">
        <f t="shared" si="2183"/>
        <v>6000000</v>
      </c>
      <c r="P2248" s="2">
        <f t="shared" ca="1" si="2184"/>
        <v>40841307.436254762</v>
      </c>
      <c r="Q2248" s="2">
        <f t="shared" ca="1" si="2185"/>
        <v>1021032.6859063691</v>
      </c>
      <c r="R2248" s="2">
        <f t="shared" ca="1" si="2186"/>
        <v>24504784.461752858</v>
      </c>
      <c r="S2248" s="2">
        <f t="shared" ca="1" si="2187"/>
        <v>16336522.974501906</v>
      </c>
      <c r="T2248" s="2">
        <f t="shared" ca="1" si="2188"/>
        <v>49974537.572300129</v>
      </c>
      <c r="U2248" s="2">
        <f t="shared" ca="1" si="2189"/>
        <v>50249074.609872319</v>
      </c>
      <c r="V2248" s="2">
        <f t="shared" ca="1" si="2190"/>
        <v>50525119.827182837</v>
      </c>
      <c r="W2248" s="2">
        <f t="shared" ca="1" si="2191"/>
        <v>50802681.509474881</v>
      </c>
      <c r="X2248" s="2">
        <f t="shared" ca="1" si="2192"/>
        <v>51081767.987506948</v>
      </c>
      <c r="Y2248" s="2">
        <f t="shared" ca="1" si="2193"/>
        <v>0.12369236804158626</v>
      </c>
      <c r="Z2248" s="2">
        <f t="shared" ca="1" si="2194"/>
        <v>0.12516931525822078</v>
      </c>
      <c r="AA2248" s="2">
        <f t="shared" ca="1" si="2195"/>
        <v>6181468.8941010283</v>
      </c>
      <c r="AB2248" s="2">
        <f t="shared" ca="1" si="2196"/>
        <v>6289642.261276966</v>
      </c>
      <c r="AC2248" s="2">
        <f t="shared" ca="1" si="2197"/>
        <v>6324194.6521080304</v>
      </c>
      <c r="AD2248" s="2">
        <f t="shared" ca="1" si="2198"/>
        <v>6358936.8578224452</v>
      </c>
      <c r="AE2248" s="2">
        <f t="shared" ca="1" si="2199"/>
        <v>6393869.9211755469</v>
      </c>
      <c r="AF2248" s="2">
        <f t="shared" ca="1" si="2200"/>
        <v>999490.75144600263</v>
      </c>
      <c r="AG2248" s="2">
        <f t="shared" ca="1" si="2201"/>
        <v>1004981.4921974464</v>
      </c>
      <c r="AH2248" s="2">
        <f t="shared" ca="1" si="2202"/>
        <v>1010502.3965436567</v>
      </c>
      <c r="AI2248" s="2">
        <f t="shared" ca="1" si="2203"/>
        <v>1016053.6301894976</v>
      </c>
      <c r="AJ2248" s="2">
        <f t="shared" ca="1" si="2204"/>
        <v>1021635.3597501389</v>
      </c>
      <c r="AK2248" s="2">
        <f t="shared" ca="1" si="2205"/>
        <v>0</v>
      </c>
      <c r="AL2248" s="2">
        <f t="shared" ca="1" si="2206"/>
        <v>2745.3703757219018</v>
      </c>
      <c r="AM2248" s="2">
        <f t="shared" ca="1" si="2207"/>
        <v>2760.4521731051805</v>
      </c>
      <c r="AN2248" s="2">
        <f t="shared" ca="1" si="2208"/>
        <v>2775.6168229204418</v>
      </c>
      <c r="AO2248" s="2">
        <f t="shared" ca="1" si="2209"/>
        <v>2790.8647803206741</v>
      </c>
      <c r="AP2248" s="2">
        <f t="shared" ca="1" si="2210"/>
        <v>2205430.6015577572</v>
      </c>
      <c r="AQ2248" s="2">
        <f t="shared" ca="1" si="2211"/>
        <v>773902.36068528995</v>
      </c>
      <c r="AR2248" s="2">
        <f t="shared" ca="1" si="2212"/>
        <v>800599.84355565824</v>
      </c>
      <c r="AS2248" s="2">
        <f t="shared" ca="1" si="2213"/>
        <v>808148.03004172037</v>
      </c>
      <c r="AT2248" s="2">
        <f t="shared" ca="1" si="2214"/>
        <v>815737.68277954939</v>
      </c>
      <c r="AU2248" s="2">
        <f t="shared" ca="1" si="2215"/>
        <v>823369.02956558927</v>
      </c>
      <c r="AV2248" s="2">
        <f t="shared" ca="1" si="2216"/>
        <v>2202645.1804119791</v>
      </c>
      <c r="AW2248" s="2">
        <f t="shared" ca="1" si="2217"/>
        <v>2275884.9535903824</v>
      </c>
      <c r="AX2248" s="2">
        <f t="shared" ca="1" si="2218"/>
        <v>2297353.1717917905</v>
      </c>
      <c r="AY2248" s="2">
        <f t="shared" ca="1" si="2219"/>
        <v>2318939.3264727197</v>
      </c>
      <c r="AZ2248" s="2">
        <f t="shared" ca="1" si="2220"/>
        <v>2340644.0655217408</v>
      </c>
      <c r="BA2248" s="2">
        <f t="shared" ca="1" si="2221"/>
        <v>44183020.433050931</v>
      </c>
      <c r="BB2248" s="2">
        <f t="shared" ca="1" si="2222"/>
        <v>883660.40866101859</v>
      </c>
      <c r="BC2248" s="2">
        <f t="shared" ca="1" si="2223"/>
        <v>18794575.562637053</v>
      </c>
      <c r="BD2248" s="2">
        <f t="shared" ca="1" si="2224"/>
        <v>-17857555.660408273</v>
      </c>
      <c r="BE2248" s="2">
        <f t="shared" ca="1" si="2225"/>
        <v>2202645.1804119791</v>
      </c>
      <c r="BF2248" s="2">
        <f t="shared" ca="1" si="2226"/>
        <v>2275884.9535903824</v>
      </c>
      <c r="BG2248" s="2">
        <f t="shared" ca="1" si="2227"/>
        <v>2297353.1717917905</v>
      </c>
      <c r="BH2248" s="2">
        <f t="shared" ca="1" si="2228"/>
        <v>2318939.3264727197</v>
      </c>
      <c r="BI2248" s="2">
        <f t="shared" ca="1" si="2229"/>
        <v>21135219.628158793</v>
      </c>
      <c r="BJ2248" s="2">
        <f t="shared" ca="1" si="2230"/>
        <v>0.13562087266106104</v>
      </c>
      <c r="BK2248" s="2">
        <f t="shared" ca="1" si="2231"/>
        <v>1025043.0662735477</v>
      </c>
    </row>
    <row r="2249" spans="1:63" x14ac:dyDescent="0.3">
      <c r="A2249" s="2">
        <v>2248</v>
      </c>
      <c r="B2249" s="2">
        <f t="shared" ca="1" si="2170"/>
        <v>0.4587042349113164</v>
      </c>
      <c r="C2249" s="2">
        <f t="shared" ca="1" si="2171"/>
        <v>6.957814423478073</v>
      </c>
      <c r="D2249" s="2">
        <f t="shared" ca="1" si="2172"/>
        <v>4.9939985608346893E-2</v>
      </c>
      <c r="E2249" s="2">
        <f t="shared" ca="1" si="2173"/>
        <v>6.8160379268643148</v>
      </c>
      <c r="F2249" s="2">
        <f t="shared" ca="1" si="2174"/>
        <v>0.86096837556959505</v>
      </c>
      <c r="G2249" s="2">
        <f t="shared" ca="1" si="2175"/>
        <v>7.2540410838058317E-2</v>
      </c>
      <c r="H2249" s="2">
        <f t="shared" ca="1" si="2176"/>
        <v>7.2540410838058317E-2</v>
      </c>
      <c r="I2249" s="2">
        <f t="shared" ca="1" si="2177"/>
        <v>0.42503599962008376</v>
      </c>
      <c r="J2249" s="2">
        <f t="shared" ca="1" si="2178"/>
        <v>9.054867194102062E-3</v>
      </c>
      <c r="K2249" s="2">
        <f t="shared" ca="1" si="2179"/>
        <v>9.054867194102062E-3</v>
      </c>
      <c r="L2249" s="2">
        <f t="shared" ca="1" si="2180"/>
        <v>0.99637078041431404</v>
      </c>
      <c r="M2249" s="2">
        <f t="shared" ca="1" si="2181"/>
        <v>5.3694970972488369E-2</v>
      </c>
      <c r="N2249" s="2">
        <f t="shared" ca="1" si="2182"/>
        <v>0.05</v>
      </c>
      <c r="O2249" s="2">
        <f t="shared" si="2183"/>
        <v>6000000</v>
      </c>
      <c r="P2249" s="2">
        <f t="shared" ca="1" si="2184"/>
        <v>41746886.540868439</v>
      </c>
      <c r="Q2249" s="2">
        <f t="shared" ca="1" si="2185"/>
        <v>1043672.163521711</v>
      </c>
      <c r="R2249" s="2">
        <f t="shared" ca="1" si="2186"/>
        <v>25048131.924521063</v>
      </c>
      <c r="S2249" s="2">
        <f t="shared" ca="1" si="2187"/>
        <v>16698754.616347376</v>
      </c>
      <c r="T2249" s="2">
        <f t="shared" ca="1" si="2188"/>
        <v>52500000</v>
      </c>
      <c r="U2249" s="2">
        <f t="shared" ca="1" si="2189"/>
        <v>56308371.568998061</v>
      </c>
      <c r="V2249" s="2">
        <f t="shared" ca="1" si="2190"/>
        <v>60393003.976235218</v>
      </c>
      <c r="W2249" s="2">
        <f t="shared" ca="1" si="2191"/>
        <v>64773937.296415806</v>
      </c>
      <c r="X2249" s="2">
        <f t="shared" ca="1" si="2192"/>
        <v>69472665.319496438</v>
      </c>
      <c r="Y2249" s="2">
        <f t="shared" ca="1" si="2193"/>
        <v>0.12452743359705103</v>
      </c>
      <c r="Z2249" s="2">
        <f t="shared" ca="1" si="2194"/>
        <v>0.12633840703587143</v>
      </c>
      <c r="AA2249" s="2">
        <f t="shared" ca="1" si="2195"/>
        <v>6537690.2638451792</v>
      </c>
      <c r="AB2249" s="2">
        <f t="shared" ca="1" si="2196"/>
        <v>7113909.9668111671</v>
      </c>
      <c r="AC2249" s="2">
        <f t="shared" ca="1" si="2197"/>
        <v>7629955.9184686067</v>
      </c>
      <c r="AD2249" s="2">
        <f t="shared" ca="1" si="2198"/>
        <v>8183436.0554705933</v>
      </c>
      <c r="AE2249" s="2">
        <f t="shared" ca="1" si="2199"/>
        <v>8777065.869001409</v>
      </c>
      <c r="AF2249" s="2">
        <f t="shared" ca="1" si="2200"/>
        <v>1050000</v>
      </c>
      <c r="AG2249" s="2">
        <f t="shared" ca="1" si="2201"/>
        <v>1126167.4313799613</v>
      </c>
      <c r="AH2249" s="2">
        <f t="shared" ca="1" si="2202"/>
        <v>1207860.0795247045</v>
      </c>
      <c r="AI2249" s="2">
        <f t="shared" ca="1" si="2203"/>
        <v>1295478.7459283161</v>
      </c>
      <c r="AJ2249" s="2">
        <f t="shared" ca="1" si="2204"/>
        <v>1389453.3063899288</v>
      </c>
      <c r="AK2249" s="2">
        <f t="shared" ca="1" si="2205"/>
        <v>0</v>
      </c>
      <c r="AL2249" s="2">
        <f t="shared" ca="1" si="2206"/>
        <v>38083.715689980614</v>
      </c>
      <c r="AM2249" s="2">
        <f t="shared" ca="1" si="2207"/>
        <v>40846.324072371572</v>
      </c>
      <c r="AN2249" s="2">
        <f t="shared" ca="1" si="2208"/>
        <v>43809.333201805879</v>
      </c>
      <c r="AO2249" s="2">
        <f t="shared" ca="1" si="2209"/>
        <v>46987.280230806318</v>
      </c>
      <c r="AP2249" s="2">
        <f t="shared" ca="1" si="2210"/>
        <v>2254331.8732068958</v>
      </c>
      <c r="AQ2249" s="2">
        <f t="shared" ca="1" si="2211"/>
        <v>840673.18156595377</v>
      </c>
      <c r="AR2249" s="2">
        <f t="shared" ca="1" si="2212"/>
        <v>970686.7721783208</v>
      </c>
      <c r="AS2249" s="2">
        <f t="shared" ca="1" si="2213"/>
        <v>1083618.6310916217</v>
      </c>
      <c r="AT2249" s="2">
        <f t="shared" ca="1" si="2214"/>
        <v>1204742.6134471991</v>
      </c>
      <c r="AU2249" s="2">
        <f t="shared" ca="1" si="2215"/>
        <v>1334652.9792451919</v>
      </c>
      <c r="AV2249" s="2">
        <f t="shared" ca="1" si="2216"/>
        <v>2392685.20907233</v>
      </c>
      <c r="AW2249" s="2">
        <f t="shared" ca="1" si="2217"/>
        <v>2724640.1743560089</v>
      </c>
      <c r="AX2249" s="2">
        <f t="shared" ca="1" si="2218"/>
        <v>3043299.0105730137</v>
      </c>
      <c r="AY2249" s="2">
        <f t="shared" ca="1" si="2219"/>
        <v>3385073.4896863764</v>
      </c>
      <c r="AZ2249" s="2">
        <f t="shared" ca="1" si="2220"/>
        <v>3751640.4299285868</v>
      </c>
      <c r="BA2249" s="2">
        <f t="shared" ca="1" si="2221"/>
        <v>59824813.8496999</v>
      </c>
      <c r="BB2249" s="2">
        <f t="shared" ca="1" si="2222"/>
        <v>1196496.2769939981</v>
      </c>
      <c r="BC2249" s="2">
        <f t="shared" ca="1" si="2223"/>
        <v>33580185.648184843</v>
      </c>
      <c r="BD2249" s="2">
        <f t="shared" ca="1" si="2224"/>
        <v>-18242426.779869087</v>
      </c>
      <c r="BE2249" s="2">
        <f t="shared" ca="1" si="2225"/>
        <v>2392685.20907233</v>
      </c>
      <c r="BF2249" s="2">
        <f t="shared" ca="1" si="2226"/>
        <v>2724640.1743560089</v>
      </c>
      <c r="BG2249" s="2">
        <f t="shared" ca="1" si="2227"/>
        <v>3043299.0105730137</v>
      </c>
      <c r="BH2249" s="2">
        <f t="shared" ca="1" si="2228"/>
        <v>3385073.4896863764</v>
      </c>
      <c r="BI2249" s="2">
        <f t="shared" ca="1" si="2229"/>
        <v>37331826.078113429</v>
      </c>
      <c r="BJ2249" s="2">
        <f t="shared" ca="1" si="2230"/>
        <v>0.25986780553042155</v>
      </c>
      <c r="BK2249" s="2">
        <f t="shared" ca="1" si="2231"/>
        <v>11566481.978264026</v>
      </c>
    </row>
    <row r="2250" spans="1:63" x14ac:dyDescent="0.3">
      <c r="A2250" s="2">
        <v>2249</v>
      </c>
      <c r="B2250" s="2">
        <f t="shared" ca="1" si="2170"/>
        <v>0.64198185453470813</v>
      </c>
      <c r="C2250" s="2">
        <f t="shared" ca="1" si="2171"/>
        <v>7.1538107239331241</v>
      </c>
      <c r="D2250" s="2">
        <f t="shared" ca="1" si="2172"/>
        <v>0.32377062324962602</v>
      </c>
      <c r="E2250" s="2">
        <f t="shared" ca="1" si="2173"/>
        <v>7.3046994758910015</v>
      </c>
      <c r="F2250" s="2">
        <f t="shared" ca="1" si="2174"/>
        <v>0.92713518087937974</v>
      </c>
      <c r="G2250" s="2">
        <f t="shared" ca="1" si="2175"/>
        <v>8.3643458337731375E-2</v>
      </c>
      <c r="H2250" s="2">
        <f t="shared" ca="1" si="2176"/>
        <v>8.3643458337731375E-2</v>
      </c>
      <c r="I2250" s="2">
        <f t="shared" ca="1" si="2177"/>
        <v>0.645484931403287</v>
      </c>
      <c r="J2250" s="2">
        <f t="shared" ca="1" si="2178"/>
        <v>1.1865794811025914E-2</v>
      </c>
      <c r="K2250" s="2">
        <f t="shared" ca="1" si="2179"/>
        <v>1.1865794811025914E-2</v>
      </c>
      <c r="L2250" s="2">
        <f t="shared" ca="1" si="2180"/>
        <v>0.68009741589940187</v>
      </c>
      <c r="M2250" s="2">
        <f t="shared" ca="1" si="2181"/>
        <v>9.359424479148044E-3</v>
      </c>
      <c r="N2250" s="2">
        <f t="shared" ca="1" si="2182"/>
        <v>9.359424479148044E-3</v>
      </c>
      <c r="O2250" s="2">
        <f t="shared" si="2183"/>
        <v>6000000</v>
      </c>
      <c r="P2250" s="2">
        <f t="shared" ca="1" si="2184"/>
        <v>42922864.343598746</v>
      </c>
      <c r="Q2250" s="2">
        <f t="shared" ca="1" si="2185"/>
        <v>1073071.6085899686</v>
      </c>
      <c r="R2250" s="2">
        <f t="shared" ca="1" si="2186"/>
        <v>25753718.606159247</v>
      </c>
      <c r="S2250" s="2">
        <f t="shared" ca="1" si="2187"/>
        <v>17169145.737439498</v>
      </c>
      <c r="T2250" s="2">
        <f t="shared" ca="1" si="2188"/>
        <v>50467971.223957397</v>
      </c>
      <c r="U2250" s="2">
        <f t="shared" ca="1" si="2189"/>
        <v>54689286.872418307</v>
      </c>
      <c r="V2250" s="2">
        <f t="shared" ca="1" si="2190"/>
        <v>59263687.96045167</v>
      </c>
      <c r="W2250" s="2">
        <f t="shared" ca="1" si="2191"/>
        <v>64220707.775312029</v>
      </c>
      <c r="X2250" s="2">
        <f t="shared" ca="1" si="2192"/>
        <v>69592349.87053597</v>
      </c>
      <c r="Y2250" s="2">
        <f t="shared" ca="1" si="2193"/>
        <v>0.12593289740551294</v>
      </c>
      <c r="Z2250" s="2">
        <f t="shared" ca="1" si="2194"/>
        <v>0.12830605636771814</v>
      </c>
      <c r="AA2250" s="2">
        <f t="shared" ca="1" si="2195"/>
        <v>6355577.8424110068</v>
      </c>
      <c r="AB2250" s="2">
        <f t="shared" ca="1" si="2196"/>
        <v>7016966.7241628105</v>
      </c>
      <c r="AC2250" s="2">
        <f t="shared" ca="1" si="2197"/>
        <v>7603890.0880125705</v>
      </c>
      <c r="AD2250" s="2">
        <f t="shared" ca="1" si="2198"/>
        <v>8239905.7517939396</v>
      </c>
      <c r="AE2250" s="2">
        <f t="shared" ca="1" si="2199"/>
        <v>8929119.9652509503</v>
      </c>
      <c r="AF2250" s="2">
        <f t="shared" ca="1" si="2200"/>
        <v>1009359.424479148</v>
      </c>
      <c r="AG2250" s="2">
        <f t="shared" ca="1" si="2201"/>
        <v>1093785.7374483661</v>
      </c>
      <c r="AH2250" s="2">
        <f t="shared" ca="1" si="2202"/>
        <v>1185273.7592090333</v>
      </c>
      <c r="AI2250" s="2">
        <f t="shared" ca="1" si="2203"/>
        <v>1284414.1555062407</v>
      </c>
      <c r="AJ2250" s="2">
        <f t="shared" ca="1" si="2204"/>
        <v>1391846.9974107195</v>
      </c>
      <c r="AK2250" s="2">
        <f t="shared" ca="1" si="2205"/>
        <v>0</v>
      </c>
      <c r="AL2250" s="2">
        <f t="shared" ca="1" si="2206"/>
        <v>42213.156484609099</v>
      </c>
      <c r="AM2250" s="2">
        <f t="shared" ca="1" si="2207"/>
        <v>45744.010880333633</v>
      </c>
      <c r="AN2250" s="2">
        <f t="shared" ca="1" si="2208"/>
        <v>49570.198148603587</v>
      </c>
      <c r="AO2250" s="2">
        <f t="shared" ca="1" si="2209"/>
        <v>53716.420952239409</v>
      </c>
      <c r="AP2250" s="2">
        <f t="shared" ca="1" si="2210"/>
        <v>2317834.6745543322</v>
      </c>
      <c r="AQ2250" s="2">
        <f t="shared" ca="1" si="2211"/>
        <v>787379.77327815688</v>
      </c>
      <c r="AR2250" s="2">
        <f t="shared" ca="1" si="2212"/>
        <v>937390.04116162914</v>
      </c>
      <c r="AS2250" s="2">
        <f t="shared" ca="1" si="2213"/>
        <v>1066203.2301047933</v>
      </c>
      <c r="AT2250" s="2">
        <f t="shared" ca="1" si="2214"/>
        <v>1205790.7996506756</v>
      </c>
      <c r="AU2250" s="2">
        <f t="shared" ca="1" si="2215"/>
        <v>1357053.9562543337</v>
      </c>
      <c r="AV2250" s="2">
        <f t="shared" ca="1" si="2216"/>
        <v>2241003.9700993691</v>
      </c>
      <c r="AW2250" s="2">
        <f t="shared" ca="1" si="2217"/>
        <v>2625743.1145138731</v>
      </c>
      <c r="AX2250" s="2">
        <f t="shared" ca="1" si="2218"/>
        <v>2988834.4132640781</v>
      </c>
      <c r="AY2250" s="2">
        <f t="shared" ca="1" si="2219"/>
        <v>3382295.9239340881</v>
      </c>
      <c r="AZ2250" s="2">
        <f t="shared" ca="1" si="2220"/>
        <v>3808667.9160793265</v>
      </c>
      <c r="BA2250" s="2">
        <f t="shared" ca="1" si="2221"/>
        <v>65224537.930336498</v>
      </c>
      <c r="BB2250" s="2">
        <f t="shared" ca="1" si="2222"/>
        <v>1304490.75860673</v>
      </c>
      <c r="BC2250" s="2">
        <f t="shared" ca="1" si="2223"/>
        <v>38166328.565570518</v>
      </c>
      <c r="BD2250" s="2">
        <f t="shared" ca="1" si="2224"/>
        <v>-18742217.346029468</v>
      </c>
      <c r="BE2250" s="2">
        <f t="shared" ca="1" si="2225"/>
        <v>2241003.9700993691</v>
      </c>
      <c r="BF2250" s="2">
        <f t="shared" ca="1" si="2226"/>
        <v>2625743.1145138731</v>
      </c>
      <c r="BG2250" s="2">
        <f t="shared" ca="1" si="2227"/>
        <v>2988834.4132640781</v>
      </c>
      <c r="BH2250" s="2">
        <f t="shared" ca="1" si="2228"/>
        <v>3382295.9239340881</v>
      </c>
      <c r="BI2250" s="2">
        <f t="shared" ca="1" si="2229"/>
        <v>41974996.481649846</v>
      </c>
      <c r="BJ2250" s="2">
        <f t="shared" ca="1" si="2230"/>
        <v>0.27186935541022539</v>
      </c>
      <c r="BK2250" s="2">
        <f t="shared" ca="1" si="2231"/>
        <v>13446549.168660451</v>
      </c>
    </row>
    <row r="2251" spans="1:63" x14ac:dyDescent="0.3">
      <c r="A2251" s="2">
        <v>2250</v>
      </c>
      <c r="B2251" s="2">
        <f t="shared" ca="1" si="2170"/>
        <v>0.30347284722891466</v>
      </c>
      <c r="C2251" s="2">
        <f t="shared" ca="1" si="2171"/>
        <v>6.7790671950851413</v>
      </c>
      <c r="D2251" s="2">
        <f t="shared" ca="1" si="2172"/>
        <v>0.29430860853268992</v>
      </c>
      <c r="E2251" s="2">
        <f t="shared" ca="1" si="2173"/>
        <v>7.2672139317461459</v>
      </c>
      <c r="F2251" s="2">
        <f t="shared" ca="1" si="2174"/>
        <v>0.95882965991444125</v>
      </c>
      <c r="G2251" s="2">
        <f t="shared" ca="1" si="2175"/>
        <v>9.2117903447285793E-2</v>
      </c>
      <c r="H2251" s="2">
        <f t="shared" ca="1" si="2176"/>
        <v>9.2117903447285793E-2</v>
      </c>
      <c r="I2251" s="2">
        <f t="shared" ca="1" si="2177"/>
        <v>0.89368196124303501</v>
      </c>
      <c r="J2251" s="2">
        <f t="shared" ca="1" si="2178"/>
        <v>1.6231747976403109E-2</v>
      </c>
      <c r="K2251" s="2">
        <f t="shared" ca="1" si="2179"/>
        <v>1.6231747976403109E-2</v>
      </c>
      <c r="L2251" s="2">
        <f t="shared" ca="1" si="2180"/>
        <v>0.35434215739582764</v>
      </c>
      <c r="M2251" s="2">
        <f t="shared" ca="1" si="2181"/>
        <v>-7.472473571415914E-3</v>
      </c>
      <c r="N2251" s="2">
        <f t="shared" ca="1" si="2182"/>
        <v>-7.472473571415914E-3</v>
      </c>
      <c r="O2251" s="2">
        <f t="shared" si="2183"/>
        <v>6000000</v>
      </c>
      <c r="P2251" s="2">
        <f t="shared" ca="1" si="2184"/>
        <v>40674403.170510851</v>
      </c>
      <c r="Q2251" s="2">
        <f t="shared" ca="1" si="2185"/>
        <v>1016860.0792627713</v>
      </c>
      <c r="R2251" s="2">
        <f t="shared" ca="1" si="2186"/>
        <v>24404641.902306508</v>
      </c>
      <c r="S2251" s="2">
        <f t="shared" ca="1" si="2187"/>
        <v>16269761.268204341</v>
      </c>
      <c r="T2251" s="2">
        <f t="shared" ca="1" si="2188"/>
        <v>49626376.321429208</v>
      </c>
      <c r="U2251" s="2">
        <f t="shared" ca="1" si="2189"/>
        <v>54197854.063845299</v>
      </c>
      <c r="V2251" s="2">
        <f t="shared" ca="1" si="2190"/>
        <v>59190446.751548693</v>
      </c>
      <c r="W2251" s="2">
        <f t="shared" ca="1" si="2191"/>
        <v>64642946.610409573</v>
      </c>
      <c r="X2251" s="2">
        <f t="shared" ca="1" si="2192"/>
        <v>70597719.324815333</v>
      </c>
      <c r="Y2251" s="2">
        <f t="shared" ca="1" si="2193"/>
        <v>0.12811587398820154</v>
      </c>
      <c r="Z2251" s="2">
        <f t="shared" ca="1" si="2194"/>
        <v>0.13136222358348218</v>
      </c>
      <c r="AA2251" s="2">
        <f t="shared" ca="1" si="2195"/>
        <v>6357926.5752872927</v>
      </c>
      <c r="AB2251" s="2">
        <f t="shared" ca="1" si="2196"/>
        <v>7119550.6232797848</v>
      </c>
      <c r="AC2251" s="2">
        <f t="shared" ca="1" si="2197"/>
        <v>7775388.7001831355</v>
      </c>
      <c r="AD2251" s="2">
        <f t="shared" ca="1" si="2198"/>
        <v>8491641.2057317235</v>
      </c>
      <c r="AE2251" s="2">
        <f t="shared" ca="1" si="2199"/>
        <v>9273873.3904303126</v>
      </c>
      <c r="AF2251" s="2">
        <f t="shared" ca="1" si="2200"/>
        <v>992527.52642858413</v>
      </c>
      <c r="AG2251" s="2">
        <f t="shared" ca="1" si="2201"/>
        <v>1083957.081276906</v>
      </c>
      <c r="AH2251" s="2">
        <f t="shared" ca="1" si="2202"/>
        <v>1183808.935030974</v>
      </c>
      <c r="AI2251" s="2">
        <f t="shared" ca="1" si="2203"/>
        <v>1292858.9322081914</v>
      </c>
      <c r="AJ2251" s="2">
        <f t="shared" ca="1" si="2204"/>
        <v>1411954.3864963066</v>
      </c>
      <c r="AK2251" s="2">
        <f t="shared" ca="1" si="2205"/>
        <v>0</v>
      </c>
      <c r="AL2251" s="2">
        <f t="shared" ca="1" si="2206"/>
        <v>45714.777424160915</v>
      </c>
      <c r="AM2251" s="2">
        <f t="shared" ca="1" si="2207"/>
        <v>49925.926877033933</v>
      </c>
      <c r="AN2251" s="2">
        <f t="shared" ca="1" si="2208"/>
        <v>54524.998588608803</v>
      </c>
      <c r="AO2251" s="2">
        <f t="shared" ca="1" si="2209"/>
        <v>59547.727144057601</v>
      </c>
      <c r="AP2251" s="2">
        <f t="shared" ca="1" si="2210"/>
        <v>2196417.7712075855</v>
      </c>
      <c r="AQ2251" s="2">
        <f t="shared" ca="1" si="2211"/>
        <v>823935.13218929211</v>
      </c>
      <c r="AR2251" s="2">
        <f t="shared" ca="1" si="2212"/>
        <v>998185.70040677639</v>
      </c>
      <c r="AS2251" s="2">
        <f t="shared" ca="1" si="2213"/>
        <v>1142742.1184255898</v>
      </c>
      <c r="AT2251" s="2">
        <f t="shared" ca="1" si="2214"/>
        <v>1300614.7706021459</v>
      </c>
      <c r="AU2251" s="2">
        <f t="shared" ca="1" si="2215"/>
        <v>1473030.3205088696</v>
      </c>
      <c r="AV2251" s="2">
        <f t="shared" ca="1" si="2216"/>
        <v>2345046.1454618308</v>
      </c>
      <c r="AW2251" s="2">
        <f t="shared" ca="1" si="2217"/>
        <v>2795275.2929643556</v>
      </c>
      <c r="AX2251" s="2">
        <f t="shared" ca="1" si="2218"/>
        <v>3202493.9486419526</v>
      </c>
      <c r="AY2251" s="2">
        <f t="shared" ca="1" si="2219"/>
        <v>3647224.7331251916</v>
      </c>
      <c r="AZ2251" s="2">
        <f t="shared" ca="1" si="2220"/>
        <v>4132923.1850734935</v>
      </c>
      <c r="BA2251" s="2">
        <f t="shared" ca="1" si="2221"/>
        <v>67395221.904185027</v>
      </c>
      <c r="BB2251" s="2">
        <f t="shared" ca="1" si="2222"/>
        <v>1347904.4380837006</v>
      </c>
      <c r="BC2251" s="2">
        <f t="shared" ca="1" si="2223"/>
        <v>41642675.563794814</v>
      </c>
      <c r="BD2251" s="2">
        <f t="shared" ca="1" si="2224"/>
        <v>-17786621.347467113</v>
      </c>
      <c r="BE2251" s="2">
        <f t="shared" ca="1" si="2225"/>
        <v>2345046.1454618308</v>
      </c>
      <c r="BF2251" s="2">
        <f t="shared" ca="1" si="2226"/>
        <v>2795275.2929643556</v>
      </c>
      <c r="BG2251" s="2">
        <f t="shared" ca="1" si="2227"/>
        <v>3202493.9486419526</v>
      </c>
      <c r="BH2251" s="2">
        <f t="shared" ca="1" si="2228"/>
        <v>3647224.7331251916</v>
      </c>
      <c r="BI2251" s="2">
        <f t="shared" ca="1" si="2229"/>
        <v>45775598.748868309</v>
      </c>
      <c r="BJ2251" s="2">
        <f t="shared" ca="1" si="2230"/>
        <v>0.3128759537331669</v>
      </c>
      <c r="BK2251" s="2">
        <f t="shared" ca="1" si="2231"/>
        <v>17107199.460457113</v>
      </c>
    </row>
    <row r="2252" spans="1:63" x14ac:dyDescent="0.3">
      <c r="A2252" s="2">
        <v>2251</v>
      </c>
      <c r="B2252" s="2">
        <f t="shared" ca="1" si="2170"/>
        <v>0.58278943505488057</v>
      </c>
      <c r="C2252" s="2">
        <f t="shared" ca="1" si="2171"/>
        <v>7.0865334544219811</v>
      </c>
      <c r="D2252" s="2">
        <f t="shared" ca="1" si="2172"/>
        <v>0.73087239902493806</v>
      </c>
      <c r="E2252" s="2">
        <f t="shared" ca="1" si="2173"/>
        <v>7.7663412223995927</v>
      </c>
      <c r="F2252" s="2">
        <f t="shared" ca="1" si="2174"/>
        <v>0.31531914454365118</v>
      </c>
      <c r="G2252" s="2">
        <f t="shared" ca="1" si="2175"/>
        <v>2.5575140621554068E-2</v>
      </c>
      <c r="H2252" s="2">
        <f t="shared" ca="1" si="2176"/>
        <v>2.5575140621554068E-2</v>
      </c>
      <c r="I2252" s="2">
        <f t="shared" ca="1" si="2177"/>
        <v>0.93450196171425459</v>
      </c>
      <c r="J2252" s="2">
        <f t="shared" ca="1" si="2178"/>
        <v>1.7550927910837604E-2</v>
      </c>
      <c r="K2252" s="2">
        <f t="shared" ca="1" si="2179"/>
        <v>1.7550927910837604E-2</v>
      </c>
      <c r="L2252" s="2">
        <f t="shared" ca="1" si="2180"/>
        <v>0.87853524545013728</v>
      </c>
      <c r="M2252" s="2">
        <f t="shared" ca="1" si="2181"/>
        <v>2.3353915130529229E-2</v>
      </c>
      <c r="N2252" s="2">
        <f t="shared" ca="1" si="2182"/>
        <v>2.3353915130529229E-2</v>
      </c>
      <c r="O2252" s="2">
        <f t="shared" si="2183"/>
        <v>6000000</v>
      </c>
      <c r="P2252" s="2">
        <f t="shared" ca="1" si="2184"/>
        <v>42519200.726531886</v>
      </c>
      <c r="Q2252" s="2">
        <f t="shared" ca="1" si="2185"/>
        <v>1062980.0181632971</v>
      </c>
      <c r="R2252" s="2">
        <f t="shared" ca="1" si="2186"/>
        <v>25511520.435919132</v>
      </c>
      <c r="S2252" s="2">
        <f t="shared" ca="1" si="2187"/>
        <v>17007680.290612753</v>
      </c>
      <c r="T2252" s="2">
        <f t="shared" ca="1" si="2188"/>
        <v>51167695.756526463</v>
      </c>
      <c r="U2252" s="2">
        <f t="shared" ca="1" si="2189"/>
        <v>52476316.770780526</v>
      </c>
      <c r="V2252" s="2">
        <f t="shared" ca="1" si="2190"/>
        <v>53818405.951494455</v>
      </c>
      <c r="W2252" s="2">
        <f t="shared" ca="1" si="2191"/>
        <v>55194819.251731806</v>
      </c>
      <c r="X2252" s="2">
        <f t="shared" ca="1" si="2192"/>
        <v>56606434.515676104</v>
      </c>
      <c r="Y2252" s="2">
        <f t="shared" ca="1" si="2193"/>
        <v>0.12877546395541881</v>
      </c>
      <c r="Z2252" s="2">
        <f t="shared" ca="1" si="2194"/>
        <v>0.13228564953758631</v>
      </c>
      <c r="AA2252" s="2">
        <f t="shared" ca="1" si="2195"/>
        <v>6589143.7605764093</v>
      </c>
      <c r="AB2252" s="2">
        <f t="shared" ca="1" si="2196"/>
        <v>6941863.649362836</v>
      </c>
      <c r="AC2252" s="2">
        <f t="shared" ca="1" si="2197"/>
        <v>7119402.7883709446</v>
      </c>
      <c r="AD2252" s="2">
        <f t="shared" ca="1" si="2198"/>
        <v>7301482.5158250155</v>
      </c>
      <c r="AE2252" s="2">
        <f t="shared" ca="1" si="2199"/>
        <v>7488218.9579130588</v>
      </c>
      <c r="AF2252" s="2">
        <f t="shared" ca="1" si="2200"/>
        <v>1023353.9151305293</v>
      </c>
      <c r="AG2252" s="2">
        <f t="shared" ca="1" si="2201"/>
        <v>1049526.3354156106</v>
      </c>
      <c r="AH2252" s="2">
        <f t="shared" ca="1" si="2202"/>
        <v>1076368.1190298891</v>
      </c>
      <c r="AI2252" s="2">
        <f t="shared" ca="1" si="2203"/>
        <v>1103896.3850346361</v>
      </c>
      <c r="AJ2252" s="2">
        <f t="shared" ca="1" si="2204"/>
        <v>1132128.690313522</v>
      </c>
      <c r="AK2252" s="2">
        <f t="shared" ca="1" si="2205"/>
        <v>0</v>
      </c>
      <c r="AL2252" s="2">
        <f t="shared" ca="1" si="2206"/>
        <v>13086.210142540634</v>
      </c>
      <c r="AM2252" s="2">
        <f t="shared" ca="1" si="2207"/>
        <v>13420.891807139293</v>
      </c>
      <c r="AN2252" s="2">
        <f t="shared" ca="1" si="2208"/>
        <v>13764.133002373503</v>
      </c>
      <c r="AO2252" s="2">
        <f t="shared" ca="1" si="2209"/>
        <v>14116.15263944298</v>
      </c>
      <c r="AP2252" s="2">
        <f t="shared" ca="1" si="2210"/>
        <v>2296036.8392327218</v>
      </c>
      <c r="AQ2252" s="2">
        <f t="shared" ca="1" si="2211"/>
        <v>850135.78161542106</v>
      </c>
      <c r="AR2252" s="2">
        <f t="shared" ca="1" si="2212"/>
        <v>935038.1234257709</v>
      </c>
      <c r="AS2252" s="2">
        <f t="shared" ca="1" si="2213"/>
        <v>974219.43582816678</v>
      </c>
      <c r="AT2252" s="2">
        <f t="shared" ca="1" si="2214"/>
        <v>1014402.8158049908</v>
      </c>
      <c r="AU2252" s="2">
        <f t="shared" ca="1" si="2215"/>
        <v>1055613.891375372</v>
      </c>
      <c r="AV2252" s="2">
        <f t="shared" ca="1" si="2216"/>
        <v>2419617.2245977367</v>
      </c>
      <c r="AW2252" s="2">
        <f t="shared" ca="1" si="2217"/>
        <v>2648176.1411461919</v>
      </c>
      <c r="AX2252" s="2">
        <f t="shared" ca="1" si="2218"/>
        <v>2759357.5024730279</v>
      </c>
      <c r="AY2252" s="2">
        <f t="shared" ca="1" si="2219"/>
        <v>2873382.3427502927</v>
      </c>
      <c r="AZ2252" s="2">
        <f t="shared" ca="1" si="2220"/>
        <v>2990323.384352</v>
      </c>
      <c r="BA2252" s="2">
        <f t="shared" ca="1" si="2221"/>
        <v>58156063.575194307</v>
      </c>
      <c r="BB2252" s="2">
        <f t="shared" ca="1" si="2222"/>
        <v>1163121.2715038862</v>
      </c>
      <c r="BC2252" s="2">
        <f t="shared" ca="1" si="2223"/>
        <v>31481421.86777129</v>
      </c>
      <c r="BD2252" s="2">
        <f t="shared" ca="1" si="2224"/>
        <v>-18570660.308776051</v>
      </c>
      <c r="BE2252" s="2">
        <f t="shared" ca="1" si="2225"/>
        <v>2419617.2245977367</v>
      </c>
      <c r="BF2252" s="2">
        <f t="shared" ca="1" si="2226"/>
        <v>2648176.1411461919</v>
      </c>
      <c r="BG2252" s="2">
        <f t="shared" ca="1" si="2227"/>
        <v>2759357.5024730279</v>
      </c>
      <c r="BH2252" s="2">
        <f t="shared" ca="1" si="2228"/>
        <v>2873382.3427502927</v>
      </c>
      <c r="BI2252" s="2">
        <f t="shared" ca="1" si="2229"/>
        <v>34471745.252123289</v>
      </c>
      <c r="BJ2252" s="2">
        <f t="shared" ca="1" si="2230"/>
        <v>0.23210173690537239</v>
      </c>
      <c r="BK2252" s="2">
        <f t="shared" ca="1" si="2231"/>
        <v>9051158.6310325935</v>
      </c>
    </row>
    <row r="2253" spans="1:63" x14ac:dyDescent="0.3">
      <c r="A2253" s="2">
        <v>2252</v>
      </c>
      <c r="B2253" s="2">
        <f t="shared" ca="1" si="2170"/>
        <v>0.6603598110692499</v>
      </c>
      <c r="C2253" s="2">
        <f t="shared" ca="1" si="2171"/>
        <v>7.1758153253902979</v>
      </c>
      <c r="D2253" s="2">
        <f t="shared" ca="1" si="2172"/>
        <v>0.8449445841899349</v>
      </c>
      <c r="E2253" s="2">
        <f t="shared" ca="1" si="2173"/>
        <v>7.9431240428783711</v>
      </c>
      <c r="F2253" s="2">
        <f t="shared" ca="1" si="2174"/>
        <v>0.46666136760698007</v>
      </c>
      <c r="G2253" s="2">
        <f t="shared" ca="1" si="2175"/>
        <v>3.7490048102720629E-2</v>
      </c>
      <c r="H2253" s="2">
        <f t="shared" ca="1" si="2176"/>
        <v>3.7490048102720629E-2</v>
      </c>
      <c r="I2253" s="2">
        <f t="shared" ca="1" si="2177"/>
        <v>0.24122815185576163</v>
      </c>
      <c r="J2253" s="2">
        <f t="shared" ca="1" si="2178"/>
        <v>6.4882129896278781E-3</v>
      </c>
      <c r="K2253" s="2">
        <f t="shared" ca="1" si="2179"/>
        <v>6.4882129896278781E-3</v>
      </c>
      <c r="L2253" s="2">
        <f t="shared" ca="1" si="2180"/>
        <v>0.76703687890692562</v>
      </c>
      <c r="M2253" s="2">
        <f t="shared" ca="1" si="2181"/>
        <v>1.4582466031579103E-2</v>
      </c>
      <c r="N2253" s="2">
        <f t="shared" ca="1" si="2182"/>
        <v>1.4582466031579103E-2</v>
      </c>
      <c r="O2253" s="2">
        <f t="shared" si="2183"/>
        <v>6000000</v>
      </c>
      <c r="P2253" s="2">
        <f t="shared" ca="1" si="2184"/>
        <v>43054891.952341788</v>
      </c>
      <c r="Q2253" s="2">
        <f t="shared" ca="1" si="2185"/>
        <v>1076372.2988085446</v>
      </c>
      <c r="R2253" s="2">
        <f t="shared" ca="1" si="2186"/>
        <v>25832935.171405073</v>
      </c>
      <c r="S2253" s="2">
        <f t="shared" ca="1" si="2187"/>
        <v>17221956.780936714</v>
      </c>
      <c r="T2253" s="2">
        <f t="shared" ca="1" si="2188"/>
        <v>50729123.301578961</v>
      </c>
      <c r="U2253" s="2">
        <f t="shared" ca="1" si="2189"/>
        <v>52630960.574364007</v>
      </c>
      <c r="V2253" s="2">
        <f t="shared" ca="1" si="2190"/>
        <v>54604097.817989312</v>
      </c>
      <c r="W2253" s="2">
        <f t="shared" ca="1" si="2191"/>
        <v>56651208.071791396</v>
      </c>
      <c r="X2253" s="2">
        <f t="shared" ca="1" si="2192"/>
        <v>58775064.587480098</v>
      </c>
      <c r="Y2253" s="2">
        <f t="shared" ca="1" si="2193"/>
        <v>0.12324410649481393</v>
      </c>
      <c r="Z2253" s="2">
        <f t="shared" ca="1" si="2194"/>
        <v>0.1245417490927395</v>
      </c>
      <c r="AA2253" s="2">
        <f t="shared" ca="1" si="2195"/>
        <v>6252065.4745683447</v>
      </c>
      <c r="AB2253" s="2">
        <f t="shared" ca="1" si="2196"/>
        <v>6554751.8863623068</v>
      </c>
      <c r="AC2253" s="2">
        <f t="shared" ca="1" si="2197"/>
        <v>6800489.8498834297</v>
      </c>
      <c r="AD2253" s="2">
        <f t="shared" ca="1" si="2198"/>
        <v>7055440.5414776225</v>
      </c>
      <c r="AE2253" s="2">
        <f t="shared" ca="1" si="2199"/>
        <v>7319949.3467635056</v>
      </c>
      <c r="AF2253" s="2">
        <f t="shared" ca="1" si="2200"/>
        <v>1014582.4660315793</v>
      </c>
      <c r="AG2253" s="2">
        <f t="shared" ca="1" si="2201"/>
        <v>1052619.2114872802</v>
      </c>
      <c r="AH2253" s="2">
        <f t="shared" ca="1" si="2202"/>
        <v>1092081.9563597862</v>
      </c>
      <c r="AI2253" s="2">
        <f t="shared" ca="1" si="2203"/>
        <v>1133024.1614358278</v>
      </c>
      <c r="AJ2253" s="2">
        <f t="shared" ca="1" si="2204"/>
        <v>1175501.291749602</v>
      </c>
      <c r="AK2253" s="2">
        <f t="shared" ca="1" si="2205"/>
        <v>0</v>
      </c>
      <c r="AL2253" s="2">
        <f t="shared" ca="1" si="2206"/>
        <v>19018.372727850452</v>
      </c>
      <c r="AM2253" s="2">
        <f t="shared" ca="1" si="2207"/>
        <v>19731.372436253056</v>
      </c>
      <c r="AN2253" s="2">
        <f t="shared" ca="1" si="2208"/>
        <v>20471.102538020834</v>
      </c>
      <c r="AO2253" s="2">
        <f t="shared" ca="1" si="2209"/>
        <v>21238.565156887023</v>
      </c>
      <c r="AP2253" s="2">
        <f t="shared" ca="1" si="2210"/>
        <v>2324964.1654264564</v>
      </c>
      <c r="AQ2253" s="2">
        <f t="shared" ca="1" si="2211"/>
        <v>757254.89920868038</v>
      </c>
      <c r="AR2253" s="2">
        <f t="shared" ca="1" si="2212"/>
        <v>826063.81245662831</v>
      </c>
      <c r="AS2253" s="2">
        <f t="shared" ca="1" si="2213"/>
        <v>879695.36930526874</v>
      </c>
      <c r="AT2253" s="2">
        <f t="shared" ca="1" si="2214"/>
        <v>935337.575799988</v>
      </c>
      <c r="AU2253" s="2">
        <f t="shared" ca="1" si="2215"/>
        <v>993065.81129273621</v>
      </c>
      <c r="AV2253" s="2">
        <f t="shared" ca="1" si="2216"/>
        <v>2155263.9439016283</v>
      </c>
      <c r="AW2253" s="2">
        <f t="shared" ca="1" si="2217"/>
        <v>2332086.3242640914</v>
      </c>
      <c r="AX2253" s="2">
        <f t="shared" ca="1" si="2218"/>
        <v>2484016.9863556651</v>
      </c>
      <c r="AY2253" s="2">
        <f t="shared" ca="1" si="2219"/>
        <v>2641643.5362773295</v>
      </c>
      <c r="AZ2253" s="2">
        <f t="shared" ca="1" si="2220"/>
        <v>2805179.5131378239</v>
      </c>
      <c r="BA2253" s="2">
        <f t="shared" ca="1" si="2221"/>
        <v>58143265.64892903</v>
      </c>
      <c r="BB2253" s="2">
        <f t="shared" ca="1" si="2222"/>
        <v>1162865.3129785806</v>
      </c>
      <c r="BC2253" s="2">
        <f t="shared" ca="1" si="2223"/>
        <v>31147465.164545376</v>
      </c>
      <c r="BD2253" s="2">
        <f t="shared" ca="1" si="2224"/>
        <v>-18798329.079745259</v>
      </c>
      <c r="BE2253" s="2">
        <f t="shared" ca="1" si="2225"/>
        <v>2155263.9439016283</v>
      </c>
      <c r="BF2253" s="2">
        <f t="shared" ca="1" si="2226"/>
        <v>2332086.3242640914</v>
      </c>
      <c r="BG2253" s="2">
        <f t="shared" ca="1" si="2227"/>
        <v>2484016.9863556651</v>
      </c>
      <c r="BH2253" s="2">
        <f t="shared" ca="1" si="2228"/>
        <v>2641643.5362773295</v>
      </c>
      <c r="BI2253" s="2">
        <f t="shared" ca="1" si="2229"/>
        <v>33952644.677683197</v>
      </c>
      <c r="BJ2253" s="2">
        <f t="shared" ca="1" si="2230"/>
        <v>0.2146189433682717</v>
      </c>
      <c r="BK2253" s="2">
        <f t="shared" ca="1" si="2231"/>
        <v>7697667.5298486352</v>
      </c>
    </row>
    <row r="2254" spans="1:63" x14ac:dyDescent="0.3">
      <c r="A2254" s="2">
        <v>2253</v>
      </c>
      <c r="B2254" s="2">
        <f t="shared" ca="1" si="2170"/>
        <v>0.86815518560292071</v>
      </c>
      <c r="C2254" s="2">
        <f t="shared" ca="1" si="2171"/>
        <v>7.4864928152458248</v>
      </c>
      <c r="D2254" s="2">
        <f t="shared" ca="1" si="2172"/>
        <v>0.28888340091781028</v>
      </c>
      <c r="E2254" s="2">
        <f t="shared" ca="1" si="2173"/>
        <v>7.2601097301282369</v>
      </c>
      <c r="F2254" s="2">
        <f t="shared" ca="1" si="2174"/>
        <v>0.89203963616977799</v>
      </c>
      <c r="G2254" s="2">
        <f t="shared" ca="1" si="2175"/>
        <v>7.7123446502827431E-2</v>
      </c>
      <c r="H2254" s="2">
        <f t="shared" ca="1" si="2176"/>
        <v>7.7123446502827431E-2</v>
      </c>
      <c r="I2254" s="2">
        <f t="shared" ca="1" si="2177"/>
        <v>0.59469301344407521</v>
      </c>
      <c r="J2254" s="2">
        <f t="shared" ca="1" si="2178"/>
        <v>1.119817020192484E-2</v>
      </c>
      <c r="K2254" s="2">
        <f t="shared" ca="1" si="2179"/>
        <v>1.119817020192484E-2</v>
      </c>
      <c r="L2254" s="2">
        <f t="shared" ca="1" si="2180"/>
        <v>0.72085781075528932</v>
      </c>
      <c r="M2254" s="2">
        <f t="shared" ca="1" si="2181"/>
        <v>1.1707833699367539E-2</v>
      </c>
      <c r="N2254" s="2">
        <f t="shared" ca="1" si="2182"/>
        <v>1.1707833699367539E-2</v>
      </c>
      <c r="O2254" s="2">
        <f t="shared" si="2183"/>
        <v>6000000</v>
      </c>
      <c r="P2254" s="2">
        <f t="shared" ca="1" si="2184"/>
        <v>44918956.891474947</v>
      </c>
      <c r="Q2254" s="2">
        <f t="shared" ca="1" si="2185"/>
        <v>1122973.9222868737</v>
      </c>
      <c r="R2254" s="2">
        <f t="shared" ca="1" si="2186"/>
        <v>26951374.134884968</v>
      </c>
      <c r="S2254" s="2">
        <f t="shared" ca="1" si="2187"/>
        <v>17967582.756589979</v>
      </c>
      <c r="T2254" s="2">
        <f t="shared" ca="1" si="2188"/>
        <v>50585391.684968375</v>
      </c>
      <c r="U2254" s="2">
        <f t="shared" ca="1" si="2189"/>
        <v>54486711.434408605</v>
      </c>
      <c r="V2254" s="2">
        <f t="shared" ca="1" si="2190"/>
        <v>58688914.40883521</v>
      </c>
      <c r="W2254" s="2">
        <f t="shared" ca="1" si="2191"/>
        <v>63215205.759554029</v>
      </c>
      <c r="X2254" s="2">
        <f t="shared" ca="1" si="2192"/>
        <v>68090580.299116224</v>
      </c>
      <c r="Y2254" s="2">
        <f t="shared" ca="1" si="2193"/>
        <v>0.1255990851009624</v>
      </c>
      <c r="Z2254" s="2">
        <f t="shared" ca="1" si="2194"/>
        <v>0.1278387191413474</v>
      </c>
      <c r="AA2254" s="2">
        <f t="shared" ca="1" si="2195"/>
        <v>6353478.9151058588</v>
      </c>
      <c r="AB2254" s="2">
        <f t="shared" ca="1" si="2196"/>
        <v>6965511.3999990029</v>
      </c>
      <c r="AC2254" s="2">
        <f t="shared" ca="1" si="2197"/>
        <v>7502715.6458216608</v>
      </c>
      <c r="AD2254" s="2">
        <f t="shared" ca="1" si="2198"/>
        <v>8081350.934558114</v>
      </c>
      <c r="AE2254" s="2">
        <f t="shared" ca="1" si="2199"/>
        <v>8704612.5710300803</v>
      </c>
      <c r="AF2254" s="2">
        <f t="shared" ca="1" si="2200"/>
        <v>1011707.8336993675</v>
      </c>
      <c r="AG2254" s="2">
        <f t="shared" ca="1" si="2201"/>
        <v>1089734.2286881721</v>
      </c>
      <c r="AH2254" s="2">
        <f t="shared" ca="1" si="2202"/>
        <v>1173778.2881767042</v>
      </c>
      <c r="AI2254" s="2">
        <f t="shared" ca="1" si="2203"/>
        <v>1264304.1151910806</v>
      </c>
      <c r="AJ2254" s="2">
        <f t="shared" ca="1" si="2204"/>
        <v>1361811.6059823246</v>
      </c>
      <c r="AK2254" s="2">
        <f t="shared" ca="1" si="2205"/>
        <v>0</v>
      </c>
      <c r="AL2254" s="2">
        <f t="shared" ca="1" si="2206"/>
        <v>39013.197494402302</v>
      </c>
      <c r="AM2254" s="2">
        <f t="shared" ca="1" si="2207"/>
        <v>42022.029744266052</v>
      </c>
      <c r="AN2254" s="2">
        <f t="shared" ca="1" si="2208"/>
        <v>45262.91350718819</v>
      </c>
      <c r="AO2254" s="2">
        <f t="shared" ca="1" si="2209"/>
        <v>48753.745395621954</v>
      </c>
      <c r="AP2254" s="2">
        <f t="shared" ca="1" si="2210"/>
        <v>2425623.672139647</v>
      </c>
      <c r="AQ2254" s="2">
        <f t="shared" ca="1" si="2211"/>
        <v>758198.32640937949</v>
      </c>
      <c r="AR2254" s="2">
        <f t="shared" ca="1" si="2212"/>
        <v>897039.90978450782</v>
      </c>
      <c r="AS2254" s="2">
        <f t="shared" ca="1" si="2213"/>
        <v>1014861.5582313805</v>
      </c>
      <c r="AT2254" s="2">
        <f t="shared" ca="1" si="2214"/>
        <v>1141770.0182791203</v>
      </c>
      <c r="AU2254" s="2">
        <f t="shared" ca="1" si="2215"/>
        <v>1278466.0961561087</v>
      </c>
      <c r="AV2254" s="2">
        <f t="shared" ca="1" si="2216"/>
        <v>2157949.0828574649</v>
      </c>
      <c r="AW2254" s="2">
        <f t="shared" ca="1" si="2217"/>
        <v>2514100.3918922734</v>
      </c>
      <c r="AX2254" s="2">
        <f t="shared" ca="1" si="2218"/>
        <v>2846430.0975296632</v>
      </c>
      <c r="AY2254" s="2">
        <f t="shared" ca="1" si="2219"/>
        <v>3204390.2154410784</v>
      </c>
      <c r="AZ2254" s="2">
        <f t="shared" ca="1" si="2220"/>
        <v>3589957.4513563788</v>
      </c>
      <c r="BA2254" s="2">
        <f t="shared" ca="1" si="2221"/>
        <v>63196442.423932053</v>
      </c>
      <c r="BB2254" s="2">
        <f t="shared" ca="1" si="2222"/>
        <v>1263928.8484786411</v>
      </c>
      <c r="BC2254" s="2">
        <f t="shared" ca="1" si="2223"/>
        <v>34981139.440568447</v>
      </c>
      <c r="BD2254" s="2">
        <f t="shared" ca="1" si="2224"/>
        <v>-19590556.678876854</v>
      </c>
      <c r="BE2254" s="2">
        <f t="shared" ca="1" si="2225"/>
        <v>2157949.0828574649</v>
      </c>
      <c r="BF2254" s="2">
        <f t="shared" ca="1" si="2226"/>
        <v>2514100.3918922734</v>
      </c>
      <c r="BG2254" s="2">
        <f t="shared" ca="1" si="2227"/>
        <v>2846430.0975296632</v>
      </c>
      <c r="BH2254" s="2">
        <f t="shared" ca="1" si="2228"/>
        <v>3204390.2154410784</v>
      </c>
      <c r="BI2254" s="2">
        <f t="shared" ca="1" si="2229"/>
        <v>38571096.891924828</v>
      </c>
      <c r="BJ2254" s="2">
        <f t="shared" ca="1" si="2230"/>
        <v>0.2367963223050773</v>
      </c>
      <c r="BK2254" s="2">
        <f t="shared" ca="1" si="2231"/>
        <v>10289165.877021506</v>
      </c>
    </row>
    <row r="2255" spans="1:63" x14ac:dyDescent="0.3">
      <c r="A2255" s="2">
        <v>2254</v>
      </c>
      <c r="B2255" s="2">
        <f t="shared" ca="1" si="2170"/>
        <v>0.4643510124303164</v>
      </c>
      <c r="C2255" s="2">
        <f t="shared" ca="1" si="2171"/>
        <v>6.9636918723641044</v>
      </c>
      <c r="D2255" s="2">
        <f t="shared" ca="1" si="2172"/>
        <v>0.73654625366750559</v>
      </c>
      <c r="E2255" s="2">
        <f t="shared" ca="1" si="2173"/>
        <v>7.7741160611606093</v>
      </c>
      <c r="F2255" s="2">
        <f t="shared" ca="1" si="2174"/>
        <v>0.49480971293576137</v>
      </c>
      <c r="G2255" s="2">
        <f t="shared" ca="1" si="2175"/>
        <v>3.9609685379412535E-2</v>
      </c>
      <c r="H2255" s="2">
        <f t="shared" ca="1" si="2176"/>
        <v>3.9609685379412535E-2</v>
      </c>
      <c r="I2255" s="2">
        <f t="shared" ca="1" si="2177"/>
        <v>0.55397206664295162</v>
      </c>
      <c r="J2255" s="2">
        <f t="shared" ca="1" si="2178"/>
        <v>1.0678516323672348E-2</v>
      </c>
      <c r="K2255" s="2">
        <f t="shared" ca="1" si="2179"/>
        <v>1.0678516323672348E-2</v>
      </c>
      <c r="L2255" s="2">
        <f t="shared" ca="1" si="2180"/>
        <v>0.53748714624403793</v>
      </c>
      <c r="M2255" s="2">
        <f t="shared" ca="1" si="2181"/>
        <v>1.8821010341064351E-3</v>
      </c>
      <c r="N2255" s="2">
        <f t="shared" ca="1" si="2182"/>
        <v>1.8821010341064351E-3</v>
      </c>
      <c r="O2255" s="2">
        <f t="shared" si="2183"/>
        <v>6000000</v>
      </c>
      <c r="P2255" s="2">
        <f t="shared" ca="1" si="2184"/>
        <v>41782151.234184623</v>
      </c>
      <c r="Q2255" s="2">
        <f t="shared" ca="1" si="2185"/>
        <v>1044553.7808546156</v>
      </c>
      <c r="R2255" s="2">
        <f t="shared" ca="1" si="2186"/>
        <v>25069290.740510773</v>
      </c>
      <c r="S2255" s="2">
        <f t="shared" ca="1" si="2187"/>
        <v>16712860.49367385</v>
      </c>
      <c r="T2255" s="2">
        <f t="shared" ca="1" si="2188"/>
        <v>50094105.051705316</v>
      </c>
      <c r="U2255" s="2">
        <f t="shared" ca="1" si="2189"/>
        <v>52078316.792166606</v>
      </c>
      <c r="V2255" s="2">
        <f t="shared" ca="1" si="2190"/>
        <v>54141122.5353937</v>
      </c>
      <c r="W2255" s="2">
        <f t="shared" ca="1" si="2191"/>
        <v>56285635.36510887</v>
      </c>
      <c r="X2255" s="2">
        <f t="shared" ca="1" si="2192"/>
        <v>58515091.673301168</v>
      </c>
      <c r="Y2255" s="2">
        <f t="shared" ca="1" si="2193"/>
        <v>0.12533925816183616</v>
      </c>
      <c r="Z2255" s="2">
        <f t="shared" ca="1" si="2194"/>
        <v>0.12747496142657064</v>
      </c>
      <c r="AA2255" s="2">
        <f t="shared" ca="1" si="2195"/>
        <v>6278757.9654618334</v>
      </c>
      <c r="AB2255" s="2">
        <f t="shared" ca="1" si="2196"/>
        <v>6638681.424242164</v>
      </c>
      <c r="AC2255" s="2">
        <f t="shared" ca="1" si="2197"/>
        <v>6901637.5067905458</v>
      </c>
      <c r="AD2255" s="2">
        <f t="shared" ca="1" si="2198"/>
        <v>7175009.1970372731</v>
      </c>
      <c r="AE2255" s="2">
        <f t="shared" ca="1" si="2199"/>
        <v>7459209.0539263114</v>
      </c>
      <c r="AF2255" s="2">
        <f t="shared" ca="1" si="2200"/>
        <v>1001882.1010341063</v>
      </c>
      <c r="AG2255" s="2">
        <f t="shared" ca="1" si="2201"/>
        <v>1041566.3358433321</v>
      </c>
      <c r="AH2255" s="2">
        <f t="shared" ca="1" si="2202"/>
        <v>1082822.450707874</v>
      </c>
      <c r="AI2255" s="2">
        <f t="shared" ca="1" si="2203"/>
        <v>1125712.7073021773</v>
      </c>
      <c r="AJ2255" s="2">
        <f t="shared" ca="1" si="2204"/>
        <v>1170301.8334660234</v>
      </c>
      <c r="AK2255" s="2">
        <f t="shared" ca="1" si="2205"/>
        <v>0</v>
      </c>
      <c r="AL2255" s="2">
        <f t="shared" ca="1" si="2206"/>
        <v>19842.117404612898</v>
      </c>
      <c r="AM2255" s="2">
        <f t="shared" ca="1" si="2207"/>
        <v>20628.057432270944</v>
      </c>
      <c r="AN2255" s="2">
        <f t="shared" ca="1" si="2208"/>
        <v>21445.128297151699</v>
      </c>
      <c r="AO2255" s="2">
        <f t="shared" ca="1" si="2209"/>
        <v>22294.563081922977</v>
      </c>
      <c r="AP2255" s="2">
        <f t="shared" ca="1" si="2210"/>
        <v>2256236.1666459693</v>
      </c>
      <c r="AQ2255" s="2">
        <f t="shared" ca="1" si="2211"/>
        <v>785366.321423257</v>
      </c>
      <c r="AR2255" s="2">
        <f t="shared" ca="1" si="2212"/>
        <v>868628.51965574431</v>
      </c>
      <c r="AS2255" s="2">
        <f t="shared" ca="1" si="2213"/>
        <v>926270.51125354262</v>
      </c>
      <c r="AT2255" s="2">
        <f t="shared" ca="1" si="2214"/>
        <v>986195.68400317291</v>
      </c>
      <c r="AU2255" s="2">
        <f t="shared" ca="1" si="2215"/>
        <v>1048494.4739917229</v>
      </c>
      <c r="AV2255" s="2">
        <f t="shared" ca="1" si="2216"/>
        <v>2235273.3763585007</v>
      </c>
      <c r="AW2255" s="2">
        <f t="shared" ca="1" si="2217"/>
        <v>2452408.2846925054</v>
      </c>
      <c r="AX2255" s="2">
        <f t="shared" ca="1" si="2218"/>
        <v>2615680.3207508894</v>
      </c>
      <c r="AY2255" s="2">
        <f t="shared" ca="1" si="2219"/>
        <v>2785419.5107888011</v>
      </c>
      <c r="AZ2255" s="2">
        <f t="shared" ca="1" si="2220"/>
        <v>2961882.0167406732</v>
      </c>
      <c r="BA2255" s="2">
        <f t="shared" ca="1" si="2221"/>
        <v>57988756.909683168</v>
      </c>
      <c r="BB2255" s="2">
        <f t="shared" ca="1" si="2222"/>
        <v>1159775.1381936634</v>
      </c>
      <c r="BC2255" s="2">
        <f t="shared" ca="1" si="2223"/>
        <v>31759691.030978732</v>
      </c>
      <c r="BD2255" s="2">
        <f t="shared" ca="1" si="2224"/>
        <v>-18257414.274528466</v>
      </c>
      <c r="BE2255" s="2">
        <f t="shared" ca="1" si="2225"/>
        <v>2235273.3763585007</v>
      </c>
      <c r="BF2255" s="2">
        <f t="shared" ca="1" si="2226"/>
        <v>2452408.2846925054</v>
      </c>
      <c r="BG2255" s="2">
        <f t="shared" ca="1" si="2227"/>
        <v>2615680.3207508894</v>
      </c>
      <c r="BH2255" s="2">
        <f t="shared" ca="1" si="2228"/>
        <v>2785419.5107888011</v>
      </c>
      <c r="BI2255" s="2">
        <f t="shared" ca="1" si="2229"/>
        <v>34721573.047719404</v>
      </c>
      <c r="BJ2255" s="2">
        <f t="shared" ca="1" si="2230"/>
        <v>0.23222742839636923</v>
      </c>
      <c r="BK2255" s="2">
        <f t="shared" ca="1" si="2231"/>
        <v>9027337.45762752</v>
      </c>
    </row>
    <row r="2256" spans="1:63" x14ac:dyDescent="0.3">
      <c r="A2256" s="2">
        <v>2255</v>
      </c>
      <c r="B2256" s="2">
        <f t="shared" ca="1" si="2170"/>
        <v>0.4859570612842512</v>
      </c>
      <c r="C2256" s="2">
        <f t="shared" ca="1" si="2171"/>
        <v>6.9858570497635561</v>
      </c>
      <c r="D2256" s="2">
        <f t="shared" ca="1" si="2172"/>
        <v>0.3408849888362695</v>
      </c>
      <c r="E2256" s="2">
        <f t="shared" ca="1" si="2173"/>
        <v>7.3256936342691148</v>
      </c>
      <c r="F2256" s="2">
        <f t="shared" ca="1" si="2174"/>
        <v>0.10753418375332724</v>
      </c>
      <c r="G2256" s="2">
        <f t="shared" ca="1" si="2175"/>
        <v>2.8075397619768544E-3</v>
      </c>
      <c r="H2256" s="2">
        <f t="shared" ca="1" si="2176"/>
        <v>2.8075397619768544E-3</v>
      </c>
      <c r="I2256" s="2">
        <f t="shared" ca="1" si="2177"/>
        <v>0.55716621903487462</v>
      </c>
      <c r="J2256" s="2">
        <f t="shared" ca="1" si="2178"/>
        <v>1.0718942007678743E-2</v>
      </c>
      <c r="K2256" s="2">
        <f t="shared" ca="1" si="2179"/>
        <v>1.0718942007678743E-2</v>
      </c>
      <c r="L2256" s="2">
        <f t="shared" ca="1" si="2180"/>
        <v>0.85771593668958257</v>
      </c>
      <c r="M2256" s="2">
        <f t="shared" ca="1" si="2181"/>
        <v>2.1402274292176133E-2</v>
      </c>
      <c r="N2256" s="2">
        <f t="shared" ca="1" si="2182"/>
        <v>2.1402274292176133E-2</v>
      </c>
      <c r="O2256" s="2">
        <f t="shared" si="2183"/>
        <v>6000000</v>
      </c>
      <c r="P2256" s="2">
        <f t="shared" ca="1" si="2184"/>
        <v>41915142.298581339</v>
      </c>
      <c r="Q2256" s="2">
        <f t="shared" ca="1" si="2185"/>
        <v>1047878.5574645335</v>
      </c>
      <c r="R2256" s="2">
        <f t="shared" ca="1" si="2186"/>
        <v>25149085.379148804</v>
      </c>
      <c r="S2256" s="2">
        <f t="shared" ca="1" si="2187"/>
        <v>16766056.919432536</v>
      </c>
      <c r="T2256" s="2">
        <f t="shared" ca="1" si="2188"/>
        <v>51070113.714608811</v>
      </c>
      <c r="U2256" s="2">
        <f t="shared" ca="1" si="2189"/>
        <v>51213495.08951126</v>
      </c>
      <c r="V2256" s="2">
        <f t="shared" ca="1" si="2190"/>
        <v>51357279.013324872</v>
      </c>
      <c r="W2256" s="2">
        <f t="shared" ca="1" si="2191"/>
        <v>51501466.616221726</v>
      </c>
      <c r="X2256" s="2">
        <f t="shared" ca="1" si="2192"/>
        <v>51646059.031546891</v>
      </c>
      <c r="Y2256" s="2">
        <f t="shared" ca="1" si="2193"/>
        <v>0.12535947100383937</v>
      </c>
      <c r="Z2256" s="2">
        <f t="shared" ca="1" si="2194"/>
        <v>0.1275032594053751</v>
      </c>
      <c r="AA2256" s="2">
        <f t="shared" ca="1" si="2195"/>
        <v>6402122.4393692827</v>
      </c>
      <c r="AB2256" s="2">
        <f t="shared" ca="1" si="2196"/>
        <v>6529887.5494538583</v>
      </c>
      <c r="AC2256" s="2">
        <f t="shared" ca="1" si="2197"/>
        <v>6548220.4683901882</v>
      </c>
      <c r="AD2256" s="2">
        <f t="shared" ca="1" si="2198"/>
        <v>6566604.8577253846</v>
      </c>
      <c r="AE2256" s="2">
        <f t="shared" ca="1" si="2199"/>
        <v>6585040.8619646393</v>
      </c>
      <c r="AF2256" s="2">
        <f t="shared" ca="1" si="2200"/>
        <v>1021402.2742921762</v>
      </c>
      <c r="AG2256" s="2">
        <f t="shared" ca="1" si="2201"/>
        <v>1024269.9017902252</v>
      </c>
      <c r="AH2256" s="2">
        <f t="shared" ca="1" si="2202"/>
        <v>1027145.5802664974</v>
      </c>
      <c r="AI2256" s="2">
        <f t="shared" ca="1" si="2203"/>
        <v>1030029.3323244345</v>
      </c>
      <c r="AJ2256" s="2">
        <f t="shared" ca="1" si="2204"/>
        <v>1032921.1806309378</v>
      </c>
      <c r="AK2256" s="2">
        <f t="shared" ca="1" si="2205"/>
        <v>0</v>
      </c>
      <c r="AL2256" s="2">
        <f t="shared" ca="1" si="2206"/>
        <v>1433.8137490244956</v>
      </c>
      <c r="AM2256" s="2">
        <f t="shared" ca="1" si="2207"/>
        <v>1437.8392381361127</v>
      </c>
      <c r="AN2256" s="2">
        <f t="shared" ca="1" si="2208"/>
        <v>1441.8760289685429</v>
      </c>
      <c r="AO2256" s="2">
        <f t="shared" ca="1" si="2209"/>
        <v>1445.924153251648</v>
      </c>
      <c r="AP2256" s="2">
        <f t="shared" ca="1" si="2210"/>
        <v>2263417.6841233922</v>
      </c>
      <c r="AQ2256" s="2">
        <f t="shared" ca="1" si="2211"/>
        <v>810498.64504796569</v>
      </c>
      <c r="AR2256" s="2">
        <f t="shared" ca="1" si="2212"/>
        <v>842971.99052046274</v>
      </c>
      <c r="AS2256" s="2">
        <f t="shared" ca="1" si="2213"/>
        <v>846990.87304007774</v>
      </c>
      <c r="AT2256" s="2">
        <f t="shared" ca="1" si="2214"/>
        <v>851021.03873216501</v>
      </c>
      <c r="AU2256" s="2">
        <f t="shared" ca="1" si="2215"/>
        <v>855062.51927468029</v>
      </c>
      <c r="AV2256" s="2">
        <f t="shared" ca="1" si="2216"/>
        <v>2306803.8359057484</v>
      </c>
      <c r="AW2256" s="2">
        <f t="shared" ca="1" si="2217"/>
        <v>2397794.1592707541</v>
      </c>
      <c r="AX2256" s="2">
        <f t="shared" ca="1" si="2218"/>
        <v>2409228.4917220855</v>
      </c>
      <c r="AY2256" s="2">
        <f t="shared" ca="1" si="2219"/>
        <v>2420694.9265164239</v>
      </c>
      <c r="AZ2256" s="2">
        <f t="shared" ca="1" si="2220"/>
        <v>2432193.5537823774</v>
      </c>
      <c r="BA2256" s="2">
        <f t="shared" ca="1" si="2221"/>
        <v>48239991.923896365</v>
      </c>
      <c r="BB2256" s="2">
        <f t="shared" ca="1" si="2222"/>
        <v>964799.83847792726</v>
      </c>
      <c r="BC2256" s="2">
        <f t="shared" ca="1" si="2223"/>
        <v>22126106.706269633</v>
      </c>
      <c r="BD2256" s="2">
        <f t="shared" ca="1" si="2224"/>
        <v>-18313935.476897068</v>
      </c>
      <c r="BE2256" s="2">
        <f t="shared" ca="1" si="2225"/>
        <v>2306803.8359057484</v>
      </c>
      <c r="BF2256" s="2">
        <f t="shared" ca="1" si="2226"/>
        <v>2397794.1592707541</v>
      </c>
      <c r="BG2256" s="2">
        <f t="shared" ca="1" si="2227"/>
        <v>2409228.4917220855</v>
      </c>
      <c r="BH2256" s="2">
        <f t="shared" ca="1" si="2228"/>
        <v>2420694.9265164239</v>
      </c>
      <c r="BI2256" s="2">
        <f t="shared" ca="1" si="2229"/>
        <v>24558300.26005201</v>
      </c>
      <c r="BJ2256" s="2">
        <f t="shared" ca="1" si="2230"/>
        <v>0.16046433061508836</v>
      </c>
      <c r="BK2256" s="2">
        <f t="shared" ca="1" si="2231"/>
        <v>2845493.3678955622</v>
      </c>
    </row>
    <row r="2257" spans="1:63" x14ac:dyDescent="0.3">
      <c r="A2257" s="2">
        <v>2256</v>
      </c>
      <c r="B2257" s="2">
        <f t="shared" ca="1" si="2170"/>
        <v>0.16206562985139117</v>
      </c>
      <c r="C2257" s="2">
        <f t="shared" ca="1" si="2171"/>
        <v>6.5693252670510791</v>
      </c>
      <c r="D2257" s="2">
        <f t="shared" ca="1" si="2172"/>
        <v>0.70065686110825431</v>
      </c>
      <c r="E2257" s="2">
        <f t="shared" ca="1" si="2173"/>
        <v>7.726251799495798</v>
      </c>
      <c r="F2257" s="2">
        <f t="shared" ca="1" si="2174"/>
        <v>0.51258453091334866</v>
      </c>
      <c r="G2257" s="2">
        <f t="shared" ca="1" si="2175"/>
        <v>4.0946499231230241E-2</v>
      </c>
      <c r="H2257" s="2">
        <f t="shared" ca="1" si="2176"/>
        <v>4.0946499231230241E-2</v>
      </c>
      <c r="I2257" s="2">
        <f t="shared" ca="1" si="2177"/>
        <v>0.12825031788328245</v>
      </c>
      <c r="J2257" s="2">
        <f t="shared" ca="1" si="2178"/>
        <v>4.3264952096370582E-3</v>
      </c>
      <c r="K2257" s="2">
        <f t="shared" ca="1" si="2179"/>
        <v>4.3264952096370582E-3</v>
      </c>
      <c r="L2257" s="2">
        <f t="shared" ca="1" si="2180"/>
        <v>0.60113176474869812</v>
      </c>
      <c r="M2257" s="2">
        <f t="shared" ca="1" si="2181"/>
        <v>5.1255525679806367E-3</v>
      </c>
      <c r="N2257" s="2">
        <f t="shared" ca="1" si="2182"/>
        <v>5.1255525679806367E-3</v>
      </c>
      <c r="O2257" s="2">
        <f t="shared" si="2183"/>
        <v>6000000</v>
      </c>
      <c r="P2257" s="2">
        <f t="shared" ca="1" si="2184"/>
        <v>39415951.602306478</v>
      </c>
      <c r="Q2257" s="2">
        <f t="shared" ca="1" si="2185"/>
        <v>985398.79005766194</v>
      </c>
      <c r="R2257" s="2">
        <f t="shared" ca="1" si="2186"/>
        <v>23649570.961383887</v>
      </c>
      <c r="S2257" s="2">
        <f t="shared" ca="1" si="2187"/>
        <v>15766380.640922591</v>
      </c>
      <c r="T2257" s="2">
        <f t="shared" ca="1" si="2188"/>
        <v>50256277.628399029</v>
      </c>
      <c r="U2257" s="2">
        <f t="shared" ca="1" si="2189"/>
        <v>52314096.261674769</v>
      </c>
      <c r="V2257" s="2">
        <f t="shared" ca="1" si="2190"/>
        <v>54456175.364035942</v>
      </c>
      <c r="W2257" s="2">
        <f t="shared" ca="1" si="2191"/>
        <v>56685965.10671518</v>
      </c>
      <c r="X2257" s="2">
        <f t="shared" ca="1" si="2192"/>
        <v>59007056.933378838</v>
      </c>
      <c r="Y2257" s="2">
        <f t="shared" ca="1" si="2193"/>
        <v>0.12216324760481853</v>
      </c>
      <c r="Z2257" s="2">
        <f t="shared" ca="1" si="2194"/>
        <v>0.12302854664674594</v>
      </c>
      <c r="AA2257" s="2">
        <f t="shared" ca="1" si="2195"/>
        <v>6139470.0876146127</v>
      </c>
      <c r="AB2257" s="2">
        <f t="shared" ca="1" si="2196"/>
        <v>6436127.2322118115</v>
      </c>
      <c r="AC2257" s="2">
        <f t="shared" ca="1" si="2197"/>
        <v>6699664.110977673</v>
      </c>
      <c r="AD2257" s="2">
        <f t="shared" ca="1" si="2198"/>
        <v>6973991.9023473207</v>
      </c>
      <c r="AE2257" s="2">
        <f t="shared" ca="1" si="2199"/>
        <v>7259552.4564153915</v>
      </c>
      <c r="AF2257" s="2">
        <f t="shared" ca="1" si="2200"/>
        <v>1005125.5525679806</v>
      </c>
      <c r="AG2257" s="2">
        <f t="shared" ca="1" si="2201"/>
        <v>1046281.9252334954</v>
      </c>
      <c r="AH2257" s="2">
        <f t="shared" ca="1" si="2202"/>
        <v>1089123.5072807188</v>
      </c>
      <c r="AI2257" s="2">
        <f t="shared" ca="1" si="2203"/>
        <v>1133719.3021343036</v>
      </c>
      <c r="AJ2257" s="2">
        <f t="shared" ca="1" si="2204"/>
        <v>1180141.1386675767</v>
      </c>
      <c r="AK2257" s="2">
        <f t="shared" ca="1" si="2205"/>
        <v>0</v>
      </c>
      <c r="AL2257" s="2">
        <f t="shared" ca="1" si="2206"/>
        <v>20578.186332757399</v>
      </c>
      <c r="AM2257" s="2">
        <f t="shared" ca="1" si="2207"/>
        <v>21420.791023611724</v>
      </c>
      <c r="AN2257" s="2">
        <f t="shared" ca="1" si="2208"/>
        <v>22297.897426792384</v>
      </c>
      <c r="AO2257" s="2">
        <f t="shared" ca="1" si="2209"/>
        <v>23210.918266636581</v>
      </c>
      <c r="AP2257" s="2">
        <f t="shared" ca="1" si="2210"/>
        <v>2128461.3865245497</v>
      </c>
      <c r="AQ2257" s="2">
        <f t="shared" ca="1" si="2211"/>
        <v>781529.61861574149</v>
      </c>
      <c r="AR2257" s="2">
        <f t="shared" ca="1" si="2212"/>
        <v>847959.81931797927</v>
      </c>
      <c r="AS2257" s="2">
        <f t="shared" ca="1" si="2213"/>
        <v>905340.59646482521</v>
      </c>
      <c r="AT2257" s="2">
        <f t="shared" ca="1" si="2214"/>
        <v>965070.91555900162</v>
      </c>
      <c r="AU2257" s="2">
        <f t="shared" ca="1" si="2215"/>
        <v>1027246.9821180489</v>
      </c>
      <c r="AV2257" s="2">
        <f t="shared" ca="1" si="2216"/>
        <v>2224353.5299063409</v>
      </c>
      <c r="AW2257" s="2">
        <f t="shared" ca="1" si="2217"/>
        <v>2392845.914803029</v>
      </c>
      <c r="AX2257" s="2">
        <f t="shared" ca="1" si="2218"/>
        <v>2555317.8296839679</v>
      </c>
      <c r="AY2257" s="2">
        <f t="shared" ca="1" si="2219"/>
        <v>2724442.4007026739</v>
      </c>
      <c r="AZ2257" s="2">
        <f t="shared" ca="1" si="2220"/>
        <v>2900492.0308385799</v>
      </c>
      <c r="BA2257" s="2">
        <f t="shared" ca="1" si="2221"/>
        <v>56089130.229913563</v>
      </c>
      <c r="BB2257" s="2">
        <f t="shared" ca="1" si="2222"/>
        <v>1121782.6045982712</v>
      </c>
      <c r="BC2257" s="2">
        <f t="shared" ca="1" si="2223"/>
        <v>31317776.663931403</v>
      </c>
      <c r="BD2257" s="2">
        <f t="shared" ca="1" si="2224"/>
        <v>-17251779.430980254</v>
      </c>
      <c r="BE2257" s="2">
        <f t="shared" ca="1" si="2225"/>
        <v>2224353.5299063409</v>
      </c>
      <c r="BF2257" s="2">
        <f t="shared" ca="1" si="2226"/>
        <v>2392845.914803029</v>
      </c>
      <c r="BG2257" s="2">
        <f t="shared" ca="1" si="2227"/>
        <v>2555317.8296839679</v>
      </c>
      <c r="BH2257" s="2">
        <f t="shared" ca="1" si="2228"/>
        <v>2724442.4007026739</v>
      </c>
      <c r="BI2257" s="2">
        <f t="shared" ca="1" si="2229"/>
        <v>34218268.694769986</v>
      </c>
      <c r="BJ2257" s="2">
        <f t="shared" ca="1" si="2230"/>
        <v>0.24458275281973241</v>
      </c>
      <c r="BK2257" s="2">
        <f t="shared" ca="1" si="2231"/>
        <v>9608434.3905212656</v>
      </c>
    </row>
    <row r="2258" spans="1:63" x14ac:dyDescent="0.3">
      <c r="A2258" s="2">
        <v>2257</v>
      </c>
      <c r="B2258" s="2">
        <f t="shared" ca="1" si="2170"/>
        <v>0.69700734051510083</v>
      </c>
      <c r="C2258" s="2">
        <f t="shared" ca="1" si="2171"/>
        <v>7.2215494113498284</v>
      </c>
      <c r="D2258" s="2">
        <f t="shared" ca="1" si="2172"/>
        <v>0.13261390428093356</v>
      </c>
      <c r="E2258" s="2">
        <f t="shared" ca="1" si="2173"/>
        <v>7.0150027267518755</v>
      </c>
      <c r="F2258" s="2">
        <f t="shared" ca="1" si="2174"/>
        <v>0.37618637345522565</v>
      </c>
      <c r="G2258" s="2">
        <f t="shared" ca="1" si="2175"/>
        <v>3.0534632316935477E-2</v>
      </c>
      <c r="H2258" s="2">
        <f t="shared" ca="1" si="2176"/>
        <v>3.0534632316935477E-2</v>
      </c>
      <c r="I2258" s="2">
        <f t="shared" ca="1" si="2177"/>
        <v>0.38012344720010949</v>
      </c>
      <c r="J2258" s="2">
        <f t="shared" ca="1" si="2178"/>
        <v>8.4742170614703228E-3</v>
      </c>
      <c r="K2258" s="2">
        <f t="shared" ca="1" si="2179"/>
        <v>8.4742170614703228E-3</v>
      </c>
      <c r="L2258" s="2">
        <f t="shared" ca="1" si="2180"/>
        <v>0.59849858403168832</v>
      </c>
      <c r="M2258" s="2">
        <f t="shared" ca="1" si="2181"/>
        <v>4.9892555035175304E-3</v>
      </c>
      <c r="N2258" s="2">
        <f t="shared" ca="1" si="2182"/>
        <v>4.9892555035175304E-3</v>
      </c>
      <c r="O2258" s="2">
        <f t="shared" si="2183"/>
        <v>6000000</v>
      </c>
      <c r="P2258" s="2">
        <f t="shared" ca="1" si="2184"/>
        <v>43329296.468098968</v>
      </c>
      <c r="Q2258" s="2">
        <f t="shared" ca="1" si="2185"/>
        <v>1083232.4117024743</v>
      </c>
      <c r="R2258" s="2">
        <f t="shared" ca="1" si="2186"/>
        <v>25997577.880859379</v>
      </c>
      <c r="S2258" s="2">
        <f t="shared" ca="1" si="2187"/>
        <v>17331718.58723959</v>
      </c>
      <c r="T2258" s="2">
        <f t="shared" ca="1" si="2188"/>
        <v>50249462.775175877</v>
      </c>
      <c r="U2258" s="2">
        <f t="shared" ca="1" si="2189"/>
        <v>51783811.645139411</v>
      </c>
      <c r="V2258" s="2">
        <f t="shared" ca="1" si="2190"/>
        <v>53365011.293693185</v>
      </c>
      <c r="W2258" s="2">
        <f t="shared" ca="1" si="2191"/>
        <v>54994492.292135216</v>
      </c>
      <c r="X2258" s="2">
        <f t="shared" ca="1" si="2192"/>
        <v>56673728.893732108</v>
      </c>
      <c r="Y2258" s="2">
        <f t="shared" ca="1" si="2193"/>
        <v>0.12423710853073516</v>
      </c>
      <c r="Z2258" s="2">
        <f t="shared" ca="1" si="2194"/>
        <v>0.12593195194302922</v>
      </c>
      <c r="AA2258" s="2">
        <f t="shared" ca="1" si="2195"/>
        <v>6242847.960410662</v>
      </c>
      <c r="AB2258" s="2">
        <f t="shared" ca="1" si="2196"/>
        <v>6521236.4795225738</v>
      </c>
      <c r="AC2258" s="2">
        <f t="shared" ca="1" si="2197"/>
        <v>6720360.0376765821</v>
      </c>
      <c r="AD2258" s="2">
        <f t="shared" ca="1" si="2198"/>
        <v>6925563.7604644634</v>
      </c>
      <c r="AE2258" s="2">
        <f t="shared" ca="1" si="2199"/>
        <v>7137033.303477739</v>
      </c>
      <c r="AF2258" s="2">
        <f t="shared" ca="1" si="2200"/>
        <v>1004989.2555035176</v>
      </c>
      <c r="AG2258" s="2">
        <f t="shared" ca="1" si="2201"/>
        <v>1035676.2329027882</v>
      </c>
      <c r="AH2258" s="2">
        <f t="shared" ca="1" si="2202"/>
        <v>1067300.2258738638</v>
      </c>
      <c r="AI2258" s="2">
        <f t="shared" ca="1" si="2203"/>
        <v>1099889.8458427044</v>
      </c>
      <c r="AJ2258" s="2">
        <f t="shared" ca="1" si="2204"/>
        <v>1133474.5778746421</v>
      </c>
      <c r="AK2258" s="2">
        <f t="shared" ca="1" si="2205"/>
        <v>0</v>
      </c>
      <c r="AL2258" s="2">
        <f t="shared" ca="1" si="2206"/>
        <v>15343.488699635342</v>
      </c>
      <c r="AM2258" s="2">
        <f t="shared" ca="1" si="2207"/>
        <v>15811.996485537738</v>
      </c>
      <c r="AN2258" s="2">
        <f t="shared" ca="1" si="2208"/>
        <v>16294.809984420315</v>
      </c>
      <c r="AO2258" s="2">
        <f t="shared" ca="1" si="2209"/>
        <v>16792.366015968921</v>
      </c>
      <c r="AP2258" s="2">
        <f t="shared" ca="1" si="2210"/>
        <v>2339782.0092773442</v>
      </c>
      <c r="AQ2258" s="2">
        <f t="shared" ca="1" si="2211"/>
        <v>753499.94086374808</v>
      </c>
      <c r="AR2258" s="2">
        <f t="shared" ca="1" si="2212"/>
        <v>817902.34170903463</v>
      </c>
      <c r="AS2258" s="2">
        <f t="shared" ca="1" si="2213"/>
        <v>861452.22865659744</v>
      </c>
      <c r="AT2258" s="2">
        <f t="shared" ca="1" si="2214"/>
        <v>906331.89538954792</v>
      </c>
      <c r="AU2258" s="2">
        <f t="shared" ca="1" si="2215"/>
        <v>952581.94624469581</v>
      </c>
      <c r="AV2258" s="2">
        <f t="shared" ca="1" si="2216"/>
        <v>2144576.7547660521</v>
      </c>
      <c r="AW2258" s="2">
        <f t="shared" ca="1" si="2217"/>
        <v>2312532.406933771</v>
      </c>
      <c r="AX2258" s="2">
        <f t="shared" ca="1" si="2218"/>
        <v>2436013.5773832393</v>
      </c>
      <c r="AY2258" s="2">
        <f t="shared" ca="1" si="2219"/>
        <v>2563265.199970447</v>
      </c>
      <c r="AZ2258" s="2">
        <f t="shared" ca="1" si="2220"/>
        <v>2694402.4040650879</v>
      </c>
      <c r="BA2258" s="2">
        <f t="shared" ca="1" si="2221"/>
        <v>50066308.084815286</v>
      </c>
      <c r="BB2258" s="2">
        <f t="shared" ca="1" si="2222"/>
        <v>1001326.1616963057</v>
      </c>
      <c r="BC2258" s="2">
        <f t="shared" ca="1" si="2223"/>
        <v>23067404.0422596</v>
      </c>
      <c r="BD2258" s="2">
        <f t="shared" ca="1" si="2224"/>
        <v>-18914950.998942062</v>
      </c>
      <c r="BE2258" s="2">
        <f t="shared" ca="1" si="2225"/>
        <v>2144576.7547660521</v>
      </c>
      <c r="BF2258" s="2">
        <f t="shared" ca="1" si="2226"/>
        <v>2312532.406933771</v>
      </c>
      <c r="BG2258" s="2">
        <f t="shared" ca="1" si="2227"/>
        <v>2436013.5773832393</v>
      </c>
      <c r="BH2258" s="2">
        <f t="shared" ca="1" si="2228"/>
        <v>2563265.199970447</v>
      </c>
      <c r="BI2258" s="2">
        <f t="shared" ca="1" si="2229"/>
        <v>25761806.446324687</v>
      </c>
      <c r="BJ2258" s="2">
        <f t="shared" ca="1" si="2230"/>
        <v>0.15841226117670848</v>
      </c>
      <c r="BK2258" s="2">
        <f t="shared" ca="1" si="2231"/>
        <v>2824234.9029851519</v>
      </c>
    </row>
    <row r="2259" spans="1:63" x14ac:dyDescent="0.3">
      <c r="A2259" s="2">
        <v>2258</v>
      </c>
      <c r="B2259" s="2">
        <f t="shared" ca="1" si="2170"/>
        <v>0.58675046013059962</v>
      </c>
      <c r="C2259" s="2">
        <f t="shared" ca="1" si="2171"/>
        <v>7.090880052061995</v>
      </c>
      <c r="D2259" s="2">
        <f t="shared" ca="1" si="2172"/>
        <v>0.70613626863336265</v>
      </c>
      <c r="E2259" s="2">
        <f t="shared" ca="1" si="2173"/>
        <v>7.7333661481950626</v>
      </c>
      <c r="F2259" s="2">
        <f t="shared" ca="1" si="2174"/>
        <v>0.63191609923559267</v>
      </c>
      <c r="G2259" s="2">
        <f t="shared" ca="1" si="2175"/>
        <v>5.0107974336072683E-2</v>
      </c>
      <c r="H2259" s="2">
        <f t="shared" ca="1" si="2176"/>
        <v>5.0107974336072683E-2</v>
      </c>
      <c r="I2259" s="2">
        <f t="shared" ca="1" si="2177"/>
        <v>0.35797425624892443</v>
      </c>
      <c r="J2259" s="2">
        <f t="shared" ca="1" si="2178"/>
        <v>8.1806059754672752E-3</v>
      </c>
      <c r="K2259" s="2">
        <f t="shared" ca="1" si="2179"/>
        <v>8.1806059754672752E-3</v>
      </c>
      <c r="L2259" s="2">
        <f t="shared" ca="1" si="2180"/>
        <v>0.29159310743437061</v>
      </c>
      <c r="M2259" s="2">
        <f t="shared" ca="1" si="2181"/>
        <v>-1.0974732295758474E-2</v>
      </c>
      <c r="N2259" s="2">
        <f t="shared" ca="1" si="2182"/>
        <v>-1.0974732295758474E-2</v>
      </c>
      <c r="O2259" s="2">
        <f t="shared" si="2183"/>
        <v>6000000</v>
      </c>
      <c r="P2259" s="2">
        <f t="shared" ca="1" si="2184"/>
        <v>42545280.312371969</v>
      </c>
      <c r="Q2259" s="2">
        <f t="shared" ca="1" si="2185"/>
        <v>1063632.0078092993</v>
      </c>
      <c r="R2259" s="2">
        <f t="shared" ca="1" si="2186"/>
        <v>25527168.187423181</v>
      </c>
      <c r="S2259" s="2">
        <f t="shared" ca="1" si="2187"/>
        <v>17018112.124948788</v>
      </c>
      <c r="T2259" s="2">
        <f t="shared" ca="1" si="2188"/>
        <v>49451263.385212071</v>
      </c>
      <c r="U2259" s="2">
        <f t="shared" ca="1" si="2189"/>
        <v>51929166.021804646</v>
      </c>
      <c r="V2259" s="2">
        <f t="shared" ca="1" si="2190"/>
        <v>54531231.340118885</v>
      </c>
      <c r="W2259" s="2">
        <f t="shared" ca="1" si="2191"/>
        <v>57263680.880624004</v>
      </c>
      <c r="X2259" s="2">
        <f t="shared" ca="1" si="2192"/>
        <v>60133047.932579361</v>
      </c>
      <c r="Y2259" s="2">
        <f t="shared" ca="1" si="2193"/>
        <v>0.12409030298773363</v>
      </c>
      <c r="Z2259" s="2">
        <f t="shared" ca="1" si="2194"/>
        <v>0.12572642418282709</v>
      </c>
      <c r="AA2259" s="2">
        <f t="shared" ca="1" si="2195"/>
        <v>6136422.2565971846</v>
      </c>
      <c r="AB2259" s="2">
        <f t="shared" ca="1" si="2196"/>
        <v>6528868.3547178628</v>
      </c>
      <c r="AC2259" s="2">
        <f t="shared" ca="1" si="2197"/>
        <v>6856016.7226796616</v>
      </c>
      <c r="AD2259" s="2">
        <f t="shared" ca="1" si="2198"/>
        <v>7199557.8326673787</v>
      </c>
      <c r="AE2259" s="2">
        <f t="shared" ca="1" si="2199"/>
        <v>7560313.0917777466</v>
      </c>
      <c r="AF2259" s="2">
        <f t="shared" ca="1" si="2200"/>
        <v>989025.26770424144</v>
      </c>
      <c r="AG2259" s="2">
        <f t="shared" ca="1" si="2201"/>
        <v>1038583.3204360929</v>
      </c>
      <c r="AH2259" s="2">
        <f t="shared" ca="1" si="2202"/>
        <v>1090624.6268023776</v>
      </c>
      <c r="AI2259" s="2">
        <f t="shared" ca="1" si="2203"/>
        <v>1145273.6176124802</v>
      </c>
      <c r="AJ2259" s="2">
        <f t="shared" ca="1" si="2204"/>
        <v>1202660.9586515871</v>
      </c>
      <c r="AK2259" s="2">
        <f t="shared" ca="1" si="2205"/>
        <v>0</v>
      </c>
      <c r="AL2259" s="2">
        <f t="shared" ca="1" si="2206"/>
        <v>24779.026365925743</v>
      </c>
      <c r="AM2259" s="2">
        <f t="shared" ca="1" si="2207"/>
        <v>26020.653183142393</v>
      </c>
      <c r="AN2259" s="2">
        <f t="shared" ca="1" si="2208"/>
        <v>27324.495405051188</v>
      </c>
      <c r="AO2259" s="2">
        <f t="shared" ca="1" si="2209"/>
        <v>28693.670519553572</v>
      </c>
      <c r="AP2259" s="2">
        <f t="shared" ca="1" si="2210"/>
        <v>2297445.1368680862</v>
      </c>
      <c r="AQ2259" s="2">
        <f t="shared" ca="1" si="2211"/>
        <v>740987.48152646271</v>
      </c>
      <c r="AR2259" s="2">
        <f t="shared" ca="1" si="2212"/>
        <v>830138.37332755781</v>
      </c>
      <c r="AS2259" s="2">
        <f t="shared" ca="1" si="2213"/>
        <v>901666.20934239146</v>
      </c>
      <c r="AT2259" s="2">
        <f t="shared" ca="1" si="2214"/>
        <v>976778.16032857122</v>
      </c>
      <c r="AU2259" s="2">
        <f t="shared" ca="1" si="2215"/>
        <v>1055653.8190270991</v>
      </c>
      <c r="AV2259" s="2">
        <f t="shared" ca="1" si="2216"/>
        <v>2108964.3704983941</v>
      </c>
      <c r="AW2259" s="2">
        <f t="shared" ca="1" si="2217"/>
        <v>2337922.4977202001</v>
      </c>
      <c r="AX2259" s="2">
        <f t="shared" ca="1" si="2218"/>
        <v>2540260.0964836641</v>
      </c>
      <c r="AY2259" s="2">
        <f t="shared" ca="1" si="2219"/>
        <v>2752736.4224531907</v>
      </c>
      <c r="AZ2259" s="2">
        <f t="shared" ca="1" si="2220"/>
        <v>2975859.5067114211</v>
      </c>
      <c r="BA2259" s="2">
        <f t="shared" ca="1" si="2221"/>
        <v>58466669.333709978</v>
      </c>
      <c r="BB2259" s="2">
        <f t="shared" ca="1" si="2222"/>
        <v>1169333.3866741995</v>
      </c>
      <c r="BC2259" s="2">
        <f t="shared" ca="1" si="2223"/>
        <v>31770167.759612598</v>
      </c>
      <c r="BD2259" s="2">
        <f t="shared" ca="1" si="2224"/>
        <v>-18581744.132758088</v>
      </c>
      <c r="BE2259" s="2">
        <f t="shared" ca="1" si="2225"/>
        <v>2108964.3704983941</v>
      </c>
      <c r="BF2259" s="2">
        <f t="shared" ca="1" si="2226"/>
        <v>2337922.4977202001</v>
      </c>
      <c r="BG2259" s="2">
        <f t="shared" ca="1" si="2227"/>
        <v>2540260.0964836641</v>
      </c>
      <c r="BH2259" s="2">
        <f t="shared" ca="1" si="2228"/>
        <v>2752736.4224531907</v>
      </c>
      <c r="BI2259" s="2">
        <f t="shared" ca="1" si="2229"/>
        <v>34746027.266324021</v>
      </c>
      <c r="BJ2259" s="2">
        <f t="shared" ca="1" si="2230"/>
        <v>0.223378485713571</v>
      </c>
      <c r="BK2259" s="2">
        <f t="shared" ca="1" si="2231"/>
        <v>8438386.9938250072</v>
      </c>
    </row>
    <row r="2260" spans="1:63" x14ac:dyDescent="0.3">
      <c r="A2260" s="2">
        <v>2259</v>
      </c>
      <c r="B2260" s="2">
        <f t="shared" ca="1" si="2170"/>
        <v>0.3862764696883666</v>
      </c>
      <c r="C2260" s="2">
        <f t="shared" ca="1" si="2171"/>
        <v>6.8789499072056</v>
      </c>
      <c r="D2260" s="2">
        <f t="shared" ca="1" si="2172"/>
        <v>0.50434701479889743</v>
      </c>
      <c r="E2260" s="2">
        <f t="shared" ca="1" si="2173"/>
        <v>7.5043565043640346</v>
      </c>
      <c r="F2260" s="2">
        <f t="shared" ca="1" si="2174"/>
        <v>7.3400656784054719E-2</v>
      </c>
      <c r="G2260" s="2">
        <f t="shared" ca="1" si="2175"/>
        <v>-3.5276888175500218E-3</v>
      </c>
      <c r="H2260" s="2">
        <f t="shared" ca="1" si="2176"/>
        <v>-3.5276888175500218E-3</v>
      </c>
      <c r="I2260" s="2">
        <f t="shared" ca="1" si="2177"/>
        <v>0.55723906255523536</v>
      </c>
      <c r="J2260" s="2">
        <f t="shared" ca="1" si="2178"/>
        <v>1.0719864464760594E-2</v>
      </c>
      <c r="K2260" s="2">
        <f t="shared" ca="1" si="2179"/>
        <v>1.0719864464760594E-2</v>
      </c>
      <c r="L2260" s="2">
        <f t="shared" ca="1" si="2180"/>
        <v>0.20892142351683496</v>
      </c>
      <c r="M2260" s="2">
        <f t="shared" ca="1" si="2181"/>
        <v>-1.6203387123201983E-2</v>
      </c>
      <c r="N2260" s="2">
        <f t="shared" ca="1" si="2182"/>
        <v>-1.6203387123201983E-2</v>
      </c>
      <c r="O2260" s="2">
        <f t="shared" si="2183"/>
        <v>6000000</v>
      </c>
      <c r="P2260" s="2">
        <f t="shared" ca="1" si="2184"/>
        <v>41273699.443233602</v>
      </c>
      <c r="Q2260" s="2">
        <f t="shared" ca="1" si="2185"/>
        <v>1031842.4860808401</v>
      </c>
      <c r="R2260" s="2">
        <f t="shared" ca="1" si="2186"/>
        <v>24764219.665940162</v>
      </c>
      <c r="S2260" s="2">
        <f t="shared" ca="1" si="2187"/>
        <v>16509479.777293442</v>
      </c>
      <c r="T2260" s="2">
        <f t="shared" ca="1" si="2188"/>
        <v>49189830.643839896</v>
      </c>
      <c r="U2260" s="2">
        <f t="shared" ca="1" si="2189"/>
        <v>49016304.228340439</v>
      </c>
      <c r="V2260" s="2">
        <f t="shared" ca="1" si="2190"/>
        <v>48843389.960036494</v>
      </c>
      <c r="W2260" s="2">
        <f t="shared" ca="1" si="2191"/>
        <v>48671085.679463238</v>
      </c>
      <c r="X2260" s="2">
        <f t="shared" ca="1" si="2192"/>
        <v>48499389.234773777</v>
      </c>
      <c r="Y2260" s="2">
        <f t="shared" ca="1" si="2193"/>
        <v>0.12535993223238029</v>
      </c>
      <c r="Z2260" s="2">
        <f t="shared" ca="1" si="2194"/>
        <v>0.12750390512533241</v>
      </c>
      <c r="AA2260" s="2">
        <f t="shared" ca="1" si="2195"/>
        <v>6166433.8360340325</v>
      </c>
      <c r="AB2260" s="2">
        <f t="shared" ca="1" si="2196"/>
        <v>6249770.203924749</v>
      </c>
      <c r="AC2260" s="2">
        <f t="shared" ca="1" si="2197"/>
        <v>6227722.9594641067</v>
      </c>
      <c r="AD2260" s="2">
        <f t="shared" ca="1" si="2198"/>
        <v>6205753.490821206</v>
      </c>
      <c r="AE2260" s="2">
        <f t="shared" ca="1" si="2199"/>
        <v>6183861.5236271638</v>
      </c>
      <c r="AF2260" s="2">
        <f t="shared" ca="1" si="2200"/>
        <v>983796.61287679791</v>
      </c>
      <c r="AG2260" s="2">
        <f t="shared" ca="1" si="2201"/>
        <v>980326.08456680877</v>
      </c>
      <c r="AH2260" s="2">
        <f t="shared" ca="1" si="2202"/>
        <v>976867.79920072993</v>
      </c>
      <c r="AI2260" s="2">
        <f t="shared" ca="1" si="2203"/>
        <v>973421.71358926478</v>
      </c>
      <c r="AJ2260" s="2">
        <f t="shared" ca="1" si="2204"/>
        <v>969987.7846954756</v>
      </c>
      <c r="AK2260" s="2">
        <f t="shared" ca="1" si="2205"/>
        <v>0</v>
      </c>
      <c r="AL2260" s="2">
        <f t="shared" ca="1" si="2206"/>
        <v>0</v>
      </c>
      <c r="AM2260" s="2">
        <f t="shared" ca="1" si="2207"/>
        <v>0</v>
      </c>
      <c r="AN2260" s="2">
        <f t="shared" ca="1" si="2208"/>
        <v>0</v>
      </c>
      <c r="AO2260" s="2">
        <f t="shared" ca="1" si="2209"/>
        <v>0</v>
      </c>
      <c r="AP2260" s="2">
        <f t="shared" ca="1" si="2210"/>
        <v>2228779.7699346147</v>
      </c>
      <c r="AQ2260" s="2">
        <f t="shared" ca="1" si="2211"/>
        <v>768002.93783788115</v>
      </c>
      <c r="AR2260" s="2">
        <f t="shared" ca="1" si="2212"/>
        <v>790572.73085006454</v>
      </c>
      <c r="AS2260" s="2">
        <f t="shared" ca="1" si="2213"/>
        <v>785739.60148547811</v>
      </c>
      <c r="AT2260" s="2">
        <f t="shared" ca="1" si="2214"/>
        <v>780923.52189730492</v>
      </c>
      <c r="AU2260" s="2">
        <f t="shared" ca="1" si="2215"/>
        <v>776124.43193923926</v>
      </c>
      <c r="AV2260" s="2">
        <f t="shared" ca="1" si="2216"/>
        <v>2185854.5153847388</v>
      </c>
      <c r="AW2260" s="2">
        <f t="shared" ca="1" si="2217"/>
        <v>2250091.618573261</v>
      </c>
      <c r="AX2260" s="2">
        <f t="shared" ca="1" si="2218"/>
        <v>2236335.7888432839</v>
      </c>
      <c r="AY2260" s="2">
        <f t="shared" ca="1" si="2219"/>
        <v>2222628.4854000215</v>
      </c>
      <c r="AZ2260" s="2">
        <f t="shared" ca="1" si="2220"/>
        <v>2208969.5370578342</v>
      </c>
      <c r="BA2260" s="2">
        <f t="shared" ca="1" si="2221"/>
        <v>46405901.446917996</v>
      </c>
      <c r="BB2260" s="2">
        <f t="shared" ca="1" si="2222"/>
        <v>928118.02893835993</v>
      </c>
      <c r="BC2260" s="2">
        <f t="shared" ca="1" si="2223"/>
        <v>20713563.752039474</v>
      </c>
      <c r="BD2260" s="2">
        <f t="shared" ca="1" si="2224"/>
        <v>-18041322.26337428</v>
      </c>
      <c r="BE2260" s="2">
        <f t="shared" ca="1" si="2225"/>
        <v>2185854.5153847388</v>
      </c>
      <c r="BF2260" s="2">
        <f t="shared" ca="1" si="2226"/>
        <v>2250091.618573261</v>
      </c>
      <c r="BG2260" s="2">
        <f t="shared" ca="1" si="2227"/>
        <v>2236335.7888432839</v>
      </c>
      <c r="BH2260" s="2">
        <f t="shared" ca="1" si="2228"/>
        <v>2222628.4854000215</v>
      </c>
      <c r="BI2260" s="2">
        <f t="shared" ca="1" si="2229"/>
        <v>22922533.289097309</v>
      </c>
      <c r="BJ2260" s="2">
        <f t="shared" ca="1" si="2230"/>
        <v>0.14522661805140658</v>
      </c>
      <c r="BK2260" s="2">
        <f t="shared" ca="1" si="2231"/>
        <v>1715254.0315525308</v>
      </c>
    </row>
    <row r="2261" spans="1:63" x14ac:dyDescent="0.3">
      <c r="A2261" s="2">
        <v>2260</v>
      </c>
      <c r="B2261" s="2">
        <f t="shared" ca="1" si="2170"/>
        <v>6.43842314633577E-2</v>
      </c>
      <c r="C2261" s="2">
        <f t="shared" ca="1" si="2171"/>
        <v>6.3588432288990768</v>
      </c>
      <c r="D2261" s="2">
        <f t="shared" ca="1" si="2172"/>
        <v>4.1976726588338287E-2</v>
      </c>
      <c r="E2261" s="2">
        <f t="shared" ca="1" si="2173"/>
        <v>6.7897472228972635</v>
      </c>
      <c r="F2261" s="2">
        <f t="shared" ca="1" si="2174"/>
        <v>0.24049681532605027</v>
      </c>
      <c r="G2261" s="2">
        <f t="shared" ca="1" si="2175"/>
        <v>1.885883995343135E-2</v>
      </c>
      <c r="H2261" s="2">
        <f t="shared" ca="1" si="2176"/>
        <v>1.885883995343135E-2</v>
      </c>
      <c r="I2261" s="2">
        <f t="shared" ca="1" si="2177"/>
        <v>0.65181665571377168</v>
      </c>
      <c r="J2261" s="2">
        <f t="shared" ca="1" si="2178"/>
        <v>1.1951148588361663E-2</v>
      </c>
      <c r="K2261" s="2">
        <f t="shared" ca="1" si="2179"/>
        <v>1.1951148588361663E-2</v>
      </c>
      <c r="L2261" s="2">
        <f t="shared" ca="1" si="2180"/>
        <v>0.10018425422607136</v>
      </c>
      <c r="M2261" s="2">
        <f t="shared" ca="1" si="2181"/>
        <v>-2.5610047588396325E-2</v>
      </c>
      <c r="N2261" s="2">
        <f t="shared" ca="1" si="2182"/>
        <v>-2.5610047588396325E-2</v>
      </c>
      <c r="O2261" s="2">
        <f t="shared" si="2183"/>
        <v>6000000</v>
      </c>
      <c r="P2261" s="2">
        <f t="shared" ca="1" si="2184"/>
        <v>38153059.373394459</v>
      </c>
      <c r="Q2261" s="2">
        <f t="shared" ca="1" si="2185"/>
        <v>953826.48433486151</v>
      </c>
      <c r="R2261" s="2">
        <f t="shared" ca="1" si="2186"/>
        <v>22891835.624036673</v>
      </c>
      <c r="S2261" s="2">
        <f t="shared" ca="1" si="2187"/>
        <v>15261223.749357784</v>
      </c>
      <c r="T2261" s="2">
        <f t="shared" ca="1" si="2188"/>
        <v>48719497.620580181</v>
      </c>
      <c r="U2261" s="2">
        <f t="shared" ca="1" si="2189"/>
        <v>49638290.828818277</v>
      </c>
      <c r="V2261" s="2">
        <f t="shared" ca="1" si="2190"/>
        <v>50574411.411120839</v>
      </c>
      <c r="W2261" s="2">
        <f t="shared" ca="1" si="2191"/>
        <v>51528186.141662158</v>
      </c>
      <c r="X2261" s="2">
        <f t="shared" ca="1" si="2192"/>
        <v>52499947.957198381</v>
      </c>
      <c r="Y2261" s="2">
        <f t="shared" ca="1" si="2193"/>
        <v>0.12597557429418083</v>
      </c>
      <c r="Z2261" s="2">
        <f t="shared" ca="1" si="2194"/>
        <v>0.12836580401185316</v>
      </c>
      <c r="AA2261" s="2">
        <f t="shared" ca="1" si="2195"/>
        <v>6137466.6920765648</v>
      </c>
      <c r="AB2261" s="2">
        <f t="shared" ca="1" si="2196"/>
        <v>6371859.112015455</v>
      </c>
      <c r="AC2261" s="2">
        <f t="shared" ca="1" si="2197"/>
        <v>6492024.9832147676</v>
      </c>
      <c r="AD2261" s="2">
        <f t="shared" ca="1" si="2198"/>
        <v>6614457.0433468921</v>
      </c>
      <c r="AE2261" s="2">
        <f t="shared" ca="1" si="2199"/>
        <v>6739198.0301062176</v>
      </c>
      <c r="AF2261" s="2">
        <f t="shared" ca="1" si="2200"/>
        <v>974389.95241160365</v>
      </c>
      <c r="AG2261" s="2">
        <f t="shared" ca="1" si="2201"/>
        <v>992765.8165763655</v>
      </c>
      <c r="AH2261" s="2">
        <f t="shared" ca="1" si="2202"/>
        <v>1011488.2282224168</v>
      </c>
      <c r="AI2261" s="2">
        <f t="shared" ca="1" si="2203"/>
        <v>1030563.7228332432</v>
      </c>
      <c r="AJ2261" s="2">
        <f t="shared" ca="1" si="2204"/>
        <v>1049998.9591439676</v>
      </c>
      <c r="AK2261" s="2">
        <f t="shared" ca="1" si="2205"/>
        <v>0</v>
      </c>
      <c r="AL2261" s="2">
        <f t="shared" ca="1" si="2206"/>
        <v>9187.9320823809503</v>
      </c>
      <c r="AM2261" s="2">
        <f t="shared" ca="1" si="2207"/>
        <v>9361.2058230256298</v>
      </c>
      <c r="AN2261" s="2">
        <f t="shared" ca="1" si="2208"/>
        <v>9537.747305413186</v>
      </c>
      <c r="AO2261" s="2">
        <f t="shared" ca="1" si="2209"/>
        <v>9717.6181553622337</v>
      </c>
      <c r="AP2261" s="2">
        <f t="shared" ca="1" si="2210"/>
        <v>2060265.2061633004</v>
      </c>
      <c r="AQ2261" s="2">
        <f t="shared" ca="1" si="2211"/>
        <v>806730.99871043174</v>
      </c>
      <c r="AR2261" s="2">
        <f t="shared" ca="1" si="2212"/>
        <v>862895.30321170529</v>
      </c>
      <c r="AS2261" s="2">
        <f t="shared" ca="1" si="2213"/>
        <v>889270.60269555321</v>
      </c>
      <c r="AT2261" s="2">
        <f t="shared" ca="1" si="2214"/>
        <v>916143.30973109067</v>
      </c>
      <c r="AU2261" s="2">
        <f t="shared" ca="1" si="2215"/>
        <v>943522.80484772706</v>
      </c>
      <c r="AV2261" s="2">
        <f t="shared" ca="1" si="2216"/>
        <v>2296080.5347912284</v>
      </c>
      <c r="AW2261" s="2">
        <f t="shared" ca="1" si="2217"/>
        <v>2446744.8539817035</v>
      </c>
      <c r="AX2261" s="2">
        <f t="shared" ca="1" si="2218"/>
        <v>2521639.7403104715</v>
      </c>
      <c r="AY2261" s="2">
        <f t="shared" ca="1" si="2219"/>
        <v>2597947.0573138455</v>
      </c>
      <c r="AZ2261" s="2">
        <f t="shared" ca="1" si="2220"/>
        <v>2675693.4417958613</v>
      </c>
      <c r="BA2261" s="2">
        <f t="shared" ca="1" si="2221"/>
        <v>45757451.1094684</v>
      </c>
      <c r="BB2261" s="2">
        <f t="shared" ca="1" si="2222"/>
        <v>915149.02218936803</v>
      </c>
      <c r="BC2261" s="2">
        <f t="shared" ca="1" si="2223"/>
        <v>21950466.463242359</v>
      </c>
      <c r="BD2261" s="2">
        <f t="shared" ca="1" si="2224"/>
        <v>-16715050.233692646</v>
      </c>
      <c r="BE2261" s="2">
        <f t="shared" ca="1" si="2225"/>
        <v>2296080.5347912284</v>
      </c>
      <c r="BF2261" s="2">
        <f t="shared" ca="1" si="2226"/>
        <v>2446744.8539817035</v>
      </c>
      <c r="BG2261" s="2">
        <f t="shared" ca="1" si="2227"/>
        <v>2521639.7403104715</v>
      </c>
      <c r="BH2261" s="2">
        <f t="shared" ca="1" si="2228"/>
        <v>2597947.0573138455</v>
      </c>
      <c r="BI2261" s="2">
        <f t="shared" ca="1" si="2229"/>
        <v>24626159.905038223</v>
      </c>
      <c r="BJ2261" s="2">
        <f t="shared" ca="1" si="2230"/>
        <v>0.19096098751205903</v>
      </c>
      <c r="BK2261" s="2">
        <f t="shared" ca="1" si="2231"/>
        <v>4704991.8541498147</v>
      </c>
    </row>
    <row r="2262" spans="1:63" x14ac:dyDescent="0.3">
      <c r="A2262" s="2">
        <v>2261</v>
      </c>
      <c r="B2262" s="2">
        <f t="shared" ca="1" si="2170"/>
        <v>0.706873049035048</v>
      </c>
      <c r="C2262" s="2">
        <f t="shared" ca="1" si="2171"/>
        <v>7.2343278103980113</v>
      </c>
      <c r="D2262" s="2">
        <f t="shared" ca="1" si="2172"/>
        <v>0.49376058073468387</v>
      </c>
      <c r="E2262" s="2">
        <f t="shared" ca="1" si="2173"/>
        <v>7.4937409931513184</v>
      </c>
      <c r="F2262" s="2">
        <f t="shared" ca="1" si="2174"/>
        <v>0.24505606028664007</v>
      </c>
      <c r="G2262" s="2">
        <f t="shared" ca="1" si="2175"/>
        <v>1.9296084818330988E-2</v>
      </c>
      <c r="H2262" s="2">
        <f t="shared" ca="1" si="2176"/>
        <v>1.9296084818330988E-2</v>
      </c>
      <c r="I2262" s="2">
        <f t="shared" ca="1" si="2177"/>
        <v>0.44106458631540435</v>
      </c>
      <c r="J2262" s="2">
        <f t="shared" ca="1" si="2178"/>
        <v>9.2586467209302675E-3</v>
      </c>
      <c r="K2262" s="2">
        <f t="shared" ca="1" si="2179"/>
        <v>9.2586467209302675E-3</v>
      </c>
      <c r="L2262" s="2">
        <f t="shared" ca="1" si="2180"/>
        <v>0.5544913778054158</v>
      </c>
      <c r="M2262" s="2">
        <f t="shared" ca="1" si="2181"/>
        <v>2.740342869241789E-3</v>
      </c>
      <c r="N2262" s="2">
        <f t="shared" ca="1" si="2182"/>
        <v>2.740342869241789E-3</v>
      </c>
      <c r="O2262" s="2">
        <f t="shared" si="2183"/>
        <v>6000000</v>
      </c>
      <c r="P2262" s="2">
        <f t="shared" ca="1" si="2184"/>
        <v>43405966.862388067</v>
      </c>
      <c r="Q2262" s="2">
        <f t="shared" ca="1" si="2185"/>
        <v>1085149.1715597017</v>
      </c>
      <c r="R2262" s="2">
        <f t="shared" ca="1" si="2186"/>
        <v>26043580.11743284</v>
      </c>
      <c r="S2262" s="2">
        <f t="shared" ca="1" si="2187"/>
        <v>17362386.744955227</v>
      </c>
      <c r="T2262" s="2">
        <f t="shared" ca="1" si="2188"/>
        <v>50137017.143462092</v>
      </c>
      <c r="U2262" s="2">
        <f t="shared" ca="1" si="2189"/>
        <v>51104465.27880045</v>
      </c>
      <c r="V2262" s="2">
        <f t="shared" ca="1" si="2190"/>
        <v>52090581.375415638</v>
      </c>
      <c r="W2262" s="2">
        <f t="shared" ca="1" si="2191"/>
        <v>53095725.65187183</v>
      </c>
      <c r="X2262" s="2">
        <f t="shared" ca="1" si="2192"/>
        <v>54120265.277541183</v>
      </c>
      <c r="Y2262" s="2">
        <f t="shared" ca="1" si="2193"/>
        <v>0.12462932336046513</v>
      </c>
      <c r="Z2262" s="2">
        <f t="shared" ca="1" si="2194"/>
        <v>0.12648105270465118</v>
      </c>
      <c r="AA2262" s="2">
        <f t="shared" ca="1" si="2195"/>
        <v>6248542.5219017211</v>
      </c>
      <c r="AB2262" s="2">
        <f t="shared" ca="1" si="2196"/>
        <v>6463746.5663709762</v>
      </c>
      <c r="AC2262" s="2">
        <f t="shared" ca="1" si="2197"/>
        <v>6588471.5683598667</v>
      </c>
      <c r="AD2262" s="2">
        <f t="shared" ca="1" si="2198"/>
        <v>6715603.2745661009</v>
      </c>
      <c r="AE2262" s="2">
        <f t="shared" ca="1" si="2199"/>
        <v>6845188.1249583894</v>
      </c>
      <c r="AF2262" s="2">
        <f t="shared" ca="1" si="2200"/>
        <v>1002740.3428692418</v>
      </c>
      <c r="AG2262" s="2">
        <f t="shared" ca="1" si="2201"/>
        <v>1022089.305576009</v>
      </c>
      <c r="AH2262" s="2">
        <f t="shared" ca="1" si="2202"/>
        <v>1041811.6275083128</v>
      </c>
      <c r="AI2262" s="2">
        <f t="shared" ca="1" si="2203"/>
        <v>1061914.5130374366</v>
      </c>
      <c r="AJ2262" s="2">
        <f t="shared" ca="1" si="2204"/>
        <v>1082405.3055508237</v>
      </c>
      <c r="AK2262" s="2">
        <f t="shared" ca="1" si="2205"/>
        <v>0</v>
      </c>
      <c r="AL2262" s="2">
        <f t="shared" ca="1" si="2206"/>
        <v>9674.4813533835859</v>
      </c>
      <c r="AM2262" s="2">
        <f t="shared" ca="1" si="2207"/>
        <v>9861.1609661518778</v>
      </c>
      <c r="AN2262" s="2">
        <f t="shared" ca="1" si="2208"/>
        <v>10051.442764561922</v>
      </c>
      <c r="AO2262" s="2">
        <f t="shared" ca="1" si="2209"/>
        <v>10245.396256693528</v>
      </c>
      <c r="AP2262" s="2">
        <f t="shared" ca="1" si="2210"/>
        <v>2343922.2105689556</v>
      </c>
      <c r="AQ2262" s="2">
        <f t="shared" ca="1" si="2211"/>
        <v>754488.79180051619</v>
      </c>
      <c r="AR2262" s="2">
        <f t="shared" ca="1" si="2212"/>
        <v>805411.11305876309</v>
      </c>
      <c r="AS2262" s="2">
        <f t="shared" ca="1" si="2213"/>
        <v>832711.80987347569</v>
      </c>
      <c r="AT2262" s="2">
        <f t="shared" ca="1" si="2214"/>
        <v>860539.30324952432</v>
      </c>
      <c r="AU2262" s="2">
        <f t="shared" ca="1" si="2215"/>
        <v>888903.75829803862</v>
      </c>
      <c r="AV2262" s="2">
        <f t="shared" ca="1" si="2216"/>
        <v>2147391.1766630071</v>
      </c>
      <c r="AW2262" s="2">
        <f t="shared" ca="1" si="2217"/>
        <v>2282649.4558138656</v>
      </c>
      <c r="AX2262" s="2">
        <f t="shared" ca="1" si="2218"/>
        <v>2360164.7594429706</v>
      </c>
      <c r="AY2262" s="2">
        <f t="shared" ca="1" si="2219"/>
        <v>2439175.804945623</v>
      </c>
      <c r="AZ2262" s="2">
        <f t="shared" ca="1" si="2220"/>
        <v>2519711.4542838777</v>
      </c>
      <c r="BA2262" s="2">
        <f t="shared" ca="1" si="2221"/>
        <v>51296066.857833289</v>
      </c>
      <c r="BB2262" s="2">
        <f t="shared" ca="1" si="2222"/>
        <v>1025921.3371566657</v>
      </c>
      <c r="BC2262" s="2">
        <f t="shared" ca="1" si="2223"/>
        <v>24226565.403243784</v>
      </c>
      <c r="BD2262" s="2">
        <f t="shared" ca="1" si="2224"/>
        <v>-18947535.916514929</v>
      </c>
      <c r="BE2262" s="2">
        <f t="shared" ca="1" si="2225"/>
        <v>2147391.1766630071</v>
      </c>
      <c r="BF2262" s="2">
        <f t="shared" ca="1" si="2226"/>
        <v>2282649.4558138656</v>
      </c>
      <c r="BG2262" s="2">
        <f t="shared" ca="1" si="2227"/>
        <v>2360164.7594429706</v>
      </c>
      <c r="BH2262" s="2">
        <f t="shared" ca="1" si="2228"/>
        <v>2439175.804945623</v>
      </c>
      <c r="BI2262" s="2">
        <f t="shared" ca="1" si="2229"/>
        <v>26746276.857527662</v>
      </c>
      <c r="BJ2262" s="2">
        <f t="shared" ca="1" si="2230"/>
        <v>0.1628665457688141</v>
      </c>
      <c r="BK2262" s="2">
        <f t="shared" ca="1" si="2231"/>
        <v>3196106.5621004738</v>
      </c>
    </row>
    <row r="2263" spans="1:63" x14ac:dyDescent="0.3">
      <c r="A2263" s="2">
        <v>2262</v>
      </c>
      <c r="B2263" s="2">
        <f t="shared" ca="1" si="2170"/>
        <v>0.90623014695192805</v>
      </c>
      <c r="C2263" s="2">
        <f t="shared" ca="1" si="2171"/>
        <v>7.5669414518842242</v>
      </c>
      <c r="D2263" s="2">
        <f t="shared" ca="1" si="2172"/>
        <v>0.81923217058565956</v>
      </c>
      <c r="E2263" s="2">
        <f t="shared" ca="1" si="2173"/>
        <v>7.8987216461332732</v>
      </c>
      <c r="F2263" s="2">
        <f t="shared" ca="1" si="2174"/>
        <v>0.61873038010520942</v>
      </c>
      <c r="G2263" s="2">
        <f t="shared" ca="1" si="2175"/>
        <v>4.9064440111347515E-2</v>
      </c>
      <c r="H2263" s="2">
        <f t="shared" ca="1" si="2176"/>
        <v>4.9064440111347515E-2</v>
      </c>
      <c r="I2263" s="2">
        <f t="shared" ca="1" si="2177"/>
        <v>0.42938616880336444</v>
      </c>
      <c r="J2263" s="2">
        <f t="shared" ca="1" si="2178"/>
        <v>9.1103142672896049E-3</v>
      </c>
      <c r="K2263" s="2">
        <f t="shared" ca="1" si="2179"/>
        <v>9.1103142672896049E-3</v>
      </c>
      <c r="L2263" s="2">
        <f t="shared" ca="1" si="2180"/>
        <v>0.39930365906638576</v>
      </c>
      <c r="M2263" s="2">
        <f t="shared" ca="1" si="2181"/>
        <v>-5.1029981675648544E-3</v>
      </c>
      <c r="N2263" s="2">
        <f t="shared" ca="1" si="2182"/>
        <v>-5.1029981675648544E-3</v>
      </c>
      <c r="O2263" s="2">
        <f t="shared" si="2183"/>
        <v>6000000</v>
      </c>
      <c r="P2263" s="2">
        <f t="shared" ca="1" si="2184"/>
        <v>45401648.711305343</v>
      </c>
      <c r="Q2263" s="2">
        <f t="shared" ca="1" si="2185"/>
        <v>1135041.2177826336</v>
      </c>
      <c r="R2263" s="2">
        <f t="shared" ca="1" si="2186"/>
        <v>27240989.226783205</v>
      </c>
      <c r="S2263" s="2">
        <f t="shared" ca="1" si="2187"/>
        <v>18160659.484522138</v>
      </c>
      <c r="T2263" s="2">
        <f t="shared" ca="1" si="2188"/>
        <v>49744850.091621757</v>
      </c>
      <c r="U2263" s="2">
        <f t="shared" ca="1" si="2189"/>
        <v>52185553.309790097</v>
      </c>
      <c r="V2263" s="2">
        <f t="shared" ca="1" si="2190"/>
        <v>54746008.264835827</v>
      </c>
      <c r="W2263" s="2">
        <f t="shared" ca="1" si="2191"/>
        <v>57432090.508681208</v>
      </c>
      <c r="X2263" s="2">
        <f t="shared" ca="1" si="2192"/>
        <v>60249963.873913892</v>
      </c>
      <c r="Y2263" s="2">
        <f t="shared" ca="1" si="2193"/>
        <v>0.1245551571336448</v>
      </c>
      <c r="Z2263" s="2">
        <f t="shared" ca="1" si="2194"/>
        <v>0.12637721998710272</v>
      </c>
      <c r="AA2263" s="2">
        <f t="shared" ca="1" si="2195"/>
        <v>6195977.6197515531</v>
      </c>
      <c r="AB2263" s="2">
        <f t="shared" ca="1" si="2196"/>
        <v>6595065.1507800194</v>
      </c>
      <c r="AC2263" s="2">
        <f t="shared" ca="1" si="2197"/>
        <v>6918648.3299009008</v>
      </c>
      <c r="AD2263" s="2">
        <f t="shared" ca="1" si="2198"/>
        <v>7258107.9365347987</v>
      </c>
      <c r="AE2263" s="2">
        <f t="shared" ca="1" si="2199"/>
        <v>7614222.9387086071</v>
      </c>
      <c r="AF2263" s="2">
        <f t="shared" ca="1" si="2200"/>
        <v>994897.00183243514</v>
      </c>
      <c r="AG2263" s="2">
        <f t="shared" ca="1" si="2201"/>
        <v>1043711.0661958019</v>
      </c>
      <c r="AH2263" s="2">
        <f t="shared" ca="1" si="2202"/>
        <v>1094920.1652967166</v>
      </c>
      <c r="AI2263" s="2">
        <f t="shared" ca="1" si="2203"/>
        <v>1148641.8101736242</v>
      </c>
      <c r="AJ2263" s="2">
        <f t="shared" ca="1" si="2204"/>
        <v>1204999.2774782779</v>
      </c>
      <c r="AK2263" s="2">
        <f t="shared" ca="1" si="2205"/>
        <v>0</v>
      </c>
      <c r="AL2263" s="2">
        <f t="shared" ca="1" si="2206"/>
        <v>24407.032181683408</v>
      </c>
      <c r="AM2263" s="2">
        <f t="shared" ca="1" si="2207"/>
        <v>25604.549550457301</v>
      </c>
      <c r="AN2263" s="2">
        <f t="shared" ca="1" si="2208"/>
        <v>26860.822438453808</v>
      </c>
      <c r="AO2263" s="2">
        <f t="shared" ca="1" si="2209"/>
        <v>28178.733652326839</v>
      </c>
      <c r="AP2263" s="2">
        <f t="shared" ca="1" si="2210"/>
        <v>2451689.0304104881</v>
      </c>
      <c r="AQ2263" s="2">
        <f t="shared" ca="1" si="2211"/>
        <v>714841.81275224383</v>
      </c>
      <c r="AR2263" s="2">
        <f t="shared" ca="1" si="2212"/>
        <v>805912.91408516967</v>
      </c>
      <c r="AS2263" s="2">
        <f t="shared" ca="1" si="2213"/>
        <v>876730.17489036103</v>
      </c>
      <c r="AT2263" s="2">
        <f t="shared" ca="1" si="2214"/>
        <v>951022.04494717845</v>
      </c>
      <c r="AU2263" s="2">
        <f t="shared" ca="1" si="2215"/>
        <v>1028959.0040131587</v>
      </c>
      <c r="AV2263" s="2">
        <f t="shared" ca="1" si="2216"/>
        <v>2034549.7747563859</v>
      </c>
      <c r="AW2263" s="2">
        <f t="shared" ca="1" si="2217"/>
        <v>2269345.1079068771</v>
      </c>
      <c r="AX2263" s="2">
        <f t="shared" ca="1" si="2218"/>
        <v>2469704.4097528784</v>
      </c>
      <c r="AY2263" s="2">
        <f t="shared" ca="1" si="2219"/>
        <v>2679894.228565054</v>
      </c>
      <c r="AZ2263" s="2">
        <f t="shared" ca="1" si="2220"/>
        <v>2900396.8931543557</v>
      </c>
      <c r="BA2263" s="2">
        <f t="shared" ca="1" si="2221"/>
        <v>60142627.544462182</v>
      </c>
      <c r="BB2263" s="2">
        <f t="shared" ca="1" si="2222"/>
        <v>1202852.5508892436</v>
      </c>
      <c r="BC2263" s="2">
        <f t="shared" ca="1" si="2223"/>
        <v>31698785.766789734</v>
      </c>
      <c r="BD2263" s="2">
        <f t="shared" ca="1" si="2224"/>
        <v>-19795700.702304773</v>
      </c>
      <c r="BE2263" s="2">
        <f t="shared" ca="1" si="2225"/>
        <v>2034549.7747563859</v>
      </c>
      <c r="BF2263" s="2">
        <f t="shared" ca="1" si="2226"/>
        <v>2269345.1079068771</v>
      </c>
      <c r="BG2263" s="2">
        <f t="shared" ca="1" si="2227"/>
        <v>2469704.4097528784</v>
      </c>
      <c r="BH2263" s="2">
        <f t="shared" ca="1" si="2228"/>
        <v>2679894.228565054</v>
      </c>
      <c r="BI2263" s="2">
        <f t="shared" ca="1" si="2229"/>
        <v>34599182.659944087</v>
      </c>
      <c r="BJ2263" s="2">
        <f t="shared" ca="1" si="2230"/>
        <v>0.20146432588764829</v>
      </c>
      <c r="BK2263" s="2">
        <f t="shared" ca="1" si="2231"/>
        <v>6923483.0970897675</v>
      </c>
    </row>
    <row r="2264" spans="1:63" x14ac:dyDescent="0.3">
      <c r="A2264" s="2">
        <v>2263</v>
      </c>
      <c r="B2264" s="2">
        <f t="shared" ca="1" si="2170"/>
        <v>4.3282975656964484E-2</v>
      </c>
      <c r="C2264" s="2">
        <f t="shared" ca="1" si="2171"/>
        <v>6.2942209226311565</v>
      </c>
      <c r="D2264" s="2">
        <f t="shared" ca="1" si="2172"/>
        <v>0.51292748621448914</v>
      </c>
      <c r="E2264" s="2">
        <f t="shared" ca="1" si="2173"/>
        <v>7.5130121441623396</v>
      </c>
      <c r="F2264" s="2">
        <f t="shared" ca="1" si="2174"/>
        <v>7.067453933664869E-2</v>
      </c>
      <c r="G2264" s="2">
        <f t="shared" ca="1" si="2175"/>
        <v>-4.1235712473112543E-3</v>
      </c>
      <c r="H2264" s="2">
        <f t="shared" ca="1" si="2176"/>
        <v>-4.1235712473112543E-3</v>
      </c>
      <c r="I2264" s="2">
        <f t="shared" ca="1" si="2177"/>
        <v>0.82257196946401046</v>
      </c>
      <c r="J2264" s="2">
        <f t="shared" ca="1" si="2178"/>
        <v>1.4626055977590483E-2</v>
      </c>
      <c r="K2264" s="2">
        <f t="shared" ca="1" si="2179"/>
        <v>1.4626055977590483E-2</v>
      </c>
      <c r="L2264" s="2">
        <f t="shared" ca="1" si="2180"/>
        <v>0.43450587487483727</v>
      </c>
      <c r="M2264" s="2">
        <f t="shared" ca="1" si="2181"/>
        <v>-3.2982780466235891E-3</v>
      </c>
      <c r="N2264" s="2">
        <f t="shared" ca="1" si="2182"/>
        <v>-3.2982780466235891E-3</v>
      </c>
      <c r="O2264" s="2">
        <f t="shared" si="2183"/>
        <v>6000000</v>
      </c>
      <c r="P2264" s="2">
        <f t="shared" ca="1" si="2184"/>
        <v>37765325.535786942</v>
      </c>
      <c r="Q2264" s="2">
        <f t="shared" ca="1" si="2185"/>
        <v>944133.13839467359</v>
      </c>
      <c r="R2264" s="2">
        <f t="shared" ca="1" si="2186"/>
        <v>22659195.321472164</v>
      </c>
      <c r="S2264" s="2">
        <f t="shared" ca="1" si="2187"/>
        <v>15106130.214314777</v>
      </c>
      <c r="T2264" s="2">
        <f t="shared" ca="1" si="2188"/>
        <v>49835086.097668819</v>
      </c>
      <c r="U2264" s="2">
        <f t="shared" ca="1" si="2189"/>
        <v>49629587.569529191</v>
      </c>
      <c r="V2264" s="2">
        <f t="shared" ca="1" si="2190"/>
        <v>49424936.429211564</v>
      </c>
      <c r="W2264" s="2">
        <f t="shared" ca="1" si="2191"/>
        <v>49221129.182451881</v>
      </c>
      <c r="X2264" s="2">
        <f t="shared" ca="1" si="2192"/>
        <v>49018162.349394932</v>
      </c>
      <c r="Y2264" s="2">
        <f t="shared" ca="1" si="2193"/>
        <v>0.12731302798879524</v>
      </c>
      <c r="Z2264" s="2">
        <f t="shared" ca="1" si="2194"/>
        <v>0.13023823918431332</v>
      </c>
      <c r="AA2264" s="2">
        <f t="shared" ca="1" si="2195"/>
        <v>6344655.7111765305</v>
      </c>
      <c r="AB2264" s="2">
        <f t="shared" ca="1" si="2196"/>
        <v>6463670.0964991655</v>
      </c>
      <c r="AC2264" s="2">
        <f t="shared" ca="1" si="2197"/>
        <v>6437016.6923371367</v>
      </c>
      <c r="AD2264" s="2">
        <f t="shared" ca="1" si="2198"/>
        <v>6410473.1953861527</v>
      </c>
      <c r="AE2264" s="2">
        <f t="shared" ca="1" si="2199"/>
        <v>6384039.1524359994</v>
      </c>
      <c r="AF2264" s="2">
        <f t="shared" ca="1" si="2200"/>
        <v>996701.72195337643</v>
      </c>
      <c r="AG2264" s="2">
        <f t="shared" ca="1" si="2201"/>
        <v>992591.75139058381</v>
      </c>
      <c r="AH2264" s="2">
        <f t="shared" ca="1" si="2202"/>
        <v>988498.72858423134</v>
      </c>
      <c r="AI2264" s="2">
        <f t="shared" ca="1" si="2203"/>
        <v>984422.58364903764</v>
      </c>
      <c r="AJ2264" s="2">
        <f t="shared" ca="1" si="2204"/>
        <v>980363.24698789872</v>
      </c>
      <c r="AK2264" s="2">
        <f t="shared" ca="1" si="2205"/>
        <v>0</v>
      </c>
      <c r="AL2264" s="2">
        <f t="shared" ca="1" si="2206"/>
        <v>0</v>
      </c>
      <c r="AM2264" s="2">
        <f t="shared" ca="1" si="2207"/>
        <v>0</v>
      </c>
      <c r="AN2264" s="2">
        <f t="shared" ca="1" si="2208"/>
        <v>0</v>
      </c>
      <c r="AO2264" s="2">
        <f t="shared" ca="1" si="2209"/>
        <v>0</v>
      </c>
      <c r="AP2264" s="2">
        <f t="shared" ca="1" si="2210"/>
        <v>2039327.5789324946</v>
      </c>
      <c r="AQ2264" s="2">
        <f t="shared" ca="1" si="2211"/>
        <v>860242.86667557142</v>
      </c>
      <c r="AR2264" s="2">
        <f t="shared" ca="1" si="2212"/>
        <v>892255.19920578261</v>
      </c>
      <c r="AS2264" s="2">
        <f t="shared" ca="1" si="2213"/>
        <v>886389.50005330669</v>
      </c>
      <c r="AT2264" s="2">
        <f t="shared" ca="1" si="2214"/>
        <v>880547.98852920136</v>
      </c>
      <c r="AU2264" s="2">
        <f t="shared" ca="1" si="2215"/>
        <v>874730.56489405746</v>
      </c>
      <c r="AV2264" s="2">
        <f t="shared" ca="1" si="2216"/>
        <v>2448383.5436150879</v>
      </c>
      <c r="AW2264" s="2">
        <f t="shared" ca="1" si="2217"/>
        <v>2539495.5669703046</v>
      </c>
      <c r="AX2264" s="2">
        <f t="shared" ca="1" si="2218"/>
        <v>2522800.884767103</v>
      </c>
      <c r="AY2264" s="2">
        <f t="shared" ca="1" si="2219"/>
        <v>2506175.0442754189</v>
      </c>
      <c r="AZ2264" s="2">
        <f t="shared" ca="1" si="2220"/>
        <v>2489617.7616215479</v>
      </c>
      <c r="BA2264" s="2">
        <f t="shared" ca="1" si="2221"/>
        <v>47963363.68105951</v>
      </c>
      <c r="BB2264" s="2">
        <f t="shared" ca="1" si="2222"/>
        <v>959267.27362119022</v>
      </c>
      <c r="BC2264" s="2">
        <f t="shared" ca="1" si="2223"/>
        <v>24344901.085966155</v>
      </c>
      <c r="BD2264" s="2">
        <f t="shared" ca="1" si="2224"/>
        <v>-16550263.352709452</v>
      </c>
      <c r="BE2264" s="2">
        <f t="shared" ca="1" si="2225"/>
        <v>2448383.5436150879</v>
      </c>
      <c r="BF2264" s="2">
        <f t="shared" ca="1" si="2226"/>
        <v>2539495.5669703046</v>
      </c>
      <c r="BG2264" s="2">
        <f t="shared" ca="1" si="2227"/>
        <v>2522800.884767103</v>
      </c>
      <c r="BH2264" s="2">
        <f t="shared" ca="1" si="2228"/>
        <v>2506175.0442754189</v>
      </c>
      <c r="BI2264" s="2">
        <f t="shared" ca="1" si="2229"/>
        <v>26834518.847587705</v>
      </c>
      <c r="BJ2264" s="2">
        <f t="shared" ca="1" si="2230"/>
        <v>0.21270052716786303</v>
      </c>
      <c r="BK2264" s="2">
        <f t="shared" ca="1" si="2231"/>
        <v>6275289.7423535008</v>
      </c>
    </row>
    <row r="2265" spans="1:63" x14ac:dyDescent="0.3">
      <c r="A2265" s="2">
        <v>2264</v>
      </c>
      <c r="B2265" s="2">
        <f t="shared" ca="1" si="2170"/>
        <v>0.17036806796446413</v>
      </c>
      <c r="C2265" s="2">
        <f t="shared" ca="1" si="2171"/>
        <v>6.5837260795346806</v>
      </c>
      <c r="D2265" s="2">
        <f t="shared" ca="1" si="2172"/>
        <v>0.23813398467769575</v>
      </c>
      <c r="E2265" s="2">
        <f t="shared" ca="1" si="2173"/>
        <v>7.1901217061905758</v>
      </c>
      <c r="F2265" s="2">
        <f t="shared" ca="1" si="2174"/>
        <v>0.3553405109733111</v>
      </c>
      <c r="G2265" s="2">
        <f t="shared" ca="1" si="2175"/>
        <v>2.8871751687460666E-2</v>
      </c>
      <c r="H2265" s="2">
        <f t="shared" ca="1" si="2176"/>
        <v>2.8871751687460666E-2</v>
      </c>
      <c r="I2265" s="2">
        <f t="shared" ca="1" si="2177"/>
        <v>0.58731021257872917</v>
      </c>
      <c r="J2265" s="2">
        <f t="shared" ca="1" si="2178"/>
        <v>1.1103156197242708E-2</v>
      </c>
      <c r="K2265" s="2">
        <f t="shared" ca="1" si="2179"/>
        <v>1.1103156197242708E-2</v>
      </c>
      <c r="L2265" s="2">
        <f t="shared" ca="1" si="2180"/>
        <v>0.27813730446188167</v>
      </c>
      <c r="M2265" s="2">
        <f t="shared" ca="1" si="2181"/>
        <v>-1.1767678981290337E-2</v>
      </c>
      <c r="N2265" s="2">
        <f t="shared" ca="1" si="2182"/>
        <v>-1.1767678981290337E-2</v>
      </c>
      <c r="O2265" s="2">
        <f t="shared" si="2183"/>
        <v>6000000</v>
      </c>
      <c r="P2265" s="2">
        <f t="shared" ca="1" si="2184"/>
        <v>39502356.477208085</v>
      </c>
      <c r="Q2265" s="2">
        <f t="shared" ca="1" si="2185"/>
        <v>987558.91193020216</v>
      </c>
      <c r="R2265" s="2">
        <f t="shared" ca="1" si="2186"/>
        <v>23701413.886324849</v>
      </c>
      <c r="S2265" s="2">
        <f t="shared" ca="1" si="2187"/>
        <v>15800942.590883235</v>
      </c>
      <c r="T2265" s="2">
        <f t="shared" ca="1" si="2188"/>
        <v>49411616.050935477</v>
      </c>
      <c r="U2265" s="2">
        <f t="shared" ca="1" si="2189"/>
        <v>50838215.960034229</v>
      </c>
      <c r="V2265" s="2">
        <f t="shared" ca="1" si="2190"/>
        <v>52306004.307465836</v>
      </c>
      <c r="W2265" s="2">
        <f t="shared" ca="1" si="2191"/>
        <v>53816170.275594234</v>
      </c>
      <c r="X2265" s="2">
        <f t="shared" ca="1" si="2192"/>
        <v>55369937.380561292</v>
      </c>
      <c r="Y2265" s="2">
        <f t="shared" ca="1" si="2193"/>
        <v>0.12555157809862136</v>
      </c>
      <c r="Z2265" s="2">
        <f t="shared" ca="1" si="2194"/>
        <v>0.1277722093380699</v>
      </c>
      <c r="AA2265" s="2">
        <f t="shared" ca="1" si="2195"/>
        <v>6203706.371598118</v>
      </c>
      <c r="AB2265" s="2">
        <f t="shared" ca="1" si="2196"/>
        <v>6495711.1720195003</v>
      </c>
      <c r="AC2265" s="2">
        <f t="shared" ca="1" si="2197"/>
        <v>6683253.732011511</v>
      </c>
      <c r="AD2265" s="2">
        <f t="shared" ca="1" si="2198"/>
        <v>6876210.9742264412</v>
      </c>
      <c r="AE2265" s="2">
        <f t="shared" ca="1" si="2199"/>
        <v>7074739.2300248994</v>
      </c>
      <c r="AF2265" s="2">
        <f t="shared" ca="1" si="2200"/>
        <v>988232.32101870957</v>
      </c>
      <c r="AG2265" s="2">
        <f t="shared" ca="1" si="2201"/>
        <v>1016764.3192006845</v>
      </c>
      <c r="AH2265" s="2">
        <f t="shared" ca="1" si="2202"/>
        <v>1046120.0861493167</v>
      </c>
      <c r="AI2265" s="2">
        <f t="shared" ca="1" si="2203"/>
        <v>1076323.4055118847</v>
      </c>
      <c r="AJ2265" s="2">
        <f t="shared" ca="1" si="2204"/>
        <v>1107398.7476112258</v>
      </c>
      <c r="AK2265" s="2">
        <f t="shared" ca="1" si="2205"/>
        <v>0</v>
      </c>
      <c r="AL2265" s="2">
        <f t="shared" ca="1" si="2206"/>
        <v>14265.99909098752</v>
      </c>
      <c r="AM2265" s="2">
        <f t="shared" ca="1" si="2207"/>
        <v>14677.883474316075</v>
      </c>
      <c r="AN2265" s="2">
        <f t="shared" ca="1" si="2208"/>
        <v>15101.659681283982</v>
      </c>
      <c r="AO2265" s="2">
        <f t="shared" ca="1" si="2209"/>
        <v>15537.671049670578</v>
      </c>
      <c r="AP2265" s="2">
        <f t="shared" ca="1" si="2210"/>
        <v>2133127.2497692364</v>
      </c>
      <c r="AQ2265" s="2">
        <f t="shared" ca="1" si="2211"/>
        <v>801410.16821064474</v>
      </c>
      <c r="AR2265" s="2">
        <f t="shared" ca="1" si="2212"/>
        <v>869913.09679289069</v>
      </c>
      <c r="AS2265" s="2">
        <f t="shared" ca="1" si="2213"/>
        <v>911041.66298416897</v>
      </c>
      <c r="AT2265" s="2">
        <f t="shared" ca="1" si="2214"/>
        <v>953357.68292578321</v>
      </c>
      <c r="AU2265" s="2">
        <f t="shared" ca="1" si="2215"/>
        <v>996895.44048755371</v>
      </c>
      <c r="AV2265" s="2">
        <f t="shared" ca="1" si="2216"/>
        <v>2280936.6325995275</v>
      </c>
      <c r="AW2265" s="2">
        <f t="shared" ca="1" si="2217"/>
        <v>2461640.5071657016</v>
      </c>
      <c r="AX2265" s="2">
        <f t="shared" ca="1" si="2218"/>
        <v>2578286.8496344718</v>
      </c>
      <c r="AY2265" s="2">
        <f t="shared" ca="1" si="2219"/>
        <v>2698300.9763382529</v>
      </c>
      <c r="AZ2265" s="2">
        <f t="shared" ca="1" si="2220"/>
        <v>2821780.1211072137</v>
      </c>
      <c r="BA2265" s="2">
        <f t="shared" ca="1" si="2221"/>
        <v>50868236.103440031</v>
      </c>
      <c r="BB2265" s="2">
        <f t="shared" ca="1" si="2222"/>
        <v>1017364.7220688007</v>
      </c>
      <c r="BC2265" s="2">
        <f t="shared" ca="1" si="2223"/>
        <v>26149457.495046381</v>
      </c>
      <c r="BD2265" s="2">
        <f t="shared" ca="1" si="2224"/>
        <v>-17288501.502813436</v>
      </c>
      <c r="BE2265" s="2">
        <f t="shared" ca="1" si="2225"/>
        <v>2280936.6325995275</v>
      </c>
      <c r="BF2265" s="2">
        <f t="shared" ca="1" si="2226"/>
        <v>2461640.5071657016</v>
      </c>
      <c r="BG2265" s="2">
        <f t="shared" ca="1" si="2227"/>
        <v>2578286.8496344718</v>
      </c>
      <c r="BH2265" s="2">
        <f t="shared" ca="1" si="2228"/>
        <v>2698300.9763382529</v>
      </c>
      <c r="BI2265" s="2">
        <f t="shared" ca="1" si="2229"/>
        <v>28971237.616153594</v>
      </c>
      <c r="BJ2265" s="2">
        <f t="shared" ca="1" si="2230"/>
        <v>0.21279359743227233</v>
      </c>
      <c r="BK2265" s="2">
        <f t="shared" ca="1" si="2231"/>
        <v>6699504.774069339</v>
      </c>
    </row>
    <row r="2266" spans="1:63" x14ac:dyDescent="0.3">
      <c r="A2266" s="2">
        <v>2265</v>
      </c>
      <c r="B2266" s="2">
        <f t="shared" ca="1" si="2170"/>
        <v>0.48073736690602253</v>
      </c>
      <c r="C2266" s="2">
        <f t="shared" ca="1" si="2171"/>
        <v>6.9805481802604321</v>
      </c>
      <c r="D2266" s="2">
        <f t="shared" ca="1" si="2172"/>
        <v>4.5611871335236143E-2</v>
      </c>
      <c r="E2266" s="2">
        <f t="shared" ca="1" si="2173"/>
        <v>6.8020326847718176</v>
      </c>
      <c r="F2266" s="2">
        <f t="shared" ca="1" si="2174"/>
        <v>0.49920551977100391</v>
      </c>
      <c r="G2266" s="2">
        <f t="shared" ca="1" si="2175"/>
        <v>3.9940255962340659E-2</v>
      </c>
      <c r="H2266" s="2">
        <f t="shared" ca="1" si="2176"/>
        <v>3.9940255962340659E-2</v>
      </c>
      <c r="I2266" s="2">
        <f t="shared" ca="1" si="2177"/>
        <v>0.60957215936154585</v>
      </c>
      <c r="J2266" s="2">
        <f t="shared" ca="1" si="2178"/>
        <v>1.1391020541902629E-2</v>
      </c>
      <c r="K2266" s="2">
        <f t="shared" ca="1" si="2179"/>
        <v>1.1391020541902629E-2</v>
      </c>
      <c r="L2266" s="2">
        <f t="shared" ca="1" si="2180"/>
        <v>1.4128146517341289E-2</v>
      </c>
      <c r="M2266" s="2">
        <f t="shared" ca="1" si="2181"/>
        <v>-4.3874192057931798E-2</v>
      </c>
      <c r="N2266" s="2">
        <f t="shared" ca="1" si="2182"/>
        <v>-4.3874192057931798E-2</v>
      </c>
      <c r="O2266" s="2">
        <f t="shared" si="2183"/>
        <v>6000000</v>
      </c>
      <c r="P2266" s="2">
        <f t="shared" ca="1" si="2184"/>
        <v>41883289.081562594</v>
      </c>
      <c r="Q2266" s="2">
        <f t="shared" ca="1" si="2185"/>
        <v>1047082.2270390649</v>
      </c>
      <c r="R2266" s="2">
        <f t="shared" ca="1" si="2186"/>
        <v>25129973.448937554</v>
      </c>
      <c r="S2266" s="2">
        <f t="shared" ca="1" si="2187"/>
        <v>16753315.632625038</v>
      </c>
      <c r="T2266" s="2">
        <f t="shared" ca="1" si="2188"/>
        <v>47806290.397103414</v>
      </c>
      <c r="U2266" s="2">
        <f t="shared" ca="1" si="2189"/>
        <v>49715685.872173719</v>
      </c>
      <c r="V2266" s="2">
        <f t="shared" ca="1" si="2190"/>
        <v>51701343.091251664</v>
      </c>
      <c r="W2266" s="2">
        <f t="shared" ca="1" si="2191"/>
        <v>53766307.967913054</v>
      </c>
      <c r="X2266" s="2">
        <f t="shared" ca="1" si="2192"/>
        <v>55913748.07030154</v>
      </c>
      <c r="Y2266" s="2">
        <f t="shared" ca="1" si="2193"/>
        <v>0.1256955102709513</v>
      </c>
      <c r="Z2266" s="2">
        <f t="shared" ca="1" si="2194"/>
        <v>0.12797371437933183</v>
      </c>
      <c r="AA2266" s="2">
        <f t="shared" ca="1" si="2195"/>
        <v>6009036.0656251926</v>
      </c>
      <c r="AB2266" s="2">
        <f t="shared" ca="1" si="2196"/>
        <v>6362300.983978142</v>
      </c>
      <c r="AC2266" s="2">
        <f t="shared" ca="1" si="2197"/>
        <v>6616412.9137876816</v>
      </c>
      <c r="AD2266" s="2">
        <f t="shared" ca="1" si="2198"/>
        <v>6880674.1391168982</v>
      </c>
      <c r="AE2266" s="2">
        <f t="shared" ca="1" si="2199"/>
        <v>7155490.0254266858</v>
      </c>
      <c r="AF2266" s="2">
        <f t="shared" ca="1" si="2200"/>
        <v>956125.80794206832</v>
      </c>
      <c r="AG2266" s="2">
        <f t="shared" ca="1" si="2201"/>
        <v>994313.71744347445</v>
      </c>
      <c r="AH2266" s="2">
        <f t="shared" ca="1" si="2202"/>
        <v>1034026.8618250333</v>
      </c>
      <c r="AI2266" s="2">
        <f t="shared" ca="1" si="2203"/>
        <v>1075326.1593582612</v>
      </c>
      <c r="AJ2266" s="2">
        <f t="shared" ca="1" si="2204"/>
        <v>1118274.9614060309</v>
      </c>
      <c r="AK2266" s="2">
        <f t="shared" ca="1" si="2205"/>
        <v>0</v>
      </c>
      <c r="AL2266" s="2">
        <f t="shared" ca="1" si="2206"/>
        <v>19093.954750703051</v>
      </c>
      <c r="AM2266" s="2">
        <f t="shared" ca="1" si="2207"/>
        <v>19856.572190779447</v>
      </c>
      <c r="AN2266" s="2">
        <f t="shared" ca="1" si="2208"/>
        <v>20649.6487666139</v>
      </c>
      <c r="AO2266" s="2">
        <f t="shared" ca="1" si="2209"/>
        <v>21474.401023884864</v>
      </c>
      <c r="AP2266" s="2">
        <f t="shared" ca="1" si="2210"/>
        <v>2261697.6104043797</v>
      </c>
      <c r="AQ2266" s="2">
        <f t="shared" ca="1" si="2211"/>
        <v>725715.28829247365</v>
      </c>
      <c r="AR2266" s="2">
        <f t="shared" ca="1" si="2212"/>
        <v>807635.31059387489</v>
      </c>
      <c r="AS2266" s="2">
        <f t="shared" ca="1" si="2213"/>
        <v>863378.99480514997</v>
      </c>
      <c r="AT2266" s="2">
        <f t="shared" ca="1" si="2214"/>
        <v>921349.0960321069</v>
      </c>
      <c r="AU2266" s="2">
        <f t="shared" ca="1" si="2215"/>
        <v>981634.53794023162</v>
      </c>
      <c r="AV2266" s="2">
        <f t="shared" ca="1" si="2216"/>
        <v>2065497.3589862715</v>
      </c>
      <c r="AW2266" s="2">
        <f t="shared" ca="1" si="2217"/>
        <v>2279560.39078571</v>
      </c>
      <c r="AX2266" s="2">
        <f t="shared" ca="1" si="2218"/>
        <v>2437452.8745623399</v>
      </c>
      <c r="AY2266" s="2">
        <f t="shared" ca="1" si="2219"/>
        <v>2601651.6245555365</v>
      </c>
      <c r="AZ2266" s="2">
        <f t="shared" ca="1" si="2220"/>
        <v>2772408.5146521591</v>
      </c>
      <c r="BA2266" s="2">
        <f t="shared" ca="1" si="2221"/>
        <v>48671877.02851104</v>
      </c>
      <c r="BB2266" s="2">
        <f t="shared" ca="1" si="2222"/>
        <v>973437.54057022079</v>
      </c>
      <c r="BC2266" s="2">
        <f t="shared" ca="1" si="2223"/>
        <v>22568466.039003264</v>
      </c>
      <c r="BD2266" s="2">
        <f t="shared" ca="1" si="2224"/>
        <v>-18300397.859664101</v>
      </c>
      <c r="BE2266" s="2">
        <f t="shared" ca="1" si="2225"/>
        <v>2065497.3589862715</v>
      </c>
      <c r="BF2266" s="2">
        <f t="shared" ca="1" si="2226"/>
        <v>2279560.39078571</v>
      </c>
      <c r="BG2266" s="2">
        <f t="shared" ca="1" si="2227"/>
        <v>2437452.8745623399</v>
      </c>
      <c r="BH2266" s="2">
        <f t="shared" ca="1" si="2228"/>
        <v>2601651.6245555365</v>
      </c>
      <c r="BI2266" s="2">
        <f t="shared" ca="1" si="2229"/>
        <v>25340874.553655423</v>
      </c>
      <c r="BJ2266" s="2">
        <f t="shared" ca="1" si="2230"/>
        <v>0.16366591131476294</v>
      </c>
      <c r="BK2266" s="2">
        <f t="shared" ca="1" si="2231"/>
        <v>3128468.0192475244</v>
      </c>
    </row>
    <row r="2267" spans="1:63" x14ac:dyDescent="0.3">
      <c r="A2267" s="2">
        <v>2266</v>
      </c>
      <c r="B2267" s="2">
        <f t="shared" ca="1" si="2170"/>
        <v>0.29396764167464762</v>
      </c>
      <c r="C2267" s="2">
        <f t="shared" ca="1" si="2171"/>
        <v>6.7667693808110068</v>
      </c>
      <c r="D2267" s="2">
        <f t="shared" ca="1" si="2172"/>
        <v>0.69247429988715004</v>
      </c>
      <c r="E2267" s="2">
        <f t="shared" ca="1" si="2173"/>
        <v>7.7157478720298558</v>
      </c>
      <c r="F2267" s="2">
        <f t="shared" ca="1" si="2174"/>
        <v>1.6143680109290126E-2</v>
      </c>
      <c r="G2267" s="2">
        <f t="shared" ca="1" si="2175"/>
        <v>-2.4225044858063184E-2</v>
      </c>
      <c r="H2267" s="2">
        <f t="shared" ca="1" si="2176"/>
        <v>-0.02</v>
      </c>
      <c r="I2267" s="2">
        <f t="shared" ca="1" si="2177"/>
        <v>0.97632748678443282</v>
      </c>
      <c r="J2267" s="2">
        <f t="shared" ca="1" si="2178"/>
        <v>1.9916003021642641E-2</v>
      </c>
      <c r="K2267" s="2">
        <f t="shared" ca="1" si="2179"/>
        <v>1.9916003021642641E-2</v>
      </c>
      <c r="L2267" s="2">
        <f t="shared" ca="1" si="2180"/>
        <v>0.31011933267943803</v>
      </c>
      <c r="M2267" s="2">
        <f t="shared" ca="1" si="2181"/>
        <v>-9.910242498735242E-3</v>
      </c>
      <c r="N2267" s="2">
        <f t="shared" ca="1" si="2182"/>
        <v>-9.910242498735242E-3</v>
      </c>
      <c r="O2267" s="2">
        <f t="shared" si="2183"/>
        <v>6000000</v>
      </c>
      <c r="P2267" s="2">
        <f t="shared" ca="1" si="2184"/>
        <v>40600616.284866042</v>
      </c>
      <c r="Q2267" s="2">
        <f t="shared" ca="1" si="2185"/>
        <v>1015015.4071216511</v>
      </c>
      <c r="R2267" s="2">
        <f t="shared" ca="1" si="2186"/>
        <v>24360369.770919625</v>
      </c>
      <c r="S2267" s="2">
        <f t="shared" ca="1" si="2187"/>
        <v>16240246.513946418</v>
      </c>
      <c r="T2267" s="2">
        <f t="shared" ca="1" si="2188"/>
        <v>49504487.875063233</v>
      </c>
      <c r="U2267" s="2">
        <f t="shared" ca="1" si="2189"/>
        <v>48514398.117561966</v>
      </c>
      <c r="V2267" s="2">
        <f t="shared" ca="1" si="2190"/>
        <v>47544110.155210726</v>
      </c>
      <c r="W2267" s="2">
        <f t="shared" ca="1" si="2191"/>
        <v>46593227.952106513</v>
      </c>
      <c r="X2267" s="2">
        <f t="shared" ca="1" si="2192"/>
        <v>45661363.39306438</v>
      </c>
      <c r="Y2267" s="2">
        <f t="shared" ca="1" si="2193"/>
        <v>0.12995800151082132</v>
      </c>
      <c r="Z2267" s="2">
        <f t="shared" ca="1" si="2194"/>
        <v>0.13394120211514984</v>
      </c>
      <c r="AA2267" s="2">
        <f t="shared" ca="1" si="2195"/>
        <v>6433504.3100599032</v>
      </c>
      <c r="AB2267" s="2">
        <f t="shared" ca="1" si="2196"/>
        <v>6498076.8037592126</v>
      </c>
      <c r="AC2267" s="2">
        <f t="shared" ca="1" si="2197"/>
        <v>6368115.2676840285</v>
      </c>
      <c r="AD2267" s="2">
        <f t="shared" ca="1" si="2198"/>
        <v>6240752.9623303479</v>
      </c>
      <c r="AE2267" s="2">
        <f t="shared" ca="1" si="2199"/>
        <v>6115937.9030837407</v>
      </c>
      <c r="AF2267" s="2">
        <f t="shared" ca="1" si="2200"/>
        <v>990089.75750126468</v>
      </c>
      <c r="AG2267" s="2">
        <f t="shared" ca="1" si="2201"/>
        <v>970287.96235123929</v>
      </c>
      <c r="AH2267" s="2">
        <f t="shared" ca="1" si="2202"/>
        <v>950882.20310421451</v>
      </c>
      <c r="AI2267" s="2">
        <f t="shared" ca="1" si="2203"/>
        <v>931864.55904213025</v>
      </c>
      <c r="AJ2267" s="2">
        <f t="shared" ca="1" si="2204"/>
        <v>913227.26786128758</v>
      </c>
      <c r="AK2267" s="2">
        <f t="shared" ca="1" si="2205"/>
        <v>0</v>
      </c>
      <c r="AL2267" s="2">
        <f t="shared" ca="1" si="2206"/>
        <v>0</v>
      </c>
      <c r="AM2267" s="2">
        <f t="shared" ca="1" si="2207"/>
        <v>0</v>
      </c>
      <c r="AN2267" s="2">
        <f t="shared" ca="1" si="2208"/>
        <v>0</v>
      </c>
      <c r="AO2267" s="2">
        <f t="shared" ca="1" si="2209"/>
        <v>0</v>
      </c>
      <c r="AP2267" s="2">
        <f t="shared" ca="1" si="2210"/>
        <v>2192433.2793827662</v>
      </c>
      <c r="AQ2267" s="2">
        <f t="shared" ca="1" si="2211"/>
        <v>845255.13102572667</v>
      </c>
      <c r="AR2267" s="2">
        <f t="shared" ca="1" si="2212"/>
        <v>867192.44612655393</v>
      </c>
      <c r="AS2267" s="2">
        <f t="shared" ca="1" si="2213"/>
        <v>838447.94415123237</v>
      </c>
      <c r="AT2267" s="2">
        <f t="shared" ca="1" si="2214"/>
        <v>810278.33221541729</v>
      </c>
      <c r="AU2267" s="2">
        <f t="shared" ca="1" si="2215"/>
        <v>782672.1125183187</v>
      </c>
      <c r="AV2267" s="2">
        <f t="shared" ca="1" si="2216"/>
        <v>2405726.142150145</v>
      </c>
      <c r="AW2267" s="2">
        <f t="shared" ca="1" si="2217"/>
        <v>2468163.1158986529</v>
      </c>
      <c r="AX2267" s="2">
        <f t="shared" ca="1" si="2218"/>
        <v>2386351.8410458155</v>
      </c>
      <c r="AY2267" s="2">
        <f t="shared" ca="1" si="2219"/>
        <v>2306176.7916900339</v>
      </c>
      <c r="AZ2267" s="2">
        <f t="shared" ca="1" si="2220"/>
        <v>2227605.2433213685</v>
      </c>
      <c r="BA2267" s="2">
        <f t="shared" ca="1" si="2221"/>
        <v>47189034.861185111</v>
      </c>
      <c r="BB2267" s="2">
        <f t="shared" ca="1" si="2222"/>
        <v>943780.69722370221</v>
      </c>
      <c r="BC2267" s="2">
        <f t="shared" ca="1" si="2223"/>
        <v>21884884.393041786</v>
      </c>
      <c r="BD2267" s="2">
        <f t="shared" ca="1" si="2224"/>
        <v>-17755261.921068069</v>
      </c>
      <c r="BE2267" s="2">
        <f t="shared" ca="1" si="2225"/>
        <v>2405726.142150145</v>
      </c>
      <c r="BF2267" s="2">
        <f t="shared" ca="1" si="2226"/>
        <v>2468163.1158986529</v>
      </c>
      <c r="BG2267" s="2">
        <f t="shared" ca="1" si="2227"/>
        <v>2386351.8410458155</v>
      </c>
      <c r="BH2267" s="2">
        <f t="shared" ca="1" si="2228"/>
        <v>2306176.7916900339</v>
      </c>
      <c r="BI2267" s="2">
        <f t="shared" ca="1" si="2229"/>
        <v>24112489.636363156</v>
      </c>
      <c r="BJ2267" s="2">
        <f t="shared" ca="1" si="2230"/>
        <v>0.16705695765785245</v>
      </c>
      <c r="BK2267" s="2">
        <f t="shared" ca="1" si="2231"/>
        <v>3206561.6993156038</v>
      </c>
    </row>
    <row r="2268" spans="1:63" x14ac:dyDescent="0.3">
      <c r="A2268" s="2">
        <v>2267</v>
      </c>
      <c r="B2268" s="2">
        <f t="shared" ca="1" si="2170"/>
        <v>0.53952817385708018</v>
      </c>
      <c r="C2268" s="2">
        <f t="shared" ca="1" si="2171"/>
        <v>7.0403419086540042</v>
      </c>
      <c r="D2268" s="2">
        <f t="shared" ca="1" si="2172"/>
        <v>0.54146826498608525</v>
      </c>
      <c r="E2268" s="2">
        <f t="shared" ca="1" si="2173"/>
        <v>7.5423656908674221</v>
      </c>
      <c r="F2268" s="2">
        <f t="shared" ca="1" si="2174"/>
        <v>0.43572788308903998</v>
      </c>
      <c r="G2268" s="2">
        <f t="shared" ca="1" si="2175"/>
        <v>3.514571097951897E-2</v>
      </c>
      <c r="H2268" s="2">
        <f t="shared" ca="1" si="2176"/>
        <v>3.514571097951897E-2</v>
      </c>
      <c r="I2268" s="2">
        <f t="shared" ca="1" si="2177"/>
        <v>0.11360005391558314</v>
      </c>
      <c r="J2268" s="2">
        <f t="shared" ca="1" si="2178"/>
        <v>3.9619863396181763E-3</v>
      </c>
      <c r="K2268" s="2">
        <f t="shared" ca="1" si="2179"/>
        <v>3.9619863396181763E-3</v>
      </c>
      <c r="L2268" s="2">
        <f t="shared" ca="1" si="2180"/>
        <v>0.29969677520864657</v>
      </c>
      <c r="M2268" s="2">
        <f t="shared" ca="1" si="2181"/>
        <v>-1.0505456364656305E-2</v>
      </c>
      <c r="N2268" s="2">
        <f t="shared" ca="1" si="2182"/>
        <v>-1.0505456364656305E-2</v>
      </c>
      <c r="O2268" s="2">
        <f t="shared" si="2183"/>
        <v>6000000</v>
      </c>
      <c r="P2268" s="2">
        <f t="shared" ca="1" si="2184"/>
        <v>42242051.451924026</v>
      </c>
      <c r="Q2268" s="2">
        <f t="shared" ca="1" si="2185"/>
        <v>1056051.2862981006</v>
      </c>
      <c r="R2268" s="2">
        <f t="shared" ca="1" si="2186"/>
        <v>25345230.871154416</v>
      </c>
      <c r="S2268" s="2">
        <f t="shared" ca="1" si="2187"/>
        <v>16896820.58076961</v>
      </c>
      <c r="T2268" s="2">
        <f t="shared" ca="1" si="2188"/>
        <v>49474727.181767188</v>
      </c>
      <c r="U2268" s="2">
        <f t="shared" ca="1" si="2189"/>
        <v>51213551.644088134</v>
      </c>
      <c r="V2268" s="2">
        <f t="shared" ca="1" si="2190"/>
        <v>53013488.328405924</v>
      </c>
      <c r="W2268" s="2">
        <f t="shared" ca="1" si="2191"/>
        <v>54876685.067212187</v>
      </c>
      <c r="X2268" s="2">
        <f t="shared" ca="1" si="2192"/>
        <v>56805365.180098511</v>
      </c>
      <c r="Y2268" s="2">
        <f t="shared" ca="1" si="2193"/>
        <v>0.12198099316980908</v>
      </c>
      <c r="Z2268" s="2">
        <f t="shared" ca="1" si="2194"/>
        <v>0.12277339043773272</v>
      </c>
      <c r="AA2268" s="2">
        <f t="shared" ca="1" si="2195"/>
        <v>6034976.3584373109</v>
      </c>
      <c r="AB2268" s="2">
        <f t="shared" ca="1" si="2196"/>
        <v>6287661.3717026208</v>
      </c>
      <c r="AC2268" s="2">
        <f t="shared" ca="1" si="2197"/>
        <v>6508645.7010095669</v>
      </c>
      <c r="AD2268" s="2">
        <f t="shared" ca="1" si="2198"/>
        <v>6737396.6816853387</v>
      </c>
      <c r="AE2268" s="2">
        <f t="shared" ca="1" si="2199"/>
        <v>6974187.2782142218</v>
      </c>
      <c r="AF2268" s="2">
        <f t="shared" ca="1" si="2200"/>
        <v>989494.54363534378</v>
      </c>
      <c r="AG2268" s="2">
        <f t="shared" ca="1" si="2201"/>
        <v>1024271.0328817627</v>
      </c>
      <c r="AH2268" s="2">
        <f t="shared" ca="1" si="2202"/>
        <v>1060269.7665681185</v>
      </c>
      <c r="AI2268" s="2">
        <f t="shared" ca="1" si="2203"/>
        <v>1097533.7013442437</v>
      </c>
      <c r="AJ2268" s="2">
        <f t="shared" ca="1" si="2204"/>
        <v>1136107.3036019702</v>
      </c>
      <c r="AK2268" s="2">
        <f t="shared" ca="1" si="2205"/>
        <v>0</v>
      </c>
      <c r="AL2268" s="2">
        <f t="shared" ca="1" si="2206"/>
        <v>17388.244623209463</v>
      </c>
      <c r="AM2268" s="2">
        <f t="shared" ca="1" si="2207"/>
        <v>17999.366843177901</v>
      </c>
      <c r="AN2268" s="2">
        <f t="shared" ca="1" si="2208"/>
        <v>18631.967388062625</v>
      </c>
      <c r="AO2268" s="2">
        <f t="shared" ca="1" si="2209"/>
        <v>19286.801128863244</v>
      </c>
      <c r="AP2268" s="2">
        <f t="shared" ca="1" si="2210"/>
        <v>2281070.7784038973</v>
      </c>
      <c r="AQ2268" s="2">
        <f t="shared" ca="1" si="2211"/>
        <v>718746.86946349812</v>
      </c>
      <c r="AR2268" s="2">
        <f t="shared" ca="1" si="2212"/>
        <v>775403.08570840978</v>
      </c>
      <c r="AS2268" s="2">
        <f t="shared" ca="1" si="2213"/>
        <v>823499.34056976321</v>
      </c>
      <c r="AT2268" s="2">
        <f t="shared" ca="1" si="2214"/>
        <v>873285.97250367154</v>
      </c>
      <c r="AU2268" s="2">
        <f t="shared" ca="1" si="2215"/>
        <v>924822.39101417223</v>
      </c>
      <c r="AV2268" s="2">
        <f t="shared" ca="1" si="2216"/>
        <v>2045664.1669345717</v>
      </c>
      <c r="AW2268" s="2">
        <f t="shared" ca="1" si="2217"/>
        <v>2189528.2300853417</v>
      </c>
      <c r="AX2268" s="2">
        <f t="shared" ca="1" si="2218"/>
        <v>2325806.4486246095</v>
      </c>
      <c r="AY2268" s="2">
        <f t="shared" ca="1" si="2219"/>
        <v>2466874.262045464</v>
      </c>
      <c r="AZ2268" s="2">
        <f t="shared" ca="1" si="2220"/>
        <v>2612900.0040653194</v>
      </c>
      <c r="BA2268" s="2">
        <f t="shared" ca="1" si="2221"/>
        <v>52601870.848886997</v>
      </c>
      <c r="BB2268" s="2">
        <f t="shared" ca="1" si="2222"/>
        <v>1052037.4169777399</v>
      </c>
      <c r="BC2268" s="2">
        <f t="shared" ca="1" si="2223"/>
        <v>26204602.560754839</v>
      </c>
      <c r="BD2268" s="2">
        <f t="shared" ca="1" si="2224"/>
        <v>-18452871.86706771</v>
      </c>
      <c r="BE2268" s="2">
        <f t="shared" ca="1" si="2225"/>
        <v>2045664.1669345717</v>
      </c>
      <c r="BF2268" s="2">
        <f t="shared" ca="1" si="2226"/>
        <v>2189528.2300853417</v>
      </c>
      <c r="BG2268" s="2">
        <f t="shared" ca="1" si="2227"/>
        <v>2325806.4486246095</v>
      </c>
      <c r="BH2268" s="2">
        <f t="shared" ca="1" si="2228"/>
        <v>2466874.262045464</v>
      </c>
      <c r="BI2268" s="2">
        <f t="shared" ca="1" si="2229"/>
        <v>28817502.564820159</v>
      </c>
      <c r="BJ2268" s="2">
        <f t="shared" ca="1" si="2230"/>
        <v>0.18211337047186427</v>
      </c>
      <c r="BK2268" s="2">
        <f t="shared" ca="1" si="2231"/>
        <v>4694123.6470839754</v>
      </c>
    </row>
    <row r="2269" spans="1:63" x14ac:dyDescent="0.3">
      <c r="A2269" s="2">
        <v>2268</v>
      </c>
      <c r="B2269" s="2">
        <f t="shared" ca="1" si="2170"/>
        <v>0.81968376839627266</v>
      </c>
      <c r="C2269" s="2">
        <f t="shared" ca="1" si="2171"/>
        <v>7.3994731786111014</v>
      </c>
      <c r="D2269" s="2">
        <f t="shared" ca="1" si="2172"/>
        <v>0.28632309455312588</v>
      </c>
      <c r="E2269" s="2">
        <f t="shared" ca="1" si="2173"/>
        <v>7.2567338958354197</v>
      </c>
      <c r="F2269" s="2">
        <f t="shared" ca="1" si="2174"/>
        <v>0.70396320194955775</v>
      </c>
      <c r="G2269" s="2">
        <f t="shared" ca="1" si="2175"/>
        <v>5.6075006356141002E-2</v>
      </c>
      <c r="H2269" s="2">
        <f t="shared" ca="1" si="2176"/>
        <v>5.6075006356141002E-2</v>
      </c>
      <c r="I2269" s="2">
        <f t="shared" ca="1" si="2177"/>
        <v>0.12026809269723582</v>
      </c>
      <c r="J2269" s="2">
        <f t="shared" ca="1" si="2178"/>
        <v>4.1317617322027232E-3</v>
      </c>
      <c r="K2269" s="2">
        <f t="shared" ca="1" si="2179"/>
        <v>4.1317617322027232E-3</v>
      </c>
      <c r="L2269" s="2">
        <f t="shared" ca="1" si="2180"/>
        <v>0.40426869371039809</v>
      </c>
      <c r="M2269" s="2">
        <f t="shared" ca="1" si="2181"/>
        <v>-4.8462665545870552E-3</v>
      </c>
      <c r="N2269" s="2">
        <f t="shared" ca="1" si="2182"/>
        <v>-4.8462665545870552E-3</v>
      </c>
      <c r="O2269" s="2">
        <f t="shared" si="2183"/>
        <v>6000000</v>
      </c>
      <c r="P2269" s="2">
        <f t="shared" ca="1" si="2184"/>
        <v>44396839.071666606</v>
      </c>
      <c r="Q2269" s="2">
        <f t="shared" ca="1" si="2185"/>
        <v>1109920.9767916652</v>
      </c>
      <c r="R2269" s="2">
        <f t="shared" ca="1" si="2186"/>
        <v>26638103.442999963</v>
      </c>
      <c r="S2269" s="2">
        <f t="shared" ca="1" si="2187"/>
        <v>17758735.628666643</v>
      </c>
      <c r="T2269" s="2">
        <f t="shared" ca="1" si="2188"/>
        <v>49757686.672270648</v>
      </c>
      <c r="U2269" s="2">
        <f t="shared" ca="1" si="2189"/>
        <v>52547849.268685102</v>
      </c>
      <c r="V2269" s="2">
        <f t="shared" ca="1" si="2190"/>
        <v>55494470.250428163</v>
      </c>
      <c r="W2269" s="2">
        <f t="shared" ca="1" si="2191"/>
        <v>58606323.022451602</v>
      </c>
      <c r="X2269" s="2">
        <f t="shared" ca="1" si="2192"/>
        <v>61892672.958445631</v>
      </c>
      <c r="Y2269" s="2">
        <f t="shared" ca="1" si="2193"/>
        <v>0.12206588086610136</v>
      </c>
      <c r="Z2269" s="2">
        <f t="shared" ca="1" si="2194"/>
        <v>0.1228922332125419</v>
      </c>
      <c r="AA2269" s="2">
        <f t="shared" ca="1" si="2195"/>
        <v>6073715.8535101879</v>
      </c>
      <c r="AB2269" s="2">
        <f t="shared" ca="1" si="2196"/>
        <v>6457722.5471447492</v>
      </c>
      <c r="AC2269" s="2">
        <f t="shared" ca="1" si="2197"/>
        <v>6819839.3800220862</v>
      </c>
      <c r="AD2269" s="2">
        <f t="shared" ca="1" si="2198"/>
        <v>7202261.9166046856</v>
      </c>
      <c r="AE2269" s="2">
        <f t="shared" ca="1" si="2199"/>
        <v>7606128.7993568862</v>
      </c>
      <c r="AF2269" s="2">
        <f t="shared" ca="1" si="2200"/>
        <v>995153.73344541295</v>
      </c>
      <c r="AG2269" s="2">
        <f t="shared" ca="1" si="2201"/>
        <v>1050956.9853737021</v>
      </c>
      <c r="AH2269" s="2">
        <f t="shared" ca="1" si="2202"/>
        <v>1109889.4050085633</v>
      </c>
      <c r="AI2269" s="2">
        <f t="shared" ca="1" si="2203"/>
        <v>1172126.460449032</v>
      </c>
      <c r="AJ2269" s="2">
        <f t="shared" ca="1" si="2204"/>
        <v>1237853.4591689126</v>
      </c>
      <c r="AK2269" s="2">
        <f t="shared" ca="1" si="2205"/>
        <v>0</v>
      </c>
      <c r="AL2269" s="2">
        <f t="shared" ca="1" si="2206"/>
        <v>27901.625964144543</v>
      </c>
      <c r="AM2269" s="2">
        <f t="shared" ca="1" si="2207"/>
        <v>29466.209817430601</v>
      </c>
      <c r="AN2269" s="2">
        <f t="shared" ca="1" si="2208"/>
        <v>31118.527720234393</v>
      </c>
      <c r="AO2269" s="2">
        <f t="shared" ca="1" si="2209"/>
        <v>32863.499359940288</v>
      </c>
      <c r="AP2269" s="2">
        <f t="shared" ca="1" si="2210"/>
        <v>2397429.3098699967</v>
      </c>
      <c r="AQ2269" s="2">
        <f t="shared" ca="1" si="2211"/>
        <v>697094.53065064223</v>
      </c>
      <c r="AR2269" s="2">
        <f t="shared" ca="1" si="2212"/>
        <v>782427.42549427319</v>
      </c>
      <c r="AS2269" s="2">
        <f t="shared" ca="1" si="2213"/>
        <v>861255.37293731666</v>
      </c>
      <c r="AT2269" s="2">
        <f t="shared" ca="1" si="2214"/>
        <v>944503.59803427092</v>
      </c>
      <c r="AU2269" s="2">
        <f t="shared" ca="1" si="2215"/>
        <v>1032419.967882674</v>
      </c>
      <c r="AV2269" s="2">
        <f t="shared" ca="1" si="2216"/>
        <v>1984038.279544136</v>
      </c>
      <c r="AW2269" s="2">
        <f t="shared" ca="1" si="2217"/>
        <v>2199007.2004426331</v>
      </c>
      <c r="AX2269" s="2">
        <f t="shared" ca="1" si="2218"/>
        <v>2421799.0823887778</v>
      </c>
      <c r="AY2269" s="2">
        <f t="shared" ca="1" si="2219"/>
        <v>2657084.0205311519</v>
      </c>
      <c r="AZ2269" s="2">
        <f t="shared" ca="1" si="2220"/>
        <v>2905562.5630753622</v>
      </c>
      <c r="BA2269" s="2">
        <f t="shared" ca="1" si="2221"/>
        <v>55195652.674383081</v>
      </c>
      <c r="BB2269" s="2">
        <f t="shared" ca="1" si="2222"/>
        <v>1103913.0534876618</v>
      </c>
      <c r="BC2269" s="2">
        <f t="shared" ca="1" si="2223"/>
        <v>27453636.177895457</v>
      </c>
      <c r="BD2269" s="2">
        <f t="shared" ca="1" si="2224"/>
        <v>-19368656.605458308</v>
      </c>
      <c r="BE2269" s="2">
        <f t="shared" ca="1" si="2225"/>
        <v>1984038.279544136</v>
      </c>
      <c r="BF2269" s="2">
        <f t="shared" ca="1" si="2226"/>
        <v>2199007.2004426331</v>
      </c>
      <c r="BG2269" s="2">
        <f t="shared" ca="1" si="2227"/>
        <v>2421799.0823887778</v>
      </c>
      <c r="BH2269" s="2">
        <f t="shared" ca="1" si="2228"/>
        <v>2657084.0205311519</v>
      </c>
      <c r="BI2269" s="2">
        <f t="shared" ca="1" si="2229"/>
        <v>30359198.74097082</v>
      </c>
      <c r="BJ2269" s="2">
        <f t="shared" ca="1" si="2230"/>
        <v>0.18009876675689984</v>
      </c>
      <c r="BK2269" s="2">
        <f t="shared" ca="1" si="2231"/>
        <v>4794879.5866483897</v>
      </c>
    </row>
    <row r="2270" spans="1:63" x14ac:dyDescent="0.3">
      <c r="A2270" s="2">
        <v>2269</v>
      </c>
      <c r="B2270" s="2">
        <f t="shared" ca="1" si="2170"/>
        <v>0.8408685607698051</v>
      </c>
      <c r="C2270" s="2">
        <f t="shared" ca="1" si="2171"/>
        <v>7.4358520775005994</v>
      </c>
      <c r="D2270" s="2">
        <f t="shared" ca="1" si="2172"/>
        <v>0.23249268546106006</v>
      </c>
      <c r="E2270" s="2">
        <f t="shared" ca="1" si="2173"/>
        <v>7.1818983582045934</v>
      </c>
      <c r="F2270" s="2">
        <f t="shared" ca="1" si="2174"/>
        <v>0.75888917277014234</v>
      </c>
      <c r="G2270" s="2">
        <f t="shared" ca="1" si="2175"/>
        <v>6.1082014242513458E-2</v>
      </c>
      <c r="H2270" s="2">
        <f t="shared" ca="1" si="2176"/>
        <v>6.1082014242513458E-2</v>
      </c>
      <c r="I2270" s="2">
        <f t="shared" ca="1" si="2177"/>
        <v>0.61861953472054709</v>
      </c>
      <c r="J2270" s="2">
        <f t="shared" ca="1" si="2178"/>
        <v>1.1509285957671056E-2</v>
      </c>
      <c r="K2270" s="2">
        <f t="shared" ca="1" si="2179"/>
        <v>1.1509285957671056E-2</v>
      </c>
      <c r="L2270" s="2">
        <f t="shared" ca="1" si="2180"/>
        <v>0.49726062344246891</v>
      </c>
      <c r="M2270" s="2">
        <f t="shared" ca="1" si="2181"/>
        <v>-1.3733305390169795E-4</v>
      </c>
      <c r="N2270" s="2">
        <f t="shared" ca="1" si="2182"/>
        <v>-1.3733305390169795E-4</v>
      </c>
      <c r="O2270" s="2">
        <f t="shared" si="2183"/>
        <v>6000000</v>
      </c>
      <c r="P2270" s="2">
        <f t="shared" ca="1" si="2184"/>
        <v>44615112.465003595</v>
      </c>
      <c r="Q2270" s="2">
        <f t="shared" ca="1" si="2185"/>
        <v>1115377.81162509</v>
      </c>
      <c r="R2270" s="2">
        <f t="shared" ca="1" si="2186"/>
        <v>26769067.479002155</v>
      </c>
      <c r="S2270" s="2">
        <f t="shared" ca="1" si="2187"/>
        <v>17846044.986001439</v>
      </c>
      <c r="T2270" s="2">
        <f t="shared" ca="1" si="2188"/>
        <v>49993133.34730491</v>
      </c>
      <c r="U2270" s="2">
        <f t="shared" ca="1" si="2189"/>
        <v>53046814.630452864</v>
      </c>
      <c r="V2270" s="2">
        <f t="shared" ca="1" si="2190"/>
        <v>56287020.917230159</v>
      </c>
      <c r="W2270" s="2">
        <f t="shared" ca="1" si="2191"/>
        <v>59725145.530565068</v>
      </c>
      <c r="X2270" s="2">
        <f t="shared" ca="1" si="2192"/>
        <v>63373277.720499232</v>
      </c>
      <c r="Y2270" s="2">
        <f t="shared" ca="1" si="2193"/>
        <v>0.12575464297883551</v>
      </c>
      <c r="Z2270" s="2">
        <f t="shared" ca="1" si="2194"/>
        <v>0.12805650017036974</v>
      </c>
      <c r="AA2270" s="2">
        <f t="shared" ca="1" si="2195"/>
        <v>6286868.6354836449</v>
      </c>
      <c r="AB2270" s="2">
        <f t="shared" ca="1" si="2196"/>
        <v>6792989.426762159</v>
      </c>
      <c r="AC2270" s="2">
        <f t="shared" ca="1" si="2197"/>
        <v>7207918.9036768889</v>
      </c>
      <c r="AD2270" s="2">
        <f t="shared" ca="1" si="2198"/>
        <v>7648193.1088101631</v>
      </c>
      <c r="AE2270" s="2">
        <f t="shared" ca="1" si="2199"/>
        <v>8115360.1492119981</v>
      </c>
      <c r="AF2270" s="2">
        <f t="shared" ca="1" si="2200"/>
        <v>999862.66694609821</v>
      </c>
      <c r="AG2270" s="2">
        <f t="shared" ca="1" si="2201"/>
        <v>1060936.2926090574</v>
      </c>
      <c r="AH2270" s="2">
        <f t="shared" ca="1" si="2202"/>
        <v>1125740.4183446032</v>
      </c>
      <c r="AI2270" s="2">
        <f t="shared" ca="1" si="2203"/>
        <v>1194502.9106113014</v>
      </c>
      <c r="AJ2270" s="2">
        <f t="shared" ca="1" si="2204"/>
        <v>1267465.5544099847</v>
      </c>
      <c r="AK2270" s="2">
        <f t="shared" ca="1" si="2205"/>
        <v>0</v>
      </c>
      <c r="AL2270" s="2">
        <f t="shared" ca="1" si="2206"/>
        <v>30536.812831479536</v>
      </c>
      <c r="AM2270" s="2">
        <f t="shared" ca="1" si="2207"/>
        <v>32402.062867772951</v>
      </c>
      <c r="AN2270" s="2">
        <f t="shared" ca="1" si="2208"/>
        <v>34381.246133349094</v>
      </c>
      <c r="AO2270" s="2">
        <f t="shared" ca="1" si="2209"/>
        <v>36481.321899341645</v>
      </c>
      <c r="AP2270" s="2">
        <f t="shared" ca="1" si="2210"/>
        <v>2409216.0731101939</v>
      </c>
      <c r="AQ2270" s="2">
        <f t="shared" ca="1" si="2211"/>
        <v>748225.37281111174</v>
      </c>
      <c r="AR2270" s="2">
        <f t="shared" ca="1" si="2212"/>
        <v>863937.635871156</v>
      </c>
      <c r="AS2270" s="2">
        <f t="shared" ca="1" si="2213"/>
        <v>954970.22717774392</v>
      </c>
      <c r="AT2270" s="2">
        <f t="shared" ca="1" si="2214"/>
        <v>1051563.2725230537</v>
      </c>
      <c r="AU2270" s="2">
        <f t="shared" ca="1" si="2215"/>
        <v>1154056.4156398731</v>
      </c>
      <c r="AV2270" s="2">
        <f t="shared" ca="1" si="2216"/>
        <v>2129564.5226162411</v>
      </c>
      <c r="AW2270" s="2">
        <f t="shared" ca="1" si="2217"/>
        <v>2428362.6123402724</v>
      </c>
      <c r="AX2270" s="2">
        <f t="shared" ca="1" si="2218"/>
        <v>2685590.1221765755</v>
      </c>
      <c r="AY2270" s="2">
        <f t="shared" ca="1" si="2219"/>
        <v>2958529.6064322647</v>
      </c>
      <c r="AZ2270" s="2">
        <f t="shared" ca="1" si="2220"/>
        <v>3248140.7841526056</v>
      </c>
      <c r="BA2270" s="2">
        <f t="shared" ca="1" si="2221"/>
        <v>58283691.731864631</v>
      </c>
      <c r="BB2270" s="2">
        <f t="shared" ca="1" si="2222"/>
        <v>1165673.8346372927</v>
      </c>
      <c r="BC2270" s="2">
        <f t="shared" ca="1" si="2223"/>
        <v>30348950.418225184</v>
      </c>
      <c r="BD2270" s="2">
        <f t="shared" ca="1" si="2224"/>
        <v>-19461422.797626529</v>
      </c>
      <c r="BE2270" s="2">
        <f t="shared" ca="1" si="2225"/>
        <v>2129564.5226162411</v>
      </c>
      <c r="BF2270" s="2">
        <f t="shared" ca="1" si="2226"/>
        <v>2428362.6123402724</v>
      </c>
      <c r="BG2270" s="2">
        <f t="shared" ca="1" si="2227"/>
        <v>2685590.1221765755</v>
      </c>
      <c r="BH2270" s="2">
        <f t="shared" ca="1" si="2228"/>
        <v>2958529.6064322647</v>
      </c>
      <c r="BI2270" s="2">
        <f t="shared" ca="1" si="2229"/>
        <v>33597091.202377789</v>
      </c>
      <c r="BJ2270" s="2">
        <f t="shared" ca="1" si="2230"/>
        <v>0.20708839540944601</v>
      </c>
      <c r="BK2270" s="2">
        <f t="shared" ca="1" si="2231"/>
        <v>7231490.7799259759</v>
      </c>
    </row>
    <row r="2271" spans="1:63" x14ac:dyDescent="0.3">
      <c r="A2271" s="2">
        <v>2270</v>
      </c>
      <c r="B2271" s="2">
        <f t="shared" ca="1" si="2170"/>
        <v>0.47328822885997723</v>
      </c>
      <c r="C2271" s="2">
        <f t="shared" ca="1" si="2171"/>
        <v>6.9729216092368151</v>
      </c>
      <c r="D2271" s="2">
        <f t="shared" ca="1" si="2172"/>
        <v>0.93730815114698995</v>
      </c>
      <c r="E2271" s="2">
        <f t="shared" ca="1" si="2173"/>
        <v>8.1459043946812955</v>
      </c>
      <c r="F2271" s="2">
        <f t="shared" ca="1" si="2174"/>
        <v>0.23373938638996739</v>
      </c>
      <c r="G2271" s="2">
        <f t="shared" ca="1" si="2175"/>
        <v>1.820237915523722E-2</v>
      </c>
      <c r="H2271" s="2">
        <f t="shared" ca="1" si="2176"/>
        <v>1.820237915523722E-2</v>
      </c>
      <c r="I2271" s="2">
        <f t="shared" ca="1" si="2177"/>
        <v>0.62298427341567397</v>
      </c>
      <c r="J2271" s="2">
        <f t="shared" ca="1" si="2178"/>
        <v>1.1566640172907009E-2</v>
      </c>
      <c r="K2271" s="2">
        <f t="shared" ca="1" si="2179"/>
        <v>1.1566640172907009E-2</v>
      </c>
      <c r="L2271" s="2">
        <f t="shared" ca="1" si="2180"/>
        <v>0.67290125050305005</v>
      </c>
      <c r="M2271" s="2">
        <f t="shared" ca="1" si="2181"/>
        <v>8.9587722967396054E-3</v>
      </c>
      <c r="N2271" s="2">
        <f t="shared" ca="1" si="2182"/>
        <v>8.9587722967396054E-3</v>
      </c>
      <c r="O2271" s="2">
        <f t="shared" si="2183"/>
        <v>6000000</v>
      </c>
      <c r="P2271" s="2">
        <f t="shared" ca="1" si="2184"/>
        <v>41837529.655420892</v>
      </c>
      <c r="Q2271" s="2">
        <f t="shared" ca="1" si="2185"/>
        <v>1045938.2413855223</v>
      </c>
      <c r="R2271" s="2">
        <f t="shared" ca="1" si="2186"/>
        <v>25102517.793252535</v>
      </c>
      <c r="S2271" s="2">
        <f t="shared" ca="1" si="2187"/>
        <v>16735011.862168357</v>
      </c>
      <c r="T2271" s="2">
        <f t="shared" ca="1" si="2188"/>
        <v>50447938.614836983</v>
      </c>
      <c r="U2271" s="2">
        <f t="shared" ca="1" si="2189"/>
        <v>51366211.121104382</v>
      </c>
      <c r="V2271" s="2">
        <f t="shared" ca="1" si="2190"/>
        <v>52301198.371698685</v>
      </c>
      <c r="W2271" s="2">
        <f t="shared" ca="1" si="2191"/>
        <v>53253204.614733621</v>
      </c>
      <c r="X2271" s="2">
        <f t="shared" ca="1" si="2192"/>
        <v>54222539.636362433</v>
      </c>
      <c r="Y2271" s="2">
        <f t="shared" ca="1" si="2193"/>
        <v>0.12578332008645349</v>
      </c>
      <c r="Z2271" s="2">
        <f t="shared" ca="1" si="2194"/>
        <v>0.12809664812103491</v>
      </c>
      <c r="AA2271" s="2">
        <f t="shared" ca="1" si="2195"/>
        <v>6345509.210491797</v>
      </c>
      <c r="AB2271" s="2">
        <f t="shared" ca="1" si="2196"/>
        <v>6579839.4712908985</v>
      </c>
      <c r="AC2271" s="2">
        <f t="shared" ca="1" si="2197"/>
        <v>6699608.2041279301</v>
      </c>
      <c r="AD2271" s="2">
        <f t="shared" ca="1" si="2198"/>
        <v>6821557.0128510054</v>
      </c>
      <c r="AE2271" s="2">
        <f t="shared" ca="1" si="2199"/>
        <v>6945725.5800279872</v>
      </c>
      <c r="AF2271" s="2">
        <f t="shared" ca="1" si="2200"/>
        <v>1008958.7722967397</v>
      </c>
      <c r="AG2271" s="2">
        <f t="shared" ca="1" si="2201"/>
        <v>1027324.2224220877</v>
      </c>
      <c r="AH2271" s="2">
        <f t="shared" ca="1" si="2202"/>
        <v>1046023.9674339737</v>
      </c>
      <c r="AI2271" s="2">
        <f t="shared" ca="1" si="2203"/>
        <v>1065064.0922946725</v>
      </c>
      <c r="AJ2271" s="2">
        <f t="shared" ca="1" si="2204"/>
        <v>1084450.7927272487</v>
      </c>
      <c r="AK2271" s="2">
        <f t="shared" ca="1" si="2205"/>
        <v>0</v>
      </c>
      <c r="AL2271" s="2">
        <f t="shared" ca="1" si="2206"/>
        <v>9182.725062673986</v>
      </c>
      <c r="AM2271" s="2">
        <f t="shared" ca="1" si="2207"/>
        <v>9349.8725059430308</v>
      </c>
      <c r="AN2271" s="2">
        <f t="shared" ca="1" si="2208"/>
        <v>9520.062430349366</v>
      </c>
      <c r="AO2271" s="2">
        <f t="shared" ca="1" si="2209"/>
        <v>9693.3502162881196</v>
      </c>
      <c r="AP2271" s="2">
        <f t="shared" ca="1" si="2210"/>
        <v>2259226.6013927283</v>
      </c>
      <c r="AQ2271" s="2">
        <f t="shared" ca="1" si="2211"/>
        <v>800104.19756860554</v>
      </c>
      <c r="AR2271" s="2">
        <f t="shared" ca="1" si="2212"/>
        <v>856255.0483437815</v>
      </c>
      <c r="AS2271" s="2">
        <f t="shared" ca="1" si="2213"/>
        <v>882532.98517831927</v>
      </c>
      <c r="AT2271" s="2">
        <f t="shared" ca="1" si="2214"/>
        <v>909289.24298253725</v>
      </c>
      <c r="AU2271" s="2">
        <f t="shared" ca="1" si="2215"/>
        <v>936532.5283360827</v>
      </c>
      <c r="AV2271" s="2">
        <f t="shared" ca="1" si="2216"/>
        <v>2277219.6392337233</v>
      </c>
      <c r="AW2271" s="2">
        <f t="shared" ca="1" si="2217"/>
        <v>2427850.8740696274</v>
      </c>
      <c r="AX2271" s="2">
        <f t="shared" ca="1" si="2218"/>
        <v>2502474.7776169656</v>
      </c>
      <c r="AY2271" s="2">
        <f t="shared" ca="1" si="2219"/>
        <v>2578457.013750718</v>
      </c>
      <c r="AZ2271" s="2">
        <f t="shared" ca="1" si="2220"/>
        <v>2655822.3073556395</v>
      </c>
      <c r="BA2271" s="2">
        <f t="shared" ca="1" si="2221"/>
        <v>56579216.526600271</v>
      </c>
      <c r="BB2271" s="2">
        <f t="shared" ca="1" si="2222"/>
        <v>1131584.3305320055</v>
      </c>
      <c r="BC2271" s="2">
        <f t="shared" ca="1" si="2223"/>
        <v>30345114.402815729</v>
      </c>
      <c r="BD2271" s="2">
        <f t="shared" ca="1" si="2224"/>
        <v>-18280950.10355388</v>
      </c>
      <c r="BE2271" s="2">
        <f t="shared" ca="1" si="2225"/>
        <v>2277219.6392337233</v>
      </c>
      <c r="BF2271" s="2">
        <f t="shared" ca="1" si="2226"/>
        <v>2427850.8740696274</v>
      </c>
      <c r="BG2271" s="2">
        <f t="shared" ca="1" si="2227"/>
        <v>2502474.7776169656</v>
      </c>
      <c r="BH2271" s="2">
        <f t="shared" ca="1" si="2228"/>
        <v>2578457.013750718</v>
      </c>
      <c r="BI2271" s="2">
        <f t="shared" ca="1" si="2229"/>
        <v>33000936.710171368</v>
      </c>
      <c r="BJ2271" s="2">
        <f t="shared" ca="1" si="2230"/>
        <v>0.21949888254020822</v>
      </c>
      <c r="BK2271" s="2">
        <f t="shared" ca="1" si="2231"/>
        <v>7833235.4868140742</v>
      </c>
    </row>
    <row r="2272" spans="1:63" x14ac:dyDescent="0.3">
      <c r="A2272" s="2">
        <v>2271</v>
      </c>
      <c r="B2272" s="2">
        <f t="shared" ca="1" si="2170"/>
        <v>0.17321301881050233</v>
      </c>
      <c r="C2272" s="2">
        <f t="shared" ca="1" si="2171"/>
        <v>6.5885796782263251</v>
      </c>
      <c r="D2272" s="2">
        <f t="shared" ca="1" si="2172"/>
        <v>7.8138483048858509E-2</v>
      </c>
      <c r="E2272" s="2">
        <f t="shared" ca="1" si="2173"/>
        <v>6.895318815764842</v>
      </c>
      <c r="F2272" s="2">
        <f t="shared" ca="1" si="2174"/>
        <v>0.74334960438820719</v>
      </c>
      <c r="G2272" s="2">
        <f t="shared" ca="1" si="2175"/>
        <v>5.9611200750562962E-2</v>
      </c>
      <c r="H2272" s="2">
        <f t="shared" ca="1" si="2176"/>
        <v>5.9611200750562962E-2</v>
      </c>
      <c r="I2272" s="2">
        <f t="shared" ca="1" si="2177"/>
        <v>0.14737626230763756</v>
      </c>
      <c r="J2272" s="2">
        <f t="shared" ca="1" si="2178"/>
        <v>4.76123611451064E-3</v>
      </c>
      <c r="K2272" s="2">
        <f t="shared" ca="1" si="2179"/>
        <v>4.76123611451064E-3</v>
      </c>
      <c r="L2272" s="2">
        <f t="shared" ca="1" si="2180"/>
        <v>0.39572576293506811</v>
      </c>
      <c r="M2272" s="2">
        <f t="shared" ca="1" si="2181"/>
        <v>-5.2885239797182057E-3</v>
      </c>
      <c r="N2272" s="2">
        <f t="shared" ca="1" si="2182"/>
        <v>-5.2885239797182057E-3</v>
      </c>
      <c r="O2272" s="2">
        <f t="shared" si="2183"/>
        <v>6000000</v>
      </c>
      <c r="P2272" s="2">
        <f t="shared" ca="1" si="2184"/>
        <v>39531478.069357954</v>
      </c>
      <c r="Q2272" s="2">
        <f t="shared" ca="1" si="2185"/>
        <v>988286.9517339489</v>
      </c>
      <c r="R2272" s="2">
        <f t="shared" ca="1" si="2186"/>
        <v>23718886.841614772</v>
      </c>
      <c r="S2272" s="2">
        <f t="shared" ca="1" si="2187"/>
        <v>15812591.227743182</v>
      </c>
      <c r="T2272" s="2">
        <f t="shared" ca="1" si="2188"/>
        <v>49735573.801014088</v>
      </c>
      <c r="U2272" s="2">
        <f t="shared" ca="1" si="2189"/>
        <v>52700371.075310774</v>
      </c>
      <c r="V2272" s="2">
        <f t="shared" ca="1" si="2190"/>
        <v>55841903.475110285</v>
      </c>
      <c r="W2272" s="2">
        <f t="shared" ca="1" si="2191"/>
        <v>59170706.393458642</v>
      </c>
      <c r="X2272" s="2">
        <f t="shared" ca="1" si="2192"/>
        <v>62697943.250831723</v>
      </c>
      <c r="Y2272" s="2">
        <f t="shared" ca="1" si="2193"/>
        <v>0.12238061805725532</v>
      </c>
      <c r="Z2272" s="2">
        <f t="shared" ca="1" si="2194"/>
        <v>0.12333286528015744</v>
      </c>
      <c r="AA2272" s="2">
        <f t="shared" ca="1" si="2195"/>
        <v>6086670.2612003395</v>
      </c>
      <c r="AB2272" s="2">
        <f t="shared" ca="1" si="2196"/>
        <v>6499687.7660456095</v>
      </c>
      <c r="AC2272" s="2">
        <f t="shared" ca="1" si="2197"/>
        <v>6887141.9582833322</v>
      </c>
      <c r="AD2272" s="2">
        <f t="shared" ca="1" si="2198"/>
        <v>7297692.7601561854</v>
      </c>
      <c r="AE2272" s="2">
        <f t="shared" ca="1" si="2199"/>
        <v>7732716.9882977856</v>
      </c>
      <c r="AF2272" s="2">
        <f t="shared" ca="1" si="2200"/>
        <v>994711.47602028179</v>
      </c>
      <c r="AG2272" s="2">
        <f t="shared" ca="1" si="2201"/>
        <v>1054007.4215062156</v>
      </c>
      <c r="AH2272" s="2">
        <f t="shared" ca="1" si="2202"/>
        <v>1116838.0695022058</v>
      </c>
      <c r="AI2272" s="2">
        <f t="shared" ca="1" si="2203"/>
        <v>1183414.127869173</v>
      </c>
      <c r="AJ2272" s="2">
        <f t="shared" ca="1" si="2204"/>
        <v>1253958.8650166346</v>
      </c>
      <c r="AK2272" s="2">
        <f t="shared" ca="1" si="2205"/>
        <v>0</v>
      </c>
      <c r="AL2272" s="2">
        <f t="shared" ca="1" si="2206"/>
        <v>29647.97274296686</v>
      </c>
      <c r="AM2272" s="2">
        <f t="shared" ca="1" si="2207"/>
        <v>31415.32399799511</v>
      </c>
      <c r="AN2272" s="2">
        <f t="shared" ca="1" si="2208"/>
        <v>33288.029183483573</v>
      </c>
      <c r="AO2272" s="2">
        <f t="shared" ca="1" si="2209"/>
        <v>35272.368573730811</v>
      </c>
      <c r="AP2272" s="2">
        <f t="shared" ca="1" si="2210"/>
        <v>2134699.8157453295</v>
      </c>
      <c r="AQ2272" s="2">
        <f t="shared" ca="1" si="2211"/>
        <v>768887.33205302933</v>
      </c>
      <c r="AR2272" s="2">
        <f t="shared" ca="1" si="2212"/>
        <v>860854.93748645671</v>
      </c>
      <c r="AS2272" s="2">
        <f t="shared" ca="1" si="2213"/>
        <v>945257.05898930726</v>
      </c>
      <c r="AT2272" s="2">
        <f t="shared" ca="1" si="2214"/>
        <v>1034690.4923008376</v>
      </c>
      <c r="AU2272" s="2">
        <f t="shared" ca="1" si="2215"/>
        <v>1129455.1599593137</v>
      </c>
      <c r="AV2272" s="2">
        <f t="shared" ca="1" si="2216"/>
        <v>2188371.6373816989</v>
      </c>
      <c r="AW2272" s="2">
        <f t="shared" ca="1" si="2217"/>
        <v>2420477.6185646402</v>
      </c>
      <c r="AX2272" s="2">
        <f t="shared" ca="1" si="2218"/>
        <v>2658931.6900484953</v>
      </c>
      <c r="AY2272" s="2">
        <f t="shared" ca="1" si="2219"/>
        <v>2911600.2950573619</v>
      </c>
      <c r="AZ2272" s="2">
        <f t="shared" ca="1" si="2220"/>
        <v>3179330.7790027773</v>
      </c>
      <c r="BA2272" s="2">
        <f t="shared" ca="1" si="2221"/>
        <v>53319548.94639416</v>
      </c>
      <c r="BB2272" s="2">
        <f t="shared" ca="1" si="2222"/>
        <v>1066390.9789278833</v>
      </c>
      <c r="BC2272" s="2">
        <f t="shared" ca="1" si="2223"/>
        <v>28534271.125851505</v>
      </c>
      <c r="BD2272" s="2">
        <f t="shared" ca="1" si="2224"/>
        <v>-17300878.179477133</v>
      </c>
      <c r="BE2272" s="2">
        <f t="shared" ca="1" si="2225"/>
        <v>2188371.6373816989</v>
      </c>
      <c r="BF2272" s="2">
        <f t="shared" ca="1" si="2226"/>
        <v>2420477.6185646402</v>
      </c>
      <c r="BG2272" s="2">
        <f t="shared" ca="1" si="2227"/>
        <v>2658931.6900484953</v>
      </c>
      <c r="BH2272" s="2">
        <f t="shared" ca="1" si="2228"/>
        <v>2911600.2950573619</v>
      </c>
      <c r="BI2272" s="2">
        <f t="shared" ca="1" si="2229"/>
        <v>31713601.904854283</v>
      </c>
      <c r="BJ2272" s="2">
        <f t="shared" ca="1" si="2230"/>
        <v>0.23076403098118381</v>
      </c>
      <c r="BK2272" s="2">
        <f t="shared" ca="1" si="2231"/>
        <v>8320714.1006963849</v>
      </c>
    </row>
    <row r="2273" spans="1:63" x14ac:dyDescent="0.3">
      <c r="A2273" s="2">
        <v>2272</v>
      </c>
      <c r="B2273" s="2">
        <f t="shared" ca="1" si="2170"/>
        <v>0.48262285817108885</v>
      </c>
      <c r="C2273" s="2">
        <f t="shared" ca="1" si="2171"/>
        <v>6.9824691935842962</v>
      </c>
      <c r="D2273" s="2">
        <f t="shared" ca="1" si="2172"/>
        <v>0.18545477528319509</v>
      </c>
      <c r="E2273" s="2">
        <f t="shared" ca="1" si="2173"/>
        <v>7.1090234400796</v>
      </c>
      <c r="F2273" s="2">
        <f t="shared" ca="1" si="2174"/>
        <v>8.9160088637591062E-2</v>
      </c>
      <c r="G2273" s="2">
        <f t="shared" ca="1" si="2175"/>
        <v>-3.7835720996085703E-4</v>
      </c>
      <c r="H2273" s="2">
        <f t="shared" ca="1" si="2176"/>
        <v>-3.7835720996085703E-4</v>
      </c>
      <c r="I2273" s="2">
        <f t="shared" ca="1" si="2177"/>
        <v>3.3638607738911031E-2</v>
      </c>
      <c r="J2273" s="2">
        <f t="shared" ca="1" si="2178"/>
        <v>8.5091191154187257E-4</v>
      </c>
      <c r="K2273" s="2">
        <f t="shared" ca="1" si="2179"/>
        <v>8.5091191154187257E-4</v>
      </c>
      <c r="L2273" s="2">
        <f t="shared" ca="1" si="2180"/>
        <v>0.24171158706510465</v>
      </c>
      <c r="M2273" s="2">
        <f t="shared" ca="1" si="2181"/>
        <v>-1.4016149447780242E-2</v>
      </c>
      <c r="N2273" s="2">
        <f t="shared" ca="1" si="2182"/>
        <v>-1.4016149447780242E-2</v>
      </c>
      <c r="O2273" s="2">
        <f t="shared" si="2183"/>
        <v>6000000</v>
      </c>
      <c r="P2273" s="2">
        <f t="shared" ca="1" si="2184"/>
        <v>41894815.161505774</v>
      </c>
      <c r="Q2273" s="2">
        <f t="shared" ca="1" si="2185"/>
        <v>1047370.3790376444</v>
      </c>
      <c r="R2273" s="2">
        <f t="shared" ca="1" si="2186"/>
        <v>25136889.096903462</v>
      </c>
      <c r="S2273" s="2">
        <f t="shared" ca="1" si="2187"/>
        <v>16757926.06460231</v>
      </c>
      <c r="T2273" s="2">
        <f t="shared" ca="1" si="2188"/>
        <v>49299192.527610987</v>
      </c>
      <c r="U2273" s="2">
        <f t="shared" ca="1" si="2189"/>
        <v>49280539.822672918</v>
      </c>
      <c r="V2273" s="2">
        <f t="shared" ca="1" si="2190"/>
        <v>49261894.175120249</v>
      </c>
      <c r="W2273" s="2">
        <f t="shared" ca="1" si="2191"/>
        <v>49243255.582282767</v>
      </c>
      <c r="X2273" s="2">
        <f t="shared" ca="1" si="2192"/>
        <v>49224624.04149127</v>
      </c>
      <c r="Y2273" s="2">
        <f t="shared" ca="1" si="2193"/>
        <v>0.12042545595577094</v>
      </c>
      <c r="Z2273" s="2">
        <f t="shared" ca="1" si="2194"/>
        <v>0.12059563833807931</v>
      </c>
      <c r="AA2273" s="2">
        <f t="shared" ca="1" si="2195"/>
        <v>5936877.7383888885</v>
      </c>
      <c r="AB2273" s="2">
        <f t="shared" ca="1" si="2196"/>
        <v>5943018.1575603783</v>
      </c>
      <c r="AC2273" s="2">
        <f t="shared" ca="1" si="2197"/>
        <v>5940769.5737915374</v>
      </c>
      <c r="AD2273" s="2">
        <f t="shared" ca="1" si="2198"/>
        <v>5938521.8407905772</v>
      </c>
      <c r="AE2273" s="2">
        <f t="shared" ca="1" si="2199"/>
        <v>5936274.9582356047</v>
      </c>
      <c r="AF2273" s="2">
        <f t="shared" ca="1" si="2200"/>
        <v>985983.85055221978</v>
      </c>
      <c r="AG2273" s="2">
        <f t="shared" ca="1" si="2201"/>
        <v>985610.79645345837</v>
      </c>
      <c r="AH2273" s="2">
        <f t="shared" ca="1" si="2202"/>
        <v>985237.88350240502</v>
      </c>
      <c r="AI2273" s="2">
        <f t="shared" ca="1" si="2203"/>
        <v>984865.11164565536</v>
      </c>
      <c r="AJ2273" s="2">
        <f t="shared" ca="1" si="2204"/>
        <v>984492.48082982539</v>
      </c>
      <c r="AK2273" s="2">
        <f t="shared" ca="1" si="2205"/>
        <v>0</v>
      </c>
      <c r="AL2273" s="2">
        <f t="shared" ca="1" si="2206"/>
        <v>0</v>
      </c>
      <c r="AM2273" s="2">
        <f t="shared" ca="1" si="2207"/>
        <v>0</v>
      </c>
      <c r="AN2273" s="2">
        <f t="shared" ca="1" si="2208"/>
        <v>0</v>
      </c>
      <c r="AO2273" s="2">
        <f t="shared" ca="1" si="2209"/>
        <v>0</v>
      </c>
      <c r="AP2273" s="2">
        <f t="shared" ca="1" si="2210"/>
        <v>2262320.0187213114</v>
      </c>
      <c r="AQ2273" s="2">
        <f t="shared" ca="1" si="2211"/>
        <v>699029.20596999291</v>
      </c>
      <c r="AR2273" s="2">
        <f t="shared" ca="1" si="2212"/>
        <v>700722.70902025828</v>
      </c>
      <c r="AS2273" s="2">
        <f t="shared" ca="1" si="2213"/>
        <v>700235.03460763348</v>
      </c>
      <c r="AT2273" s="2">
        <f t="shared" ca="1" si="2214"/>
        <v>699747.5447101387</v>
      </c>
      <c r="AU2273" s="2">
        <f t="shared" ca="1" si="2215"/>
        <v>699260.23925796163</v>
      </c>
      <c r="AV2273" s="2">
        <f t="shared" ca="1" si="2216"/>
        <v>1989544.6631453643</v>
      </c>
      <c r="AW2273" s="2">
        <f t="shared" ca="1" si="2217"/>
        <v>1994364.6333653508</v>
      </c>
      <c r="AX2273" s="2">
        <f t="shared" ca="1" si="2218"/>
        <v>1992976.636960187</v>
      </c>
      <c r="AY2273" s="2">
        <f t="shared" ca="1" si="2219"/>
        <v>1991589.1657134714</v>
      </c>
      <c r="AZ2273" s="2">
        <f t="shared" ca="1" si="2220"/>
        <v>1990202.2194265062</v>
      </c>
      <c r="BA2273" s="2">
        <f t="shared" ca="1" si="2221"/>
        <v>42201117.824854463</v>
      </c>
      <c r="BB2273" s="2">
        <f t="shared" ca="1" si="2222"/>
        <v>844022.35649708926</v>
      </c>
      <c r="BC2273" s="2">
        <f t="shared" ca="1" si="2223"/>
        <v>16220206.371453913</v>
      </c>
      <c r="BD2273" s="2">
        <f t="shared" ca="1" si="2224"/>
        <v>-18305296.443639953</v>
      </c>
      <c r="BE2273" s="2">
        <f t="shared" ca="1" si="2225"/>
        <v>1989544.6631453643</v>
      </c>
      <c r="BF2273" s="2">
        <f t="shared" ca="1" si="2226"/>
        <v>1994364.6333653508</v>
      </c>
      <c r="BG2273" s="2">
        <f t="shared" ca="1" si="2227"/>
        <v>1992976.636960187</v>
      </c>
      <c r="BH2273" s="2">
        <f t="shared" ca="1" si="2228"/>
        <v>1991589.1657134714</v>
      </c>
      <c r="BI2273" s="2">
        <f t="shared" ca="1" si="2229"/>
        <v>18210408.59088042</v>
      </c>
      <c r="BJ2273" s="2">
        <f t="shared" ca="1" si="2230"/>
        <v>8.9765583217859213E-2</v>
      </c>
      <c r="BK2273" s="2">
        <f t="shared" ca="1" si="2231"/>
        <v>-1921694.7926119566</v>
      </c>
    </row>
    <row r="2274" spans="1:63" x14ac:dyDescent="0.3">
      <c r="A2274" s="2">
        <v>2273</v>
      </c>
      <c r="B2274" s="2">
        <f t="shared" ca="1" si="2170"/>
        <v>0.16668297528006137</v>
      </c>
      <c r="C2274" s="2">
        <f t="shared" ca="1" si="2171"/>
        <v>6.5773785158456475</v>
      </c>
      <c r="D2274" s="2">
        <f t="shared" ca="1" si="2172"/>
        <v>0.91620300282409328</v>
      </c>
      <c r="E2274" s="2">
        <f t="shared" ca="1" si="2173"/>
        <v>8.090617545134366</v>
      </c>
      <c r="F2274" s="2">
        <f t="shared" ca="1" si="2174"/>
        <v>0.80377365692289726</v>
      </c>
      <c r="G2274" s="2">
        <f t="shared" ca="1" si="2175"/>
        <v>6.5655336065432793E-2</v>
      </c>
      <c r="H2274" s="2">
        <f t="shared" ca="1" si="2176"/>
        <v>6.5655336065432793E-2</v>
      </c>
      <c r="I2274" s="2">
        <f t="shared" ca="1" si="2177"/>
        <v>0.94035705725523244</v>
      </c>
      <c r="J2274" s="2">
        <f t="shared" ca="1" si="2178"/>
        <v>1.7788889945290015E-2</v>
      </c>
      <c r="K2274" s="2">
        <f t="shared" ca="1" si="2179"/>
        <v>1.7788889945290015E-2</v>
      </c>
      <c r="L2274" s="2">
        <f t="shared" ca="1" si="2180"/>
        <v>0.79280762647190206</v>
      </c>
      <c r="M2274" s="2">
        <f t="shared" ca="1" si="2181"/>
        <v>1.6324035316458537E-2</v>
      </c>
      <c r="N2274" s="2">
        <f t="shared" ca="1" si="2182"/>
        <v>1.6324035316458537E-2</v>
      </c>
      <c r="O2274" s="2">
        <f t="shared" si="2183"/>
        <v>6000000</v>
      </c>
      <c r="P2274" s="2">
        <f t="shared" ca="1" si="2184"/>
        <v>39464271.095073886</v>
      </c>
      <c r="Q2274" s="2">
        <f t="shared" ca="1" si="2185"/>
        <v>986606.77737684723</v>
      </c>
      <c r="R2274" s="2">
        <f t="shared" ca="1" si="2186"/>
        <v>23678562.657044332</v>
      </c>
      <c r="S2274" s="2">
        <f t="shared" ca="1" si="2187"/>
        <v>15785708.438029556</v>
      </c>
      <c r="T2274" s="2">
        <f t="shared" ca="1" si="2188"/>
        <v>50816201.765822925</v>
      </c>
      <c r="U2274" s="2">
        <f t="shared" ca="1" si="2189"/>
        <v>54152556.570326872</v>
      </c>
      <c r="V2274" s="2">
        <f t="shared" ca="1" si="2190"/>
        <v>57707960.870754048</v>
      </c>
      <c r="W2274" s="2">
        <f t="shared" ca="1" si="2191"/>
        <v>61496796.435374252</v>
      </c>
      <c r="X2274" s="2">
        <f t="shared" ca="1" si="2192"/>
        <v>65534389.272286259</v>
      </c>
      <c r="Y2274" s="2">
        <f t="shared" ca="1" si="2193"/>
        <v>0.12889444497264502</v>
      </c>
      <c r="Z2274" s="2">
        <f t="shared" ca="1" si="2194"/>
        <v>0.132452222961703</v>
      </c>
      <c r="AA2274" s="2">
        <f t="shared" ca="1" si="2195"/>
        <v>6549926.1222236892</v>
      </c>
      <c r="AB2274" s="2">
        <f t="shared" ca="1" si="2196"/>
        <v>7172626.49679917</v>
      </c>
      <c r="AC2274" s="2">
        <f t="shared" ca="1" si="2197"/>
        <v>7643547.6999183474</v>
      </c>
      <c r="AD2274" s="2">
        <f t="shared" ca="1" si="2198"/>
        <v>8145387.3928886531</v>
      </c>
      <c r="AE2274" s="2">
        <f t="shared" ca="1" si="2199"/>
        <v>8680175.539551897</v>
      </c>
      <c r="AF2274" s="2">
        <f t="shared" ca="1" si="2200"/>
        <v>1016324.0353164586</v>
      </c>
      <c r="AG2274" s="2">
        <f t="shared" ca="1" si="2201"/>
        <v>1083051.1314065375</v>
      </c>
      <c r="AH2274" s="2">
        <f t="shared" ca="1" si="2202"/>
        <v>1154159.2174150811</v>
      </c>
      <c r="AI2274" s="2">
        <f t="shared" ca="1" si="2203"/>
        <v>1229935.9287074851</v>
      </c>
      <c r="AJ2274" s="2">
        <f t="shared" ca="1" si="2204"/>
        <v>1310687.7854457253</v>
      </c>
      <c r="AK2274" s="2">
        <f t="shared" ca="1" si="2205"/>
        <v>0</v>
      </c>
      <c r="AL2274" s="2">
        <f t="shared" ca="1" si="2206"/>
        <v>33363.548045039475</v>
      </c>
      <c r="AM2274" s="2">
        <f t="shared" ca="1" si="2207"/>
        <v>35554.043004271763</v>
      </c>
      <c r="AN2274" s="2">
        <f t="shared" ca="1" si="2208"/>
        <v>37888.355646202042</v>
      </c>
      <c r="AO2274" s="2">
        <f t="shared" ca="1" si="2209"/>
        <v>40375.928369120062</v>
      </c>
      <c r="AP2274" s="2">
        <f t="shared" ca="1" si="2210"/>
        <v>2131070.6391339898</v>
      </c>
      <c r="AQ2274" s="2">
        <f t="shared" ca="1" si="2211"/>
        <v>884658.17642104253</v>
      </c>
      <c r="AR2274" s="2">
        <f t="shared" ca="1" si="2212"/>
        <v>1029211.2288272472</v>
      </c>
      <c r="AS2274" s="2">
        <f t="shared" ca="1" si="2213"/>
        <v>1133162.6392760118</v>
      </c>
      <c r="AT2274" s="2">
        <f t="shared" ca="1" si="2214"/>
        <v>1243939.0145122663</v>
      </c>
      <c r="AU2274" s="2">
        <f t="shared" ca="1" si="2215"/>
        <v>1361988.4498927672</v>
      </c>
      <c r="AV2274" s="2">
        <f t="shared" ca="1" si="2216"/>
        <v>2517873.271352198</v>
      </c>
      <c r="AW2274" s="2">
        <f t="shared" ca="1" si="2217"/>
        <v>2895929.9493863564</v>
      </c>
      <c r="AX2274" s="2">
        <f t="shared" ca="1" si="2218"/>
        <v>3189601.1610889928</v>
      </c>
      <c r="AY2274" s="2">
        <f t="shared" ca="1" si="2219"/>
        <v>3502553.4548887098</v>
      </c>
      <c r="AZ2274" s="2">
        <f t="shared" ca="1" si="2220"/>
        <v>3836052.7367102951</v>
      </c>
      <c r="BA2274" s="2">
        <f t="shared" ca="1" si="2221"/>
        <v>70227980.515144736</v>
      </c>
      <c r="BB2274" s="2">
        <f t="shared" ca="1" si="2222"/>
        <v>1404559.6103028948</v>
      </c>
      <c r="BC2274" s="2">
        <f t="shared" ca="1" si="2223"/>
        <v>45144858.247797504</v>
      </c>
      <c r="BD2274" s="2">
        <f t="shared" ca="1" si="2224"/>
        <v>-17272315.215406403</v>
      </c>
      <c r="BE2274" s="2">
        <f t="shared" ca="1" si="2225"/>
        <v>2517873.271352198</v>
      </c>
      <c r="BF2274" s="2">
        <f t="shared" ca="1" si="2226"/>
        <v>2895929.9493863564</v>
      </c>
      <c r="BG2274" s="2">
        <f t="shared" ca="1" si="2227"/>
        <v>3189601.1610889928</v>
      </c>
      <c r="BH2274" s="2">
        <f t="shared" ca="1" si="2228"/>
        <v>3502553.4548887098</v>
      </c>
      <c r="BI2274" s="2">
        <f t="shared" ca="1" si="2229"/>
        <v>48980910.984507799</v>
      </c>
      <c r="BJ2274" s="2">
        <f t="shared" ca="1" si="2230"/>
        <v>0.33940022163364691</v>
      </c>
      <c r="BK2274" s="2">
        <f t="shared" ca="1" si="2231"/>
        <v>19573719.001395725</v>
      </c>
    </row>
    <row r="2275" spans="1:63" x14ac:dyDescent="0.3">
      <c r="A2275" s="2">
        <v>2274</v>
      </c>
      <c r="B2275" s="2">
        <f t="shared" ca="1" si="2170"/>
        <v>0.15751626939644281</v>
      </c>
      <c r="C2275" s="2">
        <f t="shared" ca="1" si="2171"/>
        <v>6.5612775951281908</v>
      </c>
      <c r="D2275" s="2">
        <f t="shared" ca="1" si="2172"/>
        <v>0.86018388555443592</v>
      </c>
      <c r="E2275" s="2">
        <f t="shared" ca="1" si="2173"/>
        <v>7.9711973630066426</v>
      </c>
      <c r="F2275" s="2">
        <f t="shared" ca="1" si="2174"/>
        <v>0.54480313559522853</v>
      </c>
      <c r="G2275" s="2">
        <f t="shared" ca="1" si="2175"/>
        <v>4.3376257777161704E-2</v>
      </c>
      <c r="H2275" s="2">
        <f t="shared" ca="1" si="2176"/>
        <v>4.3376257777161704E-2</v>
      </c>
      <c r="I2275" s="2">
        <f t="shared" ca="1" si="2177"/>
        <v>0.22925661724701285</v>
      </c>
      <c r="J2275" s="2">
        <f t="shared" ca="1" si="2178"/>
        <v>6.2935137973963804E-3</v>
      </c>
      <c r="K2275" s="2">
        <f t="shared" ca="1" si="2179"/>
        <v>6.2935137973963804E-3</v>
      </c>
      <c r="L2275" s="2">
        <f t="shared" ca="1" si="2180"/>
        <v>0.19454361692647537</v>
      </c>
      <c r="M2275" s="2">
        <f t="shared" ca="1" si="2181"/>
        <v>-1.722547702620951E-2</v>
      </c>
      <c r="N2275" s="2">
        <f t="shared" ca="1" si="2182"/>
        <v>-1.722547702620951E-2</v>
      </c>
      <c r="O2275" s="2">
        <f t="shared" si="2183"/>
        <v>6000000</v>
      </c>
      <c r="P2275" s="2">
        <f t="shared" ca="1" si="2184"/>
        <v>39367665.570769146</v>
      </c>
      <c r="Q2275" s="2">
        <f t="shared" ca="1" si="2185"/>
        <v>984191.63926922868</v>
      </c>
      <c r="R2275" s="2">
        <f t="shared" ca="1" si="2186"/>
        <v>23620599.342461485</v>
      </c>
      <c r="S2275" s="2">
        <f t="shared" ca="1" si="2187"/>
        <v>15747066.228307659</v>
      </c>
      <c r="T2275" s="2">
        <f t="shared" ca="1" si="2188"/>
        <v>49138726.148689523</v>
      </c>
      <c r="U2275" s="2">
        <f t="shared" ca="1" si="2189"/>
        <v>51270180.200956434</v>
      </c>
      <c r="V2275" s="2">
        <f t="shared" ca="1" si="2190"/>
        <v>53494088.753634654</v>
      </c>
      <c r="W2275" s="2">
        <f t="shared" ca="1" si="2191"/>
        <v>55814462.136966676</v>
      </c>
      <c r="X2275" s="2">
        <f t="shared" ca="1" si="2192"/>
        <v>58235484.634313375</v>
      </c>
      <c r="Y2275" s="2">
        <f t="shared" ca="1" si="2193"/>
        <v>0.12314675689869818</v>
      </c>
      <c r="Z2275" s="2">
        <f t="shared" ca="1" si="2194"/>
        <v>0.12440545965817747</v>
      </c>
      <c r="AA2275" s="2">
        <f t="shared" ca="1" si="2195"/>
        <v>6051274.7633443726</v>
      </c>
      <c r="AB2275" s="2">
        <f t="shared" ca="1" si="2196"/>
        <v>6378290.334657575</v>
      </c>
      <c r="AC2275" s="2">
        <f t="shared" ca="1" si="2197"/>
        <v>6654956.7003912609</v>
      </c>
      <c r="AD2275" s="2">
        <f t="shared" ca="1" si="2198"/>
        <v>6943623.8177232817</v>
      </c>
      <c r="AE2275" s="2">
        <f t="shared" ca="1" si="2199"/>
        <v>7244812.2343484862</v>
      </c>
      <c r="AF2275" s="2">
        <f t="shared" ca="1" si="2200"/>
        <v>982774.52297379053</v>
      </c>
      <c r="AG2275" s="2">
        <f t="shared" ca="1" si="2201"/>
        <v>1025403.6040191287</v>
      </c>
      <c r="AH2275" s="2">
        <f t="shared" ca="1" si="2202"/>
        <v>1069881.7750726931</v>
      </c>
      <c r="AI2275" s="2">
        <f t="shared" ca="1" si="2203"/>
        <v>1116289.2427393335</v>
      </c>
      <c r="AJ2275" s="2">
        <f t="shared" ca="1" si="2204"/>
        <v>1164709.6926862674</v>
      </c>
      <c r="AK2275" s="2">
        <f t="shared" ca="1" si="2205"/>
        <v>0</v>
      </c>
      <c r="AL2275" s="2">
        <f t="shared" ca="1" si="2206"/>
        <v>21314.540522669107</v>
      </c>
      <c r="AM2275" s="2">
        <f t="shared" ca="1" si="2207"/>
        <v>22239.085526782201</v>
      </c>
      <c r="AN2275" s="2">
        <f t="shared" ca="1" si="2208"/>
        <v>23203.733833320217</v>
      </c>
      <c r="AO2275" s="2">
        <f t="shared" ca="1" si="2209"/>
        <v>24210.224973466993</v>
      </c>
      <c r="AP2275" s="2">
        <f t="shared" ca="1" si="2210"/>
        <v>2125853.9408215336</v>
      </c>
      <c r="AQ2275" s="2">
        <f t="shared" ca="1" si="2211"/>
        <v>765088.0378827526</v>
      </c>
      <c r="AR2275" s="2">
        <f t="shared" ca="1" si="2212"/>
        <v>839028.52535239735</v>
      </c>
      <c r="AS2275" s="2">
        <f t="shared" ca="1" si="2213"/>
        <v>899397.45596922899</v>
      </c>
      <c r="AT2275" s="2">
        <f t="shared" ca="1" si="2214"/>
        <v>962384.96488222771</v>
      </c>
      <c r="AU2275" s="2">
        <f t="shared" ca="1" si="2215"/>
        <v>1028104.6362185782</v>
      </c>
      <c r="AV2275" s="2">
        <f t="shared" ca="1" si="2216"/>
        <v>2177558.2616662956</v>
      </c>
      <c r="AW2275" s="2">
        <f t="shared" ca="1" si="2217"/>
        <v>2366689.7239418463</v>
      </c>
      <c r="AX2275" s="2">
        <f t="shared" ca="1" si="2218"/>
        <v>2537584.443001023</v>
      </c>
      <c r="AY2275" s="2">
        <f t="shared" ca="1" si="2219"/>
        <v>2715891.9354468663</v>
      </c>
      <c r="AZ2275" s="2">
        <f t="shared" ca="1" si="2220"/>
        <v>2901933.7396486397</v>
      </c>
      <c r="BA2275" s="2">
        <f t="shared" ca="1" si="2221"/>
        <v>57749828.177916914</v>
      </c>
      <c r="BB2275" s="2">
        <f t="shared" ca="1" si="2222"/>
        <v>1154996.5635583382</v>
      </c>
      <c r="BC2275" s="2">
        <f t="shared" ca="1" si="2223"/>
        <v>32974232.271897092</v>
      </c>
      <c r="BD2275" s="2">
        <f t="shared" ca="1" si="2224"/>
        <v>-17231257.86757689</v>
      </c>
      <c r="BE2275" s="2">
        <f t="shared" ca="1" si="2225"/>
        <v>2177558.2616662956</v>
      </c>
      <c r="BF2275" s="2">
        <f t="shared" ca="1" si="2226"/>
        <v>2366689.7239418463</v>
      </c>
      <c r="BG2275" s="2">
        <f t="shared" ca="1" si="2227"/>
        <v>2537584.443001023</v>
      </c>
      <c r="BH2275" s="2">
        <f t="shared" ca="1" si="2228"/>
        <v>2715891.9354468663</v>
      </c>
      <c r="BI2275" s="2">
        <f t="shared" ca="1" si="2229"/>
        <v>35876166.011545733</v>
      </c>
      <c r="BJ2275" s="2">
        <f t="shared" ca="1" si="2230"/>
        <v>0.25338169991931925</v>
      </c>
      <c r="BK2275" s="2">
        <f t="shared" ca="1" si="2231"/>
        <v>10489002.121155765</v>
      </c>
    </row>
    <row r="2276" spans="1:63" x14ac:dyDescent="0.3">
      <c r="A2276" s="2">
        <v>2275</v>
      </c>
      <c r="B2276" s="2">
        <f t="shared" ca="1" si="2170"/>
        <v>2.3356288522981439E-2</v>
      </c>
      <c r="C2276" s="2">
        <f t="shared" ca="1" si="2171"/>
        <v>6.2161309257046824</v>
      </c>
      <c r="D2276" s="2">
        <f t="shared" ca="1" si="2172"/>
        <v>0.42868077614714339</v>
      </c>
      <c r="E2276" s="2">
        <f t="shared" ca="1" si="2173"/>
        <v>7.4259382011205108</v>
      </c>
      <c r="F2276" s="2">
        <f t="shared" ca="1" si="2174"/>
        <v>0.86597638970525681</v>
      </c>
      <c r="G2276" s="2">
        <f t="shared" ca="1" si="2175"/>
        <v>7.3227123954491435E-2</v>
      </c>
      <c r="H2276" s="2">
        <f t="shared" ca="1" si="2176"/>
        <v>7.3227123954491435E-2</v>
      </c>
      <c r="I2276" s="2">
        <f t="shared" ca="1" si="2177"/>
        <v>0.60031015105148844</v>
      </c>
      <c r="J2276" s="2">
        <f t="shared" ca="1" si="2178"/>
        <v>1.1270749863078917E-2</v>
      </c>
      <c r="K2276" s="2">
        <f t="shared" ca="1" si="2179"/>
        <v>1.1270749863078917E-2</v>
      </c>
      <c r="L2276" s="2">
        <f t="shared" ca="1" si="2180"/>
        <v>0.51812859209670326</v>
      </c>
      <c r="M2276" s="2">
        <f t="shared" ca="1" si="2181"/>
        <v>9.0914583813458526E-4</v>
      </c>
      <c r="N2276" s="2">
        <f t="shared" ca="1" si="2182"/>
        <v>9.0914583813458526E-4</v>
      </c>
      <c r="O2276" s="2">
        <f t="shared" si="2183"/>
        <v>6000000</v>
      </c>
      <c r="P2276" s="2">
        <f t="shared" ca="1" si="2184"/>
        <v>37296785.554228097</v>
      </c>
      <c r="Q2276" s="2">
        <f t="shared" ca="1" si="2185"/>
        <v>932419.63885570248</v>
      </c>
      <c r="R2276" s="2">
        <f t="shared" ca="1" si="2186"/>
        <v>22378071.332536858</v>
      </c>
      <c r="S2276" s="2">
        <f t="shared" ca="1" si="2187"/>
        <v>14918714.22169124</v>
      </c>
      <c r="T2276" s="2">
        <f t="shared" ca="1" si="2188"/>
        <v>50045457.291906722</v>
      </c>
      <c r="U2276" s="2">
        <f t="shared" ca="1" si="2189"/>
        <v>53710142.196380384</v>
      </c>
      <c r="V2276" s="2">
        <f t="shared" ca="1" si="2190"/>
        <v>57643181.436608091</v>
      </c>
      <c r="W2276" s="2">
        <f t="shared" ca="1" si="2191"/>
        <v>61864225.828797832</v>
      </c>
      <c r="X2276" s="2">
        <f t="shared" ca="1" si="2192"/>
        <v>66394365.161911868</v>
      </c>
      <c r="Y2276" s="2">
        <f t="shared" ca="1" si="2193"/>
        <v>0.12563537493153945</v>
      </c>
      <c r="Z2276" s="2">
        <f t="shared" ca="1" si="2194"/>
        <v>0.12788952490415523</v>
      </c>
      <c r="AA2276" s="2">
        <f t="shared" ca="1" si="2195"/>
        <v>6287479.7904890459</v>
      </c>
      <c r="AB2276" s="2">
        <f t="shared" ca="1" si="2196"/>
        <v>6868964.5680297073</v>
      </c>
      <c r="AC2276" s="2">
        <f t="shared" ca="1" si="2197"/>
        <v>7371959.0878918292</v>
      </c>
      <c r="AD2276" s="2">
        <f t="shared" ca="1" si="2198"/>
        <v>7911786.4498083238</v>
      </c>
      <c r="AE2276" s="2">
        <f t="shared" ca="1" si="2199"/>
        <v>8491143.8168699034</v>
      </c>
      <c r="AF2276" s="2">
        <f t="shared" ca="1" si="2200"/>
        <v>1000909.1458381345</v>
      </c>
      <c r="AG2276" s="2">
        <f t="shared" ca="1" si="2201"/>
        <v>1074202.8439276076</v>
      </c>
      <c r="AH2276" s="2">
        <f t="shared" ca="1" si="2202"/>
        <v>1152863.6287321618</v>
      </c>
      <c r="AI2276" s="2">
        <f t="shared" ca="1" si="2203"/>
        <v>1237284.5165759567</v>
      </c>
      <c r="AJ2276" s="2">
        <f t="shared" ca="1" si="2204"/>
        <v>1327887.3032382373</v>
      </c>
      <c r="AK2276" s="2">
        <f t="shared" ca="1" si="2205"/>
        <v>0</v>
      </c>
      <c r="AL2276" s="2">
        <f t="shared" ca="1" si="2206"/>
        <v>36646.849044736628</v>
      </c>
      <c r="AM2276" s="2">
        <f t="shared" ca="1" si="2207"/>
        <v>39330.392402277066</v>
      </c>
      <c r="AN2276" s="2">
        <f t="shared" ca="1" si="2208"/>
        <v>42210.443921897415</v>
      </c>
      <c r="AO2276" s="2">
        <f t="shared" ca="1" si="2209"/>
        <v>45301.393331140353</v>
      </c>
      <c r="AP2276" s="2">
        <f t="shared" ca="1" si="2210"/>
        <v>2014026.4199283172</v>
      </c>
      <c r="AQ2276" s="2">
        <f t="shared" ca="1" si="2211"/>
        <v>850861.49842787476</v>
      </c>
      <c r="AR2276" s="2">
        <f t="shared" ca="1" si="2212"/>
        <v>982991.17908518342</v>
      </c>
      <c r="AS2276" s="2">
        <f t="shared" ca="1" si="2213"/>
        <v>1093317.9502001512</v>
      </c>
      <c r="AT2276" s="2">
        <f t="shared" ca="1" si="2214"/>
        <v>1211723.633459053</v>
      </c>
      <c r="AU2276" s="2">
        <f t="shared" ca="1" si="2215"/>
        <v>1338799.8243628708</v>
      </c>
      <c r="AV2276" s="2">
        <f t="shared" ca="1" si="2216"/>
        <v>2421682.7262947205</v>
      </c>
      <c r="AW2276" s="2">
        <f t="shared" ca="1" si="2217"/>
        <v>2761097.276043863</v>
      </c>
      <c r="AX2276" s="2">
        <f t="shared" ca="1" si="2218"/>
        <v>3072420.6966289217</v>
      </c>
      <c r="AY2276" s="2">
        <f t="shared" ca="1" si="2219"/>
        <v>3406541.4359230995</v>
      </c>
      <c r="AZ2276" s="2">
        <f t="shared" ca="1" si="2220"/>
        <v>3765128.8760093385</v>
      </c>
      <c r="BA2276" s="2">
        <f t="shared" ca="1" si="2221"/>
        <v>63054709.240902439</v>
      </c>
      <c r="BB2276" s="2">
        <f t="shared" ca="1" si="2222"/>
        <v>1261094.1848180487</v>
      </c>
      <c r="BC2276" s="2">
        <f t="shared" ca="1" si="2223"/>
        <v>39415543.723547526</v>
      </c>
      <c r="BD2276" s="2">
        <f t="shared" ca="1" si="2224"/>
        <v>-16351133.860546943</v>
      </c>
      <c r="BE2276" s="2">
        <f t="shared" ca="1" si="2225"/>
        <v>2421682.7262947205</v>
      </c>
      <c r="BF2276" s="2">
        <f t="shared" ca="1" si="2226"/>
        <v>2761097.276043863</v>
      </c>
      <c r="BG2276" s="2">
        <f t="shared" ca="1" si="2227"/>
        <v>3072420.6966289217</v>
      </c>
      <c r="BH2276" s="2">
        <f t="shared" ca="1" si="2228"/>
        <v>3406541.4359230995</v>
      </c>
      <c r="BI2276" s="2">
        <f t="shared" ca="1" si="2229"/>
        <v>43180672.599556863</v>
      </c>
      <c r="BJ2276" s="2">
        <f t="shared" ca="1" si="2230"/>
        <v>0.32597366755361756</v>
      </c>
      <c r="BK2276" s="2">
        <f t="shared" ca="1" si="2231"/>
        <v>16865893.016322713</v>
      </c>
    </row>
    <row r="2277" spans="1:63" x14ac:dyDescent="0.3">
      <c r="A2277" s="2">
        <v>2276</v>
      </c>
      <c r="B2277" s="2">
        <f t="shared" ca="1" si="2170"/>
        <v>8.1523929314356036E-2</v>
      </c>
      <c r="C2277" s="2">
        <f t="shared" ca="1" si="2171"/>
        <v>6.4037918506219658</v>
      </c>
      <c r="D2277" s="2">
        <f t="shared" ca="1" si="2172"/>
        <v>0.10778754928669165</v>
      </c>
      <c r="E2277" s="2">
        <f t="shared" ca="1" si="2173"/>
        <v>6.9643006553660927</v>
      </c>
      <c r="F2277" s="2">
        <f t="shared" ca="1" si="2174"/>
        <v>0.70362227542922873</v>
      </c>
      <c r="G2277" s="2">
        <f t="shared" ca="1" si="2175"/>
        <v>5.6045419141765036E-2</v>
      </c>
      <c r="H2277" s="2">
        <f t="shared" ca="1" si="2176"/>
        <v>5.6045419141765036E-2</v>
      </c>
      <c r="I2277" s="2">
        <f t="shared" ca="1" si="2177"/>
        <v>0.39895932931470701</v>
      </c>
      <c r="J2277" s="2">
        <f t="shared" ca="1" si="2178"/>
        <v>8.7197916317617689E-3</v>
      </c>
      <c r="K2277" s="2">
        <f t="shared" ca="1" si="2179"/>
        <v>8.7197916317617689E-3</v>
      </c>
      <c r="L2277" s="2">
        <f t="shared" ca="1" si="2180"/>
        <v>0.84990455070403415</v>
      </c>
      <c r="M2277" s="2">
        <f t="shared" ca="1" si="2181"/>
        <v>2.0720482032751144E-2</v>
      </c>
      <c r="N2277" s="2">
        <f t="shared" ca="1" si="2182"/>
        <v>2.0720482032751144E-2</v>
      </c>
      <c r="O2277" s="2">
        <f t="shared" si="2183"/>
        <v>6000000</v>
      </c>
      <c r="P2277" s="2">
        <f t="shared" ca="1" si="2184"/>
        <v>38422751.103731796</v>
      </c>
      <c r="Q2277" s="2">
        <f t="shared" ca="1" si="2185"/>
        <v>960568.77759329497</v>
      </c>
      <c r="R2277" s="2">
        <f t="shared" ca="1" si="2186"/>
        <v>23053650.662239078</v>
      </c>
      <c r="S2277" s="2">
        <f t="shared" ca="1" si="2187"/>
        <v>15369100.44149272</v>
      </c>
      <c r="T2277" s="2">
        <f t="shared" ca="1" si="2188"/>
        <v>51036024.101637557</v>
      </c>
      <c r="U2277" s="2">
        <f t="shared" ca="1" si="2189"/>
        <v>53896359.463743053</v>
      </c>
      <c r="V2277" s="2">
        <f t="shared" ca="1" si="2190"/>
        <v>56917003.520103768</v>
      </c>
      <c r="W2277" s="2">
        <f t="shared" ca="1" si="2191"/>
        <v>60106940.838681296</v>
      </c>
      <c r="X2277" s="2">
        <f t="shared" ca="1" si="2192"/>
        <v>63475659.531314462</v>
      </c>
      <c r="Y2277" s="2">
        <f t="shared" ca="1" si="2193"/>
        <v>0.12435989581588087</v>
      </c>
      <c r="Z2277" s="2">
        <f t="shared" ca="1" si="2194"/>
        <v>0.12610385414223324</v>
      </c>
      <c r="AA2277" s="2">
        <f t="shared" ca="1" si="2195"/>
        <v>6346834.6401364319</v>
      </c>
      <c r="AB2277" s="2">
        <f t="shared" ca="1" si="2196"/>
        <v>6796538.6526132263</v>
      </c>
      <c r="AC2277" s="2">
        <f t="shared" ca="1" si="2197"/>
        <v>7177453.5101121413</v>
      </c>
      <c r="AD2277" s="2">
        <f t="shared" ca="1" si="2198"/>
        <v>7579716.9004569082</v>
      </c>
      <c r="AE2277" s="2">
        <f t="shared" ca="1" si="2199"/>
        <v>8004525.3111189362</v>
      </c>
      <c r="AF2277" s="2">
        <f t="shared" ca="1" si="2200"/>
        <v>1020720.4820327512</v>
      </c>
      <c r="AG2277" s="2">
        <f t="shared" ca="1" si="2201"/>
        <v>1077927.189274861</v>
      </c>
      <c r="AH2277" s="2">
        <f t="shared" ca="1" si="2202"/>
        <v>1138340.0704020753</v>
      </c>
      <c r="AI2277" s="2">
        <f t="shared" ca="1" si="2203"/>
        <v>1202138.816773626</v>
      </c>
      <c r="AJ2277" s="2">
        <f t="shared" ca="1" si="2204"/>
        <v>1269513.1906262892</v>
      </c>
      <c r="AK2277" s="2">
        <f t="shared" ca="1" si="2205"/>
        <v>0</v>
      </c>
      <c r="AL2277" s="2">
        <f t="shared" ca="1" si="2206"/>
        <v>28603.353621054965</v>
      </c>
      <c r="AM2277" s="2">
        <f t="shared" ca="1" si="2207"/>
        <v>30206.440563607142</v>
      </c>
      <c r="AN2277" s="2">
        <f t="shared" ca="1" si="2208"/>
        <v>31899.373185775279</v>
      </c>
      <c r="AO2277" s="2">
        <f t="shared" ca="1" si="2209"/>
        <v>33687.186926331669</v>
      </c>
      <c r="AP2277" s="2">
        <f t="shared" ca="1" si="2210"/>
        <v>2074828.5596015169</v>
      </c>
      <c r="AQ2277" s="2">
        <f t="shared" ca="1" si="2211"/>
        <v>845334.25561056251</v>
      </c>
      <c r="AR2277" s="2">
        <f t="shared" ca="1" si="2212"/>
        <v>947383.55497158074</v>
      </c>
      <c r="AS2277" s="2">
        <f t="shared" ca="1" si="2213"/>
        <v>1030714.0688282227</v>
      </c>
      <c r="AT2277" s="2">
        <f t="shared" ca="1" si="2214"/>
        <v>1118714.876261259</v>
      </c>
      <c r="AU2277" s="2">
        <f t="shared" ca="1" si="2215"/>
        <v>1211647.7258316935</v>
      </c>
      <c r="AV2277" s="2">
        <f t="shared" ca="1" si="2216"/>
        <v>2405951.3428916004</v>
      </c>
      <c r="AW2277" s="2">
        <f t="shared" ca="1" si="2217"/>
        <v>2667795.9951442131</v>
      </c>
      <c r="AX2277" s="2">
        <f t="shared" ca="1" si="2218"/>
        <v>2903364.3707167194</v>
      </c>
      <c r="AY2277" s="2">
        <f t="shared" ca="1" si="2219"/>
        <v>3152135.2746347305</v>
      </c>
      <c r="AZ2277" s="2">
        <f t="shared" ca="1" si="2220"/>
        <v>3414848.6481331051</v>
      </c>
      <c r="BA2277" s="2">
        <f t="shared" ca="1" si="2221"/>
        <v>55745920.870120086</v>
      </c>
      <c r="BB2277" s="2">
        <f t="shared" ca="1" si="2222"/>
        <v>1114918.4174024018</v>
      </c>
      <c r="BC2277" s="2">
        <f t="shared" ca="1" si="2223"/>
        <v>31577351.790478606</v>
      </c>
      <c r="BD2277" s="2">
        <f t="shared" ca="1" si="2224"/>
        <v>-16829669.219086014</v>
      </c>
      <c r="BE2277" s="2">
        <f t="shared" ca="1" si="2225"/>
        <v>2405951.3428916004</v>
      </c>
      <c r="BF2277" s="2">
        <f t="shared" ca="1" si="2226"/>
        <v>2667795.9951442131</v>
      </c>
      <c r="BG2277" s="2">
        <f t="shared" ca="1" si="2227"/>
        <v>2903364.3707167194</v>
      </c>
      <c r="BH2277" s="2">
        <f t="shared" ca="1" si="2228"/>
        <v>3152135.2746347305</v>
      </c>
      <c r="BI2277" s="2">
        <f t="shared" ca="1" si="2229"/>
        <v>34992200.438611709</v>
      </c>
      <c r="BJ2277" s="2">
        <f t="shared" ca="1" si="2230"/>
        <v>0.26885629763057994</v>
      </c>
      <c r="BK2277" s="2">
        <f t="shared" ca="1" si="2231"/>
        <v>11370562.890111331</v>
      </c>
    </row>
    <row r="2278" spans="1:63" x14ac:dyDescent="0.3">
      <c r="A2278" s="2">
        <v>2277</v>
      </c>
      <c r="B2278" s="2">
        <f t="shared" ca="1" si="2170"/>
        <v>0.62041158757636006</v>
      </c>
      <c r="C2278" s="2">
        <f t="shared" ca="1" si="2171"/>
        <v>7.1286924625327295</v>
      </c>
      <c r="D2278" s="2">
        <f t="shared" ca="1" si="2172"/>
        <v>9.0097688512519758E-2</v>
      </c>
      <c r="E2278" s="2">
        <f t="shared" ca="1" si="2173"/>
        <v>6.9244942602969317</v>
      </c>
      <c r="F2278" s="2">
        <f t="shared" ca="1" si="2174"/>
        <v>9.912804991731039E-2</v>
      </c>
      <c r="G2278" s="2">
        <f t="shared" ca="1" si="2175"/>
        <v>1.4039231456469126E-3</v>
      </c>
      <c r="H2278" s="2">
        <f t="shared" ca="1" si="2176"/>
        <v>1.4039231456469126E-3</v>
      </c>
      <c r="I2278" s="2">
        <f t="shared" ca="1" si="2177"/>
        <v>0.30399774210560604</v>
      </c>
      <c r="J2278" s="2">
        <f t="shared" ca="1" si="2178"/>
        <v>7.4353156697747553E-3</v>
      </c>
      <c r="K2278" s="2">
        <f t="shared" ca="1" si="2179"/>
        <v>7.4353156697747553E-3</v>
      </c>
      <c r="L2278" s="2">
        <f t="shared" ca="1" si="2180"/>
        <v>9.9178350842464735E-2</v>
      </c>
      <c r="M2278" s="2">
        <f t="shared" ca="1" si="2181"/>
        <v>-2.5724949814137588E-2</v>
      </c>
      <c r="N2278" s="2">
        <f t="shared" ca="1" si="2182"/>
        <v>-2.5724949814137588E-2</v>
      </c>
      <c r="O2278" s="2">
        <f t="shared" si="2183"/>
        <v>6000000</v>
      </c>
      <c r="P2278" s="2">
        <f t="shared" ca="1" si="2184"/>
        <v>42772154.775196373</v>
      </c>
      <c r="Q2278" s="2">
        <f t="shared" ca="1" si="2185"/>
        <v>1069303.8693799095</v>
      </c>
      <c r="R2278" s="2">
        <f t="shared" ca="1" si="2186"/>
        <v>25663292.865117822</v>
      </c>
      <c r="S2278" s="2">
        <f t="shared" ca="1" si="2187"/>
        <v>17108861.910078552</v>
      </c>
      <c r="T2278" s="2">
        <f t="shared" ca="1" si="2188"/>
        <v>48713752.509293117</v>
      </c>
      <c r="U2278" s="2">
        <f t="shared" ca="1" si="2189"/>
        <v>48782142.873952225</v>
      </c>
      <c r="V2278" s="2">
        <f t="shared" ca="1" si="2190"/>
        <v>48850629.253427215</v>
      </c>
      <c r="W2278" s="2">
        <f t="shared" ca="1" si="2191"/>
        <v>48919211.782515518</v>
      </c>
      <c r="X2278" s="2">
        <f t="shared" ca="1" si="2192"/>
        <v>48987890.596203789</v>
      </c>
      <c r="Y2278" s="2">
        <f t="shared" ca="1" si="2193"/>
        <v>0.12371765783488738</v>
      </c>
      <c r="Z2278" s="2">
        <f t="shared" ca="1" si="2194"/>
        <v>0.12520472096884233</v>
      </c>
      <c r="AA2278" s="2">
        <f t="shared" ca="1" si="2195"/>
        <v>6026751.3647981118</v>
      </c>
      <c r="AB2278" s="2">
        <f t="shared" ca="1" si="2196"/>
        <v>6107754.5867953887</v>
      </c>
      <c r="AC2278" s="2">
        <f t="shared" ca="1" si="2197"/>
        <v>6116329.4048277214</v>
      </c>
      <c r="AD2278" s="2">
        <f t="shared" ca="1" si="2198"/>
        <v>6124916.2612455599</v>
      </c>
      <c r="AE2278" s="2">
        <f t="shared" ca="1" si="2199"/>
        <v>6133515.172949871</v>
      </c>
      <c r="AF2278" s="2">
        <f t="shared" ca="1" si="2200"/>
        <v>974275.05018586235</v>
      </c>
      <c r="AG2278" s="2">
        <f t="shared" ca="1" si="2201"/>
        <v>975642.85747904447</v>
      </c>
      <c r="AH2278" s="2">
        <f t="shared" ca="1" si="2202"/>
        <v>977012.58506854437</v>
      </c>
      <c r="AI2278" s="2">
        <f t="shared" ca="1" si="2203"/>
        <v>978384.23565031041</v>
      </c>
      <c r="AJ2278" s="2">
        <f t="shared" ca="1" si="2204"/>
        <v>979757.81192407582</v>
      </c>
      <c r="AK2278" s="2">
        <f t="shared" ca="1" si="2205"/>
        <v>0</v>
      </c>
      <c r="AL2278" s="2">
        <f t="shared" ca="1" si="2206"/>
        <v>683.90364659108218</v>
      </c>
      <c r="AM2278" s="2">
        <f t="shared" ca="1" si="2207"/>
        <v>684.86379474990076</v>
      </c>
      <c r="AN2278" s="2">
        <f t="shared" ca="1" si="2208"/>
        <v>685.82529088303443</v>
      </c>
      <c r="AO2278" s="2">
        <f t="shared" ca="1" si="2209"/>
        <v>686.78813688270748</v>
      </c>
      <c r="AP2278" s="2">
        <f t="shared" ca="1" si="2210"/>
        <v>2309696.3578606038</v>
      </c>
      <c r="AQ2278" s="2">
        <f t="shared" ca="1" si="2211"/>
        <v>713122.78875542793</v>
      </c>
      <c r="AR2278" s="2">
        <f t="shared" ca="1" si="2212"/>
        <v>733827.99657849257</v>
      </c>
      <c r="AS2278" s="2">
        <f t="shared" ca="1" si="2213"/>
        <v>735701.32009362907</v>
      </c>
      <c r="AT2278" s="2">
        <f t="shared" ca="1" si="2214"/>
        <v>737577.27361100796</v>
      </c>
      <c r="AU2278" s="2">
        <f t="shared" ca="1" si="2215"/>
        <v>739455.86082294979</v>
      </c>
      <c r="AV2278" s="2">
        <f t="shared" ca="1" si="2216"/>
        <v>2029657.167996218</v>
      </c>
      <c r="AW2278" s="2">
        <f t="shared" ca="1" si="2217"/>
        <v>2087903.4712306573</v>
      </c>
      <c r="AX2278" s="2">
        <f t="shared" ca="1" si="2218"/>
        <v>2093234.2780101947</v>
      </c>
      <c r="AY2278" s="2">
        <f t="shared" ca="1" si="2219"/>
        <v>2098572.5688327546</v>
      </c>
      <c r="AZ2278" s="2">
        <f t="shared" ca="1" si="2220"/>
        <v>2103918.3542053592</v>
      </c>
      <c r="BA2278" s="2">
        <f t="shared" ca="1" si="2221"/>
        <v>42471490.610535525</v>
      </c>
      <c r="BB2278" s="2">
        <f t="shared" ca="1" si="2222"/>
        <v>849429.81221071049</v>
      </c>
      <c r="BC2278" s="2">
        <f t="shared" ca="1" si="2223"/>
        <v>15958767.933206992</v>
      </c>
      <c r="BD2278" s="2">
        <f t="shared" ca="1" si="2224"/>
        <v>-18678165.779458459</v>
      </c>
      <c r="BE2278" s="2">
        <f t="shared" ca="1" si="2225"/>
        <v>2029657.167996218</v>
      </c>
      <c r="BF2278" s="2">
        <f t="shared" ca="1" si="2226"/>
        <v>2087903.4712306573</v>
      </c>
      <c r="BG2278" s="2">
        <f t="shared" ca="1" si="2227"/>
        <v>2093234.2780101947</v>
      </c>
      <c r="BH2278" s="2">
        <f t="shared" ca="1" si="2228"/>
        <v>2098572.5688327546</v>
      </c>
      <c r="BI2278" s="2">
        <f t="shared" ca="1" si="2229"/>
        <v>18062686.287412353</v>
      </c>
      <c r="BJ2278" s="2">
        <f t="shared" ca="1" si="2230"/>
        <v>8.6877443029423018E-2</v>
      </c>
      <c r="BK2278" s="2">
        <f t="shared" ca="1" si="2231"/>
        <v>-2128651.1099100802</v>
      </c>
    </row>
    <row r="2279" spans="1:63" x14ac:dyDescent="0.3">
      <c r="A2279" s="2">
        <v>2278</v>
      </c>
      <c r="B2279" s="2">
        <f t="shared" ca="1" si="2170"/>
        <v>0.91129295983079595</v>
      </c>
      <c r="C2279" s="2">
        <f t="shared" ca="1" si="2171"/>
        <v>7.5787944915621255</v>
      </c>
      <c r="D2279" s="2">
        <f t="shared" ca="1" si="2172"/>
        <v>0.86485508886636475</v>
      </c>
      <c r="E2279" s="2">
        <f t="shared" ca="1" si="2173"/>
        <v>7.9801059509214687</v>
      </c>
      <c r="F2279" s="2">
        <f t="shared" ca="1" si="2174"/>
        <v>0.13111842479925739</v>
      </c>
      <c r="G2279" s="2">
        <f t="shared" ca="1" si="2175"/>
        <v>6.3664044464207745E-3</v>
      </c>
      <c r="H2279" s="2">
        <f t="shared" ca="1" si="2176"/>
        <v>6.3664044464207745E-3</v>
      </c>
      <c r="I2279" s="2">
        <f t="shared" ca="1" si="2177"/>
        <v>9.1253226831940149E-2</v>
      </c>
      <c r="J2279" s="2">
        <f t="shared" ca="1" si="2178"/>
        <v>3.3346137405134788E-3</v>
      </c>
      <c r="K2279" s="2">
        <f t="shared" ca="1" si="2179"/>
        <v>3.3346137405134788E-3</v>
      </c>
      <c r="L2279" s="2">
        <f t="shared" ca="1" si="2180"/>
        <v>0.90845229567911423</v>
      </c>
      <c r="M2279" s="2">
        <f t="shared" ca="1" si="2181"/>
        <v>2.6625690471162668E-2</v>
      </c>
      <c r="N2279" s="2">
        <f t="shared" ca="1" si="2182"/>
        <v>2.6625690471162668E-2</v>
      </c>
      <c r="O2279" s="2">
        <f t="shared" si="2183"/>
        <v>6000000</v>
      </c>
      <c r="P2279" s="2">
        <f t="shared" ca="1" si="2184"/>
        <v>45472766.949372754</v>
      </c>
      <c r="Q2279" s="2">
        <f t="shared" ca="1" si="2185"/>
        <v>1136819.1737343189</v>
      </c>
      <c r="R2279" s="2">
        <f t="shared" ca="1" si="2186"/>
        <v>27283660.169623651</v>
      </c>
      <c r="S2279" s="2">
        <f t="shared" ca="1" si="2187"/>
        <v>18189106.779749103</v>
      </c>
      <c r="T2279" s="2">
        <f t="shared" ca="1" si="2188"/>
        <v>51331284.523558132</v>
      </c>
      <c r="U2279" s="2">
        <f t="shared" ca="1" si="2189"/>
        <v>51658080.241589397</v>
      </c>
      <c r="V2279" s="2">
        <f t="shared" ca="1" si="2190"/>
        <v>51986956.473333009</v>
      </c>
      <c r="W2279" s="2">
        <f t="shared" ca="1" si="2191"/>
        <v>52317926.464180715</v>
      </c>
      <c r="X2279" s="2">
        <f t="shared" ca="1" si="2192"/>
        <v>52651003.543849789</v>
      </c>
      <c r="Y2279" s="2">
        <f t="shared" ca="1" si="2193"/>
        <v>0.12166730687025673</v>
      </c>
      <c r="Z2279" s="2">
        <f t="shared" ca="1" si="2194"/>
        <v>0.12233422961835944</v>
      </c>
      <c r="AA2279" s="2">
        <f t="shared" ca="1" si="2195"/>
        <v>6245339.1461722078</v>
      </c>
      <c r="AB2279" s="2">
        <f t="shared" ca="1" si="2196"/>
        <v>6319551.4499182338</v>
      </c>
      <c r="AC2279" s="2">
        <f t="shared" ca="1" si="2197"/>
        <v>6359784.2703683777</v>
      </c>
      <c r="AD2279" s="2">
        <f t="shared" ca="1" si="2198"/>
        <v>6400273.2292255275</v>
      </c>
      <c r="AE2279" s="2">
        <f t="shared" ca="1" si="2199"/>
        <v>6441019.9571703766</v>
      </c>
      <c r="AF2279" s="2">
        <f t="shared" ca="1" si="2200"/>
        <v>1026625.6904711627</v>
      </c>
      <c r="AG2279" s="2">
        <f t="shared" ca="1" si="2201"/>
        <v>1033161.604831788</v>
      </c>
      <c r="AH2279" s="2">
        <f t="shared" ca="1" si="2202"/>
        <v>1039739.1294666602</v>
      </c>
      <c r="AI2279" s="2">
        <f t="shared" ca="1" si="2203"/>
        <v>1046358.5292836144</v>
      </c>
      <c r="AJ2279" s="2">
        <f t="shared" ca="1" si="2204"/>
        <v>1053020.0708769958</v>
      </c>
      <c r="AK2279" s="2">
        <f t="shared" ca="1" si="2205"/>
        <v>0</v>
      </c>
      <c r="AL2279" s="2">
        <f t="shared" ca="1" si="2206"/>
        <v>3267.9571803126487</v>
      </c>
      <c r="AM2279" s="2">
        <f t="shared" ca="1" si="2207"/>
        <v>3288.7623174361142</v>
      </c>
      <c r="AN2279" s="2">
        <f t="shared" ca="1" si="2208"/>
        <v>3309.6999084770682</v>
      </c>
      <c r="AO2279" s="2">
        <f t="shared" ca="1" si="2209"/>
        <v>3330.7707966907324</v>
      </c>
      <c r="AP2279" s="2">
        <f t="shared" ca="1" si="2210"/>
        <v>2455529.4152661283</v>
      </c>
      <c r="AQ2279" s="2">
        <f t="shared" ca="1" si="2211"/>
        <v>718427.85051307827</v>
      </c>
      <c r="AR2279" s="2">
        <f t="shared" ca="1" si="2212"/>
        <v>736023.7117532827</v>
      </c>
      <c r="AS2279" s="2">
        <f t="shared" ca="1" si="2213"/>
        <v>744774.08866525313</v>
      </c>
      <c r="AT2279" s="2">
        <f t="shared" ca="1" si="2214"/>
        <v>753580.17401570396</v>
      </c>
      <c r="AU2279" s="2">
        <f t="shared" ca="1" si="2215"/>
        <v>762442.32246708567</v>
      </c>
      <c r="AV2279" s="2">
        <f t="shared" ca="1" si="2216"/>
        <v>2044756.1899218382</v>
      </c>
      <c r="AW2279" s="2">
        <f t="shared" ca="1" si="2217"/>
        <v>2091568.7608867222</v>
      </c>
      <c r="AX2279" s="2">
        <f t="shared" ca="1" si="2218"/>
        <v>2116452.8746528998</v>
      </c>
      <c r="AY2279" s="2">
        <f t="shared" ca="1" si="2219"/>
        <v>2141495.4107516035</v>
      </c>
      <c r="AZ2279" s="2">
        <f t="shared" ca="1" si="2220"/>
        <v>2166697.3777634753</v>
      </c>
      <c r="BA2279" s="2">
        <f t="shared" ca="1" si="2221"/>
        <v>51400021.690219268</v>
      </c>
      <c r="BB2279" s="2">
        <f t="shared" ca="1" si="2222"/>
        <v>1028000.4338043854</v>
      </c>
      <c r="BC2279" s="2">
        <f t="shared" ca="1" si="2223"/>
        <v>23088361.086791232</v>
      </c>
      <c r="BD2279" s="2">
        <f t="shared" ca="1" si="2224"/>
        <v>-19825925.953483421</v>
      </c>
      <c r="BE2279" s="2">
        <f t="shared" ca="1" si="2225"/>
        <v>2044756.1899218382</v>
      </c>
      <c r="BF2279" s="2">
        <f t="shared" ca="1" si="2226"/>
        <v>2091568.7608867222</v>
      </c>
      <c r="BG2279" s="2">
        <f t="shared" ca="1" si="2227"/>
        <v>2116452.8746528998</v>
      </c>
      <c r="BH2279" s="2">
        <f t="shared" ca="1" si="2228"/>
        <v>2141495.4107516035</v>
      </c>
      <c r="BI2279" s="2">
        <f t="shared" ca="1" si="2229"/>
        <v>25255058.464554708</v>
      </c>
      <c r="BJ2279" s="2">
        <f t="shared" ca="1" si="2230"/>
        <v>0.13148805539121233</v>
      </c>
      <c r="BK2279" s="2">
        <f t="shared" ca="1" si="2231"/>
        <v>864941.8422366567</v>
      </c>
    </row>
    <row r="2280" spans="1:63" x14ac:dyDescent="0.3">
      <c r="A2280" s="2">
        <v>2279</v>
      </c>
      <c r="B2280" s="2">
        <f t="shared" ca="1" si="2170"/>
        <v>0.2057755266190282</v>
      </c>
      <c r="C2280" s="2">
        <f t="shared" ca="1" si="2171"/>
        <v>6.6415224495199343</v>
      </c>
      <c r="D2280" s="2">
        <f t="shared" ca="1" si="2172"/>
        <v>0.86741413963491032</v>
      </c>
      <c r="E2280" s="2">
        <f t="shared" ca="1" si="2173"/>
        <v>7.9850517300444839</v>
      </c>
      <c r="F2280" s="2">
        <f t="shared" ca="1" si="2174"/>
        <v>0.15184824638927608</v>
      </c>
      <c r="G2280" s="2">
        <f t="shared" ca="1" si="2175"/>
        <v>9.1438387764912928E-3</v>
      </c>
      <c r="H2280" s="2">
        <f t="shared" ca="1" si="2176"/>
        <v>9.1438387764912928E-3</v>
      </c>
      <c r="I2280" s="2">
        <f t="shared" ca="1" si="2177"/>
        <v>0.53107825412819099</v>
      </c>
      <c r="J2280" s="2">
        <f t="shared" ca="1" si="2178"/>
        <v>1.0389902957301786E-2</v>
      </c>
      <c r="K2280" s="2">
        <f t="shared" ca="1" si="2179"/>
        <v>1.0389902957301786E-2</v>
      </c>
      <c r="L2280" s="2">
        <f t="shared" ca="1" si="2180"/>
        <v>0.75638921183848129</v>
      </c>
      <c r="M2280" s="2">
        <f t="shared" ca="1" si="2181"/>
        <v>1.389469404227933E-2</v>
      </c>
      <c r="N2280" s="2">
        <f t="shared" ca="1" si="2182"/>
        <v>1.389469404227933E-2</v>
      </c>
      <c r="O2280" s="2">
        <f t="shared" si="2183"/>
        <v>6000000</v>
      </c>
      <c r="P2280" s="2">
        <f t="shared" ca="1" si="2184"/>
        <v>39849134.697119609</v>
      </c>
      <c r="Q2280" s="2">
        <f t="shared" ca="1" si="2185"/>
        <v>996228.36742799031</v>
      </c>
      <c r="R2280" s="2">
        <f t="shared" ca="1" si="2186"/>
        <v>23909480.818271764</v>
      </c>
      <c r="S2280" s="2">
        <f t="shared" ca="1" si="2187"/>
        <v>15939653.878847845</v>
      </c>
      <c r="T2280" s="2">
        <f t="shared" ca="1" si="2188"/>
        <v>50694734.702113964</v>
      </c>
      <c r="U2280" s="2">
        <f t="shared" ca="1" si="2189"/>
        <v>51158279.183047093</v>
      </c>
      <c r="V2280" s="2">
        <f t="shared" ca="1" si="2190"/>
        <v>51626062.239979602</v>
      </c>
      <c r="W2280" s="2">
        <f t="shared" ca="1" si="2191"/>
        <v>52098122.629767083</v>
      </c>
      <c r="X2280" s="2">
        <f t="shared" ca="1" si="2192"/>
        <v>52574499.463651545</v>
      </c>
      <c r="Y2280" s="2">
        <f t="shared" ca="1" si="2193"/>
        <v>0.1251949514786509</v>
      </c>
      <c r="Z2280" s="2">
        <f t="shared" ca="1" si="2194"/>
        <v>0.12727293207011126</v>
      </c>
      <c r="AA2280" s="2">
        <f t="shared" ca="1" si="2195"/>
        <v>6346724.8512542378</v>
      </c>
      <c r="AB2280" s="2">
        <f t="shared" ca="1" si="2196"/>
        <v>6511064.1912877392</v>
      </c>
      <c r="AC2280" s="2">
        <f t="shared" ca="1" si="2197"/>
        <v>6570600.31251626</v>
      </c>
      <c r="AD2280" s="2">
        <f t="shared" ca="1" si="2198"/>
        <v>6630680.8224386722</v>
      </c>
      <c r="AE2280" s="2">
        <f t="shared" ca="1" si="2199"/>
        <v>6691310.6988574238</v>
      </c>
      <c r="AF2280" s="2">
        <f t="shared" ca="1" si="2200"/>
        <v>1013894.6940422793</v>
      </c>
      <c r="AG2280" s="2">
        <f t="shared" ca="1" si="2201"/>
        <v>1023165.5836609419</v>
      </c>
      <c r="AH2280" s="2">
        <f t="shared" ca="1" si="2202"/>
        <v>1032521.2447995921</v>
      </c>
      <c r="AI2280" s="2">
        <f t="shared" ca="1" si="2203"/>
        <v>1041962.4525953417</v>
      </c>
      <c r="AJ2280" s="2">
        <f t="shared" ca="1" si="2204"/>
        <v>1051489.989273031</v>
      </c>
      <c r="AK2280" s="2">
        <f t="shared" ca="1" si="2205"/>
        <v>0</v>
      </c>
      <c r="AL2280" s="2">
        <f t="shared" ca="1" si="2206"/>
        <v>4635.4448093312976</v>
      </c>
      <c r="AM2280" s="2">
        <f t="shared" ca="1" si="2207"/>
        <v>4677.8305693250895</v>
      </c>
      <c r="AN2280" s="2">
        <f t="shared" ca="1" si="2208"/>
        <v>4720.6038978748029</v>
      </c>
      <c r="AO2280" s="2">
        <f t="shared" ca="1" si="2209"/>
        <v>4763.7683388446276</v>
      </c>
      <c r="AP2280" s="2">
        <f t="shared" ca="1" si="2210"/>
        <v>2151853.2736444585</v>
      </c>
      <c r="AQ2280" s="2">
        <f t="shared" ca="1" si="2211"/>
        <v>827053.98972754995</v>
      </c>
      <c r="AR2280" s="2">
        <f t="shared" ca="1" si="2212"/>
        <v>867371.78683540819</v>
      </c>
      <c r="AS2280" s="2">
        <f t="shared" ca="1" si="2213"/>
        <v>880418.7064587744</v>
      </c>
      <c r="AT2280" s="2">
        <f t="shared" ca="1" si="2214"/>
        <v>893584.92501170665</v>
      </c>
      <c r="AU2280" s="2">
        <f t="shared" ca="1" si="2215"/>
        <v>906871.53334438289</v>
      </c>
      <c r="AV2280" s="2">
        <f t="shared" ca="1" si="2216"/>
        <v>2353922.8938399497</v>
      </c>
      <c r="AW2280" s="2">
        <f t="shared" ca="1" si="2217"/>
        <v>2464038.1023375997</v>
      </c>
      <c r="AX2280" s="2">
        <f t="shared" ca="1" si="2218"/>
        <v>2501129.2570441095</v>
      </c>
      <c r="AY2280" s="2">
        <f t="shared" ca="1" si="2219"/>
        <v>2538559.56728929</v>
      </c>
      <c r="AZ2280" s="2">
        <f t="shared" ca="1" si="2220"/>
        <v>2576332.1342567075</v>
      </c>
      <c r="BA2280" s="2">
        <f t="shared" ca="1" si="2221"/>
        <v>53430462.072176635</v>
      </c>
      <c r="BB2280" s="2">
        <f t="shared" ca="1" si="2222"/>
        <v>1068609.2414435328</v>
      </c>
      <c r="BC2280" s="2">
        <f t="shared" ca="1" si="2223"/>
        <v>28452372.012461338</v>
      </c>
      <c r="BD2280" s="2">
        <f t="shared" ca="1" si="2224"/>
        <v>-17435882.246275835</v>
      </c>
      <c r="BE2280" s="2">
        <f t="shared" ca="1" si="2225"/>
        <v>2353922.8938399497</v>
      </c>
      <c r="BF2280" s="2">
        <f t="shared" ca="1" si="2226"/>
        <v>2464038.1023375997</v>
      </c>
      <c r="BG2280" s="2">
        <f t="shared" ca="1" si="2227"/>
        <v>2501129.2570441095</v>
      </c>
      <c r="BH2280" s="2">
        <f t="shared" ca="1" si="2228"/>
        <v>2538559.56728929</v>
      </c>
      <c r="BI2280" s="2">
        <f t="shared" ca="1" si="2229"/>
        <v>31028704.146718048</v>
      </c>
      <c r="BJ2280" s="2">
        <f t="shared" ca="1" si="2230"/>
        <v>0.22263060633320664</v>
      </c>
      <c r="BK2280" s="2">
        <f t="shared" ca="1" si="2231"/>
        <v>7630225.6439670883</v>
      </c>
    </row>
    <row r="2281" spans="1:63" x14ac:dyDescent="0.3">
      <c r="A2281" s="2">
        <v>2280</v>
      </c>
      <c r="B2281" s="2">
        <f t="shared" ca="1" si="2170"/>
        <v>0.62867410972685034</v>
      </c>
      <c r="C2281" s="2">
        <f t="shared" ca="1" si="2171"/>
        <v>7.1382275355139857</v>
      </c>
      <c r="D2281" s="2">
        <f t="shared" ca="1" si="2172"/>
        <v>0.9532293079458426</v>
      </c>
      <c r="E2281" s="2">
        <f t="shared" ca="1" si="2173"/>
        <v>8.1941546402047027</v>
      </c>
      <c r="F2281" s="2">
        <f t="shared" ca="1" si="2174"/>
        <v>0.92335276809055489</v>
      </c>
      <c r="G2281" s="2">
        <f t="shared" ca="1" si="2175"/>
        <v>8.2839728456814019E-2</v>
      </c>
      <c r="H2281" s="2">
        <f t="shared" ca="1" si="2176"/>
        <v>8.2839728456814019E-2</v>
      </c>
      <c r="I2281" s="2">
        <f t="shared" ca="1" si="2177"/>
        <v>0.66051156950263634</v>
      </c>
      <c r="J2281" s="2">
        <f t="shared" ca="1" si="2178"/>
        <v>1.2069298488298122E-2</v>
      </c>
      <c r="K2281" s="2">
        <f t="shared" ca="1" si="2179"/>
        <v>1.2069298488298122E-2</v>
      </c>
      <c r="L2281" s="2">
        <f t="shared" ca="1" si="2180"/>
        <v>4.5611880885102152E-2</v>
      </c>
      <c r="M2281" s="2">
        <f t="shared" ca="1" si="2181"/>
        <v>-3.3779547923324653E-2</v>
      </c>
      <c r="N2281" s="2">
        <f t="shared" ca="1" si="2182"/>
        <v>-3.3779547923324653E-2</v>
      </c>
      <c r="O2281" s="2">
        <f t="shared" si="2183"/>
        <v>6000000</v>
      </c>
      <c r="P2281" s="2">
        <f t="shared" ca="1" si="2184"/>
        <v>42829365.213083915</v>
      </c>
      <c r="Q2281" s="2">
        <f t="shared" ca="1" si="2185"/>
        <v>1070734.1303270978</v>
      </c>
      <c r="R2281" s="2">
        <f t="shared" ca="1" si="2186"/>
        <v>25697619.12785035</v>
      </c>
      <c r="S2281" s="2">
        <f t="shared" ca="1" si="2187"/>
        <v>17131746.085233565</v>
      </c>
      <c r="T2281" s="2">
        <f t="shared" ca="1" si="2188"/>
        <v>48311022.603833772</v>
      </c>
      <c r="U2281" s="2">
        <f t="shared" ca="1" si="2189"/>
        <v>52313094.597806372</v>
      </c>
      <c r="V2281" s="2">
        <f t="shared" ca="1" si="2190"/>
        <v>56646697.149024278</v>
      </c>
      <c r="W2281" s="2">
        <f t="shared" ca="1" si="2191"/>
        <v>61339294.158824831</v>
      </c>
      <c r="X2281" s="2">
        <f t="shared" ca="1" si="2192"/>
        <v>66420624.630674526</v>
      </c>
      <c r="Y2281" s="2">
        <f t="shared" ca="1" si="2193"/>
        <v>0.12603464924414906</v>
      </c>
      <c r="Z2281" s="2">
        <f t="shared" ca="1" si="2194"/>
        <v>0.12844850894180868</v>
      </c>
      <c r="AA2281" s="2">
        <f t="shared" ca="1" si="2195"/>
        <v>6088862.7885003462</v>
      </c>
      <c r="AB2281" s="2">
        <f t="shared" ca="1" si="2196"/>
        <v>6719538.9992200145</v>
      </c>
      <c r="AC2281" s="2">
        <f t="shared" ca="1" si="2197"/>
        <v>7276183.7852703733</v>
      </c>
      <c r="AD2281" s="2">
        <f t="shared" ca="1" si="2198"/>
        <v>7878940.8742440436</v>
      </c>
      <c r="AE2281" s="2">
        <f t="shared" ca="1" si="2199"/>
        <v>8531630.1967937145</v>
      </c>
      <c r="AF2281" s="2">
        <f t="shared" ca="1" si="2200"/>
        <v>966220.45207667549</v>
      </c>
      <c r="AG2281" s="2">
        <f t="shared" ca="1" si="2201"/>
        <v>1046261.8919561275</v>
      </c>
      <c r="AH2281" s="2">
        <f t="shared" ca="1" si="2202"/>
        <v>1132933.9429804855</v>
      </c>
      <c r="AI2281" s="2">
        <f t="shared" ca="1" si="2203"/>
        <v>1226785.8831764967</v>
      </c>
      <c r="AJ2281" s="2">
        <f t="shared" ca="1" si="2204"/>
        <v>1328412.4926134904</v>
      </c>
      <c r="AK2281" s="2">
        <f t="shared" ca="1" si="2205"/>
        <v>0</v>
      </c>
      <c r="AL2281" s="2">
        <f t="shared" ca="1" si="2206"/>
        <v>40020.719939725997</v>
      </c>
      <c r="AM2281" s="2">
        <f t="shared" ca="1" si="2207"/>
        <v>43336.025512179061</v>
      </c>
      <c r="AN2281" s="2">
        <f t="shared" ca="1" si="2208"/>
        <v>46925.970098005535</v>
      </c>
      <c r="AO2281" s="2">
        <f t="shared" ca="1" si="2209"/>
        <v>50813.304718496947</v>
      </c>
      <c r="AP2281" s="2">
        <f t="shared" ca="1" si="2210"/>
        <v>2312785.7215065314</v>
      </c>
      <c r="AQ2281" s="2">
        <f t="shared" ca="1" si="2211"/>
        <v>730562.71987845632</v>
      </c>
      <c r="AR2281" s="2">
        <f t="shared" ca="1" si="2212"/>
        <v>873727.76029691263</v>
      </c>
      <c r="AS2281" s="2">
        <f t="shared" ca="1" si="2213"/>
        <v>995920.67140367255</v>
      </c>
      <c r="AT2281" s="2">
        <f t="shared" ca="1" si="2214"/>
        <v>1128236.0100858642</v>
      </c>
      <c r="AU2281" s="2">
        <f t="shared" ca="1" si="2215"/>
        <v>1271512.3154951602</v>
      </c>
      <c r="AV2281" s="2">
        <f t="shared" ca="1" si="2216"/>
        <v>2079293.895038683</v>
      </c>
      <c r="AW2281" s="2">
        <f t="shared" ca="1" si="2217"/>
        <v>2446742.9055207167</v>
      </c>
      <c r="AX2281" s="2">
        <f t="shared" ca="1" si="2218"/>
        <v>2791207.4238675041</v>
      </c>
      <c r="AY2281" s="2">
        <f t="shared" ca="1" si="2219"/>
        <v>3164207.2893771464</v>
      </c>
      <c r="AZ2281" s="2">
        <f t="shared" ca="1" si="2220"/>
        <v>3568106.3624600349</v>
      </c>
      <c r="BA2281" s="2">
        <f t="shared" ca="1" si="2221"/>
        <v>69909497.165567771</v>
      </c>
      <c r="BB2281" s="2">
        <f t="shared" ca="1" si="2222"/>
        <v>1398189.9433113555</v>
      </c>
      <c r="BC2281" s="2">
        <f t="shared" ca="1" si="2223"/>
        <v>42813688.094406061</v>
      </c>
      <c r="BD2281" s="2">
        <f t="shared" ca="1" si="2224"/>
        <v>-18702480.215560663</v>
      </c>
      <c r="BE2281" s="2">
        <f t="shared" ca="1" si="2225"/>
        <v>2079293.895038683</v>
      </c>
      <c r="BF2281" s="2">
        <f t="shared" ca="1" si="2226"/>
        <v>2446742.9055207167</v>
      </c>
      <c r="BG2281" s="2">
        <f t="shared" ca="1" si="2227"/>
        <v>2791207.4238675041</v>
      </c>
      <c r="BH2281" s="2">
        <f t="shared" ca="1" si="2228"/>
        <v>3164207.2893771464</v>
      </c>
      <c r="BI2281" s="2">
        <f t="shared" ca="1" si="2229"/>
        <v>46381794.456866093</v>
      </c>
      <c r="BJ2281" s="2">
        <f t="shared" ca="1" si="2230"/>
        <v>0.28681595264927084</v>
      </c>
      <c r="BK2281" s="2">
        <f t="shared" ca="1" si="2231"/>
        <v>15420473.694270831</v>
      </c>
    </row>
    <row r="2282" spans="1:63" x14ac:dyDescent="0.3">
      <c r="A2282" s="2">
        <v>2281</v>
      </c>
      <c r="B2282" s="2">
        <f t="shared" ca="1" si="2170"/>
        <v>0.76750770205798913</v>
      </c>
      <c r="C2282" s="2">
        <f t="shared" ca="1" si="2171"/>
        <v>7.318102210090089</v>
      </c>
      <c r="D2282" s="2">
        <f t="shared" ca="1" si="2172"/>
        <v>0.71630490434152938</v>
      </c>
      <c r="E2282" s="2">
        <f t="shared" ca="1" si="2173"/>
        <v>7.7467469274427474</v>
      </c>
      <c r="F2282" s="2">
        <f t="shared" ca="1" si="2174"/>
        <v>1.23823695673142E-2</v>
      </c>
      <c r="G2282" s="2">
        <f t="shared" ca="1" si="2175"/>
        <v>-2.7351585890938439E-2</v>
      </c>
      <c r="H2282" s="2">
        <f t="shared" ca="1" si="2176"/>
        <v>-0.02</v>
      </c>
      <c r="I2282" s="2">
        <f t="shared" ca="1" si="2177"/>
        <v>0.70578300056450327</v>
      </c>
      <c r="J2282" s="2">
        <f t="shared" ca="1" si="2178"/>
        <v>1.2705533801523172E-2</v>
      </c>
      <c r="K2282" s="2">
        <f t="shared" ca="1" si="2179"/>
        <v>1.2705533801523172E-2</v>
      </c>
      <c r="L2282" s="2">
        <f t="shared" ca="1" si="2180"/>
        <v>0.98946754077961974</v>
      </c>
      <c r="M2282" s="2">
        <f t="shared" ca="1" si="2181"/>
        <v>4.6136377898825465E-2</v>
      </c>
      <c r="N2282" s="2">
        <f t="shared" ca="1" si="2182"/>
        <v>4.6136377898825465E-2</v>
      </c>
      <c r="O2282" s="2">
        <f t="shared" si="2183"/>
        <v>6000000</v>
      </c>
      <c r="P2282" s="2">
        <f t="shared" ca="1" si="2184"/>
        <v>43908613.260540538</v>
      </c>
      <c r="Q2282" s="2">
        <f t="shared" ca="1" si="2185"/>
        <v>1097715.3315135136</v>
      </c>
      <c r="R2282" s="2">
        <f t="shared" ca="1" si="2186"/>
        <v>26345167.95632432</v>
      </c>
      <c r="S2282" s="2">
        <f t="shared" ca="1" si="2187"/>
        <v>17563445.304216217</v>
      </c>
      <c r="T2282" s="2">
        <f t="shared" ca="1" si="2188"/>
        <v>52306818.894941278</v>
      </c>
      <c r="U2282" s="2">
        <f t="shared" ca="1" si="2189"/>
        <v>51260682.517042451</v>
      </c>
      <c r="V2282" s="2">
        <f t="shared" ca="1" si="2190"/>
        <v>50235468.866701603</v>
      </c>
      <c r="W2282" s="2">
        <f t="shared" ca="1" si="2191"/>
        <v>49230759.489367567</v>
      </c>
      <c r="X2282" s="2">
        <f t="shared" ca="1" si="2192"/>
        <v>48246144.299580216</v>
      </c>
      <c r="Y2282" s="2">
        <f t="shared" ca="1" si="2193"/>
        <v>0.12635276690076158</v>
      </c>
      <c r="Z2282" s="2">
        <f t="shared" ca="1" si="2194"/>
        <v>0.12889387366106622</v>
      </c>
      <c r="AA2282" s="2">
        <f t="shared" ca="1" si="2195"/>
        <v>6609111.2951528672</v>
      </c>
      <c r="AB2282" s="2">
        <f t="shared" ca="1" si="2196"/>
        <v>6607187.9361316953</v>
      </c>
      <c r="AC2282" s="2">
        <f t="shared" ca="1" si="2197"/>
        <v>6475044.1774090622</v>
      </c>
      <c r="AD2282" s="2">
        <f t="shared" ca="1" si="2198"/>
        <v>6345543.2938608807</v>
      </c>
      <c r="AE2282" s="2">
        <f t="shared" ca="1" si="2199"/>
        <v>6218632.427983663</v>
      </c>
      <c r="AF2282" s="2">
        <f t="shared" ca="1" si="2200"/>
        <v>1046136.3778988256</v>
      </c>
      <c r="AG2282" s="2">
        <f t="shared" ca="1" si="2201"/>
        <v>1025213.6503408491</v>
      </c>
      <c r="AH2282" s="2">
        <f t="shared" ca="1" si="2202"/>
        <v>1004709.3773340321</v>
      </c>
      <c r="AI2282" s="2">
        <f t="shared" ca="1" si="2203"/>
        <v>984615.18978735141</v>
      </c>
      <c r="AJ2282" s="2">
        <f t="shared" ca="1" si="2204"/>
        <v>964922.8859916043</v>
      </c>
      <c r="AK2282" s="2">
        <f t="shared" ca="1" si="2205"/>
        <v>0</v>
      </c>
      <c r="AL2282" s="2">
        <f t="shared" ca="1" si="2206"/>
        <v>0</v>
      </c>
      <c r="AM2282" s="2">
        <f t="shared" ca="1" si="2207"/>
        <v>0</v>
      </c>
      <c r="AN2282" s="2">
        <f t="shared" ca="1" si="2208"/>
        <v>0</v>
      </c>
      <c r="AO2282" s="2">
        <f t="shared" ca="1" si="2209"/>
        <v>0</v>
      </c>
      <c r="AP2282" s="2">
        <f t="shared" ca="1" si="2210"/>
        <v>2371065.1160691888</v>
      </c>
      <c r="AQ2282" s="2">
        <f t="shared" ca="1" si="2211"/>
        <v>829896.54830806179</v>
      </c>
      <c r="AR2282" s="2">
        <f t="shared" ca="1" si="2212"/>
        <v>834836.38412763085</v>
      </c>
      <c r="AS2282" s="2">
        <f t="shared" ca="1" si="2213"/>
        <v>805810.11784151872</v>
      </c>
      <c r="AT2282" s="2">
        <f t="shared" ca="1" si="2214"/>
        <v>777364.37688112853</v>
      </c>
      <c r="AU2282" s="2">
        <f t="shared" ca="1" si="2215"/>
        <v>749487.55073994631</v>
      </c>
      <c r="AV2282" s="2">
        <f t="shared" ca="1" si="2216"/>
        <v>2362013.2528767916</v>
      </c>
      <c r="AW2282" s="2">
        <f t="shared" ca="1" si="2217"/>
        <v>2376072.7855940261</v>
      </c>
      <c r="AX2282" s="2">
        <f t="shared" ca="1" si="2218"/>
        <v>2293459.5661643227</v>
      </c>
      <c r="AY2282" s="2">
        <f t="shared" ca="1" si="2219"/>
        <v>2212498.6111232121</v>
      </c>
      <c r="AZ2282" s="2">
        <f t="shared" ca="1" si="2220"/>
        <v>2133156.8751829243</v>
      </c>
      <c r="BA2282" s="2">
        <f t="shared" ca="1" si="2221"/>
        <v>48174171.654378273</v>
      </c>
      <c r="BB2282" s="2">
        <f t="shared" ca="1" si="2222"/>
        <v>963483.43308756547</v>
      </c>
      <c r="BC2282" s="2">
        <f t="shared" ca="1" si="2223"/>
        <v>20865520.264966387</v>
      </c>
      <c r="BD2282" s="2">
        <f t="shared" ca="1" si="2224"/>
        <v>-19161160.63572973</v>
      </c>
      <c r="BE2282" s="2">
        <f t="shared" ca="1" si="2225"/>
        <v>2362013.2528767916</v>
      </c>
      <c r="BF2282" s="2">
        <f t="shared" ca="1" si="2226"/>
        <v>2376072.7855940261</v>
      </c>
      <c r="BG2282" s="2">
        <f t="shared" ca="1" si="2227"/>
        <v>2293459.5661643227</v>
      </c>
      <c r="BH2282" s="2">
        <f t="shared" ca="1" si="2228"/>
        <v>2212498.6111232121</v>
      </c>
      <c r="BI2282" s="2">
        <f t="shared" ca="1" si="2229"/>
        <v>22998677.14014931</v>
      </c>
      <c r="BJ2282" s="2">
        <f t="shared" ca="1" si="2230"/>
        <v>0.13318239585172442</v>
      </c>
      <c r="BK2282" s="2">
        <f t="shared" ca="1" si="2231"/>
        <v>930559.58540671319</v>
      </c>
    </row>
    <row r="2283" spans="1:63" x14ac:dyDescent="0.3">
      <c r="A2283" s="2">
        <v>2282</v>
      </c>
      <c r="B2283" s="2">
        <f t="shared" ca="1" si="2170"/>
        <v>0.90970459377705104</v>
      </c>
      <c r="C2283" s="2">
        <f t="shared" ca="1" si="2171"/>
        <v>7.5750402225552422</v>
      </c>
      <c r="D2283" s="2">
        <f t="shared" ca="1" si="2172"/>
        <v>0.29619635501133279</v>
      </c>
      <c r="E2283" s="2">
        <f t="shared" ca="1" si="2173"/>
        <v>7.2696705204323901</v>
      </c>
      <c r="F2283" s="2">
        <f t="shared" ca="1" si="2174"/>
        <v>0.43565156863802623</v>
      </c>
      <c r="G2283" s="2">
        <f t="shared" ca="1" si="2175"/>
        <v>3.5139896508466613E-2</v>
      </c>
      <c r="H2283" s="2">
        <f t="shared" ca="1" si="2176"/>
        <v>3.5139896508466613E-2</v>
      </c>
      <c r="I2283" s="2">
        <f t="shared" ca="1" si="2177"/>
        <v>0.77462294351954075</v>
      </c>
      <c r="J2283" s="2">
        <f t="shared" ca="1" si="2178"/>
        <v>1.377079200548182E-2</v>
      </c>
      <c r="K2283" s="2">
        <f t="shared" ca="1" si="2179"/>
        <v>1.377079200548182E-2</v>
      </c>
      <c r="L2283" s="2">
        <f t="shared" ca="1" si="2180"/>
        <v>0.61766358455683634</v>
      </c>
      <c r="M2283" s="2">
        <f t="shared" ca="1" si="2181"/>
        <v>5.9870046454155289E-3</v>
      </c>
      <c r="N2283" s="2">
        <f t="shared" ca="1" si="2182"/>
        <v>5.9870046454155289E-3</v>
      </c>
      <c r="O2283" s="2">
        <f t="shared" si="2183"/>
        <v>6000000</v>
      </c>
      <c r="P2283" s="2">
        <f t="shared" ca="1" si="2184"/>
        <v>45450241.335331455</v>
      </c>
      <c r="Q2283" s="2">
        <f t="shared" ca="1" si="2185"/>
        <v>1136256.0333832863</v>
      </c>
      <c r="R2283" s="2">
        <f t="shared" ca="1" si="2186"/>
        <v>27270144.801198874</v>
      </c>
      <c r="S2283" s="2">
        <f t="shared" ca="1" si="2187"/>
        <v>18180096.534132581</v>
      </c>
      <c r="T2283" s="2">
        <f t="shared" ca="1" si="2188"/>
        <v>50299350.232270777</v>
      </c>
      <c r="U2283" s="2">
        <f t="shared" ca="1" si="2189"/>
        <v>52066864.193875886</v>
      </c>
      <c r="V2283" s="2">
        <f t="shared" ca="1" si="2190"/>
        <v>53896488.413169071</v>
      </c>
      <c r="W2283" s="2">
        <f t="shared" ca="1" si="2191"/>
        <v>55790405.438177601</v>
      </c>
      <c r="X2283" s="2">
        <f t="shared" ca="1" si="2192"/>
        <v>57750874.511440553</v>
      </c>
      <c r="Y2283" s="2">
        <f t="shared" ca="1" si="2193"/>
        <v>0.1268853960027409</v>
      </c>
      <c r="Z2283" s="2">
        <f t="shared" ca="1" si="2194"/>
        <v>0.12963955440383726</v>
      </c>
      <c r="AA2283" s="2">
        <f t="shared" ca="1" si="2195"/>
        <v>6382252.9729022356</v>
      </c>
      <c r="AB2283" s="2">
        <f t="shared" ca="1" si="2196"/>
        <v>6749925.0732991789</v>
      </c>
      <c r="AC2283" s="2">
        <f t="shared" ca="1" si="2197"/>
        <v>6987116.7418148164</v>
      </c>
      <c r="AD2283" s="2">
        <f t="shared" ca="1" si="2198"/>
        <v>7232643.3010147633</v>
      </c>
      <c r="AE2283" s="2">
        <f t="shared" ca="1" si="2199"/>
        <v>7486797.6380950762</v>
      </c>
      <c r="AF2283" s="2">
        <f t="shared" ca="1" si="2200"/>
        <v>1005987.0046454156</v>
      </c>
      <c r="AG2283" s="2">
        <f t="shared" ca="1" si="2201"/>
        <v>1041337.2838775178</v>
      </c>
      <c r="AH2283" s="2">
        <f t="shared" ca="1" si="2202"/>
        <v>1077929.7682633814</v>
      </c>
      <c r="AI2283" s="2">
        <f t="shared" ca="1" si="2203"/>
        <v>1115808.108763552</v>
      </c>
      <c r="AJ2283" s="2">
        <f t="shared" ca="1" si="2204"/>
        <v>1155017.490228811</v>
      </c>
      <c r="AK2283" s="2">
        <f t="shared" ca="1" si="2205"/>
        <v>0</v>
      </c>
      <c r="AL2283" s="2">
        <f t="shared" ca="1" si="2206"/>
        <v>17675.139616051092</v>
      </c>
      <c r="AM2283" s="2">
        <f t="shared" ca="1" si="2207"/>
        <v>18296.242192931848</v>
      </c>
      <c r="AN2283" s="2">
        <f t="shared" ca="1" si="2208"/>
        <v>18939.170250085295</v>
      </c>
      <c r="AO2283" s="2">
        <f t="shared" ca="1" si="2209"/>
        <v>19604.690732629522</v>
      </c>
      <c r="AP2283" s="2">
        <f t="shared" ca="1" si="2210"/>
        <v>2454313.0321078985</v>
      </c>
      <c r="AQ2283" s="2">
        <f t="shared" ca="1" si="2211"/>
        <v>759707.7633987196</v>
      </c>
      <c r="AR2283" s="2">
        <f t="shared" ca="1" si="2212"/>
        <v>846111.43690157821</v>
      </c>
      <c r="AS2283" s="2">
        <f t="shared" ca="1" si="2213"/>
        <v>898267.22477531957</v>
      </c>
      <c r="AT2283" s="2">
        <f t="shared" ca="1" si="2214"/>
        <v>952255.76163726125</v>
      </c>
      <c r="AU2283" s="2">
        <f t="shared" ca="1" si="2215"/>
        <v>1008141.4500971753</v>
      </c>
      <c r="AV2283" s="2">
        <f t="shared" ca="1" si="2216"/>
        <v>2162245.1727502015</v>
      </c>
      <c r="AW2283" s="2">
        <f t="shared" ca="1" si="2217"/>
        <v>2390488.1807961338</v>
      </c>
      <c r="AX2283" s="2">
        <f t="shared" ca="1" si="2218"/>
        <v>2538310.4744752855</v>
      </c>
      <c r="AY2283" s="2">
        <f t="shared" ca="1" si="2219"/>
        <v>2691327.2282559662</v>
      </c>
      <c r="AZ2283" s="2">
        <f t="shared" ca="1" si="2220"/>
        <v>2849720.9749285611</v>
      </c>
      <c r="BA2283" s="2">
        <f t="shared" ca="1" si="2221"/>
        <v>54426552.082102619</v>
      </c>
      <c r="BB2283" s="2">
        <f t="shared" ca="1" si="2222"/>
        <v>1088531.0416420524</v>
      </c>
      <c r="BC2283" s="2">
        <f t="shared" ca="1" si="2223"/>
        <v>26067876.239261694</v>
      </c>
      <c r="BD2283" s="2">
        <f t="shared" ca="1" si="2224"/>
        <v>-19816352.567515869</v>
      </c>
      <c r="BE2283" s="2">
        <f t="shared" ca="1" si="2225"/>
        <v>2162245.1727502015</v>
      </c>
      <c r="BF2283" s="2">
        <f t="shared" ca="1" si="2226"/>
        <v>2390488.1807961338</v>
      </c>
      <c r="BG2283" s="2">
        <f t="shared" ca="1" si="2227"/>
        <v>2538310.4744752855</v>
      </c>
      <c r="BH2283" s="2">
        <f t="shared" ca="1" si="2228"/>
        <v>2691327.2282559662</v>
      </c>
      <c r="BI2283" s="2">
        <f t="shared" ca="1" si="2229"/>
        <v>28917597.214190256</v>
      </c>
      <c r="BJ2283" s="2">
        <f t="shared" ca="1" si="2230"/>
        <v>0.16983864288072748</v>
      </c>
      <c r="BK2283" s="2">
        <f t="shared" ca="1" si="2231"/>
        <v>3945633.6508654021</v>
      </c>
    </row>
    <row r="2284" spans="1:63" x14ac:dyDescent="0.3">
      <c r="A2284" s="2">
        <v>2283</v>
      </c>
      <c r="B2284" s="2">
        <f t="shared" ca="1" si="2170"/>
        <v>0.30754377653258036</v>
      </c>
      <c r="C2284" s="2">
        <f t="shared" ca="1" si="2171"/>
        <v>6.7842751768768155</v>
      </c>
      <c r="D2284" s="2">
        <f t="shared" ca="1" si="2172"/>
        <v>0.53618894803117301</v>
      </c>
      <c r="E2284" s="2">
        <f t="shared" ca="1" si="2173"/>
        <v>7.5368685946675535</v>
      </c>
      <c r="F2284" s="2">
        <f t="shared" ca="1" si="2174"/>
        <v>0.88710806918359164</v>
      </c>
      <c r="G2284" s="2">
        <f t="shared" ca="1" si="2175"/>
        <v>7.6338732755763222E-2</v>
      </c>
      <c r="H2284" s="2">
        <f t="shared" ca="1" si="2176"/>
        <v>7.6338732755763222E-2</v>
      </c>
      <c r="I2284" s="2">
        <f t="shared" ca="1" si="2177"/>
        <v>0.72648009580355954</v>
      </c>
      <c r="J2284" s="2">
        <f t="shared" ca="1" si="2178"/>
        <v>1.3011009069655716E-2</v>
      </c>
      <c r="K2284" s="2">
        <f t="shared" ca="1" si="2179"/>
        <v>1.3011009069655716E-2</v>
      </c>
      <c r="L2284" s="2">
        <f t="shared" ca="1" si="2180"/>
        <v>0.57320143134443013</v>
      </c>
      <c r="M2284" s="2">
        <f t="shared" ca="1" si="2181"/>
        <v>3.6906142100697316E-3</v>
      </c>
      <c r="N2284" s="2">
        <f t="shared" ca="1" si="2182"/>
        <v>3.6906142100697316E-3</v>
      </c>
      <c r="O2284" s="2">
        <f t="shared" si="2183"/>
        <v>6000000</v>
      </c>
      <c r="P2284" s="2">
        <f t="shared" ca="1" si="2184"/>
        <v>40705651.061260894</v>
      </c>
      <c r="Q2284" s="2">
        <f t="shared" ca="1" si="2185"/>
        <v>1017641.2765315224</v>
      </c>
      <c r="R2284" s="2">
        <f t="shared" ca="1" si="2186"/>
        <v>24423390.636756536</v>
      </c>
      <c r="S2284" s="2">
        <f t="shared" ca="1" si="2187"/>
        <v>16282260.424504358</v>
      </c>
      <c r="T2284" s="2">
        <f t="shared" ca="1" si="2188"/>
        <v>50184530.710503481</v>
      </c>
      <c r="U2284" s="2">
        <f t="shared" ca="1" si="2189"/>
        <v>54015554.188885994</v>
      </c>
      <c r="V2284" s="2">
        <f t="shared" ca="1" si="2190"/>
        <v>58139033.144765809</v>
      </c>
      <c r="W2284" s="2">
        <f t="shared" ca="1" si="2191"/>
        <v>62577293.258682542</v>
      </c>
      <c r="X2284" s="2">
        <f t="shared" ca="1" si="2192"/>
        <v>67354364.525336131</v>
      </c>
      <c r="Y2284" s="2">
        <f t="shared" ca="1" si="2193"/>
        <v>0.12650550453482784</v>
      </c>
      <c r="Z2284" s="2">
        <f t="shared" ca="1" si="2194"/>
        <v>0.12910770634875901</v>
      </c>
      <c r="AA2284" s="2">
        <f t="shared" ca="1" si="2195"/>
        <v>6348619.3773758048</v>
      </c>
      <c r="AB2284" s="2">
        <f t="shared" ca="1" si="2196"/>
        <v>6973824.3084841724</v>
      </c>
      <c r="AC2284" s="2">
        <f t="shared" ca="1" si="2197"/>
        <v>7506197.2186551914</v>
      </c>
      <c r="AD2284" s="2">
        <f t="shared" ca="1" si="2198"/>
        <v>8079210.8021421628</v>
      </c>
      <c r="AE2284" s="2">
        <f t="shared" ca="1" si="2199"/>
        <v>8695967.5164443683</v>
      </c>
      <c r="AF2284" s="2">
        <f t="shared" ca="1" si="2200"/>
        <v>1003690.6142100696</v>
      </c>
      <c r="AG2284" s="2">
        <f t="shared" ca="1" si="2201"/>
        <v>1080311.0837777199</v>
      </c>
      <c r="AH2284" s="2">
        <f t="shared" ca="1" si="2202"/>
        <v>1162780.6628953163</v>
      </c>
      <c r="AI2284" s="2">
        <f t="shared" ca="1" si="2203"/>
        <v>1251545.8651736509</v>
      </c>
      <c r="AJ2284" s="2">
        <f t="shared" ca="1" si="2204"/>
        <v>1347087.2905067226</v>
      </c>
      <c r="AK2284" s="2">
        <f t="shared" ca="1" si="2205"/>
        <v>0</v>
      </c>
      <c r="AL2284" s="2">
        <f t="shared" ca="1" si="2206"/>
        <v>38310.23478382513</v>
      </c>
      <c r="AM2284" s="2">
        <f t="shared" ca="1" si="2207"/>
        <v>41234.789558798147</v>
      </c>
      <c r="AN2284" s="2">
        <f t="shared" ca="1" si="2208"/>
        <v>44382.601139167324</v>
      </c>
      <c r="AO2284" s="2">
        <f t="shared" ca="1" si="2209"/>
        <v>47770.712666535903</v>
      </c>
      <c r="AP2284" s="2">
        <f t="shared" ca="1" si="2210"/>
        <v>2198105.1573080881</v>
      </c>
      <c r="AQ2284" s="2">
        <f t="shared" ca="1" si="2211"/>
        <v>818174.13752298814</v>
      </c>
      <c r="AR2284" s="2">
        <f t="shared" ca="1" si="2212"/>
        <v>960806.09752357472</v>
      </c>
      <c r="AS2284" s="2">
        <f t="shared" ca="1" si="2213"/>
        <v>1077780.9635974646</v>
      </c>
      <c r="AT2284" s="2">
        <f t="shared" ca="1" si="2214"/>
        <v>1203685.5427117103</v>
      </c>
      <c r="AU2284" s="2">
        <f t="shared" ca="1" si="2215"/>
        <v>1339201.5178436849</v>
      </c>
      <c r="AV2284" s="2">
        <f t="shared" ca="1" si="2216"/>
        <v>2328649.4683346585</v>
      </c>
      <c r="AW2284" s="2">
        <f t="shared" ca="1" si="2217"/>
        <v>2696291.735090964</v>
      </c>
      <c r="AX2284" s="2">
        <f t="shared" ca="1" si="2218"/>
        <v>3026295.6452955245</v>
      </c>
      <c r="AY2284" s="2">
        <f t="shared" ca="1" si="2219"/>
        <v>3381491.6358095459</v>
      </c>
      <c r="AZ2284" s="2">
        <f t="shared" ca="1" si="2220"/>
        <v>3763802.8381193369</v>
      </c>
      <c r="BA2284" s="2">
        <f t="shared" ca="1" si="2221"/>
        <v>65540364.474938765</v>
      </c>
      <c r="BB2284" s="2">
        <f t="shared" ca="1" si="2222"/>
        <v>1310807.2894987753</v>
      </c>
      <c r="BC2284" s="2">
        <f t="shared" ca="1" si="2223"/>
        <v>39806166.54868345</v>
      </c>
      <c r="BD2284" s="2">
        <f t="shared" ca="1" si="2224"/>
        <v>-17799901.70103588</v>
      </c>
      <c r="BE2284" s="2">
        <f t="shared" ca="1" si="2225"/>
        <v>2328649.4683346585</v>
      </c>
      <c r="BF2284" s="2">
        <f t="shared" ca="1" si="2226"/>
        <v>2696291.735090964</v>
      </c>
      <c r="BG2284" s="2">
        <f t="shared" ca="1" si="2227"/>
        <v>3026295.6452955245</v>
      </c>
      <c r="BH2284" s="2">
        <f t="shared" ca="1" si="2228"/>
        <v>3381491.6358095459</v>
      </c>
      <c r="BI2284" s="2">
        <f t="shared" ca="1" si="2229"/>
        <v>43569969.386802785</v>
      </c>
      <c r="BJ2284" s="2">
        <f t="shared" ca="1" si="2230"/>
        <v>0.29791015289951317</v>
      </c>
      <c r="BK2284" s="2">
        <f t="shared" ca="1" si="2231"/>
        <v>15454544.137089055</v>
      </c>
    </row>
    <row r="2285" spans="1:63" x14ac:dyDescent="0.3">
      <c r="A2285" s="2">
        <v>2284</v>
      </c>
      <c r="B2285" s="2">
        <f t="shared" ca="1" si="2170"/>
        <v>0.44805730542568944</v>
      </c>
      <c r="C2285" s="2">
        <f t="shared" ca="1" si="2171"/>
        <v>6.9466333032655143</v>
      </c>
      <c r="D2285" s="2">
        <f t="shared" ca="1" si="2172"/>
        <v>0.74296841591495233</v>
      </c>
      <c r="E2285" s="2">
        <f t="shared" ca="1" si="2173"/>
        <v>7.7830180140546794</v>
      </c>
      <c r="F2285" s="2">
        <f t="shared" ca="1" si="2174"/>
        <v>0.34973531601685126</v>
      </c>
      <c r="G2285" s="2">
        <f t="shared" ca="1" si="2175"/>
        <v>2.8418945308756438E-2</v>
      </c>
      <c r="H2285" s="2">
        <f t="shared" ca="1" si="2176"/>
        <v>2.8418945308756438E-2</v>
      </c>
      <c r="I2285" s="2">
        <f t="shared" ca="1" si="2177"/>
        <v>0.20546414787884026</v>
      </c>
      <c r="J2285" s="2">
        <f t="shared" ca="1" si="2178"/>
        <v>5.8886943654429327E-3</v>
      </c>
      <c r="K2285" s="2">
        <f t="shared" ca="1" si="2179"/>
        <v>5.8886943654429327E-3</v>
      </c>
      <c r="L2285" s="2">
        <f t="shared" ca="1" si="2180"/>
        <v>0.36546460562365524</v>
      </c>
      <c r="M2285" s="2">
        <f t="shared" ca="1" si="2181"/>
        <v>-6.8777947170017796E-3</v>
      </c>
      <c r="N2285" s="2">
        <f t="shared" ca="1" si="2182"/>
        <v>-6.8777947170017796E-3</v>
      </c>
      <c r="O2285" s="2">
        <f t="shared" si="2183"/>
        <v>6000000</v>
      </c>
      <c r="P2285" s="2">
        <f t="shared" ca="1" si="2184"/>
        <v>41679799.819593087</v>
      </c>
      <c r="Q2285" s="2">
        <f t="shared" ca="1" si="2185"/>
        <v>1041994.9954898272</v>
      </c>
      <c r="R2285" s="2">
        <f t="shared" ca="1" si="2186"/>
        <v>25007879.891755853</v>
      </c>
      <c r="S2285" s="2">
        <f t="shared" ca="1" si="2187"/>
        <v>16671919.927837236</v>
      </c>
      <c r="T2285" s="2">
        <f t="shared" ca="1" si="2188"/>
        <v>49656110.264149912</v>
      </c>
      <c r="U2285" s="2">
        <f t="shared" ca="1" si="2189"/>
        <v>51067284.545992367</v>
      </c>
      <c r="V2285" s="2">
        <f t="shared" ca="1" si="2190"/>
        <v>52518562.912571624</v>
      </c>
      <c r="W2285" s="2">
        <f t="shared" ca="1" si="2191"/>
        <v>54011085.079678483</v>
      </c>
      <c r="X2285" s="2">
        <f t="shared" ca="1" si="2192"/>
        <v>55546023.152624458</v>
      </c>
      <c r="Y2285" s="2">
        <f t="shared" ca="1" si="2193"/>
        <v>0.12294434718272146</v>
      </c>
      <c r="Z2285" s="2">
        <f t="shared" ca="1" si="2194"/>
        <v>0.12412208605581004</v>
      </c>
      <c r="AA2285" s="2">
        <f t="shared" ca="1" si="2195"/>
        <v>6104938.0600591451</v>
      </c>
      <c r="AB2285" s="2">
        <f t="shared" ca="1" si="2196"/>
        <v>6338577.8870542031</v>
      </c>
      <c r="AC2285" s="2">
        <f t="shared" ca="1" si="2197"/>
        <v>6518713.5853616893</v>
      </c>
      <c r="AD2285" s="2">
        <f t="shared" ca="1" si="2198"/>
        <v>6703968.5502275303</v>
      </c>
      <c r="AE2285" s="2">
        <f t="shared" ca="1" si="2199"/>
        <v>6894488.2658080701</v>
      </c>
      <c r="AF2285" s="2">
        <f t="shared" ca="1" si="2200"/>
        <v>993122.20528299827</v>
      </c>
      <c r="AG2285" s="2">
        <f t="shared" ca="1" si="2201"/>
        <v>1021345.6909198473</v>
      </c>
      <c r="AH2285" s="2">
        <f t="shared" ca="1" si="2202"/>
        <v>1050371.2582514326</v>
      </c>
      <c r="AI2285" s="2">
        <f t="shared" ca="1" si="2203"/>
        <v>1080221.7015935697</v>
      </c>
      <c r="AJ2285" s="2">
        <f t="shared" ca="1" si="2204"/>
        <v>1110920.4630524891</v>
      </c>
      <c r="AK2285" s="2">
        <f t="shared" ca="1" si="2205"/>
        <v>0</v>
      </c>
      <c r="AL2285" s="2">
        <f t="shared" ca="1" si="2206"/>
        <v>14111.742818424553</v>
      </c>
      <c r="AM2285" s="2">
        <f t="shared" ca="1" si="2207"/>
        <v>14512.783665792569</v>
      </c>
      <c r="AN2285" s="2">
        <f t="shared" ca="1" si="2208"/>
        <v>14925.221671068593</v>
      </c>
      <c r="AO2285" s="2">
        <f t="shared" ca="1" si="2209"/>
        <v>15349.380729459748</v>
      </c>
      <c r="AP2285" s="2">
        <f t="shared" ca="1" si="2210"/>
        <v>2250709.1902580266</v>
      </c>
      <c r="AQ2285" s="2">
        <f t="shared" ca="1" si="2211"/>
        <v>743887.73277471133</v>
      </c>
      <c r="AR2285" s="2">
        <f t="shared" ca="1" si="2212"/>
        <v>797295.98152784561</v>
      </c>
      <c r="AS2285" s="2">
        <f t="shared" ca="1" si="2213"/>
        <v>836584.61558157997</v>
      </c>
      <c r="AT2285" s="2">
        <f t="shared" ca="1" si="2214"/>
        <v>876989.79117774288</v>
      </c>
      <c r="AU2285" s="2">
        <f t="shared" ca="1" si="2215"/>
        <v>918543.23924936424</v>
      </c>
      <c r="AV2285" s="2">
        <f t="shared" ca="1" si="2216"/>
        <v>2117218.931743409</v>
      </c>
      <c r="AW2285" s="2">
        <f t="shared" ca="1" si="2217"/>
        <v>2255115.2815300594</v>
      </c>
      <c r="AX2285" s="2">
        <f t="shared" ca="1" si="2218"/>
        <v>2366535.7376048579</v>
      </c>
      <c r="AY2285" s="2">
        <f t="shared" ca="1" si="2219"/>
        <v>2481122.6455271221</v>
      </c>
      <c r="AZ2285" s="2">
        <f t="shared" ca="1" si="2220"/>
        <v>2598965.99251873</v>
      </c>
      <c r="BA2285" s="2">
        <f t="shared" ca="1" si="2221"/>
        <v>53659926.370472819</v>
      </c>
      <c r="BB2285" s="2">
        <f t="shared" ca="1" si="2222"/>
        <v>1073198.5274094564</v>
      </c>
      <c r="BC2285" s="2">
        <f t="shared" ca="1" si="2223"/>
        <v>27578847.951307509</v>
      </c>
      <c r="BD2285" s="2">
        <f t="shared" ca="1" si="2224"/>
        <v>-18213914.923327062</v>
      </c>
      <c r="BE2285" s="2">
        <f t="shared" ca="1" si="2225"/>
        <v>2117218.931743409</v>
      </c>
      <c r="BF2285" s="2">
        <f t="shared" ca="1" si="2226"/>
        <v>2255115.2815300594</v>
      </c>
      <c r="BG2285" s="2">
        <f t="shared" ca="1" si="2227"/>
        <v>2366535.7376048579</v>
      </c>
      <c r="BH2285" s="2">
        <f t="shared" ca="1" si="2228"/>
        <v>2481122.6455271221</v>
      </c>
      <c r="BI2285" s="2">
        <f t="shared" ca="1" si="2229"/>
        <v>30177813.94382624</v>
      </c>
      <c r="BJ2285" s="2">
        <f t="shared" ca="1" si="2230"/>
        <v>0.19696361577448007</v>
      </c>
      <c r="BK2285" s="2">
        <f t="shared" ca="1" si="2231"/>
        <v>5859176.9868299216</v>
      </c>
    </row>
    <row r="2286" spans="1:63" x14ac:dyDescent="0.3">
      <c r="A2286" s="2">
        <v>2285</v>
      </c>
      <c r="B2286" s="2">
        <f t="shared" ca="1" si="2170"/>
        <v>0.44389196095641603</v>
      </c>
      <c r="C2286" s="2">
        <f t="shared" ca="1" si="2171"/>
        <v>6.9422228621259583</v>
      </c>
      <c r="D2286" s="2">
        <f t="shared" ca="1" si="2172"/>
        <v>0.93885532615788936</v>
      </c>
      <c r="E2286" s="2">
        <f t="shared" ca="1" si="2173"/>
        <v>8.1503010613624607</v>
      </c>
      <c r="F2286" s="2">
        <f t="shared" ca="1" si="2174"/>
        <v>7.9543077731720535E-2</v>
      </c>
      <c r="G2286" s="2">
        <f t="shared" ca="1" si="2175"/>
        <v>-2.2445509390293106E-3</v>
      </c>
      <c r="H2286" s="2">
        <f t="shared" ca="1" si="2176"/>
        <v>-2.2445509390293106E-3</v>
      </c>
      <c r="I2286" s="2">
        <f t="shared" ca="1" si="2177"/>
        <v>0.57838332373624379</v>
      </c>
      <c r="J2286" s="2">
        <f t="shared" ca="1" si="2178"/>
        <v>1.0988796746533856E-2</v>
      </c>
      <c r="K2286" s="2">
        <f t="shared" ca="1" si="2179"/>
        <v>1.0988796746533856E-2</v>
      </c>
      <c r="L2286" s="2">
        <f t="shared" ca="1" si="2180"/>
        <v>0.54060515136916898</v>
      </c>
      <c r="M2286" s="2">
        <f t="shared" ca="1" si="2181"/>
        <v>2.0391679414049051E-3</v>
      </c>
      <c r="N2286" s="2">
        <f t="shared" ca="1" si="2182"/>
        <v>2.0391679414049051E-3</v>
      </c>
      <c r="O2286" s="2">
        <f t="shared" si="2183"/>
        <v>6000000</v>
      </c>
      <c r="P2286" s="2">
        <f t="shared" ca="1" si="2184"/>
        <v>41653337.172755748</v>
      </c>
      <c r="Q2286" s="2">
        <f t="shared" ca="1" si="2185"/>
        <v>1041333.4293188937</v>
      </c>
      <c r="R2286" s="2">
        <f t="shared" ca="1" si="2186"/>
        <v>24992002.303653449</v>
      </c>
      <c r="S2286" s="2">
        <f t="shared" ca="1" si="2187"/>
        <v>16661334.869102299</v>
      </c>
      <c r="T2286" s="2">
        <f t="shared" ca="1" si="2188"/>
        <v>50101958.397070244</v>
      </c>
      <c r="U2286" s="2">
        <f t="shared" ca="1" si="2189"/>
        <v>49989501.999302894</v>
      </c>
      <c r="V2286" s="2">
        <f t="shared" ca="1" si="2190"/>
        <v>49877298.015648752</v>
      </c>
      <c r="W2286" s="2">
        <f t="shared" ca="1" si="2191"/>
        <v>49765345.879551485</v>
      </c>
      <c r="X2286" s="2">
        <f t="shared" ca="1" si="2192"/>
        <v>49653645.025726423</v>
      </c>
      <c r="Y2286" s="2">
        <f t="shared" ca="1" si="2193"/>
        <v>0.12549439837326692</v>
      </c>
      <c r="Z2286" s="2">
        <f t="shared" ca="1" si="2194"/>
        <v>0.1276921577225737</v>
      </c>
      <c r="AA2286" s="2">
        <f t="shared" ca="1" si="2195"/>
        <v>6287515.1263627792</v>
      </c>
      <c r="AB2286" s="2">
        <f t="shared" ca="1" si="2196"/>
        <v>6383267.3737678984</v>
      </c>
      <c r="AC2286" s="2">
        <f t="shared" ca="1" si="2197"/>
        <v>6368939.8049900327</v>
      </c>
      <c r="AD2286" s="2">
        <f t="shared" ca="1" si="2198"/>
        <v>6354644.3951701215</v>
      </c>
      <c r="AE2286" s="2">
        <f t="shared" ca="1" si="2199"/>
        <v>6340381.072125745</v>
      </c>
      <c r="AF2286" s="2">
        <f t="shared" ca="1" si="2200"/>
        <v>1002039.1679414049</v>
      </c>
      <c r="AG2286" s="2">
        <f t="shared" ca="1" si="2201"/>
        <v>999790.03998605791</v>
      </c>
      <c r="AH2286" s="2">
        <f t="shared" ca="1" si="2202"/>
        <v>997545.9603129751</v>
      </c>
      <c r="AI2286" s="2">
        <f t="shared" ca="1" si="2203"/>
        <v>995306.91759102978</v>
      </c>
      <c r="AJ2286" s="2">
        <f t="shared" ca="1" si="2204"/>
        <v>993072.9005145285</v>
      </c>
      <c r="AK2286" s="2">
        <f t="shared" ca="1" si="2205"/>
        <v>0</v>
      </c>
      <c r="AL2286" s="2">
        <f t="shared" ca="1" si="2206"/>
        <v>0</v>
      </c>
      <c r="AM2286" s="2">
        <f t="shared" ca="1" si="2207"/>
        <v>0</v>
      </c>
      <c r="AN2286" s="2">
        <f t="shared" ca="1" si="2208"/>
        <v>0</v>
      </c>
      <c r="AO2286" s="2">
        <f t="shared" ca="1" si="2209"/>
        <v>0</v>
      </c>
      <c r="AP2286" s="2">
        <f t="shared" ca="1" si="2210"/>
        <v>2249280.2073288104</v>
      </c>
      <c r="AQ2286" s="2">
        <f t="shared" ca="1" si="2211"/>
        <v>789410.89528406679</v>
      </c>
      <c r="AR2286" s="2">
        <f t="shared" ca="1" si="2212"/>
        <v>814891.2528777878</v>
      </c>
      <c r="AS2286" s="2">
        <f t="shared" ca="1" si="2213"/>
        <v>811749.54571054422</v>
      </c>
      <c r="AT2286" s="2">
        <f t="shared" ca="1" si="2214"/>
        <v>808614.89026507316</v>
      </c>
      <c r="AU2286" s="2">
        <f t="shared" ca="1" si="2215"/>
        <v>805487.27071342571</v>
      </c>
      <c r="AV2286" s="2">
        <f t="shared" ca="1" si="2216"/>
        <v>2246784.8558084974</v>
      </c>
      <c r="AW2286" s="2">
        <f t="shared" ca="1" si="2217"/>
        <v>2319305.8735752422</v>
      </c>
      <c r="AX2286" s="2">
        <f t="shared" ca="1" si="2218"/>
        <v>2310364.0916377027</v>
      </c>
      <c r="AY2286" s="2">
        <f t="shared" ca="1" si="2219"/>
        <v>2301442.3799852086</v>
      </c>
      <c r="AZ2286" s="2">
        <f t="shared" ca="1" si="2220"/>
        <v>2292540.6935689813</v>
      </c>
      <c r="BA2286" s="2">
        <f t="shared" ca="1" si="2221"/>
        <v>51676014.581588916</v>
      </c>
      <c r="BB2286" s="2">
        <f t="shared" ca="1" si="2222"/>
        <v>1033520.2916317784</v>
      </c>
      <c r="BC2286" s="2">
        <f t="shared" ca="1" si="2223"/>
        <v>25650491.986303691</v>
      </c>
      <c r="BD2286" s="2">
        <f t="shared" ca="1" si="2224"/>
        <v>-18202668.298421193</v>
      </c>
      <c r="BE2286" s="2">
        <f t="shared" ca="1" si="2225"/>
        <v>2246784.8558084974</v>
      </c>
      <c r="BF2286" s="2">
        <f t="shared" ca="1" si="2226"/>
        <v>2319305.8735752422</v>
      </c>
      <c r="BG2286" s="2">
        <f t="shared" ca="1" si="2227"/>
        <v>2310364.0916377027</v>
      </c>
      <c r="BH2286" s="2">
        <f t="shared" ca="1" si="2228"/>
        <v>2301442.3799852086</v>
      </c>
      <c r="BI2286" s="2">
        <f t="shared" ca="1" si="2229"/>
        <v>27943032.679872673</v>
      </c>
      <c r="BJ2286" s="2">
        <f t="shared" ca="1" si="2230"/>
        <v>0.18275259056361648</v>
      </c>
      <c r="BK2286" s="2">
        <f t="shared" ca="1" si="2231"/>
        <v>4615032.9884879217</v>
      </c>
    </row>
    <row r="2287" spans="1:63" x14ac:dyDescent="0.3">
      <c r="A2287" s="2">
        <v>2286</v>
      </c>
      <c r="B2287" s="2">
        <f t="shared" ca="1" si="2170"/>
        <v>0.78399620456410779</v>
      </c>
      <c r="C2287" s="2">
        <f t="shared" ca="1" si="2171"/>
        <v>7.3427271564473511</v>
      </c>
      <c r="D2287" s="2">
        <f t="shared" ca="1" si="2172"/>
        <v>0.45758651131286032</v>
      </c>
      <c r="E2287" s="2">
        <f t="shared" ca="1" si="2173"/>
        <v>7.4566467595856478</v>
      </c>
      <c r="F2287" s="2">
        <f t="shared" ca="1" si="2174"/>
        <v>0.2347230845891678</v>
      </c>
      <c r="G2287" s="2">
        <f t="shared" ca="1" si="2175"/>
        <v>1.8298586030016484E-2</v>
      </c>
      <c r="H2287" s="2">
        <f t="shared" ca="1" si="2176"/>
        <v>1.8298586030016484E-2</v>
      </c>
      <c r="I2287" s="2">
        <f t="shared" ca="1" si="2177"/>
        <v>0.78678703210605994</v>
      </c>
      <c r="J2287" s="2">
        <f t="shared" ca="1" si="2178"/>
        <v>1.3976612438149639E-2</v>
      </c>
      <c r="K2287" s="2">
        <f t="shared" ca="1" si="2179"/>
        <v>1.3976612438149639E-2</v>
      </c>
      <c r="L2287" s="2">
        <f t="shared" ca="1" si="2180"/>
        <v>0.90357483809932471</v>
      </c>
      <c r="M2287" s="2">
        <f t="shared" ca="1" si="2181"/>
        <v>2.604386548392032E-2</v>
      </c>
      <c r="N2287" s="2">
        <f t="shared" ca="1" si="2182"/>
        <v>2.604386548392032E-2</v>
      </c>
      <c r="O2287" s="2">
        <f t="shared" si="2183"/>
        <v>6000000</v>
      </c>
      <c r="P2287" s="2">
        <f t="shared" ca="1" si="2184"/>
        <v>44056362.938684106</v>
      </c>
      <c r="Q2287" s="2">
        <f t="shared" ca="1" si="2185"/>
        <v>1101409.0734671026</v>
      </c>
      <c r="R2287" s="2">
        <f t="shared" ca="1" si="2186"/>
        <v>26433817.763210464</v>
      </c>
      <c r="S2287" s="2">
        <f t="shared" ca="1" si="2187"/>
        <v>17622545.175473642</v>
      </c>
      <c r="T2287" s="2">
        <f t="shared" ca="1" si="2188"/>
        <v>51302193.274196014</v>
      </c>
      <c r="U2287" s="2">
        <f t="shared" ca="1" si="2189"/>
        <v>52240950.871352419</v>
      </c>
      <c r="V2287" s="2">
        <f t="shared" ca="1" si="2190"/>
        <v>53196886.405161723</v>
      </c>
      <c r="W2287" s="2">
        <f t="shared" ca="1" si="2191"/>
        <v>54170314.207575589</v>
      </c>
      <c r="X2287" s="2">
        <f t="shared" ca="1" si="2192"/>
        <v>55161554.36237593</v>
      </c>
      <c r="Y2287" s="2">
        <f t="shared" ca="1" si="2193"/>
        <v>0.12698830621907481</v>
      </c>
      <c r="Z2287" s="2">
        <f t="shared" ca="1" si="2194"/>
        <v>0.12978362870670473</v>
      </c>
      <c r="AA2287" s="2">
        <f t="shared" ca="1" si="2195"/>
        <v>6514778.6292137634</v>
      </c>
      <c r="AB2287" s="2">
        <f t="shared" ca="1" si="2196"/>
        <v>6780020.1711728051</v>
      </c>
      <c r="AC2287" s="2">
        <f t="shared" ca="1" si="2197"/>
        <v>6904084.9535602583</v>
      </c>
      <c r="AD2287" s="2">
        <f t="shared" ca="1" si="2198"/>
        <v>7030419.9460415225</v>
      </c>
      <c r="AE2287" s="2">
        <f t="shared" ca="1" si="2199"/>
        <v>7159066.6902513066</v>
      </c>
      <c r="AF2287" s="2">
        <f t="shared" ca="1" si="2200"/>
        <v>1026043.8654839203</v>
      </c>
      <c r="AG2287" s="2">
        <f t="shared" ca="1" si="2201"/>
        <v>1044819.0174270484</v>
      </c>
      <c r="AH2287" s="2">
        <f t="shared" ca="1" si="2202"/>
        <v>1063937.7281032344</v>
      </c>
      <c r="AI2287" s="2">
        <f t="shared" ca="1" si="2203"/>
        <v>1083406.2841515117</v>
      </c>
      <c r="AJ2287" s="2">
        <f t="shared" ca="1" si="2204"/>
        <v>1103231.0872475186</v>
      </c>
      <c r="AK2287" s="2">
        <f t="shared" ca="1" si="2205"/>
        <v>0</v>
      </c>
      <c r="AL2287" s="2">
        <f t="shared" ca="1" si="2206"/>
        <v>9387.5759715640543</v>
      </c>
      <c r="AM2287" s="2">
        <f t="shared" ca="1" si="2207"/>
        <v>9559.3553380930425</v>
      </c>
      <c r="AN2287" s="2">
        <f t="shared" ca="1" si="2208"/>
        <v>9734.278024138659</v>
      </c>
      <c r="AO2287" s="2">
        <f t="shared" ca="1" si="2209"/>
        <v>9912.401548003405</v>
      </c>
      <c r="AP2287" s="2">
        <f t="shared" ca="1" si="2210"/>
        <v>2379043.5986889419</v>
      </c>
      <c r="AQ2287" s="2">
        <f t="shared" ca="1" si="2211"/>
        <v>808519.70291063434</v>
      </c>
      <c r="AR2287" s="2">
        <f t="shared" ca="1" si="2212"/>
        <v>872600.96431477182</v>
      </c>
      <c r="AS2287" s="2">
        <f t="shared" ca="1" si="2213"/>
        <v>899886.94295970129</v>
      </c>
      <c r="AT2287" s="2">
        <f t="shared" ca="1" si="2214"/>
        <v>927672.21643227804</v>
      </c>
      <c r="AU2287" s="2">
        <f t="shared" ca="1" si="2215"/>
        <v>955965.92112185992</v>
      </c>
      <c r="AV2287" s="2">
        <f t="shared" ca="1" si="2216"/>
        <v>2301171.4621302667</v>
      </c>
      <c r="AW2287" s="2">
        <f t="shared" ca="1" si="2217"/>
        <v>2474169.0147704785</v>
      </c>
      <c r="AX2287" s="2">
        <f t="shared" ca="1" si="2218"/>
        <v>2551657.3284702874</v>
      </c>
      <c r="AY2287" s="2">
        <f t="shared" ca="1" si="2219"/>
        <v>2630563.5687446524</v>
      </c>
      <c r="AZ2287" s="2">
        <f t="shared" ca="1" si="2220"/>
        <v>2710913.6816449822</v>
      </c>
      <c r="BA2287" s="2">
        <f t="shared" ca="1" si="2221"/>
        <v>53382631.437519953</v>
      </c>
      <c r="BB2287" s="2">
        <f t="shared" ca="1" si="2222"/>
        <v>1067652.628750399</v>
      </c>
      <c r="BC2287" s="2">
        <f t="shared" ca="1" si="2223"/>
        <v>25881161.04555909</v>
      </c>
      <c r="BD2287" s="2">
        <f t="shared" ca="1" si="2224"/>
        <v>-19223954.248940744</v>
      </c>
      <c r="BE2287" s="2">
        <f t="shared" ca="1" si="2225"/>
        <v>2301171.4621302667</v>
      </c>
      <c r="BF2287" s="2">
        <f t="shared" ca="1" si="2226"/>
        <v>2474169.0147704785</v>
      </c>
      <c r="BG2287" s="2">
        <f t="shared" ca="1" si="2227"/>
        <v>2551657.3284702874</v>
      </c>
      <c r="BH2287" s="2">
        <f t="shared" ca="1" si="2228"/>
        <v>2630563.5687446524</v>
      </c>
      <c r="BI2287" s="2">
        <f t="shared" ca="1" si="2229"/>
        <v>28592074.727204073</v>
      </c>
      <c r="BJ2287" s="2">
        <f t="shared" ca="1" si="2230"/>
        <v>0.17865610988978342</v>
      </c>
      <c r="BK2287" s="2">
        <f t="shared" ca="1" si="2231"/>
        <v>4514956.5694152191</v>
      </c>
    </row>
    <row r="2288" spans="1:63" x14ac:dyDescent="0.3">
      <c r="A2288" s="2">
        <v>2287</v>
      </c>
      <c r="B2288" s="2">
        <f t="shared" ca="1" si="2170"/>
        <v>0.61786209881546439</v>
      </c>
      <c r="C2288" s="2">
        <f t="shared" ca="1" si="2171"/>
        <v>7.1257713100286226</v>
      </c>
      <c r="D2288" s="2">
        <f t="shared" ca="1" si="2172"/>
        <v>0.46662463530948539</v>
      </c>
      <c r="E2288" s="2">
        <f t="shared" ca="1" si="2173"/>
        <v>7.4660482755116178</v>
      </c>
      <c r="F2288" s="2">
        <f t="shared" ca="1" si="2174"/>
        <v>0.67312444453318432</v>
      </c>
      <c r="G2288" s="2">
        <f t="shared" ca="1" si="2175"/>
        <v>5.3456716153074277E-2</v>
      </c>
      <c r="H2288" s="2">
        <f t="shared" ca="1" si="2176"/>
        <v>5.3456716153074277E-2</v>
      </c>
      <c r="I2288" s="2">
        <f t="shared" ca="1" si="2177"/>
        <v>0.68949470346427755</v>
      </c>
      <c r="J2288" s="2">
        <f t="shared" ca="1" si="2178"/>
        <v>1.2472092912486514E-2</v>
      </c>
      <c r="K2288" s="2">
        <f t="shared" ca="1" si="2179"/>
        <v>1.2472092912486514E-2</v>
      </c>
      <c r="L2288" s="2">
        <f t="shared" ca="1" si="2180"/>
        <v>0.62278168977658122</v>
      </c>
      <c r="M2288" s="2">
        <f t="shared" ca="1" si="2181"/>
        <v>6.2558945745738214E-3</v>
      </c>
      <c r="N2288" s="2">
        <f t="shared" ca="1" si="2182"/>
        <v>6.2558945745738214E-3</v>
      </c>
      <c r="O2288" s="2">
        <f t="shared" si="2183"/>
        <v>6000000</v>
      </c>
      <c r="P2288" s="2">
        <f t="shared" ca="1" si="2184"/>
        <v>42754627.860171735</v>
      </c>
      <c r="Q2288" s="2">
        <f t="shared" ca="1" si="2185"/>
        <v>1068865.6965042935</v>
      </c>
      <c r="R2288" s="2">
        <f t="shared" ca="1" si="2186"/>
        <v>25652776.71610304</v>
      </c>
      <c r="S2288" s="2">
        <f t="shared" ca="1" si="2187"/>
        <v>17101851.144068696</v>
      </c>
      <c r="T2288" s="2">
        <f t="shared" ca="1" si="2188"/>
        <v>50312794.728728697</v>
      </c>
      <c r="U2288" s="2">
        <f t="shared" ca="1" si="2189"/>
        <v>53002351.515410244</v>
      </c>
      <c r="V2288" s="2">
        <f t="shared" ca="1" si="2190"/>
        <v>55835683.175815001</v>
      </c>
      <c r="W2288" s="2">
        <f t="shared" ca="1" si="2191"/>
        <v>58820475.442557536</v>
      </c>
      <c r="X2288" s="2">
        <f t="shared" ca="1" si="2192"/>
        <v>61964824.902279213</v>
      </c>
      <c r="Y2288" s="2">
        <f t="shared" ca="1" si="2193"/>
        <v>0.12623604645624326</v>
      </c>
      <c r="Z2288" s="2">
        <f t="shared" ca="1" si="2194"/>
        <v>0.12873046503874055</v>
      </c>
      <c r="AA2288" s="2">
        <f t="shared" ca="1" si="2195"/>
        <v>6351288.2927192263</v>
      </c>
      <c r="AB2288" s="2">
        <f t="shared" ca="1" si="2196"/>
        <v>6823017.3587255562</v>
      </c>
      <c r="AC2288" s="2">
        <f t="shared" ca="1" si="2197"/>
        <v>7187753.4609784475</v>
      </c>
      <c r="AD2288" s="2">
        <f t="shared" ca="1" si="2198"/>
        <v>7571987.1575202504</v>
      </c>
      <c r="AE2288" s="2">
        <f t="shared" ca="1" si="2199"/>
        <v>7976760.7257145345</v>
      </c>
      <c r="AF2288" s="2">
        <f t="shared" ca="1" si="2200"/>
        <v>1006255.894574574</v>
      </c>
      <c r="AG2288" s="2">
        <f t="shared" ca="1" si="2201"/>
        <v>1060047.0303082049</v>
      </c>
      <c r="AH2288" s="2">
        <f t="shared" ca="1" si="2202"/>
        <v>1116713.6635163</v>
      </c>
      <c r="AI2288" s="2">
        <f t="shared" ca="1" si="2203"/>
        <v>1176409.5088511507</v>
      </c>
      <c r="AJ2288" s="2">
        <f t="shared" ca="1" si="2204"/>
        <v>1239296.4980455842</v>
      </c>
      <c r="AK2288" s="2">
        <f t="shared" ca="1" si="2205"/>
        <v>0</v>
      </c>
      <c r="AL2288" s="2">
        <f t="shared" ca="1" si="2206"/>
        <v>26895.56786681548</v>
      </c>
      <c r="AM2288" s="2">
        <f t="shared" ca="1" si="2207"/>
        <v>28333.316604047566</v>
      </c>
      <c r="AN2288" s="2">
        <f t="shared" ca="1" si="2208"/>
        <v>29847.922667425351</v>
      </c>
      <c r="AO2288" s="2">
        <f t="shared" ca="1" si="2209"/>
        <v>31443.49459721677</v>
      </c>
      <c r="AP2288" s="2">
        <f t="shared" ca="1" si="2210"/>
        <v>2308749.9044492734</v>
      </c>
      <c r="AQ2288" s="2">
        <f t="shared" ca="1" si="2211"/>
        <v>789433.44836079853</v>
      </c>
      <c r="AR2288" s="2">
        <f t="shared" ca="1" si="2212"/>
        <v>898097.31023170031</v>
      </c>
      <c r="AS2288" s="2">
        <f t="shared" ca="1" si="2213"/>
        <v>978195.37218334735</v>
      </c>
      <c r="AT2288" s="2">
        <f t="shared" ca="1" si="2214"/>
        <v>1062575.2134971549</v>
      </c>
      <c r="AU2288" s="2">
        <f t="shared" ca="1" si="2215"/>
        <v>1151465.7240371162</v>
      </c>
      <c r="AV2288" s="2">
        <f t="shared" ca="1" si="2216"/>
        <v>2246849.0453345799</v>
      </c>
      <c r="AW2288" s="2">
        <f t="shared" ca="1" si="2217"/>
        <v>2529227.5458695623</v>
      </c>
      <c r="AX2288" s="2">
        <f t="shared" ca="1" si="2218"/>
        <v>2755761.2042254792</v>
      </c>
      <c r="AY2288" s="2">
        <f t="shared" ca="1" si="2219"/>
        <v>2994404.6080552465</v>
      </c>
      <c r="AZ2288" s="2">
        <f t="shared" ca="1" si="2220"/>
        <v>3245805.1045853435</v>
      </c>
      <c r="BA2288" s="2">
        <f t="shared" ca="1" si="2221"/>
        <v>59554880.660389803</v>
      </c>
      <c r="BB2288" s="2">
        <f t="shared" ca="1" si="2222"/>
        <v>1191097.6132077961</v>
      </c>
      <c r="BC2288" s="2">
        <f t="shared" ca="1" si="2223"/>
        <v>32711006.331078969</v>
      </c>
      <c r="BD2288" s="2">
        <f t="shared" ca="1" si="2224"/>
        <v>-18670716.84057299</v>
      </c>
      <c r="BE2288" s="2">
        <f t="shared" ca="1" si="2225"/>
        <v>2246849.0453345799</v>
      </c>
      <c r="BF2288" s="2">
        <f t="shared" ca="1" si="2226"/>
        <v>2529227.5458695623</v>
      </c>
      <c r="BG2288" s="2">
        <f t="shared" ca="1" si="2227"/>
        <v>2755761.2042254792</v>
      </c>
      <c r="BH2288" s="2">
        <f t="shared" ca="1" si="2228"/>
        <v>2994404.6080552465</v>
      </c>
      <c r="BI2288" s="2">
        <f t="shared" ca="1" si="2229"/>
        <v>35956811.435664311</v>
      </c>
      <c r="BJ2288" s="2">
        <f t="shared" ca="1" si="2230"/>
        <v>0.23616185685845514</v>
      </c>
      <c r="BK2288" s="2">
        <f t="shared" ca="1" si="2231"/>
        <v>9619038.2029179521</v>
      </c>
    </row>
    <row r="2289" spans="1:63" x14ac:dyDescent="0.3">
      <c r="A2289" s="2">
        <v>2288</v>
      </c>
      <c r="B2289" s="2">
        <f t="shared" ca="1" si="2170"/>
        <v>0.38234148081012997</v>
      </c>
      <c r="C2289" s="2">
        <f t="shared" ca="1" si="2171"/>
        <v>6.8744615266667024</v>
      </c>
      <c r="D2289" s="2">
        <f t="shared" ca="1" si="2172"/>
        <v>0.82658013904995176</v>
      </c>
      <c r="E2289" s="2">
        <f t="shared" ca="1" si="2173"/>
        <v>7.9110690007309037</v>
      </c>
      <c r="F2289" s="2">
        <f t="shared" ca="1" si="2174"/>
        <v>0.27703329790770659</v>
      </c>
      <c r="G2289" s="2">
        <f t="shared" ca="1" si="2175"/>
        <v>2.2249676330634398E-2</v>
      </c>
      <c r="H2289" s="2">
        <f t="shared" ca="1" si="2176"/>
        <v>2.2249676330634398E-2</v>
      </c>
      <c r="I2289" s="2">
        <f t="shared" ca="1" si="2177"/>
        <v>0.55970871659511301</v>
      </c>
      <c r="J2289" s="2">
        <f t="shared" ca="1" si="2178"/>
        <v>1.0751153746138747E-2</v>
      </c>
      <c r="K2289" s="2">
        <f t="shared" ca="1" si="2179"/>
        <v>1.0751153746138747E-2</v>
      </c>
      <c r="L2289" s="2">
        <f t="shared" ca="1" si="2180"/>
        <v>0.58433738655953038</v>
      </c>
      <c r="M2289" s="2">
        <f t="shared" ca="1" si="2181"/>
        <v>4.2600445083877938E-3</v>
      </c>
      <c r="N2289" s="2">
        <f t="shared" ca="1" si="2182"/>
        <v>4.2600445083877938E-3</v>
      </c>
      <c r="O2289" s="2">
        <f t="shared" si="2183"/>
        <v>6000000</v>
      </c>
      <c r="P2289" s="2">
        <f t="shared" ca="1" si="2184"/>
        <v>41246769.160000212</v>
      </c>
      <c r="Q2289" s="2">
        <f t="shared" ca="1" si="2185"/>
        <v>1031169.2290000054</v>
      </c>
      <c r="R2289" s="2">
        <f t="shared" ca="1" si="2186"/>
        <v>24748061.496000126</v>
      </c>
      <c r="S2289" s="2">
        <f t="shared" ca="1" si="2187"/>
        <v>16498707.664000086</v>
      </c>
      <c r="T2289" s="2">
        <f t="shared" ca="1" si="2188"/>
        <v>50213002.225419387</v>
      </c>
      <c r="U2289" s="2">
        <f t="shared" ca="1" si="2189"/>
        <v>51330225.272524394</v>
      </c>
      <c r="V2289" s="2">
        <f t="shared" ca="1" si="2190"/>
        <v>52472306.170816608</v>
      </c>
      <c r="W2289" s="2">
        <f t="shared" ca="1" si="2191"/>
        <v>53639797.999439225</v>
      </c>
      <c r="X2289" s="2">
        <f t="shared" ca="1" si="2192"/>
        <v>54833266.143367358</v>
      </c>
      <c r="Y2289" s="2">
        <f t="shared" ca="1" si="2193"/>
        <v>0.12537557687306938</v>
      </c>
      <c r="Z2289" s="2">
        <f t="shared" ca="1" si="2194"/>
        <v>0.12752580762229712</v>
      </c>
      <c r="AA2289" s="2">
        <f t="shared" ca="1" si="2195"/>
        <v>6295484.120540672</v>
      </c>
      <c r="AB2289" s="2">
        <f t="shared" ca="1" si="2196"/>
        <v>6545928.4333131202</v>
      </c>
      <c r="AC2289" s="2">
        <f t="shared" ca="1" si="2197"/>
        <v>6691573.2222378328</v>
      </c>
      <c r="AD2289" s="2">
        <f t="shared" ca="1" si="2198"/>
        <v>6840458.5605753642</v>
      </c>
      <c r="AE2289" s="2">
        <f t="shared" ca="1" si="2199"/>
        <v>6992656.549501284</v>
      </c>
      <c r="AF2289" s="2">
        <f t="shared" ca="1" si="2200"/>
        <v>1004260.0445083878</v>
      </c>
      <c r="AG2289" s="2">
        <f t="shared" ca="1" si="2201"/>
        <v>1026604.505450488</v>
      </c>
      <c r="AH2289" s="2">
        <f t="shared" ca="1" si="2202"/>
        <v>1049446.1234163321</v>
      </c>
      <c r="AI2289" s="2">
        <f t="shared" ca="1" si="2203"/>
        <v>1072795.9599887845</v>
      </c>
      <c r="AJ2289" s="2">
        <f t="shared" ca="1" si="2204"/>
        <v>1096665.3228673472</v>
      </c>
      <c r="AK2289" s="2">
        <f t="shared" ca="1" si="2205"/>
        <v>0</v>
      </c>
      <c r="AL2289" s="2">
        <f t="shared" ca="1" si="2206"/>
        <v>11172.230471050068</v>
      </c>
      <c r="AM2289" s="2">
        <f t="shared" ca="1" si="2207"/>
        <v>11420.808982922137</v>
      </c>
      <c r="AN2289" s="2">
        <f t="shared" ca="1" si="2208"/>
        <v>11674.918286226168</v>
      </c>
      <c r="AO2289" s="2">
        <f t="shared" ca="1" si="2209"/>
        <v>11934.68143928133</v>
      </c>
      <c r="AP2289" s="2">
        <f t="shared" ca="1" si="2210"/>
        <v>2227325.5346400114</v>
      </c>
      <c r="AQ2289" s="2">
        <f t="shared" ca="1" si="2211"/>
        <v>796613.62076199113</v>
      </c>
      <c r="AR2289" s="2">
        <f t="shared" ca="1" si="2212"/>
        <v>855919.58223788138</v>
      </c>
      <c r="AS2289" s="2">
        <f t="shared" ca="1" si="2213"/>
        <v>887848.40668718715</v>
      </c>
      <c r="AT2289" s="2">
        <f t="shared" ca="1" si="2214"/>
        <v>920487.63714610785</v>
      </c>
      <c r="AU2289" s="2">
        <f t="shared" ca="1" si="2215"/>
        <v>953853.07991842076</v>
      </c>
      <c r="AV2289" s="2">
        <f t="shared" ca="1" si="2216"/>
        <v>2267284.9206302818</v>
      </c>
      <c r="AW2289" s="2">
        <f t="shared" ca="1" si="2217"/>
        <v>2424906.5805136887</v>
      </c>
      <c r="AX2289" s="2">
        <f t="shared" ca="1" si="2218"/>
        <v>2515532.3485113801</v>
      </c>
      <c r="AY2289" s="2">
        <f t="shared" ca="1" si="2219"/>
        <v>2608174.5105142351</v>
      </c>
      <c r="AZ2289" s="2">
        <f t="shared" ca="1" si="2220"/>
        <v>2702877.9306362234</v>
      </c>
      <c r="BA2289" s="2">
        <f t="shared" ca="1" si="2221"/>
        <v>55319388.461517535</v>
      </c>
      <c r="BB2289" s="2">
        <f t="shared" ca="1" si="2222"/>
        <v>1106387.7692303506</v>
      </c>
      <c r="BC2289" s="2">
        <f t="shared" ca="1" si="2223"/>
        <v>29464939.196287058</v>
      </c>
      <c r="BD2289" s="2">
        <f t="shared" ca="1" si="2224"/>
        <v>-18029876.893000092</v>
      </c>
      <c r="BE2289" s="2">
        <f t="shared" ca="1" si="2225"/>
        <v>2267284.9206302818</v>
      </c>
      <c r="BF2289" s="2">
        <f t="shared" ca="1" si="2226"/>
        <v>2424906.5805136887</v>
      </c>
      <c r="BG2289" s="2">
        <f t="shared" ca="1" si="2227"/>
        <v>2515532.3485113801</v>
      </c>
      <c r="BH2289" s="2">
        <f t="shared" ca="1" si="2228"/>
        <v>2608174.5105142351</v>
      </c>
      <c r="BI2289" s="2">
        <f t="shared" ca="1" si="2229"/>
        <v>32167817.126923282</v>
      </c>
      <c r="BJ2289" s="2">
        <f t="shared" ca="1" si="2230"/>
        <v>0.21871681877798932</v>
      </c>
      <c r="BK2289" s="2">
        <f t="shared" ca="1" si="2231"/>
        <v>7628536.9420291632</v>
      </c>
    </row>
    <row r="2290" spans="1:63" x14ac:dyDescent="0.3">
      <c r="A2290" s="2">
        <v>2289</v>
      </c>
      <c r="B2290" s="2">
        <f t="shared" ca="1" si="2170"/>
        <v>9.9468540123907045E-3</v>
      </c>
      <c r="C2290" s="2">
        <f t="shared" ca="1" si="2171"/>
        <v>6.1410450567187</v>
      </c>
      <c r="D2290" s="2">
        <f t="shared" ca="1" si="2172"/>
        <v>0.97968131876278608</v>
      </c>
      <c r="E2290" s="2">
        <f t="shared" ca="1" si="2173"/>
        <v>8.2984128911005772</v>
      </c>
      <c r="F2290" s="2">
        <f t="shared" ca="1" si="2174"/>
        <v>0.94340467293049246</v>
      </c>
      <c r="G2290" s="2">
        <f t="shared" ca="1" si="2175"/>
        <v>8.7520404059208717E-2</v>
      </c>
      <c r="H2290" s="2">
        <f t="shared" ca="1" si="2176"/>
        <v>8.7520404059208717E-2</v>
      </c>
      <c r="I2290" s="2">
        <f t="shared" ca="1" si="2177"/>
        <v>0.79750373149209386</v>
      </c>
      <c r="J2290" s="2">
        <f t="shared" ca="1" si="2178"/>
        <v>1.4163689745095406E-2</v>
      </c>
      <c r="K2290" s="2">
        <f t="shared" ca="1" si="2179"/>
        <v>1.4163689745095406E-2</v>
      </c>
      <c r="L2290" s="2">
        <f t="shared" ca="1" si="2180"/>
        <v>9.2903353179326298E-2</v>
      </c>
      <c r="M2290" s="2">
        <f t="shared" ca="1" si="2181"/>
        <v>-2.6461724423042399E-2</v>
      </c>
      <c r="N2290" s="2">
        <f t="shared" ca="1" si="2182"/>
        <v>-2.6461724423042399E-2</v>
      </c>
      <c r="O2290" s="2">
        <f t="shared" si="2183"/>
        <v>6000000</v>
      </c>
      <c r="P2290" s="2">
        <f t="shared" ca="1" si="2184"/>
        <v>36846270.340312198</v>
      </c>
      <c r="Q2290" s="2">
        <f t="shared" ca="1" si="2185"/>
        <v>921156.75850780495</v>
      </c>
      <c r="R2290" s="2">
        <f t="shared" ca="1" si="2186"/>
        <v>22107762.204187319</v>
      </c>
      <c r="S2290" s="2">
        <f t="shared" ca="1" si="2187"/>
        <v>14738508.136124879</v>
      </c>
      <c r="T2290" s="2">
        <f t="shared" ca="1" si="2188"/>
        <v>48676913.778847881</v>
      </c>
      <c r="U2290" s="2">
        <f t="shared" ca="1" si="2189"/>
        <v>52937136.941127919</v>
      </c>
      <c r="V2290" s="2">
        <f t="shared" ca="1" si="2190"/>
        <v>57570216.5559531</v>
      </c>
      <c r="W2290" s="2">
        <f t="shared" ca="1" si="2191"/>
        <v>62608785.170706265</v>
      </c>
      <c r="X2290" s="2">
        <f t="shared" ca="1" si="2192"/>
        <v>68088331.346502677</v>
      </c>
      <c r="Y2290" s="2">
        <f t="shared" ca="1" si="2193"/>
        <v>0.1270818448725477</v>
      </c>
      <c r="Z2290" s="2">
        <f t="shared" ca="1" si="2194"/>
        <v>0.12991458282156679</v>
      </c>
      <c r="AA2290" s="2">
        <f t="shared" ca="1" si="2195"/>
        <v>6185952.0057179257</v>
      </c>
      <c r="AB2290" s="2">
        <f t="shared" ca="1" si="2196"/>
        <v>6877306.0614747861</v>
      </c>
      <c r="AC2290" s="2">
        <f t="shared" ca="1" si="2197"/>
        <v>7479210.6668139044</v>
      </c>
      <c r="AD2290" s="2">
        <f t="shared" ca="1" si="2198"/>
        <v>8133794.2064174013</v>
      </c>
      <c r="AE2290" s="2">
        <f t="shared" ca="1" si="2199"/>
        <v>8845667.1618975047</v>
      </c>
      <c r="AF2290" s="2">
        <f t="shared" ca="1" si="2200"/>
        <v>973538.27557695762</v>
      </c>
      <c r="AG2290" s="2">
        <f t="shared" ca="1" si="2201"/>
        <v>1058742.7388225584</v>
      </c>
      <c r="AH2290" s="2">
        <f t="shared" ca="1" si="2202"/>
        <v>1151404.3311190621</v>
      </c>
      <c r="AI2290" s="2">
        <f t="shared" ca="1" si="2203"/>
        <v>1252175.7034141254</v>
      </c>
      <c r="AJ2290" s="2">
        <f t="shared" ca="1" si="2204"/>
        <v>1361766.6269300536</v>
      </c>
      <c r="AK2290" s="2">
        <f t="shared" ca="1" si="2205"/>
        <v>0</v>
      </c>
      <c r="AL2290" s="2">
        <f t="shared" ca="1" si="2206"/>
        <v>42602.231622800384</v>
      </c>
      <c r="AM2290" s="2">
        <f t="shared" ca="1" si="2207"/>
        <v>46330.796148251815</v>
      </c>
      <c r="AN2290" s="2">
        <f t="shared" ca="1" si="2208"/>
        <v>50385.686147531647</v>
      </c>
      <c r="AO2290" s="2">
        <f t="shared" ca="1" si="2209"/>
        <v>54795.46175796412</v>
      </c>
      <c r="AP2290" s="2">
        <f t="shared" ca="1" si="2210"/>
        <v>1989698.5983768585</v>
      </c>
      <c r="AQ2290" s="2">
        <f t="shared" ca="1" si="2211"/>
        <v>837905.93425866857</v>
      </c>
      <c r="AR2290" s="2">
        <f t="shared" ca="1" si="2212"/>
        <v>995504.82831159618</v>
      </c>
      <c r="AS2290" s="2">
        <f t="shared" ca="1" si="2213"/>
        <v>1127908.0117026756</v>
      </c>
      <c r="AT2290" s="2">
        <f t="shared" ca="1" si="2214"/>
        <v>1271899.1752028686</v>
      </c>
      <c r="AU2290" s="2">
        <f t="shared" ca="1" si="2215"/>
        <v>1428492.5035135543</v>
      </c>
      <c r="AV2290" s="2">
        <f t="shared" ca="1" si="2216"/>
        <v>2384809.197505441</v>
      </c>
      <c r="AW2290" s="2">
        <f t="shared" ca="1" si="2217"/>
        <v>2790757.6643409734</v>
      </c>
      <c r="AX2290" s="2">
        <f t="shared" ca="1" si="2218"/>
        <v>3163868.9294670564</v>
      </c>
      <c r="AY2290" s="2">
        <f t="shared" ca="1" si="2219"/>
        <v>3569635.0432760171</v>
      </c>
      <c r="AZ2290" s="2">
        <f t="shared" ca="1" si="2220"/>
        <v>4010913.9713190743</v>
      </c>
      <c r="BA2290" s="2">
        <f t="shared" ca="1" si="2221"/>
        <v>73404998.406675309</v>
      </c>
      <c r="BB2290" s="2">
        <f t="shared" ca="1" si="2222"/>
        <v>1468099.9681335061</v>
      </c>
      <c r="BC2290" s="2">
        <f t="shared" ca="1" si="2223"/>
        <v>49829136.234354481</v>
      </c>
      <c r="BD2290" s="2">
        <f t="shared" ca="1" si="2224"/>
        <v>-16159664.894632684</v>
      </c>
      <c r="BE2290" s="2">
        <f t="shared" ca="1" si="2225"/>
        <v>2384809.197505441</v>
      </c>
      <c r="BF2290" s="2">
        <f t="shared" ca="1" si="2226"/>
        <v>2790757.6643409734</v>
      </c>
      <c r="BG2290" s="2">
        <f t="shared" ca="1" si="2227"/>
        <v>3163868.9294670564</v>
      </c>
      <c r="BH2290" s="2">
        <f t="shared" ca="1" si="2228"/>
        <v>3569635.0432760171</v>
      </c>
      <c r="BI2290" s="2">
        <f t="shared" ca="1" si="2229"/>
        <v>53840050.205673553</v>
      </c>
      <c r="BJ2290" s="2">
        <f t="shared" ca="1" si="2230"/>
        <v>0.3795712879240023</v>
      </c>
      <c r="BK2290" s="2">
        <f t="shared" ca="1" si="2231"/>
        <v>23265241.369364068</v>
      </c>
    </row>
    <row r="2291" spans="1:63" x14ac:dyDescent="0.3">
      <c r="A2291" s="2">
        <v>2290</v>
      </c>
      <c r="B2291" s="2">
        <f t="shared" ca="1" si="2170"/>
        <v>0.32987033340643535</v>
      </c>
      <c r="C2291" s="2">
        <f t="shared" ca="1" si="2171"/>
        <v>6.8122442162384846</v>
      </c>
      <c r="D2291" s="2">
        <f t="shared" ca="1" si="2172"/>
        <v>0.10923222151172551</v>
      </c>
      <c r="E2291" s="2">
        <f t="shared" ca="1" si="2173"/>
        <v>6.9674018004067282</v>
      </c>
      <c r="F2291" s="2">
        <f t="shared" ca="1" si="2174"/>
        <v>0.64394758770742022</v>
      </c>
      <c r="G2291" s="2">
        <f t="shared" ca="1" si="2175"/>
        <v>5.1070921700218146E-2</v>
      </c>
      <c r="H2291" s="2">
        <f t="shared" ca="1" si="2176"/>
        <v>5.1070921700218146E-2</v>
      </c>
      <c r="I2291" s="2">
        <f t="shared" ca="1" si="2177"/>
        <v>0.97052078922880314</v>
      </c>
      <c r="J2291" s="2">
        <f t="shared" ca="1" si="2178"/>
        <v>1.9442516267853628E-2</v>
      </c>
      <c r="K2291" s="2">
        <f t="shared" ca="1" si="2179"/>
        <v>1.9442516267853628E-2</v>
      </c>
      <c r="L2291" s="2">
        <f t="shared" ca="1" si="2180"/>
        <v>9.2223199800704925E-2</v>
      </c>
      <c r="M2291" s="2">
        <f t="shared" ca="1" si="2181"/>
        <v>-2.6543766127685022E-2</v>
      </c>
      <c r="N2291" s="2">
        <f t="shared" ca="1" si="2182"/>
        <v>-2.6543766127685022E-2</v>
      </c>
      <c r="O2291" s="2">
        <f t="shared" si="2183"/>
        <v>6000000</v>
      </c>
      <c r="P2291" s="2">
        <f t="shared" ca="1" si="2184"/>
        <v>40873465.29743091</v>
      </c>
      <c r="Q2291" s="2">
        <f t="shared" ca="1" si="2185"/>
        <v>1021836.6324357728</v>
      </c>
      <c r="R2291" s="2">
        <f t="shared" ca="1" si="2186"/>
        <v>24524079.178458545</v>
      </c>
      <c r="S2291" s="2">
        <f t="shared" ca="1" si="2187"/>
        <v>16349386.118972365</v>
      </c>
      <c r="T2291" s="2">
        <f t="shared" ca="1" si="2188"/>
        <v>48672811.693615749</v>
      </c>
      <c r="U2291" s="2">
        <f t="shared" ca="1" si="2189"/>
        <v>51158577.048549861</v>
      </c>
      <c r="V2291" s="2">
        <f t="shared" ca="1" si="2190"/>
        <v>53771292.731290922</v>
      </c>
      <c r="W2291" s="2">
        <f t="shared" ca="1" si="2191"/>
        <v>56517442.212090187</v>
      </c>
      <c r="X2291" s="2">
        <f t="shared" ca="1" si="2192"/>
        <v>59403840.078000449</v>
      </c>
      <c r="Y2291" s="2">
        <f t="shared" ca="1" si="2193"/>
        <v>0.12972125813392682</v>
      </c>
      <c r="Z2291" s="2">
        <f t="shared" ca="1" si="2194"/>
        <v>0.13360976138749753</v>
      </c>
      <c r="AA2291" s="2">
        <f t="shared" ca="1" si="2195"/>
        <v>6313898.3698115405</v>
      </c>
      <c r="AB2291" s="2">
        <f t="shared" ca="1" si="2196"/>
        <v>6835285.2723806547</v>
      </c>
      <c r="AC2291" s="2">
        <f t="shared" ca="1" si="2197"/>
        <v>7184369.5913250605</v>
      </c>
      <c r="AD2291" s="2">
        <f t="shared" ca="1" si="2198"/>
        <v>7551281.9681890504</v>
      </c>
      <c r="AE2291" s="2">
        <f t="shared" ca="1" si="2199"/>
        <v>7936932.8983227024</v>
      </c>
      <c r="AF2291" s="2">
        <f t="shared" ca="1" si="2200"/>
        <v>973456.23387231503</v>
      </c>
      <c r="AG2291" s="2">
        <f t="shared" ca="1" si="2201"/>
        <v>1023171.5409709972</v>
      </c>
      <c r="AH2291" s="2">
        <f t="shared" ca="1" si="2202"/>
        <v>1075425.8546258186</v>
      </c>
      <c r="AI2291" s="2">
        <f t="shared" ca="1" si="2203"/>
        <v>1130348.8442418037</v>
      </c>
      <c r="AJ2291" s="2">
        <f t="shared" ca="1" si="2204"/>
        <v>1188076.8015600089</v>
      </c>
      <c r="AK2291" s="2">
        <f t="shared" ca="1" si="2205"/>
        <v>0</v>
      </c>
      <c r="AL2291" s="2">
        <f t="shared" ca="1" si="2206"/>
        <v>24857.653549341114</v>
      </c>
      <c r="AM2291" s="2">
        <f t="shared" ca="1" si="2207"/>
        <v>26127.15682741061</v>
      </c>
      <c r="AN2291" s="2">
        <f t="shared" ca="1" si="2208"/>
        <v>27461.494807992654</v>
      </c>
      <c r="AO2291" s="2">
        <f t="shared" ca="1" si="2209"/>
        <v>28863.97865910262</v>
      </c>
      <c r="AP2291" s="2">
        <f t="shared" ca="1" si="2210"/>
        <v>2207167.1260612691</v>
      </c>
      <c r="AQ2291" s="2">
        <f t="shared" ca="1" si="2211"/>
        <v>814651.50256826868</v>
      </c>
      <c r="AR2291" s="2">
        <f t="shared" ca="1" si="2212"/>
        <v>937286.11739058106</v>
      </c>
      <c r="AS2291" s="2">
        <f t="shared" ca="1" si="2213"/>
        <v>1014461.9187658731</v>
      </c>
      <c r="AT2291" s="2">
        <f t="shared" ca="1" si="2214"/>
        <v>1095579.1594503543</v>
      </c>
      <c r="AU2291" s="2">
        <f t="shared" ca="1" si="2215"/>
        <v>1180839.1323823703</v>
      </c>
      <c r="AV2291" s="2">
        <f t="shared" ca="1" si="2216"/>
        <v>2318623.5073096873</v>
      </c>
      <c r="AW2291" s="2">
        <f t="shared" ca="1" si="2217"/>
        <v>2642802.8344084658</v>
      </c>
      <c r="AX2291" s="2">
        <f t="shared" ca="1" si="2218"/>
        <v>2861187.5350446897</v>
      </c>
      <c r="AY2291" s="2">
        <f t="shared" ca="1" si="2219"/>
        <v>3090725.3436276307</v>
      </c>
      <c r="AZ2291" s="2">
        <f t="shared" ca="1" si="2220"/>
        <v>3331985.8596599512</v>
      </c>
      <c r="BA2291" s="2">
        <f t="shared" ca="1" si="2221"/>
        <v>55299800.565480985</v>
      </c>
      <c r="BB2291" s="2">
        <f t="shared" ca="1" si="2222"/>
        <v>1105996.0113096198</v>
      </c>
      <c r="BC2291" s="2">
        <f t="shared" ca="1" si="2223"/>
        <v>29669725.375712819</v>
      </c>
      <c r="BD2291" s="2">
        <f t="shared" ca="1" si="2224"/>
        <v>-17871222.751408137</v>
      </c>
      <c r="BE2291" s="2">
        <f t="shared" ca="1" si="2225"/>
        <v>2318623.5073096873</v>
      </c>
      <c r="BF2291" s="2">
        <f t="shared" ca="1" si="2226"/>
        <v>2642802.8344084658</v>
      </c>
      <c r="BG2291" s="2">
        <f t="shared" ca="1" si="2227"/>
        <v>2861187.5350446897</v>
      </c>
      <c r="BH2291" s="2">
        <f t="shared" ca="1" si="2228"/>
        <v>3090725.3436276307</v>
      </c>
      <c r="BI2291" s="2">
        <f t="shared" ca="1" si="2229"/>
        <v>33001711.235372771</v>
      </c>
      <c r="BJ2291" s="2">
        <f t="shared" ca="1" si="2230"/>
        <v>0.23625053506274107</v>
      </c>
      <c r="BK2291" s="2">
        <f t="shared" ca="1" si="2231"/>
        <v>9032608.8914695419</v>
      </c>
    </row>
    <row r="2292" spans="1:63" x14ac:dyDescent="0.3">
      <c r="A2292" s="2">
        <v>2291</v>
      </c>
      <c r="B2292" s="2">
        <f t="shared" ca="1" si="2170"/>
        <v>0.83035663681135097</v>
      </c>
      <c r="C2292" s="2">
        <f t="shared" ca="1" si="2171"/>
        <v>7.4175167587154993</v>
      </c>
      <c r="D2292" s="2">
        <f t="shared" ca="1" si="2172"/>
        <v>0.22279829252486294</v>
      </c>
      <c r="E2292" s="2">
        <f t="shared" ca="1" si="2173"/>
        <v>7.1675302128366365</v>
      </c>
      <c r="F2292" s="2">
        <f t="shared" ca="1" si="2174"/>
        <v>0.75025158135778813</v>
      </c>
      <c r="G2292" s="2">
        <f t="shared" ca="1" si="2175"/>
        <v>6.0258449629638042E-2</v>
      </c>
      <c r="H2292" s="2">
        <f t="shared" ca="1" si="2176"/>
        <v>6.0258449629638042E-2</v>
      </c>
      <c r="I2292" s="2">
        <f t="shared" ca="1" si="2177"/>
        <v>0.50793712035268579</v>
      </c>
      <c r="J2292" s="2">
        <f t="shared" ca="1" si="2178"/>
        <v>1.0099483615008254E-2</v>
      </c>
      <c r="K2292" s="2">
        <f t="shared" ca="1" si="2179"/>
        <v>1.0099483615008254E-2</v>
      </c>
      <c r="L2292" s="2">
        <f t="shared" ca="1" si="2180"/>
        <v>0.19985597412825828</v>
      </c>
      <c r="M2292" s="2">
        <f t="shared" ca="1" si="2181"/>
        <v>-1.6842715861514708E-2</v>
      </c>
      <c r="N2292" s="2">
        <f t="shared" ca="1" si="2182"/>
        <v>-1.6842715861514708E-2</v>
      </c>
      <c r="O2292" s="2">
        <f t="shared" si="2183"/>
        <v>6000000</v>
      </c>
      <c r="P2292" s="2">
        <f t="shared" ca="1" si="2184"/>
        <v>44505100.552292995</v>
      </c>
      <c r="Q2292" s="2">
        <f t="shared" ca="1" si="2185"/>
        <v>1112627.5138073249</v>
      </c>
      <c r="R2292" s="2">
        <f t="shared" ca="1" si="2186"/>
        <v>26703060.331375796</v>
      </c>
      <c r="S2292" s="2">
        <f t="shared" ca="1" si="2187"/>
        <v>17802040.220917199</v>
      </c>
      <c r="T2292" s="2">
        <f t="shared" ca="1" si="2188"/>
        <v>49157864.20692426</v>
      </c>
      <c r="U2292" s="2">
        <f t="shared" ca="1" si="2189"/>
        <v>52120040.891137794</v>
      </c>
      <c r="V2292" s="2">
        <f t="shared" ca="1" si="2190"/>
        <v>55260713.749871098</v>
      </c>
      <c r="W2292" s="2">
        <f t="shared" ca="1" si="2191"/>
        <v>58590638.685865559</v>
      </c>
      <c r="X2292" s="2">
        <f t="shared" ca="1" si="2192"/>
        <v>62121219.735886112</v>
      </c>
      <c r="Y2292" s="2">
        <f t="shared" ca="1" si="2193"/>
        <v>0.12504974180750411</v>
      </c>
      <c r="Z2292" s="2">
        <f t="shared" ca="1" si="2194"/>
        <v>0.12706963853050576</v>
      </c>
      <c r="AA2292" s="2">
        <f t="shared" ca="1" si="2195"/>
        <v>6147178.2268842263</v>
      </c>
      <c r="AB2292" s="2">
        <f t="shared" ca="1" si="2196"/>
        <v>6622874.7562320586</v>
      </c>
      <c r="AC2292" s="2">
        <f t="shared" ca="1" si="2197"/>
        <v>7021958.9211338703</v>
      </c>
      <c r="AD2292" s="2">
        <f t="shared" ca="1" si="2198"/>
        <v>7445091.279084404</v>
      </c>
      <c r="AE2292" s="2">
        <f t="shared" ca="1" si="2199"/>
        <v>7893720.936913169</v>
      </c>
      <c r="AF2292" s="2">
        <f t="shared" ca="1" si="2200"/>
        <v>983157.28413848521</v>
      </c>
      <c r="AG2292" s="2">
        <f t="shared" ca="1" si="2201"/>
        <v>1042400.8178227559</v>
      </c>
      <c r="AH2292" s="2">
        <f t="shared" ca="1" si="2202"/>
        <v>1105214.274997422</v>
      </c>
      <c r="AI2292" s="2">
        <f t="shared" ca="1" si="2203"/>
        <v>1171812.7737173112</v>
      </c>
      <c r="AJ2292" s="2">
        <f t="shared" ca="1" si="2204"/>
        <v>1242424.3947177222</v>
      </c>
      <c r="AK2292" s="2">
        <f t="shared" ca="1" si="2205"/>
        <v>0</v>
      </c>
      <c r="AL2292" s="2">
        <f t="shared" ca="1" si="2206"/>
        <v>29621.766842135341</v>
      </c>
      <c r="AM2292" s="2">
        <f t="shared" ca="1" si="2207"/>
        <v>31406.72858733304</v>
      </c>
      <c r="AN2292" s="2">
        <f t="shared" ca="1" si="2208"/>
        <v>33299.24935994461</v>
      </c>
      <c r="AO2292" s="2">
        <f t="shared" ca="1" si="2209"/>
        <v>35305.810500205531</v>
      </c>
      <c r="AP2292" s="2">
        <f t="shared" ca="1" si="2210"/>
        <v>2403275.4298238214</v>
      </c>
      <c r="AQ2292" s="2">
        <f t="shared" ca="1" si="2211"/>
        <v>717793.83335969923</v>
      </c>
      <c r="AR2292" s="2">
        <f t="shared" ca="1" si="2212"/>
        <v>826071.61223222513</v>
      </c>
      <c r="AS2292" s="2">
        <f t="shared" ca="1" si="2213"/>
        <v>913501.9962412829</v>
      </c>
      <c r="AT2292" s="2">
        <f t="shared" ca="1" si="2214"/>
        <v>1006200.7996412506</v>
      </c>
      <c r="AU2292" s="2">
        <f t="shared" ca="1" si="2215"/>
        <v>1104485.4892166227</v>
      </c>
      <c r="AV2292" s="2">
        <f t="shared" ca="1" si="2216"/>
        <v>2042951.6795622203</v>
      </c>
      <c r="AW2292" s="2">
        <f t="shared" ca="1" si="2217"/>
        <v>2321505.1295111207</v>
      </c>
      <c r="AX2292" s="2">
        <f t="shared" ca="1" si="2218"/>
        <v>2568560.4914840106</v>
      </c>
      <c r="AY2292" s="2">
        <f t="shared" ca="1" si="2219"/>
        <v>2830503.0265420759</v>
      </c>
      <c r="AZ2292" s="2">
        <f t="shared" ca="1" si="2220"/>
        <v>3108229.812654797</v>
      </c>
      <c r="BA2292" s="2">
        <f t="shared" ca="1" si="2221"/>
        <v>56578483.30702626</v>
      </c>
      <c r="BB2292" s="2">
        <f t="shared" ca="1" si="2222"/>
        <v>1131569.6661405251</v>
      </c>
      <c r="BC2292" s="2">
        <f t="shared" ca="1" si="2223"/>
        <v>28743853.309509937</v>
      </c>
      <c r="BD2292" s="2">
        <f t="shared" ca="1" si="2224"/>
        <v>-19414667.734724525</v>
      </c>
      <c r="BE2292" s="2">
        <f t="shared" ca="1" si="2225"/>
        <v>2042951.6795622203</v>
      </c>
      <c r="BF2292" s="2">
        <f t="shared" ca="1" si="2226"/>
        <v>2321505.1295111207</v>
      </c>
      <c r="BG2292" s="2">
        <f t="shared" ca="1" si="2227"/>
        <v>2568560.4914840106</v>
      </c>
      <c r="BH2292" s="2">
        <f t="shared" ca="1" si="2228"/>
        <v>2830503.0265420759</v>
      </c>
      <c r="BI2292" s="2">
        <f t="shared" ca="1" si="2229"/>
        <v>31852083.122164734</v>
      </c>
      <c r="BJ2292" s="2">
        <f t="shared" ca="1" si="2230"/>
        <v>0.19328913590606955</v>
      </c>
      <c r="BK2292" s="2">
        <f t="shared" ca="1" si="2231"/>
        <v>5960899.78243085</v>
      </c>
    </row>
    <row r="2293" spans="1:63" x14ac:dyDescent="0.3">
      <c r="A2293" s="2">
        <v>2292</v>
      </c>
      <c r="B2293" s="2">
        <f t="shared" ca="1" si="2170"/>
        <v>0.48595832300039832</v>
      </c>
      <c r="C2293" s="2">
        <f t="shared" ca="1" si="2171"/>
        <v>6.985858329579254</v>
      </c>
      <c r="D2293" s="2">
        <f t="shared" ca="1" si="2172"/>
        <v>0.55180231120867729</v>
      </c>
      <c r="E2293" s="2">
        <f t="shared" ca="1" si="2173"/>
        <v>7.553218410834555</v>
      </c>
      <c r="F2293" s="2">
        <f t="shared" ca="1" si="2174"/>
        <v>0.31855468606581783</v>
      </c>
      <c r="G2293" s="2">
        <f t="shared" ca="1" si="2175"/>
        <v>2.5847673500769209E-2</v>
      </c>
      <c r="H2293" s="2">
        <f t="shared" ca="1" si="2176"/>
        <v>2.5847673500769209E-2</v>
      </c>
      <c r="I2293" s="2">
        <f t="shared" ca="1" si="2177"/>
        <v>0.65190126057784059</v>
      </c>
      <c r="J2293" s="2">
        <f t="shared" ca="1" si="2178"/>
        <v>1.1952292893063628E-2</v>
      </c>
      <c r="K2293" s="2">
        <f t="shared" ca="1" si="2179"/>
        <v>1.1952292893063628E-2</v>
      </c>
      <c r="L2293" s="2">
        <f t="shared" ca="1" si="2180"/>
        <v>0.54463354846660239</v>
      </c>
      <c r="M2293" s="2">
        <f t="shared" ca="1" si="2181"/>
        <v>2.2422828743231945E-3</v>
      </c>
      <c r="N2293" s="2">
        <f t="shared" ca="1" si="2182"/>
        <v>2.2422828743231945E-3</v>
      </c>
      <c r="O2293" s="2">
        <f t="shared" si="2183"/>
        <v>6000000</v>
      </c>
      <c r="P2293" s="2">
        <f t="shared" ca="1" si="2184"/>
        <v>41915149.977475524</v>
      </c>
      <c r="Q2293" s="2">
        <f t="shared" ca="1" si="2185"/>
        <v>1047878.7494368881</v>
      </c>
      <c r="R2293" s="2">
        <f t="shared" ca="1" si="2186"/>
        <v>25149089.986485314</v>
      </c>
      <c r="S2293" s="2">
        <f t="shared" ca="1" si="2187"/>
        <v>16766059.99099021</v>
      </c>
      <c r="T2293" s="2">
        <f t="shared" ca="1" si="2188"/>
        <v>50112114.143716156</v>
      </c>
      <c r="U2293" s="2">
        <f t="shared" ca="1" si="2189"/>
        <v>51407395.708536208</v>
      </c>
      <c r="V2293" s="2">
        <f t="shared" ca="1" si="2190"/>
        <v>52736157.288335294</v>
      </c>
      <c r="W2293" s="2">
        <f t="shared" ca="1" si="2191"/>
        <v>54099264.263609387</v>
      </c>
      <c r="X2293" s="2">
        <f t="shared" ca="1" si="2192"/>
        <v>55497604.382926986</v>
      </c>
      <c r="Y2293" s="2">
        <f t="shared" ca="1" si="2193"/>
        <v>0.12597614644653182</v>
      </c>
      <c r="Z2293" s="2">
        <f t="shared" ca="1" si="2194"/>
        <v>0.12836660502514452</v>
      </c>
      <c r="AA2293" s="2">
        <f t="shared" ca="1" si="2195"/>
        <v>6312931.030114105</v>
      </c>
      <c r="AB2293" s="2">
        <f t="shared" ca="1" si="2196"/>
        <v>6598992.8602889767</v>
      </c>
      <c r="AC2293" s="2">
        <f t="shared" ca="1" si="2197"/>
        <v>6769561.4731756328</v>
      </c>
      <c r="AD2293" s="2">
        <f t="shared" ca="1" si="2198"/>
        <v>6944538.8878776617</v>
      </c>
      <c r="AE2293" s="2">
        <f t="shared" ca="1" si="2199"/>
        <v>7124039.0616649175</v>
      </c>
      <c r="AF2293" s="2">
        <f t="shared" ca="1" si="2200"/>
        <v>1002242.2828743232</v>
      </c>
      <c r="AG2293" s="2">
        <f t="shared" ca="1" si="2201"/>
        <v>1028147.9141707242</v>
      </c>
      <c r="AH2293" s="2">
        <f t="shared" ca="1" si="2202"/>
        <v>1054723.145766706</v>
      </c>
      <c r="AI2293" s="2">
        <f t="shared" ca="1" si="2203"/>
        <v>1081985.2852721878</v>
      </c>
      <c r="AJ2293" s="2">
        <f t="shared" ca="1" si="2204"/>
        <v>1109952.0876585396</v>
      </c>
      <c r="AK2293" s="2">
        <f t="shared" ca="1" si="2205"/>
        <v>0</v>
      </c>
      <c r="AL2293" s="2">
        <f t="shared" ca="1" si="2206"/>
        <v>12952.815648200512</v>
      </c>
      <c r="AM2293" s="2">
        <f t="shared" ca="1" si="2207"/>
        <v>13287.615797990858</v>
      </c>
      <c r="AN2293" s="2">
        <f t="shared" ca="1" si="2208"/>
        <v>13631.069752740936</v>
      </c>
      <c r="AO2293" s="2">
        <f t="shared" ca="1" si="2209"/>
        <v>13983.401193175987</v>
      </c>
      <c r="AP2293" s="2">
        <f t="shared" ca="1" si="2210"/>
        <v>2263418.0987836784</v>
      </c>
      <c r="AQ2293" s="2">
        <f t="shared" ca="1" si="2211"/>
        <v>792290.36859858688</v>
      </c>
      <c r="AR2293" s="2">
        <f t="shared" ca="1" si="2212"/>
        <v>859930.98030698928</v>
      </c>
      <c r="AS2293" s="2">
        <f t="shared" ca="1" si="2213"/>
        <v>897369.25944256457</v>
      </c>
      <c r="AT2293" s="2">
        <f t="shared" ca="1" si="2214"/>
        <v>935775.23099366692</v>
      </c>
      <c r="AU2293" s="2">
        <f t="shared" ca="1" si="2215"/>
        <v>975173.90755790193</v>
      </c>
      <c r="AV2293" s="2">
        <f t="shared" ca="1" si="2216"/>
        <v>2254980.2798575163</v>
      </c>
      <c r="AW2293" s="2">
        <f t="shared" ca="1" si="2217"/>
        <v>2434543.0513793835</v>
      </c>
      <c r="AX2293" s="2">
        <f t="shared" ca="1" si="2218"/>
        <v>2540763.3533846932</v>
      </c>
      <c r="AY2293" s="2">
        <f t="shared" ca="1" si="2219"/>
        <v>2649729.2030753884</v>
      </c>
      <c r="AZ2293" s="2">
        <f t="shared" ca="1" si="2220"/>
        <v>2761511.5664716214</v>
      </c>
      <c r="BA2293" s="2">
        <f t="shared" ca="1" si="2221"/>
        <v>53809423.00007198</v>
      </c>
      <c r="BB2293" s="2">
        <f t="shared" ca="1" si="2222"/>
        <v>1076188.4600014396</v>
      </c>
      <c r="BC2293" s="2">
        <f t="shared" ca="1" si="2223"/>
        <v>27584144.553585228</v>
      </c>
      <c r="BD2293" s="2">
        <f t="shared" ca="1" si="2224"/>
        <v>-18313938.740427099</v>
      </c>
      <c r="BE2293" s="2">
        <f t="shared" ca="1" si="2225"/>
        <v>2254980.2798575163</v>
      </c>
      <c r="BF2293" s="2">
        <f t="shared" ca="1" si="2226"/>
        <v>2434543.0513793835</v>
      </c>
      <c r="BG2293" s="2">
        <f t="shared" ca="1" si="2227"/>
        <v>2540763.3533846932</v>
      </c>
      <c r="BH2293" s="2">
        <f t="shared" ca="1" si="2228"/>
        <v>2649729.2030753884</v>
      </c>
      <c r="BI2293" s="2">
        <f t="shared" ca="1" si="2229"/>
        <v>30345656.120056849</v>
      </c>
      <c r="BJ2293" s="2">
        <f t="shared" ca="1" si="2230"/>
        <v>0.20318014535867546</v>
      </c>
      <c r="BK2293" s="2">
        <f t="shared" ca="1" si="2231"/>
        <v>6351595.5423004553</v>
      </c>
    </row>
    <row r="2294" spans="1:63" x14ac:dyDescent="0.3">
      <c r="A2294" s="2">
        <v>2293</v>
      </c>
      <c r="B2294" s="2">
        <f t="shared" ca="1" si="2170"/>
        <v>0.47897745274919779</v>
      </c>
      <c r="C2294" s="2">
        <f t="shared" ca="1" si="2171"/>
        <v>6.9787517077882395</v>
      </c>
      <c r="D2294" s="2">
        <f t="shared" ca="1" si="2172"/>
        <v>0.30603759414059284</v>
      </c>
      <c r="E2294" s="2">
        <f t="shared" ca="1" si="2173"/>
        <v>7.282352342797787</v>
      </c>
      <c r="F2294" s="2">
        <f t="shared" ca="1" si="2174"/>
        <v>0.4124579999821637</v>
      </c>
      <c r="G2294" s="2">
        <f t="shared" ca="1" si="2175"/>
        <v>3.3363202055530644E-2</v>
      </c>
      <c r="H2294" s="2">
        <f t="shared" ca="1" si="2176"/>
        <v>3.3363202055530644E-2</v>
      </c>
      <c r="I2294" s="2">
        <f t="shared" ca="1" si="2177"/>
        <v>0.20819590910176289</v>
      </c>
      <c r="J2294" s="2">
        <f t="shared" ca="1" si="2178"/>
        <v>5.9365151441287348E-3</v>
      </c>
      <c r="K2294" s="2">
        <f t="shared" ca="1" si="2179"/>
        <v>5.9365151441287348E-3</v>
      </c>
      <c r="L2294" s="2">
        <f t="shared" ca="1" si="2180"/>
        <v>0.82412951675223878</v>
      </c>
      <c r="M2294" s="2">
        <f t="shared" ca="1" si="2181"/>
        <v>1.8624353896674554E-2</v>
      </c>
      <c r="N2294" s="2">
        <f t="shared" ca="1" si="2182"/>
        <v>1.8624353896674554E-2</v>
      </c>
      <c r="O2294" s="2">
        <f t="shared" si="2183"/>
        <v>6000000</v>
      </c>
      <c r="P2294" s="2">
        <f t="shared" ca="1" si="2184"/>
        <v>41872510.246729434</v>
      </c>
      <c r="Q2294" s="2">
        <f t="shared" ca="1" si="2185"/>
        <v>1046812.7561682359</v>
      </c>
      <c r="R2294" s="2">
        <f t="shared" ca="1" si="2186"/>
        <v>25123506.148037661</v>
      </c>
      <c r="S2294" s="2">
        <f t="shared" ca="1" si="2187"/>
        <v>16749004.098691775</v>
      </c>
      <c r="T2294" s="2">
        <f t="shared" ca="1" si="2188"/>
        <v>50931217.694833733</v>
      </c>
      <c r="U2294" s="2">
        <f t="shared" ca="1" si="2189"/>
        <v>52630446.201720685</v>
      </c>
      <c r="V2294" s="2">
        <f t="shared" ca="1" si="2190"/>
        <v>54386366.412621424</v>
      </c>
      <c r="W2294" s="2">
        <f t="shared" ca="1" si="2191"/>
        <v>56200869.744311832</v>
      </c>
      <c r="X2294" s="2">
        <f t="shared" ca="1" si="2192"/>
        <v>58075910.717287861</v>
      </c>
      <c r="Y2294" s="2">
        <f t="shared" ca="1" si="2193"/>
        <v>0.12296825757206437</v>
      </c>
      <c r="Z2294" s="2">
        <f t="shared" ca="1" si="2194"/>
        <v>0.12415556060089011</v>
      </c>
      <c r="AA2294" s="2">
        <f t="shared" ca="1" si="2195"/>
        <v>6262923.0959571972</v>
      </c>
      <c r="AB2294" s="2">
        <f t="shared" ca="1" si="2196"/>
        <v>6534362.5528496196</v>
      </c>
      <c r="AC2294" s="2">
        <f t="shared" ca="1" si="2197"/>
        <v>6752369.8110044338</v>
      </c>
      <c r="AD2294" s="2">
        <f t="shared" ca="1" si="2198"/>
        <v>6977650.4893626394</v>
      </c>
      <c r="AE2294" s="2">
        <f t="shared" ca="1" si="2199"/>
        <v>7210447.2525121169</v>
      </c>
      <c r="AF2294" s="2">
        <f t="shared" ca="1" si="2200"/>
        <v>1018624.3538966747</v>
      </c>
      <c r="AG2294" s="2">
        <f t="shared" ca="1" si="2201"/>
        <v>1052608.9240344136</v>
      </c>
      <c r="AH2294" s="2">
        <f t="shared" ca="1" si="2202"/>
        <v>1087727.3282524284</v>
      </c>
      <c r="AI2294" s="2">
        <f t="shared" ca="1" si="2203"/>
        <v>1124017.3948862366</v>
      </c>
      <c r="AJ2294" s="2">
        <f t="shared" ca="1" si="2204"/>
        <v>1161518.2143457572</v>
      </c>
      <c r="AK2294" s="2">
        <f t="shared" ca="1" si="2205"/>
        <v>0</v>
      </c>
      <c r="AL2294" s="2">
        <f t="shared" ca="1" si="2206"/>
        <v>16992.285068869518</v>
      </c>
      <c r="AM2294" s="2">
        <f t="shared" ca="1" si="2207"/>
        <v>17559.20210900739</v>
      </c>
      <c r="AN2294" s="2">
        <f t="shared" ca="1" si="2208"/>
        <v>18145.033316904082</v>
      </c>
      <c r="AO2294" s="2">
        <f t="shared" ca="1" si="2209"/>
        <v>18750.409729760289</v>
      </c>
      <c r="AP2294" s="2">
        <f t="shared" ca="1" si="2210"/>
        <v>2261115.5533233895</v>
      </c>
      <c r="AQ2294" s="2">
        <f t="shared" ca="1" si="2211"/>
        <v>775627.62907165464</v>
      </c>
      <c r="AR2294" s="2">
        <f t="shared" ca="1" si="2212"/>
        <v>837365.89962787228</v>
      </c>
      <c r="AS2294" s="2">
        <f t="shared" ca="1" si="2213"/>
        <v>884917.00165144017</v>
      </c>
      <c r="AT2294" s="2">
        <f t="shared" ca="1" si="2214"/>
        <v>934054.5606997835</v>
      </c>
      <c r="AU2294" s="2">
        <f t="shared" ca="1" si="2215"/>
        <v>984831.50605917233</v>
      </c>
      <c r="AV2294" s="2">
        <f t="shared" ca="1" si="2216"/>
        <v>2207555.5596654783</v>
      </c>
      <c r="AW2294" s="2">
        <f t="shared" ca="1" si="2217"/>
        <v>2366279.8907950749</v>
      </c>
      <c r="AX2294" s="2">
        <f t="shared" ca="1" si="2218"/>
        <v>2501050.7256681691</v>
      </c>
      <c r="AY2294" s="2">
        <f t="shared" ca="1" si="2219"/>
        <v>2640317.9471363262</v>
      </c>
      <c r="AZ2294" s="2">
        <f t="shared" ca="1" si="2220"/>
        <v>2784231.5690540378</v>
      </c>
      <c r="BA2294" s="2">
        <f t="shared" ca="1" si="2221"/>
        <v>52509017.441951483</v>
      </c>
      <c r="BB2294" s="2">
        <f t="shared" ca="1" si="2222"/>
        <v>1050180.3488390297</v>
      </c>
      <c r="BC2294" s="2">
        <f t="shared" ca="1" si="2223"/>
        <v>26335330.945074793</v>
      </c>
      <c r="BD2294" s="2">
        <f t="shared" ca="1" si="2224"/>
        <v>-18295816.854860011</v>
      </c>
      <c r="BE2294" s="2">
        <f t="shared" ca="1" si="2225"/>
        <v>2207555.5596654783</v>
      </c>
      <c r="BF2294" s="2">
        <f t="shared" ca="1" si="2226"/>
        <v>2366279.8907950749</v>
      </c>
      <c r="BG2294" s="2">
        <f t="shared" ca="1" si="2227"/>
        <v>2501050.7256681691</v>
      </c>
      <c r="BH2294" s="2">
        <f t="shared" ca="1" si="2228"/>
        <v>2640317.9471363262</v>
      </c>
      <c r="BI2294" s="2">
        <f t="shared" ca="1" si="2229"/>
        <v>29119562.51412883</v>
      </c>
      <c r="BJ2294" s="2">
        <f t="shared" ca="1" si="2230"/>
        <v>0.19369283733247022</v>
      </c>
      <c r="BK2294" s="2">
        <f t="shared" ca="1" si="2231"/>
        <v>5542988.8271004111</v>
      </c>
    </row>
    <row r="2295" spans="1:63" x14ac:dyDescent="0.3">
      <c r="A2295" s="2">
        <v>2294</v>
      </c>
      <c r="B2295" s="2">
        <f t="shared" ca="1" si="2170"/>
        <v>0.86903729739088786</v>
      </c>
      <c r="C2295" s="2">
        <f t="shared" ca="1" si="2171"/>
        <v>7.4882135159871606</v>
      </c>
      <c r="D2295" s="2">
        <f t="shared" ca="1" si="2172"/>
        <v>0.86341002318597726</v>
      </c>
      <c r="E2295" s="2">
        <f t="shared" ca="1" si="2173"/>
        <v>7.9773338028645382</v>
      </c>
      <c r="F2295" s="2">
        <f t="shared" ca="1" si="2174"/>
        <v>0.47275826593180947</v>
      </c>
      <c r="G2295" s="2">
        <f t="shared" ca="1" si="2175"/>
        <v>3.7949858367030936E-2</v>
      </c>
      <c r="H2295" s="2">
        <f t="shared" ca="1" si="2176"/>
        <v>3.7949858367030936E-2</v>
      </c>
      <c r="I2295" s="2">
        <f t="shared" ca="1" si="2177"/>
        <v>0.66521608488343331</v>
      </c>
      <c r="J2295" s="2">
        <f t="shared" ca="1" si="2178"/>
        <v>1.2133706056251414E-2</v>
      </c>
      <c r="K2295" s="2">
        <f t="shared" ca="1" si="2179"/>
        <v>1.2133706056251414E-2</v>
      </c>
      <c r="L2295" s="2">
        <f t="shared" ca="1" si="2180"/>
        <v>0.19605336411772545</v>
      </c>
      <c r="M2295" s="2">
        <f t="shared" ca="1" si="2181"/>
        <v>-1.7116060987672314E-2</v>
      </c>
      <c r="N2295" s="2">
        <f t="shared" ca="1" si="2182"/>
        <v>-1.7116060987672314E-2</v>
      </c>
      <c r="O2295" s="2">
        <f t="shared" si="2183"/>
        <v>6000000</v>
      </c>
      <c r="P2295" s="2">
        <f t="shared" ca="1" si="2184"/>
        <v>44929281.095922962</v>
      </c>
      <c r="Q2295" s="2">
        <f t="shared" ca="1" si="2185"/>
        <v>1123232.027398074</v>
      </c>
      <c r="R2295" s="2">
        <f t="shared" ca="1" si="2186"/>
        <v>26957568.657553777</v>
      </c>
      <c r="S2295" s="2">
        <f t="shared" ca="1" si="2187"/>
        <v>17971712.438369185</v>
      </c>
      <c r="T2295" s="2">
        <f t="shared" ca="1" si="2188"/>
        <v>49144196.95061639</v>
      </c>
      <c r="U2295" s="2">
        <f t="shared" ca="1" si="2189"/>
        <v>51009212.264453761</v>
      </c>
      <c r="V2295" s="2">
        <f t="shared" ca="1" si="2190"/>
        <v>52945004.6453036</v>
      </c>
      <c r="W2295" s="2">
        <f t="shared" ca="1" si="2191"/>
        <v>54954260.072834671</v>
      </c>
      <c r="X2295" s="2">
        <f t="shared" ca="1" si="2192"/>
        <v>57039766.459263735</v>
      </c>
      <c r="Y2295" s="2">
        <f t="shared" ca="1" si="2193"/>
        <v>0.1260668530281257</v>
      </c>
      <c r="Z2295" s="2">
        <f t="shared" ca="1" si="2194"/>
        <v>0.12849359423937598</v>
      </c>
      <c r="AA2295" s="2">
        <f t="shared" ca="1" si="2195"/>
        <v>6195454.2541586198</v>
      </c>
      <c r="AB2295" s="2">
        <f t="shared" ca="1" si="2196"/>
        <v>6554357.023178922</v>
      </c>
      <c r="AC2295" s="2">
        <f t="shared" ca="1" si="2197"/>
        <v>6803093.9438955169</v>
      </c>
      <c r="AD2295" s="2">
        <f t="shared" ca="1" si="2198"/>
        <v>7061270.3955239588</v>
      </c>
      <c r="AE2295" s="2">
        <f t="shared" ca="1" si="2199"/>
        <v>7329244.6069254018</v>
      </c>
      <c r="AF2295" s="2">
        <f t="shared" ca="1" si="2200"/>
        <v>982883.93901232781</v>
      </c>
      <c r="AG2295" s="2">
        <f t="shared" ca="1" si="2201"/>
        <v>1020184.2452890753</v>
      </c>
      <c r="AH2295" s="2">
        <f t="shared" ca="1" si="2202"/>
        <v>1058900.092906072</v>
      </c>
      <c r="AI2295" s="2">
        <f t="shared" ca="1" si="2203"/>
        <v>1099085.2014566935</v>
      </c>
      <c r="AJ2295" s="2">
        <f t="shared" ca="1" si="2204"/>
        <v>1140795.3291852747</v>
      </c>
      <c r="AK2295" s="2">
        <f t="shared" ca="1" si="2205"/>
        <v>0</v>
      </c>
      <c r="AL2295" s="2">
        <f t="shared" ca="1" si="2206"/>
        <v>18650.153138373717</v>
      </c>
      <c r="AM2295" s="2">
        <f t="shared" ca="1" si="2207"/>
        <v>19357.923808498384</v>
      </c>
      <c r="AN2295" s="2">
        <f t="shared" ca="1" si="2208"/>
        <v>20092.554275310711</v>
      </c>
      <c r="AO2295" s="2">
        <f t="shared" ca="1" si="2209"/>
        <v>20855.063864290642</v>
      </c>
      <c r="AP2295" s="2">
        <f t="shared" ca="1" si="2210"/>
        <v>2426181.1791798398</v>
      </c>
      <c r="AQ2295" s="2">
        <f t="shared" ca="1" si="2211"/>
        <v>724461.17535127746</v>
      </c>
      <c r="AR2295" s="2">
        <f t="shared" ca="1" si="2212"/>
        <v>808077.81566460186</v>
      </c>
      <c r="AS2295" s="2">
        <f t="shared" ca="1" si="2213"/>
        <v>862683.29467049742</v>
      </c>
      <c r="AT2295" s="2">
        <f t="shared" ca="1" si="2214"/>
        <v>919361.04387073079</v>
      </c>
      <c r="AU2295" s="2">
        <f t="shared" ca="1" si="2215"/>
        <v>978189.7056256748</v>
      </c>
      <c r="AV2295" s="2">
        <f t="shared" ca="1" si="2216"/>
        <v>2061927.9606151748</v>
      </c>
      <c r="AW2295" s="2">
        <f t="shared" ca="1" si="2217"/>
        <v>2281263.6299070315</v>
      </c>
      <c r="AX2295" s="2">
        <f t="shared" ca="1" si="2218"/>
        <v>2435971.4533306099</v>
      </c>
      <c r="AY2295" s="2">
        <f t="shared" ca="1" si="2219"/>
        <v>2596550.4167413842</v>
      </c>
      <c r="AZ2295" s="2">
        <f t="shared" ca="1" si="2220"/>
        <v>2763223.3290703222</v>
      </c>
      <c r="BA2295" s="2">
        <f t="shared" ca="1" si="2221"/>
        <v>58467830.752288625</v>
      </c>
      <c r="BB2295" s="2">
        <f t="shared" ca="1" si="2222"/>
        <v>1169356.6150457726</v>
      </c>
      <c r="BC2295" s="2">
        <f t="shared" ca="1" si="2223"/>
        <v>30340905.479689077</v>
      </c>
      <c r="BD2295" s="2">
        <f t="shared" ca="1" si="2224"/>
        <v>-19594944.465767257</v>
      </c>
      <c r="BE2295" s="2">
        <f t="shared" ca="1" si="2225"/>
        <v>2061927.9606151748</v>
      </c>
      <c r="BF2295" s="2">
        <f t="shared" ca="1" si="2226"/>
        <v>2281263.6299070315</v>
      </c>
      <c r="BG2295" s="2">
        <f t="shared" ca="1" si="2227"/>
        <v>2435971.4533306099</v>
      </c>
      <c r="BH2295" s="2">
        <f t="shared" ca="1" si="2228"/>
        <v>2596550.4167413842</v>
      </c>
      <c r="BI2295" s="2">
        <f t="shared" ca="1" si="2229"/>
        <v>33104128.808759399</v>
      </c>
      <c r="BJ2295" s="2">
        <f t="shared" ca="1" si="2230"/>
        <v>0.1951925290935641</v>
      </c>
      <c r="BK2295" s="2">
        <f t="shared" ca="1" si="2231"/>
        <v>6232874.858071208</v>
      </c>
    </row>
    <row r="2296" spans="1:63" x14ac:dyDescent="0.3">
      <c r="A2296" s="2">
        <v>2295</v>
      </c>
      <c r="B2296" s="2">
        <f t="shared" ca="1" si="2170"/>
        <v>0.41512965226386878</v>
      </c>
      <c r="C2296" s="2">
        <f t="shared" ca="1" si="2171"/>
        <v>6.9111856586490692</v>
      </c>
      <c r="D2296" s="2">
        <f t="shared" ca="1" si="2172"/>
        <v>0.77469684725449883</v>
      </c>
      <c r="E2296" s="2">
        <f t="shared" ca="1" si="2173"/>
        <v>7.8287278454374842</v>
      </c>
      <c r="F2296" s="2">
        <f t="shared" ca="1" si="2174"/>
        <v>0.39409176860747053</v>
      </c>
      <c r="G2296" s="2">
        <f t="shared" ca="1" si="2175"/>
        <v>3.1939896004253981E-2</v>
      </c>
      <c r="H2296" s="2">
        <f t="shared" ca="1" si="2176"/>
        <v>3.1939896004253981E-2</v>
      </c>
      <c r="I2296" s="2">
        <f t="shared" ca="1" si="2177"/>
        <v>0.43561023652000097</v>
      </c>
      <c r="J2296" s="2">
        <f t="shared" ca="1" si="2178"/>
        <v>9.1894578831062303E-3</v>
      </c>
      <c r="K2296" s="2">
        <f t="shared" ca="1" si="2179"/>
        <v>9.1894578831062303E-3</v>
      </c>
      <c r="L2296" s="2">
        <f t="shared" ca="1" si="2180"/>
        <v>0.29607353595359154</v>
      </c>
      <c r="M2296" s="2">
        <f t="shared" ca="1" si="2181"/>
        <v>-1.0714544877371626E-2</v>
      </c>
      <c r="N2296" s="2">
        <f t="shared" ca="1" si="2182"/>
        <v>-1.0714544877371626E-2</v>
      </c>
      <c r="O2296" s="2">
        <f t="shared" si="2183"/>
        <v>6000000</v>
      </c>
      <c r="P2296" s="2">
        <f t="shared" ca="1" si="2184"/>
        <v>41467113.951894417</v>
      </c>
      <c r="Q2296" s="2">
        <f t="shared" ca="1" si="2185"/>
        <v>1036677.8487973604</v>
      </c>
      <c r="R2296" s="2">
        <f t="shared" ca="1" si="2186"/>
        <v>24880268.37113665</v>
      </c>
      <c r="S2296" s="2">
        <f t="shared" ca="1" si="2187"/>
        <v>16586845.580757767</v>
      </c>
      <c r="T2296" s="2">
        <f t="shared" ca="1" si="2188"/>
        <v>49464272.756131418</v>
      </c>
      <c r="U2296" s="2">
        <f t="shared" ca="1" si="2189"/>
        <v>51044156.483888313</v>
      </c>
      <c r="V2296" s="2">
        <f t="shared" ca="1" si="2190"/>
        <v>52674501.533608578</v>
      </c>
      <c r="W2296" s="2">
        <f t="shared" ca="1" si="2191"/>
        <v>54356919.634667955</v>
      </c>
      <c r="X2296" s="2">
        <f t="shared" ca="1" si="2192"/>
        <v>56093073.994910844</v>
      </c>
      <c r="Y2296" s="2">
        <f t="shared" ca="1" si="2193"/>
        <v>0.12459472894155312</v>
      </c>
      <c r="Z2296" s="2">
        <f t="shared" ca="1" si="2194"/>
        <v>0.12643262051817436</v>
      </c>
      <c r="AA2296" s="2">
        <f t="shared" ca="1" si="2195"/>
        <v>6162987.6563412445</v>
      </c>
      <c r="AB2296" s="2">
        <f t="shared" ca="1" si="2196"/>
        <v>6453646.4663977604</v>
      </c>
      <c r="AC2296" s="2">
        <f t="shared" ca="1" si="2197"/>
        <v>6659775.2633827263</v>
      </c>
      <c r="AD2296" s="2">
        <f t="shared" ca="1" si="2198"/>
        <v>6872487.7927068742</v>
      </c>
      <c r="AE2296" s="2">
        <f t="shared" ca="1" si="2199"/>
        <v>7091994.338096437</v>
      </c>
      <c r="AF2296" s="2">
        <f t="shared" ca="1" si="2200"/>
        <v>989285.45512262837</v>
      </c>
      <c r="AG2296" s="2">
        <f t="shared" ca="1" si="2201"/>
        <v>1020883.1296777662</v>
      </c>
      <c r="AH2296" s="2">
        <f t="shared" ca="1" si="2202"/>
        <v>1053490.0306721716</v>
      </c>
      <c r="AI2296" s="2">
        <f t="shared" ca="1" si="2203"/>
        <v>1087138.3926933592</v>
      </c>
      <c r="AJ2296" s="2">
        <f t="shared" ca="1" si="2204"/>
        <v>1121861.4798982169</v>
      </c>
      <c r="AK2296" s="2">
        <f t="shared" ca="1" si="2205"/>
        <v>0</v>
      </c>
      <c r="AL2296" s="2">
        <f t="shared" ca="1" si="2206"/>
        <v>15798.837277568951</v>
      </c>
      <c r="AM2296" s="2">
        <f t="shared" ca="1" si="2207"/>
        <v>16303.45049720265</v>
      </c>
      <c r="AN2296" s="2">
        <f t="shared" ca="1" si="2208"/>
        <v>16824.181010593773</v>
      </c>
      <c r="AO2296" s="2">
        <f t="shared" ca="1" si="2209"/>
        <v>17361.543602428883</v>
      </c>
      <c r="AP2296" s="2">
        <f t="shared" ca="1" si="2210"/>
        <v>2239224.1534022987</v>
      </c>
      <c r="AQ2296" s="2">
        <f t="shared" ca="1" si="2211"/>
        <v>762964.29243224254</v>
      </c>
      <c r="AR2296" s="2">
        <f t="shared" ca="1" si="2212"/>
        <v>830320.18766260089</v>
      </c>
      <c r="AS2296" s="2">
        <f t="shared" ca="1" si="2213"/>
        <v>875435.88062014675</v>
      </c>
      <c r="AT2296" s="2">
        <f t="shared" ca="1" si="2214"/>
        <v>921992.56411891617</v>
      </c>
      <c r="AU2296" s="2">
        <f t="shared" ca="1" si="2215"/>
        <v>970036.26324693952</v>
      </c>
      <c r="AV2296" s="2">
        <f t="shared" ca="1" si="2216"/>
        <v>2171513.7553840745</v>
      </c>
      <c r="AW2296" s="2">
        <f t="shared" ca="1" si="2217"/>
        <v>2347420.1583775263</v>
      </c>
      <c r="AX2296" s="2">
        <f t="shared" ca="1" si="2218"/>
        <v>2475321.7481909068</v>
      </c>
      <c r="AY2296" s="2">
        <f t="shared" ca="1" si="2219"/>
        <v>2607308.5014817063</v>
      </c>
      <c r="AZ2296" s="2">
        <f t="shared" ca="1" si="2220"/>
        <v>2743510.8979465524</v>
      </c>
      <c r="BA2296" s="2">
        <f t="shared" ca="1" si="2221"/>
        <v>55521293.554340556</v>
      </c>
      <c r="BB2296" s="2">
        <f t="shared" ca="1" si="2222"/>
        <v>1110425.8710868112</v>
      </c>
      <c r="BC2296" s="2">
        <f t="shared" ca="1" si="2223"/>
        <v>29530599.312117096</v>
      </c>
      <c r="BD2296" s="2">
        <f t="shared" ca="1" si="2224"/>
        <v>-18123523.429555126</v>
      </c>
      <c r="BE2296" s="2">
        <f t="shared" ca="1" si="2225"/>
        <v>2171513.7553840745</v>
      </c>
      <c r="BF2296" s="2">
        <f t="shared" ca="1" si="2226"/>
        <v>2347420.1583775263</v>
      </c>
      <c r="BG2296" s="2">
        <f t="shared" ca="1" si="2227"/>
        <v>2475321.7481909068</v>
      </c>
      <c r="BH2296" s="2">
        <f t="shared" ca="1" si="2228"/>
        <v>2607308.5014817063</v>
      </c>
      <c r="BI2296" s="2">
        <f t="shared" ca="1" si="2229"/>
        <v>32274110.210063647</v>
      </c>
      <c r="BJ2296" s="2">
        <f t="shared" ca="1" si="2230"/>
        <v>0.21531716530616718</v>
      </c>
      <c r="BK2296" s="2">
        <f t="shared" ca="1" si="2231"/>
        <v>7418750.8096779287</v>
      </c>
    </row>
    <row r="2297" spans="1:63" x14ac:dyDescent="0.3">
      <c r="A2297" s="2">
        <v>2296</v>
      </c>
      <c r="B2297" s="2">
        <f t="shared" ca="1" si="2170"/>
        <v>0.98702858352832767</v>
      </c>
      <c r="C2297" s="2">
        <f t="shared" ca="1" si="2171"/>
        <v>7.8389322100997703</v>
      </c>
      <c r="D2297" s="2">
        <f t="shared" ca="1" si="2172"/>
        <v>0.48662106838271912</v>
      </c>
      <c r="E2297" s="2">
        <f t="shared" ca="1" si="2173"/>
        <v>7.4865303526833014</v>
      </c>
      <c r="F2297" s="2">
        <f t="shared" ca="1" si="2174"/>
        <v>0.9303011214945377</v>
      </c>
      <c r="G2297" s="2">
        <f t="shared" ca="1" si="2175"/>
        <v>8.4341123230779302E-2</v>
      </c>
      <c r="H2297" s="2">
        <f t="shared" ca="1" si="2176"/>
        <v>8.4341123230779302E-2</v>
      </c>
      <c r="I2297" s="2">
        <f t="shared" ca="1" si="2177"/>
        <v>0.29630357225007276</v>
      </c>
      <c r="J2297" s="2">
        <f t="shared" ca="1" si="2178"/>
        <v>7.3246911497386307E-3</v>
      </c>
      <c r="K2297" s="2">
        <f t="shared" ca="1" si="2179"/>
        <v>7.3246911497386307E-3</v>
      </c>
      <c r="L2297" s="2">
        <f t="shared" ca="1" si="2180"/>
        <v>0.80896758336057062</v>
      </c>
      <c r="M2297" s="2">
        <f t="shared" ca="1" si="2181"/>
        <v>1.7481961957783732E-2</v>
      </c>
      <c r="N2297" s="2">
        <f t="shared" ca="1" si="2182"/>
        <v>1.7481961957783732E-2</v>
      </c>
      <c r="O2297" s="2">
        <f t="shared" si="2183"/>
        <v>6000000</v>
      </c>
      <c r="P2297" s="2">
        <f t="shared" ca="1" si="2184"/>
        <v>47033593.260598622</v>
      </c>
      <c r="Q2297" s="2">
        <f t="shared" ca="1" si="2185"/>
        <v>1175839.8315149655</v>
      </c>
      <c r="R2297" s="2">
        <f t="shared" ca="1" si="2186"/>
        <v>28220155.956359174</v>
      </c>
      <c r="S2297" s="2">
        <f t="shared" ca="1" si="2187"/>
        <v>18813437.304239448</v>
      </c>
      <c r="T2297" s="2">
        <f t="shared" ca="1" si="2188"/>
        <v>50874098.097889185</v>
      </c>
      <c r="U2297" s="2">
        <f t="shared" ca="1" si="2189"/>
        <v>55164876.674818017</v>
      </c>
      <c r="V2297" s="2">
        <f t="shared" ca="1" si="2190"/>
        <v>59817544.336459592</v>
      </c>
      <c r="W2297" s="2">
        <f t="shared" ca="1" si="2191"/>
        <v>64862623.214703538</v>
      </c>
      <c r="X2297" s="2">
        <f t="shared" ca="1" si="2192"/>
        <v>70333209.712326452</v>
      </c>
      <c r="Y2297" s="2">
        <f t="shared" ca="1" si="2193"/>
        <v>0.12366234557486931</v>
      </c>
      <c r="Z2297" s="2">
        <f t="shared" ca="1" si="2194"/>
        <v>0.12512728380481702</v>
      </c>
      <c r="AA2297" s="2">
        <f t="shared" ca="1" si="2195"/>
        <v>6291210.2997909738</v>
      </c>
      <c r="AB2297" s="2">
        <f t="shared" ca="1" si="2196"/>
        <v>6902631.1797476849</v>
      </c>
      <c r="AC2297" s="2">
        <f t="shared" ca="1" si="2197"/>
        <v>7484806.8466954045</v>
      </c>
      <c r="AD2297" s="2">
        <f t="shared" ca="1" si="2198"/>
        <v>8116083.8633111231</v>
      </c>
      <c r="AE2297" s="2">
        <f t="shared" ca="1" si="2199"/>
        <v>8800603.4925779849</v>
      </c>
      <c r="AF2297" s="2">
        <f t="shared" ca="1" si="2200"/>
        <v>1017481.9619577837</v>
      </c>
      <c r="AG2297" s="2">
        <f t="shared" ca="1" si="2201"/>
        <v>1103297.5334963603</v>
      </c>
      <c r="AH2297" s="2">
        <f t="shared" ca="1" si="2202"/>
        <v>1196350.8867291918</v>
      </c>
      <c r="AI2297" s="2">
        <f t="shared" ca="1" si="2203"/>
        <v>1297252.4642940708</v>
      </c>
      <c r="AJ2297" s="2">
        <f t="shared" ca="1" si="2204"/>
        <v>1406664.1942465291</v>
      </c>
      <c r="AK2297" s="2">
        <f t="shared" ca="1" si="2205"/>
        <v>0</v>
      </c>
      <c r="AL2297" s="2">
        <f t="shared" ca="1" si="2206"/>
        <v>42907.785769288319</v>
      </c>
      <c r="AM2297" s="2">
        <f t="shared" ca="1" si="2207"/>
        <v>46526.676616415753</v>
      </c>
      <c r="AN2297" s="2">
        <f t="shared" ca="1" si="2208"/>
        <v>50450.788782439457</v>
      </c>
      <c r="AO2297" s="2">
        <f t="shared" ca="1" si="2209"/>
        <v>54705.864976229146</v>
      </c>
      <c r="AP2297" s="2">
        <f t="shared" ca="1" si="2210"/>
        <v>2539814.0360723254</v>
      </c>
      <c r="AQ2297" s="2">
        <f t="shared" ca="1" si="2211"/>
        <v>710817.7184578249</v>
      </c>
      <c r="AR2297" s="2">
        <f t="shared" ca="1" si="2212"/>
        <v>847475.09864653985</v>
      </c>
      <c r="AS2297" s="2">
        <f t="shared" ca="1" si="2213"/>
        <v>974646.90021241072</v>
      </c>
      <c r="AT2297" s="2">
        <f t="shared" ca="1" si="2214"/>
        <v>1112544.5143656293</v>
      </c>
      <c r="AU2297" s="2">
        <f t="shared" ca="1" si="2215"/>
        <v>1262072.5681873742</v>
      </c>
      <c r="AV2297" s="2">
        <f t="shared" ca="1" si="2216"/>
        <v>2023096.5833030404</v>
      </c>
      <c r="AW2297" s="2">
        <f t="shared" ca="1" si="2217"/>
        <v>2369136.7257631705</v>
      </c>
      <c r="AX2297" s="2">
        <f t="shared" ca="1" si="2218"/>
        <v>2727468.3470650609</v>
      </c>
      <c r="AY2297" s="2">
        <f t="shared" ca="1" si="2219"/>
        <v>3116022.0597966588</v>
      </c>
      <c r="AZ2297" s="2">
        <f t="shared" ca="1" si="2220"/>
        <v>3537346.8290955271</v>
      </c>
      <c r="BA2297" s="2">
        <f t="shared" ca="1" si="2221"/>
        <v>65885985.169115752</v>
      </c>
      <c r="BB2297" s="2">
        <f t="shared" ca="1" si="2222"/>
        <v>1317719.7033823151</v>
      </c>
      <c r="BC2297" s="2">
        <f t="shared" ca="1" si="2223"/>
        <v>36348109.509374261</v>
      </c>
      <c r="BD2297" s="2">
        <f t="shared" ca="1" si="2224"/>
        <v>-20489277.135754414</v>
      </c>
      <c r="BE2297" s="2">
        <f t="shared" ca="1" si="2225"/>
        <v>2023096.5833030404</v>
      </c>
      <c r="BF2297" s="2">
        <f t="shared" ca="1" si="2226"/>
        <v>2369136.7257631705</v>
      </c>
      <c r="BG2297" s="2">
        <f t="shared" ca="1" si="2227"/>
        <v>2727468.3470650609</v>
      </c>
      <c r="BH2297" s="2">
        <f t="shared" ca="1" si="2228"/>
        <v>3116022.0597966588</v>
      </c>
      <c r="BI2297" s="2">
        <f t="shared" ca="1" si="2229"/>
        <v>39885456.338469788</v>
      </c>
      <c r="BJ2297" s="2">
        <f t="shared" ca="1" si="2230"/>
        <v>0.22594903628780849</v>
      </c>
      <c r="BK2297" s="2">
        <f t="shared" ca="1" si="2231"/>
        <v>9759445.9189228788</v>
      </c>
    </row>
    <row r="2298" spans="1:63" x14ac:dyDescent="0.3">
      <c r="A2298" s="2">
        <v>2297</v>
      </c>
      <c r="B2298" s="2">
        <f t="shared" ca="1" si="2170"/>
        <v>0.63456151642804481</v>
      </c>
      <c r="C2298" s="2">
        <f t="shared" ca="1" si="2171"/>
        <v>7.1450865733046935</v>
      </c>
      <c r="D2298" s="2">
        <f t="shared" ca="1" si="2172"/>
        <v>0.23722857478052617</v>
      </c>
      <c r="E2298" s="2">
        <f t="shared" ca="1" si="2173"/>
        <v>7.1888084999192827</v>
      </c>
      <c r="F2298" s="2">
        <f t="shared" ca="1" si="2174"/>
        <v>0.28859880793673276</v>
      </c>
      <c r="G2298" s="2">
        <f t="shared" ca="1" si="2175"/>
        <v>2.3275516367259112E-2</v>
      </c>
      <c r="H2298" s="2">
        <f t="shared" ca="1" si="2176"/>
        <v>2.3275516367259112E-2</v>
      </c>
      <c r="I2298" s="2">
        <f t="shared" ca="1" si="2177"/>
        <v>0.51758654564916728</v>
      </c>
      <c r="J2298" s="2">
        <f t="shared" ca="1" si="2178"/>
        <v>1.0220486100300217E-2</v>
      </c>
      <c r="K2298" s="2">
        <f t="shared" ca="1" si="2179"/>
        <v>1.0220486100300217E-2</v>
      </c>
      <c r="L2298" s="2">
        <f t="shared" ca="1" si="2180"/>
        <v>0.1997903915684528</v>
      </c>
      <c r="M2298" s="2">
        <f t="shared" ca="1" si="2181"/>
        <v>-1.6847403459882167E-2</v>
      </c>
      <c r="N2298" s="2">
        <f t="shared" ca="1" si="2182"/>
        <v>-1.6847403459882167E-2</v>
      </c>
      <c r="O2298" s="2">
        <f t="shared" si="2183"/>
        <v>6000000</v>
      </c>
      <c r="P2298" s="2">
        <f t="shared" ca="1" si="2184"/>
        <v>42870519.439828165</v>
      </c>
      <c r="Q2298" s="2">
        <f t="shared" ca="1" si="2185"/>
        <v>1071762.9859957041</v>
      </c>
      <c r="R2298" s="2">
        <f t="shared" ca="1" si="2186"/>
        <v>25722311.6638969</v>
      </c>
      <c r="S2298" s="2">
        <f t="shared" ca="1" si="2187"/>
        <v>17148207.775931265</v>
      </c>
      <c r="T2298" s="2">
        <f t="shared" ca="1" si="2188"/>
        <v>49157629.827005893</v>
      </c>
      <c r="U2298" s="2">
        <f t="shared" ca="1" si="2189"/>
        <v>50301799.04462003</v>
      </c>
      <c r="V2298" s="2">
        <f t="shared" ca="1" si="2190"/>
        <v>51472599.391585663</v>
      </c>
      <c r="W2298" s="2">
        <f t="shared" ca="1" si="2191"/>
        <v>52670650.721189886</v>
      </c>
      <c r="X2298" s="2">
        <f t="shared" ca="1" si="2192"/>
        <v>53896587.314125128</v>
      </c>
      <c r="Y2298" s="2">
        <f t="shared" ca="1" si="2193"/>
        <v>0.12511024305015012</v>
      </c>
      <c r="Z2298" s="2">
        <f t="shared" ca="1" si="2194"/>
        <v>0.12715434027021014</v>
      </c>
      <c r="AA2298" s="2">
        <f t="shared" ca="1" si="2195"/>
        <v>6150123.0154260164</v>
      </c>
      <c r="AB2298" s="2">
        <f t="shared" ca="1" si="2196"/>
        <v>6396092.0719233463</v>
      </c>
      <c r="AC2298" s="2">
        <f t="shared" ca="1" si="2197"/>
        <v>6544964.4176298948</v>
      </c>
      <c r="AD2298" s="2">
        <f t="shared" ca="1" si="2198"/>
        <v>6697301.8440555679</v>
      </c>
      <c r="AE2298" s="2">
        <f t="shared" ca="1" si="2199"/>
        <v>6853185.0027433578</v>
      </c>
      <c r="AF2298" s="2">
        <f t="shared" ca="1" si="2200"/>
        <v>983152.59654011787</v>
      </c>
      <c r="AG2298" s="2">
        <f t="shared" ca="1" si="2201"/>
        <v>1006035.9808924006</v>
      </c>
      <c r="AH2298" s="2">
        <f t="shared" ca="1" si="2202"/>
        <v>1029451.9878317133</v>
      </c>
      <c r="AI2298" s="2">
        <f t="shared" ca="1" si="2203"/>
        <v>1053413.0144237978</v>
      </c>
      <c r="AJ2298" s="2">
        <f t="shared" ca="1" si="2204"/>
        <v>1077931.7462825025</v>
      </c>
      <c r="AK2298" s="2">
        <f t="shared" ca="1" si="2205"/>
        <v>0</v>
      </c>
      <c r="AL2298" s="2">
        <f t="shared" ca="1" si="2206"/>
        <v>11441.692176141367</v>
      </c>
      <c r="AM2298" s="2">
        <f t="shared" ca="1" si="2207"/>
        <v>11708.003469656334</v>
      </c>
      <c r="AN2298" s="2">
        <f t="shared" ca="1" si="2208"/>
        <v>11980.513296042234</v>
      </c>
      <c r="AO2298" s="2">
        <f t="shared" ca="1" si="2209"/>
        <v>12259.365929352418</v>
      </c>
      <c r="AP2298" s="2">
        <f t="shared" ca="1" si="2210"/>
        <v>2315008.0497507211</v>
      </c>
      <c r="AQ2298" s="2">
        <f t="shared" ca="1" si="2211"/>
        <v>741510.21597514628</v>
      </c>
      <c r="AR2298" s="2">
        <f t="shared" ca="1" si="2212"/>
        <v>799512.49073285854</v>
      </c>
      <c r="AS2298" s="2">
        <f t="shared" ca="1" si="2213"/>
        <v>832131.13881233963</v>
      </c>
      <c r="AT2298" s="2">
        <f t="shared" ca="1" si="2214"/>
        <v>865509.00276907277</v>
      </c>
      <c r="AU2298" s="2">
        <f t="shared" ca="1" si="2215"/>
        <v>899663.7537446348</v>
      </c>
      <c r="AV2298" s="2">
        <f t="shared" ca="1" si="2216"/>
        <v>2110452.1531600319</v>
      </c>
      <c r="AW2298" s="2">
        <f t="shared" ca="1" si="2217"/>
        <v>2264093.8583712243</v>
      </c>
      <c r="AX2298" s="2">
        <f t="shared" ca="1" si="2218"/>
        <v>2356665.237765464</v>
      </c>
      <c r="AY2298" s="2">
        <f t="shared" ca="1" si="2219"/>
        <v>2451391.2638159338</v>
      </c>
      <c r="AZ2298" s="2">
        <f t="shared" ca="1" si="2220"/>
        <v>2548322.0870361468</v>
      </c>
      <c r="BA2298" s="2">
        <f t="shared" ca="1" si="2221"/>
        <v>49266234.599240802</v>
      </c>
      <c r="BB2298" s="2">
        <f t="shared" ca="1" si="2222"/>
        <v>985324.69198481611</v>
      </c>
      <c r="BC2298" s="2">
        <f t="shared" ca="1" si="2223"/>
        <v>22558598.243359085</v>
      </c>
      <c r="BD2298" s="2">
        <f t="shared" ca="1" si="2224"/>
        <v>-18719970.761926968</v>
      </c>
      <c r="BE2298" s="2">
        <f t="shared" ca="1" si="2225"/>
        <v>2110452.1531600319</v>
      </c>
      <c r="BF2298" s="2">
        <f t="shared" ca="1" si="2226"/>
        <v>2264093.8583712243</v>
      </c>
      <c r="BG2298" s="2">
        <f t="shared" ca="1" si="2227"/>
        <v>2356665.237765464</v>
      </c>
      <c r="BH2298" s="2">
        <f t="shared" ca="1" si="2228"/>
        <v>2451391.2638159338</v>
      </c>
      <c r="BI2298" s="2">
        <f t="shared" ca="1" si="2229"/>
        <v>25106920.330395233</v>
      </c>
      <c r="BJ2298" s="2">
        <f t="shared" ca="1" si="2230"/>
        <v>0.15388657108579951</v>
      </c>
      <c r="BK2298" s="2">
        <f t="shared" ca="1" si="2231"/>
        <v>2450955.3719767965</v>
      </c>
    </row>
    <row r="2299" spans="1:63" x14ac:dyDescent="0.3">
      <c r="A2299" s="2">
        <v>2298</v>
      </c>
      <c r="B2299" s="2">
        <f t="shared" ca="1" si="2170"/>
        <v>0.58914830164744847</v>
      </c>
      <c r="C2299" s="2">
        <f t="shared" ca="1" si="2171"/>
        <v>7.0935214306421228</v>
      </c>
      <c r="D2299" s="2">
        <f t="shared" ca="1" si="2172"/>
        <v>0.65495540387774687</v>
      </c>
      <c r="E2299" s="2">
        <f t="shared" ca="1" si="2173"/>
        <v>7.6692839280208274</v>
      </c>
      <c r="F2299" s="2">
        <f t="shared" ca="1" si="2174"/>
        <v>0.51817239717443342</v>
      </c>
      <c r="G2299" s="2">
        <f t="shared" ca="1" si="2175"/>
        <v>4.1367016261995848E-2</v>
      </c>
      <c r="H2299" s="2">
        <f t="shared" ca="1" si="2176"/>
        <v>4.1367016261995848E-2</v>
      </c>
      <c r="I2299" s="2">
        <f t="shared" ca="1" si="2177"/>
        <v>0.52318179118915198</v>
      </c>
      <c r="J2299" s="2">
        <f t="shared" ca="1" si="2178"/>
        <v>1.0290704364197987E-2</v>
      </c>
      <c r="K2299" s="2">
        <f t="shared" ca="1" si="2179"/>
        <v>1.0290704364197987E-2</v>
      </c>
      <c r="L2299" s="2">
        <f t="shared" ca="1" si="2180"/>
        <v>0.2090891645447851</v>
      </c>
      <c r="M2299" s="2">
        <f t="shared" ca="1" si="2181"/>
        <v>-1.619171401644794E-2</v>
      </c>
      <c r="N2299" s="2">
        <f t="shared" ca="1" si="2182"/>
        <v>-1.619171401644794E-2</v>
      </c>
      <c r="O2299" s="2">
        <f t="shared" si="2183"/>
        <v>6000000</v>
      </c>
      <c r="P2299" s="2">
        <f t="shared" ca="1" si="2184"/>
        <v>42561128.583852738</v>
      </c>
      <c r="Q2299" s="2">
        <f t="shared" ca="1" si="2185"/>
        <v>1064028.2145963185</v>
      </c>
      <c r="R2299" s="2">
        <f t="shared" ca="1" si="2186"/>
        <v>25536677.150311641</v>
      </c>
      <c r="S2299" s="2">
        <f t="shared" ca="1" si="2187"/>
        <v>17024451.433541097</v>
      </c>
      <c r="T2299" s="2">
        <f t="shared" ca="1" si="2188"/>
        <v>49190414.299177602</v>
      </c>
      <c r="U2299" s="2">
        <f t="shared" ca="1" si="2189"/>
        <v>51225274.967425995</v>
      </c>
      <c r="V2299" s="2">
        <f t="shared" ca="1" si="2190"/>
        <v>53344311.750028715</v>
      </c>
      <c r="W2299" s="2">
        <f t="shared" ca="1" si="2191"/>
        <v>55551006.761677131</v>
      </c>
      <c r="X2299" s="2">
        <f t="shared" ca="1" si="2192"/>
        <v>57848986.16175767</v>
      </c>
      <c r="Y2299" s="2">
        <f t="shared" ca="1" si="2193"/>
        <v>0.12514535218209899</v>
      </c>
      <c r="Z2299" s="2">
        <f t="shared" ca="1" si="2194"/>
        <v>0.12720349305493858</v>
      </c>
      <c r="AA2299" s="2">
        <f t="shared" ca="1" si="2195"/>
        <v>6155951.7214539386</v>
      </c>
      <c r="AB2299" s="2">
        <f t="shared" ca="1" si="2196"/>
        <v>6516033.9085562918</v>
      </c>
      <c r="AC2299" s="2">
        <f t="shared" ca="1" si="2197"/>
        <v>6785582.7892152565</v>
      </c>
      <c r="AD2299" s="2">
        <f t="shared" ca="1" si="2198"/>
        <v>7066282.1028038431</v>
      </c>
      <c r="AE2299" s="2">
        <f t="shared" ca="1" si="2199"/>
        <v>7358593.1094623804</v>
      </c>
      <c r="AF2299" s="2">
        <f t="shared" ca="1" si="2200"/>
        <v>983808.28598355211</v>
      </c>
      <c r="AG2299" s="2">
        <f t="shared" ca="1" si="2201"/>
        <v>1024505.49934852</v>
      </c>
      <c r="AH2299" s="2">
        <f t="shared" ca="1" si="2202"/>
        <v>1066886.2350005743</v>
      </c>
      <c r="AI2299" s="2">
        <f t="shared" ca="1" si="2203"/>
        <v>1111020.1352335426</v>
      </c>
      <c r="AJ2299" s="2">
        <f t="shared" ca="1" si="2204"/>
        <v>1156979.7232351534</v>
      </c>
      <c r="AK2299" s="2">
        <f t="shared" ca="1" si="2205"/>
        <v>0</v>
      </c>
      <c r="AL2299" s="2">
        <f t="shared" ca="1" si="2206"/>
        <v>20348.606682483925</v>
      </c>
      <c r="AM2299" s="2">
        <f t="shared" ca="1" si="2207"/>
        <v>21190.367826027199</v>
      </c>
      <c r="AN2299" s="2">
        <f t="shared" ca="1" si="2208"/>
        <v>22066.950116484164</v>
      </c>
      <c r="AO2299" s="2">
        <f t="shared" ca="1" si="2209"/>
        <v>22979.794000805392</v>
      </c>
      <c r="AP2299" s="2">
        <f t="shared" ca="1" si="2210"/>
        <v>2298300.9435280478</v>
      </c>
      <c r="AQ2299" s="2">
        <f t="shared" ca="1" si="2211"/>
        <v>747199.04790500808</v>
      </c>
      <c r="AR2299" s="2">
        <f t="shared" ca="1" si="2212"/>
        <v>830239.14107672824</v>
      </c>
      <c r="AS2299" s="2">
        <f t="shared" ca="1" si="2213"/>
        <v>889302.85877852503</v>
      </c>
      <c r="AT2299" s="2">
        <f t="shared" ca="1" si="2214"/>
        <v>950809.86625098565</v>
      </c>
      <c r="AU2299" s="2">
        <f t="shared" ca="1" si="2215"/>
        <v>1014861.2351017866</v>
      </c>
      <c r="AV2299" s="2">
        <f t="shared" ca="1" si="2216"/>
        <v>2126643.4440373303</v>
      </c>
      <c r="AW2299" s="2">
        <f t="shared" ca="1" si="2217"/>
        <v>2342639.717920511</v>
      </c>
      <c r="AX2299" s="2">
        <f t="shared" ca="1" si="2218"/>
        <v>2509902.3840820827</v>
      </c>
      <c r="AY2299" s="2">
        <f t="shared" ca="1" si="2219"/>
        <v>2684084.2076747827</v>
      </c>
      <c r="AZ2299" s="2">
        <f t="shared" ca="1" si="2220"/>
        <v>2865471.4135965873</v>
      </c>
      <c r="BA2299" s="2">
        <f t="shared" ca="1" si="2221"/>
        <v>56435139.867244639</v>
      </c>
      <c r="BB2299" s="2">
        <f t="shared" ca="1" si="2222"/>
        <v>1128702.7973448928</v>
      </c>
      <c r="BC2299" s="2">
        <f t="shared" ca="1" si="2223"/>
        <v>29769759.919588104</v>
      </c>
      <c r="BD2299" s="2">
        <f t="shared" ca="1" si="2224"/>
        <v>-18588479.648137417</v>
      </c>
      <c r="BE2299" s="2">
        <f t="shared" ca="1" si="2225"/>
        <v>2126643.4440373303</v>
      </c>
      <c r="BF2299" s="2">
        <f t="shared" ca="1" si="2226"/>
        <v>2342639.717920511</v>
      </c>
      <c r="BG2299" s="2">
        <f t="shared" ca="1" si="2227"/>
        <v>2509902.3840820827</v>
      </c>
      <c r="BH2299" s="2">
        <f t="shared" ca="1" si="2228"/>
        <v>2684084.2076747827</v>
      </c>
      <c r="BI2299" s="2">
        <f t="shared" ca="1" si="2229"/>
        <v>32635231.333184689</v>
      </c>
      <c r="BJ2299" s="2">
        <f t="shared" ca="1" si="2230"/>
        <v>0.21031941838414814</v>
      </c>
      <c r="BK2299" s="2">
        <f t="shared" ca="1" si="2231"/>
        <v>7188236.8615214489</v>
      </c>
    </row>
    <row r="2300" spans="1:63" x14ac:dyDescent="0.3">
      <c r="A2300" s="2">
        <v>2299</v>
      </c>
      <c r="B2300" s="2">
        <f t="shared" ca="1" si="2170"/>
        <v>0.26416299131709831</v>
      </c>
      <c r="C2300" s="2">
        <f t="shared" ca="1" si="2171"/>
        <v>6.726860359790102</v>
      </c>
      <c r="D2300" s="2">
        <f t="shared" ca="1" si="2172"/>
        <v>0.85983462339339534</v>
      </c>
      <c r="E2300" s="2">
        <f t="shared" ca="1" si="2173"/>
        <v>7.9705372976184163</v>
      </c>
      <c r="F2300" s="2">
        <f t="shared" ca="1" si="2174"/>
        <v>0.77304816028118717</v>
      </c>
      <c r="G2300" s="2">
        <f t="shared" ca="1" si="2175"/>
        <v>6.2467686877548591E-2</v>
      </c>
      <c r="H2300" s="2">
        <f t="shared" ca="1" si="2176"/>
        <v>6.2467686877548591E-2</v>
      </c>
      <c r="I2300" s="2">
        <f t="shared" ca="1" si="2177"/>
        <v>0.47127304656509095</v>
      </c>
      <c r="J2300" s="2">
        <f t="shared" ca="1" si="2178"/>
        <v>9.6396493244382837E-3</v>
      </c>
      <c r="K2300" s="2">
        <f t="shared" ca="1" si="2179"/>
        <v>9.6396493244382837E-3</v>
      </c>
      <c r="L2300" s="2">
        <f t="shared" ca="1" si="2180"/>
        <v>0.40814835174668762</v>
      </c>
      <c r="M2300" s="2">
        <f t="shared" ca="1" si="2181"/>
        <v>-4.6462139707061081E-3</v>
      </c>
      <c r="N2300" s="2">
        <f t="shared" ca="1" si="2182"/>
        <v>-4.6462139707061081E-3</v>
      </c>
      <c r="O2300" s="2">
        <f t="shared" si="2183"/>
        <v>6000000</v>
      </c>
      <c r="P2300" s="2">
        <f t="shared" ca="1" si="2184"/>
        <v>40361162.15874061</v>
      </c>
      <c r="Q2300" s="2">
        <f t="shared" ca="1" si="2185"/>
        <v>1009029.0539685152</v>
      </c>
      <c r="R2300" s="2">
        <f t="shared" ca="1" si="2186"/>
        <v>24216697.295244366</v>
      </c>
      <c r="S2300" s="2">
        <f t="shared" ca="1" si="2187"/>
        <v>16144464.863496244</v>
      </c>
      <c r="T2300" s="2">
        <f t="shared" ca="1" si="2188"/>
        <v>49767689.301464699</v>
      </c>
      <c r="U2300" s="2">
        <f t="shared" ca="1" si="2189"/>
        <v>52876561.733367726</v>
      </c>
      <c r="V2300" s="2">
        <f t="shared" ca="1" si="2190"/>
        <v>56179638.234889112</v>
      </c>
      <c r="W2300" s="2">
        <f t="shared" ca="1" si="2191"/>
        <v>59689050.285040125</v>
      </c>
      <c r="X2300" s="2">
        <f t="shared" ca="1" si="2192"/>
        <v>63417687.188264266</v>
      </c>
      <c r="Y2300" s="2">
        <f t="shared" ca="1" si="2193"/>
        <v>0.12481982466221914</v>
      </c>
      <c r="Z2300" s="2">
        <f t="shared" ca="1" si="2194"/>
        <v>0.12674775452710679</v>
      </c>
      <c r="AA2300" s="2">
        <f t="shared" ca="1" si="2195"/>
        <v>6211994.2524526231</v>
      </c>
      <c r="AB2300" s="2">
        <f t="shared" ca="1" si="2196"/>
        <v>6701985.466818301</v>
      </c>
      <c r="AC2300" s="2">
        <f t="shared" ca="1" si="2197"/>
        <v>7120642.9964173883</v>
      </c>
      <c r="AD2300" s="2">
        <f t="shared" ca="1" si="2198"/>
        <v>7565453.0934843998</v>
      </c>
      <c r="AE2300" s="2">
        <f t="shared" ca="1" si="2199"/>
        <v>8038049.4484149646</v>
      </c>
      <c r="AF2300" s="2">
        <f t="shared" ca="1" si="2200"/>
        <v>995353.78602929402</v>
      </c>
      <c r="AG2300" s="2">
        <f t="shared" ca="1" si="2201"/>
        <v>1057531.2346673545</v>
      </c>
      <c r="AH2300" s="2">
        <f t="shared" ca="1" si="2202"/>
        <v>1123592.7646977822</v>
      </c>
      <c r="AI2300" s="2">
        <f t="shared" ca="1" si="2203"/>
        <v>1193781.0057008024</v>
      </c>
      <c r="AJ2300" s="2">
        <f t="shared" ca="1" si="2204"/>
        <v>1268353.7437652852</v>
      </c>
      <c r="AK2300" s="2">
        <f t="shared" ca="1" si="2205"/>
        <v>0</v>
      </c>
      <c r="AL2300" s="2">
        <f t="shared" ca="1" si="2206"/>
        <v>31088.724319030269</v>
      </c>
      <c r="AM2300" s="2">
        <f t="shared" ca="1" si="2207"/>
        <v>33030.765015213859</v>
      </c>
      <c r="AN2300" s="2">
        <f t="shared" ca="1" si="2208"/>
        <v>35094.12050151013</v>
      </c>
      <c r="AO2300" s="2">
        <f t="shared" ca="1" si="2209"/>
        <v>37286.369032241404</v>
      </c>
      <c r="AP2300" s="2">
        <f t="shared" ca="1" si="2210"/>
        <v>2179502.7565719928</v>
      </c>
      <c r="AQ2300" s="2">
        <f t="shared" ca="1" si="2211"/>
        <v>789655.80456134747</v>
      </c>
      <c r="AR2300" s="2">
        <f t="shared" ca="1" si="2212"/>
        <v>900887.38365052803</v>
      </c>
      <c r="AS2300" s="2">
        <f t="shared" ca="1" si="2213"/>
        <v>992562.34353837941</v>
      </c>
      <c r="AT2300" s="2">
        <f t="shared" ca="1" si="2214"/>
        <v>1089964.0261150172</v>
      </c>
      <c r="AU2300" s="2">
        <f t="shared" ca="1" si="2215"/>
        <v>1193450.1665001984</v>
      </c>
      <c r="AV2300" s="2">
        <f t="shared" ca="1" si="2216"/>
        <v>2247481.9052899885</v>
      </c>
      <c r="AW2300" s="2">
        <f t="shared" ca="1" si="2217"/>
        <v>2532975.3676093952</v>
      </c>
      <c r="AX2300" s="2">
        <f t="shared" ca="1" si="2218"/>
        <v>2791954.3665940198</v>
      </c>
      <c r="AY2300" s="2">
        <f t="shared" ca="1" si="2219"/>
        <v>3067111.1845950778</v>
      </c>
      <c r="AZ2300" s="2">
        <f t="shared" ca="1" si="2220"/>
        <v>3359456.4125452465</v>
      </c>
      <c r="BA2300" s="2">
        <f t="shared" ca="1" si="2221"/>
        <v>64067572.928692617</v>
      </c>
      <c r="BB2300" s="2">
        <f t="shared" ca="1" si="2222"/>
        <v>1281351.4585738524</v>
      </c>
      <c r="BC2300" s="2">
        <f t="shared" ca="1" si="2223"/>
        <v>38569524.174874395</v>
      </c>
      <c r="BD2300" s="2">
        <f t="shared" ca="1" si="2224"/>
        <v>-17653493.917464759</v>
      </c>
      <c r="BE2300" s="2">
        <f t="shared" ca="1" si="2225"/>
        <v>2247481.9052899885</v>
      </c>
      <c r="BF2300" s="2">
        <f t="shared" ca="1" si="2226"/>
        <v>2532975.3676093952</v>
      </c>
      <c r="BG2300" s="2">
        <f t="shared" ca="1" si="2227"/>
        <v>2791954.3665940198</v>
      </c>
      <c r="BH2300" s="2">
        <f t="shared" ca="1" si="2228"/>
        <v>3067111.1845950778</v>
      </c>
      <c r="BI2300" s="2">
        <f t="shared" ca="1" si="2229"/>
        <v>41928980.587419644</v>
      </c>
      <c r="BJ2300" s="2">
        <f t="shared" ca="1" si="2230"/>
        <v>0.2856622725663176</v>
      </c>
      <c r="BK2300" s="2">
        <f t="shared" ca="1" si="2231"/>
        <v>14100551.005592912</v>
      </c>
    </row>
    <row r="2301" spans="1:63" x14ac:dyDescent="0.3">
      <c r="A2301" s="2">
        <v>2300</v>
      </c>
      <c r="B2301" s="2">
        <f t="shared" ca="1" si="2170"/>
        <v>0.88165943067220609</v>
      </c>
      <c r="C2301" s="2">
        <f t="shared" ca="1" si="2171"/>
        <v>7.5135011421847038</v>
      </c>
      <c r="D2301" s="2">
        <f t="shared" ca="1" si="2172"/>
        <v>0.55352872174419265</v>
      </c>
      <c r="E2301" s="2">
        <f t="shared" ca="1" si="2173"/>
        <v>7.5550436219001353</v>
      </c>
      <c r="F2301" s="2">
        <f t="shared" ca="1" si="2174"/>
        <v>0.70236468072797886</v>
      </c>
      <c r="G2301" s="2">
        <f t="shared" ca="1" si="2175"/>
        <v>5.5936413676613533E-2</v>
      </c>
      <c r="H2301" s="2">
        <f t="shared" ca="1" si="2176"/>
        <v>5.5936413676613533E-2</v>
      </c>
      <c r="I2301" s="2">
        <f t="shared" ca="1" si="2177"/>
        <v>0.40880761629911577</v>
      </c>
      <c r="J2301" s="2">
        <f t="shared" ca="1" si="2178"/>
        <v>8.8469334897323462E-3</v>
      </c>
      <c r="K2301" s="2">
        <f t="shared" ca="1" si="2179"/>
        <v>8.8469334897323462E-3</v>
      </c>
      <c r="L2301" s="2">
        <f t="shared" ca="1" si="2180"/>
        <v>0.43304376128108513</v>
      </c>
      <c r="M2301" s="2">
        <f t="shared" ca="1" si="2181"/>
        <v>-3.3726040509004357E-3</v>
      </c>
      <c r="N2301" s="2">
        <f t="shared" ca="1" si="2182"/>
        <v>-3.3726040509004357E-3</v>
      </c>
      <c r="O2301" s="2">
        <f t="shared" si="2183"/>
        <v>6000000</v>
      </c>
      <c r="P2301" s="2">
        <f t="shared" ca="1" si="2184"/>
        <v>45081006.85310822</v>
      </c>
      <c r="Q2301" s="2">
        <f t="shared" ca="1" si="2185"/>
        <v>1127025.1713277055</v>
      </c>
      <c r="R2301" s="2">
        <f t="shared" ca="1" si="2186"/>
        <v>27048604.111864932</v>
      </c>
      <c r="S2301" s="2">
        <f t="shared" ca="1" si="2187"/>
        <v>18032402.741243288</v>
      </c>
      <c r="T2301" s="2">
        <f t="shared" ca="1" si="2188"/>
        <v>49831369.797454976</v>
      </c>
      <c r="U2301" s="2">
        <f t="shared" ca="1" si="2189"/>
        <v>52618757.912517726</v>
      </c>
      <c r="V2301" s="2">
        <f t="shared" ca="1" si="2190"/>
        <v>55562062.522261903</v>
      </c>
      <c r="W2301" s="2">
        <f t="shared" ca="1" si="2191"/>
        <v>58670005.036233015</v>
      </c>
      <c r="X2301" s="2">
        <f t="shared" ca="1" si="2192"/>
        <v>61951794.708348751</v>
      </c>
      <c r="Y2301" s="2">
        <f t="shared" ca="1" si="2193"/>
        <v>0.12442346674486617</v>
      </c>
      <c r="Z2301" s="2">
        <f t="shared" ca="1" si="2194"/>
        <v>0.12619285344281264</v>
      </c>
      <c r="AA2301" s="2">
        <f t="shared" ca="1" si="2195"/>
        <v>6200191.782844767</v>
      </c>
      <c r="AB2301" s="2">
        <f t="shared" ca="1" si="2196"/>
        <v>6640111.2055971874</v>
      </c>
      <c r="AC2301" s="2">
        <f t="shared" ca="1" si="2197"/>
        <v>7011535.2128521893</v>
      </c>
      <c r="AD2301" s="2">
        <f t="shared" ca="1" si="2198"/>
        <v>7403735.3470264329</v>
      </c>
      <c r="AE2301" s="2">
        <f t="shared" ca="1" si="2199"/>
        <v>7817873.7501498694</v>
      </c>
      <c r="AF2301" s="2">
        <f t="shared" ca="1" si="2200"/>
        <v>996627.39594909956</v>
      </c>
      <c r="AG2301" s="2">
        <f t="shared" ca="1" si="2201"/>
        <v>1052375.1582503545</v>
      </c>
      <c r="AH2301" s="2">
        <f t="shared" ca="1" si="2202"/>
        <v>1111241.2504452381</v>
      </c>
      <c r="AI2301" s="2">
        <f t="shared" ca="1" si="2203"/>
        <v>1173400.1007246603</v>
      </c>
      <c r="AJ2301" s="2">
        <f t="shared" ca="1" si="2204"/>
        <v>1239035.894166975</v>
      </c>
      <c r="AK2301" s="2">
        <f t="shared" ca="1" si="2205"/>
        <v>0</v>
      </c>
      <c r="AL2301" s="2">
        <f t="shared" ca="1" si="2206"/>
        <v>27873.881150627509</v>
      </c>
      <c r="AM2301" s="2">
        <f t="shared" ca="1" si="2207"/>
        <v>29433.046097441762</v>
      </c>
      <c r="AN2301" s="2">
        <f t="shared" ca="1" si="2208"/>
        <v>31079.425139711126</v>
      </c>
      <c r="AO2301" s="2">
        <f t="shared" ca="1" si="2209"/>
        <v>32817.896721157354</v>
      </c>
      <c r="AP2301" s="2">
        <f t="shared" ca="1" si="2210"/>
        <v>2434374.3700678437</v>
      </c>
      <c r="AQ2301" s="2">
        <f t="shared" ca="1" si="2211"/>
        <v>719989.40437523427</v>
      </c>
      <c r="AR2301" s="2">
        <f t="shared" ca="1" si="2212"/>
        <v>819874.03609253734</v>
      </c>
      <c r="AS2301" s="2">
        <f t="shared" ca="1" si="2213"/>
        <v>901139.09400816797</v>
      </c>
      <c r="AT2301" s="2">
        <f t="shared" ca="1" si="2214"/>
        <v>986949.82782082143</v>
      </c>
      <c r="AU2301" s="2">
        <f t="shared" ca="1" si="2215"/>
        <v>1077560.5063379132</v>
      </c>
      <c r="AV2301" s="2">
        <f t="shared" ca="1" si="2216"/>
        <v>2049200.6124525894</v>
      </c>
      <c r="AW2301" s="2">
        <f t="shared" ca="1" si="2217"/>
        <v>2305613.7600358245</v>
      </c>
      <c r="AX2301" s="2">
        <f t="shared" ca="1" si="2218"/>
        <v>2535347.4522334975</v>
      </c>
      <c r="AY2301" s="2">
        <f t="shared" ca="1" si="2219"/>
        <v>2777931.6232733955</v>
      </c>
      <c r="AZ2301" s="2">
        <f t="shared" ca="1" si="2220"/>
        <v>3034085.0828559794</v>
      </c>
      <c r="BA2301" s="2">
        <f t="shared" ca="1" si="2221"/>
        <v>59064377.21289026</v>
      </c>
      <c r="BB2301" s="2">
        <f t="shared" ca="1" si="2222"/>
        <v>1181287.5442578052</v>
      </c>
      <c r="BC2301" s="2">
        <f t="shared" ca="1" si="2223"/>
        <v>30834485.556767523</v>
      </c>
      <c r="BD2301" s="2">
        <f t="shared" ca="1" si="2224"/>
        <v>-19659427.912570994</v>
      </c>
      <c r="BE2301" s="2">
        <f t="shared" ca="1" si="2225"/>
        <v>2049200.6124525894</v>
      </c>
      <c r="BF2301" s="2">
        <f t="shared" ca="1" si="2226"/>
        <v>2305613.7600358245</v>
      </c>
      <c r="BG2301" s="2">
        <f t="shared" ca="1" si="2227"/>
        <v>2535347.4522334975</v>
      </c>
      <c r="BH2301" s="2">
        <f t="shared" ca="1" si="2228"/>
        <v>2777931.6232733955</v>
      </c>
      <c r="BI2301" s="2">
        <f t="shared" ca="1" si="2229"/>
        <v>33868570.6396235</v>
      </c>
      <c r="BJ2301" s="2">
        <f t="shared" ca="1" si="2230"/>
        <v>0.20097790084501232</v>
      </c>
      <c r="BK2301" s="2">
        <f t="shared" ca="1" si="2231"/>
        <v>6796209.2156338841</v>
      </c>
    </row>
    <row r="2302" spans="1:63" x14ac:dyDescent="0.3">
      <c r="A2302" s="2">
        <v>2301</v>
      </c>
      <c r="B2302" s="2">
        <f t="shared" ca="1" si="2170"/>
        <v>0.70323061750710258</v>
      </c>
      <c r="C2302" s="2">
        <f t="shared" ca="1" si="2171"/>
        <v>7.229585329198752</v>
      </c>
      <c r="D2302" s="2">
        <f t="shared" ca="1" si="2172"/>
        <v>0.27316489774461949</v>
      </c>
      <c r="E2302" s="2">
        <f t="shared" ca="1" si="2173"/>
        <v>7.2391412554371719</v>
      </c>
      <c r="F2302" s="2">
        <f t="shared" ca="1" si="2174"/>
        <v>0.33285449407019918</v>
      </c>
      <c r="G2302" s="2">
        <f t="shared" ca="1" si="2175"/>
        <v>2.7038661585591008E-2</v>
      </c>
      <c r="H2302" s="2">
        <f t="shared" ca="1" si="2176"/>
        <v>2.7038661585591008E-2</v>
      </c>
      <c r="I2302" s="2">
        <f t="shared" ca="1" si="2177"/>
        <v>0.40112650864743948</v>
      </c>
      <c r="J2302" s="2">
        <f t="shared" ca="1" si="2178"/>
        <v>8.7478382661779572E-3</v>
      </c>
      <c r="K2302" s="2">
        <f t="shared" ca="1" si="2179"/>
        <v>8.7478382661779572E-3</v>
      </c>
      <c r="L2302" s="2">
        <f t="shared" ca="1" si="2180"/>
        <v>0.52202653360057383</v>
      </c>
      <c r="M2302" s="2">
        <f t="shared" ca="1" si="2181"/>
        <v>1.1048082688848366E-3</v>
      </c>
      <c r="N2302" s="2">
        <f t="shared" ca="1" si="2182"/>
        <v>1.1048082688848366E-3</v>
      </c>
      <c r="O2302" s="2">
        <f t="shared" si="2183"/>
        <v>6000000</v>
      </c>
      <c r="P2302" s="2">
        <f t="shared" ca="1" si="2184"/>
        <v>43377511.97519251</v>
      </c>
      <c r="Q2302" s="2">
        <f t="shared" ca="1" si="2185"/>
        <v>1084437.7993798128</v>
      </c>
      <c r="R2302" s="2">
        <f t="shared" ca="1" si="2186"/>
        <v>26026507.185115505</v>
      </c>
      <c r="S2302" s="2">
        <f t="shared" ca="1" si="2187"/>
        <v>17351004.790077005</v>
      </c>
      <c r="T2302" s="2">
        <f t="shared" ca="1" si="2188"/>
        <v>50055240.413444243</v>
      </c>
      <c r="U2302" s="2">
        <f t="shared" ca="1" si="2189"/>
        <v>51408667.119568765</v>
      </c>
      <c r="V2302" s="2">
        <f t="shared" ca="1" si="2190"/>
        <v>52798688.672381088</v>
      </c>
      <c r="W2302" s="2">
        <f t="shared" ca="1" si="2191"/>
        <v>54226294.547556579</v>
      </c>
      <c r="X2302" s="2">
        <f t="shared" ca="1" si="2192"/>
        <v>55692500.974868543</v>
      </c>
      <c r="Y2302" s="2">
        <f t="shared" ca="1" si="2193"/>
        <v>0.12437391913308897</v>
      </c>
      <c r="Z2302" s="2">
        <f t="shared" ca="1" si="2194"/>
        <v>0.12612348678632457</v>
      </c>
      <c r="AA2302" s="2">
        <f t="shared" ca="1" si="2195"/>
        <v>6225566.4233690416</v>
      </c>
      <c r="AB2302" s="2">
        <f t="shared" ca="1" si="2196"/>
        <v>6483840.3481574897</v>
      </c>
      <c r="AC2302" s="2">
        <f t="shared" ca="1" si="2197"/>
        <v>6659154.7131063212</v>
      </c>
      <c r="AD2302" s="2">
        <f t="shared" ca="1" si="2198"/>
        <v>6839209.3438400961</v>
      </c>
      <c r="AE2302" s="2">
        <f t="shared" ca="1" si="2199"/>
        <v>7024132.4108012011</v>
      </c>
      <c r="AF2302" s="2">
        <f t="shared" ca="1" si="2200"/>
        <v>1001104.8082688849</v>
      </c>
      <c r="AG2302" s="2">
        <f t="shared" ca="1" si="2201"/>
        <v>1028173.3423913753</v>
      </c>
      <c r="AH2302" s="2">
        <f t="shared" ca="1" si="2202"/>
        <v>1055973.7734476218</v>
      </c>
      <c r="AI2302" s="2">
        <f t="shared" ca="1" si="2203"/>
        <v>1084525.8909511317</v>
      </c>
      <c r="AJ2302" s="2">
        <f t="shared" ca="1" si="2204"/>
        <v>1113850.0194973708</v>
      </c>
      <c r="AK2302" s="2">
        <f t="shared" ca="1" si="2205"/>
        <v>0</v>
      </c>
      <c r="AL2302" s="2">
        <f t="shared" ca="1" si="2206"/>
        <v>13534.267061245218</v>
      </c>
      <c r="AM2302" s="2">
        <f t="shared" ca="1" si="2207"/>
        <v>13900.21552812323</v>
      </c>
      <c r="AN2302" s="2">
        <f t="shared" ca="1" si="2208"/>
        <v>14276.05875175491</v>
      </c>
      <c r="AO2302" s="2">
        <f t="shared" ca="1" si="2209"/>
        <v>14662.064273119644</v>
      </c>
      <c r="AP2302" s="2">
        <f t="shared" ca="1" si="2210"/>
        <v>2342385.6466603954</v>
      </c>
      <c r="AQ2302" s="2">
        <f t="shared" ca="1" si="2211"/>
        <v>749339.75179433788</v>
      </c>
      <c r="AR2302" s="2">
        <f t="shared" ca="1" si="2212"/>
        <v>809453.1533674869</v>
      </c>
      <c r="AS2302" s="2">
        <f t="shared" ca="1" si="2213"/>
        <v>847806.77617955906</v>
      </c>
      <c r="AT2302" s="2">
        <f t="shared" ca="1" si="2214"/>
        <v>887197.429619428</v>
      </c>
      <c r="AU2302" s="2">
        <f t="shared" ca="1" si="2215"/>
        <v>927653.15360729303</v>
      </c>
      <c r="AV2302" s="2">
        <f t="shared" ca="1" si="2216"/>
        <v>2132736.2166454229</v>
      </c>
      <c r="AW2302" s="2">
        <f t="shared" ca="1" si="2217"/>
        <v>2290293.9386769864</v>
      </c>
      <c r="AX2302" s="2">
        <f t="shared" ca="1" si="2218"/>
        <v>2399088.3012906215</v>
      </c>
      <c r="AY2302" s="2">
        <f t="shared" ca="1" si="2219"/>
        <v>2510824.317857387</v>
      </c>
      <c r="AZ2302" s="2">
        <f t="shared" ca="1" si="2220"/>
        <v>2625581.5267630215</v>
      </c>
      <c r="BA2302" s="2">
        <f t="shared" ca="1" si="2221"/>
        <v>50848686.718684338</v>
      </c>
      <c r="BB2302" s="2">
        <f t="shared" ca="1" si="2222"/>
        <v>1016973.7343736868</v>
      </c>
      <c r="BC2302" s="2">
        <f t="shared" ca="1" si="2223"/>
        <v>23805205.799195148</v>
      </c>
      <c r="BD2302" s="2">
        <f t="shared" ca="1" si="2224"/>
        <v>-18935442.589456819</v>
      </c>
      <c r="BE2302" s="2">
        <f t="shared" ca="1" si="2225"/>
        <v>2132736.2166454229</v>
      </c>
      <c r="BF2302" s="2">
        <f t="shared" ca="1" si="2226"/>
        <v>2290293.9386769864</v>
      </c>
      <c r="BG2302" s="2">
        <f t="shared" ca="1" si="2227"/>
        <v>2399088.3012906215</v>
      </c>
      <c r="BH2302" s="2">
        <f t="shared" ca="1" si="2228"/>
        <v>2510824.317857387</v>
      </c>
      <c r="BI2302" s="2">
        <f t="shared" ca="1" si="2229"/>
        <v>26430787.32595817</v>
      </c>
      <c r="BJ2302" s="2">
        <f t="shared" ca="1" si="2230"/>
        <v>0.16167931541180147</v>
      </c>
      <c r="BK2302" s="2">
        <f t="shared" ca="1" si="2231"/>
        <v>3095430.9389618561</v>
      </c>
    </row>
    <row r="2303" spans="1:63" x14ac:dyDescent="0.3">
      <c r="A2303" s="2">
        <v>2302</v>
      </c>
      <c r="B2303" s="2">
        <f t="shared" ca="1" si="2170"/>
        <v>5.3688289754763585E-2</v>
      </c>
      <c r="C2303" s="2">
        <f t="shared" ca="1" si="2171"/>
        <v>6.327683657678449</v>
      </c>
      <c r="D2303" s="2">
        <f t="shared" ca="1" si="2172"/>
        <v>0.39474383662567403</v>
      </c>
      <c r="E2303" s="2">
        <f t="shared" ca="1" si="2173"/>
        <v>7.3885311886767671</v>
      </c>
      <c r="F2303" s="2">
        <f t="shared" ca="1" si="2174"/>
        <v>0.60983106691238032</v>
      </c>
      <c r="G2303" s="2">
        <f t="shared" ca="1" si="2175"/>
        <v>4.8366362917988424E-2</v>
      </c>
      <c r="H2303" s="2">
        <f t="shared" ca="1" si="2176"/>
        <v>4.8366362917988424E-2</v>
      </c>
      <c r="I2303" s="2">
        <f t="shared" ca="1" si="2177"/>
        <v>0.31226768828930052</v>
      </c>
      <c r="J2303" s="2">
        <f t="shared" ca="1" si="2178"/>
        <v>7.5528364042816345E-3</v>
      </c>
      <c r="K2303" s="2">
        <f t="shared" ca="1" si="2179"/>
        <v>7.5528364042816345E-3</v>
      </c>
      <c r="L2303" s="2">
        <f t="shared" ca="1" si="2180"/>
        <v>0.89870897568126051</v>
      </c>
      <c r="M2303" s="2">
        <f t="shared" ca="1" si="2181"/>
        <v>2.5484592520374005E-2</v>
      </c>
      <c r="N2303" s="2">
        <f t="shared" ca="1" si="2182"/>
        <v>2.5484592520374005E-2</v>
      </c>
      <c r="O2303" s="2">
        <f t="shared" si="2183"/>
        <v>6000000</v>
      </c>
      <c r="P2303" s="2">
        <f t="shared" ca="1" si="2184"/>
        <v>37966101.946070693</v>
      </c>
      <c r="Q2303" s="2">
        <f t="shared" ca="1" si="2185"/>
        <v>949152.54865176743</v>
      </c>
      <c r="R2303" s="2">
        <f t="shared" ca="1" si="2186"/>
        <v>22779661.167642415</v>
      </c>
      <c r="S2303" s="2">
        <f t="shared" ca="1" si="2187"/>
        <v>15186440.778428279</v>
      </c>
      <c r="T2303" s="2">
        <f t="shared" ca="1" si="2188"/>
        <v>51274229.626018696</v>
      </c>
      <c r="U2303" s="2">
        <f t="shared" ca="1" si="2189"/>
        <v>53754177.624450989</v>
      </c>
      <c r="V2303" s="2">
        <f t="shared" ca="1" si="2190"/>
        <v>56354071.687793203</v>
      </c>
      <c r="W2303" s="2">
        <f t="shared" ca="1" si="2191"/>
        <v>59079713.170951344</v>
      </c>
      <c r="X2303" s="2">
        <f t="shared" ca="1" si="2192"/>
        <v>61937184.019268237</v>
      </c>
      <c r="Y2303" s="2">
        <f t="shared" ca="1" si="2193"/>
        <v>0.12377641820214082</v>
      </c>
      <c r="Z2303" s="2">
        <f t="shared" ca="1" si="2194"/>
        <v>0.12528698548299713</v>
      </c>
      <c r="AA2303" s="2">
        <f t="shared" ca="1" si="2195"/>
        <v>6346540.4891826883</v>
      </c>
      <c r="AB2303" s="2">
        <f t="shared" ca="1" si="2196"/>
        <v>6734698.8716850402</v>
      </c>
      <c r="AC2303" s="2">
        <f t="shared" ca="1" si="2197"/>
        <v>7060431.7614563266</v>
      </c>
      <c r="AD2303" s="2">
        <f t="shared" ca="1" si="2198"/>
        <v>7401919.166388615</v>
      </c>
      <c r="AE2303" s="2">
        <f t="shared" ca="1" si="2199"/>
        <v>7759923.0750797819</v>
      </c>
      <c r="AF2303" s="2">
        <f t="shared" ca="1" si="2200"/>
        <v>1025484.592520374</v>
      </c>
      <c r="AG2303" s="2">
        <f t="shared" ca="1" si="2201"/>
        <v>1075083.5524890197</v>
      </c>
      <c r="AH2303" s="2">
        <f t="shared" ca="1" si="2202"/>
        <v>1127081.4337558642</v>
      </c>
      <c r="AI2303" s="2">
        <f t="shared" ca="1" si="2203"/>
        <v>1181594.263419027</v>
      </c>
      <c r="AJ2303" s="2">
        <f t="shared" ca="1" si="2204"/>
        <v>1238743.6803853647</v>
      </c>
      <c r="AK2303" s="2">
        <f t="shared" ca="1" si="2205"/>
        <v>0</v>
      </c>
      <c r="AL2303" s="2">
        <f t="shared" ca="1" si="2206"/>
        <v>24799.479984322938</v>
      </c>
      <c r="AM2303" s="2">
        <f t="shared" ca="1" si="2207"/>
        <v>25998.940633422138</v>
      </c>
      <c r="AN2303" s="2">
        <f t="shared" ca="1" si="2208"/>
        <v>27256.414831581413</v>
      </c>
      <c r="AO2303" s="2">
        <f t="shared" ca="1" si="2209"/>
        <v>28574.708483168932</v>
      </c>
      <c r="AP2303" s="2">
        <f t="shared" ca="1" si="2210"/>
        <v>2050169.5050878173</v>
      </c>
      <c r="AQ2303" s="2">
        <f t="shared" ca="1" si="2211"/>
        <v>850430.46180936939</v>
      </c>
      <c r="AR2303" s="2">
        <f t="shared" ca="1" si="2212"/>
        <v>938455.91166813287</v>
      </c>
      <c r="AS2303" s="2">
        <f t="shared" ca="1" si="2213"/>
        <v>1009627.0138792878</v>
      </c>
      <c r="AT2303" s="2">
        <f t="shared" ca="1" si="2214"/>
        <v>1084240.4034492604</v>
      </c>
      <c r="AU2303" s="2">
        <f t="shared" ca="1" si="2215"/>
        <v>1162462.5712977161</v>
      </c>
      <c r="AV2303" s="2">
        <f t="shared" ca="1" si="2216"/>
        <v>2420455.9297651276</v>
      </c>
      <c r="AW2303" s="2">
        <f t="shared" ca="1" si="2217"/>
        <v>2646190.4224557476</v>
      </c>
      <c r="AX2303" s="2">
        <f t="shared" ca="1" si="2218"/>
        <v>2847554.8680999354</v>
      </c>
      <c r="AY2303" s="2">
        <f t="shared" ca="1" si="2219"/>
        <v>3058658.5796009284</v>
      </c>
      <c r="AZ2303" s="2">
        <f t="shared" ca="1" si="2220"/>
        <v>3279972.6098257154</v>
      </c>
      <c r="BA2303" s="2">
        <f t="shared" ca="1" si="2221"/>
        <v>57334433.661959492</v>
      </c>
      <c r="BB2303" s="2">
        <f t="shared" ca="1" si="2222"/>
        <v>1146688.6732391899</v>
      </c>
      <c r="BC2303" s="2">
        <f t="shared" ca="1" si="2223"/>
        <v>33408083.821077887</v>
      </c>
      <c r="BD2303" s="2">
        <f t="shared" ca="1" si="2224"/>
        <v>-16635593.327080047</v>
      </c>
      <c r="BE2303" s="2">
        <f t="shared" ca="1" si="2225"/>
        <v>2420455.9297651276</v>
      </c>
      <c r="BF2303" s="2">
        <f t="shared" ca="1" si="2226"/>
        <v>2646190.4224557476</v>
      </c>
      <c r="BG2303" s="2">
        <f t="shared" ca="1" si="2227"/>
        <v>2847554.8680999354</v>
      </c>
      <c r="BH2303" s="2">
        <f t="shared" ca="1" si="2228"/>
        <v>3058658.5796009284</v>
      </c>
      <c r="BI2303" s="2">
        <f t="shared" ca="1" si="2229"/>
        <v>36688056.430903599</v>
      </c>
      <c r="BJ2303" s="2">
        <f t="shared" ca="1" si="2230"/>
        <v>0.28086683396605072</v>
      </c>
      <c r="BK2303" s="2">
        <f t="shared" ca="1" si="2231"/>
        <v>12423509.478094591</v>
      </c>
    </row>
    <row r="2304" spans="1:63" x14ac:dyDescent="0.3">
      <c r="A2304" s="2">
        <v>2303</v>
      </c>
      <c r="B2304" s="2">
        <f t="shared" ca="1" si="2170"/>
        <v>0.48680655037763798</v>
      </c>
      <c r="C2304" s="2">
        <f t="shared" ca="1" si="2171"/>
        <v>6.9867183492543736</v>
      </c>
      <c r="D2304" s="2">
        <f t="shared" ca="1" si="2172"/>
        <v>0.32229102783864549</v>
      </c>
      <c r="E2304" s="2">
        <f t="shared" ca="1" si="2173"/>
        <v>7.3028586772759514</v>
      </c>
      <c r="F2304" s="2">
        <f t="shared" ca="1" si="2174"/>
        <v>0.2966805733907566</v>
      </c>
      <c r="G2304" s="2">
        <f t="shared" ca="1" si="2175"/>
        <v>2.3980850425767936E-2</v>
      </c>
      <c r="H2304" s="2">
        <f t="shared" ca="1" si="2176"/>
        <v>2.3980850425767936E-2</v>
      </c>
      <c r="I2304" s="2">
        <f t="shared" ca="1" si="2177"/>
        <v>0.46854389396080232</v>
      </c>
      <c r="J2304" s="2">
        <f t="shared" ca="1" si="2178"/>
        <v>9.6053467739496464E-3</v>
      </c>
      <c r="K2304" s="2">
        <f t="shared" ca="1" si="2179"/>
        <v>9.6053467739496464E-3</v>
      </c>
      <c r="L2304" s="2">
        <f t="shared" ca="1" si="2180"/>
        <v>0.46790128149965027</v>
      </c>
      <c r="M2304" s="2">
        <f t="shared" ca="1" si="2181"/>
        <v>-1.6109312999756016E-3</v>
      </c>
      <c r="N2304" s="2">
        <f t="shared" ca="1" si="2182"/>
        <v>-1.6109312999756016E-3</v>
      </c>
      <c r="O2304" s="2">
        <f t="shared" si="2183"/>
        <v>6000000</v>
      </c>
      <c r="P2304" s="2">
        <f t="shared" ca="1" si="2184"/>
        <v>41920310.095526241</v>
      </c>
      <c r="Q2304" s="2">
        <f t="shared" ca="1" si="2185"/>
        <v>1048007.752388156</v>
      </c>
      <c r="R2304" s="2">
        <f t="shared" ca="1" si="2186"/>
        <v>25152186.057315744</v>
      </c>
      <c r="S2304" s="2">
        <f t="shared" ca="1" si="2187"/>
        <v>16768124.038210496</v>
      </c>
      <c r="T2304" s="2">
        <f t="shared" ca="1" si="2188"/>
        <v>49919453.435001224</v>
      </c>
      <c r="U2304" s="2">
        <f t="shared" ca="1" si="2189"/>
        <v>51116564.381162077</v>
      </c>
      <c r="V2304" s="2">
        <f t="shared" ca="1" si="2190"/>
        <v>52342383.065865859</v>
      </c>
      <c r="W2304" s="2">
        <f t="shared" ca="1" si="2191"/>
        <v>53597597.925096639</v>
      </c>
      <c r="X2304" s="2">
        <f t="shared" ca="1" si="2192"/>
        <v>54882913.904118828</v>
      </c>
      <c r="Y2304" s="2">
        <f t="shared" ca="1" si="2193"/>
        <v>0.12480267338697482</v>
      </c>
      <c r="Z2304" s="2">
        <f t="shared" ca="1" si="2194"/>
        <v>0.12672374274176476</v>
      </c>
      <c r="AA2304" s="2">
        <f t="shared" ca="1" si="2195"/>
        <v>6230081.2427047556</v>
      </c>
      <c r="AB2304" s="2">
        <f t="shared" ca="1" si="2196"/>
        <v>6477682.3544812389</v>
      </c>
      <c r="AC2304" s="2">
        <f t="shared" ca="1" si="2197"/>
        <v>6633022.6861296892</v>
      </c>
      <c r="AD2304" s="2">
        <f t="shared" ca="1" si="2198"/>
        <v>6792088.2110364912</v>
      </c>
      <c r="AE2304" s="2">
        <f t="shared" ca="1" si="2199"/>
        <v>6954968.2625039788</v>
      </c>
      <c r="AF2304" s="2">
        <f t="shared" ca="1" si="2200"/>
        <v>998389.06870002451</v>
      </c>
      <c r="AG2304" s="2">
        <f t="shared" ca="1" si="2201"/>
        <v>1022331.2876232415</v>
      </c>
      <c r="AH2304" s="2">
        <f t="shared" ca="1" si="2202"/>
        <v>1046847.6613173172</v>
      </c>
      <c r="AI2304" s="2">
        <f t="shared" ca="1" si="2203"/>
        <v>1071951.9585019327</v>
      </c>
      <c r="AJ2304" s="2">
        <f t="shared" ca="1" si="2204"/>
        <v>1097658.2780823766</v>
      </c>
      <c r="AK2304" s="2">
        <f t="shared" ca="1" si="2205"/>
        <v>0</v>
      </c>
      <c r="AL2304" s="2">
        <f t="shared" ca="1" si="2206"/>
        <v>11971.10946160853</v>
      </c>
      <c r="AM2304" s="2">
        <f t="shared" ca="1" si="2207"/>
        <v>12258.186847037823</v>
      </c>
      <c r="AN2304" s="2">
        <f t="shared" ca="1" si="2208"/>
        <v>12552.148592307791</v>
      </c>
      <c r="AO2304" s="2">
        <f t="shared" ca="1" si="2209"/>
        <v>12853.1597902219</v>
      </c>
      <c r="AP2304" s="2">
        <f t="shared" ca="1" si="2210"/>
        <v>2263696.7451584172</v>
      </c>
      <c r="AQ2304" s="2">
        <f t="shared" ca="1" si="2211"/>
        <v>771678.81150004151</v>
      </c>
      <c r="AR2304" s="2">
        <f t="shared" ca="1" si="2212"/>
        <v>829830.12364189082</v>
      </c>
      <c r="AS2304" s="2">
        <f t="shared" ca="1" si="2213"/>
        <v>863844.35271002841</v>
      </c>
      <c r="AT2304" s="2">
        <f t="shared" ca="1" si="2214"/>
        <v>898674.27191779693</v>
      </c>
      <c r="AU2304" s="2">
        <f t="shared" ca="1" si="2215"/>
        <v>934339.44220842817</v>
      </c>
      <c r="AV2304" s="2">
        <f t="shared" ca="1" si="2216"/>
        <v>2196316.6173462719</v>
      </c>
      <c r="AW2304" s="2">
        <f t="shared" ca="1" si="2217"/>
        <v>2349853.0885960814</v>
      </c>
      <c r="AX2304" s="2">
        <f t="shared" ca="1" si="2218"/>
        <v>2446375.7400968894</v>
      </c>
      <c r="AY2304" s="2">
        <f t="shared" ca="1" si="2219"/>
        <v>2545213.086866037</v>
      </c>
      <c r="AZ2304" s="2">
        <f t="shared" ca="1" si="2220"/>
        <v>2646420.6372645358</v>
      </c>
      <c r="BA2304" s="2">
        <f t="shared" ca="1" si="2221"/>
        <v>50791150.326006025</v>
      </c>
      <c r="BB2304" s="2">
        <f t="shared" ca="1" si="2222"/>
        <v>1015823.0065201205</v>
      </c>
      <c r="BC2304" s="2">
        <f t="shared" ca="1" si="2223"/>
        <v>24623141.262170158</v>
      </c>
      <c r="BD2304" s="2">
        <f t="shared" ca="1" si="2224"/>
        <v>-18316131.790598653</v>
      </c>
      <c r="BE2304" s="2">
        <f t="shared" ca="1" si="2225"/>
        <v>2196316.6173462719</v>
      </c>
      <c r="BF2304" s="2">
        <f t="shared" ca="1" si="2226"/>
        <v>2349853.0885960814</v>
      </c>
      <c r="BG2304" s="2">
        <f t="shared" ca="1" si="2227"/>
        <v>2446375.7400968894</v>
      </c>
      <c r="BH2304" s="2">
        <f t="shared" ca="1" si="2228"/>
        <v>2545213.086866037</v>
      </c>
      <c r="BI2304" s="2">
        <f t="shared" ca="1" si="2229"/>
        <v>27269561.899434693</v>
      </c>
      <c r="BJ2304" s="2">
        <f t="shared" ca="1" si="2230"/>
        <v>0.17927776468216972</v>
      </c>
      <c r="BK2304" s="2">
        <f t="shared" ca="1" si="2231"/>
        <v>4350446.310594704</v>
      </c>
    </row>
    <row r="2305" spans="1:63" x14ac:dyDescent="0.3">
      <c r="A2305" s="2">
        <v>2304</v>
      </c>
      <c r="B2305" s="2">
        <f t="shared" ca="1" si="2170"/>
        <v>0.98022052557704897</v>
      </c>
      <c r="C2305" s="2">
        <f t="shared" ca="1" si="2171"/>
        <v>7.8011056842292819</v>
      </c>
      <c r="D2305" s="2">
        <f t="shared" ca="1" si="2172"/>
        <v>0.75825938756142786</v>
      </c>
      <c r="E2305" s="2">
        <f t="shared" ca="1" si="2173"/>
        <v>7.8046718581294554</v>
      </c>
      <c r="F2305" s="2">
        <f t="shared" ca="1" si="2174"/>
        <v>0.52041411310589192</v>
      </c>
      <c r="G2305" s="2">
        <f t="shared" ca="1" si="2175"/>
        <v>4.1535788341016108E-2</v>
      </c>
      <c r="H2305" s="2">
        <f t="shared" ca="1" si="2176"/>
        <v>4.1535788341016108E-2</v>
      </c>
      <c r="I2305" s="2">
        <f t="shared" ca="1" si="2177"/>
        <v>0.12786047939192424</v>
      </c>
      <c r="J2305" s="2">
        <f t="shared" ca="1" si="2178"/>
        <v>4.3171843285500326E-3</v>
      </c>
      <c r="K2305" s="2">
        <f t="shared" ca="1" si="2179"/>
        <v>4.3171843285500326E-3</v>
      </c>
      <c r="L2305" s="2">
        <f t="shared" ca="1" si="2180"/>
        <v>0.49438392265878417</v>
      </c>
      <c r="M2305" s="2">
        <f t="shared" ca="1" si="2181"/>
        <v>-2.8155766501227755E-4</v>
      </c>
      <c r="N2305" s="2">
        <f t="shared" ca="1" si="2182"/>
        <v>-2.8155766501227755E-4</v>
      </c>
      <c r="O2305" s="2">
        <f t="shared" si="2183"/>
        <v>6000000</v>
      </c>
      <c r="P2305" s="2">
        <f t="shared" ca="1" si="2184"/>
        <v>46806634.105375692</v>
      </c>
      <c r="Q2305" s="2">
        <f t="shared" ca="1" si="2185"/>
        <v>1170165.8526343924</v>
      </c>
      <c r="R2305" s="2">
        <f t="shared" ca="1" si="2186"/>
        <v>28083980.463225413</v>
      </c>
      <c r="S2305" s="2">
        <f t="shared" ca="1" si="2187"/>
        <v>18722653.642150279</v>
      </c>
      <c r="T2305" s="2">
        <f t="shared" ca="1" si="2188"/>
        <v>49985922.116749391</v>
      </c>
      <c r="U2305" s="2">
        <f t="shared" ca="1" si="2189"/>
        <v>52062126.797821209</v>
      </c>
      <c r="V2305" s="2">
        <f t="shared" ca="1" si="2190"/>
        <v>54224568.277078651</v>
      </c>
      <c r="W2305" s="2">
        <f t="shared" ca="1" si="2191"/>
        <v>56476828.467918366</v>
      </c>
      <c r="X2305" s="2">
        <f t="shared" ca="1" si="2192"/>
        <v>58822638.061333701</v>
      </c>
      <c r="Y2305" s="2">
        <f t="shared" ca="1" si="2193"/>
        <v>0.12215859216427501</v>
      </c>
      <c r="Z2305" s="2">
        <f t="shared" ca="1" si="2194"/>
        <v>0.12302202902998502</v>
      </c>
      <c r="AA2305" s="2">
        <f t="shared" ca="1" si="2195"/>
        <v>6106209.8738152031</v>
      </c>
      <c r="AB2305" s="2">
        <f t="shared" ca="1" si="2196"/>
        <v>6404788.474284322</v>
      </c>
      <c r="AC2305" s="2">
        <f t="shared" ca="1" si="2197"/>
        <v>6670816.4127211748</v>
      </c>
      <c r="AD2305" s="2">
        <f t="shared" ca="1" si="2198"/>
        <v>6947894.0313017378</v>
      </c>
      <c r="AE2305" s="2">
        <f t="shared" ca="1" si="2199"/>
        <v>7236480.2872016961</v>
      </c>
      <c r="AF2305" s="2">
        <f t="shared" ca="1" si="2200"/>
        <v>999718.44233498781</v>
      </c>
      <c r="AG2305" s="2">
        <f t="shared" ca="1" si="2201"/>
        <v>1041242.5359564242</v>
      </c>
      <c r="AH2305" s="2">
        <f t="shared" ca="1" si="2202"/>
        <v>1084491.3655415731</v>
      </c>
      <c r="AI2305" s="2">
        <f t="shared" ca="1" si="2203"/>
        <v>1129536.5693583672</v>
      </c>
      <c r="AJ2305" s="2">
        <f t="shared" ca="1" si="2204"/>
        <v>1176452.7612266741</v>
      </c>
      <c r="AK2305" s="2">
        <f t="shared" ca="1" si="2205"/>
        <v>0</v>
      </c>
      <c r="AL2305" s="2">
        <f t="shared" ca="1" si="2206"/>
        <v>20762.04681071818</v>
      </c>
      <c r="AM2305" s="2">
        <f t="shared" ca="1" si="2207"/>
        <v>21624.414792574422</v>
      </c>
      <c r="AN2305" s="2">
        <f t="shared" ca="1" si="2208"/>
        <v>22522.601908397155</v>
      </c>
      <c r="AO2305" s="2">
        <f t="shared" ca="1" si="2209"/>
        <v>23458.095934153349</v>
      </c>
      <c r="AP2305" s="2">
        <f t="shared" ca="1" si="2210"/>
        <v>2527558.2416902869</v>
      </c>
      <c r="AQ2305" s="2">
        <f t="shared" ca="1" si="2211"/>
        <v>670522.62934538128</v>
      </c>
      <c r="AR2305" s="2">
        <f t="shared" ca="1" si="2212"/>
        <v>737356.8011257787</v>
      </c>
      <c r="AS2305" s="2">
        <f t="shared" ca="1" si="2213"/>
        <v>795279.36942722194</v>
      </c>
      <c r="AT2305" s="2">
        <f t="shared" ca="1" si="2214"/>
        <v>855607.7972658017</v>
      </c>
      <c r="AU2305" s="2">
        <f t="shared" ca="1" si="2215"/>
        <v>918442.01391403133</v>
      </c>
      <c r="AV2305" s="2">
        <f t="shared" ca="1" si="2216"/>
        <v>1908410.5604445464</v>
      </c>
      <c r="AW2305" s="2">
        <f t="shared" ca="1" si="2217"/>
        <v>2077868.8487011134</v>
      </c>
      <c r="AX2305" s="2">
        <f t="shared" ca="1" si="2218"/>
        <v>2241863.0212695193</v>
      </c>
      <c r="AY2305" s="2">
        <f t="shared" ca="1" si="2219"/>
        <v>2412668.8210788849</v>
      </c>
      <c r="AZ2305" s="2">
        <f t="shared" ca="1" si="2220"/>
        <v>2590569.1744365511</v>
      </c>
      <c r="BA2305" s="2">
        <f t="shared" ca="1" si="2221"/>
        <v>56478354.049431637</v>
      </c>
      <c r="BB2305" s="2">
        <f t="shared" ca="1" si="2222"/>
        <v>1129567.0809886327</v>
      </c>
      <c r="BC2305" s="2">
        <f t="shared" ca="1" si="2223"/>
        <v>27264806.505217589</v>
      </c>
      <c r="BD2305" s="2">
        <f t="shared" ca="1" si="2224"/>
        <v>-20392819.494784672</v>
      </c>
      <c r="BE2305" s="2">
        <f t="shared" ca="1" si="2225"/>
        <v>1908410.5604445464</v>
      </c>
      <c r="BF2305" s="2">
        <f t="shared" ca="1" si="2226"/>
        <v>2077868.8487011134</v>
      </c>
      <c r="BG2305" s="2">
        <f t="shared" ca="1" si="2227"/>
        <v>2241863.0212695193</v>
      </c>
      <c r="BH2305" s="2">
        <f t="shared" ca="1" si="2228"/>
        <v>2412668.8210788849</v>
      </c>
      <c r="BI2305" s="2">
        <f t="shared" ca="1" si="2229"/>
        <v>29855375.67965414</v>
      </c>
      <c r="BJ2305" s="2">
        <f t="shared" ca="1" si="2230"/>
        <v>0.15703284889661218</v>
      </c>
      <c r="BK2305" s="2">
        <f t="shared" ca="1" si="2231"/>
        <v>3037333.2481966838</v>
      </c>
    </row>
    <row r="2306" spans="1:63" x14ac:dyDescent="0.3">
      <c r="A2306" s="2">
        <v>2305</v>
      </c>
      <c r="B2306" s="2">
        <f t="shared" ref="B2306:B2369" ca="1" si="2232">RAND()</f>
        <v>0.74136521134622735</v>
      </c>
      <c r="C2306" s="2">
        <f t="shared" ref="C2306:C2369" ca="1" si="2233">IF(B2306&lt;((P_Mode)-(P_Low))/((P_High)-(P_Low)), (P_Low)+SQRT(B2306*((P_High)-(P_Low))*((P_Mode)-(P_Low))), (P_High)-SQRT((1-B2306)*((P_High)-(P_Low))*((P_High)-(P_Mode))))</f>
        <v>7.2807854441770905</v>
      </c>
      <c r="D2306" s="2">
        <f t="shared" ref="D2306:D2369" ca="1" si="2234">RAND()</f>
        <v>0.2043708864071061</v>
      </c>
      <c r="E2306" s="2">
        <f t="shared" ref="E2306:E2369" ca="1" si="2235">IF(D2306&lt;((X_Mode)-(X_Low))/((X_High)-(X_Low)), (X_Low)+SQRT(D2306*((X_High)-(X_Low))*((X_Mode)-(X_Low))), (X_High)-SQRT((1-D2306)*((X_High)-(X_Low))*((X_High)-(X_Mode))))</f>
        <v>7.1393291584264027</v>
      </c>
      <c r="F2306" s="2">
        <f t="shared" ref="F2306:F2369" ca="1" si="2236">RAND()</f>
        <v>0.62235598575855489</v>
      </c>
      <c r="G2306" s="2">
        <f t="shared" ref="G2306:G2369" ca="1" si="2237">NORMINV(F2306, g_Mean, g_SD)</f>
        <v>4.9350230297093803E-2</v>
      </c>
      <c r="H2306" s="2">
        <f t="shared" ref="H2306:H2369" ca="1" si="2238">MIN(MAX(G2306, g_Min), g_Max)</f>
        <v>4.9350230297093803E-2</v>
      </c>
      <c r="I2306" s="2">
        <f t="shared" ref="I2306:I2369" ca="1" si="2239">RAND()</f>
        <v>0.55334192055962217</v>
      </c>
      <c r="J2306" s="2">
        <f t="shared" ref="J2306:J2369" ca="1" si="2240">NORMINV(I2306, syn_Mean, syn_SD)</f>
        <v>1.0670546416920878E-2</v>
      </c>
      <c r="K2306" s="2">
        <f t="shared" ref="K2306:K2369" ca="1" si="2241">MIN(MAX(J2306, syn_Min), syn_Max)</f>
        <v>1.0670546416920878E-2</v>
      </c>
      <c r="L2306" s="2">
        <f t="shared" ref="L2306:L2369" ca="1" si="2242">RAND()</f>
        <v>0.6590745345776462</v>
      </c>
      <c r="M2306" s="2">
        <f t="shared" ref="M2306:M2369" ca="1" si="2243">NORMINV(L2306, shk_Mean, shk_SD)</f>
        <v>8.1987735827816748E-3</v>
      </c>
      <c r="N2306" s="2">
        <f t="shared" ref="N2306:N2369" ca="1" si="2244">MIN(MAX(M2306, shk_Min), shk_Max)</f>
        <v>8.1987735827816748E-3</v>
      </c>
      <c r="O2306" s="2">
        <f t="shared" ref="O2306:O2369" si="2245">BaseRev*BaseMargin</f>
        <v>6000000</v>
      </c>
      <c r="P2306" s="2">
        <f t="shared" ref="P2306:P2369" ca="1" si="2246">O2306*C2306</f>
        <v>43684712.665062547</v>
      </c>
      <c r="Q2306" s="2">
        <f t="shared" ref="Q2306:Q2369" ca="1" si="2247">P2306*TxnCostPct</f>
        <v>1092117.8166265637</v>
      </c>
      <c r="R2306" s="2">
        <f t="shared" ref="R2306:R2369" ca="1" si="2248">P2306*DebtPct</f>
        <v>26210827.599037528</v>
      </c>
      <c r="S2306" s="2">
        <f t="shared" ref="S2306:S2369" ca="1" si="2249">P2306*EqPct</f>
        <v>17473885.066025019</v>
      </c>
      <c r="T2306" s="2">
        <f t="shared" ref="T2306:T2369" ca="1" si="2250">BaseRev*(1+N2306)</f>
        <v>50409938.679139085</v>
      </c>
      <c r="U2306" s="2">
        <f t="shared" ref="U2306:U2369" ca="1" si="2251">T2306*(1+H2306)</f>
        <v>52897680.762216978</v>
      </c>
      <c r="V2306" s="2">
        <f t="shared" ref="V2306:V2369" ca="1" si="2252">U2306*(1+H2306)</f>
        <v>55508193.490014538</v>
      </c>
      <c r="W2306" s="2">
        <f t="shared" ref="W2306:W2369" ca="1" si="2253">V2306*(1+H2306)</f>
        <v>58247535.6221224</v>
      </c>
      <c r="X2306" s="2">
        <f t="shared" ref="X2306:X2369" ca="1" si="2254">W2306*(1+H2306)</f>
        <v>61122064.919312321</v>
      </c>
      <c r="Y2306" s="2">
        <f t="shared" ref="Y2306:Y2369" ca="1" si="2255">BaseMargin + SynReal_Y1*K2306</f>
        <v>0.12533527320846044</v>
      </c>
      <c r="Z2306" s="2">
        <f t="shared" ref="Z2306:Z2369" ca="1" si="2256">BaseMargin + SynReal_Y2toY5*K2306</f>
        <v>0.12746938249184461</v>
      </c>
      <c r="AA2306" s="2">
        <f t="shared" ref="AA2306:AA2369" ca="1" si="2257">T2306*Y2306</f>
        <v>6318143.436771635</v>
      </c>
      <c r="AB2306" s="2">
        <f t="shared" ref="AB2306:AB2369" ca="1" si="2258">U2306*Z2306</f>
        <v>6742834.7020105263</v>
      </c>
      <c r="AC2306" s="2">
        <f t="shared" ref="AC2306:AC2369" ca="1" si="2259">V2306*Z2306</f>
        <v>7075595.147409982</v>
      </c>
      <c r="AD2306" s="2">
        <f t="shared" ref="AD2306:AD2369" ca="1" si="2260">W2306*Z2306</f>
        <v>7424777.3974236641</v>
      </c>
      <c r="AE2306" s="2">
        <f t="shared" ref="AE2306:AE2369" ca="1" si="2261">X2306*Z2306</f>
        <v>7791191.8718911801</v>
      </c>
      <c r="AF2306" s="2">
        <f t="shared" ref="AF2306:AF2369" ca="1" si="2262">T2306*CapexPct</f>
        <v>1008198.7735827818</v>
      </c>
      <c r="AG2306" s="2">
        <f t="shared" ref="AG2306:AG2369" ca="1" si="2263">U2306*CapexPct</f>
        <v>1057953.6152443397</v>
      </c>
      <c r="AH2306" s="2">
        <f t="shared" ref="AH2306:AH2369" ca="1" si="2264">V2306*CapexPct</f>
        <v>1110163.8698002908</v>
      </c>
      <c r="AI2306" s="2">
        <f t="shared" ref="AI2306:AI2369" ca="1" si="2265">W2306*CapexPct</f>
        <v>1164950.7124424481</v>
      </c>
      <c r="AJ2306" s="2">
        <f t="shared" ref="AJ2306:AJ2369" ca="1" si="2266">X2306*CapexPct</f>
        <v>1222441.2983862464</v>
      </c>
      <c r="AK2306" s="2">
        <f t="shared" ref="AK2306:AK2369" ca="1" si="2267">MAX(T2306-BaseRev*(1+N2306),0)*WCPct</f>
        <v>0</v>
      </c>
      <c r="AL2306" s="2">
        <f t="shared" ref="AL2306:AL2369" ca="1" si="2268">MAX(U2306-T2306,0)*WCPct</f>
        <v>24877.420830778927</v>
      </c>
      <c r="AM2306" s="2">
        <f t="shared" ref="AM2306:AM2369" ca="1" si="2269">MAX(V2306-U2306,0)*WCPct</f>
        <v>26105.127277975604</v>
      </c>
      <c r="AN2306" s="2">
        <f t="shared" ref="AN2306:AN2369" ca="1" si="2270">MAX(W2306-V2306,0)*WCPct</f>
        <v>27393.421321078615</v>
      </c>
      <c r="AO2306" s="2">
        <f t="shared" ref="AO2306:AO2369" ca="1" si="2271">MAX(X2306-W2306,0)*WCPct</f>
        <v>28745.292971899213</v>
      </c>
      <c r="AP2306" s="2">
        <f t="shared" ref="AP2306:AP2369" ca="1" si="2272">R2306*DebtRate</f>
        <v>2358974.4839133774</v>
      </c>
      <c r="AQ2306" s="2">
        <f t="shared" ref="AQ2306:AQ2369" ca="1" si="2273">MAX(AA2306-AF2306-AP2306,0)*Tax</f>
        <v>767252.24661162379</v>
      </c>
      <c r="AR2306" s="2">
        <f t="shared" ref="AR2306:AR2369" ca="1" si="2274">MAX(AB2306-AG2306-AP2306,0)*Tax</f>
        <v>864735.71674173058</v>
      </c>
      <c r="AS2306" s="2">
        <f t="shared" ref="AS2306:AS2369" ca="1" si="2275">MAX(AC2306-AH2306-AP2306,0)*Tax</f>
        <v>937678.76636104158</v>
      </c>
      <c r="AT2306" s="2">
        <f t="shared" ref="AT2306:AT2369" ca="1" si="2276">MAX(AD2306-AI2306-AP2306,0)*Tax</f>
        <v>1014221.572277638</v>
      </c>
      <c r="AU2306" s="2">
        <f t="shared" ref="AU2306:AU2369" ca="1" si="2277">MAX(AE2306-AJ2306-AP2306,0)*Tax</f>
        <v>1094541.7832938049</v>
      </c>
      <c r="AV2306" s="2">
        <f t="shared" ref="AV2306:AV2369" ca="1" si="2278">AA2306-AF2306-AK2306-AQ2306-AP2306</f>
        <v>2183717.9326638519</v>
      </c>
      <c r="AW2306" s="2">
        <f t="shared" ref="AW2306:AW2369" ca="1" si="2279">AB2306-AG2306-AL2306-AR2306-AP2306</f>
        <v>2436293.4652803005</v>
      </c>
      <c r="AX2306" s="2">
        <f t="shared" ref="AX2306:AX2369" ca="1" si="2280">AC2306-AH2306-AM2306-AS2306-AP2306</f>
        <v>2642672.9000572958</v>
      </c>
      <c r="AY2306" s="2">
        <f t="shared" ref="AY2306:AY2369" ca="1" si="2281">AD2306-AI2306-AN2306-AT2306-AP2306</f>
        <v>2859237.207469122</v>
      </c>
      <c r="AZ2306" s="2">
        <f t="shared" ref="AZ2306:AZ2369" ca="1" si="2282">AE2306-AJ2306-AO2306-AU2306-AP2306</f>
        <v>3086489.0133258528</v>
      </c>
      <c r="BA2306" s="2">
        <f t="shared" ref="BA2306:BA2369" ca="1" si="2283">AE2306*E2306</f>
        <v>55623883.309887491</v>
      </c>
      <c r="BB2306" s="2">
        <f t="shared" ref="BB2306:BB2369" ca="1" si="2284">BA2306*SellCostPct</f>
        <v>1112477.6661977498</v>
      </c>
      <c r="BC2306" s="2">
        <f t="shared" ref="BC2306:BC2369" ca="1" si="2285">BA2306-R2306-BB2306</f>
        <v>28300578.044652212</v>
      </c>
      <c r="BD2306" s="2">
        <f t="shared" ref="BD2306:BD2369" ca="1" si="2286">-S2306-Q2306-IntegrationPct*BaseRev</f>
        <v>-19066002.882651582</v>
      </c>
      <c r="BE2306" s="2">
        <f t="shared" ref="BE2306:BE2369" ca="1" si="2287">AV2306</f>
        <v>2183717.9326638519</v>
      </c>
      <c r="BF2306" s="2">
        <f t="shared" ref="BF2306:BF2369" ca="1" si="2288">AW2306</f>
        <v>2436293.4652803005</v>
      </c>
      <c r="BG2306" s="2">
        <f t="shared" ref="BG2306:BG2369" ca="1" si="2289">AX2306</f>
        <v>2642672.9000572958</v>
      </c>
      <c r="BH2306" s="2">
        <f t="shared" ref="BH2306:BH2369" ca="1" si="2290">AY2306</f>
        <v>2859237.207469122</v>
      </c>
      <c r="BI2306" s="2">
        <f t="shared" ref="BI2306:BI2369" ca="1" si="2291">AZ2306+BC2306</f>
        <v>31387067.057978064</v>
      </c>
      <c r="BJ2306" s="2">
        <f t="shared" ref="BJ2306:BJ2369" ca="1" si="2292">IF(MIN(BD2306:BI2306)*MAX(BD2306:BI2306)&gt;=0, "", IFERROR(IRR(BD2306:BI2306,0.12), IFERROR(IRR(BD2306:BI2306,0.5), IFERROR(IRR(BD2306:BI2306,-0.5),""))))</f>
        <v>0.19950436920530401</v>
      </c>
      <c r="BK2306" s="2">
        <f t="shared" ref="BK2306:BK2369" ca="1" si="2293">NPV(12%,BE2306:BI2306)+BD2306</f>
        <v>6333907.5843758397</v>
      </c>
    </row>
    <row r="2307" spans="1:63" x14ac:dyDescent="0.3">
      <c r="A2307" s="2">
        <v>2306</v>
      </c>
      <c r="B2307" s="2">
        <f t="shared" ca="1" si="2232"/>
        <v>1.6145054155077609E-2</v>
      </c>
      <c r="C2307" s="2">
        <f t="shared" ca="1" si="2233"/>
        <v>6.1796944860315843</v>
      </c>
      <c r="D2307" s="2">
        <f t="shared" ca="1" si="2234"/>
        <v>0.42862178220385816</v>
      </c>
      <c r="E2307" s="2">
        <f t="shared" ca="1" si="2235"/>
        <v>7.4258744863142718</v>
      </c>
      <c r="F2307" s="2">
        <f t="shared" ca="1" si="2236"/>
        <v>0.52404180695211644</v>
      </c>
      <c r="G2307" s="2">
        <f t="shared" ca="1" si="2237"/>
        <v>4.1809011897459669E-2</v>
      </c>
      <c r="H2307" s="2">
        <f t="shared" ca="1" si="2238"/>
        <v>4.1809011897459669E-2</v>
      </c>
      <c r="I2307" s="2">
        <f t="shared" ca="1" si="2239"/>
        <v>0.96773112252618998</v>
      </c>
      <c r="J2307" s="2">
        <f t="shared" ca="1" si="2240"/>
        <v>1.9242233267095475E-2</v>
      </c>
      <c r="K2307" s="2">
        <f t="shared" ca="1" si="2241"/>
        <v>1.9242233267095475E-2</v>
      </c>
      <c r="L2307" s="2">
        <f t="shared" ca="1" si="2242"/>
        <v>0.2739137839183805</v>
      </c>
      <c r="M2307" s="2">
        <f t="shared" ca="1" si="2243"/>
        <v>-1.2020372901413898E-2</v>
      </c>
      <c r="N2307" s="2">
        <f t="shared" ca="1" si="2244"/>
        <v>-1.2020372901413898E-2</v>
      </c>
      <c r="O2307" s="2">
        <f t="shared" si="2245"/>
        <v>6000000</v>
      </c>
      <c r="P2307" s="2">
        <f t="shared" ca="1" si="2246"/>
        <v>37078166.916189507</v>
      </c>
      <c r="Q2307" s="2">
        <f t="shared" ca="1" si="2247"/>
        <v>926954.17290473776</v>
      </c>
      <c r="R2307" s="2">
        <f t="shared" ca="1" si="2248"/>
        <v>22246900.149713702</v>
      </c>
      <c r="S2307" s="2">
        <f t="shared" ca="1" si="2249"/>
        <v>14831266.766475804</v>
      </c>
      <c r="T2307" s="2">
        <f t="shared" ca="1" si="2250"/>
        <v>49398981.354929306</v>
      </c>
      <c r="U2307" s="2">
        <f t="shared" ca="1" si="2251"/>
        <v>51464303.954119936</v>
      </c>
      <c r="V2307" s="2">
        <f t="shared" ca="1" si="2252"/>
        <v>53615975.650432214</v>
      </c>
      <c r="W2307" s="2">
        <f t="shared" ca="1" si="2253"/>
        <v>55857606.614295043</v>
      </c>
      <c r="X2307" s="2">
        <f t="shared" ca="1" si="2254"/>
        <v>58192957.953795724</v>
      </c>
      <c r="Y2307" s="2">
        <f t="shared" ca="1" si="2255"/>
        <v>0.12962111663354772</v>
      </c>
      <c r="Z2307" s="2">
        <f t="shared" ca="1" si="2256"/>
        <v>0.13346956328696682</v>
      </c>
      <c r="AA2307" s="2">
        <f t="shared" ca="1" si="2257"/>
        <v>6403151.1237857407</v>
      </c>
      <c r="AB2307" s="2">
        <f t="shared" ca="1" si="2258"/>
        <v>6868918.1736241076</v>
      </c>
      <c r="AC2307" s="2">
        <f t="shared" ca="1" si="2259"/>
        <v>7156100.8552678348</v>
      </c>
      <c r="AD2307" s="2">
        <f t="shared" ca="1" si="2260"/>
        <v>7455290.3610651493</v>
      </c>
      <c r="AE2307" s="2">
        <f t="shared" ca="1" si="2261"/>
        <v>7766988.6844699373</v>
      </c>
      <c r="AF2307" s="2">
        <f t="shared" ca="1" si="2262"/>
        <v>987979.62709858618</v>
      </c>
      <c r="AG2307" s="2">
        <f t="shared" ca="1" si="2263"/>
        <v>1029286.0790823988</v>
      </c>
      <c r="AH2307" s="2">
        <f t="shared" ca="1" si="2264"/>
        <v>1072319.5130086443</v>
      </c>
      <c r="AI2307" s="2">
        <f t="shared" ca="1" si="2265"/>
        <v>1117152.1322859009</v>
      </c>
      <c r="AJ2307" s="2">
        <f t="shared" ca="1" si="2266"/>
        <v>1163859.1590759144</v>
      </c>
      <c r="AK2307" s="2">
        <f t="shared" ca="1" si="2267"/>
        <v>0</v>
      </c>
      <c r="AL2307" s="2">
        <f t="shared" ca="1" si="2268"/>
        <v>20653.2259919063</v>
      </c>
      <c r="AM2307" s="2">
        <f t="shared" ca="1" si="2269"/>
        <v>21516.716963122784</v>
      </c>
      <c r="AN2307" s="2">
        <f t="shared" ca="1" si="2270"/>
        <v>22416.309638628289</v>
      </c>
      <c r="AO2307" s="2">
        <f t="shared" ca="1" si="2271"/>
        <v>23353.513395006805</v>
      </c>
      <c r="AP2307" s="2">
        <f t="shared" ca="1" si="2272"/>
        <v>2002221.0134742332</v>
      </c>
      <c r="AQ2307" s="2">
        <f t="shared" ca="1" si="2273"/>
        <v>887367.12563535944</v>
      </c>
      <c r="AR2307" s="2">
        <f t="shared" ca="1" si="2274"/>
        <v>997726.88107754372</v>
      </c>
      <c r="AS2307" s="2">
        <f t="shared" ca="1" si="2275"/>
        <v>1061205.685484089</v>
      </c>
      <c r="AT2307" s="2">
        <f t="shared" ca="1" si="2276"/>
        <v>1127338.4759793039</v>
      </c>
      <c r="AU2307" s="2">
        <f t="shared" ca="1" si="2277"/>
        <v>1196236.2130991451</v>
      </c>
      <c r="AV2307" s="2">
        <f t="shared" ca="1" si="2278"/>
        <v>2525583.3575775614</v>
      </c>
      <c r="AW2307" s="2">
        <f t="shared" ca="1" si="2279"/>
        <v>2819030.9739980251</v>
      </c>
      <c r="AX2307" s="2">
        <f t="shared" ca="1" si="2280"/>
        <v>2998837.926337746</v>
      </c>
      <c r="AY2307" s="2">
        <f t="shared" ca="1" si="2281"/>
        <v>3186162.4296870828</v>
      </c>
      <c r="AZ2307" s="2">
        <f t="shared" ca="1" si="2282"/>
        <v>3381318.7854256369</v>
      </c>
      <c r="BA2307" s="2">
        <f t="shared" ca="1" si="2283"/>
        <v>57676683.107496955</v>
      </c>
      <c r="BB2307" s="2">
        <f t="shared" ca="1" si="2284"/>
        <v>1153533.6621499392</v>
      </c>
      <c r="BC2307" s="2">
        <f t="shared" ca="1" si="2285"/>
        <v>34276249.295633316</v>
      </c>
      <c r="BD2307" s="2">
        <f t="shared" ca="1" si="2286"/>
        <v>-16258220.939380541</v>
      </c>
      <c r="BE2307" s="2">
        <f t="shared" ca="1" si="2287"/>
        <v>2525583.3575775614</v>
      </c>
      <c r="BF2307" s="2">
        <f t="shared" ca="1" si="2288"/>
        <v>2819030.9739980251</v>
      </c>
      <c r="BG2307" s="2">
        <f t="shared" ca="1" si="2289"/>
        <v>2998837.926337746</v>
      </c>
      <c r="BH2307" s="2">
        <f t="shared" ca="1" si="2290"/>
        <v>3186162.4296870828</v>
      </c>
      <c r="BI2307" s="2">
        <f t="shared" ca="1" si="2291"/>
        <v>37657568.081058949</v>
      </c>
      <c r="BJ2307" s="2">
        <f t="shared" ca="1" si="2292"/>
        <v>0.29950532519655493</v>
      </c>
      <c r="BK2307" s="2">
        <f t="shared" ca="1" si="2293"/>
        <v>13771371.311817329</v>
      </c>
    </row>
    <row r="2308" spans="1:63" x14ac:dyDescent="0.3">
      <c r="A2308" s="2">
        <v>2307</v>
      </c>
      <c r="B2308" s="2">
        <f t="shared" ca="1" si="2232"/>
        <v>0.17085937371461968</v>
      </c>
      <c r="C2308" s="2">
        <f t="shared" ca="1" si="2233"/>
        <v>6.5845671453556376</v>
      </c>
      <c r="D2308" s="2">
        <f t="shared" ca="1" si="2234"/>
        <v>0.69083379637062003</v>
      </c>
      <c r="E2308" s="2">
        <f t="shared" ca="1" si="2235"/>
        <v>7.7136588480444637</v>
      </c>
      <c r="F2308" s="2">
        <f t="shared" ca="1" si="2236"/>
        <v>0.60682920970993648</v>
      </c>
      <c r="G2308" s="2">
        <f t="shared" ca="1" si="2237"/>
        <v>4.8131928916947904E-2</v>
      </c>
      <c r="H2308" s="2">
        <f t="shared" ca="1" si="2238"/>
        <v>4.8131928916947904E-2</v>
      </c>
      <c r="I2308" s="2">
        <f t="shared" ca="1" si="2239"/>
        <v>0.20602693936489203</v>
      </c>
      <c r="J2308" s="2">
        <f t="shared" ca="1" si="2240"/>
        <v>5.8985769589539111E-3</v>
      </c>
      <c r="K2308" s="2">
        <f t="shared" ca="1" si="2241"/>
        <v>5.8985769589539111E-3</v>
      </c>
      <c r="L2308" s="2">
        <f t="shared" ca="1" si="2242"/>
        <v>0.55331990793578878</v>
      </c>
      <c r="M2308" s="2">
        <f t="shared" ca="1" si="2243"/>
        <v>2.6810721539466151E-3</v>
      </c>
      <c r="N2308" s="2">
        <f t="shared" ca="1" si="2244"/>
        <v>2.6810721539466151E-3</v>
      </c>
      <c r="O2308" s="2">
        <f t="shared" si="2245"/>
        <v>6000000</v>
      </c>
      <c r="P2308" s="2">
        <f t="shared" ca="1" si="2246"/>
        <v>39507402.872133829</v>
      </c>
      <c r="Q2308" s="2">
        <f t="shared" ca="1" si="2247"/>
        <v>987685.07180334581</v>
      </c>
      <c r="R2308" s="2">
        <f t="shared" ca="1" si="2248"/>
        <v>23704441.723280296</v>
      </c>
      <c r="S2308" s="2">
        <f t="shared" ca="1" si="2249"/>
        <v>15802961.148853533</v>
      </c>
      <c r="T2308" s="2">
        <f t="shared" ca="1" si="2250"/>
        <v>50134053.607697323</v>
      </c>
      <c r="U2308" s="2">
        <f t="shared" ca="1" si="2251"/>
        <v>52547102.31226147</v>
      </c>
      <c r="V2308" s="2">
        <f t="shared" ca="1" si="2252"/>
        <v>55076295.705546834</v>
      </c>
      <c r="W2308" s="2">
        <f t="shared" ca="1" si="2253"/>
        <v>57727224.055455022</v>
      </c>
      <c r="X2308" s="2">
        <f t="shared" ca="1" si="2254"/>
        <v>60505746.700264908</v>
      </c>
      <c r="Y2308" s="2">
        <f t="shared" ca="1" si="2255"/>
        <v>0.12294928847947695</v>
      </c>
      <c r="Z2308" s="2">
        <f t="shared" ca="1" si="2256"/>
        <v>0.12412900387126774</v>
      </c>
      <c r="AA2308" s="2">
        <f t="shared" ca="1" si="2257"/>
        <v>6163946.2196583403</v>
      </c>
      <c r="AB2308" s="2">
        <f t="shared" ca="1" si="2258"/>
        <v>6522619.4663426057</v>
      </c>
      <c r="AC2308" s="2">
        <f t="shared" ca="1" si="2259"/>
        <v>6836565.7228489099</v>
      </c>
      <c r="AD2308" s="2">
        <f t="shared" ca="1" si="2260"/>
        <v>7165622.8182571167</v>
      </c>
      <c r="AE2308" s="2">
        <f t="shared" ca="1" si="2261"/>
        <v>7510518.0663911281</v>
      </c>
      <c r="AF2308" s="2">
        <f t="shared" ca="1" si="2262"/>
        <v>1002681.0721539465</v>
      </c>
      <c r="AG2308" s="2">
        <f t="shared" ca="1" si="2263"/>
        <v>1050942.0462452294</v>
      </c>
      <c r="AH2308" s="2">
        <f t="shared" ca="1" si="2264"/>
        <v>1101525.9141109367</v>
      </c>
      <c r="AI2308" s="2">
        <f t="shared" ca="1" si="2265"/>
        <v>1154544.4811091004</v>
      </c>
      <c r="AJ2308" s="2">
        <f t="shared" ca="1" si="2266"/>
        <v>1210114.9340052982</v>
      </c>
      <c r="AK2308" s="2">
        <f t="shared" ca="1" si="2267"/>
        <v>0</v>
      </c>
      <c r="AL2308" s="2">
        <f t="shared" ca="1" si="2268"/>
        <v>24130.487045641468</v>
      </c>
      <c r="AM2308" s="2">
        <f t="shared" ca="1" si="2269"/>
        <v>25291.933932853641</v>
      </c>
      <c r="AN2308" s="2">
        <f t="shared" ca="1" si="2270"/>
        <v>26509.283499081881</v>
      </c>
      <c r="AO2308" s="2">
        <f t="shared" ca="1" si="2271"/>
        <v>27785.226448098867</v>
      </c>
      <c r="AP2308" s="2">
        <f t="shared" ca="1" si="2272"/>
        <v>2133399.7550952267</v>
      </c>
      <c r="AQ2308" s="2">
        <f t="shared" ca="1" si="2273"/>
        <v>787245.00202638353</v>
      </c>
      <c r="AR2308" s="2">
        <f t="shared" ca="1" si="2274"/>
        <v>867952.19290055893</v>
      </c>
      <c r="AS2308" s="2">
        <f t="shared" ca="1" si="2275"/>
        <v>936426.41394711402</v>
      </c>
      <c r="AT2308" s="2">
        <f t="shared" ca="1" si="2276"/>
        <v>1008196.4313337253</v>
      </c>
      <c r="AU2308" s="2">
        <f t="shared" ca="1" si="2277"/>
        <v>1083420.8780955567</v>
      </c>
      <c r="AV2308" s="2">
        <f t="shared" ca="1" si="2278"/>
        <v>2240620.3903827835</v>
      </c>
      <c r="AW2308" s="2">
        <f t="shared" ca="1" si="2279"/>
        <v>2446194.9850559495</v>
      </c>
      <c r="AX2308" s="2">
        <f t="shared" ca="1" si="2280"/>
        <v>2639921.7057627784</v>
      </c>
      <c r="AY2308" s="2">
        <f t="shared" ca="1" si="2281"/>
        <v>2842972.8672199827</v>
      </c>
      <c r="AZ2308" s="2">
        <f t="shared" ca="1" si="2282"/>
        <v>3055797.2727469467</v>
      </c>
      <c r="BA2308" s="2">
        <f t="shared" ca="1" si="2283"/>
        <v>57933574.136215724</v>
      </c>
      <c r="BB2308" s="2">
        <f t="shared" ca="1" si="2284"/>
        <v>1158671.4827243146</v>
      </c>
      <c r="BC2308" s="2">
        <f t="shared" ca="1" si="2285"/>
        <v>33070460.930211112</v>
      </c>
      <c r="BD2308" s="2">
        <f t="shared" ca="1" si="2286"/>
        <v>-17290646.220656879</v>
      </c>
      <c r="BE2308" s="2">
        <f t="shared" ca="1" si="2287"/>
        <v>2240620.3903827835</v>
      </c>
      <c r="BF2308" s="2">
        <f t="shared" ca="1" si="2288"/>
        <v>2446194.9850559495</v>
      </c>
      <c r="BG2308" s="2">
        <f t="shared" ca="1" si="2289"/>
        <v>2639921.7057627784</v>
      </c>
      <c r="BH2308" s="2">
        <f t="shared" ca="1" si="2290"/>
        <v>2842972.8672199827</v>
      </c>
      <c r="BI2308" s="2">
        <f t="shared" ca="1" si="2291"/>
        <v>36126258.202958062</v>
      </c>
      <c r="BJ2308" s="2">
        <f t="shared" ca="1" si="2292"/>
        <v>0.25735226732175032</v>
      </c>
      <c r="BK2308" s="2">
        <f t="shared" ca="1" si="2293"/>
        <v>10844813.245161653</v>
      </c>
    </row>
    <row r="2309" spans="1:63" x14ac:dyDescent="0.3">
      <c r="A2309" s="2">
        <v>2308</v>
      </c>
      <c r="B2309" s="2">
        <f t="shared" ca="1" si="2232"/>
        <v>9.2212831090741521E-2</v>
      </c>
      <c r="C2309" s="2">
        <f t="shared" ca="1" si="2233"/>
        <v>6.4294480902058861</v>
      </c>
      <c r="D2309" s="2">
        <f t="shared" ca="1" si="2234"/>
        <v>0.42426079321363552</v>
      </c>
      <c r="E2309" s="2">
        <f t="shared" ca="1" si="2235"/>
        <v>7.4211523144557967</v>
      </c>
      <c r="F2309" s="2">
        <f t="shared" ca="1" si="2236"/>
        <v>0.86834036043006635</v>
      </c>
      <c r="G2309" s="2">
        <f t="shared" ca="1" si="2237"/>
        <v>7.3557405662572878E-2</v>
      </c>
      <c r="H2309" s="2">
        <f t="shared" ca="1" si="2238"/>
        <v>7.3557405662572878E-2</v>
      </c>
      <c r="I2309" s="2">
        <f t="shared" ca="1" si="2239"/>
        <v>0.45299458825104466</v>
      </c>
      <c r="J2309" s="2">
        <f t="shared" ca="1" si="2240"/>
        <v>9.4095047520602951E-3</v>
      </c>
      <c r="K2309" s="2">
        <f t="shared" ca="1" si="2241"/>
        <v>9.4095047520602951E-3</v>
      </c>
      <c r="L2309" s="2">
        <f t="shared" ca="1" si="2242"/>
        <v>0.29523440811359902</v>
      </c>
      <c r="M2309" s="2">
        <f t="shared" ca="1" si="2243"/>
        <v>-1.0763135576241187E-2</v>
      </c>
      <c r="N2309" s="2">
        <f t="shared" ca="1" si="2244"/>
        <v>-1.0763135576241187E-2</v>
      </c>
      <c r="O2309" s="2">
        <f t="shared" si="2245"/>
        <v>6000000</v>
      </c>
      <c r="P2309" s="2">
        <f t="shared" ca="1" si="2246"/>
        <v>38576688.54123532</v>
      </c>
      <c r="Q2309" s="2">
        <f t="shared" ca="1" si="2247"/>
        <v>964417.21353088308</v>
      </c>
      <c r="R2309" s="2">
        <f t="shared" ca="1" si="2248"/>
        <v>23146013.124741193</v>
      </c>
      <c r="S2309" s="2">
        <f t="shared" ca="1" si="2249"/>
        <v>15430675.416494129</v>
      </c>
      <c r="T2309" s="2">
        <f t="shared" ca="1" si="2250"/>
        <v>49461843.221187942</v>
      </c>
      <c r="U2309" s="2">
        <f t="shared" ca="1" si="2251"/>
        <v>53100128.087827444</v>
      </c>
      <c r="V2309" s="2">
        <f t="shared" ca="1" si="2252"/>
        <v>57006035.750318348</v>
      </c>
      <c r="W2309" s="2">
        <f t="shared" ca="1" si="2253"/>
        <v>61199251.847219653</v>
      </c>
      <c r="X2309" s="2">
        <f t="shared" ca="1" si="2254"/>
        <v>65700910.041591555</v>
      </c>
      <c r="Y2309" s="2">
        <f t="shared" ca="1" si="2255"/>
        <v>0.12470475237603014</v>
      </c>
      <c r="Z2309" s="2">
        <f t="shared" ca="1" si="2256"/>
        <v>0.1265866533264422</v>
      </c>
      <c r="AA2309" s="2">
        <f t="shared" ca="1" si="2257"/>
        <v>6168126.9109602673</v>
      </c>
      <c r="AB2309" s="2">
        <f t="shared" ca="1" si="2258"/>
        <v>6721767.5058434885</v>
      </c>
      <c r="AC2309" s="2">
        <f t="shared" ca="1" si="2259"/>
        <v>7216203.285040319</v>
      </c>
      <c r="AD2309" s="2">
        <f t="shared" ca="1" si="2260"/>
        <v>7747008.4774216218</v>
      </c>
      <c r="AE2309" s="2">
        <f t="shared" ca="1" si="2261"/>
        <v>8316858.3226667149</v>
      </c>
      <c r="AF2309" s="2">
        <f t="shared" ca="1" si="2262"/>
        <v>989236.86442375882</v>
      </c>
      <c r="AG2309" s="2">
        <f t="shared" ca="1" si="2263"/>
        <v>1062002.5617565489</v>
      </c>
      <c r="AH2309" s="2">
        <f t="shared" ca="1" si="2264"/>
        <v>1140120.7150063671</v>
      </c>
      <c r="AI2309" s="2">
        <f t="shared" ca="1" si="2265"/>
        <v>1223985.0369443931</v>
      </c>
      <c r="AJ2309" s="2">
        <f t="shared" ca="1" si="2266"/>
        <v>1314018.2008318312</v>
      </c>
      <c r="AK2309" s="2">
        <f t="shared" ca="1" si="2267"/>
        <v>0</v>
      </c>
      <c r="AL2309" s="2">
        <f t="shared" ca="1" si="2268"/>
        <v>36382.848666395024</v>
      </c>
      <c r="AM2309" s="2">
        <f t="shared" ca="1" si="2269"/>
        <v>39059.076624909045</v>
      </c>
      <c r="AN2309" s="2">
        <f t="shared" ca="1" si="2270"/>
        <v>41932.16096901305</v>
      </c>
      <c r="AO2309" s="2">
        <f t="shared" ca="1" si="2271"/>
        <v>45016.581943719015</v>
      </c>
      <c r="AP2309" s="2">
        <f t="shared" ca="1" si="2272"/>
        <v>2083141.1812267073</v>
      </c>
      <c r="AQ2309" s="2">
        <f t="shared" ca="1" si="2273"/>
        <v>804894.70498054847</v>
      </c>
      <c r="AR2309" s="2">
        <f t="shared" ca="1" si="2274"/>
        <v>929922.17834366031</v>
      </c>
      <c r="AS2309" s="2">
        <f t="shared" ca="1" si="2275"/>
        <v>1038164.7610898836</v>
      </c>
      <c r="AT2309" s="2">
        <f t="shared" ca="1" si="2276"/>
        <v>1154369.3874051357</v>
      </c>
      <c r="AU2309" s="2">
        <f t="shared" ca="1" si="2277"/>
        <v>1279121.7245581259</v>
      </c>
      <c r="AV2309" s="2">
        <f t="shared" ca="1" si="2278"/>
        <v>2290854.1603292534</v>
      </c>
      <c r="AW2309" s="2">
        <f t="shared" ca="1" si="2279"/>
        <v>2610318.7358501768</v>
      </c>
      <c r="AX2309" s="2">
        <f t="shared" ca="1" si="2280"/>
        <v>2915717.5510924514</v>
      </c>
      <c r="AY2309" s="2">
        <f t="shared" ca="1" si="2281"/>
        <v>3243580.7108763726</v>
      </c>
      <c r="AZ2309" s="2">
        <f t="shared" ca="1" si="2282"/>
        <v>3595560.6341063315</v>
      </c>
      <c r="BA2309" s="2">
        <f t="shared" ca="1" si="2283"/>
        <v>61720672.39025905</v>
      </c>
      <c r="BB2309" s="2">
        <f t="shared" ca="1" si="2284"/>
        <v>1234413.4478051809</v>
      </c>
      <c r="BC2309" s="2">
        <f t="shared" ca="1" si="2285"/>
        <v>37340245.81771268</v>
      </c>
      <c r="BD2309" s="2">
        <f t="shared" ca="1" si="2286"/>
        <v>-16895092.630025014</v>
      </c>
      <c r="BE2309" s="2">
        <f t="shared" ca="1" si="2287"/>
        <v>2290854.1603292534</v>
      </c>
      <c r="BF2309" s="2">
        <f t="shared" ca="1" si="2288"/>
        <v>2610318.7358501768</v>
      </c>
      <c r="BG2309" s="2">
        <f t="shared" ca="1" si="2289"/>
        <v>2915717.5510924514</v>
      </c>
      <c r="BH2309" s="2">
        <f t="shared" ca="1" si="2290"/>
        <v>3243580.7108763726</v>
      </c>
      <c r="BI2309" s="2">
        <f t="shared" ca="1" si="2291"/>
        <v>40935806.45181901</v>
      </c>
      <c r="BJ2309" s="2">
        <f t="shared" ca="1" si="2292"/>
        <v>0.29810383433641618</v>
      </c>
      <c r="BK2309" s="2">
        <f t="shared" ca="1" si="2293"/>
        <v>14596023.26780387</v>
      </c>
    </row>
    <row r="2310" spans="1:63" x14ac:dyDescent="0.3">
      <c r="A2310" s="2">
        <v>2309</v>
      </c>
      <c r="B2310" s="2">
        <f t="shared" ca="1" si="2232"/>
        <v>0.5132484089503434</v>
      </c>
      <c r="C2310" s="2">
        <f t="shared" ca="1" si="2233"/>
        <v>7.0133373514218178</v>
      </c>
      <c r="D2310" s="2">
        <f t="shared" ca="1" si="2234"/>
        <v>4.565707838534605E-2</v>
      </c>
      <c r="E2310" s="2">
        <f t="shared" ca="1" si="2235"/>
        <v>6.8021823237230992</v>
      </c>
      <c r="F2310" s="2">
        <f t="shared" ca="1" si="2236"/>
        <v>0.86973714385551726</v>
      </c>
      <c r="G2310" s="2">
        <f t="shared" ca="1" si="2237"/>
        <v>7.3754483314415364E-2</v>
      </c>
      <c r="H2310" s="2">
        <f t="shared" ca="1" si="2238"/>
        <v>7.3754483314415364E-2</v>
      </c>
      <c r="I2310" s="2">
        <f t="shared" ca="1" si="2239"/>
        <v>0.53181465073335055</v>
      </c>
      <c r="J2310" s="2">
        <f t="shared" ca="1" si="2240"/>
        <v>1.0399161098170089E-2</v>
      </c>
      <c r="K2310" s="2">
        <f t="shared" ca="1" si="2241"/>
        <v>1.0399161098170089E-2</v>
      </c>
      <c r="L2310" s="2">
        <f t="shared" ca="1" si="2242"/>
        <v>0.90388936077753568</v>
      </c>
      <c r="M2310" s="2">
        <f t="shared" ca="1" si="2243"/>
        <v>2.6080721746309519E-2</v>
      </c>
      <c r="N2310" s="2">
        <f t="shared" ca="1" si="2244"/>
        <v>2.6080721746309519E-2</v>
      </c>
      <c r="O2310" s="2">
        <f t="shared" si="2245"/>
        <v>6000000</v>
      </c>
      <c r="P2310" s="2">
        <f t="shared" ca="1" si="2246"/>
        <v>42080024.108530909</v>
      </c>
      <c r="Q2310" s="2">
        <f t="shared" ca="1" si="2247"/>
        <v>1052000.6027132727</v>
      </c>
      <c r="R2310" s="2">
        <f t="shared" ca="1" si="2248"/>
        <v>25248014.465118546</v>
      </c>
      <c r="S2310" s="2">
        <f t="shared" ca="1" si="2249"/>
        <v>16832009.643412363</v>
      </c>
      <c r="T2310" s="2">
        <f t="shared" ca="1" si="2250"/>
        <v>51304036.087315477</v>
      </c>
      <c r="U2310" s="2">
        <f t="shared" ca="1" si="2251"/>
        <v>55087938.760879546</v>
      </c>
      <c r="V2310" s="2">
        <f t="shared" ca="1" si="2252"/>
        <v>59150921.221044369</v>
      </c>
      <c r="W2310" s="2">
        <f t="shared" ca="1" si="2253"/>
        <v>63513566.853274174</v>
      </c>
      <c r="X2310" s="2">
        <f t="shared" ca="1" si="2254"/>
        <v>68197977.159992978</v>
      </c>
      <c r="Y2310" s="2">
        <f t="shared" ca="1" si="2255"/>
        <v>0.12519958054908503</v>
      </c>
      <c r="Z2310" s="2">
        <f t="shared" ca="1" si="2256"/>
        <v>0.12727941276871907</v>
      </c>
      <c r="AA2310" s="2">
        <f t="shared" ca="1" si="2257"/>
        <v>6423243.7986070197</v>
      </c>
      <c r="AB2310" s="2">
        <f t="shared" ca="1" si="2258"/>
        <v>7011560.4961239062</v>
      </c>
      <c r="AC2310" s="2">
        <f t="shared" ca="1" si="2259"/>
        <v>7528694.5177432904</v>
      </c>
      <c r="AD2310" s="2">
        <f t="shared" ca="1" si="2260"/>
        <v>8083969.4919315167</v>
      </c>
      <c r="AE2310" s="2">
        <f t="shared" ca="1" si="2261"/>
        <v>8680198.4849384222</v>
      </c>
      <c r="AF2310" s="2">
        <f t="shared" ca="1" si="2262"/>
        <v>1026080.7217463095</v>
      </c>
      <c r="AG2310" s="2">
        <f t="shared" ca="1" si="2263"/>
        <v>1101758.7752175909</v>
      </c>
      <c r="AH2310" s="2">
        <f t="shared" ca="1" si="2264"/>
        <v>1183018.4244208874</v>
      </c>
      <c r="AI2310" s="2">
        <f t="shared" ca="1" si="2265"/>
        <v>1270271.3370654834</v>
      </c>
      <c r="AJ2310" s="2">
        <f t="shared" ca="1" si="2266"/>
        <v>1363959.5431998596</v>
      </c>
      <c r="AK2310" s="2">
        <f t="shared" ca="1" si="2267"/>
        <v>0</v>
      </c>
      <c r="AL2310" s="2">
        <f t="shared" ca="1" si="2268"/>
        <v>37839.026735640691</v>
      </c>
      <c r="AM2310" s="2">
        <f t="shared" ca="1" si="2269"/>
        <v>40629.82460164823</v>
      </c>
      <c r="AN2310" s="2">
        <f t="shared" ca="1" si="2270"/>
        <v>43626.456322298051</v>
      </c>
      <c r="AO2310" s="2">
        <f t="shared" ca="1" si="2271"/>
        <v>46844.103067188043</v>
      </c>
      <c r="AP2310" s="2">
        <f t="shared" ca="1" si="2272"/>
        <v>2272321.3018606692</v>
      </c>
      <c r="AQ2310" s="2">
        <f t="shared" ca="1" si="2273"/>
        <v>812458.86150001071</v>
      </c>
      <c r="AR2310" s="2">
        <f t="shared" ca="1" si="2274"/>
        <v>945744.90895186807</v>
      </c>
      <c r="AS2310" s="2">
        <f t="shared" ca="1" si="2275"/>
        <v>1059072.2457800508</v>
      </c>
      <c r="AT2310" s="2">
        <f t="shared" ca="1" si="2276"/>
        <v>1180757.9817813949</v>
      </c>
      <c r="AU2310" s="2">
        <f t="shared" ca="1" si="2277"/>
        <v>1311418.5863682523</v>
      </c>
      <c r="AV2310" s="2">
        <f t="shared" ca="1" si="2278"/>
        <v>2312382.9135000301</v>
      </c>
      <c r="AW2310" s="2">
        <f t="shared" ca="1" si="2279"/>
        <v>2653896.4833581368</v>
      </c>
      <c r="AX2310" s="2">
        <f t="shared" ca="1" si="2280"/>
        <v>2973652.7210800345</v>
      </c>
      <c r="AY2310" s="2">
        <f t="shared" ca="1" si="2281"/>
        <v>3316992.4149016705</v>
      </c>
      <c r="AZ2310" s="2">
        <f t="shared" ca="1" si="2282"/>
        <v>3685654.9504424534</v>
      </c>
      <c r="BA2310" s="2">
        <f t="shared" ca="1" si="2283"/>
        <v>59044292.700656161</v>
      </c>
      <c r="BB2310" s="2">
        <f t="shared" ca="1" si="2284"/>
        <v>1180885.8540131233</v>
      </c>
      <c r="BC2310" s="2">
        <f t="shared" ca="1" si="2285"/>
        <v>32615392.381524496</v>
      </c>
      <c r="BD2310" s="2">
        <f t="shared" ca="1" si="2286"/>
        <v>-18384010.246125635</v>
      </c>
      <c r="BE2310" s="2">
        <f t="shared" ca="1" si="2287"/>
        <v>2312382.9135000301</v>
      </c>
      <c r="BF2310" s="2">
        <f t="shared" ca="1" si="2288"/>
        <v>2653896.4833581368</v>
      </c>
      <c r="BG2310" s="2">
        <f t="shared" ca="1" si="2289"/>
        <v>2973652.7210800345</v>
      </c>
      <c r="BH2310" s="2">
        <f t="shared" ca="1" si="2290"/>
        <v>3316992.4149016705</v>
      </c>
      <c r="BI2310" s="2">
        <f t="shared" ca="1" si="2291"/>
        <v>36301047.331966951</v>
      </c>
      <c r="BJ2310" s="2">
        <f t="shared" ca="1" si="2292"/>
        <v>0.24900966644518419</v>
      </c>
      <c r="BK2310" s="2">
        <f t="shared" ca="1" si="2293"/>
        <v>10619072.4465941</v>
      </c>
    </row>
    <row r="2311" spans="1:63" x14ac:dyDescent="0.3">
      <c r="A2311" s="2">
        <v>2310</v>
      </c>
      <c r="B2311" s="2">
        <f t="shared" ca="1" si="2232"/>
        <v>0.86223618205668517</v>
      </c>
      <c r="C2311" s="2">
        <f t="shared" ca="1" si="2233"/>
        <v>7.4750927359174479</v>
      </c>
      <c r="D2311" s="2">
        <f t="shared" ca="1" si="2234"/>
        <v>0.9070024960451869</v>
      </c>
      <c r="E2311" s="2">
        <f t="shared" ca="1" si="2235"/>
        <v>8.0687286145480712</v>
      </c>
      <c r="F2311" s="2">
        <f t="shared" ca="1" si="2236"/>
        <v>0.97736863017321207</v>
      </c>
      <c r="G2311" s="2">
        <f t="shared" ca="1" si="2237"/>
        <v>0.10006613563233106</v>
      </c>
      <c r="H2311" s="2">
        <f t="shared" ca="1" si="2238"/>
        <v>0.10006613563233106</v>
      </c>
      <c r="I2311" s="2">
        <f t="shared" ca="1" si="2239"/>
        <v>0.37196230810082354</v>
      </c>
      <c r="J2311" s="2">
        <f t="shared" ca="1" si="2240"/>
        <v>8.3666970845495108E-3</v>
      </c>
      <c r="K2311" s="2">
        <f t="shared" ca="1" si="2241"/>
        <v>8.3666970845495108E-3</v>
      </c>
      <c r="L2311" s="2">
        <f t="shared" ca="1" si="2242"/>
        <v>0.26878573266355377</v>
      </c>
      <c r="M2311" s="2">
        <f t="shared" ca="1" si="2243"/>
        <v>-1.2329791044136753E-2</v>
      </c>
      <c r="N2311" s="2">
        <f t="shared" ca="1" si="2244"/>
        <v>-1.2329791044136753E-2</v>
      </c>
      <c r="O2311" s="2">
        <f t="shared" si="2245"/>
        <v>6000000</v>
      </c>
      <c r="P2311" s="2">
        <f t="shared" ca="1" si="2246"/>
        <v>44850556.415504687</v>
      </c>
      <c r="Q2311" s="2">
        <f t="shared" ca="1" si="2247"/>
        <v>1121263.9103876173</v>
      </c>
      <c r="R2311" s="2">
        <f t="shared" ca="1" si="2248"/>
        <v>26910333.84930281</v>
      </c>
      <c r="S2311" s="2">
        <f t="shared" ca="1" si="2249"/>
        <v>17940222.566201877</v>
      </c>
      <c r="T2311" s="2">
        <f t="shared" ca="1" si="2250"/>
        <v>49383510.447793163</v>
      </c>
      <c r="U2311" s="2">
        <f t="shared" ca="1" si="2251"/>
        <v>54325127.502262674</v>
      </c>
      <c r="V2311" s="2">
        <f t="shared" ca="1" si="2252"/>
        <v>59761233.079147771</v>
      </c>
      <c r="W2311" s="2">
        <f t="shared" ca="1" si="2253"/>
        <v>65741308.734001122</v>
      </c>
      <c r="X2311" s="2">
        <f t="shared" ca="1" si="2254"/>
        <v>72319787.450424641</v>
      </c>
      <c r="Y2311" s="2">
        <f t="shared" ca="1" si="2255"/>
        <v>0.12418334854227475</v>
      </c>
      <c r="Z2311" s="2">
        <f t="shared" ca="1" si="2256"/>
        <v>0.12585668795918464</v>
      </c>
      <c r="AA2311" s="2">
        <f t="shared" ca="1" si="2257"/>
        <v>6132609.6901793648</v>
      </c>
      <c r="AB2311" s="2">
        <f t="shared" ca="1" si="2258"/>
        <v>6837180.6203951929</v>
      </c>
      <c r="AC2311" s="2">
        <f t="shared" ca="1" si="2259"/>
        <v>7521350.8636984043</v>
      </c>
      <c r="AD2311" s="2">
        <f t="shared" ca="1" si="2260"/>
        <v>8273983.3793635992</v>
      </c>
      <c r="AE2311" s="2">
        <f t="shared" ca="1" si="2261"/>
        <v>9101928.9224226512</v>
      </c>
      <c r="AF2311" s="2">
        <f t="shared" ca="1" si="2262"/>
        <v>987670.20895586326</v>
      </c>
      <c r="AG2311" s="2">
        <f t="shared" ca="1" si="2263"/>
        <v>1086502.5500452535</v>
      </c>
      <c r="AH2311" s="2">
        <f t="shared" ca="1" si="2264"/>
        <v>1195224.6615829554</v>
      </c>
      <c r="AI2311" s="2">
        <f t="shared" ca="1" si="2265"/>
        <v>1314826.1746800225</v>
      </c>
      <c r="AJ2311" s="2">
        <f t="shared" ca="1" si="2266"/>
        <v>1446395.7490084928</v>
      </c>
      <c r="AK2311" s="2">
        <f t="shared" ca="1" si="2267"/>
        <v>0</v>
      </c>
      <c r="AL2311" s="2">
        <f t="shared" ca="1" si="2268"/>
        <v>49416.170544695109</v>
      </c>
      <c r="AM2311" s="2">
        <f t="shared" ca="1" si="2269"/>
        <v>54361.055768850965</v>
      </c>
      <c r="AN2311" s="2">
        <f t="shared" ca="1" si="2270"/>
        <v>59800.756548533514</v>
      </c>
      <c r="AO2311" s="2">
        <f t="shared" ca="1" si="2271"/>
        <v>65784.787164235197</v>
      </c>
      <c r="AP2311" s="2">
        <f t="shared" ca="1" si="2272"/>
        <v>2421930.0464372528</v>
      </c>
      <c r="AQ2311" s="2">
        <f t="shared" ca="1" si="2273"/>
        <v>707982.45304442465</v>
      </c>
      <c r="AR2311" s="2">
        <f t="shared" ca="1" si="2274"/>
        <v>865474.48621729854</v>
      </c>
      <c r="AS2311" s="2">
        <f t="shared" ca="1" si="2275"/>
        <v>1015091.0004763311</v>
      </c>
      <c r="AT2311" s="2">
        <f t="shared" ca="1" si="2276"/>
        <v>1179679.0611440442</v>
      </c>
      <c r="AU2311" s="2">
        <f t="shared" ca="1" si="2277"/>
        <v>1360736.8130139955</v>
      </c>
      <c r="AV2311" s="2">
        <f t="shared" ca="1" si="2278"/>
        <v>2015026.9817418237</v>
      </c>
      <c r="AW2311" s="2">
        <f t="shared" ca="1" si="2279"/>
        <v>2413857.3671506927</v>
      </c>
      <c r="AX2311" s="2">
        <f t="shared" ca="1" si="2280"/>
        <v>2834744.0994330137</v>
      </c>
      <c r="AY2311" s="2">
        <f t="shared" ca="1" si="2281"/>
        <v>3297747.340553747</v>
      </c>
      <c r="AZ2311" s="2">
        <f t="shared" ca="1" si="2282"/>
        <v>3807081.5267986744</v>
      </c>
      <c r="BA2311" s="2">
        <f t="shared" ca="1" si="2283"/>
        <v>73440994.343934342</v>
      </c>
      <c r="BB2311" s="2">
        <f t="shared" ca="1" si="2284"/>
        <v>1468819.886878687</v>
      </c>
      <c r="BC2311" s="2">
        <f t="shared" ca="1" si="2285"/>
        <v>45061840.607752845</v>
      </c>
      <c r="BD2311" s="2">
        <f t="shared" ca="1" si="2286"/>
        <v>-19561486.476589493</v>
      </c>
      <c r="BE2311" s="2">
        <f t="shared" ca="1" si="2287"/>
        <v>2015026.9817418237</v>
      </c>
      <c r="BF2311" s="2">
        <f t="shared" ca="1" si="2288"/>
        <v>2413857.3671506927</v>
      </c>
      <c r="BG2311" s="2">
        <f t="shared" ca="1" si="2289"/>
        <v>2834744.0994330137</v>
      </c>
      <c r="BH2311" s="2">
        <f t="shared" ca="1" si="2290"/>
        <v>3297747.340553747</v>
      </c>
      <c r="BI2311" s="2">
        <f t="shared" ca="1" si="2291"/>
        <v>48868922.134551518</v>
      </c>
      <c r="BJ2311" s="2">
        <f t="shared" ca="1" si="2292"/>
        <v>0.28441522563350308</v>
      </c>
      <c r="BK2311" s="2">
        <f t="shared" ca="1" si="2293"/>
        <v>16004988.811163537</v>
      </c>
    </row>
    <row r="2312" spans="1:63" x14ac:dyDescent="0.3">
      <c r="A2312" s="2">
        <v>2311</v>
      </c>
      <c r="B2312" s="2">
        <f t="shared" ca="1" si="2232"/>
        <v>0.27962573841539284</v>
      </c>
      <c r="C2312" s="2">
        <f t="shared" ca="1" si="2233"/>
        <v>6.7478311820396266</v>
      </c>
      <c r="D2312" s="2">
        <f t="shared" ca="1" si="2234"/>
        <v>0.4422271583244648</v>
      </c>
      <c r="E2312" s="2">
        <f t="shared" ca="1" si="2235"/>
        <v>7.4404543139615713</v>
      </c>
      <c r="F2312" s="2">
        <f t="shared" ca="1" si="2236"/>
        <v>3.3282121680600851E-2</v>
      </c>
      <c r="G2312" s="2">
        <f t="shared" ca="1" si="2237"/>
        <v>-1.5038148774483638E-2</v>
      </c>
      <c r="H2312" s="2">
        <f t="shared" ca="1" si="2238"/>
        <v>-1.5038148774483638E-2</v>
      </c>
      <c r="I2312" s="2">
        <f t="shared" ca="1" si="2239"/>
        <v>0.40098920845981179</v>
      </c>
      <c r="J2312" s="2">
        <f t="shared" ca="1" si="2240"/>
        <v>8.7460625683005184E-3</v>
      </c>
      <c r="K2312" s="2">
        <f t="shared" ca="1" si="2241"/>
        <v>8.7460625683005184E-3</v>
      </c>
      <c r="L2312" s="2">
        <f t="shared" ca="1" si="2242"/>
        <v>0.6516957504887978</v>
      </c>
      <c r="M2312" s="2">
        <f t="shared" ca="1" si="2243"/>
        <v>7.7980539534266025E-3</v>
      </c>
      <c r="N2312" s="2">
        <f t="shared" ca="1" si="2244"/>
        <v>7.7980539534266025E-3</v>
      </c>
      <c r="O2312" s="2">
        <f t="shared" si="2245"/>
        <v>6000000</v>
      </c>
      <c r="P2312" s="2">
        <f t="shared" ca="1" si="2246"/>
        <v>40486987.092237763</v>
      </c>
      <c r="Q2312" s="2">
        <f t="shared" ca="1" si="2247"/>
        <v>1012174.6773059441</v>
      </c>
      <c r="R2312" s="2">
        <f t="shared" ca="1" si="2248"/>
        <v>24292192.255342659</v>
      </c>
      <c r="S2312" s="2">
        <f t="shared" ca="1" si="2249"/>
        <v>16194794.836895106</v>
      </c>
      <c r="T2312" s="2">
        <f t="shared" ca="1" si="2250"/>
        <v>50389902.697671331</v>
      </c>
      <c r="U2312" s="2">
        <f t="shared" ca="1" si="2251"/>
        <v>49632131.844171993</v>
      </c>
      <c r="V2312" s="2">
        <f t="shared" ca="1" si="2252"/>
        <v>48885756.461504549</v>
      </c>
      <c r="W2312" s="2">
        <f t="shared" ca="1" si="2253"/>
        <v>48150605.18288327</v>
      </c>
      <c r="X2312" s="2">
        <f t="shared" ca="1" si="2254"/>
        <v>47426509.218561649</v>
      </c>
      <c r="Y2312" s="2">
        <f t="shared" ca="1" si="2255"/>
        <v>0.12437303128415025</v>
      </c>
      <c r="Z2312" s="2">
        <f t="shared" ca="1" si="2256"/>
        <v>0.12612224379781037</v>
      </c>
      <c r="AA2312" s="2">
        <f t="shared" ca="1" si="2257"/>
        <v>6267144.9446227634</v>
      </c>
      <c r="AB2312" s="2">
        <f t="shared" ca="1" si="2258"/>
        <v>6259715.8326557279</v>
      </c>
      <c r="AC2312" s="2">
        <f t="shared" ca="1" si="2259"/>
        <v>6165581.2946782606</v>
      </c>
      <c r="AD2312" s="2">
        <f t="shared" ca="1" si="2260"/>
        <v>6072862.3658877155</v>
      </c>
      <c r="AE2312" s="2">
        <f t="shared" ca="1" si="2261"/>
        <v>5981537.7581425328</v>
      </c>
      <c r="AF2312" s="2">
        <f t="shared" ca="1" si="2262"/>
        <v>1007798.0539534267</v>
      </c>
      <c r="AG2312" s="2">
        <f t="shared" ca="1" si="2263"/>
        <v>992642.63688343985</v>
      </c>
      <c r="AH2312" s="2">
        <f t="shared" ca="1" si="2264"/>
        <v>977715.129230091</v>
      </c>
      <c r="AI2312" s="2">
        <f t="shared" ca="1" si="2265"/>
        <v>963012.10365766543</v>
      </c>
      <c r="AJ2312" s="2">
        <f t="shared" ca="1" si="2266"/>
        <v>948530.18437123299</v>
      </c>
      <c r="AK2312" s="2">
        <f t="shared" ca="1" si="2267"/>
        <v>0</v>
      </c>
      <c r="AL2312" s="2">
        <f t="shared" ca="1" si="2268"/>
        <v>0</v>
      </c>
      <c r="AM2312" s="2">
        <f t="shared" ca="1" si="2269"/>
        <v>0</v>
      </c>
      <c r="AN2312" s="2">
        <f t="shared" ca="1" si="2270"/>
        <v>0</v>
      </c>
      <c r="AO2312" s="2">
        <f t="shared" ca="1" si="2271"/>
        <v>0</v>
      </c>
      <c r="AP2312" s="2">
        <f t="shared" ca="1" si="2272"/>
        <v>2186297.3029808393</v>
      </c>
      <c r="AQ2312" s="2">
        <f t="shared" ca="1" si="2273"/>
        <v>798992.89279900934</v>
      </c>
      <c r="AR2312" s="2">
        <f t="shared" ca="1" si="2274"/>
        <v>801001.73212577682</v>
      </c>
      <c r="AS2312" s="2">
        <f t="shared" ca="1" si="2275"/>
        <v>780407.90424150578</v>
      </c>
      <c r="AT2312" s="2">
        <f t="shared" ca="1" si="2276"/>
        <v>760123.76940479479</v>
      </c>
      <c r="AU2312" s="2">
        <f t="shared" ca="1" si="2277"/>
        <v>740144.67040551978</v>
      </c>
      <c r="AV2312" s="2">
        <f t="shared" ca="1" si="2278"/>
        <v>2274056.6948894877</v>
      </c>
      <c r="AW2312" s="2">
        <f t="shared" ca="1" si="2279"/>
        <v>2279774.1606656723</v>
      </c>
      <c r="AX2312" s="2">
        <f t="shared" ca="1" si="2280"/>
        <v>2221160.9582258239</v>
      </c>
      <c r="AY2312" s="2">
        <f t="shared" ca="1" si="2281"/>
        <v>2163429.1898444155</v>
      </c>
      <c r="AZ2312" s="2">
        <f t="shared" ca="1" si="2282"/>
        <v>2106565.6003849404</v>
      </c>
      <c r="BA2312" s="2">
        <f t="shared" ca="1" si="2283"/>
        <v>44505358.416695632</v>
      </c>
      <c r="BB2312" s="2">
        <f t="shared" ca="1" si="2284"/>
        <v>890107.16833391262</v>
      </c>
      <c r="BC2312" s="2">
        <f t="shared" ca="1" si="2285"/>
        <v>19323058.993019059</v>
      </c>
      <c r="BD2312" s="2">
        <f t="shared" ca="1" si="2286"/>
        <v>-17706969.514201049</v>
      </c>
      <c r="BE2312" s="2">
        <f t="shared" ca="1" si="2287"/>
        <v>2274056.6948894877</v>
      </c>
      <c r="BF2312" s="2">
        <f t="shared" ca="1" si="2288"/>
        <v>2279774.1606656723</v>
      </c>
      <c r="BG2312" s="2">
        <f t="shared" ca="1" si="2289"/>
        <v>2221160.9582258239</v>
      </c>
      <c r="BH2312" s="2">
        <f t="shared" ca="1" si="2290"/>
        <v>2163429.1898444155</v>
      </c>
      <c r="BI2312" s="2">
        <f t="shared" ca="1" si="2291"/>
        <v>21429624.593403999</v>
      </c>
      <c r="BJ2312" s="2">
        <f t="shared" ca="1" si="2292"/>
        <v>0.13922906762906395</v>
      </c>
      <c r="BK2312" s="2">
        <f t="shared" ca="1" si="2293"/>
        <v>1256481.6132143177</v>
      </c>
    </row>
    <row r="2313" spans="1:63" x14ac:dyDescent="0.3">
      <c r="A2313" s="2">
        <v>2312</v>
      </c>
      <c r="B2313" s="2">
        <f t="shared" ca="1" si="2232"/>
        <v>0.78514450446260853</v>
      </c>
      <c r="C2313" s="2">
        <f t="shared" ca="1" si="2233"/>
        <v>7.3444765518497581</v>
      </c>
      <c r="D2313" s="2">
        <f t="shared" ca="1" si="2234"/>
        <v>0.29232201127439139</v>
      </c>
      <c r="E2313" s="2">
        <f t="shared" ca="1" si="2235"/>
        <v>7.2646201818869178</v>
      </c>
      <c r="F2313" s="2">
        <f t="shared" ca="1" si="2236"/>
        <v>0.46685938735744925</v>
      </c>
      <c r="G2313" s="2">
        <f t="shared" ca="1" si="2237"/>
        <v>3.7504990857282809E-2</v>
      </c>
      <c r="H2313" s="2">
        <f t="shared" ca="1" si="2238"/>
        <v>3.7504990857282809E-2</v>
      </c>
      <c r="I2313" s="2">
        <f t="shared" ca="1" si="2239"/>
        <v>0.50154924465519624</v>
      </c>
      <c r="J2313" s="2">
        <f t="shared" ca="1" si="2240"/>
        <v>1.0019416951088668E-2</v>
      </c>
      <c r="K2313" s="2">
        <f t="shared" ca="1" si="2241"/>
        <v>1.0019416951088668E-2</v>
      </c>
      <c r="L2313" s="2">
        <f t="shared" ca="1" si="2242"/>
        <v>0.17386039603493808</v>
      </c>
      <c r="M2313" s="2">
        <f t="shared" ca="1" si="2243"/>
        <v>-1.8780387685257111E-2</v>
      </c>
      <c r="N2313" s="2">
        <f t="shared" ca="1" si="2244"/>
        <v>-1.8780387685257111E-2</v>
      </c>
      <c r="O2313" s="2">
        <f t="shared" si="2245"/>
        <v>6000000</v>
      </c>
      <c r="P2313" s="2">
        <f t="shared" ca="1" si="2246"/>
        <v>44066859.311098546</v>
      </c>
      <c r="Q2313" s="2">
        <f t="shared" ca="1" si="2247"/>
        <v>1101671.4827774637</v>
      </c>
      <c r="R2313" s="2">
        <f t="shared" ca="1" si="2248"/>
        <v>26440115.586659126</v>
      </c>
      <c r="S2313" s="2">
        <f t="shared" ca="1" si="2249"/>
        <v>17626743.72443942</v>
      </c>
      <c r="T2313" s="2">
        <f t="shared" ca="1" si="2250"/>
        <v>49060980.61573714</v>
      </c>
      <c r="U2313" s="2">
        <f t="shared" ca="1" si="2251"/>
        <v>50901012.24517969</v>
      </c>
      <c r="V2313" s="2">
        <f t="shared" ca="1" si="2252"/>
        <v>52810054.244061597</v>
      </c>
      <c r="W2313" s="2">
        <f t="shared" ca="1" si="2253"/>
        <v>54790694.845657736</v>
      </c>
      <c r="X2313" s="2">
        <f t="shared" ca="1" si="2254"/>
        <v>56845619.354908302</v>
      </c>
      <c r="Y2313" s="2">
        <f t="shared" ca="1" si="2255"/>
        <v>0.12500970847554432</v>
      </c>
      <c r="Z2313" s="2">
        <f t="shared" ca="1" si="2256"/>
        <v>0.12701359186576205</v>
      </c>
      <c r="AA2313" s="2">
        <f t="shared" ca="1" si="2257"/>
        <v>6133098.8842976307</v>
      </c>
      <c r="AB2313" s="2">
        <f t="shared" ca="1" si="2258"/>
        <v>6465120.3948634099</v>
      </c>
      <c r="AC2313" s="2">
        <f t="shared" ca="1" si="2259"/>
        <v>6707594.6761639947</v>
      </c>
      <c r="AD2313" s="2">
        <f t="shared" ca="1" si="2260"/>
        <v>6959162.9531678846</v>
      </c>
      <c r="AE2313" s="2">
        <f t="shared" ca="1" si="2261"/>
        <v>7220166.2961007869</v>
      </c>
      <c r="AF2313" s="2">
        <f t="shared" ca="1" si="2262"/>
        <v>981219.61231474287</v>
      </c>
      <c r="AG2313" s="2">
        <f t="shared" ca="1" si="2263"/>
        <v>1018020.2449035938</v>
      </c>
      <c r="AH2313" s="2">
        <f t="shared" ca="1" si="2264"/>
        <v>1056201.0848812319</v>
      </c>
      <c r="AI2313" s="2">
        <f t="shared" ca="1" si="2265"/>
        <v>1095813.8969131547</v>
      </c>
      <c r="AJ2313" s="2">
        <f t="shared" ca="1" si="2266"/>
        <v>1136912.3870981662</v>
      </c>
      <c r="AK2313" s="2">
        <f t="shared" ca="1" si="2267"/>
        <v>0</v>
      </c>
      <c r="AL2313" s="2">
        <f t="shared" ca="1" si="2268"/>
        <v>18400.316294425502</v>
      </c>
      <c r="AM2313" s="2">
        <f t="shared" ca="1" si="2269"/>
        <v>19090.419988819063</v>
      </c>
      <c r="AN2313" s="2">
        <f t="shared" ca="1" si="2270"/>
        <v>19806.406015961395</v>
      </c>
      <c r="AO2313" s="2">
        <f t="shared" ca="1" si="2271"/>
        <v>20549.245092505666</v>
      </c>
      <c r="AP2313" s="2">
        <f t="shared" ca="1" si="2272"/>
        <v>2379610.4027993213</v>
      </c>
      <c r="AQ2313" s="2">
        <f t="shared" ca="1" si="2273"/>
        <v>720789.90598772734</v>
      </c>
      <c r="AR2313" s="2">
        <f t="shared" ca="1" si="2274"/>
        <v>797547.33426172857</v>
      </c>
      <c r="AS2313" s="2">
        <f t="shared" ca="1" si="2275"/>
        <v>850663.62900569476</v>
      </c>
      <c r="AT2313" s="2">
        <f t="shared" ca="1" si="2276"/>
        <v>905772.04989840614</v>
      </c>
      <c r="AU2313" s="2">
        <f t="shared" ca="1" si="2277"/>
        <v>962947.31161285785</v>
      </c>
      <c r="AV2313" s="2">
        <f t="shared" ca="1" si="2278"/>
        <v>2051478.963195839</v>
      </c>
      <c r="AW2313" s="2">
        <f t="shared" ca="1" si="2279"/>
        <v>2251542.0966043407</v>
      </c>
      <c r="AX2313" s="2">
        <f t="shared" ca="1" si="2280"/>
        <v>2402029.1394889271</v>
      </c>
      <c r="AY2313" s="2">
        <f t="shared" ca="1" si="2281"/>
        <v>2558160.1975410404</v>
      </c>
      <c r="AZ2313" s="2">
        <f t="shared" ca="1" si="2282"/>
        <v>2720146.9494979363</v>
      </c>
      <c r="BA2313" s="2">
        <f t="shared" ca="1" si="2283"/>
        <v>52451765.791233495</v>
      </c>
      <c r="BB2313" s="2">
        <f t="shared" ca="1" si="2284"/>
        <v>1049035.31582467</v>
      </c>
      <c r="BC2313" s="2">
        <f t="shared" ca="1" si="2285"/>
        <v>24962614.8887497</v>
      </c>
      <c r="BD2313" s="2">
        <f t="shared" ca="1" si="2286"/>
        <v>-19228415.207216885</v>
      </c>
      <c r="BE2313" s="2">
        <f t="shared" ca="1" si="2287"/>
        <v>2051478.963195839</v>
      </c>
      <c r="BF2313" s="2">
        <f t="shared" ca="1" si="2288"/>
        <v>2251542.0966043407</v>
      </c>
      <c r="BG2313" s="2">
        <f t="shared" ca="1" si="2289"/>
        <v>2402029.1394889271</v>
      </c>
      <c r="BH2313" s="2">
        <f t="shared" ca="1" si="2290"/>
        <v>2558160.1975410404</v>
      </c>
      <c r="BI2313" s="2">
        <f t="shared" ca="1" si="2291"/>
        <v>27682761.838247634</v>
      </c>
      <c r="BJ2313" s="2">
        <f t="shared" ca="1" si="2292"/>
        <v>0.16498605657620335</v>
      </c>
      <c r="BK2313" s="2">
        <f t="shared" ca="1" si="2293"/>
        <v>3441594.4695922025</v>
      </c>
    </row>
    <row r="2314" spans="1:63" x14ac:dyDescent="0.3">
      <c r="A2314" s="2">
        <v>2313</v>
      </c>
      <c r="B2314" s="2">
        <f t="shared" ca="1" si="2232"/>
        <v>0.93767676124940358</v>
      </c>
      <c r="C2314" s="2">
        <f t="shared" ca="1" si="2233"/>
        <v>7.6469469197115076</v>
      </c>
      <c r="D2314" s="2">
        <f t="shared" ca="1" si="2234"/>
        <v>0.62785020108859946</v>
      </c>
      <c r="E2314" s="2">
        <f t="shared" ca="1" si="2235"/>
        <v>7.6372720024116516</v>
      </c>
      <c r="F2314" s="2">
        <f t="shared" ca="1" si="2236"/>
        <v>0.67664172345542029</v>
      </c>
      <c r="G2314" s="2">
        <f t="shared" ca="1" si="2237"/>
        <v>5.3749850759314571E-2</v>
      </c>
      <c r="H2314" s="2">
        <f t="shared" ca="1" si="2238"/>
        <v>5.3749850759314571E-2</v>
      </c>
      <c r="I2314" s="2">
        <f t="shared" ca="1" si="2239"/>
        <v>0.34753588837269289</v>
      </c>
      <c r="J2314" s="2">
        <f t="shared" ca="1" si="2240"/>
        <v>8.0400917804190567E-3</v>
      </c>
      <c r="K2314" s="2">
        <f t="shared" ca="1" si="2241"/>
        <v>8.0400917804190567E-3</v>
      </c>
      <c r="L2314" s="2">
        <f t="shared" ca="1" si="2242"/>
        <v>0.64700925116635633</v>
      </c>
      <c r="M2314" s="2">
        <f t="shared" ca="1" si="2243"/>
        <v>7.545170324112652E-3</v>
      </c>
      <c r="N2314" s="2">
        <f t="shared" ca="1" si="2244"/>
        <v>7.545170324112652E-3</v>
      </c>
      <c r="O2314" s="2">
        <f t="shared" si="2245"/>
        <v>6000000</v>
      </c>
      <c r="P2314" s="2">
        <f t="shared" ca="1" si="2246"/>
        <v>45881681.518269047</v>
      </c>
      <c r="Q2314" s="2">
        <f t="shared" ca="1" si="2247"/>
        <v>1147042.0379567263</v>
      </c>
      <c r="R2314" s="2">
        <f t="shared" ca="1" si="2248"/>
        <v>27529008.910961427</v>
      </c>
      <c r="S2314" s="2">
        <f t="shared" ca="1" si="2249"/>
        <v>18352672.60730762</v>
      </c>
      <c r="T2314" s="2">
        <f t="shared" ca="1" si="2250"/>
        <v>50377258.516205639</v>
      </c>
      <c r="U2314" s="2">
        <f t="shared" ca="1" si="2251"/>
        <v>53085028.643115103</v>
      </c>
      <c r="V2314" s="2">
        <f t="shared" ca="1" si="2252"/>
        <v>55938341.010236479</v>
      </c>
      <c r="W2314" s="2">
        <f t="shared" ca="1" si="2253"/>
        <v>58945018.491260335</v>
      </c>
      <c r="X2314" s="2">
        <f t="shared" ca="1" si="2254"/>
        <v>62113304.438170619</v>
      </c>
      <c r="Y2314" s="2">
        <f t="shared" ca="1" si="2255"/>
        <v>0.12402004589020953</v>
      </c>
      <c r="Z2314" s="2">
        <f t="shared" ca="1" si="2256"/>
        <v>0.12562806424629333</v>
      </c>
      <c r="AA2314" s="2">
        <f t="shared" ca="1" si="2257"/>
        <v>6247789.9130027723</v>
      </c>
      <c r="AB2314" s="2">
        <f t="shared" ca="1" si="2258"/>
        <v>6668969.3888935857</v>
      </c>
      <c r="AC2314" s="2">
        <f t="shared" ca="1" si="2259"/>
        <v>7027425.4982650531</v>
      </c>
      <c r="AD2314" s="2">
        <f t="shared" ca="1" si="2260"/>
        <v>7405148.5700190021</v>
      </c>
      <c r="AE2314" s="2">
        <f t="shared" ca="1" si="2261"/>
        <v>7803174.2005080748</v>
      </c>
      <c r="AF2314" s="2">
        <f t="shared" ca="1" si="2262"/>
        <v>1007545.1703241128</v>
      </c>
      <c r="AG2314" s="2">
        <f t="shared" ca="1" si="2263"/>
        <v>1061700.5728623022</v>
      </c>
      <c r="AH2314" s="2">
        <f t="shared" ca="1" si="2264"/>
        <v>1118766.8202047297</v>
      </c>
      <c r="AI2314" s="2">
        <f t="shared" ca="1" si="2265"/>
        <v>1178900.3698252067</v>
      </c>
      <c r="AJ2314" s="2">
        <f t="shared" ca="1" si="2266"/>
        <v>1242266.0887634123</v>
      </c>
      <c r="AK2314" s="2">
        <f t="shared" ca="1" si="2267"/>
        <v>0</v>
      </c>
      <c r="AL2314" s="2">
        <f t="shared" ca="1" si="2268"/>
        <v>27077.701269094647</v>
      </c>
      <c r="AM2314" s="2">
        <f t="shared" ca="1" si="2269"/>
        <v>28533.123671213762</v>
      </c>
      <c r="AN2314" s="2">
        <f t="shared" ca="1" si="2270"/>
        <v>30066.774810238556</v>
      </c>
      <c r="AO2314" s="2">
        <f t="shared" ca="1" si="2271"/>
        <v>31682.859469102845</v>
      </c>
      <c r="AP2314" s="2">
        <f t="shared" ca="1" si="2272"/>
        <v>2477610.8019865281</v>
      </c>
      <c r="AQ2314" s="2">
        <f t="shared" ca="1" si="2273"/>
        <v>718284.82457995403</v>
      </c>
      <c r="AR2314" s="2">
        <f t="shared" ca="1" si="2274"/>
        <v>813711.08365163649</v>
      </c>
      <c r="AS2314" s="2">
        <f t="shared" ca="1" si="2275"/>
        <v>892072.44777918665</v>
      </c>
      <c r="AT2314" s="2">
        <f t="shared" ca="1" si="2276"/>
        <v>974645.72353388951</v>
      </c>
      <c r="AU2314" s="2">
        <f t="shared" ca="1" si="2277"/>
        <v>1061657.300537115</v>
      </c>
      <c r="AV2314" s="2">
        <f t="shared" ca="1" si="2278"/>
        <v>2044349.1161121768</v>
      </c>
      <c r="AW2314" s="2">
        <f t="shared" ca="1" si="2279"/>
        <v>2288869.229124024</v>
      </c>
      <c r="AX2314" s="2">
        <f t="shared" ca="1" si="2280"/>
        <v>2510442.3046233938</v>
      </c>
      <c r="AY2314" s="2">
        <f t="shared" ca="1" si="2281"/>
        <v>2743924.8998631393</v>
      </c>
      <c r="AZ2314" s="2">
        <f t="shared" ca="1" si="2282"/>
        <v>2989957.149751917</v>
      </c>
      <c r="BA2314" s="2">
        <f t="shared" ca="1" si="2283"/>
        <v>59594963.851481244</v>
      </c>
      <c r="BB2314" s="2">
        <f t="shared" ca="1" si="2284"/>
        <v>1191899.2770296249</v>
      </c>
      <c r="BC2314" s="2">
        <f t="shared" ca="1" si="2285"/>
        <v>30874055.663490191</v>
      </c>
      <c r="BD2314" s="2">
        <f t="shared" ca="1" si="2286"/>
        <v>-19999714.645264346</v>
      </c>
      <c r="BE2314" s="2">
        <f t="shared" ca="1" si="2287"/>
        <v>2044349.1161121768</v>
      </c>
      <c r="BF2314" s="2">
        <f t="shared" ca="1" si="2288"/>
        <v>2288869.229124024</v>
      </c>
      <c r="BG2314" s="2">
        <f t="shared" ca="1" si="2289"/>
        <v>2510442.3046233938</v>
      </c>
      <c r="BH2314" s="2">
        <f t="shared" ca="1" si="2290"/>
        <v>2743924.8998631393</v>
      </c>
      <c r="BI2314" s="2">
        <f t="shared" ca="1" si="2291"/>
        <v>33864012.813242108</v>
      </c>
      <c r="BJ2314" s="2">
        <f t="shared" ca="1" si="2292"/>
        <v>0.19538097095325213</v>
      </c>
      <c r="BK2314" s="2">
        <f t="shared" ca="1" si="2293"/>
        <v>6396317.0395093113</v>
      </c>
    </row>
    <row r="2315" spans="1:63" x14ac:dyDescent="0.3">
      <c r="A2315" s="2">
        <v>2314</v>
      </c>
      <c r="B2315" s="2">
        <f t="shared" ca="1" si="2232"/>
        <v>0.22378787687910395</v>
      </c>
      <c r="C2315" s="2">
        <f t="shared" ca="1" si="2233"/>
        <v>6.6690110266342462</v>
      </c>
      <c r="D2315" s="2">
        <f t="shared" ca="1" si="2234"/>
        <v>0.63810459467854896</v>
      </c>
      <c r="E2315" s="2">
        <f t="shared" ca="1" si="2235"/>
        <v>7.6492410384586584</v>
      </c>
      <c r="F2315" s="2">
        <f t="shared" ca="1" si="2236"/>
        <v>0.71361238956773032</v>
      </c>
      <c r="G2315" s="2">
        <f t="shared" ca="1" si="2237"/>
        <v>5.6919070388830498E-2</v>
      </c>
      <c r="H2315" s="2">
        <f t="shared" ca="1" si="2238"/>
        <v>5.6919070388830498E-2</v>
      </c>
      <c r="I2315" s="2">
        <f t="shared" ca="1" si="2239"/>
        <v>0.6323153728367561</v>
      </c>
      <c r="J2315" s="2">
        <f t="shared" ca="1" si="2240"/>
        <v>1.1689959748798868E-2</v>
      </c>
      <c r="K2315" s="2">
        <f t="shared" ca="1" si="2241"/>
        <v>1.1689959748798868E-2</v>
      </c>
      <c r="L2315" s="2">
        <f t="shared" ca="1" si="2242"/>
        <v>0.20335585125044364</v>
      </c>
      <c r="M2315" s="2">
        <f t="shared" ca="1" si="2243"/>
        <v>-1.6593883966097116E-2</v>
      </c>
      <c r="N2315" s="2">
        <f t="shared" ca="1" si="2244"/>
        <v>-1.6593883966097116E-2</v>
      </c>
      <c r="O2315" s="2">
        <f t="shared" si="2245"/>
        <v>6000000</v>
      </c>
      <c r="P2315" s="2">
        <f t="shared" ca="1" si="2246"/>
        <v>40014066.159805477</v>
      </c>
      <c r="Q2315" s="2">
        <f t="shared" ca="1" si="2247"/>
        <v>1000351.653995137</v>
      </c>
      <c r="R2315" s="2">
        <f t="shared" ca="1" si="2248"/>
        <v>24008439.695883285</v>
      </c>
      <c r="S2315" s="2">
        <f t="shared" ca="1" si="2249"/>
        <v>16005626.463922191</v>
      </c>
      <c r="T2315" s="2">
        <f t="shared" ca="1" si="2250"/>
        <v>49170305.801695146</v>
      </c>
      <c r="U2315" s="2">
        <f t="shared" ca="1" si="2251"/>
        <v>51969033.89866215</v>
      </c>
      <c r="V2315" s="2">
        <f t="shared" ca="1" si="2252"/>
        <v>54927062.99717962</v>
      </c>
      <c r="W2315" s="2">
        <f t="shared" ca="1" si="2253"/>
        <v>58053460.362167813</v>
      </c>
      <c r="X2315" s="2">
        <f t="shared" ca="1" si="2254"/>
        <v>61357809.358837225</v>
      </c>
      <c r="Y2315" s="2">
        <f t="shared" ca="1" si="2255"/>
        <v>0.12584497987439944</v>
      </c>
      <c r="Z2315" s="2">
        <f t="shared" ca="1" si="2256"/>
        <v>0.12818297182415919</v>
      </c>
      <c r="AA2315" s="2">
        <f t="shared" ca="1" si="2257"/>
        <v>6187836.1440323917</v>
      </c>
      <c r="AB2315" s="2">
        <f t="shared" ca="1" si="2258"/>
        <v>6661545.2079609847</v>
      </c>
      <c r="AC2315" s="2">
        <f t="shared" ca="1" si="2259"/>
        <v>7040714.1685512923</v>
      </c>
      <c r="AD2315" s="2">
        <f t="shared" ca="1" si="2260"/>
        <v>7441465.0738986991</v>
      </c>
      <c r="AE2315" s="2">
        <f t="shared" ca="1" si="2261"/>
        <v>7865026.3482359629</v>
      </c>
      <c r="AF2315" s="2">
        <f t="shared" ca="1" si="2262"/>
        <v>983406.11603390297</v>
      </c>
      <c r="AG2315" s="2">
        <f t="shared" ca="1" si="2263"/>
        <v>1039380.6779732431</v>
      </c>
      <c r="AH2315" s="2">
        <f t="shared" ca="1" si="2264"/>
        <v>1098541.2599435924</v>
      </c>
      <c r="AI2315" s="2">
        <f t="shared" ca="1" si="2265"/>
        <v>1161069.2072433564</v>
      </c>
      <c r="AJ2315" s="2">
        <f t="shared" ca="1" si="2266"/>
        <v>1227156.1871767445</v>
      </c>
      <c r="AK2315" s="2">
        <f t="shared" ca="1" si="2267"/>
        <v>0</v>
      </c>
      <c r="AL2315" s="2">
        <f t="shared" ca="1" si="2268"/>
        <v>27987.280969670042</v>
      </c>
      <c r="AM2315" s="2">
        <f t="shared" ca="1" si="2269"/>
        <v>29580.290985174703</v>
      </c>
      <c r="AN2315" s="2">
        <f t="shared" ca="1" si="2270"/>
        <v>31263.973649881929</v>
      </c>
      <c r="AO2315" s="2">
        <f t="shared" ca="1" si="2271"/>
        <v>33043.48996669412</v>
      </c>
      <c r="AP2315" s="2">
        <f t="shared" ca="1" si="2272"/>
        <v>2160759.5726294955</v>
      </c>
      <c r="AQ2315" s="2">
        <f t="shared" ca="1" si="2273"/>
        <v>791354.31839593814</v>
      </c>
      <c r="AR2315" s="2">
        <f t="shared" ca="1" si="2274"/>
        <v>899965.28891314392</v>
      </c>
      <c r="AS2315" s="2">
        <f t="shared" ca="1" si="2275"/>
        <v>983167.46735433314</v>
      </c>
      <c r="AT2315" s="2">
        <f t="shared" ca="1" si="2276"/>
        <v>1071105.4364467203</v>
      </c>
      <c r="AU2315" s="2">
        <f t="shared" ca="1" si="2277"/>
        <v>1164048.752991728</v>
      </c>
      <c r="AV2315" s="2">
        <f t="shared" ca="1" si="2278"/>
        <v>2252316.1369730551</v>
      </c>
      <c r="AW2315" s="2">
        <f t="shared" ca="1" si="2279"/>
        <v>2533452.3874754319</v>
      </c>
      <c r="AX2315" s="2">
        <f t="shared" ca="1" si="2280"/>
        <v>2768665.5776386969</v>
      </c>
      <c r="AY2315" s="2">
        <f t="shared" ca="1" si="2281"/>
        <v>3017266.8839292442</v>
      </c>
      <c r="AZ2315" s="2">
        <f t="shared" ca="1" si="2282"/>
        <v>3280018.3454713011</v>
      </c>
      <c r="BA2315" s="2">
        <f t="shared" ca="1" si="2283"/>
        <v>60161482.311485164</v>
      </c>
      <c r="BB2315" s="2">
        <f t="shared" ca="1" si="2284"/>
        <v>1203229.6462297032</v>
      </c>
      <c r="BC2315" s="2">
        <f t="shared" ca="1" si="2285"/>
        <v>34949812.969372176</v>
      </c>
      <c r="BD2315" s="2">
        <f t="shared" ca="1" si="2286"/>
        <v>-17505978.117917329</v>
      </c>
      <c r="BE2315" s="2">
        <f t="shared" ca="1" si="2287"/>
        <v>2252316.1369730551</v>
      </c>
      <c r="BF2315" s="2">
        <f t="shared" ca="1" si="2288"/>
        <v>2533452.3874754319</v>
      </c>
      <c r="BG2315" s="2">
        <f t="shared" ca="1" si="2289"/>
        <v>2768665.5776386969</v>
      </c>
      <c r="BH2315" s="2">
        <f t="shared" ca="1" si="2290"/>
        <v>3017266.8839292442</v>
      </c>
      <c r="BI2315" s="2">
        <f t="shared" ca="1" si="2291"/>
        <v>38229831.314843476</v>
      </c>
      <c r="BJ2315" s="2">
        <f t="shared" ca="1" si="2292"/>
        <v>0.26860154550586457</v>
      </c>
      <c r="BK2315" s="2">
        <f t="shared" ca="1" si="2293"/>
        <v>12105513.266021345</v>
      </c>
    </row>
    <row r="2316" spans="1:63" x14ac:dyDescent="0.3">
      <c r="A2316" s="2">
        <v>2315</v>
      </c>
      <c r="B2316" s="2">
        <f t="shared" ca="1" si="2232"/>
        <v>1.0637920681421331E-2</v>
      </c>
      <c r="C2316" s="2">
        <f t="shared" ca="1" si="2233"/>
        <v>6.145862405584313</v>
      </c>
      <c r="D2316" s="2">
        <f t="shared" ca="1" si="2234"/>
        <v>5.3177687841826748E-2</v>
      </c>
      <c r="E2316" s="2">
        <f t="shared" ca="1" si="2235"/>
        <v>6.8261217191228658</v>
      </c>
      <c r="F2316" s="2">
        <f t="shared" ca="1" si="2236"/>
        <v>0.26984378364746942</v>
      </c>
      <c r="G2316" s="2">
        <f t="shared" ca="1" si="2237"/>
        <v>2.160143445571984E-2</v>
      </c>
      <c r="H2316" s="2">
        <f t="shared" ca="1" si="2238"/>
        <v>2.160143445571984E-2</v>
      </c>
      <c r="I2316" s="2">
        <f t="shared" ca="1" si="2239"/>
        <v>6.3624807401300054E-2</v>
      </c>
      <c r="J2316" s="2">
        <f t="shared" ca="1" si="2240"/>
        <v>2.3748098988619782E-3</v>
      </c>
      <c r="K2316" s="2">
        <f t="shared" ca="1" si="2241"/>
        <v>2.3748098988619782E-3</v>
      </c>
      <c r="L2316" s="2">
        <f t="shared" ca="1" si="2242"/>
        <v>0.94746082571523804</v>
      </c>
      <c r="M2316" s="2">
        <f t="shared" ca="1" si="2243"/>
        <v>3.2414339762885727E-2</v>
      </c>
      <c r="N2316" s="2">
        <f t="shared" ca="1" si="2244"/>
        <v>3.2414339762885727E-2</v>
      </c>
      <c r="O2316" s="2">
        <f t="shared" si="2245"/>
        <v>6000000</v>
      </c>
      <c r="P2316" s="2">
        <f t="shared" ca="1" si="2246"/>
        <v>36875174.433505878</v>
      </c>
      <c r="Q2316" s="2">
        <f t="shared" ca="1" si="2247"/>
        <v>921879.36083764699</v>
      </c>
      <c r="R2316" s="2">
        <f t="shared" ca="1" si="2248"/>
        <v>22125104.660103526</v>
      </c>
      <c r="S2316" s="2">
        <f t="shared" ca="1" si="2249"/>
        <v>14750069.773402352</v>
      </c>
      <c r="T2316" s="2">
        <f t="shared" ca="1" si="2250"/>
        <v>51620716.988144286</v>
      </c>
      <c r="U2316" s="2">
        <f t="shared" ca="1" si="2251"/>
        <v>52735798.522720948</v>
      </c>
      <c r="V2316" s="2">
        <f t="shared" ca="1" si="2252"/>
        <v>53874967.417979553</v>
      </c>
      <c r="W2316" s="2">
        <f t="shared" ca="1" si="2253"/>
        <v>55038743.995463081</v>
      </c>
      <c r="X2316" s="2">
        <f t="shared" ca="1" si="2254"/>
        <v>56227659.81640622</v>
      </c>
      <c r="Y2316" s="2">
        <f t="shared" ca="1" si="2255"/>
        <v>0.12118740494943099</v>
      </c>
      <c r="Z2316" s="2">
        <f t="shared" ca="1" si="2256"/>
        <v>0.12166236692920337</v>
      </c>
      <c r="AA2316" s="2">
        <f t="shared" ca="1" si="2257"/>
        <v>6255780.7334222132</v>
      </c>
      <c r="AB2316" s="2">
        <f t="shared" ca="1" si="2258"/>
        <v>6415962.0701758172</v>
      </c>
      <c r="AC2316" s="2">
        <f t="shared" ca="1" si="2259"/>
        <v>6554556.0543051045</v>
      </c>
      <c r="AD2316" s="2">
        <f t="shared" ca="1" si="2260"/>
        <v>6696143.8672985183</v>
      </c>
      <c r="AE2316" s="2">
        <f t="shared" ca="1" si="2261"/>
        <v>6840790.1801540377</v>
      </c>
      <c r="AF2316" s="2">
        <f t="shared" ca="1" si="2262"/>
        <v>1032414.3397628857</v>
      </c>
      <c r="AG2316" s="2">
        <f t="shared" ca="1" si="2263"/>
        <v>1054715.970454419</v>
      </c>
      <c r="AH2316" s="2">
        <f t="shared" ca="1" si="2264"/>
        <v>1077499.3483595911</v>
      </c>
      <c r="AI2316" s="2">
        <f t="shared" ca="1" si="2265"/>
        <v>1100774.8799092616</v>
      </c>
      <c r="AJ2316" s="2">
        <f t="shared" ca="1" si="2266"/>
        <v>1124553.1963281245</v>
      </c>
      <c r="AK2316" s="2">
        <f t="shared" ca="1" si="2267"/>
        <v>0</v>
      </c>
      <c r="AL2316" s="2">
        <f t="shared" ca="1" si="2268"/>
        <v>11150.815345766619</v>
      </c>
      <c r="AM2316" s="2">
        <f t="shared" ca="1" si="2269"/>
        <v>11391.688952586055</v>
      </c>
      <c r="AN2316" s="2">
        <f t="shared" ca="1" si="2270"/>
        <v>11637.765774835274</v>
      </c>
      <c r="AO2316" s="2">
        <f t="shared" ca="1" si="2271"/>
        <v>11889.158209431394</v>
      </c>
      <c r="AP2316" s="2">
        <f t="shared" ca="1" si="2272"/>
        <v>1991259.4194093172</v>
      </c>
      <c r="AQ2316" s="2">
        <f t="shared" ca="1" si="2273"/>
        <v>840347.81330500264</v>
      </c>
      <c r="AR2316" s="2">
        <f t="shared" ca="1" si="2274"/>
        <v>876196.53688114113</v>
      </c>
      <c r="AS2316" s="2">
        <f t="shared" ca="1" si="2275"/>
        <v>906307.29449941101</v>
      </c>
      <c r="AT2316" s="2">
        <f t="shared" ca="1" si="2276"/>
        <v>937068.4876747845</v>
      </c>
      <c r="AU2316" s="2">
        <f t="shared" ca="1" si="2277"/>
        <v>968494.16674831498</v>
      </c>
      <c r="AV2316" s="2">
        <f t="shared" ca="1" si="2278"/>
        <v>2391759.1609450076</v>
      </c>
      <c r="AW2316" s="2">
        <f t="shared" ca="1" si="2279"/>
        <v>2482639.3280851729</v>
      </c>
      <c r="AX2316" s="2">
        <f t="shared" ca="1" si="2280"/>
        <v>2568098.3030841993</v>
      </c>
      <c r="AY2316" s="2">
        <f t="shared" ca="1" si="2281"/>
        <v>2655403.3145303205</v>
      </c>
      <c r="AZ2316" s="2">
        <f t="shared" ca="1" si="2282"/>
        <v>2744594.2394588497</v>
      </c>
      <c r="BA2316" s="2">
        <f t="shared" ca="1" si="2283"/>
        <v>46696066.424711898</v>
      </c>
      <c r="BB2316" s="2">
        <f t="shared" ca="1" si="2284"/>
        <v>933921.32849423797</v>
      </c>
      <c r="BC2316" s="2">
        <f t="shared" ca="1" si="2285"/>
        <v>23637040.436114132</v>
      </c>
      <c r="BD2316" s="2">
        <f t="shared" ca="1" si="2286"/>
        <v>-16171949.13424</v>
      </c>
      <c r="BE2316" s="2">
        <f t="shared" ca="1" si="2287"/>
        <v>2391759.1609450076</v>
      </c>
      <c r="BF2316" s="2">
        <f t="shared" ca="1" si="2288"/>
        <v>2482639.3280851729</v>
      </c>
      <c r="BG2316" s="2">
        <f t="shared" ca="1" si="2289"/>
        <v>2568098.3030841993</v>
      </c>
      <c r="BH2316" s="2">
        <f t="shared" ca="1" si="2290"/>
        <v>2655403.3145303205</v>
      </c>
      <c r="BI2316" s="2">
        <f t="shared" ca="1" si="2291"/>
        <v>26381634.675572984</v>
      </c>
      <c r="BJ2316" s="2">
        <f t="shared" ca="1" si="2292"/>
        <v>0.21675083239914117</v>
      </c>
      <c r="BK2316" s="2">
        <f t="shared" ca="1" si="2293"/>
        <v>6427821.4602163788</v>
      </c>
    </row>
    <row r="2317" spans="1:63" x14ac:dyDescent="0.3">
      <c r="A2317" s="2">
        <v>2316</v>
      </c>
      <c r="B2317" s="2">
        <f t="shared" ca="1" si="2232"/>
        <v>0.35171080606269434</v>
      </c>
      <c r="C2317" s="2">
        <f t="shared" ca="1" si="2233"/>
        <v>6.8387023382138556</v>
      </c>
      <c r="D2317" s="2">
        <f t="shared" ca="1" si="2234"/>
        <v>0.79923271065891266</v>
      </c>
      <c r="E2317" s="2">
        <f t="shared" ca="1" si="2235"/>
        <v>7.866332438354168</v>
      </c>
      <c r="F2317" s="2">
        <f t="shared" ca="1" si="2236"/>
        <v>0.3348300920927394</v>
      </c>
      <c r="G2317" s="2">
        <f t="shared" ca="1" si="2237"/>
        <v>2.7201567037911271E-2</v>
      </c>
      <c r="H2317" s="2">
        <f t="shared" ca="1" si="2238"/>
        <v>2.7201567037911271E-2</v>
      </c>
      <c r="I2317" s="2">
        <f t="shared" ca="1" si="2239"/>
        <v>0.95813421629870887</v>
      </c>
      <c r="J2317" s="2">
        <f t="shared" ca="1" si="2240"/>
        <v>1.8647166697465519E-2</v>
      </c>
      <c r="K2317" s="2">
        <f t="shared" ca="1" si="2241"/>
        <v>1.8647166697465519E-2</v>
      </c>
      <c r="L2317" s="2">
        <f t="shared" ca="1" si="2242"/>
        <v>0.24338791215085209</v>
      </c>
      <c r="M2317" s="2">
        <f t="shared" ca="1" si="2243"/>
        <v>-1.3908920542768941E-2</v>
      </c>
      <c r="N2317" s="2">
        <f t="shared" ca="1" si="2244"/>
        <v>-1.3908920542768941E-2</v>
      </c>
      <c r="O2317" s="2">
        <f t="shared" si="2245"/>
        <v>6000000</v>
      </c>
      <c r="P2317" s="2">
        <f t="shared" ca="1" si="2246"/>
        <v>41032214.029283136</v>
      </c>
      <c r="Q2317" s="2">
        <f t="shared" ca="1" si="2247"/>
        <v>1025805.3507320784</v>
      </c>
      <c r="R2317" s="2">
        <f t="shared" ca="1" si="2248"/>
        <v>24619328.417569879</v>
      </c>
      <c r="S2317" s="2">
        <f t="shared" ca="1" si="2249"/>
        <v>16412885.611713255</v>
      </c>
      <c r="T2317" s="2">
        <f t="shared" ca="1" si="2250"/>
        <v>49304553.972861551</v>
      </c>
      <c r="U2317" s="2">
        <f t="shared" ca="1" si="2251"/>
        <v>50645715.103028663</v>
      </c>
      <c r="V2317" s="2">
        <f t="shared" ca="1" si="2252"/>
        <v>52023357.917586654</v>
      </c>
      <c r="W2317" s="2">
        <f t="shared" ca="1" si="2253"/>
        <v>53438474.77551914</v>
      </c>
      <c r="X2317" s="2">
        <f t="shared" ca="1" si="2254"/>
        <v>54892085.029529154</v>
      </c>
      <c r="Y2317" s="2">
        <f t="shared" ca="1" si="2255"/>
        <v>0.12932358334873276</v>
      </c>
      <c r="Z2317" s="2">
        <f t="shared" ca="1" si="2256"/>
        <v>0.13305301668822586</v>
      </c>
      <c r="AA2317" s="2">
        <f t="shared" ca="1" si="2257"/>
        <v>6376241.595181454</v>
      </c>
      <c r="AB2317" s="2">
        <f t="shared" ca="1" si="2258"/>
        <v>6738565.1767904051</v>
      </c>
      <c r="AC2317" s="2">
        <f t="shared" ca="1" si="2259"/>
        <v>6921864.7091862038</v>
      </c>
      <c r="AD2317" s="2">
        <f t="shared" ca="1" si="2260"/>
        <v>7110150.2761004847</v>
      </c>
      <c r="AE2317" s="2">
        <f t="shared" ca="1" si="2261"/>
        <v>7303557.5054854555</v>
      </c>
      <c r="AF2317" s="2">
        <f t="shared" ca="1" si="2262"/>
        <v>986091.07945723098</v>
      </c>
      <c r="AG2317" s="2">
        <f t="shared" ca="1" si="2263"/>
        <v>1012914.3020605732</v>
      </c>
      <c r="AH2317" s="2">
        <f t="shared" ca="1" si="2264"/>
        <v>1040467.1583517331</v>
      </c>
      <c r="AI2317" s="2">
        <f t="shared" ca="1" si="2265"/>
        <v>1068769.4955103828</v>
      </c>
      <c r="AJ2317" s="2">
        <f t="shared" ca="1" si="2266"/>
        <v>1097841.700590583</v>
      </c>
      <c r="AK2317" s="2">
        <f t="shared" ca="1" si="2267"/>
        <v>0</v>
      </c>
      <c r="AL2317" s="2">
        <f t="shared" ca="1" si="2268"/>
        <v>13411.611301671117</v>
      </c>
      <c r="AM2317" s="2">
        <f t="shared" ca="1" si="2269"/>
        <v>13776.428145579919</v>
      </c>
      <c r="AN2317" s="2">
        <f t="shared" ca="1" si="2270"/>
        <v>14151.168579324856</v>
      </c>
      <c r="AO2317" s="2">
        <f t="shared" ca="1" si="2271"/>
        <v>14536.102540100143</v>
      </c>
      <c r="AP2317" s="2">
        <f t="shared" ca="1" si="2272"/>
        <v>2215739.5575812892</v>
      </c>
      <c r="AQ2317" s="2">
        <f t="shared" ca="1" si="2273"/>
        <v>825346.84911716287</v>
      </c>
      <c r="AR2317" s="2">
        <f t="shared" ca="1" si="2274"/>
        <v>912576.94245862111</v>
      </c>
      <c r="AS2317" s="2">
        <f t="shared" ca="1" si="2275"/>
        <v>953071.07824582711</v>
      </c>
      <c r="AT2317" s="2">
        <f t="shared" ca="1" si="2276"/>
        <v>994666.71798229136</v>
      </c>
      <c r="AU2317" s="2">
        <f t="shared" ca="1" si="2277"/>
        <v>1037393.8243015315</v>
      </c>
      <c r="AV2317" s="2">
        <f t="shared" ca="1" si="2278"/>
        <v>2349064.1090257713</v>
      </c>
      <c r="AW2317" s="2">
        <f t="shared" ca="1" si="2279"/>
        <v>2583922.7633882505</v>
      </c>
      <c r="AX2317" s="2">
        <f t="shared" ca="1" si="2280"/>
        <v>2698810.4868617742</v>
      </c>
      <c r="AY2317" s="2">
        <f t="shared" ca="1" si="2281"/>
        <v>2816823.3364471965</v>
      </c>
      <c r="AZ2317" s="2">
        <f t="shared" ca="1" si="2282"/>
        <v>2938046.3204719513</v>
      </c>
      <c r="BA2317" s="2">
        <f t="shared" ca="1" si="2283"/>
        <v>57452211.320785284</v>
      </c>
      <c r="BB2317" s="2">
        <f t="shared" ca="1" si="2284"/>
        <v>1149044.2264157056</v>
      </c>
      <c r="BC2317" s="2">
        <f t="shared" ca="1" si="2285"/>
        <v>31683838.6767997</v>
      </c>
      <c r="BD2317" s="2">
        <f t="shared" ca="1" si="2286"/>
        <v>-17938690.962445334</v>
      </c>
      <c r="BE2317" s="2">
        <f t="shared" ca="1" si="2287"/>
        <v>2349064.1090257713</v>
      </c>
      <c r="BF2317" s="2">
        <f t="shared" ca="1" si="2288"/>
        <v>2583922.7633882505</v>
      </c>
      <c r="BG2317" s="2">
        <f t="shared" ca="1" si="2289"/>
        <v>2698810.4868617742</v>
      </c>
      <c r="BH2317" s="2">
        <f t="shared" ca="1" si="2290"/>
        <v>2816823.3364471965</v>
      </c>
      <c r="BI2317" s="2">
        <f t="shared" ca="1" si="2291"/>
        <v>34621884.99727165</v>
      </c>
      <c r="BJ2317" s="2">
        <f t="shared" ca="1" si="2292"/>
        <v>0.24089706071361294</v>
      </c>
      <c r="BK2317" s="2">
        <f t="shared" ca="1" si="2293"/>
        <v>9575064.6075430065</v>
      </c>
    </row>
    <row r="2318" spans="1:63" x14ac:dyDescent="0.3">
      <c r="A2318" s="2">
        <v>2317</v>
      </c>
      <c r="B2318" s="2">
        <f t="shared" ca="1" si="2232"/>
        <v>0.7664863082166522</v>
      </c>
      <c r="C2318" s="2">
        <f t="shared" ca="1" si="2233"/>
        <v>7.3166059821986327</v>
      </c>
      <c r="D2318" s="2">
        <f t="shared" ca="1" si="2234"/>
        <v>0.2986079902475538</v>
      </c>
      <c r="E2318" s="2">
        <f t="shared" ca="1" si="2235"/>
        <v>7.2727975029042913</v>
      </c>
      <c r="F2318" s="2">
        <f t="shared" ca="1" si="2236"/>
        <v>0.11618042539048556</v>
      </c>
      <c r="G2318" s="2">
        <f t="shared" ca="1" si="2237"/>
        <v>4.171016352326605E-3</v>
      </c>
      <c r="H2318" s="2">
        <f t="shared" ca="1" si="2238"/>
        <v>4.171016352326605E-3</v>
      </c>
      <c r="I2318" s="2">
        <f t="shared" ca="1" si="2239"/>
        <v>0.28937450557490885</v>
      </c>
      <c r="J2318" s="2">
        <f t="shared" ca="1" si="2240"/>
        <v>7.22393524233364E-3</v>
      </c>
      <c r="K2318" s="2">
        <f t="shared" ca="1" si="2241"/>
        <v>7.22393524233364E-3</v>
      </c>
      <c r="L2318" s="2">
        <f t="shared" ca="1" si="2242"/>
        <v>0.75341306953397269</v>
      </c>
      <c r="M2318" s="2">
        <f t="shared" ca="1" si="2243"/>
        <v>1.3705390427653761E-2</v>
      </c>
      <c r="N2318" s="2">
        <f t="shared" ca="1" si="2244"/>
        <v>1.3705390427653761E-2</v>
      </c>
      <c r="O2318" s="2">
        <f t="shared" si="2245"/>
        <v>6000000</v>
      </c>
      <c r="P2318" s="2">
        <f t="shared" ca="1" si="2246"/>
        <v>43899635.8931918</v>
      </c>
      <c r="Q2318" s="2">
        <f t="shared" ca="1" si="2247"/>
        <v>1097490.8973297949</v>
      </c>
      <c r="R2318" s="2">
        <f t="shared" ca="1" si="2248"/>
        <v>26339781.53591508</v>
      </c>
      <c r="S2318" s="2">
        <f t="shared" ca="1" si="2249"/>
        <v>17559854.357276719</v>
      </c>
      <c r="T2318" s="2">
        <f t="shared" ca="1" si="2250"/>
        <v>50685269.521382689</v>
      </c>
      <c r="U2318" s="2">
        <f t="shared" ca="1" si="2251"/>
        <v>50896678.609378457</v>
      </c>
      <c r="V2318" s="2">
        <f t="shared" ca="1" si="2252"/>
        <v>51108969.488137282</v>
      </c>
      <c r="W2318" s="2">
        <f t="shared" ca="1" si="2253"/>
        <v>51322145.835622862</v>
      </c>
      <c r="X2318" s="2">
        <f t="shared" ca="1" si="2254"/>
        <v>51536211.345139734</v>
      </c>
      <c r="Y2318" s="2">
        <f t="shared" ca="1" si="2255"/>
        <v>0.12361196762116682</v>
      </c>
      <c r="Z2318" s="2">
        <f t="shared" ca="1" si="2256"/>
        <v>0.12505675466963354</v>
      </c>
      <c r="AA2318" s="2">
        <f t="shared" ca="1" si="2257"/>
        <v>6265305.8949472699</v>
      </c>
      <c r="AB2318" s="2">
        <f t="shared" ca="1" si="2258"/>
        <v>6364973.4503522264</v>
      </c>
      <c r="AC2318" s="2">
        <f t="shared" ca="1" si="2259"/>
        <v>6391521.8586957697</v>
      </c>
      <c r="AD2318" s="2">
        <f t="shared" ca="1" si="2260"/>
        <v>6418181.0008846428</v>
      </c>
      <c r="AE2318" s="2">
        <f t="shared" ca="1" si="2261"/>
        <v>6444951.3387915241</v>
      </c>
      <c r="AF2318" s="2">
        <f t="shared" ca="1" si="2262"/>
        <v>1013705.3904276538</v>
      </c>
      <c r="AG2318" s="2">
        <f t="shared" ca="1" si="2263"/>
        <v>1017933.5721875691</v>
      </c>
      <c r="AH2318" s="2">
        <f t="shared" ca="1" si="2264"/>
        <v>1022179.3897627457</v>
      </c>
      <c r="AI2318" s="2">
        <f t="shared" ca="1" si="2265"/>
        <v>1026442.9167124573</v>
      </c>
      <c r="AJ2318" s="2">
        <f t="shared" ca="1" si="2266"/>
        <v>1030724.2269027947</v>
      </c>
      <c r="AK2318" s="2">
        <f t="shared" ca="1" si="2267"/>
        <v>0</v>
      </c>
      <c r="AL2318" s="2">
        <f t="shared" ca="1" si="2268"/>
        <v>2114.090879957676</v>
      </c>
      <c r="AM2318" s="2">
        <f t="shared" ca="1" si="2269"/>
        <v>2122.9087875882537</v>
      </c>
      <c r="AN2318" s="2">
        <f t="shared" ca="1" si="2270"/>
        <v>2131.7634748557957</v>
      </c>
      <c r="AO2318" s="2">
        <f t="shared" ca="1" si="2271"/>
        <v>2140.6550951687245</v>
      </c>
      <c r="AP2318" s="2">
        <f t="shared" ca="1" si="2272"/>
        <v>2370580.3382323571</v>
      </c>
      <c r="AQ2318" s="2">
        <f t="shared" ca="1" si="2273"/>
        <v>749065.24323468737</v>
      </c>
      <c r="AR2318" s="2">
        <f t="shared" ca="1" si="2274"/>
        <v>773879.48038239812</v>
      </c>
      <c r="AS2318" s="2">
        <f t="shared" ca="1" si="2275"/>
        <v>779678.1539821733</v>
      </c>
      <c r="AT2318" s="2">
        <f t="shared" ca="1" si="2276"/>
        <v>785501.01394435542</v>
      </c>
      <c r="AU2318" s="2">
        <f t="shared" ca="1" si="2277"/>
        <v>791348.16115065676</v>
      </c>
      <c r="AV2318" s="2">
        <f t="shared" ca="1" si="2278"/>
        <v>2131954.9230525717</v>
      </c>
      <c r="AW2318" s="2">
        <f t="shared" ca="1" si="2279"/>
        <v>2200465.9686699444</v>
      </c>
      <c r="AX2318" s="2">
        <f t="shared" ca="1" si="2280"/>
        <v>2216961.0679309042</v>
      </c>
      <c r="AY2318" s="2">
        <f t="shared" ca="1" si="2281"/>
        <v>2233524.9685206171</v>
      </c>
      <c r="AZ2318" s="2">
        <f t="shared" ca="1" si="2282"/>
        <v>2250157.957410547</v>
      </c>
      <c r="BA2318" s="2">
        <f t="shared" ca="1" si="2283"/>
        <v>46872826.003102668</v>
      </c>
      <c r="BB2318" s="2">
        <f t="shared" ca="1" si="2284"/>
        <v>937456.52006205334</v>
      </c>
      <c r="BC2318" s="2">
        <f t="shared" ca="1" si="2285"/>
        <v>19595587.947125535</v>
      </c>
      <c r="BD2318" s="2">
        <f t="shared" ca="1" si="2286"/>
        <v>-19157345.254606515</v>
      </c>
      <c r="BE2318" s="2">
        <f t="shared" ca="1" si="2287"/>
        <v>2131954.9230525717</v>
      </c>
      <c r="BF2318" s="2">
        <f t="shared" ca="1" si="2288"/>
        <v>2200465.9686699444</v>
      </c>
      <c r="BG2318" s="2">
        <f t="shared" ca="1" si="2289"/>
        <v>2216961.0679309042</v>
      </c>
      <c r="BH2318" s="2">
        <f t="shared" ca="1" si="2290"/>
        <v>2233524.9685206171</v>
      </c>
      <c r="BI2318" s="2">
        <f t="shared" ca="1" si="2291"/>
        <v>21845745.904536083</v>
      </c>
      <c r="BJ2318" s="2">
        <f t="shared" ca="1" si="2292"/>
        <v>0.11847530928283789</v>
      </c>
      <c r="BK2318" s="2">
        <f t="shared" ca="1" si="2293"/>
        <v>-106318.57150017098</v>
      </c>
    </row>
    <row r="2319" spans="1:63" x14ac:dyDescent="0.3">
      <c r="A2319" s="2">
        <v>2318</v>
      </c>
      <c r="B2319" s="2">
        <f t="shared" ca="1" si="2232"/>
        <v>0.88786514165503005</v>
      </c>
      <c r="C2319" s="2">
        <f t="shared" ca="1" si="2233"/>
        <v>7.5264287628139357</v>
      </c>
      <c r="D2319" s="2">
        <f t="shared" ca="1" si="2234"/>
        <v>0.36041476817148477</v>
      </c>
      <c r="E2319" s="2">
        <f t="shared" ca="1" si="2235"/>
        <v>7.349016805689363</v>
      </c>
      <c r="F2319" s="2">
        <f t="shared" ca="1" si="2236"/>
        <v>0.89178986986689146</v>
      </c>
      <c r="G2319" s="2">
        <f t="shared" ca="1" si="2237"/>
        <v>7.7083091584715407E-2</v>
      </c>
      <c r="H2319" s="2">
        <f t="shared" ca="1" si="2238"/>
        <v>7.7083091584715407E-2</v>
      </c>
      <c r="I2319" s="2">
        <f t="shared" ca="1" si="2239"/>
        <v>0.55480978115661872</v>
      </c>
      <c r="J2319" s="2">
        <f t="shared" ca="1" si="2240"/>
        <v>1.068911416977707E-2</v>
      </c>
      <c r="K2319" s="2">
        <f t="shared" ca="1" si="2241"/>
        <v>1.068911416977707E-2</v>
      </c>
      <c r="L2319" s="2">
        <f t="shared" ca="1" si="2242"/>
        <v>0.3944897412560926</v>
      </c>
      <c r="M2319" s="2">
        <f t="shared" ca="1" si="2243"/>
        <v>-5.3527209092647625E-3</v>
      </c>
      <c r="N2319" s="2">
        <f t="shared" ca="1" si="2244"/>
        <v>-5.3527209092647625E-3</v>
      </c>
      <c r="O2319" s="2">
        <f t="shared" si="2245"/>
        <v>6000000</v>
      </c>
      <c r="P2319" s="2">
        <f t="shared" ca="1" si="2246"/>
        <v>45158572.576883614</v>
      </c>
      <c r="Q2319" s="2">
        <f t="shared" ca="1" si="2247"/>
        <v>1128964.3144220903</v>
      </c>
      <c r="R2319" s="2">
        <f t="shared" ca="1" si="2248"/>
        <v>27095143.546130169</v>
      </c>
      <c r="S2319" s="2">
        <f t="shared" ca="1" si="2249"/>
        <v>18063429.030753445</v>
      </c>
      <c r="T2319" s="2">
        <f t="shared" ca="1" si="2250"/>
        <v>49732363.954536766</v>
      </c>
      <c r="U2319" s="2">
        <f t="shared" ca="1" si="2251"/>
        <v>53565888.319968723</v>
      </c>
      <c r="V2319" s="2">
        <f t="shared" ca="1" si="2252"/>
        <v>57694912.595153511</v>
      </c>
      <c r="W2319" s="2">
        <f t="shared" ca="1" si="2253"/>
        <v>62142214.826697879</v>
      </c>
      <c r="X2319" s="2">
        <f t="shared" ca="1" si="2254"/>
        <v>66932328.863461286</v>
      </c>
      <c r="Y2319" s="2">
        <f t="shared" ca="1" si="2255"/>
        <v>0.12534455708488854</v>
      </c>
      <c r="Z2319" s="2">
        <f t="shared" ca="1" si="2256"/>
        <v>0.12748237991884395</v>
      </c>
      <c r="AA2319" s="2">
        <f t="shared" ca="1" si="2257"/>
        <v>6233681.1326658865</v>
      </c>
      <c r="AB2319" s="2">
        <f t="shared" ca="1" si="2258"/>
        <v>6828706.9254966183</v>
      </c>
      <c r="AC2319" s="2">
        <f t="shared" ca="1" si="2259"/>
        <v>7355084.7668398554</v>
      </c>
      <c r="AD2319" s="2">
        <f t="shared" ca="1" si="2260"/>
        <v>7922037.4395355163</v>
      </c>
      <c r="AE2319" s="2">
        <f t="shared" ca="1" si="2261"/>
        <v>8532692.5770247765</v>
      </c>
      <c r="AF2319" s="2">
        <f t="shared" ca="1" si="2262"/>
        <v>994647.27909073536</v>
      </c>
      <c r="AG2319" s="2">
        <f t="shared" ca="1" si="2263"/>
        <v>1071317.7663993745</v>
      </c>
      <c r="AH2319" s="2">
        <f t="shared" ca="1" si="2264"/>
        <v>1153898.2519030701</v>
      </c>
      <c r="AI2319" s="2">
        <f t="shared" ca="1" si="2265"/>
        <v>1242844.2965339576</v>
      </c>
      <c r="AJ2319" s="2">
        <f t="shared" ca="1" si="2266"/>
        <v>1338646.5772692258</v>
      </c>
      <c r="AK2319" s="2">
        <f t="shared" ca="1" si="2267"/>
        <v>0</v>
      </c>
      <c r="AL2319" s="2">
        <f t="shared" ca="1" si="2268"/>
        <v>38335.243654319573</v>
      </c>
      <c r="AM2319" s="2">
        <f t="shared" ca="1" si="2269"/>
        <v>41290.24275184788</v>
      </c>
      <c r="AN2319" s="2">
        <f t="shared" ca="1" si="2270"/>
        <v>44473.022315443683</v>
      </c>
      <c r="AO2319" s="2">
        <f t="shared" ca="1" si="2271"/>
        <v>47901.140367634071</v>
      </c>
      <c r="AP2319" s="2">
        <f t="shared" ca="1" si="2272"/>
        <v>2438562.919151715</v>
      </c>
      <c r="AQ2319" s="2">
        <f t="shared" ca="1" si="2273"/>
        <v>728122.44295009354</v>
      </c>
      <c r="AR2319" s="2">
        <f t="shared" ca="1" si="2274"/>
        <v>862894.82238583756</v>
      </c>
      <c r="AS2319" s="2">
        <f t="shared" ca="1" si="2275"/>
        <v>978282.13490411825</v>
      </c>
      <c r="AT2319" s="2">
        <f t="shared" ca="1" si="2276"/>
        <v>1102563.8582009594</v>
      </c>
      <c r="AU2319" s="2">
        <f t="shared" ca="1" si="2277"/>
        <v>1236425.6009569971</v>
      </c>
      <c r="AV2319" s="2">
        <f t="shared" ca="1" si="2278"/>
        <v>2072348.4914733432</v>
      </c>
      <c r="AW2319" s="2">
        <f t="shared" ca="1" si="2279"/>
        <v>2417596.1739053717</v>
      </c>
      <c r="AX2319" s="2">
        <f t="shared" ca="1" si="2280"/>
        <v>2743051.218129104</v>
      </c>
      <c r="AY2319" s="2">
        <f t="shared" ca="1" si="2281"/>
        <v>3093593.3433334408</v>
      </c>
      <c r="AZ2319" s="2">
        <f t="shared" ca="1" si="2282"/>
        <v>3471156.3392792046</v>
      </c>
      <c r="BA2319" s="2">
        <f t="shared" ca="1" si="2283"/>
        <v>62706901.146335959</v>
      </c>
      <c r="BB2319" s="2">
        <f t="shared" ca="1" si="2284"/>
        <v>1254138.0229267192</v>
      </c>
      <c r="BC2319" s="2">
        <f t="shared" ca="1" si="2285"/>
        <v>34357619.577279076</v>
      </c>
      <c r="BD2319" s="2">
        <f t="shared" ca="1" si="2286"/>
        <v>-19692393.345175534</v>
      </c>
      <c r="BE2319" s="2">
        <f t="shared" ca="1" si="2287"/>
        <v>2072348.4914733432</v>
      </c>
      <c r="BF2319" s="2">
        <f t="shared" ca="1" si="2288"/>
        <v>2417596.1739053717</v>
      </c>
      <c r="BG2319" s="2">
        <f t="shared" ca="1" si="2289"/>
        <v>2743051.218129104</v>
      </c>
      <c r="BH2319" s="2">
        <f t="shared" ca="1" si="2290"/>
        <v>3093593.3433334408</v>
      </c>
      <c r="BI2319" s="2">
        <f t="shared" ca="1" si="2291"/>
        <v>37828775.916558281</v>
      </c>
      <c r="BJ2319" s="2">
        <f t="shared" ca="1" si="2292"/>
        <v>0.2278019194805212</v>
      </c>
      <c r="BK2319" s="2">
        <f t="shared" ca="1" si="2293"/>
        <v>9468758.2228959873</v>
      </c>
    </row>
    <row r="2320" spans="1:63" x14ac:dyDescent="0.3">
      <c r="A2320" s="2">
        <v>2319</v>
      </c>
      <c r="B2320" s="2">
        <f t="shared" ca="1" si="2232"/>
        <v>0.41574018997307305</v>
      </c>
      <c r="C2320" s="2">
        <f t="shared" ca="1" si="2233"/>
        <v>6.9118554600078603</v>
      </c>
      <c r="D2320" s="2">
        <f t="shared" ca="1" si="2234"/>
        <v>0.76704438850893575</v>
      </c>
      <c r="E2320" s="2">
        <f t="shared" ca="1" si="2235"/>
        <v>7.8174231010485862</v>
      </c>
      <c r="F2320" s="2">
        <f t="shared" ca="1" si="2236"/>
        <v>0.97594065550037679</v>
      </c>
      <c r="G2320" s="2">
        <f t="shared" ca="1" si="2237"/>
        <v>9.9289562052523789E-2</v>
      </c>
      <c r="H2320" s="2">
        <f t="shared" ca="1" si="2238"/>
        <v>9.9289562052523789E-2</v>
      </c>
      <c r="I2320" s="2">
        <f t="shared" ca="1" si="2239"/>
        <v>0.4097927449591966</v>
      </c>
      <c r="J2320" s="2">
        <f t="shared" ca="1" si="2240"/>
        <v>8.859609273748164E-3</v>
      </c>
      <c r="K2320" s="2">
        <f t="shared" ca="1" si="2241"/>
        <v>8.859609273748164E-3</v>
      </c>
      <c r="L2320" s="2">
        <f t="shared" ca="1" si="2242"/>
        <v>0.41444070397441124</v>
      </c>
      <c r="M2320" s="2">
        <f t="shared" ca="1" si="2243"/>
        <v>-4.3227284917439022E-3</v>
      </c>
      <c r="N2320" s="2">
        <f t="shared" ca="1" si="2244"/>
        <v>-4.3227284917439022E-3</v>
      </c>
      <c r="O2320" s="2">
        <f t="shared" si="2245"/>
        <v>6000000</v>
      </c>
      <c r="P2320" s="2">
        <f t="shared" ca="1" si="2246"/>
        <v>41471132.76004716</v>
      </c>
      <c r="Q2320" s="2">
        <f t="shared" ca="1" si="2247"/>
        <v>1036778.3190011791</v>
      </c>
      <c r="R2320" s="2">
        <f t="shared" ca="1" si="2248"/>
        <v>24882679.656028297</v>
      </c>
      <c r="S2320" s="2">
        <f t="shared" ca="1" si="2249"/>
        <v>16588453.104018865</v>
      </c>
      <c r="T2320" s="2">
        <f t="shared" ca="1" si="2250"/>
        <v>49783863.57541281</v>
      </c>
      <c r="U2320" s="2">
        <f t="shared" ca="1" si="2251"/>
        <v>54726881.587098137</v>
      </c>
      <c r="V2320" s="2">
        <f t="shared" ca="1" si="2252"/>
        <v>60160689.692381442</v>
      </c>
      <c r="W2320" s="2">
        <f t="shared" ca="1" si="2253"/>
        <v>66134018.224715777</v>
      </c>
      <c r="X2320" s="2">
        <f t="shared" ca="1" si="2254"/>
        <v>72700435.931021437</v>
      </c>
      <c r="Y2320" s="2">
        <f t="shared" ca="1" si="2255"/>
        <v>0.12442980463687407</v>
      </c>
      <c r="Z2320" s="2">
        <f t="shared" ca="1" si="2256"/>
        <v>0.1262017264916237</v>
      </c>
      <c r="AA2320" s="2">
        <f t="shared" ca="1" si="2257"/>
        <v>6194596.418757407</v>
      </c>
      <c r="AB2320" s="2">
        <f t="shared" ca="1" si="2258"/>
        <v>6906626.9417944364</v>
      </c>
      <c r="AC2320" s="2">
        <f t="shared" ca="1" si="2259"/>
        <v>7592382.9061053675</v>
      </c>
      <c r="AD2320" s="2">
        <f t="shared" ca="1" si="2260"/>
        <v>8346227.2797876373</v>
      </c>
      <c r="AE2320" s="2">
        <f t="shared" ca="1" si="2261"/>
        <v>9174920.5311885793</v>
      </c>
      <c r="AF2320" s="2">
        <f t="shared" ca="1" si="2262"/>
        <v>995677.27150825621</v>
      </c>
      <c r="AG2320" s="2">
        <f t="shared" ca="1" si="2263"/>
        <v>1094537.6317419629</v>
      </c>
      <c r="AH2320" s="2">
        <f t="shared" ca="1" si="2264"/>
        <v>1203213.7938476289</v>
      </c>
      <c r="AI2320" s="2">
        <f t="shared" ca="1" si="2265"/>
        <v>1322680.3644943156</v>
      </c>
      <c r="AJ2320" s="2">
        <f t="shared" ca="1" si="2266"/>
        <v>1454008.7186204288</v>
      </c>
      <c r="AK2320" s="2">
        <f t="shared" ca="1" si="2267"/>
        <v>0</v>
      </c>
      <c r="AL2320" s="2">
        <f t="shared" ca="1" si="2268"/>
        <v>49430.180116853269</v>
      </c>
      <c r="AM2320" s="2">
        <f t="shared" ca="1" si="2269"/>
        <v>54338.081052833055</v>
      </c>
      <c r="AN2320" s="2">
        <f t="shared" ca="1" si="2270"/>
        <v>59733.285323343356</v>
      </c>
      <c r="AO2320" s="2">
        <f t="shared" ca="1" si="2271"/>
        <v>65664.177063056602</v>
      </c>
      <c r="AP2320" s="2">
        <f t="shared" ca="1" si="2272"/>
        <v>2239441.1690425468</v>
      </c>
      <c r="AQ2320" s="2">
        <f t="shared" ca="1" si="2273"/>
        <v>769464.27433371719</v>
      </c>
      <c r="AR2320" s="2">
        <f t="shared" ca="1" si="2274"/>
        <v>928888.51666258089</v>
      </c>
      <c r="AS2320" s="2">
        <f t="shared" ca="1" si="2275"/>
        <v>1078929.26523595</v>
      </c>
      <c r="AT2320" s="2">
        <f t="shared" ca="1" si="2276"/>
        <v>1243867.4940252015</v>
      </c>
      <c r="AU2320" s="2">
        <f t="shared" ca="1" si="2277"/>
        <v>1425182.3673166572</v>
      </c>
      <c r="AV2320" s="2">
        <f t="shared" ca="1" si="2278"/>
        <v>2190013.703872887</v>
      </c>
      <c r="AW2320" s="2">
        <f t="shared" ca="1" si="2279"/>
        <v>2594329.4442304918</v>
      </c>
      <c r="AX2320" s="2">
        <f t="shared" ca="1" si="2280"/>
        <v>3016460.5969264084</v>
      </c>
      <c r="AY2320" s="2">
        <f t="shared" ca="1" si="2281"/>
        <v>3480504.9669022304</v>
      </c>
      <c r="AZ2320" s="2">
        <f t="shared" ca="1" si="2282"/>
        <v>3990624.0991458907</v>
      </c>
      <c r="BA2320" s="2">
        <f t="shared" ca="1" si="2283"/>
        <v>71724235.710798562</v>
      </c>
      <c r="BB2320" s="2">
        <f t="shared" ca="1" si="2284"/>
        <v>1434484.7142159713</v>
      </c>
      <c r="BC2320" s="2">
        <f t="shared" ca="1" si="2285"/>
        <v>45407071.34055429</v>
      </c>
      <c r="BD2320" s="2">
        <f t="shared" ca="1" si="2286"/>
        <v>-18125231.423020042</v>
      </c>
      <c r="BE2320" s="2">
        <f t="shared" ca="1" si="2287"/>
        <v>2190013.703872887</v>
      </c>
      <c r="BF2320" s="2">
        <f t="shared" ca="1" si="2288"/>
        <v>2594329.4442304918</v>
      </c>
      <c r="BG2320" s="2">
        <f t="shared" ca="1" si="2289"/>
        <v>3016460.5969264084</v>
      </c>
      <c r="BH2320" s="2">
        <f t="shared" ca="1" si="2290"/>
        <v>3480504.9669022304</v>
      </c>
      <c r="BI2320" s="2">
        <f t="shared" ca="1" si="2291"/>
        <v>49397695.439700179</v>
      </c>
      <c r="BJ2320" s="2">
        <f t="shared" ca="1" si="2292"/>
        <v>0.31662131620427347</v>
      </c>
      <c r="BK2320" s="2">
        <f t="shared" ca="1" si="2293"/>
        <v>18286881.40746668</v>
      </c>
    </row>
    <row r="2321" spans="1:63" x14ac:dyDescent="0.3">
      <c r="A2321" s="2">
        <v>2320</v>
      </c>
      <c r="B2321" s="2">
        <f t="shared" ca="1" si="2232"/>
        <v>1.1074129591716053E-3</v>
      </c>
      <c r="C2321" s="2">
        <f t="shared" ca="1" si="2233"/>
        <v>6.0470619370441039</v>
      </c>
      <c r="D2321" s="2">
        <f t="shared" ca="1" si="2234"/>
        <v>2.1036797917840522E-2</v>
      </c>
      <c r="E2321" s="2">
        <f t="shared" ca="1" si="2235"/>
        <v>6.705118492183618</v>
      </c>
      <c r="F2321" s="2">
        <f t="shared" ca="1" si="2236"/>
        <v>0.42420161287315783</v>
      </c>
      <c r="G2321" s="2">
        <f t="shared" ca="1" si="2237"/>
        <v>3.4265314292313498E-2</v>
      </c>
      <c r="H2321" s="2">
        <f t="shared" ca="1" si="2238"/>
        <v>3.4265314292313498E-2</v>
      </c>
      <c r="I2321" s="2">
        <f t="shared" ca="1" si="2239"/>
        <v>0.48911240485357588</v>
      </c>
      <c r="J2321" s="2">
        <f t="shared" ca="1" si="2240"/>
        <v>9.8635272875286541E-3</v>
      </c>
      <c r="K2321" s="2">
        <f t="shared" ca="1" si="2241"/>
        <v>9.8635272875286541E-3</v>
      </c>
      <c r="L2321" s="2">
        <f t="shared" ca="1" si="2242"/>
        <v>0.2475681812783963</v>
      </c>
      <c r="M2321" s="2">
        <f t="shared" ca="1" si="2243"/>
        <v>-1.3643244981410093E-2</v>
      </c>
      <c r="N2321" s="2">
        <f t="shared" ca="1" si="2244"/>
        <v>-1.3643244981410093E-2</v>
      </c>
      <c r="O2321" s="2">
        <f t="shared" si="2245"/>
        <v>6000000</v>
      </c>
      <c r="P2321" s="2">
        <f t="shared" ca="1" si="2246"/>
        <v>36282371.622264624</v>
      </c>
      <c r="Q2321" s="2">
        <f t="shared" ca="1" si="2247"/>
        <v>907059.29055661568</v>
      </c>
      <c r="R2321" s="2">
        <f t="shared" ca="1" si="2248"/>
        <v>21769422.973358773</v>
      </c>
      <c r="S2321" s="2">
        <f t="shared" ca="1" si="2249"/>
        <v>14512948.648905851</v>
      </c>
      <c r="T2321" s="2">
        <f t="shared" ca="1" si="2250"/>
        <v>49317837.750929497</v>
      </c>
      <c r="U2321" s="2">
        <f t="shared" ca="1" si="2251"/>
        <v>51007728.961682416</v>
      </c>
      <c r="V2321" s="2">
        <f t="shared" ca="1" si="2252"/>
        <v>52755524.825891607</v>
      </c>
      <c r="W2321" s="2">
        <f t="shared" ca="1" si="2253"/>
        <v>54563209.464706726</v>
      </c>
      <c r="X2321" s="2">
        <f t="shared" ca="1" si="2254"/>
        <v>56432834.985812239</v>
      </c>
      <c r="Y2321" s="2">
        <f t="shared" ca="1" si="2255"/>
        <v>0.12493176364376432</v>
      </c>
      <c r="Z2321" s="2">
        <f t="shared" ca="1" si="2256"/>
        <v>0.12690446910127004</v>
      </c>
      <c r="AA2321" s="2">
        <f t="shared" ca="1" si="2257"/>
        <v>6161364.4493206413</v>
      </c>
      <c r="AB2321" s="2">
        <f t="shared" ca="1" si="2258"/>
        <v>6473108.763943783</v>
      </c>
      <c r="AC2321" s="2">
        <f t="shared" ca="1" si="2259"/>
        <v>6694911.870188646</v>
      </c>
      <c r="AD2321" s="2">
        <f t="shared" ca="1" si="2260"/>
        <v>6924315.1295799995</v>
      </c>
      <c r="AE2321" s="2">
        <f t="shared" ca="1" si="2261"/>
        <v>7161578.9637540802</v>
      </c>
      <c r="AF2321" s="2">
        <f t="shared" ca="1" si="2262"/>
        <v>986356.75501859002</v>
      </c>
      <c r="AG2321" s="2">
        <f t="shared" ca="1" si="2263"/>
        <v>1020154.5792336484</v>
      </c>
      <c r="AH2321" s="2">
        <f t="shared" ca="1" si="2264"/>
        <v>1055110.4965178322</v>
      </c>
      <c r="AI2321" s="2">
        <f t="shared" ca="1" si="2265"/>
        <v>1091264.1892941345</v>
      </c>
      <c r="AJ2321" s="2">
        <f t="shared" ca="1" si="2266"/>
        <v>1128656.6997162448</v>
      </c>
      <c r="AK2321" s="2">
        <f t="shared" ca="1" si="2267"/>
        <v>0</v>
      </c>
      <c r="AL2321" s="2">
        <f t="shared" ca="1" si="2268"/>
        <v>16898.912107529195</v>
      </c>
      <c r="AM2321" s="2">
        <f t="shared" ca="1" si="2269"/>
        <v>17477.9586420919</v>
      </c>
      <c r="AN2321" s="2">
        <f t="shared" ca="1" si="2270"/>
        <v>18076.8463881512</v>
      </c>
      <c r="AO2321" s="2">
        <f t="shared" ca="1" si="2271"/>
        <v>18696.25521105513</v>
      </c>
      <c r="AP2321" s="2">
        <f t="shared" ca="1" si="2272"/>
        <v>1959248.0676022894</v>
      </c>
      <c r="AQ2321" s="2">
        <f t="shared" ca="1" si="2273"/>
        <v>836097.50294193812</v>
      </c>
      <c r="AR2321" s="2">
        <f t="shared" ca="1" si="2274"/>
        <v>908363.59044803982</v>
      </c>
      <c r="AS2321" s="2">
        <f t="shared" ca="1" si="2275"/>
        <v>956943.85957781633</v>
      </c>
      <c r="AT2321" s="2">
        <f t="shared" ca="1" si="2276"/>
        <v>1007188.7468977297</v>
      </c>
      <c r="AU2321" s="2">
        <f t="shared" ca="1" si="2277"/>
        <v>1059155.291073242</v>
      </c>
      <c r="AV2321" s="2">
        <f t="shared" ca="1" si="2278"/>
        <v>2379662.1237578238</v>
      </c>
      <c r="AW2321" s="2">
        <f t="shared" ca="1" si="2279"/>
        <v>2568443.6145522767</v>
      </c>
      <c r="AX2321" s="2">
        <f t="shared" ca="1" si="2280"/>
        <v>2706131.4878486167</v>
      </c>
      <c r="AY2321" s="2">
        <f t="shared" ca="1" si="2281"/>
        <v>2848537.2793976949</v>
      </c>
      <c r="AZ2321" s="2">
        <f t="shared" ca="1" si="2282"/>
        <v>2995822.6501512486</v>
      </c>
      <c r="BA2321" s="2">
        <f t="shared" ca="1" si="2283"/>
        <v>48019235.543100677</v>
      </c>
      <c r="BB2321" s="2">
        <f t="shared" ca="1" si="2284"/>
        <v>960384.71086201351</v>
      </c>
      <c r="BC2321" s="2">
        <f t="shared" ca="1" si="2285"/>
        <v>25289427.85887989</v>
      </c>
      <c r="BD2321" s="2">
        <f t="shared" ca="1" si="2286"/>
        <v>-15920007.939462466</v>
      </c>
      <c r="BE2321" s="2">
        <f t="shared" ca="1" si="2287"/>
        <v>2379662.1237578238</v>
      </c>
      <c r="BF2321" s="2">
        <f t="shared" ca="1" si="2288"/>
        <v>2568443.6145522767</v>
      </c>
      <c r="BG2321" s="2">
        <f t="shared" ca="1" si="2289"/>
        <v>2706131.4878486167</v>
      </c>
      <c r="BH2321" s="2">
        <f t="shared" ca="1" si="2290"/>
        <v>2848537.2793976949</v>
      </c>
      <c r="BI2321" s="2">
        <f t="shared" ca="1" si="2291"/>
        <v>28285250.509031139</v>
      </c>
      <c r="BJ2321" s="2">
        <f t="shared" ca="1" si="2292"/>
        <v>0.2388537258440957</v>
      </c>
      <c r="BK2321" s="2">
        <f t="shared" ca="1" si="2293"/>
        <v>8038516.5483337473</v>
      </c>
    </row>
    <row r="2322" spans="1:63" x14ac:dyDescent="0.3">
      <c r="A2322" s="2">
        <v>2321</v>
      </c>
      <c r="B2322" s="2">
        <f t="shared" ca="1" si="2232"/>
        <v>0.94012878627559404</v>
      </c>
      <c r="C2322" s="2">
        <f t="shared" ca="1" si="2233"/>
        <v>7.6539618121524562</v>
      </c>
      <c r="D2322" s="2">
        <f t="shared" ca="1" si="2234"/>
        <v>0.80154279899693681</v>
      </c>
      <c r="E2322" s="2">
        <f t="shared" ca="1" si="2235"/>
        <v>7.8699885699400953</v>
      </c>
      <c r="F2322" s="2">
        <f t="shared" ca="1" si="2236"/>
        <v>0.93325789240230195</v>
      </c>
      <c r="G2322" s="2">
        <f t="shared" ca="1" si="2237"/>
        <v>8.5015083253111995E-2</v>
      </c>
      <c r="H2322" s="2">
        <f t="shared" ca="1" si="2238"/>
        <v>8.5015083253111995E-2</v>
      </c>
      <c r="I2322" s="2">
        <f t="shared" ca="1" si="2239"/>
        <v>0.26425745467952677</v>
      </c>
      <c r="J2322" s="2">
        <f t="shared" ca="1" si="2240"/>
        <v>6.848626778467491E-3</v>
      </c>
      <c r="K2322" s="2">
        <f t="shared" ca="1" si="2241"/>
        <v>6.848626778467491E-3</v>
      </c>
      <c r="L2322" s="2">
        <f t="shared" ca="1" si="2242"/>
        <v>0.88688051301072923</v>
      </c>
      <c r="M2322" s="2">
        <f t="shared" ca="1" si="2243"/>
        <v>2.4202080756278374E-2</v>
      </c>
      <c r="N2322" s="2">
        <f t="shared" ca="1" si="2244"/>
        <v>2.4202080756278374E-2</v>
      </c>
      <c r="O2322" s="2">
        <f t="shared" si="2245"/>
        <v>6000000</v>
      </c>
      <c r="P2322" s="2">
        <f t="shared" ca="1" si="2246"/>
        <v>45923770.872914739</v>
      </c>
      <c r="Q2322" s="2">
        <f t="shared" ca="1" si="2247"/>
        <v>1148094.2718228686</v>
      </c>
      <c r="R2322" s="2">
        <f t="shared" ca="1" si="2248"/>
        <v>27554262.523748841</v>
      </c>
      <c r="S2322" s="2">
        <f t="shared" ca="1" si="2249"/>
        <v>18369508.349165898</v>
      </c>
      <c r="T2322" s="2">
        <f t="shared" ca="1" si="2250"/>
        <v>51210104.037813917</v>
      </c>
      <c r="U2322" s="2">
        <f t="shared" ca="1" si="2251"/>
        <v>55563735.295989193</v>
      </c>
      <c r="V2322" s="2">
        <f t="shared" ca="1" si="2252"/>
        <v>60287490.878031597</v>
      </c>
      <c r="W2322" s="2">
        <f t="shared" ca="1" si="2253"/>
        <v>65412836.934148684</v>
      </c>
      <c r="X2322" s="2">
        <f t="shared" ca="1" si="2254"/>
        <v>70973914.711927578</v>
      </c>
      <c r="Y2322" s="2">
        <f t="shared" ca="1" si="2255"/>
        <v>0.12342431338923374</v>
      </c>
      <c r="Z2322" s="2">
        <f t="shared" ca="1" si="2256"/>
        <v>0.12479403874492724</v>
      </c>
      <c r="AA2322" s="2">
        <f t="shared" ca="1" si="2257"/>
        <v>6320571.9294584086</v>
      </c>
      <c r="AB2322" s="2">
        <f t="shared" ca="1" si="2258"/>
        <v>6934022.9353405563</v>
      </c>
      <c r="AC2322" s="2">
        <f t="shared" ca="1" si="2259"/>
        <v>7523519.4724675231</v>
      </c>
      <c r="AD2322" s="2">
        <f t="shared" ca="1" si="2260"/>
        <v>8163132.1067757588</v>
      </c>
      <c r="AE2322" s="2">
        <f t="shared" ca="1" si="2261"/>
        <v>8857121.4624394514</v>
      </c>
      <c r="AF2322" s="2">
        <f t="shared" ca="1" si="2262"/>
        <v>1024202.0807562784</v>
      </c>
      <c r="AG2322" s="2">
        <f t="shared" ca="1" si="2263"/>
        <v>1111274.7059197838</v>
      </c>
      <c r="AH2322" s="2">
        <f t="shared" ca="1" si="2264"/>
        <v>1205749.817560632</v>
      </c>
      <c r="AI2322" s="2">
        <f t="shared" ca="1" si="2265"/>
        <v>1308256.7386829737</v>
      </c>
      <c r="AJ2322" s="2">
        <f t="shared" ca="1" si="2266"/>
        <v>1419478.2942385515</v>
      </c>
      <c r="AK2322" s="2">
        <f t="shared" ca="1" si="2267"/>
        <v>0</v>
      </c>
      <c r="AL2322" s="2">
        <f t="shared" ca="1" si="2268"/>
        <v>43536.312581752762</v>
      </c>
      <c r="AM2322" s="2">
        <f t="shared" ca="1" si="2269"/>
        <v>47237.555820424037</v>
      </c>
      <c r="AN2322" s="2">
        <f t="shared" ca="1" si="2270"/>
        <v>51253.460561170876</v>
      </c>
      <c r="AO2322" s="2">
        <f t="shared" ca="1" si="2271"/>
        <v>55610.777777788935</v>
      </c>
      <c r="AP2322" s="2">
        <f t="shared" ca="1" si="2272"/>
        <v>2479883.6271373956</v>
      </c>
      <c r="AQ2322" s="2">
        <f t="shared" ca="1" si="2273"/>
        <v>732286.41760683095</v>
      </c>
      <c r="AR2322" s="2">
        <f t="shared" ca="1" si="2274"/>
        <v>869144.79659367807</v>
      </c>
      <c r="AS2322" s="2">
        <f t="shared" ca="1" si="2275"/>
        <v>997850.36722006893</v>
      </c>
      <c r="AT2322" s="2">
        <f t="shared" ca="1" si="2276"/>
        <v>1137497.8526484012</v>
      </c>
      <c r="AU2322" s="2">
        <f t="shared" ca="1" si="2277"/>
        <v>1289017.4806765111</v>
      </c>
      <c r="AV2322" s="2">
        <f t="shared" ca="1" si="2278"/>
        <v>2084199.8039579038</v>
      </c>
      <c r="AW2322" s="2">
        <f t="shared" ca="1" si="2279"/>
        <v>2430183.4931079466</v>
      </c>
      <c r="AX2322" s="2">
        <f t="shared" ca="1" si="2280"/>
        <v>2792798.1047290023</v>
      </c>
      <c r="AY2322" s="2">
        <f t="shared" ca="1" si="2281"/>
        <v>3186240.4277458163</v>
      </c>
      <c r="AZ2322" s="2">
        <f t="shared" ca="1" si="2282"/>
        <v>3613131.2826092038</v>
      </c>
      <c r="BA2322" s="2">
        <f t="shared" ca="1" si="2283"/>
        <v>69705444.671969578</v>
      </c>
      <c r="BB2322" s="2">
        <f t="shared" ca="1" si="2284"/>
        <v>1394108.8934393916</v>
      </c>
      <c r="BC2322" s="2">
        <f t="shared" ca="1" si="2285"/>
        <v>40757073.254781343</v>
      </c>
      <c r="BD2322" s="2">
        <f t="shared" ca="1" si="2286"/>
        <v>-20017602.620988768</v>
      </c>
      <c r="BE2322" s="2">
        <f t="shared" ca="1" si="2287"/>
        <v>2084199.8039579038</v>
      </c>
      <c r="BF2322" s="2">
        <f t="shared" ca="1" si="2288"/>
        <v>2430183.4931079466</v>
      </c>
      <c r="BG2322" s="2">
        <f t="shared" ca="1" si="2289"/>
        <v>2792798.1047290023</v>
      </c>
      <c r="BH2322" s="2">
        <f t="shared" ca="1" si="2290"/>
        <v>3186240.4277458163</v>
      </c>
      <c r="BI2322" s="2">
        <f t="shared" ca="1" si="2291"/>
        <v>44370204.537390545</v>
      </c>
      <c r="BJ2322" s="2">
        <f t="shared" ca="1" si="2292"/>
        <v>0.25699714960449094</v>
      </c>
      <c r="BK2322" s="2">
        <f t="shared" ca="1" si="2293"/>
        <v>12970235.032443989</v>
      </c>
    </row>
    <row r="2323" spans="1:63" x14ac:dyDescent="0.3">
      <c r="A2323" s="2">
        <v>2322</v>
      </c>
      <c r="B2323" s="2">
        <f t="shared" ca="1" si="2232"/>
        <v>0.21107964367268162</v>
      </c>
      <c r="C2323" s="2">
        <f t="shared" ca="1" si="2233"/>
        <v>6.6497378604832589</v>
      </c>
      <c r="D2323" s="2">
        <f t="shared" ca="1" si="2234"/>
        <v>0.39624372657423268</v>
      </c>
      <c r="E2323" s="2">
        <f t="shared" ca="1" si="2235"/>
        <v>7.3902176436964533</v>
      </c>
      <c r="F2323" s="2">
        <f t="shared" ca="1" si="2236"/>
        <v>9.6214779188497079E-2</v>
      </c>
      <c r="G2323" s="2">
        <f t="shared" ca="1" si="2237"/>
        <v>8.9723701477543299E-4</v>
      </c>
      <c r="H2323" s="2">
        <f t="shared" ca="1" si="2238"/>
        <v>8.9723701477543299E-4</v>
      </c>
      <c r="I2323" s="2">
        <f t="shared" ca="1" si="2239"/>
        <v>0.7112729058960402</v>
      </c>
      <c r="J2323" s="2">
        <f t="shared" ca="1" si="2240"/>
        <v>1.2785536002462424E-2</v>
      </c>
      <c r="K2323" s="2">
        <f t="shared" ca="1" si="2241"/>
        <v>1.2785536002462424E-2</v>
      </c>
      <c r="L2323" s="2">
        <f t="shared" ca="1" si="2242"/>
        <v>0.49788334301909676</v>
      </c>
      <c r="M2323" s="2">
        <f t="shared" ca="1" si="2243"/>
        <v>-1.0611394257715191E-4</v>
      </c>
      <c r="N2323" s="2">
        <f t="shared" ca="1" si="2244"/>
        <v>-1.0611394257715191E-4</v>
      </c>
      <c r="O2323" s="2">
        <f t="shared" si="2245"/>
        <v>6000000</v>
      </c>
      <c r="P2323" s="2">
        <f t="shared" ca="1" si="2246"/>
        <v>39898427.162899554</v>
      </c>
      <c r="Q2323" s="2">
        <f t="shared" ca="1" si="2247"/>
        <v>997460.67907248891</v>
      </c>
      <c r="R2323" s="2">
        <f t="shared" ca="1" si="2248"/>
        <v>23939056.297739733</v>
      </c>
      <c r="S2323" s="2">
        <f t="shared" ca="1" si="2249"/>
        <v>15959370.865159823</v>
      </c>
      <c r="T2323" s="2">
        <f t="shared" ca="1" si="2250"/>
        <v>49994694.302871138</v>
      </c>
      <c r="U2323" s="2">
        <f t="shared" ca="1" si="2251"/>
        <v>50039551.393142059</v>
      </c>
      <c r="V2323" s="2">
        <f t="shared" ca="1" si="2252"/>
        <v>50084448.73085475</v>
      </c>
      <c r="W2323" s="2">
        <f t="shared" ca="1" si="2253"/>
        <v>50129386.352120697</v>
      </c>
      <c r="X2323" s="2">
        <f t="shared" ca="1" si="2254"/>
        <v>50174364.293083802</v>
      </c>
      <c r="Y2323" s="2">
        <f t="shared" ca="1" si="2255"/>
        <v>0.1263927680012312</v>
      </c>
      <c r="Z2323" s="2">
        <f t="shared" ca="1" si="2256"/>
        <v>0.12894987520172368</v>
      </c>
      <c r="AA2323" s="2">
        <f t="shared" ca="1" si="2257"/>
        <v>6318967.7983152671</v>
      </c>
      <c r="AB2323" s="2">
        <f t="shared" ca="1" si="2258"/>
        <v>6452593.9072959069</v>
      </c>
      <c r="AC2323" s="2">
        <f t="shared" ca="1" si="2259"/>
        <v>6458383.4133908479</v>
      </c>
      <c r="AD2323" s="2">
        <f t="shared" ca="1" si="2260"/>
        <v>6464178.1140449541</v>
      </c>
      <c r="AE2323" s="2">
        <f t="shared" ca="1" si="2261"/>
        <v>6469978.0139189772</v>
      </c>
      <c r="AF2323" s="2">
        <f t="shared" ca="1" si="2262"/>
        <v>999893.88605742273</v>
      </c>
      <c r="AG2323" s="2">
        <f t="shared" ca="1" si="2263"/>
        <v>1000791.0278628413</v>
      </c>
      <c r="AH2323" s="2">
        <f t="shared" ca="1" si="2264"/>
        <v>1001688.974617095</v>
      </c>
      <c r="AI2323" s="2">
        <f t="shared" ca="1" si="2265"/>
        <v>1002587.727042414</v>
      </c>
      <c r="AJ2323" s="2">
        <f t="shared" ca="1" si="2266"/>
        <v>1003487.2858616761</v>
      </c>
      <c r="AK2323" s="2">
        <f t="shared" ca="1" si="2267"/>
        <v>0</v>
      </c>
      <c r="AL2323" s="2">
        <f t="shared" ca="1" si="2268"/>
        <v>448.57090270921589</v>
      </c>
      <c r="AM2323" s="2">
        <f t="shared" ca="1" si="2269"/>
        <v>448.97337712690234</v>
      </c>
      <c r="AN2323" s="2">
        <f t="shared" ca="1" si="2270"/>
        <v>449.3762126594782</v>
      </c>
      <c r="AO2323" s="2">
        <f t="shared" ca="1" si="2271"/>
        <v>449.77940963104368</v>
      </c>
      <c r="AP2323" s="2">
        <f t="shared" ca="1" si="2272"/>
        <v>2154515.0667965757</v>
      </c>
      <c r="AQ2323" s="2">
        <f t="shared" ca="1" si="2273"/>
        <v>822785.29981992999</v>
      </c>
      <c r="AR2323" s="2">
        <f t="shared" ca="1" si="2274"/>
        <v>857294.83128548739</v>
      </c>
      <c r="AS2323" s="2">
        <f t="shared" ca="1" si="2275"/>
        <v>858566.63671406615</v>
      </c>
      <c r="AT2323" s="2">
        <f t="shared" ca="1" si="2276"/>
        <v>859839.58325355069</v>
      </c>
      <c r="AU2323" s="2">
        <f t="shared" ca="1" si="2277"/>
        <v>861113.67192778853</v>
      </c>
      <c r="AV2323" s="2">
        <f t="shared" ca="1" si="2278"/>
        <v>2341773.5456413394</v>
      </c>
      <c r="AW2323" s="2">
        <f t="shared" ca="1" si="2279"/>
        <v>2439544.4104482932</v>
      </c>
      <c r="AX2323" s="2">
        <f t="shared" ca="1" si="2280"/>
        <v>2443163.7618859839</v>
      </c>
      <c r="AY2323" s="2">
        <f t="shared" ca="1" si="2281"/>
        <v>2446786.3607397545</v>
      </c>
      <c r="AZ2323" s="2">
        <f t="shared" ca="1" si="2282"/>
        <v>2450412.2099233055</v>
      </c>
      <c r="BA2323" s="2">
        <f t="shared" ca="1" si="2283"/>
        <v>47814545.672792159</v>
      </c>
      <c r="BB2323" s="2">
        <f t="shared" ca="1" si="2284"/>
        <v>956290.91345584323</v>
      </c>
      <c r="BC2323" s="2">
        <f t="shared" ca="1" si="2285"/>
        <v>22919198.461596582</v>
      </c>
      <c r="BD2323" s="2">
        <f t="shared" ca="1" si="2286"/>
        <v>-17456831.544232313</v>
      </c>
      <c r="BE2323" s="2">
        <f t="shared" ca="1" si="2287"/>
        <v>2341773.5456413394</v>
      </c>
      <c r="BF2323" s="2">
        <f t="shared" ca="1" si="2288"/>
        <v>2439544.4104482932</v>
      </c>
      <c r="BG2323" s="2">
        <f t="shared" ca="1" si="2289"/>
        <v>2443163.7618859839</v>
      </c>
      <c r="BH2323" s="2">
        <f t="shared" ca="1" si="2290"/>
        <v>2446786.3607397545</v>
      </c>
      <c r="BI2323" s="2">
        <f t="shared" ca="1" si="2291"/>
        <v>25369610.671519887</v>
      </c>
      <c r="BJ2323" s="2">
        <f t="shared" ca="1" si="2292"/>
        <v>0.18198693646995956</v>
      </c>
      <c r="BK2323" s="2">
        <f t="shared" ca="1" si="2293"/>
        <v>4268198.6492446214</v>
      </c>
    </row>
    <row r="2324" spans="1:63" x14ac:dyDescent="0.3">
      <c r="A2324" s="2">
        <v>2323</v>
      </c>
      <c r="B2324" s="2">
        <f t="shared" ca="1" si="2232"/>
        <v>0.94436370263943381</v>
      </c>
      <c r="C2324" s="2">
        <f t="shared" ca="1" si="2233"/>
        <v>7.6664245291974655</v>
      </c>
      <c r="D2324" s="2">
        <f t="shared" ca="1" si="2234"/>
        <v>0.66363766724853723</v>
      </c>
      <c r="E2324" s="2">
        <f t="shared" ca="1" si="2235"/>
        <v>7.6798020571210106</v>
      </c>
      <c r="F2324" s="2">
        <f t="shared" ca="1" si="2236"/>
        <v>0.43268481484786514</v>
      </c>
      <c r="G2324" s="2">
        <f t="shared" ca="1" si="2237"/>
        <v>3.4913712933923674E-2</v>
      </c>
      <c r="H2324" s="2">
        <f t="shared" ca="1" si="2238"/>
        <v>3.4913712933923674E-2</v>
      </c>
      <c r="I2324" s="2">
        <f t="shared" ca="1" si="2239"/>
        <v>0.7325542315824638</v>
      </c>
      <c r="J2324" s="2">
        <f t="shared" ca="1" si="2240"/>
        <v>1.3102781980145681E-2</v>
      </c>
      <c r="K2324" s="2">
        <f t="shared" ca="1" si="2241"/>
        <v>1.3102781980145681E-2</v>
      </c>
      <c r="L2324" s="2">
        <f t="shared" ca="1" si="2242"/>
        <v>0.64537478111785274</v>
      </c>
      <c r="M2324" s="2">
        <f t="shared" ca="1" si="2243"/>
        <v>7.4572592835548627E-3</v>
      </c>
      <c r="N2324" s="2">
        <f t="shared" ca="1" si="2244"/>
        <v>7.4572592835548627E-3</v>
      </c>
      <c r="O2324" s="2">
        <f t="shared" si="2245"/>
        <v>6000000</v>
      </c>
      <c r="P2324" s="2">
        <f t="shared" ca="1" si="2246"/>
        <v>45998547.175184794</v>
      </c>
      <c r="Q2324" s="2">
        <f t="shared" ca="1" si="2247"/>
        <v>1149963.6793796199</v>
      </c>
      <c r="R2324" s="2">
        <f t="shared" ca="1" si="2248"/>
        <v>27599128.305110876</v>
      </c>
      <c r="S2324" s="2">
        <f t="shared" ca="1" si="2249"/>
        <v>18399418.870073918</v>
      </c>
      <c r="T2324" s="2">
        <f t="shared" ca="1" si="2250"/>
        <v>50372862.964177743</v>
      </c>
      <c r="U2324" s="2">
        <f t="shared" ca="1" si="2251"/>
        <v>52131566.641368918</v>
      </c>
      <c r="V2324" s="2">
        <f t="shared" ca="1" si="2252"/>
        <v>53951673.193881385</v>
      </c>
      <c r="W2324" s="2">
        <f t="shared" ca="1" si="2253"/>
        <v>55835326.424077421</v>
      </c>
      <c r="X2324" s="2">
        <f t="shared" ca="1" si="2254"/>
        <v>57784744.98241958</v>
      </c>
      <c r="Y2324" s="2">
        <f t="shared" ca="1" si="2255"/>
        <v>0.12655139099007284</v>
      </c>
      <c r="Z2324" s="2">
        <f t="shared" ca="1" si="2256"/>
        <v>0.12917194738610197</v>
      </c>
      <c r="AA2324" s="2">
        <f t="shared" ca="1" si="2257"/>
        <v>6374755.8762690173</v>
      </c>
      <c r="AB2324" s="2">
        <f t="shared" ca="1" si="2258"/>
        <v>6733935.9833539743</v>
      </c>
      <c r="AC2324" s="2">
        <f t="shared" ca="1" si="2259"/>
        <v>6969042.6911922144</v>
      </c>
      <c r="AD2324" s="2">
        <f t="shared" ca="1" si="2260"/>
        <v>7212357.8471367573</v>
      </c>
      <c r="AE2324" s="2">
        <f t="shared" ca="1" si="2261"/>
        <v>7464168.0385884214</v>
      </c>
      <c r="AF2324" s="2">
        <f t="shared" ca="1" si="2262"/>
        <v>1007457.2592835549</v>
      </c>
      <c r="AG2324" s="2">
        <f t="shared" ca="1" si="2263"/>
        <v>1042631.3328273784</v>
      </c>
      <c r="AH2324" s="2">
        <f t="shared" ca="1" si="2264"/>
        <v>1079033.4638776276</v>
      </c>
      <c r="AI2324" s="2">
        <f t="shared" ca="1" si="2265"/>
        <v>1116706.5284815484</v>
      </c>
      <c r="AJ2324" s="2">
        <f t="shared" ca="1" si="2266"/>
        <v>1155694.8996483916</v>
      </c>
      <c r="AK2324" s="2">
        <f t="shared" ca="1" si="2267"/>
        <v>0</v>
      </c>
      <c r="AL2324" s="2">
        <f t="shared" ca="1" si="2268"/>
        <v>17587.036771911757</v>
      </c>
      <c r="AM2324" s="2">
        <f t="shared" ca="1" si="2269"/>
        <v>18201.065525124668</v>
      </c>
      <c r="AN2324" s="2">
        <f t="shared" ca="1" si="2270"/>
        <v>18836.532301960364</v>
      </c>
      <c r="AO2324" s="2">
        <f t="shared" ca="1" si="2271"/>
        <v>19494.185583421589</v>
      </c>
      <c r="AP2324" s="2">
        <f t="shared" ca="1" si="2272"/>
        <v>2483921.5474599786</v>
      </c>
      <c r="AQ2324" s="2">
        <f t="shared" ca="1" si="2273"/>
        <v>749678.0380766259</v>
      </c>
      <c r="AR2324" s="2">
        <f t="shared" ca="1" si="2274"/>
        <v>833919.60679732065</v>
      </c>
      <c r="AS2324" s="2">
        <f t="shared" ca="1" si="2275"/>
        <v>885582.79676219809</v>
      </c>
      <c r="AT2324" s="2">
        <f t="shared" ca="1" si="2276"/>
        <v>939049.74051075988</v>
      </c>
      <c r="AU2324" s="2">
        <f t="shared" ca="1" si="2277"/>
        <v>994383.41378481337</v>
      </c>
      <c r="AV2324" s="2">
        <f t="shared" ca="1" si="2278"/>
        <v>2133699.0314488579</v>
      </c>
      <c r="AW2324" s="2">
        <f t="shared" ca="1" si="2279"/>
        <v>2355876.4594973847</v>
      </c>
      <c r="AX2324" s="2">
        <f t="shared" ca="1" si="2280"/>
        <v>2502303.8175672852</v>
      </c>
      <c r="AY2324" s="2">
        <f t="shared" ca="1" si="2281"/>
        <v>2653843.4983825097</v>
      </c>
      <c r="AZ2324" s="2">
        <f t="shared" ca="1" si="2282"/>
        <v>2810673.9921118161</v>
      </c>
      <c r="BA2324" s="2">
        <f t="shared" ca="1" si="2283"/>
        <v>57323333.05744826</v>
      </c>
      <c r="BB2324" s="2">
        <f t="shared" ca="1" si="2284"/>
        <v>1146466.6611489651</v>
      </c>
      <c r="BC2324" s="2">
        <f t="shared" ca="1" si="2285"/>
        <v>28577738.09118842</v>
      </c>
      <c r="BD2324" s="2">
        <f t="shared" ca="1" si="2286"/>
        <v>-20049382.549453538</v>
      </c>
      <c r="BE2324" s="2">
        <f t="shared" ca="1" si="2287"/>
        <v>2133699.0314488579</v>
      </c>
      <c r="BF2324" s="2">
        <f t="shared" ca="1" si="2288"/>
        <v>2355876.4594973847</v>
      </c>
      <c r="BG2324" s="2">
        <f t="shared" ca="1" si="2289"/>
        <v>2502303.8175672852</v>
      </c>
      <c r="BH2324" s="2">
        <f t="shared" ca="1" si="2290"/>
        <v>2653843.4983825097</v>
      </c>
      <c r="BI2324" s="2">
        <f t="shared" ca="1" si="2291"/>
        <v>31388412.083300237</v>
      </c>
      <c r="BJ2324" s="2">
        <f t="shared" ca="1" si="2292"/>
        <v>0.18088516455724735</v>
      </c>
      <c r="BK2324" s="2">
        <f t="shared" ca="1" si="2293"/>
        <v>5012080.0875392631</v>
      </c>
    </row>
    <row r="2325" spans="1:63" x14ac:dyDescent="0.3">
      <c r="A2325" s="2">
        <v>2324</v>
      </c>
      <c r="B2325" s="2">
        <f t="shared" ca="1" si="2232"/>
        <v>0.79588842753326405</v>
      </c>
      <c r="C2325" s="2">
        <f t="shared" ca="1" si="2233"/>
        <v>7.3610765734976749</v>
      </c>
      <c r="D2325" s="2">
        <f t="shared" ca="1" si="2234"/>
        <v>0.20816794004322614</v>
      </c>
      <c r="E2325" s="2">
        <f t="shared" ca="1" si="2235"/>
        <v>7.1452409473107332</v>
      </c>
      <c r="F2325" s="2">
        <f t="shared" ca="1" si="2236"/>
        <v>0.67992323522443687</v>
      </c>
      <c r="G2325" s="2">
        <f t="shared" ca="1" si="2237"/>
        <v>5.4024524495864243E-2</v>
      </c>
      <c r="H2325" s="2">
        <f t="shared" ca="1" si="2238"/>
        <v>5.4024524495864243E-2</v>
      </c>
      <c r="I2325" s="2">
        <f t="shared" ca="1" si="2239"/>
        <v>0.99328044331294529</v>
      </c>
      <c r="J2325" s="2">
        <f t="shared" ca="1" si="2240"/>
        <v>2.2359579417656567E-2</v>
      </c>
      <c r="K2325" s="2">
        <f t="shared" ca="1" si="2241"/>
        <v>2.2359579417656567E-2</v>
      </c>
      <c r="L2325" s="2">
        <f t="shared" ca="1" si="2242"/>
        <v>0.22906573396749552</v>
      </c>
      <c r="M2325" s="2">
        <f t="shared" ca="1" si="2243"/>
        <v>-1.4838543237893931E-2</v>
      </c>
      <c r="N2325" s="2">
        <f t="shared" ca="1" si="2244"/>
        <v>-1.4838543237893931E-2</v>
      </c>
      <c r="O2325" s="2">
        <f t="shared" si="2245"/>
        <v>6000000</v>
      </c>
      <c r="P2325" s="2">
        <f t="shared" ca="1" si="2246"/>
        <v>44166459.440986052</v>
      </c>
      <c r="Q2325" s="2">
        <f t="shared" ca="1" si="2247"/>
        <v>1104161.4860246514</v>
      </c>
      <c r="R2325" s="2">
        <f t="shared" ca="1" si="2248"/>
        <v>26499875.664591629</v>
      </c>
      <c r="S2325" s="2">
        <f t="shared" ca="1" si="2249"/>
        <v>17666583.776394423</v>
      </c>
      <c r="T2325" s="2">
        <f t="shared" ca="1" si="2250"/>
        <v>49258072.838105306</v>
      </c>
      <c r="U2325" s="2">
        <f t="shared" ca="1" si="2251"/>
        <v>51919216.800766587</v>
      </c>
      <c r="V2325" s="2">
        <f t="shared" ca="1" si="2252"/>
        <v>54724127.800625682</v>
      </c>
      <c r="W2325" s="2">
        <f t="shared" ca="1" si="2253"/>
        <v>57680572.783505388</v>
      </c>
      <c r="X2325" s="2">
        <f t="shared" ca="1" si="2254"/>
        <v>60796738.300783351</v>
      </c>
      <c r="Y2325" s="2">
        <f t="shared" ca="1" si="2255"/>
        <v>0.13117978970882826</v>
      </c>
      <c r="Z2325" s="2">
        <f t="shared" ca="1" si="2256"/>
        <v>0.13565170559235959</v>
      </c>
      <c r="AA2325" s="2">
        <f t="shared" ca="1" si="2257"/>
        <v>6461663.6363647999</v>
      </c>
      <c r="AB2325" s="2">
        <f t="shared" ca="1" si="2258"/>
        <v>7042930.3120434787</v>
      </c>
      <c r="AC2325" s="2">
        <f t="shared" ca="1" si="2259"/>
        <v>7423421.273209136</v>
      </c>
      <c r="AD2325" s="2">
        <f t="shared" ca="1" si="2260"/>
        <v>7824468.0776267424</v>
      </c>
      <c r="AE2325" s="2">
        <f t="shared" ca="1" si="2261"/>
        <v>8247181.2449535951</v>
      </c>
      <c r="AF2325" s="2">
        <f t="shared" ca="1" si="2262"/>
        <v>985161.45676210616</v>
      </c>
      <c r="AG2325" s="2">
        <f t="shared" ca="1" si="2263"/>
        <v>1038384.3360153318</v>
      </c>
      <c r="AH2325" s="2">
        <f t="shared" ca="1" si="2264"/>
        <v>1094482.5560125136</v>
      </c>
      <c r="AI2325" s="2">
        <f t="shared" ca="1" si="2265"/>
        <v>1153611.4556701079</v>
      </c>
      <c r="AJ2325" s="2">
        <f t="shared" ca="1" si="2266"/>
        <v>1215934.766015667</v>
      </c>
      <c r="AK2325" s="2">
        <f t="shared" ca="1" si="2267"/>
        <v>0</v>
      </c>
      <c r="AL2325" s="2">
        <f t="shared" ca="1" si="2268"/>
        <v>26611.439626612813</v>
      </c>
      <c r="AM2325" s="2">
        <f t="shared" ca="1" si="2269"/>
        <v>28049.109998590946</v>
      </c>
      <c r="AN2325" s="2">
        <f t="shared" ca="1" si="2270"/>
        <v>29564.449828797056</v>
      </c>
      <c r="AO2325" s="2">
        <f t="shared" ca="1" si="2271"/>
        <v>31161.655172779636</v>
      </c>
      <c r="AP2325" s="2">
        <f t="shared" ca="1" si="2272"/>
        <v>2384988.8098132466</v>
      </c>
      <c r="AQ2325" s="2">
        <f t="shared" ca="1" si="2273"/>
        <v>803793.47614525631</v>
      </c>
      <c r="AR2325" s="2">
        <f t="shared" ca="1" si="2274"/>
        <v>941084.86321587418</v>
      </c>
      <c r="AS2325" s="2">
        <f t="shared" ca="1" si="2275"/>
        <v>1025426.9759196779</v>
      </c>
      <c r="AT2325" s="2">
        <f t="shared" ca="1" si="2276"/>
        <v>1114325.6311572806</v>
      </c>
      <c r="AU2325" s="2">
        <f t="shared" ca="1" si="2277"/>
        <v>1208026.9939724172</v>
      </c>
      <c r="AV2325" s="2">
        <f t="shared" ca="1" si="2278"/>
        <v>2287719.8936441909</v>
      </c>
      <c r="AW2325" s="2">
        <f t="shared" ca="1" si="2279"/>
        <v>2651860.8633724139</v>
      </c>
      <c r="AX2325" s="2">
        <f t="shared" ca="1" si="2280"/>
        <v>2890473.8214651071</v>
      </c>
      <c r="AY2325" s="2">
        <f t="shared" ca="1" si="2281"/>
        <v>3141977.7311573098</v>
      </c>
      <c r="AZ2325" s="2">
        <f t="shared" ca="1" si="2282"/>
        <v>3407069.0199794848</v>
      </c>
      <c r="BA2325" s="2">
        <f t="shared" ca="1" si="2283"/>
        <v>58928097.131335542</v>
      </c>
      <c r="BB2325" s="2">
        <f t="shared" ca="1" si="2284"/>
        <v>1178561.9426267107</v>
      </c>
      <c r="BC2325" s="2">
        <f t="shared" ca="1" si="2285"/>
        <v>31249659.524117202</v>
      </c>
      <c r="BD2325" s="2">
        <f t="shared" ca="1" si="2286"/>
        <v>-19270745.262419075</v>
      </c>
      <c r="BE2325" s="2">
        <f t="shared" ca="1" si="2287"/>
        <v>2287719.8936441909</v>
      </c>
      <c r="BF2325" s="2">
        <f t="shared" ca="1" si="2288"/>
        <v>2651860.8633724139</v>
      </c>
      <c r="BG2325" s="2">
        <f t="shared" ca="1" si="2289"/>
        <v>2890473.8214651071</v>
      </c>
      <c r="BH2325" s="2">
        <f t="shared" ca="1" si="2290"/>
        <v>3141977.7311573098</v>
      </c>
      <c r="BI2325" s="2">
        <f t="shared" ca="1" si="2291"/>
        <v>34656728.544096686</v>
      </c>
      <c r="BJ2325" s="2">
        <f t="shared" ca="1" si="2292"/>
        <v>0.22336811604047213</v>
      </c>
      <c r="BK2325" s="2">
        <f t="shared" ca="1" si="2293"/>
        <v>8605233.3601814546</v>
      </c>
    </row>
    <row r="2326" spans="1:63" x14ac:dyDescent="0.3">
      <c r="A2326" s="2">
        <v>2325</v>
      </c>
      <c r="B2326" s="2">
        <f t="shared" ca="1" si="2232"/>
        <v>0.68983820028303544</v>
      </c>
      <c r="C2326" s="2">
        <f t="shared" ca="1" si="2233"/>
        <v>7.2123937535583345</v>
      </c>
      <c r="D2326" s="2">
        <f t="shared" ca="1" si="2234"/>
        <v>0.27058027029513743</v>
      </c>
      <c r="E2326" s="2">
        <f t="shared" ca="1" si="2235"/>
        <v>7.2356361468758008</v>
      </c>
      <c r="F2326" s="2">
        <f t="shared" ca="1" si="2236"/>
        <v>0.20301193888380586</v>
      </c>
      <c r="G2326" s="2">
        <f t="shared" ca="1" si="2237"/>
        <v>1.5072668338255574E-2</v>
      </c>
      <c r="H2326" s="2">
        <f t="shared" ca="1" si="2238"/>
        <v>1.5072668338255574E-2</v>
      </c>
      <c r="I2326" s="2">
        <f t="shared" ca="1" si="2239"/>
        <v>0.65857341608774345</v>
      </c>
      <c r="J2326" s="2">
        <f t="shared" ca="1" si="2240"/>
        <v>1.2042864186048035E-2</v>
      </c>
      <c r="K2326" s="2">
        <f t="shared" ca="1" si="2241"/>
        <v>1.2042864186048035E-2</v>
      </c>
      <c r="L2326" s="2">
        <f t="shared" ca="1" si="2242"/>
        <v>0.69915423951659739</v>
      </c>
      <c r="M2326" s="2">
        <f t="shared" ca="1" si="2243"/>
        <v>1.0439391312446337E-2</v>
      </c>
      <c r="N2326" s="2">
        <f t="shared" ca="1" si="2244"/>
        <v>1.0439391312446337E-2</v>
      </c>
      <c r="O2326" s="2">
        <f t="shared" si="2245"/>
        <v>6000000</v>
      </c>
      <c r="P2326" s="2">
        <f t="shared" ca="1" si="2246"/>
        <v>43274362.521350004</v>
      </c>
      <c r="Q2326" s="2">
        <f t="shared" ca="1" si="2247"/>
        <v>1081859.06303375</v>
      </c>
      <c r="R2326" s="2">
        <f t="shared" ca="1" si="2248"/>
        <v>25964617.512810003</v>
      </c>
      <c r="S2326" s="2">
        <f t="shared" ca="1" si="2249"/>
        <v>17309745.008540001</v>
      </c>
      <c r="T2326" s="2">
        <f t="shared" ca="1" si="2250"/>
        <v>50521969.565622315</v>
      </c>
      <c r="U2326" s="2">
        <f t="shared" ca="1" si="2251"/>
        <v>51283470.45668038</v>
      </c>
      <c r="V2326" s="2">
        <f t="shared" ca="1" si="2252"/>
        <v>52056449.198108651</v>
      </c>
      <c r="W2326" s="2">
        <f t="shared" ca="1" si="2253"/>
        <v>52841078.791738994</v>
      </c>
      <c r="X2326" s="2">
        <f t="shared" ca="1" si="2254"/>
        <v>53637534.847002506</v>
      </c>
      <c r="Y2326" s="2">
        <f t="shared" ca="1" si="2255"/>
        <v>0.12602143209302402</v>
      </c>
      <c r="Z2326" s="2">
        <f t="shared" ca="1" si="2256"/>
        <v>0.12843000493023363</v>
      </c>
      <c r="AA2326" s="2">
        <f t="shared" ca="1" si="2257"/>
        <v>6366850.9568198984</v>
      </c>
      <c r="AB2326" s="2">
        <f t="shared" ca="1" si="2258"/>
        <v>6586336.363590952</v>
      </c>
      <c r="AC2326" s="2">
        <f t="shared" ca="1" si="2259"/>
        <v>6685610.0271635503</v>
      </c>
      <c r="AD2326" s="2">
        <f t="shared" ca="1" si="2260"/>
        <v>6786380.0097419024</v>
      </c>
      <c r="AE2326" s="2">
        <f t="shared" ca="1" si="2261"/>
        <v>6888668.8648461094</v>
      </c>
      <c r="AF2326" s="2">
        <f t="shared" ca="1" si="2262"/>
        <v>1010439.3913124463</v>
      </c>
      <c r="AG2326" s="2">
        <f t="shared" ca="1" si="2263"/>
        <v>1025669.4091336076</v>
      </c>
      <c r="AH2326" s="2">
        <f t="shared" ca="1" si="2264"/>
        <v>1041128.983962173</v>
      </c>
      <c r="AI2326" s="2">
        <f t="shared" ca="1" si="2265"/>
        <v>1056821.57583478</v>
      </c>
      <c r="AJ2326" s="2">
        <f t="shared" ca="1" si="2266"/>
        <v>1072750.6969400502</v>
      </c>
      <c r="AK2326" s="2">
        <f t="shared" ca="1" si="2267"/>
        <v>0</v>
      </c>
      <c r="AL2326" s="2">
        <f t="shared" ca="1" si="2268"/>
        <v>7615.0089105806501</v>
      </c>
      <c r="AM2326" s="2">
        <f t="shared" ca="1" si="2269"/>
        <v>7729.7874142827095</v>
      </c>
      <c r="AN2326" s="2">
        <f t="shared" ca="1" si="2270"/>
        <v>7846.295936303437</v>
      </c>
      <c r="AO2326" s="2">
        <f t="shared" ca="1" si="2271"/>
        <v>7964.5605526351183</v>
      </c>
      <c r="AP2326" s="2">
        <f t="shared" ca="1" si="2272"/>
        <v>2336815.5761529002</v>
      </c>
      <c r="AQ2326" s="2">
        <f t="shared" ca="1" si="2273"/>
        <v>785094.95723218354</v>
      </c>
      <c r="AR2326" s="2">
        <f t="shared" ca="1" si="2274"/>
        <v>838201.35835915548</v>
      </c>
      <c r="AS2326" s="2">
        <f t="shared" ca="1" si="2275"/>
        <v>859993.02143260418</v>
      </c>
      <c r="AT2326" s="2">
        <f t="shared" ca="1" si="2276"/>
        <v>882113.14301609783</v>
      </c>
      <c r="AU2326" s="2">
        <f t="shared" ca="1" si="2277"/>
        <v>904566.67385582125</v>
      </c>
      <c r="AV2326" s="2">
        <f t="shared" ca="1" si="2278"/>
        <v>2234501.032122368</v>
      </c>
      <c r="AW2326" s="2">
        <f t="shared" ca="1" si="2279"/>
        <v>2378035.0110347085</v>
      </c>
      <c r="AX2326" s="2">
        <f t="shared" ca="1" si="2280"/>
        <v>2439942.6582015902</v>
      </c>
      <c r="AY2326" s="2">
        <f t="shared" ca="1" si="2281"/>
        <v>2502783.4188018208</v>
      </c>
      <c r="AZ2326" s="2">
        <f t="shared" ca="1" si="2282"/>
        <v>2566571.3573447019</v>
      </c>
      <c r="BA2326" s="2">
        <f t="shared" ca="1" si="2283"/>
        <v>49843901.4423384</v>
      </c>
      <c r="BB2326" s="2">
        <f t="shared" ca="1" si="2284"/>
        <v>996878.02884676796</v>
      </c>
      <c r="BC2326" s="2">
        <f t="shared" ca="1" si="2285"/>
        <v>22882405.90068163</v>
      </c>
      <c r="BD2326" s="2">
        <f t="shared" ca="1" si="2286"/>
        <v>-18891604.071573749</v>
      </c>
      <c r="BE2326" s="2">
        <f t="shared" ca="1" si="2287"/>
        <v>2234501.032122368</v>
      </c>
      <c r="BF2326" s="2">
        <f t="shared" ca="1" si="2288"/>
        <v>2378035.0110347085</v>
      </c>
      <c r="BG2326" s="2">
        <f t="shared" ca="1" si="2289"/>
        <v>2439942.6582015902</v>
      </c>
      <c r="BH2326" s="2">
        <f t="shared" ca="1" si="2290"/>
        <v>2502783.4188018208</v>
      </c>
      <c r="BI2326" s="2">
        <f t="shared" ca="1" si="2291"/>
        <v>25448977.258026332</v>
      </c>
      <c r="BJ2326" s="2">
        <f t="shared" ca="1" si="2292"/>
        <v>0.15794124746847271</v>
      </c>
      <c r="BK2326" s="2">
        <f t="shared" ca="1" si="2293"/>
        <v>2766941.3327388763</v>
      </c>
    </row>
    <row r="2327" spans="1:63" x14ac:dyDescent="0.3">
      <c r="A2327" s="2">
        <v>2326</v>
      </c>
      <c r="B2327" s="2">
        <f t="shared" ca="1" si="2232"/>
        <v>0.16393429784295843</v>
      </c>
      <c r="C2327" s="2">
        <f t="shared" ca="1" si="2233"/>
        <v>6.5725981100963544</v>
      </c>
      <c r="D2327" s="2">
        <f t="shared" ca="1" si="2234"/>
        <v>0.48694908451961771</v>
      </c>
      <c r="E2327" s="2">
        <f t="shared" ca="1" si="2235"/>
        <v>7.4868627913946471</v>
      </c>
      <c r="F2327" s="2">
        <f t="shared" ca="1" si="2236"/>
        <v>0.347843841626026</v>
      </c>
      <c r="G2327" s="2">
        <f t="shared" ca="1" si="2237"/>
        <v>2.8265553542155993E-2</v>
      </c>
      <c r="H2327" s="2">
        <f t="shared" ca="1" si="2238"/>
        <v>2.8265553542155993E-2</v>
      </c>
      <c r="I2327" s="2">
        <f t="shared" ca="1" si="2239"/>
        <v>0.33861702452235543</v>
      </c>
      <c r="J2327" s="2">
        <f t="shared" ca="1" si="2240"/>
        <v>7.9187976528773962E-3</v>
      </c>
      <c r="K2327" s="2">
        <f t="shared" ca="1" si="2241"/>
        <v>7.9187976528773962E-3</v>
      </c>
      <c r="L2327" s="2">
        <f t="shared" ca="1" si="2242"/>
        <v>0.44741408321001319</v>
      </c>
      <c r="M2327" s="2">
        <f t="shared" ca="1" si="2243"/>
        <v>-2.643947776289362E-3</v>
      </c>
      <c r="N2327" s="2">
        <f t="shared" ca="1" si="2244"/>
        <v>-2.643947776289362E-3</v>
      </c>
      <c r="O2327" s="2">
        <f t="shared" si="2245"/>
        <v>6000000</v>
      </c>
      <c r="P2327" s="2">
        <f t="shared" ca="1" si="2246"/>
        <v>39435588.660578124</v>
      </c>
      <c r="Q2327" s="2">
        <f t="shared" ca="1" si="2247"/>
        <v>985889.71651445318</v>
      </c>
      <c r="R2327" s="2">
        <f t="shared" ca="1" si="2248"/>
        <v>23661353.196346875</v>
      </c>
      <c r="S2327" s="2">
        <f t="shared" ca="1" si="2249"/>
        <v>15774235.464231251</v>
      </c>
      <c r="T2327" s="2">
        <f t="shared" ca="1" si="2250"/>
        <v>49867802.611185528</v>
      </c>
      <c r="U2327" s="2">
        <f t="shared" ca="1" si="2251"/>
        <v>51277343.655921668</v>
      </c>
      <c r="V2327" s="2">
        <f t="shared" ca="1" si="2252"/>
        <v>52726726.158527657</v>
      </c>
      <c r="W2327" s="2">
        <f t="shared" ca="1" si="2253"/>
        <v>54217076.259864122</v>
      </c>
      <c r="X2327" s="2">
        <f t="shared" ca="1" si="2254"/>
        <v>55749551.93178647</v>
      </c>
      <c r="Y2327" s="2">
        <f t="shared" ca="1" si="2255"/>
        <v>0.12395939882643869</v>
      </c>
      <c r="Z2327" s="2">
        <f t="shared" ca="1" si="2256"/>
        <v>0.12554315835701418</v>
      </c>
      <c r="AA2327" s="2">
        <f t="shared" ca="1" si="2257"/>
        <v>6181582.8324780678</v>
      </c>
      <c r="AB2327" s="2">
        <f t="shared" ca="1" si="2258"/>
        <v>6437519.6747224107</v>
      </c>
      <c r="AC2327" s="2">
        <f t="shared" ca="1" si="2259"/>
        <v>6619479.7317669597</v>
      </c>
      <c r="AD2327" s="2">
        <f t="shared" ca="1" si="2260"/>
        <v>6806582.990546436</v>
      </c>
      <c r="AE2327" s="2">
        <f t="shared" ca="1" si="2261"/>
        <v>6998974.8265048545</v>
      </c>
      <c r="AF2327" s="2">
        <f t="shared" ca="1" si="2262"/>
        <v>997356.05222371058</v>
      </c>
      <c r="AG2327" s="2">
        <f t="shared" ca="1" si="2263"/>
        <v>1025546.8731184334</v>
      </c>
      <c r="AH2327" s="2">
        <f t="shared" ca="1" si="2264"/>
        <v>1054534.5231705531</v>
      </c>
      <c r="AI2327" s="2">
        <f t="shared" ca="1" si="2265"/>
        <v>1084341.5251972824</v>
      </c>
      <c r="AJ2327" s="2">
        <f t="shared" ca="1" si="2266"/>
        <v>1114991.0386357293</v>
      </c>
      <c r="AK2327" s="2">
        <f t="shared" ca="1" si="2267"/>
        <v>0</v>
      </c>
      <c r="AL2327" s="2">
        <f t="shared" ca="1" si="2268"/>
        <v>14095.410447361395</v>
      </c>
      <c r="AM2327" s="2">
        <f t="shared" ca="1" si="2269"/>
        <v>14493.825026059896</v>
      </c>
      <c r="AN2327" s="2">
        <f t="shared" ca="1" si="2270"/>
        <v>14903.501013364643</v>
      </c>
      <c r="AO2327" s="2">
        <f t="shared" ca="1" si="2271"/>
        <v>15324.756719223486</v>
      </c>
      <c r="AP2327" s="2">
        <f t="shared" ca="1" si="2272"/>
        <v>2129521.7876712186</v>
      </c>
      <c r="AQ2327" s="2">
        <f t="shared" ca="1" si="2273"/>
        <v>794223.2980716161</v>
      </c>
      <c r="AR2327" s="2">
        <f t="shared" ca="1" si="2274"/>
        <v>853437.26362251735</v>
      </c>
      <c r="AS2327" s="2">
        <f t="shared" ca="1" si="2275"/>
        <v>893210.08944054891</v>
      </c>
      <c r="AT2327" s="2">
        <f t="shared" ca="1" si="2276"/>
        <v>934107.11619626312</v>
      </c>
      <c r="AU2327" s="2">
        <f t="shared" ca="1" si="2277"/>
        <v>976160.1200514558</v>
      </c>
      <c r="AV2327" s="2">
        <f t="shared" ca="1" si="2278"/>
        <v>2260481.6945115225</v>
      </c>
      <c r="AW2327" s="2">
        <f t="shared" ca="1" si="2279"/>
        <v>2414918.3398628803</v>
      </c>
      <c r="AX2327" s="2">
        <f t="shared" ca="1" si="2280"/>
        <v>2527719.5064585796</v>
      </c>
      <c r="AY2327" s="2">
        <f t="shared" ca="1" si="2281"/>
        <v>2643709.0604683077</v>
      </c>
      <c r="AZ2327" s="2">
        <f t="shared" ca="1" si="2282"/>
        <v>2762977.1234272281</v>
      </c>
      <c r="BA2327" s="2">
        <f t="shared" ca="1" si="2283"/>
        <v>52400364.206467003</v>
      </c>
      <c r="BB2327" s="2">
        <f t="shared" ca="1" si="2284"/>
        <v>1048007.2841293401</v>
      </c>
      <c r="BC2327" s="2">
        <f t="shared" ca="1" si="2285"/>
        <v>27691003.725990787</v>
      </c>
      <c r="BD2327" s="2">
        <f t="shared" ca="1" si="2286"/>
        <v>-17260125.180745706</v>
      </c>
      <c r="BE2327" s="2">
        <f t="shared" ca="1" si="2287"/>
        <v>2260481.6945115225</v>
      </c>
      <c r="BF2327" s="2">
        <f t="shared" ca="1" si="2288"/>
        <v>2414918.3398628803</v>
      </c>
      <c r="BG2327" s="2">
        <f t="shared" ca="1" si="2289"/>
        <v>2527719.5064585796</v>
      </c>
      <c r="BH2327" s="2">
        <f t="shared" ca="1" si="2290"/>
        <v>2643709.0604683077</v>
      </c>
      <c r="BI2327" s="2">
        <f t="shared" ca="1" si="2291"/>
        <v>30453980.849418014</v>
      </c>
      <c r="BJ2327" s="2">
        <f t="shared" ca="1" si="2292"/>
        <v>0.22119177446615956</v>
      </c>
      <c r="BK2327" s="2">
        <f t="shared" ca="1" si="2293"/>
        <v>7443032.478000924</v>
      </c>
    </row>
    <row r="2328" spans="1:63" x14ac:dyDescent="0.3">
      <c r="A2328" s="2">
        <v>2327</v>
      </c>
      <c r="B2328" s="2">
        <f t="shared" ca="1" si="2232"/>
        <v>0.7878275110347307</v>
      </c>
      <c r="C2328" s="2">
        <f t="shared" ca="1" si="2233"/>
        <v>7.3485823321934394</v>
      </c>
      <c r="D2328" s="2">
        <f t="shared" ca="1" si="2234"/>
        <v>0.25663354674253602</v>
      </c>
      <c r="E2328" s="2">
        <f t="shared" ca="1" si="2235"/>
        <v>7.2164266141658002</v>
      </c>
      <c r="F2328" s="2">
        <f t="shared" ca="1" si="2236"/>
        <v>0.52636542552948851</v>
      </c>
      <c r="G2328" s="2">
        <f t="shared" ca="1" si="2237"/>
        <v>4.1984095102230369E-2</v>
      </c>
      <c r="H2328" s="2">
        <f t="shared" ca="1" si="2238"/>
        <v>4.1984095102230369E-2</v>
      </c>
      <c r="I2328" s="2">
        <f t="shared" ca="1" si="2239"/>
        <v>0.77359428459187585</v>
      </c>
      <c r="J2328" s="2">
        <f t="shared" ca="1" si="2240"/>
        <v>1.3753681013374208E-2</v>
      </c>
      <c r="K2328" s="2">
        <f t="shared" ca="1" si="2241"/>
        <v>1.3753681013374208E-2</v>
      </c>
      <c r="L2328" s="2">
        <f t="shared" ca="1" si="2242"/>
        <v>0.83945150111507538</v>
      </c>
      <c r="M2328" s="2">
        <f t="shared" ca="1" si="2243"/>
        <v>1.9844121987108509E-2</v>
      </c>
      <c r="N2328" s="2">
        <f t="shared" ca="1" si="2244"/>
        <v>1.9844121987108509E-2</v>
      </c>
      <c r="O2328" s="2">
        <f t="shared" si="2245"/>
        <v>6000000</v>
      </c>
      <c r="P2328" s="2">
        <f t="shared" ca="1" si="2246"/>
        <v>44091493.993160635</v>
      </c>
      <c r="Q2328" s="2">
        <f t="shared" ca="1" si="2247"/>
        <v>1102287.349829016</v>
      </c>
      <c r="R2328" s="2">
        <f t="shared" ca="1" si="2248"/>
        <v>26454896.395896379</v>
      </c>
      <c r="S2328" s="2">
        <f t="shared" ca="1" si="2249"/>
        <v>17636597.597264256</v>
      </c>
      <c r="T2328" s="2">
        <f t="shared" ca="1" si="2250"/>
        <v>50992206.099355429</v>
      </c>
      <c r="U2328" s="2">
        <f t="shared" ca="1" si="2251"/>
        <v>53133067.7297033</v>
      </c>
      <c r="V2328" s="2">
        <f t="shared" ca="1" si="2252"/>
        <v>55363811.498340406</v>
      </c>
      <c r="W2328" s="2">
        <f t="shared" ca="1" si="2253"/>
        <v>57688211.025508679</v>
      </c>
      <c r="X2328" s="2">
        <f t="shared" ca="1" si="2254"/>
        <v>60110198.363481171</v>
      </c>
      <c r="Y2328" s="2">
        <f t="shared" ca="1" si="2255"/>
        <v>0.1268768405066871</v>
      </c>
      <c r="Z2328" s="2">
        <f t="shared" ca="1" si="2256"/>
        <v>0.12962757670936195</v>
      </c>
      <c r="AA2328" s="2">
        <f t="shared" ca="1" si="2257"/>
        <v>6469730.0003520362</v>
      </c>
      <c r="AB2328" s="2">
        <f t="shared" ca="1" si="2258"/>
        <v>6887510.8129358385</v>
      </c>
      <c r="AC2328" s="2">
        <f t="shared" ca="1" si="2259"/>
        <v>7176676.721923776</v>
      </c>
      <c r="AD2328" s="2">
        <f t="shared" ca="1" si="2260"/>
        <v>7477982.9999349862</v>
      </c>
      <c r="AE2328" s="2">
        <f t="shared" ca="1" si="2261"/>
        <v>7791939.349377119</v>
      </c>
      <c r="AF2328" s="2">
        <f t="shared" ca="1" si="2262"/>
        <v>1019844.1219871086</v>
      </c>
      <c r="AG2328" s="2">
        <f t="shared" ca="1" si="2263"/>
        <v>1062661.354594066</v>
      </c>
      <c r="AH2328" s="2">
        <f t="shared" ca="1" si="2264"/>
        <v>1107276.2299668081</v>
      </c>
      <c r="AI2328" s="2">
        <f t="shared" ca="1" si="2265"/>
        <v>1153764.2205101736</v>
      </c>
      <c r="AJ2328" s="2">
        <f t="shared" ca="1" si="2266"/>
        <v>1202203.9672696234</v>
      </c>
      <c r="AK2328" s="2">
        <f t="shared" ca="1" si="2267"/>
        <v>0</v>
      </c>
      <c r="AL2328" s="2">
        <f t="shared" ca="1" si="2268"/>
        <v>21408.616303478702</v>
      </c>
      <c r="AM2328" s="2">
        <f t="shared" ca="1" si="2269"/>
        <v>22307.43768637106</v>
      </c>
      <c r="AN2328" s="2">
        <f t="shared" ca="1" si="2270"/>
        <v>23243.995271682739</v>
      </c>
      <c r="AO2328" s="2">
        <f t="shared" ca="1" si="2271"/>
        <v>24219.873379724919</v>
      </c>
      <c r="AP2328" s="2">
        <f t="shared" ca="1" si="2272"/>
        <v>2380940.6756306742</v>
      </c>
      <c r="AQ2328" s="2">
        <f t="shared" ca="1" si="2273"/>
        <v>797925.75271090597</v>
      </c>
      <c r="AR2328" s="2">
        <f t="shared" ca="1" si="2274"/>
        <v>895416.28350488562</v>
      </c>
      <c r="AS2328" s="2">
        <f t="shared" ca="1" si="2275"/>
        <v>958999.55224483635</v>
      </c>
      <c r="AT2328" s="2">
        <f t="shared" ca="1" si="2276"/>
        <v>1025252.3069864761</v>
      </c>
      <c r="AU2328" s="2">
        <f t="shared" ca="1" si="2277"/>
        <v>1094286.6236839734</v>
      </c>
      <c r="AV2328" s="2">
        <f t="shared" ca="1" si="2278"/>
        <v>2271019.450023348</v>
      </c>
      <c r="AW2328" s="2">
        <f t="shared" ca="1" si="2279"/>
        <v>2527083.8829027344</v>
      </c>
      <c r="AX2328" s="2">
        <f t="shared" ca="1" si="2280"/>
        <v>2707152.8263950865</v>
      </c>
      <c r="AY2328" s="2">
        <f t="shared" ca="1" si="2281"/>
        <v>2894781.8015359794</v>
      </c>
      <c r="AZ2328" s="2">
        <f t="shared" ca="1" si="2282"/>
        <v>3090288.2094131229</v>
      </c>
      <c r="BA2328" s="2">
        <f t="shared" ca="1" si="2283"/>
        <v>56229958.496810794</v>
      </c>
      <c r="BB2328" s="2">
        <f t="shared" ca="1" si="2284"/>
        <v>1124599.169936216</v>
      </c>
      <c r="BC2328" s="2">
        <f t="shared" ca="1" si="2285"/>
        <v>28650462.930978198</v>
      </c>
      <c r="BD2328" s="2">
        <f t="shared" ca="1" si="2286"/>
        <v>-19238884.947093271</v>
      </c>
      <c r="BE2328" s="2">
        <f t="shared" ca="1" si="2287"/>
        <v>2271019.450023348</v>
      </c>
      <c r="BF2328" s="2">
        <f t="shared" ca="1" si="2288"/>
        <v>2527083.8829027344</v>
      </c>
      <c r="BG2328" s="2">
        <f t="shared" ca="1" si="2289"/>
        <v>2707152.8263950865</v>
      </c>
      <c r="BH2328" s="2">
        <f t="shared" ca="1" si="2290"/>
        <v>2894781.8015359794</v>
      </c>
      <c r="BI2328" s="2">
        <f t="shared" ca="1" si="2291"/>
        <v>31740751.14039132</v>
      </c>
      <c r="BJ2328" s="2">
        <f t="shared" ca="1" si="2292"/>
        <v>0.20192798467000883</v>
      </c>
      <c r="BK2328" s="2">
        <f t="shared" ca="1" si="2293"/>
        <v>6580525.4852279723</v>
      </c>
    </row>
    <row r="2329" spans="1:63" x14ac:dyDescent="0.3">
      <c r="A2329" s="2">
        <v>2328</v>
      </c>
      <c r="B2329" s="2">
        <f t="shared" ca="1" si="2232"/>
        <v>0.55318642174682686</v>
      </c>
      <c r="C2329" s="2">
        <f t="shared" ca="1" si="2233"/>
        <v>7.0546814523630959</v>
      </c>
      <c r="D2329" s="2">
        <f t="shared" ca="1" si="2234"/>
        <v>0.74457364891783451</v>
      </c>
      <c r="E2329" s="2">
        <f t="shared" ca="1" si="2235"/>
        <v>7.7852603955535056</v>
      </c>
      <c r="F2329" s="2">
        <f t="shared" ca="1" si="2236"/>
        <v>0.43523268980928598</v>
      </c>
      <c r="G2329" s="2">
        <f t="shared" ca="1" si="2237"/>
        <v>3.5107978472231301E-2</v>
      </c>
      <c r="H2329" s="2">
        <f t="shared" ca="1" si="2238"/>
        <v>3.5107978472231301E-2</v>
      </c>
      <c r="I2329" s="2">
        <f t="shared" ca="1" si="2239"/>
        <v>0.1574101986432247</v>
      </c>
      <c r="J2329" s="2">
        <f t="shared" ca="1" si="2240"/>
        <v>4.9742060724886896E-3</v>
      </c>
      <c r="K2329" s="2">
        <f t="shared" ca="1" si="2241"/>
        <v>4.9742060724886896E-3</v>
      </c>
      <c r="L2329" s="2">
        <f t="shared" ca="1" si="2242"/>
        <v>0.9768116351013959</v>
      </c>
      <c r="M2329" s="2">
        <f t="shared" ca="1" si="2243"/>
        <v>3.9838966164900923E-2</v>
      </c>
      <c r="N2329" s="2">
        <f t="shared" ca="1" si="2244"/>
        <v>3.9838966164900923E-2</v>
      </c>
      <c r="O2329" s="2">
        <f t="shared" si="2245"/>
        <v>6000000</v>
      </c>
      <c r="P2329" s="2">
        <f t="shared" ca="1" si="2246"/>
        <v>42328088.714178577</v>
      </c>
      <c r="Q2329" s="2">
        <f t="shared" ca="1" si="2247"/>
        <v>1058202.2178544644</v>
      </c>
      <c r="R2329" s="2">
        <f t="shared" ca="1" si="2248"/>
        <v>25396853.228507146</v>
      </c>
      <c r="S2329" s="2">
        <f t="shared" ca="1" si="2249"/>
        <v>16931235.485671431</v>
      </c>
      <c r="T2329" s="2">
        <f t="shared" ca="1" si="2250"/>
        <v>51991948.308245048</v>
      </c>
      <c r="U2329" s="2">
        <f t="shared" ca="1" si="2251"/>
        <v>53817280.510180272</v>
      </c>
      <c r="V2329" s="2">
        <f t="shared" ca="1" si="2252"/>
        <v>55706696.435765713</v>
      </c>
      <c r="W2329" s="2">
        <f t="shared" ca="1" si="2253"/>
        <v>57662445.934991695</v>
      </c>
      <c r="X2329" s="2">
        <f t="shared" ca="1" si="2254"/>
        <v>59686857.84553358</v>
      </c>
      <c r="Y2329" s="2">
        <f t="shared" ca="1" si="2255"/>
        <v>0.12248710303624434</v>
      </c>
      <c r="Z2329" s="2">
        <f t="shared" ca="1" si="2256"/>
        <v>0.12348194425074208</v>
      </c>
      <c r="AA2329" s="2">
        <f t="shared" ca="1" si="2257"/>
        <v>6368343.129487101</v>
      </c>
      <c r="AB2329" s="2">
        <f t="shared" ca="1" si="2258"/>
        <v>6645462.4316846281</v>
      </c>
      <c r="AC2329" s="2">
        <f t="shared" ca="1" si="2259"/>
        <v>6878771.183674234</v>
      </c>
      <c r="AD2329" s="2">
        <f t="shared" ca="1" si="2260"/>
        <v>7120270.9343060739</v>
      </c>
      <c r="AE2329" s="2">
        <f t="shared" ca="1" si="2261"/>
        <v>7370249.2529841447</v>
      </c>
      <c r="AF2329" s="2">
        <f t="shared" ca="1" si="2262"/>
        <v>1039838.966164901</v>
      </c>
      <c r="AG2329" s="2">
        <f t="shared" ca="1" si="2263"/>
        <v>1076345.6102036054</v>
      </c>
      <c r="AH2329" s="2">
        <f t="shared" ca="1" si="2264"/>
        <v>1114133.9287153143</v>
      </c>
      <c r="AI2329" s="2">
        <f t="shared" ca="1" si="2265"/>
        <v>1153248.918699834</v>
      </c>
      <c r="AJ2329" s="2">
        <f t="shared" ca="1" si="2266"/>
        <v>1193737.1569106716</v>
      </c>
      <c r="AK2329" s="2">
        <f t="shared" ca="1" si="2267"/>
        <v>0</v>
      </c>
      <c r="AL2329" s="2">
        <f t="shared" ca="1" si="2268"/>
        <v>18253.322019352243</v>
      </c>
      <c r="AM2329" s="2">
        <f t="shared" ca="1" si="2269"/>
        <v>18894.159255854414</v>
      </c>
      <c r="AN2329" s="2">
        <f t="shared" ca="1" si="2270"/>
        <v>19557.494992259817</v>
      </c>
      <c r="AO2329" s="2">
        <f t="shared" ca="1" si="2271"/>
        <v>20244.119105418846</v>
      </c>
      <c r="AP2329" s="2">
        <f t="shared" ca="1" si="2272"/>
        <v>2285716.790565643</v>
      </c>
      <c r="AQ2329" s="2">
        <f t="shared" ca="1" si="2273"/>
        <v>791124.7169167049</v>
      </c>
      <c r="AR2329" s="2">
        <f t="shared" ca="1" si="2274"/>
        <v>853684.00803799881</v>
      </c>
      <c r="AS2329" s="2">
        <f t="shared" ca="1" si="2275"/>
        <v>904519.32074225205</v>
      </c>
      <c r="AT2329" s="2">
        <f t="shared" ca="1" si="2276"/>
        <v>957139.35851055512</v>
      </c>
      <c r="AU2329" s="2">
        <f t="shared" ca="1" si="2277"/>
        <v>1011606.7794320357</v>
      </c>
      <c r="AV2329" s="2">
        <f t="shared" ca="1" si="2278"/>
        <v>2251662.6558398525</v>
      </c>
      <c r="AW2329" s="2">
        <f t="shared" ca="1" si="2279"/>
        <v>2411462.7008580291</v>
      </c>
      <c r="AX2329" s="2">
        <f t="shared" ca="1" si="2280"/>
        <v>2555506.9843951701</v>
      </c>
      <c r="AY2329" s="2">
        <f t="shared" ca="1" si="2281"/>
        <v>2704608.3715377818</v>
      </c>
      <c r="AZ2329" s="2">
        <f t="shared" ca="1" si="2282"/>
        <v>2858944.4069703748</v>
      </c>
      <c r="BA2329" s="2">
        <f t="shared" ca="1" si="2283"/>
        <v>57379309.614615269</v>
      </c>
      <c r="BB2329" s="2">
        <f t="shared" ca="1" si="2284"/>
        <v>1147586.1922923054</v>
      </c>
      <c r="BC2329" s="2">
        <f t="shared" ca="1" si="2285"/>
        <v>30834870.193815816</v>
      </c>
      <c r="BD2329" s="2">
        <f t="shared" ca="1" si="2286"/>
        <v>-18489437.703525893</v>
      </c>
      <c r="BE2329" s="2">
        <f t="shared" ca="1" si="2287"/>
        <v>2251662.6558398525</v>
      </c>
      <c r="BF2329" s="2">
        <f t="shared" ca="1" si="2288"/>
        <v>2411462.7008580291</v>
      </c>
      <c r="BG2329" s="2">
        <f t="shared" ca="1" si="2289"/>
        <v>2555506.9843951701</v>
      </c>
      <c r="BH2329" s="2">
        <f t="shared" ca="1" si="2290"/>
        <v>2704608.3715377818</v>
      </c>
      <c r="BI2329" s="2">
        <f t="shared" ca="1" si="2291"/>
        <v>33693814.600786194</v>
      </c>
      <c r="BJ2329" s="2">
        <f t="shared" ca="1" si="2292"/>
        <v>0.22113868222826283</v>
      </c>
      <c r="BK2329" s="2">
        <f t="shared" ca="1" si="2293"/>
        <v>8099940.868960619</v>
      </c>
    </row>
    <row r="2330" spans="1:63" x14ac:dyDescent="0.3">
      <c r="A2330" s="2">
        <v>2329</v>
      </c>
      <c r="B2330" s="2">
        <f t="shared" ca="1" si="2232"/>
        <v>0.65376136000842078</v>
      </c>
      <c r="C2330" s="2">
        <f t="shared" ca="1" si="2233"/>
        <v>7.1678478023923997</v>
      </c>
      <c r="D2330" s="2">
        <f t="shared" ca="1" si="2234"/>
        <v>0.8287957658734697</v>
      </c>
      <c r="E2330" s="2">
        <f t="shared" ca="1" si="2235"/>
        <v>7.9148432105383542</v>
      </c>
      <c r="F2330" s="2">
        <f t="shared" ca="1" si="2236"/>
        <v>0.69179296464405127</v>
      </c>
      <c r="G2330" s="2">
        <f t="shared" ca="1" si="2237"/>
        <v>5.502816928989538E-2</v>
      </c>
      <c r="H2330" s="2">
        <f t="shared" ca="1" si="2238"/>
        <v>5.502816928989538E-2</v>
      </c>
      <c r="I2330" s="2">
        <f t="shared" ca="1" si="2239"/>
        <v>0.42681539056073836</v>
      </c>
      <c r="J2330" s="2">
        <f t="shared" ca="1" si="2240"/>
        <v>9.0775608982514664E-3</v>
      </c>
      <c r="K2330" s="2">
        <f t="shared" ca="1" si="2241"/>
        <v>9.0775608982514664E-3</v>
      </c>
      <c r="L2330" s="2">
        <f t="shared" ca="1" si="2242"/>
        <v>0.62467380761656721</v>
      </c>
      <c r="M2330" s="2">
        <f t="shared" ca="1" si="2243"/>
        <v>6.3555851791227838E-3</v>
      </c>
      <c r="N2330" s="2">
        <f t="shared" ca="1" si="2244"/>
        <v>6.3555851791227838E-3</v>
      </c>
      <c r="O2330" s="2">
        <f t="shared" si="2245"/>
        <v>6000000</v>
      </c>
      <c r="P2330" s="2">
        <f t="shared" ca="1" si="2246"/>
        <v>43007086.814354397</v>
      </c>
      <c r="Q2330" s="2">
        <f t="shared" ca="1" si="2247"/>
        <v>1075177.1703588599</v>
      </c>
      <c r="R2330" s="2">
        <f t="shared" ca="1" si="2248"/>
        <v>25804252.088612638</v>
      </c>
      <c r="S2330" s="2">
        <f t="shared" ca="1" si="2249"/>
        <v>17202834.725741759</v>
      </c>
      <c r="T2330" s="2">
        <f t="shared" ca="1" si="2250"/>
        <v>50317779.258956142</v>
      </c>
      <c r="U2330" s="2">
        <f t="shared" ca="1" si="2251"/>
        <v>53086674.534309566</v>
      </c>
      <c r="V2330" s="2">
        <f t="shared" ca="1" si="2252"/>
        <v>56007937.047621123</v>
      </c>
      <c r="W2330" s="2">
        <f t="shared" ca="1" si="2253"/>
        <v>59089951.289055414</v>
      </c>
      <c r="X2330" s="2">
        <f t="shared" ca="1" si="2254"/>
        <v>62341563.131921224</v>
      </c>
      <c r="Y2330" s="2">
        <f t="shared" ca="1" si="2255"/>
        <v>0.12453878044912572</v>
      </c>
      <c r="Z2330" s="2">
        <f t="shared" ca="1" si="2256"/>
        <v>0.12635429262877601</v>
      </c>
      <c r="AA2330" s="2">
        <f t="shared" ca="1" si="2257"/>
        <v>6266514.8638187107</v>
      </c>
      <c r="AB2330" s="2">
        <f t="shared" ca="1" si="2258"/>
        <v>6707729.2087967424</v>
      </c>
      <c r="AC2330" s="2">
        <f t="shared" ca="1" si="2259"/>
        <v>7076843.2672491847</v>
      </c>
      <c r="AD2330" s="2">
        <f t="shared" ca="1" si="2260"/>
        <v>7466268.9965974279</v>
      </c>
      <c r="AE2330" s="2">
        <f t="shared" ca="1" si="2261"/>
        <v>7877124.1109060878</v>
      </c>
      <c r="AF2330" s="2">
        <f t="shared" ca="1" si="2262"/>
        <v>1006355.5851791229</v>
      </c>
      <c r="AG2330" s="2">
        <f t="shared" ca="1" si="2263"/>
        <v>1061733.4906861912</v>
      </c>
      <c r="AH2330" s="2">
        <f t="shared" ca="1" si="2264"/>
        <v>1120158.7409524224</v>
      </c>
      <c r="AI2330" s="2">
        <f t="shared" ca="1" si="2265"/>
        <v>1181799.0257811083</v>
      </c>
      <c r="AJ2330" s="2">
        <f t="shared" ca="1" si="2266"/>
        <v>1246831.2626384245</v>
      </c>
      <c r="AK2330" s="2">
        <f t="shared" ca="1" si="2267"/>
        <v>0</v>
      </c>
      <c r="AL2330" s="2">
        <f t="shared" ca="1" si="2268"/>
        <v>27688.952753534242</v>
      </c>
      <c r="AM2330" s="2">
        <f t="shared" ca="1" si="2269"/>
        <v>29212.625133115576</v>
      </c>
      <c r="AN2330" s="2">
        <f t="shared" ca="1" si="2270"/>
        <v>30820.14241434291</v>
      </c>
      <c r="AO2330" s="2">
        <f t="shared" ca="1" si="2271"/>
        <v>32516.118428658097</v>
      </c>
      <c r="AP2330" s="2">
        <f t="shared" ca="1" si="2272"/>
        <v>2322382.6879751375</v>
      </c>
      <c r="AQ2330" s="2">
        <f t="shared" ca="1" si="2273"/>
        <v>763821.91357275704</v>
      </c>
      <c r="AR2330" s="2">
        <f t="shared" ca="1" si="2274"/>
        <v>864139.38783520763</v>
      </c>
      <c r="AS2330" s="2">
        <f t="shared" ca="1" si="2275"/>
        <v>944918.47796362254</v>
      </c>
      <c r="AT2330" s="2">
        <f t="shared" ca="1" si="2276"/>
        <v>1030142.6935387074</v>
      </c>
      <c r="AU2330" s="2">
        <f t="shared" ca="1" si="2277"/>
        <v>1120056.6416760567</v>
      </c>
      <c r="AV2330" s="2">
        <f t="shared" ca="1" si="2278"/>
        <v>2173954.6770916926</v>
      </c>
      <c r="AW2330" s="2">
        <f t="shared" ca="1" si="2279"/>
        <v>2431784.6895466717</v>
      </c>
      <c r="AX2330" s="2">
        <f t="shared" ca="1" si="2280"/>
        <v>2660170.7352248868</v>
      </c>
      <c r="AY2330" s="2">
        <f t="shared" ca="1" si="2281"/>
        <v>2901124.446888132</v>
      </c>
      <c r="AZ2330" s="2">
        <f t="shared" ca="1" si="2282"/>
        <v>3155337.4001878118</v>
      </c>
      <c r="BA2330" s="2">
        <f t="shared" ca="1" si="2283"/>
        <v>62346202.287773021</v>
      </c>
      <c r="BB2330" s="2">
        <f t="shared" ca="1" si="2284"/>
        <v>1246924.0457554604</v>
      </c>
      <c r="BC2330" s="2">
        <f t="shared" ca="1" si="2285"/>
        <v>35295026.153404921</v>
      </c>
      <c r="BD2330" s="2">
        <f t="shared" ca="1" si="2286"/>
        <v>-18778011.896100618</v>
      </c>
      <c r="BE2330" s="2">
        <f t="shared" ca="1" si="2287"/>
        <v>2173954.6770916926</v>
      </c>
      <c r="BF2330" s="2">
        <f t="shared" ca="1" si="2288"/>
        <v>2431784.6895466717</v>
      </c>
      <c r="BG2330" s="2">
        <f t="shared" ca="1" si="2289"/>
        <v>2660170.7352248868</v>
      </c>
      <c r="BH2330" s="2">
        <f t="shared" ca="1" si="2290"/>
        <v>2901124.446888132</v>
      </c>
      <c r="BI2330" s="2">
        <f t="shared" ca="1" si="2291"/>
        <v>38450363.553592734</v>
      </c>
      <c r="BJ2330" s="2">
        <f t="shared" ca="1" si="2292"/>
        <v>0.24464089361491048</v>
      </c>
      <c r="BK2330" s="2">
        <f t="shared" ca="1" si="2293"/>
        <v>10656565.84291343</v>
      </c>
    </row>
    <row r="2331" spans="1:63" x14ac:dyDescent="0.3">
      <c r="A2331" s="2">
        <v>2330</v>
      </c>
      <c r="B2331" s="2">
        <f t="shared" ca="1" si="2232"/>
        <v>0.26840273944037318</v>
      </c>
      <c r="C2331" s="2">
        <f t="shared" ca="1" si="2233"/>
        <v>6.7326701023521753</v>
      </c>
      <c r="D2331" s="2">
        <f t="shared" ca="1" si="2234"/>
        <v>3.6450858865817004E-2</v>
      </c>
      <c r="E2331" s="2">
        <f t="shared" ca="1" si="2235"/>
        <v>6.7700031809657695</v>
      </c>
      <c r="F2331" s="2">
        <f t="shared" ca="1" si="2236"/>
        <v>0.84490507613090193</v>
      </c>
      <c r="G2331" s="2">
        <f t="shared" ca="1" si="2237"/>
        <v>7.0444712665955284E-2</v>
      </c>
      <c r="H2331" s="2">
        <f t="shared" ca="1" si="2238"/>
        <v>7.0444712665955284E-2</v>
      </c>
      <c r="I2331" s="2">
        <f t="shared" ca="1" si="2239"/>
        <v>0.69539002233061764</v>
      </c>
      <c r="J2331" s="2">
        <f t="shared" ca="1" si="2240"/>
        <v>1.2555936181099982E-2</v>
      </c>
      <c r="K2331" s="2">
        <f t="shared" ca="1" si="2241"/>
        <v>1.2555936181099982E-2</v>
      </c>
      <c r="L2331" s="2">
        <f t="shared" ca="1" si="2242"/>
        <v>0.22998640866712927</v>
      </c>
      <c r="M2331" s="2">
        <f t="shared" ca="1" si="2243"/>
        <v>-1.4777832201447053E-2</v>
      </c>
      <c r="N2331" s="2">
        <f t="shared" ca="1" si="2244"/>
        <v>-1.4777832201447053E-2</v>
      </c>
      <c r="O2331" s="2">
        <f t="shared" si="2245"/>
        <v>6000000</v>
      </c>
      <c r="P2331" s="2">
        <f t="shared" ca="1" si="2246"/>
        <v>40396020.614113055</v>
      </c>
      <c r="Q2331" s="2">
        <f t="shared" ca="1" si="2247"/>
        <v>1009900.5153528264</v>
      </c>
      <c r="R2331" s="2">
        <f t="shared" ca="1" si="2248"/>
        <v>24237612.368467834</v>
      </c>
      <c r="S2331" s="2">
        <f t="shared" ca="1" si="2249"/>
        <v>16158408.245645223</v>
      </c>
      <c r="T2331" s="2">
        <f t="shared" ca="1" si="2250"/>
        <v>49261108.389927648</v>
      </c>
      <c r="U2331" s="2">
        <f t="shared" ca="1" si="2251"/>
        <v>52731293.01606258</v>
      </c>
      <c r="V2331" s="2">
        <f t="shared" ca="1" si="2252"/>
        <v>56445933.801083401</v>
      </c>
      <c r="W2331" s="2">
        <f t="shared" ca="1" si="2253"/>
        <v>60422251.388862252</v>
      </c>
      <c r="X2331" s="2">
        <f t="shared" ca="1" si="2254"/>
        <v>64678679.526580773</v>
      </c>
      <c r="Y2331" s="2">
        <f t="shared" ca="1" si="2255"/>
        <v>0.12627796809054997</v>
      </c>
      <c r="Z2331" s="2">
        <f t="shared" ca="1" si="2256"/>
        <v>0.12878915532676999</v>
      </c>
      <c r="AA2331" s="2">
        <f t="shared" ca="1" si="2257"/>
        <v>6220592.6733684074</v>
      </c>
      <c r="AB2331" s="2">
        <f t="shared" ca="1" si="2258"/>
        <v>6791218.6868271055</v>
      </c>
      <c r="AC2331" s="2">
        <f t="shared" ca="1" si="2259"/>
        <v>7269624.1358723063</v>
      </c>
      <c r="AD2331" s="2">
        <f t="shared" ca="1" si="2260"/>
        <v>7781730.7193133244</v>
      </c>
      <c r="AE2331" s="2">
        <f t="shared" ca="1" si="2261"/>
        <v>8329912.5038791895</v>
      </c>
      <c r="AF2331" s="2">
        <f t="shared" ca="1" si="2262"/>
        <v>985222.16779855301</v>
      </c>
      <c r="AG2331" s="2">
        <f t="shared" ca="1" si="2263"/>
        <v>1054625.8603212517</v>
      </c>
      <c r="AH2331" s="2">
        <f t="shared" ca="1" si="2264"/>
        <v>1128918.6760216681</v>
      </c>
      <c r="AI2331" s="2">
        <f t="shared" ca="1" si="2265"/>
        <v>1208445.027777245</v>
      </c>
      <c r="AJ2331" s="2">
        <f t="shared" ca="1" si="2266"/>
        <v>1293573.5905316155</v>
      </c>
      <c r="AK2331" s="2">
        <f t="shared" ca="1" si="2267"/>
        <v>0</v>
      </c>
      <c r="AL2331" s="2">
        <f t="shared" ca="1" si="2268"/>
        <v>34701.846261349318</v>
      </c>
      <c r="AM2331" s="2">
        <f t="shared" ca="1" si="2269"/>
        <v>37146.407850208212</v>
      </c>
      <c r="AN2331" s="2">
        <f t="shared" ca="1" si="2270"/>
        <v>39763.175877788512</v>
      </c>
      <c r="AO2331" s="2">
        <f t="shared" ca="1" si="2271"/>
        <v>42564.281377185209</v>
      </c>
      <c r="AP2331" s="2">
        <f t="shared" ca="1" si="2272"/>
        <v>2181385.113162105</v>
      </c>
      <c r="AQ2331" s="2">
        <f t="shared" ca="1" si="2273"/>
        <v>794036.20202601491</v>
      </c>
      <c r="AR2331" s="2">
        <f t="shared" ca="1" si="2274"/>
        <v>924354.00546937471</v>
      </c>
      <c r="AS2331" s="2">
        <f t="shared" ca="1" si="2275"/>
        <v>1029423.2901390187</v>
      </c>
      <c r="AT2331" s="2">
        <f t="shared" ca="1" si="2276"/>
        <v>1141894.1503772333</v>
      </c>
      <c r="AU2331" s="2">
        <f t="shared" ca="1" si="2277"/>
        <v>1262287.9880482219</v>
      </c>
      <c r="AV2331" s="2">
        <f t="shared" ca="1" si="2278"/>
        <v>2259949.1903817346</v>
      </c>
      <c r="AW2331" s="2">
        <f t="shared" ca="1" si="2279"/>
        <v>2596151.861613025</v>
      </c>
      <c r="AX2331" s="2">
        <f t="shared" ca="1" si="2280"/>
        <v>2892750.6486993069</v>
      </c>
      <c r="AY2331" s="2">
        <f t="shared" ca="1" si="2281"/>
        <v>3210243.2521189526</v>
      </c>
      <c r="AZ2331" s="2">
        <f t="shared" ca="1" si="2282"/>
        <v>3550101.5307600619</v>
      </c>
      <c r="BA2331" s="2">
        <f t="shared" ca="1" si="2283"/>
        <v>56393534.148428649</v>
      </c>
      <c r="BB2331" s="2">
        <f t="shared" ca="1" si="2284"/>
        <v>1127870.6829685729</v>
      </c>
      <c r="BC2331" s="2">
        <f t="shared" ca="1" si="2285"/>
        <v>31028051.096992243</v>
      </c>
      <c r="BD2331" s="2">
        <f t="shared" ca="1" si="2286"/>
        <v>-17668308.760998048</v>
      </c>
      <c r="BE2331" s="2">
        <f t="shared" ca="1" si="2287"/>
        <v>2259949.1903817346</v>
      </c>
      <c r="BF2331" s="2">
        <f t="shared" ca="1" si="2288"/>
        <v>2596151.861613025</v>
      </c>
      <c r="BG2331" s="2">
        <f t="shared" ca="1" si="2289"/>
        <v>2892750.6486993069</v>
      </c>
      <c r="BH2331" s="2">
        <f t="shared" ca="1" si="2290"/>
        <v>3210243.2521189526</v>
      </c>
      <c r="BI2331" s="2">
        <f t="shared" ca="1" si="2291"/>
        <v>34578152.627752304</v>
      </c>
      <c r="BJ2331" s="2">
        <f t="shared" ca="1" si="2292"/>
        <v>0.24874038154256062</v>
      </c>
      <c r="BK2331" s="2">
        <f t="shared" ca="1" si="2293"/>
        <v>10138882.203914706</v>
      </c>
    </row>
    <row r="2332" spans="1:63" x14ac:dyDescent="0.3">
      <c r="A2332" s="2">
        <v>2331</v>
      </c>
      <c r="B2332" s="2">
        <f t="shared" ca="1" si="2232"/>
        <v>0.88942861387224048</v>
      </c>
      <c r="C2332" s="2">
        <f t="shared" ca="1" si="2233"/>
        <v>7.529741802564252</v>
      </c>
      <c r="D2332" s="2">
        <f t="shared" ca="1" si="2234"/>
        <v>0.15682373628072332</v>
      </c>
      <c r="E2332" s="2">
        <f t="shared" ca="1" si="2235"/>
        <v>7.0600423846115996</v>
      </c>
      <c r="F2332" s="2">
        <f t="shared" ca="1" si="2236"/>
        <v>0.3950252428226394</v>
      </c>
      <c r="G2332" s="2">
        <f t="shared" ca="1" si="2237"/>
        <v>3.2012648338158457E-2</v>
      </c>
      <c r="H2332" s="2">
        <f t="shared" ca="1" si="2238"/>
        <v>3.2012648338158457E-2</v>
      </c>
      <c r="I2332" s="2">
        <f t="shared" ca="1" si="2239"/>
        <v>0.26776901483752968</v>
      </c>
      <c r="J2332" s="2">
        <f t="shared" ca="1" si="2240"/>
        <v>6.9021280333027082E-3</v>
      </c>
      <c r="K2332" s="2">
        <f t="shared" ca="1" si="2241"/>
        <v>6.9021280333027082E-3</v>
      </c>
      <c r="L2332" s="2">
        <f t="shared" ca="1" si="2242"/>
        <v>0.62065421543396171</v>
      </c>
      <c r="M2332" s="2">
        <f t="shared" ca="1" si="2243"/>
        <v>6.1439888687860799E-3</v>
      </c>
      <c r="N2332" s="2">
        <f t="shared" ca="1" si="2244"/>
        <v>6.1439888687860799E-3</v>
      </c>
      <c r="O2332" s="2">
        <f t="shared" si="2245"/>
        <v>6000000</v>
      </c>
      <c r="P2332" s="2">
        <f t="shared" ca="1" si="2246"/>
        <v>45178450.815385513</v>
      </c>
      <c r="Q2332" s="2">
        <f t="shared" ca="1" si="2247"/>
        <v>1129461.2703846379</v>
      </c>
      <c r="R2332" s="2">
        <f t="shared" ca="1" si="2248"/>
        <v>27107070.489231307</v>
      </c>
      <c r="S2332" s="2">
        <f t="shared" ca="1" si="2249"/>
        <v>18071380.326154206</v>
      </c>
      <c r="T2332" s="2">
        <f t="shared" ca="1" si="2250"/>
        <v>50307199.443439297</v>
      </c>
      <c r="U2332" s="2">
        <f t="shared" ca="1" si="2251"/>
        <v>51917666.128099717</v>
      </c>
      <c r="V2332" s="2">
        <f t="shared" ca="1" si="2252"/>
        <v>53579688.116396494</v>
      </c>
      <c r="W2332" s="2">
        <f t="shared" ca="1" si="2253"/>
        <v>55294915.830134898</v>
      </c>
      <c r="X2332" s="2">
        <f t="shared" ca="1" si="2254"/>
        <v>57065052.525493078</v>
      </c>
      <c r="Y2332" s="2">
        <f t="shared" ca="1" si="2255"/>
        <v>0.12345106401665135</v>
      </c>
      <c r="Z2332" s="2">
        <f t="shared" ca="1" si="2256"/>
        <v>0.12483148962331189</v>
      </c>
      <c r="AA2332" s="2">
        <f t="shared" ca="1" si="2257"/>
        <v>6210477.2989904713</v>
      </c>
      <c r="AB2332" s="2">
        <f t="shared" ca="1" si="2258"/>
        <v>6480959.6005364507</v>
      </c>
      <c r="AC2332" s="2">
        <f t="shared" ca="1" si="2259"/>
        <v>6688432.2811222365</v>
      </c>
      <c r="AD2332" s="2">
        <f t="shared" ca="1" si="2260"/>
        <v>6902546.7116713887</v>
      </c>
      <c r="AE2332" s="2">
        <f t="shared" ca="1" si="2261"/>
        <v>7123515.5121898372</v>
      </c>
      <c r="AF2332" s="2">
        <f t="shared" ca="1" si="2262"/>
        <v>1006143.988868786</v>
      </c>
      <c r="AG2332" s="2">
        <f t="shared" ca="1" si="2263"/>
        <v>1038353.3225619943</v>
      </c>
      <c r="AH2332" s="2">
        <f t="shared" ca="1" si="2264"/>
        <v>1071593.76232793</v>
      </c>
      <c r="AI2332" s="2">
        <f t="shared" ca="1" si="2265"/>
        <v>1105898.3166026981</v>
      </c>
      <c r="AJ2332" s="2">
        <f t="shared" ca="1" si="2266"/>
        <v>1141301.0505098617</v>
      </c>
      <c r="AK2332" s="2">
        <f t="shared" ca="1" si="2267"/>
        <v>0</v>
      </c>
      <c r="AL2332" s="2">
        <f t="shared" ca="1" si="2268"/>
        <v>16104.666846604199</v>
      </c>
      <c r="AM2332" s="2">
        <f t="shared" ca="1" si="2269"/>
        <v>16620.219882967769</v>
      </c>
      <c r="AN2332" s="2">
        <f t="shared" ca="1" si="2270"/>
        <v>17152.277137384044</v>
      </c>
      <c r="AO2332" s="2">
        <f t="shared" ca="1" si="2271"/>
        <v>17701.366953581797</v>
      </c>
      <c r="AP2332" s="2">
        <f t="shared" ca="1" si="2272"/>
        <v>2439636.3440308175</v>
      </c>
      <c r="AQ2332" s="2">
        <f t="shared" ca="1" si="2273"/>
        <v>718821.21118362562</v>
      </c>
      <c r="AR2332" s="2">
        <f t="shared" ca="1" si="2274"/>
        <v>780772.18282534613</v>
      </c>
      <c r="AS2332" s="2">
        <f t="shared" ca="1" si="2275"/>
        <v>826072.56543850712</v>
      </c>
      <c r="AT2332" s="2">
        <f t="shared" ca="1" si="2276"/>
        <v>872823.13326984691</v>
      </c>
      <c r="AU2332" s="2">
        <f t="shared" ca="1" si="2277"/>
        <v>921070.31058878114</v>
      </c>
      <c r="AV2332" s="2">
        <f t="shared" ca="1" si="2278"/>
        <v>2045875.7549072425</v>
      </c>
      <c r="AW2332" s="2">
        <f t="shared" ca="1" si="2279"/>
        <v>2206093.0842716885</v>
      </c>
      <c r="AX2332" s="2">
        <f t="shared" ca="1" si="2280"/>
        <v>2334509.389442014</v>
      </c>
      <c r="AY2332" s="2">
        <f t="shared" ca="1" si="2281"/>
        <v>2467036.6406306424</v>
      </c>
      <c r="AZ2332" s="2">
        <f t="shared" ca="1" si="2282"/>
        <v>2603806.4401067956</v>
      </c>
      <c r="BA2332" s="2">
        <f t="shared" ca="1" si="2283"/>
        <v>50292321.443498455</v>
      </c>
      <c r="BB2332" s="2">
        <f t="shared" ca="1" si="2284"/>
        <v>1005846.4288699691</v>
      </c>
      <c r="BC2332" s="2">
        <f t="shared" ca="1" si="2285"/>
        <v>22179404.525397178</v>
      </c>
      <c r="BD2332" s="2">
        <f t="shared" ca="1" si="2286"/>
        <v>-19700841.596538845</v>
      </c>
      <c r="BE2332" s="2">
        <f t="shared" ca="1" si="2287"/>
        <v>2045875.7549072425</v>
      </c>
      <c r="BF2332" s="2">
        <f t="shared" ca="1" si="2288"/>
        <v>2206093.0842716885</v>
      </c>
      <c r="BG2332" s="2">
        <f t="shared" ca="1" si="2289"/>
        <v>2334509.389442014</v>
      </c>
      <c r="BH2332" s="2">
        <f t="shared" ca="1" si="2290"/>
        <v>2467036.6406306424</v>
      </c>
      <c r="BI2332" s="2">
        <f t="shared" ca="1" si="2291"/>
        <v>24783210.965503972</v>
      </c>
      <c r="BJ2332" s="2">
        <f t="shared" ca="1" si="2292"/>
        <v>0.13576619000863843</v>
      </c>
      <c r="BK2332" s="2">
        <f t="shared" ca="1" si="2293"/>
        <v>1176680.6144316681</v>
      </c>
    </row>
    <row r="2333" spans="1:63" x14ac:dyDescent="0.3">
      <c r="A2333" s="2">
        <v>2332</v>
      </c>
      <c r="B2333" s="2">
        <f t="shared" ca="1" si="2232"/>
        <v>0.95654130643169721</v>
      </c>
      <c r="C2333" s="2">
        <f t="shared" ca="1" si="2233"/>
        <v>7.7051824511047462</v>
      </c>
      <c r="D2333" s="2">
        <f t="shared" ca="1" si="2234"/>
        <v>0.6565534879981596</v>
      </c>
      <c r="E2333" s="2">
        <f t="shared" ca="1" si="2235"/>
        <v>7.6712099035318531</v>
      </c>
      <c r="F2333" s="2">
        <f t="shared" ca="1" si="2236"/>
        <v>0.12624671581184732</v>
      </c>
      <c r="G2333" s="2">
        <f t="shared" ca="1" si="2237"/>
        <v>5.6705794440837856E-3</v>
      </c>
      <c r="H2333" s="2">
        <f t="shared" ca="1" si="2238"/>
        <v>5.6705794440837856E-3</v>
      </c>
      <c r="I2333" s="2">
        <f t="shared" ca="1" si="2239"/>
        <v>0.60571144011404188</v>
      </c>
      <c r="J2333" s="2">
        <f t="shared" ca="1" si="2240"/>
        <v>1.1340793785354906E-2</v>
      </c>
      <c r="K2333" s="2">
        <f t="shared" ca="1" si="2241"/>
        <v>1.1340793785354906E-2</v>
      </c>
      <c r="L2333" s="2">
        <f t="shared" ca="1" si="2242"/>
        <v>0.32399803284588746</v>
      </c>
      <c r="M2333" s="2">
        <f t="shared" ca="1" si="2243"/>
        <v>-9.1309571276277021E-3</v>
      </c>
      <c r="N2333" s="2">
        <f t="shared" ca="1" si="2244"/>
        <v>-9.1309571276277021E-3</v>
      </c>
      <c r="O2333" s="2">
        <f t="shared" si="2245"/>
        <v>6000000</v>
      </c>
      <c r="P2333" s="2">
        <f t="shared" ca="1" si="2246"/>
        <v>46231094.706628479</v>
      </c>
      <c r="Q2333" s="2">
        <f t="shared" ca="1" si="2247"/>
        <v>1155777.367665712</v>
      </c>
      <c r="R2333" s="2">
        <f t="shared" ca="1" si="2248"/>
        <v>27738656.823977087</v>
      </c>
      <c r="S2333" s="2">
        <f t="shared" ca="1" si="2249"/>
        <v>18492437.882651392</v>
      </c>
      <c r="T2333" s="2">
        <f t="shared" ca="1" si="2250"/>
        <v>49543452.143618613</v>
      </c>
      <c r="U2333" s="2">
        <f t="shared" ca="1" si="2251"/>
        <v>49824392.22493317</v>
      </c>
      <c r="V2333" s="2">
        <f t="shared" ca="1" si="2252"/>
        <v>50106925.399297848</v>
      </c>
      <c r="W2333" s="2">
        <f t="shared" ca="1" si="2253"/>
        <v>50391060.700473353</v>
      </c>
      <c r="X2333" s="2">
        <f t="shared" ca="1" si="2254"/>
        <v>50676807.213447042</v>
      </c>
      <c r="Y2333" s="2">
        <f t="shared" ca="1" si="2255"/>
        <v>0.12567039689267745</v>
      </c>
      <c r="Z2333" s="2">
        <f t="shared" ca="1" si="2256"/>
        <v>0.12793855564974843</v>
      </c>
      <c r="AA2333" s="2">
        <f t="shared" ca="1" si="2257"/>
        <v>6226145.2943219226</v>
      </c>
      <c r="AB2333" s="2">
        <f t="shared" ca="1" si="2258"/>
        <v>6374460.7773845056</v>
      </c>
      <c r="AC2333" s="2">
        <f t="shared" ca="1" si="2259"/>
        <v>6410607.6636358611</v>
      </c>
      <c r="AD2333" s="2">
        <f t="shared" ca="1" si="2260"/>
        <v>6446959.5236773612</v>
      </c>
      <c r="AE2333" s="2">
        <f t="shared" ca="1" si="2261"/>
        <v>6483517.5198291671</v>
      </c>
      <c r="AF2333" s="2">
        <f t="shared" ca="1" si="2262"/>
        <v>990869.04287237232</v>
      </c>
      <c r="AG2333" s="2">
        <f t="shared" ca="1" si="2263"/>
        <v>996487.84449866344</v>
      </c>
      <c r="AH2333" s="2">
        <f t="shared" ca="1" si="2264"/>
        <v>1002138.507985957</v>
      </c>
      <c r="AI2333" s="2">
        <f t="shared" ca="1" si="2265"/>
        <v>1007821.214009467</v>
      </c>
      <c r="AJ2333" s="2">
        <f t="shared" ca="1" si="2266"/>
        <v>1013536.1442689409</v>
      </c>
      <c r="AK2333" s="2">
        <f t="shared" ca="1" si="2267"/>
        <v>0</v>
      </c>
      <c r="AL2333" s="2">
        <f t="shared" ca="1" si="2268"/>
        <v>2809.400813145563</v>
      </c>
      <c r="AM2333" s="2">
        <f t="shared" ca="1" si="2269"/>
        <v>2825.3317436467855</v>
      </c>
      <c r="AN2333" s="2">
        <f t="shared" ca="1" si="2270"/>
        <v>2841.3530117550495</v>
      </c>
      <c r="AO2333" s="2">
        <f t="shared" ca="1" si="2271"/>
        <v>2857.4651297368855</v>
      </c>
      <c r="AP2333" s="2">
        <f t="shared" ca="1" si="2272"/>
        <v>2496479.1141579379</v>
      </c>
      <c r="AQ2333" s="2">
        <f t="shared" ca="1" si="2273"/>
        <v>712087.25569581927</v>
      </c>
      <c r="AR2333" s="2">
        <f t="shared" ca="1" si="2274"/>
        <v>749188.39286925516</v>
      </c>
      <c r="AS2333" s="2">
        <f t="shared" ca="1" si="2275"/>
        <v>757117.41078791127</v>
      </c>
      <c r="AT2333" s="2">
        <f t="shared" ca="1" si="2276"/>
        <v>765091.39083258878</v>
      </c>
      <c r="AU2333" s="2">
        <f t="shared" ca="1" si="2277"/>
        <v>773110.58796459495</v>
      </c>
      <c r="AV2333" s="2">
        <f t="shared" ca="1" si="2278"/>
        <v>2026709.8815957936</v>
      </c>
      <c r="AW2333" s="2">
        <f t="shared" ca="1" si="2279"/>
        <v>2129496.0250455034</v>
      </c>
      <c r="AX2333" s="2">
        <f t="shared" ca="1" si="2280"/>
        <v>2152047.2989604087</v>
      </c>
      <c r="AY2333" s="2">
        <f t="shared" ca="1" si="2281"/>
        <v>2174726.4516656124</v>
      </c>
      <c r="AZ2333" s="2">
        <f t="shared" ca="1" si="2282"/>
        <v>2197534.2083079559</v>
      </c>
      <c r="BA2333" s="2">
        <f t="shared" ca="1" si="2283"/>
        <v>49736423.80783578</v>
      </c>
      <c r="BB2333" s="2">
        <f t="shared" ca="1" si="2284"/>
        <v>994728.47615671565</v>
      </c>
      <c r="BC2333" s="2">
        <f t="shared" ca="1" si="2285"/>
        <v>21003038.507701978</v>
      </c>
      <c r="BD2333" s="2">
        <f t="shared" ca="1" si="2286"/>
        <v>-20148215.250317104</v>
      </c>
      <c r="BE2333" s="2">
        <f t="shared" ca="1" si="2287"/>
        <v>2026709.8815957936</v>
      </c>
      <c r="BF2333" s="2">
        <f t="shared" ca="1" si="2288"/>
        <v>2129496.0250455034</v>
      </c>
      <c r="BG2333" s="2">
        <f t="shared" ca="1" si="2289"/>
        <v>2152047.2989604087</v>
      </c>
      <c r="BH2333" s="2">
        <f t="shared" ca="1" si="2290"/>
        <v>2174726.4516656124</v>
      </c>
      <c r="BI2333" s="2">
        <f t="shared" ca="1" si="2291"/>
        <v>23200572.716009934</v>
      </c>
      <c r="BJ2333" s="2">
        <f t="shared" ca="1" si="2292"/>
        <v>0.11238356858680953</v>
      </c>
      <c r="BK2333" s="2">
        <f t="shared" ca="1" si="2293"/>
        <v>-562540.9001044929</v>
      </c>
    </row>
    <row r="2334" spans="1:63" x14ac:dyDescent="0.3">
      <c r="A2334" s="2">
        <v>2333</v>
      </c>
      <c r="B2334" s="2">
        <f t="shared" ca="1" si="2232"/>
        <v>0.20119781473732723</v>
      </c>
      <c r="C2334" s="2">
        <f t="shared" ca="1" si="2233"/>
        <v>6.6343466161923264</v>
      </c>
      <c r="D2334" s="2">
        <f t="shared" ca="1" si="2234"/>
        <v>0.82794527185804956</v>
      </c>
      <c r="E2334" s="2">
        <f t="shared" ca="1" si="2235"/>
        <v>7.9133915647692223</v>
      </c>
      <c r="F2334" s="2">
        <f t="shared" ca="1" si="2236"/>
        <v>5.409372115665434E-2</v>
      </c>
      <c r="G2334" s="2">
        <f t="shared" ca="1" si="2237"/>
        <v>-8.1918098962800515E-3</v>
      </c>
      <c r="H2334" s="2">
        <f t="shared" ca="1" si="2238"/>
        <v>-8.1918098962800515E-3</v>
      </c>
      <c r="I2334" s="2">
        <f t="shared" ca="1" si="2239"/>
        <v>0.48046153051474327</v>
      </c>
      <c r="J2334" s="2">
        <f t="shared" ca="1" si="2240"/>
        <v>9.7550236225312868E-3</v>
      </c>
      <c r="K2334" s="2">
        <f t="shared" ca="1" si="2241"/>
        <v>9.7550236225312868E-3</v>
      </c>
      <c r="L2334" s="2">
        <f t="shared" ca="1" si="2242"/>
        <v>0.95681389909718761</v>
      </c>
      <c r="M2334" s="2">
        <f t="shared" ca="1" si="2243"/>
        <v>3.4297057791055061E-2</v>
      </c>
      <c r="N2334" s="2">
        <f t="shared" ca="1" si="2244"/>
        <v>3.4297057791055061E-2</v>
      </c>
      <c r="O2334" s="2">
        <f t="shared" si="2245"/>
        <v>6000000</v>
      </c>
      <c r="P2334" s="2">
        <f t="shared" ca="1" si="2246"/>
        <v>39806079.697153956</v>
      </c>
      <c r="Q2334" s="2">
        <f t="shared" ca="1" si="2247"/>
        <v>995151.99242884899</v>
      </c>
      <c r="R2334" s="2">
        <f t="shared" ca="1" si="2248"/>
        <v>23883647.818292372</v>
      </c>
      <c r="S2334" s="2">
        <f t="shared" ca="1" si="2249"/>
        <v>15922431.878861584</v>
      </c>
      <c r="T2334" s="2">
        <f t="shared" ca="1" si="2250"/>
        <v>51714852.889552757</v>
      </c>
      <c r="U2334" s="2">
        <f t="shared" ca="1" si="2251"/>
        <v>51291214.645867452</v>
      </c>
      <c r="V2334" s="2">
        <f t="shared" ca="1" si="2252"/>
        <v>50871046.766139209</v>
      </c>
      <c r="W2334" s="2">
        <f t="shared" ca="1" si="2253"/>
        <v>50454320.821806222</v>
      </c>
      <c r="X2334" s="2">
        <f t="shared" ca="1" si="2254"/>
        <v>50041008.617188059</v>
      </c>
      <c r="Y2334" s="2">
        <f t="shared" ca="1" si="2255"/>
        <v>0.12487751181126563</v>
      </c>
      <c r="Z2334" s="2">
        <f t="shared" ca="1" si="2256"/>
        <v>0.1268285165357719</v>
      </c>
      <c r="AA2334" s="2">
        <f t="shared" ca="1" si="2257"/>
        <v>6458022.1525329892</v>
      </c>
      <c r="AB2334" s="2">
        <f t="shared" ca="1" si="2258"/>
        <v>6505188.6648532264</v>
      </c>
      <c r="AC2334" s="2">
        <f t="shared" ca="1" si="2259"/>
        <v>6451899.3959713122</v>
      </c>
      <c r="AD2334" s="2">
        <f t="shared" ca="1" si="2260"/>
        <v>6399046.6626495915</v>
      </c>
      <c r="AE2334" s="2">
        <f t="shared" ca="1" si="2261"/>
        <v>6346626.8888717396</v>
      </c>
      <c r="AF2334" s="2">
        <f t="shared" ca="1" si="2262"/>
        <v>1034297.0577910552</v>
      </c>
      <c r="AG2334" s="2">
        <f t="shared" ca="1" si="2263"/>
        <v>1025824.292917349</v>
      </c>
      <c r="AH2334" s="2">
        <f t="shared" ca="1" si="2264"/>
        <v>1017420.9353227842</v>
      </c>
      <c r="AI2334" s="2">
        <f t="shared" ca="1" si="2265"/>
        <v>1009086.4164361245</v>
      </c>
      <c r="AJ2334" s="2">
        <f t="shared" ca="1" si="2266"/>
        <v>1000820.1723437612</v>
      </c>
      <c r="AK2334" s="2">
        <f t="shared" ca="1" si="2267"/>
        <v>0</v>
      </c>
      <c r="AL2334" s="2">
        <f t="shared" ca="1" si="2268"/>
        <v>0</v>
      </c>
      <c r="AM2334" s="2">
        <f t="shared" ca="1" si="2269"/>
        <v>0</v>
      </c>
      <c r="AN2334" s="2">
        <f t="shared" ca="1" si="2270"/>
        <v>0</v>
      </c>
      <c r="AO2334" s="2">
        <f t="shared" ca="1" si="2271"/>
        <v>0</v>
      </c>
      <c r="AP2334" s="2">
        <f t="shared" ca="1" si="2272"/>
        <v>2149528.3036463135</v>
      </c>
      <c r="AQ2334" s="2">
        <f t="shared" ca="1" si="2273"/>
        <v>851291.16568486136</v>
      </c>
      <c r="AR2334" s="2">
        <f t="shared" ca="1" si="2274"/>
        <v>865757.37775528652</v>
      </c>
      <c r="AS2334" s="2">
        <f t="shared" ca="1" si="2275"/>
        <v>854087.0408205759</v>
      </c>
      <c r="AT2334" s="2">
        <f t="shared" ca="1" si="2276"/>
        <v>842512.30506745994</v>
      </c>
      <c r="AU2334" s="2">
        <f t="shared" ca="1" si="2277"/>
        <v>831032.3873492328</v>
      </c>
      <c r="AV2334" s="2">
        <f t="shared" ca="1" si="2278"/>
        <v>2422905.6254107594</v>
      </c>
      <c r="AW2334" s="2">
        <f t="shared" ca="1" si="2279"/>
        <v>2464078.6905342774</v>
      </c>
      <c r="AX2334" s="2">
        <f t="shared" ca="1" si="2280"/>
        <v>2430863.1161816386</v>
      </c>
      <c r="AY2334" s="2">
        <f t="shared" ca="1" si="2281"/>
        <v>2397919.6374996933</v>
      </c>
      <c r="AZ2334" s="2">
        <f t="shared" ca="1" si="2282"/>
        <v>2365246.0255324314</v>
      </c>
      <c r="BA2334" s="2">
        <f t="shared" ca="1" si="2283"/>
        <v>50223343.68713516</v>
      </c>
      <c r="BB2334" s="2">
        <f t="shared" ca="1" si="2284"/>
        <v>1004466.8737427032</v>
      </c>
      <c r="BC2334" s="2">
        <f t="shared" ca="1" si="2285"/>
        <v>25335228.995100085</v>
      </c>
      <c r="BD2334" s="2">
        <f t="shared" ca="1" si="2286"/>
        <v>-17417583.871290434</v>
      </c>
      <c r="BE2334" s="2">
        <f t="shared" ca="1" si="2287"/>
        <v>2422905.6254107594</v>
      </c>
      <c r="BF2334" s="2">
        <f t="shared" ca="1" si="2288"/>
        <v>2464078.6905342774</v>
      </c>
      <c r="BG2334" s="2">
        <f t="shared" ca="1" si="2289"/>
        <v>2430863.1161816386</v>
      </c>
      <c r="BH2334" s="2">
        <f t="shared" ca="1" si="2290"/>
        <v>2397919.6374996933</v>
      </c>
      <c r="BI2334" s="2">
        <f t="shared" ca="1" si="2291"/>
        <v>27700475.020632517</v>
      </c>
      <c r="BJ2334" s="2">
        <f t="shared" ca="1" si="2292"/>
        <v>0.20013768587437619</v>
      </c>
      <c r="BK2334" s="2">
        <f t="shared" ca="1" si="2293"/>
        <v>5682228.2430225424</v>
      </c>
    </row>
    <row r="2335" spans="1:63" x14ac:dyDescent="0.3">
      <c r="A2335" s="2">
        <v>2334</v>
      </c>
      <c r="B2335" s="2">
        <f t="shared" ca="1" si="2232"/>
        <v>0.68179747791734069</v>
      </c>
      <c r="C2335" s="2">
        <f t="shared" ca="1" si="2233"/>
        <v>7.202250011491496</v>
      </c>
      <c r="D2335" s="2">
        <f t="shared" ca="1" si="2234"/>
        <v>0.69709372712083617</v>
      </c>
      <c r="E2335" s="2">
        <f t="shared" ca="1" si="2235"/>
        <v>7.7216603917579887</v>
      </c>
      <c r="F2335" s="2">
        <f t="shared" ca="1" si="2236"/>
        <v>0.12820874683155759</v>
      </c>
      <c r="G2335" s="2">
        <f t="shared" ca="1" si="2237"/>
        <v>5.9530195965773816E-3</v>
      </c>
      <c r="H2335" s="2">
        <f t="shared" ca="1" si="2238"/>
        <v>5.9530195965773816E-3</v>
      </c>
      <c r="I2335" s="2">
        <f t="shared" ca="1" si="2239"/>
        <v>0.35186403008314882</v>
      </c>
      <c r="J2335" s="2">
        <f t="shared" ca="1" si="2240"/>
        <v>8.098535869529017E-3</v>
      </c>
      <c r="K2335" s="2">
        <f t="shared" ca="1" si="2241"/>
        <v>8.098535869529017E-3</v>
      </c>
      <c r="L2335" s="2">
        <f t="shared" ca="1" si="2242"/>
        <v>0.31930104840596674</v>
      </c>
      <c r="M2335" s="2">
        <f t="shared" ca="1" si="2243"/>
        <v>-9.3930839401277343E-3</v>
      </c>
      <c r="N2335" s="2">
        <f t="shared" ca="1" si="2244"/>
        <v>-9.3930839401277343E-3</v>
      </c>
      <c r="O2335" s="2">
        <f t="shared" si="2245"/>
        <v>6000000</v>
      </c>
      <c r="P2335" s="2">
        <f t="shared" ca="1" si="2246"/>
        <v>43213500.068948977</v>
      </c>
      <c r="Q2335" s="2">
        <f t="shared" ca="1" si="2247"/>
        <v>1080337.5017237244</v>
      </c>
      <c r="R2335" s="2">
        <f t="shared" ca="1" si="2248"/>
        <v>25928100.041369386</v>
      </c>
      <c r="S2335" s="2">
        <f t="shared" ca="1" si="2249"/>
        <v>17285400.027579591</v>
      </c>
      <c r="T2335" s="2">
        <f t="shared" ca="1" si="2250"/>
        <v>49530345.802993611</v>
      </c>
      <c r="U2335" s="2">
        <f t="shared" ca="1" si="2251"/>
        <v>49825200.922184087</v>
      </c>
      <c r="V2335" s="2">
        <f t="shared" ca="1" si="2252"/>
        <v>50121811.319677256</v>
      </c>
      <c r="W2335" s="2">
        <f t="shared" ca="1" si="2253"/>
        <v>50420187.444679245</v>
      </c>
      <c r="X2335" s="2">
        <f t="shared" ca="1" si="2254"/>
        <v>50720339.808600523</v>
      </c>
      <c r="Y2335" s="2">
        <f t="shared" ca="1" si="2255"/>
        <v>0.12404926793476451</v>
      </c>
      <c r="Z2335" s="2">
        <f t="shared" ca="1" si="2256"/>
        <v>0.12566897510867031</v>
      </c>
      <c r="AA2335" s="2">
        <f t="shared" ca="1" si="2257"/>
        <v>6144203.1374170929</v>
      </c>
      <c r="AB2335" s="2">
        <f t="shared" ca="1" si="2258"/>
        <v>6261481.9344744487</v>
      </c>
      <c r="AC2335" s="2">
        <f t="shared" ca="1" si="2259"/>
        <v>6298756.6591339912</v>
      </c>
      <c r="AD2335" s="2">
        <f t="shared" ca="1" si="2260"/>
        <v>6336253.2809598874</v>
      </c>
      <c r="AE2335" s="2">
        <f t="shared" ca="1" si="2261"/>
        <v>6373973.1209103186</v>
      </c>
      <c r="AF2335" s="2">
        <f t="shared" ca="1" si="2262"/>
        <v>990606.91605987225</v>
      </c>
      <c r="AG2335" s="2">
        <f t="shared" ca="1" si="2263"/>
        <v>996504.01844368177</v>
      </c>
      <c r="AH2335" s="2">
        <f t="shared" ca="1" si="2264"/>
        <v>1002436.2263935452</v>
      </c>
      <c r="AI2335" s="2">
        <f t="shared" ca="1" si="2265"/>
        <v>1008403.7488935849</v>
      </c>
      <c r="AJ2335" s="2">
        <f t="shared" ca="1" si="2266"/>
        <v>1014406.7961720105</v>
      </c>
      <c r="AK2335" s="2">
        <f t="shared" ca="1" si="2267"/>
        <v>0</v>
      </c>
      <c r="AL2335" s="2">
        <f t="shared" ca="1" si="2268"/>
        <v>2948.5511919047685</v>
      </c>
      <c r="AM2335" s="2">
        <f t="shared" ca="1" si="2269"/>
        <v>2966.1039749316874</v>
      </c>
      <c r="AN2335" s="2">
        <f t="shared" ca="1" si="2270"/>
        <v>2983.7612500198929</v>
      </c>
      <c r="AO2335" s="2">
        <f t="shared" ca="1" si="2271"/>
        <v>3001.5236392127722</v>
      </c>
      <c r="AP2335" s="2">
        <f t="shared" ca="1" si="2272"/>
        <v>2333529.0037232446</v>
      </c>
      <c r="AQ2335" s="2">
        <f t="shared" ca="1" si="2273"/>
        <v>733217.47658483381</v>
      </c>
      <c r="AR2335" s="2">
        <f t="shared" ca="1" si="2274"/>
        <v>762176.71719995572</v>
      </c>
      <c r="AS2335" s="2">
        <f t="shared" ca="1" si="2275"/>
        <v>770325.77154447243</v>
      </c>
      <c r="AT2335" s="2">
        <f t="shared" ca="1" si="2276"/>
        <v>778523.33736919507</v>
      </c>
      <c r="AU2335" s="2">
        <f t="shared" ca="1" si="2277"/>
        <v>786769.70346391643</v>
      </c>
      <c r="AV2335" s="2">
        <f t="shared" ca="1" si="2278"/>
        <v>2086849.7410491421</v>
      </c>
      <c r="AW2335" s="2">
        <f t="shared" ca="1" si="2279"/>
        <v>2166323.6439156611</v>
      </c>
      <c r="AX2335" s="2">
        <f t="shared" ca="1" si="2280"/>
        <v>2189499.5534977973</v>
      </c>
      <c r="AY2335" s="2">
        <f t="shared" ca="1" si="2281"/>
        <v>2212813.4297238425</v>
      </c>
      <c r="AZ2335" s="2">
        <f t="shared" ca="1" si="2282"/>
        <v>2236266.0939119342</v>
      </c>
      <c r="BA2335" s="2">
        <f t="shared" ca="1" si="2283"/>
        <v>49217655.785863258</v>
      </c>
      <c r="BB2335" s="2">
        <f t="shared" ca="1" si="2284"/>
        <v>984353.11571726517</v>
      </c>
      <c r="BC2335" s="2">
        <f t="shared" ca="1" si="2285"/>
        <v>22305202.628776606</v>
      </c>
      <c r="BD2335" s="2">
        <f t="shared" ca="1" si="2286"/>
        <v>-18865737.529303316</v>
      </c>
      <c r="BE2335" s="2">
        <f t="shared" ca="1" si="2287"/>
        <v>2086849.7410491421</v>
      </c>
      <c r="BF2335" s="2">
        <f t="shared" ca="1" si="2288"/>
        <v>2166323.6439156611</v>
      </c>
      <c r="BG2335" s="2">
        <f t="shared" ca="1" si="2289"/>
        <v>2189499.5534977973</v>
      </c>
      <c r="BH2335" s="2">
        <f t="shared" ca="1" si="2290"/>
        <v>2212813.4297238425</v>
      </c>
      <c r="BI2335" s="2">
        <f t="shared" ca="1" si="2291"/>
        <v>24541468.722688541</v>
      </c>
      <c r="BJ2335" s="2">
        <f t="shared" ca="1" si="2292"/>
        <v>0.14242045335010967</v>
      </c>
      <c r="BK2335" s="2">
        <f t="shared" ca="1" si="2293"/>
        <v>1614715.0193195902</v>
      </c>
    </row>
    <row r="2336" spans="1:63" x14ac:dyDescent="0.3">
      <c r="A2336" s="2">
        <v>2335</v>
      </c>
      <c r="B2336" s="2">
        <f t="shared" ca="1" si="2232"/>
        <v>0.46668820711351311</v>
      </c>
      <c r="C2336" s="2">
        <f t="shared" ca="1" si="2233"/>
        <v>6.9661140793027636</v>
      </c>
      <c r="D2336" s="2">
        <f t="shared" ca="1" si="2234"/>
        <v>0.26223642845530126</v>
      </c>
      <c r="E2336" s="2">
        <f t="shared" ca="1" si="2235"/>
        <v>7.2242049826607122</v>
      </c>
      <c r="F2336" s="2">
        <f t="shared" ca="1" si="2236"/>
        <v>0.55343985210380142</v>
      </c>
      <c r="G2336" s="2">
        <f t="shared" ca="1" si="2237"/>
        <v>4.4030709487941716E-2</v>
      </c>
      <c r="H2336" s="2">
        <f t="shared" ca="1" si="2238"/>
        <v>4.4030709487941716E-2</v>
      </c>
      <c r="I2336" s="2">
        <f t="shared" ca="1" si="2239"/>
        <v>6.3682309306421381E-2</v>
      </c>
      <c r="J2336" s="2">
        <f t="shared" ca="1" si="2240"/>
        <v>2.3771146167199768E-3</v>
      </c>
      <c r="K2336" s="2">
        <f t="shared" ca="1" si="2241"/>
        <v>2.3771146167199768E-3</v>
      </c>
      <c r="L2336" s="2">
        <f t="shared" ca="1" si="2242"/>
        <v>8.3223579539748016E-2</v>
      </c>
      <c r="M2336" s="2">
        <f t="shared" ca="1" si="2243"/>
        <v>-2.7674207263820767E-2</v>
      </c>
      <c r="N2336" s="2">
        <f t="shared" ca="1" si="2244"/>
        <v>-2.7674207263820767E-2</v>
      </c>
      <c r="O2336" s="2">
        <f t="shared" si="2245"/>
        <v>6000000</v>
      </c>
      <c r="P2336" s="2">
        <f t="shared" ca="1" si="2246"/>
        <v>41796684.475816585</v>
      </c>
      <c r="Q2336" s="2">
        <f t="shared" ca="1" si="2247"/>
        <v>1044917.1118954147</v>
      </c>
      <c r="R2336" s="2">
        <f t="shared" ca="1" si="2248"/>
        <v>25078010.685489949</v>
      </c>
      <c r="S2336" s="2">
        <f t="shared" ca="1" si="2249"/>
        <v>16718673.790326634</v>
      </c>
      <c r="T2336" s="2">
        <f t="shared" ca="1" si="2250"/>
        <v>48616289.636808962</v>
      </c>
      <c r="U2336" s="2">
        <f t="shared" ca="1" si="2251"/>
        <v>50756899.362188928</v>
      </c>
      <c r="V2336" s="2">
        <f t="shared" ca="1" si="2252"/>
        <v>52991761.652514167</v>
      </c>
      <c r="W2336" s="2">
        <f t="shared" ca="1" si="2253"/>
        <v>55325026.515090272</v>
      </c>
      <c r="X2336" s="2">
        <f t="shared" ca="1" si="2254"/>
        <v>57761026.684988886</v>
      </c>
      <c r="Y2336" s="2">
        <f t="shared" ca="1" si="2255"/>
        <v>0.12118855730835998</v>
      </c>
      <c r="Z2336" s="2">
        <f t="shared" ca="1" si="2256"/>
        <v>0.12166398023170398</v>
      </c>
      <c r="AA2336" s="2">
        <f t="shared" ca="1" si="2257"/>
        <v>5891738.0027702497</v>
      </c>
      <c r="AB2336" s="2">
        <f t="shared" ca="1" si="2258"/>
        <v>6175286.4006239418</v>
      </c>
      <c r="AC2336" s="2">
        <f t="shared" ca="1" si="2259"/>
        <v>6447188.6421346525</v>
      </c>
      <c r="AD2336" s="2">
        <f t="shared" ca="1" si="2260"/>
        <v>6731062.9322504411</v>
      </c>
      <c r="AE2336" s="2">
        <f t="shared" ca="1" si="2261"/>
        <v>7027436.4087654138</v>
      </c>
      <c r="AF2336" s="2">
        <f t="shared" ca="1" si="2262"/>
        <v>972325.7927361792</v>
      </c>
      <c r="AG2336" s="2">
        <f t="shared" ca="1" si="2263"/>
        <v>1015137.9872437785</v>
      </c>
      <c r="AH2336" s="2">
        <f t="shared" ca="1" si="2264"/>
        <v>1059835.2330502833</v>
      </c>
      <c r="AI2336" s="2">
        <f t="shared" ca="1" si="2265"/>
        <v>1106500.5303018054</v>
      </c>
      <c r="AJ2336" s="2">
        <f t="shared" ca="1" si="2266"/>
        <v>1155220.5336997777</v>
      </c>
      <c r="AK2336" s="2">
        <f t="shared" ca="1" si="2267"/>
        <v>0</v>
      </c>
      <c r="AL2336" s="2">
        <f t="shared" ca="1" si="2268"/>
        <v>21406.097253799664</v>
      </c>
      <c r="AM2336" s="2">
        <f t="shared" ca="1" si="2269"/>
        <v>22348.622903252395</v>
      </c>
      <c r="AN2336" s="2">
        <f t="shared" ca="1" si="2270"/>
        <v>23332.648625761049</v>
      </c>
      <c r="AO2336" s="2">
        <f t="shared" ca="1" si="2271"/>
        <v>24360.001698986143</v>
      </c>
      <c r="AP2336" s="2">
        <f t="shared" ca="1" si="2272"/>
        <v>2257020.9616940953</v>
      </c>
      <c r="AQ2336" s="2">
        <f t="shared" ca="1" si="2273"/>
        <v>692221.72456839355</v>
      </c>
      <c r="AR2336" s="2">
        <f t="shared" ca="1" si="2274"/>
        <v>754813.1374383776</v>
      </c>
      <c r="AS2336" s="2">
        <f t="shared" ca="1" si="2275"/>
        <v>813886.43632147135</v>
      </c>
      <c r="AT2336" s="2">
        <f t="shared" ca="1" si="2276"/>
        <v>875560.77446618048</v>
      </c>
      <c r="AU2336" s="2">
        <f t="shared" ca="1" si="2277"/>
        <v>939950.67747660063</v>
      </c>
      <c r="AV2336" s="2">
        <f t="shared" ca="1" si="2278"/>
        <v>1970169.5237715822</v>
      </c>
      <c r="AW2336" s="2">
        <f t="shared" ca="1" si="2279"/>
        <v>2126908.2169938907</v>
      </c>
      <c r="AX2336" s="2">
        <f t="shared" ca="1" si="2280"/>
        <v>2294097.3881655503</v>
      </c>
      <c r="AY2336" s="2">
        <f t="shared" ca="1" si="2281"/>
        <v>2468648.0171625987</v>
      </c>
      <c r="AZ2336" s="2">
        <f t="shared" ca="1" si="2282"/>
        <v>2650884.2341959542</v>
      </c>
      <c r="BA2336" s="2">
        <f t="shared" ca="1" si="2283"/>
        <v>50767641.119534403</v>
      </c>
      <c r="BB2336" s="2">
        <f t="shared" ca="1" si="2284"/>
        <v>1015352.8223906881</v>
      </c>
      <c r="BC2336" s="2">
        <f t="shared" ca="1" si="2285"/>
        <v>24674277.611653768</v>
      </c>
      <c r="BD2336" s="2">
        <f t="shared" ca="1" si="2286"/>
        <v>-18263590.902222048</v>
      </c>
      <c r="BE2336" s="2">
        <f t="shared" ca="1" si="2287"/>
        <v>1970169.5237715822</v>
      </c>
      <c r="BF2336" s="2">
        <f t="shared" ca="1" si="2288"/>
        <v>2126908.2169938907</v>
      </c>
      <c r="BG2336" s="2">
        <f t="shared" ca="1" si="2289"/>
        <v>2294097.3881655503</v>
      </c>
      <c r="BH2336" s="2">
        <f t="shared" ca="1" si="2290"/>
        <v>2468648.0171625987</v>
      </c>
      <c r="BI2336" s="2">
        <f t="shared" ca="1" si="2291"/>
        <v>27325161.845849723</v>
      </c>
      <c r="BJ2336" s="2">
        <f t="shared" ca="1" si="2292"/>
        <v>0.17287505564366312</v>
      </c>
      <c r="BK2336" s="2">
        <f t="shared" ca="1" si="2293"/>
        <v>3897841.558191333</v>
      </c>
    </row>
    <row r="2337" spans="1:63" x14ac:dyDescent="0.3">
      <c r="A2337" s="2">
        <v>2336</v>
      </c>
      <c r="B2337" s="2">
        <f t="shared" ca="1" si="2232"/>
        <v>0.17454315625531602</v>
      </c>
      <c r="C2337" s="2">
        <f t="shared" ca="1" si="2233"/>
        <v>6.5908352668135439</v>
      </c>
      <c r="D2337" s="2">
        <f t="shared" ca="1" si="2234"/>
        <v>0.39837591163962371</v>
      </c>
      <c r="E2337" s="2">
        <f t="shared" ca="1" si="2235"/>
        <v>7.3926095581379618</v>
      </c>
      <c r="F2337" s="2">
        <f t="shared" ca="1" si="2236"/>
        <v>0.48208525282516668</v>
      </c>
      <c r="G2337" s="2">
        <f t="shared" ca="1" si="2237"/>
        <v>3.8652378562162658E-2</v>
      </c>
      <c r="H2337" s="2">
        <f t="shared" ca="1" si="2238"/>
        <v>3.8652378562162658E-2</v>
      </c>
      <c r="I2337" s="2">
        <f t="shared" ca="1" si="2239"/>
        <v>5.5576268121492634E-2</v>
      </c>
      <c r="J2337" s="2">
        <f t="shared" ca="1" si="2240"/>
        <v>2.0348293841985585E-3</v>
      </c>
      <c r="K2337" s="2">
        <f t="shared" ca="1" si="2241"/>
        <v>2.0348293841985585E-3</v>
      </c>
      <c r="L2337" s="2">
        <f t="shared" ca="1" si="2242"/>
        <v>0.51842707516363717</v>
      </c>
      <c r="M2337" s="2">
        <f t="shared" ca="1" si="2243"/>
        <v>9.241252846785439E-4</v>
      </c>
      <c r="N2337" s="2">
        <f t="shared" ca="1" si="2244"/>
        <v>9.241252846785439E-4</v>
      </c>
      <c r="O2337" s="2">
        <f t="shared" si="2245"/>
        <v>6000000</v>
      </c>
      <c r="P2337" s="2">
        <f t="shared" ca="1" si="2246"/>
        <v>39545011.600881264</v>
      </c>
      <c r="Q2337" s="2">
        <f t="shared" ca="1" si="2247"/>
        <v>988625.29002203164</v>
      </c>
      <c r="R2337" s="2">
        <f t="shared" ca="1" si="2248"/>
        <v>23727006.960528757</v>
      </c>
      <c r="S2337" s="2">
        <f t="shared" ca="1" si="2249"/>
        <v>15818004.640352506</v>
      </c>
      <c r="T2337" s="2">
        <f t="shared" ca="1" si="2250"/>
        <v>50046206.264233924</v>
      </c>
      <c r="U2337" s="2">
        <f t="shared" ca="1" si="2251"/>
        <v>51980611.174359173</v>
      </c>
      <c r="V2337" s="2">
        <f t="shared" ca="1" si="2252"/>
        <v>53989785.435363084</v>
      </c>
      <c r="W2337" s="2">
        <f t="shared" ca="1" si="2253"/>
        <v>56076619.060500674</v>
      </c>
      <c r="X2337" s="2">
        <f t="shared" ca="1" si="2254"/>
        <v>58244113.768913329</v>
      </c>
      <c r="Y2337" s="2">
        <f t="shared" ca="1" si="2255"/>
        <v>0.12101741469209927</v>
      </c>
      <c r="Z2337" s="2">
        <f t="shared" ca="1" si="2256"/>
        <v>0.12142438056893899</v>
      </c>
      <c r="AA2337" s="2">
        <f t="shared" ca="1" si="2257"/>
        <v>6056462.4972451329</v>
      </c>
      <c r="AB2337" s="2">
        <f t="shared" ca="1" si="2258"/>
        <v>6311713.5134414313</v>
      </c>
      <c r="AC2337" s="2">
        <f t="shared" ca="1" si="2259"/>
        <v>6555676.253538887</v>
      </c>
      <c r="AD2337" s="2">
        <f t="shared" ca="1" si="2260"/>
        <v>6809068.7338216519</v>
      </c>
      <c r="AE2337" s="2">
        <f t="shared" ca="1" si="2261"/>
        <v>7072255.4361771112</v>
      </c>
      <c r="AF2337" s="2">
        <f t="shared" ca="1" si="2262"/>
        <v>1000924.1252846785</v>
      </c>
      <c r="AG2337" s="2">
        <f t="shared" ca="1" si="2263"/>
        <v>1039612.2234871835</v>
      </c>
      <c r="AH2337" s="2">
        <f t="shared" ca="1" si="2264"/>
        <v>1079795.7087072616</v>
      </c>
      <c r="AI2337" s="2">
        <f t="shared" ca="1" si="2265"/>
        <v>1121532.3812100135</v>
      </c>
      <c r="AJ2337" s="2">
        <f t="shared" ca="1" si="2266"/>
        <v>1164882.2753782666</v>
      </c>
      <c r="AK2337" s="2">
        <f t="shared" ca="1" si="2267"/>
        <v>0</v>
      </c>
      <c r="AL2337" s="2">
        <f t="shared" ca="1" si="2268"/>
        <v>19344.049101252484</v>
      </c>
      <c r="AM2337" s="2">
        <f t="shared" ca="1" si="2269"/>
        <v>20091.742610039117</v>
      </c>
      <c r="AN2337" s="2">
        <f t="shared" ca="1" si="2270"/>
        <v>20868.336251375898</v>
      </c>
      <c r="AO2337" s="2">
        <f t="shared" ca="1" si="2271"/>
        <v>21674.947084126547</v>
      </c>
      <c r="AP2337" s="2">
        <f t="shared" ca="1" si="2272"/>
        <v>2135430.6264475882</v>
      </c>
      <c r="AQ2337" s="2">
        <f t="shared" ca="1" si="2273"/>
        <v>759228.01383334526</v>
      </c>
      <c r="AR2337" s="2">
        <f t="shared" ca="1" si="2274"/>
        <v>815534.37251173158</v>
      </c>
      <c r="AS2337" s="2">
        <f t="shared" ca="1" si="2275"/>
        <v>868516.9787798496</v>
      </c>
      <c r="AT2337" s="2">
        <f t="shared" ca="1" si="2276"/>
        <v>923547.48880265316</v>
      </c>
      <c r="AU2337" s="2">
        <f t="shared" ca="1" si="2277"/>
        <v>980705.05893132673</v>
      </c>
      <c r="AV2337" s="2">
        <f t="shared" ca="1" si="2278"/>
        <v>2160879.7316795215</v>
      </c>
      <c r="AW2337" s="2">
        <f t="shared" ca="1" si="2279"/>
        <v>2301792.2418936761</v>
      </c>
      <c r="AX2337" s="2">
        <f t="shared" ca="1" si="2280"/>
        <v>2451841.1969941482</v>
      </c>
      <c r="AY2337" s="2">
        <f t="shared" ca="1" si="2281"/>
        <v>2607689.9011100214</v>
      </c>
      <c r="AZ2337" s="2">
        <f t="shared" ca="1" si="2282"/>
        <v>2769562.5283358032</v>
      </c>
      <c r="BA2337" s="2">
        <f t="shared" ca="1" si="2283"/>
        <v>52282423.135076076</v>
      </c>
      <c r="BB2337" s="2">
        <f t="shared" ca="1" si="2284"/>
        <v>1045648.4627015216</v>
      </c>
      <c r="BC2337" s="2">
        <f t="shared" ca="1" si="2285"/>
        <v>27509767.711845797</v>
      </c>
      <c r="BD2337" s="2">
        <f t="shared" ca="1" si="2286"/>
        <v>-17306629.930374537</v>
      </c>
      <c r="BE2337" s="2">
        <f t="shared" ca="1" si="2287"/>
        <v>2160879.7316795215</v>
      </c>
      <c r="BF2337" s="2">
        <f t="shared" ca="1" si="2288"/>
        <v>2301792.2418936761</v>
      </c>
      <c r="BG2337" s="2">
        <f t="shared" ca="1" si="2289"/>
        <v>2451841.1969941482</v>
      </c>
      <c r="BH2337" s="2">
        <f t="shared" ca="1" si="2290"/>
        <v>2607689.9011100214</v>
      </c>
      <c r="BI2337" s="2">
        <f t="shared" ca="1" si="2291"/>
        <v>30279330.240181599</v>
      </c>
      <c r="BJ2337" s="2">
        <f t="shared" ca="1" si="2292"/>
        <v>0.215522135083692</v>
      </c>
      <c r="BK2337" s="2">
        <f t="shared" ca="1" si="2293"/>
        <v>7041413.0168189146</v>
      </c>
    </row>
    <row r="2338" spans="1:63" x14ac:dyDescent="0.3">
      <c r="A2338" s="2">
        <v>2337</v>
      </c>
      <c r="B2338" s="2">
        <f t="shared" ca="1" si="2232"/>
        <v>0.70103171020154675</v>
      </c>
      <c r="C2338" s="2">
        <f t="shared" ca="1" si="2233"/>
        <v>7.2267364100147304</v>
      </c>
      <c r="D2338" s="2">
        <f t="shared" ca="1" si="2234"/>
        <v>0.84433395397282129</v>
      </c>
      <c r="E2338" s="2">
        <f t="shared" ca="1" si="2235"/>
        <v>7.9420285920816749</v>
      </c>
      <c r="F2338" s="2">
        <f t="shared" ca="1" si="2236"/>
        <v>0.31006977849518746</v>
      </c>
      <c r="G2338" s="2">
        <f t="shared" ca="1" si="2237"/>
        <v>2.5130422943127947E-2</v>
      </c>
      <c r="H2338" s="2">
        <f t="shared" ca="1" si="2238"/>
        <v>2.5130422943127947E-2</v>
      </c>
      <c r="I2338" s="2">
        <f t="shared" ca="1" si="2239"/>
        <v>6.2519330052329125E-2</v>
      </c>
      <c r="J2338" s="2">
        <f t="shared" ca="1" si="2240"/>
        <v>2.3301830605682765E-3</v>
      </c>
      <c r="K2338" s="2">
        <f t="shared" ca="1" si="2241"/>
        <v>2.3301830605682765E-3</v>
      </c>
      <c r="L2338" s="2">
        <f t="shared" ca="1" si="2242"/>
        <v>0.2035227924810582</v>
      </c>
      <c r="M2338" s="2">
        <f t="shared" ca="1" si="2243"/>
        <v>-1.6582079135914574E-2</v>
      </c>
      <c r="N2338" s="2">
        <f t="shared" ca="1" si="2244"/>
        <v>-1.6582079135914574E-2</v>
      </c>
      <c r="O2338" s="2">
        <f t="shared" si="2245"/>
        <v>6000000</v>
      </c>
      <c r="P2338" s="2">
        <f t="shared" ca="1" si="2246"/>
        <v>43360418.46008838</v>
      </c>
      <c r="Q2338" s="2">
        <f t="shared" ca="1" si="2247"/>
        <v>1084010.4615022095</v>
      </c>
      <c r="R2338" s="2">
        <f t="shared" ca="1" si="2248"/>
        <v>26016251.076053027</v>
      </c>
      <c r="S2338" s="2">
        <f t="shared" ca="1" si="2249"/>
        <v>17344167.384035353</v>
      </c>
      <c r="T2338" s="2">
        <f t="shared" ca="1" si="2250"/>
        <v>49170896.04320427</v>
      </c>
      <c r="U2338" s="2">
        <f t="shared" ca="1" si="2251"/>
        <v>50406581.457262568</v>
      </c>
      <c r="V2338" s="2">
        <f t="shared" ca="1" si="2252"/>
        <v>51673320.168400809</v>
      </c>
      <c r="W2338" s="2">
        <f t="shared" ca="1" si="2253"/>
        <v>52971892.559108384</v>
      </c>
      <c r="X2338" s="2">
        <f t="shared" ca="1" si="2254"/>
        <v>54303098.623216711</v>
      </c>
      <c r="Y2338" s="2">
        <f t="shared" ca="1" si="2255"/>
        <v>0.12116509153028414</v>
      </c>
      <c r="Z2338" s="2">
        <f t="shared" ca="1" si="2256"/>
        <v>0.12163112814239779</v>
      </c>
      <c r="AA2338" s="2">
        <f t="shared" ca="1" si="2257"/>
        <v>5957796.1197009319</v>
      </c>
      <c r="AB2338" s="2">
        <f t="shared" ca="1" si="2258"/>
        <v>6131009.3684485164</v>
      </c>
      <c r="AC2338" s="2">
        <f t="shared" ca="1" si="2259"/>
        <v>6285084.2269459069</v>
      </c>
      <c r="AD2338" s="2">
        <f t="shared" ca="1" si="2260"/>
        <v>6443031.0518022403</v>
      </c>
      <c r="AE2338" s="2">
        <f t="shared" ca="1" si="2261"/>
        <v>6604947.1471697371</v>
      </c>
      <c r="AF2338" s="2">
        <f t="shared" ca="1" si="2262"/>
        <v>983417.92086408543</v>
      </c>
      <c r="AG2338" s="2">
        <f t="shared" ca="1" si="2263"/>
        <v>1008131.6291452514</v>
      </c>
      <c r="AH2338" s="2">
        <f t="shared" ca="1" si="2264"/>
        <v>1033466.4033680162</v>
      </c>
      <c r="AI2338" s="2">
        <f t="shared" ca="1" si="2265"/>
        <v>1059437.8511821677</v>
      </c>
      <c r="AJ2338" s="2">
        <f t="shared" ca="1" si="2266"/>
        <v>1086061.9724643342</v>
      </c>
      <c r="AK2338" s="2">
        <f t="shared" ca="1" si="2267"/>
        <v>0</v>
      </c>
      <c r="AL2338" s="2">
        <f t="shared" ca="1" si="2268"/>
        <v>12356.854140582978</v>
      </c>
      <c r="AM2338" s="2">
        <f t="shared" ca="1" si="2269"/>
        <v>12667.38711138241</v>
      </c>
      <c r="AN2338" s="2">
        <f t="shared" ca="1" si="2270"/>
        <v>12985.723907075748</v>
      </c>
      <c r="AO2338" s="2">
        <f t="shared" ca="1" si="2271"/>
        <v>13312.06064108327</v>
      </c>
      <c r="AP2338" s="2">
        <f t="shared" ca="1" si="2272"/>
        <v>2341462.5968447723</v>
      </c>
      <c r="AQ2338" s="2">
        <f t="shared" ca="1" si="2273"/>
        <v>684558.0565179392</v>
      </c>
      <c r="AR2338" s="2">
        <f t="shared" ca="1" si="2274"/>
        <v>723167.93703920802</v>
      </c>
      <c r="AS2338" s="2">
        <f t="shared" ca="1" si="2275"/>
        <v>756640.35895061062</v>
      </c>
      <c r="AT2338" s="2">
        <f t="shared" ca="1" si="2276"/>
        <v>790953.95698157814</v>
      </c>
      <c r="AU2338" s="2">
        <f t="shared" ca="1" si="2277"/>
        <v>826129.87024376402</v>
      </c>
      <c r="AV2338" s="2">
        <f t="shared" ca="1" si="2278"/>
        <v>1948357.5454741349</v>
      </c>
      <c r="AW2338" s="2">
        <f t="shared" ca="1" si="2279"/>
        <v>2045890.3512787013</v>
      </c>
      <c r="AX2338" s="2">
        <f t="shared" ca="1" si="2280"/>
        <v>2140847.480671125</v>
      </c>
      <c r="AY2338" s="2">
        <f t="shared" ca="1" si="2281"/>
        <v>2238190.9228866468</v>
      </c>
      <c r="AZ2338" s="2">
        <f t="shared" ca="1" si="2282"/>
        <v>2337980.6469757832</v>
      </c>
      <c r="BA2338" s="2">
        <f t="shared" ca="1" si="2283"/>
        <v>52456679.092010342</v>
      </c>
      <c r="BB2338" s="2">
        <f t="shared" ca="1" si="2284"/>
        <v>1049133.5818402069</v>
      </c>
      <c r="BC2338" s="2">
        <f t="shared" ca="1" si="2285"/>
        <v>25391294.434117109</v>
      </c>
      <c r="BD2338" s="2">
        <f t="shared" ca="1" si="2286"/>
        <v>-18928177.845537562</v>
      </c>
      <c r="BE2338" s="2">
        <f t="shared" ca="1" si="2287"/>
        <v>1948357.5454741349</v>
      </c>
      <c r="BF2338" s="2">
        <f t="shared" ca="1" si="2288"/>
        <v>2045890.3512787013</v>
      </c>
      <c r="BG2338" s="2">
        <f t="shared" ca="1" si="2289"/>
        <v>2140847.480671125</v>
      </c>
      <c r="BH2338" s="2">
        <f t="shared" ca="1" si="2290"/>
        <v>2238190.9228866468</v>
      </c>
      <c r="BI2338" s="2">
        <f t="shared" ca="1" si="2291"/>
        <v>27729275.08109289</v>
      </c>
      <c r="BJ2338" s="2">
        <f t="shared" ca="1" si="2292"/>
        <v>0.16119298491526668</v>
      </c>
      <c r="BK2338" s="2">
        <f t="shared" ca="1" si="2293"/>
        <v>3122957.4833182245</v>
      </c>
    </row>
    <row r="2339" spans="1:63" x14ac:dyDescent="0.3">
      <c r="A2339" s="2">
        <v>2338</v>
      </c>
      <c r="B2339" s="2">
        <f t="shared" ca="1" si="2232"/>
        <v>0.20681129727241943</v>
      </c>
      <c r="C2339" s="2">
        <f t="shared" ca="1" si="2233"/>
        <v>6.643134973815636</v>
      </c>
      <c r="D2339" s="2">
        <f t="shared" ca="1" si="2234"/>
        <v>7.6816137973236165E-2</v>
      </c>
      <c r="E2339" s="2">
        <f t="shared" ca="1" si="2235"/>
        <v>6.8919595335573209</v>
      </c>
      <c r="F2339" s="2">
        <f t="shared" ca="1" si="2236"/>
        <v>7.2475878326322407E-3</v>
      </c>
      <c r="G2339" s="2">
        <f t="shared" ca="1" si="2237"/>
        <v>-3.3342561512593176E-2</v>
      </c>
      <c r="H2339" s="2">
        <f t="shared" ca="1" si="2238"/>
        <v>-0.02</v>
      </c>
      <c r="I2339" s="2">
        <f t="shared" ca="1" si="2239"/>
        <v>0.32029877202518175</v>
      </c>
      <c r="J2339" s="2">
        <f t="shared" ca="1" si="2240"/>
        <v>7.6656825222798531E-3</v>
      </c>
      <c r="K2339" s="2">
        <f t="shared" ca="1" si="2241"/>
        <v>7.6656825222798531E-3</v>
      </c>
      <c r="L2339" s="2">
        <f t="shared" ca="1" si="2242"/>
        <v>5.6202095076692604E-2</v>
      </c>
      <c r="M2339" s="2">
        <f t="shared" ca="1" si="2243"/>
        <v>-3.1749580822547543E-2</v>
      </c>
      <c r="N2339" s="2">
        <f t="shared" ca="1" si="2244"/>
        <v>-3.1749580822547543E-2</v>
      </c>
      <c r="O2339" s="2">
        <f t="shared" si="2245"/>
        <v>6000000</v>
      </c>
      <c r="P2339" s="2">
        <f t="shared" ca="1" si="2246"/>
        <v>39858809.842893817</v>
      </c>
      <c r="Q2339" s="2">
        <f t="shared" ca="1" si="2247"/>
        <v>996470.24607234541</v>
      </c>
      <c r="R2339" s="2">
        <f t="shared" ca="1" si="2248"/>
        <v>23915285.90573629</v>
      </c>
      <c r="S2339" s="2">
        <f t="shared" ca="1" si="2249"/>
        <v>15943523.937157527</v>
      </c>
      <c r="T2339" s="2">
        <f t="shared" ca="1" si="2250"/>
        <v>48412520.958872624</v>
      </c>
      <c r="U2339" s="2">
        <f t="shared" ca="1" si="2251"/>
        <v>47444270.539695174</v>
      </c>
      <c r="V2339" s="2">
        <f t="shared" ca="1" si="2252"/>
        <v>46495385.128901266</v>
      </c>
      <c r="W2339" s="2">
        <f t="shared" ca="1" si="2253"/>
        <v>45565477.426323242</v>
      </c>
      <c r="X2339" s="2">
        <f t="shared" ca="1" si="2254"/>
        <v>44654167.877796777</v>
      </c>
      <c r="Y2339" s="2">
        <f t="shared" ca="1" si="2255"/>
        <v>0.12383284126113993</v>
      </c>
      <c r="Z2339" s="2">
        <f t="shared" ca="1" si="2256"/>
        <v>0.12536597776559588</v>
      </c>
      <c r="AA2339" s="2">
        <f t="shared" ca="1" si="2257"/>
        <v>5995060.022951683</v>
      </c>
      <c r="AB2339" s="2">
        <f t="shared" ca="1" si="2258"/>
        <v>5947897.3655843409</v>
      </c>
      <c r="AC2339" s="2">
        <f t="shared" ca="1" si="2259"/>
        <v>5828939.4182726536</v>
      </c>
      <c r="AD2339" s="2">
        <f t="shared" ca="1" si="2260"/>
        <v>5712360.629907201</v>
      </c>
      <c r="AE2339" s="2">
        <f t="shared" ca="1" si="2261"/>
        <v>5598113.417309057</v>
      </c>
      <c r="AF2339" s="2">
        <f t="shared" ca="1" si="2262"/>
        <v>968250.41917745245</v>
      </c>
      <c r="AG2339" s="2">
        <f t="shared" ca="1" si="2263"/>
        <v>948885.41079390352</v>
      </c>
      <c r="AH2339" s="2">
        <f t="shared" ca="1" si="2264"/>
        <v>929907.70257802529</v>
      </c>
      <c r="AI2339" s="2">
        <f t="shared" ca="1" si="2265"/>
        <v>911309.54852646485</v>
      </c>
      <c r="AJ2339" s="2">
        <f t="shared" ca="1" si="2266"/>
        <v>893083.35755593551</v>
      </c>
      <c r="AK2339" s="2">
        <f t="shared" ca="1" si="2267"/>
        <v>0</v>
      </c>
      <c r="AL2339" s="2">
        <f t="shared" ca="1" si="2268"/>
        <v>0</v>
      </c>
      <c r="AM2339" s="2">
        <f t="shared" ca="1" si="2269"/>
        <v>0</v>
      </c>
      <c r="AN2339" s="2">
        <f t="shared" ca="1" si="2270"/>
        <v>0</v>
      </c>
      <c r="AO2339" s="2">
        <f t="shared" ca="1" si="2271"/>
        <v>0</v>
      </c>
      <c r="AP2339" s="2">
        <f t="shared" ca="1" si="2272"/>
        <v>2152375.7315162662</v>
      </c>
      <c r="AQ2339" s="2">
        <f t="shared" ca="1" si="2273"/>
        <v>747352.80678707082</v>
      </c>
      <c r="AR2339" s="2">
        <f t="shared" ca="1" si="2274"/>
        <v>740125.41805128462</v>
      </c>
      <c r="AS2339" s="2">
        <f t="shared" ca="1" si="2275"/>
        <v>714130.5558863742</v>
      </c>
      <c r="AT2339" s="2">
        <f t="shared" ca="1" si="2276"/>
        <v>688655.59096476214</v>
      </c>
      <c r="AU2339" s="2">
        <f t="shared" ca="1" si="2277"/>
        <v>663690.12534158246</v>
      </c>
      <c r="AV2339" s="2">
        <f t="shared" ca="1" si="2278"/>
        <v>2127081.0654708939</v>
      </c>
      <c r="AW2339" s="2">
        <f t="shared" ca="1" si="2279"/>
        <v>2106510.8052228866</v>
      </c>
      <c r="AX2339" s="2">
        <f t="shared" ca="1" si="2280"/>
        <v>2032525.4282919881</v>
      </c>
      <c r="AY2339" s="2">
        <f t="shared" ca="1" si="2281"/>
        <v>1960019.7588997078</v>
      </c>
      <c r="AZ2339" s="2">
        <f t="shared" ca="1" si="2282"/>
        <v>1888964.202895273</v>
      </c>
      <c r="BA2339" s="2">
        <f t="shared" ca="1" si="2283"/>
        <v>38581971.136358306</v>
      </c>
      <c r="BB2339" s="2">
        <f t="shared" ca="1" si="2284"/>
        <v>771639.42272716609</v>
      </c>
      <c r="BC2339" s="2">
        <f t="shared" ca="1" si="2285"/>
        <v>13895045.80789485</v>
      </c>
      <c r="BD2339" s="2">
        <f t="shared" ca="1" si="2286"/>
        <v>-17439994.183229871</v>
      </c>
      <c r="BE2339" s="2">
        <f t="shared" ca="1" si="2287"/>
        <v>2127081.0654708939</v>
      </c>
      <c r="BF2339" s="2">
        <f t="shared" ca="1" si="2288"/>
        <v>2106510.8052228866</v>
      </c>
      <c r="BG2339" s="2">
        <f t="shared" ca="1" si="2289"/>
        <v>2032525.4282919881</v>
      </c>
      <c r="BH2339" s="2">
        <f t="shared" ca="1" si="2290"/>
        <v>1960019.7588997078</v>
      </c>
      <c r="BI2339" s="2">
        <f t="shared" ca="1" si="2291"/>
        <v>15784010.010790123</v>
      </c>
      <c r="BJ2339" s="2">
        <f t="shared" ca="1" si="2292"/>
        <v>8.2050398767991028E-2</v>
      </c>
      <c r="BK2339" s="2">
        <f t="shared" ca="1" si="2293"/>
        <v>-2212906.5286675412</v>
      </c>
    </row>
    <row r="2340" spans="1:63" x14ac:dyDescent="0.3">
      <c r="A2340" s="2">
        <v>2339</v>
      </c>
      <c r="B2340" s="2">
        <f t="shared" ca="1" si="2232"/>
        <v>9.0625233382006343E-2</v>
      </c>
      <c r="C2340" s="2">
        <f t="shared" ca="1" si="2233"/>
        <v>6.4257352073343394</v>
      </c>
      <c r="D2340" s="2">
        <f t="shared" ca="1" si="2234"/>
        <v>0.93458269561611917</v>
      </c>
      <c r="E2340" s="2">
        <f t="shared" ca="1" si="2235"/>
        <v>8.138289330033297</v>
      </c>
      <c r="F2340" s="2">
        <f t="shared" ca="1" si="2236"/>
        <v>0.65592625992887743</v>
      </c>
      <c r="G2340" s="2">
        <f t="shared" ca="1" si="2237"/>
        <v>5.2041110318752831E-2</v>
      </c>
      <c r="H2340" s="2">
        <f t="shared" ca="1" si="2238"/>
        <v>5.2041110318752831E-2</v>
      </c>
      <c r="I2340" s="2">
        <f t="shared" ca="1" si="2239"/>
        <v>4.4156638384579616E-2</v>
      </c>
      <c r="J2340" s="2">
        <f t="shared" ca="1" si="2240"/>
        <v>1.4781845961220185E-3</v>
      </c>
      <c r="K2340" s="2">
        <f t="shared" ca="1" si="2241"/>
        <v>1.4781845961220185E-3</v>
      </c>
      <c r="L2340" s="2">
        <f t="shared" ca="1" si="2242"/>
        <v>0.76501976058686827</v>
      </c>
      <c r="M2340" s="2">
        <f t="shared" ca="1" si="2243"/>
        <v>1.4450867140820367E-2</v>
      </c>
      <c r="N2340" s="2">
        <f t="shared" ca="1" si="2244"/>
        <v>1.4450867140820367E-2</v>
      </c>
      <c r="O2340" s="2">
        <f t="shared" si="2245"/>
        <v>6000000</v>
      </c>
      <c r="P2340" s="2">
        <f t="shared" ca="1" si="2246"/>
        <v>38554411.244006038</v>
      </c>
      <c r="Q2340" s="2">
        <f t="shared" ca="1" si="2247"/>
        <v>963860.28110015101</v>
      </c>
      <c r="R2340" s="2">
        <f t="shared" ca="1" si="2248"/>
        <v>23132646.746403623</v>
      </c>
      <c r="S2340" s="2">
        <f t="shared" ca="1" si="2249"/>
        <v>15421764.497602416</v>
      </c>
      <c r="T2340" s="2">
        <f t="shared" ca="1" si="2250"/>
        <v>50722543.357041016</v>
      </c>
      <c r="U2340" s="2">
        <f t="shared" ca="1" si="2251"/>
        <v>53362200.831532508</v>
      </c>
      <c r="V2340" s="2">
        <f t="shared" ca="1" si="2252"/>
        <v>56139229.011857733</v>
      </c>
      <c r="W2340" s="2">
        <f t="shared" ca="1" si="2253"/>
        <v>59060776.822073549</v>
      </c>
      <c r="X2340" s="2">
        <f t="shared" ca="1" si="2254"/>
        <v>62134365.224182315</v>
      </c>
      <c r="Y2340" s="2">
        <f t="shared" ca="1" si="2255"/>
        <v>0.120739092298061</v>
      </c>
      <c r="Z2340" s="2">
        <f t="shared" ca="1" si="2256"/>
        <v>0.12103472921728541</v>
      </c>
      <c r="AA2340" s="2">
        <f t="shared" ca="1" si="2257"/>
        <v>6124193.8439781759</v>
      </c>
      <c r="AB2340" s="2">
        <f t="shared" ca="1" si="2258"/>
        <v>6458679.5280829389</v>
      </c>
      <c r="AC2340" s="2">
        <f t="shared" ca="1" si="2259"/>
        <v>6794796.3819173733</v>
      </c>
      <c r="AD2340" s="2">
        <f t="shared" ca="1" si="2260"/>
        <v>7148405.130022198</v>
      </c>
      <c r="AE2340" s="2">
        <f t="shared" ca="1" si="2261"/>
        <v>7520416.0699968217</v>
      </c>
      <c r="AF2340" s="2">
        <f t="shared" ca="1" si="2262"/>
        <v>1014450.8671408204</v>
      </c>
      <c r="AG2340" s="2">
        <f t="shared" ca="1" si="2263"/>
        <v>1067244.0166306503</v>
      </c>
      <c r="AH2340" s="2">
        <f t="shared" ca="1" si="2264"/>
        <v>1122784.5802371546</v>
      </c>
      <c r="AI2340" s="2">
        <f t="shared" ca="1" si="2265"/>
        <v>1181215.536441471</v>
      </c>
      <c r="AJ2340" s="2">
        <f t="shared" ca="1" si="2266"/>
        <v>1242687.3044836463</v>
      </c>
      <c r="AK2340" s="2">
        <f t="shared" ca="1" si="2267"/>
        <v>0</v>
      </c>
      <c r="AL2340" s="2">
        <f t="shared" ca="1" si="2268"/>
        <v>26396.57474491492</v>
      </c>
      <c r="AM2340" s="2">
        <f t="shared" ca="1" si="2269"/>
        <v>27770.281803252252</v>
      </c>
      <c r="AN2340" s="2">
        <f t="shared" ca="1" si="2270"/>
        <v>29215.478102158158</v>
      </c>
      <c r="AO2340" s="2">
        <f t="shared" ca="1" si="2271"/>
        <v>30735.884021087662</v>
      </c>
      <c r="AP2340" s="2">
        <f t="shared" ca="1" si="2272"/>
        <v>2081938.2071763261</v>
      </c>
      <c r="AQ2340" s="2">
        <f t="shared" ca="1" si="2273"/>
        <v>787229.24011186778</v>
      </c>
      <c r="AR2340" s="2">
        <f t="shared" ca="1" si="2274"/>
        <v>860469.29911175033</v>
      </c>
      <c r="AS2340" s="2">
        <f t="shared" ca="1" si="2275"/>
        <v>933419.13457101211</v>
      </c>
      <c r="AT2340" s="2">
        <f t="shared" ca="1" si="2276"/>
        <v>1010165.3604651442</v>
      </c>
      <c r="AU2340" s="2">
        <f t="shared" ca="1" si="2277"/>
        <v>1090905.5451675809</v>
      </c>
      <c r="AV2340" s="2">
        <f t="shared" ca="1" si="2278"/>
        <v>2240575.5295491619</v>
      </c>
      <c r="AW2340" s="2">
        <f t="shared" ca="1" si="2279"/>
        <v>2422631.4304192979</v>
      </c>
      <c r="AX2340" s="2">
        <f t="shared" ca="1" si="2280"/>
        <v>2628884.1781296283</v>
      </c>
      <c r="AY2340" s="2">
        <f t="shared" ca="1" si="2281"/>
        <v>2845870.5478370991</v>
      </c>
      <c r="AZ2340" s="2">
        <f t="shared" ca="1" si="2282"/>
        <v>3074149.1291481806</v>
      </c>
      <c r="BA2340" s="2">
        <f t="shared" ca="1" si="2283"/>
        <v>61203321.859866075</v>
      </c>
      <c r="BB2340" s="2">
        <f t="shared" ca="1" si="2284"/>
        <v>1224066.4371973216</v>
      </c>
      <c r="BC2340" s="2">
        <f t="shared" ca="1" si="2285"/>
        <v>36846608.676265128</v>
      </c>
      <c r="BD2340" s="2">
        <f t="shared" ca="1" si="2286"/>
        <v>-16885624.778702565</v>
      </c>
      <c r="BE2340" s="2">
        <f t="shared" ca="1" si="2287"/>
        <v>2240575.5295491619</v>
      </c>
      <c r="BF2340" s="2">
        <f t="shared" ca="1" si="2288"/>
        <v>2422631.4304192979</v>
      </c>
      <c r="BG2340" s="2">
        <f t="shared" ca="1" si="2289"/>
        <v>2628884.1781296283</v>
      </c>
      <c r="BH2340" s="2">
        <f t="shared" ca="1" si="2290"/>
        <v>2845870.5478370991</v>
      </c>
      <c r="BI2340" s="2">
        <f t="shared" ca="1" si="2291"/>
        <v>39920757.805413306</v>
      </c>
      <c r="BJ2340" s="2">
        <f t="shared" ca="1" si="2292"/>
        <v>0.2850389191383178</v>
      </c>
      <c r="BK2340" s="2">
        <f t="shared" ca="1" si="2293"/>
        <v>13378096.12402086</v>
      </c>
    </row>
    <row r="2341" spans="1:63" x14ac:dyDescent="0.3">
      <c r="A2341" s="2">
        <v>2340</v>
      </c>
      <c r="B2341" s="2">
        <f t="shared" ca="1" si="2232"/>
        <v>0.86291874839764005</v>
      </c>
      <c r="C2341" s="2">
        <f t="shared" ca="1" si="2233"/>
        <v>7.4763947066685441</v>
      </c>
      <c r="D2341" s="2">
        <f t="shared" ca="1" si="2234"/>
        <v>0.41632893662176151</v>
      </c>
      <c r="E2341" s="2">
        <f t="shared" ca="1" si="2235"/>
        <v>7.4125008894480722</v>
      </c>
      <c r="F2341" s="2">
        <f t="shared" ca="1" si="2236"/>
        <v>0.57876276222090084</v>
      </c>
      <c r="G2341" s="2">
        <f t="shared" ca="1" si="2237"/>
        <v>4.5961880054256402E-2</v>
      </c>
      <c r="H2341" s="2">
        <f t="shared" ca="1" si="2238"/>
        <v>4.5961880054256402E-2</v>
      </c>
      <c r="I2341" s="2">
        <f t="shared" ca="1" si="2239"/>
        <v>0.55049245778261491</v>
      </c>
      <c r="J2341" s="2">
        <f t="shared" ca="1" si="2240"/>
        <v>1.0634528188805573E-2</v>
      </c>
      <c r="K2341" s="2">
        <f t="shared" ca="1" si="2241"/>
        <v>1.0634528188805573E-2</v>
      </c>
      <c r="L2341" s="2">
        <f t="shared" ca="1" si="2242"/>
        <v>0.96122537607563363</v>
      </c>
      <c r="M2341" s="2">
        <f t="shared" ca="1" si="2243"/>
        <v>3.5301727779405045E-2</v>
      </c>
      <c r="N2341" s="2">
        <f t="shared" ca="1" si="2244"/>
        <v>3.5301727779405045E-2</v>
      </c>
      <c r="O2341" s="2">
        <f t="shared" si="2245"/>
        <v>6000000</v>
      </c>
      <c r="P2341" s="2">
        <f t="shared" ca="1" si="2246"/>
        <v>44858368.240011267</v>
      </c>
      <c r="Q2341" s="2">
        <f t="shared" ca="1" si="2247"/>
        <v>1121459.2060002817</v>
      </c>
      <c r="R2341" s="2">
        <f t="shared" ca="1" si="2248"/>
        <v>26915020.94400676</v>
      </c>
      <c r="S2341" s="2">
        <f t="shared" ca="1" si="2249"/>
        <v>17943347.296004508</v>
      </c>
      <c r="T2341" s="2">
        <f t="shared" ca="1" si="2250"/>
        <v>51765086.388970248</v>
      </c>
      <c r="U2341" s="2">
        <f t="shared" ca="1" si="2251"/>
        <v>54144307.080578327</v>
      </c>
      <c r="V2341" s="2">
        <f t="shared" ca="1" si="2252"/>
        <v>56632881.228236698</v>
      </c>
      <c r="W2341" s="2">
        <f t="shared" ca="1" si="2253"/>
        <v>59235834.922375865</v>
      </c>
      <c r="X2341" s="2">
        <f t="shared" ca="1" si="2254"/>
        <v>61958425.261991844</v>
      </c>
      <c r="Y2341" s="2">
        <f t="shared" ca="1" si="2255"/>
        <v>0.12531726409440277</v>
      </c>
      <c r="Z2341" s="2">
        <f t="shared" ca="1" si="2256"/>
        <v>0.12744416973216391</v>
      </c>
      <c r="AA2341" s="2">
        <f t="shared" ca="1" si="2257"/>
        <v>6487059.0018761596</v>
      </c>
      <c r="AB2341" s="2">
        <f t="shared" ca="1" si="2258"/>
        <v>6900376.2616076283</v>
      </c>
      <c r="AC2341" s="2">
        <f t="shared" ca="1" si="2259"/>
        <v>7217530.5276728766</v>
      </c>
      <c r="AD2341" s="2">
        <f t="shared" ca="1" si="2260"/>
        <v>7549261.8000737121</v>
      </c>
      <c r="AE2341" s="2">
        <f t="shared" ca="1" si="2261"/>
        <v>7896240.0654268805</v>
      </c>
      <c r="AF2341" s="2">
        <f t="shared" ca="1" si="2262"/>
        <v>1035301.727779405</v>
      </c>
      <c r="AG2341" s="2">
        <f t="shared" ca="1" si="2263"/>
        <v>1082886.1416115665</v>
      </c>
      <c r="AH2341" s="2">
        <f t="shared" ca="1" si="2264"/>
        <v>1132657.6245647341</v>
      </c>
      <c r="AI2341" s="2">
        <f t="shared" ca="1" si="2265"/>
        <v>1184716.6984475174</v>
      </c>
      <c r="AJ2341" s="2">
        <f t="shared" ca="1" si="2266"/>
        <v>1239168.5052398369</v>
      </c>
      <c r="AK2341" s="2">
        <f t="shared" ca="1" si="2267"/>
        <v>0</v>
      </c>
      <c r="AL2341" s="2">
        <f t="shared" ca="1" si="2268"/>
        <v>23792.206916080788</v>
      </c>
      <c r="AM2341" s="2">
        <f t="shared" ca="1" si="2269"/>
        <v>24885.741476583706</v>
      </c>
      <c r="AN2341" s="2">
        <f t="shared" ca="1" si="2270"/>
        <v>26029.536941391678</v>
      </c>
      <c r="AO2341" s="2">
        <f t="shared" ca="1" si="2271"/>
        <v>27225.903396159785</v>
      </c>
      <c r="AP2341" s="2">
        <f t="shared" ca="1" si="2272"/>
        <v>2422351.8849606081</v>
      </c>
      <c r="AQ2341" s="2">
        <f t="shared" ca="1" si="2273"/>
        <v>787645.40117539803</v>
      </c>
      <c r="AR2341" s="2">
        <f t="shared" ca="1" si="2274"/>
        <v>882735.94110921794</v>
      </c>
      <c r="AS2341" s="2">
        <f t="shared" ca="1" si="2275"/>
        <v>952255.46471835894</v>
      </c>
      <c r="AT2341" s="2">
        <f t="shared" ca="1" si="2276"/>
        <v>1024970.2363330526</v>
      </c>
      <c r="AU2341" s="2">
        <f t="shared" ca="1" si="2277"/>
        <v>1101027.1155588732</v>
      </c>
      <c r="AV2341" s="2">
        <f t="shared" ca="1" si="2278"/>
        <v>2241759.9879607479</v>
      </c>
      <c r="AW2341" s="2">
        <f t="shared" ca="1" si="2279"/>
        <v>2488610.087010155</v>
      </c>
      <c r="AX2341" s="2">
        <f t="shared" ca="1" si="2280"/>
        <v>2685379.8119525923</v>
      </c>
      <c r="AY2341" s="2">
        <f t="shared" ca="1" si="2281"/>
        <v>2891193.4433911429</v>
      </c>
      <c r="AZ2341" s="2">
        <f t="shared" ca="1" si="2282"/>
        <v>3106466.6562714032</v>
      </c>
      <c r="BA2341" s="2">
        <f t="shared" ca="1" si="2283"/>
        <v>58530886.508272253</v>
      </c>
      <c r="BB2341" s="2">
        <f t="shared" ca="1" si="2284"/>
        <v>1170617.730165445</v>
      </c>
      <c r="BC2341" s="2">
        <f t="shared" ca="1" si="2285"/>
        <v>30445247.834100049</v>
      </c>
      <c r="BD2341" s="2">
        <f t="shared" ca="1" si="2286"/>
        <v>-19564806.502004791</v>
      </c>
      <c r="BE2341" s="2">
        <f t="shared" ca="1" si="2287"/>
        <v>2241759.9879607479</v>
      </c>
      <c r="BF2341" s="2">
        <f t="shared" ca="1" si="2288"/>
        <v>2488610.087010155</v>
      </c>
      <c r="BG2341" s="2">
        <f t="shared" ca="1" si="2289"/>
        <v>2685379.8119525923</v>
      </c>
      <c r="BH2341" s="2">
        <f t="shared" ca="1" si="2290"/>
        <v>2891193.4433911429</v>
      </c>
      <c r="BI2341" s="2">
        <f t="shared" ca="1" si="2291"/>
        <v>33551714.490371451</v>
      </c>
      <c r="BJ2341" s="2">
        <f t="shared" ca="1" si="2292"/>
        <v>0.20681011160555096</v>
      </c>
      <c r="BK2341" s="2">
        <f t="shared" ca="1" si="2293"/>
        <v>7207619.5074984804</v>
      </c>
    </row>
    <row r="2342" spans="1:63" x14ac:dyDescent="0.3">
      <c r="A2342" s="2">
        <v>2341</v>
      </c>
      <c r="B2342" s="2">
        <f t="shared" ca="1" si="2232"/>
        <v>0.84797876319214405</v>
      </c>
      <c r="C2342" s="2">
        <f t="shared" ca="1" si="2233"/>
        <v>7.4485995342623372</v>
      </c>
      <c r="D2342" s="2">
        <f t="shared" ca="1" si="2234"/>
        <v>0.26671007405413694</v>
      </c>
      <c r="E2342" s="2">
        <f t="shared" ca="1" si="2235"/>
        <v>7.2303561789348221</v>
      </c>
      <c r="F2342" s="2">
        <f t="shared" ca="1" si="2236"/>
        <v>0.7927104798310276</v>
      </c>
      <c r="G2342" s="2">
        <f t="shared" ca="1" si="2237"/>
        <v>6.4475861451928129E-2</v>
      </c>
      <c r="H2342" s="2">
        <f t="shared" ca="1" si="2238"/>
        <v>6.4475861451928129E-2</v>
      </c>
      <c r="I2342" s="2">
        <f t="shared" ca="1" si="2239"/>
        <v>0.40656548799963099</v>
      </c>
      <c r="J2342" s="2">
        <f t="shared" ca="1" si="2240"/>
        <v>8.8180559338552535E-3</v>
      </c>
      <c r="K2342" s="2">
        <f t="shared" ca="1" si="2241"/>
        <v>8.8180559338552535E-3</v>
      </c>
      <c r="L2342" s="2">
        <f t="shared" ca="1" si="2242"/>
        <v>4.8961493231019282E-2</v>
      </c>
      <c r="M2342" s="2">
        <f t="shared" ca="1" si="2243"/>
        <v>-3.3100149024229787E-2</v>
      </c>
      <c r="N2342" s="2">
        <f t="shared" ca="1" si="2244"/>
        <v>-3.3100149024229787E-2</v>
      </c>
      <c r="O2342" s="2">
        <f t="shared" si="2245"/>
        <v>6000000</v>
      </c>
      <c r="P2342" s="2">
        <f t="shared" ca="1" si="2246"/>
        <v>44691597.205574021</v>
      </c>
      <c r="Q2342" s="2">
        <f t="shared" ca="1" si="2247"/>
        <v>1117289.9301393505</v>
      </c>
      <c r="R2342" s="2">
        <f t="shared" ca="1" si="2248"/>
        <v>26814958.323344413</v>
      </c>
      <c r="S2342" s="2">
        <f t="shared" ca="1" si="2249"/>
        <v>17876638.882229608</v>
      </c>
      <c r="T2342" s="2">
        <f t="shared" ca="1" si="2250"/>
        <v>48344992.54878851</v>
      </c>
      <c r="U2342" s="2">
        <f t="shared" ca="1" si="2251"/>
        <v>51462077.590258695</v>
      </c>
      <c r="V2342" s="2">
        <f t="shared" ca="1" si="2252"/>
        <v>54780139.374996588</v>
      </c>
      <c r="W2342" s="2">
        <f t="shared" ca="1" si="2253"/>
        <v>58312136.051656179</v>
      </c>
      <c r="X2342" s="2">
        <f t="shared" ca="1" si="2254"/>
        <v>62071861.256688744</v>
      </c>
      <c r="Y2342" s="2">
        <f t="shared" ca="1" si="2255"/>
        <v>0.12440902796692763</v>
      </c>
      <c r="Z2342" s="2">
        <f t="shared" ca="1" si="2256"/>
        <v>0.12617263915369867</v>
      </c>
      <c r="AA2342" s="2">
        <f t="shared" ca="1" si="2257"/>
        <v>6014553.5300631374</v>
      </c>
      <c r="AB2342" s="2">
        <f t="shared" ca="1" si="2258"/>
        <v>6493106.1458953526</v>
      </c>
      <c r="AC2342" s="2">
        <f t="shared" ca="1" si="2259"/>
        <v>6911754.7581507647</v>
      </c>
      <c r="AD2342" s="2">
        <f t="shared" ca="1" si="2260"/>
        <v>7357396.1003269982</v>
      </c>
      <c r="AE2342" s="2">
        <f t="shared" ca="1" si="2261"/>
        <v>7831770.5519386372</v>
      </c>
      <c r="AF2342" s="2">
        <f t="shared" ca="1" si="2262"/>
        <v>966899.85097577027</v>
      </c>
      <c r="AG2342" s="2">
        <f t="shared" ca="1" si="2263"/>
        <v>1029241.551805174</v>
      </c>
      <c r="AH2342" s="2">
        <f t="shared" ca="1" si="2264"/>
        <v>1095602.7874999319</v>
      </c>
      <c r="AI2342" s="2">
        <f t="shared" ca="1" si="2265"/>
        <v>1166242.7210331236</v>
      </c>
      <c r="AJ2342" s="2">
        <f t="shared" ca="1" si="2266"/>
        <v>1241437.2251337748</v>
      </c>
      <c r="AK2342" s="2">
        <f t="shared" ca="1" si="2267"/>
        <v>0</v>
      </c>
      <c r="AL2342" s="2">
        <f t="shared" ca="1" si="2268"/>
        <v>31170.85041470185</v>
      </c>
      <c r="AM2342" s="2">
        <f t="shared" ca="1" si="2269"/>
        <v>33180.617847378926</v>
      </c>
      <c r="AN2342" s="2">
        <f t="shared" ca="1" si="2270"/>
        <v>35319.966766595913</v>
      </c>
      <c r="AO2342" s="2">
        <f t="shared" ca="1" si="2271"/>
        <v>37597.252050325646</v>
      </c>
      <c r="AP2342" s="2">
        <f t="shared" ca="1" si="2272"/>
        <v>2413346.2491009971</v>
      </c>
      <c r="AQ2342" s="2">
        <f t="shared" ca="1" si="2273"/>
        <v>684919.93179645622</v>
      </c>
      <c r="AR2342" s="2">
        <f t="shared" ca="1" si="2274"/>
        <v>793134.76969718724</v>
      </c>
      <c r="AS2342" s="2">
        <f t="shared" ca="1" si="2275"/>
        <v>884729.48760295741</v>
      </c>
      <c r="AT2342" s="2">
        <f t="shared" ca="1" si="2276"/>
        <v>982229.85385014827</v>
      </c>
      <c r="AU2342" s="2">
        <f t="shared" ca="1" si="2277"/>
        <v>1086016.6402030049</v>
      </c>
      <c r="AV2342" s="2">
        <f t="shared" ca="1" si="2278"/>
        <v>1949387.498189914</v>
      </c>
      <c r="AW2342" s="2">
        <f t="shared" ca="1" si="2279"/>
        <v>2226212.7248772923</v>
      </c>
      <c r="AX2342" s="2">
        <f t="shared" ca="1" si="2280"/>
        <v>2484895.6160994992</v>
      </c>
      <c r="AY2342" s="2">
        <f t="shared" ca="1" si="2281"/>
        <v>2760257.3095761333</v>
      </c>
      <c r="AZ2342" s="2">
        <f t="shared" ca="1" si="2282"/>
        <v>3053373.1854505353</v>
      </c>
      <c r="BA2342" s="2">
        <f t="shared" ca="1" si="2283"/>
        <v>56626490.602209307</v>
      </c>
      <c r="BB2342" s="2">
        <f t="shared" ca="1" si="2284"/>
        <v>1132529.8120441863</v>
      </c>
      <c r="BC2342" s="2">
        <f t="shared" ca="1" si="2285"/>
        <v>28679002.466820709</v>
      </c>
      <c r="BD2342" s="2">
        <f t="shared" ca="1" si="2286"/>
        <v>-19493928.812368959</v>
      </c>
      <c r="BE2342" s="2">
        <f t="shared" ca="1" si="2287"/>
        <v>1949387.498189914</v>
      </c>
      <c r="BF2342" s="2">
        <f t="shared" ca="1" si="2288"/>
        <v>2226212.7248772923</v>
      </c>
      <c r="BG2342" s="2">
        <f t="shared" ca="1" si="2289"/>
        <v>2484895.6160994992</v>
      </c>
      <c r="BH2342" s="2">
        <f t="shared" ca="1" si="2290"/>
        <v>2760257.3095761333</v>
      </c>
      <c r="BI2342" s="2">
        <f t="shared" ca="1" si="2291"/>
        <v>31732375.652271245</v>
      </c>
      <c r="BJ2342" s="2">
        <f t="shared" ca="1" si="2292"/>
        <v>0.18802706351220477</v>
      </c>
      <c r="BK2342" s="2">
        <f t="shared" ca="1" si="2293"/>
        <v>5550014.0735368505</v>
      </c>
    </row>
    <row r="2343" spans="1:63" x14ac:dyDescent="0.3">
      <c r="A2343" s="2">
        <v>2342</v>
      </c>
      <c r="B2343" s="2">
        <f t="shared" ca="1" si="2232"/>
        <v>0.56630391659087809</v>
      </c>
      <c r="C2343" s="2">
        <f t="shared" ca="1" si="2233"/>
        <v>7.0686610891741699</v>
      </c>
      <c r="D2343" s="2">
        <f t="shared" ca="1" si="2234"/>
        <v>0.95427967088383259</v>
      </c>
      <c r="E2343" s="2">
        <f t="shared" ca="1" si="2235"/>
        <v>8.1976084355800669</v>
      </c>
      <c r="F2343" s="2">
        <f t="shared" ca="1" si="2236"/>
        <v>0.54527829787916771</v>
      </c>
      <c r="G2343" s="2">
        <f t="shared" ca="1" si="2237"/>
        <v>4.3412218868772785E-2</v>
      </c>
      <c r="H2343" s="2">
        <f t="shared" ca="1" si="2238"/>
        <v>4.3412218868772785E-2</v>
      </c>
      <c r="I2343" s="2">
        <f t="shared" ca="1" si="2239"/>
        <v>0.33236751499222483</v>
      </c>
      <c r="J2343" s="2">
        <f t="shared" ca="1" si="2240"/>
        <v>7.8330745457499337E-3</v>
      </c>
      <c r="K2343" s="2">
        <f t="shared" ca="1" si="2241"/>
        <v>7.8330745457499337E-3</v>
      </c>
      <c r="L2343" s="2">
        <f t="shared" ca="1" si="2242"/>
        <v>0.1686385403223245</v>
      </c>
      <c r="M2343" s="2">
        <f t="shared" ca="1" si="2243"/>
        <v>-1.9191185226586298E-2</v>
      </c>
      <c r="N2343" s="2">
        <f t="shared" ca="1" si="2244"/>
        <v>-1.9191185226586298E-2</v>
      </c>
      <c r="O2343" s="2">
        <f t="shared" si="2245"/>
        <v>6000000</v>
      </c>
      <c r="P2343" s="2">
        <f t="shared" ca="1" si="2246"/>
        <v>42411966.53504502</v>
      </c>
      <c r="Q2343" s="2">
        <f t="shared" ca="1" si="2247"/>
        <v>1060299.1633761255</v>
      </c>
      <c r="R2343" s="2">
        <f t="shared" ca="1" si="2248"/>
        <v>25447179.921027012</v>
      </c>
      <c r="S2343" s="2">
        <f t="shared" ca="1" si="2249"/>
        <v>16964786.614018008</v>
      </c>
      <c r="T2343" s="2">
        <f t="shared" ca="1" si="2250"/>
        <v>49040440.738670684</v>
      </c>
      <c r="U2343" s="2">
        <f t="shared" ca="1" si="2251"/>
        <v>51169395.085438944</v>
      </c>
      <c r="V2343" s="2">
        <f t="shared" ca="1" si="2252"/>
        <v>53390772.064270735</v>
      </c>
      <c r="W2343" s="2">
        <f t="shared" ca="1" si="2253"/>
        <v>55708583.946697623</v>
      </c>
      <c r="X2343" s="2">
        <f t="shared" ca="1" si="2254"/>
        <v>58127017.185861066</v>
      </c>
      <c r="Y2343" s="2">
        <f t="shared" ca="1" si="2255"/>
        <v>0.12391653727287497</v>
      </c>
      <c r="Z2343" s="2">
        <f t="shared" ca="1" si="2256"/>
        <v>0.12548315218202494</v>
      </c>
      <c r="AA2343" s="2">
        <f t="shared" ca="1" si="2257"/>
        <v>6076921.6026717015</v>
      </c>
      <c r="AB2343" s="2">
        <f t="shared" ca="1" si="2258"/>
        <v>6420896.9905682942</v>
      </c>
      <c r="AC2343" s="2">
        <f t="shared" ca="1" si="2259"/>
        <v>6699642.3760566907</v>
      </c>
      <c r="AD2343" s="2">
        <f t="shared" ca="1" si="2260"/>
        <v>6990488.7172285691</v>
      </c>
      <c r="AE2343" s="2">
        <f t="shared" ca="1" si="2261"/>
        <v>7293961.3434205828</v>
      </c>
      <c r="AF2343" s="2">
        <f t="shared" ca="1" si="2262"/>
        <v>980808.8147734137</v>
      </c>
      <c r="AG2343" s="2">
        <f t="shared" ca="1" si="2263"/>
        <v>1023387.9017087789</v>
      </c>
      <c r="AH2343" s="2">
        <f t="shared" ca="1" si="2264"/>
        <v>1067815.4412854146</v>
      </c>
      <c r="AI2343" s="2">
        <f t="shared" ca="1" si="2265"/>
        <v>1114171.6789339525</v>
      </c>
      <c r="AJ2343" s="2">
        <f t="shared" ca="1" si="2266"/>
        <v>1162540.3437172214</v>
      </c>
      <c r="AK2343" s="2">
        <f t="shared" ca="1" si="2267"/>
        <v>0</v>
      </c>
      <c r="AL2343" s="2">
        <f t="shared" ca="1" si="2268"/>
        <v>21289.543467682601</v>
      </c>
      <c r="AM2343" s="2">
        <f t="shared" ca="1" si="2269"/>
        <v>22213.769788317903</v>
      </c>
      <c r="AN2343" s="2">
        <f t="shared" ca="1" si="2270"/>
        <v>23178.118824268877</v>
      </c>
      <c r="AO2343" s="2">
        <f t="shared" ca="1" si="2271"/>
        <v>24184.332391634434</v>
      </c>
      <c r="AP2343" s="2">
        <f t="shared" ca="1" si="2272"/>
        <v>2290246.1928924308</v>
      </c>
      <c r="AQ2343" s="2">
        <f t="shared" ca="1" si="2273"/>
        <v>729525.31470152293</v>
      </c>
      <c r="AR2343" s="2">
        <f t="shared" ca="1" si="2274"/>
        <v>807888.35295144201</v>
      </c>
      <c r="AS2343" s="2">
        <f t="shared" ca="1" si="2275"/>
        <v>868810.99288849975</v>
      </c>
      <c r="AT2343" s="2">
        <f t="shared" ca="1" si="2276"/>
        <v>932378.41980456852</v>
      </c>
      <c r="AU2343" s="2">
        <f t="shared" ca="1" si="2277"/>
        <v>998705.4497708421</v>
      </c>
      <c r="AV2343" s="2">
        <f t="shared" ca="1" si="2278"/>
        <v>2076341.2803043346</v>
      </c>
      <c r="AW2343" s="2">
        <f t="shared" ca="1" si="2279"/>
        <v>2278084.9995479598</v>
      </c>
      <c r="AX2343" s="2">
        <f t="shared" ca="1" si="2280"/>
        <v>2450555.979202027</v>
      </c>
      <c r="AY2343" s="2">
        <f t="shared" ca="1" si="2281"/>
        <v>2630514.3067733492</v>
      </c>
      <c r="AZ2343" s="2">
        <f t="shared" ca="1" si="2282"/>
        <v>2818285.0246484545</v>
      </c>
      <c r="BA2343" s="2">
        <f t="shared" ca="1" si="2283"/>
        <v>59793039.037619486</v>
      </c>
      <c r="BB2343" s="2">
        <f t="shared" ca="1" si="2284"/>
        <v>1195860.7807523897</v>
      </c>
      <c r="BC2343" s="2">
        <f t="shared" ca="1" si="2285"/>
        <v>33149998.335840084</v>
      </c>
      <c r="BD2343" s="2">
        <f t="shared" ca="1" si="2286"/>
        <v>-18525085.777394135</v>
      </c>
      <c r="BE2343" s="2">
        <f t="shared" ca="1" si="2287"/>
        <v>2076341.2803043346</v>
      </c>
      <c r="BF2343" s="2">
        <f t="shared" ca="1" si="2288"/>
        <v>2278084.9995479598</v>
      </c>
      <c r="BG2343" s="2">
        <f t="shared" ca="1" si="2289"/>
        <v>2450555.979202027</v>
      </c>
      <c r="BH2343" s="2">
        <f t="shared" ca="1" si="2290"/>
        <v>2630514.3067733492</v>
      </c>
      <c r="BI2343" s="2">
        <f t="shared" ca="1" si="2291"/>
        <v>35968283.360488541</v>
      </c>
      <c r="BJ2343" s="2">
        <f t="shared" ca="1" si="2292"/>
        <v>0.22858371060946525</v>
      </c>
      <c r="BK2343" s="2">
        <f t="shared" ca="1" si="2293"/>
        <v>8970232.4523668811</v>
      </c>
    </row>
    <row r="2344" spans="1:63" x14ac:dyDescent="0.3">
      <c r="A2344" s="2">
        <v>2343</v>
      </c>
      <c r="B2344" s="2">
        <f t="shared" ca="1" si="2232"/>
        <v>3.3349433634321524E-2</v>
      </c>
      <c r="C2344" s="2">
        <f t="shared" ca="1" si="2233"/>
        <v>6.2582612384169236</v>
      </c>
      <c r="D2344" s="2">
        <f t="shared" ca="1" si="2234"/>
        <v>0.86267696030179186</v>
      </c>
      <c r="E2344" s="2">
        <f t="shared" ca="1" si="2235"/>
        <v>7.9759331346131335</v>
      </c>
      <c r="F2344" s="2">
        <f t="shared" ca="1" si="2236"/>
        <v>6.8620963602735063E-2</v>
      </c>
      <c r="G2344" s="2">
        <f t="shared" ca="1" si="2237"/>
        <v>-4.5842189143770404E-3</v>
      </c>
      <c r="H2344" s="2">
        <f t="shared" ca="1" si="2238"/>
        <v>-4.5842189143770404E-3</v>
      </c>
      <c r="I2344" s="2">
        <f t="shared" ca="1" si="2239"/>
        <v>0.34637407963136013</v>
      </c>
      <c r="J2344" s="2">
        <f t="shared" ca="1" si="2240"/>
        <v>8.024358195179401E-3</v>
      </c>
      <c r="K2344" s="2">
        <f t="shared" ca="1" si="2241"/>
        <v>8.024358195179401E-3</v>
      </c>
      <c r="L2344" s="2">
        <f t="shared" ca="1" si="2242"/>
        <v>0.75615719747989452</v>
      </c>
      <c r="M2344" s="2">
        <f t="shared" ca="1" si="2243"/>
        <v>1.3879891692622128E-2</v>
      </c>
      <c r="N2344" s="2">
        <f t="shared" ca="1" si="2244"/>
        <v>1.3879891692622128E-2</v>
      </c>
      <c r="O2344" s="2">
        <f t="shared" si="2245"/>
        <v>6000000</v>
      </c>
      <c r="P2344" s="2">
        <f t="shared" ca="1" si="2246"/>
        <v>37549567.430501543</v>
      </c>
      <c r="Q2344" s="2">
        <f t="shared" ca="1" si="2247"/>
        <v>938739.18576253857</v>
      </c>
      <c r="R2344" s="2">
        <f t="shared" ca="1" si="2248"/>
        <v>22529740.458300926</v>
      </c>
      <c r="S2344" s="2">
        <f t="shared" ca="1" si="2249"/>
        <v>15019826.972200617</v>
      </c>
      <c r="T2344" s="2">
        <f t="shared" ca="1" si="2250"/>
        <v>50693994.584631108</v>
      </c>
      <c r="U2344" s="2">
        <f t="shared" ca="1" si="2251"/>
        <v>50461602.215810917</v>
      </c>
      <c r="V2344" s="2">
        <f t="shared" ca="1" si="2252"/>
        <v>50230275.184483431</v>
      </c>
      <c r="W2344" s="2">
        <f t="shared" ca="1" si="2253"/>
        <v>50000008.606908359</v>
      </c>
      <c r="X2344" s="2">
        <f t="shared" ca="1" si="2254"/>
        <v>49770797.621733554</v>
      </c>
      <c r="Y2344" s="2">
        <f t="shared" ca="1" si="2255"/>
        <v>0.1240121790975897</v>
      </c>
      <c r="Z2344" s="2">
        <f t="shared" ca="1" si="2256"/>
        <v>0.12561705073662557</v>
      </c>
      <c r="AA2344" s="2">
        <f t="shared" ca="1" si="2257"/>
        <v>6286672.7356015155</v>
      </c>
      <c r="AB2344" s="2">
        <f t="shared" ca="1" si="2258"/>
        <v>6338837.6457949374</v>
      </c>
      <c r="AC2344" s="2">
        <f t="shared" ca="1" si="2259"/>
        <v>6309779.0263639195</v>
      </c>
      <c r="AD2344" s="2">
        <f t="shared" ca="1" si="2260"/>
        <v>6280853.6180057228</v>
      </c>
      <c r="AE2344" s="2">
        <f t="shared" ca="1" si="2261"/>
        <v>6252060.8100516275</v>
      </c>
      <c r="AF2344" s="2">
        <f t="shared" ca="1" si="2262"/>
        <v>1013879.8916926222</v>
      </c>
      <c r="AG2344" s="2">
        <f t="shared" ca="1" si="2263"/>
        <v>1009232.0443162184</v>
      </c>
      <c r="AH2344" s="2">
        <f t="shared" ca="1" si="2264"/>
        <v>1004605.5036896686</v>
      </c>
      <c r="AI2344" s="2">
        <f t="shared" ca="1" si="2265"/>
        <v>1000000.1721381672</v>
      </c>
      <c r="AJ2344" s="2">
        <f t="shared" ca="1" si="2266"/>
        <v>995415.95243467111</v>
      </c>
      <c r="AK2344" s="2">
        <f t="shared" ca="1" si="2267"/>
        <v>0</v>
      </c>
      <c r="AL2344" s="2">
        <f t="shared" ca="1" si="2268"/>
        <v>0</v>
      </c>
      <c r="AM2344" s="2">
        <f t="shared" ca="1" si="2269"/>
        <v>0</v>
      </c>
      <c r="AN2344" s="2">
        <f t="shared" ca="1" si="2270"/>
        <v>0</v>
      </c>
      <c r="AO2344" s="2">
        <f t="shared" ca="1" si="2271"/>
        <v>0</v>
      </c>
      <c r="AP2344" s="2">
        <f t="shared" ca="1" si="2272"/>
        <v>2027676.6412470832</v>
      </c>
      <c r="AQ2344" s="2">
        <f t="shared" ca="1" si="2273"/>
        <v>843730.21269207052</v>
      </c>
      <c r="AR2344" s="2">
        <f t="shared" ca="1" si="2274"/>
        <v>858501.52966022526</v>
      </c>
      <c r="AS2344" s="2">
        <f t="shared" ca="1" si="2275"/>
        <v>852149.18917106371</v>
      </c>
      <c r="AT2344" s="2">
        <f t="shared" ca="1" si="2276"/>
        <v>845825.96920132264</v>
      </c>
      <c r="AU2344" s="2">
        <f t="shared" ca="1" si="2277"/>
        <v>839531.73625616694</v>
      </c>
      <c r="AV2344" s="2">
        <f t="shared" ca="1" si="2278"/>
        <v>2401385.9899697388</v>
      </c>
      <c r="AW2344" s="2">
        <f t="shared" ca="1" si="2279"/>
        <v>2443427.4305714108</v>
      </c>
      <c r="AX2344" s="2">
        <f t="shared" ca="1" si="2280"/>
        <v>2425347.6922561042</v>
      </c>
      <c r="AY2344" s="2">
        <f t="shared" ca="1" si="2281"/>
        <v>2407350.8354191491</v>
      </c>
      <c r="AZ2344" s="2">
        <f t="shared" ca="1" si="2282"/>
        <v>2389436.4801137056</v>
      </c>
      <c r="BA2344" s="2">
        <f t="shared" ca="1" si="2283"/>
        <v>49866018.974507004</v>
      </c>
      <c r="BB2344" s="2">
        <f t="shared" ca="1" si="2284"/>
        <v>997320.37949014013</v>
      </c>
      <c r="BC2344" s="2">
        <f t="shared" ca="1" si="2285"/>
        <v>26338958.136715937</v>
      </c>
      <c r="BD2344" s="2">
        <f t="shared" ca="1" si="2286"/>
        <v>-16458566.157963157</v>
      </c>
      <c r="BE2344" s="2">
        <f t="shared" ca="1" si="2287"/>
        <v>2401385.9899697388</v>
      </c>
      <c r="BF2344" s="2">
        <f t="shared" ca="1" si="2288"/>
        <v>2443427.4305714108</v>
      </c>
      <c r="BG2344" s="2">
        <f t="shared" ca="1" si="2289"/>
        <v>2425347.6922561042</v>
      </c>
      <c r="BH2344" s="2">
        <f t="shared" ca="1" si="2290"/>
        <v>2407350.8354191491</v>
      </c>
      <c r="BI2344" s="2">
        <f t="shared" ca="1" si="2291"/>
        <v>28728394.616829641</v>
      </c>
      <c r="BJ2344" s="2">
        <f t="shared" ca="1" si="2292"/>
        <v>0.22374631106060994</v>
      </c>
      <c r="BK2344" s="2">
        <f t="shared" ca="1" si="2293"/>
        <v>7190906.0495004952</v>
      </c>
    </row>
    <row r="2345" spans="1:63" x14ac:dyDescent="0.3">
      <c r="A2345" s="2">
        <v>2344</v>
      </c>
      <c r="B2345" s="2">
        <f t="shared" ca="1" si="2232"/>
        <v>0.4466030745086027</v>
      </c>
      <c r="C2345" s="2">
        <f t="shared" ca="1" si="2233"/>
        <v>6.9450958411807795</v>
      </c>
      <c r="D2345" s="2">
        <f t="shared" ca="1" si="2234"/>
        <v>0.95955666057555211</v>
      </c>
      <c r="E2345" s="2">
        <f t="shared" ca="1" si="2235"/>
        <v>8.2155941652340871</v>
      </c>
      <c r="F2345" s="2">
        <f t="shared" ca="1" si="2236"/>
        <v>0.91563986702197708</v>
      </c>
      <c r="G2345" s="2">
        <f t="shared" ca="1" si="2237"/>
        <v>8.1289824678603406E-2</v>
      </c>
      <c r="H2345" s="2">
        <f t="shared" ca="1" si="2238"/>
        <v>8.1289824678603406E-2</v>
      </c>
      <c r="I2345" s="2">
        <f t="shared" ca="1" si="2239"/>
        <v>0.99878750158510243</v>
      </c>
      <c r="J2345" s="2">
        <f t="shared" ca="1" si="2240"/>
        <v>2.5162732807952445E-2</v>
      </c>
      <c r="K2345" s="2">
        <f t="shared" ca="1" si="2241"/>
        <v>2.5162732807952445E-2</v>
      </c>
      <c r="L2345" s="2">
        <f t="shared" ca="1" si="2242"/>
        <v>2.449059292775202E-2</v>
      </c>
      <c r="M2345" s="2">
        <f t="shared" ca="1" si="2243"/>
        <v>-3.9375108046993679E-2</v>
      </c>
      <c r="N2345" s="2">
        <f t="shared" ca="1" si="2244"/>
        <v>-3.9375108046993679E-2</v>
      </c>
      <c r="O2345" s="2">
        <f t="shared" si="2245"/>
        <v>6000000</v>
      </c>
      <c r="P2345" s="2">
        <f t="shared" ca="1" si="2246"/>
        <v>41670575.047084674</v>
      </c>
      <c r="Q2345" s="2">
        <f t="shared" ca="1" si="2247"/>
        <v>1041764.3761771169</v>
      </c>
      <c r="R2345" s="2">
        <f t="shared" ca="1" si="2248"/>
        <v>25002345.028250802</v>
      </c>
      <c r="S2345" s="2">
        <f t="shared" ca="1" si="2249"/>
        <v>16668230.01883387</v>
      </c>
      <c r="T2345" s="2">
        <f t="shared" ca="1" si="2250"/>
        <v>48031244.597650312</v>
      </c>
      <c r="U2345" s="2">
        <f t="shared" ca="1" si="2251"/>
        <v>51935696.050088421</v>
      </c>
      <c r="V2345" s="2">
        <f t="shared" ca="1" si="2252"/>
        <v>56157539.676561341</v>
      </c>
      <c r="W2345" s="2">
        <f t="shared" ca="1" si="2253"/>
        <v>60722576.231250726</v>
      </c>
      <c r="X2345" s="2">
        <f t="shared" ca="1" si="2254"/>
        <v>65658703.807122223</v>
      </c>
      <c r="Y2345" s="2">
        <f t="shared" ca="1" si="2255"/>
        <v>0.13258136640397622</v>
      </c>
      <c r="Z2345" s="2">
        <f t="shared" ca="1" si="2256"/>
        <v>0.13761391296556671</v>
      </c>
      <c r="AA2345" s="2">
        <f t="shared" ca="1" si="2257"/>
        <v>6368048.0388400797</v>
      </c>
      <c r="AB2345" s="2">
        <f t="shared" ca="1" si="2258"/>
        <v>7147074.3560429951</v>
      </c>
      <c r="AC2345" s="2">
        <f t="shared" ca="1" si="2259"/>
        <v>7728058.777410672</v>
      </c>
      <c r="AD2345" s="2">
        <f t="shared" ca="1" si="2260"/>
        <v>8356271.3205323275</v>
      </c>
      <c r="AE2345" s="2">
        <f t="shared" ca="1" si="2261"/>
        <v>9035551.1511452422</v>
      </c>
      <c r="AF2345" s="2">
        <f t="shared" ca="1" si="2262"/>
        <v>960624.89195300627</v>
      </c>
      <c r="AG2345" s="2">
        <f t="shared" ca="1" si="2263"/>
        <v>1038713.9210017684</v>
      </c>
      <c r="AH2345" s="2">
        <f t="shared" ca="1" si="2264"/>
        <v>1123150.7935312269</v>
      </c>
      <c r="AI2345" s="2">
        <f t="shared" ca="1" si="2265"/>
        <v>1214451.5246250145</v>
      </c>
      <c r="AJ2345" s="2">
        <f t="shared" ca="1" si="2266"/>
        <v>1313174.0761424445</v>
      </c>
      <c r="AK2345" s="2">
        <f t="shared" ca="1" si="2267"/>
        <v>0</v>
      </c>
      <c r="AL2345" s="2">
        <f t="shared" ca="1" si="2268"/>
        <v>39044.514524381084</v>
      </c>
      <c r="AM2345" s="2">
        <f t="shared" ca="1" si="2269"/>
        <v>42218.4362647292</v>
      </c>
      <c r="AN2345" s="2">
        <f t="shared" ca="1" si="2270"/>
        <v>45650.365546893852</v>
      </c>
      <c r="AO2345" s="2">
        <f t="shared" ca="1" si="2271"/>
        <v>49361.275758714975</v>
      </c>
      <c r="AP2345" s="2">
        <f t="shared" ca="1" si="2272"/>
        <v>2250211.0525425719</v>
      </c>
      <c r="AQ2345" s="2">
        <f t="shared" ca="1" si="2273"/>
        <v>820875.14452957036</v>
      </c>
      <c r="AR2345" s="2">
        <f t="shared" ca="1" si="2274"/>
        <v>1003118.8394496503</v>
      </c>
      <c r="AS2345" s="2">
        <f t="shared" ca="1" si="2275"/>
        <v>1132221.202147587</v>
      </c>
      <c r="AT2345" s="2">
        <f t="shared" ca="1" si="2276"/>
        <v>1271818.2732748326</v>
      </c>
      <c r="AU2345" s="2">
        <f t="shared" ca="1" si="2277"/>
        <v>1422763.1658396588</v>
      </c>
      <c r="AV2345" s="2">
        <f t="shared" ca="1" si="2278"/>
        <v>2336336.9498149315</v>
      </c>
      <c r="AW2345" s="2">
        <f t="shared" ca="1" si="2279"/>
        <v>2815986.0285246233</v>
      </c>
      <c r="AX2345" s="2">
        <f t="shared" ca="1" si="2280"/>
        <v>3180257.2929245569</v>
      </c>
      <c r="AY2345" s="2">
        <f t="shared" ca="1" si="2281"/>
        <v>3574140.1045430144</v>
      </c>
      <c r="AZ2345" s="2">
        <f t="shared" ca="1" si="2282"/>
        <v>4000041.5808618516</v>
      </c>
      <c r="BA2345" s="2">
        <f t="shared" ca="1" si="2283"/>
        <v>74232421.317022994</v>
      </c>
      <c r="BB2345" s="2">
        <f t="shared" ca="1" si="2284"/>
        <v>1484648.4263404598</v>
      </c>
      <c r="BC2345" s="2">
        <f t="shared" ca="1" si="2285"/>
        <v>47745427.862431735</v>
      </c>
      <c r="BD2345" s="2">
        <f t="shared" ca="1" si="2286"/>
        <v>-18209994.395010985</v>
      </c>
      <c r="BE2345" s="2">
        <f t="shared" ca="1" si="2287"/>
        <v>2336336.9498149315</v>
      </c>
      <c r="BF2345" s="2">
        <f t="shared" ca="1" si="2288"/>
        <v>2815986.0285246233</v>
      </c>
      <c r="BG2345" s="2">
        <f t="shared" ca="1" si="2289"/>
        <v>3180257.2929245569</v>
      </c>
      <c r="BH2345" s="2">
        <f t="shared" ca="1" si="2290"/>
        <v>3574140.1045430144</v>
      </c>
      <c r="BI2345" s="2">
        <f t="shared" ca="1" si="2291"/>
        <v>51745469.443293586</v>
      </c>
      <c r="BJ2345" s="2">
        <f t="shared" ca="1" si="2292"/>
        <v>0.33117475242007099</v>
      </c>
      <c r="BK2345" s="2">
        <f t="shared" ca="1" si="2293"/>
        <v>20017751.559109382</v>
      </c>
    </row>
    <row r="2346" spans="1:63" x14ac:dyDescent="0.3">
      <c r="A2346" s="2">
        <v>2345</v>
      </c>
      <c r="B2346" s="2">
        <f t="shared" ca="1" si="2232"/>
        <v>0.15552672887810104</v>
      </c>
      <c r="C2346" s="2">
        <f t="shared" ca="1" si="2233"/>
        <v>6.5577216669237464</v>
      </c>
      <c r="D2346" s="2">
        <f t="shared" ca="1" si="2234"/>
        <v>0.44886633456835701</v>
      </c>
      <c r="E2346" s="2">
        <f t="shared" ca="1" si="2235"/>
        <v>7.4474875561909579</v>
      </c>
      <c r="F2346" s="2">
        <f t="shared" ca="1" si="2236"/>
        <v>0.69049932226059019</v>
      </c>
      <c r="G2346" s="2">
        <f t="shared" ca="1" si="2237"/>
        <v>5.4917985496316948E-2</v>
      </c>
      <c r="H2346" s="2">
        <f t="shared" ca="1" si="2238"/>
        <v>5.4917985496316948E-2</v>
      </c>
      <c r="I2346" s="2">
        <f t="shared" ca="1" si="2239"/>
        <v>0.50138867429434697</v>
      </c>
      <c r="J2346" s="2">
        <f t="shared" ca="1" si="2240"/>
        <v>1.0017404486399586E-2</v>
      </c>
      <c r="K2346" s="2">
        <f t="shared" ca="1" si="2241"/>
        <v>1.0017404486399586E-2</v>
      </c>
      <c r="L2346" s="2">
        <f t="shared" ca="1" si="2242"/>
        <v>0.3867307994229563</v>
      </c>
      <c r="M2346" s="2">
        <f t="shared" ca="1" si="2243"/>
        <v>-5.7569990338223664E-3</v>
      </c>
      <c r="N2346" s="2">
        <f t="shared" ca="1" si="2244"/>
        <v>-5.7569990338223664E-3</v>
      </c>
      <c r="O2346" s="2">
        <f t="shared" si="2245"/>
        <v>6000000</v>
      </c>
      <c r="P2346" s="2">
        <f t="shared" ca="1" si="2246"/>
        <v>39346330.001542479</v>
      </c>
      <c r="Q2346" s="2">
        <f t="shared" ca="1" si="2247"/>
        <v>983658.25003856199</v>
      </c>
      <c r="R2346" s="2">
        <f t="shared" ca="1" si="2248"/>
        <v>23607798.000925485</v>
      </c>
      <c r="S2346" s="2">
        <f t="shared" ca="1" si="2249"/>
        <v>15738532.000616992</v>
      </c>
      <c r="T2346" s="2">
        <f t="shared" ca="1" si="2250"/>
        <v>49712150.048308887</v>
      </c>
      <c r="U2346" s="2">
        <f t="shared" ca="1" si="2251"/>
        <v>52442241.183652639</v>
      </c>
      <c r="V2346" s="2">
        <f t="shared" ca="1" si="2252"/>
        <v>55322263.424370825</v>
      </c>
      <c r="W2346" s="2">
        <f t="shared" ca="1" si="2253"/>
        <v>58360450.684733845</v>
      </c>
      <c r="X2346" s="2">
        <f t="shared" ca="1" si="2254"/>
        <v>61565489.068996578</v>
      </c>
      <c r="Y2346" s="2">
        <f t="shared" ca="1" si="2255"/>
        <v>0.12500870224319979</v>
      </c>
      <c r="Z2346" s="2">
        <f t="shared" ca="1" si="2256"/>
        <v>0.12701218314047971</v>
      </c>
      <c r="AA2346" s="2">
        <f t="shared" ca="1" si="2257"/>
        <v>6214451.3632583162</v>
      </c>
      <c r="AB2346" s="2">
        <f t="shared" ca="1" si="2258"/>
        <v>6660803.5415152963</v>
      </c>
      <c r="AC2346" s="2">
        <f t="shared" ca="1" si="2259"/>
        <v>7026601.4538020492</v>
      </c>
      <c r="AD2346" s="2">
        <f t="shared" ca="1" si="2260"/>
        <v>7412488.25053035</v>
      </c>
      <c r="AE2346" s="2">
        <f t="shared" ca="1" si="2261"/>
        <v>7819567.1727645956</v>
      </c>
      <c r="AF2346" s="2">
        <f t="shared" ca="1" si="2262"/>
        <v>994243.00096617779</v>
      </c>
      <c r="AG2346" s="2">
        <f t="shared" ca="1" si="2263"/>
        <v>1048844.8236730527</v>
      </c>
      <c r="AH2346" s="2">
        <f t="shared" ca="1" si="2264"/>
        <v>1106445.2684874164</v>
      </c>
      <c r="AI2346" s="2">
        <f t="shared" ca="1" si="2265"/>
        <v>1167209.013694677</v>
      </c>
      <c r="AJ2346" s="2">
        <f t="shared" ca="1" si="2266"/>
        <v>1231309.7813799316</v>
      </c>
      <c r="AK2346" s="2">
        <f t="shared" ca="1" si="2267"/>
        <v>0</v>
      </c>
      <c r="AL2346" s="2">
        <f t="shared" ca="1" si="2268"/>
        <v>27300.911353437528</v>
      </c>
      <c r="AM2346" s="2">
        <f t="shared" ca="1" si="2269"/>
        <v>28800.22240718186</v>
      </c>
      <c r="AN2346" s="2">
        <f t="shared" ca="1" si="2270"/>
        <v>30381.8726036302</v>
      </c>
      <c r="AO2346" s="2">
        <f t="shared" ca="1" si="2271"/>
        <v>32050.383842627332</v>
      </c>
      <c r="AP2346" s="2">
        <f t="shared" ca="1" si="2272"/>
        <v>2124701.8200832936</v>
      </c>
      <c r="AQ2346" s="2">
        <f t="shared" ca="1" si="2273"/>
        <v>804831.70097429981</v>
      </c>
      <c r="AR2346" s="2">
        <f t="shared" ca="1" si="2274"/>
        <v>906686.79341732699</v>
      </c>
      <c r="AS2346" s="2">
        <f t="shared" ca="1" si="2275"/>
        <v>986818.13496014825</v>
      </c>
      <c r="AT2346" s="2">
        <f t="shared" ca="1" si="2276"/>
        <v>1071350.1283556188</v>
      </c>
      <c r="AU2346" s="2">
        <f t="shared" ca="1" si="2277"/>
        <v>1160524.4485383565</v>
      </c>
      <c r="AV2346" s="2">
        <f t="shared" ca="1" si="2278"/>
        <v>2290674.8412345457</v>
      </c>
      <c r="AW2346" s="2">
        <f t="shared" ca="1" si="2279"/>
        <v>2553269.1929881857</v>
      </c>
      <c r="AX2346" s="2">
        <f t="shared" ca="1" si="2280"/>
        <v>2779836.0078640091</v>
      </c>
      <c r="AY2346" s="2">
        <f t="shared" ca="1" si="2281"/>
        <v>3018845.4157931306</v>
      </c>
      <c r="AZ2346" s="2">
        <f t="shared" ca="1" si="2282"/>
        <v>3270980.7389203864</v>
      </c>
      <c r="BA2346" s="2">
        <f t="shared" ca="1" si="2283"/>
        <v>58236129.213963635</v>
      </c>
      <c r="BB2346" s="2">
        <f t="shared" ca="1" si="2284"/>
        <v>1164722.5842792727</v>
      </c>
      <c r="BC2346" s="2">
        <f t="shared" ca="1" si="2285"/>
        <v>33463608.628758874</v>
      </c>
      <c r="BD2346" s="2">
        <f t="shared" ca="1" si="2286"/>
        <v>-17222190.250655554</v>
      </c>
      <c r="BE2346" s="2">
        <f t="shared" ca="1" si="2287"/>
        <v>2290674.8412345457</v>
      </c>
      <c r="BF2346" s="2">
        <f t="shared" ca="1" si="2288"/>
        <v>2553269.1929881857</v>
      </c>
      <c r="BG2346" s="2">
        <f t="shared" ca="1" si="2289"/>
        <v>2779836.0078640091</v>
      </c>
      <c r="BH2346" s="2">
        <f t="shared" ca="1" si="2290"/>
        <v>3018845.4157931306</v>
      </c>
      <c r="BI2346" s="2">
        <f t="shared" ca="1" si="2291"/>
        <v>36734589.367679261</v>
      </c>
      <c r="BJ2346" s="2">
        <f t="shared" ca="1" si="2292"/>
        <v>0.26637761818387995</v>
      </c>
      <c r="BK2346" s="2">
        <f t="shared" ca="1" si="2293"/>
        <v>11599861.452913973</v>
      </c>
    </row>
    <row r="2347" spans="1:63" x14ac:dyDescent="0.3">
      <c r="A2347" s="2">
        <v>2346</v>
      </c>
      <c r="B2347" s="2">
        <f t="shared" ca="1" si="2232"/>
        <v>0.37090357674223207</v>
      </c>
      <c r="C2347" s="2">
        <f t="shared" ca="1" si="2233"/>
        <v>6.8612822728260836</v>
      </c>
      <c r="D2347" s="2">
        <f t="shared" ca="1" si="2234"/>
        <v>0.71539489554999225</v>
      </c>
      <c r="E2347" s="2">
        <f t="shared" ca="1" si="2235"/>
        <v>7.7455397897171681</v>
      </c>
      <c r="F2347" s="2">
        <f t="shared" ca="1" si="2236"/>
        <v>0.59215688162452107</v>
      </c>
      <c r="G2347" s="2">
        <f t="shared" ca="1" si="2237"/>
        <v>4.6992904114070394E-2</v>
      </c>
      <c r="H2347" s="2">
        <f t="shared" ca="1" si="2238"/>
        <v>4.6992904114070394E-2</v>
      </c>
      <c r="I2347" s="2">
        <f t="shared" ca="1" si="2239"/>
        <v>0.62774190262562468</v>
      </c>
      <c r="J2347" s="2">
        <f t="shared" ca="1" si="2240"/>
        <v>1.1629393083465646E-2</v>
      </c>
      <c r="K2347" s="2">
        <f t="shared" ca="1" si="2241"/>
        <v>1.1629393083465646E-2</v>
      </c>
      <c r="L2347" s="2">
        <f t="shared" ca="1" si="2242"/>
        <v>0.95372840278074378</v>
      </c>
      <c r="M2347" s="2">
        <f t="shared" ca="1" si="2243"/>
        <v>3.3642645364210799E-2</v>
      </c>
      <c r="N2347" s="2">
        <f t="shared" ca="1" si="2244"/>
        <v>3.3642645364210799E-2</v>
      </c>
      <c r="O2347" s="2">
        <f t="shared" si="2245"/>
        <v>6000000</v>
      </c>
      <c r="P2347" s="2">
        <f t="shared" ca="1" si="2246"/>
        <v>41167693.636956498</v>
      </c>
      <c r="Q2347" s="2">
        <f t="shared" ca="1" si="2247"/>
        <v>1029192.3409239125</v>
      </c>
      <c r="R2347" s="2">
        <f t="shared" ca="1" si="2248"/>
        <v>24700616.182173897</v>
      </c>
      <c r="S2347" s="2">
        <f t="shared" ca="1" si="2249"/>
        <v>16467077.4547826</v>
      </c>
      <c r="T2347" s="2">
        <f t="shared" ca="1" si="2250"/>
        <v>51682132.268210545</v>
      </c>
      <c r="U2347" s="2">
        <f t="shared" ca="1" si="2251"/>
        <v>54110825.754301265</v>
      </c>
      <c r="V2347" s="2">
        <f t="shared" ca="1" si="2252"/>
        <v>56653650.600506313</v>
      </c>
      <c r="W2347" s="2">
        <f t="shared" ca="1" si="2253"/>
        <v>59315970.170887955</v>
      </c>
      <c r="X2347" s="2">
        <f t="shared" ca="1" si="2254"/>
        <v>62103399.869561553</v>
      </c>
      <c r="Y2347" s="2">
        <f t="shared" ca="1" si="2255"/>
        <v>0.12581469654173283</v>
      </c>
      <c r="Z2347" s="2">
        <f t="shared" ca="1" si="2256"/>
        <v>0.12814057515842595</v>
      </c>
      <c r="AA2347" s="2">
        <f t="shared" ca="1" si="2257"/>
        <v>6502371.787954608</v>
      </c>
      <c r="AB2347" s="2">
        <f t="shared" ca="1" si="2258"/>
        <v>6933792.3344535315</v>
      </c>
      <c r="AC2347" s="2">
        <f t="shared" ca="1" si="2259"/>
        <v>7259631.3727733828</v>
      </c>
      <c r="AD2347" s="2">
        <f t="shared" ca="1" si="2260"/>
        <v>7600782.5337776197</v>
      </c>
      <c r="AE2347" s="2">
        <f t="shared" ca="1" si="2261"/>
        <v>7957965.3785793325</v>
      </c>
      <c r="AF2347" s="2">
        <f t="shared" ca="1" si="2262"/>
        <v>1033642.6453642109</v>
      </c>
      <c r="AG2347" s="2">
        <f t="shared" ca="1" si="2263"/>
        <v>1082216.5150860252</v>
      </c>
      <c r="AH2347" s="2">
        <f t="shared" ca="1" si="2264"/>
        <v>1133073.0120101264</v>
      </c>
      <c r="AI2347" s="2">
        <f t="shared" ca="1" si="2265"/>
        <v>1186319.4034177591</v>
      </c>
      <c r="AJ2347" s="2">
        <f t="shared" ca="1" si="2266"/>
        <v>1242067.9973912311</v>
      </c>
      <c r="AK2347" s="2">
        <f t="shared" ca="1" si="2267"/>
        <v>0</v>
      </c>
      <c r="AL2347" s="2">
        <f t="shared" ca="1" si="2268"/>
        <v>24286.934860907197</v>
      </c>
      <c r="AM2347" s="2">
        <f t="shared" ca="1" si="2269"/>
        <v>25428.248462050484</v>
      </c>
      <c r="AN2347" s="2">
        <f t="shared" ca="1" si="2270"/>
        <v>26623.195703816415</v>
      </c>
      <c r="AO2347" s="2">
        <f t="shared" ca="1" si="2271"/>
        <v>27874.296986735986</v>
      </c>
      <c r="AP2347" s="2">
        <f t="shared" ca="1" si="2272"/>
        <v>2223055.4563956507</v>
      </c>
      <c r="AQ2347" s="2">
        <f t="shared" ca="1" si="2273"/>
        <v>843875.15841063403</v>
      </c>
      <c r="AR2347" s="2">
        <f t="shared" ca="1" si="2274"/>
        <v>943415.29437268258</v>
      </c>
      <c r="AS2347" s="2">
        <f t="shared" ca="1" si="2275"/>
        <v>1014910.7551355775</v>
      </c>
      <c r="AT2347" s="2">
        <f t="shared" ca="1" si="2276"/>
        <v>1089765.9952306945</v>
      </c>
      <c r="AU2347" s="2">
        <f t="shared" ca="1" si="2277"/>
        <v>1168138.9004460371</v>
      </c>
      <c r="AV2347" s="2">
        <f t="shared" ca="1" si="2278"/>
        <v>2401798.5277841124</v>
      </c>
      <c r="AW2347" s="2">
        <f t="shared" ca="1" si="2279"/>
        <v>2660818.1337382658</v>
      </c>
      <c r="AX2347" s="2">
        <f t="shared" ca="1" si="2280"/>
        <v>2863163.9007699783</v>
      </c>
      <c r="AY2347" s="2">
        <f t="shared" ca="1" si="2281"/>
        <v>3075018.4830296985</v>
      </c>
      <c r="AZ2347" s="2">
        <f t="shared" ca="1" si="2282"/>
        <v>3296828.7273596772</v>
      </c>
      <c r="BA2347" s="2">
        <f t="shared" ca="1" si="2283"/>
        <v>61638737.484977864</v>
      </c>
      <c r="BB2347" s="2">
        <f t="shared" ca="1" si="2284"/>
        <v>1232774.7496995572</v>
      </c>
      <c r="BC2347" s="2">
        <f t="shared" ca="1" si="2285"/>
        <v>35705346.553104408</v>
      </c>
      <c r="BD2347" s="2">
        <f t="shared" ca="1" si="2286"/>
        <v>-17996269.795706511</v>
      </c>
      <c r="BE2347" s="2">
        <f t="shared" ca="1" si="2287"/>
        <v>2401798.5277841124</v>
      </c>
      <c r="BF2347" s="2">
        <f t="shared" ca="1" si="2288"/>
        <v>2660818.1337382658</v>
      </c>
      <c r="BG2347" s="2">
        <f t="shared" ca="1" si="2289"/>
        <v>2863163.9007699783</v>
      </c>
      <c r="BH2347" s="2">
        <f t="shared" ca="1" si="2290"/>
        <v>3075018.4830296985</v>
      </c>
      <c r="BI2347" s="2">
        <f t="shared" ca="1" si="2291"/>
        <v>39002175.280464083</v>
      </c>
      <c r="BJ2347" s="2">
        <f t="shared" ca="1" si="2292"/>
        <v>0.26877986937819731</v>
      </c>
      <c r="BK2347" s="2">
        <f t="shared" ca="1" si="2293"/>
        <v>12392436.134816431</v>
      </c>
    </row>
    <row r="2348" spans="1:63" x14ac:dyDescent="0.3">
      <c r="A2348" s="2">
        <v>2347</v>
      </c>
      <c r="B2348" s="2">
        <f t="shared" ca="1" si="2232"/>
        <v>0.59826164816703231</v>
      </c>
      <c r="C2348" s="2">
        <f t="shared" ca="1" si="2233"/>
        <v>7.1036313795843053</v>
      </c>
      <c r="D2348" s="2">
        <f t="shared" ca="1" si="2234"/>
        <v>0.33000408809659054</v>
      </c>
      <c r="E2348" s="2">
        <f t="shared" ca="1" si="2235"/>
        <v>7.3124088725470573</v>
      </c>
      <c r="F2348" s="2">
        <f t="shared" ca="1" si="2236"/>
        <v>0.99181920421128544</v>
      </c>
      <c r="G2348" s="2">
        <f t="shared" ca="1" si="2237"/>
        <v>0.11202244544267526</v>
      </c>
      <c r="H2348" s="2">
        <f t="shared" ca="1" si="2238"/>
        <v>0.11202244544267526</v>
      </c>
      <c r="I2348" s="2">
        <f t="shared" ca="1" si="2239"/>
        <v>0.35220767538204523</v>
      </c>
      <c r="J2348" s="2">
        <f t="shared" ca="1" si="2240"/>
        <v>8.1031649886559188E-3</v>
      </c>
      <c r="K2348" s="2">
        <f t="shared" ca="1" si="2241"/>
        <v>8.1031649886559188E-3</v>
      </c>
      <c r="L2348" s="2">
        <f t="shared" ca="1" si="2242"/>
        <v>0.23674253962343106</v>
      </c>
      <c r="M2348" s="2">
        <f t="shared" ca="1" si="2243"/>
        <v>-1.4336402922560618E-2</v>
      </c>
      <c r="N2348" s="2">
        <f t="shared" ca="1" si="2244"/>
        <v>-1.4336402922560618E-2</v>
      </c>
      <c r="O2348" s="2">
        <f t="shared" si="2245"/>
        <v>6000000</v>
      </c>
      <c r="P2348" s="2">
        <f t="shared" ca="1" si="2246"/>
        <v>42621788.27750583</v>
      </c>
      <c r="Q2348" s="2">
        <f t="shared" ca="1" si="2247"/>
        <v>1065544.7069376458</v>
      </c>
      <c r="R2348" s="2">
        <f t="shared" ca="1" si="2248"/>
        <v>25573072.966503497</v>
      </c>
      <c r="S2348" s="2">
        <f t="shared" ca="1" si="2249"/>
        <v>17048715.311002333</v>
      </c>
      <c r="T2348" s="2">
        <f t="shared" ca="1" si="2250"/>
        <v>49283179.853871964</v>
      </c>
      <c r="U2348" s="2">
        <f t="shared" ca="1" si="2251"/>
        <v>54804002.180293888</v>
      </c>
      <c r="V2348" s="2">
        <f t="shared" ca="1" si="2252"/>
        <v>60943280.524576113</v>
      </c>
      <c r="W2348" s="2">
        <f t="shared" ca="1" si="2253"/>
        <v>67770295.842238098</v>
      </c>
      <c r="X2348" s="2">
        <f t="shared" ca="1" si="2254"/>
        <v>75362090.110859171</v>
      </c>
      <c r="Y2348" s="2">
        <f t="shared" ca="1" si="2255"/>
        <v>0.12405158249432796</v>
      </c>
      <c r="Z2348" s="2">
        <f t="shared" ca="1" si="2256"/>
        <v>0.12567221549205915</v>
      </c>
      <c r="AA2348" s="2">
        <f t="shared" ca="1" si="2257"/>
        <v>6113656.4512254</v>
      </c>
      <c r="AB2348" s="2">
        <f t="shared" ca="1" si="2258"/>
        <v>6887340.3718291726</v>
      </c>
      <c r="AC2348" s="2">
        <f t="shared" ca="1" si="2259"/>
        <v>7658877.082877541</v>
      </c>
      <c r="AD2348" s="2">
        <f t="shared" ca="1" si="2260"/>
        <v>8516843.2230463456</v>
      </c>
      <c r="AE2348" s="2">
        <f t="shared" ca="1" si="2261"/>
        <v>9470920.8283438738</v>
      </c>
      <c r="AF2348" s="2">
        <f t="shared" ca="1" si="2262"/>
        <v>985663.59707743931</v>
      </c>
      <c r="AG2348" s="2">
        <f t="shared" ca="1" si="2263"/>
        <v>1096080.0436058778</v>
      </c>
      <c r="AH2348" s="2">
        <f t="shared" ca="1" si="2264"/>
        <v>1218865.6104915224</v>
      </c>
      <c r="AI2348" s="2">
        <f t="shared" ca="1" si="2265"/>
        <v>1355405.9168447619</v>
      </c>
      <c r="AJ2348" s="2">
        <f t="shared" ca="1" si="2266"/>
        <v>1507241.8022171834</v>
      </c>
      <c r="AK2348" s="2">
        <f t="shared" ca="1" si="2267"/>
        <v>0</v>
      </c>
      <c r="AL2348" s="2">
        <f t="shared" ca="1" si="2268"/>
        <v>55208.223264219239</v>
      </c>
      <c r="AM2348" s="2">
        <f t="shared" ca="1" si="2269"/>
        <v>61392.783442822249</v>
      </c>
      <c r="AN2348" s="2">
        <f t="shared" ca="1" si="2270"/>
        <v>68270.15317661986</v>
      </c>
      <c r="AO2348" s="2">
        <f t="shared" ca="1" si="2271"/>
        <v>75917.942686210721</v>
      </c>
      <c r="AP2348" s="2">
        <f t="shared" ca="1" si="2272"/>
        <v>2301576.5669853147</v>
      </c>
      <c r="AQ2348" s="2">
        <f t="shared" ca="1" si="2273"/>
        <v>734868.23466228787</v>
      </c>
      <c r="AR2348" s="2">
        <f t="shared" ca="1" si="2274"/>
        <v>907317.77792187477</v>
      </c>
      <c r="AS2348" s="2">
        <f t="shared" ca="1" si="2275"/>
        <v>1075993.075404183</v>
      </c>
      <c r="AT2348" s="2">
        <f t="shared" ca="1" si="2276"/>
        <v>1263563.79219623</v>
      </c>
      <c r="AU2348" s="2">
        <f t="shared" ca="1" si="2277"/>
        <v>1472146.6393767577</v>
      </c>
      <c r="AV2348" s="2">
        <f t="shared" ca="1" si="2278"/>
        <v>2091548.0525003579</v>
      </c>
      <c r="AW2348" s="2">
        <f t="shared" ca="1" si="2279"/>
        <v>2527157.7600518856</v>
      </c>
      <c r="AX2348" s="2">
        <f t="shared" ca="1" si="2280"/>
        <v>3001049.0465536984</v>
      </c>
      <c r="AY2348" s="2">
        <f t="shared" ca="1" si="2281"/>
        <v>3528026.7938434193</v>
      </c>
      <c r="AZ2348" s="2">
        <f t="shared" ca="1" si="2282"/>
        <v>4114037.8770784074</v>
      </c>
      <c r="BA2348" s="2">
        <f t="shared" ca="1" si="2283"/>
        <v>69255245.496372461</v>
      </c>
      <c r="BB2348" s="2">
        <f t="shared" ca="1" si="2284"/>
        <v>1385104.9099274492</v>
      </c>
      <c r="BC2348" s="2">
        <f t="shared" ca="1" si="2285"/>
        <v>42297067.61994151</v>
      </c>
      <c r="BD2348" s="2">
        <f t="shared" ca="1" si="2286"/>
        <v>-18614260.017939977</v>
      </c>
      <c r="BE2348" s="2">
        <f t="shared" ca="1" si="2287"/>
        <v>2091548.0525003579</v>
      </c>
      <c r="BF2348" s="2">
        <f t="shared" ca="1" si="2288"/>
        <v>2527157.7600518856</v>
      </c>
      <c r="BG2348" s="2">
        <f t="shared" ca="1" si="2289"/>
        <v>3001049.0465536984</v>
      </c>
      <c r="BH2348" s="2">
        <f t="shared" ca="1" si="2290"/>
        <v>3528026.7938434193</v>
      </c>
      <c r="BI2348" s="2">
        <f t="shared" ca="1" si="2291"/>
        <v>46411105.497019917</v>
      </c>
      <c r="BJ2348" s="2">
        <f t="shared" ca="1" si="2292"/>
        <v>0.29312156084332686</v>
      </c>
      <c r="BK2348" s="2">
        <f t="shared" ca="1" si="2293"/>
        <v>15980948.199521348</v>
      </c>
    </row>
    <row r="2349" spans="1:63" x14ac:dyDescent="0.3">
      <c r="A2349" s="2">
        <v>2348</v>
      </c>
      <c r="B2349" s="2">
        <f t="shared" ca="1" si="2232"/>
        <v>0.55526595146725466</v>
      </c>
      <c r="C2349" s="2">
        <f t="shared" ca="1" si="2233"/>
        <v>7.0568838369185425</v>
      </c>
      <c r="D2349" s="2">
        <f t="shared" ca="1" si="2234"/>
        <v>0.70463003011513925</v>
      </c>
      <c r="E2349" s="2">
        <f t="shared" ca="1" si="2235"/>
        <v>7.7314039163710753</v>
      </c>
      <c r="F2349" s="2">
        <f t="shared" ca="1" si="2236"/>
        <v>0.79935207572487754</v>
      </c>
      <c r="G2349" s="2">
        <f t="shared" ca="1" si="2237"/>
        <v>6.5179274574737683E-2</v>
      </c>
      <c r="H2349" s="2">
        <f t="shared" ca="1" si="2238"/>
        <v>6.5179274574737683E-2</v>
      </c>
      <c r="I2349" s="2">
        <f t="shared" ca="1" si="2239"/>
        <v>0.40957508074805848</v>
      </c>
      <c r="J2349" s="2">
        <f t="shared" ca="1" si="2240"/>
        <v>8.8568091924227394E-3</v>
      </c>
      <c r="K2349" s="2">
        <f t="shared" ca="1" si="2241"/>
        <v>8.8568091924227394E-3</v>
      </c>
      <c r="L2349" s="2">
        <f t="shared" ca="1" si="2242"/>
        <v>0.17175002095773528</v>
      </c>
      <c r="M2349" s="2">
        <f t="shared" ca="1" si="2243"/>
        <v>-1.894544600319871E-2</v>
      </c>
      <c r="N2349" s="2">
        <f t="shared" ca="1" si="2244"/>
        <v>-1.894544600319871E-2</v>
      </c>
      <c r="O2349" s="2">
        <f t="shared" si="2245"/>
        <v>6000000</v>
      </c>
      <c r="P2349" s="2">
        <f t="shared" ca="1" si="2246"/>
        <v>42341303.021511257</v>
      </c>
      <c r="Q2349" s="2">
        <f t="shared" ca="1" si="2247"/>
        <v>1058532.5755377815</v>
      </c>
      <c r="R2349" s="2">
        <f t="shared" ca="1" si="2248"/>
        <v>25404781.812906753</v>
      </c>
      <c r="S2349" s="2">
        <f t="shared" ca="1" si="2249"/>
        <v>16936521.208604503</v>
      </c>
      <c r="T2349" s="2">
        <f t="shared" ca="1" si="2250"/>
        <v>49052727.699840069</v>
      </c>
      <c r="U2349" s="2">
        <f t="shared" ca="1" si="2251"/>
        <v>52249948.907227784</v>
      </c>
      <c r="V2349" s="2">
        <f t="shared" ca="1" si="2252"/>
        <v>55655562.673568003</v>
      </c>
      <c r="W2349" s="2">
        <f t="shared" ca="1" si="2253"/>
        <v>59283151.874680012</v>
      </c>
      <c r="X2349" s="2">
        <f t="shared" ca="1" si="2254"/>
        <v>63147184.708375655</v>
      </c>
      <c r="Y2349" s="2">
        <f t="shared" ca="1" si="2255"/>
        <v>0.12442840459621136</v>
      </c>
      <c r="Z2349" s="2">
        <f t="shared" ca="1" si="2256"/>
        <v>0.12619976643469591</v>
      </c>
      <c r="AA2349" s="2">
        <f t="shared" ca="1" si="2257"/>
        <v>6103552.6487834845</v>
      </c>
      <c r="AB2349" s="2">
        <f t="shared" ca="1" si="2258"/>
        <v>6593931.3483169414</v>
      </c>
      <c r="AC2349" s="2">
        <f t="shared" ca="1" si="2259"/>
        <v>7023719.0101958616</v>
      </c>
      <c r="AD2349" s="2">
        <f t="shared" ca="1" si="2260"/>
        <v>7481519.9200972226</v>
      </c>
      <c r="AE2349" s="2">
        <f t="shared" ca="1" si="2261"/>
        <v>7969159.9612056091</v>
      </c>
      <c r="AF2349" s="2">
        <f t="shared" ca="1" si="2262"/>
        <v>981054.55399680138</v>
      </c>
      <c r="AG2349" s="2">
        <f t="shared" ca="1" si="2263"/>
        <v>1044998.9781445557</v>
      </c>
      <c r="AH2349" s="2">
        <f t="shared" ca="1" si="2264"/>
        <v>1113111.2534713601</v>
      </c>
      <c r="AI2349" s="2">
        <f t="shared" ca="1" si="2265"/>
        <v>1185663.0374936003</v>
      </c>
      <c r="AJ2349" s="2">
        <f t="shared" ca="1" si="2266"/>
        <v>1262943.6941675132</v>
      </c>
      <c r="AK2349" s="2">
        <f t="shared" ca="1" si="2267"/>
        <v>0</v>
      </c>
      <c r="AL2349" s="2">
        <f t="shared" ca="1" si="2268"/>
        <v>31972.212073877155</v>
      </c>
      <c r="AM2349" s="2">
        <f t="shared" ca="1" si="2269"/>
        <v>34056.137663402187</v>
      </c>
      <c r="AN2349" s="2">
        <f t="shared" ca="1" si="2270"/>
        <v>36275.892011120093</v>
      </c>
      <c r="AO2349" s="2">
        <f t="shared" ca="1" si="2271"/>
        <v>38640.328336956431</v>
      </c>
      <c r="AP2349" s="2">
        <f t="shared" ca="1" si="2272"/>
        <v>2286430.3631616076</v>
      </c>
      <c r="AQ2349" s="2">
        <f t="shared" ca="1" si="2273"/>
        <v>737377.61022251961</v>
      </c>
      <c r="AR2349" s="2">
        <f t="shared" ca="1" si="2274"/>
        <v>848250.52182280237</v>
      </c>
      <c r="AS2349" s="2">
        <f t="shared" ca="1" si="2275"/>
        <v>942286.12232635228</v>
      </c>
      <c r="AT2349" s="2">
        <f t="shared" ca="1" si="2276"/>
        <v>1042450.8950549238</v>
      </c>
      <c r="AU2349" s="2">
        <f t="shared" ca="1" si="2277"/>
        <v>1149144.3350078869</v>
      </c>
      <c r="AV2349" s="2">
        <f t="shared" ca="1" si="2278"/>
        <v>2098690.1214025561</v>
      </c>
      <c r="AW2349" s="2">
        <f t="shared" ca="1" si="2279"/>
        <v>2382279.2731140982</v>
      </c>
      <c r="AX2349" s="2">
        <f t="shared" ca="1" si="2280"/>
        <v>2647835.1335731382</v>
      </c>
      <c r="AY2349" s="2">
        <f t="shared" ca="1" si="2281"/>
        <v>2930699.732375971</v>
      </c>
      <c r="AZ2349" s="2">
        <f t="shared" ca="1" si="2282"/>
        <v>3232001.2405316448</v>
      </c>
      <c r="BA2349" s="2">
        <f t="shared" ca="1" si="2283"/>
        <v>61612794.534252614</v>
      </c>
      <c r="BB2349" s="2">
        <f t="shared" ca="1" si="2284"/>
        <v>1232255.8906850524</v>
      </c>
      <c r="BC2349" s="2">
        <f t="shared" ca="1" si="2285"/>
        <v>34975756.830660805</v>
      </c>
      <c r="BD2349" s="2">
        <f t="shared" ca="1" si="2286"/>
        <v>-18495053.784142286</v>
      </c>
      <c r="BE2349" s="2">
        <f t="shared" ca="1" si="2287"/>
        <v>2098690.1214025561</v>
      </c>
      <c r="BF2349" s="2">
        <f t="shared" ca="1" si="2288"/>
        <v>2382279.2731140982</v>
      </c>
      <c r="BG2349" s="2">
        <f t="shared" ca="1" si="2289"/>
        <v>2647835.1335731382</v>
      </c>
      <c r="BH2349" s="2">
        <f t="shared" ca="1" si="2290"/>
        <v>2930699.732375971</v>
      </c>
      <c r="BI2349" s="2">
        <f t="shared" ca="1" si="2291"/>
        <v>38207758.071192451</v>
      </c>
      <c r="BJ2349" s="2">
        <f t="shared" ca="1" si="2292"/>
        <v>0.24649389273436495</v>
      </c>
      <c r="BK2349" s="2">
        <f t="shared" ca="1" si="2293"/>
        <v>10705212.568777502</v>
      </c>
    </row>
    <row r="2350" spans="1:63" x14ac:dyDescent="0.3">
      <c r="A2350" s="2">
        <v>2349</v>
      </c>
      <c r="B2350" s="2">
        <f t="shared" ca="1" si="2232"/>
        <v>0.59333154060364646</v>
      </c>
      <c r="C2350" s="2">
        <f t="shared" ca="1" si="2233"/>
        <v>7.0981480616017354</v>
      </c>
      <c r="D2350" s="2">
        <f t="shared" ca="1" si="2234"/>
        <v>0.6732642482489829</v>
      </c>
      <c r="E2350" s="2">
        <f t="shared" ca="1" si="2235"/>
        <v>7.69162415702717</v>
      </c>
      <c r="F2350" s="2">
        <f t="shared" ca="1" si="2236"/>
        <v>0.16910489163862241</v>
      </c>
      <c r="G2350" s="2">
        <f t="shared" ca="1" si="2237"/>
        <v>1.1268745825913851E-2</v>
      </c>
      <c r="H2350" s="2">
        <f t="shared" ca="1" si="2238"/>
        <v>1.1268745825913851E-2</v>
      </c>
      <c r="I2350" s="2">
        <f t="shared" ca="1" si="2239"/>
        <v>0.98589824001947102</v>
      </c>
      <c r="J2350" s="2">
        <f t="shared" ca="1" si="2240"/>
        <v>2.0972219004109244E-2</v>
      </c>
      <c r="K2350" s="2">
        <f t="shared" ca="1" si="2241"/>
        <v>2.0972219004109244E-2</v>
      </c>
      <c r="L2350" s="2">
        <f t="shared" ca="1" si="2242"/>
        <v>0.38978718227381193</v>
      </c>
      <c r="M2350" s="2">
        <f t="shared" ca="1" si="2243"/>
        <v>-5.5974750688526486E-3</v>
      </c>
      <c r="N2350" s="2">
        <f t="shared" ca="1" si="2244"/>
        <v>-5.5974750688526486E-3</v>
      </c>
      <c r="O2350" s="2">
        <f t="shared" si="2245"/>
        <v>6000000</v>
      </c>
      <c r="P2350" s="2">
        <f t="shared" ca="1" si="2246"/>
        <v>42588888.369610414</v>
      </c>
      <c r="Q2350" s="2">
        <f t="shared" ca="1" si="2247"/>
        <v>1064722.2092402603</v>
      </c>
      <c r="R2350" s="2">
        <f t="shared" ca="1" si="2248"/>
        <v>25553333.021766249</v>
      </c>
      <c r="S2350" s="2">
        <f t="shared" ca="1" si="2249"/>
        <v>17035555.347844165</v>
      </c>
      <c r="T2350" s="2">
        <f t="shared" ca="1" si="2250"/>
        <v>49720126.24655737</v>
      </c>
      <c r="U2350" s="2">
        <f t="shared" ca="1" si="2251"/>
        <v>50280409.711662166</v>
      </c>
      <c r="V2350" s="2">
        <f t="shared" ca="1" si="2252"/>
        <v>50847006.868725695</v>
      </c>
      <c r="W2350" s="2">
        <f t="shared" ca="1" si="2253"/>
        <v>51419988.865137853</v>
      </c>
      <c r="X2350" s="2">
        <f t="shared" ca="1" si="2254"/>
        <v>51999427.650030404</v>
      </c>
      <c r="Y2350" s="2">
        <f t="shared" ca="1" si="2255"/>
        <v>0.13048610950205461</v>
      </c>
      <c r="Z2350" s="2">
        <f t="shared" ca="1" si="2256"/>
        <v>0.13468055330287645</v>
      </c>
      <c r="AA2350" s="2">
        <f t="shared" ca="1" si="2257"/>
        <v>6487785.8378642648</v>
      </c>
      <c r="AB2350" s="2">
        <f t="shared" ca="1" si="2258"/>
        <v>6771793.4002619833</v>
      </c>
      <c r="AC2350" s="2">
        <f t="shared" ca="1" si="2259"/>
        <v>6848103.018875136</v>
      </c>
      <c r="AD2350" s="2">
        <f t="shared" ca="1" si="2260"/>
        <v>6925272.5511845127</v>
      </c>
      <c r="AE2350" s="2">
        <f t="shared" ca="1" si="2261"/>
        <v>7003311.6873389874</v>
      </c>
      <c r="AF2350" s="2">
        <f t="shared" ca="1" si="2262"/>
        <v>994402.52493114746</v>
      </c>
      <c r="AG2350" s="2">
        <f t="shared" ca="1" si="2263"/>
        <v>1005608.1942332434</v>
      </c>
      <c r="AH2350" s="2">
        <f t="shared" ca="1" si="2264"/>
        <v>1016940.1373745139</v>
      </c>
      <c r="AI2350" s="2">
        <f t="shared" ca="1" si="2265"/>
        <v>1028399.777302757</v>
      </c>
      <c r="AJ2350" s="2">
        <f t="shared" ca="1" si="2266"/>
        <v>1039988.5530006081</v>
      </c>
      <c r="AK2350" s="2">
        <f t="shared" ca="1" si="2267"/>
        <v>0</v>
      </c>
      <c r="AL2350" s="2">
        <f t="shared" ca="1" si="2268"/>
        <v>5602.8346510479596</v>
      </c>
      <c r="AM2350" s="2">
        <f t="shared" ca="1" si="2269"/>
        <v>5665.971570635289</v>
      </c>
      <c r="AN2350" s="2">
        <f t="shared" ca="1" si="2270"/>
        <v>5729.8199641215806</v>
      </c>
      <c r="AO2350" s="2">
        <f t="shared" ca="1" si="2271"/>
        <v>5794.3878489255158</v>
      </c>
      <c r="AP2350" s="2">
        <f t="shared" ca="1" si="2272"/>
        <v>2299799.9719589623</v>
      </c>
      <c r="AQ2350" s="2">
        <f t="shared" ca="1" si="2273"/>
        <v>830331.66865328024</v>
      </c>
      <c r="AR2350" s="2">
        <f t="shared" ca="1" si="2274"/>
        <v>901260.16085814219</v>
      </c>
      <c r="AS2350" s="2">
        <f t="shared" ca="1" si="2275"/>
        <v>918154.35648083163</v>
      </c>
      <c r="AT2350" s="2">
        <f t="shared" ca="1" si="2276"/>
        <v>935238.92849992635</v>
      </c>
      <c r="AU2350" s="2">
        <f t="shared" ca="1" si="2277"/>
        <v>952516.02221864834</v>
      </c>
      <c r="AV2350" s="2">
        <f t="shared" ca="1" si="2278"/>
        <v>2363251.6723208744</v>
      </c>
      <c r="AW2350" s="2">
        <f t="shared" ca="1" si="2279"/>
        <v>2559522.2385605872</v>
      </c>
      <c r="AX2350" s="2">
        <f t="shared" ca="1" si="2280"/>
        <v>2607542.5814901935</v>
      </c>
      <c r="AY2350" s="2">
        <f t="shared" ca="1" si="2281"/>
        <v>2656104.0534587456</v>
      </c>
      <c r="AZ2350" s="2">
        <f t="shared" ca="1" si="2282"/>
        <v>2705212.7523118425</v>
      </c>
      <c r="BA2350" s="2">
        <f t="shared" ca="1" si="2283"/>
        <v>53866841.353527263</v>
      </c>
      <c r="BB2350" s="2">
        <f t="shared" ca="1" si="2284"/>
        <v>1077336.8270705452</v>
      </c>
      <c r="BC2350" s="2">
        <f t="shared" ca="1" si="2285"/>
        <v>27236171.504690468</v>
      </c>
      <c r="BD2350" s="2">
        <f t="shared" ca="1" si="2286"/>
        <v>-18600277.557084426</v>
      </c>
      <c r="BE2350" s="2">
        <f t="shared" ca="1" si="2287"/>
        <v>2363251.6723208744</v>
      </c>
      <c r="BF2350" s="2">
        <f t="shared" ca="1" si="2288"/>
        <v>2559522.2385605872</v>
      </c>
      <c r="BG2350" s="2">
        <f t="shared" ca="1" si="2289"/>
        <v>2607542.5814901935</v>
      </c>
      <c r="BH2350" s="2">
        <f t="shared" ca="1" si="2290"/>
        <v>2656104.0534587456</v>
      </c>
      <c r="BI2350" s="2">
        <f t="shared" ca="1" si="2291"/>
        <v>29941384.257002309</v>
      </c>
      <c r="BJ2350" s="2">
        <f t="shared" ca="1" si="2292"/>
        <v>0.1995103637415534</v>
      </c>
      <c r="BK2350" s="2">
        <f t="shared" ca="1" si="2293"/>
        <v>6083749.0107002147</v>
      </c>
    </row>
    <row r="2351" spans="1:63" x14ac:dyDescent="0.3">
      <c r="A2351" s="2">
        <v>2350</v>
      </c>
      <c r="B2351" s="2">
        <f t="shared" ca="1" si="2232"/>
        <v>0.26584940552321612</v>
      </c>
      <c r="C2351" s="2">
        <f t="shared" ca="1" si="2233"/>
        <v>6.7291768036947088</v>
      </c>
      <c r="D2351" s="2">
        <f t="shared" ca="1" si="2234"/>
        <v>0.13478779080518899</v>
      </c>
      <c r="E2351" s="2">
        <f t="shared" ca="1" si="2235"/>
        <v>7.0192066848668055</v>
      </c>
      <c r="F2351" s="2">
        <f t="shared" ca="1" si="2236"/>
        <v>2.1419996956247855E-2</v>
      </c>
      <c r="G2351" s="2">
        <f t="shared" ca="1" si="2237"/>
        <v>-2.0757998667550306E-2</v>
      </c>
      <c r="H2351" s="2">
        <f t="shared" ca="1" si="2238"/>
        <v>-0.02</v>
      </c>
      <c r="I2351" s="2">
        <f t="shared" ca="1" si="2239"/>
        <v>0.51144370243479031</v>
      </c>
      <c r="J2351" s="2">
        <f t="shared" ca="1" si="2240"/>
        <v>1.0143445215383441E-2</v>
      </c>
      <c r="K2351" s="2">
        <f t="shared" ca="1" si="2241"/>
        <v>1.0143445215383441E-2</v>
      </c>
      <c r="L2351" s="2">
        <f t="shared" ca="1" si="2242"/>
        <v>0.49535349559354636</v>
      </c>
      <c r="M2351" s="2">
        <f t="shared" ca="1" si="2243"/>
        <v>-2.3294645328528115E-4</v>
      </c>
      <c r="N2351" s="2">
        <f t="shared" ca="1" si="2244"/>
        <v>-2.3294645328528115E-4</v>
      </c>
      <c r="O2351" s="2">
        <f t="shared" si="2245"/>
        <v>6000000</v>
      </c>
      <c r="P2351" s="2">
        <f t="shared" ca="1" si="2246"/>
        <v>40375060.822168253</v>
      </c>
      <c r="Q2351" s="2">
        <f t="shared" ca="1" si="2247"/>
        <v>1009376.5205542063</v>
      </c>
      <c r="R2351" s="2">
        <f t="shared" ca="1" si="2248"/>
        <v>24225036.493300952</v>
      </c>
      <c r="S2351" s="2">
        <f t="shared" ca="1" si="2249"/>
        <v>16150024.328867301</v>
      </c>
      <c r="T2351" s="2">
        <f t="shared" ca="1" si="2250"/>
        <v>49988352.677335732</v>
      </c>
      <c r="U2351" s="2">
        <f t="shared" ca="1" si="2251"/>
        <v>48988585.62378902</v>
      </c>
      <c r="V2351" s="2">
        <f t="shared" ca="1" si="2252"/>
        <v>48008813.911313236</v>
      </c>
      <c r="W2351" s="2">
        <f t="shared" ca="1" si="2253"/>
        <v>47048637.633086972</v>
      </c>
      <c r="X2351" s="2">
        <f t="shared" ca="1" si="2254"/>
        <v>46107664.88042523</v>
      </c>
      <c r="Y2351" s="2">
        <f t="shared" ca="1" si="2255"/>
        <v>0.12507172260769173</v>
      </c>
      <c r="Z2351" s="2">
        <f t="shared" ca="1" si="2256"/>
        <v>0.12710041165076841</v>
      </c>
      <c r="AA2351" s="2">
        <f t="shared" ca="1" si="2257"/>
        <v>6252129.3796751983</v>
      </c>
      <c r="AB2351" s="2">
        <f t="shared" ca="1" si="2258"/>
        <v>6226469.3989725001</v>
      </c>
      <c r="AC2351" s="2">
        <f t="shared" ca="1" si="2259"/>
        <v>6101940.0109930495</v>
      </c>
      <c r="AD2351" s="2">
        <f t="shared" ca="1" si="2260"/>
        <v>5979901.2107731886</v>
      </c>
      <c r="AE2351" s="2">
        <f t="shared" ca="1" si="2261"/>
        <v>5860303.1865577241</v>
      </c>
      <c r="AF2351" s="2">
        <f t="shared" ca="1" si="2262"/>
        <v>999767.0535467146</v>
      </c>
      <c r="AG2351" s="2">
        <f t="shared" ca="1" si="2263"/>
        <v>979771.7124757804</v>
      </c>
      <c r="AH2351" s="2">
        <f t="shared" ca="1" si="2264"/>
        <v>960176.27822626475</v>
      </c>
      <c r="AI2351" s="2">
        <f t="shared" ca="1" si="2265"/>
        <v>940972.75266173948</v>
      </c>
      <c r="AJ2351" s="2">
        <f t="shared" ca="1" si="2266"/>
        <v>922153.29760850465</v>
      </c>
      <c r="AK2351" s="2">
        <f t="shared" ca="1" si="2267"/>
        <v>0</v>
      </c>
      <c r="AL2351" s="2">
        <f t="shared" ca="1" si="2268"/>
        <v>0</v>
      </c>
      <c r="AM2351" s="2">
        <f t="shared" ca="1" si="2269"/>
        <v>0</v>
      </c>
      <c r="AN2351" s="2">
        <f t="shared" ca="1" si="2270"/>
        <v>0</v>
      </c>
      <c r="AO2351" s="2">
        <f t="shared" ca="1" si="2271"/>
        <v>0</v>
      </c>
      <c r="AP2351" s="2">
        <f t="shared" ca="1" si="2272"/>
        <v>2180253.2843970857</v>
      </c>
      <c r="AQ2351" s="2">
        <f t="shared" ca="1" si="2273"/>
        <v>798748.35085016349</v>
      </c>
      <c r="AR2351" s="2">
        <f t="shared" ca="1" si="2274"/>
        <v>797275.54454590485</v>
      </c>
      <c r="AS2351" s="2">
        <f t="shared" ca="1" si="2275"/>
        <v>769992.71657612175</v>
      </c>
      <c r="AT2351" s="2">
        <f t="shared" ca="1" si="2276"/>
        <v>743255.54516573448</v>
      </c>
      <c r="AU2351" s="2">
        <f t="shared" ca="1" si="2277"/>
        <v>717053.11718355468</v>
      </c>
      <c r="AV2351" s="2">
        <f t="shared" ca="1" si="2278"/>
        <v>2273360.6908812341</v>
      </c>
      <c r="AW2351" s="2">
        <f t="shared" ca="1" si="2279"/>
        <v>2269168.8575537293</v>
      </c>
      <c r="AX2351" s="2">
        <f t="shared" ca="1" si="2280"/>
        <v>2191517.7317935773</v>
      </c>
      <c r="AY2351" s="2">
        <f t="shared" ca="1" si="2281"/>
        <v>2115419.6285486291</v>
      </c>
      <c r="AZ2351" s="2">
        <f t="shared" ca="1" si="2282"/>
        <v>2040843.4873685786</v>
      </c>
      <c r="BA2351" s="2">
        <f t="shared" ca="1" si="2283"/>
        <v>41134679.302432217</v>
      </c>
      <c r="BB2351" s="2">
        <f t="shared" ca="1" si="2284"/>
        <v>822693.58604864439</v>
      </c>
      <c r="BC2351" s="2">
        <f t="shared" ca="1" si="2285"/>
        <v>16086949.223082621</v>
      </c>
      <c r="BD2351" s="2">
        <f t="shared" ca="1" si="2286"/>
        <v>-17659400.849421509</v>
      </c>
      <c r="BE2351" s="2">
        <f t="shared" ca="1" si="2287"/>
        <v>2273360.6908812341</v>
      </c>
      <c r="BF2351" s="2">
        <f t="shared" ca="1" si="2288"/>
        <v>2269168.8575537293</v>
      </c>
      <c r="BG2351" s="2">
        <f t="shared" ca="1" si="2289"/>
        <v>2191517.7317935773</v>
      </c>
      <c r="BH2351" s="2">
        <f t="shared" ca="1" si="2290"/>
        <v>2115419.6285486291</v>
      </c>
      <c r="BI2351" s="2">
        <f t="shared" ca="1" si="2291"/>
        <v>18127792.710451201</v>
      </c>
      <c r="BJ2351" s="2">
        <f t="shared" ca="1" si="2292"/>
        <v>0.10975012284428431</v>
      </c>
      <c r="BK2351" s="2">
        <f t="shared" ca="1" si="2293"/>
        <v>-630184.1275178045</v>
      </c>
    </row>
    <row r="2352" spans="1:63" x14ac:dyDescent="0.3">
      <c r="A2352" s="2">
        <v>2351</v>
      </c>
      <c r="B2352" s="2">
        <f t="shared" ca="1" si="2232"/>
        <v>0.82527445322478543</v>
      </c>
      <c r="C2352" s="2">
        <f t="shared" ca="1" si="2233"/>
        <v>7.4088561143423464</v>
      </c>
      <c r="D2352" s="2">
        <f t="shared" ca="1" si="2234"/>
        <v>9.4677903831935084E-2</v>
      </c>
      <c r="E2352" s="2">
        <f t="shared" ca="1" si="2235"/>
        <v>6.9351503276614537</v>
      </c>
      <c r="F2352" s="2">
        <f t="shared" ca="1" si="2236"/>
        <v>0.41685083558950797</v>
      </c>
      <c r="G2352" s="2">
        <f t="shared" ca="1" si="2237"/>
        <v>3.3701306804460172E-2</v>
      </c>
      <c r="H2352" s="2">
        <f t="shared" ca="1" si="2238"/>
        <v>3.3701306804460172E-2</v>
      </c>
      <c r="I2352" s="2">
        <f t="shared" ca="1" si="2239"/>
        <v>7.0087759524214976E-2</v>
      </c>
      <c r="J2352" s="2">
        <f t="shared" ca="1" si="2240"/>
        <v>2.6243113592040014E-3</v>
      </c>
      <c r="K2352" s="2">
        <f t="shared" ca="1" si="2241"/>
        <v>2.6243113592040014E-3</v>
      </c>
      <c r="L2352" s="2">
        <f t="shared" ca="1" si="2242"/>
        <v>0.78574981080217376</v>
      </c>
      <c r="M2352" s="2">
        <f t="shared" ca="1" si="2243"/>
        <v>1.5835208621139678E-2</v>
      </c>
      <c r="N2352" s="2">
        <f t="shared" ca="1" si="2244"/>
        <v>1.5835208621139678E-2</v>
      </c>
      <c r="O2352" s="2">
        <f t="shared" si="2245"/>
        <v>6000000</v>
      </c>
      <c r="P2352" s="2">
        <f t="shared" ca="1" si="2246"/>
        <v>44453136.686054081</v>
      </c>
      <c r="Q2352" s="2">
        <f t="shared" ca="1" si="2247"/>
        <v>1111328.4171513522</v>
      </c>
      <c r="R2352" s="2">
        <f t="shared" ca="1" si="2248"/>
        <v>26671882.011632446</v>
      </c>
      <c r="S2352" s="2">
        <f t="shared" ca="1" si="2249"/>
        <v>17781254.674421635</v>
      </c>
      <c r="T2352" s="2">
        <f t="shared" ca="1" si="2250"/>
        <v>50791760.431056984</v>
      </c>
      <c r="U2352" s="2">
        <f t="shared" ca="1" si="2251"/>
        <v>52503509.132482678</v>
      </c>
      <c r="V2352" s="2">
        <f t="shared" ca="1" si="2252"/>
        <v>54272946.00206726</v>
      </c>
      <c r="W2352" s="2">
        <f t="shared" ca="1" si="2253"/>
        <v>56102015.206464835</v>
      </c>
      <c r="X2352" s="2">
        <f t="shared" ca="1" si="2254"/>
        <v>57992726.433286399</v>
      </c>
      <c r="Y2352" s="2">
        <f t="shared" ca="1" si="2255"/>
        <v>0.12131215567960199</v>
      </c>
      <c r="Z2352" s="2">
        <f t="shared" ca="1" si="2256"/>
        <v>0.12183701795144279</v>
      </c>
      <c r="AA2352" s="2">
        <f t="shared" ca="1" si="2257"/>
        <v>6161657.9486534335</v>
      </c>
      <c r="AB2352" s="2">
        <f t="shared" ca="1" si="2258"/>
        <v>6396870.9846880324</v>
      </c>
      <c r="AC2352" s="2">
        <f t="shared" ca="1" si="2259"/>
        <v>6612453.8963315543</v>
      </c>
      <c r="AD2352" s="2">
        <f t="shared" ca="1" si="2260"/>
        <v>6835302.2338221725</v>
      </c>
      <c r="AE2352" s="2">
        <f t="shared" ca="1" si="2261"/>
        <v>7065660.8515054258</v>
      </c>
      <c r="AF2352" s="2">
        <f t="shared" ca="1" si="2262"/>
        <v>1015835.2086211398</v>
      </c>
      <c r="AG2352" s="2">
        <f t="shared" ca="1" si="2263"/>
        <v>1050070.1826496536</v>
      </c>
      <c r="AH2352" s="2">
        <f t="shared" ca="1" si="2264"/>
        <v>1085458.9200413453</v>
      </c>
      <c r="AI2352" s="2">
        <f t="shared" ca="1" si="2265"/>
        <v>1122040.3041292967</v>
      </c>
      <c r="AJ2352" s="2">
        <f t="shared" ca="1" si="2266"/>
        <v>1159854.5286657279</v>
      </c>
      <c r="AK2352" s="2">
        <f t="shared" ca="1" si="2267"/>
        <v>0</v>
      </c>
      <c r="AL2352" s="2">
        <f t="shared" ca="1" si="2268"/>
        <v>17117.487014256938</v>
      </c>
      <c r="AM2352" s="2">
        <f t="shared" ca="1" si="2269"/>
        <v>17694.368695845827</v>
      </c>
      <c r="AN2352" s="2">
        <f t="shared" ca="1" si="2270"/>
        <v>18290.692043975741</v>
      </c>
      <c r="AO2352" s="2">
        <f t="shared" ca="1" si="2271"/>
        <v>18907.112268215642</v>
      </c>
      <c r="AP2352" s="2">
        <f t="shared" ca="1" si="2272"/>
        <v>2400469.3810469201</v>
      </c>
      <c r="AQ2352" s="2">
        <f t="shared" ca="1" si="2273"/>
        <v>713791.87333619723</v>
      </c>
      <c r="AR2352" s="2">
        <f t="shared" ca="1" si="2274"/>
        <v>766046.16945777938</v>
      </c>
      <c r="AS2352" s="2">
        <f t="shared" ca="1" si="2275"/>
        <v>812896.65476325515</v>
      </c>
      <c r="AT2352" s="2">
        <f t="shared" ca="1" si="2276"/>
        <v>861326.06264794851</v>
      </c>
      <c r="AU2352" s="2">
        <f t="shared" ca="1" si="2277"/>
        <v>911387.60486612224</v>
      </c>
      <c r="AV2352" s="2">
        <f t="shared" ca="1" si="2278"/>
        <v>2031561.4856491769</v>
      </c>
      <c r="AW2352" s="2">
        <f t="shared" ca="1" si="2279"/>
        <v>2163167.7645194223</v>
      </c>
      <c r="AX2352" s="2">
        <f t="shared" ca="1" si="2280"/>
        <v>2295934.571784188</v>
      </c>
      <c r="AY2352" s="2">
        <f t="shared" ca="1" si="2281"/>
        <v>2433175.7939540306</v>
      </c>
      <c r="AZ2352" s="2">
        <f t="shared" ca="1" si="2282"/>
        <v>2575042.2246584399</v>
      </c>
      <c r="BA2352" s="2">
        <f t="shared" ca="1" si="2283"/>
        <v>49001420.169462562</v>
      </c>
      <c r="BB2352" s="2">
        <f t="shared" ca="1" si="2284"/>
        <v>980028.40338925121</v>
      </c>
      <c r="BC2352" s="2">
        <f t="shared" ca="1" si="2285"/>
        <v>21349509.754440863</v>
      </c>
      <c r="BD2352" s="2">
        <f t="shared" ca="1" si="2286"/>
        <v>-19392583.091572985</v>
      </c>
      <c r="BE2352" s="2">
        <f t="shared" ca="1" si="2287"/>
        <v>2031561.4856491769</v>
      </c>
      <c r="BF2352" s="2">
        <f t="shared" ca="1" si="2288"/>
        <v>2163167.7645194223</v>
      </c>
      <c r="BG2352" s="2">
        <f t="shared" ca="1" si="2289"/>
        <v>2295934.571784188</v>
      </c>
      <c r="BH2352" s="2">
        <f t="shared" ca="1" si="2290"/>
        <v>2433175.7939540306</v>
      </c>
      <c r="BI2352" s="2">
        <f t="shared" ca="1" si="2291"/>
        <v>23924551.979099303</v>
      </c>
      <c r="BJ2352" s="2">
        <f t="shared" ca="1" si="2292"/>
        <v>0.1323635465842703</v>
      </c>
      <c r="BK2352" s="2">
        <f t="shared" ca="1" si="2293"/>
        <v>901736.57747220993</v>
      </c>
    </row>
    <row r="2353" spans="1:63" x14ac:dyDescent="0.3">
      <c r="A2353" s="2">
        <v>2352</v>
      </c>
      <c r="B2353" s="2">
        <f t="shared" ca="1" si="2232"/>
        <v>0.98680392267218819</v>
      </c>
      <c r="C2353" s="2">
        <f t="shared" ca="1" si="2233"/>
        <v>7.8375433760795712</v>
      </c>
      <c r="D2353" s="2">
        <f t="shared" ca="1" si="2234"/>
        <v>0.43934990149863229</v>
      </c>
      <c r="E2353" s="2">
        <f t="shared" ca="1" si="2235"/>
        <v>7.4373898884654475</v>
      </c>
      <c r="F2353" s="2">
        <f t="shared" ca="1" si="2236"/>
        <v>0.41848853830259503</v>
      </c>
      <c r="G2353" s="2">
        <f t="shared" ca="1" si="2237"/>
        <v>3.382714963928788E-2</v>
      </c>
      <c r="H2353" s="2">
        <f t="shared" ca="1" si="2238"/>
        <v>3.382714963928788E-2</v>
      </c>
      <c r="I2353" s="2">
        <f t="shared" ca="1" si="2239"/>
        <v>0.58780836853593843</v>
      </c>
      <c r="J2353" s="2">
        <f t="shared" ca="1" si="2240"/>
        <v>1.1109554385511214E-2</v>
      </c>
      <c r="K2353" s="2">
        <f t="shared" ca="1" si="2241"/>
        <v>1.1109554385511214E-2</v>
      </c>
      <c r="L2353" s="2">
        <f t="shared" ca="1" si="2242"/>
        <v>0.2808396363700838</v>
      </c>
      <c r="M2353" s="2">
        <f t="shared" ca="1" si="2243"/>
        <v>-1.1606980512568378E-2</v>
      </c>
      <c r="N2353" s="2">
        <f t="shared" ca="1" si="2244"/>
        <v>-1.1606980512568378E-2</v>
      </c>
      <c r="O2353" s="2">
        <f t="shared" si="2245"/>
        <v>6000000</v>
      </c>
      <c r="P2353" s="2">
        <f t="shared" ca="1" si="2246"/>
        <v>47025260.25647743</v>
      </c>
      <c r="Q2353" s="2">
        <f t="shared" ca="1" si="2247"/>
        <v>1175631.5064119359</v>
      </c>
      <c r="R2353" s="2">
        <f t="shared" ca="1" si="2248"/>
        <v>28215156.153886456</v>
      </c>
      <c r="S2353" s="2">
        <f t="shared" ca="1" si="2249"/>
        <v>18810104.102590974</v>
      </c>
      <c r="T2353" s="2">
        <f t="shared" ca="1" si="2250"/>
        <v>49419650.974371582</v>
      </c>
      <c r="U2353" s="2">
        <f t="shared" ca="1" si="2251"/>
        <v>51091376.90300303</v>
      </c>
      <c r="V2353" s="2">
        <f t="shared" ca="1" si="2252"/>
        <v>52819652.554778174</v>
      </c>
      <c r="W2353" s="2">
        <f t="shared" ca="1" si="2253"/>
        <v>54606390.845643848</v>
      </c>
      <c r="X2353" s="2">
        <f t="shared" ca="1" si="2254"/>
        <v>56453569.400040887</v>
      </c>
      <c r="Y2353" s="2">
        <f t="shared" ca="1" si="2255"/>
        <v>0.1255547771927556</v>
      </c>
      <c r="Z2353" s="2">
        <f t="shared" ca="1" si="2256"/>
        <v>0.12777668806985784</v>
      </c>
      <c r="AA2353" s="2">
        <f t="shared" ca="1" si="2257"/>
        <v>6204873.2670309711</v>
      </c>
      <c r="AB2353" s="2">
        <f t="shared" ca="1" si="2258"/>
        <v>6528286.9295945577</v>
      </c>
      <c r="AC2353" s="2">
        <f t="shared" ca="1" si="2259"/>
        <v>6749120.2684501605</v>
      </c>
      <c r="AD2353" s="2">
        <f t="shared" ca="1" si="2260"/>
        <v>6977423.7697045747</v>
      </c>
      <c r="AE2353" s="2">
        <f t="shared" ca="1" si="2261"/>
        <v>7213450.1276590964</v>
      </c>
      <c r="AF2353" s="2">
        <f t="shared" ca="1" si="2262"/>
        <v>988393.01948743162</v>
      </c>
      <c r="AG2353" s="2">
        <f t="shared" ca="1" si="2263"/>
        <v>1021827.5380600606</v>
      </c>
      <c r="AH2353" s="2">
        <f t="shared" ca="1" si="2264"/>
        <v>1056393.0510955635</v>
      </c>
      <c r="AI2353" s="2">
        <f t="shared" ca="1" si="2265"/>
        <v>1092127.8169128769</v>
      </c>
      <c r="AJ2353" s="2">
        <f t="shared" ca="1" si="2266"/>
        <v>1129071.3880008177</v>
      </c>
      <c r="AK2353" s="2">
        <f t="shared" ca="1" si="2267"/>
        <v>0</v>
      </c>
      <c r="AL2353" s="2">
        <f t="shared" ca="1" si="2268"/>
        <v>16717.259286314475</v>
      </c>
      <c r="AM2353" s="2">
        <f t="shared" ca="1" si="2269"/>
        <v>17282.756517751441</v>
      </c>
      <c r="AN2353" s="2">
        <f t="shared" ca="1" si="2270"/>
        <v>17867.382908656746</v>
      </c>
      <c r="AO2353" s="2">
        <f t="shared" ca="1" si="2271"/>
        <v>18471.785543970393</v>
      </c>
      <c r="AP2353" s="2">
        <f t="shared" ca="1" si="2272"/>
        <v>2539364.0538497809</v>
      </c>
      <c r="AQ2353" s="2">
        <f t="shared" ca="1" si="2273"/>
        <v>696050.21036037733</v>
      </c>
      <c r="AR2353" s="2">
        <f t="shared" ca="1" si="2274"/>
        <v>771444.78779802623</v>
      </c>
      <c r="AS2353" s="2">
        <f t="shared" ca="1" si="2275"/>
        <v>819874.42251125234</v>
      </c>
      <c r="AT2353" s="2">
        <f t="shared" ca="1" si="2276"/>
        <v>869942.29372489848</v>
      </c>
      <c r="AU2353" s="2">
        <f t="shared" ca="1" si="2277"/>
        <v>921703.81831020943</v>
      </c>
      <c r="AV2353" s="2">
        <f t="shared" ca="1" si="2278"/>
        <v>1981065.9833333818</v>
      </c>
      <c r="AW2353" s="2">
        <f t="shared" ca="1" si="2279"/>
        <v>2178933.2906003753</v>
      </c>
      <c r="AX2353" s="2">
        <f t="shared" ca="1" si="2280"/>
        <v>2316205.9844758129</v>
      </c>
      <c r="AY2353" s="2">
        <f t="shared" ca="1" si="2281"/>
        <v>2458122.2223083619</v>
      </c>
      <c r="AZ2353" s="2">
        <f t="shared" ca="1" si="2282"/>
        <v>2604839.0819543172</v>
      </c>
      <c r="BA2353" s="2">
        <f t="shared" ca="1" si="2283"/>
        <v>53649241.040401556</v>
      </c>
      <c r="BB2353" s="2">
        <f t="shared" ca="1" si="2284"/>
        <v>1072984.8208080311</v>
      </c>
      <c r="BC2353" s="2">
        <f t="shared" ca="1" si="2285"/>
        <v>24361100.065707069</v>
      </c>
      <c r="BD2353" s="2">
        <f t="shared" ca="1" si="2286"/>
        <v>-20485735.609002911</v>
      </c>
      <c r="BE2353" s="2">
        <f t="shared" ca="1" si="2287"/>
        <v>1981065.9833333818</v>
      </c>
      <c r="BF2353" s="2">
        <f t="shared" ca="1" si="2288"/>
        <v>2178933.2906003753</v>
      </c>
      <c r="BG2353" s="2">
        <f t="shared" ca="1" si="2289"/>
        <v>2316205.9844758129</v>
      </c>
      <c r="BH2353" s="2">
        <f t="shared" ca="1" si="2290"/>
        <v>2458122.2223083619</v>
      </c>
      <c r="BI2353" s="2">
        <f t="shared" ca="1" si="2291"/>
        <v>26965939.147661388</v>
      </c>
      <c r="BJ2353" s="2">
        <f t="shared" ca="1" si="2292"/>
        <v>0.13937129390199843</v>
      </c>
      <c r="BK2353" s="2">
        <f t="shared" ca="1" si="2293"/>
        <v>1532114.4264256284</v>
      </c>
    </row>
    <row r="2354" spans="1:63" x14ac:dyDescent="0.3">
      <c r="A2354" s="2">
        <v>2353</v>
      </c>
      <c r="B2354" s="2">
        <f t="shared" ca="1" si="2232"/>
        <v>0.58638283788045797</v>
      </c>
      <c r="C2354" s="2">
        <f t="shared" ca="1" si="2233"/>
        <v>7.0904757703947165</v>
      </c>
      <c r="D2354" s="2">
        <f t="shared" ca="1" si="2234"/>
        <v>0.57833373071541372</v>
      </c>
      <c r="E2354" s="2">
        <f t="shared" ca="1" si="2235"/>
        <v>7.581668611791379</v>
      </c>
      <c r="F2354" s="2">
        <f t="shared" ca="1" si="2236"/>
        <v>0.1727451185303357</v>
      </c>
      <c r="G2354" s="2">
        <f t="shared" ca="1" si="2237"/>
        <v>1.169881519404857E-2</v>
      </c>
      <c r="H2354" s="2">
        <f t="shared" ca="1" si="2238"/>
        <v>1.169881519404857E-2</v>
      </c>
      <c r="I2354" s="2">
        <f t="shared" ca="1" si="2239"/>
        <v>0.44140468849622716</v>
      </c>
      <c r="J2354" s="2">
        <f t="shared" ca="1" si="2240"/>
        <v>9.2629561076095785E-3</v>
      </c>
      <c r="K2354" s="2">
        <f t="shared" ca="1" si="2241"/>
        <v>9.2629561076095785E-3</v>
      </c>
      <c r="L2354" s="2">
        <f t="shared" ca="1" si="2242"/>
        <v>0.81295457315151276</v>
      </c>
      <c r="M2354" s="2">
        <f t="shared" ca="1" si="2243"/>
        <v>1.777673382241193E-2</v>
      </c>
      <c r="N2354" s="2">
        <f t="shared" ca="1" si="2244"/>
        <v>1.777673382241193E-2</v>
      </c>
      <c r="O2354" s="2">
        <f t="shared" si="2245"/>
        <v>6000000</v>
      </c>
      <c r="P2354" s="2">
        <f t="shared" ca="1" si="2246"/>
        <v>42542854.622368298</v>
      </c>
      <c r="Q2354" s="2">
        <f t="shared" ca="1" si="2247"/>
        <v>1063571.3655592075</v>
      </c>
      <c r="R2354" s="2">
        <f t="shared" ca="1" si="2248"/>
        <v>25525712.773420978</v>
      </c>
      <c r="S2354" s="2">
        <f t="shared" ca="1" si="2249"/>
        <v>17017141.84894732</v>
      </c>
      <c r="T2354" s="2">
        <f t="shared" ca="1" si="2250"/>
        <v>50888836.691120595</v>
      </c>
      <c r="U2354" s="2">
        <f t="shared" ca="1" si="2251"/>
        <v>51484175.787010126</v>
      </c>
      <c r="V2354" s="2">
        <f t="shared" ca="1" si="2252"/>
        <v>52086479.644960262</v>
      </c>
      <c r="W2354" s="2">
        <f t="shared" ca="1" si="2253"/>
        <v>52695829.744435221</v>
      </c>
      <c r="X2354" s="2">
        <f t="shared" ca="1" si="2254"/>
        <v>53312308.518112414</v>
      </c>
      <c r="Y2354" s="2">
        <f t="shared" ca="1" si="2255"/>
        <v>0.12463147805380478</v>
      </c>
      <c r="Z2354" s="2">
        <f t="shared" ca="1" si="2256"/>
        <v>0.12648406927532671</v>
      </c>
      <c r="AA2354" s="2">
        <f t="shared" ca="1" si="2257"/>
        <v>6342350.9332530517</v>
      </c>
      <c r="AB2354" s="2">
        <f t="shared" ca="1" si="2258"/>
        <v>6511928.0568272872</v>
      </c>
      <c r="AC2354" s="2">
        <f t="shared" ca="1" si="2259"/>
        <v>6588109.8997210488</v>
      </c>
      <c r="AD2354" s="2">
        <f t="shared" ca="1" si="2260"/>
        <v>6665182.9799159663</v>
      </c>
      <c r="AE2354" s="2">
        <f t="shared" ca="1" si="2261"/>
        <v>6743157.7238325207</v>
      </c>
      <c r="AF2354" s="2">
        <f t="shared" ca="1" si="2262"/>
        <v>1017776.733822412</v>
      </c>
      <c r="AG2354" s="2">
        <f t="shared" ca="1" si="2263"/>
        <v>1029683.5157402025</v>
      </c>
      <c r="AH2354" s="2">
        <f t="shared" ca="1" si="2264"/>
        <v>1041729.5928992053</v>
      </c>
      <c r="AI2354" s="2">
        <f t="shared" ca="1" si="2265"/>
        <v>1053916.5948887044</v>
      </c>
      <c r="AJ2354" s="2">
        <f t="shared" ca="1" si="2266"/>
        <v>1066246.1703622483</v>
      </c>
      <c r="AK2354" s="2">
        <f t="shared" ca="1" si="2267"/>
        <v>0</v>
      </c>
      <c r="AL2354" s="2">
        <f t="shared" ca="1" si="2268"/>
        <v>5953.3909588953111</v>
      </c>
      <c r="AM2354" s="2">
        <f t="shared" ca="1" si="2269"/>
        <v>6023.0385795013608</v>
      </c>
      <c r="AN2354" s="2">
        <f t="shared" ca="1" si="2270"/>
        <v>6093.500994749591</v>
      </c>
      <c r="AO2354" s="2">
        <f t="shared" ca="1" si="2271"/>
        <v>6164.7877367719266</v>
      </c>
      <c r="AP2354" s="2">
        <f t="shared" ca="1" si="2272"/>
        <v>2297314.149607888</v>
      </c>
      <c r="AQ2354" s="2">
        <f t="shared" ca="1" si="2273"/>
        <v>787087.61295391549</v>
      </c>
      <c r="AR2354" s="2">
        <f t="shared" ca="1" si="2274"/>
        <v>828081.90178459114</v>
      </c>
      <c r="AS2354" s="2">
        <f t="shared" ca="1" si="2275"/>
        <v>844757.20087562851</v>
      </c>
      <c r="AT2354" s="2">
        <f t="shared" ca="1" si="2276"/>
        <v>861627.5812090371</v>
      </c>
      <c r="AU2354" s="2">
        <f t="shared" ca="1" si="2277"/>
        <v>878695.32500422001</v>
      </c>
      <c r="AV2354" s="2">
        <f t="shared" ca="1" si="2278"/>
        <v>2240172.4368688366</v>
      </c>
      <c r="AW2354" s="2">
        <f t="shared" ca="1" si="2279"/>
        <v>2350895.0987357101</v>
      </c>
      <c r="AX2354" s="2">
        <f t="shared" ca="1" si="2280"/>
        <v>2398285.9177588257</v>
      </c>
      <c r="AY2354" s="2">
        <f t="shared" ca="1" si="2281"/>
        <v>2446231.1532155867</v>
      </c>
      <c r="AZ2354" s="2">
        <f t="shared" ca="1" si="2282"/>
        <v>2494737.291121393</v>
      </c>
      <c r="BA2354" s="2">
        <f t="shared" ca="1" si="2283"/>
        <v>51124387.25913962</v>
      </c>
      <c r="BB2354" s="2">
        <f t="shared" ca="1" si="2284"/>
        <v>1022487.7451827924</v>
      </c>
      <c r="BC2354" s="2">
        <f t="shared" ca="1" si="2285"/>
        <v>24576186.740535848</v>
      </c>
      <c r="BD2354" s="2">
        <f t="shared" ca="1" si="2286"/>
        <v>-18580713.214506529</v>
      </c>
      <c r="BE2354" s="2">
        <f t="shared" ca="1" si="2287"/>
        <v>2240172.4368688366</v>
      </c>
      <c r="BF2354" s="2">
        <f t="shared" ca="1" si="2288"/>
        <v>2350895.0987357101</v>
      </c>
      <c r="BG2354" s="2">
        <f t="shared" ca="1" si="2289"/>
        <v>2398285.9177588257</v>
      </c>
      <c r="BH2354" s="2">
        <f t="shared" ca="1" si="2290"/>
        <v>2446231.1532155867</v>
      </c>
      <c r="BI2354" s="2">
        <f t="shared" ca="1" si="2291"/>
        <v>27070924.031657241</v>
      </c>
      <c r="BJ2354" s="2">
        <f t="shared" ca="1" si="2292"/>
        <v>0.17309279137062972</v>
      </c>
      <c r="BK2354" s="2">
        <f t="shared" ca="1" si="2293"/>
        <v>3916005.897836037</v>
      </c>
    </row>
    <row r="2355" spans="1:63" x14ac:dyDescent="0.3">
      <c r="A2355" s="2">
        <v>2354</v>
      </c>
      <c r="B2355" s="2">
        <f t="shared" ca="1" si="2232"/>
        <v>0.19525027150431506</v>
      </c>
      <c r="C2355" s="2">
        <f t="shared" ca="1" si="2233"/>
        <v>6.6249004264749942</v>
      </c>
      <c r="D2355" s="2">
        <f t="shared" ca="1" si="2234"/>
        <v>0.55434951052163739</v>
      </c>
      <c r="E2355" s="2">
        <f t="shared" ca="1" si="2235"/>
        <v>7.5559126211220038</v>
      </c>
      <c r="F2355" s="2">
        <f t="shared" ca="1" si="2236"/>
        <v>0.65545722008277396</v>
      </c>
      <c r="G2355" s="2">
        <f t="shared" ca="1" si="2237"/>
        <v>5.2002890200879108E-2</v>
      </c>
      <c r="H2355" s="2">
        <f t="shared" ca="1" si="2238"/>
        <v>5.2002890200879108E-2</v>
      </c>
      <c r="I2355" s="2">
        <f t="shared" ca="1" si="2239"/>
        <v>0.67031552207484135</v>
      </c>
      <c r="J2355" s="2">
        <f t="shared" ca="1" si="2240"/>
        <v>1.2203922914016407E-2</v>
      </c>
      <c r="K2355" s="2">
        <f t="shared" ca="1" si="2241"/>
        <v>1.2203922914016407E-2</v>
      </c>
      <c r="L2355" s="2">
        <f t="shared" ca="1" si="2242"/>
        <v>0.48087010801812713</v>
      </c>
      <c r="M2355" s="2">
        <f t="shared" ca="1" si="2243"/>
        <v>-9.5939838305100767E-4</v>
      </c>
      <c r="N2355" s="2">
        <f t="shared" ca="1" si="2244"/>
        <v>-9.5939838305100767E-4</v>
      </c>
      <c r="O2355" s="2">
        <f t="shared" si="2245"/>
        <v>6000000</v>
      </c>
      <c r="P2355" s="2">
        <f t="shared" ca="1" si="2246"/>
        <v>39749402.558849968</v>
      </c>
      <c r="Q2355" s="2">
        <f t="shared" ca="1" si="2247"/>
        <v>993735.06397124927</v>
      </c>
      <c r="R2355" s="2">
        <f t="shared" ca="1" si="2248"/>
        <v>23849641.535309982</v>
      </c>
      <c r="S2355" s="2">
        <f t="shared" ca="1" si="2249"/>
        <v>15899761.023539988</v>
      </c>
      <c r="T2355" s="2">
        <f t="shared" ca="1" si="2250"/>
        <v>49952030.08084745</v>
      </c>
      <c r="U2355" s="2">
        <f t="shared" ca="1" si="2251"/>
        <v>52549680.016452767</v>
      </c>
      <c r="V2355" s="2">
        <f t="shared" ca="1" si="2252"/>
        <v>55282415.256439693</v>
      </c>
      <c r="W2355" s="2">
        <f t="shared" ca="1" si="2253"/>
        <v>58157260.627059728</v>
      </c>
      <c r="X2355" s="2">
        <f t="shared" ca="1" si="2254"/>
        <v>61181606.265832625</v>
      </c>
      <c r="Y2355" s="2">
        <f t="shared" ca="1" si="2255"/>
        <v>0.12610196145700819</v>
      </c>
      <c r="Z2355" s="2">
        <f t="shared" ca="1" si="2256"/>
        <v>0.12854274603981147</v>
      </c>
      <c r="AA2355" s="2">
        <f t="shared" ca="1" si="2257"/>
        <v>6299048.9719543392</v>
      </c>
      <c r="AB2355" s="2">
        <f t="shared" ca="1" si="2258"/>
        <v>6754880.172828244</v>
      </c>
      <c r="AC2355" s="2">
        <f t="shared" ca="1" si="2259"/>
        <v>7106153.4647759264</v>
      </c>
      <c r="AD2355" s="2">
        <f t="shared" ca="1" si="2260"/>
        <v>7475693.9831552655</v>
      </c>
      <c r="AE2355" s="2">
        <f t="shared" ca="1" si="2261"/>
        <v>7864451.6765366616</v>
      </c>
      <c r="AF2355" s="2">
        <f t="shared" ca="1" si="2262"/>
        <v>999040.60161694896</v>
      </c>
      <c r="AG2355" s="2">
        <f t="shared" ca="1" si="2263"/>
        <v>1050993.6003290555</v>
      </c>
      <c r="AH2355" s="2">
        <f t="shared" ca="1" si="2264"/>
        <v>1105648.3051287939</v>
      </c>
      <c r="AI2355" s="2">
        <f t="shared" ca="1" si="2265"/>
        <v>1163145.2125411946</v>
      </c>
      <c r="AJ2355" s="2">
        <f t="shared" ca="1" si="2266"/>
        <v>1223632.1253166525</v>
      </c>
      <c r="AK2355" s="2">
        <f t="shared" ca="1" si="2267"/>
        <v>0</v>
      </c>
      <c r="AL2355" s="2">
        <f t="shared" ca="1" si="2268"/>
        <v>25976.499356053173</v>
      </c>
      <c r="AM2355" s="2">
        <f t="shared" ca="1" si="2269"/>
        <v>27327.352399869265</v>
      </c>
      <c r="AN2355" s="2">
        <f t="shared" ca="1" si="2270"/>
        <v>28748.453706200347</v>
      </c>
      <c r="AO2355" s="2">
        <f t="shared" ca="1" si="2271"/>
        <v>30243.456387728977</v>
      </c>
      <c r="AP2355" s="2">
        <f t="shared" ca="1" si="2272"/>
        <v>2146467.7381778983</v>
      </c>
      <c r="AQ2355" s="2">
        <f t="shared" ca="1" si="2273"/>
        <v>819920.56436146796</v>
      </c>
      <c r="AR2355" s="2">
        <f t="shared" ca="1" si="2274"/>
        <v>924928.8969235355</v>
      </c>
      <c r="AS2355" s="2">
        <f t="shared" ca="1" si="2275"/>
        <v>1002049.7295820009</v>
      </c>
      <c r="AT2355" s="2">
        <f t="shared" ca="1" si="2276"/>
        <v>1083181.0684334049</v>
      </c>
      <c r="AU2355" s="2">
        <f t="shared" ca="1" si="2277"/>
        <v>1168531.4713909489</v>
      </c>
      <c r="AV2355" s="2">
        <f t="shared" ca="1" si="2278"/>
        <v>2333620.067798024</v>
      </c>
      <c r="AW2355" s="2">
        <f t="shared" ca="1" si="2279"/>
        <v>2606513.4380417019</v>
      </c>
      <c r="AX2355" s="2">
        <f t="shared" ca="1" si="2280"/>
        <v>2824660.3394873645</v>
      </c>
      <c r="AY2355" s="2">
        <f t="shared" ca="1" si="2281"/>
        <v>3054151.5102965673</v>
      </c>
      <c r="AZ2355" s="2">
        <f t="shared" ca="1" si="2282"/>
        <v>3295576.8852634327</v>
      </c>
      <c r="BA2355" s="2">
        <f t="shared" ca="1" si="2283"/>
        <v>59423109.68094746</v>
      </c>
      <c r="BB2355" s="2">
        <f t="shared" ca="1" si="2284"/>
        <v>1188462.1936189493</v>
      </c>
      <c r="BC2355" s="2">
        <f t="shared" ca="1" si="2285"/>
        <v>34385005.952018537</v>
      </c>
      <c r="BD2355" s="2">
        <f t="shared" ca="1" si="2286"/>
        <v>-17393496.087511238</v>
      </c>
      <c r="BE2355" s="2">
        <f t="shared" ca="1" si="2287"/>
        <v>2333620.067798024</v>
      </c>
      <c r="BF2355" s="2">
        <f t="shared" ca="1" si="2288"/>
        <v>2606513.4380417019</v>
      </c>
      <c r="BG2355" s="2">
        <f t="shared" ca="1" si="2289"/>
        <v>2824660.3394873645</v>
      </c>
      <c r="BH2355" s="2">
        <f t="shared" ca="1" si="2290"/>
        <v>3054151.5102965673</v>
      </c>
      <c r="BI2355" s="2">
        <f t="shared" ca="1" si="2291"/>
        <v>37680582.837281972</v>
      </c>
      <c r="BJ2355" s="2">
        <f t="shared" ca="1" si="2292"/>
        <v>0.27032486752110918</v>
      </c>
      <c r="BK2355" s="2">
        <f t="shared" ca="1" si="2293"/>
        <v>12100470.389711339</v>
      </c>
    </row>
    <row r="2356" spans="1:63" x14ac:dyDescent="0.3">
      <c r="A2356" s="2">
        <v>2355</v>
      </c>
      <c r="B2356" s="2">
        <f t="shared" ca="1" si="2232"/>
        <v>0.45143778648160326</v>
      </c>
      <c r="C2356" s="2">
        <f t="shared" ca="1" si="2233"/>
        <v>6.9501976494199544</v>
      </c>
      <c r="D2356" s="2">
        <f t="shared" ca="1" si="2234"/>
        <v>0.52894500958929791</v>
      </c>
      <c r="E2356" s="2">
        <f t="shared" ca="1" si="2235"/>
        <v>7.529376498934111</v>
      </c>
      <c r="F2356" s="2">
        <f t="shared" ca="1" si="2236"/>
        <v>0.7050624778870207</v>
      </c>
      <c r="G2356" s="2">
        <f t="shared" ca="1" si="2237"/>
        <v>5.6170513488841334E-2</v>
      </c>
      <c r="H2356" s="2">
        <f t="shared" ca="1" si="2238"/>
        <v>5.6170513488841334E-2</v>
      </c>
      <c r="I2356" s="2">
        <f t="shared" ca="1" si="2239"/>
        <v>0.16395910734250263</v>
      </c>
      <c r="J2356" s="2">
        <f t="shared" ca="1" si="2240"/>
        <v>5.1084215751701686E-3</v>
      </c>
      <c r="K2356" s="2">
        <f t="shared" ca="1" si="2241"/>
        <v>5.1084215751701686E-3</v>
      </c>
      <c r="L2356" s="2">
        <f t="shared" ca="1" si="2242"/>
        <v>0.38481253255211467</v>
      </c>
      <c r="M2356" s="2">
        <f t="shared" ca="1" si="2243"/>
        <v>-5.8573072550511087E-3</v>
      </c>
      <c r="N2356" s="2">
        <f t="shared" ca="1" si="2244"/>
        <v>-5.8573072550511087E-3</v>
      </c>
      <c r="O2356" s="2">
        <f t="shared" si="2245"/>
        <v>6000000</v>
      </c>
      <c r="P2356" s="2">
        <f t="shared" ca="1" si="2246"/>
        <v>41701185.896519728</v>
      </c>
      <c r="Q2356" s="2">
        <f t="shared" ca="1" si="2247"/>
        <v>1042529.6474129932</v>
      </c>
      <c r="R2356" s="2">
        <f t="shared" ca="1" si="2248"/>
        <v>25020711.537911836</v>
      </c>
      <c r="S2356" s="2">
        <f t="shared" ca="1" si="2249"/>
        <v>16680474.358607892</v>
      </c>
      <c r="T2356" s="2">
        <f t="shared" ca="1" si="2250"/>
        <v>49707134.637247443</v>
      </c>
      <c r="U2356" s="2">
        <f t="shared" ca="1" si="2251"/>
        <v>52499209.913880602</v>
      </c>
      <c r="V2356" s="2">
        <f t="shared" ca="1" si="2252"/>
        <v>55448117.492501743</v>
      </c>
      <c r="W2356" s="2">
        <f t="shared" ca="1" si="2253"/>
        <v>58562666.724045165</v>
      </c>
      <c r="X2356" s="2">
        <f t="shared" ca="1" si="2254"/>
        <v>61852161.785210662</v>
      </c>
      <c r="Y2356" s="2">
        <f t="shared" ca="1" si="2255"/>
        <v>0.12255421078758508</v>
      </c>
      <c r="Z2356" s="2">
        <f t="shared" ca="1" si="2256"/>
        <v>0.12357589510261911</v>
      </c>
      <c r="AA2356" s="2">
        <f t="shared" ca="1" si="2257"/>
        <v>6091818.6559800943</v>
      </c>
      <c r="AB2356" s="2">
        <f t="shared" ca="1" si="2258"/>
        <v>6487636.8572880905</v>
      </c>
      <c r="AC2356" s="2">
        <f t="shared" ca="1" si="2259"/>
        <v>6852050.750891095</v>
      </c>
      <c r="AD2356" s="2">
        <f t="shared" ca="1" si="2260"/>
        <v>7236933.9600202478</v>
      </c>
      <c r="AE2356" s="2">
        <f t="shared" ca="1" si="2261"/>
        <v>7643436.2566394191</v>
      </c>
      <c r="AF2356" s="2">
        <f t="shared" ca="1" si="2262"/>
        <v>994142.6927449489</v>
      </c>
      <c r="AG2356" s="2">
        <f t="shared" ca="1" si="2263"/>
        <v>1049984.198277612</v>
      </c>
      <c r="AH2356" s="2">
        <f t="shared" ca="1" si="2264"/>
        <v>1108962.3498500348</v>
      </c>
      <c r="AI2356" s="2">
        <f t="shared" ca="1" si="2265"/>
        <v>1171253.3344809033</v>
      </c>
      <c r="AJ2356" s="2">
        <f t="shared" ca="1" si="2266"/>
        <v>1237043.2357042131</v>
      </c>
      <c r="AK2356" s="2">
        <f t="shared" ca="1" si="2267"/>
        <v>0</v>
      </c>
      <c r="AL2356" s="2">
        <f t="shared" ca="1" si="2268"/>
        <v>27920.752766331585</v>
      </c>
      <c r="AM2356" s="2">
        <f t="shared" ca="1" si="2269"/>
        <v>29489.075786211415</v>
      </c>
      <c r="AN2356" s="2">
        <f t="shared" ca="1" si="2270"/>
        <v>31145.492315434218</v>
      </c>
      <c r="AO2356" s="2">
        <f t="shared" ca="1" si="2271"/>
        <v>32894.950611654967</v>
      </c>
      <c r="AP2356" s="2">
        <f t="shared" ca="1" si="2272"/>
        <v>2251864.0384120652</v>
      </c>
      <c r="AQ2356" s="2">
        <f t="shared" ca="1" si="2273"/>
        <v>739911.10045400087</v>
      </c>
      <c r="AR2356" s="2">
        <f t="shared" ca="1" si="2274"/>
        <v>828305.04135558743</v>
      </c>
      <c r="AS2356" s="2">
        <f t="shared" ca="1" si="2275"/>
        <v>907718.33428353886</v>
      </c>
      <c r="AT2356" s="2">
        <f t="shared" ca="1" si="2276"/>
        <v>991592.31265309267</v>
      </c>
      <c r="AU2356" s="2">
        <f t="shared" ca="1" si="2277"/>
        <v>1080177.5354560167</v>
      </c>
      <c r="AV2356" s="2">
        <f t="shared" ca="1" si="2278"/>
        <v>2105900.8243690794</v>
      </c>
      <c r="AW2356" s="2">
        <f t="shared" ca="1" si="2279"/>
        <v>2329562.8264764939</v>
      </c>
      <c r="AX2356" s="2">
        <f t="shared" ca="1" si="2280"/>
        <v>2554016.9525592448</v>
      </c>
      <c r="AY2356" s="2">
        <f t="shared" ca="1" si="2281"/>
        <v>2791078.7821587529</v>
      </c>
      <c r="AZ2356" s="2">
        <f t="shared" ca="1" si="2282"/>
        <v>3041456.4964554692</v>
      </c>
      <c r="BA2356" s="2">
        <f t="shared" ca="1" si="2283"/>
        <v>57550309.321841754</v>
      </c>
      <c r="BB2356" s="2">
        <f t="shared" ca="1" si="2284"/>
        <v>1151006.1864368352</v>
      </c>
      <c r="BC2356" s="2">
        <f t="shared" ca="1" si="2285"/>
        <v>31378591.597493082</v>
      </c>
      <c r="BD2356" s="2">
        <f t="shared" ca="1" si="2286"/>
        <v>-18223004.006020885</v>
      </c>
      <c r="BE2356" s="2">
        <f t="shared" ca="1" si="2287"/>
        <v>2105900.8243690794</v>
      </c>
      <c r="BF2356" s="2">
        <f t="shared" ca="1" si="2288"/>
        <v>2329562.8264764939</v>
      </c>
      <c r="BG2356" s="2">
        <f t="shared" ca="1" si="2289"/>
        <v>2554016.9525592448</v>
      </c>
      <c r="BH2356" s="2">
        <f t="shared" ca="1" si="2290"/>
        <v>2791078.7821587529</v>
      </c>
      <c r="BI2356" s="2">
        <f t="shared" ca="1" si="2291"/>
        <v>34420048.093948551</v>
      </c>
      <c r="BJ2356" s="2">
        <f t="shared" ca="1" si="2292"/>
        <v>0.22749997656119825</v>
      </c>
      <c r="BK2356" s="2">
        <f t="shared" ca="1" si="2293"/>
        <v>8636917.3171617873</v>
      </c>
    </row>
    <row r="2357" spans="1:63" x14ac:dyDescent="0.3">
      <c r="A2357" s="2">
        <v>2356</v>
      </c>
      <c r="B2357" s="2">
        <f t="shared" ca="1" si="2232"/>
        <v>0.72370195379629831</v>
      </c>
      <c r="C2357" s="2">
        <f t="shared" ca="1" si="2233"/>
        <v>7.2566319266962003</v>
      </c>
      <c r="D2357" s="2">
        <f t="shared" ca="1" si="2234"/>
        <v>0.7172280324808864</v>
      </c>
      <c r="E2357" s="2">
        <f t="shared" ca="1" si="2235"/>
        <v>7.7479734479167455</v>
      </c>
      <c r="F2357" s="2">
        <f t="shared" ca="1" si="2236"/>
        <v>0.6222669113437399</v>
      </c>
      <c r="G2357" s="2">
        <f t="shared" ca="1" si="2237"/>
        <v>4.9343198890926067E-2</v>
      </c>
      <c r="H2357" s="2">
        <f t="shared" ca="1" si="2238"/>
        <v>4.9343198890926067E-2</v>
      </c>
      <c r="I2357" s="2">
        <f t="shared" ca="1" si="2239"/>
        <v>0.85671122044191572</v>
      </c>
      <c r="J2357" s="2">
        <f t="shared" ca="1" si="2240"/>
        <v>1.532829786148451E-2</v>
      </c>
      <c r="K2357" s="2">
        <f t="shared" ca="1" si="2241"/>
        <v>1.532829786148451E-2</v>
      </c>
      <c r="L2357" s="2">
        <f t="shared" ca="1" si="2242"/>
        <v>6.9988872095914756E-2</v>
      </c>
      <c r="M2357" s="2">
        <f t="shared" ca="1" si="2243"/>
        <v>-2.9517478232092286E-2</v>
      </c>
      <c r="N2357" s="2">
        <f t="shared" ca="1" si="2244"/>
        <v>-2.9517478232092286E-2</v>
      </c>
      <c r="O2357" s="2">
        <f t="shared" si="2245"/>
        <v>6000000</v>
      </c>
      <c r="P2357" s="2">
        <f t="shared" ca="1" si="2246"/>
        <v>43539791.5601772</v>
      </c>
      <c r="Q2357" s="2">
        <f t="shared" ca="1" si="2247"/>
        <v>1088494.7890044299</v>
      </c>
      <c r="R2357" s="2">
        <f t="shared" ca="1" si="2248"/>
        <v>26123874.93610632</v>
      </c>
      <c r="S2357" s="2">
        <f t="shared" ca="1" si="2249"/>
        <v>17415916.624070879</v>
      </c>
      <c r="T2357" s="2">
        <f t="shared" ca="1" si="2250"/>
        <v>48524126.088395387</v>
      </c>
      <c r="U2357" s="2">
        <f t="shared" ca="1" si="2251"/>
        <v>50918461.692983456</v>
      </c>
      <c r="V2357" s="2">
        <f t="shared" ca="1" si="2252"/>
        <v>53430941.475520343</v>
      </c>
      <c r="W2357" s="2">
        <f t="shared" ca="1" si="2253"/>
        <v>56067395.047676377</v>
      </c>
      <c r="X2357" s="2">
        <f t="shared" ca="1" si="2254"/>
        <v>58833939.672809996</v>
      </c>
      <c r="Y2357" s="2">
        <f t="shared" ca="1" si="2255"/>
        <v>0.12766414893074224</v>
      </c>
      <c r="Z2357" s="2">
        <f t="shared" ca="1" si="2256"/>
        <v>0.13072980850303914</v>
      </c>
      <c r="AA2357" s="2">
        <f t="shared" ca="1" si="2257"/>
        <v>6194791.2596830232</v>
      </c>
      <c r="AB2357" s="2">
        <f t="shared" ca="1" si="2258"/>
        <v>6656560.7463930612</v>
      </c>
      <c r="AC2357" s="2">
        <f t="shared" ca="1" si="2259"/>
        <v>6985016.7472318662</v>
      </c>
      <c r="AD2357" s="2">
        <f t="shared" ca="1" si="2260"/>
        <v>7329679.8178469781</v>
      </c>
      <c r="AE2357" s="2">
        <f t="shared" ca="1" si="2261"/>
        <v>7691349.6669058083</v>
      </c>
      <c r="AF2357" s="2">
        <f t="shared" ca="1" si="2262"/>
        <v>970482.52176790778</v>
      </c>
      <c r="AG2357" s="2">
        <f t="shared" ca="1" si="2263"/>
        <v>1018369.2338596692</v>
      </c>
      <c r="AH2357" s="2">
        <f t="shared" ca="1" si="2264"/>
        <v>1068618.8295104068</v>
      </c>
      <c r="AI2357" s="2">
        <f t="shared" ca="1" si="2265"/>
        <v>1121347.9009535275</v>
      </c>
      <c r="AJ2357" s="2">
        <f t="shared" ca="1" si="2266"/>
        <v>1176678.7934562</v>
      </c>
      <c r="AK2357" s="2">
        <f t="shared" ca="1" si="2267"/>
        <v>0</v>
      </c>
      <c r="AL2357" s="2">
        <f t="shared" ca="1" si="2268"/>
        <v>23943.35604588069</v>
      </c>
      <c r="AM2357" s="2">
        <f t="shared" ca="1" si="2269"/>
        <v>25124.797825368867</v>
      </c>
      <c r="AN2357" s="2">
        <f t="shared" ca="1" si="2270"/>
        <v>26364.535721560344</v>
      </c>
      <c r="AO2357" s="2">
        <f t="shared" ca="1" si="2271"/>
        <v>27665.446251336187</v>
      </c>
      <c r="AP2357" s="2">
        <f t="shared" ca="1" si="2272"/>
        <v>2351148.7442495688</v>
      </c>
      <c r="AQ2357" s="2">
        <f t="shared" ca="1" si="2273"/>
        <v>747021.59835304215</v>
      </c>
      <c r="AR2357" s="2">
        <f t="shared" ca="1" si="2274"/>
        <v>854631.11975379405</v>
      </c>
      <c r="AS2357" s="2">
        <f t="shared" ca="1" si="2275"/>
        <v>926964.78510269162</v>
      </c>
      <c r="AT2357" s="2">
        <f t="shared" ca="1" si="2276"/>
        <v>1002867.6248874093</v>
      </c>
      <c r="AU2357" s="2">
        <f t="shared" ca="1" si="2277"/>
        <v>1082515.7535920104</v>
      </c>
      <c r="AV2357" s="2">
        <f t="shared" ca="1" si="2278"/>
        <v>2126138.3953125044</v>
      </c>
      <c r="AW2357" s="2">
        <f t="shared" ca="1" si="2279"/>
        <v>2408468.2924841489</v>
      </c>
      <c r="AX2357" s="2">
        <f t="shared" ca="1" si="2280"/>
        <v>2613159.5905438303</v>
      </c>
      <c r="AY2357" s="2">
        <f t="shared" ca="1" si="2281"/>
        <v>2827951.0120349121</v>
      </c>
      <c r="AZ2357" s="2">
        <f t="shared" ca="1" si="2282"/>
        <v>3053340.9293566928</v>
      </c>
      <c r="BA2357" s="2">
        <f t="shared" ca="1" si="2283"/>
        <v>59592372.997829504</v>
      </c>
      <c r="BB2357" s="2">
        <f t="shared" ca="1" si="2284"/>
        <v>1191847.4599565901</v>
      </c>
      <c r="BC2357" s="2">
        <f t="shared" ca="1" si="2285"/>
        <v>32276650.601766594</v>
      </c>
      <c r="BD2357" s="2">
        <f t="shared" ca="1" si="2286"/>
        <v>-19004411.413075309</v>
      </c>
      <c r="BE2357" s="2">
        <f t="shared" ca="1" si="2287"/>
        <v>2126138.3953125044</v>
      </c>
      <c r="BF2357" s="2">
        <f t="shared" ca="1" si="2288"/>
        <v>2408468.2924841489</v>
      </c>
      <c r="BG2357" s="2">
        <f t="shared" ca="1" si="2289"/>
        <v>2613159.5905438303</v>
      </c>
      <c r="BH2357" s="2">
        <f t="shared" ca="1" si="2290"/>
        <v>2827951.0120349121</v>
      </c>
      <c r="BI2357" s="2">
        <f t="shared" ca="1" si="2291"/>
        <v>35329991.531123288</v>
      </c>
      <c r="BJ2357" s="2">
        <f t="shared" ca="1" si="2292"/>
        <v>0.2222164615347737</v>
      </c>
      <c r="BK2357" s="2">
        <f t="shared" ca="1" si="2293"/>
        <v>8518337.9979211353</v>
      </c>
    </row>
    <row r="2358" spans="1:63" x14ac:dyDescent="0.3">
      <c r="A2358" s="2">
        <v>2357</v>
      </c>
      <c r="B2358" s="2">
        <f t="shared" ca="1" si="2232"/>
        <v>0.51118640142883776</v>
      </c>
      <c r="C2358" s="2">
        <f t="shared" ca="1" si="2233"/>
        <v>7.0112496790684089</v>
      </c>
      <c r="D2358" s="2">
        <f t="shared" ca="1" si="2234"/>
        <v>0.8483765267703135</v>
      </c>
      <c r="E2358" s="2">
        <f t="shared" ca="1" si="2235"/>
        <v>7.9493213764277995</v>
      </c>
      <c r="F2358" s="2">
        <f t="shared" ca="1" si="2236"/>
        <v>0.14834105611865189</v>
      </c>
      <c r="G2358" s="2">
        <f t="shared" ca="1" si="2237"/>
        <v>8.6927530979086301E-3</v>
      </c>
      <c r="H2358" s="2">
        <f t="shared" ca="1" si="2238"/>
        <v>8.6927530979086301E-3</v>
      </c>
      <c r="I2358" s="2">
        <f t="shared" ca="1" si="2239"/>
        <v>0.54459896552833542</v>
      </c>
      <c r="J2358" s="2">
        <f t="shared" ca="1" si="2240"/>
        <v>1.0560134555246008E-2</v>
      </c>
      <c r="K2358" s="2">
        <f t="shared" ca="1" si="2241"/>
        <v>1.0560134555246008E-2</v>
      </c>
      <c r="L2358" s="2">
        <f t="shared" ca="1" si="2242"/>
        <v>2.8355152703733566E-2</v>
      </c>
      <c r="M2358" s="2">
        <f t="shared" ca="1" si="2243"/>
        <v>-3.8110739566818375E-2</v>
      </c>
      <c r="N2358" s="2">
        <f t="shared" ca="1" si="2244"/>
        <v>-3.8110739566818375E-2</v>
      </c>
      <c r="O2358" s="2">
        <f t="shared" si="2245"/>
        <v>6000000</v>
      </c>
      <c r="P2358" s="2">
        <f t="shared" ca="1" si="2246"/>
        <v>42067498.074410453</v>
      </c>
      <c r="Q2358" s="2">
        <f t="shared" ca="1" si="2247"/>
        <v>1051687.4518602614</v>
      </c>
      <c r="R2358" s="2">
        <f t="shared" ca="1" si="2248"/>
        <v>25240498.844646271</v>
      </c>
      <c r="S2358" s="2">
        <f t="shared" ca="1" si="2249"/>
        <v>16826999.229764182</v>
      </c>
      <c r="T2358" s="2">
        <f t="shared" ca="1" si="2250"/>
        <v>48094463.021659084</v>
      </c>
      <c r="U2358" s="2">
        <f t="shared" ca="1" si="2251"/>
        <v>48512536.314082861</v>
      </c>
      <c r="V2358" s="2">
        <f t="shared" ca="1" si="2252"/>
        <v>48934243.814414509</v>
      </c>
      <c r="W2358" s="2">
        <f t="shared" ca="1" si="2253"/>
        <v>49359617.113926075</v>
      </c>
      <c r="X2358" s="2">
        <f t="shared" ca="1" si="2254"/>
        <v>49788688.078504741</v>
      </c>
      <c r="Y2358" s="2">
        <f t="shared" ca="1" si="2255"/>
        <v>0.125280067277623</v>
      </c>
      <c r="Z2358" s="2">
        <f t="shared" ca="1" si="2256"/>
        <v>0.1273920941886722</v>
      </c>
      <c r="AA2358" s="2">
        <f t="shared" ca="1" si="2257"/>
        <v>6025277.5630346015</v>
      </c>
      <c r="AB2358" s="2">
        <f t="shared" ca="1" si="2258"/>
        <v>6180113.5954550244</v>
      </c>
      <c r="AC2358" s="2">
        <f t="shared" ca="1" si="2259"/>
        <v>6233835.7970573427</v>
      </c>
      <c r="AD2358" s="2">
        <f t="shared" ca="1" si="2260"/>
        <v>6288024.9924940672</v>
      </c>
      <c r="AE2358" s="2">
        <f t="shared" ca="1" si="2261"/>
        <v>6342685.2412272971</v>
      </c>
      <c r="AF2358" s="2">
        <f t="shared" ca="1" si="2262"/>
        <v>961889.26043318165</v>
      </c>
      <c r="AG2358" s="2">
        <f t="shared" ca="1" si="2263"/>
        <v>970250.72628165723</v>
      </c>
      <c r="AH2358" s="2">
        <f t="shared" ca="1" si="2264"/>
        <v>978684.87628829014</v>
      </c>
      <c r="AI2358" s="2">
        <f t="shared" ca="1" si="2265"/>
        <v>987192.34227852151</v>
      </c>
      <c r="AJ2358" s="2">
        <f t="shared" ca="1" si="2266"/>
        <v>995773.76157009485</v>
      </c>
      <c r="AK2358" s="2">
        <f t="shared" ca="1" si="2267"/>
        <v>0</v>
      </c>
      <c r="AL2358" s="2">
        <f t="shared" ca="1" si="2268"/>
        <v>4180.7329242377727</v>
      </c>
      <c r="AM2358" s="2">
        <f t="shared" ca="1" si="2269"/>
        <v>4217.0750033164768</v>
      </c>
      <c r="AN2358" s="2">
        <f t="shared" ca="1" si="2270"/>
        <v>4253.732995115668</v>
      </c>
      <c r="AO2358" s="2">
        <f t="shared" ca="1" si="2271"/>
        <v>4290.7096457866583</v>
      </c>
      <c r="AP2358" s="2">
        <f t="shared" ca="1" si="2272"/>
        <v>2271644.8960181642</v>
      </c>
      <c r="AQ2358" s="2">
        <f t="shared" ca="1" si="2273"/>
        <v>725853.28571164631</v>
      </c>
      <c r="AR2358" s="2">
        <f t="shared" ca="1" si="2274"/>
        <v>763936.67302035284</v>
      </c>
      <c r="AS2358" s="2">
        <f t="shared" ca="1" si="2275"/>
        <v>775711.56643523101</v>
      </c>
      <c r="AT2358" s="2">
        <f t="shared" ca="1" si="2276"/>
        <v>787588.8160913192</v>
      </c>
      <c r="AU2358" s="2">
        <f t="shared" ca="1" si="2277"/>
        <v>799569.31174614991</v>
      </c>
      <c r="AV2358" s="2">
        <f t="shared" ca="1" si="2278"/>
        <v>2065890.1208716091</v>
      </c>
      <c r="AW2358" s="2">
        <f t="shared" ca="1" si="2279"/>
        <v>2170100.5672106128</v>
      </c>
      <c r="AX2358" s="2">
        <f t="shared" ca="1" si="2280"/>
        <v>2203577.3833123408</v>
      </c>
      <c r="AY2358" s="2">
        <f t="shared" ca="1" si="2281"/>
        <v>2237345.2051109467</v>
      </c>
      <c r="AZ2358" s="2">
        <f t="shared" ca="1" si="2282"/>
        <v>2271406.5622471012</v>
      </c>
      <c r="BA2358" s="2">
        <f t="shared" ca="1" si="2283"/>
        <v>50420043.37204127</v>
      </c>
      <c r="BB2358" s="2">
        <f t="shared" ca="1" si="2284"/>
        <v>1008400.8674408254</v>
      </c>
      <c r="BC2358" s="2">
        <f t="shared" ca="1" si="2285"/>
        <v>24171143.659954172</v>
      </c>
      <c r="BD2358" s="2">
        <f t="shared" ca="1" si="2286"/>
        <v>-18378686.681624442</v>
      </c>
      <c r="BE2358" s="2">
        <f t="shared" ca="1" si="2287"/>
        <v>2065890.1208716091</v>
      </c>
      <c r="BF2358" s="2">
        <f t="shared" ca="1" si="2288"/>
        <v>2170100.5672106128</v>
      </c>
      <c r="BG2358" s="2">
        <f t="shared" ca="1" si="2289"/>
        <v>2203577.3833123408</v>
      </c>
      <c r="BH2358" s="2">
        <f t="shared" ca="1" si="2290"/>
        <v>2237345.2051109467</v>
      </c>
      <c r="BI2358" s="2">
        <f t="shared" ca="1" si="2291"/>
        <v>26442550.222201273</v>
      </c>
      <c r="BJ2358" s="2">
        <f t="shared" ca="1" si="2292"/>
        <v>0.16382553284457146</v>
      </c>
      <c r="BK2358" s="2">
        <f t="shared" ca="1" si="2293"/>
        <v>3190398.2662193477</v>
      </c>
    </row>
    <row r="2359" spans="1:63" x14ac:dyDescent="0.3">
      <c r="A2359" s="2">
        <v>2358</v>
      </c>
      <c r="B2359" s="2">
        <f t="shared" ca="1" si="2232"/>
        <v>0.91627566896814383</v>
      </c>
      <c r="C2359" s="2">
        <f t="shared" ca="1" si="2233"/>
        <v>7.5907950854844088</v>
      </c>
      <c r="D2359" s="2">
        <f t="shared" ca="1" si="2234"/>
        <v>3.3431338690722456E-2</v>
      </c>
      <c r="E2359" s="2">
        <f t="shared" ca="1" si="2235"/>
        <v>6.7585781842720785</v>
      </c>
      <c r="F2359" s="2">
        <f t="shared" ca="1" si="2236"/>
        <v>7.5045210182607902E-2</v>
      </c>
      <c r="G2359" s="2">
        <f t="shared" ca="1" si="2237"/>
        <v>-3.1763648850072559E-3</v>
      </c>
      <c r="H2359" s="2">
        <f t="shared" ca="1" si="2238"/>
        <v>-3.1763648850072559E-3</v>
      </c>
      <c r="I2359" s="2">
        <f t="shared" ca="1" si="2239"/>
        <v>0.5555387937730496</v>
      </c>
      <c r="J2359" s="2">
        <f t="shared" ca="1" si="2240"/>
        <v>1.0698339356960055E-2</v>
      </c>
      <c r="K2359" s="2">
        <f t="shared" ca="1" si="2241"/>
        <v>1.0698339356960055E-2</v>
      </c>
      <c r="L2359" s="2">
        <f t="shared" ca="1" si="2242"/>
        <v>0.94517806676092631</v>
      </c>
      <c r="M2359" s="2">
        <f t="shared" ca="1" si="2243"/>
        <v>3.1995918198198123E-2</v>
      </c>
      <c r="N2359" s="2">
        <f t="shared" ca="1" si="2244"/>
        <v>3.1995918198198123E-2</v>
      </c>
      <c r="O2359" s="2">
        <f t="shared" si="2245"/>
        <v>6000000</v>
      </c>
      <c r="P2359" s="2">
        <f t="shared" ca="1" si="2246"/>
        <v>45544770.512906455</v>
      </c>
      <c r="Q2359" s="2">
        <f t="shared" ca="1" si="2247"/>
        <v>1138619.2628226613</v>
      </c>
      <c r="R2359" s="2">
        <f t="shared" ca="1" si="2248"/>
        <v>27326862.307743873</v>
      </c>
      <c r="S2359" s="2">
        <f t="shared" ca="1" si="2249"/>
        <v>18217908.205162581</v>
      </c>
      <c r="T2359" s="2">
        <f t="shared" ca="1" si="2250"/>
        <v>51599795.909909904</v>
      </c>
      <c r="U2359" s="2">
        <f t="shared" ca="1" si="2251"/>
        <v>51435896.130108126</v>
      </c>
      <c r="V2359" s="2">
        <f t="shared" ca="1" si="2252"/>
        <v>51272516.955811568</v>
      </c>
      <c r="W2359" s="2">
        <f t="shared" ca="1" si="2253"/>
        <v>51109656.733387187</v>
      </c>
      <c r="X2359" s="2">
        <f t="shared" ca="1" si="2254"/>
        <v>50947313.814454481</v>
      </c>
      <c r="Y2359" s="2">
        <f t="shared" ca="1" si="2255"/>
        <v>0.12534916967848003</v>
      </c>
      <c r="Z2359" s="2">
        <f t="shared" ca="1" si="2256"/>
        <v>0.12748883754987203</v>
      </c>
      <c r="AA2359" s="2">
        <f t="shared" ca="1" si="2257"/>
        <v>6467991.5728862369</v>
      </c>
      <c r="AB2359" s="2">
        <f t="shared" ca="1" si="2258"/>
        <v>6557502.6059634462</v>
      </c>
      <c r="AC2359" s="2">
        <f t="shared" ca="1" si="2259"/>
        <v>6536673.5849525202</v>
      </c>
      <c r="AD2359" s="2">
        <f t="shared" ca="1" si="2260"/>
        <v>6515910.7245125221</v>
      </c>
      <c r="AE2359" s="2">
        <f t="shared" ca="1" si="2261"/>
        <v>6495213.8144933386</v>
      </c>
      <c r="AF2359" s="2">
        <f t="shared" ca="1" si="2262"/>
        <v>1031995.9181981981</v>
      </c>
      <c r="AG2359" s="2">
        <f t="shared" ca="1" si="2263"/>
        <v>1028717.9226021626</v>
      </c>
      <c r="AH2359" s="2">
        <f t="shared" ca="1" si="2264"/>
        <v>1025450.3391162314</v>
      </c>
      <c r="AI2359" s="2">
        <f t="shared" ca="1" si="2265"/>
        <v>1022193.1346677438</v>
      </c>
      <c r="AJ2359" s="2">
        <f t="shared" ca="1" si="2266"/>
        <v>1018946.2762890897</v>
      </c>
      <c r="AK2359" s="2">
        <f t="shared" ca="1" si="2267"/>
        <v>0</v>
      </c>
      <c r="AL2359" s="2">
        <f t="shared" ca="1" si="2268"/>
        <v>0</v>
      </c>
      <c r="AM2359" s="2">
        <f t="shared" ca="1" si="2269"/>
        <v>0</v>
      </c>
      <c r="AN2359" s="2">
        <f t="shared" ca="1" si="2270"/>
        <v>0</v>
      </c>
      <c r="AO2359" s="2">
        <f t="shared" ca="1" si="2271"/>
        <v>0</v>
      </c>
      <c r="AP2359" s="2">
        <f t="shared" ca="1" si="2272"/>
        <v>2459417.6076969486</v>
      </c>
      <c r="AQ2359" s="2">
        <f t="shared" ca="1" si="2273"/>
        <v>773910.29221768351</v>
      </c>
      <c r="AR2359" s="2">
        <f t="shared" ca="1" si="2274"/>
        <v>798035.43967272714</v>
      </c>
      <c r="AS2359" s="2">
        <f t="shared" ca="1" si="2275"/>
        <v>793469.46591622848</v>
      </c>
      <c r="AT2359" s="2">
        <f t="shared" ca="1" si="2276"/>
        <v>788917.99535843567</v>
      </c>
      <c r="AU2359" s="2">
        <f t="shared" ca="1" si="2277"/>
        <v>784380.98193189816</v>
      </c>
      <c r="AV2359" s="2">
        <f t="shared" ca="1" si="2278"/>
        <v>2202667.7547734063</v>
      </c>
      <c r="AW2359" s="2">
        <f t="shared" ca="1" si="2279"/>
        <v>2271331.6359916078</v>
      </c>
      <c r="AX2359" s="2">
        <f t="shared" ca="1" si="2280"/>
        <v>2258336.1722231116</v>
      </c>
      <c r="AY2359" s="2">
        <f t="shared" ca="1" si="2281"/>
        <v>2245381.9867893942</v>
      </c>
      <c r="AZ2359" s="2">
        <f t="shared" ca="1" si="2282"/>
        <v>2232468.9485754026</v>
      </c>
      <c r="BA2359" s="2">
        <f t="shared" ca="1" si="2283"/>
        <v>43898410.38881731</v>
      </c>
      <c r="BB2359" s="2">
        <f t="shared" ca="1" si="2284"/>
        <v>877968.20777634624</v>
      </c>
      <c r="BC2359" s="2">
        <f t="shared" ca="1" si="2285"/>
        <v>15693579.873297092</v>
      </c>
      <c r="BD2359" s="2">
        <f t="shared" ca="1" si="2286"/>
        <v>-19856527.467985243</v>
      </c>
      <c r="BE2359" s="2">
        <f t="shared" ca="1" si="2287"/>
        <v>2202667.7547734063</v>
      </c>
      <c r="BF2359" s="2">
        <f t="shared" ca="1" si="2288"/>
        <v>2271331.6359916078</v>
      </c>
      <c r="BG2359" s="2">
        <f t="shared" ca="1" si="2289"/>
        <v>2258336.1722231116</v>
      </c>
      <c r="BH2359" s="2">
        <f t="shared" ca="1" si="2290"/>
        <v>2245381.9867893942</v>
      </c>
      <c r="BI2359" s="2">
        <f t="shared" ca="1" si="2291"/>
        <v>17926048.821872495</v>
      </c>
      <c r="BJ2359" s="2">
        <f t="shared" ca="1" si="2292"/>
        <v>7.6926062330546996E-2</v>
      </c>
      <c r="BK2359" s="2">
        <f t="shared" ca="1" si="2293"/>
        <v>-2873026.7114008665</v>
      </c>
    </row>
    <row r="2360" spans="1:63" x14ac:dyDescent="0.3">
      <c r="A2360" s="2">
        <v>2359</v>
      </c>
      <c r="B2360" s="2">
        <f t="shared" ca="1" si="2232"/>
        <v>0.60168178548351747</v>
      </c>
      <c r="C2360" s="2">
        <f t="shared" ca="1" si="2233"/>
        <v>7.1074550829045267</v>
      </c>
      <c r="D2360" s="2">
        <f t="shared" ca="1" si="2234"/>
        <v>6.5527997858783604E-2</v>
      </c>
      <c r="E2360" s="2">
        <f t="shared" ca="1" si="2235"/>
        <v>6.8620165682915175</v>
      </c>
      <c r="F2360" s="2">
        <f t="shared" ca="1" si="2236"/>
        <v>0.64231409928982308</v>
      </c>
      <c r="G2360" s="2">
        <f t="shared" ca="1" si="2237"/>
        <v>5.0939535561551126E-2</v>
      </c>
      <c r="H2360" s="2">
        <f t="shared" ca="1" si="2238"/>
        <v>5.0939535561551126E-2</v>
      </c>
      <c r="I2360" s="2">
        <f t="shared" ca="1" si="2239"/>
        <v>0.14502805196909663</v>
      </c>
      <c r="J2360" s="2">
        <f t="shared" ca="1" si="2240"/>
        <v>4.7100072551967747E-3</v>
      </c>
      <c r="K2360" s="2">
        <f t="shared" ca="1" si="2241"/>
        <v>4.7100072551967747E-3</v>
      </c>
      <c r="L2360" s="2">
        <f t="shared" ca="1" si="2242"/>
        <v>0.72636423581203913</v>
      </c>
      <c r="M2360" s="2">
        <f t="shared" ca="1" si="2243"/>
        <v>1.2037073930910138E-2</v>
      </c>
      <c r="N2360" s="2">
        <f t="shared" ca="1" si="2244"/>
        <v>1.2037073930910138E-2</v>
      </c>
      <c r="O2360" s="2">
        <f t="shared" si="2245"/>
        <v>6000000</v>
      </c>
      <c r="P2360" s="2">
        <f t="shared" ca="1" si="2246"/>
        <v>42644730.497427158</v>
      </c>
      <c r="Q2360" s="2">
        <f t="shared" ca="1" si="2247"/>
        <v>1066118.2624356791</v>
      </c>
      <c r="R2360" s="2">
        <f t="shared" ca="1" si="2248"/>
        <v>25586838.298456293</v>
      </c>
      <c r="S2360" s="2">
        <f t="shared" ca="1" si="2249"/>
        <v>17057892.198970865</v>
      </c>
      <c r="T2360" s="2">
        <f t="shared" ca="1" si="2250"/>
        <v>50601853.696545504</v>
      </c>
      <c r="U2360" s="2">
        <f t="shared" ca="1" si="2251"/>
        <v>53179488.622401096</v>
      </c>
      <c r="V2360" s="2">
        <f t="shared" ca="1" si="2252"/>
        <v>55888427.074227005</v>
      </c>
      <c r="W2360" s="2">
        <f t="shared" ca="1" si="2253"/>
        <v>58735357.592653751</v>
      </c>
      <c r="X2360" s="2">
        <f t="shared" ca="1" si="2254"/>
        <v>61727309.42946516</v>
      </c>
      <c r="Y2360" s="2">
        <f t="shared" ca="1" si="2255"/>
        <v>0.12235500362759838</v>
      </c>
      <c r="Z2360" s="2">
        <f t="shared" ca="1" si="2256"/>
        <v>0.12329700507863774</v>
      </c>
      <c r="AA2360" s="2">
        <f t="shared" ca="1" si="2257"/>
        <v>6191389.9926040275</v>
      </c>
      <c r="AB2360" s="2">
        <f t="shared" ca="1" si="2258"/>
        <v>6556871.678755546</v>
      </c>
      <c r="AC2360" s="2">
        <f t="shared" ca="1" si="2259"/>
        <v>6890875.6768080415</v>
      </c>
      <c r="AD2360" s="2">
        <f t="shared" ca="1" si="2260"/>
        <v>7241893.6833970333</v>
      </c>
      <c r="AE2360" s="2">
        <f t="shared" ca="1" si="2261"/>
        <v>7610792.3842154089</v>
      </c>
      <c r="AF2360" s="2">
        <f t="shared" ca="1" si="2262"/>
        <v>1012037.0739309101</v>
      </c>
      <c r="AG2360" s="2">
        <f t="shared" ca="1" si="2263"/>
        <v>1063589.7724480219</v>
      </c>
      <c r="AH2360" s="2">
        <f t="shared" ca="1" si="2264"/>
        <v>1117768.5414845401</v>
      </c>
      <c r="AI2360" s="2">
        <f t="shared" ca="1" si="2265"/>
        <v>1174707.151853075</v>
      </c>
      <c r="AJ2360" s="2">
        <f t="shared" ca="1" si="2266"/>
        <v>1234546.1885893033</v>
      </c>
      <c r="AK2360" s="2">
        <f t="shared" ca="1" si="2267"/>
        <v>0</v>
      </c>
      <c r="AL2360" s="2">
        <f t="shared" ca="1" si="2268"/>
        <v>25776.349258555918</v>
      </c>
      <c r="AM2360" s="2">
        <f t="shared" ca="1" si="2269"/>
        <v>27089.384518259092</v>
      </c>
      <c r="AN2360" s="2">
        <f t="shared" ca="1" si="2270"/>
        <v>28469.305184267461</v>
      </c>
      <c r="AO2360" s="2">
        <f t="shared" ca="1" si="2271"/>
        <v>29919.518368114084</v>
      </c>
      <c r="AP2360" s="2">
        <f t="shared" ca="1" si="2272"/>
        <v>2302815.4468610664</v>
      </c>
      <c r="AQ2360" s="2">
        <f t="shared" ca="1" si="2273"/>
        <v>747899.74267113337</v>
      </c>
      <c r="AR2360" s="2">
        <f t="shared" ca="1" si="2274"/>
        <v>829521.27945607901</v>
      </c>
      <c r="AS2360" s="2">
        <f t="shared" ca="1" si="2275"/>
        <v>902275.8390002331</v>
      </c>
      <c r="AT2360" s="2">
        <f t="shared" ca="1" si="2276"/>
        <v>978736.4820175519</v>
      </c>
      <c r="AU2360" s="2">
        <f t="shared" ca="1" si="2277"/>
        <v>1059091.9946789104</v>
      </c>
      <c r="AV2360" s="2">
        <f t="shared" ca="1" si="2278"/>
        <v>2128637.7291409182</v>
      </c>
      <c r="AW2360" s="2">
        <f t="shared" ca="1" si="2279"/>
        <v>2335168.8307318226</v>
      </c>
      <c r="AX2360" s="2">
        <f t="shared" ca="1" si="2280"/>
        <v>2540926.4649439421</v>
      </c>
      <c r="AY2360" s="2">
        <f t="shared" ca="1" si="2281"/>
        <v>2757165.2974810726</v>
      </c>
      <c r="AZ2360" s="2">
        <f t="shared" ca="1" si="2282"/>
        <v>2984419.2357180151</v>
      </c>
      <c r="BA2360" s="2">
        <f t="shared" ca="1" si="2283"/>
        <v>52225383.438313037</v>
      </c>
      <c r="BB2360" s="2">
        <f t="shared" ca="1" si="2284"/>
        <v>1044507.6687662607</v>
      </c>
      <c r="BC2360" s="2">
        <f t="shared" ca="1" si="2285"/>
        <v>25594037.471090484</v>
      </c>
      <c r="BD2360" s="2">
        <f t="shared" ca="1" si="2286"/>
        <v>-18624010.461406544</v>
      </c>
      <c r="BE2360" s="2">
        <f t="shared" ca="1" si="2287"/>
        <v>2128637.7291409182</v>
      </c>
      <c r="BF2360" s="2">
        <f t="shared" ca="1" si="2288"/>
        <v>2335168.8307318226</v>
      </c>
      <c r="BG2360" s="2">
        <f t="shared" ca="1" si="2289"/>
        <v>2540926.4649439421</v>
      </c>
      <c r="BH2360" s="2">
        <f t="shared" ca="1" si="2290"/>
        <v>2757165.2974810726</v>
      </c>
      <c r="BI2360" s="2">
        <f t="shared" ca="1" si="2291"/>
        <v>28578456.7068085</v>
      </c>
      <c r="BJ2360" s="2">
        <f t="shared" ca="1" si="2292"/>
        <v>0.18486215673474482</v>
      </c>
      <c r="BK2360" s="2">
        <f t="shared" ca="1" si="2293"/>
        <v>4915134.7255470827</v>
      </c>
    </row>
    <row r="2361" spans="1:63" x14ac:dyDescent="0.3">
      <c r="A2361" s="2">
        <v>2360</v>
      </c>
      <c r="B2361" s="2">
        <f t="shared" ca="1" si="2232"/>
        <v>0.38467003535036848</v>
      </c>
      <c r="C2361" s="2">
        <f t="shared" ca="1" si="2233"/>
        <v>6.877120328518691</v>
      </c>
      <c r="D2361" s="2">
        <f t="shared" ca="1" si="2234"/>
        <v>0.99975624765990978</v>
      </c>
      <c r="E2361" s="2">
        <f t="shared" ca="1" si="2235"/>
        <v>8.4779204918492184</v>
      </c>
      <c r="F2361" s="2">
        <f t="shared" ca="1" si="2236"/>
        <v>0.96064372524488784</v>
      </c>
      <c r="G2361" s="2">
        <f t="shared" ca="1" si="2237"/>
        <v>9.2746165043560841E-2</v>
      </c>
      <c r="H2361" s="2">
        <f t="shared" ca="1" si="2238"/>
        <v>9.2746165043560841E-2</v>
      </c>
      <c r="I2361" s="2">
        <f t="shared" ca="1" si="2239"/>
        <v>0.31903634135094761</v>
      </c>
      <c r="J2361" s="2">
        <f t="shared" ca="1" si="2240"/>
        <v>7.648023928642585E-3</v>
      </c>
      <c r="K2361" s="2">
        <f t="shared" ca="1" si="2241"/>
        <v>7.648023928642585E-3</v>
      </c>
      <c r="L2361" s="2">
        <f t="shared" ca="1" si="2242"/>
        <v>0.22831074112650018</v>
      </c>
      <c r="M2361" s="2">
        <f t="shared" ca="1" si="2243"/>
        <v>-1.4888431112266062E-2</v>
      </c>
      <c r="N2361" s="2">
        <f t="shared" ca="1" si="2244"/>
        <v>-1.4888431112266062E-2</v>
      </c>
      <c r="O2361" s="2">
        <f t="shared" si="2245"/>
        <v>6000000</v>
      </c>
      <c r="P2361" s="2">
        <f t="shared" ca="1" si="2246"/>
        <v>41262721.971112147</v>
      </c>
      <c r="Q2361" s="2">
        <f t="shared" ca="1" si="2247"/>
        <v>1031568.0492778037</v>
      </c>
      <c r="R2361" s="2">
        <f t="shared" ca="1" si="2248"/>
        <v>24757633.182667289</v>
      </c>
      <c r="S2361" s="2">
        <f t="shared" ca="1" si="2249"/>
        <v>16505088.78844486</v>
      </c>
      <c r="T2361" s="2">
        <f t="shared" ca="1" si="2250"/>
        <v>49255578.444386698</v>
      </c>
      <c r="U2361" s="2">
        <f t="shared" ca="1" si="2251"/>
        <v>53823844.452105843</v>
      </c>
      <c r="V2361" s="2">
        <f t="shared" ca="1" si="2252"/>
        <v>58815799.612939797</v>
      </c>
      <c r="W2361" s="2">
        <f t="shared" ca="1" si="2253"/>
        <v>64270739.471010514</v>
      </c>
      <c r="X2361" s="2">
        <f t="shared" ca="1" si="2254"/>
        <v>70231604.08146055</v>
      </c>
      <c r="Y2361" s="2">
        <f t="shared" ca="1" si="2255"/>
        <v>0.12382401196432129</v>
      </c>
      <c r="Z2361" s="2">
        <f t="shared" ca="1" si="2256"/>
        <v>0.1253536167500498</v>
      </c>
      <c r="AA2361" s="2">
        <f t="shared" ca="1" si="2257"/>
        <v>6099023.3346073041</v>
      </c>
      <c r="AB2361" s="2">
        <f t="shared" ca="1" si="2258"/>
        <v>6747013.5694635697</v>
      </c>
      <c r="AC2361" s="2">
        <f t="shared" ca="1" si="2259"/>
        <v>7372773.2035281826</v>
      </c>
      <c r="AD2361" s="2">
        <f t="shared" ca="1" si="2260"/>
        <v>8056569.6438913504</v>
      </c>
      <c r="AE2361" s="2">
        <f t="shared" ca="1" si="2261"/>
        <v>8803785.5817686394</v>
      </c>
      <c r="AF2361" s="2">
        <f t="shared" ca="1" si="2262"/>
        <v>985111.56888773397</v>
      </c>
      <c r="AG2361" s="2">
        <f t="shared" ca="1" si="2263"/>
        <v>1076476.8890421169</v>
      </c>
      <c r="AH2361" s="2">
        <f t="shared" ca="1" si="2264"/>
        <v>1176315.992258796</v>
      </c>
      <c r="AI2361" s="2">
        <f t="shared" ca="1" si="2265"/>
        <v>1285414.7894202103</v>
      </c>
      <c r="AJ2361" s="2">
        <f t="shared" ca="1" si="2266"/>
        <v>1404632.0816292111</v>
      </c>
      <c r="AK2361" s="2">
        <f t="shared" ca="1" si="2267"/>
        <v>0</v>
      </c>
      <c r="AL2361" s="2">
        <f t="shared" ca="1" si="2268"/>
        <v>45682.660077191445</v>
      </c>
      <c r="AM2361" s="2">
        <f t="shared" ca="1" si="2269"/>
        <v>49919.551608339549</v>
      </c>
      <c r="AN2361" s="2">
        <f t="shared" ca="1" si="2270"/>
        <v>54549.398580707166</v>
      </c>
      <c r="AO2361" s="2">
        <f t="shared" ca="1" si="2271"/>
        <v>59608.646104500367</v>
      </c>
      <c r="AP2361" s="2">
        <f t="shared" ca="1" si="2272"/>
        <v>2228186.986440056</v>
      </c>
      <c r="AQ2361" s="2">
        <f t="shared" ca="1" si="2273"/>
        <v>750288.44261267374</v>
      </c>
      <c r="AR2361" s="2">
        <f t="shared" ca="1" si="2274"/>
        <v>895010.92043516319</v>
      </c>
      <c r="AS2361" s="2">
        <f t="shared" ca="1" si="2275"/>
        <v>1031750.2584556259</v>
      </c>
      <c r="AT2361" s="2">
        <f t="shared" ca="1" si="2276"/>
        <v>1181171.6456880819</v>
      </c>
      <c r="AU2361" s="2">
        <f t="shared" ca="1" si="2277"/>
        <v>1344451.2935618369</v>
      </c>
      <c r="AV2361" s="2">
        <f t="shared" ca="1" si="2278"/>
        <v>2135436.3366668401</v>
      </c>
      <c r="AW2361" s="2">
        <f t="shared" ca="1" si="2279"/>
        <v>2501656.1134690419</v>
      </c>
      <c r="AX2361" s="2">
        <f t="shared" ca="1" si="2280"/>
        <v>2886600.4147653645</v>
      </c>
      <c r="AY2361" s="2">
        <f t="shared" ca="1" si="2281"/>
        <v>3307246.8237622939</v>
      </c>
      <c r="AZ2361" s="2">
        <f t="shared" ca="1" si="2282"/>
        <v>3766906.574033035</v>
      </c>
      <c r="BA2361" s="2">
        <f t="shared" ca="1" si="2283"/>
        <v>74637794.189523041</v>
      </c>
      <c r="BB2361" s="2">
        <f t="shared" ca="1" si="2284"/>
        <v>1492755.8837904609</v>
      </c>
      <c r="BC2361" s="2">
        <f t="shared" ca="1" si="2285"/>
        <v>48387405.123065293</v>
      </c>
      <c r="BD2361" s="2">
        <f t="shared" ca="1" si="2286"/>
        <v>-18036656.837722663</v>
      </c>
      <c r="BE2361" s="2">
        <f t="shared" ca="1" si="2287"/>
        <v>2135436.3366668401</v>
      </c>
      <c r="BF2361" s="2">
        <f t="shared" ca="1" si="2288"/>
        <v>2501656.1134690419</v>
      </c>
      <c r="BG2361" s="2">
        <f t="shared" ca="1" si="2289"/>
        <v>2886600.4147653645</v>
      </c>
      <c r="BH2361" s="2">
        <f t="shared" ca="1" si="2290"/>
        <v>3307246.8237622939</v>
      </c>
      <c r="BI2361" s="2">
        <f t="shared" ca="1" si="2291"/>
        <v>52154311.69709833</v>
      </c>
      <c r="BJ2361" s="2">
        <f t="shared" ca="1" si="2292"/>
        <v>0.32647024719301188</v>
      </c>
      <c r="BK2361" s="2">
        <f t="shared" ca="1" si="2293"/>
        <v>19614485.08924276</v>
      </c>
    </row>
    <row r="2362" spans="1:63" x14ac:dyDescent="0.3">
      <c r="A2362" s="2">
        <v>2361</v>
      </c>
      <c r="B2362" s="2">
        <f t="shared" ca="1" si="2232"/>
        <v>0.38096995324998528</v>
      </c>
      <c r="C2362" s="2">
        <f t="shared" ca="1" si="2233"/>
        <v>6.8728916923077978</v>
      </c>
      <c r="D2362" s="2">
        <f t="shared" ca="1" si="2234"/>
        <v>0.25075414849489253</v>
      </c>
      <c r="E2362" s="2">
        <f t="shared" ca="1" si="2235"/>
        <v>7.2081725051071839</v>
      </c>
      <c r="F2362" s="2">
        <f t="shared" ca="1" si="2236"/>
        <v>0.57252630985982378</v>
      </c>
      <c r="G2362" s="2">
        <f t="shared" ca="1" si="2237"/>
        <v>4.5484289359568449E-2</v>
      </c>
      <c r="H2362" s="2">
        <f t="shared" ca="1" si="2238"/>
        <v>4.5484289359568449E-2</v>
      </c>
      <c r="I2362" s="2">
        <f t="shared" ca="1" si="2239"/>
        <v>0.76522435219185103</v>
      </c>
      <c r="J2362" s="2">
        <f t="shared" ca="1" si="2240"/>
        <v>1.3616046584718787E-2</v>
      </c>
      <c r="K2362" s="2">
        <f t="shared" ca="1" si="2241"/>
        <v>1.3616046584718787E-2</v>
      </c>
      <c r="L2362" s="2">
        <f t="shared" ca="1" si="2242"/>
        <v>0.89820279978082762</v>
      </c>
      <c r="M2362" s="2">
        <f t="shared" ca="1" si="2243"/>
        <v>2.5427549029201534E-2</v>
      </c>
      <c r="N2362" s="2">
        <f t="shared" ca="1" si="2244"/>
        <v>2.5427549029201534E-2</v>
      </c>
      <c r="O2362" s="2">
        <f t="shared" si="2245"/>
        <v>6000000</v>
      </c>
      <c r="P2362" s="2">
        <f t="shared" ca="1" si="2246"/>
        <v>41237350.153846785</v>
      </c>
      <c r="Q2362" s="2">
        <f t="shared" ca="1" si="2247"/>
        <v>1030933.7538461697</v>
      </c>
      <c r="R2362" s="2">
        <f t="shared" ca="1" si="2248"/>
        <v>24742410.092308071</v>
      </c>
      <c r="S2362" s="2">
        <f t="shared" ca="1" si="2249"/>
        <v>16494940.061538715</v>
      </c>
      <c r="T2362" s="2">
        <f t="shared" ca="1" si="2250"/>
        <v>51271377.451460078</v>
      </c>
      <c r="U2362" s="2">
        <f t="shared" ca="1" si="2251"/>
        <v>53603419.619325936</v>
      </c>
      <c r="V2362" s="2">
        <f t="shared" ca="1" si="2252"/>
        <v>56041533.067953721</v>
      </c>
      <c r="W2362" s="2">
        <f t="shared" ca="1" si="2253"/>
        <v>58590542.374170348</v>
      </c>
      <c r="X2362" s="2">
        <f t="shared" ca="1" si="2254"/>
        <v>61255491.557251163</v>
      </c>
      <c r="Y2362" s="2">
        <f t="shared" ca="1" si="2255"/>
        <v>0.12680802329235938</v>
      </c>
      <c r="Z2362" s="2">
        <f t="shared" ca="1" si="2256"/>
        <v>0.12953123260930316</v>
      </c>
      <c r="AA2362" s="2">
        <f t="shared" ca="1" si="2257"/>
        <v>6501622.0260960991</v>
      </c>
      <c r="AB2362" s="2">
        <f t="shared" ca="1" si="2258"/>
        <v>6943317.0153649924</v>
      </c>
      <c r="AC2362" s="2">
        <f t="shared" ca="1" si="2259"/>
        <v>7259128.8556070682</v>
      </c>
      <c r="AD2362" s="2">
        <f t="shared" ca="1" si="2260"/>
        <v>7589305.1729738927</v>
      </c>
      <c r="AE2362" s="2">
        <f t="shared" ca="1" si="2261"/>
        <v>7934499.3254995067</v>
      </c>
      <c r="AF2362" s="2">
        <f t="shared" ca="1" si="2262"/>
        <v>1025427.5490292016</v>
      </c>
      <c r="AG2362" s="2">
        <f t="shared" ca="1" si="2263"/>
        <v>1072068.3923865187</v>
      </c>
      <c r="AH2362" s="2">
        <f t="shared" ca="1" si="2264"/>
        <v>1120830.6613590745</v>
      </c>
      <c r="AI2362" s="2">
        <f t="shared" ca="1" si="2265"/>
        <v>1171810.847483407</v>
      </c>
      <c r="AJ2362" s="2">
        <f t="shared" ca="1" si="2266"/>
        <v>1225109.8311450232</v>
      </c>
      <c r="AK2362" s="2">
        <f t="shared" ca="1" si="2267"/>
        <v>0</v>
      </c>
      <c r="AL2362" s="2">
        <f t="shared" ca="1" si="2268"/>
        <v>23320.421678658575</v>
      </c>
      <c r="AM2362" s="2">
        <f t="shared" ca="1" si="2269"/>
        <v>24381.13448627785</v>
      </c>
      <c r="AN2362" s="2">
        <f t="shared" ca="1" si="2270"/>
        <v>25490.093062166274</v>
      </c>
      <c r="AO2362" s="2">
        <f t="shared" ca="1" si="2271"/>
        <v>26649.491830808147</v>
      </c>
      <c r="AP2362" s="2">
        <f t="shared" ca="1" si="2272"/>
        <v>2226816.9083077265</v>
      </c>
      <c r="AQ2362" s="2">
        <f t="shared" ca="1" si="2273"/>
        <v>844838.16787738458</v>
      </c>
      <c r="AR2362" s="2">
        <f t="shared" ca="1" si="2274"/>
        <v>947552.24581439444</v>
      </c>
      <c r="AS2362" s="2">
        <f t="shared" ca="1" si="2275"/>
        <v>1016985.1343444695</v>
      </c>
      <c r="AT2362" s="2">
        <f t="shared" ca="1" si="2276"/>
        <v>1089576.1284675174</v>
      </c>
      <c r="AU2362" s="2">
        <f t="shared" ca="1" si="2277"/>
        <v>1165468.8723721569</v>
      </c>
      <c r="AV2362" s="2">
        <f t="shared" ca="1" si="2278"/>
        <v>2404539.4008817868</v>
      </c>
      <c r="AW2362" s="2">
        <f t="shared" ca="1" si="2279"/>
        <v>2673559.0471776947</v>
      </c>
      <c r="AX2362" s="2">
        <f t="shared" ca="1" si="2280"/>
        <v>2870115.0171095198</v>
      </c>
      <c r="AY2362" s="2">
        <f t="shared" ca="1" si="2281"/>
        <v>3075611.1956530763</v>
      </c>
      <c r="AZ2362" s="2">
        <f t="shared" ca="1" si="2282"/>
        <v>3290454.2218437921</v>
      </c>
      <c r="BA2362" s="2">
        <f t="shared" ca="1" si="2283"/>
        <v>57193239.879857041</v>
      </c>
      <c r="BB2362" s="2">
        <f t="shared" ca="1" si="2284"/>
        <v>1143864.7975971408</v>
      </c>
      <c r="BC2362" s="2">
        <f t="shared" ca="1" si="2285"/>
        <v>31306964.98995183</v>
      </c>
      <c r="BD2362" s="2">
        <f t="shared" ca="1" si="2286"/>
        <v>-18025873.815384883</v>
      </c>
      <c r="BE2362" s="2">
        <f t="shared" ca="1" si="2287"/>
        <v>2404539.4008817868</v>
      </c>
      <c r="BF2362" s="2">
        <f t="shared" ca="1" si="2288"/>
        <v>2673559.0471776947</v>
      </c>
      <c r="BG2362" s="2">
        <f t="shared" ca="1" si="2289"/>
        <v>2870115.0171095198</v>
      </c>
      <c r="BH2362" s="2">
        <f t="shared" ca="1" si="2290"/>
        <v>3075611.1956530763</v>
      </c>
      <c r="BI2362" s="2">
        <f t="shared" ca="1" si="2291"/>
        <v>34597419.211795621</v>
      </c>
      <c r="BJ2362" s="2">
        <f t="shared" ca="1" si="2292"/>
        <v>0.24438690701180077</v>
      </c>
      <c r="BK2362" s="2">
        <f t="shared" ca="1" si="2293"/>
        <v>9881383.7620955296</v>
      </c>
    </row>
    <row r="2363" spans="1:63" x14ac:dyDescent="0.3">
      <c r="A2363" s="2">
        <v>2362</v>
      </c>
      <c r="B2363" s="2">
        <f t="shared" ca="1" si="2232"/>
        <v>0.18207317095694719</v>
      </c>
      <c r="C2363" s="2">
        <f t="shared" ca="1" si="2233"/>
        <v>6.6034453926528016</v>
      </c>
      <c r="D2363" s="2">
        <f t="shared" ca="1" si="2234"/>
        <v>0.17742990430852379</v>
      </c>
      <c r="E2363" s="2">
        <f t="shared" ca="1" si="2235"/>
        <v>7.0957011067784306</v>
      </c>
      <c r="F2363" s="2">
        <f t="shared" ca="1" si="2236"/>
        <v>0.54912589260455025</v>
      </c>
      <c r="G2363" s="2">
        <f t="shared" ca="1" si="2237"/>
        <v>4.37035966410914E-2</v>
      </c>
      <c r="H2363" s="2">
        <f t="shared" ca="1" si="2238"/>
        <v>4.37035966410914E-2</v>
      </c>
      <c r="I2363" s="2">
        <f t="shared" ca="1" si="2239"/>
        <v>0.81253341137596302</v>
      </c>
      <c r="J2363" s="2">
        <f t="shared" ca="1" si="2240"/>
        <v>1.4436353491734815E-2</v>
      </c>
      <c r="K2363" s="2">
        <f t="shared" ca="1" si="2241"/>
        <v>1.4436353491734815E-2</v>
      </c>
      <c r="L2363" s="2">
        <f t="shared" ca="1" si="2242"/>
        <v>0.80161668845340128</v>
      </c>
      <c r="M2363" s="2">
        <f t="shared" ca="1" si="2243"/>
        <v>1.6948200339251519E-2</v>
      </c>
      <c r="N2363" s="2">
        <f t="shared" ca="1" si="2244"/>
        <v>1.6948200339251519E-2</v>
      </c>
      <c r="O2363" s="2">
        <f t="shared" si="2245"/>
        <v>6000000</v>
      </c>
      <c r="P2363" s="2">
        <f t="shared" ca="1" si="2246"/>
        <v>39620672.355916813</v>
      </c>
      <c r="Q2363" s="2">
        <f t="shared" ca="1" si="2247"/>
        <v>990516.80889792042</v>
      </c>
      <c r="R2363" s="2">
        <f t="shared" ca="1" si="2248"/>
        <v>23772403.413550086</v>
      </c>
      <c r="S2363" s="2">
        <f t="shared" ca="1" si="2249"/>
        <v>15848268.942366727</v>
      </c>
      <c r="T2363" s="2">
        <f t="shared" ca="1" si="2250"/>
        <v>50847410.01696258</v>
      </c>
      <c r="U2363" s="2">
        <f t="shared" ca="1" si="2251"/>
        <v>53069624.714588106</v>
      </c>
      <c r="V2363" s="2">
        <f t="shared" ca="1" si="2252"/>
        <v>55388958.18700856</v>
      </c>
      <c r="W2363" s="2">
        <f t="shared" ca="1" si="2253"/>
        <v>57809654.87398386</v>
      </c>
      <c r="X2363" s="2">
        <f t="shared" ca="1" si="2254"/>
        <v>60336144.712557159</v>
      </c>
      <c r="Y2363" s="2">
        <f t="shared" ca="1" si="2255"/>
        <v>0.12721817674586741</v>
      </c>
      <c r="Z2363" s="2">
        <f t="shared" ca="1" si="2256"/>
        <v>0.13010544744421437</v>
      </c>
      <c r="AA2363" s="2">
        <f t="shared" ca="1" si="2257"/>
        <v>6468714.794607535</v>
      </c>
      <c r="AB2363" s="2">
        <f t="shared" ca="1" si="2258"/>
        <v>6904647.2691880232</v>
      </c>
      <c r="AC2363" s="2">
        <f t="shared" ca="1" si="2259"/>
        <v>7206405.1883896291</v>
      </c>
      <c r="AD2363" s="2">
        <f t="shared" ca="1" si="2260"/>
        <v>7521351.0139752785</v>
      </c>
      <c r="AE2363" s="2">
        <f t="shared" ca="1" si="2261"/>
        <v>7850061.1048861183</v>
      </c>
      <c r="AF2363" s="2">
        <f t="shared" ca="1" si="2262"/>
        <v>1016948.2003392517</v>
      </c>
      <c r="AG2363" s="2">
        <f t="shared" ca="1" si="2263"/>
        <v>1061392.4942917621</v>
      </c>
      <c r="AH2363" s="2">
        <f t="shared" ca="1" si="2264"/>
        <v>1107779.1637401711</v>
      </c>
      <c r="AI2363" s="2">
        <f t="shared" ca="1" si="2265"/>
        <v>1156193.0974796773</v>
      </c>
      <c r="AJ2363" s="2">
        <f t="shared" ca="1" si="2266"/>
        <v>1206722.8942511433</v>
      </c>
      <c r="AK2363" s="2">
        <f t="shared" ca="1" si="2267"/>
        <v>0</v>
      </c>
      <c r="AL2363" s="2">
        <f t="shared" ca="1" si="2268"/>
        <v>22222.146976255255</v>
      </c>
      <c r="AM2363" s="2">
        <f t="shared" ca="1" si="2269"/>
        <v>23193.334724204542</v>
      </c>
      <c r="AN2363" s="2">
        <f t="shared" ca="1" si="2270"/>
        <v>24206.966869753003</v>
      </c>
      <c r="AO2363" s="2">
        <f t="shared" ca="1" si="2271"/>
        <v>25264.898385732995</v>
      </c>
      <c r="AP2363" s="2">
        <f t="shared" ca="1" si="2272"/>
        <v>2139516.3072195076</v>
      </c>
      <c r="AQ2363" s="2">
        <f t="shared" ca="1" si="2273"/>
        <v>861185.07463268156</v>
      </c>
      <c r="AR2363" s="2">
        <f t="shared" ca="1" si="2274"/>
        <v>962972.00159595592</v>
      </c>
      <c r="AS2363" s="2">
        <f t="shared" ca="1" si="2275"/>
        <v>1029368.5265317871</v>
      </c>
      <c r="AT2363" s="2">
        <f t="shared" ca="1" si="2276"/>
        <v>1098666.8184117842</v>
      </c>
      <c r="AU2363" s="2">
        <f t="shared" ca="1" si="2277"/>
        <v>1170993.6948880216</v>
      </c>
      <c r="AV2363" s="2">
        <f t="shared" ca="1" si="2278"/>
        <v>2451065.2124160933</v>
      </c>
      <c r="AW2363" s="2">
        <f t="shared" ca="1" si="2279"/>
        <v>2718544.3191045425</v>
      </c>
      <c r="AX2363" s="2">
        <f t="shared" ca="1" si="2280"/>
        <v>2906547.8561739582</v>
      </c>
      <c r="AY2363" s="2">
        <f t="shared" ca="1" si="2281"/>
        <v>3102767.823994556</v>
      </c>
      <c r="AZ2363" s="2">
        <f t="shared" ca="1" si="2282"/>
        <v>3307563.310141712</v>
      </c>
      <c r="BA2363" s="2">
        <f t="shared" ca="1" si="2283"/>
        <v>55701687.270218737</v>
      </c>
      <c r="BB2363" s="2">
        <f t="shared" ca="1" si="2284"/>
        <v>1114033.7454043748</v>
      </c>
      <c r="BC2363" s="2">
        <f t="shared" ca="1" si="2285"/>
        <v>30815250.111264277</v>
      </c>
      <c r="BD2363" s="2">
        <f t="shared" ca="1" si="2286"/>
        <v>-17338785.751264647</v>
      </c>
      <c r="BE2363" s="2">
        <f t="shared" ca="1" si="2287"/>
        <v>2451065.2124160933</v>
      </c>
      <c r="BF2363" s="2">
        <f t="shared" ca="1" si="2288"/>
        <v>2718544.3191045425</v>
      </c>
      <c r="BG2363" s="2">
        <f t="shared" ca="1" si="2289"/>
        <v>2906547.8561739582</v>
      </c>
      <c r="BH2363" s="2">
        <f t="shared" ca="1" si="2290"/>
        <v>3102767.823994556</v>
      </c>
      <c r="BI2363" s="2">
        <f t="shared" ca="1" si="2291"/>
        <v>34122813.421405986</v>
      </c>
      <c r="BJ2363" s="2">
        <f t="shared" ca="1" si="2292"/>
        <v>0.25539474260255601</v>
      </c>
      <c r="BK2363" s="2">
        <f t="shared" ca="1" si="2293"/>
        <v>10419761.344862182</v>
      </c>
    </row>
    <row r="2364" spans="1:63" x14ac:dyDescent="0.3">
      <c r="A2364" s="2">
        <v>2363</v>
      </c>
      <c r="B2364" s="2">
        <f t="shared" ca="1" si="2232"/>
        <v>0.45563880722901517</v>
      </c>
      <c r="C2364" s="2">
        <f t="shared" ca="1" si="2233"/>
        <v>6.9546086184704343</v>
      </c>
      <c r="D2364" s="2">
        <f t="shared" ca="1" si="2234"/>
        <v>0.93179277966582386</v>
      </c>
      <c r="E2364" s="2">
        <f t="shared" ca="1" si="2235"/>
        <v>8.1306567441141606</v>
      </c>
      <c r="F2364" s="2">
        <f t="shared" ca="1" si="2236"/>
        <v>0.12856983481113338</v>
      </c>
      <c r="G2364" s="2">
        <f t="shared" ca="1" si="2237"/>
        <v>6.0046713365128693E-3</v>
      </c>
      <c r="H2364" s="2">
        <f t="shared" ca="1" si="2238"/>
        <v>6.0046713365128693E-3</v>
      </c>
      <c r="I2364" s="2">
        <f t="shared" ca="1" si="2239"/>
        <v>0.82340710762977565</v>
      </c>
      <c r="J2364" s="2">
        <f t="shared" ca="1" si="2240"/>
        <v>1.4642138217063005E-2</v>
      </c>
      <c r="K2364" s="2">
        <f t="shared" ca="1" si="2241"/>
        <v>1.4642138217063005E-2</v>
      </c>
      <c r="L2364" s="2">
        <f t="shared" ca="1" si="2242"/>
        <v>8.9019213966189392E-2</v>
      </c>
      <c r="M2364" s="2">
        <f t="shared" ca="1" si="2243"/>
        <v>-2.6936386579196944E-2</v>
      </c>
      <c r="N2364" s="2">
        <f t="shared" ca="1" si="2244"/>
        <v>-2.6936386579196944E-2</v>
      </c>
      <c r="O2364" s="2">
        <f t="shared" si="2245"/>
        <v>6000000</v>
      </c>
      <c r="P2364" s="2">
        <f t="shared" ca="1" si="2246"/>
        <v>41727651.710822605</v>
      </c>
      <c r="Q2364" s="2">
        <f t="shared" ca="1" si="2247"/>
        <v>1043191.2927705651</v>
      </c>
      <c r="R2364" s="2">
        <f t="shared" ca="1" si="2248"/>
        <v>25036591.026493561</v>
      </c>
      <c r="S2364" s="2">
        <f t="shared" ca="1" si="2249"/>
        <v>16691060.684329042</v>
      </c>
      <c r="T2364" s="2">
        <f t="shared" ca="1" si="2250"/>
        <v>48653180.671040155</v>
      </c>
      <c r="U2364" s="2">
        <f t="shared" ca="1" si="2251"/>
        <v>48945327.030445732</v>
      </c>
      <c r="V2364" s="2">
        <f t="shared" ca="1" si="2252"/>
        <v>49239227.6327217</v>
      </c>
      <c r="W2364" s="2">
        <f t="shared" ca="1" si="2253"/>
        <v>49534893.011519939</v>
      </c>
      <c r="X2364" s="2">
        <f t="shared" ca="1" si="2254"/>
        <v>49832333.763743445</v>
      </c>
      <c r="Y2364" s="2">
        <f t="shared" ca="1" si="2255"/>
        <v>0.1273210691085315</v>
      </c>
      <c r="Z2364" s="2">
        <f t="shared" ca="1" si="2256"/>
        <v>0.13024949675194411</v>
      </c>
      <c r="AA2364" s="2">
        <f t="shared" ca="1" si="2257"/>
        <v>6194574.9785673721</v>
      </c>
      <c r="AB2364" s="2">
        <f t="shared" ca="1" si="2258"/>
        <v>6375104.2140748836</v>
      </c>
      <c r="AC2364" s="2">
        <f t="shared" ca="1" si="2259"/>
        <v>6413384.6196164219</v>
      </c>
      <c r="AD2364" s="2">
        <f t="shared" ca="1" si="2260"/>
        <v>6451894.8864118652</v>
      </c>
      <c r="AE2364" s="2">
        <f t="shared" ca="1" si="2261"/>
        <v>6490636.3947024969</v>
      </c>
      <c r="AF2364" s="2">
        <f t="shared" ca="1" si="2262"/>
        <v>973063.6134208031</v>
      </c>
      <c r="AG2364" s="2">
        <f t="shared" ca="1" si="2263"/>
        <v>978906.54060891469</v>
      </c>
      <c r="AH2364" s="2">
        <f t="shared" ca="1" si="2264"/>
        <v>984784.552654434</v>
      </c>
      <c r="AI2364" s="2">
        <f t="shared" ca="1" si="2265"/>
        <v>990697.86023039883</v>
      </c>
      <c r="AJ2364" s="2">
        <f t="shared" ca="1" si="2266"/>
        <v>996646.67527486896</v>
      </c>
      <c r="AK2364" s="2">
        <f t="shared" ca="1" si="2267"/>
        <v>0</v>
      </c>
      <c r="AL2364" s="2">
        <f t="shared" ca="1" si="2268"/>
        <v>2921.4635940557719</v>
      </c>
      <c r="AM2364" s="2">
        <f t="shared" ca="1" si="2269"/>
        <v>2939.0060227596759</v>
      </c>
      <c r="AN2364" s="2">
        <f t="shared" ca="1" si="2270"/>
        <v>2956.6537879823895</v>
      </c>
      <c r="AO2364" s="2">
        <f t="shared" ca="1" si="2271"/>
        <v>2974.4075222350657</v>
      </c>
      <c r="AP2364" s="2">
        <f t="shared" ca="1" si="2272"/>
        <v>2253293.1923844204</v>
      </c>
      <c r="AQ2364" s="2">
        <f t="shared" ca="1" si="2273"/>
        <v>771736.72491815861</v>
      </c>
      <c r="AR2364" s="2">
        <f t="shared" ca="1" si="2274"/>
        <v>817155.16508120263</v>
      </c>
      <c r="AS2364" s="2">
        <f t="shared" ca="1" si="2275"/>
        <v>825579.78739016759</v>
      </c>
      <c r="AT2364" s="2">
        <f t="shared" ca="1" si="2276"/>
        <v>834054.99678723211</v>
      </c>
      <c r="AU2364" s="2">
        <f t="shared" ca="1" si="2277"/>
        <v>842581.09703123407</v>
      </c>
      <c r="AV2364" s="2">
        <f t="shared" ca="1" si="2278"/>
        <v>2196481.4478439898</v>
      </c>
      <c r="AW2364" s="2">
        <f t="shared" ca="1" si="2279"/>
        <v>2322827.8524062899</v>
      </c>
      <c r="AX2364" s="2">
        <f t="shared" ca="1" si="2280"/>
        <v>2346788.0811646399</v>
      </c>
      <c r="AY2364" s="2">
        <f t="shared" ca="1" si="2281"/>
        <v>2370892.1832218315</v>
      </c>
      <c r="AZ2364" s="2">
        <f t="shared" ca="1" si="2282"/>
        <v>2395141.0224897391</v>
      </c>
      <c r="BA2364" s="2">
        <f t="shared" ca="1" si="2283"/>
        <v>52773136.576180674</v>
      </c>
      <c r="BB2364" s="2">
        <f t="shared" ca="1" si="2284"/>
        <v>1055462.7315236134</v>
      </c>
      <c r="BC2364" s="2">
        <f t="shared" ca="1" si="2285"/>
        <v>26681082.818163499</v>
      </c>
      <c r="BD2364" s="2">
        <f t="shared" ca="1" si="2286"/>
        <v>-18234251.977099609</v>
      </c>
      <c r="BE2364" s="2">
        <f t="shared" ca="1" si="2287"/>
        <v>2196481.4478439898</v>
      </c>
      <c r="BF2364" s="2">
        <f t="shared" ca="1" si="2288"/>
        <v>2322827.8524062899</v>
      </c>
      <c r="BG2364" s="2">
        <f t="shared" ca="1" si="2289"/>
        <v>2346788.0811646399</v>
      </c>
      <c r="BH2364" s="2">
        <f t="shared" ca="1" si="2290"/>
        <v>2370892.1832218315</v>
      </c>
      <c r="BI2364" s="2">
        <f t="shared" ca="1" si="2291"/>
        <v>29076223.840653237</v>
      </c>
      <c r="BJ2364" s="2">
        <f t="shared" ca="1" si="2292"/>
        <v>0.1901765265727684</v>
      </c>
      <c r="BK2364" s="2">
        <f t="shared" ca="1" si="2293"/>
        <v>5254408.8317395113</v>
      </c>
    </row>
    <row r="2365" spans="1:63" x14ac:dyDescent="0.3">
      <c r="A2365" s="2">
        <v>2364</v>
      </c>
      <c r="B2365" s="2">
        <f t="shared" ca="1" si="2232"/>
        <v>0.77813527268369853</v>
      </c>
      <c r="C2365" s="2">
        <f t="shared" ca="1" si="2233"/>
        <v>7.3338697915327646</v>
      </c>
      <c r="D2365" s="2">
        <f t="shared" ca="1" si="2234"/>
        <v>0.81885956443037788</v>
      </c>
      <c r="E2365" s="2">
        <f t="shared" ca="1" si="2235"/>
        <v>7.898102275183529</v>
      </c>
      <c r="F2365" s="2">
        <f t="shared" ca="1" si="2236"/>
        <v>0.25780699548201513</v>
      </c>
      <c r="G2365" s="2">
        <f t="shared" ca="1" si="2237"/>
        <v>2.0496366543841679E-2</v>
      </c>
      <c r="H2365" s="2">
        <f t="shared" ca="1" si="2238"/>
        <v>2.0496366543841679E-2</v>
      </c>
      <c r="I2365" s="2">
        <f t="shared" ca="1" si="2239"/>
        <v>0.14868651649287778</v>
      </c>
      <c r="J2365" s="2">
        <f t="shared" ca="1" si="2240"/>
        <v>4.7895832039641711E-3</v>
      </c>
      <c r="K2365" s="2">
        <f t="shared" ca="1" si="2241"/>
        <v>4.7895832039641711E-3</v>
      </c>
      <c r="L2365" s="2">
        <f t="shared" ca="1" si="2242"/>
        <v>0.84332020317260337</v>
      </c>
      <c r="M2365" s="2">
        <f t="shared" ca="1" si="2243"/>
        <v>2.016395267472796E-2</v>
      </c>
      <c r="N2365" s="2">
        <f t="shared" ca="1" si="2244"/>
        <v>2.016395267472796E-2</v>
      </c>
      <c r="O2365" s="2">
        <f t="shared" si="2245"/>
        <v>6000000</v>
      </c>
      <c r="P2365" s="2">
        <f t="shared" ca="1" si="2246"/>
        <v>44003218.749196589</v>
      </c>
      <c r="Q2365" s="2">
        <f t="shared" ca="1" si="2247"/>
        <v>1100080.4687299149</v>
      </c>
      <c r="R2365" s="2">
        <f t="shared" ca="1" si="2248"/>
        <v>26401931.249517951</v>
      </c>
      <c r="S2365" s="2">
        <f t="shared" ca="1" si="2249"/>
        <v>17601287.499678638</v>
      </c>
      <c r="T2365" s="2">
        <f t="shared" ca="1" si="2250"/>
        <v>51008197.633736394</v>
      </c>
      <c r="U2365" s="2">
        <f t="shared" ca="1" si="2251"/>
        <v>52053680.349178165</v>
      </c>
      <c r="V2365" s="2">
        <f t="shared" ca="1" si="2252"/>
        <v>53120591.661570884</v>
      </c>
      <c r="W2365" s="2">
        <f t="shared" ca="1" si="2253"/>
        <v>54209370.779292174</v>
      </c>
      <c r="X2365" s="2">
        <f t="shared" ca="1" si="2254"/>
        <v>55320465.91289556</v>
      </c>
      <c r="Y2365" s="2">
        <f t="shared" ca="1" si="2255"/>
        <v>0.12239479160198208</v>
      </c>
      <c r="Z2365" s="2">
        <f t="shared" ca="1" si="2256"/>
        <v>0.12335270824277492</v>
      </c>
      <c r="AA2365" s="2">
        <f t="shared" ca="1" si="2257"/>
        <v>6243137.7193738809</v>
      </c>
      <c r="AB2365" s="2">
        <f t="shared" ca="1" si="2258"/>
        <v>6420962.4450748404</v>
      </c>
      <c r="AC2365" s="2">
        <f t="shared" ca="1" si="2259"/>
        <v>6552568.8449133355</v>
      </c>
      <c r="AD2365" s="2">
        <f t="shared" ca="1" si="2260"/>
        <v>6686872.6977624353</v>
      </c>
      <c r="AE2365" s="2">
        <f t="shared" ca="1" si="2261"/>
        <v>6823929.2916077813</v>
      </c>
      <c r="AF2365" s="2">
        <f t="shared" ca="1" si="2262"/>
        <v>1020163.9526747279</v>
      </c>
      <c r="AG2365" s="2">
        <f t="shared" ca="1" si="2263"/>
        <v>1041073.6069835633</v>
      </c>
      <c r="AH2365" s="2">
        <f t="shared" ca="1" si="2264"/>
        <v>1062411.8332314177</v>
      </c>
      <c r="AI2365" s="2">
        <f t="shared" ca="1" si="2265"/>
        <v>1084187.4155858434</v>
      </c>
      <c r="AJ2365" s="2">
        <f t="shared" ca="1" si="2266"/>
        <v>1106409.3182579111</v>
      </c>
      <c r="AK2365" s="2">
        <f t="shared" ca="1" si="2267"/>
        <v>0</v>
      </c>
      <c r="AL2365" s="2">
        <f t="shared" ca="1" si="2268"/>
        <v>10454.82715441771</v>
      </c>
      <c r="AM2365" s="2">
        <f t="shared" ca="1" si="2269"/>
        <v>10669.113123927191</v>
      </c>
      <c r="AN2365" s="2">
        <f t="shared" ca="1" si="2270"/>
        <v>10887.791177212894</v>
      </c>
      <c r="AO2365" s="2">
        <f t="shared" ca="1" si="2271"/>
        <v>11110.951336033866</v>
      </c>
      <c r="AP2365" s="2">
        <f t="shared" ca="1" si="2272"/>
        <v>2376173.8124566157</v>
      </c>
      <c r="AQ2365" s="2">
        <f t="shared" ca="1" si="2273"/>
        <v>740167.9881030597</v>
      </c>
      <c r="AR2365" s="2">
        <f t="shared" ca="1" si="2274"/>
        <v>780965.90666501212</v>
      </c>
      <c r="AS2365" s="2">
        <f t="shared" ca="1" si="2275"/>
        <v>809635.63179857866</v>
      </c>
      <c r="AT2365" s="2">
        <f t="shared" ca="1" si="2276"/>
        <v>838892.98212719371</v>
      </c>
      <c r="AU2365" s="2">
        <f t="shared" ca="1" si="2277"/>
        <v>868750.0018322462</v>
      </c>
      <c r="AV2365" s="2">
        <f t="shared" ca="1" si="2278"/>
        <v>2106631.9661394772</v>
      </c>
      <c r="AW2365" s="2">
        <f t="shared" ca="1" si="2279"/>
        <v>2212294.291815232</v>
      </c>
      <c r="AX2365" s="2">
        <f t="shared" ca="1" si="2280"/>
        <v>2293678.4543027966</v>
      </c>
      <c r="AY2365" s="2">
        <f t="shared" ca="1" si="2281"/>
        <v>2376730.6964155692</v>
      </c>
      <c r="AZ2365" s="2">
        <f t="shared" ca="1" si="2282"/>
        <v>2461485.207724975</v>
      </c>
      <c r="BA2365" s="2">
        <f t="shared" ca="1" si="2283"/>
        <v>53896091.463738948</v>
      </c>
      <c r="BB2365" s="2">
        <f t="shared" ca="1" si="2284"/>
        <v>1077921.829274779</v>
      </c>
      <c r="BC2365" s="2">
        <f t="shared" ca="1" si="2285"/>
        <v>26416238.38494622</v>
      </c>
      <c r="BD2365" s="2">
        <f t="shared" ca="1" si="2286"/>
        <v>-19201367.968408551</v>
      </c>
      <c r="BE2365" s="2">
        <f t="shared" ca="1" si="2287"/>
        <v>2106631.9661394772</v>
      </c>
      <c r="BF2365" s="2">
        <f t="shared" ca="1" si="2288"/>
        <v>2212294.291815232</v>
      </c>
      <c r="BG2365" s="2">
        <f t="shared" ca="1" si="2289"/>
        <v>2293678.4543027966</v>
      </c>
      <c r="BH2365" s="2">
        <f t="shared" ca="1" si="2290"/>
        <v>2376730.6964155692</v>
      </c>
      <c r="BI2365" s="2">
        <f t="shared" ca="1" si="2291"/>
        <v>28877723.592671193</v>
      </c>
      <c r="BJ2365" s="2">
        <f t="shared" ca="1" si="2292"/>
        <v>0.17127481357163621</v>
      </c>
      <c r="BK2365" s="2">
        <f t="shared" ca="1" si="2293"/>
        <v>3972227.1368863881</v>
      </c>
    </row>
    <row r="2366" spans="1:63" x14ac:dyDescent="0.3">
      <c r="A2366" s="2">
        <v>2365</v>
      </c>
      <c r="B2366" s="2">
        <f t="shared" ca="1" si="2232"/>
        <v>0.60763872635757443</v>
      </c>
      <c r="C2366" s="2">
        <f t="shared" ca="1" si="2233"/>
        <v>7.1141543321295462</v>
      </c>
      <c r="D2366" s="2">
        <f t="shared" ca="1" si="2234"/>
        <v>0.15098779279378305</v>
      </c>
      <c r="E2366" s="2">
        <f t="shared" ca="1" si="2235"/>
        <v>7.0495230528263271</v>
      </c>
      <c r="F2366" s="2">
        <f t="shared" ca="1" si="2236"/>
        <v>0.73170696240642086</v>
      </c>
      <c r="G2366" s="2">
        <f t="shared" ca="1" si="2237"/>
        <v>5.8539511371999614E-2</v>
      </c>
      <c r="H2366" s="2">
        <f t="shared" ca="1" si="2238"/>
        <v>5.8539511371999614E-2</v>
      </c>
      <c r="I2366" s="2">
        <f t="shared" ca="1" si="2239"/>
        <v>0.95469010825854705</v>
      </c>
      <c r="J2366" s="2">
        <f t="shared" ca="1" si="2240"/>
        <v>1.8460686880660555E-2</v>
      </c>
      <c r="K2366" s="2">
        <f t="shared" ca="1" si="2241"/>
        <v>1.8460686880660555E-2</v>
      </c>
      <c r="L2366" s="2">
        <f t="shared" ca="1" si="2242"/>
        <v>0.15146413891021349</v>
      </c>
      <c r="M2366" s="2">
        <f t="shared" ca="1" si="2243"/>
        <v>-2.060348233031006E-2</v>
      </c>
      <c r="N2366" s="2">
        <f t="shared" ca="1" si="2244"/>
        <v>-2.060348233031006E-2</v>
      </c>
      <c r="O2366" s="2">
        <f t="shared" si="2245"/>
        <v>6000000</v>
      </c>
      <c r="P2366" s="2">
        <f t="shared" ca="1" si="2246"/>
        <v>42684925.992777281</v>
      </c>
      <c r="Q2366" s="2">
        <f t="shared" ca="1" si="2247"/>
        <v>1067123.1498194321</v>
      </c>
      <c r="R2366" s="2">
        <f t="shared" ca="1" si="2248"/>
        <v>25610955.595666368</v>
      </c>
      <c r="S2366" s="2">
        <f t="shared" ca="1" si="2249"/>
        <v>17073970.397110913</v>
      </c>
      <c r="T2366" s="2">
        <f t="shared" ca="1" si="2250"/>
        <v>48969825.883484498</v>
      </c>
      <c r="U2366" s="2">
        <f t="shared" ca="1" si="2251"/>
        <v>51836495.562675573</v>
      </c>
      <c r="V2366" s="2">
        <f t="shared" ca="1" si="2252"/>
        <v>54870978.684151426</v>
      </c>
      <c r="W2366" s="2">
        <f t="shared" ca="1" si="2253"/>
        <v>58083098.964825049</v>
      </c>
      <c r="X2366" s="2">
        <f t="shared" ca="1" si="2254"/>
        <v>61483255.1971974</v>
      </c>
      <c r="Y2366" s="2">
        <f t="shared" ca="1" si="2255"/>
        <v>0.12923034344033027</v>
      </c>
      <c r="Z2366" s="2">
        <f t="shared" ca="1" si="2256"/>
        <v>0.13292248081646238</v>
      </c>
      <c r="AA2366" s="2">
        <f t="shared" ca="1" si="2257"/>
        <v>6328387.4171358766</v>
      </c>
      <c r="AB2366" s="2">
        <f t="shared" ca="1" si="2258"/>
        <v>6890235.5870223809</v>
      </c>
      <c r="AC2366" s="2">
        <f t="shared" ca="1" si="2259"/>
        <v>7293586.6115246341</v>
      </c>
      <c r="AD2366" s="2">
        <f t="shared" ca="1" si="2260"/>
        <v>7720549.6079126438</v>
      </c>
      <c r="AE2366" s="2">
        <f t="shared" ca="1" si="2261"/>
        <v>8172506.8094831323</v>
      </c>
      <c r="AF2366" s="2">
        <f t="shared" ca="1" si="2262"/>
        <v>979396.51766968996</v>
      </c>
      <c r="AG2366" s="2">
        <f t="shared" ca="1" si="2263"/>
        <v>1036729.9112535114</v>
      </c>
      <c r="AH2366" s="2">
        <f t="shared" ca="1" si="2264"/>
        <v>1097419.5736830286</v>
      </c>
      <c r="AI2366" s="2">
        <f t="shared" ca="1" si="2265"/>
        <v>1161661.979296501</v>
      </c>
      <c r="AJ2366" s="2">
        <f t="shared" ca="1" si="2266"/>
        <v>1229665.1039439479</v>
      </c>
      <c r="AK2366" s="2">
        <f t="shared" ca="1" si="2267"/>
        <v>0</v>
      </c>
      <c r="AL2366" s="2">
        <f t="shared" ca="1" si="2268"/>
        <v>28666.696791910752</v>
      </c>
      <c r="AM2366" s="2">
        <f t="shared" ca="1" si="2269"/>
        <v>30344.831214758531</v>
      </c>
      <c r="AN2366" s="2">
        <f t="shared" ca="1" si="2270"/>
        <v>32121.20280673623</v>
      </c>
      <c r="AO2366" s="2">
        <f t="shared" ca="1" si="2271"/>
        <v>34001.562323723512</v>
      </c>
      <c r="AP2366" s="2">
        <f t="shared" ca="1" si="2272"/>
        <v>2304986.003609973</v>
      </c>
      <c r="AQ2366" s="2">
        <f t="shared" ca="1" si="2273"/>
        <v>791441.27292261564</v>
      </c>
      <c r="AR2366" s="2">
        <f t="shared" ca="1" si="2274"/>
        <v>922615.11476131296</v>
      </c>
      <c r="AS2366" s="2">
        <f t="shared" ca="1" si="2275"/>
        <v>1011707.0689002244</v>
      </c>
      <c r="AT2366" s="2">
        <f t="shared" ca="1" si="2276"/>
        <v>1106014.4225016043</v>
      </c>
      <c r="AU2366" s="2">
        <f t="shared" ca="1" si="2277"/>
        <v>1205842.482501595</v>
      </c>
      <c r="AV2366" s="2">
        <f t="shared" ca="1" si="2278"/>
        <v>2252563.6229335982</v>
      </c>
      <c r="AW2366" s="2">
        <f t="shared" ca="1" si="2279"/>
        <v>2597237.8606056729</v>
      </c>
      <c r="AX2366" s="2">
        <f t="shared" ca="1" si="2280"/>
        <v>2849129.1341166487</v>
      </c>
      <c r="AY2366" s="2">
        <f t="shared" ca="1" si="2281"/>
        <v>3115765.9996978296</v>
      </c>
      <c r="AZ2366" s="2">
        <f t="shared" ca="1" si="2282"/>
        <v>3398011.6571038924</v>
      </c>
      <c r="BA2366" s="2">
        <f t="shared" ca="1" si="2283"/>
        <v>57612275.15283148</v>
      </c>
      <c r="BB2366" s="2">
        <f t="shared" ca="1" si="2284"/>
        <v>1152245.5030566296</v>
      </c>
      <c r="BC2366" s="2">
        <f t="shared" ca="1" si="2285"/>
        <v>30849074.054108482</v>
      </c>
      <c r="BD2366" s="2">
        <f t="shared" ca="1" si="2286"/>
        <v>-18641093.546930347</v>
      </c>
      <c r="BE2366" s="2">
        <f t="shared" ca="1" si="2287"/>
        <v>2252563.6229335982</v>
      </c>
      <c r="BF2366" s="2">
        <f t="shared" ca="1" si="2288"/>
        <v>2597237.8606056729</v>
      </c>
      <c r="BG2366" s="2">
        <f t="shared" ca="1" si="2289"/>
        <v>2849129.1341166487</v>
      </c>
      <c r="BH2366" s="2">
        <f t="shared" ca="1" si="2290"/>
        <v>3115765.9996978296</v>
      </c>
      <c r="BI2366" s="2">
        <f t="shared" ca="1" si="2291"/>
        <v>34247085.711212374</v>
      </c>
      <c r="BJ2366" s="2">
        <f t="shared" ca="1" si="2292"/>
        <v>0.22941813329729355</v>
      </c>
      <c r="BK2366" s="2">
        <f t="shared" ca="1" si="2293"/>
        <v>8881421.719224263</v>
      </c>
    </row>
    <row r="2367" spans="1:63" x14ac:dyDescent="0.3">
      <c r="A2367" s="2">
        <v>2366</v>
      </c>
      <c r="B2367" s="2">
        <f t="shared" ca="1" si="2232"/>
        <v>0.64942567775943094</v>
      </c>
      <c r="C2367" s="2">
        <f t="shared" ca="1" si="2233"/>
        <v>7.1626538084632267</v>
      </c>
      <c r="D2367" s="2">
        <f t="shared" ca="1" si="2234"/>
        <v>0.67391431715024719</v>
      </c>
      <c r="E2367" s="2">
        <f t="shared" ca="1" si="2235"/>
        <v>7.6924287240747686</v>
      </c>
      <c r="F2367" s="2">
        <f t="shared" ca="1" si="2236"/>
        <v>0.76107282188060343</v>
      </c>
      <c r="G2367" s="2">
        <f t="shared" ca="1" si="2237"/>
        <v>6.1292733325546522E-2</v>
      </c>
      <c r="H2367" s="2">
        <f t="shared" ca="1" si="2238"/>
        <v>6.1292733325546522E-2</v>
      </c>
      <c r="I2367" s="2">
        <f t="shared" ca="1" si="2239"/>
        <v>0.46740770113097174</v>
      </c>
      <c r="J2367" s="2">
        <f t="shared" ca="1" si="2240"/>
        <v>9.5910606510543617E-3</v>
      </c>
      <c r="K2367" s="2">
        <f t="shared" ca="1" si="2241"/>
        <v>9.5910606510543617E-3</v>
      </c>
      <c r="L2367" s="2">
        <f t="shared" ca="1" si="2242"/>
        <v>0.97663584453566754</v>
      </c>
      <c r="M2367" s="2">
        <f t="shared" ca="1" si="2243"/>
        <v>3.9775089321331426E-2</v>
      </c>
      <c r="N2367" s="2">
        <f t="shared" ca="1" si="2244"/>
        <v>3.9775089321331426E-2</v>
      </c>
      <c r="O2367" s="2">
        <f t="shared" si="2245"/>
        <v>6000000</v>
      </c>
      <c r="P2367" s="2">
        <f t="shared" ca="1" si="2246"/>
        <v>42975922.850779362</v>
      </c>
      <c r="Q2367" s="2">
        <f t="shared" ca="1" si="2247"/>
        <v>1074398.071269484</v>
      </c>
      <c r="R2367" s="2">
        <f t="shared" ca="1" si="2248"/>
        <v>25785553.710467618</v>
      </c>
      <c r="S2367" s="2">
        <f t="shared" ca="1" si="2249"/>
        <v>17190369.140311744</v>
      </c>
      <c r="T2367" s="2">
        <f t="shared" ca="1" si="2250"/>
        <v>51988754.466066569</v>
      </c>
      <c r="U2367" s="2">
        <f t="shared" ca="1" si="2251"/>
        <v>55175287.329482496</v>
      </c>
      <c r="V2367" s="2">
        <f t="shared" ca="1" si="2252"/>
        <v>58557131.501928866</v>
      </c>
      <c r="W2367" s="2">
        <f t="shared" ca="1" si="2253"/>
        <v>62146258.147385545</v>
      </c>
      <c r="X2367" s="2">
        <f t="shared" ca="1" si="2254"/>
        <v>65955372.175193816</v>
      </c>
      <c r="Y2367" s="2">
        <f t="shared" ca="1" si="2255"/>
        <v>0.12479553032552718</v>
      </c>
      <c r="Z2367" s="2">
        <f t="shared" ca="1" si="2256"/>
        <v>0.12671374245573805</v>
      </c>
      <c r="AA2367" s="2">
        <f t="shared" ca="1" si="2257"/>
        <v>6487964.1845563967</v>
      </c>
      <c r="AB2367" s="2">
        <f t="shared" ca="1" si="2258"/>
        <v>6991467.1485893922</v>
      </c>
      <c r="AC2367" s="2">
        <f t="shared" ca="1" si="2259"/>
        <v>7419993.2800821997</v>
      </c>
      <c r="AD2367" s="2">
        <f t="shared" ca="1" si="2260"/>
        <v>7874784.9494756246</v>
      </c>
      <c r="AE2367" s="2">
        <f t="shared" ca="1" si="2261"/>
        <v>8357452.0433798609</v>
      </c>
      <c r="AF2367" s="2">
        <f t="shared" ca="1" si="2262"/>
        <v>1039775.0893213314</v>
      </c>
      <c r="AG2367" s="2">
        <f t="shared" ca="1" si="2263"/>
        <v>1103505.7465896499</v>
      </c>
      <c r="AH2367" s="2">
        <f t="shared" ca="1" si="2264"/>
        <v>1171142.6300385774</v>
      </c>
      <c r="AI2367" s="2">
        <f t="shared" ca="1" si="2265"/>
        <v>1242925.1629477108</v>
      </c>
      <c r="AJ2367" s="2">
        <f t="shared" ca="1" si="2266"/>
        <v>1319107.4435038764</v>
      </c>
      <c r="AK2367" s="2">
        <f t="shared" ca="1" si="2267"/>
        <v>0</v>
      </c>
      <c r="AL2367" s="2">
        <f t="shared" ca="1" si="2268"/>
        <v>31865.328634159268</v>
      </c>
      <c r="AM2367" s="2">
        <f t="shared" ca="1" si="2269"/>
        <v>33818.441724463701</v>
      </c>
      <c r="AN2367" s="2">
        <f t="shared" ca="1" si="2270"/>
        <v>35891.266454566794</v>
      </c>
      <c r="AO2367" s="2">
        <f t="shared" ca="1" si="2271"/>
        <v>38091.140278082712</v>
      </c>
      <c r="AP2367" s="2">
        <f t="shared" ca="1" si="2272"/>
        <v>2320699.8339420855</v>
      </c>
      <c r="AQ2367" s="2">
        <f t="shared" ca="1" si="2273"/>
        <v>813147.20793617482</v>
      </c>
      <c r="AR2367" s="2">
        <f t="shared" ca="1" si="2274"/>
        <v>927488.00769499072</v>
      </c>
      <c r="AS2367" s="2">
        <f t="shared" ca="1" si="2275"/>
        <v>1021319.2121863997</v>
      </c>
      <c r="AT2367" s="2">
        <f t="shared" ca="1" si="2276"/>
        <v>1120901.5876723155</v>
      </c>
      <c r="AU2367" s="2">
        <f t="shared" ca="1" si="2277"/>
        <v>1226587.6391428139</v>
      </c>
      <c r="AV2367" s="2">
        <f t="shared" ca="1" si="2278"/>
        <v>2314342.0533568049</v>
      </c>
      <c r="AW2367" s="2">
        <f t="shared" ca="1" si="2279"/>
        <v>2607908.2317285063</v>
      </c>
      <c r="AX2367" s="2">
        <f t="shared" ca="1" si="2280"/>
        <v>2873013.1621906739</v>
      </c>
      <c r="AY2367" s="2">
        <f t="shared" ca="1" si="2281"/>
        <v>3154367.0984589458</v>
      </c>
      <c r="AZ2367" s="2">
        <f t="shared" ca="1" si="2282"/>
        <v>3452965.9865130028</v>
      </c>
      <c r="BA2367" s="2">
        <f t="shared" ca="1" si="2283"/>
        <v>64289104.158572614</v>
      </c>
      <c r="BB2367" s="2">
        <f t="shared" ca="1" si="2284"/>
        <v>1285782.0831714524</v>
      </c>
      <c r="BC2367" s="2">
        <f t="shared" ca="1" si="2285"/>
        <v>37217768.364933543</v>
      </c>
      <c r="BD2367" s="2">
        <f t="shared" ca="1" si="2286"/>
        <v>-18764767.211581226</v>
      </c>
      <c r="BE2367" s="2">
        <f t="shared" ca="1" si="2287"/>
        <v>2314342.0533568049</v>
      </c>
      <c r="BF2367" s="2">
        <f t="shared" ca="1" si="2288"/>
        <v>2607908.2317285063</v>
      </c>
      <c r="BG2367" s="2">
        <f t="shared" ca="1" si="2289"/>
        <v>2873013.1621906739</v>
      </c>
      <c r="BH2367" s="2">
        <f t="shared" ca="1" si="2290"/>
        <v>3154367.0984589458</v>
      </c>
      <c r="BI2367" s="2">
        <f t="shared" ca="1" si="2291"/>
        <v>40670734.351446547</v>
      </c>
      <c r="BJ2367" s="2">
        <f t="shared" ca="1" si="2292"/>
        <v>0.26337938702380326</v>
      </c>
      <c r="BK2367" s="2">
        <f t="shared" ca="1" si="2293"/>
        <v>12507896.347680986</v>
      </c>
    </row>
    <row r="2368" spans="1:63" x14ac:dyDescent="0.3">
      <c r="A2368" s="2">
        <v>2367</v>
      </c>
      <c r="B2368" s="2">
        <f t="shared" ca="1" si="2232"/>
        <v>0.43089361453873865</v>
      </c>
      <c r="C2368" s="2">
        <f t="shared" ca="1" si="2233"/>
        <v>6.9283249587711611</v>
      </c>
      <c r="D2368" s="2">
        <f t="shared" ca="1" si="2234"/>
        <v>0.23201154659821244</v>
      </c>
      <c r="E2368" s="2">
        <f t="shared" ca="1" si="2235"/>
        <v>7.1811924054159917</v>
      </c>
      <c r="F2368" s="2">
        <f t="shared" ca="1" si="2236"/>
        <v>0.96359772956996093</v>
      </c>
      <c r="G2368" s="2">
        <f t="shared" ca="1" si="2237"/>
        <v>9.3821621755929452E-2</v>
      </c>
      <c r="H2368" s="2">
        <f t="shared" ca="1" si="2238"/>
        <v>9.3821621755929452E-2</v>
      </c>
      <c r="I2368" s="2">
        <f t="shared" ca="1" si="2239"/>
        <v>0.67035961108749476</v>
      </c>
      <c r="J2368" s="2">
        <f t="shared" ca="1" si="2240"/>
        <v>1.2204531878178987E-2</v>
      </c>
      <c r="K2368" s="2">
        <f t="shared" ca="1" si="2241"/>
        <v>1.2204531878178987E-2</v>
      </c>
      <c r="L2368" s="2">
        <f t="shared" ca="1" si="2242"/>
        <v>0.26147010464756193</v>
      </c>
      <c r="M2368" s="2">
        <f t="shared" ca="1" si="2243"/>
        <v>-1.2776394669763392E-2</v>
      </c>
      <c r="N2368" s="2">
        <f t="shared" ca="1" si="2244"/>
        <v>-1.2776394669763392E-2</v>
      </c>
      <c r="O2368" s="2">
        <f t="shared" si="2245"/>
        <v>6000000</v>
      </c>
      <c r="P2368" s="2">
        <f t="shared" ca="1" si="2246"/>
        <v>41569949.752626963</v>
      </c>
      <c r="Q2368" s="2">
        <f t="shared" ca="1" si="2247"/>
        <v>1039248.7438156741</v>
      </c>
      <c r="R2368" s="2">
        <f t="shared" ca="1" si="2248"/>
        <v>24941969.851576176</v>
      </c>
      <c r="S2368" s="2">
        <f t="shared" ca="1" si="2249"/>
        <v>16627979.901050786</v>
      </c>
      <c r="T2368" s="2">
        <f t="shared" ca="1" si="2250"/>
        <v>49361180.266511828</v>
      </c>
      <c r="U2368" s="2">
        <f t="shared" ca="1" si="2251"/>
        <v>53992326.250902757</v>
      </c>
      <c r="V2368" s="2">
        <f t="shared" ca="1" si="2252"/>
        <v>59057973.862137705</v>
      </c>
      <c r="W2368" s="2">
        <f t="shared" ca="1" si="2253"/>
        <v>64598888.747502767</v>
      </c>
      <c r="X2368" s="2">
        <f t="shared" ca="1" si="2254"/>
        <v>70659661.253424346</v>
      </c>
      <c r="Y2368" s="2">
        <f t="shared" ca="1" si="2255"/>
        <v>0.12610226593908949</v>
      </c>
      <c r="Z2368" s="2">
        <f t="shared" ca="1" si="2256"/>
        <v>0.12854317231472528</v>
      </c>
      <c r="AA2368" s="2">
        <f t="shared" ca="1" si="2257"/>
        <v>6224556.6810350111</v>
      </c>
      <c r="AB2368" s="2">
        <f t="shared" ca="1" si="2258"/>
        <v>6940344.8969426583</v>
      </c>
      <c r="AC2368" s="2">
        <f t="shared" ca="1" si="2259"/>
        <v>7591499.3107193094</v>
      </c>
      <c r="AD2368" s="2">
        <f t="shared" ca="1" si="2260"/>
        <v>8303746.0876100166</v>
      </c>
      <c r="AE2368" s="2">
        <f t="shared" ca="1" si="2261"/>
        <v>9082817.0121990442</v>
      </c>
      <c r="AF2368" s="2">
        <f t="shared" ca="1" si="2262"/>
        <v>987223.60533023661</v>
      </c>
      <c r="AG2368" s="2">
        <f t="shared" ca="1" si="2263"/>
        <v>1079846.5250180552</v>
      </c>
      <c r="AH2368" s="2">
        <f t="shared" ca="1" si="2264"/>
        <v>1181159.4772427541</v>
      </c>
      <c r="AI2368" s="2">
        <f t="shared" ca="1" si="2265"/>
        <v>1291977.7749500554</v>
      </c>
      <c r="AJ2368" s="2">
        <f t="shared" ca="1" si="2266"/>
        <v>1413193.225068487</v>
      </c>
      <c r="AK2368" s="2">
        <f t="shared" ca="1" si="2267"/>
        <v>0</v>
      </c>
      <c r="AL2368" s="2">
        <f t="shared" ca="1" si="2268"/>
        <v>46311.459843909295</v>
      </c>
      <c r="AM2368" s="2">
        <f t="shared" ca="1" si="2269"/>
        <v>50656.476112349483</v>
      </c>
      <c r="AN2368" s="2">
        <f t="shared" ca="1" si="2270"/>
        <v>55409.148853650615</v>
      </c>
      <c r="AO2368" s="2">
        <f t="shared" ca="1" si="2271"/>
        <v>60607.725059215802</v>
      </c>
      <c r="AP2368" s="2">
        <f t="shared" ca="1" si="2272"/>
        <v>2244777.2866418557</v>
      </c>
      <c r="AQ2368" s="2">
        <f t="shared" ca="1" si="2273"/>
        <v>778064.50515635894</v>
      </c>
      <c r="AR2368" s="2">
        <f t="shared" ca="1" si="2274"/>
        <v>940087.48217351444</v>
      </c>
      <c r="AS2368" s="2">
        <f t="shared" ca="1" si="2275"/>
        <v>1083046.2621770219</v>
      </c>
      <c r="AT2368" s="2">
        <f t="shared" ca="1" si="2276"/>
        <v>1239417.6667647075</v>
      </c>
      <c r="AU2368" s="2">
        <f t="shared" ca="1" si="2277"/>
        <v>1410460.0901270623</v>
      </c>
      <c r="AV2368" s="2">
        <f t="shared" ca="1" si="2278"/>
        <v>2214491.2839065604</v>
      </c>
      <c r="AW2368" s="2">
        <f t="shared" ca="1" si="2279"/>
        <v>2629322.1432653237</v>
      </c>
      <c r="AX2368" s="2">
        <f t="shared" ca="1" si="2280"/>
        <v>3031859.8085453277</v>
      </c>
      <c r="AY2368" s="2">
        <f t="shared" ca="1" si="2281"/>
        <v>3472164.2103997478</v>
      </c>
      <c r="AZ2368" s="2">
        <f t="shared" ca="1" si="2282"/>
        <v>3953778.6853024233</v>
      </c>
      <c r="BA2368" s="2">
        <f t="shared" ca="1" si="2283"/>
        <v>65225456.547786944</v>
      </c>
      <c r="BB2368" s="2">
        <f t="shared" ca="1" si="2284"/>
        <v>1304509.1309557389</v>
      </c>
      <c r="BC2368" s="2">
        <f t="shared" ca="1" si="2285"/>
        <v>38978977.565255031</v>
      </c>
      <c r="BD2368" s="2">
        <f t="shared" ca="1" si="2286"/>
        <v>-18167228.644866459</v>
      </c>
      <c r="BE2368" s="2">
        <f t="shared" ca="1" si="2287"/>
        <v>2214491.2839065604</v>
      </c>
      <c r="BF2368" s="2">
        <f t="shared" ca="1" si="2288"/>
        <v>2629322.1432653237</v>
      </c>
      <c r="BG2368" s="2">
        <f t="shared" ca="1" si="2289"/>
        <v>3031859.8085453277</v>
      </c>
      <c r="BH2368" s="2">
        <f t="shared" ca="1" si="2290"/>
        <v>3472164.2103997478</v>
      </c>
      <c r="BI2368" s="2">
        <f t="shared" ca="1" si="2291"/>
        <v>42932756.250557452</v>
      </c>
      <c r="BJ2368" s="2">
        <f t="shared" ca="1" si="2292"/>
        <v>0.28678727651133684</v>
      </c>
      <c r="BK2368" s="2">
        <f t="shared" ca="1" si="2293"/>
        <v>14631915.169832878</v>
      </c>
    </row>
    <row r="2369" spans="1:63" x14ac:dyDescent="0.3">
      <c r="A2369" s="2">
        <v>2368</v>
      </c>
      <c r="B2369" s="2">
        <f t="shared" ca="1" si="2232"/>
        <v>0.62454556885401935</v>
      </c>
      <c r="C2369" s="2">
        <f t="shared" ca="1" si="2233"/>
        <v>7.1334500232000693</v>
      </c>
      <c r="D2369" s="2">
        <f t="shared" ca="1" si="2234"/>
        <v>0.22638714520979242</v>
      </c>
      <c r="E2369" s="2">
        <f t="shared" ca="1" si="2235"/>
        <v>7.1728850499302128</v>
      </c>
      <c r="F2369" s="2">
        <f t="shared" ca="1" si="2236"/>
        <v>0.42497938904797516</v>
      </c>
      <c r="G2369" s="2">
        <f t="shared" ca="1" si="2237"/>
        <v>3.432486931775456E-2</v>
      </c>
      <c r="H2369" s="2">
        <f t="shared" ca="1" si="2238"/>
        <v>3.432486931775456E-2</v>
      </c>
      <c r="I2369" s="2">
        <f t="shared" ca="1" si="2239"/>
        <v>0.20322471816338883</v>
      </c>
      <c r="J2369" s="2">
        <f t="shared" ca="1" si="2240"/>
        <v>5.8492098078008169E-3</v>
      </c>
      <c r="K2369" s="2">
        <f t="shared" ca="1" si="2241"/>
        <v>5.8492098078008169E-3</v>
      </c>
      <c r="L2369" s="2">
        <f t="shared" ca="1" si="2242"/>
        <v>1.73845661706441E-2</v>
      </c>
      <c r="M2369" s="2">
        <f t="shared" ca="1" si="2243"/>
        <v>-4.2220739854624538E-2</v>
      </c>
      <c r="N2369" s="2">
        <f t="shared" ca="1" si="2244"/>
        <v>-4.2220739854624538E-2</v>
      </c>
      <c r="O2369" s="2">
        <f t="shared" si="2245"/>
        <v>6000000</v>
      </c>
      <c r="P2369" s="2">
        <f t="shared" ca="1" si="2246"/>
        <v>42800700.139200419</v>
      </c>
      <c r="Q2369" s="2">
        <f t="shared" ca="1" si="2247"/>
        <v>1070017.5034800104</v>
      </c>
      <c r="R2369" s="2">
        <f t="shared" ca="1" si="2248"/>
        <v>25680420.083520252</v>
      </c>
      <c r="S2369" s="2">
        <f t="shared" ca="1" si="2249"/>
        <v>17120280.055680167</v>
      </c>
      <c r="T2369" s="2">
        <f t="shared" ca="1" si="2250"/>
        <v>47888963.007268779</v>
      </c>
      <c r="U2369" s="2">
        <f t="shared" ca="1" si="2251"/>
        <v>49532745.404256061</v>
      </c>
      <c r="V2369" s="2">
        <f t="shared" ca="1" si="2252"/>
        <v>51232950.417206757</v>
      </c>
      <c r="W2369" s="2">
        <f t="shared" ca="1" si="2253"/>
        <v>52991514.745040372</v>
      </c>
      <c r="X2369" s="2">
        <f t="shared" ca="1" si="2254"/>
        <v>54810441.563613743</v>
      </c>
      <c r="Y2369" s="2">
        <f t="shared" ca="1" si="2255"/>
        <v>0.12292460490390041</v>
      </c>
      <c r="Z2369" s="2">
        <f t="shared" ca="1" si="2256"/>
        <v>0.12409444686546056</v>
      </c>
      <c r="AA2369" s="2">
        <f t="shared" ca="1" si="2257"/>
        <v>5886731.8569260165</v>
      </c>
      <c r="AB2369" s="2">
        <f t="shared" ca="1" si="2258"/>
        <v>6146738.6426688395</v>
      </c>
      <c r="AC2369" s="2">
        <f t="shared" ca="1" si="2259"/>
        <v>6357724.6433088398</v>
      </c>
      <c r="AD2369" s="2">
        <f t="shared" ca="1" si="2260"/>
        <v>6575952.7108486826</v>
      </c>
      <c r="AE2369" s="2">
        <f t="shared" ca="1" si="2261"/>
        <v>6801671.4282882968</v>
      </c>
      <c r="AF2369" s="2">
        <f t="shared" ca="1" si="2262"/>
        <v>957779.26014537562</v>
      </c>
      <c r="AG2369" s="2">
        <f t="shared" ca="1" si="2263"/>
        <v>990654.90808512119</v>
      </c>
      <c r="AH2369" s="2">
        <f t="shared" ca="1" si="2264"/>
        <v>1024659.0083441351</v>
      </c>
      <c r="AI2369" s="2">
        <f t="shared" ca="1" si="2265"/>
        <v>1059830.2949008076</v>
      </c>
      <c r="AJ2369" s="2">
        <f t="shared" ca="1" si="2266"/>
        <v>1096208.831272275</v>
      </c>
      <c r="AK2369" s="2">
        <f t="shared" ca="1" si="2267"/>
        <v>0</v>
      </c>
      <c r="AL2369" s="2">
        <f t="shared" ca="1" si="2268"/>
        <v>16437.823969872818</v>
      </c>
      <c r="AM2369" s="2">
        <f t="shared" ca="1" si="2269"/>
        <v>17002.050129506963</v>
      </c>
      <c r="AN2369" s="2">
        <f t="shared" ca="1" si="2270"/>
        <v>17585.643278336152</v>
      </c>
      <c r="AO2369" s="2">
        <f t="shared" ca="1" si="2271"/>
        <v>18189.268185733705</v>
      </c>
      <c r="AP2369" s="2">
        <f t="shared" ca="1" si="2272"/>
        <v>2311237.8075168226</v>
      </c>
      <c r="AQ2369" s="2">
        <f t="shared" ca="1" si="2273"/>
        <v>680605.84520859283</v>
      </c>
      <c r="AR2369" s="2">
        <f t="shared" ca="1" si="2274"/>
        <v>739659.94103739306</v>
      </c>
      <c r="AS2369" s="2">
        <f t="shared" ca="1" si="2275"/>
        <v>785675.23513644934</v>
      </c>
      <c r="AT2369" s="2">
        <f t="shared" ca="1" si="2276"/>
        <v>833269.99819207366</v>
      </c>
      <c r="AU2369" s="2">
        <f t="shared" ca="1" si="2277"/>
        <v>882498.44526979176</v>
      </c>
      <c r="AV2369" s="2">
        <f t="shared" ca="1" si="2278"/>
        <v>1937108.9440552257</v>
      </c>
      <c r="AW2369" s="2">
        <f t="shared" ca="1" si="2279"/>
        <v>2088748.1620596303</v>
      </c>
      <c r="AX2369" s="2">
        <f t="shared" ca="1" si="2280"/>
        <v>2219150.5421819258</v>
      </c>
      <c r="AY2369" s="2">
        <f t="shared" ca="1" si="2281"/>
        <v>2354028.9669606425</v>
      </c>
      <c r="AZ2369" s="2">
        <f t="shared" ca="1" si="2282"/>
        <v>2493537.0760436738</v>
      </c>
      <c r="BA2369" s="2">
        <f t="shared" ca="1" si="2283"/>
        <v>48787607.302506603</v>
      </c>
      <c r="BB2369" s="2">
        <f t="shared" ca="1" si="2284"/>
        <v>975752.14605013211</v>
      </c>
      <c r="BC2369" s="2">
        <f t="shared" ca="1" si="2285"/>
        <v>22131435.072936218</v>
      </c>
      <c r="BD2369" s="2">
        <f t="shared" ca="1" si="2286"/>
        <v>-18690297.559160177</v>
      </c>
      <c r="BE2369" s="2">
        <f t="shared" ca="1" si="2287"/>
        <v>1937108.9440552257</v>
      </c>
      <c r="BF2369" s="2">
        <f t="shared" ca="1" si="2288"/>
        <v>2088748.1620596303</v>
      </c>
      <c r="BG2369" s="2">
        <f t="shared" ca="1" si="2289"/>
        <v>2219150.5421819258</v>
      </c>
      <c r="BH2369" s="2">
        <f t="shared" ca="1" si="2290"/>
        <v>2354028.9669606425</v>
      </c>
      <c r="BI2369" s="2">
        <f t="shared" ca="1" si="2291"/>
        <v>24624972.148979891</v>
      </c>
      <c r="BJ2369" s="2">
        <f t="shared" ca="1" si="2292"/>
        <v>0.14433874363696342</v>
      </c>
      <c r="BK2369" s="2">
        <f t="shared" ca="1" si="2293"/>
        <v>1752847.2516672611</v>
      </c>
    </row>
    <row r="2370" spans="1:63" x14ac:dyDescent="0.3">
      <c r="A2370" s="2">
        <v>2369</v>
      </c>
      <c r="B2370" s="2">
        <f t="shared" ref="B2370:B2433" ca="1" si="2294">RAND()</f>
        <v>4.1704154778183788E-3</v>
      </c>
      <c r="C2370" s="2">
        <f t="shared" ref="C2370:C2433" ca="1" si="2295">IF(B2370&lt;((P_Mode)-(P_Low))/((P_High)-(P_Low)), (P_Low)+SQRT(B2370*((P_High)-(P_Low))*((P_Mode)-(P_Low))), (P_High)-SQRT((1-B2370)*((P_High)-(P_Low))*((P_High)-(P_Mode))))</f>
        <v>6.0913281498533545</v>
      </c>
      <c r="D2370" s="2">
        <f t="shared" ref="D2370:D2433" ca="1" si="2296">RAND()</f>
        <v>0.39064761040563767</v>
      </c>
      <c r="E2370" s="2">
        <f t="shared" ref="E2370:E2433" ca="1" si="2297">IF(D2370&lt;((X_Mode)-(X_Low))/((X_High)-(X_Low)), (X_Low)+SQRT(D2370*((X_High)-(X_Low))*((X_Mode)-(X_Low))), (X_High)-SQRT((1-D2370)*((X_High)-(X_Low))*((X_High)-(X_Mode))))</f>
        <v>7.3839090568668677</v>
      </c>
      <c r="F2370" s="2">
        <f t="shared" ref="F2370:F2433" ca="1" si="2298">RAND()</f>
        <v>3.4310891347585026E-2</v>
      </c>
      <c r="G2370" s="2">
        <f t="shared" ref="G2370:G2433" ca="1" si="2299">NORMINV(F2370, g_Mean, g_SD)</f>
        <v>-1.4627054561376543E-2</v>
      </c>
      <c r="H2370" s="2">
        <f t="shared" ref="H2370:H2433" ca="1" si="2300">MIN(MAX(G2370, g_Min), g_Max)</f>
        <v>-1.4627054561376543E-2</v>
      </c>
      <c r="I2370" s="2">
        <f t="shared" ref="I2370:I2433" ca="1" si="2301">RAND()</f>
        <v>0.50935593146669123</v>
      </c>
      <c r="J2370" s="2">
        <f t="shared" ref="J2370:J2433" ca="1" si="2302">NORMINV(I2370, syn_Mean, syn_SD)</f>
        <v>1.011726996236347E-2</v>
      </c>
      <c r="K2370" s="2">
        <f t="shared" ref="K2370:K2433" ca="1" si="2303">MIN(MAX(J2370, syn_Min), syn_Max)</f>
        <v>1.011726996236347E-2</v>
      </c>
      <c r="L2370" s="2">
        <f t="shared" ref="L2370:L2433" ca="1" si="2304">RAND()</f>
        <v>0.96563751753988669</v>
      </c>
      <c r="M2370" s="2">
        <f t="shared" ref="M2370:M2433" ca="1" si="2305">NORMINV(L2370, shk_Mean, shk_SD)</f>
        <v>3.6404471425522097E-2</v>
      </c>
      <c r="N2370" s="2">
        <f t="shared" ref="N2370:N2433" ca="1" si="2306">MIN(MAX(M2370, shk_Min), shk_Max)</f>
        <v>3.6404471425522097E-2</v>
      </c>
      <c r="O2370" s="2">
        <f t="shared" ref="O2370:O2433" si="2307">BaseRev*BaseMargin</f>
        <v>6000000</v>
      </c>
      <c r="P2370" s="2">
        <f t="shared" ref="P2370:P2433" ca="1" si="2308">O2370*C2370</f>
        <v>36547968.89912013</v>
      </c>
      <c r="Q2370" s="2">
        <f t="shared" ref="Q2370:Q2433" ca="1" si="2309">P2370*TxnCostPct</f>
        <v>913699.22247800324</v>
      </c>
      <c r="R2370" s="2">
        <f t="shared" ref="R2370:R2433" ca="1" si="2310">P2370*DebtPct</f>
        <v>21928781.339472078</v>
      </c>
      <c r="S2370" s="2">
        <f t="shared" ref="S2370:S2433" ca="1" si="2311">P2370*EqPct</f>
        <v>14619187.559648052</v>
      </c>
      <c r="T2370" s="2">
        <f t="shared" ref="T2370:T2433" ca="1" si="2312">BaseRev*(1+N2370)</f>
        <v>51820223.571276106</v>
      </c>
      <c r="U2370" s="2">
        <f t="shared" ref="U2370:U2433" ca="1" si="2313">T2370*(1+H2370)</f>
        <v>51062246.333716318</v>
      </c>
      <c r="V2370" s="2">
        <f t="shared" ref="V2370:V2433" ca="1" si="2314">U2370*(1+H2370)</f>
        <v>50315356.070566595</v>
      </c>
      <c r="W2370" s="2">
        <f t="shared" ref="W2370:W2433" ca="1" si="2315">V2370*(1+H2370)</f>
        <v>49579390.61204733</v>
      </c>
      <c r="X2370" s="2">
        <f t="shared" ref="X2370:X2433" ca="1" si="2316">W2370*(1+H2370)</f>
        <v>48854190.160445109</v>
      </c>
      <c r="Y2370" s="2">
        <f t="shared" ref="Y2370:Y2433" ca="1" si="2317">BaseMargin + SynReal_Y1*K2370</f>
        <v>0.12505863498118172</v>
      </c>
      <c r="Z2370" s="2">
        <f t="shared" ref="Z2370:Z2433" ca="1" si="2318">BaseMargin + SynReal_Y2toY5*K2370</f>
        <v>0.12708208897365442</v>
      </c>
      <c r="AA2370" s="2">
        <f t="shared" ref="AA2370:AA2433" ca="1" si="2319">T2370*Y2370</f>
        <v>6480566.4242434474</v>
      </c>
      <c r="AB2370" s="2">
        <f t="shared" ref="AB2370:AB2433" ca="1" si="2320">U2370*Z2370</f>
        <v>6489096.9317759965</v>
      </c>
      <c r="AC2370" s="2">
        <f t="shared" ref="AC2370:AC2433" ca="1" si="2321">V2370*Z2370</f>
        <v>6394180.5569008468</v>
      </c>
      <c r="AD2370" s="2">
        <f t="shared" ref="AD2370:AD2433" ca="1" si="2322">W2370*Z2370</f>
        <v>6300652.5290197656</v>
      </c>
      <c r="AE2370" s="2">
        <f t="shared" ref="AE2370:AE2433" ca="1" si="2323">X2370*Z2370</f>
        <v>6208492.5407055179</v>
      </c>
      <c r="AF2370" s="2">
        <f t="shared" ref="AF2370:AF2433" ca="1" si="2324">T2370*CapexPct</f>
        <v>1036404.4714255221</v>
      </c>
      <c r="AG2370" s="2">
        <f t="shared" ref="AG2370:AG2433" ca="1" si="2325">U2370*CapexPct</f>
        <v>1021244.9266743264</v>
      </c>
      <c r="AH2370" s="2">
        <f t="shared" ref="AH2370:AH2433" ca="1" si="2326">V2370*CapexPct</f>
        <v>1006307.1214113319</v>
      </c>
      <c r="AI2370" s="2">
        <f t="shared" ref="AI2370:AI2433" ca="1" si="2327">W2370*CapexPct</f>
        <v>991587.81224094657</v>
      </c>
      <c r="AJ2370" s="2">
        <f t="shared" ref="AJ2370:AJ2433" ca="1" si="2328">X2370*CapexPct</f>
        <v>977083.80320890225</v>
      </c>
      <c r="AK2370" s="2">
        <f t="shared" ref="AK2370:AK2433" ca="1" si="2329">MAX(T2370-BaseRev*(1+N2370),0)*WCPct</f>
        <v>0</v>
      </c>
      <c r="AL2370" s="2">
        <f t="shared" ref="AL2370:AL2433" ca="1" si="2330">MAX(U2370-T2370,0)*WCPct</f>
        <v>0</v>
      </c>
      <c r="AM2370" s="2">
        <f t="shared" ref="AM2370:AM2433" ca="1" si="2331">MAX(V2370-U2370,0)*WCPct</f>
        <v>0</v>
      </c>
      <c r="AN2370" s="2">
        <f t="shared" ref="AN2370:AN2433" ca="1" si="2332">MAX(W2370-V2370,0)*WCPct</f>
        <v>0</v>
      </c>
      <c r="AO2370" s="2">
        <f t="shared" ref="AO2370:AO2433" ca="1" si="2333">MAX(X2370-W2370,0)*WCPct</f>
        <v>0</v>
      </c>
      <c r="AP2370" s="2">
        <f t="shared" ref="AP2370:AP2433" ca="1" si="2334">R2370*DebtRate</f>
        <v>1973590.3205524869</v>
      </c>
      <c r="AQ2370" s="2">
        <f t="shared" ref="AQ2370:AQ2433" ca="1" si="2335">MAX(AA2370-AF2370-AP2370,0)*Tax</f>
        <v>902348.62438901397</v>
      </c>
      <c r="AR2370" s="2">
        <f t="shared" ref="AR2370:AR2433" ca="1" si="2336">MAX(AB2370-AG2370-AP2370,0)*Tax</f>
        <v>908508.03798278747</v>
      </c>
      <c r="AS2370" s="2">
        <f t="shared" ref="AS2370:AS2433" ca="1" si="2337">MAX(AC2370-AH2370-AP2370,0)*Tax</f>
        <v>887713.60988362727</v>
      </c>
      <c r="AT2370" s="2">
        <f t="shared" ref="AT2370:AT2433" ca="1" si="2338">MAX(AD2370-AI2370-AP2370,0)*Tax</f>
        <v>867223.34301884624</v>
      </c>
      <c r="AU2370" s="2">
        <f t="shared" ref="AU2370:AU2433" ca="1" si="2339">MAX(AE2370-AJ2370-AP2370,0)*Tax</f>
        <v>847032.78840547346</v>
      </c>
      <c r="AV2370" s="2">
        <f t="shared" ref="AV2370:AV2433" ca="1" si="2340">AA2370-AF2370-AK2370-AQ2370-AP2370</f>
        <v>2568223.0078764241</v>
      </c>
      <c r="AW2370" s="2">
        <f t="shared" ref="AW2370:AW2433" ca="1" si="2341">AB2370-AG2370-AL2370-AR2370-AP2370</f>
        <v>2585753.6465663947</v>
      </c>
      <c r="AX2370" s="2">
        <f t="shared" ref="AX2370:AX2433" ca="1" si="2342">AC2370-AH2370-AM2370-AS2370-AP2370</f>
        <v>2526569.505053401</v>
      </c>
      <c r="AY2370" s="2">
        <f t="shared" ref="AY2370:AY2433" ca="1" si="2343">AD2370-AI2370-AN2370-AT2370-AP2370</f>
        <v>2468251.053207485</v>
      </c>
      <c r="AZ2370" s="2">
        <f t="shared" ref="AZ2370:AZ2433" ca="1" si="2344">AE2370-AJ2370-AO2370-AU2370-AP2370</f>
        <v>2410785.6285386551</v>
      </c>
      <c r="BA2370" s="2">
        <f t="shared" ref="BA2370:BA2433" ca="1" si="2345">AE2370*E2370</f>
        <v>45842944.300805867</v>
      </c>
      <c r="BB2370" s="2">
        <f t="shared" ref="BB2370:BB2433" ca="1" si="2346">BA2370*SellCostPct</f>
        <v>916858.88601611741</v>
      </c>
      <c r="BC2370" s="2">
        <f t="shared" ref="BC2370:BC2433" ca="1" si="2347">BA2370-R2370-BB2370</f>
        <v>22997304.075317673</v>
      </c>
      <c r="BD2370" s="2">
        <f t="shared" ref="BD2370:BD2433" ca="1" si="2348">-S2370-Q2370-IntegrationPct*BaseRev</f>
        <v>-16032886.782126054</v>
      </c>
      <c r="BE2370" s="2">
        <f t="shared" ref="BE2370:BE2433" ca="1" si="2349">AV2370</f>
        <v>2568223.0078764241</v>
      </c>
      <c r="BF2370" s="2">
        <f t="shared" ref="BF2370:BF2433" ca="1" si="2350">AW2370</f>
        <v>2585753.6465663947</v>
      </c>
      <c r="BG2370" s="2">
        <f t="shared" ref="BG2370:BG2433" ca="1" si="2351">AX2370</f>
        <v>2526569.505053401</v>
      </c>
      <c r="BH2370" s="2">
        <f t="shared" ref="BH2370:BH2433" ca="1" si="2352">AY2370</f>
        <v>2468251.053207485</v>
      </c>
      <c r="BI2370" s="2">
        <f t="shared" ref="BI2370:BI2433" ca="1" si="2353">AZ2370+BC2370</f>
        <v>25408089.703856327</v>
      </c>
      <c r="BJ2370" s="2">
        <f t="shared" ref="BJ2370:BJ2433" ca="1" si="2354">IF(MIN(BD2370:BI2370)*MAX(BD2370:BI2370)&gt;=0, "", IFERROR(IRR(BD2370:BI2370,0.12), IFERROR(IRR(BD2370:BI2370,0.5), IFERROR(IRR(BD2370:BI2370,-0.5),""))))</f>
        <v>0.21441137770272278</v>
      </c>
      <c r="BK2370" s="2">
        <f t="shared" ref="BK2370:BK2433" ca="1" si="2355">NPV(12%,BE2370:BI2370)+BD2370</f>
        <v>6105729.3360595666</v>
      </c>
    </row>
    <row r="2371" spans="1:63" x14ac:dyDescent="0.3">
      <c r="A2371" s="2">
        <v>2370</v>
      </c>
      <c r="B2371" s="2">
        <f t="shared" ca="1" si="2294"/>
        <v>0.98159124982451673</v>
      </c>
      <c r="C2371" s="2">
        <f t="shared" ca="1" si="2295"/>
        <v>7.8081211310462599</v>
      </c>
      <c r="D2371" s="2">
        <f t="shared" ca="1" si="2296"/>
        <v>0.53727888598173168</v>
      </c>
      <c r="E2371" s="2">
        <f t="shared" ca="1" si="2297"/>
        <v>7.5380009209793721</v>
      </c>
      <c r="F2371" s="2">
        <f t="shared" ca="1" si="2298"/>
        <v>0.53633120494424424</v>
      </c>
      <c r="G2371" s="2">
        <f t="shared" ca="1" si="2299"/>
        <v>4.2735852178925539E-2</v>
      </c>
      <c r="H2371" s="2">
        <f t="shared" ca="1" si="2300"/>
        <v>4.2735852178925539E-2</v>
      </c>
      <c r="I2371" s="2">
        <f t="shared" ca="1" si="2301"/>
        <v>0.24213975356626527</v>
      </c>
      <c r="J2371" s="2">
        <f t="shared" ca="1" si="2302"/>
        <v>6.5028192855621104E-3</v>
      </c>
      <c r="K2371" s="2">
        <f t="shared" ca="1" si="2303"/>
        <v>6.5028192855621104E-3</v>
      </c>
      <c r="L2371" s="2">
        <f t="shared" ca="1" si="2304"/>
        <v>0.64392981488122192</v>
      </c>
      <c r="M2371" s="2">
        <f t="shared" ca="1" si="2305"/>
        <v>7.3796606949372203E-3</v>
      </c>
      <c r="N2371" s="2">
        <f t="shared" ca="1" si="2306"/>
        <v>7.3796606949372203E-3</v>
      </c>
      <c r="O2371" s="2">
        <f t="shared" si="2307"/>
        <v>6000000</v>
      </c>
      <c r="P2371" s="2">
        <f t="shared" ca="1" si="2308"/>
        <v>46848726.786277562</v>
      </c>
      <c r="Q2371" s="2">
        <f t="shared" ca="1" si="2309"/>
        <v>1171218.1696569391</v>
      </c>
      <c r="R2371" s="2">
        <f t="shared" ca="1" si="2310"/>
        <v>28109236.071766537</v>
      </c>
      <c r="S2371" s="2">
        <f t="shared" ca="1" si="2311"/>
        <v>18739490.714511026</v>
      </c>
      <c r="T2371" s="2">
        <f t="shared" ca="1" si="2312"/>
        <v>50368983.034746863</v>
      </c>
      <c r="U2371" s="2">
        <f t="shared" ca="1" si="2313"/>
        <v>52521544.448122621</v>
      </c>
      <c r="V2371" s="2">
        <f t="shared" ca="1" si="2314"/>
        <v>54766097.407866463</v>
      </c>
      <c r="W2371" s="2">
        <f t="shared" ca="1" si="2315"/>
        <v>57106573.251105689</v>
      </c>
      <c r="X2371" s="2">
        <f t="shared" ca="1" si="2316"/>
        <v>59547071.324009925</v>
      </c>
      <c r="Y2371" s="2">
        <f t="shared" ca="1" si="2317"/>
        <v>0.12325140964278106</v>
      </c>
      <c r="Z2371" s="2">
        <f t="shared" ca="1" si="2318"/>
        <v>0.12455197349989347</v>
      </c>
      <c r="AA2371" s="2">
        <f t="shared" ca="1" si="2319"/>
        <v>6208048.1613058746</v>
      </c>
      <c r="AB2371" s="2">
        <f t="shared" ca="1" si="2320"/>
        <v>6541662.012276046</v>
      </c>
      <c r="AC2371" s="2">
        <f t="shared" ca="1" si="2321"/>
        <v>6821225.5130371684</v>
      </c>
      <c r="AD2371" s="2">
        <f t="shared" ca="1" si="2322"/>
        <v>7112736.3982414408</v>
      </c>
      <c r="AE2371" s="2">
        <f t="shared" ca="1" si="2323"/>
        <v>7416705.2495443504</v>
      </c>
      <c r="AF2371" s="2">
        <f t="shared" ca="1" si="2324"/>
        <v>1007379.6606949372</v>
      </c>
      <c r="AG2371" s="2">
        <f t="shared" ca="1" si="2325"/>
        <v>1050430.8889624525</v>
      </c>
      <c r="AH2371" s="2">
        <f t="shared" ca="1" si="2326"/>
        <v>1095321.9481573293</v>
      </c>
      <c r="AI2371" s="2">
        <f t="shared" ca="1" si="2327"/>
        <v>1142131.4650221139</v>
      </c>
      <c r="AJ2371" s="2">
        <f t="shared" ca="1" si="2328"/>
        <v>1190941.4264801985</v>
      </c>
      <c r="AK2371" s="2">
        <f t="shared" ca="1" si="2329"/>
        <v>0</v>
      </c>
      <c r="AL2371" s="2">
        <f t="shared" ca="1" si="2330"/>
        <v>21525.614133757575</v>
      </c>
      <c r="AM2371" s="2">
        <f t="shared" ca="1" si="2331"/>
        <v>22445.529597438424</v>
      </c>
      <c r="AN2371" s="2">
        <f t="shared" ca="1" si="2332"/>
        <v>23404.758432392257</v>
      </c>
      <c r="AO2371" s="2">
        <f t="shared" ca="1" si="2333"/>
        <v>24404.980729042367</v>
      </c>
      <c r="AP2371" s="2">
        <f t="shared" ca="1" si="2334"/>
        <v>2529831.2464589882</v>
      </c>
      <c r="AQ2371" s="2">
        <f t="shared" ca="1" si="2335"/>
        <v>694417.68607950676</v>
      </c>
      <c r="AR2371" s="2">
        <f t="shared" ca="1" si="2336"/>
        <v>769963.96798219741</v>
      </c>
      <c r="AS2371" s="2">
        <f t="shared" ca="1" si="2337"/>
        <v>830978.80278942129</v>
      </c>
      <c r="AT2371" s="2">
        <f t="shared" ca="1" si="2338"/>
        <v>894601.158557688</v>
      </c>
      <c r="AU2371" s="2">
        <f t="shared" ca="1" si="2339"/>
        <v>960942.46991734265</v>
      </c>
      <c r="AV2371" s="2">
        <f t="shared" ca="1" si="2340"/>
        <v>1976419.5680724424</v>
      </c>
      <c r="AW2371" s="2">
        <f t="shared" ca="1" si="2341"/>
        <v>2169910.2947386508</v>
      </c>
      <c r="AX2371" s="2">
        <f t="shared" ca="1" si="2342"/>
        <v>2342647.9860339914</v>
      </c>
      <c r="AY2371" s="2">
        <f t="shared" ca="1" si="2343"/>
        <v>2522767.7697702586</v>
      </c>
      <c r="AZ2371" s="2">
        <f t="shared" ca="1" si="2344"/>
        <v>2710585.1259587784</v>
      </c>
      <c r="BA2371" s="2">
        <f t="shared" ca="1" si="2345"/>
        <v>55907131.001697861</v>
      </c>
      <c r="BB2371" s="2">
        <f t="shared" ca="1" si="2346"/>
        <v>1118142.6200339573</v>
      </c>
      <c r="BC2371" s="2">
        <f t="shared" ca="1" si="2347"/>
        <v>26679752.309897367</v>
      </c>
      <c r="BD2371" s="2">
        <f t="shared" ca="1" si="2348"/>
        <v>-20410708.884167966</v>
      </c>
      <c r="BE2371" s="2">
        <f t="shared" ca="1" si="2349"/>
        <v>1976419.5680724424</v>
      </c>
      <c r="BF2371" s="2">
        <f t="shared" ca="1" si="2350"/>
        <v>2169910.2947386508</v>
      </c>
      <c r="BG2371" s="2">
        <f t="shared" ca="1" si="2351"/>
        <v>2342647.9860339914</v>
      </c>
      <c r="BH2371" s="2">
        <f t="shared" ca="1" si="2352"/>
        <v>2522767.7697702586</v>
      </c>
      <c r="BI2371" s="2">
        <f t="shared" ca="1" si="2353"/>
        <v>29390337.435856145</v>
      </c>
      <c r="BJ2371" s="2">
        <f t="shared" ca="1" si="2354"/>
        <v>0.15719273901768838</v>
      </c>
      <c r="BK2371" s="2">
        <f t="shared" ca="1" si="2355"/>
        <v>3031372.4953501113</v>
      </c>
    </row>
    <row r="2372" spans="1:63" x14ac:dyDescent="0.3">
      <c r="A2372" s="2">
        <v>2371</v>
      </c>
      <c r="B2372" s="2">
        <f t="shared" ca="1" si="2294"/>
        <v>0.91279602725057696</v>
      </c>
      <c r="C2372" s="2">
        <f t="shared" ca="1" si="2295"/>
        <v>7.5823782267423718</v>
      </c>
      <c r="D2372" s="2">
        <f t="shared" ca="1" si="2296"/>
        <v>0.13542006676183782</v>
      </c>
      <c r="E2372" s="2">
        <f t="shared" ca="1" si="2297"/>
        <v>7.0204230332370727</v>
      </c>
      <c r="F2372" s="2">
        <f t="shared" ca="1" si="2298"/>
        <v>0.72241109547744065</v>
      </c>
      <c r="G2372" s="2">
        <f t="shared" ca="1" si="2299"/>
        <v>5.770057458362534E-2</v>
      </c>
      <c r="H2372" s="2">
        <f t="shared" ca="1" si="2300"/>
        <v>5.770057458362534E-2</v>
      </c>
      <c r="I2372" s="2">
        <f t="shared" ca="1" si="2301"/>
        <v>0.53668289236270217</v>
      </c>
      <c r="J2372" s="2">
        <f t="shared" ca="1" si="2302"/>
        <v>1.0460401657302531E-2</v>
      </c>
      <c r="K2372" s="2">
        <f t="shared" ca="1" si="2303"/>
        <v>1.0460401657302531E-2</v>
      </c>
      <c r="L2372" s="2">
        <f t="shared" ca="1" si="2304"/>
        <v>0.83599803049487631</v>
      </c>
      <c r="M2372" s="2">
        <f t="shared" ca="1" si="2305"/>
        <v>1.9562846417445063E-2</v>
      </c>
      <c r="N2372" s="2">
        <f t="shared" ca="1" si="2306"/>
        <v>1.9562846417445063E-2</v>
      </c>
      <c r="O2372" s="2">
        <f t="shared" si="2307"/>
        <v>6000000</v>
      </c>
      <c r="P2372" s="2">
        <f t="shared" ca="1" si="2308"/>
        <v>45494269.360454232</v>
      </c>
      <c r="Q2372" s="2">
        <f t="shared" ca="1" si="2309"/>
        <v>1137356.7340113558</v>
      </c>
      <c r="R2372" s="2">
        <f t="shared" ca="1" si="2310"/>
        <v>27296561.616272539</v>
      </c>
      <c r="S2372" s="2">
        <f t="shared" ca="1" si="2311"/>
        <v>18197707.744181693</v>
      </c>
      <c r="T2372" s="2">
        <f t="shared" ca="1" si="2312"/>
        <v>50978142.320872255</v>
      </c>
      <c r="U2372" s="2">
        <f t="shared" ca="1" si="2313"/>
        <v>53919610.423992418</v>
      </c>
      <c r="V2372" s="2">
        <f t="shared" ca="1" si="2314"/>
        <v>57030802.926782019</v>
      </c>
      <c r="W2372" s="2">
        <f t="shared" ca="1" si="2315"/>
        <v>60321513.02462285</v>
      </c>
      <c r="X2372" s="2">
        <f t="shared" ca="1" si="2316"/>
        <v>63802098.985897236</v>
      </c>
      <c r="Y2372" s="2">
        <f t="shared" ca="1" si="2317"/>
        <v>0.12523020082865127</v>
      </c>
      <c r="Z2372" s="2">
        <f t="shared" ca="1" si="2318"/>
        <v>0.12732228116011177</v>
      </c>
      <c r="AA2372" s="2">
        <f t="shared" ca="1" si="2319"/>
        <v>6384003.0007143989</v>
      </c>
      <c r="AB2372" s="2">
        <f t="shared" ca="1" si="2320"/>
        <v>6865167.798447256</v>
      </c>
      <c r="AC2372" s="2">
        <f t="shared" ca="1" si="2321"/>
        <v>7261291.9250306655</v>
      </c>
      <c r="AD2372" s="2">
        <f t="shared" ca="1" si="2322"/>
        <v>7680272.6413243748</v>
      </c>
      <c r="AE2372" s="2">
        <f t="shared" ca="1" si="2323"/>
        <v>8123428.7856876897</v>
      </c>
      <c r="AF2372" s="2">
        <f t="shared" ca="1" si="2324"/>
        <v>1019562.8464174451</v>
      </c>
      <c r="AG2372" s="2">
        <f t="shared" ca="1" si="2325"/>
        <v>1078392.2084798485</v>
      </c>
      <c r="AH2372" s="2">
        <f t="shared" ca="1" si="2326"/>
        <v>1140616.0585356404</v>
      </c>
      <c r="AI2372" s="2">
        <f t="shared" ca="1" si="2327"/>
        <v>1206430.2604924571</v>
      </c>
      <c r="AJ2372" s="2">
        <f t="shared" ca="1" si="2328"/>
        <v>1276041.9797179447</v>
      </c>
      <c r="AK2372" s="2">
        <f t="shared" ca="1" si="2329"/>
        <v>0</v>
      </c>
      <c r="AL2372" s="2">
        <f t="shared" ca="1" si="2330"/>
        <v>29414.681031201631</v>
      </c>
      <c r="AM2372" s="2">
        <f t="shared" ca="1" si="2331"/>
        <v>31111.925027896017</v>
      </c>
      <c r="AN2372" s="2">
        <f t="shared" ca="1" si="2332"/>
        <v>32907.100978408307</v>
      </c>
      <c r="AO2372" s="2">
        <f t="shared" ca="1" si="2333"/>
        <v>34805.859612743858</v>
      </c>
      <c r="AP2372" s="2">
        <f t="shared" ca="1" si="2334"/>
        <v>2456690.5454645283</v>
      </c>
      <c r="AQ2372" s="2">
        <f t="shared" ca="1" si="2335"/>
        <v>756014.89829643071</v>
      </c>
      <c r="AR2372" s="2">
        <f t="shared" ca="1" si="2336"/>
        <v>865822.11157074862</v>
      </c>
      <c r="AS2372" s="2">
        <f t="shared" ca="1" si="2337"/>
        <v>952636.18346792925</v>
      </c>
      <c r="AT2372" s="2">
        <f t="shared" ca="1" si="2338"/>
        <v>1044459.4771955214</v>
      </c>
      <c r="AU2372" s="2">
        <f t="shared" ca="1" si="2339"/>
        <v>1141581.0277313562</v>
      </c>
      <c r="AV2372" s="2">
        <f t="shared" ca="1" si="2340"/>
        <v>2151734.7105359952</v>
      </c>
      <c r="AW2372" s="2">
        <f t="shared" ca="1" si="2341"/>
        <v>2434848.2519009286</v>
      </c>
      <c r="AX2372" s="2">
        <f t="shared" ca="1" si="2342"/>
        <v>2680237.2125346721</v>
      </c>
      <c r="AY2372" s="2">
        <f t="shared" ca="1" si="2343"/>
        <v>2939785.2571934597</v>
      </c>
      <c r="AZ2372" s="2">
        <f t="shared" ca="1" si="2344"/>
        <v>3214309.3731611161</v>
      </c>
      <c r="BA2372" s="2">
        <f t="shared" ca="1" si="2345"/>
        <v>57029906.555902921</v>
      </c>
      <c r="BB2372" s="2">
        <f t="shared" ca="1" si="2346"/>
        <v>1140598.1311180585</v>
      </c>
      <c r="BC2372" s="2">
        <f t="shared" ca="1" si="2347"/>
        <v>28592746.808512323</v>
      </c>
      <c r="BD2372" s="2">
        <f t="shared" ca="1" si="2348"/>
        <v>-19835064.478193048</v>
      </c>
      <c r="BE2372" s="2">
        <f t="shared" ca="1" si="2349"/>
        <v>2151734.7105359952</v>
      </c>
      <c r="BF2372" s="2">
        <f t="shared" ca="1" si="2350"/>
        <v>2434848.2519009286</v>
      </c>
      <c r="BG2372" s="2">
        <f t="shared" ca="1" si="2351"/>
        <v>2680237.2125346721</v>
      </c>
      <c r="BH2372" s="2">
        <f t="shared" ca="1" si="2352"/>
        <v>2939785.2571934597</v>
      </c>
      <c r="BI2372" s="2">
        <f t="shared" ca="1" si="2353"/>
        <v>31807056.181673437</v>
      </c>
      <c r="BJ2372" s="2">
        <f t="shared" ca="1" si="2354"/>
        <v>0.19112368091681065</v>
      </c>
      <c r="BK2372" s="2">
        <f t="shared" ca="1" si="2355"/>
        <v>5851377.8105667718</v>
      </c>
    </row>
    <row r="2373" spans="1:63" x14ac:dyDescent="0.3">
      <c r="A2373" s="2">
        <v>2372</v>
      </c>
      <c r="B2373" s="2">
        <f t="shared" ca="1" si="2294"/>
        <v>0.90957747040659875</v>
      </c>
      <c r="C2373" s="2">
        <f t="shared" ca="1" si="2295"/>
        <v>7.5747411856447862</v>
      </c>
      <c r="D2373" s="2">
        <f t="shared" ca="1" si="2296"/>
        <v>0.85018181217801936</v>
      </c>
      <c r="E2373" s="2">
        <f t="shared" ca="1" si="2297"/>
        <v>7.9526094852448015</v>
      </c>
      <c r="F2373" s="2">
        <f t="shared" ca="1" si="2298"/>
        <v>0.25882465653680753</v>
      </c>
      <c r="G2373" s="2">
        <f t="shared" ca="1" si="2299"/>
        <v>2.0590805131792827E-2</v>
      </c>
      <c r="H2373" s="2">
        <f t="shared" ca="1" si="2300"/>
        <v>2.0590805131792827E-2</v>
      </c>
      <c r="I2373" s="2">
        <f t="shared" ca="1" si="2301"/>
        <v>0.60863352515325886</v>
      </c>
      <c r="J2373" s="2">
        <f t="shared" ca="1" si="2302"/>
        <v>1.1378796475349005E-2</v>
      </c>
      <c r="K2373" s="2">
        <f t="shared" ca="1" si="2303"/>
        <v>1.1378796475349005E-2</v>
      </c>
      <c r="L2373" s="2">
        <f t="shared" ca="1" si="2304"/>
        <v>0.62445784068931875</v>
      </c>
      <c r="M2373" s="2">
        <f t="shared" ca="1" si="2305"/>
        <v>6.3441985221440872E-3</v>
      </c>
      <c r="N2373" s="2">
        <f t="shared" ca="1" si="2306"/>
        <v>6.3441985221440872E-3</v>
      </c>
      <c r="O2373" s="2">
        <f t="shared" si="2307"/>
        <v>6000000</v>
      </c>
      <c r="P2373" s="2">
        <f t="shared" ca="1" si="2308"/>
        <v>45448447.113868713</v>
      </c>
      <c r="Q2373" s="2">
        <f t="shared" ca="1" si="2309"/>
        <v>1136211.1778467179</v>
      </c>
      <c r="R2373" s="2">
        <f t="shared" ca="1" si="2310"/>
        <v>27269068.268321227</v>
      </c>
      <c r="S2373" s="2">
        <f t="shared" ca="1" si="2311"/>
        <v>18179378.845547486</v>
      </c>
      <c r="T2373" s="2">
        <f t="shared" ca="1" si="2312"/>
        <v>50317209.926107213</v>
      </c>
      <c r="U2373" s="2">
        <f t="shared" ca="1" si="2313"/>
        <v>51353281.790471204</v>
      </c>
      <c r="V2373" s="2">
        <f t="shared" ca="1" si="2314"/>
        <v>52410687.208696842</v>
      </c>
      <c r="W2373" s="2">
        <f t="shared" ca="1" si="2315"/>
        <v>53489865.455834471</v>
      </c>
      <c r="X2373" s="2">
        <f t="shared" ca="1" si="2316"/>
        <v>54591264.851961382</v>
      </c>
      <c r="Y2373" s="2">
        <f t="shared" ca="1" si="2317"/>
        <v>0.1256893982376745</v>
      </c>
      <c r="Z2373" s="2">
        <f t="shared" ca="1" si="2318"/>
        <v>0.12796515753274429</v>
      </c>
      <c r="AA2373" s="2">
        <f t="shared" ca="1" si="2319"/>
        <v>6324339.8366111573</v>
      </c>
      <c r="AB2373" s="2">
        <f t="shared" ca="1" si="2320"/>
        <v>6571430.794141056</v>
      </c>
      <c r="AC2373" s="2">
        <f t="shared" ca="1" si="2321"/>
        <v>6706741.8450602777</v>
      </c>
      <c r="AD2373" s="2">
        <f t="shared" ca="1" si="2322"/>
        <v>6844839.059461155</v>
      </c>
      <c r="AE2373" s="2">
        <f t="shared" ca="1" si="2323"/>
        <v>6985779.8066930044</v>
      </c>
      <c r="AF2373" s="2">
        <f t="shared" ca="1" si="2324"/>
        <v>1006344.1985221442</v>
      </c>
      <c r="AG2373" s="2">
        <f t="shared" ca="1" si="2325"/>
        <v>1027065.6358094241</v>
      </c>
      <c r="AH2373" s="2">
        <f t="shared" ca="1" si="2326"/>
        <v>1048213.7441739369</v>
      </c>
      <c r="AI2373" s="2">
        <f t="shared" ca="1" si="2327"/>
        <v>1069797.3091166895</v>
      </c>
      <c r="AJ2373" s="2">
        <f t="shared" ca="1" si="2328"/>
        <v>1091825.2970392276</v>
      </c>
      <c r="AK2373" s="2">
        <f t="shared" ca="1" si="2329"/>
        <v>0</v>
      </c>
      <c r="AL2373" s="2">
        <f t="shared" ca="1" si="2330"/>
        <v>10360.718643639908</v>
      </c>
      <c r="AM2373" s="2">
        <f t="shared" ca="1" si="2331"/>
        <v>10574.054182256386</v>
      </c>
      <c r="AN2373" s="2">
        <f t="shared" ca="1" si="2332"/>
        <v>10791.782471376286</v>
      </c>
      <c r="AO2373" s="2">
        <f t="shared" ca="1" si="2333"/>
        <v>11013.993961269111</v>
      </c>
      <c r="AP2373" s="2">
        <f t="shared" ca="1" si="2334"/>
        <v>2454216.1441489104</v>
      </c>
      <c r="AQ2373" s="2">
        <f t="shared" ca="1" si="2335"/>
        <v>744582.66842442681</v>
      </c>
      <c r="AR2373" s="2">
        <f t="shared" ca="1" si="2336"/>
        <v>803438.74368750758</v>
      </c>
      <c r="AS2373" s="2">
        <f t="shared" ca="1" si="2337"/>
        <v>833121.10875173204</v>
      </c>
      <c r="AT2373" s="2">
        <f t="shared" ca="1" si="2338"/>
        <v>863414.65761084436</v>
      </c>
      <c r="AU2373" s="2">
        <f t="shared" ca="1" si="2339"/>
        <v>894331.97503126529</v>
      </c>
      <c r="AV2373" s="2">
        <f t="shared" ca="1" si="2340"/>
        <v>2119196.8255156763</v>
      </c>
      <c r="AW2373" s="2">
        <f t="shared" ca="1" si="2341"/>
        <v>2276349.5518515734</v>
      </c>
      <c r="AX2373" s="2">
        <f t="shared" ca="1" si="2342"/>
        <v>2360616.7938034423</v>
      </c>
      <c r="AY2373" s="2">
        <f t="shared" ca="1" si="2343"/>
        <v>2446619.1661133338</v>
      </c>
      <c r="AZ2373" s="2">
        <f t="shared" ca="1" si="2344"/>
        <v>2534392.3965123324</v>
      </c>
      <c r="BA2373" s="2">
        <f t="shared" ca="1" si="2345"/>
        <v>55555178.752538383</v>
      </c>
      <c r="BB2373" s="2">
        <f t="shared" ca="1" si="2346"/>
        <v>1111103.5750507677</v>
      </c>
      <c r="BC2373" s="2">
        <f t="shared" ca="1" si="2347"/>
        <v>27175006.909166388</v>
      </c>
      <c r="BD2373" s="2">
        <f t="shared" ca="1" si="2348"/>
        <v>-19815590.023394205</v>
      </c>
      <c r="BE2373" s="2">
        <f t="shared" ca="1" si="2349"/>
        <v>2119196.8255156763</v>
      </c>
      <c r="BF2373" s="2">
        <f t="shared" ca="1" si="2350"/>
        <v>2276349.5518515734</v>
      </c>
      <c r="BG2373" s="2">
        <f t="shared" ca="1" si="2351"/>
        <v>2360616.7938034423</v>
      </c>
      <c r="BH2373" s="2">
        <f t="shared" ca="1" si="2352"/>
        <v>2446619.1661133338</v>
      </c>
      <c r="BI2373" s="2">
        <f t="shared" ca="1" si="2353"/>
        <v>29709399.305678722</v>
      </c>
      <c r="BJ2373" s="2">
        <f t="shared" ca="1" si="2354"/>
        <v>0.1698429907087875</v>
      </c>
      <c r="BK2373" s="2">
        <f t="shared" ca="1" si="2355"/>
        <v>3984264.0761220306</v>
      </c>
    </row>
    <row r="2374" spans="1:63" x14ac:dyDescent="0.3">
      <c r="A2374" s="2">
        <v>2373</v>
      </c>
      <c r="B2374" s="2">
        <f t="shared" ca="1" si="2294"/>
        <v>0.30713005812081884</v>
      </c>
      <c r="C2374" s="2">
        <f t="shared" ca="1" si="2295"/>
        <v>6.7837474824467616</v>
      </c>
      <c r="D2374" s="2">
        <f t="shared" ca="1" si="2296"/>
        <v>0.59690526231052776</v>
      </c>
      <c r="E2374" s="2">
        <f t="shared" ca="1" si="2297"/>
        <v>7.6021194537250825</v>
      </c>
      <c r="F2374" s="2">
        <f t="shared" ca="1" si="2298"/>
        <v>0.67170782977059851</v>
      </c>
      <c r="G2374" s="2">
        <f t="shared" ca="1" si="2299"/>
        <v>5.333901718122859E-2</v>
      </c>
      <c r="H2374" s="2">
        <f t="shared" ca="1" si="2300"/>
        <v>5.333901718122859E-2</v>
      </c>
      <c r="I2374" s="2">
        <f t="shared" ca="1" si="2301"/>
        <v>0.13953192311015095</v>
      </c>
      <c r="J2374" s="2">
        <f t="shared" ca="1" si="2302"/>
        <v>4.5878763689348491E-3</v>
      </c>
      <c r="K2374" s="2">
        <f t="shared" ca="1" si="2303"/>
        <v>4.5878763689348491E-3</v>
      </c>
      <c r="L2374" s="2">
        <f t="shared" ca="1" si="2304"/>
        <v>0.62645467110731023</v>
      </c>
      <c r="M2374" s="2">
        <f t="shared" ca="1" si="2305"/>
        <v>6.4495585209142156E-3</v>
      </c>
      <c r="N2374" s="2">
        <f t="shared" ca="1" si="2306"/>
        <v>6.4495585209142156E-3</v>
      </c>
      <c r="O2374" s="2">
        <f t="shared" si="2307"/>
        <v>6000000</v>
      </c>
      <c r="P2374" s="2">
        <f t="shared" ca="1" si="2308"/>
        <v>40702484.894680567</v>
      </c>
      <c r="Q2374" s="2">
        <f t="shared" ca="1" si="2309"/>
        <v>1017562.1223670142</v>
      </c>
      <c r="R2374" s="2">
        <f t="shared" ca="1" si="2310"/>
        <v>24421490.93680834</v>
      </c>
      <c r="S2374" s="2">
        <f t="shared" ca="1" si="2311"/>
        <v>16280993.957872227</v>
      </c>
      <c r="T2374" s="2">
        <f t="shared" ca="1" si="2312"/>
        <v>50322477.926045708</v>
      </c>
      <c r="U2374" s="2">
        <f t="shared" ca="1" si="2313"/>
        <v>53006629.440745063</v>
      </c>
      <c r="V2374" s="2">
        <f t="shared" ca="1" si="2314"/>
        <v>55833950.959203988</v>
      </c>
      <c r="W2374" s="2">
        <f t="shared" ca="1" si="2315"/>
        <v>58812079.028712846</v>
      </c>
      <c r="X2374" s="2">
        <f t="shared" ca="1" si="2316"/>
        <v>61949057.522489138</v>
      </c>
      <c r="Y2374" s="2">
        <f t="shared" ca="1" si="2317"/>
        <v>0.12229393818446742</v>
      </c>
      <c r="Z2374" s="2">
        <f t="shared" ca="1" si="2318"/>
        <v>0.12321151345825439</v>
      </c>
      <c r="AA2374" s="2">
        <f t="shared" ca="1" si="2319"/>
        <v>6154134.0047770599</v>
      </c>
      <c r="AB2374" s="2">
        <f t="shared" ca="1" si="2320"/>
        <v>6531027.0367150633</v>
      </c>
      <c r="AC2374" s="2">
        <f t="shared" ca="1" si="2321"/>
        <v>6879385.6000374779</v>
      </c>
      <c r="AD2374" s="2">
        <f t="shared" ca="1" si="2322"/>
        <v>7246325.2667541737</v>
      </c>
      <c r="AE2374" s="2">
        <f t="shared" ca="1" si="2323"/>
        <v>7632837.134658346</v>
      </c>
      <c r="AF2374" s="2">
        <f t="shared" ca="1" si="2324"/>
        <v>1006449.5585209142</v>
      </c>
      <c r="AG2374" s="2">
        <f t="shared" ca="1" si="2325"/>
        <v>1060132.5888149012</v>
      </c>
      <c r="AH2374" s="2">
        <f t="shared" ca="1" si="2326"/>
        <v>1116679.0191840797</v>
      </c>
      <c r="AI2374" s="2">
        <f t="shared" ca="1" si="2327"/>
        <v>1176241.5805742571</v>
      </c>
      <c r="AJ2374" s="2">
        <f t="shared" ca="1" si="2328"/>
        <v>1238981.1504497828</v>
      </c>
      <c r="AK2374" s="2">
        <f t="shared" ca="1" si="2329"/>
        <v>0</v>
      </c>
      <c r="AL2374" s="2">
        <f t="shared" ca="1" si="2330"/>
        <v>26841.515146993548</v>
      </c>
      <c r="AM2374" s="2">
        <f t="shared" ca="1" si="2331"/>
        <v>28273.215184589251</v>
      </c>
      <c r="AN2374" s="2">
        <f t="shared" ca="1" si="2332"/>
        <v>29781.280695088582</v>
      </c>
      <c r="AO2374" s="2">
        <f t="shared" ca="1" si="2333"/>
        <v>31369.784937762917</v>
      </c>
      <c r="AP2374" s="2">
        <f t="shared" ca="1" si="2334"/>
        <v>2197934.1843127506</v>
      </c>
      <c r="AQ2374" s="2">
        <f t="shared" ca="1" si="2335"/>
        <v>766935.06810528284</v>
      </c>
      <c r="AR2374" s="2">
        <f t="shared" ca="1" si="2336"/>
        <v>850969.66853272705</v>
      </c>
      <c r="AS2374" s="2">
        <f t="shared" ca="1" si="2337"/>
        <v>926840.82310056838</v>
      </c>
      <c r="AT2374" s="2">
        <f t="shared" ca="1" si="2338"/>
        <v>1006758.8704854632</v>
      </c>
      <c r="AU2374" s="2">
        <f t="shared" ca="1" si="2339"/>
        <v>1090939.6679729114</v>
      </c>
      <c r="AV2374" s="2">
        <f t="shared" ca="1" si="2340"/>
        <v>2182815.1938381121</v>
      </c>
      <c r="AW2374" s="2">
        <f t="shared" ca="1" si="2341"/>
        <v>2395149.0799076911</v>
      </c>
      <c r="AX2374" s="2">
        <f t="shared" ca="1" si="2342"/>
        <v>2609658.3582554897</v>
      </c>
      <c r="AY2374" s="2">
        <f t="shared" ca="1" si="2343"/>
        <v>2835609.3506866144</v>
      </c>
      <c r="AZ2374" s="2">
        <f t="shared" ca="1" si="2344"/>
        <v>3073612.346985139</v>
      </c>
      <c r="BA2374" s="2">
        <f t="shared" ca="1" si="2345"/>
        <v>58025739.668501429</v>
      </c>
      <c r="BB2374" s="2">
        <f t="shared" ca="1" si="2346"/>
        <v>1160514.7933700287</v>
      </c>
      <c r="BC2374" s="2">
        <f t="shared" ca="1" si="2347"/>
        <v>32443733.938323062</v>
      </c>
      <c r="BD2374" s="2">
        <f t="shared" ca="1" si="2348"/>
        <v>-17798556.08023924</v>
      </c>
      <c r="BE2374" s="2">
        <f t="shared" ca="1" si="2349"/>
        <v>2182815.1938381121</v>
      </c>
      <c r="BF2374" s="2">
        <f t="shared" ca="1" si="2350"/>
        <v>2395149.0799076911</v>
      </c>
      <c r="BG2374" s="2">
        <f t="shared" ca="1" si="2351"/>
        <v>2609658.3582554897</v>
      </c>
      <c r="BH2374" s="2">
        <f t="shared" ca="1" si="2352"/>
        <v>2835609.3506866144</v>
      </c>
      <c r="BI2374" s="2">
        <f t="shared" ca="1" si="2353"/>
        <v>35517346.285308197</v>
      </c>
      <c r="BJ2374" s="2">
        <f t="shared" ca="1" si="2354"/>
        <v>0.2434091188484071</v>
      </c>
      <c r="BK2374" s="2">
        <f t="shared" ca="1" si="2355"/>
        <v>9872864.6441842467</v>
      </c>
    </row>
    <row r="2375" spans="1:63" x14ac:dyDescent="0.3">
      <c r="A2375" s="2">
        <v>2374</v>
      </c>
      <c r="B2375" s="2">
        <f t="shared" ca="1" si="2294"/>
        <v>0.25871940391712422</v>
      </c>
      <c r="C2375" s="2">
        <f t="shared" ca="1" si="2295"/>
        <v>6.7193321957442533</v>
      </c>
      <c r="D2375" s="2">
        <f t="shared" ca="1" si="2296"/>
        <v>0.75345381897649566</v>
      </c>
      <c r="E2375" s="2">
        <f t="shared" ca="1" si="2297"/>
        <v>7.7977946439630292</v>
      </c>
      <c r="F2375" s="2">
        <f t="shared" ca="1" si="2298"/>
        <v>0.75189921255638315</v>
      </c>
      <c r="G2375" s="2">
        <f t="shared" ca="1" si="2299"/>
        <v>6.0414352910130441E-2</v>
      </c>
      <c r="H2375" s="2">
        <f t="shared" ca="1" si="2300"/>
        <v>6.0414352910130441E-2</v>
      </c>
      <c r="I2375" s="2">
        <f t="shared" ca="1" si="2301"/>
        <v>0.70369528538339166</v>
      </c>
      <c r="J2375" s="2">
        <f t="shared" ca="1" si="2302"/>
        <v>1.2675292329412854E-2</v>
      </c>
      <c r="K2375" s="2">
        <f t="shared" ca="1" si="2303"/>
        <v>1.2675292329412854E-2</v>
      </c>
      <c r="L2375" s="2">
        <f t="shared" ca="1" si="2304"/>
        <v>0.70324302045666187</v>
      </c>
      <c r="M2375" s="2">
        <f t="shared" ca="1" si="2305"/>
        <v>1.0675015952646352E-2</v>
      </c>
      <c r="N2375" s="2">
        <f t="shared" ca="1" si="2306"/>
        <v>1.0675015952646352E-2</v>
      </c>
      <c r="O2375" s="2">
        <f t="shared" si="2307"/>
        <v>6000000</v>
      </c>
      <c r="P2375" s="2">
        <f t="shared" ca="1" si="2308"/>
        <v>40315993.174465522</v>
      </c>
      <c r="Q2375" s="2">
        <f t="shared" ca="1" si="2309"/>
        <v>1007899.8293616381</v>
      </c>
      <c r="R2375" s="2">
        <f t="shared" ca="1" si="2310"/>
        <v>24189595.904679313</v>
      </c>
      <c r="S2375" s="2">
        <f t="shared" ca="1" si="2311"/>
        <v>16126397.269786209</v>
      </c>
      <c r="T2375" s="2">
        <f t="shared" ca="1" si="2312"/>
        <v>50533750.797632314</v>
      </c>
      <c r="U2375" s="2">
        <f t="shared" ca="1" si="2313"/>
        <v>53586714.652193055</v>
      </c>
      <c r="V2375" s="2">
        <f t="shared" ca="1" si="2314"/>
        <v>56824121.3424851</v>
      </c>
      <c r="W2375" s="2">
        <f t="shared" ca="1" si="2315"/>
        <v>60257113.863078065</v>
      </c>
      <c r="X2375" s="2">
        <f t="shared" ca="1" si="2316"/>
        <v>63897508.405347973</v>
      </c>
      <c r="Y2375" s="2">
        <f t="shared" ca="1" si="2317"/>
        <v>0.12633764616470641</v>
      </c>
      <c r="Z2375" s="2">
        <f t="shared" ca="1" si="2318"/>
        <v>0.128872704630589</v>
      </c>
      <c r="AA2375" s="2">
        <f t="shared" ca="1" si="2319"/>
        <v>6384315.1276467219</v>
      </c>
      <c r="AB2375" s="2">
        <f t="shared" ca="1" si="2320"/>
        <v>6905864.8494957313</v>
      </c>
      <c r="AC2375" s="2">
        <f t="shared" ca="1" si="2321"/>
        <v>7323078.2056628307</v>
      </c>
      <c r="AD2375" s="2">
        <f t="shared" ca="1" si="2322"/>
        <v>7765497.2367682289</v>
      </c>
      <c r="AE2375" s="2">
        <f t="shared" ca="1" si="2323"/>
        <v>8234644.727352987</v>
      </c>
      <c r="AF2375" s="2">
        <f t="shared" ca="1" si="2324"/>
        <v>1010675.0159526463</v>
      </c>
      <c r="AG2375" s="2">
        <f t="shared" ca="1" si="2325"/>
        <v>1071734.2930438612</v>
      </c>
      <c r="AH2375" s="2">
        <f t="shared" ca="1" si="2326"/>
        <v>1136482.4268497021</v>
      </c>
      <c r="AI2375" s="2">
        <f t="shared" ca="1" si="2327"/>
        <v>1205142.2772615612</v>
      </c>
      <c r="AJ2375" s="2">
        <f t="shared" ca="1" si="2328"/>
        <v>1277950.1681069594</v>
      </c>
      <c r="AK2375" s="2">
        <f t="shared" ca="1" si="2329"/>
        <v>0</v>
      </c>
      <c r="AL2375" s="2">
        <f t="shared" ca="1" si="2330"/>
        <v>30529.638545607402</v>
      </c>
      <c r="AM2375" s="2">
        <f t="shared" ca="1" si="2331"/>
        <v>32374.066902920455</v>
      </c>
      <c r="AN2375" s="2">
        <f t="shared" ca="1" si="2332"/>
        <v>34329.925205929656</v>
      </c>
      <c r="AO2375" s="2">
        <f t="shared" ca="1" si="2333"/>
        <v>36403.945422699078</v>
      </c>
      <c r="AP2375" s="2">
        <f t="shared" ca="1" si="2334"/>
        <v>2177063.6314211381</v>
      </c>
      <c r="AQ2375" s="2">
        <f t="shared" ca="1" si="2335"/>
        <v>831109.88487096364</v>
      </c>
      <c r="AR2375" s="2">
        <f t="shared" ca="1" si="2336"/>
        <v>950837.40050799039</v>
      </c>
      <c r="AS2375" s="2">
        <f t="shared" ca="1" si="2337"/>
        <v>1042478.3583219175</v>
      </c>
      <c r="AT2375" s="2">
        <f t="shared" ca="1" si="2338"/>
        <v>1139655.745302238</v>
      </c>
      <c r="AU2375" s="2">
        <f t="shared" ca="1" si="2339"/>
        <v>1242704.0412344716</v>
      </c>
      <c r="AV2375" s="2">
        <f t="shared" ca="1" si="2340"/>
        <v>2365466.5954019739</v>
      </c>
      <c r="AW2375" s="2">
        <f t="shared" ca="1" si="2341"/>
        <v>2675699.8859771346</v>
      </c>
      <c r="AX2375" s="2">
        <f t="shared" ca="1" si="2342"/>
        <v>2934679.7221671524</v>
      </c>
      <c r="AY2375" s="2">
        <f t="shared" ca="1" si="2343"/>
        <v>3209305.6575773633</v>
      </c>
      <c r="AZ2375" s="2">
        <f t="shared" ca="1" si="2344"/>
        <v>3500522.9411677192</v>
      </c>
      <c r="BA2375" s="2">
        <f t="shared" ca="1" si="2345"/>
        <v>64212068.549891524</v>
      </c>
      <c r="BB2375" s="2">
        <f t="shared" ca="1" si="2346"/>
        <v>1284241.3709978305</v>
      </c>
      <c r="BC2375" s="2">
        <f t="shared" ca="1" si="2347"/>
        <v>38738231.274214379</v>
      </c>
      <c r="BD2375" s="2">
        <f t="shared" ca="1" si="2348"/>
        <v>-17634297.099147849</v>
      </c>
      <c r="BE2375" s="2">
        <f t="shared" ca="1" si="2349"/>
        <v>2365466.5954019739</v>
      </c>
      <c r="BF2375" s="2">
        <f t="shared" ca="1" si="2350"/>
        <v>2675699.8859771346</v>
      </c>
      <c r="BG2375" s="2">
        <f t="shared" ca="1" si="2351"/>
        <v>2934679.7221671524</v>
      </c>
      <c r="BH2375" s="2">
        <f t="shared" ca="1" si="2352"/>
        <v>3209305.6575773633</v>
      </c>
      <c r="BI2375" s="2">
        <f t="shared" ca="1" si="2353"/>
        <v>42238754.215382099</v>
      </c>
      <c r="BJ2375" s="2">
        <f t="shared" ca="1" si="2354"/>
        <v>0.29279896310928621</v>
      </c>
      <c r="BK2375" s="2">
        <f t="shared" ca="1" si="2355"/>
        <v>14706600.532331135</v>
      </c>
    </row>
    <row r="2376" spans="1:63" x14ac:dyDescent="0.3">
      <c r="A2376" s="2">
        <v>2375</v>
      </c>
      <c r="B2376" s="2">
        <f t="shared" ca="1" si="2294"/>
        <v>0.11725276824394726</v>
      </c>
      <c r="C2376" s="2">
        <f t="shared" ca="1" si="2295"/>
        <v>6.4842577170142928</v>
      </c>
      <c r="D2376" s="2">
        <f t="shared" ca="1" si="2296"/>
        <v>0.35975592103164467</v>
      </c>
      <c r="E2376" s="2">
        <f t="shared" ca="1" si="2297"/>
        <v>7.3482404388281006</v>
      </c>
      <c r="F2376" s="2">
        <f t="shared" ca="1" si="2298"/>
        <v>0.26524009416277183</v>
      </c>
      <c r="G2376" s="2">
        <f t="shared" ca="1" si="2299"/>
        <v>2.1181804944281405E-2</v>
      </c>
      <c r="H2376" s="2">
        <f t="shared" ca="1" si="2300"/>
        <v>2.1181804944281405E-2</v>
      </c>
      <c r="I2376" s="2">
        <f t="shared" ca="1" si="2301"/>
        <v>0.429013020566961</v>
      </c>
      <c r="J2376" s="2">
        <f t="shared" ca="1" si="2302"/>
        <v>9.1055625198205696E-3</v>
      </c>
      <c r="K2376" s="2">
        <f t="shared" ca="1" si="2303"/>
        <v>9.1055625198205696E-3</v>
      </c>
      <c r="L2376" s="2">
        <f t="shared" ca="1" si="2304"/>
        <v>0.72648231625920279</v>
      </c>
      <c r="M2376" s="2">
        <f t="shared" ca="1" si="2305"/>
        <v>1.2044169726203688E-2</v>
      </c>
      <c r="N2376" s="2">
        <f t="shared" ca="1" si="2306"/>
        <v>1.2044169726203688E-2</v>
      </c>
      <c r="O2376" s="2">
        <f t="shared" si="2307"/>
        <v>6000000</v>
      </c>
      <c r="P2376" s="2">
        <f t="shared" ca="1" si="2308"/>
        <v>38905546.302085757</v>
      </c>
      <c r="Q2376" s="2">
        <f t="shared" ca="1" si="2309"/>
        <v>972638.65755214402</v>
      </c>
      <c r="R2376" s="2">
        <f t="shared" ca="1" si="2310"/>
        <v>23343327.781251453</v>
      </c>
      <c r="S2376" s="2">
        <f t="shared" ca="1" si="2311"/>
        <v>15562218.520834304</v>
      </c>
      <c r="T2376" s="2">
        <f t="shared" ca="1" si="2312"/>
        <v>50602208.486310184</v>
      </c>
      <c r="U2376" s="2">
        <f t="shared" ca="1" si="2313"/>
        <v>51674054.596217066</v>
      </c>
      <c r="V2376" s="2">
        <f t="shared" ca="1" si="2314"/>
        <v>52768604.341354281</v>
      </c>
      <c r="W2376" s="2">
        <f t="shared" ca="1" si="2315"/>
        <v>53886338.625694804</v>
      </c>
      <c r="X2376" s="2">
        <f t="shared" ca="1" si="2316"/>
        <v>55027748.539625764</v>
      </c>
      <c r="Y2376" s="2">
        <f t="shared" ca="1" si="2317"/>
        <v>0.12455278125991028</v>
      </c>
      <c r="Z2376" s="2">
        <f t="shared" ca="1" si="2318"/>
        <v>0.1263738937638744</v>
      </c>
      <c r="AA2376" s="2">
        <f t="shared" ca="1" si="2319"/>
        <v>6302645.8048637677</v>
      </c>
      <c r="AB2376" s="2">
        <f t="shared" ca="1" si="2320"/>
        <v>6530251.4858909808</v>
      </c>
      <c r="AC2376" s="2">
        <f t="shared" ca="1" si="2321"/>
        <v>6668573.9991022274</v>
      </c>
      <c r="AD2376" s="2">
        <f t="shared" ca="1" si="2322"/>
        <v>6809826.4328077165</v>
      </c>
      <c r="AE2376" s="2">
        <f t="shared" ca="1" si="2323"/>
        <v>6954070.8480118606</v>
      </c>
      <c r="AF2376" s="2">
        <f t="shared" ca="1" si="2324"/>
        <v>1012044.1697262037</v>
      </c>
      <c r="AG2376" s="2">
        <f t="shared" ca="1" si="2325"/>
        <v>1033481.0919243414</v>
      </c>
      <c r="AH2376" s="2">
        <f t="shared" ca="1" si="2326"/>
        <v>1055372.0868270856</v>
      </c>
      <c r="AI2376" s="2">
        <f t="shared" ca="1" si="2327"/>
        <v>1077726.772513896</v>
      </c>
      <c r="AJ2376" s="2">
        <f t="shared" ca="1" si="2328"/>
        <v>1100554.9707925152</v>
      </c>
      <c r="AK2376" s="2">
        <f t="shared" ca="1" si="2329"/>
        <v>0</v>
      </c>
      <c r="AL2376" s="2">
        <f t="shared" ca="1" si="2330"/>
        <v>10718.461099068822</v>
      </c>
      <c r="AM2376" s="2">
        <f t="shared" ca="1" si="2331"/>
        <v>10945.497451372146</v>
      </c>
      <c r="AN2376" s="2">
        <f t="shared" ca="1" si="2332"/>
        <v>11177.342843405231</v>
      </c>
      <c r="AO2376" s="2">
        <f t="shared" ca="1" si="2333"/>
        <v>11414.099139309601</v>
      </c>
      <c r="AP2376" s="2">
        <f t="shared" ca="1" si="2334"/>
        <v>2100899.5003126306</v>
      </c>
      <c r="AQ2376" s="2">
        <f t="shared" ca="1" si="2335"/>
        <v>829322.55505448265</v>
      </c>
      <c r="AR2376" s="2">
        <f t="shared" ca="1" si="2336"/>
        <v>882926.43235004228</v>
      </c>
      <c r="AS2376" s="2">
        <f t="shared" ca="1" si="2337"/>
        <v>913198.62711025297</v>
      </c>
      <c r="AT2376" s="2">
        <f t="shared" ca="1" si="2338"/>
        <v>944112.04159510939</v>
      </c>
      <c r="AU2376" s="2">
        <f t="shared" ca="1" si="2339"/>
        <v>975680.25799574587</v>
      </c>
      <c r="AV2376" s="2">
        <f t="shared" ca="1" si="2340"/>
        <v>2360379.57977045</v>
      </c>
      <c r="AW2376" s="2">
        <f t="shared" ca="1" si="2341"/>
        <v>2502226.000204898</v>
      </c>
      <c r="AX2376" s="2">
        <f t="shared" ca="1" si="2342"/>
        <v>2588158.287400886</v>
      </c>
      <c r="AY2376" s="2">
        <f t="shared" ca="1" si="2343"/>
        <v>2675910.7755426751</v>
      </c>
      <c r="AZ2376" s="2">
        <f t="shared" ca="1" si="2344"/>
        <v>2765522.0197716593</v>
      </c>
      <c r="BA2376" s="2">
        <f t="shared" ca="1" si="2345"/>
        <v>51100184.619836375</v>
      </c>
      <c r="BB2376" s="2">
        <f t="shared" ca="1" si="2346"/>
        <v>1022003.6923967275</v>
      </c>
      <c r="BC2376" s="2">
        <f t="shared" ca="1" si="2347"/>
        <v>26734853.146188196</v>
      </c>
      <c r="BD2376" s="2">
        <f t="shared" ca="1" si="2348"/>
        <v>-17034857.17838645</v>
      </c>
      <c r="BE2376" s="2">
        <f t="shared" ca="1" si="2349"/>
        <v>2360379.57977045</v>
      </c>
      <c r="BF2376" s="2">
        <f t="shared" ca="1" si="2350"/>
        <v>2502226.000204898</v>
      </c>
      <c r="BG2376" s="2">
        <f t="shared" ca="1" si="2351"/>
        <v>2588158.287400886</v>
      </c>
      <c r="BH2376" s="2">
        <f t="shared" ca="1" si="2352"/>
        <v>2675910.7755426751</v>
      </c>
      <c r="BI2376" s="2">
        <f t="shared" ca="1" si="2353"/>
        <v>29500375.165959854</v>
      </c>
      <c r="BJ2376" s="2">
        <f t="shared" ca="1" si="2354"/>
        <v>0.22230002403971638</v>
      </c>
      <c r="BK2376" s="2">
        <f t="shared" ca="1" si="2355"/>
        <v>7349478.5810599066</v>
      </c>
    </row>
    <row r="2377" spans="1:63" x14ac:dyDescent="0.3">
      <c r="A2377" s="2">
        <v>2376</v>
      </c>
      <c r="B2377" s="2">
        <f t="shared" ca="1" si="2294"/>
        <v>0.15011122715225977</v>
      </c>
      <c r="C2377" s="2">
        <f t="shared" ca="1" si="2295"/>
        <v>6.5479255919415698</v>
      </c>
      <c r="D2377" s="2">
        <f t="shared" ca="1" si="2296"/>
        <v>0.40868016836500076</v>
      </c>
      <c r="E2377" s="2">
        <f t="shared" ca="1" si="2297"/>
        <v>7.404079828737486</v>
      </c>
      <c r="F2377" s="2">
        <f t="shared" ca="1" si="2298"/>
        <v>0.95420661766679904</v>
      </c>
      <c r="G2377" s="2">
        <f t="shared" ca="1" si="2299"/>
        <v>9.0612588109131656E-2</v>
      </c>
      <c r="H2377" s="2">
        <f t="shared" ca="1" si="2300"/>
        <v>9.0612588109131656E-2</v>
      </c>
      <c r="I2377" s="2">
        <f t="shared" ca="1" si="2301"/>
        <v>3.4848607456402503E-3</v>
      </c>
      <c r="J2377" s="2">
        <f t="shared" ca="1" si="2302"/>
        <v>-3.4914376053351102E-3</v>
      </c>
      <c r="K2377" s="2">
        <f t="shared" ca="1" si="2303"/>
        <v>0</v>
      </c>
      <c r="L2377" s="2">
        <f t="shared" ca="1" si="2304"/>
        <v>0.85470206613678357</v>
      </c>
      <c r="M2377" s="2">
        <f t="shared" ca="1" si="2305"/>
        <v>2.1136306984489362E-2</v>
      </c>
      <c r="N2377" s="2">
        <f t="shared" ca="1" si="2306"/>
        <v>2.1136306984489362E-2</v>
      </c>
      <c r="O2377" s="2">
        <f t="shared" si="2307"/>
        <v>6000000</v>
      </c>
      <c r="P2377" s="2">
        <f t="shared" ca="1" si="2308"/>
        <v>39287553.551649421</v>
      </c>
      <c r="Q2377" s="2">
        <f t="shared" ca="1" si="2309"/>
        <v>982188.83879123558</v>
      </c>
      <c r="R2377" s="2">
        <f t="shared" ca="1" si="2310"/>
        <v>23572532.130989652</v>
      </c>
      <c r="S2377" s="2">
        <f t="shared" ca="1" si="2311"/>
        <v>15715021.420659769</v>
      </c>
      <c r="T2377" s="2">
        <f t="shared" ca="1" si="2312"/>
        <v>51056815.349224471</v>
      </c>
      <c r="U2377" s="2">
        <f t="shared" ca="1" si="2313"/>
        <v>55683205.528627746</v>
      </c>
      <c r="V2377" s="2">
        <f t="shared" ca="1" si="2314"/>
        <v>60728804.895789422</v>
      </c>
      <c r="W2377" s="2">
        <f t="shared" ca="1" si="2315"/>
        <v>66231599.080171414</v>
      </c>
      <c r="X2377" s="2">
        <f t="shared" ca="1" si="2316"/>
        <v>72233015.68743214</v>
      </c>
      <c r="Y2377" s="2">
        <f t="shared" ca="1" si="2317"/>
        <v>0.12</v>
      </c>
      <c r="Z2377" s="2">
        <f t="shared" ca="1" si="2318"/>
        <v>0.12</v>
      </c>
      <c r="AA2377" s="2">
        <f t="shared" ca="1" si="2319"/>
        <v>6126817.8419069359</v>
      </c>
      <c r="AB2377" s="2">
        <f t="shared" ca="1" si="2320"/>
        <v>6681984.6634353297</v>
      </c>
      <c r="AC2377" s="2">
        <f t="shared" ca="1" si="2321"/>
        <v>7287456.58749473</v>
      </c>
      <c r="AD2377" s="2">
        <f t="shared" ca="1" si="2322"/>
        <v>7947791.8896205695</v>
      </c>
      <c r="AE2377" s="2">
        <f t="shared" ca="1" si="2323"/>
        <v>8667961.8824918568</v>
      </c>
      <c r="AF2377" s="2">
        <f t="shared" ca="1" si="2324"/>
        <v>1021136.3069844894</v>
      </c>
      <c r="AG2377" s="2">
        <f t="shared" ca="1" si="2325"/>
        <v>1113664.1105725549</v>
      </c>
      <c r="AH2377" s="2">
        <f t="shared" ca="1" si="2326"/>
        <v>1214576.0979157884</v>
      </c>
      <c r="AI2377" s="2">
        <f t="shared" ca="1" si="2327"/>
        <v>1324631.9816034283</v>
      </c>
      <c r="AJ2377" s="2">
        <f t="shared" ca="1" si="2328"/>
        <v>1444660.3137486428</v>
      </c>
      <c r="AK2377" s="2">
        <f t="shared" ca="1" si="2329"/>
        <v>0</v>
      </c>
      <c r="AL2377" s="2">
        <f t="shared" ca="1" si="2330"/>
        <v>46263.901794032754</v>
      </c>
      <c r="AM2377" s="2">
        <f t="shared" ca="1" si="2331"/>
        <v>50455.993671616765</v>
      </c>
      <c r="AN2377" s="2">
        <f t="shared" ca="1" si="2332"/>
        <v>55027.941843819921</v>
      </c>
      <c r="AO2377" s="2">
        <f t="shared" ca="1" si="2333"/>
        <v>60014.166072607266</v>
      </c>
      <c r="AP2377" s="2">
        <f t="shared" ca="1" si="2334"/>
        <v>2121527.8917890685</v>
      </c>
      <c r="AQ2377" s="2">
        <f t="shared" ca="1" si="2335"/>
        <v>775879.94721467816</v>
      </c>
      <c r="AR2377" s="2">
        <f t="shared" ca="1" si="2336"/>
        <v>896166.09187916364</v>
      </c>
      <c r="AS2377" s="2">
        <f t="shared" ca="1" si="2337"/>
        <v>1027351.6754253671</v>
      </c>
      <c r="AT2377" s="2">
        <f t="shared" ca="1" si="2338"/>
        <v>1170424.324219299</v>
      </c>
      <c r="AU2377" s="2">
        <f t="shared" ca="1" si="2339"/>
        <v>1326461.1560080778</v>
      </c>
      <c r="AV2377" s="2">
        <f t="shared" ca="1" si="2340"/>
        <v>2208273.6959186997</v>
      </c>
      <c r="AW2377" s="2">
        <f t="shared" ca="1" si="2341"/>
        <v>2504362.6674005091</v>
      </c>
      <c r="AX2377" s="2">
        <f t="shared" ca="1" si="2342"/>
        <v>2873544.9286928894</v>
      </c>
      <c r="AY2377" s="2">
        <f t="shared" ca="1" si="2343"/>
        <v>3276179.7501649549</v>
      </c>
      <c r="AZ2377" s="2">
        <f t="shared" ca="1" si="2344"/>
        <v>3715298.3548734607</v>
      </c>
      <c r="BA2377" s="2">
        <f t="shared" ca="1" si="2345"/>
        <v>64178281.730423361</v>
      </c>
      <c r="BB2377" s="2">
        <f t="shared" ca="1" si="2346"/>
        <v>1283565.6346084673</v>
      </c>
      <c r="BC2377" s="2">
        <f t="shared" ca="1" si="2347"/>
        <v>39322183.964825235</v>
      </c>
      <c r="BD2377" s="2">
        <f t="shared" ca="1" si="2348"/>
        <v>-17197210.259451006</v>
      </c>
      <c r="BE2377" s="2">
        <f t="shared" ca="1" si="2349"/>
        <v>2208273.6959186997</v>
      </c>
      <c r="BF2377" s="2">
        <f t="shared" ca="1" si="2350"/>
        <v>2504362.6674005091</v>
      </c>
      <c r="BG2377" s="2">
        <f t="shared" ca="1" si="2351"/>
        <v>2873544.9286928894</v>
      </c>
      <c r="BH2377" s="2">
        <f t="shared" ca="1" si="2352"/>
        <v>3276179.7501649549</v>
      </c>
      <c r="BI2377" s="2">
        <f t="shared" ca="1" si="2353"/>
        <v>43037482.319698699</v>
      </c>
      <c r="BJ2377" s="2">
        <f t="shared" ca="1" si="2354"/>
        <v>0.30054161488932318</v>
      </c>
      <c r="BK2377" s="2">
        <f t="shared" ca="1" si="2355"/>
        <v>15318952.520445656</v>
      </c>
    </row>
    <row r="2378" spans="1:63" x14ac:dyDescent="0.3">
      <c r="A2378" s="2">
        <v>2377</v>
      </c>
      <c r="B2378" s="2">
        <f t="shared" ca="1" si="2294"/>
        <v>0.87871564828774373</v>
      </c>
      <c r="C2378" s="2">
        <f t="shared" ca="1" si="2295"/>
        <v>7.5074873570917058</v>
      </c>
      <c r="D2378" s="2">
        <f t="shared" ca="1" si="2296"/>
        <v>0.51841841973192671</v>
      </c>
      <c r="E2378" s="2">
        <f t="shared" ca="1" si="2297"/>
        <v>7.5185912367743262</v>
      </c>
      <c r="F2378" s="2">
        <f t="shared" ca="1" si="2298"/>
        <v>6.0959465794856893E-2</v>
      </c>
      <c r="G2378" s="2">
        <f t="shared" ca="1" si="2299"/>
        <v>-6.4030732752085456E-3</v>
      </c>
      <c r="H2378" s="2">
        <f t="shared" ca="1" si="2300"/>
        <v>-6.4030732752085456E-3</v>
      </c>
      <c r="I2378" s="2">
        <f t="shared" ca="1" si="2301"/>
        <v>0.50819315420688072</v>
      </c>
      <c r="J2378" s="2">
        <f t="shared" ca="1" si="2302"/>
        <v>1.010269317944929E-2</v>
      </c>
      <c r="K2378" s="2">
        <f t="shared" ca="1" si="2303"/>
        <v>1.010269317944929E-2</v>
      </c>
      <c r="L2378" s="2">
        <f t="shared" ca="1" si="2304"/>
        <v>0.89191157235073892</v>
      </c>
      <c r="M2378" s="2">
        <f t="shared" ca="1" si="2305"/>
        <v>2.4735164503016289E-2</v>
      </c>
      <c r="N2378" s="2">
        <f t="shared" ca="1" si="2306"/>
        <v>2.4735164503016289E-2</v>
      </c>
      <c r="O2378" s="2">
        <f t="shared" si="2307"/>
        <v>6000000</v>
      </c>
      <c r="P2378" s="2">
        <f t="shared" ca="1" si="2308"/>
        <v>45044924.142550237</v>
      </c>
      <c r="Q2378" s="2">
        <f t="shared" ca="1" si="2309"/>
        <v>1126123.103563756</v>
      </c>
      <c r="R2378" s="2">
        <f t="shared" ca="1" si="2310"/>
        <v>27026954.485530142</v>
      </c>
      <c r="S2378" s="2">
        <f t="shared" ca="1" si="2311"/>
        <v>18017969.657020096</v>
      </c>
      <c r="T2378" s="2">
        <f t="shared" ca="1" si="2312"/>
        <v>51236758.225150816</v>
      </c>
      <c r="U2378" s="2">
        <f t="shared" ca="1" si="2313"/>
        <v>50908685.507851034</v>
      </c>
      <c r="V2378" s="2">
        <f t="shared" ca="1" si="2314"/>
        <v>50582713.464199722</v>
      </c>
      <c r="W2378" s="2">
        <f t="shared" ca="1" si="2315"/>
        <v>50258828.643429577</v>
      </c>
      <c r="X2378" s="2">
        <f t="shared" ca="1" si="2316"/>
        <v>49937017.680899553</v>
      </c>
      <c r="Y2378" s="2">
        <f t="shared" ca="1" si="2317"/>
        <v>0.12505134658972464</v>
      </c>
      <c r="Z2378" s="2">
        <f t="shared" ca="1" si="2318"/>
        <v>0.12707188522561449</v>
      </c>
      <c r="AA2378" s="2">
        <f t="shared" ca="1" si="2319"/>
        <v>6407225.6109472597</v>
      </c>
      <c r="AB2378" s="2">
        <f t="shared" ca="1" si="2320"/>
        <v>6469062.641840551</v>
      </c>
      <c r="AC2378" s="2">
        <f t="shared" ca="1" si="2321"/>
        <v>6427640.7597229322</v>
      </c>
      <c r="AD2378" s="2">
        <f t="shared" ca="1" si="2322"/>
        <v>6386484.1049517095</v>
      </c>
      <c r="AE2378" s="2">
        <f t="shared" ca="1" si="2323"/>
        <v>6345590.9792567501</v>
      </c>
      <c r="AF2378" s="2">
        <f t="shared" ca="1" si="2324"/>
        <v>1024735.1645030164</v>
      </c>
      <c r="AG2378" s="2">
        <f t="shared" ca="1" si="2325"/>
        <v>1018173.7101570207</v>
      </c>
      <c r="AH2378" s="2">
        <f t="shared" ca="1" si="2326"/>
        <v>1011654.2692839945</v>
      </c>
      <c r="AI2378" s="2">
        <f t="shared" ca="1" si="2327"/>
        <v>1005176.5728685915</v>
      </c>
      <c r="AJ2378" s="2">
        <f t="shared" ca="1" si="2328"/>
        <v>998740.35361799109</v>
      </c>
      <c r="AK2378" s="2">
        <f t="shared" ca="1" si="2329"/>
        <v>0</v>
      </c>
      <c r="AL2378" s="2">
        <f t="shared" ca="1" si="2330"/>
        <v>0</v>
      </c>
      <c r="AM2378" s="2">
        <f t="shared" ca="1" si="2331"/>
        <v>0</v>
      </c>
      <c r="AN2378" s="2">
        <f t="shared" ca="1" si="2332"/>
        <v>0</v>
      </c>
      <c r="AO2378" s="2">
        <f t="shared" ca="1" si="2333"/>
        <v>0</v>
      </c>
      <c r="AP2378" s="2">
        <f t="shared" ca="1" si="2334"/>
        <v>2432425.9036977128</v>
      </c>
      <c r="AQ2378" s="2">
        <f t="shared" ca="1" si="2335"/>
        <v>767016.78111409792</v>
      </c>
      <c r="AR2378" s="2">
        <f t="shared" ca="1" si="2336"/>
        <v>784800.38727631257</v>
      </c>
      <c r="AS2378" s="2">
        <f t="shared" ca="1" si="2337"/>
        <v>775725.75255271862</v>
      </c>
      <c r="AT2378" s="2">
        <f t="shared" ca="1" si="2338"/>
        <v>766709.22338020545</v>
      </c>
      <c r="AU2378" s="2">
        <f t="shared" ca="1" si="2339"/>
        <v>757750.42770467198</v>
      </c>
      <c r="AV2378" s="2">
        <f t="shared" ca="1" si="2340"/>
        <v>2183047.7616324327</v>
      </c>
      <c r="AW2378" s="2">
        <f t="shared" ca="1" si="2341"/>
        <v>2233662.640709505</v>
      </c>
      <c r="AX2378" s="2">
        <f t="shared" ca="1" si="2342"/>
        <v>2207834.8341885065</v>
      </c>
      <c r="AY2378" s="2">
        <f t="shared" ca="1" si="2343"/>
        <v>2182172.4050052003</v>
      </c>
      <c r="AZ2378" s="2">
        <f t="shared" ca="1" si="2344"/>
        <v>2156674.2942363736</v>
      </c>
      <c r="BA2378" s="2">
        <f t="shared" ca="1" si="2345"/>
        <v>47709904.728794016</v>
      </c>
      <c r="BB2378" s="2">
        <f t="shared" ca="1" si="2346"/>
        <v>954198.09457588033</v>
      </c>
      <c r="BC2378" s="2">
        <f t="shared" ca="1" si="2347"/>
        <v>19728752.148687992</v>
      </c>
      <c r="BD2378" s="2">
        <f t="shared" ca="1" si="2348"/>
        <v>-19644092.760583851</v>
      </c>
      <c r="BE2378" s="2">
        <f t="shared" ca="1" si="2349"/>
        <v>2183047.7616324327</v>
      </c>
      <c r="BF2378" s="2">
        <f t="shared" ca="1" si="2350"/>
        <v>2233662.640709505</v>
      </c>
      <c r="BG2378" s="2">
        <f t="shared" ca="1" si="2351"/>
        <v>2207834.8341885065</v>
      </c>
      <c r="BH2378" s="2">
        <f t="shared" ca="1" si="2352"/>
        <v>2182172.4050052003</v>
      </c>
      <c r="BI2378" s="2">
        <f t="shared" ca="1" si="2353"/>
        <v>21885426.442924365</v>
      </c>
      <c r="BJ2378" s="2">
        <f t="shared" ca="1" si="2354"/>
        <v>0.11241252720953732</v>
      </c>
      <c r="BK2378" s="2">
        <f t="shared" ca="1" si="2355"/>
        <v>-537598.84016798809</v>
      </c>
    </row>
    <row r="2379" spans="1:63" x14ac:dyDescent="0.3">
      <c r="A2379" s="2">
        <v>2378</v>
      </c>
      <c r="B2379" s="2">
        <f t="shared" ca="1" si="2294"/>
        <v>0.58934014571829918</v>
      </c>
      <c r="C2379" s="2">
        <f t="shared" ca="1" si="2295"/>
        <v>7.0937330919848165</v>
      </c>
      <c r="D2379" s="2">
        <f t="shared" ca="1" si="2296"/>
        <v>0.70698230689149166</v>
      </c>
      <c r="E2379" s="2">
        <f t="shared" ca="1" si="2297"/>
        <v>7.7344705190412215</v>
      </c>
      <c r="F2379" s="2">
        <f t="shared" ca="1" si="2298"/>
        <v>0.71036089572548888</v>
      </c>
      <c r="G2379" s="2">
        <f t="shared" ca="1" si="2299"/>
        <v>5.6633180221788731E-2</v>
      </c>
      <c r="H2379" s="2">
        <f t="shared" ca="1" si="2300"/>
        <v>5.6633180221788731E-2</v>
      </c>
      <c r="I2379" s="2">
        <f t="shared" ca="1" si="2301"/>
        <v>0.19918351505337872</v>
      </c>
      <c r="J2379" s="2">
        <f t="shared" ca="1" si="2302"/>
        <v>5.7772938145987732E-3</v>
      </c>
      <c r="K2379" s="2">
        <f t="shared" ca="1" si="2303"/>
        <v>5.7772938145987732E-3</v>
      </c>
      <c r="L2379" s="2">
        <f t="shared" ca="1" si="2304"/>
        <v>0.60315093607600845</v>
      </c>
      <c r="M2379" s="2">
        <f t="shared" ca="1" si="2305"/>
        <v>5.230228818120952E-3</v>
      </c>
      <c r="N2379" s="2">
        <f t="shared" ca="1" si="2306"/>
        <v>5.230228818120952E-3</v>
      </c>
      <c r="O2379" s="2">
        <f t="shared" si="2307"/>
        <v>6000000</v>
      </c>
      <c r="P2379" s="2">
        <f t="shared" ca="1" si="2308"/>
        <v>42562398.551908895</v>
      </c>
      <c r="Q2379" s="2">
        <f t="shared" ca="1" si="2309"/>
        <v>1064059.9637977225</v>
      </c>
      <c r="R2379" s="2">
        <f t="shared" ca="1" si="2310"/>
        <v>25537439.131145336</v>
      </c>
      <c r="S2379" s="2">
        <f t="shared" ca="1" si="2311"/>
        <v>17024959.42076356</v>
      </c>
      <c r="T2379" s="2">
        <f t="shared" ca="1" si="2312"/>
        <v>50261511.440906048</v>
      </c>
      <c r="U2379" s="2">
        <f t="shared" ca="1" si="2313"/>
        <v>53107980.676558375</v>
      </c>
      <c r="V2379" s="2">
        <f t="shared" ca="1" si="2314"/>
        <v>56115654.51742918</v>
      </c>
      <c r="W2379" s="2">
        <f t="shared" ca="1" si="2315"/>
        <v>59293662.492978379</v>
      </c>
      <c r="X2379" s="2">
        <f t="shared" ca="1" si="2316"/>
        <v>62651651.166953139</v>
      </c>
      <c r="Y2379" s="2">
        <f t="shared" ca="1" si="2317"/>
        <v>0.12288864690729938</v>
      </c>
      <c r="Z2379" s="2">
        <f t="shared" ca="1" si="2318"/>
        <v>0.12404410567021913</v>
      </c>
      <c r="AA2379" s="2">
        <f t="shared" ca="1" si="2319"/>
        <v>6176569.1324886912</v>
      </c>
      <c r="AB2379" s="2">
        <f t="shared" ca="1" si="2320"/>
        <v>6587731.9669749625</v>
      </c>
      <c r="AC2379" s="2">
        <f t="shared" ca="1" si="2321"/>
        <v>6960816.1787134949</v>
      </c>
      <c r="AD2379" s="2">
        <f t="shared" ca="1" si="2322"/>
        <v>7355029.3358533187</v>
      </c>
      <c r="AE2379" s="2">
        <f t="shared" ca="1" si="2323"/>
        <v>7771568.0377672426</v>
      </c>
      <c r="AF2379" s="2">
        <f t="shared" ca="1" si="2324"/>
        <v>1005230.228818121</v>
      </c>
      <c r="AG2379" s="2">
        <f t="shared" ca="1" si="2325"/>
        <v>1062159.6135311676</v>
      </c>
      <c r="AH2379" s="2">
        <f t="shared" ca="1" si="2326"/>
        <v>1122313.0903485836</v>
      </c>
      <c r="AI2379" s="2">
        <f t="shared" ca="1" si="2327"/>
        <v>1185873.2498595675</v>
      </c>
      <c r="AJ2379" s="2">
        <f t="shared" ca="1" si="2328"/>
        <v>1253033.0233390627</v>
      </c>
      <c r="AK2379" s="2">
        <f t="shared" ca="1" si="2329"/>
        <v>0</v>
      </c>
      <c r="AL2379" s="2">
        <f t="shared" ca="1" si="2330"/>
        <v>28464.692356523276</v>
      </c>
      <c r="AM2379" s="2">
        <f t="shared" ca="1" si="2331"/>
        <v>30076.73840870805</v>
      </c>
      <c r="AN2379" s="2">
        <f t="shared" ca="1" si="2332"/>
        <v>31780.079755491988</v>
      </c>
      <c r="AO2379" s="2">
        <f t="shared" ca="1" si="2333"/>
        <v>33579.886739747599</v>
      </c>
      <c r="AP2379" s="2">
        <f t="shared" ca="1" si="2334"/>
        <v>2298369.5218030801</v>
      </c>
      <c r="AQ2379" s="2">
        <f t="shared" ca="1" si="2335"/>
        <v>746972.03928554733</v>
      </c>
      <c r="AR2379" s="2">
        <f t="shared" ca="1" si="2336"/>
        <v>839072.73622658593</v>
      </c>
      <c r="AS2379" s="2">
        <f t="shared" ca="1" si="2337"/>
        <v>920434.72730607609</v>
      </c>
      <c r="AT2379" s="2">
        <f t="shared" ca="1" si="2338"/>
        <v>1006404.5066895745</v>
      </c>
      <c r="AU2379" s="2">
        <f t="shared" ca="1" si="2339"/>
        <v>1097243.0280825258</v>
      </c>
      <c r="AV2379" s="2">
        <f t="shared" ca="1" si="2340"/>
        <v>2125997.3425819427</v>
      </c>
      <c r="AW2379" s="2">
        <f t="shared" ca="1" si="2341"/>
        <v>2359665.403057606</v>
      </c>
      <c r="AX2379" s="2">
        <f t="shared" ca="1" si="2342"/>
        <v>2589622.1008470468</v>
      </c>
      <c r="AY2379" s="2">
        <f t="shared" ca="1" si="2343"/>
        <v>2832601.9777456047</v>
      </c>
      <c r="AZ2379" s="2">
        <f t="shared" ca="1" si="2344"/>
        <v>3089342.5778028267</v>
      </c>
      <c r="BA2379" s="2">
        <f t="shared" ca="1" si="2345"/>
        <v>60108963.87483377</v>
      </c>
      <c r="BB2379" s="2">
        <f t="shared" ca="1" si="2346"/>
        <v>1202179.2774966755</v>
      </c>
      <c r="BC2379" s="2">
        <f t="shared" ca="1" si="2347"/>
        <v>33369345.466191757</v>
      </c>
      <c r="BD2379" s="2">
        <f t="shared" ca="1" si="2348"/>
        <v>-18589019.384561282</v>
      </c>
      <c r="BE2379" s="2">
        <f t="shared" ca="1" si="2349"/>
        <v>2125997.3425819427</v>
      </c>
      <c r="BF2379" s="2">
        <f t="shared" ca="1" si="2350"/>
        <v>2359665.403057606</v>
      </c>
      <c r="BG2379" s="2">
        <f t="shared" ca="1" si="2351"/>
        <v>2589622.1008470468</v>
      </c>
      <c r="BH2379" s="2">
        <f t="shared" ca="1" si="2352"/>
        <v>2832601.9777456047</v>
      </c>
      <c r="BI2379" s="2">
        <f t="shared" ca="1" si="2353"/>
        <v>36458688.043994583</v>
      </c>
      <c r="BJ2379" s="2">
        <f t="shared" ca="1" si="2354"/>
        <v>0.23439482867658934</v>
      </c>
      <c r="BK2379" s="2">
        <f t="shared" ca="1" si="2355"/>
        <v>9521353.6877405308</v>
      </c>
    </row>
    <row r="2380" spans="1:63" x14ac:dyDescent="0.3">
      <c r="A2380" s="2">
        <v>2379</v>
      </c>
      <c r="B2380" s="2">
        <f t="shared" ca="1" si="2294"/>
        <v>0.93179919074471529</v>
      </c>
      <c r="C2380" s="2">
        <f t="shared" ca="1" si="2295"/>
        <v>7.6306741025725797</v>
      </c>
      <c r="D2380" s="2">
        <f t="shared" ca="1" si="2296"/>
        <v>0.69004335299944586</v>
      </c>
      <c r="E2380" s="2">
        <f t="shared" ca="1" si="2297"/>
        <v>7.7126542728882637</v>
      </c>
      <c r="F2380" s="2">
        <f t="shared" ca="1" si="2298"/>
        <v>0.79074073906527886</v>
      </c>
      <c r="G2380" s="2">
        <f t="shared" ca="1" si="2299"/>
        <v>6.4269823944569815E-2</v>
      </c>
      <c r="H2380" s="2">
        <f t="shared" ca="1" si="2300"/>
        <v>6.4269823944569815E-2</v>
      </c>
      <c r="I2380" s="2">
        <f t="shared" ca="1" si="2301"/>
        <v>0.16774887740667743</v>
      </c>
      <c r="J2380" s="2">
        <f t="shared" ca="1" si="2302"/>
        <v>5.1845041155827503E-3</v>
      </c>
      <c r="K2380" s="2">
        <f t="shared" ca="1" si="2303"/>
        <v>5.1845041155827503E-3</v>
      </c>
      <c r="L2380" s="2">
        <f t="shared" ca="1" si="2304"/>
        <v>0.12562104962246223</v>
      </c>
      <c r="M2380" s="2">
        <f t="shared" ca="1" si="2305"/>
        <v>-2.2946752997517122E-2</v>
      </c>
      <c r="N2380" s="2">
        <f t="shared" ca="1" si="2306"/>
        <v>-2.2946752997517122E-2</v>
      </c>
      <c r="O2380" s="2">
        <f t="shared" si="2307"/>
        <v>6000000</v>
      </c>
      <c r="P2380" s="2">
        <f t="shared" ca="1" si="2308"/>
        <v>45784044.615435481</v>
      </c>
      <c r="Q2380" s="2">
        <f t="shared" ca="1" si="2309"/>
        <v>1144601.115385887</v>
      </c>
      <c r="R2380" s="2">
        <f t="shared" ca="1" si="2310"/>
        <v>27470426.769261289</v>
      </c>
      <c r="S2380" s="2">
        <f t="shared" ca="1" si="2311"/>
        <v>18313617.846174192</v>
      </c>
      <c r="T2380" s="2">
        <f t="shared" ca="1" si="2312"/>
        <v>48852662.350124143</v>
      </c>
      <c r="U2380" s="2">
        <f t="shared" ca="1" si="2313"/>
        <v>51992414.358590133</v>
      </c>
      <c r="V2380" s="2">
        <f t="shared" ca="1" si="2314"/>
        <v>55333957.675869845</v>
      </c>
      <c r="W2380" s="2">
        <f t="shared" ca="1" si="2315"/>
        <v>58890261.393854275</v>
      </c>
      <c r="X2380" s="2">
        <f t="shared" ca="1" si="2316"/>
        <v>62675128.125686988</v>
      </c>
      <c r="Y2380" s="2">
        <f t="shared" ca="1" si="2317"/>
        <v>0.12259225205779137</v>
      </c>
      <c r="Z2380" s="2">
        <f t="shared" ca="1" si="2318"/>
        <v>0.12362915288090792</v>
      </c>
      <c r="AA2380" s="2">
        <f t="shared" ca="1" si="2319"/>
        <v>5988957.8965205932</v>
      </c>
      <c r="AB2380" s="2">
        <f t="shared" ca="1" si="2320"/>
        <v>6427778.1433856515</v>
      </c>
      <c r="AC2380" s="2">
        <f t="shared" ca="1" si="2321"/>
        <v>6840890.3130158018</v>
      </c>
      <c r="AD2380" s="2">
        <f t="shared" ca="1" si="2322"/>
        <v>7280553.12905744</v>
      </c>
      <c r="AE2380" s="2">
        <f t="shared" ca="1" si="2323"/>
        <v>7748472.9968810482</v>
      </c>
      <c r="AF2380" s="2">
        <f t="shared" ca="1" si="2324"/>
        <v>977053.24700248288</v>
      </c>
      <c r="AG2380" s="2">
        <f t="shared" ca="1" si="2325"/>
        <v>1039848.2871718027</v>
      </c>
      <c r="AH2380" s="2">
        <f t="shared" ca="1" si="2326"/>
        <v>1106679.1535173969</v>
      </c>
      <c r="AI2380" s="2">
        <f t="shared" ca="1" si="2327"/>
        <v>1177805.2278770856</v>
      </c>
      <c r="AJ2380" s="2">
        <f t="shared" ca="1" si="2328"/>
        <v>1253502.5625137398</v>
      </c>
      <c r="AK2380" s="2">
        <f t="shared" ca="1" si="2329"/>
        <v>0</v>
      </c>
      <c r="AL2380" s="2">
        <f t="shared" ca="1" si="2330"/>
        <v>31397.520084659904</v>
      </c>
      <c r="AM2380" s="2">
        <f t="shared" ca="1" si="2331"/>
        <v>33415.433172797115</v>
      </c>
      <c r="AN2380" s="2">
        <f t="shared" ca="1" si="2332"/>
        <v>35563.037179844308</v>
      </c>
      <c r="AO2380" s="2">
        <f t="shared" ca="1" si="2333"/>
        <v>37848.667318327127</v>
      </c>
      <c r="AP2380" s="2">
        <f t="shared" ca="1" si="2334"/>
        <v>2472338.4092335161</v>
      </c>
      <c r="AQ2380" s="2">
        <f t="shared" ca="1" si="2335"/>
        <v>660287.22247399436</v>
      </c>
      <c r="AR2380" s="2">
        <f t="shared" ca="1" si="2336"/>
        <v>758053.77621488657</v>
      </c>
      <c r="AS2380" s="2">
        <f t="shared" ca="1" si="2337"/>
        <v>848086.91506887111</v>
      </c>
      <c r="AT2380" s="2">
        <f t="shared" ca="1" si="2338"/>
        <v>943906.46790617809</v>
      </c>
      <c r="AU2380" s="2">
        <f t="shared" ca="1" si="2339"/>
        <v>1045884.326534786</v>
      </c>
      <c r="AV2380" s="2">
        <f t="shared" ca="1" si="2340"/>
        <v>1879279.0178105999</v>
      </c>
      <c r="AW2380" s="2">
        <f t="shared" ca="1" si="2341"/>
        <v>2126140.1506807869</v>
      </c>
      <c r="AX2380" s="2">
        <f t="shared" ca="1" si="2342"/>
        <v>2380370.4020232204</v>
      </c>
      <c r="AY2380" s="2">
        <f t="shared" ca="1" si="2343"/>
        <v>2650939.9868608164</v>
      </c>
      <c r="AZ2380" s="2">
        <f t="shared" ca="1" si="2344"/>
        <v>2938899.0312806787</v>
      </c>
      <c r="BA2380" s="2">
        <f t="shared" ca="1" si="2345"/>
        <v>59761293.367753945</v>
      </c>
      <c r="BB2380" s="2">
        <f t="shared" ca="1" si="2346"/>
        <v>1195225.8673550789</v>
      </c>
      <c r="BC2380" s="2">
        <f t="shared" ca="1" si="2347"/>
        <v>31095640.731137577</v>
      </c>
      <c r="BD2380" s="2">
        <f t="shared" ca="1" si="2348"/>
        <v>-19958218.961560078</v>
      </c>
      <c r="BE2380" s="2">
        <f t="shared" ca="1" si="2349"/>
        <v>1879279.0178105999</v>
      </c>
      <c r="BF2380" s="2">
        <f t="shared" ca="1" si="2350"/>
        <v>2126140.1506807869</v>
      </c>
      <c r="BG2380" s="2">
        <f t="shared" ca="1" si="2351"/>
        <v>2380370.4020232204</v>
      </c>
      <c r="BH2380" s="2">
        <f t="shared" ca="1" si="2352"/>
        <v>2650939.9868608164</v>
      </c>
      <c r="BI2380" s="2">
        <f t="shared" ca="1" si="2353"/>
        <v>34034539.762418255</v>
      </c>
      <c r="BJ2380" s="2">
        <f t="shared" ca="1" si="2354"/>
        <v>0.19166518679049172</v>
      </c>
      <c r="BK2380" s="2">
        <f t="shared" ca="1" si="2355"/>
        <v>6105787.4481265359</v>
      </c>
    </row>
    <row r="2381" spans="1:63" x14ac:dyDescent="0.3">
      <c r="A2381" s="2">
        <v>2380</v>
      </c>
      <c r="B2381" s="2">
        <f t="shared" ca="1" si="2294"/>
        <v>0.54163105381255872</v>
      </c>
      <c r="C2381" s="2">
        <f t="shared" ca="1" si="2295"/>
        <v>7.0425356965531911</v>
      </c>
      <c r="D2381" s="2">
        <f t="shared" ca="1" si="2296"/>
        <v>0.78439356384077563</v>
      </c>
      <c r="E2381" s="2">
        <f t="shared" ca="1" si="2297"/>
        <v>7.8433319923138871</v>
      </c>
      <c r="F2381" s="2">
        <f t="shared" ca="1" si="2298"/>
        <v>0.31476382819031168</v>
      </c>
      <c r="G2381" s="2">
        <f t="shared" ca="1" si="2299"/>
        <v>2.5528246474513967E-2</v>
      </c>
      <c r="H2381" s="2">
        <f t="shared" ca="1" si="2300"/>
        <v>2.5528246474513967E-2</v>
      </c>
      <c r="I2381" s="2">
        <f t="shared" ca="1" si="2301"/>
        <v>0.36150116472858673</v>
      </c>
      <c r="J2381" s="2">
        <f t="shared" ca="1" si="2302"/>
        <v>8.2277544073644862E-3</v>
      </c>
      <c r="K2381" s="2">
        <f t="shared" ca="1" si="2303"/>
        <v>8.2277544073644862E-3</v>
      </c>
      <c r="L2381" s="2">
        <f t="shared" ca="1" si="2304"/>
        <v>0.15308027643655531</v>
      </c>
      <c r="M2381" s="2">
        <f t="shared" ca="1" si="2305"/>
        <v>-2.04662314910437E-2</v>
      </c>
      <c r="N2381" s="2">
        <f t="shared" ca="1" si="2306"/>
        <v>-2.04662314910437E-2</v>
      </c>
      <c r="O2381" s="2">
        <f t="shared" si="2307"/>
        <v>6000000</v>
      </c>
      <c r="P2381" s="2">
        <f t="shared" ca="1" si="2308"/>
        <v>42255214.179319143</v>
      </c>
      <c r="Q2381" s="2">
        <f t="shared" ca="1" si="2309"/>
        <v>1056380.3544829786</v>
      </c>
      <c r="R2381" s="2">
        <f t="shared" ca="1" si="2310"/>
        <v>25353128.507591486</v>
      </c>
      <c r="S2381" s="2">
        <f t="shared" ca="1" si="2311"/>
        <v>16902085.671727657</v>
      </c>
      <c r="T2381" s="2">
        <f t="shared" ca="1" si="2312"/>
        <v>48976688.425447814</v>
      </c>
      <c r="U2381" s="2">
        <f t="shared" ca="1" si="2313"/>
        <v>50226977.399078116</v>
      </c>
      <c r="V2381" s="2">
        <f t="shared" ca="1" si="2314"/>
        <v>51509184.05779162</v>
      </c>
      <c r="W2381" s="2">
        <f t="shared" ca="1" si="2315"/>
        <v>52824123.204120025</v>
      </c>
      <c r="X2381" s="2">
        <f t="shared" ca="1" si="2316"/>
        <v>54172630.441074893</v>
      </c>
      <c r="Y2381" s="2">
        <f t="shared" ca="1" si="2317"/>
        <v>0.12411387720368224</v>
      </c>
      <c r="Z2381" s="2">
        <f t="shared" ca="1" si="2318"/>
        <v>0.12575942808515514</v>
      </c>
      <c r="AA2381" s="2">
        <f t="shared" ca="1" si="2319"/>
        <v>6078686.6930790348</v>
      </c>
      <c r="AB2381" s="2">
        <f t="shared" ca="1" si="2320"/>
        <v>6316515.9521540767</v>
      </c>
      <c r="AC2381" s="2">
        <f t="shared" ca="1" si="2321"/>
        <v>6477765.5282408651</v>
      </c>
      <c r="AD2381" s="2">
        <f t="shared" ca="1" si="2322"/>
        <v>6643131.5232499074</v>
      </c>
      <c r="AE2381" s="2">
        <f t="shared" ca="1" si="2323"/>
        <v>6812719.0221380442</v>
      </c>
      <c r="AF2381" s="2">
        <f t="shared" ca="1" si="2324"/>
        <v>979533.7685089563</v>
      </c>
      <c r="AG2381" s="2">
        <f t="shared" ca="1" si="2325"/>
        <v>1004539.5479815623</v>
      </c>
      <c r="AH2381" s="2">
        <f t="shared" ca="1" si="2326"/>
        <v>1030183.6811558325</v>
      </c>
      <c r="AI2381" s="2">
        <f t="shared" ca="1" si="2327"/>
        <v>1056482.4640824005</v>
      </c>
      <c r="AJ2381" s="2">
        <f t="shared" ca="1" si="2328"/>
        <v>1083452.6088214978</v>
      </c>
      <c r="AK2381" s="2">
        <f t="shared" ca="1" si="2329"/>
        <v>0</v>
      </c>
      <c r="AL2381" s="2">
        <f t="shared" ca="1" si="2330"/>
        <v>12502.889736303017</v>
      </c>
      <c r="AM2381" s="2">
        <f t="shared" ca="1" si="2331"/>
        <v>12822.066587135047</v>
      </c>
      <c r="AN2381" s="2">
        <f t="shared" ca="1" si="2332"/>
        <v>13149.391463284046</v>
      </c>
      <c r="AO2381" s="2">
        <f t="shared" ca="1" si="2333"/>
        <v>13485.072369548679</v>
      </c>
      <c r="AP2381" s="2">
        <f t="shared" ca="1" si="2334"/>
        <v>2281781.5656832336</v>
      </c>
      <c r="AQ2381" s="2">
        <f t="shared" ca="1" si="2335"/>
        <v>732516.55331057962</v>
      </c>
      <c r="AR2381" s="2">
        <f t="shared" ca="1" si="2336"/>
        <v>787850.65800721315</v>
      </c>
      <c r="AS2381" s="2">
        <f t="shared" ca="1" si="2337"/>
        <v>823108.07316446782</v>
      </c>
      <c r="AT2381" s="2">
        <f t="shared" ca="1" si="2338"/>
        <v>859265.54830591113</v>
      </c>
      <c r="AU2381" s="2">
        <f t="shared" ca="1" si="2339"/>
        <v>896346.06038466131</v>
      </c>
      <c r="AV2381" s="2">
        <f t="shared" ca="1" si="2340"/>
        <v>2084854.8055762649</v>
      </c>
      <c r="AW2381" s="2">
        <f t="shared" ca="1" si="2341"/>
        <v>2229841.290745765</v>
      </c>
      <c r="AX2381" s="2">
        <f t="shared" ca="1" si="2342"/>
        <v>2329870.1416501962</v>
      </c>
      <c r="AY2381" s="2">
        <f t="shared" ca="1" si="2343"/>
        <v>2432452.5537150782</v>
      </c>
      <c r="AZ2381" s="2">
        <f t="shared" ca="1" si="2344"/>
        <v>2537653.714879103</v>
      </c>
      <c r="BA2381" s="2">
        <f t="shared" ca="1" si="2345"/>
        <v>53434417.0609807</v>
      </c>
      <c r="BB2381" s="2">
        <f t="shared" ca="1" si="2346"/>
        <v>1068688.341219614</v>
      </c>
      <c r="BC2381" s="2">
        <f t="shared" ca="1" si="2347"/>
        <v>27012600.212169599</v>
      </c>
      <c r="BD2381" s="2">
        <f t="shared" ca="1" si="2348"/>
        <v>-18458466.026210636</v>
      </c>
      <c r="BE2381" s="2">
        <f t="shared" ca="1" si="2349"/>
        <v>2084854.8055762649</v>
      </c>
      <c r="BF2381" s="2">
        <f t="shared" ca="1" si="2350"/>
        <v>2229841.290745765</v>
      </c>
      <c r="BG2381" s="2">
        <f t="shared" ca="1" si="2351"/>
        <v>2329870.1416501962</v>
      </c>
      <c r="BH2381" s="2">
        <f t="shared" ca="1" si="2352"/>
        <v>2432452.5537150782</v>
      </c>
      <c r="BI2381" s="2">
        <f t="shared" ca="1" si="2353"/>
        <v>29550253.927048702</v>
      </c>
      <c r="BJ2381" s="2">
        <f t="shared" ca="1" si="2354"/>
        <v>0.1876078934012404</v>
      </c>
      <c r="BK2381" s="2">
        <f t="shared" ca="1" si="2355"/>
        <v>5152458.0947173648</v>
      </c>
    </row>
    <row r="2382" spans="1:63" x14ac:dyDescent="0.3">
      <c r="A2382" s="2">
        <v>2381</v>
      </c>
      <c r="B2382" s="2">
        <f t="shared" ca="1" si="2294"/>
        <v>0.32620553374597649</v>
      </c>
      <c r="C2382" s="2">
        <f t="shared" ca="1" si="2295"/>
        <v>6.8077196713538388</v>
      </c>
      <c r="D2382" s="2">
        <f t="shared" ca="1" si="2296"/>
        <v>0.9490662591826079</v>
      </c>
      <c r="E2382" s="2">
        <f t="shared" ca="1" si="2297"/>
        <v>8.1808331445234579</v>
      </c>
      <c r="F2382" s="2">
        <f t="shared" ca="1" si="2298"/>
        <v>4.8025759425556758E-2</v>
      </c>
      <c r="G2382" s="2">
        <f t="shared" ca="1" si="2299"/>
        <v>-9.9291462262101754E-3</v>
      </c>
      <c r="H2382" s="2">
        <f t="shared" ca="1" si="2300"/>
        <v>-9.9291462262101754E-3</v>
      </c>
      <c r="I2382" s="2">
        <f t="shared" ca="1" si="2301"/>
        <v>0.16788059131082533</v>
      </c>
      <c r="J2382" s="2">
        <f t="shared" ca="1" si="2302"/>
        <v>5.18712832756599E-3</v>
      </c>
      <c r="K2382" s="2">
        <f t="shared" ca="1" si="2303"/>
        <v>5.18712832756599E-3</v>
      </c>
      <c r="L2382" s="2">
        <f t="shared" ca="1" si="2304"/>
        <v>0.16488237023873542</v>
      </c>
      <c r="M2382" s="2">
        <f t="shared" ca="1" si="2305"/>
        <v>-1.9491757096512456E-2</v>
      </c>
      <c r="N2382" s="2">
        <f t="shared" ca="1" si="2306"/>
        <v>-1.9491757096512456E-2</v>
      </c>
      <c r="O2382" s="2">
        <f t="shared" si="2307"/>
        <v>6000000</v>
      </c>
      <c r="P2382" s="2">
        <f t="shared" ca="1" si="2308"/>
        <v>40846318.028123036</v>
      </c>
      <c r="Q2382" s="2">
        <f t="shared" ca="1" si="2309"/>
        <v>1021157.950703076</v>
      </c>
      <c r="R2382" s="2">
        <f t="shared" ca="1" si="2310"/>
        <v>24507790.816873822</v>
      </c>
      <c r="S2382" s="2">
        <f t="shared" ca="1" si="2311"/>
        <v>16338527.211249216</v>
      </c>
      <c r="T2382" s="2">
        <f t="shared" ca="1" si="2312"/>
        <v>49025412.145174377</v>
      </c>
      <c r="U2382" s="2">
        <f t="shared" ca="1" si="2313"/>
        <v>48538631.659184717</v>
      </c>
      <c r="V2382" s="2">
        <f t="shared" ca="1" si="2314"/>
        <v>48056684.487820514</v>
      </c>
      <c r="W2382" s="2">
        <f t="shared" ca="1" si="2315"/>
        <v>47579522.640394099</v>
      </c>
      <c r="X2382" s="2">
        <f t="shared" ca="1" si="2316"/>
        <v>47107098.602724344</v>
      </c>
      <c r="Y2382" s="2">
        <f t="shared" ca="1" si="2317"/>
        <v>0.12259356416378299</v>
      </c>
      <c r="Z2382" s="2">
        <f t="shared" ca="1" si="2318"/>
        <v>0.12363098982929618</v>
      </c>
      <c r="AA2382" s="2">
        <f t="shared" ca="1" si="2319"/>
        <v>6010200.0094753411</v>
      </c>
      <c r="AB2382" s="2">
        <f t="shared" ca="1" si="2320"/>
        <v>6000879.0769846197</v>
      </c>
      <c r="AC2382" s="2">
        <f t="shared" ca="1" si="2321"/>
        <v>5941295.4711434338</v>
      </c>
      <c r="AD2382" s="2">
        <f t="shared" ca="1" si="2322"/>
        <v>5882303.4796373304</v>
      </c>
      <c r="AE2382" s="2">
        <f t="shared" ca="1" si="2323"/>
        <v>5823897.2282410655</v>
      </c>
      <c r="AF2382" s="2">
        <f t="shared" ca="1" si="2324"/>
        <v>980508.24290348752</v>
      </c>
      <c r="AG2382" s="2">
        <f t="shared" ca="1" si="2325"/>
        <v>970772.63318369433</v>
      </c>
      <c r="AH2382" s="2">
        <f t="shared" ca="1" si="2326"/>
        <v>961133.68975641031</v>
      </c>
      <c r="AI2382" s="2">
        <f t="shared" ca="1" si="2327"/>
        <v>951590.45280788199</v>
      </c>
      <c r="AJ2382" s="2">
        <f t="shared" ca="1" si="2328"/>
        <v>942141.97205448686</v>
      </c>
      <c r="AK2382" s="2">
        <f t="shared" ca="1" si="2329"/>
        <v>0</v>
      </c>
      <c r="AL2382" s="2">
        <f t="shared" ca="1" si="2330"/>
        <v>0</v>
      </c>
      <c r="AM2382" s="2">
        <f t="shared" ca="1" si="2331"/>
        <v>0</v>
      </c>
      <c r="AN2382" s="2">
        <f t="shared" ca="1" si="2332"/>
        <v>0</v>
      </c>
      <c r="AO2382" s="2">
        <f t="shared" ca="1" si="2333"/>
        <v>0</v>
      </c>
      <c r="AP2382" s="2">
        <f t="shared" ca="1" si="2334"/>
        <v>2205701.1735186437</v>
      </c>
      <c r="AQ2382" s="2">
        <f t="shared" ca="1" si="2335"/>
        <v>734237.55419383454</v>
      </c>
      <c r="AR2382" s="2">
        <f t="shared" ca="1" si="2336"/>
        <v>734345.37027339323</v>
      </c>
      <c r="AS2382" s="2">
        <f t="shared" ca="1" si="2337"/>
        <v>721359.75804577884</v>
      </c>
      <c r="AT2382" s="2">
        <f t="shared" ca="1" si="2338"/>
        <v>708503.08186080924</v>
      </c>
      <c r="AU2382" s="2">
        <f t="shared" ca="1" si="2339"/>
        <v>695774.061493663</v>
      </c>
      <c r="AV2382" s="2">
        <f t="shared" ca="1" si="2340"/>
        <v>2089753.0388593748</v>
      </c>
      <c r="AW2382" s="2">
        <f t="shared" ca="1" si="2341"/>
        <v>2090059.900008888</v>
      </c>
      <c r="AX2382" s="2">
        <f t="shared" ca="1" si="2342"/>
        <v>2053100.8498226013</v>
      </c>
      <c r="AY2382" s="2">
        <f t="shared" ca="1" si="2343"/>
        <v>2016508.7714499952</v>
      </c>
      <c r="AZ2382" s="2">
        <f t="shared" ca="1" si="2344"/>
        <v>1980280.0211742716</v>
      </c>
      <c r="BA2382" s="2">
        <f t="shared" ca="1" si="2345"/>
        <v>47644331.475092806</v>
      </c>
      <c r="BB2382" s="2">
        <f t="shared" ca="1" si="2346"/>
        <v>952886.62950185617</v>
      </c>
      <c r="BC2382" s="2">
        <f t="shared" ca="1" si="2347"/>
        <v>22183654.028717127</v>
      </c>
      <c r="BD2382" s="2">
        <f t="shared" ca="1" si="2348"/>
        <v>-17859685.161952291</v>
      </c>
      <c r="BE2382" s="2">
        <f t="shared" ca="1" si="2349"/>
        <v>2089753.0388593748</v>
      </c>
      <c r="BF2382" s="2">
        <f t="shared" ca="1" si="2350"/>
        <v>2090059.900008888</v>
      </c>
      <c r="BG2382" s="2">
        <f t="shared" ca="1" si="2351"/>
        <v>2053100.8498226013</v>
      </c>
      <c r="BH2382" s="2">
        <f t="shared" ca="1" si="2352"/>
        <v>2016508.7714499952</v>
      </c>
      <c r="BI2382" s="2">
        <f t="shared" ca="1" si="2353"/>
        <v>24163934.049891397</v>
      </c>
      <c r="BJ2382" s="2">
        <f t="shared" ca="1" si="2354"/>
        <v>0.15085231688493272</v>
      </c>
      <c r="BK2382" s="2">
        <f t="shared" ca="1" si="2355"/>
        <v>2126498.2525152229</v>
      </c>
    </row>
    <row r="2383" spans="1:63" x14ac:dyDescent="0.3">
      <c r="A2383" s="2">
        <v>2382</v>
      </c>
      <c r="B2383" s="2">
        <f t="shared" ca="1" si="2294"/>
        <v>0.59245686859014812</v>
      </c>
      <c r="C2383" s="2">
        <f t="shared" ca="1" si="2295"/>
        <v>7.0971787204436838</v>
      </c>
      <c r="D2383" s="2">
        <f t="shared" ca="1" si="2296"/>
        <v>0.1979097093956862</v>
      </c>
      <c r="E2383" s="2">
        <f t="shared" ca="1" si="2297"/>
        <v>7.1291418113520768</v>
      </c>
      <c r="F2383" s="2">
        <f t="shared" ca="1" si="2298"/>
        <v>0.75320460010969903</v>
      </c>
      <c r="G2383" s="2">
        <f t="shared" ca="1" si="2299"/>
        <v>6.0538264604178257E-2</v>
      </c>
      <c r="H2383" s="2">
        <f t="shared" ca="1" si="2300"/>
        <v>6.0538264604178257E-2</v>
      </c>
      <c r="I2383" s="2">
        <f t="shared" ca="1" si="2301"/>
        <v>0.53176153697513884</v>
      </c>
      <c r="J2383" s="2">
        <f t="shared" ca="1" si="2302"/>
        <v>1.0398493294846947E-2</v>
      </c>
      <c r="K2383" s="2">
        <f t="shared" ca="1" si="2303"/>
        <v>1.0398493294846947E-2</v>
      </c>
      <c r="L2383" s="2">
        <f t="shared" ca="1" si="2304"/>
        <v>0.2623945455982134</v>
      </c>
      <c r="M2383" s="2">
        <f t="shared" ca="1" si="2305"/>
        <v>-1.2719611249937049E-2</v>
      </c>
      <c r="N2383" s="2">
        <f t="shared" ca="1" si="2306"/>
        <v>-1.2719611249937049E-2</v>
      </c>
      <c r="O2383" s="2">
        <f t="shared" si="2307"/>
        <v>6000000</v>
      </c>
      <c r="P2383" s="2">
        <f t="shared" ca="1" si="2308"/>
        <v>42583072.3226621</v>
      </c>
      <c r="Q2383" s="2">
        <f t="shared" ca="1" si="2309"/>
        <v>1064576.8080665525</v>
      </c>
      <c r="R2383" s="2">
        <f t="shared" ca="1" si="2310"/>
        <v>25549843.39359726</v>
      </c>
      <c r="S2383" s="2">
        <f t="shared" ca="1" si="2311"/>
        <v>17033228.92906484</v>
      </c>
      <c r="T2383" s="2">
        <f t="shared" ca="1" si="2312"/>
        <v>49364019.437503152</v>
      </c>
      <c r="U2383" s="2">
        <f t="shared" ca="1" si="2313"/>
        <v>52352431.508136518</v>
      </c>
      <c r="V2383" s="2">
        <f t="shared" ca="1" si="2314"/>
        <v>55521756.859448209</v>
      </c>
      <c r="W2383" s="2">
        <f t="shared" ca="1" si="2315"/>
        <v>58882947.667494342</v>
      </c>
      <c r="X2383" s="2">
        <f t="shared" ca="1" si="2316"/>
        <v>62447619.134063102</v>
      </c>
      <c r="Y2383" s="2">
        <f t="shared" ca="1" si="2317"/>
        <v>0.12519924664742346</v>
      </c>
      <c r="Z2383" s="2">
        <f t="shared" ca="1" si="2318"/>
        <v>0.12727894530639286</v>
      </c>
      <c r="AA2383" s="2">
        <f t="shared" ca="1" si="2319"/>
        <v>6180338.0450641634</v>
      </c>
      <c r="AB2383" s="2">
        <f t="shared" ca="1" si="2320"/>
        <v>6663362.2665807866</v>
      </c>
      <c r="AC2383" s="2">
        <f t="shared" ca="1" si="2321"/>
        <v>7066750.6546285516</v>
      </c>
      <c r="AD2383" s="2">
        <f t="shared" ca="1" si="2322"/>
        <v>7494559.4756502053</v>
      </c>
      <c r="AE2383" s="2">
        <f t="shared" ca="1" si="2323"/>
        <v>7948267.1002788702</v>
      </c>
      <c r="AF2383" s="2">
        <f t="shared" ca="1" si="2324"/>
        <v>987280.38875006302</v>
      </c>
      <c r="AG2383" s="2">
        <f t="shared" ca="1" si="2325"/>
        <v>1047048.6301627303</v>
      </c>
      <c r="AH2383" s="2">
        <f t="shared" ca="1" si="2326"/>
        <v>1110435.1371889643</v>
      </c>
      <c r="AI2383" s="2">
        <f t="shared" ca="1" si="2327"/>
        <v>1177658.9533498869</v>
      </c>
      <c r="AJ2383" s="2">
        <f t="shared" ca="1" si="2328"/>
        <v>1248952.382681262</v>
      </c>
      <c r="AK2383" s="2">
        <f t="shared" ca="1" si="2329"/>
        <v>0</v>
      </c>
      <c r="AL2383" s="2">
        <f t="shared" ca="1" si="2330"/>
        <v>29884.120706333666</v>
      </c>
      <c r="AM2383" s="2">
        <f t="shared" ca="1" si="2331"/>
        <v>31693.253513116913</v>
      </c>
      <c r="AN2383" s="2">
        <f t="shared" ca="1" si="2332"/>
        <v>33611.908080461326</v>
      </c>
      <c r="AO2383" s="2">
        <f t="shared" ca="1" si="2333"/>
        <v>35646.714665687607</v>
      </c>
      <c r="AP2383" s="2">
        <f t="shared" ca="1" si="2334"/>
        <v>2299485.9054237534</v>
      </c>
      <c r="AQ2383" s="2">
        <f t="shared" ca="1" si="2335"/>
        <v>752328.65523149015</v>
      </c>
      <c r="AR2383" s="2">
        <f t="shared" ca="1" si="2336"/>
        <v>862375.21005851869</v>
      </c>
      <c r="AS2383" s="2">
        <f t="shared" ca="1" si="2337"/>
        <v>950775.6991241168</v>
      </c>
      <c r="AT2383" s="2">
        <f t="shared" ca="1" si="2338"/>
        <v>1044527.8003879068</v>
      </c>
      <c r="AU2383" s="2">
        <f t="shared" ca="1" si="2339"/>
        <v>1143955.4911652021</v>
      </c>
      <c r="AV2383" s="2">
        <f t="shared" ca="1" si="2340"/>
        <v>2141243.0956588569</v>
      </c>
      <c r="AW2383" s="2">
        <f t="shared" ca="1" si="2341"/>
        <v>2424568.4002294498</v>
      </c>
      <c r="AX2383" s="2">
        <f t="shared" ca="1" si="2342"/>
        <v>2674360.6593785998</v>
      </c>
      <c r="AY2383" s="2">
        <f t="shared" ca="1" si="2343"/>
        <v>2939274.9084081962</v>
      </c>
      <c r="AZ2383" s="2">
        <f t="shared" ca="1" si="2344"/>
        <v>3220226.6063429653</v>
      </c>
      <c r="BA2383" s="2">
        <f t="shared" ca="1" si="2345"/>
        <v>56664323.312392227</v>
      </c>
      <c r="BB2383" s="2">
        <f t="shared" ca="1" si="2346"/>
        <v>1133286.4662478445</v>
      </c>
      <c r="BC2383" s="2">
        <f t="shared" ca="1" si="2347"/>
        <v>29981193.452547122</v>
      </c>
      <c r="BD2383" s="2">
        <f t="shared" ca="1" si="2348"/>
        <v>-18597805.737131394</v>
      </c>
      <c r="BE2383" s="2">
        <f t="shared" ca="1" si="2349"/>
        <v>2141243.0956588569</v>
      </c>
      <c r="BF2383" s="2">
        <f t="shared" ca="1" si="2350"/>
        <v>2424568.4002294498</v>
      </c>
      <c r="BG2383" s="2">
        <f t="shared" ca="1" si="2351"/>
        <v>2674360.6593785998</v>
      </c>
      <c r="BH2383" s="2">
        <f t="shared" ca="1" si="2352"/>
        <v>2939274.9084081962</v>
      </c>
      <c r="BI2383" s="2">
        <f t="shared" ca="1" si="2353"/>
        <v>33201420.058890086</v>
      </c>
      <c r="BJ2383" s="2">
        <f t="shared" ca="1" si="2354"/>
        <v>0.21793322228940237</v>
      </c>
      <c r="BK2383" s="2">
        <f t="shared" ca="1" si="2355"/>
        <v>7857766.3637662232</v>
      </c>
    </row>
    <row r="2384" spans="1:63" x14ac:dyDescent="0.3">
      <c r="A2384" s="2">
        <v>2383</v>
      </c>
      <c r="B2384" s="2">
        <f t="shared" ca="1" si="2294"/>
        <v>0.81965227536500207</v>
      </c>
      <c r="C2384" s="2">
        <f t="shared" ca="1" si="2295"/>
        <v>7.3994207385615152</v>
      </c>
      <c r="D2384" s="2">
        <f t="shared" ca="1" si="2296"/>
        <v>0.16485590215851231</v>
      </c>
      <c r="E2384" s="2">
        <f t="shared" ca="1" si="2297"/>
        <v>7.0742053677187497</v>
      </c>
      <c r="F2384" s="2">
        <f t="shared" ca="1" si="2298"/>
        <v>5.4780428549437654E-2</v>
      </c>
      <c r="G2384" s="2">
        <f t="shared" ca="1" si="2299"/>
        <v>-8.0051024815181587E-3</v>
      </c>
      <c r="H2384" s="2">
        <f t="shared" ca="1" si="2300"/>
        <v>-8.0051024815181587E-3</v>
      </c>
      <c r="I2384" s="2">
        <f t="shared" ca="1" si="2301"/>
        <v>1.3134006878307458E-2</v>
      </c>
      <c r="J2384" s="2">
        <f t="shared" ca="1" si="2302"/>
        <v>-1.1111316616502637E-3</v>
      </c>
      <c r="K2384" s="2">
        <f t="shared" ca="1" si="2303"/>
        <v>0</v>
      </c>
      <c r="L2384" s="2">
        <f t="shared" ca="1" si="2304"/>
        <v>0.52333623259626572</v>
      </c>
      <c r="M2384" s="2">
        <f t="shared" ca="1" si="2305"/>
        <v>1.1705731857363612E-3</v>
      </c>
      <c r="N2384" s="2">
        <f t="shared" ca="1" si="2306"/>
        <v>1.1705731857363612E-3</v>
      </c>
      <c r="O2384" s="2">
        <f t="shared" si="2307"/>
        <v>6000000</v>
      </c>
      <c r="P2384" s="2">
        <f t="shared" ca="1" si="2308"/>
        <v>44396524.431369089</v>
      </c>
      <c r="Q2384" s="2">
        <f t="shared" ca="1" si="2309"/>
        <v>1109913.1107842273</v>
      </c>
      <c r="R2384" s="2">
        <f t="shared" ca="1" si="2310"/>
        <v>26637914.658821452</v>
      </c>
      <c r="S2384" s="2">
        <f t="shared" ca="1" si="2311"/>
        <v>17758609.772547636</v>
      </c>
      <c r="T2384" s="2">
        <f t="shared" ca="1" si="2312"/>
        <v>50058528.659286819</v>
      </c>
      <c r="U2384" s="2">
        <f t="shared" ca="1" si="2313"/>
        <v>49657805.007295214</v>
      </c>
      <c r="V2384" s="2">
        <f t="shared" ca="1" si="2314"/>
        <v>49260289.189204566</v>
      </c>
      <c r="W2384" s="2">
        <f t="shared" ca="1" si="2315"/>
        <v>48865955.525975764</v>
      </c>
      <c r="X2384" s="2">
        <f t="shared" ca="1" si="2316"/>
        <v>48474778.544133015</v>
      </c>
      <c r="Y2384" s="2">
        <f t="shared" ca="1" si="2317"/>
        <v>0.12</v>
      </c>
      <c r="Z2384" s="2">
        <f t="shared" ca="1" si="2318"/>
        <v>0.12</v>
      </c>
      <c r="AA2384" s="2">
        <f t="shared" ca="1" si="2319"/>
        <v>6007023.4391144179</v>
      </c>
      <c r="AB2384" s="2">
        <f t="shared" ca="1" si="2320"/>
        <v>5958936.6008754252</v>
      </c>
      <c r="AC2384" s="2">
        <f t="shared" ca="1" si="2321"/>
        <v>5911234.7027045479</v>
      </c>
      <c r="AD2384" s="2">
        <f t="shared" ca="1" si="2322"/>
        <v>5863914.6631170912</v>
      </c>
      <c r="AE2384" s="2">
        <f t="shared" ca="1" si="2323"/>
        <v>5816973.425295962</v>
      </c>
      <c r="AF2384" s="2">
        <f t="shared" ca="1" si="2324"/>
        <v>1001170.5731857364</v>
      </c>
      <c r="AG2384" s="2">
        <f t="shared" ca="1" si="2325"/>
        <v>993156.10014590435</v>
      </c>
      <c r="AH2384" s="2">
        <f t="shared" ca="1" si="2326"/>
        <v>985205.78378409136</v>
      </c>
      <c r="AI2384" s="2">
        <f t="shared" ca="1" si="2327"/>
        <v>977319.11051951535</v>
      </c>
      <c r="AJ2384" s="2">
        <f t="shared" ca="1" si="2328"/>
        <v>969495.57088266034</v>
      </c>
      <c r="AK2384" s="2">
        <f t="shared" ca="1" si="2329"/>
        <v>0</v>
      </c>
      <c r="AL2384" s="2">
        <f t="shared" ca="1" si="2330"/>
        <v>0</v>
      </c>
      <c r="AM2384" s="2">
        <f t="shared" ca="1" si="2331"/>
        <v>0</v>
      </c>
      <c r="AN2384" s="2">
        <f t="shared" ca="1" si="2332"/>
        <v>0</v>
      </c>
      <c r="AO2384" s="2">
        <f t="shared" ca="1" si="2333"/>
        <v>0</v>
      </c>
      <c r="AP2384" s="2">
        <f t="shared" ca="1" si="2334"/>
        <v>2397412.3192939307</v>
      </c>
      <c r="AQ2384" s="2">
        <f t="shared" ca="1" si="2335"/>
        <v>678194.54212503531</v>
      </c>
      <c r="AR2384" s="2">
        <f t="shared" ca="1" si="2336"/>
        <v>667775.72717325343</v>
      </c>
      <c r="AS2384" s="2">
        <f t="shared" ca="1" si="2337"/>
        <v>657440.31590289669</v>
      </c>
      <c r="AT2384" s="2">
        <f t="shared" ca="1" si="2338"/>
        <v>647187.64065894776</v>
      </c>
      <c r="AU2384" s="2">
        <f t="shared" ca="1" si="2339"/>
        <v>637017.03913103649</v>
      </c>
      <c r="AV2384" s="2">
        <f t="shared" ca="1" si="2340"/>
        <v>1930246.0045097158</v>
      </c>
      <c r="AW2384" s="2">
        <f t="shared" ca="1" si="2341"/>
        <v>1900592.4542623372</v>
      </c>
      <c r="AX2384" s="2">
        <f t="shared" ca="1" si="2342"/>
        <v>1871176.2837236286</v>
      </c>
      <c r="AY2384" s="2">
        <f t="shared" ca="1" si="2343"/>
        <v>1841995.5926446975</v>
      </c>
      <c r="AZ2384" s="2">
        <f t="shared" ca="1" si="2344"/>
        <v>1813048.4959883341</v>
      </c>
      <c r="BA2384" s="2">
        <f t="shared" ca="1" si="2345"/>
        <v>41150464.629106015</v>
      </c>
      <c r="BB2384" s="2">
        <f t="shared" ca="1" si="2346"/>
        <v>823009.29258212028</v>
      </c>
      <c r="BC2384" s="2">
        <f t="shared" ca="1" si="2347"/>
        <v>13689540.677702442</v>
      </c>
      <c r="BD2384" s="2">
        <f t="shared" ca="1" si="2348"/>
        <v>-19368522.883331865</v>
      </c>
      <c r="BE2384" s="2">
        <f t="shared" ca="1" si="2349"/>
        <v>1930246.0045097158</v>
      </c>
      <c r="BF2384" s="2">
        <f t="shared" ca="1" si="2350"/>
        <v>1900592.4542623372</v>
      </c>
      <c r="BG2384" s="2">
        <f t="shared" ca="1" si="2351"/>
        <v>1871176.2837236286</v>
      </c>
      <c r="BH2384" s="2">
        <f t="shared" ca="1" si="2352"/>
        <v>1841995.5926446975</v>
      </c>
      <c r="BI2384" s="2">
        <f t="shared" ca="1" si="2353"/>
        <v>15502589.173690775</v>
      </c>
      <c r="BJ2384" s="2">
        <f t="shared" ca="1" si="2354"/>
        <v>4.2930560098069837E-2</v>
      </c>
      <c r="BK2384" s="2">
        <f t="shared" ca="1" si="2355"/>
        <v>-4830875.0337526407</v>
      </c>
    </row>
    <row r="2385" spans="1:63" x14ac:dyDescent="0.3">
      <c r="A2385" s="2">
        <v>2384</v>
      </c>
      <c r="B2385" s="2">
        <f t="shared" ca="1" si="2294"/>
        <v>0.40334422332160857</v>
      </c>
      <c r="C2385" s="2">
        <f t="shared" ca="1" si="2295"/>
        <v>6.8981583638998289</v>
      </c>
      <c r="D2385" s="2">
        <f t="shared" ca="1" si="2296"/>
        <v>3.4601803851767365E-2</v>
      </c>
      <c r="E2385" s="2">
        <f t="shared" ca="1" si="2297"/>
        <v>6.7630657858854599</v>
      </c>
      <c r="F2385" s="2">
        <f t="shared" ca="1" si="2298"/>
        <v>0.73750924238796589</v>
      </c>
      <c r="G2385" s="2">
        <f t="shared" ca="1" si="2299"/>
        <v>5.9070561039128423E-2</v>
      </c>
      <c r="H2385" s="2">
        <f t="shared" ca="1" si="2300"/>
        <v>5.9070561039128423E-2</v>
      </c>
      <c r="I2385" s="2">
        <f t="shared" ca="1" si="2301"/>
        <v>0.89143897833711128</v>
      </c>
      <c r="J2385" s="2">
        <f t="shared" ca="1" si="2302"/>
        <v>1.6171085148133597E-2</v>
      </c>
      <c r="K2385" s="2">
        <f t="shared" ca="1" si="2303"/>
        <v>1.6171085148133597E-2</v>
      </c>
      <c r="L2385" s="2">
        <f t="shared" ca="1" si="2304"/>
        <v>0.37351849581870755</v>
      </c>
      <c r="M2385" s="2">
        <f t="shared" ca="1" si="2305"/>
        <v>-6.4509755439104604E-3</v>
      </c>
      <c r="N2385" s="2">
        <f t="shared" ca="1" si="2306"/>
        <v>-6.4509755439104604E-3</v>
      </c>
      <c r="O2385" s="2">
        <f t="shared" si="2307"/>
        <v>6000000</v>
      </c>
      <c r="P2385" s="2">
        <f t="shared" ca="1" si="2308"/>
        <v>41388950.183398977</v>
      </c>
      <c r="Q2385" s="2">
        <f t="shared" ca="1" si="2309"/>
        <v>1034723.7545849745</v>
      </c>
      <c r="R2385" s="2">
        <f t="shared" ca="1" si="2310"/>
        <v>24833370.110039387</v>
      </c>
      <c r="S2385" s="2">
        <f t="shared" ca="1" si="2311"/>
        <v>16555580.073359592</v>
      </c>
      <c r="T2385" s="2">
        <f t="shared" ca="1" si="2312"/>
        <v>49677451.222804472</v>
      </c>
      <c r="U2385" s="2">
        <f t="shared" ca="1" si="2313"/>
        <v>52611926.13752947</v>
      </c>
      <c r="V2385" s="2">
        <f t="shared" ca="1" si="2314"/>
        <v>55719742.131822519</v>
      </c>
      <c r="W2385" s="2">
        <f t="shared" ca="1" si="2315"/>
        <v>59011138.560504839</v>
      </c>
      <c r="X2385" s="2">
        <f t="shared" ca="1" si="2316"/>
        <v>62496959.622831605</v>
      </c>
      <c r="Y2385" s="2">
        <f t="shared" ca="1" si="2317"/>
        <v>0.12808554257406679</v>
      </c>
      <c r="Z2385" s="2">
        <f t="shared" ca="1" si="2318"/>
        <v>0.13131975960369352</v>
      </c>
      <c r="AA2385" s="2">
        <f t="shared" ca="1" si="2319"/>
        <v>6362963.2935696486</v>
      </c>
      <c r="AB2385" s="2">
        <f t="shared" ca="1" si="2320"/>
        <v>6908985.4926676499</v>
      </c>
      <c r="AC2385" s="2">
        <f t="shared" ca="1" si="2321"/>
        <v>7317103.1419307264</v>
      </c>
      <c r="AD2385" s="2">
        <f t="shared" ca="1" si="2322"/>
        <v>7749328.5297057442</v>
      </c>
      <c r="AE2385" s="2">
        <f t="shared" ca="1" si="2323"/>
        <v>8207085.7136319866</v>
      </c>
      <c r="AF2385" s="2">
        <f t="shared" ca="1" si="2324"/>
        <v>993549.02445608948</v>
      </c>
      <c r="AG2385" s="2">
        <f t="shared" ca="1" si="2325"/>
        <v>1052238.5227505895</v>
      </c>
      <c r="AH2385" s="2">
        <f t="shared" ca="1" si="2326"/>
        <v>1114394.8426364504</v>
      </c>
      <c r="AI2385" s="2">
        <f t="shared" ca="1" si="2327"/>
        <v>1180222.7712100968</v>
      </c>
      <c r="AJ2385" s="2">
        <f t="shared" ca="1" si="2328"/>
        <v>1249939.1924566322</v>
      </c>
      <c r="AK2385" s="2">
        <f t="shared" ca="1" si="2329"/>
        <v>0</v>
      </c>
      <c r="AL2385" s="2">
        <f t="shared" ca="1" si="2330"/>
        <v>29344.749147249982</v>
      </c>
      <c r="AM2385" s="2">
        <f t="shared" ca="1" si="2331"/>
        <v>31078.159942930492</v>
      </c>
      <c r="AN2385" s="2">
        <f t="shared" ca="1" si="2332"/>
        <v>32913.964286823197</v>
      </c>
      <c r="AO2385" s="2">
        <f t="shared" ca="1" si="2333"/>
        <v>34858.210623267667</v>
      </c>
      <c r="AP2385" s="2">
        <f t="shared" ca="1" si="2334"/>
        <v>2235003.3099035448</v>
      </c>
      <c r="AQ2385" s="2">
        <f t="shared" ca="1" si="2335"/>
        <v>814946.84939460375</v>
      </c>
      <c r="AR2385" s="2">
        <f t="shared" ca="1" si="2336"/>
        <v>941653.35160351417</v>
      </c>
      <c r="AS2385" s="2">
        <f t="shared" ca="1" si="2337"/>
        <v>1031603.2972415902</v>
      </c>
      <c r="AT2385" s="2">
        <f t="shared" ca="1" si="2338"/>
        <v>1126866.6366339466</v>
      </c>
      <c r="AU2385" s="2">
        <f t="shared" ca="1" si="2339"/>
        <v>1227757.2349306706</v>
      </c>
      <c r="AV2385" s="2">
        <f t="shared" ca="1" si="2340"/>
        <v>2319464.1098154108</v>
      </c>
      <c r="AW2385" s="2">
        <f t="shared" ca="1" si="2341"/>
        <v>2650745.5592627511</v>
      </c>
      <c r="AX2385" s="2">
        <f t="shared" ca="1" si="2342"/>
        <v>2905023.5322062108</v>
      </c>
      <c r="AY2385" s="2">
        <f t="shared" ca="1" si="2343"/>
        <v>3174321.8476713332</v>
      </c>
      <c r="AZ2385" s="2">
        <f t="shared" ca="1" si="2344"/>
        <v>3459527.765717871</v>
      </c>
      <c r="BA2385" s="2">
        <f t="shared" ca="1" si="2345"/>
        <v>55505060.591693841</v>
      </c>
      <c r="BB2385" s="2">
        <f t="shared" ca="1" si="2346"/>
        <v>1110101.2118338768</v>
      </c>
      <c r="BC2385" s="2">
        <f t="shared" ca="1" si="2347"/>
        <v>29561589.269820578</v>
      </c>
      <c r="BD2385" s="2">
        <f t="shared" ca="1" si="2348"/>
        <v>-18090303.827944566</v>
      </c>
      <c r="BE2385" s="2">
        <f t="shared" ca="1" si="2349"/>
        <v>2319464.1098154108</v>
      </c>
      <c r="BF2385" s="2">
        <f t="shared" ca="1" si="2350"/>
        <v>2650745.5592627511</v>
      </c>
      <c r="BG2385" s="2">
        <f t="shared" ca="1" si="2351"/>
        <v>2905023.5322062108</v>
      </c>
      <c r="BH2385" s="2">
        <f t="shared" ca="1" si="2352"/>
        <v>3174321.8476713332</v>
      </c>
      <c r="BI2385" s="2">
        <f t="shared" ca="1" si="2353"/>
        <v>33021117.03553845</v>
      </c>
      <c r="BJ2385" s="2">
        <f t="shared" ca="1" si="2354"/>
        <v>0.23375210330230178</v>
      </c>
      <c r="BK2385" s="2">
        <f t="shared" ca="1" si="2355"/>
        <v>8915950.3032142669</v>
      </c>
    </row>
    <row r="2386" spans="1:63" x14ac:dyDescent="0.3">
      <c r="A2386" s="2">
        <v>2385</v>
      </c>
      <c r="B2386" s="2">
        <f t="shared" ca="1" si="2294"/>
        <v>0.99252192498824687</v>
      </c>
      <c r="C2386" s="2">
        <f t="shared" ca="1" si="2295"/>
        <v>7.8777046606631869</v>
      </c>
      <c r="D2386" s="2">
        <f t="shared" ca="1" si="2296"/>
        <v>0.41375619020197651</v>
      </c>
      <c r="E2386" s="2">
        <f t="shared" ca="1" si="2297"/>
        <v>7.4096770747930023</v>
      </c>
      <c r="F2386" s="2">
        <f t="shared" ca="1" si="2298"/>
        <v>0.57014915033696612</v>
      </c>
      <c r="G2386" s="2">
        <f t="shared" ca="1" si="2299"/>
        <v>4.5302617074277643E-2</v>
      </c>
      <c r="H2386" s="2">
        <f t="shared" ca="1" si="2300"/>
        <v>4.5302617074277643E-2</v>
      </c>
      <c r="I2386" s="2">
        <f t="shared" ca="1" si="2301"/>
        <v>0.62583407435456873</v>
      </c>
      <c r="J2386" s="2">
        <f t="shared" ca="1" si="2302"/>
        <v>1.1604198638449236E-2</v>
      </c>
      <c r="K2386" s="2">
        <f t="shared" ca="1" si="2303"/>
        <v>1.1604198638449236E-2</v>
      </c>
      <c r="L2386" s="2">
        <f t="shared" ca="1" si="2304"/>
        <v>0.61407702334692693</v>
      </c>
      <c r="M2386" s="2">
        <f t="shared" ca="1" si="2305"/>
        <v>5.7992231528201923E-3</v>
      </c>
      <c r="N2386" s="2">
        <f t="shared" ca="1" si="2306"/>
        <v>5.7992231528201923E-3</v>
      </c>
      <c r="O2386" s="2">
        <f t="shared" si="2307"/>
        <v>6000000</v>
      </c>
      <c r="P2386" s="2">
        <f t="shared" ca="1" si="2308"/>
        <v>47266227.963979118</v>
      </c>
      <c r="Q2386" s="2">
        <f t="shared" ca="1" si="2309"/>
        <v>1181655.6990994781</v>
      </c>
      <c r="R2386" s="2">
        <f t="shared" ca="1" si="2310"/>
        <v>28359736.778387468</v>
      </c>
      <c r="S2386" s="2">
        <f t="shared" ca="1" si="2311"/>
        <v>18906491.185591649</v>
      </c>
      <c r="T2386" s="2">
        <f t="shared" ca="1" si="2312"/>
        <v>50289961.157641008</v>
      </c>
      <c r="U2386" s="2">
        <f t="shared" ca="1" si="2313"/>
        <v>52568228.010645911</v>
      </c>
      <c r="V2386" s="2">
        <f t="shared" ca="1" si="2314"/>
        <v>54949706.31448552</v>
      </c>
      <c r="W2386" s="2">
        <f t="shared" ca="1" si="2315"/>
        <v>57439071.817994677</v>
      </c>
      <c r="X2386" s="2">
        <f t="shared" ca="1" si="2316"/>
        <v>60041212.093667224</v>
      </c>
      <c r="Y2386" s="2">
        <f t="shared" ca="1" si="2317"/>
        <v>0.12580209931922462</v>
      </c>
      <c r="Z2386" s="2">
        <f t="shared" ca="1" si="2318"/>
        <v>0.12812293904691446</v>
      </c>
      <c r="AA2386" s="2">
        <f t="shared" ca="1" si="2319"/>
        <v>6326582.6883135028</v>
      </c>
      <c r="AB2386" s="2">
        <f t="shared" ca="1" si="2320"/>
        <v>6735195.8732122872</v>
      </c>
      <c r="AC2386" s="2">
        <f t="shared" ca="1" si="2321"/>
        <v>7040317.8727766788</v>
      </c>
      <c r="AD2386" s="2">
        <f t="shared" ca="1" si="2322"/>
        <v>7359262.6974482741</v>
      </c>
      <c r="AE2386" s="2">
        <f t="shared" ca="1" si="2323"/>
        <v>7692656.5573797897</v>
      </c>
      <c r="AF2386" s="2">
        <f t="shared" ca="1" si="2324"/>
        <v>1005799.2231528201</v>
      </c>
      <c r="AG2386" s="2">
        <f t="shared" ca="1" si="2325"/>
        <v>1051364.5602129183</v>
      </c>
      <c r="AH2386" s="2">
        <f t="shared" ca="1" si="2326"/>
        <v>1098994.1262897104</v>
      </c>
      <c r="AI2386" s="2">
        <f t="shared" ca="1" si="2327"/>
        <v>1148781.4363598935</v>
      </c>
      <c r="AJ2386" s="2">
        <f t="shared" ca="1" si="2328"/>
        <v>1200824.2418733444</v>
      </c>
      <c r="AK2386" s="2">
        <f t="shared" ca="1" si="2329"/>
        <v>0</v>
      </c>
      <c r="AL2386" s="2">
        <f t="shared" ca="1" si="2330"/>
        <v>22782.668530049028</v>
      </c>
      <c r="AM2386" s="2">
        <f t="shared" ca="1" si="2331"/>
        <v>23814.78303839609</v>
      </c>
      <c r="AN2386" s="2">
        <f t="shared" ca="1" si="2332"/>
        <v>24893.655035091564</v>
      </c>
      <c r="AO2386" s="2">
        <f t="shared" ca="1" si="2333"/>
        <v>26021.402756725474</v>
      </c>
      <c r="AP2386" s="2">
        <f t="shared" ca="1" si="2334"/>
        <v>2552376.3100548722</v>
      </c>
      <c r="AQ2386" s="2">
        <f t="shared" ca="1" si="2335"/>
        <v>719785.86032751075</v>
      </c>
      <c r="AR2386" s="2">
        <f t="shared" ca="1" si="2336"/>
        <v>814178.30076556909</v>
      </c>
      <c r="AS2386" s="2">
        <f t="shared" ca="1" si="2337"/>
        <v>881126.33347234502</v>
      </c>
      <c r="AT2386" s="2">
        <f t="shared" ca="1" si="2338"/>
        <v>951107.28726871219</v>
      </c>
      <c r="AU2386" s="2">
        <f t="shared" ca="1" si="2339"/>
        <v>1024258.561417409</v>
      </c>
      <c r="AV2386" s="2">
        <f t="shared" ca="1" si="2340"/>
        <v>2048621.2947782995</v>
      </c>
      <c r="AW2386" s="2">
        <f t="shared" ca="1" si="2341"/>
        <v>2294494.0336488783</v>
      </c>
      <c r="AX2386" s="2">
        <f t="shared" ca="1" si="2342"/>
        <v>2484006.3199213548</v>
      </c>
      <c r="AY2386" s="2">
        <f t="shared" ca="1" si="2343"/>
        <v>2682104.0087297047</v>
      </c>
      <c r="AZ2386" s="2">
        <f t="shared" ca="1" si="2344"/>
        <v>2889176.0412774384</v>
      </c>
      <c r="BA2386" s="2">
        <f t="shared" ca="1" si="2345"/>
        <v>57000100.937473089</v>
      </c>
      <c r="BB2386" s="2">
        <f t="shared" ca="1" si="2346"/>
        <v>1140002.0187494617</v>
      </c>
      <c r="BC2386" s="2">
        <f t="shared" ca="1" si="2347"/>
        <v>27500362.14033616</v>
      </c>
      <c r="BD2386" s="2">
        <f t="shared" ca="1" si="2348"/>
        <v>-20588146.884691127</v>
      </c>
      <c r="BE2386" s="2">
        <f t="shared" ca="1" si="2349"/>
        <v>2048621.2947782995</v>
      </c>
      <c r="BF2386" s="2">
        <f t="shared" ca="1" si="2350"/>
        <v>2294494.0336488783</v>
      </c>
      <c r="BG2386" s="2">
        <f t="shared" ca="1" si="2351"/>
        <v>2484006.3199213548</v>
      </c>
      <c r="BH2386" s="2">
        <f t="shared" ca="1" si="2352"/>
        <v>2682104.0087297047</v>
      </c>
      <c r="BI2386" s="2">
        <f t="shared" ca="1" si="2353"/>
        <v>30389538.181613598</v>
      </c>
      <c r="BJ2386" s="2">
        <f t="shared" ca="1" si="2354"/>
        <v>0.16566049316924381</v>
      </c>
      <c r="BK2386" s="2">
        <f t="shared" ca="1" si="2355"/>
        <v>3786568.1838699728</v>
      </c>
    </row>
    <row r="2387" spans="1:63" x14ac:dyDescent="0.3">
      <c r="A2387" s="2">
        <v>2386</v>
      </c>
      <c r="B2387" s="2">
        <f t="shared" ca="1" si="2294"/>
        <v>0.71416809686154248</v>
      </c>
      <c r="C2387" s="2">
        <f t="shared" ca="1" si="2295"/>
        <v>7.2439154767640623</v>
      </c>
      <c r="D2387" s="2">
        <f t="shared" ca="1" si="2296"/>
        <v>0.17176140632354386</v>
      </c>
      <c r="E2387" s="2">
        <f t="shared" ca="1" si="2297"/>
        <v>7.0861081919296875</v>
      </c>
      <c r="F2387" s="2">
        <f t="shared" ca="1" si="2298"/>
        <v>0.5911698787686237</v>
      </c>
      <c r="G2387" s="2">
        <f t="shared" ca="1" si="2299"/>
        <v>4.6916661123001357E-2</v>
      </c>
      <c r="H2387" s="2">
        <f t="shared" ca="1" si="2300"/>
        <v>4.6916661123001357E-2</v>
      </c>
      <c r="I2387" s="2">
        <f t="shared" ca="1" si="2301"/>
        <v>9.9499034651886475E-3</v>
      </c>
      <c r="J2387" s="2">
        <f t="shared" ca="1" si="2302"/>
        <v>-1.6411582028802649E-3</v>
      </c>
      <c r="K2387" s="2">
        <f t="shared" ca="1" si="2303"/>
        <v>0</v>
      </c>
      <c r="L2387" s="2">
        <f t="shared" ca="1" si="2304"/>
        <v>3.0200271606191431E-2</v>
      </c>
      <c r="M2387" s="2">
        <f t="shared" ca="1" si="2305"/>
        <v>-3.7557167322937547E-2</v>
      </c>
      <c r="N2387" s="2">
        <f t="shared" ca="1" si="2306"/>
        <v>-3.7557167322937547E-2</v>
      </c>
      <c r="O2387" s="2">
        <f t="shared" si="2307"/>
        <v>6000000</v>
      </c>
      <c r="P2387" s="2">
        <f t="shared" ca="1" si="2308"/>
        <v>43463492.860584371</v>
      </c>
      <c r="Q2387" s="2">
        <f t="shared" ca="1" si="2309"/>
        <v>1086587.3215146093</v>
      </c>
      <c r="R2387" s="2">
        <f t="shared" ca="1" si="2310"/>
        <v>26078095.716350622</v>
      </c>
      <c r="S2387" s="2">
        <f t="shared" ca="1" si="2311"/>
        <v>17385397.144233748</v>
      </c>
      <c r="T2387" s="2">
        <f t="shared" ca="1" si="2312"/>
        <v>48122141.633853123</v>
      </c>
      <c r="U2387" s="2">
        <f t="shared" ca="1" si="2313"/>
        <v>50379871.845401689</v>
      </c>
      <c r="V2387" s="2">
        <f t="shared" ca="1" si="2314"/>
        <v>52743527.220192641</v>
      </c>
      <c r="W2387" s="2">
        <f t="shared" ca="1" si="2315"/>
        <v>55218077.413214222</v>
      </c>
      <c r="X2387" s="2">
        <f t="shared" ca="1" si="2316"/>
        <v>57808725.239073649</v>
      </c>
      <c r="Y2387" s="2">
        <f t="shared" ca="1" si="2317"/>
        <v>0.12</v>
      </c>
      <c r="Z2387" s="2">
        <f t="shared" ca="1" si="2318"/>
        <v>0.12</v>
      </c>
      <c r="AA2387" s="2">
        <f t="shared" ca="1" si="2319"/>
        <v>5774656.9960623747</v>
      </c>
      <c r="AB2387" s="2">
        <f t="shared" ca="1" si="2320"/>
        <v>6045584.6214482021</v>
      </c>
      <c r="AC2387" s="2">
        <f t="shared" ca="1" si="2321"/>
        <v>6329223.2664231164</v>
      </c>
      <c r="AD2387" s="2">
        <f t="shared" ca="1" si="2322"/>
        <v>6626169.2895857068</v>
      </c>
      <c r="AE2387" s="2">
        <f t="shared" ca="1" si="2323"/>
        <v>6937047.0286888378</v>
      </c>
      <c r="AF2387" s="2">
        <f t="shared" ca="1" si="2324"/>
        <v>962442.83267706248</v>
      </c>
      <c r="AG2387" s="2">
        <f t="shared" ca="1" si="2325"/>
        <v>1007597.4369080338</v>
      </c>
      <c r="AH2387" s="2">
        <f t="shared" ca="1" si="2326"/>
        <v>1054870.5444038529</v>
      </c>
      <c r="AI2387" s="2">
        <f t="shared" ca="1" si="2327"/>
        <v>1104361.5482642844</v>
      </c>
      <c r="AJ2387" s="2">
        <f t="shared" ca="1" si="2328"/>
        <v>1156174.504781473</v>
      </c>
      <c r="AK2387" s="2">
        <f t="shared" ca="1" si="2329"/>
        <v>0</v>
      </c>
      <c r="AL2387" s="2">
        <f t="shared" ca="1" si="2330"/>
        <v>22577.302115485669</v>
      </c>
      <c r="AM2387" s="2">
        <f t="shared" ca="1" si="2331"/>
        <v>23636.553747909518</v>
      </c>
      <c r="AN2387" s="2">
        <f t="shared" ca="1" si="2332"/>
        <v>24745.501930215807</v>
      </c>
      <c r="AO2387" s="2">
        <f t="shared" ca="1" si="2333"/>
        <v>25906.478258594274</v>
      </c>
      <c r="AP2387" s="2">
        <f t="shared" ca="1" si="2334"/>
        <v>2347028.6144715562</v>
      </c>
      <c r="AQ2387" s="2">
        <f t="shared" ca="1" si="2335"/>
        <v>640948.24271757656</v>
      </c>
      <c r="AR2387" s="2">
        <f t="shared" ca="1" si="2336"/>
        <v>699649.22821783915</v>
      </c>
      <c r="AS2387" s="2">
        <f t="shared" ca="1" si="2337"/>
        <v>761104.26796240394</v>
      </c>
      <c r="AT2387" s="2">
        <f t="shared" ca="1" si="2338"/>
        <v>825442.57298096514</v>
      </c>
      <c r="AU2387" s="2">
        <f t="shared" ca="1" si="2339"/>
        <v>892799.4164533104</v>
      </c>
      <c r="AV2387" s="2">
        <f t="shared" ca="1" si="2340"/>
        <v>1824237.3061961792</v>
      </c>
      <c r="AW2387" s="2">
        <f t="shared" ca="1" si="2341"/>
        <v>1968732.039735287</v>
      </c>
      <c r="AX2387" s="2">
        <f t="shared" ca="1" si="2342"/>
        <v>2142583.2858373947</v>
      </c>
      <c r="AY2387" s="2">
        <f t="shared" ca="1" si="2343"/>
        <v>2324591.0519386851</v>
      </c>
      <c r="AZ2387" s="2">
        <f t="shared" ca="1" si="2344"/>
        <v>2515138.0147239049</v>
      </c>
      <c r="BA2387" s="2">
        <f t="shared" ca="1" si="2345"/>
        <v>49156665.777793474</v>
      </c>
      <c r="BB2387" s="2">
        <f t="shared" ca="1" si="2346"/>
        <v>983133.31555586949</v>
      </c>
      <c r="BC2387" s="2">
        <f t="shared" ca="1" si="2347"/>
        <v>22095436.745886981</v>
      </c>
      <c r="BD2387" s="2">
        <f t="shared" ca="1" si="2348"/>
        <v>-18971984.465748359</v>
      </c>
      <c r="BE2387" s="2">
        <f t="shared" ca="1" si="2349"/>
        <v>1824237.3061961792</v>
      </c>
      <c r="BF2387" s="2">
        <f t="shared" ca="1" si="2350"/>
        <v>1968732.039735287</v>
      </c>
      <c r="BG2387" s="2">
        <f t="shared" ca="1" si="2351"/>
        <v>2142583.2858373947</v>
      </c>
      <c r="BH2387" s="2">
        <f t="shared" ca="1" si="2352"/>
        <v>2324591.0519386851</v>
      </c>
      <c r="BI2387" s="2">
        <f t="shared" ca="1" si="2353"/>
        <v>24610574.760610886</v>
      </c>
      <c r="BJ2387" s="2">
        <f t="shared" ca="1" si="2354"/>
        <v>0.13636182550193898</v>
      </c>
      <c r="BK2387" s="2">
        <f t="shared" ca="1" si="2355"/>
        <v>1193329.1263711788</v>
      </c>
    </row>
    <row r="2388" spans="1:63" x14ac:dyDescent="0.3">
      <c r="A2388" s="2">
        <v>2387</v>
      </c>
      <c r="B2388" s="2">
        <f t="shared" ca="1" si="2294"/>
        <v>0.48820121824711227</v>
      </c>
      <c r="C2388" s="2">
        <f t="shared" ca="1" si="2295"/>
        <v>6.9881307790440621</v>
      </c>
      <c r="D2388" s="2">
        <f t="shared" ca="1" si="2296"/>
        <v>0.64182194791767244</v>
      </c>
      <c r="E2388" s="2">
        <f t="shared" ca="1" si="2297"/>
        <v>7.6536217723944837</v>
      </c>
      <c r="F2388" s="2">
        <f t="shared" ca="1" si="2298"/>
        <v>0.47721589252988317</v>
      </c>
      <c r="G2388" s="2">
        <f t="shared" ca="1" si="2299"/>
        <v>3.8285728896097708E-2</v>
      </c>
      <c r="H2388" s="2">
        <f t="shared" ca="1" si="2300"/>
        <v>3.8285728896097708E-2</v>
      </c>
      <c r="I2388" s="2">
        <f t="shared" ca="1" si="2301"/>
        <v>0.50052566791610076</v>
      </c>
      <c r="J2388" s="2">
        <f t="shared" ca="1" si="2302"/>
        <v>1.0006588272214264E-2</v>
      </c>
      <c r="K2388" s="2">
        <f t="shared" ca="1" si="2303"/>
        <v>1.0006588272214264E-2</v>
      </c>
      <c r="L2388" s="2">
        <f t="shared" ca="1" si="2304"/>
        <v>0.89675530260108238</v>
      </c>
      <c r="M2388" s="2">
        <f t="shared" ca="1" si="2305"/>
        <v>2.5265554149357623E-2</v>
      </c>
      <c r="N2388" s="2">
        <f t="shared" ca="1" si="2306"/>
        <v>2.5265554149357623E-2</v>
      </c>
      <c r="O2388" s="2">
        <f t="shared" si="2307"/>
        <v>6000000</v>
      </c>
      <c r="P2388" s="2">
        <f t="shared" ca="1" si="2308"/>
        <v>41928784.674264371</v>
      </c>
      <c r="Q2388" s="2">
        <f t="shared" ca="1" si="2309"/>
        <v>1048219.6168566094</v>
      </c>
      <c r="R2388" s="2">
        <f t="shared" ca="1" si="2310"/>
        <v>25157270.804558624</v>
      </c>
      <c r="S2388" s="2">
        <f t="shared" ca="1" si="2311"/>
        <v>16771513.86970575</v>
      </c>
      <c r="T2388" s="2">
        <f t="shared" ca="1" si="2312"/>
        <v>51263277.707467884</v>
      </c>
      <c r="U2388" s="2">
        <f t="shared" ca="1" si="2313"/>
        <v>53225929.660101362</v>
      </c>
      <c r="V2388" s="2">
        <f t="shared" ca="1" si="2314"/>
        <v>55263723.173310764</v>
      </c>
      <c r="W2388" s="2">
        <f t="shared" ca="1" si="2315"/>
        <v>57379535.09651313</v>
      </c>
      <c r="X2388" s="2">
        <f t="shared" ca="1" si="2316"/>
        <v>59576352.42140235</v>
      </c>
      <c r="Y2388" s="2">
        <f t="shared" ca="1" si="2317"/>
        <v>0.12500329413610714</v>
      </c>
      <c r="Z2388" s="2">
        <f t="shared" ca="1" si="2318"/>
        <v>0.12700461179054998</v>
      </c>
      <c r="AA2388" s="2">
        <f t="shared" ca="1" si="2319"/>
        <v>6408078.5816475516</v>
      </c>
      <c r="AB2388" s="2">
        <f t="shared" ca="1" si="2320"/>
        <v>6759938.5336722927</v>
      </c>
      <c r="AC2388" s="2">
        <f t="shared" ca="1" si="2321"/>
        <v>7018747.7077267542</v>
      </c>
      <c r="AD2388" s="2">
        <f t="shared" ca="1" si="2322"/>
        <v>7287465.5796548873</v>
      </c>
      <c r="AE2388" s="2">
        <f t="shared" ca="1" si="2323"/>
        <v>7566471.5111771971</v>
      </c>
      <c r="AF2388" s="2">
        <f t="shared" ca="1" si="2324"/>
        <v>1025265.5541493577</v>
      </c>
      <c r="AG2388" s="2">
        <f t="shared" ca="1" si="2325"/>
        <v>1064518.5932020273</v>
      </c>
      <c r="AH2388" s="2">
        <f t="shared" ca="1" si="2326"/>
        <v>1105274.4634662154</v>
      </c>
      <c r="AI2388" s="2">
        <f t="shared" ca="1" si="2327"/>
        <v>1147590.7019302626</v>
      </c>
      <c r="AJ2388" s="2">
        <f t="shared" ca="1" si="2328"/>
        <v>1191527.048428047</v>
      </c>
      <c r="AK2388" s="2">
        <f t="shared" ca="1" si="2329"/>
        <v>0</v>
      </c>
      <c r="AL2388" s="2">
        <f t="shared" ca="1" si="2330"/>
        <v>19626.519526334778</v>
      </c>
      <c r="AM2388" s="2">
        <f t="shared" ca="1" si="2331"/>
        <v>20377.935132094026</v>
      </c>
      <c r="AN2388" s="2">
        <f t="shared" ca="1" si="2332"/>
        <v>21158.119232023655</v>
      </c>
      <c r="AO2388" s="2">
        <f t="shared" ca="1" si="2333"/>
        <v>21968.173248892203</v>
      </c>
      <c r="AP2388" s="2">
        <f t="shared" ca="1" si="2334"/>
        <v>2264154.372410276</v>
      </c>
      <c r="AQ2388" s="2">
        <f t="shared" ca="1" si="2335"/>
        <v>810851.25032285869</v>
      </c>
      <c r="AR2388" s="2">
        <f t="shared" ca="1" si="2336"/>
        <v>892129.04769559728</v>
      </c>
      <c r="AS2388" s="2">
        <f t="shared" ca="1" si="2337"/>
        <v>948822.90668106824</v>
      </c>
      <c r="AT2388" s="2">
        <f t="shared" ca="1" si="2338"/>
        <v>1007687.3313817309</v>
      </c>
      <c r="AU2388" s="2">
        <f t="shared" ca="1" si="2339"/>
        <v>1068805.4234881073</v>
      </c>
      <c r="AV2388" s="2">
        <f t="shared" ca="1" si="2340"/>
        <v>2307807.4047650592</v>
      </c>
      <c r="AW2388" s="2">
        <f t="shared" ca="1" si="2341"/>
        <v>2519510.0008380571</v>
      </c>
      <c r="AX2388" s="2">
        <f t="shared" ca="1" si="2342"/>
        <v>2680118.0300371004</v>
      </c>
      <c r="AY2388" s="2">
        <f t="shared" ca="1" si="2343"/>
        <v>2846875.0547005944</v>
      </c>
      <c r="AZ2388" s="2">
        <f t="shared" ca="1" si="2344"/>
        <v>3020016.4936018735</v>
      </c>
      <c r="BA2388" s="2">
        <f t="shared" ca="1" si="2345"/>
        <v>57910911.098148383</v>
      </c>
      <c r="BB2388" s="2">
        <f t="shared" ca="1" si="2346"/>
        <v>1158218.2219629677</v>
      </c>
      <c r="BC2388" s="2">
        <f t="shared" ca="1" si="2347"/>
        <v>31595422.071626794</v>
      </c>
      <c r="BD2388" s="2">
        <f t="shared" ca="1" si="2348"/>
        <v>-18319733.48656236</v>
      </c>
      <c r="BE2388" s="2">
        <f t="shared" ca="1" si="2349"/>
        <v>2307807.4047650592</v>
      </c>
      <c r="BF2388" s="2">
        <f t="shared" ca="1" si="2350"/>
        <v>2519510.0008380571</v>
      </c>
      <c r="BG2388" s="2">
        <f t="shared" ca="1" si="2351"/>
        <v>2680118.0300371004</v>
      </c>
      <c r="BH2388" s="2">
        <f t="shared" ca="1" si="2352"/>
        <v>2846875.0547005944</v>
      </c>
      <c r="BI2388" s="2">
        <f t="shared" ca="1" si="2353"/>
        <v>34615438.565228671</v>
      </c>
      <c r="BJ2388" s="2">
        <f t="shared" ca="1" si="2354"/>
        <v>0.23328431078970646</v>
      </c>
      <c r="BK2388" s="2">
        <f t="shared" ca="1" si="2355"/>
        <v>9107971.8904164024</v>
      </c>
    </row>
    <row r="2389" spans="1:63" x14ac:dyDescent="0.3">
      <c r="A2389" s="2">
        <v>2388</v>
      </c>
      <c r="B2389" s="2">
        <f t="shared" ca="1" si="2294"/>
        <v>0.62302363959443241</v>
      </c>
      <c r="C2389" s="2">
        <f t="shared" ca="1" si="2295"/>
        <v>7.1316954907343071</v>
      </c>
      <c r="D2389" s="2">
        <f t="shared" ca="1" si="2296"/>
        <v>0.23176975335669603</v>
      </c>
      <c r="E2389" s="2">
        <f t="shared" ca="1" si="2297"/>
        <v>7.1808373570195689</v>
      </c>
      <c r="F2389" s="2">
        <f t="shared" ca="1" si="2298"/>
        <v>0.29831550320301792</v>
      </c>
      <c r="G2389" s="2">
        <f t="shared" ca="1" si="2299"/>
        <v>2.4122455481609423E-2</v>
      </c>
      <c r="H2389" s="2">
        <f t="shared" ca="1" si="2300"/>
        <v>2.4122455481609423E-2</v>
      </c>
      <c r="I2389" s="2">
        <f t="shared" ca="1" si="2301"/>
        <v>8.2347507138657128E-2</v>
      </c>
      <c r="J2389" s="2">
        <f t="shared" ca="1" si="2302"/>
        <v>3.0527345207528598E-3</v>
      </c>
      <c r="K2389" s="2">
        <f t="shared" ca="1" si="2303"/>
        <v>3.0527345207528598E-3</v>
      </c>
      <c r="L2389" s="2">
        <f t="shared" ca="1" si="2304"/>
        <v>0.19261995659730535</v>
      </c>
      <c r="M2389" s="2">
        <f t="shared" ca="1" si="2305"/>
        <v>-1.7365642207495542E-2</v>
      </c>
      <c r="N2389" s="2">
        <f t="shared" ca="1" si="2306"/>
        <v>-1.7365642207495542E-2</v>
      </c>
      <c r="O2389" s="2">
        <f t="shared" si="2307"/>
        <v>6000000</v>
      </c>
      <c r="P2389" s="2">
        <f t="shared" ca="1" si="2308"/>
        <v>42790172.944405839</v>
      </c>
      <c r="Q2389" s="2">
        <f t="shared" ca="1" si="2309"/>
        <v>1069754.3236101461</v>
      </c>
      <c r="R2389" s="2">
        <f t="shared" ca="1" si="2310"/>
        <v>25674103.766643502</v>
      </c>
      <c r="S2389" s="2">
        <f t="shared" ca="1" si="2311"/>
        <v>17116069.177762337</v>
      </c>
      <c r="T2389" s="2">
        <f t="shared" ca="1" si="2312"/>
        <v>49131717.889625221</v>
      </c>
      <c r="U2389" s="2">
        <f t="shared" ca="1" si="2313"/>
        <v>50316895.567152701</v>
      </c>
      <c r="V2389" s="2">
        <f t="shared" ca="1" si="2314"/>
        <v>51530662.640444137</v>
      </c>
      <c r="W2389" s="2">
        <f t="shared" ca="1" si="2315"/>
        <v>52773708.755926087</v>
      </c>
      <c r="X2389" s="2">
        <f t="shared" ca="1" si="2316"/>
        <v>54046740.195990339</v>
      </c>
      <c r="Y2389" s="2">
        <f t="shared" ca="1" si="2317"/>
        <v>0.12152636726037643</v>
      </c>
      <c r="Z2389" s="2">
        <f t="shared" ca="1" si="2318"/>
        <v>0.122136914164527</v>
      </c>
      <c r="AA2389" s="2">
        <f t="shared" ca="1" si="2319"/>
        <v>5970799.1923878016</v>
      </c>
      <c r="AB2389" s="2">
        <f t="shared" ca="1" si="2320"/>
        <v>6145550.3549107984</v>
      </c>
      <c r="AC2389" s="2">
        <f t="shared" ca="1" si="2321"/>
        <v>6293796.1197571242</v>
      </c>
      <c r="AD2389" s="2">
        <f t="shared" ca="1" si="2322"/>
        <v>6445617.9364662915</v>
      </c>
      <c r="AE2389" s="2">
        <f t="shared" ca="1" si="2323"/>
        <v>6601102.068190163</v>
      </c>
      <c r="AF2389" s="2">
        <f t="shared" ca="1" si="2324"/>
        <v>982634.35779250448</v>
      </c>
      <c r="AG2389" s="2">
        <f t="shared" ca="1" si="2325"/>
        <v>1006337.911343054</v>
      </c>
      <c r="AH2389" s="2">
        <f t="shared" ca="1" si="2326"/>
        <v>1030613.2528088827</v>
      </c>
      <c r="AI2389" s="2">
        <f t="shared" ca="1" si="2327"/>
        <v>1055474.1751185218</v>
      </c>
      <c r="AJ2389" s="2">
        <f t="shared" ca="1" si="2328"/>
        <v>1080934.8039198068</v>
      </c>
      <c r="AK2389" s="2">
        <f t="shared" ca="1" si="2329"/>
        <v>0</v>
      </c>
      <c r="AL2389" s="2">
        <f t="shared" ca="1" si="2330"/>
        <v>11851.776775274799</v>
      </c>
      <c r="AM2389" s="2">
        <f t="shared" ca="1" si="2331"/>
        <v>12137.670732914359</v>
      </c>
      <c r="AN2389" s="2">
        <f t="shared" ca="1" si="2332"/>
        <v>12430.461154819504</v>
      </c>
      <c r="AO2389" s="2">
        <f t="shared" ca="1" si="2333"/>
        <v>12730.314400642514</v>
      </c>
      <c r="AP2389" s="2">
        <f t="shared" ca="1" si="2334"/>
        <v>2310669.3389979149</v>
      </c>
      <c r="AQ2389" s="2">
        <f t="shared" ca="1" si="2335"/>
        <v>696148.82885531953</v>
      </c>
      <c r="AR2389" s="2">
        <f t="shared" ca="1" si="2336"/>
        <v>735421.20718815573</v>
      </c>
      <c r="AS2389" s="2">
        <f t="shared" ca="1" si="2337"/>
        <v>767653.51726708491</v>
      </c>
      <c r="AT2389" s="2">
        <f t="shared" ca="1" si="2338"/>
        <v>800663.34981096233</v>
      </c>
      <c r="AU2389" s="2">
        <f t="shared" ca="1" si="2339"/>
        <v>834469.46057083469</v>
      </c>
      <c r="AV2389" s="2">
        <f t="shared" ca="1" si="2340"/>
        <v>1981346.6667420627</v>
      </c>
      <c r="AW2389" s="2">
        <f t="shared" ca="1" si="2341"/>
        <v>2081270.1206063996</v>
      </c>
      <c r="AX2389" s="2">
        <f t="shared" ca="1" si="2342"/>
        <v>2172722.3399503273</v>
      </c>
      <c r="AY2389" s="2">
        <f t="shared" ca="1" si="2343"/>
        <v>2266380.6113840728</v>
      </c>
      <c r="AZ2389" s="2">
        <f t="shared" ca="1" si="2344"/>
        <v>2362298.1503009642</v>
      </c>
      <c r="BA2389" s="2">
        <f t="shared" ca="1" si="2345"/>
        <v>47401440.328759059</v>
      </c>
      <c r="BB2389" s="2">
        <f t="shared" ca="1" si="2346"/>
        <v>948028.8065751812</v>
      </c>
      <c r="BC2389" s="2">
        <f t="shared" ca="1" si="2347"/>
        <v>20779307.755540375</v>
      </c>
      <c r="BD2389" s="2">
        <f t="shared" ca="1" si="2348"/>
        <v>-18685823.501372483</v>
      </c>
      <c r="BE2389" s="2">
        <f t="shared" ca="1" si="2349"/>
        <v>1981346.6667420627</v>
      </c>
      <c r="BF2389" s="2">
        <f t="shared" ca="1" si="2350"/>
        <v>2081270.1206063996</v>
      </c>
      <c r="BG2389" s="2">
        <f t="shared" ca="1" si="2351"/>
        <v>2172722.3399503273</v>
      </c>
      <c r="BH2389" s="2">
        <f t="shared" ca="1" si="2352"/>
        <v>2266380.6113840728</v>
      </c>
      <c r="BI2389" s="2">
        <f t="shared" ca="1" si="2353"/>
        <v>23141605.905841339</v>
      </c>
      <c r="BJ2389" s="2">
        <f t="shared" ca="1" si="2354"/>
        <v>0.13224180012336384</v>
      </c>
      <c r="BK2389" s="2">
        <f t="shared" ca="1" si="2355"/>
        <v>860407.19225252047</v>
      </c>
    </row>
    <row r="2390" spans="1:63" x14ac:dyDescent="0.3">
      <c r="A2390" s="2">
        <v>2389</v>
      </c>
      <c r="B2390" s="2">
        <f t="shared" ca="1" si="2294"/>
        <v>4.6918185599499118E-2</v>
      </c>
      <c r="C2390" s="2">
        <f t="shared" ca="1" si="2295"/>
        <v>6.3063272289545909</v>
      </c>
      <c r="D2390" s="2">
        <f t="shared" ca="1" si="2296"/>
        <v>1.1695967615556024E-2</v>
      </c>
      <c r="E2390" s="2">
        <f t="shared" ca="1" si="2297"/>
        <v>6.652944222614364</v>
      </c>
      <c r="F2390" s="2">
        <f t="shared" ca="1" si="2298"/>
        <v>0.96576174883999577</v>
      </c>
      <c r="G2390" s="2">
        <f t="shared" ca="1" si="2299"/>
        <v>9.4655746363580373E-2</v>
      </c>
      <c r="H2390" s="2">
        <f t="shared" ca="1" si="2300"/>
        <v>9.4655746363580373E-2</v>
      </c>
      <c r="I2390" s="2">
        <f t="shared" ca="1" si="2301"/>
        <v>0.99527115365314645</v>
      </c>
      <c r="J2390" s="2">
        <f t="shared" ca="1" si="2302"/>
        <v>2.2975254223194179E-2</v>
      </c>
      <c r="K2390" s="2">
        <f t="shared" ca="1" si="2303"/>
        <v>2.2975254223194179E-2</v>
      </c>
      <c r="L2390" s="2">
        <f t="shared" ca="1" si="2304"/>
        <v>0.37195630724131645</v>
      </c>
      <c r="M2390" s="2">
        <f t="shared" ca="1" si="2305"/>
        <v>-6.5335289878146697E-3</v>
      </c>
      <c r="N2390" s="2">
        <f t="shared" ca="1" si="2306"/>
        <v>-6.5335289878146697E-3</v>
      </c>
      <c r="O2390" s="2">
        <f t="shared" si="2307"/>
        <v>6000000</v>
      </c>
      <c r="P2390" s="2">
        <f t="shared" ca="1" si="2308"/>
        <v>37837963.373727545</v>
      </c>
      <c r="Q2390" s="2">
        <f t="shared" ca="1" si="2309"/>
        <v>945949.08434318868</v>
      </c>
      <c r="R2390" s="2">
        <f t="shared" ca="1" si="2310"/>
        <v>22702778.024236526</v>
      </c>
      <c r="S2390" s="2">
        <f t="shared" ca="1" si="2311"/>
        <v>15135185.349491019</v>
      </c>
      <c r="T2390" s="2">
        <f t="shared" ca="1" si="2312"/>
        <v>49673323.550609268</v>
      </c>
      <c r="U2390" s="2">
        <f t="shared" ca="1" si="2313"/>
        <v>54375189.065651804</v>
      </c>
      <c r="V2390" s="2">
        <f t="shared" ca="1" si="2314"/>
        <v>59522113.170321874</v>
      </c>
      <c r="W2390" s="2">
        <f t="shared" ca="1" si="2315"/>
        <v>65156223.217596188</v>
      </c>
      <c r="X2390" s="2">
        <f t="shared" ca="1" si="2316"/>
        <v>71323634.156489804</v>
      </c>
      <c r="Y2390" s="2">
        <f t="shared" ca="1" si="2317"/>
        <v>0.13148762711159709</v>
      </c>
      <c r="Z2390" s="2">
        <f t="shared" ca="1" si="2318"/>
        <v>0.13608267795623591</v>
      </c>
      <c r="AA2390" s="2">
        <f t="shared" ca="1" si="2319"/>
        <v>6531427.444416225</v>
      </c>
      <c r="AB2390" s="2">
        <f t="shared" ca="1" si="2320"/>
        <v>7399521.3424305348</v>
      </c>
      <c r="AC2390" s="2">
        <f t="shared" ca="1" si="2321"/>
        <v>8099928.5578315398</v>
      </c>
      <c r="AD2390" s="2">
        <f t="shared" ca="1" si="2322"/>
        <v>8866633.3409647625</v>
      </c>
      <c r="AE2390" s="2">
        <f t="shared" ca="1" si="2323"/>
        <v>9705911.1375859901</v>
      </c>
      <c r="AF2390" s="2">
        <f t="shared" ca="1" si="2324"/>
        <v>993466.47101218533</v>
      </c>
      <c r="AG2390" s="2">
        <f t="shared" ca="1" si="2325"/>
        <v>1087503.7813130361</v>
      </c>
      <c r="AH2390" s="2">
        <f t="shared" ca="1" si="2326"/>
        <v>1190442.2634064376</v>
      </c>
      <c r="AI2390" s="2">
        <f t="shared" ca="1" si="2327"/>
        <v>1303124.4643519239</v>
      </c>
      <c r="AJ2390" s="2">
        <f t="shared" ca="1" si="2328"/>
        <v>1426472.6831297961</v>
      </c>
      <c r="AK2390" s="2">
        <f t="shared" ca="1" si="2329"/>
        <v>0</v>
      </c>
      <c r="AL2390" s="2">
        <f t="shared" ca="1" si="2330"/>
        <v>47018.655150425358</v>
      </c>
      <c r="AM2390" s="2">
        <f t="shared" ca="1" si="2331"/>
        <v>51469.241046700699</v>
      </c>
      <c r="AN2390" s="2">
        <f t="shared" ca="1" si="2332"/>
        <v>56341.100472743143</v>
      </c>
      <c r="AO2390" s="2">
        <f t="shared" ca="1" si="2333"/>
        <v>61674.109388936165</v>
      </c>
      <c r="AP2390" s="2">
        <f t="shared" ca="1" si="2334"/>
        <v>2043250.0221812874</v>
      </c>
      <c r="AQ2390" s="2">
        <f t="shared" ca="1" si="2335"/>
        <v>908624.84731791564</v>
      </c>
      <c r="AR2390" s="2">
        <f t="shared" ca="1" si="2336"/>
        <v>1109879.5601234147</v>
      </c>
      <c r="AS2390" s="2">
        <f t="shared" ca="1" si="2337"/>
        <v>1265221.4307833919</v>
      </c>
      <c r="AT2390" s="2">
        <f t="shared" ca="1" si="2338"/>
        <v>1435267.3021522034</v>
      </c>
      <c r="AU2390" s="2">
        <f t="shared" ca="1" si="2339"/>
        <v>1621408.9923914759</v>
      </c>
      <c r="AV2390" s="2">
        <f t="shared" ca="1" si="2340"/>
        <v>2586086.1039048368</v>
      </c>
      <c r="AW2390" s="2">
        <f t="shared" ca="1" si="2341"/>
        <v>3111869.3236623704</v>
      </c>
      <c r="AX2390" s="2">
        <f t="shared" ca="1" si="2342"/>
        <v>3549545.600413722</v>
      </c>
      <c r="AY2390" s="2">
        <f t="shared" ca="1" si="2343"/>
        <v>4028650.4518066049</v>
      </c>
      <c r="AZ2390" s="2">
        <f t="shared" ca="1" si="2344"/>
        <v>4553105.3304944951</v>
      </c>
      <c r="BA2390" s="2">
        <f t="shared" ca="1" si="2345"/>
        <v>64572885.428011119</v>
      </c>
      <c r="BB2390" s="2">
        <f t="shared" ca="1" si="2346"/>
        <v>1291457.7085602225</v>
      </c>
      <c r="BC2390" s="2">
        <f t="shared" ca="1" si="2347"/>
        <v>40578649.695214368</v>
      </c>
      <c r="BD2390" s="2">
        <f t="shared" ca="1" si="2348"/>
        <v>-16581134.433834208</v>
      </c>
      <c r="BE2390" s="2">
        <f t="shared" ca="1" si="2349"/>
        <v>2586086.1039048368</v>
      </c>
      <c r="BF2390" s="2">
        <f t="shared" ca="1" si="2350"/>
        <v>3111869.3236623704</v>
      </c>
      <c r="BG2390" s="2">
        <f t="shared" ca="1" si="2351"/>
        <v>3549545.600413722</v>
      </c>
      <c r="BH2390" s="2">
        <f t="shared" ca="1" si="2352"/>
        <v>4028650.4518066049</v>
      </c>
      <c r="BI2390" s="2">
        <f t="shared" ca="1" si="2353"/>
        <v>45131755.025708862</v>
      </c>
      <c r="BJ2390" s="2">
        <f t="shared" ca="1" si="2354"/>
        <v>0.34510478349232065</v>
      </c>
      <c r="BK2390" s="2">
        <f t="shared" ca="1" si="2355"/>
        <v>18904380.676727727</v>
      </c>
    </row>
    <row r="2391" spans="1:63" x14ac:dyDescent="0.3">
      <c r="A2391" s="2">
        <v>2390</v>
      </c>
      <c r="B2391" s="2">
        <f t="shared" ca="1" si="2294"/>
        <v>0.43658749106797201</v>
      </c>
      <c r="C2391" s="2">
        <f t="shared" ca="1" si="2295"/>
        <v>6.9344383244152308</v>
      </c>
      <c r="D2391" s="2">
        <f t="shared" ca="1" si="2296"/>
        <v>0.77127058960746298</v>
      </c>
      <c r="E2391" s="2">
        <f t="shared" ca="1" si="2297"/>
        <v>7.823642978313174</v>
      </c>
      <c r="F2391" s="2">
        <f t="shared" ca="1" si="2298"/>
        <v>0.34350470913207565</v>
      </c>
      <c r="G2391" s="2">
        <f t="shared" ca="1" si="2299"/>
        <v>2.7912495443897945E-2</v>
      </c>
      <c r="H2391" s="2">
        <f t="shared" ca="1" si="2300"/>
        <v>2.7912495443897945E-2</v>
      </c>
      <c r="I2391" s="2">
        <f t="shared" ca="1" si="2301"/>
        <v>0.38270085673366416</v>
      </c>
      <c r="J2391" s="2">
        <f t="shared" ca="1" si="2302"/>
        <v>8.5080250569798139E-3</v>
      </c>
      <c r="K2391" s="2">
        <f t="shared" ca="1" si="2303"/>
        <v>8.5080250569798139E-3</v>
      </c>
      <c r="L2391" s="2">
        <f t="shared" ca="1" si="2304"/>
        <v>8.8634383025971486E-2</v>
      </c>
      <c r="M2391" s="2">
        <f t="shared" ca="1" si="2305"/>
        <v>-2.6984247188455983E-2</v>
      </c>
      <c r="N2391" s="2">
        <f t="shared" ca="1" si="2306"/>
        <v>-2.6984247188455983E-2</v>
      </c>
      <c r="O2391" s="2">
        <f t="shared" si="2307"/>
        <v>6000000</v>
      </c>
      <c r="P2391" s="2">
        <f t="shared" ca="1" si="2308"/>
        <v>41606629.946491383</v>
      </c>
      <c r="Q2391" s="2">
        <f t="shared" ca="1" si="2309"/>
        <v>1040165.7486622846</v>
      </c>
      <c r="R2391" s="2">
        <f t="shared" ca="1" si="2310"/>
        <v>24963977.96789483</v>
      </c>
      <c r="S2391" s="2">
        <f t="shared" ca="1" si="2311"/>
        <v>16642651.978596553</v>
      </c>
      <c r="T2391" s="2">
        <f t="shared" ca="1" si="2312"/>
        <v>48650787.640577205</v>
      </c>
      <c r="U2391" s="2">
        <f t="shared" ca="1" si="2313"/>
        <v>50008752.528936855</v>
      </c>
      <c r="V2391" s="2">
        <f t="shared" ca="1" si="2314"/>
        <v>51404621.606055818</v>
      </c>
      <c r="W2391" s="2">
        <f t="shared" ca="1" si="2315"/>
        <v>52839452.872430146</v>
      </c>
      <c r="X2391" s="2">
        <f t="shared" ca="1" si="2316"/>
        <v>54314333.859989904</v>
      </c>
      <c r="Y2391" s="2">
        <f t="shared" ca="1" si="2317"/>
        <v>0.1242540125284899</v>
      </c>
      <c r="Z2391" s="2">
        <f t="shared" ca="1" si="2318"/>
        <v>0.12595561753988588</v>
      </c>
      <c r="AA2391" s="2">
        <f t="shared" ca="1" si="2319"/>
        <v>6045055.5770131815</v>
      </c>
      <c r="AB2391" s="2">
        <f t="shared" ca="1" si="2320"/>
        <v>6298883.3071815716</v>
      </c>
      <c r="AC2391" s="2">
        <f t="shared" ca="1" si="2321"/>
        <v>6474700.8587949211</v>
      </c>
      <c r="AD2391" s="2">
        <f t="shared" ca="1" si="2322"/>
        <v>6655425.9170166356</v>
      </c>
      <c r="AE2391" s="2">
        <f t="shared" ca="1" si="2323"/>
        <v>6841195.4626025613</v>
      </c>
      <c r="AF2391" s="2">
        <f t="shared" ca="1" si="2324"/>
        <v>973015.75281154411</v>
      </c>
      <c r="AG2391" s="2">
        <f t="shared" ca="1" si="2325"/>
        <v>1000175.0505787372</v>
      </c>
      <c r="AH2391" s="2">
        <f t="shared" ca="1" si="2326"/>
        <v>1028092.4321211164</v>
      </c>
      <c r="AI2391" s="2">
        <f t="shared" ca="1" si="2327"/>
        <v>1056789.057448603</v>
      </c>
      <c r="AJ2391" s="2">
        <f t="shared" ca="1" si="2328"/>
        <v>1086286.6771997982</v>
      </c>
      <c r="AK2391" s="2">
        <f t="shared" ca="1" si="2329"/>
        <v>0</v>
      </c>
      <c r="AL2391" s="2">
        <f t="shared" ca="1" si="2330"/>
        <v>13579.64888359651</v>
      </c>
      <c r="AM2391" s="2">
        <f t="shared" ca="1" si="2331"/>
        <v>13958.690771189631</v>
      </c>
      <c r="AN2391" s="2">
        <f t="shared" ca="1" si="2332"/>
        <v>14348.312663743272</v>
      </c>
      <c r="AO2391" s="2">
        <f t="shared" ca="1" si="2333"/>
        <v>14748.809875597581</v>
      </c>
      <c r="AP2391" s="2">
        <f t="shared" ca="1" si="2334"/>
        <v>2246758.0171105345</v>
      </c>
      <c r="AQ2391" s="2">
        <f t="shared" ca="1" si="2335"/>
        <v>734573.26984368695</v>
      </c>
      <c r="AR2391" s="2">
        <f t="shared" ca="1" si="2336"/>
        <v>793507.06226799812</v>
      </c>
      <c r="AS2391" s="2">
        <f t="shared" ca="1" si="2337"/>
        <v>831961.10648645018</v>
      </c>
      <c r="AT2391" s="2">
        <f t="shared" ca="1" si="2338"/>
        <v>871488.49903894949</v>
      </c>
      <c r="AU2391" s="2">
        <f t="shared" ca="1" si="2339"/>
        <v>912119.19975597959</v>
      </c>
      <c r="AV2391" s="2">
        <f t="shared" ca="1" si="2340"/>
        <v>2090708.5372474161</v>
      </c>
      <c r="AW2391" s="2">
        <f t="shared" ca="1" si="2341"/>
        <v>2244863.5283407061</v>
      </c>
      <c r="AX2391" s="2">
        <f t="shared" ca="1" si="2342"/>
        <v>2353930.6123056305</v>
      </c>
      <c r="AY2391" s="2">
        <f t="shared" ca="1" si="2343"/>
        <v>2466042.0307548051</v>
      </c>
      <c r="AZ2391" s="2">
        <f t="shared" ca="1" si="2344"/>
        <v>2581282.7586606522</v>
      </c>
      <c r="BA2391" s="2">
        <f t="shared" ca="1" si="2345"/>
        <v>53523070.844258472</v>
      </c>
      <c r="BB2391" s="2">
        <f t="shared" ca="1" si="2346"/>
        <v>1070461.4168851695</v>
      </c>
      <c r="BC2391" s="2">
        <f t="shared" ca="1" si="2347"/>
        <v>27488631.459478471</v>
      </c>
      <c r="BD2391" s="2">
        <f t="shared" ca="1" si="2348"/>
        <v>-18182817.727258839</v>
      </c>
      <c r="BE2391" s="2">
        <f t="shared" ca="1" si="2349"/>
        <v>2090708.5372474161</v>
      </c>
      <c r="BF2391" s="2">
        <f t="shared" ca="1" si="2350"/>
        <v>2244863.5283407061</v>
      </c>
      <c r="BG2391" s="2">
        <f t="shared" ca="1" si="2351"/>
        <v>2353930.6123056305</v>
      </c>
      <c r="BH2391" s="2">
        <f t="shared" ca="1" si="2352"/>
        <v>2466042.0307548051</v>
      </c>
      <c r="BI2391" s="2">
        <f t="shared" ca="1" si="2353"/>
        <v>30069914.218139123</v>
      </c>
      <c r="BJ2391" s="2">
        <f t="shared" ca="1" si="2354"/>
        <v>0.19605869316438329</v>
      </c>
      <c r="BK2391" s="2">
        <f t="shared" ca="1" si="2355"/>
        <v>5778650.2683257163</v>
      </c>
    </row>
    <row r="2392" spans="1:63" x14ac:dyDescent="0.3">
      <c r="A2392" s="2">
        <v>2391</v>
      </c>
      <c r="B2392" s="2">
        <f t="shared" ca="1" si="2294"/>
        <v>0.46498493387008899</v>
      </c>
      <c r="C2392" s="2">
        <f t="shared" ca="1" si="2295"/>
        <v>6.9643494531238028</v>
      </c>
      <c r="D2392" s="2">
        <f t="shared" ca="1" si="2296"/>
        <v>0.96975375770935179</v>
      </c>
      <c r="E2392" s="2">
        <f t="shared" ca="1" si="2297"/>
        <v>8.2540478002104951</v>
      </c>
      <c r="F2392" s="2">
        <f t="shared" ca="1" si="2298"/>
        <v>0.67762206456784602</v>
      </c>
      <c r="G2392" s="2">
        <f t="shared" ca="1" si="2299"/>
        <v>5.3831786946173063E-2</v>
      </c>
      <c r="H2392" s="2">
        <f t="shared" ca="1" si="2300"/>
        <v>5.3831786946173063E-2</v>
      </c>
      <c r="I2392" s="2">
        <f t="shared" ca="1" si="2301"/>
        <v>0.23699705114461789</v>
      </c>
      <c r="J2392" s="2">
        <f t="shared" ca="1" si="2302"/>
        <v>6.4200222954614253E-3</v>
      </c>
      <c r="K2392" s="2">
        <f t="shared" ca="1" si="2303"/>
        <v>6.4200222954614253E-3</v>
      </c>
      <c r="L2392" s="2">
        <f t="shared" ca="1" si="2304"/>
        <v>0.28399089456516435</v>
      </c>
      <c r="M2392" s="2">
        <f t="shared" ca="1" si="2305"/>
        <v>-1.1420526769539285E-2</v>
      </c>
      <c r="N2392" s="2">
        <f t="shared" ca="1" si="2306"/>
        <v>-1.1420526769539285E-2</v>
      </c>
      <c r="O2392" s="2">
        <f t="shared" si="2307"/>
        <v>6000000</v>
      </c>
      <c r="P2392" s="2">
        <f t="shared" ca="1" si="2308"/>
        <v>41786096.718742818</v>
      </c>
      <c r="Q2392" s="2">
        <f t="shared" ca="1" si="2309"/>
        <v>1044652.4179685705</v>
      </c>
      <c r="R2392" s="2">
        <f t="shared" ca="1" si="2310"/>
        <v>25071658.03124569</v>
      </c>
      <c r="S2392" s="2">
        <f t="shared" ca="1" si="2311"/>
        <v>16714438.687497128</v>
      </c>
      <c r="T2392" s="2">
        <f t="shared" ca="1" si="2312"/>
        <v>49428973.661523037</v>
      </c>
      <c r="U2392" s="2">
        <f t="shared" ca="1" si="2313"/>
        <v>52089823.640638143</v>
      </c>
      <c r="V2392" s="2">
        <f t="shared" ca="1" si="2314"/>
        <v>54893911.928924702</v>
      </c>
      <c r="W2392" s="2">
        <f t="shared" ca="1" si="2315"/>
        <v>57848949.300524563</v>
      </c>
      <c r="X2392" s="2">
        <f t="shared" ca="1" si="2316"/>
        <v>60963061.614330366</v>
      </c>
      <c r="Y2392" s="2">
        <f t="shared" ca="1" si="2317"/>
        <v>0.12321001114773071</v>
      </c>
      <c r="Z2392" s="2">
        <f t="shared" ca="1" si="2318"/>
        <v>0.12449401560682299</v>
      </c>
      <c r="AA2392" s="2">
        <f t="shared" ca="1" si="2319"/>
        <v>6090144.3958571414</v>
      </c>
      <c r="AB2392" s="2">
        <f t="shared" ca="1" si="2320"/>
        <v>6484871.3172742622</v>
      </c>
      <c r="AC2392" s="2">
        <f t="shared" ca="1" si="2321"/>
        <v>6833963.5283991192</v>
      </c>
      <c r="AD2392" s="2">
        <f t="shared" ca="1" si="2322"/>
        <v>7201847.9970578169</v>
      </c>
      <c r="AE2392" s="2">
        <f t="shared" ca="1" si="2323"/>
        <v>7589536.344054156</v>
      </c>
      <c r="AF2392" s="2">
        <f t="shared" ca="1" si="2324"/>
        <v>988579.47323046078</v>
      </c>
      <c r="AG2392" s="2">
        <f t="shared" ca="1" si="2325"/>
        <v>1041796.4728127628</v>
      </c>
      <c r="AH2392" s="2">
        <f t="shared" ca="1" si="2326"/>
        <v>1097878.2385784942</v>
      </c>
      <c r="AI2392" s="2">
        <f t="shared" ca="1" si="2327"/>
        <v>1156978.9860104914</v>
      </c>
      <c r="AJ2392" s="2">
        <f t="shared" ca="1" si="2328"/>
        <v>1219261.2322866074</v>
      </c>
      <c r="AK2392" s="2">
        <f t="shared" ca="1" si="2329"/>
        <v>0</v>
      </c>
      <c r="AL2392" s="2">
        <f t="shared" ca="1" si="2330"/>
        <v>26608.499791151062</v>
      </c>
      <c r="AM2392" s="2">
        <f t="shared" ca="1" si="2331"/>
        <v>28040.882882865593</v>
      </c>
      <c r="AN2392" s="2">
        <f t="shared" ca="1" si="2332"/>
        <v>29550.373715998605</v>
      </c>
      <c r="AO2392" s="2">
        <f t="shared" ca="1" si="2333"/>
        <v>31141.123138058036</v>
      </c>
      <c r="AP2392" s="2">
        <f t="shared" ca="1" si="2334"/>
        <v>2256449.222812112</v>
      </c>
      <c r="AQ2392" s="2">
        <f t="shared" ca="1" si="2335"/>
        <v>739730.08195178793</v>
      </c>
      <c r="AR2392" s="2">
        <f t="shared" ca="1" si="2336"/>
        <v>828522.66162884084</v>
      </c>
      <c r="AS2392" s="2">
        <f t="shared" ca="1" si="2337"/>
        <v>904705.37742221332</v>
      </c>
      <c r="AT2392" s="2">
        <f t="shared" ca="1" si="2338"/>
        <v>984989.14494115568</v>
      </c>
      <c r="AU2392" s="2">
        <f t="shared" ca="1" si="2339"/>
        <v>1069594.7311284137</v>
      </c>
      <c r="AV2392" s="2">
        <f t="shared" ca="1" si="2340"/>
        <v>2105385.617862781</v>
      </c>
      <c r="AW2392" s="2">
        <f t="shared" ca="1" si="2341"/>
        <v>2331494.4602293964</v>
      </c>
      <c r="AX2392" s="2">
        <f t="shared" ca="1" si="2342"/>
        <v>2546889.8067034339</v>
      </c>
      <c r="AY2392" s="2">
        <f t="shared" ca="1" si="2343"/>
        <v>2773880.2695780597</v>
      </c>
      <c r="AZ2392" s="2">
        <f t="shared" ca="1" si="2344"/>
        <v>3013090.034688965</v>
      </c>
      <c r="BA2392" s="2">
        <f t="shared" ca="1" si="2345"/>
        <v>62644395.765257813</v>
      </c>
      <c r="BB2392" s="2">
        <f t="shared" ca="1" si="2346"/>
        <v>1252887.9153051563</v>
      </c>
      <c r="BC2392" s="2">
        <f t="shared" ca="1" si="2347"/>
        <v>36319849.818706974</v>
      </c>
      <c r="BD2392" s="2">
        <f t="shared" ca="1" si="2348"/>
        <v>-18259091.105465699</v>
      </c>
      <c r="BE2392" s="2">
        <f t="shared" ca="1" si="2349"/>
        <v>2105385.617862781</v>
      </c>
      <c r="BF2392" s="2">
        <f t="shared" ca="1" si="2350"/>
        <v>2331494.4602293964</v>
      </c>
      <c r="BG2392" s="2">
        <f t="shared" ca="1" si="2351"/>
        <v>2546889.8067034339</v>
      </c>
      <c r="BH2392" s="2">
        <f t="shared" ca="1" si="2352"/>
        <v>2773880.2695780597</v>
      </c>
      <c r="BI2392" s="2">
        <f t="shared" ca="1" si="2353"/>
        <v>39332939.853395939</v>
      </c>
      <c r="BJ2392" s="2">
        <f t="shared" ca="1" si="2354"/>
        <v>0.25400302863737889</v>
      </c>
      <c r="BK2392" s="2">
        <f t="shared" ca="1" si="2355"/>
        <v>11373613.894748159</v>
      </c>
    </row>
    <row r="2393" spans="1:63" x14ac:dyDescent="0.3">
      <c r="A2393" s="2">
        <v>2392</v>
      </c>
      <c r="B2393" s="2">
        <f t="shared" ca="1" si="2294"/>
        <v>0.88959732113617118</v>
      </c>
      <c r="C2393" s="2">
        <f t="shared" ca="1" si="2295"/>
        <v>7.5301006940549309</v>
      </c>
      <c r="D2393" s="2">
        <f t="shared" ca="1" si="2296"/>
        <v>0.16828175403620727</v>
      </c>
      <c r="E2393" s="2">
        <f t="shared" ca="1" si="2297"/>
        <v>7.0801409381110894</v>
      </c>
      <c r="F2393" s="2">
        <f t="shared" ca="1" si="2298"/>
        <v>0.33463003579255179</v>
      </c>
      <c r="G2393" s="2">
        <f t="shared" ca="1" si="2299"/>
        <v>2.7185087876805993E-2</v>
      </c>
      <c r="H2393" s="2">
        <f t="shared" ca="1" si="2300"/>
        <v>2.7185087876805993E-2</v>
      </c>
      <c r="I2393" s="2">
        <f t="shared" ca="1" si="2301"/>
        <v>0.62304730546001008</v>
      </c>
      <c r="J2393" s="2">
        <f t="shared" ca="1" si="2302"/>
        <v>1.1567469929930118E-2</v>
      </c>
      <c r="K2393" s="2">
        <f t="shared" ca="1" si="2303"/>
        <v>1.1567469929930118E-2</v>
      </c>
      <c r="L2393" s="2">
        <f t="shared" ca="1" si="2304"/>
        <v>0.22535909513930374</v>
      </c>
      <c r="M2393" s="2">
        <f t="shared" ca="1" si="2305"/>
        <v>-1.5084364685432288E-2</v>
      </c>
      <c r="N2393" s="2">
        <f t="shared" ca="1" si="2306"/>
        <v>-1.5084364685432288E-2</v>
      </c>
      <c r="O2393" s="2">
        <f t="shared" si="2307"/>
        <v>6000000</v>
      </c>
      <c r="P2393" s="2">
        <f t="shared" ca="1" si="2308"/>
        <v>45180604.164329588</v>
      </c>
      <c r="Q2393" s="2">
        <f t="shared" ca="1" si="2309"/>
        <v>1129515.1041082398</v>
      </c>
      <c r="R2393" s="2">
        <f t="shared" ca="1" si="2310"/>
        <v>27108362.498597752</v>
      </c>
      <c r="S2393" s="2">
        <f t="shared" ca="1" si="2311"/>
        <v>18072241.665731836</v>
      </c>
      <c r="T2393" s="2">
        <f t="shared" ca="1" si="2312"/>
        <v>49245781.765728384</v>
      </c>
      <c r="U2393" s="2">
        <f t="shared" ca="1" si="2313"/>
        <v>50584532.670591727</v>
      </c>
      <c r="V2393" s="2">
        <f t="shared" ca="1" si="2314"/>
        <v>51959677.636448927</v>
      </c>
      <c r="W2393" s="2">
        <f t="shared" ca="1" si="2315"/>
        <v>53372206.03904631</v>
      </c>
      <c r="X2393" s="2">
        <f t="shared" ca="1" si="2316"/>
        <v>54823134.150396787</v>
      </c>
      <c r="Y2393" s="2">
        <f t="shared" ca="1" si="2317"/>
        <v>0.12578373496496506</v>
      </c>
      <c r="Z2393" s="2">
        <f t="shared" ca="1" si="2318"/>
        <v>0.12809722895095108</v>
      </c>
      <c r="AA2393" s="2">
        <f t="shared" ca="1" si="2319"/>
        <v>6194318.3617628878</v>
      </c>
      <c r="AB2393" s="2">
        <f t="shared" ca="1" si="2320"/>
        <v>6479738.4628816526</v>
      </c>
      <c r="AC2393" s="2">
        <f t="shared" ca="1" si="2321"/>
        <v>6655890.7224138109</v>
      </c>
      <c r="AD2393" s="2">
        <f t="shared" ca="1" si="2322"/>
        <v>6836831.696601049</v>
      </c>
      <c r="AE2393" s="2">
        <f t="shared" ca="1" si="2323"/>
        <v>7022691.5670720814</v>
      </c>
      <c r="AF2393" s="2">
        <f t="shared" ca="1" si="2324"/>
        <v>984915.63531456771</v>
      </c>
      <c r="AG2393" s="2">
        <f t="shared" ca="1" si="2325"/>
        <v>1011690.6534118346</v>
      </c>
      <c r="AH2393" s="2">
        <f t="shared" ca="1" si="2326"/>
        <v>1039193.5527289786</v>
      </c>
      <c r="AI2393" s="2">
        <f t="shared" ca="1" si="2327"/>
        <v>1067444.1207809262</v>
      </c>
      <c r="AJ2393" s="2">
        <f t="shared" ca="1" si="2328"/>
        <v>1096462.6830079358</v>
      </c>
      <c r="AK2393" s="2">
        <f t="shared" ca="1" si="2329"/>
        <v>0</v>
      </c>
      <c r="AL2393" s="2">
        <f t="shared" ca="1" si="2330"/>
        <v>13387.509048633427</v>
      </c>
      <c r="AM2393" s="2">
        <f t="shared" ca="1" si="2331"/>
        <v>13751.449658572004</v>
      </c>
      <c r="AN2393" s="2">
        <f t="shared" ca="1" si="2332"/>
        <v>14125.284025973828</v>
      </c>
      <c r="AO2393" s="2">
        <f t="shared" ca="1" si="2333"/>
        <v>14509.281113504767</v>
      </c>
      <c r="AP2393" s="2">
        <f t="shared" ca="1" si="2334"/>
        <v>2439752.6248737974</v>
      </c>
      <c r="AQ2393" s="2">
        <f t="shared" ca="1" si="2335"/>
        <v>720109.02640937583</v>
      </c>
      <c r="AR2393" s="2">
        <f t="shared" ca="1" si="2336"/>
        <v>787356.74799496541</v>
      </c>
      <c r="AS2393" s="2">
        <f t="shared" ca="1" si="2337"/>
        <v>826005.58165086899</v>
      </c>
      <c r="AT2393" s="2">
        <f t="shared" ca="1" si="2338"/>
        <v>865705.08724604466</v>
      </c>
      <c r="AU2393" s="2">
        <f t="shared" ca="1" si="2339"/>
        <v>906483.82738949056</v>
      </c>
      <c r="AV2393" s="2">
        <f t="shared" ca="1" si="2340"/>
        <v>2049541.075165147</v>
      </c>
      <c r="AW2393" s="2">
        <f t="shared" ca="1" si="2341"/>
        <v>2227550.9275524216</v>
      </c>
      <c r="AX2393" s="2">
        <f t="shared" ca="1" si="2342"/>
        <v>2337187.5135015938</v>
      </c>
      <c r="AY2393" s="2">
        <f t="shared" ca="1" si="2343"/>
        <v>2449804.5796743073</v>
      </c>
      <c r="AZ2393" s="2">
        <f t="shared" ca="1" si="2344"/>
        <v>2565483.1506873528</v>
      </c>
      <c r="BA2393" s="2">
        <f t="shared" ca="1" si="2345"/>
        <v>49721646.059754565</v>
      </c>
      <c r="BB2393" s="2">
        <f t="shared" ca="1" si="2346"/>
        <v>994432.92119509133</v>
      </c>
      <c r="BC2393" s="2">
        <f t="shared" ca="1" si="2347"/>
        <v>21618850.639961723</v>
      </c>
      <c r="BD2393" s="2">
        <f t="shared" ca="1" si="2348"/>
        <v>-19701756.769840077</v>
      </c>
      <c r="BE2393" s="2">
        <f t="shared" ca="1" si="2349"/>
        <v>2049541.075165147</v>
      </c>
      <c r="BF2393" s="2">
        <f t="shared" ca="1" si="2350"/>
        <v>2227550.9275524216</v>
      </c>
      <c r="BG2393" s="2">
        <f t="shared" ca="1" si="2351"/>
        <v>2337187.5135015938</v>
      </c>
      <c r="BH2393" s="2">
        <f t="shared" ca="1" si="2352"/>
        <v>2449804.5796743073</v>
      </c>
      <c r="BI2393" s="2">
        <f t="shared" ca="1" si="2353"/>
        <v>24184333.790649075</v>
      </c>
      <c r="BJ2393" s="2">
        <f t="shared" ca="1" si="2354"/>
        <v>0.13145679565188173</v>
      </c>
      <c r="BK2393" s="2">
        <f t="shared" ca="1" si="2355"/>
        <v>847280.0670437403</v>
      </c>
    </row>
    <row r="2394" spans="1:63" x14ac:dyDescent="0.3">
      <c r="A2394" s="2">
        <v>2393</v>
      </c>
      <c r="B2394" s="2">
        <f t="shared" ca="1" si="2294"/>
        <v>0.6116219261026723</v>
      </c>
      <c r="C2394" s="2">
        <f t="shared" ca="1" si="2295"/>
        <v>7.1186622963956125</v>
      </c>
      <c r="D2394" s="2">
        <f t="shared" ca="1" si="2296"/>
        <v>0.29382348546318582</v>
      </c>
      <c r="E2394" s="2">
        <f t="shared" ca="1" si="2297"/>
        <v>7.2665813531037466</v>
      </c>
      <c r="F2394" s="2">
        <f t="shared" ca="1" si="2298"/>
        <v>0.79730561680657919</v>
      </c>
      <c r="G2394" s="2">
        <f t="shared" ca="1" si="2299"/>
        <v>6.4961072464427769E-2</v>
      </c>
      <c r="H2394" s="2">
        <f t="shared" ca="1" si="2300"/>
        <v>6.4961072464427769E-2</v>
      </c>
      <c r="I2394" s="2">
        <f t="shared" ca="1" si="2301"/>
        <v>0.98285595803327741</v>
      </c>
      <c r="J2394" s="2">
        <f t="shared" ca="1" si="2302"/>
        <v>2.0583337089855866E-2</v>
      </c>
      <c r="K2394" s="2">
        <f t="shared" ca="1" si="2303"/>
        <v>2.0583337089855866E-2</v>
      </c>
      <c r="L2394" s="2">
        <f t="shared" ca="1" si="2304"/>
        <v>0.31844736744608115</v>
      </c>
      <c r="M2394" s="2">
        <f t="shared" ca="1" si="2305"/>
        <v>-9.4408981514969102E-3</v>
      </c>
      <c r="N2394" s="2">
        <f t="shared" ca="1" si="2306"/>
        <v>-9.4408981514969102E-3</v>
      </c>
      <c r="O2394" s="2">
        <f t="shared" si="2307"/>
        <v>6000000</v>
      </c>
      <c r="P2394" s="2">
        <f t="shared" ca="1" si="2308"/>
        <v>42711973.778373674</v>
      </c>
      <c r="Q2394" s="2">
        <f t="shared" ca="1" si="2309"/>
        <v>1067799.3444593418</v>
      </c>
      <c r="R2394" s="2">
        <f t="shared" ca="1" si="2310"/>
        <v>25627184.267024204</v>
      </c>
      <c r="S2394" s="2">
        <f t="shared" ca="1" si="2311"/>
        <v>17084789.511349469</v>
      </c>
      <c r="T2394" s="2">
        <f t="shared" ca="1" si="2312"/>
        <v>49527955.092425153</v>
      </c>
      <c r="U2394" s="2">
        <f t="shared" ca="1" si="2313"/>
        <v>52745344.172199108</v>
      </c>
      <c r="V2394" s="2">
        <f t="shared" ca="1" si="2314"/>
        <v>56171738.297130518</v>
      </c>
      <c r="W2394" s="2">
        <f t="shared" ca="1" si="2315"/>
        <v>59820714.659103289</v>
      </c>
      <c r="X2394" s="2">
        <f t="shared" ca="1" si="2316"/>
        <v>63706732.438947156</v>
      </c>
      <c r="Y2394" s="2">
        <f t="shared" ca="1" si="2317"/>
        <v>0.13029166854492794</v>
      </c>
      <c r="Z2394" s="2">
        <f t="shared" ca="1" si="2318"/>
        <v>0.13440833596289911</v>
      </c>
      <c r="AA2394" s="2">
        <f t="shared" ca="1" si="2319"/>
        <v>6453079.9086103337</v>
      </c>
      <c r="AB2394" s="2">
        <f t="shared" ca="1" si="2320"/>
        <v>7089413.9399756808</v>
      </c>
      <c r="AC2394" s="2">
        <f t="shared" ca="1" si="2321"/>
        <v>7549949.8726607654</v>
      </c>
      <c r="AD2394" s="2">
        <f t="shared" ca="1" si="2322"/>
        <v>8040402.713441479</v>
      </c>
      <c r="AE2394" s="2">
        <f t="shared" ca="1" si="2323"/>
        <v>8562715.8967525326</v>
      </c>
      <c r="AF2394" s="2">
        <f t="shared" ca="1" si="2324"/>
        <v>990559.10184850311</v>
      </c>
      <c r="AG2394" s="2">
        <f t="shared" ca="1" si="2325"/>
        <v>1054906.8834439821</v>
      </c>
      <c r="AH2394" s="2">
        <f t="shared" ca="1" si="2326"/>
        <v>1123434.7659426103</v>
      </c>
      <c r="AI2394" s="2">
        <f t="shared" ca="1" si="2327"/>
        <v>1196414.2931820657</v>
      </c>
      <c r="AJ2394" s="2">
        <f t="shared" ca="1" si="2328"/>
        <v>1274134.6487789431</v>
      </c>
      <c r="AK2394" s="2">
        <f t="shared" ca="1" si="2329"/>
        <v>0</v>
      </c>
      <c r="AL2394" s="2">
        <f t="shared" ca="1" si="2330"/>
        <v>32173.89079773955</v>
      </c>
      <c r="AM2394" s="2">
        <f t="shared" ca="1" si="2331"/>
        <v>34263.941249314099</v>
      </c>
      <c r="AN2394" s="2">
        <f t="shared" ca="1" si="2332"/>
        <v>36489.763619727717</v>
      </c>
      <c r="AO2394" s="2">
        <f t="shared" ca="1" si="2333"/>
        <v>38860.177798438672</v>
      </c>
      <c r="AP2394" s="2">
        <f t="shared" ca="1" si="2334"/>
        <v>2306446.5840321784</v>
      </c>
      <c r="AQ2394" s="2">
        <f t="shared" ca="1" si="2335"/>
        <v>820579.29790970974</v>
      </c>
      <c r="AR2394" s="2">
        <f t="shared" ca="1" si="2336"/>
        <v>969295.72284987522</v>
      </c>
      <c r="AS2394" s="2">
        <f t="shared" ca="1" si="2337"/>
        <v>1071217.8158983539</v>
      </c>
      <c r="AT2394" s="2">
        <f t="shared" ca="1" si="2338"/>
        <v>1179760.8774190811</v>
      </c>
      <c r="AU2394" s="2">
        <f t="shared" ca="1" si="2339"/>
        <v>1295355.0126247669</v>
      </c>
      <c r="AV2394" s="2">
        <f t="shared" ca="1" si="2340"/>
        <v>2335494.924819943</v>
      </c>
      <c r="AW2394" s="2">
        <f t="shared" ca="1" si="2341"/>
        <v>2726590.8588519054</v>
      </c>
      <c r="AX2394" s="2">
        <f t="shared" ca="1" si="2342"/>
        <v>3014586.7655383083</v>
      </c>
      <c r="AY2394" s="2">
        <f t="shared" ca="1" si="2343"/>
        <v>3321291.1951884269</v>
      </c>
      <c r="AZ2394" s="2">
        <f t="shared" ca="1" si="2344"/>
        <v>3647919.4735182053</v>
      </c>
      <c r="BA2394" s="2">
        <f t="shared" ca="1" si="2345"/>
        <v>62221671.66726698</v>
      </c>
      <c r="BB2394" s="2">
        <f t="shared" ca="1" si="2346"/>
        <v>1244433.4333453397</v>
      </c>
      <c r="BC2394" s="2">
        <f t="shared" ca="1" si="2347"/>
        <v>35350053.966897435</v>
      </c>
      <c r="BD2394" s="2">
        <f t="shared" ca="1" si="2348"/>
        <v>-18652588.855808809</v>
      </c>
      <c r="BE2394" s="2">
        <f t="shared" ca="1" si="2349"/>
        <v>2335494.924819943</v>
      </c>
      <c r="BF2394" s="2">
        <f t="shared" ca="1" si="2350"/>
        <v>2726590.8588519054</v>
      </c>
      <c r="BG2394" s="2">
        <f t="shared" ca="1" si="2351"/>
        <v>3014586.7655383083</v>
      </c>
      <c r="BH2394" s="2">
        <f t="shared" ca="1" si="2352"/>
        <v>3321291.1951884269</v>
      </c>
      <c r="BI2394" s="2">
        <f t="shared" ca="1" si="2353"/>
        <v>38997973.440415643</v>
      </c>
      <c r="BJ2394" s="2">
        <f t="shared" ca="1" si="2354"/>
        <v>0.26037737993411669</v>
      </c>
      <c r="BK2394" s="2">
        <f t="shared" ca="1" si="2355"/>
        <v>11991257.371098004</v>
      </c>
    </row>
    <row r="2395" spans="1:63" x14ac:dyDescent="0.3">
      <c r="A2395" s="2">
        <v>2394</v>
      </c>
      <c r="B2395" s="2">
        <f t="shared" ca="1" si="2294"/>
        <v>0.91022445459349244</v>
      </c>
      <c r="C2395" s="2">
        <f t="shared" ca="1" si="2295"/>
        <v>7.5762653061017833</v>
      </c>
      <c r="D2395" s="2">
        <f t="shared" ca="1" si="2296"/>
        <v>5.0160550936799275E-2</v>
      </c>
      <c r="E2395" s="2">
        <f t="shared" ca="1" si="2297"/>
        <v>6.8167350657467507</v>
      </c>
      <c r="F2395" s="2">
        <f t="shared" ca="1" si="2298"/>
        <v>1.2097853402051606E-2</v>
      </c>
      <c r="G2395" s="2">
        <f t="shared" ca="1" si="2299"/>
        <v>-2.7620219921118135E-2</v>
      </c>
      <c r="H2395" s="2">
        <f t="shared" ca="1" si="2300"/>
        <v>-0.02</v>
      </c>
      <c r="I2395" s="2">
        <f t="shared" ca="1" si="2301"/>
        <v>0.64413436155881565</v>
      </c>
      <c r="J2395" s="2">
        <f t="shared" ca="1" si="2302"/>
        <v>1.1847659657307517E-2</v>
      </c>
      <c r="K2395" s="2">
        <f t="shared" ca="1" si="2303"/>
        <v>1.1847659657307517E-2</v>
      </c>
      <c r="L2395" s="2">
        <f t="shared" ca="1" si="2304"/>
        <v>0.89016550233004688</v>
      </c>
      <c r="M2395" s="2">
        <f t="shared" ca="1" si="2305"/>
        <v>2.4548175212203999E-2</v>
      </c>
      <c r="N2395" s="2">
        <f t="shared" ca="1" si="2306"/>
        <v>2.4548175212203999E-2</v>
      </c>
      <c r="O2395" s="2">
        <f t="shared" si="2307"/>
        <v>6000000</v>
      </c>
      <c r="P2395" s="2">
        <f t="shared" ca="1" si="2308"/>
        <v>45457591.836610697</v>
      </c>
      <c r="Q2395" s="2">
        <f t="shared" ca="1" si="2309"/>
        <v>1136439.7959152674</v>
      </c>
      <c r="R2395" s="2">
        <f t="shared" ca="1" si="2310"/>
        <v>27274555.101966418</v>
      </c>
      <c r="S2395" s="2">
        <f t="shared" ca="1" si="2311"/>
        <v>18183036.734644279</v>
      </c>
      <c r="T2395" s="2">
        <f t="shared" ca="1" si="2312"/>
        <v>51227408.760610208</v>
      </c>
      <c r="U2395" s="2">
        <f t="shared" ca="1" si="2313"/>
        <v>50202860.585398003</v>
      </c>
      <c r="V2395" s="2">
        <f t="shared" ca="1" si="2314"/>
        <v>49198803.373690039</v>
      </c>
      <c r="W2395" s="2">
        <f t="shared" ca="1" si="2315"/>
        <v>48214827.30621624</v>
      </c>
      <c r="X2395" s="2">
        <f t="shared" ca="1" si="2316"/>
        <v>47250530.760091916</v>
      </c>
      <c r="Y2395" s="2">
        <f t="shared" ca="1" si="2317"/>
        <v>0.12592382982865374</v>
      </c>
      <c r="Z2395" s="2">
        <f t="shared" ca="1" si="2318"/>
        <v>0.12829336176011524</v>
      </c>
      <c r="AA2395" s="2">
        <f t="shared" ca="1" si="2319"/>
        <v>6450751.5033339662</v>
      </c>
      <c r="AB2395" s="2">
        <f t="shared" ca="1" si="2320"/>
        <v>6440693.7544750972</v>
      </c>
      <c r="AC2395" s="2">
        <f t="shared" ca="1" si="2321"/>
        <v>6311879.8793855943</v>
      </c>
      <c r="AD2395" s="2">
        <f t="shared" ca="1" si="2322"/>
        <v>6185642.2817978831</v>
      </c>
      <c r="AE2395" s="2">
        <f t="shared" ca="1" si="2323"/>
        <v>6061929.4361619251</v>
      </c>
      <c r="AF2395" s="2">
        <f t="shared" ca="1" si="2324"/>
        <v>1024548.1752122042</v>
      </c>
      <c r="AG2395" s="2">
        <f t="shared" ca="1" si="2325"/>
        <v>1004057.2117079601</v>
      </c>
      <c r="AH2395" s="2">
        <f t="shared" ca="1" si="2326"/>
        <v>983976.06747380085</v>
      </c>
      <c r="AI2395" s="2">
        <f t="shared" ca="1" si="2327"/>
        <v>964296.54612432478</v>
      </c>
      <c r="AJ2395" s="2">
        <f t="shared" ca="1" si="2328"/>
        <v>945010.61520183831</v>
      </c>
      <c r="AK2395" s="2">
        <f t="shared" ca="1" si="2329"/>
        <v>0</v>
      </c>
      <c r="AL2395" s="2">
        <f t="shared" ca="1" si="2330"/>
        <v>0</v>
      </c>
      <c r="AM2395" s="2">
        <f t="shared" ca="1" si="2331"/>
        <v>0</v>
      </c>
      <c r="AN2395" s="2">
        <f t="shared" ca="1" si="2332"/>
        <v>0</v>
      </c>
      <c r="AO2395" s="2">
        <f t="shared" ca="1" si="2333"/>
        <v>0</v>
      </c>
      <c r="AP2395" s="2">
        <f t="shared" ca="1" si="2334"/>
        <v>2454709.9591769776</v>
      </c>
      <c r="AQ2395" s="2">
        <f t="shared" ca="1" si="2335"/>
        <v>772588.27592564386</v>
      </c>
      <c r="AR2395" s="2">
        <f t="shared" ca="1" si="2336"/>
        <v>775300.91173344152</v>
      </c>
      <c r="AS2395" s="2">
        <f t="shared" ca="1" si="2337"/>
        <v>747030.40171105217</v>
      </c>
      <c r="AT2395" s="2">
        <f t="shared" ca="1" si="2338"/>
        <v>719325.30188911094</v>
      </c>
      <c r="AU2395" s="2">
        <f t="shared" ca="1" si="2339"/>
        <v>692174.3040636084</v>
      </c>
      <c r="AV2395" s="2">
        <f t="shared" ca="1" si="2340"/>
        <v>2198905.0930191404</v>
      </c>
      <c r="AW2395" s="2">
        <f t="shared" ca="1" si="2341"/>
        <v>2206625.6718567186</v>
      </c>
      <c r="AX2395" s="2">
        <f t="shared" ca="1" si="2342"/>
        <v>2126163.4510237635</v>
      </c>
      <c r="AY2395" s="2">
        <f t="shared" ca="1" si="2343"/>
        <v>2047310.474607469</v>
      </c>
      <c r="AZ2395" s="2">
        <f t="shared" ca="1" si="2344"/>
        <v>1970034.5577195012</v>
      </c>
      <c r="BA2395" s="2">
        <f t="shared" ca="1" si="2345"/>
        <v>41322566.953567423</v>
      </c>
      <c r="BB2395" s="2">
        <f t="shared" ca="1" si="2346"/>
        <v>826451.33907134843</v>
      </c>
      <c r="BC2395" s="2">
        <f t="shared" ca="1" si="2347"/>
        <v>13221560.512529656</v>
      </c>
      <c r="BD2395" s="2">
        <f t="shared" ca="1" si="2348"/>
        <v>-19819476.530559547</v>
      </c>
      <c r="BE2395" s="2">
        <f t="shared" ca="1" si="2349"/>
        <v>2198905.0930191404</v>
      </c>
      <c r="BF2395" s="2">
        <f t="shared" ca="1" si="2350"/>
        <v>2206625.6718567186</v>
      </c>
      <c r="BG2395" s="2">
        <f t="shared" ca="1" si="2351"/>
        <v>2126163.4510237635</v>
      </c>
      <c r="BH2395" s="2">
        <f t="shared" ca="1" si="2352"/>
        <v>2047310.474607469</v>
      </c>
      <c r="BI2395" s="2">
        <f t="shared" ca="1" si="2353"/>
        <v>15191595.070249157</v>
      </c>
      <c r="BJ2395" s="2">
        <f t="shared" ca="1" si="2354"/>
        <v>4.5999210251187028E-2</v>
      </c>
      <c r="BK2395" s="2">
        <f t="shared" ca="1" si="2355"/>
        <v>-4662476.9452975951</v>
      </c>
    </row>
    <row r="2396" spans="1:63" x14ac:dyDescent="0.3">
      <c r="A2396" s="2">
        <v>2395</v>
      </c>
      <c r="B2396" s="2">
        <f t="shared" ca="1" si="2294"/>
        <v>0.9291364883902371</v>
      </c>
      <c r="C2396" s="2">
        <f t="shared" ca="1" si="2295"/>
        <v>7.6235335031911529</v>
      </c>
      <c r="D2396" s="2">
        <f t="shared" ca="1" si="2296"/>
        <v>0.97996931820442845</v>
      </c>
      <c r="E2396" s="2">
        <f t="shared" ca="1" si="2297"/>
        <v>8.2998466498128423</v>
      </c>
      <c r="F2396" s="2">
        <f t="shared" ca="1" si="2298"/>
        <v>0.68350008698278863</v>
      </c>
      <c r="G2396" s="2">
        <f t="shared" ca="1" si="2299"/>
        <v>5.4325265262444952E-2</v>
      </c>
      <c r="H2396" s="2">
        <f t="shared" ca="1" si="2300"/>
        <v>5.4325265262444952E-2</v>
      </c>
      <c r="I2396" s="2">
        <f t="shared" ca="1" si="2301"/>
        <v>0.35274117831131313</v>
      </c>
      <c r="J2396" s="2">
        <f t="shared" ca="1" si="2302"/>
        <v>8.1103483915130892E-3</v>
      </c>
      <c r="K2396" s="2">
        <f t="shared" ca="1" si="2303"/>
        <v>8.1103483915130892E-3</v>
      </c>
      <c r="L2396" s="2">
        <f t="shared" ca="1" si="2304"/>
        <v>1.1070654013833114E-2</v>
      </c>
      <c r="M2396" s="2">
        <f t="shared" ca="1" si="2305"/>
        <v>-4.5758699542678992E-2</v>
      </c>
      <c r="N2396" s="2">
        <f t="shared" ca="1" si="2306"/>
        <v>-4.5758699542678992E-2</v>
      </c>
      <c r="O2396" s="2">
        <f t="shared" si="2307"/>
        <v>6000000</v>
      </c>
      <c r="P2396" s="2">
        <f t="shared" ca="1" si="2308"/>
        <v>45741201.019146919</v>
      </c>
      <c r="Q2396" s="2">
        <f t="shared" ca="1" si="2309"/>
        <v>1143530.0254786729</v>
      </c>
      <c r="R2396" s="2">
        <f t="shared" ca="1" si="2310"/>
        <v>27444720.611488152</v>
      </c>
      <c r="S2396" s="2">
        <f t="shared" ca="1" si="2311"/>
        <v>18296480.407658767</v>
      </c>
      <c r="T2396" s="2">
        <f t="shared" ca="1" si="2312"/>
        <v>47712065.022866048</v>
      </c>
      <c r="U2396" s="2">
        <f t="shared" ca="1" si="2313"/>
        <v>50304035.611452267</v>
      </c>
      <c r="V2396" s="2">
        <f t="shared" ca="1" si="2314"/>
        <v>53036815.689815886</v>
      </c>
      <c r="W2396" s="2">
        <f t="shared" ca="1" si="2315"/>
        <v>55918054.770840533</v>
      </c>
      <c r="X2396" s="2">
        <f t="shared" ca="1" si="2316"/>
        <v>58955817.929226369</v>
      </c>
      <c r="Y2396" s="2">
        <f t="shared" ca="1" si="2317"/>
        <v>0.12405517419575654</v>
      </c>
      <c r="Z2396" s="2">
        <f t="shared" ca="1" si="2318"/>
        <v>0.12567724387405915</v>
      </c>
      <c r="AA2396" s="2">
        <f t="shared" ca="1" si="2319"/>
        <v>5918928.5376509102</v>
      </c>
      <c r="AB2396" s="2">
        <f t="shared" ca="1" si="2320"/>
        <v>6322072.5513898432</v>
      </c>
      <c r="AC2396" s="2">
        <f t="shared" ca="1" si="2321"/>
        <v>6665520.8197525181</v>
      </c>
      <c r="AD2396" s="2">
        <f t="shared" ca="1" si="2322"/>
        <v>7027627.0063979225</v>
      </c>
      <c r="AE2396" s="2">
        <f t="shared" ca="1" si="2323"/>
        <v>7409404.7076860117</v>
      </c>
      <c r="AF2396" s="2">
        <f t="shared" ca="1" si="2324"/>
        <v>954241.30045732099</v>
      </c>
      <c r="AG2396" s="2">
        <f t="shared" ca="1" si="2325"/>
        <v>1006080.7122290453</v>
      </c>
      <c r="AH2396" s="2">
        <f t="shared" ca="1" si="2326"/>
        <v>1060736.3137963177</v>
      </c>
      <c r="AI2396" s="2">
        <f t="shared" ca="1" si="2327"/>
        <v>1118361.0954168106</v>
      </c>
      <c r="AJ2396" s="2">
        <f t="shared" ca="1" si="2328"/>
        <v>1179116.3585845274</v>
      </c>
      <c r="AK2396" s="2">
        <f t="shared" ca="1" si="2329"/>
        <v>0</v>
      </c>
      <c r="AL2396" s="2">
        <f t="shared" ca="1" si="2330"/>
        <v>25919.705885862186</v>
      </c>
      <c r="AM2396" s="2">
        <f t="shared" ca="1" si="2331"/>
        <v>27327.800783636198</v>
      </c>
      <c r="AN2396" s="2">
        <f t="shared" ca="1" si="2332"/>
        <v>28812.390810246467</v>
      </c>
      <c r="AO2396" s="2">
        <f t="shared" ca="1" si="2333"/>
        <v>30377.631583858358</v>
      </c>
      <c r="AP2396" s="2">
        <f t="shared" ca="1" si="2334"/>
        <v>2470024.8550339337</v>
      </c>
      <c r="AQ2396" s="2">
        <f t="shared" ca="1" si="2335"/>
        <v>648612.21936151048</v>
      </c>
      <c r="AR2396" s="2">
        <f t="shared" ca="1" si="2336"/>
        <v>739951.4158729848</v>
      </c>
      <c r="AS2396" s="2">
        <f t="shared" ca="1" si="2337"/>
        <v>815037.50923978956</v>
      </c>
      <c r="AT2396" s="2">
        <f t="shared" ca="1" si="2338"/>
        <v>894202.67454626644</v>
      </c>
      <c r="AU2396" s="2">
        <f t="shared" ca="1" si="2339"/>
        <v>977668.50845756312</v>
      </c>
      <c r="AV2396" s="2">
        <f t="shared" ca="1" si="2340"/>
        <v>1846050.1627981453</v>
      </c>
      <c r="AW2396" s="2">
        <f t="shared" ca="1" si="2341"/>
        <v>2080095.8623680179</v>
      </c>
      <c r="AX2396" s="2">
        <f t="shared" ca="1" si="2342"/>
        <v>2292394.3408988421</v>
      </c>
      <c r="AY2396" s="2">
        <f t="shared" ca="1" si="2343"/>
        <v>2516225.990590666</v>
      </c>
      <c r="AZ2396" s="2">
        <f t="shared" ca="1" si="2344"/>
        <v>2752217.354026129</v>
      </c>
      <c r="BA2396" s="2">
        <f t="shared" ca="1" si="2345"/>
        <v>61496922.840195246</v>
      </c>
      <c r="BB2396" s="2">
        <f t="shared" ca="1" si="2346"/>
        <v>1229938.4568039048</v>
      </c>
      <c r="BC2396" s="2">
        <f t="shared" ca="1" si="2347"/>
        <v>32822263.771903187</v>
      </c>
      <c r="BD2396" s="2">
        <f t="shared" ca="1" si="2348"/>
        <v>-19940010.433137439</v>
      </c>
      <c r="BE2396" s="2">
        <f t="shared" ca="1" si="2349"/>
        <v>1846050.1627981453</v>
      </c>
      <c r="BF2396" s="2">
        <f t="shared" ca="1" si="2350"/>
        <v>2080095.8623680179</v>
      </c>
      <c r="BG2396" s="2">
        <f t="shared" ca="1" si="2351"/>
        <v>2292394.3408988421</v>
      </c>
      <c r="BH2396" s="2">
        <f t="shared" ca="1" si="2352"/>
        <v>2516225.990590666</v>
      </c>
      <c r="BI2396" s="2">
        <f t="shared" ca="1" si="2353"/>
        <v>35574481.125929318</v>
      </c>
      <c r="BJ2396" s="2">
        <f t="shared" ca="1" si="2354"/>
        <v>0.19830104975572138</v>
      </c>
      <c r="BK2396" s="2">
        <f t="shared" ca="1" si="2355"/>
        <v>6783192.4145187028</v>
      </c>
    </row>
    <row r="2397" spans="1:63" x14ac:dyDescent="0.3">
      <c r="A2397" s="2">
        <v>2396</v>
      </c>
      <c r="B2397" s="2">
        <f t="shared" ca="1" si="2294"/>
        <v>0.35435940606414096</v>
      </c>
      <c r="C2397" s="2">
        <f t="shared" ca="1" si="2295"/>
        <v>6.8418543889107442</v>
      </c>
      <c r="D2397" s="2">
        <f t="shared" ca="1" si="2296"/>
        <v>0.31934479536407323</v>
      </c>
      <c r="E2397" s="2">
        <f t="shared" ca="1" si="2297"/>
        <v>7.2991805745437928</v>
      </c>
      <c r="F2397" s="2">
        <f t="shared" ca="1" si="2298"/>
        <v>7.9934132154724669E-2</v>
      </c>
      <c r="G2397" s="2">
        <f t="shared" ca="1" si="2299"/>
        <v>-2.1654427057257522E-3</v>
      </c>
      <c r="H2397" s="2">
        <f t="shared" ca="1" si="2300"/>
        <v>-2.1654427057257522E-3</v>
      </c>
      <c r="I2397" s="2">
        <f t="shared" ca="1" si="2301"/>
        <v>0.68035798461646735</v>
      </c>
      <c r="J2397" s="2">
        <f t="shared" ca="1" si="2302"/>
        <v>1.2343500392955833E-2</v>
      </c>
      <c r="K2397" s="2">
        <f t="shared" ca="1" si="2303"/>
        <v>1.2343500392955833E-2</v>
      </c>
      <c r="L2397" s="2">
        <f t="shared" ca="1" si="2304"/>
        <v>0.93460290263691626</v>
      </c>
      <c r="M2397" s="2">
        <f t="shared" ca="1" si="2305"/>
        <v>3.0219549121703184E-2</v>
      </c>
      <c r="N2397" s="2">
        <f t="shared" ca="1" si="2306"/>
        <v>3.0219549121703184E-2</v>
      </c>
      <c r="O2397" s="2">
        <f t="shared" si="2307"/>
        <v>6000000</v>
      </c>
      <c r="P2397" s="2">
        <f t="shared" ca="1" si="2308"/>
        <v>41051126.333464466</v>
      </c>
      <c r="Q2397" s="2">
        <f t="shared" ca="1" si="2309"/>
        <v>1026278.1583366117</v>
      </c>
      <c r="R2397" s="2">
        <f t="shared" ca="1" si="2310"/>
        <v>24630675.800078679</v>
      </c>
      <c r="S2397" s="2">
        <f t="shared" ca="1" si="2311"/>
        <v>16420450.533385787</v>
      </c>
      <c r="T2397" s="2">
        <f t="shared" ca="1" si="2312"/>
        <v>51510977.45608516</v>
      </c>
      <c r="U2397" s="2">
        <f t="shared" ca="1" si="2313"/>
        <v>51399433.385688081</v>
      </c>
      <c r="V2397" s="2">
        <f t="shared" ca="1" si="2314"/>
        <v>51288130.857584611</v>
      </c>
      <c r="W2397" s="2">
        <f t="shared" ca="1" si="2315"/>
        <v>51177069.348728746</v>
      </c>
      <c r="X2397" s="2">
        <f t="shared" ca="1" si="2316"/>
        <v>51066248.337207124</v>
      </c>
      <c r="Y2397" s="2">
        <f t="shared" ca="1" si="2317"/>
        <v>0.12617175019647792</v>
      </c>
      <c r="Z2397" s="2">
        <f t="shared" ca="1" si="2318"/>
        <v>0.12864045027506907</v>
      </c>
      <c r="AA2397" s="2">
        <f t="shared" ca="1" si="2319"/>
        <v>6499230.1799655827</v>
      </c>
      <c r="AB2397" s="2">
        <f t="shared" ca="1" si="2320"/>
        <v>6612046.2546183327</v>
      </c>
      <c r="AC2397" s="2">
        <f t="shared" ca="1" si="2321"/>
        <v>6597728.2472863486</v>
      </c>
      <c r="AD2397" s="2">
        <f t="shared" ca="1" si="2322"/>
        <v>6583441.2447789013</v>
      </c>
      <c r="AE2397" s="2">
        <f t="shared" ca="1" si="2323"/>
        <v>6569185.1799568217</v>
      </c>
      <c r="AF2397" s="2">
        <f t="shared" ca="1" si="2324"/>
        <v>1030219.5491217033</v>
      </c>
      <c r="AG2397" s="2">
        <f t="shared" ca="1" si="2325"/>
        <v>1027988.6677137617</v>
      </c>
      <c r="AH2397" s="2">
        <f t="shared" ca="1" si="2326"/>
        <v>1025762.6171516923</v>
      </c>
      <c r="AI2397" s="2">
        <f t="shared" ca="1" si="2327"/>
        <v>1023541.386974575</v>
      </c>
      <c r="AJ2397" s="2">
        <f t="shared" ca="1" si="2328"/>
        <v>1021324.9667441425</v>
      </c>
      <c r="AK2397" s="2">
        <f t="shared" ca="1" si="2329"/>
        <v>0</v>
      </c>
      <c r="AL2397" s="2">
        <f t="shared" ca="1" si="2330"/>
        <v>0</v>
      </c>
      <c r="AM2397" s="2">
        <f t="shared" ca="1" si="2331"/>
        <v>0</v>
      </c>
      <c r="AN2397" s="2">
        <f t="shared" ca="1" si="2332"/>
        <v>0</v>
      </c>
      <c r="AO2397" s="2">
        <f t="shared" ca="1" si="2333"/>
        <v>0</v>
      </c>
      <c r="AP2397" s="2">
        <f t="shared" ca="1" si="2334"/>
        <v>2216760.822007081</v>
      </c>
      <c r="AQ2397" s="2">
        <f t="shared" ca="1" si="2335"/>
        <v>845584.95029756764</v>
      </c>
      <c r="AR2397" s="2">
        <f t="shared" ca="1" si="2336"/>
        <v>875497.15887334757</v>
      </c>
      <c r="AS2397" s="2">
        <f t="shared" ca="1" si="2337"/>
        <v>872353.25011316955</v>
      </c>
      <c r="AT2397" s="2">
        <f t="shared" ca="1" si="2338"/>
        <v>869216.14930728381</v>
      </c>
      <c r="AU2397" s="2">
        <f t="shared" ca="1" si="2339"/>
        <v>866085.84171345551</v>
      </c>
      <c r="AV2397" s="2">
        <f t="shared" ca="1" si="2340"/>
        <v>2406664.8585392307</v>
      </c>
      <c r="AW2397" s="2">
        <f t="shared" ca="1" si="2341"/>
        <v>2491799.6060241428</v>
      </c>
      <c r="AX2397" s="2">
        <f t="shared" ca="1" si="2342"/>
        <v>2482851.5580144054</v>
      </c>
      <c r="AY2397" s="2">
        <f t="shared" ca="1" si="2343"/>
        <v>2473922.8864899618</v>
      </c>
      <c r="AZ2397" s="2">
        <f t="shared" ca="1" si="2344"/>
        <v>2465013.5494921426</v>
      </c>
      <c r="BA2397" s="2">
        <f t="shared" ca="1" si="2345"/>
        <v>47949668.856121801</v>
      </c>
      <c r="BB2397" s="2">
        <f t="shared" ca="1" si="2346"/>
        <v>958993.37712243607</v>
      </c>
      <c r="BC2397" s="2">
        <f t="shared" ca="1" si="2347"/>
        <v>22359999.678920686</v>
      </c>
      <c r="BD2397" s="2">
        <f t="shared" ca="1" si="2348"/>
        <v>-17946728.6917224</v>
      </c>
      <c r="BE2397" s="2">
        <f t="shared" ca="1" si="2349"/>
        <v>2406664.8585392307</v>
      </c>
      <c r="BF2397" s="2">
        <f t="shared" ca="1" si="2350"/>
        <v>2491799.6060241428</v>
      </c>
      <c r="BG2397" s="2">
        <f t="shared" ca="1" si="2351"/>
        <v>2482851.5580144054</v>
      </c>
      <c r="BH2397" s="2">
        <f t="shared" ca="1" si="2352"/>
        <v>2473922.8864899618</v>
      </c>
      <c r="BI2397" s="2">
        <f t="shared" ca="1" si="2353"/>
        <v>24825013.228412829</v>
      </c>
      <c r="BJ2397" s="2">
        <f t="shared" ca="1" si="2354"/>
        <v>0.17201675880517131</v>
      </c>
      <c r="BK2397" s="2">
        <f t="shared" ca="1" si="2355"/>
        <v>3614373.2232562788</v>
      </c>
    </row>
    <row r="2398" spans="1:63" x14ac:dyDescent="0.3">
      <c r="A2398" s="2">
        <v>2397</v>
      </c>
      <c r="B2398" s="2">
        <f t="shared" ca="1" si="2294"/>
        <v>0.54948198217408595</v>
      </c>
      <c r="C2398" s="2">
        <f t="shared" ca="1" si="2295"/>
        <v>7.0507708202695056</v>
      </c>
      <c r="D2398" s="2">
        <f t="shared" ca="1" si="2296"/>
        <v>0.1573663922652343</v>
      </c>
      <c r="E2398" s="2">
        <f t="shared" ca="1" si="2297"/>
        <v>7.0610105030482657</v>
      </c>
      <c r="F2398" s="2">
        <f t="shared" ca="1" si="2298"/>
        <v>0.840641352738001</v>
      </c>
      <c r="G2398" s="2">
        <f t="shared" ca="1" si="2299"/>
        <v>6.9912918316672901E-2</v>
      </c>
      <c r="H2398" s="2">
        <f t="shared" ca="1" si="2300"/>
        <v>6.9912918316672901E-2</v>
      </c>
      <c r="I2398" s="2">
        <f t="shared" ca="1" si="2301"/>
        <v>0.85055773273349533</v>
      </c>
      <c r="J2398" s="2">
        <f t="shared" ca="1" si="2302"/>
        <v>1.5194142173023296E-2</v>
      </c>
      <c r="K2398" s="2">
        <f t="shared" ca="1" si="2303"/>
        <v>1.5194142173023296E-2</v>
      </c>
      <c r="L2398" s="2">
        <f t="shared" ca="1" si="2304"/>
        <v>0.25591066616323599</v>
      </c>
      <c r="M2398" s="2">
        <f t="shared" ca="1" si="2305"/>
        <v>-1.3120086783193164E-2</v>
      </c>
      <c r="N2398" s="2">
        <f t="shared" ca="1" si="2306"/>
        <v>-1.3120086783193164E-2</v>
      </c>
      <c r="O2398" s="2">
        <f t="shared" si="2307"/>
        <v>6000000</v>
      </c>
      <c r="P2398" s="2">
        <f t="shared" ca="1" si="2308"/>
        <v>42304624.921617031</v>
      </c>
      <c r="Q2398" s="2">
        <f t="shared" ca="1" si="2309"/>
        <v>1057615.6230404258</v>
      </c>
      <c r="R2398" s="2">
        <f t="shared" ca="1" si="2310"/>
        <v>25382774.952970218</v>
      </c>
      <c r="S2398" s="2">
        <f t="shared" ca="1" si="2311"/>
        <v>16921849.968646813</v>
      </c>
      <c r="T2398" s="2">
        <f t="shared" ca="1" si="2312"/>
        <v>49343995.66084034</v>
      </c>
      <c r="U2398" s="2">
        <f t="shared" ca="1" si="2313"/>
        <v>52793778.398894936</v>
      </c>
      <c r="V2398" s="2">
        <f t="shared" ca="1" si="2314"/>
        <v>56484745.515725404</v>
      </c>
      <c r="W2398" s="2">
        <f t="shared" ca="1" si="2315"/>
        <v>60433758.915104367</v>
      </c>
      <c r="X2398" s="2">
        <f t="shared" ca="1" si="2316"/>
        <v>64658859.365705565</v>
      </c>
      <c r="Y2398" s="2">
        <f t="shared" ca="1" si="2317"/>
        <v>0.12759707108651164</v>
      </c>
      <c r="Z2398" s="2">
        <f t="shared" ca="1" si="2318"/>
        <v>0.13063589952111632</v>
      </c>
      <c r="AA2398" s="2">
        <f t="shared" ca="1" si="2319"/>
        <v>6296149.3220287664</v>
      </c>
      <c r="AB2398" s="2">
        <f t="shared" ca="1" si="2320"/>
        <v>6896762.7302581202</v>
      </c>
      <c r="AC2398" s="2">
        <f t="shared" ca="1" si="2321"/>
        <v>7378935.5396681298</v>
      </c>
      <c r="AD2398" s="2">
        <f t="shared" ca="1" si="2322"/>
        <v>7894818.4573169416</v>
      </c>
      <c r="AE2398" s="2">
        <f t="shared" ca="1" si="2323"/>
        <v>8446768.2552483026</v>
      </c>
      <c r="AF2398" s="2">
        <f t="shared" ca="1" si="2324"/>
        <v>986879.91321680683</v>
      </c>
      <c r="AG2398" s="2">
        <f t="shared" ca="1" si="2325"/>
        <v>1055875.5679778988</v>
      </c>
      <c r="AH2398" s="2">
        <f t="shared" ca="1" si="2326"/>
        <v>1129694.910314508</v>
      </c>
      <c r="AI2398" s="2">
        <f t="shared" ca="1" si="2327"/>
        <v>1208675.1783020874</v>
      </c>
      <c r="AJ2398" s="2">
        <f t="shared" ca="1" si="2328"/>
        <v>1293177.1873141113</v>
      </c>
      <c r="AK2398" s="2">
        <f t="shared" ca="1" si="2329"/>
        <v>0</v>
      </c>
      <c r="AL2398" s="2">
        <f t="shared" ca="1" si="2330"/>
        <v>34497.827380545961</v>
      </c>
      <c r="AM2398" s="2">
        <f t="shared" ca="1" si="2331"/>
        <v>36909.671168304681</v>
      </c>
      <c r="AN2398" s="2">
        <f t="shared" ca="1" si="2332"/>
        <v>39490.133993789626</v>
      </c>
      <c r="AO2398" s="2">
        <f t="shared" ca="1" si="2333"/>
        <v>42251.004506011981</v>
      </c>
      <c r="AP2398" s="2">
        <f t="shared" ca="1" si="2334"/>
        <v>2284449.7457673196</v>
      </c>
      <c r="AQ2398" s="2">
        <f t="shared" ca="1" si="2335"/>
        <v>786453.11239160644</v>
      </c>
      <c r="AR2398" s="2">
        <f t="shared" ca="1" si="2336"/>
        <v>924673.72829335451</v>
      </c>
      <c r="AS2398" s="2">
        <f t="shared" ca="1" si="2337"/>
        <v>1030845.6297324387</v>
      </c>
      <c r="AT2398" s="2">
        <f t="shared" ca="1" si="2338"/>
        <v>1144440.318644359</v>
      </c>
      <c r="AU2398" s="2">
        <f t="shared" ca="1" si="2339"/>
        <v>1265976.7437633865</v>
      </c>
      <c r="AV2398" s="2">
        <f t="shared" ca="1" si="2340"/>
        <v>2238366.550653033</v>
      </c>
      <c r="AW2398" s="2">
        <f t="shared" ca="1" si="2341"/>
        <v>2597265.8608390009</v>
      </c>
      <c r="AX2398" s="2">
        <f t="shared" ca="1" si="2342"/>
        <v>2897035.5826855591</v>
      </c>
      <c r="AY2398" s="2">
        <f t="shared" ca="1" si="2343"/>
        <v>3217763.0806093859</v>
      </c>
      <c r="AZ2398" s="2">
        <f t="shared" ca="1" si="2344"/>
        <v>3560913.5738974726</v>
      </c>
      <c r="BA2398" s="2">
        <f t="shared" ca="1" si="2345"/>
        <v>59642719.367122941</v>
      </c>
      <c r="BB2398" s="2">
        <f t="shared" ca="1" si="2346"/>
        <v>1192854.3873424588</v>
      </c>
      <c r="BC2398" s="2">
        <f t="shared" ca="1" si="2347"/>
        <v>33067090.026810266</v>
      </c>
      <c r="BD2398" s="2">
        <f t="shared" ca="1" si="2348"/>
        <v>-18479465.59168724</v>
      </c>
      <c r="BE2398" s="2">
        <f t="shared" ca="1" si="2349"/>
        <v>2238366.550653033</v>
      </c>
      <c r="BF2398" s="2">
        <f t="shared" ca="1" si="2350"/>
        <v>2597265.8608390009</v>
      </c>
      <c r="BG2398" s="2">
        <f t="shared" ca="1" si="2351"/>
        <v>2897035.5826855591</v>
      </c>
      <c r="BH2398" s="2">
        <f t="shared" ca="1" si="2352"/>
        <v>3217763.0806093859</v>
      </c>
      <c r="BI2398" s="2">
        <f t="shared" ca="1" si="2353"/>
        <v>36628003.60070774</v>
      </c>
      <c r="BJ2398" s="2">
        <f t="shared" ca="1" si="2354"/>
        <v>0.24630679349159923</v>
      </c>
      <c r="BK2398" s="2">
        <f t="shared" ca="1" si="2355"/>
        <v>10480312.643147159</v>
      </c>
    </row>
    <row r="2399" spans="1:63" x14ac:dyDescent="0.3">
      <c r="A2399" s="2">
        <v>2398</v>
      </c>
      <c r="B2399" s="2">
        <f t="shared" ca="1" si="2294"/>
        <v>4.3747729118288725E-2</v>
      </c>
      <c r="C2399" s="2">
        <f t="shared" ca="1" si="2295"/>
        <v>6.295796312073997</v>
      </c>
      <c r="D2399" s="2">
        <f t="shared" ca="1" si="2296"/>
        <v>0.74444437212270931</v>
      </c>
      <c r="E2399" s="2">
        <f t="shared" ca="1" si="2297"/>
        <v>7.7850795458552184</v>
      </c>
      <c r="F2399" s="2">
        <f t="shared" ca="1" si="2298"/>
        <v>0.99653157748955168</v>
      </c>
      <c r="G2399" s="2">
        <f t="shared" ca="1" si="2299"/>
        <v>0.1209958302140284</v>
      </c>
      <c r="H2399" s="2">
        <f t="shared" ca="1" si="2300"/>
        <v>0.12</v>
      </c>
      <c r="I2399" s="2">
        <f t="shared" ca="1" si="2301"/>
        <v>0.57723431683369153</v>
      </c>
      <c r="J2399" s="2">
        <f t="shared" ca="1" si="2302"/>
        <v>1.0974115955179994E-2</v>
      </c>
      <c r="K2399" s="2">
        <f t="shared" ca="1" si="2303"/>
        <v>1.0974115955179994E-2</v>
      </c>
      <c r="L2399" s="2">
        <f t="shared" ca="1" si="2304"/>
        <v>0.59695233424636851</v>
      </c>
      <c r="M2399" s="2">
        <f t="shared" ca="1" si="2305"/>
        <v>4.9093277379174049E-3</v>
      </c>
      <c r="N2399" s="2">
        <f t="shared" ca="1" si="2306"/>
        <v>4.9093277379174049E-3</v>
      </c>
      <c r="O2399" s="2">
        <f t="shared" si="2307"/>
        <v>6000000</v>
      </c>
      <c r="P2399" s="2">
        <f t="shared" ca="1" si="2308"/>
        <v>37774777.872443981</v>
      </c>
      <c r="Q2399" s="2">
        <f t="shared" ca="1" si="2309"/>
        <v>944369.44681109954</v>
      </c>
      <c r="R2399" s="2">
        <f t="shared" ca="1" si="2310"/>
        <v>22664866.723466389</v>
      </c>
      <c r="S2399" s="2">
        <f t="shared" ca="1" si="2311"/>
        <v>15109911.148977593</v>
      </c>
      <c r="T2399" s="2">
        <f t="shared" ca="1" si="2312"/>
        <v>50245466.386895865</v>
      </c>
      <c r="U2399" s="2">
        <f t="shared" ca="1" si="2313"/>
        <v>56274922.353323378</v>
      </c>
      <c r="V2399" s="2">
        <f t="shared" ca="1" si="2314"/>
        <v>63027913.035722189</v>
      </c>
      <c r="W2399" s="2">
        <f t="shared" ca="1" si="2315"/>
        <v>70591262.60000886</v>
      </c>
      <c r="X2399" s="2">
        <f t="shared" ca="1" si="2316"/>
        <v>79062214.112009928</v>
      </c>
      <c r="Y2399" s="2">
        <f t="shared" ca="1" si="2317"/>
        <v>0.12548705797758999</v>
      </c>
      <c r="Z2399" s="2">
        <f t="shared" ca="1" si="2318"/>
        <v>0.127681881168626</v>
      </c>
      <c r="AA2399" s="2">
        <f t="shared" ca="1" si="2319"/>
        <v>6305155.753603451</v>
      </c>
      <c r="AB2399" s="2">
        <f t="shared" ca="1" si="2320"/>
        <v>7185287.9486906901</v>
      </c>
      <c r="AC2399" s="2">
        <f t="shared" ca="1" si="2321"/>
        <v>8047522.5025335737</v>
      </c>
      <c r="AD2399" s="2">
        <f t="shared" ca="1" si="2322"/>
        <v>9013225.2028376032</v>
      </c>
      <c r="AE2399" s="2">
        <f t="shared" ca="1" si="2323"/>
        <v>10094812.227178117</v>
      </c>
      <c r="AF2399" s="2">
        <f t="shared" ca="1" si="2324"/>
        <v>1004909.3277379173</v>
      </c>
      <c r="AG2399" s="2">
        <f t="shared" ca="1" si="2325"/>
        <v>1125498.4470664675</v>
      </c>
      <c r="AH2399" s="2">
        <f t="shared" ca="1" si="2326"/>
        <v>1260558.2607144439</v>
      </c>
      <c r="AI2399" s="2">
        <f t="shared" ca="1" si="2327"/>
        <v>1411825.2520001773</v>
      </c>
      <c r="AJ2399" s="2">
        <f t="shared" ca="1" si="2328"/>
        <v>1581244.2822401987</v>
      </c>
      <c r="AK2399" s="2">
        <f t="shared" ca="1" si="2329"/>
        <v>0</v>
      </c>
      <c r="AL2399" s="2">
        <f t="shared" ca="1" si="2330"/>
        <v>60294.559664275126</v>
      </c>
      <c r="AM2399" s="2">
        <f t="shared" ca="1" si="2331"/>
        <v>67529.906823988116</v>
      </c>
      <c r="AN2399" s="2">
        <f t="shared" ca="1" si="2332"/>
        <v>75633.495642866721</v>
      </c>
      <c r="AO2399" s="2">
        <f t="shared" ca="1" si="2333"/>
        <v>84709.515120010677</v>
      </c>
      <c r="AP2399" s="2">
        <f t="shared" ca="1" si="2334"/>
        <v>2039838.0051119749</v>
      </c>
      <c r="AQ2399" s="2">
        <f t="shared" ca="1" si="2335"/>
        <v>847706.18939592538</v>
      </c>
      <c r="AR2399" s="2">
        <f t="shared" ca="1" si="2336"/>
        <v>1045187.3890931846</v>
      </c>
      <c r="AS2399" s="2">
        <f t="shared" ca="1" si="2337"/>
        <v>1234252.8215438605</v>
      </c>
      <c r="AT2399" s="2">
        <f t="shared" ca="1" si="2338"/>
        <v>1446006.1058886175</v>
      </c>
      <c r="AU2399" s="2">
        <f t="shared" ca="1" si="2339"/>
        <v>1683169.7843547454</v>
      </c>
      <c r="AV2399" s="2">
        <f t="shared" ca="1" si="2340"/>
        <v>2412702.2313576341</v>
      </c>
      <c r="AW2399" s="2">
        <f t="shared" ca="1" si="2341"/>
        <v>2914469.5477547878</v>
      </c>
      <c r="AX2399" s="2">
        <f t="shared" ca="1" si="2342"/>
        <v>3445343.5083393073</v>
      </c>
      <c r="AY2399" s="2">
        <f t="shared" ca="1" si="2343"/>
        <v>4039922.3441939671</v>
      </c>
      <c r="AZ2399" s="2">
        <f t="shared" ca="1" si="2344"/>
        <v>4705850.6403511874</v>
      </c>
      <c r="BA2399" s="2">
        <f t="shared" ca="1" si="2345"/>
        <v>78588916.189053521</v>
      </c>
      <c r="BB2399" s="2">
        <f t="shared" ca="1" si="2346"/>
        <v>1571778.3237810705</v>
      </c>
      <c r="BC2399" s="2">
        <f t="shared" ca="1" si="2347"/>
        <v>54352271.141806059</v>
      </c>
      <c r="BD2399" s="2">
        <f t="shared" ca="1" si="2348"/>
        <v>-16554280.595788691</v>
      </c>
      <c r="BE2399" s="2">
        <f t="shared" ca="1" si="2349"/>
        <v>2412702.2313576341</v>
      </c>
      <c r="BF2399" s="2">
        <f t="shared" ca="1" si="2350"/>
        <v>2914469.5477547878</v>
      </c>
      <c r="BG2399" s="2">
        <f t="shared" ca="1" si="2351"/>
        <v>3445343.5083393073</v>
      </c>
      <c r="BH2399" s="2">
        <f t="shared" ca="1" si="2352"/>
        <v>4039922.3441939671</v>
      </c>
      <c r="BI2399" s="2">
        <f t="shared" ca="1" si="2353"/>
        <v>59058121.782157242</v>
      </c>
      <c r="BJ2399" s="2">
        <f t="shared" ca="1" si="2354"/>
        <v>0.39884676871824309</v>
      </c>
      <c r="BK2399" s="2">
        <f t="shared" ca="1" si="2355"/>
        <v>26454250.593595911</v>
      </c>
    </row>
    <row r="2400" spans="1:63" x14ac:dyDescent="0.3">
      <c r="A2400" s="2">
        <v>2399</v>
      </c>
      <c r="B2400" s="2">
        <f t="shared" ca="1" si="2294"/>
        <v>0.64965246924185749</v>
      </c>
      <c r="C2400" s="2">
        <f t="shared" ca="1" si="2295"/>
        <v>7.1629246978220626</v>
      </c>
      <c r="D2400" s="2">
        <f t="shared" ca="1" si="2296"/>
        <v>0.36625168720533241</v>
      </c>
      <c r="E2400" s="2">
        <f t="shared" ca="1" si="2297"/>
        <v>7.3558641097806738</v>
      </c>
      <c r="F2400" s="2">
        <f t="shared" ca="1" si="2298"/>
        <v>0.66035514842071574</v>
      </c>
      <c r="G2400" s="2">
        <f t="shared" ca="1" si="2299"/>
        <v>5.2402977628151388E-2</v>
      </c>
      <c r="H2400" s="2">
        <f t="shared" ca="1" si="2300"/>
        <v>5.2402977628151388E-2</v>
      </c>
      <c r="I2400" s="2">
        <f t="shared" ca="1" si="2301"/>
        <v>0.63801857173219068</v>
      </c>
      <c r="J2400" s="2">
        <f t="shared" ca="1" si="2302"/>
        <v>1.1765837597932625E-2</v>
      </c>
      <c r="K2400" s="2">
        <f t="shared" ca="1" si="2303"/>
        <v>1.1765837597932625E-2</v>
      </c>
      <c r="L2400" s="2">
        <f t="shared" ca="1" si="2304"/>
        <v>6.4747864364753216E-2</v>
      </c>
      <c r="M2400" s="2">
        <f t="shared" ca="1" si="2305"/>
        <v>-3.0321868650725305E-2</v>
      </c>
      <c r="N2400" s="2">
        <f t="shared" ca="1" si="2306"/>
        <v>-3.0321868650725305E-2</v>
      </c>
      <c r="O2400" s="2">
        <f t="shared" si="2307"/>
        <v>6000000</v>
      </c>
      <c r="P2400" s="2">
        <f t="shared" ca="1" si="2308"/>
        <v>42977548.186932378</v>
      </c>
      <c r="Q2400" s="2">
        <f t="shared" ca="1" si="2309"/>
        <v>1074438.7046733096</v>
      </c>
      <c r="R2400" s="2">
        <f t="shared" ca="1" si="2310"/>
        <v>25786528.912159424</v>
      </c>
      <c r="S2400" s="2">
        <f t="shared" ca="1" si="2311"/>
        <v>17191019.274772953</v>
      </c>
      <c r="T2400" s="2">
        <f t="shared" ca="1" si="2312"/>
        <v>48483906.567463733</v>
      </c>
      <c r="U2400" s="2">
        <f t="shared" ca="1" si="2313"/>
        <v>51024607.63864392</v>
      </c>
      <c r="V2400" s="2">
        <f t="shared" ca="1" si="2314"/>
        <v>53698449.011216983</v>
      </c>
      <c r="W2400" s="2">
        <f t="shared" ca="1" si="2315"/>
        <v>56512407.633418217</v>
      </c>
      <c r="X2400" s="2">
        <f t="shared" ca="1" si="2316"/>
        <v>59473826.0663452</v>
      </c>
      <c r="Y2400" s="2">
        <f t="shared" ca="1" si="2317"/>
        <v>0.12588291879896632</v>
      </c>
      <c r="Z2400" s="2">
        <f t="shared" ca="1" si="2318"/>
        <v>0.12823608631855282</v>
      </c>
      <c r="AA2400" s="2">
        <f t="shared" ca="1" si="2319"/>
        <v>6103295.6734887073</v>
      </c>
      <c r="AB2400" s="2">
        <f t="shared" ca="1" si="2320"/>
        <v>6543195.9895194313</v>
      </c>
      <c r="AC2400" s="2">
        <f t="shared" ca="1" si="2321"/>
        <v>6886078.9425748289</v>
      </c>
      <c r="AD2400" s="2">
        <f t="shared" ca="1" si="2322"/>
        <v>7246929.9833482616</v>
      </c>
      <c r="AE2400" s="2">
        <f t="shared" ca="1" si="2323"/>
        <v>7626690.6931384401</v>
      </c>
      <c r="AF2400" s="2">
        <f t="shared" ca="1" si="2324"/>
        <v>969678.13134927466</v>
      </c>
      <c r="AG2400" s="2">
        <f t="shared" ca="1" si="2325"/>
        <v>1020492.1527728784</v>
      </c>
      <c r="AH2400" s="2">
        <f t="shared" ca="1" si="2326"/>
        <v>1073968.9802243398</v>
      </c>
      <c r="AI2400" s="2">
        <f t="shared" ca="1" si="2327"/>
        <v>1130248.1526683643</v>
      </c>
      <c r="AJ2400" s="2">
        <f t="shared" ca="1" si="2328"/>
        <v>1189476.521326904</v>
      </c>
      <c r="AK2400" s="2">
        <f t="shared" ca="1" si="2329"/>
        <v>0</v>
      </c>
      <c r="AL2400" s="2">
        <f t="shared" ca="1" si="2330"/>
        <v>25407.010711801871</v>
      </c>
      <c r="AM2400" s="2">
        <f t="shared" ca="1" si="2331"/>
        <v>26738.413725730628</v>
      </c>
      <c r="AN2400" s="2">
        <f t="shared" ca="1" si="2332"/>
        <v>28139.586222012342</v>
      </c>
      <c r="AO2400" s="2">
        <f t="shared" ca="1" si="2333"/>
        <v>29614.184329269829</v>
      </c>
      <c r="AP2400" s="2">
        <f t="shared" ca="1" si="2334"/>
        <v>2320787.6020943481</v>
      </c>
      <c r="AQ2400" s="2">
        <f t="shared" ca="1" si="2335"/>
        <v>731335.78441172198</v>
      </c>
      <c r="AR2400" s="2">
        <f t="shared" ca="1" si="2336"/>
        <v>832498.22100957332</v>
      </c>
      <c r="AS2400" s="2">
        <f t="shared" ca="1" si="2337"/>
        <v>907743.81366659678</v>
      </c>
      <c r="AT2400" s="2">
        <f t="shared" ca="1" si="2338"/>
        <v>986932.49943224282</v>
      </c>
      <c r="AU2400" s="2">
        <f t="shared" ca="1" si="2339"/>
        <v>1070270.908126469</v>
      </c>
      <c r="AV2400" s="2">
        <f t="shared" ca="1" si="2340"/>
        <v>2081494.1556333625</v>
      </c>
      <c r="AW2400" s="2">
        <f t="shared" ca="1" si="2341"/>
        <v>2344011.0029308298</v>
      </c>
      <c r="AX2400" s="2">
        <f t="shared" ca="1" si="2342"/>
        <v>2556840.1328638135</v>
      </c>
      <c r="AY2400" s="2">
        <f t="shared" ca="1" si="2343"/>
        <v>2780822.1429312942</v>
      </c>
      <c r="AZ2400" s="2">
        <f t="shared" ca="1" si="2344"/>
        <v>3016541.4772614497</v>
      </c>
      <c r="BA2400" s="2">
        <f t="shared" ca="1" si="2345"/>
        <v>56100900.346055344</v>
      </c>
      <c r="BB2400" s="2">
        <f t="shared" ca="1" si="2346"/>
        <v>1122018.0069211069</v>
      </c>
      <c r="BC2400" s="2">
        <f t="shared" ca="1" si="2347"/>
        <v>29192353.426974811</v>
      </c>
      <c r="BD2400" s="2">
        <f t="shared" ca="1" si="2348"/>
        <v>-18765457.979446262</v>
      </c>
      <c r="BE2400" s="2">
        <f t="shared" ca="1" si="2349"/>
        <v>2081494.1556333625</v>
      </c>
      <c r="BF2400" s="2">
        <f t="shared" ca="1" si="2350"/>
        <v>2344011.0029308298</v>
      </c>
      <c r="BG2400" s="2">
        <f t="shared" ca="1" si="2351"/>
        <v>2556840.1328638135</v>
      </c>
      <c r="BH2400" s="2">
        <f t="shared" ca="1" si="2352"/>
        <v>2780822.1429312942</v>
      </c>
      <c r="BI2400" s="2">
        <f t="shared" ca="1" si="2353"/>
        <v>32208894.904236261</v>
      </c>
      <c r="BJ2400" s="2">
        <f t="shared" ca="1" si="2354"/>
        <v>0.20552868331751872</v>
      </c>
      <c r="BK2400" s="2">
        <f t="shared" ca="1" si="2355"/>
        <v>6825013.1754070371</v>
      </c>
    </row>
    <row r="2401" spans="1:63" x14ac:dyDescent="0.3">
      <c r="A2401" s="2">
        <v>2400</v>
      </c>
      <c r="B2401" s="2">
        <f t="shared" ca="1" si="2294"/>
        <v>0.13288601182379978</v>
      </c>
      <c r="C2401" s="2">
        <f t="shared" ca="1" si="2295"/>
        <v>6.5155308173597382</v>
      </c>
      <c r="D2401" s="2">
        <f t="shared" ca="1" si="2296"/>
        <v>0.69867406544829169</v>
      </c>
      <c r="E2401" s="2">
        <f t="shared" ca="1" si="2297"/>
        <v>7.72369344386163</v>
      </c>
      <c r="F2401" s="2">
        <f t="shared" ca="1" si="2298"/>
        <v>0.47776040002381681</v>
      </c>
      <c r="G2401" s="2">
        <f t="shared" ca="1" si="2299"/>
        <v>3.8326740548005431E-2</v>
      </c>
      <c r="H2401" s="2">
        <f t="shared" ca="1" si="2300"/>
        <v>3.8326740548005431E-2</v>
      </c>
      <c r="I2401" s="2">
        <f t="shared" ca="1" si="2301"/>
        <v>0.31427475806702931</v>
      </c>
      <c r="J2401" s="2">
        <f t="shared" ca="1" si="2302"/>
        <v>7.5811528739851038E-3</v>
      </c>
      <c r="K2401" s="2">
        <f t="shared" ca="1" si="2303"/>
        <v>7.5811528739851038E-3</v>
      </c>
      <c r="L2401" s="2">
        <f t="shared" ca="1" si="2304"/>
        <v>0.94192253807476645</v>
      </c>
      <c r="M2401" s="2">
        <f t="shared" ca="1" si="2305"/>
        <v>3.1422387424090349E-2</v>
      </c>
      <c r="N2401" s="2">
        <f t="shared" ca="1" si="2306"/>
        <v>3.1422387424090349E-2</v>
      </c>
      <c r="O2401" s="2">
        <f t="shared" si="2307"/>
        <v>6000000</v>
      </c>
      <c r="P2401" s="2">
        <f t="shared" ca="1" si="2308"/>
        <v>39093184.904158428</v>
      </c>
      <c r="Q2401" s="2">
        <f t="shared" ca="1" si="2309"/>
        <v>977329.6226039608</v>
      </c>
      <c r="R2401" s="2">
        <f t="shared" ca="1" si="2310"/>
        <v>23455910.942495055</v>
      </c>
      <c r="S2401" s="2">
        <f t="shared" ca="1" si="2311"/>
        <v>15637273.961663373</v>
      </c>
      <c r="T2401" s="2">
        <f t="shared" ca="1" si="2312"/>
        <v>51571119.371204518</v>
      </c>
      <c r="U2401" s="2">
        <f t="shared" ca="1" si="2313"/>
        <v>53547672.283114888</v>
      </c>
      <c r="V2401" s="2">
        <f t="shared" ca="1" si="2314"/>
        <v>55599980.025659457</v>
      </c>
      <c r="W2401" s="2">
        <f t="shared" ca="1" si="2315"/>
        <v>57730946.034577191</v>
      </c>
      <c r="X2401" s="2">
        <f t="shared" ca="1" si="2316"/>
        <v>59943585.024835333</v>
      </c>
      <c r="Y2401" s="2">
        <f t="shared" ca="1" si="2317"/>
        <v>0.12379057643699255</v>
      </c>
      <c r="Z2401" s="2">
        <f t="shared" ca="1" si="2318"/>
        <v>0.12530680701178956</v>
      </c>
      <c r="AA2401" s="2">
        <f t="shared" ca="1" si="2319"/>
        <v>6384018.5944623603</v>
      </c>
      <c r="AB2401" s="2">
        <f t="shared" ca="1" si="2320"/>
        <v>6709887.8367108302</v>
      </c>
      <c r="AC2401" s="2">
        <f t="shared" ca="1" si="2321"/>
        <v>6967055.9669346642</v>
      </c>
      <c r="AD2401" s="2">
        <f t="shared" ca="1" si="2322"/>
        <v>7234080.5133628016</v>
      </c>
      <c r="AE2401" s="2">
        <f t="shared" ca="1" si="2323"/>
        <v>7511339.24030184</v>
      </c>
      <c r="AF2401" s="2">
        <f t="shared" ca="1" si="2324"/>
        <v>1031422.3874240904</v>
      </c>
      <c r="AG2401" s="2">
        <f t="shared" ca="1" si="2325"/>
        <v>1070953.4456622978</v>
      </c>
      <c r="AH2401" s="2">
        <f t="shared" ca="1" si="2326"/>
        <v>1111999.6005131891</v>
      </c>
      <c r="AI2401" s="2">
        <f t="shared" ca="1" si="2327"/>
        <v>1154618.920691544</v>
      </c>
      <c r="AJ2401" s="2">
        <f t="shared" ca="1" si="2328"/>
        <v>1198871.7004967066</v>
      </c>
      <c r="AK2401" s="2">
        <f t="shared" ca="1" si="2329"/>
        <v>0</v>
      </c>
      <c r="AL2401" s="2">
        <f t="shared" ca="1" si="2330"/>
        <v>19765.529119103699</v>
      </c>
      <c r="AM2401" s="2">
        <f t="shared" ca="1" si="2331"/>
        <v>20523.077425445692</v>
      </c>
      <c r="AN2401" s="2">
        <f t="shared" ca="1" si="2332"/>
        <v>21309.660089177341</v>
      </c>
      <c r="AO2401" s="2">
        <f t="shared" ca="1" si="2333"/>
        <v>22126.389902581424</v>
      </c>
      <c r="AP2401" s="2">
        <f t="shared" ca="1" si="2334"/>
        <v>2111031.984824555</v>
      </c>
      <c r="AQ2401" s="2">
        <f t="shared" ca="1" si="2335"/>
        <v>842806.69777556602</v>
      </c>
      <c r="AR2401" s="2">
        <f t="shared" ca="1" si="2336"/>
        <v>917254.62561823404</v>
      </c>
      <c r="AS2401" s="2">
        <f t="shared" ca="1" si="2337"/>
        <v>973446.33921519923</v>
      </c>
      <c r="AT2401" s="2">
        <f t="shared" ca="1" si="2338"/>
        <v>1031791.6980401427</v>
      </c>
      <c r="AU2401" s="2">
        <f t="shared" ca="1" si="2339"/>
        <v>1092373.2442949503</v>
      </c>
      <c r="AV2401" s="2">
        <f t="shared" ca="1" si="2340"/>
        <v>2398757.5244381493</v>
      </c>
      <c r="AW2401" s="2">
        <f t="shared" ca="1" si="2341"/>
        <v>2590882.2514866386</v>
      </c>
      <c r="AX2401" s="2">
        <f t="shared" ca="1" si="2342"/>
        <v>2750054.9649562752</v>
      </c>
      <c r="AY2401" s="2">
        <f t="shared" ca="1" si="2343"/>
        <v>2915328.2497173827</v>
      </c>
      <c r="AZ2401" s="2">
        <f t="shared" ca="1" si="2344"/>
        <v>3086935.9207830466</v>
      </c>
      <c r="BA2401" s="2">
        <f t="shared" ca="1" si="2345"/>
        <v>58015281.644939922</v>
      </c>
      <c r="BB2401" s="2">
        <f t="shared" ca="1" si="2346"/>
        <v>1160305.6328987984</v>
      </c>
      <c r="BC2401" s="2">
        <f t="shared" ca="1" si="2347"/>
        <v>33399065.069546066</v>
      </c>
      <c r="BD2401" s="2">
        <f t="shared" ca="1" si="2348"/>
        <v>-17114603.584267333</v>
      </c>
      <c r="BE2401" s="2">
        <f t="shared" ca="1" si="2349"/>
        <v>2398757.5244381493</v>
      </c>
      <c r="BF2401" s="2">
        <f t="shared" ca="1" si="2350"/>
        <v>2590882.2514866386</v>
      </c>
      <c r="BG2401" s="2">
        <f t="shared" ca="1" si="2351"/>
        <v>2750054.9649562752</v>
      </c>
      <c r="BH2401" s="2">
        <f t="shared" ca="1" si="2352"/>
        <v>2915328.2497173827</v>
      </c>
      <c r="BI2401" s="2">
        <f t="shared" ca="1" si="2353"/>
        <v>36486000.990329117</v>
      </c>
      <c r="BJ2401" s="2">
        <f t="shared" ca="1" si="2354"/>
        <v>0.26792924815018893</v>
      </c>
      <c r="BK2401" s="2">
        <f t="shared" ca="1" si="2355"/>
        <v>11605895.10507527</v>
      </c>
    </row>
    <row r="2402" spans="1:63" x14ac:dyDescent="0.3">
      <c r="A2402" s="2">
        <v>2401</v>
      </c>
      <c r="B2402" s="2">
        <f t="shared" ca="1" si="2294"/>
        <v>0.14587323081667425</v>
      </c>
      <c r="C2402" s="2">
        <f t="shared" ca="1" si="2295"/>
        <v>6.5401355955992422</v>
      </c>
      <c r="D2402" s="2">
        <f t="shared" ca="1" si="2296"/>
        <v>0.10246953767213363</v>
      </c>
      <c r="E2402" s="2">
        <f t="shared" ca="1" si="2297"/>
        <v>6.9527019718802503</v>
      </c>
      <c r="F2402" s="2">
        <f t="shared" ca="1" si="2298"/>
        <v>0.58577189517390083</v>
      </c>
      <c r="G2402" s="2">
        <f t="shared" ca="1" si="2299"/>
        <v>4.6500458730487561E-2</v>
      </c>
      <c r="H2402" s="2">
        <f t="shared" ca="1" si="2300"/>
        <v>4.6500458730487561E-2</v>
      </c>
      <c r="I2402" s="2">
        <f t="shared" ca="1" si="2301"/>
        <v>0.13695422344042285</v>
      </c>
      <c r="J2402" s="2">
        <f t="shared" ca="1" si="2302"/>
        <v>4.5294694940606452E-3</v>
      </c>
      <c r="K2402" s="2">
        <f t="shared" ca="1" si="2303"/>
        <v>4.5294694940606452E-3</v>
      </c>
      <c r="L2402" s="2">
        <f t="shared" ca="1" si="2304"/>
        <v>0.91300829095359326</v>
      </c>
      <c r="M2402" s="2">
        <f t="shared" ca="1" si="2305"/>
        <v>2.7190302177121786E-2</v>
      </c>
      <c r="N2402" s="2">
        <f t="shared" ca="1" si="2306"/>
        <v>2.7190302177121786E-2</v>
      </c>
      <c r="O2402" s="2">
        <f t="shared" si="2307"/>
        <v>6000000</v>
      </c>
      <c r="P2402" s="2">
        <f t="shared" ca="1" si="2308"/>
        <v>39240813.573595457</v>
      </c>
      <c r="Q2402" s="2">
        <f t="shared" ca="1" si="2309"/>
        <v>981020.33933988644</v>
      </c>
      <c r="R2402" s="2">
        <f t="shared" ca="1" si="2310"/>
        <v>23544488.144157272</v>
      </c>
      <c r="S2402" s="2">
        <f t="shared" ca="1" si="2311"/>
        <v>15696325.429438183</v>
      </c>
      <c r="T2402" s="2">
        <f t="shared" ca="1" si="2312"/>
        <v>51359515.108856089</v>
      </c>
      <c r="U2402" s="2">
        <f t="shared" ca="1" si="2313"/>
        <v>53747756.121593304</v>
      </c>
      <c r="V2402" s="2">
        <f t="shared" ca="1" si="2314"/>
        <v>56247051.436981767</v>
      </c>
      <c r="W2402" s="2">
        <f t="shared" ca="1" si="2315"/>
        <v>58862565.131038748</v>
      </c>
      <c r="X2402" s="2">
        <f t="shared" ca="1" si="2316"/>
        <v>61599701.411685251</v>
      </c>
      <c r="Y2402" s="2">
        <f t="shared" ca="1" si="2317"/>
        <v>0.12226473474703031</v>
      </c>
      <c r="Z2402" s="2">
        <f t="shared" ca="1" si="2318"/>
        <v>0.12317062864584245</v>
      </c>
      <c r="AA2402" s="2">
        <f t="shared" ca="1" si="2319"/>
        <v>6279457.4915203853</v>
      </c>
      <c r="AB2402" s="2">
        <f t="shared" ca="1" si="2320"/>
        <v>6620144.9098000741</v>
      </c>
      <c r="AC2402" s="2">
        <f t="shared" ca="1" si="2321"/>
        <v>6927984.6849680804</v>
      </c>
      <c r="AD2402" s="2">
        <f t="shared" ca="1" si="2322"/>
        <v>7250139.1508968882</v>
      </c>
      <c r="AE2402" s="2">
        <f t="shared" ca="1" si="2323"/>
        <v>7587273.9472734611</v>
      </c>
      <c r="AF2402" s="2">
        <f t="shared" ca="1" si="2324"/>
        <v>1027190.3021771219</v>
      </c>
      <c r="AG2402" s="2">
        <f t="shared" ca="1" si="2325"/>
        <v>1074955.1224318661</v>
      </c>
      <c r="AH2402" s="2">
        <f t="shared" ca="1" si="2326"/>
        <v>1124941.0287396354</v>
      </c>
      <c r="AI2402" s="2">
        <f t="shared" ca="1" si="2327"/>
        <v>1177251.3026207751</v>
      </c>
      <c r="AJ2402" s="2">
        <f t="shared" ca="1" si="2328"/>
        <v>1231994.0282337051</v>
      </c>
      <c r="AK2402" s="2">
        <f t="shared" ca="1" si="2329"/>
        <v>0</v>
      </c>
      <c r="AL2402" s="2">
        <f t="shared" ca="1" si="2330"/>
        <v>23882.410127372146</v>
      </c>
      <c r="AM2402" s="2">
        <f t="shared" ca="1" si="2331"/>
        <v>24992.953153884635</v>
      </c>
      <c r="AN2402" s="2">
        <f t="shared" ca="1" si="2332"/>
        <v>26155.136940569802</v>
      </c>
      <c r="AO2402" s="2">
        <f t="shared" ca="1" si="2333"/>
        <v>27371.362806465029</v>
      </c>
      <c r="AP2402" s="2">
        <f t="shared" ca="1" si="2334"/>
        <v>2119003.9329741546</v>
      </c>
      <c r="AQ2402" s="2">
        <f t="shared" ca="1" si="2335"/>
        <v>814648.44665596832</v>
      </c>
      <c r="AR2402" s="2">
        <f t="shared" ca="1" si="2336"/>
        <v>890808.32214245398</v>
      </c>
      <c r="AS2402" s="2">
        <f t="shared" ca="1" si="2337"/>
        <v>957850.3280461157</v>
      </c>
      <c r="AT2402" s="2">
        <f t="shared" ca="1" si="2338"/>
        <v>1028009.8179785092</v>
      </c>
      <c r="AU2402" s="2">
        <f t="shared" ca="1" si="2339"/>
        <v>1101431.7563770565</v>
      </c>
      <c r="AV2402" s="2">
        <f t="shared" ca="1" si="2340"/>
        <v>2318614.8097131406</v>
      </c>
      <c r="AW2402" s="2">
        <f t="shared" ca="1" si="2341"/>
        <v>2511495.1221242272</v>
      </c>
      <c r="AX2402" s="2">
        <f t="shared" ca="1" si="2342"/>
        <v>2701196.4420542899</v>
      </c>
      <c r="AY2402" s="2">
        <f t="shared" ca="1" si="2343"/>
        <v>2899718.9603828802</v>
      </c>
      <c r="AZ2402" s="2">
        <f t="shared" ca="1" si="2344"/>
        <v>3107472.8668820797</v>
      </c>
      <c r="BA2402" s="2">
        <f t="shared" ca="1" si="2345"/>
        <v>52752054.534403846</v>
      </c>
      <c r="BB2402" s="2">
        <f t="shared" ca="1" si="2346"/>
        <v>1055041.090688077</v>
      </c>
      <c r="BC2402" s="2">
        <f t="shared" ca="1" si="2347"/>
        <v>28152525.299558498</v>
      </c>
      <c r="BD2402" s="2">
        <f t="shared" ca="1" si="2348"/>
        <v>-17177345.768778071</v>
      </c>
      <c r="BE2402" s="2">
        <f t="shared" ca="1" si="2349"/>
        <v>2318614.8097131406</v>
      </c>
      <c r="BF2402" s="2">
        <f t="shared" ca="1" si="2350"/>
        <v>2511495.1221242272</v>
      </c>
      <c r="BG2402" s="2">
        <f t="shared" ca="1" si="2351"/>
        <v>2701196.4420542899</v>
      </c>
      <c r="BH2402" s="2">
        <f t="shared" ca="1" si="2352"/>
        <v>2899718.9603828802</v>
      </c>
      <c r="BI2402" s="2">
        <f t="shared" ca="1" si="2353"/>
        <v>31259998.166440576</v>
      </c>
      <c r="BJ2402" s="2">
        <f t="shared" ca="1" si="2354"/>
        <v>0.23335354675045838</v>
      </c>
      <c r="BK2402" s="2">
        <f t="shared" ca="1" si="2355"/>
        <v>8398239.1243525892</v>
      </c>
    </row>
    <row r="2403" spans="1:63" x14ac:dyDescent="0.3">
      <c r="A2403" s="2">
        <v>2402</v>
      </c>
      <c r="B2403" s="2">
        <f t="shared" ca="1" si="2294"/>
        <v>0.74329621629639786</v>
      </c>
      <c r="C2403" s="2">
        <f t="shared" ca="1" si="2295"/>
        <v>7.2834753546407462</v>
      </c>
      <c r="D2403" s="2">
        <f t="shared" ca="1" si="2296"/>
        <v>0.86220020174708822</v>
      </c>
      <c r="E2403" s="2">
        <f t="shared" ca="1" si="2297"/>
        <v>7.9750241943614704</v>
      </c>
      <c r="F2403" s="2">
        <f t="shared" ca="1" si="2298"/>
        <v>0.78547564332120134</v>
      </c>
      <c r="G2403" s="2">
        <f t="shared" ca="1" si="2299"/>
        <v>6.3724616649410204E-2</v>
      </c>
      <c r="H2403" s="2">
        <f t="shared" ca="1" si="2300"/>
        <v>6.3724616649410204E-2</v>
      </c>
      <c r="I2403" s="2">
        <f t="shared" ca="1" si="2301"/>
        <v>0.59729630012870361</v>
      </c>
      <c r="J2403" s="2">
        <f t="shared" ca="1" si="2302"/>
        <v>1.1231775244999988E-2</v>
      </c>
      <c r="K2403" s="2">
        <f t="shared" ca="1" si="2303"/>
        <v>1.1231775244999988E-2</v>
      </c>
      <c r="L2403" s="2">
        <f t="shared" ca="1" si="2304"/>
        <v>5.6452800554354532E-2</v>
      </c>
      <c r="M2403" s="2">
        <f t="shared" ca="1" si="2305"/>
        <v>-3.1705347250877605E-2</v>
      </c>
      <c r="N2403" s="2">
        <f t="shared" ca="1" si="2306"/>
        <v>-3.1705347250877605E-2</v>
      </c>
      <c r="O2403" s="2">
        <f t="shared" si="2307"/>
        <v>6000000</v>
      </c>
      <c r="P2403" s="2">
        <f t="shared" ca="1" si="2308"/>
        <v>43700852.127844475</v>
      </c>
      <c r="Q2403" s="2">
        <f t="shared" ca="1" si="2309"/>
        <v>1092521.3031961119</v>
      </c>
      <c r="R2403" s="2">
        <f t="shared" ca="1" si="2310"/>
        <v>26220511.276706684</v>
      </c>
      <c r="S2403" s="2">
        <f t="shared" ca="1" si="2311"/>
        <v>17480340.851137791</v>
      </c>
      <c r="T2403" s="2">
        <f t="shared" ca="1" si="2312"/>
        <v>48414732.637456119</v>
      </c>
      <c r="U2403" s="2">
        <f t="shared" ca="1" si="2313"/>
        <v>51499942.914961703</v>
      </c>
      <c r="V2403" s="2">
        <f t="shared" ca="1" si="2314"/>
        <v>54781757.034684151</v>
      </c>
      <c r="W2403" s="2">
        <f t="shared" ca="1" si="2315"/>
        <v>58272703.501100533</v>
      </c>
      <c r="X2403" s="2">
        <f t="shared" ca="1" si="2316"/>
        <v>61986109.192832917</v>
      </c>
      <c r="Y2403" s="2">
        <f t="shared" ca="1" si="2317"/>
        <v>0.12561588762249998</v>
      </c>
      <c r="Z2403" s="2">
        <f t="shared" ca="1" si="2318"/>
        <v>0.12786224267149998</v>
      </c>
      <c r="AA2403" s="2">
        <f t="shared" ca="1" si="2319"/>
        <v>6081659.61426007</v>
      </c>
      <c r="AB2403" s="2">
        <f t="shared" ca="1" si="2320"/>
        <v>6584898.1985612297</v>
      </c>
      <c r="AC2403" s="2">
        <f t="shared" ca="1" si="2321"/>
        <v>7004518.3119399361</v>
      </c>
      <c r="AD2403" s="2">
        <f t="shared" ca="1" si="2322"/>
        <v>7450878.5561820827</v>
      </c>
      <c r="AE2403" s="2">
        <f t="shared" ca="1" si="2323"/>
        <v>7925682.9358760985</v>
      </c>
      <c r="AF2403" s="2">
        <f t="shared" ca="1" si="2324"/>
        <v>968294.65274912235</v>
      </c>
      <c r="AG2403" s="2">
        <f t="shared" ca="1" si="2325"/>
        <v>1029998.8582992341</v>
      </c>
      <c r="AH2403" s="2">
        <f t="shared" ca="1" si="2326"/>
        <v>1095635.1406936829</v>
      </c>
      <c r="AI2403" s="2">
        <f t="shared" ca="1" si="2327"/>
        <v>1165454.0700220107</v>
      </c>
      <c r="AJ2403" s="2">
        <f t="shared" ca="1" si="2328"/>
        <v>1239722.1838566584</v>
      </c>
      <c r="AK2403" s="2">
        <f t="shared" ca="1" si="2329"/>
        <v>0</v>
      </c>
      <c r="AL2403" s="2">
        <f t="shared" ca="1" si="2330"/>
        <v>30852.102775055842</v>
      </c>
      <c r="AM2403" s="2">
        <f t="shared" ca="1" si="2331"/>
        <v>32818.141197224482</v>
      </c>
      <c r="AN2403" s="2">
        <f t="shared" ca="1" si="2332"/>
        <v>34909.46466416381</v>
      </c>
      <c r="AO2403" s="2">
        <f t="shared" ca="1" si="2333"/>
        <v>37134.05691732384</v>
      </c>
      <c r="AP2403" s="2">
        <f t="shared" ca="1" si="2334"/>
        <v>2359846.0149036017</v>
      </c>
      <c r="AQ2403" s="2">
        <f t="shared" ca="1" si="2335"/>
        <v>715914.92611791007</v>
      </c>
      <c r="AR2403" s="2">
        <f t="shared" ca="1" si="2336"/>
        <v>830713.86459318246</v>
      </c>
      <c r="AS2403" s="2">
        <f t="shared" ca="1" si="2337"/>
        <v>922749.66064908938</v>
      </c>
      <c r="AT2403" s="2">
        <f t="shared" ca="1" si="2338"/>
        <v>1020650.4025266822</v>
      </c>
      <c r="AU2403" s="2">
        <f t="shared" ca="1" si="2339"/>
        <v>1124789.8316501179</v>
      </c>
      <c r="AV2403" s="2">
        <f t="shared" ca="1" si="2340"/>
        <v>2037604.0204894361</v>
      </c>
      <c r="AW2403" s="2">
        <f t="shared" ca="1" si="2341"/>
        <v>2333487.3579901555</v>
      </c>
      <c r="AX2403" s="2">
        <f t="shared" ca="1" si="2342"/>
        <v>2593469.3544963379</v>
      </c>
      <c r="AY2403" s="2">
        <f t="shared" ca="1" si="2343"/>
        <v>2870018.6040656236</v>
      </c>
      <c r="AZ2403" s="2">
        <f t="shared" ca="1" si="2344"/>
        <v>3164190.848548397</v>
      </c>
      <c r="BA2403" s="2">
        <f t="shared" ca="1" si="2345"/>
        <v>63207513.170449734</v>
      </c>
      <c r="BB2403" s="2">
        <f t="shared" ca="1" si="2346"/>
        <v>1264150.2634089948</v>
      </c>
      <c r="BC2403" s="2">
        <f t="shared" ca="1" si="2347"/>
        <v>35722851.630334057</v>
      </c>
      <c r="BD2403" s="2">
        <f t="shared" ca="1" si="2348"/>
        <v>-19072862.154333904</v>
      </c>
      <c r="BE2403" s="2">
        <f t="shared" ca="1" si="2349"/>
        <v>2037604.0204894361</v>
      </c>
      <c r="BF2403" s="2">
        <f t="shared" ca="1" si="2350"/>
        <v>2333487.3579901555</v>
      </c>
      <c r="BG2403" s="2">
        <f t="shared" ca="1" si="2351"/>
        <v>2593469.3544963379</v>
      </c>
      <c r="BH2403" s="2">
        <f t="shared" ca="1" si="2352"/>
        <v>2870018.6040656236</v>
      </c>
      <c r="BI2403" s="2">
        <f t="shared" ca="1" si="2353"/>
        <v>38887042.478882454</v>
      </c>
      <c r="BJ2403" s="2">
        <f t="shared" ca="1" si="2354"/>
        <v>0.2388680415224429</v>
      </c>
      <c r="BK2403" s="2">
        <f t="shared" ca="1" si="2355"/>
        <v>10342150.194876641</v>
      </c>
    </row>
    <row r="2404" spans="1:63" x14ac:dyDescent="0.3">
      <c r="A2404" s="2">
        <v>2403</v>
      </c>
      <c r="B2404" s="2">
        <f t="shared" ca="1" si="2294"/>
        <v>0.4671002162991793</v>
      </c>
      <c r="C2404" s="2">
        <f t="shared" ca="1" si="2295"/>
        <v>6.9665404454022388</v>
      </c>
      <c r="D2404" s="2">
        <f t="shared" ca="1" si="2296"/>
        <v>1.2630386546383598E-2</v>
      </c>
      <c r="E2404" s="2">
        <f t="shared" ca="1" si="2297"/>
        <v>6.6589363806457387</v>
      </c>
      <c r="F2404" s="2">
        <f t="shared" ca="1" si="2298"/>
        <v>7.4647538244283163E-2</v>
      </c>
      <c r="G2404" s="2">
        <f t="shared" ca="1" si="2299"/>
        <v>-3.2607760132485342E-3</v>
      </c>
      <c r="H2404" s="2">
        <f t="shared" ca="1" si="2300"/>
        <v>-3.2607760132485342E-3</v>
      </c>
      <c r="I2404" s="2">
        <f t="shared" ca="1" si="2301"/>
        <v>0.2832805221146828</v>
      </c>
      <c r="J2404" s="2">
        <f t="shared" ca="1" si="2302"/>
        <v>7.1343822600425447E-3</v>
      </c>
      <c r="K2404" s="2">
        <f t="shared" ca="1" si="2303"/>
        <v>7.1343822600425447E-3</v>
      </c>
      <c r="L2404" s="2">
        <f t="shared" ca="1" si="2304"/>
        <v>0.23375529008919715</v>
      </c>
      <c r="M2404" s="2">
        <f t="shared" ca="1" si="2305"/>
        <v>-1.4530709108158972E-2</v>
      </c>
      <c r="N2404" s="2">
        <f t="shared" ca="1" si="2306"/>
        <v>-1.4530709108158972E-2</v>
      </c>
      <c r="O2404" s="2">
        <f t="shared" si="2307"/>
        <v>6000000</v>
      </c>
      <c r="P2404" s="2">
        <f t="shared" ca="1" si="2308"/>
        <v>41799242.672413431</v>
      </c>
      <c r="Q2404" s="2">
        <f t="shared" ca="1" si="2309"/>
        <v>1044981.0668103358</v>
      </c>
      <c r="R2404" s="2">
        <f t="shared" ca="1" si="2310"/>
        <v>25079545.603448059</v>
      </c>
      <c r="S2404" s="2">
        <f t="shared" ca="1" si="2311"/>
        <v>16719697.068965374</v>
      </c>
      <c r="T2404" s="2">
        <f t="shared" ca="1" si="2312"/>
        <v>49273464.544592053</v>
      </c>
      <c r="U2404" s="2">
        <f t="shared" ca="1" si="2313"/>
        <v>49112794.813315392</v>
      </c>
      <c r="V2404" s="2">
        <f t="shared" ca="1" si="2314"/>
        <v>48952648.990044534</v>
      </c>
      <c r="W2404" s="2">
        <f t="shared" ca="1" si="2315"/>
        <v>48793025.366432816</v>
      </c>
      <c r="X2404" s="2">
        <f t="shared" ca="1" si="2316"/>
        <v>48633922.239704125</v>
      </c>
      <c r="Y2404" s="2">
        <f t="shared" ca="1" si="2317"/>
        <v>0.12356719113002126</v>
      </c>
      <c r="Z2404" s="2">
        <f t="shared" ca="1" si="2318"/>
        <v>0.12499406758202977</v>
      </c>
      <c r="AA2404" s="2">
        <f t="shared" ca="1" si="2319"/>
        <v>6088583.6110199327</v>
      </c>
      <c r="AB2404" s="2">
        <f t="shared" ca="1" si="2320"/>
        <v>6138807.9940379057</v>
      </c>
      <c r="AC2404" s="2">
        <f t="shared" ca="1" si="2321"/>
        <v>6118790.7161810081</v>
      </c>
      <c r="AD2404" s="2">
        <f t="shared" ca="1" si="2322"/>
        <v>6098838.7101835962</v>
      </c>
      <c r="AE2404" s="2">
        <f t="shared" ca="1" si="2323"/>
        <v>6078951.7632087581</v>
      </c>
      <c r="AF2404" s="2">
        <f t="shared" ca="1" si="2324"/>
        <v>985469.29089184105</v>
      </c>
      <c r="AG2404" s="2">
        <f t="shared" ca="1" si="2325"/>
        <v>982255.8962663078</v>
      </c>
      <c r="AH2404" s="2">
        <f t="shared" ca="1" si="2326"/>
        <v>979052.97980089067</v>
      </c>
      <c r="AI2404" s="2">
        <f t="shared" ca="1" si="2327"/>
        <v>975860.50732865639</v>
      </c>
      <c r="AJ2404" s="2">
        <f t="shared" ca="1" si="2328"/>
        <v>972678.44479408255</v>
      </c>
      <c r="AK2404" s="2">
        <f t="shared" ca="1" si="2329"/>
        <v>0</v>
      </c>
      <c r="AL2404" s="2">
        <f t="shared" ca="1" si="2330"/>
        <v>0</v>
      </c>
      <c r="AM2404" s="2">
        <f t="shared" ca="1" si="2331"/>
        <v>0</v>
      </c>
      <c r="AN2404" s="2">
        <f t="shared" ca="1" si="2332"/>
        <v>0</v>
      </c>
      <c r="AO2404" s="2">
        <f t="shared" ca="1" si="2333"/>
        <v>0</v>
      </c>
      <c r="AP2404" s="2">
        <f t="shared" ca="1" si="2334"/>
        <v>2257159.1043103253</v>
      </c>
      <c r="AQ2404" s="2">
        <f t="shared" ca="1" si="2335"/>
        <v>739948.35611261928</v>
      </c>
      <c r="AR2404" s="2">
        <f t="shared" ca="1" si="2336"/>
        <v>753842.17829993088</v>
      </c>
      <c r="AS2404" s="2">
        <f t="shared" ca="1" si="2337"/>
        <v>749470.4443381459</v>
      </c>
      <c r="AT2404" s="2">
        <f t="shared" ca="1" si="2338"/>
        <v>745112.96562159981</v>
      </c>
      <c r="AU2404" s="2">
        <f t="shared" ca="1" si="2339"/>
        <v>740769.69566713099</v>
      </c>
      <c r="AV2404" s="2">
        <f t="shared" ca="1" si="2340"/>
        <v>2106006.8597051473</v>
      </c>
      <c r="AW2404" s="2">
        <f t="shared" ca="1" si="2341"/>
        <v>2145550.8151613418</v>
      </c>
      <c r="AX2404" s="2">
        <f t="shared" ca="1" si="2342"/>
        <v>2133108.187731646</v>
      </c>
      <c r="AY2404" s="2">
        <f t="shared" ca="1" si="2343"/>
        <v>2120706.1329230145</v>
      </c>
      <c r="AZ2404" s="2">
        <f t="shared" ca="1" si="2344"/>
        <v>2108344.5184372189</v>
      </c>
      <c r="BA2404" s="2">
        <f t="shared" ca="1" si="2345"/>
        <v>40479353.052221358</v>
      </c>
      <c r="BB2404" s="2">
        <f t="shared" ca="1" si="2346"/>
        <v>809587.06104442722</v>
      </c>
      <c r="BC2404" s="2">
        <f t="shared" ca="1" si="2347"/>
        <v>14590220.387728872</v>
      </c>
      <c r="BD2404" s="2">
        <f t="shared" ca="1" si="2348"/>
        <v>-18264678.135775708</v>
      </c>
      <c r="BE2404" s="2">
        <f t="shared" ca="1" si="2349"/>
        <v>2106006.8597051473</v>
      </c>
      <c r="BF2404" s="2">
        <f t="shared" ca="1" si="2350"/>
        <v>2145550.8151613418</v>
      </c>
      <c r="BG2404" s="2">
        <f t="shared" ca="1" si="2351"/>
        <v>2133108.187731646</v>
      </c>
      <c r="BH2404" s="2">
        <f t="shared" ca="1" si="2352"/>
        <v>2120706.1329230145</v>
      </c>
      <c r="BI2404" s="2">
        <f t="shared" ca="1" si="2353"/>
        <v>16698564.906166092</v>
      </c>
      <c r="BJ2404" s="2">
        <f t="shared" ca="1" si="2354"/>
        <v>8.208515099355207E-2</v>
      </c>
      <c r="BK2404" s="2">
        <f t="shared" ca="1" si="2355"/>
        <v>-2332629.3537088148</v>
      </c>
    </row>
    <row r="2405" spans="1:63" x14ac:dyDescent="0.3">
      <c r="A2405" s="2">
        <v>2404</v>
      </c>
      <c r="B2405" s="2">
        <f t="shared" ca="1" si="2294"/>
        <v>0.18814857850708222</v>
      </c>
      <c r="C2405" s="2">
        <f t="shared" ca="1" si="2295"/>
        <v>6.6134306456431435</v>
      </c>
      <c r="D2405" s="2">
        <f t="shared" ca="1" si="2296"/>
        <v>0.75125079356865554</v>
      </c>
      <c r="E2405" s="2">
        <f t="shared" ca="1" si="2297"/>
        <v>7.7946643261094124</v>
      </c>
      <c r="F2405" s="2">
        <f t="shared" ca="1" si="2298"/>
        <v>0.2596792449515104</v>
      </c>
      <c r="G2405" s="2">
        <f t="shared" ca="1" si="2299"/>
        <v>2.0669962291187928E-2</v>
      </c>
      <c r="H2405" s="2">
        <f t="shared" ca="1" si="2300"/>
        <v>2.0669962291187928E-2</v>
      </c>
      <c r="I2405" s="2">
        <f t="shared" ca="1" si="2301"/>
        <v>0.40225596754027837</v>
      </c>
      <c r="J2405" s="2">
        <f t="shared" ca="1" si="2302"/>
        <v>8.7624395436650716E-3</v>
      </c>
      <c r="K2405" s="2">
        <f t="shared" ca="1" si="2303"/>
        <v>8.7624395436650716E-3</v>
      </c>
      <c r="L2405" s="2">
        <f t="shared" ca="1" si="2304"/>
        <v>0.68962765034136986</v>
      </c>
      <c r="M2405" s="2">
        <f t="shared" ca="1" si="2305"/>
        <v>9.8959038196870502E-3</v>
      </c>
      <c r="N2405" s="2">
        <f t="shared" ca="1" si="2306"/>
        <v>9.8959038196870502E-3</v>
      </c>
      <c r="O2405" s="2">
        <f t="shared" si="2307"/>
        <v>6000000</v>
      </c>
      <c r="P2405" s="2">
        <f t="shared" ca="1" si="2308"/>
        <v>39680583.873858862</v>
      </c>
      <c r="Q2405" s="2">
        <f t="shared" ca="1" si="2309"/>
        <v>992014.59684647154</v>
      </c>
      <c r="R2405" s="2">
        <f t="shared" ca="1" si="2310"/>
        <v>23808350.324315317</v>
      </c>
      <c r="S2405" s="2">
        <f t="shared" ca="1" si="2311"/>
        <v>15872233.549543545</v>
      </c>
      <c r="T2405" s="2">
        <f t="shared" ca="1" si="2312"/>
        <v>50494795.190984353</v>
      </c>
      <c r="U2405" s="2">
        <f t="shared" ca="1" si="2313"/>
        <v>51538520.703483254</v>
      </c>
      <c r="V2405" s="2">
        <f t="shared" ca="1" si="2314"/>
        <v>52603819.982967861</v>
      </c>
      <c r="W2405" s="2">
        <f t="shared" ca="1" si="2315"/>
        <v>53691138.958388239</v>
      </c>
      <c r="X2405" s="2">
        <f t="shared" ca="1" si="2316"/>
        <v>54800932.77602905</v>
      </c>
      <c r="Y2405" s="2">
        <f t="shared" ca="1" si="2317"/>
        <v>0.12438121977183253</v>
      </c>
      <c r="Z2405" s="2">
        <f t="shared" ca="1" si="2318"/>
        <v>0.12613370768056553</v>
      </c>
      <c r="AA2405" s="2">
        <f t="shared" ca="1" si="2319"/>
        <v>6280604.2179834973</v>
      </c>
      <c r="AB2405" s="2">
        <f t="shared" ca="1" si="2320"/>
        <v>6500744.7047019312</v>
      </c>
      <c r="AC2405" s="2">
        <f t="shared" ca="1" si="2321"/>
        <v>6635114.8526127599</v>
      </c>
      <c r="AD2405" s="2">
        <f t="shared" ca="1" si="2322"/>
        <v>6772262.4264139663</v>
      </c>
      <c r="AE2405" s="2">
        <f t="shared" ca="1" si="2323"/>
        <v>6912244.8353939708</v>
      </c>
      <c r="AF2405" s="2">
        <f t="shared" ca="1" si="2324"/>
        <v>1009895.9038196871</v>
      </c>
      <c r="AG2405" s="2">
        <f t="shared" ca="1" si="2325"/>
        <v>1030770.4140696651</v>
      </c>
      <c r="AH2405" s="2">
        <f t="shared" ca="1" si="2326"/>
        <v>1052076.3996593573</v>
      </c>
      <c r="AI2405" s="2">
        <f t="shared" ca="1" si="2327"/>
        <v>1073822.7791677648</v>
      </c>
      <c r="AJ2405" s="2">
        <f t="shared" ca="1" si="2328"/>
        <v>1096018.6555205809</v>
      </c>
      <c r="AK2405" s="2">
        <f t="shared" ca="1" si="2329"/>
        <v>0</v>
      </c>
      <c r="AL2405" s="2">
        <f t="shared" ca="1" si="2330"/>
        <v>10437.255124989004</v>
      </c>
      <c r="AM2405" s="2">
        <f t="shared" ca="1" si="2331"/>
        <v>10652.992794846074</v>
      </c>
      <c r="AN2405" s="2">
        <f t="shared" ca="1" si="2332"/>
        <v>10873.189754203782</v>
      </c>
      <c r="AO2405" s="2">
        <f t="shared" ca="1" si="2333"/>
        <v>11097.938176408112</v>
      </c>
      <c r="AP2405" s="2">
        <f t="shared" ca="1" si="2334"/>
        <v>2142751.5291883782</v>
      </c>
      <c r="AQ2405" s="2">
        <f t="shared" ca="1" si="2335"/>
        <v>813268.76409361244</v>
      </c>
      <c r="AR2405" s="2">
        <f t="shared" ca="1" si="2336"/>
        <v>865077.91797541094</v>
      </c>
      <c r="AS2405" s="2">
        <f t="shared" ca="1" si="2337"/>
        <v>894474.60017890646</v>
      </c>
      <c r="AT2405" s="2">
        <f t="shared" ca="1" si="2338"/>
        <v>924478.91069503408</v>
      </c>
      <c r="AU2405" s="2">
        <f t="shared" ca="1" si="2339"/>
        <v>955103.40917810309</v>
      </c>
      <c r="AV2405" s="2">
        <f t="shared" ca="1" si="2340"/>
        <v>2314688.02088182</v>
      </c>
      <c r="AW2405" s="2">
        <f t="shared" ca="1" si="2341"/>
        <v>2451707.5883434885</v>
      </c>
      <c r="AX2405" s="2">
        <f t="shared" ca="1" si="2342"/>
        <v>2535159.3307912718</v>
      </c>
      <c r="AY2405" s="2">
        <f t="shared" ca="1" si="2343"/>
        <v>2620336.0176085853</v>
      </c>
      <c r="AZ2405" s="2">
        <f t="shared" ca="1" si="2344"/>
        <v>2707273.3033305001</v>
      </c>
      <c r="BA2405" s="2">
        <f t="shared" ca="1" si="2345"/>
        <v>53878628.231779411</v>
      </c>
      <c r="BB2405" s="2">
        <f t="shared" ca="1" si="2346"/>
        <v>1077572.5646355883</v>
      </c>
      <c r="BC2405" s="2">
        <f t="shared" ca="1" si="2347"/>
        <v>28992705.342828505</v>
      </c>
      <c r="BD2405" s="2">
        <f t="shared" ca="1" si="2348"/>
        <v>-17364248.146390017</v>
      </c>
      <c r="BE2405" s="2">
        <f t="shared" ca="1" si="2349"/>
        <v>2314688.02088182</v>
      </c>
      <c r="BF2405" s="2">
        <f t="shared" ca="1" si="2350"/>
        <v>2451707.5883434885</v>
      </c>
      <c r="BG2405" s="2">
        <f t="shared" ca="1" si="2351"/>
        <v>2535159.3307912718</v>
      </c>
      <c r="BH2405" s="2">
        <f t="shared" ca="1" si="2352"/>
        <v>2620336.0176085853</v>
      </c>
      <c r="BI2405" s="2">
        <f t="shared" ca="1" si="2353"/>
        <v>31699978.646159004</v>
      </c>
      <c r="BJ2405" s="2">
        <f t="shared" ca="1" si="2354"/>
        <v>0.2283424048352205</v>
      </c>
      <c r="BK2405" s="2">
        <f t="shared" ca="1" si="2355"/>
        <v>8114090.3224523924</v>
      </c>
    </row>
    <row r="2406" spans="1:63" x14ac:dyDescent="0.3">
      <c r="A2406" s="2">
        <v>2405</v>
      </c>
      <c r="B2406" s="2">
        <f t="shared" ca="1" si="2294"/>
        <v>0.78459737937334806</v>
      </c>
      <c r="C2406" s="2">
        <f t="shared" ca="1" si="2295"/>
        <v>7.3436424440495074</v>
      </c>
      <c r="D2406" s="2">
        <f t="shared" ca="1" si="2296"/>
        <v>0.12175825252272698</v>
      </c>
      <c r="E2406" s="2">
        <f t="shared" ca="1" si="2297"/>
        <v>6.9934739152634657</v>
      </c>
      <c r="F2406" s="2">
        <f t="shared" ca="1" si="2298"/>
        <v>0.47603261361342764</v>
      </c>
      <c r="G2406" s="2">
        <f t="shared" ca="1" si="2299"/>
        <v>3.8196594595584797E-2</v>
      </c>
      <c r="H2406" s="2">
        <f t="shared" ca="1" si="2300"/>
        <v>3.8196594595584797E-2</v>
      </c>
      <c r="I2406" s="2">
        <f t="shared" ca="1" si="2301"/>
        <v>0.3543382116153716</v>
      </c>
      <c r="J2406" s="2">
        <f t="shared" ca="1" si="2302"/>
        <v>8.131828579016287E-3</v>
      </c>
      <c r="K2406" s="2">
        <f t="shared" ca="1" si="2303"/>
        <v>8.131828579016287E-3</v>
      </c>
      <c r="L2406" s="2">
        <f t="shared" ca="1" si="2304"/>
        <v>0.11620975276205314</v>
      </c>
      <c r="M2406" s="2">
        <f t="shared" ca="1" si="2305"/>
        <v>-2.3882989366834251E-2</v>
      </c>
      <c r="N2406" s="2">
        <f t="shared" ca="1" si="2306"/>
        <v>-2.3882989366834251E-2</v>
      </c>
      <c r="O2406" s="2">
        <f t="shared" si="2307"/>
        <v>6000000</v>
      </c>
      <c r="P2406" s="2">
        <f t="shared" ca="1" si="2308"/>
        <v>44061854.664297044</v>
      </c>
      <c r="Q2406" s="2">
        <f t="shared" ca="1" si="2309"/>
        <v>1101546.3666074262</v>
      </c>
      <c r="R2406" s="2">
        <f t="shared" ca="1" si="2310"/>
        <v>26437112.798578225</v>
      </c>
      <c r="S2406" s="2">
        <f t="shared" ca="1" si="2311"/>
        <v>17624741.865718819</v>
      </c>
      <c r="T2406" s="2">
        <f t="shared" ca="1" si="2312"/>
        <v>48805850.531658292</v>
      </c>
      <c r="U2406" s="2">
        <f t="shared" ca="1" si="2313"/>
        <v>50670067.818308756</v>
      </c>
      <c r="V2406" s="2">
        <f t="shared" ca="1" si="2314"/>
        <v>52605491.856895484</v>
      </c>
      <c r="W2406" s="2">
        <f t="shared" ca="1" si="2315"/>
        <v>54614842.50285466</v>
      </c>
      <c r="X2406" s="2">
        <f t="shared" ca="1" si="2316"/>
        <v>56700943.500837915</v>
      </c>
      <c r="Y2406" s="2">
        <f t="shared" ca="1" si="2317"/>
        <v>0.12406591428950814</v>
      </c>
      <c r="Z2406" s="2">
        <f t="shared" ca="1" si="2318"/>
        <v>0.12569228000531141</v>
      </c>
      <c r="AA2406" s="2">
        <f t="shared" ca="1" si="2319"/>
        <v>6055142.468887263</v>
      </c>
      <c r="AB2406" s="2">
        <f t="shared" ca="1" si="2320"/>
        <v>6368836.3521069828</v>
      </c>
      <c r="AC2406" s="2">
        <f t="shared" ca="1" si="2321"/>
        <v>6612104.2122940365</v>
      </c>
      <c r="AD2406" s="2">
        <f t="shared" ca="1" si="2322"/>
        <v>6864664.0763147902</v>
      </c>
      <c r="AE2406" s="2">
        <f t="shared" ca="1" si="2323"/>
        <v>7126870.8670726614</v>
      </c>
      <c r="AF2406" s="2">
        <f t="shared" ca="1" si="2324"/>
        <v>976117.01063316583</v>
      </c>
      <c r="AG2406" s="2">
        <f t="shared" ca="1" si="2325"/>
        <v>1013401.3563661751</v>
      </c>
      <c r="AH2406" s="2">
        <f t="shared" ca="1" si="2326"/>
        <v>1052109.8371379096</v>
      </c>
      <c r="AI2406" s="2">
        <f t="shared" ca="1" si="2327"/>
        <v>1092296.8500570932</v>
      </c>
      <c r="AJ2406" s="2">
        <f t="shared" ca="1" si="2328"/>
        <v>1134018.8700167583</v>
      </c>
      <c r="AK2406" s="2">
        <f t="shared" ca="1" si="2329"/>
        <v>0</v>
      </c>
      <c r="AL2406" s="2">
        <f t="shared" ca="1" si="2330"/>
        <v>18642.172866504639</v>
      </c>
      <c r="AM2406" s="2">
        <f t="shared" ca="1" si="2331"/>
        <v>19354.240385867284</v>
      </c>
      <c r="AN2406" s="2">
        <f t="shared" ca="1" si="2332"/>
        <v>20093.506459591761</v>
      </c>
      <c r="AO2406" s="2">
        <f t="shared" ca="1" si="2333"/>
        <v>20861.009979832546</v>
      </c>
      <c r="AP2406" s="2">
        <f t="shared" ca="1" si="2334"/>
        <v>2379340.1518720402</v>
      </c>
      <c r="AQ2406" s="2">
        <f t="shared" ca="1" si="2335"/>
        <v>701918.17965933483</v>
      </c>
      <c r="AR2406" s="2">
        <f t="shared" ca="1" si="2336"/>
        <v>773784.65940587956</v>
      </c>
      <c r="AS2406" s="2">
        <f t="shared" ca="1" si="2337"/>
        <v>826970.09805386257</v>
      </c>
      <c r="AT2406" s="2">
        <f t="shared" ca="1" si="2338"/>
        <v>882187.03934027068</v>
      </c>
      <c r="AU2406" s="2">
        <f t="shared" ca="1" si="2339"/>
        <v>939513.07974780432</v>
      </c>
      <c r="AV2406" s="2">
        <f t="shared" ca="1" si="2340"/>
        <v>1997767.1267227218</v>
      </c>
      <c r="AW2406" s="2">
        <f t="shared" ca="1" si="2341"/>
        <v>2183668.0115963831</v>
      </c>
      <c r="AX2406" s="2">
        <f t="shared" ca="1" si="2342"/>
        <v>2334329.8848443567</v>
      </c>
      <c r="AY2406" s="2">
        <f t="shared" ca="1" si="2343"/>
        <v>2490746.5285857939</v>
      </c>
      <c r="AZ2406" s="2">
        <f t="shared" ca="1" si="2344"/>
        <v>2653137.7554562255</v>
      </c>
      <c r="BA2406" s="2">
        <f t="shared" ca="1" si="2345"/>
        <v>49841585.506323777</v>
      </c>
      <c r="BB2406" s="2">
        <f t="shared" ca="1" si="2346"/>
        <v>996831.71012647555</v>
      </c>
      <c r="BC2406" s="2">
        <f t="shared" ca="1" si="2347"/>
        <v>22407640.997619078</v>
      </c>
      <c r="BD2406" s="2">
        <f t="shared" ca="1" si="2348"/>
        <v>-19226288.232326247</v>
      </c>
      <c r="BE2406" s="2">
        <f t="shared" ca="1" si="2349"/>
        <v>1997767.1267227218</v>
      </c>
      <c r="BF2406" s="2">
        <f t="shared" ca="1" si="2350"/>
        <v>2183668.0115963831</v>
      </c>
      <c r="BG2406" s="2">
        <f t="shared" ca="1" si="2351"/>
        <v>2334329.8848443567</v>
      </c>
      <c r="BH2406" s="2">
        <f t="shared" ca="1" si="2352"/>
        <v>2490746.5285857939</v>
      </c>
      <c r="BI2406" s="2">
        <f t="shared" ca="1" si="2353"/>
        <v>25060778.753075302</v>
      </c>
      <c r="BJ2406" s="2">
        <f t="shared" ca="1" si="2354"/>
        <v>0.14388070922237595</v>
      </c>
      <c r="BK2406" s="2">
        <f t="shared" ca="1" si="2355"/>
        <v>1762842.4272520803</v>
      </c>
    </row>
    <row r="2407" spans="1:63" x14ac:dyDescent="0.3">
      <c r="A2407" s="2">
        <v>2406</v>
      </c>
      <c r="B2407" s="2">
        <f t="shared" ca="1" si="2294"/>
        <v>0.32660894417014985</v>
      </c>
      <c r="C2407" s="2">
        <f t="shared" ca="1" si="2295"/>
        <v>6.8082189606414216</v>
      </c>
      <c r="D2407" s="2">
        <f t="shared" ca="1" si="2296"/>
        <v>0.20873619560499468</v>
      </c>
      <c r="E2407" s="2">
        <f t="shared" ca="1" si="2297"/>
        <v>7.1461210344896609</v>
      </c>
      <c r="F2407" s="2">
        <f t="shared" ca="1" si="2298"/>
        <v>0.25461998364852989</v>
      </c>
      <c r="G2407" s="2">
        <f t="shared" ca="1" si="2299"/>
        <v>2.0199351961287054E-2</v>
      </c>
      <c r="H2407" s="2">
        <f t="shared" ca="1" si="2300"/>
        <v>2.0199351961287054E-2</v>
      </c>
      <c r="I2407" s="2">
        <f t="shared" ca="1" si="2301"/>
        <v>0.19480911354680108</v>
      </c>
      <c r="J2407" s="2">
        <f t="shared" ca="1" si="2302"/>
        <v>5.6984504094049959E-3</v>
      </c>
      <c r="K2407" s="2">
        <f t="shared" ca="1" si="2303"/>
        <v>5.6984504094049959E-3</v>
      </c>
      <c r="L2407" s="2">
        <f t="shared" ca="1" si="2304"/>
        <v>0.83011511154112172</v>
      </c>
      <c r="M2407" s="2">
        <f t="shared" ca="1" si="2305"/>
        <v>1.9092404839561785E-2</v>
      </c>
      <c r="N2407" s="2">
        <f t="shared" ca="1" si="2306"/>
        <v>1.9092404839561785E-2</v>
      </c>
      <c r="O2407" s="2">
        <f t="shared" si="2307"/>
        <v>6000000</v>
      </c>
      <c r="P2407" s="2">
        <f t="shared" ca="1" si="2308"/>
        <v>40849313.763848528</v>
      </c>
      <c r="Q2407" s="2">
        <f t="shared" ca="1" si="2309"/>
        <v>1021232.8440962132</v>
      </c>
      <c r="R2407" s="2">
        <f t="shared" ca="1" si="2310"/>
        <v>24509588.258309115</v>
      </c>
      <c r="S2407" s="2">
        <f t="shared" ca="1" si="2311"/>
        <v>16339725.505539412</v>
      </c>
      <c r="T2407" s="2">
        <f t="shared" ca="1" si="2312"/>
        <v>50954620.241978087</v>
      </c>
      <c r="U2407" s="2">
        <f t="shared" ca="1" si="2313"/>
        <v>51983870.550299525</v>
      </c>
      <c r="V2407" s="2">
        <f t="shared" ca="1" si="2314"/>
        <v>53033911.047855012</v>
      </c>
      <c r="W2407" s="2">
        <f t="shared" ca="1" si="2315"/>
        <v>54105161.682994224</v>
      </c>
      <c r="X2407" s="2">
        <f t="shared" ca="1" si="2316"/>
        <v>55198050.886751369</v>
      </c>
      <c r="Y2407" s="2">
        <f t="shared" ca="1" si="2317"/>
        <v>0.1228492252047025</v>
      </c>
      <c r="Z2407" s="2">
        <f t="shared" ca="1" si="2318"/>
        <v>0.1239889152865835</v>
      </c>
      <c r="AA2407" s="2">
        <f t="shared" ca="1" si="2319"/>
        <v>6259735.6173268585</v>
      </c>
      <c r="AB2407" s="2">
        <f t="shared" ca="1" si="2320"/>
        <v>6445423.7219298109</v>
      </c>
      <c r="AC2407" s="2">
        <f t="shared" ca="1" si="2321"/>
        <v>6575617.1042286996</v>
      </c>
      <c r="AD2407" s="2">
        <f t="shared" ca="1" si="2322"/>
        <v>6708440.3084796742</v>
      </c>
      <c r="AE2407" s="2">
        <f t="shared" ca="1" si="2323"/>
        <v>6843946.4553819411</v>
      </c>
      <c r="AF2407" s="2">
        <f t="shared" ca="1" si="2324"/>
        <v>1019092.4048395618</v>
      </c>
      <c r="AG2407" s="2">
        <f t="shared" ca="1" si="2325"/>
        <v>1039677.4110059906</v>
      </c>
      <c r="AH2407" s="2">
        <f t="shared" ca="1" si="2326"/>
        <v>1060678.2209571002</v>
      </c>
      <c r="AI2407" s="2">
        <f t="shared" ca="1" si="2327"/>
        <v>1082103.2336598844</v>
      </c>
      <c r="AJ2407" s="2">
        <f t="shared" ca="1" si="2328"/>
        <v>1103961.0177350275</v>
      </c>
      <c r="AK2407" s="2">
        <f t="shared" ca="1" si="2329"/>
        <v>0</v>
      </c>
      <c r="AL2407" s="2">
        <f t="shared" ca="1" si="2330"/>
        <v>10292.503083214388</v>
      </c>
      <c r="AM2407" s="2">
        <f t="shared" ca="1" si="2331"/>
        <v>10500.404975554869</v>
      </c>
      <c r="AN2407" s="2">
        <f t="shared" ca="1" si="2332"/>
        <v>10712.50635139212</v>
      </c>
      <c r="AO2407" s="2">
        <f t="shared" ca="1" si="2333"/>
        <v>10928.892037571446</v>
      </c>
      <c r="AP2407" s="2">
        <f t="shared" ca="1" si="2334"/>
        <v>2205862.9432478203</v>
      </c>
      <c r="AQ2407" s="2">
        <f t="shared" ca="1" si="2335"/>
        <v>789042.87000226404</v>
      </c>
      <c r="AR2407" s="2">
        <f t="shared" ca="1" si="2336"/>
        <v>831969.67559576011</v>
      </c>
      <c r="AS2407" s="2">
        <f t="shared" ca="1" si="2337"/>
        <v>860359.74440618255</v>
      </c>
      <c r="AT2407" s="2">
        <f t="shared" ca="1" si="2338"/>
        <v>889323.27420871228</v>
      </c>
      <c r="AU2407" s="2">
        <f t="shared" ca="1" si="2339"/>
        <v>918871.84854376421</v>
      </c>
      <c r="AV2407" s="2">
        <f t="shared" ca="1" si="2340"/>
        <v>2245737.3992372127</v>
      </c>
      <c r="AW2407" s="2">
        <f t="shared" ca="1" si="2341"/>
        <v>2357621.1889970256</v>
      </c>
      <c r="AX2407" s="2">
        <f t="shared" ca="1" si="2342"/>
        <v>2438215.7906420417</v>
      </c>
      <c r="AY2407" s="2">
        <f t="shared" ca="1" si="2343"/>
        <v>2520438.3510118658</v>
      </c>
      <c r="AZ2407" s="2">
        <f t="shared" ca="1" si="2344"/>
        <v>2604321.7538177576</v>
      </c>
      <c r="BA2407" s="2">
        <f t="shared" ca="1" si="2345"/>
        <v>48907669.72372584</v>
      </c>
      <c r="BB2407" s="2">
        <f t="shared" ca="1" si="2346"/>
        <v>978153.39447451686</v>
      </c>
      <c r="BC2407" s="2">
        <f t="shared" ca="1" si="2347"/>
        <v>23419928.070942208</v>
      </c>
      <c r="BD2407" s="2">
        <f t="shared" ca="1" si="2348"/>
        <v>-17860958.349635623</v>
      </c>
      <c r="BE2407" s="2">
        <f t="shared" ca="1" si="2349"/>
        <v>2245737.3992372127</v>
      </c>
      <c r="BF2407" s="2">
        <f t="shared" ca="1" si="2350"/>
        <v>2357621.1889970256</v>
      </c>
      <c r="BG2407" s="2">
        <f t="shared" ca="1" si="2351"/>
        <v>2438215.7906420417</v>
      </c>
      <c r="BH2407" s="2">
        <f t="shared" ca="1" si="2352"/>
        <v>2520438.3510118658</v>
      </c>
      <c r="BI2407" s="2">
        <f t="shared" ca="1" si="2353"/>
        <v>26024249.824759968</v>
      </c>
      <c r="BJ2407" s="2">
        <f t="shared" ca="1" si="2354"/>
        <v>0.17827923310280114</v>
      </c>
      <c r="BK2407" s="2">
        <f t="shared" ca="1" si="2355"/>
        <v>4127761.7334652506</v>
      </c>
    </row>
    <row r="2408" spans="1:63" x14ac:dyDescent="0.3">
      <c r="A2408" s="2">
        <v>2407</v>
      </c>
      <c r="B2408" s="2">
        <f t="shared" ca="1" si="2294"/>
        <v>0.1763867596574582</v>
      </c>
      <c r="C2408" s="2">
        <f t="shared" ca="1" si="2295"/>
        <v>6.5939474045022139</v>
      </c>
      <c r="D2408" s="2">
        <f t="shared" ca="1" si="2296"/>
        <v>0.30552453872885887</v>
      </c>
      <c r="E2408" s="2">
        <f t="shared" ca="1" si="2297"/>
        <v>7.2816962821055995</v>
      </c>
      <c r="F2408" s="2">
        <f t="shared" ca="1" si="2298"/>
        <v>0.50262329896033853</v>
      </c>
      <c r="G2408" s="2">
        <f t="shared" ca="1" si="2299"/>
        <v>4.019727048204419E-2</v>
      </c>
      <c r="H2408" s="2">
        <f t="shared" ca="1" si="2300"/>
        <v>4.019727048204419E-2</v>
      </c>
      <c r="I2408" s="2">
        <f t="shared" ca="1" si="2301"/>
        <v>4.9355394672426889E-2</v>
      </c>
      <c r="J2408" s="2">
        <f t="shared" ca="1" si="2302"/>
        <v>1.7443195473271569E-3</v>
      </c>
      <c r="K2408" s="2">
        <f t="shared" ca="1" si="2303"/>
        <v>1.7443195473271569E-3</v>
      </c>
      <c r="L2408" s="2">
        <f t="shared" ca="1" si="2304"/>
        <v>0.3582742100351527</v>
      </c>
      <c r="M2408" s="2">
        <f t="shared" ca="1" si="2305"/>
        <v>-7.2615117598090482E-3</v>
      </c>
      <c r="N2408" s="2">
        <f t="shared" ca="1" si="2306"/>
        <v>-7.2615117598090482E-3</v>
      </c>
      <c r="O2408" s="2">
        <f t="shared" si="2307"/>
        <v>6000000</v>
      </c>
      <c r="P2408" s="2">
        <f t="shared" ca="1" si="2308"/>
        <v>39563684.427013285</v>
      </c>
      <c r="Q2408" s="2">
        <f t="shared" ca="1" si="2309"/>
        <v>989092.11067533214</v>
      </c>
      <c r="R2408" s="2">
        <f t="shared" ca="1" si="2310"/>
        <v>23738210.656207971</v>
      </c>
      <c r="S2408" s="2">
        <f t="shared" ca="1" si="2311"/>
        <v>15825473.770805314</v>
      </c>
      <c r="T2408" s="2">
        <f t="shared" ca="1" si="2312"/>
        <v>49636924.412009545</v>
      </c>
      <c r="U2408" s="2">
        <f t="shared" ca="1" si="2313"/>
        <v>51632193.288495868</v>
      </c>
      <c r="V2408" s="2">
        <f t="shared" ca="1" si="2314"/>
        <v>53707666.527694717</v>
      </c>
      <c r="W2408" s="2">
        <f t="shared" ca="1" si="2315"/>
        <v>55866568.126067892</v>
      </c>
      <c r="X2408" s="2">
        <f t="shared" ca="1" si="2316"/>
        <v>58112251.675934985</v>
      </c>
      <c r="Y2408" s="2">
        <f t="shared" ca="1" si="2317"/>
        <v>0.12087215977366357</v>
      </c>
      <c r="Z2408" s="2">
        <f t="shared" ca="1" si="2318"/>
        <v>0.12122102368312901</v>
      </c>
      <c r="AA2408" s="2">
        <f t="shared" ca="1" si="2319"/>
        <v>5999722.2582016792</v>
      </c>
      <c r="AB2408" s="2">
        <f t="shared" ca="1" si="2320"/>
        <v>6258907.3254366526</v>
      </c>
      <c r="AC2408" s="2">
        <f t="shared" ca="1" si="2321"/>
        <v>6510498.316119276</v>
      </c>
      <c r="AD2408" s="2">
        <f t="shared" ca="1" si="2322"/>
        <v>6772202.5779052163</v>
      </c>
      <c r="AE2408" s="2">
        <f t="shared" ca="1" si="2323"/>
        <v>7044426.636688468</v>
      </c>
      <c r="AF2408" s="2">
        <f t="shared" ca="1" si="2324"/>
        <v>992738.4882401909</v>
      </c>
      <c r="AG2408" s="2">
        <f t="shared" ca="1" si="2325"/>
        <v>1032643.8657699174</v>
      </c>
      <c r="AH2408" s="2">
        <f t="shared" ca="1" si="2326"/>
        <v>1074153.3305538944</v>
      </c>
      <c r="AI2408" s="2">
        <f t="shared" ca="1" si="2327"/>
        <v>1117331.3625213578</v>
      </c>
      <c r="AJ2408" s="2">
        <f t="shared" ca="1" si="2328"/>
        <v>1162245.0335186997</v>
      </c>
      <c r="AK2408" s="2">
        <f t="shared" ca="1" si="2329"/>
        <v>0</v>
      </c>
      <c r="AL2408" s="2">
        <f t="shared" ca="1" si="2330"/>
        <v>19952.688764863236</v>
      </c>
      <c r="AM2408" s="2">
        <f t="shared" ca="1" si="2331"/>
        <v>20754.732391988488</v>
      </c>
      <c r="AN2408" s="2">
        <f t="shared" ca="1" si="2332"/>
        <v>21589.015983731748</v>
      </c>
      <c r="AO2408" s="2">
        <f t="shared" ca="1" si="2333"/>
        <v>22456.835498670935</v>
      </c>
      <c r="AP2408" s="2">
        <f t="shared" ca="1" si="2334"/>
        <v>2136438.9590587174</v>
      </c>
      <c r="AQ2408" s="2">
        <f t="shared" ca="1" si="2335"/>
        <v>746341.65083472047</v>
      </c>
      <c r="AR2408" s="2">
        <f t="shared" ca="1" si="2336"/>
        <v>803354.37015808478</v>
      </c>
      <c r="AS2408" s="2">
        <f t="shared" ca="1" si="2337"/>
        <v>857975.56689173263</v>
      </c>
      <c r="AT2408" s="2">
        <f t="shared" ca="1" si="2338"/>
        <v>914792.38664453675</v>
      </c>
      <c r="AU2408" s="2">
        <f t="shared" ca="1" si="2339"/>
        <v>973893.08746887324</v>
      </c>
      <c r="AV2408" s="2">
        <f t="shared" ca="1" si="2340"/>
        <v>2124203.1600680505</v>
      </c>
      <c r="AW2408" s="2">
        <f t="shared" ca="1" si="2341"/>
        <v>2266517.4416850698</v>
      </c>
      <c r="AX2408" s="2">
        <f t="shared" ca="1" si="2342"/>
        <v>2421175.7272229423</v>
      </c>
      <c r="AY2408" s="2">
        <f t="shared" ca="1" si="2343"/>
        <v>2582050.8536968729</v>
      </c>
      <c r="AZ2408" s="2">
        <f t="shared" ca="1" si="2344"/>
        <v>2749392.721143506</v>
      </c>
      <c r="BA2408" s="2">
        <f t="shared" ca="1" si="2345"/>
        <v>51295375.249940068</v>
      </c>
      <c r="BB2408" s="2">
        <f t="shared" ca="1" si="2346"/>
        <v>1025907.5049988014</v>
      </c>
      <c r="BC2408" s="2">
        <f t="shared" ca="1" si="2347"/>
        <v>26531257.088733293</v>
      </c>
      <c r="BD2408" s="2">
        <f t="shared" ca="1" si="2348"/>
        <v>-17314565.881480645</v>
      </c>
      <c r="BE2408" s="2">
        <f t="shared" ca="1" si="2349"/>
        <v>2124203.1600680505</v>
      </c>
      <c r="BF2408" s="2">
        <f t="shared" ca="1" si="2350"/>
        <v>2266517.4416850698</v>
      </c>
      <c r="BG2408" s="2">
        <f t="shared" ca="1" si="2351"/>
        <v>2421175.7272229423</v>
      </c>
      <c r="BH2408" s="2">
        <f t="shared" ca="1" si="2352"/>
        <v>2582050.8536968729</v>
      </c>
      <c r="BI2408" s="2">
        <f t="shared" ca="1" si="2353"/>
        <v>29280649.8098768</v>
      </c>
      <c r="BJ2408" s="2">
        <f t="shared" ca="1" si="2354"/>
        <v>0.20741726748692391</v>
      </c>
      <c r="BK2408" s="2">
        <f t="shared" ca="1" si="2355"/>
        <v>6367810.0217631087</v>
      </c>
    </row>
    <row r="2409" spans="1:63" x14ac:dyDescent="0.3">
      <c r="A2409" s="2">
        <v>2408</v>
      </c>
      <c r="B2409" s="2">
        <f t="shared" ca="1" si="2294"/>
        <v>0.29221924165062485</v>
      </c>
      <c r="C2409" s="2">
        <f t="shared" ca="1" si="2295"/>
        <v>6.7644857639624494</v>
      </c>
      <c r="D2409" s="2">
        <f t="shared" ca="1" si="2296"/>
        <v>0.99729198743228331</v>
      </c>
      <c r="E2409" s="2">
        <f t="shared" ca="1" si="2297"/>
        <v>8.4264063512561478</v>
      </c>
      <c r="F2409" s="2">
        <f t="shared" ca="1" si="2298"/>
        <v>0.75367266874178585</v>
      </c>
      <c r="G2409" s="2">
        <f t="shared" ca="1" si="2299"/>
        <v>6.058278059402307E-2</v>
      </c>
      <c r="H2409" s="2">
        <f t="shared" ca="1" si="2300"/>
        <v>6.058278059402307E-2</v>
      </c>
      <c r="I2409" s="2">
        <f t="shared" ca="1" si="2301"/>
        <v>0.15215915920506218</v>
      </c>
      <c r="J2409" s="2">
        <f t="shared" ca="1" si="2302"/>
        <v>4.8639152496729515E-3</v>
      </c>
      <c r="K2409" s="2">
        <f t="shared" ca="1" si="2303"/>
        <v>4.8639152496729515E-3</v>
      </c>
      <c r="L2409" s="2">
        <f t="shared" ca="1" si="2304"/>
        <v>0.90938463297149907</v>
      </c>
      <c r="M2409" s="2">
        <f t="shared" ca="1" si="2305"/>
        <v>2.6739503882690668E-2</v>
      </c>
      <c r="N2409" s="2">
        <f t="shared" ca="1" si="2306"/>
        <v>2.6739503882690668E-2</v>
      </c>
      <c r="O2409" s="2">
        <f t="shared" si="2307"/>
        <v>6000000</v>
      </c>
      <c r="P2409" s="2">
        <f t="shared" ca="1" si="2308"/>
        <v>40586914.583774693</v>
      </c>
      <c r="Q2409" s="2">
        <f t="shared" ca="1" si="2309"/>
        <v>1014672.8645943673</v>
      </c>
      <c r="R2409" s="2">
        <f t="shared" ca="1" si="2310"/>
        <v>24352148.750264816</v>
      </c>
      <c r="S2409" s="2">
        <f t="shared" ca="1" si="2311"/>
        <v>16234765.833509877</v>
      </c>
      <c r="T2409" s="2">
        <f t="shared" ca="1" si="2312"/>
        <v>51336975.194134541</v>
      </c>
      <c r="U2409" s="2">
        <f t="shared" ca="1" si="2313"/>
        <v>54447111.898681603</v>
      </c>
      <c r="V2409" s="2">
        <f t="shared" ca="1" si="2314"/>
        <v>57745669.332817659</v>
      </c>
      <c r="W2409" s="2">
        <f t="shared" ca="1" si="2315"/>
        <v>61244062.54826276</v>
      </c>
      <c r="X2409" s="2">
        <f t="shared" ca="1" si="2316"/>
        <v>64954398.152310789</v>
      </c>
      <c r="Y2409" s="2">
        <f t="shared" ca="1" si="2317"/>
        <v>0.12243195762483647</v>
      </c>
      <c r="Z2409" s="2">
        <f t="shared" ca="1" si="2318"/>
        <v>0.12340474067477106</v>
      </c>
      <c r="AA2409" s="2">
        <f t="shared" ca="1" si="2319"/>
        <v>6285286.3715555612</v>
      </c>
      <c r="AB2409" s="2">
        <f t="shared" ca="1" si="2320"/>
        <v>6719031.7243470447</v>
      </c>
      <c r="AC2409" s="2">
        <f t="shared" ca="1" si="2321"/>
        <v>7126089.3491074434</v>
      </c>
      <c r="AD2409" s="2">
        <f t="shared" ca="1" si="2322"/>
        <v>7557807.6566378241</v>
      </c>
      <c r="AE2409" s="2">
        <f t="shared" ca="1" si="2323"/>
        <v>8015680.6596717415</v>
      </c>
      <c r="AF2409" s="2">
        <f t="shared" ca="1" si="2324"/>
        <v>1026739.5038826908</v>
      </c>
      <c r="AG2409" s="2">
        <f t="shared" ca="1" si="2325"/>
        <v>1088942.2379736321</v>
      </c>
      <c r="AH2409" s="2">
        <f t="shared" ca="1" si="2326"/>
        <v>1154913.3866563533</v>
      </c>
      <c r="AI2409" s="2">
        <f t="shared" ca="1" si="2327"/>
        <v>1224881.2509652553</v>
      </c>
      <c r="AJ2409" s="2">
        <f t="shared" ca="1" si="2328"/>
        <v>1299087.9630462157</v>
      </c>
      <c r="AK2409" s="2">
        <f t="shared" ca="1" si="2329"/>
        <v>0</v>
      </c>
      <c r="AL2409" s="2">
        <f t="shared" ca="1" si="2330"/>
        <v>31101.367045470626</v>
      </c>
      <c r="AM2409" s="2">
        <f t="shared" ca="1" si="2331"/>
        <v>32985.574341360552</v>
      </c>
      <c r="AN2409" s="2">
        <f t="shared" ca="1" si="2332"/>
        <v>34983.932154451017</v>
      </c>
      <c r="AO2409" s="2">
        <f t="shared" ca="1" si="2333"/>
        <v>37103.356040480285</v>
      </c>
      <c r="AP2409" s="2">
        <f t="shared" ca="1" si="2334"/>
        <v>2191693.3875238332</v>
      </c>
      <c r="AQ2409" s="2">
        <f t="shared" ca="1" si="2335"/>
        <v>797381.90483874956</v>
      </c>
      <c r="AR2409" s="2">
        <f t="shared" ca="1" si="2336"/>
        <v>893982.98570089065</v>
      </c>
      <c r="AS2409" s="2">
        <f t="shared" ca="1" si="2337"/>
        <v>982665.46948108682</v>
      </c>
      <c r="AT2409" s="2">
        <f t="shared" ca="1" si="2338"/>
        <v>1076720.5847186714</v>
      </c>
      <c r="AU2409" s="2">
        <f t="shared" ca="1" si="2339"/>
        <v>1176473.8203664403</v>
      </c>
      <c r="AV2409" s="2">
        <f t="shared" ca="1" si="2340"/>
        <v>2269471.5753102875</v>
      </c>
      <c r="AW2409" s="2">
        <f t="shared" ca="1" si="2341"/>
        <v>2513311.7461032183</v>
      </c>
      <c r="AX2409" s="2">
        <f t="shared" ca="1" si="2342"/>
        <v>2763831.5311048091</v>
      </c>
      <c r="AY2409" s="2">
        <f t="shared" ca="1" si="2343"/>
        <v>3029528.5012756134</v>
      </c>
      <c r="AZ2409" s="2">
        <f t="shared" ca="1" si="2344"/>
        <v>3311322.132694772</v>
      </c>
      <c r="BA2409" s="2">
        <f t="shared" ca="1" si="2345"/>
        <v>67543382.420299038</v>
      </c>
      <c r="BB2409" s="2">
        <f t="shared" ca="1" si="2346"/>
        <v>1350867.6484059808</v>
      </c>
      <c r="BC2409" s="2">
        <f t="shared" ca="1" si="2347"/>
        <v>41840366.021628238</v>
      </c>
      <c r="BD2409" s="2">
        <f t="shared" ca="1" si="2348"/>
        <v>-17749438.698104244</v>
      </c>
      <c r="BE2409" s="2">
        <f t="shared" ca="1" si="2349"/>
        <v>2269471.5753102875</v>
      </c>
      <c r="BF2409" s="2">
        <f t="shared" ca="1" si="2350"/>
        <v>2513311.7461032183</v>
      </c>
      <c r="BG2409" s="2">
        <f t="shared" ca="1" si="2351"/>
        <v>2763831.5311048091</v>
      </c>
      <c r="BH2409" s="2">
        <f t="shared" ca="1" si="2352"/>
        <v>3029528.5012756134</v>
      </c>
      <c r="BI2409" s="2">
        <f t="shared" ca="1" si="2353"/>
        <v>45151688.154323012</v>
      </c>
      <c r="BJ2409" s="2">
        <f t="shared" ca="1" si="2354"/>
        <v>0.29934443515524412</v>
      </c>
      <c r="BK2409" s="2">
        <f t="shared" ca="1" si="2355"/>
        <v>15793313.20831522</v>
      </c>
    </row>
    <row r="2410" spans="1:63" x14ac:dyDescent="0.3">
      <c r="A2410" s="2">
        <v>2409</v>
      </c>
      <c r="B2410" s="2">
        <f t="shared" ca="1" si="2294"/>
        <v>0.11330342360863999</v>
      </c>
      <c r="C2410" s="2">
        <f t="shared" ca="1" si="2295"/>
        <v>6.476032401436373</v>
      </c>
      <c r="D2410" s="2">
        <f t="shared" ca="1" si="2296"/>
        <v>0.78742541146649203</v>
      </c>
      <c r="E2410" s="2">
        <f t="shared" ca="1" si="2297"/>
        <v>7.8479653559303646</v>
      </c>
      <c r="F2410" s="2">
        <f t="shared" ca="1" si="2298"/>
        <v>0.8205604062550903</v>
      </c>
      <c r="G2410" s="2">
        <f t="shared" ca="1" si="2299"/>
        <v>6.7525086226038908E-2</v>
      </c>
      <c r="H2410" s="2">
        <f t="shared" ca="1" si="2300"/>
        <v>6.7525086226038908E-2</v>
      </c>
      <c r="I2410" s="2">
        <f t="shared" ca="1" si="2301"/>
        <v>0.44351818256411402</v>
      </c>
      <c r="J2410" s="2">
        <f t="shared" ca="1" si="2302"/>
        <v>9.2897237511361166E-3</v>
      </c>
      <c r="K2410" s="2">
        <f t="shared" ca="1" si="2303"/>
        <v>9.2897237511361166E-3</v>
      </c>
      <c r="L2410" s="2">
        <f t="shared" ca="1" si="2304"/>
        <v>0.56231578327931542</v>
      </c>
      <c r="M2410" s="2">
        <f t="shared" ca="1" si="2305"/>
        <v>3.1368637981403153E-3</v>
      </c>
      <c r="N2410" s="2">
        <f t="shared" ca="1" si="2306"/>
        <v>3.1368637981403153E-3</v>
      </c>
      <c r="O2410" s="2">
        <f t="shared" si="2307"/>
        <v>6000000</v>
      </c>
      <c r="P2410" s="2">
        <f t="shared" ca="1" si="2308"/>
        <v>38856194.408618242</v>
      </c>
      <c r="Q2410" s="2">
        <f t="shared" ca="1" si="2309"/>
        <v>971404.86021545611</v>
      </c>
      <c r="R2410" s="2">
        <f t="shared" ca="1" si="2310"/>
        <v>23313716.645170946</v>
      </c>
      <c r="S2410" s="2">
        <f t="shared" ca="1" si="2311"/>
        <v>15542477.763447298</v>
      </c>
      <c r="T2410" s="2">
        <f t="shared" ca="1" si="2312"/>
        <v>50156843.189907022</v>
      </c>
      <c r="U2410" s="2">
        <f t="shared" ca="1" si="2313"/>
        <v>53543688.351131402</v>
      </c>
      <c r="V2410" s="2">
        <f t="shared" ca="1" si="2314"/>
        <v>57159230.523901701</v>
      </c>
      <c r="W2410" s="2">
        <f t="shared" ca="1" si="2315"/>
        <v>61018912.493642196</v>
      </c>
      <c r="X2410" s="2">
        <f t="shared" ca="1" si="2316"/>
        <v>65139219.8211945</v>
      </c>
      <c r="Y2410" s="2">
        <f t="shared" ca="1" si="2317"/>
        <v>0.12464486187556806</v>
      </c>
      <c r="Z2410" s="2">
        <f t="shared" ca="1" si="2318"/>
        <v>0.12650280662579527</v>
      </c>
      <c r="AA2410" s="2">
        <f t="shared" ca="1" si="2319"/>
        <v>6251792.7915204875</v>
      </c>
      <c r="AB2410" s="2">
        <f t="shared" ca="1" si="2320"/>
        <v>6773426.8535150224</v>
      </c>
      <c r="AC2410" s="2">
        <f t="shared" ca="1" si="2321"/>
        <v>7230803.085844391</v>
      </c>
      <c r="AD2410" s="2">
        <f t="shared" ca="1" si="2322"/>
        <v>7719063.6876995414</v>
      </c>
      <c r="AE2410" s="2">
        <f t="shared" ca="1" si="2323"/>
        <v>8240294.1287957383</v>
      </c>
      <c r="AF2410" s="2">
        <f t="shared" ca="1" si="2324"/>
        <v>1003136.8637981404</v>
      </c>
      <c r="AG2410" s="2">
        <f t="shared" ca="1" si="2325"/>
        <v>1070873.7670226281</v>
      </c>
      <c r="AH2410" s="2">
        <f t="shared" ca="1" si="2326"/>
        <v>1143184.610478034</v>
      </c>
      <c r="AI2410" s="2">
        <f t="shared" ca="1" si="2327"/>
        <v>1220378.249872844</v>
      </c>
      <c r="AJ2410" s="2">
        <f t="shared" ca="1" si="2328"/>
        <v>1302784.39642389</v>
      </c>
      <c r="AK2410" s="2">
        <f t="shared" ca="1" si="2329"/>
        <v>0</v>
      </c>
      <c r="AL2410" s="2">
        <f t="shared" ca="1" si="2330"/>
        <v>33868.4516122438</v>
      </c>
      <c r="AM2410" s="2">
        <f t="shared" ca="1" si="2331"/>
        <v>36155.421727702989</v>
      </c>
      <c r="AN2410" s="2">
        <f t="shared" ca="1" si="2332"/>
        <v>38596.81969740495</v>
      </c>
      <c r="AO2410" s="2">
        <f t="shared" ca="1" si="2333"/>
        <v>41203.073275523035</v>
      </c>
      <c r="AP2410" s="2">
        <f t="shared" ca="1" si="2334"/>
        <v>2098234.498065385</v>
      </c>
      <c r="AQ2410" s="2">
        <f t="shared" ca="1" si="2335"/>
        <v>819109.57171081018</v>
      </c>
      <c r="AR2410" s="2">
        <f t="shared" ca="1" si="2336"/>
        <v>937122.83299102238</v>
      </c>
      <c r="AS2410" s="2">
        <f t="shared" ca="1" si="2337"/>
        <v>1037239.8340982527</v>
      </c>
      <c r="AT2410" s="2">
        <f t="shared" ca="1" si="2338"/>
        <v>1144117.2443379413</v>
      </c>
      <c r="AU2410" s="2">
        <f t="shared" ca="1" si="2339"/>
        <v>1258211.5609196804</v>
      </c>
      <c r="AV2410" s="2">
        <f t="shared" ca="1" si="2340"/>
        <v>2331311.8579461519</v>
      </c>
      <c r="AW2410" s="2">
        <f t="shared" ca="1" si="2341"/>
        <v>2633327.303823743</v>
      </c>
      <c r="AX2410" s="2">
        <f t="shared" ca="1" si="2342"/>
        <v>2915988.7214750163</v>
      </c>
      <c r="AY2410" s="2">
        <f t="shared" ca="1" si="2343"/>
        <v>3217736.8757259659</v>
      </c>
      <c r="AZ2410" s="2">
        <f t="shared" ca="1" si="2344"/>
        <v>3539860.6001112591</v>
      </c>
      <c r="BA2410" s="2">
        <f t="shared" ca="1" si="2345"/>
        <v>64669542.84546534</v>
      </c>
      <c r="BB2410" s="2">
        <f t="shared" ca="1" si="2346"/>
        <v>1293390.8569093067</v>
      </c>
      <c r="BC2410" s="2">
        <f t="shared" ca="1" si="2347"/>
        <v>40062435.343385085</v>
      </c>
      <c r="BD2410" s="2">
        <f t="shared" ca="1" si="2348"/>
        <v>-17013882.623662755</v>
      </c>
      <c r="BE2410" s="2">
        <f t="shared" ca="1" si="2349"/>
        <v>2331311.8579461519</v>
      </c>
      <c r="BF2410" s="2">
        <f t="shared" ca="1" si="2350"/>
        <v>2633327.303823743</v>
      </c>
      <c r="BG2410" s="2">
        <f t="shared" ca="1" si="2351"/>
        <v>2915988.7214750163</v>
      </c>
      <c r="BH2410" s="2">
        <f t="shared" ca="1" si="2352"/>
        <v>3217736.8757259659</v>
      </c>
      <c r="BI2410" s="2">
        <f t="shared" ca="1" si="2353"/>
        <v>43602295.943496346</v>
      </c>
      <c r="BJ2410" s="2">
        <f t="shared" ca="1" si="2354"/>
        <v>0.30984709550585254</v>
      </c>
      <c r="BK2410" s="2">
        <f t="shared" ca="1" si="2355"/>
        <v>16028505.045324538</v>
      </c>
    </row>
    <row r="2411" spans="1:63" x14ac:dyDescent="0.3">
      <c r="A2411" s="2">
        <v>2410</v>
      </c>
      <c r="B2411" s="2">
        <f t="shared" ca="1" si="2294"/>
        <v>1.0136846527221022E-2</v>
      </c>
      <c r="C2411" s="2">
        <f t="shared" ca="1" si="2295"/>
        <v>6.1423857192784519</v>
      </c>
      <c r="D2411" s="2">
        <f t="shared" ca="1" si="2296"/>
        <v>4.0681930918177511E-2</v>
      </c>
      <c r="E2411" s="2">
        <f t="shared" ca="1" si="2297"/>
        <v>6.785243513223973</v>
      </c>
      <c r="F2411" s="2">
        <f t="shared" ca="1" si="2298"/>
        <v>0.27015600584637811</v>
      </c>
      <c r="G2411" s="2">
        <f t="shared" ca="1" si="2299"/>
        <v>2.1629762885529914E-2</v>
      </c>
      <c r="H2411" s="2">
        <f t="shared" ca="1" si="2300"/>
        <v>2.1629762885529914E-2</v>
      </c>
      <c r="I2411" s="2">
        <f t="shared" ca="1" si="2301"/>
        <v>0.92413026264420994</v>
      </c>
      <c r="J2411" s="2">
        <f t="shared" ca="1" si="2302"/>
        <v>1.7167071490165088E-2</v>
      </c>
      <c r="K2411" s="2">
        <f t="shared" ca="1" si="2303"/>
        <v>1.7167071490165088E-2</v>
      </c>
      <c r="L2411" s="2">
        <f t="shared" ca="1" si="2304"/>
        <v>0.40766698264953538</v>
      </c>
      <c r="M2411" s="2">
        <f t="shared" ca="1" si="2305"/>
        <v>-4.6710098690270849E-3</v>
      </c>
      <c r="N2411" s="2">
        <f t="shared" ca="1" si="2306"/>
        <v>-4.6710098690270849E-3</v>
      </c>
      <c r="O2411" s="2">
        <f t="shared" si="2307"/>
        <v>6000000</v>
      </c>
      <c r="P2411" s="2">
        <f t="shared" ca="1" si="2308"/>
        <v>36854314.315670714</v>
      </c>
      <c r="Q2411" s="2">
        <f t="shared" ca="1" si="2309"/>
        <v>921357.85789176787</v>
      </c>
      <c r="R2411" s="2">
        <f t="shared" ca="1" si="2310"/>
        <v>22112588.589402426</v>
      </c>
      <c r="S2411" s="2">
        <f t="shared" ca="1" si="2311"/>
        <v>14741725.726268286</v>
      </c>
      <c r="T2411" s="2">
        <f t="shared" ca="1" si="2312"/>
        <v>49766449.506548643</v>
      </c>
      <c r="U2411" s="2">
        <f t="shared" ca="1" si="2313"/>
        <v>50842886.009029992</v>
      </c>
      <c r="V2411" s="2">
        <f t="shared" ca="1" si="2314"/>
        <v>51942605.577821337</v>
      </c>
      <c r="W2411" s="2">
        <f t="shared" ca="1" si="2315"/>
        <v>53066111.820126221</v>
      </c>
      <c r="X2411" s="2">
        <f t="shared" ca="1" si="2316"/>
        <v>54213919.236052573</v>
      </c>
      <c r="Y2411" s="2">
        <f t="shared" ca="1" si="2317"/>
        <v>0.12858353574508255</v>
      </c>
      <c r="Z2411" s="2">
        <f t="shared" ca="1" si="2318"/>
        <v>0.13201695004311556</v>
      </c>
      <c r="AA2411" s="2">
        <f t="shared" ca="1" si="2319"/>
        <v>6399146.0390311433</v>
      </c>
      <c r="AB2411" s="2">
        <f t="shared" ca="1" si="2320"/>
        <v>6712122.7423019316</v>
      </c>
      <c r="AC2411" s="2">
        <f t="shared" ca="1" si="2321"/>
        <v>6857304.3656764952</v>
      </c>
      <c r="AD2411" s="2">
        <f t="shared" ca="1" si="2322"/>
        <v>7005626.2331399871</v>
      </c>
      <c r="AE2411" s="2">
        <f t="shared" ca="1" si="2323"/>
        <v>7157156.2674274538</v>
      </c>
      <c r="AF2411" s="2">
        <f t="shared" ca="1" si="2324"/>
        <v>995328.99013097293</v>
      </c>
      <c r="AG2411" s="2">
        <f t="shared" ca="1" si="2325"/>
        <v>1016857.7201805998</v>
      </c>
      <c r="AH2411" s="2">
        <f t="shared" ca="1" si="2326"/>
        <v>1038852.1115564267</v>
      </c>
      <c r="AI2411" s="2">
        <f t="shared" ca="1" si="2327"/>
        <v>1061322.2364025244</v>
      </c>
      <c r="AJ2411" s="2">
        <f t="shared" ca="1" si="2328"/>
        <v>1084278.3847210514</v>
      </c>
      <c r="AK2411" s="2">
        <f t="shared" ca="1" si="2329"/>
        <v>0</v>
      </c>
      <c r="AL2411" s="2">
        <f t="shared" ca="1" si="2330"/>
        <v>10764.365024813489</v>
      </c>
      <c r="AM2411" s="2">
        <f t="shared" ca="1" si="2331"/>
        <v>10997.195687913449</v>
      </c>
      <c r="AN2411" s="2">
        <f t="shared" ca="1" si="2332"/>
        <v>11235.062423048839</v>
      </c>
      <c r="AO2411" s="2">
        <f t="shared" ca="1" si="2333"/>
        <v>11478.074159263522</v>
      </c>
      <c r="AP2411" s="2">
        <f t="shared" ca="1" si="2334"/>
        <v>1990132.9730462183</v>
      </c>
      <c r="AQ2411" s="2">
        <f t="shared" ca="1" si="2335"/>
        <v>887557.85972202756</v>
      </c>
      <c r="AR2411" s="2">
        <f t="shared" ca="1" si="2336"/>
        <v>963334.33275952959</v>
      </c>
      <c r="AS2411" s="2">
        <f t="shared" ca="1" si="2337"/>
        <v>995363.01307920122</v>
      </c>
      <c r="AT2411" s="2">
        <f t="shared" ca="1" si="2338"/>
        <v>1028084.4661597236</v>
      </c>
      <c r="AU2411" s="2">
        <f t="shared" ca="1" si="2339"/>
        <v>1061513.6765116479</v>
      </c>
      <c r="AV2411" s="2">
        <f t="shared" ca="1" si="2340"/>
        <v>2526126.2161319247</v>
      </c>
      <c r="AW2411" s="2">
        <f t="shared" ca="1" si="2341"/>
        <v>2731033.3512907708</v>
      </c>
      <c r="AX2411" s="2">
        <f t="shared" ca="1" si="2342"/>
        <v>2821959.0723067364</v>
      </c>
      <c r="AY2411" s="2">
        <f t="shared" ca="1" si="2343"/>
        <v>2914851.4951084722</v>
      </c>
      <c r="AZ2411" s="2">
        <f t="shared" ca="1" si="2344"/>
        <v>3009753.1589892721</v>
      </c>
      <c r="BA2411" s="2">
        <f t="shared" ca="1" si="2345"/>
        <v>48563048.136692435</v>
      </c>
      <c r="BB2411" s="2">
        <f t="shared" ca="1" si="2346"/>
        <v>971260.96273384872</v>
      </c>
      <c r="BC2411" s="2">
        <f t="shared" ca="1" si="2347"/>
        <v>25479198.584556159</v>
      </c>
      <c r="BD2411" s="2">
        <f t="shared" ca="1" si="2348"/>
        <v>-16163083.584160054</v>
      </c>
      <c r="BE2411" s="2">
        <f t="shared" ca="1" si="2349"/>
        <v>2526126.2161319247</v>
      </c>
      <c r="BF2411" s="2">
        <f t="shared" ca="1" si="2350"/>
        <v>2731033.3512907708</v>
      </c>
      <c r="BG2411" s="2">
        <f t="shared" ca="1" si="2351"/>
        <v>2821959.0723067364</v>
      </c>
      <c r="BH2411" s="2">
        <f t="shared" ca="1" si="2352"/>
        <v>2914851.4951084722</v>
      </c>
      <c r="BI2411" s="2">
        <f t="shared" ca="1" si="2353"/>
        <v>28488951.743545432</v>
      </c>
      <c r="BJ2411" s="2">
        <f t="shared" ca="1" si="2354"/>
        <v>0.24158740386334965</v>
      </c>
      <c r="BK2411" s="2">
        <f t="shared" ca="1" si="2355"/>
        <v>8296001.1780801322</v>
      </c>
    </row>
    <row r="2412" spans="1:63" x14ac:dyDescent="0.3">
      <c r="A2412" s="2">
        <v>2411</v>
      </c>
      <c r="B2412" s="2">
        <f t="shared" ca="1" si="2294"/>
        <v>0.30472611343855016</v>
      </c>
      <c r="C2412" s="2">
        <f t="shared" ca="1" si="2295"/>
        <v>6.7806742130217321</v>
      </c>
      <c r="D2412" s="2">
        <f t="shared" ca="1" si="2296"/>
        <v>0.20251659468224137</v>
      </c>
      <c r="E2412" s="2">
        <f t="shared" ca="1" si="2297"/>
        <v>7.1364221785611202</v>
      </c>
      <c r="F2412" s="2">
        <f t="shared" ca="1" si="2298"/>
        <v>0.23141208640068267</v>
      </c>
      <c r="G2412" s="2">
        <f t="shared" ca="1" si="2299"/>
        <v>1.7973868027915407E-2</v>
      </c>
      <c r="H2412" s="2">
        <f t="shared" ca="1" si="2300"/>
        <v>1.7973868027915407E-2</v>
      </c>
      <c r="I2412" s="2">
        <f t="shared" ca="1" si="2301"/>
        <v>0.82756069568225721</v>
      </c>
      <c r="J2412" s="2">
        <f t="shared" ca="1" si="2302"/>
        <v>1.4722848436936579E-2</v>
      </c>
      <c r="K2412" s="2">
        <f t="shared" ca="1" si="2303"/>
        <v>1.4722848436936579E-2</v>
      </c>
      <c r="L2412" s="2">
        <f t="shared" ca="1" si="2304"/>
        <v>0.84068321785978839</v>
      </c>
      <c r="M2412" s="2">
        <f t="shared" ca="1" si="2305"/>
        <v>1.9945396171959132E-2</v>
      </c>
      <c r="N2412" s="2">
        <f t="shared" ca="1" si="2306"/>
        <v>1.9945396171959132E-2</v>
      </c>
      <c r="O2412" s="2">
        <f t="shared" si="2307"/>
        <v>6000000</v>
      </c>
      <c r="P2412" s="2">
        <f t="shared" ca="1" si="2308"/>
        <v>40684045.27813039</v>
      </c>
      <c r="Q2412" s="2">
        <f t="shared" ca="1" si="2309"/>
        <v>1017101.1319532598</v>
      </c>
      <c r="R2412" s="2">
        <f t="shared" ca="1" si="2310"/>
        <v>24410427.166878235</v>
      </c>
      <c r="S2412" s="2">
        <f t="shared" ca="1" si="2311"/>
        <v>16273618.111252157</v>
      </c>
      <c r="T2412" s="2">
        <f t="shared" ca="1" si="2312"/>
        <v>50997269.80859796</v>
      </c>
      <c r="U2412" s="2">
        <f t="shared" ca="1" si="2313"/>
        <v>51913888.005921692</v>
      </c>
      <c r="V2412" s="2">
        <f t="shared" ca="1" si="2314"/>
        <v>52846981.377756104</v>
      </c>
      <c r="W2412" s="2">
        <f t="shared" ca="1" si="2315"/>
        <v>53796846.046713591</v>
      </c>
      <c r="X2412" s="2">
        <f t="shared" ca="1" si="2316"/>
        <v>54763783.457875296</v>
      </c>
      <c r="Y2412" s="2">
        <f t="shared" ca="1" si="2317"/>
        <v>0.12736142421846827</v>
      </c>
      <c r="Z2412" s="2">
        <f t="shared" ca="1" si="2318"/>
        <v>0.13030599390585559</v>
      </c>
      <c r="AA2412" s="2">
        <f t="shared" ca="1" si="2319"/>
        <v>6495084.9140765294</v>
      </c>
      <c r="AB2412" s="2">
        <f t="shared" ca="1" si="2320"/>
        <v>6764690.7741289018</v>
      </c>
      <c r="AC2412" s="2">
        <f t="shared" ca="1" si="2321"/>
        <v>6886278.4333527507</v>
      </c>
      <c r="AD2412" s="2">
        <f t="shared" ca="1" si="2322"/>
        <v>7010051.4931173129</v>
      </c>
      <c r="AE2412" s="2">
        <f t="shared" ca="1" si="2323"/>
        <v>7136049.2335234936</v>
      </c>
      <c r="AF2412" s="2">
        <f t="shared" ca="1" si="2324"/>
        <v>1019945.3961719592</v>
      </c>
      <c r="AG2412" s="2">
        <f t="shared" ca="1" si="2325"/>
        <v>1038277.7601184339</v>
      </c>
      <c r="AH2412" s="2">
        <f t="shared" ca="1" si="2326"/>
        <v>1056939.6275551221</v>
      </c>
      <c r="AI2412" s="2">
        <f t="shared" ca="1" si="2327"/>
        <v>1075936.9209342718</v>
      </c>
      <c r="AJ2412" s="2">
        <f t="shared" ca="1" si="2328"/>
        <v>1095275.669157506</v>
      </c>
      <c r="AK2412" s="2">
        <f t="shared" ca="1" si="2329"/>
        <v>0</v>
      </c>
      <c r="AL2412" s="2">
        <f t="shared" ca="1" si="2330"/>
        <v>9166.1819732373206</v>
      </c>
      <c r="AM2412" s="2">
        <f t="shared" ca="1" si="2331"/>
        <v>9330.9337183441221</v>
      </c>
      <c r="AN2412" s="2">
        <f t="shared" ca="1" si="2332"/>
        <v>9498.6466895748672</v>
      </c>
      <c r="AO2412" s="2">
        <f t="shared" ca="1" si="2333"/>
        <v>9669.3741116170586</v>
      </c>
      <c r="AP2412" s="2">
        <f t="shared" ca="1" si="2334"/>
        <v>2196938.4450190412</v>
      </c>
      <c r="AQ2412" s="2">
        <f t="shared" ca="1" si="2335"/>
        <v>852332.27895023755</v>
      </c>
      <c r="AR2412" s="2">
        <f t="shared" ca="1" si="2336"/>
        <v>917663.38793777092</v>
      </c>
      <c r="AS2412" s="2">
        <f t="shared" ca="1" si="2337"/>
        <v>944424.09380243288</v>
      </c>
      <c r="AT2412" s="2">
        <f t="shared" ca="1" si="2338"/>
        <v>971665.79306264</v>
      </c>
      <c r="AU2412" s="2">
        <f t="shared" ca="1" si="2339"/>
        <v>999397.1310302061</v>
      </c>
      <c r="AV2412" s="2">
        <f t="shared" ca="1" si="2340"/>
        <v>2425868.7939352915</v>
      </c>
      <c r="AW2412" s="2">
        <f t="shared" ca="1" si="2341"/>
        <v>2602644.9990804177</v>
      </c>
      <c r="AX2412" s="2">
        <f t="shared" ca="1" si="2342"/>
        <v>2678645.3332578111</v>
      </c>
      <c r="AY2412" s="2">
        <f t="shared" ca="1" si="2343"/>
        <v>2756011.6874117842</v>
      </c>
      <c r="AZ2412" s="2">
        <f t="shared" ca="1" si="2344"/>
        <v>2834768.6142051229</v>
      </c>
      <c r="BA2412" s="2">
        <f t="shared" ca="1" si="2345"/>
        <v>50925860.017421141</v>
      </c>
      <c r="BB2412" s="2">
        <f t="shared" ca="1" si="2346"/>
        <v>1018517.2003484229</v>
      </c>
      <c r="BC2412" s="2">
        <f t="shared" ca="1" si="2347"/>
        <v>25496915.650194485</v>
      </c>
      <c r="BD2412" s="2">
        <f t="shared" ca="1" si="2348"/>
        <v>-17790719.243205417</v>
      </c>
      <c r="BE2412" s="2">
        <f t="shared" ca="1" si="2349"/>
        <v>2425868.7939352915</v>
      </c>
      <c r="BF2412" s="2">
        <f t="shared" ca="1" si="2350"/>
        <v>2602644.9990804177</v>
      </c>
      <c r="BG2412" s="2">
        <f t="shared" ca="1" si="2351"/>
        <v>2678645.3332578111</v>
      </c>
      <c r="BH2412" s="2">
        <f t="shared" ca="1" si="2352"/>
        <v>2756011.6874117842</v>
      </c>
      <c r="BI2412" s="2">
        <f t="shared" ca="1" si="2353"/>
        <v>28331684.264399607</v>
      </c>
      <c r="BJ2412" s="2">
        <f t="shared" ca="1" si="2354"/>
        <v>0.20507740831566368</v>
      </c>
      <c r="BK2412" s="2">
        <f t="shared" ca="1" si="2355"/>
        <v>6184308.3059156984</v>
      </c>
    </row>
    <row r="2413" spans="1:63" x14ac:dyDescent="0.3">
      <c r="A2413" s="2">
        <v>2412</v>
      </c>
      <c r="B2413" s="2">
        <f t="shared" ca="1" si="2294"/>
        <v>0.35605156535980764</v>
      </c>
      <c r="C2413" s="2">
        <f t="shared" ca="1" si="2295"/>
        <v>6.8438620329885778</v>
      </c>
      <c r="D2413" s="2">
        <f t="shared" ca="1" si="2296"/>
        <v>0.59345028327729898</v>
      </c>
      <c r="E2413" s="2">
        <f t="shared" ca="1" si="2297"/>
        <v>7.5982797365893333</v>
      </c>
      <c r="F2413" s="2">
        <f t="shared" ca="1" si="2298"/>
        <v>0.5744004124620995</v>
      </c>
      <c r="G2413" s="2">
        <f t="shared" ca="1" si="2299"/>
        <v>4.5627657556192039E-2</v>
      </c>
      <c r="H2413" s="2">
        <f t="shared" ca="1" si="2300"/>
        <v>4.5627657556192039E-2</v>
      </c>
      <c r="I2413" s="2">
        <f t="shared" ca="1" si="2301"/>
        <v>0.43048945449947096</v>
      </c>
      <c r="J2413" s="2">
        <f t="shared" ca="1" si="2302"/>
        <v>9.1243590554790973E-3</v>
      </c>
      <c r="K2413" s="2">
        <f t="shared" ca="1" si="2303"/>
        <v>9.1243590554790973E-3</v>
      </c>
      <c r="L2413" s="2">
        <f t="shared" ca="1" si="2304"/>
        <v>0.654029749657844</v>
      </c>
      <c r="M2413" s="2">
        <f t="shared" ca="1" si="2305"/>
        <v>7.9244606677589188E-3</v>
      </c>
      <c r="N2413" s="2">
        <f t="shared" ca="1" si="2306"/>
        <v>7.9244606677589188E-3</v>
      </c>
      <c r="O2413" s="2">
        <f t="shared" si="2307"/>
        <v>6000000</v>
      </c>
      <c r="P2413" s="2">
        <f t="shared" ca="1" si="2308"/>
        <v>41063172.197931468</v>
      </c>
      <c r="Q2413" s="2">
        <f t="shared" ca="1" si="2309"/>
        <v>1026579.3049482867</v>
      </c>
      <c r="R2413" s="2">
        <f t="shared" ca="1" si="2310"/>
        <v>24637903.318758879</v>
      </c>
      <c r="S2413" s="2">
        <f t="shared" ca="1" si="2311"/>
        <v>16425268.879172588</v>
      </c>
      <c r="T2413" s="2">
        <f t="shared" ca="1" si="2312"/>
        <v>50396223.033387944</v>
      </c>
      <c r="U2413" s="2">
        <f t="shared" ca="1" si="2313"/>
        <v>52695684.640080847</v>
      </c>
      <c r="V2413" s="2">
        <f t="shared" ca="1" si="2314"/>
        <v>55100065.293527544</v>
      </c>
      <c r="W2413" s="2">
        <f t="shared" ca="1" si="2315"/>
        <v>57614152.204064436</v>
      </c>
      <c r="X2413" s="2">
        <f t="shared" ca="1" si="2316"/>
        <v>60242951.011221811</v>
      </c>
      <c r="Y2413" s="2">
        <f t="shared" ca="1" si="2317"/>
        <v>0.12456217952773954</v>
      </c>
      <c r="Z2413" s="2">
        <f t="shared" ca="1" si="2318"/>
        <v>0.12638705133883538</v>
      </c>
      <c r="AA2413" s="2">
        <f t="shared" ca="1" si="2319"/>
        <v>6277463.3810048718</v>
      </c>
      <c r="AB2413" s="2">
        <f t="shared" ca="1" si="2320"/>
        <v>6660052.1999409767</v>
      </c>
      <c r="AC2413" s="2">
        <f t="shared" ca="1" si="2321"/>
        <v>6963934.781026247</v>
      </c>
      <c r="AD2413" s="2">
        <f t="shared" ca="1" si="2322"/>
        <v>7281682.8124585673</v>
      </c>
      <c r="AE2413" s="2">
        <f t="shared" ca="1" si="2323"/>
        <v>7613928.942258236</v>
      </c>
      <c r="AF2413" s="2">
        <f t="shared" ca="1" si="2324"/>
        <v>1007924.4606677589</v>
      </c>
      <c r="AG2413" s="2">
        <f t="shared" ca="1" si="2325"/>
        <v>1053913.6928016169</v>
      </c>
      <c r="AH2413" s="2">
        <f t="shared" ca="1" si="2326"/>
        <v>1102001.3058705509</v>
      </c>
      <c r="AI2413" s="2">
        <f t="shared" ca="1" si="2327"/>
        <v>1152283.0440812889</v>
      </c>
      <c r="AJ2413" s="2">
        <f t="shared" ca="1" si="2328"/>
        <v>1204859.0202244362</v>
      </c>
      <c r="AK2413" s="2">
        <f t="shared" ca="1" si="2329"/>
        <v>0</v>
      </c>
      <c r="AL2413" s="2">
        <f t="shared" ca="1" si="2330"/>
        <v>22994.616066929029</v>
      </c>
      <c r="AM2413" s="2">
        <f t="shared" ca="1" si="2331"/>
        <v>24043.806534466967</v>
      </c>
      <c r="AN2413" s="2">
        <f t="shared" ca="1" si="2332"/>
        <v>25140.869105368929</v>
      </c>
      <c r="AO2413" s="2">
        <f t="shared" ca="1" si="2333"/>
        <v>26287.988071573749</v>
      </c>
      <c r="AP2413" s="2">
        <f t="shared" ca="1" si="2334"/>
        <v>2217411.298688299</v>
      </c>
      <c r="AQ2413" s="2">
        <f t="shared" ca="1" si="2335"/>
        <v>793553.18162869161</v>
      </c>
      <c r="AR2413" s="2">
        <f t="shared" ca="1" si="2336"/>
        <v>881069.0741972758</v>
      </c>
      <c r="AS2413" s="2">
        <f t="shared" ca="1" si="2337"/>
        <v>947575.76588152337</v>
      </c>
      <c r="AT2413" s="2">
        <f t="shared" ca="1" si="2338"/>
        <v>1017117.0021191345</v>
      </c>
      <c r="AU2413" s="2">
        <f t="shared" ca="1" si="2339"/>
        <v>1089831.2420698302</v>
      </c>
      <c r="AV2413" s="2">
        <f t="shared" ca="1" si="2340"/>
        <v>2258574.4400201216</v>
      </c>
      <c r="AW2413" s="2">
        <f t="shared" ca="1" si="2341"/>
        <v>2484663.5181868561</v>
      </c>
      <c r="AX2413" s="2">
        <f t="shared" ca="1" si="2342"/>
        <v>2672902.6040514065</v>
      </c>
      <c r="AY2413" s="2">
        <f t="shared" ca="1" si="2343"/>
        <v>2869730.5984644759</v>
      </c>
      <c r="AZ2413" s="2">
        <f t="shared" ca="1" si="2344"/>
        <v>3075539.3932040967</v>
      </c>
      <c r="BA2413" s="2">
        <f t="shared" ca="1" si="2345"/>
        <v>57852761.997791812</v>
      </c>
      <c r="BB2413" s="2">
        <f t="shared" ca="1" si="2346"/>
        <v>1157055.2399558362</v>
      </c>
      <c r="BC2413" s="2">
        <f t="shared" ca="1" si="2347"/>
        <v>32057803.439077098</v>
      </c>
      <c r="BD2413" s="2">
        <f t="shared" ca="1" si="2348"/>
        <v>-17951848.184120875</v>
      </c>
      <c r="BE2413" s="2">
        <f t="shared" ca="1" si="2349"/>
        <v>2258574.4400201216</v>
      </c>
      <c r="BF2413" s="2">
        <f t="shared" ca="1" si="2350"/>
        <v>2484663.5181868561</v>
      </c>
      <c r="BG2413" s="2">
        <f t="shared" ca="1" si="2351"/>
        <v>2672902.6040514065</v>
      </c>
      <c r="BH2413" s="2">
        <f t="shared" ca="1" si="2352"/>
        <v>2869730.5984644759</v>
      </c>
      <c r="BI2413" s="2">
        <f t="shared" ca="1" si="2353"/>
        <v>35133342.832281195</v>
      </c>
      <c r="BJ2413" s="2">
        <f t="shared" ca="1" si="2354"/>
        <v>0.24143661942189154</v>
      </c>
      <c r="BK2413" s="2">
        <f t="shared" ca="1" si="2355"/>
        <v>9707381.8893720098</v>
      </c>
    </row>
    <row r="2414" spans="1:63" x14ac:dyDescent="0.3">
      <c r="A2414" s="2">
        <v>2413</v>
      </c>
      <c r="B2414" s="2">
        <f t="shared" ca="1" si="2294"/>
        <v>0.31227952724150276</v>
      </c>
      <c r="C2414" s="2">
        <f t="shared" ca="1" si="2295"/>
        <v>6.7902904874051098</v>
      </c>
      <c r="D2414" s="2">
        <f t="shared" ca="1" si="2296"/>
        <v>0.59902997833650917</v>
      </c>
      <c r="E2414" s="2">
        <f t="shared" ca="1" si="2297"/>
        <v>7.6044889485176732</v>
      </c>
      <c r="F2414" s="2">
        <f t="shared" ca="1" si="2298"/>
        <v>0.23248897947979585</v>
      </c>
      <c r="G2414" s="2">
        <f t="shared" ca="1" si="2299"/>
        <v>1.8079763242892743E-2</v>
      </c>
      <c r="H2414" s="2">
        <f t="shared" ca="1" si="2300"/>
        <v>1.8079763242892743E-2</v>
      </c>
      <c r="I2414" s="2">
        <f t="shared" ca="1" si="2301"/>
        <v>0.82547408765714025</v>
      </c>
      <c r="J2414" s="2">
        <f t="shared" ca="1" si="2302"/>
        <v>1.468215012778243E-2</v>
      </c>
      <c r="K2414" s="2">
        <f t="shared" ca="1" si="2303"/>
        <v>1.468215012778243E-2</v>
      </c>
      <c r="L2414" s="2">
        <f t="shared" ca="1" si="2304"/>
        <v>0.51447833463799375</v>
      </c>
      <c r="M2414" s="2">
        <f t="shared" ca="1" si="2305"/>
        <v>7.2599546545770472E-4</v>
      </c>
      <c r="N2414" s="2">
        <f t="shared" ca="1" si="2306"/>
        <v>7.2599546545770472E-4</v>
      </c>
      <c r="O2414" s="2">
        <f t="shared" si="2307"/>
        <v>6000000</v>
      </c>
      <c r="P2414" s="2">
        <f t="shared" ca="1" si="2308"/>
        <v>40741742.924430661</v>
      </c>
      <c r="Q2414" s="2">
        <f t="shared" ca="1" si="2309"/>
        <v>1018543.5731107666</v>
      </c>
      <c r="R2414" s="2">
        <f t="shared" ca="1" si="2310"/>
        <v>24445045.754658397</v>
      </c>
      <c r="S2414" s="2">
        <f t="shared" ca="1" si="2311"/>
        <v>16296697.169772265</v>
      </c>
      <c r="T2414" s="2">
        <f t="shared" ca="1" si="2312"/>
        <v>50036299.773272887</v>
      </c>
      <c r="U2414" s="2">
        <f t="shared" ca="1" si="2313"/>
        <v>50940944.226724073</v>
      </c>
      <c r="V2414" s="2">
        <f t="shared" ca="1" si="2314"/>
        <v>51861944.437712654</v>
      </c>
      <c r="W2414" s="2">
        <f t="shared" ca="1" si="2315"/>
        <v>52799596.114462562</v>
      </c>
      <c r="X2414" s="2">
        <f t="shared" ca="1" si="2316"/>
        <v>53754200.311532408</v>
      </c>
      <c r="Y2414" s="2">
        <f t="shared" ca="1" si="2317"/>
        <v>0.12734107506389122</v>
      </c>
      <c r="Z2414" s="2">
        <f t="shared" ca="1" si="2318"/>
        <v>0.13027750508944769</v>
      </c>
      <c r="AA2414" s="2">
        <f t="shared" ca="1" si="2319"/>
        <v>6371676.2053477066</v>
      </c>
      <c r="AB2414" s="2">
        <f t="shared" ca="1" si="2320"/>
        <v>6636459.1207583165</v>
      </c>
      <c r="AC2414" s="2">
        <f t="shared" ca="1" si="2321"/>
        <v>6756444.7304327637</v>
      </c>
      <c r="AD2414" s="2">
        <f t="shared" ca="1" si="2322"/>
        <v>6878599.6515226783</v>
      </c>
      <c r="AE2414" s="2">
        <f t="shared" ca="1" si="2323"/>
        <v>7002963.1046648538</v>
      </c>
      <c r="AF2414" s="2">
        <f t="shared" ca="1" si="2324"/>
        <v>1000725.9954654578</v>
      </c>
      <c r="AG2414" s="2">
        <f t="shared" ca="1" si="2325"/>
        <v>1018818.8845344814</v>
      </c>
      <c r="AH2414" s="2">
        <f t="shared" ca="1" si="2326"/>
        <v>1037238.8887542532</v>
      </c>
      <c r="AI2414" s="2">
        <f t="shared" ca="1" si="2327"/>
        <v>1055991.9222892513</v>
      </c>
      <c r="AJ2414" s="2">
        <f t="shared" ca="1" si="2328"/>
        <v>1075084.0062306481</v>
      </c>
      <c r="AK2414" s="2">
        <f t="shared" ca="1" si="2329"/>
        <v>0</v>
      </c>
      <c r="AL2414" s="2">
        <f t="shared" ca="1" si="2330"/>
        <v>9046.4445345118638</v>
      </c>
      <c r="AM2414" s="2">
        <f t="shared" ca="1" si="2331"/>
        <v>9210.0021098858124</v>
      </c>
      <c r="AN2414" s="2">
        <f t="shared" ca="1" si="2332"/>
        <v>9376.5167674990753</v>
      </c>
      <c r="AO2414" s="2">
        <f t="shared" ca="1" si="2333"/>
        <v>9546.0419706984612</v>
      </c>
      <c r="AP2414" s="2">
        <f t="shared" ca="1" si="2334"/>
        <v>2200054.1179192555</v>
      </c>
      <c r="AQ2414" s="2">
        <f t="shared" ca="1" si="2335"/>
        <v>824432.98391037842</v>
      </c>
      <c r="AR2414" s="2">
        <f t="shared" ca="1" si="2336"/>
        <v>888572.39075919078</v>
      </c>
      <c r="AS2414" s="2">
        <f t="shared" ca="1" si="2337"/>
        <v>914979.44817740633</v>
      </c>
      <c r="AT2414" s="2">
        <f t="shared" ca="1" si="2338"/>
        <v>941863.93894168467</v>
      </c>
      <c r="AU2414" s="2">
        <f t="shared" ca="1" si="2339"/>
        <v>969234.49493388715</v>
      </c>
      <c r="AV2414" s="2">
        <f t="shared" ca="1" si="2340"/>
        <v>2346463.1080526155</v>
      </c>
      <c r="AW2414" s="2">
        <f t="shared" ca="1" si="2341"/>
        <v>2519967.2830108772</v>
      </c>
      <c r="AX2414" s="2">
        <f t="shared" ca="1" si="2342"/>
        <v>2594962.2734719622</v>
      </c>
      <c r="AY2414" s="2">
        <f t="shared" ca="1" si="2343"/>
        <v>2671313.1556049879</v>
      </c>
      <c r="AZ2414" s="2">
        <f t="shared" ca="1" si="2344"/>
        <v>2749044.443610365</v>
      </c>
      <c r="BA2414" s="2">
        <f t="shared" ca="1" si="2345"/>
        <v>53253955.536300898</v>
      </c>
      <c r="BB2414" s="2">
        <f t="shared" ca="1" si="2346"/>
        <v>1065079.110726018</v>
      </c>
      <c r="BC2414" s="2">
        <f t="shared" ca="1" si="2347"/>
        <v>27743830.670916483</v>
      </c>
      <c r="BD2414" s="2">
        <f t="shared" ca="1" si="2348"/>
        <v>-17815240.74288303</v>
      </c>
      <c r="BE2414" s="2">
        <f t="shared" ca="1" si="2349"/>
        <v>2346463.1080526155</v>
      </c>
      <c r="BF2414" s="2">
        <f t="shared" ca="1" si="2350"/>
        <v>2519967.2830108772</v>
      </c>
      <c r="BG2414" s="2">
        <f t="shared" ca="1" si="2351"/>
        <v>2594962.2734719622</v>
      </c>
      <c r="BH2414" s="2">
        <f t="shared" ca="1" si="2352"/>
        <v>2671313.1556049879</v>
      </c>
      <c r="BI2414" s="2">
        <f t="shared" ca="1" si="2353"/>
        <v>30492875.114526849</v>
      </c>
      <c r="BJ2414" s="2">
        <f t="shared" ca="1" si="2354"/>
        <v>0.21520253623225694</v>
      </c>
      <c r="BK2414" s="2">
        <f t="shared" ca="1" si="2355"/>
        <v>7135905.0348395072</v>
      </c>
    </row>
    <row r="2415" spans="1:63" x14ac:dyDescent="0.3">
      <c r="A2415" s="2">
        <v>2414</v>
      </c>
      <c r="B2415" s="2">
        <f t="shared" ca="1" si="2294"/>
        <v>0.63299337179302317</v>
      </c>
      <c r="C2415" s="2">
        <f t="shared" ca="1" si="2295"/>
        <v>7.1432542638483962</v>
      </c>
      <c r="D2415" s="2">
        <f t="shared" ca="1" si="2296"/>
        <v>9.7740130526429603E-2</v>
      </c>
      <c r="E2415" s="2">
        <f t="shared" ca="1" si="2297"/>
        <v>6.9421314974675061</v>
      </c>
      <c r="F2415" s="2">
        <f t="shared" ca="1" si="2298"/>
        <v>0.6325536476907222</v>
      </c>
      <c r="G2415" s="2">
        <f t="shared" ca="1" si="2299"/>
        <v>5.0158731773596144E-2</v>
      </c>
      <c r="H2415" s="2">
        <f t="shared" ca="1" si="2300"/>
        <v>5.0158731773596144E-2</v>
      </c>
      <c r="I2415" s="2">
        <f t="shared" ca="1" si="2301"/>
        <v>0.47360861919258435</v>
      </c>
      <c r="J2415" s="2">
        <f t="shared" ca="1" si="2302"/>
        <v>9.6689914688725832E-3</v>
      </c>
      <c r="K2415" s="2">
        <f t="shared" ca="1" si="2303"/>
        <v>9.6689914688725832E-3</v>
      </c>
      <c r="L2415" s="2">
        <f t="shared" ca="1" si="2304"/>
        <v>0.51369262038075791</v>
      </c>
      <c r="M2415" s="2">
        <f t="shared" ca="1" si="2305"/>
        <v>6.8658101826275005E-4</v>
      </c>
      <c r="N2415" s="2">
        <f t="shared" ca="1" si="2306"/>
        <v>6.8658101826275005E-4</v>
      </c>
      <c r="O2415" s="2">
        <f t="shared" si="2307"/>
        <v>6000000</v>
      </c>
      <c r="P2415" s="2">
        <f t="shared" ca="1" si="2308"/>
        <v>42859525.58309038</v>
      </c>
      <c r="Q2415" s="2">
        <f t="shared" ca="1" si="2309"/>
        <v>1071488.1395772595</v>
      </c>
      <c r="R2415" s="2">
        <f t="shared" ca="1" si="2310"/>
        <v>25715715.349854227</v>
      </c>
      <c r="S2415" s="2">
        <f t="shared" ca="1" si="2311"/>
        <v>17143810.233236153</v>
      </c>
      <c r="T2415" s="2">
        <f t="shared" ca="1" si="2312"/>
        <v>50034329.05091314</v>
      </c>
      <c r="U2415" s="2">
        <f t="shared" ca="1" si="2313"/>
        <v>52543987.541249737</v>
      </c>
      <c r="V2415" s="2">
        <f t="shared" ca="1" si="2314"/>
        <v>55179527.318646461</v>
      </c>
      <c r="W2415" s="2">
        <f t="shared" ca="1" si="2315"/>
        <v>57947262.428816266</v>
      </c>
      <c r="X2415" s="2">
        <f t="shared" ca="1" si="2316"/>
        <v>60853823.621997446</v>
      </c>
      <c r="Y2415" s="2">
        <f t="shared" ca="1" si="2317"/>
        <v>0.12483449573443629</v>
      </c>
      <c r="Z2415" s="2">
        <f t="shared" ca="1" si="2318"/>
        <v>0.1267682940282108</v>
      </c>
      <c r="AA2415" s="2">
        <f t="shared" ca="1" si="2319"/>
        <v>6246010.2364815986</v>
      </c>
      <c r="AB2415" s="2">
        <f t="shared" ca="1" si="2320"/>
        <v>6660911.6620437913</v>
      </c>
      <c r="AC2415" s="2">
        <f t="shared" ca="1" si="2321"/>
        <v>6995014.5434678644</v>
      </c>
      <c r="AD2415" s="2">
        <f t="shared" ca="1" si="2322"/>
        <v>7345875.6017060727</v>
      </c>
      <c r="AE2415" s="2">
        <f t="shared" ca="1" si="2323"/>
        <v>7714335.4056542516</v>
      </c>
      <c r="AF2415" s="2">
        <f t="shared" ca="1" si="2324"/>
        <v>1000686.5810182628</v>
      </c>
      <c r="AG2415" s="2">
        <f t="shared" ca="1" si="2325"/>
        <v>1050879.7508249949</v>
      </c>
      <c r="AH2415" s="2">
        <f t="shared" ca="1" si="2326"/>
        <v>1103590.5463729291</v>
      </c>
      <c r="AI2415" s="2">
        <f t="shared" ca="1" si="2327"/>
        <v>1158945.2485763254</v>
      </c>
      <c r="AJ2415" s="2">
        <f t="shared" ca="1" si="2328"/>
        <v>1217076.4724399489</v>
      </c>
      <c r="AK2415" s="2">
        <f t="shared" ca="1" si="2329"/>
        <v>0</v>
      </c>
      <c r="AL2415" s="2">
        <f t="shared" ca="1" si="2330"/>
        <v>25096.584903365969</v>
      </c>
      <c r="AM2415" s="2">
        <f t="shared" ca="1" si="2331"/>
        <v>26355.397773967237</v>
      </c>
      <c r="AN2415" s="2">
        <f t="shared" ca="1" si="2332"/>
        <v>27677.351101698056</v>
      </c>
      <c r="AO2415" s="2">
        <f t="shared" ca="1" si="2333"/>
        <v>29065.611931811796</v>
      </c>
      <c r="AP2415" s="2">
        <f t="shared" ca="1" si="2334"/>
        <v>2314414.3814868801</v>
      </c>
      <c r="AQ2415" s="2">
        <f t="shared" ca="1" si="2335"/>
        <v>762036.41123387858</v>
      </c>
      <c r="AR2415" s="2">
        <f t="shared" ca="1" si="2336"/>
        <v>856860.55773029814</v>
      </c>
      <c r="AS2415" s="2">
        <f t="shared" ca="1" si="2337"/>
        <v>930022.50005809427</v>
      </c>
      <c r="AT2415" s="2">
        <f t="shared" ca="1" si="2338"/>
        <v>1006854.1526271455</v>
      </c>
      <c r="AU2415" s="2">
        <f t="shared" ca="1" si="2339"/>
        <v>1087539.5834491299</v>
      </c>
      <c r="AV2415" s="2">
        <f t="shared" ca="1" si="2340"/>
        <v>2168872.8627425772</v>
      </c>
      <c r="AW2415" s="2">
        <f t="shared" ca="1" si="2341"/>
        <v>2413660.3870982514</v>
      </c>
      <c r="AX2415" s="2">
        <f t="shared" ca="1" si="2342"/>
        <v>2620631.7177759935</v>
      </c>
      <c r="AY2415" s="2">
        <f t="shared" ca="1" si="2343"/>
        <v>2837984.467914023</v>
      </c>
      <c r="AZ2415" s="2">
        <f t="shared" ca="1" si="2344"/>
        <v>3066239.356346481</v>
      </c>
      <c r="BA2415" s="2">
        <f t="shared" ca="1" si="2345"/>
        <v>53553930.801621154</v>
      </c>
      <c r="BB2415" s="2">
        <f t="shared" ca="1" si="2346"/>
        <v>1071078.616032423</v>
      </c>
      <c r="BC2415" s="2">
        <f t="shared" ca="1" si="2347"/>
        <v>26767136.835734505</v>
      </c>
      <c r="BD2415" s="2">
        <f t="shared" ca="1" si="2348"/>
        <v>-18715298.372813411</v>
      </c>
      <c r="BE2415" s="2">
        <f t="shared" ca="1" si="2349"/>
        <v>2168872.8627425772</v>
      </c>
      <c r="BF2415" s="2">
        <f t="shared" ca="1" si="2350"/>
        <v>2413660.3870982514</v>
      </c>
      <c r="BG2415" s="2">
        <f t="shared" ca="1" si="2351"/>
        <v>2620631.7177759935</v>
      </c>
      <c r="BH2415" s="2">
        <f t="shared" ca="1" si="2352"/>
        <v>2837984.467914023</v>
      </c>
      <c r="BI2415" s="2">
        <f t="shared" ca="1" si="2353"/>
        <v>29833376.192080986</v>
      </c>
      <c r="BJ2415" s="2">
        <f t="shared" ca="1" si="2354"/>
        <v>0.19436934076287171</v>
      </c>
      <c r="BK2415" s="2">
        <f t="shared" ca="1" si="2355"/>
        <v>5742513.7149578556</v>
      </c>
    </row>
    <row r="2416" spans="1:63" x14ac:dyDescent="0.3">
      <c r="A2416" s="2">
        <v>2415</v>
      </c>
      <c r="B2416" s="2">
        <f t="shared" ca="1" si="2294"/>
        <v>0.45593913025967381</v>
      </c>
      <c r="C2416" s="2">
        <f t="shared" ca="1" si="2295"/>
        <v>6.9549231699562784</v>
      </c>
      <c r="D2416" s="2">
        <f t="shared" ca="1" si="2296"/>
        <v>0.87122993321928932</v>
      </c>
      <c r="E2416" s="2">
        <f t="shared" ca="1" si="2297"/>
        <v>7.9925158785130108</v>
      </c>
      <c r="F2416" s="2">
        <f t="shared" ca="1" si="2298"/>
        <v>0.56049104312139242</v>
      </c>
      <c r="G2416" s="2">
        <f t="shared" ca="1" si="2299"/>
        <v>4.4566429070741258E-2</v>
      </c>
      <c r="H2416" s="2">
        <f t="shared" ca="1" si="2300"/>
        <v>4.4566429070741258E-2</v>
      </c>
      <c r="I2416" s="2">
        <f t="shared" ca="1" si="2301"/>
        <v>0.44091870242692088</v>
      </c>
      <c r="J2416" s="2">
        <f t="shared" ca="1" si="2302"/>
        <v>9.2567980781937589E-3</v>
      </c>
      <c r="K2416" s="2">
        <f t="shared" ca="1" si="2303"/>
        <v>9.2567980781937589E-3</v>
      </c>
      <c r="L2416" s="2">
        <f t="shared" ca="1" si="2304"/>
        <v>0.71463134827451458</v>
      </c>
      <c r="M2416" s="2">
        <f t="shared" ca="1" si="2305"/>
        <v>1.1339319358386644E-2</v>
      </c>
      <c r="N2416" s="2">
        <f t="shared" ca="1" si="2306"/>
        <v>1.1339319358386644E-2</v>
      </c>
      <c r="O2416" s="2">
        <f t="shared" si="2307"/>
        <v>6000000</v>
      </c>
      <c r="P2416" s="2">
        <f t="shared" ca="1" si="2308"/>
        <v>41729539.019737668</v>
      </c>
      <c r="Q2416" s="2">
        <f t="shared" ca="1" si="2309"/>
        <v>1043238.4754934418</v>
      </c>
      <c r="R2416" s="2">
        <f t="shared" ca="1" si="2310"/>
        <v>25037723.4118426</v>
      </c>
      <c r="S2416" s="2">
        <f t="shared" ca="1" si="2311"/>
        <v>16691815.607895069</v>
      </c>
      <c r="T2416" s="2">
        <f t="shared" ca="1" si="2312"/>
        <v>50566965.967919327</v>
      </c>
      <c r="U2416" s="2">
        <f t="shared" ca="1" si="2313"/>
        <v>52820555.070051193</v>
      </c>
      <c r="V2416" s="2">
        <f t="shared" ca="1" si="2314"/>
        <v>55174578.591057815</v>
      </c>
      <c r="W2416" s="2">
        <f t="shared" ca="1" si="2315"/>
        <v>57633512.534344234</v>
      </c>
      <c r="X2416" s="2">
        <f t="shared" ca="1" si="2316"/>
        <v>60202032.38280376</v>
      </c>
      <c r="Y2416" s="2">
        <f t="shared" ca="1" si="2317"/>
        <v>0.12462839903909688</v>
      </c>
      <c r="Z2416" s="2">
        <f t="shared" ca="1" si="2318"/>
        <v>0.12647975865473562</v>
      </c>
      <c r="AA2416" s="2">
        <f t="shared" ca="1" si="2319"/>
        <v>6302080.0128462818</v>
      </c>
      <c r="AB2416" s="2">
        <f t="shared" ca="1" si="2320"/>
        <v>6680731.0572692472</v>
      </c>
      <c r="AC2416" s="2">
        <f t="shared" ca="1" si="2321"/>
        <v>6978467.3840737352</v>
      </c>
      <c r="AD2416" s="2">
        <f t="shared" ca="1" si="2322"/>
        <v>7289472.7557685394</v>
      </c>
      <c r="AE2416" s="2">
        <f t="shared" ca="1" si="2323"/>
        <v>7614338.5263015982</v>
      </c>
      <c r="AF2416" s="2">
        <f t="shared" ca="1" si="2324"/>
        <v>1011339.3193583866</v>
      </c>
      <c r="AG2416" s="2">
        <f t="shared" ca="1" si="2325"/>
        <v>1056411.1014010238</v>
      </c>
      <c r="AH2416" s="2">
        <f t="shared" ca="1" si="2326"/>
        <v>1103491.5718211564</v>
      </c>
      <c r="AI2416" s="2">
        <f t="shared" ca="1" si="2327"/>
        <v>1152670.2506868846</v>
      </c>
      <c r="AJ2416" s="2">
        <f t="shared" ca="1" si="2328"/>
        <v>1204040.6476560752</v>
      </c>
      <c r="AK2416" s="2">
        <f t="shared" ca="1" si="2329"/>
        <v>0</v>
      </c>
      <c r="AL2416" s="2">
        <f t="shared" ca="1" si="2330"/>
        <v>22535.891021318661</v>
      </c>
      <c r="AM2416" s="2">
        <f t="shared" ca="1" si="2331"/>
        <v>23540.235210066214</v>
      </c>
      <c r="AN2416" s="2">
        <f t="shared" ca="1" si="2332"/>
        <v>24589.339432864188</v>
      </c>
      <c r="AO2416" s="2">
        <f t="shared" ca="1" si="2333"/>
        <v>25685.198484595268</v>
      </c>
      <c r="AP2416" s="2">
        <f t="shared" ca="1" si="2334"/>
        <v>2253395.1070658341</v>
      </c>
      <c r="AQ2416" s="2">
        <f t="shared" ca="1" si="2335"/>
        <v>789709.85246973601</v>
      </c>
      <c r="AR2416" s="2">
        <f t="shared" ca="1" si="2336"/>
        <v>876440.46068862127</v>
      </c>
      <c r="AS2416" s="2">
        <f t="shared" ca="1" si="2337"/>
        <v>941610.98334855377</v>
      </c>
      <c r="AT2416" s="2">
        <f t="shared" ca="1" si="2338"/>
        <v>1009685.9234841133</v>
      </c>
      <c r="AU2416" s="2">
        <f t="shared" ca="1" si="2339"/>
        <v>1080794.7206107189</v>
      </c>
      <c r="AV2416" s="2">
        <f t="shared" ca="1" si="2340"/>
        <v>2247635.7339523258</v>
      </c>
      <c r="AW2416" s="2">
        <f t="shared" ca="1" si="2341"/>
        <v>2471948.49709245</v>
      </c>
      <c r="AX2416" s="2">
        <f t="shared" ca="1" si="2342"/>
        <v>2656429.4866281245</v>
      </c>
      <c r="AY2416" s="2">
        <f t="shared" ca="1" si="2343"/>
        <v>2849132.1350988429</v>
      </c>
      <c r="AZ2416" s="2">
        <f t="shared" ca="1" si="2344"/>
        <v>3050422.8524843743</v>
      </c>
      <c r="BA2416" s="2">
        <f t="shared" ca="1" si="2345"/>
        <v>60857721.575838879</v>
      </c>
      <c r="BB2416" s="2">
        <f t="shared" ca="1" si="2346"/>
        <v>1217154.4315167775</v>
      </c>
      <c r="BC2416" s="2">
        <f t="shared" ca="1" si="2347"/>
        <v>34602843.732479505</v>
      </c>
      <c r="BD2416" s="2">
        <f t="shared" ca="1" si="2348"/>
        <v>-18235054.083388511</v>
      </c>
      <c r="BE2416" s="2">
        <f t="shared" ca="1" si="2349"/>
        <v>2247635.7339523258</v>
      </c>
      <c r="BF2416" s="2">
        <f t="shared" ca="1" si="2350"/>
        <v>2471948.49709245</v>
      </c>
      <c r="BG2416" s="2">
        <f t="shared" ca="1" si="2351"/>
        <v>2656429.4866281245</v>
      </c>
      <c r="BH2416" s="2">
        <f t="shared" ca="1" si="2352"/>
        <v>2849132.1350988429</v>
      </c>
      <c r="BI2416" s="2">
        <f t="shared" ca="1" si="2353"/>
        <v>37653266.58496388</v>
      </c>
      <c r="BJ2416" s="2">
        <f t="shared" ca="1" si="2354"/>
        <v>0.25017281455662732</v>
      </c>
      <c r="BK2416" s="2">
        <f t="shared" ca="1" si="2355"/>
        <v>10809329.427466068</v>
      </c>
    </row>
    <row r="2417" spans="1:63" x14ac:dyDescent="0.3">
      <c r="A2417" s="2">
        <v>2416</v>
      </c>
      <c r="B2417" s="2">
        <f t="shared" ca="1" si="2294"/>
        <v>0.84576479728280041</v>
      </c>
      <c r="C2417" s="2">
        <f t="shared" ca="1" si="2295"/>
        <v>7.4445988787962349</v>
      </c>
      <c r="D2417" s="2">
        <f t="shared" ca="1" si="2296"/>
        <v>0.94943188662283073</v>
      </c>
      <c r="E2417" s="2">
        <f t="shared" ca="1" si="2297"/>
        <v>8.1819807761245578</v>
      </c>
      <c r="F2417" s="2">
        <f t="shared" ca="1" si="2298"/>
        <v>0.92283318730644059</v>
      </c>
      <c r="G2417" s="2">
        <f t="shared" ca="1" si="2299"/>
        <v>8.2731698132401388E-2</v>
      </c>
      <c r="H2417" s="2">
        <f t="shared" ca="1" si="2300"/>
        <v>8.2731698132401388E-2</v>
      </c>
      <c r="I2417" s="2">
        <f t="shared" ca="1" si="2301"/>
        <v>9.609352353657119E-3</v>
      </c>
      <c r="J2417" s="2">
        <f t="shared" ca="1" si="2302"/>
        <v>-1.7063071137261281E-3</v>
      </c>
      <c r="K2417" s="2">
        <f t="shared" ca="1" si="2303"/>
        <v>0</v>
      </c>
      <c r="L2417" s="2">
        <f t="shared" ca="1" si="2304"/>
        <v>7.4145755340867203E-2</v>
      </c>
      <c r="M2417" s="2">
        <f t="shared" ca="1" si="2305"/>
        <v>-2.8911851483151018E-2</v>
      </c>
      <c r="N2417" s="2">
        <f t="shared" ca="1" si="2306"/>
        <v>-2.8911851483151018E-2</v>
      </c>
      <c r="O2417" s="2">
        <f t="shared" si="2307"/>
        <v>6000000</v>
      </c>
      <c r="P2417" s="2">
        <f t="shared" ca="1" si="2308"/>
        <v>44667593.272777408</v>
      </c>
      <c r="Q2417" s="2">
        <f t="shared" ca="1" si="2309"/>
        <v>1116689.8318194353</v>
      </c>
      <c r="R2417" s="2">
        <f t="shared" ca="1" si="2310"/>
        <v>26800555.963666443</v>
      </c>
      <c r="S2417" s="2">
        <f t="shared" ca="1" si="2311"/>
        <v>17867037.309110966</v>
      </c>
      <c r="T2417" s="2">
        <f t="shared" ca="1" si="2312"/>
        <v>48554407.425842449</v>
      </c>
      <c r="U2417" s="2">
        <f t="shared" ca="1" si="2313"/>
        <v>52571396.003994875</v>
      </c>
      <c r="V2417" s="2">
        <f t="shared" ca="1" si="2314"/>
        <v>56920716.868596308</v>
      </c>
      <c r="W2417" s="2">
        <f t="shared" ca="1" si="2315"/>
        <v>61629864.434048899</v>
      </c>
      <c r="X2417" s="2">
        <f t="shared" ca="1" si="2316"/>
        <v>66728607.774347447</v>
      </c>
      <c r="Y2417" s="2">
        <f t="shared" ca="1" si="2317"/>
        <v>0.12</v>
      </c>
      <c r="Z2417" s="2">
        <f t="shared" ca="1" si="2318"/>
        <v>0.12</v>
      </c>
      <c r="AA2417" s="2">
        <f t="shared" ca="1" si="2319"/>
        <v>5826528.891101094</v>
      </c>
      <c r="AB2417" s="2">
        <f t="shared" ca="1" si="2320"/>
        <v>6308567.5204793848</v>
      </c>
      <c r="AC2417" s="2">
        <f t="shared" ca="1" si="2321"/>
        <v>6830486.0242315568</v>
      </c>
      <c r="AD2417" s="2">
        <f t="shared" ca="1" si="2322"/>
        <v>7395583.7320858678</v>
      </c>
      <c r="AE2417" s="2">
        <f t="shared" ca="1" si="2323"/>
        <v>8007432.9329216937</v>
      </c>
      <c r="AF2417" s="2">
        <f t="shared" ca="1" si="2324"/>
        <v>971088.14851684903</v>
      </c>
      <c r="AG2417" s="2">
        <f t="shared" ca="1" si="2325"/>
        <v>1051427.9200798976</v>
      </c>
      <c r="AH2417" s="2">
        <f t="shared" ca="1" si="2326"/>
        <v>1138414.3373719263</v>
      </c>
      <c r="AI2417" s="2">
        <f t="shared" ca="1" si="2327"/>
        <v>1232597.2886809779</v>
      </c>
      <c r="AJ2417" s="2">
        <f t="shared" ca="1" si="2328"/>
        <v>1334572.155486949</v>
      </c>
      <c r="AK2417" s="2">
        <f t="shared" ca="1" si="2329"/>
        <v>0</v>
      </c>
      <c r="AL2417" s="2">
        <f t="shared" ca="1" si="2330"/>
        <v>40169.885781524259</v>
      </c>
      <c r="AM2417" s="2">
        <f t="shared" ca="1" si="2331"/>
        <v>43493.208646014333</v>
      </c>
      <c r="AN2417" s="2">
        <f t="shared" ca="1" si="2332"/>
        <v>47091.475654525908</v>
      </c>
      <c r="AO2417" s="2">
        <f t="shared" ca="1" si="2333"/>
        <v>50987.433402985487</v>
      </c>
      <c r="AP2417" s="2">
        <f t="shared" ca="1" si="2334"/>
        <v>2412050.0367299798</v>
      </c>
      <c r="AQ2417" s="2">
        <f t="shared" ca="1" si="2335"/>
        <v>635281.58352210908</v>
      </c>
      <c r="AR2417" s="2">
        <f t="shared" ca="1" si="2336"/>
        <v>739723.28655407182</v>
      </c>
      <c r="AS2417" s="2">
        <f t="shared" ca="1" si="2337"/>
        <v>852805.62903370906</v>
      </c>
      <c r="AT2417" s="2">
        <f t="shared" ca="1" si="2338"/>
        <v>975243.46573547658</v>
      </c>
      <c r="AU2417" s="2">
        <f t="shared" ca="1" si="2339"/>
        <v>1107810.792583239</v>
      </c>
      <c r="AV2417" s="2">
        <f t="shared" ca="1" si="2340"/>
        <v>1808109.1223321562</v>
      </c>
      <c r="AW2417" s="2">
        <f t="shared" ca="1" si="2341"/>
        <v>2065196.3913339102</v>
      </c>
      <c r="AX2417" s="2">
        <f t="shared" ca="1" si="2342"/>
        <v>2383722.812449927</v>
      </c>
      <c r="AY2417" s="2">
        <f t="shared" ca="1" si="2343"/>
        <v>2728601.4652849077</v>
      </c>
      <c r="AZ2417" s="2">
        <f t="shared" ca="1" si="2344"/>
        <v>3102012.5147185405</v>
      </c>
      <c r="BA2417" s="2">
        <f t="shared" ca="1" si="2345"/>
        <v>65516662.323271982</v>
      </c>
      <c r="BB2417" s="2">
        <f t="shared" ca="1" si="2346"/>
        <v>1310333.2464654397</v>
      </c>
      <c r="BC2417" s="2">
        <f t="shared" ca="1" si="2347"/>
        <v>37405773.113140099</v>
      </c>
      <c r="BD2417" s="2">
        <f t="shared" ca="1" si="2348"/>
        <v>-19483727.140930399</v>
      </c>
      <c r="BE2417" s="2">
        <f t="shared" ca="1" si="2349"/>
        <v>1808109.1223321562</v>
      </c>
      <c r="BF2417" s="2">
        <f t="shared" ca="1" si="2350"/>
        <v>2065196.3913339102</v>
      </c>
      <c r="BG2417" s="2">
        <f t="shared" ca="1" si="2351"/>
        <v>2383722.812449927</v>
      </c>
      <c r="BH2417" s="2">
        <f t="shared" ca="1" si="2352"/>
        <v>2728601.4652849077</v>
      </c>
      <c r="BI2417" s="2">
        <f t="shared" ca="1" si="2353"/>
        <v>40507785.627858639</v>
      </c>
      <c r="BJ2417" s="2">
        <f t="shared" ca="1" si="2354"/>
        <v>0.23311121814719771</v>
      </c>
      <c r="BK2417" s="2">
        <f t="shared" ca="1" si="2355"/>
        <v>10192985.728174329</v>
      </c>
    </row>
    <row r="2418" spans="1:63" x14ac:dyDescent="0.3">
      <c r="A2418" s="2">
        <v>2417</v>
      </c>
      <c r="B2418" s="2">
        <f t="shared" ca="1" si="2294"/>
        <v>0.88084204001959243</v>
      </c>
      <c r="C2418" s="2">
        <f t="shared" ca="1" si="2295"/>
        <v>7.5118238842786189</v>
      </c>
      <c r="D2418" s="2">
        <f t="shared" ca="1" si="2296"/>
        <v>0.85476506435436306</v>
      </c>
      <c r="E2418" s="2">
        <f t="shared" ca="1" si="2297"/>
        <v>7.9610474313158219</v>
      </c>
      <c r="F2418" s="2">
        <f t="shared" ca="1" si="2298"/>
        <v>0.76865343856857549</v>
      </c>
      <c r="G2418" s="2">
        <f t="shared" ca="1" si="2299"/>
        <v>6.2032584157684624E-2</v>
      </c>
      <c r="H2418" s="2">
        <f t="shared" ca="1" si="2300"/>
        <v>6.2032584157684624E-2</v>
      </c>
      <c r="I2418" s="2">
        <f t="shared" ca="1" si="2301"/>
        <v>0.15354465451449728</v>
      </c>
      <c r="J2418" s="2">
        <f t="shared" ca="1" si="2302"/>
        <v>4.8932570072828209E-3</v>
      </c>
      <c r="K2418" s="2">
        <f t="shared" ca="1" si="2303"/>
        <v>4.8932570072828209E-3</v>
      </c>
      <c r="L2418" s="2">
        <f t="shared" ca="1" si="2304"/>
        <v>0.46359559035978071</v>
      </c>
      <c r="M2418" s="2">
        <f t="shared" ca="1" si="2305"/>
        <v>-1.8275867151897694E-3</v>
      </c>
      <c r="N2418" s="2">
        <f t="shared" ca="1" si="2306"/>
        <v>-1.8275867151897694E-3</v>
      </c>
      <c r="O2418" s="2">
        <f t="shared" si="2307"/>
        <v>6000000</v>
      </c>
      <c r="P2418" s="2">
        <f t="shared" ca="1" si="2308"/>
        <v>45070943.305671714</v>
      </c>
      <c r="Q2418" s="2">
        <f t="shared" ca="1" si="2309"/>
        <v>1126773.5826417929</v>
      </c>
      <c r="R2418" s="2">
        <f t="shared" ca="1" si="2310"/>
        <v>27042565.983403027</v>
      </c>
      <c r="S2418" s="2">
        <f t="shared" ca="1" si="2311"/>
        <v>18028377.322268687</v>
      </c>
      <c r="T2418" s="2">
        <f t="shared" ca="1" si="2312"/>
        <v>49908620.664240509</v>
      </c>
      <c r="U2418" s="2">
        <f t="shared" ca="1" si="2313"/>
        <v>53004581.375788964</v>
      </c>
      <c r="V2418" s="2">
        <f t="shared" ca="1" si="2314"/>
        <v>56292592.530725434</v>
      </c>
      <c r="W2418" s="2">
        <f t="shared" ca="1" si="2315"/>
        <v>59784567.514341906</v>
      </c>
      <c r="X2418" s="2">
        <f t="shared" ca="1" si="2316"/>
        <v>63493158.730006091</v>
      </c>
      <c r="Y2418" s="2">
        <f t="shared" ca="1" si="2317"/>
        <v>0.12244662850364141</v>
      </c>
      <c r="Z2418" s="2">
        <f t="shared" ca="1" si="2318"/>
        <v>0.12342527990509797</v>
      </c>
      <c r="AA2418" s="2">
        <f t="shared" ca="1" si="2319"/>
        <v>6111142.3336034184</v>
      </c>
      <c r="AB2418" s="2">
        <f t="shared" ca="1" si="2320"/>
        <v>6542105.2925592959</v>
      </c>
      <c r="AC2418" s="2">
        <f t="shared" ca="1" si="2321"/>
        <v>6947928.9896884141</v>
      </c>
      <c r="AD2418" s="2">
        <f t="shared" ca="1" si="2322"/>
        <v>7378926.9794628769</v>
      </c>
      <c r="AE2418" s="2">
        <f t="shared" ca="1" si="2323"/>
        <v>7836660.8883098168</v>
      </c>
      <c r="AF2418" s="2">
        <f t="shared" ca="1" si="2324"/>
        <v>998172.41328481026</v>
      </c>
      <c r="AG2418" s="2">
        <f t="shared" ca="1" si="2325"/>
        <v>1060091.6275157793</v>
      </c>
      <c r="AH2418" s="2">
        <f t="shared" ca="1" si="2326"/>
        <v>1125851.8506145086</v>
      </c>
      <c r="AI2418" s="2">
        <f t="shared" ca="1" si="2327"/>
        <v>1195691.3502868381</v>
      </c>
      <c r="AJ2418" s="2">
        <f t="shared" ca="1" si="2328"/>
        <v>1269863.1746001218</v>
      </c>
      <c r="AK2418" s="2">
        <f t="shared" ca="1" si="2329"/>
        <v>0</v>
      </c>
      <c r="AL2418" s="2">
        <f t="shared" ca="1" si="2330"/>
        <v>30959.607115484552</v>
      </c>
      <c r="AM2418" s="2">
        <f t="shared" ca="1" si="2331"/>
        <v>32880.111549364701</v>
      </c>
      <c r="AN2418" s="2">
        <f t="shared" ca="1" si="2332"/>
        <v>34919.749836164716</v>
      </c>
      <c r="AO2418" s="2">
        <f t="shared" ca="1" si="2333"/>
        <v>37085.912156641854</v>
      </c>
      <c r="AP2418" s="2">
        <f t="shared" ca="1" si="2334"/>
        <v>2433830.9385062722</v>
      </c>
      <c r="AQ2418" s="2">
        <f t="shared" ca="1" si="2335"/>
        <v>696576.13527120743</v>
      </c>
      <c r="AR2418" s="2">
        <f t="shared" ca="1" si="2336"/>
        <v>792527.50889968348</v>
      </c>
      <c r="AS2418" s="2">
        <f t="shared" ca="1" si="2337"/>
        <v>880944.0121475847</v>
      </c>
      <c r="AT2418" s="2">
        <f t="shared" ca="1" si="2338"/>
        <v>974845.21957413945</v>
      </c>
      <c r="AU2418" s="2">
        <f t="shared" ca="1" si="2339"/>
        <v>1074571.3615528902</v>
      </c>
      <c r="AV2418" s="2">
        <f t="shared" ca="1" si="2340"/>
        <v>1982562.8465411286</v>
      </c>
      <c r="AW2418" s="2">
        <f t="shared" ca="1" si="2341"/>
        <v>2224695.610522076</v>
      </c>
      <c r="AX2418" s="2">
        <f t="shared" ca="1" si="2342"/>
        <v>2474422.076870684</v>
      </c>
      <c r="AY2418" s="2">
        <f t="shared" ca="1" si="2343"/>
        <v>2739639.7212594631</v>
      </c>
      <c r="AZ2418" s="2">
        <f t="shared" ca="1" si="2344"/>
        <v>3021309.5014938912</v>
      </c>
      <c r="BA2418" s="2">
        <f t="shared" ca="1" si="2345"/>
        <v>62388029.034972034</v>
      </c>
      <c r="BB2418" s="2">
        <f t="shared" ca="1" si="2346"/>
        <v>1247760.5806994408</v>
      </c>
      <c r="BC2418" s="2">
        <f t="shared" ca="1" si="2347"/>
        <v>34097702.470869564</v>
      </c>
      <c r="BD2418" s="2">
        <f t="shared" ca="1" si="2348"/>
        <v>-19655150.904910479</v>
      </c>
      <c r="BE2418" s="2">
        <f t="shared" ca="1" si="2349"/>
        <v>1982562.8465411286</v>
      </c>
      <c r="BF2418" s="2">
        <f t="shared" ca="1" si="2350"/>
        <v>2224695.610522076</v>
      </c>
      <c r="BG2418" s="2">
        <f t="shared" ca="1" si="2351"/>
        <v>2474422.076870684</v>
      </c>
      <c r="BH2418" s="2">
        <f t="shared" ca="1" si="2352"/>
        <v>2739639.7212594631</v>
      </c>
      <c r="BI2418" s="2">
        <f t="shared" ca="1" si="2353"/>
        <v>37119011.972363457</v>
      </c>
      <c r="BJ2418" s="2">
        <f t="shared" ca="1" si="2354"/>
        <v>0.21702613030131457</v>
      </c>
      <c r="BK2418" s="2">
        <f t="shared" ca="1" si="2355"/>
        <v>8453167.7950153686</v>
      </c>
    </row>
    <row r="2419" spans="1:63" x14ac:dyDescent="0.3">
      <c r="A2419" s="2">
        <v>2418</v>
      </c>
      <c r="B2419" s="2">
        <f t="shared" ca="1" si="2294"/>
        <v>0.13584162581364645</v>
      </c>
      <c r="C2419" s="2">
        <f t="shared" ca="1" si="2295"/>
        <v>6.5212324353177697</v>
      </c>
      <c r="D2419" s="2">
        <f t="shared" ca="1" si="2296"/>
        <v>0.68870193398739654</v>
      </c>
      <c r="E2419" s="2">
        <f t="shared" ca="1" si="2297"/>
        <v>7.710952389253217</v>
      </c>
      <c r="F2419" s="2">
        <f t="shared" ca="1" si="2298"/>
        <v>0.93336329914037419</v>
      </c>
      <c r="G2419" s="2">
        <f t="shared" ca="1" si="2299"/>
        <v>8.5039531853142031E-2</v>
      </c>
      <c r="H2419" s="2">
        <f t="shared" ca="1" si="2300"/>
        <v>8.5039531853142031E-2</v>
      </c>
      <c r="I2419" s="2">
        <f t="shared" ca="1" si="2301"/>
        <v>0.11208938936045143</v>
      </c>
      <c r="J2419" s="2">
        <f t="shared" ca="1" si="2302"/>
        <v>3.9225436803346217E-3</v>
      </c>
      <c r="K2419" s="2">
        <f t="shared" ca="1" si="2303"/>
        <v>3.9225436803346217E-3</v>
      </c>
      <c r="L2419" s="2">
        <f t="shared" ca="1" si="2304"/>
        <v>0.40802161392913838</v>
      </c>
      <c r="M2419" s="2">
        <f t="shared" ca="1" si="2305"/>
        <v>-4.6527416932282215E-3</v>
      </c>
      <c r="N2419" s="2">
        <f t="shared" ca="1" si="2306"/>
        <v>-4.6527416932282215E-3</v>
      </c>
      <c r="O2419" s="2">
        <f t="shared" si="2307"/>
        <v>6000000</v>
      </c>
      <c r="P2419" s="2">
        <f t="shared" ca="1" si="2308"/>
        <v>39127394.611906618</v>
      </c>
      <c r="Q2419" s="2">
        <f t="shared" ca="1" si="2309"/>
        <v>978184.86529766547</v>
      </c>
      <c r="R2419" s="2">
        <f t="shared" ca="1" si="2310"/>
        <v>23476436.767143968</v>
      </c>
      <c r="S2419" s="2">
        <f t="shared" ca="1" si="2311"/>
        <v>15650957.844762648</v>
      </c>
      <c r="T2419" s="2">
        <f t="shared" ca="1" si="2312"/>
        <v>49767362.915338583</v>
      </c>
      <c r="U2419" s="2">
        <f t="shared" ca="1" si="2313"/>
        <v>53999556.159224398</v>
      </c>
      <c r="V2419" s="2">
        <f t="shared" ca="1" si="2314"/>
        <v>58591653.135282293</v>
      </c>
      <c r="W2419" s="2">
        <f t="shared" ca="1" si="2315"/>
        <v>63574259.888408385</v>
      </c>
      <c r="X2419" s="2">
        <f t="shared" ca="1" si="2316"/>
        <v>68980585.18722862</v>
      </c>
      <c r="Y2419" s="2">
        <f t="shared" ca="1" si="2317"/>
        <v>0.12196127184016731</v>
      </c>
      <c r="Z2419" s="2">
        <f t="shared" ca="1" si="2318"/>
        <v>0.12274578057623423</v>
      </c>
      <c r="AA2419" s="2">
        <f t="shared" ca="1" si="2319"/>
        <v>6069690.8772858707</v>
      </c>
      <c r="AB2419" s="2">
        <f t="shared" ca="1" si="2320"/>
        <v>6628217.6715341955</v>
      </c>
      <c r="AC2419" s="2">
        <f t="shared" ca="1" si="2321"/>
        <v>7191878.1993421866</v>
      </c>
      <c r="AD2419" s="2">
        <f t="shared" ca="1" si="2322"/>
        <v>7803472.1545590647</v>
      </c>
      <c r="AE2419" s="2">
        <f t="shared" ca="1" si="2323"/>
        <v>8467075.7734117974</v>
      </c>
      <c r="AF2419" s="2">
        <f t="shared" ca="1" si="2324"/>
        <v>995347.25830677163</v>
      </c>
      <c r="AG2419" s="2">
        <f t="shared" ca="1" si="2325"/>
        <v>1079991.1231844879</v>
      </c>
      <c r="AH2419" s="2">
        <f t="shared" ca="1" si="2326"/>
        <v>1171833.0627056458</v>
      </c>
      <c r="AI2419" s="2">
        <f t="shared" ca="1" si="2327"/>
        <v>1271485.1977681678</v>
      </c>
      <c r="AJ2419" s="2">
        <f t="shared" ca="1" si="2328"/>
        <v>1379611.7037445724</v>
      </c>
      <c r="AK2419" s="2">
        <f t="shared" ca="1" si="2329"/>
        <v>0</v>
      </c>
      <c r="AL2419" s="2">
        <f t="shared" ca="1" si="2330"/>
        <v>42321.932438858152</v>
      </c>
      <c r="AM2419" s="2">
        <f t="shared" ca="1" si="2331"/>
        <v>45920.969760578948</v>
      </c>
      <c r="AN2419" s="2">
        <f t="shared" ca="1" si="2332"/>
        <v>49826.067531260924</v>
      </c>
      <c r="AO2419" s="2">
        <f t="shared" ca="1" si="2333"/>
        <v>54063.252988202352</v>
      </c>
      <c r="AP2419" s="2">
        <f t="shared" ca="1" si="2334"/>
        <v>2112879.3090429571</v>
      </c>
      <c r="AQ2419" s="2">
        <f t="shared" ca="1" si="2335"/>
        <v>769980.72058339696</v>
      </c>
      <c r="AR2419" s="2">
        <f t="shared" ca="1" si="2336"/>
        <v>893190.28221975511</v>
      </c>
      <c r="AS2419" s="2">
        <f t="shared" ca="1" si="2337"/>
        <v>1015863.1151743317</v>
      </c>
      <c r="AT2419" s="2">
        <f t="shared" ca="1" si="2338"/>
        <v>1148967.9884144643</v>
      </c>
      <c r="AU2419" s="2">
        <f t="shared" ca="1" si="2339"/>
        <v>1293392.0377623094</v>
      </c>
      <c r="AV2419" s="2">
        <f t="shared" ca="1" si="2340"/>
        <v>2191483.5893527451</v>
      </c>
      <c r="AW2419" s="2">
        <f t="shared" ca="1" si="2341"/>
        <v>2499835.0246481369</v>
      </c>
      <c r="AX2419" s="2">
        <f t="shared" ca="1" si="2342"/>
        <v>2845381.7426586724</v>
      </c>
      <c r="AY2419" s="2">
        <f t="shared" ca="1" si="2343"/>
        <v>3220313.5918022147</v>
      </c>
      <c r="AZ2419" s="2">
        <f t="shared" ca="1" si="2344"/>
        <v>3627129.4698737557</v>
      </c>
      <c r="BA2419" s="2">
        <f t="shared" ca="1" si="2345"/>
        <v>65289218.164977729</v>
      </c>
      <c r="BB2419" s="2">
        <f t="shared" ca="1" si="2346"/>
        <v>1305784.3632995547</v>
      </c>
      <c r="BC2419" s="2">
        <f t="shared" ca="1" si="2347"/>
        <v>40506997.034534208</v>
      </c>
      <c r="BD2419" s="2">
        <f t="shared" ca="1" si="2348"/>
        <v>-17129142.710060313</v>
      </c>
      <c r="BE2419" s="2">
        <f t="shared" ca="1" si="2349"/>
        <v>2191483.5893527451</v>
      </c>
      <c r="BF2419" s="2">
        <f t="shared" ca="1" si="2350"/>
        <v>2499835.0246481369</v>
      </c>
      <c r="BG2419" s="2">
        <f t="shared" ca="1" si="2351"/>
        <v>2845381.7426586724</v>
      </c>
      <c r="BH2419" s="2">
        <f t="shared" ca="1" si="2352"/>
        <v>3220313.5918022147</v>
      </c>
      <c r="BI2419" s="2">
        <f t="shared" ca="1" si="2353"/>
        <v>44134126.504407965</v>
      </c>
      <c r="BJ2419" s="2">
        <f t="shared" ca="1" si="2354"/>
        <v>0.30627356554420548</v>
      </c>
      <c r="BK2419" s="2">
        <f t="shared" ca="1" si="2355"/>
        <v>15935134.90260414</v>
      </c>
    </row>
    <row r="2420" spans="1:63" x14ac:dyDescent="0.3">
      <c r="A2420" s="2">
        <v>2419</v>
      </c>
      <c r="B2420" s="2">
        <f t="shared" ca="1" si="2294"/>
        <v>0.69753019394713889</v>
      </c>
      <c r="C2420" s="2">
        <f t="shared" ca="1" si="2295"/>
        <v>7.2222213604721954</v>
      </c>
      <c r="D2420" s="2">
        <f t="shared" ca="1" si="2296"/>
        <v>0.99220822884380377</v>
      </c>
      <c r="E2420" s="2">
        <f t="shared" ca="1" si="2297"/>
        <v>8.375165940895954</v>
      </c>
      <c r="F2420" s="2">
        <f t="shared" ca="1" si="2298"/>
        <v>0.54976440805638349</v>
      </c>
      <c r="G2420" s="2">
        <f t="shared" ca="1" si="2299"/>
        <v>4.3751984399318142E-2</v>
      </c>
      <c r="H2420" s="2">
        <f t="shared" ca="1" si="2300"/>
        <v>4.3751984399318142E-2</v>
      </c>
      <c r="I2420" s="2">
        <f t="shared" ca="1" si="2301"/>
        <v>0.74459900048761329</v>
      </c>
      <c r="J2420" s="2">
        <f t="shared" ca="1" si="2302"/>
        <v>1.3287947067180441E-2</v>
      </c>
      <c r="K2420" s="2">
        <f t="shared" ca="1" si="2303"/>
        <v>1.3287947067180441E-2</v>
      </c>
      <c r="L2420" s="2">
        <f t="shared" ca="1" si="2304"/>
        <v>0.60008601400244854</v>
      </c>
      <c r="M2420" s="2">
        <f t="shared" ca="1" si="2305"/>
        <v>5.0713949210773939E-3</v>
      </c>
      <c r="N2420" s="2">
        <f t="shared" ca="1" si="2306"/>
        <v>5.0713949210773939E-3</v>
      </c>
      <c r="O2420" s="2">
        <f t="shared" si="2307"/>
        <v>6000000</v>
      </c>
      <c r="P2420" s="2">
        <f t="shared" ca="1" si="2308"/>
        <v>43333328.162833169</v>
      </c>
      <c r="Q2420" s="2">
        <f t="shared" ca="1" si="2309"/>
        <v>1083333.2040708293</v>
      </c>
      <c r="R2420" s="2">
        <f t="shared" ca="1" si="2310"/>
        <v>25999996.8976999</v>
      </c>
      <c r="S2420" s="2">
        <f t="shared" ca="1" si="2311"/>
        <v>17333331.265133269</v>
      </c>
      <c r="T2420" s="2">
        <f t="shared" ca="1" si="2312"/>
        <v>50253569.746053874</v>
      </c>
      <c r="U2420" s="2">
        <f t="shared" ca="1" si="2313"/>
        <v>52452263.145593271</v>
      </c>
      <c r="V2420" s="2">
        <f t="shared" ca="1" si="2314"/>
        <v>54747153.7444482</v>
      </c>
      <c r="W2420" s="2">
        <f t="shared" ca="1" si="2315"/>
        <v>57142450.360982373</v>
      </c>
      <c r="X2420" s="2">
        <f t="shared" ca="1" si="2316"/>
        <v>59642545.957714885</v>
      </c>
      <c r="Y2420" s="2">
        <f t="shared" ca="1" si="2317"/>
        <v>0.12664397353359022</v>
      </c>
      <c r="Z2420" s="2">
        <f t="shared" ca="1" si="2318"/>
        <v>0.1293015629470263</v>
      </c>
      <c r="AA2420" s="2">
        <f t="shared" ca="1" si="2319"/>
        <v>6364311.7568876771</v>
      </c>
      <c r="AB2420" s="2">
        <f t="shared" ca="1" si="2320"/>
        <v>6782159.6048339158</v>
      </c>
      <c r="AC2420" s="2">
        <f t="shared" ca="1" si="2321"/>
        <v>7078892.5460582953</v>
      </c>
      <c r="AD2420" s="2">
        <f t="shared" ca="1" si="2322"/>
        <v>7388608.1422978882</v>
      </c>
      <c r="AE2420" s="2">
        <f t="shared" ca="1" si="2323"/>
        <v>7711874.41047238</v>
      </c>
      <c r="AF2420" s="2">
        <f t="shared" ca="1" si="2324"/>
        <v>1005071.3949210775</v>
      </c>
      <c r="AG2420" s="2">
        <f t="shared" ca="1" si="2325"/>
        <v>1049045.2629118655</v>
      </c>
      <c r="AH2420" s="2">
        <f t="shared" ca="1" si="2326"/>
        <v>1094943.074888964</v>
      </c>
      <c r="AI2420" s="2">
        <f t="shared" ca="1" si="2327"/>
        <v>1142849.0072196475</v>
      </c>
      <c r="AJ2420" s="2">
        <f t="shared" ca="1" si="2328"/>
        <v>1192850.9191542978</v>
      </c>
      <c r="AK2420" s="2">
        <f t="shared" ca="1" si="2329"/>
        <v>0</v>
      </c>
      <c r="AL2420" s="2">
        <f t="shared" ca="1" si="2330"/>
        <v>21986.933995393963</v>
      </c>
      <c r="AM2420" s="2">
        <f t="shared" ca="1" si="2331"/>
        <v>22948.905988549293</v>
      </c>
      <c r="AN2420" s="2">
        <f t="shared" ca="1" si="2332"/>
        <v>23952.966165341735</v>
      </c>
      <c r="AO2420" s="2">
        <f t="shared" ca="1" si="2333"/>
        <v>25000.955967325121</v>
      </c>
      <c r="AP2420" s="2">
        <f t="shared" ca="1" si="2334"/>
        <v>2339999.7207929911</v>
      </c>
      <c r="AQ2420" s="2">
        <f t="shared" ca="1" si="2335"/>
        <v>785002.56670513831</v>
      </c>
      <c r="AR2420" s="2">
        <f t="shared" ca="1" si="2336"/>
        <v>882209.80149355542</v>
      </c>
      <c r="AS2420" s="2">
        <f t="shared" ca="1" si="2337"/>
        <v>947426.93509784841</v>
      </c>
      <c r="AT2420" s="2">
        <f t="shared" ca="1" si="2338"/>
        <v>1015497.4477141647</v>
      </c>
      <c r="AU2420" s="2">
        <f t="shared" ca="1" si="2339"/>
        <v>1086546.1803365238</v>
      </c>
      <c r="AV2420" s="2">
        <f t="shared" ca="1" si="2340"/>
        <v>2234238.0744684702</v>
      </c>
      <c r="AW2420" s="2">
        <f t="shared" ca="1" si="2341"/>
        <v>2488917.8856401099</v>
      </c>
      <c r="AX2420" s="2">
        <f t="shared" ca="1" si="2342"/>
        <v>2673573.9092899431</v>
      </c>
      <c r="AY2420" s="2">
        <f t="shared" ca="1" si="2343"/>
        <v>2866309.0004057428</v>
      </c>
      <c r="AZ2420" s="2">
        <f t="shared" ca="1" si="2344"/>
        <v>3067476.6342212427</v>
      </c>
      <c r="BA2420" s="2">
        <f t="shared" ca="1" si="2345"/>
        <v>64588227.90305534</v>
      </c>
      <c r="BB2420" s="2">
        <f t="shared" ca="1" si="2346"/>
        <v>1291764.5580611068</v>
      </c>
      <c r="BC2420" s="2">
        <f t="shared" ca="1" si="2347"/>
        <v>37296466.447294332</v>
      </c>
      <c r="BD2420" s="2">
        <f t="shared" ca="1" si="2348"/>
        <v>-18916664.469204098</v>
      </c>
      <c r="BE2420" s="2">
        <f t="shared" ca="1" si="2349"/>
        <v>2234238.0744684702</v>
      </c>
      <c r="BF2420" s="2">
        <f t="shared" ca="1" si="2350"/>
        <v>2488917.8856401099</v>
      </c>
      <c r="BG2420" s="2">
        <f t="shared" ca="1" si="2351"/>
        <v>2673573.9092899431</v>
      </c>
      <c r="BH2420" s="2">
        <f t="shared" ca="1" si="2352"/>
        <v>2866309.0004057428</v>
      </c>
      <c r="BI2420" s="2">
        <f t="shared" ca="1" si="2353"/>
        <v>40363943.081515573</v>
      </c>
      <c r="BJ2420" s="2">
        <f t="shared" ca="1" si="2354"/>
        <v>0.25367502031595657</v>
      </c>
      <c r="BK2420" s="2">
        <f t="shared" ca="1" si="2355"/>
        <v>11690514.649491068</v>
      </c>
    </row>
    <row r="2421" spans="1:63" x14ac:dyDescent="0.3">
      <c r="A2421" s="2">
        <v>2420</v>
      </c>
      <c r="B2421" s="2">
        <f t="shared" ca="1" si="2294"/>
        <v>0.8125661699738882</v>
      </c>
      <c r="C2421" s="2">
        <f t="shared" ca="1" si="2295"/>
        <v>7.3877356289541067</v>
      </c>
      <c r="D2421" s="2">
        <f t="shared" ca="1" si="2296"/>
        <v>0.20421529530084215</v>
      </c>
      <c r="E2421" s="2">
        <f t="shared" ca="1" si="2297"/>
        <v>7.1390857458914914</v>
      </c>
      <c r="F2421" s="2">
        <f t="shared" ca="1" si="2298"/>
        <v>0.90678357806493448</v>
      </c>
      <c r="G2421" s="2">
        <f t="shared" ca="1" si="2299"/>
        <v>7.9636165815921645E-2</v>
      </c>
      <c r="H2421" s="2">
        <f t="shared" ca="1" si="2300"/>
        <v>7.9636165815921645E-2</v>
      </c>
      <c r="I2421" s="2">
        <f t="shared" ca="1" si="2301"/>
        <v>0.767732759466774</v>
      </c>
      <c r="J2421" s="2">
        <f t="shared" ca="1" si="2302"/>
        <v>1.3657003146009426E-2</v>
      </c>
      <c r="K2421" s="2">
        <f t="shared" ca="1" si="2303"/>
        <v>1.3657003146009426E-2</v>
      </c>
      <c r="L2421" s="2">
        <f t="shared" ca="1" si="2304"/>
        <v>0.11174961747739809</v>
      </c>
      <c r="M2421" s="2">
        <f t="shared" ca="1" si="2305"/>
        <v>-2.4345519345305173E-2</v>
      </c>
      <c r="N2421" s="2">
        <f t="shared" ca="1" si="2306"/>
        <v>-2.4345519345305173E-2</v>
      </c>
      <c r="O2421" s="2">
        <f t="shared" si="2307"/>
        <v>6000000</v>
      </c>
      <c r="P2421" s="2">
        <f t="shared" ca="1" si="2308"/>
        <v>44326413.773724638</v>
      </c>
      <c r="Q2421" s="2">
        <f t="shared" ca="1" si="2309"/>
        <v>1108160.344343116</v>
      </c>
      <c r="R2421" s="2">
        <f t="shared" ca="1" si="2310"/>
        <v>26595848.264234781</v>
      </c>
      <c r="S2421" s="2">
        <f t="shared" ca="1" si="2311"/>
        <v>17730565.509489857</v>
      </c>
      <c r="T2421" s="2">
        <f t="shared" ca="1" si="2312"/>
        <v>48782724.032734744</v>
      </c>
      <c r="U2421" s="2">
        <f t="shared" ca="1" si="2313"/>
        <v>52667593.132757954</v>
      </c>
      <c r="V2421" s="2">
        <f t="shared" ca="1" si="2314"/>
        <v>56861838.312603764</v>
      </c>
      <c r="W2421" s="2">
        <f t="shared" ca="1" si="2315"/>
        <v>61390097.097064406</v>
      </c>
      <c r="X2421" s="2">
        <f t="shared" ca="1" si="2316"/>
        <v>66278969.048941761</v>
      </c>
      <c r="Y2421" s="2">
        <f t="shared" ca="1" si="2317"/>
        <v>0.12682850157300471</v>
      </c>
      <c r="Z2421" s="2">
        <f t="shared" ca="1" si="2318"/>
        <v>0.12955990220220659</v>
      </c>
      <c r="AA2421" s="2">
        <f t="shared" ca="1" si="2319"/>
        <v>6187039.7917211531</v>
      </c>
      <c r="AB2421" s="2">
        <f t="shared" ca="1" si="2320"/>
        <v>6823608.2155057276</v>
      </c>
      <c r="AC2421" s="2">
        <f t="shared" ca="1" si="2321"/>
        <v>7367014.2108186278</v>
      </c>
      <c r="AD2421" s="2">
        <f t="shared" ca="1" si="2322"/>
        <v>7953694.9760796307</v>
      </c>
      <c r="AE2421" s="2">
        <f t="shared" ca="1" si="2323"/>
        <v>8587096.748043973</v>
      </c>
      <c r="AF2421" s="2">
        <f t="shared" ca="1" si="2324"/>
        <v>975654.48065469495</v>
      </c>
      <c r="AG2421" s="2">
        <f t="shared" ca="1" si="2325"/>
        <v>1053351.8626551591</v>
      </c>
      <c r="AH2421" s="2">
        <f t="shared" ca="1" si="2326"/>
        <v>1137236.7662520753</v>
      </c>
      <c r="AI2421" s="2">
        <f t="shared" ca="1" si="2327"/>
        <v>1227801.9419412881</v>
      </c>
      <c r="AJ2421" s="2">
        <f t="shared" ca="1" si="2328"/>
        <v>1325579.3809788353</v>
      </c>
      <c r="AK2421" s="2">
        <f t="shared" ca="1" si="2329"/>
        <v>0</v>
      </c>
      <c r="AL2421" s="2">
        <f t="shared" ca="1" si="2330"/>
        <v>38848.691000232102</v>
      </c>
      <c r="AM2421" s="2">
        <f t="shared" ca="1" si="2331"/>
        <v>41942.451798458103</v>
      </c>
      <c r="AN2421" s="2">
        <f t="shared" ca="1" si="2332"/>
        <v>45282.587844606416</v>
      </c>
      <c r="AO2421" s="2">
        <f t="shared" ca="1" si="2333"/>
        <v>48888.719518773556</v>
      </c>
      <c r="AP2421" s="2">
        <f t="shared" ca="1" si="2334"/>
        <v>2393626.3437811304</v>
      </c>
      <c r="AQ2421" s="2">
        <f t="shared" ca="1" si="2335"/>
        <v>732617.33149418526</v>
      </c>
      <c r="AR2421" s="2">
        <f t="shared" ca="1" si="2336"/>
        <v>877923.80235805397</v>
      </c>
      <c r="AS2421" s="2">
        <f t="shared" ca="1" si="2337"/>
        <v>997399.28620420978</v>
      </c>
      <c r="AT2421" s="2">
        <f t="shared" ca="1" si="2338"/>
        <v>1126389.3394928752</v>
      </c>
      <c r="AU2421" s="2">
        <f t="shared" ca="1" si="2339"/>
        <v>1265651.6660538418</v>
      </c>
      <c r="AV2421" s="2">
        <f t="shared" ca="1" si="2340"/>
        <v>2085141.6357911425</v>
      </c>
      <c r="AW2421" s="2">
        <f t="shared" ca="1" si="2341"/>
        <v>2459857.515711152</v>
      </c>
      <c r="AX2421" s="2">
        <f t="shared" ca="1" si="2342"/>
        <v>2796809.3627827549</v>
      </c>
      <c r="AY2421" s="2">
        <f t="shared" ca="1" si="2343"/>
        <v>3160594.7630197303</v>
      </c>
      <c r="AZ2421" s="2">
        <f t="shared" ca="1" si="2344"/>
        <v>3553350.6377113918</v>
      </c>
      <c r="BA2421" s="2">
        <f t="shared" ca="1" si="2345"/>
        <v>61304019.992551908</v>
      </c>
      <c r="BB2421" s="2">
        <f t="shared" ca="1" si="2346"/>
        <v>1226080.3998510381</v>
      </c>
      <c r="BC2421" s="2">
        <f t="shared" ca="1" si="2347"/>
        <v>33482091.328466088</v>
      </c>
      <c r="BD2421" s="2">
        <f t="shared" ca="1" si="2348"/>
        <v>-19338725.853832971</v>
      </c>
      <c r="BE2421" s="2">
        <f t="shared" ca="1" si="2349"/>
        <v>2085141.6357911425</v>
      </c>
      <c r="BF2421" s="2">
        <f t="shared" ca="1" si="2350"/>
        <v>2459857.515711152</v>
      </c>
      <c r="BG2421" s="2">
        <f t="shared" ca="1" si="2351"/>
        <v>2796809.3627827549</v>
      </c>
      <c r="BH2421" s="2">
        <f t="shared" ca="1" si="2352"/>
        <v>3160594.7630197303</v>
      </c>
      <c r="BI2421" s="2">
        <f t="shared" ca="1" si="2353"/>
        <v>37035441.966177478</v>
      </c>
      <c r="BJ2421" s="2">
        <f t="shared" ca="1" si="2354"/>
        <v>0.2303244182046118</v>
      </c>
      <c r="BK2421" s="2">
        <f t="shared" ca="1" si="2355"/>
        <v>9498224.257480558</v>
      </c>
    </row>
    <row r="2422" spans="1:63" x14ac:dyDescent="0.3">
      <c r="A2422" s="2">
        <v>2421</v>
      </c>
      <c r="B2422" s="2">
        <f t="shared" ca="1" si="2294"/>
        <v>0.95853600429170827</v>
      </c>
      <c r="C2422" s="2">
        <f t="shared" ca="1" si="2295"/>
        <v>7.7120277940207016</v>
      </c>
      <c r="D2422" s="2">
        <f t="shared" ca="1" si="2296"/>
        <v>0.56085617081695649</v>
      </c>
      <c r="E2422" s="2">
        <f t="shared" ca="1" si="2297"/>
        <v>7.5628299736087978</v>
      </c>
      <c r="F2422" s="2">
        <f t="shared" ca="1" si="2298"/>
        <v>0.45260718863102323</v>
      </c>
      <c r="G2422" s="2">
        <f t="shared" ca="1" si="2299"/>
        <v>3.6427690940717267E-2</v>
      </c>
      <c r="H2422" s="2">
        <f t="shared" ca="1" si="2300"/>
        <v>3.6427690940717267E-2</v>
      </c>
      <c r="I2422" s="2">
        <f t="shared" ca="1" si="2301"/>
        <v>0.78179153085714104</v>
      </c>
      <c r="J2422" s="2">
        <f t="shared" ca="1" si="2302"/>
        <v>1.3891289932256277E-2</v>
      </c>
      <c r="K2422" s="2">
        <f t="shared" ca="1" si="2303"/>
        <v>1.3891289932256277E-2</v>
      </c>
      <c r="L2422" s="2">
        <f t="shared" ca="1" si="2304"/>
        <v>0.94705256358772572</v>
      </c>
      <c r="M2422" s="2">
        <f t="shared" ca="1" si="2305"/>
        <v>3.2338462794381941E-2</v>
      </c>
      <c r="N2422" s="2">
        <f t="shared" ca="1" si="2306"/>
        <v>3.2338462794381941E-2</v>
      </c>
      <c r="O2422" s="2">
        <f t="shared" si="2307"/>
        <v>6000000</v>
      </c>
      <c r="P2422" s="2">
        <f t="shared" ca="1" si="2308"/>
        <v>46272166.764124207</v>
      </c>
      <c r="Q2422" s="2">
        <f t="shared" ca="1" si="2309"/>
        <v>1156804.1691031053</v>
      </c>
      <c r="R2422" s="2">
        <f t="shared" ca="1" si="2310"/>
        <v>27763300.058474522</v>
      </c>
      <c r="S2422" s="2">
        <f t="shared" ca="1" si="2311"/>
        <v>18508866.705649685</v>
      </c>
      <c r="T2422" s="2">
        <f t="shared" ca="1" si="2312"/>
        <v>51616923.139719099</v>
      </c>
      <c r="U2422" s="2">
        <f t="shared" ca="1" si="2313"/>
        <v>53497208.463163547</v>
      </c>
      <c r="V2422" s="2">
        <f t="shared" ca="1" si="2314"/>
        <v>55445988.239250794</v>
      </c>
      <c r="W2422" s="2">
        <f t="shared" ca="1" si="2315"/>
        <v>57465757.562732868</v>
      </c>
      <c r="X2422" s="2">
        <f t="shared" ca="1" si="2316"/>
        <v>59559102.418902285</v>
      </c>
      <c r="Y2422" s="2">
        <f t="shared" ca="1" si="2317"/>
        <v>0.12694564496612815</v>
      </c>
      <c r="Z2422" s="2">
        <f t="shared" ca="1" si="2318"/>
        <v>0.12972390295257938</v>
      </c>
      <c r="AA2422" s="2">
        <f t="shared" ca="1" si="2319"/>
        <v>6552543.5991387051</v>
      </c>
      <c r="AB2422" s="2">
        <f t="shared" ca="1" si="2320"/>
        <v>6939866.6789093362</v>
      </c>
      <c r="AC2422" s="2">
        <f t="shared" ca="1" si="2321"/>
        <v>7192669.9974584272</v>
      </c>
      <c r="AD2422" s="2">
        <f t="shared" ca="1" si="2322"/>
        <v>7454682.3571644127</v>
      </c>
      <c r="AE2422" s="2">
        <f t="shared" ca="1" si="2323"/>
        <v>7726239.2221324155</v>
      </c>
      <c r="AF2422" s="2">
        <f t="shared" ca="1" si="2324"/>
        <v>1032338.462794382</v>
      </c>
      <c r="AG2422" s="2">
        <f t="shared" ca="1" si="2325"/>
        <v>1069944.1692632709</v>
      </c>
      <c r="AH2422" s="2">
        <f t="shared" ca="1" si="2326"/>
        <v>1108919.764785016</v>
      </c>
      <c r="AI2422" s="2">
        <f t="shared" ca="1" si="2327"/>
        <v>1149315.1512546574</v>
      </c>
      <c r="AJ2422" s="2">
        <f t="shared" ca="1" si="2328"/>
        <v>1191182.0483780457</v>
      </c>
      <c r="AK2422" s="2">
        <f t="shared" ca="1" si="2329"/>
        <v>0</v>
      </c>
      <c r="AL2422" s="2">
        <f t="shared" ca="1" si="2330"/>
        <v>18802.853234444483</v>
      </c>
      <c r="AM2422" s="2">
        <f t="shared" ca="1" si="2331"/>
        <v>19487.797760872469</v>
      </c>
      <c r="AN2422" s="2">
        <f t="shared" ca="1" si="2332"/>
        <v>20197.693234820737</v>
      </c>
      <c r="AO2422" s="2">
        <f t="shared" ca="1" si="2333"/>
        <v>20933.448561694175</v>
      </c>
      <c r="AP2422" s="2">
        <f t="shared" ca="1" si="2334"/>
        <v>2498697.0052627069</v>
      </c>
      <c r="AQ2422" s="2">
        <f t="shared" ca="1" si="2335"/>
        <v>785592.11408122024</v>
      </c>
      <c r="AR2422" s="2">
        <f t="shared" ca="1" si="2336"/>
        <v>876518.63113967329</v>
      </c>
      <c r="AS2422" s="2">
        <f t="shared" ca="1" si="2337"/>
        <v>932113.83912678319</v>
      </c>
      <c r="AT2422" s="2">
        <f t="shared" ca="1" si="2338"/>
        <v>989734.25216823258</v>
      </c>
      <c r="AU2422" s="2">
        <f t="shared" ca="1" si="2339"/>
        <v>1049453.6438078324</v>
      </c>
      <c r="AV2422" s="2">
        <f t="shared" ca="1" si="2340"/>
        <v>2235916.0170003953</v>
      </c>
      <c r="AW2422" s="2">
        <f t="shared" ca="1" si="2341"/>
        <v>2475904.0200092406</v>
      </c>
      <c r="AX2422" s="2">
        <f t="shared" ca="1" si="2342"/>
        <v>2633451.5905230488</v>
      </c>
      <c r="AY2422" s="2">
        <f t="shared" ca="1" si="2343"/>
        <v>2796738.2552439948</v>
      </c>
      <c r="AZ2422" s="2">
        <f t="shared" ca="1" si="2344"/>
        <v>2965973.0761221363</v>
      </c>
      <c r="BA2422" s="2">
        <f t="shared" ca="1" si="2345"/>
        <v>58432233.572414957</v>
      </c>
      <c r="BB2422" s="2">
        <f t="shared" ca="1" si="2346"/>
        <v>1168644.6714482992</v>
      </c>
      <c r="BC2422" s="2">
        <f t="shared" ca="1" si="2347"/>
        <v>29500288.842492137</v>
      </c>
      <c r="BD2422" s="2">
        <f t="shared" ca="1" si="2348"/>
        <v>-20165670.87475279</v>
      </c>
      <c r="BE2422" s="2">
        <f t="shared" ca="1" si="2349"/>
        <v>2235916.0170003953</v>
      </c>
      <c r="BF2422" s="2">
        <f t="shared" ca="1" si="2350"/>
        <v>2475904.0200092406</v>
      </c>
      <c r="BG2422" s="2">
        <f t="shared" ca="1" si="2351"/>
        <v>2633451.5905230488</v>
      </c>
      <c r="BH2422" s="2">
        <f t="shared" ca="1" si="2352"/>
        <v>2796738.2552439948</v>
      </c>
      <c r="BI2422" s="2">
        <f t="shared" ca="1" si="2353"/>
        <v>32466261.918614272</v>
      </c>
      <c r="BJ2422" s="2">
        <f t="shared" ca="1" si="2354"/>
        <v>0.19034149681956247</v>
      </c>
      <c r="BK2422" s="2">
        <f t="shared" ca="1" si="2355"/>
        <v>5878503.7029068805</v>
      </c>
    </row>
    <row r="2423" spans="1:63" x14ac:dyDescent="0.3">
      <c r="A2423" s="2">
        <v>2422</v>
      </c>
      <c r="B2423" s="2">
        <f t="shared" ca="1" si="2294"/>
        <v>0.35156211705487883</v>
      </c>
      <c r="C2423" s="2">
        <f t="shared" ca="1" si="2295"/>
        <v>6.8385250348735918</v>
      </c>
      <c r="D2423" s="2">
        <f t="shared" ca="1" si="2296"/>
        <v>0.96850569369693584</v>
      </c>
      <c r="E2423" s="2">
        <f t="shared" ca="1" si="2297"/>
        <v>8.2490246772964948</v>
      </c>
      <c r="F2423" s="2">
        <f t="shared" ca="1" si="2298"/>
        <v>0.74228493140554019</v>
      </c>
      <c r="G2423" s="2">
        <f t="shared" ca="1" si="2299"/>
        <v>5.9512173750538022E-2</v>
      </c>
      <c r="H2423" s="2">
        <f t="shared" ca="1" si="2300"/>
        <v>5.9512173750538022E-2</v>
      </c>
      <c r="I2423" s="2">
        <f t="shared" ca="1" si="2301"/>
        <v>0.34967649674413559</v>
      </c>
      <c r="J2423" s="2">
        <f t="shared" ca="1" si="2302"/>
        <v>8.0690299760871782E-3</v>
      </c>
      <c r="K2423" s="2">
        <f t="shared" ca="1" si="2303"/>
        <v>8.0690299760871782E-3</v>
      </c>
      <c r="L2423" s="2">
        <f t="shared" ca="1" si="2304"/>
        <v>0.12199136974712621</v>
      </c>
      <c r="M2423" s="2">
        <f t="shared" ca="1" si="2305"/>
        <v>-2.3301791341261757E-2</v>
      </c>
      <c r="N2423" s="2">
        <f t="shared" ca="1" si="2306"/>
        <v>-2.3301791341261757E-2</v>
      </c>
      <c r="O2423" s="2">
        <f t="shared" si="2307"/>
        <v>6000000</v>
      </c>
      <c r="P2423" s="2">
        <f t="shared" ca="1" si="2308"/>
        <v>41031150.209241554</v>
      </c>
      <c r="Q2423" s="2">
        <f t="shared" ca="1" si="2309"/>
        <v>1025778.7552310389</v>
      </c>
      <c r="R2423" s="2">
        <f t="shared" ca="1" si="2310"/>
        <v>24618690.125544932</v>
      </c>
      <c r="S2423" s="2">
        <f t="shared" ca="1" si="2311"/>
        <v>16412460.083696622</v>
      </c>
      <c r="T2423" s="2">
        <f t="shared" ca="1" si="2312"/>
        <v>48834910.432936914</v>
      </c>
      <c r="U2423" s="2">
        <f t="shared" ca="1" si="2313"/>
        <v>51741182.107713819</v>
      </c>
      <c r="V2423" s="2">
        <f t="shared" ca="1" si="2314"/>
        <v>54820412.327366307</v>
      </c>
      <c r="W2423" s="2">
        <f t="shared" ca="1" si="2315"/>
        <v>58082894.230868667</v>
      </c>
      <c r="X2423" s="2">
        <f t="shared" ca="1" si="2316"/>
        <v>61539533.524270244</v>
      </c>
      <c r="Y2423" s="2">
        <f t="shared" ca="1" si="2317"/>
        <v>0.12403451498804359</v>
      </c>
      <c r="Z2423" s="2">
        <f t="shared" ca="1" si="2318"/>
        <v>0.12564832098326101</v>
      </c>
      <c r="AA2423" s="2">
        <f t="shared" ca="1" si="2319"/>
        <v>6057214.4300338803</v>
      </c>
      <c r="AB2423" s="2">
        <f t="shared" ca="1" si="2320"/>
        <v>6501192.6575233871</v>
      </c>
      <c r="AC2423" s="2">
        <f t="shared" ca="1" si="2321"/>
        <v>6888092.7645436404</v>
      </c>
      <c r="AD2423" s="2">
        <f t="shared" ca="1" si="2322"/>
        <v>7298018.1379569853</v>
      </c>
      <c r="AE2423" s="2">
        <f t="shared" ca="1" si="2323"/>
        <v>7732339.0614176588</v>
      </c>
      <c r="AF2423" s="2">
        <f t="shared" ca="1" si="2324"/>
        <v>976698.20865873829</v>
      </c>
      <c r="AG2423" s="2">
        <f t="shared" ca="1" si="2325"/>
        <v>1034823.6421542764</v>
      </c>
      <c r="AH2423" s="2">
        <f t="shared" ca="1" si="2326"/>
        <v>1096408.2465473262</v>
      </c>
      <c r="AI2423" s="2">
        <f t="shared" ca="1" si="2327"/>
        <v>1161657.8846173733</v>
      </c>
      <c r="AJ2423" s="2">
        <f t="shared" ca="1" si="2328"/>
        <v>1230790.670485405</v>
      </c>
      <c r="AK2423" s="2">
        <f t="shared" ca="1" si="2329"/>
        <v>0</v>
      </c>
      <c r="AL2423" s="2">
        <f t="shared" ca="1" si="2330"/>
        <v>29062.716747769042</v>
      </c>
      <c r="AM2423" s="2">
        <f t="shared" ca="1" si="2331"/>
        <v>30792.302196524888</v>
      </c>
      <c r="AN2423" s="2">
        <f t="shared" ca="1" si="2332"/>
        <v>32624.8190350236</v>
      </c>
      <c r="AO2423" s="2">
        <f t="shared" ca="1" si="2333"/>
        <v>34566.392934015763</v>
      </c>
      <c r="AP2423" s="2">
        <f t="shared" ca="1" si="2334"/>
        <v>2215682.111299044</v>
      </c>
      <c r="AQ2423" s="2">
        <f t="shared" ca="1" si="2335"/>
        <v>744856.86861978553</v>
      </c>
      <c r="AR2423" s="2">
        <f t="shared" ca="1" si="2336"/>
        <v>845178.59505821741</v>
      </c>
      <c r="AS2423" s="2">
        <f t="shared" ca="1" si="2337"/>
        <v>929760.62574129028</v>
      </c>
      <c r="AT2423" s="2">
        <f t="shared" ca="1" si="2338"/>
        <v>1019376.3169305477</v>
      </c>
      <c r="AU2423" s="2">
        <f t="shared" ca="1" si="2339"/>
        <v>1114325.2327046343</v>
      </c>
      <c r="AV2423" s="2">
        <f t="shared" ca="1" si="2340"/>
        <v>2119977.2414563126</v>
      </c>
      <c r="AW2423" s="2">
        <f t="shared" ca="1" si="2341"/>
        <v>2376445.59226408</v>
      </c>
      <c r="AX2423" s="2">
        <f t="shared" ca="1" si="2342"/>
        <v>2615449.478759455</v>
      </c>
      <c r="AY2423" s="2">
        <f t="shared" ca="1" si="2343"/>
        <v>2868677.0060749971</v>
      </c>
      <c r="AZ2423" s="2">
        <f t="shared" ca="1" si="2344"/>
        <v>3136974.6539945598</v>
      </c>
      <c r="BA2423" s="2">
        <f t="shared" ca="1" si="2345"/>
        <v>63784255.730857886</v>
      </c>
      <c r="BB2423" s="2">
        <f t="shared" ca="1" si="2346"/>
        <v>1275685.1146171577</v>
      </c>
      <c r="BC2423" s="2">
        <f t="shared" ca="1" si="2347"/>
        <v>37889880.490695804</v>
      </c>
      <c r="BD2423" s="2">
        <f t="shared" ca="1" si="2348"/>
        <v>-17938238.83892766</v>
      </c>
      <c r="BE2423" s="2">
        <f t="shared" ca="1" si="2349"/>
        <v>2119977.2414563126</v>
      </c>
      <c r="BF2423" s="2">
        <f t="shared" ca="1" si="2350"/>
        <v>2376445.59226408</v>
      </c>
      <c r="BG2423" s="2">
        <f t="shared" ca="1" si="2351"/>
        <v>2615449.478759455</v>
      </c>
      <c r="BH2423" s="2">
        <f t="shared" ca="1" si="2352"/>
        <v>2868677.0060749971</v>
      </c>
      <c r="BI2423" s="2">
        <f t="shared" ca="1" si="2353"/>
        <v>41026855.144690365</v>
      </c>
      <c r="BJ2423" s="2">
        <f t="shared" ca="1" si="2354"/>
        <v>0.27003280322496592</v>
      </c>
      <c r="BK2423" s="2">
        <f t="shared" ca="1" si="2355"/>
        <v>12813546.651661076</v>
      </c>
    </row>
    <row r="2424" spans="1:63" x14ac:dyDescent="0.3">
      <c r="A2424" s="2">
        <v>2423</v>
      </c>
      <c r="B2424" s="2">
        <f t="shared" ca="1" si="2294"/>
        <v>0.75774371881431091</v>
      </c>
      <c r="C2424" s="2">
        <f t="shared" ca="1" si="2295"/>
        <v>7.3039306339369769</v>
      </c>
      <c r="D2424" s="2">
        <f t="shared" ca="1" si="2296"/>
        <v>0.6764631657279675</v>
      </c>
      <c r="E2424" s="2">
        <f t="shared" ca="1" si="2297"/>
        <v>7.6955911061257058</v>
      </c>
      <c r="F2424" s="2">
        <f t="shared" ca="1" si="2298"/>
        <v>0.14622798364328982</v>
      </c>
      <c r="G2424" s="2">
        <f t="shared" ca="1" si="2299"/>
        <v>8.4175249368697996E-3</v>
      </c>
      <c r="H2424" s="2">
        <f t="shared" ca="1" si="2300"/>
        <v>8.4175249368697996E-3</v>
      </c>
      <c r="I2424" s="2">
        <f t="shared" ca="1" si="2301"/>
        <v>0.21542479679354309</v>
      </c>
      <c r="J2424" s="2">
        <f t="shared" ca="1" si="2302"/>
        <v>6.0613067546659511E-3</v>
      </c>
      <c r="K2424" s="2">
        <f t="shared" ca="1" si="2303"/>
        <v>6.0613067546659511E-3</v>
      </c>
      <c r="L2424" s="2">
        <f t="shared" ca="1" si="2304"/>
        <v>0.76489613069928619</v>
      </c>
      <c r="M2424" s="2">
        <f t="shared" ca="1" si="2305"/>
        <v>1.4442821768982763E-2</v>
      </c>
      <c r="N2424" s="2">
        <f t="shared" ca="1" si="2306"/>
        <v>1.4442821768982763E-2</v>
      </c>
      <c r="O2424" s="2">
        <f t="shared" si="2307"/>
        <v>6000000</v>
      </c>
      <c r="P2424" s="2">
        <f t="shared" ca="1" si="2308"/>
        <v>43823583.803621858</v>
      </c>
      <c r="Q2424" s="2">
        <f t="shared" ca="1" si="2309"/>
        <v>1095589.5950905464</v>
      </c>
      <c r="R2424" s="2">
        <f t="shared" ca="1" si="2310"/>
        <v>26294150.282173116</v>
      </c>
      <c r="S2424" s="2">
        <f t="shared" ca="1" si="2311"/>
        <v>17529433.521448743</v>
      </c>
      <c r="T2424" s="2">
        <f t="shared" ca="1" si="2312"/>
        <v>50722141.088449135</v>
      </c>
      <c r="U2424" s="2">
        <f t="shared" ca="1" si="2313"/>
        <v>51149095.975912586</v>
      </c>
      <c r="V2424" s="2">
        <f t="shared" ca="1" si="2314"/>
        <v>51579644.766788177</v>
      </c>
      <c r="W2424" s="2">
        <f t="shared" ca="1" si="2315"/>
        <v>52013817.712847508</v>
      </c>
      <c r="X2424" s="2">
        <f t="shared" ca="1" si="2316"/>
        <v>52451645.320507206</v>
      </c>
      <c r="Y2424" s="2">
        <f t="shared" ca="1" si="2317"/>
        <v>0.12303065337733297</v>
      </c>
      <c r="Z2424" s="2">
        <f t="shared" ca="1" si="2318"/>
        <v>0.12424291472826617</v>
      </c>
      <c r="AA2424" s="2">
        <f t="shared" ca="1" si="2319"/>
        <v>6240378.1588091645</v>
      </c>
      <c r="AB2424" s="2">
        <f t="shared" ca="1" si="2320"/>
        <v>6354912.7697632099</v>
      </c>
      <c r="AC2424" s="2">
        <f t="shared" ca="1" si="2321"/>
        <v>6408405.4064743239</v>
      </c>
      <c r="AD2424" s="2">
        <f t="shared" ca="1" si="2322"/>
        <v>6462348.3187888935</v>
      </c>
      <c r="AE2424" s="2">
        <f t="shared" ca="1" si="2323"/>
        <v>6516745.296913038</v>
      </c>
      <c r="AF2424" s="2">
        <f t="shared" ca="1" si="2324"/>
        <v>1014442.8217689827</v>
      </c>
      <c r="AG2424" s="2">
        <f t="shared" ca="1" si="2325"/>
        <v>1022981.9195182518</v>
      </c>
      <c r="AH2424" s="2">
        <f t="shared" ca="1" si="2326"/>
        <v>1031592.8953357636</v>
      </c>
      <c r="AI2424" s="2">
        <f t="shared" ca="1" si="2327"/>
        <v>1040276.3542569502</v>
      </c>
      <c r="AJ2424" s="2">
        <f t="shared" ca="1" si="2328"/>
        <v>1049032.9064101442</v>
      </c>
      <c r="AK2424" s="2">
        <f t="shared" ca="1" si="2329"/>
        <v>0</v>
      </c>
      <c r="AL2424" s="2">
        <f t="shared" ca="1" si="2330"/>
        <v>4269.5488746345045</v>
      </c>
      <c r="AM2424" s="2">
        <f t="shared" ca="1" si="2331"/>
        <v>4305.4879087559138</v>
      </c>
      <c r="AN2424" s="2">
        <f t="shared" ca="1" si="2332"/>
        <v>4341.729460593313</v>
      </c>
      <c r="AO2424" s="2">
        <f t="shared" ca="1" si="2333"/>
        <v>4378.2760765969751</v>
      </c>
      <c r="AP2424" s="2">
        <f t="shared" ca="1" si="2334"/>
        <v>2366473.5253955801</v>
      </c>
      <c r="AQ2424" s="2">
        <f t="shared" ca="1" si="2335"/>
        <v>743460.0710275966</v>
      </c>
      <c r="AR2424" s="2">
        <f t="shared" ca="1" si="2336"/>
        <v>771018.9044608383</v>
      </c>
      <c r="AS2424" s="2">
        <f t="shared" ca="1" si="2337"/>
        <v>782688.13629317482</v>
      </c>
      <c r="AT2424" s="2">
        <f t="shared" ca="1" si="2338"/>
        <v>794455.59417545446</v>
      </c>
      <c r="AU2424" s="2">
        <f t="shared" ca="1" si="2339"/>
        <v>806322.10492790176</v>
      </c>
      <c r="AV2424" s="2">
        <f t="shared" ca="1" si="2340"/>
        <v>2116001.7406170056</v>
      </c>
      <c r="AW2424" s="2">
        <f t="shared" ca="1" si="2341"/>
        <v>2190168.8715139055</v>
      </c>
      <c r="AX2424" s="2">
        <f t="shared" ca="1" si="2342"/>
        <v>2223345.3615410491</v>
      </c>
      <c r="AY2424" s="2">
        <f t="shared" ca="1" si="2343"/>
        <v>2256801.1155003156</v>
      </c>
      <c r="AZ2424" s="2">
        <f t="shared" ca="1" si="2344"/>
        <v>2290538.4841028149</v>
      </c>
      <c r="BA2424" s="2">
        <f t="shared" ca="1" si="2345"/>
        <v>50150207.147810496</v>
      </c>
      <c r="BB2424" s="2">
        <f t="shared" ca="1" si="2346"/>
        <v>1003004.14295621</v>
      </c>
      <c r="BC2424" s="2">
        <f t="shared" ca="1" si="2347"/>
        <v>22853052.722681172</v>
      </c>
      <c r="BD2424" s="2">
        <f t="shared" ca="1" si="2348"/>
        <v>-19125023.116539288</v>
      </c>
      <c r="BE2424" s="2">
        <f t="shared" ca="1" si="2349"/>
        <v>2116001.7406170056</v>
      </c>
      <c r="BF2424" s="2">
        <f t="shared" ca="1" si="2350"/>
        <v>2190168.8715139055</v>
      </c>
      <c r="BG2424" s="2">
        <f t="shared" ca="1" si="2351"/>
        <v>2223345.3615410491</v>
      </c>
      <c r="BH2424" s="2">
        <f t="shared" ca="1" si="2352"/>
        <v>2256801.1155003156</v>
      </c>
      <c r="BI2424" s="2">
        <f t="shared" ca="1" si="2353"/>
        <v>25143591.206783988</v>
      </c>
      <c r="BJ2424" s="2">
        <f t="shared" ca="1" si="2354"/>
        <v>0.14447557067723515</v>
      </c>
      <c r="BK2424" s="2">
        <f t="shared" ca="1" si="2355"/>
        <v>1794173.4876588471</v>
      </c>
    </row>
    <row r="2425" spans="1:63" x14ac:dyDescent="0.3">
      <c r="A2425" s="2">
        <v>2424</v>
      </c>
      <c r="B2425" s="2">
        <f t="shared" ca="1" si="2294"/>
        <v>0.24088176120220628</v>
      </c>
      <c r="C2425" s="2">
        <f t="shared" ca="1" si="2295"/>
        <v>6.6940918688505233</v>
      </c>
      <c r="D2425" s="2">
        <f t="shared" ca="1" si="2296"/>
        <v>0.82008564537286532</v>
      </c>
      <c r="E2425" s="2">
        <f t="shared" ca="1" si="2297"/>
        <v>7.9001427592716169</v>
      </c>
      <c r="F2425" s="2">
        <f t="shared" ca="1" si="2298"/>
        <v>0.94666020367868886</v>
      </c>
      <c r="G2425" s="2">
        <f t="shared" ca="1" si="2299"/>
        <v>8.8398966002918716E-2</v>
      </c>
      <c r="H2425" s="2">
        <f t="shared" ca="1" si="2300"/>
        <v>8.8398966002918716E-2</v>
      </c>
      <c r="I2425" s="2">
        <f t="shared" ca="1" si="2301"/>
        <v>0.23635077718949693</v>
      </c>
      <c r="J2425" s="2">
        <f t="shared" ca="1" si="2302"/>
        <v>6.4095480434510094E-3</v>
      </c>
      <c r="K2425" s="2">
        <f t="shared" ca="1" si="2303"/>
        <v>6.4095480434510094E-3</v>
      </c>
      <c r="L2425" s="2">
        <f t="shared" ca="1" si="2304"/>
        <v>0.41144421938937414</v>
      </c>
      <c r="M2425" s="2">
        <f t="shared" ca="1" si="2305"/>
        <v>-4.47662947351721E-3</v>
      </c>
      <c r="N2425" s="2">
        <f t="shared" ca="1" si="2306"/>
        <v>-4.47662947351721E-3</v>
      </c>
      <c r="O2425" s="2">
        <f t="shared" si="2307"/>
        <v>6000000</v>
      </c>
      <c r="P2425" s="2">
        <f t="shared" ca="1" si="2308"/>
        <v>40164551.213103138</v>
      </c>
      <c r="Q2425" s="2">
        <f t="shared" ca="1" si="2309"/>
        <v>1004113.7803275785</v>
      </c>
      <c r="R2425" s="2">
        <f t="shared" ca="1" si="2310"/>
        <v>24098730.727861881</v>
      </c>
      <c r="S2425" s="2">
        <f t="shared" ca="1" si="2311"/>
        <v>16065820.485241257</v>
      </c>
      <c r="T2425" s="2">
        <f t="shared" ca="1" si="2312"/>
        <v>49776168.526324138</v>
      </c>
      <c r="U2425" s="2">
        <f t="shared" ca="1" si="2313"/>
        <v>54176330.355638221</v>
      </c>
      <c r="V2425" s="2">
        <f t="shared" ca="1" si="2314"/>
        <v>58965461.940909177</v>
      </c>
      <c r="W2425" s="2">
        <f t="shared" ca="1" si="2315"/>
        <v>64177947.806370005</v>
      </c>
      <c r="X2425" s="2">
        <f t="shared" ca="1" si="2316"/>
        <v>69851212.032642394</v>
      </c>
      <c r="Y2425" s="2">
        <f t="shared" ca="1" si="2317"/>
        <v>0.1232047740217255</v>
      </c>
      <c r="Z2425" s="2">
        <f t="shared" ca="1" si="2318"/>
        <v>0.12448668363041571</v>
      </c>
      <c r="AA2425" s="2">
        <f t="shared" ca="1" si="2319"/>
        <v>6132661.5949530909</v>
      </c>
      <c r="AB2425" s="2">
        <f t="shared" ca="1" si="2320"/>
        <v>6744231.697239222</v>
      </c>
      <c r="AC2425" s="2">
        <f t="shared" ca="1" si="2321"/>
        <v>7340414.8057592791</v>
      </c>
      <c r="AD2425" s="2">
        <f t="shared" ca="1" si="2322"/>
        <v>7989299.8846209142</v>
      </c>
      <c r="AE2425" s="2">
        <f t="shared" ca="1" si="2323"/>
        <v>8695545.7335086409</v>
      </c>
      <c r="AF2425" s="2">
        <f t="shared" ca="1" si="2324"/>
        <v>995523.37052648282</v>
      </c>
      <c r="AG2425" s="2">
        <f t="shared" ca="1" si="2325"/>
        <v>1083526.6071127644</v>
      </c>
      <c r="AH2425" s="2">
        <f t="shared" ca="1" si="2326"/>
        <v>1179309.2388181835</v>
      </c>
      <c r="AI2425" s="2">
        <f t="shared" ca="1" si="2327"/>
        <v>1283558.9561274</v>
      </c>
      <c r="AJ2425" s="2">
        <f t="shared" ca="1" si="2328"/>
        <v>1397024.2406528478</v>
      </c>
      <c r="AK2425" s="2">
        <f t="shared" ca="1" si="2329"/>
        <v>0</v>
      </c>
      <c r="AL2425" s="2">
        <f t="shared" ca="1" si="2330"/>
        <v>44001.618293140833</v>
      </c>
      <c r="AM2425" s="2">
        <f t="shared" ca="1" si="2331"/>
        <v>47891.315852709566</v>
      </c>
      <c r="AN2425" s="2">
        <f t="shared" ca="1" si="2332"/>
        <v>52124.858654608281</v>
      </c>
      <c r="AO2425" s="2">
        <f t="shared" ca="1" si="2333"/>
        <v>56732.642262723894</v>
      </c>
      <c r="AP2425" s="2">
        <f t="shared" ca="1" si="2334"/>
        <v>2168885.7655075691</v>
      </c>
      <c r="AQ2425" s="2">
        <f t="shared" ca="1" si="2335"/>
        <v>771745.63931895024</v>
      </c>
      <c r="AR2425" s="2">
        <f t="shared" ca="1" si="2336"/>
        <v>907873.02440091106</v>
      </c>
      <c r="AS2425" s="2">
        <f t="shared" ca="1" si="2337"/>
        <v>1037977.148372717</v>
      </c>
      <c r="AT2425" s="2">
        <f t="shared" ca="1" si="2338"/>
        <v>1179582.3423763458</v>
      </c>
      <c r="AU2425" s="2">
        <f t="shared" ca="1" si="2339"/>
        <v>1333705.2891105381</v>
      </c>
      <c r="AV2425" s="2">
        <f t="shared" ca="1" si="2340"/>
        <v>2196506.819600089</v>
      </c>
      <c r="AW2425" s="2">
        <f t="shared" ca="1" si="2341"/>
        <v>2539944.6819248362</v>
      </c>
      <c r="AX2425" s="2">
        <f t="shared" ca="1" si="2342"/>
        <v>2906351.3372081001</v>
      </c>
      <c r="AY2425" s="2">
        <f t="shared" ca="1" si="2343"/>
        <v>3305147.9619549918</v>
      </c>
      <c r="AZ2425" s="2">
        <f t="shared" ca="1" si="2344"/>
        <v>3739197.795974961</v>
      </c>
      <c r="BA2425" s="2">
        <f t="shared" ca="1" si="2345"/>
        <v>68696052.664493486</v>
      </c>
      <c r="BB2425" s="2">
        <f t="shared" ca="1" si="2346"/>
        <v>1373921.0532898698</v>
      </c>
      <c r="BC2425" s="2">
        <f t="shared" ca="1" si="2347"/>
        <v>43223400.883341737</v>
      </c>
      <c r="BD2425" s="2">
        <f t="shared" ca="1" si="2348"/>
        <v>-17569934.265568834</v>
      </c>
      <c r="BE2425" s="2">
        <f t="shared" ca="1" si="2349"/>
        <v>2196506.819600089</v>
      </c>
      <c r="BF2425" s="2">
        <f t="shared" ca="1" si="2350"/>
        <v>2539944.6819248362</v>
      </c>
      <c r="BG2425" s="2">
        <f t="shared" ca="1" si="2351"/>
        <v>2906351.3372081001</v>
      </c>
      <c r="BH2425" s="2">
        <f t="shared" ca="1" si="2352"/>
        <v>3305147.9619549918</v>
      </c>
      <c r="BI2425" s="2">
        <f t="shared" ca="1" si="2353"/>
        <v>46962598.6793167</v>
      </c>
      <c r="BJ2425" s="2">
        <f t="shared" ca="1" si="2354"/>
        <v>0.31312252199885626</v>
      </c>
      <c r="BK2425" s="2">
        <f t="shared" ca="1" si="2355"/>
        <v>17233065.3490295</v>
      </c>
    </row>
    <row r="2426" spans="1:63" x14ac:dyDescent="0.3">
      <c r="A2426" s="2">
        <v>2425</v>
      </c>
      <c r="B2426" s="2">
        <f t="shared" ca="1" si="2294"/>
        <v>0.95199698125816157</v>
      </c>
      <c r="C2426" s="2">
        <f t="shared" ca="1" si="2295"/>
        <v>7.6901515895091972</v>
      </c>
      <c r="D2426" s="2">
        <f t="shared" ca="1" si="2296"/>
        <v>0.30373440062500057</v>
      </c>
      <c r="E2426" s="2">
        <f t="shared" ca="1" si="2297"/>
        <v>7.2794028491415723</v>
      </c>
      <c r="F2426" s="2">
        <f t="shared" ca="1" si="2298"/>
        <v>0.44675286901049283</v>
      </c>
      <c r="G2426" s="2">
        <f t="shared" ca="1" si="2299"/>
        <v>3.598391383870414E-2</v>
      </c>
      <c r="H2426" s="2">
        <f t="shared" ca="1" si="2300"/>
        <v>3.598391383870414E-2</v>
      </c>
      <c r="I2426" s="2">
        <f t="shared" ca="1" si="2301"/>
        <v>0.97214110184488056</v>
      </c>
      <c r="J2426" s="2">
        <f t="shared" ca="1" si="2302"/>
        <v>1.9566181971480238E-2</v>
      </c>
      <c r="K2426" s="2">
        <f t="shared" ca="1" si="2303"/>
        <v>1.9566181971480238E-2</v>
      </c>
      <c r="L2426" s="2">
        <f t="shared" ca="1" si="2304"/>
        <v>0.80137409247252367</v>
      </c>
      <c r="M2426" s="2">
        <f t="shared" ca="1" si="2305"/>
        <v>1.6930791186083097E-2</v>
      </c>
      <c r="N2426" s="2">
        <f t="shared" ca="1" si="2306"/>
        <v>1.6930791186083097E-2</v>
      </c>
      <c r="O2426" s="2">
        <f t="shared" si="2307"/>
        <v>6000000</v>
      </c>
      <c r="P2426" s="2">
        <f t="shared" ca="1" si="2308"/>
        <v>46140909.537055179</v>
      </c>
      <c r="Q2426" s="2">
        <f t="shared" ca="1" si="2309"/>
        <v>1153522.7384263796</v>
      </c>
      <c r="R2426" s="2">
        <f t="shared" ca="1" si="2310"/>
        <v>27684545.722233105</v>
      </c>
      <c r="S2426" s="2">
        <f t="shared" ca="1" si="2311"/>
        <v>18456363.814822074</v>
      </c>
      <c r="T2426" s="2">
        <f t="shared" ca="1" si="2312"/>
        <v>50846539.559304163</v>
      </c>
      <c r="U2426" s="2">
        <f t="shared" ca="1" si="2313"/>
        <v>52676197.057802424</v>
      </c>
      <c r="V2426" s="2">
        <f t="shared" ca="1" si="2314"/>
        <v>54571692.794080988</v>
      </c>
      <c r="W2426" s="2">
        <f t="shared" ca="1" si="2315"/>
        <v>56535395.885615431</v>
      </c>
      <c r="X2426" s="2">
        <f t="shared" ca="1" si="2316"/>
        <v>58569760.700000443</v>
      </c>
      <c r="Y2426" s="2">
        <f t="shared" ca="1" si="2317"/>
        <v>0.12978309098574012</v>
      </c>
      <c r="Z2426" s="2">
        <f t="shared" ca="1" si="2318"/>
        <v>0.13369632738003617</v>
      </c>
      <c r="AA2426" s="2">
        <f t="shared" ca="1" si="2319"/>
        <v>6599021.0699352063</v>
      </c>
      <c r="AB2426" s="2">
        <f t="shared" ca="1" si="2320"/>
        <v>7042614.0869752513</v>
      </c>
      <c r="AC2426" s="2">
        <f t="shared" ca="1" si="2321"/>
        <v>7296034.9054802125</v>
      </c>
      <c r="AD2426" s="2">
        <f t="shared" ca="1" si="2322"/>
        <v>7558574.796883191</v>
      </c>
      <c r="AE2426" s="2">
        <f t="shared" ca="1" si="2323"/>
        <v>7830561.9011176359</v>
      </c>
      <c r="AF2426" s="2">
        <f t="shared" ca="1" si="2324"/>
        <v>1016930.7911860832</v>
      </c>
      <c r="AG2426" s="2">
        <f t="shared" ca="1" si="2325"/>
        <v>1053523.9411560486</v>
      </c>
      <c r="AH2426" s="2">
        <f t="shared" ca="1" si="2326"/>
        <v>1091433.8558816197</v>
      </c>
      <c r="AI2426" s="2">
        <f t="shared" ca="1" si="2327"/>
        <v>1130707.9177123087</v>
      </c>
      <c r="AJ2426" s="2">
        <f t="shared" ca="1" si="2328"/>
        <v>1171395.2140000088</v>
      </c>
      <c r="AK2426" s="2">
        <f t="shared" ca="1" si="2329"/>
        <v>0</v>
      </c>
      <c r="AL2426" s="2">
        <f t="shared" ca="1" si="2330"/>
        <v>18296.57498498261</v>
      </c>
      <c r="AM2426" s="2">
        <f t="shared" ca="1" si="2331"/>
        <v>18954.957362785637</v>
      </c>
      <c r="AN2426" s="2">
        <f t="shared" ca="1" si="2332"/>
        <v>19637.030915344432</v>
      </c>
      <c r="AO2426" s="2">
        <f t="shared" ca="1" si="2333"/>
        <v>20343.648143850118</v>
      </c>
      <c r="AP2426" s="2">
        <f t="shared" ca="1" si="2334"/>
        <v>2491609.1150009795</v>
      </c>
      <c r="AQ2426" s="2">
        <f t="shared" ca="1" si="2335"/>
        <v>803525.10257451737</v>
      </c>
      <c r="AR2426" s="2">
        <f t="shared" ca="1" si="2336"/>
        <v>909345.06801273813</v>
      </c>
      <c r="AS2426" s="2">
        <f t="shared" ca="1" si="2337"/>
        <v>965377.90299537964</v>
      </c>
      <c r="AT2426" s="2">
        <f t="shared" ca="1" si="2338"/>
        <v>1023427.0186841749</v>
      </c>
      <c r="AU2426" s="2">
        <f t="shared" ca="1" si="2339"/>
        <v>1083564.9687503283</v>
      </c>
      <c r="AV2426" s="2">
        <f t="shared" ca="1" si="2340"/>
        <v>2286956.0611736267</v>
      </c>
      <c r="AW2426" s="2">
        <f t="shared" ca="1" si="2341"/>
        <v>2569839.3878205032</v>
      </c>
      <c r="AX2426" s="2">
        <f t="shared" ca="1" si="2342"/>
        <v>2728659.0742394482</v>
      </c>
      <c r="AY2426" s="2">
        <f t="shared" ca="1" si="2343"/>
        <v>2893193.714570384</v>
      </c>
      <c r="AZ2426" s="2">
        <f t="shared" ca="1" si="2344"/>
        <v>3063648.9552224693</v>
      </c>
      <c r="BA2426" s="2">
        <f t="shared" ca="1" si="2345"/>
        <v>57001814.613375165</v>
      </c>
      <c r="BB2426" s="2">
        <f t="shared" ca="1" si="2346"/>
        <v>1140036.2922675032</v>
      </c>
      <c r="BC2426" s="2">
        <f t="shared" ca="1" si="2347"/>
        <v>28177232.598874554</v>
      </c>
      <c r="BD2426" s="2">
        <f t="shared" ca="1" si="2348"/>
        <v>-20109886.553248454</v>
      </c>
      <c r="BE2426" s="2">
        <f t="shared" ca="1" si="2349"/>
        <v>2286956.0611736267</v>
      </c>
      <c r="BF2426" s="2">
        <f t="shared" ca="1" si="2350"/>
        <v>2569839.3878205032</v>
      </c>
      <c r="BG2426" s="2">
        <f t="shared" ca="1" si="2351"/>
        <v>2728659.0742394482</v>
      </c>
      <c r="BH2426" s="2">
        <f t="shared" ca="1" si="2352"/>
        <v>2893193.714570384</v>
      </c>
      <c r="BI2426" s="2">
        <f t="shared" ca="1" si="2353"/>
        <v>31240881.554097023</v>
      </c>
      <c r="BJ2426" s="2">
        <f t="shared" ca="1" si="2354"/>
        <v>0.18681850488767537</v>
      </c>
      <c r="BK2426" s="2">
        <f t="shared" ca="1" si="2355"/>
        <v>5488496.4597464502</v>
      </c>
    </row>
    <row r="2427" spans="1:63" x14ac:dyDescent="0.3">
      <c r="A2427" s="2">
        <v>2426</v>
      </c>
      <c r="B2427" s="2">
        <f t="shared" ca="1" si="2294"/>
        <v>0.95425039957467761</v>
      </c>
      <c r="C2427" s="2">
        <f t="shared" ca="1" si="2295"/>
        <v>7.6975116517109381</v>
      </c>
      <c r="D2427" s="2">
        <f t="shared" ca="1" si="2296"/>
        <v>0.43247703282893024</v>
      </c>
      <c r="E2427" s="2">
        <f t="shared" ca="1" si="2297"/>
        <v>7.4300290671037441</v>
      </c>
      <c r="F2427" s="2">
        <f t="shared" ca="1" si="2298"/>
        <v>0.53592630249708051</v>
      </c>
      <c r="G2427" s="2">
        <f t="shared" ca="1" si="2299"/>
        <v>4.2705278521287283E-2</v>
      </c>
      <c r="H2427" s="2">
        <f t="shared" ca="1" si="2300"/>
        <v>4.2705278521287283E-2</v>
      </c>
      <c r="I2427" s="2">
        <f t="shared" ca="1" si="2301"/>
        <v>0.81237210360021139</v>
      </c>
      <c r="J2427" s="2">
        <f t="shared" ca="1" si="2302"/>
        <v>1.4433357443333187E-2</v>
      </c>
      <c r="K2427" s="2">
        <f t="shared" ca="1" si="2303"/>
        <v>1.4433357443333187E-2</v>
      </c>
      <c r="L2427" s="2">
        <f t="shared" ca="1" si="2304"/>
        <v>0.96777072908240125</v>
      </c>
      <c r="M2427" s="2">
        <f t="shared" ca="1" si="2305"/>
        <v>3.6979899012322341E-2</v>
      </c>
      <c r="N2427" s="2">
        <f t="shared" ca="1" si="2306"/>
        <v>3.6979899012322341E-2</v>
      </c>
      <c r="O2427" s="2">
        <f t="shared" si="2307"/>
        <v>6000000</v>
      </c>
      <c r="P2427" s="2">
        <f t="shared" ca="1" si="2308"/>
        <v>46185069.910265632</v>
      </c>
      <c r="Q2427" s="2">
        <f t="shared" ca="1" si="2309"/>
        <v>1154626.7477566409</v>
      </c>
      <c r="R2427" s="2">
        <f t="shared" ca="1" si="2310"/>
        <v>27711041.946159378</v>
      </c>
      <c r="S2427" s="2">
        <f t="shared" ca="1" si="2311"/>
        <v>18474027.964106254</v>
      </c>
      <c r="T2427" s="2">
        <f t="shared" ca="1" si="2312"/>
        <v>51848994.950616114</v>
      </c>
      <c r="U2427" s="2">
        <f t="shared" ca="1" si="2313"/>
        <v>54063220.721030995</v>
      </c>
      <c r="V2427" s="2">
        <f t="shared" ca="1" si="2314"/>
        <v>56372005.619680457</v>
      </c>
      <c r="W2427" s="2">
        <f t="shared" ca="1" si="2315"/>
        <v>58779387.820472486</v>
      </c>
      <c r="X2427" s="2">
        <f t="shared" ca="1" si="2316"/>
        <v>61289577.948656529</v>
      </c>
      <c r="Y2427" s="2">
        <f t="shared" ca="1" si="2317"/>
        <v>0.12721667872166659</v>
      </c>
      <c r="Z2427" s="2">
        <f t="shared" ca="1" si="2318"/>
        <v>0.13010335021033323</v>
      </c>
      <c r="AA2427" s="2">
        <f t="shared" ca="1" si="2319"/>
        <v>6596056.9326738436</v>
      </c>
      <c r="AB2427" s="2">
        <f t="shared" ca="1" si="2320"/>
        <v>7033806.1389668398</v>
      </c>
      <c r="AC2427" s="2">
        <f t="shared" ca="1" si="2321"/>
        <v>7334186.7891961597</v>
      </c>
      <c r="AD2427" s="2">
        <f t="shared" ca="1" si="2322"/>
        <v>7647395.2787559275</v>
      </c>
      <c r="AE2427" s="2">
        <f t="shared" ca="1" si="2323"/>
        <v>7973979.4240975771</v>
      </c>
      <c r="AF2427" s="2">
        <f t="shared" ca="1" si="2324"/>
        <v>1036979.8990123223</v>
      </c>
      <c r="AG2427" s="2">
        <f t="shared" ca="1" si="2325"/>
        <v>1081264.4144206198</v>
      </c>
      <c r="AH2427" s="2">
        <f t="shared" ca="1" si="2326"/>
        <v>1127440.1123936092</v>
      </c>
      <c r="AI2427" s="2">
        <f t="shared" ca="1" si="2327"/>
        <v>1175587.7564094497</v>
      </c>
      <c r="AJ2427" s="2">
        <f t="shared" ca="1" si="2328"/>
        <v>1225791.5589731305</v>
      </c>
      <c r="AK2427" s="2">
        <f t="shared" ca="1" si="2329"/>
        <v>0</v>
      </c>
      <c r="AL2427" s="2">
        <f t="shared" ca="1" si="2330"/>
        <v>22142.257704148815</v>
      </c>
      <c r="AM2427" s="2">
        <f t="shared" ca="1" si="2331"/>
        <v>23087.848986494617</v>
      </c>
      <c r="AN2427" s="2">
        <f t="shared" ca="1" si="2332"/>
        <v>24073.822007920295</v>
      </c>
      <c r="AO2427" s="2">
        <f t="shared" ca="1" si="2333"/>
        <v>25101.90128184043</v>
      </c>
      <c r="AP2427" s="2">
        <f t="shared" ca="1" si="2334"/>
        <v>2493993.7751543438</v>
      </c>
      <c r="AQ2427" s="2">
        <f t="shared" ca="1" si="2335"/>
        <v>796921.6472118661</v>
      </c>
      <c r="AR2427" s="2">
        <f t="shared" ca="1" si="2336"/>
        <v>899222.46684188792</v>
      </c>
      <c r="AS2427" s="2">
        <f t="shared" ca="1" si="2337"/>
        <v>965315.75442853372</v>
      </c>
      <c r="AT2427" s="2">
        <f t="shared" ca="1" si="2338"/>
        <v>1034231.5742699549</v>
      </c>
      <c r="AU2427" s="2">
        <f t="shared" ca="1" si="2339"/>
        <v>1106090.4633922267</v>
      </c>
      <c r="AV2427" s="2">
        <f t="shared" ca="1" si="2340"/>
        <v>2268161.6112953108</v>
      </c>
      <c r="AW2427" s="2">
        <f t="shared" ca="1" si="2341"/>
        <v>2537183.2248458397</v>
      </c>
      <c r="AX2427" s="2">
        <f t="shared" ca="1" si="2342"/>
        <v>2724349.2982331784</v>
      </c>
      <c r="AY2427" s="2">
        <f t="shared" ca="1" si="2343"/>
        <v>2919508.3509142585</v>
      </c>
      <c r="AZ2427" s="2">
        <f t="shared" ca="1" si="2344"/>
        <v>3123001.7252960354</v>
      </c>
      <c r="BA2427" s="2">
        <f t="shared" ca="1" si="2345"/>
        <v>59246898.901532173</v>
      </c>
      <c r="BB2427" s="2">
        <f t="shared" ca="1" si="2346"/>
        <v>1184937.9780306434</v>
      </c>
      <c r="BC2427" s="2">
        <f t="shared" ca="1" si="2347"/>
        <v>30350918.977342151</v>
      </c>
      <c r="BD2427" s="2">
        <f t="shared" ca="1" si="2348"/>
        <v>-20128654.711862896</v>
      </c>
      <c r="BE2427" s="2">
        <f t="shared" ca="1" si="2349"/>
        <v>2268161.6112953108</v>
      </c>
      <c r="BF2427" s="2">
        <f t="shared" ca="1" si="2350"/>
        <v>2537183.2248458397</v>
      </c>
      <c r="BG2427" s="2">
        <f t="shared" ca="1" si="2351"/>
        <v>2724349.2982331784</v>
      </c>
      <c r="BH2427" s="2">
        <f t="shared" ca="1" si="2352"/>
        <v>2919508.3509142585</v>
      </c>
      <c r="BI2427" s="2">
        <f t="shared" ca="1" si="2353"/>
        <v>33473920.702638187</v>
      </c>
      <c r="BJ2427" s="2">
        <f t="shared" ca="1" si="2354"/>
        <v>0.1994279687757925</v>
      </c>
      <c r="BK2427" s="2">
        <f t="shared" ca="1" si="2355"/>
        <v>6707656.4455670416</v>
      </c>
    </row>
    <row r="2428" spans="1:63" x14ac:dyDescent="0.3">
      <c r="A2428" s="2">
        <v>2427</v>
      </c>
      <c r="B2428" s="2">
        <f t="shared" ca="1" si="2294"/>
        <v>0.76134964482594381</v>
      </c>
      <c r="C2428" s="2">
        <f t="shared" ca="1" si="2295"/>
        <v>7.3091304679260256</v>
      </c>
      <c r="D2428" s="2">
        <f t="shared" ca="1" si="2296"/>
        <v>0.34042460833706611</v>
      </c>
      <c r="E2428" s="2">
        <f t="shared" ca="1" si="2297"/>
        <v>7.3251358777038682</v>
      </c>
      <c r="F2428" s="2">
        <f t="shared" ca="1" si="2298"/>
        <v>0.95993007858035462</v>
      </c>
      <c r="G2428" s="2">
        <f t="shared" ca="1" si="2299"/>
        <v>9.2496257400787707E-2</v>
      </c>
      <c r="H2428" s="2">
        <f t="shared" ca="1" si="2300"/>
        <v>9.2496257400787707E-2</v>
      </c>
      <c r="I2428" s="2">
        <f t="shared" ca="1" si="2301"/>
        <v>0.89936573528232266</v>
      </c>
      <c r="J2428" s="2">
        <f t="shared" ca="1" si="2302"/>
        <v>1.6389729115967623E-2</v>
      </c>
      <c r="K2428" s="2">
        <f t="shared" ca="1" si="2303"/>
        <v>1.6389729115967623E-2</v>
      </c>
      <c r="L2428" s="2">
        <f t="shared" ca="1" si="2304"/>
        <v>0.1571268322690873</v>
      </c>
      <c r="M2428" s="2">
        <f t="shared" ca="1" si="2305"/>
        <v>-2.0126732648952022E-2</v>
      </c>
      <c r="N2428" s="2">
        <f t="shared" ca="1" si="2306"/>
        <v>-2.0126732648952022E-2</v>
      </c>
      <c r="O2428" s="2">
        <f t="shared" si="2307"/>
        <v>6000000</v>
      </c>
      <c r="P2428" s="2">
        <f t="shared" ca="1" si="2308"/>
        <v>43854782.807556152</v>
      </c>
      <c r="Q2428" s="2">
        <f t="shared" ca="1" si="2309"/>
        <v>1096369.5701889039</v>
      </c>
      <c r="R2428" s="2">
        <f t="shared" ca="1" si="2310"/>
        <v>26312869.684533689</v>
      </c>
      <c r="S2428" s="2">
        <f t="shared" ca="1" si="2311"/>
        <v>17541913.123022463</v>
      </c>
      <c r="T2428" s="2">
        <f t="shared" ca="1" si="2312"/>
        <v>48993663.3675524</v>
      </c>
      <c r="U2428" s="2">
        <f t="shared" ca="1" si="2313"/>
        <v>53525393.865405068</v>
      </c>
      <c r="V2428" s="2">
        <f t="shared" ca="1" si="2314"/>
        <v>58476292.473858118</v>
      </c>
      <c r="W2428" s="2">
        <f t="shared" ca="1" si="2315"/>
        <v>63885130.674363844</v>
      </c>
      <c r="X2428" s="2">
        <f t="shared" ca="1" si="2316"/>
        <v>69794266.165302753</v>
      </c>
      <c r="Y2428" s="2">
        <f t="shared" ca="1" si="2317"/>
        <v>0.12819486455798382</v>
      </c>
      <c r="Z2428" s="2">
        <f t="shared" ca="1" si="2318"/>
        <v>0.13147281038117734</v>
      </c>
      <c r="AA2428" s="2">
        <f t="shared" ca="1" si="2319"/>
        <v>6280736.0396028329</v>
      </c>
      <c r="AB2428" s="2">
        <f t="shared" ca="1" si="2320"/>
        <v>7037133.9582442334</v>
      </c>
      <c r="AC2428" s="2">
        <f t="shared" ca="1" si="2321"/>
        <v>7688042.5122098159</v>
      </c>
      <c r="AD2428" s="2">
        <f t="shared" ca="1" si="2322"/>
        <v>8399157.671327373</v>
      </c>
      <c r="AE2428" s="2">
        <f t="shared" ca="1" si="2323"/>
        <v>9176048.3212442696</v>
      </c>
      <c r="AF2428" s="2">
        <f t="shared" ca="1" si="2324"/>
        <v>979873.26735104807</v>
      </c>
      <c r="AG2428" s="2">
        <f t="shared" ca="1" si="2325"/>
        <v>1070507.8773081014</v>
      </c>
      <c r="AH2428" s="2">
        <f t="shared" ca="1" si="2326"/>
        <v>1169525.8494771624</v>
      </c>
      <c r="AI2428" s="2">
        <f t="shared" ca="1" si="2327"/>
        <v>1277702.6134872769</v>
      </c>
      <c r="AJ2428" s="2">
        <f t="shared" ca="1" si="2328"/>
        <v>1395885.323306055</v>
      </c>
      <c r="AK2428" s="2">
        <f t="shared" ca="1" si="2329"/>
        <v>0</v>
      </c>
      <c r="AL2428" s="2">
        <f t="shared" ca="1" si="2330"/>
        <v>45317.304978526685</v>
      </c>
      <c r="AM2428" s="2">
        <f t="shared" ca="1" si="2331"/>
        <v>49508.986084530501</v>
      </c>
      <c r="AN2428" s="2">
        <f t="shared" ca="1" si="2332"/>
        <v>54088.382005057261</v>
      </c>
      <c r="AO2428" s="2">
        <f t="shared" ca="1" si="2333"/>
        <v>59091.354909389098</v>
      </c>
      <c r="AP2428" s="2">
        <f t="shared" ca="1" si="2334"/>
        <v>2368158.2716080318</v>
      </c>
      <c r="AQ2428" s="2">
        <f t="shared" ca="1" si="2335"/>
        <v>762503.17016737582</v>
      </c>
      <c r="AR2428" s="2">
        <f t="shared" ca="1" si="2336"/>
        <v>935601.63042530604</v>
      </c>
      <c r="AS2428" s="2">
        <f t="shared" ca="1" si="2337"/>
        <v>1079093.1816924016</v>
      </c>
      <c r="AT2428" s="2">
        <f t="shared" ca="1" si="2338"/>
        <v>1235857.1644203365</v>
      </c>
      <c r="AU2428" s="2">
        <f t="shared" ca="1" si="2339"/>
        <v>1407121.2288458478</v>
      </c>
      <c r="AV2428" s="2">
        <f t="shared" ca="1" si="2340"/>
        <v>2170201.3304763776</v>
      </c>
      <c r="AW2428" s="2">
        <f t="shared" ca="1" si="2341"/>
        <v>2617548.873924267</v>
      </c>
      <c r="AX2428" s="2">
        <f t="shared" ca="1" si="2342"/>
        <v>3021756.2233476895</v>
      </c>
      <c r="AY2428" s="2">
        <f t="shared" ca="1" si="2343"/>
        <v>3463351.2398066702</v>
      </c>
      <c r="AZ2428" s="2">
        <f t="shared" ca="1" si="2344"/>
        <v>3945792.1425749459</v>
      </c>
      <c r="BA2428" s="2">
        <f t="shared" ca="1" si="2345"/>
        <v>67215800.773490742</v>
      </c>
      <c r="BB2428" s="2">
        <f t="shared" ca="1" si="2346"/>
        <v>1344316.0154698149</v>
      </c>
      <c r="BC2428" s="2">
        <f t="shared" ca="1" si="2347"/>
        <v>39558615.073487245</v>
      </c>
      <c r="BD2428" s="2">
        <f t="shared" ca="1" si="2348"/>
        <v>-19138282.693211365</v>
      </c>
      <c r="BE2428" s="2">
        <f t="shared" ca="1" si="2349"/>
        <v>2170201.3304763776</v>
      </c>
      <c r="BF2428" s="2">
        <f t="shared" ca="1" si="2350"/>
        <v>2617548.873924267</v>
      </c>
      <c r="BG2428" s="2">
        <f t="shared" ca="1" si="2351"/>
        <v>3021756.2233476895</v>
      </c>
      <c r="BH2428" s="2">
        <f t="shared" ca="1" si="2352"/>
        <v>3463351.2398066702</v>
      </c>
      <c r="BI2428" s="2">
        <f t="shared" ca="1" si="2353"/>
        <v>43504407.216062188</v>
      </c>
      <c r="BJ2428" s="2">
        <f t="shared" ca="1" si="2354"/>
        <v>0.27266096981503285</v>
      </c>
      <c r="BK2428" s="2">
        <f t="shared" ca="1" si="2355"/>
        <v>13923508.717386298</v>
      </c>
    </row>
    <row r="2429" spans="1:63" x14ac:dyDescent="0.3">
      <c r="A2429" s="2">
        <v>2428</v>
      </c>
      <c r="B2429" s="2">
        <f t="shared" ca="1" si="2294"/>
        <v>0.95147329511430112</v>
      </c>
      <c r="C2429" s="2">
        <f t="shared" ca="1" si="2295"/>
        <v>7.6884660375313825</v>
      </c>
      <c r="D2429" s="2">
        <f t="shared" ca="1" si="2296"/>
        <v>0.67212837451861451</v>
      </c>
      <c r="E2429" s="2">
        <f t="shared" ca="1" si="2297"/>
        <v>7.6902202453983115</v>
      </c>
      <c r="F2429" s="2">
        <f t="shared" ca="1" si="2298"/>
        <v>0.68141140556902502</v>
      </c>
      <c r="G2429" s="2">
        <f t="shared" ca="1" si="2299"/>
        <v>5.4149476578224554E-2</v>
      </c>
      <c r="H2429" s="2">
        <f t="shared" ca="1" si="2300"/>
        <v>5.4149476578224554E-2</v>
      </c>
      <c r="I2429" s="2">
        <f t="shared" ca="1" si="2301"/>
        <v>0.16732980245015938</v>
      </c>
      <c r="J2429" s="2">
        <f t="shared" ca="1" si="2302"/>
        <v>5.1761458050070264E-3</v>
      </c>
      <c r="K2429" s="2">
        <f t="shared" ca="1" si="2303"/>
        <v>5.1761458050070264E-3</v>
      </c>
      <c r="L2429" s="2">
        <f t="shared" ca="1" si="2304"/>
        <v>0.26249869591025499</v>
      </c>
      <c r="M2429" s="2">
        <f t="shared" ca="1" si="2305"/>
        <v>-1.2713220288404731E-2</v>
      </c>
      <c r="N2429" s="2">
        <f t="shared" ca="1" si="2306"/>
        <v>-1.2713220288404731E-2</v>
      </c>
      <c r="O2429" s="2">
        <f t="shared" si="2307"/>
        <v>6000000</v>
      </c>
      <c r="P2429" s="2">
        <f t="shared" ca="1" si="2308"/>
        <v>46130796.225188293</v>
      </c>
      <c r="Q2429" s="2">
        <f t="shared" ca="1" si="2309"/>
        <v>1153269.9056297073</v>
      </c>
      <c r="R2429" s="2">
        <f t="shared" ca="1" si="2310"/>
        <v>27678477.735112976</v>
      </c>
      <c r="S2429" s="2">
        <f t="shared" ca="1" si="2311"/>
        <v>18452318.490075316</v>
      </c>
      <c r="T2429" s="2">
        <f t="shared" ca="1" si="2312"/>
        <v>49364338.985579766</v>
      </c>
      <c r="U2429" s="2">
        <f t="shared" ca="1" si="2313"/>
        <v>52037392.103278957</v>
      </c>
      <c r="V2429" s="2">
        <f t="shared" ca="1" si="2314"/>
        <v>54855189.648167357</v>
      </c>
      <c r="W2429" s="2">
        <f t="shared" ca="1" si="2315"/>
        <v>57825569.455214866</v>
      </c>
      <c r="X2429" s="2">
        <f t="shared" ca="1" si="2316"/>
        <v>60956793.774052523</v>
      </c>
      <c r="Y2429" s="2">
        <f t="shared" ca="1" si="2317"/>
        <v>0.12258807290250351</v>
      </c>
      <c r="Z2429" s="2">
        <f t="shared" ca="1" si="2318"/>
        <v>0.12362330206350491</v>
      </c>
      <c r="AA2429" s="2">
        <f t="shared" ca="1" si="2319"/>
        <v>6051479.1863481486</v>
      </c>
      <c r="AB2429" s="2">
        <f t="shared" ca="1" si="2320"/>
        <v>6433034.2425806997</v>
      </c>
      <c r="AC2429" s="2">
        <f t="shared" ca="1" si="2321"/>
        <v>6781379.6796262413</v>
      </c>
      <c r="AD2429" s="2">
        <f t="shared" ca="1" si="2322"/>
        <v>7148587.8397562103</v>
      </c>
      <c r="AE2429" s="2">
        <f t="shared" ca="1" si="2323"/>
        <v>7535680.1295524705</v>
      </c>
      <c r="AF2429" s="2">
        <f t="shared" ca="1" si="2324"/>
        <v>987286.77971159539</v>
      </c>
      <c r="AG2429" s="2">
        <f t="shared" ca="1" si="2325"/>
        <v>1040747.8420655791</v>
      </c>
      <c r="AH2429" s="2">
        <f t="shared" ca="1" si="2326"/>
        <v>1097103.7929633472</v>
      </c>
      <c r="AI2429" s="2">
        <f t="shared" ca="1" si="2327"/>
        <v>1156511.3891042974</v>
      </c>
      <c r="AJ2429" s="2">
        <f t="shared" ca="1" si="2328"/>
        <v>1219135.8754810505</v>
      </c>
      <c r="AK2429" s="2">
        <f t="shared" ca="1" si="2329"/>
        <v>0</v>
      </c>
      <c r="AL2429" s="2">
        <f t="shared" ca="1" si="2330"/>
        <v>26730.53117699191</v>
      </c>
      <c r="AM2429" s="2">
        <f t="shared" ca="1" si="2331"/>
        <v>28177.975448883997</v>
      </c>
      <c r="AN2429" s="2">
        <f t="shared" ca="1" si="2332"/>
        <v>29703.798070475088</v>
      </c>
      <c r="AO2429" s="2">
        <f t="shared" ca="1" si="2333"/>
        <v>31312.243188376575</v>
      </c>
      <c r="AP2429" s="2">
        <f t="shared" ca="1" si="2334"/>
        <v>2491062.9961601677</v>
      </c>
      <c r="AQ2429" s="2">
        <f t="shared" ca="1" si="2335"/>
        <v>669013.64672386018</v>
      </c>
      <c r="AR2429" s="2">
        <f t="shared" ca="1" si="2336"/>
        <v>754318.0851322877</v>
      </c>
      <c r="AS2429" s="2">
        <f t="shared" ca="1" si="2337"/>
        <v>830235.35153070884</v>
      </c>
      <c r="AT2429" s="2">
        <f t="shared" ca="1" si="2338"/>
        <v>910263.4981678538</v>
      </c>
      <c r="AU2429" s="2">
        <f t="shared" ca="1" si="2339"/>
        <v>994625.12705692567</v>
      </c>
      <c r="AV2429" s="2">
        <f t="shared" ca="1" si="2340"/>
        <v>1904115.7637525252</v>
      </c>
      <c r="AW2429" s="2">
        <f t="shared" ca="1" si="2341"/>
        <v>2120174.7880456732</v>
      </c>
      <c r="AX2429" s="2">
        <f t="shared" ca="1" si="2342"/>
        <v>2334799.5635231328</v>
      </c>
      <c r="AY2429" s="2">
        <f t="shared" ca="1" si="2343"/>
        <v>2561046.158253416</v>
      </c>
      <c r="AZ2429" s="2">
        <f t="shared" ca="1" si="2344"/>
        <v>2799543.8876659502</v>
      </c>
      <c r="BA2429" s="2">
        <f t="shared" ca="1" si="2345"/>
        <v>57951039.89513018</v>
      </c>
      <c r="BB2429" s="2">
        <f t="shared" ca="1" si="2346"/>
        <v>1159020.7979026036</v>
      </c>
      <c r="BC2429" s="2">
        <f t="shared" ca="1" si="2347"/>
        <v>29113541.362114601</v>
      </c>
      <c r="BD2429" s="2">
        <f t="shared" ca="1" si="2348"/>
        <v>-20105588.395705022</v>
      </c>
      <c r="BE2429" s="2">
        <f t="shared" ca="1" si="2349"/>
        <v>1904115.7637525252</v>
      </c>
      <c r="BF2429" s="2">
        <f t="shared" ca="1" si="2350"/>
        <v>2120174.7880456732</v>
      </c>
      <c r="BG2429" s="2">
        <f t="shared" ca="1" si="2351"/>
        <v>2334799.5635231328</v>
      </c>
      <c r="BH2429" s="2">
        <f t="shared" ca="1" si="2352"/>
        <v>2561046.158253416</v>
      </c>
      <c r="BI2429" s="2">
        <f t="shared" ca="1" si="2353"/>
        <v>31913085.249780551</v>
      </c>
      <c r="BJ2429" s="2">
        <f t="shared" ca="1" si="2354"/>
        <v>0.17613204633373036</v>
      </c>
      <c r="BK2429" s="2">
        <f t="shared" ca="1" si="2355"/>
        <v>4682502.2898373567</v>
      </c>
    </row>
    <row r="2430" spans="1:63" x14ac:dyDescent="0.3">
      <c r="A2430" s="2">
        <v>2429</v>
      </c>
      <c r="B2430" s="2">
        <f t="shared" ca="1" si="2294"/>
        <v>0.99709755910431863</v>
      </c>
      <c r="C2430" s="2">
        <f t="shared" ca="1" si="2295"/>
        <v>7.923810225152172</v>
      </c>
      <c r="D2430" s="2">
        <f t="shared" ca="1" si="2296"/>
        <v>0.86890239514303036</v>
      </c>
      <c r="E2430" s="2">
        <f t="shared" ca="1" si="2297"/>
        <v>7.9879499929558255</v>
      </c>
      <c r="F2430" s="2">
        <f t="shared" ca="1" si="2298"/>
        <v>0.10247496662638556</v>
      </c>
      <c r="G2430" s="2">
        <f t="shared" ca="1" si="2299"/>
        <v>1.9727641740946364E-3</v>
      </c>
      <c r="H2430" s="2">
        <f t="shared" ca="1" si="2300"/>
        <v>1.9727641740946364E-3</v>
      </c>
      <c r="I2430" s="2">
        <f t="shared" ca="1" si="2301"/>
        <v>9.9909873058355747E-2</v>
      </c>
      <c r="J2430" s="2">
        <f t="shared" ca="1" si="2302"/>
        <v>3.5896735832861137E-3</v>
      </c>
      <c r="K2430" s="2">
        <f t="shared" ca="1" si="2303"/>
        <v>3.5896735832861137E-3</v>
      </c>
      <c r="L2430" s="2">
        <f t="shared" ca="1" si="2304"/>
        <v>0.96379061823194345</v>
      </c>
      <c r="M2430" s="2">
        <f t="shared" ca="1" si="2305"/>
        <v>3.5929530420510856E-2</v>
      </c>
      <c r="N2430" s="2">
        <f t="shared" ca="1" si="2306"/>
        <v>3.5929530420510856E-2</v>
      </c>
      <c r="O2430" s="2">
        <f t="shared" si="2307"/>
        <v>6000000</v>
      </c>
      <c r="P2430" s="2">
        <f t="shared" ca="1" si="2308"/>
        <v>47542861.350913033</v>
      </c>
      <c r="Q2430" s="2">
        <f t="shared" ca="1" si="2309"/>
        <v>1188571.533772826</v>
      </c>
      <c r="R2430" s="2">
        <f t="shared" ca="1" si="2310"/>
        <v>28525716.810547817</v>
      </c>
      <c r="S2430" s="2">
        <f t="shared" ca="1" si="2311"/>
        <v>19017144.540365215</v>
      </c>
      <c r="T2430" s="2">
        <f t="shared" ca="1" si="2312"/>
        <v>51796476.521025546</v>
      </c>
      <c r="U2430" s="2">
        <f t="shared" ca="1" si="2313"/>
        <v>51898658.754250556</v>
      </c>
      <c r="V2430" s="2">
        <f t="shared" ca="1" si="2314"/>
        <v>52001042.568924502</v>
      </c>
      <c r="W2430" s="2">
        <f t="shared" ca="1" si="2315"/>
        <v>52103628.362720042</v>
      </c>
      <c r="X2430" s="2">
        <f t="shared" ca="1" si="2316"/>
        <v>52206416.534094356</v>
      </c>
      <c r="Y2430" s="2">
        <f t="shared" ca="1" si="2317"/>
        <v>0.12179483679164305</v>
      </c>
      <c r="Z2430" s="2">
        <f t="shared" ca="1" si="2318"/>
        <v>0.12251277150830027</v>
      </c>
      <c r="AA2430" s="2">
        <f t="shared" ca="1" si="2319"/>
        <v>6308543.4042604771</v>
      </c>
      <c r="AB2430" s="2">
        <f t="shared" ca="1" si="2320"/>
        <v>6358248.5215467457</v>
      </c>
      <c r="AC2430" s="2">
        <f t="shared" ca="1" si="2321"/>
        <v>6370791.8464400433</v>
      </c>
      <c r="AD2430" s="2">
        <f t="shared" ca="1" si="2322"/>
        <v>6383359.9163553137</v>
      </c>
      <c r="AE2430" s="2">
        <f t="shared" ca="1" si="2323"/>
        <v>6395952.7801086511</v>
      </c>
      <c r="AF2430" s="2">
        <f t="shared" ca="1" si="2324"/>
        <v>1035929.5304205109</v>
      </c>
      <c r="AG2430" s="2">
        <f t="shared" ca="1" si="2325"/>
        <v>1037973.1750850112</v>
      </c>
      <c r="AH2430" s="2">
        <f t="shared" ca="1" si="2326"/>
        <v>1040020.8513784901</v>
      </c>
      <c r="AI2430" s="2">
        <f t="shared" ca="1" si="2327"/>
        <v>1042072.5672544009</v>
      </c>
      <c r="AJ2430" s="2">
        <f t="shared" ca="1" si="2328"/>
        <v>1044128.3306818871</v>
      </c>
      <c r="AK2430" s="2">
        <f t="shared" ca="1" si="2329"/>
        <v>0</v>
      </c>
      <c r="AL2430" s="2">
        <f t="shared" ca="1" si="2330"/>
        <v>1021.8223322501034</v>
      </c>
      <c r="AM2430" s="2">
        <f t="shared" ca="1" si="2331"/>
        <v>1023.8381467394531</v>
      </c>
      <c r="AN2430" s="2">
        <f t="shared" ca="1" si="2332"/>
        <v>1025.8579379554094</v>
      </c>
      <c r="AO2430" s="2">
        <f t="shared" ca="1" si="2333"/>
        <v>1027.8817137431354</v>
      </c>
      <c r="AP2430" s="2">
        <f t="shared" ca="1" si="2334"/>
        <v>2567314.5129493033</v>
      </c>
      <c r="AQ2430" s="2">
        <f t="shared" ca="1" si="2335"/>
        <v>703377.83383157232</v>
      </c>
      <c r="AR2430" s="2">
        <f t="shared" ca="1" si="2336"/>
        <v>715769.8167132322</v>
      </c>
      <c r="AS2430" s="2">
        <f t="shared" ca="1" si="2337"/>
        <v>718498.68534918502</v>
      </c>
      <c r="AT2430" s="2">
        <f t="shared" ca="1" si="2338"/>
        <v>721232.93739941856</v>
      </c>
      <c r="AU2430" s="2">
        <f t="shared" ca="1" si="2339"/>
        <v>723972.58348413976</v>
      </c>
      <c r="AV2430" s="2">
        <f t="shared" ca="1" si="2340"/>
        <v>2001921.5270590908</v>
      </c>
      <c r="AW2430" s="2">
        <f t="shared" ca="1" si="2341"/>
        <v>2036169.194466949</v>
      </c>
      <c r="AX2430" s="2">
        <f t="shared" ca="1" si="2342"/>
        <v>2043933.9586163252</v>
      </c>
      <c r="AY2430" s="2">
        <f t="shared" ca="1" si="2343"/>
        <v>2051714.0408142353</v>
      </c>
      <c r="AZ2430" s="2">
        <f t="shared" ca="1" si="2344"/>
        <v>2059509.4712795778</v>
      </c>
      <c r="BA2430" s="2">
        <f t="shared" ca="1" si="2345"/>
        <v>51090550.964814693</v>
      </c>
      <c r="BB2430" s="2">
        <f t="shared" ca="1" si="2346"/>
        <v>1021811.0192962938</v>
      </c>
      <c r="BC2430" s="2">
        <f t="shared" ca="1" si="2347"/>
        <v>21543023.134970583</v>
      </c>
      <c r="BD2430" s="2">
        <f t="shared" ca="1" si="2348"/>
        <v>-20705716.074138042</v>
      </c>
      <c r="BE2430" s="2">
        <f t="shared" ca="1" si="2349"/>
        <v>2001921.5270590908</v>
      </c>
      <c r="BF2430" s="2">
        <f t="shared" ca="1" si="2350"/>
        <v>2036169.194466949</v>
      </c>
      <c r="BG2430" s="2">
        <f t="shared" ca="1" si="2351"/>
        <v>2043933.9586163252</v>
      </c>
      <c r="BH2430" s="2">
        <f t="shared" ca="1" si="2352"/>
        <v>2051714.0408142353</v>
      </c>
      <c r="BI2430" s="2">
        <f t="shared" ca="1" si="2353"/>
        <v>23602532.606250159</v>
      </c>
      <c r="BJ2430" s="2">
        <f t="shared" ca="1" si="2354"/>
        <v>0.10488988370012708</v>
      </c>
      <c r="BK2430" s="2">
        <f t="shared" ca="1" si="2355"/>
        <v>-1143620.4757839181</v>
      </c>
    </row>
    <row r="2431" spans="1:63" x14ac:dyDescent="0.3">
      <c r="A2431" s="2">
        <v>2430</v>
      </c>
      <c r="B2431" s="2">
        <f t="shared" ca="1" si="2294"/>
        <v>0.69790150488478808</v>
      </c>
      <c r="C2431" s="2">
        <f t="shared" ca="1" si="2295"/>
        <v>7.2226989063236671</v>
      </c>
      <c r="D2431" s="2">
        <f t="shared" ca="1" si="2296"/>
        <v>0.13507252113886958</v>
      </c>
      <c r="E2431" s="2">
        <f t="shared" ca="1" si="2297"/>
        <v>7.0197547905288982</v>
      </c>
      <c r="F2431" s="2">
        <f t="shared" ca="1" si="2298"/>
        <v>5.9130479008240644E-2</v>
      </c>
      <c r="G2431" s="2">
        <f t="shared" ca="1" si="2299"/>
        <v>-6.8634425883253788E-3</v>
      </c>
      <c r="H2431" s="2">
        <f t="shared" ca="1" si="2300"/>
        <v>-6.8634425883253788E-3</v>
      </c>
      <c r="I2431" s="2">
        <f t="shared" ca="1" si="2301"/>
        <v>0.8214208714579484</v>
      </c>
      <c r="J2431" s="2">
        <f t="shared" ca="1" si="2302"/>
        <v>1.4603967424804989E-2</v>
      </c>
      <c r="K2431" s="2">
        <f t="shared" ca="1" si="2303"/>
        <v>1.4603967424804989E-2</v>
      </c>
      <c r="L2431" s="2">
        <f t="shared" ca="1" si="2304"/>
        <v>0.30199529907323164</v>
      </c>
      <c r="M2431" s="2">
        <f t="shared" ca="1" si="2305"/>
        <v>-1.0373408240827093E-2</v>
      </c>
      <c r="N2431" s="2">
        <f t="shared" ca="1" si="2306"/>
        <v>-1.0373408240827093E-2</v>
      </c>
      <c r="O2431" s="2">
        <f t="shared" si="2307"/>
        <v>6000000</v>
      </c>
      <c r="P2431" s="2">
        <f t="shared" ca="1" si="2308"/>
        <v>43336193.437942006</v>
      </c>
      <c r="Q2431" s="2">
        <f t="shared" ca="1" si="2309"/>
        <v>1083404.8359485501</v>
      </c>
      <c r="R2431" s="2">
        <f t="shared" ca="1" si="2310"/>
        <v>26001716.062765203</v>
      </c>
      <c r="S2431" s="2">
        <f t="shared" ca="1" si="2311"/>
        <v>17334477.375176802</v>
      </c>
      <c r="T2431" s="2">
        <f t="shared" ca="1" si="2312"/>
        <v>49481329.587958641</v>
      </c>
      <c r="U2431" s="2">
        <f t="shared" ca="1" si="2313"/>
        <v>49141717.323137678</v>
      </c>
      <c r="V2431" s="2">
        <f t="shared" ca="1" si="2314"/>
        <v>48804435.96759861</v>
      </c>
      <c r="W2431" s="2">
        <f t="shared" ca="1" si="2315"/>
        <v>48469469.523279391</v>
      </c>
      <c r="X2431" s="2">
        <f t="shared" ca="1" si="2316"/>
        <v>48136802.101919778</v>
      </c>
      <c r="Y2431" s="2">
        <f t="shared" ca="1" si="2317"/>
        <v>0.12730198371240248</v>
      </c>
      <c r="Z2431" s="2">
        <f t="shared" ca="1" si="2318"/>
        <v>0.1302227771973635</v>
      </c>
      <c r="AA2431" s="2">
        <f t="shared" ca="1" si="2319"/>
        <v>6299071.4132743301</v>
      </c>
      <c r="AB2431" s="2">
        <f t="shared" ca="1" si="2320"/>
        <v>6399370.9060667763</v>
      </c>
      <c r="AC2431" s="2">
        <f t="shared" ca="1" si="2321"/>
        <v>6355449.1912515871</v>
      </c>
      <c r="AD2431" s="2">
        <f t="shared" ca="1" si="2322"/>
        <v>6311828.9306044122</v>
      </c>
      <c r="AE2431" s="2">
        <f t="shared" ca="1" si="2323"/>
        <v>6268508.0551118786</v>
      </c>
      <c r="AF2431" s="2">
        <f t="shared" ca="1" si="2324"/>
        <v>989626.59175917285</v>
      </c>
      <c r="AG2431" s="2">
        <f t="shared" ca="1" si="2325"/>
        <v>982834.3464627536</v>
      </c>
      <c r="AH2431" s="2">
        <f t="shared" ca="1" si="2326"/>
        <v>976088.71935197222</v>
      </c>
      <c r="AI2431" s="2">
        <f t="shared" ca="1" si="2327"/>
        <v>969389.39046558784</v>
      </c>
      <c r="AJ2431" s="2">
        <f t="shared" ca="1" si="2328"/>
        <v>962736.04203839554</v>
      </c>
      <c r="AK2431" s="2">
        <f t="shared" ca="1" si="2329"/>
        <v>0</v>
      </c>
      <c r="AL2431" s="2">
        <f t="shared" ca="1" si="2330"/>
        <v>0</v>
      </c>
      <c r="AM2431" s="2">
        <f t="shared" ca="1" si="2331"/>
        <v>0</v>
      </c>
      <c r="AN2431" s="2">
        <f t="shared" ca="1" si="2332"/>
        <v>0</v>
      </c>
      <c r="AO2431" s="2">
        <f t="shared" ca="1" si="2333"/>
        <v>0</v>
      </c>
      <c r="AP2431" s="2">
        <f t="shared" ca="1" si="2334"/>
        <v>2340154.4456488681</v>
      </c>
      <c r="AQ2431" s="2">
        <f t="shared" ca="1" si="2335"/>
        <v>772015.49772523507</v>
      </c>
      <c r="AR2431" s="2">
        <f t="shared" ca="1" si="2336"/>
        <v>799859.34962834022</v>
      </c>
      <c r="AS2431" s="2">
        <f t="shared" ca="1" si="2337"/>
        <v>790193.56682519417</v>
      </c>
      <c r="AT2431" s="2">
        <f t="shared" ca="1" si="2338"/>
        <v>780594.12456738856</v>
      </c>
      <c r="AU2431" s="2">
        <f t="shared" ca="1" si="2339"/>
        <v>771060.5675304</v>
      </c>
      <c r="AV2431" s="2">
        <f t="shared" ca="1" si="2340"/>
        <v>2197274.8781410535</v>
      </c>
      <c r="AW2431" s="2">
        <f t="shared" ca="1" si="2341"/>
        <v>2276522.7643268141</v>
      </c>
      <c r="AX2431" s="2">
        <f t="shared" ca="1" si="2342"/>
        <v>2249012.4594255523</v>
      </c>
      <c r="AY2431" s="2">
        <f t="shared" ca="1" si="2343"/>
        <v>2221690.9699225673</v>
      </c>
      <c r="AZ2431" s="2">
        <f t="shared" ca="1" si="2344"/>
        <v>2194556.9998942153</v>
      </c>
      <c r="BA2431" s="2">
        <f t="shared" ca="1" si="2345"/>
        <v>44003389.449340597</v>
      </c>
      <c r="BB2431" s="2">
        <f t="shared" ca="1" si="2346"/>
        <v>880067.788986812</v>
      </c>
      <c r="BC2431" s="2">
        <f t="shared" ca="1" si="2347"/>
        <v>17121605.59758858</v>
      </c>
      <c r="BD2431" s="2">
        <f t="shared" ca="1" si="2348"/>
        <v>-18917882.211125351</v>
      </c>
      <c r="BE2431" s="2">
        <f t="shared" ca="1" si="2349"/>
        <v>2197274.8781410535</v>
      </c>
      <c r="BF2431" s="2">
        <f t="shared" ca="1" si="2350"/>
        <v>2276522.7643268141</v>
      </c>
      <c r="BG2431" s="2">
        <f t="shared" ca="1" si="2351"/>
        <v>2249012.4594255523</v>
      </c>
      <c r="BH2431" s="2">
        <f t="shared" ca="1" si="2352"/>
        <v>2221690.9699225673</v>
      </c>
      <c r="BI2431" s="2">
        <f t="shared" ca="1" si="2353"/>
        <v>19316162.597482797</v>
      </c>
      <c r="BJ2431" s="2">
        <f t="shared" ca="1" si="2354"/>
        <v>0.10233248905482362</v>
      </c>
      <c r="BK2431" s="2">
        <f t="shared" ca="1" si="2355"/>
        <v>-1167962.8025708944</v>
      </c>
    </row>
    <row r="2432" spans="1:63" x14ac:dyDescent="0.3">
      <c r="A2432" s="2">
        <v>2431</v>
      </c>
      <c r="B2432" s="2">
        <f t="shared" ca="1" si="2294"/>
        <v>0.24864755978784303</v>
      </c>
      <c r="C2432" s="2">
        <f t="shared" ca="1" si="2295"/>
        <v>6.7051915481453861</v>
      </c>
      <c r="D2432" s="2">
        <f t="shared" ca="1" si="2296"/>
        <v>0.6172840139681417</v>
      </c>
      <c r="E2432" s="2">
        <f t="shared" ca="1" si="2297"/>
        <v>7.6251103086310152</v>
      </c>
      <c r="F2432" s="2">
        <f t="shared" ca="1" si="2298"/>
        <v>0.9824945212186762</v>
      </c>
      <c r="G2432" s="2">
        <f t="shared" ca="1" si="2299"/>
        <v>0.10324694925252489</v>
      </c>
      <c r="H2432" s="2">
        <f t="shared" ca="1" si="2300"/>
        <v>0.10324694925252489</v>
      </c>
      <c r="I2432" s="2">
        <f t="shared" ca="1" si="2301"/>
        <v>0.31862505940536634</v>
      </c>
      <c r="J2432" s="2">
        <f t="shared" ca="1" si="2302"/>
        <v>7.6422646795811346E-3</v>
      </c>
      <c r="K2432" s="2">
        <f t="shared" ca="1" si="2303"/>
        <v>7.6422646795811346E-3</v>
      </c>
      <c r="L2432" s="2">
        <f t="shared" ca="1" si="2304"/>
        <v>0.27252689761325555</v>
      </c>
      <c r="M2432" s="2">
        <f t="shared" ca="1" si="2305"/>
        <v>-1.2103768820447024E-2</v>
      </c>
      <c r="N2432" s="2">
        <f t="shared" ca="1" si="2306"/>
        <v>-1.2103768820447024E-2</v>
      </c>
      <c r="O2432" s="2">
        <f t="shared" si="2307"/>
        <v>6000000</v>
      </c>
      <c r="P2432" s="2">
        <f t="shared" ca="1" si="2308"/>
        <v>40231149.288872316</v>
      </c>
      <c r="Q2432" s="2">
        <f t="shared" ca="1" si="2309"/>
        <v>1005778.7322218079</v>
      </c>
      <c r="R2432" s="2">
        <f t="shared" ca="1" si="2310"/>
        <v>24138689.573323388</v>
      </c>
      <c r="S2432" s="2">
        <f t="shared" ca="1" si="2311"/>
        <v>16092459.715548927</v>
      </c>
      <c r="T2432" s="2">
        <f t="shared" ca="1" si="2312"/>
        <v>49394811.558977649</v>
      </c>
      <c r="U2432" s="2">
        <f t="shared" ca="1" si="2313"/>
        <v>54494675.161345445</v>
      </c>
      <c r="V2432" s="2">
        <f t="shared" ca="1" si="2314"/>
        <v>60121084.12226171</v>
      </c>
      <c r="W2432" s="2">
        <f t="shared" ca="1" si="2315"/>
        <v>66328402.643639654</v>
      </c>
      <c r="X2432" s="2">
        <f t="shared" ca="1" si="2316"/>
        <v>73176607.865388557</v>
      </c>
      <c r="Y2432" s="2">
        <f t="shared" ca="1" si="2317"/>
        <v>0.12382113233979056</v>
      </c>
      <c r="Z2432" s="2">
        <f t="shared" ca="1" si="2318"/>
        <v>0.12534958527570678</v>
      </c>
      <c r="AA2432" s="2">
        <f t="shared" ca="1" si="2319"/>
        <v>6116121.4989431873</v>
      </c>
      <c r="AB2432" s="2">
        <f t="shared" ca="1" si="2320"/>
        <v>6830884.931209011</v>
      </c>
      <c r="AC2432" s="2">
        <f t="shared" ca="1" si="2321"/>
        <v>7536152.9610513849</v>
      </c>
      <c r="AD2432" s="2">
        <f t="shared" ca="1" si="2322"/>
        <v>8314237.7633803235</v>
      </c>
      <c r="AE2432" s="2">
        <f t="shared" ca="1" si="2323"/>
        <v>9172657.4478094783</v>
      </c>
      <c r="AF2432" s="2">
        <f t="shared" ca="1" si="2324"/>
        <v>987896.23117955297</v>
      </c>
      <c r="AG2432" s="2">
        <f t="shared" ca="1" si="2325"/>
        <v>1089893.5032269089</v>
      </c>
      <c r="AH2432" s="2">
        <f t="shared" ca="1" si="2326"/>
        <v>1202421.6824452342</v>
      </c>
      <c r="AI2432" s="2">
        <f t="shared" ca="1" si="2327"/>
        <v>1326568.0528727931</v>
      </c>
      <c r="AJ2432" s="2">
        <f t="shared" ca="1" si="2328"/>
        <v>1463532.1573077713</v>
      </c>
      <c r="AK2432" s="2">
        <f t="shared" ca="1" si="2329"/>
        <v>0</v>
      </c>
      <c r="AL2432" s="2">
        <f t="shared" ca="1" si="2330"/>
        <v>50998.636023677958</v>
      </c>
      <c r="AM2432" s="2">
        <f t="shared" ca="1" si="2331"/>
        <v>56264.089609162656</v>
      </c>
      <c r="AN2432" s="2">
        <f t="shared" ca="1" si="2332"/>
        <v>62073.185213779434</v>
      </c>
      <c r="AO2432" s="2">
        <f t="shared" ca="1" si="2333"/>
        <v>68482.052217489036</v>
      </c>
      <c r="AP2432" s="2">
        <f t="shared" ca="1" si="2334"/>
        <v>2172482.0615991047</v>
      </c>
      <c r="AQ2432" s="2">
        <f t="shared" ca="1" si="2335"/>
        <v>768493.23360277771</v>
      </c>
      <c r="AR2432" s="2">
        <f t="shared" ca="1" si="2336"/>
        <v>927812.43525957933</v>
      </c>
      <c r="AS2432" s="2">
        <f t="shared" ca="1" si="2337"/>
        <v>1081924.7964218319</v>
      </c>
      <c r="AT2432" s="2">
        <f t="shared" ca="1" si="2338"/>
        <v>1251948.7887161907</v>
      </c>
      <c r="AU2432" s="2">
        <f t="shared" ca="1" si="2339"/>
        <v>1439527.2395146766</v>
      </c>
      <c r="AV2432" s="2">
        <f t="shared" ca="1" si="2340"/>
        <v>2187249.9725617515</v>
      </c>
      <c r="AW2432" s="2">
        <f t="shared" ca="1" si="2341"/>
        <v>2589698.2950997399</v>
      </c>
      <c r="AX2432" s="2">
        <f t="shared" ca="1" si="2342"/>
        <v>3023060.3309760513</v>
      </c>
      <c r="AY2432" s="2">
        <f t="shared" ca="1" si="2343"/>
        <v>3501165.6749784565</v>
      </c>
      <c r="AZ2432" s="2">
        <f t="shared" ca="1" si="2344"/>
        <v>4028633.9371704366</v>
      </c>
      <c r="BA2432" s="2">
        <f t="shared" ca="1" si="2345"/>
        <v>69942524.862833112</v>
      </c>
      <c r="BB2432" s="2">
        <f t="shared" ca="1" si="2346"/>
        <v>1398850.4972566622</v>
      </c>
      <c r="BC2432" s="2">
        <f t="shared" ca="1" si="2347"/>
        <v>44404984.79225307</v>
      </c>
      <c r="BD2432" s="2">
        <f t="shared" ca="1" si="2348"/>
        <v>-17598238.447770733</v>
      </c>
      <c r="BE2432" s="2">
        <f t="shared" ca="1" si="2349"/>
        <v>2187249.9725617515</v>
      </c>
      <c r="BF2432" s="2">
        <f t="shared" ca="1" si="2350"/>
        <v>2589698.2950997399</v>
      </c>
      <c r="BG2432" s="2">
        <f t="shared" ca="1" si="2351"/>
        <v>3023060.3309760513</v>
      </c>
      <c r="BH2432" s="2">
        <f t="shared" ca="1" si="2352"/>
        <v>3501165.6749784565</v>
      </c>
      <c r="BI2432" s="2">
        <f t="shared" ca="1" si="2353"/>
        <v>48433618.729423508</v>
      </c>
      <c r="BJ2432" s="2">
        <f t="shared" ca="1" si="2354"/>
        <v>0.32177339637731528</v>
      </c>
      <c r="BK2432" s="2">
        <f t="shared" ca="1" si="2355"/>
        <v>18278499.639189463</v>
      </c>
    </row>
    <row r="2433" spans="1:63" x14ac:dyDescent="0.3">
      <c r="A2433" s="2">
        <v>2432</v>
      </c>
      <c r="B2433" s="2">
        <f t="shared" ca="1" si="2294"/>
        <v>0.37909366327712279</v>
      </c>
      <c r="C2433" s="2">
        <f t="shared" ca="1" si="2295"/>
        <v>6.8707395285355117</v>
      </c>
      <c r="D2433" s="2">
        <f t="shared" ca="1" si="2296"/>
        <v>0.66645971641941903</v>
      </c>
      <c r="E2433" s="2">
        <f t="shared" ca="1" si="2297"/>
        <v>7.6832499971465182</v>
      </c>
      <c r="F2433" s="2">
        <f t="shared" ca="1" si="2298"/>
        <v>0.66646318668482407</v>
      </c>
      <c r="G2433" s="2">
        <f t="shared" ca="1" si="2299"/>
        <v>5.2905032213316473E-2</v>
      </c>
      <c r="H2433" s="2">
        <f t="shared" ca="1" si="2300"/>
        <v>5.2905032213316473E-2</v>
      </c>
      <c r="I2433" s="2">
        <f t="shared" ca="1" si="2301"/>
        <v>0.88007251152163957</v>
      </c>
      <c r="J2433" s="2">
        <f t="shared" ca="1" si="2302"/>
        <v>1.5876746767620346E-2</v>
      </c>
      <c r="K2433" s="2">
        <f t="shared" ca="1" si="2303"/>
        <v>1.5876746767620346E-2</v>
      </c>
      <c r="L2433" s="2">
        <f t="shared" ca="1" si="2304"/>
        <v>0.68780291447688979</v>
      </c>
      <c r="M2433" s="2">
        <f t="shared" ca="1" si="2305"/>
        <v>9.7926444412991427E-3</v>
      </c>
      <c r="N2433" s="2">
        <f t="shared" ca="1" si="2306"/>
        <v>9.7926444412991427E-3</v>
      </c>
      <c r="O2433" s="2">
        <f t="shared" si="2307"/>
        <v>6000000</v>
      </c>
      <c r="P2433" s="2">
        <f t="shared" ca="1" si="2308"/>
        <v>41224437.171213068</v>
      </c>
      <c r="Q2433" s="2">
        <f t="shared" ca="1" si="2309"/>
        <v>1030610.9292803267</v>
      </c>
      <c r="R2433" s="2">
        <f t="shared" ca="1" si="2310"/>
        <v>24734662.302727841</v>
      </c>
      <c r="S2433" s="2">
        <f t="shared" ca="1" si="2311"/>
        <v>16489774.868485227</v>
      </c>
      <c r="T2433" s="2">
        <f t="shared" ca="1" si="2312"/>
        <v>50489632.222064964</v>
      </c>
      <c r="U2433" s="2">
        <f t="shared" ca="1" si="2313"/>
        <v>53160787.841211811</v>
      </c>
      <c r="V2433" s="2">
        <f t="shared" ca="1" si="2314"/>
        <v>55973261.034436405</v>
      </c>
      <c r="W2433" s="2">
        <f t="shared" ca="1" si="2315"/>
        <v>58934528.21254763</v>
      </c>
      <c r="X2433" s="2">
        <f t="shared" ca="1" si="2316"/>
        <v>62052461.326109067</v>
      </c>
      <c r="Y2433" s="2">
        <f t="shared" ca="1" si="2317"/>
        <v>0.12793837338381017</v>
      </c>
      <c r="Z2433" s="2">
        <f t="shared" ca="1" si="2318"/>
        <v>0.13111372273733424</v>
      </c>
      <c r="AA2433" s="2">
        <f t="shared" ca="1" si="2319"/>
        <v>6459561.4192378009</v>
      </c>
      <c r="AB2433" s="2">
        <f t="shared" ca="1" si="2320"/>
        <v>6970108.797510894</v>
      </c>
      <c r="AC2433" s="2">
        <f t="shared" ca="1" si="2321"/>
        <v>7338862.6279735286</v>
      </c>
      <c r="AD2433" s="2">
        <f t="shared" ca="1" si="2322"/>
        <v>7727125.3917155722</v>
      </c>
      <c r="AE2433" s="2">
        <f t="shared" ca="1" si="2323"/>
        <v>8135929.20948062</v>
      </c>
      <c r="AF2433" s="2">
        <f t="shared" ca="1" si="2324"/>
        <v>1009792.6444412993</v>
      </c>
      <c r="AG2433" s="2">
        <f t="shared" ca="1" si="2325"/>
        <v>1063215.7568242361</v>
      </c>
      <c r="AH2433" s="2">
        <f t="shared" ca="1" si="2326"/>
        <v>1119465.2206887281</v>
      </c>
      <c r="AI2433" s="2">
        <f t="shared" ca="1" si="2327"/>
        <v>1178690.5642509526</v>
      </c>
      <c r="AJ2433" s="2">
        <f t="shared" ca="1" si="2328"/>
        <v>1241049.2265221814</v>
      </c>
      <c r="AK2433" s="2">
        <f t="shared" ca="1" si="2329"/>
        <v>0</v>
      </c>
      <c r="AL2433" s="2">
        <f t="shared" ca="1" si="2330"/>
        <v>26711.556191468462</v>
      </c>
      <c r="AM2433" s="2">
        <f t="shared" ca="1" si="2331"/>
        <v>28124.731932245941</v>
      </c>
      <c r="AN2433" s="2">
        <f t="shared" ca="1" si="2332"/>
        <v>29612.671781112254</v>
      </c>
      <c r="AO2433" s="2">
        <f t="shared" ca="1" si="2333"/>
        <v>31179.331135614368</v>
      </c>
      <c r="AP2433" s="2">
        <f t="shared" ca="1" si="2334"/>
        <v>2226119.6072455058</v>
      </c>
      <c r="AQ2433" s="2">
        <f t="shared" ca="1" si="2335"/>
        <v>838148.78356325894</v>
      </c>
      <c r="AR2433" s="2">
        <f t="shared" ca="1" si="2336"/>
        <v>957001.09269469953</v>
      </c>
      <c r="AS2433" s="2">
        <f t="shared" ca="1" si="2337"/>
        <v>1038252.2280102165</v>
      </c>
      <c r="AT2433" s="2">
        <f t="shared" ca="1" si="2338"/>
        <v>1123801.9572569695</v>
      </c>
      <c r="AU2433" s="2">
        <f t="shared" ca="1" si="2339"/>
        <v>1213877.6976853625</v>
      </c>
      <c r="AV2433" s="2">
        <f t="shared" ca="1" si="2340"/>
        <v>2385500.3839877369</v>
      </c>
      <c r="AW2433" s="2">
        <f t="shared" ca="1" si="2341"/>
        <v>2697060.7845549835</v>
      </c>
      <c r="AX2433" s="2">
        <f t="shared" ca="1" si="2342"/>
        <v>2926900.8400968313</v>
      </c>
      <c r="AY2433" s="2">
        <f t="shared" ca="1" si="2343"/>
        <v>3168900.5911810314</v>
      </c>
      <c r="AZ2433" s="2">
        <f t="shared" ca="1" si="2344"/>
        <v>3423703.3468919555</v>
      </c>
      <c r="BA2433" s="2">
        <f t="shared" ca="1" si="2345"/>
        <v>62510378.075526245</v>
      </c>
      <c r="BB2433" s="2">
        <f t="shared" ca="1" si="2346"/>
        <v>1250207.5615105249</v>
      </c>
      <c r="BC2433" s="2">
        <f t="shared" ca="1" si="2347"/>
        <v>36525508.211287878</v>
      </c>
      <c r="BD2433" s="2">
        <f t="shared" ca="1" si="2348"/>
        <v>-18020385.797765553</v>
      </c>
      <c r="BE2433" s="2">
        <f t="shared" ca="1" si="2349"/>
        <v>2385500.3839877369</v>
      </c>
      <c r="BF2433" s="2">
        <f t="shared" ca="1" si="2350"/>
        <v>2697060.7845549835</v>
      </c>
      <c r="BG2433" s="2">
        <f t="shared" ca="1" si="2351"/>
        <v>2926900.8400968313</v>
      </c>
      <c r="BH2433" s="2">
        <f t="shared" ca="1" si="2352"/>
        <v>3168900.5911810314</v>
      </c>
      <c r="BI2433" s="2">
        <f t="shared" ca="1" si="2353"/>
        <v>39949211.558179833</v>
      </c>
      <c r="BJ2433" s="2">
        <f t="shared" ca="1" si="2354"/>
        <v>0.27460972890641311</v>
      </c>
      <c r="BK2433" s="2">
        <f t="shared" ca="1" si="2355"/>
        <v>13025064.926744349</v>
      </c>
    </row>
    <row r="2434" spans="1:63" x14ac:dyDescent="0.3">
      <c r="A2434" s="2">
        <v>2433</v>
      </c>
      <c r="B2434" s="2">
        <f t="shared" ref="B2434:B2501" ca="1" si="2356">RAND()</f>
        <v>0.2455082671225538</v>
      </c>
      <c r="C2434" s="2">
        <f t="shared" ref="C2434:C2497" ca="1" si="2357">IF(B2434&lt;((P_Mode)-(P_Low))/((P_High)-(P_Low)), (P_Low)+SQRT(B2434*((P_High)-(P_Low))*((P_Mode)-(P_Low))), (P_High)-SQRT((1-B2434)*((P_High)-(P_Low))*((P_High)-(P_Mode))))</f>
        <v>6.7007257196971635</v>
      </c>
      <c r="D2434" s="2">
        <f t="shared" ref="D2434:D2501" ca="1" si="2358">RAND()</f>
        <v>0.67596192049417159</v>
      </c>
      <c r="E2434" s="2">
        <f t="shared" ref="E2434:E2497" ca="1" si="2359">IF(D2434&lt;((X_Mode)-(X_Low))/((X_High)-(X_Low)), (X_Low)+SQRT(D2434*((X_High)-(X_Low))*((X_Mode)-(X_Low))), (X_High)-SQRT((1-D2434)*((X_High)-(X_Low))*((X_High)-(X_Mode))))</f>
        <v>7.694968224843481</v>
      </c>
      <c r="F2434" s="2">
        <f t="shared" ref="F2434:F2501" ca="1" si="2360">RAND()</f>
        <v>0.66628735676640427</v>
      </c>
      <c r="G2434" s="2">
        <f t="shared" ref="G2434:G2497" ca="1" si="2361">NORMINV(F2434, g_Mean, g_SD)</f>
        <v>5.2890529786587037E-2</v>
      </c>
      <c r="H2434" s="2">
        <f t="shared" ref="H2434:H2497" ca="1" si="2362">MIN(MAX(G2434, g_Min), g_Max)</f>
        <v>5.2890529786587037E-2</v>
      </c>
      <c r="I2434" s="2">
        <f t="shared" ref="I2434:I2501" ca="1" si="2363">RAND()</f>
        <v>0.11428659462144497</v>
      </c>
      <c r="J2434" s="2">
        <f t="shared" ref="J2434:J2497" ca="1" si="2364">NORMINV(I2434, syn_Mean, syn_SD)</f>
        <v>3.9797879776649961E-3</v>
      </c>
      <c r="K2434" s="2">
        <f t="shared" ref="K2434:K2497" ca="1" si="2365">MIN(MAX(J2434, syn_Min), syn_Max)</f>
        <v>3.9797879776649961E-3</v>
      </c>
      <c r="L2434" s="2">
        <f t="shared" ref="L2434:L2501" ca="1" si="2366">RAND()</f>
        <v>0.59508528689023243</v>
      </c>
      <c r="M2434" s="2">
        <f t="shared" ref="M2434:M2497" ca="1" si="2367">NORMINV(L2434, shk_Mean, shk_SD)</f>
        <v>4.8129217693686456E-3</v>
      </c>
      <c r="N2434" s="2">
        <f t="shared" ref="N2434:N2497" ca="1" si="2368">MIN(MAX(M2434, shk_Min), shk_Max)</f>
        <v>4.8129217693686456E-3</v>
      </c>
      <c r="O2434" s="2">
        <f t="shared" ref="O2434:O2501" si="2369">BaseRev*BaseMargin</f>
        <v>6000000</v>
      </c>
      <c r="P2434" s="2">
        <f t="shared" ref="P2434:P2497" ca="1" si="2370">O2434*C2434</f>
        <v>40204354.318182983</v>
      </c>
      <c r="Q2434" s="2">
        <f t="shared" ref="Q2434:Q2497" ca="1" si="2371">P2434*TxnCostPct</f>
        <v>1005108.8579545746</v>
      </c>
      <c r="R2434" s="2">
        <f t="shared" ref="R2434:R2501" ca="1" si="2372">P2434*DebtPct</f>
        <v>24122612.59090979</v>
      </c>
      <c r="S2434" s="2">
        <f t="shared" ref="S2434:S2501" ca="1" si="2373">P2434*EqPct</f>
        <v>16081741.727273194</v>
      </c>
      <c r="T2434" s="2">
        <f t="shared" ref="T2434:T2501" ca="1" si="2374">BaseRev*(1+N2434)</f>
        <v>50240646.088468432</v>
      </c>
      <c r="U2434" s="2">
        <f t="shared" ref="U2434:U2497" ca="1" si="2375">T2434*(1+H2434)</f>
        <v>52897900.476907954</v>
      </c>
      <c r="V2434" s="2">
        <f t="shared" ref="V2434:V2497" ca="1" si="2376">U2434*(1+H2434)</f>
        <v>55695698.457729779</v>
      </c>
      <c r="W2434" s="2">
        <f t="shared" ref="W2434:W2497" ca="1" si="2377">V2434*(1+H2434)</f>
        <v>58641473.455993108</v>
      </c>
      <c r="X2434" s="2">
        <f t="shared" ref="X2434:X2497" ca="1" si="2378">W2434*(1+H2434)</f>
        <v>61743052.054546669</v>
      </c>
      <c r="Y2434" s="2">
        <f t="shared" ref="Y2434:Y2501" ca="1" si="2379">BaseMargin + SynReal_Y1*K2434</f>
        <v>0.12198989398883249</v>
      </c>
      <c r="Z2434" s="2">
        <f t="shared" ref="Z2434:Z2501" ca="1" si="2380">BaseMargin + SynReal_Y2toY5*K2434</f>
        <v>0.12278585158436549</v>
      </c>
      <c r="AA2434" s="2">
        <f t="shared" ref="AA2434:AA2501" ca="1" si="2381">T2434*Y2434</f>
        <v>6128851.0902627157</v>
      </c>
      <c r="AB2434" s="2">
        <f t="shared" ref="AB2434:AB2501" ca="1" si="2382">U2434*Z2434</f>
        <v>6495113.7570821559</v>
      </c>
      <c r="AC2434" s="2">
        <f t="shared" ref="AC2434:AC2501" ca="1" si="2383">V2434*Z2434</f>
        <v>6838643.7647183826</v>
      </c>
      <c r="AD2434" s="2">
        <f t="shared" ref="AD2434:AD2501" ca="1" si="2384">W2434*Z2434</f>
        <v>7200343.256456078</v>
      </c>
      <c r="AE2434" s="2">
        <f t="shared" ref="AE2434:AE2501" ca="1" si="2385">X2434*Z2434</f>
        <v>7581173.2259353204</v>
      </c>
      <c r="AF2434" s="2">
        <f t="shared" ref="AF2434:AF2501" ca="1" si="2386">T2434*CapexPct</f>
        <v>1004812.9217693687</v>
      </c>
      <c r="AG2434" s="2">
        <f t="shared" ref="AG2434:AG2501" ca="1" si="2387">U2434*CapexPct</f>
        <v>1057958.009538159</v>
      </c>
      <c r="AH2434" s="2">
        <f t="shared" ref="AH2434:AH2501" ca="1" si="2388">V2434*CapexPct</f>
        <v>1113913.9691545956</v>
      </c>
      <c r="AI2434" s="2">
        <f t="shared" ref="AI2434:AI2501" ca="1" si="2389">W2434*CapexPct</f>
        <v>1172829.4691198622</v>
      </c>
      <c r="AJ2434" s="2">
        <f t="shared" ref="AJ2434:AJ2501" ca="1" si="2390">X2434*CapexPct</f>
        <v>1234861.0410909334</v>
      </c>
      <c r="AK2434" s="2">
        <f t="shared" ref="AK2434:AK2501" ca="1" si="2391">MAX(T2434-BaseRev*(1+N2434),0)*WCPct</f>
        <v>0</v>
      </c>
      <c r="AL2434" s="2">
        <f t="shared" ref="AL2434:AL2501" ca="1" si="2392">MAX(U2434-T2434,0)*WCPct</f>
        <v>26572.543884395214</v>
      </c>
      <c r="AM2434" s="2">
        <f t="shared" ref="AM2434:AM2501" ca="1" si="2393">MAX(V2434-U2434,0)*WCPct</f>
        <v>27977.979808218257</v>
      </c>
      <c r="AN2434" s="2">
        <f t="shared" ref="AN2434:AN2501" ca="1" si="2394">MAX(W2434-V2434,0)*WCPct</f>
        <v>29457.749982633293</v>
      </c>
      <c r="AO2434" s="2">
        <f t="shared" ref="AO2434:AO2501" ca="1" si="2395">MAX(X2434-W2434,0)*WCPct</f>
        <v>31015.785985535607</v>
      </c>
      <c r="AP2434" s="2">
        <f t="shared" ref="AP2434:AP2501" ca="1" si="2396">R2434*DebtRate</f>
        <v>2171035.1331818812</v>
      </c>
      <c r="AQ2434" s="2">
        <f t="shared" ref="AQ2434:AQ2497" ca="1" si="2397">MAX(AA2434-AF2434-AP2434,0)*Tax</f>
        <v>767780.78918098123</v>
      </c>
      <c r="AR2434" s="2">
        <f t="shared" ref="AR2434:AR2501" ca="1" si="2398">MAX(AB2434-AG2434-AP2434,0)*Tax</f>
        <v>849191.35973415023</v>
      </c>
      <c r="AS2434" s="2">
        <f t="shared" ref="AS2434:AS2501" ca="1" si="2399">MAX(AC2434-AH2434-AP2434,0)*Tax</f>
        <v>923960.61221929558</v>
      </c>
      <c r="AT2434" s="2">
        <f t="shared" ref="AT2434:AT2501" ca="1" si="2400">MAX(AD2434-AI2434-AP2434,0)*Tax</f>
        <v>1002684.4500801269</v>
      </c>
      <c r="AU2434" s="2">
        <f t="shared" ref="AU2434:AU2501" ca="1" si="2401">MAX(AE2434-AJ2434-AP2434,0)*Tax</f>
        <v>1085572.0334322515</v>
      </c>
      <c r="AV2434" s="2">
        <f t="shared" ref="AV2434:AV2501" ca="1" si="2402">AA2434-AF2434-AK2434-AQ2434-AP2434</f>
        <v>2185222.2461304851</v>
      </c>
      <c r="AW2434" s="2">
        <f t="shared" ref="AW2434:AW2501" ca="1" si="2403">AB2434-AG2434-AL2434-AR2434-AP2434</f>
        <v>2390356.7107435698</v>
      </c>
      <c r="AX2434" s="2">
        <f t="shared" ref="AX2434:AX2501" ca="1" si="2404">AC2434-AH2434-AM2434-AS2434-AP2434</f>
        <v>2601756.0703543928</v>
      </c>
      <c r="AY2434" s="2">
        <f t="shared" ref="AY2434:AY2501" ca="1" si="2405">AD2434-AI2434-AN2434-AT2434-AP2434</f>
        <v>2824336.4540915741</v>
      </c>
      <c r="AZ2434" s="2">
        <f t="shared" ref="AZ2434:AZ2501" ca="1" si="2406">AE2434-AJ2434-AO2434-AU2434-AP2434</f>
        <v>3058689.2322447179</v>
      </c>
      <c r="BA2434" s="2">
        <f t="shared" ref="BA2434:BA2501" ca="1" si="2407">AE2434*E2434</f>
        <v>58336887.080606438</v>
      </c>
      <c r="BB2434" s="2">
        <f t="shared" ref="BB2434:BB2497" ca="1" si="2408">BA2434*SellCostPct</f>
        <v>1166737.7416121287</v>
      </c>
      <c r="BC2434" s="2">
        <f t="shared" ref="BC2434:BC2497" ca="1" si="2409">BA2434-R2434-BB2434</f>
        <v>33047536.748084523</v>
      </c>
      <c r="BD2434" s="2">
        <f t="shared" ref="BD2434:BD2501" ca="1" si="2410">-S2434-Q2434-IntegrationPct*BaseRev</f>
        <v>-17586850.585227769</v>
      </c>
      <c r="BE2434" s="2">
        <f t="shared" ref="BE2434:BE2501" ca="1" si="2411">AV2434</f>
        <v>2185222.2461304851</v>
      </c>
      <c r="BF2434" s="2">
        <f t="shared" ref="BF2434:BF2501" ca="1" si="2412">AW2434</f>
        <v>2390356.7107435698</v>
      </c>
      <c r="BG2434" s="2">
        <f t="shared" ref="BG2434:BG2501" ca="1" si="2413">AX2434</f>
        <v>2601756.0703543928</v>
      </c>
      <c r="BH2434" s="2">
        <f t="shared" ref="BH2434:BH2501" ca="1" si="2414">AY2434</f>
        <v>2824336.4540915741</v>
      </c>
      <c r="BI2434" s="2">
        <f t="shared" ref="BI2434:BI2501" ca="1" si="2415">AZ2434+BC2434</f>
        <v>36106225.980329238</v>
      </c>
      <c r="BJ2434" s="2">
        <f t="shared" ref="BJ2434:BJ2497" ca="1" si="2416">IF(MIN(BD2434:BI2434)*MAX(BD2434:BI2434)&gt;=0, "", IFERROR(IRR(BD2434:BI2434,0.12), IFERROR(IRR(BD2434:BI2434,0.5), IFERROR(IRR(BD2434:BI2434,-0.5),""))))</f>
        <v>0.25019624406944141</v>
      </c>
      <c r="BK2434" s="2">
        <f t="shared" ref="BK2434:BK2501" ca="1" si="2417">NPV(12%,BE2434:BI2434)+BD2434</f>
        <v>10404256.177391231</v>
      </c>
    </row>
    <row r="2435" spans="1:63" x14ac:dyDescent="0.3">
      <c r="A2435" s="2">
        <v>2434</v>
      </c>
      <c r="B2435" s="2">
        <f t="shared" ca="1" si="2356"/>
        <v>0.5984537331177946</v>
      </c>
      <c r="C2435" s="2">
        <f t="shared" ca="1" si="2357"/>
        <v>7.1038456975696587</v>
      </c>
      <c r="D2435" s="2">
        <f t="shared" ca="1" si="2358"/>
        <v>0.47307615790548341</v>
      </c>
      <c r="E2435" s="2">
        <f t="shared" ca="1" si="2359"/>
        <v>7.4727036114927134</v>
      </c>
      <c r="F2435" s="2">
        <f t="shared" ca="1" si="2360"/>
        <v>0.85989282376324583</v>
      </c>
      <c r="G2435" s="2">
        <f t="shared" ca="1" si="2361"/>
        <v>7.2395138231762898E-2</v>
      </c>
      <c r="H2435" s="2">
        <f t="shared" ca="1" si="2362"/>
        <v>7.2395138231762898E-2</v>
      </c>
      <c r="I2435" s="2">
        <f t="shared" ca="1" si="2363"/>
        <v>0.18381269965646863</v>
      </c>
      <c r="J2435" s="2">
        <f t="shared" ca="1" si="2364"/>
        <v>5.4953486839745998E-3</v>
      </c>
      <c r="K2435" s="2">
        <f t="shared" ca="1" si="2365"/>
        <v>5.4953486839745998E-3</v>
      </c>
      <c r="L2435" s="2">
        <f t="shared" ca="1" si="2366"/>
        <v>0.64613727201297699</v>
      </c>
      <c r="M2435" s="2">
        <f t="shared" ca="1" si="2367"/>
        <v>7.498252323126996E-3</v>
      </c>
      <c r="N2435" s="2">
        <f t="shared" ca="1" si="2368"/>
        <v>7.498252323126996E-3</v>
      </c>
      <c r="O2435" s="2">
        <f t="shared" si="2369"/>
        <v>6000000</v>
      </c>
      <c r="P2435" s="2">
        <f t="shared" ca="1" si="2370"/>
        <v>42623074.18541795</v>
      </c>
      <c r="Q2435" s="2">
        <f t="shared" ca="1" si="2371"/>
        <v>1065576.8546354489</v>
      </c>
      <c r="R2435" s="2">
        <f t="shared" ca="1" si="2372"/>
        <v>25573844.511250768</v>
      </c>
      <c r="S2435" s="2">
        <f t="shared" ca="1" si="2373"/>
        <v>17049229.674167182</v>
      </c>
      <c r="T2435" s="2">
        <f t="shared" ca="1" si="2374"/>
        <v>50374912.616156355</v>
      </c>
      <c r="U2435" s="2">
        <f t="shared" ca="1" si="2375"/>
        <v>54021811.378415972</v>
      </c>
      <c r="V2435" s="2">
        <f t="shared" ca="1" si="2376"/>
        <v>57932727.880686618</v>
      </c>
      <c r="W2435" s="2">
        <f t="shared" ca="1" si="2377"/>
        <v>62126775.723752029</v>
      </c>
      <c r="X2435" s="2">
        <f t="shared" ca="1" si="2378"/>
        <v>66624452.240166791</v>
      </c>
      <c r="Y2435" s="2">
        <f t="shared" ca="1" si="2379"/>
        <v>0.1227476743419873</v>
      </c>
      <c r="Z2435" s="2">
        <f t="shared" ca="1" si="2380"/>
        <v>0.12384674407878221</v>
      </c>
      <c r="AA2435" s="2">
        <f t="shared" ca="1" si="2381"/>
        <v>6183403.3688140279</v>
      </c>
      <c r="AB2435" s="2">
        <f t="shared" ca="1" si="2382"/>
        <v>6690425.4484549277</v>
      </c>
      <c r="AC2435" s="2">
        <f t="shared" ca="1" si="2383"/>
        <v>7174779.7236251263</v>
      </c>
      <c r="AD2435" s="2">
        <f t="shared" ca="1" si="2384"/>
        <v>7694198.8934994172</v>
      </c>
      <c r="AE2435" s="2">
        <f t="shared" ca="1" si="2385"/>
        <v>8251221.4859769847</v>
      </c>
      <c r="AF2435" s="2">
        <f t="shared" ca="1" si="2386"/>
        <v>1007498.2523231271</v>
      </c>
      <c r="AG2435" s="2">
        <f t="shared" ca="1" si="2387"/>
        <v>1080436.2275683195</v>
      </c>
      <c r="AH2435" s="2">
        <f t="shared" ca="1" si="2388"/>
        <v>1158654.5576137323</v>
      </c>
      <c r="AI2435" s="2">
        <f t="shared" ca="1" si="2389"/>
        <v>1242535.5144750406</v>
      </c>
      <c r="AJ2435" s="2">
        <f t="shared" ca="1" si="2390"/>
        <v>1332489.0448033358</v>
      </c>
      <c r="AK2435" s="2">
        <f t="shared" ca="1" si="2391"/>
        <v>0</v>
      </c>
      <c r="AL2435" s="2">
        <f t="shared" ca="1" si="2392"/>
        <v>36468.987622596178</v>
      </c>
      <c r="AM2435" s="2">
        <f t="shared" ca="1" si="2393"/>
        <v>39109.165022706467</v>
      </c>
      <c r="AN2435" s="2">
        <f t="shared" ca="1" si="2394"/>
        <v>41940.478430654111</v>
      </c>
      <c r="AO2435" s="2">
        <f t="shared" ca="1" si="2395"/>
        <v>44976.765164147619</v>
      </c>
      <c r="AP2435" s="2">
        <f t="shared" ca="1" si="2396"/>
        <v>2301646.0060125692</v>
      </c>
      <c r="AQ2435" s="2">
        <f t="shared" ca="1" si="2397"/>
        <v>747307.36872436618</v>
      </c>
      <c r="AR2435" s="2">
        <f t="shared" ca="1" si="2398"/>
        <v>860169.23586725025</v>
      </c>
      <c r="AS2435" s="2">
        <f t="shared" ca="1" si="2399"/>
        <v>965764.58159969444</v>
      </c>
      <c r="AT2435" s="2">
        <f t="shared" ca="1" si="2400"/>
        <v>1079004.5169830702</v>
      </c>
      <c r="AU2435" s="2">
        <f t="shared" ca="1" si="2401"/>
        <v>1200442.4731418807</v>
      </c>
      <c r="AV2435" s="2">
        <f t="shared" ca="1" si="2402"/>
        <v>2126951.7417539647</v>
      </c>
      <c r="AW2435" s="2">
        <f t="shared" ca="1" si="2403"/>
        <v>2411704.9913841924</v>
      </c>
      <c r="AX2435" s="2">
        <f t="shared" ca="1" si="2404"/>
        <v>2709605.4133764235</v>
      </c>
      <c r="AY2435" s="2">
        <f t="shared" ca="1" si="2405"/>
        <v>3029072.3775980836</v>
      </c>
      <c r="AZ2435" s="2">
        <f t="shared" ca="1" si="2406"/>
        <v>3371667.1968550505</v>
      </c>
      <c r="BA2435" s="2">
        <f t="shared" ca="1" si="2407"/>
        <v>61658932.597486489</v>
      </c>
      <c r="BB2435" s="2">
        <f t="shared" ca="1" si="2408"/>
        <v>1233178.6519497298</v>
      </c>
      <c r="BC2435" s="2">
        <f t="shared" ca="1" si="2409"/>
        <v>34851909.434285983</v>
      </c>
      <c r="BD2435" s="2">
        <f t="shared" ca="1" si="2410"/>
        <v>-18614806.52880263</v>
      </c>
      <c r="BE2435" s="2">
        <f t="shared" ca="1" si="2411"/>
        <v>2126951.7417539647</v>
      </c>
      <c r="BF2435" s="2">
        <f t="shared" ca="1" si="2412"/>
        <v>2411704.9913841924</v>
      </c>
      <c r="BG2435" s="2">
        <f t="shared" ca="1" si="2413"/>
        <v>2709605.4133764235</v>
      </c>
      <c r="BH2435" s="2">
        <f t="shared" ca="1" si="2414"/>
        <v>3029072.3775980836</v>
      </c>
      <c r="BI2435" s="2">
        <f t="shared" ca="1" si="2415"/>
        <v>38223576.631141037</v>
      </c>
      <c r="BJ2435" s="2">
        <f t="shared" ca="1" si="2416"/>
        <v>0.2464900046482712</v>
      </c>
      <c r="BK2435" s="2">
        <f t="shared" ca="1" si="2417"/>
        <v>10749611.751422755</v>
      </c>
    </row>
    <row r="2436" spans="1:63" x14ac:dyDescent="0.3">
      <c r="A2436" s="2">
        <v>2435</v>
      </c>
      <c r="B2436" s="2">
        <f t="shared" ca="1" si="2356"/>
        <v>0.24384679955047761</v>
      </c>
      <c r="C2436" s="2">
        <f t="shared" ca="1" si="2357"/>
        <v>6.6983506276226539</v>
      </c>
      <c r="D2436" s="2">
        <f t="shared" ca="1" si="2358"/>
        <v>0.278217718799049</v>
      </c>
      <c r="E2436" s="2">
        <f t="shared" ca="1" si="2359"/>
        <v>7.2459460017977833</v>
      </c>
      <c r="F2436" s="2">
        <f t="shared" ca="1" si="2360"/>
        <v>4.1782493307230828E-2</v>
      </c>
      <c r="G2436" s="2">
        <f t="shared" ca="1" si="2361"/>
        <v>-1.1910966194242562E-2</v>
      </c>
      <c r="H2436" s="2">
        <f t="shared" ca="1" si="2362"/>
        <v>-1.1910966194242562E-2</v>
      </c>
      <c r="I2436" s="2">
        <f t="shared" ca="1" si="2363"/>
        <v>0.39223373576324316</v>
      </c>
      <c r="J2436" s="2">
        <f t="shared" ca="1" si="2364"/>
        <v>8.6324907570612744E-3</v>
      </c>
      <c r="K2436" s="2">
        <f t="shared" ca="1" si="2365"/>
        <v>8.6324907570612744E-3</v>
      </c>
      <c r="L2436" s="2">
        <f t="shared" ca="1" si="2366"/>
        <v>0.53263802523875059</v>
      </c>
      <c r="M2436" s="2">
        <f t="shared" ca="1" si="2367"/>
        <v>1.6380574668244344E-3</v>
      </c>
      <c r="N2436" s="2">
        <f t="shared" ca="1" si="2368"/>
        <v>1.6380574668244344E-3</v>
      </c>
      <c r="O2436" s="2">
        <f t="shared" si="2369"/>
        <v>6000000</v>
      </c>
      <c r="P2436" s="2">
        <f t="shared" ca="1" si="2370"/>
        <v>40190103.765735924</v>
      </c>
      <c r="Q2436" s="2">
        <f t="shared" ca="1" si="2371"/>
        <v>1004752.5941433981</v>
      </c>
      <c r="R2436" s="2">
        <f t="shared" ca="1" si="2372"/>
        <v>24114062.259441555</v>
      </c>
      <c r="S2436" s="2">
        <f t="shared" ca="1" si="2373"/>
        <v>16076041.50629437</v>
      </c>
      <c r="T2436" s="2">
        <f t="shared" ca="1" si="2374"/>
        <v>50081902.873341225</v>
      </c>
      <c r="U2436" s="2">
        <f t="shared" ca="1" si="2375"/>
        <v>49485379.021273516</v>
      </c>
      <c r="V2436" s="2">
        <f t="shared" ca="1" si="2376"/>
        <v>48895960.344641849</v>
      </c>
      <c r="W2436" s="2">
        <f t="shared" ca="1" si="2377"/>
        <v>48313562.213941798</v>
      </c>
      <c r="X2436" s="2">
        <f t="shared" ca="1" si="2378"/>
        <v>47738101.007688098</v>
      </c>
      <c r="Y2436" s="2">
        <f t="shared" ca="1" si="2379"/>
        <v>0.12431624537853063</v>
      </c>
      <c r="Z2436" s="2">
        <f t="shared" ca="1" si="2380"/>
        <v>0.12604274352994288</v>
      </c>
      <c r="AA2436" s="2">
        <f t="shared" ca="1" si="2381"/>
        <v>6225994.1266260259</v>
      </c>
      <c r="AB2436" s="2">
        <f t="shared" ca="1" si="2382"/>
        <v>6237272.9364603935</v>
      </c>
      <c r="AC2436" s="2">
        <f t="shared" ca="1" si="2383"/>
        <v>6162980.9893699503</v>
      </c>
      <c r="AD2436" s="2">
        <f t="shared" ca="1" si="2384"/>
        <v>6089573.931149805</v>
      </c>
      <c r="AE2436" s="2">
        <f t="shared" ca="1" si="2385"/>
        <v>6017041.2219185382</v>
      </c>
      <c r="AF2436" s="2">
        <f t="shared" ca="1" si="2386"/>
        <v>1001638.0574668245</v>
      </c>
      <c r="AG2436" s="2">
        <f t="shared" ca="1" si="2387"/>
        <v>989707.58042547037</v>
      </c>
      <c r="AH2436" s="2">
        <f t="shared" ca="1" si="2388"/>
        <v>977919.20689283696</v>
      </c>
      <c r="AI2436" s="2">
        <f t="shared" ca="1" si="2389"/>
        <v>966271.24427883595</v>
      </c>
      <c r="AJ2436" s="2">
        <f t="shared" ca="1" si="2390"/>
        <v>954762.02015376196</v>
      </c>
      <c r="AK2436" s="2">
        <f t="shared" ca="1" si="2391"/>
        <v>0</v>
      </c>
      <c r="AL2436" s="2">
        <f t="shared" ca="1" si="2392"/>
        <v>0</v>
      </c>
      <c r="AM2436" s="2">
        <f t="shared" ca="1" si="2393"/>
        <v>0</v>
      </c>
      <c r="AN2436" s="2">
        <f t="shared" ca="1" si="2394"/>
        <v>0</v>
      </c>
      <c r="AO2436" s="2">
        <f t="shared" ca="1" si="2395"/>
        <v>0</v>
      </c>
      <c r="AP2436" s="2">
        <f t="shared" ca="1" si="2396"/>
        <v>2170265.6033497397</v>
      </c>
      <c r="AQ2436" s="2">
        <f t="shared" ca="1" si="2397"/>
        <v>794063.52111046005</v>
      </c>
      <c r="AR2436" s="2">
        <f t="shared" ca="1" si="2398"/>
        <v>800097.93569814775</v>
      </c>
      <c r="AS2436" s="2">
        <f t="shared" ca="1" si="2399"/>
        <v>783847.00657311722</v>
      </c>
      <c r="AT2436" s="2">
        <f t="shared" ca="1" si="2400"/>
        <v>767789.6417155196</v>
      </c>
      <c r="AU2436" s="2">
        <f t="shared" ca="1" si="2401"/>
        <v>751923.53558790952</v>
      </c>
      <c r="AV2436" s="2">
        <f t="shared" ca="1" si="2402"/>
        <v>2260026.9446990015</v>
      </c>
      <c r="AW2436" s="2">
        <f t="shared" ca="1" si="2403"/>
        <v>2277201.8169870358</v>
      </c>
      <c r="AX2436" s="2">
        <f t="shared" ca="1" si="2404"/>
        <v>2230949.1725542564</v>
      </c>
      <c r="AY2436" s="2">
        <f t="shared" ca="1" si="2405"/>
        <v>2185247.4418057092</v>
      </c>
      <c r="AZ2436" s="2">
        <f t="shared" ca="1" si="2406"/>
        <v>2140090.0628271271</v>
      </c>
      <c r="BA2436" s="2">
        <f t="shared" ca="1" si="2407"/>
        <v>43599155.78461308</v>
      </c>
      <c r="BB2436" s="2">
        <f t="shared" ca="1" si="2408"/>
        <v>871983.11569226161</v>
      </c>
      <c r="BC2436" s="2">
        <f t="shared" ca="1" si="2409"/>
        <v>18613110.409479264</v>
      </c>
      <c r="BD2436" s="2">
        <f t="shared" ca="1" si="2410"/>
        <v>-17580794.100437768</v>
      </c>
      <c r="BE2436" s="2">
        <f t="shared" ca="1" si="2411"/>
        <v>2260026.9446990015</v>
      </c>
      <c r="BF2436" s="2">
        <f t="shared" ca="1" si="2412"/>
        <v>2277201.8169870358</v>
      </c>
      <c r="BG2436" s="2">
        <f t="shared" ca="1" si="2413"/>
        <v>2230949.1725542564</v>
      </c>
      <c r="BH2436" s="2">
        <f t="shared" ca="1" si="2414"/>
        <v>2185247.4418057092</v>
      </c>
      <c r="BI2436" s="2">
        <f t="shared" ca="1" si="2415"/>
        <v>20753200.472306393</v>
      </c>
      <c r="BJ2436" s="2">
        <f t="shared" ca="1" si="2416"/>
        <v>0.1356260769004487</v>
      </c>
      <c r="BK2436" s="2">
        <f t="shared" ca="1" si="2417"/>
        <v>1005091.5466902554</v>
      </c>
    </row>
    <row r="2437" spans="1:63" x14ac:dyDescent="0.3">
      <c r="A2437" s="2">
        <v>2436</v>
      </c>
      <c r="B2437" s="2">
        <f t="shared" ca="1" si="2356"/>
        <v>0.73216221390660285</v>
      </c>
      <c r="C2437" s="2">
        <f t="shared" ca="1" si="2357"/>
        <v>7.2681013921404176</v>
      </c>
      <c r="D2437" s="2">
        <f t="shared" ca="1" si="2358"/>
        <v>1.6724009073466384E-2</v>
      </c>
      <c r="E2437" s="2">
        <f t="shared" ca="1" si="2359"/>
        <v>6.6828879934466254</v>
      </c>
      <c r="F2437" s="2">
        <f t="shared" ca="1" si="2360"/>
        <v>0.38032978176747101</v>
      </c>
      <c r="G2437" s="2">
        <f t="shared" ca="1" si="2361"/>
        <v>3.0861556664959135E-2</v>
      </c>
      <c r="H2437" s="2">
        <f t="shared" ca="1" si="2362"/>
        <v>3.0861556664959135E-2</v>
      </c>
      <c r="I2437" s="2">
        <f t="shared" ca="1" si="2363"/>
        <v>0.32452502065305378</v>
      </c>
      <c r="J2437" s="2">
        <f t="shared" ca="1" si="2364"/>
        <v>7.7245885694222256E-3</v>
      </c>
      <c r="K2437" s="2">
        <f t="shared" ca="1" si="2365"/>
        <v>7.7245885694222256E-3</v>
      </c>
      <c r="L2437" s="2">
        <f t="shared" ca="1" si="2366"/>
        <v>0.11235248866268022</v>
      </c>
      <c r="M2437" s="2">
        <f t="shared" ca="1" si="2367"/>
        <v>-2.4282239000028159E-2</v>
      </c>
      <c r="N2437" s="2">
        <f t="shared" ca="1" si="2368"/>
        <v>-2.4282239000028159E-2</v>
      </c>
      <c r="O2437" s="2">
        <f t="shared" si="2369"/>
        <v>6000000</v>
      </c>
      <c r="P2437" s="2">
        <f t="shared" ca="1" si="2370"/>
        <v>43608608.352842502</v>
      </c>
      <c r="Q2437" s="2">
        <f t="shared" ca="1" si="2371"/>
        <v>1090215.2088210627</v>
      </c>
      <c r="R2437" s="2">
        <f t="shared" ca="1" si="2372"/>
        <v>26165165.011705499</v>
      </c>
      <c r="S2437" s="2">
        <f t="shared" ca="1" si="2373"/>
        <v>17443443.341137003</v>
      </c>
      <c r="T2437" s="2">
        <f t="shared" ca="1" si="2374"/>
        <v>48785888.049998596</v>
      </c>
      <c r="U2437" s="2">
        <f t="shared" ca="1" si="2375"/>
        <v>50291496.498503976</v>
      </c>
      <c r="V2437" s="2">
        <f t="shared" ca="1" si="2376"/>
        <v>51843570.367458142</v>
      </c>
      <c r="W2437" s="2">
        <f t="shared" ca="1" si="2377"/>
        <v>53443543.652067244</v>
      </c>
      <c r="X2437" s="2">
        <f t="shared" ca="1" si="2378"/>
        <v>55092894.602861732</v>
      </c>
      <c r="Y2437" s="2">
        <f t="shared" ca="1" si="2379"/>
        <v>0.12386229428471111</v>
      </c>
      <c r="Z2437" s="2">
        <f t="shared" ca="1" si="2380"/>
        <v>0.12540721199859556</v>
      </c>
      <c r="AA2437" s="2">
        <f t="shared" ca="1" si="2381"/>
        <v>6042732.0225898977</v>
      </c>
      <c r="AB2437" s="2">
        <f t="shared" ca="1" si="2382"/>
        <v>6306916.3631145144</v>
      </c>
      <c r="AC2437" s="2">
        <f t="shared" ca="1" si="2383"/>
        <v>6501557.6198359299</v>
      </c>
      <c r="AD2437" s="2">
        <f t="shared" ca="1" si="2384"/>
        <v>6702205.8087309925</v>
      </c>
      <c r="AE2437" s="2">
        <f t="shared" ca="1" si="2385"/>
        <v>6909046.3130773623</v>
      </c>
      <c r="AF2437" s="2">
        <f t="shared" ca="1" si="2386"/>
        <v>975717.760999972</v>
      </c>
      <c r="AG2437" s="2">
        <f t="shared" ca="1" si="2387"/>
        <v>1005829.9299700796</v>
      </c>
      <c r="AH2437" s="2">
        <f t="shared" ca="1" si="2388"/>
        <v>1036871.4073491629</v>
      </c>
      <c r="AI2437" s="2">
        <f t="shared" ca="1" si="2389"/>
        <v>1068870.8730413448</v>
      </c>
      <c r="AJ2437" s="2">
        <f t="shared" ca="1" si="2390"/>
        <v>1101857.8920572347</v>
      </c>
      <c r="AK2437" s="2">
        <f t="shared" ca="1" si="2391"/>
        <v>0</v>
      </c>
      <c r="AL2437" s="2">
        <f t="shared" ca="1" si="2392"/>
        <v>15056.084485053792</v>
      </c>
      <c r="AM2437" s="2">
        <f t="shared" ca="1" si="2393"/>
        <v>15520.738689541668</v>
      </c>
      <c r="AN2437" s="2">
        <f t="shared" ca="1" si="2394"/>
        <v>15999.732846091018</v>
      </c>
      <c r="AO2437" s="2">
        <f t="shared" ca="1" si="2395"/>
        <v>16493.509507944884</v>
      </c>
      <c r="AP2437" s="2">
        <f t="shared" ca="1" si="2396"/>
        <v>2354864.851053495</v>
      </c>
      <c r="AQ2437" s="2">
        <f t="shared" ca="1" si="2397"/>
        <v>705158.84673947201</v>
      </c>
      <c r="AR2437" s="2">
        <f t="shared" ca="1" si="2398"/>
        <v>766017.61134364456</v>
      </c>
      <c r="AS2437" s="2">
        <f t="shared" ca="1" si="2399"/>
        <v>808553.55397265078</v>
      </c>
      <c r="AT2437" s="2">
        <f t="shared" ca="1" si="2400"/>
        <v>852402.22200539976</v>
      </c>
      <c r="AU2437" s="2">
        <f t="shared" ca="1" si="2401"/>
        <v>897604.12819132453</v>
      </c>
      <c r="AV2437" s="2">
        <f t="shared" ca="1" si="2402"/>
        <v>2006990.5637969589</v>
      </c>
      <c r="AW2437" s="2">
        <f t="shared" ca="1" si="2403"/>
        <v>2165147.8862622418</v>
      </c>
      <c r="AX2437" s="2">
        <f t="shared" ca="1" si="2404"/>
        <v>2285747.0687710792</v>
      </c>
      <c r="AY2437" s="2">
        <f t="shared" ca="1" si="2405"/>
        <v>2410068.1297846623</v>
      </c>
      <c r="AZ2437" s="2">
        <f t="shared" ca="1" si="2406"/>
        <v>2538225.9322673632</v>
      </c>
      <c r="BA2437" s="2">
        <f t="shared" ca="1" si="2407"/>
        <v>46172382.651831381</v>
      </c>
      <c r="BB2437" s="2">
        <f t="shared" ca="1" si="2408"/>
        <v>923447.65303662769</v>
      </c>
      <c r="BC2437" s="2">
        <f t="shared" ca="1" si="2409"/>
        <v>19083769.987089254</v>
      </c>
      <c r="BD2437" s="2">
        <f t="shared" ca="1" si="2410"/>
        <v>-19033658.549958065</v>
      </c>
      <c r="BE2437" s="2">
        <f t="shared" ca="1" si="2411"/>
        <v>2006990.5637969589</v>
      </c>
      <c r="BF2437" s="2">
        <f t="shared" ca="1" si="2412"/>
        <v>2165147.8862622418</v>
      </c>
      <c r="BG2437" s="2">
        <f t="shared" ca="1" si="2413"/>
        <v>2285747.0687710792</v>
      </c>
      <c r="BH2437" s="2">
        <f t="shared" ca="1" si="2414"/>
        <v>2410068.1297846623</v>
      </c>
      <c r="BI2437" s="2">
        <f t="shared" ca="1" si="2415"/>
        <v>21621995.919356618</v>
      </c>
      <c r="BJ2437" s="2">
        <f t="shared" ca="1" si="2416"/>
        <v>0.11873142589784025</v>
      </c>
      <c r="BK2437" s="2">
        <f t="shared" ca="1" si="2417"/>
        <v>-88167.409909237176</v>
      </c>
    </row>
    <row r="2438" spans="1:63" x14ac:dyDescent="0.3">
      <c r="A2438" s="2">
        <v>2437</v>
      </c>
      <c r="B2438" s="2">
        <f t="shared" ca="1" si="2356"/>
        <v>0.30955869370874767</v>
      </c>
      <c r="C2438" s="2">
        <f t="shared" ca="1" si="2357"/>
        <v>6.7868401282455642</v>
      </c>
      <c r="D2438" s="2">
        <f t="shared" ca="1" si="2358"/>
        <v>0.96677150327171879</v>
      </c>
      <c r="E2438" s="2">
        <f t="shared" ca="1" si="2359"/>
        <v>8.2422074604326916</v>
      </c>
      <c r="F2438" s="2">
        <f t="shared" ca="1" si="2360"/>
        <v>0.58002274343530191</v>
      </c>
      <c r="G2438" s="2">
        <f t="shared" ca="1" si="2361"/>
        <v>4.605854987861295E-2</v>
      </c>
      <c r="H2438" s="2">
        <f t="shared" ca="1" si="2362"/>
        <v>4.605854987861295E-2</v>
      </c>
      <c r="I2438" s="2">
        <f t="shared" ca="1" si="2363"/>
        <v>0.80723792025345553</v>
      </c>
      <c r="J2438" s="2">
        <f t="shared" ca="1" si="2364"/>
        <v>1.4338814357626357E-2</v>
      </c>
      <c r="K2438" s="2">
        <f t="shared" ca="1" si="2365"/>
        <v>1.4338814357626357E-2</v>
      </c>
      <c r="L2438" s="2">
        <f t="shared" ca="1" si="2366"/>
        <v>0.54364903993708502</v>
      </c>
      <c r="M2438" s="2">
        <f t="shared" ca="1" si="2367"/>
        <v>2.1926226292922381E-3</v>
      </c>
      <c r="N2438" s="2">
        <f t="shared" ca="1" si="2368"/>
        <v>2.1926226292922381E-3</v>
      </c>
      <c r="O2438" s="2">
        <f t="shared" si="2369"/>
        <v>6000000</v>
      </c>
      <c r="P2438" s="2">
        <f t="shared" ca="1" si="2370"/>
        <v>40721040.769473381</v>
      </c>
      <c r="Q2438" s="2">
        <f t="shared" ca="1" si="2371"/>
        <v>1018026.0192368346</v>
      </c>
      <c r="R2438" s="2">
        <f t="shared" ca="1" si="2372"/>
        <v>24432624.46168403</v>
      </c>
      <c r="S2438" s="2">
        <f t="shared" ca="1" si="2373"/>
        <v>16288416.307789354</v>
      </c>
      <c r="T2438" s="2">
        <f t="shared" ca="1" si="2374"/>
        <v>50109631.131464615</v>
      </c>
      <c r="U2438" s="2">
        <f t="shared" ca="1" si="2375"/>
        <v>52417608.076332077</v>
      </c>
      <c r="V2438" s="2">
        <f t="shared" ca="1" si="2376"/>
        <v>54831887.092433408</v>
      </c>
      <c r="W2438" s="2">
        <f t="shared" ca="1" si="2377"/>
        <v>57357364.299018726</v>
      </c>
      <c r="X2438" s="2">
        <f t="shared" ca="1" si="2378"/>
        <v>59999161.323490858</v>
      </c>
      <c r="Y2438" s="2">
        <f t="shared" ca="1" si="2379"/>
        <v>0.12716940717881317</v>
      </c>
      <c r="Z2438" s="2">
        <f t="shared" ca="1" si="2380"/>
        <v>0.13003717005033844</v>
      </c>
      <c r="AA2438" s="2">
        <f t="shared" ca="1" si="2381"/>
        <v>6372412.0849373564</v>
      </c>
      <c r="AB2438" s="2">
        <f t="shared" ca="1" si="2382"/>
        <v>6816237.4150539879</v>
      </c>
      <c r="AC2438" s="2">
        <f t="shared" ca="1" si="2383"/>
        <v>7130183.4260197198</v>
      </c>
      <c r="AD2438" s="2">
        <f t="shared" ca="1" si="2384"/>
        <v>7458589.3349907091</v>
      </c>
      <c r="AE2438" s="2">
        <f t="shared" ca="1" si="2385"/>
        <v>7802121.1439004699</v>
      </c>
      <c r="AF2438" s="2">
        <f t="shared" ca="1" si="2386"/>
        <v>1002192.6226292923</v>
      </c>
      <c r="AG2438" s="2">
        <f t="shared" ca="1" si="2387"/>
        <v>1048352.1615266416</v>
      </c>
      <c r="AH2438" s="2">
        <f t="shared" ca="1" si="2388"/>
        <v>1096637.7418486681</v>
      </c>
      <c r="AI2438" s="2">
        <f t="shared" ca="1" si="2389"/>
        <v>1147147.2859803746</v>
      </c>
      <c r="AJ2438" s="2">
        <f t="shared" ca="1" si="2390"/>
        <v>1199983.2264698171</v>
      </c>
      <c r="AK2438" s="2">
        <f t="shared" ca="1" si="2391"/>
        <v>0</v>
      </c>
      <c r="AL2438" s="2">
        <f t="shared" ca="1" si="2392"/>
        <v>23079.769448674619</v>
      </c>
      <c r="AM2438" s="2">
        <f t="shared" ca="1" si="2393"/>
        <v>24142.790161013305</v>
      </c>
      <c r="AN2438" s="2">
        <f t="shared" ca="1" si="2394"/>
        <v>25254.77206585318</v>
      </c>
      <c r="AO2438" s="2">
        <f t="shared" ca="1" si="2395"/>
        <v>26417.970244721324</v>
      </c>
      <c r="AP2438" s="2">
        <f t="shared" ca="1" si="2396"/>
        <v>2198936.2015515626</v>
      </c>
      <c r="AQ2438" s="2">
        <f t="shared" ca="1" si="2397"/>
        <v>824533.64779669046</v>
      </c>
      <c r="AR2438" s="2">
        <f t="shared" ca="1" si="2398"/>
        <v>927926.7535137037</v>
      </c>
      <c r="AS2438" s="2">
        <f t="shared" ca="1" si="2399"/>
        <v>996998.46548106719</v>
      </c>
      <c r="AT2438" s="2">
        <f t="shared" ca="1" si="2400"/>
        <v>1069251.5203392808</v>
      </c>
      <c r="AU2438" s="2">
        <f t="shared" ca="1" si="2401"/>
        <v>1144832.4461285635</v>
      </c>
      <c r="AV2438" s="2">
        <f t="shared" ca="1" si="2402"/>
        <v>2346749.612959811</v>
      </c>
      <c r="AW2438" s="2">
        <f t="shared" ca="1" si="2403"/>
        <v>2617942.5290134051</v>
      </c>
      <c r="AX2438" s="2">
        <f t="shared" ca="1" si="2404"/>
        <v>2813468.2269774084</v>
      </c>
      <c r="AY2438" s="2">
        <f t="shared" ca="1" si="2405"/>
        <v>3017999.5550536378</v>
      </c>
      <c r="AZ2438" s="2">
        <f t="shared" ca="1" si="2406"/>
        <v>3231951.2995058051</v>
      </c>
      <c r="BA2438" s="2">
        <f t="shared" ca="1" si="2407"/>
        <v>64306701.099456102</v>
      </c>
      <c r="BB2438" s="2">
        <f t="shared" ca="1" si="2408"/>
        <v>1286134.021989122</v>
      </c>
      <c r="BC2438" s="2">
        <f t="shared" ca="1" si="2409"/>
        <v>38587942.615782946</v>
      </c>
      <c r="BD2438" s="2">
        <f t="shared" ca="1" si="2410"/>
        <v>-17806442.327026188</v>
      </c>
      <c r="BE2438" s="2">
        <f t="shared" ca="1" si="2411"/>
        <v>2346749.612959811</v>
      </c>
      <c r="BF2438" s="2">
        <f t="shared" ca="1" si="2412"/>
        <v>2617942.5290134051</v>
      </c>
      <c r="BG2438" s="2">
        <f t="shared" ca="1" si="2413"/>
        <v>2813468.2269774084</v>
      </c>
      <c r="BH2438" s="2">
        <f t="shared" ca="1" si="2414"/>
        <v>3017999.5550536378</v>
      </c>
      <c r="BI2438" s="2">
        <f t="shared" ca="1" si="2415"/>
        <v>41819893.915288754</v>
      </c>
      <c r="BJ2438" s="2">
        <f t="shared" ca="1" si="2416"/>
        <v>0.28454983775075671</v>
      </c>
      <c r="BK2438" s="2">
        <f t="shared" ca="1" si="2417"/>
        <v>14026172.883817267</v>
      </c>
    </row>
    <row r="2439" spans="1:63" x14ac:dyDescent="0.3">
      <c r="A2439" s="2">
        <v>2438</v>
      </c>
      <c r="B2439" s="2">
        <f t="shared" ca="1" si="2356"/>
        <v>0.98111156707271141</v>
      </c>
      <c r="C2439" s="2">
        <f t="shared" ca="1" si="2357"/>
        <v>7.8056372827557272</v>
      </c>
      <c r="D2439" s="2">
        <f t="shared" ca="1" si="2358"/>
        <v>3.2456856840921144E-2</v>
      </c>
      <c r="E2439" s="2">
        <f t="shared" ca="1" si="2359"/>
        <v>6.7547816980904285</v>
      </c>
      <c r="F2439" s="2">
        <f t="shared" ca="1" si="2360"/>
        <v>0.54537354071949795</v>
      </c>
      <c r="G2439" s="2">
        <f t="shared" ca="1" si="2361"/>
        <v>4.3419427597538252E-2</v>
      </c>
      <c r="H2439" s="2">
        <f t="shared" ca="1" si="2362"/>
        <v>4.3419427597538252E-2</v>
      </c>
      <c r="I2439" s="2">
        <f t="shared" ca="1" si="2363"/>
        <v>5.9942627095736944E-2</v>
      </c>
      <c r="J2439" s="2">
        <f t="shared" ca="1" si="2364"/>
        <v>2.223722986988798E-3</v>
      </c>
      <c r="K2439" s="2">
        <f t="shared" ca="1" si="2365"/>
        <v>2.223722986988798E-3</v>
      </c>
      <c r="L2439" s="2">
        <f t="shared" ca="1" si="2366"/>
        <v>0.96381549270038602</v>
      </c>
      <c r="M2439" s="2">
        <f t="shared" ca="1" si="2367"/>
        <v>3.5935793692217437E-2</v>
      </c>
      <c r="N2439" s="2">
        <f t="shared" ca="1" si="2368"/>
        <v>3.5935793692217437E-2</v>
      </c>
      <c r="O2439" s="2">
        <f t="shared" si="2369"/>
        <v>6000000</v>
      </c>
      <c r="P2439" s="2">
        <f t="shared" ca="1" si="2370"/>
        <v>46833823.696534365</v>
      </c>
      <c r="Q2439" s="2">
        <f t="shared" ca="1" si="2371"/>
        <v>1170845.5924133591</v>
      </c>
      <c r="R2439" s="2">
        <f t="shared" ca="1" si="2372"/>
        <v>28100294.21792062</v>
      </c>
      <c r="S2439" s="2">
        <f t="shared" ca="1" si="2373"/>
        <v>18733529.478613745</v>
      </c>
      <c r="T2439" s="2">
        <f t="shared" ca="1" si="2374"/>
        <v>51796789.684610866</v>
      </c>
      <c r="U2439" s="2">
        <f t="shared" ca="1" si="2375"/>
        <v>54045776.644106746</v>
      </c>
      <c r="V2439" s="2">
        <f t="shared" ca="1" si="2376"/>
        <v>56392413.330058269</v>
      </c>
      <c r="W2439" s="2">
        <f t="shared" ca="1" si="2377"/>
        <v>58840939.637693189</v>
      </c>
      <c r="X2439" s="2">
        <f t="shared" ca="1" si="2378"/>
        <v>61395779.55606313</v>
      </c>
      <c r="Y2439" s="2">
        <f t="shared" ca="1" si="2379"/>
        <v>0.1211118614934944</v>
      </c>
      <c r="Z2439" s="2">
        <f t="shared" ca="1" si="2380"/>
        <v>0.12155660609089215</v>
      </c>
      <c r="AA2439" s="2">
        <f t="shared" ca="1" si="2381"/>
        <v>6273205.6180902505</v>
      </c>
      <c r="AB2439" s="2">
        <f t="shared" ca="1" si="2382"/>
        <v>6569621.1824040227</v>
      </c>
      <c r="AC2439" s="2">
        <f t="shared" ca="1" si="2383"/>
        <v>6854870.3736766689</v>
      </c>
      <c r="AD2439" s="2">
        <f t="shared" ca="1" si="2384"/>
        <v>7152504.9215570334</v>
      </c>
      <c r="AE2439" s="2">
        <f t="shared" ca="1" si="2385"/>
        <v>7463062.5911396155</v>
      </c>
      <c r="AF2439" s="2">
        <f t="shared" ca="1" si="2386"/>
        <v>1035935.7936922173</v>
      </c>
      <c r="AG2439" s="2">
        <f t="shared" ca="1" si="2387"/>
        <v>1080915.5328821349</v>
      </c>
      <c r="AH2439" s="2">
        <f t="shared" ca="1" si="2388"/>
        <v>1127848.2666011655</v>
      </c>
      <c r="AI2439" s="2">
        <f t="shared" ca="1" si="2389"/>
        <v>1176818.7927538638</v>
      </c>
      <c r="AJ2439" s="2">
        <f t="shared" ca="1" si="2390"/>
        <v>1227915.5911212626</v>
      </c>
      <c r="AK2439" s="2">
        <f t="shared" ca="1" si="2391"/>
        <v>0</v>
      </c>
      <c r="AL2439" s="2">
        <f t="shared" ca="1" si="2392"/>
        <v>22489.869594958796</v>
      </c>
      <c r="AM2439" s="2">
        <f t="shared" ca="1" si="2393"/>
        <v>23466.366859515234</v>
      </c>
      <c r="AN2439" s="2">
        <f t="shared" ca="1" si="2394"/>
        <v>24485.263076349198</v>
      </c>
      <c r="AO2439" s="2">
        <f t="shared" ca="1" si="2395"/>
        <v>25548.399183699414</v>
      </c>
      <c r="AP2439" s="2">
        <f t="shared" ca="1" si="2396"/>
        <v>2529026.4796128557</v>
      </c>
      <c r="AQ2439" s="2">
        <f t="shared" ca="1" si="2397"/>
        <v>704143.2696441462</v>
      </c>
      <c r="AR2439" s="2">
        <f t="shared" ca="1" si="2398"/>
        <v>769516.58417634829</v>
      </c>
      <c r="AS2439" s="2">
        <f t="shared" ca="1" si="2399"/>
        <v>831478.86314028839</v>
      </c>
      <c r="AT2439" s="2">
        <f t="shared" ca="1" si="2400"/>
        <v>896131.5087894816</v>
      </c>
      <c r="AU2439" s="2">
        <f t="shared" ca="1" si="2401"/>
        <v>963591.33530542918</v>
      </c>
      <c r="AV2439" s="2">
        <f t="shared" ca="1" si="2402"/>
        <v>2004100.0751410318</v>
      </c>
      <c r="AW2439" s="2">
        <f t="shared" ca="1" si="2403"/>
        <v>2167672.7161377245</v>
      </c>
      <c r="AX2439" s="2">
        <f t="shared" ca="1" si="2404"/>
        <v>2343050.3974628435</v>
      </c>
      <c r="AY2439" s="2">
        <f t="shared" ca="1" si="2405"/>
        <v>2526042.8773244829</v>
      </c>
      <c r="AZ2439" s="2">
        <f t="shared" ca="1" si="2406"/>
        <v>2716980.785916368</v>
      </c>
      <c r="BA2439" s="2">
        <f t="shared" ca="1" si="2407"/>
        <v>50411358.602333203</v>
      </c>
      <c r="BB2439" s="2">
        <f t="shared" ca="1" si="2408"/>
        <v>1008227.1720466641</v>
      </c>
      <c r="BC2439" s="2">
        <f t="shared" ca="1" si="2409"/>
        <v>21302837.212365918</v>
      </c>
      <c r="BD2439" s="2">
        <f t="shared" ca="1" si="2410"/>
        <v>-20404375.071027104</v>
      </c>
      <c r="BE2439" s="2">
        <f t="shared" ca="1" si="2411"/>
        <v>2004100.0751410318</v>
      </c>
      <c r="BF2439" s="2">
        <f t="shared" ca="1" si="2412"/>
        <v>2167672.7161377245</v>
      </c>
      <c r="BG2439" s="2">
        <f t="shared" ca="1" si="2413"/>
        <v>2343050.3974628435</v>
      </c>
      <c r="BH2439" s="2">
        <f t="shared" ca="1" si="2414"/>
        <v>2526042.8773244829</v>
      </c>
      <c r="BI2439" s="2">
        <f t="shared" ca="1" si="2415"/>
        <v>24019817.998282287</v>
      </c>
      <c r="BJ2439" s="2">
        <f t="shared" ca="1" si="2416"/>
        <v>0.12020647304673027</v>
      </c>
      <c r="BK2439" s="2">
        <f t="shared" ca="1" si="2417"/>
        <v>15628.123511701822</v>
      </c>
    </row>
    <row r="2440" spans="1:63" x14ac:dyDescent="0.3">
      <c r="A2440" s="2">
        <v>2439</v>
      </c>
      <c r="B2440" s="2">
        <f t="shared" ca="1" si="2356"/>
        <v>0.90210066235621489</v>
      </c>
      <c r="C2440" s="2">
        <f t="shared" ca="1" si="2357"/>
        <v>7.5575085590798734</v>
      </c>
      <c r="D2440" s="2">
        <f t="shared" ca="1" si="2358"/>
        <v>0.48001693471470774</v>
      </c>
      <c r="E2440" s="2">
        <f t="shared" ca="1" si="2359"/>
        <v>7.4798131808816493</v>
      </c>
      <c r="F2440" s="2">
        <f t="shared" ca="1" si="2360"/>
        <v>8.4253052641184212E-2</v>
      </c>
      <c r="G2440" s="2">
        <f t="shared" ca="1" si="2361"/>
        <v>-1.3105960401875241E-3</v>
      </c>
      <c r="H2440" s="2">
        <f t="shared" ca="1" si="2362"/>
        <v>-1.3105960401875241E-3</v>
      </c>
      <c r="I2440" s="2">
        <f t="shared" ca="1" si="2363"/>
        <v>0.15314849153133225</v>
      </c>
      <c r="J2440" s="2">
        <f t="shared" ca="1" si="2364"/>
        <v>4.8848851249218917E-3</v>
      </c>
      <c r="K2440" s="2">
        <f t="shared" ca="1" si="2365"/>
        <v>4.8848851249218917E-3</v>
      </c>
      <c r="L2440" s="2">
        <f t="shared" ca="1" si="2366"/>
        <v>0.45670259139323466</v>
      </c>
      <c r="M2440" s="2">
        <f t="shared" ca="1" si="2367"/>
        <v>-2.1748890528488149E-3</v>
      </c>
      <c r="N2440" s="2">
        <f t="shared" ca="1" si="2368"/>
        <v>-2.1748890528488149E-3</v>
      </c>
      <c r="O2440" s="2">
        <f t="shared" si="2369"/>
        <v>6000000</v>
      </c>
      <c r="P2440" s="2">
        <f t="shared" ca="1" si="2370"/>
        <v>45345051.354479238</v>
      </c>
      <c r="Q2440" s="2">
        <f t="shared" ca="1" si="2371"/>
        <v>1133626.283861981</v>
      </c>
      <c r="R2440" s="2">
        <f t="shared" ca="1" si="2372"/>
        <v>27207030.812687542</v>
      </c>
      <c r="S2440" s="2">
        <f t="shared" ca="1" si="2373"/>
        <v>18138020.541791696</v>
      </c>
      <c r="T2440" s="2">
        <f t="shared" ca="1" si="2374"/>
        <v>49891255.547357559</v>
      </c>
      <c r="U2440" s="2">
        <f t="shared" ca="1" si="2375"/>
        <v>49825868.265397206</v>
      </c>
      <c r="V2440" s="2">
        <f t="shared" ca="1" si="2376"/>
        <v>49760566.679749668</v>
      </c>
      <c r="W2440" s="2">
        <f t="shared" ca="1" si="2377"/>
        <v>49695350.678101696</v>
      </c>
      <c r="X2440" s="2">
        <f t="shared" ca="1" si="2378"/>
        <v>49630220.148287244</v>
      </c>
      <c r="Y2440" s="2">
        <f t="shared" ca="1" si="2379"/>
        <v>0.12244244256246094</v>
      </c>
      <c r="Z2440" s="2">
        <f t="shared" ca="1" si="2380"/>
        <v>0.12341941958744532</v>
      </c>
      <c r="AA2440" s="2">
        <f t="shared" ca="1" si="2381"/>
        <v>6108807.1917263884</v>
      </c>
      <c r="AB2440" s="2">
        <f t="shared" ca="1" si="2382"/>
        <v>6149479.7417558338</v>
      </c>
      <c r="AC2440" s="2">
        <f t="shared" ca="1" si="2383"/>
        <v>6141420.2579570748</v>
      </c>
      <c r="AD2440" s="2">
        <f t="shared" ca="1" si="2384"/>
        <v>6133371.3368858686</v>
      </c>
      <c r="AE2440" s="2">
        <f t="shared" ca="1" si="2385"/>
        <v>6125332.9646987459</v>
      </c>
      <c r="AF2440" s="2">
        <f t="shared" ca="1" si="2386"/>
        <v>997825.1109471512</v>
      </c>
      <c r="AG2440" s="2">
        <f t="shared" ca="1" si="2387"/>
        <v>996517.36530794413</v>
      </c>
      <c r="AH2440" s="2">
        <f t="shared" ca="1" si="2388"/>
        <v>995211.33359499334</v>
      </c>
      <c r="AI2440" s="2">
        <f t="shared" ca="1" si="2389"/>
        <v>993907.01356203388</v>
      </c>
      <c r="AJ2440" s="2">
        <f t="shared" ca="1" si="2390"/>
        <v>992604.40296574496</v>
      </c>
      <c r="AK2440" s="2">
        <f t="shared" ca="1" si="2391"/>
        <v>0</v>
      </c>
      <c r="AL2440" s="2">
        <f t="shared" ca="1" si="2392"/>
        <v>0</v>
      </c>
      <c r="AM2440" s="2">
        <f t="shared" ca="1" si="2393"/>
        <v>0</v>
      </c>
      <c r="AN2440" s="2">
        <f t="shared" ca="1" si="2394"/>
        <v>0</v>
      </c>
      <c r="AO2440" s="2">
        <f t="shared" ca="1" si="2395"/>
        <v>0</v>
      </c>
      <c r="AP2440" s="2">
        <f t="shared" ca="1" si="2396"/>
        <v>2448632.7731418787</v>
      </c>
      <c r="AQ2440" s="2">
        <f t="shared" ca="1" si="2397"/>
        <v>692210.81998571334</v>
      </c>
      <c r="AR2440" s="2">
        <f t="shared" ca="1" si="2398"/>
        <v>703125.696859563</v>
      </c>
      <c r="AS2440" s="2">
        <f t="shared" ca="1" si="2399"/>
        <v>701369.79931725271</v>
      </c>
      <c r="AT2440" s="2">
        <f t="shared" ca="1" si="2400"/>
        <v>699616.20304730861</v>
      </c>
      <c r="AU2440" s="2">
        <f t="shared" ca="1" si="2401"/>
        <v>697864.90503369179</v>
      </c>
      <c r="AV2440" s="2">
        <f t="shared" ca="1" si="2402"/>
        <v>1970138.4876516452</v>
      </c>
      <c r="AW2440" s="2">
        <f t="shared" ca="1" si="2403"/>
        <v>2001203.9064464485</v>
      </c>
      <c r="AX2440" s="2">
        <f t="shared" ca="1" si="2404"/>
        <v>1996206.3519029496</v>
      </c>
      <c r="AY2440" s="2">
        <f t="shared" ca="1" si="2405"/>
        <v>1991215.347134647</v>
      </c>
      <c r="AZ2440" s="2">
        <f t="shared" ca="1" si="2406"/>
        <v>1986230.8835574305</v>
      </c>
      <c r="BA2440" s="2">
        <f t="shared" ca="1" si="2407"/>
        <v>45816346.246642552</v>
      </c>
      <c r="BB2440" s="2">
        <f t="shared" ca="1" si="2408"/>
        <v>916326.92493285111</v>
      </c>
      <c r="BC2440" s="2">
        <f t="shared" ca="1" si="2409"/>
        <v>17692988.509022158</v>
      </c>
      <c r="BD2440" s="2">
        <f t="shared" ca="1" si="2410"/>
        <v>-19771646.825653676</v>
      </c>
      <c r="BE2440" s="2">
        <f t="shared" ca="1" si="2411"/>
        <v>1970138.4876516452</v>
      </c>
      <c r="BF2440" s="2">
        <f t="shared" ca="1" si="2412"/>
        <v>2001203.9064464485</v>
      </c>
      <c r="BG2440" s="2">
        <f t="shared" ca="1" si="2413"/>
        <v>1996206.3519029496</v>
      </c>
      <c r="BH2440" s="2">
        <f t="shared" ca="1" si="2414"/>
        <v>1991215.347134647</v>
      </c>
      <c r="BI2440" s="2">
        <f t="shared" ca="1" si="2415"/>
        <v>19679219.392579589</v>
      </c>
      <c r="BJ2440" s="2">
        <f t="shared" ca="1" si="2416"/>
        <v>8.2755967061363567E-2</v>
      </c>
      <c r="BK2440" s="2">
        <f t="shared" ca="1" si="2417"/>
        <v>-2564415.9167125188</v>
      </c>
    </row>
    <row r="2441" spans="1:63" x14ac:dyDescent="0.3">
      <c r="A2441" s="2">
        <v>2440</v>
      </c>
      <c r="B2441" s="2">
        <f t="shared" ca="1" si="2356"/>
        <v>0.65715839638111007</v>
      </c>
      <c r="C2441" s="2">
        <f t="shared" ca="1" si="2357"/>
        <v>7.1719400944147944</v>
      </c>
      <c r="D2441" s="2">
        <f t="shared" ca="1" si="2358"/>
        <v>0.76359551182589802</v>
      </c>
      <c r="E2441" s="2">
        <f t="shared" ca="1" si="2359"/>
        <v>7.8123889352633977</v>
      </c>
      <c r="F2441" s="2">
        <f t="shared" ca="1" si="2360"/>
        <v>0.16023994458693025</v>
      </c>
      <c r="G2441" s="2">
        <f t="shared" ca="1" si="2361"/>
        <v>1.0195833845713702E-2</v>
      </c>
      <c r="H2441" s="2">
        <f t="shared" ca="1" si="2362"/>
        <v>1.0195833845713702E-2</v>
      </c>
      <c r="I2441" s="2">
        <f t="shared" ca="1" si="2363"/>
        <v>0.58379422528935365</v>
      </c>
      <c r="J2441" s="2">
        <f t="shared" ca="1" si="2364"/>
        <v>1.1058048447304326E-2</v>
      </c>
      <c r="K2441" s="2">
        <f t="shared" ca="1" si="2365"/>
        <v>1.1058048447304326E-2</v>
      </c>
      <c r="L2441" s="2">
        <f t="shared" ca="1" si="2366"/>
        <v>0.49642719061151597</v>
      </c>
      <c r="M2441" s="2">
        <f t="shared" ca="1" si="2367"/>
        <v>-1.7911649502540863E-4</v>
      </c>
      <c r="N2441" s="2">
        <f t="shared" ca="1" si="2368"/>
        <v>-1.7911649502540863E-4</v>
      </c>
      <c r="O2441" s="2">
        <f t="shared" si="2369"/>
        <v>6000000</v>
      </c>
      <c r="P2441" s="2">
        <f t="shared" ca="1" si="2370"/>
        <v>43031640.566488765</v>
      </c>
      <c r="Q2441" s="2">
        <f t="shared" ca="1" si="2371"/>
        <v>1075791.0141622191</v>
      </c>
      <c r="R2441" s="2">
        <f t="shared" ca="1" si="2372"/>
        <v>25818984.339893259</v>
      </c>
      <c r="S2441" s="2">
        <f t="shared" ca="1" si="2373"/>
        <v>17212656.226595506</v>
      </c>
      <c r="T2441" s="2">
        <f t="shared" ca="1" si="2374"/>
        <v>49991044.175248727</v>
      </c>
      <c r="U2441" s="2">
        <f t="shared" ca="1" si="2375"/>
        <v>50500744.555433303</v>
      </c>
      <c r="V2441" s="2">
        <f t="shared" ca="1" si="2376"/>
        <v>51015641.756005332</v>
      </c>
      <c r="W2441" s="2">
        <f t="shared" ca="1" si="2377"/>
        <v>51535788.762882017</v>
      </c>
      <c r="X2441" s="2">
        <f t="shared" ca="1" si="2378"/>
        <v>52061239.102216162</v>
      </c>
      <c r="Y2441" s="2">
        <f t="shared" ca="1" si="2379"/>
        <v>0.12552902422365217</v>
      </c>
      <c r="Z2441" s="2">
        <f t="shared" ca="1" si="2380"/>
        <v>0.12774063391311302</v>
      </c>
      <c r="AA2441" s="2">
        <f t="shared" ca="1" si="2381"/>
        <v>6275326.9952404629</v>
      </c>
      <c r="AB2441" s="2">
        <f t="shared" ca="1" si="2382"/>
        <v>6450997.1225952413</v>
      </c>
      <c r="AC2441" s="2">
        <f t="shared" ca="1" si="2383"/>
        <v>6516770.4173963992</v>
      </c>
      <c r="AD2441" s="2">
        <f t="shared" ca="1" si="2384"/>
        <v>6583214.3257828355</v>
      </c>
      <c r="AE2441" s="2">
        <f t="shared" ca="1" si="2385"/>
        <v>6650335.6852192394</v>
      </c>
      <c r="AF2441" s="2">
        <f t="shared" ca="1" si="2386"/>
        <v>999820.88350497454</v>
      </c>
      <c r="AG2441" s="2">
        <f t="shared" ca="1" si="2387"/>
        <v>1010014.8911086661</v>
      </c>
      <c r="AH2441" s="2">
        <f t="shared" ca="1" si="2388"/>
        <v>1020312.8351201067</v>
      </c>
      <c r="AI2441" s="2">
        <f t="shared" ca="1" si="2389"/>
        <v>1030715.7752576404</v>
      </c>
      <c r="AJ2441" s="2">
        <f t="shared" ca="1" si="2390"/>
        <v>1041224.7820443233</v>
      </c>
      <c r="AK2441" s="2">
        <f t="shared" ca="1" si="2391"/>
        <v>0</v>
      </c>
      <c r="AL2441" s="2">
        <f t="shared" ca="1" si="2392"/>
        <v>5097.003801845759</v>
      </c>
      <c r="AM2441" s="2">
        <f t="shared" ca="1" si="2393"/>
        <v>5148.9720057202876</v>
      </c>
      <c r="AN2441" s="2">
        <f t="shared" ca="1" si="2394"/>
        <v>5201.4700687668474</v>
      </c>
      <c r="AO2441" s="2">
        <f t="shared" ca="1" si="2395"/>
        <v>5254.5033933414516</v>
      </c>
      <c r="AP2441" s="2">
        <f t="shared" ca="1" si="2396"/>
        <v>2323708.5905903932</v>
      </c>
      <c r="AQ2441" s="2">
        <f t="shared" ca="1" si="2397"/>
        <v>767467.35549772473</v>
      </c>
      <c r="AR2441" s="2">
        <f t="shared" ca="1" si="2398"/>
        <v>810491.14663300745</v>
      </c>
      <c r="AS2441" s="2">
        <f t="shared" ca="1" si="2399"/>
        <v>824914.73783833371</v>
      </c>
      <c r="AT2441" s="2">
        <f t="shared" ca="1" si="2400"/>
        <v>839485.38958304853</v>
      </c>
      <c r="AU2441" s="2">
        <f t="shared" ca="1" si="2401"/>
        <v>854204.60127197602</v>
      </c>
      <c r="AV2441" s="2">
        <f t="shared" ca="1" si="2402"/>
        <v>2184330.1656473707</v>
      </c>
      <c r="AW2441" s="2">
        <f t="shared" ca="1" si="2403"/>
        <v>2301685.490461329</v>
      </c>
      <c r="AX2441" s="2">
        <f t="shared" ca="1" si="2404"/>
        <v>2342685.2818418453</v>
      </c>
      <c r="AY2441" s="2">
        <f t="shared" ca="1" si="2405"/>
        <v>2384103.1002829866</v>
      </c>
      <c r="AZ2441" s="2">
        <f t="shared" ca="1" si="2406"/>
        <v>2425943.2079192055</v>
      </c>
      <c r="BA2441" s="2">
        <f t="shared" ca="1" si="2407"/>
        <v>51955008.922994114</v>
      </c>
      <c r="BB2441" s="2">
        <f t="shared" ca="1" si="2408"/>
        <v>1039100.1784598823</v>
      </c>
      <c r="BC2441" s="2">
        <f t="shared" ca="1" si="2409"/>
        <v>25096924.404640973</v>
      </c>
      <c r="BD2441" s="2">
        <f t="shared" ca="1" si="2410"/>
        <v>-18788447.240757726</v>
      </c>
      <c r="BE2441" s="2">
        <f t="shared" ca="1" si="2411"/>
        <v>2184330.1656473707</v>
      </c>
      <c r="BF2441" s="2">
        <f t="shared" ca="1" si="2412"/>
        <v>2301685.490461329</v>
      </c>
      <c r="BG2441" s="2">
        <f t="shared" ca="1" si="2413"/>
        <v>2342685.2818418453</v>
      </c>
      <c r="BH2441" s="2">
        <f t="shared" ca="1" si="2414"/>
        <v>2384103.1002829866</v>
      </c>
      <c r="BI2441" s="2">
        <f t="shared" ca="1" si="2415"/>
        <v>27522867.612560179</v>
      </c>
      <c r="BJ2441" s="2">
        <f t="shared" ca="1" si="2416"/>
        <v>0.17073192267764803</v>
      </c>
      <c r="BK2441" s="2">
        <f t="shared" ca="1" si="2417"/>
        <v>3796569.0922659971</v>
      </c>
    </row>
    <row r="2442" spans="1:63" x14ac:dyDescent="0.3">
      <c r="A2442" s="2">
        <v>2441</v>
      </c>
      <c r="B2442" s="2">
        <f t="shared" ca="1" si="2356"/>
        <v>0.91999096220302989</v>
      </c>
      <c r="C2442" s="2">
        <f t="shared" ca="1" si="2357"/>
        <v>7.599977406145678</v>
      </c>
      <c r="D2442" s="2">
        <f t="shared" ca="1" si="2358"/>
        <v>0.77664375413886078</v>
      </c>
      <c r="E2442" s="2">
        <f t="shared" ca="1" si="2359"/>
        <v>7.8316344624965479</v>
      </c>
      <c r="F2442" s="2">
        <f t="shared" ca="1" si="2360"/>
        <v>0.74034529746337319</v>
      </c>
      <c r="G2442" s="2">
        <f t="shared" ca="1" si="2361"/>
        <v>5.9332309097500716E-2</v>
      </c>
      <c r="H2442" s="2">
        <f t="shared" ca="1" si="2362"/>
        <v>5.9332309097500716E-2</v>
      </c>
      <c r="I2442" s="2">
        <f t="shared" ca="1" si="2363"/>
        <v>0.76419654540085857</v>
      </c>
      <c r="J2442" s="2">
        <f t="shared" ca="1" si="2364"/>
        <v>1.3599334827175021E-2</v>
      </c>
      <c r="K2442" s="2">
        <f t="shared" ca="1" si="2365"/>
        <v>1.3599334827175021E-2</v>
      </c>
      <c r="L2442" s="2">
        <f t="shared" ca="1" si="2366"/>
        <v>0.77967330535160229</v>
      </c>
      <c r="M2442" s="2">
        <f t="shared" ca="1" si="2367"/>
        <v>1.5421806688489895E-2</v>
      </c>
      <c r="N2442" s="2">
        <f t="shared" ca="1" si="2368"/>
        <v>1.5421806688489895E-2</v>
      </c>
      <c r="O2442" s="2">
        <f t="shared" si="2369"/>
        <v>6000000</v>
      </c>
      <c r="P2442" s="2">
        <f t="shared" ca="1" si="2370"/>
        <v>45599864.436874069</v>
      </c>
      <c r="Q2442" s="2">
        <f t="shared" ca="1" si="2371"/>
        <v>1139996.6109218518</v>
      </c>
      <c r="R2442" s="2">
        <f t="shared" ca="1" si="2372"/>
        <v>27359918.66212444</v>
      </c>
      <c r="S2442" s="2">
        <f t="shared" ca="1" si="2373"/>
        <v>18239945.774749629</v>
      </c>
      <c r="T2442" s="2">
        <f t="shared" ca="1" si="2374"/>
        <v>50771090.334424496</v>
      </c>
      <c r="U2442" s="2">
        <f t="shared" ca="1" si="2375"/>
        <v>53783456.359363697</v>
      </c>
      <c r="V2442" s="2">
        <f t="shared" ca="1" si="2376"/>
        <v>56974553.016409405</v>
      </c>
      <c r="W2442" s="2">
        <f t="shared" ca="1" si="2377"/>
        <v>60354984.806670949</v>
      </c>
      <c r="X2442" s="2">
        <f t="shared" ca="1" si="2378"/>
        <v>63935985.420795307</v>
      </c>
      <c r="Y2442" s="2">
        <f t="shared" ca="1" si="2379"/>
        <v>0.1267996674135875</v>
      </c>
      <c r="Z2442" s="2">
        <f t="shared" ca="1" si="2380"/>
        <v>0.1295195343790225</v>
      </c>
      <c r="AA2442" s="2">
        <f t="shared" ca="1" si="2381"/>
        <v>6437757.3686302332</v>
      </c>
      <c r="AB2442" s="2">
        <f t="shared" ca="1" si="2382"/>
        <v>6966008.2249592626</v>
      </c>
      <c r="AC2442" s="2">
        <f t="shared" ca="1" si="2383"/>
        <v>7379317.5781382779</v>
      </c>
      <c r="AD2442" s="2">
        <f t="shared" ca="1" si="2384"/>
        <v>7817149.5296129985</v>
      </c>
      <c r="AE2442" s="2">
        <f t="shared" ca="1" si="2385"/>
        <v>8280959.0617653793</v>
      </c>
      <c r="AF2442" s="2">
        <f t="shared" ca="1" si="2386"/>
        <v>1015421.80668849</v>
      </c>
      <c r="AG2442" s="2">
        <f t="shared" ca="1" si="2387"/>
        <v>1075669.1271872739</v>
      </c>
      <c r="AH2442" s="2">
        <f t="shared" ca="1" si="2388"/>
        <v>1139491.0603281881</v>
      </c>
      <c r="AI2442" s="2">
        <f t="shared" ca="1" si="2389"/>
        <v>1207099.6961334189</v>
      </c>
      <c r="AJ2442" s="2">
        <f t="shared" ca="1" si="2390"/>
        <v>1278719.7084159062</v>
      </c>
      <c r="AK2442" s="2">
        <f t="shared" ca="1" si="2391"/>
        <v>0</v>
      </c>
      <c r="AL2442" s="2">
        <f t="shared" ca="1" si="2392"/>
        <v>30123.660249392018</v>
      </c>
      <c r="AM2442" s="2">
        <f t="shared" ca="1" si="2393"/>
        <v>31910.966570457073</v>
      </c>
      <c r="AN2442" s="2">
        <f t="shared" ca="1" si="2394"/>
        <v>33804.317902615447</v>
      </c>
      <c r="AO2442" s="2">
        <f t="shared" ca="1" si="2395"/>
        <v>35810.006141243575</v>
      </c>
      <c r="AP2442" s="2">
        <f t="shared" ca="1" si="2396"/>
        <v>2462392.6795911994</v>
      </c>
      <c r="AQ2442" s="2">
        <f t="shared" ca="1" si="2397"/>
        <v>769585.14941114129</v>
      </c>
      <c r="AR2442" s="2">
        <f t="shared" ca="1" si="2398"/>
        <v>891266.06872700539</v>
      </c>
      <c r="AS2442" s="2">
        <f t="shared" ca="1" si="2399"/>
        <v>982132.79793691146</v>
      </c>
      <c r="AT2442" s="2">
        <f t="shared" ca="1" si="2400"/>
        <v>1078390.8600109788</v>
      </c>
      <c r="AU2442" s="2">
        <f t="shared" ca="1" si="2401"/>
        <v>1180360.1351771513</v>
      </c>
      <c r="AV2442" s="2">
        <f t="shared" ca="1" si="2402"/>
        <v>2190357.7329394026</v>
      </c>
      <c r="AW2442" s="2">
        <f t="shared" ca="1" si="2403"/>
        <v>2506556.689204393</v>
      </c>
      <c r="AX2442" s="2">
        <f t="shared" ca="1" si="2404"/>
        <v>2763390.073711521</v>
      </c>
      <c r="AY2442" s="2">
        <f t="shared" ca="1" si="2405"/>
        <v>3035461.9759747861</v>
      </c>
      <c r="AZ2442" s="2">
        <f t="shared" ca="1" si="2406"/>
        <v>3323676.5324398791</v>
      </c>
      <c r="BA2442" s="2">
        <f t="shared" ca="1" si="2407"/>
        <v>64853444.370644823</v>
      </c>
      <c r="BB2442" s="2">
        <f t="shared" ca="1" si="2408"/>
        <v>1297068.8874128964</v>
      </c>
      <c r="BC2442" s="2">
        <f t="shared" ca="1" si="2409"/>
        <v>36196456.821107484</v>
      </c>
      <c r="BD2442" s="2">
        <f t="shared" ca="1" si="2410"/>
        <v>-19879942.385671481</v>
      </c>
      <c r="BE2442" s="2">
        <f t="shared" ca="1" si="2411"/>
        <v>2190357.7329394026</v>
      </c>
      <c r="BF2442" s="2">
        <f t="shared" ca="1" si="2412"/>
        <v>2506556.689204393</v>
      </c>
      <c r="BG2442" s="2">
        <f t="shared" ca="1" si="2413"/>
        <v>2763390.073711521</v>
      </c>
      <c r="BH2442" s="2">
        <f t="shared" ca="1" si="2414"/>
        <v>3035461.9759747861</v>
      </c>
      <c r="BI2442" s="2">
        <f t="shared" ca="1" si="2415"/>
        <v>39520133.353547364</v>
      </c>
      <c r="BJ2442" s="2">
        <f t="shared" ca="1" si="2416"/>
        <v>0.23595851699303894</v>
      </c>
      <c r="BK2442" s="2">
        <f t="shared" ca="1" si="2417"/>
        <v>10394748.247861188</v>
      </c>
    </row>
    <row r="2443" spans="1:63" x14ac:dyDescent="0.3">
      <c r="A2443" s="2">
        <v>2442</v>
      </c>
      <c r="B2443" s="2">
        <f t="shared" ca="1" si="2356"/>
        <v>0.8086910400893329</v>
      </c>
      <c r="C2443" s="2">
        <f t="shared" ca="1" si="2357"/>
        <v>7.3814388309784276</v>
      </c>
      <c r="D2443" s="2">
        <f t="shared" ca="1" si="2358"/>
        <v>0.80346024886450129</v>
      </c>
      <c r="E2443" s="2">
        <f t="shared" ca="1" si="2359"/>
        <v>7.8730394731157336</v>
      </c>
      <c r="F2443" s="2">
        <f t="shared" ca="1" si="2360"/>
        <v>0.80436309459248756</v>
      </c>
      <c r="G2443" s="2">
        <f t="shared" ca="1" si="2361"/>
        <v>6.571928765139963E-2</v>
      </c>
      <c r="H2443" s="2">
        <f t="shared" ca="1" si="2362"/>
        <v>6.571928765139963E-2</v>
      </c>
      <c r="I2443" s="2">
        <f t="shared" ca="1" si="2363"/>
        <v>0.21501094170223423</v>
      </c>
      <c r="J2443" s="2">
        <f t="shared" ca="1" si="2364"/>
        <v>6.0542289698874117E-3</v>
      </c>
      <c r="K2443" s="2">
        <f t="shared" ca="1" si="2365"/>
        <v>6.0542289698874117E-3</v>
      </c>
      <c r="L2443" s="2">
        <f t="shared" ca="1" si="2366"/>
        <v>0.1201072184899985</v>
      </c>
      <c r="M2443" s="2">
        <f t="shared" ca="1" si="2367"/>
        <v>-2.3489019535746895E-2</v>
      </c>
      <c r="N2443" s="2">
        <f t="shared" ca="1" si="2368"/>
        <v>-2.3489019535746895E-2</v>
      </c>
      <c r="O2443" s="2">
        <f t="shared" si="2369"/>
        <v>6000000</v>
      </c>
      <c r="P2443" s="2">
        <f t="shared" ca="1" si="2370"/>
        <v>44288632.985870562</v>
      </c>
      <c r="Q2443" s="2">
        <f t="shared" ca="1" si="2371"/>
        <v>1107215.8246467642</v>
      </c>
      <c r="R2443" s="2">
        <f t="shared" ca="1" si="2372"/>
        <v>26573179.791522335</v>
      </c>
      <c r="S2443" s="2">
        <f t="shared" ca="1" si="2373"/>
        <v>17715453.194348227</v>
      </c>
      <c r="T2443" s="2">
        <f t="shared" ca="1" si="2374"/>
        <v>48825549.023212656</v>
      </c>
      <c r="U2443" s="2">
        <f t="shared" ca="1" si="2375"/>
        <v>52034329.324206688</v>
      </c>
      <c r="V2443" s="2">
        <f t="shared" ca="1" si="2376"/>
        <v>55453988.380811885</v>
      </c>
      <c r="W2443" s="2">
        <f t="shared" ca="1" si="2377"/>
        <v>59098384.994627833</v>
      </c>
      <c r="X2443" s="2">
        <f t="shared" ca="1" si="2378"/>
        <v>62982288.757822938</v>
      </c>
      <c r="Y2443" s="2">
        <f t="shared" ca="1" si="2379"/>
        <v>0.1230271144849437</v>
      </c>
      <c r="Z2443" s="2">
        <f t="shared" ca="1" si="2380"/>
        <v>0.12423796027892119</v>
      </c>
      <c r="AA2443" s="2">
        <f t="shared" ca="1" si="2381"/>
        <v>6006866.409469015</v>
      </c>
      <c r="AB2443" s="2">
        <f t="shared" ca="1" si="2382"/>
        <v>6464638.9397210944</v>
      </c>
      <c r="AC2443" s="2">
        <f t="shared" ca="1" si="2383"/>
        <v>6889490.4057630636</v>
      </c>
      <c r="AD2443" s="2">
        <f t="shared" ca="1" si="2384"/>
        <v>7342262.8075109646</v>
      </c>
      <c r="AE2443" s="2">
        <f t="shared" ca="1" si="2385"/>
        <v>7824791.0889699506</v>
      </c>
      <c r="AF2443" s="2">
        <f t="shared" ca="1" si="2386"/>
        <v>976510.98046425311</v>
      </c>
      <c r="AG2443" s="2">
        <f t="shared" ca="1" si="2387"/>
        <v>1040686.5864841337</v>
      </c>
      <c r="AH2443" s="2">
        <f t="shared" ca="1" si="2388"/>
        <v>1109079.7676162377</v>
      </c>
      <c r="AI2443" s="2">
        <f t="shared" ca="1" si="2389"/>
        <v>1181967.6998925568</v>
      </c>
      <c r="AJ2443" s="2">
        <f t="shared" ca="1" si="2390"/>
        <v>1259645.7751564588</v>
      </c>
      <c r="AK2443" s="2">
        <f t="shared" ca="1" si="2391"/>
        <v>0</v>
      </c>
      <c r="AL2443" s="2">
        <f t="shared" ca="1" si="2392"/>
        <v>32087.803009940311</v>
      </c>
      <c r="AM2443" s="2">
        <f t="shared" ca="1" si="2393"/>
        <v>34196.590566051978</v>
      </c>
      <c r="AN2443" s="2">
        <f t="shared" ca="1" si="2394"/>
        <v>36443.966138159485</v>
      </c>
      <c r="AO2443" s="2">
        <f t="shared" ca="1" si="2395"/>
        <v>38839.037631951047</v>
      </c>
      <c r="AP2443" s="2">
        <f t="shared" ca="1" si="2396"/>
        <v>2391586.1812370103</v>
      </c>
      <c r="AQ2443" s="2">
        <f t="shared" ca="1" si="2397"/>
        <v>686080.00441961561</v>
      </c>
      <c r="AR2443" s="2">
        <f t="shared" ca="1" si="2398"/>
        <v>788415.204719987</v>
      </c>
      <c r="AS2443" s="2">
        <f t="shared" ca="1" si="2399"/>
        <v>881094.35879655217</v>
      </c>
      <c r="AT2443" s="2">
        <f t="shared" ca="1" si="2400"/>
        <v>979864.32085916353</v>
      </c>
      <c r="AU2443" s="2">
        <f t="shared" ca="1" si="2401"/>
        <v>1085125.3744698851</v>
      </c>
      <c r="AV2443" s="2">
        <f t="shared" ca="1" si="2402"/>
        <v>1952689.2433481365</v>
      </c>
      <c r="AW2443" s="2">
        <f t="shared" ca="1" si="2403"/>
        <v>2211863.1642700229</v>
      </c>
      <c r="AX2443" s="2">
        <f t="shared" ca="1" si="2404"/>
        <v>2473533.5075472118</v>
      </c>
      <c r="AY2443" s="2">
        <f t="shared" ca="1" si="2405"/>
        <v>2752400.6393840741</v>
      </c>
      <c r="AZ2443" s="2">
        <f t="shared" ca="1" si="2406"/>
        <v>3049594.7204746455</v>
      </c>
      <c r="BA2443" s="2">
        <f t="shared" ca="1" si="2407"/>
        <v>61604889.112344667</v>
      </c>
      <c r="BB2443" s="2">
        <f t="shared" ca="1" si="2408"/>
        <v>1232097.7822468933</v>
      </c>
      <c r="BC2443" s="2">
        <f t="shared" ca="1" si="2409"/>
        <v>33799611.538575433</v>
      </c>
      <c r="BD2443" s="2">
        <f t="shared" ca="1" si="2410"/>
        <v>-19322669.018994991</v>
      </c>
      <c r="BE2443" s="2">
        <f t="shared" ca="1" si="2411"/>
        <v>1952689.2433481365</v>
      </c>
      <c r="BF2443" s="2">
        <f t="shared" ca="1" si="2412"/>
        <v>2211863.1642700229</v>
      </c>
      <c r="BG2443" s="2">
        <f t="shared" ca="1" si="2413"/>
        <v>2473533.5075472118</v>
      </c>
      <c r="BH2443" s="2">
        <f t="shared" ca="1" si="2414"/>
        <v>2752400.6393840741</v>
      </c>
      <c r="BI2443" s="2">
        <f t="shared" ca="1" si="2415"/>
        <v>36849206.259050079</v>
      </c>
      <c r="BJ2443" s="2">
        <f t="shared" ca="1" si="2416"/>
        <v>0.22004124955473259</v>
      </c>
      <c r="BK2443" s="2">
        <f t="shared" ca="1" si="2417"/>
        <v>8603129.1938626245</v>
      </c>
    </row>
    <row r="2444" spans="1:63" x14ac:dyDescent="0.3">
      <c r="A2444" s="2">
        <v>2443</v>
      </c>
      <c r="B2444" s="2">
        <f t="shared" ca="1" si="2356"/>
        <v>0.14153516163247504</v>
      </c>
      <c r="C2444" s="2">
        <f t="shared" ca="1" si="2357"/>
        <v>6.5320435351218453</v>
      </c>
      <c r="D2444" s="2">
        <f t="shared" ca="1" si="2358"/>
        <v>0.6194117751298196</v>
      </c>
      <c r="E2444" s="2">
        <f t="shared" ca="1" si="2359"/>
        <v>7.627545732006336</v>
      </c>
      <c r="F2444" s="2">
        <f t="shared" ca="1" si="2360"/>
        <v>0.93891768050712099</v>
      </c>
      <c r="G2444" s="2">
        <f t="shared" ca="1" si="2361"/>
        <v>8.6372539449826036E-2</v>
      </c>
      <c r="H2444" s="2">
        <f t="shared" ca="1" si="2362"/>
        <v>8.6372539449826036E-2</v>
      </c>
      <c r="I2444" s="2">
        <f t="shared" ca="1" si="2363"/>
        <v>0.80044296322833697</v>
      </c>
      <c r="J2444" s="2">
        <f t="shared" ca="1" si="2364"/>
        <v>1.4216022576778981E-2</v>
      </c>
      <c r="K2444" s="2">
        <f t="shared" ca="1" si="2365"/>
        <v>1.4216022576778981E-2</v>
      </c>
      <c r="L2444" s="2">
        <f t="shared" ca="1" si="2366"/>
        <v>0.48366528901550565</v>
      </c>
      <c r="M2444" s="2">
        <f t="shared" ca="1" si="2367"/>
        <v>-8.1912991676066677E-4</v>
      </c>
      <c r="N2444" s="2">
        <f t="shared" ca="1" si="2368"/>
        <v>-8.1912991676066677E-4</v>
      </c>
      <c r="O2444" s="2">
        <f t="shared" si="2369"/>
        <v>6000000</v>
      </c>
      <c r="P2444" s="2">
        <f t="shared" ca="1" si="2370"/>
        <v>39192261.210731074</v>
      </c>
      <c r="Q2444" s="2">
        <f t="shared" ca="1" si="2371"/>
        <v>979806.53026827693</v>
      </c>
      <c r="R2444" s="2">
        <f t="shared" ca="1" si="2372"/>
        <v>23515356.726438645</v>
      </c>
      <c r="S2444" s="2">
        <f t="shared" ca="1" si="2373"/>
        <v>15676904.484292431</v>
      </c>
      <c r="T2444" s="2">
        <f t="shared" ca="1" si="2374"/>
        <v>49959043.504161969</v>
      </c>
      <c r="U2444" s="2">
        <f t="shared" ca="1" si="2375"/>
        <v>54274132.96010077</v>
      </c>
      <c r="V2444" s="2">
        <f t="shared" ca="1" si="2376"/>
        <v>58961927.650302179</v>
      </c>
      <c r="W2444" s="2">
        <f t="shared" ca="1" si="2377"/>
        <v>64054619.072315693</v>
      </c>
      <c r="X2444" s="2">
        <f t="shared" ca="1" si="2378"/>
        <v>69587179.185082853</v>
      </c>
      <c r="Y2444" s="2">
        <f t="shared" ca="1" si="2379"/>
        <v>0.1271080112883895</v>
      </c>
      <c r="Z2444" s="2">
        <f t="shared" ca="1" si="2380"/>
        <v>0.12995121580374527</v>
      </c>
      <c r="AA2444" s="2">
        <f t="shared" ca="1" si="2381"/>
        <v>6350194.6656841617</v>
      </c>
      <c r="AB2444" s="2">
        <f t="shared" ca="1" si="2382"/>
        <v>7052989.5648592198</v>
      </c>
      <c r="AC2444" s="2">
        <f t="shared" ca="1" si="2383"/>
        <v>7662174.1842892338</v>
      </c>
      <c r="AD2444" s="2">
        <f t="shared" ca="1" si="2384"/>
        <v>8323975.6262931945</v>
      </c>
      <c r="AE2444" s="2">
        <f t="shared" ca="1" si="2385"/>
        <v>9042938.5394545924</v>
      </c>
      <c r="AF2444" s="2">
        <f t="shared" ca="1" si="2386"/>
        <v>999180.8700832394</v>
      </c>
      <c r="AG2444" s="2">
        <f t="shared" ca="1" si="2387"/>
        <v>1085482.6592020155</v>
      </c>
      <c r="AH2444" s="2">
        <f t="shared" ca="1" si="2388"/>
        <v>1179238.5530060437</v>
      </c>
      <c r="AI2444" s="2">
        <f t="shared" ca="1" si="2389"/>
        <v>1281092.3814463138</v>
      </c>
      <c r="AJ2444" s="2">
        <f t="shared" ca="1" si="2390"/>
        <v>1391743.5837016571</v>
      </c>
      <c r="AK2444" s="2">
        <f t="shared" ca="1" si="2391"/>
        <v>0</v>
      </c>
      <c r="AL2444" s="2">
        <f t="shared" ca="1" si="2392"/>
        <v>43150.894559388013</v>
      </c>
      <c r="AM2444" s="2">
        <f t="shared" ca="1" si="2393"/>
        <v>46877.94690201409</v>
      </c>
      <c r="AN2444" s="2">
        <f t="shared" ca="1" si="2394"/>
        <v>50926.914220135135</v>
      </c>
      <c r="AO2444" s="2">
        <f t="shared" ca="1" si="2395"/>
        <v>55325.601127671602</v>
      </c>
      <c r="AP2444" s="2">
        <f t="shared" ca="1" si="2396"/>
        <v>2116382.1053794781</v>
      </c>
      <c r="AQ2444" s="2">
        <f t="shared" ca="1" si="2397"/>
        <v>841004.2394575756</v>
      </c>
      <c r="AR2444" s="2">
        <f t="shared" ca="1" si="2398"/>
        <v>1001292.4480722088</v>
      </c>
      <c r="AS2444" s="2">
        <f t="shared" ca="1" si="2399"/>
        <v>1135303.9167349651</v>
      </c>
      <c r="AT2444" s="2">
        <f t="shared" ca="1" si="2400"/>
        <v>1280890.2962615245</v>
      </c>
      <c r="AU2444" s="2">
        <f t="shared" ca="1" si="2401"/>
        <v>1439051.341097099</v>
      </c>
      <c r="AV2444" s="2">
        <f t="shared" ca="1" si="2402"/>
        <v>2393627.4507638691</v>
      </c>
      <c r="AW2444" s="2">
        <f t="shared" ca="1" si="2403"/>
        <v>2806681.4576461287</v>
      </c>
      <c r="AX2444" s="2">
        <f t="shared" ca="1" si="2404"/>
        <v>3184371.6622667322</v>
      </c>
      <c r="AY2444" s="2">
        <f t="shared" ca="1" si="2405"/>
        <v>3594683.9289857429</v>
      </c>
      <c r="AZ2444" s="2">
        <f t="shared" ca="1" si="2406"/>
        <v>4040435.9081486864</v>
      </c>
      <c r="BA2444" s="2">
        <f t="shared" ca="1" si="2407"/>
        <v>68975427.261412486</v>
      </c>
      <c r="BB2444" s="2">
        <f t="shared" ca="1" si="2408"/>
        <v>1379508.5452282499</v>
      </c>
      <c r="BC2444" s="2">
        <f t="shared" ca="1" si="2409"/>
        <v>44080561.989745595</v>
      </c>
      <c r="BD2444" s="2">
        <f t="shared" ca="1" si="2410"/>
        <v>-17156711.014560707</v>
      </c>
      <c r="BE2444" s="2">
        <f t="shared" ca="1" si="2411"/>
        <v>2393627.4507638691</v>
      </c>
      <c r="BF2444" s="2">
        <f t="shared" ca="1" si="2412"/>
        <v>2806681.4576461287</v>
      </c>
      <c r="BG2444" s="2">
        <f t="shared" ca="1" si="2413"/>
        <v>3184371.6622667322</v>
      </c>
      <c r="BH2444" s="2">
        <f t="shared" ca="1" si="2414"/>
        <v>3594683.9289857429</v>
      </c>
      <c r="BI2444" s="2">
        <f t="shared" ca="1" si="2415"/>
        <v>48120997.897894278</v>
      </c>
      <c r="BJ2444" s="2">
        <f t="shared" ca="1" si="2416"/>
        <v>0.33555982599939083</v>
      </c>
      <c r="BK2444" s="2">
        <f t="shared" ca="1" si="2417"/>
        <v>19074131.631627642</v>
      </c>
    </row>
    <row r="2445" spans="1:63" x14ac:dyDescent="0.3">
      <c r="A2445" s="2">
        <v>2444</v>
      </c>
      <c r="B2445" s="2">
        <f t="shared" ca="1" si="2356"/>
        <v>0.11680281758746847</v>
      </c>
      <c r="C2445" s="2">
        <f t="shared" ca="1" si="2357"/>
        <v>6.4833276685385774</v>
      </c>
      <c r="D2445" s="2">
        <f t="shared" ca="1" si="2358"/>
        <v>0.45286292391541849</v>
      </c>
      <c r="E2445" s="2">
        <f t="shared" ca="1" si="2359"/>
        <v>7.4516963002086518</v>
      </c>
      <c r="F2445" s="2">
        <f t="shared" ca="1" si="2360"/>
        <v>0.87549430886646484</v>
      </c>
      <c r="G2445" s="2">
        <f t="shared" ca="1" si="2361"/>
        <v>7.4582619107878612E-2</v>
      </c>
      <c r="H2445" s="2">
        <f t="shared" ca="1" si="2362"/>
        <v>7.4582619107878612E-2</v>
      </c>
      <c r="I2445" s="2">
        <f t="shared" ca="1" si="2363"/>
        <v>0.77149315083607806</v>
      </c>
      <c r="J2445" s="2">
        <f t="shared" ca="1" si="2364"/>
        <v>1.3718865982557655E-2</v>
      </c>
      <c r="K2445" s="2">
        <f t="shared" ca="1" si="2365"/>
        <v>1.3718865982557655E-2</v>
      </c>
      <c r="L2445" s="2">
        <f t="shared" ca="1" si="2366"/>
        <v>0.53212758210908717</v>
      </c>
      <c r="M2445" s="2">
        <f t="shared" ca="1" si="2367"/>
        <v>1.6123830125058616E-3</v>
      </c>
      <c r="N2445" s="2">
        <f t="shared" ca="1" si="2368"/>
        <v>1.6123830125058616E-3</v>
      </c>
      <c r="O2445" s="2">
        <f t="shared" si="2369"/>
        <v>6000000</v>
      </c>
      <c r="P2445" s="2">
        <f t="shared" ca="1" si="2370"/>
        <v>38899966.011231467</v>
      </c>
      <c r="Q2445" s="2">
        <f t="shared" ca="1" si="2371"/>
        <v>972499.15028078668</v>
      </c>
      <c r="R2445" s="2">
        <f t="shared" ca="1" si="2372"/>
        <v>23339979.60673888</v>
      </c>
      <c r="S2445" s="2">
        <f t="shared" ca="1" si="2373"/>
        <v>15559986.404492587</v>
      </c>
      <c r="T2445" s="2">
        <f t="shared" ca="1" si="2374"/>
        <v>50080619.150625296</v>
      </c>
      <c r="U2445" s="2">
        <f t="shared" ca="1" si="2375"/>
        <v>53815762.893423118</v>
      </c>
      <c r="V2445" s="2">
        <f t="shared" ca="1" si="2376"/>
        <v>57829483.439303204</v>
      </c>
      <c r="W2445" s="2">
        <f t="shared" ca="1" si="2377"/>
        <v>62142557.775862135</v>
      </c>
      <c r="X2445" s="2">
        <f t="shared" ca="1" si="2378"/>
        <v>66777312.492848605</v>
      </c>
      <c r="Y2445" s="2">
        <f t="shared" ca="1" si="2379"/>
        <v>0.12685943299127883</v>
      </c>
      <c r="Z2445" s="2">
        <f t="shared" ca="1" si="2380"/>
        <v>0.12960320618779037</v>
      </c>
      <c r="AA2445" s="2">
        <f t="shared" ca="1" si="2381"/>
        <v>6353198.9493005052</v>
      </c>
      <c r="AB2445" s="2">
        <f t="shared" ca="1" si="2382"/>
        <v>6974695.4144295538</v>
      </c>
      <c r="AC2445" s="2">
        <f t="shared" ca="1" si="2383"/>
        <v>7494886.4659174215</v>
      </c>
      <c r="AD2445" s="2">
        <f t="shared" ca="1" si="2384"/>
        <v>8053874.7284617359</v>
      </c>
      <c r="AE2445" s="2">
        <f t="shared" ca="1" si="2385"/>
        <v>8654553.7996771671</v>
      </c>
      <c r="AF2445" s="2">
        <f t="shared" ca="1" si="2386"/>
        <v>1001612.3830125059</v>
      </c>
      <c r="AG2445" s="2">
        <f t="shared" ca="1" si="2387"/>
        <v>1076315.2578684625</v>
      </c>
      <c r="AH2445" s="2">
        <f t="shared" ca="1" si="2388"/>
        <v>1156589.668786064</v>
      </c>
      <c r="AI2445" s="2">
        <f t="shared" ca="1" si="2389"/>
        <v>1242851.1555172426</v>
      </c>
      <c r="AJ2445" s="2">
        <f t="shared" ca="1" si="2390"/>
        <v>1335546.2498569721</v>
      </c>
      <c r="AK2445" s="2">
        <f t="shared" ca="1" si="2391"/>
        <v>0</v>
      </c>
      <c r="AL2445" s="2">
        <f t="shared" ca="1" si="2392"/>
        <v>37351.437427978221</v>
      </c>
      <c r="AM2445" s="2">
        <f t="shared" ca="1" si="2393"/>
        <v>40137.205458800869</v>
      </c>
      <c r="AN2445" s="2">
        <f t="shared" ca="1" si="2394"/>
        <v>43130.743365589304</v>
      </c>
      <c r="AO2445" s="2">
        <f t="shared" ca="1" si="2395"/>
        <v>46347.547169864702</v>
      </c>
      <c r="AP2445" s="2">
        <f t="shared" ca="1" si="2396"/>
        <v>2100598.164606499</v>
      </c>
      <c r="AQ2445" s="2">
        <f t="shared" ca="1" si="2397"/>
        <v>845256.98443719</v>
      </c>
      <c r="AR2445" s="2">
        <f t="shared" ca="1" si="2398"/>
        <v>987423.31790819403</v>
      </c>
      <c r="AS2445" s="2">
        <f t="shared" ca="1" si="2399"/>
        <v>1101801.6444564634</v>
      </c>
      <c r="AT2445" s="2">
        <f t="shared" ca="1" si="2400"/>
        <v>1224710.6061678783</v>
      </c>
      <c r="AU2445" s="2">
        <f t="shared" ca="1" si="2401"/>
        <v>1356786.4401555608</v>
      </c>
      <c r="AV2445" s="2">
        <f t="shared" ca="1" si="2402"/>
        <v>2405731.41724431</v>
      </c>
      <c r="AW2445" s="2">
        <f t="shared" ca="1" si="2403"/>
        <v>2773007.2366184206</v>
      </c>
      <c r="AX2445" s="2">
        <f t="shared" ca="1" si="2404"/>
        <v>3095759.7826095945</v>
      </c>
      <c r="AY2445" s="2">
        <f t="shared" ca="1" si="2405"/>
        <v>3442584.0588045265</v>
      </c>
      <c r="AZ2445" s="2">
        <f t="shared" ca="1" si="2406"/>
        <v>3815275.3978882697</v>
      </c>
      <c r="BA2445" s="2">
        <f t="shared" ca="1" si="2407"/>
        <v>64491106.529011078</v>
      </c>
      <c r="BB2445" s="2">
        <f t="shared" ca="1" si="2408"/>
        <v>1289822.1305802215</v>
      </c>
      <c r="BC2445" s="2">
        <f t="shared" ca="1" si="2409"/>
        <v>39861304.791691974</v>
      </c>
      <c r="BD2445" s="2">
        <f t="shared" ca="1" si="2410"/>
        <v>-17032485.554773375</v>
      </c>
      <c r="BE2445" s="2">
        <f t="shared" ca="1" si="2411"/>
        <v>2405731.41724431</v>
      </c>
      <c r="BF2445" s="2">
        <f t="shared" ca="1" si="2412"/>
        <v>2773007.2366184206</v>
      </c>
      <c r="BG2445" s="2">
        <f t="shared" ca="1" si="2413"/>
        <v>3095759.7826095945</v>
      </c>
      <c r="BH2445" s="2">
        <f t="shared" ca="1" si="2414"/>
        <v>3442584.0588045265</v>
      </c>
      <c r="BI2445" s="2">
        <f t="shared" ca="1" si="2415"/>
        <v>43676580.189580247</v>
      </c>
      <c r="BJ2445" s="2">
        <f t="shared" ca="1" si="2416"/>
        <v>0.31539648343971738</v>
      </c>
      <c r="BK2445" s="2">
        <f t="shared" ca="1" si="2417"/>
        <v>16500702.952895902</v>
      </c>
    </row>
    <row r="2446" spans="1:63" x14ac:dyDescent="0.3">
      <c r="A2446" s="2">
        <v>2445</v>
      </c>
      <c r="B2446" s="2">
        <f t="shared" ca="1" si="2356"/>
        <v>0.10404180533584617</v>
      </c>
      <c r="C2446" s="2">
        <f t="shared" ca="1" si="2357"/>
        <v>6.4561618250924688</v>
      </c>
      <c r="D2446" s="2">
        <f t="shared" ca="1" si="2358"/>
        <v>0.98381026740055744</v>
      </c>
      <c r="E2446" s="2">
        <f t="shared" ca="1" si="2359"/>
        <v>8.3200570501550981</v>
      </c>
      <c r="F2446" s="2">
        <f t="shared" ca="1" si="2360"/>
        <v>0.31435060530046166</v>
      </c>
      <c r="G2446" s="2">
        <f t="shared" ca="1" si="2361"/>
        <v>2.5493328573085103E-2</v>
      </c>
      <c r="H2446" s="2">
        <f t="shared" ca="1" si="2362"/>
        <v>2.5493328573085103E-2</v>
      </c>
      <c r="I2446" s="2">
        <f t="shared" ca="1" si="2363"/>
        <v>0.97757532863964636</v>
      </c>
      <c r="J2446" s="2">
        <f t="shared" ca="1" si="2364"/>
        <v>2.0030323629080873E-2</v>
      </c>
      <c r="K2446" s="2">
        <f t="shared" ca="1" si="2365"/>
        <v>2.0030323629080873E-2</v>
      </c>
      <c r="L2446" s="2">
        <f t="shared" ca="1" si="2366"/>
        <v>0.84311011365725197</v>
      </c>
      <c r="M2446" s="2">
        <f t="shared" ca="1" si="2367"/>
        <v>2.0146451999628154E-2</v>
      </c>
      <c r="N2446" s="2">
        <f t="shared" ca="1" si="2368"/>
        <v>2.0146451999628154E-2</v>
      </c>
      <c r="O2446" s="2">
        <f t="shared" si="2369"/>
        <v>6000000</v>
      </c>
      <c r="P2446" s="2">
        <f t="shared" ca="1" si="2370"/>
        <v>38736970.95055481</v>
      </c>
      <c r="Q2446" s="2">
        <f t="shared" ca="1" si="2371"/>
        <v>968424.27376387035</v>
      </c>
      <c r="R2446" s="2">
        <f t="shared" ca="1" si="2372"/>
        <v>23242182.570332885</v>
      </c>
      <c r="S2446" s="2">
        <f t="shared" ca="1" si="2373"/>
        <v>15494788.380221926</v>
      </c>
      <c r="T2446" s="2">
        <f t="shared" ca="1" si="2374"/>
        <v>51007322.599981405</v>
      </c>
      <c r="U2446" s="2">
        <f t="shared" ca="1" si="2375"/>
        <v>52307669.034656085</v>
      </c>
      <c r="V2446" s="2">
        <f t="shared" ca="1" si="2376"/>
        <v>53641165.628248766</v>
      </c>
      <c r="W2446" s="2">
        <f t="shared" ca="1" si="2377"/>
        <v>55008657.488652997</v>
      </c>
      <c r="X2446" s="2">
        <f t="shared" ca="1" si="2378"/>
        <v>56411011.268375531</v>
      </c>
      <c r="Y2446" s="2">
        <f t="shared" ca="1" si="2379"/>
        <v>0.13001516181454043</v>
      </c>
      <c r="Z2446" s="2">
        <f t="shared" ca="1" si="2380"/>
        <v>0.13402122654035661</v>
      </c>
      <c r="AA2446" s="2">
        <f t="shared" ca="1" si="2381"/>
        <v>6631725.3015630469</v>
      </c>
      <c r="AB2446" s="2">
        <f t="shared" ca="1" si="2382"/>
        <v>7010337.9614916397</v>
      </c>
      <c r="AC2446" s="2">
        <f t="shared" ca="1" si="2383"/>
        <v>7189054.8105523186</v>
      </c>
      <c r="AD2446" s="2">
        <f t="shared" ca="1" si="2384"/>
        <v>7372327.7469676472</v>
      </c>
      <c r="AE2446" s="2">
        <f t="shared" ca="1" si="2385"/>
        <v>7560272.920569567</v>
      </c>
      <c r="AF2446" s="2">
        <f t="shared" ca="1" si="2386"/>
        <v>1020146.4519996281</v>
      </c>
      <c r="AG2446" s="2">
        <f t="shared" ca="1" si="2387"/>
        <v>1046153.3806931217</v>
      </c>
      <c r="AH2446" s="2">
        <f t="shared" ca="1" si="2388"/>
        <v>1072823.3125649753</v>
      </c>
      <c r="AI2446" s="2">
        <f t="shared" ca="1" si="2389"/>
        <v>1100173.1497730599</v>
      </c>
      <c r="AJ2446" s="2">
        <f t="shared" ca="1" si="2390"/>
        <v>1128220.2253675107</v>
      </c>
      <c r="AK2446" s="2">
        <f t="shared" ca="1" si="2391"/>
        <v>0</v>
      </c>
      <c r="AL2446" s="2">
        <f t="shared" ca="1" si="2392"/>
        <v>13003.464346746803</v>
      </c>
      <c r="AM2446" s="2">
        <f t="shared" ca="1" si="2393"/>
        <v>13334.96593592681</v>
      </c>
      <c r="AN2446" s="2">
        <f t="shared" ca="1" si="2394"/>
        <v>13674.918604042306</v>
      </c>
      <c r="AO2446" s="2">
        <f t="shared" ca="1" si="2395"/>
        <v>14023.537797225341</v>
      </c>
      <c r="AP2446" s="2">
        <f t="shared" ca="1" si="2396"/>
        <v>2091796.4313299595</v>
      </c>
      <c r="AQ2446" s="2">
        <f t="shared" ca="1" si="2397"/>
        <v>915143.42874069943</v>
      </c>
      <c r="AR2446" s="2">
        <f t="shared" ca="1" si="2398"/>
        <v>1006820.9188618253</v>
      </c>
      <c r="AS2446" s="2">
        <f t="shared" ca="1" si="2399"/>
        <v>1046353.1173309197</v>
      </c>
      <c r="AT2446" s="2">
        <f t="shared" ca="1" si="2400"/>
        <v>1086893.1231248034</v>
      </c>
      <c r="AU2446" s="2">
        <f t="shared" ca="1" si="2401"/>
        <v>1128466.628606745</v>
      </c>
      <c r="AV2446" s="2">
        <f t="shared" ca="1" si="2402"/>
        <v>2604638.9894927596</v>
      </c>
      <c r="AW2446" s="2">
        <f t="shared" ca="1" si="2403"/>
        <v>2852563.7662599864</v>
      </c>
      <c r="AX2446" s="2">
        <f t="shared" ca="1" si="2404"/>
        <v>2964746.9833905366</v>
      </c>
      <c r="AY2446" s="2">
        <f t="shared" ca="1" si="2405"/>
        <v>3079790.1241357825</v>
      </c>
      <c r="AZ2446" s="2">
        <f t="shared" ca="1" si="2406"/>
        <v>3197766.0974681261</v>
      </c>
      <c r="BA2446" s="2">
        <f t="shared" ca="1" si="2407"/>
        <v>62901902.013881497</v>
      </c>
      <c r="BB2446" s="2">
        <f t="shared" ca="1" si="2408"/>
        <v>1258038.0402776299</v>
      </c>
      <c r="BC2446" s="2">
        <f t="shared" ca="1" si="2409"/>
        <v>38401681.403270982</v>
      </c>
      <c r="BD2446" s="2">
        <f t="shared" ca="1" si="2410"/>
        <v>-16963212.653985798</v>
      </c>
      <c r="BE2446" s="2">
        <f t="shared" ca="1" si="2411"/>
        <v>2604638.9894927596</v>
      </c>
      <c r="BF2446" s="2">
        <f t="shared" ca="1" si="2412"/>
        <v>2852563.7662599864</v>
      </c>
      <c r="BG2446" s="2">
        <f t="shared" ca="1" si="2413"/>
        <v>2964746.9833905366</v>
      </c>
      <c r="BH2446" s="2">
        <f t="shared" ca="1" si="2414"/>
        <v>3079790.1241357825</v>
      </c>
      <c r="BI2446" s="2">
        <f t="shared" ca="1" si="2415"/>
        <v>41599447.500739105</v>
      </c>
      <c r="BJ2446" s="2">
        <f t="shared" ca="1" si="2416"/>
        <v>0.30680615383133225</v>
      </c>
      <c r="BK2446" s="2">
        <f t="shared" ca="1" si="2417"/>
        <v>15308558.581231419</v>
      </c>
    </row>
    <row r="2447" spans="1:63" x14ac:dyDescent="0.3">
      <c r="A2447" s="2">
        <v>2446</v>
      </c>
      <c r="B2447" s="2">
        <f t="shared" ca="1" si="2356"/>
        <v>0.65447600757204794</v>
      </c>
      <c r="C2447" s="2">
        <f t="shared" ca="1" si="2357"/>
        <v>7.1687070402945157</v>
      </c>
      <c r="D2447" s="2">
        <f t="shared" ca="1" si="2358"/>
        <v>9.0055481265244208E-2</v>
      </c>
      <c r="E2447" s="2">
        <f t="shared" ca="1" si="2359"/>
        <v>6.9243948191607529</v>
      </c>
      <c r="F2447" s="2">
        <f t="shared" ca="1" si="2360"/>
        <v>0.61617483579291998</v>
      </c>
      <c r="G2447" s="2">
        <f t="shared" ca="1" si="2361"/>
        <v>4.8863492699376745E-2</v>
      </c>
      <c r="H2447" s="2">
        <f t="shared" ca="1" si="2362"/>
        <v>4.8863492699376745E-2</v>
      </c>
      <c r="I2447" s="2">
        <f t="shared" ca="1" si="2363"/>
        <v>0.87386593940415136</v>
      </c>
      <c r="J2447" s="2">
        <f t="shared" ca="1" si="2364"/>
        <v>1.5724288351400183E-2</v>
      </c>
      <c r="K2447" s="2">
        <f t="shared" ca="1" si="2365"/>
        <v>1.5724288351400183E-2</v>
      </c>
      <c r="L2447" s="2">
        <f t="shared" ca="1" si="2366"/>
        <v>0.15916085387550893</v>
      </c>
      <c r="M2447" s="2">
        <f t="shared" ca="1" si="2367"/>
        <v>-1.9958253394616349E-2</v>
      </c>
      <c r="N2447" s="2">
        <f t="shared" ca="1" si="2368"/>
        <v>-1.9958253394616349E-2</v>
      </c>
      <c r="O2447" s="2">
        <f t="shared" si="2369"/>
        <v>6000000</v>
      </c>
      <c r="P2447" s="2">
        <f t="shared" ca="1" si="2370"/>
        <v>43012242.241767094</v>
      </c>
      <c r="Q2447" s="2">
        <f t="shared" ca="1" si="2371"/>
        <v>1075306.0560441774</v>
      </c>
      <c r="R2447" s="2">
        <f t="shared" ca="1" si="2372"/>
        <v>25807345.345060255</v>
      </c>
      <c r="S2447" s="2">
        <f t="shared" ca="1" si="2373"/>
        <v>17204896.896706838</v>
      </c>
      <c r="T2447" s="2">
        <f t="shared" ca="1" si="2374"/>
        <v>49002087.33026918</v>
      </c>
      <c r="U2447" s="2">
        <f t="shared" ca="1" si="2375"/>
        <v>51396500.466786012</v>
      </c>
      <c r="V2447" s="2">
        <f t="shared" ca="1" si="2376"/>
        <v>53907912.992118321</v>
      </c>
      <c r="W2447" s="2">
        <f t="shared" ca="1" si="2377"/>
        <v>56542041.905047335</v>
      </c>
      <c r="X2447" s="2">
        <f t="shared" ca="1" si="2378"/>
        <v>59304883.556882471</v>
      </c>
      <c r="Y2447" s="2">
        <f t="shared" ca="1" si="2379"/>
        <v>0.12786214417570008</v>
      </c>
      <c r="Z2447" s="2">
        <f t="shared" ca="1" si="2380"/>
        <v>0.13100700184598013</v>
      </c>
      <c r="AA2447" s="2">
        <f t="shared" ca="1" si="2381"/>
        <v>6265511.9551331243</v>
      </c>
      <c r="AB2447" s="2">
        <f t="shared" ca="1" si="2382"/>
        <v>6733301.4315291541</v>
      </c>
      <c r="AC2447" s="2">
        <f t="shared" ca="1" si="2383"/>
        <v>7062314.0568713816</v>
      </c>
      <c r="AD2447" s="2">
        <f t="shared" ca="1" si="2384"/>
        <v>7407403.388230022</v>
      </c>
      <c r="AE2447" s="2">
        <f t="shared" ca="1" si="2385"/>
        <v>7769354.9896121388</v>
      </c>
      <c r="AF2447" s="2">
        <f t="shared" ca="1" si="2386"/>
        <v>980041.74660538358</v>
      </c>
      <c r="AG2447" s="2">
        <f t="shared" ca="1" si="2387"/>
        <v>1027930.0093357202</v>
      </c>
      <c r="AH2447" s="2">
        <f t="shared" ca="1" si="2388"/>
        <v>1078158.2598423664</v>
      </c>
      <c r="AI2447" s="2">
        <f t="shared" ca="1" si="2389"/>
        <v>1130840.8381009467</v>
      </c>
      <c r="AJ2447" s="2">
        <f t="shared" ca="1" si="2390"/>
        <v>1186097.6711376493</v>
      </c>
      <c r="AK2447" s="2">
        <f t="shared" ca="1" si="2391"/>
        <v>0</v>
      </c>
      <c r="AL2447" s="2">
        <f t="shared" ca="1" si="2392"/>
        <v>23944.131365168319</v>
      </c>
      <c r="AM2447" s="2">
        <f t="shared" ca="1" si="2393"/>
        <v>25114.125253323095</v>
      </c>
      <c r="AN2447" s="2">
        <f t="shared" ca="1" si="2394"/>
        <v>26341.289129290133</v>
      </c>
      <c r="AO2447" s="2">
        <f t="shared" ca="1" si="2395"/>
        <v>27628.416518351361</v>
      </c>
      <c r="AP2447" s="2">
        <f t="shared" ca="1" si="2396"/>
        <v>2322661.0810554228</v>
      </c>
      <c r="AQ2447" s="2">
        <f t="shared" ca="1" si="2397"/>
        <v>770330.37314280274</v>
      </c>
      <c r="AR2447" s="2">
        <f t="shared" ca="1" si="2398"/>
        <v>879504.68869588291</v>
      </c>
      <c r="AS2447" s="2">
        <f t="shared" ca="1" si="2399"/>
        <v>951988.62615313393</v>
      </c>
      <c r="AT2447" s="2">
        <f t="shared" ca="1" si="2400"/>
        <v>1028014.3819591497</v>
      </c>
      <c r="AU2447" s="2">
        <f t="shared" ca="1" si="2401"/>
        <v>1107755.0217289575</v>
      </c>
      <c r="AV2447" s="2">
        <f t="shared" ca="1" si="2402"/>
        <v>2192478.7543295152</v>
      </c>
      <c r="AW2447" s="2">
        <f t="shared" ca="1" si="2403"/>
        <v>2479261.521076961</v>
      </c>
      <c r="AX2447" s="2">
        <f t="shared" ca="1" si="2404"/>
        <v>2684391.9645671346</v>
      </c>
      <c r="AY2447" s="2">
        <f t="shared" ca="1" si="2405"/>
        <v>2899545.7979852133</v>
      </c>
      <c r="AZ2447" s="2">
        <f t="shared" ca="1" si="2406"/>
        <v>3125212.7991717574</v>
      </c>
      <c r="BA2447" s="2">
        <f t="shared" ca="1" si="2407"/>
        <v>53798081.438291043</v>
      </c>
      <c r="BB2447" s="2">
        <f t="shared" ca="1" si="2408"/>
        <v>1075961.628765821</v>
      </c>
      <c r="BC2447" s="2">
        <f t="shared" ca="1" si="2409"/>
        <v>26914774.464464966</v>
      </c>
      <c r="BD2447" s="2">
        <f t="shared" ca="1" si="2410"/>
        <v>-18780202.952751014</v>
      </c>
      <c r="BE2447" s="2">
        <f t="shared" ca="1" si="2411"/>
        <v>2192478.7543295152</v>
      </c>
      <c r="BF2447" s="2">
        <f t="shared" ca="1" si="2412"/>
        <v>2479261.521076961</v>
      </c>
      <c r="BG2447" s="2">
        <f t="shared" ca="1" si="2413"/>
        <v>2684391.9645671346</v>
      </c>
      <c r="BH2447" s="2">
        <f t="shared" ca="1" si="2414"/>
        <v>2899545.7979852133</v>
      </c>
      <c r="BI2447" s="2">
        <f t="shared" ca="1" si="2415"/>
        <v>30039987.263636723</v>
      </c>
      <c r="BJ2447" s="2">
        <f t="shared" ca="1" si="2416"/>
        <v>0.19674745519076375</v>
      </c>
      <c r="BK2447" s="2">
        <f t="shared" ca="1" si="2417"/>
        <v>5952725.9394474477</v>
      </c>
    </row>
    <row r="2448" spans="1:63" x14ac:dyDescent="0.3">
      <c r="A2448" s="2">
        <v>2447</v>
      </c>
      <c r="B2448" s="2">
        <f t="shared" ca="1" si="2356"/>
        <v>1.060034323934278E-2</v>
      </c>
      <c r="C2448" s="2">
        <f t="shared" ca="1" si="2357"/>
        <v>6.1456045551440122</v>
      </c>
      <c r="D2448" s="2">
        <f t="shared" ca="1" si="2358"/>
        <v>0.80243255314563167</v>
      </c>
      <c r="E2448" s="2">
        <f t="shared" ca="1" si="2359"/>
        <v>7.8714024389891915</v>
      </c>
      <c r="F2448" s="2">
        <f t="shared" ca="1" si="2360"/>
        <v>0.97544478218353392</v>
      </c>
      <c r="G2448" s="2">
        <f t="shared" ca="1" si="2361"/>
        <v>9.9028949426105572E-2</v>
      </c>
      <c r="H2448" s="2">
        <f t="shared" ca="1" si="2362"/>
        <v>9.9028949426105572E-2</v>
      </c>
      <c r="I2448" s="2">
        <f t="shared" ca="1" si="2363"/>
        <v>0.20057937763759792</v>
      </c>
      <c r="J2448" s="2">
        <f t="shared" ca="1" si="2364"/>
        <v>5.8022322752361829E-3</v>
      </c>
      <c r="K2448" s="2">
        <f t="shared" ca="1" si="2365"/>
        <v>5.8022322752361829E-3</v>
      </c>
      <c r="L2448" s="2">
        <f t="shared" ca="1" si="2366"/>
        <v>0.56332711953540571</v>
      </c>
      <c r="M2448" s="2">
        <f t="shared" ca="1" si="2367"/>
        <v>3.188202535258337E-3</v>
      </c>
      <c r="N2448" s="2">
        <f t="shared" ca="1" si="2368"/>
        <v>3.188202535258337E-3</v>
      </c>
      <c r="O2448" s="2">
        <f t="shared" si="2369"/>
        <v>6000000</v>
      </c>
      <c r="P2448" s="2">
        <f t="shared" ca="1" si="2370"/>
        <v>36873627.330864072</v>
      </c>
      <c r="Q2448" s="2">
        <f t="shared" ca="1" si="2371"/>
        <v>921840.6832716018</v>
      </c>
      <c r="R2448" s="2">
        <f t="shared" ca="1" si="2372"/>
        <v>22124176.398518443</v>
      </c>
      <c r="S2448" s="2">
        <f t="shared" ca="1" si="2373"/>
        <v>14749450.932345629</v>
      </c>
      <c r="T2448" s="2">
        <f t="shared" ca="1" si="2374"/>
        <v>50159410.126762919</v>
      </c>
      <c r="U2448" s="2">
        <f t="shared" ca="1" si="2375"/>
        <v>55126643.815449417</v>
      </c>
      <c r="V2448" s="2">
        <f t="shared" ca="1" si="2376"/>
        <v>60585777.437880494</v>
      </c>
      <c r="W2448" s="2">
        <f t="shared" ca="1" si="2377"/>
        <v>66585523.327717654</v>
      </c>
      <c r="X2448" s="2">
        <f t="shared" ca="1" si="2378"/>
        <v>73179417.749848977</v>
      </c>
      <c r="Y2448" s="2">
        <f t="shared" ca="1" si="2379"/>
        <v>0.12290111613761809</v>
      </c>
      <c r="Z2448" s="2">
        <f t="shared" ca="1" si="2380"/>
        <v>0.12406156259266532</v>
      </c>
      <c r="AA2448" s="2">
        <f t="shared" ca="1" si="2381"/>
        <v>6164647.4893837068</v>
      </c>
      <c r="AB2448" s="2">
        <f t="shared" ca="1" si="2382"/>
        <v>6839097.5722339442</v>
      </c>
      <c r="AC2448" s="2">
        <f t="shared" ca="1" si="2383"/>
        <v>7516366.2198349014</v>
      </c>
      <c r="AD2448" s="2">
        <f t="shared" ca="1" si="2384"/>
        <v>8260704.0700870203</v>
      </c>
      <c r="AE2448" s="2">
        <f t="shared" ca="1" si="2385"/>
        <v>9078752.9156676922</v>
      </c>
      <c r="AF2448" s="2">
        <f t="shared" ca="1" si="2386"/>
        <v>1003188.2025352584</v>
      </c>
      <c r="AG2448" s="2">
        <f t="shared" ca="1" si="2387"/>
        <v>1102532.8763089883</v>
      </c>
      <c r="AH2448" s="2">
        <f t="shared" ca="1" si="2388"/>
        <v>1211715.5487576099</v>
      </c>
      <c r="AI2448" s="2">
        <f t="shared" ca="1" si="2389"/>
        <v>1331710.466554353</v>
      </c>
      <c r="AJ2448" s="2">
        <f t="shared" ca="1" si="2390"/>
        <v>1463588.3549969795</v>
      </c>
      <c r="AK2448" s="2">
        <f t="shared" ca="1" si="2391"/>
        <v>0</v>
      </c>
      <c r="AL2448" s="2">
        <f t="shared" ca="1" si="2392"/>
        <v>49672.336886864978</v>
      </c>
      <c r="AM2448" s="2">
        <f t="shared" ca="1" si="2393"/>
        <v>54591.336224310769</v>
      </c>
      <c r="AN2448" s="2">
        <f t="shared" ca="1" si="2394"/>
        <v>59997.458898371609</v>
      </c>
      <c r="AO2448" s="2">
        <f t="shared" ca="1" si="2395"/>
        <v>65938.944221313228</v>
      </c>
      <c r="AP2448" s="2">
        <f t="shared" ca="1" si="2396"/>
        <v>1991175.8758666599</v>
      </c>
      <c r="AQ2448" s="2">
        <f t="shared" ca="1" si="2397"/>
        <v>824273.68685526494</v>
      </c>
      <c r="AR2448" s="2">
        <f t="shared" ca="1" si="2398"/>
        <v>973801.09321515716</v>
      </c>
      <c r="AS2448" s="2">
        <f t="shared" ca="1" si="2399"/>
        <v>1121503.4467547643</v>
      </c>
      <c r="AT2448" s="2">
        <f t="shared" ca="1" si="2400"/>
        <v>1283832.6091931621</v>
      </c>
      <c r="AU2448" s="2">
        <f t="shared" ca="1" si="2401"/>
        <v>1462237.0580490539</v>
      </c>
      <c r="AV2448" s="2">
        <f t="shared" ca="1" si="2402"/>
        <v>2346009.7241265234</v>
      </c>
      <c r="AW2448" s="2">
        <f t="shared" ca="1" si="2403"/>
        <v>2721915.3899562741</v>
      </c>
      <c r="AX2448" s="2">
        <f t="shared" ca="1" si="2404"/>
        <v>3137380.0122315558</v>
      </c>
      <c r="AY2448" s="2">
        <f t="shared" ca="1" si="2405"/>
        <v>3593987.6595744733</v>
      </c>
      <c r="AZ2448" s="2">
        <f t="shared" ca="1" si="2406"/>
        <v>4095812.682533686</v>
      </c>
      <c r="BA2448" s="2">
        <f t="shared" ca="1" si="2407"/>
        <v>71462517.843366906</v>
      </c>
      <c r="BB2448" s="2">
        <f t="shared" ca="1" si="2408"/>
        <v>1429250.3568673381</v>
      </c>
      <c r="BC2448" s="2">
        <f t="shared" ca="1" si="2409"/>
        <v>47909091.087981127</v>
      </c>
      <c r="BD2448" s="2">
        <f t="shared" ca="1" si="2410"/>
        <v>-16171291.615617231</v>
      </c>
      <c r="BE2448" s="2">
        <f t="shared" ca="1" si="2411"/>
        <v>2346009.7241265234</v>
      </c>
      <c r="BF2448" s="2">
        <f t="shared" ca="1" si="2412"/>
        <v>2721915.3899562741</v>
      </c>
      <c r="BG2448" s="2">
        <f t="shared" ca="1" si="2413"/>
        <v>3137380.0122315558</v>
      </c>
      <c r="BH2448" s="2">
        <f t="shared" ca="1" si="2414"/>
        <v>3593987.6595744733</v>
      </c>
      <c r="BI2448" s="2">
        <f t="shared" ca="1" si="2415"/>
        <v>52004903.770514816</v>
      </c>
      <c r="BJ2448" s="2">
        <f t="shared" ca="1" si="2416"/>
        <v>0.37015088228241977</v>
      </c>
      <c r="BK2448" s="2">
        <f t="shared" ca="1" si="2417"/>
        <v>22119402.490132496</v>
      </c>
    </row>
    <row r="2449" spans="1:63" x14ac:dyDescent="0.3">
      <c r="A2449" s="2">
        <v>2448</v>
      </c>
      <c r="B2449" s="2">
        <f t="shared" ca="1" si="2356"/>
        <v>0.70196019957354039</v>
      </c>
      <c r="C2449" s="2">
        <f t="shared" ca="1" si="2357"/>
        <v>7.2279380848319743</v>
      </c>
      <c r="D2449" s="2">
        <f t="shared" ca="1" si="2358"/>
        <v>0.98717526484881712</v>
      </c>
      <c r="E2449" s="2">
        <f t="shared" ca="1" si="2359"/>
        <v>8.3398454799190294</v>
      </c>
      <c r="F2449" s="2">
        <f t="shared" ca="1" si="2360"/>
        <v>4.7549161018778152E-2</v>
      </c>
      <c r="G2449" s="2">
        <f t="shared" ca="1" si="2361"/>
        <v>-1.0072885128184245E-2</v>
      </c>
      <c r="H2449" s="2">
        <f t="shared" ca="1" si="2362"/>
        <v>-1.0072885128184245E-2</v>
      </c>
      <c r="I2449" s="2">
        <f t="shared" ca="1" si="2363"/>
        <v>0.15726045681389089</v>
      </c>
      <c r="J2449" s="2">
        <f t="shared" ca="1" si="2364"/>
        <v>4.9710948407396191E-3</v>
      </c>
      <c r="K2449" s="2">
        <f t="shared" ca="1" si="2365"/>
        <v>4.9710948407396191E-3</v>
      </c>
      <c r="L2449" s="2">
        <f t="shared" ca="1" si="2366"/>
        <v>0.17310637936723683</v>
      </c>
      <c r="M2449" s="2">
        <f t="shared" ca="1" si="2367"/>
        <v>-1.8839214089428676E-2</v>
      </c>
      <c r="N2449" s="2">
        <f t="shared" ca="1" si="2368"/>
        <v>-1.8839214089428676E-2</v>
      </c>
      <c r="O2449" s="2">
        <f t="shared" si="2369"/>
        <v>6000000</v>
      </c>
      <c r="P2449" s="2">
        <f t="shared" ca="1" si="2370"/>
        <v>43367628.508991845</v>
      </c>
      <c r="Q2449" s="2">
        <f t="shared" ca="1" si="2371"/>
        <v>1084190.7127247963</v>
      </c>
      <c r="R2449" s="2">
        <f t="shared" ca="1" si="2372"/>
        <v>26020577.105395105</v>
      </c>
      <c r="S2449" s="2">
        <f t="shared" ca="1" si="2373"/>
        <v>17347051.40359674</v>
      </c>
      <c r="T2449" s="2">
        <f t="shared" ca="1" si="2374"/>
        <v>49058039.295528568</v>
      </c>
      <c r="U2449" s="2">
        <f t="shared" ca="1" si="2375"/>
        <v>48563883.301090762</v>
      </c>
      <c r="V2449" s="2">
        <f t="shared" ca="1" si="2376"/>
        <v>48074704.88322033</v>
      </c>
      <c r="W2449" s="2">
        <f t="shared" ca="1" si="2377"/>
        <v>47590453.903360292</v>
      </c>
      <c r="X2449" s="2">
        <f t="shared" ca="1" si="2378"/>
        <v>47111080.727993593</v>
      </c>
      <c r="Y2449" s="2">
        <f t="shared" ca="1" si="2379"/>
        <v>0.12248554742036981</v>
      </c>
      <c r="Z2449" s="2">
        <f t="shared" ca="1" si="2380"/>
        <v>0.12347976638851772</v>
      </c>
      <c r="AA2449" s="2">
        <f t="shared" ca="1" si="2381"/>
        <v>6008900.7984828297</v>
      </c>
      <c r="AB2449" s="2">
        <f t="shared" ca="1" si="2382"/>
        <v>5996656.9649379244</v>
      </c>
      <c r="AC2449" s="2">
        <f t="shared" ca="1" si="2383"/>
        <v>5936253.328176979</v>
      </c>
      <c r="AD2449" s="2">
        <f t="shared" ca="1" si="2384"/>
        <v>5876458.1303104507</v>
      </c>
      <c r="AE2449" s="2">
        <f t="shared" ca="1" si="2385"/>
        <v>5817265.242603248</v>
      </c>
      <c r="AF2449" s="2">
        <f t="shared" ca="1" si="2386"/>
        <v>981160.78591057134</v>
      </c>
      <c r="AG2449" s="2">
        <f t="shared" ca="1" si="2387"/>
        <v>971277.66602181527</v>
      </c>
      <c r="AH2449" s="2">
        <f t="shared" ca="1" si="2388"/>
        <v>961494.09766440664</v>
      </c>
      <c r="AI2449" s="2">
        <f t="shared" ca="1" si="2389"/>
        <v>951809.07806720585</v>
      </c>
      <c r="AJ2449" s="2">
        <f t="shared" ca="1" si="2390"/>
        <v>942221.61455987184</v>
      </c>
      <c r="AK2449" s="2">
        <f t="shared" ca="1" si="2391"/>
        <v>0</v>
      </c>
      <c r="AL2449" s="2">
        <f t="shared" ca="1" si="2392"/>
        <v>0</v>
      </c>
      <c r="AM2449" s="2">
        <f t="shared" ca="1" si="2393"/>
        <v>0</v>
      </c>
      <c r="AN2449" s="2">
        <f t="shared" ca="1" si="2394"/>
        <v>0</v>
      </c>
      <c r="AO2449" s="2">
        <f t="shared" ca="1" si="2395"/>
        <v>0</v>
      </c>
      <c r="AP2449" s="2">
        <f t="shared" ca="1" si="2396"/>
        <v>2341851.9394855592</v>
      </c>
      <c r="AQ2449" s="2">
        <f t="shared" ca="1" si="2397"/>
        <v>698330.8990025419</v>
      </c>
      <c r="AR2449" s="2">
        <f t="shared" ca="1" si="2398"/>
        <v>697717.11345194292</v>
      </c>
      <c r="AS2449" s="2">
        <f t="shared" ca="1" si="2399"/>
        <v>684555.89566702349</v>
      </c>
      <c r="AT2449" s="2">
        <f t="shared" ca="1" si="2400"/>
        <v>671527.24931699829</v>
      </c>
      <c r="AU2449" s="2">
        <f t="shared" ca="1" si="2401"/>
        <v>658629.83902503236</v>
      </c>
      <c r="AV2449" s="2">
        <f t="shared" ca="1" si="2402"/>
        <v>1987557.1740841577</v>
      </c>
      <c r="AW2449" s="2">
        <f t="shared" ca="1" si="2403"/>
        <v>1985810.2459786069</v>
      </c>
      <c r="AX2449" s="2">
        <f t="shared" ca="1" si="2404"/>
        <v>1948351.3953599893</v>
      </c>
      <c r="AY2449" s="2">
        <f t="shared" ca="1" si="2405"/>
        <v>1911269.8634406868</v>
      </c>
      <c r="AZ2449" s="2">
        <f t="shared" ca="1" si="2406"/>
        <v>1874561.849532784</v>
      </c>
      <c r="BA2449" s="2">
        <f t="shared" ca="1" si="2407"/>
        <v>48515093.239014775</v>
      </c>
      <c r="BB2449" s="2">
        <f t="shared" ca="1" si="2408"/>
        <v>970301.86478029552</v>
      </c>
      <c r="BC2449" s="2">
        <f t="shared" ca="1" si="2409"/>
        <v>21524214.268839374</v>
      </c>
      <c r="BD2449" s="2">
        <f t="shared" ca="1" si="2410"/>
        <v>-18931242.116321538</v>
      </c>
      <c r="BE2449" s="2">
        <f t="shared" ca="1" si="2411"/>
        <v>1987557.1740841577</v>
      </c>
      <c r="BF2449" s="2">
        <f t="shared" ca="1" si="2412"/>
        <v>1985810.2459786069</v>
      </c>
      <c r="BG2449" s="2">
        <f t="shared" ca="1" si="2413"/>
        <v>1948351.3953599893</v>
      </c>
      <c r="BH2449" s="2">
        <f t="shared" ca="1" si="2414"/>
        <v>1911269.8634406868</v>
      </c>
      <c r="BI2449" s="2">
        <f t="shared" ca="1" si="2415"/>
        <v>23398776.118372157</v>
      </c>
      <c r="BJ2449" s="2">
        <f t="shared" ca="1" si="2416"/>
        <v>0.12429734158549266</v>
      </c>
      <c r="BK2449" s="2">
        <f t="shared" ca="1" si="2417"/>
        <v>304976.8239238821</v>
      </c>
    </row>
    <row r="2450" spans="1:63" x14ac:dyDescent="0.3">
      <c r="A2450" s="2">
        <v>2449</v>
      </c>
      <c r="B2450" s="2">
        <f t="shared" ca="1" si="2356"/>
        <v>0.6265572922607815</v>
      </c>
      <c r="C2450" s="2">
        <f t="shared" ca="1" si="2357"/>
        <v>7.1357746732023895</v>
      </c>
      <c r="D2450" s="2">
        <f t="shared" ca="1" si="2358"/>
        <v>0.22321221303907346</v>
      </c>
      <c r="E2450" s="2">
        <f t="shared" ca="1" si="2359"/>
        <v>7.1681500026776526</v>
      </c>
      <c r="F2450" s="2">
        <f t="shared" ca="1" si="2360"/>
        <v>0.22649333302276564</v>
      </c>
      <c r="G2450" s="2">
        <f t="shared" ca="1" si="2361"/>
        <v>1.7486646456148221E-2</v>
      </c>
      <c r="H2450" s="2">
        <f t="shared" ca="1" si="2362"/>
        <v>1.7486646456148221E-2</v>
      </c>
      <c r="I2450" s="2">
        <f t="shared" ca="1" si="2363"/>
        <v>0.53494163618767898</v>
      </c>
      <c r="J2450" s="2">
        <f t="shared" ca="1" si="2364"/>
        <v>1.0438489884531787E-2</v>
      </c>
      <c r="K2450" s="2">
        <f t="shared" ca="1" si="2365"/>
        <v>1.0438489884531787E-2</v>
      </c>
      <c r="L2450" s="2">
        <f t="shared" ca="1" si="2366"/>
        <v>0.87958288621499925</v>
      </c>
      <c r="M2450" s="2">
        <f t="shared" ca="1" si="2367"/>
        <v>2.3458083877422049E-2</v>
      </c>
      <c r="N2450" s="2">
        <f t="shared" ca="1" si="2368"/>
        <v>2.3458083877422049E-2</v>
      </c>
      <c r="O2450" s="2">
        <f t="shared" si="2369"/>
        <v>6000000</v>
      </c>
      <c r="P2450" s="2">
        <f t="shared" ca="1" si="2370"/>
        <v>42814648.039214335</v>
      </c>
      <c r="Q2450" s="2">
        <f t="shared" ca="1" si="2371"/>
        <v>1070366.2009803585</v>
      </c>
      <c r="R2450" s="2">
        <f t="shared" ca="1" si="2372"/>
        <v>25688788.823528599</v>
      </c>
      <c r="S2450" s="2">
        <f t="shared" ca="1" si="2373"/>
        <v>17125859.215685736</v>
      </c>
      <c r="T2450" s="2">
        <f t="shared" ca="1" si="2374"/>
        <v>51172904.193871103</v>
      </c>
      <c r="U2450" s="2">
        <f t="shared" ca="1" si="2375"/>
        <v>52067746.677643672</v>
      </c>
      <c r="V2450" s="2">
        <f t="shared" ca="1" si="2376"/>
        <v>52978236.955563918</v>
      </c>
      <c r="W2450" s="2">
        <f t="shared" ca="1" si="2377"/>
        <v>53904648.655075915</v>
      </c>
      <c r="X2450" s="2">
        <f t="shared" ca="1" si="2378"/>
        <v>54847260.188450113</v>
      </c>
      <c r="Y2450" s="2">
        <f t="shared" ca="1" si="2379"/>
        <v>0.12521924494226588</v>
      </c>
      <c r="Z2450" s="2">
        <f t="shared" ca="1" si="2380"/>
        <v>0.12730694291917224</v>
      </c>
      <c r="AA2450" s="2">
        <f t="shared" ca="1" si="2381"/>
        <v>6407832.4246594505</v>
      </c>
      <c r="AB2450" s="2">
        <f t="shared" ca="1" si="2382"/>
        <v>6628585.6542207031</v>
      </c>
      <c r="AC2450" s="2">
        <f t="shared" ca="1" si="2383"/>
        <v>6744497.3880603574</v>
      </c>
      <c r="AD2450" s="2">
        <f t="shared" ca="1" si="2384"/>
        <v>6862436.0294097848</v>
      </c>
      <c r="AE2450" s="2">
        <f t="shared" ca="1" si="2385"/>
        <v>6982437.022084007</v>
      </c>
      <c r="AF2450" s="2">
        <f t="shared" ca="1" si="2386"/>
        <v>1023458.083877422</v>
      </c>
      <c r="AG2450" s="2">
        <f t="shared" ca="1" si="2387"/>
        <v>1041354.9335528734</v>
      </c>
      <c r="AH2450" s="2">
        <f t="shared" ca="1" si="2388"/>
        <v>1059564.7391112784</v>
      </c>
      <c r="AI2450" s="2">
        <f t="shared" ca="1" si="2389"/>
        <v>1078092.9731015183</v>
      </c>
      <c r="AJ2450" s="2">
        <f t="shared" ca="1" si="2390"/>
        <v>1096945.2037690023</v>
      </c>
      <c r="AK2450" s="2">
        <f t="shared" ca="1" si="2391"/>
        <v>0</v>
      </c>
      <c r="AL2450" s="2">
        <f t="shared" ca="1" si="2392"/>
        <v>8948.4248377256845</v>
      </c>
      <c r="AM2450" s="2">
        <f t="shared" ca="1" si="2393"/>
        <v>9104.9027792024608</v>
      </c>
      <c r="AN2450" s="2">
        <f t="shared" ca="1" si="2394"/>
        <v>9264.1169951199736</v>
      </c>
      <c r="AO2450" s="2">
        <f t="shared" ca="1" si="2395"/>
        <v>9426.1153337419782</v>
      </c>
      <c r="AP2450" s="2">
        <f t="shared" ca="1" si="2396"/>
        <v>2311990.9941175738</v>
      </c>
      <c r="AQ2450" s="2">
        <f t="shared" ca="1" si="2397"/>
        <v>798819.67013275833</v>
      </c>
      <c r="AR2450" s="2">
        <f t="shared" ca="1" si="2398"/>
        <v>851562.32890306658</v>
      </c>
      <c r="AS2450" s="2">
        <f t="shared" ca="1" si="2399"/>
        <v>876964.83025619143</v>
      </c>
      <c r="AT2450" s="2">
        <f t="shared" ca="1" si="2400"/>
        <v>902811.53616958018</v>
      </c>
      <c r="AU2450" s="2">
        <f t="shared" ca="1" si="2401"/>
        <v>929110.21429133217</v>
      </c>
      <c r="AV2450" s="2">
        <f t="shared" ca="1" si="2402"/>
        <v>2273563.6765316967</v>
      </c>
      <c r="AW2450" s="2">
        <f t="shared" ca="1" si="2403"/>
        <v>2414728.9728094637</v>
      </c>
      <c r="AX2450" s="2">
        <f t="shared" ca="1" si="2404"/>
        <v>2486871.9217961114</v>
      </c>
      <c r="AY2450" s="2">
        <f t="shared" ca="1" si="2405"/>
        <v>2560276.4090259923</v>
      </c>
      <c r="AZ2450" s="2">
        <f t="shared" ca="1" si="2406"/>
        <v>2634964.4945723573</v>
      </c>
      <c r="BA2450" s="2">
        <f t="shared" ca="1" si="2407"/>
        <v>50051155.958548017</v>
      </c>
      <c r="BB2450" s="2">
        <f t="shared" ca="1" si="2408"/>
        <v>1001023.1191709604</v>
      </c>
      <c r="BC2450" s="2">
        <f t="shared" ca="1" si="2409"/>
        <v>23361344.015848458</v>
      </c>
      <c r="BD2450" s="2">
        <f t="shared" ca="1" si="2410"/>
        <v>-18696225.416666094</v>
      </c>
      <c r="BE2450" s="2">
        <f t="shared" ca="1" si="2411"/>
        <v>2273563.6765316967</v>
      </c>
      <c r="BF2450" s="2">
        <f t="shared" ca="1" si="2412"/>
        <v>2414728.9728094637</v>
      </c>
      <c r="BG2450" s="2">
        <f t="shared" ca="1" si="2413"/>
        <v>2486871.9217961114</v>
      </c>
      <c r="BH2450" s="2">
        <f t="shared" ca="1" si="2414"/>
        <v>2560276.4090259923</v>
      </c>
      <c r="BI2450" s="2">
        <f t="shared" ca="1" si="2415"/>
        <v>25996308.510420814</v>
      </c>
      <c r="BJ2450" s="2">
        <f t="shared" ca="1" si="2416"/>
        <v>0.16670120856990445</v>
      </c>
      <c r="BK2450" s="2">
        <f t="shared" ca="1" si="2417"/>
        <v>3406961.1595189571</v>
      </c>
    </row>
    <row r="2451" spans="1:63" x14ac:dyDescent="0.3">
      <c r="A2451" s="2">
        <v>2450</v>
      </c>
      <c r="B2451" s="2">
        <f t="shared" ca="1" si="2356"/>
        <v>0.82289508443343962</v>
      </c>
      <c r="C2451" s="2">
        <f t="shared" ca="1" si="2357"/>
        <v>7.4048446999873727</v>
      </c>
      <c r="D2451" s="2">
        <f t="shared" ca="1" si="2358"/>
        <v>0.50079151261430588</v>
      </c>
      <c r="E2451" s="2">
        <f t="shared" ca="1" si="2359"/>
        <v>7.5007918261085988</v>
      </c>
      <c r="F2451" s="2">
        <f t="shared" ca="1" si="2360"/>
        <v>0.62080706445814438</v>
      </c>
      <c r="G2451" s="2">
        <f t="shared" ca="1" si="2361"/>
        <v>4.9228033473231764E-2</v>
      </c>
      <c r="H2451" s="2">
        <f t="shared" ca="1" si="2362"/>
        <v>4.9228033473231764E-2</v>
      </c>
      <c r="I2451" s="2">
        <f t="shared" ca="1" si="2363"/>
        <v>0.85219577359028476</v>
      </c>
      <c r="J2451" s="2">
        <f t="shared" ca="1" si="2364"/>
        <v>1.5229486481176394E-2</v>
      </c>
      <c r="K2451" s="2">
        <f t="shared" ca="1" si="2365"/>
        <v>1.5229486481176394E-2</v>
      </c>
      <c r="L2451" s="2">
        <f t="shared" ca="1" si="2366"/>
        <v>0.5061691273274268</v>
      </c>
      <c r="M2451" s="2">
        <f t="shared" ca="1" si="2367"/>
        <v>3.0928650673774533E-4</v>
      </c>
      <c r="N2451" s="2">
        <f t="shared" ca="1" si="2368"/>
        <v>3.0928650673774533E-4</v>
      </c>
      <c r="O2451" s="2">
        <f t="shared" si="2369"/>
        <v>6000000</v>
      </c>
      <c r="P2451" s="2">
        <f t="shared" ca="1" si="2370"/>
        <v>44429068.199924238</v>
      </c>
      <c r="Q2451" s="2">
        <f t="shared" ca="1" si="2371"/>
        <v>1110726.704998106</v>
      </c>
      <c r="R2451" s="2">
        <f t="shared" ca="1" si="2372"/>
        <v>26657440.919954542</v>
      </c>
      <c r="S2451" s="2">
        <f t="shared" ca="1" si="2373"/>
        <v>17771627.279969696</v>
      </c>
      <c r="T2451" s="2">
        <f t="shared" ca="1" si="2374"/>
        <v>50015464.325336888</v>
      </c>
      <c r="U2451" s="2">
        <f t="shared" ca="1" si="2375"/>
        <v>52477627.277323805</v>
      </c>
      <c r="V2451" s="2">
        <f t="shared" ca="1" si="2376"/>
        <v>55060997.66952768</v>
      </c>
      <c r="W2451" s="2">
        <f t="shared" ca="1" si="2377"/>
        <v>57771542.305872723</v>
      </c>
      <c r="X2451" s="2">
        <f t="shared" ca="1" si="2378"/>
        <v>60615521.724306449</v>
      </c>
      <c r="Y2451" s="2">
        <f t="shared" ca="1" si="2379"/>
        <v>0.12761474324058819</v>
      </c>
      <c r="Z2451" s="2">
        <f t="shared" ca="1" si="2380"/>
        <v>0.13066064053682347</v>
      </c>
      <c r="AA2451" s="2">
        <f t="shared" ca="1" si="2381"/>
        <v>6382710.6379366657</v>
      </c>
      <c r="AB2451" s="2">
        <f t="shared" ca="1" si="2382"/>
        <v>6856760.3939078078</v>
      </c>
      <c r="AC2451" s="2">
        <f t="shared" ca="1" si="2383"/>
        <v>7194305.2240970312</v>
      </c>
      <c r="AD2451" s="2">
        <f t="shared" ca="1" si="2384"/>
        <v>7548466.7224855255</v>
      </c>
      <c r="AE2451" s="2">
        <f t="shared" ca="1" si="2385"/>
        <v>7920062.8949716184</v>
      </c>
      <c r="AF2451" s="2">
        <f t="shared" ca="1" si="2386"/>
        <v>1000309.2865067378</v>
      </c>
      <c r="AG2451" s="2">
        <f t="shared" ca="1" si="2387"/>
        <v>1049552.545546476</v>
      </c>
      <c r="AH2451" s="2">
        <f t="shared" ca="1" si="2388"/>
        <v>1101219.9533905536</v>
      </c>
      <c r="AI2451" s="2">
        <f t="shared" ca="1" si="2389"/>
        <v>1155430.8461174546</v>
      </c>
      <c r="AJ2451" s="2">
        <f t="shared" ca="1" si="2390"/>
        <v>1212310.4344861291</v>
      </c>
      <c r="AK2451" s="2">
        <f t="shared" ca="1" si="2391"/>
        <v>0</v>
      </c>
      <c r="AL2451" s="2">
        <f t="shared" ca="1" si="2392"/>
        <v>24621.629519869166</v>
      </c>
      <c r="AM2451" s="2">
        <f t="shared" ca="1" si="2393"/>
        <v>25833.703922038749</v>
      </c>
      <c r="AN2451" s="2">
        <f t="shared" ca="1" si="2394"/>
        <v>27105.446363450439</v>
      </c>
      <c r="AO2451" s="2">
        <f t="shared" ca="1" si="2395"/>
        <v>28439.794184337257</v>
      </c>
      <c r="AP2451" s="2">
        <f t="shared" ca="1" si="2396"/>
        <v>2399169.6827959088</v>
      </c>
      <c r="AQ2451" s="2">
        <f t="shared" ca="1" si="2397"/>
        <v>775640.23384484509</v>
      </c>
      <c r="AR2451" s="2">
        <f t="shared" ca="1" si="2398"/>
        <v>886089.92304701009</v>
      </c>
      <c r="AS2451" s="2">
        <f t="shared" ca="1" si="2399"/>
        <v>960418.05285674788</v>
      </c>
      <c r="AT2451" s="2">
        <f t="shared" ca="1" si="2400"/>
        <v>1038405.2103287622</v>
      </c>
      <c r="AU2451" s="2">
        <f t="shared" ca="1" si="2401"/>
        <v>1120231.5221992908</v>
      </c>
      <c r="AV2451" s="2">
        <f t="shared" ca="1" si="2402"/>
        <v>2207591.4347891747</v>
      </c>
      <c r="AW2451" s="2">
        <f t="shared" ca="1" si="2403"/>
        <v>2497326.6129985438</v>
      </c>
      <c r="AX2451" s="2">
        <f t="shared" ca="1" si="2404"/>
        <v>2707663.8311317819</v>
      </c>
      <c r="AY2451" s="2">
        <f t="shared" ca="1" si="2405"/>
        <v>2928355.5368799497</v>
      </c>
      <c r="AZ2451" s="2">
        <f t="shared" ca="1" si="2406"/>
        <v>3159911.4613059522</v>
      </c>
      <c r="BA2451" s="2">
        <f t="shared" ca="1" si="2407"/>
        <v>59406743.024869122</v>
      </c>
      <c r="BB2451" s="2">
        <f t="shared" ca="1" si="2408"/>
        <v>1188134.8604973825</v>
      </c>
      <c r="BC2451" s="2">
        <f t="shared" ca="1" si="2409"/>
        <v>31561167.244417198</v>
      </c>
      <c r="BD2451" s="2">
        <f t="shared" ca="1" si="2410"/>
        <v>-19382353.984967802</v>
      </c>
      <c r="BE2451" s="2">
        <f t="shared" ca="1" si="2411"/>
        <v>2207591.4347891747</v>
      </c>
      <c r="BF2451" s="2">
        <f t="shared" ca="1" si="2412"/>
        <v>2497326.6129985438</v>
      </c>
      <c r="BG2451" s="2">
        <f t="shared" ca="1" si="2413"/>
        <v>2707663.8311317819</v>
      </c>
      <c r="BH2451" s="2">
        <f t="shared" ca="1" si="2414"/>
        <v>2928355.5368799497</v>
      </c>
      <c r="BI2451" s="2">
        <f t="shared" ca="1" si="2415"/>
        <v>34721078.705723152</v>
      </c>
      <c r="BJ2451" s="2">
        <f t="shared" ca="1" si="2416"/>
        <v>0.21640449254725236</v>
      </c>
      <c r="BK2451" s="2">
        <f t="shared" ca="1" si="2417"/>
        <v>8069520.3157706037</v>
      </c>
    </row>
    <row r="2452" spans="1:63" x14ac:dyDescent="0.3">
      <c r="A2452" s="2">
        <v>2451</v>
      </c>
      <c r="B2452" s="2">
        <f t="shared" ca="1" si="2356"/>
        <v>0.85303288739945893</v>
      </c>
      <c r="C2452" s="2">
        <f t="shared" ca="1" si="2357"/>
        <v>7.4578429884239421</v>
      </c>
      <c r="D2452" s="2">
        <f t="shared" ca="1" si="2358"/>
        <v>0.13411251436104388</v>
      </c>
      <c r="E2452" s="2">
        <f t="shared" ca="1" si="2359"/>
        <v>7.0179044590675854</v>
      </c>
      <c r="F2452" s="2">
        <f t="shared" ca="1" si="2360"/>
        <v>0.85652471393380125</v>
      </c>
      <c r="G2452" s="2">
        <f t="shared" ca="1" si="2361"/>
        <v>7.1945052083590089E-2</v>
      </c>
      <c r="H2452" s="2">
        <f t="shared" ca="1" si="2362"/>
        <v>7.1945052083590089E-2</v>
      </c>
      <c r="I2452" s="2">
        <f t="shared" ca="1" si="2363"/>
        <v>0.19833527917356153</v>
      </c>
      <c r="J2452" s="2">
        <f t="shared" ca="1" si="2364"/>
        <v>5.7620878105986888E-3</v>
      </c>
      <c r="K2452" s="2">
        <f t="shared" ca="1" si="2365"/>
        <v>5.7620878105986888E-3</v>
      </c>
      <c r="L2452" s="2">
        <f t="shared" ca="1" si="2366"/>
        <v>0.79120285697120485</v>
      </c>
      <c r="M2452" s="2">
        <f t="shared" ca="1" si="2367"/>
        <v>1.621203936974135E-2</v>
      </c>
      <c r="N2452" s="2">
        <f t="shared" ca="1" si="2368"/>
        <v>1.621203936974135E-2</v>
      </c>
      <c r="O2452" s="2">
        <f t="shared" si="2369"/>
        <v>6000000</v>
      </c>
      <c r="P2452" s="2">
        <f t="shared" ca="1" si="2370"/>
        <v>44747057.930543654</v>
      </c>
      <c r="Q2452" s="2">
        <f t="shared" ca="1" si="2371"/>
        <v>1118676.4482635914</v>
      </c>
      <c r="R2452" s="2">
        <f t="shared" ca="1" si="2372"/>
        <v>26848234.758326191</v>
      </c>
      <c r="S2452" s="2">
        <f t="shared" ca="1" si="2373"/>
        <v>17898823.172217462</v>
      </c>
      <c r="T2452" s="2">
        <f t="shared" ca="1" si="2374"/>
        <v>50810601.968487069</v>
      </c>
      <c r="U2452" s="2">
        <f t="shared" ca="1" si="2375"/>
        <v>54466173.373508431</v>
      </c>
      <c r="V2452" s="2">
        <f t="shared" ca="1" si="2376"/>
        <v>58384745.053659342</v>
      </c>
      <c r="W2452" s="2">
        <f t="shared" ca="1" si="2377"/>
        <v>62585238.577431992</v>
      </c>
      <c r="X2452" s="2">
        <f t="shared" ca="1" si="2378"/>
        <v>67087936.826549247</v>
      </c>
      <c r="Y2452" s="2">
        <f t="shared" ca="1" si="2379"/>
        <v>0.12288104390529934</v>
      </c>
      <c r="Z2452" s="2">
        <f t="shared" ca="1" si="2380"/>
        <v>0.12403346146741907</v>
      </c>
      <c r="AA2452" s="2">
        <f t="shared" ca="1" si="2381"/>
        <v>6243659.8113443488</v>
      </c>
      <c r="AB2452" s="2">
        <f t="shared" ca="1" si="2382"/>
        <v>6755628.0164008243</v>
      </c>
      <c r="AC2452" s="2">
        <f t="shared" ca="1" si="2383"/>
        <v>7241662.0258981427</v>
      </c>
      <c r="AD2452" s="2">
        <f t="shared" ca="1" si="2384"/>
        <v>7762663.7775231404</v>
      </c>
      <c r="AE2452" s="2">
        <f t="shared" ca="1" si="2385"/>
        <v>8321149.0273044407</v>
      </c>
      <c r="AF2452" s="2">
        <f t="shared" ca="1" si="2386"/>
        <v>1016212.0393697415</v>
      </c>
      <c r="AG2452" s="2">
        <f t="shared" ca="1" si="2387"/>
        <v>1089323.4674701686</v>
      </c>
      <c r="AH2452" s="2">
        <f t="shared" ca="1" si="2388"/>
        <v>1167694.9010731869</v>
      </c>
      <c r="AI2452" s="2">
        <f t="shared" ca="1" si="2389"/>
        <v>1251704.7715486398</v>
      </c>
      <c r="AJ2452" s="2">
        <f t="shared" ca="1" si="2390"/>
        <v>1341758.736530985</v>
      </c>
      <c r="AK2452" s="2">
        <f t="shared" ca="1" si="2391"/>
        <v>0</v>
      </c>
      <c r="AL2452" s="2">
        <f t="shared" ca="1" si="2392"/>
        <v>36555.714050213624</v>
      </c>
      <c r="AM2452" s="2">
        <f t="shared" ca="1" si="2393"/>
        <v>39185.716801509116</v>
      </c>
      <c r="AN2452" s="2">
        <f t="shared" ca="1" si="2394"/>
        <v>42004.935237726495</v>
      </c>
      <c r="AO2452" s="2">
        <f t="shared" ca="1" si="2395"/>
        <v>45026.982491172552</v>
      </c>
      <c r="AP2452" s="2">
        <f t="shared" ca="1" si="2396"/>
        <v>2416341.128249357</v>
      </c>
      <c r="AQ2452" s="2">
        <f t="shared" ca="1" si="2397"/>
        <v>730887.72736856516</v>
      </c>
      <c r="AR2452" s="2">
        <f t="shared" ca="1" si="2398"/>
        <v>844990.48937713786</v>
      </c>
      <c r="AS2452" s="2">
        <f t="shared" ca="1" si="2399"/>
        <v>950982.75910965574</v>
      </c>
      <c r="AT2452" s="2">
        <f t="shared" ca="1" si="2400"/>
        <v>1064600.6482085374</v>
      </c>
      <c r="AU2452" s="2">
        <f t="shared" ca="1" si="2401"/>
        <v>1186392.7822562656</v>
      </c>
      <c r="AV2452" s="2">
        <f t="shared" ca="1" si="2402"/>
        <v>2080218.9163566851</v>
      </c>
      <c r="AW2452" s="2">
        <f t="shared" ca="1" si="2403"/>
        <v>2368417.2172539472</v>
      </c>
      <c r="AX2452" s="2">
        <f t="shared" ca="1" si="2404"/>
        <v>2667457.5206644344</v>
      </c>
      <c r="AY2452" s="2">
        <f t="shared" ca="1" si="2405"/>
        <v>2988012.2942788801</v>
      </c>
      <c r="AZ2452" s="2">
        <f t="shared" ca="1" si="2406"/>
        <v>3331629.397776661</v>
      </c>
      <c r="BA2452" s="2">
        <f t="shared" ca="1" si="2407"/>
        <v>58397028.863285735</v>
      </c>
      <c r="BB2452" s="2">
        <f t="shared" ca="1" si="2408"/>
        <v>1167940.5772657148</v>
      </c>
      <c r="BC2452" s="2">
        <f t="shared" ca="1" si="2409"/>
        <v>30380853.52769383</v>
      </c>
      <c r="BD2452" s="2">
        <f t="shared" ca="1" si="2410"/>
        <v>-19517499.620481055</v>
      </c>
      <c r="BE2452" s="2">
        <f t="shared" ca="1" si="2411"/>
        <v>2080218.9163566851</v>
      </c>
      <c r="BF2452" s="2">
        <f t="shared" ca="1" si="2412"/>
        <v>2368417.2172539472</v>
      </c>
      <c r="BG2452" s="2">
        <f t="shared" ca="1" si="2413"/>
        <v>2667457.5206644344</v>
      </c>
      <c r="BH2452" s="2">
        <f t="shared" ca="1" si="2414"/>
        <v>2988012.2942788801</v>
      </c>
      <c r="BI2452" s="2">
        <f t="shared" ca="1" si="2415"/>
        <v>33712482.925470494</v>
      </c>
      <c r="BJ2452" s="2">
        <f t="shared" ca="1" si="2416"/>
        <v>0.20575770991482867</v>
      </c>
      <c r="BK2452" s="2">
        <f t="shared" ca="1" si="2417"/>
        <v>7154873.9942429103</v>
      </c>
    </row>
    <row r="2453" spans="1:63" x14ac:dyDescent="0.3">
      <c r="A2453" s="2">
        <v>2452</v>
      </c>
      <c r="B2453" s="2">
        <f t="shared" ca="1" si="2356"/>
        <v>0.81676277154664145</v>
      </c>
      <c r="C2453" s="2">
        <f t="shared" ca="1" si="2357"/>
        <v>7.394628661971252</v>
      </c>
      <c r="D2453" s="2">
        <f t="shared" ca="1" si="2358"/>
        <v>0.79019506784533966</v>
      </c>
      <c r="E2453" s="2">
        <f t="shared" ca="1" si="2359"/>
        <v>7.8522269963101881</v>
      </c>
      <c r="F2453" s="2">
        <f t="shared" ca="1" si="2360"/>
        <v>0.20498767923329397</v>
      </c>
      <c r="G2453" s="2">
        <f t="shared" ca="1" si="2361"/>
        <v>1.5281890152489631E-2</v>
      </c>
      <c r="H2453" s="2">
        <f t="shared" ca="1" si="2362"/>
        <v>1.5281890152489631E-2</v>
      </c>
      <c r="I2453" s="2">
        <f t="shared" ca="1" si="2363"/>
        <v>0.58798110374830026</v>
      </c>
      <c r="J2453" s="2">
        <f t="shared" ca="1" si="2364"/>
        <v>1.1111773376353955E-2</v>
      </c>
      <c r="K2453" s="2">
        <f t="shared" ca="1" si="2365"/>
        <v>1.1111773376353955E-2</v>
      </c>
      <c r="L2453" s="2">
        <f t="shared" ca="1" si="2366"/>
        <v>0.92327187152301782</v>
      </c>
      <c r="M2453" s="2">
        <f t="shared" ca="1" si="2367"/>
        <v>2.8548581376325446E-2</v>
      </c>
      <c r="N2453" s="2">
        <f t="shared" ca="1" si="2368"/>
        <v>2.8548581376325446E-2</v>
      </c>
      <c r="O2453" s="2">
        <f t="shared" si="2369"/>
        <v>6000000</v>
      </c>
      <c r="P2453" s="2">
        <f t="shared" ca="1" si="2370"/>
        <v>44367771.971827514</v>
      </c>
      <c r="Q2453" s="2">
        <f t="shared" ca="1" si="2371"/>
        <v>1109194.2992956878</v>
      </c>
      <c r="R2453" s="2">
        <f t="shared" ca="1" si="2372"/>
        <v>26620663.183096509</v>
      </c>
      <c r="S2453" s="2">
        <f t="shared" ca="1" si="2373"/>
        <v>17747108.788731005</v>
      </c>
      <c r="T2453" s="2">
        <f t="shared" ca="1" si="2374"/>
        <v>51427429.068816274</v>
      </c>
      <c r="U2453" s="2">
        <f t="shared" ca="1" si="2375"/>
        <v>52213337.390670873</v>
      </c>
      <c r="V2453" s="2">
        <f t="shared" ca="1" si="2376"/>
        <v>53011255.877169982</v>
      </c>
      <c r="W2453" s="2">
        <f t="shared" ca="1" si="2377"/>
        <v>53821368.066330411</v>
      </c>
      <c r="X2453" s="2">
        <f t="shared" ca="1" si="2378"/>
        <v>54643860.300976783</v>
      </c>
      <c r="Y2453" s="2">
        <f t="shared" ca="1" si="2379"/>
        <v>0.12555588668817697</v>
      </c>
      <c r="Z2453" s="2">
        <f t="shared" ca="1" si="2380"/>
        <v>0.12777824136344776</v>
      </c>
      <c r="AA2453" s="2">
        <f t="shared" ca="1" si="2381"/>
        <v>6457016.4568285542</v>
      </c>
      <c r="AB2453" s="2">
        <f t="shared" ca="1" si="2382"/>
        <v>6671728.427496274</v>
      </c>
      <c r="AC2453" s="2">
        <f t="shared" ca="1" si="2383"/>
        <v>6773685.0484525142</v>
      </c>
      <c r="AD2453" s="2">
        <f t="shared" ca="1" si="2384"/>
        <v>6877199.7592905266</v>
      </c>
      <c r="AE2453" s="2">
        <f t="shared" ca="1" si="2385"/>
        <v>6982296.3705687327</v>
      </c>
      <c r="AF2453" s="2">
        <f t="shared" ca="1" si="2386"/>
        <v>1028548.5813763255</v>
      </c>
      <c r="AG2453" s="2">
        <f t="shared" ca="1" si="2387"/>
        <v>1044266.7478134175</v>
      </c>
      <c r="AH2453" s="2">
        <f t="shared" ca="1" si="2388"/>
        <v>1060225.1175433996</v>
      </c>
      <c r="AI2453" s="2">
        <f t="shared" ca="1" si="2389"/>
        <v>1076427.3613266083</v>
      </c>
      <c r="AJ2453" s="2">
        <f t="shared" ca="1" si="2390"/>
        <v>1092877.2060195357</v>
      </c>
      <c r="AK2453" s="2">
        <f t="shared" ca="1" si="2391"/>
        <v>0</v>
      </c>
      <c r="AL2453" s="2">
        <f t="shared" ca="1" si="2392"/>
        <v>7859.0832185459885</v>
      </c>
      <c r="AM2453" s="2">
        <f t="shared" ca="1" si="2393"/>
        <v>7979.1848649910835</v>
      </c>
      <c r="AN2453" s="2">
        <f t="shared" ca="1" si="2394"/>
        <v>8101.1218916042899</v>
      </c>
      <c r="AO2453" s="2">
        <f t="shared" ca="1" si="2395"/>
        <v>8224.9223464637253</v>
      </c>
      <c r="AP2453" s="2">
        <f t="shared" ca="1" si="2396"/>
        <v>2395859.6864786856</v>
      </c>
      <c r="AQ2453" s="2">
        <f t="shared" ca="1" si="2397"/>
        <v>788478.12913312123</v>
      </c>
      <c r="AR2453" s="2">
        <f t="shared" ca="1" si="2398"/>
        <v>840216.51823308447</v>
      </c>
      <c r="AS2453" s="2">
        <f t="shared" ca="1" si="2399"/>
        <v>862576.06355191162</v>
      </c>
      <c r="AT2453" s="2">
        <f t="shared" ca="1" si="2400"/>
        <v>885277.3049861606</v>
      </c>
      <c r="AU2453" s="2">
        <f t="shared" ca="1" si="2401"/>
        <v>908325.46429833304</v>
      </c>
      <c r="AV2453" s="2">
        <f t="shared" ca="1" si="2402"/>
        <v>2244130.0598404221</v>
      </c>
      <c r="AW2453" s="2">
        <f t="shared" ca="1" si="2403"/>
        <v>2383526.3917525411</v>
      </c>
      <c r="AX2453" s="2">
        <f t="shared" ca="1" si="2404"/>
        <v>2447044.9960135259</v>
      </c>
      <c r="AY2453" s="2">
        <f t="shared" ca="1" si="2405"/>
        <v>2511534.2846074682</v>
      </c>
      <c r="AZ2453" s="2">
        <f t="shared" ca="1" si="2406"/>
        <v>2577009.091425715</v>
      </c>
      <c r="BA2453" s="2">
        <f t="shared" ca="1" si="2407"/>
        <v>54826576.057218447</v>
      </c>
      <c r="BB2453" s="2">
        <f t="shared" ca="1" si="2408"/>
        <v>1096531.5211443689</v>
      </c>
      <c r="BC2453" s="2">
        <f t="shared" ca="1" si="2409"/>
        <v>27109381.35297757</v>
      </c>
      <c r="BD2453" s="2">
        <f t="shared" ca="1" si="2410"/>
        <v>-19356303.088026691</v>
      </c>
      <c r="BE2453" s="2">
        <f t="shared" ca="1" si="2411"/>
        <v>2244130.0598404221</v>
      </c>
      <c r="BF2453" s="2">
        <f t="shared" ca="1" si="2412"/>
        <v>2383526.3917525411</v>
      </c>
      <c r="BG2453" s="2">
        <f t="shared" ca="1" si="2413"/>
        <v>2447044.9960135259</v>
      </c>
      <c r="BH2453" s="2">
        <f t="shared" ca="1" si="2414"/>
        <v>2511534.2846074682</v>
      </c>
      <c r="BI2453" s="2">
        <f t="shared" ca="1" si="2415"/>
        <v>29686390.444403283</v>
      </c>
      <c r="BJ2453" s="2">
        <f t="shared" ca="1" si="2416"/>
        <v>0.18027024499356026</v>
      </c>
      <c r="BK2453" s="2">
        <f t="shared" ca="1" si="2417"/>
        <v>4730256.0354657471</v>
      </c>
    </row>
    <row r="2454" spans="1:63" x14ac:dyDescent="0.3">
      <c r="A2454" s="2">
        <v>2453</v>
      </c>
      <c r="B2454" s="2">
        <f t="shared" ca="1" si="2356"/>
        <v>0.31614085727579222</v>
      </c>
      <c r="C2454" s="2">
        <f t="shared" ca="1" si="2357"/>
        <v>6.7951614393012179</v>
      </c>
      <c r="D2454" s="2">
        <f t="shared" ca="1" si="2358"/>
        <v>0.64049502175742479</v>
      </c>
      <c r="E2454" s="2">
        <f t="shared" ca="1" si="2359"/>
        <v>7.6520554519986872</v>
      </c>
      <c r="F2454" s="2">
        <f t="shared" ca="1" si="2360"/>
        <v>0.34069098398180442</v>
      </c>
      <c r="G2454" s="2">
        <f t="shared" ca="1" si="2361"/>
        <v>2.7682658763060579E-2</v>
      </c>
      <c r="H2454" s="2">
        <f t="shared" ca="1" si="2362"/>
        <v>2.7682658763060579E-2</v>
      </c>
      <c r="I2454" s="2">
        <f t="shared" ca="1" si="2363"/>
        <v>0.67098123413555344</v>
      </c>
      <c r="J2454" s="2">
        <f t="shared" ca="1" si="2364"/>
        <v>1.2213121317316455E-2</v>
      </c>
      <c r="K2454" s="2">
        <f t="shared" ca="1" si="2365"/>
        <v>1.2213121317316455E-2</v>
      </c>
      <c r="L2454" s="2">
        <f t="shared" ca="1" si="2366"/>
        <v>0.83208187755191843</v>
      </c>
      <c r="M2454" s="2">
        <f t="shared" ca="1" si="2367"/>
        <v>1.9248496642554489E-2</v>
      </c>
      <c r="N2454" s="2">
        <f t="shared" ca="1" si="2368"/>
        <v>1.9248496642554489E-2</v>
      </c>
      <c r="O2454" s="2">
        <f t="shared" si="2369"/>
        <v>6000000</v>
      </c>
      <c r="P2454" s="2">
        <f t="shared" ca="1" si="2370"/>
        <v>40770968.635807306</v>
      </c>
      <c r="Q2454" s="2">
        <f t="shared" ca="1" si="2371"/>
        <v>1019274.2158951827</v>
      </c>
      <c r="R2454" s="2">
        <f t="shared" ca="1" si="2372"/>
        <v>24462581.181484383</v>
      </c>
      <c r="S2454" s="2">
        <f t="shared" ca="1" si="2373"/>
        <v>16308387.454322923</v>
      </c>
      <c r="T2454" s="2">
        <f t="shared" ca="1" si="2374"/>
        <v>50962424.832127728</v>
      </c>
      <c r="U2454" s="2">
        <f t="shared" ca="1" si="2375"/>
        <v>52373200.248493642</v>
      </c>
      <c r="V2454" s="2">
        <f t="shared" ca="1" si="2376"/>
        <v>53823029.679302126</v>
      </c>
      <c r="W2454" s="2">
        <f t="shared" ca="1" si="2377"/>
        <v>55312994.243508324</v>
      </c>
      <c r="X2454" s="2">
        <f t="shared" ca="1" si="2378"/>
        <v>56844204.988314494</v>
      </c>
      <c r="Y2454" s="2">
        <f t="shared" ca="1" si="2379"/>
        <v>0.12610656065865822</v>
      </c>
      <c r="Z2454" s="2">
        <f t="shared" ca="1" si="2380"/>
        <v>0.1285491849221215</v>
      </c>
      <c r="AA2454" s="2">
        <f t="shared" ca="1" si="2381"/>
        <v>6426696.1184050255</v>
      </c>
      <c r="AB2454" s="2">
        <f t="shared" ca="1" si="2382"/>
        <v>6732532.203706909</v>
      </c>
      <c r="AC2454" s="2">
        <f t="shared" ca="1" si="2383"/>
        <v>6918906.5953134429</v>
      </c>
      <c r="AD2454" s="2">
        <f t="shared" ca="1" si="2384"/>
        <v>7110440.3256049938</v>
      </c>
      <c r="AE2454" s="2">
        <f t="shared" ca="1" si="2385"/>
        <v>7307276.2187938215</v>
      </c>
      <c r="AF2454" s="2">
        <f t="shared" ca="1" si="2386"/>
        <v>1019248.4966425545</v>
      </c>
      <c r="AG2454" s="2">
        <f t="shared" ca="1" si="2387"/>
        <v>1047464.0049698729</v>
      </c>
      <c r="AH2454" s="2">
        <f t="shared" ca="1" si="2388"/>
        <v>1076460.5935860425</v>
      </c>
      <c r="AI2454" s="2">
        <f t="shared" ca="1" si="2389"/>
        <v>1106259.8848701664</v>
      </c>
      <c r="AJ2454" s="2">
        <f t="shared" ca="1" si="2390"/>
        <v>1136884.0997662898</v>
      </c>
      <c r="AK2454" s="2">
        <f t="shared" ca="1" si="2391"/>
        <v>0</v>
      </c>
      <c r="AL2454" s="2">
        <f t="shared" ca="1" si="2392"/>
        <v>14107.754163659141</v>
      </c>
      <c r="AM2454" s="2">
        <f t="shared" ca="1" si="2393"/>
        <v>14498.294308084845</v>
      </c>
      <c r="AN2454" s="2">
        <f t="shared" ca="1" si="2394"/>
        <v>14899.64564206198</v>
      </c>
      <c r="AO2454" s="2">
        <f t="shared" ca="1" si="2395"/>
        <v>15312.107448061704</v>
      </c>
      <c r="AP2454" s="2">
        <f t="shared" ca="1" si="2396"/>
        <v>2201632.3063335945</v>
      </c>
      <c r="AQ2454" s="2">
        <f t="shared" ca="1" si="2397"/>
        <v>833511.98201150796</v>
      </c>
      <c r="AR2454" s="2">
        <f t="shared" ca="1" si="2398"/>
        <v>905693.33202489489</v>
      </c>
      <c r="AS2454" s="2">
        <f t="shared" ca="1" si="2399"/>
        <v>946611.56080238952</v>
      </c>
      <c r="AT2454" s="2">
        <f t="shared" ca="1" si="2400"/>
        <v>988662.51494432066</v>
      </c>
      <c r="AU2454" s="2">
        <f t="shared" ca="1" si="2401"/>
        <v>1031877.5513004237</v>
      </c>
      <c r="AV2454" s="2">
        <f t="shared" ca="1" si="2402"/>
        <v>2372303.3334173686</v>
      </c>
      <c r="AW2454" s="2">
        <f t="shared" ca="1" si="2403"/>
        <v>2563634.8062148881</v>
      </c>
      <c r="AX2454" s="2">
        <f t="shared" ca="1" si="2404"/>
        <v>2679703.840283331</v>
      </c>
      <c r="AY2454" s="2">
        <f t="shared" ca="1" si="2405"/>
        <v>2798985.9738148511</v>
      </c>
      <c r="AZ2454" s="2">
        <f t="shared" ca="1" si="2406"/>
        <v>2921570.1539454511</v>
      </c>
      <c r="BA2454" s="2">
        <f t="shared" ca="1" si="2407"/>
        <v>55915682.829281613</v>
      </c>
      <c r="BB2454" s="2">
        <f t="shared" ca="1" si="2408"/>
        <v>1118313.6565856324</v>
      </c>
      <c r="BC2454" s="2">
        <f t="shared" ca="1" si="2409"/>
        <v>30334787.991211597</v>
      </c>
      <c r="BD2454" s="2">
        <f t="shared" ca="1" si="2410"/>
        <v>-17827661.670218106</v>
      </c>
      <c r="BE2454" s="2">
        <f t="shared" ca="1" si="2411"/>
        <v>2372303.3334173686</v>
      </c>
      <c r="BF2454" s="2">
        <f t="shared" ca="1" si="2412"/>
        <v>2563634.8062148881</v>
      </c>
      <c r="BG2454" s="2">
        <f t="shared" ca="1" si="2413"/>
        <v>2679703.840283331</v>
      </c>
      <c r="BH2454" s="2">
        <f t="shared" ca="1" si="2414"/>
        <v>2798985.9738148511</v>
      </c>
      <c r="BI2454" s="2">
        <f t="shared" ca="1" si="2415"/>
        <v>33256358.145157047</v>
      </c>
      <c r="BJ2454" s="2">
        <f t="shared" ca="1" si="2416"/>
        <v>0.23457909577393998</v>
      </c>
      <c r="BK2454" s="2">
        <f t="shared" ca="1" si="2417"/>
        <v>8890897.4638609998</v>
      </c>
    </row>
    <row r="2455" spans="1:63" x14ac:dyDescent="0.3">
      <c r="A2455" s="2">
        <v>2454</v>
      </c>
      <c r="B2455" s="2">
        <f t="shared" ca="1" si="2356"/>
        <v>0.69887376437031212</v>
      </c>
      <c r="C2455" s="2">
        <f t="shared" ca="1" si="2357"/>
        <v>7.2239507288455354</v>
      </c>
      <c r="D2455" s="2">
        <f t="shared" ca="1" si="2358"/>
        <v>0.51996616919219441</v>
      </c>
      <c r="E2455" s="2">
        <f t="shared" ca="1" si="2359"/>
        <v>7.5201695750714759</v>
      </c>
      <c r="F2455" s="2">
        <f t="shared" ca="1" si="2360"/>
        <v>0.78111886108820749</v>
      </c>
      <c r="G2455" s="2">
        <f t="shared" ca="1" si="2361"/>
        <v>6.3279324652652943E-2</v>
      </c>
      <c r="H2455" s="2">
        <f t="shared" ca="1" si="2362"/>
        <v>6.3279324652652943E-2</v>
      </c>
      <c r="I2455" s="2">
        <f t="shared" ca="1" si="2363"/>
        <v>0.71722205353562152</v>
      </c>
      <c r="J2455" s="2">
        <f t="shared" ca="1" si="2364"/>
        <v>1.2873044046245442E-2</v>
      </c>
      <c r="K2455" s="2">
        <f t="shared" ca="1" si="2365"/>
        <v>1.2873044046245442E-2</v>
      </c>
      <c r="L2455" s="2">
        <f t="shared" ca="1" si="2366"/>
        <v>0.42833148167271029</v>
      </c>
      <c r="M2455" s="2">
        <f t="shared" ca="1" si="2367"/>
        <v>-3.6124737094586964E-3</v>
      </c>
      <c r="N2455" s="2">
        <f t="shared" ca="1" si="2368"/>
        <v>-3.6124737094586964E-3</v>
      </c>
      <c r="O2455" s="2">
        <f t="shared" si="2369"/>
        <v>6000000</v>
      </c>
      <c r="P2455" s="2">
        <f t="shared" ca="1" si="2370"/>
        <v>43343704.373073213</v>
      </c>
      <c r="Q2455" s="2">
        <f t="shared" ca="1" si="2371"/>
        <v>1083592.6093268304</v>
      </c>
      <c r="R2455" s="2">
        <f t="shared" ca="1" si="2372"/>
        <v>26006222.623843927</v>
      </c>
      <c r="S2455" s="2">
        <f t="shared" ca="1" si="2373"/>
        <v>17337481.749229286</v>
      </c>
      <c r="T2455" s="2">
        <f t="shared" ca="1" si="2374"/>
        <v>49819376.314527065</v>
      </c>
      <c r="U2455" s="2">
        <f t="shared" ca="1" si="2375"/>
        <v>52971912.802326709</v>
      </c>
      <c r="V2455" s="2">
        <f t="shared" ca="1" si="2376"/>
        <v>56323939.67001716</v>
      </c>
      <c r="W2455" s="2">
        <f t="shared" ca="1" si="2377"/>
        <v>59888080.53411261</v>
      </c>
      <c r="X2455" s="2">
        <f t="shared" ca="1" si="2378"/>
        <v>63677757.825054944</v>
      </c>
      <c r="Y2455" s="2">
        <f t="shared" ca="1" si="2379"/>
        <v>0.12643652202312272</v>
      </c>
      <c r="Z2455" s="2">
        <f t="shared" ca="1" si="2380"/>
        <v>0.12901113083237181</v>
      </c>
      <c r="AA2455" s="2">
        <f t="shared" ca="1" si="2381"/>
        <v>6298988.6705699395</v>
      </c>
      <c r="AB2455" s="2">
        <f t="shared" ca="1" si="2382"/>
        <v>6833966.3729819627</v>
      </c>
      <c r="AC2455" s="2">
        <f t="shared" ca="1" si="2383"/>
        <v>7266415.1497632004</v>
      </c>
      <c r="AD2455" s="2">
        <f t="shared" ca="1" si="2384"/>
        <v>7726228.9930860214</v>
      </c>
      <c r="AE2455" s="2">
        <f t="shared" ca="1" si="2385"/>
        <v>8215139.5458802516</v>
      </c>
      <c r="AF2455" s="2">
        <f t="shared" ca="1" si="2386"/>
        <v>996387.52629054128</v>
      </c>
      <c r="AG2455" s="2">
        <f t="shared" ca="1" si="2387"/>
        <v>1059438.2560465343</v>
      </c>
      <c r="AH2455" s="2">
        <f t="shared" ca="1" si="2388"/>
        <v>1126478.7934003433</v>
      </c>
      <c r="AI2455" s="2">
        <f t="shared" ca="1" si="2389"/>
        <v>1197761.6106822523</v>
      </c>
      <c r="AJ2455" s="2">
        <f t="shared" ca="1" si="2390"/>
        <v>1273555.156501099</v>
      </c>
      <c r="AK2455" s="2">
        <f t="shared" ca="1" si="2391"/>
        <v>0</v>
      </c>
      <c r="AL2455" s="2">
        <f t="shared" ca="1" si="2392"/>
        <v>31525.364877996446</v>
      </c>
      <c r="AM2455" s="2">
        <f t="shared" ca="1" si="2393"/>
        <v>33520.268676904518</v>
      </c>
      <c r="AN2455" s="2">
        <f t="shared" ca="1" si="2394"/>
        <v>35641.408640954498</v>
      </c>
      <c r="AO2455" s="2">
        <f t="shared" ca="1" si="2395"/>
        <v>37896.772909423336</v>
      </c>
      <c r="AP2455" s="2">
        <f t="shared" ca="1" si="2396"/>
        <v>2340560.0361459535</v>
      </c>
      <c r="AQ2455" s="2">
        <f t="shared" ca="1" si="2397"/>
        <v>770130.6881146956</v>
      </c>
      <c r="AR2455" s="2">
        <f t="shared" ca="1" si="2398"/>
        <v>892831.70100526349</v>
      </c>
      <c r="AS2455" s="2">
        <f t="shared" ca="1" si="2399"/>
        <v>987837.84325639496</v>
      </c>
      <c r="AT2455" s="2">
        <f t="shared" ca="1" si="2400"/>
        <v>1088855.910027032</v>
      </c>
      <c r="AU2455" s="2">
        <f t="shared" ca="1" si="2401"/>
        <v>1196266.331840632</v>
      </c>
      <c r="AV2455" s="2">
        <f t="shared" ca="1" si="2402"/>
        <v>2191910.4200187493</v>
      </c>
      <c r="AW2455" s="2">
        <f t="shared" ca="1" si="2403"/>
        <v>2509611.0149062155</v>
      </c>
      <c r="AX2455" s="2">
        <f t="shared" ca="1" si="2404"/>
        <v>2778018.2082836032</v>
      </c>
      <c r="AY2455" s="2">
        <f t="shared" ca="1" si="2405"/>
        <v>3063410.0275898287</v>
      </c>
      <c r="AZ2455" s="2">
        <f t="shared" ca="1" si="2406"/>
        <v>3366861.2484831437</v>
      </c>
      <c r="BA2455" s="2">
        <f t="shared" ca="1" si="2407"/>
        <v>61779242.467895165</v>
      </c>
      <c r="BB2455" s="2">
        <f t="shared" ca="1" si="2408"/>
        <v>1235584.8493579032</v>
      </c>
      <c r="BC2455" s="2">
        <f t="shared" ca="1" si="2409"/>
        <v>34537434.994693339</v>
      </c>
      <c r="BD2455" s="2">
        <f t="shared" ca="1" si="2410"/>
        <v>-18921074.358556118</v>
      </c>
      <c r="BE2455" s="2">
        <f t="shared" ca="1" si="2411"/>
        <v>2191910.4200187493</v>
      </c>
      <c r="BF2455" s="2">
        <f t="shared" ca="1" si="2412"/>
        <v>2509611.0149062155</v>
      </c>
      <c r="BG2455" s="2">
        <f t="shared" ca="1" si="2413"/>
        <v>2778018.2082836032</v>
      </c>
      <c r="BH2455" s="2">
        <f t="shared" ca="1" si="2414"/>
        <v>3063410.0275898287</v>
      </c>
      <c r="BI2455" s="2">
        <f t="shared" ca="1" si="2415"/>
        <v>37904296.243176483</v>
      </c>
      <c r="BJ2455" s="2">
        <f t="shared" ca="1" si="2416"/>
        <v>0.24253382696095538</v>
      </c>
      <c r="BK2455" s="2">
        <f t="shared" ca="1" si="2417"/>
        <v>10468741.630892653</v>
      </c>
    </row>
    <row r="2456" spans="1:63" x14ac:dyDescent="0.3">
      <c r="A2456" s="2">
        <v>2455</v>
      </c>
      <c r="B2456" s="2">
        <f t="shared" ca="1" si="2356"/>
        <v>0.90282678264589189</v>
      </c>
      <c r="C2456" s="2">
        <f t="shared" ca="1" si="2357"/>
        <v>7.5591525947584399</v>
      </c>
      <c r="D2456" s="2">
        <f t="shared" ca="1" si="2358"/>
        <v>0.4949614999631804</v>
      </c>
      <c r="E2456" s="2">
        <f t="shared" ca="1" si="2359"/>
        <v>7.4949487423613146</v>
      </c>
      <c r="F2456" s="2">
        <f t="shared" ca="1" si="2360"/>
        <v>0.27535652251456488</v>
      </c>
      <c r="G2456" s="2">
        <f t="shared" ca="1" si="2361"/>
        <v>2.2099240461652604E-2</v>
      </c>
      <c r="H2456" s="2">
        <f t="shared" ca="1" si="2362"/>
        <v>2.2099240461652604E-2</v>
      </c>
      <c r="I2456" s="2">
        <f t="shared" ca="1" si="2363"/>
        <v>0.6091336186576316</v>
      </c>
      <c r="J2456" s="2">
        <f t="shared" ca="1" si="2364"/>
        <v>1.1385308286950441E-2</v>
      </c>
      <c r="K2456" s="2">
        <f t="shared" ca="1" si="2365"/>
        <v>1.1385308286950441E-2</v>
      </c>
      <c r="L2456" s="2">
        <f t="shared" ca="1" si="2366"/>
        <v>0.23122597820357971</v>
      </c>
      <c r="M2456" s="2">
        <f t="shared" ca="1" si="2367"/>
        <v>-1.469630703033302E-2</v>
      </c>
      <c r="N2456" s="2">
        <f t="shared" ca="1" si="2368"/>
        <v>-1.469630703033302E-2</v>
      </c>
      <c r="O2456" s="2">
        <f t="shared" si="2369"/>
        <v>6000000</v>
      </c>
      <c r="P2456" s="2">
        <f t="shared" ca="1" si="2370"/>
        <v>45354915.568550639</v>
      </c>
      <c r="Q2456" s="2">
        <f t="shared" ca="1" si="2371"/>
        <v>1133872.889213766</v>
      </c>
      <c r="R2456" s="2">
        <f t="shared" ca="1" si="2372"/>
        <v>27212949.341130383</v>
      </c>
      <c r="S2456" s="2">
        <f t="shared" ca="1" si="2373"/>
        <v>18141966.227420256</v>
      </c>
      <c r="T2456" s="2">
        <f t="shared" ca="1" si="2374"/>
        <v>49265184.648483351</v>
      </c>
      <c r="U2456" s="2">
        <f t="shared" ca="1" si="2375"/>
        <v>50353907.810417905</v>
      </c>
      <c r="V2456" s="2">
        <f t="shared" ca="1" si="2376"/>
        <v>51466690.927304223</v>
      </c>
      <c r="W2456" s="2">
        <f t="shared" ca="1" si="2377"/>
        <v>52604065.705872275</v>
      </c>
      <c r="X2456" s="2">
        <f t="shared" ca="1" si="2378"/>
        <v>53766575.603166923</v>
      </c>
      <c r="Y2456" s="2">
        <f t="shared" ca="1" si="2379"/>
        <v>0.12569265414347522</v>
      </c>
      <c r="Z2456" s="2">
        <f t="shared" ca="1" si="2380"/>
        <v>0.1279697158008653</v>
      </c>
      <c r="AA2456" s="2">
        <f t="shared" ca="1" si="2381"/>
        <v>6192271.8153362628</v>
      </c>
      <c r="AB2456" s="2">
        <f t="shared" ca="1" si="2382"/>
        <v>6443775.2719621509</v>
      </c>
      <c r="AC2456" s="2">
        <f t="shared" ca="1" si="2383"/>
        <v>6586177.8111780938</v>
      </c>
      <c r="AD2456" s="2">
        <f t="shared" ca="1" si="2384"/>
        <v>6731727.3383505195</v>
      </c>
      <c r="AE2456" s="2">
        <f t="shared" ca="1" si="2385"/>
        <v>6880493.3995230086</v>
      </c>
      <c r="AF2456" s="2">
        <f t="shared" ca="1" si="2386"/>
        <v>985303.69296966703</v>
      </c>
      <c r="AG2456" s="2">
        <f t="shared" ca="1" si="2387"/>
        <v>1007078.1562083581</v>
      </c>
      <c r="AH2456" s="2">
        <f t="shared" ca="1" si="2388"/>
        <v>1029333.8185460845</v>
      </c>
      <c r="AI2456" s="2">
        <f t="shared" ca="1" si="2389"/>
        <v>1052081.3141174456</v>
      </c>
      <c r="AJ2456" s="2">
        <f t="shared" ca="1" si="2390"/>
        <v>1075331.5120633384</v>
      </c>
      <c r="AK2456" s="2">
        <f t="shared" ca="1" si="2391"/>
        <v>0</v>
      </c>
      <c r="AL2456" s="2">
        <f t="shared" ca="1" si="2392"/>
        <v>10887.231619345546</v>
      </c>
      <c r="AM2456" s="2">
        <f t="shared" ca="1" si="2393"/>
        <v>11127.831168863178</v>
      </c>
      <c r="AN2456" s="2">
        <f t="shared" ca="1" si="2394"/>
        <v>11373.747785680518</v>
      </c>
      <c r="AO2456" s="2">
        <f t="shared" ca="1" si="2395"/>
        <v>11625.09897294648</v>
      </c>
      <c r="AP2456" s="2">
        <f t="shared" ca="1" si="2396"/>
        <v>2449165.4407017343</v>
      </c>
      <c r="AQ2456" s="2">
        <f t="shared" ca="1" si="2397"/>
        <v>717028.6972328641</v>
      </c>
      <c r="AR2456" s="2">
        <f t="shared" ca="1" si="2398"/>
        <v>776758.23551353533</v>
      </c>
      <c r="AS2456" s="2">
        <f t="shared" ca="1" si="2399"/>
        <v>807996.42350187153</v>
      </c>
      <c r="AT2456" s="2">
        <f t="shared" ca="1" si="2400"/>
        <v>839924.95171814831</v>
      </c>
      <c r="AU2456" s="2">
        <f t="shared" ca="1" si="2401"/>
        <v>872559.07615706336</v>
      </c>
      <c r="AV2456" s="2">
        <f t="shared" ca="1" si="2402"/>
        <v>2040773.9844319979</v>
      </c>
      <c r="AW2456" s="2">
        <f t="shared" ca="1" si="2403"/>
        <v>2199886.2079191776</v>
      </c>
      <c r="AX2456" s="2">
        <f t="shared" ca="1" si="2404"/>
        <v>2288554.2972595403</v>
      </c>
      <c r="AY2456" s="2">
        <f t="shared" ca="1" si="2405"/>
        <v>2379181.8840275109</v>
      </c>
      <c r="AZ2456" s="2">
        <f t="shared" ca="1" si="2406"/>
        <v>2471812.2716279263</v>
      </c>
      <c r="BA2456" s="2">
        <f t="shared" ca="1" si="2407"/>
        <v>51568945.351580299</v>
      </c>
      <c r="BB2456" s="2">
        <f t="shared" ca="1" si="2408"/>
        <v>1031378.9070316061</v>
      </c>
      <c r="BC2456" s="2">
        <f t="shared" ca="1" si="2409"/>
        <v>23324617.103418309</v>
      </c>
      <c r="BD2456" s="2">
        <f t="shared" ca="1" si="2410"/>
        <v>-19775839.116634022</v>
      </c>
      <c r="BE2456" s="2">
        <f t="shared" ca="1" si="2411"/>
        <v>2040773.9844319979</v>
      </c>
      <c r="BF2456" s="2">
        <f t="shared" ca="1" si="2412"/>
        <v>2199886.2079191776</v>
      </c>
      <c r="BG2456" s="2">
        <f t="shared" ca="1" si="2413"/>
        <v>2288554.2972595403</v>
      </c>
      <c r="BH2456" s="2">
        <f t="shared" ca="1" si="2414"/>
        <v>2379181.8840275109</v>
      </c>
      <c r="BI2456" s="2">
        <f t="shared" ca="1" si="2415"/>
        <v>25796429.375046235</v>
      </c>
      <c r="BJ2456" s="2">
        <f t="shared" ca="1" si="2416"/>
        <v>0.14080767317977183</v>
      </c>
      <c r="BK2456" s="2">
        <f t="shared" ca="1" si="2417"/>
        <v>1578563.9815852046</v>
      </c>
    </row>
    <row r="2457" spans="1:63" x14ac:dyDescent="0.3">
      <c r="A2457" s="2">
        <v>2456</v>
      </c>
      <c r="B2457" s="2">
        <f t="shared" ca="1" si="2356"/>
        <v>0.72198090868363862</v>
      </c>
      <c r="C2457" s="2">
        <f t="shared" ca="1" si="2357"/>
        <v>7.2543203216979002</v>
      </c>
      <c r="D2457" s="2">
        <f t="shared" ca="1" si="2358"/>
        <v>0.25372123748323772</v>
      </c>
      <c r="E2457" s="2">
        <f t="shared" ca="1" si="2359"/>
        <v>7.2123499666361157</v>
      </c>
      <c r="F2457" s="2">
        <f t="shared" ca="1" si="2360"/>
        <v>0.1505315841053968</v>
      </c>
      <c r="G2457" s="2">
        <f t="shared" ca="1" si="2361"/>
        <v>8.9753153863579918E-3</v>
      </c>
      <c r="H2457" s="2">
        <f t="shared" ca="1" si="2362"/>
        <v>8.9753153863579918E-3</v>
      </c>
      <c r="I2457" s="2">
        <f t="shared" ca="1" si="2363"/>
        <v>0.58062512893244167</v>
      </c>
      <c r="J2457" s="2">
        <f t="shared" ca="1" si="2364"/>
        <v>1.1017464835470317E-2</v>
      </c>
      <c r="K2457" s="2">
        <f t="shared" ca="1" si="2365"/>
        <v>1.1017464835470317E-2</v>
      </c>
      <c r="L2457" s="2">
        <f t="shared" ca="1" si="2366"/>
        <v>0.26431573367544459</v>
      </c>
      <c r="M2457" s="2">
        <f t="shared" ca="1" si="2367"/>
        <v>-1.260192945386342E-2</v>
      </c>
      <c r="N2457" s="2">
        <f t="shared" ca="1" si="2368"/>
        <v>-1.260192945386342E-2</v>
      </c>
      <c r="O2457" s="2">
        <f t="shared" si="2369"/>
        <v>6000000</v>
      </c>
      <c r="P2457" s="2">
        <f t="shared" ca="1" si="2370"/>
        <v>43525921.930187404</v>
      </c>
      <c r="Q2457" s="2">
        <f t="shared" ca="1" si="2371"/>
        <v>1088148.0482546852</v>
      </c>
      <c r="R2457" s="2">
        <f t="shared" ca="1" si="2372"/>
        <v>26115553.15811244</v>
      </c>
      <c r="S2457" s="2">
        <f t="shared" ca="1" si="2373"/>
        <v>17410368.772074964</v>
      </c>
      <c r="T2457" s="2">
        <f t="shared" ca="1" si="2374"/>
        <v>49369903.527306832</v>
      </c>
      <c r="U2457" s="2">
        <f t="shared" ca="1" si="2375"/>
        <v>49813013.982058488</v>
      </c>
      <c r="V2457" s="2">
        <f t="shared" ca="1" si="2376"/>
        <v>50260101.492892526</v>
      </c>
      <c r="W2457" s="2">
        <f t="shared" ca="1" si="2377"/>
        <v>50711201.755141601</v>
      </c>
      <c r="X2457" s="2">
        <f t="shared" ca="1" si="2378"/>
        <v>51166350.784515232</v>
      </c>
      <c r="Y2457" s="2">
        <f t="shared" ca="1" si="2379"/>
        <v>0.12550873241773516</v>
      </c>
      <c r="Z2457" s="2">
        <f t="shared" ca="1" si="2380"/>
        <v>0.12771222538482921</v>
      </c>
      <c r="AA2457" s="2">
        <f t="shared" ca="1" si="2381"/>
        <v>6196354.0112981526</v>
      </c>
      <c r="AB2457" s="2">
        <f t="shared" ca="1" si="2382"/>
        <v>6361730.8687743023</v>
      </c>
      <c r="AC2457" s="2">
        <f t="shared" ca="1" si="2383"/>
        <v>6418829.4097246816</v>
      </c>
      <c r="AD2457" s="2">
        <f t="shared" ca="1" si="2384"/>
        <v>6476440.428088191</v>
      </c>
      <c r="AE2457" s="2">
        <f t="shared" ca="1" si="2385"/>
        <v>6534568.5235112421</v>
      </c>
      <c r="AF2457" s="2">
        <f t="shared" ca="1" si="2386"/>
        <v>987398.0705461367</v>
      </c>
      <c r="AG2457" s="2">
        <f t="shared" ca="1" si="2387"/>
        <v>996260.27964116982</v>
      </c>
      <c r="AH2457" s="2">
        <f t="shared" ca="1" si="2388"/>
        <v>1005202.0298578505</v>
      </c>
      <c r="AI2457" s="2">
        <f t="shared" ca="1" si="2389"/>
        <v>1014224.035102832</v>
      </c>
      <c r="AJ2457" s="2">
        <f t="shared" ca="1" si="2390"/>
        <v>1023327.0156903047</v>
      </c>
      <c r="AK2457" s="2">
        <f t="shared" ca="1" si="2391"/>
        <v>0</v>
      </c>
      <c r="AL2457" s="2">
        <f t="shared" ca="1" si="2392"/>
        <v>4431.1045475165547</v>
      </c>
      <c r="AM2457" s="2">
        <f t="shared" ca="1" si="2393"/>
        <v>4470.8751083403831</v>
      </c>
      <c r="AN2457" s="2">
        <f t="shared" ca="1" si="2394"/>
        <v>4511.0026224907488</v>
      </c>
      <c r="AO2457" s="2">
        <f t="shared" ca="1" si="2395"/>
        <v>4551.4902937363086</v>
      </c>
      <c r="AP2457" s="2">
        <f t="shared" ca="1" si="2396"/>
        <v>2350399.7842301195</v>
      </c>
      <c r="AQ2457" s="2">
        <f t="shared" ca="1" si="2397"/>
        <v>743224.60069569317</v>
      </c>
      <c r="AR2457" s="2">
        <f t="shared" ca="1" si="2398"/>
        <v>783918.40927478333</v>
      </c>
      <c r="AS2457" s="2">
        <f t="shared" ca="1" si="2399"/>
        <v>796439.17486554501</v>
      </c>
      <c r="AT2457" s="2">
        <f t="shared" ca="1" si="2400"/>
        <v>809072.31827636226</v>
      </c>
      <c r="AU2457" s="2">
        <f t="shared" ca="1" si="2401"/>
        <v>821818.84813361277</v>
      </c>
      <c r="AV2457" s="2">
        <f t="shared" ca="1" si="2402"/>
        <v>2115331.5558262039</v>
      </c>
      <c r="AW2457" s="2">
        <f t="shared" ca="1" si="2403"/>
        <v>2226721.2910807133</v>
      </c>
      <c r="AX2457" s="2">
        <f t="shared" ca="1" si="2404"/>
        <v>2262317.5456628259</v>
      </c>
      <c r="AY2457" s="2">
        <f t="shared" ca="1" si="2405"/>
        <v>2298233.287856386</v>
      </c>
      <c r="AZ2457" s="2">
        <f t="shared" ca="1" si="2406"/>
        <v>2334471.3851634692</v>
      </c>
      <c r="BA2457" s="2">
        <f t="shared" ca="1" si="2407"/>
        <v>47129595.072527722</v>
      </c>
      <c r="BB2457" s="2">
        <f t="shared" ca="1" si="2408"/>
        <v>942591.90145055449</v>
      </c>
      <c r="BC2457" s="2">
        <f t="shared" ca="1" si="2409"/>
        <v>20071450.012964725</v>
      </c>
      <c r="BD2457" s="2">
        <f t="shared" ca="1" si="2410"/>
        <v>-18998516.820329648</v>
      </c>
      <c r="BE2457" s="2">
        <f t="shared" ca="1" si="2411"/>
        <v>2115331.5558262039</v>
      </c>
      <c r="BF2457" s="2">
        <f t="shared" ca="1" si="2412"/>
        <v>2226721.2910807133</v>
      </c>
      <c r="BG2457" s="2">
        <f t="shared" ca="1" si="2413"/>
        <v>2262317.5456628259</v>
      </c>
      <c r="BH2457" s="2">
        <f t="shared" ca="1" si="2414"/>
        <v>2298233.287856386</v>
      </c>
      <c r="BI2457" s="2">
        <f t="shared" ca="1" si="2415"/>
        <v>22405921.398128197</v>
      </c>
      <c r="BJ2457" s="2">
        <f t="shared" ca="1" si="2416"/>
        <v>0.12642479719190192</v>
      </c>
      <c r="BK2457" s="2">
        <f t="shared" ca="1" si="2417"/>
        <v>449863.92358992249</v>
      </c>
    </row>
    <row r="2458" spans="1:63" x14ac:dyDescent="0.3">
      <c r="A2458" s="2">
        <v>2457</v>
      </c>
      <c r="B2458" s="2">
        <f t="shared" ca="1" si="2356"/>
        <v>0.36143838789737714</v>
      </c>
      <c r="C2458" s="2">
        <f t="shared" ca="1" si="2357"/>
        <v>6.8502216039332069</v>
      </c>
      <c r="D2458" s="2">
        <f t="shared" ca="1" si="2358"/>
        <v>5.7437866565090978E-3</v>
      </c>
      <c r="E2458" s="2">
        <f t="shared" ca="1" si="2359"/>
        <v>6.60718009756022</v>
      </c>
      <c r="F2458" s="2">
        <f t="shared" ca="1" si="2360"/>
        <v>0.82801302039168301</v>
      </c>
      <c r="G2458" s="2">
        <f t="shared" ca="1" si="2361"/>
        <v>6.8390272863121132E-2</v>
      </c>
      <c r="H2458" s="2">
        <f t="shared" ca="1" si="2362"/>
        <v>6.8390272863121132E-2</v>
      </c>
      <c r="I2458" s="2">
        <f t="shared" ca="1" si="2363"/>
        <v>0.73932106437408451</v>
      </c>
      <c r="J2458" s="2">
        <f t="shared" ca="1" si="2364"/>
        <v>1.3206268454805879E-2</v>
      </c>
      <c r="K2458" s="2">
        <f t="shared" ca="1" si="2365"/>
        <v>1.3206268454805879E-2</v>
      </c>
      <c r="L2458" s="2">
        <f t="shared" ca="1" si="2366"/>
        <v>0.25843446233858325</v>
      </c>
      <c r="M2458" s="2">
        <f t="shared" ca="1" si="2367"/>
        <v>-1.296358797997077E-2</v>
      </c>
      <c r="N2458" s="2">
        <f t="shared" ca="1" si="2368"/>
        <v>-1.296358797997077E-2</v>
      </c>
      <c r="O2458" s="2">
        <f t="shared" si="2369"/>
        <v>6000000</v>
      </c>
      <c r="P2458" s="2">
        <f t="shared" ca="1" si="2370"/>
        <v>41101329.623599239</v>
      </c>
      <c r="Q2458" s="2">
        <f t="shared" ca="1" si="2371"/>
        <v>1027533.240589981</v>
      </c>
      <c r="R2458" s="2">
        <f t="shared" ca="1" si="2372"/>
        <v>24660797.774159543</v>
      </c>
      <c r="S2458" s="2">
        <f t="shared" ca="1" si="2373"/>
        <v>16440531.849439695</v>
      </c>
      <c r="T2458" s="2">
        <f t="shared" ca="1" si="2374"/>
        <v>49351820.601001464</v>
      </c>
      <c r="U2458" s="2">
        <f t="shared" ca="1" si="2375"/>
        <v>52727005.078195758</v>
      </c>
      <c r="V2458" s="2">
        <f t="shared" ca="1" si="2376"/>
        <v>56333019.342748739</v>
      </c>
      <c r="W2458" s="2">
        <f t="shared" ca="1" si="2377"/>
        <v>60185649.906802811</v>
      </c>
      <c r="X2458" s="2">
        <f t="shared" ca="1" si="2378"/>
        <v>64301762.92637334</v>
      </c>
      <c r="Y2458" s="2">
        <f t="shared" ca="1" si="2379"/>
        <v>0.12660313422740294</v>
      </c>
      <c r="Z2458" s="2">
        <f t="shared" ca="1" si="2380"/>
        <v>0.12924438791836412</v>
      </c>
      <c r="AA2458" s="2">
        <f t="shared" ca="1" si="2381"/>
        <v>6248095.1679152977</v>
      </c>
      <c r="AB2458" s="2">
        <f t="shared" ca="1" si="2382"/>
        <v>6814669.4980998877</v>
      </c>
      <c r="AC2458" s="2">
        <f t="shared" ca="1" si="2383"/>
        <v>7280726.6045469278</v>
      </c>
      <c r="AD2458" s="2">
        <f t="shared" ca="1" si="2384"/>
        <v>7778657.4836736778</v>
      </c>
      <c r="AE2458" s="2">
        <f t="shared" ca="1" si="2385"/>
        <v>8310641.991490881</v>
      </c>
      <c r="AF2458" s="2">
        <f t="shared" ca="1" si="2386"/>
        <v>987036.41202002927</v>
      </c>
      <c r="AG2458" s="2">
        <f t="shared" ca="1" si="2387"/>
        <v>1054540.1015639151</v>
      </c>
      <c r="AH2458" s="2">
        <f t="shared" ca="1" si="2388"/>
        <v>1126660.3868549748</v>
      </c>
      <c r="AI2458" s="2">
        <f t="shared" ca="1" si="2389"/>
        <v>1203712.9981360564</v>
      </c>
      <c r="AJ2458" s="2">
        <f t="shared" ca="1" si="2390"/>
        <v>1286035.2585274668</v>
      </c>
      <c r="AK2458" s="2">
        <f t="shared" ca="1" si="2391"/>
        <v>0</v>
      </c>
      <c r="AL2458" s="2">
        <f t="shared" ca="1" si="2392"/>
        <v>33751.844771942946</v>
      </c>
      <c r="AM2458" s="2">
        <f t="shared" ca="1" si="2393"/>
        <v>36060.142645529806</v>
      </c>
      <c r="AN2458" s="2">
        <f t="shared" ca="1" si="2394"/>
        <v>38526.305640540719</v>
      </c>
      <c r="AO2458" s="2">
        <f t="shared" ca="1" si="2395"/>
        <v>41161.130195705293</v>
      </c>
      <c r="AP2458" s="2">
        <f t="shared" ca="1" si="2396"/>
        <v>2219471.7996743587</v>
      </c>
      <c r="AQ2458" s="2">
        <f t="shared" ca="1" si="2397"/>
        <v>790812.60861743649</v>
      </c>
      <c r="AR2458" s="2">
        <f t="shared" ca="1" si="2398"/>
        <v>920570.97518401954</v>
      </c>
      <c r="AS2458" s="2">
        <f t="shared" ca="1" si="2399"/>
        <v>1022994.5486845747</v>
      </c>
      <c r="AT2458" s="2">
        <f t="shared" ca="1" si="2400"/>
        <v>1132422.8983244481</v>
      </c>
      <c r="AU2458" s="2">
        <f t="shared" ca="1" si="2401"/>
        <v>1249335.0826551544</v>
      </c>
      <c r="AV2458" s="2">
        <f t="shared" ca="1" si="2402"/>
        <v>2250774.3476034733</v>
      </c>
      <c r="AW2458" s="2">
        <f t="shared" ca="1" si="2403"/>
        <v>2586334.7769056507</v>
      </c>
      <c r="AX2458" s="2">
        <f t="shared" ca="1" si="2404"/>
        <v>2875539.7266874905</v>
      </c>
      <c r="AY2458" s="2">
        <f t="shared" ca="1" si="2405"/>
        <v>3184523.4818982738</v>
      </c>
      <c r="AZ2458" s="2">
        <f t="shared" ca="1" si="2406"/>
        <v>3514638.7204381959</v>
      </c>
      <c r="BA2458" s="2">
        <f t="shared" ca="1" si="2407"/>
        <v>54909908.364126779</v>
      </c>
      <c r="BB2458" s="2">
        <f t="shared" ca="1" si="2408"/>
        <v>1098198.1672825357</v>
      </c>
      <c r="BC2458" s="2">
        <f t="shared" ca="1" si="2409"/>
        <v>29150912.422684699</v>
      </c>
      <c r="BD2458" s="2">
        <f t="shared" ca="1" si="2410"/>
        <v>-17968065.090029676</v>
      </c>
      <c r="BE2458" s="2">
        <f t="shared" ca="1" si="2411"/>
        <v>2250774.3476034733</v>
      </c>
      <c r="BF2458" s="2">
        <f t="shared" ca="1" si="2412"/>
        <v>2586334.7769056507</v>
      </c>
      <c r="BG2458" s="2">
        <f t="shared" ca="1" si="2413"/>
        <v>2875539.7266874905</v>
      </c>
      <c r="BH2458" s="2">
        <f t="shared" ca="1" si="2414"/>
        <v>3184523.4818982738</v>
      </c>
      <c r="BI2458" s="2">
        <f t="shared" ca="1" si="2415"/>
        <v>32665551.143122897</v>
      </c>
      <c r="BJ2458" s="2">
        <f t="shared" ca="1" si="2416"/>
        <v>0.2318625288460392</v>
      </c>
      <c r="BK2458" s="2">
        <f t="shared" ca="1" si="2417"/>
        <v>8709250.7112014778</v>
      </c>
    </row>
    <row r="2459" spans="1:63" x14ac:dyDescent="0.3">
      <c r="A2459" s="2">
        <v>2458</v>
      </c>
      <c r="B2459" s="2">
        <f t="shared" ca="1" si="2356"/>
        <v>3.8627763226181222E-2</v>
      </c>
      <c r="C2459" s="2">
        <f t="shared" ca="1" si="2357"/>
        <v>6.2779487838655932</v>
      </c>
      <c r="D2459" s="2">
        <f t="shared" ca="1" si="2358"/>
        <v>2.8917126679222194E-2</v>
      </c>
      <c r="E2459" s="2">
        <f t="shared" ca="1" si="2359"/>
        <v>6.740487532646589</v>
      </c>
      <c r="F2459" s="2">
        <f t="shared" ca="1" si="2360"/>
        <v>0.16727352741261547</v>
      </c>
      <c r="G2459" s="2">
        <f t="shared" ca="1" si="2361"/>
        <v>1.1050134347839025E-2</v>
      </c>
      <c r="H2459" s="2">
        <f t="shared" ca="1" si="2362"/>
        <v>1.1050134347839025E-2</v>
      </c>
      <c r="I2459" s="2">
        <f t="shared" ca="1" si="2363"/>
        <v>0.21317587636545754</v>
      </c>
      <c r="J2459" s="2">
        <f t="shared" ca="1" si="2364"/>
        <v>6.0227497236115327E-3</v>
      </c>
      <c r="K2459" s="2">
        <f t="shared" ca="1" si="2365"/>
        <v>6.0227497236115327E-3</v>
      </c>
      <c r="L2459" s="2">
        <f t="shared" ca="1" si="2366"/>
        <v>0.35709572345705587</v>
      </c>
      <c r="M2459" s="2">
        <f t="shared" ca="1" si="2367"/>
        <v>-7.3246539103698693E-3</v>
      </c>
      <c r="N2459" s="2">
        <f t="shared" ca="1" si="2368"/>
        <v>-7.3246539103698693E-3</v>
      </c>
      <c r="O2459" s="2">
        <f t="shared" si="2369"/>
        <v>6000000</v>
      </c>
      <c r="P2459" s="2">
        <f t="shared" ca="1" si="2370"/>
        <v>37667692.70319356</v>
      </c>
      <c r="Q2459" s="2">
        <f t="shared" ca="1" si="2371"/>
        <v>941692.31757983903</v>
      </c>
      <c r="R2459" s="2">
        <f t="shared" ca="1" si="2372"/>
        <v>22600615.621916134</v>
      </c>
      <c r="S2459" s="2">
        <f t="shared" ca="1" si="2373"/>
        <v>15067077.081277424</v>
      </c>
      <c r="T2459" s="2">
        <f t="shared" ca="1" si="2374"/>
        <v>49633767.304481506</v>
      </c>
      <c r="U2459" s="2">
        <f t="shared" ca="1" si="2375"/>
        <v>50182227.101385407</v>
      </c>
      <c r="V2459" s="2">
        <f t="shared" ca="1" si="2376"/>
        <v>50736747.452729486</v>
      </c>
      <c r="W2459" s="2">
        <f t="shared" ca="1" si="2377"/>
        <v>51297395.328454532</v>
      </c>
      <c r="X2459" s="2">
        <f t="shared" ca="1" si="2378"/>
        <v>51864238.438528165</v>
      </c>
      <c r="Y2459" s="2">
        <f t="shared" ca="1" si="2379"/>
        <v>0.12301137486180576</v>
      </c>
      <c r="Z2459" s="2">
        <f t="shared" ca="1" si="2380"/>
        <v>0.12421592480652807</v>
      </c>
      <c r="AA2459" s="2">
        <f t="shared" ca="1" si="2381"/>
        <v>6105517.9556952128</v>
      </c>
      <c r="AB2459" s="2">
        <f t="shared" ca="1" si="2382"/>
        <v>6233431.7482498046</v>
      </c>
      <c r="AC2459" s="2">
        <f t="shared" ca="1" si="2383"/>
        <v>6302312.0065160505</v>
      </c>
      <c r="AD2459" s="2">
        <f t="shared" ca="1" si="2384"/>
        <v>6371953.4008900523</v>
      </c>
      <c r="AE2459" s="2">
        <f t="shared" ca="1" si="2385"/>
        <v>6442364.3420280572</v>
      </c>
      <c r="AF2459" s="2">
        <f t="shared" ca="1" si="2386"/>
        <v>992675.34608963015</v>
      </c>
      <c r="AG2459" s="2">
        <f t="shared" ca="1" si="2387"/>
        <v>1003644.5420277081</v>
      </c>
      <c r="AH2459" s="2">
        <f t="shared" ca="1" si="2388"/>
        <v>1014734.9490545897</v>
      </c>
      <c r="AI2459" s="2">
        <f t="shared" ca="1" si="2389"/>
        <v>1025947.9065690907</v>
      </c>
      <c r="AJ2459" s="2">
        <f t="shared" ca="1" si="2390"/>
        <v>1037284.7687705633</v>
      </c>
      <c r="AK2459" s="2">
        <f t="shared" ca="1" si="2391"/>
        <v>0</v>
      </c>
      <c r="AL2459" s="2">
        <f t="shared" ca="1" si="2392"/>
        <v>5484.5979690390077</v>
      </c>
      <c r="AM2459" s="2">
        <f t="shared" ca="1" si="2393"/>
        <v>5545.2035134407879</v>
      </c>
      <c r="AN2459" s="2">
        <f t="shared" ca="1" si="2394"/>
        <v>5606.4787572504583</v>
      </c>
      <c r="AO2459" s="2">
        <f t="shared" ca="1" si="2395"/>
        <v>5668.4311007363349</v>
      </c>
      <c r="AP2459" s="2">
        <f t="shared" ca="1" si="2396"/>
        <v>2034055.4059724519</v>
      </c>
      <c r="AQ2459" s="2">
        <f t="shared" ca="1" si="2397"/>
        <v>800484.67294461397</v>
      </c>
      <c r="AR2459" s="2">
        <f t="shared" ca="1" si="2398"/>
        <v>830890.26806490764</v>
      </c>
      <c r="AS2459" s="2">
        <f t="shared" ca="1" si="2399"/>
        <v>845915.62938714237</v>
      </c>
      <c r="AT2459" s="2">
        <f t="shared" ca="1" si="2400"/>
        <v>861107.02297061251</v>
      </c>
      <c r="AU2459" s="2">
        <f t="shared" ca="1" si="2401"/>
        <v>876466.28349411092</v>
      </c>
      <c r="AV2459" s="2">
        <f t="shared" ca="1" si="2402"/>
        <v>2278302.5306885168</v>
      </c>
      <c r="AW2459" s="2">
        <f t="shared" ca="1" si="2403"/>
        <v>2359356.9342156975</v>
      </c>
      <c r="AX2459" s="2">
        <f t="shared" ca="1" si="2404"/>
        <v>2402060.8185884263</v>
      </c>
      <c r="AY2459" s="2">
        <f t="shared" ca="1" si="2405"/>
        <v>2445236.5866206475</v>
      </c>
      <c r="AZ2459" s="2">
        <f t="shared" ca="1" si="2406"/>
        <v>2488889.4526901944</v>
      </c>
      <c r="BA2459" s="2">
        <f t="shared" ca="1" si="2407"/>
        <v>43424676.528207064</v>
      </c>
      <c r="BB2459" s="2">
        <f t="shared" ca="1" si="2408"/>
        <v>868493.53056414134</v>
      </c>
      <c r="BC2459" s="2">
        <f t="shared" ca="1" si="2409"/>
        <v>19955567.375726789</v>
      </c>
      <c r="BD2459" s="2">
        <f t="shared" ca="1" si="2410"/>
        <v>-16508769.398857264</v>
      </c>
      <c r="BE2459" s="2">
        <f t="shared" ca="1" si="2411"/>
        <v>2278302.5306885168</v>
      </c>
      <c r="BF2459" s="2">
        <f t="shared" ca="1" si="2412"/>
        <v>2359356.9342156975</v>
      </c>
      <c r="BG2459" s="2">
        <f t="shared" ca="1" si="2413"/>
        <v>2402060.8185884263</v>
      </c>
      <c r="BH2459" s="2">
        <f t="shared" ca="1" si="2414"/>
        <v>2445236.5866206475</v>
      </c>
      <c r="BI2459" s="2">
        <f t="shared" ca="1" si="2415"/>
        <v>22444456.828416985</v>
      </c>
      <c r="BJ2459" s="2">
        <f t="shared" ca="1" si="2416"/>
        <v>0.17362880028083549</v>
      </c>
      <c r="BK2459" s="2">
        <f t="shared" ca="1" si="2417"/>
        <v>3405613.2601243686</v>
      </c>
    </row>
    <row r="2460" spans="1:63" x14ac:dyDescent="0.3">
      <c r="A2460" s="2">
        <v>2459</v>
      </c>
      <c r="B2460" s="2">
        <f t="shared" ca="1" si="2356"/>
        <v>0.46725243258383631</v>
      </c>
      <c r="C2460" s="2">
        <f t="shared" ca="1" si="2357"/>
        <v>6.966697918259718</v>
      </c>
      <c r="D2460" s="2">
        <f t="shared" ca="1" si="2358"/>
        <v>0.74189489781777718</v>
      </c>
      <c r="E2460" s="2">
        <f t="shared" ca="1" si="2359"/>
        <v>7.7815223007187724</v>
      </c>
      <c r="F2460" s="2">
        <f t="shared" ca="1" si="2360"/>
        <v>0.1201018900816474</v>
      </c>
      <c r="G2460" s="2">
        <f t="shared" ca="1" si="2361"/>
        <v>4.765672087216781E-3</v>
      </c>
      <c r="H2460" s="2">
        <f t="shared" ca="1" si="2362"/>
        <v>4.765672087216781E-3</v>
      </c>
      <c r="I2460" s="2">
        <f t="shared" ca="1" si="2363"/>
        <v>0.73370471973239193</v>
      </c>
      <c r="J2460" s="2">
        <f t="shared" ca="1" si="2364"/>
        <v>1.3120281889628927E-2</v>
      </c>
      <c r="K2460" s="2">
        <f t="shared" ca="1" si="2365"/>
        <v>1.3120281889628927E-2</v>
      </c>
      <c r="L2460" s="2">
        <f t="shared" ca="1" si="2366"/>
        <v>0.59561479750517698</v>
      </c>
      <c r="M2460" s="2">
        <f t="shared" ca="1" si="2367"/>
        <v>4.8402518715414998E-3</v>
      </c>
      <c r="N2460" s="2">
        <f t="shared" ca="1" si="2368"/>
        <v>4.8402518715414998E-3</v>
      </c>
      <c r="O2460" s="2">
        <f t="shared" si="2369"/>
        <v>6000000</v>
      </c>
      <c r="P2460" s="2">
        <f t="shared" ca="1" si="2370"/>
        <v>41800187.509558305</v>
      </c>
      <c r="Q2460" s="2">
        <f t="shared" ca="1" si="2371"/>
        <v>1045004.6877389577</v>
      </c>
      <c r="R2460" s="2">
        <f t="shared" ca="1" si="2372"/>
        <v>25080112.505734984</v>
      </c>
      <c r="S2460" s="2">
        <f t="shared" ca="1" si="2373"/>
        <v>16720075.003823323</v>
      </c>
      <c r="T2460" s="2">
        <f t="shared" ca="1" si="2374"/>
        <v>50242012.593577079</v>
      </c>
      <c r="U2460" s="2">
        <f t="shared" ca="1" si="2375"/>
        <v>50481449.550599881</v>
      </c>
      <c r="V2460" s="2">
        <f t="shared" ca="1" si="2376"/>
        <v>50722027.585645415</v>
      </c>
      <c r="W2460" s="2">
        <f t="shared" ca="1" si="2377"/>
        <v>50963752.136717357</v>
      </c>
      <c r="X2460" s="2">
        <f t="shared" ca="1" si="2378"/>
        <v>51206628.667735137</v>
      </c>
      <c r="Y2460" s="2">
        <f t="shared" ca="1" si="2379"/>
        <v>0.12656014094481446</v>
      </c>
      <c r="Z2460" s="2">
        <f t="shared" ca="1" si="2380"/>
        <v>0.12918419732274025</v>
      </c>
      <c r="AA2460" s="2">
        <f t="shared" ca="1" si="2381"/>
        <v>6358636.1951942584</v>
      </c>
      <c r="AB2460" s="2">
        <f t="shared" ca="1" si="2382"/>
        <v>6521405.5398826525</v>
      </c>
      <c r="AC2460" s="2">
        <f t="shared" ca="1" si="2383"/>
        <v>6552484.4202334918</v>
      </c>
      <c r="AD2460" s="2">
        <f t="shared" ca="1" si="2384"/>
        <v>6583711.4123369204</v>
      </c>
      <c r="AE2460" s="2">
        <f t="shared" ca="1" si="2385"/>
        <v>6615087.2220449839</v>
      </c>
      <c r="AF2460" s="2">
        <f t="shared" ca="1" si="2386"/>
        <v>1004840.2518715416</v>
      </c>
      <c r="AG2460" s="2">
        <f t="shared" ca="1" si="2387"/>
        <v>1009628.9910119977</v>
      </c>
      <c r="AH2460" s="2">
        <f t="shared" ca="1" si="2388"/>
        <v>1014440.5517129083</v>
      </c>
      <c r="AI2460" s="2">
        <f t="shared" ca="1" si="2389"/>
        <v>1019275.0427343472</v>
      </c>
      <c r="AJ2460" s="2">
        <f t="shared" ca="1" si="2390"/>
        <v>1024132.5733547028</v>
      </c>
      <c r="AK2460" s="2">
        <f t="shared" ca="1" si="2391"/>
        <v>0</v>
      </c>
      <c r="AL2460" s="2">
        <f t="shared" ca="1" si="2392"/>
        <v>2394.3695702280106</v>
      </c>
      <c r="AM2460" s="2">
        <f t="shared" ca="1" si="2393"/>
        <v>2405.780350455344</v>
      </c>
      <c r="AN2460" s="2">
        <f t="shared" ca="1" si="2394"/>
        <v>2417.2455107194187</v>
      </c>
      <c r="AO2460" s="2">
        <f t="shared" ca="1" si="2395"/>
        <v>2428.7653101778033</v>
      </c>
      <c r="AP2460" s="2">
        <f t="shared" ca="1" si="2396"/>
        <v>2257210.1255161483</v>
      </c>
      <c r="AQ2460" s="2">
        <f t="shared" ca="1" si="2397"/>
        <v>805112.31262970774</v>
      </c>
      <c r="AR2460" s="2">
        <f t="shared" ca="1" si="2398"/>
        <v>846187.2700721717</v>
      </c>
      <c r="AS2460" s="2">
        <f t="shared" ca="1" si="2399"/>
        <v>853016.77318115334</v>
      </c>
      <c r="AT2460" s="2">
        <f t="shared" ca="1" si="2400"/>
        <v>859878.82346247043</v>
      </c>
      <c r="AU2460" s="2">
        <f t="shared" ca="1" si="2401"/>
        <v>866773.5760252747</v>
      </c>
      <c r="AV2460" s="2">
        <f t="shared" ca="1" si="2402"/>
        <v>2291473.5051768599</v>
      </c>
      <c r="AW2460" s="2">
        <f t="shared" ca="1" si="2403"/>
        <v>2405984.7837121068</v>
      </c>
      <c r="AX2460" s="2">
        <f t="shared" ca="1" si="2404"/>
        <v>2425411.1894728271</v>
      </c>
      <c r="AY2460" s="2">
        <f t="shared" ca="1" si="2405"/>
        <v>2444930.1751132347</v>
      </c>
      <c r="AZ2460" s="2">
        <f t="shared" ca="1" si="2406"/>
        <v>2464542.181838681</v>
      </c>
      <c r="BA2460" s="2">
        <f t="shared" ca="1" si="2407"/>
        <v>51475448.739542834</v>
      </c>
      <c r="BB2460" s="2">
        <f t="shared" ca="1" si="2408"/>
        <v>1029508.9747908567</v>
      </c>
      <c r="BC2460" s="2">
        <f t="shared" ca="1" si="2409"/>
        <v>25365827.259016994</v>
      </c>
      <c r="BD2460" s="2">
        <f t="shared" ca="1" si="2410"/>
        <v>-18265079.69156228</v>
      </c>
      <c r="BE2460" s="2">
        <f t="shared" ca="1" si="2411"/>
        <v>2291473.5051768599</v>
      </c>
      <c r="BF2460" s="2">
        <f t="shared" ca="1" si="2412"/>
        <v>2405984.7837121068</v>
      </c>
      <c r="BG2460" s="2">
        <f t="shared" ca="1" si="2413"/>
        <v>2425411.1894728271</v>
      </c>
      <c r="BH2460" s="2">
        <f t="shared" ca="1" si="2414"/>
        <v>2444930.1751132347</v>
      </c>
      <c r="BI2460" s="2">
        <f t="shared" ca="1" si="2415"/>
        <v>27830369.440855674</v>
      </c>
      <c r="BJ2460" s="2">
        <f t="shared" ca="1" si="2416"/>
        <v>0.1848397874818184</v>
      </c>
      <c r="BK2460" s="2">
        <f t="shared" ca="1" si="2417"/>
        <v>4770771.2637850419</v>
      </c>
    </row>
    <row r="2461" spans="1:63" x14ac:dyDescent="0.3">
      <c r="A2461" s="2">
        <v>2460</v>
      </c>
      <c r="B2461" s="2">
        <f t="shared" ca="1" si="2356"/>
        <v>0.92471336427269812</v>
      </c>
      <c r="C2461" s="2">
        <f t="shared" ca="1" si="2357"/>
        <v>7.6119622808867629</v>
      </c>
      <c r="D2461" s="2">
        <f t="shared" ca="1" si="2358"/>
        <v>0.91216714464094073</v>
      </c>
      <c r="E2461" s="2">
        <f t="shared" ca="1" si="2359"/>
        <v>8.080875065501802</v>
      </c>
      <c r="F2461" s="2">
        <f t="shared" ca="1" si="2360"/>
        <v>0.88692015260132828</v>
      </c>
      <c r="G2461" s="2">
        <f t="shared" ca="1" si="2361"/>
        <v>7.6309320890515023E-2</v>
      </c>
      <c r="H2461" s="2">
        <f t="shared" ca="1" si="2362"/>
        <v>7.6309320890515023E-2</v>
      </c>
      <c r="I2461" s="2">
        <f t="shared" ca="1" si="2363"/>
        <v>0.7059926865614975</v>
      </c>
      <c r="J2461" s="2">
        <f t="shared" ca="1" si="2364"/>
        <v>1.2708576653716266E-2</v>
      </c>
      <c r="K2461" s="2">
        <f t="shared" ca="1" si="2365"/>
        <v>1.2708576653716266E-2</v>
      </c>
      <c r="L2461" s="2">
        <f t="shared" ca="1" si="2366"/>
        <v>0.36881430196320575</v>
      </c>
      <c r="M2461" s="2">
        <f t="shared" ca="1" si="2367"/>
        <v>-6.6999067349699827E-3</v>
      </c>
      <c r="N2461" s="2">
        <f t="shared" ca="1" si="2368"/>
        <v>-6.6999067349699827E-3</v>
      </c>
      <c r="O2461" s="2">
        <f t="shared" si="2369"/>
        <v>6000000</v>
      </c>
      <c r="P2461" s="2">
        <f t="shared" ca="1" si="2370"/>
        <v>45671773.685320579</v>
      </c>
      <c r="Q2461" s="2">
        <f t="shared" ca="1" si="2371"/>
        <v>1141794.3421330145</v>
      </c>
      <c r="R2461" s="2">
        <f t="shared" ca="1" si="2372"/>
        <v>27403064.211192347</v>
      </c>
      <c r="S2461" s="2">
        <f t="shared" ca="1" si="2373"/>
        <v>18268709.474128231</v>
      </c>
      <c r="T2461" s="2">
        <f t="shared" ca="1" si="2374"/>
        <v>49665004.663251497</v>
      </c>
      <c r="U2461" s="2">
        <f t="shared" ca="1" si="2375"/>
        <v>53454907.441128477</v>
      </c>
      <c r="V2461" s="2">
        <f t="shared" ca="1" si="2376"/>
        <v>57534015.126226328</v>
      </c>
      <c r="W2461" s="2">
        <f t="shared" ca="1" si="2377"/>
        <v>61924396.748613276</v>
      </c>
      <c r="X2461" s="2">
        <f t="shared" ca="1" si="2378"/>
        <v>66649805.411054768</v>
      </c>
      <c r="Y2461" s="2">
        <f t="shared" ca="1" si="2379"/>
        <v>0.12635428832685813</v>
      </c>
      <c r="Z2461" s="2">
        <f t="shared" ca="1" si="2380"/>
        <v>0.12889600365760137</v>
      </c>
      <c r="AA2461" s="2">
        <f t="shared" ca="1" si="2381"/>
        <v>6275386.3189752335</v>
      </c>
      <c r="AB2461" s="2">
        <f t="shared" ca="1" si="2382"/>
        <v>6890123.9450484393</v>
      </c>
      <c r="AC2461" s="2">
        <f t="shared" ca="1" si="2383"/>
        <v>7415904.6241465611</v>
      </c>
      <c r="AD2461" s="2">
        <f t="shared" ca="1" si="2384"/>
        <v>7981807.2698040148</v>
      </c>
      <c r="AE2461" s="2">
        <f t="shared" ca="1" si="2385"/>
        <v>8590893.5620417353</v>
      </c>
      <c r="AF2461" s="2">
        <f t="shared" ca="1" si="2386"/>
        <v>993300.09326502995</v>
      </c>
      <c r="AG2461" s="2">
        <f t="shared" ca="1" si="2387"/>
        <v>1069098.1488225695</v>
      </c>
      <c r="AH2461" s="2">
        <f t="shared" ca="1" si="2388"/>
        <v>1150680.3025245266</v>
      </c>
      <c r="AI2461" s="2">
        <f t="shared" ca="1" si="2389"/>
        <v>1238487.9349722655</v>
      </c>
      <c r="AJ2461" s="2">
        <f t="shared" ca="1" si="2390"/>
        <v>1332996.1082210953</v>
      </c>
      <c r="AK2461" s="2">
        <f t="shared" ca="1" si="2391"/>
        <v>0</v>
      </c>
      <c r="AL2461" s="2">
        <f t="shared" ca="1" si="2392"/>
        <v>37899.027778769807</v>
      </c>
      <c r="AM2461" s="2">
        <f t="shared" ca="1" si="2393"/>
        <v>40791.076850978512</v>
      </c>
      <c r="AN2461" s="2">
        <f t="shared" ca="1" si="2394"/>
        <v>43903.816223869471</v>
      </c>
      <c r="AO2461" s="2">
        <f t="shared" ca="1" si="2395"/>
        <v>47254.086624414922</v>
      </c>
      <c r="AP2461" s="2">
        <f t="shared" ca="1" si="2396"/>
        <v>2466275.779007311</v>
      </c>
      <c r="AQ2461" s="2">
        <f t="shared" ca="1" si="2397"/>
        <v>732110.71614275221</v>
      </c>
      <c r="AR2461" s="2">
        <f t="shared" ca="1" si="2398"/>
        <v>872235.00447682536</v>
      </c>
      <c r="AS2461" s="2">
        <f t="shared" ca="1" si="2399"/>
        <v>987726.62107982812</v>
      </c>
      <c r="AT2461" s="2">
        <f t="shared" ca="1" si="2400"/>
        <v>1112031.3245143539</v>
      </c>
      <c r="AU2461" s="2">
        <f t="shared" ca="1" si="2401"/>
        <v>1245821.6354514656</v>
      </c>
      <c r="AV2461" s="2">
        <f t="shared" ca="1" si="2402"/>
        <v>2083699.7305601407</v>
      </c>
      <c r="AW2461" s="2">
        <f t="shared" ca="1" si="2403"/>
        <v>2444615.9849629635</v>
      </c>
      <c r="AX2461" s="2">
        <f t="shared" ca="1" si="2404"/>
        <v>2770430.8446839163</v>
      </c>
      <c r="AY2461" s="2">
        <f t="shared" ca="1" si="2405"/>
        <v>3121108.4150862154</v>
      </c>
      <c r="AZ2461" s="2">
        <f t="shared" ca="1" si="2406"/>
        <v>3498545.9527374487</v>
      </c>
      <c r="BA2461" s="2">
        <f t="shared" ca="1" si="2407"/>
        <v>69421937.575883016</v>
      </c>
      <c r="BB2461" s="2">
        <f t="shared" ca="1" si="2408"/>
        <v>1388438.7515176605</v>
      </c>
      <c r="BC2461" s="2">
        <f t="shared" ca="1" si="2409"/>
        <v>40630434.613173008</v>
      </c>
      <c r="BD2461" s="2">
        <f t="shared" ca="1" si="2410"/>
        <v>-19910503.816261247</v>
      </c>
      <c r="BE2461" s="2">
        <f t="shared" ca="1" si="2411"/>
        <v>2083699.7305601407</v>
      </c>
      <c r="BF2461" s="2">
        <f t="shared" ca="1" si="2412"/>
        <v>2444615.9849629635</v>
      </c>
      <c r="BG2461" s="2">
        <f t="shared" ca="1" si="2413"/>
        <v>2770430.8446839163</v>
      </c>
      <c r="BH2461" s="2">
        <f t="shared" ca="1" si="2414"/>
        <v>3121108.4150862154</v>
      </c>
      <c r="BI2461" s="2">
        <f t="shared" ca="1" si="2415"/>
        <v>44128980.565910459</v>
      </c>
      <c r="BJ2461" s="2">
        <f t="shared" ca="1" si="2416"/>
        <v>0.25702125837970646</v>
      </c>
      <c r="BK2461" s="2">
        <f t="shared" ca="1" si="2417"/>
        <v>12894202.732124224</v>
      </c>
    </row>
    <row r="2462" spans="1:63" x14ac:dyDescent="0.3">
      <c r="A2462" s="2">
        <v>2461</v>
      </c>
      <c r="B2462" s="2">
        <f t="shared" ca="1" si="2356"/>
        <v>0.56055170389798248</v>
      </c>
      <c r="C2462" s="2">
        <f t="shared" ca="1" si="2357"/>
        <v>7.0625051508386649</v>
      </c>
      <c r="D2462" s="2">
        <f t="shared" ca="1" si="2358"/>
        <v>0.76313857830488596</v>
      </c>
      <c r="E2462" s="2">
        <f t="shared" ca="1" si="2359"/>
        <v>7.8117247328355983</v>
      </c>
      <c r="F2462" s="2">
        <f t="shared" ca="1" si="2360"/>
        <v>0.81175880193821692</v>
      </c>
      <c r="G2462" s="2">
        <f t="shared" ca="1" si="2361"/>
        <v>6.6531884746161105E-2</v>
      </c>
      <c r="H2462" s="2">
        <f t="shared" ca="1" si="2362"/>
        <v>6.6531884746161105E-2</v>
      </c>
      <c r="I2462" s="2">
        <f t="shared" ca="1" si="2363"/>
        <v>0.38219460278081074</v>
      </c>
      <c r="J2462" s="2">
        <f t="shared" ca="1" si="2364"/>
        <v>8.5013899310081593E-3</v>
      </c>
      <c r="K2462" s="2">
        <f t="shared" ca="1" si="2365"/>
        <v>8.5013899310081593E-3</v>
      </c>
      <c r="L2462" s="2">
        <f t="shared" ca="1" si="2366"/>
        <v>0.8541326714597659</v>
      </c>
      <c r="M2462" s="2">
        <f t="shared" ca="1" si="2367"/>
        <v>2.1086477696031065E-2</v>
      </c>
      <c r="N2462" s="2">
        <f t="shared" ca="1" si="2368"/>
        <v>2.1086477696031065E-2</v>
      </c>
      <c r="O2462" s="2">
        <f t="shared" si="2369"/>
        <v>6000000</v>
      </c>
      <c r="P2462" s="2">
        <f t="shared" ca="1" si="2370"/>
        <v>42375030.905031987</v>
      </c>
      <c r="Q2462" s="2">
        <f t="shared" ca="1" si="2371"/>
        <v>1059375.7726257998</v>
      </c>
      <c r="R2462" s="2">
        <f t="shared" ca="1" si="2372"/>
        <v>25425018.54301919</v>
      </c>
      <c r="S2462" s="2">
        <f t="shared" ca="1" si="2373"/>
        <v>16950012.362012796</v>
      </c>
      <c r="T2462" s="2">
        <f t="shared" ca="1" si="2374"/>
        <v>51054323.884801559</v>
      </c>
      <c r="U2462" s="2">
        <f t="shared" ca="1" si="2375"/>
        <v>54451064.277298354</v>
      </c>
      <c r="V2462" s="2">
        <f t="shared" ca="1" si="2376"/>
        <v>58073796.210101381</v>
      </c>
      <c r="W2462" s="2">
        <f t="shared" ca="1" si="2377"/>
        <v>61937555.326323897</v>
      </c>
      <c r="X2462" s="2">
        <f t="shared" ca="1" si="2378"/>
        <v>66058377.618753858</v>
      </c>
      <c r="Y2462" s="2">
        <f t="shared" ca="1" si="2379"/>
        <v>0.12425069496550407</v>
      </c>
      <c r="Z2462" s="2">
        <f t="shared" ca="1" si="2380"/>
        <v>0.12595097295170571</v>
      </c>
      <c r="AA2462" s="2">
        <f t="shared" ca="1" si="2381"/>
        <v>6343535.2236805279</v>
      </c>
      <c r="AB2462" s="2">
        <f t="shared" ca="1" si="2382"/>
        <v>6858164.5239815935</v>
      </c>
      <c r="AC2462" s="2">
        <f t="shared" ca="1" si="2383"/>
        <v>7314451.1356613487</v>
      </c>
      <c r="AD2462" s="2">
        <f t="shared" ca="1" si="2384"/>
        <v>7801095.3556005973</v>
      </c>
      <c r="AE2462" s="2">
        <f t="shared" ca="1" si="2385"/>
        <v>8320116.9326932291</v>
      </c>
      <c r="AF2462" s="2">
        <f t="shared" ca="1" si="2386"/>
        <v>1021086.4776960312</v>
      </c>
      <c r="AG2462" s="2">
        <f t="shared" ca="1" si="2387"/>
        <v>1089021.2855459671</v>
      </c>
      <c r="AH2462" s="2">
        <f t="shared" ca="1" si="2388"/>
        <v>1161475.9242020277</v>
      </c>
      <c r="AI2462" s="2">
        <f t="shared" ca="1" si="2389"/>
        <v>1238751.106526478</v>
      </c>
      <c r="AJ2462" s="2">
        <f t="shared" ca="1" si="2390"/>
        <v>1321167.5523750773</v>
      </c>
      <c r="AK2462" s="2">
        <f t="shared" ca="1" si="2391"/>
        <v>0</v>
      </c>
      <c r="AL2462" s="2">
        <f t="shared" ca="1" si="2392"/>
        <v>33967.403924967948</v>
      </c>
      <c r="AM2462" s="2">
        <f t="shared" ca="1" si="2393"/>
        <v>36227.319328030273</v>
      </c>
      <c r="AN2462" s="2">
        <f t="shared" ca="1" si="2394"/>
        <v>38637.591162225159</v>
      </c>
      <c r="AO2462" s="2">
        <f t="shared" ca="1" si="2395"/>
        <v>41208.222924299611</v>
      </c>
      <c r="AP2462" s="2">
        <f t="shared" ca="1" si="2396"/>
        <v>2288251.6688717268</v>
      </c>
      <c r="AQ2462" s="2">
        <f t="shared" ca="1" si="2397"/>
        <v>788891.24004932016</v>
      </c>
      <c r="AR2462" s="2">
        <f t="shared" ca="1" si="2398"/>
        <v>905031.80808661378</v>
      </c>
      <c r="AS2462" s="2">
        <f t="shared" ca="1" si="2399"/>
        <v>1004828.1210727745</v>
      </c>
      <c r="AT2462" s="2">
        <f t="shared" ca="1" si="2400"/>
        <v>1111264.0708526219</v>
      </c>
      <c r="AU2462" s="2">
        <f t="shared" ca="1" si="2401"/>
        <v>1224781.4049760706</v>
      </c>
      <c r="AV2462" s="2">
        <f t="shared" ca="1" si="2402"/>
        <v>2245305.8370634494</v>
      </c>
      <c r="AW2462" s="2">
        <f t="shared" ca="1" si="2403"/>
        <v>2541892.357552317</v>
      </c>
      <c r="AX2462" s="2">
        <f t="shared" ca="1" si="2404"/>
        <v>2823668.1021867888</v>
      </c>
      <c r="AY2462" s="2">
        <f t="shared" ca="1" si="2405"/>
        <v>3124190.9181875456</v>
      </c>
      <c r="AZ2462" s="2">
        <f t="shared" ca="1" si="2406"/>
        <v>3444708.0835460545</v>
      </c>
      <c r="BA2462" s="2">
        <f t="shared" ca="1" si="2407"/>
        <v>64994463.22320395</v>
      </c>
      <c r="BB2462" s="2">
        <f t="shared" ca="1" si="2408"/>
        <v>1299889.2644640789</v>
      </c>
      <c r="BC2462" s="2">
        <f t="shared" ca="1" si="2409"/>
        <v>38269555.415720679</v>
      </c>
      <c r="BD2462" s="2">
        <f t="shared" ca="1" si="2410"/>
        <v>-18509388.134638596</v>
      </c>
      <c r="BE2462" s="2">
        <f t="shared" ca="1" si="2411"/>
        <v>2245305.8370634494</v>
      </c>
      <c r="BF2462" s="2">
        <f t="shared" ca="1" si="2412"/>
        <v>2541892.357552317</v>
      </c>
      <c r="BG2462" s="2">
        <f t="shared" ca="1" si="2413"/>
        <v>2823668.1021867888</v>
      </c>
      <c r="BH2462" s="2">
        <f t="shared" ca="1" si="2414"/>
        <v>3124190.9181875456</v>
      </c>
      <c r="BI2462" s="2">
        <f t="shared" ca="1" si="2415"/>
        <v>41714263.499266736</v>
      </c>
      <c r="BJ2462" s="2">
        <f t="shared" ca="1" si="2416"/>
        <v>0.27066048882876359</v>
      </c>
      <c r="BK2462" s="2">
        <f t="shared" ca="1" si="2417"/>
        <v>13186834.611136541</v>
      </c>
    </row>
    <row r="2463" spans="1:63" x14ac:dyDescent="0.3">
      <c r="A2463" s="2">
        <v>2462</v>
      </c>
      <c r="B2463" s="2">
        <f t="shared" ca="1" si="2356"/>
        <v>0.35826415420187829</v>
      </c>
      <c r="C2463" s="2">
        <f t="shared" ca="1" si="2357"/>
        <v>6.8464799515663417</v>
      </c>
      <c r="D2463" s="2">
        <f t="shared" ca="1" si="2358"/>
        <v>0.14642446863670155</v>
      </c>
      <c r="E2463" s="2">
        <f t="shared" ca="1" si="2359"/>
        <v>7.0411551877912686</v>
      </c>
      <c r="F2463" s="2">
        <f t="shared" ca="1" si="2360"/>
        <v>0.84048317079447954</v>
      </c>
      <c r="G2463" s="2">
        <f t="shared" ca="1" si="2361"/>
        <v>6.9893369725386734E-2</v>
      </c>
      <c r="H2463" s="2">
        <f t="shared" ca="1" si="2362"/>
        <v>6.9893369725386734E-2</v>
      </c>
      <c r="I2463" s="2">
        <f t="shared" ca="1" si="2363"/>
        <v>0.8887495251612999</v>
      </c>
      <c r="J2463" s="2">
        <f t="shared" ca="1" si="2364"/>
        <v>1.6099524215379208E-2</v>
      </c>
      <c r="K2463" s="2">
        <f t="shared" ca="1" si="2365"/>
        <v>1.6099524215379208E-2</v>
      </c>
      <c r="L2463" s="2">
        <f t="shared" ca="1" si="2366"/>
        <v>0.15694058218262186</v>
      </c>
      <c r="M2463" s="2">
        <f t="shared" ca="1" si="2367"/>
        <v>-2.0142231293231269E-2</v>
      </c>
      <c r="N2463" s="2">
        <f t="shared" ca="1" si="2368"/>
        <v>-2.0142231293231269E-2</v>
      </c>
      <c r="O2463" s="2">
        <f t="shared" si="2369"/>
        <v>6000000</v>
      </c>
      <c r="P2463" s="2">
        <f t="shared" ca="1" si="2370"/>
        <v>41078879.709398054</v>
      </c>
      <c r="Q2463" s="2">
        <f t="shared" ca="1" si="2371"/>
        <v>1026971.9927349514</v>
      </c>
      <c r="R2463" s="2">
        <f t="shared" ca="1" si="2372"/>
        <v>24647327.825638831</v>
      </c>
      <c r="S2463" s="2">
        <f t="shared" ca="1" si="2373"/>
        <v>16431551.883759223</v>
      </c>
      <c r="T2463" s="2">
        <f t="shared" ca="1" si="2374"/>
        <v>48992888.435338438</v>
      </c>
      <c r="U2463" s="2">
        <f t="shared" ca="1" si="2375"/>
        <v>52417166.500664175</v>
      </c>
      <c r="V2463" s="2">
        <f t="shared" ca="1" si="2376"/>
        <v>56080778.898852251</v>
      </c>
      <c r="W2463" s="2">
        <f t="shared" ca="1" si="2377"/>
        <v>60000453.512917399</v>
      </c>
      <c r="X2463" s="2">
        <f t="shared" ca="1" si="2378"/>
        <v>64194087.393986613</v>
      </c>
      <c r="Y2463" s="2">
        <f t="shared" ca="1" si="2379"/>
        <v>0.12804976210768959</v>
      </c>
      <c r="Z2463" s="2">
        <f t="shared" ca="1" si="2380"/>
        <v>0.13126966695076545</v>
      </c>
      <c r="AA2463" s="2">
        <f t="shared" ca="1" si="2381"/>
        <v>6273527.7091136631</v>
      </c>
      <c r="AB2463" s="2">
        <f t="shared" ca="1" si="2382"/>
        <v>6880783.9890450053</v>
      </c>
      <c r="AC2463" s="2">
        <f t="shared" ca="1" si="2383"/>
        <v>7361705.1683918498</v>
      </c>
      <c r="AD2463" s="2">
        <f t="shared" ca="1" si="2384"/>
        <v>7876239.549535552</v>
      </c>
      <c r="AE2463" s="2">
        <f t="shared" ca="1" si="2385"/>
        <v>8426736.4724169523</v>
      </c>
      <c r="AF2463" s="2">
        <f t="shared" ca="1" si="2386"/>
        <v>979857.76870676875</v>
      </c>
      <c r="AG2463" s="2">
        <f t="shared" ca="1" si="2387"/>
        <v>1048343.3300132835</v>
      </c>
      <c r="AH2463" s="2">
        <f t="shared" ca="1" si="2388"/>
        <v>1121615.577977045</v>
      </c>
      <c r="AI2463" s="2">
        <f t="shared" ca="1" si="2389"/>
        <v>1200009.070258348</v>
      </c>
      <c r="AJ2463" s="2">
        <f t="shared" ca="1" si="2390"/>
        <v>1283881.7478797322</v>
      </c>
      <c r="AK2463" s="2">
        <f t="shared" ca="1" si="2391"/>
        <v>0</v>
      </c>
      <c r="AL2463" s="2">
        <f t="shared" ca="1" si="2392"/>
        <v>34242.780653257374</v>
      </c>
      <c r="AM2463" s="2">
        <f t="shared" ca="1" si="2393"/>
        <v>36636.123981880773</v>
      </c>
      <c r="AN2463" s="2">
        <f t="shared" ca="1" si="2394"/>
        <v>39196.746140651478</v>
      </c>
      <c r="AO2463" s="2">
        <f t="shared" ca="1" si="2395"/>
        <v>41936.338810692134</v>
      </c>
      <c r="AP2463" s="2">
        <f t="shared" ca="1" si="2396"/>
        <v>2218259.5043074945</v>
      </c>
      <c r="AQ2463" s="2">
        <f t="shared" ca="1" si="2397"/>
        <v>799606.71338584402</v>
      </c>
      <c r="AR2463" s="2">
        <f t="shared" ca="1" si="2398"/>
        <v>939687.10022829915</v>
      </c>
      <c r="AS2463" s="2">
        <f t="shared" ca="1" si="2399"/>
        <v>1045675.8223879009</v>
      </c>
      <c r="AT2463" s="2">
        <f t="shared" ca="1" si="2400"/>
        <v>1159072.4534921246</v>
      </c>
      <c r="AU2463" s="2">
        <f t="shared" ca="1" si="2401"/>
        <v>1280394.7572597286</v>
      </c>
      <c r="AV2463" s="2">
        <f t="shared" ca="1" si="2402"/>
        <v>2275803.7227135561</v>
      </c>
      <c r="AW2463" s="2">
        <f t="shared" ca="1" si="2403"/>
        <v>2640251.273842671</v>
      </c>
      <c r="AX2463" s="2">
        <f t="shared" ca="1" si="2404"/>
        <v>2939518.1397375287</v>
      </c>
      <c r="AY2463" s="2">
        <f t="shared" ca="1" si="2405"/>
        <v>3259701.7753369333</v>
      </c>
      <c r="AZ2463" s="2">
        <f t="shared" ca="1" si="2406"/>
        <v>3602264.1241593044</v>
      </c>
      <c r="BA2463" s="2">
        <f t="shared" ca="1" si="2407"/>
        <v>59333959.228908516</v>
      </c>
      <c r="BB2463" s="2">
        <f t="shared" ca="1" si="2408"/>
        <v>1186679.1845781703</v>
      </c>
      <c r="BC2463" s="2">
        <f t="shared" ca="1" si="2409"/>
        <v>33499952.218691517</v>
      </c>
      <c r="BD2463" s="2">
        <f t="shared" ca="1" si="2410"/>
        <v>-17958523.876494173</v>
      </c>
      <c r="BE2463" s="2">
        <f t="shared" ca="1" si="2411"/>
        <v>2275803.7227135561</v>
      </c>
      <c r="BF2463" s="2">
        <f t="shared" ca="1" si="2412"/>
        <v>2640251.273842671</v>
      </c>
      <c r="BG2463" s="2">
        <f t="shared" ca="1" si="2413"/>
        <v>2939518.1397375287</v>
      </c>
      <c r="BH2463" s="2">
        <f t="shared" ca="1" si="2414"/>
        <v>3259701.7753369333</v>
      </c>
      <c r="BI2463" s="2">
        <f t="shared" ca="1" si="2415"/>
        <v>37102216.342850819</v>
      </c>
      <c r="BJ2463" s="2">
        <f t="shared" ca="1" si="2416"/>
        <v>0.25924816498840353</v>
      </c>
      <c r="BK2463" s="2">
        <f t="shared" ca="1" si="2417"/>
        <v>11394920.201779563</v>
      </c>
    </row>
    <row r="2464" spans="1:63" x14ac:dyDescent="0.3">
      <c r="A2464" s="2">
        <v>2463</v>
      </c>
      <c r="B2464" s="2">
        <f t="shared" ca="1" si="2356"/>
        <v>0.30204023473633634</v>
      </c>
      <c r="C2464" s="2">
        <f t="shared" ca="1" si="2357"/>
        <v>6.7772261379242673</v>
      </c>
      <c r="D2464" s="2">
        <f t="shared" ca="1" si="2358"/>
        <v>0.85006793487347598</v>
      </c>
      <c r="E2464" s="2">
        <f t="shared" ca="1" si="2359"/>
        <v>7.9524014880836074</v>
      </c>
      <c r="F2464" s="2">
        <f t="shared" ca="1" si="2360"/>
        <v>5.2005813226951303E-2</v>
      </c>
      <c r="G2464" s="2">
        <f t="shared" ca="1" si="2361"/>
        <v>-8.7712626868868548E-3</v>
      </c>
      <c r="H2464" s="2">
        <f t="shared" ca="1" si="2362"/>
        <v>-8.7712626868868548E-3</v>
      </c>
      <c r="I2464" s="2">
        <f t="shared" ca="1" si="2363"/>
        <v>0.38133041275664104</v>
      </c>
      <c r="J2464" s="2">
        <f t="shared" ca="1" si="2364"/>
        <v>8.4900574731524674E-3</v>
      </c>
      <c r="K2464" s="2">
        <f t="shared" ca="1" si="2365"/>
        <v>8.4900574731524674E-3</v>
      </c>
      <c r="L2464" s="2">
        <f t="shared" ca="1" si="2366"/>
        <v>0.3024413547546676</v>
      </c>
      <c r="M2464" s="2">
        <f t="shared" ca="1" si="2367"/>
        <v>-1.0347835231514597E-2</v>
      </c>
      <c r="N2464" s="2">
        <f t="shared" ca="1" si="2368"/>
        <v>-1.0347835231514597E-2</v>
      </c>
      <c r="O2464" s="2">
        <f t="shared" si="2369"/>
        <v>6000000</v>
      </c>
      <c r="P2464" s="2">
        <f t="shared" ca="1" si="2370"/>
        <v>40663356.827545606</v>
      </c>
      <c r="Q2464" s="2">
        <f t="shared" ca="1" si="2371"/>
        <v>1016583.9206886402</v>
      </c>
      <c r="R2464" s="2">
        <f t="shared" ca="1" si="2372"/>
        <v>24398014.096527364</v>
      </c>
      <c r="S2464" s="2">
        <f t="shared" ca="1" si="2373"/>
        <v>16265342.731018243</v>
      </c>
      <c r="T2464" s="2">
        <f t="shared" ca="1" si="2374"/>
        <v>49482608.238424271</v>
      </c>
      <c r="U2464" s="2">
        <f t="shared" ca="1" si="2375"/>
        <v>49048583.283132739</v>
      </c>
      <c r="V2464" s="2">
        <f t="shared" ca="1" si="2376"/>
        <v>48618365.274736732</v>
      </c>
      <c r="W2464" s="2">
        <f t="shared" ca="1" si="2377"/>
        <v>48191920.821504995</v>
      </c>
      <c r="X2464" s="2">
        <f t="shared" ca="1" si="2378"/>
        <v>47769216.824593924</v>
      </c>
      <c r="Y2464" s="2">
        <f t="shared" ca="1" si="2379"/>
        <v>0.12424502873657622</v>
      </c>
      <c r="Z2464" s="2">
        <f t="shared" ca="1" si="2380"/>
        <v>0.12594304023120673</v>
      </c>
      <c r="AA2464" s="2">
        <f t="shared" ca="1" si="2381"/>
        <v>6147968.0825437671</v>
      </c>
      <c r="AB2464" s="2">
        <f t="shared" ca="1" si="2382"/>
        <v>6177327.6977112805</v>
      </c>
      <c r="AC2464" s="2">
        <f t="shared" ca="1" si="2383"/>
        <v>6123144.7337716725</v>
      </c>
      <c r="AD2464" s="2">
        <f t="shared" ca="1" si="2384"/>
        <v>6069437.0228419332</v>
      </c>
      <c r="AE2464" s="2">
        <f t="shared" ca="1" si="2385"/>
        <v>6016200.3963530697</v>
      </c>
      <c r="AF2464" s="2">
        <f t="shared" ca="1" si="2386"/>
        <v>989652.16476848547</v>
      </c>
      <c r="AG2464" s="2">
        <f t="shared" ca="1" si="2387"/>
        <v>980971.66566265479</v>
      </c>
      <c r="AH2464" s="2">
        <f t="shared" ca="1" si="2388"/>
        <v>972367.30549473467</v>
      </c>
      <c r="AI2464" s="2">
        <f t="shared" ca="1" si="2389"/>
        <v>963838.41643009987</v>
      </c>
      <c r="AJ2464" s="2">
        <f t="shared" ca="1" si="2390"/>
        <v>955384.33649187849</v>
      </c>
      <c r="AK2464" s="2">
        <f t="shared" ca="1" si="2391"/>
        <v>0</v>
      </c>
      <c r="AL2464" s="2">
        <f t="shared" ca="1" si="2392"/>
        <v>0</v>
      </c>
      <c r="AM2464" s="2">
        <f t="shared" ca="1" si="2393"/>
        <v>0</v>
      </c>
      <c r="AN2464" s="2">
        <f t="shared" ca="1" si="2394"/>
        <v>0</v>
      </c>
      <c r="AO2464" s="2">
        <f t="shared" ca="1" si="2395"/>
        <v>0</v>
      </c>
      <c r="AP2464" s="2">
        <f t="shared" ca="1" si="2396"/>
        <v>2195821.2686874629</v>
      </c>
      <c r="AQ2464" s="2">
        <f t="shared" ca="1" si="2397"/>
        <v>770248.60876283294</v>
      </c>
      <c r="AR2464" s="2">
        <f t="shared" ca="1" si="2398"/>
        <v>780139.03847390239</v>
      </c>
      <c r="AS2464" s="2">
        <f t="shared" ca="1" si="2399"/>
        <v>768288.60149326338</v>
      </c>
      <c r="AT2464" s="2">
        <f t="shared" ca="1" si="2400"/>
        <v>756542.10780833638</v>
      </c>
      <c r="AU2464" s="2">
        <f t="shared" ca="1" si="2401"/>
        <v>744898.64570516942</v>
      </c>
      <c r="AV2464" s="2">
        <f t="shared" ca="1" si="2402"/>
        <v>2192246.0403249855</v>
      </c>
      <c r="AW2464" s="2">
        <f t="shared" ca="1" si="2403"/>
        <v>2220395.7248872607</v>
      </c>
      <c r="AX2464" s="2">
        <f t="shared" ca="1" si="2404"/>
        <v>2186667.5580962109</v>
      </c>
      <c r="AY2464" s="2">
        <f t="shared" ca="1" si="2405"/>
        <v>2153235.2299160338</v>
      </c>
      <c r="AZ2464" s="2">
        <f t="shared" ca="1" si="2406"/>
        <v>2120096.1454685596</v>
      </c>
      <c r="BA2464" s="2">
        <f t="shared" ca="1" si="2407"/>
        <v>47843240.984567337</v>
      </c>
      <c r="BB2464" s="2">
        <f t="shared" ca="1" si="2408"/>
        <v>956864.81969134673</v>
      </c>
      <c r="BC2464" s="2">
        <f t="shared" ca="1" si="2409"/>
        <v>22488362.068348628</v>
      </c>
      <c r="BD2464" s="2">
        <f t="shared" ca="1" si="2410"/>
        <v>-17781926.651706882</v>
      </c>
      <c r="BE2464" s="2">
        <f t="shared" ca="1" si="2411"/>
        <v>2192246.0403249855</v>
      </c>
      <c r="BF2464" s="2">
        <f t="shared" ca="1" si="2412"/>
        <v>2220395.7248872607</v>
      </c>
      <c r="BG2464" s="2">
        <f t="shared" ca="1" si="2413"/>
        <v>2186667.5580962109</v>
      </c>
      <c r="BH2464" s="2">
        <f t="shared" ca="1" si="2414"/>
        <v>2153235.2299160338</v>
      </c>
      <c r="BI2464" s="2">
        <f t="shared" ca="1" si="2415"/>
        <v>24608458.213817187</v>
      </c>
      <c r="BJ2464" s="2">
        <f t="shared" ca="1" si="2416"/>
        <v>0.16103257257289205</v>
      </c>
      <c r="BK2464" s="2">
        <f t="shared" ca="1" si="2417"/>
        <v>2833868.5223240629</v>
      </c>
    </row>
    <row r="2465" spans="1:63" x14ac:dyDescent="0.3">
      <c r="A2465" s="2">
        <v>2464</v>
      </c>
      <c r="B2465" s="2">
        <f t="shared" ca="1" si="2356"/>
        <v>0.66688623213072618</v>
      </c>
      <c r="C2465" s="2">
        <f t="shared" ca="1" si="2357"/>
        <v>7.1837723750456934</v>
      </c>
      <c r="D2465" s="2">
        <f t="shared" ca="1" si="2358"/>
        <v>0.94155520021840167</v>
      </c>
      <c r="E2465" s="2">
        <f t="shared" ca="1" si="2359"/>
        <v>8.1581087898714024</v>
      </c>
      <c r="F2465" s="2">
        <f t="shared" ca="1" si="2360"/>
        <v>0.84273060972100278</v>
      </c>
      <c r="G2465" s="2">
        <f t="shared" ca="1" si="2361"/>
        <v>7.0172316947862384E-2</v>
      </c>
      <c r="H2465" s="2">
        <f t="shared" ca="1" si="2362"/>
        <v>7.0172316947862384E-2</v>
      </c>
      <c r="I2465" s="2">
        <f t="shared" ca="1" si="2363"/>
        <v>0.43955226943621084</v>
      </c>
      <c r="J2465" s="2">
        <f t="shared" ca="1" si="2364"/>
        <v>9.2394776512051257E-3</v>
      </c>
      <c r="K2465" s="2">
        <f t="shared" ca="1" si="2365"/>
        <v>9.2394776512051257E-3</v>
      </c>
      <c r="L2465" s="2">
        <f t="shared" ca="1" si="2366"/>
        <v>0.63580189593573633</v>
      </c>
      <c r="M2465" s="2">
        <f t="shared" ca="1" si="2367"/>
        <v>6.9451944186698783E-3</v>
      </c>
      <c r="N2465" s="2">
        <f t="shared" ca="1" si="2368"/>
        <v>6.9451944186698783E-3</v>
      </c>
      <c r="O2465" s="2">
        <f t="shared" si="2369"/>
        <v>6000000</v>
      </c>
      <c r="P2465" s="2">
        <f t="shared" ca="1" si="2370"/>
        <v>43102634.250274159</v>
      </c>
      <c r="Q2465" s="2">
        <f t="shared" ca="1" si="2371"/>
        <v>1077565.856256854</v>
      </c>
      <c r="R2465" s="2">
        <f t="shared" ca="1" si="2372"/>
        <v>25861580.550164495</v>
      </c>
      <c r="S2465" s="2">
        <f t="shared" ca="1" si="2373"/>
        <v>17241053.700109664</v>
      </c>
      <c r="T2465" s="2">
        <f t="shared" ca="1" si="2374"/>
        <v>50347259.72093349</v>
      </c>
      <c r="U2465" s="2">
        <f t="shared" ca="1" si="2375"/>
        <v>53880243.587527178</v>
      </c>
      <c r="V2465" s="2">
        <f t="shared" ca="1" si="2376"/>
        <v>57661145.117779158</v>
      </c>
      <c r="W2465" s="2">
        <f t="shared" ca="1" si="2377"/>
        <v>61707361.268560641</v>
      </c>
      <c r="X2465" s="2">
        <f t="shared" ca="1" si="2378"/>
        <v>66037509.781514317</v>
      </c>
      <c r="Y2465" s="2">
        <f t="shared" ca="1" si="2379"/>
        <v>0.12461973882560255</v>
      </c>
      <c r="Z2465" s="2">
        <f t="shared" ca="1" si="2380"/>
        <v>0.12646763435584357</v>
      </c>
      <c r="AA2465" s="2">
        <f t="shared" ca="1" si="2381"/>
        <v>6274262.357007511</v>
      </c>
      <c r="AB2465" s="2">
        <f t="shared" ca="1" si="2382"/>
        <v>6814106.9450311726</v>
      </c>
      <c r="AC2465" s="2">
        <f t="shared" ca="1" si="2383"/>
        <v>7292268.6172945295</v>
      </c>
      <c r="AD2465" s="2">
        <f t="shared" ca="1" si="2384"/>
        <v>7803984.0019762702</v>
      </c>
      <c r="AE2465" s="2">
        <f t="shared" ca="1" si="2385"/>
        <v>8351607.6408189964</v>
      </c>
      <c r="AF2465" s="2">
        <f t="shared" ca="1" si="2386"/>
        <v>1006945.1944186698</v>
      </c>
      <c r="AG2465" s="2">
        <f t="shared" ca="1" si="2387"/>
        <v>1077604.8717505436</v>
      </c>
      <c r="AH2465" s="2">
        <f t="shared" ca="1" si="2388"/>
        <v>1153222.9023555832</v>
      </c>
      <c r="AI2465" s="2">
        <f t="shared" ca="1" si="2389"/>
        <v>1234147.2253712129</v>
      </c>
      <c r="AJ2465" s="2">
        <f t="shared" ca="1" si="2390"/>
        <v>1320750.1956302864</v>
      </c>
      <c r="AK2465" s="2">
        <f t="shared" ca="1" si="2391"/>
        <v>0</v>
      </c>
      <c r="AL2465" s="2">
        <f t="shared" ca="1" si="2392"/>
        <v>35329.838665936892</v>
      </c>
      <c r="AM2465" s="2">
        <f t="shared" ca="1" si="2393"/>
        <v>37809.015302519801</v>
      </c>
      <c r="AN2465" s="2">
        <f t="shared" ca="1" si="2394"/>
        <v>40462.161507814824</v>
      </c>
      <c r="AO2465" s="2">
        <f t="shared" ca="1" si="2395"/>
        <v>43301.485129536763</v>
      </c>
      <c r="AP2465" s="2">
        <f t="shared" ca="1" si="2396"/>
        <v>2327542.2495148042</v>
      </c>
      <c r="AQ2465" s="2">
        <f t="shared" ca="1" si="2397"/>
        <v>764341.47739924968</v>
      </c>
      <c r="AR2465" s="2">
        <f t="shared" ca="1" si="2398"/>
        <v>886329.55417911441</v>
      </c>
      <c r="AS2465" s="2">
        <f t="shared" ca="1" si="2399"/>
        <v>990990.90101027687</v>
      </c>
      <c r="AT2465" s="2">
        <f t="shared" ca="1" si="2400"/>
        <v>1102996.5770434658</v>
      </c>
      <c r="AU2465" s="2">
        <f t="shared" ca="1" si="2401"/>
        <v>1222861.9508752157</v>
      </c>
      <c r="AV2465" s="2">
        <f t="shared" ca="1" si="2402"/>
        <v>2175433.4356747875</v>
      </c>
      <c r="AW2465" s="2">
        <f t="shared" ca="1" si="2403"/>
        <v>2487300.4309207732</v>
      </c>
      <c r="AX2465" s="2">
        <f t="shared" ca="1" si="2404"/>
        <v>2782703.5491113449</v>
      </c>
      <c r="AY2465" s="2">
        <f t="shared" ca="1" si="2405"/>
        <v>3098835.7885389728</v>
      </c>
      <c r="AZ2465" s="2">
        <f t="shared" ca="1" si="2406"/>
        <v>3437151.759669154</v>
      </c>
      <c r="BA2465" s="2">
        <f t="shared" ca="1" si="2407"/>
        <v>68133323.704122618</v>
      </c>
      <c r="BB2465" s="2">
        <f t="shared" ca="1" si="2408"/>
        <v>1362666.4740824525</v>
      </c>
      <c r="BC2465" s="2">
        <f t="shared" ca="1" si="2409"/>
        <v>40909076.679875672</v>
      </c>
      <c r="BD2465" s="2">
        <f t="shared" ca="1" si="2410"/>
        <v>-18818619.556366518</v>
      </c>
      <c r="BE2465" s="2">
        <f t="shared" ca="1" si="2411"/>
        <v>2175433.4356747875</v>
      </c>
      <c r="BF2465" s="2">
        <f t="shared" ca="1" si="2412"/>
        <v>2487300.4309207732</v>
      </c>
      <c r="BG2465" s="2">
        <f t="shared" ca="1" si="2413"/>
        <v>2782703.5491113449</v>
      </c>
      <c r="BH2465" s="2">
        <f t="shared" ca="1" si="2414"/>
        <v>3098835.7885389728</v>
      </c>
      <c r="BI2465" s="2">
        <f t="shared" ca="1" si="2415"/>
        <v>44346228.439544827</v>
      </c>
      <c r="BJ2465" s="2">
        <f t="shared" ca="1" si="2416"/>
        <v>0.27652242890194967</v>
      </c>
      <c r="BK2465" s="2">
        <f t="shared" ca="1" si="2417"/>
        <v>14219872.954477806</v>
      </c>
    </row>
    <row r="2466" spans="1:63" x14ac:dyDescent="0.3">
      <c r="A2466" s="2">
        <v>2465</v>
      </c>
      <c r="B2466" s="2">
        <f t="shared" ca="1" si="2356"/>
        <v>0.24952974353519064</v>
      </c>
      <c r="C2466" s="2">
        <f t="shared" ca="1" si="2357"/>
        <v>6.7064414250809339</v>
      </c>
      <c r="D2466" s="2">
        <f t="shared" ca="1" si="2358"/>
        <v>0.35572275612725535</v>
      </c>
      <c r="E2466" s="2">
        <f t="shared" ca="1" si="2359"/>
        <v>7.3434722948944504</v>
      </c>
      <c r="F2466" s="2">
        <f t="shared" ca="1" si="2360"/>
        <v>0.29409718480452562</v>
      </c>
      <c r="G2466" s="2">
        <f t="shared" ca="1" si="2361"/>
        <v>2.3756365808481894E-2</v>
      </c>
      <c r="H2466" s="2">
        <f t="shared" ca="1" si="2362"/>
        <v>2.3756365808481894E-2</v>
      </c>
      <c r="I2466" s="2">
        <f t="shared" ca="1" si="2363"/>
        <v>0.53842998277599974</v>
      </c>
      <c r="J2466" s="2">
        <f t="shared" ca="1" si="2364"/>
        <v>1.0482395738102796E-2</v>
      </c>
      <c r="K2466" s="2">
        <f t="shared" ca="1" si="2365"/>
        <v>1.0482395738102796E-2</v>
      </c>
      <c r="L2466" s="2">
        <f t="shared" ca="1" si="2366"/>
        <v>0.56269008028012091</v>
      </c>
      <c r="M2466" s="2">
        <f t="shared" ca="1" si="2367"/>
        <v>3.1558619112748939E-3</v>
      </c>
      <c r="N2466" s="2">
        <f t="shared" ca="1" si="2368"/>
        <v>3.1558619112748939E-3</v>
      </c>
      <c r="O2466" s="2">
        <f t="shared" si="2369"/>
        <v>6000000</v>
      </c>
      <c r="P2466" s="2">
        <f t="shared" ca="1" si="2370"/>
        <v>40238648.550485604</v>
      </c>
      <c r="Q2466" s="2">
        <f t="shared" ca="1" si="2371"/>
        <v>1005966.2137621401</v>
      </c>
      <c r="R2466" s="2">
        <f t="shared" ca="1" si="2372"/>
        <v>24143189.130291361</v>
      </c>
      <c r="S2466" s="2">
        <f t="shared" ca="1" si="2373"/>
        <v>16095459.420194242</v>
      </c>
      <c r="T2466" s="2">
        <f t="shared" ca="1" si="2374"/>
        <v>50157793.09556374</v>
      </c>
      <c r="U2466" s="2">
        <f t="shared" ca="1" si="2375"/>
        <v>51349359.976488099</v>
      </c>
      <c r="V2466" s="2">
        <f t="shared" ca="1" si="2376"/>
        <v>52569234.156120963</v>
      </c>
      <c r="W2466" s="2">
        <f t="shared" ca="1" si="2377"/>
        <v>53818088.113005511</v>
      </c>
      <c r="X2466" s="2">
        <f t="shared" ca="1" si="2378"/>
        <v>55096610.301331177</v>
      </c>
      <c r="Y2466" s="2">
        <f t="shared" ca="1" si="2379"/>
        <v>0.12524119786905138</v>
      </c>
      <c r="Z2466" s="2">
        <f t="shared" ca="1" si="2380"/>
        <v>0.12733767701667195</v>
      </c>
      <c r="AA2466" s="2">
        <f t="shared" ca="1" si="2381"/>
        <v>6281822.0897564376</v>
      </c>
      <c r="AB2466" s="2">
        <f t="shared" ca="1" si="2382"/>
        <v>6538708.2156988634</v>
      </c>
      <c r="AC2466" s="2">
        <f t="shared" ca="1" si="2383"/>
        <v>6694044.1599859307</v>
      </c>
      <c r="AD2466" s="2">
        <f t="shared" ca="1" si="2384"/>
        <v>6853070.3217886882</v>
      </c>
      <c r="AE2466" s="2">
        <f t="shared" ca="1" si="2385"/>
        <v>7015874.3672643499</v>
      </c>
      <c r="AF2466" s="2">
        <f t="shared" ca="1" si="2386"/>
        <v>1003155.8619112748</v>
      </c>
      <c r="AG2466" s="2">
        <f t="shared" ca="1" si="2387"/>
        <v>1026987.199529762</v>
      </c>
      <c r="AH2466" s="2">
        <f t="shared" ca="1" si="2388"/>
        <v>1051384.6831224193</v>
      </c>
      <c r="AI2466" s="2">
        <f t="shared" ca="1" si="2389"/>
        <v>1076361.7622601104</v>
      </c>
      <c r="AJ2466" s="2">
        <f t="shared" ca="1" si="2390"/>
        <v>1101932.2060266235</v>
      </c>
      <c r="AK2466" s="2">
        <f t="shared" ca="1" si="2391"/>
        <v>0</v>
      </c>
      <c r="AL2466" s="2">
        <f t="shared" ca="1" si="2392"/>
        <v>11915.668809243591</v>
      </c>
      <c r="AM2466" s="2">
        <f t="shared" ca="1" si="2393"/>
        <v>12198.74179632865</v>
      </c>
      <c r="AN2466" s="2">
        <f t="shared" ca="1" si="2394"/>
        <v>12488.539568845481</v>
      </c>
      <c r="AO2466" s="2">
        <f t="shared" ca="1" si="2395"/>
        <v>12785.22188325666</v>
      </c>
      <c r="AP2466" s="2">
        <f t="shared" ca="1" si="2396"/>
        <v>2172887.0217262222</v>
      </c>
      <c r="AQ2466" s="2">
        <f t="shared" ca="1" si="2397"/>
        <v>807502.59359092463</v>
      </c>
      <c r="AR2466" s="2">
        <f t="shared" ca="1" si="2398"/>
        <v>868096.83855514845</v>
      </c>
      <c r="AS2466" s="2">
        <f t="shared" ca="1" si="2399"/>
        <v>902140.83833569509</v>
      </c>
      <c r="AT2466" s="2">
        <f t="shared" ca="1" si="2400"/>
        <v>936993.59982861253</v>
      </c>
      <c r="AU2466" s="2">
        <f t="shared" ca="1" si="2401"/>
        <v>972674.33627299103</v>
      </c>
      <c r="AV2466" s="2">
        <f t="shared" ca="1" si="2402"/>
        <v>2298276.6125280163</v>
      </c>
      <c r="AW2466" s="2">
        <f t="shared" ca="1" si="2403"/>
        <v>2458821.4870784865</v>
      </c>
      <c r="AX2466" s="2">
        <f t="shared" ca="1" si="2404"/>
        <v>2555432.8750052652</v>
      </c>
      <c r="AY2466" s="2">
        <f t="shared" ca="1" si="2405"/>
        <v>2654339.3984048986</v>
      </c>
      <c r="AZ2466" s="2">
        <f t="shared" ca="1" si="2406"/>
        <v>2755595.5813552556</v>
      </c>
      <c r="BA2466" s="2">
        <f t="shared" ca="1" si="2407"/>
        <v>51520879.040465884</v>
      </c>
      <c r="BB2466" s="2">
        <f t="shared" ca="1" si="2408"/>
        <v>1030417.5808093176</v>
      </c>
      <c r="BC2466" s="2">
        <f t="shared" ca="1" si="2409"/>
        <v>26347272.329365205</v>
      </c>
      <c r="BD2466" s="2">
        <f t="shared" ca="1" si="2410"/>
        <v>-17601425.633956384</v>
      </c>
      <c r="BE2466" s="2">
        <f t="shared" ca="1" si="2411"/>
        <v>2298276.6125280163</v>
      </c>
      <c r="BF2466" s="2">
        <f t="shared" ca="1" si="2412"/>
        <v>2458821.4870784865</v>
      </c>
      <c r="BG2466" s="2">
        <f t="shared" ca="1" si="2413"/>
        <v>2555432.8750052652</v>
      </c>
      <c r="BH2466" s="2">
        <f t="shared" ca="1" si="2414"/>
        <v>2654339.3984048986</v>
      </c>
      <c r="BI2466" s="2">
        <f t="shared" ca="1" si="2415"/>
        <v>29102867.91072046</v>
      </c>
      <c r="BJ2466" s="2">
        <f t="shared" ca="1" si="2416"/>
        <v>0.20792947798029515</v>
      </c>
      <c r="BK2466" s="2">
        <f t="shared" ca="1" si="2417"/>
        <v>6430300.6412147656</v>
      </c>
    </row>
    <row r="2467" spans="1:63" x14ac:dyDescent="0.3">
      <c r="A2467" s="2">
        <v>2466</v>
      </c>
      <c r="B2467" s="2">
        <f t="shared" ca="1" si="2356"/>
        <v>0.46278655790020773</v>
      </c>
      <c r="C2467" s="2">
        <f t="shared" ca="1" si="2357"/>
        <v>6.9620671056638486</v>
      </c>
      <c r="D2467" s="2">
        <f t="shared" ca="1" si="2358"/>
        <v>0.55739853842560072</v>
      </c>
      <c r="E2467" s="2">
        <f t="shared" ca="1" si="2359"/>
        <v>7.559147767633621</v>
      </c>
      <c r="F2467" s="2">
        <f t="shared" ca="1" si="2360"/>
        <v>0.91870466722247401</v>
      </c>
      <c r="G2467" s="2">
        <f t="shared" ca="1" si="2361"/>
        <v>8.1892339863543384E-2</v>
      </c>
      <c r="H2467" s="2">
        <f t="shared" ca="1" si="2362"/>
        <v>8.1892339863543384E-2</v>
      </c>
      <c r="I2467" s="2">
        <f t="shared" ca="1" si="2363"/>
        <v>0.90703128419276557</v>
      </c>
      <c r="J2467" s="2">
        <f t="shared" ca="1" si="2364"/>
        <v>1.66134659128774E-2</v>
      </c>
      <c r="K2467" s="2">
        <f t="shared" ca="1" si="2365"/>
        <v>1.66134659128774E-2</v>
      </c>
      <c r="L2467" s="2">
        <f t="shared" ca="1" si="2366"/>
        <v>0.28360016943377808</v>
      </c>
      <c r="M2467" s="2">
        <f t="shared" ca="1" si="2367"/>
        <v>-1.1443591043824839E-2</v>
      </c>
      <c r="N2467" s="2">
        <f t="shared" ca="1" si="2368"/>
        <v>-1.1443591043824839E-2</v>
      </c>
      <c r="O2467" s="2">
        <f t="shared" si="2369"/>
        <v>6000000</v>
      </c>
      <c r="P2467" s="2">
        <f t="shared" ca="1" si="2370"/>
        <v>41772402.633983091</v>
      </c>
      <c r="Q2467" s="2">
        <f t="shared" ca="1" si="2371"/>
        <v>1044310.0658495773</v>
      </c>
      <c r="R2467" s="2">
        <f t="shared" ca="1" si="2372"/>
        <v>25063441.580389854</v>
      </c>
      <c r="S2467" s="2">
        <f t="shared" ca="1" si="2373"/>
        <v>16708961.053593237</v>
      </c>
      <c r="T2467" s="2">
        <f t="shared" ca="1" si="2374"/>
        <v>49427820.447808757</v>
      </c>
      <c r="U2467" s="2">
        <f t="shared" ca="1" si="2375"/>
        <v>53475580.318634912</v>
      </c>
      <c r="V2467" s="2">
        <f t="shared" ca="1" si="2376"/>
        <v>57854820.716488771</v>
      </c>
      <c r="W2467" s="2">
        <f t="shared" ca="1" si="2377"/>
        <v>62592687.357347839</v>
      </c>
      <c r="X2467" s="2">
        <f t="shared" ca="1" si="2378"/>
        <v>67718548.98338829</v>
      </c>
      <c r="Y2467" s="2">
        <f t="shared" ca="1" si="2379"/>
        <v>0.12830673295643868</v>
      </c>
      <c r="Z2467" s="2">
        <f t="shared" ca="1" si="2380"/>
        <v>0.13162942613901418</v>
      </c>
      <c r="AA2467" s="2">
        <f t="shared" ca="1" si="2381"/>
        <v>6341922.1588157974</v>
      </c>
      <c r="AB2467" s="2">
        <f t="shared" ca="1" si="2382"/>
        <v>7038959.9497926747</v>
      </c>
      <c r="AC2467" s="2">
        <f t="shared" ca="1" si="2383"/>
        <v>7615396.8502869662</v>
      </c>
      <c r="AD2467" s="2">
        <f t="shared" ca="1" si="2384"/>
        <v>8239039.5173464241</v>
      </c>
      <c r="AE2467" s="2">
        <f t="shared" ca="1" si="2385"/>
        <v>8913753.7416501231</v>
      </c>
      <c r="AF2467" s="2">
        <f t="shared" ca="1" si="2386"/>
        <v>988556.4089561752</v>
      </c>
      <c r="AG2467" s="2">
        <f t="shared" ca="1" si="2387"/>
        <v>1069511.6063726982</v>
      </c>
      <c r="AH2467" s="2">
        <f t="shared" ca="1" si="2388"/>
        <v>1157096.4143297754</v>
      </c>
      <c r="AI2467" s="2">
        <f t="shared" ca="1" si="2389"/>
        <v>1251853.7471469569</v>
      </c>
      <c r="AJ2467" s="2">
        <f t="shared" ca="1" si="2390"/>
        <v>1354370.9796677658</v>
      </c>
      <c r="AK2467" s="2">
        <f t="shared" ca="1" si="2391"/>
        <v>0</v>
      </c>
      <c r="AL2467" s="2">
        <f t="shared" ca="1" si="2392"/>
        <v>40477.598708261554</v>
      </c>
      <c r="AM2467" s="2">
        <f t="shared" ca="1" si="2393"/>
        <v>43792.40397853859</v>
      </c>
      <c r="AN2467" s="2">
        <f t="shared" ca="1" si="2394"/>
        <v>47378.666408590674</v>
      </c>
      <c r="AO2467" s="2">
        <f t="shared" ca="1" si="2395"/>
        <v>51258.616260404517</v>
      </c>
      <c r="AP2467" s="2">
        <f t="shared" ca="1" si="2396"/>
        <v>2255709.7422350869</v>
      </c>
      <c r="AQ2467" s="2">
        <f t="shared" ca="1" si="2397"/>
        <v>805390.56198237906</v>
      </c>
      <c r="AR2467" s="2">
        <f t="shared" ca="1" si="2398"/>
        <v>965572.03630807134</v>
      </c>
      <c r="AS2467" s="2">
        <f t="shared" ca="1" si="2399"/>
        <v>1092673.580367747</v>
      </c>
      <c r="AT2467" s="2">
        <f t="shared" ca="1" si="2400"/>
        <v>1230183.767270739</v>
      </c>
      <c r="AU2467" s="2">
        <f t="shared" ca="1" si="2401"/>
        <v>1378954.9851342903</v>
      </c>
      <c r="AV2467" s="2">
        <f t="shared" ca="1" si="2402"/>
        <v>2292265.4456421556</v>
      </c>
      <c r="AW2467" s="2">
        <f t="shared" ca="1" si="2403"/>
        <v>2707688.9661685564</v>
      </c>
      <c r="AX2467" s="2">
        <f t="shared" ca="1" si="2404"/>
        <v>3066124.7093758183</v>
      </c>
      <c r="AY2467" s="2">
        <f t="shared" ca="1" si="2405"/>
        <v>3453913.5942850504</v>
      </c>
      <c r="AZ2467" s="2">
        <f t="shared" ca="1" si="2406"/>
        <v>3873459.418352575</v>
      </c>
      <c r="BA2467" s="2">
        <f t="shared" ca="1" si="2407"/>
        <v>67380381.697430357</v>
      </c>
      <c r="BB2467" s="2">
        <f t="shared" ca="1" si="2408"/>
        <v>1347607.6339486071</v>
      </c>
      <c r="BC2467" s="2">
        <f t="shared" ca="1" si="2409"/>
        <v>40969332.483091891</v>
      </c>
      <c r="BD2467" s="2">
        <f t="shared" ca="1" si="2410"/>
        <v>-18253271.119442813</v>
      </c>
      <c r="BE2467" s="2">
        <f t="shared" ca="1" si="2411"/>
        <v>2292265.4456421556</v>
      </c>
      <c r="BF2467" s="2">
        <f t="shared" ca="1" si="2412"/>
        <v>2707688.9661685564</v>
      </c>
      <c r="BG2467" s="2">
        <f t="shared" ca="1" si="2413"/>
        <v>3066124.7093758183</v>
      </c>
      <c r="BH2467" s="2">
        <f t="shared" ca="1" si="2414"/>
        <v>3453913.5942850504</v>
      </c>
      <c r="BI2467" s="2">
        <f t="shared" ca="1" si="2415"/>
        <v>44842791.901444465</v>
      </c>
      <c r="BJ2467" s="2">
        <f t="shared" ca="1" si="2416"/>
        <v>0.29643695042809237</v>
      </c>
      <c r="BK2467" s="2">
        <f t="shared" ca="1" si="2417"/>
        <v>15774383.469328217</v>
      </c>
    </row>
    <row r="2468" spans="1:63" x14ac:dyDescent="0.3">
      <c r="A2468" s="2">
        <v>2467</v>
      </c>
      <c r="B2468" s="2">
        <f t="shared" ca="1" si="2356"/>
        <v>0.59133203557737846</v>
      </c>
      <c r="C2468" s="2">
        <f t="shared" ca="1" si="2357"/>
        <v>7.0959336701075282</v>
      </c>
      <c r="D2468" s="2">
        <f t="shared" ca="1" si="2358"/>
        <v>0.47021400117618051</v>
      </c>
      <c r="E2468" s="2">
        <f t="shared" ca="1" si="2359"/>
        <v>7.4697566717235624</v>
      </c>
      <c r="F2468" s="2">
        <f t="shared" ca="1" si="2360"/>
        <v>0.28489799457330423</v>
      </c>
      <c r="G2468" s="2">
        <f t="shared" ca="1" si="2361"/>
        <v>2.2949440560018911E-2</v>
      </c>
      <c r="H2468" s="2">
        <f t="shared" ca="1" si="2362"/>
        <v>2.2949440560018911E-2</v>
      </c>
      <c r="I2468" s="2">
        <f t="shared" ca="1" si="2363"/>
        <v>0.93362752524580428</v>
      </c>
      <c r="J2468" s="2">
        <f t="shared" ca="1" si="2364"/>
        <v>1.7516824949327159E-2</v>
      </c>
      <c r="K2468" s="2">
        <f t="shared" ca="1" si="2365"/>
        <v>1.7516824949327159E-2</v>
      </c>
      <c r="L2468" s="2">
        <f t="shared" ca="1" si="2366"/>
        <v>0.96437340124255422</v>
      </c>
      <c r="M2468" s="2">
        <f t="shared" ca="1" si="2367"/>
        <v>3.6077207587166586E-2</v>
      </c>
      <c r="N2468" s="2">
        <f t="shared" ca="1" si="2368"/>
        <v>3.6077207587166586E-2</v>
      </c>
      <c r="O2468" s="2">
        <f t="shared" si="2369"/>
        <v>6000000</v>
      </c>
      <c r="P2468" s="2">
        <f t="shared" ca="1" si="2370"/>
        <v>42575602.020645171</v>
      </c>
      <c r="Q2468" s="2">
        <f t="shared" ca="1" si="2371"/>
        <v>1064390.0505161292</v>
      </c>
      <c r="R2468" s="2">
        <f t="shared" ca="1" si="2372"/>
        <v>25545361.212387104</v>
      </c>
      <c r="S2468" s="2">
        <f t="shared" ca="1" si="2373"/>
        <v>17030240.808258068</v>
      </c>
      <c r="T2468" s="2">
        <f t="shared" ca="1" si="2374"/>
        <v>51803860.379358321</v>
      </c>
      <c r="U2468" s="2">
        <f t="shared" ca="1" si="2375"/>
        <v>52992729.993913926</v>
      </c>
      <c r="V2468" s="2">
        <f t="shared" ca="1" si="2376"/>
        <v>54208883.501022391</v>
      </c>
      <c r="W2468" s="2">
        <f t="shared" ca="1" si="2377"/>
        <v>55452947.0507541</v>
      </c>
      <c r="X2468" s="2">
        <f t="shared" ca="1" si="2378"/>
        <v>56725561.162973262</v>
      </c>
      <c r="Y2468" s="2">
        <f t="shared" ca="1" si="2379"/>
        <v>0.12875841247466357</v>
      </c>
      <c r="Z2468" s="2">
        <f t="shared" ca="1" si="2380"/>
        <v>0.132261777464529</v>
      </c>
      <c r="AA2468" s="2">
        <f t="shared" ca="1" si="2381"/>
        <v>6670182.8225053009</v>
      </c>
      <c r="AB2468" s="2">
        <f t="shared" ca="1" si="2382"/>
        <v>7008912.6616929146</v>
      </c>
      <c r="AC2468" s="2">
        <f t="shared" ca="1" si="2383"/>
        <v>7169763.286212801</v>
      </c>
      <c r="AD2468" s="2">
        <f t="shared" ca="1" si="2384"/>
        <v>7334305.3425791487</v>
      </c>
      <c r="AE2468" s="2">
        <f t="shared" ca="1" si="2385"/>
        <v>7502623.5470876982</v>
      </c>
      <c r="AF2468" s="2">
        <f t="shared" ca="1" si="2386"/>
        <v>1036077.2075871665</v>
      </c>
      <c r="AG2468" s="2">
        <f t="shared" ca="1" si="2387"/>
        <v>1059854.5998782786</v>
      </c>
      <c r="AH2468" s="2">
        <f t="shared" ca="1" si="2388"/>
        <v>1084177.6700204478</v>
      </c>
      <c r="AI2468" s="2">
        <f t="shared" ca="1" si="2389"/>
        <v>1109058.9410150819</v>
      </c>
      <c r="AJ2468" s="2">
        <f t="shared" ca="1" si="2390"/>
        <v>1134511.2232594653</v>
      </c>
      <c r="AK2468" s="2">
        <f t="shared" ca="1" si="2391"/>
        <v>0</v>
      </c>
      <c r="AL2468" s="2">
        <f t="shared" ca="1" si="2392"/>
        <v>11888.696145556049</v>
      </c>
      <c r="AM2468" s="2">
        <f t="shared" ca="1" si="2393"/>
        <v>12161.535071084649</v>
      </c>
      <c r="AN2468" s="2">
        <f t="shared" ca="1" si="2394"/>
        <v>12440.635497317091</v>
      </c>
      <c r="AO2468" s="2">
        <f t="shared" ca="1" si="2395"/>
        <v>12726.141122191622</v>
      </c>
      <c r="AP2468" s="2">
        <f t="shared" ca="1" si="2396"/>
        <v>2299082.5091148391</v>
      </c>
      <c r="AQ2468" s="2">
        <f t="shared" ca="1" si="2397"/>
        <v>867106.00750885671</v>
      </c>
      <c r="AR2468" s="2">
        <f t="shared" ca="1" si="2398"/>
        <v>948993.64370194718</v>
      </c>
      <c r="AS2468" s="2">
        <f t="shared" ca="1" si="2399"/>
        <v>984490.80784015357</v>
      </c>
      <c r="AT2468" s="2">
        <f t="shared" ca="1" si="2400"/>
        <v>1020802.6120367993</v>
      </c>
      <c r="AU2468" s="2">
        <f t="shared" ca="1" si="2401"/>
        <v>1057947.7518254826</v>
      </c>
      <c r="AV2468" s="2">
        <f t="shared" ca="1" si="2402"/>
        <v>2467917.0982944388</v>
      </c>
      <c r="AW2468" s="2">
        <f t="shared" ca="1" si="2403"/>
        <v>2689093.2128522936</v>
      </c>
      <c r="AX2468" s="2">
        <f t="shared" ca="1" si="2404"/>
        <v>2789850.764166276</v>
      </c>
      <c r="AY2468" s="2">
        <f t="shared" ca="1" si="2405"/>
        <v>2892920.6449151123</v>
      </c>
      <c r="AZ2468" s="2">
        <f t="shared" ca="1" si="2406"/>
        <v>2998355.9217657205</v>
      </c>
      <c r="BA2468" s="2">
        <f t="shared" ca="1" si="2407"/>
        <v>56042772.296288632</v>
      </c>
      <c r="BB2468" s="2">
        <f t="shared" ca="1" si="2408"/>
        <v>1120855.4459257727</v>
      </c>
      <c r="BC2468" s="2">
        <f t="shared" ca="1" si="2409"/>
        <v>29376555.637975756</v>
      </c>
      <c r="BD2468" s="2">
        <f t="shared" ca="1" si="2410"/>
        <v>-18594630.858774196</v>
      </c>
      <c r="BE2468" s="2">
        <f t="shared" ca="1" si="2411"/>
        <v>2467917.0982944388</v>
      </c>
      <c r="BF2468" s="2">
        <f t="shared" ca="1" si="2412"/>
        <v>2689093.2128522936</v>
      </c>
      <c r="BG2468" s="2">
        <f t="shared" ca="1" si="2413"/>
        <v>2789850.764166276</v>
      </c>
      <c r="BH2468" s="2">
        <f t="shared" ca="1" si="2414"/>
        <v>2892920.6449151123</v>
      </c>
      <c r="BI2468" s="2">
        <f t="shared" ca="1" si="2415"/>
        <v>32374911.559741475</v>
      </c>
      <c r="BJ2468" s="2">
        <f t="shared" ca="1" si="2416"/>
        <v>0.22090676317455804</v>
      </c>
      <c r="BK2468" s="2">
        <f t="shared" ca="1" si="2417"/>
        <v>7947253.503893774</v>
      </c>
    </row>
    <row r="2469" spans="1:63" x14ac:dyDescent="0.3">
      <c r="A2469" s="2">
        <v>2468</v>
      </c>
      <c r="B2469" s="2">
        <f t="shared" ca="1" si="2356"/>
        <v>1.0849239509219677E-2</v>
      </c>
      <c r="C2469" s="2">
        <f t="shared" ca="1" si="2357"/>
        <v>6.1473040359882898</v>
      </c>
      <c r="D2469" s="2">
        <f t="shared" ca="1" si="2358"/>
        <v>0.55745719620838252</v>
      </c>
      <c r="E2469" s="2">
        <f t="shared" ca="1" si="2359"/>
        <v>7.5592101150717896</v>
      </c>
      <c r="F2469" s="2">
        <f t="shared" ca="1" si="2360"/>
        <v>0.2594100321950501</v>
      </c>
      <c r="G2469" s="2">
        <f t="shared" ca="1" si="2361"/>
        <v>2.0645040716420975E-2</v>
      </c>
      <c r="H2469" s="2">
        <f t="shared" ca="1" si="2362"/>
        <v>2.0645040716420975E-2</v>
      </c>
      <c r="I2469" s="2">
        <f t="shared" ca="1" si="2363"/>
        <v>0.25114798985857534</v>
      </c>
      <c r="J2469" s="2">
        <f t="shared" ca="1" si="2364"/>
        <v>6.6455921634832431E-3</v>
      </c>
      <c r="K2469" s="2">
        <f t="shared" ca="1" si="2365"/>
        <v>6.6455921634832431E-3</v>
      </c>
      <c r="L2469" s="2">
        <f t="shared" ca="1" si="2366"/>
        <v>0.15804660633805456</v>
      </c>
      <c r="M2469" s="2">
        <f t="shared" ca="1" si="2367"/>
        <v>-2.0050370970657407E-2</v>
      </c>
      <c r="N2469" s="2">
        <f t="shared" ca="1" si="2368"/>
        <v>-2.0050370970657407E-2</v>
      </c>
      <c r="O2469" s="2">
        <f t="shared" si="2369"/>
        <v>6000000</v>
      </c>
      <c r="P2469" s="2">
        <f t="shared" ca="1" si="2370"/>
        <v>36883824.215929739</v>
      </c>
      <c r="Q2469" s="2">
        <f t="shared" ca="1" si="2371"/>
        <v>922095.60539824353</v>
      </c>
      <c r="R2469" s="2">
        <f t="shared" ca="1" si="2372"/>
        <v>22130294.529557843</v>
      </c>
      <c r="S2469" s="2">
        <f t="shared" ca="1" si="2373"/>
        <v>14753529.686371896</v>
      </c>
      <c r="T2469" s="2">
        <f t="shared" ca="1" si="2374"/>
        <v>48997481.451467127</v>
      </c>
      <c r="U2469" s="2">
        <f t="shared" ca="1" si="2375"/>
        <v>50009036.451034747</v>
      </c>
      <c r="V2469" s="2">
        <f t="shared" ca="1" si="2376"/>
        <v>51041475.04475534</v>
      </c>
      <c r="W2469" s="2">
        <f t="shared" ca="1" si="2377"/>
        <v>52095228.375280499</v>
      </c>
      <c r="X2469" s="2">
        <f t="shared" ca="1" si="2378"/>
        <v>53170736.486219414</v>
      </c>
      <c r="Y2469" s="2">
        <f t="shared" ca="1" si="2379"/>
        <v>0.12332279608174161</v>
      </c>
      <c r="Z2469" s="2">
        <f t="shared" ca="1" si="2380"/>
        <v>0.12465191451443827</v>
      </c>
      <c r="AA2469" s="2">
        <f t="shared" ca="1" si="2381"/>
        <v>6042506.4135581972</v>
      </c>
      <c r="AB2469" s="2">
        <f t="shared" ca="1" si="2382"/>
        <v>6233722.1366438111</v>
      </c>
      <c r="AC2469" s="2">
        <f t="shared" ca="1" si="2383"/>
        <v>6362417.5839696769</v>
      </c>
      <c r="AD2469" s="2">
        <f t="shared" ca="1" si="2384"/>
        <v>6493769.954045604</v>
      </c>
      <c r="AE2469" s="2">
        <f t="shared" ca="1" si="2385"/>
        <v>6627834.0991499461</v>
      </c>
      <c r="AF2469" s="2">
        <f t="shared" ca="1" si="2386"/>
        <v>979949.62902934256</v>
      </c>
      <c r="AG2469" s="2">
        <f t="shared" ca="1" si="2387"/>
        <v>1000180.729020695</v>
      </c>
      <c r="AH2469" s="2">
        <f t="shared" ca="1" si="2388"/>
        <v>1020829.5008951068</v>
      </c>
      <c r="AI2469" s="2">
        <f t="shared" ca="1" si="2389"/>
        <v>1041904.5675056101</v>
      </c>
      <c r="AJ2469" s="2">
        <f t="shared" ca="1" si="2390"/>
        <v>1063414.7297243883</v>
      </c>
      <c r="AK2469" s="2">
        <f t="shared" ca="1" si="2391"/>
        <v>0</v>
      </c>
      <c r="AL2469" s="2">
        <f t="shared" ca="1" si="2392"/>
        <v>10115.549995676205</v>
      </c>
      <c r="AM2469" s="2">
        <f t="shared" ca="1" si="2393"/>
        <v>10324.385937205925</v>
      </c>
      <c r="AN2469" s="2">
        <f t="shared" ca="1" si="2394"/>
        <v>10537.533305251598</v>
      </c>
      <c r="AO2469" s="2">
        <f t="shared" ca="1" si="2395"/>
        <v>10755.081109389141</v>
      </c>
      <c r="AP2469" s="2">
        <f t="shared" ca="1" si="2396"/>
        <v>1991726.5076602057</v>
      </c>
      <c r="AQ2469" s="2">
        <f t="shared" ca="1" si="2397"/>
        <v>798415.87198584876</v>
      </c>
      <c r="AR2469" s="2">
        <f t="shared" ca="1" si="2398"/>
        <v>842871.87399035669</v>
      </c>
      <c r="AS2469" s="2">
        <f t="shared" ca="1" si="2399"/>
        <v>870964.00960773474</v>
      </c>
      <c r="AT2469" s="2">
        <f t="shared" ca="1" si="2400"/>
        <v>899636.10850874498</v>
      </c>
      <c r="AU2469" s="2">
        <f t="shared" ca="1" si="2401"/>
        <v>928900.14405899157</v>
      </c>
      <c r="AV2469" s="2">
        <f t="shared" ca="1" si="2402"/>
        <v>2272414.4048827998</v>
      </c>
      <c r="AW2469" s="2">
        <f t="shared" ca="1" si="2403"/>
        <v>2388827.4759768769</v>
      </c>
      <c r="AX2469" s="2">
        <f t="shared" ca="1" si="2404"/>
        <v>2468573.1798694236</v>
      </c>
      <c r="AY2469" s="2">
        <f t="shared" ca="1" si="2405"/>
        <v>2549965.2370657912</v>
      </c>
      <c r="AZ2469" s="2">
        <f t="shared" ca="1" si="2406"/>
        <v>2633037.6365969721</v>
      </c>
      <c r="BA2469" s="2">
        <f t="shared" ca="1" si="2407"/>
        <v>50101190.563311994</v>
      </c>
      <c r="BB2469" s="2">
        <f t="shared" ca="1" si="2408"/>
        <v>1002023.8112662398</v>
      </c>
      <c r="BC2469" s="2">
        <f t="shared" ca="1" si="2409"/>
        <v>26968872.222487912</v>
      </c>
      <c r="BD2469" s="2">
        <f t="shared" ca="1" si="2410"/>
        <v>-16175625.29177014</v>
      </c>
      <c r="BE2469" s="2">
        <f t="shared" ca="1" si="2411"/>
        <v>2272414.4048827998</v>
      </c>
      <c r="BF2469" s="2">
        <f t="shared" ca="1" si="2412"/>
        <v>2388827.4759768769</v>
      </c>
      <c r="BG2469" s="2">
        <f t="shared" ca="1" si="2413"/>
        <v>2468573.1798694236</v>
      </c>
      <c r="BH2469" s="2">
        <f t="shared" ca="1" si="2414"/>
        <v>2549965.2370657912</v>
      </c>
      <c r="BI2469" s="2">
        <f t="shared" ca="1" si="2415"/>
        <v>29601909.859084882</v>
      </c>
      <c r="BJ2469" s="2">
        <f t="shared" ca="1" si="2416"/>
        <v>0.23387409955960425</v>
      </c>
      <c r="BK2469" s="2">
        <f t="shared" ca="1" si="2417"/>
        <v>7932224.051313458</v>
      </c>
    </row>
    <row r="2470" spans="1:63" x14ac:dyDescent="0.3">
      <c r="A2470" s="2">
        <v>2469</v>
      </c>
      <c r="B2470" s="2">
        <f t="shared" ca="1" si="2356"/>
        <v>0.76031131022078402</v>
      </c>
      <c r="C2470" s="2">
        <f t="shared" ca="1" si="2357"/>
        <v>7.307629160378319</v>
      </c>
      <c r="D2470" s="2">
        <f t="shared" ca="1" si="2358"/>
        <v>0.79104063992480844</v>
      </c>
      <c r="E2470" s="2">
        <f t="shared" ca="1" si="2359"/>
        <v>7.8535336666535658</v>
      </c>
      <c r="F2470" s="2">
        <f t="shared" ca="1" si="2360"/>
        <v>0.11547119169322329</v>
      </c>
      <c r="G2470" s="2">
        <f t="shared" ca="1" si="2361"/>
        <v>4.0619546712027527E-3</v>
      </c>
      <c r="H2470" s="2">
        <f t="shared" ca="1" si="2362"/>
        <v>4.0619546712027527E-3</v>
      </c>
      <c r="I2470" s="2">
        <f t="shared" ca="1" si="2363"/>
        <v>0.71144294478694892</v>
      </c>
      <c r="J2470" s="2">
        <f t="shared" ca="1" si="2364"/>
        <v>1.2788025227117823E-2</v>
      </c>
      <c r="K2470" s="2">
        <f t="shared" ca="1" si="2365"/>
        <v>1.2788025227117823E-2</v>
      </c>
      <c r="L2470" s="2">
        <f t="shared" ca="1" si="2366"/>
        <v>0.6556574808912653</v>
      </c>
      <c r="M2470" s="2">
        <f t="shared" ca="1" si="2367"/>
        <v>8.0128041596081428E-3</v>
      </c>
      <c r="N2470" s="2">
        <f t="shared" ca="1" si="2368"/>
        <v>8.0128041596081428E-3</v>
      </c>
      <c r="O2470" s="2">
        <f t="shared" si="2369"/>
        <v>6000000</v>
      </c>
      <c r="P2470" s="2">
        <f t="shared" ca="1" si="2370"/>
        <v>43845774.962269917</v>
      </c>
      <c r="Q2470" s="2">
        <f t="shared" ca="1" si="2371"/>
        <v>1096144.3740567479</v>
      </c>
      <c r="R2470" s="2">
        <f t="shared" ca="1" si="2372"/>
        <v>26307464.977361951</v>
      </c>
      <c r="S2470" s="2">
        <f t="shared" ca="1" si="2373"/>
        <v>17538309.984907966</v>
      </c>
      <c r="T2470" s="2">
        <f t="shared" ca="1" si="2374"/>
        <v>50400640.207980409</v>
      </c>
      <c r="U2470" s="2">
        <f t="shared" ca="1" si="2375"/>
        <v>50605365.323904827</v>
      </c>
      <c r="V2470" s="2">
        <f t="shared" ca="1" si="2376"/>
        <v>50810922.023970187</v>
      </c>
      <c r="W2470" s="2">
        <f t="shared" ca="1" si="2377"/>
        <v>51017313.686033577</v>
      </c>
      <c r="X2470" s="2">
        <f t="shared" ca="1" si="2378"/>
        <v>51224543.701672785</v>
      </c>
      <c r="Y2470" s="2">
        <f t="shared" ca="1" si="2379"/>
        <v>0.1263940126135589</v>
      </c>
      <c r="Z2470" s="2">
        <f t="shared" ca="1" si="2380"/>
        <v>0.12895161765898247</v>
      </c>
      <c r="AA2470" s="2">
        <f t="shared" ca="1" si="2381"/>
        <v>6370339.1541789193</v>
      </c>
      <c r="AB2470" s="2">
        <f t="shared" ca="1" si="2382"/>
        <v>6525643.7207413046</v>
      </c>
      <c r="AC2470" s="2">
        <f t="shared" ca="1" si="2383"/>
        <v>6552150.5897353748</v>
      </c>
      <c r="AD2470" s="2">
        <f t="shared" ca="1" si="2384"/>
        <v>6578765.1284297751</v>
      </c>
      <c r="AE2470" s="2">
        <f t="shared" ca="1" si="2385"/>
        <v>6605487.774173948</v>
      </c>
      <c r="AF2470" s="2">
        <f t="shared" ca="1" si="2386"/>
        <v>1008012.8041596082</v>
      </c>
      <c r="AG2470" s="2">
        <f t="shared" ca="1" si="2387"/>
        <v>1012107.3064780965</v>
      </c>
      <c r="AH2470" s="2">
        <f t="shared" ca="1" si="2388"/>
        <v>1016218.4404794037</v>
      </c>
      <c r="AI2470" s="2">
        <f t="shared" ca="1" si="2389"/>
        <v>1020346.2737206715</v>
      </c>
      <c r="AJ2470" s="2">
        <f t="shared" ca="1" si="2390"/>
        <v>1024490.8740334557</v>
      </c>
      <c r="AK2470" s="2">
        <f t="shared" ca="1" si="2391"/>
        <v>0</v>
      </c>
      <c r="AL2470" s="2">
        <f t="shared" ca="1" si="2392"/>
        <v>2047.2511592441797</v>
      </c>
      <c r="AM2470" s="2">
        <f t="shared" ca="1" si="2393"/>
        <v>2055.5670006535947</v>
      </c>
      <c r="AN2470" s="2">
        <f t="shared" ca="1" si="2394"/>
        <v>2063.9166206339</v>
      </c>
      <c r="AO2470" s="2">
        <f t="shared" ca="1" si="2395"/>
        <v>2072.3001563920825</v>
      </c>
      <c r="AP2470" s="2">
        <f t="shared" ca="1" si="2396"/>
        <v>2367671.8479625755</v>
      </c>
      <c r="AQ2470" s="2">
        <f t="shared" ca="1" si="2397"/>
        <v>778610.17053475138</v>
      </c>
      <c r="AR2470" s="2">
        <f t="shared" ca="1" si="2398"/>
        <v>817924.78723816457</v>
      </c>
      <c r="AS2470" s="2">
        <f t="shared" ca="1" si="2399"/>
        <v>823747.67833628296</v>
      </c>
      <c r="AT2470" s="2">
        <f t="shared" ca="1" si="2400"/>
        <v>829594.22175409738</v>
      </c>
      <c r="AU2470" s="2">
        <f t="shared" ca="1" si="2401"/>
        <v>835464.51356625836</v>
      </c>
      <c r="AV2470" s="2">
        <f t="shared" ca="1" si="2402"/>
        <v>2216044.3315219847</v>
      </c>
      <c r="AW2470" s="2">
        <f t="shared" ca="1" si="2403"/>
        <v>2325892.5279032239</v>
      </c>
      <c r="AX2470" s="2">
        <f t="shared" ca="1" si="2404"/>
        <v>2342457.0559564591</v>
      </c>
      <c r="AY2470" s="2">
        <f t="shared" ca="1" si="2405"/>
        <v>2359088.8683717973</v>
      </c>
      <c r="AZ2470" s="2">
        <f t="shared" ca="1" si="2406"/>
        <v>2375788.2384552662</v>
      </c>
      <c r="BA2470" s="2">
        <f t="shared" ca="1" si="2407"/>
        <v>51876420.619143628</v>
      </c>
      <c r="BB2470" s="2">
        <f t="shared" ca="1" si="2408"/>
        <v>1037528.4123828725</v>
      </c>
      <c r="BC2470" s="2">
        <f t="shared" ca="1" si="2409"/>
        <v>24531427.229398806</v>
      </c>
      <c r="BD2470" s="2">
        <f t="shared" ca="1" si="2410"/>
        <v>-19134454.358964715</v>
      </c>
      <c r="BE2470" s="2">
        <f t="shared" ca="1" si="2411"/>
        <v>2216044.3315219847</v>
      </c>
      <c r="BF2470" s="2">
        <f t="shared" ca="1" si="2412"/>
        <v>2325892.5279032239</v>
      </c>
      <c r="BG2470" s="2">
        <f t="shared" ca="1" si="2413"/>
        <v>2342457.0559564591</v>
      </c>
      <c r="BH2470" s="2">
        <f t="shared" ca="1" si="2414"/>
        <v>2359088.8683717973</v>
      </c>
      <c r="BI2470" s="2">
        <f t="shared" ca="1" si="2415"/>
        <v>26907215.467854071</v>
      </c>
      <c r="BJ2470" s="2">
        <f t="shared" ca="1" si="2416"/>
        <v>0.16175080566915057</v>
      </c>
      <c r="BK2470" s="2">
        <f t="shared" ca="1" si="2417"/>
        <v>3132778.8916710094</v>
      </c>
    </row>
    <row r="2471" spans="1:63" x14ac:dyDescent="0.3">
      <c r="A2471" s="2">
        <v>2470</v>
      </c>
      <c r="B2471" s="2">
        <f t="shared" ca="1" si="2356"/>
        <v>0.86010149771017519</v>
      </c>
      <c r="C2471" s="2">
        <f t="shared" ca="1" si="2357"/>
        <v>7.4710415852076366</v>
      </c>
      <c r="D2471" s="2">
        <f t="shared" ca="1" si="2358"/>
        <v>0.77136867767354766</v>
      </c>
      <c r="E2471" s="2">
        <f t="shared" ca="1" si="2359"/>
        <v>7.8237880179611539</v>
      </c>
      <c r="F2471" s="2">
        <f t="shared" ca="1" si="2360"/>
        <v>0.76984804361630044</v>
      </c>
      <c r="G2471" s="2">
        <f t="shared" ca="1" si="2361"/>
        <v>6.2150395174583192E-2</v>
      </c>
      <c r="H2471" s="2">
        <f t="shared" ca="1" si="2362"/>
        <v>6.2150395174583192E-2</v>
      </c>
      <c r="I2471" s="2">
        <f t="shared" ca="1" si="2363"/>
        <v>0.41021770734752872</v>
      </c>
      <c r="J2471" s="2">
        <f t="shared" ca="1" si="2364"/>
        <v>8.8650750556609446E-3</v>
      </c>
      <c r="K2471" s="2">
        <f t="shared" ca="1" si="2365"/>
        <v>8.8650750556609446E-3</v>
      </c>
      <c r="L2471" s="2">
        <f t="shared" ca="1" si="2366"/>
        <v>5.4094883926379622E-2</v>
      </c>
      <c r="M2471" s="2">
        <f t="shared" ca="1" si="2367"/>
        <v>-3.2127661448296652E-2</v>
      </c>
      <c r="N2471" s="2">
        <f t="shared" ca="1" si="2368"/>
        <v>-3.2127661448296652E-2</v>
      </c>
      <c r="O2471" s="2">
        <f t="shared" si="2369"/>
        <v>6000000</v>
      </c>
      <c r="P2471" s="2">
        <f t="shared" ca="1" si="2370"/>
        <v>44826249.511245817</v>
      </c>
      <c r="Q2471" s="2">
        <f t="shared" ca="1" si="2371"/>
        <v>1120656.2377811454</v>
      </c>
      <c r="R2471" s="2">
        <f t="shared" ca="1" si="2372"/>
        <v>26895749.706747491</v>
      </c>
      <c r="S2471" s="2">
        <f t="shared" ca="1" si="2373"/>
        <v>17930499.804498326</v>
      </c>
      <c r="T2471" s="2">
        <f t="shared" ca="1" si="2374"/>
        <v>48393616.92758517</v>
      </c>
      <c r="U2471" s="2">
        <f t="shared" ca="1" si="2375"/>
        <v>51401299.343561985</v>
      </c>
      <c r="V2471" s="2">
        <f t="shared" ca="1" si="2376"/>
        <v>54595910.410251409</v>
      </c>
      <c r="W2471" s="2">
        <f t="shared" ca="1" si="2377"/>
        <v>57989067.817164674</v>
      </c>
      <c r="X2471" s="2">
        <f t="shared" ca="1" si="2378"/>
        <v>61593111.297807164</v>
      </c>
      <c r="Y2471" s="2">
        <f t="shared" ca="1" si="2379"/>
        <v>0.12443253752783047</v>
      </c>
      <c r="Z2471" s="2">
        <f t="shared" ca="1" si="2380"/>
        <v>0.12620555253896265</v>
      </c>
      <c r="AA2471" s="2">
        <f t="shared" ca="1" si="2381"/>
        <v>6021740.5544491932</v>
      </c>
      <c r="AB2471" s="2">
        <f t="shared" ca="1" si="2382"/>
        <v>6487129.3848748589</v>
      </c>
      <c r="AC2471" s="2">
        <f t="shared" ca="1" si="2383"/>
        <v>6890307.0396934822</v>
      </c>
      <c r="AD2471" s="2">
        <f t="shared" ca="1" si="2384"/>
        <v>7318542.3450846449</v>
      </c>
      <c r="AE2471" s="2">
        <f t="shared" ca="1" si="2385"/>
        <v>7773392.6439335765</v>
      </c>
      <c r="AF2471" s="2">
        <f t="shared" ca="1" si="2386"/>
        <v>967872.33855170337</v>
      </c>
      <c r="AG2471" s="2">
        <f t="shared" ca="1" si="2387"/>
        <v>1028025.9868712397</v>
      </c>
      <c r="AH2471" s="2">
        <f t="shared" ca="1" si="2388"/>
        <v>1091918.2082050282</v>
      </c>
      <c r="AI2471" s="2">
        <f t="shared" ca="1" si="2389"/>
        <v>1159781.3563432936</v>
      </c>
      <c r="AJ2471" s="2">
        <f t="shared" ca="1" si="2390"/>
        <v>1231862.2259561433</v>
      </c>
      <c r="AK2471" s="2">
        <f t="shared" ca="1" si="2391"/>
        <v>0</v>
      </c>
      <c r="AL2471" s="2">
        <f t="shared" ca="1" si="2392"/>
        <v>30076.824159768148</v>
      </c>
      <c r="AM2471" s="2">
        <f t="shared" ca="1" si="2393"/>
        <v>31946.110666894241</v>
      </c>
      <c r="AN2471" s="2">
        <f t="shared" ca="1" si="2394"/>
        <v>33931.574069132657</v>
      </c>
      <c r="AO2471" s="2">
        <f t="shared" ca="1" si="2395"/>
        <v>36040.434806424899</v>
      </c>
      <c r="AP2471" s="2">
        <f t="shared" ca="1" si="2396"/>
        <v>2420617.4736072742</v>
      </c>
      <c r="AQ2471" s="2">
        <f t="shared" ca="1" si="2397"/>
        <v>684645.19299545593</v>
      </c>
      <c r="AR2471" s="2">
        <f t="shared" ca="1" si="2398"/>
        <v>790006.34034304973</v>
      </c>
      <c r="AS2471" s="2">
        <f t="shared" ca="1" si="2399"/>
        <v>878220.55304910673</v>
      </c>
      <c r="AT2471" s="2">
        <f t="shared" ca="1" si="2400"/>
        <v>971917.31393486005</v>
      </c>
      <c r="AU2471" s="2">
        <f t="shared" ca="1" si="2401"/>
        <v>1071437.3655362416</v>
      </c>
      <c r="AV2471" s="2">
        <f t="shared" ca="1" si="2402"/>
        <v>1948605.5492947591</v>
      </c>
      <c r="AW2471" s="2">
        <f t="shared" ca="1" si="2403"/>
        <v>2218402.7598935268</v>
      </c>
      <c r="AX2471" s="2">
        <f t="shared" ca="1" si="2404"/>
        <v>2467604.6941651781</v>
      </c>
      <c r="AY2471" s="2">
        <f t="shared" ca="1" si="2405"/>
        <v>2732294.6271300842</v>
      </c>
      <c r="AZ2471" s="2">
        <f t="shared" ca="1" si="2406"/>
        <v>3013435.1440274925</v>
      </c>
      <c r="BA2471" s="2">
        <f t="shared" ca="1" si="2407"/>
        <v>60817376.226514891</v>
      </c>
      <c r="BB2471" s="2">
        <f t="shared" ca="1" si="2408"/>
        <v>1216347.5245302978</v>
      </c>
      <c r="BC2471" s="2">
        <f t="shared" ca="1" si="2409"/>
        <v>32705278.995237105</v>
      </c>
      <c r="BD2471" s="2">
        <f t="shared" ca="1" si="2410"/>
        <v>-19551156.042279471</v>
      </c>
      <c r="BE2471" s="2">
        <f t="shared" ca="1" si="2411"/>
        <v>1948605.5492947591</v>
      </c>
      <c r="BF2471" s="2">
        <f t="shared" ca="1" si="2412"/>
        <v>2218402.7598935268</v>
      </c>
      <c r="BG2471" s="2">
        <f t="shared" ca="1" si="2413"/>
        <v>2467604.6941651781</v>
      </c>
      <c r="BH2471" s="2">
        <f t="shared" ca="1" si="2414"/>
        <v>2732294.6271300842</v>
      </c>
      <c r="BI2471" s="2">
        <f t="shared" ca="1" si="2415"/>
        <v>35718714.139264598</v>
      </c>
      <c r="BJ2471" s="2">
        <f t="shared" ca="1" si="2416"/>
        <v>0.2101916625135587</v>
      </c>
      <c r="BK2471" s="2">
        <f t="shared" ca="1" si="2417"/>
        <v>7717740.00529119</v>
      </c>
    </row>
    <row r="2472" spans="1:63" x14ac:dyDescent="0.3">
      <c r="A2472" s="2">
        <v>2471</v>
      </c>
      <c r="B2472" s="2">
        <f t="shared" ca="1" si="2356"/>
        <v>8.0214561938045881E-2</v>
      </c>
      <c r="C2472" s="2">
        <f t="shared" ca="1" si="2357"/>
        <v>6.4005360456639222</v>
      </c>
      <c r="D2472" s="2">
        <f t="shared" ca="1" si="2358"/>
        <v>0.18339694677243767</v>
      </c>
      <c r="E2472" s="2">
        <f t="shared" ca="1" si="2359"/>
        <v>7.1056351158452387</v>
      </c>
      <c r="F2472" s="2">
        <f t="shared" ca="1" si="2360"/>
        <v>0.57137273465473615</v>
      </c>
      <c r="G2472" s="2">
        <f t="shared" ca="1" si="2361"/>
        <v>4.5396103702307601E-2</v>
      </c>
      <c r="H2472" s="2">
        <f t="shared" ca="1" si="2362"/>
        <v>4.5396103702307601E-2</v>
      </c>
      <c r="I2472" s="2">
        <f t="shared" ca="1" si="2363"/>
        <v>0.78426043446451577</v>
      </c>
      <c r="J2472" s="2">
        <f t="shared" ca="1" si="2364"/>
        <v>1.3933315323646145E-2</v>
      </c>
      <c r="K2472" s="2">
        <f t="shared" ca="1" si="2365"/>
        <v>1.3933315323646145E-2</v>
      </c>
      <c r="L2472" s="2">
        <f t="shared" ca="1" si="2366"/>
        <v>0.8888152391674321</v>
      </c>
      <c r="M2472" s="2">
        <f t="shared" ca="1" si="2367"/>
        <v>2.4405031459120315E-2</v>
      </c>
      <c r="N2472" s="2">
        <f t="shared" ca="1" si="2368"/>
        <v>2.4405031459120315E-2</v>
      </c>
      <c r="O2472" s="2">
        <f t="shared" si="2369"/>
        <v>6000000</v>
      </c>
      <c r="P2472" s="2">
        <f t="shared" ca="1" si="2370"/>
        <v>38403216.273983531</v>
      </c>
      <c r="Q2472" s="2">
        <f t="shared" ca="1" si="2371"/>
        <v>960080.40684958827</v>
      </c>
      <c r="R2472" s="2">
        <f t="shared" ca="1" si="2372"/>
        <v>23041929.764390118</v>
      </c>
      <c r="S2472" s="2">
        <f t="shared" ca="1" si="2373"/>
        <v>15361286.509593412</v>
      </c>
      <c r="T2472" s="2">
        <f t="shared" ca="1" si="2374"/>
        <v>51220251.572956011</v>
      </c>
      <c r="U2472" s="2">
        <f t="shared" ca="1" si="2375"/>
        <v>53545451.42502021</v>
      </c>
      <c r="V2472" s="2">
        <f t="shared" ca="1" si="2376"/>
        <v>55976206.290697306</v>
      </c>
      <c r="W2472" s="2">
        <f t="shared" ca="1" si="2377"/>
        <v>58517307.956331566</v>
      </c>
      <c r="X2472" s="2">
        <f t="shared" ca="1" si="2378"/>
        <v>61173765.736697063</v>
      </c>
      <c r="Y2472" s="2">
        <f t="shared" ca="1" si="2379"/>
        <v>0.12696665766182308</v>
      </c>
      <c r="Z2472" s="2">
        <f t="shared" ca="1" si="2380"/>
        <v>0.1297533207265523</v>
      </c>
      <c r="AA2472" s="2">
        <f t="shared" ca="1" si="2381"/>
        <v>6503264.1468159612</v>
      </c>
      <c r="AB2472" s="2">
        <f t="shared" ca="1" si="2382"/>
        <v>6947700.1321986737</v>
      </c>
      <c r="AC2472" s="2">
        <f t="shared" ca="1" si="2383"/>
        <v>7263098.6478925021</v>
      </c>
      <c r="AD2472" s="2">
        <f t="shared" ca="1" si="2384"/>
        <v>7592815.0273123197</v>
      </c>
      <c r="AE2472" s="2">
        <f t="shared" ca="1" si="2385"/>
        <v>7937499.2456846293</v>
      </c>
      <c r="AF2472" s="2">
        <f t="shared" ca="1" si="2386"/>
        <v>1024405.0314591202</v>
      </c>
      <c r="AG2472" s="2">
        <f t="shared" ca="1" si="2387"/>
        <v>1070909.0285004042</v>
      </c>
      <c r="AH2472" s="2">
        <f t="shared" ca="1" si="2388"/>
        <v>1119524.1258139461</v>
      </c>
      <c r="AI2472" s="2">
        <f t="shared" ca="1" si="2389"/>
        <v>1170346.1591266314</v>
      </c>
      <c r="AJ2472" s="2">
        <f t="shared" ca="1" si="2390"/>
        <v>1223475.3147339413</v>
      </c>
      <c r="AK2472" s="2">
        <f t="shared" ca="1" si="2391"/>
        <v>0</v>
      </c>
      <c r="AL2472" s="2">
        <f t="shared" ca="1" si="2392"/>
        <v>23251.998520641999</v>
      </c>
      <c r="AM2472" s="2">
        <f t="shared" ca="1" si="2393"/>
        <v>24307.548656770959</v>
      </c>
      <c r="AN2472" s="2">
        <f t="shared" ca="1" si="2394"/>
        <v>25411.016656342596</v>
      </c>
      <c r="AO2472" s="2">
        <f t="shared" ca="1" si="2395"/>
        <v>26564.577803654971</v>
      </c>
      <c r="AP2472" s="2">
        <f t="shared" ca="1" si="2396"/>
        <v>2073773.6787951107</v>
      </c>
      <c r="AQ2472" s="2">
        <f t="shared" ca="1" si="2397"/>
        <v>885322.21350605006</v>
      </c>
      <c r="AR2472" s="2">
        <f t="shared" ca="1" si="2398"/>
        <v>988784.53047482134</v>
      </c>
      <c r="AS2472" s="2">
        <f t="shared" ca="1" si="2399"/>
        <v>1058148.2192536958</v>
      </c>
      <c r="AT2472" s="2">
        <f t="shared" ca="1" si="2400"/>
        <v>1130660.7492415502</v>
      </c>
      <c r="AU2472" s="2">
        <f t="shared" ca="1" si="2401"/>
        <v>1206465.0655604503</v>
      </c>
      <c r="AV2472" s="2">
        <f t="shared" ca="1" si="2402"/>
        <v>2519763.2230556803</v>
      </c>
      <c r="AW2472" s="2">
        <f t="shared" ca="1" si="2403"/>
        <v>2790980.8959076963</v>
      </c>
      <c r="AX2472" s="2">
        <f t="shared" ca="1" si="2404"/>
        <v>2987345.075372979</v>
      </c>
      <c r="AY2472" s="2">
        <f t="shared" ca="1" si="2405"/>
        <v>3192623.423492684</v>
      </c>
      <c r="AZ2472" s="2">
        <f t="shared" ca="1" si="2406"/>
        <v>3407220.6087914724</v>
      </c>
      <c r="BA2472" s="2">
        <f t="shared" ca="1" si="2407"/>
        <v>56400973.372131795</v>
      </c>
      <c r="BB2472" s="2">
        <f t="shared" ca="1" si="2408"/>
        <v>1128019.4674426359</v>
      </c>
      <c r="BC2472" s="2">
        <f t="shared" ca="1" si="2409"/>
        <v>32231024.140299041</v>
      </c>
      <c r="BD2472" s="2">
        <f t="shared" ca="1" si="2410"/>
        <v>-16821366.916443001</v>
      </c>
      <c r="BE2472" s="2">
        <f t="shared" ca="1" si="2411"/>
        <v>2519763.2230556803</v>
      </c>
      <c r="BF2472" s="2">
        <f t="shared" ca="1" si="2412"/>
        <v>2790980.8959076963</v>
      </c>
      <c r="BG2472" s="2">
        <f t="shared" ca="1" si="2413"/>
        <v>2987345.075372979</v>
      </c>
      <c r="BH2472" s="2">
        <f t="shared" ca="1" si="2414"/>
        <v>3192623.423492684</v>
      </c>
      <c r="BI2472" s="2">
        <f t="shared" ca="1" si="2415"/>
        <v>35638244.749090515</v>
      </c>
      <c r="BJ2472" s="2">
        <f t="shared" ca="1" si="2416"/>
        <v>0.27686500651796253</v>
      </c>
      <c r="BK2472" s="2">
        <f t="shared" ca="1" si="2417"/>
        <v>12030774.84067826</v>
      </c>
    </row>
    <row r="2473" spans="1:63" x14ac:dyDescent="0.3">
      <c r="A2473" s="2">
        <v>2472</v>
      </c>
      <c r="B2473" s="2">
        <f t="shared" ca="1" si="2356"/>
        <v>0.906031145244662</v>
      </c>
      <c r="C2473" s="2">
        <f t="shared" ca="1" si="2357"/>
        <v>7.5664821693278626</v>
      </c>
      <c r="D2473" s="2">
        <f t="shared" ca="1" si="2358"/>
        <v>0.12535119101540659</v>
      </c>
      <c r="E2473" s="2">
        <f t="shared" ca="1" si="2359"/>
        <v>7.0007018893821087</v>
      </c>
      <c r="F2473" s="2">
        <f t="shared" ca="1" si="2360"/>
        <v>0.98681375803747418</v>
      </c>
      <c r="G2473" s="2">
        <f t="shared" ca="1" si="2361"/>
        <v>0.10662047041068087</v>
      </c>
      <c r="H2473" s="2">
        <f t="shared" ca="1" si="2362"/>
        <v>0.10662047041068087</v>
      </c>
      <c r="I2473" s="2">
        <f t="shared" ca="1" si="2363"/>
        <v>0.85418241939687034</v>
      </c>
      <c r="J2473" s="2">
        <f t="shared" ca="1" si="2364"/>
        <v>1.5272706513801176E-2</v>
      </c>
      <c r="K2473" s="2">
        <f t="shared" ca="1" si="2365"/>
        <v>1.5272706513801176E-2</v>
      </c>
      <c r="L2473" s="2">
        <f t="shared" ca="1" si="2366"/>
        <v>0.96689709254063605</v>
      </c>
      <c r="M2473" s="2">
        <f t="shared" ca="1" si="2367"/>
        <v>3.6740552827093854E-2</v>
      </c>
      <c r="N2473" s="2">
        <f t="shared" ca="1" si="2368"/>
        <v>3.6740552827093854E-2</v>
      </c>
      <c r="O2473" s="2">
        <f t="shared" si="2369"/>
        <v>6000000</v>
      </c>
      <c r="P2473" s="2">
        <f t="shared" ca="1" si="2370"/>
        <v>45398893.015967175</v>
      </c>
      <c r="Q2473" s="2">
        <f t="shared" ca="1" si="2371"/>
        <v>1134972.3253991795</v>
      </c>
      <c r="R2473" s="2">
        <f t="shared" ca="1" si="2372"/>
        <v>27239335.809580304</v>
      </c>
      <c r="S2473" s="2">
        <f t="shared" ca="1" si="2373"/>
        <v>18159557.206386872</v>
      </c>
      <c r="T2473" s="2">
        <f t="shared" ca="1" si="2374"/>
        <v>51837027.641354695</v>
      </c>
      <c r="U2473" s="2">
        <f t="shared" ca="1" si="2375"/>
        <v>57363915.913167395</v>
      </c>
      <c r="V2473" s="2">
        <f t="shared" ca="1" si="2376"/>
        <v>63480083.612428039</v>
      </c>
      <c r="W2473" s="2">
        <f t="shared" ca="1" si="2377"/>
        <v>70248359.988894463</v>
      </c>
      <c r="X2473" s="2">
        <f t="shared" ca="1" si="2378"/>
        <v>77738273.176489234</v>
      </c>
      <c r="Y2473" s="2">
        <f t="shared" ca="1" si="2379"/>
        <v>0.12763635325690059</v>
      </c>
      <c r="Z2473" s="2">
        <f t="shared" ca="1" si="2380"/>
        <v>0.13069089455966082</v>
      </c>
      <c r="AA2473" s="2">
        <f t="shared" ca="1" si="2381"/>
        <v>6616289.1718196683</v>
      </c>
      <c r="AB2473" s="2">
        <f t="shared" ca="1" si="2382"/>
        <v>7496941.4861370092</v>
      </c>
      <c r="AC2473" s="2">
        <f t="shared" ca="1" si="2383"/>
        <v>8296268.9140302856</v>
      </c>
      <c r="AD2473" s="2">
        <f t="shared" ca="1" si="2384"/>
        <v>9180821.0082977023</v>
      </c>
      <c r="AE2473" s="2">
        <f t="shared" ca="1" si="2385"/>
        <v>10159684.462958664</v>
      </c>
      <c r="AF2473" s="2">
        <f t="shared" ca="1" si="2386"/>
        <v>1036740.5528270939</v>
      </c>
      <c r="AG2473" s="2">
        <f t="shared" ca="1" si="2387"/>
        <v>1147278.318263348</v>
      </c>
      <c r="AH2473" s="2">
        <f t="shared" ca="1" si="2388"/>
        <v>1269601.6722485607</v>
      </c>
      <c r="AI2473" s="2">
        <f t="shared" ca="1" si="2389"/>
        <v>1404967.1997778893</v>
      </c>
      <c r="AJ2473" s="2">
        <f t="shared" ca="1" si="2390"/>
        <v>1554765.4635297847</v>
      </c>
      <c r="AK2473" s="2">
        <f t="shared" ca="1" si="2391"/>
        <v>0</v>
      </c>
      <c r="AL2473" s="2">
        <f t="shared" ca="1" si="2392"/>
        <v>55268.882718126995</v>
      </c>
      <c r="AM2473" s="2">
        <f t="shared" ca="1" si="2393"/>
        <v>61161.676992606444</v>
      </c>
      <c r="AN2473" s="2">
        <f t="shared" ca="1" si="2394"/>
        <v>67682.76376466424</v>
      </c>
      <c r="AO2473" s="2">
        <f t="shared" ca="1" si="2395"/>
        <v>74899.131875947714</v>
      </c>
      <c r="AP2473" s="2">
        <f t="shared" ca="1" si="2396"/>
        <v>2451540.2228622274</v>
      </c>
      <c r="AQ2473" s="2">
        <f t="shared" ca="1" si="2397"/>
        <v>813282.18299389025</v>
      </c>
      <c r="AR2473" s="2">
        <f t="shared" ca="1" si="2398"/>
        <v>1013511.9657029728</v>
      </c>
      <c r="AS2473" s="2">
        <f t="shared" ca="1" si="2399"/>
        <v>1189533.0249190694</v>
      </c>
      <c r="AT2473" s="2">
        <f t="shared" ca="1" si="2400"/>
        <v>1384321.5322709722</v>
      </c>
      <c r="AU2473" s="2">
        <f t="shared" ca="1" si="2401"/>
        <v>1599878.4819073298</v>
      </c>
      <c r="AV2473" s="2">
        <f t="shared" ca="1" si="2402"/>
        <v>2314726.2131364564</v>
      </c>
      <c r="AW2473" s="2">
        <f t="shared" ca="1" si="2403"/>
        <v>2829342.0965903341</v>
      </c>
      <c r="AX2473" s="2">
        <f t="shared" ca="1" si="2404"/>
        <v>3324432.3170078215</v>
      </c>
      <c r="AY2473" s="2">
        <f t="shared" ca="1" si="2405"/>
        <v>3872309.2896219487</v>
      </c>
      <c r="AZ2473" s="2">
        <f t="shared" ca="1" si="2406"/>
        <v>4478601.162783375</v>
      </c>
      <c r="BA2473" s="2">
        <f t="shared" ca="1" si="2407"/>
        <v>71124922.215360776</v>
      </c>
      <c r="BB2473" s="2">
        <f t="shared" ca="1" si="2408"/>
        <v>1422498.4443072155</v>
      </c>
      <c r="BC2473" s="2">
        <f t="shared" ca="1" si="2409"/>
        <v>42463087.961473256</v>
      </c>
      <c r="BD2473" s="2">
        <f t="shared" ca="1" si="2410"/>
        <v>-19794529.531786051</v>
      </c>
      <c r="BE2473" s="2">
        <f t="shared" ca="1" si="2411"/>
        <v>2314726.2131364564</v>
      </c>
      <c r="BF2473" s="2">
        <f t="shared" ca="1" si="2412"/>
        <v>2829342.0965903341</v>
      </c>
      <c r="BG2473" s="2">
        <f t="shared" ca="1" si="2413"/>
        <v>3324432.3170078215</v>
      </c>
      <c r="BH2473" s="2">
        <f t="shared" ca="1" si="2414"/>
        <v>3872309.2896219487</v>
      </c>
      <c r="BI2473" s="2">
        <f t="shared" ca="1" si="2415"/>
        <v>46941689.124256633</v>
      </c>
      <c r="BJ2473" s="2">
        <f t="shared" ca="1" si="2416"/>
        <v>0.28664553487965705</v>
      </c>
      <c r="BK2473" s="2">
        <f t="shared" ca="1" si="2417"/>
        <v>15990887.377336044</v>
      </c>
    </row>
    <row r="2474" spans="1:63" x14ac:dyDescent="0.3">
      <c r="A2474" s="2">
        <v>2473</v>
      </c>
      <c r="B2474" s="2">
        <f t="shared" ca="1" si="2356"/>
        <v>0.56611216007753384</v>
      </c>
      <c r="C2474" s="2">
        <f t="shared" ca="1" si="2357"/>
        <v>7.0684552185509641</v>
      </c>
      <c r="D2474" s="2">
        <f t="shared" ca="1" si="2358"/>
        <v>0.95311432292017217</v>
      </c>
      <c r="E2474" s="2">
        <f t="shared" ca="1" si="2359"/>
        <v>8.1937789129409015</v>
      </c>
      <c r="F2474" s="2">
        <f t="shared" ca="1" si="2360"/>
        <v>0.54705196569154158</v>
      </c>
      <c r="G2474" s="2">
        <f t="shared" ca="1" si="2361"/>
        <v>4.3546496813819807E-2</v>
      </c>
      <c r="H2474" s="2">
        <f t="shared" ca="1" si="2362"/>
        <v>4.3546496813819807E-2</v>
      </c>
      <c r="I2474" s="2">
        <f t="shared" ca="1" si="2363"/>
        <v>0.22628283510827918</v>
      </c>
      <c r="J2474" s="2">
        <f t="shared" ca="1" si="2364"/>
        <v>6.2442772768103779E-3</v>
      </c>
      <c r="K2474" s="2">
        <f t="shared" ca="1" si="2365"/>
        <v>6.2442772768103779E-3</v>
      </c>
      <c r="L2474" s="2">
        <f t="shared" ca="1" si="2366"/>
        <v>0.68322852180165217</v>
      </c>
      <c r="M2474" s="2">
        <f t="shared" ca="1" si="2367"/>
        <v>9.5349212967091278E-3</v>
      </c>
      <c r="N2474" s="2">
        <f t="shared" ca="1" si="2368"/>
        <v>9.5349212967091278E-3</v>
      </c>
      <c r="O2474" s="2">
        <f t="shared" si="2369"/>
        <v>6000000</v>
      </c>
      <c r="P2474" s="2">
        <f t="shared" ca="1" si="2370"/>
        <v>42410731.311305784</v>
      </c>
      <c r="Q2474" s="2">
        <f t="shared" ca="1" si="2371"/>
        <v>1060268.2827826447</v>
      </c>
      <c r="R2474" s="2">
        <f t="shared" ca="1" si="2372"/>
        <v>25446438.786783468</v>
      </c>
      <c r="S2474" s="2">
        <f t="shared" ca="1" si="2373"/>
        <v>16964292.524522316</v>
      </c>
      <c r="T2474" s="2">
        <f t="shared" ca="1" si="2374"/>
        <v>50476746.064835452</v>
      </c>
      <c r="U2474" s="2">
        <f t="shared" ca="1" si="2375"/>
        <v>52674831.526519798</v>
      </c>
      <c r="V2474" s="2">
        <f t="shared" ca="1" si="2376"/>
        <v>54968635.909757882</v>
      </c>
      <c r="W2474" s="2">
        <f t="shared" ca="1" si="2377"/>
        <v>57362327.438262172</v>
      </c>
      <c r="X2474" s="2">
        <f t="shared" ca="1" si="2378"/>
        <v>59860255.84728574</v>
      </c>
      <c r="Y2474" s="2">
        <f t="shared" ca="1" si="2379"/>
        <v>0.12312213863840518</v>
      </c>
      <c r="Z2474" s="2">
        <f t="shared" ca="1" si="2380"/>
        <v>0.12437099409376726</v>
      </c>
      <c r="AA2474" s="2">
        <f t="shared" ca="1" si="2381"/>
        <v>6214804.9270102438</v>
      </c>
      <c r="AB2474" s="2">
        <f t="shared" ca="1" si="2382"/>
        <v>6551221.160674979</v>
      </c>
      <c r="AC2474" s="2">
        <f t="shared" ca="1" si="2383"/>
        <v>6836503.8920749407</v>
      </c>
      <c r="AD2474" s="2">
        <f t="shared" ca="1" si="2384"/>
        <v>7134209.6870288476</v>
      </c>
      <c r="AE2474" s="2">
        <f t="shared" ca="1" si="2385"/>
        <v>7444879.5264341719</v>
      </c>
      <c r="AF2474" s="2">
        <f t="shared" ca="1" si="2386"/>
        <v>1009534.9212967091</v>
      </c>
      <c r="AG2474" s="2">
        <f t="shared" ca="1" si="2387"/>
        <v>1053496.630530396</v>
      </c>
      <c r="AH2474" s="2">
        <f t="shared" ca="1" si="2388"/>
        <v>1099372.7181951576</v>
      </c>
      <c r="AI2474" s="2">
        <f t="shared" ca="1" si="2389"/>
        <v>1147246.5487652435</v>
      </c>
      <c r="AJ2474" s="2">
        <f t="shared" ca="1" si="2390"/>
        <v>1197205.1169457149</v>
      </c>
      <c r="AK2474" s="2">
        <f t="shared" ca="1" si="2391"/>
        <v>0</v>
      </c>
      <c r="AL2474" s="2">
        <f t="shared" ca="1" si="2392"/>
        <v>21980.854616843462</v>
      </c>
      <c r="AM2474" s="2">
        <f t="shared" ca="1" si="2393"/>
        <v>22938.043832380845</v>
      </c>
      <c r="AN2474" s="2">
        <f t="shared" ca="1" si="2394"/>
        <v>23936.915285042898</v>
      </c>
      <c r="AO2474" s="2">
        <f t="shared" ca="1" si="2395"/>
        <v>24979.28409023568</v>
      </c>
      <c r="AP2474" s="2">
        <f t="shared" ca="1" si="2396"/>
        <v>2290179.4908105121</v>
      </c>
      <c r="AQ2474" s="2">
        <f t="shared" ca="1" si="2397"/>
        <v>757923.53387478588</v>
      </c>
      <c r="AR2474" s="2">
        <f t="shared" ca="1" si="2398"/>
        <v>833961.71022685862</v>
      </c>
      <c r="AS2474" s="2">
        <f t="shared" ca="1" si="2399"/>
        <v>896207.43759801064</v>
      </c>
      <c r="AT2474" s="2">
        <f t="shared" ca="1" si="2400"/>
        <v>961163.74833780387</v>
      </c>
      <c r="AU2474" s="2">
        <f t="shared" ca="1" si="2401"/>
        <v>1028948.6788562657</v>
      </c>
      <c r="AV2474" s="2">
        <f t="shared" ca="1" si="2402"/>
        <v>2157166.9810282369</v>
      </c>
      <c r="AW2474" s="2">
        <f t="shared" ca="1" si="2403"/>
        <v>2351602.4744903692</v>
      </c>
      <c r="AX2474" s="2">
        <f t="shared" ca="1" si="2404"/>
        <v>2527806.2016388797</v>
      </c>
      <c r="AY2474" s="2">
        <f t="shared" ca="1" si="2405"/>
        <v>2711682.9838302447</v>
      </c>
      <c r="AZ2474" s="2">
        <f t="shared" ca="1" si="2406"/>
        <v>2903566.9557314436</v>
      </c>
      <c r="BA2474" s="2">
        <f t="shared" ca="1" si="2407"/>
        <v>61001696.873081766</v>
      </c>
      <c r="BB2474" s="2">
        <f t="shared" ca="1" si="2408"/>
        <v>1220033.9374616353</v>
      </c>
      <c r="BC2474" s="2">
        <f t="shared" ca="1" si="2409"/>
        <v>34335224.148836665</v>
      </c>
      <c r="BD2474" s="2">
        <f t="shared" ca="1" si="2410"/>
        <v>-18524560.80730496</v>
      </c>
      <c r="BE2474" s="2">
        <f t="shared" ca="1" si="2411"/>
        <v>2157166.9810282369</v>
      </c>
      <c r="BF2474" s="2">
        <f t="shared" ca="1" si="2412"/>
        <v>2351602.4744903692</v>
      </c>
      <c r="BG2474" s="2">
        <f t="shared" ca="1" si="2413"/>
        <v>2527806.2016388797</v>
      </c>
      <c r="BH2474" s="2">
        <f t="shared" ca="1" si="2414"/>
        <v>2711682.9838302447</v>
      </c>
      <c r="BI2474" s="2">
        <f t="shared" ca="1" si="2415"/>
        <v>37238791.104568109</v>
      </c>
      <c r="BJ2474" s="2">
        <f t="shared" ca="1" si="2416"/>
        <v>0.23870856960237696</v>
      </c>
      <c r="BK2474" s="2">
        <f t="shared" ca="1" si="2417"/>
        <v>9929020.4661197253</v>
      </c>
    </row>
    <row r="2475" spans="1:63" x14ac:dyDescent="0.3">
      <c r="A2475" s="2">
        <v>2474</v>
      </c>
      <c r="B2475" s="2">
        <f t="shared" ca="1" si="2356"/>
        <v>2.6322527848399169E-4</v>
      </c>
      <c r="C2475" s="2">
        <f t="shared" ca="1" si="2357"/>
        <v>6.0229445103885002</v>
      </c>
      <c r="D2475" s="2">
        <f t="shared" ca="1" si="2358"/>
        <v>0.88271117129897692</v>
      </c>
      <c r="E2475" s="2">
        <f t="shared" ca="1" si="2359"/>
        <v>8.0156678232844261</v>
      </c>
      <c r="F2475" s="2">
        <f t="shared" ca="1" si="2360"/>
        <v>0.34573812531173176</v>
      </c>
      <c r="G2475" s="2">
        <f t="shared" ca="1" si="2361"/>
        <v>2.8094425699068871E-2</v>
      </c>
      <c r="H2475" s="2">
        <f t="shared" ca="1" si="2362"/>
        <v>2.8094425699068871E-2</v>
      </c>
      <c r="I2475" s="2">
        <f t="shared" ca="1" si="2363"/>
        <v>0.71454862000934949</v>
      </c>
      <c r="J2475" s="2">
        <f t="shared" ca="1" si="2364"/>
        <v>1.2833612291995745E-2</v>
      </c>
      <c r="K2475" s="2">
        <f t="shared" ca="1" si="2365"/>
        <v>1.2833612291995745E-2</v>
      </c>
      <c r="L2475" s="2">
        <f t="shared" ca="1" si="2366"/>
        <v>0.72447806530036607</v>
      </c>
      <c r="M2475" s="2">
        <f t="shared" ca="1" si="2367"/>
        <v>1.1923932817894502E-2</v>
      </c>
      <c r="N2475" s="2">
        <f t="shared" ca="1" si="2368"/>
        <v>1.1923932817894502E-2</v>
      </c>
      <c r="O2475" s="2">
        <f t="shared" si="2369"/>
        <v>6000000</v>
      </c>
      <c r="P2475" s="2">
        <f t="shared" ca="1" si="2370"/>
        <v>36137667.062330998</v>
      </c>
      <c r="Q2475" s="2">
        <f t="shared" ca="1" si="2371"/>
        <v>903441.67655827501</v>
      </c>
      <c r="R2475" s="2">
        <f t="shared" ca="1" si="2372"/>
        <v>21682600.237398598</v>
      </c>
      <c r="S2475" s="2">
        <f t="shared" ca="1" si="2373"/>
        <v>14455066.8249324</v>
      </c>
      <c r="T2475" s="2">
        <f t="shared" ca="1" si="2374"/>
        <v>50596196.640894733</v>
      </c>
      <c r="U2475" s="2">
        <f t="shared" ca="1" si="2375"/>
        <v>52017667.728077829</v>
      </c>
      <c r="V2475" s="2">
        <f t="shared" ca="1" si="2376"/>
        <v>53479074.22910317</v>
      </c>
      <c r="W2475" s="2">
        <f t="shared" ca="1" si="2377"/>
        <v>54981538.106487699</v>
      </c>
      <c r="X2475" s="2">
        <f t="shared" ca="1" si="2378"/>
        <v>56526212.843640946</v>
      </c>
      <c r="Y2475" s="2">
        <f t="shared" ca="1" si="2379"/>
        <v>0.12641680614599787</v>
      </c>
      <c r="Z2475" s="2">
        <f t="shared" ca="1" si="2380"/>
        <v>0.12898352860439702</v>
      </c>
      <c r="AA2475" s="2">
        <f t="shared" ca="1" si="2381"/>
        <v>6396209.582476778</v>
      </c>
      <c r="AB2475" s="2">
        <f t="shared" ca="1" si="2382"/>
        <v>6709422.3333385466</v>
      </c>
      <c r="AC2475" s="2">
        <f t="shared" ca="1" si="2383"/>
        <v>6897919.7005662005</v>
      </c>
      <c r="AD2475" s="2">
        <f t="shared" ca="1" si="2384"/>
        <v>7091712.7930719005</v>
      </c>
      <c r="AE2475" s="2">
        <f t="shared" ca="1" si="2385"/>
        <v>7290950.3912159959</v>
      </c>
      <c r="AF2475" s="2">
        <f t="shared" ca="1" si="2386"/>
        <v>1011923.9328178947</v>
      </c>
      <c r="AG2475" s="2">
        <f t="shared" ca="1" si="2387"/>
        <v>1040353.3545615566</v>
      </c>
      <c r="AH2475" s="2">
        <f t="shared" ca="1" si="2388"/>
        <v>1069581.4845820635</v>
      </c>
      <c r="AI2475" s="2">
        <f t="shared" ca="1" si="2389"/>
        <v>1099630.7621297541</v>
      </c>
      <c r="AJ2475" s="2">
        <f t="shared" ca="1" si="2390"/>
        <v>1130524.256872819</v>
      </c>
      <c r="AK2475" s="2">
        <f t="shared" ca="1" si="2391"/>
        <v>0</v>
      </c>
      <c r="AL2475" s="2">
        <f t="shared" ca="1" si="2392"/>
        <v>14214.710871830956</v>
      </c>
      <c r="AM2475" s="2">
        <f t="shared" ca="1" si="2393"/>
        <v>14614.065010253415</v>
      </c>
      <c r="AN2475" s="2">
        <f t="shared" ca="1" si="2394"/>
        <v>15024.638773845285</v>
      </c>
      <c r="AO2475" s="2">
        <f t="shared" ca="1" si="2395"/>
        <v>15446.74737153247</v>
      </c>
      <c r="AP2475" s="2">
        <f t="shared" ca="1" si="2396"/>
        <v>1951434.0213658737</v>
      </c>
      <c r="AQ2475" s="2">
        <f t="shared" ca="1" si="2397"/>
        <v>892541.42335618252</v>
      </c>
      <c r="AR2475" s="2">
        <f t="shared" ca="1" si="2398"/>
        <v>966585.08892689017</v>
      </c>
      <c r="AS2475" s="2">
        <f t="shared" ca="1" si="2399"/>
        <v>1007995.0906007484</v>
      </c>
      <c r="AT2475" s="2">
        <f t="shared" ca="1" si="2400"/>
        <v>1050568.482489831</v>
      </c>
      <c r="AU2475" s="2">
        <f t="shared" ca="1" si="2401"/>
        <v>1094337.949374099</v>
      </c>
      <c r="AV2475" s="2">
        <f t="shared" ca="1" si="2402"/>
        <v>2540310.2049368266</v>
      </c>
      <c r="AW2475" s="2">
        <f t="shared" ca="1" si="2403"/>
        <v>2736835.1576123955</v>
      </c>
      <c r="AX2475" s="2">
        <f t="shared" ca="1" si="2404"/>
        <v>2854295.0390072614</v>
      </c>
      <c r="AY2475" s="2">
        <f t="shared" ca="1" si="2405"/>
        <v>2975054.8883125968</v>
      </c>
      <c r="AZ2475" s="2">
        <f t="shared" ca="1" si="2406"/>
        <v>3099207.4162316723</v>
      </c>
      <c r="BA2475" s="2">
        <f t="shared" ca="1" si="2407"/>
        <v>58441836.452033058</v>
      </c>
      <c r="BB2475" s="2">
        <f t="shared" ca="1" si="2408"/>
        <v>1168836.7290406611</v>
      </c>
      <c r="BC2475" s="2">
        <f t="shared" ca="1" si="2409"/>
        <v>35590399.485593803</v>
      </c>
      <c r="BD2475" s="2">
        <f t="shared" ca="1" si="2410"/>
        <v>-15858508.501490675</v>
      </c>
      <c r="BE2475" s="2">
        <f t="shared" ca="1" si="2411"/>
        <v>2540310.2049368266</v>
      </c>
      <c r="BF2475" s="2">
        <f t="shared" ca="1" si="2412"/>
        <v>2736835.1576123955</v>
      </c>
      <c r="BG2475" s="2">
        <f t="shared" ca="1" si="2413"/>
        <v>2854295.0390072614</v>
      </c>
      <c r="BH2475" s="2">
        <f t="shared" ca="1" si="2414"/>
        <v>2975054.8883125968</v>
      </c>
      <c r="BI2475" s="2">
        <f t="shared" ca="1" si="2415"/>
        <v>38689606.901825473</v>
      </c>
      <c r="BJ2475" s="2">
        <f t="shared" ca="1" si="2416"/>
        <v>0.30966527976928981</v>
      </c>
      <c r="BK2475" s="2">
        <f t="shared" ca="1" si="2417"/>
        <v>14467267.830832981</v>
      </c>
    </row>
    <row r="2476" spans="1:63" x14ac:dyDescent="0.3">
      <c r="A2476" s="2">
        <v>2475</v>
      </c>
      <c r="B2476" s="2">
        <f t="shared" ca="1" si="2356"/>
        <v>0.82187498327821995</v>
      </c>
      <c r="C2476" s="2">
        <f t="shared" ca="1" si="2357"/>
        <v>7.4031331526684028</v>
      </c>
      <c r="D2476" s="2">
        <f t="shared" ca="1" si="2358"/>
        <v>0.76120299073941211</v>
      </c>
      <c r="E2476" s="2">
        <f t="shared" ca="1" si="2359"/>
        <v>7.8089182258797623</v>
      </c>
      <c r="F2476" s="2">
        <f t="shared" ca="1" si="2360"/>
        <v>0.60875568972317551</v>
      </c>
      <c r="G2476" s="2">
        <f t="shared" ca="1" si="2361"/>
        <v>4.8282321921516935E-2</v>
      </c>
      <c r="H2476" s="2">
        <f t="shared" ca="1" si="2362"/>
        <v>4.8282321921516935E-2</v>
      </c>
      <c r="I2476" s="2">
        <f t="shared" ca="1" si="2363"/>
        <v>0.73710041077409316</v>
      </c>
      <c r="J2476" s="2">
        <f t="shared" ca="1" si="2364"/>
        <v>1.3172158107105687E-2</v>
      </c>
      <c r="K2476" s="2">
        <f t="shared" ca="1" si="2365"/>
        <v>1.3172158107105687E-2</v>
      </c>
      <c r="L2476" s="2">
        <f t="shared" ca="1" si="2366"/>
        <v>8.6100297699385875E-2</v>
      </c>
      <c r="M2476" s="2">
        <f t="shared" ca="1" si="2367"/>
        <v>-2.730333823823242E-2</v>
      </c>
      <c r="N2476" s="2">
        <f t="shared" ca="1" si="2368"/>
        <v>-2.730333823823242E-2</v>
      </c>
      <c r="O2476" s="2">
        <f t="shared" si="2369"/>
        <v>6000000</v>
      </c>
      <c r="P2476" s="2">
        <f t="shared" ca="1" si="2370"/>
        <v>44418798.916010417</v>
      </c>
      <c r="Q2476" s="2">
        <f t="shared" ca="1" si="2371"/>
        <v>1110469.9729002605</v>
      </c>
      <c r="R2476" s="2">
        <f t="shared" ca="1" si="2372"/>
        <v>26651279.349606249</v>
      </c>
      <c r="S2476" s="2">
        <f t="shared" ca="1" si="2373"/>
        <v>17767519.566404168</v>
      </c>
      <c r="T2476" s="2">
        <f t="shared" ca="1" si="2374"/>
        <v>48634833.088088378</v>
      </c>
      <c r="U2476" s="2">
        <f t="shared" ca="1" si="2375"/>
        <v>50983035.755846702</v>
      </c>
      <c r="V2476" s="2">
        <f t="shared" ca="1" si="2376"/>
        <v>53444615.100746699</v>
      </c>
      <c r="W2476" s="2">
        <f t="shared" ca="1" si="2377"/>
        <v>56025045.212012514</v>
      </c>
      <c r="X2476" s="2">
        <f t="shared" ca="1" si="2378"/>
        <v>58730064.480606444</v>
      </c>
      <c r="Y2476" s="2">
        <f t="shared" ca="1" si="2379"/>
        <v>0.12658607905355285</v>
      </c>
      <c r="Z2476" s="2">
        <f t="shared" ca="1" si="2380"/>
        <v>0.12922051067497398</v>
      </c>
      <c r="AA2476" s="2">
        <f t="shared" ca="1" si="2381"/>
        <v>6156492.8260451034</v>
      </c>
      <c r="AB2476" s="2">
        <f t="shared" ca="1" si="2382"/>
        <v>6588053.9161309684</v>
      </c>
      <c r="AC2476" s="2">
        <f t="shared" ca="1" si="2383"/>
        <v>6906140.4561459143</v>
      </c>
      <c r="AD2476" s="2">
        <f t="shared" ca="1" si="2384"/>
        <v>7239584.9528847625</v>
      </c>
      <c r="AE2476" s="2">
        <f t="shared" ca="1" si="2385"/>
        <v>7589128.9241581149</v>
      </c>
      <c r="AF2476" s="2">
        <f t="shared" ca="1" si="2386"/>
        <v>972696.66176176758</v>
      </c>
      <c r="AG2476" s="2">
        <f t="shared" ca="1" si="2387"/>
        <v>1019660.715116934</v>
      </c>
      <c r="AH2476" s="2">
        <f t="shared" ca="1" si="2388"/>
        <v>1068892.3020149339</v>
      </c>
      <c r="AI2476" s="2">
        <f t="shared" ca="1" si="2389"/>
        <v>1120500.9042402504</v>
      </c>
      <c r="AJ2476" s="2">
        <f t="shared" ca="1" si="2390"/>
        <v>1174601.2896121289</v>
      </c>
      <c r="AK2476" s="2">
        <f t="shared" ca="1" si="2391"/>
        <v>0</v>
      </c>
      <c r="AL2476" s="2">
        <f t="shared" ca="1" si="2392"/>
        <v>23482.026677583232</v>
      </c>
      <c r="AM2476" s="2">
        <f t="shared" ca="1" si="2393"/>
        <v>24615.793448999972</v>
      </c>
      <c r="AN2476" s="2">
        <f t="shared" ca="1" si="2394"/>
        <v>25804.301112658159</v>
      </c>
      <c r="AO2476" s="2">
        <f t="shared" ca="1" si="2395"/>
        <v>27050.192685939299</v>
      </c>
      <c r="AP2476" s="2">
        <f t="shared" ca="1" si="2396"/>
        <v>2398615.1414645622</v>
      </c>
      <c r="AQ2476" s="2">
        <f t="shared" ca="1" si="2397"/>
        <v>724147.0659328812</v>
      </c>
      <c r="AR2476" s="2">
        <f t="shared" ca="1" si="2398"/>
        <v>824142.29548286286</v>
      </c>
      <c r="AS2476" s="2">
        <f t="shared" ca="1" si="2399"/>
        <v>894044.58329326881</v>
      </c>
      <c r="AT2476" s="2">
        <f t="shared" ca="1" si="2400"/>
        <v>967321.91586678696</v>
      </c>
      <c r="AU2476" s="2">
        <f t="shared" ca="1" si="2401"/>
        <v>1044137.2482011701</v>
      </c>
      <c r="AV2476" s="2">
        <f t="shared" ca="1" si="2402"/>
        <v>2061033.9568858929</v>
      </c>
      <c r="AW2476" s="2">
        <f t="shared" ca="1" si="2403"/>
        <v>2322153.7373890262</v>
      </c>
      <c r="AX2476" s="2">
        <f t="shared" ca="1" si="2404"/>
        <v>2519972.6359241502</v>
      </c>
      <c r="AY2476" s="2">
        <f t="shared" ca="1" si="2405"/>
        <v>2727342.6902005048</v>
      </c>
      <c r="AZ2476" s="2">
        <f t="shared" ca="1" si="2406"/>
        <v>2944725.0521943141</v>
      </c>
      <c r="BA2476" s="2">
        <f t="shared" ca="1" si="2407"/>
        <v>59262887.174409576</v>
      </c>
      <c r="BB2476" s="2">
        <f t="shared" ca="1" si="2408"/>
        <v>1185257.7434881916</v>
      </c>
      <c r="BC2476" s="2">
        <f t="shared" ca="1" si="2409"/>
        <v>31426350.081315134</v>
      </c>
      <c r="BD2476" s="2">
        <f t="shared" ca="1" si="2410"/>
        <v>-19377989.539304428</v>
      </c>
      <c r="BE2476" s="2">
        <f t="shared" ca="1" si="2411"/>
        <v>2061033.9568858929</v>
      </c>
      <c r="BF2476" s="2">
        <f t="shared" ca="1" si="2412"/>
        <v>2322153.7373890262</v>
      </c>
      <c r="BG2476" s="2">
        <f t="shared" ca="1" si="2413"/>
        <v>2519972.6359241502</v>
      </c>
      <c r="BH2476" s="2">
        <f t="shared" ca="1" si="2414"/>
        <v>2727342.6902005048</v>
      </c>
      <c r="BI2476" s="2">
        <f t="shared" ca="1" si="2415"/>
        <v>34371075.13350945</v>
      </c>
      <c r="BJ2476" s="2">
        <f t="shared" ca="1" si="2416"/>
        <v>0.2078718102940651</v>
      </c>
      <c r="BK2476" s="2">
        <f t="shared" ca="1" si="2417"/>
        <v>7343439.5165348053</v>
      </c>
    </row>
    <row r="2477" spans="1:63" x14ac:dyDescent="0.3">
      <c r="A2477" s="2">
        <v>2476</v>
      </c>
      <c r="B2477" s="2">
        <f t="shared" ca="1" si="2356"/>
        <v>0.52525184879456888</v>
      </c>
      <c r="C2477" s="2">
        <f t="shared" ca="1" si="2357"/>
        <v>7.0255789911897102</v>
      </c>
      <c r="D2477" s="2">
        <f t="shared" ca="1" si="2358"/>
        <v>0.80318831213057196</v>
      </c>
      <c r="E2477" s="2">
        <f t="shared" ca="1" si="2359"/>
        <v>7.8726058848388387</v>
      </c>
      <c r="F2477" s="2">
        <f t="shared" ca="1" si="2360"/>
        <v>2.1412964253111344E-3</v>
      </c>
      <c r="G2477" s="2">
        <f t="shared" ca="1" si="2361"/>
        <v>-4.5696794852103116E-2</v>
      </c>
      <c r="H2477" s="2">
        <f t="shared" ca="1" si="2362"/>
        <v>-0.02</v>
      </c>
      <c r="I2477" s="2">
        <f t="shared" ca="1" si="2363"/>
        <v>0.31955626943468718</v>
      </c>
      <c r="J2477" s="2">
        <f t="shared" ca="1" si="2364"/>
        <v>7.6553001054655602E-3</v>
      </c>
      <c r="K2477" s="2">
        <f t="shared" ca="1" si="2365"/>
        <v>7.6553001054655602E-3</v>
      </c>
      <c r="L2477" s="2">
        <f t="shared" ca="1" si="2366"/>
        <v>0.96314644175349162</v>
      </c>
      <c r="M2477" s="2">
        <f t="shared" ca="1" si="2367"/>
        <v>3.5768543345236305E-2</v>
      </c>
      <c r="N2477" s="2">
        <f t="shared" ca="1" si="2368"/>
        <v>3.5768543345236305E-2</v>
      </c>
      <c r="O2477" s="2">
        <f t="shared" si="2369"/>
        <v>6000000</v>
      </c>
      <c r="P2477" s="2">
        <f t="shared" ca="1" si="2370"/>
        <v>42153473.947138265</v>
      </c>
      <c r="Q2477" s="2">
        <f t="shared" ca="1" si="2371"/>
        <v>1053836.8486784566</v>
      </c>
      <c r="R2477" s="2">
        <f t="shared" ca="1" si="2372"/>
        <v>25292084.368282959</v>
      </c>
      <c r="S2477" s="2">
        <f t="shared" ca="1" si="2373"/>
        <v>16861389.578855306</v>
      </c>
      <c r="T2477" s="2">
        <f t="shared" ca="1" si="2374"/>
        <v>51788427.167261817</v>
      </c>
      <c r="U2477" s="2">
        <f t="shared" ca="1" si="2375"/>
        <v>50752658.623916581</v>
      </c>
      <c r="V2477" s="2">
        <f t="shared" ca="1" si="2376"/>
        <v>49737605.451438248</v>
      </c>
      <c r="W2477" s="2">
        <f t="shared" ca="1" si="2377"/>
        <v>48742853.342409484</v>
      </c>
      <c r="X2477" s="2">
        <f t="shared" ca="1" si="2378"/>
        <v>47767996.275561295</v>
      </c>
      <c r="Y2477" s="2">
        <f t="shared" ca="1" si="2379"/>
        <v>0.12382765005273277</v>
      </c>
      <c r="Z2477" s="2">
        <f t="shared" ca="1" si="2380"/>
        <v>0.12535871007382587</v>
      </c>
      <c r="AA2477" s="2">
        <f t="shared" ca="1" si="2381"/>
        <v>6412839.2360491352</v>
      </c>
      <c r="AB2477" s="2">
        <f t="shared" ca="1" si="2382"/>
        <v>6362287.8179114172</v>
      </c>
      <c r="AC2477" s="2">
        <f t="shared" ca="1" si="2383"/>
        <v>6235042.0615531886</v>
      </c>
      <c r="AD2477" s="2">
        <f t="shared" ca="1" si="2384"/>
        <v>6110341.2203221247</v>
      </c>
      <c r="AE2477" s="2">
        <f t="shared" ca="1" si="2385"/>
        <v>5988134.3959156824</v>
      </c>
      <c r="AF2477" s="2">
        <f t="shared" ca="1" si="2386"/>
        <v>1035768.5433452363</v>
      </c>
      <c r="AG2477" s="2">
        <f t="shared" ca="1" si="2387"/>
        <v>1015053.1724783316</v>
      </c>
      <c r="AH2477" s="2">
        <f t="shared" ca="1" si="2388"/>
        <v>994752.109028765</v>
      </c>
      <c r="AI2477" s="2">
        <f t="shared" ca="1" si="2389"/>
        <v>974857.06684818969</v>
      </c>
      <c r="AJ2477" s="2">
        <f t="shared" ca="1" si="2390"/>
        <v>955359.92551122594</v>
      </c>
      <c r="AK2477" s="2">
        <f t="shared" ca="1" si="2391"/>
        <v>0</v>
      </c>
      <c r="AL2477" s="2">
        <f t="shared" ca="1" si="2392"/>
        <v>0</v>
      </c>
      <c r="AM2477" s="2">
        <f t="shared" ca="1" si="2393"/>
        <v>0</v>
      </c>
      <c r="AN2477" s="2">
        <f t="shared" ca="1" si="2394"/>
        <v>0</v>
      </c>
      <c r="AO2477" s="2">
        <f t="shared" ca="1" si="2395"/>
        <v>0</v>
      </c>
      <c r="AP2477" s="2">
        <f t="shared" ca="1" si="2396"/>
        <v>2276287.5931454664</v>
      </c>
      <c r="AQ2477" s="2">
        <f t="shared" ca="1" si="2397"/>
        <v>806203.60588519252</v>
      </c>
      <c r="AR2477" s="2">
        <f t="shared" ca="1" si="2398"/>
        <v>798446.23359478114</v>
      </c>
      <c r="AS2477" s="2">
        <f t="shared" ca="1" si="2399"/>
        <v>770640.61343852885</v>
      </c>
      <c r="AT2477" s="2">
        <f t="shared" ca="1" si="2400"/>
        <v>743391.10568540182</v>
      </c>
      <c r="AU2477" s="2">
        <f t="shared" ca="1" si="2401"/>
        <v>716686.58808733744</v>
      </c>
      <c r="AV2477" s="2">
        <f t="shared" ca="1" si="2402"/>
        <v>2294579.4936732398</v>
      </c>
      <c r="AW2477" s="2">
        <f t="shared" ca="1" si="2403"/>
        <v>2272500.8186928388</v>
      </c>
      <c r="AX2477" s="2">
        <f t="shared" ca="1" si="2404"/>
        <v>2193361.7459404282</v>
      </c>
      <c r="AY2477" s="2">
        <f t="shared" ca="1" si="2405"/>
        <v>2115805.454643067</v>
      </c>
      <c r="AZ2477" s="2">
        <f t="shared" ca="1" si="2406"/>
        <v>2039800.2891716529</v>
      </c>
      <c r="BA2477" s="2">
        <f t="shared" ca="1" si="2407"/>
        <v>47142222.084491663</v>
      </c>
      <c r="BB2477" s="2">
        <f t="shared" ca="1" si="2408"/>
        <v>942844.4416898333</v>
      </c>
      <c r="BC2477" s="2">
        <f t="shared" ca="1" si="2409"/>
        <v>20907293.27451887</v>
      </c>
      <c r="BD2477" s="2">
        <f t="shared" ca="1" si="2410"/>
        <v>-18415226.427533761</v>
      </c>
      <c r="BE2477" s="2">
        <f t="shared" ca="1" si="2411"/>
        <v>2294579.4936732398</v>
      </c>
      <c r="BF2477" s="2">
        <f t="shared" ca="1" si="2412"/>
        <v>2272500.8186928388</v>
      </c>
      <c r="BG2477" s="2">
        <f t="shared" ca="1" si="2413"/>
        <v>2193361.7459404282</v>
      </c>
      <c r="BH2477" s="2">
        <f t="shared" ca="1" si="2414"/>
        <v>2115805.454643067</v>
      </c>
      <c r="BI2477" s="2">
        <f t="shared" ca="1" si="2415"/>
        <v>22947093.563690521</v>
      </c>
      <c r="BJ2477" s="2">
        <f t="shared" ca="1" si="2416"/>
        <v>0.13995967947999288</v>
      </c>
      <c r="BK2477" s="2">
        <f t="shared" ca="1" si="2417"/>
        <v>1371750.335246101</v>
      </c>
    </row>
    <row r="2478" spans="1:63" x14ac:dyDescent="0.3">
      <c r="A2478" s="2">
        <v>2477</v>
      </c>
      <c r="B2478" s="2">
        <f t="shared" ca="1" si="2356"/>
        <v>0.6610335219354555</v>
      </c>
      <c r="C2478" s="2">
        <f t="shared" ca="1" si="2357"/>
        <v>7.1766331582283094</v>
      </c>
      <c r="D2478" s="2">
        <f t="shared" ca="1" si="2358"/>
        <v>2.5136090871236361E-2</v>
      </c>
      <c r="E2478" s="2">
        <f t="shared" ca="1" si="2359"/>
        <v>6.7242145886031341</v>
      </c>
      <c r="F2478" s="2">
        <f t="shared" ca="1" si="2360"/>
        <v>0.50253696877411025</v>
      </c>
      <c r="G2478" s="2">
        <f t="shared" ca="1" si="2361"/>
        <v>4.0190778415684213E-2</v>
      </c>
      <c r="H2478" s="2">
        <f t="shared" ca="1" si="2362"/>
        <v>4.0190778415684213E-2</v>
      </c>
      <c r="I2478" s="2">
        <f t="shared" ca="1" si="2363"/>
        <v>0.46366991654059186</v>
      </c>
      <c r="J2478" s="2">
        <f t="shared" ca="1" si="2364"/>
        <v>9.5440387511411349E-3</v>
      </c>
      <c r="K2478" s="2">
        <f t="shared" ca="1" si="2365"/>
        <v>9.5440387511411349E-3</v>
      </c>
      <c r="L2478" s="2">
        <f t="shared" ca="1" si="2366"/>
        <v>0.13351269959063661</v>
      </c>
      <c r="M2478" s="2">
        <f t="shared" ca="1" si="2367"/>
        <v>-2.2198776012947334E-2</v>
      </c>
      <c r="N2478" s="2">
        <f t="shared" ca="1" si="2368"/>
        <v>-2.2198776012947334E-2</v>
      </c>
      <c r="O2478" s="2">
        <f t="shared" si="2369"/>
        <v>6000000</v>
      </c>
      <c r="P2478" s="2">
        <f t="shared" ca="1" si="2370"/>
        <v>43059798.949369855</v>
      </c>
      <c r="Q2478" s="2">
        <f t="shared" ca="1" si="2371"/>
        <v>1076494.9737342463</v>
      </c>
      <c r="R2478" s="2">
        <f t="shared" ca="1" si="2372"/>
        <v>25835879.369621914</v>
      </c>
      <c r="S2478" s="2">
        <f t="shared" ca="1" si="2373"/>
        <v>17223919.579747941</v>
      </c>
      <c r="T2478" s="2">
        <f t="shared" ca="1" si="2374"/>
        <v>48890061.199352637</v>
      </c>
      <c r="U2478" s="2">
        <f t="shared" ca="1" si="2375"/>
        <v>50854990.815745063</v>
      </c>
      <c r="V2478" s="2">
        <f t="shared" ca="1" si="2376"/>
        <v>52898892.482952334</v>
      </c>
      <c r="W2478" s="2">
        <f t="shared" ca="1" si="2377"/>
        <v>55024940.14916978</v>
      </c>
      <c r="X2478" s="2">
        <f t="shared" ca="1" si="2378"/>
        <v>57236435.326041356</v>
      </c>
      <c r="Y2478" s="2">
        <f t="shared" ca="1" si="2379"/>
        <v>0.12477201937557056</v>
      </c>
      <c r="Z2478" s="2">
        <f t="shared" ca="1" si="2380"/>
        <v>0.12668082712579878</v>
      </c>
      <c r="AA2478" s="2">
        <f t="shared" ca="1" si="2381"/>
        <v>6100111.6632384574</v>
      </c>
      <c r="AB2478" s="2">
        <f t="shared" ca="1" si="2382"/>
        <v>6442352.3000134854</v>
      </c>
      <c r="AC2478" s="2">
        <f t="shared" ca="1" si="2383"/>
        <v>6701275.4537791014</v>
      </c>
      <c r="AD2478" s="2">
        <f t="shared" ca="1" si="2384"/>
        <v>6970604.9306444013</v>
      </c>
      <c r="AE2478" s="2">
        <f t="shared" ca="1" si="2385"/>
        <v>7250758.9688352076</v>
      </c>
      <c r="AF2478" s="2">
        <f t="shared" ca="1" si="2386"/>
        <v>977801.2239870528</v>
      </c>
      <c r="AG2478" s="2">
        <f t="shared" ca="1" si="2387"/>
        <v>1017099.8163149013</v>
      </c>
      <c r="AH2478" s="2">
        <f t="shared" ca="1" si="2388"/>
        <v>1057977.8496590466</v>
      </c>
      <c r="AI2478" s="2">
        <f t="shared" ca="1" si="2389"/>
        <v>1100498.8029833955</v>
      </c>
      <c r="AJ2478" s="2">
        <f t="shared" ca="1" si="2390"/>
        <v>1144728.7065208273</v>
      </c>
      <c r="AK2478" s="2">
        <f t="shared" ca="1" si="2391"/>
        <v>0</v>
      </c>
      <c r="AL2478" s="2">
        <f t="shared" ca="1" si="2392"/>
        <v>19649.296163924264</v>
      </c>
      <c r="AM2478" s="2">
        <f t="shared" ca="1" si="2393"/>
        <v>20439.01667207271</v>
      </c>
      <c r="AN2478" s="2">
        <f t="shared" ca="1" si="2394"/>
        <v>21260.476662174464</v>
      </c>
      <c r="AO2478" s="2">
        <f t="shared" ca="1" si="2395"/>
        <v>22114.951768715753</v>
      </c>
      <c r="AP2478" s="2">
        <f t="shared" ca="1" si="2396"/>
        <v>2325229.1432659724</v>
      </c>
      <c r="AQ2478" s="2">
        <f t="shared" ca="1" si="2397"/>
        <v>727241.13695621234</v>
      </c>
      <c r="AR2478" s="2">
        <f t="shared" ca="1" si="2398"/>
        <v>806006.06851247908</v>
      </c>
      <c r="AS2478" s="2">
        <f t="shared" ca="1" si="2399"/>
        <v>862697.79982206156</v>
      </c>
      <c r="AT2478" s="2">
        <f t="shared" ca="1" si="2400"/>
        <v>921668.01594270871</v>
      </c>
      <c r="AU2478" s="2">
        <f t="shared" ca="1" si="2401"/>
        <v>983008.2909525861</v>
      </c>
      <c r="AV2478" s="2">
        <f t="shared" ca="1" si="2402"/>
        <v>2069840.1590292198</v>
      </c>
      <c r="AW2478" s="2">
        <f t="shared" ca="1" si="2403"/>
        <v>2274367.9757562089</v>
      </c>
      <c r="AX2478" s="2">
        <f t="shared" ca="1" si="2404"/>
        <v>2434931.6443599486</v>
      </c>
      <c r="AY2478" s="2">
        <f t="shared" ca="1" si="2405"/>
        <v>2601948.4917901498</v>
      </c>
      <c r="AZ2478" s="2">
        <f t="shared" ca="1" si="2406"/>
        <v>2775677.8763271063</v>
      </c>
      <c r="BA2478" s="2">
        <f t="shared" ca="1" si="2407"/>
        <v>48755659.236686721</v>
      </c>
      <c r="BB2478" s="2">
        <f t="shared" ca="1" si="2408"/>
        <v>975113.18473373447</v>
      </c>
      <c r="BC2478" s="2">
        <f t="shared" ca="1" si="2409"/>
        <v>21944666.682331074</v>
      </c>
      <c r="BD2478" s="2">
        <f t="shared" ca="1" si="2410"/>
        <v>-18800414.553482186</v>
      </c>
      <c r="BE2478" s="2">
        <f t="shared" ca="1" si="2411"/>
        <v>2069840.1590292198</v>
      </c>
      <c r="BF2478" s="2">
        <f t="shared" ca="1" si="2412"/>
        <v>2274367.9757562089</v>
      </c>
      <c r="BG2478" s="2">
        <f t="shared" ca="1" si="2413"/>
        <v>2434931.6443599486</v>
      </c>
      <c r="BH2478" s="2">
        <f t="shared" ca="1" si="2414"/>
        <v>2601948.4917901498</v>
      </c>
      <c r="BI2478" s="2">
        <f t="shared" ca="1" si="2415"/>
        <v>24720344.558658179</v>
      </c>
      <c r="BJ2478" s="2">
        <f t="shared" ca="1" si="2416"/>
        <v>0.15146419580320325</v>
      </c>
      <c r="BK2478" s="2">
        <f t="shared" ca="1" si="2417"/>
        <v>2274478.1826924309</v>
      </c>
    </row>
    <row r="2479" spans="1:63" x14ac:dyDescent="0.3">
      <c r="A2479" s="2">
        <v>2478</v>
      </c>
      <c r="B2479" s="2">
        <f t="shared" ca="1" si="2356"/>
        <v>0.6848888816340104</v>
      </c>
      <c r="C2479" s="2">
        <f t="shared" ca="1" si="2357"/>
        <v>7.2061346230424332</v>
      </c>
      <c r="D2479" s="2">
        <f t="shared" ca="1" si="2358"/>
        <v>0.8860163182656301</v>
      </c>
      <c r="E2479" s="2">
        <f t="shared" ca="1" si="2359"/>
        <v>8.0225407206172026</v>
      </c>
      <c r="F2479" s="2">
        <f t="shared" ca="1" si="2360"/>
        <v>0.20383833816168873</v>
      </c>
      <c r="G2479" s="2">
        <f t="shared" ca="1" si="2361"/>
        <v>1.516032718194579E-2</v>
      </c>
      <c r="H2479" s="2">
        <f t="shared" ca="1" si="2362"/>
        <v>1.516032718194579E-2</v>
      </c>
      <c r="I2479" s="2">
        <f t="shared" ca="1" si="2363"/>
        <v>0.38943927638011888</v>
      </c>
      <c r="J2479" s="2">
        <f t="shared" ca="1" si="2364"/>
        <v>8.5960961428818948E-3</v>
      </c>
      <c r="K2479" s="2">
        <f t="shared" ca="1" si="2365"/>
        <v>8.5960961428818948E-3</v>
      </c>
      <c r="L2479" s="2">
        <f t="shared" ca="1" si="2366"/>
        <v>3.2129737743849862E-2</v>
      </c>
      <c r="M2479" s="2">
        <f t="shared" ca="1" si="2367"/>
        <v>-3.7007506136626178E-2</v>
      </c>
      <c r="N2479" s="2">
        <f t="shared" ca="1" si="2368"/>
        <v>-3.7007506136626178E-2</v>
      </c>
      <c r="O2479" s="2">
        <f t="shared" si="2369"/>
        <v>6000000</v>
      </c>
      <c r="P2479" s="2">
        <f t="shared" ca="1" si="2370"/>
        <v>43236807.738254599</v>
      </c>
      <c r="Q2479" s="2">
        <f t="shared" ca="1" si="2371"/>
        <v>1080920.193456365</v>
      </c>
      <c r="R2479" s="2">
        <f t="shared" ca="1" si="2372"/>
        <v>25942084.642952759</v>
      </c>
      <c r="S2479" s="2">
        <f t="shared" ca="1" si="2373"/>
        <v>17294723.09530184</v>
      </c>
      <c r="T2479" s="2">
        <f t="shared" ca="1" si="2374"/>
        <v>48149624.693168692</v>
      </c>
      <c r="U2479" s="2">
        <f t="shared" ca="1" si="2375"/>
        <v>48879588.757205024</v>
      </c>
      <c r="V2479" s="2">
        <f t="shared" ca="1" si="2376"/>
        <v>49620619.315283217</v>
      </c>
      <c r="W2479" s="2">
        <f t="shared" ca="1" si="2377"/>
        <v>50372884.139073692</v>
      </c>
      <c r="X2479" s="2">
        <f t="shared" ca="1" si="2378"/>
        <v>51136553.543720298</v>
      </c>
      <c r="Y2479" s="2">
        <f t="shared" ca="1" si="2379"/>
        <v>0.12429804807144094</v>
      </c>
      <c r="Z2479" s="2">
        <f t="shared" ca="1" si="2380"/>
        <v>0.12601726730001733</v>
      </c>
      <c r="AA2479" s="2">
        <f t="shared" ca="1" si="2381"/>
        <v>5984904.3647333225</v>
      </c>
      <c r="AB2479" s="2">
        <f t="shared" ca="1" si="2382"/>
        <v>6159672.2019316275</v>
      </c>
      <c r="AC2479" s="2">
        <f t="shared" ca="1" si="2383"/>
        <v>6253054.8478464484</v>
      </c>
      <c r="AD2479" s="2">
        <f t="shared" ca="1" si="2384"/>
        <v>6347853.205226453</v>
      </c>
      <c r="AE2479" s="2">
        <f t="shared" ca="1" si="2385"/>
        <v>6444088.7367206495</v>
      </c>
      <c r="AF2479" s="2">
        <f t="shared" ca="1" si="2386"/>
        <v>962992.49386337388</v>
      </c>
      <c r="AG2479" s="2">
        <f t="shared" ca="1" si="2387"/>
        <v>977591.77514410054</v>
      </c>
      <c r="AH2479" s="2">
        <f t="shared" ca="1" si="2388"/>
        <v>992412.38630566432</v>
      </c>
      <c r="AI2479" s="2">
        <f t="shared" ca="1" si="2389"/>
        <v>1007457.6827814738</v>
      </c>
      <c r="AJ2479" s="2">
        <f t="shared" ca="1" si="2390"/>
        <v>1022731.070874406</v>
      </c>
      <c r="AK2479" s="2">
        <f t="shared" ca="1" si="2391"/>
        <v>0</v>
      </c>
      <c r="AL2479" s="2">
        <f t="shared" ca="1" si="2392"/>
        <v>7299.6406403633209</v>
      </c>
      <c r="AM2479" s="2">
        <f t="shared" ca="1" si="2393"/>
        <v>7410.3055807819219</v>
      </c>
      <c r="AN2479" s="2">
        <f t="shared" ca="1" si="2394"/>
        <v>7522.6482379047575</v>
      </c>
      <c r="AO2479" s="2">
        <f t="shared" ca="1" si="2395"/>
        <v>7636.6940464660529</v>
      </c>
      <c r="AP2479" s="2">
        <f t="shared" ca="1" si="2396"/>
        <v>2334787.6178657482</v>
      </c>
      <c r="AQ2479" s="2">
        <f t="shared" ca="1" si="2397"/>
        <v>698652.30578109215</v>
      </c>
      <c r="AR2479" s="2">
        <f t="shared" ca="1" si="2398"/>
        <v>740296.13031966262</v>
      </c>
      <c r="AS2479" s="2">
        <f t="shared" ca="1" si="2399"/>
        <v>760722.2593555093</v>
      </c>
      <c r="AT2479" s="2">
        <f t="shared" ca="1" si="2400"/>
        <v>781458.05519060011</v>
      </c>
      <c r="AU2479" s="2">
        <f t="shared" ca="1" si="2401"/>
        <v>802508.21247492882</v>
      </c>
      <c r="AV2479" s="2">
        <f t="shared" ca="1" si="2402"/>
        <v>1988471.9472231078</v>
      </c>
      <c r="AW2479" s="2">
        <f t="shared" ca="1" si="2403"/>
        <v>2099697.0379617536</v>
      </c>
      <c r="AX2479" s="2">
        <f t="shared" ca="1" si="2404"/>
        <v>2157722.2787387441</v>
      </c>
      <c r="AY2479" s="2">
        <f t="shared" ca="1" si="2405"/>
        <v>2216627.2011507261</v>
      </c>
      <c r="AZ2479" s="2">
        <f t="shared" ca="1" si="2406"/>
        <v>2276425.1414591004</v>
      </c>
      <c r="BA2479" s="2">
        <f t="shared" ca="1" si="2407"/>
        <v>51697964.297612078</v>
      </c>
      <c r="BB2479" s="2">
        <f t="shared" ca="1" si="2408"/>
        <v>1033959.2859522416</v>
      </c>
      <c r="BC2479" s="2">
        <f t="shared" ca="1" si="2409"/>
        <v>24721920.368707079</v>
      </c>
      <c r="BD2479" s="2">
        <f t="shared" ca="1" si="2410"/>
        <v>-18875643.288758207</v>
      </c>
      <c r="BE2479" s="2">
        <f t="shared" ca="1" si="2411"/>
        <v>1988471.9472231078</v>
      </c>
      <c r="BF2479" s="2">
        <f t="shared" ca="1" si="2412"/>
        <v>2099697.0379617536</v>
      </c>
      <c r="BG2479" s="2">
        <f t="shared" ca="1" si="2413"/>
        <v>2157722.2787387441</v>
      </c>
      <c r="BH2479" s="2">
        <f t="shared" ca="1" si="2414"/>
        <v>2216627.2011507261</v>
      </c>
      <c r="BI2479" s="2">
        <f t="shared" ca="1" si="2415"/>
        <v>26998345.510166179</v>
      </c>
      <c r="BJ2479" s="2">
        <f t="shared" ca="1" si="2416"/>
        <v>0.15792974440058272</v>
      </c>
      <c r="BK2479" s="2">
        <f t="shared" ca="1" si="2417"/>
        <v>2837760.7761924453</v>
      </c>
    </row>
    <row r="2480" spans="1:63" x14ac:dyDescent="0.3">
      <c r="A2480" s="2">
        <v>2479</v>
      </c>
      <c r="B2480" s="2">
        <f t="shared" ca="1" si="2356"/>
        <v>0.4249415796173498</v>
      </c>
      <c r="C2480" s="2">
        <f t="shared" ca="1" si="2357"/>
        <v>6.9218910777498062</v>
      </c>
      <c r="D2480" s="2">
        <f t="shared" ca="1" si="2358"/>
        <v>0.16320801795395656</v>
      </c>
      <c r="E2480" s="2">
        <f t="shared" ca="1" si="2359"/>
        <v>7.0713283083376082</v>
      </c>
      <c r="F2480" s="2">
        <f t="shared" ca="1" si="2360"/>
        <v>0.66086440537965641</v>
      </c>
      <c r="G2480" s="2">
        <f t="shared" ca="1" si="2361"/>
        <v>5.2444701958493128E-2</v>
      </c>
      <c r="H2480" s="2">
        <f t="shared" ca="1" si="2362"/>
        <v>5.2444701958493128E-2</v>
      </c>
      <c r="I2480" s="2">
        <f t="shared" ca="1" si="2363"/>
        <v>0.13565306356663698</v>
      </c>
      <c r="J2480" s="2">
        <f t="shared" ca="1" si="2364"/>
        <v>4.4997016828924397E-3</v>
      </c>
      <c r="K2480" s="2">
        <f t="shared" ca="1" si="2365"/>
        <v>4.4997016828924397E-3</v>
      </c>
      <c r="L2480" s="2">
        <f t="shared" ca="1" si="2366"/>
        <v>0.40969794883267674</v>
      </c>
      <c r="M2480" s="2">
        <f t="shared" ca="1" si="2367"/>
        <v>-4.5664406436487096E-3</v>
      </c>
      <c r="N2480" s="2">
        <f t="shared" ca="1" si="2368"/>
        <v>-4.5664406436487096E-3</v>
      </c>
      <c r="O2480" s="2">
        <f t="shared" si="2369"/>
        <v>6000000</v>
      </c>
      <c r="P2480" s="2">
        <f t="shared" ca="1" si="2370"/>
        <v>41531346.466498837</v>
      </c>
      <c r="Q2480" s="2">
        <f t="shared" ca="1" si="2371"/>
        <v>1038283.661662471</v>
      </c>
      <c r="R2480" s="2">
        <f t="shared" ca="1" si="2372"/>
        <v>24918807.879899301</v>
      </c>
      <c r="S2480" s="2">
        <f t="shared" ca="1" si="2373"/>
        <v>16612538.586599536</v>
      </c>
      <c r="T2480" s="2">
        <f t="shared" ca="1" si="2374"/>
        <v>49771677.96781756</v>
      </c>
      <c r="U2480" s="2">
        <f t="shared" ca="1" si="2375"/>
        <v>52381938.784813844</v>
      </c>
      <c r="V2480" s="2">
        <f t="shared" ca="1" si="2376"/>
        <v>55129093.952391431</v>
      </c>
      <c r="W2480" s="2">
        <f t="shared" ca="1" si="2377"/>
        <v>58020322.853966363</v>
      </c>
      <c r="X2480" s="2">
        <f t="shared" ca="1" si="2378"/>
        <v>61063181.393578172</v>
      </c>
      <c r="Y2480" s="2">
        <f t="shared" ca="1" si="2379"/>
        <v>0.12224985084144621</v>
      </c>
      <c r="Z2480" s="2">
        <f t="shared" ca="1" si="2380"/>
        <v>0.1231497911780247</v>
      </c>
      <c r="AA2480" s="2">
        <f t="shared" ca="1" si="2381"/>
        <v>6084580.2076941915</v>
      </c>
      <c r="AB2480" s="2">
        <f t="shared" ca="1" si="2382"/>
        <v>6450824.8228498977</v>
      </c>
      <c r="AC2480" s="2">
        <f t="shared" ca="1" si="2383"/>
        <v>6789136.4080707096</v>
      </c>
      <c r="AD2480" s="2">
        <f t="shared" ca="1" si="2384"/>
        <v>7145190.6435475321</v>
      </c>
      <c r="AE2480" s="2">
        <f t="shared" ca="1" si="2385"/>
        <v>7519918.0372849954</v>
      </c>
      <c r="AF2480" s="2">
        <f t="shared" ca="1" si="2386"/>
        <v>995433.55935635127</v>
      </c>
      <c r="AG2480" s="2">
        <f t="shared" ca="1" si="2387"/>
        <v>1047638.7756962769</v>
      </c>
      <c r="AH2480" s="2">
        <f t="shared" ca="1" si="2388"/>
        <v>1102581.8790478287</v>
      </c>
      <c r="AI2480" s="2">
        <f t="shared" ca="1" si="2389"/>
        <v>1160406.4570793272</v>
      </c>
      <c r="AJ2480" s="2">
        <f t="shared" ca="1" si="2390"/>
        <v>1221263.6278715634</v>
      </c>
      <c r="AK2480" s="2">
        <f t="shared" ca="1" si="2391"/>
        <v>0</v>
      </c>
      <c r="AL2480" s="2">
        <f t="shared" ca="1" si="2392"/>
        <v>26102.608169962838</v>
      </c>
      <c r="AM2480" s="2">
        <f t="shared" ca="1" si="2393"/>
        <v>27471.551675775871</v>
      </c>
      <c r="AN2480" s="2">
        <f t="shared" ca="1" si="2394"/>
        <v>28912.28901574932</v>
      </c>
      <c r="AO2480" s="2">
        <f t="shared" ca="1" si="2395"/>
        <v>30428.585396118091</v>
      </c>
      <c r="AP2480" s="2">
        <f t="shared" ca="1" si="2396"/>
        <v>2242692.7091909368</v>
      </c>
      <c r="AQ2480" s="2">
        <f t="shared" ca="1" si="2397"/>
        <v>740078.02417819493</v>
      </c>
      <c r="AR2480" s="2">
        <f t="shared" ca="1" si="2398"/>
        <v>821728.26787029789</v>
      </c>
      <c r="AS2480" s="2">
        <f t="shared" ca="1" si="2399"/>
        <v>895404.07315630547</v>
      </c>
      <c r="AT2480" s="2">
        <f t="shared" ca="1" si="2400"/>
        <v>972943.78409208963</v>
      </c>
      <c r="AU2480" s="2">
        <f t="shared" ca="1" si="2401"/>
        <v>1054550.0420578488</v>
      </c>
      <c r="AV2480" s="2">
        <f t="shared" ca="1" si="2402"/>
        <v>2106375.9149687085</v>
      </c>
      <c r="AW2480" s="2">
        <f t="shared" ca="1" si="2403"/>
        <v>2312662.4619224239</v>
      </c>
      <c r="AX2480" s="2">
        <f t="shared" ca="1" si="2404"/>
        <v>2520986.1949998625</v>
      </c>
      <c r="AY2480" s="2">
        <f t="shared" ca="1" si="2405"/>
        <v>2740235.4041694291</v>
      </c>
      <c r="AZ2480" s="2">
        <f t="shared" ca="1" si="2406"/>
        <v>2970983.072768528</v>
      </c>
      <c r="BA2480" s="2">
        <f t="shared" ca="1" si="2407"/>
        <v>53175809.293431975</v>
      </c>
      <c r="BB2480" s="2">
        <f t="shared" ca="1" si="2408"/>
        <v>1063516.1858686395</v>
      </c>
      <c r="BC2480" s="2">
        <f t="shared" ca="1" si="2409"/>
        <v>27193485.227664035</v>
      </c>
      <c r="BD2480" s="2">
        <f t="shared" ca="1" si="2410"/>
        <v>-18150822.248262007</v>
      </c>
      <c r="BE2480" s="2">
        <f t="shared" ca="1" si="2411"/>
        <v>2106375.9149687085</v>
      </c>
      <c r="BF2480" s="2">
        <f t="shared" ca="1" si="2412"/>
        <v>2312662.4619224239</v>
      </c>
      <c r="BG2480" s="2">
        <f t="shared" ca="1" si="2413"/>
        <v>2520986.1949998625</v>
      </c>
      <c r="BH2480" s="2">
        <f t="shared" ca="1" si="2414"/>
        <v>2740235.4041694291</v>
      </c>
      <c r="BI2480" s="2">
        <f t="shared" ca="1" si="2415"/>
        <v>30164468.300432563</v>
      </c>
      <c r="BJ2480" s="2">
        <f t="shared" ca="1" si="2416"/>
        <v>0.20181494941478917</v>
      </c>
      <c r="BK2480" s="2">
        <f t="shared" ca="1" si="2417"/>
        <v>6225497.6076303162</v>
      </c>
    </row>
    <row r="2481" spans="1:63" x14ac:dyDescent="0.3">
      <c r="A2481" s="2">
        <v>2480</v>
      </c>
      <c r="B2481" s="2">
        <f t="shared" ca="1" si="2356"/>
        <v>0.86733396205713631</v>
      </c>
      <c r="C2481" s="2">
        <f t="shared" ca="1" si="2357"/>
        <v>7.4848960533195967</v>
      </c>
      <c r="D2481" s="2">
        <f t="shared" ca="1" si="2358"/>
        <v>6.829117882739022E-2</v>
      </c>
      <c r="E2481" s="2">
        <f t="shared" ca="1" si="2359"/>
        <v>6.8695705043084203</v>
      </c>
      <c r="F2481" s="2">
        <f t="shared" ca="1" si="2360"/>
        <v>0.7704185392049504</v>
      </c>
      <c r="G2481" s="2">
        <f t="shared" ca="1" si="2361"/>
        <v>6.2206777638812785E-2</v>
      </c>
      <c r="H2481" s="2">
        <f t="shared" ca="1" si="2362"/>
        <v>6.2206777638812785E-2</v>
      </c>
      <c r="I2481" s="2">
        <f t="shared" ca="1" si="2363"/>
        <v>0.65360620891538979</v>
      </c>
      <c r="J2481" s="2">
        <f t="shared" ca="1" si="2364"/>
        <v>1.1975374703262622E-2</v>
      </c>
      <c r="K2481" s="2">
        <f t="shared" ca="1" si="2365"/>
        <v>1.1975374703262622E-2</v>
      </c>
      <c r="L2481" s="2">
        <f t="shared" ca="1" si="2366"/>
        <v>7.9232994905884091E-2</v>
      </c>
      <c r="M2481" s="2">
        <f t="shared" ca="1" si="2367"/>
        <v>-2.8204992333504274E-2</v>
      </c>
      <c r="N2481" s="2">
        <f t="shared" ca="1" si="2368"/>
        <v>-2.8204992333504274E-2</v>
      </c>
      <c r="O2481" s="2">
        <f t="shared" si="2369"/>
        <v>6000000</v>
      </c>
      <c r="P2481" s="2">
        <f t="shared" ca="1" si="2370"/>
        <v>44909376.319917582</v>
      </c>
      <c r="Q2481" s="2">
        <f t="shared" ca="1" si="2371"/>
        <v>1122734.4079979395</v>
      </c>
      <c r="R2481" s="2">
        <f t="shared" ca="1" si="2372"/>
        <v>26945625.79195055</v>
      </c>
      <c r="S2481" s="2">
        <f t="shared" ca="1" si="2373"/>
        <v>17963750.527967032</v>
      </c>
      <c r="T2481" s="2">
        <f t="shared" ca="1" si="2374"/>
        <v>48589750.383324787</v>
      </c>
      <c r="U2481" s="2">
        <f t="shared" ca="1" si="2375"/>
        <v>51612362.180945694</v>
      </c>
      <c r="V2481" s="2">
        <f t="shared" ca="1" si="2376"/>
        <v>54823000.918549657</v>
      </c>
      <c r="W2481" s="2">
        <f t="shared" ca="1" si="2377"/>
        <v>58233363.146182306</v>
      </c>
      <c r="X2481" s="2">
        <f t="shared" ca="1" si="2378"/>
        <v>61855873.018577106</v>
      </c>
      <c r="Y2481" s="2">
        <f t="shared" ca="1" si="2379"/>
        <v>0.12598768735163129</v>
      </c>
      <c r="Z2481" s="2">
        <f t="shared" ca="1" si="2380"/>
        <v>0.12838276229228382</v>
      </c>
      <c r="AA2481" s="2">
        <f t="shared" ca="1" si="2381"/>
        <v>6121710.27978813</v>
      </c>
      <c r="AB2481" s="2">
        <f t="shared" ca="1" si="2382"/>
        <v>6626137.6252196105</v>
      </c>
      <c r="AC2481" s="2">
        <f t="shared" ca="1" si="2383"/>
        <v>7038328.295075818</v>
      </c>
      <c r="AD2481" s="2">
        <f t="shared" ca="1" si="2384"/>
        <v>7476160.0182765638</v>
      </c>
      <c r="AE2481" s="2">
        <f t="shared" ca="1" si="2385"/>
        <v>7941227.8421256775</v>
      </c>
      <c r="AF2481" s="2">
        <f t="shared" ca="1" si="2386"/>
        <v>971795.00766649575</v>
      </c>
      <c r="AG2481" s="2">
        <f t="shared" ca="1" si="2387"/>
        <v>1032247.2436189139</v>
      </c>
      <c r="AH2481" s="2">
        <f t="shared" ca="1" si="2388"/>
        <v>1096460.0183709932</v>
      </c>
      <c r="AI2481" s="2">
        <f t="shared" ca="1" si="2389"/>
        <v>1164667.2629236463</v>
      </c>
      <c r="AJ2481" s="2">
        <f t="shared" ca="1" si="2390"/>
        <v>1237117.4603715423</v>
      </c>
      <c r="AK2481" s="2">
        <f t="shared" ca="1" si="2391"/>
        <v>0</v>
      </c>
      <c r="AL2481" s="2">
        <f t="shared" ca="1" si="2392"/>
        <v>30226.117976209076</v>
      </c>
      <c r="AM2481" s="2">
        <f t="shared" ca="1" si="2393"/>
        <v>32106.387376039624</v>
      </c>
      <c r="AN2481" s="2">
        <f t="shared" ca="1" si="2394"/>
        <v>34103.622276326496</v>
      </c>
      <c r="AO2481" s="2">
        <f t="shared" ca="1" si="2395"/>
        <v>36225.098723948002</v>
      </c>
      <c r="AP2481" s="2">
        <f t="shared" ca="1" si="2396"/>
        <v>2425106.3212755495</v>
      </c>
      <c r="AQ2481" s="2">
        <f t="shared" ca="1" si="2397"/>
        <v>708450.32721998205</v>
      </c>
      <c r="AR2481" s="2">
        <f t="shared" ca="1" si="2398"/>
        <v>823883.85568453826</v>
      </c>
      <c r="AS2481" s="2">
        <f t="shared" ca="1" si="2399"/>
        <v>914358.10841161152</v>
      </c>
      <c r="AT2481" s="2">
        <f t="shared" ca="1" si="2400"/>
        <v>1010460.4728601158</v>
      </c>
      <c r="AU2481" s="2">
        <f t="shared" ca="1" si="2401"/>
        <v>1112541.0557244327</v>
      </c>
      <c r="AV2481" s="2">
        <f t="shared" ca="1" si="2402"/>
        <v>2016358.6236261032</v>
      </c>
      <c r="AW2481" s="2">
        <f t="shared" ca="1" si="2403"/>
        <v>2314674.0866643996</v>
      </c>
      <c r="AX2481" s="2">
        <f t="shared" ca="1" si="2404"/>
        <v>2570297.4596416238</v>
      </c>
      <c r="AY2481" s="2">
        <f t="shared" ca="1" si="2405"/>
        <v>2841822.3389409264</v>
      </c>
      <c r="AZ2481" s="2">
        <f t="shared" ca="1" si="2406"/>
        <v>3130237.9060302055</v>
      </c>
      <c r="BA2481" s="2">
        <f t="shared" ca="1" si="2407"/>
        <v>54552824.552259356</v>
      </c>
      <c r="BB2481" s="2">
        <f t="shared" ca="1" si="2408"/>
        <v>1091056.4910451872</v>
      </c>
      <c r="BC2481" s="2">
        <f t="shared" ca="1" si="2409"/>
        <v>26516142.269263618</v>
      </c>
      <c r="BD2481" s="2">
        <f t="shared" ca="1" si="2410"/>
        <v>-19586484.935964972</v>
      </c>
      <c r="BE2481" s="2">
        <f t="shared" ca="1" si="2411"/>
        <v>2016358.6236261032</v>
      </c>
      <c r="BF2481" s="2">
        <f t="shared" ca="1" si="2412"/>
        <v>2314674.0866643996</v>
      </c>
      <c r="BG2481" s="2">
        <f t="shared" ca="1" si="2413"/>
        <v>2570297.4596416238</v>
      </c>
      <c r="BH2481" s="2">
        <f t="shared" ca="1" si="2414"/>
        <v>2841822.3389409264</v>
      </c>
      <c r="BI2481" s="2">
        <f t="shared" ca="1" si="2415"/>
        <v>29646380.175293822</v>
      </c>
      <c r="BJ2481" s="2">
        <f t="shared" ca="1" si="2416"/>
        <v>0.17670112139516747</v>
      </c>
      <c r="BK2481" s="2">
        <f t="shared" ca="1" si="2417"/>
        <v>4516747.9952107891</v>
      </c>
    </row>
    <row r="2482" spans="1:63" x14ac:dyDescent="0.3">
      <c r="A2482" s="2">
        <v>2481</v>
      </c>
      <c r="B2482" s="2">
        <f t="shared" ca="1" si="2356"/>
        <v>0.24180584836227559</v>
      </c>
      <c r="C2482" s="2">
        <f t="shared" ca="1" si="2357"/>
        <v>6.6954219558832975</v>
      </c>
      <c r="D2482" s="2">
        <f t="shared" ca="1" si="2358"/>
        <v>0.8928095631756684</v>
      </c>
      <c r="E2482" s="2">
        <f t="shared" ca="1" si="2359"/>
        <v>8.0369871776627964</v>
      </c>
      <c r="F2482" s="2">
        <f t="shared" ca="1" si="2360"/>
        <v>0.36276098702274251</v>
      </c>
      <c r="G2482" s="2">
        <f t="shared" ca="1" si="2361"/>
        <v>2.9467345755066272E-2</v>
      </c>
      <c r="H2482" s="2">
        <f t="shared" ca="1" si="2362"/>
        <v>2.9467345755066272E-2</v>
      </c>
      <c r="I2482" s="2">
        <f t="shared" ca="1" si="2363"/>
        <v>0.99531245148056469</v>
      </c>
      <c r="J2482" s="2">
        <f t="shared" ca="1" si="2364"/>
        <v>2.2990320882970608E-2</v>
      </c>
      <c r="K2482" s="2">
        <f t="shared" ca="1" si="2365"/>
        <v>2.2990320882970608E-2</v>
      </c>
      <c r="L2482" s="2">
        <f t="shared" ca="1" si="2366"/>
        <v>0.27903354626136867</v>
      </c>
      <c r="M2482" s="2">
        <f t="shared" ca="1" si="2367"/>
        <v>-1.1714298802702172E-2</v>
      </c>
      <c r="N2482" s="2">
        <f t="shared" ca="1" si="2368"/>
        <v>-1.1714298802702172E-2</v>
      </c>
      <c r="O2482" s="2">
        <f t="shared" si="2369"/>
        <v>6000000</v>
      </c>
      <c r="P2482" s="2">
        <f t="shared" ca="1" si="2370"/>
        <v>40172531.735299788</v>
      </c>
      <c r="Q2482" s="2">
        <f t="shared" ca="1" si="2371"/>
        <v>1004313.2933824947</v>
      </c>
      <c r="R2482" s="2">
        <f t="shared" ca="1" si="2372"/>
        <v>24103519.041179873</v>
      </c>
      <c r="S2482" s="2">
        <f t="shared" ca="1" si="2373"/>
        <v>16069012.694119915</v>
      </c>
      <c r="T2482" s="2">
        <f t="shared" ca="1" si="2374"/>
        <v>49414285.059864894</v>
      </c>
      <c r="U2482" s="2">
        <f t="shared" ca="1" si="2375"/>
        <v>50870392.882963337</v>
      </c>
      <c r="V2482" s="2">
        <f t="shared" ca="1" si="2376"/>
        <v>52369408.338741682</v>
      </c>
      <c r="W2482" s="2">
        <f t="shared" ca="1" si="2377"/>
        <v>53912595.801247634</v>
      </c>
      <c r="X2482" s="2">
        <f t="shared" ca="1" si="2378"/>
        <v>55501256.902276129</v>
      </c>
      <c r="Y2482" s="2">
        <f t="shared" ca="1" si="2379"/>
        <v>0.13149516044148529</v>
      </c>
      <c r="Z2482" s="2">
        <f t="shared" ca="1" si="2380"/>
        <v>0.13609322461807943</v>
      </c>
      <c r="AA2482" s="2">
        <f t="shared" ca="1" si="2381"/>
        <v>6497739.3420482241</v>
      </c>
      <c r="AB2482" s="2">
        <f t="shared" ca="1" si="2382"/>
        <v>6923115.8050310789</v>
      </c>
      <c r="AC2482" s="2">
        <f t="shared" ca="1" si="2383"/>
        <v>7127121.6521602944</v>
      </c>
      <c r="AD2482" s="2">
        <f t="shared" ca="1" si="2384"/>
        <v>7337139.0101229204</v>
      </c>
      <c r="AE2482" s="2">
        <f t="shared" ca="1" si="2385"/>
        <v>7553345.0221871966</v>
      </c>
      <c r="AF2482" s="2">
        <f t="shared" ca="1" si="2386"/>
        <v>988285.70119729789</v>
      </c>
      <c r="AG2482" s="2">
        <f t="shared" ca="1" si="2387"/>
        <v>1017407.8576592668</v>
      </c>
      <c r="AH2482" s="2">
        <f t="shared" ca="1" si="2388"/>
        <v>1047388.1667748337</v>
      </c>
      <c r="AI2482" s="2">
        <f t="shared" ca="1" si="2389"/>
        <v>1078251.9160249527</v>
      </c>
      <c r="AJ2482" s="2">
        <f t="shared" ca="1" si="2390"/>
        <v>1110025.1380455226</v>
      </c>
      <c r="AK2482" s="2">
        <f t="shared" ca="1" si="2391"/>
        <v>0</v>
      </c>
      <c r="AL2482" s="2">
        <f t="shared" ca="1" si="2392"/>
        <v>14561.078230984434</v>
      </c>
      <c r="AM2482" s="2">
        <f t="shared" ca="1" si="2393"/>
        <v>14990.154557783455</v>
      </c>
      <c r="AN2482" s="2">
        <f t="shared" ca="1" si="2394"/>
        <v>15431.874625059516</v>
      </c>
      <c r="AO2482" s="2">
        <f t="shared" ca="1" si="2395"/>
        <v>15886.611010284945</v>
      </c>
      <c r="AP2482" s="2">
        <f t="shared" ca="1" si="2396"/>
        <v>2169316.7137061884</v>
      </c>
      <c r="AQ2482" s="2">
        <f t="shared" ca="1" si="2397"/>
        <v>868435.60105763178</v>
      </c>
      <c r="AR2482" s="2">
        <f t="shared" ca="1" si="2398"/>
        <v>971461.72075306228</v>
      </c>
      <c r="AS2482" s="2">
        <f t="shared" ca="1" si="2399"/>
        <v>1016708.3606366109</v>
      </c>
      <c r="AT2482" s="2">
        <f t="shared" ca="1" si="2400"/>
        <v>1063288.2989018627</v>
      </c>
      <c r="AU2482" s="2">
        <f t="shared" ca="1" si="2401"/>
        <v>1111240.8243132264</v>
      </c>
      <c r="AV2482" s="2">
        <f t="shared" ca="1" si="2402"/>
        <v>2471701.3260871056</v>
      </c>
      <c r="AW2482" s="2">
        <f t="shared" ca="1" si="2403"/>
        <v>2750368.4346815771</v>
      </c>
      <c r="AX2482" s="2">
        <f t="shared" ca="1" si="2404"/>
        <v>2878718.2564848787</v>
      </c>
      <c r="AY2482" s="2">
        <f t="shared" ca="1" si="2405"/>
        <v>3010850.2068648576</v>
      </c>
      <c r="AZ2482" s="2">
        <f t="shared" ca="1" si="2406"/>
        <v>3146875.7351119746</v>
      </c>
      <c r="BA2482" s="2">
        <f t="shared" ca="1" si="2407"/>
        <v>60706137.091781609</v>
      </c>
      <c r="BB2482" s="2">
        <f t="shared" ca="1" si="2408"/>
        <v>1214122.7418356321</v>
      </c>
      <c r="BC2482" s="2">
        <f t="shared" ca="1" si="2409"/>
        <v>35388495.308766104</v>
      </c>
      <c r="BD2482" s="2">
        <f t="shared" ca="1" si="2410"/>
        <v>-17573325.987502411</v>
      </c>
      <c r="BE2482" s="2">
        <f t="shared" ca="1" si="2411"/>
        <v>2471701.3260871056</v>
      </c>
      <c r="BF2482" s="2">
        <f t="shared" ca="1" si="2412"/>
        <v>2750368.4346815771</v>
      </c>
      <c r="BG2482" s="2">
        <f t="shared" ca="1" si="2413"/>
        <v>2878718.2564848787</v>
      </c>
      <c r="BH2482" s="2">
        <f t="shared" ca="1" si="2414"/>
        <v>3010850.2068648576</v>
      </c>
      <c r="BI2482" s="2">
        <f t="shared" ca="1" si="2415"/>
        <v>38535371.043878078</v>
      </c>
      <c r="BJ2482" s="2">
        <f t="shared" ca="1" si="2416"/>
        <v>0.27539904697753714</v>
      </c>
      <c r="BK2482" s="2">
        <f t="shared" ca="1" si="2417"/>
        <v>12654596.030836299</v>
      </c>
    </row>
    <row r="2483" spans="1:63" x14ac:dyDescent="0.3">
      <c r="A2483" s="2">
        <v>2482</v>
      </c>
      <c r="B2483" s="2">
        <f t="shared" ca="1" si="2356"/>
        <v>0.59946439918964411</v>
      </c>
      <c r="C2483" s="2">
        <f t="shared" ca="1" si="2357"/>
        <v>7.1049741894108802</v>
      </c>
      <c r="D2483" s="2">
        <f t="shared" ca="1" si="2358"/>
        <v>0.60989316037982033</v>
      </c>
      <c r="E2483" s="2">
        <f t="shared" ca="1" si="2359"/>
        <v>7.6167029496028196</v>
      </c>
      <c r="F2483" s="2">
        <f t="shared" ca="1" si="2360"/>
        <v>0.34562538986055458</v>
      </c>
      <c r="G2483" s="2">
        <f t="shared" ca="1" si="2361"/>
        <v>2.8085253003492711E-2</v>
      </c>
      <c r="H2483" s="2">
        <f t="shared" ca="1" si="2362"/>
        <v>2.8085253003492711E-2</v>
      </c>
      <c r="I2483" s="2">
        <f t="shared" ca="1" si="2363"/>
        <v>0.81054829139671392</v>
      </c>
      <c r="J2483" s="2">
        <f t="shared" ca="1" si="2364"/>
        <v>1.4399592913069748E-2</v>
      </c>
      <c r="K2483" s="2">
        <f t="shared" ca="1" si="2365"/>
        <v>1.4399592913069748E-2</v>
      </c>
      <c r="L2483" s="2">
        <f t="shared" ca="1" si="2366"/>
        <v>0.81608782112028377</v>
      </c>
      <c r="M2483" s="2">
        <f t="shared" ca="1" si="2367"/>
        <v>1.801112301445168E-2</v>
      </c>
      <c r="N2483" s="2">
        <f t="shared" ca="1" si="2368"/>
        <v>1.801112301445168E-2</v>
      </c>
      <c r="O2483" s="2">
        <f t="shared" si="2369"/>
        <v>6000000</v>
      </c>
      <c r="P2483" s="2">
        <f t="shared" ca="1" si="2370"/>
        <v>42629845.136465281</v>
      </c>
      <c r="Q2483" s="2">
        <f t="shared" ca="1" si="2371"/>
        <v>1065746.128411632</v>
      </c>
      <c r="R2483" s="2">
        <f t="shared" ca="1" si="2372"/>
        <v>25577907.081879169</v>
      </c>
      <c r="S2483" s="2">
        <f t="shared" ca="1" si="2373"/>
        <v>17051938.054586112</v>
      </c>
      <c r="T2483" s="2">
        <f t="shared" ca="1" si="2374"/>
        <v>50900556.150722586</v>
      </c>
      <c r="U2483" s="2">
        <f t="shared" ca="1" si="2375"/>
        <v>52330111.148234122</v>
      </c>
      <c r="V2483" s="2">
        <f t="shared" ca="1" si="2376"/>
        <v>53799815.559533171</v>
      </c>
      <c r="W2483" s="2">
        <f t="shared" ca="1" si="2377"/>
        <v>55310796.991063908</v>
      </c>
      <c r="X2483" s="2">
        <f t="shared" ca="1" si="2378"/>
        <v>56864214.718382761</v>
      </c>
      <c r="Y2483" s="2">
        <f t="shared" ca="1" si="2379"/>
        <v>0.12719979645653487</v>
      </c>
      <c r="Z2483" s="2">
        <f t="shared" ca="1" si="2380"/>
        <v>0.13007971503914881</v>
      </c>
      <c r="AA2483" s="2">
        <f t="shared" ca="1" si="2381"/>
        <v>6474540.3818963366</v>
      </c>
      <c r="AB2483" s="2">
        <f t="shared" ca="1" si="2382"/>
        <v>6807085.9461292783</v>
      </c>
      <c r="AC2483" s="2">
        <f t="shared" ca="1" si="2383"/>
        <v>6998264.6771428389</v>
      </c>
      <c r="AD2483" s="2">
        <f t="shared" ca="1" si="2384"/>
        <v>7194812.7111858027</v>
      </c>
      <c r="AE2483" s="2">
        <f t="shared" ca="1" si="2385"/>
        <v>7396880.8464922011</v>
      </c>
      <c r="AF2483" s="2">
        <f t="shared" ca="1" si="2386"/>
        <v>1018011.1230144517</v>
      </c>
      <c r="AG2483" s="2">
        <f t="shared" ca="1" si="2387"/>
        <v>1046602.2229646825</v>
      </c>
      <c r="AH2483" s="2">
        <f t="shared" ca="1" si="2388"/>
        <v>1075996.3111906634</v>
      </c>
      <c r="AI2483" s="2">
        <f t="shared" ca="1" si="2389"/>
        <v>1106215.9398212782</v>
      </c>
      <c r="AJ2483" s="2">
        <f t="shared" ca="1" si="2390"/>
        <v>1137284.2943676552</v>
      </c>
      <c r="AK2483" s="2">
        <f t="shared" ca="1" si="2391"/>
        <v>0</v>
      </c>
      <c r="AL2483" s="2">
        <f t="shared" ca="1" si="2392"/>
        <v>14295.549975115358</v>
      </c>
      <c r="AM2483" s="2">
        <f t="shared" ca="1" si="2393"/>
        <v>14697.044112990499</v>
      </c>
      <c r="AN2483" s="2">
        <f t="shared" ca="1" si="2394"/>
        <v>15109.814315307363</v>
      </c>
      <c r="AO2483" s="2">
        <f t="shared" ca="1" si="2395"/>
        <v>15534.177273188532</v>
      </c>
      <c r="AP2483" s="2">
        <f t="shared" ca="1" si="2396"/>
        <v>2302011.6373691252</v>
      </c>
      <c r="AQ2483" s="2">
        <f t="shared" ca="1" si="2397"/>
        <v>820174.58159331745</v>
      </c>
      <c r="AR2483" s="2">
        <f t="shared" ca="1" si="2398"/>
        <v>899202.74230682233</v>
      </c>
      <c r="AS2483" s="2">
        <f t="shared" ca="1" si="2399"/>
        <v>941266.74943159299</v>
      </c>
      <c r="AT2483" s="2">
        <f t="shared" ca="1" si="2400"/>
        <v>984512.13483880402</v>
      </c>
      <c r="AU2483" s="2">
        <f t="shared" ca="1" si="2401"/>
        <v>1028972.0778364094</v>
      </c>
      <c r="AV2483" s="2">
        <f t="shared" ca="1" si="2402"/>
        <v>2334343.0399194425</v>
      </c>
      <c r="AW2483" s="2">
        <f t="shared" ca="1" si="2403"/>
        <v>2544973.7935135327</v>
      </c>
      <c r="AX2483" s="2">
        <f t="shared" ca="1" si="2404"/>
        <v>2664292.935038466</v>
      </c>
      <c r="AY2483" s="2">
        <f t="shared" ca="1" si="2405"/>
        <v>2786963.1848412892</v>
      </c>
      <c r="AZ2483" s="2">
        <f t="shared" ca="1" si="2406"/>
        <v>2913078.6596458228</v>
      </c>
      <c r="BA2483" s="2">
        <f t="shared" ca="1" si="2407"/>
        <v>56339844.161337748</v>
      </c>
      <c r="BB2483" s="2">
        <f t="shared" ca="1" si="2408"/>
        <v>1126796.8832267551</v>
      </c>
      <c r="BC2483" s="2">
        <f t="shared" ca="1" si="2409"/>
        <v>29635140.196231823</v>
      </c>
      <c r="BD2483" s="2">
        <f t="shared" ca="1" si="2410"/>
        <v>-18617684.182997745</v>
      </c>
      <c r="BE2483" s="2">
        <f t="shared" ca="1" si="2411"/>
        <v>2334343.0399194425</v>
      </c>
      <c r="BF2483" s="2">
        <f t="shared" ca="1" si="2412"/>
        <v>2544973.7935135327</v>
      </c>
      <c r="BG2483" s="2">
        <f t="shared" ca="1" si="2413"/>
        <v>2664292.935038466</v>
      </c>
      <c r="BH2483" s="2">
        <f t="shared" ca="1" si="2414"/>
        <v>2786963.1848412892</v>
      </c>
      <c r="BI2483" s="2">
        <f t="shared" ca="1" si="2415"/>
        <v>32548218.855877645</v>
      </c>
      <c r="BJ2483" s="2">
        <f t="shared" ca="1" si="2416"/>
        <v>0.21634824617771664</v>
      </c>
      <c r="BK2483" s="2">
        <f t="shared" ca="1" si="2417"/>
        <v>7631678.2587859854</v>
      </c>
    </row>
    <row r="2484" spans="1:63" x14ac:dyDescent="0.3">
      <c r="A2484" s="2">
        <v>2483</v>
      </c>
      <c r="B2484" s="2">
        <f t="shared" ca="1" si="2356"/>
        <v>0.90979838638674115</v>
      </c>
      <c r="C2484" s="2">
        <f t="shared" ca="1" si="2357"/>
        <v>7.5752609892810439</v>
      </c>
      <c r="D2484" s="2">
        <f t="shared" ca="1" si="2358"/>
        <v>0.88402683161228335</v>
      </c>
      <c r="E2484" s="2">
        <f t="shared" ca="1" si="2359"/>
        <v>8.0183919261729173</v>
      </c>
      <c r="F2484" s="2">
        <f t="shared" ca="1" si="2360"/>
        <v>0.65830356144246005</v>
      </c>
      <c r="G2484" s="2">
        <f t="shared" ca="1" si="2361"/>
        <v>5.2235129222096596E-2</v>
      </c>
      <c r="H2484" s="2">
        <f t="shared" ca="1" si="2362"/>
        <v>5.2235129222096596E-2</v>
      </c>
      <c r="I2484" s="2">
        <f t="shared" ca="1" si="2363"/>
        <v>0.47313998948041158</v>
      </c>
      <c r="J2484" s="2">
        <f t="shared" ca="1" si="2364"/>
        <v>9.663104950995852E-3</v>
      </c>
      <c r="K2484" s="2">
        <f t="shared" ca="1" si="2365"/>
        <v>9.663104950995852E-3</v>
      </c>
      <c r="L2484" s="2">
        <f t="shared" ca="1" si="2366"/>
        <v>0.12834838076072286</v>
      </c>
      <c r="M2484" s="2">
        <f t="shared" ca="1" si="2367"/>
        <v>-2.2684663027612934E-2</v>
      </c>
      <c r="N2484" s="2">
        <f t="shared" ca="1" si="2368"/>
        <v>-2.2684663027612934E-2</v>
      </c>
      <c r="O2484" s="2">
        <f t="shared" si="2369"/>
        <v>6000000</v>
      </c>
      <c r="P2484" s="2">
        <f t="shared" ca="1" si="2370"/>
        <v>45451565.93568626</v>
      </c>
      <c r="Q2484" s="2">
        <f t="shared" ca="1" si="2371"/>
        <v>1136289.1483921565</v>
      </c>
      <c r="R2484" s="2">
        <f t="shared" ca="1" si="2372"/>
        <v>27270939.561411757</v>
      </c>
      <c r="S2484" s="2">
        <f t="shared" ca="1" si="2373"/>
        <v>18180626.374274503</v>
      </c>
      <c r="T2484" s="2">
        <f t="shared" ca="1" si="2374"/>
        <v>48865766.848619349</v>
      </c>
      <c r="U2484" s="2">
        <f t="shared" ca="1" si="2375"/>
        <v>51418276.494493827</v>
      </c>
      <c r="V2484" s="2">
        <f t="shared" ca="1" si="2376"/>
        <v>54104116.811561204</v>
      </c>
      <c r="W2484" s="2">
        <f t="shared" ca="1" si="2377"/>
        <v>56930252.344660513</v>
      </c>
      <c r="X2484" s="2">
        <f t="shared" ca="1" si="2378"/>
        <v>59904011.432530425</v>
      </c>
      <c r="Y2484" s="2">
        <f t="shared" ca="1" si="2379"/>
        <v>0.12483155247549792</v>
      </c>
      <c r="Z2484" s="2">
        <f t="shared" ca="1" si="2380"/>
        <v>0.1267641734656971</v>
      </c>
      <c r="AA2484" s="2">
        <f t="shared" ca="1" si="2381"/>
        <v>6099989.5386188729</v>
      </c>
      <c r="AB2484" s="2">
        <f t="shared" ca="1" si="2382"/>
        <v>6517995.320855191</v>
      </c>
      <c r="AC2484" s="2">
        <f t="shared" ca="1" si="2383"/>
        <v>6858463.648709083</v>
      </c>
      <c r="AD2484" s="2">
        <f t="shared" ca="1" si="2384"/>
        <v>7216716.3836644543</v>
      </c>
      <c r="AE2484" s="2">
        <f t="shared" ca="1" si="2385"/>
        <v>7593682.4965243889</v>
      </c>
      <c r="AF2484" s="2">
        <f t="shared" ca="1" si="2386"/>
        <v>977315.33697238704</v>
      </c>
      <c r="AG2484" s="2">
        <f t="shared" ca="1" si="2387"/>
        <v>1028365.5298898766</v>
      </c>
      <c r="AH2484" s="2">
        <f t="shared" ca="1" si="2388"/>
        <v>1082082.336231224</v>
      </c>
      <c r="AI2484" s="2">
        <f t="shared" ca="1" si="2389"/>
        <v>1138605.0468932104</v>
      </c>
      <c r="AJ2484" s="2">
        <f t="shared" ca="1" si="2390"/>
        <v>1198080.2286506086</v>
      </c>
      <c r="AK2484" s="2">
        <f t="shared" ca="1" si="2391"/>
        <v>0</v>
      </c>
      <c r="AL2484" s="2">
        <f t="shared" ca="1" si="2392"/>
        <v>25525.096458744782</v>
      </c>
      <c r="AM2484" s="2">
        <f t="shared" ca="1" si="2393"/>
        <v>26858.403170673773</v>
      </c>
      <c r="AN2484" s="2">
        <f t="shared" ca="1" si="2394"/>
        <v>28261.355330993087</v>
      </c>
      <c r="AO2484" s="2">
        <f t="shared" ca="1" si="2395"/>
        <v>29737.590878699124</v>
      </c>
      <c r="AP2484" s="2">
        <f t="shared" ca="1" si="2396"/>
        <v>2454384.5605270579</v>
      </c>
      <c r="AQ2484" s="2">
        <f t="shared" ca="1" si="2397"/>
        <v>693755.30669105146</v>
      </c>
      <c r="AR2484" s="2">
        <f t="shared" ca="1" si="2398"/>
        <v>789163.75991394662</v>
      </c>
      <c r="AS2484" s="2">
        <f t="shared" ca="1" si="2399"/>
        <v>863719.15550720831</v>
      </c>
      <c r="AT2484" s="2">
        <f t="shared" ca="1" si="2400"/>
        <v>942168.96182348847</v>
      </c>
      <c r="AU2484" s="2">
        <f t="shared" ca="1" si="2401"/>
        <v>1024716.603910148</v>
      </c>
      <c r="AV2484" s="2">
        <f t="shared" ca="1" si="2402"/>
        <v>1974534.334428377</v>
      </c>
      <c r="AW2484" s="2">
        <f t="shared" ca="1" si="2403"/>
        <v>2220556.3740655645</v>
      </c>
      <c r="AX2484" s="2">
        <f t="shared" ca="1" si="2404"/>
        <v>2431419.1932729189</v>
      </c>
      <c r="AY2484" s="2">
        <f t="shared" ca="1" si="2405"/>
        <v>2653296.4590897043</v>
      </c>
      <c r="AZ2484" s="2">
        <f t="shared" ca="1" si="2406"/>
        <v>2886763.5125578758</v>
      </c>
      <c r="BA2484" s="2">
        <f t="shared" ca="1" si="2407"/>
        <v>60889122.420051761</v>
      </c>
      <c r="BB2484" s="2">
        <f t="shared" ca="1" si="2408"/>
        <v>1217782.4484010353</v>
      </c>
      <c r="BC2484" s="2">
        <f t="shared" ca="1" si="2409"/>
        <v>32400400.410238966</v>
      </c>
      <c r="BD2484" s="2">
        <f t="shared" ca="1" si="2410"/>
        <v>-19816915.522666659</v>
      </c>
      <c r="BE2484" s="2">
        <f t="shared" ca="1" si="2411"/>
        <v>1974534.334428377</v>
      </c>
      <c r="BF2484" s="2">
        <f t="shared" ca="1" si="2412"/>
        <v>2220556.3740655645</v>
      </c>
      <c r="BG2484" s="2">
        <f t="shared" ca="1" si="2413"/>
        <v>2431419.1932729189</v>
      </c>
      <c r="BH2484" s="2">
        <f t="shared" ca="1" si="2414"/>
        <v>2653296.4590897043</v>
      </c>
      <c r="BI2484" s="2">
        <f t="shared" ca="1" si="2415"/>
        <v>35287163.922796845</v>
      </c>
      <c r="BJ2484" s="2">
        <f t="shared" ca="1" si="2416"/>
        <v>0.20339266828335978</v>
      </c>
      <c r="BK2484" s="2">
        <f t="shared" ca="1" si="2417"/>
        <v>7156014.0027908683</v>
      </c>
    </row>
    <row r="2485" spans="1:63" x14ac:dyDescent="0.3">
      <c r="A2485" s="2">
        <v>2484</v>
      </c>
      <c r="B2485" s="2">
        <f t="shared" ca="1" si="2356"/>
        <v>0.94670293492387569</v>
      </c>
      <c r="C2485" s="2">
        <f t="shared" ca="1" si="2357"/>
        <v>7.6735124349194157</v>
      </c>
      <c r="D2485" s="2">
        <f t="shared" ca="1" si="2358"/>
        <v>0.21858191575672326</v>
      </c>
      <c r="E2485" s="2">
        <f t="shared" ca="1" si="2359"/>
        <v>7.1611836594422513</v>
      </c>
      <c r="F2485" s="2">
        <f t="shared" ca="1" si="2360"/>
        <v>8.6005690788133249E-2</v>
      </c>
      <c r="G2485" s="2">
        <f t="shared" ca="1" si="2361"/>
        <v>-9.7307933849180572E-4</v>
      </c>
      <c r="H2485" s="2">
        <f t="shared" ca="1" si="2362"/>
        <v>-9.7307933849180572E-4</v>
      </c>
      <c r="I2485" s="2">
        <f t="shared" ca="1" si="2363"/>
        <v>0.8912326923626166</v>
      </c>
      <c r="J2485" s="2">
        <f t="shared" ca="1" si="2364"/>
        <v>1.6165551498373839E-2</v>
      </c>
      <c r="K2485" s="2">
        <f t="shared" ca="1" si="2365"/>
        <v>1.6165551498373839E-2</v>
      </c>
      <c r="L2485" s="2">
        <f t="shared" ca="1" si="2366"/>
        <v>4.2672233090484069E-2</v>
      </c>
      <c r="M2485" s="2">
        <f t="shared" ca="1" si="2367"/>
        <v>-3.4409683680101145E-2</v>
      </c>
      <c r="N2485" s="2">
        <f t="shared" ca="1" si="2368"/>
        <v>-3.4409683680101145E-2</v>
      </c>
      <c r="O2485" s="2">
        <f t="shared" si="2369"/>
        <v>6000000</v>
      </c>
      <c r="P2485" s="2">
        <f t="shared" ca="1" si="2370"/>
        <v>46041074.609516494</v>
      </c>
      <c r="Q2485" s="2">
        <f t="shared" ca="1" si="2371"/>
        <v>1151026.8652379124</v>
      </c>
      <c r="R2485" s="2">
        <f t="shared" ca="1" si="2372"/>
        <v>27624644.765709896</v>
      </c>
      <c r="S2485" s="2">
        <f t="shared" ca="1" si="2373"/>
        <v>18416429.843806598</v>
      </c>
      <c r="T2485" s="2">
        <f t="shared" ca="1" si="2374"/>
        <v>48279515.815994948</v>
      </c>
      <c r="U2485" s="2">
        <f t="shared" ca="1" si="2375"/>
        <v>48232536.016682014</v>
      </c>
      <c r="V2485" s="2">
        <f t="shared" ca="1" si="2376"/>
        <v>48185601.932441123</v>
      </c>
      <c r="W2485" s="2">
        <f t="shared" ca="1" si="2377"/>
        <v>48138713.518787876</v>
      </c>
      <c r="X2485" s="2">
        <f t="shared" ca="1" si="2378"/>
        <v>48091870.731281169</v>
      </c>
      <c r="Y2485" s="2">
        <f t="shared" ca="1" si="2379"/>
        <v>0.12808277574918692</v>
      </c>
      <c r="Z2485" s="2">
        <f t="shared" ca="1" si="2380"/>
        <v>0.13131588604886169</v>
      </c>
      <c r="AA2485" s="2">
        <f t="shared" ca="1" si="2381"/>
        <v>6183774.3975394042</v>
      </c>
      <c r="AB2485" s="2">
        <f t="shared" ca="1" si="2382"/>
        <v>6333698.2034142325</v>
      </c>
      <c r="AC2485" s="2">
        <f t="shared" ca="1" si="2383"/>
        <v>6327535.0125562483</v>
      </c>
      <c r="AD2485" s="2">
        <f t="shared" ca="1" si="2384"/>
        <v>6321377.8189719459</v>
      </c>
      <c r="AE2485" s="2">
        <f t="shared" ca="1" si="2385"/>
        <v>6315226.6168255042</v>
      </c>
      <c r="AF2485" s="2">
        <f t="shared" ca="1" si="2386"/>
        <v>965590.31631989894</v>
      </c>
      <c r="AG2485" s="2">
        <f t="shared" ca="1" si="2387"/>
        <v>964650.72033364035</v>
      </c>
      <c r="AH2485" s="2">
        <f t="shared" ca="1" si="2388"/>
        <v>963712.03864882246</v>
      </c>
      <c r="AI2485" s="2">
        <f t="shared" ca="1" si="2389"/>
        <v>962774.27037575748</v>
      </c>
      <c r="AJ2485" s="2">
        <f t="shared" ca="1" si="2390"/>
        <v>961837.41462562338</v>
      </c>
      <c r="AK2485" s="2">
        <f t="shared" ca="1" si="2391"/>
        <v>0</v>
      </c>
      <c r="AL2485" s="2">
        <f t="shared" ca="1" si="2392"/>
        <v>0</v>
      </c>
      <c r="AM2485" s="2">
        <f t="shared" ca="1" si="2393"/>
        <v>0</v>
      </c>
      <c r="AN2485" s="2">
        <f t="shared" ca="1" si="2394"/>
        <v>0</v>
      </c>
      <c r="AO2485" s="2">
        <f t="shared" ca="1" si="2395"/>
        <v>0</v>
      </c>
      <c r="AP2485" s="2">
        <f t="shared" ca="1" si="2396"/>
        <v>2486218.0289138905</v>
      </c>
      <c r="AQ2485" s="2">
        <f t="shared" ca="1" si="2397"/>
        <v>710311.17359945993</v>
      </c>
      <c r="AR2485" s="2">
        <f t="shared" ca="1" si="2398"/>
        <v>749535.65808334248</v>
      </c>
      <c r="AS2485" s="2">
        <f t="shared" ca="1" si="2399"/>
        <v>748177.2856983192</v>
      </c>
      <c r="AT2485" s="2">
        <f t="shared" ca="1" si="2400"/>
        <v>746820.2351173975</v>
      </c>
      <c r="AU2485" s="2">
        <f t="shared" ca="1" si="2401"/>
        <v>745464.50505435758</v>
      </c>
      <c r="AV2485" s="2">
        <f t="shared" ca="1" si="2402"/>
        <v>2021654.8787061549</v>
      </c>
      <c r="AW2485" s="2">
        <f t="shared" ca="1" si="2403"/>
        <v>2133293.7960833595</v>
      </c>
      <c r="AX2485" s="2">
        <f t="shared" ca="1" si="2404"/>
        <v>2129427.6592952167</v>
      </c>
      <c r="AY2485" s="2">
        <f t="shared" ca="1" si="2405"/>
        <v>2125565.2845649007</v>
      </c>
      <c r="AZ2485" s="2">
        <f t="shared" ca="1" si="2406"/>
        <v>2121706.668231633</v>
      </c>
      <c r="BA2485" s="2">
        <f t="shared" ca="1" si="2407"/>
        <v>45224497.654085569</v>
      </c>
      <c r="BB2485" s="2">
        <f t="shared" ca="1" si="2408"/>
        <v>904489.95308171143</v>
      </c>
      <c r="BC2485" s="2">
        <f t="shared" ca="1" si="2409"/>
        <v>16695362.935293961</v>
      </c>
      <c r="BD2485" s="2">
        <f t="shared" ca="1" si="2410"/>
        <v>-20067456.709044512</v>
      </c>
      <c r="BE2485" s="2">
        <f t="shared" ca="1" si="2411"/>
        <v>2021654.8787061549</v>
      </c>
      <c r="BF2485" s="2">
        <f t="shared" ca="1" si="2412"/>
        <v>2133293.7960833595</v>
      </c>
      <c r="BG2485" s="2">
        <f t="shared" ca="1" si="2413"/>
        <v>2129427.6592952167</v>
      </c>
      <c r="BH2485" s="2">
        <f t="shared" ca="1" si="2414"/>
        <v>2125565.2845649007</v>
      </c>
      <c r="BI2485" s="2">
        <f t="shared" ca="1" si="2415"/>
        <v>18817069.603525594</v>
      </c>
      <c r="BJ2485" s="2">
        <f t="shared" ca="1" si="2416"/>
        <v>7.5940217700912083E-2</v>
      </c>
      <c r="BK2485" s="2">
        <f t="shared" ca="1" si="2417"/>
        <v>-3017928.6057733633</v>
      </c>
    </row>
    <row r="2486" spans="1:63" x14ac:dyDescent="0.3">
      <c r="A2486" s="2">
        <v>2485</v>
      </c>
      <c r="B2486" s="2">
        <f t="shared" ca="1" si="2356"/>
        <v>0.52123745541697031</v>
      </c>
      <c r="C2486" s="2">
        <f t="shared" ca="1" si="2357"/>
        <v>7.021467890579947</v>
      </c>
      <c r="D2486" s="2">
        <f t="shared" ca="1" si="2358"/>
        <v>0.64316859212342059</v>
      </c>
      <c r="E2486" s="2">
        <f t="shared" ca="1" si="2359"/>
        <v>7.6552143373889692</v>
      </c>
      <c r="F2486" s="2">
        <f t="shared" ca="1" si="2360"/>
        <v>7.9313476228127566E-2</v>
      </c>
      <c r="G2486" s="2">
        <f t="shared" ca="1" si="2361"/>
        <v>-2.2911353031651524E-3</v>
      </c>
      <c r="H2486" s="2">
        <f t="shared" ca="1" si="2362"/>
        <v>-2.2911353031651524E-3</v>
      </c>
      <c r="I2486" s="2">
        <f t="shared" ca="1" si="2363"/>
        <v>0.65219336404217954</v>
      </c>
      <c r="J2486" s="2">
        <f t="shared" ca="1" si="2364"/>
        <v>1.1956244461526884E-2</v>
      </c>
      <c r="K2486" s="2">
        <f t="shared" ca="1" si="2365"/>
        <v>1.1956244461526884E-2</v>
      </c>
      <c r="L2486" s="2">
        <f t="shared" ca="1" si="2366"/>
        <v>0.32816379486690128</v>
      </c>
      <c r="M2486" s="2">
        <f t="shared" ca="1" si="2367"/>
        <v>-8.8997831486126878E-3</v>
      </c>
      <c r="N2486" s="2">
        <f t="shared" ca="1" si="2368"/>
        <v>-8.8997831486126878E-3</v>
      </c>
      <c r="O2486" s="2">
        <f t="shared" si="2369"/>
        <v>6000000</v>
      </c>
      <c r="P2486" s="2">
        <f t="shared" ca="1" si="2370"/>
        <v>42128807.343479685</v>
      </c>
      <c r="Q2486" s="2">
        <f t="shared" ca="1" si="2371"/>
        <v>1053220.1835869921</v>
      </c>
      <c r="R2486" s="2">
        <f t="shared" ca="1" si="2372"/>
        <v>25277284.406087812</v>
      </c>
      <c r="S2486" s="2">
        <f t="shared" ca="1" si="2373"/>
        <v>16851522.937391873</v>
      </c>
      <c r="T2486" s="2">
        <f t="shared" ca="1" si="2374"/>
        <v>49555010.842569366</v>
      </c>
      <c r="U2486" s="2">
        <f t="shared" ca="1" si="2375"/>
        <v>49441473.60777922</v>
      </c>
      <c r="V2486" s="2">
        <f t="shared" ca="1" si="2376"/>
        <v>49328196.50215593</v>
      </c>
      <c r="W2486" s="2">
        <f t="shared" ca="1" si="2377"/>
        <v>49215178.929708369</v>
      </c>
      <c r="X2486" s="2">
        <f t="shared" ca="1" si="2378"/>
        <v>49102420.295810923</v>
      </c>
      <c r="Y2486" s="2">
        <f t="shared" ca="1" si="2379"/>
        <v>0.12597812223076343</v>
      </c>
      <c r="Z2486" s="2">
        <f t="shared" ca="1" si="2380"/>
        <v>0.12836937112306882</v>
      </c>
      <c r="AA2486" s="2">
        <f t="shared" ca="1" si="2381"/>
        <v>6242847.2130720112</v>
      </c>
      <c r="AB2486" s="2">
        <f t="shared" ca="1" si="2382"/>
        <v>6346770.8744284231</v>
      </c>
      <c r="AC2486" s="2">
        <f t="shared" ca="1" si="2383"/>
        <v>6332229.5636169193</v>
      </c>
      <c r="AD2486" s="2">
        <f t="shared" ca="1" si="2384"/>
        <v>6317721.5689159706</v>
      </c>
      <c r="AE2486" s="2">
        <f t="shared" ca="1" si="2385"/>
        <v>6303246.8139938591</v>
      </c>
      <c r="AF2486" s="2">
        <f t="shared" ca="1" si="2386"/>
        <v>991100.21685138729</v>
      </c>
      <c r="AG2486" s="2">
        <f t="shared" ca="1" si="2387"/>
        <v>988829.47215558437</v>
      </c>
      <c r="AH2486" s="2">
        <f t="shared" ca="1" si="2388"/>
        <v>986563.93004311866</v>
      </c>
      <c r="AI2486" s="2">
        <f t="shared" ca="1" si="2389"/>
        <v>984303.57859416737</v>
      </c>
      <c r="AJ2486" s="2">
        <f t="shared" ca="1" si="2390"/>
        <v>982048.40591621853</v>
      </c>
      <c r="AK2486" s="2">
        <f t="shared" ca="1" si="2391"/>
        <v>0</v>
      </c>
      <c r="AL2486" s="2">
        <f t="shared" ca="1" si="2392"/>
        <v>0</v>
      </c>
      <c r="AM2486" s="2">
        <f t="shared" ca="1" si="2393"/>
        <v>0</v>
      </c>
      <c r="AN2486" s="2">
        <f t="shared" ca="1" si="2394"/>
        <v>0</v>
      </c>
      <c r="AO2486" s="2">
        <f t="shared" ca="1" si="2395"/>
        <v>0</v>
      </c>
      <c r="AP2486" s="2">
        <f t="shared" ca="1" si="2396"/>
        <v>2274955.596547903</v>
      </c>
      <c r="AQ2486" s="2">
        <f t="shared" ca="1" si="2397"/>
        <v>773965.76391490747</v>
      </c>
      <c r="AR2486" s="2">
        <f t="shared" ca="1" si="2398"/>
        <v>801576.30948848336</v>
      </c>
      <c r="AS2486" s="2">
        <f t="shared" ca="1" si="2399"/>
        <v>798384.60962673335</v>
      </c>
      <c r="AT2486" s="2">
        <f t="shared" ca="1" si="2400"/>
        <v>795200.22238121403</v>
      </c>
      <c r="AU2486" s="2">
        <f t="shared" ca="1" si="2401"/>
        <v>792023.13099773182</v>
      </c>
      <c r="AV2486" s="2">
        <f t="shared" ca="1" si="2402"/>
        <v>2202825.6357578137</v>
      </c>
      <c r="AW2486" s="2">
        <f t="shared" ca="1" si="2403"/>
        <v>2281409.4962364524</v>
      </c>
      <c r="AX2486" s="2">
        <f t="shared" ca="1" si="2404"/>
        <v>2272325.4273991636</v>
      </c>
      <c r="AY2486" s="2">
        <f t="shared" ca="1" si="2405"/>
        <v>2263262.1713926862</v>
      </c>
      <c r="AZ2486" s="2">
        <f t="shared" ca="1" si="2406"/>
        <v>2254219.6805320051</v>
      </c>
      <c r="BA2486" s="2">
        <f t="shared" ca="1" si="2407"/>
        <v>48252705.382587135</v>
      </c>
      <c r="BB2486" s="2">
        <f t="shared" ca="1" si="2408"/>
        <v>965054.10765174276</v>
      </c>
      <c r="BC2486" s="2">
        <f t="shared" ca="1" si="2409"/>
        <v>22010366.868847579</v>
      </c>
      <c r="BD2486" s="2">
        <f t="shared" ca="1" si="2410"/>
        <v>-18404743.120978866</v>
      </c>
      <c r="BE2486" s="2">
        <f t="shared" ca="1" si="2411"/>
        <v>2202825.6357578137</v>
      </c>
      <c r="BF2486" s="2">
        <f t="shared" ca="1" si="2412"/>
        <v>2281409.4962364524</v>
      </c>
      <c r="BG2486" s="2">
        <f t="shared" ca="1" si="2413"/>
        <v>2272325.4273991636</v>
      </c>
      <c r="BH2486" s="2">
        <f t="shared" ca="1" si="2414"/>
        <v>2263262.1713926862</v>
      </c>
      <c r="BI2486" s="2">
        <f t="shared" ca="1" si="2415"/>
        <v>24264586.549379583</v>
      </c>
      <c r="BJ2486" s="2">
        <f t="shared" ca="1" si="2416"/>
        <v>0.15134353996468852</v>
      </c>
      <c r="BK2486" s="2">
        <f t="shared" ca="1" si="2417"/>
        <v>2204909.5979057699</v>
      </c>
    </row>
    <row r="2487" spans="1:63" x14ac:dyDescent="0.3">
      <c r="A2487" s="2">
        <v>2486</v>
      </c>
      <c r="B2487" s="2">
        <f t="shared" ca="1" si="2356"/>
        <v>0.84085909717514451</v>
      </c>
      <c r="C2487" s="2">
        <f t="shared" ca="1" si="2357"/>
        <v>7.4358353027264901</v>
      </c>
      <c r="D2487" s="2">
        <f t="shared" ca="1" si="2358"/>
        <v>0.86635445109520348</v>
      </c>
      <c r="E2487" s="2">
        <f t="shared" ca="1" si="2359"/>
        <v>7.9829979711745871</v>
      </c>
      <c r="F2487" s="2">
        <f t="shared" ca="1" si="2360"/>
        <v>0.58082966930829449</v>
      </c>
      <c r="G2487" s="2">
        <f t="shared" ca="1" si="2361"/>
        <v>4.6120492833344198E-2</v>
      </c>
      <c r="H2487" s="2">
        <f t="shared" ca="1" si="2362"/>
        <v>4.6120492833344198E-2</v>
      </c>
      <c r="I2487" s="2">
        <f t="shared" ca="1" si="2363"/>
        <v>0.14938860726414938</v>
      </c>
      <c r="J2487" s="2">
        <f t="shared" ca="1" si="2364"/>
        <v>4.8047041073601519E-3</v>
      </c>
      <c r="K2487" s="2">
        <f t="shared" ca="1" si="2365"/>
        <v>4.8047041073601519E-3</v>
      </c>
      <c r="L2487" s="2">
        <f t="shared" ca="1" si="2366"/>
        <v>0.99079709957121853</v>
      </c>
      <c r="M2487" s="2">
        <f t="shared" ca="1" si="2367"/>
        <v>4.7147035845817364E-2</v>
      </c>
      <c r="N2487" s="2">
        <f t="shared" ca="1" si="2368"/>
        <v>4.7147035845817364E-2</v>
      </c>
      <c r="O2487" s="2">
        <f t="shared" si="2369"/>
        <v>6000000</v>
      </c>
      <c r="P2487" s="2">
        <f t="shared" ca="1" si="2370"/>
        <v>44615011.816358939</v>
      </c>
      <c r="Q2487" s="2">
        <f t="shared" ca="1" si="2371"/>
        <v>1115375.2954089735</v>
      </c>
      <c r="R2487" s="2">
        <f t="shared" ca="1" si="2372"/>
        <v>26769007.089815363</v>
      </c>
      <c r="S2487" s="2">
        <f t="shared" ca="1" si="2373"/>
        <v>17846004.726543576</v>
      </c>
      <c r="T2487" s="2">
        <f t="shared" ca="1" si="2374"/>
        <v>52357351.792290866</v>
      </c>
      <c r="U2487" s="2">
        <f t="shared" ca="1" si="2375"/>
        <v>54772098.6604001</v>
      </c>
      <c r="V2487" s="2">
        <f t="shared" ca="1" si="2376"/>
        <v>57298214.844134308</v>
      </c>
      <c r="W2487" s="2">
        <f t="shared" ca="1" si="2377"/>
        <v>59940836.751216628</v>
      </c>
      <c r="X2487" s="2">
        <f t="shared" ca="1" si="2378"/>
        <v>62705337.683025777</v>
      </c>
      <c r="Y2487" s="2">
        <f t="shared" ca="1" si="2379"/>
        <v>0.12240235205368007</v>
      </c>
      <c r="Z2487" s="2">
        <f t="shared" ca="1" si="2380"/>
        <v>0.1233632928751521</v>
      </c>
      <c r="AA2487" s="2">
        <f t="shared" ca="1" si="2381"/>
        <v>6408663.0066783633</v>
      </c>
      <c r="AB2487" s="2">
        <f t="shared" ca="1" si="2382"/>
        <v>6756866.4484296637</v>
      </c>
      <c r="AC2487" s="2">
        <f t="shared" ca="1" si="2383"/>
        <v>7068496.4590403279</v>
      </c>
      <c r="AD2487" s="2">
        <f t="shared" ca="1" si="2384"/>
        <v>7394498.9993220177</v>
      </c>
      <c r="AE2487" s="2">
        <f t="shared" ca="1" si="2385"/>
        <v>7735536.9374264209</v>
      </c>
      <c r="AF2487" s="2">
        <f t="shared" ca="1" si="2386"/>
        <v>1047147.0358458173</v>
      </c>
      <c r="AG2487" s="2">
        <f t="shared" ca="1" si="2387"/>
        <v>1095441.973208002</v>
      </c>
      <c r="AH2487" s="2">
        <f t="shared" ca="1" si="2388"/>
        <v>1145964.2968826862</v>
      </c>
      <c r="AI2487" s="2">
        <f t="shared" ca="1" si="2389"/>
        <v>1198816.7350243325</v>
      </c>
      <c r="AJ2487" s="2">
        <f t="shared" ca="1" si="2390"/>
        <v>1254106.7536605156</v>
      </c>
      <c r="AK2487" s="2">
        <f t="shared" ca="1" si="2391"/>
        <v>0</v>
      </c>
      <c r="AL2487" s="2">
        <f t="shared" ca="1" si="2392"/>
        <v>24147.468681092338</v>
      </c>
      <c r="AM2487" s="2">
        <f t="shared" ca="1" si="2393"/>
        <v>25261.161837342082</v>
      </c>
      <c r="AN2487" s="2">
        <f t="shared" ca="1" si="2394"/>
        <v>26426.219070823194</v>
      </c>
      <c r="AO2487" s="2">
        <f t="shared" ca="1" si="2395"/>
        <v>27645.009318091499</v>
      </c>
      <c r="AP2487" s="2">
        <f t="shared" ca="1" si="2396"/>
        <v>2409210.6380833825</v>
      </c>
      <c r="AQ2487" s="2">
        <f t="shared" ca="1" si="2397"/>
        <v>767599.38651478256</v>
      </c>
      <c r="AR2487" s="2">
        <f t="shared" ca="1" si="2398"/>
        <v>845575.59765595268</v>
      </c>
      <c r="AS2487" s="2">
        <f t="shared" ca="1" si="2399"/>
        <v>913463.59625930747</v>
      </c>
      <c r="AT2487" s="2">
        <f t="shared" ca="1" si="2400"/>
        <v>984482.62281571864</v>
      </c>
      <c r="AU2487" s="2">
        <f t="shared" ca="1" si="2401"/>
        <v>1058777.0818774558</v>
      </c>
      <c r="AV2487" s="2">
        <f t="shared" ca="1" si="2402"/>
        <v>2184705.9462343808</v>
      </c>
      <c r="AW2487" s="2">
        <f t="shared" ca="1" si="2403"/>
        <v>2382490.7708012341</v>
      </c>
      <c r="AX2487" s="2">
        <f t="shared" ca="1" si="2404"/>
        <v>2574596.7659776099</v>
      </c>
      <c r="AY2487" s="2">
        <f t="shared" ca="1" si="2405"/>
        <v>2775562.7843277603</v>
      </c>
      <c r="AZ2487" s="2">
        <f t="shared" ca="1" si="2406"/>
        <v>2985797.4544869745</v>
      </c>
      <c r="BA2487" s="2">
        <f t="shared" ca="1" si="2407"/>
        <v>61752775.677421197</v>
      </c>
      <c r="BB2487" s="2">
        <f t="shared" ca="1" si="2408"/>
        <v>1235055.513548424</v>
      </c>
      <c r="BC2487" s="2">
        <f t="shared" ca="1" si="2409"/>
        <v>33748713.074057408</v>
      </c>
      <c r="BD2487" s="2">
        <f t="shared" ca="1" si="2410"/>
        <v>-19461380.021952547</v>
      </c>
      <c r="BE2487" s="2">
        <f t="shared" ca="1" si="2411"/>
        <v>2184705.9462343808</v>
      </c>
      <c r="BF2487" s="2">
        <f t="shared" ca="1" si="2412"/>
        <v>2382490.7708012341</v>
      </c>
      <c r="BG2487" s="2">
        <f t="shared" ca="1" si="2413"/>
        <v>2574596.7659776099</v>
      </c>
      <c r="BH2487" s="2">
        <f t="shared" ca="1" si="2414"/>
        <v>2775562.7843277603</v>
      </c>
      <c r="BI2487" s="2">
        <f t="shared" ca="1" si="2415"/>
        <v>36734510.528544381</v>
      </c>
      <c r="BJ2487" s="2">
        <f t="shared" ca="1" si="2416"/>
        <v>0.22287615564386876</v>
      </c>
      <c r="BK2487" s="2">
        <f t="shared" ca="1" si="2417"/>
        <v>8829172.5998586491</v>
      </c>
    </row>
    <row r="2488" spans="1:63" x14ac:dyDescent="0.3">
      <c r="A2488" s="2">
        <v>2487</v>
      </c>
      <c r="B2488" s="2">
        <f t="shared" ca="1" si="2356"/>
        <v>0.55206979138248102</v>
      </c>
      <c r="C2488" s="2">
        <f t="shared" ca="1" si="2357"/>
        <v>7.0535009681806127</v>
      </c>
      <c r="D2488" s="2">
        <f t="shared" ca="1" si="2358"/>
        <v>0.3581565144295169</v>
      </c>
      <c r="E2488" s="2">
        <f t="shared" ca="1" si="2359"/>
        <v>7.3463527803812276</v>
      </c>
      <c r="F2488" s="2">
        <f t="shared" ca="1" si="2360"/>
        <v>0.56445147196671253</v>
      </c>
      <c r="G2488" s="2">
        <f t="shared" ca="1" si="2361"/>
        <v>4.4867954543534427E-2</v>
      </c>
      <c r="H2488" s="2">
        <f t="shared" ca="1" si="2362"/>
        <v>4.4867954543534427E-2</v>
      </c>
      <c r="I2488" s="2">
        <f t="shared" ca="1" si="2363"/>
        <v>0.83728180508356287</v>
      </c>
      <c r="J2488" s="2">
        <f t="shared" ca="1" si="2364"/>
        <v>1.4916738005828392E-2</v>
      </c>
      <c r="K2488" s="2">
        <f t="shared" ca="1" si="2365"/>
        <v>1.4916738005828392E-2</v>
      </c>
      <c r="L2488" s="2">
        <f t="shared" ca="1" si="2366"/>
        <v>0.42761681889997749</v>
      </c>
      <c r="M2488" s="2">
        <f t="shared" ca="1" si="2367"/>
        <v>-3.6488968313851439E-3</v>
      </c>
      <c r="N2488" s="2">
        <f t="shared" ca="1" si="2368"/>
        <v>-3.6488968313851439E-3</v>
      </c>
      <c r="O2488" s="2">
        <f t="shared" si="2369"/>
        <v>6000000</v>
      </c>
      <c r="P2488" s="2">
        <f t="shared" ca="1" si="2370"/>
        <v>42321005.809083678</v>
      </c>
      <c r="Q2488" s="2">
        <f t="shared" ca="1" si="2371"/>
        <v>1058025.1452270921</v>
      </c>
      <c r="R2488" s="2">
        <f t="shared" ca="1" si="2372"/>
        <v>25392603.485450204</v>
      </c>
      <c r="S2488" s="2">
        <f t="shared" ca="1" si="2373"/>
        <v>16928402.323633473</v>
      </c>
      <c r="T2488" s="2">
        <f t="shared" ca="1" si="2374"/>
        <v>49817555.15843074</v>
      </c>
      <c r="U2488" s="2">
        <f t="shared" ca="1" si="2375"/>
        <v>52052766.958749227</v>
      </c>
      <c r="V2488" s="2">
        <f t="shared" ca="1" si="2376"/>
        <v>54388268.140519582</v>
      </c>
      <c r="W2488" s="2">
        <f t="shared" ca="1" si="2377"/>
        <v>56828558.483149976</v>
      </c>
      <c r="X2488" s="2">
        <f t="shared" ca="1" si="2378"/>
        <v>59378339.661946535</v>
      </c>
      <c r="Y2488" s="2">
        <f t="shared" ca="1" si="2379"/>
        <v>0.12745836900291418</v>
      </c>
      <c r="Z2488" s="2">
        <f t="shared" ca="1" si="2380"/>
        <v>0.13044171660407988</v>
      </c>
      <c r="AA2488" s="2">
        <f t="shared" ca="1" si="2381"/>
        <v>6349664.3282062961</v>
      </c>
      <c r="AB2488" s="2">
        <f t="shared" ca="1" si="2382"/>
        <v>6789852.27609138</v>
      </c>
      <c r="AC2488" s="2">
        <f t="shared" ca="1" si="2383"/>
        <v>7094499.0593723617</v>
      </c>
      <c r="AD2488" s="2">
        <f t="shared" ca="1" si="2384"/>
        <v>7412814.7206774289</v>
      </c>
      <c r="AE2488" s="2">
        <f t="shared" ca="1" si="2385"/>
        <v>7745412.554604426</v>
      </c>
      <c r="AF2488" s="2">
        <f t="shared" ca="1" si="2386"/>
        <v>996351.10316861479</v>
      </c>
      <c r="AG2488" s="2">
        <f t="shared" ca="1" si="2387"/>
        <v>1041055.3391749846</v>
      </c>
      <c r="AH2488" s="2">
        <f t="shared" ca="1" si="2388"/>
        <v>1087765.3628103917</v>
      </c>
      <c r="AI2488" s="2">
        <f t="shared" ca="1" si="2389"/>
        <v>1136571.1696629995</v>
      </c>
      <c r="AJ2488" s="2">
        <f t="shared" ca="1" si="2390"/>
        <v>1187566.7932389306</v>
      </c>
      <c r="AK2488" s="2">
        <f t="shared" ca="1" si="2391"/>
        <v>0</v>
      </c>
      <c r="AL2488" s="2">
        <f t="shared" ca="1" si="2392"/>
        <v>22352.118003184871</v>
      </c>
      <c r="AM2488" s="2">
        <f t="shared" ca="1" si="2393"/>
        <v>23355.011817703544</v>
      </c>
      <c r="AN2488" s="2">
        <f t="shared" ca="1" si="2394"/>
        <v>24402.903426303939</v>
      </c>
      <c r="AO2488" s="2">
        <f t="shared" ca="1" si="2395"/>
        <v>25497.811787965595</v>
      </c>
      <c r="AP2488" s="2">
        <f t="shared" ca="1" si="2396"/>
        <v>2285334.3136905185</v>
      </c>
      <c r="AQ2488" s="2">
        <f t="shared" ca="1" si="2397"/>
        <v>797674.51695026224</v>
      </c>
      <c r="AR2488" s="2">
        <f t="shared" ca="1" si="2398"/>
        <v>900500.28203872789</v>
      </c>
      <c r="AS2488" s="2">
        <f t="shared" ca="1" si="2399"/>
        <v>967563.83954657742</v>
      </c>
      <c r="AT2488" s="2">
        <f t="shared" ca="1" si="2400"/>
        <v>1037636.4017042167</v>
      </c>
      <c r="AU2488" s="2">
        <f t="shared" ca="1" si="2401"/>
        <v>1110852.9763954941</v>
      </c>
      <c r="AV2488" s="2">
        <f t="shared" ca="1" si="2402"/>
        <v>2270304.3943968997</v>
      </c>
      <c r="AW2488" s="2">
        <f t="shared" ca="1" si="2403"/>
        <v>2540610.2231839639</v>
      </c>
      <c r="AX2488" s="2">
        <f t="shared" ca="1" si="2404"/>
        <v>2730480.5315071703</v>
      </c>
      <c r="AY2488" s="2">
        <f t="shared" ca="1" si="2405"/>
        <v>2928869.9321933906</v>
      </c>
      <c r="AZ2488" s="2">
        <f t="shared" ca="1" si="2406"/>
        <v>3136160.6594915171</v>
      </c>
      <c r="BA2488" s="2">
        <f t="shared" ca="1" si="2407"/>
        <v>56900533.055717893</v>
      </c>
      <c r="BB2488" s="2">
        <f t="shared" ca="1" si="2408"/>
        <v>1138010.6611143579</v>
      </c>
      <c r="BC2488" s="2">
        <f t="shared" ca="1" si="2409"/>
        <v>30369918.909153331</v>
      </c>
      <c r="BD2488" s="2">
        <f t="shared" ca="1" si="2410"/>
        <v>-18486427.468860567</v>
      </c>
      <c r="BE2488" s="2">
        <f t="shared" ca="1" si="2411"/>
        <v>2270304.3943968997</v>
      </c>
      <c r="BF2488" s="2">
        <f t="shared" ca="1" si="2412"/>
        <v>2540610.2231839639</v>
      </c>
      <c r="BG2488" s="2">
        <f t="shared" ca="1" si="2413"/>
        <v>2730480.5315071703</v>
      </c>
      <c r="BH2488" s="2">
        <f t="shared" ca="1" si="2414"/>
        <v>2928869.9321933906</v>
      </c>
      <c r="BI2488" s="2">
        <f t="shared" ca="1" si="2415"/>
        <v>33506079.568644848</v>
      </c>
      <c r="BJ2488" s="2">
        <f t="shared" ca="1" si="2416"/>
        <v>0.22487347776443811</v>
      </c>
      <c r="BK2488" s="2">
        <f t="shared" ca="1" si="2417"/>
        <v>8383090.2189668939</v>
      </c>
    </row>
    <row r="2489" spans="1:63" x14ac:dyDescent="0.3">
      <c r="A2489" s="2">
        <v>2488</v>
      </c>
      <c r="B2489" s="2">
        <f t="shared" ca="1" si="2356"/>
        <v>0.15309822285104424</v>
      </c>
      <c r="C2489" s="2">
        <f t="shared" ca="1" si="2357"/>
        <v>6.5533502016825231</v>
      </c>
      <c r="D2489" s="2">
        <f t="shared" ca="1" si="2358"/>
        <v>0.87300845022069995</v>
      </c>
      <c r="E2489" s="2">
        <f t="shared" ca="1" si="2359"/>
        <v>7.9960326403837243</v>
      </c>
      <c r="F2489" s="2">
        <f t="shared" ca="1" si="2360"/>
        <v>0.69217761080665319</v>
      </c>
      <c r="G2489" s="2">
        <f t="shared" ca="1" si="2361"/>
        <v>5.5060969943993877E-2</v>
      </c>
      <c r="H2489" s="2">
        <f t="shared" ca="1" si="2362"/>
        <v>5.5060969943993877E-2</v>
      </c>
      <c r="I2489" s="2">
        <f t="shared" ca="1" si="2363"/>
        <v>0.52983877791758383</v>
      </c>
      <c r="J2489" s="2">
        <f t="shared" ca="1" si="2364"/>
        <v>1.037432299012162E-2</v>
      </c>
      <c r="K2489" s="2">
        <f t="shared" ca="1" si="2365"/>
        <v>1.037432299012162E-2</v>
      </c>
      <c r="L2489" s="2">
        <f t="shared" ca="1" si="2366"/>
        <v>0.75301854149545056</v>
      </c>
      <c r="M2489" s="2">
        <f t="shared" ca="1" si="2367"/>
        <v>1.3680387953361109E-2</v>
      </c>
      <c r="N2489" s="2">
        <f t="shared" ca="1" si="2368"/>
        <v>1.3680387953361109E-2</v>
      </c>
      <c r="O2489" s="2">
        <f t="shared" si="2369"/>
        <v>6000000</v>
      </c>
      <c r="P2489" s="2">
        <f t="shared" ca="1" si="2370"/>
        <v>39320101.210095137</v>
      </c>
      <c r="Q2489" s="2">
        <f t="shared" ca="1" si="2371"/>
        <v>983002.53025237843</v>
      </c>
      <c r="R2489" s="2">
        <f t="shared" ca="1" si="2372"/>
        <v>23592060.726057082</v>
      </c>
      <c r="S2489" s="2">
        <f t="shared" ca="1" si="2373"/>
        <v>15728040.484038055</v>
      </c>
      <c r="T2489" s="2">
        <f t="shared" ca="1" si="2374"/>
        <v>50684019.397668056</v>
      </c>
      <c r="U2489" s="2">
        <f t="shared" ca="1" si="2375"/>
        <v>53474730.666363858</v>
      </c>
      <c r="V2489" s="2">
        <f t="shared" ca="1" si="2376"/>
        <v>56419101.204347685</v>
      </c>
      <c r="W2489" s="2">
        <f t="shared" ca="1" si="2377"/>
        <v>59525591.640027426</v>
      </c>
      <c r="X2489" s="2">
        <f t="shared" ca="1" si="2378"/>
        <v>62803128.45221743</v>
      </c>
      <c r="Y2489" s="2">
        <f t="shared" ca="1" si="2379"/>
        <v>0.12518716149506082</v>
      </c>
      <c r="Z2489" s="2">
        <f t="shared" ca="1" si="2380"/>
        <v>0.12726202609308512</v>
      </c>
      <c r="AA2489" s="2">
        <f t="shared" ca="1" si="2381"/>
        <v>6344988.5215546656</v>
      </c>
      <c r="AB2489" s="2">
        <f t="shared" ca="1" si="2382"/>
        <v>6805302.5693834964</v>
      </c>
      <c r="AC2489" s="2">
        <f t="shared" ca="1" si="2383"/>
        <v>7180009.129616105</v>
      </c>
      <c r="AD2489" s="2">
        <f t="shared" ca="1" si="2384"/>
        <v>7575347.3964994997</v>
      </c>
      <c r="AE2489" s="2">
        <f t="shared" ca="1" si="2385"/>
        <v>7992453.3718134714</v>
      </c>
      <c r="AF2489" s="2">
        <f t="shared" ca="1" si="2386"/>
        <v>1013680.3879533611</v>
      </c>
      <c r="AG2489" s="2">
        <f t="shared" ca="1" si="2387"/>
        <v>1069494.6133272771</v>
      </c>
      <c r="AH2489" s="2">
        <f t="shared" ca="1" si="2388"/>
        <v>1128382.0240869538</v>
      </c>
      <c r="AI2489" s="2">
        <f t="shared" ca="1" si="2389"/>
        <v>1190511.8328005485</v>
      </c>
      <c r="AJ2489" s="2">
        <f t="shared" ca="1" si="2390"/>
        <v>1256062.5690443486</v>
      </c>
      <c r="AK2489" s="2">
        <f t="shared" ca="1" si="2391"/>
        <v>0</v>
      </c>
      <c r="AL2489" s="2">
        <f t="shared" ca="1" si="2392"/>
        <v>27907.112686958015</v>
      </c>
      <c r="AM2489" s="2">
        <f t="shared" ca="1" si="2393"/>
        <v>29443.705379838273</v>
      </c>
      <c r="AN2489" s="2">
        <f t="shared" ca="1" si="2394"/>
        <v>31064.904356797411</v>
      </c>
      <c r="AO2489" s="2">
        <f t="shared" ca="1" si="2395"/>
        <v>32775.368121900035</v>
      </c>
      <c r="AP2489" s="2">
        <f t="shared" ca="1" si="2396"/>
        <v>2123285.4653451373</v>
      </c>
      <c r="AQ2489" s="2">
        <f t="shared" ca="1" si="2397"/>
        <v>834085.8937466034</v>
      </c>
      <c r="AR2489" s="2">
        <f t="shared" ca="1" si="2398"/>
        <v>939255.84758488147</v>
      </c>
      <c r="AS2489" s="2">
        <f t="shared" ca="1" si="2399"/>
        <v>1021368.8264478436</v>
      </c>
      <c r="AT2489" s="2">
        <f t="shared" ca="1" si="2400"/>
        <v>1108003.0255719917</v>
      </c>
      <c r="AU2489" s="2">
        <f t="shared" ca="1" si="2401"/>
        <v>1199407.3877302364</v>
      </c>
      <c r="AV2489" s="2">
        <f t="shared" ca="1" si="2402"/>
        <v>2373936.7745095636</v>
      </c>
      <c r="AW2489" s="2">
        <f t="shared" ca="1" si="2403"/>
        <v>2645359.5304392423</v>
      </c>
      <c r="AX2489" s="2">
        <f t="shared" ca="1" si="2404"/>
        <v>2877529.1083563319</v>
      </c>
      <c r="AY2489" s="2">
        <f t="shared" ca="1" si="2405"/>
        <v>3122482.168425025</v>
      </c>
      <c r="AZ2489" s="2">
        <f t="shared" ca="1" si="2406"/>
        <v>3380922.5815718495</v>
      </c>
      <c r="BA2489" s="2">
        <f t="shared" ca="1" si="2407"/>
        <v>63907918.037765473</v>
      </c>
      <c r="BB2489" s="2">
        <f t="shared" ca="1" si="2408"/>
        <v>1278158.3607553095</v>
      </c>
      <c r="BC2489" s="2">
        <f t="shared" ca="1" si="2409"/>
        <v>39037698.950953081</v>
      </c>
      <c r="BD2489" s="2">
        <f t="shared" ca="1" si="2410"/>
        <v>-17211043.014290433</v>
      </c>
      <c r="BE2489" s="2">
        <f t="shared" ca="1" si="2411"/>
        <v>2373936.7745095636</v>
      </c>
      <c r="BF2489" s="2">
        <f t="shared" ca="1" si="2412"/>
        <v>2645359.5304392423</v>
      </c>
      <c r="BG2489" s="2">
        <f t="shared" ca="1" si="2413"/>
        <v>2877529.1083563319</v>
      </c>
      <c r="BH2489" s="2">
        <f t="shared" ca="1" si="2414"/>
        <v>3122482.168425025</v>
      </c>
      <c r="BI2489" s="2">
        <f t="shared" ca="1" si="2415"/>
        <v>42418621.532524928</v>
      </c>
      <c r="BJ2489" s="2">
        <f t="shared" ca="1" si="2416"/>
        <v>0.30014695047122442</v>
      </c>
      <c r="BK2489" s="2">
        <f t="shared" ca="1" si="2417"/>
        <v>15119435.102593966</v>
      </c>
    </row>
    <row r="2490" spans="1:63" x14ac:dyDescent="0.3">
      <c r="A2490" s="2">
        <v>2489</v>
      </c>
      <c r="B2490" s="2">
        <f t="shared" ca="1" si="2356"/>
        <v>0.49974744281450134</v>
      </c>
      <c r="C2490" s="2">
        <f t="shared" ca="1" si="2357"/>
        <v>6.9997474109138782</v>
      </c>
      <c r="D2490" s="2">
        <f t="shared" ca="1" si="2358"/>
        <v>0.9407908463181901</v>
      </c>
      <c r="E2490" s="2">
        <f t="shared" ca="1" si="2359"/>
        <v>8.1558803879991437</v>
      </c>
      <c r="F2490" s="2">
        <f t="shared" ca="1" si="2360"/>
        <v>0.16640772050421371</v>
      </c>
      <c r="G2490" s="2">
        <f t="shared" ca="1" si="2361"/>
        <v>1.0946245336135241E-2</v>
      </c>
      <c r="H2490" s="2">
        <f t="shared" ca="1" si="2362"/>
        <v>1.0946245336135241E-2</v>
      </c>
      <c r="I2490" s="2">
        <f t="shared" ca="1" si="2363"/>
        <v>0.2131960734418632</v>
      </c>
      <c r="J2490" s="2">
        <f t="shared" ca="1" si="2364"/>
        <v>6.0230970472688362E-3</v>
      </c>
      <c r="K2490" s="2">
        <f t="shared" ca="1" si="2365"/>
        <v>6.0230970472688362E-3</v>
      </c>
      <c r="L2490" s="2">
        <f t="shared" ca="1" si="2366"/>
        <v>0.2369659064409888</v>
      </c>
      <c r="M2490" s="2">
        <f t="shared" ca="1" si="2367"/>
        <v>-1.4321928442301882E-2</v>
      </c>
      <c r="N2490" s="2">
        <f t="shared" ca="1" si="2368"/>
        <v>-1.4321928442301882E-2</v>
      </c>
      <c r="O2490" s="2">
        <f t="shared" si="2369"/>
        <v>6000000</v>
      </c>
      <c r="P2490" s="2">
        <f t="shared" ca="1" si="2370"/>
        <v>41998484.465483271</v>
      </c>
      <c r="Q2490" s="2">
        <f t="shared" ca="1" si="2371"/>
        <v>1049962.1116370817</v>
      </c>
      <c r="R2490" s="2">
        <f t="shared" ca="1" si="2372"/>
        <v>25199090.679289963</v>
      </c>
      <c r="S2490" s="2">
        <f t="shared" ca="1" si="2373"/>
        <v>16799393.786193307</v>
      </c>
      <c r="T2490" s="2">
        <f t="shared" ca="1" si="2374"/>
        <v>49283903.577884905</v>
      </c>
      <c r="U2490" s="2">
        <f t="shared" ca="1" si="2375"/>
        <v>49823377.277570873</v>
      </c>
      <c r="V2490" s="2">
        <f t="shared" ca="1" si="2376"/>
        <v>50368756.188725993</v>
      </c>
      <c r="W2490" s="2">
        <f t="shared" ca="1" si="2377"/>
        <v>50920104.951243773</v>
      </c>
      <c r="X2490" s="2">
        <f t="shared" ca="1" si="2378"/>
        <v>51477488.912581846</v>
      </c>
      <c r="Y2490" s="2">
        <f t="shared" ca="1" si="2379"/>
        <v>0.12301154852363441</v>
      </c>
      <c r="Z2490" s="2">
        <f t="shared" ca="1" si="2380"/>
        <v>0.12421616793308818</v>
      </c>
      <c r="AA2490" s="2">
        <f t="shared" ca="1" si="2381"/>
        <v>6062489.2964051086</v>
      </c>
      <c r="AB2490" s="2">
        <f t="shared" ca="1" si="2382"/>
        <v>6188868.998904353</v>
      </c>
      <c r="AC2490" s="2">
        <f t="shared" ca="1" si="2383"/>
        <v>6256613.8773195622</v>
      </c>
      <c r="AD2490" s="2">
        <f t="shared" ca="1" si="2384"/>
        <v>6325100.3077941714</v>
      </c>
      <c r="AE2490" s="2">
        <f t="shared" ca="1" si="2385"/>
        <v>6394336.4075389514</v>
      </c>
      <c r="AF2490" s="2">
        <f t="shared" ca="1" si="2386"/>
        <v>985678.07155769807</v>
      </c>
      <c r="AG2490" s="2">
        <f t="shared" ca="1" si="2387"/>
        <v>996467.54555141751</v>
      </c>
      <c r="AH2490" s="2">
        <f t="shared" ca="1" si="2388"/>
        <v>1007375.1237745199</v>
      </c>
      <c r="AI2490" s="2">
        <f t="shared" ca="1" si="2389"/>
        <v>1018402.0990248754</v>
      </c>
      <c r="AJ2490" s="2">
        <f t="shared" ca="1" si="2390"/>
        <v>1029549.7782516369</v>
      </c>
      <c r="AK2490" s="2">
        <f t="shared" ca="1" si="2391"/>
        <v>0</v>
      </c>
      <c r="AL2490" s="2">
        <f t="shared" ca="1" si="2392"/>
        <v>5394.736996859685</v>
      </c>
      <c r="AM2490" s="2">
        <f t="shared" ca="1" si="2393"/>
        <v>5453.7891115511957</v>
      </c>
      <c r="AN2490" s="2">
        <f t="shared" ca="1" si="2394"/>
        <v>5513.4876251778005</v>
      </c>
      <c r="AO2490" s="2">
        <f t="shared" ca="1" si="2395"/>
        <v>5573.83961338073</v>
      </c>
      <c r="AP2490" s="2">
        <f t="shared" ca="1" si="2396"/>
        <v>2267918.1611360968</v>
      </c>
      <c r="AQ2490" s="2">
        <f t="shared" ca="1" si="2397"/>
        <v>730312.19656494167</v>
      </c>
      <c r="AR2490" s="2">
        <f t="shared" ca="1" si="2398"/>
        <v>760365.65597637813</v>
      </c>
      <c r="AS2490" s="2">
        <f t="shared" ca="1" si="2399"/>
        <v>775143.35402632586</v>
      </c>
      <c r="AT2490" s="2">
        <f t="shared" ca="1" si="2400"/>
        <v>790082.81238463195</v>
      </c>
      <c r="AU2490" s="2">
        <f t="shared" ca="1" si="2401"/>
        <v>805185.80171931663</v>
      </c>
      <c r="AV2490" s="2">
        <f t="shared" ca="1" si="2402"/>
        <v>2078580.8671463723</v>
      </c>
      <c r="AW2490" s="2">
        <f t="shared" ca="1" si="2403"/>
        <v>2158722.8992436011</v>
      </c>
      <c r="AX2490" s="2">
        <f t="shared" ca="1" si="2404"/>
        <v>2200723.4492710684</v>
      </c>
      <c r="AY2490" s="2">
        <f t="shared" ca="1" si="2405"/>
        <v>2243183.7476233891</v>
      </c>
      <c r="AZ2490" s="2">
        <f t="shared" ca="1" si="2406"/>
        <v>2286108.8268185207</v>
      </c>
      <c r="BA2490" s="2">
        <f t="shared" ca="1" si="2407"/>
        <v>52151442.900515832</v>
      </c>
      <c r="BB2490" s="2">
        <f t="shared" ca="1" si="2408"/>
        <v>1043028.8580103166</v>
      </c>
      <c r="BC2490" s="2">
        <f t="shared" ca="1" si="2409"/>
        <v>25909323.363215551</v>
      </c>
      <c r="BD2490" s="2">
        <f t="shared" ca="1" si="2410"/>
        <v>-18349355.897830389</v>
      </c>
      <c r="BE2490" s="2">
        <f t="shared" ca="1" si="2411"/>
        <v>2078580.8671463723</v>
      </c>
      <c r="BF2490" s="2">
        <f t="shared" ca="1" si="2412"/>
        <v>2158722.8992436011</v>
      </c>
      <c r="BG2490" s="2">
        <f t="shared" ca="1" si="2413"/>
        <v>2200723.4492710684</v>
      </c>
      <c r="BH2490" s="2">
        <f t="shared" ca="1" si="2414"/>
        <v>2243183.7476233891</v>
      </c>
      <c r="BI2490" s="2">
        <f t="shared" ca="1" si="2415"/>
        <v>28195432.190034073</v>
      </c>
      <c r="BJ2490" s="2">
        <f t="shared" ca="1" si="2416"/>
        <v>0.17662591004950956</v>
      </c>
      <c r="BK2490" s="2">
        <f t="shared" ca="1" si="2417"/>
        <v>4218301.2951211482</v>
      </c>
    </row>
    <row r="2491" spans="1:63" x14ac:dyDescent="0.3">
      <c r="A2491" s="2">
        <v>2490</v>
      </c>
      <c r="B2491" s="2">
        <f t="shared" ca="1" si="2356"/>
        <v>8.8156930475656425E-2</v>
      </c>
      <c r="C2491" s="2">
        <f t="shared" ca="1" si="2357"/>
        <v>6.4198974409916225</v>
      </c>
      <c r="D2491" s="2">
        <f t="shared" ca="1" si="2358"/>
        <v>0.9345406724675912</v>
      </c>
      <c r="E2491" s="2">
        <f t="shared" ca="1" si="2359"/>
        <v>8.138173169783089</v>
      </c>
      <c r="F2491" s="2">
        <f t="shared" ca="1" si="2360"/>
        <v>0.64349307642584042</v>
      </c>
      <c r="G2491" s="2">
        <f t="shared" ca="1" si="2361"/>
        <v>5.1034342840536928E-2</v>
      </c>
      <c r="H2491" s="2">
        <f t="shared" ca="1" si="2362"/>
        <v>5.1034342840536928E-2</v>
      </c>
      <c r="I2491" s="2">
        <f t="shared" ca="1" si="2363"/>
        <v>0.54761443904520057</v>
      </c>
      <c r="J2491" s="2">
        <f t="shared" ca="1" si="2364"/>
        <v>1.0598182390413043E-2</v>
      </c>
      <c r="K2491" s="2">
        <f t="shared" ca="1" si="2365"/>
        <v>1.0598182390413043E-2</v>
      </c>
      <c r="L2491" s="2">
        <f t="shared" ca="1" si="2366"/>
        <v>0.85365472974965895</v>
      </c>
      <c r="M2491" s="2">
        <f t="shared" ca="1" si="2367"/>
        <v>2.1044752529416226E-2</v>
      </c>
      <c r="N2491" s="2">
        <f t="shared" ca="1" si="2368"/>
        <v>2.1044752529416226E-2</v>
      </c>
      <c r="O2491" s="2">
        <f t="shared" si="2369"/>
        <v>6000000</v>
      </c>
      <c r="P2491" s="2">
        <f t="shared" ca="1" si="2370"/>
        <v>38519384.645949736</v>
      </c>
      <c r="Q2491" s="2">
        <f t="shared" ca="1" si="2371"/>
        <v>962984.61614874343</v>
      </c>
      <c r="R2491" s="2">
        <f t="shared" ca="1" si="2372"/>
        <v>23111630.78756984</v>
      </c>
      <c r="S2491" s="2">
        <f t="shared" ca="1" si="2373"/>
        <v>15407753.858379895</v>
      </c>
      <c r="T2491" s="2">
        <f t="shared" ca="1" si="2374"/>
        <v>51052237.626470812</v>
      </c>
      <c r="U2491" s="2">
        <f t="shared" ca="1" si="2375"/>
        <v>53657655.024276681</v>
      </c>
      <c r="V2491" s="2">
        <f t="shared" ca="1" si="2376"/>
        <v>56396038.186804876</v>
      </c>
      <c r="W2491" s="2">
        <f t="shared" ca="1" si="2377"/>
        <v>59274172.934478283</v>
      </c>
      <c r="X2491" s="2">
        <f t="shared" ca="1" si="2378"/>
        <v>62299191.397605717</v>
      </c>
      <c r="Y2491" s="2">
        <f t="shared" ca="1" si="2379"/>
        <v>0.12529909119520652</v>
      </c>
      <c r="Z2491" s="2">
        <f t="shared" ca="1" si="2380"/>
        <v>0.12741872767328913</v>
      </c>
      <c r="AA2491" s="2">
        <f t="shared" ca="1" si="2381"/>
        <v>6396798.9780785199</v>
      </c>
      <c r="AB2491" s="2">
        <f t="shared" ca="1" si="2382"/>
        <v>6836990.1331256051</v>
      </c>
      <c r="AC2491" s="2">
        <f t="shared" ca="1" si="2383"/>
        <v>7185911.4315769048</v>
      </c>
      <c r="AD2491" s="2">
        <f t="shared" ca="1" si="2384"/>
        <v>7552639.6991977338</v>
      </c>
      <c r="AE2491" s="2">
        <f t="shared" ca="1" si="2385"/>
        <v>7938083.7029576395</v>
      </c>
      <c r="AF2491" s="2">
        <f t="shared" ca="1" si="2386"/>
        <v>1021044.7525294162</v>
      </c>
      <c r="AG2491" s="2">
        <f t="shared" ca="1" si="2387"/>
        <v>1073153.1004855337</v>
      </c>
      <c r="AH2491" s="2">
        <f t="shared" ca="1" si="2388"/>
        <v>1127920.7637360976</v>
      </c>
      <c r="AI2491" s="2">
        <f t="shared" ca="1" si="2389"/>
        <v>1185483.4586895658</v>
      </c>
      <c r="AJ2491" s="2">
        <f t="shared" ca="1" si="2390"/>
        <v>1245983.8279521144</v>
      </c>
      <c r="AK2491" s="2">
        <f t="shared" ca="1" si="2391"/>
        <v>0</v>
      </c>
      <c r="AL2491" s="2">
        <f t="shared" ca="1" si="2392"/>
        <v>26054.173978058698</v>
      </c>
      <c r="AM2491" s="2">
        <f t="shared" ca="1" si="2393"/>
        <v>27383.831625281946</v>
      </c>
      <c r="AN2491" s="2">
        <f t="shared" ca="1" si="2394"/>
        <v>28781.347476734074</v>
      </c>
      <c r="AO2491" s="2">
        <f t="shared" ca="1" si="2395"/>
        <v>30250.184631274344</v>
      </c>
      <c r="AP2491" s="2">
        <f t="shared" ca="1" si="2396"/>
        <v>2080046.7708812854</v>
      </c>
      <c r="AQ2491" s="2">
        <f t="shared" ca="1" si="2397"/>
        <v>856883.93821363279</v>
      </c>
      <c r="AR2491" s="2">
        <f t="shared" ca="1" si="2398"/>
        <v>957785.46805728448</v>
      </c>
      <c r="AS2491" s="2">
        <f t="shared" ca="1" si="2399"/>
        <v>1034265.4132094756</v>
      </c>
      <c r="AT2491" s="2">
        <f t="shared" ca="1" si="2400"/>
        <v>1114648.4621029897</v>
      </c>
      <c r="AU2491" s="2">
        <f t="shared" ca="1" si="2401"/>
        <v>1199133.8070723021</v>
      </c>
      <c r="AV2491" s="2">
        <f t="shared" ca="1" si="2402"/>
        <v>2438823.5164541858</v>
      </c>
      <c r="AW2491" s="2">
        <f t="shared" ca="1" si="2403"/>
        <v>2699950.6197234434</v>
      </c>
      <c r="AX2491" s="2">
        <f t="shared" ca="1" si="2404"/>
        <v>2916294.6521247639</v>
      </c>
      <c r="AY2491" s="2">
        <f t="shared" ca="1" si="2405"/>
        <v>3143679.6600471591</v>
      </c>
      <c r="AZ2491" s="2">
        <f t="shared" ca="1" si="2406"/>
        <v>3382669.1124206628</v>
      </c>
      <c r="BA2491" s="2">
        <f t="shared" ca="1" si="2407"/>
        <v>64601499.810902253</v>
      </c>
      <c r="BB2491" s="2">
        <f t="shared" ca="1" si="2408"/>
        <v>1292029.996218045</v>
      </c>
      <c r="BC2491" s="2">
        <f t="shared" ca="1" si="2409"/>
        <v>40197839.027114369</v>
      </c>
      <c r="BD2491" s="2">
        <f t="shared" ca="1" si="2410"/>
        <v>-16870738.474528641</v>
      </c>
      <c r="BE2491" s="2">
        <f t="shared" ca="1" si="2411"/>
        <v>2438823.5164541858</v>
      </c>
      <c r="BF2491" s="2">
        <f t="shared" ca="1" si="2412"/>
        <v>2699950.6197234434</v>
      </c>
      <c r="BG2491" s="2">
        <f t="shared" ca="1" si="2413"/>
        <v>2916294.6521247639</v>
      </c>
      <c r="BH2491" s="2">
        <f t="shared" ca="1" si="2414"/>
        <v>3143679.6600471591</v>
      </c>
      <c r="BI2491" s="2">
        <f t="shared" ca="1" si="2415"/>
        <v>43580508.139535032</v>
      </c>
      <c r="BJ2491" s="2">
        <f t="shared" ca="1" si="2416"/>
        <v>0.31427516292894531</v>
      </c>
      <c r="BK2491" s="2">
        <f t="shared" ca="1" si="2417"/>
        <v>16261543.517134052</v>
      </c>
    </row>
    <row r="2492" spans="1:63" x14ac:dyDescent="0.3">
      <c r="A2492" s="2">
        <v>2491</v>
      </c>
      <c r="B2492" s="2">
        <f t="shared" ca="1" si="2356"/>
        <v>0.38876102380894317</v>
      </c>
      <c r="C2492" s="2">
        <f t="shared" ca="1" si="2357"/>
        <v>6.8817721063959141</v>
      </c>
      <c r="D2492" s="2">
        <f t="shared" ca="1" si="2358"/>
        <v>2.3286932904190372E-2</v>
      </c>
      <c r="E2492" s="2">
        <f t="shared" ca="1" si="2359"/>
        <v>6.7158097908075085</v>
      </c>
      <c r="F2492" s="2">
        <f t="shared" ca="1" si="2360"/>
        <v>0.74234323516756462</v>
      </c>
      <c r="G2492" s="2">
        <f t="shared" ca="1" si="2361"/>
        <v>5.9517591171327204E-2</v>
      </c>
      <c r="H2492" s="2">
        <f t="shared" ca="1" si="2362"/>
        <v>5.9517591171327204E-2</v>
      </c>
      <c r="I2492" s="2">
        <f t="shared" ca="1" si="2363"/>
        <v>0.38638533572839562</v>
      </c>
      <c r="J2492" s="2">
        <f t="shared" ca="1" si="2364"/>
        <v>8.5562367656083597E-3</v>
      </c>
      <c r="K2492" s="2">
        <f t="shared" ca="1" si="2365"/>
        <v>8.5562367656083597E-3</v>
      </c>
      <c r="L2492" s="2">
        <f t="shared" ca="1" si="2366"/>
        <v>0.47036403772659441</v>
      </c>
      <c r="M2492" s="2">
        <f t="shared" ca="1" si="2367"/>
        <v>-1.4870959526845323E-3</v>
      </c>
      <c r="N2492" s="2">
        <f t="shared" ca="1" si="2368"/>
        <v>-1.4870959526845323E-3</v>
      </c>
      <c r="O2492" s="2">
        <f t="shared" si="2369"/>
        <v>6000000</v>
      </c>
      <c r="P2492" s="2">
        <f t="shared" ca="1" si="2370"/>
        <v>41290632.638375483</v>
      </c>
      <c r="Q2492" s="2">
        <f t="shared" ca="1" si="2371"/>
        <v>1032265.8159593871</v>
      </c>
      <c r="R2492" s="2">
        <f t="shared" ca="1" si="2372"/>
        <v>24774379.583025288</v>
      </c>
      <c r="S2492" s="2">
        <f t="shared" ca="1" si="2373"/>
        <v>16516253.055350194</v>
      </c>
      <c r="T2492" s="2">
        <f t="shared" ca="1" si="2374"/>
        <v>49925645.202365778</v>
      </c>
      <c r="U2492" s="2">
        <f t="shared" ca="1" si="2375"/>
        <v>52897099.342484921</v>
      </c>
      <c r="V2492" s="2">
        <f t="shared" ca="1" si="2376"/>
        <v>56045407.275300026</v>
      </c>
      <c r="W2492" s="2">
        <f t="shared" ca="1" si="2377"/>
        <v>59381094.912541866</v>
      </c>
      <c r="X2492" s="2">
        <f t="shared" ca="1" si="2378"/>
        <v>62915314.642852314</v>
      </c>
      <c r="Y2492" s="2">
        <f t="shared" ca="1" si="2379"/>
        <v>0.12427811838280417</v>
      </c>
      <c r="Z2492" s="2">
        <f t="shared" ca="1" si="2380"/>
        <v>0.12598936573592584</v>
      </c>
      <c r="AA2492" s="2">
        <f t="shared" ca="1" si="2381"/>
        <v>6204665.2447974933</v>
      </c>
      <c r="AB2492" s="2">
        <f t="shared" ca="1" si="2382"/>
        <v>6664471.9954299349</v>
      </c>
      <c r="AC2492" s="2">
        <f t="shared" ca="1" si="2383"/>
        <v>7061125.315026694</v>
      </c>
      <c r="AD2492" s="2">
        <f t="shared" ca="1" si="2384"/>
        <v>7481386.484735962</v>
      </c>
      <c r="AE2492" s="2">
        <f t="shared" ca="1" si="2385"/>
        <v>7926660.5869291704</v>
      </c>
      <c r="AF2492" s="2">
        <f t="shared" ca="1" si="2386"/>
        <v>998512.90404731559</v>
      </c>
      <c r="AG2492" s="2">
        <f t="shared" ca="1" si="2387"/>
        <v>1057941.9868496985</v>
      </c>
      <c r="AH2492" s="2">
        <f t="shared" ca="1" si="2388"/>
        <v>1120908.1455060006</v>
      </c>
      <c r="AI2492" s="2">
        <f t="shared" ca="1" si="2389"/>
        <v>1187621.8982508373</v>
      </c>
      <c r="AJ2492" s="2">
        <f t="shared" ca="1" si="2390"/>
        <v>1258306.2928570462</v>
      </c>
      <c r="AK2492" s="2">
        <f t="shared" ca="1" si="2391"/>
        <v>0</v>
      </c>
      <c r="AL2492" s="2">
        <f t="shared" ca="1" si="2392"/>
        <v>29714.541401191429</v>
      </c>
      <c r="AM2492" s="2">
        <f t="shared" ca="1" si="2393"/>
        <v>31483.079328151049</v>
      </c>
      <c r="AN2492" s="2">
        <f t="shared" ca="1" si="2394"/>
        <v>33356.876372418403</v>
      </c>
      <c r="AO2492" s="2">
        <f t="shared" ca="1" si="2395"/>
        <v>35342.197303104476</v>
      </c>
      <c r="AP2492" s="2">
        <f t="shared" ca="1" si="2396"/>
        <v>2229694.162472276</v>
      </c>
      <c r="AQ2492" s="2">
        <f t="shared" ca="1" si="2397"/>
        <v>773879.12635225442</v>
      </c>
      <c r="AR2492" s="2">
        <f t="shared" ca="1" si="2398"/>
        <v>877977.31998806982</v>
      </c>
      <c r="AS2492" s="2">
        <f t="shared" ca="1" si="2399"/>
        <v>964735.98183258844</v>
      </c>
      <c r="AT2492" s="2">
        <f t="shared" ca="1" si="2400"/>
        <v>1056658.3102433409</v>
      </c>
      <c r="AU2492" s="2">
        <f t="shared" ca="1" si="2401"/>
        <v>1154051.6342159605</v>
      </c>
      <c r="AV2492" s="2">
        <f t="shared" ca="1" si="2402"/>
        <v>2202579.0519256471</v>
      </c>
      <c r="AW2492" s="2">
        <f t="shared" ca="1" si="2403"/>
        <v>2469143.984718699</v>
      </c>
      <c r="AX2492" s="2">
        <f t="shared" ca="1" si="2404"/>
        <v>2714303.9458876774</v>
      </c>
      <c r="AY2492" s="2">
        <f t="shared" ca="1" si="2405"/>
        <v>2974055.2373970896</v>
      </c>
      <c r="AZ2492" s="2">
        <f t="shared" ca="1" si="2406"/>
        <v>3249266.3000807837</v>
      </c>
      <c r="BA2492" s="2">
        <f t="shared" ca="1" si="2407"/>
        <v>53233944.778106913</v>
      </c>
      <c r="BB2492" s="2">
        <f t="shared" ca="1" si="2408"/>
        <v>1064678.8955621382</v>
      </c>
      <c r="BC2492" s="2">
        <f t="shared" ca="1" si="2409"/>
        <v>27394886.299519487</v>
      </c>
      <c r="BD2492" s="2">
        <f t="shared" ca="1" si="2410"/>
        <v>-18048518.871309582</v>
      </c>
      <c r="BE2492" s="2">
        <f t="shared" ca="1" si="2411"/>
        <v>2202579.0519256471</v>
      </c>
      <c r="BF2492" s="2">
        <f t="shared" ca="1" si="2412"/>
        <v>2469143.984718699</v>
      </c>
      <c r="BG2492" s="2">
        <f t="shared" ca="1" si="2413"/>
        <v>2714303.9458876774</v>
      </c>
      <c r="BH2492" s="2">
        <f t="shared" ca="1" si="2414"/>
        <v>2974055.2373970896</v>
      </c>
      <c r="BI2492" s="2">
        <f t="shared" ca="1" si="2415"/>
        <v>30644152.59960027</v>
      </c>
      <c r="BJ2492" s="2">
        <f t="shared" ca="1" si="2416"/>
        <v>0.21315247417991889</v>
      </c>
      <c r="BK2492" s="2">
        <f t="shared" ca="1" si="2417"/>
        <v>7096824.9958568141</v>
      </c>
    </row>
    <row r="2493" spans="1:63" x14ac:dyDescent="0.3">
      <c r="A2493" s="2">
        <v>2492</v>
      </c>
      <c r="B2493" s="2">
        <f t="shared" ca="1" si="2356"/>
        <v>0.49819945698230261</v>
      </c>
      <c r="C2493" s="2">
        <f t="shared" ca="1" si="2357"/>
        <v>6.9981978330794981</v>
      </c>
      <c r="D2493" s="2">
        <f t="shared" ca="1" si="2358"/>
        <v>4.7920662769763034E-2</v>
      </c>
      <c r="E2493" s="2">
        <f t="shared" ca="1" si="2359"/>
        <v>6.8095825019918372</v>
      </c>
      <c r="F2493" s="2">
        <f t="shared" ca="1" si="2360"/>
        <v>0.7868716502513291</v>
      </c>
      <c r="G2493" s="2">
        <f t="shared" ca="1" si="2361"/>
        <v>6.3868405926891358E-2</v>
      </c>
      <c r="H2493" s="2">
        <f t="shared" ca="1" si="2362"/>
        <v>6.3868405926891358E-2</v>
      </c>
      <c r="I2493" s="2">
        <f t="shared" ca="1" si="2363"/>
        <v>0.59663629569517429</v>
      </c>
      <c r="J2493" s="2">
        <f t="shared" ca="1" si="2364"/>
        <v>1.1223250240222195E-2</v>
      </c>
      <c r="K2493" s="2">
        <f t="shared" ca="1" si="2365"/>
        <v>1.1223250240222195E-2</v>
      </c>
      <c r="L2493" s="2">
        <f t="shared" ca="1" si="2366"/>
        <v>0.73603838567684621</v>
      </c>
      <c r="M2493" s="2">
        <f t="shared" ca="1" si="2367"/>
        <v>1.2623588033646856E-2</v>
      </c>
      <c r="N2493" s="2">
        <f t="shared" ca="1" si="2368"/>
        <v>1.2623588033646856E-2</v>
      </c>
      <c r="O2493" s="2">
        <f t="shared" si="2369"/>
        <v>6000000</v>
      </c>
      <c r="P2493" s="2">
        <f t="shared" ca="1" si="2370"/>
        <v>41989186.99847699</v>
      </c>
      <c r="Q2493" s="2">
        <f t="shared" ca="1" si="2371"/>
        <v>1049729.6749619248</v>
      </c>
      <c r="R2493" s="2">
        <f t="shared" ca="1" si="2372"/>
        <v>25193512.199086193</v>
      </c>
      <c r="S2493" s="2">
        <f t="shared" ca="1" si="2373"/>
        <v>16795674.799390797</v>
      </c>
      <c r="T2493" s="2">
        <f t="shared" ca="1" si="2374"/>
        <v>50631179.401682347</v>
      </c>
      <c r="U2493" s="2">
        <f t="shared" ca="1" si="2375"/>
        <v>53864912.120266259</v>
      </c>
      <c r="V2493" s="2">
        <f t="shared" ca="1" si="2376"/>
        <v>57305178.192779757</v>
      </c>
      <c r="W2493" s="2">
        <f t="shared" ca="1" si="2377"/>
        <v>60965168.575309061</v>
      </c>
      <c r="X2493" s="2">
        <f t="shared" ca="1" si="2378"/>
        <v>64858916.709278271</v>
      </c>
      <c r="Y2493" s="2">
        <f t="shared" ca="1" si="2379"/>
        <v>0.12561162512011109</v>
      </c>
      <c r="Z2493" s="2">
        <f t="shared" ca="1" si="2380"/>
        <v>0.12785627516815554</v>
      </c>
      <c r="AA2493" s="2">
        <f t="shared" ca="1" si="2381"/>
        <v>6359864.7263932135</v>
      </c>
      <c r="AB2493" s="2">
        <f t="shared" ca="1" si="2382"/>
        <v>6886967.0259572789</v>
      </c>
      <c r="AC2493" s="2">
        <f t="shared" ca="1" si="2383"/>
        <v>7326826.6315762345</v>
      </c>
      <c r="AD2493" s="2">
        <f t="shared" ca="1" si="2384"/>
        <v>7794779.3690377045</v>
      </c>
      <c r="AE2493" s="2">
        <f t="shared" ca="1" si="2385"/>
        <v>8292619.5018899636</v>
      </c>
      <c r="AF2493" s="2">
        <f t="shared" ca="1" si="2386"/>
        <v>1012623.5880336469</v>
      </c>
      <c r="AG2493" s="2">
        <f t="shared" ca="1" si="2387"/>
        <v>1077298.2424053252</v>
      </c>
      <c r="AH2493" s="2">
        <f t="shared" ca="1" si="2388"/>
        <v>1146103.5638555952</v>
      </c>
      <c r="AI2493" s="2">
        <f t="shared" ca="1" si="2389"/>
        <v>1219303.3715061813</v>
      </c>
      <c r="AJ2493" s="2">
        <f t="shared" ca="1" si="2390"/>
        <v>1297178.3341855654</v>
      </c>
      <c r="AK2493" s="2">
        <f t="shared" ca="1" si="2391"/>
        <v>0</v>
      </c>
      <c r="AL2493" s="2">
        <f t="shared" ca="1" si="2392"/>
        <v>32337.327185839116</v>
      </c>
      <c r="AM2493" s="2">
        <f t="shared" ca="1" si="2393"/>
        <v>34402.660725134985</v>
      </c>
      <c r="AN2493" s="2">
        <f t="shared" ca="1" si="2394"/>
        <v>36599.903825293033</v>
      </c>
      <c r="AO2493" s="2">
        <f t="shared" ca="1" si="2395"/>
        <v>38937.481339692102</v>
      </c>
      <c r="AP2493" s="2">
        <f t="shared" ca="1" si="2396"/>
        <v>2267416.0979177575</v>
      </c>
      <c r="AQ2493" s="2">
        <f t="shared" ca="1" si="2397"/>
        <v>800754.51051487029</v>
      </c>
      <c r="AR2493" s="2">
        <f t="shared" ca="1" si="2398"/>
        <v>920985.69826489105</v>
      </c>
      <c r="AS2493" s="2">
        <f t="shared" ca="1" si="2399"/>
        <v>1017459.8121487494</v>
      </c>
      <c r="AT2493" s="2">
        <f t="shared" ca="1" si="2400"/>
        <v>1120095.5738995792</v>
      </c>
      <c r="AU2493" s="2">
        <f t="shared" ca="1" si="2401"/>
        <v>1229286.5181445265</v>
      </c>
      <c r="AV2493" s="2">
        <f t="shared" ca="1" si="2402"/>
        <v>2279070.5299269385</v>
      </c>
      <c r="AW2493" s="2">
        <f t="shared" ca="1" si="2403"/>
        <v>2588929.6601834656</v>
      </c>
      <c r="AX2493" s="2">
        <f t="shared" ca="1" si="2404"/>
        <v>2861444.4969289978</v>
      </c>
      <c r="AY2493" s="2">
        <f t="shared" ca="1" si="2405"/>
        <v>3151364.421888893</v>
      </c>
      <c r="AZ2493" s="2">
        <f t="shared" ca="1" si="2406"/>
        <v>3459801.0703024217</v>
      </c>
      <c r="BA2493" s="2">
        <f t="shared" ca="1" si="2407"/>
        <v>56469276.655746162</v>
      </c>
      <c r="BB2493" s="2">
        <f t="shared" ca="1" si="2408"/>
        <v>1129385.5331149232</v>
      </c>
      <c r="BC2493" s="2">
        <f t="shared" ca="1" si="2409"/>
        <v>30146378.923545048</v>
      </c>
      <c r="BD2493" s="2">
        <f t="shared" ca="1" si="2410"/>
        <v>-18345404.474352721</v>
      </c>
      <c r="BE2493" s="2">
        <f t="shared" ca="1" si="2411"/>
        <v>2279070.5299269385</v>
      </c>
      <c r="BF2493" s="2">
        <f t="shared" ca="1" si="2412"/>
        <v>2588929.6601834656</v>
      </c>
      <c r="BG2493" s="2">
        <f t="shared" ca="1" si="2413"/>
        <v>2861444.4969289978</v>
      </c>
      <c r="BH2493" s="2">
        <f t="shared" ca="1" si="2414"/>
        <v>3151364.421888893</v>
      </c>
      <c r="BI2493" s="2">
        <f t="shared" ca="1" si="2415"/>
        <v>33606179.993847467</v>
      </c>
      <c r="BJ2493" s="2">
        <f t="shared" ca="1" si="2416"/>
        <v>0.23115318515339323</v>
      </c>
      <c r="BK2493" s="2">
        <f t="shared" ca="1" si="2417"/>
        <v>8861876.5833790451</v>
      </c>
    </row>
    <row r="2494" spans="1:63" x14ac:dyDescent="0.3">
      <c r="A2494" s="2">
        <v>2493</v>
      </c>
      <c r="B2494" s="2">
        <f t="shared" ca="1" si="2356"/>
        <v>0.42395659484974269</v>
      </c>
      <c r="C2494" s="2">
        <f t="shared" ca="1" si="2357"/>
        <v>6.9208220184701741</v>
      </c>
      <c r="D2494" s="2">
        <f t="shared" ca="1" si="2358"/>
        <v>0.82002157611638604</v>
      </c>
      <c r="E2494" s="2">
        <f t="shared" ca="1" si="2359"/>
        <v>7.9000359612716542</v>
      </c>
      <c r="F2494" s="2">
        <f t="shared" ca="1" si="2360"/>
        <v>0.59963632652944865</v>
      </c>
      <c r="G2494" s="2">
        <f t="shared" ca="1" si="2361"/>
        <v>4.7572176738906971E-2</v>
      </c>
      <c r="H2494" s="2">
        <f t="shared" ca="1" si="2362"/>
        <v>4.7572176738906971E-2</v>
      </c>
      <c r="I2494" s="2">
        <f t="shared" ca="1" si="2363"/>
        <v>0.62759834244028601</v>
      </c>
      <c r="J2494" s="2">
        <f t="shared" ca="1" si="2364"/>
        <v>1.1627495820779283E-2</v>
      </c>
      <c r="K2494" s="2">
        <f t="shared" ca="1" si="2365"/>
        <v>1.1627495820779283E-2</v>
      </c>
      <c r="L2494" s="2">
        <f t="shared" ca="1" si="2366"/>
        <v>0.8156995746771516</v>
      </c>
      <c r="M2494" s="2">
        <f t="shared" ca="1" si="2367"/>
        <v>1.798194545502781E-2</v>
      </c>
      <c r="N2494" s="2">
        <f t="shared" ca="1" si="2368"/>
        <v>1.798194545502781E-2</v>
      </c>
      <c r="O2494" s="2">
        <f t="shared" si="2369"/>
        <v>6000000</v>
      </c>
      <c r="P2494" s="2">
        <f t="shared" ca="1" si="2370"/>
        <v>41524932.110821046</v>
      </c>
      <c r="Q2494" s="2">
        <f t="shared" ca="1" si="2371"/>
        <v>1038123.3027705261</v>
      </c>
      <c r="R2494" s="2">
        <f t="shared" ca="1" si="2372"/>
        <v>24914959.266492628</v>
      </c>
      <c r="S2494" s="2">
        <f t="shared" ca="1" si="2373"/>
        <v>16609972.844328418</v>
      </c>
      <c r="T2494" s="2">
        <f t="shared" ca="1" si="2374"/>
        <v>50899097.272751391</v>
      </c>
      <c r="U2494" s="2">
        <f t="shared" ca="1" si="2375"/>
        <v>53320478.12406154</v>
      </c>
      <c r="V2494" s="2">
        <f t="shared" ca="1" si="2376"/>
        <v>55857049.333182417</v>
      </c>
      <c r="W2494" s="2">
        <f t="shared" ca="1" si="2377"/>
        <v>58514290.756174415</v>
      </c>
      <c r="X2494" s="2">
        <f t="shared" ca="1" si="2378"/>
        <v>61297942.937778935</v>
      </c>
      <c r="Y2494" s="2">
        <f t="shared" ca="1" si="2379"/>
        <v>0.12581374791038963</v>
      </c>
      <c r="Z2494" s="2">
        <f t="shared" ca="1" si="2380"/>
        <v>0.12813924707454549</v>
      </c>
      <c r="AA2494" s="2">
        <f t="shared" ca="1" si="2381"/>
        <v>6403806.1931403438</v>
      </c>
      <c r="AB2494" s="2">
        <f t="shared" ca="1" si="2382"/>
        <v>6832445.9204720194</v>
      </c>
      <c r="AC2494" s="2">
        <f t="shared" ca="1" si="2383"/>
        <v>7157480.2453597384</v>
      </c>
      <c r="AD2494" s="2">
        <f t="shared" ca="1" si="2384"/>
        <v>7497977.1605972266</v>
      </c>
      <c r="AE2494" s="2">
        <f t="shared" ca="1" si="2385"/>
        <v>7854672.2552654454</v>
      </c>
      <c r="AF2494" s="2">
        <f t="shared" ca="1" si="2386"/>
        <v>1017981.9454550279</v>
      </c>
      <c r="AG2494" s="2">
        <f t="shared" ca="1" si="2387"/>
        <v>1066409.5624812308</v>
      </c>
      <c r="AH2494" s="2">
        <f t="shared" ca="1" si="2388"/>
        <v>1117140.9866636484</v>
      </c>
      <c r="AI2494" s="2">
        <f t="shared" ca="1" si="2389"/>
        <v>1170285.8151234884</v>
      </c>
      <c r="AJ2494" s="2">
        <f t="shared" ca="1" si="2390"/>
        <v>1225958.8587555788</v>
      </c>
      <c r="AK2494" s="2">
        <f t="shared" ca="1" si="2391"/>
        <v>0</v>
      </c>
      <c r="AL2494" s="2">
        <f t="shared" ca="1" si="2392"/>
        <v>24213.808513101489</v>
      </c>
      <c r="AM2494" s="2">
        <f t="shared" ca="1" si="2393"/>
        <v>25365.71209120877</v>
      </c>
      <c r="AN2494" s="2">
        <f t="shared" ca="1" si="2394"/>
        <v>26572.414229919985</v>
      </c>
      <c r="AO2494" s="2">
        <f t="shared" ca="1" si="2395"/>
        <v>27836.521816045195</v>
      </c>
      <c r="AP2494" s="2">
        <f t="shared" ca="1" si="2396"/>
        <v>2242346.3339843364</v>
      </c>
      <c r="AQ2494" s="2">
        <f t="shared" ca="1" si="2397"/>
        <v>817304.25756225479</v>
      </c>
      <c r="AR2494" s="2">
        <f t="shared" ca="1" si="2398"/>
        <v>916159.40624167759</v>
      </c>
      <c r="AS2494" s="2">
        <f t="shared" ca="1" si="2399"/>
        <v>987478.16042505612</v>
      </c>
      <c r="AT2494" s="2">
        <f t="shared" ca="1" si="2400"/>
        <v>1062189.7029872446</v>
      </c>
      <c r="AU2494" s="2">
        <f t="shared" ca="1" si="2401"/>
        <v>1140455.4362566383</v>
      </c>
      <c r="AV2494" s="2">
        <f t="shared" ca="1" si="2402"/>
        <v>2326173.6561387251</v>
      </c>
      <c r="AW2494" s="2">
        <f t="shared" ca="1" si="2403"/>
        <v>2583316.8092516731</v>
      </c>
      <c r="AX2494" s="2">
        <f t="shared" ca="1" si="2404"/>
        <v>2785149.0521954899</v>
      </c>
      <c r="AY2494" s="2">
        <f t="shared" ca="1" si="2405"/>
        <v>2996582.8942722376</v>
      </c>
      <c r="AZ2494" s="2">
        <f t="shared" ca="1" si="2406"/>
        <v>3218075.104452848</v>
      </c>
      <c r="BA2494" s="2">
        <f t="shared" ca="1" si="2407"/>
        <v>62052193.280599743</v>
      </c>
      <c r="BB2494" s="2">
        <f t="shared" ca="1" si="2408"/>
        <v>1241043.8656119949</v>
      </c>
      <c r="BC2494" s="2">
        <f t="shared" ca="1" si="2409"/>
        <v>35896190.148495123</v>
      </c>
      <c r="BD2494" s="2">
        <f t="shared" ca="1" si="2410"/>
        <v>-18148096.147098944</v>
      </c>
      <c r="BE2494" s="2">
        <f t="shared" ca="1" si="2411"/>
        <v>2326173.6561387251</v>
      </c>
      <c r="BF2494" s="2">
        <f t="shared" ca="1" si="2412"/>
        <v>2583316.8092516731</v>
      </c>
      <c r="BG2494" s="2">
        <f t="shared" ca="1" si="2413"/>
        <v>2785149.0521954899</v>
      </c>
      <c r="BH2494" s="2">
        <f t="shared" ca="1" si="2414"/>
        <v>2996582.8942722376</v>
      </c>
      <c r="BI2494" s="2">
        <f t="shared" ca="1" si="2415"/>
        <v>39114265.252947971</v>
      </c>
      <c r="BJ2494" s="2">
        <f t="shared" ca="1" si="2416"/>
        <v>0.26374402382674256</v>
      </c>
      <c r="BK2494" s="2">
        <f t="shared" ca="1" si="2417"/>
        <v>12069530.192961894</v>
      </c>
    </row>
    <row r="2495" spans="1:63" x14ac:dyDescent="0.3">
      <c r="A2495" s="2">
        <v>2494</v>
      </c>
      <c r="B2495" s="2">
        <f t="shared" ca="1" si="2356"/>
        <v>0.85209796338422994</v>
      </c>
      <c r="C2495" s="2">
        <f t="shared" ca="1" si="2357"/>
        <v>7.456121269737876</v>
      </c>
      <c r="D2495" s="2">
        <f t="shared" ca="1" si="2358"/>
        <v>0.87398903705448894</v>
      </c>
      <c r="E2495" s="2">
        <f t="shared" ca="1" si="2359"/>
        <v>7.9979821458443716</v>
      </c>
      <c r="F2495" s="2">
        <f t="shared" ca="1" si="2360"/>
        <v>0.77608428077703762</v>
      </c>
      <c r="G2495" s="2">
        <f t="shared" ca="1" si="2361"/>
        <v>6.2771059110380764E-2</v>
      </c>
      <c r="H2495" s="2">
        <f t="shared" ca="1" si="2362"/>
        <v>6.2771059110380764E-2</v>
      </c>
      <c r="I2495" s="2">
        <f t="shared" ca="1" si="2363"/>
        <v>0.5324628470619075</v>
      </c>
      <c r="J2495" s="2">
        <f t="shared" ca="1" si="2364"/>
        <v>1.0407311497254936E-2</v>
      </c>
      <c r="K2495" s="2">
        <f t="shared" ca="1" si="2365"/>
        <v>1.0407311497254936E-2</v>
      </c>
      <c r="L2495" s="2">
        <f t="shared" ca="1" si="2366"/>
        <v>0.87640369303761712</v>
      </c>
      <c r="M2495" s="2">
        <f t="shared" ca="1" si="2367"/>
        <v>2.3143904218656593E-2</v>
      </c>
      <c r="N2495" s="2">
        <f t="shared" ca="1" si="2368"/>
        <v>2.3143904218656593E-2</v>
      </c>
      <c r="O2495" s="2">
        <f t="shared" si="2369"/>
        <v>6000000</v>
      </c>
      <c r="P2495" s="2">
        <f t="shared" ca="1" si="2370"/>
        <v>44736727.618427254</v>
      </c>
      <c r="Q2495" s="2">
        <f t="shared" ca="1" si="2371"/>
        <v>1118418.1904606814</v>
      </c>
      <c r="R2495" s="2">
        <f t="shared" ca="1" si="2372"/>
        <v>26842036.571056351</v>
      </c>
      <c r="S2495" s="2">
        <f t="shared" ca="1" si="2373"/>
        <v>17894691.047370903</v>
      </c>
      <c r="T2495" s="2">
        <f t="shared" ca="1" si="2374"/>
        <v>51157195.210932828</v>
      </c>
      <c r="U2495" s="2">
        <f t="shared" ca="1" si="2375"/>
        <v>54368386.535439581</v>
      </c>
      <c r="V2495" s="2">
        <f t="shared" ca="1" si="2376"/>
        <v>57781147.740391687</v>
      </c>
      <c r="W2495" s="2">
        <f t="shared" ca="1" si="2377"/>
        <v>61408131.580669455</v>
      </c>
      <c r="X2495" s="2">
        <f t="shared" ca="1" si="2378"/>
        <v>65262785.037977695</v>
      </c>
      <c r="Y2495" s="2">
        <f t="shared" ca="1" si="2379"/>
        <v>0.12520365574862746</v>
      </c>
      <c r="Z2495" s="2">
        <f t="shared" ca="1" si="2380"/>
        <v>0.12728511804807846</v>
      </c>
      <c r="AA2495" s="2">
        <f t="shared" ca="1" si="2381"/>
        <v>6405067.8582549673</v>
      </c>
      <c r="AB2495" s="2">
        <f t="shared" ca="1" si="2382"/>
        <v>6920286.4982469864</v>
      </c>
      <c r="AC2495" s="2">
        <f t="shared" ca="1" si="2383"/>
        <v>7354680.211089218</v>
      </c>
      <c r="AD2495" s="2">
        <f t="shared" ca="1" si="2384"/>
        <v>7816341.277357447</v>
      </c>
      <c r="AE2495" s="2">
        <f t="shared" ca="1" si="2385"/>
        <v>8306981.2977053598</v>
      </c>
      <c r="AF2495" s="2">
        <f t="shared" ca="1" si="2386"/>
        <v>1023143.9042186566</v>
      </c>
      <c r="AG2495" s="2">
        <f t="shared" ca="1" si="2387"/>
        <v>1087367.7307087916</v>
      </c>
      <c r="AH2495" s="2">
        <f t="shared" ca="1" si="2388"/>
        <v>1155622.9548078338</v>
      </c>
      <c r="AI2495" s="2">
        <f t="shared" ca="1" si="2389"/>
        <v>1228162.6316133891</v>
      </c>
      <c r="AJ2495" s="2">
        <f t="shared" ca="1" si="2390"/>
        <v>1305255.700759554</v>
      </c>
      <c r="AK2495" s="2">
        <f t="shared" ca="1" si="2391"/>
        <v>0</v>
      </c>
      <c r="AL2495" s="2">
        <f t="shared" ca="1" si="2392"/>
        <v>32111.913245067524</v>
      </c>
      <c r="AM2495" s="2">
        <f t="shared" ca="1" si="2393"/>
        <v>34127.612049521056</v>
      </c>
      <c r="AN2495" s="2">
        <f t="shared" ca="1" si="2394"/>
        <v>36269.838402777685</v>
      </c>
      <c r="AO2495" s="2">
        <f t="shared" ca="1" si="2395"/>
        <v>38546.534573082405</v>
      </c>
      <c r="AP2495" s="2">
        <f t="shared" ca="1" si="2396"/>
        <v>2415783.2913950714</v>
      </c>
      <c r="AQ2495" s="2">
        <f t="shared" ca="1" si="2397"/>
        <v>771196.57228672213</v>
      </c>
      <c r="AR2495" s="2">
        <f t="shared" ca="1" si="2398"/>
        <v>888455.22379721201</v>
      </c>
      <c r="AS2495" s="2">
        <f t="shared" ca="1" si="2399"/>
        <v>983651.23087044142</v>
      </c>
      <c r="AT2495" s="2">
        <f t="shared" ca="1" si="2400"/>
        <v>1084822.7921307364</v>
      </c>
      <c r="AU2495" s="2">
        <f t="shared" ca="1" si="2401"/>
        <v>1192344.9994431909</v>
      </c>
      <c r="AV2495" s="2">
        <f t="shared" ca="1" si="2402"/>
        <v>2194944.0903545166</v>
      </c>
      <c r="AW2495" s="2">
        <f t="shared" ca="1" si="2403"/>
        <v>2496568.3391008428</v>
      </c>
      <c r="AX2495" s="2">
        <f t="shared" ca="1" si="2404"/>
        <v>2765495.1219663504</v>
      </c>
      <c r="AY2495" s="2">
        <f t="shared" ca="1" si="2405"/>
        <v>3051302.7238154714</v>
      </c>
      <c r="AZ2495" s="2">
        <f t="shared" ca="1" si="2406"/>
        <v>3355050.7715344601</v>
      </c>
      <c r="BA2495" s="2">
        <f t="shared" ca="1" si="2407"/>
        <v>66439088.104910575</v>
      </c>
      <c r="BB2495" s="2">
        <f t="shared" ca="1" si="2408"/>
        <v>1328781.7620982116</v>
      </c>
      <c r="BC2495" s="2">
        <f t="shared" ca="1" si="2409"/>
        <v>38268269.771756016</v>
      </c>
      <c r="BD2495" s="2">
        <f t="shared" ca="1" si="2410"/>
        <v>-19513109.237831585</v>
      </c>
      <c r="BE2495" s="2">
        <f t="shared" ca="1" si="2411"/>
        <v>2194944.0903545166</v>
      </c>
      <c r="BF2495" s="2">
        <f t="shared" ca="1" si="2412"/>
        <v>2496568.3391008428</v>
      </c>
      <c r="BG2495" s="2">
        <f t="shared" ca="1" si="2413"/>
        <v>2765495.1219663504</v>
      </c>
      <c r="BH2495" s="2">
        <f t="shared" ca="1" si="2414"/>
        <v>3051302.7238154714</v>
      </c>
      <c r="BI2495" s="2">
        <f t="shared" ca="1" si="2415"/>
        <v>41623320.543290474</v>
      </c>
      <c r="BJ2495" s="2">
        <f t="shared" ca="1" si="2416"/>
        <v>0.25221882897341108</v>
      </c>
      <c r="BK2495" s="2">
        <f t="shared" ca="1" si="2417"/>
        <v>11962684.01358974</v>
      </c>
    </row>
    <row r="2496" spans="1:63" x14ac:dyDescent="0.3">
      <c r="A2496" s="2">
        <v>2495</v>
      </c>
      <c r="B2496" s="2">
        <f t="shared" ca="1" si="2356"/>
        <v>9.0686636649291219E-2</v>
      </c>
      <c r="C2496" s="2">
        <f t="shared" ca="1" si="2357"/>
        <v>6.425879411686668</v>
      </c>
      <c r="D2496" s="2">
        <f t="shared" ca="1" si="2358"/>
        <v>0.65788410536901187</v>
      </c>
      <c r="E2496" s="2">
        <f t="shared" ca="1" si="2359"/>
        <v>7.672816955407102</v>
      </c>
      <c r="F2496" s="2">
        <f t="shared" ca="1" si="2360"/>
        <v>0.77760827263518573</v>
      </c>
      <c r="G2496" s="2">
        <f t="shared" ca="1" si="2361"/>
        <v>6.2924218262906104E-2</v>
      </c>
      <c r="H2496" s="2">
        <f t="shared" ca="1" si="2362"/>
        <v>6.2924218262906104E-2</v>
      </c>
      <c r="I2496" s="2">
        <f t="shared" ca="1" si="2363"/>
        <v>0.84391540248886454</v>
      </c>
      <c r="J2496" s="2">
        <f t="shared" ca="1" si="2364"/>
        <v>1.5053404359090635E-2</v>
      </c>
      <c r="K2496" s="2">
        <f t="shared" ca="1" si="2365"/>
        <v>1.5053404359090635E-2</v>
      </c>
      <c r="L2496" s="2">
        <f t="shared" ca="1" si="2366"/>
        <v>0.295563195433724</v>
      </c>
      <c r="M2496" s="2">
        <f t="shared" ca="1" si="2367"/>
        <v>-1.0744089199670471E-2</v>
      </c>
      <c r="N2496" s="2">
        <f t="shared" ca="1" si="2368"/>
        <v>-1.0744089199670471E-2</v>
      </c>
      <c r="O2496" s="2">
        <f t="shared" si="2369"/>
        <v>6000000</v>
      </c>
      <c r="P2496" s="2">
        <f t="shared" ca="1" si="2370"/>
        <v>38555276.470120005</v>
      </c>
      <c r="Q2496" s="2">
        <f t="shared" ca="1" si="2371"/>
        <v>963881.91175300023</v>
      </c>
      <c r="R2496" s="2">
        <f t="shared" ca="1" si="2372"/>
        <v>23133165.882072002</v>
      </c>
      <c r="S2496" s="2">
        <f t="shared" ca="1" si="2373"/>
        <v>15422110.588048004</v>
      </c>
      <c r="T2496" s="2">
        <f t="shared" ca="1" si="2374"/>
        <v>49462795.540016472</v>
      </c>
      <c r="U2496" s="2">
        <f t="shared" ca="1" si="2375"/>
        <v>52575203.282469973</v>
      </c>
      <c r="V2496" s="2">
        <f t="shared" ca="1" si="2376"/>
        <v>55883456.849032775</v>
      </c>
      <c r="W2496" s="2">
        <f t="shared" ca="1" si="2377"/>
        <v>59399879.68508701</v>
      </c>
      <c r="X2496" s="2">
        <f t="shared" ca="1" si="2378"/>
        <v>63137570.679181792</v>
      </c>
      <c r="Y2496" s="2">
        <f t="shared" ca="1" si="2379"/>
        <v>0.12752670217954531</v>
      </c>
      <c r="Z2496" s="2">
        <f t="shared" ca="1" si="2380"/>
        <v>0.13053738305136345</v>
      </c>
      <c r="AA2496" s="2">
        <f t="shared" ca="1" si="2381"/>
        <v>6307827.1957994234</v>
      </c>
      <c r="AB2496" s="2">
        <f t="shared" ca="1" si="2382"/>
        <v>6863029.4498870838</v>
      </c>
      <c r="AC2496" s="2">
        <f t="shared" ca="1" si="2383"/>
        <v>7294880.2129365318</v>
      </c>
      <c r="AD2496" s="2">
        <f t="shared" ca="1" si="2384"/>
        <v>7753904.847657105</v>
      </c>
      <c r="AE2496" s="2">
        <f t="shared" ca="1" si="2385"/>
        <v>8241813.2486808868</v>
      </c>
      <c r="AF2496" s="2">
        <f t="shared" ca="1" si="2386"/>
        <v>989255.91080032941</v>
      </c>
      <c r="AG2496" s="2">
        <f t="shared" ca="1" si="2387"/>
        <v>1051504.0656493995</v>
      </c>
      <c r="AH2496" s="2">
        <f t="shared" ca="1" si="2388"/>
        <v>1117669.1369806556</v>
      </c>
      <c r="AI2496" s="2">
        <f t="shared" ca="1" si="2389"/>
        <v>1187997.5937017403</v>
      </c>
      <c r="AJ2496" s="2">
        <f t="shared" ca="1" si="2390"/>
        <v>1262751.4135836358</v>
      </c>
      <c r="AK2496" s="2">
        <f t="shared" ca="1" si="2391"/>
        <v>0</v>
      </c>
      <c r="AL2496" s="2">
        <f t="shared" ca="1" si="2392"/>
        <v>31124.077424535008</v>
      </c>
      <c r="AM2496" s="2">
        <f t="shared" ca="1" si="2393"/>
        <v>33082.53566562802</v>
      </c>
      <c r="AN2496" s="2">
        <f t="shared" ca="1" si="2394"/>
        <v>35164.228360542358</v>
      </c>
      <c r="AO2496" s="2">
        <f t="shared" ca="1" si="2395"/>
        <v>37376.909940947815</v>
      </c>
      <c r="AP2496" s="2">
        <f t="shared" ca="1" si="2396"/>
        <v>2081984.92938648</v>
      </c>
      <c r="AQ2496" s="2">
        <f t="shared" ca="1" si="2397"/>
        <v>841512.45245927968</v>
      </c>
      <c r="AR2496" s="2">
        <f t="shared" ca="1" si="2398"/>
        <v>969680.51826131321</v>
      </c>
      <c r="AS2496" s="2">
        <f t="shared" ca="1" si="2399"/>
        <v>1064758.7981080431</v>
      </c>
      <c r="AT2496" s="2">
        <f t="shared" ca="1" si="2400"/>
        <v>1165819.8043879101</v>
      </c>
      <c r="AU2496" s="2">
        <f t="shared" ca="1" si="2401"/>
        <v>1273239.9954848008</v>
      </c>
      <c r="AV2496" s="2">
        <f t="shared" ca="1" si="2402"/>
        <v>2395073.9031533347</v>
      </c>
      <c r="AW2496" s="2">
        <f t="shared" ca="1" si="2403"/>
        <v>2728735.8591653565</v>
      </c>
      <c r="AX2496" s="2">
        <f t="shared" ca="1" si="2404"/>
        <v>2997384.8127957257</v>
      </c>
      <c r="AY2496" s="2">
        <f t="shared" ca="1" si="2405"/>
        <v>3282938.2918204321</v>
      </c>
      <c r="AZ2496" s="2">
        <f t="shared" ca="1" si="2406"/>
        <v>3586460.0002850229</v>
      </c>
      <c r="BA2496" s="2">
        <f t="shared" ca="1" si="2407"/>
        <v>63237924.437777601</v>
      </c>
      <c r="BB2496" s="2">
        <f t="shared" ca="1" si="2408"/>
        <v>1264758.4887555521</v>
      </c>
      <c r="BC2496" s="2">
        <f t="shared" ca="1" si="2409"/>
        <v>38840000.066950046</v>
      </c>
      <c r="BD2496" s="2">
        <f t="shared" ca="1" si="2410"/>
        <v>-16885992.499801002</v>
      </c>
      <c r="BE2496" s="2">
        <f t="shared" ca="1" si="2411"/>
        <v>2395073.9031533347</v>
      </c>
      <c r="BF2496" s="2">
        <f t="shared" ca="1" si="2412"/>
        <v>2728735.8591653565</v>
      </c>
      <c r="BG2496" s="2">
        <f t="shared" ca="1" si="2413"/>
        <v>2997384.8127957257</v>
      </c>
      <c r="BH2496" s="2">
        <f t="shared" ca="1" si="2414"/>
        <v>3282938.2918204321</v>
      </c>
      <c r="BI2496" s="2">
        <f t="shared" ca="1" si="2415"/>
        <v>42426460.067235067</v>
      </c>
      <c r="BJ2496" s="2">
        <f t="shared" ca="1" si="2416"/>
        <v>0.30957161531893518</v>
      </c>
      <c r="BK2496" s="2">
        <f t="shared" ca="1" si="2417"/>
        <v>15721556.637485888</v>
      </c>
    </row>
    <row r="2497" spans="1:63" x14ac:dyDescent="0.3">
      <c r="A2497" s="2">
        <v>2496</v>
      </c>
      <c r="B2497" s="2">
        <f t="shared" ca="1" si="2356"/>
        <v>0.63700822077774943</v>
      </c>
      <c r="C2497" s="2">
        <f t="shared" ca="1" si="2357"/>
        <v>7.1479533120512109</v>
      </c>
      <c r="D2497" s="2">
        <f t="shared" ca="1" si="2358"/>
        <v>0.48450178945715516</v>
      </c>
      <c r="E2497" s="2">
        <f t="shared" ca="1" si="2359"/>
        <v>7.4843797940400396</v>
      </c>
      <c r="F2497" s="2">
        <f t="shared" ca="1" si="2360"/>
        <v>0.50843931850872259</v>
      </c>
      <c r="G2497" s="2">
        <f t="shared" ca="1" si="2361"/>
        <v>4.0634674371964531E-2</v>
      </c>
      <c r="H2497" s="2">
        <f t="shared" ca="1" si="2362"/>
        <v>4.0634674371964531E-2</v>
      </c>
      <c r="I2497" s="2">
        <f t="shared" ca="1" si="2363"/>
        <v>4.8630724099936407E-2</v>
      </c>
      <c r="J2497" s="2">
        <f t="shared" ca="1" si="2364"/>
        <v>1.7086120022355451E-3</v>
      </c>
      <c r="K2497" s="2">
        <f t="shared" ca="1" si="2365"/>
        <v>1.7086120022355451E-3</v>
      </c>
      <c r="L2497" s="2">
        <f t="shared" ca="1" si="2366"/>
        <v>0.23739776761828191</v>
      </c>
      <c r="M2497" s="2">
        <f t="shared" ca="1" si="2367"/>
        <v>-1.4293964485599735E-2</v>
      </c>
      <c r="N2497" s="2">
        <f t="shared" ca="1" si="2368"/>
        <v>-1.4293964485599735E-2</v>
      </c>
      <c r="O2497" s="2">
        <f t="shared" si="2369"/>
        <v>6000000</v>
      </c>
      <c r="P2497" s="2">
        <f t="shared" ca="1" si="2370"/>
        <v>42887719.872307263</v>
      </c>
      <c r="Q2497" s="2">
        <f t="shared" ca="1" si="2371"/>
        <v>1072192.9968076816</v>
      </c>
      <c r="R2497" s="2">
        <f t="shared" ca="1" si="2372"/>
        <v>25732631.923384357</v>
      </c>
      <c r="S2497" s="2">
        <f t="shared" ca="1" si="2373"/>
        <v>17155087.948922906</v>
      </c>
      <c r="T2497" s="2">
        <f t="shared" ca="1" si="2374"/>
        <v>49285301.775720015</v>
      </c>
      <c r="U2497" s="2">
        <f t="shared" ca="1" si="2375"/>
        <v>51287993.964700401</v>
      </c>
      <c r="V2497" s="2">
        <f t="shared" ca="1" si="2376"/>
        <v>53372064.898647286</v>
      </c>
      <c r="W2497" s="2">
        <f t="shared" ca="1" si="2377"/>
        <v>55540821.376363181</v>
      </c>
      <c r="X2497" s="2">
        <f t="shared" ca="1" si="2378"/>
        <v>57797704.567343146</v>
      </c>
      <c r="Y2497" s="2">
        <f t="shared" ca="1" si="2379"/>
        <v>0.12085430600111777</v>
      </c>
      <c r="Z2497" s="2">
        <f t="shared" ca="1" si="2380"/>
        <v>0.12119602840156488</v>
      </c>
      <c r="AA2497" s="2">
        <f t="shared" ca="1" si="2381"/>
        <v>5956340.9421603</v>
      </c>
      <c r="AB2497" s="2">
        <f t="shared" ca="1" si="2382"/>
        <v>6215901.1732051177</v>
      </c>
      <c r="AC2497" s="2">
        <f t="shared" ca="1" si="2383"/>
        <v>6468482.2933066199</v>
      </c>
      <c r="AD2497" s="2">
        <f t="shared" ca="1" si="2384"/>
        <v>6731326.964975954</v>
      </c>
      <c r="AE2497" s="2">
        <f t="shared" ca="1" si="2385"/>
        <v>7004852.2442889754</v>
      </c>
      <c r="AF2497" s="2">
        <f t="shared" ca="1" si="2386"/>
        <v>985706.03551440034</v>
      </c>
      <c r="AG2497" s="2">
        <f t="shared" ca="1" si="2387"/>
        <v>1025759.879294008</v>
      </c>
      <c r="AH2497" s="2">
        <f t="shared" ca="1" si="2388"/>
        <v>1067441.2979729457</v>
      </c>
      <c r="AI2497" s="2">
        <f t="shared" ca="1" si="2389"/>
        <v>1110816.4275272635</v>
      </c>
      <c r="AJ2497" s="2">
        <f t="shared" ca="1" si="2390"/>
        <v>1155954.091346863</v>
      </c>
      <c r="AK2497" s="2">
        <f t="shared" ca="1" si="2391"/>
        <v>0</v>
      </c>
      <c r="AL2497" s="2">
        <f t="shared" ca="1" si="2392"/>
        <v>20026.921889803856</v>
      </c>
      <c r="AM2497" s="2">
        <f t="shared" ca="1" si="2393"/>
        <v>20840.709339468853</v>
      </c>
      <c r="AN2497" s="2">
        <f t="shared" ca="1" si="2394"/>
        <v>21687.564777158947</v>
      </c>
      <c r="AO2497" s="2">
        <f t="shared" ca="1" si="2395"/>
        <v>22568.83190979965</v>
      </c>
      <c r="AP2497" s="2">
        <f t="shared" ca="1" si="2396"/>
        <v>2315936.8731045919</v>
      </c>
      <c r="AQ2497" s="2">
        <f t="shared" ca="1" si="2397"/>
        <v>690221.48872074008</v>
      </c>
      <c r="AR2497" s="2">
        <f t="shared" ca="1" si="2398"/>
        <v>747293.14940969471</v>
      </c>
      <c r="AS2497" s="2">
        <f t="shared" ca="1" si="2399"/>
        <v>802127.07177956146</v>
      </c>
      <c r="AT2497" s="2">
        <f t="shared" ca="1" si="2400"/>
        <v>859189.15272946563</v>
      </c>
      <c r="AU2497" s="2">
        <f t="shared" ca="1" si="2401"/>
        <v>918569.93275775539</v>
      </c>
      <c r="AV2497" s="2">
        <f t="shared" ca="1" si="2402"/>
        <v>1964476.5448205676</v>
      </c>
      <c r="AW2497" s="2">
        <f t="shared" ca="1" si="2403"/>
        <v>2106884.3495070189</v>
      </c>
      <c r="AX2497" s="2">
        <f t="shared" ca="1" si="2404"/>
        <v>2262136.3411100525</v>
      </c>
      <c r="AY2497" s="2">
        <f t="shared" ca="1" si="2405"/>
        <v>2423696.9468374737</v>
      </c>
      <c r="AZ2497" s="2">
        <f t="shared" ca="1" si="2406"/>
        <v>2591822.5151699651</v>
      </c>
      <c r="BA2497" s="2">
        <f t="shared" ca="1" si="2407"/>
        <v>52426974.597392432</v>
      </c>
      <c r="BB2497" s="2">
        <f t="shared" ca="1" si="2408"/>
        <v>1048539.4919478487</v>
      </c>
      <c r="BC2497" s="2">
        <f t="shared" ca="1" si="2409"/>
        <v>25645803.182060227</v>
      </c>
      <c r="BD2497" s="2">
        <f t="shared" ca="1" si="2410"/>
        <v>-18727280.945730589</v>
      </c>
      <c r="BE2497" s="2">
        <f t="shared" ca="1" si="2411"/>
        <v>1964476.5448205676</v>
      </c>
      <c r="BF2497" s="2">
        <f t="shared" ca="1" si="2412"/>
        <v>2106884.3495070189</v>
      </c>
      <c r="BG2497" s="2">
        <f t="shared" ca="1" si="2413"/>
        <v>2262136.3411100525</v>
      </c>
      <c r="BH2497" s="2">
        <f t="shared" ca="1" si="2414"/>
        <v>2423696.9468374737</v>
      </c>
      <c r="BI2497" s="2">
        <f t="shared" ca="1" si="2415"/>
        <v>28237625.69723019</v>
      </c>
      <c r="BJ2497" s="2">
        <f t="shared" ca="1" si="2416"/>
        <v>0.17113757249678785</v>
      </c>
      <c r="BK2497" s="2">
        <f t="shared" ca="1" si="2417"/>
        <v>3879545.6275137179</v>
      </c>
    </row>
    <row r="2498" spans="1:63" x14ac:dyDescent="0.3">
      <c r="A2498" s="2">
        <v>2497</v>
      </c>
      <c r="B2498" s="2">
        <f t="shared" ca="1" si="2356"/>
        <v>7.0039671401216252E-2</v>
      </c>
      <c r="C2498" s="2">
        <f t="shared" ref="C2498:C2501" ca="1" si="2418">IF(B2498&lt;((P_Mode)-(P_Low))/((P_High)-(P_Low)), (P_Low)+SQRT(B2498*((P_High)-(P_Low))*((P_Mode)-(P_Low))), (P_High)-SQRT((1-B2498)*((P_High)-(P_Low))*((P_High)-(P_Mode))))</f>
        <v>6.3742717499390418</v>
      </c>
      <c r="D2498" s="2">
        <f t="shared" ca="1" si="2358"/>
        <v>0.68194791820169309</v>
      </c>
      <c r="E2498" s="2">
        <f t="shared" ref="E2498:E2501" ca="1" si="2419">IF(D2498&lt;((X_Mode)-(X_Low))/((X_High)-(X_Low)), (X_Low)+SQRT(D2498*((X_High)-(X_Low))*((X_Mode)-(X_Low))), (X_High)-SQRT((1-D2498)*((X_High)-(X_Low))*((X_High)-(X_Mode))))</f>
        <v>7.7024386145276251</v>
      </c>
      <c r="F2498" s="2">
        <f t="shared" ca="1" si="2360"/>
        <v>0.81947610047493868</v>
      </c>
      <c r="G2498" s="2">
        <f t="shared" ref="G2498:G2501" ca="1" si="2420">NORMINV(F2498, g_Mean, g_SD)</f>
        <v>6.7401110217241156E-2</v>
      </c>
      <c r="H2498" s="2">
        <f t="shared" ref="H2498:H2501" ca="1" si="2421">MIN(MAX(G2498, g_Min), g_Max)</f>
        <v>6.7401110217241156E-2</v>
      </c>
      <c r="I2498" s="2">
        <f t="shared" ca="1" si="2363"/>
        <v>0.26140684748005216</v>
      </c>
      <c r="J2498" s="2">
        <f t="shared" ref="J2498:J2501" ca="1" si="2422">NORMINV(I2498, syn_Mean, syn_SD)</f>
        <v>6.8049290053984407E-3</v>
      </c>
      <c r="K2498" s="2">
        <f t="shared" ref="K2498:K2501" ca="1" si="2423">MIN(MAX(J2498, syn_Min), syn_Max)</f>
        <v>6.8049290053984407E-3</v>
      </c>
      <c r="L2498" s="2">
        <f t="shared" ca="1" si="2366"/>
        <v>2.1864879284103633E-3</v>
      </c>
      <c r="M2498" s="2">
        <f t="shared" ref="M2498:M2501" ca="1" si="2424">NORMINV(L2498, shk_Mean, shk_SD)</f>
        <v>-5.6998468110266647E-2</v>
      </c>
      <c r="N2498" s="2">
        <f t="shared" ref="N2498:N2501" ca="1" si="2425">MIN(MAX(M2498, shk_Min), shk_Max)</f>
        <v>-0.05</v>
      </c>
      <c r="O2498" s="2">
        <f t="shared" si="2369"/>
        <v>6000000</v>
      </c>
      <c r="P2498" s="2">
        <f t="shared" ref="P2498:P2501" ca="1" si="2426">O2498*C2498</f>
        <v>38245630.499634251</v>
      </c>
      <c r="Q2498" s="2">
        <f t="shared" ref="Q2498:Q2501" ca="1" si="2427">P2498*TxnCostPct</f>
        <v>956140.76249085634</v>
      </c>
      <c r="R2498" s="2">
        <f t="shared" ca="1" si="2372"/>
        <v>22947378.299780551</v>
      </c>
      <c r="S2498" s="2">
        <f t="shared" ca="1" si="2373"/>
        <v>15298252.199853702</v>
      </c>
      <c r="T2498" s="2">
        <f t="shared" ca="1" si="2374"/>
        <v>47500000</v>
      </c>
      <c r="U2498" s="2">
        <f t="shared" ref="U2498:U2501" ca="1" si="2428">T2498*(1+H2498)</f>
        <v>50701552.735318951</v>
      </c>
      <c r="V2498" s="2">
        <f t="shared" ref="V2498:V2501" ca="1" si="2429">U2498*(1+H2498)</f>
        <v>54118893.679417446</v>
      </c>
      <c r="W2498" s="2">
        <f t="shared" ref="W2498:W2501" ca="1" si="2430">V2498*(1+H2498)</f>
        <v>57766567.197139017</v>
      </c>
      <c r="X2498" s="2">
        <f t="shared" ref="X2498:X2501" ca="1" si="2431">W2498*(1+H2498)</f>
        <v>61660097.959665053</v>
      </c>
      <c r="Y2498" s="2">
        <f t="shared" ca="1" si="2379"/>
        <v>0.12340246450269922</v>
      </c>
      <c r="Z2498" s="2">
        <f t="shared" ca="1" si="2380"/>
        <v>0.1247634503037789</v>
      </c>
      <c r="AA2498" s="2">
        <f t="shared" ca="1" si="2381"/>
        <v>5861617.0638782131</v>
      </c>
      <c r="AB2498" s="2">
        <f t="shared" ca="1" si="2382"/>
        <v>6325700.6550173908</v>
      </c>
      <c r="AC2498" s="2">
        <f t="shared" ca="1" si="2383"/>
        <v>6752059.9020674927</v>
      </c>
      <c r="AD2498" s="2">
        <f t="shared" ca="1" si="2384"/>
        <v>7207156.2357201586</v>
      </c>
      <c r="AE2498" s="2">
        <f t="shared" ca="1" si="2385"/>
        <v>7692926.5675168093</v>
      </c>
      <c r="AF2498" s="2">
        <f t="shared" ca="1" si="2386"/>
        <v>950000</v>
      </c>
      <c r="AG2498" s="2">
        <f t="shared" ca="1" si="2387"/>
        <v>1014031.0547063791</v>
      </c>
      <c r="AH2498" s="2">
        <f t="shared" ca="1" si="2388"/>
        <v>1082377.873588349</v>
      </c>
      <c r="AI2498" s="2">
        <f t="shared" ca="1" si="2389"/>
        <v>1155331.3439427803</v>
      </c>
      <c r="AJ2498" s="2">
        <f t="shared" ca="1" si="2390"/>
        <v>1233201.9591933012</v>
      </c>
      <c r="AK2498" s="2">
        <f t="shared" ca="1" si="2391"/>
        <v>0</v>
      </c>
      <c r="AL2498" s="2">
        <f t="shared" ca="1" si="2392"/>
        <v>32015.527353189515</v>
      </c>
      <c r="AM2498" s="2">
        <f t="shared" ca="1" si="2393"/>
        <v>34173.409440984949</v>
      </c>
      <c r="AN2498" s="2">
        <f t="shared" ca="1" si="2394"/>
        <v>36476.735177215713</v>
      </c>
      <c r="AO2498" s="2">
        <f t="shared" ca="1" si="2395"/>
        <v>38935.307625260357</v>
      </c>
      <c r="AP2498" s="2">
        <f t="shared" ca="1" si="2396"/>
        <v>2065264.0469802495</v>
      </c>
      <c r="AQ2498" s="2">
        <f t="shared" ref="AQ2498:AQ2501" ca="1" si="2432">MAX(AA2498-AF2498-AP2498,0)*Tax</f>
        <v>740051.7843934705</v>
      </c>
      <c r="AR2498" s="2">
        <f t="shared" ca="1" si="2398"/>
        <v>844065.44386599818</v>
      </c>
      <c r="AS2498" s="2">
        <f t="shared" ca="1" si="2399"/>
        <v>937148.67518971255</v>
      </c>
      <c r="AT2498" s="2">
        <f t="shared" ca="1" si="2400"/>
        <v>1036505.8196472535</v>
      </c>
      <c r="AU2498" s="2">
        <f t="shared" ca="1" si="2401"/>
        <v>1142559.7459492472</v>
      </c>
      <c r="AV2498" s="2">
        <f t="shared" ca="1" si="2402"/>
        <v>2106301.2325044926</v>
      </c>
      <c r="AW2498" s="2">
        <f t="shared" ca="1" si="2403"/>
        <v>2370324.5821115738</v>
      </c>
      <c r="AX2498" s="2">
        <f t="shared" ca="1" si="2404"/>
        <v>2633095.8968681963</v>
      </c>
      <c r="AY2498" s="2">
        <f t="shared" ca="1" si="2405"/>
        <v>2913578.2899726592</v>
      </c>
      <c r="AZ2498" s="2">
        <f t="shared" ca="1" si="2406"/>
        <v>3212965.5077687511</v>
      </c>
      <c r="BA2498" s="2">
        <f t="shared" ca="1" si="2407"/>
        <v>59254294.652366929</v>
      </c>
      <c r="BB2498" s="2">
        <f t="shared" ref="BB2498:BB2501" ca="1" si="2433">BA2498*SellCostPct</f>
        <v>1185085.8930473386</v>
      </c>
      <c r="BC2498" s="2">
        <f t="shared" ref="BC2498:BC2501" ca="1" si="2434">BA2498-R2498-BB2498</f>
        <v>35121830.459539033</v>
      </c>
      <c r="BD2498" s="2">
        <f t="shared" ca="1" si="2410"/>
        <v>-16754392.962344557</v>
      </c>
      <c r="BE2498" s="2">
        <f t="shared" ca="1" si="2411"/>
        <v>2106301.2325044926</v>
      </c>
      <c r="BF2498" s="2">
        <f t="shared" ca="1" si="2412"/>
        <v>2370324.5821115738</v>
      </c>
      <c r="BG2498" s="2">
        <f t="shared" ca="1" si="2413"/>
        <v>2633095.8968681963</v>
      </c>
      <c r="BH2498" s="2">
        <f t="shared" ca="1" si="2414"/>
        <v>2913578.2899726592</v>
      </c>
      <c r="BI2498" s="2">
        <f t="shared" ca="1" si="2415"/>
        <v>38334795.967307784</v>
      </c>
      <c r="BJ2498" s="2">
        <f t="shared" ref="BJ2498:BJ2501" ca="1" si="2435">IF(MIN(BD2498:BI2498)*MAX(BD2498:BI2498)&gt;=0, "", IFERROR(IRR(BD2498:BI2498,0.12), IFERROR(IRR(BD2498:BI2498,0.5), IFERROR(IRR(BD2498:BI2498,-0.5),""))))</f>
        <v>0.27694787931962761</v>
      </c>
      <c r="BK2498" s="2">
        <f t="shared" ca="1" si="2417"/>
        <v>12493851.44923218</v>
      </c>
    </row>
    <row r="2499" spans="1:63" x14ac:dyDescent="0.3">
      <c r="A2499" s="2">
        <v>2498</v>
      </c>
      <c r="B2499" s="2">
        <f t="shared" ca="1" si="2356"/>
        <v>0.27944264401372021</v>
      </c>
      <c r="C2499" s="2">
        <f t="shared" ca="1" si="2418"/>
        <v>6.7475863080791676</v>
      </c>
      <c r="D2499" s="2">
        <f t="shared" ca="1" si="2358"/>
        <v>7.0575260364102776E-2</v>
      </c>
      <c r="E2499" s="2">
        <f t="shared" ca="1" si="2419"/>
        <v>6.8757000408946016</v>
      </c>
      <c r="F2499" s="2">
        <f t="shared" ca="1" si="2360"/>
        <v>0.80813803632773706</v>
      </c>
      <c r="G2499" s="2">
        <f t="shared" ca="1" si="2420"/>
        <v>6.6131660754700589E-2</v>
      </c>
      <c r="H2499" s="2">
        <f t="shared" ca="1" si="2421"/>
        <v>6.6131660754700589E-2</v>
      </c>
      <c r="I2499" s="2">
        <f t="shared" ca="1" si="2363"/>
        <v>3.125343001977865E-2</v>
      </c>
      <c r="J2499" s="2">
        <f t="shared" ca="1" si="2422"/>
        <v>6.8658432490914696E-4</v>
      </c>
      <c r="K2499" s="2">
        <f t="shared" ca="1" si="2423"/>
        <v>6.8658432490914696E-4</v>
      </c>
      <c r="L2499" s="2">
        <f t="shared" ca="1" si="2366"/>
        <v>0.17890617546865351</v>
      </c>
      <c r="M2499" s="2">
        <f t="shared" ca="1" si="2424"/>
        <v>-1.8390832232712758E-2</v>
      </c>
      <c r="N2499" s="2">
        <f t="shared" ca="1" si="2425"/>
        <v>-1.8390832232712758E-2</v>
      </c>
      <c r="O2499" s="2">
        <f t="shared" si="2369"/>
        <v>6000000</v>
      </c>
      <c r="P2499" s="2">
        <f t="shared" ca="1" si="2426"/>
        <v>40485517.848475009</v>
      </c>
      <c r="Q2499" s="2">
        <f t="shared" ca="1" si="2427"/>
        <v>1012137.9462118753</v>
      </c>
      <c r="R2499" s="2">
        <f t="shared" ca="1" si="2372"/>
        <v>24291310.709085006</v>
      </c>
      <c r="S2499" s="2">
        <f t="shared" ca="1" si="2373"/>
        <v>16194207.139390005</v>
      </c>
      <c r="T2499" s="2">
        <f t="shared" ca="1" si="2374"/>
        <v>49080458.38836436</v>
      </c>
      <c r="U2499" s="2">
        <f t="shared" ca="1" si="2428"/>
        <v>52326230.612188876</v>
      </c>
      <c r="V2499" s="2">
        <f t="shared" ca="1" si="2429"/>
        <v>55786651.143606387</v>
      </c>
      <c r="W2499" s="2">
        <f t="shared" ca="1" si="2430"/>
        <v>59475915.031676196</v>
      </c>
      <c r="X2499" s="2">
        <f t="shared" ca="1" si="2431"/>
        <v>63409156.067626409</v>
      </c>
      <c r="Y2499" s="2">
        <f t="shared" ca="1" si="2379"/>
        <v>0.12034329216245457</v>
      </c>
      <c r="Z2499" s="2">
        <f t="shared" ca="1" si="2380"/>
        <v>0.1204806090274364</v>
      </c>
      <c r="AA2499" s="2">
        <f t="shared" ca="1" si="2381"/>
        <v>5906503.9432981266</v>
      </c>
      <c r="AB2499" s="2">
        <f t="shared" ca="1" si="2382"/>
        <v>6304296.1322666025</v>
      </c>
      <c r="AC2499" s="2">
        <f t="shared" ca="1" si="2383"/>
        <v>6721209.7053828286</v>
      </c>
      <c r="AD2499" s="2">
        <f t="shared" ca="1" si="2384"/>
        <v>7165694.4654804077</v>
      </c>
      <c r="AE2499" s="2">
        <f t="shared" ca="1" si="2385"/>
        <v>7639573.7409433937</v>
      </c>
      <c r="AF2499" s="2">
        <f t="shared" ca="1" si="2386"/>
        <v>981609.16776728723</v>
      </c>
      <c r="AG2499" s="2">
        <f t="shared" ca="1" si="2387"/>
        <v>1046524.6122437775</v>
      </c>
      <c r="AH2499" s="2">
        <f t="shared" ca="1" si="2388"/>
        <v>1115733.0228721278</v>
      </c>
      <c r="AI2499" s="2">
        <f t="shared" ca="1" si="2389"/>
        <v>1189518.3006335238</v>
      </c>
      <c r="AJ2499" s="2">
        <f t="shared" ca="1" si="2390"/>
        <v>1268183.1213525282</v>
      </c>
      <c r="AK2499" s="2">
        <f t="shared" ca="1" si="2391"/>
        <v>0</v>
      </c>
      <c r="AL2499" s="2">
        <f t="shared" ca="1" si="2392"/>
        <v>32457.722238245162</v>
      </c>
      <c r="AM2499" s="2">
        <f t="shared" ca="1" si="2393"/>
        <v>34604.205314175117</v>
      </c>
      <c r="AN2499" s="2">
        <f t="shared" ca="1" si="2394"/>
        <v>36892.638880698083</v>
      </c>
      <c r="AO2499" s="2">
        <f t="shared" ca="1" si="2395"/>
        <v>39332.410359502137</v>
      </c>
      <c r="AP2499" s="2">
        <f t="shared" ca="1" si="2396"/>
        <v>2186217.9638176505</v>
      </c>
      <c r="AQ2499" s="2">
        <f t="shared" ca="1" si="2432"/>
        <v>712055.97104542912</v>
      </c>
      <c r="AR2499" s="2">
        <f t="shared" ca="1" si="2398"/>
        <v>798603.92461334553</v>
      </c>
      <c r="AS2499" s="2">
        <f t="shared" ca="1" si="2399"/>
        <v>889007.26686019322</v>
      </c>
      <c r="AT2499" s="2">
        <f t="shared" ca="1" si="2400"/>
        <v>985389.13226760074</v>
      </c>
      <c r="AU2499" s="2">
        <f t="shared" ca="1" si="2401"/>
        <v>1088144.8905010358</v>
      </c>
      <c r="AV2499" s="2">
        <f t="shared" ca="1" si="2402"/>
        <v>2026620.84066776</v>
      </c>
      <c r="AW2499" s="2">
        <f t="shared" ca="1" si="2403"/>
        <v>2240491.9093535841</v>
      </c>
      <c r="AX2499" s="2">
        <f t="shared" ca="1" si="2404"/>
        <v>2495647.2465186818</v>
      </c>
      <c r="AY2499" s="2">
        <f t="shared" ca="1" si="2405"/>
        <v>2767676.4298809348</v>
      </c>
      <c r="AZ2499" s="2">
        <f t="shared" ca="1" si="2406"/>
        <v>3057695.3549126778</v>
      </c>
      <c r="BA2499" s="2">
        <f t="shared" ca="1" si="2407"/>
        <v>52527417.483021818</v>
      </c>
      <c r="BB2499" s="2">
        <f t="shared" ca="1" si="2433"/>
        <v>1050548.3496604364</v>
      </c>
      <c r="BC2499" s="2">
        <f t="shared" ca="1" si="2434"/>
        <v>27185558.424276374</v>
      </c>
      <c r="BD2499" s="2">
        <f t="shared" ca="1" si="2410"/>
        <v>-17706345.085601881</v>
      </c>
      <c r="BE2499" s="2">
        <f t="shared" ca="1" si="2411"/>
        <v>2026620.84066776</v>
      </c>
      <c r="BF2499" s="2">
        <f t="shared" ca="1" si="2412"/>
        <v>2240491.9093535841</v>
      </c>
      <c r="BG2499" s="2">
        <f t="shared" ca="1" si="2413"/>
        <v>2495647.2465186818</v>
      </c>
      <c r="BH2499" s="2">
        <f t="shared" ca="1" si="2414"/>
        <v>2767676.4298809348</v>
      </c>
      <c r="BI2499" s="2">
        <f t="shared" ca="1" si="2415"/>
        <v>30243253.77918905</v>
      </c>
      <c r="BJ2499" s="2">
        <f t="shared" ca="1" si="2435"/>
        <v>0.20765359783965653</v>
      </c>
      <c r="BK2499" s="2">
        <f t="shared" ca="1" si="2417"/>
        <v>6585339.4612618312</v>
      </c>
    </row>
    <row r="2500" spans="1:63" x14ac:dyDescent="0.3">
      <c r="A2500" s="2">
        <v>2499</v>
      </c>
      <c r="B2500" s="2">
        <f t="shared" ca="1" si="2356"/>
        <v>0.4543822043639465</v>
      </c>
      <c r="C2500" s="2">
        <f t="shared" ca="1" si="2418"/>
        <v>6.9532913556347253</v>
      </c>
      <c r="D2500" s="2">
        <f t="shared" ca="1" si="2358"/>
        <v>3.4897793028863755E-2</v>
      </c>
      <c r="E2500" s="2">
        <f t="shared" ca="1" si="2419"/>
        <v>6.7641885426314463</v>
      </c>
      <c r="F2500" s="2">
        <f t="shared" ca="1" si="2360"/>
        <v>0.85560851106053082</v>
      </c>
      <c r="G2500" s="2">
        <f t="shared" ca="1" si="2420"/>
        <v>7.1823856409841569E-2</v>
      </c>
      <c r="H2500" s="2">
        <f t="shared" ca="1" si="2421"/>
        <v>7.1823856409841569E-2</v>
      </c>
      <c r="I2500" s="2">
        <f t="shared" ca="1" si="2363"/>
        <v>0.91560996920887439</v>
      </c>
      <c r="J2500" s="2">
        <f t="shared" ca="1" si="2422"/>
        <v>1.6880671442881717E-2</v>
      </c>
      <c r="K2500" s="2">
        <f t="shared" ca="1" si="2423"/>
        <v>1.6880671442881717E-2</v>
      </c>
      <c r="L2500" s="2">
        <f t="shared" ca="1" si="2366"/>
        <v>0.82412552048691301</v>
      </c>
      <c r="M2500" s="2">
        <f t="shared" ca="1" si="2424"/>
        <v>1.8624044814535036E-2</v>
      </c>
      <c r="N2500" s="2">
        <f t="shared" ca="1" si="2425"/>
        <v>1.8624044814535036E-2</v>
      </c>
      <c r="O2500" s="2">
        <f t="shared" si="2369"/>
        <v>6000000</v>
      </c>
      <c r="P2500" s="2">
        <f t="shared" ca="1" si="2426"/>
        <v>41719748.133808352</v>
      </c>
      <c r="Q2500" s="2">
        <f t="shared" ca="1" si="2427"/>
        <v>1042993.7033452089</v>
      </c>
      <c r="R2500" s="2">
        <f t="shared" ca="1" si="2372"/>
        <v>25031848.88028501</v>
      </c>
      <c r="S2500" s="2">
        <f t="shared" ca="1" si="2373"/>
        <v>16687899.253523342</v>
      </c>
      <c r="T2500" s="2">
        <f t="shared" ca="1" si="2374"/>
        <v>50931202.240726747</v>
      </c>
      <c r="U2500" s="2">
        <f t="shared" ca="1" si="2428"/>
        <v>54589277.597245298</v>
      </c>
      <c r="V2500" s="2">
        <f t="shared" ca="1" si="2429"/>
        <v>58510090.032906823</v>
      </c>
      <c r="W2500" s="2">
        <f t="shared" ca="1" si="2430"/>
        <v>62712510.337957218</v>
      </c>
      <c r="X2500" s="2">
        <f t="shared" ca="1" si="2431"/>
        <v>67216764.675571352</v>
      </c>
      <c r="Y2500" s="2">
        <f t="shared" ca="1" si="2379"/>
        <v>0.12844033572144087</v>
      </c>
      <c r="Z2500" s="2">
        <f t="shared" ca="1" si="2380"/>
        <v>0.1318164700100172</v>
      </c>
      <c r="AA2500" s="2">
        <f t="shared" ca="1" si="2381"/>
        <v>6541620.7144955443</v>
      </c>
      <c r="AB2500" s="2">
        <f t="shared" ca="1" si="2382"/>
        <v>7195765.8732657889</v>
      </c>
      <c r="AC2500" s="2">
        <f t="shared" ca="1" si="2383"/>
        <v>7712593.5281060683</v>
      </c>
      <c r="AD2500" s="2">
        <f t="shared" ca="1" si="2384"/>
        <v>8266541.7382162316</v>
      </c>
      <c r="AE2500" s="2">
        <f t="shared" ca="1" si="2385"/>
        <v>8860276.6450278349</v>
      </c>
      <c r="AF2500" s="2">
        <f t="shared" ca="1" si="2386"/>
        <v>1018624.044814535</v>
      </c>
      <c r="AG2500" s="2">
        <f t="shared" ca="1" si="2387"/>
        <v>1091785.5519449059</v>
      </c>
      <c r="AH2500" s="2">
        <f t="shared" ca="1" si="2388"/>
        <v>1170201.8006581364</v>
      </c>
      <c r="AI2500" s="2">
        <f t="shared" ca="1" si="2389"/>
        <v>1254250.2067591443</v>
      </c>
      <c r="AJ2500" s="2">
        <f t="shared" ca="1" si="2390"/>
        <v>1344335.293511427</v>
      </c>
      <c r="AK2500" s="2">
        <f t="shared" ca="1" si="2391"/>
        <v>0</v>
      </c>
      <c r="AL2500" s="2">
        <f t="shared" ca="1" si="2392"/>
        <v>36580.753565185521</v>
      </c>
      <c r="AM2500" s="2">
        <f t="shared" ca="1" si="2393"/>
        <v>39208.124356615248</v>
      </c>
      <c r="AN2500" s="2">
        <f t="shared" ca="1" si="2394"/>
        <v>42024.203050503958</v>
      </c>
      <c r="AO2500" s="2">
        <f t="shared" ca="1" si="2395"/>
        <v>45042.543376141337</v>
      </c>
      <c r="AP2500" s="2">
        <f t="shared" ca="1" si="2396"/>
        <v>2252866.3992256508</v>
      </c>
      <c r="AQ2500" s="2">
        <f t="shared" ca="1" si="2432"/>
        <v>850233.87031839311</v>
      </c>
      <c r="AR2500" s="2">
        <f t="shared" ca="1" si="2398"/>
        <v>1001289.6197447604</v>
      </c>
      <c r="AS2500" s="2">
        <f t="shared" ca="1" si="2399"/>
        <v>1115276.585337793</v>
      </c>
      <c r="AT2500" s="2">
        <f t="shared" ca="1" si="2400"/>
        <v>1237450.5343801735</v>
      </c>
      <c r="AU2500" s="2">
        <f t="shared" ca="1" si="2401"/>
        <v>1368399.4875955968</v>
      </c>
      <c r="AV2500" s="2">
        <f t="shared" ca="1" si="2402"/>
        <v>2419896.4001369649</v>
      </c>
      <c r="AW2500" s="2">
        <f t="shared" ca="1" si="2403"/>
        <v>2813243.5487852856</v>
      </c>
      <c r="AX2500" s="2">
        <f t="shared" ca="1" si="2404"/>
        <v>3135040.618527872</v>
      </c>
      <c r="AY2500" s="2">
        <f t="shared" ca="1" si="2405"/>
        <v>3479950.3948007594</v>
      </c>
      <c r="AZ2500" s="2">
        <f t="shared" ca="1" si="2406"/>
        <v>3849632.9213190186</v>
      </c>
      <c r="BA2500" s="2">
        <f t="shared" ca="1" si="2407"/>
        <v>59932581.766842268</v>
      </c>
      <c r="BB2500" s="2">
        <f t="shared" ca="1" si="2433"/>
        <v>1198651.6353368454</v>
      </c>
      <c r="BC2500" s="2">
        <f t="shared" ca="1" si="2434"/>
        <v>33702081.251220413</v>
      </c>
      <c r="BD2500" s="2">
        <f t="shared" ca="1" si="2410"/>
        <v>-18230892.956868552</v>
      </c>
      <c r="BE2500" s="2">
        <f t="shared" ca="1" si="2411"/>
        <v>2419896.4001369649</v>
      </c>
      <c r="BF2500" s="2">
        <f t="shared" ca="1" si="2412"/>
        <v>2813243.5487852856</v>
      </c>
      <c r="BG2500" s="2">
        <f t="shared" ca="1" si="2413"/>
        <v>3135040.618527872</v>
      </c>
      <c r="BH2500" s="2">
        <f t="shared" ca="1" si="2414"/>
        <v>3479950.3948007594</v>
      </c>
      <c r="BI2500" s="2">
        <f t="shared" ca="1" si="2415"/>
        <v>37551714.172539428</v>
      </c>
      <c r="BJ2500" s="2">
        <f t="shared" ca="1" si="2435"/>
        <v>0.26397425127046037</v>
      </c>
      <c r="BK2500" s="2">
        <f t="shared" ca="1" si="2417"/>
        <v>11923311.838095952</v>
      </c>
    </row>
    <row r="2501" spans="1:63" x14ac:dyDescent="0.3">
      <c r="A2501" s="2">
        <v>2500</v>
      </c>
      <c r="B2501" s="2">
        <f t="shared" ca="1" si="2356"/>
        <v>0.37328868110013014</v>
      </c>
      <c r="C2501" s="2">
        <f t="shared" ca="1" si="2418"/>
        <v>6.8640470833237393</v>
      </c>
      <c r="D2501" s="2">
        <f t="shared" ca="1" si="2358"/>
        <v>0.95970189155194097</v>
      </c>
      <c r="E2501" s="2">
        <f t="shared" ca="1" si="2419"/>
        <v>8.2161052714541576</v>
      </c>
      <c r="F2501" s="2">
        <f t="shared" ca="1" si="2360"/>
        <v>0.22365283993580587</v>
      </c>
      <c r="G2501" s="2">
        <f t="shared" ca="1" si="2420"/>
        <v>1.7202564305162288E-2</v>
      </c>
      <c r="H2501" s="2">
        <f t="shared" ca="1" si="2421"/>
        <v>1.7202564305162288E-2</v>
      </c>
      <c r="I2501" s="2">
        <f t="shared" ca="1" si="2363"/>
        <v>0.69020159613939591</v>
      </c>
      <c r="J2501" s="2">
        <f t="shared" ca="1" si="2422"/>
        <v>1.2482109282349703E-2</v>
      </c>
      <c r="K2501" s="2">
        <f t="shared" ca="1" si="2423"/>
        <v>1.2482109282349703E-2</v>
      </c>
      <c r="L2501" s="2">
        <f t="shared" ca="1" si="2366"/>
        <v>0.78913570855627768</v>
      </c>
      <c r="M2501" s="2">
        <f t="shared" ca="1" si="2424"/>
        <v>1.6068518939053485E-2</v>
      </c>
      <c r="N2501" s="2">
        <f t="shared" ca="1" si="2425"/>
        <v>1.6068518939053485E-2</v>
      </c>
      <c r="O2501" s="2">
        <f t="shared" si="2369"/>
        <v>6000000</v>
      </c>
      <c r="P2501" s="2">
        <f t="shared" ca="1" si="2426"/>
        <v>41184282.499942437</v>
      </c>
      <c r="Q2501" s="2">
        <f t="shared" ca="1" si="2427"/>
        <v>1029607.062498561</v>
      </c>
      <c r="R2501" s="2">
        <f t="shared" ca="1" si="2372"/>
        <v>24710569.499965463</v>
      </c>
      <c r="S2501" s="2">
        <f t="shared" ca="1" si="2373"/>
        <v>16473712.999976976</v>
      </c>
      <c r="T2501" s="2">
        <f t="shared" ca="1" si="2374"/>
        <v>50803425.946952671</v>
      </c>
      <c r="U2501" s="2">
        <f t="shared" ca="1" si="2428"/>
        <v>51677375.148727678</v>
      </c>
      <c r="V2501" s="2">
        <f t="shared" ca="1" si="2429"/>
        <v>52566358.51784566</v>
      </c>
      <c r="W2501" s="2">
        <f t="shared" ca="1" si="2430"/>
        <v>53470634.68053712</v>
      </c>
      <c r="X2501" s="2">
        <f t="shared" ca="1" si="2431"/>
        <v>54390466.712066904</v>
      </c>
      <c r="Y2501" s="2">
        <f t="shared" ca="1" si="2379"/>
        <v>0.12624105464117485</v>
      </c>
      <c r="Z2501" s="2">
        <f t="shared" ca="1" si="2380"/>
        <v>0.12873747649764478</v>
      </c>
      <c r="AA2501" s="2">
        <f t="shared" ca="1" si="2381"/>
        <v>6413478.0709281322</v>
      </c>
      <c r="AB2501" s="2">
        <f t="shared" ca="1" si="2382"/>
        <v>6652814.8686693013</v>
      </c>
      <c r="AC2501" s="2">
        <f t="shared" ca="1" si="2383"/>
        <v>6767260.3442579247</v>
      </c>
      <c r="AD2501" s="2">
        <f t="shared" ca="1" si="2384"/>
        <v>6883674.5754997972</v>
      </c>
      <c r="AE2501" s="2">
        <f t="shared" ca="1" si="2385"/>
        <v>7002091.4300406436</v>
      </c>
      <c r="AF2501" s="2">
        <f t="shared" ca="1" si="2386"/>
        <v>1016068.5189390534</v>
      </c>
      <c r="AG2501" s="2">
        <f t="shared" ca="1" si="2387"/>
        <v>1033547.5029745536</v>
      </c>
      <c r="AH2501" s="2">
        <f t="shared" ca="1" si="2388"/>
        <v>1051327.1703569132</v>
      </c>
      <c r="AI2501" s="2">
        <f t="shared" ca="1" si="2389"/>
        <v>1069412.6936107425</v>
      </c>
      <c r="AJ2501" s="2">
        <f t="shared" ca="1" si="2390"/>
        <v>1087809.3342413381</v>
      </c>
      <c r="AK2501" s="2">
        <f t="shared" ca="1" si="2391"/>
        <v>0</v>
      </c>
      <c r="AL2501" s="2">
        <f t="shared" ca="1" si="2392"/>
        <v>8739.4920177500699</v>
      </c>
      <c r="AM2501" s="2">
        <f t="shared" ca="1" si="2393"/>
        <v>8889.8336911798269</v>
      </c>
      <c r="AN2501" s="2">
        <f t="shared" ca="1" si="2394"/>
        <v>9042.761626914591</v>
      </c>
      <c r="AO2501" s="2">
        <f t="shared" ca="1" si="2395"/>
        <v>9198.3203152978422</v>
      </c>
      <c r="AP2501" s="2">
        <f t="shared" ca="1" si="2396"/>
        <v>2223951.2549968916</v>
      </c>
      <c r="AQ2501" s="2">
        <f t="shared" ca="1" si="2432"/>
        <v>825099.1572179686</v>
      </c>
      <c r="AR2501" s="2">
        <f t="shared" ca="1" si="2398"/>
        <v>882782.18878144247</v>
      </c>
      <c r="AS2501" s="2">
        <f t="shared" ca="1" si="2399"/>
        <v>907915.29891507118</v>
      </c>
      <c r="AT2501" s="2">
        <f t="shared" ca="1" si="2400"/>
        <v>933480.76299196237</v>
      </c>
      <c r="AU2501" s="2">
        <f t="shared" ca="1" si="2401"/>
        <v>959486.01860862761</v>
      </c>
      <c r="AV2501" s="2">
        <f t="shared" ca="1" si="2402"/>
        <v>2348359.1397742187</v>
      </c>
      <c r="AW2501" s="2">
        <f t="shared" ca="1" si="2403"/>
        <v>2503794.4298986639</v>
      </c>
      <c r="AX2501" s="2">
        <f t="shared" ca="1" si="2404"/>
        <v>2575176.7862978685</v>
      </c>
      <c r="AY2501" s="2">
        <f t="shared" ca="1" si="2405"/>
        <v>2647787.1022732868</v>
      </c>
      <c r="AZ2501" s="2">
        <f t="shared" ca="1" si="2406"/>
        <v>2721646.5018784883</v>
      </c>
      <c r="BA2501" s="2">
        <f t="shared" ca="1" si="2407"/>
        <v>57529920.30956091</v>
      </c>
      <c r="BB2501" s="2">
        <f t="shared" ca="1" si="2433"/>
        <v>1150598.4061912182</v>
      </c>
      <c r="BC2501" s="2">
        <f t="shared" ca="1" si="2434"/>
        <v>31668752.403404228</v>
      </c>
      <c r="BD2501" s="2">
        <f t="shared" ca="1" si="2410"/>
        <v>-18003320.062475536</v>
      </c>
      <c r="BE2501" s="2">
        <f t="shared" ca="1" si="2411"/>
        <v>2348359.1397742187</v>
      </c>
      <c r="BF2501" s="2">
        <f t="shared" ca="1" si="2412"/>
        <v>2503794.4298986639</v>
      </c>
      <c r="BG2501" s="2">
        <f t="shared" ca="1" si="2413"/>
        <v>2575176.7862978685</v>
      </c>
      <c r="BH2501" s="2">
        <f t="shared" ca="1" si="2414"/>
        <v>2647787.1022732868</v>
      </c>
      <c r="BI2501" s="2">
        <f t="shared" ca="1" si="2415"/>
        <v>34390398.905282713</v>
      </c>
      <c r="BJ2501" s="2">
        <f t="shared" ca="1" si="2435"/>
        <v>0.23525679226958873</v>
      </c>
      <c r="BK2501" s="2">
        <f t="shared" ca="1" si="2417"/>
        <v>9119151.2197364718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5"/>
  <sheetViews>
    <sheetView workbookViewId="0">
      <selection sqref="A1:XFD1048576"/>
    </sheetView>
  </sheetViews>
  <sheetFormatPr defaultRowHeight="13" x14ac:dyDescent="0.3"/>
  <cols>
    <col min="1" max="1" width="27.453125" style="4" bestFit="1" customWidth="1"/>
    <col min="2" max="2" width="15.08984375" style="2" bestFit="1" customWidth="1"/>
    <col min="3" max="3" width="8.7265625" style="4"/>
    <col min="4" max="4" width="13.36328125" style="4" bestFit="1" customWidth="1"/>
    <col min="5" max="5" width="15.08984375" style="4" bestFit="1" customWidth="1"/>
    <col min="6" max="16384" width="8.7265625" style="4"/>
  </cols>
  <sheetData>
    <row r="1" spans="1:5" x14ac:dyDescent="0.3">
      <c r="A1" s="3" t="s">
        <v>100</v>
      </c>
      <c r="B1" s="1" t="s">
        <v>101</v>
      </c>
      <c r="D1" s="3" t="s">
        <v>102</v>
      </c>
      <c r="E1" s="4" t="str">
        <f>Simulations!$A$1:$BK$1</f>
        <v>ExitMultiple</v>
      </c>
    </row>
    <row r="2" spans="1:5" x14ac:dyDescent="0.3">
      <c r="A2" s="4" t="s">
        <v>104</v>
      </c>
      <c r="B2" s="2">
        <f>ROWS(INDEX($E$2,0,1))</f>
        <v>1</v>
      </c>
      <c r="D2" s="3" t="s">
        <v>103</v>
      </c>
      <c r="E2" s="5">
        <f ca="1">Simulations!$A$2:$BK$2501</f>
        <v>7.5592162805853427</v>
      </c>
    </row>
    <row r="3" spans="1:5" x14ac:dyDescent="0.3">
      <c r="A3" s="4" t="s">
        <v>105</v>
      </c>
      <c r="B3" s="2">
        <f ca="1">AVERAGEIF(
  INDEX(Simulations!$A$2:$BM$2501,0, MATCH("IRR", Simulations!$A$1:$BM$1, 0)),
  "&gt;0"
)</f>
        <v>0.21306763265187076</v>
      </c>
    </row>
    <row r="4" spans="1:5" x14ac:dyDescent="0.3">
      <c r="A4" s="4" t="s">
        <v>106</v>
      </c>
      <c r="B4" s="2">
        <f ca="1">MEDIAN(INDEX(Simulations!$A$2:$BM$1001,0,MATCH("IRR*",Simulations!$A$1:$BM$1,0)))</f>
        <v>0.21560118055642186</v>
      </c>
    </row>
    <row r="5" spans="1:5" x14ac:dyDescent="0.3">
      <c r="A5" s="4" t="s">
        <v>107</v>
      </c>
      <c r="B5" s="2">
        <f ca="1">PERCENTILE(
  INDEX(Simulations!$A$2:$BM$2501, 0,
        MATCH("IRR", Simulations!$A$1:$BM$1, 0)),
  0.25
)</f>
        <v>0.17360328050587831</v>
      </c>
    </row>
    <row r="6" spans="1:5" x14ac:dyDescent="0.3">
      <c r="A6" s="4" t="s">
        <v>108</v>
      </c>
      <c r="B6" s="2">
        <f ca="1">PERCENTILE(
  INDEX(Simulations!$A$2:$BM$2501, 0,
        MATCH("IRR", Simulations!$A$1:$BM$1, 0)),
  0.75
)</f>
        <v>0.25544190277665318</v>
      </c>
    </row>
    <row r="7" spans="1:5" x14ac:dyDescent="0.3">
      <c r="A7" s="4" t="s">
        <v>109</v>
      </c>
      <c r="B7" s="2">
        <f ca="1">PERCENTILE(
  INDEX(Simulations!$A$2:$BM$2501, 0,
        MATCH("IRR", Simulations!$A$1:$BM$1, 0)),
  0.9
)</f>
        <v>0.28953098449682674</v>
      </c>
    </row>
    <row r="8" spans="1:5" x14ac:dyDescent="0.3">
      <c r="A8" s="4" t="s">
        <v>110</v>
      </c>
      <c r="B8" s="2">
        <f ca="1">_xlfn.LET(
  _xlpm.col, INDEX(Simulations!$A$2:$BM$2501, 0, MATCH("IRR", Simulations!$A$1:$BM$1, 0)),
  COUNTIF(_xlpm.col, "&gt;"&amp;HurdleIRR) / COUNT(_xlpm.col)
)</f>
        <v>0.84599999999999997</v>
      </c>
    </row>
    <row r="9" spans="1:5" x14ac:dyDescent="0.3">
      <c r="A9" s="4" t="s">
        <v>111</v>
      </c>
      <c r="B9" s="2">
        <f ca="1">AVERAGE(
  INDEX(Simulations!$A$2:$BM$2501, 0,
        MATCH("NPV_12%", Simulations!$A$1:$BM$1, 0))
)</f>
        <v>7627933.9167771395</v>
      </c>
    </row>
    <row r="10" spans="1:5" x14ac:dyDescent="0.3">
      <c r="A10" s="4" t="s">
        <v>112</v>
      </c>
      <c r="B10" s="2">
        <f ca="1">MEDIAN(
  INDEX(Simulations!$A$2:$BM$2501,0,
        MATCH("NPV_12%", Simulations!$A$1:$BM$1,0))
)</f>
        <v>7357556.0446780995</v>
      </c>
    </row>
    <row r="11" spans="1:5" x14ac:dyDescent="0.3">
      <c r="A11" s="4" t="s">
        <v>113</v>
      </c>
      <c r="B11" s="2">
        <f ca="1">AVERAGE(
  INDEX(Simulations!$A:$BM, 2, MATCH("EntryEV", Simulations!$A$1:$BM$1, 0)) :
  INDEX(Simulations!$A:$BM, 1+N, MATCH("EntryEV", Simulations!$A$1:$BM$1, 0))
)</f>
        <v>42058925.360382922</v>
      </c>
    </row>
    <row r="12" spans="1:5" x14ac:dyDescent="0.3">
      <c r="A12" s="4" t="s">
        <v>114</v>
      </c>
      <c r="B12" s="2">
        <f ca="1">AVERAGE(
  INDEX(Simulations!$A:$BM, 2, MATCH("ExitEV", Simulations!$A$1:$BM$1, 0)) :
  INDEX(Simulations!$A:$BM, 1+N, MATCH("ExitEV", Simulations!$A$1:$BM$1, 0))
)</f>
        <v>56021723.755094461</v>
      </c>
    </row>
    <row r="13" spans="1:5" x14ac:dyDescent="0.3">
      <c r="A13" s="4" t="s">
        <v>115</v>
      </c>
      <c r="B13" s="2">
        <f ca="1">AVERAGE(
  INDEX(Simulations!$A:$BM, 2, MATCH("PurchaseMultiple", Simulations!$A$1:$BM$1, 0)) :
  INDEX(Simulations!$A:$BM, 1+N, MATCH("PurchaseMultiple", Simulations!$A$1:$BM$1, 0))
)</f>
        <v>7.0098208933971691</v>
      </c>
    </row>
    <row r="14" spans="1:5" x14ac:dyDescent="0.3">
      <c r="A14" s="4" t="s">
        <v>116</v>
      </c>
      <c r="B14" s="2">
        <f ca="1">AVERAGE(INDEX($E$2,0,MATCH("ExitMultiple",$E$1,0)))</f>
        <v>7.5592162805853427</v>
      </c>
    </row>
    <row r="15" spans="1:5" x14ac:dyDescent="0.3">
      <c r="A15" s="4" t="s">
        <v>117</v>
      </c>
      <c r="B15" s="2">
        <f>HurdleIRR</f>
        <v>0.15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01"/>
  <sheetViews>
    <sheetView workbookViewId="0">
      <selection sqref="A1:XFD1048576"/>
    </sheetView>
  </sheetViews>
  <sheetFormatPr defaultRowHeight="13" x14ac:dyDescent="0.3"/>
  <cols>
    <col min="1" max="10" width="16.7265625" style="2" customWidth="1"/>
    <col min="11" max="16384" width="8.7265625" style="2"/>
  </cols>
  <sheetData>
    <row r="1" spans="1:10" x14ac:dyDescent="0.3">
      <c r="A1" s="1" t="s">
        <v>37</v>
      </c>
      <c r="B1" s="1" t="s">
        <v>39</v>
      </c>
      <c r="C1" s="1" t="s">
        <v>41</v>
      </c>
      <c r="D1" s="1" t="s">
        <v>44</v>
      </c>
      <c r="E1" s="1" t="s">
        <v>47</v>
      </c>
      <c r="F1" s="1" t="s">
        <v>50</v>
      </c>
      <c r="G1" s="1" t="s">
        <v>52</v>
      </c>
      <c r="H1" s="1" t="s">
        <v>89</v>
      </c>
      <c r="I1" s="1" t="s">
        <v>98</v>
      </c>
      <c r="J1" s="1" t="s">
        <v>99</v>
      </c>
    </row>
    <row r="2" spans="1:10" x14ac:dyDescent="0.3">
      <c r="A2" s="2">
        <f>INDEX(Simulations!$A$2:$A$2501,1)</f>
        <v>1</v>
      </c>
      <c r="B2" s="2">
        <f ca="1">INDEX(Simulations!$A$1:$BK$2501, 2, MATCH("PurchaseMultiple", Simulations!$A$1:$BK$1, 0))</f>
        <v>7.5751236327032201</v>
      </c>
      <c r="C2" s="2">
        <f ca="1">INDEX(Simulations!$A$1:$BK$2501, 2, MATCH("ExitMultiple", Simulations!$A$1:$BK$1, 0))</f>
        <v>7.5592162805853427</v>
      </c>
      <c r="D2" s="2">
        <f ca="1">INDEX(Simulations!$A$1:$BK$2501, 2, MATCH("RevCAGR", Simulations!$A$1:$BK$1, 0))</f>
        <v>1.5502234833996043E-2</v>
      </c>
      <c r="E2" s="2">
        <f ca="1">INDEX(Simulations!$A$1:$BK$2501, 2, MATCH("SynMargin", Simulations!$A$1:$BK$1, 0))</f>
        <v>1.161021194249332E-2</v>
      </c>
      <c r="F2" s="2">
        <f ca="1">INDEX(Simulations!$A$1:$BK$2501, 2, MATCH("Yr1Shock", Simulations!$A$1:$BK$1, 0))</f>
        <v>-1.2320516090551426E-2</v>
      </c>
      <c r="G2" s="2">
        <f ca="1">INDEX(Simulations!$A$1:$BK$2501, 2, MATCH("EntryEV", Simulations!$A$1:$BK$1, 0))</f>
        <v>45450741.796219319</v>
      </c>
      <c r="H2" s="2">
        <f ca="1">INDEX(Simulations!$A$1:$BK$2501, 2, MATCH("ExitEV", Simulations!$A$1:$BK$1, 0))</f>
        <v>50865990.149587147</v>
      </c>
      <c r="I2" s="2">
        <f ca="1">INDEX(Simulations!$A$1:$BK$2501, 2, MATCH("IRR", Simulations!$A$1:$BK$1, 0))</f>
        <v>0.13323209266563696</v>
      </c>
      <c r="J2" s="2">
        <f ca="1">INDEX(Simulations!$A$1:$BK$2501, 2, MATCH("NPV_12%", Simulations!$A$1:$BK$1, 0))</f>
        <v>992499.75602362677</v>
      </c>
    </row>
    <row r="3" spans="1:10" x14ac:dyDescent="0.3">
      <c r="A3" s="2">
        <f>INDEX(Simulations!$A$2:$A$2501,2)</f>
        <v>2</v>
      </c>
      <c r="B3" s="2">
        <f ca="1">INDEX(Simulations!$A$1:$BK$2501, 3, MATCH("PurchaseMultiple", Simulations!$A$1:$BK$1, 0))</f>
        <v>6.8735128763105413</v>
      </c>
      <c r="C3" s="2">
        <f ca="1">INDEX(Simulations!$A$1:$BK$2501, 3, MATCH("ExitMultiple", Simulations!$A$1:$BK$1, 0))</f>
        <v>8.2531451131515006</v>
      </c>
      <c r="D3" s="2">
        <f ca="1">INDEX(Simulations!$A$1:$BK$2501, 3, MATCH("RevCAGR", Simulations!$A$1:$BK$1, 0))</f>
        <v>2.8166412747977189E-2</v>
      </c>
      <c r="E3" s="2">
        <f ca="1">INDEX(Simulations!$A$1:$BK$2501, 3, MATCH("SynMargin", Simulations!$A$1:$BK$1, 0))</f>
        <v>1.4622356920115749E-2</v>
      </c>
      <c r="F3" s="2">
        <f ca="1">INDEX(Simulations!$A$1:$BK$2501, 3, MATCH("Yr1Shock", Simulations!$A$1:$BK$1, 0))</f>
        <v>2.3275161951936286E-2</v>
      </c>
      <c r="G3" s="2">
        <f ca="1">INDEX(Simulations!$A$1:$BK$2501, 3, MATCH("EntryEV", Simulations!$A$1:$BK$1, 0))</f>
        <v>41241077.257863246</v>
      </c>
      <c r="H3" s="2">
        <f ca="1">INDEX(Simulations!$A$1:$BK$2501, 3, MATCH("ExitEV", Simulations!$A$1:$BK$1, 0))</f>
        <v>61456164.177715875</v>
      </c>
      <c r="I3" s="2">
        <f ca="1">INDEX(Simulations!$A$1:$BK$2501, 3, MATCH("IRR", Simulations!$A$1:$BK$1, 0))</f>
        <v>0.26301063952120374</v>
      </c>
      <c r="J3" s="2">
        <f ca="1">INDEX(Simulations!$A$1:$BK$2501, 3, MATCH("NPV_12%", Simulations!$A$1:$BK$1, 0))</f>
        <v>11843402.275114723</v>
      </c>
    </row>
    <row r="4" spans="1:10" x14ac:dyDescent="0.3">
      <c r="A4" s="2">
        <f>INDEX(Simulations!$A$2:$A$2501,3)</f>
        <v>3</v>
      </c>
      <c r="B4" s="2">
        <f ca="1">INDEX(Simulations!$A$1:$BK$2501, 4, MATCH("PurchaseMultiple", Simulations!$A$1:$BK$1, 0))</f>
        <v>6.1563880906386723</v>
      </c>
      <c r="C4" s="2">
        <f ca="1">INDEX(Simulations!$A$1:$BK$2501, 4, MATCH("ExitMultiple", Simulations!$A$1:$BK$1, 0))</f>
        <v>7.4417732162963803</v>
      </c>
      <c r="D4" s="2">
        <f ca="1">INDEX(Simulations!$A$1:$BK$2501, 4, MATCH("RevCAGR", Simulations!$A$1:$BK$1, 0))</f>
        <v>9.3865539378100549E-2</v>
      </c>
      <c r="E4" s="2">
        <f ca="1">INDEX(Simulations!$A$1:$BK$2501, 4, MATCH("SynMargin", Simulations!$A$1:$BK$1, 0))</f>
        <v>1.5019876595728097E-2</v>
      </c>
      <c r="F4" s="2">
        <f ca="1">INDEX(Simulations!$A$1:$BK$2501, 4, MATCH("Yr1Shock", Simulations!$A$1:$BK$1, 0))</f>
        <v>3.7939298059692088E-2</v>
      </c>
      <c r="G4" s="2">
        <f ca="1">INDEX(Simulations!$A$1:$BK$2501, 4, MATCH("EntryEV", Simulations!$A$1:$BK$1, 0))</f>
        <v>36938328.543832034</v>
      </c>
      <c r="H4" s="2">
        <f ca="1">INDEX(Simulations!$A$1:$BK$2501, 4, MATCH("ExitEV", Simulations!$A$1:$BK$1, 0))</f>
        <v>72165722.895455852</v>
      </c>
      <c r="I4" s="2">
        <f ca="1">INDEX(Simulations!$A$1:$BK$2501, 4, MATCH("IRR", Simulations!$A$1:$BK$1, 0))</f>
        <v>0.38902185887975227</v>
      </c>
      <c r="J4" s="2">
        <f ca="1">INDEX(Simulations!$A$1:$BK$2501, 4, MATCH("NPV_12%", Simulations!$A$1:$BK$1, 0))</f>
        <v>23864539.74119553</v>
      </c>
    </row>
    <row r="5" spans="1:10" x14ac:dyDescent="0.3">
      <c r="A5" s="2">
        <f>INDEX(Simulations!$A$2:$A$2501,4)</f>
        <v>4</v>
      </c>
      <c r="B5" s="2">
        <f ca="1">INDEX(Simulations!$A$1:$BK$2501, 5, MATCH("PurchaseMultiple", Simulations!$A$1:$BK$1, 0))</f>
        <v>6.7667985526602878</v>
      </c>
      <c r="C5" s="2">
        <f ca="1">INDEX(Simulations!$A$1:$BK$2501, 5, MATCH("ExitMultiple", Simulations!$A$1:$BK$1, 0))</f>
        <v>7.6672856387598305</v>
      </c>
      <c r="D5" s="2">
        <f ca="1">INDEX(Simulations!$A$1:$BK$2501, 5, MATCH("RevCAGR", Simulations!$A$1:$BK$1, 0))</f>
        <v>6.4249238371219264E-2</v>
      </c>
      <c r="E5" s="2">
        <f ca="1">INDEX(Simulations!$A$1:$BK$2501, 5, MATCH("SynMargin", Simulations!$A$1:$BK$1, 0))</f>
        <v>9.4040338993209866E-3</v>
      </c>
      <c r="F5" s="2">
        <f ca="1">INDEX(Simulations!$A$1:$BK$2501, 5, MATCH("Yr1Shock", Simulations!$A$1:$BK$1, 0))</f>
        <v>-3.2580059750235708E-2</v>
      </c>
      <c r="G5" s="2">
        <f ca="1">INDEX(Simulations!$A$1:$BK$2501, 5, MATCH("EntryEV", Simulations!$A$1:$BK$1, 0))</f>
        <v>40600791.315961726</v>
      </c>
      <c r="H5" s="2">
        <f ca="1">INDEX(Simulations!$A$1:$BK$2501, 5, MATCH("ExitEV", Simulations!$A$1:$BK$1, 0))</f>
        <v>60224728.874451146</v>
      </c>
      <c r="I5" s="2">
        <f ca="1">INDEX(Simulations!$A$1:$BK$2501, 5, MATCH("IRR", Simulations!$A$1:$BK$1, 0))</f>
        <v>0.25792154936965961</v>
      </c>
      <c r="J5" s="2">
        <f ca="1">INDEX(Simulations!$A$1:$BK$2501, 5, MATCH("NPV_12%", Simulations!$A$1:$BK$1, 0))</f>
        <v>11329432.806481756</v>
      </c>
    </row>
    <row r="6" spans="1:10" x14ac:dyDescent="0.3">
      <c r="A6" s="2">
        <f>INDEX(Simulations!$A$2:$A$2501,5)</f>
        <v>5</v>
      </c>
      <c r="B6" s="2">
        <f ca="1">INDEX(Simulations!$A$1:$BK$2501, 6, MATCH("PurchaseMultiple", Simulations!$A$1:$BK$1, 0))</f>
        <v>7.4094203717960792</v>
      </c>
      <c r="C6" s="2">
        <f ca="1">INDEX(Simulations!$A$1:$BK$2501, 6, MATCH("ExitMultiple", Simulations!$A$1:$BK$1, 0))</f>
        <v>7.1109658103477802</v>
      </c>
      <c r="D6" s="2">
        <f ca="1">INDEX(Simulations!$A$1:$BK$2501, 6, MATCH("RevCAGR", Simulations!$A$1:$BK$1, 0))</f>
        <v>4.7157055974484274E-2</v>
      </c>
      <c r="E6" s="2">
        <f ca="1">INDEX(Simulations!$A$1:$BK$2501, 6, MATCH("SynMargin", Simulations!$A$1:$BK$1, 0))</f>
        <v>1.4171122483689468E-2</v>
      </c>
      <c r="F6" s="2">
        <f ca="1">INDEX(Simulations!$A$1:$BK$2501, 6, MATCH("Yr1Shock", Simulations!$A$1:$BK$1, 0))</f>
        <v>1.1887904938633467E-2</v>
      </c>
      <c r="G6" s="2">
        <f ca="1">INDEX(Simulations!$A$1:$BK$2501, 6, MATCH("EntryEV", Simulations!$A$1:$BK$1, 0))</f>
        <v>44456522.230776474</v>
      </c>
      <c r="H6" s="2">
        <f ca="1">INDEX(Simulations!$A$1:$BK$2501, 6, MATCH("ExitEV", Simulations!$A$1:$BK$1, 0))</f>
        <v>56202235.338352762</v>
      </c>
      <c r="I6" s="2">
        <f ca="1">INDEX(Simulations!$A$1:$BK$2501, 6, MATCH("IRR", Simulations!$A$1:$BK$1, 0))</f>
        <v>0.19798104995991661</v>
      </c>
      <c r="J6" s="2">
        <f ca="1">INDEX(Simulations!$A$1:$BK$2501, 6, MATCH("NPV_12%", Simulations!$A$1:$BK$1, 0))</f>
        <v>6288662.1799002849</v>
      </c>
    </row>
    <row r="7" spans="1:10" x14ac:dyDescent="0.3">
      <c r="A7" s="2">
        <f>INDEX(Simulations!$A$2:$A$2501,6)</f>
        <v>6</v>
      </c>
      <c r="B7" s="2">
        <f ca="1">INDEX(Simulations!$A$1:$BK$2501, 7, MATCH("PurchaseMultiple", Simulations!$A$1:$BK$1, 0))</f>
        <v>7.0605142431331949</v>
      </c>
      <c r="C7" s="2">
        <f ca="1">INDEX(Simulations!$A$1:$BK$2501, 7, MATCH("ExitMultiple", Simulations!$A$1:$BK$1, 0))</f>
        <v>7.7580291584311816</v>
      </c>
      <c r="D7" s="2">
        <f ca="1">INDEX(Simulations!$A$1:$BK$2501, 7, MATCH("RevCAGR", Simulations!$A$1:$BK$1, 0))</f>
        <v>8.3458747461825161E-2</v>
      </c>
      <c r="E7" s="2">
        <f ca="1">INDEX(Simulations!$A$1:$BK$2501, 7, MATCH("SynMargin", Simulations!$A$1:$BK$1, 0))</f>
        <v>1.0882614980292013E-2</v>
      </c>
      <c r="F7" s="2">
        <f ca="1">INDEX(Simulations!$A$1:$BK$2501, 7, MATCH("Yr1Shock", Simulations!$A$1:$BK$1, 0))</f>
        <v>-1.5896062635741746E-2</v>
      </c>
      <c r="G7" s="2">
        <f ca="1">INDEX(Simulations!$A$1:$BK$2501, 7, MATCH("EntryEV", Simulations!$A$1:$BK$1, 0))</f>
        <v>42363085.458799168</v>
      </c>
      <c r="H7" s="2">
        <f ca="1">INDEX(Simulations!$A$1:$BK$2501, 7, MATCH("ExitEV", Simulations!$A$1:$BK$1, 0))</f>
        <v>67131022.118677735</v>
      </c>
      <c r="I7" s="2">
        <f ca="1">INDEX(Simulations!$A$1:$BK$2501, 7, MATCH("IRR", Simulations!$A$1:$BK$1, 0))</f>
        <v>0.28151554087362851</v>
      </c>
      <c r="J7" s="2">
        <f ca="1">INDEX(Simulations!$A$1:$BK$2501, 7, MATCH("NPV_12%", Simulations!$A$1:$BK$1, 0))</f>
        <v>14494045.563443273</v>
      </c>
    </row>
    <row r="8" spans="1:10" x14ac:dyDescent="0.3">
      <c r="A8" s="2">
        <f>INDEX(Simulations!$A$2:$A$2501,7)</f>
        <v>7</v>
      </c>
      <c r="B8" s="2">
        <f ca="1">INDEX(Simulations!$A$1:$BK$2501, 8, MATCH("PurchaseMultiple", Simulations!$A$1:$BK$1, 0))</f>
        <v>7.4642228165065099</v>
      </c>
      <c r="C8" s="2">
        <f ca="1">INDEX(Simulations!$A$1:$BK$2501, 8, MATCH("ExitMultiple", Simulations!$A$1:$BK$1, 0))</f>
        <v>7.5774036750766074</v>
      </c>
      <c r="D8" s="2">
        <f ca="1">INDEX(Simulations!$A$1:$BK$2501, 8, MATCH("RevCAGR", Simulations!$A$1:$BK$1, 0))</f>
        <v>3.9673071280794149E-2</v>
      </c>
      <c r="E8" s="2">
        <f ca="1">INDEX(Simulations!$A$1:$BK$2501, 8, MATCH("SynMargin", Simulations!$A$1:$BK$1, 0))</f>
        <v>4.4582621902697116E-3</v>
      </c>
      <c r="F8" s="2">
        <f ca="1">INDEX(Simulations!$A$1:$BK$2501, 8, MATCH("Yr1Shock", Simulations!$A$1:$BK$1, 0))</f>
        <v>6.0970682617084958E-3</v>
      </c>
      <c r="G8" s="2">
        <f ca="1">INDEX(Simulations!$A$1:$BK$2501, 8, MATCH("EntryEV", Simulations!$A$1:$BK$1, 0))</f>
        <v>44785336.89903906</v>
      </c>
      <c r="H8" s="2">
        <f ca="1">INDEX(Simulations!$A$1:$BK$2501, 8, MATCH("ExitEV", Simulations!$A$1:$BK$1, 0))</f>
        <v>54833865.73652596</v>
      </c>
      <c r="I8" s="2">
        <f ca="1">INDEX(Simulations!$A$1:$BK$2501, 8, MATCH("IRR", Simulations!$A$1:$BK$1, 0))</f>
        <v>0.1707421615032616</v>
      </c>
      <c r="J8" s="2">
        <f ca="1">INDEX(Simulations!$A$1:$BK$2501, 8, MATCH("NPV_12%", Simulations!$A$1:$BK$1, 0))</f>
        <v>4021867.3884621523</v>
      </c>
    </row>
    <row r="9" spans="1:10" x14ac:dyDescent="0.3">
      <c r="A9" s="2">
        <f>INDEX(Simulations!$A$2:$A$2501,8)</f>
        <v>8</v>
      </c>
      <c r="B9" s="2">
        <f ca="1">INDEX(Simulations!$A$1:$BK$2501, 9, MATCH("PurchaseMultiple", Simulations!$A$1:$BK$1, 0))</f>
        <v>7.0680205997130825</v>
      </c>
      <c r="C9" s="2">
        <f ca="1">INDEX(Simulations!$A$1:$BK$2501, 9, MATCH("ExitMultiple", Simulations!$A$1:$BK$1, 0))</f>
        <v>8.139885966282165</v>
      </c>
      <c r="D9" s="2">
        <f ca="1">INDEX(Simulations!$A$1:$BK$2501, 9, MATCH("RevCAGR", Simulations!$A$1:$BK$1, 0))</f>
        <v>6.6365967394812792E-2</v>
      </c>
      <c r="E9" s="2">
        <f ca="1">INDEX(Simulations!$A$1:$BK$2501, 9, MATCH("SynMargin", Simulations!$A$1:$BK$1, 0))</f>
        <v>3.9846202168597727E-3</v>
      </c>
      <c r="F9" s="2">
        <f ca="1">INDEX(Simulations!$A$1:$BK$2501, 9, MATCH("Yr1Shock", Simulations!$A$1:$BK$1, 0))</f>
        <v>1.9657143323598202E-2</v>
      </c>
      <c r="G9" s="2">
        <f ca="1">INDEX(Simulations!$A$1:$BK$2501, 9, MATCH("EntryEV", Simulations!$A$1:$BK$1, 0))</f>
        <v>42408123.598278493</v>
      </c>
      <c r="H9" s="2">
        <f ca="1">INDEX(Simulations!$A$1:$BK$2501, 9, MATCH("ExitEV", Simulations!$A$1:$BK$1, 0))</f>
        <v>65891271.332144283</v>
      </c>
      <c r="I9" s="2">
        <f ca="1">INDEX(Simulations!$A$1:$BK$2501, 9, MATCH("IRR", Simulations!$A$1:$BK$1, 0))</f>
        <v>0.26917082649470192</v>
      </c>
      <c r="J9" s="2">
        <f ca="1">INDEX(Simulations!$A$1:$BK$2501, 9, MATCH("NPV_12%", Simulations!$A$1:$BK$1, 0))</f>
        <v>13174919.797347702</v>
      </c>
    </row>
    <row r="10" spans="1:10" x14ac:dyDescent="0.3">
      <c r="A10" s="2">
        <f>INDEX(Simulations!$A$2:$A$2501,9)</f>
        <v>9</v>
      </c>
      <c r="B10" s="2">
        <f ca="1">INDEX(Simulations!$A$1:$BK$2501, 10, MATCH("PurchaseMultiple", Simulations!$A$1:$BK$1, 0))</f>
        <v>6.5176158438441156</v>
      </c>
      <c r="C10" s="2">
        <f ca="1">INDEX(Simulations!$A$1:$BK$2501, 10, MATCH("ExitMultiple", Simulations!$A$1:$BK$1, 0))</f>
        <v>7.5749086227528428</v>
      </c>
      <c r="D10" s="2">
        <f ca="1">INDEX(Simulations!$A$1:$BK$2501, 10, MATCH("RevCAGR", Simulations!$A$1:$BK$1, 0))</f>
        <v>3.8818253555022664E-2</v>
      </c>
      <c r="E10" s="2">
        <f ca="1">INDEX(Simulations!$A$1:$BK$2501, 10, MATCH("SynMargin", Simulations!$A$1:$BK$1, 0))</f>
        <v>5.6198710488562101E-3</v>
      </c>
      <c r="F10" s="2">
        <f ca="1">INDEX(Simulations!$A$1:$BK$2501, 10, MATCH("Yr1Shock", Simulations!$A$1:$BK$1, 0))</f>
        <v>1.2156623389596111E-2</v>
      </c>
      <c r="G10" s="2">
        <f ca="1">INDEX(Simulations!$A$1:$BK$2501, 10, MATCH("EntryEV", Simulations!$A$1:$BK$1, 0))</f>
        <v>39105695.063064694</v>
      </c>
      <c r="H10" s="2">
        <f ca="1">INDEX(Simulations!$A$1:$BK$2501, 10, MATCH("ExitEV", Simulations!$A$1:$BK$1, 0))</f>
        <v>55327820.60162811</v>
      </c>
      <c r="I10" s="2">
        <f ca="1">INDEX(Simulations!$A$1:$BK$2501, 10, MATCH("IRR", Simulations!$A$1:$BK$1, 0))</f>
        <v>0.24654682595355903</v>
      </c>
      <c r="J10" s="2">
        <f ca="1">INDEX(Simulations!$A$1:$BK$2501, 10, MATCH("NPV_12%", Simulations!$A$1:$BK$1, 0))</f>
        <v>9639532.7889864333</v>
      </c>
    </row>
    <row r="11" spans="1:10" x14ac:dyDescent="0.3">
      <c r="A11" s="2">
        <f>INDEX(Simulations!$A$2:$A$2501,10)</f>
        <v>10</v>
      </c>
      <c r="B11" s="2">
        <f ca="1">INDEX(Simulations!$A$1:$BK$2501, 11, MATCH("PurchaseMultiple", Simulations!$A$1:$BK$1, 0))</f>
        <v>7.2123891931268265</v>
      </c>
      <c r="C11" s="2">
        <f ca="1">INDEX(Simulations!$A$1:$BK$2501, 11, MATCH("ExitMultiple", Simulations!$A$1:$BK$1, 0))</f>
        <v>8.3564883209188991</v>
      </c>
      <c r="D11" s="2">
        <f ca="1">INDEX(Simulations!$A$1:$BK$2501, 11, MATCH("RevCAGR", Simulations!$A$1:$BK$1, 0))</f>
        <v>1.8513688023129943E-2</v>
      </c>
      <c r="E11" s="2">
        <f ca="1">INDEX(Simulations!$A$1:$BK$2501, 11, MATCH("SynMargin", Simulations!$A$1:$BK$1, 0))</f>
        <v>9.8177016540962735E-3</v>
      </c>
      <c r="F11" s="2">
        <f ca="1">INDEX(Simulations!$A$1:$BK$2501, 11, MATCH("Yr1Shock", Simulations!$A$1:$BK$1, 0))</f>
        <v>3.1565703259617731E-2</v>
      </c>
      <c r="G11" s="2">
        <f ca="1">INDEX(Simulations!$A$1:$BK$2501, 11, MATCH("EntryEV", Simulations!$A$1:$BK$1, 0))</f>
        <v>43274335.158760957</v>
      </c>
      <c r="H11" s="2">
        <f ca="1">INDEX(Simulations!$A$1:$BK$2501, 11, MATCH("ExitEV", Simulations!$A$1:$BK$1, 0))</f>
        <v>58847133.711642206</v>
      </c>
      <c r="I11" s="2">
        <f ca="1">INDEX(Simulations!$A$1:$BK$2501, 11, MATCH("IRR", Simulations!$A$1:$BK$1, 0))</f>
        <v>0.21750838123449934</v>
      </c>
      <c r="J11" s="2">
        <f ca="1">INDEX(Simulations!$A$1:$BK$2501, 11, MATCH("NPV_12%", Simulations!$A$1:$BK$1, 0))</f>
        <v>7967837.9784582481</v>
      </c>
    </row>
    <row r="12" spans="1:10" x14ac:dyDescent="0.3">
      <c r="A12" s="2">
        <f>INDEX(Simulations!$A$2:$A$2501,11)</f>
        <v>11</v>
      </c>
      <c r="B12" s="2">
        <f ca="1">INDEX(Simulations!$A$1:$BK$2501, 12, MATCH("PurchaseMultiple", Simulations!$A$1:$BK$1, 0))</f>
        <v>6.3114867699616424</v>
      </c>
      <c r="C12" s="2">
        <f ca="1">INDEX(Simulations!$A$1:$BK$2501, 12, MATCH("ExitMultiple", Simulations!$A$1:$BK$1, 0))</f>
        <v>8.2244698447856059</v>
      </c>
      <c r="D12" s="2">
        <f ca="1">INDEX(Simulations!$A$1:$BK$2501, 12, MATCH("RevCAGR", Simulations!$A$1:$BK$1, 0))</f>
        <v>7.3941227686231847E-2</v>
      </c>
      <c r="E12" s="2">
        <f ca="1">INDEX(Simulations!$A$1:$BK$2501, 12, MATCH("SynMargin", Simulations!$A$1:$BK$1, 0))</f>
        <v>6.5404722980576596E-3</v>
      </c>
      <c r="F12" s="2">
        <f ca="1">INDEX(Simulations!$A$1:$BK$2501, 12, MATCH("Yr1Shock", Simulations!$A$1:$BK$1, 0))</f>
        <v>-9.1089032800621087E-3</v>
      </c>
      <c r="G12" s="2">
        <f ca="1">INDEX(Simulations!$A$1:$BK$2501, 12, MATCH("EntryEV", Simulations!$A$1:$BK$1, 0))</f>
        <v>37868920.619769856</v>
      </c>
      <c r="H12" s="2">
        <f ca="1">INDEX(Simulations!$A$1:$BK$2501, 12, MATCH("ExitEV", Simulations!$A$1:$BK$1, 0))</f>
        <v>67525593.440525413</v>
      </c>
      <c r="I12" s="2">
        <f ca="1">INDEX(Simulations!$A$1:$BK$2501, 12, MATCH("IRR", Simulations!$A$1:$BK$1, 0))</f>
        <v>0.33192783132083448</v>
      </c>
      <c r="J12" s="2">
        <f ca="1">INDEX(Simulations!$A$1:$BK$2501, 12, MATCH("NPV_12%", Simulations!$A$1:$BK$1, 0))</f>
        <v>18220645.888268825</v>
      </c>
    </row>
    <row r="13" spans="1:10" x14ac:dyDescent="0.3">
      <c r="A13" s="2">
        <f>INDEX(Simulations!$A$2:$A$2501,12)</f>
        <v>12</v>
      </c>
      <c r="B13" s="2">
        <f ca="1">INDEX(Simulations!$A$1:$BK$2501, 13, MATCH("PurchaseMultiple", Simulations!$A$1:$BK$1, 0))</f>
        <v>7.5699700114905584</v>
      </c>
      <c r="C13" s="2">
        <f ca="1">INDEX(Simulations!$A$1:$BK$2501, 13, MATCH("ExitMultiple", Simulations!$A$1:$BK$1, 0))</f>
        <v>7.6178247433062678</v>
      </c>
      <c r="D13" s="2">
        <f ca="1">INDEX(Simulations!$A$1:$BK$2501, 13, MATCH("RevCAGR", Simulations!$A$1:$BK$1, 0))</f>
        <v>-6.2298326316466771E-3</v>
      </c>
      <c r="E13" s="2">
        <f ca="1">INDEX(Simulations!$A$1:$BK$2501, 13, MATCH("SynMargin", Simulations!$A$1:$BK$1, 0))</f>
        <v>1.1262353118613119E-2</v>
      </c>
      <c r="F13" s="2">
        <f ca="1">INDEX(Simulations!$A$1:$BK$2501, 13, MATCH("Yr1Shock", Simulations!$A$1:$BK$1, 0))</f>
        <v>-4.6670059683311081E-3</v>
      </c>
      <c r="G13" s="2">
        <f ca="1">INDEX(Simulations!$A$1:$BK$2501, 13, MATCH("EntryEV", Simulations!$A$1:$BK$1, 0))</f>
        <v>45419820.068943352</v>
      </c>
      <c r="H13" s="2">
        <f ca="1">INDEX(Simulations!$A$1:$BK$2501, 13, MATCH("ExitEV", Simulations!$A$1:$BK$1, 0))</f>
        <v>47285525.141285092</v>
      </c>
      <c r="I13" s="2">
        <f ca="1">INDEX(Simulations!$A$1:$BK$2501, 13, MATCH("IRR", Simulations!$A$1:$BK$1, 0))</f>
        <v>9.9801521079456279E-2</v>
      </c>
      <c r="J13" s="2">
        <f ca="1">INDEX(Simulations!$A$1:$BK$2501, 13, MATCH("NPV_12%", Simulations!$A$1:$BK$1, 0))</f>
        <v>-1424468.0624223948</v>
      </c>
    </row>
    <row r="14" spans="1:10" x14ac:dyDescent="0.3">
      <c r="A14" s="2">
        <f>INDEX(Simulations!$A$2:$A$2501,13)</f>
        <v>13</v>
      </c>
      <c r="B14" s="2">
        <f ca="1">INDEX(Simulations!$A$1:$BK$2501, 14, MATCH("PurchaseMultiple", Simulations!$A$1:$BK$1, 0))</f>
        <v>6.4914261019541595</v>
      </c>
      <c r="C14" s="2">
        <f ca="1">INDEX(Simulations!$A$1:$BK$2501, 14, MATCH("ExitMultiple", Simulations!$A$1:$BK$1, 0))</f>
        <v>7.8116113423862945</v>
      </c>
      <c r="D14" s="2">
        <f ca="1">INDEX(Simulations!$A$1:$BK$2501, 14, MATCH("RevCAGR", Simulations!$A$1:$BK$1, 0))</f>
        <v>3.8718789715716476E-2</v>
      </c>
      <c r="E14" s="2">
        <f ca="1">INDEX(Simulations!$A$1:$BK$2501, 14, MATCH("SynMargin", Simulations!$A$1:$BK$1, 0))</f>
        <v>1.7145984588207305E-2</v>
      </c>
      <c r="F14" s="2">
        <f ca="1">INDEX(Simulations!$A$1:$BK$2501, 14, MATCH("Yr1Shock", Simulations!$A$1:$BK$1, 0))</f>
        <v>-3.2648175648133146E-2</v>
      </c>
      <c r="G14" s="2">
        <f ca="1">INDEX(Simulations!$A$1:$BK$2501, 14, MATCH("EntryEV", Simulations!$A$1:$BK$1, 0))</f>
        <v>38948556.611724958</v>
      </c>
      <c r="H14" s="2">
        <f ca="1">INDEX(Simulations!$A$1:$BK$2501, 14, MATCH("ExitEV", Simulations!$A$1:$BK$1, 0))</f>
        <v>58058815.568318613</v>
      </c>
      <c r="I14" s="2">
        <f ca="1">INDEX(Simulations!$A$1:$BK$2501, 14, MATCH("IRR", Simulations!$A$1:$BK$1, 0))</f>
        <v>0.26876860941372716</v>
      </c>
      <c r="J14" s="2">
        <f ca="1">INDEX(Simulations!$A$1:$BK$2501, 14, MATCH("NPV_12%", Simulations!$A$1:$BK$1, 0))</f>
        <v>11678869.988236647</v>
      </c>
    </row>
    <row r="15" spans="1:10" x14ac:dyDescent="0.3">
      <c r="A15" s="2">
        <f>INDEX(Simulations!$A$2:$A$2501,14)</f>
        <v>14</v>
      </c>
      <c r="B15" s="2">
        <f ca="1">INDEX(Simulations!$A$1:$BK$2501, 15, MATCH("PurchaseMultiple", Simulations!$A$1:$BK$1, 0))</f>
        <v>6.6930950432358625</v>
      </c>
      <c r="C15" s="2">
        <f ca="1">INDEX(Simulations!$A$1:$BK$2501, 15, MATCH("ExitMultiple", Simulations!$A$1:$BK$1, 0))</f>
        <v>7.6329725295044746</v>
      </c>
      <c r="D15" s="2">
        <f ca="1">INDEX(Simulations!$A$1:$BK$2501, 15, MATCH("RevCAGR", Simulations!$A$1:$BK$1, 0))</f>
        <v>4.8212666936267551E-2</v>
      </c>
      <c r="E15" s="2">
        <f ca="1">INDEX(Simulations!$A$1:$BK$2501, 15, MATCH("SynMargin", Simulations!$A$1:$BK$1, 0))</f>
        <v>1.854822128767418E-2</v>
      </c>
      <c r="F15" s="2">
        <f ca="1">INDEX(Simulations!$A$1:$BK$2501, 15, MATCH("Yr1Shock", Simulations!$A$1:$BK$1, 0))</f>
        <v>3.5956594932976989E-2</v>
      </c>
      <c r="G15" s="2">
        <f ca="1">INDEX(Simulations!$A$1:$BK$2501, 15, MATCH("EntryEV", Simulations!$A$1:$BK$1, 0))</f>
        <v>40158570.259415172</v>
      </c>
      <c r="H15" s="2">
        <f ca="1">INDEX(Simulations!$A$1:$BK$2501, 15, MATCH("ExitEV", Simulations!$A$1:$BK$1, 0))</f>
        <v>63474818.66517204</v>
      </c>
      <c r="I15" s="2">
        <f ca="1">INDEX(Simulations!$A$1:$BK$2501, 15, MATCH("IRR", Simulations!$A$1:$BK$1, 0))</f>
        <v>0.29949688785101936</v>
      </c>
      <c r="J15" s="2">
        <f ca="1">INDEX(Simulations!$A$1:$BK$2501, 15, MATCH("NPV_12%", Simulations!$A$1:$BK$1, 0))</f>
        <v>15082341.170193966</v>
      </c>
    </row>
    <row r="16" spans="1:10" x14ac:dyDescent="0.3">
      <c r="A16" s="2">
        <f>INDEX(Simulations!$A$2:$A$2501,15)</f>
        <v>15</v>
      </c>
      <c r="B16" s="2">
        <f ca="1">INDEX(Simulations!$A$1:$BK$2501, 16, MATCH("PurchaseMultiple", Simulations!$A$1:$BK$1, 0))</f>
        <v>7.358728215738874</v>
      </c>
      <c r="C16" s="2">
        <f ca="1">INDEX(Simulations!$A$1:$BK$2501, 16, MATCH("ExitMultiple", Simulations!$A$1:$BK$1, 0))</f>
        <v>6.6925064486528889</v>
      </c>
      <c r="D16" s="2">
        <f ca="1">INDEX(Simulations!$A$1:$BK$2501, 16, MATCH("RevCAGR", Simulations!$A$1:$BK$1, 0))</f>
        <v>4.8743225833531446E-2</v>
      </c>
      <c r="E16" s="2">
        <f ca="1">INDEX(Simulations!$A$1:$BK$2501, 16, MATCH("SynMargin", Simulations!$A$1:$BK$1, 0))</f>
        <v>1.8964634587011555E-2</v>
      </c>
      <c r="F16" s="2">
        <f ca="1">INDEX(Simulations!$A$1:$BK$2501, 16, MATCH("Yr1Shock", Simulations!$A$1:$BK$1, 0))</f>
        <v>3.1387583111628724E-2</v>
      </c>
      <c r="G16" s="2">
        <f ca="1">INDEX(Simulations!$A$1:$BK$2501, 16, MATCH("EntryEV", Simulations!$A$1:$BK$1, 0))</f>
        <v>44152369.294433244</v>
      </c>
      <c r="H16" s="2">
        <f ca="1">INDEX(Simulations!$A$1:$BK$2501, 16, MATCH("ExitEV", Simulations!$A$1:$BK$1, 0))</f>
        <v>55642529.238143966</v>
      </c>
      <c r="I16" s="2">
        <f ca="1">INDEX(Simulations!$A$1:$BK$2501, 16, MATCH("IRR", Simulations!$A$1:$BK$1, 0))</f>
        <v>0.20847126229395596</v>
      </c>
      <c r="J16" s="2">
        <f ca="1">INDEX(Simulations!$A$1:$BK$2501, 16, MATCH("NPV_12%", Simulations!$A$1:$BK$1, 0))</f>
        <v>7076529.2050030939</v>
      </c>
    </row>
    <row r="17" spans="1:10" x14ac:dyDescent="0.3">
      <c r="A17" s="2">
        <f>INDEX(Simulations!$A$2:$A$2501,16)</f>
        <v>16</v>
      </c>
      <c r="B17" s="2">
        <f ca="1">INDEX(Simulations!$A$1:$BK$2501, 17, MATCH("PurchaseMultiple", Simulations!$A$1:$BK$1, 0))</f>
        <v>6.243994782742158</v>
      </c>
      <c r="C17" s="2">
        <f ca="1">INDEX(Simulations!$A$1:$BK$2501, 17, MATCH("ExitMultiple", Simulations!$A$1:$BK$1, 0))</f>
        <v>7.4225818622490332</v>
      </c>
      <c r="D17" s="2">
        <f ca="1">INDEX(Simulations!$A$1:$BK$2501, 17, MATCH("RevCAGR", Simulations!$A$1:$BK$1, 0))</f>
        <v>8.128350103003873E-2</v>
      </c>
      <c r="E17" s="2">
        <f ca="1">INDEX(Simulations!$A$1:$BK$2501, 17, MATCH("SynMargin", Simulations!$A$1:$BK$1, 0))</f>
        <v>2.978655537573642E-4</v>
      </c>
      <c r="F17" s="2">
        <f ca="1">INDEX(Simulations!$A$1:$BK$2501, 17, MATCH("Yr1Shock", Simulations!$A$1:$BK$1, 0))</f>
        <v>1.4977693015596737E-4</v>
      </c>
      <c r="G17" s="2">
        <f ca="1">INDEX(Simulations!$A$1:$BK$2501, 17, MATCH("EntryEV", Simulations!$A$1:$BK$1, 0))</f>
        <v>37463968.696452945</v>
      </c>
      <c r="H17" s="2">
        <f ca="1">INDEX(Simulations!$A$1:$BK$2501, 17, MATCH("ExitEV", Simulations!$A$1:$BK$1, 0))</f>
        <v>60993498.853631645</v>
      </c>
      <c r="I17" s="2">
        <f ca="1">INDEX(Simulations!$A$1:$BK$2501, 17, MATCH("IRR", Simulations!$A$1:$BK$1, 0))</f>
        <v>0.30202720840945041</v>
      </c>
      <c r="J17" s="2">
        <f ca="1">INDEX(Simulations!$A$1:$BK$2501, 17, MATCH("NPV_12%", Simulations!$A$1:$BK$1, 0))</f>
        <v>14667675.352152292</v>
      </c>
    </row>
    <row r="18" spans="1:10" x14ac:dyDescent="0.3">
      <c r="A18" s="2">
        <f>INDEX(Simulations!$A$2:$A$2501,17)</f>
        <v>17</v>
      </c>
      <c r="B18" s="2">
        <f ca="1">INDEX(Simulations!$A$1:$BK$2501, 18, MATCH("PurchaseMultiple", Simulations!$A$1:$BK$1, 0))</f>
        <v>6.9863142261236728</v>
      </c>
      <c r="C18" s="2">
        <f ca="1">INDEX(Simulations!$A$1:$BK$2501, 18, MATCH("ExitMultiple", Simulations!$A$1:$BK$1, 0))</f>
        <v>7.5988095497124784</v>
      </c>
      <c r="D18" s="2">
        <f ca="1">INDEX(Simulations!$A$1:$BK$2501, 18, MATCH("RevCAGR", Simulations!$A$1:$BK$1, 0))</f>
        <v>3.1573932655015978E-2</v>
      </c>
      <c r="E18" s="2">
        <f ca="1">INDEX(Simulations!$A$1:$BK$2501, 18, MATCH("SynMargin", Simulations!$A$1:$BK$1, 0))</f>
        <v>1.260124039764542E-2</v>
      </c>
      <c r="F18" s="2">
        <f ca="1">INDEX(Simulations!$A$1:$BK$2501, 18, MATCH("Yr1Shock", Simulations!$A$1:$BK$1, 0))</f>
        <v>1.5638491447280644E-2</v>
      </c>
      <c r="G18" s="2">
        <f ca="1">INDEX(Simulations!$A$1:$BK$2501, 18, MATCH("EntryEV", Simulations!$A$1:$BK$1, 0))</f>
        <v>41917885.356742039</v>
      </c>
      <c r="H18" s="2">
        <f ca="1">INDEX(Simulations!$A$1:$BK$2501, 18, MATCH("ExitEV", Simulations!$A$1:$BK$1, 0))</f>
        <v>56291442.106275655</v>
      </c>
      <c r="I18" s="2">
        <f ca="1">INDEX(Simulations!$A$1:$BK$2501, 18, MATCH("IRR", Simulations!$A$1:$BK$1, 0))</f>
        <v>0.2233174983052737</v>
      </c>
      <c r="J18" s="2">
        <f ca="1">INDEX(Simulations!$A$1:$BK$2501, 18, MATCH("NPV_12%", Simulations!$A$1:$BK$1, 0))</f>
        <v>8140103.614518065</v>
      </c>
    </row>
    <row r="19" spans="1:10" x14ac:dyDescent="0.3">
      <c r="A19" s="2">
        <f>INDEX(Simulations!$A$2:$A$2501,18)</f>
        <v>18</v>
      </c>
      <c r="B19" s="2">
        <f ca="1">INDEX(Simulations!$A$1:$BK$2501, 19, MATCH("PurchaseMultiple", Simulations!$A$1:$BK$1, 0))</f>
        <v>6.390841777291171</v>
      </c>
      <c r="C19" s="2">
        <f ca="1">INDEX(Simulations!$A$1:$BK$2501, 19, MATCH("ExitMultiple", Simulations!$A$1:$BK$1, 0))</f>
        <v>7.3201573753092672</v>
      </c>
      <c r="D19" s="2">
        <f ca="1">INDEX(Simulations!$A$1:$BK$2501, 19, MATCH("RevCAGR", Simulations!$A$1:$BK$1, 0))</f>
        <v>2.4044740037257914E-2</v>
      </c>
      <c r="E19" s="2">
        <f ca="1">INDEX(Simulations!$A$1:$BK$2501, 19, MATCH("SynMargin", Simulations!$A$1:$BK$1, 0))</f>
        <v>1.2819415635713644E-2</v>
      </c>
      <c r="F19" s="2">
        <f ca="1">INDEX(Simulations!$A$1:$BK$2501, 19, MATCH("Yr1Shock", Simulations!$A$1:$BK$1, 0))</f>
        <v>1.0236373683145665E-2</v>
      </c>
      <c r="G19" s="2">
        <f ca="1">INDEX(Simulations!$A$1:$BK$2501, 19, MATCH("EntryEV", Simulations!$A$1:$BK$1, 0))</f>
        <v>38345050.663747028</v>
      </c>
      <c r="H19" s="2">
        <f ca="1">INDEX(Simulations!$A$1:$BK$2501, 19, MATCH("ExitEV", Simulations!$A$1:$BK$1, 0))</f>
        <v>52443291.339519069</v>
      </c>
      <c r="I19" s="2">
        <f ca="1">INDEX(Simulations!$A$1:$BK$2501, 19, MATCH("IRR", Simulations!$A$1:$BK$1, 0))</f>
        <v>0.24358231183965851</v>
      </c>
      <c r="J19" s="2">
        <f ca="1">INDEX(Simulations!$A$1:$BK$2501, 19, MATCH("NPV_12%", Simulations!$A$1:$BK$1, 0))</f>
        <v>8992245.4043220095</v>
      </c>
    </row>
    <row r="20" spans="1:10" x14ac:dyDescent="0.3">
      <c r="A20" s="2">
        <f>INDEX(Simulations!$A$2:$A$2501,19)</f>
        <v>19</v>
      </c>
      <c r="B20" s="2">
        <f ca="1">INDEX(Simulations!$A$1:$BK$2501, 20, MATCH("PurchaseMultiple", Simulations!$A$1:$BK$1, 0))</f>
        <v>6.7205763696830285</v>
      </c>
      <c r="C20" s="2">
        <f ca="1">INDEX(Simulations!$A$1:$BK$2501, 20, MATCH("ExitMultiple", Simulations!$A$1:$BK$1, 0))</f>
        <v>7.7771949301400358</v>
      </c>
      <c r="D20" s="2">
        <f ca="1">INDEX(Simulations!$A$1:$BK$2501, 20, MATCH("RevCAGR", Simulations!$A$1:$BK$1, 0))</f>
        <v>9.2261350700555342E-2</v>
      </c>
      <c r="E20" s="2">
        <f ca="1">INDEX(Simulations!$A$1:$BK$2501, 20, MATCH("SynMargin", Simulations!$A$1:$BK$1, 0))</f>
        <v>1.1562584095117342E-2</v>
      </c>
      <c r="F20" s="2">
        <f ca="1">INDEX(Simulations!$A$1:$BK$2501, 20, MATCH("Yr1Shock", Simulations!$A$1:$BK$1, 0))</f>
        <v>-4.4739079695009336E-2</v>
      </c>
      <c r="G20" s="2">
        <f ca="1">INDEX(Simulations!$A$1:$BK$2501, 20, MATCH("EntryEV", Simulations!$A$1:$BK$1, 0))</f>
        <v>40323458.218098171</v>
      </c>
      <c r="H20" s="2">
        <f ca="1">INDEX(Simulations!$A$1:$BK$2501, 20, MATCH("ExitEV", Simulations!$A$1:$BK$1, 0))</f>
        <v>67725061.126835629</v>
      </c>
      <c r="I20" s="2">
        <f ca="1">INDEX(Simulations!$A$1:$BK$2501, 20, MATCH("IRR", Simulations!$A$1:$BK$1, 0))</f>
        <v>0.30601868977660907</v>
      </c>
      <c r="J20" s="2">
        <f ca="1">INDEX(Simulations!$A$1:$BK$2501, 20, MATCH("NPV_12%", Simulations!$A$1:$BK$1, 0))</f>
        <v>16509572.435717057</v>
      </c>
    </row>
    <row r="21" spans="1:10" x14ac:dyDescent="0.3">
      <c r="A21" s="2">
        <f>INDEX(Simulations!$A$2:$A$2501,20)</f>
        <v>20</v>
      </c>
      <c r="B21" s="2">
        <f ca="1">INDEX(Simulations!$A$1:$BK$2501, 21, MATCH("PurchaseMultiple", Simulations!$A$1:$BK$1, 0))</f>
        <v>7.4194412666650837</v>
      </c>
      <c r="C21" s="2">
        <f ca="1">INDEX(Simulations!$A$1:$BK$2501, 21, MATCH("ExitMultiple", Simulations!$A$1:$BK$1, 0))</f>
        <v>6.6421820594142638</v>
      </c>
      <c r="D21" s="2">
        <f ca="1">INDEX(Simulations!$A$1:$BK$2501, 21, MATCH("RevCAGR", Simulations!$A$1:$BK$1, 0))</f>
        <v>5.8887353075346628E-2</v>
      </c>
      <c r="E21" s="2">
        <f ca="1">INDEX(Simulations!$A$1:$BK$2501, 21, MATCH("SynMargin", Simulations!$A$1:$BK$1, 0))</f>
        <v>1.0125716544543903E-2</v>
      </c>
      <c r="F21" s="2">
        <f ca="1">INDEX(Simulations!$A$1:$BK$2501, 21, MATCH("Yr1Shock", Simulations!$A$1:$BK$1, 0))</f>
        <v>4.6618215392228643E-3</v>
      </c>
      <c r="G21" s="2">
        <f ca="1">INDEX(Simulations!$A$1:$BK$2501, 21, MATCH("EntryEV", Simulations!$A$1:$BK$1, 0))</f>
        <v>44516647.599990502</v>
      </c>
      <c r="H21" s="2">
        <f ca="1">INDEX(Simulations!$A$1:$BK$2501, 21, MATCH("ExitEV", Simulations!$A$1:$BK$1, 0))</f>
        <v>53309458.877826698</v>
      </c>
      <c r="I21" s="2">
        <f ca="1">INDEX(Simulations!$A$1:$BK$2501, 21, MATCH("IRR", Simulations!$A$1:$BK$1, 0))</f>
        <v>0.1767987096359529</v>
      </c>
      <c r="J21" s="2">
        <f ca="1">INDEX(Simulations!$A$1:$BK$2501, 21, MATCH("NPV_12%", Simulations!$A$1:$BK$1, 0))</f>
        <v>4436827.3077916801</v>
      </c>
    </row>
    <row r="22" spans="1:10" x14ac:dyDescent="0.3">
      <c r="A22" s="2">
        <f>INDEX(Simulations!$A$2:$A$2501,21)</f>
        <v>21</v>
      </c>
      <c r="B22" s="2">
        <f ca="1">INDEX(Simulations!$A$1:$BK$2501, 22, MATCH("PurchaseMultiple", Simulations!$A$1:$BK$1, 0))</f>
        <v>6.8397239488160659</v>
      </c>
      <c r="C22" s="2">
        <f ca="1">INDEX(Simulations!$A$1:$BK$2501, 22, MATCH("ExitMultiple", Simulations!$A$1:$BK$1, 0))</f>
        <v>7.5646617331464556</v>
      </c>
      <c r="D22" s="2">
        <f ca="1">INDEX(Simulations!$A$1:$BK$2501, 22, MATCH("RevCAGR", Simulations!$A$1:$BK$1, 0))</f>
        <v>2.2701974213698153E-2</v>
      </c>
      <c r="E22" s="2">
        <f ca="1">INDEX(Simulations!$A$1:$BK$2501, 22, MATCH("SynMargin", Simulations!$A$1:$BK$1, 0))</f>
        <v>6.6281699400436364E-3</v>
      </c>
      <c r="F22" s="2">
        <f ca="1">INDEX(Simulations!$A$1:$BK$2501, 22, MATCH("Yr1Shock", Simulations!$A$1:$BK$1, 0))</f>
        <v>1.3120468387072528E-2</v>
      </c>
      <c r="G22" s="2">
        <f ca="1">INDEX(Simulations!$A$1:$BK$2501, 22, MATCH("EntryEV", Simulations!$A$1:$BK$1, 0))</f>
        <v>41038343.692896396</v>
      </c>
      <c r="H22" s="2">
        <f ca="1">INDEX(Simulations!$A$1:$BK$2501, 22, MATCH("ExitEV", Simulations!$A$1:$BK$1, 0))</f>
        <v>52248454.044176213</v>
      </c>
      <c r="I22" s="2">
        <f ca="1">INDEX(Simulations!$A$1:$BK$2501, 22, MATCH("IRR", Simulations!$A$1:$BK$1, 0))</f>
        <v>0.19911593411300976</v>
      </c>
      <c r="J22" s="2">
        <f ca="1">INDEX(Simulations!$A$1:$BK$2501, 22, MATCH("NPV_12%", Simulations!$A$1:$BK$1, 0))</f>
        <v>5874774.0932903849</v>
      </c>
    </row>
    <row r="23" spans="1:10" x14ac:dyDescent="0.3">
      <c r="A23" s="2">
        <f>INDEX(Simulations!$A$2:$A$2501,22)</f>
        <v>22</v>
      </c>
      <c r="B23" s="2">
        <f ca="1">INDEX(Simulations!$A$1:$BK$2501, 23, MATCH("PurchaseMultiple", Simulations!$A$1:$BK$1, 0))</f>
        <v>7.0852840954957594</v>
      </c>
      <c r="C23" s="2">
        <f ca="1">INDEX(Simulations!$A$1:$BK$2501, 23, MATCH("ExitMultiple", Simulations!$A$1:$BK$1, 0))</f>
        <v>8.1984723568403943</v>
      </c>
      <c r="D23" s="2">
        <f ca="1">INDEX(Simulations!$A$1:$BK$2501, 23, MATCH("RevCAGR", Simulations!$A$1:$BK$1, 0))</f>
        <v>2.6449241259475682E-2</v>
      </c>
      <c r="E23" s="2">
        <f ca="1">INDEX(Simulations!$A$1:$BK$2501, 23, MATCH("SynMargin", Simulations!$A$1:$BK$1, 0))</f>
        <v>6.1467561569967209E-4</v>
      </c>
      <c r="F23" s="2">
        <f ca="1">INDEX(Simulations!$A$1:$BK$2501, 23, MATCH("Yr1Shock", Simulations!$A$1:$BK$1, 0))</f>
        <v>-2.0486502106596131E-2</v>
      </c>
      <c r="G23" s="2">
        <f ca="1">INDEX(Simulations!$A$1:$BK$2501, 23, MATCH("EntryEV", Simulations!$A$1:$BK$1, 0))</f>
        <v>42511704.572974555</v>
      </c>
      <c r="H23" s="2">
        <f ca="1">INDEX(Simulations!$A$1:$BK$2501, 23, MATCH("ExitEV", Simulations!$A$1:$BK$1, 0))</f>
        <v>53678324.169011608</v>
      </c>
      <c r="I23" s="2">
        <f ca="1">INDEX(Simulations!$A$1:$BK$2501, 23, MATCH("IRR", Simulations!$A$1:$BK$1, 0))</f>
        <v>0.17740229894931003</v>
      </c>
      <c r="J23" s="2">
        <f ca="1">INDEX(Simulations!$A$1:$BK$2501, 23, MATCH("NPV_12%", Simulations!$A$1:$BK$1, 0))</f>
        <v>4396453.6705652475</v>
      </c>
    </row>
    <row r="24" spans="1:10" x14ac:dyDescent="0.3">
      <c r="A24" s="2">
        <f>INDEX(Simulations!$A$2:$A$2501,23)</f>
        <v>23</v>
      </c>
      <c r="B24" s="2">
        <f ca="1">INDEX(Simulations!$A$1:$BK$2501, 24, MATCH("PurchaseMultiple", Simulations!$A$1:$BK$1, 0))</f>
        <v>6.9174443120534637</v>
      </c>
      <c r="C24" s="2">
        <f ca="1">INDEX(Simulations!$A$1:$BK$2501, 24, MATCH("ExitMultiple", Simulations!$A$1:$BK$1, 0))</f>
        <v>7.9929547617110508</v>
      </c>
      <c r="D24" s="2">
        <f ca="1">INDEX(Simulations!$A$1:$BK$2501, 24, MATCH("RevCAGR", Simulations!$A$1:$BK$1, 0))</f>
        <v>5.8630279671346971E-2</v>
      </c>
      <c r="E24" s="2">
        <f ca="1">INDEX(Simulations!$A$1:$BK$2501, 24, MATCH("SynMargin", Simulations!$A$1:$BK$1, 0))</f>
        <v>1.169873148222742E-2</v>
      </c>
      <c r="F24" s="2">
        <f ca="1">INDEX(Simulations!$A$1:$BK$2501, 24, MATCH("Yr1Shock", Simulations!$A$1:$BK$1, 0))</f>
        <v>-1.0762380529599777E-2</v>
      </c>
      <c r="G24" s="2">
        <f ca="1">INDEX(Simulations!$A$1:$BK$2501, 24, MATCH("EntryEV", Simulations!$A$1:$BK$1, 0))</f>
        <v>41504665.872320779</v>
      </c>
      <c r="H24" s="2">
        <f ca="1">INDEX(Simulations!$A$1:$BK$2501, 24, MATCH("ExitEV", Simulations!$A$1:$BK$1, 0))</f>
        <v>63651166.842529513</v>
      </c>
      <c r="I24" s="2">
        <f ca="1">INDEX(Simulations!$A$1:$BK$2501, 24, MATCH("IRR", Simulations!$A$1:$BK$1, 0))</f>
        <v>0.26986048885812752</v>
      </c>
      <c r="J24" s="2">
        <f ca="1">INDEX(Simulations!$A$1:$BK$2501, 24, MATCH("NPV_12%", Simulations!$A$1:$BK$1, 0))</f>
        <v>12828947.241698131</v>
      </c>
    </row>
    <row r="25" spans="1:10" x14ac:dyDescent="0.3">
      <c r="A25" s="2">
        <f>INDEX(Simulations!$A$2:$A$2501,24)</f>
        <v>24</v>
      </c>
      <c r="B25" s="2">
        <f ca="1">INDEX(Simulations!$A$1:$BK$2501, 25, MATCH("PurchaseMultiple", Simulations!$A$1:$BK$1, 0))</f>
        <v>6.7764199630622937</v>
      </c>
      <c r="C25" s="2">
        <f ca="1">INDEX(Simulations!$A$1:$BK$2501, 25, MATCH("ExitMultiple", Simulations!$A$1:$BK$1, 0))</f>
        <v>7.0947867614231157</v>
      </c>
      <c r="D25" s="2">
        <f ca="1">INDEX(Simulations!$A$1:$BK$2501, 25, MATCH("RevCAGR", Simulations!$A$1:$BK$1, 0))</f>
        <v>0.10927234216497933</v>
      </c>
      <c r="E25" s="2">
        <f ca="1">INDEX(Simulations!$A$1:$BK$2501, 25, MATCH("SynMargin", Simulations!$A$1:$BK$1, 0))</f>
        <v>2.8782121254713198E-3</v>
      </c>
      <c r="F25" s="2">
        <f ca="1">INDEX(Simulations!$A$1:$BK$2501, 25, MATCH("Yr1Shock", Simulations!$A$1:$BK$1, 0))</f>
        <v>2.903536091640172E-3</v>
      </c>
      <c r="G25" s="2">
        <f ca="1">INDEX(Simulations!$A$1:$BK$2501, 25, MATCH("EntryEV", Simulations!$A$1:$BK$1, 0))</f>
        <v>40658519.778373763</v>
      </c>
      <c r="H25" s="2">
        <f ca="1">INDEX(Simulations!$A$1:$BK$2501, 25, MATCH("ExitEV", Simulations!$A$1:$BK$1, 0))</f>
        <v>65725452.051911801</v>
      </c>
      <c r="I25" s="2">
        <f ca="1">INDEX(Simulations!$A$1:$BK$2501, 25, MATCH("IRR", Simulations!$A$1:$BK$1, 0))</f>
        <v>0.29627974777771593</v>
      </c>
      <c r="J25" s="2">
        <f ca="1">INDEX(Simulations!$A$1:$BK$2501, 25, MATCH("NPV_12%", Simulations!$A$1:$BK$1, 0))</f>
        <v>15457074.061346184</v>
      </c>
    </row>
    <row r="26" spans="1:10" x14ac:dyDescent="0.3">
      <c r="A26" s="2">
        <f>INDEX(Simulations!$A$2:$A$2501,25)</f>
        <v>25</v>
      </c>
      <c r="B26" s="2">
        <f ca="1">INDEX(Simulations!$A$1:$BK$2501, 26, MATCH("PurchaseMultiple", Simulations!$A$1:$BK$1, 0))</f>
        <v>7.2392762950443981</v>
      </c>
      <c r="C26" s="2">
        <f ca="1">INDEX(Simulations!$A$1:$BK$2501, 26, MATCH("ExitMultiple", Simulations!$A$1:$BK$1, 0))</f>
        <v>7.7831108220397702</v>
      </c>
      <c r="D26" s="2">
        <f ca="1">INDEX(Simulations!$A$1:$BK$2501, 26, MATCH("RevCAGR", Simulations!$A$1:$BK$1, 0))</f>
        <v>6.3476935413320973E-2</v>
      </c>
      <c r="E26" s="2">
        <f ca="1">INDEX(Simulations!$A$1:$BK$2501, 26, MATCH("SynMargin", Simulations!$A$1:$BK$1, 0))</f>
        <v>8.9790456290901287E-3</v>
      </c>
      <c r="F26" s="2">
        <f ca="1">INDEX(Simulations!$A$1:$BK$2501, 26, MATCH("Yr1Shock", Simulations!$A$1:$BK$1, 0))</f>
        <v>-1.5469660853920063E-2</v>
      </c>
      <c r="G26" s="2">
        <f ca="1">INDEX(Simulations!$A$1:$BK$2501, 26, MATCH("EntryEV", Simulations!$A$1:$BK$1, 0))</f>
        <v>43435657.770266391</v>
      </c>
      <c r="H26" s="2">
        <f ca="1">INDEX(Simulations!$A$1:$BK$2501, 26, MATCH("ExitEV", Simulations!$A$1:$BK$1, 0))</f>
        <v>61889579.823822603</v>
      </c>
      <c r="I26" s="2">
        <f ca="1">INDEX(Simulations!$A$1:$BK$2501, 26, MATCH("IRR", Simulations!$A$1:$BK$1, 0))</f>
        <v>0.23546649479361892</v>
      </c>
      <c r="J26" s="2">
        <f ca="1">INDEX(Simulations!$A$1:$BK$2501, 26, MATCH("NPV_12%", Simulations!$A$1:$BK$1, 0))</f>
        <v>9885563.0973318182</v>
      </c>
    </row>
    <row r="27" spans="1:10" x14ac:dyDescent="0.3">
      <c r="A27" s="2">
        <f>INDEX(Simulations!$A$2:$A$2501,26)</f>
        <v>26</v>
      </c>
      <c r="B27" s="2">
        <f ca="1">INDEX(Simulations!$A$1:$BK$2501, 27, MATCH("PurchaseMultiple", Simulations!$A$1:$BK$1, 0))</f>
        <v>6.7959113155003923</v>
      </c>
      <c r="C27" s="2">
        <f ca="1">INDEX(Simulations!$A$1:$BK$2501, 27, MATCH("ExitMultiple", Simulations!$A$1:$BK$1, 0))</f>
        <v>6.8096985361434665</v>
      </c>
      <c r="D27" s="2">
        <f ca="1">INDEX(Simulations!$A$1:$BK$2501, 27, MATCH("RevCAGR", Simulations!$A$1:$BK$1, 0))</f>
        <v>5.281799601377124E-2</v>
      </c>
      <c r="E27" s="2">
        <f ca="1">INDEX(Simulations!$A$1:$BK$2501, 27, MATCH("SynMargin", Simulations!$A$1:$BK$1, 0))</f>
        <v>1.0462477817612774E-2</v>
      </c>
      <c r="F27" s="2">
        <f ca="1">INDEX(Simulations!$A$1:$BK$2501, 27, MATCH("Yr1Shock", Simulations!$A$1:$BK$1, 0))</f>
        <v>1.4037098266492774E-3</v>
      </c>
      <c r="G27" s="2">
        <f ca="1">INDEX(Simulations!$A$1:$BK$2501, 27, MATCH("EntryEV", Simulations!$A$1:$BK$1, 0))</f>
        <v>40775467.893002354</v>
      </c>
      <c r="H27" s="2">
        <f ca="1">INDEX(Simulations!$A$1:$BK$2501, 27, MATCH("ExitEV", Simulations!$A$1:$BK$1, 0))</f>
        <v>53337131.326912254</v>
      </c>
      <c r="I27" s="2">
        <f ca="1">INDEX(Simulations!$A$1:$BK$2501, 27, MATCH("IRR", Simulations!$A$1:$BK$1, 0))</f>
        <v>0.2212311346795508</v>
      </c>
      <c r="J27" s="2">
        <f ca="1">INDEX(Simulations!$A$1:$BK$2501, 27, MATCH("NPV_12%", Simulations!$A$1:$BK$1, 0))</f>
        <v>7674651.2435918003</v>
      </c>
    </row>
    <row r="28" spans="1:10" x14ac:dyDescent="0.3">
      <c r="A28" s="2">
        <f>INDEX(Simulations!$A$2:$A$2501,27)</f>
        <v>27</v>
      </c>
      <c r="B28" s="2">
        <f ca="1">INDEX(Simulations!$A$1:$BK$2501, 28, MATCH("PurchaseMultiple", Simulations!$A$1:$BK$1, 0))</f>
        <v>6.4192049523107011</v>
      </c>
      <c r="C28" s="2">
        <f ca="1">INDEX(Simulations!$A$1:$BK$2501, 28, MATCH("ExitMultiple", Simulations!$A$1:$BK$1, 0))</f>
        <v>7.4007066258474961</v>
      </c>
      <c r="D28" s="2">
        <f ca="1">INDEX(Simulations!$A$1:$BK$2501, 28, MATCH("RevCAGR", Simulations!$A$1:$BK$1, 0))</f>
        <v>3.8938149898155638E-2</v>
      </c>
      <c r="E28" s="2">
        <f ca="1">INDEX(Simulations!$A$1:$BK$2501, 28, MATCH("SynMargin", Simulations!$A$1:$BK$1, 0))</f>
        <v>9.9631962554871927E-3</v>
      </c>
      <c r="F28" s="2">
        <f ca="1">INDEX(Simulations!$A$1:$BK$2501, 28, MATCH("Yr1Shock", Simulations!$A$1:$BK$1, 0))</f>
        <v>-4.8309613384804493E-3</v>
      </c>
      <c r="G28" s="2">
        <f ca="1">INDEX(Simulations!$A$1:$BK$2501, 28, MATCH("EntryEV", Simulations!$A$1:$BK$1, 0))</f>
        <v>38515229.713864207</v>
      </c>
      <c r="H28" s="2">
        <f ca="1">INDEX(Simulations!$A$1:$BK$2501, 28, MATCH("ExitEV", Simulations!$A$1:$BK$1, 0))</f>
        <v>54477157.313130006</v>
      </c>
      <c r="I28" s="2">
        <f ca="1">INDEX(Simulations!$A$1:$BK$2501, 28, MATCH("IRR", Simulations!$A$1:$BK$1, 0))</f>
        <v>0.25140474392927104</v>
      </c>
      <c r="J28" s="2">
        <f ca="1">INDEX(Simulations!$A$1:$BK$2501, 28, MATCH("NPV_12%", Simulations!$A$1:$BK$1, 0))</f>
        <v>9859681.4743788205</v>
      </c>
    </row>
    <row r="29" spans="1:10" x14ac:dyDescent="0.3">
      <c r="A29" s="2">
        <f>INDEX(Simulations!$A$2:$A$2501,28)</f>
        <v>28</v>
      </c>
      <c r="B29" s="2">
        <f ca="1">INDEX(Simulations!$A$1:$BK$2501, 29, MATCH("PurchaseMultiple", Simulations!$A$1:$BK$1, 0))</f>
        <v>7.3477787251788946</v>
      </c>
      <c r="C29" s="2">
        <f ca="1">INDEX(Simulations!$A$1:$BK$2501, 29, MATCH("ExitMultiple", Simulations!$A$1:$BK$1, 0))</f>
        <v>6.9058257497872164</v>
      </c>
      <c r="D29" s="2">
        <f ca="1">INDEX(Simulations!$A$1:$BK$2501, 29, MATCH("RevCAGR", Simulations!$A$1:$BK$1, 0))</f>
        <v>-6.7532651170564978E-3</v>
      </c>
      <c r="E29" s="2">
        <f ca="1">INDEX(Simulations!$A$1:$BK$2501, 29, MATCH("SynMargin", Simulations!$A$1:$BK$1, 0))</f>
        <v>4.4146445933093545E-3</v>
      </c>
      <c r="F29" s="2">
        <f ca="1">INDEX(Simulations!$A$1:$BK$2501, 29, MATCH("Yr1Shock", Simulations!$A$1:$BK$1, 0))</f>
        <v>-1.3451563399506268E-2</v>
      </c>
      <c r="G29" s="2">
        <f ca="1">INDEX(Simulations!$A$1:$BK$2501, 29, MATCH("EntryEV", Simulations!$A$1:$BK$1, 0))</f>
        <v>44086672.351073369</v>
      </c>
      <c r="H29" s="2">
        <f ca="1">INDEX(Simulations!$A$1:$BK$2501, 29, MATCH("ExitEV", Simulations!$A$1:$BK$1, 0))</f>
        <v>40809030.297091968</v>
      </c>
      <c r="I29" s="2">
        <f ca="1">INDEX(Simulations!$A$1:$BK$2501, 29, MATCH("IRR", Simulations!$A$1:$BK$1, 0))</f>
        <v>4.7288559728146939E-2</v>
      </c>
      <c r="J29" s="2">
        <f ca="1">INDEX(Simulations!$A$1:$BK$2501, 29, MATCH("NPV_12%", Simulations!$A$1:$BK$1, 0))</f>
        <v>-4529371.0998163093</v>
      </c>
    </row>
    <row r="30" spans="1:10" x14ac:dyDescent="0.3">
      <c r="A30" s="2">
        <f>INDEX(Simulations!$A$2:$A$2501,29)</f>
        <v>29</v>
      </c>
      <c r="B30" s="2">
        <f ca="1">INDEX(Simulations!$A$1:$BK$2501, 30, MATCH("PurchaseMultiple", Simulations!$A$1:$BK$1, 0))</f>
        <v>6.6660290702547655</v>
      </c>
      <c r="C30" s="2">
        <f ca="1">INDEX(Simulations!$A$1:$BK$2501, 30, MATCH("ExitMultiple", Simulations!$A$1:$BK$1, 0))</f>
        <v>8.1156897176590306</v>
      </c>
      <c r="D30" s="2">
        <f ca="1">INDEX(Simulations!$A$1:$BK$2501, 30, MATCH("RevCAGR", Simulations!$A$1:$BK$1, 0))</f>
        <v>4.8793765641568683E-2</v>
      </c>
      <c r="E30" s="2">
        <f ca="1">INDEX(Simulations!$A$1:$BK$2501, 30, MATCH("SynMargin", Simulations!$A$1:$BK$1, 0))</f>
        <v>1.257641401755891E-3</v>
      </c>
      <c r="F30" s="2">
        <f ca="1">INDEX(Simulations!$A$1:$BK$2501, 30, MATCH("Yr1Shock", Simulations!$A$1:$BK$1, 0))</f>
        <v>6.7407482846249282E-3</v>
      </c>
      <c r="G30" s="2">
        <f ca="1">INDEX(Simulations!$A$1:$BK$2501, 30, MATCH("EntryEV", Simulations!$A$1:$BK$1, 0))</f>
        <v>39996174.421528593</v>
      </c>
      <c r="H30" s="2">
        <f ca="1">INDEX(Simulations!$A$1:$BK$2501, 30, MATCH("ExitEV", Simulations!$A$1:$BK$1, 0))</f>
        <v>59748798.953378081</v>
      </c>
      <c r="I30" s="2">
        <f ca="1">INDEX(Simulations!$A$1:$BK$2501, 30, MATCH("IRR", Simulations!$A$1:$BK$1, 0))</f>
        <v>0.25648508629165589</v>
      </c>
      <c r="J30" s="2">
        <f ca="1">INDEX(Simulations!$A$1:$BK$2501, 30, MATCH("NPV_12%", Simulations!$A$1:$BK$1, 0))</f>
        <v>11042713.649204649</v>
      </c>
    </row>
    <row r="31" spans="1:10" x14ac:dyDescent="0.3">
      <c r="A31" s="2">
        <f>INDEX(Simulations!$A$2:$A$2501,30)</f>
        <v>30</v>
      </c>
      <c r="B31" s="2">
        <f ca="1">INDEX(Simulations!$A$1:$BK$2501, 31, MATCH("PurchaseMultiple", Simulations!$A$1:$BK$1, 0))</f>
        <v>6.6304881727877989</v>
      </c>
      <c r="C31" s="2">
        <f ca="1">INDEX(Simulations!$A$1:$BK$2501, 31, MATCH("ExitMultiple", Simulations!$A$1:$BK$1, 0))</f>
        <v>7.7271507931631511</v>
      </c>
      <c r="D31" s="2">
        <f ca="1">INDEX(Simulations!$A$1:$BK$2501, 31, MATCH("RevCAGR", Simulations!$A$1:$BK$1, 0))</f>
        <v>-1.0750952111056436E-2</v>
      </c>
      <c r="E31" s="2">
        <f ca="1">INDEX(Simulations!$A$1:$BK$2501, 31, MATCH("SynMargin", Simulations!$A$1:$BK$1, 0))</f>
        <v>2.0586691940834519E-2</v>
      </c>
      <c r="F31" s="2">
        <f ca="1">INDEX(Simulations!$A$1:$BK$2501, 31, MATCH("Yr1Shock", Simulations!$A$1:$BK$1, 0))</f>
        <v>-7.7098652377169917E-4</v>
      </c>
      <c r="G31" s="2">
        <f ca="1">INDEX(Simulations!$A$1:$BK$2501, 31, MATCH("EntryEV", Simulations!$A$1:$BK$1, 0))</f>
        <v>39782929.036726795</v>
      </c>
      <c r="H31" s="2">
        <f ca="1">INDEX(Simulations!$A$1:$BK$2501, 31, MATCH("ExitEV", Simulations!$A$1:$BK$1, 0))</f>
        <v>49694781.290067911</v>
      </c>
      <c r="I31" s="2">
        <f ca="1">INDEX(Simulations!$A$1:$BK$2501, 31, MATCH("IRR", Simulations!$A$1:$BK$1, 0))</f>
        <v>0.20206238064418014</v>
      </c>
      <c r="J31" s="2">
        <f ca="1">INDEX(Simulations!$A$1:$BK$2501, 31, MATCH("NPV_12%", Simulations!$A$1:$BK$1, 0))</f>
        <v>5775560.6924755424</v>
      </c>
    </row>
    <row r="32" spans="1:10" x14ac:dyDescent="0.3">
      <c r="A32" s="2">
        <f>INDEX(Simulations!$A$2:$A$2501,31)</f>
        <v>31</v>
      </c>
      <c r="B32" s="2">
        <f ca="1">INDEX(Simulations!$A$1:$BK$2501, 32, MATCH("PurchaseMultiple", Simulations!$A$1:$BK$1, 0))</f>
        <v>6.2532083517150996</v>
      </c>
      <c r="C32" s="2">
        <f ca="1">INDEX(Simulations!$A$1:$BK$2501, 32, MATCH("ExitMultiple", Simulations!$A$1:$BK$1, 0))</f>
        <v>8.0006515732016847</v>
      </c>
      <c r="D32" s="2">
        <f ca="1">INDEX(Simulations!$A$1:$BK$2501, 32, MATCH("RevCAGR", Simulations!$A$1:$BK$1, 0))</f>
        <v>2.7642889387525502E-2</v>
      </c>
      <c r="E32" s="2">
        <f ca="1">INDEX(Simulations!$A$1:$BK$2501, 32, MATCH("SynMargin", Simulations!$A$1:$BK$1, 0))</f>
        <v>2.0099359057721908E-3</v>
      </c>
      <c r="F32" s="2">
        <f ca="1">INDEX(Simulations!$A$1:$BK$2501, 32, MATCH("Yr1Shock", Simulations!$A$1:$BK$1, 0))</f>
        <v>-8.3548566133393471E-3</v>
      </c>
      <c r="G32" s="2">
        <f ca="1">INDEX(Simulations!$A$1:$BK$2501, 32, MATCH("EntryEV", Simulations!$A$1:$BK$1, 0))</f>
        <v>37519250.110290594</v>
      </c>
      <c r="H32" s="2">
        <f ca="1">INDEX(Simulations!$A$1:$BK$2501, 32, MATCH("ExitEV", Simulations!$A$1:$BK$1, 0))</f>
        <v>53711107.124626867</v>
      </c>
      <c r="I32" s="2">
        <f ca="1">INDEX(Simulations!$A$1:$BK$2501, 32, MATCH("IRR", Simulations!$A$1:$BK$1, 0))</f>
        <v>0.24633720888689581</v>
      </c>
      <c r="J32" s="2">
        <f ca="1">INDEX(Simulations!$A$1:$BK$2501, 32, MATCH("NPV_12%", Simulations!$A$1:$BK$1, 0))</f>
        <v>9279572.0554002859</v>
      </c>
    </row>
    <row r="33" spans="1:10" x14ac:dyDescent="0.3">
      <c r="A33" s="2">
        <f>INDEX(Simulations!$A$2:$A$2501,32)</f>
        <v>32</v>
      </c>
      <c r="B33" s="2">
        <f ca="1">INDEX(Simulations!$A$1:$BK$2501, 33, MATCH("PurchaseMultiple", Simulations!$A$1:$BK$1, 0))</f>
        <v>7.2681766990255827</v>
      </c>
      <c r="C33" s="2">
        <f ca="1">INDEX(Simulations!$A$1:$BK$2501, 33, MATCH("ExitMultiple", Simulations!$A$1:$BK$1, 0))</f>
        <v>7.307284190898006</v>
      </c>
      <c r="D33" s="2">
        <f ca="1">INDEX(Simulations!$A$1:$BK$2501, 33, MATCH("RevCAGR", Simulations!$A$1:$BK$1, 0))</f>
        <v>2.82878348785757E-2</v>
      </c>
      <c r="E33" s="2">
        <f ca="1">INDEX(Simulations!$A$1:$BK$2501, 33, MATCH("SynMargin", Simulations!$A$1:$BK$1, 0))</f>
        <v>1.2359524604533809E-2</v>
      </c>
      <c r="F33" s="2">
        <f ca="1">INDEX(Simulations!$A$1:$BK$2501, 33, MATCH("Yr1Shock", Simulations!$A$1:$BK$1, 0))</f>
        <v>1.7256978028195577E-2</v>
      </c>
      <c r="G33" s="2">
        <f ca="1">INDEX(Simulations!$A$1:$BK$2501, 33, MATCH("EntryEV", Simulations!$A$1:$BK$1, 0))</f>
        <v>43609060.194153495</v>
      </c>
      <c r="H33" s="2">
        <f ca="1">INDEX(Simulations!$A$1:$BK$2501, 33, MATCH("ExitEV", Simulations!$A$1:$BK$1, 0))</f>
        <v>53460238.313580655</v>
      </c>
      <c r="I33" s="2">
        <f ca="1">INDEX(Simulations!$A$1:$BK$2501, 33, MATCH("IRR", Simulations!$A$1:$BK$1, 0))</f>
        <v>0.18416865461872889</v>
      </c>
      <c r="J33" s="2">
        <f ca="1">INDEX(Simulations!$A$1:$BK$2501, 33, MATCH("NPV_12%", Simulations!$A$1:$BK$1, 0))</f>
        <v>4943581.5148138814</v>
      </c>
    </row>
    <row r="34" spans="1:10" x14ac:dyDescent="0.3">
      <c r="A34" s="2">
        <f>INDEX(Simulations!$A$2:$A$2501,33)</f>
        <v>33</v>
      </c>
      <c r="B34" s="2">
        <f ca="1">INDEX(Simulations!$A$1:$BK$2501, 34, MATCH("PurchaseMultiple", Simulations!$A$1:$BK$1, 0))</f>
        <v>6.3198115661149057</v>
      </c>
      <c r="C34" s="2">
        <f ca="1">INDEX(Simulations!$A$1:$BK$2501, 34, MATCH("ExitMultiple", Simulations!$A$1:$BK$1, 0))</f>
        <v>7.2302659983739774</v>
      </c>
      <c r="D34" s="2">
        <f ca="1">INDEX(Simulations!$A$1:$BK$2501, 34, MATCH("RevCAGR", Simulations!$A$1:$BK$1, 0))</f>
        <v>-1.9875086022989805E-3</v>
      </c>
      <c r="E34" s="2">
        <f ca="1">INDEX(Simulations!$A$1:$BK$2501, 34, MATCH("SynMargin", Simulations!$A$1:$BK$1, 0))</f>
        <v>9.6054544597599344E-3</v>
      </c>
      <c r="F34" s="2">
        <f ca="1">INDEX(Simulations!$A$1:$BK$2501, 34, MATCH("Yr1Shock", Simulations!$A$1:$BK$1, 0))</f>
        <v>9.1068389714706894E-3</v>
      </c>
      <c r="G34" s="2">
        <f ca="1">INDEX(Simulations!$A$1:$BK$2501, 34, MATCH("EntryEV", Simulations!$A$1:$BK$1, 0))</f>
        <v>37918869.396689437</v>
      </c>
      <c r="H34" s="2">
        <f ca="1">INDEX(Simulations!$A$1:$BK$2501, 34, MATCH("ExitEV", Simulations!$A$1:$BK$1, 0))</f>
        <v>45863119.040797859</v>
      </c>
      <c r="I34" s="2">
        <f ca="1">INDEX(Simulations!$A$1:$BK$2501, 34, MATCH("IRR", Simulations!$A$1:$BK$1, 0))</f>
        <v>0.19244603246838365</v>
      </c>
      <c r="J34" s="2">
        <f ca="1">INDEX(Simulations!$A$1:$BK$2501, 34, MATCH("NPV_12%", Simulations!$A$1:$BK$1, 0))</f>
        <v>4765655.2049866747</v>
      </c>
    </row>
    <row r="35" spans="1:10" x14ac:dyDescent="0.3">
      <c r="A35" s="2">
        <f>INDEX(Simulations!$A$2:$A$2501,34)</f>
        <v>34</v>
      </c>
      <c r="B35" s="2">
        <f ca="1">INDEX(Simulations!$A$1:$BK$2501, 35, MATCH("PurchaseMultiple", Simulations!$A$1:$BK$1, 0))</f>
        <v>6.2893773576824659</v>
      </c>
      <c r="C35" s="2">
        <f ca="1">INDEX(Simulations!$A$1:$BK$2501, 35, MATCH("ExitMultiple", Simulations!$A$1:$BK$1, 0))</f>
        <v>7.2472355944841684</v>
      </c>
      <c r="D35" s="2">
        <f ca="1">INDEX(Simulations!$A$1:$BK$2501, 35, MATCH("RevCAGR", Simulations!$A$1:$BK$1, 0))</f>
        <v>8.3349083205925767E-2</v>
      </c>
      <c r="E35" s="2">
        <f ca="1">INDEX(Simulations!$A$1:$BK$2501, 35, MATCH("SynMargin", Simulations!$A$1:$BK$1, 0))</f>
        <v>1.8641160937453195E-2</v>
      </c>
      <c r="F35" s="2">
        <f ca="1">INDEX(Simulations!$A$1:$BK$2501, 35, MATCH("Yr1Shock", Simulations!$A$1:$BK$1, 0))</f>
        <v>-4.3962280582711573E-2</v>
      </c>
      <c r="G35" s="2">
        <f ca="1">INDEX(Simulations!$A$1:$BK$2501, 35, MATCH("EntryEV", Simulations!$A$1:$BK$1, 0))</f>
        <v>37736264.146094792</v>
      </c>
      <c r="H35" s="2">
        <f ca="1">INDEX(Simulations!$A$1:$BK$2501, 35, MATCH("ExitEV", Simulations!$A$1:$BK$1, 0))</f>
        <v>63489527.499197699</v>
      </c>
      <c r="I35" s="2">
        <f ca="1">INDEX(Simulations!$A$1:$BK$2501, 35, MATCH("IRR", Simulations!$A$1:$BK$1, 0))</f>
        <v>0.32465957311055238</v>
      </c>
      <c r="J35" s="2">
        <f ca="1">INDEX(Simulations!$A$1:$BK$2501, 35, MATCH("NPV_12%", Simulations!$A$1:$BK$1, 0))</f>
        <v>16966744.296644084</v>
      </c>
    </row>
    <row r="36" spans="1:10" x14ac:dyDescent="0.3">
      <c r="A36" s="2">
        <f>INDEX(Simulations!$A$2:$A$2501,35)</f>
        <v>35</v>
      </c>
      <c r="B36" s="2">
        <f ca="1">INDEX(Simulations!$A$1:$BK$2501, 36, MATCH("PurchaseMultiple", Simulations!$A$1:$BK$1, 0))</f>
        <v>7.0534072292459342</v>
      </c>
      <c r="C36" s="2">
        <f ca="1">INDEX(Simulations!$A$1:$BK$2501, 36, MATCH("ExitMultiple", Simulations!$A$1:$BK$1, 0))</f>
        <v>7.8362669361957504</v>
      </c>
      <c r="D36" s="2">
        <f ca="1">INDEX(Simulations!$A$1:$BK$2501, 36, MATCH("RevCAGR", Simulations!$A$1:$BK$1, 0))</f>
        <v>3.8047969185019785E-2</v>
      </c>
      <c r="E36" s="2">
        <f ca="1">INDEX(Simulations!$A$1:$BK$2501, 36, MATCH("SynMargin", Simulations!$A$1:$BK$1, 0))</f>
        <v>7.4539940956853176E-3</v>
      </c>
      <c r="F36" s="2">
        <f ca="1">INDEX(Simulations!$A$1:$BK$2501, 36, MATCH("Yr1Shock", Simulations!$A$1:$BK$1, 0))</f>
        <v>3.2066795136038377E-2</v>
      </c>
      <c r="G36" s="2">
        <f ca="1">INDEX(Simulations!$A$1:$BK$2501, 36, MATCH("EntryEV", Simulations!$A$1:$BK$1, 0))</f>
        <v>42320443.375475608</v>
      </c>
      <c r="H36" s="2">
        <f ca="1">INDEX(Simulations!$A$1:$BK$2501, 36, MATCH("ExitEV", Simulations!$A$1:$BK$1, 0))</f>
        <v>58792615.211642005</v>
      </c>
      <c r="I36" s="2">
        <f ca="1">INDEX(Simulations!$A$1:$BK$2501, 36, MATCH("IRR", Simulations!$A$1:$BK$1, 0))</f>
        <v>0.23164697956711944</v>
      </c>
      <c r="J36" s="2">
        <f ca="1">INDEX(Simulations!$A$1:$BK$2501, 36, MATCH("NPV_12%", Simulations!$A$1:$BK$1, 0))</f>
        <v>9093061.718406301</v>
      </c>
    </row>
    <row r="37" spans="1:10" x14ac:dyDescent="0.3">
      <c r="A37" s="2">
        <f>INDEX(Simulations!$A$2:$A$2501,36)</f>
        <v>36</v>
      </c>
      <c r="B37" s="2">
        <f ca="1">INDEX(Simulations!$A$1:$BK$2501, 37, MATCH("PurchaseMultiple", Simulations!$A$1:$BK$1, 0))</f>
        <v>7.0658363370594506</v>
      </c>
      <c r="C37" s="2">
        <f ca="1">INDEX(Simulations!$A$1:$BK$2501, 37, MATCH("ExitMultiple", Simulations!$A$1:$BK$1, 0))</f>
        <v>7.3817037533625891</v>
      </c>
      <c r="D37" s="2">
        <f ca="1">INDEX(Simulations!$A$1:$BK$2501, 37, MATCH("RevCAGR", Simulations!$A$1:$BK$1, 0))</f>
        <v>2.9493801501362944E-2</v>
      </c>
      <c r="E37" s="2">
        <f ca="1">INDEX(Simulations!$A$1:$BK$2501, 37, MATCH("SynMargin", Simulations!$A$1:$BK$1, 0))</f>
        <v>9.9080966037802323E-3</v>
      </c>
      <c r="F37" s="2">
        <f ca="1">INDEX(Simulations!$A$1:$BK$2501, 37, MATCH("Yr1Shock", Simulations!$A$1:$BK$1, 0))</f>
        <v>-3.7979210633214818E-3</v>
      </c>
      <c r="G37" s="2">
        <f ca="1">INDEX(Simulations!$A$1:$BK$2501, 37, MATCH("EntryEV", Simulations!$A$1:$BK$1, 0))</f>
        <v>42395018.022356704</v>
      </c>
      <c r="H37" s="2">
        <f ca="1">INDEX(Simulations!$A$1:$BK$2501, 37, MATCH("ExitEV", Simulations!$A$1:$BK$1, 0))</f>
        <v>52426718.589983128</v>
      </c>
      <c r="I37" s="2">
        <f ca="1">INDEX(Simulations!$A$1:$BK$2501, 37, MATCH("IRR", Simulations!$A$1:$BK$1, 0))</f>
        <v>0.18581317529713415</v>
      </c>
      <c r="J37" s="2">
        <f ca="1">INDEX(Simulations!$A$1:$BK$2501, 37, MATCH("NPV_12%", Simulations!$A$1:$BK$1, 0))</f>
        <v>4961459.4494975731</v>
      </c>
    </row>
    <row r="38" spans="1:10" x14ac:dyDescent="0.3">
      <c r="A38" s="2">
        <f>INDEX(Simulations!$A$2:$A$2501,37)</f>
        <v>37</v>
      </c>
      <c r="B38" s="2">
        <f ca="1">INDEX(Simulations!$A$1:$BK$2501, 38, MATCH("PurchaseMultiple", Simulations!$A$1:$BK$1, 0))</f>
        <v>6.8412566623300215</v>
      </c>
      <c r="C38" s="2">
        <f ca="1">INDEX(Simulations!$A$1:$BK$2501, 38, MATCH("ExitMultiple", Simulations!$A$1:$BK$1, 0))</f>
        <v>7.4996645937104844</v>
      </c>
      <c r="D38" s="2">
        <f ca="1">INDEX(Simulations!$A$1:$BK$2501, 38, MATCH("RevCAGR", Simulations!$A$1:$BK$1, 0))</f>
        <v>1.6795165126584063E-2</v>
      </c>
      <c r="E38" s="2">
        <f ca="1">INDEX(Simulations!$A$1:$BK$2501, 38, MATCH("SynMargin", Simulations!$A$1:$BK$1, 0))</f>
        <v>8.1868002881706967E-3</v>
      </c>
      <c r="F38" s="2">
        <f ca="1">INDEX(Simulations!$A$1:$BK$2501, 38, MATCH("Yr1Shock", Simulations!$A$1:$BK$1, 0))</f>
        <v>-7.6567135629984082E-3</v>
      </c>
      <c r="G38" s="2">
        <f ca="1">INDEX(Simulations!$A$1:$BK$2501, 38, MATCH("EntryEV", Simulations!$A$1:$BK$1, 0))</f>
        <v>41047539.973980129</v>
      </c>
      <c r="H38" s="2">
        <f ca="1">INDEX(Simulations!$A$1:$BK$2501, 38, MATCH("ExitEV", Simulations!$A$1:$BK$1, 0))</f>
        <v>50009120.00644841</v>
      </c>
      <c r="I38" s="2">
        <f ca="1">INDEX(Simulations!$A$1:$BK$2501, 38, MATCH("IRR", Simulations!$A$1:$BK$1, 0))</f>
        <v>0.17997196808522942</v>
      </c>
      <c r="J38" s="2">
        <f ca="1">INDEX(Simulations!$A$1:$BK$2501, 38, MATCH("NPV_12%", Simulations!$A$1:$BK$1, 0))</f>
        <v>4317113.0104618259</v>
      </c>
    </row>
    <row r="39" spans="1:10" x14ac:dyDescent="0.3">
      <c r="A39" s="2">
        <f>INDEX(Simulations!$A$2:$A$2501,38)</f>
        <v>38</v>
      </c>
      <c r="B39" s="2">
        <f ca="1">INDEX(Simulations!$A$1:$BK$2501, 39, MATCH("PurchaseMultiple", Simulations!$A$1:$BK$1, 0))</f>
        <v>7.8923169090605718</v>
      </c>
      <c r="C39" s="2">
        <f ca="1">INDEX(Simulations!$A$1:$BK$2501, 39, MATCH("ExitMultiple", Simulations!$A$1:$BK$1, 0))</f>
        <v>7.7110927579325059</v>
      </c>
      <c r="D39" s="2">
        <f ca="1">INDEX(Simulations!$A$1:$BK$2501, 39, MATCH("RevCAGR", Simulations!$A$1:$BK$1, 0))</f>
        <v>6.3363215817279189E-2</v>
      </c>
      <c r="E39" s="2">
        <f ca="1">INDEX(Simulations!$A$1:$BK$2501, 39, MATCH("SynMargin", Simulations!$A$1:$BK$1, 0))</f>
        <v>9.5501780809546521E-3</v>
      </c>
      <c r="F39" s="2">
        <f ca="1">INDEX(Simulations!$A$1:$BK$2501, 39, MATCH("Yr1Shock", Simulations!$A$1:$BK$1, 0))</f>
        <v>-3.0569948374291212E-3</v>
      </c>
      <c r="G39" s="2">
        <f ca="1">INDEX(Simulations!$A$1:$BK$2501, 39, MATCH("EntryEV", Simulations!$A$1:$BK$1, 0))</f>
        <v>47353901.454363428</v>
      </c>
      <c r="H39" s="2">
        <f ca="1">INDEX(Simulations!$A$1:$BK$2501, 39, MATCH("ExitEV", Simulations!$A$1:$BK$1, 0))</f>
        <v>62259899.790307105</v>
      </c>
      <c r="I39" s="2">
        <f ca="1">INDEX(Simulations!$A$1:$BK$2501, 39, MATCH("IRR", Simulations!$A$1:$BK$1, 0))</f>
        <v>0.19654756059104717</v>
      </c>
      <c r="J39" s="2">
        <f ca="1">INDEX(Simulations!$A$1:$BK$2501, 39, MATCH("NPV_12%", Simulations!$A$1:$BK$1, 0))</f>
        <v>6775656.042376291</v>
      </c>
    </row>
    <row r="40" spans="1:10" x14ac:dyDescent="0.3">
      <c r="A40" s="2">
        <f>INDEX(Simulations!$A$2:$A$2501,39)</f>
        <v>39</v>
      </c>
      <c r="B40" s="2">
        <f ca="1">INDEX(Simulations!$A$1:$BK$2501, 40, MATCH("PurchaseMultiple", Simulations!$A$1:$BK$1, 0))</f>
        <v>7.509477812619286</v>
      </c>
      <c r="C40" s="2">
        <f ca="1">INDEX(Simulations!$A$1:$BK$2501, 40, MATCH("ExitMultiple", Simulations!$A$1:$BK$1, 0))</f>
        <v>7.9676478136658346</v>
      </c>
      <c r="D40" s="2">
        <f ca="1">INDEX(Simulations!$A$1:$BK$2501, 40, MATCH("RevCAGR", Simulations!$A$1:$BK$1, 0))</f>
        <v>2.8935019539034136E-2</v>
      </c>
      <c r="E40" s="2">
        <f ca="1">INDEX(Simulations!$A$1:$BK$2501, 40, MATCH("SynMargin", Simulations!$A$1:$BK$1, 0))</f>
        <v>1.2767087273134718E-2</v>
      </c>
      <c r="F40" s="2">
        <f ca="1">INDEX(Simulations!$A$1:$BK$2501, 40, MATCH("Yr1Shock", Simulations!$A$1:$BK$1, 0))</f>
        <v>-4.1398188117372347E-3</v>
      </c>
      <c r="G40" s="2">
        <f ca="1">INDEX(Simulations!$A$1:$BK$2501, 40, MATCH("EntryEV", Simulations!$A$1:$BK$1, 0))</f>
        <v>45056866.875715718</v>
      </c>
      <c r="H40" s="2">
        <f ca="1">INDEX(Simulations!$A$1:$BK$2501, 40, MATCH("ExitEV", Simulations!$A$1:$BK$1, 0))</f>
        <v>57336044.118953094</v>
      </c>
      <c r="I40" s="2">
        <f ca="1">INDEX(Simulations!$A$1:$BK$2501, 40, MATCH("IRR", Simulations!$A$1:$BK$1, 0))</f>
        <v>0.18749640879846718</v>
      </c>
      <c r="J40" s="2">
        <f ca="1">INDEX(Simulations!$A$1:$BK$2501, 40, MATCH("NPV_12%", Simulations!$A$1:$BK$1, 0))</f>
        <v>5512343.3773025088</v>
      </c>
    </row>
    <row r="41" spans="1:10" x14ac:dyDescent="0.3">
      <c r="A41" s="2">
        <f>INDEX(Simulations!$A$2:$A$2501,40)</f>
        <v>40</v>
      </c>
      <c r="B41" s="2">
        <f ca="1">INDEX(Simulations!$A$1:$BK$2501, 41, MATCH("PurchaseMultiple", Simulations!$A$1:$BK$1, 0))</f>
        <v>6.8612436725016615</v>
      </c>
      <c r="C41" s="2">
        <f ca="1">INDEX(Simulations!$A$1:$BK$2501, 41, MATCH("ExitMultiple", Simulations!$A$1:$BK$1, 0))</f>
        <v>7.604127061239752</v>
      </c>
      <c r="D41" s="2">
        <f ca="1">INDEX(Simulations!$A$1:$BK$2501, 41, MATCH("RevCAGR", Simulations!$A$1:$BK$1, 0))</f>
        <v>6.9390900158532276E-2</v>
      </c>
      <c r="E41" s="2">
        <f ca="1">INDEX(Simulations!$A$1:$BK$2501, 41, MATCH("SynMargin", Simulations!$A$1:$BK$1, 0))</f>
        <v>9.9893436536419265E-3</v>
      </c>
      <c r="F41" s="2">
        <f ca="1">INDEX(Simulations!$A$1:$BK$2501, 41, MATCH("Yr1Shock", Simulations!$A$1:$BK$1, 0))</f>
        <v>-1.4524237764385914E-3</v>
      </c>
      <c r="G41" s="2">
        <f ca="1">INDEX(Simulations!$A$1:$BK$2501, 41, MATCH("EntryEV", Simulations!$A$1:$BK$1, 0))</f>
        <v>41167462.035009965</v>
      </c>
      <c r="H41" s="2">
        <f ca="1">INDEX(Simulations!$A$1:$BK$2501, 41, MATCH("ExitEV", Simulations!$A$1:$BK$1, 0))</f>
        <v>63053947.337985568</v>
      </c>
      <c r="I41" s="2">
        <f ca="1">INDEX(Simulations!$A$1:$BK$2501, 41, MATCH("IRR", Simulations!$A$1:$BK$1, 0))</f>
        <v>0.2737402501213777</v>
      </c>
      <c r="J41" s="2">
        <f ca="1">INDEX(Simulations!$A$1:$BK$2501, 41, MATCH("NPV_12%", Simulations!$A$1:$BK$1, 0))</f>
        <v>13074709.085615855</v>
      </c>
    </row>
    <row r="42" spans="1:10" x14ac:dyDescent="0.3">
      <c r="A42" s="2">
        <f>INDEX(Simulations!$A$2:$A$2501,41)</f>
        <v>41</v>
      </c>
      <c r="B42" s="2">
        <f ca="1">INDEX(Simulations!$A$1:$BK$2501, 42, MATCH("PurchaseMultiple", Simulations!$A$1:$BK$1, 0))</f>
        <v>7.1380988445629967</v>
      </c>
      <c r="C42" s="2">
        <f ca="1">INDEX(Simulations!$A$1:$BK$2501, 42, MATCH("ExitMultiple", Simulations!$A$1:$BK$1, 0))</f>
        <v>7.6599727150998831</v>
      </c>
      <c r="D42" s="2">
        <f ca="1">INDEX(Simulations!$A$1:$BK$2501, 42, MATCH("RevCAGR", Simulations!$A$1:$BK$1, 0))</f>
        <v>4.2129918455341586E-2</v>
      </c>
      <c r="E42" s="2">
        <f ca="1">INDEX(Simulations!$A$1:$BK$2501, 42, MATCH("SynMargin", Simulations!$A$1:$BK$1, 0))</f>
        <v>1.3144303525923884E-2</v>
      </c>
      <c r="F42" s="2">
        <f ca="1">INDEX(Simulations!$A$1:$BK$2501, 42, MATCH("Yr1Shock", Simulations!$A$1:$BK$1, 0))</f>
        <v>3.1722549531055501E-2</v>
      </c>
      <c r="G42" s="2">
        <f ca="1">INDEX(Simulations!$A$1:$BK$2501, 42, MATCH("EntryEV", Simulations!$A$1:$BK$1, 0))</f>
        <v>42828593.067377977</v>
      </c>
      <c r="H42" s="2">
        <f ca="1">INDEX(Simulations!$A$1:$BK$2501, 42, MATCH("ExitEV", Simulations!$A$1:$BK$1, 0))</f>
        <v>60216224.683950119</v>
      </c>
      <c r="I42" s="2">
        <f ca="1">INDEX(Simulations!$A$1:$BK$2501, 42, MATCH("IRR", Simulations!$A$1:$BK$1, 0))</f>
        <v>0.2411667594461111</v>
      </c>
      <c r="J42" s="2">
        <f ca="1">INDEX(Simulations!$A$1:$BK$2501, 42, MATCH("NPV_12%", Simulations!$A$1:$BK$1, 0))</f>
        <v>10076047.845960014</v>
      </c>
    </row>
    <row r="43" spans="1:10" x14ac:dyDescent="0.3">
      <c r="A43" s="2">
        <f>INDEX(Simulations!$A$2:$A$2501,42)</f>
        <v>42</v>
      </c>
      <c r="B43" s="2">
        <f ca="1">INDEX(Simulations!$A$1:$BK$2501, 43, MATCH("PurchaseMultiple", Simulations!$A$1:$BK$1, 0))</f>
        <v>7.0305487309338979</v>
      </c>
      <c r="C43" s="2">
        <f ca="1">INDEX(Simulations!$A$1:$BK$2501, 43, MATCH("ExitMultiple", Simulations!$A$1:$BK$1, 0))</f>
        <v>7.4283061592096606</v>
      </c>
      <c r="D43" s="2">
        <f ca="1">INDEX(Simulations!$A$1:$BK$2501, 43, MATCH("RevCAGR", Simulations!$A$1:$BK$1, 0))</f>
        <v>4.4849969651691447E-2</v>
      </c>
      <c r="E43" s="2">
        <f ca="1">INDEX(Simulations!$A$1:$BK$2501, 43, MATCH("SynMargin", Simulations!$A$1:$BK$1, 0))</f>
        <v>7.8286157523184564E-3</v>
      </c>
      <c r="F43" s="2">
        <f ca="1">INDEX(Simulations!$A$1:$BK$2501, 43, MATCH("Yr1Shock", Simulations!$A$1:$BK$1, 0))</f>
        <v>3.0954777408135979E-2</v>
      </c>
      <c r="G43" s="2">
        <f ca="1">INDEX(Simulations!$A$1:$BK$2501, 43, MATCH("EntryEV", Simulations!$A$1:$BK$1, 0))</f>
        <v>42183292.385603391</v>
      </c>
      <c r="H43" s="2">
        <f ca="1">INDEX(Simulations!$A$1:$BK$2501, 43, MATCH("ExitEV", Simulations!$A$1:$BK$1, 0))</f>
        <v>57265066.573817529</v>
      </c>
      <c r="I43" s="2">
        <f ca="1">INDEX(Simulations!$A$1:$BK$2501, 43, MATCH("IRR", Simulations!$A$1:$BK$1, 0))</f>
        <v>0.22692452464124813</v>
      </c>
      <c r="J43" s="2">
        <f ca="1">INDEX(Simulations!$A$1:$BK$2501, 43, MATCH("NPV_12%", Simulations!$A$1:$BK$1, 0))</f>
        <v>8566344.789640069</v>
      </c>
    </row>
    <row r="44" spans="1:10" x14ac:dyDescent="0.3">
      <c r="A44" s="2">
        <f>INDEX(Simulations!$A$2:$A$2501,43)</f>
        <v>43</v>
      </c>
      <c r="B44" s="2">
        <f ca="1">INDEX(Simulations!$A$1:$BK$2501, 44, MATCH("PurchaseMultiple", Simulations!$A$1:$BK$1, 0))</f>
        <v>6.733666519105121</v>
      </c>
      <c r="C44" s="2">
        <f ca="1">INDEX(Simulations!$A$1:$BK$2501, 44, MATCH("ExitMultiple", Simulations!$A$1:$BK$1, 0))</f>
        <v>7.9978629764249476</v>
      </c>
      <c r="D44" s="2">
        <f ca="1">INDEX(Simulations!$A$1:$BK$2501, 44, MATCH("RevCAGR", Simulations!$A$1:$BK$1, 0))</f>
        <v>4.7650417922906516E-2</v>
      </c>
      <c r="E44" s="2">
        <f ca="1">INDEX(Simulations!$A$1:$BK$2501, 44, MATCH("SynMargin", Simulations!$A$1:$BK$1, 0))</f>
        <v>1.156380585986644E-2</v>
      </c>
      <c r="F44" s="2">
        <f ca="1">INDEX(Simulations!$A$1:$BK$2501, 44, MATCH("Yr1Shock", Simulations!$A$1:$BK$1, 0))</f>
        <v>-1.7357366524025308E-2</v>
      </c>
      <c r="G44" s="2">
        <f ca="1">INDEX(Simulations!$A$1:$BK$2501, 44, MATCH("EntryEV", Simulations!$A$1:$BK$1, 0))</f>
        <v>40401999.114630729</v>
      </c>
      <c r="H44" s="2">
        <f ca="1">INDEX(Simulations!$A$1:$BK$2501, 44, MATCH("ExitEV", Simulations!$A$1:$BK$1, 0))</f>
        <v>60636785.167656444</v>
      </c>
      <c r="I44" s="2">
        <f ca="1">INDEX(Simulations!$A$1:$BK$2501, 44, MATCH("IRR", Simulations!$A$1:$BK$1, 0))</f>
        <v>0.26333275983270443</v>
      </c>
      <c r="J44" s="2">
        <f ca="1">INDEX(Simulations!$A$1:$BK$2501, 44, MATCH("NPV_12%", Simulations!$A$1:$BK$1, 0))</f>
        <v>11750285.1913822</v>
      </c>
    </row>
    <row r="45" spans="1:10" x14ac:dyDescent="0.3">
      <c r="A45" s="2">
        <f>INDEX(Simulations!$A$2:$A$2501,44)</f>
        <v>44</v>
      </c>
      <c r="B45" s="2">
        <f ca="1">INDEX(Simulations!$A$1:$BK$2501, 45, MATCH("PurchaseMultiple", Simulations!$A$1:$BK$1, 0))</f>
        <v>7.119025599639091</v>
      </c>
      <c r="C45" s="2">
        <f ca="1">INDEX(Simulations!$A$1:$BK$2501, 45, MATCH("ExitMultiple", Simulations!$A$1:$BK$1, 0))</f>
        <v>7.1013317060858565</v>
      </c>
      <c r="D45" s="2">
        <f ca="1">INDEX(Simulations!$A$1:$BK$2501, 45, MATCH("RevCAGR", Simulations!$A$1:$BK$1, 0))</f>
        <v>2.5266471502568905E-2</v>
      </c>
      <c r="E45" s="2">
        <f ca="1">INDEX(Simulations!$A$1:$BK$2501, 45, MATCH("SynMargin", Simulations!$A$1:$BK$1, 0))</f>
        <v>0</v>
      </c>
      <c r="F45" s="2">
        <f ca="1">INDEX(Simulations!$A$1:$BK$2501, 45, MATCH("Yr1Shock", Simulations!$A$1:$BK$1, 0))</f>
        <v>1.3770309842398477E-2</v>
      </c>
      <c r="G45" s="2">
        <f ca="1">INDEX(Simulations!$A$1:$BK$2501, 45, MATCH("EntryEV", Simulations!$A$1:$BK$1, 0))</f>
        <v>42714153.597834542</v>
      </c>
      <c r="H45" s="2">
        <f ca="1">INDEX(Simulations!$A$1:$BK$2501, 45, MATCH("ExitEV", Simulations!$A$1:$BK$1, 0))</f>
        <v>47728483.810370713</v>
      </c>
      <c r="I45" s="2">
        <f ca="1">INDEX(Simulations!$A$1:$BK$2501, 45, MATCH("IRR", Simulations!$A$1:$BK$1, 0))</f>
        <v>0.13839241278411718</v>
      </c>
      <c r="J45" s="2">
        <f ca="1">INDEX(Simulations!$A$1:$BK$2501, 45, MATCH("NPV_12%", Simulations!$A$1:$BK$1, 0))</f>
        <v>1298382.6264008991</v>
      </c>
    </row>
    <row r="46" spans="1:10" x14ac:dyDescent="0.3">
      <c r="A46" s="2">
        <f>INDEX(Simulations!$A$2:$A$2501,45)</f>
        <v>45</v>
      </c>
      <c r="B46" s="2">
        <f ca="1">INDEX(Simulations!$A$1:$BK$2501, 46, MATCH("PurchaseMultiple", Simulations!$A$1:$BK$1, 0))</f>
        <v>6.6656052097007761</v>
      </c>
      <c r="C46" s="2">
        <f ca="1">INDEX(Simulations!$A$1:$BK$2501, 46, MATCH("ExitMultiple", Simulations!$A$1:$BK$1, 0))</f>
        <v>7.6127469876093041</v>
      </c>
      <c r="D46" s="2">
        <f ca="1">INDEX(Simulations!$A$1:$BK$2501, 46, MATCH("RevCAGR", Simulations!$A$1:$BK$1, 0))</f>
        <v>4.5181705618392395E-2</v>
      </c>
      <c r="E46" s="2">
        <f ca="1">INDEX(Simulations!$A$1:$BK$2501, 46, MATCH("SynMargin", Simulations!$A$1:$BK$1, 0))</f>
        <v>1.1318560472399682E-2</v>
      </c>
      <c r="F46" s="2">
        <f ca="1">INDEX(Simulations!$A$1:$BK$2501, 46, MATCH("Yr1Shock", Simulations!$A$1:$BK$1, 0))</f>
        <v>9.1175637975292861E-3</v>
      </c>
      <c r="G46" s="2">
        <f ca="1">INDEX(Simulations!$A$1:$BK$2501, 46, MATCH("EntryEV", Simulations!$A$1:$BK$1, 0))</f>
        <v>39993631.258204654</v>
      </c>
      <c r="H46" s="2">
        <f ca="1">INDEX(Simulations!$A$1:$BK$2501, 46, MATCH("ExitEV", Simulations!$A$1:$BK$1, 0))</f>
        <v>58636626.050414369</v>
      </c>
      <c r="I46" s="2">
        <f ca="1">INDEX(Simulations!$A$1:$BK$2501, 46, MATCH("IRR", Simulations!$A$1:$BK$1, 0))</f>
        <v>0.26192958417630519</v>
      </c>
      <c r="J46" s="2">
        <f ca="1">INDEX(Simulations!$A$1:$BK$2501, 46, MATCH("NPV_12%", Simulations!$A$1:$BK$1, 0))</f>
        <v>11331981.253172424</v>
      </c>
    </row>
    <row r="47" spans="1:10" x14ac:dyDescent="0.3">
      <c r="A47" s="2">
        <f>INDEX(Simulations!$A$2:$A$2501,46)</f>
        <v>46</v>
      </c>
      <c r="B47" s="2">
        <f ca="1">INDEX(Simulations!$A$1:$BK$2501, 47, MATCH("PurchaseMultiple", Simulations!$A$1:$BK$1, 0))</f>
        <v>6.7139592742558536</v>
      </c>
      <c r="C47" s="2">
        <f ca="1">INDEX(Simulations!$A$1:$BK$2501, 47, MATCH("ExitMultiple", Simulations!$A$1:$BK$1, 0))</f>
        <v>6.8627327553348509</v>
      </c>
      <c r="D47" s="2">
        <f ca="1">INDEX(Simulations!$A$1:$BK$2501, 47, MATCH("RevCAGR", Simulations!$A$1:$BK$1, 0))</f>
        <v>4.4975019857618669E-2</v>
      </c>
      <c r="E47" s="2">
        <f ca="1">INDEX(Simulations!$A$1:$BK$2501, 47, MATCH("SynMargin", Simulations!$A$1:$BK$1, 0))</f>
        <v>5.4600865099574559E-3</v>
      </c>
      <c r="F47" s="2">
        <f ca="1">INDEX(Simulations!$A$1:$BK$2501, 47, MATCH("Yr1Shock", Simulations!$A$1:$BK$1, 0))</f>
        <v>1.2887718340549987E-2</v>
      </c>
      <c r="G47" s="2">
        <f ca="1">INDEX(Simulations!$A$1:$BK$2501, 47, MATCH("EntryEV", Simulations!$A$1:$BK$1, 0))</f>
        <v>40283755.645535119</v>
      </c>
      <c r="H47" s="2">
        <f ca="1">INDEX(Simulations!$A$1:$BK$2501, 47, MATCH("ExitEV", Simulations!$A$1:$BK$1, 0))</f>
        <v>51315676.502921641</v>
      </c>
      <c r="I47" s="2">
        <f ca="1">INDEX(Simulations!$A$1:$BK$2501, 47, MATCH("IRR", Simulations!$A$1:$BK$1, 0))</f>
        <v>0.20840286728594482</v>
      </c>
      <c r="J47" s="2">
        <f ca="1">INDEX(Simulations!$A$1:$BK$2501, 47, MATCH("NPV_12%", Simulations!$A$1:$BK$1, 0))</f>
        <v>6488934.3492226377</v>
      </c>
    </row>
    <row r="48" spans="1:10" x14ac:dyDescent="0.3">
      <c r="A48" s="2">
        <f>INDEX(Simulations!$A$2:$A$2501,47)</f>
        <v>47</v>
      </c>
      <c r="B48" s="2">
        <f ca="1">INDEX(Simulations!$A$1:$BK$2501, 48, MATCH("PurchaseMultiple", Simulations!$A$1:$BK$1, 0))</f>
        <v>6.586678010552208</v>
      </c>
      <c r="C48" s="2">
        <f ca="1">INDEX(Simulations!$A$1:$BK$2501, 48, MATCH("ExitMultiple", Simulations!$A$1:$BK$1, 0))</f>
        <v>7.4926411099383632</v>
      </c>
      <c r="D48" s="2">
        <f ca="1">INDEX(Simulations!$A$1:$BK$2501, 48, MATCH("RevCAGR", Simulations!$A$1:$BK$1, 0))</f>
        <v>5.6979982302679658E-2</v>
      </c>
      <c r="E48" s="2">
        <f ca="1">INDEX(Simulations!$A$1:$BK$2501, 48, MATCH("SynMargin", Simulations!$A$1:$BK$1, 0))</f>
        <v>3.5817898620970675E-3</v>
      </c>
      <c r="F48" s="2">
        <f ca="1">INDEX(Simulations!$A$1:$BK$2501, 48, MATCH("Yr1Shock", Simulations!$A$1:$BK$1, 0))</f>
        <v>4.955722615543676E-3</v>
      </c>
      <c r="G48" s="2">
        <f ca="1">INDEX(Simulations!$A$1:$BK$2501, 48, MATCH("EntryEV", Simulations!$A$1:$BK$1, 0))</f>
        <v>39520068.063313246</v>
      </c>
      <c r="H48" s="2">
        <f ca="1">INDEX(Simulations!$A$1:$BK$2501, 48, MATCH("ExitEV", Simulations!$A$1:$BK$1, 0))</f>
        <v>57567943.307621919</v>
      </c>
      <c r="I48" s="2">
        <f ca="1">INDEX(Simulations!$A$1:$BK$2501, 48, MATCH("IRR", Simulations!$A$1:$BK$1, 0))</f>
        <v>0.25532367279511758</v>
      </c>
      <c r="J48" s="2">
        <f ca="1">INDEX(Simulations!$A$1:$BK$2501, 48, MATCH("NPV_12%", Simulations!$A$1:$BK$1, 0))</f>
        <v>10666769.078134861</v>
      </c>
    </row>
    <row r="49" spans="1:10" x14ac:dyDescent="0.3">
      <c r="A49" s="2">
        <f>INDEX(Simulations!$A$2:$A$2501,48)</f>
        <v>48</v>
      </c>
      <c r="B49" s="2">
        <f ca="1">INDEX(Simulations!$A$1:$BK$2501, 49, MATCH("PurchaseMultiple", Simulations!$A$1:$BK$1, 0))</f>
        <v>6.7791577261159794</v>
      </c>
      <c r="C49" s="2">
        <f ca="1">INDEX(Simulations!$A$1:$BK$2501, 49, MATCH("ExitMultiple", Simulations!$A$1:$BK$1, 0))</f>
        <v>7.7218202351075051</v>
      </c>
      <c r="D49" s="2">
        <f ca="1">INDEX(Simulations!$A$1:$BK$2501, 49, MATCH("RevCAGR", Simulations!$A$1:$BK$1, 0))</f>
        <v>8.104804822412004E-2</v>
      </c>
      <c r="E49" s="2">
        <f ca="1">INDEX(Simulations!$A$1:$BK$2501, 49, MATCH("SynMargin", Simulations!$A$1:$BK$1, 0))</f>
        <v>1.0755755911797244E-2</v>
      </c>
      <c r="F49" s="2">
        <f ca="1">INDEX(Simulations!$A$1:$BK$2501, 49, MATCH("Yr1Shock", Simulations!$A$1:$BK$1, 0))</f>
        <v>3.7892500654962465E-3</v>
      </c>
      <c r="G49" s="2">
        <f ca="1">INDEX(Simulations!$A$1:$BK$2501, 49, MATCH("EntryEV", Simulations!$A$1:$BK$1, 0))</f>
        <v>40674946.356695876</v>
      </c>
      <c r="H49" s="2">
        <f ca="1">INDEX(Simulations!$A$1:$BK$2501, 49, MATCH("ExitEV", Simulations!$A$1:$BK$1, 0))</f>
        <v>67502720.044500932</v>
      </c>
      <c r="I49" s="2">
        <f ca="1">INDEX(Simulations!$A$1:$BK$2501, 49, MATCH("IRR", Simulations!$A$1:$BK$1, 0))</f>
        <v>0.30612659407676812</v>
      </c>
      <c r="J49" s="2">
        <f ca="1">INDEX(Simulations!$A$1:$BK$2501, 49, MATCH("NPV_12%", Simulations!$A$1:$BK$1, 0))</f>
        <v>16479440.430410549</v>
      </c>
    </row>
    <row r="50" spans="1:10" x14ac:dyDescent="0.3">
      <c r="A50" s="2">
        <f>INDEX(Simulations!$A$2:$A$2501,49)</f>
        <v>49</v>
      </c>
      <c r="B50" s="2">
        <f ca="1">INDEX(Simulations!$A$1:$BK$2501, 50, MATCH("PurchaseMultiple", Simulations!$A$1:$BK$1, 0))</f>
        <v>6.7726540892480225</v>
      </c>
      <c r="C50" s="2">
        <f ca="1">INDEX(Simulations!$A$1:$BK$2501, 50, MATCH("ExitMultiple", Simulations!$A$1:$BK$1, 0))</f>
        <v>7.8152369955676582</v>
      </c>
      <c r="D50" s="2">
        <f ca="1">INDEX(Simulations!$A$1:$BK$2501, 50, MATCH("RevCAGR", Simulations!$A$1:$BK$1, 0))</f>
        <v>1.5743426790507262E-2</v>
      </c>
      <c r="E50" s="2">
        <f ca="1">INDEX(Simulations!$A$1:$BK$2501, 50, MATCH("SynMargin", Simulations!$A$1:$BK$1, 0))</f>
        <v>1.2012900718336269E-2</v>
      </c>
      <c r="F50" s="2">
        <f ca="1">INDEX(Simulations!$A$1:$BK$2501, 50, MATCH("Yr1Shock", Simulations!$A$1:$BK$1, 0))</f>
        <v>-4.0202513622971503E-2</v>
      </c>
      <c r="G50" s="2">
        <f ca="1">INDEX(Simulations!$A$1:$BK$2501, 50, MATCH("EntryEV", Simulations!$A$1:$BK$1, 0))</f>
        <v>40635924.535488136</v>
      </c>
      <c r="H50" s="2">
        <f ca="1">INDEX(Simulations!$A$1:$BK$2501, 50, MATCH("ExitEV", Simulations!$A$1:$BK$1, 0))</f>
        <v>51265289.500197083</v>
      </c>
      <c r="I50" s="2">
        <f ca="1">INDEX(Simulations!$A$1:$BK$2501, 50, MATCH("IRR", Simulations!$A$1:$BK$1, 0))</f>
        <v>0.19154442419007323</v>
      </c>
      <c r="J50" s="2">
        <f ca="1">INDEX(Simulations!$A$1:$BK$2501, 50, MATCH("NPV_12%", Simulations!$A$1:$BK$1, 0))</f>
        <v>5223368.582921885</v>
      </c>
    </row>
    <row r="51" spans="1:10" x14ac:dyDescent="0.3">
      <c r="A51" s="2">
        <f>INDEX(Simulations!$A$2:$A$2501,50)</f>
        <v>50</v>
      </c>
      <c r="B51" s="2">
        <f ca="1">INDEX(Simulations!$A$1:$BK$2501, 51, MATCH("PurchaseMultiple", Simulations!$A$1:$BK$1, 0))</f>
        <v>7.0098179748885538</v>
      </c>
      <c r="C51" s="2">
        <f ca="1">INDEX(Simulations!$A$1:$BK$2501, 51, MATCH("ExitMultiple", Simulations!$A$1:$BK$1, 0))</f>
        <v>7.0791765768363515</v>
      </c>
      <c r="D51" s="2">
        <f ca="1">INDEX(Simulations!$A$1:$BK$2501, 51, MATCH("RevCAGR", Simulations!$A$1:$BK$1, 0))</f>
        <v>7.4686923262786212E-2</v>
      </c>
      <c r="E51" s="2">
        <f ca="1">INDEX(Simulations!$A$1:$BK$2501, 51, MATCH("SynMargin", Simulations!$A$1:$BK$1, 0))</f>
        <v>1.0516810634370989E-2</v>
      </c>
      <c r="F51" s="2">
        <f ca="1">INDEX(Simulations!$A$1:$BK$2501, 51, MATCH("Yr1Shock", Simulations!$A$1:$BK$1, 0))</f>
        <v>3.668106150945874E-2</v>
      </c>
      <c r="G51" s="2">
        <f ca="1">INDEX(Simulations!$A$1:$BK$2501, 51, MATCH("EntryEV", Simulations!$A$1:$BK$1, 0))</f>
        <v>42058907.849331327</v>
      </c>
      <c r="H51" s="2">
        <f ca="1">INDEX(Simulations!$A$1:$BK$2501, 51, MATCH("ExitEV", Simulations!$A$1:$BK$1, 0))</f>
        <v>62339720.279026851</v>
      </c>
      <c r="I51" s="2">
        <f ca="1">INDEX(Simulations!$A$1:$BK$2501, 51, MATCH("IRR", Simulations!$A$1:$BK$1, 0))</f>
        <v>0.26888306347336477</v>
      </c>
      <c r="J51" s="2">
        <f ca="1">INDEX(Simulations!$A$1:$BK$2501, 51, MATCH("NPV_12%", Simulations!$A$1:$BK$1, 0))</f>
        <v>12680619.221836999</v>
      </c>
    </row>
    <row r="52" spans="1:10" x14ac:dyDescent="0.3">
      <c r="A52" s="2">
        <f>INDEX(Simulations!$A$2:$A$2501,51)</f>
        <v>51</v>
      </c>
      <c r="B52" s="2">
        <f ca="1">INDEX(Simulations!$A$1:$BK$2501, 52, MATCH("PurchaseMultiple", Simulations!$A$1:$BK$1, 0))</f>
        <v>7.0741214558105376</v>
      </c>
      <c r="C52" s="2">
        <f ca="1">INDEX(Simulations!$A$1:$BK$2501, 52, MATCH("ExitMultiple", Simulations!$A$1:$BK$1, 0))</f>
        <v>7.0378306063249001</v>
      </c>
      <c r="D52" s="2">
        <f ca="1">INDEX(Simulations!$A$1:$BK$2501, 52, MATCH("RevCAGR", Simulations!$A$1:$BK$1, 0))</f>
        <v>4.3424817509685743E-2</v>
      </c>
      <c r="E52" s="2">
        <f ca="1">INDEX(Simulations!$A$1:$BK$2501, 52, MATCH("SynMargin", Simulations!$A$1:$BK$1, 0))</f>
        <v>1.2343166116539817E-2</v>
      </c>
      <c r="F52" s="2">
        <f ca="1">INDEX(Simulations!$A$1:$BK$2501, 52, MATCH("Yr1Shock", Simulations!$A$1:$BK$1, 0))</f>
        <v>-9.4383813036929207E-3</v>
      </c>
      <c r="G52" s="2">
        <f ca="1">INDEX(Simulations!$A$1:$BK$2501, 52, MATCH("EntryEV", Simulations!$A$1:$BK$1, 0))</f>
        <v>42444728.734863229</v>
      </c>
      <c r="H52" s="2">
        <f ca="1">INDEX(Simulations!$A$1:$BK$2501, 52, MATCH("ExitEV", Simulations!$A$1:$BK$1, 0))</f>
        <v>53151034.291892417</v>
      </c>
      <c r="I52" s="2">
        <f ca="1">INDEX(Simulations!$A$1:$BK$2501, 52, MATCH("IRR", Simulations!$A$1:$BK$1, 0))</f>
        <v>0.19606474239910998</v>
      </c>
      <c r="J52" s="2">
        <f ca="1">INDEX(Simulations!$A$1:$BK$2501, 52, MATCH("NPV_12%", Simulations!$A$1:$BK$1, 0))</f>
        <v>5815461.1357719079</v>
      </c>
    </row>
    <row r="53" spans="1:10" x14ac:dyDescent="0.3">
      <c r="A53" s="2">
        <f>INDEX(Simulations!$A$2:$A$2501,52)</f>
        <v>52</v>
      </c>
      <c r="B53" s="2">
        <f ca="1">INDEX(Simulations!$A$1:$BK$2501, 53, MATCH("PurchaseMultiple", Simulations!$A$1:$BK$1, 0))</f>
        <v>6.7951287112857424</v>
      </c>
      <c r="C53" s="2">
        <f ca="1">INDEX(Simulations!$A$1:$BK$2501, 53, MATCH("ExitMultiple", Simulations!$A$1:$BK$1, 0))</f>
        <v>7.9215584508528067</v>
      </c>
      <c r="D53" s="2">
        <f ca="1">INDEX(Simulations!$A$1:$BK$2501, 53, MATCH("RevCAGR", Simulations!$A$1:$BK$1, 0))</f>
        <v>3.4042253830625153E-2</v>
      </c>
      <c r="E53" s="2">
        <f ca="1">INDEX(Simulations!$A$1:$BK$2501, 53, MATCH("SynMargin", Simulations!$A$1:$BK$1, 0))</f>
        <v>1.1478704068464692E-2</v>
      </c>
      <c r="F53" s="2">
        <f ca="1">INDEX(Simulations!$A$1:$BK$2501, 53, MATCH("Yr1Shock", Simulations!$A$1:$BK$1, 0))</f>
        <v>4.3404422940409018E-3</v>
      </c>
      <c r="G53" s="2">
        <f ca="1">INDEX(Simulations!$A$1:$BK$2501, 53, MATCH("EntryEV", Simulations!$A$1:$BK$1, 0))</f>
        <v>40770772.267714456</v>
      </c>
      <c r="H53" s="2">
        <f ca="1">INDEX(Simulations!$A$1:$BK$2501, 53, MATCH("ExitEV", Simulations!$A$1:$BK$1, 0))</f>
        <v>58229592.326718286</v>
      </c>
      <c r="I53" s="2">
        <f ca="1">INDEX(Simulations!$A$1:$BK$2501, 53, MATCH("IRR", Simulations!$A$1:$BK$1, 0))</f>
        <v>0.24588154334920875</v>
      </c>
      <c r="J53" s="2">
        <f ca="1">INDEX(Simulations!$A$1:$BK$2501, 53, MATCH("NPV_12%", Simulations!$A$1:$BK$1, 0))</f>
        <v>10049012.384379476</v>
      </c>
    </row>
    <row r="54" spans="1:10" x14ac:dyDescent="0.3">
      <c r="A54" s="2">
        <f>INDEX(Simulations!$A$2:$A$2501,53)</f>
        <v>53</v>
      </c>
      <c r="B54" s="2">
        <f ca="1">INDEX(Simulations!$A$1:$BK$2501, 54, MATCH("PurchaseMultiple", Simulations!$A$1:$BK$1, 0))</f>
        <v>7.7998952249709141</v>
      </c>
      <c r="C54" s="2">
        <f ca="1">INDEX(Simulations!$A$1:$BK$2501, 54, MATCH("ExitMultiple", Simulations!$A$1:$BK$1, 0))</f>
        <v>7.7121499811431038</v>
      </c>
      <c r="D54" s="2">
        <f ca="1">INDEX(Simulations!$A$1:$BK$2501, 54, MATCH("RevCAGR", Simulations!$A$1:$BK$1, 0))</f>
        <v>6.6666113268712676E-2</v>
      </c>
      <c r="E54" s="2">
        <f ca="1">INDEX(Simulations!$A$1:$BK$2501, 54, MATCH("SynMargin", Simulations!$A$1:$BK$1, 0))</f>
        <v>8.5817296482103584E-3</v>
      </c>
      <c r="F54" s="2">
        <f ca="1">INDEX(Simulations!$A$1:$BK$2501, 54, MATCH("Yr1Shock", Simulations!$A$1:$BK$1, 0))</f>
        <v>5.8078986304496392E-3</v>
      </c>
      <c r="G54" s="2">
        <f ca="1">INDEX(Simulations!$A$1:$BK$2501, 54, MATCH("EntryEV", Simulations!$A$1:$BK$1, 0))</f>
        <v>46799371.349825487</v>
      </c>
      <c r="H54" s="2">
        <f ca="1">INDEX(Simulations!$A$1:$BK$2501, 54, MATCH("ExitEV", Simulations!$A$1:$BK$1, 0))</f>
        <v>63265931.161334775</v>
      </c>
      <c r="I54" s="2">
        <f ca="1">INDEX(Simulations!$A$1:$BK$2501, 54, MATCH("IRR", Simulations!$A$1:$BK$1, 0))</f>
        <v>0.20940730053638212</v>
      </c>
      <c r="J54" s="2">
        <f ca="1">INDEX(Simulations!$A$1:$BK$2501, 54, MATCH("NPV_12%", Simulations!$A$1:$BK$1, 0))</f>
        <v>7972576.8011437468</v>
      </c>
    </row>
    <row r="55" spans="1:10" x14ac:dyDescent="0.3">
      <c r="A55" s="2">
        <f>INDEX(Simulations!$A$2:$A$2501,54)</f>
        <v>54</v>
      </c>
      <c r="B55" s="2">
        <f ca="1">INDEX(Simulations!$A$1:$BK$2501, 55, MATCH("PurchaseMultiple", Simulations!$A$1:$BK$1, 0))</f>
        <v>7.1020534303282021</v>
      </c>
      <c r="C55" s="2">
        <f ca="1">INDEX(Simulations!$A$1:$BK$2501, 55, MATCH("ExitMultiple", Simulations!$A$1:$BK$1, 0))</f>
        <v>6.901193848414203</v>
      </c>
      <c r="D55" s="2">
        <f ca="1">INDEX(Simulations!$A$1:$BK$2501, 55, MATCH("RevCAGR", Simulations!$A$1:$BK$1, 0))</f>
        <v>-1.4843680189166646E-2</v>
      </c>
      <c r="E55" s="2">
        <f ca="1">INDEX(Simulations!$A$1:$BK$2501, 55, MATCH("SynMargin", Simulations!$A$1:$BK$1, 0))</f>
        <v>1.0046088670530886E-2</v>
      </c>
      <c r="F55" s="2">
        <f ca="1">INDEX(Simulations!$A$1:$BK$2501, 55, MATCH("Yr1Shock", Simulations!$A$1:$BK$1, 0))</f>
        <v>-4.7479369879944534E-2</v>
      </c>
      <c r="G55" s="2">
        <f ca="1">INDEX(Simulations!$A$1:$BK$2501, 55, MATCH("EntryEV", Simulations!$A$1:$BK$1, 0))</f>
        <v>42612320.581969216</v>
      </c>
      <c r="H55" s="2">
        <f ca="1">INDEX(Simulations!$A$1:$BK$2501, 55, MATCH("ExitEV", Simulations!$A$1:$BK$1, 0))</f>
        <v>39328125.212972999</v>
      </c>
      <c r="I55" s="2">
        <f ca="1">INDEX(Simulations!$A$1:$BK$2501, 55, MATCH("IRR", Simulations!$A$1:$BK$1, 0))</f>
        <v>4.9897359044736911E-2</v>
      </c>
      <c r="J55" s="2">
        <f ca="1">INDEX(Simulations!$A$1:$BK$2501, 55, MATCH("NPV_12%", Simulations!$A$1:$BK$1, 0))</f>
        <v>-4205140.8224337678</v>
      </c>
    </row>
    <row r="56" spans="1:10" x14ac:dyDescent="0.3">
      <c r="A56" s="2">
        <f>INDEX(Simulations!$A$2:$A$2501,55)</f>
        <v>55</v>
      </c>
      <c r="B56" s="2">
        <f ca="1">INDEX(Simulations!$A$1:$BK$2501, 56, MATCH("PurchaseMultiple", Simulations!$A$1:$BK$1, 0))</f>
        <v>6.951613571595221</v>
      </c>
      <c r="C56" s="2">
        <f ca="1">INDEX(Simulations!$A$1:$BK$2501, 56, MATCH("ExitMultiple", Simulations!$A$1:$BK$1, 0))</f>
        <v>7.8641795366531637</v>
      </c>
      <c r="D56" s="2">
        <f ca="1">INDEX(Simulations!$A$1:$BK$2501, 56, MATCH("RevCAGR", Simulations!$A$1:$BK$1, 0))</f>
        <v>7.8488693412901267E-2</v>
      </c>
      <c r="E56" s="2">
        <f ca="1">INDEX(Simulations!$A$1:$BK$2501, 56, MATCH("SynMargin", Simulations!$A$1:$BK$1, 0))</f>
        <v>4.2795422142869596E-3</v>
      </c>
      <c r="F56" s="2">
        <f ca="1">INDEX(Simulations!$A$1:$BK$2501, 56, MATCH("Yr1Shock", Simulations!$A$1:$BK$1, 0))</f>
        <v>1.4937289302327175E-2</v>
      </c>
      <c r="G56" s="2">
        <f ca="1">INDEX(Simulations!$A$1:$BK$2501, 56, MATCH("EntryEV", Simulations!$A$1:$BK$1, 0))</f>
        <v>41709681.429571323</v>
      </c>
      <c r="H56" s="2">
        <f ca="1">INDEX(Simulations!$A$1:$BK$2501, 56, MATCH("ExitEV", Simulations!$A$1:$BK$1, 0))</f>
        <v>66407155.06599728</v>
      </c>
      <c r="I56" s="2">
        <f ca="1">INDEX(Simulations!$A$1:$BK$2501, 56, MATCH("IRR", Simulations!$A$1:$BK$1, 0))</f>
        <v>0.28254430656852203</v>
      </c>
      <c r="J56" s="2">
        <f ca="1">INDEX(Simulations!$A$1:$BK$2501, 56, MATCH("NPV_12%", Simulations!$A$1:$BK$1, 0))</f>
        <v>14377106.967337247</v>
      </c>
    </row>
    <row r="57" spans="1:10" x14ac:dyDescent="0.3">
      <c r="A57" s="2">
        <f>INDEX(Simulations!$A$2:$A$2501,56)</f>
        <v>56</v>
      </c>
      <c r="B57" s="2">
        <f ca="1">INDEX(Simulations!$A$1:$BK$2501, 57, MATCH("PurchaseMultiple", Simulations!$A$1:$BK$1, 0))</f>
        <v>7.7226612716940002</v>
      </c>
      <c r="C57" s="2">
        <f ca="1">INDEX(Simulations!$A$1:$BK$2501, 57, MATCH("ExitMultiple", Simulations!$A$1:$BK$1, 0))</f>
        <v>8.1324139909033271</v>
      </c>
      <c r="D57" s="2">
        <f ca="1">INDEX(Simulations!$A$1:$BK$2501, 57, MATCH("RevCAGR", Simulations!$A$1:$BK$1, 0))</f>
        <v>9.6201604830157994E-2</v>
      </c>
      <c r="E57" s="2">
        <f ca="1">INDEX(Simulations!$A$1:$BK$2501, 57, MATCH("SynMargin", Simulations!$A$1:$BK$1, 0))</f>
        <v>8.6941559104436895E-3</v>
      </c>
      <c r="F57" s="2">
        <f ca="1">INDEX(Simulations!$A$1:$BK$2501, 57, MATCH("Yr1Shock", Simulations!$A$1:$BK$1, 0))</f>
        <v>-9.1114380488448448E-4</v>
      </c>
      <c r="G57" s="2">
        <f ca="1">INDEX(Simulations!$A$1:$BK$2501, 57, MATCH("EntryEV", Simulations!$A$1:$BK$1, 0))</f>
        <v>46335967.630163997</v>
      </c>
      <c r="H57" s="2">
        <f ca="1">INDEX(Simulations!$A$1:$BK$2501, 57, MATCH("ExitEV", Simulations!$A$1:$BK$1, 0))</f>
        <v>73964254.876636758</v>
      </c>
      <c r="I57" s="2">
        <f ca="1">INDEX(Simulations!$A$1:$BK$2501, 57, MATCH("IRR", Simulations!$A$1:$BK$1, 0))</f>
        <v>0.27228726300803596</v>
      </c>
      <c r="J57" s="2">
        <f ca="1">INDEX(Simulations!$A$1:$BK$2501, 57, MATCH("NPV_12%", Simulations!$A$1:$BK$1, 0))</f>
        <v>15060190.441636052</v>
      </c>
    </row>
    <row r="58" spans="1:10" x14ac:dyDescent="0.3">
      <c r="A58" s="2">
        <f>INDEX(Simulations!$A$2:$A$2501,57)</f>
        <v>57</v>
      </c>
      <c r="B58" s="2">
        <f ca="1">INDEX(Simulations!$A$1:$BK$2501, 58, MATCH("PurchaseMultiple", Simulations!$A$1:$BK$1, 0))</f>
        <v>6.4754562950814138</v>
      </c>
      <c r="C58" s="2">
        <f ca="1">INDEX(Simulations!$A$1:$BK$2501, 58, MATCH("ExitMultiple", Simulations!$A$1:$BK$1, 0))</f>
        <v>8.0541754571333151</v>
      </c>
      <c r="D58" s="2">
        <f ca="1">INDEX(Simulations!$A$1:$BK$2501, 58, MATCH("RevCAGR", Simulations!$A$1:$BK$1, 0))</f>
        <v>7.2372828060334946E-2</v>
      </c>
      <c r="E58" s="2">
        <f ca="1">INDEX(Simulations!$A$1:$BK$2501, 58, MATCH("SynMargin", Simulations!$A$1:$BK$1, 0))</f>
        <v>1.0477819892505329E-2</v>
      </c>
      <c r="F58" s="2">
        <f ca="1">INDEX(Simulations!$A$1:$BK$2501, 58, MATCH("Yr1Shock", Simulations!$A$1:$BK$1, 0))</f>
        <v>3.3212529956584608E-2</v>
      </c>
      <c r="G58" s="2">
        <f ca="1">INDEX(Simulations!$A$1:$BK$2501, 58, MATCH("EntryEV", Simulations!$A$1:$BK$1, 0))</f>
        <v>38852737.770488486</v>
      </c>
      <c r="H58" s="2">
        <f ca="1">INDEX(Simulations!$A$1:$BK$2501, 58, MATCH("ExitEV", Simulations!$A$1:$BK$1, 0))</f>
        <v>70066424.873369128</v>
      </c>
      <c r="I58" s="2">
        <f ca="1">INDEX(Simulations!$A$1:$BK$2501, 58, MATCH("IRR", Simulations!$A$1:$BK$1, 0))</f>
        <v>0.34295696524293251</v>
      </c>
      <c r="J58" s="2">
        <f ca="1">INDEX(Simulations!$A$1:$BK$2501, 58, MATCH("NPV_12%", Simulations!$A$1:$BK$1, 0))</f>
        <v>19767490.42931468</v>
      </c>
    </row>
    <row r="59" spans="1:10" x14ac:dyDescent="0.3">
      <c r="A59" s="2">
        <f>INDEX(Simulations!$A$2:$A$2501,58)</f>
        <v>58</v>
      </c>
      <c r="B59" s="2">
        <f ca="1">INDEX(Simulations!$A$1:$BK$2501, 59, MATCH("PurchaseMultiple", Simulations!$A$1:$BK$1, 0))</f>
        <v>7.3204053597500431</v>
      </c>
      <c r="C59" s="2">
        <f ca="1">INDEX(Simulations!$A$1:$BK$2501, 59, MATCH("ExitMultiple", Simulations!$A$1:$BK$1, 0))</f>
        <v>7.8441175518920181</v>
      </c>
      <c r="D59" s="2">
        <f ca="1">INDEX(Simulations!$A$1:$BK$2501, 59, MATCH("RevCAGR", Simulations!$A$1:$BK$1, 0))</f>
        <v>5.0244531352096305E-2</v>
      </c>
      <c r="E59" s="2">
        <f ca="1">INDEX(Simulations!$A$1:$BK$2501, 59, MATCH("SynMargin", Simulations!$A$1:$BK$1, 0))</f>
        <v>1.0072162666293592E-2</v>
      </c>
      <c r="F59" s="2">
        <f ca="1">INDEX(Simulations!$A$1:$BK$2501, 59, MATCH("Yr1Shock", Simulations!$A$1:$BK$1, 0))</f>
        <v>-6.6867835886731883E-3</v>
      </c>
      <c r="G59" s="2">
        <f ca="1">INDEX(Simulations!$A$1:$BK$2501, 59, MATCH("EntryEV", Simulations!$A$1:$BK$1, 0))</f>
        <v>43922432.158500262</v>
      </c>
      <c r="H59" s="2">
        <f ca="1">INDEX(Simulations!$A$1:$BK$2501, 59, MATCH("ExitEV", Simulations!$A$1:$BK$1, 0))</f>
        <v>60219681.324362136</v>
      </c>
      <c r="I59" s="2">
        <f ca="1">INDEX(Simulations!$A$1:$BK$2501, 59, MATCH("IRR", Simulations!$A$1:$BK$1, 0))</f>
        <v>0.2199411459774363</v>
      </c>
      <c r="J59" s="2">
        <f ca="1">INDEX(Simulations!$A$1:$BK$2501, 59, MATCH("NPV_12%", Simulations!$A$1:$BK$1, 0))</f>
        <v>8409158.1285668798</v>
      </c>
    </row>
    <row r="60" spans="1:10" x14ac:dyDescent="0.3">
      <c r="A60" s="2">
        <f>INDEX(Simulations!$A$2:$A$2501,59)</f>
        <v>59</v>
      </c>
      <c r="B60" s="2">
        <f ca="1">INDEX(Simulations!$A$1:$BK$2501, 60, MATCH("PurchaseMultiple", Simulations!$A$1:$BK$1, 0))</f>
        <v>7.1752276496382734</v>
      </c>
      <c r="C60" s="2">
        <f ca="1">INDEX(Simulations!$A$1:$BK$2501, 60, MATCH("ExitMultiple", Simulations!$A$1:$BK$1, 0))</f>
        <v>7.2441949553151446</v>
      </c>
      <c r="D60" s="2">
        <f ca="1">INDEX(Simulations!$A$1:$BK$2501, 60, MATCH("RevCAGR", Simulations!$A$1:$BK$1, 0))</f>
        <v>1.562780494613128E-3</v>
      </c>
      <c r="E60" s="2">
        <f ca="1">INDEX(Simulations!$A$1:$BK$2501, 60, MATCH("SynMargin", Simulations!$A$1:$BK$1, 0))</f>
        <v>3.1243701617684047E-3</v>
      </c>
      <c r="F60" s="2">
        <f ca="1">INDEX(Simulations!$A$1:$BK$2501, 60, MATCH("Yr1Shock", Simulations!$A$1:$BK$1, 0))</f>
        <v>-1.0751564174430149E-2</v>
      </c>
      <c r="G60" s="2">
        <f ca="1">INDEX(Simulations!$A$1:$BK$2501, 60, MATCH("EntryEV", Simulations!$A$1:$BK$1, 0))</f>
        <v>43051365.897829637</v>
      </c>
      <c r="H60" s="2">
        <f ca="1">INDEX(Simulations!$A$1:$BK$2501, 60, MATCH("ExitEV", Simulations!$A$1:$BK$1, 0))</f>
        <v>44055833.966656648</v>
      </c>
      <c r="I60" s="2">
        <f ca="1">INDEX(Simulations!$A$1:$BK$2501, 60, MATCH("IRR", Simulations!$A$1:$BK$1, 0))</f>
        <v>9.49176402298475E-2</v>
      </c>
      <c r="J60" s="2">
        <f ca="1">INDEX(Simulations!$A$1:$BK$2501, 60, MATCH("NPV_12%", Simulations!$A$1:$BK$1, 0))</f>
        <v>-1659088.3867374808</v>
      </c>
    </row>
    <row r="61" spans="1:10" x14ac:dyDescent="0.3">
      <c r="A61" s="2">
        <f>INDEX(Simulations!$A$2:$A$2501,60)</f>
        <v>60</v>
      </c>
      <c r="B61" s="2">
        <f ca="1">INDEX(Simulations!$A$1:$BK$2501, 61, MATCH("PurchaseMultiple", Simulations!$A$1:$BK$1, 0))</f>
        <v>6.5134801740956831</v>
      </c>
      <c r="C61" s="2">
        <f ca="1">INDEX(Simulations!$A$1:$BK$2501, 61, MATCH("ExitMultiple", Simulations!$A$1:$BK$1, 0))</f>
        <v>8.1576718639205659</v>
      </c>
      <c r="D61" s="2">
        <f ca="1">INDEX(Simulations!$A$1:$BK$2501, 61, MATCH("RevCAGR", Simulations!$A$1:$BK$1, 0))</f>
        <v>3.1081403849564065E-2</v>
      </c>
      <c r="E61" s="2">
        <f ca="1">INDEX(Simulations!$A$1:$BK$2501, 61, MATCH("SynMargin", Simulations!$A$1:$BK$1, 0))</f>
        <v>1.1446973028830267E-2</v>
      </c>
      <c r="F61" s="2">
        <f ca="1">INDEX(Simulations!$A$1:$BK$2501, 61, MATCH("Yr1Shock", Simulations!$A$1:$BK$1, 0))</f>
        <v>-3.0167082614679454E-2</v>
      </c>
      <c r="G61" s="2">
        <f ca="1">INDEX(Simulations!$A$1:$BK$2501, 61, MATCH("EntryEV", Simulations!$A$1:$BK$1, 0))</f>
        <v>39080881.044574097</v>
      </c>
      <c r="H61" s="2">
        <f ca="1">INDEX(Simulations!$A$1:$BK$2501, 61, MATCH("ExitEV", Simulations!$A$1:$BK$1, 0))</f>
        <v>57234599.197125711</v>
      </c>
      <c r="I61" s="2">
        <f ca="1">INDEX(Simulations!$A$1:$BK$2501, 61, MATCH("IRR", Simulations!$A$1:$BK$1, 0))</f>
        <v>0.25416871601868096</v>
      </c>
      <c r="J61" s="2">
        <f ca="1">INDEX(Simulations!$A$1:$BK$2501, 61, MATCH("NPV_12%", Simulations!$A$1:$BK$1, 0))</f>
        <v>10432095.542102255</v>
      </c>
    </row>
    <row r="62" spans="1:10" x14ac:dyDescent="0.3">
      <c r="A62" s="2">
        <f>INDEX(Simulations!$A$2:$A$2501,61)</f>
        <v>61</v>
      </c>
      <c r="B62" s="2">
        <f ca="1">INDEX(Simulations!$A$1:$BK$2501, 62, MATCH("PurchaseMultiple", Simulations!$A$1:$BK$1, 0))</f>
        <v>7.1897105832716708</v>
      </c>
      <c r="C62" s="2">
        <f ca="1">INDEX(Simulations!$A$1:$BK$2501, 62, MATCH("ExitMultiple", Simulations!$A$1:$BK$1, 0))</f>
        <v>7.5549502516621283</v>
      </c>
      <c r="D62" s="2">
        <f ca="1">INDEX(Simulations!$A$1:$BK$2501, 62, MATCH("RevCAGR", Simulations!$A$1:$BK$1, 0))</f>
        <v>4.4155890939600415E-2</v>
      </c>
      <c r="E62" s="2">
        <f ca="1">INDEX(Simulations!$A$1:$BK$2501, 62, MATCH("SynMargin", Simulations!$A$1:$BK$1, 0))</f>
        <v>1.1132702944301479E-2</v>
      </c>
      <c r="F62" s="2">
        <f ca="1">INDEX(Simulations!$A$1:$BK$2501, 62, MATCH("Yr1Shock", Simulations!$A$1:$BK$1, 0))</f>
        <v>-2.0425678130012383E-3</v>
      </c>
      <c r="G62" s="2">
        <f ca="1">INDEX(Simulations!$A$1:$BK$2501, 62, MATCH("EntryEV", Simulations!$A$1:$BK$1, 0))</f>
        <v>43138263.499630027</v>
      </c>
      <c r="H62" s="2">
        <f ca="1">INDEX(Simulations!$A$1:$BK$2501, 62, MATCH("ExitEV", Simulations!$A$1:$BK$1, 0))</f>
        <v>57264002.626688704</v>
      </c>
      <c r="I62" s="2">
        <f ca="1">INDEX(Simulations!$A$1:$BK$2501, 62, MATCH("IRR", Simulations!$A$1:$BK$1, 0))</f>
        <v>0.21275490283923459</v>
      </c>
      <c r="J62" s="2">
        <f ca="1">INDEX(Simulations!$A$1:$BK$2501, 62, MATCH("NPV_12%", Simulations!$A$1:$BK$1, 0))</f>
        <v>7491756.7650948465</v>
      </c>
    </row>
    <row r="63" spans="1:10" x14ac:dyDescent="0.3">
      <c r="A63" s="2">
        <f>INDEX(Simulations!$A$2:$A$2501,62)</f>
        <v>62</v>
      </c>
      <c r="B63" s="2">
        <f ca="1">INDEX(Simulations!$A$1:$BK$2501, 63, MATCH("PurchaseMultiple", Simulations!$A$1:$BK$1, 0))</f>
        <v>6.9255558570946691</v>
      </c>
      <c r="C63" s="2">
        <f ca="1">INDEX(Simulations!$A$1:$BK$2501, 63, MATCH("ExitMultiple", Simulations!$A$1:$BK$1, 0))</f>
        <v>7.425268065550318</v>
      </c>
      <c r="D63" s="2">
        <f ca="1">INDEX(Simulations!$A$1:$BK$2501, 63, MATCH("RevCAGR", Simulations!$A$1:$BK$1, 0))</f>
        <v>4.636863838018835E-2</v>
      </c>
      <c r="E63" s="2">
        <f ca="1">INDEX(Simulations!$A$1:$BK$2501, 63, MATCH("SynMargin", Simulations!$A$1:$BK$1, 0))</f>
        <v>1.4981145651101754E-2</v>
      </c>
      <c r="F63" s="2">
        <f ca="1">INDEX(Simulations!$A$1:$BK$2501, 63, MATCH("Yr1Shock", Simulations!$A$1:$BK$1, 0))</f>
        <v>-2.8437601781355501E-2</v>
      </c>
      <c r="G63" s="2">
        <f ca="1">INDEX(Simulations!$A$1:$BK$2501, 63, MATCH("EntryEV", Simulations!$A$1:$BK$1, 0))</f>
        <v>41553335.142568015</v>
      </c>
      <c r="H63" s="2">
        <f ca="1">INDEX(Simulations!$A$1:$BK$2501, 63, MATCH("ExitEV", Simulations!$A$1:$BK$1, 0))</f>
        <v>56423274.314200871</v>
      </c>
      <c r="I63" s="2">
        <f ca="1">INDEX(Simulations!$A$1:$BK$2501, 63, MATCH("IRR", Simulations!$A$1:$BK$1, 0))</f>
        <v>0.2271291652402081</v>
      </c>
      <c r="J63" s="2">
        <f ca="1">INDEX(Simulations!$A$1:$BK$2501, 63, MATCH("NPV_12%", Simulations!$A$1:$BK$1, 0))</f>
        <v>8469660.692514576</v>
      </c>
    </row>
    <row r="64" spans="1:10" x14ac:dyDescent="0.3">
      <c r="A64" s="2">
        <f>INDEX(Simulations!$A$2:$A$2501,63)</f>
        <v>63</v>
      </c>
      <c r="B64" s="2">
        <f ca="1">INDEX(Simulations!$A$1:$BK$2501, 64, MATCH("PurchaseMultiple", Simulations!$A$1:$BK$1, 0))</f>
        <v>6.8700592873234836</v>
      </c>
      <c r="C64" s="2">
        <f ca="1">INDEX(Simulations!$A$1:$BK$2501, 64, MATCH("ExitMultiple", Simulations!$A$1:$BK$1, 0))</f>
        <v>6.9562205157210117</v>
      </c>
      <c r="D64" s="2">
        <f ca="1">INDEX(Simulations!$A$1:$BK$2501, 64, MATCH("RevCAGR", Simulations!$A$1:$BK$1, 0))</f>
        <v>7.485965089151092E-2</v>
      </c>
      <c r="E64" s="2">
        <f ca="1">INDEX(Simulations!$A$1:$BK$2501, 64, MATCH("SynMargin", Simulations!$A$1:$BK$1, 0))</f>
        <v>6.3238103424073031E-3</v>
      </c>
      <c r="F64" s="2">
        <f ca="1">INDEX(Simulations!$A$1:$BK$2501, 64, MATCH("Yr1Shock", Simulations!$A$1:$BK$1, 0))</f>
        <v>0.05</v>
      </c>
      <c r="G64" s="2">
        <f ca="1">INDEX(Simulations!$A$1:$BK$2501, 64, MATCH("EntryEV", Simulations!$A$1:$BK$1, 0))</f>
        <v>41220355.723940901</v>
      </c>
      <c r="H64" s="2">
        <f ca="1">INDEX(Simulations!$A$1:$BK$2501, 64, MATCH("ExitEV", Simulations!$A$1:$BK$1, 0))</f>
        <v>60653121.124572031</v>
      </c>
      <c r="I64" s="2">
        <f ca="1">INDEX(Simulations!$A$1:$BK$2501, 64, MATCH("IRR", Simulations!$A$1:$BK$1, 0))</f>
        <v>0.2678942659448067</v>
      </c>
      <c r="J64" s="2">
        <f ca="1">INDEX(Simulations!$A$1:$BK$2501, 64, MATCH("NPV_12%", Simulations!$A$1:$BK$1, 0))</f>
        <v>12285267.198904574</v>
      </c>
    </row>
    <row r="65" spans="1:10" x14ac:dyDescent="0.3">
      <c r="A65" s="2">
        <f>INDEX(Simulations!$A$2:$A$2501,64)</f>
        <v>64</v>
      </c>
      <c r="B65" s="2">
        <f ca="1">INDEX(Simulations!$A$1:$BK$2501, 65, MATCH("PurchaseMultiple", Simulations!$A$1:$BK$1, 0))</f>
        <v>7.2239117805481676</v>
      </c>
      <c r="C65" s="2">
        <f ca="1">INDEX(Simulations!$A$1:$BK$2501, 65, MATCH("ExitMultiple", Simulations!$A$1:$BK$1, 0))</f>
        <v>6.8278567138325217</v>
      </c>
      <c r="D65" s="2">
        <f ca="1">INDEX(Simulations!$A$1:$BK$2501, 65, MATCH("RevCAGR", Simulations!$A$1:$BK$1, 0))</f>
        <v>4.9017604655338234E-2</v>
      </c>
      <c r="E65" s="2">
        <f ca="1">INDEX(Simulations!$A$1:$BK$2501, 65, MATCH("SynMargin", Simulations!$A$1:$BK$1, 0))</f>
        <v>7.978698892582195E-3</v>
      </c>
      <c r="F65" s="2">
        <f ca="1">INDEX(Simulations!$A$1:$BK$2501, 65, MATCH("Yr1Shock", Simulations!$A$1:$BK$1, 0))</f>
        <v>1.3627030912572485E-2</v>
      </c>
      <c r="G65" s="2">
        <f ca="1">INDEX(Simulations!$A$1:$BK$2501, 65, MATCH("EntryEV", Simulations!$A$1:$BK$1, 0))</f>
        <v>43343470.683289006</v>
      </c>
      <c r="H65" s="2">
        <f ca="1">INDEX(Simulations!$A$1:$BK$2501, 65, MATCH("ExitEV", Simulations!$A$1:$BK$1, 0))</f>
        <v>52626170.864901982</v>
      </c>
      <c r="I65" s="2">
        <f ca="1">INDEX(Simulations!$A$1:$BK$2501, 65, MATCH("IRR", Simulations!$A$1:$BK$1, 0))</f>
        <v>0.18261720421791972</v>
      </c>
      <c r="J65" s="2">
        <f ca="1">INDEX(Simulations!$A$1:$BK$2501, 65, MATCH("NPV_12%", Simulations!$A$1:$BK$1, 0))</f>
        <v>4792678.4843677655</v>
      </c>
    </row>
    <row r="66" spans="1:10" x14ac:dyDescent="0.3">
      <c r="A66" s="2">
        <f>INDEX(Simulations!$A$2:$A$2501,65)</f>
        <v>65</v>
      </c>
      <c r="B66" s="2">
        <f ca="1">INDEX(Simulations!$A$1:$BK$2501, 66, MATCH("PurchaseMultiple", Simulations!$A$1:$BK$1, 0))</f>
        <v>6.6143530634073624</v>
      </c>
      <c r="C66" s="2">
        <f ca="1">INDEX(Simulations!$A$1:$BK$2501, 66, MATCH("ExitMultiple", Simulations!$A$1:$BK$1, 0))</f>
        <v>7.2966186016731465</v>
      </c>
      <c r="D66" s="2">
        <f ca="1">INDEX(Simulations!$A$1:$BK$2501, 66, MATCH("RevCAGR", Simulations!$A$1:$BK$1, 0))</f>
        <v>3.2563468661603957E-2</v>
      </c>
      <c r="E66" s="2">
        <f ca="1">INDEX(Simulations!$A$1:$BK$2501, 66, MATCH("SynMargin", Simulations!$A$1:$BK$1, 0))</f>
        <v>8.1432037032243901E-3</v>
      </c>
      <c r="F66" s="2">
        <f ca="1">INDEX(Simulations!$A$1:$BK$2501, 66, MATCH("Yr1Shock", Simulations!$A$1:$BK$1, 0))</f>
        <v>6.1655868224243515E-3</v>
      </c>
      <c r="G66" s="2">
        <f ca="1">INDEX(Simulations!$A$1:$BK$2501, 66, MATCH("EntryEV", Simulations!$A$1:$BK$1, 0))</f>
        <v>39686118.380444176</v>
      </c>
      <c r="H66" s="2">
        <f ca="1">INDEX(Simulations!$A$1:$BK$2501, 66, MATCH("ExitEV", Simulations!$A$1:$BK$1, 0))</f>
        <v>52452265.331348822</v>
      </c>
      <c r="I66" s="2">
        <f ca="1">INDEX(Simulations!$A$1:$BK$2501, 66, MATCH("IRR", Simulations!$A$1:$BK$1, 0))</f>
        <v>0.22160452724212631</v>
      </c>
      <c r="J66" s="2">
        <f ca="1">INDEX(Simulations!$A$1:$BK$2501, 66, MATCH("NPV_12%", Simulations!$A$1:$BK$1, 0))</f>
        <v>7502459.0235919841</v>
      </c>
    </row>
    <row r="67" spans="1:10" x14ac:dyDescent="0.3">
      <c r="A67" s="2">
        <f>INDEX(Simulations!$A$2:$A$2501,66)</f>
        <v>66</v>
      </c>
      <c r="B67" s="2">
        <f ca="1">INDEX(Simulations!$A$1:$BK$2501, 67, MATCH("PurchaseMultiple", Simulations!$A$1:$BK$1, 0))</f>
        <v>6.9360501348381929</v>
      </c>
      <c r="C67" s="2">
        <f ca="1">INDEX(Simulations!$A$1:$BK$2501, 67, MATCH("ExitMultiple", Simulations!$A$1:$BK$1, 0))</f>
        <v>7.8886366364826781</v>
      </c>
      <c r="D67" s="2">
        <f ca="1">INDEX(Simulations!$A$1:$BK$2501, 67, MATCH("RevCAGR", Simulations!$A$1:$BK$1, 0))</f>
        <v>7.0021128338184205E-2</v>
      </c>
      <c r="E67" s="2">
        <f ca="1">INDEX(Simulations!$A$1:$BK$2501, 67, MATCH("SynMargin", Simulations!$A$1:$BK$1, 0))</f>
        <v>6.4152834195810894E-3</v>
      </c>
      <c r="F67" s="2">
        <f ca="1">INDEX(Simulations!$A$1:$BK$2501, 67, MATCH("Yr1Shock", Simulations!$A$1:$BK$1, 0))</f>
        <v>2.2821136559379233E-2</v>
      </c>
      <c r="G67" s="2">
        <f ca="1">INDEX(Simulations!$A$1:$BK$2501, 67, MATCH("EntryEV", Simulations!$A$1:$BK$1, 0))</f>
        <v>41616300.809029154</v>
      </c>
      <c r="H67" s="2">
        <f ca="1">INDEX(Simulations!$A$1:$BK$2501, 67, MATCH("ExitEV", Simulations!$A$1:$BK$1, 0))</f>
        <v>65838202.737224333</v>
      </c>
      <c r="I67" s="2">
        <f ca="1">INDEX(Simulations!$A$1:$BK$2501, 67, MATCH("IRR", Simulations!$A$1:$BK$1, 0))</f>
        <v>0.28256135593040344</v>
      </c>
      <c r="J67" s="2">
        <f ca="1">INDEX(Simulations!$A$1:$BK$2501, 67, MATCH("NPV_12%", Simulations!$A$1:$BK$1, 0))</f>
        <v>14257644.41084829</v>
      </c>
    </row>
    <row r="68" spans="1:10" x14ac:dyDescent="0.3">
      <c r="A68" s="2">
        <f>INDEX(Simulations!$A$2:$A$2501,67)</f>
        <v>67</v>
      </c>
      <c r="B68" s="2">
        <f ca="1">INDEX(Simulations!$A$1:$BK$2501, 68, MATCH("PurchaseMultiple", Simulations!$A$1:$BK$1, 0))</f>
        <v>7.3671303891999074</v>
      </c>
      <c r="C68" s="2">
        <f ca="1">INDEX(Simulations!$A$1:$BK$2501, 68, MATCH("ExitMultiple", Simulations!$A$1:$BK$1, 0))</f>
        <v>8.2587933236196474</v>
      </c>
      <c r="D68" s="2">
        <f ca="1">INDEX(Simulations!$A$1:$BK$2501, 68, MATCH("RevCAGR", Simulations!$A$1:$BK$1, 0))</f>
        <v>4.3387820665789341E-2</v>
      </c>
      <c r="E68" s="2">
        <f ca="1">INDEX(Simulations!$A$1:$BK$2501, 68, MATCH("SynMargin", Simulations!$A$1:$BK$1, 0))</f>
        <v>9.957319472654682E-3</v>
      </c>
      <c r="F68" s="2">
        <f ca="1">INDEX(Simulations!$A$1:$BK$2501, 68, MATCH("Yr1Shock", Simulations!$A$1:$BK$1, 0))</f>
        <v>-1.9211731932862061E-2</v>
      </c>
      <c r="G68" s="2">
        <f ca="1">INDEX(Simulations!$A$1:$BK$2501, 68, MATCH("EntryEV", Simulations!$A$1:$BK$1, 0))</f>
        <v>44202782.335199445</v>
      </c>
      <c r="H68" s="2">
        <f ca="1">INDEX(Simulations!$A$1:$BK$2501, 68, MATCH("ExitEV", Simulations!$A$1:$BK$1, 0))</f>
        <v>60946175.639679126</v>
      </c>
      <c r="I68" s="2">
        <f ca="1">INDEX(Simulations!$A$1:$BK$2501, 68, MATCH("IRR", Simulations!$A$1:$BK$1, 0))</f>
        <v>0.21636843021834085</v>
      </c>
      <c r="J68" s="2">
        <f ca="1">INDEX(Simulations!$A$1:$BK$2501, 68, MATCH("NPV_12%", Simulations!$A$1:$BK$1, 0))</f>
        <v>8178146.461357262</v>
      </c>
    </row>
    <row r="69" spans="1:10" x14ac:dyDescent="0.3">
      <c r="A69" s="2">
        <f>INDEX(Simulations!$A$2:$A$2501,68)</f>
        <v>68</v>
      </c>
      <c r="B69" s="2">
        <f ca="1">INDEX(Simulations!$A$1:$BK$2501, 69, MATCH("PurchaseMultiple", Simulations!$A$1:$BK$1, 0))</f>
        <v>7.3209635734106033</v>
      </c>
      <c r="C69" s="2">
        <f ca="1">INDEX(Simulations!$A$1:$BK$2501, 69, MATCH("ExitMultiple", Simulations!$A$1:$BK$1, 0))</f>
        <v>7.2400651877513615</v>
      </c>
      <c r="D69" s="2">
        <f ca="1">INDEX(Simulations!$A$1:$BK$2501, 69, MATCH("RevCAGR", Simulations!$A$1:$BK$1, 0))</f>
        <v>1.2607896201516262E-2</v>
      </c>
      <c r="E69" s="2">
        <f ca="1">INDEX(Simulations!$A$1:$BK$2501, 69, MATCH("SynMargin", Simulations!$A$1:$BK$1, 0))</f>
        <v>9.0465117530374763E-3</v>
      </c>
      <c r="F69" s="2">
        <f ca="1">INDEX(Simulations!$A$1:$BK$2501, 69, MATCH("Yr1Shock", Simulations!$A$1:$BK$1, 0))</f>
        <v>-1.9303078103545035E-2</v>
      </c>
      <c r="G69" s="2">
        <f ca="1">INDEX(Simulations!$A$1:$BK$2501, 69, MATCH("EntryEV", Simulations!$A$1:$BK$1, 0))</f>
        <v>43925781.440463617</v>
      </c>
      <c r="H69" s="2">
        <f ca="1">INDEX(Simulations!$A$1:$BK$2501, 69, MATCH("ExitEV", Simulations!$A$1:$BK$1, 0))</f>
        <v>47155007.933556154</v>
      </c>
      <c r="I69" s="2">
        <f ca="1">INDEX(Simulations!$A$1:$BK$2501, 69, MATCH("IRR", Simulations!$A$1:$BK$1, 0))</f>
        <v>0.11884742541270898</v>
      </c>
      <c r="J69" s="2">
        <f ca="1">INDEX(Simulations!$A$1:$BK$2501, 69, MATCH("NPV_12%", Simulations!$A$1:$BK$1, 0))</f>
        <v>-80993.842971932143</v>
      </c>
    </row>
    <row r="70" spans="1:10" x14ac:dyDescent="0.3">
      <c r="A70" s="2">
        <f>INDEX(Simulations!$A$2:$A$2501,69)</f>
        <v>69</v>
      </c>
      <c r="B70" s="2">
        <f ca="1">INDEX(Simulations!$A$1:$BK$2501, 70, MATCH("PurchaseMultiple", Simulations!$A$1:$BK$1, 0))</f>
        <v>7.0746332620346877</v>
      </c>
      <c r="C70" s="2">
        <f ca="1">INDEX(Simulations!$A$1:$BK$2501, 70, MATCH("ExitMultiple", Simulations!$A$1:$BK$1, 0))</f>
        <v>7.4975247833492489</v>
      </c>
      <c r="D70" s="2">
        <f ca="1">INDEX(Simulations!$A$1:$BK$2501, 70, MATCH("RevCAGR", Simulations!$A$1:$BK$1, 0))</f>
        <v>3.3836037216769664E-2</v>
      </c>
      <c r="E70" s="2">
        <f ca="1">INDEX(Simulations!$A$1:$BK$2501, 70, MATCH("SynMargin", Simulations!$A$1:$BK$1, 0))</f>
        <v>1.0006795826721433E-2</v>
      </c>
      <c r="F70" s="2">
        <f ca="1">INDEX(Simulations!$A$1:$BK$2501, 70, MATCH("Yr1Shock", Simulations!$A$1:$BK$1, 0))</f>
        <v>-5.4155881518135208E-3</v>
      </c>
      <c r="G70" s="2">
        <f ca="1">INDEX(Simulations!$A$1:$BK$2501, 70, MATCH("EntryEV", Simulations!$A$1:$BK$1, 0))</f>
        <v>42447799.572208129</v>
      </c>
      <c r="H70" s="2">
        <f ca="1">INDEX(Simulations!$A$1:$BK$2501, 70, MATCH("ExitEV", Simulations!$A$1:$BK$1, 0))</f>
        <v>54094886.918444112</v>
      </c>
      <c r="I70" s="2">
        <f ca="1">INDEX(Simulations!$A$1:$BK$2501, 70, MATCH("IRR", Simulations!$A$1:$BK$1, 0))</f>
        <v>0.19695766286695315</v>
      </c>
      <c r="J70" s="2">
        <f ca="1">INDEX(Simulations!$A$1:$BK$2501, 70, MATCH("NPV_12%", Simulations!$A$1:$BK$1, 0))</f>
        <v>5935632.9386256896</v>
      </c>
    </row>
    <row r="71" spans="1:10" x14ac:dyDescent="0.3">
      <c r="A71" s="2">
        <f>INDEX(Simulations!$A$2:$A$2501,70)</f>
        <v>70</v>
      </c>
      <c r="B71" s="2">
        <f ca="1">INDEX(Simulations!$A$1:$BK$2501, 71, MATCH("PurchaseMultiple", Simulations!$A$1:$BK$1, 0))</f>
        <v>6.7421693221453136</v>
      </c>
      <c r="C71" s="2">
        <f ca="1">INDEX(Simulations!$A$1:$BK$2501, 71, MATCH("ExitMultiple", Simulations!$A$1:$BK$1, 0))</f>
        <v>8.0214181807807421</v>
      </c>
      <c r="D71" s="2">
        <f ca="1">INDEX(Simulations!$A$1:$BK$2501, 71, MATCH("RevCAGR", Simulations!$A$1:$BK$1, 0))</f>
        <v>9.5449628265402015E-2</v>
      </c>
      <c r="E71" s="2">
        <f ca="1">INDEX(Simulations!$A$1:$BK$2501, 71, MATCH("SynMargin", Simulations!$A$1:$BK$1, 0))</f>
        <v>1.1682706415405199E-2</v>
      </c>
      <c r="F71" s="2">
        <f ca="1">INDEX(Simulations!$A$1:$BK$2501, 71, MATCH("Yr1Shock", Simulations!$A$1:$BK$1, 0))</f>
        <v>-2.5319520560016913E-2</v>
      </c>
      <c r="G71" s="2">
        <f ca="1">INDEX(Simulations!$A$1:$BK$2501, 71, MATCH("EntryEV", Simulations!$A$1:$BK$1, 0))</f>
        <v>40453015.932871878</v>
      </c>
      <c r="H71" s="2">
        <f ca="1">INDEX(Simulations!$A$1:$BK$2501, 71, MATCH("ExitEV", Simulations!$A$1:$BK$1, 0))</f>
        <v>72154963.822730511</v>
      </c>
      <c r="I71" s="2">
        <f ca="1">INDEX(Simulations!$A$1:$BK$2501, 71, MATCH("IRR", Simulations!$A$1:$BK$1, 0))</f>
        <v>0.32872592148564572</v>
      </c>
      <c r="J71" s="2">
        <f ca="1">INDEX(Simulations!$A$1:$BK$2501, 71, MATCH("NPV_12%", Simulations!$A$1:$BK$1, 0))</f>
        <v>19282184.142580096</v>
      </c>
    </row>
    <row r="72" spans="1:10" x14ac:dyDescent="0.3">
      <c r="A72" s="2">
        <f>INDEX(Simulations!$A$2:$A$2501,71)</f>
        <v>71</v>
      </c>
      <c r="B72" s="2">
        <f ca="1">INDEX(Simulations!$A$1:$BK$2501, 72, MATCH("PurchaseMultiple", Simulations!$A$1:$BK$1, 0))</f>
        <v>6.9494643615187721</v>
      </c>
      <c r="C72" s="2">
        <f ca="1">INDEX(Simulations!$A$1:$BK$2501, 72, MATCH("ExitMultiple", Simulations!$A$1:$BK$1, 0))</f>
        <v>7.0084410167139932</v>
      </c>
      <c r="D72" s="2">
        <f ca="1">INDEX(Simulations!$A$1:$BK$2501, 72, MATCH("RevCAGR", Simulations!$A$1:$BK$1, 0))</f>
        <v>7.3846538218661689E-2</v>
      </c>
      <c r="E72" s="2">
        <f ca="1">INDEX(Simulations!$A$1:$BK$2501, 72, MATCH("SynMargin", Simulations!$A$1:$BK$1, 0))</f>
        <v>1.294846414342344E-2</v>
      </c>
      <c r="F72" s="2">
        <f ca="1">INDEX(Simulations!$A$1:$BK$2501, 72, MATCH("Yr1Shock", Simulations!$A$1:$BK$1, 0))</f>
        <v>-2.6860332123392179E-2</v>
      </c>
      <c r="G72" s="2">
        <f ca="1">INDEX(Simulations!$A$1:$BK$2501, 72, MATCH("EntryEV", Simulations!$A$1:$BK$1, 0))</f>
        <v>41696786.16911263</v>
      </c>
      <c r="H72" s="2">
        <f ca="1">INDEX(Simulations!$A$1:$BK$2501, 72, MATCH("ExitEV", Simulations!$A$1:$BK$1, 0))</f>
        <v>58524856.402107678</v>
      </c>
      <c r="I72" s="2">
        <f ca="1">INDEX(Simulations!$A$1:$BK$2501, 72, MATCH("IRR", Simulations!$A$1:$BK$1, 0))</f>
        <v>0.24338541081198484</v>
      </c>
      <c r="J72" s="2">
        <f ca="1">INDEX(Simulations!$A$1:$BK$2501, 72, MATCH("NPV_12%", Simulations!$A$1:$BK$1, 0))</f>
        <v>10074706.77150438</v>
      </c>
    </row>
    <row r="73" spans="1:10" x14ac:dyDescent="0.3">
      <c r="A73" s="2">
        <f>INDEX(Simulations!$A$2:$A$2501,72)</f>
        <v>72</v>
      </c>
      <c r="B73" s="2">
        <f ca="1">INDEX(Simulations!$A$1:$BK$2501, 73, MATCH("PurchaseMultiple", Simulations!$A$1:$BK$1, 0))</f>
        <v>7.1371062558850973</v>
      </c>
      <c r="C73" s="2">
        <f ca="1">INDEX(Simulations!$A$1:$BK$2501, 73, MATCH("ExitMultiple", Simulations!$A$1:$BK$1, 0))</f>
        <v>7.1609383325282296</v>
      </c>
      <c r="D73" s="2">
        <f ca="1">INDEX(Simulations!$A$1:$BK$2501, 73, MATCH("RevCAGR", Simulations!$A$1:$BK$1, 0))</f>
        <v>-6.7800853903866795E-3</v>
      </c>
      <c r="E73" s="2">
        <f ca="1">INDEX(Simulations!$A$1:$BK$2501, 73, MATCH("SynMargin", Simulations!$A$1:$BK$1, 0))</f>
        <v>1.1816449958818325E-2</v>
      </c>
      <c r="F73" s="2">
        <f ca="1">INDEX(Simulations!$A$1:$BK$2501, 73, MATCH("Yr1Shock", Simulations!$A$1:$BK$1, 0))</f>
        <v>-7.8926593964492968E-3</v>
      </c>
      <c r="G73" s="2">
        <f ca="1">INDEX(Simulations!$A$1:$BK$2501, 73, MATCH("EntryEV", Simulations!$A$1:$BK$1, 0))</f>
        <v>42822637.535310581</v>
      </c>
      <c r="H73" s="2">
        <f ca="1">INDEX(Simulations!$A$1:$BK$2501, 73, MATCH("ExitEV", Simulations!$A$1:$BK$1, 0))</f>
        <v>44341512.243444435</v>
      </c>
      <c r="I73" s="2">
        <f ca="1">INDEX(Simulations!$A$1:$BK$2501, 73, MATCH("IRR", Simulations!$A$1:$BK$1, 0))</f>
        <v>0.1092627542454172</v>
      </c>
      <c r="J73" s="2">
        <f ca="1">INDEX(Simulations!$A$1:$BK$2501, 73, MATCH("NPV_12%", Simulations!$A$1:$BK$1, 0))</f>
        <v>-711780.18375322968</v>
      </c>
    </row>
    <row r="74" spans="1:10" x14ac:dyDescent="0.3">
      <c r="A74" s="2">
        <f>INDEX(Simulations!$A$2:$A$2501,73)</f>
        <v>73</v>
      </c>
      <c r="B74" s="2">
        <f ca="1">INDEX(Simulations!$A$1:$BK$2501, 74, MATCH("PurchaseMultiple", Simulations!$A$1:$BK$1, 0))</f>
        <v>7.47121162393241</v>
      </c>
      <c r="C74" s="2">
        <f ca="1">INDEX(Simulations!$A$1:$BK$2501, 74, MATCH("ExitMultiple", Simulations!$A$1:$BK$1, 0))</f>
        <v>7.2124762277713685</v>
      </c>
      <c r="D74" s="2">
        <f ca="1">INDEX(Simulations!$A$1:$BK$2501, 74, MATCH("RevCAGR", Simulations!$A$1:$BK$1, 0))</f>
        <v>2.0083714618181377E-2</v>
      </c>
      <c r="E74" s="2">
        <f ca="1">INDEX(Simulations!$A$1:$BK$2501, 74, MATCH("SynMargin", Simulations!$A$1:$BK$1, 0))</f>
        <v>1.8619368004838988E-2</v>
      </c>
      <c r="F74" s="2">
        <f ca="1">INDEX(Simulations!$A$1:$BK$2501, 74, MATCH("Yr1Shock", Simulations!$A$1:$BK$1, 0))</f>
        <v>2.5691573243223687E-2</v>
      </c>
      <c r="G74" s="2">
        <f ca="1">INDEX(Simulations!$A$1:$BK$2501, 74, MATCH("EntryEV", Simulations!$A$1:$BK$1, 0))</f>
        <v>44827269.74359446</v>
      </c>
      <c r="H74" s="2">
        <f ca="1">INDEX(Simulations!$A$1:$BK$2501, 74, MATCH("ExitEV", Simulations!$A$1:$BK$1, 0))</f>
        <v>53281402.576411754</v>
      </c>
      <c r="I74" s="2">
        <f ca="1">INDEX(Simulations!$A$1:$BK$2501, 74, MATCH("IRR", Simulations!$A$1:$BK$1, 0))</f>
        <v>0.17466434637416661</v>
      </c>
      <c r="J74" s="2">
        <f ca="1">INDEX(Simulations!$A$1:$BK$2501, 74, MATCH("NPV_12%", Simulations!$A$1:$BK$1, 0))</f>
        <v>4228228.4917709492</v>
      </c>
    </row>
    <row r="75" spans="1:10" x14ac:dyDescent="0.3">
      <c r="A75" s="2">
        <f>INDEX(Simulations!$A$2:$A$2501,74)</f>
        <v>74</v>
      </c>
      <c r="B75" s="2">
        <f ca="1">INDEX(Simulations!$A$1:$BK$2501, 75, MATCH("PurchaseMultiple", Simulations!$A$1:$BK$1, 0))</f>
        <v>6.485460140458879</v>
      </c>
      <c r="C75" s="2">
        <f ca="1">INDEX(Simulations!$A$1:$BK$2501, 75, MATCH("ExitMultiple", Simulations!$A$1:$BK$1, 0))</f>
        <v>7.962358276949292</v>
      </c>
      <c r="D75" s="2">
        <f ca="1">INDEX(Simulations!$A$1:$BK$2501, 75, MATCH("RevCAGR", Simulations!$A$1:$BK$1, 0))</f>
        <v>5.7318396646716868E-2</v>
      </c>
      <c r="E75" s="2">
        <f ca="1">INDEX(Simulations!$A$1:$BK$2501, 75, MATCH("SynMargin", Simulations!$A$1:$BK$1, 0))</f>
        <v>1.3013981511821949E-2</v>
      </c>
      <c r="F75" s="2">
        <f ca="1">INDEX(Simulations!$A$1:$BK$2501, 75, MATCH("Yr1Shock", Simulations!$A$1:$BK$1, 0))</f>
        <v>-1.0705278360673628E-2</v>
      </c>
      <c r="G75" s="2">
        <f ca="1">INDEX(Simulations!$A$1:$BK$2501, 75, MATCH("EntryEV", Simulations!$A$1:$BK$1, 0))</f>
        <v>38912760.842753276</v>
      </c>
      <c r="H75" s="2">
        <f ca="1">INDEX(Simulations!$A$1:$BK$2501, 75, MATCH("ExitEV", Simulations!$A$1:$BK$1, 0))</f>
        <v>63550611.132037751</v>
      </c>
      <c r="I75" s="2">
        <f ca="1">INDEX(Simulations!$A$1:$BK$2501, 75, MATCH("IRR", Simulations!$A$1:$BK$1, 0))</f>
        <v>0.30254520168011689</v>
      </c>
      <c r="J75" s="2">
        <f ca="1">INDEX(Simulations!$A$1:$BK$2501, 75, MATCH("NPV_12%", Simulations!$A$1:$BK$1, 0))</f>
        <v>15222244.28933752</v>
      </c>
    </row>
    <row r="76" spans="1:10" x14ac:dyDescent="0.3">
      <c r="A76" s="2">
        <f>INDEX(Simulations!$A$2:$A$2501,75)</f>
        <v>75</v>
      </c>
      <c r="B76" s="2">
        <f ca="1">INDEX(Simulations!$A$1:$BK$2501, 76, MATCH("PurchaseMultiple", Simulations!$A$1:$BK$1, 0))</f>
        <v>6.4024224072266964</v>
      </c>
      <c r="C76" s="2">
        <f ca="1">INDEX(Simulations!$A$1:$BK$2501, 76, MATCH("ExitMultiple", Simulations!$A$1:$BK$1, 0))</f>
        <v>7.8675876848827029</v>
      </c>
      <c r="D76" s="2">
        <f ca="1">INDEX(Simulations!$A$1:$BK$2501, 76, MATCH("RevCAGR", Simulations!$A$1:$BK$1, 0))</f>
        <v>7.9492242318637857E-2</v>
      </c>
      <c r="E76" s="2">
        <f ca="1">INDEX(Simulations!$A$1:$BK$2501, 76, MATCH("SynMargin", Simulations!$A$1:$BK$1, 0))</f>
        <v>4.7961526488936148E-3</v>
      </c>
      <c r="F76" s="2">
        <f ca="1">INDEX(Simulations!$A$1:$BK$2501, 76, MATCH("Yr1Shock", Simulations!$A$1:$BK$1, 0))</f>
        <v>3.5314809500233017E-2</v>
      </c>
      <c r="G76" s="2">
        <f ca="1">INDEX(Simulations!$A$1:$BK$2501, 76, MATCH("EntryEV", Simulations!$A$1:$BK$1, 0))</f>
        <v>38414534.44336018</v>
      </c>
      <c r="H76" s="2">
        <f ca="1">INDEX(Simulations!$A$1:$BK$2501, 76, MATCH("ExitEV", Simulations!$A$1:$BK$1, 0))</f>
        <v>68222401.733934671</v>
      </c>
      <c r="I76" s="2">
        <f ca="1">INDEX(Simulations!$A$1:$BK$2501, 76, MATCH("IRR", Simulations!$A$1:$BK$1, 0))</f>
        <v>0.33589039947482746</v>
      </c>
      <c r="J76" s="2">
        <f ca="1">INDEX(Simulations!$A$1:$BK$2501, 76, MATCH("NPV_12%", Simulations!$A$1:$BK$1, 0))</f>
        <v>18783972.506152198</v>
      </c>
    </row>
    <row r="77" spans="1:10" x14ac:dyDescent="0.3">
      <c r="A77" s="2">
        <f>INDEX(Simulations!$A$2:$A$2501,76)</f>
        <v>76</v>
      </c>
      <c r="B77" s="2">
        <f ca="1">INDEX(Simulations!$A$1:$BK$2501, 77, MATCH("PurchaseMultiple", Simulations!$A$1:$BK$1, 0))</f>
        <v>7.4717407275341854</v>
      </c>
      <c r="C77" s="2">
        <f ca="1">INDEX(Simulations!$A$1:$BK$2501, 77, MATCH("ExitMultiple", Simulations!$A$1:$BK$1, 0))</f>
        <v>8.1118724341704294</v>
      </c>
      <c r="D77" s="2">
        <f ca="1">INDEX(Simulations!$A$1:$BK$2501, 77, MATCH("RevCAGR", Simulations!$A$1:$BK$1, 0))</f>
        <v>4.8176719868944784E-3</v>
      </c>
      <c r="E77" s="2">
        <f ca="1">INDEX(Simulations!$A$1:$BK$2501, 77, MATCH("SynMargin", Simulations!$A$1:$BK$1, 0))</f>
        <v>5.215073843089303E-3</v>
      </c>
      <c r="F77" s="2">
        <f ca="1">INDEX(Simulations!$A$1:$BK$2501, 77, MATCH("Yr1Shock", Simulations!$A$1:$BK$1, 0))</f>
        <v>-1.5788611203947388E-2</v>
      </c>
      <c r="G77" s="2">
        <f ca="1">INDEX(Simulations!$A$1:$BK$2501, 77, MATCH("EntryEV", Simulations!$A$1:$BK$1, 0))</f>
        <v>44830444.365205109</v>
      </c>
      <c r="H77" s="2">
        <f ca="1">INDEX(Simulations!$A$1:$BK$2501, 77, MATCH("ExitEV", Simulations!$A$1:$BK$1, 0))</f>
        <v>50318144.658257917</v>
      </c>
      <c r="I77" s="2">
        <f ca="1">INDEX(Simulations!$A$1:$BK$2501, 77, MATCH("IRR", Simulations!$A$1:$BK$1, 0))</f>
        <v>0.12528285548986839</v>
      </c>
      <c r="J77" s="2">
        <f ca="1">INDEX(Simulations!$A$1:$BK$2501, 77, MATCH("NPV_12%", Simulations!$A$1:$BK$1, 0))</f>
        <v>390177.15062982962</v>
      </c>
    </row>
    <row r="78" spans="1:10" x14ac:dyDescent="0.3">
      <c r="A78" s="2">
        <f>INDEX(Simulations!$A$2:$A$2501,77)</f>
        <v>77</v>
      </c>
      <c r="B78" s="2">
        <f ca="1">INDEX(Simulations!$A$1:$BK$2501, 78, MATCH("PurchaseMultiple", Simulations!$A$1:$BK$1, 0))</f>
        <v>6.2804000609989057</v>
      </c>
      <c r="C78" s="2">
        <f ca="1">INDEX(Simulations!$A$1:$BK$2501, 78, MATCH("ExitMultiple", Simulations!$A$1:$BK$1, 0))</f>
        <v>7.0222623663501</v>
      </c>
      <c r="D78" s="2">
        <f ca="1">INDEX(Simulations!$A$1:$BK$2501, 78, MATCH("RevCAGR", Simulations!$A$1:$BK$1, 0))</f>
        <v>-8.5506922532250368E-4</v>
      </c>
      <c r="E78" s="2">
        <f ca="1">INDEX(Simulations!$A$1:$BK$2501, 78, MATCH("SynMargin", Simulations!$A$1:$BK$1, 0))</f>
        <v>1.2486552870618128E-2</v>
      </c>
      <c r="F78" s="2">
        <f ca="1">INDEX(Simulations!$A$1:$BK$2501, 78, MATCH("Yr1Shock", Simulations!$A$1:$BK$1, 0))</f>
        <v>5.5938178604463254E-3</v>
      </c>
      <c r="G78" s="2">
        <f ca="1">INDEX(Simulations!$A$1:$BK$2501, 78, MATCH("EntryEV", Simulations!$A$1:$BK$1, 0))</f>
        <v>37682400.365993433</v>
      </c>
      <c r="H78" s="2">
        <f ca="1">INDEX(Simulations!$A$1:$BK$2501, 78, MATCH("ExitEV", Simulations!$A$1:$BK$1, 0))</f>
        <v>45300092.923514791</v>
      </c>
      <c r="I78" s="2">
        <f ca="1">INDEX(Simulations!$A$1:$BK$2501, 78, MATCH("IRR", Simulations!$A$1:$BK$1, 0))</f>
        <v>0.19518981956955828</v>
      </c>
      <c r="J78" s="2">
        <f ca="1">INDEX(Simulations!$A$1:$BK$2501, 78, MATCH("NPV_12%", Simulations!$A$1:$BK$1, 0))</f>
        <v>4897662.1382181142</v>
      </c>
    </row>
    <row r="79" spans="1:10" x14ac:dyDescent="0.3">
      <c r="A79" s="2">
        <f>INDEX(Simulations!$A$2:$A$2501,78)</f>
        <v>78</v>
      </c>
      <c r="B79" s="2">
        <f ca="1">INDEX(Simulations!$A$1:$BK$2501, 79, MATCH("PurchaseMultiple", Simulations!$A$1:$BK$1, 0))</f>
        <v>7.4950027724294781</v>
      </c>
      <c r="C79" s="2">
        <f ca="1">INDEX(Simulations!$A$1:$BK$2501, 79, MATCH("ExitMultiple", Simulations!$A$1:$BK$1, 0))</f>
        <v>7.0279536201158201</v>
      </c>
      <c r="D79" s="2">
        <f ca="1">INDEX(Simulations!$A$1:$BK$2501, 79, MATCH("RevCAGR", Simulations!$A$1:$BK$1, 0))</f>
        <v>4.3616144656765304E-2</v>
      </c>
      <c r="E79" s="2">
        <f ca="1">INDEX(Simulations!$A$1:$BK$2501, 79, MATCH("SynMargin", Simulations!$A$1:$BK$1, 0))</f>
        <v>2.8194183130391803E-3</v>
      </c>
      <c r="F79" s="2">
        <f ca="1">INDEX(Simulations!$A$1:$BK$2501, 79, MATCH("Yr1Shock", Simulations!$A$1:$BK$1, 0))</f>
        <v>-1.066398196248333E-2</v>
      </c>
      <c r="G79" s="2">
        <f ca="1">INDEX(Simulations!$A$1:$BK$2501, 79, MATCH("EntryEV", Simulations!$A$1:$BK$1, 0))</f>
        <v>44970016.634576872</v>
      </c>
      <c r="H79" s="2">
        <f ca="1">INDEX(Simulations!$A$1:$BK$2501, 79, MATCH("ExitEV", Simulations!$A$1:$BK$1, 0))</f>
        <v>50300428.402017243</v>
      </c>
      <c r="I79" s="2">
        <f ca="1">INDEX(Simulations!$A$1:$BK$2501, 79, MATCH("IRR", Simulations!$A$1:$BK$1, 0))</f>
        <v>0.13378908223858454</v>
      </c>
      <c r="J79" s="2">
        <f ca="1">INDEX(Simulations!$A$1:$BK$2501, 79, MATCH("NPV_12%", Simulations!$A$1:$BK$1, 0))</f>
        <v>1031145.7295957133</v>
      </c>
    </row>
    <row r="80" spans="1:10" x14ac:dyDescent="0.3">
      <c r="A80" s="2">
        <f>INDEX(Simulations!$A$2:$A$2501,79)</f>
        <v>79</v>
      </c>
      <c r="B80" s="2">
        <f ca="1">INDEX(Simulations!$A$1:$BK$2501, 80, MATCH("PurchaseMultiple", Simulations!$A$1:$BK$1, 0))</f>
        <v>6.7085243786324522</v>
      </c>
      <c r="C80" s="2">
        <f ca="1">INDEX(Simulations!$A$1:$BK$2501, 80, MATCH("ExitMultiple", Simulations!$A$1:$BK$1, 0))</f>
        <v>7.7339558085127074</v>
      </c>
      <c r="D80" s="2">
        <f ca="1">INDEX(Simulations!$A$1:$BK$2501, 80, MATCH("RevCAGR", Simulations!$A$1:$BK$1, 0))</f>
        <v>5.3077049295546151E-2</v>
      </c>
      <c r="E80" s="2">
        <f ca="1">INDEX(Simulations!$A$1:$BK$2501, 80, MATCH("SynMargin", Simulations!$A$1:$BK$1, 0))</f>
        <v>1.2786073821174087E-2</v>
      </c>
      <c r="F80" s="2">
        <f ca="1">INDEX(Simulations!$A$1:$BK$2501, 80, MATCH("Yr1Shock", Simulations!$A$1:$BK$1, 0))</f>
        <v>-2.6973415603612275E-2</v>
      </c>
      <c r="G80" s="2">
        <f ca="1">INDEX(Simulations!$A$1:$BK$2501, 80, MATCH("EntryEV", Simulations!$A$1:$BK$1, 0))</f>
        <v>40251146.271794714</v>
      </c>
      <c r="H80" s="2">
        <f ca="1">INDEX(Simulations!$A$1:$BK$2501, 80, MATCH("ExitEV", Simulations!$A$1:$BK$1, 0))</f>
        <v>59670432.007182747</v>
      </c>
      <c r="I80" s="2">
        <f ca="1">INDEX(Simulations!$A$1:$BK$2501, 80, MATCH("IRR", Simulations!$A$1:$BK$1, 0))</f>
        <v>0.26113931917210187</v>
      </c>
      <c r="J80" s="2">
        <f ca="1">INDEX(Simulations!$A$1:$BK$2501, 80, MATCH("NPV_12%", Simulations!$A$1:$BK$1, 0))</f>
        <v>11454983.651966512</v>
      </c>
    </row>
    <row r="81" spans="1:10" x14ac:dyDescent="0.3">
      <c r="A81" s="2">
        <f>INDEX(Simulations!$A$2:$A$2501,80)</f>
        <v>80</v>
      </c>
      <c r="B81" s="2">
        <f ca="1">INDEX(Simulations!$A$1:$BK$2501, 81, MATCH("PurchaseMultiple", Simulations!$A$1:$BK$1, 0))</f>
        <v>6.7527554550756657</v>
      </c>
      <c r="C81" s="2">
        <f ca="1">INDEX(Simulations!$A$1:$BK$2501, 81, MATCH("ExitMultiple", Simulations!$A$1:$BK$1, 0))</f>
        <v>7.0503718554539807</v>
      </c>
      <c r="D81" s="2">
        <f ca="1">INDEX(Simulations!$A$1:$BK$2501, 81, MATCH("RevCAGR", Simulations!$A$1:$BK$1, 0))</f>
        <v>2.9381855404990623E-2</v>
      </c>
      <c r="E81" s="2">
        <f ca="1">INDEX(Simulations!$A$1:$BK$2501, 81, MATCH("SynMargin", Simulations!$A$1:$BK$1, 0))</f>
        <v>4.1416964227114139E-3</v>
      </c>
      <c r="F81" s="2">
        <f ca="1">INDEX(Simulations!$A$1:$BK$2501, 81, MATCH("Yr1Shock", Simulations!$A$1:$BK$1, 0))</f>
        <v>0.05</v>
      </c>
      <c r="G81" s="2">
        <f ca="1">INDEX(Simulations!$A$1:$BK$2501, 81, MATCH("EntryEV", Simulations!$A$1:$BK$1, 0))</f>
        <v>40516532.73045399</v>
      </c>
      <c r="H81" s="2">
        <f ca="1">INDEX(Simulations!$A$1:$BK$2501, 81, MATCH("ExitEV", Simulations!$A$1:$BK$1, 0))</f>
        <v>51077116.748004667</v>
      </c>
      <c r="I81" s="2">
        <f ca="1">INDEX(Simulations!$A$1:$BK$2501, 81, MATCH("IRR", Simulations!$A$1:$BK$1, 0))</f>
        <v>0.2045230513342331</v>
      </c>
      <c r="J81" s="2">
        <f ca="1">INDEX(Simulations!$A$1:$BK$2501, 81, MATCH("NPV_12%", Simulations!$A$1:$BK$1, 0))</f>
        <v>6163739.0665634722</v>
      </c>
    </row>
    <row r="82" spans="1:10" x14ac:dyDescent="0.3">
      <c r="A82" s="2">
        <f>INDEX(Simulations!$A$2:$A$2501,81)</f>
        <v>81</v>
      </c>
      <c r="B82" s="2">
        <f ca="1">INDEX(Simulations!$A$1:$BK$2501, 82, MATCH("PurchaseMultiple", Simulations!$A$1:$BK$1, 0))</f>
        <v>7.4296980473326979</v>
      </c>
      <c r="C82" s="2">
        <f ca="1">INDEX(Simulations!$A$1:$BK$2501, 82, MATCH("ExitMultiple", Simulations!$A$1:$BK$1, 0))</f>
        <v>7.1650411443744275</v>
      </c>
      <c r="D82" s="2">
        <f ca="1">INDEX(Simulations!$A$1:$BK$2501, 82, MATCH("RevCAGR", Simulations!$A$1:$BK$1, 0))</f>
        <v>8.4897378014889655E-2</v>
      </c>
      <c r="E82" s="2">
        <f ca="1">INDEX(Simulations!$A$1:$BK$2501, 82, MATCH("SynMargin", Simulations!$A$1:$BK$1, 0))</f>
        <v>5.0010577530460064E-3</v>
      </c>
      <c r="F82" s="2">
        <f ca="1">INDEX(Simulations!$A$1:$BK$2501, 82, MATCH("Yr1Shock", Simulations!$A$1:$BK$1, 0))</f>
        <v>7.3759410905572869E-3</v>
      </c>
      <c r="G82" s="2">
        <f ca="1">INDEX(Simulations!$A$1:$BK$2501, 82, MATCH("EntryEV", Simulations!$A$1:$BK$1, 0))</f>
        <v>44578188.283996187</v>
      </c>
      <c r="H82" s="2">
        <f ca="1">INDEX(Simulations!$A$1:$BK$2501, 82, MATCH("ExitEV", Simulations!$A$1:$BK$1, 0))</f>
        <v>61745379.918342084</v>
      </c>
      <c r="I82" s="2">
        <f ca="1">INDEX(Simulations!$A$1:$BK$2501, 82, MATCH("IRR", Simulations!$A$1:$BK$1, 0))</f>
        <v>0.22730017102850297</v>
      </c>
      <c r="J82" s="2">
        <f ca="1">INDEX(Simulations!$A$1:$BK$2501, 82, MATCH("NPV_12%", Simulations!$A$1:$BK$1, 0))</f>
        <v>9303874.1046872549</v>
      </c>
    </row>
    <row r="83" spans="1:10" x14ac:dyDescent="0.3">
      <c r="A83" s="2">
        <f>INDEX(Simulations!$A$2:$A$2501,82)</f>
        <v>82</v>
      </c>
      <c r="B83" s="2">
        <f ca="1">INDEX(Simulations!$A$1:$BK$2501, 83, MATCH("PurchaseMultiple", Simulations!$A$1:$BK$1, 0))</f>
        <v>6.9456988204339023</v>
      </c>
      <c r="C83" s="2">
        <f ca="1">INDEX(Simulations!$A$1:$BK$2501, 83, MATCH("ExitMultiple", Simulations!$A$1:$BK$1, 0))</f>
        <v>7.1793616459859955</v>
      </c>
      <c r="D83" s="2">
        <f ca="1">INDEX(Simulations!$A$1:$BK$2501, 83, MATCH("RevCAGR", Simulations!$A$1:$BK$1, 0))</f>
        <v>4.6304568390425987E-2</v>
      </c>
      <c r="E83" s="2">
        <f ca="1">INDEX(Simulations!$A$1:$BK$2501, 83, MATCH("SynMargin", Simulations!$A$1:$BK$1, 0))</f>
        <v>7.1066812281442848E-3</v>
      </c>
      <c r="F83" s="2">
        <f ca="1">INDEX(Simulations!$A$1:$BK$2501, 83, MATCH("Yr1Shock", Simulations!$A$1:$BK$1, 0))</f>
        <v>4.5550835342202892E-3</v>
      </c>
      <c r="G83" s="2">
        <f ca="1">INDEX(Simulations!$A$1:$BK$2501, 83, MATCH("EntryEV", Simulations!$A$1:$BK$1, 0))</f>
        <v>41674192.922603413</v>
      </c>
      <c r="H83" s="2">
        <f ca="1">INDEX(Simulations!$A$1:$BK$2501, 83, MATCH("ExitEV", Simulations!$A$1:$BK$1, 0))</f>
        <v>54011233.949024111</v>
      </c>
      <c r="I83" s="2">
        <f ca="1">INDEX(Simulations!$A$1:$BK$2501, 83, MATCH("IRR", Simulations!$A$1:$BK$1, 0))</f>
        <v>0.20836198028477315</v>
      </c>
      <c r="J83" s="2">
        <f ca="1">INDEX(Simulations!$A$1:$BK$2501, 83, MATCH("NPV_12%", Simulations!$A$1:$BK$1, 0))</f>
        <v>6789565.1358131431</v>
      </c>
    </row>
    <row r="84" spans="1:10" x14ac:dyDescent="0.3">
      <c r="A84" s="2">
        <f>INDEX(Simulations!$A$2:$A$2501,83)</f>
        <v>83</v>
      </c>
      <c r="B84" s="2">
        <f ca="1">INDEX(Simulations!$A$1:$BK$2501, 84, MATCH("PurchaseMultiple", Simulations!$A$1:$BK$1, 0))</f>
        <v>6.8421227723270182</v>
      </c>
      <c r="C84" s="2">
        <f ca="1">INDEX(Simulations!$A$1:$BK$2501, 84, MATCH("ExitMultiple", Simulations!$A$1:$BK$1, 0))</f>
        <v>7.4827901954059</v>
      </c>
      <c r="D84" s="2">
        <f ca="1">INDEX(Simulations!$A$1:$BK$2501, 84, MATCH("RevCAGR", Simulations!$A$1:$BK$1, 0))</f>
        <v>6.5110358747491173E-2</v>
      </c>
      <c r="E84" s="2">
        <f ca="1">INDEX(Simulations!$A$1:$BK$2501, 84, MATCH("SynMargin", Simulations!$A$1:$BK$1, 0))</f>
        <v>1.7055308009315446E-2</v>
      </c>
      <c r="F84" s="2">
        <f ca="1">INDEX(Simulations!$A$1:$BK$2501, 84, MATCH("Yr1Shock", Simulations!$A$1:$BK$1, 0))</f>
        <v>9.462257515871665E-4</v>
      </c>
      <c r="G84" s="2">
        <f ca="1">INDEX(Simulations!$A$1:$BK$2501, 84, MATCH("EntryEV", Simulations!$A$1:$BK$1, 0))</f>
        <v>41052736.63396211</v>
      </c>
      <c r="H84" s="2">
        <f ca="1">INDEX(Simulations!$A$1:$BK$2501, 84, MATCH("ExitEV", Simulations!$A$1:$BK$1, 0))</f>
        <v>63590904.887380645</v>
      </c>
      <c r="I84" s="2">
        <f ca="1">INDEX(Simulations!$A$1:$BK$2501, 84, MATCH("IRR", Simulations!$A$1:$BK$1, 0))</f>
        <v>0.28524380366039259</v>
      </c>
      <c r="J84" s="2">
        <f ca="1">INDEX(Simulations!$A$1:$BK$2501, 84, MATCH("NPV_12%", Simulations!$A$1:$BK$1, 0))</f>
        <v>14094704.881158382</v>
      </c>
    </row>
    <row r="85" spans="1:10" x14ac:dyDescent="0.3">
      <c r="A85" s="2">
        <f>INDEX(Simulations!$A$2:$A$2501,84)</f>
        <v>84</v>
      </c>
      <c r="B85" s="2">
        <f ca="1">INDEX(Simulations!$A$1:$BK$2501, 85, MATCH("PurchaseMultiple", Simulations!$A$1:$BK$1, 0))</f>
        <v>7.6306368453696489</v>
      </c>
      <c r="C85" s="2">
        <f ca="1">INDEX(Simulations!$A$1:$BK$2501, 85, MATCH("ExitMultiple", Simulations!$A$1:$BK$1, 0))</f>
        <v>7.1864141668479773</v>
      </c>
      <c r="D85" s="2">
        <f ca="1">INDEX(Simulations!$A$1:$BK$2501, 85, MATCH("RevCAGR", Simulations!$A$1:$BK$1, 0))</f>
        <v>-1.8878882682594217E-2</v>
      </c>
      <c r="E85" s="2">
        <f ca="1">INDEX(Simulations!$A$1:$BK$2501, 85, MATCH("SynMargin", Simulations!$A$1:$BK$1, 0))</f>
        <v>3.5975069647132644E-3</v>
      </c>
      <c r="F85" s="2">
        <f ca="1">INDEX(Simulations!$A$1:$BK$2501, 85, MATCH("Yr1Shock", Simulations!$A$1:$BK$1, 0))</f>
        <v>1.2612398764694928E-2</v>
      </c>
      <c r="G85" s="2">
        <f ca="1">INDEX(Simulations!$A$1:$BK$2501, 85, MATCH("EntryEV", Simulations!$A$1:$BK$1, 0))</f>
        <v>45783821.072217897</v>
      </c>
      <c r="H85" s="2">
        <f ca="1">INDEX(Simulations!$A$1:$BK$2501, 85, MATCH("ExitEV", Simulations!$A$1:$BK$1, 0))</f>
        <v>41306346.49287305</v>
      </c>
      <c r="I85" s="2">
        <f ca="1">INDEX(Simulations!$A$1:$BK$2501, 85, MATCH("IRR", Simulations!$A$1:$BK$1, 0))</f>
        <v>2.7685111739874202E-2</v>
      </c>
      <c r="J85" s="2">
        <f ca="1">INDEX(Simulations!$A$1:$BK$2501, 85, MATCH("NPV_12%", Simulations!$A$1:$BK$1, 0))</f>
        <v>-5804725.2295024097</v>
      </c>
    </row>
    <row r="86" spans="1:10" x14ac:dyDescent="0.3">
      <c r="A86" s="2">
        <f>INDEX(Simulations!$A$2:$A$2501,85)</f>
        <v>85</v>
      </c>
      <c r="B86" s="2">
        <f ca="1">INDEX(Simulations!$A$1:$BK$2501, 86, MATCH("PurchaseMultiple", Simulations!$A$1:$BK$1, 0))</f>
        <v>7.4372549954806217</v>
      </c>
      <c r="C86" s="2">
        <f ca="1">INDEX(Simulations!$A$1:$BK$2501, 86, MATCH("ExitMultiple", Simulations!$A$1:$BK$1, 0))</f>
        <v>8.0446743038833617</v>
      </c>
      <c r="D86" s="2">
        <f ca="1">INDEX(Simulations!$A$1:$BK$2501, 86, MATCH("RevCAGR", Simulations!$A$1:$BK$1, 0))</f>
        <v>3.6892413403505055E-2</v>
      </c>
      <c r="E86" s="2">
        <f ca="1">INDEX(Simulations!$A$1:$BK$2501, 86, MATCH("SynMargin", Simulations!$A$1:$BK$1, 0))</f>
        <v>4.0690758145355208E-3</v>
      </c>
      <c r="F86" s="2">
        <f ca="1">INDEX(Simulations!$A$1:$BK$2501, 86, MATCH("Yr1Shock", Simulations!$A$1:$BK$1, 0))</f>
        <v>3.210593595361684E-2</v>
      </c>
      <c r="G86" s="2">
        <f ca="1">INDEX(Simulations!$A$1:$BK$2501, 86, MATCH("EntryEV", Simulations!$A$1:$BK$1, 0))</f>
        <v>44623529.972883731</v>
      </c>
      <c r="H86" s="2">
        <f ca="1">INDEX(Simulations!$A$1:$BK$2501, 86, MATCH("ExitEV", Simulations!$A$1:$BK$1, 0))</f>
        <v>58953130.583293796</v>
      </c>
      <c r="I86" s="2">
        <f ca="1">INDEX(Simulations!$A$1:$BK$2501, 86, MATCH("IRR", Simulations!$A$1:$BK$1, 0))</f>
        <v>0.20106310574133746</v>
      </c>
      <c r="J86" s="2">
        <f ca="1">INDEX(Simulations!$A$1:$BK$2501, 86, MATCH("NPV_12%", Simulations!$A$1:$BK$1, 0))</f>
        <v>6732971.6822093576</v>
      </c>
    </row>
    <row r="87" spans="1:10" x14ac:dyDescent="0.3">
      <c r="A87" s="2">
        <f>INDEX(Simulations!$A$2:$A$2501,86)</f>
        <v>86</v>
      </c>
      <c r="B87" s="2">
        <f ca="1">INDEX(Simulations!$A$1:$BK$2501, 87, MATCH("PurchaseMultiple", Simulations!$A$1:$BK$1, 0))</f>
        <v>7.6174882118227139</v>
      </c>
      <c r="C87" s="2">
        <f ca="1">INDEX(Simulations!$A$1:$BK$2501, 87, MATCH("ExitMultiple", Simulations!$A$1:$BK$1, 0))</f>
        <v>7.9013940498651936</v>
      </c>
      <c r="D87" s="2">
        <f ca="1">INDEX(Simulations!$A$1:$BK$2501, 87, MATCH("RevCAGR", Simulations!$A$1:$BK$1, 0))</f>
        <v>2.6839169392421536E-2</v>
      </c>
      <c r="E87" s="2">
        <f ca="1">INDEX(Simulations!$A$1:$BK$2501, 87, MATCH("SynMargin", Simulations!$A$1:$BK$1, 0))</f>
        <v>1.4280812669857697E-2</v>
      </c>
      <c r="F87" s="2">
        <f ca="1">INDEX(Simulations!$A$1:$BK$2501, 87, MATCH("Yr1Shock", Simulations!$A$1:$BK$1, 0))</f>
        <v>2.2513448407163822E-2</v>
      </c>
      <c r="G87" s="2">
        <f ca="1">INDEX(Simulations!$A$1:$BK$2501, 87, MATCH("EntryEV", Simulations!$A$1:$BK$1, 0))</f>
        <v>45704929.27093628</v>
      </c>
      <c r="H87" s="2">
        <f ca="1">INDEX(Simulations!$A$1:$BK$2501, 87, MATCH("ExitEV", Simulations!$A$1:$BK$1, 0))</f>
        <v>58382723.5141358</v>
      </c>
      <c r="I87" s="2">
        <f ca="1">INDEX(Simulations!$A$1:$BK$2501, 87, MATCH("IRR", Simulations!$A$1:$BK$1, 0))</f>
        <v>0.19225405813605434</v>
      </c>
      <c r="J87" s="2">
        <f ca="1">INDEX(Simulations!$A$1:$BK$2501, 87, MATCH("NPV_12%", Simulations!$A$1:$BK$1, 0))</f>
        <v>5995581.6954975761</v>
      </c>
    </row>
    <row r="88" spans="1:10" x14ac:dyDescent="0.3">
      <c r="A88" s="2">
        <f>INDEX(Simulations!$A$2:$A$2501,87)</f>
        <v>87</v>
      </c>
      <c r="B88" s="2">
        <f ca="1">INDEX(Simulations!$A$1:$BK$2501, 88, MATCH("PurchaseMultiple", Simulations!$A$1:$BK$1, 0))</f>
        <v>6.5452563383219617</v>
      </c>
      <c r="C88" s="2">
        <f ca="1">INDEX(Simulations!$A$1:$BK$2501, 88, MATCH("ExitMultiple", Simulations!$A$1:$BK$1, 0))</f>
        <v>7.3199660733494598</v>
      </c>
      <c r="D88" s="2">
        <f ca="1">INDEX(Simulations!$A$1:$BK$2501, 88, MATCH("RevCAGR", Simulations!$A$1:$BK$1, 0))</f>
        <v>9.6451926829377921E-2</v>
      </c>
      <c r="E88" s="2">
        <f ca="1">INDEX(Simulations!$A$1:$BK$2501, 88, MATCH("SynMargin", Simulations!$A$1:$BK$1, 0))</f>
        <v>1.3021066609897739E-2</v>
      </c>
      <c r="F88" s="2">
        <f ca="1">INDEX(Simulations!$A$1:$BK$2501, 88, MATCH("Yr1Shock", Simulations!$A$1:$BK$1, 0))</f>
        <v>-1.5273876717222723E-2</v>
      </c>
      <c r="G88" s="2">
        <f ca="1">INDEX(Simulations!$A$1:$BK$2501, 88, MATCH("EntryEV", Simulations!$A$1:$BK$1, 0))</f>
        <v>39271538.029931769</v>
      </c>
      <c r="H88" s="2">
        <f ca="1">INDEX(Simulations!$A$1:$BK$2501, 88, MATCH("ExitEV", Simulations!$A$1:$BK$1, 0))</f>
        <v>67255647.696544707</v>
      </c>
      <c r="I88" s="2">
        <f ca="1">INDEX(Simulations!$A$1:$BK$2501, 88, MATCH("IRR", Simulations!$A$1:$BK$1, 0))</f>
        <v>0.3254304129446961</v>
      </c>
      <c r="J88" s="2">
        <f ca="1">INDEX(Simulations!$A$1:$BK$2501, 88, MATCH("NPV_12%", Simulations!$A$1:$BK$1, 0))</f>
        <v>17967731.58348193</v>
      </c>
    </row>
    <row r="89" spans="1:10" x14ac:dyDescent="0.3">
      <c r="A89" s="2">
        <f>INDEX(Simulations!$A$2:$A$2501,88)</f>
        <v>88</v>
      </c>
      <c r="B89" s="2">
        <f ca="1">INDEX(Simulations!$A$1:$BK$2501, 89, MATCH("PurchaseMultiple", Simulations!$A$1:$BK$1, 0))</f>
        <v>7.503817158606271</v>
      </c>
      <c r="C89" s="2">
        <f ca="1">INDEX(Simulations!$A$1:$BK$2501, 89, MATCH("ExitMultiple", Simulations!$A$1:$BK$1, 0))</f>
        <v>6.9652750704537212</v>
      </c>
      <c r="D89" s="2">
        <f ca="1">INDEX(Simulations!$A$1:$BK$2501, 89, MATCH("RevCAGR", Simulations!$A$1:$BK$1, 0))</f>
        <v>2.4757246040616993E-2</v>
      </c>
      <c r="E89" s="2">
        <f ca="1">INDEX(Simulations!$A$1:$BK$2501, 89, MATCH("SynMargin", Simulations!$A$1:$BK$1, 0))</f>
        <v>7.8733822575247549E-3</v>
      </c>
      <c r="F89" s="2">
        <f ca="1">INDEX(Simulations!$A$1:$BK$2501, 89, MATCH("Yr1Shock", Simulations!$A$1:$BK$1, 0))</f>
        <v>-9.8516119939357528E-3</v>
      </c>
      <c r="G89" s="2">
        <f ca="1">INDEX(Simulations!$A$1:$BK$2501, 89, MATCH("EntryEV", Simulations!$A$1:$BK$1, 0))</f>
        <v>45022902.951637626</v>
      </c>
      <c r="H89" s="2">
        <f ca="1">INDEX(Simulations!$A$1:$BK$2501, 89, MATCH("ExitEV", Simulations!$A$1:$BK$1, 0))</f>
        <v>47728261.387806609</v>
      </c>
      <c r="I89" s="2">
        <f ca="1">INDEX(Simulations!$A$1:$BK$2501, 89, MATCH("IRR", Simulations!$A$1:$BK$1, 0))</f>
        <v>0.11395432245071802</v>
      </c>
      <c r="J89" s="2">
        <f ca="1">INDEX(Simulations!$A$1:$BK$2501, 89, MATCH("NPV_12%", Simulations!$A$1:$BK$1, 0))</f>
        <v>-432951.50219522789</v>
      </c>
    </row>
    <row r="90" spans="1:10" x14ac:dyDescent="0.3">
      <c r="A90" s="2">
        <f>INDEX(Simulations!$A$2:$A$2501,89)</f>
        <v>89</v>
      </c>
      <c r="B90" s="2">
        <f ca="1">INDEX(Simulations!$A$1:$BK$2501, 90, MATCH("PurchaseMultiple", Simulations!$A$1:$BK$1, 0))</f>
        <v>7.3513705472213324</v>
      </c>
      <c r="C90" s="2">
        <f ca="1">INDEX(Simulations!$A$1:$BK$2501, 90, MATCH("ExitMultiple", Simulations!$A$1:$BK$1, 0))</f>
        <v>7.1847881264338342</v>
      </c>
      <c r="D90" s="2">
        <f ca="1">INDEX(Simulations!$A$1:$BK$2501, 90, MATCH("RevCAGR", Simulations!$A$1:$BK$1, 0))</f>
        <v>-1.2237940745685655E-2</v>
      </c>
      <c r="E90" s="2">
        <f ca="1">INDEX(Simulations!$A$1:$BK$2501, 90, MATCH("SynMargin", Simulations!$A$1:$BK$1, 0))</f>
        <v>1.3533253561949872E-2</v>
      </c>
      <c r="F90" s="2">
        <f ca="1">INDEX(Simulations!$A$1:$BK$2501, 90, MATCH("Yr1Shock", Simulations!$A$1:$BK$1, 0))</f>
        <v>-2.7109971484631972E-3</v>
      </c>
      <c r="G90" s="2">
        <f ca="1">INDEX(Simulations!$A$1:$BK$2501, 90, MATCH("EntryEV", Simulations!$A$1:$BK$1, 0))</f>
        <v>44108223.283327997</v>
      </c>
      <c r="H90" s="2">
        <f ca="1">INDEX(Simulations!$A$1:$BK$2501, 90, MATCH("ExitEV", Simulations!$A$1:$BK$1, 0))</f>
        <v>44156485.945798405</v>
      </c>
      <c r="I90" s="2">
        <f ca="1">INDEX(Simulations!$A$1:$BK$2501, 90, MATCH("IRR", Simulations!$A$1:$BK$1, 0))</f>
        <v>9.1340213191771324E-2</v>
      </c>
      <c r="J90" s="2">
        <f ca="1">INDEX(Simulations!$A$1:$BK$2501, 90, MATCH("NPV_12%", Simulations!$A$1:$BK$1, 0))</f>
        <v>-1902284.0918836333</v>
      </c>
    </row>
    <row r="91" spans="1:10" x14ac:dyDescent="0.3">
      <c r="A91" s="2">
        <f>INDEX(Simulations!$A$2:$A$2501,90)</f>
        <v>90</v>
      </c>
      <c r="B91" s="2">
        <f ca="1">INDEX(Simulations!$A$1:$BK$2501, 91, MATCH("PurchaseMultiple", Simulations!$A$1:$BK$1, 0))</f>
        <v>7.001998336339442</v>
      </c>
      <c r="C91" s="2">
        <f ca="1">INDEX(Simulations!$A$1:$BK$2501, 91, MATCH("ExitMultiple", Simulations!$A$1:$BK$1, 0))</f>
        <v>7.6483846163742548</v>
      </c>
      <c r="D91" s="2">
        <f ca="1">INDEX(Simulations!$A$1:$BK$2501, 91, MATCH("RevCAGR", Simulations!$A$1:$BK$1, 0))</f>
        <v>2.6148428390685589E-2</v>
      </c>
      <c r="E91" s="2">
        <f ca="1">INDEX(Simulations!$A$1:$BK$2501, 91, MATCH("SynMargin", Simulations!$A$1:$BK$1, 0))</f>
        <v>6.4250184356298926E-3</v>
      </c>
      <c r="F91" s="2">
        <f ca="1">INDEX(Simulations!$A$1:$BK$2501, 91, MATCH("Yr1Shock", Simulations!$A$1:$BK$1, 0))</f>
        <v>-8.4072241541475069E-3</v>
      </c>
      <c r="G91" s="2">
        <f ca="1">INDEX(Simulations!$A$1:$BK$2501, 91, MATCH("EntryEV", Simulations!$A$1:$BK$1, 0))</f>
        <v>42011990.018036649</v>
      </c>
      <c r="H91" s="2">
        <f ca="1">INDEX(Simulations!$A$1:$BK$2501, 91, MATCH("ExitEV", Simulations!$A$1:$BK$1, 0))</f>
        <v>52344914.003914051</v>
      </c>
      <c r="I91" s="2">
        <f ca="1">INDEX(Simulations!$A$1:$BK$2501, 91, MATCH("IRR", Simulations!$A$1:$BK$1, 0))</f>
        <v>0.18395309734241194</v>
      </c>
      <c r="J91" s="2">
        <f ca="1">INDEX(Simulations!$A$1:$BK$2501, 91, MATCH("NPV_12%", Simulations!$A$1:$BK$1, 0))</f>
        <v>4796971.9059404209</v>
      </c>
    </row>
    <row r="92" spans="1:10" x14ac:dyDescent="0.3">
      <c r="A92" s="2">
        <f>INDEX(Simulations!$A$2:$A$2501,91)</f>
        <v>91</v>
      </c>
      <c r="B92" s="2">
        <f ca="1">INDEX(Simulations!$A$1:$BK$2501, 92, MATCH("PurchaseMultiple", Simulations!$A$1:$BK$1, 0))</f>
        <v>6.9263381153582149</v>
      </c>
      <c r="C92" s="2">
        <f ca="1">INDEX(Simulations!$A$1:$BK$2501, 92, MATCH("ExitMultiple", Simulations!$A$1:$BK$1, 0))</f>
        <v>7.1610328297052437</v>
      </c>
      <c r="D92" s="2">
        <f ca="1">INDEX(Simulations!$A$1:$BK$2501, 92, MATCH("RevCAGR", Simulations!$A$1:$BK$1, 0))</f>
        <v>6.4983714631823883E-2</v>
      </c>
      <c r="E92" s="2">
        <f ca="1">INDEX(Simulations!$A$1:$BK$2501, 92, MATCH("SynMargin", Simulations!$A$1:$BK$1, 0))</f>
        <v>1.2707988612311833E-2</v>
      </c>
      <c r="F92" s="2">
        <f ca="1">INDEX(Simulations!$A$1:$BK$2501, 92, MATCH("Yr1Shock", Simulations!$A$1:$BK$1, 0))</f>
        <v>-2.789544561385052E-2</v>
      </c>
      <c r="G92" s="2">
        <f ca="1">INDEX(Simulations!$A$1:$BK$2501, 92, MATCH("EntryEV", Simulations!$A$1:$BK$1, 0))</f>
        <v>41558028.692149289</v>
      </c>
      <c r="H92" s="2">
        <f ca="1">INDEX(Simulations!$A$1:$BK$2501, 92, MATCH("ExitEV", Simulations!$A$1:$BK$1, 0))</f>
        <v>57712326.17493894</v>
      </c>
      <c r="I92" s="2">
        <f ca="1">INDEX(Simulations!$A$1:$BK$2501, 92, MATCH("IRR", Simulations!$A$1:$BK$1, 0))</f>
        <v>0.23744888882078019</v>
      </c>
      <c r="J92" s="2">
        <f ca="1">INDEX(Simulations!$A$1:$BK$2501, 92, MATCH("NPV_12%", Simulations!$A$1:$BK$1, 0))</f>
        <v>9470220.9008743577</v>
      </c>
    </row>
    <row r="93" spans="1:10" x14ac:dyDescent="0.3">
      <c r="A93" s="2">
        <f>INDEX(Simulations!$A$2:$A$2501,92)</f>
        <v>92</v>
      </c>
      <c r="B93" s="2">
        <f ca="1">INDEX(Simulations!$A$1:$BK$2501, 93, MATCH("PurchaseMultiple", Simulations!$A$1:$BK$1, 0))</f>
        <v>6.7205563547226248</v>
      </c>
      <c r="C93" s="2">
        <f ca="1">INDEX(Simulations!$A$1:$BK$2501, 93, MATCH("ExitMultiple", Simulations!$A$1:$BK$1, 0))</f>
        <v>7.4764287256591162</v>
      </c>
      <c r="D93" s="2">
        <f ca="1">INDEX(Simulations!$A$1:$BK$2501, 93, MATCH("RevCAGR", Simulations!$A$1:$BK$1, 0))</f>
        <v>6.9690836084316171E-2</v>
      </c>
      <c r="E93" s="2">
        <f ca="1">INDEX(Simulations!$A$1:$BK$2501, 93, MATCH("SynMargin", Simulations!$A$1:$BK$1, 0))</f>
        <v>1.0759981824113397E-2</v>
      </c>
      <c r="F93" s="2">
        <f ca="1">INDEX(Simulations!$A$1:$BK$2501, 93, MATCH("Yr1Shock", Simulations!$A$1:$BK$1, 0))</f>
        <v>-4.3034665107591644E-2</v>
      </c>
      <c r="G93" s="2">
        <f ca="1">INDEX(Simulations!$A$1:$BK$2501, 93, MATCH("EntryEV", Simulations!$A$1:$BK$1, 0))</f>
        <v>40323338.128335752</v>
      </c>
      <c r="H93" s="2">
        <f ca="1">INDEX(Simulations!$A$1:$BK$2501, 93, MATCH("ExitEV", Simulations!$A$1:$BK$1, 0))</f>
        <v>59732767.437846646</v>
      </c>
      <c r="I93" s="2">
        <f ca="1">INDEX(Simulations!$A$1:$BK$2501, 93, MATCH("IRR", Simulations!$A$1:$BK$1, 0))</f>
        <v>0.25978269923012642</v>
      </c>
      <c r="J93" s="2">
        <f ca="1">INDEX(Simulations!$A$1:$BK$2501, 93, MATCH("NPV_12%", Simulations!$A$1:$BK$1, 0))</f>
        <v>11412125.742401898</v>
      </c>
    </row>
    <row r="94" spans="1:10" x14ac:dyDescent="0.3">
      <c r="A94" s="2">
        <f>INDEX(Simulations!$A$2:$A$2501,93)</f>
        <v>93</v>
      </c>
      <c r="B94" s="2">
        <f ca="1">INDEX(Simulations!$A$1:$BK$2501, 94, MATCH("PurchaseMultiple", Simulations!$A$1:$BK$1, 0))</f>
        <v>7.0439925785682949</v>
      </c>
      <c r="C94" s="2">
        <f ca="1">INDEX(Simulations!$A$1:$BK$2501, 94, MATCH("ExitMultiple", Simulations!$A$1:$BK$1, 0))</f>
        <v>7.0459402582207389</v>
      </c>
      <c r="D94" s="2">
        <f ca="1">INDEX(Simulations!$A$1:$BK$2501, 94, MATCH("RevCAGR", Simulations!$A$1:$BK$1, 0))</f>
        <v>2.3934962325737316E-2</v>
      </c>
      <c r="E94" s="2">
        <f ca="1">INDEX(Simulations!$A$1:$BK$2501, 94, MATCH("SynMargin", Simulations!$A$1:$BK$1, 0))</f>
        <v>3.6938562232748627E-3</v>
      </c>
      <c r="F94" s="2">
        <f ca="1">INDEX(Simulations!$A$1:$BK$2501, 94, MATCH("Yr1Shock", Simulations!$A$1:$BK$1, 0))</f>
        <v>-1.632522640313085E-2</v>
      </c>
      <c r="G94" s="2">
        <f ca="1">INDEX(Simulations!$A$1:$BK$2501, 94, MATCH("EntryEV", Simulations!$A$1:$BK$1, 0))</f>
        <v>42263955.471409768</v>
      </c>
      <c r="H94" s="2">
        <f ca="1">INDEX(Simulations!$A$1:$BK$2501, 94, MATCH("ExitEV", Simulations!$A$1:$BK$1, 0))</f>
        <v>46697087.345949903</v>
      </c>
      <c r="I94" s="2">
        <f ca="1">INDEX(Simulations!$A$1:$BK$2501, 94, MATCH("IRR", Simulations!$A$1:$BK$1, 0))</f>
        <v>0.13464365432674197</v>
      </c>
      <c r="J94" s="2">
        <f ca="1">INDEX(Simulations!$A$1:$BK$2501, 94, MATCH("NPV_12%", Simulations!$A$1:$BK$1, 0))</f>
        <v>1014940.2428198233</v>
      </c>
    </row>
    <row r="95" spans="1:10" x14ac:dyDescent="0.3">
      <c r="A95" s="2">
        <f>INDEX(Simulations!$A$2:$A$2501,94)</f>
        <v>94</v>
      </c>
      <c r="B95" s="2">
        <f ca="1">INDEX(Simulations!$A$1:$BK$2501, 95, MATCH("PurchaseMultiple", Simulations!$A$1:$BK$1, 0))</f>
        <v>6.5963525278952559</v>
      </c>
      <c r="C95" s="2">
        <f ca="1">INDEX(Simulations!$A$1:$BK$2501, 95, MATCH("ExitMultiple", Simulations!$A$1:$BK$1, 0))</f>
        <v>7.1864043322255506</v>
      </c>
      <c r="D95" s="2">
        <f ca="1">INDEX(Simulations!$A$1:$BK$2501, 95, MATCH("RevCAGR", Simulations!$A$1:$BK$1, 0))</f>
        <v>2.1046832164365894E-2</v>
      </c>
      <c r="E95" s="2">
        <f ca="1">INDEX(Simulations!$A$1:$BK$2501, 95, MATCH("SynMargin", Simulations!$A$1:$BK$1, 0))</f>
        <v>7.4650180182580152E-3</v>
      </c>
      <c r="F95" s="2">
        <f ca="1">INDEX(Simulations!$A$1:$BK$2501, 95, MATCH("Yr1Shock", Simulations!$A$1:$BK$1, 0))</f>
        <v>-2.6671103072792367E-2</v>
      </c>
      <c r="G95" s="2">
        <f ca="1">INDEX(Simulations!$A$1:$BK$2501, 95, MATCH("EntryEV", Simulations!$A$1:$BK$1, 0))</f>
        <v>39578115.167371534</v>
      </c>
      <c r="H95" s="2">
        <f ca="1">INDEX(Simulations!$A$1:$BK$2501, 95, MATCH("ExitEV", Simulations!$A$1:$BK$1, 0))</f>
        <v>47601072.420475632</v>
      </c>
      <c r="I95" s="2">
        <f ca="1">INDEX(Simulations!$A$1:$BK$2501, 95, MATCH("IRR", Simulations!$A$1:$BK$1, 0))</f>
        <v>0.17916744668807372</v>
      </c>
      <c r="J95" s="2">
        <f ca="1">INDEX(Simulations!$A$1:$BK$2501, 95, MATCH("NPV_12%", Simulations!$A$1:$BK$1, 0))</f>
        <v>4077656.4652965851</v>
      </c>
    </row>
    <row r="96" spans="1:10" x14ac:dyDescent="0.3">
      <c r="A96" s="2">
        <f>INDEX(Simulations!$A$2:$A$2501,95)</f>
        <v>95</v>
      </c>
      <c r="B96" s="2">
        <f ca="1">INDEX(Simulations!$A$1:$BK$2501, 96, MATCH("PurchaseMultiple", Simulations!$A$1:$BK$1, 0))</f>
        <v>6.9984837936565798</v>
      </c>
      <c r="C96" s="2">
        <f ca="1">INDEX(Simulations!$A$1:$BK$2501, 96, MATCH("ExitMultiple", Simulations!$A$1:$BK$1, 0))</f>
        <v>7.9341619286034062</v>
      </c>
      <c r="D96" s="2">
        <f ca="1">INDEX(Simulations!$A$1:$BK$2501, 96, MATCH("RevCAGR", Simulations!$A$1:$BK$1, 0))</f>
        <v>8.1454023319640495E-3</v>
      </c>
      <c r="E96" s="2">
        <f ca="1">INDEX(Simulations!$A$1:$BK$2501, 96, MATCH("SynMargin", Simulations!$A$1:$BK$1, 0))</f>
        <v>9.4397180624272541E-3</v>
      </c>
      <c r="F96" s="2">
        <f ca="1">INDEX(Simulations!$A$1:$BK$2501, 96, MATCH("Yr1Shock", Simulations!$A$1:$BK$1, 0))</f>
        <v>-2.9117596682781025E-2</v>
      </c>
      <c r="G96" s="2">
        <f ca="1">INDEX(Simulations!$A$1:$BK$2501, 96, MATCH("EntryEV", Simulations!$A$1:$BK$1, 0))</f>
        <v>41990902.761939481</v>
      </c>
      <c r="H96" s="2">
        <f ca="1">INDEX(Simulations!$A$1:$BK$2501, 96, MATCH("ExitEV", Simulations!$A$1:$BK$1, 0))</f>
        <v>50372193.23791258</v>
      </c>
      <c r="I96" s="2">
        <f ca="1">INDEX(Simulations!$A$1:$BK$2501, 96, MATCH("IRR", Simulations!$A$1:$BK$1, 0))</f>
        <v>0.16477794496006104</v>
      </c>
      <c r="J96" s="2">
        <f ca="1">INDEX(Simulations!$A$1:$BK$2501, 96, MATCH("NPV_12%", Simulations!$A$1:$BK$1, 0))</f>
        <v>3254697.9183911458</v>
      </c>
    </row>
    <row r="97" spans="1:10" x14ac:dyDescent="0.3">
      <c r="A97" s="2">
        <f>INDEX(Simulations!$A$2:$A$2501,96)</f>
        <v>96</v>
      </c>
      <c r="B97" s="2">
        <f ca="1">INDEX(Simulations!$A$1:$BK$2501, 97, MATCH("PurchaseMultiple", Simulations!$A$1:$BK$1, 0))</f>
        <v>6.7791692473836997</v>
      </c>
      <c r="C97" s="2">
        <f ca="1">INDEX(Simulations!$A$1:$BK$2501, 97, MATCH("ExitMultiple", Simulations!$A$1:$BK$1, 0))</f>
        <v>7.0406895837496162</v>
      </c>
      <c r="D97" s="2">
        <f ca="1">INDEX(Simulations!$A$1:$BK$2501, 97, MATCH("RevCAGR", Simulations!$A$1:$BK$1, 0))</f>
        <v>5.7636091983132E-2</v>
      </c>
      <c r="E97" s="2">
        <f ca="1">INDEX(Simulations!$A$1:$BK$2501, 97, MATCH("SynMargin", Simulations!$A$1:$BK$1, 0))</f>
        <v>5.7961781437625174E-3</v>
      </c>
      <c r="F97" s="2">
        <f ca="1">INDEX(Simulations!$A$1:$BK$2501, 97, MATCH("Yr1Shock", Simulations!$A$1:$BK$1, 0))</f>
        <v>1.5017515545354054E-2</v>
      </c>
      <c r="G97" s="2">
        <f ca="1">INDEX(Simulations!$A$1:$BK$2501, 97, MATCH("EntryEV", Simulations!$A$1:$BK$1, 0))</f>
        <v>40675015.4843022</v>
      </c>
      <c r="H97" s="2">
        <f ca="1">INDEX(Simulations!$A$1:$BK$2501, 97, MATCH("ExitEV", Simulations!$A$1:$BK$1, 0))</f>
        <v>55465917.39982383</v>
      </c>
      <c r="I97" s="2">
        <f ca="1">INDEX(Simulations!$A$1:$BK$2501, 97, MATCH("IRR", Simulations!$A$1:$BK$1, 0))</f>
        <v>0.23357898473603811</v>
      </c>
      <c r="J97" s="2">
        <f ca="1">INDEX(Simulations!$A$1:$BK$2501, 97, MATCH("NPV_12%", Simulations!$A$1:$BK$1, 0))</f>
        <v>8833196.8562994823</v>
      </c>
    </row>
    <row r="98" spans="1:10" x14ac:dyDescent="0.3">
      <c r="A98" s="2">
        <f>INDEX(Simulations!$A$2:$A$2501,97)</f>
        <v>97</v>
      </c>
      <c r="B98" s="2">
        <f ca="1">INDEX(Simulations!$A$1:$BK$2501, 98, MATCH("PurchaseMultiple", Simulations!$A$1:$BK$1, 0))</f>
        <v>7.4386104992537563</v>
      </c>
      <c r="C98" s="2">
        <f ca="1">INDEX(Simulations!$A$1:$BK$2501, 98, MATCH("ExitMultiple", Simulations!$A$1:$BK$1, 0))</f>
        <v>7.3455921322587923</v>
      </c>
      <c r="D98" s="2">
        <f ca="1">INDEX(Simulations!$A$1:$BK$2501, 98, MATCH("RevCAGR", Simulations!$A$1:$BK$1, 0))</f>
        <v>2.1675158767325585E-2</v>
      </c>
      <c r="E98" s="2">
        <f ca="1">INDEX(Simulations!$A$1:$BK$2501, 98, MATCH("SynMargin", Simulations!$A$1:$BK$1, 0))</f>
        <v>8.3992249399828106E-3</v>
      </c>
      <c r="F98" s="2">
        <f ca="1">INDEX(Simulations!$A$1:$BK$2501, 98, MATCH("Yr1Shock", Simulations!$A$1:$BK$1, 0))</f>
        <v>-1.7529866844884043E-2</v>
      </c>
      <c r="G98" s="2">
        <f ca="1">INDEX(Simulations!$A$1:$BK$2501, 98, MATCH("EntryEV", Simulations!$A$1:$BK$1, 0))</f>
        <v>44631662.995522536</v>
      </c>
      <c r="H98" s="2">
        <f ca="1">INDEX(Simulations!$A$1:$BK$2501, 98, MATCH("ExitEV", Simulations!$A$1:$BK$1, 0))</f>
        <v>49490560.197858721</v>
      </c>
      <c r="I98" s="2">
        <f ca="1">INDEX(Simulations!$A$1:$BK$2501, 98, MATCH("IRR", Simulations!$A$1:$BK$1, 0))</f>
        <v>0.13040481385061065</v>
      </c>
      <c r="J98" s="2">
        <f ca="1">INDEX(Simulations!$A$1:$BK$2501, 98, MATCH("NPV_12%", Simulations!$A$1:$BK$1, 0))</f>
        <v>762713.05951526389</v>
      </c>
    </row>
    <row r="99" spans="1:10" x14ac:dyDescent="0.3">
      <c r="A99" s="2">
        <f>INDEX(Simulations!$A$2:$A$2501,98)</f>
        <v>98</v>
      </c>
      <c r="B99" s="2">
        <f ca="1">INDEX(Simulations!$A$1:$BK$2501, 99, MATCH("PurchaseMultiple", Simulations!$A$1:$BK$1, 0))</f>
        <v>7.1081586872350195</v>
      </c>
      <c r="C99" s="2">
        <f ca="1">INDEX(Simulations!$A$1:$BK$2501, 99, MATCH("ExitMultiple", Simulations!$A$1:$BK$1, 0))</f>
        <v>7.3617038206410426</v>
      </c>
      <c r="D99" s="2">
        <f ca="1">INDEX(Simulations!$A$1:$BK$2501, 99, MATCH("RevCAGR", Simulations!$A$1:$BK$1, 0))</f>
        <v>4.0657149212548392E-2</v>
      </c>
      <c r="E99" s="2">
        <f ca="1">INDEX(Simulations!$A$1:$BK$2501, 99, MATCH("SynMargin", Simulations!$A$1:$BK$1, 0))</f>
        <v>1.1871617291711047E-2</v>
      </c>
      <c r="F99" s="2">
        <f ca="1">INDEX(Simulations!$A$1:$BK$2501, 99, MATCH("Yr1Shock", Simulations!$A$1:$BK$1, 0))</f>
        <v>5.0800874175785347E-3</v>
      </c>
      <c r="G99" s="2">
        <f ca="1">INDEX(Simulations!$A$1:$BK$2501, 99, MATCH("EntryEV", Simulations!$A$1:$BK$1, 0))</f>
        <v>42648952.123410121</v>
      </c>
      <c r="H99" s="2">
        <f ca="1">INDEX(Simulations!$A$1:$BK$2501, 99, MATCH("ExitEV", Simulations!$A$1:$BK$1, 0))</f>
        <v>55672491.107082702</v>
      </c>
      <c r="I99" s="2">
        <f ca="1">INDEX(Simulations!$A$1:$BK$2501, 99, MATCH("IRR", Simulations!$A$1:$BK$1, 0))</f>
        <v>0.21049648767273998</v>
      </c>
      <c r="J99" s="2">
        <f ca="1">INDEX(Simulations!$A$1:$BK$2501, 99, MATCH("NPV_12%", Simulations!$A$1:$BK$1, 0))</f>
        <v>7139437.49343431</v>
      </c>
    </row>
    <row r="100" spans="1:10" x14ac:dyDescent="0.3">
      <c r="A100" s="2">
        <f>INDEX(Simulations!$A$2:$A$2501,99)</f>
        <v>99</v>
      </c>
      <c r="B100" s="2">
        <f ca="1">INDEX(Simulations!$A$1:$BK$2501, 100, MATCH("PurchaseMultiple", Simulations!$A$1:$BK$1, 0))</f>
        <v>7.4756970178576641</v>
      </c>
      <c r="C100" s="2">
        <f ca="1">INDEX(Simulations!$A$1:$BK$2501, 100, MATCH("ExitMultiple", Simulations!$A$1:$BK$1, 0))</f>
        <v>8.019468616968723</v>
      </c>
      <c r="D100" s="2">
        <f ca="1">INDEX(Simulations!$A$1:$BK$2501, 100, MATCH("RevCAGR", Simulations!$A$1:$BK$1, 0))</f>
        <v>4.7852924961623008E-2</v>
      </c>
      <c r="E100" s="2">
        <f ca="1">INDEX(Simulations!$A$1:$BK$2501, 100, MATCH("SynMargin", Simulations!$A$1:$BK$1, 0))</f>
        <v>1.0576466159292015E-2</v>
      </c>
      <c r="F100" s="2">
        <f ca="1">INDEX(Simulations!$A$1:$BK$2501, 100, MATCH("Yr1Shock", Simulations!$A$1:$BK$1, 0))</f>
        <v>-1.6339161739117446E-2</v>
      </c>
      <c r="G100" s="2">
        <f ca="1">INDEX(Simulations!$A$1:$BK$2501, 100, MATCH("EntryEV", Simulations!$A$1:$BK$1, 0))</f>
        <v>44854182.107145987</v>
      </c>
      <c r="H100" s="2">
        <f ca="1">INDEX(Simulations!$A$1:$BK$2501, 100, MATCH("ExitEV", Simulations!$A$1:$BK$1, 0))</f>
        <v>60582019.546014868</v>
      </c>
      <c r="I100" s="2">
        <f ca="1">INDEX(Simulations!$A$1:$BK$2501, 100, MATCH("IRR", Simulations!$A$1:$BK$1, 0))</f>
        <v>0.20935788302924041</v>
      </c>
      <c r="J100" s="2">
        <f ca="1">INDEX(Simulations!$A$1:$BK$2501, 100, MATCH("NPV_12%", Simulations!$A$1:$BK$1, 0))</f>
        <v>7599337.9082510956</v>
      </c>
    </row>
    <row r="101" spans="1:10" x14ac:dyDescent="0.3">
      <c r="A101" s="2">
        <f>INDEX(Simulations!$A$2:$A$2501,100)</f>
        <v>100</v>
      </c>
      <c r="B101" s="2">
        <f ca="1">INDEX(Simulations!$A$1:$BK$2501, 101, MATCH("PurchaseMultiple", Simulations!$A$1:$BK$1, 0))</f>
        <v>7.5558872308538385</v>
      </c>
      <c r="C101" s="2">
        <f ca="1">INDEX(Simulations!$A$1:$BK$2501, 101, MATCH("ExitMultiple", Simulations!$A$1:$BK$1, 0))</f>
        <v>7.0498575394405787</v>
      </c>
      <c r="D101" s="2">
        <f ca="1">INDEX(Simulations!$A$1:$BK$2501, 101, MATCH("RevCAGR", Simulations!$A$1:$BK$1, 0))</f>
        <v>-1.5401879096058682E-3</v>
      </c>
      <c r="E101" s="2">
        <f ca="1">INDEX(Simulations!$A$1:$BK$2501, 101, MATCH("SynMargin", Simulations!$A$1:$BK$1, 0))</f>
        <v>1.1703183593127265E-2</v>
      </c>
      <c r="F101" s="2">
        <f ca="1">INDEX(Simulations!$A$1:$BK$2501, 101, MATCH("Yr1Shock", Simulations!$A$1:$BK$1, 0))</f>
        <v>-1.3617786094090376E-2</v>
      </c>
      <c r="G101" s="2">
        <f ca="1">INDEX(Simulations!$A$1:$BK$2501, 101, MATCH("EntryEV", Simulations!$A$1:$BK$1, 0))</f>
        <v>45335323.385123029</v>
      </c>
      <c r="H101" s="2">
        <f ca="1">INDEX(Simulations!$A$1:$BK$2501, 101, MATCH("ExitEV", Simulations!$A$1:$BK$1, 0))</f>
        <v>44297542.392702468</v>
      </c>
      <c r="I101" s="2">
        <f ca="1">INDEX(Simulations!$A$1:$BK$2501, 101, MATCH("IRR", Simulations!$A$1:$BK$1, 0))</f>
        <v>7.5598658237317151E-2</v>
      </c>
      <c r="J101" s="2">
        <f ca="1">INDEX(Simulations!$A$1:$BK$2501, 101, MATCH("NPV_12%", Simulations!$A$1:$BK$1, 0))</f>
        <v>-2981012.1885502152</v>
      </c>
    </row>
    <row r="102" spans="1:10" x14ac:dyDescent="0.3">
      <c r="A102" s="2">
        <f>INDEX(Simulations!$A$2:$A$2501,101)</f>
        <v>101</v>
      </c>
      <c r="B102" s="2">
        <f ca="1">INDEX(Simulations!$A$1:$BK$2501, 102, MATCH("PurchaseMultiple", Simulations!$A$1:$BK$1, 0))</f>
        <v>6.4266184569080105</v>
      </c>
      <c r="C102" s="2">
        <f ca="1">INDEX(Simulations!$A$1:$BK$2501, 102, MATCH("ExitMultiple", Simulations!$A$1:$BK$1, 0))</f>
        <v>7.6167233560756715</v>
      </c>
      <c r="D102" s="2">
        <f ca="1">INDEX(Simulations!$A$1:$BK$2501, 102, MATCH("RevCAGR", Simulations!$A$1:$BK$1, 0))</f>
        <v>2.644586465851818E-2</v>
      </c>
      <c r="E102" s="2">
        <f ca="1">INDEX(Simulations!$A$1:$BK$2501, 102, MATCH("SynMargin", Simulations!$A$1:$BK$1, 0))</f>
        <v>8.8390326507581749E-3</v>
      </c>
      <c r="F102" s="2">
        <f ca="1">INDEX(Simulations!$A$1:$BK$2501, 102, MATCH("Yr1Shock", Simulations!$A$1:$BK$1, 0))</f>
        <v>-2.1694894465439991E-2</v>
      </c>
      <c r="G102" s="2">
        <f ca="1">INDEX(Simulations!$A$1:$BK$2501, 102, MATCH("EntryEV", Simulations!$A$1:$BK$1, 0))</f>
        <v>38559710.74144806</v>
      </c>
      <c r="H102" s="2">
        <f ca="1">INDEX(Simulations!$A$1:$BK$2501, 102, MATCH("ExitEV", Simulations!$A$1:$BK$1, 0))</f>
        <v>52188213.51117678</v>
      </c>
      <c r="I102" s="2">
        <f ca="1">INDEX(Simulations!$A$1:$BK$2501, 102, MATCH("IRR", Simulations!$A$1:$BK$1, 0))</f>
        <v>0.22825669089499012</v>
      </c>
      <c r="J102" s="2">
        <f ca="1">INDEX(Simulations!$A$1:$BK$2501, 102, MATCH("NPV_12%", Simulations!$A$1:$BK$1, 0))</f>
        <v>7879372.8556498885</v>
      </c>
    </row>
    <row r="103" spans="1:10" x14ac:dyDescent="0.3">
      <c r="A103" s="2">
        <f>INDEX(Simulations!$A$2:$A$2501,102)</f>
        <v>102</v>
      </c>
      <c r="B103" s="2">
        <f ca="1">INDEX(Simulations!$A$1:$BK$2501, 103, MATCH("PurchaseMultiple", Simulations!$A$1:$BK$1, 0))</f>
        <v>7.0075882805504328</v>
      </c>
      <c r="C103" s="2">
        <f ca="1">INDEX(Simulations!$A$1:$BK$2501, 103, MATCH("ExitMultiple", Simulations!$A$1:$BK$1, 0))</f>
        <v>7.9948096553112666</v>
      </c>
      <c r="D103" s="2">
        <f ca="1">INDEX(Simulations!$A$1:$BK$2501, 103, MATCH("RevCAGR", Simulations!$A$1:$BK$1, 0))</f>
        <v>1.6155069252770479E-2</v>
      </c>
      <c r="E103" s="2">
        <f ca="1">INDEX(Simulations!$A$1:$BK$2501, 103, MATCH("SynMargin", Simulations!$A$1:$BK$1, 0))</f>
        <v>4.814402027668108E-3</v>
      </c>
      <c r="F103" s="2">
        <f ca="1">INDEX(Simulations!$A$1:$BK$2501, 103, MATCH("Yr1Shock", Simulations!$A$1:$BK$1, 0))</f>
        <v>-7.6515553678032037E-3</v>
      </c>
      <c r="G103" s="2">
        <f ca="1">INDEX(Simulations!$A$1:$BK$2501, 103, MATCH("EntryEV", Simulations!$A$1:$BK$1, 0))</f>
        <v>42045529.683302596</v>
      </c>
      <c r="H103" s="2">
        <f ca="1">INDEX(Simulations!$A$1:$BK$2501, 103, MATCH("ExitEV", Simulations!$A$1:$BK$1, 0))</f>
        <v>52178564.810068786</v>
      </c>
      <c r="I103" s="2">
        <f ca="1">INDEX(Simulations!$A$1:$BK$2501, 103, MATCH("IRR", Simulations!$A$1:$BK$1, 0))</f>
        <v>0.17761957790283178</v>
      </c>
      <c r="J103" s="2">
        <f ca="1">INDEX(Simulations!$A$1:$BK$2501, 103, MATCH("NPV_12%", Simulations!$A$1:$BK$1, 0))</f>
        <v>4300965.6647246145</v>
      </c>
    </row>
    <row r="104" spans="1:10" x14ac:dyDescent="0.3">
      <c r="A104" s="2">
        <f>INDEX(Simulations!$A$2:$A$2501,103)</f>
        <v>103</v>
      </c>
      <c r="B104" s="2">
        <f ca="1">INDEX(Simulations!$A$1:$BK$2501, 104, MATCH("PurchaseMultiple", Simulations!$A$1:$BK$1, 0))</f>
        <v>6.315980752794486</v>
      </c>
      <c r="C104" s="2">
        <f ca="1">INDEX(Simulations!$A$1:$BK$2501, 104, MATCH("ExitMultiple", Simulations!$A$1:$BK$1, 0))</f>
        <v>7.3241790460475631</v>
      </c>
      <c r="D104" s="2">
        <f ca="1">INDEX(Simulations!$A$1:$BK$2501, 104, MATCH("RevCAGR", Simulations!$A$1:$BK$1, 0))</f>
        <v>3.0879467237868573E-2</v>
      </c>
      <c r="E104" s="2">
        <f ca="1">INDEX(Simulations!$A$1:$BK$2501, 104, MATCH("SynMargin", Simulations!$A$1:$BK$1, 0))</f>
        <v>1.3538134269526336E-2</v>
      </c>
      <c r="F104" s="2">
        <f ca="1">INDEX(Simulations!$A$1:$BK$2501, 104, MATCH("Yr1Shock", Simulations!$A$1:$BK$1, 0))</f>
        <v>1.0257224357286042E-2</v>
      </c>
      <c r="G104" s="2">
        <f ca="1">INDEX(Simulations!$A$1:$BK$2501, 104, MATCH("EntryEV", Simulations!$A$1:$BK$1, 0))</f>
        <v>37895884.516766913</v>
      </c>
      <c r="H104" s="2">
        <f ca="1">INDEX(Simulations!$A$1:$BK$2501, 104, MATCH("ExitEV", Simulations!$A$1:$BK$1, 0))</f>
        <v>54098357.752539515</v>
      </c>
      <c r="I104" s="2">
        <f ca="1">INDEX(Simulations!$A$1:$BK$2501, 104, MATCH("IRR", Simulations!$A$1:$BK$1, 0))</f>
        <v>0.26267303973821332</v>
      </c>
      <c r="J104" s="2">
        <f ca="1">INDEX(Simulations!$A$1:$BK$2501, 104, MATCH("NPV_12%", Simulations!$A$1:$BK$1, 0))</f>
        <v>10565652.043173838</v>
      </c>
    </row>
    <row r="105" spans="1:10" x14ac:dyDescent="0.3">
      <c r="A105" s="2">
        <f>INDEX(Simulations!$A$2:$A$2501,104)</f>
        <v>104</v>
      </c>
      <c r="B105" s="2">
        <f ca="1">INDEX(Simulations!$A$1:$BK$2501, 105, MATCH("PurchaseMultiple", Simulations!$A$1:$BK$1, 0))</f>
        <v>7.1964609053309321</v>
      </c>
      <c r="C105" s="2">
        <f ca="1">INDEX(Simulations!$A$1:$BK$2501, 105, MATCH("ExitMultiple", Simulations!$A$1:$BK$1, 0))</f>
        <v>7.4500637571084027</v>
      </c>
      <c r="D105" s="2">
        <f ca="1">INDEX(Simulations!$A$1:$BK$2501, 105, MATCH("RevCAGR", Simulations!$A$1:$BK$1, 0))</f>
        <v>2.1834433435607332E-2</v>
      </c>
      <c r="E105" s="2">
        <f ca="1">INDEX(Simulations!$A$1:$BK$2501, 105, MATCH("SynMargin", Simulations!$A$1:$BK$1, 0))</f>
        <v>1.1379754646993274E-2</v>
      </c>
      <c r="F105" s="2">
        <f ca="1">INDEX(Simulations!$A$1:$BK$2501, 105, MATCH("Yr1Shock", Simulations!$A$1:$BK$1, 0))</f>
        <v>-1.4044521947299864E-2</v>
      </c>
      <c r="G105" s="2">
        <f ca="1">INDEX(Simulations!$A$1:$BK$2501, 105, MATCH("EntryEV", Simulations!$A$1:$BK$1, 0))</f>
        <v>43178765.431985594</v>
      </c>
      <c r="H105" s="2">
        <f ca="1">INDEX(Simulations!$A$1:$BK$2501, 105, MATCH("ExitEV", Simulations!$A$1:$BK$1, 0))</f>
        <v>51239330.111428566</v>
      </c>
      <c r="I105" s="2">
        <f ca="1">INDEX(Simulations!$A$1:$BK$2501, 105, MATCH("IRR", Simulations!$A$1:$BK$1, 0))</f>
        <v>0.1653492690178302</v>
      </c>
      <c r="J105" s="2">
        <f ca="1">INDEX(Simulations!$A$1:$BK$2501, 105, MATCH("NPV_12%", Simulations!$A$1:$BK$1, 0))</f>
        <v>3377107.6676534601</v>
      </c>
    </row>
    <row r="106" spans="1:10" x14ac:dyDescent="0.3">
      <c r="A106" s="2">
        <f>INDEX(Simulations!$A$2:$A$2501,105)</f>
        <v>105</v>
      </c>
      <c r="B106" s="2">
        <f ca="1">INDEX(Simulations!$A$1:$BK$2501, 106, MATCH("PurchaseMultiple", Simulations!$A$1:$BK$1, 0))</f>
        <v>7.2266463891147401</v>
      </c>
      <c r="C106" s="2">
        <f ca="1">INDEX(Simulations!$A$1:$BK$2501, 106, MATCH("ExitMultiple", Simulations!$A$1:$BK$1, 0))</f>
        <v>7.4646660143351742</v>
      </c>
      <c r="D106" s="2">
        <f ca="1">INDEX(Simulations!$A$1:$BK$2501, 106, MATCH("RevCAGR", Simulations!$A$1:$BK$1, 0))</f>
        <v>5.7732060086222822E-2</v>
      </c>
      <c r="E106" s="2">
        <f ca="1">INDEX(Simulations!$A$1:$BK$2501, 106, MATCH("SynMargin", Simulations!$A$1:$BK$1, 0))</f>
        <v>8.8251486214350802E-3</v>
      </c>
      <c r="F106" s="2">
        <f ca="1">INDEX(Simulations!$A$1:$BK$2501, 106, MATCH("Yr1Shock", Simulations!$A$1:$BK$1, 0))</f>
        <v>-2.2608223887485374E-2</v>
      </c>
      <c r="G106" s="2">
        <f ca="1">INDEX(Simulations!$A$1:$BK$2501, 106, MATCH("EntryEV", Simulations!$A$1:$BK$1, 0))</f>
        <v>43359878.33468844</v>
      </c>
      <c r="H106" s="2">
        <f ca="1">INDEX(Simulations!$A$1:$BK$2501, 106, MATCH("ExitEV", Simulations!$A$1:$BK$1, 0))</f>
        <v>57614794.195731342</v>
      </c>
      <c r="I106" s="2">
        <f ca="1">INDEX(Simulations!$A$1:$BK$2501, 106, MATCH("IRR", Simulations!$A$1:$BK$1, 0))</f>
        <v>0.20953091431815096</v>
      </c>
      <c r="J106" s="2">
        <f ca="1">INDEX(Simulations!$A$1:$BK$2501, 106, MATCH("NPV_12%", Simulations!$A$1:$BK$1, 0))</f>
        <v>7301444.0227363035</v>
      </c>
    </row>
    <row r="107" spans="1:10" x14ac:dyDescent="0.3">
      <c r="A107" s="2">
        <f>INDEX(Simulations!$A$2:$A$2501,106)</f>
        <v>106</v>
      </c>
      <c r="B107" s="2">
        <f ca="1">INDEX(Simulations!$A$1:$BK$2501, 107, MATCH("PurchaseMultiple", Simulations!$A$1:$BK$1, 0))</f>
        <v>7.1945155783916288</v>
      </c>
      <c r="C107" s="2">
        <f ca="1">INDEX(Simulations!$A$1:$BK$2501, 107, MATCH("ExitMultiple", Simulations!$A$1:$BK$1, 0))</f>
        <v>7.5540888170520644</v>
      </c>
      <c r="D107" s="2">
        <f ca="1">INDEX(Simulations!$A$1:$BK$2501, 107, MATCH("RevCAGR", Simulations!$A$1:$BK$1, 0))</f>
        <v>6.1288908645060453E-2</v>
      </c>
      <c r="E107" s="2">
        <f ca="1">INDEX(Simulations!$A$1:$BK$2501, 107, MATCH("SynMargin", Simulations!$A$1:$BK$1, 0))</f>
        <v>8.8687431689182562E-3</v>
      </c>
      <c r="F107" s="2">
        <f ca="1">INDEX(Simulations!$A$1:$BK$2501, 107, MATCH("Yr1Shock", Simulations!$A$1:$BK$1, 0))</f>
        <v>4.628178714427872E-3</v>
      </c>
      <c r="G107" s="2">
        <f ca="1">INDEX(Simulations!$A$1:$BK$2501, 107, MATCH("EntryEV", Simulations!$A$1:$BK$1, 0))</f>
        <v>43167093.470349774</v>
      </c>
      <c r="H107" s="2">
        <f ca="1">INDEX(Simulations!$A$1:$BK$2501, 107, MATCH("ExitEV", Simulations!$A$1:$BK$1, 0))</f>
        <v>60754611.330494784</v>
      </c>
      <c r="I107" s="2">
        <f ca="1">INDEX(Simulations!$A$1:$BK$2501, 107, MATCH("IRR", Simulations!$A$1:$BK$1, 0))</f>
        <v>0.23555181597892383</v>
      </c>
      <c r="J107" s="2">
        <f ca="1">INDEX(Simulations!$A$1:$BK$2501, 107, MATCH("NPV_12%", Simulations!$A$1:$BK$1, 0))</f>
        <v>9745210.7880269103</v>
      </c>
    </row>
    <row r="108" spans="1:10" x14ac:dyDescent="0.3">
      <c r="A108" s="2">
        <f>INDEX(Simulations!$A$2:$A$2501,107)</f>
        <v>107</v>
      </c>
      <c r="B108" s="2">
        <f ca="1">INDEX(Simulations!$A$1:$BK$2501, 108, MATCH("PurchaseMultiple", Simulations!$A$1:$BK$1, 0))</f>
        <v>7.0292872205008727</v>
      </c>
      <c r="C108" s="2">
        <f ca="1">INDEX(Simulations!$A$1:$BK$2501, 108, MATCH("ExitMultiple", Simulations!$A$1:$BK$1, 0))</f>
        <v>8.3312241391898194</v>
      </c>
      <c r="D108" s="2">
        <f ca="1">INDEX(Simulations!$A$1:$BK$2501, 108, MATCH("RevCAGR", Simulations!$A$1:$BK$1, 0))</f>
        <v>4.6678588125546559E-2</v>
      </c>
      <c r="E108" s="2">
        <f ca="1">INDEX(Simulations!$A$1:$BK$2501, 108, MATCH("SynMargin", Simulations!$A$1:$BK$1, 0))</f>
        <v>1.572057335576087E-2</v>
      </c>
      <c r="F108" s="2">
        <f ca="1">INDEX(Simulations!$A$1:$BK$2501, 108, MATCH("Yr1Shock", Simulations!$A$1:$BK$1, 0))</f>
        <v>-3.0617307600387049E-2</v>
      </c>
      <c r="G108" s="2">
        <f ca="1">INDEX(Simulations!$A$1:$BK$2501, 108, MATCH("EntryEV", Simulations!$A$1:$BK$1, 0))</f>
        <v>42175723.323005237</v>
      </c>
      <c r="H108" s="2">
        <f ca="1">INDEX(Simulations!$A$1:$BK$2501, 108, MATCH("ExitEV", Simulations!$A$1:$BK$1, 0))</f>
        <v>63491170.109562129</v>
      </c>
      <c r="I108" s="2">
        <f ca="1">INDEX(Simulations!$A$1:$BK$2501, 108, MATCH("IRR", Simulations!$A$1:$BK$1, 0))</f>
        <v>0.25845385903689699</v>
      </c>
      <c r="J108" s="2">
        <f ca="1">INDEX(Simulations!$A$1:$BK$2501, 108, MATCH("NPV_12%", Simulations!$A$1:$BK$1, 0))</f>
        <v>11875466.7661006</v>
      </c>
    </row>
    <row r="109" spans="1:10" x14ac:dyDescent="0.3">
      <c r="A109" s="2">
        <f>INDEX(Simulations!$A$2:$A$2501,108)</f>
        <v>108</v>
      </c>
      <c r="B109" s="2">
        <f ca="1">INDEX(Simulations!$A$1:$BK$2501, 109, MATCH("PurchaseMultiple", Simulations!$A$1:$BK$1, 0))</f>
        <v>6.4442317898788968</v>
      </c>
      <c r="C109" s="2">
        <f ca="1">INDEX(Simulations!$A$1:$BK$2501, 109, MATCH("ExitMultiple", Simulations!$A$1:$BK$1, 0))</f>
        <v>6.9612125704509724</v>
      </c>
      <c r="D109" s="2">
        <f ca="1">INDEX(Simulations!$A$1:$BK$2501, 109, MATCH("RevCAGR", Simulations!$A$1:$BK$1, 0))</f>
        <v>9.6369013356814061E-3</v>
      </c>
      <c r="E109" s="2">
        <f ca="1">INDEX(Simulations!$A$1:$BK$2501, 109, MATCH("SynMargin", Simulations!$A$1:$BK$1, 0))</f>
        <v>2.1800836018028815E-2</v>
      </c>
      <c r="F109" s="2">
        <f ca="1">INDEX(Simulations!$A$1:$BK$2501, 109, MATCH("Yr1Shock", Simulations!$A$1:$BK$1, 0))</f>
        <v>6.4701876954593339E-3</v>
      </c>
      <c r="G109" s="2">
        <f ca="1">INDEX(Simulations!$A$1:$BK$2501, 109, MATCH("EntryEV", Simulations!$A$1:$BK$1, 0))</f>
        <v>38665390.739273384</v>
      </c>
      <c r="H109" s="2">
        <f ca="1">INDEX(Simulations!$A$1:$BK$2501, 109, MATCH("ExitEV", Simulations!$A$1:$BK$1, 0))</f>
        <v>49236586.75930132</v>
      </c>
      <c r="I109" s="2">
        <f ca="1">INDEX(Simulations!$A$1:$BK$2501, 109, MATCH("IRR", Simulations!$A$1:$BK$1, 0))</f>
        <v>0.22461865433257255</v>
      </c>
      <c r="J109" s="2">
        <f ca="1">INDEX(Simulations!$A$1:$BK$2501, 109, MATCH("NPV_12%", Simulations!$A$1:$BK$1, 0))</f>
        <v>7294374.9912526868</v>
      </c>
    </row>
    <row r="110" spans="1:10" x14ac:dyDescent="0.3">
      <c r="A110" s="2">
        <f>INDEX(Simulations!$A$2:$A$2501,109)</f>
        <v>109</v>
      </c>
      <c r="B110" s="2">
        <f ca="1">INDEX(Simulations!$A$1:$BK$2501, 110, MATCH("PurchaseMultiple", Simulations!$A$1:$BK$1, 0))</f>
        <v>7.1151177225509521</v>
      </c>
      <c r="C110" s="2">
        <f ca="1">INDEX(Simulations!$A$1:$BK$2501, 110, MATCH("ExitMultiple", Simulations!$A$1:$BK$1, 0))</f>
        <v>7.4859577768826604</v>
      </c>
      <c r="D110" s="2">
        <f ca="1">INDEX(Simulations!$A$1:$BK$2501, 110, MATCH("RevCAGR", Simulations!$A$1:$BK$1, 0))</f>
        <v>5.1594569420942829E-2</v>
      </c>
      <c r="E110" s="2">
        <f ca="1">INDEX(Simulations!$A$1:$BK$2501, 110, MATCH("SynMargin", Simulations!$A$1:$BK$1, 0))</f>
        <v>1.0705433059079355E-2</v>
      </c>
      <c r="F110" s="2">
        <f ca="1">INDEX(Simulations!$A$1:$BK$2501, 110, MATCH("Yr1Shock", Simulations!$A$1:$BK$1, 0))</f>
        <v>-1.0225807289633274E-2</v>
      </c>
      <c r="G110" s="2">
        <f ca="1">INDEX(Simulations!$A$1:$BK$2501, 110, MATCH("EntryEV", Simulations!$A$1:$BK$1, 0))</f>
        <v>42690706.335305713</v>
      </c>
      <c r="H110" s="2">
        <f ca="1">INDEX(Simulations!$A$1:$BK$2501, 110, MATCH("ExitEV", Simulations!$A$1:$BK$1, 0))</f>
        <v>57761161.600576021</v>
      </c>
      <c r="I110" s="2">
        <f ca="1">INDEX(Simulations!$A$1:$BK$2501, 110, MATCH("IRR", Simulations!$A$1:$BK$1, 0))</f>
        <v>0.22112531413224001</v>
      </c>
      <c r="J110" s="2">
        <f ca="1">INDEX(Simulations!$A$1:$BK$2501, 110, MATCH("NPV_12%", Simulations!$A$1:$BK$1, 0))</f>
        <v>8202679.4683467261</v>
      </c>
    </row>
    <row r="111" spans="1:10" x14ac:dyDescent="0.3">
      <c r="A111" s="2">
        <f>INDEX(Simulations!$A$2:$A$2501,110)</f>
        <v>110</v>
      </c>
      <c r="B111" s="2">
        <f ca="1">INDEX(Simulations!$A$1:$BK$2501, 111, MATCH("PurchaseMultiple", Simulations!$A$1:$BK$1, 0))</f>
        <v>6.4133055216136219</v>
      </c>
      <c r="C111" s="2">
        <f ca="1">INDEX(Simulations!$A$1:$BK$2501, 111, MATCH("ExitMultiple", Simulations!$A$1:$BK$1, 0))</f>
        <v>6.8610874269133468</v>
      </c>
      <c r="D111" s="2">
        <f ca="1">INDEX(Simulations!$A$1:$BK$2501, 111, MATCH("RevCAGR", Simulations!$A$1:$BK$1, 0))</f>
        <v>7.0856452803575151E-2</v>
      </c>
      <c r="E111" s="2">
        <f ca="1">INDEX(Simulations!$A$1:$BK$2501, 111, MATCH("SynMargin", Simulations!$A$1:$BK$1, 0))</f>
        <v>8.1580036881666613E-3</v>
      </c>
      <c r="F111" s="2">
        <f ca="1">INDEX(Simulations!$A$1:$BK$2501, 111, MATCH("Yr1Shock", Simulations!$A$1:$BK$1, 0))</f>
        <v>-5.0922916397910171E-4</v>
      </c>
      <c r="G111" s="2">
        <f ca="1">INDEX(Simulations!$A$1:$BK$2501, 111, MATCH("EntryEV", Simulations!$A$1:$BK$1, 0))</f>
        <v>38479833.129681729</v>
      </c>
      <c r="H111" s="2">
        <f ca="1">INDEX(Simulations!$A$1:$BK$2501, 111, MATCH("ExitEV", Simulations!$A$1:$BK$1, 0))</f>
        <v>56681154.315055139</v>
      </c>
      <c r="I111" s="2">
        <f ca="1">INDEX(Simulations!$A$1:$BK$2501, 111, MATCH("IRR", Simulations!$A$1:$BK$1, 0))</f>
        <v>0.27272003353402718</v>
      </c>
      <c r="J111" s="2">
        <f ca="1">INDEX(Simulations!$A$1:$BK$2501, 111, MATCH("NPV_12%", Simulations!$A$1:$BK$1, 0))</f>
        <v>11848496.849474944</v>
      </c>
    </row>
    <row r="112" spans="1:10" x14ac:dyDescent="0.3">
      <c r="A112" s="2">
        <f>INDEX(Simulations!$A$2:$A$2501,111)</f>
        <v>111</v>
      </c>
      <c r="B112" s="2">
        <f ca="1">INDEX(Simulations!$A$1:$BK$2501, 112, MATCH("PurchaseMultiple", Simulations!$A$1:$BK$1, 0))</f>
        <v>6.8070153507978191</v>
      </c>
      <c r="C112" s="2">
        <f ca="1">INDEX(Simulations!$A$1:$BK$2501, 112, MATCH("ExitMultiple", Simulations!$A$1:$BK$1, 0))</f>
        <v>7.4104383856603162</v>
      </c>
      <c r="D112" s="2">
        <f ca="1">INDEX(Simulations!$A$1:$BK$2501, 112, MATCH("RevCAGR", Simulations!$A$1:$BK$1, 0))</f>
        <v>4.3071402202354468E-2</v>
      </c>
      <c r="E112" s="2">
        <f ca="1">INDEX(Simulations!$A$1:$BK$2501, 112, MATCH("SynMargin", Simulations!$A$1:$BK$1, 0))</f>
        <v>2.8921751305711627E-3</v>
      </c>
      <c r="F112" s="2">
        <f ca="1">INDEX(Simulations!$A$1:$BK$2501, 112, MATCH("Yr1Shock", Simulations!$A$1:$BK$1, 0))</f>
        <v>1.1010852490007441E-2</v>
      </c>
      <c r="G112" s="2">
        <f ca="1">INDEX(Simulations!$A$1:$BK$2501, 112, MATCH("EntryEV", Simulations!$A$1:$BK$1, 0))</f>
        <v>40842092.104786918</v>
      </c>
      <c r="H112" s="2">
        <f ca="1">INDEX(Simulations!$A$1:$BK$2501, 112, MATCH("ExitEV", Simulations!$A$1:$BK$1, 0))</f>
        <v>54109434.344198138</v>
      </c>
      <c r="I112" s="2">
        <f ca="1">INDEX(Simulations!$A$1:$BK$2501, 112, MATCH("IRR", Simulations!$A$1:$BK$1, 0))</f>
        <v>0.21452364488668718</v>
      </c>
      <c r="J112" s="2">
        <f ca="1">INDEX(Simulations!$A$1:$BK$2501, 112, MATCH("NPV_12%", Simulations!$A$1:$BK$1, 0))</f>
        <v>7213773.7042279653</v>
      </c>
    </row>
    <row r="113" spans="1:10" x14ac:dyDescent="0.3">
      <c r="A113" s="2">
        <f>INDEX(Simulations!$A$2:$A$2501,112)</f>
        <v>112</v>
      </c>
      <c r="B113" s="2">
        <f ca="1">INDEX(Simulations!$A$1:$BK$2501, 113, MATCH("PurchaseMultiple", Simulations!$A$1:$BK$1, 0))</f>
        <v>7.0996482384979904</v>
      </c>
      <c r="C113" s="2">
        <f ca="1">INDEX(Simulations!$A$1:$BK$2501, 113, MATCH("ExitMultiple", Simulations!$A$1:$BK$1, 0))</f>
        <v>7.1965098603513189</v>
      </c>
      <c r="D113" s="2">
        <f ca="1">INDEX(Simulations!$A$1:$BK$2501, 113, MATCH("RevCAGR", Simulations!$A$1:$BK$1, 0))</f>
        <v>0.10241968703484999</v>
      </c>
      <c r="E113" s="2">
        <f ca="1">INDEX(Simulations!$A$1:$BK$2501, 113, MATCH("SynMargin", Simulations!$A$1:$BK$1, 0))</f>
        <v>1.7414504302667756E-2</v>
      </c>
      <c r="F113" s="2">
        <f ca="1">INDEX(Simulations!$A$1:$BK$2501, 113, MATCH("Yr1Shock", Simulations!$A$1:$BK$1, 0))</f>
        <v>-4.8420728208148502E-2</v>
      </c>
      <c r="G113" s="2">
        <f ca="1">INDEX(Simulations!$A$1:$BK$2501, 113, MATCH("EntryEV", Simulations!$A$1:$BK$1, 0))</f>
        <v>42597889.430987939</v>
      </c>
      <c r="H113" s="2">
        <f ca="1">INDEX(Simulations!$A$1:$BK$2501, 113, MATCH("ExitEV", Simulations!$A$1:$BK$1, 0))</f>
        <v>66853453.790567189</v>
      </c>
      <c r="I113" s="2">
        <f ca="1">INDEX(Simulations!$A$1:$BK$2501, 113, MATCH("IRR", Simulations!$A$1:$BK$1, 0))</f>
        <v>0.2837028271320019</v>
      </c>
      <c r="J113" s="2">
        <f ca="1">INDEX(Simulations!$A$1:$BK$2501, 113, MATCH("NPV_12%", Simulations!$A$1:$BK$1, 0))</f>
        <v>14760722.870708421</v>
      </c>
    </row>
    <row r="114" spans="1:10" x14ac:dyDescent="0.3">
      <c r="A114" s="2">
        <f>INDEX(Simulations!$A$2:$A$2501,113)</f>
        <v>113</v>
      </c>
      <c r="B114" s="2">
        <f ca="1">INDEX(Simulations!$A$1:$BK$2501, 114, MATCH("PurchaseMultiple", Simulations!$A$1:$BK$1, 0))</f>
        <v>7.6538339947734615</v>
      </c>
      <c r="C114" s="2">
        <f ca="1">INDEX(Simulations!$A$1:$BK$2501, 114, MATCH("ExitMultiple", Simulations!$A$1:$BK$1, 0))</f>
        <v>8.1146073114437787</v>
      </c>
      <c r="D114" s="2">
        <f ca="1">INDEX(Simulations!$A$1:$BK$2501, 114, MATCH("RevCAGR", Simulations!$A$1:$BK$1, 0))</f>
        <v>6.5529126760214232E-2</v>
      </c>
      <c r="E114" s="2">
        <f ca="1">INDEX(Simulations!$A$1:$BK$2501, 114, MATCH("SynMargin", Simulations!$A$1:$BK$1, 0))</f>
        <v>1.4503747184802308E-2</v>
      </c>
      <c r="F114" s="2">
        <f ca="1">INDEX(Simulations!$A$1:$BK$2501, 114, MATCH("Yr1Shock", Simulations!$A$1:$BK$1, 0))</f>
        <v>2.3607435564937194E-2</v>
      </c>
      <c r="G114" s="2">
        <f ca="1">INDEX(Simulations!$A$1:$BK$2501, 114, MATCH("EntryEV", Simulations!$A$1:$BK$1, 0))</f>
        <v>45923003.968640767</v>
      </c>
      <c r="H114" s="2">
        <f ca="1">INDEX(Simulations!$A$1:$BK$2501, 114, MATCH("ExitEV", Simulations!$A$1:$BK$1, 0))</f>
        <v>69676314.82396394</v>
      </c>
      <c r="I114" s="2">
        <f ca="1">INDEX(Simulations!$A$1:$BK$2501, 114, MATCH("IRR", Simulations!$A$1:$BK$1, 0))</f>
        <v>0.25988568306291726</v>
      </c>
      <c r="J114" s="2">
        <f ca="1">INDEX(Simulations!$A$1:$BK$2501, 114, MATCH("NPV_12%", Simulations!$A$1:$BK$1, 0))</f>
        <v>13179683.221552301</v>
      </c>
    </row>
    <row r="115" spans="1:10" x14ac:dyDescent="0.3">
      <c r="A115" s="2">
        <f>INDEX(Simulations!$A$2:$A$2501,114)</f>
        <v>114</v>
      </c>
      <c r="B115" s="2">
        <f ca="1">INDEX(Simulations!$A$1:$BK$2501, 115, MATCH("PurchaseMultiple", Simulations!$A$1:$BK$1, 0))</f>
        <v>6.6876045787107747</v>
      </c>
      <c r="C115" s="2">
        <f ca="1">INDEX(Simulations!$A$1:$BK$2501, 115, MATCH("ExitMultiple", Simulations!$A$1:$BK$1, 0))</f>
        <v>7.3533823670474661</v>
      </c>
      <c r="D115" s="2">
        <f ca="1">INDEX(Simulations!$A$1:$BK$2501, 115, MATCH("RevCAGR", Simulations!$A$1:$BK$1, 0))</f>
        <v>3.0597998158034101E-2</v>
      </c>
      <c r="E115" s="2">
        <f ca="1">INDEX(Simulations!$A$1:$BK$2501, 115, MATCH("SynMargin", Simulations!$A$1:$BK$1, 0))</f>
        <v>1.3141062306726395E-2</v>
      </c>
      <c r="F115" s="2">
        <f ca="1">INDEX(Simulations!$A$1:$BK$2501, 115, MATCH("Yr1Shock", Simulations!$A$1:$BK$1, 0))</f>
        <v>-1.1460208413675545E-4</v>
      </c>
      <c r="G115" s="2">
        <f ca="1">INDEX(Simulations!$A$1:$BK$2501, 115, MATCH("EntryEV", Simulations!$A$1:$BK$1, 0))</f>
        <v>40125627.472264647</v>
      </c>
      <c r="H115" s="2">
        <f ca="1">INDEX(Simulations!$A$1:$BK$2501, 115, MATCH("ExitEV", Simulations!$A$1:$BK$1, 0))</f>
        <v>53582484.670562938</v>
      </c>
      <c r="I115" s="2">
        <f ca="1">INDEX(Simulations!$A$1:$BK$2501, 115, MATCH("IRR", Simulations!$A$1:$BK$1, 0))</f>
        <v>0.22711499650020239</v>
      </c>
      <c r="J115" s="2">
        <f ca="1">INDEX(Simulations!$A$1:$BK$2501, 115, MATCH("NPV_12%", Simulations!$A$1:$BK$1, 0))</f>
        <v>8048393.4059644975</v>
      </c>
    </row>
    <row r="116" spans="1:10" x14ac:dyDescent="0.3">
      <c r="A116" s="2">
        <f>INDEX(Simulations!$A$2:$A$2501,115)</f>
        <v>115</v>
      </c>
      <c r="B116" s="2">
        <f ca="1">INDEX(Simulations!$A$1:$BK$2501, 116, MATCH("PurchaseMultiple", Simulations!$A$1:$BK$1, 0))</f>
        <v>6.4124937972524156</v>
      </c>
      <c r="C116" s="2">
        <f ca="1">INDEX(Simulations!$A$1:$BK$2501, 116, MATCH("ExitMultiple", Simulations!$A$1:$BK$1, 0))</f>
        <v>7.800343575872569</v>
      </c>
      <c r="D116" s="2">
        <f ca="1">INDEX(Simulations!$A$1:$BK$2501, 116, MATCH("RevCAGR", Simulations!$A$1:$BK$1, 0))</f>
        <v>1.9265091640973852E-2</v>
      </c>
      <c r="E116" s="2">
        <f ca="1">INDEX(Simulations!$A$1:$BK$2501, 116, MATCH("SynMargin", Simulations!$A$1:$BK$1, 0))</f>
        <v>1.0249673529984715E-2</v>
      </c>
      <c r="F116" s="2">
        <f ca="1">INDEX(Simulations!$A$1:$BK$2501, 116, MATCH("Yr1Shock", Simulations!$A$1:$BK$1, 0))</f>
        <v>9.0194073390423377E-3</v>
      </c>
      <c r="G116" s="2">
        <f ca="1">INDEX(Simulations!$A$1:$BK$2501, 116, MATCH("EntryEV", Simulations!$A$1:$BK$1, 0))</f>
        <v>38474962.783514492</v>
      </c>
      <c r="H116" s="2">
        <f ca="1">INDEX(Simulations!$A$1:$BK$2501, 116, MATCH("ExitEV", Simulations!$A$1:$BK$1, 0))</f>
        <v>54017293.938075982</v>
      </c>
      <c r="I116" s="2">
        <f ca="1">INDEX(Simulations!$A$1:$BK$2501, 116, MATCH("IRR", Simulations!$A$1:$BK$1, 0))</f>
        <v>0.24639844963115709</v>
      </c>
      <c r="J116" s="2">
        <f ca="1">INDEX(Simulations!$A$1:$BK$2501, 116, MATCH("NPV_12%", Simulations!$A$1:$BK$1, 0))</f>
        <v>9375048.7688677721</v>
      </c>
    </row>
    <row r="117" spans="1:10" x14ac:dyDescent="0.3">
      <c r="A117" s="2">
        <f>INDEX(Simulations!$A$2:$A$2501,116)</f>
        <v>116</v>
      </c>
      <c r="B117" s="2">
        <f ca="1">INDEX(Simulations!$A$1:$BK$2501, 117, MATCH("PurchaseMultiple", Simulations!$A$1:$BK$1, 0))</f>
        <v>7.3581922009290714</v>
      </c>
      <c r="C117" s="2">
        <f ca="1">INDEX(Simulations!$A$1:$BK$2501, 117, MATCH("ExitMultiple", Simulations!$A$1:$BK$1, 0))</f>
        <v>7.7394494471965647</v>
      </c>
      <c r="D117" s="2">
        <f ca="1">INDEX(Simulations!$A$1:$BK$2501, 117, MATCH("RevCAGR", Simulations!$A$1:$BK$1, 0))</f>
        <v>7.4428776292934443E-3</v>
      </c>
      <c r="E117" s="2">
        <f ca="1">INDEX(Simulations!$A$1:$BK$2501, 117, MATCH("SynMargin", Simulations!$A$1:$BK$1, 0))</f>
        <v>6.0820701993139041E-3</v>
      </c>
      <c r="F117" s="2">
        <f ca="1">INDEX(Simulations!$A$1:$BK$2501, 117, MATCH("Yr1Shock", Simulations!$A$1:$BK$1, 0))</f>
        <v>-3.8089508720022714E-3</v>
      </c>
      <c r="G117" s="2">
        <f ca="1">INDEX(Simulations!$A$1:$BK$2501, 117, MATCH("EntryEV", Simulations!$A$1:$BK$1, 0))</f>
        <v>44149153.205574431</v>
      </c>
      <c r="H117" s="2">
        <f ca="1">INDEX(Simulations!$A$1:$BK$2501, 117, MATCH("ExitEV", Simulations!$A$1:$BK$1, 0))</f>
        <v>49343149.301722653</v>
      </c>
      <c r="I117" s="2">
        <f ca="1">INDEX(Simulations!$A$1:$BK$2501, 117, MATCH("IRR", Simulations!$A$1:$BK$1, 0))</f>
        <v>0.13062902441050928</v>
      </c>
      <c r="J117" s="2">
        <f ca="1">INDEX(Simulations!$A$1:$BK$2501, 117, MATCH("NPV_12%", Simulations!$A$1:$BK$1, 0))</f>
        <v>771485.12341121212</v>
      </c>
    </row>
    <row r="118" spans="1:10" x14ac:dyDescent="0.3">
      <c r="A118" s="2">
        <f>INDEX(Simulations!$A$2:$A$2501,117)</f>
        <v>117</v>
      </c>
      <c r="B118" s="2">
        <f ca="1">INDEX(Simulations!$A$1:$BK$2501, 118, MATCH("PurchaseMultiple", Simulations!$A$1:$BK$1, 0))</f>
        <v>7.4345286752667192</v>
      </c>
      <c r="C118" s="2">
        <f ca="1">INDEX(Simulations!$A$1:$BK$2501, 118, MATCH("ExitMultiple", Simulations!$A$1:$BK$1, 0))</f>
        <v>7.8958247398481323</v>
      </c>
      <c r="D118" s="2">
        <f ca="1">INDEX(Simulations!$A$1:$BK$2501, 118, MATCH("RevCAGR", Simulations!$A$1:$BK$1, 0))</f>
        <v>2.359684886619081E-2</v>
      </c>
      <c r="E118" s="2">
        <f ca="1">INDEX(Simulations!$A$1:$BK$2501, 118, MATCH("SynMargin", Simulations!$A$1:$BK$1, 0))</f>
        <v>1.8146548421692804E-2</v>
      </c>
      <c r="F118" s="2">
        <f ca="1">INDEX(Simulations!$A$1:$BK$2501, 118, MATCH("Yr1Shock", Simulations!$A$1:$BK$1, 0))</f>
        <v>1.5824612071472948E-3</v>
      </c>
      <c r="G118" s="2">
        <f ca="1">INDEX(Simulations!$A$1:$BK$2501, 118, MATCH("EntryEV", Simulations!$A$1:$BK$1, 0))</f>
        <v>44607172.051600315</v>
      </c>
      <c r="H118" s="2">
        <f ca="1">INDEX(Simulations!$A$1:$BK$2501, 118, MATCH("ExitEV", Simulations!$A$1:$BK$1, 0))</f>
        <v>57603564.117028996</v>
      </c>
      <c r="I118" s="2">
        <f ca="1">INDEX(Simulations!$A$1:$BK$2501, 118, MATCH("IRR", Simulations!$A$1:$BK$1, 0))</f>
        <v>0.19982017939332741</v>
      </c>
      <c r="J118" s="2">
        <f ca="1">INDEX(Simulations!$A$1:$BK$2501, 118, MATCH("NPV_12%", Simulations!$A$1:$BK$1, 0))</f>
        <v>6508870.6619798392</v>
      </c>
    </row>
    <row r="119" spans="1:10" x14ac:dyDescent="0.3">
      <c r="A119" s="2">
        <f>INDEX(Simulations!$A$2:$A$2501,118)</f>
        <v>118</v>
      </c>
      <c r="B119" s="2">
        <f ca="1">INDEX(Simulations!$A$1:$BK$2501, 119, MATCH("PurchaseMultiple", Simulations!$A$1:$BK$1, 0))</f>
        <v>6.8900848050004164</v>
      </c>
      <c r="C119" s="2">
        <f ca="1">INDEX(Simulations!$A$1:$BK$2501, 119, MATCH("ExitMultiple", Simulations!$A$1:$BK$1, 0))</f>
        <v>7.1315469203959569</v>
      </c>
      <c r="D119" s="2">
        <f ca="1">INDEX(Simulations!$A$1:$BK$2501, 119, MATCH("RevCAGR", Simulations!$A$1:$BK$1, 0))</f>
        <v>7.7419298965468064E-2</v>
      </c>
      <c r="E119" s="2">
        <f ca="1">INDEX(Simulations!$A$1:$BK$2501, 119, MATCH("SynMargin", Simulations!$A$1:$BK$1, 0))</f>
        <v>1.5078559530981389E-2</v>
      </c>
      <c r="F119" s="2">
        <f ca="1">INDEX(Simulations!$A$1:$BK$2501, 119, MATCH("Yr1Shock", Simulations!$A$1:$BK$1, 0))</f>
        <v>-1.9148649599298431E-2</v>
      </c>
      <c r="G119" s="2">
        <f ca="1">INDEX(Simulations!$A$1:$BK$2501, 119, MATCH("EntryEV", Simulations!$A$1:$BK$1, 0))</f>
        <v>41340508.830002502</v>
      </c>
      <c r="H119" s="2">
        <f ca="1">INDEX(Simulations!$A$1:$BK$2501, 119, MATCH("ExitEV", Simulations!$A$1:$BK$1, 0))</f>
        <v>61530355.712517068</v>
      </c>
      <c r="I119" s="2">
        <f ca="1">INDEX(Simulations!$A$1:$BK$2501, 119, MATCH("IRR", Simulations!$A$1:$BK$1, 0))</f>
        <v>0.26871371052115345</v>
      </c>
      <c r="J119" s="2">
        <f ca="1">INDEX(Simulations!$A$1:$BK$2501, 119, MATCH("NPV_12%", Simulations!$A$1:$BK$1, 0))</f>
        <v>12504813.032655068</v>
      </c>
    </row>
    <row r="120" spans="1:10" x14ac:dyDescent="0.3">
      <c r="A120" s="2">
        <f>INDEX(Simulations!$A$2:$A$2501,119)</f>
        <v>119</v>
      </c>
      <c r="B120" s="2">
        <f ca="1">INDEX(Simulations!$A$1:$BK$2501, 120, MATCH("PurchaseMultiple", Simulations!$A$1:$BK$1, 0))</f>
        <v>7.308820574997676</v>
      </c>
      <c r="C120" s="2">
        <f ca="1">INDEX(Simulations!$A$1:$BK$2501, 120, MATCH("ExitMultiple", Simulations!$A$1:$BK$1, 0))</f>
        <v>8.1820071472942502</v>
      </c>
      <c r="D120" s="2">
        <f ca="1">INDEX(Simulations!$A$1:$BK$2501, 120, MATCH("RevCAGR", Simulations!$A$1:$BK$1, 0))</f>
        <v>-1.8569711547814685E-2</v>
      </c>
      <c r="E120" s="2">
        <f ca="1">INDEX(Simulations!$A$1:$BK$2501, 120, MATCH("SynMargin", Simulations!$A$1:$BK$1, 0))</f>
        <v>1.5439570384182012E-2</v>
      </c>
      <c r="F120" s="2">
        <f ca="1">INDEX(Simulations!$A$1:$BK$2501, 120, MATCH("Yr1Shock", Simulations!$A$1:$BK$1, 0))</f>
        <v>1.3052121382250656E-2</v>
      </c>
      <c r="G120" s="2">
        <f ca="1">INDEX(Simulations!$A$1:$BK$2501, 120, MATCH("EntryEV", Simulations!$A$1:$BK$1, 0))</f>
        <v>43852923.449986055</v>
      </c>
      <c r="H120" s="2">
        <f ca="1">INDEX(Simulations!$A$1:$BK$2501, 120, MATCH("ExitEV", Simulations!$A$1:$BK$1, 0))</f>
        <v>50295923.138948947</v>
      </c>
      <c r="I120" s="2">
        <f ca="1">INDEX(Simulations!$A$1:$BK$2501, 120, MATCH("IRR", Simulations!$A$1:$BK$1, 0))</f>
        <v>0.14699906162687415</v>
      </c>
      <c r="J120" s="2">
        <f ca="1">INDEX(Simulations!$A$1:$BK$2501, 120, MATCH("NPV_12%", Simulations!$A$1:$BK$1, 0))</f>
        <v>1967996.3090250306</v>
      </c>
    </row>
    <row r="121" spans="1:10" x14ac:dyDescent="0.3">
      <c r="A121" s="2">
        <f>INDEX(Simulations!$A$2:$A$2501,120)</f>
        <v>120</v>
      </c>
      <c r="B121" s="2">
        <f ca="1">INDEX(Simulations!$A$1:$BK$2501, 121, MATCH("PurchaseMultiple", Simulations!$A$1:$BK$1, 0))</f>
        <v>7.0485984042155092</v>
      </c>
      <c r="C121" s="2">
        <f ca="1">INDEX(Simulations!$A$1:$BK$2501, 121, MATCH("ExitMultiple", Simulations!$A$1:$BK$1, 0))</f>
        <v>7.3510432299976847</v>
      </c>
      <c r="D121" s="2">
        <f ca="1">INDEX(Simulations!$A$1:$BK$2501, 121, MATCH("RevCAGR", Simulations!$A$1:$BK$1, 0))</f>
        <v>4.6882400614661243E-2</v>
      </c>
      <c r="E121" s="2">
        <f ca="1">INDEX(Simulations!$A$1:$BK$2501, 121, MATCH("SynMargin", Simulations!$A$1:$BK$1, 0))</f>
        <v>1.1925503174429511E-2</v>
      </c>
      <c r="F121" s="2">
        <f ca="1">INDEX(Simulations!$A$1:$BK$2501, 121, MATCH("Yr1Shock", Simulations!$A$1:$BK$1, 0))</f>
        <v>-2.5377305314586866E-2</v>
      </c>
      <c r="G121" s="2">
        <f ca="1">INDEX(Simulations!$A$1:$BK$2501, 121, MATCH("EntryEV", Simulations!$A$1:$BK$1, 0))</f>
        <v>42291590.425293058</v>
      </c>
      <c r="H121" s="2">
        <f ca="1">INDEX(Simulations!$A$1:$BK$2501, 121, MATCH("ExitEV", Simulations!$A$1:$BK$1, 0))</f>
        <v>55224997.13249173</v>
      </c>
      <c r="I121" s="2">
        <f ca="1">INDEX(Simulations!$A$1:$BK$2501, 121, MATCH("IRR", Simulations!$A$1:$BK$1, 0))</f>
        <v>0.20812843877145548</v>
      </c>
      <c r="J121" s="2">
        <f ca="1">INDEX(Simulations!$A$1:$BK$2501, 121, MATCH("NPV_12%", Simulations!$A$1:$BK$1, 0))</f>
        <v>6911313.60650694</v>
      </c>
    </row>
    <row r="122" spans="1:10" x14ac:dyDescent="0.3">
      <c r="A122" s="2">
        <f>INDEX(Simulations!$A$2:$A$2501,121)</f>
        <v>121</v>
      </c>
      <c r="B122" s="2">
        <f ca="1">INDEX(Simulations!$A$1:$BK$2501, 122, MATCH("PurchaseMultiple", Simulations!$A$1:$BK$1, 0))</f>
        <v>7.3641619646756808</v>
      </c>
      <c r="C122" s="2">
        <f ca="1">INDEX(Simulations!$A$1:$BK$2501, 122, MATCH("ExitMultiple", Simulations!$A$1:$BK$1, 0))</f>
        <v>6.9470830049213452</v>
      </c>
      <c r="D122" s="2">
        <f ca="1">INDEX(Simulations!$A$1:$BK$2501, 122, MATCH("RevCAGR", Simulations!$A$1:$BK$1, 0))</f>
        <v>4.7778827459388981E-2</v>
      </c>
      <c r="E122" s="2">
        <f ca="1">INDEX(Simulations!$A$1:$BK$2501, 122, MATCH("SynMargin", Simulations!$A$1:$BK$1, 0))</f>
        <v>7.1601039663747581E-3</v>
      </c>
      <c r="F122" s="2">
        <f ca="1">INDEX(Simulations!$A$1:$BK$2501, 122, MATCH("Yr1Shock", Simulations!$A$1:$BK$1, 0))</f>
        <v>3.7173876832253595E-3</v>
      </c>
      <c r="G122" s="2">
        <f ca="1">INDEX(Simulations!$A$1:$BK$2501, 122, MATCH("EntryEV", Simulations!$A$1:$BK$1, 0))</f>
        <v>44184971.788054086</v>
      </c>
      <c r="H122" s="2">
        <f ca="1">INDEX(Simulations!$A$1:$BK$2501, 122, MATCH("ExitEV", Simulations!$A$1:$BK$1, 0))</f>
        <v>52530842.906169355</v>
      </c>
      <c r="I122" s="2">
        <f ca="1">INDEX(Simulations!$A$1:$BK$2501, 122, MATCH("IRR", Simulations!$A$1:$BK$1, 0))</f>
        <v>0.16831125108864131</v>
      </c>
      <c r="J122" s="2">
        <f ca="1">INDEX(Simulations!$A$1:$BK$2501, 122, MATCH("NPV_12%", Simulations!$A$1:$BK$1, 0))</f>
        <v>3713107.4104841128</v>
      </c>
    </row>
    <row r="123" spans="1:10" x14ac:dyDescent="0.3">
      <c r="A123" s="2">
        <f>INDEX(Simulations!$A$2:$A$2501,122)</f>
        <v>122</v>
      </c>
      <c r="B123" s="2">
        <f ca="1">INDEX(Simulations!$A$1:$BK$2501, 123, MATCH("PurchaseMultiple", Simulations!$A$1:$BK$1, 0))</f>
        <v>7.7404030604506797</v>
      </c>
      <c r="C123" s="2">
        <f ca="1">INDEX(Simulations!$A$1:$BK$2501, 123, MATCH("ExitMultiple", Simulations!$A$1:$BK$1, 0))</f>
        <v>7.8142653541289109</v>
      </c>
      <c r="D123" s="2">
        <f ca="1">INDEX(Simulations!$A$1:$BK$2501, 123, MATCH("RevCAGR", Simulations!$A$1:$BK$1, 0))</f>
        <v>2.322564037478872E-2</v>
      </c>
      <c r="E123" s="2">
        <f ca="1">INDEX(Simulations!$A$1:$BK$2501, 123, MATCH("SynMargin", Simulations!$A$1:$BK$1, 0))</f>
        <v>9.4754285462496611E-3</v>
      </c>
      <c r="F123" s="2">
        <f ca="1">INDEX(Simulations!$A$1:$BK$2501, 123, MATCH("Yr1Shock", Simulations!$A$1:$BK$1, 0))</f>
        <v>-2.2873871938268318E-2</v>
      </c>
      <c r="G123" s="2">
        <f ca="1">INDEX(Simulations!$A$1:$BK$2501, 123, MATCH("EntryEV", Simulations!$A$1:$BK$1, 0))</f>
        <v>46442418.362704076</v>
      </c>
      <c r="H123" s="2">
        <f ca="1">INDEX(Simulations!$A$1:$BK$2501, 123, MATCH("ExitEV", Simulations!$A$1:$BK$1, 0))</f>
        <v>52995702.373871416</v>
      </c>
      <c r="I123" s="2">
        <f ca="1">INDEX(Simulations!$A$1:$BK$2501, 123, MATCH("IRR", Simulations!$A$1:$BK$1, 0))</f>
        <v>0.13437996831333043</v>
      </c>
      <c r="J123" s="2">
        <f ca="1">INDEX(Simulations!$A$1:$BK$2501, 123, MATCH("NPV_12%", Simulations!$A$1:$BK$1, 0))</f>
        <v>1119771.8521365374</v>
      </c>
    </row>
    <row r="124" spans="1:10" x14ac:dyDescent="0.3">
      <c r="A124" s="2">
        <f>INDEX(Simulations!$A$2:$A$2501,123)</f>
        <v>123</v>
      </c>
      <c r="B124" s="2">
        <f ca="1">INDEX(Simulations!$A$1:$BK$2501, 124, MATCH("PurchaseMultiple", Simulations!$A$1:$BK$1, 0))</f>
        <v>6.5364148596587812</v>
      </c>
      <c r="C124" s="2">
        <f ca="1">INDEX(Simulations!$A$1:$BK$2501, 124, MATCH("ExitMultiple", Simulations!$A$1:$BK$1, 0))</f>
        <v>7.6615730334789607</v>
      </c>
      <c r="D124" s="2">
        <f ca="1">INDEX(Simulations!$A$1:$BK$2501, 124, MATCH("RevCAGR", Simulations!$A$1:$BK$1, 0))</f>
        <v>3.634131663339079E-2</v>
      </c>
      <c r="E124" s="2">
        <f ca="1">INDEX(Simulations!$A$1:$BK$2501, 124, MATCH("SynMargin", Simulations!$A$1:$BK$1, 0))</f>
        <v>8.0031500889901092E-3</v>
      </c>
      <c r="F124" s="2">
        <f ca="1">INDEX(Simulations!$A$1:$BK$2501, 124, MATCH("Yr1Shock", Simulations!$A$1:$BK$1, 0))</f>
        <v>1.4711596243668787E-2</v>
      </c>
      <c r="G124" s="2">
        <f ca="1">INDEX(Simulations!$A$1:$BK$2501, 124, MATCH("EntryEV", Simulations!$A$1:$BK$1, 0))</f>
        <v>39218489.157952689</v>
      </c>
      <c r="H124" s="2">
        <f ca="1">INDEX(Simulations!$A$1:$BK$2501, 124, MATCH("ExitEV", Simulations!$A$1:$BK$1, 0))</f>
        <v>56316945.165795162</v>
      </c>
      <c r="I124" s="2">
        <f ca="1">INDEX(Simulations!$A$1:$BK$2501, 124, MATCH("IRR", Simulations!$A$1:$BK$1, 0))</f>
        <v>0.25348024634214372</v>
      </c>
      <c r="J124" s="2">
        <f ca="1">INDEX(Simulations!$A$1:$BK$2501, 124, MATCH("NPV_12%", Simulations!$A$1:$BK$1, 0))</f>
        <v>10287008.05800594</v>
      </c>
    </row>
    <row r="125" spans="1:10" x14ac:dyDescent="0.3">
      <c r="A125" s="2">
        <f>INDEX(Simulations!$A$2:$A$2501,124)</f>
        <v>124</v>
      </c>
      <c r="B125" s="2">
        <f ca="1">INDEX(Simulations!$A$1:$BK$2501, 125, MATCH("PurchaseMultiple", Simulations!$A$1:$BK$1, 0))</f>
        <v>7.615195923952216</v>
      </c>
      <c r="C125" s="2">
        <f ca="1">INDEX(Simulations!$A$1:$BK$2501, 125, MATCH("ExitMultiple", Simulations!$A$1:$BK$1, 0))</f>
        <v>7.6672338249572345</v>
      </c>
      <c r="D125" s="2">
        <f ca="1">INDEX(Simulations!$A$1:$BK$2501, 125, MATCH("RevCAGR", Simulations!$A$1:$BK$1, 0))</f>
        <v>4.9082248517946542E-2</v>
      </c>
      <c r="E125" s="2">
        <f ca="1">INDEX(Simulations!$A$1:$BK$2501, 125, MATCH("SynMargin", Simulations!$A$1:$BK$1, 0))</f>
        <v>7.3808719092446056E-3</v>
      </c>
      <c r="F125" s="2">
        <f ca="1">INDEX(Simulations!$A$1:$BK$2501, 125, MATCH("Yr1Shock", Simulations!$A$1:$BK$1, 0))</f>
        <v>5.1335786403848872E-3</v>
      </c>
      <c r="G125" s="2">
        <f ca="1">INDEX(Simulations!$A$1:$BK$2501, 125, MATCH("EntryEV", Simulations!$A$1:$BK$1, 0))</f>
        <v>45691175.543713294</v>
      </c>
      <c r="H125" s="2">
        <f ca="1">INDEX(Simulations!$A$1:$BK$2501, 125, MATCH("ExitEV", Simulations!$A$1:$BK$1, 0))</f>
        <v>58419675.312132806</v>
      </c>
      <c r="I125" s="2">
        <f ca="1">INDEX(Simulations!$A$1:$BK$2501, 125, MATCH("IRR", Simulations!$A$1:$BK$1, 0))</f>
        <v>0.18818625207069339</v>
      </c>
      <c r="J125" s="2">
        <f ca="1">INDEX(Simulations!$A$1:$BK$2501, 125, MATCH("NPV_12%", Simulations!$A$1:$BK$1, 0))</f>
        <v>5694050.6643649936</v>
      </c>
    </row>
    <row r="126" spans="1:10" x14ac:dyDescent="0.3">
      <c r="A126" s="2">
        <f>INDEX(Simulations!$A$2:$A$2501,125)</f>
        <v>125</v>
      </c>
      <c r="B126" s="2">
        <f ca="1">INDEX(Simulations!$A$1:$BK$2501, 126, MATCH("PurchaseMultiple", Simulations!$A$1:$BK$1, 0))</f>
        <v>7.20083353422676</v>
      </c>
      <c r="C126" s="2">
        <f ca="1">INDEX(Simulations!$A$1:$BK$2501, 126, MATCH("ExitMultiple", Simulations!$A$1:$BK$1, 0))</f>
        <v>7.0098694827541621</v>
      </c>
      <c r="D126" s="2">
        <f ca="1">INDEX(Simulations!$A$1:$BK$2501, 126, MATCH("RevCAGR", Simulations!$A$1:$BK$1, 0))</f>
        <v>-1.0027373709868621E-2</v>
      </c>
      <c r="E126" s="2">
        <f ca="1">INDEX(Simulations!$A$1:$BK$2501, 126, MATCH("SynMargin", Simulations!$A$1:$BK$1, 0))</f>
        <v>7.5458477106286961E-3</v>
      </c>
      <c r="F126" s="2">
        <f ca="1">INDEX(Simulations!$A$1:$BK$2501, 126, MATCH("Yr1Shock", Simulations!$A$1:$BK$1, 0))</f>
        <v>4.8350246620360009E-3</v>
      </c>
      <c r="G126" s="2">
        <f ca="1">INDEX(Simulations!$A$1:$BK$2501, 126, MATCH("EntryEV", Simulations!$A$1:$BK$1, 0))</f>
        <v>43205001.205360562</v>
      </c>
      <c r="H126" s="2">
        <f ca="1">INDEX(Simulations!$A$1:$BK$2501, 126, MATCH("ExitEV", Simulations!$A$1:$BK$1, 0))</f>
        <v>42379560.322026156</v>
      </c>
      <c r="I126" s="2">
        <f ca="1">INDEX(Simulations!$A$1:$BK$2501, 126, MATCH("IRR", Simulations!$A$1:$BK$1, 0))</f>
        <v>8.2231340327033609E-2</v>
      </c>
      <c r="J126" s="2">
        <f ca="1">INDEX(Simulations!$A$1:$BK$2501, 126, MATCH("NPV_12%", Simulations!$A$1:$BK$1, 0))</f>
        <v>-2417468.3426383305</v>
      </c>
    </row>
    <row r="127" spans="1:10" x14ac:dyDescent="0.3">
      <c r="A127" s="2">
        <f>INDEX(Simulations!$A$2:$A$2501,126)</f>
        <v>126</v>
      </c>
      <c r="B127" s="2">
        <f ca="1">INDEX(Simulations!$A$1:$BK$2501, 127, MATCH("PurchaseMultiple", Simulations!$A$1:$BK$1, 0))</f>
        <v>7.4408709115594105</v>
      </c>
      <c r="C127" s="2">
        <f ca="1">INDEX(Simulations!$A$1:$BK$2501, 127, MATCH("ExitMultiple", Simulations!$A$1:$BK$1, 0))</f>
        <v>7.6017275404614733</v>
      </c>
      <c r="D127" s="2">
        <f ca="1">INDEX(Simulations!$A$1:$BK$2501, 127, MATCH("RevCAGR", Simulations!$A$1:$BK$1, 0))</f>
        <v>3.7428927952936779E-2</v>
      </c>
      <c r="E127" s="2">
        <f ca="1">INDEX(Simulations!$A$1:$BK$2501, 127, MATCH("SynMargin", Simulations!$A$1:$BK$1, 0))</f>
        <v>1.6662293724222333E-2</v>
      </c>
      <c r="F127" s="2">
        <f ca="1">INDEX(Simulations!$A$1:$BK$2501, 127, MATCH("Yr1Shock", Simulations!$A$1:$BK$1, 0))</f>
        <v>8.4124388949950689E-3</v>
      </c>
      <c r="G127" s="2">
        <f ca="1">INDEX(Simulations!$A$1:$BK$2501, 127, MATCH("EntryEV", Simulations!$A$1:$BK$1, 0))</f>
        <v>44645225.469356462</v>
      </c>
      <c r="H127" s="2">
        <f ca="1">INDEX(Simulations!$A$1:$BK$2501, 127, MATCH("ExitEV", Simulations!$A$1:$BK$1, 0))</f>
        <v>58454729.806423329</v>
      </c>
      <c r="I127" s="2">
        <f ca="1">INDEX(Simulations!$A$1:$BK$2501, 127, MATCH("IRR", Simulations!$A$1:$BK$1, 0))</f>
        <v>0.20814541858189628</v>
      </c>
      <c r="J127" s="2">
        <f ca="1">INDEX(Simulations!$A$1:$BK$2501, 127, MATCH("NPV_12%", Simulations!$A$1:$BK$1, 0))</f>
        <v>7287543.5969522186</v>
      </c>
    </row>
    <row r="128" spans="1:10" x14ac:dyDescent="0.3">
      <c r="A128" s="2">
        <f>INDEX(Simulations!$A$2:$A$2501,127)</f>
        <v>127</v>
      </c>
      <c r="B128" s="2">
        <f ca="1">INDEX(Simulations!$A$1:$BK$2501, 128, MATCH("PurchaseMultiple", Simulations!$A$1:$BK$1, 0))</f>
        <v>6.2540270547310248</v>
      </c>
      <c r="C128" s="2">
        <f ca="1">INDEX(Simulations!$A$1:$BK$2501, 128, MATCH("ExitMultiple", Simulations!$A$1:$BK$1, 0))</f>
        <v>7.5457353225754922</v>
      </c>
      <c r="D128" s="2">
        <f ca="1">INDEX(Simulations!$A$1:$BK$2501, 128, MATCH("RevCAGR", Simulations!$A$1:$BK$1, 0))</f>
        <v>5.4318242438165541E-2</v>
      </c>
      <c r="E128" s="2">
        <f ca="1">INDEX(Simulations!$A$1:$BK$2501, 128, MATCH("SynMargin", Simulations!$A$1:$BK$1, 0))</f>
        <v>1.174678119351176E-2</v>
      </c>
      <c r="F128" s="2">
        <f ca="1">INDEX(Simulations!$A$1:$BK$2501, 128, MATCH("Yr1Shock", Simulations!$A$1:$BK$1, 0))</f>
        <v>2.1631019666412388E-2</v>
      </c>
      <c r="G128" s="2">
        <f ca="1">INDEX(Simulations!$A$1:$BK$2501, 128, MATCH("EntryEV", Simulations!$A$1:$BK$1, 0))</f>
        <v>37524162.32838615</v>
      </c>
      <c r="H128" s="2">
        <f ca="1">INDEX(Simulations!$A$1:$BK$2501, 128, MATCH("ExitEV", Simulations!$A$1:$BK$1, 0))</f>
        <v>61068549.272270948</v>
      </c>
      <c r="I128" s="2">
        <f ca="1">INDEX(Simulations!$A$1:$BK$2501, 128, MATCH("IRR", Simulations!$A$1:$BK$1, 0))</f>
        <v>0.3125123966584793</v>
      </c>
      <c r="J128" s="2">
        <f ca="1">INDEX(Simulations!$A$1:$BK$2501, 128, MATCH("NPV_12%", Simulations!$A$1:$BK$1, 0))</f>
        <v>15412989.160441509</v>
      </c>
    </row>
    <row r="129" spans="1:10" x14ac:dyDescent="0.3">
      <c r="A129" s="2">
        <f>INDEX(Simulations!$A$2:$A$2501,128)</f>
        <v>128</v>
      </c>
      <c r="B129" s="2">
        <f ca="1">INDEX(Simulations!$A$1:$BK$2501, 129, MATCH("PurchaseMultiple", Simulations!$A$1:$BK$1, 0))</f>
        <v>7.2681931737198129</v>
      </c>
      <c r="C129" s="2">
        <f ca="1">INDEX(Simulations!$A$1:$BK$2501, 129, MATCH("ExitMultiple", Simulations!$A$1:$BK$1, 0))</f>
        <v>7.0318710814362291</v>
      </c>
      <c r="D129" s="2">
        <f ca="1">INDEX(Simulations!$A$1:$BK$2501, 129, MATCH("RevCAGR", Simulations!$A$1:$BK$1, 0))</f>
        <v>4.4293281070777041E-3</v>
      </c>
      <c r="E129" s="2">
        <f ca="1">INDEX(Simulations!$A$1:$BK$2501, 129, MATCH("SynMargin", Simulations!$A$1:$BK$1, 0))</f>
        <v>1.0715835134868226E-2</v>
      </c>
      <c r="F129" s="2">
        <f ca="1">INDEX(Simulations!$A$1:$BK$2501, 129, MATCH("Yr1Shock", Simulations!$A$1:$BK$1, 0))</f>
        <v>-6.8460871957642735E-3</v>
      </c>
      <c r="G129" s="2">
        <f ca="1">INDEX(Simulations!$A$1:$BK$2501, 129, MATCH("EntryEV", Simulations!$A$1:$BK$1, 0))</f>
        <v>43609159.042318881</v>
      </c>
      <c r="H129" s="2">
        <f ca="1">INDEX(Simulations!$A$1:$BK$2501, 129, MATCH("ExitEV", Simulations!$A$1:$BK$1, 0))</f>
        <v>45315719.701526448</v>
      </c>
      <c r="I129" s="2">
        <f ca="1">INDEX(Simulations!$A$1:$BK$2501, 129, MATCH("IRR", Simulations!$A$1:$BK$1, 0))</f>
        <v>0.10987966110167657</v>
      </c>
      <c r="J129" s="2">
        <f ca="1">INDEX(Simulations!$A$1:$BK$2501, 129, MATCH("NPV_12%", Simulations!$A$1:$BK$1, 0))</f>
        <v>-687508.09849606454</v>
      </c>
    </row>
    <row r="130" spans="1:10" x14ac:dyDescent="0.3">
      <c r="A130" s="2">
        <f>INDEX(Simulations!$A$2:$A$2501,129)</f>
        <v>129</v>
      </c>
      <c r="B130" s="2">
        <f ca="1">INDEX(Simulations!$A$1:$BK$2501, 130, MATCH("PurchaseMultiple", Simulations!$A$1:$BK$1, 0))</f>
        <v>7.0381400097410207</v>
      </c>
      <c r="C130" s="2">
        <f ca="1">INDEX(Simulations!$A$1:$BK$2501, 130, MATCH("ExitMultiple", Simulations!$A$1:$BK$1, 0))</f>
        <v>8.2658060914284448</v>
      </c>
      <c r="D130" s="2">
        <f ca="1">INDEX(Simulations!$A$1:$BK$2501, 130, MATCH("RevCAGR", Simulations!$A$1:$BK$1, 0))</f>
        <v>1.5859586578474669E-2</v>
      </c>
      <c r="E130" s="2">
        <f ca="1">INDEX(Simulations!$A$1:$BK$2501, 130, MATCH("SynMargin", Simulations!$A$1:$BK$1, 0))</f>
        <v>5.4987366752634048E-3</v>
      </c>
      <c r="F130" s="2">
        <f ca="1">INDEX(Simulations!$A$1:$BK$2501, 130, MATCH("Yr1Shock", Simulations!$A$1:$BK$1, 0))</f>
        <v>6.2293080413601597E-4</v>
      </c>
      <c r="G130" s="2">
        <f ca="1">INDEX(Simulations!$A$1:$BK$2501, 130, MATCH("EntryEV", Simulations!$A$1:$BK$1, 0))</f>
        <v>42228840.058446124</v>
      </c>
      <c r="H130" s="2">
        <f ca="1">INDEX(Simulations!$A$1:$BK$2501, 130, MATCH("ExitEV", Simulations!$A$1:$BK$1, 0))</f>
        <v>54544794.735354088</v>
      </c>
      <c r="I130" s="2">
        <f ca="1">INDEX(Simulations!$A$1:$BK$2501, 130, MATCH("IRR", Simulations!$A$1:$BK$1, 0))</f>
        <v>0.19297565209342382</v>
      </c>
      <c r="J130" s="2">
        <f ca="1">INDEX(Simulations!$A$1:$BK$2501, 130, MATCH("NPV_12%", Simulations!$A$1:$BK$1, 0))</f>
        <v>5621205.3658363856</v>
      </c>
    </row>
    <row r="131" spans="1:10" x14ac:dyDescent="0.3">
      <c r="A131" s="2">
        <f>INDEX(Simulations!$A$2:$A$2501,130)</f>
        <v>130</v>
      </c>
      <c r="B131" s="2">
        <f ca="1">INDEX(Simulations!$A$1:$BK$2501, 131, MATCH("PurchaseMultiple", Simulations!$A$1:$BK$1, 0))</f>
        <v>7.4828281587121666</v>
      </c>
      <c r="C131" s="2">
        <f ca="1">INDEX(Simulations!$A$1:$BK$2501, 131, MATCH("ExitMultiple", Simulations!$A$1:$BK$1, 0))</f>
        <v>7.2239604130430912</v>
      </c>
      <c r="D131" s="2">
        <f ca="1">INDEX(Simulations!$A$1:$BK$2501, 131, MATCH("RevCAGR", Simulations!$A$1:$BK$1, 0))</f>
        <v>6.7865349512891054E-2</v>
      </c>
      <c r="E131" s="2">
        <f ca="1">INDEX(Simulations!$A$1:$BK$2501, 131, MATCH("SynMargin", Simulations!$A$1:$BK$1, 0))</f>
        <v>5.9028902334262714E-3</v>
      </c>
      <c r="F131" s="2">
        <f ca="1">INDEX(Simulations!$A$1:$BK$2501, 131, MATCH("Yr1Shock", Simulations!$A$1:$BK$1, 0))</f>
        <v>8.4378267477957652E-3</v>
      </c>
      <c r="G131" s="2">
        <f ca="1">INDEX(Simulations!$A$1:$BK$2501, 131, MATCH("EntryEV", Simulations!$A$1:$BK$1, 0))</f>
        <v>44896968.952272996</v>
      </c>
      <c r="H131" s="2">
        <f ca="1">INDEX(Simulations!$A$1:$BK$2501, 131, MATCH("ExitEV", Simulations!$A$1:$BK$1, 0))</f>
        <v>58795528.933116302</v>
      </c>
      <c r="I131" s="2">
        <f ca="1">INDEX(Simulations!$A$1:$BK$2501, 131, MATCH("IRR", Simulations!$A$1:$BK$1, 0))</f>
        <v>0.20381095718127296</v>
      </c>
      <c r="J131" s="2">
        <f ca="1">INDEX(Simulations!$A$1:$BK$2501, 131, MATCH("NPV_12%", Simulations!$A$1:$BK$1, 0))</f>
        <v>7024052.6127748899</v>
      </c>
    </row>
    <row r="132" spans="1:10" x14ac:dyDescent="0.3">
      <c r="A132" s="2">
        <f>INDEX(Simulations!$A$2:$A$2501,131)</f>
        <v>131</v>
      </c>
      <c r="B132" s="2">
        <f ca="1">INDEX(Simulations!$A$1:$BK$2501, 132, MATCH("PurchaseMultiple", Simulations!$A$1:$BK$1, 0))</f>
        <v>6.9983621995135552</v>
      </c>
      <c r="C132" s="2">
        <f ca="1">INDEX(Simulations!$A$1:$BK$2501, 132, MATCH("ExitMultiple", Simulations!$A$1:$BK$1, 0))</f>
        <v>7.8415654390295737</v>
      </c>
      <c r="D132" s="2">
        <f ca="1">INDEX(Simulations!$A$1:$BK$2501, 132, MATCH("RevCAGR", Simulations!$A$1:$BK$1, 0))</f>
        <v>4.072082922568613E-2</v>
      </c>
      <c r="E132" s="2">
        <f ca="1">INDEX(Simulations!$A$1:$BK$2501, 132, MATCH("SynMargin", Simulations!$A$1:$BK$1, 0))</f>
        <v>1.4058857568686942E-2</v>
      </c>
      <c r="F132" s="2">
        <f ca="1">INDEX(Simulations!$A$1:$BK$2501, 132, MATCH("Yr1Shock", Simulations!$A$1:$BK$1, 0))</f>
        <v>-3.1729231713393105E-2</v>
      </c>
      <c r="G132" s="2">
        <f ca="1">INDEX(Simulations!$A$1:$BK$2501, 132, MATCH("EntryEV", Simulations!$A$1:$BK$1, 0))</f>
        <v>41990173.197081335</v>
      </c>
      <c r="H132" s="2">
        <f ca="1">INDEX(Simulations!$A$1:$BK$2501, 132, MATCH("ExitEV", Simulations!$A$1:$BK$1, 0))</f>
        <v>57825461.130714275</v>
      </c>
      <c r="I132" s="2">
        <f ca="1">INDEX(Simulations!$A$1:$BK$2501, 132, MATCH("IRR", Simulations!$A$1:$BK$1, 0))</f>
        <v>0.22643911483306689</v>
      </c>
      <c r="J132" s="2">
        <f ca="1">INDEX(Simulations!$A$1:$BK$2501, 132, MATCH("NPV_12%", Simulations!$A$1:$BK$1, 0))</f>
        <v>8569433.7293961309</v>
      </c>
    </row>
    <row r="133" spans="1:10" x14ac:dyDescent="0.3">
      <c r="A133" s="2">
        <f>INDEX(Simulations!$A$2:$A$2501,132)</f>
        <v>132</v>
      </c>
      <c r="B133" s="2">
        <f ca="1">INDEX(Simulations!$A$1:$BK$2501, 133, MATCH("PurchaseMultiple", Simulations!$A$1:$BK$1, 0))</f>
        <v>6.4100687550156765</v>
      </c>
      <c r="C133" s="2">
        <f ca="1">INDEX(Simulations!$A$1:$BK$2501, 133, MATCH("ExitMultiple", Simulations!$A$1:$BK$1, 0))</f>
        <v>8.0330381361243699</v>
      </c>
      <c r="D133" s="2">
        <f ca="1">INDEX(Simulations!$A$1:$BK$2501, 133, MATCH("RevCAGR", Simulations!$A$1:$BK$1, 0))</f>
        <v>4.76816581847085E-2</v>
      </c>
      <c r="E133" s="2">
        <f ca="1">INDEX(Simulations!$A$1:$BK$2501, 133, MATCH("SynMargin", Simulations!$A$1:$BK$1, 0))</f>
        <v>1.465298117889899E-2</v>
      </c>
      <c r="F133" s="2">
        <f ca="1">INDEX(Simulations!$A$1:$BK$2501, 133, MATCH("Yr1Shock", Simulations!$A$1:$BK$1, 0))</f>
        <v>-1.332999382724053E-2</v>
      </c>
      <c r="G133" s="2">
        <f ca="1">INDEX(Simulations!$A$1:$BK$2501, 133, MATCH("EntryEV", Simulations!$A$1:$BK$1, 0))</f>
        <v>38460412.530094057</v>
      </c>
      <c r="H133" s="2">
        <f ca="1">INDEX(Simulations!$A$1:$BK$2501, 133, MATCH("ExitEV", Simulations!$A$1:$BK$1, 0))</f>
        <v>62192853.511785276</v>
      </c>
      <c r="I133" s="2">
        <f ca="1">INDEX(Simulations!$A$1:$BK$2501, 133, MATCH("IRR", Simulations!$A$1:$BK$1, 0))</f>
        <v>0.30032141298349635</v>
      </c>
      <c r="J133" s="2">
        <f ca="1">INDEX(Simulations!$A$1:$BK$2501, 133, MATCH("NPV_12%", Simulations!$A$1:$BK$1, 0))</f>
        <v>14734507.169625033</v>
      </c>
    </row>
    <row r="134" spans="1:10" x14ac:dyDescent="0.3">
      <c r="A134" s="2">
        <f>INDEX(Simulations!$A$2:$A$2501,133)</f>
        <v>133</v>
      </c>
      <c r="B134" s="2">
        <f ca="1">INDEX(Simulations!$A$1:$BK$2501, 134, MATCH("PurchaseMultiple", Simulations!$A$1:$BK$1, 0))</f>
        <v>6.50666694696812</v>
      </c>
      <c r="C134" s="2">
        <f ca="1">INDEX(Simulations!$A$1:$BK$2501, 134, MATCH("ExitMultiple", Simulations!$A$1:$BK$1, 0))</f>
        <v>7.8320601970332424</v>
      </c>
      <c r="D134" s="2">
        <f ca="1">INDEX(Simulations!$A$1:$BK$2501, 134, MATCH("RevCAGR", Simulations!$A$1:$BK$1, 0))</f>
        <v>-0.02</v>
      </c>
      <c r="E134" s="2">
        <f ca="1">INDEX(Simulations!$A$1:$BK$2501, 134, MATCH("SynMargin", Simulations!$A$1:$BK$1, 0))</f>
        <v>1.700755366573441E-2</v>
      </c>
      <c r="F134" s="2">
        <f ca="1">INDEX(Simulations!$A$1:$BK$2501, 134, MATCH("Yr1Shock", Simulations!$A$1:$BK$1, 0))</f>
        <v>4.5046258005265766E-2</v>
      </c>
      <c r="G134" s="2">
        <f ca="1">INDEX(Simulations!$A$1:$BK$2501, 134, MATCH("EntryEV", Simulations!$A$1:$BK$1, 0))</f>
        <v>39040001.681808718</v>
      </c>
      <c r="H134" s="2">
        <f ca="1">INDEX(Simulations!$A$1:$BK$2501, 134, MATCH("ExitEV", Simulations!$A$1:$BK$1, 0))</f>
        <v>49790678.385144055</v>
      </c>
      <c r="I134" s="2">
        <f ca="1">INDEX(Simulations!$A$1:$BK$2501, 134, MATCH("IRR", Simulations!$A$1:$BK$1, 0))</f>
        <v>0.21487354597337993</v>
      </c>
      <c r="J134" s="2">
        <f ca="1">INDEX(Simulations!$A$1:$BK$2501, 134, MATCH("NPV_12%", Simulations!$A$1:$BK$1, 0))</f>
        <v>6617712.0550551005</v>
      </c>
    </row>
    <row r="135" spans="1:10" x14ac:dyDescent="0.3">
      <c r="A135" s="2">
        <f>INDEX(Simulations!$A$2:$A$2501,134)</f>
        <v>134</v>
      </c>
      <c r="B135" s="2">
        <f ca="1">INDEX(Simulations!$A$1:$BK$2501, 135, MATCH("PurchaseMultiple", Simulations!$A$1:$BK$1, 0))</f>
        <v>7.1287041724144897</v>
      </c>
      <c r="C135" s="2">
        <f ca="1">INDEX(Simulations!$A$1:$BK$2501, 135, MATCH("ExitMultiple", Simulations!$A$1:$BK$1, 0))</f>
        <v>7.7290763811681682</v>
      </c>
      <c r="D135" s="2">
        <f ca="1">INDEX(Simulations!$A$1:$BK$2501, 135, MATCH("RevCAGR", Simulations!$A$1:$BK$1, 0))</f>
        <v>3.8787469062642986E-2</v>
      </c>
      <c r="E135" s="2">
        <f ca="1">INDEX(Simulations!$A$1:$BK$2501, 135, MATCH("SynMargin", Simulations!$A$1:$BK$1, 0))</f>
        <v>5.0190499469149729E-3</v>
      </c>
      <c r="F135" s="2">
        <f ca="1">INDEX(Simulations!$A$1:$BK$2501, 135, MATCH("Yr1Shock", Simulations!$A$1:$BK$1, 0))</f>
        <v>-9.7356583647213012E-3</v>
      </c>
      <c r="G135" s="2">
        <f ca="1">INDEX(Simulations!$A$1:$BK$2501, 135, MATCH("EntryEV", Simulations!$A$1:$BK$1, 0))</f>
        <v>42772225.034486942</v>
      </c>
      <c r="H135" s="2">
        <f ca="1">INDEX(Simulations!$A$1:$BK$2501, 135, MATCH("ExitEV", Simulations!$A$1:$BK$1, 0))</f>
        <v>55038856.31157586</v>
      </c>
      <c r="I135" s="2">
        <f ca="1">INDEX(Simulations!$A$1:$BK$2501, 135, MATCH("IRR", Simulations!$A$1:$BK$1, 0))</f>
        <v>0.19360602957602979</v>
      </c>
      <c r="J135" s="2">
        <f ca="1">INDEX(Simulations!$A$1:$BK$2501, 135, MATCH("NPV_12%", Simulations!$A$1:$BK$1, 0))</f>
        <v>5764646.8091313057</v>
      </c>
    </row>
    <row r="136" spans="1:10" x14ac:dyDescent="0.3">
      <c r="A136" s="2">
        <f>INDEX(Simulations!$A$2:$A$2501,135)</f>
        <v>135</v>
      </c>
      <c r="B136" s="2">
        <f ca="1">INDEX(Simulations!$A$1:$BK$2501, 136, MATCH("PurchaseMultiple", Simulations!$A$1:$BK$1, 0))</f>
        <v>7.06281079548158</v>
      </c>
      <c r="C136" s="2">
        <f ca="1">INDEX(Simulations!$A$1:$BK$2501, 136, MATCH("ExitMultiple", Simulations!$A$1:$BK$1, 0))</f>
        <v>7.3041884737059766</v>
      </c>
      <c r="D136" s="2">
        <f ca="1">INDEX(Simulations!$A$1:$BK$2501, 136, MATCH("RevCAGR", Simulations!$A$1:$BK$1, 0))</f>
        <v>2.8495868341093397E-2</v>
      </c>
      <c r="E136" s="2">
        <f ca="1">INDEX(Simulations!$A$1:$BK$2501, 136, MATCH("SynMargin", Simulations!$A$1:$BK$1, 0))</f>
        <v>6.7717749528796219E-3</v>
      </c>
      <c r="F136" s="2">
        <f ca="1">INDEX(Simulations!$A$1:$BK$2501, 136, MATCH("Yr1Shock", Simulations!$A$1:$BK$1, 0))</f>
        <v>2.801170866652369E-2</v>
      </c>
      <c r="G136" s="2">
        <f ca="1">INDEX(Simulations!$A$1:$BK$2501, 136, MATCH("EntryEV", Simulations!$A$1:$BK$1, 0))</f>
        <v>42376864.77288948</v>
      </c>
      <c r="H136" s="2">
        <f ca="1">INDEX(Simulations!$A$1:$BK$2501, 136, MATCH("ExitEV", Simulations!$A$1:$BK$1, 0))</f>
        <v>52403081.503263749</v>
      </c>
      <c r="I136" s="2">
        <f ca="1">INDEX(Simulations!$A$1:$BK$2501, 136, MATCH("IRR", Simulations!$A$1:$BK$1, 0))</f>
        <v>0.18798267917036449</v>
      </c>
      <c r="J136" s="2">
        <f ca="1">INDEX(Simulations!$A$1:$BK$2501, 136, MATCH("NPV_12%", Simulations!$A$1:$BK$1, 0))</f>
        <v>5118261.9928589612</v>
      </c>
    </row>
    <row r="137" spans="1:10" x14ac:dyDescent="0.3">
      <c r="A137" s="2">
        <f>INDEX(Simulations!$A$2:$A$2501,136)</f>
        <v>136</v>
      </c>
      <c r="B137" s="2">
        <f ca="1">INDEX(Simulations!$A$1:$BK$2501, 137, MATCH("PurchaseMultiple", Simulations!$A$1:$BK$1, 0))</f>
        <v>7.1055676697219976</v>
      </c>
      <c r="C137" s="2">
        <f ca="1">INDEX(Simulations!$A$1:$BK$2501, 137, MATCH("ExitMultiple", Simulations!$A$1:$BK$1, 0))</f>
        <v>6.9814495862632624</v>
      </c>
      <c r="D137" s="2">
        <f ca="1">INDEX(Simulations!$A$1:$BK$2501, 137, MATCH("RevCAGR", Simulations!$A$1:$BK$1, 0))</f>
        <v>5.5543443899169209E-2</v>
      </c>
      <c r="E137" s="2">
        <f ca="1">INDEX(Simulations!$A$1:$BK$2501, 137, MATCH("SynMargin", Simulations!$A$1:$BK$1, 0))</f>
        <v>1.7548112490626301E-2</v>
      </c>
      <c r="F137" s="2">
        <f ca="1">INDEX(Simulations!$A$1:$BK$2501, 137, MATCH("Yr1Shock", Simulations!$A$1:$BK$1, 0))</f>
        <v>-4.377209955807769E-2</v>
      </c>
      <c r="G137" s="2">
        <f ca="1">INDEX(Simulations!$A$1:$BK$2501, 137, MATCH("EntryEV", Simulations!$A$1:$BK$1, 0))</f>
        <v>42633406.018331982</v>
      </c>
      <c r="H137" s="2">
        <f ca="1">INDEX(Simulations!$A$1:$BK$2501, 137, MATCH("ExitEV", Simulations!$A$1:$BK$1, 0))</f>
        <v>54813525.546105646</v>
      </c>
      <c r="I137" s="2">
        <f ca="1">INDEX(Simulations!$A$1:$BK$2501, 137, MATCH("IRR", Simulations!$A$1:$BK$1, 0))</f>
        <v>0.20695291406508587</v>
      </c>
      <c r="J137" s="2">
        <f ca="1">INDEX(Simulations!$A$1:$BK$2501, 137, MATCH("NPV_12%", Simulations!$A$1:$BK$1, 0))</f>
        <v>6824729.5621671341</v>
      </c>
    </row>
    <row r="138" spans="1:10" x14ac:dyDescent="0.3">
      <c r="A138" s="2">
        <f>INDEX(Simulations!$A$2:$A$2501,137)</f>
        <v>137</v>
      </c>
      <c r="B138" s="2">
        <f ca="1">INDEX(Simulations!$A$1:$BK$2501, 138, MATCH("PurchaseMultiple", Simulations!$A$1:$BK$1, 0))</f>
        <v>6.7299768826880797</v>
      </c>
      <c r="C138" s="2">
        <f ca="1">INDEX(Simulations!$A$1:$BK$2501, 138, MATCH("ExitMultiple", Simulations!$A$1:$BK$1, 0))</f>
        <v>7.032797134671477</v>
      </c>
      <c r="D138" s="2">
        <f ca="1">INDEX(Simulations!$A$1:$BK$2501, 138, MATCH("RevCAGR", Simulations!$A$1:$BK$1, 0))</f>
        <v>6.1687221789607033E-2</v>
      </c>
      <c r="E138" s="2">
        <f ca="1">INDEX(Simulations!$A$1:$BK$2501, 138, MATCH("SynMargin", Simulations!$A$1:$BK$1, 0))</f>
        <v>2.4740396580646886E-2</v>
      </c>
      <c r="F138" s="2">
        <f ca="1">INDEX(Simulations!$A$1:$BK$2501, 138, MATCH("Yr1Shock", Simulations!$A$1:$BK$1, 0))</f>
        <v>-2.7254593241502416E-2</v>
      </c>
      <c r="G138" s="2">
        <f ca="1">INDEX(Simulations!$A$1:$BK$2501, 138, MATCH("EntryEV", Simulations!$A$1:$BK$1, 0))</f>
        <v>40379861.296128482</v>
      </c>
      <c r="H138" s="2">
        <f ca="1">INDEX(Simulations!$A$1:$BK$2501, 138, MATCH("ExitEV", Simulations!$A$1:$BK$1, 0))</f>
        <v>59677688.318455629</v>
      </c>
      <c r="I138" s="2">
        <f ca="1">INDEX(Simulations!$A$1:$BK$2501, 138, MATCH("IRR", Simulations!$A$1:$BK$1, 0))</f>
        <v>0.27593801706380239</v>
      </c>
      <c r="J138" s="2">
        <f ca="1">INDEX(Simulations!$A$1:$BK$2501, 138, MATCH("NPV_12%", Simulations!$A$1:$BK$1, 0))</f>
        <v>12699395.229734778</v>
      </c>
    </row>
    <row r="139" spans="1:10" x14ac:dyDescent="0.3">
      <c r="A139" s="2">
        <f>INDEX(Simulations!$A$2:$A$2501,138)</f>
        <v>138</v>
      </c>
      <c r="B139" s="2">
        <f ca="1">INDEX(Simulations!$A$1:$BK$2501, 139, MATCH("PurchaseMultiple", Simulations!$A$1:$BK$1, 0))</f>
        <v>6.7639646234411233</v>
      </c>
      <c r="C139" s="2">
        <f ca="1">INDEX(Simulations!$A$1:$BK$2501, 139, MATCH("ExitMultiple", Simulations!$A$1:$BK$1, 0))</f>
        <v>7.9626551563478483</v>
      </c>
      <c r="D139" s="2">
        <f ca="1">INDEX(Simulations!$A$1:$BK$2501, 139, MATCH("RevCAGR", Simulations!$A$1:$BK$1, 0))</f>
        <v>5.3596593639807621E-2</v>
      </c>
      <c r="E139" s="2">
        <f ca="1">INDEX(Simulations!$A$1:$BK$2501, 139, MATCH("SynMargin", Simulations!$A$1:$BK$1, 0))</f>
        <v>8.3216171260315705E-3</v>
      </c>
      <c r="F139" s="2">
        <f ca="1">INDEX(Simulations!$A$1:$BK$2501, 139, MATCH("Yr1Shock", Simulations!$A$1:$BK$1, 0))</f>
        <v>4.1726449131131282E-3</v>
      </c>
      <c r="G139" s="2">
        <f ca="1">INDEX(Simulations!$A$1:$BK$2501, 139, MATCH("EntryEV", Simulations!$A$1:$BK$1, 0))</f>
        <v>40583787.740646742</v>
      </c>
      <c r="H139" s="2">
        <f ca="1">INDEX(Simulations!$A$1:$BK$2501, 139, MATCH("ExitEV", Simulations!$A$1:$BK$1, 0))</f>
        <v>61987072.2836527</v>
      </c>
      <c r="I139" s="2">
        <f ca="1">INDEX(Simulations!$A$1:$BK$2501, 139, MATCH("IRR", Simulations!$A$1:$BK$1, 0))</f>
        <v>0.27015951775855562</v>
      </c>
      <c r="J139" s="2">
        <f ca="1">INDEX(Simulations!$A$1:$BK$2501, 139, MATCH("NPV_12%", Simulations!$A$1:$BK$1, 0))</f>
        <v>12516285.123048794</v>
      </c>
    </row>
    <row r="140" spans="1:10" x14ac:dyDescent="0.3">
      <c r="A140" s="2">
        <f>INDEX(Simulations!$A$2:$A$2501,139)</f>
        <v>139</v>
      </c>
      <c r="B140" s="2">
        <f ca="1">INDEX(Simulations!$A$1:$BK$2501, 140, MATCH("PurchaseMultiple", Simulations!$A$1:$BK$1, 0))</f>
        <v>6.312358009820958</v>
      </c>
      <c r="C140" s="2">
        <f ca="1">INDEX(Simulations!$A$1:$BK$2501, 140, MATCH("ExitMultiple", Simulations!$A$1:$BK$1, 0))</f>
        <v>7.5091693942173601</v>
      </c>
      <c r="D140" s="2">
        <f ca="1">INDEX(Simulations!$A$1:$BK$2501, 140, MATCH("RevCAGR", Simulations!$A$1:$BK$1, 0))</f>
        <v>6.7530279225089598E-3</v>
      </c>
      <c r="E140" s="2">
        <f ca="1">INDEX(Simulations!$A$1:$BK$2501, 140, MATCH("SynMargin", Simulations!$A$1:$BK$1, 0))</f>
        <v>1.1327049414662284E-2</v>
      </c>
      <c r="F140" s="2">
        <f ca="1">INDEX(Simulations!$A$1:$BK$2501, 140, MATCH("Yr1Shock", Simulations!$A$1:$BK$1, 0))</f>
        <v>7.4176193093916203E-3</v>
      </c>
      <c r="G140" s="2">
        <f ca="1">INDEX(Simulations!$A$1:$BK$2501, 140, MATCH("EntryEV", Simulations!$A$1:$BK$1, 0))</f>
        <v>37874148.058925748</v>
      </c>
      <c r="H140" s="2">
        <f ca="1">INDEX(Simulations!$A$1:$BK$2501, 140, MATCH("ExitEV", Simulations!$A$1:$BK$1, 0))</f>
        <v>49708654.60605444</v>
      </c>
      <c r="I140" s="2">
        <f ca="1">INDEX(Simulations!$A$1:$BK$2501, 140, MATCH("IRR", Simulations!$A$1:$BK$1, 0))</f>
        <v>0.22469408522540602</v>
      </c>
      <c r="J140" s="2">
        <f ca="1">INDEX(Simulations!$A$1:$BK$2501, 140, MATCH("NPV_12%", Simulations!$A$1:$BK$1, 0))</f>
        <v>7287434.698522063</v>
      </c>
    </row>
    <row r="141" spans="1:10" x14ac:dyDescent="0.3">
      <c r="A141" s="2">
        <f>INDEX(Simulations!$A$2:$A$2501,140)</f>
        <v>140</v>
      </c>
      <c r="B141" s="2">
        <f ca="1">INDEX(Simulations!$A$1:$BK$2501, 141, MATCH("PurchaseMultiple", Simulations!$A$1:$BK$1, 0))</f>
        <v>6.3769488745689964</v>
      </c>
      <c r="C141" s="2">
        <f ca="1">INDEX(Simulations!$A$1:$BK$2501, 141, MATCH("ExitMultiple", Simulations!$A$1:$BK$1, 0))</f>
        <v>7.7922450687419138</v>
      </c>
      <c r="D141" s="2">
        <f ca="1">INDEX(Simulations!$A$1:$BK$2501, 141, MATCH("RevCAGR", Simulations!$A$1:$BK$1, 0))</f>
        <v>3.8526541272666075E-2</v>
      </c>
      <c r="E141" s="2">
        <f ca="1">INDEX(Simulations!$A$1:$BK$2501, 141, MATCH("SynMargin", Simulations!$A$1:$BK$1, 0))</f>
        <v>2.0013913102929409E-2</v>
      </c>
      <c r="F141" s="2">
        <f ca="1">INDEX(Simulations!$A$1:$BK$2501, 141, MATCH("Yr1Shock", Simulations!$A$1:$BK$1, 0))</f>
        <v>-2.4156007381063875E-2</v>
      </c>
      <c r="G141" s="2">
        <f ca="1">INDEX(Simulations!$A$1:$BK$2501, 141, MATCH("EntryEV", Simulations!$A$1:$BK$1, 0))</f>
        <v>38261693.247413978</v>
      </c>
      <c r="H141" s="2">
        <f ca="1">INDEX(Simulations!$A$1:$BK$2501, 141, MATCH("ExitEV", Simulations!$A$1:$BK$1, 0))</f>
        <v>59267930.436651573</v>
      </c>
      <c r="I141" s="2">
        <f ca="1">INDEX(Simulations!$A$1:$BK$2501, 141, MATCH("IRR", Simulations!$A$1:$BK$1, 0))</f>
        <v>0.28929640706080284</v>
      </c>
      <c r="J141" s="2">
        <f ca="1">INDEX(Simulations!$A$1:$BK$2501, 141, MATCH("NPV_12%", Simulations!$A$1:$BK$1, 0))</f>
        <v>13366667.898958514</v>
      </c>
    </row>
    <row r="142" spans="1:10" x14ac:dyDescent="0.3">
      <c r="A142" s="2">
        <f>INDEX(Simulations!$A$2:$A$2501,141)</f>
        <v>141</v>
      </c>
      <c r="B142" s="2">
        <f ca="1">INDEX(Simulations!$A$1:$BK$2501, 142, MATCH("PurchaseMultiple", Simulations!$A$1:$BK$1, 0))</f>
        <v>7.2009847741038531</v>
      </c>
      <c r="C142" s="2">
        <f ca="1">INDEX(Simulations!$A$1:$BK$2501, 142, MATCH("ExitMultiple", Simulations!$A$1:$BK$1, 0))</f>
        <v>7.4083569936327685</v>
      </c>
      <c r="D142" s="2">
        <f ca="1">INDEX(Simulations!$A$1:$BK$2501, 142, MATCH("RevCAGR", Simulations!$A$1:$BK$1, 0))</f>
        <v>6.7975853467808323E-2</v>
      </c>
      <c r="E142" s="2">
        <f ca="1">INDEX(Simulations!$A$1:$BK$2501, 142, MATCH("SynMargin", Simulations!$A$1:$BK$1, 0))</f>
        <v>1.5240082433044588E-2</v>
      </c>
      <c r="F142" s="2">
        <f ca="1">INDEX(Simulations!$A$1:$BK$2501, 142, MATCH("Yr1Shock", Simulations!$A$1:$BK$1, 0))</f>
        <v>1.7643832585453541E-2</v>
      </c>
      <c r="G142" s="2">
        <f ca="1">INDEX(Simulations!$A$1:$BK$2501, 142, MATCH("EntryEV", Simulations!$A$1:$BK$1, 0))</f>
        <v>43205908.644623116</v>
      </c>
      <c r="H142" s="2">
        <f ca="1">INDEX(Simulations!$A$1:$BK$2501, 142, MATCH("ExitEV", Simulations!$A$1:$BK$1, 0))</f>
        <v>64077104.850072272</v>
      </c>
      <c r="I142" s="2">
        <f ca="1">INDEX(Simulations!$A$1:$BK$2501, 142, MATCH("IRR", Simulations!$A$1:$BK$1, 0))</f>
        <v>0.26395291286477462</v>
      </c>
      <c r="J142" s="2">
        <f ca="1">INDEX(Simulations!$A$1:$BK$2501, 142, MATCH("NPV_12%", Simulations!$A$1:$BK$1, 0))</f>
        <v>12583442.596198197</v>
      </c>
    </row>
    <row r="143" spans="1:10" x14ac:dyDescent="0.3">
      <c r="A143" s="2">
        <f>INDEX(Simulations!$A$2:$A$2501,142)</f>
        <v>142</v>
      </c>
      <c r="B143" s="2">
        <f ca="1">INDEX(Simulations!$A$1:$BK$2501, 143, MATCH("PurchaseMultiple", Simulations!$A$1:$BK$1, 0))</f>
        <v>7.7242456776736184</v>
      </c>
      <c r="C143" s="2">
        <f ca="1">INDEX(Simulations!$A$1:$BK$2501, 143, MATCH("ExitMultiple", Simulations!$A$1:$BK$1, 0))</f>
        <v>6.9884964746858085</v>
      </c>
      <c r="D143" s="2">
        <f ca="1">INDEX(Simulations!$A$1:$BK$2501, 143, MATCH("RevCAGR", Simulations!$A$1:$BK$1, 0))</f>
        <v>2.44709970506156E-2</v>
      </c>
      <c r="E143" s="2">
        <f ca="1">INDEX(Simulations!$A$1:$BK$2501, 143, MATCH("SynMargin", Simulations!$A$1:$BK$1, 0))</f>
        <v>4.8091350404335107E-3</v>
      </c>
      <c r="F143" s="2">
        <f ca="1">INDEX(Simulations!$A$1:$BK$2501, 143, MATCH("Yr1Shock", Simulations!$A$1:$BK$1, 0))</f>
        <v>-1.8866643858780455E-2</v>
      </c>
      <c r="G143" s="2">
        <f ca="1">INDEX(Simulations!$A$1:$BK$2501, 143, MATCH("EntryEV", Simulations!$A$1:$BK$1, 0))</f>
        <v>46345474.066041708</v>
      </c>
      <c r="H143" s="2">
        <f ca="1">INDEX(Simulations!$A$1:$BK$2501, 143, MATCH("ExitEV", Simulations!$A$1:$BK$1, 0))</f>
        <v>46588351.112954013</v>
      </c>
      <c r="I143" s="2">
        <f ca="1">INDEX(Simulations!$A$1:$BK$2501, 143, MATCH("IRR", Simulations!$A$1:$BK$1, 0))</f>
        <v>8.2067204920952097E-2</v>
      </c>
      <c r="J143" s="2">
        <f ca="1">INDEX(Simulations!$A$1:$BK$2501, 143, MATCH("NPV_12%", Simulations!$A$1:$BK$1, 0))</f>
        <v>-2681742.1897912361</v>
      </c>
    </row>
    <row r="144" spans="1:10" x14ac:dyDescent="0.3">
      <c r="A144" s="2">
        <f>INDEX(Simulations!$A$2:$A$2501,143)</f>
        <v>143</v>
      </c>
      <c r="B144" s="2">
        <f ca="1">INDEX(Simulations!$A$1:$BK$2501, 144, MATCH("PurchaseMultiple", Simulations!$A$1:$BK$1, 0))</f>
        <v>7.7711712260456345</v>
      </c>
      <c r="C144" s="2">
        <f ca="1">INDEX(Simulations!$A$1:$BK$2501, 144, MATCH("ExitMultiple", Simulations!$A$1:$BK$1, 0))</f>
        <v>7.8085377838508707</v>
      </c>
      <c r="D144" s="2">
        <f ca="1">INDEX(Simulations!$A$1:$BK$2501, 144, MATCH("RevCAGR", Simulations!$A$1:$BK$1, 0))</f>
        <v>8.0971969430260221E-2</v>
      </c>
      <c r="E144" s="2">
        <f ca="1">INDEX(Simulations!$A$1:$BK$2501, 144, MATCH("SynMargin", Simulations!$A$1:$BK$1, 0))</f>
        <v>1.1046502001867468E-2</v>
      </c>
      <c r="F144" s="2">
        <f ca="1">INDEX(Simulations!$A$1:$BK$2501, 144, MATCH("Yr1Shock", Simulations!$A$1:$BK$1, 0))</f>
        <v>1.2638489780867984E-2</v>
      </c>
      <c r="G144" s="2">
        <f ca="1">INDEX(Simulations!$A$1:$BK$2501, 144, MATCH("EntryEV", Simulations!$A$1:$BK$1, 0))</f>
        <v>46627027.356273808</v>
      </c>
      <c r="H144" s="2">
        <f ca="1">INDEX(Simulations!$A$1:$BK$2501, 144, MATCH("ExitEV", Simulations!$A$1:$BK$1, 0))</f>
        <v>68953047.921830952</v>
      </c>
      <c r="I144" s="2">
        <f ca="1">INDEX(Simulations!$A$1:$BK$2501, 144, MATCH("IRR", Simulations!$A$1:$BK$1, 0))</f>
        <v>0.24748030276654998</v>
      </c>
      <c r="J144" s="2">
        <f ca="1">INDEX(Simulations!$A$1:$BK$2501, 144, MATCH("NPV_12%", Simulations!$A$1:$BK$1, 0))</f>
        <v>12045060.905466884</v>
      </c>
    </row>
    <row r="145" spans="1:10" x14ac:dyDescent="0.3">
      <c r="A145" s="2">
        <f>INDEX(Simulations!$A$2:$A$2501,144)</f>
        <v>144</v>
      </c>
      <c r="B145" s="2">
        <f ca="1">INDEX(Simulations!$A$1:$BK$2501, 145, MATCH("PurchaseMultiple", Simulations!$A$1:$BK$1, 0))</f>
        <v>6.7911286658304792</v>
      </c>
      <c r="C145" s="2">
        <f ca="1">INDEX(Simulations!$A$1:$BK$2501, 145, MATCH("ExitMultiple", Simulations!$A$1:$BK$1, 0))</f>
        <v>7.509096292840626</v>
      </c>
      <c r="D145" s="2">
        <f ca="1">INDEX(Simulations!$A$1:$BK$2501, 145, MATCH("RevCAGR", Simulations!$A$1:$BK$1, 0))</f>
        <v>4.0325357913534574E-2</v>
      </c>
      <c r="E145" s="2">
        <f ca="1">INDEX(Simulations!$A$1:$BK$2501, 145, MATCH("SynMargin", Simulations!$A$1:$BK$1, 0))</f>
        <v>1.410616736089888E-2</v>
      </c>
      <c r="F145" s="2">
        <f ca="1">INDEX(Simulations!$A$1:$BK$2501, 145, MATCH("Yr1Shock", Simulations!$A$1:$BK$1, 0))</f>
        <v>-1.3185589552286851E-3</v>
      </c>
      <c r="G145" s="2">
        <f ca="1">INDEX(Simulations!$A$1:$BK$2501, 145, MATCH("EntryEV", Simulations!$A$1:$BK$1, 0))</f>
        <v>40746771.994982876</v>
      </c>
      <c r="H145" s="2">
        <f ca="1">INDEX(Simulations!$A$1:$BK$2501, 145, MATCH("ExitEV", Simulations!$A$1:$BK$1, 0))</f>
        <v>57040677.136870474</v>
      </c>
      <c r="I145" s="2">
        <f ca="1">INDEX(Simulations!$A$1:$BK$2501, 145, MATCH("IRR", Simulations!$A$1:$BK$1, 0))</f>
        <v>0.24335606233562523</v>
      </c>
      <c r="J145" s="2">
        <f ca="1">INDEX(Simulations!$A$1:$BK$2501, 145, MATCH("NPV_12%", Simulations!$A$1:$BK$1, 0))</f>
        <v>9732237.0408251509</v>
      </c>
    </row>
    <row r="146" spans="1:10" x14ac:dyDescent="0.3">
      <c r="A146" s="2">
        <f>INDEX(Simulations!$A$2:$A$2501,145)</f>
        <v>145</v>
      </c>
      <c r="B146" s="2">
        <f ca="1">INDEX(Simulations!$A$1:$BK$2501, 146, MATCH("PurchaseMultiple", Simulations!$A$1:$BK$1, 0))</f>
        <v>7.4569501080126361</v>
      </c>
      <c r="C146" s="2">
        <f ca="1">INDEX(Simulations!$A$1:$BK$2501, 146, MATCH("ExitMultiple", Simulations!$A$1:$BK$1, 0))</f>
        <v>7.3916104276172696</v>
      </c>
      <c r="D146" s="2">
        <f ca="1">INDEX(Simulations!$A$1:$BK$2501, 146, MATCH("RevCAGR", Simulations!$A$1:$BK$1, 0))</f>
        <v>2.1491802676957539E-2</v>
      </c>
      <c r="E146" s="2">
        <f ca="1">INDEX(Simulations!$A$1:$BK$2501, 146, MATCH("SynMargin", Simulations!$A$1:$BK$1, 0))</f>
        <v>0</v>
      </c>
      <c r="F146" s="2">
        <f ca="1">INDEX(Simulations!$A$1:$BK$2501, 146, MATCH("Yr1Shock", Simulations!$A$1:$BK$1, 0))</f>
        <v>1.5602211896534169E-2</v>
      </c>
      <c r="G146" s="2">
        <f ca="1">INDEX(Simulations!$A$1:$BK$2501, 146, MATCH("EntryEV", Simulations!$A$1:$BK$1, 0))</f>
        <v>44741700.648075819</v>
      </c>
      <c r="H146" s="2">
        <f ca="1">INDEX(Simulations!$A$1:$BK$2501, 146, MATCH("ExitEV", Simulations!$A$1:$BK$1, 0))</f>
        <v>49040343.243891865</v>
      </c>
      <c r="I146" s="2">
        <f ca="1">INDEX(Simulations!$A$1:$BK$2501, 146, MATCH("IRR", Simulations!$A$1:$BK$1, 0))</f>
        <v>0.12164965253849847</v>
      </c>
      <c r="J146" s="2">
        <f ca="1">INDEX(Simulations!$A$1:$BK$2501, 146, MATCH("NPV_12%", Simulations!$A$1:$BK$1, 0))</f>
        <v>120046.16797466576</v>
      </c>
    </row>
    <row r="147" spans="1:10" x14ac:dyDescent="0.3">
      <c r="A147" s="2">
        <f>INDEX(Simulations!$A$2:$A$2501,146)</f>
        <v>146</v>
      </c>
      <c r="B147" s="2">
        <f ca="1">INDEX(Simulations!$A$1:$BK$2501, 147, MATCH("PurchaseMultiple", Simulations!$A$1:$BK$1, 0))</f>
        <v>7.1585100528187837</v>
      </c>
      <c r="C147" s="2">
        <f ca="1">INDEX(Simulations!$A$1:$BK$2501, 147, MATCH("ExitMultiple", Simulations!$A$1:$BK$1, 0))</f>
        <v>8.3225862969994253</v>
      </c>
      <c r="D147" s="2">
        <f ca="1">INDEX(Simulations!$A$1:$BK$2501, 147, MATCH("RevCAGR", Simulations!$A$1:$BK$1, 0))</f>
        <v>7.3910358273306165E-2</v>
      </c>
      <c r="E147" s="2">
        <f ca="1">INDEX(Simulations!$A$1:$BK$2501, 147, MATCH("SynMargin", Simulations!$A$1:$BK$1, 0))</f>
        <v>8.6682887028416301E-3</v>
      </c>
      <c r="F147" s="2">
        <f ca="1">INDEX(Simulations!$A$1:$BK$2501, 147, MATCH("Yr1Shock", Simulations!$A$1:$BK$1, 0))</f>
        <v>2.0609743448272376E-3</v>
      </c>
      <c r="G147" s="2">
        <f ca="1">INDEX(Simulations!$A$1:$BK$2501, 147, MATCH("EntryEV", Simulations!$A$1:$BK$1, 0))</f>
        <v>42951060.316912703</v>
      </c>
      <c r="H147" s="2">
        <f ca="1">INDEX(Simulations!$A$1:$BK$2501, 147, MATCH("ExitEV", Simulations!$A$1:$BK$1, 0))</f>
        <v>69919572.886488587</v>
      </c>
      <c r="I147" s="2">
        <f ca="1">INDEX(Simulations!$A$1:$BK$2501, 147, MATCH("IRR", Simulations!$A$1:$BK$1, 0))</f>
        <v>0.28596352280484072</v>
      </c>
      <c r="J147" s="2">
        <f ca="1">INDEX(Simulations!$A$1:$BK$2501, 147, MATCH("NPV_12%", Simulations!$A$1:$BK$1, 0))</f>
        <v>15317811.822073236</v>
      </c>
    </row>
    <row r="148" spans="1:10" x14ac:dyDescent="0.3">
      <c r="A148" s="2">
        <f>INDEX(Simulations!$A$2:$A$2501,147)</f>
        <v>147</v>
      </c>
      <c r="B148" s="2">
        <f ca="1">INDEX(Simulations!$A$1:$BK$2501, 148, MATCH("PurchaseMultiple", Simulations!$A$1:$BK$1, 0))</f>
        <v>6.8376094913181582</v>
      </c>
      <c r="C148" s="2">
        <f ca="1">INDEX(Simulations!$A$1:$BK$2501, 148, MATCH("ExitMultiple", Simulations!$A$1:$BK$1, 0))</f>
        <v>7.2985969252656746</v>
      </c>
      <c r="D148" s="2">
        <f ca="1">INDEX(Simulations!$A$1:$BK$2501, 148, MATCH("RevCAGR", Simulations!$A$1:$BK$1, 0))</f>
        <v>2.3319519425999885E-2</v>
      </c>
      <c r="E148" s="2">
        <f ca="1">INDEX(Simulations!$A$1:$BK$2501, 148, MATCH("SynMargin", Simulations!$A$1:$BK$1, 0))</f>
        <v>3.1255765511760923E-4</v>
      </c>
      <c r="F148" s="2">
        <f ca="1">INDEX(Simulations!$A$1:$BK$2501, 148, MATCH("Yr1Shock", Simulations!$A$1:$BK$1, 0))</f>
        <v>-3.3722329332753942E-3</v>
      </c>
      <c r="G148" s="2">
        <f ca="1">INDEX(Simulations!$A$1:$BK$2501, 148, MATCH("EntryEV", Simulations!$A$1:$BK$1, 0))</f>
        <v>41025656.947908953</v>
      </c>
      <c r="H148" s="2">
        <f ca="1">INDEX(Simulations!$A$1:$BK$2501, 148, MATCH("ExitEV", Simulations!$A$1:$BK$1, 0))</f>
        <v>47946813.940835774</v>
      </c>
      <c r="I148" s="2">
        <f ca="1">INDEX(Simulations!$A$1:$BK$2501, 148, MATCH("IRR", Simulations!$A$1:$BK$1, 0))</f>
        <v>0.15857243536835997</v>
      </c>
      <c r="J148" s="2">
        <f ca="1">INDEX(Simulations!$A$1:$BK$2501, 148, MATCH("NPV_12%", Simulations!$A$1:$BK$1, 0))</f>
        <v>2699950.6182457656</v>
      </c>
    </row>
    <row r="149" spans="1:10" x14ac:dyDescent="0.3">
      <c r="A149" s="2">
        <f>INDEX(Simulations!$A$2:$A$2501,148)</f>
        <v>148</v>
      </c>
      <c r="B149" s="2">
        <f ca="1">INDEX(Simulations!$A$1:$BK$2501, 149, MATCH("PurchaseMultiple", Simulations!$A$1:$BK$1, 0))</f>
        <v>7.0121224854546034</v>
      </c>
      <c r="C149" s="2">
        <f ca="1">INDEX(Simulations!$A$1:$BK$2501, 149, MATCH("ExitMultiple", Simulations!$A$1:$BK$1, 0))</f>
        <v>7.5892064230052503</v>
      </c>
      <c r="D149" s="2">
        <f ca="1">INDEX(Simulations!$A$1:$BK$2501, 149, MATCH("RevCAGR", Simulations!$A$1:$BK$1, 0))</f>
        <v>4.4753301047105544E-2</v>
      </c>
      <c r="E149" s="2">
        <f ca="1">INDEX(Simulations!$A$1:$BK$2501, 149, MATCH("SynMargin", Simulations!$A$1:$BK$1, 0))</f>
        <v>8.8552026043616002E-3</v>
      </c>
      <c r="F149" s="2">
        <f ca="1">INDEX(Simulations!$A$1:$BK$2501, 149, MATCH("Yr1Shock", Simulations!$A$1:$BK$1, 0))</f>
        <v>1.7427300743656417E-2</v>
      </c>
      <c r="G149" s="2">
        <f ca="1">INDEX(Simulations!$A$1:$BK$2501, 149, MATCH("EntryEV", Simulations!$A$1:$BK$1, 0))</f>
        <v>42072734.912727617</v>
      </c>
      <c r="H149" s="2">
        <f ca="1">INDEX(Simulations!$A$1:$BK$2501, 149, MATCH("ExitEV", Simulations!$A$1:$BK$1, 0))</f>
        <v>58046955.441511393</v>
      </c>
      <c r="I149" s="2">
        <f ca="1">INDEX(Simulations!$A$1:$BK$2501, 149, MATCH("IRR", Simulations!$A$1:$BK$1, 0))</f>
        <v>0.2313427922832183</v>
      </c>
      <c r="J149" s="2">
        <f ca="1">INDEX(Simulations!$A$1:$BK$2501, 149, MATCH("NPV_12%", Simulations!$A$1:$BK$1, 0))</f>
        <v>8993323.7315949798</v>
      </c>
    </row>
    <row r="150" spans="1:10" x14ac:dyDescent="0.3">
      <c r="A150" s="2">
        <f>INDEX(Simulations!$A$2:$A$2501,149)</f>
        <v>149</v>
      </c>
      <c r="B150" s="2">
        <f ca="1">INDEX(Simulations!$A$1:$BK$2501, 150, MATCH("PurchaseMultiple", Simulations!$A$1:$BK$1, 0))</f>
        <v>7.3653546886580123</v>
      </c>
      <c r="C150" s="2">
        <f ca="1">INDEX(Simulations!$A$1:$BK$2501, 150, MATCH("ExitMultiple", Simulations!$A$1:$BK$1, 0))</f>
        <v>8.1485510679403408</v>
      </c>
      <c r="D150" s="2">
        <f ca="1">INDEX(Simulations!$A$1:$BK$2501, 150, MATCH("RevCAGR", Simulations!$A$1:$BK$1, 0))</f>
        <v>2.1028139258050148E-2</v>
      </c>
      <c r="E150" s="2">
        <f ca="1">INDEX(Simulations!$A$1:$BK$2501, 150, MATCH("SynMargin", Simulations!$A$1:$BK$1, 0))</f>
        <v>7.2519256206219455E-3</v>
      </c>
      <c r="F150" s="2">
        <f ca="1">INDEX(Simulations!$A$1:$BK$2501, 150, MATCH("Yr1Shock", Simulations!$A$1:$BK$1, 0))</f>
        <v>-5.2358107395563236E-6</v>
      </c>
      <c r="G150" s="2">
        <f ca="1">INDEX(Simulations!$A$1:$BK$2501, 150, MATCH("EntryEV", Simulations!$A$1:$BK$1, 0))</f>
        <v>44192128.131948076</v>
      </c>
      <c r="H150" s="2">
        <f ca="1">INDEX(Simulations!$A$1:$BK$2501, 150, MATCH("ExitEV", Simulations!$A$1:$BK$1, 0))</f>
        <v>55382704.423123561</v>
      </c>
      <c r="I150" s="2">
        <f ca="1">INDEX(Simulations!$A$1:$BK$2501, 150, MATCH("IRR", Simulations!$A$1:$BK$1, 0))</f>
        <v>0.17785275794062461</v>
      </c>
      <c r="J150" s="2">
        <f ca="1">INDEX(Simulations!$A$1:$BK$2501, 150, MATCH("NPV_12%", Simulations!$A$1:$BK$1, 0))</f>
        <v>4575098.145918116</v>
      </c>
    </row>
    <row r="151" spans="1:10" x14ac:dyDescent="0.3">
      <c r="A151" s="2">
        <f>INDEX(Simulations!$A$2:$A$2501,150)</f>
        <v>150</v>
      </c>
      <c r="B151" s="2">
        <f ca="1">INDEX(Simulations!$A$1:$BK$2501, 151, MATCH("PurchaseMultiple", Simulations!$A$1:$BK$1, 0))</f>
        <v>6.6034349117839461</v>
      </c>
      <c r="C151" s="2">
        <f ca="1">INDEX(Simulations!$A$1:$BK$2501, 151, MATCH("ExitMultiple", Simulations!$A$1:$BK$1, 0))</f>
        <v>6.8449360250157172</v>
      </c>
      <c r="D151" s="2">
        <f ca="1">INDEX(Simulations!$A$1:$BK$2501, 151, MATCH("RevCAGR", Simulations!$A$1:$BK$1, 0))</f>
        <v>8.1366709453454394E-4</v>
      </c>
      <c r="E151" s="2">
        <f ca="1">INDEX(Simulations!$A$1:$BK$2501, 151, MATCH("SynMargin", Simulations!$A$1:$BK$1, 0))</f>
        <v>8.991322485908209E-3</v>
      </c>
      <c r="F151" s="2">
        <f ca="1">INDEX(Simulations!$A$1:$BK$2501, 151, MATCH("Yr1Shock", Simulations!$A$1:$BK$1, 0))</f>
        <v>1.3054784215028202E-2</v>
      </c>
      <c r="G151" s="2">
        <f ca="1">INDEX(Simulations!$A$1:$BK$2501, 151, MATCH("EntryEV", Simulations!$A$1:$BK$1, 0))</f>
        <v>39620609.470703676</v>
      </c>
      <c r="H151" s="2">
        <f ca="1">INDEX(Simulations!$A$1:$BK$2501, 151, MATCH("ExitEV", Simulations!$A$1:$BK$1, 0))</f>
        <v>43930657.424776934</v>
      </c>
      <c r="I151" s="2">
        <f ca="1">INDEX(Simulations!$A$1:$BK$2501, 151, MATCH("IRR", Simulations!$A$1:$BK$1, 0))</f>
        <v>0.154227503217925</v>
      </c>
      <c r="J151" s="2">
        <f ca="1">INDEX(Simulations!$A$1:$BK$2501, 151, MATCH("NPV_12%", Simulations!$A$1:$BK$1, 0))</f>
        <v>2215491.1435978413</v>
      </c>
    </row>
    <row r="152" spans="1:10" x14ac:dyDescent="0.3">
      <c r="A152" s="2">
        <f>INDEX(Simulations!$A$2:$A$2501,151)</f>
        <v>151</v>
      </c>
      <c r="B152" s="2">
        <f ca="1">INDEX(Simulations!$A$1:$BK$2501, 152, MATCH("PurchaseMultiple", Simulations!$A$1:$BK$1, 0))</f>
        <v>7.1220904648350194</v>
      </c>
      <c r="C152" s="2">
        <f ca="1">INDEX(Simulations!$A$1:$BK$2501, 152, MATCH("ExitMultiple", Simulations!$A$1:$BK$1, 0))</f>
        <v>7.8976777938004226</v>
      </c>
      <c r="D152" s="2">
        <f ca="1">INDEX(Simulations!$A$1:$BK$2501, 152, MATCH("RevCAGR", Simulations!$A$1:$BK$1, 0))</f>
        <v>8.0557418253701607E-2</v>
      </c>
      <c r="E152" s="2">
        <f ca="1">INDEX(Simulations!$A$1:$BK$2501, 152, MATCH("SynMargin", Simulations!$A$1:$BK$1, 0))</f>
        <v>5.9207956783607968E-3</v>
      </c>
      <c r="F152" s="2">
        <f ca="1">INDEX(Simulations!$A$1:$BK$2501, 152, MATCH("Yr1Shock", Simulations!$A$1:$BK$1, 0))</f>
        <v>6.5620626742092349E-3</v>
      </c>
      <c r="G152" s="2">
        <f ca="1">INDEX(Simulations!$A$1:$BK$2501, 152, MATCH("EntryEV", Simulations!$A$1:$BK$1, 0))</f>
        <v>42732542.789010115</v>
      </c>
      <c r="H152" s="2">
        <f ca="1">INDEX(Simulations!$A$1:$BK$2501, 152, MATCH("ExitEV", Simulations!$A$1:$BK$1, 0))</f>
        <v>67271181.221310586</v>
      </c>
      <c r="I152" s="2">
        <f ca="1">INDEX(Simulations!$A$1:$BK$2501, 152, MATCH("IRR", Simulations!$A$1:$BK$1, 0))</f>
        <v>0.27567024524143147</v>
      </c>
      <c r="J152" s="2">
        <f ca="1">INDEX(Simulations!$A$1:$BK$2501, 152, MATCH("NPV_12%", Simulations!$A$1:$BK$1, 0))</f>
        <v>14018639.335522298</v>
      </c>
    </row>
    <row r="153" spans="1:10" x14ac:dyDescent="0.3">
      <c r="A153" s="2">
        <f>INDEX(Simulations!$A$2:$A$2501,152)</f>
        <v>152</v>
      </c>
      <c r="B153" s="2">
        <f ca="1">INDEX(Simulations!$A$1:$BK$2501, 153, MATCH("PurchaseMultiple", Simulations!$A$1:$BK$1, 0))</f>
        <v>7.1089986740693139</v>
      </c>
      <c r="C153" s="2">
        <f ca="1">INDEX(Simulations!$A$1:$BK$2501, 153, MATCH("ExitMultiple", Simulations!$A$1:$BK$1, 0))</f>
        <v>7.5710250653482207</v>
      </c>
      <c r="D153" s="2">
        <f ca="1">INDEX(Simulations!$A$1:$BK$2501, 153, MATCH("RevCAGR", Simulations!$A$1:$BK$1, 0))</f>
        <v>4.3029543918692938E-2</v>
      </c>
      <c r="E153" s="2">
        <f ca="1">INDEX(Simulations!$A$1:$BK$2501, 153, MATCH("SynMargin", Simulations!$A$1:$BK$1, 0))</f>
        <v>7.7588969025305264E-3</v>
      </c>
      <c r="F153" s="2">
        <f ca="1">INDEX(Simulations!$A$1:$BK$2501, 153, MATCH("Yr1Shock", Simulations!$A$1:$BK$1, 0))</f>
        <v>-1.7113332099873448E-2</v>
      </c>
      <c r="G153" s="2">
        <f ca="1">INDEX(Simulations!$A$1:$BK$2501, 153, MATCH("EntryEV", Simulations!$A$1:$BK$1, 0))</f>
        <v>42653992.044415884</v>
      </c>
      <c r="H153" s="2">
        <f ca="1">INDEX(Simulations!$A$1:$BK$2501, 153, MATCH("ExitEV", Simulations!$A$1:$BK$1, 0))</f>
        <v>55235748.851032227</v>
      </c>
      <c r="I153" s="2">
        <f ca="1">INDEX(Simulations!$A$1:$BK$2501, 153, MATCH("IRR", Simulations!$A$1:$BK$1, 0))</f>
        <v>0.19932760767674274</v>
      </c>
      <c r="J153" s="2">
        <f ca="1">INDEX(Simulations!$A$1:$BK$2501, 153, MATCH("NPV_12%", Simulations!$A$1:$BK$1, 0))</f>
        <v>6230768.1913887709</v>
      </c>
    </row>
    <row r="154" spans="1:10" x14ac:dyDescent="0.3">
      <c r="A154" s="2">
        <f>INDEX(Simulations!$A$2:$A$2501,153)</f>
        <v>153</v>
      </c>
      <c r="B154" s="2">
        <f ca="1">INDEX(Simulations!$A$1:$BK$2501, 154, MATCH("PurchaseMultiple", Simulations!$A$1:$BK$1, 0))</f>
        <v>6.8798842059031218</v>
      </c>
      <c r="C154" s="2">
        <f ca="1">INDEX(Simulations!$A$1:$BK$2501, 154, MATCH("ExitMultiple", Simulations!$A$1:$BK$1, 0))</f>
        <v>7.8486055446592333</v>
      </c>
      <c r="D154" s="2">
        <f ca="1">INDEX(Simulations!$A$1:$BK$2501, 154, MATCH("RevCAGR", Simulations!$A$1:$BK$1, 0))</f>
        <v>6.6129520322404059E-2</v>
      </c>
      <c r="E154" s="2">
        <f ca="1">INDEX(Simulations!$A$1:$BK$2501, 154, MATCH("SynMargin", Simulations!$A$1:$BK$1, 0))</f>
        <v>7.4012505758555992E-3</v>
      </c>
      <c r="F154" s="2">
        <f ca="1">INDEX(Simulations!$A$1:$BK$2501, 154, MATCH("Yr1Shock", Simulations!$A$1:$BK$1, 0))</f>
        <v>6.663368205694512E-3</v>
      </c>
      <c r="G154" s="2">
        <f ca="1">INDEX(Simulations!$A$1:$BK$2501, 154, MATCH("EntryEV", Simulations!$A$1:$BK$1, 0))</f>
        <v>41279305.235418729</v>
      </c>
      <c r="H154" s="2">
        <f ca="1">INDEX(Simulations!$A$1:$BK$2501, 154, MATCH("ExitEV", Simulations!$A$1:$BK$1, 0))</f>
        <v>63888785.421808064</v>
      </c>
      <c r="I154" s="2">
        <f ca="1">INDEX(Simulations!$A$1:$BK$2501, 154, MATCH("IRR", Simulations!$A$1:$BK$1, 0))</f>
        <v>0.27417393759811448</v>
      </c>
      <c r="J154" s="2">
        <f ca="1">INDEX(Simulations!$A$1:$BK$2501, 154, MATCH("NPV_12%", Simulations!$A$1:$BK$1, 0))</f>
        <v>13221523.830127355</v>
      </c>
    </row>
    <row r="155" spans="1:10" x14ac:dyDescent="0.3">
      <c r="A155" s="2">
        <f>INDEX(Simulations!$A$2:$A$2501,154)</f>
        <v>154</v>
      </c>
      <c r="B155" s="2">
        <f ca="1">INDEX(Simulations!$A$1:$BK$2501, 155, MATCH("PurchaseMultiple", Simulations!$A$1:$BK$1, 0))</f>
        <v>7.8405720939097296</v>
      </c>
      <c r="C155" s="2">
        <f ca="1">INDEX(Simulations!$A$1:$BK$2501, 155, MATCH("ExitMultiple", Simulations!$A$1:$BK$1, 0))</f>
        <v>7.0269249249119685</v>
      </c>
      <c r="D155" s="2">
        <f ca="1">INDEX(Simulations!$A$1:$BK$2501, 155, MATCH("RevCAGR", Simulations!$A$1:$BK$1, 0))</f>
        <v>8.8376378092617905E-2</v>
      </c>
      <c r="E155" s="2">
        <f ca="1">INDEX(Simulations!$A$1:$BK$2501, 155, MATCH("SynMargin", Simulations!$A$1:$BK$1, 0))</f>
        <v>2.0355924923952461E-2</v>
      </c>
      <c r="F155" s="2">
        <f ca="1">INDEX(Simulations!$A$1:$BK$2501, 155, MATCH("Yr1Shock", Simulations!$A$1:$BK$1, 0))</f>
        <v>-2.8011777306058909E-2</v>
      </c>
      <c r="G155" s="2">
        <f ca="1">INDEX(Simulations!$A$1:$BK$2501, 155, MATCH("EntryEV", Simulations!$A$1:$BK$1, 0))</f>
        <v>47043432.563458376</v>
      </c>
      <c r="H155" s="2">
        <f ca="1">INDEX(Simulations!$A$1:$BK$2501, 155, MATCH("ExitEV", Simulations!$A$1:$BK$1, 0))</f>
        <v>64331590.162121497</v>
      </c>
      <c r="I155" s="2">
        <f ca="1">INDEX(Simulations!$A$1:$BK$2501, 155, MATCH("IRR", Simulations!$A$1:$BK$1, 0))</f>
        <v>0.22515081253222413</v>
      </c>
      <c r="J155" s="2">
        <f ca="1">INDEX(Simulations!$A$1:$BK$2501, 155, MATCH("NPV_12%", Simulations!$A$1:$BK$1, 0))</f>
        <v>9561153.2505805902</v>
      </c>
    </row>
    <row r="156" spans="1:10" x14ac:dyDescent="0.3">
      <c r="A156" s="2">
        <f>INDEX(Simulations!$A$2:$A$2501,155)</f>
        <v>155</v>
      </c>
      <c r="B156" s="2">
        <f ca="1">INDEX(Simulations!$A$1:$BK$2501, 156, MATCH("PurchaseMultiple", Simulations!$A$1:$BK$1, 0))</f>
        <v>7.3095335101458945</v>
      </c>
      <c r="C156" s="2">
        <f ca="1">INDEX(Simulations!$A$1:$BK$2501, 156, MATCH("ExitMultiple", Simulations!$A$1:$BK$1, 0))</f>
        <v>8.0021714149326666</v>
      </c>
      <c r="D156" s="2">
        <f ca="1">INDEX(Simulations!$A$1:$BK$2501, 156, MATCH("RevCAGR", Simulations!$A$1:$BK$1, 0))</f>
        <v>2.941825000691678E-2</v>
      </c>
      <c r="E156" s="2">
        <f ca="1">INDEX(Simulations!$A$1:$BK$2501, 156, MATCH("SynMargin", Simulations!$A$1:$BK$1, 0))</f>
        <v>7.8681191733751491E-3</v>
      </c>
      <c r="F156" s="2">
        <f ca="1">INDEX(Simulations!$A$1:$BK$2501, 156, MATCH("Yr1Shock", Simulations!$A$1:$BK$1, 0))</f>
        <v>3.034743037985875E-4</v>
      </c>
      <c r="G156" s="2">
        <f ca="1">INDEX(Simulations!$A$1:$BK$2501, 156, MATCH("EntryEV", Simulations!$A$1:$BK$1, 0))</f>
        <v>43857201.060875364</v>
      </c>
      <c r="H156" s="2">
        <f ca="1">INDEX(Simulations!$A$1:$BK$2501, 156, MATCH("ExitEV", Simulations!$A$1:$BK$1, 0))</f>
        <v>56408869.853613377</v>
      </c>
      <c r="I156" s="2">
        <f ca="1">INDEX(Simulations!$A$1:$BK$2501, 156, MATCH("IRR", Simulations!$A$1:$BK$1, 0))</f>
        <v>0.19141574660202787</v>
      </c>
      <c r="J156" s="2">
        <f ca="1">INDEX(Simulations!$A$1:$BK$2501, 156, MATCH("NPV_12%", Simulations!$A$1:$BK$1, 0))</f>
        <v>5718022.5216924585</v>
      </c>
    </row>
    <row r="157" spans="1:10" x14ac:dyDescent="0.3">
      <c r="A157" s="2">
        <f>INDEX(Simulations!$A$2:$A$2501,156)</f>
        <v>156</v>
      </c>
      <c r="B157" s="2">
        <f ca="1">INDEX(Simulations!$A$1:$BK$2501, 157, MATCH("PurchaseMultiple", Simulations!$A$1:$BK$1, 0))</f>
        <v>6.9414744519501843</v>
      </c>
      <c r="C157" s="2">
        <f ca="1">INDEX(Simulations!$A$1:$BK$2501, 157, MATCH("ExitMultiple", Simulations!$A$1:$BK$1, 0))</f>
        <v>7.403768957796883</v>
      </c>
      <c r="D157" s="2">
        <f ca="1">INDEX(Simulations!$A$1:$BK$2501, 157, MATCH("RevCAGR", Simulations!$A$1:$BK$1, 0))</f>
        <v>3.088020038932187E-2</v>
      </c>
      <c r="E157" s="2">
        <f ca="1">INDEX(Simulations!$A$1:$BK$2501, 157, MATCH("SynMargin", Simulations!$A$1:$BK$1, 0))</f>
        <v>1.8067499211202848E-2</v>
      </c>
      <c r="F157" s="2">
        <f ca="1">INDEX(Simulations!$A$1:$BK$2501, 157, MATCH("Yr1Shock", Simulations!$A$1:$BK$1, 0))</f>
        <v>4.3737762585750808E-2</v>
      </c>
      <c r="G157" s="2">
        <f ca="1">INDEX(Simulations!$A$1:$BK$2501, 157, MATCH("EntryEV", Simulations!$A$1:$BK$1, 0))</f>
        <v>41648846.711701103</v>
      </c>
      <c r="H157" s="2">
        <f ca="1">INDEX(Simulations!$A$1:$BK$2501, 157, MATCH("ExitEV", Simulations!$A$1:$BK$1, 0))</f>
        <v>57882236.216088623</v>
      </c>
      <c r="I157" s="2">
        <f ca="1">INDEX(Simulations!$A$1:$BK$2501, 157, MATCH("IRR", Simulations!$A$1:$BK$1, 0))</f>
        <v>0.24757435435068587</v>
      </c>
      <c r="J157" s="2">
        <f ca="1">INDEX(Simulations!$A$1:$BK$2501, 157, MATCH("NPV_12%", Simulations!$A$1:$BK$1, 0))</f>
        <v>10203508.534110337</v>
      </c>
    </row>
    <row r="158" spans="1:10" x14ac:dyDescent="0.3">
      <c r="A158" s="2">
        <f>INDEX(Simulations!$A$2:$A$2501,157)</f>
        <v>157</v>
      </c>
      <c r="B158" s="2">
        <f ca="1">INDEX(Simulations!$A$1:$BK$2501, 158, MATCH("PurchaseMultiple", Simulations!$A$1:$BK$1, 0))</f>
        <v>6.9880342973795786</v>
      </c>
      <c r="C158" s="2">
        <f ca="1">INDEX(Simulations!$A$1:$BK$2501, 158, MATCH("ExitMultiple", Simulations!$A$1:$BK$1, 0))</f>
        <v>7.6600462098497726</v>
      </c>
      <c r="D158" s="2">
        <f ca="1">INDEX(Simulations!$A$1:$BK$2501, 158, MATCH("RevCAGR", Simulations!$A$1:$BK$1, 0))</f>
        <v>2.1538220639157918E-2</v>
      </c>
      <c r="E158" s="2">
        <f ca="1">INDEX(Simulations!$A$1:$BK$2501, 158, MATCH("SynMargin", Simulations!$A$1:$BK$1, 0))</f>
        <v>1.0231341171912628E-2</v>
      </c>
      <c r="F158" s="2">
        <f ca="1">INDEX(Simulations!$A$1:$BK$2501, 158, MATCH("Yr1Shock", Simulations!$A$1:$BK$1, 0))</f>
        <v>8.6109056158769938E-3</v>
      </c>
      <c r="G158" s="2">
        <f ca="1">INDEX(Simulations!$A$1:$BK$2501, 158, MATCH("EntryEV", Simulations!$A$1:$BK$1, 0))</f>
        <v>41928205.784277469</v>
      </c>
      <c r="H158" s="2">
        <f ca="1">INDEX(Simulations!$A$1:$BK$2501, 158, MATCH("ExitEV", Simulations!$A$1:$BK$1, 0))</f>
        <v>53493458.324256696</v>
      </c>
      <c r="I158" s="2">
        <f ca="1">INDEX(Simulations!$A$1:$BK$2501, 158, MATCH("IRR", Simulations!$A$1:$BK$1, 0))</f>
        <v>0.19889015843002311</v>
      </c>
      <c r="J158" s="2">
        <f ca="1">INDEX(Simulations!$A$1:$BK$2501, 158, MATCH("NPV_12%", Simulations!$A$1:$BK$1, 0))</f>
        <v>5992487.1283897124</v>
      </c>
    </row>
    <row r="159" spans="1:10" x14ac:dyDescent="0.3">
      <c r="A159" s="2">
        <f>INDEX(Simulations!$A$2:$A$2501,158)</f>
        <v>158</v>
      </c>
      <c r="B159" s="2">
        <f ca="1">INDEX(Simulations!$A$1:$BK$2501, 159, MATCH("PurchaseMultiple", Simulations!$A$1:$BK$1, 0))</f>
        <v>6.203209645007373</v>
      </c>
      <c r="C159" s="2">
        <f ca="1">INDEX(Simulations!$A$1:$BK$2501, 159, MATCH("ExitMultiple", Simulations!$A$1:$BK$1, 0))</f>
        <v>7.715134228740709</v>
      </c>
      <c r="D159" s="2">
        <f ca="1">INDEX(Simulations!$A$1:$BK$2501, 159, MATCH("RevCAGR", Simulations!$A$1:$BK$1, 0))</f>
        <v>4.2352713973318912E-2</v>
      </c>
      <c r="E159" s="2">
        <f ca="1">INDEX(Simulations!$A$1:$BK$2501, 159, MATCH("SynMargin", Simulations!$A$1:$BK$1, 0))</f>
        <v>9.2353457075473235E-3</v>
      </c>
      <c r="F159" s="2">
        <f ca="1">INDEX(Simulations!$A$1:$BK$2501, 159, MATCH("Yr1Shock", Simulations!$A$1:$BK$1, 0))</f>
        <v>-0.05</v>
      </c>
      <c r="G159" s="2">
        <f ca="1">INDEX(Simulations!$A$1:$BK$2501, 159, MATCH("EntryEV", Simulations!$A$1:$BK$1, 0))</f>
        <v>37219257.870044239</v>
      </c>
      <c r="H159" s="2">
        <f ca="1">INDEX(Simulations!$A$1:$BK$2501, 159, MATCH("ExitEV", Simulations!$A$1:$BK$1, 0))</f>
        <v>54709829.883228809</v>
      </c>
      <c r="I159" s="2">
        <f ca="1">INDEX(Simulations!$A$1:$BK$2501, 159, MATCH("IRR", Simulations!$A$1:$BK$1, 0))</f>
        <v>0.26104256703319484</v>
      </c>
      <c r="J159" s="2">
        <f ca="1">INDEX(Simulations!$A$1:$BK$2501, 159, MATCH("NPV_12%", Simulations!$A$1:$BK$1, 0))</f>
        <v>10501246.231323458</v>
      </c>
    </row>
    <row r="160" spans="1:10" x14ac:dyDescent="0.3">
      <c r="A160" s="2">
        <f>INDEX(Simulations!$A$2:$A$2501,159)</f>
        <v>159</v>
      </c>
      <c r="B160" s="2">
        <f ca="1">INDEX(Simulations!$A$1:$BK$2501, 160, MATCH("PurchaseMultiple", Simulations!$A$1:$BK$1, 0))</f>
        <v>6.2263567086164491</v>
      </c>
      <c r="C160" s="2">
        <f ca="1">INDEX(Simulations!$A$1:$BK$2501, 160, MATCH("ExitMultiple", Simulations!$A$1:$BK$1, 0))</f>
        <v>6.8003939401158187</v>
      </c>
      <c r="D160" s="2">
        <f ca="1">INDEX(Simulations!$A$1:$BK$2501, 160, MATCH("RevCAGR", Simulations!$A$1:$BK$1, 0))</f>
        <v>6.7922072509619263E-2</v>
      </c>
      <c r="E160" s="2">
        <f ca="1">INDEX(Simulations!$A$1:$BK$2501, 160, MATCH("SynMargin", Simulations!$A$1:$BK$1, 0))</f>
        <v>8.2558374535421034E-3</v>
      </c>
      <c r="F160" s="2">
        <f ca="1">INDEX(Simulations!$A$1:$BK$2501, 160, MATCH("Yr1Shock", Simulations!$A$1:$BK$1, 0))</f>
        <v>-1.0803586749188836E-2</v>
      </c>
      <c r="G160" s="2">
        <f ca="1">INDEX(Simulations!$A$1:$BK$2501, 160, MATCH("EntryEV", Simulations!$A$1:$BK$1, 0))</f>
        <v>37358140.251698695</v>
      </c>
      <c r="H160" s="2">
        <f ca="1">INDEX(Simulations!$A$1:$BK$2501, 160, MATCH("ExitEV", Simulations!$A$1:$BK$1, 0))</f>
        <v>55024144.096227244</v>
      </c>
      <c r="I160" s="2">
        <f ca="1">INDEX(Simulations!$A$1:$BK$2501, 160, MATCH("IRR", Simulations!$A$1:$BK$1, 0))</f>
        <v>0.27565332176565871</v>
      </c>
      <c r="J160" s="2">
        <f ca="1">INDEX(Simulations!$A$1:$BK$2501, 160, MATCH("NPV_12%", Simulations!$A$1:$BK$1, 0))</f>
        <v>11715925.92250319</v>
      </c>
    </row>
    <row r="161" spans="1:10" x14ac:dyDescent="0.3">
      <c r="A161" s="2">
        <f>INDEX(Simulations!$A$2:$A$2501,160)</f>
        <v>160</v>
      </c>
      <c r="B161" s="2">
        <f ca="1">INDEX(Simulations!$A$1:$BK$2501, 161, MATCH("PurchaseMultiple", Simulations!$A$1:$BK$1, 0))</f>
        <v>7.1896301621959378</v>
      </c>
      <c r="C161" s="2">
        <f ca="1">INDEX(Simulations!$A$1:$BK$2501, 161, MATCH("ExitMultiple", Simulations!$A$1:$BK$1, 0))</f>
        <v>7.486109008231451</v>
      </c>
      <c r="D161" s="2">
        <f ca="1">INDEX(Simulations!$A$1:$BK$2501, 161, MATCH("RevCAGR", Simulations!$A$1:$BK$1, 0))</f>
        <v>1.6947733957383134E-2</v>
      </c>
      <c r="E161" s="2">
        <f ca="1">INDEX(Simulations!$A$1:$BK$2501, 161, MATCH("SynMargin", Simulations!$A$1:$BK$1, 0))</f>
        <v>4.5552461686869982E-3</v>
      </c>
      <c r="F161" s="2">
        <f ca="1">INDEX(Simulations!$A$1:$BK$2501, 161, MATCH("Yr1Shock", Simulations!$A$1:$BK$1, 0))</f>
        <v>-4.3166227311581443E-2</v>
      </c>
      <c r="G161" s="2">
        <f ca="1">INDEX(Simulations!$A$1:$BK$2501, 161, MATCH("EntryEV", Simulations!$A$1:$BK$1, 0))</f>
        <v>43137780.97317563</v>
      </c>
      <c r="H161" s="2">
        <f ca="1">INDEX(Simulations!$A$1:$BK$2501, 161, MATCH("ExitEV", Simulations!$A$1:$BK$1, 0))</f>
        <v>47187606.94847171</v>
      </c>
      <c r="I161" s="2">
        <f ca="1">INDEX(Simulations!$A$1:$BK$2501, 161, MATCH("IRR", Simulations!$A$1:$BK$1, 0))</f>
        <v>0.1203721515231988</v>
      </c>
      <c r="J161" s="2">
        <f ca="1">INDEX(Simulations!$A$1:$BK$2501, 161, MATCH("NPV_12%", Simulations!$A$1:$BK$1, 0))</f>
        <v>26068.21441495046</v>
      </c>
    </row>
    <row r="162" spans="1:10" x14ac:dyDescent="0.3">
      <c r="A162" s="2">
        <f>INDEX(Simulations!$A$2:$A$2501,161)</f>
        <v>161</v>
      </c>
      <c r="B162" s="2">
        <f ca="1">INDEX(Simulations!$A$1:$BK$2501, 162, MATCH("PurchaseMultiple", Simulations!$A$1:$BK$1, 0))</f>
        <v>7.6315321531377878</v>
      </c>
      <c r="C162" s="2">
        <f ca="1">INDEX(Simulations!$A$1:$BK$2501, 162, MATCH("ExitMultiple", Simulations!$A$1:$BK$1, 0))</f>
        <v>8.0026351826955953</v>
      </c>
      <c r="D162" s="2">
        <f ca="1">INDEX(Simulations!$A$1:$BK$2501, 162, MATCH("RevCAGR", Simulations!$A$1:$BK$1, 0))</f>
        <v>3.1165200158069686E-2</v>
      </c>
      <c r="E162" s="2">
        <f ca="1">INDEX(Simulations!$A$1:$BK$2501, 162, MATCH("SynMargin", Simulations!$A$1:$BK$1, 0))</f>
        <v>1.9528930091879008E-2</v>
      </c>
      <c r="F162" s="2">
        <f ca="1">INDEX(Simulations!$A$1:$BK$2501, 162, MATCH("Yr1Shock", Simulations!$A$1:$BK$1, 0))</f>
        <v>-6.4255477263181768E-3</v>
      </c>
      <c r="G162" s="2">
        <f ca="1">INDEX(Simulations!$A$1:$BK$2501, 162, MATCH("EntryEV", Simulations!$A$1:$BK$1, 0))</f>
        <v>45789192.918826729</v>
      </c>
      <c r="H162" s="2">
        <f ca="1">INDEX(Simulations!$A$1:$BK$2501, 162, MATCH("ExitEV", Simulations!$A$1:$BK$1, 0))</f>
        <v>60082942.707195207</v>
      </c>
      <c r="I162" s="2">
        <f ca="1">INDEX(Simulations!$A$1:$BK$2501, 162, MATCH("IRR", Simulations!$A$1:$BK$1, 0))</f>
        <v>0.20272693522261109</v>
      </c>
      <c r="J162" s="2">
        <f ca="1">INDEX(Simulations!$A$1:$BK$2501, 162, MATCH("NPV_12%", Simulations!$A$1:$BK$1, 0))</f>
        <v>7014873.7661433332</v>
      </c>
    </row>
    <row r="163" spans="1:10" x14ac:dyDescent="0.3">
      <c r="A163" s="2">
        <f>INDEX(Simulations!$A$2:$A$2501,162)</f>
        <v>162</v>
      </c>
      <c r="B163" s="2">
        <f ca="1">INDEX(Simulations!$A$1:$BK$2501, 163, MATCH("PurchaseMultiple", Simulations!$A$1:$BK$1, 0))</f>
        <v>7.588731515583123</v>
      </c>
      <c r="C163" s="2">
        <f ca="1">INDEX(Simulations!$A$1:$BK$2501, 163, MATCH("ExitMultiple", Simulations!$A$1:$BK$1, 0))</f>
        <v>7.506873547153381</v>
      </c>
      <c r="D163" s="2">
        <f ca="1">INDEX(Simulations!$A$1:$BK$2501, 163, MATCH("RevCAGR", Simulations!$A$1:$BK$1, 0))</f>
        <v>1.2477444606999653E-2</v>
      </c>
      <c r="E163" s="2">
        <f ca="1">INDEX(Simulations!$A$1:$BK$2501, 163, MATCH("SynMargin", Simulations!$A$1:$BK$1, 0))</f>
        <v>4.4696324609044833E-3</v>
      </c>
      <c r="F163" s="2">
        <f ca="1">INDEX(Simulations!$A$1:$BK$2501, 163, MATCH("Yr1Shock", Simulations!$A$1:$BK$1, 0))</f>
        <v>2.7762343097368163E-3</v>
      </c>
      <c r="G163" s="2">
        <f ca="1">INDEX(Simulations!$A$1:$BK$2501, 163, MATCH("EntryEV", Simulations!$A$1:$BK$1, 0))</f>
        <v>45532389.093498737</v>
      </c>
      <c r="H163" s="2">
        <f ca="1">INDEX(Simulations!$A$1:$BK$2501, 163, MATCH("ExitEV", Simulations!$A$1:$BK$1, 0))</f>
        <v>48700566.184202641</v>
      </c>
      <c r="I163" s="2">
        <f ca="1">INDEX(Simulations!$A$1:$BK$2501, 163, MATCH("IRR", Simulations!$A$1:$BK$1, 0))</f>
        <v>0.10931354871521126</v>
      </c>
      <c r="J163" s="2">
        <f ca="1">INDEX(Simulations!$A$1:$BK$2501, 163, MATCH("NPV_12%", Simulations!$A$1:$BK$1, 0))</f>
        <v>-775199.76361531392</v>
      </c>
    </row>
    <row r="164" spans="1:10" x14ac:dyDescent="0.3">
      <c r="A164" s="2">
        <f>INDEX(Simulations!$A$2:$A$2501,163)</f>
        <v>163</v>
      </c>
      <c r="B164" s="2">
        <f ca="1">INDEX(Simulations!$A$1:$BK$2501, 164, MATCH("PurchaseMultiple", Simulations!$A$1:$BK$1, 0))</f>
        <v>6.6856791655364969</v>
      </c>
      <c r="C164" s="2">
        <f ca="1">INDEX(Simulations!$A$1:$BK$2501, 164, MATCH("ExitMultiple", Simulations!$A$1:$BK$1, 0))</f>
        <v>7.2862128690071923</v>
      </c>
      <c r="D164" s="2">
        <f ca="1">INDEX(Simulations!$A$1:$BK$2501, 164, MATCH("RevCAGR", Simulations!$A$1:$BK$1, 0))</f>
        <v>6.2228123043932944E-2</v>
      </c>
      <c r="E164" s="2">
        <f ca="1">INDEX(Simulations!$A$1:$BK$2501, 164, MATCH("SynMargin", Simulations!$A$1:$BK$1, 0))</f>
        <v>7.0459397604257148E-3</v>
      </c>
      <c r="F164" s="2">
        <f ca="1">INDEX(Simulations!$A$1:$BK$2501, 164, MATCH("Yr1Shock", Simulations!$A$1:$BK$1, 0))</f>
        <v>2.5079422487123064E-3</v>
      </c>
      <c r="G164" s="2">
        <f ca="1">INDEX(Simulations!$A$1:$BK$2501, 164, MATCH("EntryEV", Simulations!$A$1:$BK$1, 0))</f>
        <v>40114074.993218981</v>
      </c>
      <c r="H164" s="2">
        <f ca="1">INDEX(Simulations!$A$1:$BK$2501, 164, MATCH("ExitEV", Simulations!$A$1:$BK$1, 0))</f>
        <v>58090498.618792459</v>
      </c>
      <c r="I164" s="2">
        <f ca="1">INDEX(Simulations!$A$1:$BK$2501, 164, MATCH("IRR", Simulations!$A$1:$BK$1, 0))</f>
        <v>0.25596452064021058</v>
      </c>
      <c r="J164" s="2">
        <f ca="1">INDEX(Simulations!$A$1:$BK$2501, 164, MATCH("NPV_12%", Simulations!$A$1:$BK$1, 0))</f>
        <v>10853833.777065843</v>
      </c>
    </row>
    <row r="165" spans="1:10" x14ac:dyDescent="0.3">
      <c r="A165" s="2">
        <f>INDEX(Simulations!$A$2:$A$2501,164)</f>
        <v>164</v>
      </c>
      <c r="B165" s="2">
        <f ca="1">INDEX(Simulations!$A$1:$BK$2501, 165, MATCH("PurchaseMultiple", Simulations!$A$1:$BK$1, 0))</f>
        <v>7.126474289274678</v>
      </c>
      <c r="C165" s="2">
        <f ca="1">INDEX(Simulations!$A$1:$BK$2501, 165, MATCH("ExitMultiple", Simulations!$A$1:$BK$1, 0))</f>
        <v>7.2907212783743081</v>
      </c>
      <c r="D165" s="2">
        <f ca="1">INDEX(Simulations!$A$1:$BK$2501, 165, MATCH("RevCAGR", Simulations!$A$1:$BK$1, 0))</f>
        <v>2.9171872434092874E-3</v>
      </c>
      <c r="E165" s="2">
        <f ca="1">INDEX(Simulations!$A$1:$BK$2501, 165, MATCH("SynMargin", Simulations!$A$1:$BK$1, 0))</f>
        <v>1.1812928252467315E-2</v>
      </c>
      <c r="F165" s="2">
        <f ca="1">INDEX(Simulations!$A$1:$BK$2501, 165, MATCH("Yr1Shock", Simulations!$A$1:$BK$1, 0))</f>
        <v>3.150019481938255E-2</v>
      </c>
      <c r="G165" s="2">
        <f ca="1">INDEX(Simulations!$A$1:$BK$2501, 165, MATCH("EntryEV", Simulations!$A$1:$BK$1, 0))</f>
        <v>42758845.735648066</v>
      </c>
      <c r="H165" s="2">
        <f ca="1">INDEX(Simulations!$A$1:$BK$2501, 165, MATCH("ExitEV", Simulations!$A$1:$BK$1, 0))</f>
        <v>48796872.470864989</v>
      </c>
      <c r="I165" s="2">
        <f ca="1">INDEX(Simulations!$A$1:$BK$2501, 165, MATCH("IRR", Simulations!$A$1:$BK$1, 0))</f>
        <v>0.15693928324834805</v>
      </c>
      <c r="J165" s="2">
        <f ca="1">INDEX(Simulations!$A$1:$BK$2501, 165, MATCH("NPV_12%", Simulations!$A$1:$BK$1, 0))</f>
        <v>2633755.6053187847</v>
      </c>
    </row>
    <row r="166" spans="1:10" x14ac:dyDescent="0.3">
      <c r="A166" s="2">
        <f>INDEX(Simulations!$A$2:$A$2501,165)</f>
        <v>165</v>
      </c>
      <c r="B166" s="2">
        <f ca="1">INDEX(Simulations!$A$1:$BK$2501, 166, MATCH("PurchaseMultiple", Simulations!$A$1:$BK$1, 0))</f>
        <v>7.5983896652140723</v>
      </c>
      <c r="C166" s="2">
        <f ca="1">INDEX(Simulations!$A$1:$BK$2501, 166, MATCH("ExitMultiple", Simulations!$A$1:$BK$1, 0))</f>
        <v>7.2203709960832692</v>
      </c>
      <c r="D166" s="2">
        <f ca="1">INDEX(Simulations!$A$1:$BK$2501, 166, MATCH("RevCAGR", Simulations!$A$1:$BK$1, 0))</f>
        <v>2.2136016528041185E-2</v>
      </c>
      <c r="E166" s="2">
        <f ca="1">INDEX(Simulations!$A$1:$BK$2501, 166, MATCH("SynMargin", Simulations!$A$1:$BK$1, 0))</f>
        <v>1.5883722416565365E-2</v>
      </c>
      <c r="F166" s="2">
        <f ca="1">INDEX(Simulations!$A$1:$BK$2501, 166, MATCH("Yr1Shock", Simulations!$A$1:$BK$1, 0))</f>
        <v>-8.1211390819291487E-3</v>
      </c>
      <c r="G166" s="2">
        <f ca="1">INDEX(Simulations!$A$1:$BK$2501, 166, MATCH("EntryEV", Simulations!$A$1:$BK$1, 0))</f>
        <v>45590337.991284437</v>
      </c>
      <c r="H166" s="2">
        <f ca="1">INDEX(Simulations!$A$1:$BK$2501, 166, MATCH("ExitEV", Simulations!$A$1:$BK$1, 0))</f>
        <v>51249217.721496388</v>
      </c>
      <c r="I166" s="2">
        <f ca="1">INDEX(Simulations!$A$1:$BK$2501, 166, MATCH("IRR", Simulations!$A$1:$BK$1, 0))</f>
        <v>0.14232094874761736</v>
      </c>
      <c r="J166" s="2">
        <f ca="1">INDEX(Simulations!$A$1:$BK$2501, 166, MATCH("NPV_12%", Simulations!$A$1:$BK$1, 0))</f>
        <v>1689159.0262589604</v>
      </c>
    </row>
    <row r="167" spans="1:10" x14ac:dyDescent="0.3">
      <c r="A167" s="2">
        <f>INDEX(Simulations!$A$2:$A$2501,166)</f>
        <v>166</v>
      </c>
      <c r="B167" s="2">
        <f ca="1">INDEX(Simulations!$A$1:$BK$2501, 167, MATCH("PurchaseMultiple", Simulations!$A$1:$BK$1, 0))</f>
        <v>6.3971826801950717</v>
      </c>
      <c r="C167" s="2">
        <f ca="1">INDEX(Simulations!$A$1:$BK$2501, 167, MATCH("ExitMultiple", Simulations!$A$1:$BK$1, 0))</f>
        <v>7.4990078366007635</v>
      </c>
      <c r="D167" s="2">
        <f ca="1">INDEX(Simulations!$A$1:$BK$2501, 167, MATCH("RevCAGR", Simulations!$A$1:$BK$1, 0))</f>
        <v>6.7898623070841185E-2</v>
      </c>
      <c r="E167" s="2">
        <f ca="1">INDEX(Simulations!$A$1:$BK$2501, 167, MATCH("SynMargin", Simulations!$A$1:$BK$1, 0))</f>
        <v>9.9361701465263876E-3</v>
      </c>
      <c r="F167" s="2">
        <f ca="1">INDEX(Simulations!$A$1:$BK$2501, 167, MATCH("Yr1Shock", Simulations!$A$1:$BK$1, 0))</f>
        <v>-2.9504973303578496E-2</v>
      </c>
      <c r="G167" s="2">
        <f ca="1">INDEX(Simulations!$A$1:$BK$2501, 167, MATCH("EntryEV", Simulations!$A$1:$BK$1, 0))</f>
        <v>38383096.081170432</v>
      </c>
      <c r="H167" s="2">
        <f ca="1">INDEX(Simulations!$A$1:$BK$2501, 167, MATCH("ExitEV", Simulations!$A$1:$BK$1, 0))</f>
        <v>60081135.71437151</v>
      </c>
      <c r="I167" s="2">
        <f ca="1">INDEX(Simulations!$A$1:$BK$2501, 167, MATCH("IRR", Simulations!$A$1:$BK$1, 0))</f>
        <v>0.28750022566223699</v>
      </c>
      <c r="J167" s="2">
        <f ca="1">INDEX(Simulations!$A$1:$BK$2501, 167, MATCH("NPV_12%", Simulations!$A$1:$BK$1, 0))</f>
        <v>13461391.890818685</v>
      </c>
    </row>
    <row r="168" spans="1:10" x14ac:dyDescent="0.3">
      <c r="A168" s="2">
        <f>INDEX(Simulations!$A$2:$A$2501,167)</f>
        <v>167</v>
      </c>
      <c r="B168" s="2">
        <f ca="1">INDEX(Simulations!$A$1:$BK$2501, 168, MATCH("PurchaseMultiple", Simulations!$A$1:$BK$1, 0))</f>
        <v>7.3221846156623851</v>
      </c>
      <c r="C168" s="2">
        <f ca="1">INDEX(Simulations!$A$1:$BK$2501, 168, MATCH("ExitMultiple", Simulations!$A$1:$BK$1, 0))</f>
        <v>7.1307926870576539</v>
      </c>
      <c r="D168" s="2">
        <f ca="1">INDEX(Simulations!$A$1:$BK$2501, 168, MATCH("RevCAGR", Simulations!$A$1:$BK$1, 0))</f>
        <v>1.1790081048597273E-3</v>
      </c>
      <c r="E168" s="2">
        <f ca="1">INDEX(Simulations!$A$1:$BK$2501, 168, MATCH("SynMargin", Simulations!$A$1:$BK$1, 0))</f>
        <v>1.0844820962662339E-2</v>
      </c>
      <c r="F168" s="2">
        <f ca="1">INDEX(Simulations!$A$1:$BK$2501, 168, MATCH("Yr1Shock", Simulations!$A$1:$BK$1, 0))</f>
        <v>1.0118767464459368E-3</v>
      </c>
      <c r="G168" s="2">
        <f ca="1">INDEX(Simulations!$A$1:$BK$2501, 168, MATCH("EntryEV", Simulations!$A$1:$BK$1, 0))</f>
        <v>43933107.693974309</v>
      </c>
      <c r="H168" s="2">
        <f ca="1">INDEX(Simulations!$A$1:$BK$2501, 168, MATCH("ExitEV", Simulations!$A$1:$BK$1, 0))</f>
        <v>45752549.76106669</v>
      </c>
      <c r="I168" s="2">
        <f ca="1">INDEX(Simulations!$A$1:$BK$2501, 168, MATCH("IRR", Simulations!$A$1:$BK$1, 0))</f>
        <v>0.10986544330236003</v>
      </c>
      <c r="J168" s="2">
        <f ca="1">INDEX(Simulations!$A$1:$BK$2501, 168, MATCH("NPV_12%", Simulations!$A$1:$BK$1, 0))</f>
        <v>-693826.3479369022</v>
      </c>
    </row>
    <row r="169" spans="1:10" x14ac:dyDescent="0.3">
      <c r="A169" s="2">
        <f>INDEX(Simulations!$A$2:$A$2501,168)</f>
        <v>168</v>
      </c>
      <c r="B169" s="2">
        <f ca="1">INDEX(Simulations!$A$1:$BK$2501, 169, MATCH("PurchaseMultiple", Simulations!$A$1:$BK$1, 0))</f>
        <v>6.8347760554738546</v>
      </c>
      <c r="C169" s="2">
        <f ca="1">INDEX(Simulations!$A$1:$BK$2501, 169, MATCH("ExitMultiple", Simulations!$A$1:$BK$1, 0))</f>
        <v>7.1079731425614741</v>
      </c>
      <c r="D169" s="2">
        <f ca="1">INDEX(Simulations!$A$1:$BK$2501, 169, MATCH("RevCAGR", Simulations!$A$1:$BK$1, 0))</f>
        <v>7.9752029855385931E-2</v>
      </c>
      <c r="E169" s="2">
        <f ca="1">INDEX(Simulations!$A$1:$BK$2501, 169, MATCH("SynMargin", Simulations!$A$1:$BK$1, 0))</f>
        <v>7.6669374728108135E-3</v>
      </c>
      <c r="F169" s="2">
        <f ca="1">INDEX(Simulations!$A$1:$BK$2501, 169, MATCH("Yr1Shock", Simulations!$A$1:$BK$1, 0))</f>
        <v>9.0438101152414217E-3</v>
      </c>
      <c r="G169" s="2">
        <f ca="1">INDEX(Simulations!$A$1:$BK$2501, 169, MATCH("EntryEV", Simulations!$A$1:$BK$1, 0))</f>
        <v>41008656.332843125</v>
      </c>
      <c r="H169" s="2">
        <f ca="1">INDEX(Simulations!$A$1:$BK$2501, 169, MATCH("ExitEV", Simulations!$A$1:$BK$1, 0))</f>
        <v>61108926.865961649</v>
      </c>
      <c r="I169" s="2">
        <f ca="1">INDEX(Simulations!$A$1:$BK$2501, 169, MATCH("IRR", Simulations!$A$1:$BK$1, 0))</f>
        <v>0.26802004300341342</v>
      </c>
      <c r="J169" s="2">
        <f ca="1">INDEX(Simulations!$A$1:$BK$2501, 169, MATCH("NPV_12%", Simulations!$A$1:$BK$1, 0))</f>
        <v>12355295.991621338</v>
      </c>
    </row>
    <row r="170" spans="1:10" x14ac:dyDescent="0.3">
      <c r="A170" s="2">
        <f>INDEX(Simulations!$A$2:$A$2501,169)</f>
        <v>169</v>
      </c>
      <c r="B170" s="2">
        <f ca="1">INDEX(Simulations!$A$1:$BK$2501, 170, MATCH("PurchaseMultiple", Simulations!$A$1:$BK$1, 0))</f>
        <v>6.9219263955370804</v>
      </c>
      <c r="C170" s="2">
        <f ca="1">INDEX(Simulations!$A$1:$BK$2501, 170, MATCH("ExitMultiple", Simulations!$A$1:$BK$1, 0))</f>
        <v>6.7313009333640457</v>
      </c>
      <c r="D170" s="2">
        <f ca="1">INDEX(Simulations!$A$1:$BK$2501, 170, MATCH("RevCAGR", Simulations!$A$1:$BK$1, 0))</f>
        <v>5.4943961003465991E-2</v>
      </c>
      <c r="E170" s="2">
        <f ca="1">INDEX(Simulations!$A$1:$BK$2501, 170, MATCH("SynMargin", Simulations!$A$1:$BK$1, 0))</f>
        <v>1.0734185405316912E-2</v>
      </c>
      <c r="F170" s="2">
        <f ca="1">INDEX(Simulations!$A$1:$BK$2501, 170, MATCH("Yr1Shock", Simulations!$A$1:$BK$1, 0))</f>
        <v>-7.5472508611159851E-3</v>
      </c>
      <c r="G170" s="2">
        <f ca="1">INDEX(Simulations!$A$1:$BK$2501, 170, MATCH("EntryEV", Simulations!$A$1:$BK$1, 0))</f>
        <v>41531558.373222485</v>
      </c>
      <c r="H170" s="2">
        <f ca="1">INDEX(Simulations!$A$1:$BK$2501, 170, MATCH("ExitEV", Simulations!$A$1:$BK$1, 0))</f>
        <v>52753835.644047469</v>
      </c>
      <c r="I170" s="2">
        <f ca="1">INDEX(Simulations!$A$1:$BK$2501, 170, MATCH("IRR", Simulations!$A$1:$BK$1, 0))</f>
        <v>0.20714804319532454</v>
      </c>
      <c r="J170" s="2">
        <f ca="1">INDEX(Simulations!$A$1:$BK$2501, 170, MATCH("NPV_12%", Simulations!$A$1:$BK$1, 0))</f>
        <v>6605111.3373582922</v>
      </c>
    </row>
    <row r="171" spans="1:10" x14ac:dyDescent="0.3">
      <c r="A171" s="2">
        <f>INDEX(Simulations!$A$2:$A$2501,170)</f>
        <v>170</v>
      </c>
      <c r="B171" s="2">
        <f ca="1">INDEX(Simulations!$A$1:$BK$2501, 171, MATCH("PurchaseMultiple", Simulations!$A$1:$BK$1, 0))</f>
        <v>7.1269165370179941</v>
      </c>
      <c r="C171" s="2">
        <f ca="1">INDEX(Simulations!$A$1:$BK$2501, 171, MATCH("ExitMultiple", Simulations!$A$1:$BK$1, 0))</f>
        <v>7.3294619131296548</v>
      </c>
      <c r="D171" s="2">
        <f ca="1">INDEX(Simulations!$A$1:$BK$2501, 171, MATCH("RevCAGR", Simulations!$A$1:$BK$1, 0))</f>
        <v>8.351372756085873E-2</v>
      </c>
      <c r="E171" s="2">
        <f ca="1">INDEX(Simulations!$A$1:$BK$2501, 171, MATCH("SynMargin", Simulations!$A$1:$BK$1, 0))</f>
        <v>1.3254572953425374E-2</v>
      </c>
      <c r="F171" s="2">
        <f ca="1">INDEX(Simulations!$A$1:$BK$2501, 171, MATCH("Yr1Shock", Simulations!$A$1:$BK$1, 0))</f>
        <v>-2.8294756126448856E-2</v>
      </c>
      <c r="G171" s="2">
        <f ca="1">INDEX(Simulations!$A$1:$BK$2501, 171, MATCH("EntryEV", Simulations!$A$1:$BK$1, 0))</f>
        <v>42761499.222107962</v>
      </c>
      <c r="H171" s="2">
        <f ca="1">INDEX(Simulations!$A$1:$BK$2501, 171, MATCH("ExitEV", Simulations!$A$1:$BK$1, 0))</f>
        <v>63451167.172763228</v>
      </c>
      <c r="I171" s="2">
        <f ca="1">INDEX(Simulations!$A$1:$BK$2501, 171, MATCH("IRR", Simulations!$A$1:$BK$1, 0))</f>
        <v>0.25934871970786832</v>
      </c>
      <c r="J171" s="2">
        <f ca="1">INDEX(Simulations!$A$1:$BK$2501, 171, MATCH("NPV_12%", Simulations!$A$1:$BK$1, 0))</f>
        <v>12117340.750777803</v>
      </c>
    </row>
    <row r="172" spans="1:10" x14ac:dyDescent="0.3">
      <c r="A172" s="2">
        <f>INDEX(Simulations!$A$2:$A$2501,171)</f>
        <v>171</v>
      </c>
      <c r="B172" s="2">
        <f ca="1">INDEX(Simulations!$A$1:$BK$2501, 172, MATCH("PurchaseMultiple", Simulations!$A$1:$BK$1, 0))</f>
        <v>6.8958392323978508</v>
      </c>
      <c r="C172" s="2">
        <f ca="1">INDEX(Simulations!$A$1:$BK$2501, 172, MATCH("ExitMultiple", Simulations!$A$1:$BK$1, 0))</f>
        <v>8.2372759261721402</v>
      </c>
      <c r="D172" s="2">
        <f ca="1">INDEX(Simulations!$A$1:$BK$2501, 172, MATCH("RevCAGR", Simulations!$A$1:$BK$1, 0))</f>
        <v>6.8477997256001052E-2</v>
      </c>
      <c r="E172" s="2">
        <f ca="1">INDEX(Simulations!$A$1:$BK$2501, 172, MATCH("SynMargin", Simulations!$A$1:$BK$1, 0))</f>
        <v>1.6650766009255313E-2</v>
      </c>
      <c r="F172" s="2">
        <f ca="1">INDEX(Simulations!$A$1:$BK$2501, 172, MATCH("Yr1Shock", Simulations!$A$1:$BK$1, 0))</f>
        <v>1.3369062831029991E-2</v>
      </c>
      <c r="G172" s="2">
        <f ca="1">INDEX(Simulations!$A$1:$BK$2501, 172, MATCH("EntryEV", Simulations!$A$1:$BK$1, 0))</f>
        <v>41375035.394387104</v>
      </c>
      <c r="H172" s="2">
        <f ca="1">INDEX(Simulations!$A$1:$BK$2501, 172, MATCH("ExitEV", Simulations!$A$1:$BK$1, 0))</f>
        <v>71618087.500621423</v>
      </c>
      <c r="I172" s="2">
        <f ca="1">INDEX(Simulations!$A$1:$BK$2501, 172, MATCH("IRR", Simulations!$A$1:$BK$1, 0))</f>
        <v>0.3211237196721215</v>
      </c>
      <c r="J172" s="2">
        <f ca="1">INDEX(Simulations!$A$1:$BK$2501, 172, MATCH("NPV_12%", Simulations!$A$1:$BK$1, 0))</f>
        <v>18527276.959966727</v>
      </c>
    </row>
    <row r="173" spans="1:10" x14ac:dyDescent="0.3">
      <c r="A173" s="2">
        <f>INDEX(Simulations!$A$2:$A$2501,172)</f>
        <v>172</v>
      </c>
      <c r="B173" s="2">
        <f ca="1">INDEX(Simulations!$A$1:$BK$2501, 173, MATCH("PurchaseMultiple", Simulations!$A$1:$BK$1, 0))</f>
        <v>7.0200363629029363</v>
      </c>
      <c r="C173" s="2">
        <f ca="1">INDEX(Simulations!$A$1:$BK$2501, 173, MATCH("ExitMultiple", Simulations!$A$1:$BK$1, 0))</f>
        <v>6.575544792126224</v>
      </c>
      <c r="D173" s="2">
        <f ca="1">INDEX(Simulations!$A$1:$BK$2501, 173, MATCH("RevCAGR", Simulations!$A$1:$BK$1, 0))</f>
        <v>7.112931234901862E-2</v>
      </c>
      <c r="E173" s="2">
        <f ca="1">INDEX(Simulations!$A$1:$BK$2501, 173, MATCH("SynMargin", Simulations!$A$1:$BK$1, 0))</f>
        <v>1.000865598259954E-2</v>
      </c>
      <c r="F173" s="2">
        <f ca="1">INDEX(Simulations!$A$1:$BK$2501, 173, MATCH("Yr1Shock", Simulations!$A$1:$BK$1, 0))</f>
        <v>-2.5201308502097976E-2</v>
      </c>
      <c r="G173" s="2">
        <f ca="1">INDEX(Simulations!$A$1:$BK$2501, 173, MATCH("EntryEV", Simulations!$A$1:$BK$1, 0))</f>
        <v>42120218.177417621</v>
      </c>
      <c r="H173" s="2">
        <f ca="1">INDEX(Simulations!$A$1:$BK$2501, 173, MATCH("ExitEV", Simulations!$A$1:$BK$1, 0))</f>
        <v>53580744.069245689</v>
      </c>
      <c r="I173" s="2">
        <f ca="1">INDEX(Simulations!$A$1:$BK$2501, 173, MATCH("IRR", Simulations!$A$1:$BK$1, 0))</f>
        <v>0.20548119280315458</v>
      </c>
      <c r="J173" s="2">
        <f ca="1">INDEX(Simulations!$A$1:$BK$2501, 173, MATCH("NPV_12%", Simulations!$A$1:$BK$1, 0))</f>
        <v>6608887.3943393491</v>
      </c>
    </row>
    <row r="174" spans="1:10" x14ac:dyDescent="0.3">
      <c r="A174" s="2">
        <f>INDEX(Simulations!$A$2:$A$2501,173)</f>
        <v>173</v>
      </c>
      <c r="B174" s="2">
        <f ca="1">INDEX(Simulations!$A$1:$BK$2501, 174, MATCH("PurchaseMultiple", Simulations!$A$1:$BK$1, 0))</f>
        <v>7.06636987932559</v>
      </c>
      <c r="C174" s="2">
        <f ca="1">INDEX(Simulations!$A$1:$BK$2501, 174, MATCH("ExitMultiple", Simulations!$A$1:$BK$1, 0))</f>
        <v>7.8130411299195712</v>
      </c>
      <c r="D174" s="2">
        <f ca="1">INDEX(Simulations!$A$1:$BK$2501, 174, MATCH("RevCAGR", Simulations!$A$1:$BK$1, 0))</f>
        <v>1.578883498914729E-2</v>
      </c>
      <c r="E174" s="2">
        <f ca="1">INDEX(Simulations!$A$1:$BK$2501, 174, MATCH("SynMargin", Simulations!$A$1:$BK$1, 0))</f>
        <v>4.0640878146829332E-4</v>
      </c>
      <c r="F174" s="2">
        <f ca="1">INDEX(Simulations!$A$1:$BK$2501, 174, MATCH("Yr1Shock", Simulations!$A$1:$BK$1, 0))</f>
        <v>6.3054203188466183E-3</v>
      </c>
      <c r="G174" s="2">
        <f ca="1">INDEX(Simulations!$A$1:$BK$2501, 174, MATCH("EntryEV", Simulations!$A$1:$BK$1, 0))</f>
        <v>42398219.275953539</v>
      </c>
      <c r="H174" s="2">
        <f ca="1">INDEX(Simulations!$A$1:$BK$2501, 174, MATCH("ExitEV", Simulations!$A$1:$BK$1, 0))</f>
        <v>50343485.925246343</v>
      </c>
      <c r="I174" s="2">
        <f ca="1">INDEX(Simulations!$A$1:$BK$2501, 174, MATCH("IRR", Simulations!$A$1:$BK$1, 0))</f>
        <v>0.15771745601473852</v>
      </c>
      <c r="J174" s="2">
        <f ca="1">INDEX(Simulations!$A$1:$BK$2501, 174, MATCH("NPV_12%", Simulations!$A$1:$BK$1, 0))</f>
        <v>2751636.8370603137</v>
      </c>
    </row>
    <row r="175" spans="1:10" x14ac:dyDescent="0.3">
      <c r="A175" s="2">
        <f>INDEX(Simulations!$A$2:$A$2501,174)</f>
        <v>174</v>
      </c>
      <c r="B175" s="2">
        <f ca="1">INDEX(Simulations!$A$1:$BK$2501, 175, MATCH("PurchaseMultiple", Simulations!$A$1:$BK$1, 0))</f>
        <v>6.6657974001640454</v>
      </c>
      <c r="C175" s="2">
        <f ca="1">INDEX(Simulations!$A$1:$BK$2501, 175, MATCH("ExitMultiple", Simulations!$A$1:$BK$1, 0))</f>
        <v>7.5569462983907707</v>
      </c>
      <c r="D175" s="2">
        <f ca="1">INDEX(Simulations!$A$1:$BK$2501, 175, MATCH("RevCAGR", Simulations!$A$1:$BK$1, 0))</f>
        <v>-4.6855698434784057E-3</v>
      </c>
      <c r="E175" s="2">
        <f ca="1">INDEX(Simulations!$A$1:$BK$2501, 175, MATCH("SynMargin", Simulations!$A$1:$BK$1, 0))</f>
        <v>1.5479600761273381E-2</v>
      </c>
      <c r="F175" s="2">
        <f ca="1">INDEX(Simulations!$A$1:$BK$2501, 175, MATCH("Yr1Shock", Simulations!$A$1:$BK$1, 0))</f>
        <v>7.0094954130325918E-3</v>
      </c>
      <c r="G175" s="2">
        <f ca="1">INDEX(Simulations!$A$1:$BK$2501, 175, MATCH("EntryEV", Simulations!$A$1:$BK$1, 0))</f>
        <v>39994784.400984272</v>
      </c>
      <c r="H175" s="2">
        <f ca="1">INDEX(Simulations!$A$1:$BK$2501, 175, MATCH("ExitEV", Simulations!$A$1:$BK$1, 0))</f>
        <v>48855947.3226422</v>
      </c>
      <c r="I175" s="2">
        <f ca="1">INDEX(Simulations!$A$1:$BK$2501, 175, MATCH("IRR", Simulations!$A$1:$BK$1, 0))</f>
        <v>0.19094779479464674</v>
      </c>
      <c r="J175" s="2">
        <f ca="1">INDEX(Simulations!$A$1:$BK$2501, 175, MATCH("NPV_12%", Simulations!$A$1:$BK$1, 0))</f>
        <v>4952654.0730892308</v>
      </c>
    </row>
    <row r="176" spans="1:10" x14ac:dyDescent="0.3">
      <c r="A176" s="2">
        <f>INDEX(Simulations!$A$2:$A$2501,175)</f>
        <v>175</v>
      </c>
      <c r="B176" s="2">
        <f ca="1">INDEX(Simulations!$A$1:$BK$2501, 176, MATCH("PurchaseMultiple", Simulations!$A$1:$BK$1, 0))</f>
        <v>6.6465763148955403</v>
      </c>
      <c r="C176" s="2">
        <f ca="1">INDEX(Simulations!$A$1:$BK$2501, 176, MATCH("ExitMultiple", Simulations!$A$1:$BK$1, 0))</f>
        <v>7.1371504230337317</v>
      </c>
      <c r="D176" s="2">
        <f ca="1">INDEX(Simulations!$A$1:$BK$2501, 176, MATCH("RevCAGR", Simulations!$A$1:$BK$1, 0))</f>
        <v>6.2434703631911156E-2</v>
      </c>
      <c r="E176" s="2">
        <f ca="1">INDEX(Simulations!$A$1:$BK$2501, 176, MATCH("SynMargin", Simulations!$A$1:$BK$1, 0))</f>
        <v>1.485097113668964E-2</v>
      </c>
      <c r="F176" s="2">
        <f ca="1">INDEX(Simulations!$A$1:$BK$2501, 176, MATCH("Yr1Shock", Simulations!$A$1:$BK$1, 0))</f>
        <v>-1.9349457839545531E-2</v>
      </c>
      <c r="G176" s="2">
        <f ca="1">INDEX(Simulations!$A$1:$BK$2501, 176, MATCH("EntryEV", Simulations!$A$1:$BK$1, 0))</f>
        <v>39879457.889373243</v>
      </c>
      <c r="H176" s="2">
        <f ca="1">INDEX(Simulations!$A$1:$BK$2501, 176, MATCH("ExitEV", Simulations!$A$1:$BK$1, 0))</f>
        <v>58140842.757409893</v>
      </c>
      <c r="I176" s="2">
        <f ca="1">INDEX(Simulations!$A$1:$BK$2501, 176, MATCH("IRR", Simulations!$A$1:$BK$1, 0))</f>
        <v>0.26433460513100848</v>
      </c>
      <c r="J176" s="2">
        <f ca="1">INDEX(Simulations!$A$1:$BK$2501, 176, MATCH("NPV_12%", Simulations!$A$1:$BK$1, 0))</f>
        <v>11509844.576467417</v>
      </c>
    </row>
    <row r="177" spans="1:10" x14ac:dyDescent="0.3">
      <c r="A177" s="2">
        <f>INDEX(Simulations!$A$2:$A$2501,176)</f>
        <v>176</v>
      </c>
      <c r="B177" s="2">
        <f ca="1">INDEX(Simulations!$A$1:$BK$2501, 177, MATCH("PurchaseMultiple", Simulations!$A$1:$BK$1, 0))</f>
        <v>6.9175362852047106</v>
      </c>
      <c r="C177" s="2">
        <f ca="1">INDEX(Simulations!$A$1:$BK$2501, 177, MATCH("ExitMultiple", Simulations!$A$1:$BK$1, 0))</f>
        <v>7.4035428907937897</v>
      </c>
      <c r="D177" s="2">
        <f ca="1">INDEX(Simulations!$A$1:$BK$2501, 177, MATCH("RevCAGR", Simulations!$A$1:$BK$1, 0))</f>
        <v>6.2620700991403114E-2</v>
      </c>
      <c r="E177" s="2">
        <f ca="1">INDEX(Simulations!$A$1:$BK$2501, 177, MATCH("SynMargin", Simulations!$A$1:$BK$1, 0))</f>
        <v>8.063760412462052E-3</v>
      </c>
      <c r="F177" s="2">
        <f ca="1">INDEX(Simulations!$A$1:$BK$2501, 177, MATCH("Yr1Shock", Simulations!$A$1:$BK$1, 0))</f>
        <v>2.3050570665953188E-2</v>
      </c>
      <c r="G177" s="2">
        <f ca="1">INDEX(Simulations!$A$1:$BK$2501, 177, MATCH("EntryEV", Simulations!$A$1:$BK$1, 0))</f>
        <v>41505217.711228266</v>
      </c>
      <c r="H177" s="2">
        <f ca="1">INDEX(Simulations!$A$1:$BK$2501, 177, MATCH("ExitEV", Simulations!$A$1:$BK$1, 0))</f>
        <v>60668566.221746676</v>
      </c>
      <c r="I177" s="2">
        <f ca="1">INDEX(Simulations!$A$1:$BK$2501, 177, MATCH("IRR", Simulations!$A$1:$BK$1, 0))</f>
        <v>0.25787118886404325</v>
      </c>
      <c r="J177" s="2">
        <f ca="1">INDEX(Simulations!$A$1:$BK$2501, 177, MATCH("NPV_12%", Simulations!$A$1:$BK$1, 0))</f>
        <v>11452877.554481182</v>
      </c>
    </row>
    <row r="178" spans="1:10" x14ac:dyDescent="0.3">
      <c r="A178" s="2">
        <f>INDEX(Simulations!$A$2:$A$2501,177)</f>
        <v>177</v>
      </c>
      <c r="B178" s="2">
        <f ca="1">INDEX(Simulations!$A$1:$BK$2501, 178, MATCH("PurchaseMultiple", Simulations!$A$1:$BK$1, 0))</f>
        <v>6.3666955854641332</v>
      </c>
      <c r="C178" s="2">
        <f ca="1">INDEX(Simulations!$A$1:$BK$2501, 178, MATCH("ExitMultiple", Simulations!$A$1:$BK$1, 0))</f>
        <v>7.6625910723566566</v>
      </c>
      <c r="D178" s="2">
        <f ca="1">INDEX(Simulations!$A$1:$BK$2501, 178, MATCH("RevCAGR", Simulations!$A$1:$BK$1, 0))</f>
        <v>3.3325013462251557E-2</v>
      </c>
      <c r="E178" s="2">
        <f ca="1">INDEX(Simulations!$A$1:$BK$2501, 178, MATCH("SynMargin", Simulations!$A$1:$BK$1, 0))</f>
        <v>1.9572136495848595E-2</v>
      </c>
      <c r="F178" s="2">
        <f ca="1">INDEX(Simulations!$A$1:$BK$2501, 178, MATCH("Yr1Shock", Simulations!$A$1:$BK$1, 0))</f>
        <v>7.6737592363062207E-3</v>
      </c>
      <c r="G178" s="2">
        <f ca="1">INDEX(Simulations!$A$1:$BK$2501, 178, MATCH("EntryEV", Simulations!$A$1:$BK$1, 0))</f>
        <v>38200173.512784801</v>
      </c>
      <c r="H178" s="2">
        <f ca="1">INDEX(Simulations!$A$1:$BK$2501, 178, MATCH("ExitEV", Simulations!$A$1:$BK$1, 0))</f>
        <v>58849989.455653459</v>
      </c>
      <c r="I178" s="2">
        <f ca="1">INDEX(Simulations!$A$1:$BK$2501, 178, MATCH("IRR", Simulations!$A$1:$BK$1, 0))</f>
        <v>0.29248895511907569</v>
      </c>
      <c r="J178" s="2">
        <f ca="1">INDEX(Simulations!$A$1:$BK$2501, 178, MATCH("NPV_12%", Simulations!$A$1:$BK$1, 0))</f>
        <v>13517984.729652811</v>
      </c>
    </row>
    <row r="179" spans="1:10" x14ac:dyDescent="0.3">
      <c r="A179" s="2">
        <f>INDEX(Simulations!$A$2:$A$2501,178)</f>
        <v>178</v>
      </c>
      <c r="B179" s="2">
        <f ca="1">INDEX(Simulations!$A$1:$BK$2501, 179, MATCH("PurchaseMultiple", Simulations!$A$1:$BK$1, 0))</f>
        <v>7.068974307319519</v>
      </c>
      <c r="C179" s="2">
        <f ca="1">INDEX(Simulations!$A$1:$BK$2501, 179, MATCH("ExitMultiple", Simulations!$A$1:$BK$1, 0))</f>
        <v>7.0592905853871164</v>
      </c>
      <c r="D179" s="2">
        <f ca="1">INDEX(Simulations!$A$1:$BK$2501, 179, MATCH("RevCAGR", Simulations!$A$1:$BK$1, 0))</f>
        <v>9.3842219509905178E-2</v>
      </c>
      <c r="E179" s="2">
        <f ca="1">INDEX(Simulations!$A$1:$BK$2501, 179, MATCH("SynMargin", Simulations!$A$1:$BK$1, 0))</f>
        <v>1.1769931561543684E-3</v>
      </c>
      <c r="F179" s="2">
        <f ca="1">INDEX(Simulations!$A$1:$BK$2501, 179, MATCH("Yr1Shock", Simulations!$A$1:$BK$1, 0))</f>
        <v>1.3668040382312816E-2</v>
      </c>
      <c r="G179" s="2">
        <f ca="1">INDEX(Simulations!$A$1:$BK$2501, 179, MATCH("EntryEV", Simulations!$A$1:$BK$1, 0))</f>
        <v>42413845.843917117</v>
      </c>
      <c r="H179" s="2">
        <f ca="1">INDEX(Simulations!$A$1:$BK$2501, 179, MATCH("ExitEV", Simulations!$A$1:$BK$1, 0))</f>
        <v>61886850.073651917</v>
      </c>
      <c r="I179" s="2">
        <f ca="1">INDEX(Simulations!$A$1:$BK$2501, 179, MATCH("IRR", Simulations!$A$1:$BK$1, 0))</f>
        <v>0.25214368239866003</v>
      </c>
      <c r="J179" s="2">
        <f ca="1">INDEX(Simulations!$A$1:$BK$2501, 179, MATCH("NPV_12%", Simulations!$A$1:$BK$1, 0))</f>
        <v>11295331.566807337</v>
      </c>
    </row>
    <row r="180" spans="1:10" x14ac:dyDescent="0.3">
      <c r="A180" s="2">
        <f>INDEX(Simulations!$A$2:$A$2501,179)</f>
        <v>179</v>
      </c>
      <c r="B180" s="2">
        <f ca="1">INDEX(Simulations!$A$1:$BK$2501, 180, MATCH("PurchaseMultiple", Simulations!$A$1:$BK$1, 0))</f>
        <v>6.7092103723599248</v>
      </c>
      <c r="C180" s="2">
        <f ca="1">INDEX(Simulations!$A$1:$BK$2501, 180, MATCH("ExitMultiple", Simulations!$A$1:$BK$1, 0))</f>
        <v>7.8678881961734284</v>
      </c>
      <c r="D180" s="2">
        <f ca="1">INDEX(Simulations!$A$1:$BK$2501, 180, MATCH("RevCAGR", Simulations!$A$1:$BK$1, 0))</f>
        <v>-1.6387030862377437E-2</v>
      </c>
      <c r="E180" s="2">
        <f ca="1">INDEX(Simulations!$A$1:$BK$2501, 180, MATCH("SynMargin", Simulations!$A$1:$BK$1, 0))</f>
        <v>1.3489889140968332E-2</v>
      </c>
      <c r="F180" s="2">
        <f ca="1">INDEX(Simulations!$A$1:$BK$2501, 180, MATCH("Yr1Shock", Simulations!$A$1:$BK$1, 0))</f>
        <v>-1.356060007423638E-2</v>
      </c>
      <c r="G180" s="2">
        <f ca="1">INDEX(Simulations!$A$1:$BK$2501, 180, MATCH("EntryEV", Simulations!$A$1:$BK$1, 0))</f>
        <v>40255262.234159552</v>
      </c>
      <c r="H180" s="2">
        <f ca="1">INDEX(Simulations!$A$1:$BK$2501, 180, MATCH("ExitEV", Simulations!$A$1:$BK$1, 0))</f>
        <v>47019054.246628642</v>
      </c>
      <c r="I180" s="2">
        <f ca="1">INDEX(Simulations!$A$1:$BK$2501, 180, MATCH("IRR", Simulations!$A$1:$BK$1, 0))</f>
        <v>0.16321332578255765</v>
      </c>
      <c r="J180" s="2">
        <f ca="1">INDEX(Simulations!$A$1:$BK$2501, 180, MATCH("NPV_12%", Simulations!$A$1:$BK$1, 0))</f>
        <v>2932943.3498021103</v>
      </c>
    </row>
    <row r="181" spans="1:10" x14ac:dyDescent="0.3">
      <c r="A181" s="2">
        <f>INDEX(Simulations!$A$2:$A$2501,180)</f>
        <v>180</v>
      </c>
      <c r="B181" s="2">
        <f ca="1">INDEX(Simulations!$A$1:$BK$2501, 181, MATCH("PurchaseMultiple", Simulations!$A$1:$BK$1, 0))</f>
        <v>7.1732510430217076</v>
      </c>
      <c r="C181" s="2">
        <f ca="1">INDEX(Simulations!$A$1:$BK$2501, 181, MATCH("ExitMultiple", Simulations!$A$1:$BK$1, 0))</f>
        <v>7.2162577987963257</v>
      </c>
      <c r="D181" s="2">
        <f ca="1">INDEX(Simulations!$A$1:$BK$2501, 181, MATCH("RevCAGR", Simulations!$A$1:$BK$1, 0))</f>
        <v>1.3958189317048751E-2</v>
      </c>
      <c r="E181" s="2">
        <f ca="1">INDEX(Simulations!$A$1:$BK$2501, 181, MATCH("SynMargin", Simulations!$A$1:$BK$1, 0))</f>
        <v>6.9294731320755244E-3</v>
      </c>
      <c r="F181" s="2">
        <f ca="1">INDEX(Simulations!$A$1:$BK$2501, 181, MATCH("Yr1Shock", Simulations!$A$1:$BK$1, 0))</f>
        <v>-7.8450935284159733E-3</v>
      </c>
      <c r="G181" s="2">
        <f ca="1">INDEX(Simulations!$A$1:$BK$2501, 181, MATCH("EntryEV", Simulations!$A$1:$BK$1, 0))</f>
        <v>43039506.258130245</v>
      </c>
      <c r="H181" s="2">
        <f ca="1">INDEX(Simulations!$A$1:$BK$2501, 181, MATCH("ExitEV", Simulations!$A$1:$BK$1, 0))</f>
        <v>47242455.173818916</v>
      </c>
      <c r="I181" s="2">
        <f ca="1">INDEX(Simulations!$A$1:$BK$2501, 181, MATCH("IRR", Simulations!$A$1:$BK$1, 0))</f>
        <v>0.13120432213513977</v>
      </c>
      <c r="J181" s="2">
        <f ca="1">INDEX(Simulations!$A$1:$BK$2501, 181, MATCH("NPV_12%", Simulations!$A$1:$BK$1, 0))</f>
        <v>784537.0026672706</v>
      </c>
    </row>
    <row r="182" spans="1:10" x14ac:dyDescent="0.3">
      <c r="A182" s="2">
        <f>INDEX(Simulations!$A$2:$A$2501,181)</f>
        <v>181</v>
      </c>
      <c r="B182" s="2">
        <f ca="1">INDEX(Simulations!$A$1:$BK$2501, 182, MATCH("PurchaseMultiple", Simulations!$A$1:$BK$1, 0))</f>
        <v>6.926371968825241</v>
      </c>
      <c r="C182" s="2">
        <f ca="1">INDEX(Simulations!$A$1:$BK$2501, 182, MATCH("ExitMultiple", Simulations!$A$1:$BK$1, 0))</f>
        <v>7.0662192002891446</v>
      </c>
      <c r="D182" s="2">
        <f ca="1">INDEX(Simulations!$A$1:$BK$2501, 182, MATCH("RevCAGR", Simulations!$A$1:$BK$1, 0))</f>
        <v>4.0675265343257487E-2</v>
      </c>
      <c r="E182" s="2">
        <f ca="1">INDEX(Simulations!$A$1:$BK$2501, 182, MATCH("SynMargin", Simulations!$A$1:$BK$1, 0))</f>
        <v>1.449521206152753E-2</v>
      </c>
      <c r="F182" s="2">
        <f ca="1">INDEX(Simulations!$A$1:$BK$2501, 182, MATCH("Yr1Shock", Simulations!$A$1:$BK$1, 0))</f>
        <v>-4.9017585176129752E-2</v>
      </c>
      <c r="G182" s="2">
        <f ca="1">INDEX(Simulations!$A$1:$BK$2501, 182, MATCH("EntryEV", Simulations!$A$1:$BK$1, 0))</f>
        <v>41558231.812951446</v>
      </c>
      <c r="H182" s="2">
        <f ca="1">INDEX(Simulations!$A$1:$BK$2501, 182, MATCH("ExitEV", Simulations!$A$1:$BK$1, 0))</f>
        <v>51288915.29500109</v>
      </c>
      <c r="I182" s="2">
        <f ca="1">INDEX(Simulations!$A$1:$BK$2501, 182, MATCH("IRR", Simulations!$A$1:$BK$1, 0))</f>
        <v>0.18874686387834805</v>
      </c>
      <c r="J182" s="2">
        <f ca="1">INDEX(Simulations!$A$1:$BK$2501, 182, MATCH("NPV_12%", Simulations!$A$1:$BK$1, 0))</f>
        <v>5095528.639431946</v>
      </c>
    </row>
    <row r="183" spans="1:10" x14ac:dyDescent="0.3">
      <c r="A183" s="2">
        <f>INDEX(Simulations!$A$2:$A$2501,182)</f>
        <v>182</v>
      </c>
      <c r="B183" s="2">
        <f ca="1">INDEX(Simulations!$A$1:$BK$2501, 183, MATCH("PurchaseMultiple", Simulations!$A$1:$BK$1, 0))</f>
        <v>7.4959117203117573</v>
      </c>
      <c r="C183" s="2">
        <f ca="1">INDEX(Simulations!$A$1:$BK$2501, 183, MATCH("ExitMultiple", Simulations!$A$1:$BK$1, 0))</f>
        <v>7.7300225755821188</v>
      </c>
      <c r="D183" s="2">
        <f ca="1">INDEX(Simulations!$A$1:$BK$2501, 183, MATCH("RevCAGR", Simulations!$A$1:$BK$1, 0))</f>
        <v>3.4553800043074297E-2</v>
      </c>
      <c r="E183" s="2">
        <f ca="1">INDEX(Simulations!$A$1:$BK$2501, 183, MATCH("SynMargin", Simulations!$A$1:$BK$1, 0))</f>
        <v>1.5281583433346992E-2</v>
      </c>
      <c r="F183" s="2">
        <f ca="1">INDEX(Simulations!$A$1:$BK$2501, 183, MATCH("Yr1Shock", Simulations!$A$1:$BK$1, 0))</f>
        <v>2.271659385697723E-3</v>
      </c>
      <c r="G183" s="2">
        <f ca="1">INDEX(Simulations!$A$1:$BK$2501, 183, MATCH("EntryEV", Simulations!$A$1:$BK$1, 0))</f>
        <v>44975470.321870543</v>
      </c>
      <c r="H183" s="2">
        <f ca="1">INDEX(Simulations!$A$1:$BK$2501, 183, MATCH("ExitEV", Simulations!$A$1:$BK$1, 0))</f>
        <v>57998200.248036377</v>
      </c>
      <c r="I183" s="2">
        <f ca="1">INDEX(Simulations!$A$1:$BK$2501, 183, MATCH("IRR", Simulations!$A$1:$BK$1, 0))</f>
        <v>0.19806402089941688</v>
      </c>
      <c r="J183" s="2">
        <f ca="1">INDEX(Simulations!$A$1:$BK$2501, 183, MATCH("NPV_12%", Simulations!$A$1:$BK$1, 0))</f>
        <v>6431175.3908036612</v>
      </c>
    </row>
    <row r="184" spans="1:10" x14ac:dyDescent="0.3">
      <c r="A184" s="2">
        <f>INDEX(Simulations!$A$2:$A$2501,183)</f>
        <v>183</v>
      </c>
      <c r="B184" s="2">
        <f ca="1">INDEX(Simulations!$A$1:$BK$2501, 184, MATCH("PurchaseMultiple", Simulations!$A$1:$BK$1, 0))</f>
        <v>7.7243783467931681</v>
      </c>
      <c r="C184" s="2">
        <f ca="1">INDEX(Simulations!$A$1:$BK$2501, 184, MATCH("ExitMultiple", Simulations!$A$1:$BK$1, 0))</f>
        <v>8.0835557571559438</v>
      </c>
      <c r="D184" s="2">
        <f ca="1">INDEX(Simulations!$A$1:$BK$2501, 184, MATCH("RevCAGR", Simulations!$A$1:$BK$1, 0))</f>
        <v>1.1318262314372923E-2</v>
      </c>
      <c r="E184" s="2">
        <f ca="1">INDEX(Simulations!$A$1:$BK$2501, 184, MATCH("SynMargin", Simulations!$A$1:$BK$1, 0))</f>
        <v>1.3916283910992103E-2</v>
      </c>
      <c r="F184" s="2">
        <f ca="1">INDEX(Simulations!$A$1:$BK$2501, 184, MATCH("Yr1Shock", Simulations!$A$1:$BK$1, 0))</f>
        <v>-1.6824302773314778E-3</v>
      </c>
      <c r="G184" s="2">
        <f ca="1">INDEX(Simulations!$A$1:$BK$2501, 184, MATCH("EntryEV", Simulations!$A$1:$BK$1, 0))</f>
        <v>46346270.080759011</v>
      </c>
      <c r="H184" s="2">
        <f ca="1">INDEX(Simulations!$A$1:$BK$2501, 184, MATCH("ExitEV", Simulations!$A$1:$BK$1, 0))</f>
        <v>54760969.942075744</v>
      </c>
      <c r="I184" s="2">
        <f ca="1">INDEX(Simulations!$A$1:$BK$2501, 184, MATCH("IRR", Simulations!$A$1:$BK$1, 0))</f>
        <v>0.152757092105549</v>
      </c>
      <c r="J184" s="2">
        <f ca="1">INDEX(Simulations!$A$1:$BK$2501, 184, MATCH("NPV_12%", Simulations!$A$1:$BK$1, 0))</f>
        <v>2600927.01861424</v>
      </c>
    </row>
    <row r="185" spans="1:10" x14ac:dyDescent="0.3">
      <c r="A185" s="2">
        <f>INDEX(Simulations!$A$2:$A$2501,184)</f>
        <v>184</v>
      </c>
      <c r="B185" s="2">
        <f ca="1">INDEX(Simulations!$A$1:$BK$2501, 185, MATCH("PurchaseMultiple", Simulations!$A$1:$BK$1, 0))</f>
        <v>7.2866717306548026</v>
      </c>
      <c r="C185" s="2">
        <f ca="1">INDEX(Simulations!$A$1:$BK$2501, 185, MATCH("ExitMultiple", Simulations!$A$1:$BK$1, 0))</f>
        <v>7.785231848374691</v>
      </c>
      <c r="D185" s="2">
        <f ca="1">INDEX(Simulations!$A$1:$BK$2501, 185, MATCH("RevCAGR", Simulations!$A$1:$BK$1, 0))</f>
        <v>0.10458118697089575</v>
      </c>
      <c r="E185" s="2">
        <f ca="1">INDEX(Simulations!$A$1:$BK$2501, 185, MATCH("SynMargin", Simulations!$A$1:$BK$1, 0))</f>
        <v>2.0281307956206571E-2</v>
      </c>
      <c r="F185" s="2">
        <f ca="1">INDEX(Simulations!$A$1:$BK$2501, 185, MATCH("Yr1Shock", Simulations!$A$1:$BK$1, 0))</f>
        <v>-3.6479018330768894E-4</v>
      </c>
      <c r="G185" s="2">
        <f ca="1">INDEX(Simulations!$A$1:$BK$2501, 185, MATCH("EntryEV", Simulations!$A$1:$BK$1, 0))</f>
        <v>43720030.383928813</v>
      </c>
      <c r="H185" s="2">
        <f ca="1">INDEX(Simulations!$A$1:$BK$2501, 185, MATCH("ExitEV", Simulations!$A$1:$BK$1, 0))</f>
        <v>77734928.269921318</v>
      </c>
      <c r="I185" s="2">
        <f ca="1">INDEX(Simulations!$A$1:$BK$2501, 185, MATCH("IRR", Simulations!$A$1:$BK$1, 0))</f>
        <v>0.33048265761066409</v>
      </c>
      <c r="J185" s="2">
        <f ca="1">INDEX(Simulations!$A$1:$BK$2501, 185, MATCH("NPV_12%", Simulations!$A$1:$BK$1, 0))</f>
        <v>21009913.636092059</v>
      </c>
    </row>
    <row r="186" spans="1:10" x14ac:dyDescent="0.3">
      <c r="A186" s="2">
        <f>INDEX(Simulations!$A$2:$A$2501,185)</f>
        <v>185</v>
      </c>
      <c r="B186" s="2">
        <f ca="1">INDEX(Simulations!$A$1:$BK$2501, 186, MATCH("PurchaseMultiple", Simulations!$A$1:$BK$1, 0))</f>
        <v>7.8532232183558301</v>
      </c>
      <c r="C186" s="2">
        <f ca="1">INDEX(Simulations!$A$1:$BK$2501, 186, MATCH("ExitMultiple", Simulations!$A$1:$BK$1, 0))</f>
        <v>7.3485127302750923</v>
      </c>
      <c r="D186" s="2">
        <f ca="1">INDEX(Simulations!$A$1:$BK$2501, 186, MATCH("RevCAGR", Simulations!$A$1:$BK$1, 0))</f>
        <v>6.2492921803108337E-2</v>
      </c>
      <c r="E186" s="2">
        <f ca="1">INDEX(Simulations!$A$1:$BK$2501, 186, MATCH("SynMargin", Simulations!$A$1:$BK$1, 0))</f>
        <v>1.30316467692416E-2</v>
      </c>
      <c r="F186" s="2">
        <f ca="1">INDEX(Simulations!$A$1:$BK$2501, 186, MATCH("Yr1Shock", Simulations!$A$1:$BK$1, 0))</f>
        <v>-1.6772994945787587E-2</v>
      </c>
      <c r="G186" s="2">
        <f ca="1">INDEX(Simulations!$A$1:$BK$2501, 186, MATCH("EntryEV", Simulations!$A$1:$BK$1, 0))</f>
        <v>47119339.310134985</v>
      </c>
      <c r="H186" s="2">
        <f ca="1">INDEX(Simulations!$A$1:$BK$2501, 186, MATCH("ExitEV", Simulations!$A$1:$BK$1, 0))</f>
        <v>59446760.564776599</v>
      </c>
      <c r="I186" s="2">
        <f ca="1">INDEX(Simulations!$A$1:$BK$2501, 186, MATCH("IRR", Simulations!$A$1:$BK$1, 0))</f>
        <v>0.18441301383744912</v>
      </c>
      <c r="J186" s="2">
        <f ca="1">INDEX(Simulations!$A$1:$BK$2501, 186, MATCH("NPV_12%", Simulations!$A$1:$BK$1, 0))</f>
        <v>5520000.404532034</v>
      </c>
    </row>
    <row r="187" spans="1:10" x14ac:dyDescent="0.3">
      <c r="A187" s="2">
        <f>INDEX(Simulations!$A$2:$A$2501,186)</f>
        <v>186</v>
      </c>
      <c r="B187" s="2">
        <f ca="1">INDEX(Simulations!$A$1:$BK$2501, 187, MATCH("PurchaseMultiple", Simulations!$A$1:$BK$1, 0))</f>
        <v>7.011189141338936</v>
      </c>
      <c r="C187" s="2">
        <f ca="1">INDEX(Simulations!$A$1:$BK$2501, 187, MATCH("ExitMultiple", Simulations!$A$1:$BK$1, 0))</f>
        <v>8.4193993871946677</v>
      </c>
      <c r="D187" s="2">
        <f ca="1">INDEX(Simulations!$A$1:$BK$2501, 187, MATCH("RevCAGR", Simulations!$A$1:$BK$1, 0))</f>
        <v>0.10802584496959422</v>
      </c>
      <c r="E187" s="2">
        <f ca="1">INDEX(Simulations!$A$1:$BK$2501, 187, MATCH("SynMargin", Simulations!$A$1:$BK$1, 0))</f>
        <v>1.644095334062963E-2</v>
      </c>
      <c r="F187" s="2">
        <f ca="1">INDEX(Simulations!$A$1:$BK$2501, 187, MATCH("Yr1Shock", Simulations!$A$1:$BK$1, 0))</f>
        <v>-3.2742490852525458E-3</v>
      </c>
      <c r="G187" s="2">
        <f ca="1">INDEX(Simulations!$A$1:$BK$2501, 187, MATCH("EntryEV", Simulations!$A$1:$BK$1, 0))</f>
        <v>42067134.848033614</v>
      </c>
      <c r="H187" s="2">
        <f ca="1">INDEX(Simulations!$A$1:$BK$2501, 187, MATCH("ExitEV", Simulations!$A$1:$BK$1, 0))</f>
        <v>83172687.22753796</v>
      </c>
      <c r="I187" s="2">
        <f ca="1">INDEX(Simulations!$A$1:$BK$2501, 187, MATCH("IRR", Simulations!$A$1:$BK$1, 0))</f>
        <v>0.36587220535358189</v>
      </c>
      <c r="J187" s="2">
        <f ca="1">INDEX(Simulations!$A$1:$BK$2501, 187, MATCH("NPV_12%", Simulations!$A$1:$BK$1, 0))</f>
        <v>25183293.306984376</v>
      </c>
    </row>
    <row r="188" spans="1:10" x14ac:dyDescent="0.3">
      <c r="A188" s="2">
        <f>INDEX(Simulations!$A$2:$A$2501,187)</f>
        <v>187</v>
      </c>
      <c r="B188" s="2">
        <f ca="1">INDEX(Simulations!$A$1:$BK$2501, 188, MATCH("PurchaseMultiple", Simulations!$A$1:$BK$1, 0))</f>
        <v>6.7156186159709055</v>
      </c>
      <c r="C188" s="2">
        <f ca="1">INDEX(Simulations!$A$1:$BK$2501, 188, MATCH("ExitMultiple", Simulations!$A$1:$BK$1, 0))</f>
        <v>7.9848929899497101</v>
      </c>
      <c r="D188" s="2">
        <f ca="1">INDEX(Simulations!$A$1:$BK$2501, 188, MATCH("RevCAGR", Simulations!$A$1:$BK$1, 0))</f>
        <v>7.0338892256811669E-2</v>
      </c>
      <c r="E188" s="2">
        <f ca="1">INDEX(Simulations!$A$1:$BK$2501, 188, MATCH("SynMargin", Simulations!$A$1:$BK$1, 0))</f>
        <v>8.7942813463397634E-3</v>
      </c>
      <c r="F188" s="2">
        <f ca="1">INDEX(Simulations!$A$1:$BK$2501, 188, MATCH("Yr1Shock", Simulations!$A$1:$BK$1, 0))</f>
        <v>0.05</v>
      </c>
      <c r="G188" s="2">
        <f ca="1">INDEX(Simulations!$A$1:$BK$2501, 188, MATCH("EntryEV", Simulations!$A$1:$BK$1, 0))</f>
        <v>40293711.695825435</v>
      </c>
      <c r="H188" s="2">
        <f ca="1">INDEX(Simulations!$A$1:$BK$2501, 188, MATCH("ExitEV", Simulations!$A$1:$BK$1, 0))</f>
        <v>69409917.669809446</v>
      </c>
      <c r="I188" s="2">
        <f ca="1">INDEX(Simulations!$A$1:$BK$2501, 188, MATCH("IRR", Simulations!$A$1:$BK$1, 0))</f>
        <v>0.32278806366058221</v>
      </c>
      <c r="J188" s="2">
        <f ca="1">INDEX(Simulations!$A$1:$BK$2501, 188, MATCH("NPV_12%", Simulations!$A$1:$BK$1, 0))</f>
        <v>18128437.725547045</v>
      </c>
    </row>
    <row r="189" spans="1:10" x14ac:dyDescent="0.3">
      <c r="A189" s="2">
        <f>INDEX(Simulations!$A$2:$A$2501,188)</f>
        <v>188</v>
      </c>
      <c r="B189" s="2">
        <f ca="1">INDEX(Simulations!$A$1:$BK$2501, 189, MATCH("PurchaseMultiple", Simulations!$A$1:$BK$1, 0))</f>
        <v>6.8430939637329153</v>
      </c>
      <c r="C189" s="2">
        <f ca="1">INDEX(Simulations!$A$1:$BK$2501, 189, MATCH("ExitMultiple", Simulations!$A$1:$BK$1, 0))</f>
        <v>6.9150612817995842</v>
      </c>
      <c r="D189" s="2">
        <f ca="1">INDEX(Simulations!$A$1:$BK$2501, 189, MATCH("RevCAGR", Simulations!$A$1:$BK$1, 0))</f>
        <v>0.12</v>
      </c>
      <c r="E189" s="2">
        <f ca="1">INDEX(Simulations!$A$1:$BK$2501, 189, MATCH("SynMargin", Simulations!$A$1:$BK$1, 0))</f>
        <v>1.6690628690225608E-2</v>
      </c>
      <c r="F189" s="2">
        <f ca="1">INDEX(Simulations!$A$1:$BK$2501, 189, MATCH("Yr1Shock", Simulations!$A$1:$BK$1, 0))</f>
        <v>-6.1931836872581424E-3</v>
      </c>
      <c r="G189" s="2">
        <f ca="1">INDEX(Simulations!$A$1:$BK$2501, 189, MATCH("EntryEV", Simulations!$A$1:$BK$1, 0))</f>
        <v>41058563.782397494</v>
      </c>
      <c r="H189" s="2">
        <f ca="1">INDEX(Simulations!$A$1:$BK$2501, 189, MATCH("ExitEV", Simulations!$A$1:$BK$1, 0))</f>
        <v>71198568.655452192</v>
      </c>
      <c r="I189" s="2">
        <f ca="1">INDEX(Simulations!$A$1:$BK$2501, 189, MATCH("IRR", Simulations!$A$1:$BK$1, 0))</f>
        <v>0.33351487792529855</v>
      </c>
      <c r="J189" s="2">
        <f ca="1">INDEX(Simulations!$A$1:$BK$2501, 189, MATCH("NPV_12%", Simulations!$A$1:$BK$1, 0))</f>
        <v>19782819.63275332</v>
      </c>
    </row>
    <row r="190" spans="1:10" x14ac:dyDescent="0.3">
      <c r="A190" s="2">
        <f>INDEX(Simulations!$A$2:$A$2501,189)</f>
        <v>189</v>
      </c>
      <c r="B190" s="2">
        <f ca="1">INDEX(Simulations!$A$1:$BK$2501, 190, MATCH("PurchaseMultiple", Simulations!$A$1:$BK$1, 0))</f>
        <v>6.3055349977472179</v>
      </c>
      <c r="C190" s="2">
        <f ca="1">INDEX(Simulations!$A$1:$BK$2501, 190, MATCH("ExitMultiple", Simulations!$A$1:$BK$1, 0))</f>
        <v>7.6396841236678803</v>
      </c>
      <c r="D190" s="2">
        <f ca="1">INDEX(Simulations!$A$1:$BK$2501, 190, MATCH("RevCAGR", Simulations!$A$1:$BK$1, 0))</f>
        <v>7.5971833599283334E-2</v>
      </c>
      <c r="E190" s="2">
        <f ca="1">INDEX(Simulations!$A$1:$BK$2501, 190, MATCH("SynMargin", Simulations!$A$1:$BK$1, 0))</f>
        <v>1.4438575024246477E-2</v>
      </c>
      <c r="F190" s="2">
        <f ca="1">INDEX(Simulations!$A$1:$BK$2501, 190, MATCH("Yr1Shock", Simulations!$A$1:$BK$1, 0))</f>
        <v>9.3944419831186593E-3</v>
      </c>
      <c r="G190" s="2">
        <f ca="1">INDEX(Simulations!$A$1:$BK$2501, 190, MATCH("EntryEV", Simulations!$A$1:$BK$1, 0))</f>
        <v>37833209.986483306</v>
      </c>
      <c r="H190" s="2">
        <f ca="1">INDEX(Simulations!$A$1:$BK$2501, 190, MATCH("ExitEV", Simulations!$A$1:$BK$1, 0))</f>
        <v>67237351.453164667</v>
      </c>
      <c r="I190" s="2">
        <f ca="1">INDEX(Simulations!$A$1:$BK$2501, 190, MATCH("IRR", Simulations!$A$1:$BK$1, 0))</f>
        <v>0.34463758532082056</v>
      </c>
      <c r="J190" s="2">
        <f ca="1">INDEX(Simulations!$A$1:$BK$2501, 190, MATCH("NPV_12%", Simulations!$A$1:$BK$1, 0))</f>
        <v>19238737.00204597</v>
      </c>
    </row>
    <row r="191" spans="1:10" x14ac:dyDescent="0.3">
      <c r="A191" s="2">
        <f>INDEX(Simulations!$A$2:$A$2501,190)</f>
        <v>190</v>
      </c>
      <c r="B191" s="2">
        <f ca="1">INDEX(Simulations!$A$1:$BK$2501, 191, MATCH("PurchaseMultiple", Simulations!$A$1:$BK$1, 0))</f>
        <v>6.7628231658675295</v>
      </c>
      <c r="C191" s="2">
        <f ca="1">INDEX(Simulations!$A$1:$BK$2501, 191, MATCH("ExitMultiple", Simulations!$A$1:$BK$1, 0))</f>
        <v>8.0426504568850063</v>
      </c>
      <c r="D191" s="2">
        <f ca="1">INDEX(Simulations!$A$1:$BK$2501, 191, MATCH("RevCAGR", Simulations!$A$1:$BK$1, 0))</f>
        <v>9.9807284418957018E-3</v>
      </c>
      <c r="E191" s="2">
        <f ca="1">INDEX(Simulations!$A$1:$BK$2501, 191, MATCH("SynMargin", Simulations!$A$1:$BK$1, 0))</f>
        <v>9.6788377843372766E-3</v>
      </c>
      <c r="F191" s="2">
        <f ca="1">INDEX(Simulations!$A$1:$BK$2501, 191, MATCH("Yr1Shock", Simulations!$A$1:$BK$1, 0))</f>
        <v>2.3074419855291604E-2</v>
      </c>
      <c r="G191" s="2">
        <f ca="1">INDEX(Simulations!$A$1:$BK$2501, 191, MATCH("EntryEV", Simulations!$A$1:$BK$1, 0))</f>
        <v>40576938.995205179</v>
      </c>
      <c r="H191" s="2">
        <f ca="1">INDEX(Simulations!$A$1:$BK$2501, 191, MATCH("ExitEV", Simulations!$A$1:$BK$1, 0))</f>
        <v>54270401.009465195</v>
      </c>
      <c r="I191" s="2">
        <f ca="1">INDEX(Simulations!$A$1:$BK$2501, 191, MATCH("IRR", Simulations!$A$1:$BK$1, 0))</f>
        <v>0.2195461824520748</v>
      </c>
      <c r="J191" s="2">
        <f ca="1">INDEX(Simulations!$A$1:$BK$2501, 191, MATCH("NPV_12%", Simulations!$A$1:$BK$1, 0))</f>
        <v>7524717.0602367632</v>
      </c>
    </row>
    <row r="192" spans="1:10" x14ac:dyDescent="0.3">
      <c r="A192" s="2">
        <f>INDEX(Simulations!$A$2:$A$2501,191)</f>
        <v>191</v>
      </c>
      <c r="B192" s="2">
        <f ca="1">INDEX(Simulations!$A$1:$BK$2501, 192, MATCH("PurchaseMultiple", Simulations!$A$1:$BK$1, 0))</f>
        <v>7.2930150657671113</v>
      </c>
      <c r="C192" s="2">
        <f ca="1">INDEX(Simulations!$A$1:$BK$2501, 192, MATCH("ExitMultiple", Simulations!$A$1:$BK$1, 0))</f>
        <v>8.0145004617415196</v>
      </c>
      <c r="D192" s="2">
        <f ca="1">INDEX(Simulations!$A$1:$BK$2501, 192, MATCH("RevCAGR", Simulations!$A$1:$BK$1, 0))</f>
        <v>2.7652113377327439E-2</v>
      </c>
      <c r="E192" s="2">
        <f ca="1">INDEX(Simulations!$A$1:$BK$2501, 192, MATCH("SynMargin", Simulations!$A$1:$BK$1, 0))</f>
        <v>1.3152896714275395E-2</v>
      </c>
      <c r="F192" s="2">
        <f ca="1">INDEX(Simulations!$A$1:$BK$2501, 192, MATCH("Yr1Shock", Simulations!$A$1:$BK$1, 0))</f>
        <v>-3.5461394226935536E-3</v>
      </c>
      <c r="G192" s="2">
        <f ca="1">INDEX(Simulations!$A$1:$BK$2501, 192, MATCH("EntryEV", Simulations!$A$1:$BK$1, 0))</f>
        <v>43758090.394602671</v>
      </c>
      <c r="H192" s="2">
        <f ca="1">INDEX(Simulations!$A$1:$BK$2501, 192, MATCH("ExitEV", Simulations!$A$1:$BK$1, 0))</f>
        <v>57540584.814353243</v>
      </c>
      <c r="I192" s="2">
        <f ca="1">INDEX(Simulations!$A$1:$BK$2501, 192, MATCH("IRR", Simulations!$A$1:$BK$1, 0))</f>
        <v>0.20411966006219928</v>
      </c>
      <c r="J192" s="2">
        <f ca="1">INDEX(Simulations!$A$1:$BK$2501, 192, MATCH("NPV_12%", Simulations!$A$1:$BK$1, 0))</f>
        <v>6818608.99982173</v>
      </c>
    </row>
    <row r="193" spans="1:10" x14ac:dyDescent="0.3">
      <c r="A193" s="2">
        <f>INDEX(Simulations!$A$2:$A$2501,192)</f>
        <v>192</v>
      </c>
      <c r="B193" s="2">
        <f ca="1">INDEX(Simulations!$A$1:$BK$2501, 193, MATCH("PurchaseMultiple", Simulations!$A$1:$BK$1, 0))</f>
        <v>6.7053584535343234</v>
      </c>
      <c r="C193" s="2">
        <f ca="1">INDEX(Simulations!$A$1:$BK$2501, 193, MATCH("ExitMultiple", Simulations!$A$1:$BK$1, 0))</f>
        <v>8.1381822157190289</v>
      </c>
      <c r="D193" s="2">
        <f ca="1">INDEX(Simulations!$A$1:$BK$2501, 193, MATCH("RevCAGR", Simulations!$A$1:$BK$1, 0))</f>
        <v>5.3466920762084827E-2</v>
      </c>
      <c r="E193" s="2">
        <f ca="1">INDEX(Simulations!$A$1:$BK$2501, 193, MATCH("SynMargin", Simulations!$A$1:$BK$1, 0))</f>
        <v>1.6963343112398173E-2</v>
      </c>
      <c r="F193" s="2">
        <f ca="1">INDEX(Simulations!$A$1:$BK$2501, 193, MATCH("Yr1Shock", Simulations!$A$1:$BK$1, 0))</f>
        <v>-1.4475447545994988E-2</v>
      </c>
      <c r="G193" s="2">
        <f ca="1">INDEX(Simulations!$A$1:$BK$2501, 193, MATCH("EntryEV", Simulations!$A$1:$BK$1, 0))</f>
        <v>40232150.721205942</v>
      </c>
      <c r="H193" s="2">
        <f ca="1">INDEX(Simulations!$A$1:$BK$2501, 193, MATCH("ExitEV", Simulations!$A$1:$BK$1, 0))</f>
        <v>65134153.691915207</v>
      </c>
      <c r="I193" s="2">
        <f ca="1">INDEX(Simulations!$A$1:$BK$2501, 193, MATCH("IRR", Simulations!$A$1:$BK$1, 0))</f>
        <v>0.29636067241652553</v>
      </c>
      <c r="J193" s="2">
        <f ca="1">INDEX(Simulations!$A$1:$BK$2501, 193, MATCH("NPV_12%", Simulations!$A$1:$BK$1, 0))</f>
        <v>15113944.185894437</v>
      </c>
    </row>
    <row r="194" spans="1:10" x14ac:dyDescent="0.3">
      <c r="A194" s="2">
        <f>INDEX(Simulations!$A$2:$A$2501,193)</f>
        <v>193</v>
      </c>
      <c r="B194" s="2">
        <f ca="1">INDEX(Simulations!$A$1:$BK$2501, 194, MATCH("PurchaseMultiple", Simulations!$A$1:$BK$1, 0))</f>
        <v>7.1065061459830865</v>
      </c>
      <c r="C194" s="2">
        <f ca="1">INDEX(Simulations!$A$1:$BK$2501, 194, MATCH("ExitMultiple", Simulations!$A$1:$BK$1, 0))</f>
        <v>7.5253905910376924</v>
      </c>
      <c r="D194" s="2">
        <f ca="1">INDEX(Simulations!$A$1:$BK$2501, 194, MATCH("RevCAGR", Simulations!$A$1:$BK$1, 0))</f>
        <v>2.6749893492852776E-2</v>
      </c>
      <c r="E194" s="2">
        <f ca="1">INDEX(Simulations!$A$1:$BK$2501, 194, MATCH("SynMargin", Simulations!$A$1:$BK$1, 0))</f>
        <v>1.0326782132644048E-2</v>
      </c>
      <c r="F194" s="2">
        <f ca="1">INDEX(Simulations!$A$1:$BK$2501, 194, MATCH("Yr1Shock", Simulations!$A$1:$BK$1, 0))</f>
        <v>2.9651111255664157E-2</v>
      </c>
      <c r="G194" s="2">
        <f ca="1">INDEX(Simulations!$A$1:$BK$2501, 194, MATCH("EntryEV", Simulations!$A$1:$BK$1, 0))</f>
        <v>42639036.875898518</v>
      </c>
      <c r="H194" s="2">
        <f ca="1">INDEX(Simulations!$A$1:$BK$2501, 194, MATCH("ExitEV", Simulations!$A$1:$BK$1, 0))</f>
        <v>54781391.636283033</v>
      </c>
      <c r="I194" s="2">
        <f ca="1">INDEX(Simulations!$A$1:$BK$2501, 194, MATCH("IRR", Simulations!$A$1:$BK$1, 0))</f>
        <v>0.20386497697596639</v>
      </c>
      <c r="J194" s="2">
        <f ca="1">INDEX(Simulations!$A$1:$BK$2501, 194, MATCH("NPV_12%", Simulations!$A$1:$BK$1, 0))</f>
        <v>6516190.0668292642</v>
      </c>
    </row>
    <row r="195" spans="1:10" x14ac:dyDescent="0.3">
      <c r="A195" s="2">
        <f>INDEX(Simulations!$A$2:$A$2501,194)</f>
        <v>194</v>
      </c>
      <c r="B195" s="2">
        <f ca="1">INDEX(Simulations!$A$1:$BK$2501, 195, MATCH("PurchaseMultiple", Simulations!$A$1:$BK$1, 0))</f>
        <v>6.9291257765276342</v>
      </c>
      <c r="C195" s="2">
        <f ca="1">INDEX(Simulations!$A$1:$BK$2501, 195, MATCH("ExitMultiple", Simulations!$A$1:$BK$1, 0))</f>
        <v>8.0087060905975687</v>
      </c>
      <c r="D195" s="2">
        <f ca="1">INDEX(Simulations!$A$1:$BK$2501, 195, MATCH("RevCAGR", Simulations!$A$1:$BK$1, 0))</f>
        <v>-1.8680681422474039E-2</v>
      </c>
      <c r="E195" s="2">
        <f ca="1">INDEX(Simulations!$A$1:$BK$2501, 195, MATCH("SynMargin", Simulations!$A$1:$BK$1, 0))</f>
        <v>6.9045676113416842E-3</v>
      </c>
      <c r="F195" s="2">
        <f ca="1">INDEX(Simulations!$A$1:$BK$2501, 195, MATCH("Yr1Shock", Simulations!$A$1:$BK$1, 0))</f>
        <v>-3.4178347603355114E-4</v>
      </c>
      <c r="G195" s="2">
        <f ca="1">INDEX(Simulations!$A$1:$BK$2501, 195, MATCH("EntryEV", Simulations!$A$1:$BK$1, 0))</f>
        <v>41574754.659165807</v>
      </c>
      <c r="H195" s="2">
        <f ca="1">INDEX(Simulations!$A$1:$BK$2501, 195, MATCH("ExitEV", Simulations!$A$1:$BK$1, 0))</f>
        <v>46339931.63175106</v>
      </c>
      <c r="I195" s="2">
        <f ca="1">INDEX(Simulations!$A$1:$BK$2501, 195, MATCH("IRR", Simulations!$A$1:$BK$1, 0))</f>
        <v>0.13378402678688439</v>
      </c>
      <c r="J195" s="2">
        <f ca="1">INDEX(Simulations!$A$1:$BK$2501, 195, MATCH("NPV_12%", Simulations!$A$1:$BK$1, 0))</f>
        <v>932906.1632662788</v>
      </c>
    </row>
    <row r="196" spans="1:10" x14ac:dyDescent="0.3">
      <c r="A196" s="2">
        <f>INDEX(Simulations!$A$2:$A$2501,195)</f>
        <v>195</v>
      </c>
      <c r="B196" s="2">
        <f ca="1">INDEX(Simulations!$A$1:$BK$2501, 196, MATCH("PurchaseMultiple", Simulations!$A$1:$BK$1, 0))</f>
        <v>7.3634791558647406</v>
      </c>
      <c r="C196" s="2">
        <f ca="1">INDEX(Simulations!$A$1:$BK$2501, 196, MATCH("ExitMultiple", Simulations!$A$1:$BK$1, 0))</f>
        <v>6.6036893234037288</v>
      </c>
      <c r="D196" s="2">
        <f ca="1">INDEX(Simulations!$A$1:$BK$2501, 196, MATCH("RevCAGR", Simulations!$A$1:$BK$1, 0))</f>
        <v>2.8866385409239484E-3</v>
      </c>
      <c r="E196" s="2">
        <f ca="1">INDEX(Simulations!$A$1:$BK$2501, 196, MATCH("SynMargin", Simulations!$A$1:$BK$1, 0))</f>
        <v>6.8772195883372335E-3</v>
      </c>
      <c r="F196" s="2">
        <f ca="1">INDEX(Simulations!$A$1:$BK$2501, 196, MATCH("Yr1Shock", Simulations!$A$1:$BK$1, 0))</f>
        <v>8.5531369646969189E-3</v>
      </c>
      <c r="G196" s="2">
        <f ca="1">INDEX(Simulations!$A$1:$BK$2501, 196, MATCH("EntryEV", Simulations!$A$1:$BK$1, 0))</f>
        <v>44180874.935188442</v>
      </c>
      <c r="H196" s="2">
        <f ca="1">INDEX(Simulations!$A$1:$BK$2501, 196, MATCH("ExitEV", Simulations!$A$1:$BK$1, 0))</f>
        <v>42046155.446572497</v>
      </c>
      <c r="I196" s="2">
        <f ca="1">INDEX(Simulations!$A$1:$BK$2501, 196, MATCH("IRR", Simulations!$A$1:$BK$1, 0))</f>
        <v>7.0467059178180858E-2</v>
      </c>
      <c r="J196" s="2">
        <f ca="1">INDEX(Simulations!$A$1:$BK$2501, 196, MATCH("NPV_12%", Simulations!$A$1:$BK$1, 0))</f>
        <v>-3179724.7889210694</v>
      </c>
    </row>
    <row r="197" spans="1:10" x14ac:dyDescent="0.3">
      <c r="A197" s="2">
        <f>INDEX(Simulations!$A$2:$A$2501,196)</f>
        <v>196</v>
      </c>
      <c r="B197" s="2">
        <f ca="1">INDEX(Simulations!$A$1:$BK$2501, 197, MATCH("PurchaseMultiple", Simulations!$A$1:$BK$1, 0))</f>
        <v>7.2109002606704218</v>
      </c>
      <c r="C197" s="2">
        <f ca="1">INDEX(Simulations!$A$1:$BK$2501, 197, MATCH("ExitMultiple", Simulations!$A$1:$BK$1, 0))</f>
        <v>7.4064571508526242</v>
      </c>
      <c r="D197" s="2">
        <f ca="1">INDEX(Simulations!$A$1:$BK$2501, 197, MATCH("RevCAGR", Simulations!$A$1:$BK$1, 0))</f>
        <v>4.0157065360260306E-2</v>
      </c>
      <c r="E197" s="2">
        <f ca="1">INDEX(Simulations!$A$1:$BK$2501, 197, MATCH("SynMargin", Simulations!$A$1:$BK$1, 0))</f>
        <v>1.5826641128218036E-2</v>
      </c>
      <c r="F197" s="2">
        <f ca="1">INDEX(Simulations!$A$1:$BK$2501, 197, MATCH("Yr1Shock", Simulations!$A$1:$BK$1, 0))</f>
        <v>4.0465583719629826E-3</v>
      </c>
      <c r="G197" s="2">
        <f ca="1">INDEX(Simulations!$A$1:$BK$2501, 197, MATCH("EntryEV", Simulations!$A$1:$BK$1, 0))</f>
        <v>43265401.564022534</v>
      </c>
      <c r="H197" s="2">
        <f ca="1">INDEX(Simulations!$A$1:$BK$2501, 197, MATCH("ExitEV", Simulations!$A$1:$BK$1, 0))</f>
        <v>57050836.982318357</v>
      </c>
      <c r="I197" s="2">
        <f ca="1">INDEX(Simulations!$A$1:$BK$2501, 197, MATCH("IRR", Simulations!$A$1:$BK$1, 0))</f>
        <v>0.21542588057429368</v>
      </c>
      <c r="J197" s="2">
        <f ca="1">INDEX(Simulations!$A$1:$BK$2501, 197, MATCH("NPV_12%", Simulations!$A$1:$BK$1, 0))</f>
        <v>7688164.6766924821</v>
      </c>
    </row>
    <row r="198" spans="1:10" x14ac:dyDescent="0.3">
      <c r="A198" s="2">
        <f>INDEX(Simulations!$A$2:$A$2501,197)</f>
        <v>197</v>
      </c>
      <c r="B198" s="2">
        <f ca="1">INDEX(Simulations!$A$1:$BK$2501, 198, MATCH("PurchaseMultiple", Simulations!$A$1:$BK$1, 0))</f>
        <v>7.062428386063214</v>
      </c>
      <c r="C198" s="2">
        <f ca="1">INDEX(Simulations!$A$1:$BK$2501, 198, MATCH("ExitMultiple", Simulations!$A$1:$BK$1, 0))</f>
        <v>8.464273236169177</v>
      </c>
      <c r="D198" s="2">
        <f ca="1">INDEX(Simulations!$A$1:$BK$2501, 198, MATCH("RevCAGR", Simulations!$A$1:$BK$1, 0))</f>
        <v>1.3589718489392229E-2</v>
      </c>
      <c r="E198" s="2">
        <f ca="1">INDEX(Simulations!$A$1:$BK$2501, 198, MATCH("SynMargin", Simulations!$A$1:$BK$1, 0))</f>
        <v>8.476090916560302E-3</v>
      </c>
      <c r="F198" s="2">
        <f ca="1">INDEX(Simulations!$A$1:$BK$2501, 198, MATCH("Yr1Shock", Simulations!$A$1:$BK$1, 0))</f>
        <v>2.446498430668248E-2</v>
      </c>
      <c r="G198" s="2">
        <f ca="1">INDEX(Simulations!$A$1:$BK$2501, 198, MATCH("EntryEV", Simulations!$A$1:$BK$1, 0))</f>
        <v>42374570.316379286</v>
      </c>
      <c r="H198" s="2">
        <f ca="1">INDEX(Simulations!$A$1:$BK$2501, 198, MATCH("ExitEV", Simulations!$A$1:$BK$1, 0))</f>
        <v>57629658.035807833</v>
      </c>
      <c r="I198" s="2">
        <f ca="1">INDEX(Simulations!$A$1:$BK$2501, 198, MATCH("IRR", Simulations!$A$1:$BK$1, 0))</f>
        <v>0.21707321126674328</v>
      </c>
      <c r="J198" s="2">
        <f ca="1">INDEX(Simulations!$A$1:$BK$2501, 198, MATCH("NPV_12%", Simulations!$A$1:$BK$1, 0))</f>
        <v>7758472.1162876673</v>
      </c>
    </row>
    <row r="199" spans="1:10" x14ac:dyDescent="0.3">
      <c r="A199" s="2">
        <f>INDEX(Simulations!$A$2:$A$2501,198)</f>
        <v>198</v>
      </c>
      <c r="B199" s="2">
        <f ca="1">INDEX(Simulations!$A$1:$BK$2501, 199, MATCH("PurchaseMultiple", Simulations!$A$1:$BK$1, 0))</f>
        <v>6.7912423162212097</v>
      </c>
      <c r="C199" s="2">
        <f ca="1">INDEX(Simulations!$A$1:$BK$2501, 199, MATCH("ExitMultiple", Simulations!$A$1:$BK$1, 0))</f>
        <v>7.3872019023759465</v>
      </c>
      <c r="D199" s="2">
        <f ca="1">INDEX(Simulations!$A$1:$BK$2501, 199, MATCH("RevCAGR", Simulations!$A$1:$BK$1, 0))</f>
        <v>5.78171439072033E-2</v>
      </c>
      <c r="E199" s="2">
        <f ca="1">INDEX(Simulations!$A$1:$BK$2501, 199, MATCH("SynMargin", Simulations!$A$1:$BK$1, 0))</f>
        <v>1.5694635583712698E-2</v>
      </c>
      <c r="F199" s="2">
        <f ca="1">INDEX(Simulations!$A$1:$BK$2501, 199, MATCH("Yr1Shock", Simulations!$A$1:$BK$1, 0))</f>
        <v>1.1186372927176514E-2</v>
      </c>
      <c r="G199" s="2">
        <f ca="1">INDEX(Simulations!$A$1:$BK$2501, 199, MATCH("EntryEV", Simulations!$A$1:$BK$1, 0))</f>
        <v>40747453.897327259</v>
      </c>
      <c r="H199" s="2">
        <f ca="1">INDEX(Simulations!$A$1:$BK$2501, 199, MATCH("ExitEV", Simulations!$A$1:$BK$1, 0))</f>
        <v>61256090.947583728</v>
      </c>
      <c r="I199" s="2">
        <f ca="1">INDEX(Simulations!$A$1:$BK$2501, 199, MATCH("IRR", Simulations!$A$1:$BK$1, 0))</f>
        <v>0.27561856670321139</v>
      </c>
      <c r="J199" s="2">
        <f ca="1">INDEX(Simulations!$A$1:$BK$2501, 199, MATCH("NPV_12%", Simulations!$A$1:$BK$1, 0))</f>
        <v>12903001.376576807</v>
      </c>
    </row>
    <row r="200" spans="1:10" x14ac:dyDescent="0.3">
      <c r="A200" s="2">
        <f>INDEX(Simulations!$A$2:$A$2501,199)</f>
        <v>199</v>
      </c>
      <c r="B200" s="2">
        <f ca="1">INDEX(Simulations!$A$1:$BK$2501, 200, MATCH("PurchaseMultiple", Simulations!$A$1:$BK$1, 0))</f>
        <v>6.6462691950894346</v>
      </c>
      <c r="C200" s="2">
        <f ca="1">INDEX(Simulations!$A$1:$BK$2501, 200, MATCH("ExitMultiple", Simulations!$A$1:$BK$1, 0))</f>
        <v>7.5830064526749688</v>
      </c>
      <c r="D200" s="2">
        <f ca="1">INDEX(Simulations!$A$1:$BK$2501, 200, MATCH("RevCAGR", Simulations!$A$1:$BK$1, 0))</f>
        <v>2.8402356007479042E-2</v>
      </c>
      <c r="E200" s="2">
        <f ca="1">INDEX(Simulations!$A$1:$BK$2501, 200, MATCH("SynMargin", Simulations!$A$1:$BK$1, 0))</f>
        <v>1.1883000367147276E-2</v>
      </c>
      <c r="F200" s="2">
        <f ca="1">INDEX(Simulations!$A$1:$BK$2501, 200, MATCH("Yr1Shock", Simulations!$A$1:$BK$1, 0))</f>
        <v>4.0921066080872974E-2</v>
      </c>
      <c r="G200" s="2">
        <f ca="1">INDEX(Simulations!$A$1:$BK$2501, 200, MATCH("EntryEV", Simulations!$A$1:$BK$1, 0))</f>
        <v>39877615.170536608</v>
      </c>
      <c r="H200" s="2">
        <f ca="1">INDEX(Simulations!$A$1:$BK$2501, 200, MATCH("ExitEV", Simulations!$A$1:$BK$1, 0))</f>
        <v>56646019.909822069</v>
      </c>
      <c r="I200" s="2">
        <f ca="1">INDEX(Simulations!$A$1:$BK$2501, 200, MATCH("IRR", Simulations!$A$1:$BK$1, 0))</f>
        <v>0.25432905920240811</v>
      </c>
      <c r="J200" s="2">
        <f ca="1">INDEX(Simulations!$A$1:$BK$2501, 200, MATCH("NPV_12%", Simulations!$A$1:$BK$1, 0))</f>
        <v>10424247.945110563</v>
      </c>
    </row>
    <row r="201" spans="1:10" x14ac:dyDescent="0.3">
      <c r="A201" s="2">
        <f>INDEX(Simulations!$A$2:$A$2501,200)</f>
        <v>200</v>
      </c>
      <c r="B201" s="2">
        <f ca="1">INDEX(Simulations!$A$1:$BK$2501, 201, MATCH("PurchaseMultiple", Simulations!$A$1:$BK$1, 0))</f>
        <v>7.1156035725664655</v>
      </c>
      <c r="C201" s="2">
        <f ca="1">INDEX(Simulations!$A$1:$BK$2501, 201, MATCH("ExitMultiple", Simulations!$A$1:$BK$1, 0))</f>
        <v>7.2197082329257025</v>
      </c>
      <c r="D201" s="2">
        <f ca="1">INDEX(Simulations!$A$1:$BK$2501, 201, MATCH("RevCAGR", Simulations!$A$1:$BK$1, 0))</f>
        <v>3.6993073473681269E-2</v>
      </c>
      <c r="E201" s="2">
        <f ca="1">INDEX(Simulations!$A$1:$BK$2501, 201, MATCH("SynMargin", Simulations!$A$1:$BK$1, 0))</f>
        <v>3.9812842156708517E-3</v>
      </c>
      <c r="F201" s="2">
        <f ca="1">INDEX(Simulations!$A$1:$BK$2501, 201, MATCH("Yr1Shock", Simulations!$A$1:$BK$1, 0))</f>
        <v>2.0981731275311163E-2</v>
      </c>
      <c r="G201" s="2">
        <f ca="1">INDEX(Simulations!$A$1:$BK$2501, 201, MATCH("EntryEV", Simulations!$A$1:$BK$1, 0))</f>
        <v>42693621.435398795</v>
      </c>
      <c r="H201" s="2">
        <f ca="1">INDEX(Simulations!$A$1:$BK$2501, 201, MATCH("ExitEV", Simulations!$A$1:$BK$1, 0))</f>
        <v>52331487.059054643</v>
      </c>
      <c r="I201" s="2">
        <f ca="1">INDEX(Simulations!$A$1:$BK$2501, 201, MATCH("IRR", Simulations!$A$1:$BK$1, 0))</f>
        <v>0.18137094201259885</v>
      </c>
      <c r="J201" s="2">
        <f ca="1">INDEX(Simulations!$A$1:$BK$2501, 201, MATCH("NPV_12%", Simulations!$A$1:$BK$1, 0))</f>
        <v>4638201.7238777876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501"/>
  <sheetViews>
    <sheetView topLeftCell="A10" workbookViewId="0">
      <selection activeCell="B16" sqref="B16"/>
    </sheetView>
  </sheetViews>
  <sheetFormatPr defaultRowHeight="13" x14ac:dyDescent="0.3"/>
  <cols>
    <col min="1" max="1" width="19.81640625" style="2" bestFit="1" customWidth="1"/>
    <col min="2" max="2" width="15.08984375" style="2" bestFit="1" customWidth="1"/>
    <col min="3" max="3" width="15.90625" style="2" bestFit="1" customWidth="1"/>
    <col min="4" max="4" width="15.08984375" style="2" bestFit="1" customWidth="1"/>
    <col min="5" max="5" width="15.90625" style="2" bestFit="1" customWidth="1"/>
    <col min="6" max="16384" width="8.7265625" style="2"/>
  </cols>
  <sheetData>
    <row r="1" spans="1:5" x14ac:dyDescent="0.3">
      <c r="A1" s="1" t="s">
        <v>39</v>
      </c>
      <c r="B1" s="1" t="s">
        <v>41</v>
      </c>
      <c r="C1" s="1" t="s">
        <v>44</v>
      </c>
      <c r="D1" s="1" t="s">
        <v>47</v>
      </c>
      <c r="E1" s="1" t="s">
        <v>50</v>
      </c>
    </row>
    <row r="2" spans="1:5" x14ac:dyDescent="0.3">
      <c r="A2" s="2">
        <f ca="1">INDEX(Simulations!$A$1:$BK$2501, 2, MATCH("PurchaseMultiple", Simulations!$A$1:$BK$1, 0))</f>
        <v>7.5751236327032201</v>
      </c>
      <c r="B2" s="2">
        <f ca="1">INDEX(Simulations!$A$1:$BK$2501, 2, MATCH("ExitMultiple", Simulations!$A$1:$BK$1, 0))</f>
        <v>7.5592162805853427</v>
      </c>
      <c r="C2" s="2">
        <f ca="1">INDEX(Simulations!$A$1:$BK$2501, 2, MATCH("RevCAGR", Simulations!$A$1:$BK$1, 0))</f>
        <v>1.5502234833996043E-2</v>
      </c>
      <c r="D2" s="2">
        <f ca="1">INDEX(Simulations!$A$1:$BK$2501, 2, MATCH("SynMargin", Simulations!$A$1:$BK$1, 0))</f>
        <v>1.161021194249332E-2</v>
      </c>
      <c r="E2" s="2">
        <f ca="1">INDEX(Simulations!$A$1:$BK$2501, 2, MATCH("Yr1Shock", Simulations!$A$1:$BK$1, 0))</f>
        <v>-1.2320516090551426E-2</v>
      </c>
    </row>
    <row r="3" spans="1:5" x14ac:dyDescent="0.3">
      <c r="A3" s="2">
        <f ca="1">INDEX(Simulations!$A$1:$BK$2501, 3, MATCH("PurchaseMultiple", Simulations!$A$1:$BK$1, 0))</f>
        <v>6.8735128763105413</v>
      </c>
      <c r="B3" s="2">
        <f ca="1">INDEX(Simulations!$A$1:$BK$2501, 3, MATCH("ExitMultiple", Simulations!$A$1:$BK$1, 0))</f>
        <v>8.2531451131515006</v>
      </c>
      <c r="C3" s="2">
        <f ca="1">INDEX(Simulations!$A$1:$BK$2501, 3, MATCH("RevCAGR", Simulations!$A$1:$BK$1, 0))</f>
        <v>2.8166412747977189E-2</v>
      </c>
      <c r="D3" s="2">
        <f ca="1">INDEX(Simulations!$A$1:$BK$2501, 3, MATCH("SynMargin", Simulations!$A$1:$BK$1, 0))</f>
        <v>1.4622356920115749E-2</v>
      </c>
      <c r="E3" s="2">
        <f ca="1">INDEX(Simulations!$A$1:$BK$2501, 3, MATCH("Yr1Shock", Simulations!$A$1:$BK$1, 0))</f>
        <v>2.3275161951936286E-2</v>
      </c>
    </row>
    <row r="4" spans="1:5" x14ac:dyDescent="0.3">
      <c r="A4" s="2">
        <f ca="1">INDEX(Simulations!$A$1:$BK$2501, 4, MATCH("PurchaseMultiple", Simulations!$A$1:$BK$1, 0))</f>
        <v>6.1563880906386723</v>
      </c>
      <c r="B4" s="2">
        <f ca="1">INDEX(Simulations!$A$1:$BK$2501, 4, MATCH("ExitMultiple", Simulations!$A$1:$BK$1, 0))</f>
        <v>7.4417732162963803</v>
      </c>
      <c r="C4" s="2">
        <f ca="1">INDEX(Simulations!$A$1:$BK$2501, 4, MATCH("RevCAGR", Simulations!$A$1:$BK$1, 0))</f>
        <v>9.3865539378100549E-2</v>
      </c>
      <c r="D4" s="2">
        <f ca="1">INDEX(Simulations!$A$1:$BK$2501, 4, MATCH("SynMargin", Simulations!$A$1:$BK$1, 0))</f>
        <v>1.5019876595728097E-2</v>
      </c>
      <c r="E4" s="2">
        <f ca="1">INDEX(Simulations!$A$1:$BK$2501, 4, MATCH("Yr1Shock", Simulations!$A$1:$BK$1, 0))</f>
        <v>3.7939298059692088E-2</v>
      </c>
    </row>
    <row r="5" spans="1:5" x14ac:dyDescent="0.3">
      <c r="A5" s="2">
        <f ca="1">INDEX(Simulations!$A$1:$BK$2501, 5, MATCH("PurchaseMultiple", Simulations!$A$1:$BK$1, 0))</f>
        <v>6.7667985526602878</v>
      </c>
      <c r="B5" s="2">
        <f ca="1">INDEX(Simulations!$A$1:$BK$2501, 5, MATCH("ExitMultiple", Simulations!$A$1:$BK$1, 0))</f>
        <v>7.6672856387598305</v>
      </c>
      <c r="C5" s="2">
        <f ca="1">INDEX(Simulations!$A$1:$BK$2501, 5, MATCH("RevCAGR", Simulations!$A$1:$BK$1, 0))</f>
        <v>6.4249238371219264E-2</v>
      </c>
      <c r="D5" s="2">
        <f ca="1">INDEX(Simulations!$A$1:$BK$2501, 5, MATCH("SynMargin", Simulations!$A$1:$BK$1, 0))</f>
        <v>9.4040338993209866E-3</v>
      </c>
      <c r="E5" s="2">
        <f ca="1">INDEX(Simulations!$A$1:$BK$2501, 5, MATCH("Yr1Shock", Simulations!$A$1:$BK$1, 0))</f>
        <v>-3.2580059750235708E-2</v>
      </c>
    </row>
    <row r="6" spans="1:5" x14ac:dyDescent="0.3">
      <c r="A6" s="2">
        <f ca="1">INDEX(Simulations!$A$1:$BK$2501, 6, MATCH("PurchaseMultiple", Simulations!$A$1:$BK$1, 0))</f>
        <v>7.4094203717960792</v>
      </c>
      <c r="B6" s="2">
        <f ca="1">INDEX(Simulations!$A$1:$BK$2501, 6, MATCH("ExitMultiple", Simulations!$A$1:$BK$1, 0))</f>
        <v>7.1109658103477802</v>
      </c>
      <c r="C6" s="2">
        <f ca="1">INDEX(Simulations!$A$1:$BK$2501, 6, MATCH("RevCAGR", Simulations!$A$1:$BK$1, 0))</f>
        <v>4.7157055974484274E-2</v>
      </c>
      <c r="D6" s="2">
        <f ca="1">INDEX(Simulations!$A$1:$BK$2501, 6, MATCH("SynMargin", Simulations!$A$1:$BK$1, 0))</f>
        <v>1.4171122483689468E-2</v>
      </c>
      <c r="E6" s="2">
        <f ca="1">INDEX(Simulations!$A$1:$BK$2501, 6, MATCH("Yr1Shock", Simulations!$A$1:$BK$1, 0))</f>
        <v>1.1887904938633467E-2</v>
      </c>
    </row>
    <row r="7" spans="1:5" x14ac:dyDescent="0.3">
      <c r="A7" s="2">
        <f ca="1">INDEX(Simulations!$A$1:$BK$2501, 7, MATCH("PurchaseMultiple", Simulations!$A$1:$BK$1, 0))</f>
        <v>7.0605142431331949</v>
      </c>
      <c r="B7" s="2">
        <f ca="1">INDEX(Simulations!$A$1:$BK$2501, 7, MATCH("ExitMultiple", Simulations!$A$1:$BK$1, 0))</f>
        <v>7.7580291584311816</v>
      </c>
      <c r="C7" s="2">
        <f ca="1">INDEX(Simulations!$A$1:$BK$2501, 7, MATCH("RevCAGR", Simulations!$A$1:$BK$1, 0))</f>
        <v>8.3458747461825161E-2</v>
      </c>
      <c r="D7" s="2">
        <f ca="1">INDEX(Simulations!$A$1:$BK$2501, 7, MATCH("SynMargin", Simulations!$A$1:$BK$1, 0))</f>
        <v>1.0882614980292013E-2</v>
      </c>
      <c r="E7" s="2">
        <f ca="1">INDEX(Simulations!$A$1:$BK$2501, 7, MATCH("Yr1Shock", Simulations!$A$1:$BK$1, 0))</f>
        <v>-1.5896062635741746E-2</v>
      </c>
    </row>
    <row r="8" spans="1:5" x14ac:dyDescent="0.3">
      <c r="A8" s="2">
        <f ca="1">INDEX(Simulations!$A$1:$BK$2501, 8, MATCH("PurchaseMultiple", Simulations!$A$1:$BK$1, 0))</f>
        <v>7.4642228165065099</v>
      </c>
      <c r="B8" s="2">
        <f ca="1">INDEX(Simulations!$A$1:$BK$2501, 8, MATCH("ExitMultiple", Simulations!$A$1:$BK$1, 0))</f>
        <v>7.5774036750766074</v>
      </c>
      <c r="C8" s="2">
        <f ca="1">INDEX(Simulations!$A$1:$BK$2501, 8, MATCH("RevCAGR", Simulations!$A$1:$BK$1, 0))</f>
        <v>3.9673071280794149E-2</v>
      </c>
      <c r="D8" s="2">
        <f ca="1">INDEX(Simulations!$A$1:$BK$2501, 8, MATCH("SynMargin", Simulations!$A$1:$BK$1, 0))</f>
        <v>4.4582621902697116E-3</v>
      </c>
      <c r="E8" s="2">
        <f ca="1">INDEX(Simulations!$A$1:$BK$2501, 8, MATCH("Yr1Shock", Simulations!$A$1:$BK$1, 0))</f>
        <v>6.0970682617084958E-3</v>
      </c>
    </row>
    <row r="9" spans="1:5" x14ac:dyDescent="0.3">
      <c r="A9" s="2">
        <f ca="1">INDEX(Simulations!$A$1:$BK$2501, 9, MATCH("PurchaseMultiple", Simulations!$A$1:$BK$1, 0))</f>
        <v>7.0680205997130825</v>
      </c>
      <c r="B9" s="2">
        <f ca="1">INDEX(Simulations!$A$1:$BK$2501, 9, MATCH("ExitMultiple", Simulations!$A$1:$BK$1, 0))</f>
        <v>8.139885966282165</v>
      </c>
      <c r="C9" s="2">
        <f ca="1">INDEX(Simulations!$A$1:$BK$2501, 9, MATCH("RevCAGR", Simulations!$A$1:$BK$1, 0))</f>
        <v>6.6365967394812792E-2</v>
      </c>
      <c r="D9" s="2">
        <f ca="1">INDEX(Simulations!$A$1:$BK$2501, 9, MATCH("SynMargin", Simulations!$A$1:$BK$1, 0))</f>
        <v>3.9846202168597727E-3</v>
      </c>
      <c r="E9" s="2">
        <f ca="1">INDEX(Simulations!$A$1:$BK$2501, 9, MATCH("Yr1Shock", Simulations!$A$1:$BK$1, 0))</f>
        <v>1.9657143323598202E-2</v>
      </c>
    </row>
    <row r="10" spans="1:5" x14ac:dyDescent="0.3">
      <c r="A10" s="2">
        <f ca="1">INDEX(Simulations!$A$1:$BK$2501, 10, MATCH("PurchaseMultiple", Simulations!$A$1:$BK$1, 0))</f>
        <v>6.5176158438441156</v>
      </c>
      <c r="B10" s="2">
        <f ca="1">INDEX(Simulations!$A$1:$BK$2501, 10, MATCH("ExitMultiple", Simulations!$A$1:$BK$1, 0))</f>
        <v>7.5749086227528428</v>
      </c>
      <c r="C10" s="2">
        <f ca="1">INDEX(Simulations!$A$1:$BK$2501, 10, MATCH("RevCAGR", Simulations!$A$1:$BK$1, 0))</f>
        <v>3.8818253555022664E-2</v>
      </c>
      <c r="D10" s="2">
        <f ca="1">INDEX(Simulations!$A$1:$BK$2501, 10, MATCH("SynMargin", Simulations!$A$1:$BK$1, 0))</f>
        <v>5.6198710488562101E-3</v>
      </c>
      <c r="E10" s="2">
        <f ca="1">INDEX(Simulations!$A$1:$BK$2501, 10, MATCH("Yr1Shock", Simulations!$A$1:$BK$1, 0))</f>
        <v>1.2156623389596111E-2</v>
      </c>
    </row>
    <row r="11" spans="1:5" x14ac:dyDescent="0.3">
      <c r="A11" s="2">
        <f ca="1">INDEX(Simulations!$A$1:$BK$2501, 11, MATCH("PurchaseMultiple", Simulations!$A$1:$BK$1, 0))</f>
        <v>7.2123891931268265</v>
      </c>
      <c r="B11" s="2">
        <f ca="1">INDEX(Simulations!$A$1:$BK$2501, 11, MATCH("ExitMultiple", Simulations!$A$1:$BK$1, 0))</f>
        <v>8.3564883209188991</v>
      </c>
      <c r="C11" s="2">
        <f ca="1">INDEX(Simulations!$A$1:$BK$2501, 11, MATCH("RevCAGR", Simulations!$A$1:$BK$1, 0))</f>
        <v>1.8513688023129943E-2</v>
      </c>
      <c r="D11" s="2">
        <f ca="1">INDEX(Simulations!$A$1:$BK$2501, 11, MATCH("SynMargin", Simulations!$A$1:$BK$1, 0))</f>
        <v>9.8177016540962735E-3</v>
      </c>
      <c r="E11" s="2">
        <f ca="1">INDEX(Simulations!$A$1:$BK$2501, 11, MATCH("Yr1Shock", Simulations!$A$1:$BK$1, 0))</f>
        <v>3.1565703259617731E-2</v>
      </c>
    </row>
    <row r="12" spans="1:5" x14ac:dyDescent="0.3">
      <c r="A12" s="2">
        <f ca="1">INDEX(Simulations!$A$1:$BK$2501, 12, MATCH("PurchaseMultiple", Simulations!$A$1:$BK$1, 0))</f>
        <v>6.3114867699616424</v>
      </c>
      <c r="B12" s="2">
        <f ca="1">INDEX(Simulations!$A$1:$BK$2501, 12, MATCH("ExitMultiple", Simulations!$A$1:$BK$1, 0))</f>
        <v>8.2244698447856059</v>
      </c>
      <c r="C12" s="2">
        <f ca="1">INDEX(Simulations!$A$1:$BK$2501, 12, MATCH("RevCAGR", Simulations!$A$1:$BK$1, 0))</f>
        <v>7.3941227686231847E-2</v>
      </c>
      <c r="D12" s="2">
        <f ca="1">INDEX(Simulations!$A$1:$BK$2501, 12, MATCH("SynMargin", Simulations!$A$1:$BK$1, 0))</f>
        <v>6.5404722980576596E-3</v>
      </c>
      <c r="E12" s="2">
        <f ca="1">INDEX(Simulations!$A$1:$BK$2501, 12, MATCH("Yr1Shock", Simulations!$A$1:$BK$1, 0))</f>
        <v>-9.1089032800621087E-3</v>
      </c>
    </row>
    <row r="13" spans="1:5" x14ac:dyDescent="0.3">
      <c r="A13" s="2">
        <f ca="1">INDEX(Simulations!$A$1:$BK$2501, 13, MATCH("PurchaseMultiple", Simulations!$A$1:$BK$1, 0))</f>
        <v>7.5699700114905584</v>
      </c>
      <c r="B13" s="2">
        <f ca="1">INDEX(Simulations!$A$1:$BK$2501, 13, MATCH("ExitMultiple", Simulations!$A$1:$BK$1, 0))</f>
        <v>7.6178247433062678</v>
      </c>
      <c r="C13" s="2">
        <f ca="1">INDEX(Simulations!$A$1:$BK$2501, 13, MATCH("RevCAGR", Simulations!$A$1:$BK$1, 0))</f>
        <v>-6.2298326316466771E-3</v>
      </c>
      <c r="D13" s="2">
        <f ca="1">INDEX(Simulations!$A$1:$BK$2501, 13, MATCH("SynMargin", Simulations!$A$1:$BK$1, 0))</f>
        <v>1.1262353118613119E-2</v>
      </c>
      <c r="E13" s="2">
        <f ca="1">INDEX(Simulations!$A$1:$BK$2501, 13, MATCH("Yr1Shock", Simulations!$A$1:$BK$1, 0))</f>
        <v>-4.6670059683311081E-3</v>
      </c>
    </row>
    <row r="14" spans="1:5" x14ac:dyDescent="0.3">
      <c r="A14" s="2">
        <f ca="1">INDEX(Simulations!$A$1:$BK$2501, 14, MATCH("PurchaseMultiple", Simulations!$A$1:$BK$1, 0))</f>
        <v>6.4914261019541595</v>
      </c>
      <c r="B14" s="2">
        <f ca="1">INDEX(Simulations!$A$1:$BK$2501, 14, MATCH("ExitMultiple", Simulations!$A$1:$BK$1, 0))</f>
        <v>7.8116113423862945</v>
      </c>
      <c r="C14" s="2">
        <f ca="1">INDEX(Simulations!$A$1:$BK$2501, 14, MATCH("RevCAGR", Simulations!$A$1:$BK$1, 0))</f>
        <v>3.8718789715716476E-2</v>
      </c>
      <c r="D14" s="2">
        <f ca="1">INDEX(Simulations!$A$1:$BK$2501, 14, MATCH("SynMargin", Simulations!$A$1:$BK$1, 0))</f>
        <v>1.7145984588207305E-2</v>
      </c>
      <c r="E14" s="2">
        <f ca="1">INDEX(Simulations!$A$1:$BK$2501, 14, MATCH("Yr1Shock", Simulations!$A$1:$BK$1, 0))</f>
        <v>-3.2648175648133146E-2</v>
      </c>
    </row>
    <row r="15" spans="1:5" x14ac:dyDescent="0.3">
      <c r="A15" s="2">
        <f ca="1">INDEX(Simulations!$A$1:$BK$2501, 15, MATCH("PurchaseMultiple", Simulations!$A$1:$BK$1, 0))</f>
        <v>6.6930950432358625</v>
      </c>
      <c r="B15" s="2">
        <f ca="1">INDEX(Simulations!$A$1:$BK$2501, 15, MATCH("ExitMultiple", Simulations!$A$1:$BK$1, 0))</f>
        <v>7.6329725295044746</v>
      </c>
      <c r="C15" s="2">
        <f ca="1">INDEX(Simulations!$A$1:$BK$2501, 15, MATCH("RevCAGR", Simulations!$A$1:$BK$1, 0))</f>
        <v>4.8212666936267551E-2</v>
      </c>
      <c r="D15" s="2">
        <f ca="1">INDEX(Simulations!$A$1:$BK$2501, 15, MATCH("SynMargin", Simulations!$A$1:$BK$1, 0))</f>
        <v>1.854822128767418E-2</v>
      </c>
      <c r="E15" s="2">
        <f ca="1">INDEX(Simulations!$A$1:$BK$2501, 15, MATCH("Yr1Shock", Simulations!$A$1:$BK$1, 0))</f>
        <v>3.5956594932976989E-2</v>
      </c>
    </row>
    <row r="16" spans="1:5" x14ac:dyDescent="0.3">
      <c r="A16" s="2">
        <f ca="1">INDEX(Simulations!$A$1:$BK$2501, 16, MATCH("PurchaseMultiple", Simulations!$A$1:$BK$1, 0))</f>
        <v>7.358728215738874</v>
      </c>
      <c r="B16" s="2">
        <f ca="1">INDEX(Simulations!$A$1:$BK$2501, 16, MATCH("ExitMultiple", Simulations!$A$1:$BK$1, 0))</f>
        <v>6.6925064486528889</v>
      </c>
      <c r="C16" s="2">
        <f ca="1">INDEX(Simulations!$A$1:$BK$2501, 16, MATCH("RevCAGR", Simulations!$A$1:$BK$1, 0))</f>
        <v>4.8743225833531446E-2</v>
      </c>
      <c r="D16" s="2">
        <f ca="1">INDEX(Simulations!$A$1:$BK$2501, 16, MATCH("SynMargin", Simulations!$A$1:$BK$1, 0))</f>
        <v>1.8964634587011555E-2</v>
      </c>
      <c r="E16" s="2">
        <f ca="1">INDEX(Simulations!$A$1:$BK$2501, 16, MATCH("Yr1Shock", Simulations!$A$1:$BK$1, 0))</f>
        <v>3.1387583111628724E-2</v>
      </c>
    </row>
    <row r="17" spans="1:5" x14ac:dyDescent="0.3">
      <c r="A17" s="2">
        <f ca="1">INDEX(Simulations!$A$1:$BK$2501, 17, MATCH("PurchaseMultiple", Simulations!$A$1:$BK$1, 0))</f>
        <v>6.243994782742158</v>
      </c>
      <c r="B17" s="2">
        <f ca="1">INDEX(Simulations!$A$1:$BK$2501, 17, MATCH("ExitMultiple", Simulations!$A$1:$BK$1, 0))</f>
        <v>7.4225818622490332</v>
      </c>
      <c r="C17" s="2">
        <f ca="1">INDEX(Simulations!$A$1:$BK$2501, 17, MATCH("RevCAGR", Simulations!$A$1:$BK$1, 0))</f>
        <v>8.128350103003873E-2</v>
      </c>
      <c r="D17" s="2">
        <f ca="1">INDEX(Simulations!$A$1:$BK$2501, 17, MATCH("SynMargin", Simulations!$A$1:$BK$1, 0))</f>
        <v>2.978655537573642E-4</v>
      </c>
      <c r="E17" s="2">
        <f ca="1">INDEX(Simulations!$A$1:$BK$2501, 17, MATCH("Yr1Shock", Simulations!$A$1:$BK$1, 0))</f>
        <v>1.4977693015596737E-4</v>
      </c>
    </row>
    <row r="18" spans="1:5" x14ac:dyDescent="0.3">
      <c r="A18" s="2">
        <f ca="1">INDEX(Simulations!$A$1:$BK$2501, 18, MATCH("PurchaseMultiple", Simulations!$A$1:$BK$1, 0))</f>
        <v>6.9863142261236728</v>
      </c>
      <c r="B18" s="2">
        <f ca="1">INDEX(Simulations!$A$1:$BK$2501, 18, MATCH("ExitMultiple", Simulations!$A$1:$BK$1, 0))</f>
        <v>7.5988095497124784</v>
      </c>
      <c r="C18" s="2">
        <f ca="1">INDEX(Simulations!$A$1:$BK$2501, 18, MATCH("RevCAGR", Simulations!$A$1:$BK$1, 0))</f>
        <v>3.1573932655015978E-2</v>
      </c>
      <c r="D18" s="2">
        <f ca="1">INDEX(Simulations!$A$1:$BK$2501, 18, MATCH("SynMargin", Simulations!$A$1:$BK$1, 0))</f>
        <v>1.260124039764542E-2</v>
      </c>
      <c r="E18" s="2">
        <f ca="1">INDEX(Simulations!$A$1:$BK$2501, 18, MATCH("Yr1Shock", Simulations!$A$1:$BK$1, 0))</f>
        <v>1.5638491447280644E-2</v>
      </c>
    </row>
    <row r="19" spans="1:5" x14ac:dyDescent="0.3">
      <c r="A19" s="2">
        <f ca="1">INDEX(Simulations!$A$1:$BK$2501, 19, MATCH("PurchaseMultiple", Simulations!$A$1:$BK$1, 0))</f>
        <v>6.390841777291171</v>
      </c>
      <c r="B19" s="2">
        <f ca="1">INDEX(Simulations!$A$1:$BK$2501, 19, MATCH("ExitMultiple", Simulations!$A$1:$BK$1, 0))</f>
        <v>7.3201573753092672</v>
      </c>
      <c r="C19" s="2">
        <f ca="1">INDEX(Simulations!$A$1:$BK$2501, 19, MATCH("RevCAGR", Simulations!$A$1:$BK$1, 0))</f>
        <v>2.4044740037257914E-2</v>
      </c>
      <c r="D19" s="2">
        <f ca="1">INDEX(Simulations!$A$1:$BK$2501, 19, MATCH("SynMargin", Simulations!$A$1:$BK$1, 0))</f>
        <v>1.2819415635713644E-2</v>
      </c>
      <c r="E19" s="2">
        <f ca="1">INDEX(Simulations!$A$1:$BK$2501, 19, MATCH("Yr1Shock", Simulations!$A$1:$BK$1, 0))</f>
        <v>1.0236373683145665E-2</v>
      </c>
    </row>
    <row r="20" spans="1:5" x14ac:dyDescent="0.3">
      <c r="A20" s="2">
        <f ca="1">INDEX(Simulations!$A$1:$BK$2501, 20, MATCH("PurchaseMultiple", Simulations!$A$1:$BK$1, 0))</f>
        <v>6.7205763696830285</v>
      </c>
      <c r="B20" s="2">
        <f ca="1">INDEX(Simulations!$A$1:$BK$2501, 20, MATCH("ExitMultiple", Simulations!$A$1:$BK$1, 0))</f>
        <v>7.7771949301400358</v>
      </c>
      <c r="C20" s="2">
        <f ca="1">INDEX(Simulations!$A$1:$BK$2501, 20, MATCH("RevCAGR", Simulations!$A$1:$BK$1, 0))</f>
        <v>9.2261350700555342E-2</v>
      </c>
      <c r="D20" s="2">
        <f ca="1">INDEX(Simulations!$A$1:$BK$2501, 20, MATCH("SynMargin", Simulations!$A$1:$BK$1, 0))</f>
        <v>1.1562584095117342E-2</v>
      </c>
      <c r="E20" s="2">
        <f ca="1">INDEX(Simulations!$A$1:$BK$2501, 20, MATCH("Yr1Shock", Simulations!$A$1:$BK$1, 0))</f>
        <v>-4.4739079695009336E-2</v>
      </c>
    </row>
    <row r="21" spans="1:5" x14ac:dyDescent="0.3">
      <c r="A21" s="2">
        <f ca="1">INDEX(Simulations!$A$1:$BK$2501, 21, MATCH("PurchaseMultiple", Simulations!$A$1:$BK$1, 0))</f>
        <v>7.4194412666650837</v>
      </c>
      <c r="B21" s="2">
        <f ca="1">INDEX(Simulations!$A$1:$BK$2501, 21, MATCH("ExitMultiple", Simulations!$A$1:$BK$1, 0))</f>
        <v>6.6421820594142638</v>
      </c>
      <c r="C21" s="2">
        <f ca="1">INDEX(Simulations!$A$1:$BK$2501, 21, MATCH("RevCAGR", Simulations!$A$1:$BK$1, 0))</f>
        <v>5.8887353075346628E-2</v>
      </c>
      <c r="D21" s="2">
        <f ca="1">INDEX(Simulations!$A$1:$BK$2501, 21, MATCH("SynMargin", Simulations!$A$1:$BK$1, 0))</f>
        <v>1.0125716544543903E-2</v>
      </c>
      <c r="E21" s="2">
        <f ca="1">INDEX(Simulations!$A$1:$BK$2501, 21, MATCH("Yr1Shock", Simulations!$A$1:$BK$1, 0))</f>
        <v>4.6618215392228643E-3</v>
      </c>
    </row>
    <row r="22" spans="1:5" x14ac:dyDescent="0.3">
      <c r="A22" s="2">
        <f ca="1">INDEX(Simulations!$A$1:$BK$2501, 22, MATCH("PurchaseMultiple", Simulations!$A$1:$BK$1, 0))</f>
        <v>6.8397239488160659</v>
      </c>
      <c r="B22" s="2">
        <f ca="1">INDEX(Simulations!$A$1:$BK$2501, 22, MATCH("ExitMultiple", Simulations!$A$1:$BK$1, 0))</f>
        <v>7.5646617331464556</v>
      </c>
      <c r="C22" s="2">
        <f ca="1">INDEX(Simulations!$A$1:$BK$2501, 22, MATCH("RevCAGR", Simulations!$A$1:$BK$1, 0))</f>
        <v>2.2701974213698153E-2</v>
      </c>
      <c r="D22" s="2">
        <f ca="1">INDEX(Simulations!$A$1:$BK$2501, 22, MATCH("SynMargin", Simulations!$A$1:$BK$1, 0))</f>
        <v>6.6281699400436364E-3</v>
      </c>
      <c r="E22" s="2">
        <f ca="1">INDEX(Simulations!$A$1:$BK$2501, 22, MATCH("Yr1Shock", Simulations!$A$1:$BK$1, 0))</f>
        <v>1.3120468387072528E-2</v>
      </c>
    </row>
    <row r="23" spans="1:5" x14ac:dyDescent="0.3">
      <c r="A23" s="2">
        <f ca="1">INDEX(Simulations!$A$1:$BK$2501, 23, MATCH("PurchaseMultiple", Simulations!$A$1:$BK$1, 0))</f>
        <v>7.0852840954957594</v>
      </c>
      <c r="B23" s="2">
        <f ca="1">INDEX(Simulations!$A$1:$BK$2501, 23, MATCH("ExitMultiple", Simulations!$A$1:$BK$1, 0))</f>
        <v>8.1984723568403943</v>
      </c>
      <c r="C23" s="2">
        <f ca="1">INDEX(Simulations!$A$1:$BK$2501, 23, MATCH("RevCAGR", Simulations!$A$1:$BK$1, 0))</f>
        <v>2.6449241259475682E-2</v>
      </c>
      <c r="D23" s="2">
        <f ca="1">INDEX(Simulations!$A$1:$BK$2501, 23, MATCH("SynMargin", Simulations!$A$1:$BK$1, 0))</f>
        <v>6.1467561569967209E-4</v>
      </c>
      <c r="E23" s="2">
        <f ca="1">INDEX(Simulations!$A$1:$BK$2501, 23, MATCH("Yr1Shock", Simulations!$A$1:$BK$1, 0))</f>
        <v>-2.0486502106596131E-2</v>
      </c>
    </row>
    <row r="24" spans="1:5" x14ac:dyDescent="0.3">
      <c r="A24" s="2">
        <f ca="1">INDEX(Simulations!$A$1:$BK$2501, 24, MATCH("PurchaseMultiple", Simulations!$A$1:$BK$1, 0))</f>
        <v>6.9174443120534637</v>
      </c>
      <c r="B24" s="2">
        <f ca="1">INDEX(Simulations!$A$1:$BK$2501, 24, MATCH("ExitMultiple", Simulations!$A$1:$BK$1, 0))</f>
        <v>7.9929547617110508</v>
      </c>
      <c r="C24" s="2">
        <f ca="1">INDEX(Simulations!$A$1:$BK$2501, 24, MATCH("RevCAGR", Simulations!$A$1:$BK$1, 0))</f>
        <v>5.8630279671346971E-2</v>
      </c>
      <c r="D24" s="2">
        <f ca="1">INDEX(Simulations!$A$1:$BK$2501, 24, MATCH("SynMargin", Simulations!$A$1:$BK$1, 0))</f>
        <v>1.169873148222742E-2</v>
      </c>
      <c r="E24" s="2">
        <f ca="1">INDEX(Simulations!$A$1:$BK$2501, 24, MATCH("Yr1Shock", Simulations!$A$1:$BK$1, 0))</f>
        <v>-1.0762380529599777E-2</v>
      </c>
    </row>
    <row r="25" spans="1:5" x14ac:dyDescent="0.3">
      <c r="A25" s="2">
        <f ca="1">INDEX(Simulations!$A$1:$BK$2501, 25, MATCH("PurchaseMultiple", Simulations!$A$1:$BK$1, 0))</f>
        <v>6.7764199630622937</v>
      </c>
      <c r="B25" s="2">
        <f ca="1">INDEX(Simulations!$A$1:$BK$2501, 25, MATCH("ExitMultiple", Simulations!$A$1:$BK$1, 0))</f>
        <v>7.0947867614231157</v>
      </c>
      <c r="C25" s="2">
        <f ca="1">INDEX(Simulations!$A$1:$BK$2501, 25, MATCH("RevCAGR", Simulations!$A$1:$BK$1, 0))</f>
        <v>0.10927234216497933</v>
      </c>
      <c r="D25" s="2">
        <f ca="1">INDEX(Simulations!$A$1:$BK$2501, 25, MATCH("SynMargin", Simulations!$A$1:$BK$1, 0))</f>
        <v>2.8782121254713198E-3</v>
      </c>
      <c r="E25" s="2">
        <f ca="1">INDEX(Simulations!$A$1:$BK$2501, 25, MATCH("Yr1Shock", Simulations!$A$1:$BK$1, 0))</f>
        <v>2.903536091640172E-3</v>
      </c>
    </row>
    <row r="26" spans="1:5" x14ac:dyDescent="0.3">
      <c r="A26" s="2">
        <f ca="1">INDEX(Simulations!$A$1:$BK$2501, 26, MATCH("PurchaseMultiple", Simulations!$A$1:$BK$1, 0))</f>
        <v>7.2392762950443981</v>
      </c>
      <c r="B26" s="2">
        <f ca="1">INDEX(Simulations!$A$1:$BK$2501, 26, MATCH("ExitMultiple", Simulations!$A$1:$BK$1, 0))</f>
        <v>7.7831108220397702</v>
      </c>
      <c r="C26" s="2">
        <f ca="1">INDEX(Simulations!$A$1:$BK$2501, 26, MATCH("RevCAGR", Simulations!$A$1:$BK$1, 0))</f>
        <v>6.3476935413320973E-2</v>
      </c>
      <c r="D26" s="2">
        <f ca="1">INDEX(Simulations!$A$1:$BK$2501, 26, MATCH("SynMargin", Simulations!$A$1:$BK$1, 0))</f>
        <v>8.9790456290901287E-3</v>
      </c>
      <c r="E26" s="2">
        <f ca="1">INDEX(Simulations!$A$1:$BK$2501, 26, MATCH("Yr1Shock", Simulations!$A$1:$BK$1, 0))</f>
        <v>-1.5469660853920063E-2</v>
      </c>
    </row>
    <row r="27" spans="1:5" x14ac:dyDescent="0.3">
      <c r="A27" s="2">
        <f ca="1">INDEX(Simulations!$A$1:$BK$2501, 27, MATCH("PurchaseMultiple", Simulations!$A$1:$BK$1, 0))</f>
        <v>6.7959113155003923</v>
      </c>
      <c r="B27" s="2">
        <f ca="1">INDEX(Simulations!$A$1:$BK$2501, 27, MATCH("ExitMultiple", Simulations!$A$1:$BK$1, 0))</f>
        <v>6.8096985361434665</v>
      </c>
      <c r="C27" s="2">
        <f ca="1">INDEX(Simulations!$A$1:$BK$2501, 27, MATCH("RevCAGR", Simulations!$A$1:$BK$1, 0))</f>
        <v>5.281799601377124E-2</v>
      </c>
      <c r="D27" s="2">
        <f ca="1">INDEX(Simulations!$A$1:$BK$2501, 27, MATCH("SynMargin", Simulations!$A$1:$BK$1, 0))</f>
        <v>1.0462477817612774E-2</v>
      </c>
      <c r="E27" s="2">
        <f ca="1">INDEX(Simulations!$A$1:$BK$2501, 27, MATCH("Yr1Shock", Simulations!$A$1:$BK$1, 0))</f>
        <v>1.4037098266492774E-3</v>
      </c>
    </row>
    <row r="28" spans="1:5" x14ac:dyDescent="0.3">
      <c r="A28" s="2">
        <f ca="1">INDEX(Simulations!$A$1:$BK$2501, 28, MATCH("PurchaseMultiple", Simulations!$A$1:$BK$1, 0))</f>
        <v>6.4192049523107011</v>
      </c>
      <c r="B28" s="2">
        <f ca="1">INDEX(Simulations!$A$1:$BK$2501, 28, MATCH("ExitMultiple", Simulations!$A$1:$BK$1, 0))</f>
        <v>7.4007066258474961</v>
      </c>
      <c r="C28" s="2">
        <f ca="1">INDEX(Simulations!$A$1:$BK$2501, 28, MATCH("RevCAGR", Simulations!$A$1:$BK$1, 0))</f>
        <v>3.8938149898155638E-2</v>
      </c>
      <c r="D28" s="2">
        <f ca="1">INDEX(Simulations!$A$1:$BK$2501, 28, MATCH("SynMargin", Simulations!$A$1:$BK$1, 0))</f>
        <v>9.9631962554871927E-3</v>
      </c>
      <c r="E28" s="2">
        <f ca="1">INDEX(Simulations!$A$1:$BK$2501, 28, MATCH("Yr1Shock", Simulations!$A$1:$BK$1, 0))</f>
        <v>-4.8309613384804493E-3</v>
      </c>
    </row>
    <row r="29" spans="1:5" x14ac:dyDescent="0.3">
      <c r="A29" s="2">
        <f ca="1">INDEX(Simulations!$A$1:$BK$2501, 29, MATCH("PurchaseMultiple", Simulations!$A$1:$BK$1, 0))</f>
        <v>7.3477787251788946</v>
      </c>
      <c r="B29" s="2">
        <f ca="1">INDEX(Simulations!$A$1:$BK$2501, 29, MATCH("ExitMultiple", Simulations!$A$1:$BK$1, 0))</f>
        <v>6.9058257497872164</v>
      </c>
      <c r="C29" s="2">
        <f ca="1">INDEX(Simulations!$A$1:$BK$2501, 29, MATCH("RevCAGR", Simulations!$A$1:$BK$1, 0))</f>
        <v>-6.7532651170564978E-3</v>
      </c>
      <c r="D29" s="2">
        <f ca="1">INDEX(Simulations!$A$1:$BK$2501, 29, MATCH("SynMargin", Simulations!$A$1:$BK$1, 0))</f>
        <v>4.4146445933093545E-3</v>
      </c>
      <c r="E29" s="2">
        <f ca="1">INDEX(Simulations!$A$1:$BK$2501, 29, MATCH("Yr1Shock", Simulations!$A$1:$BK$1, 0))</f>
        <v>-1.3451563399506268E-2</v>
      </c>
    </row>
    <row r="30" spans="1:5" x14ac:dyDescent="0.3">
      <c r="A30" s="2">
        <f ca="1">INDEX(Simulations!$A$1:$BK$2501, 30, MATCH("PurchaseMultiple", Simulations!$A$1:$BK$1, 0))</f>
        <v>6.6660290702547655</v>
      </c>
      <c r="B30" s="2">
        <f ca="1">INDEX(Simulations!$A$1:$BK$2501, 30, MATCH("ExitMultiple", Simulations!$A$1:$BK$1, 0))</f>
        <v>8.1156897176590306</v>
      </c>
      <c r="C30" s="2">
        <f ca="1">INDEX(Simulations!$A$1:$BK$2501, 30, MATCH("RevCAGR", Simulations!$A$1:$BK$1, 0))</f>
        <v>4.8793765641568683E-2</v>
      </c>
      <c r="D30" s="2">
        <f ca="1">INDEX(Simulations!$A$1:$BK$2501, 30, MATCH("SynMargin", Simulations!$A$1:$BK$1, 0))</f>
        <v>1.257641401755891E-3</v>
      </c>
      <c r="E30" s="2">
        <f ca="1">INDEX(Simulations!$A$1:$BK$2501, 30, MATCH("Yr1Shock", Simulations!$A$1:$BK$1, 0))</f>
        <v>6.7407482846249282E-3</v>
      </c>
    </row>
    <row r="31" spans="1:5" x14ac:dyDescent="0.3">
      <c r="A31" s="2">
        <f ca="1">INDEX(Simulations!$A$1:$BK$2501, 31, MATCH("PurchaseMultiple", Simulations!$A$1:$BK$1, 0))</f>
        <v>6.6304881727877989</v>
      </c>
      <c r="B31" s="2">
        <f ca="1">INDEX(Simulations!$A$1:$BK$2501, 31, MATCH("ExitMultiple", Simulations!$A$1:$BK$1, 0))</f>
        <v>7.7271507931631511</v>
      </c>
      <c r="C31" s="2">
        <f ca="1">INDEX(Simulations!$A$1:$BK$2501, 31, MATCH("RevCAGR", Simulations!$A$1:$BK$1, 0))</f>
        <v>-1.0750952111056436E-2</v>
      </c>
      <c r="D31" s="2">
        <f ca="1">INDEX(Simulations!$A$1:$BK$2501, 31, MATCH("SynMargin", Simulations!$A$1:$BK$1, 0))</f>
        <v>2.0586691940834519E-2</v>
      </c>
      <c r="E31" s="2">
        <f ca="1">INDEX(Simulations!$A$1:$BK$2501, 31, MATCH("Yr1Shock", Simulations!$A$1:$BK$1, 0))</f>
        <v>-7.7098652377169917E-4</v>
      </c>
    </row>
    <row r="32" spans="1:5" x14ac:dyDescent="0.3">
      <c r="A32" s="2">
        <f ca="1">INDEX(Simulations!$A$1:$BK$2501, 32, MATCH("PurchaseMultiple", Simulations!$A$1:$BK$1, 0))</f>
        <v>6.2532083517150996</v>
      </c>
      <c r="B32" s="2">
        <f ca="1">INDEX(Simulations!$A$1:$BK$2501, 32, MATCH("ExitMultiple", Simulations!$A$1:$BK$1, 0))</f>
        <v>8.0006515732016847</v>
      </c>
      <c r="C32" s="2">
        <f ca="1">INDEX(Simulations!$A$1:$BK$2501, 32, MATCH("RevCAGR", Simulations!$A$1:$BK$1, 0))</f>
        <v>2.7642889387525502E-2</v>
      </c>
      <c r="D32" s="2">
        <f ca="1">INDEX(Simulations!$A$1:$BK$2501, 32, MATCH("SynMargin", Simulations!$A$1:$BK$1, 0))</f>
        <v>2.0099359057721908E-3</v>
      </c>
      <c r="E32" s="2">
        <f ca="1">INDEX(Simulations!$A$1:$BK$2501, 32, MATCH("Yr1Shock", Simulations!$A$1:$BK$1, 0))</f>
        <v>-8.3548566133393471E-3</v>
      </c>
    </row>
    <row r="33" spans="1:5" x14ac:dyDescent="0.3">
      <c r="A33" s="2">
        <f ca="1">INDEX(Simulations!$A$1:$BK$2501, 33, MATCH("PurchaseMultiple", Simulations!$A$1:$BK$1, 0))</f>
        <v>7.2681766990255827</v>
      </c>
      <c r="B33" s="2">
        <f ca="1">INDEX(Simulations!$A$1:$BK$2501, 33, MATCH("ExitMultiple", Simulations!$A$1:$BK$1, 0))</f>
        <v>7.307284190898006</v>
      </c>
      <c r="C33" s="2">
        <f ca="1">INDEX(Simulations!$A$1:$BK$2501, 33, MATCH("RevCAGR", Simulations!$A$1:$BK$1, 0))</f>
        <v>2.82878348785757E-2</v>
      </c>
      <c r="D33" s="2">
        <f ca="1">INDEX(Simulations!$A$1:$BK$2501, 33, MATCH("SynMargin", Simulations!$A$1:$BK$1, 0))</f>
        <v>1.2359524604533809E-2</v>
      </c>
      <c r="E33" s="2">
        <f ca="1">INDEX(Simulations!$A$1:$BK$2501, 33, MATCH("Yr1Shock", Simulations!$A$1:$BK$1, 0))</f>
        <v>1.7256978028195577E-2</v>
      </c>
    </row>
    <row r="34" spans="1:5" x14ac:dyDescent="0.3">
      <c r="A34" s="2">
        <f ca="1">INDEX(Simulations!$A$1:$BK$2501, 34, MATCH("PurchaseMultiple", Simulations!$A$1:$BK$1, 0))</f>
        <v>6.3198115661149057</v>
      </c>
      <c r="B34" s="2">
        <f ca="1">INDEX(Simulations!$A$1:$BK$2501, 34, MATCH("ExitMultiple", Simulations!$A$1:$BK$1, 0))</f>
        <v>7.2302659983739774</v>
      </c>
      <c r="C34" s="2">
        <f ca="1">INDEX(Simulations!$A$1:$BK$2501, 34, MATCH("RevCAGR", Simulations!$A$1:$BK$1, 0))</f>
        <v>-1.9875086022989805E-3</v>
      </c>
      <c r="D34" s="2">
        <f ca="1">INDEX(Simulations!$A$1:$BK$2501, 34, MATCH("SynMargin", Simulations!$A$1:$BK$1, 0))</f>
        <v>9.6054544597599344E-3</v>
      </c>
      <c r="E34" s="2">
        <f ca="1">INDEX(Simulations!$A$1:$BK$2501, 34, MATCH("Yr1Shock", Simulations!$A$1:$BK$1, 0))</f>
        <v>9.1068389714706894E-3</v>
      </c>
    </row>
    <row r="35" spans="1:5" x14ac:dyDescent="0.3">
      <c r="A35" s="2">
        <f ca="1">INDEX(Simulations!$A$1:$BK$2501, 35, MATCH("PurchaseMultiple", Simulations!$A$1:$BK$1, 0))</f>
        <v>6.2893773576824659</v>
      </c>
      <c r="B35" s="2">
        <f ca="1">INDEX(Simulations!$A$1:$BK$2501, 35, MATCH("ExitMultiple", Simulations!$A$1:$BK$1, 0))</f>
        <v>7.2472355944841684</v>
      </c>
      <c r="C35" s="2">
        <f ca="1">INDEX(Simulations!$A$1:$BK$2501, 35, MATCH("RevCAGR", Simulations!$A$1:$BK$1, 0))</f>
        <v>8.3349083205925767E-2</v>
      </c>
      <c r="D35" s="2">
        <f ca="1">INDEX(Simulations!$A$1:$BK$2501, 35, MATCH("SynMargin", Simulations!$A$1:$BK$1, 0))</f>
        <v>1.8641160937453195E-2</v>
      </c>
      <c r="E35" s="2">
        <f ca="1">INDEX(Simulations!$A$1:$BK$2501, 35, MATCH("Yr1Shock", Simulations!$A$1:$BK$1, 0))</f>
        <v>-4.3962280582711573E-2</v>
      </c>
    </row>
    <row r="36" spans="1:5" x14ac:dyDescent="0.3">
      <c r="A36" s="2">
        <f ca="1">INDEX(Simulations!$A$1:$BK$2501, 36, MATCH("PurchaseMultiple", Simulations!$A$1:$BK$1, 0))</f>
        <v>7.0534072292459342</v>
      </c>
      <c r="B36" s="2">
        <f ca="1">INDEX(Simulations!$A$1:$BK$2501, 36, MATCH("ExitMultiple", Simulations!$A$1:$BK$1, 0))</f>
        <v>7.8362669361957504</v>
      </c>
      <c r="C36" s="2">
        <f ca="1">INDEX(Simulations!$A$1:$BK$2501, 36, MATCH("RevCAGR", Simulations!$A$1:$BK$1, 0))</f>
        <v>3.8047969185019785E-2</v>
      </c>
      <c r="D36" s="2">
        <f ca="1">INDEX(Simulations!$A$1:$BK$2501, 36, MATCH("SynMargin", Simulations!$A$1:$BK$1, 0))</f>
        <v>7.4539940956853176E-3</v>
      </c>
      <c r="E36" s="2">
        <f ca="1">INDEX(Simulations!$A$1:$BK$2501, 36, MATCH("Yr1Shock", Simulations!$A$1:$BK$1, 0))</f>
        <v>3.2066795136038377E-2</v>
      </c>
    </row>
    <row r="37" spans="1:5" x14ac:dyDescent="0.3">
      <c r="A37" s="2">
        <f ca="1">INDEX(Simulations!$A$1:$BK$2501, 37, MATCH("PurchaseMultiple", Simulations!$A$1:$BK$1, 0))</f>
        <v>7.0658363370594506</v>
      </c>
      <c r="B37" s="2">
        <f ca="1">INDEX(Simulations!$A$1:$BK$2501, 37, MATCH("ExitMultiple", Simulations!$A$1:$BK$1, 0))</f>
        <v>7.3817037533625891</v>
      </c>
      <c r="C37" s="2">
        <f ca="1">INDEX(Simulations!$A$1:$BK$2501, 37, MATCH("RevCAGR", Simulations!$A$1:$BK$1, 0))</f>
        <v>2.9493801501362944E-2</v>
      </c>
      <c r="D37" s="2">
        <f ca="1">INDEX(Simulations!$A$1:$BK$2501, 37, MATCH("SynMargin", Simulations!$A$1:$BK$1, 0))</f>
        <v>9.9080966037802323E-3</v>
      </c>
      <c r="E37" s="2">
        <f ca="1">INDEX(Simulations!$A$1:$BK$2501, 37, MATCH("Yr1Shock", Simulations!$A$1:$BK$1, 0))</f>
        <v>-3.7979210633214818E-3</v>
      </c>
    </row>
    <row r="38" spans="1:5" x14ac:dyDescent="0.3">
      <c r="A38" s="2">
        <f ca="1">INDEX(Simulations!$A$1:$BK$2501, 38, MATCH("PurchaseMultiple", Simulations!$A$1:$BK$1, 0))</f>
        <v>6.8412566623300215</v>
      </c>
      <c r="B38" s="2">
        <f ca="1">INDEX(Simulations!$A$1:$BK$2501, 38, MATCH("ExitMultiple", Simulations!$A$1:$BK$1, 0))</f>
        <v>7.4996645937104844</v>
      </c>
      <c r="C38" s="2">
        <f ca="1">INDEX(Simulations!$A$1:$BK$2501, 38, MATCH("RevCAGR", Simulations!$A$1:$BK$1, 0))</f>
        <v>1.6795165126584063E-2</v>
      </c>
      <c r="D38" s="2">
        <f ca="1">INDEX(Simulations!$A$1:$BK$2501, 38, MATCH("SynMargin", Simulations!$A$1:$BK$1, 0))</f>
        <v>8.1868002881706967E-3</v>
      </c>
      <c r="E38" s="2">
        <f ca="1">INDEX(Simulations!$A$1:$BK$2501, 38, MATCH("Yr1Shock", Simulations!$A$1:$BK$1, 0))</f>
        <v>-7.6567135629984082E-3</v>
      </c>
    </row>
    <row r="39" spans="1:5" x14ac:dyDescent="0.3">
      <c r="A39" s="2">
        <f ca="1">INDEX(Simulations!$A$1:$BK$2501, 39, MATCH("PurchaseMultiple", Simulations!$A$1:$BK$1, 0))</f>
        <v>7.8923169090605718</v>
      </c>
      <c r="B39" s="2">
        <f ca="1">INDEX(Simulations!$A$1:$BK$2501, 39, MATCH("ExitMultiple", Simulations!$A$1:$BK$1, 0))</f>
        <v>7.7110927579325059</v>
      </c>
      <c r="C39" s="2">
        <f ca="1">INDEX(Simulations!$A$1:$BK$2501, 39, MATCH("RevCAGR", Simulations!$A$1:$BK$1, 0))</f>
        <v>6.3363215817279189E-2</v>
      </c>
      <c r="D39" s="2">
        <f ca="1">INDEX(Simulations!$A$1:$BK$2501, 39, MATCH("SynMargin", Simulations!$A$1:$BK$1, 0))</f>
        <v>9.5501780809546521E-3</v>
      </c>
      <c r="E39" s="2">
        <f ca="1">INDEX(Simulations!$A$1:$BK$2501, 39, MATCH("Yr1Shock", Simulations!$A$1:$BK$1, 0))</f>
        <v>-3.0569948374291212E-3</v>
      </c>
    </row>
    <row r="40" spans="1:5" x14ac:dyDescent="0.3">
      <c r="A40" s="2">
        <f ca="1">INDEX(Simulations!$A$1:$BK$2501, 40, MATCH("PurchaseMultiple", Simulations!$A$1:$BK$1, 0))</f>
        <v>7.509477812619286</v>
      </c>
      <c r="B40" s="2">
        <f ca="1">INDEX(Simulations!$A$1:$BK$2501, 40, MATCH("ExitMultiple", Simulations!$A$1:$BK$1, 0))</f>
        <v>7.9676478136658346</v>
      </c>
      <c r="C40" s="2">
        <f ca="1">INDEX(Simulations!$A$1:$BK$2501, 40, MATCH("RevCAGR", Simulations!$A$1:$BK$1, 0))</f>
        <v>2.8935019539034136E-2</v>
      </c>
      <c r="D40" s="2">
        <f ca="1">INDEX(Simulations!$A$1:$BK$2501, 40, MATCH("SynMargin", Simulations!$A$1:$BK$1, 0))</f>
        <v>1.2767087273134718E-2</v>
      </c>
      <c r="E40" s="2">
        <f ca="1">INDEX(Simulations!$A$1:$BK$2501, 40, MATCH("Yr1Shock", Simulations!$A$1:$BK$1, 0))</f>
        <v>-4.1398188117372347E-3</v>
      </c>
    </row>
    <row r="41" spans="1:5" x14ac:dyDescent="0.3">
      <c r="A41" s="2">
        <f ca="1">INDEX(Simulations!$A$1:$BK$2501, 41, MATCH("PurchaseMultiple", Simulations!$A$1:$BK$1, 0))</f>
        <v>6.8612436725016615</v>
      </c>
      <c r="B41" s="2">
        <f ca="1">INDEX(Simulations!$A$1:$BK$2501, 41, MATCH("ExitMultiple", Simulations!$A$1:$BK$1, 0))</f>
        <v>7.604127061239752</v>
      </c>
      <c r="C41" s="2">
        <f ca="1">INDEX(Simulations!$A$1:$BK$2501, 41, MATCH("RevCAGR", Simulations!$A$1:$BK$1, 0))</f>
        <v>6.9390900158532276E-2</v>
      </c>
      <c r="D41" s="2">
        <f ca="1">INDEX(Simulations!$A$1:$BK$2501, 41, MATCH("SynMargin", Simulations!$A$1:$BK$1, 0))</f>
        <v>9.9893436536419265E-3</v>
      </c>
      <c r="E41" s="2">
        <f ca="1">INDEX(Simulations!$A$1:$BK$2501, 41, MATCH("Yr1Shock", Simulations!$A$1:$BK$1, 0))</f>
        <v>-1.4524237764385914E-3</v>
      </c>
    </row>
    <row r="42" spans="1:5" x14ac:dyDescent="0.3">
      <c r="A42" s="2">
        <f ca="1">INDEX(Simulations!$A$1:$BK$2501, 42, MATCH("PurchaseMultiple", Simulations!$A$1:$BK$1, 0))</f>
        <v>7.1380988445629967</v>
      </c>
      <c r="B42" s="2">
        <f ca="1">INDEX(Simulations!$A$1:$BK$2501, 42, MATCH("ExitMultiple", Simulations!$A$1:$BK$1, 0))</f>
        <v>7.6599727150998831</v>
      </c>
      <c r="C42" s="2">
        <f ca="1">INDEX(Simulations!$A$1:$BK$2501, 42, MATCH("RevCAGR", Simulations!$A$1:$BK$1, 0))</f>
        <v>4.2129918455341586E-2</v>
      </c>
      <c r="D42" s="2">
        <f ca="1">INDEX(Simulations!$A$1:$BK$2501, 42, MATCH("SynMargin", Simulations!$A$1:$BK$1, 0))</f>
        <v>1.3144303525923884E-2</v>
      </c>
      <c r="E42" s="2">
        <f ca="1">INDEX(Simulations!$A$1:$BK$2501, 42, MATCH("Yr1Shock", Simulations!$A$1:$BK$1, 0))</f>
        <v>3.1722549531055501E-2</v>
      </c>
    </row>
    <row r="43" spans="1:5" x14ac:dyDescent="0.3">
      <c r="A43" s="2">
        <f ca="1">INDEX(Simulations!$A$1:$BK$2501, 43, MATCH("PurchaseMultiple", Simulations!$A$1:$BK$1, 0))</f>
        <v>7.0305487309338979</v>
      </c>
      <c r="B43" s="2">
        <f ca="1">INDEX(Simulations!$A$1:$BK$2501, 43, MATCH("ExitMultiple", Simulations!$A$1:$BK$1, 0))</f>
        <v>7.4283061592096606</v>
      </c>
      <c r="C43" s="2">
        <f ca="1">INDEX(Simulations!$A$1:$BK$2501, 43, MATCH("RevCAGR", Simulations!$A$1:$BK$1, 0))</f>
        <v>4.4849969651691447E-2</v>
      </c>
      <c r="D43" s="2">
        <f ca="1">INDEX(Simulations!$A$1:$BK$2501, 43, MATCH("SynMargin", Simulations!$A$1:$BK$1, 0))</f>
        <v>7.8286157523184564E-3</v>
      </c>
      <c r="E43" s="2">
        <f ca="1">INDEX(Simulations!$A$1:$BK$2501, 43, MATCH("Yr1Shock", Simulations!$A$1:$BK$1, 0))</f>
        <v>3.0954777408135979E-2</v>
      </c>
    </row>
    <row r="44" spans="1:5" x14ac:dyDescent="0.3">
      <c r="A44" s="2">
        <f ca="1">INDEX(Simulations!$A$1:$BK$2501, 44, MATCH("PurchaseMultiple", Simulations!$A$1:$BK$1, 0))</f>
        <v>6.733666519105121</v>
      </c>
      <c r="B44" s="2">
        <f ca="1">INDEX(Simulations!$A$1:$BK$2501, 44, MATCH("ExitMultiple", Simulations!$A$1:$BK$1, 0))</f>
        <v>7.9978629764249476</v>
      </c>
      <c r="C44" s="2">
        <f ca="1">INDEX(Simulations!$A$1:$BK$2501, 44, MATCH("RevCAGR", Simulations!$A$1:$BK$1, 0))</f>
        <v>4.7650417922906516E-2</v>
      </c>
      <c r="D44" s="2">
        <f ca="1">INDEX(Simulations!$A$1:$BK$2501, 44, MATCH("SynMargin", Simulations!$A$1:$BK$1, 0))</f>
        <v>1.156380585986644E-2</v>
      </c>
      <c r="E44" s="2">
        <f ca="1">INDEX(Simulations!$A$1:$BK$2501, 44, MATCH("Yr1Shock", Simulations!$A$1:$BK$1, 0))</f>
        <v>-1.7357366524025308E-2</v>
      </c>
    </row>
    <row r="45" spans="1:5" x14ac:dyDescent="0.3">
      <c r="A45" s="2">
        <f ca="1">INDEX(Simulations!$A$1:$BK$2501, 45, MATCH("PurchaseMultiple", Simulations!$A$1:$BK$1, 0))</f>
        <v>7.119025599639091</v>
      </c>
      <c r="B45" s="2">
        <f ca="1">INDEX(Simulations!$A$1:$BK$2501, 45, MATCH("ExitMultiple", Simulations!$A$1:$BK$1, 0))</f>
        <v>7.1013317060858565</v>
      </c>
      <c r="C45" s="2">
        <f ca="1">INDEX(Simulations!$A$1:$BK$2501, 45, MATCH("RevCAGR", Simulations!$A$1:$BK$1, 0))</f>
        <v>2.5266471502568905E-2</v>
      </c>
      <c r="D45" s="2">
        <f ca="1">INDEX(Simulations!$A$1:$BK$2501, 45, MATCH("SynMargin", Simulations!$A$1:$BK$1, 0))</f>
        <v>0</v>
      </c>
      <c r="E45" s="2">
        <f ca="1">INDEX(Simulations!$A$1:$BK$2501, 45, MATCH("Yr1Shock", Simulations!$A$1:$BK$1, 0))</f>
        <v>1.3770309842398477E-2</v>
      </c>
    </row>
    <row r="46" spans="1:5" x14ac:dyDescent="0.3">
      <c r="A46" s="2">
        <f ca="1">INDEX(Simulations!$A$1:$BK$2501, 46, MATCH("PurchaseMultiple", Simulations!$A$1:$BK$1, 0))</f>
        <v>6.6656052097007761</v>
      </c>
      <c r="B46" s="2">
        <f ca="1">INDEX(Simulations!$A$1:$BK$2501, 46, MATCH("ExitMultiple", Simulations!$A$1:$BK$1, 0))</f>
        <v>7.6127469876093041</v>
      </c>
      <c r="C46" s="2">
        <f ca="1">INDEX(Simulations!$A$1:$BK$2501, 46, MATCH("RevCAGR", Simulations!$A$1:$BK$1, 0))</f>
        <v>4.5181705618392395E-2</v>
      </c>
      <c r="D46" s="2">
        <f ca="1">INDEX(Simulations!$A$1:$BK$2501, 46, MATCH("SynMargin", Simulations!$A$1:$BK$1, 0))</f>
        <v>1.1318560472399682E-2</v>
      </c>
      <c r="E46" s="2">
        <f ca="1">INDEX(Simulations!$A$1:$BK$2501, 46, MATCH("Yr1Shock", Simulations!$A$1:$BK$1, 0))</f>
        <v>9.1175637975292861E-3</v>
      </c>
    </row>
    <row r="47" spans="1:5" x14ac:dyDescent="0.3">
      <c r="A47" s="2">
        <f ca="1">INDEX(Simulations!$A$1:$BK$2501, 47, MATCH("PurchaseMultiple", Simulations!$A$1:$BK$1, 0))</f>
        <v>6.7139592742558536</v>
      </c>
      <c r="B47" s="2">
        <f ca="1">INDEX(Simulations!$A$1:$BK$2501, 47, MATCH("ExitMultiple", Simulations!$A$1:$BK$1, 0))</f>
        <v>6.8627327553348509</v>
      </c>
      <c r="C47" s="2">
        <f ca="1">INDEX(Simulations!$A$1:$BK$2501, 47, MATCH("RevCAGR", Simulations!$A$1:$BK$1, 0))</f>
        <v>4.4975019857618669E-2</v>
      </c>
      <c r="D47" s="2">
        <f ca="1">INDEX(Simulations!$A$1:$BK$2501, 47, MATCH("SynMargin", Simulations!$A$1:$BK$1, 0))</f>
        <v>5.4600865099574559E-3</v>
      </c>
      <c r="E47" s="2">
        <f ca="1">INDEX(Simulations!$A$1:$BK$2501, 47, MATCH("Yr1Shock", Simulations!$A$1:$BK$1, 0))</f>
        <v>1.2887718340549987E-2</v>
      </c>
    </row>
    <row r="48" spans="1:5" x14ac:dyDescent="0.3">
      <c r="A48" s="2">
        <f ca="1">INDEX(Simulations!$A$1:$BK$2501, 48, MATCH("PurchaseMultiple", Simulations!$A$1:$BK$1, 0))</f>
        <v>6.586678010552208</v>
      </c>
      <c r="B48" s="2">
        <f ca="1">INDEX(Simulations!$A$1:$BK$2501, 48, MATCH("ExitMultiple", Simulations!$A$1:$BK$1, 0))</f>
        <v>7.4926411099383632</v>
      </c>
      <c r="C48" s="2">
        <f ca="1">INDEX(Simulations!$A$1:$BK$2501, 48, MATCH("RevCAGR", Simulations!$A$1:$BK$1, 0))</f>
        <v>5.6979982302679658E-2</v>
      </c>
      <c r="D48" s="2">
        <f ca="1">INDEX(Simulations!$A$1:$BK$2501, 48, MATCH("SynMargin", Simulations!$A$1:$BK$1, 0))</f>
        <v>3.5817898620970675E-3</v>
      </c>
      <c r="E48" s="2">
        <f ca="1">INDEX(Simulations!$A$1:$BK$2501, 48, MATCH("Yr1Shock", Simulations!$A$1:$BK$1, 0))</f>
        <v>4.955722615543676E-3</v>
      </c>
    </row>
    <row r="49" spans="1:5" x14ac:dyDescent="0.3">
      <c r="A49" s="2">
        <f ca="1">INDEX(Simulations!$A$1:$BK$2501, 49, MATCH("PurchaseMultiple", Simulations!$A$1:$BK$1, 0))</f>
        <v>6.7791577261159794</v>
      </c>
      <c r="B49" s="2">
        <f ca="1">INDEX(Simulations!$A$1:$BK$2501, 49, MATCH("ExitMultiple", Simulations!$A$1:$BK$1, 0))</f>
        <v>7.7218202351075051</v>
      </c>
      <c r="C49" s="2">
        <f ca="1">INDEX(Simulations!$A$1:$BK$2501, 49, MATCH("RevCAGR", Simulations!$A$1:$BK$1, 0))</f>
        <v>8.104804822412004E-2</v>
      </c>
      <c r="D49" s="2">
        <f ca="1">INDEX(Simulations!$A$1:$BK$2501, 49, MATCH("SynMargin", Simulations!$A$1:$BK$1, 0))</f>
        <v>1.0755755911797244E-2</v>
      </c>
      <c r="E49" s="2">
        <f ca="1">INDEX(Simulations!$A$1:$BK$2501, 49, MATCH("Yr1Shock", Simulations!$A$1:$BK$1, 0))</f>
        <v>3.7892500654962465E-3</v>
      </c>
    </row>
    <row r="50" spans="1:5" x14ac:dyDescent="0.3">
      <c r="A50" s="2">
        <f ca="1">INDEX(Simulations!$A$1:$BK$2501, 50, MATCH("PurchaseMultiple", Simulations!$A$1:$BK$1, 0))</f>
        <v>6.7726540892480225</v>
      </c>
      <c r="B50" s="2">
        <f ca="1">INDEX(Simulations!$A$1:$BK$2501, 50, MATCH("ExitMultiple", Simulations!$A$1:$BK$1, 0))</f>
        <v>7.8152369955676582</v>
      </c>
      <c r="C50" s="2">
        <f ca="1">INDEX(Simulations!$A$1:$BK$2501, 50, MATCH("RevCAGR", Simulations!$A$1:$BK$1, 0))</f>
        <v>1.5743426790507262E-2</v>
      </c>
      <c r="D50" s="2">
        <f ca="1">INDEX(Simulations!$A$1:$BK$2501, 50, MATCH("SynMargin", Simulations!$A$1:$BK$1, 0))</f>
        <v>1.2012900718336269E-2</v>
      </c>
      <c r="E50" s="2">
        <f ca="1">INDEX(Simulations!$A$1:$BK$2501, 50, MATCH("Yr1Shock", Simulations!$A$1:$BK$1, 0))</f>
        <v>-4.0202513622971503E-2</v>
      </c>
    </row>
    <row r="51" spans="1:5" x14ac:dyDescent="0.3">
      <c r="A51" s="2">
        <f ca="1">INDEX(Simulations!$A$1:$BK$2501, 51, MATCH("PurchaseMultiple", Simulations!$A$1:$BK$1, 0))</f>
        <v>7.0098179748885538</v>
      </c>
      <c r="B51" s="2">
        <f ca="1">INDEX(Simulations!$A$1:$BK$2501, 51, MATCH("ExitMultiple", Simulations!$A$1:$BK$1, 0))</f>
        <v>7.0791765768363515</v>
      </c>
      <c r="C51" s="2">
        <f ca="1">INDEX(Simulations!$A$1:$BK$2501, 51, MATCH("RevCAGR", Simulations!$A$1:$BK$1, 0))</f>
        <v>7.4686923262786212E-2</v>
      </c>
      <c r="D51" s="2">
        <f ca="1">INDEX(Simulations!$A$1:$BK$2501, 51, MATCH("SynMargin", Simulations!$A$1:$BK$1, 0))</f>
        <v>1.0516810634370989E-2</v>
      </c>
      <c r="E51" s="2">
        <f ca="1">INDEX(Simulations!$A$1:$BK$2501, 51, MATCH("Yr1Shock", Simulations!$A$1:$BK$1, 0))</f>
        <v>3.668106150945874E-2</v>
      </c>
    </row>
    <row r="52" spans="1:5" x14ac:dyDescent="0.3">
      <c r="A52" s="2">
        <f ca="1">INDEX(Simulations!$A$1:$BK$2501, 52, MATCH("PurchaseMultiple", Simulations!$A$1:$BK$1, 0))</f>
        <v>7.0741214558105376</v>
      </c>
      <c r="B52" s="2">
        <f ca="1">INDEX(Simulations!$A$1:$BK$2501, 52, MATCH("ExitMultiple", Simulations!$A$1:$BK$1, 0))</f>
        <v>7.0378306063249001</v>
      </c>
      <c r="C52" s="2">
        <f ca="1">INDEX(Simulations!$A$1:$BK$2501, 52, MATCH("RevCAGR", Simulations!$A$1:$BK$1, 0))</f>
        <v>4.3424817509685743E-2</v>
      </c>
      <c r="D52" s="2">
        <f ca="1">INDEX(Simulations!$A$1:$BK$2501, 52, MATCH("SynMargin", Simulations!$A$1:$BK$1, 0))</f>
        <v>1.2343166116539817E-2</v>
      </c>
      <c r="E52" s="2">
        <f ca="1">INDEX(Simulations!$A$1:$BK$2501, 52, MATCH("Yr1Shock", Simulations!$A$1:$BK$1, 0))</f>
        <v>-9.4383813036929207E-3</v>
      </c>
    </row>
    <row r="53" spans="1:5" x14ac:dyDescent="0.3">
      <c r="A53" s="2">
        <f ca="1">INDEX(Simulations!$A$1:$BK$2501, 53, MATCH("PurchaseMultiple", Simulations!$A$1:$BK$1, 0))</f>
        <v>6.7951287112857424</v>
      </c>
      <c r="B53" s="2">
        <f ca="1">INDEX(Simulations!$A$1:$BK$2501, 53, MATCH("ExitMultiple", Simulations!$A$1:$BK$1, 0))</f>
        <v>7.9215584508528067</v>
      </c>
      <c r="C53" s="2">
        <f ca="1">INDEX(Simulations!$A$1:$BK$2501, 53, MATCH("RevCAGR", Simulations!$A$1:$BK$1, 0))</f>
        <v>3.4042253830625153E-2</v>
      </c>
      <c r="D53" s="2">
        <f ca="1">INDEX(Simulations!$A$1:$BK$2501, 53, MATCH("SynMargin", Simulations!$A$1:$BK$1, 0))</f>
        <v>1.1478704068464692E-2</v>
      </c>
      <c r="E53" s="2">
        <f ca="1">INDEX(Simulations!$A$1:$BK$2501, 53, MATCH("Yr1Shock", Simulations!$A$1:$BK$1, 0))</f>
        <v>4.3404422940409018E-3</v>
      </c>
    </row>
    <row r="54" spans="1:5" x14ac:dyDescent="0.3">
      <c r="A54" s="2">
        <f ca="1">INDEX(Simulations!$A$1:$BK$2501, 54, MATCH("PurchaseMultiple", Simulations!$A$1:$BK$1, 0))</f>
        <v>7.7998952249709141</v>
      </c>
      <c r="B54" s="2">
        <f ca="1">INDEX(Simulations!$A$1:$BK$2501, 54, MATCH("ExitMultiple", Simulations!$A$1:$BK$1, 0))</f>
        <v>7.7121499811431038</v>
      </c>
      <c r="C54" s="2">
        <f ca="1">INDEX(Simulations!$A$1:$BK$2501, 54, MATCH("RevCAGR", Simulations!$A$1:$BK$1, 0))</f>
        <v>6.6666113268712676E-2</v>
      </c>
      <c r="D54" s="2">
        <f ca="1">INDEX(Simulations!$A$1:$BK$2501, 54, MATCH("SynMargin", Simulations!$A$1:$BK$1, 0))</f>
        <v>8.5817296482103584E-3</v>
      </c>
      <c r="E54" s="2">
        <f ca="1">INDEX(Simulations!$A$1:$BK$2501, 54, MATCH("Yr1Shock", Simulations!$A$1:$BK$1, 0))</f>
        <v>5.8078986304496392E-3</v>
      </c>
    </row>
    <row r="55" spans="1:5" x14ac:dyDescent="0.3">
      <c r="A55" s="2">
        <f ca="1">INDEX(Simulations!$A$1:$BK$2501, 55, MATCH("PurchaseMultiple", Simulations!$A$1:$BK$1, 0))</f>
        <v>7.1020534303282021</v>
      </c>
      <c r="B55" s="2">
        <f ca="1">INDEX(Simulations!$A$1:$BK$2501, 55, MATCH("ExitMultiple", Simulations!$A$1:$BK$1, 0))</f>
        <v>6.901193848414203</v>
      </c>
      <c r="C55" s="2">
        <f ca="1">INDEX(Simulations!$A$1:$BK$2501, 55, MATCH("RevCAGR", Simulations!$A$1:$BK$1, 0))</f>
        <v>-1.4843680189166646E-2</v>
      </c>
      <c r="D55" s="2">
        <f ca="1">INDEX(Simulations!$A$1:$BK$2501, 55, MATCH("SynMargin", Simulations!$A$1:$BK$1, 0))</f>
        <v>1.0046088670530886E-2</v>
      </c>
      <c r="E55" s="2">
        <f ca="1">INDEX(Simulations!$A$1:$BK$2501, 55, MATCH("Yr1Shock", Simulations!$A$1:$BK$1, 0))</f>
        <v>-4.7479369879944534E-2</v>
      </c>
    </row>
    <row r="56" spans="1:5" x14ac:dyDescent="0.3">
      <c r="A56" s="2">
        <f ca="1">INDEX(Simulations!$A$1:$BK$2501, 56, MATCH("PurchaseMultiple", Simulations!$A$1:$BK$1, 0))</f>
        <v>6.951613571595221</v>
      </c>
      <c r="B56" s="2">
        <f ca="1">INDEX(Simulations!$A$1:$BK$2501, 56, MATCH("ExitMultiple", Simulations!$A$1:$BK$1, 0))</f>
        <v>7.8641795366531637</v>
      </c>
      <c r="C56" s="2">
        <f ca="1">INDEX(Simulations!$A$1:$BK$2501, 56, MATCH("RevCAGR", Simulations!$A$1:$BK$1, 0))</f>
        <v>7.8488693412901267E-2</v>
      </c>
      <c r="D56" s="2">
        <f ca="1">INDEX(Simulations!$A$1:$BK$2501, 56, MATCH("SynMargin", Simulations!$A$1:$BK$1, 0))</f>
        <v>4.2795422142869596E-3</v>
      </c>
      <c r="E56" s="2">
        <f ca="1">INDEX(Simulations!$A$1:$BK$2501, 56, MATCH("Yr1Shock", Simulations!$A$1:$BK$1, 0))</f>
        <v>1.4937289302327175E-2</v>
      </c>
    </row>
    <row r="57" spans="1:5" x14ac:dyDescent="0.3">
      <c r="A57" s="2">
        <f ca="1">INDEX(Simulations!$A$1:$BK$2501, 57, MATCH("PurchaseMultiple", Simulations!$A$1:$BK$1, 0))</f>
        <v>7.7226612716940002</v>
      </c>
      <c r="B57" s="2">
        <f ca="1">INDEX(Simulations!$A$1:$BK$2501, 57, MATCH("ExitMultiple", Simulations!$A$1:$BK$1, 0))</f>
        <v>8.1324139909033271</v>
      </c>
      <c r="C57" s="2">
        <f ca="1">INDEX(Simulations!$A$1:$BK$2501, 57, MATCH("RevCAGR", Simulations!$A$1:$BK$1, 0))</f>
        <v>9.6201604830157994E-2</v>
      </c>
      <c r="D57" s="2">
        <f ca="1">INDEX(Simulations!$A$1:$BK$2501, 57, MATCH("SynMargin", Simulations!$A$1:$BK$1, 0))</f>
        <v>8.6941559104436895E-3</v>
      </c>
      <c r="E57" s="2">
        <f ca="1">INDEX(Simulations!$A$1:$BK$2501, 57, MATCH("Yr1Shock", Simulations!$A$1:$BK$1, 0))</f>
        <v>-9.1114380488448448E-4</v>
      </c>
    </row>
    <row r="58" spans="1:5" x14ac:dyDescent="0.3">
      <c r="A58" s="2">
        <f ca="1">INDEX(Simulations!$A$1:$BK$2501, 58, MATCH("PurchaseMultiple", Simulations!$A$1:$BK$1, 0))</f>
        <v>6.4754562950814138</v>
      </c>
      <c r="B58" s="2">
        <f ca="1">INDEX(Simulations!$A$1:$BK$2501, 58, MATCH("ExitMultiple", Simulations!$A$1:$BK$1, 0))</f>
        <v>8.0541754571333151</v>
      </c>
      <c r="C58" s="2">
        <f ca="1">INDEX(Simulations!$A$1:$BK$2501, 58, MATCH("RevCAGR", Simulations!$A$1:$BK$1, 0))</f>
        <v>7.2372828060334946E-2</v>
      </c>
      <c r="D58" s="2">
        <f ca="1">INDEX(Simulations!$A$1:$BK$2501, 58, MATCH("SynMargin", Simulations!$A$1:$BK$1, 0))</f>
        <v>1.0477819892505329E-2</v>
      </c>
      <c r="E58" s="2">
        <f ca="1">INDEX(Simulations!$A$1:$BK$2501, 58, MATCH("Yr1Shock", Simulations!$A$1:$BK$1, 0))</f>
        <v>3.3212529956584608E-2</v>
      </c>
    </row>
    <row r="59" spans="1:5" x14ac:dyDescent="0.3">
      <c r="A59" s="2">
        <f ca="1">INDEX(Simulations!$A$1:$BK$2501, 59, MATCH("PurchaseMultiple", Simulations!$A$1:$BK$1, 0))</f>
        <v>7.3204053597500431</v>
      </c>
      <c r="B59" s="2">
        <f ca="1">INDEX(Simulations!$A$1:$BK$2501, 59, MATCH("ExitMultiple", Simulations!$A$1:$BK$1, 0))</f>
        <v>7.8441175518920181</v>
      </c>
      <c r="C59" s="2">
        <f ca="1">INDEX(Simulations!$A$1:$BK$2501, 59, MATCH("RevCAGR", Simulations!$A$1:$BK$1, 0))</f>
        <v>5.0244531352096305E-2</v>
      </c>
      <c r="D59" s="2">
        <f ca="1">INDEX(Simulations!$A$1:$BK$2501, 59, MATCH("SynMargin", Simulations!$A$1:$BK$1, 0))</f>
        <v>1.0072162666293592E-2</v>
      </c>
      <c r="E59" s="2">
        <f ca="1">INDEX(Simulations!$A$1:$BK$2501, 59, MATCH("Yr1Shock", Simulations!$A$1:$BK$1, 0))</f>
        <v>-6.6867835886731883E-3</v>
      </c>
    </row>
    <row r="60" spans="1:5" x14ac:dyDescent="0.3">
      <c r="A60" s="2">
        <f ca="1">INDEX(Simulations!$A$1:$BK$2501, 60, MATCH("PurchaseMultiple", Simulations!$A$1:$BK$1, 0))</f>
        <v>7.1752276496382734</v>
      </c>
      <c r="B60" s="2">
        <f ca="1">INDEX(Simulations!$A$1:$BK$2501, 60, MATCH("ExitMultiple", Simulations!$A$1:$BK$1, 0))</f>
        <v>7.2441949553151446</v>
      </c>
      <c r="C60" s="2">
        <f ca="1">INDEX(Simulations!$A$1:$BK$2501, 60, MATCH("RevCAGR", Simulations!$A$1:$BK$1, 0))</f>
        <v>1.562780494613128E-3</v>
      </c>
      <c r="D60" s="2">
        <f ca="1">INDEX(Simulations!$A$1:$BK$2501, 60, MATCH("SynMargin", Simulations!$A$1:$BK$1, 0))</f>
        <v>3.1243701617684047E-3</v>
      </c>
      <c r="E60" s="2">
        <f ca="1">INDEX(Simulations!$A$1:$BK$2501, 60, MATCH("Yr1Shock", Simulations!$A$1:$BK$1, 0))</f>
        <v>-1.0751564174430149E-2</v>
      </c>
    </row>
    <row r="61" spans="1:5" x14ac:dyDescent="0.3">
      <c r="A61" s="2">
        <f ca="1">INDEX(Simulations!$A$1:$BK$2501, 61, MATCH("PurchaseMultiple", Simulations!$A$1:$BK$1, 0))</f>
        <v>6.5134801740956831</v>
      </c>
      <c r="B61" s="2">
        <f ca="1">INDEX(Simulations!$A$1:$BK$2501, 61, MATCH("ExitMultiple", Simulations!$A$1:$BK$1, 0))</f>
        <v>8.1576718639205659</v>
      </c>
      <c r="C61" s="2">
        <f ca="1">INDEX(Simulations!$A$1:$BK$2501, 61, MATCH("RevCAGR", Simulations!$A$1:$BK$1, 0))</f>
        <v>3.1081403849564065E-2</v>
      </c>
      <c r="D61" s="2">
        <f ca="1">INDEX(Simulations!$A$1:$BK$2501, 61, MATCH("SynMargin", Simulations!$A$1:$BK$1, 0))</f>
        <v>1.1446973028830267E-2</v>
      </c>
      <c r="E61" s="2">
        <f ca="1">INDEX(Simulations!$A$1:$BK$2501, 61, MATCH("Yr1Shock", Simulations!$A$1:$BK$1, 0))</f>
        <v>-3.0167082614679454E-2</v>
      </c>
    </row>
    <row r="62" spans="1:5" x14ac:dyDescent="0.3">
      <c r="A62" s="2">
        <f ca="1">INDEX(Simulations!$A$1:$BK$2501, 62, MATCH("PurchaseMultiple", Simulations!$A$1:$BK$1, 0))</f>
        <v>7.1897105832716708</v>
      </c>
      <c r="B62" s="2">
        <f ca="1">INDEX(Simulations!$A$1:$BK$2501, 62, MATCH("ExitMultiple", Simulations!$A$1:$BK$1, 0))</f>
        <v>7.5549502516621283</v>
      </c>
      <c r="C62" s="2">
        <f ca="1">INDEX(Simulations!$A$1:$BK$2501, 62, MATCH("RevCAGR", Simulations!$A$1:$BK$1, 0))</f>
        <v>4.4155890939600415E-2</v>
      </c>
      <c r="D62" s="2">
        <f ca="1">INDEX(Simulations!$A$1:$BK$2501, 62, MATCH("SynMargin", Simulations!$A$1:$BK$1, 0))</f>
        <v>1.1132702944301479E-2</v>
      </c>
      <c r="E62" s="2">
        <f ca="1">INDEX(Simulations!$A$1:$BK$2501, 62, MATCH("Yr1Shock", Simulations!$A$1:$BK$1, 0))</f>
        <v>-2.0425678130012383E-3</v>
      </c>
    </row>
    <row r="63" spans="1:5" x14ac:dyDescent="0.3">
      <c r="A63" s="2">
        <f ca="1">INDEX(Simulations!$A$1:$BK$2501, 63, MATCH("PurchaseMultiple", Simulations!$A$1:$BK$1, 0))</f>
        <v>6.9255558570946691</v>
      </c>
      <c r="B63" s="2">
        <f ca="1">INDEX(Simulations!$A$1:$BK$2501, 63, MATCH("ExitMultiple", Simulations!$A$1:$BK$1, 0))</f>
        <v>7.425268065550318</v>
      </c>
      <c r="C63" s="2">
        <f ca="1">INDEX(Simulations!$A$1:$BK$2501, 63, MATCH("RevCAGR", Simulations!$A$1:$BK$1, 0))</f>
        <v>4.636863838018835E-2</v>
      </c>
      <c r="D63" s="2">
        <f ca="1">INDEX(Simulations!$A$1:$BK$2501, 63, MATCH("SynMargin", Simulations!$A$1:$BK$1, 0))</f>
        <v>1.4981145651101754E-2</v>
      </c>
      <c r="E63" s="2">
        <f ca="1">INDEX(Simulations!$A$1:$BK$2501, 63, MATCH("Yr1Shock", Simulations!$A$1:$BK$1, 0))</f>
        <v>-2.8437601781355501E-2</v>
      </c>
    </row>
    <row r="64" spans="1:5" x14ac:dyDescent="0.3">
      <c r="A64" s="2">
        <f ca="1">INDEX(Simulations!$A$1:$BK$2501, 64, MATCH("PurchaseMultiple", Simulations!$A$1:$BK$1, 0))</f>
        <v>6.8700592873234836</v>
      </c>
      <c r="B64" s="2">
        <f ca="1">INDEX(Simulations!$A$1:$BK$2501, 64, MATCH("ExitMultiple", Simulations!$A$1:$BK$1, 0))</f>
        <v>6.9562205157210117</v>
      </c>
      <c r="C64" s="2">
        <f ca="1">INDEX(Simulations!$A$1:$BK$2501, 64, MATCH("RevCAGR", Simulations!$A$1:$BK$1, 0))</f>
        <v>7.485965089151092E-2</v>
      </c>
      <c r="D64" s="2">
        <f ca="1">INDEX(Simulations!$A$1:$BK$2501, 64, MATCH("SynMargin", Simulations!$A$1:$BK$1, 0))</f>
        <v>6.3238103424073031E-3</v>
      </c>
      <c r="E64" s="2">
        <f ca="1">INDEX(Simulations!$A$1:$BK$2501, 64, MATCH("Yr1Shock", Simulations!$A$1:$BK$1, 0))</f>
        <v>0.05</v>
      </c>
    </row>
    <row r="65" spans="1:5" x14ac:dyDescent="0.3">
      <c r="A65" s="2">
        <f ca="1">INDEX(Simulations!$A$1:$BK$2501, 65, MATCH("PurchaseMultiple", Simulations!$A$1:$BK$1, 0))</f>
        <v>7.2239117805481676</v>
      </c>
      <c r="B65" s="2">
        <f ca="1">INDEX(Simulations!$A$1:$BK$2501, 65, MATCH("ExitMultiple", Simulations!$A$1:$BK$1, 0))</f>
        <v>6.8278567138325217</v>
      </c>
      <c r="C65" s="2">
        <f ca="1">INDEX(Simulations!$A$1:$BK$2501, 65, MATCH("RevCAGR", Simulations!$A$1:$BK$1, 0))</f>
        <v>4.9017604655338234E-2</v>
      </c>
      <c r="D65" s="2">
        <f ca="1">INDEX(Simulations!$A$1:$BK$2501, 65, MATCH("SynMargin", Simulations!$A$1:$BK$1, 0))</f>
        <v>7.978698892582195E-3</v>
      </c>
      <c r="E65" s="2">
        <f ca="1">INDEX(Simulations!$A$1:$BK$2501, 65, MATCH("Yr1Shock", Simulations!$A$1:$BK$1, 0))</f>
        <v>1.3627030912572485E-2</v>
      </c>
    </row>
    <row r="66" spans="1:5" x14ac:dyDescent="0.3">
      <c r="A66" s="2">
        <f ca="1">INDEX(Simulations!$A$1:$BK$2501, 66, MATCH("PurchaseMultiple", Simulations!$A$1:$BK$1, 0))</f>
        <v>6.6143530634073624</v>
      </c>
      <c r="B66" s="2">
        <f ca="1">INDEX(Simulations!$A$1:$BK$2501, 66, MATCH("ExitMultiple", Simulations!$A$1:$BK$1, 0))</f>
        <v>7.2966186016731465</v>
      </c>
      <c r="C66" s="2">
        <f ca="1">INDEX(Simulations!$A$1:$BK$2501, 66, MATCH("RevCAGR", Simulations!$A$1:$BK$1, 0))</f>
        <v>3.2563468661603957E-2</v>
      </c>
      <c r="D66" s="2">
        <f ca="1">INDEX(Simulations!$A$1:$BK$2501, 66, MATCH("SynMargin", Simulations!$A$1:$BK$1, 0))</f>
        <v>8.1432037032243901E-3</v>
      </c>
      <c r="E66" s="2">
        <f ca="1">INDEX(Simulations!$A$1:$BK$2501, 66, MATCH("Yr1Shock", Simulations!$A$1:$BK$1, 0))</f>
        <v>6.1655868224243515E-3</v>
      </c>
    </row>
    <row r="67" spans="1:5" x14ac:dyDescent="0.3">
      <c r="A67" s="2">
        <f ca="1">INDEX(Simulations!$A$1:$BK$2501, 67, MATCH("PurchaseMultiple", Simulations!$A$1:$BK$1, 0))</f>
        <v>6.9360501348381929</v>
      </c>
      <c r="B67" s="2">
        <f ca="1">INDEX(Simulations!$A$1:$BK$2501, 67, MATCH("ExitMultiple", Simulations!$A$1:$BK$1, 0))</f>
        <v>7.8886366364826781</v>
      </c>
      <c r="C67" s="2">
        <f ca="1">INDEX(Simulations!$A$1:$BK$2501, 67, MATCH("RevCAGR", Simulations!$A$1:$BK$1, 0))</f>
        <v>7.0021128338184205E-2</v>
      </c>
      <c r="D67" s="2">
        <f ca="1">INDEX(Simulations!$A$1:$BK$2501, 67, MATCH("SynMargin", Simulations!$A$1:$BK$1, 0))</f>
        <v>6.4152834195810894E-3</v>
      </c>
      <c r="E67" s="2">
        <f ca="1">INDEX(Simulations!$A$1:$BK$2501, 67, MATCH("Yr1Shock", Simulations!$A$1:$BK$1, 0))</f>
        <v>2.2821136559379233E-2</v>
      </c>
    </row>
    <row r="68" spans="1:5" x14ac:dyDescent="0.3">
      <c r="A68" s="2">
        <f ca="1">INDEX(Simulations!$A$1:$BK$2501, 68, MATCH("PurchaseMultiple", Simulations!$A$1:$BK$1, 0))</f>
        <v>7.3671303891999074</v>
      </c>
      <c r="B68" s="2">
        <f ca="1">INDEX(Simulations!$A$1:$BK$2501, 68, MATCH("ExitMultiple", Simulations!$A$1:$BK$1, 0))</f>
        <v>8.2587933236196474</v>
      </c>
      <c r="C68" s="2">
        <f ca="1">INDEX(Simulations!$A$1:$BK$2501, 68, MATCH("RevCAGR", Simulations!$A$1:$BK$1, 0))</f>
        <v>4.3387820665789341E-2</v>
      </c>
      <c r="D68" s="2">
        <f ca="1">INDEX(Simulations!$A$1:$BK$2501, 68, MATCH("SynMargin", Simulations!$A$1:$BK$1, 0))</f>
        <v>9.957319472654682E-3</v>
      </c>
      <c r="E68" s="2">
        <f ca="1">INDEX(Simulations!$A$1:$BK$2501, 68, MATCH("Yr1Shock", Simulations!$A$1:$BK$1, 0))</f>
        <v>-1.9211731932862061E-2</v>
      </c>
    </row>
    <row r="69" spans="1:5" x14ac:dyDescent="0.3">
      <c r="A69" s="2">
        <f ca="1">INDEX(Simulations!$A$1:$BK$2501, 69, MATCH("PurchaseMultiple", Simulations!$A$1:$BK$1, 0))</f>
        <v>7.3209635734106033</v>
      </c>
      <c r="B69" s="2">
        <f ca="1">INDEX(Simulations!$A$1:$BK$2501, 69, MATCH("ExitMultiple", Simulations!$A$1:$BK$1, 0))</f>
        <v>7.2400651877513615</v>
      </c>
      <c r="C69" s="2">
        <f ca="1">INDEX(Simulations!$A$1:$BK$2501, 69, MATCH("RevCAGR", Simulations!$A$1:$BK$1, 0))</f>
        <v>1.2607896201516262E-2</v>
      </c>
      <c r="D69" s="2">
        <f ca="1">INDEX(Simulations!$A$1:$BK$2501, 69, MATCH("SynMargin", Simulations!$A$1:$BK$1, 0))</f>
        <v>9.0465117530374763E-3</v>
      </c>
      <c r="E69" s="2">
        <f ca="1">INDEX(Simulations!$A$1:$BK$2501, 69, MATCH("Yr1Shock", Simulations!$A$1:$BK$1, 0))</f>
        <v>-1.9303078103545035E-2</v>
      </c>
    </row>
    <row r="70" spans="1:5" x14ac:dyDescent="0.3">
      <c r="A70" s="2">
        <f ca="1">INDEX(Simulations!$A$1:$BK$2501, 70, MATCH("PurchaseMultiple", Simulations!$A$1:$BK$1, 0))</f>
        <v>7.0746332620346877</v>
      </c>
      <c r="B70" s="2">
        <f ca="1">INDEX(Simulations!$A$1:$BK$2501, 70, MATCH("ExitMultiple", Simulations!$A$1:$BK$1, 0))</f>
        <v>7.4975247833492489</v>
      </c>
      <c r="C70" s="2">
        <f ca="1">INDEX(Simulations!$A$1:$BK$2501, 70, MATCH("RevCAGR", Simulations!$A$1:$BK$1, 0))</f>
        <v>3.3836037216769664E-2</v>
      </c>
      <c r="D70" s="2">
        <f ca="1">INDEX(Simulations!$A$1:$BK$2501, 70, MATCH("SynMargin", Simulations!$A$1:$BK$1, 0))</f>
        <v>1.0006795826721433E-2</v>
      </c>
      <c r="E70" s="2">
        <f ca="1">INDEX(Simulations!$A$1:$BK$2501, 70, MATCH("Yr1Shock", Simulations!$A$1:$BK$1, 0))</f>
        <v>-5.4155881518135208E-3</v>
      </c>
    </row>
    <row r="71" spans="1:5" x14ac:dyDescent="0.3">
      <c r="A71" s="2">
        <f ca="1">INDEX(Simulations!$A$1:$BK$2501, 71, MATCH("PurchaseMultiple", Simulations!$A$1:$BK$1, 0))</f>
        <v>6.7421693221453136</v>
      </c>
      <c r="B71" s="2">
        <f ca="1">INDEX(Simulations!$A$1:$BK$2501, 71, MATCH("ExitMultiple", Simulations!$A$1:$BK$1, 0))</f>
        <v>8.0214181807807421</v>
      </c>
      <c r="C71" s="2">
        <f ca="1">INDEX(Simulations!$A$1:$BK$2501, 71, MATCH("RevCAGR", Simulations!$A$1:$BK$1, 0))</f>
        <v>9.5449628265402015E-2</v>
      </c>
      <c r="D71" s="2">
        <f ca="1">INDEX(Simulations!$A$1:$BK$2501, 71, MATCH("SynMargin", Simulations!$A$1:$BK$1, 0))</f>
        <v>1.1682706415405199E-2</v>
      </c>
      <c r="E71" s="2">
        <f ca="1">INDEX(Simulations!$A$1:$BK$2501, 71, MATCH("Yr1Shock", Simulations!$A$1:$BK$1, 0))</f>
        <v>-2.5319520560016913E-2</v>
      </c>
    </row>
    <row r="72" spans="1:5" x14ac:dyDescent="0.3">
      <c r="A72" s="2">
        <f ca="1">INDEX(Simulations!$A$1:$BK$2501, 72, MATCH("PurchaseMultiple", Simulations!$A$1:$BK$1, 0))</f>
        <v>6.9494643615187721</v>
      </c>
      <c r="B72" s="2">
        <f ca="1">INDEX(Simulations!$A$1:$BK$2501, 72, MATCH("ExitMultiple", Simulations!$A$1:$BK$1, 0))</f>
        <v>7.0084410167139932</v>
      </c>
      <c r="C72" s="2">
        <f ca="1">INDEX(Simulations!$A$1:$BK$2501, 72, MATCH("RevCAGR", Simulations!$A$1:$BK$1, 0))</f>
        <v>7.3846538218661689E-2</v>
      </c>
      <c r="D72" s="2">
        <f ca="1">INDEX(Simulations!$A$1:$BK$2501, 72, MATCH("SynMargin", Simulations!$A$1:$BK$1, 0))</f>
        <v>1.294846414342344E-2</v>
      </c>
      <c r="E72" s="2">
        <f ca="1">INDEX(Simulations!$A$1:$BK$2501, 72, MATCH("Yr1Shock", Simulations!$A$1:$BK$1, 0))</f>
        <v>-2.6860332123392179E-2</v>
      </c>
    </row>
    <row r="73" spans="1:5" x14ac:dyDescent="0.3">
      <c r="A73" s="2">
        <f ca="1">INDEX(Simulations!$A$1:$BK$2501, 73, MATCH("PurchaseMultiple", Simulations!$A$1:$BK$1, 0))</f>
        <v>7.1371062558850973</v>
      </c>
      <c r="B73" s="2">
        <f ca="1">INDEX(Simulations!$A$1:$BK$2501, 73, MATCH("ExitMultiple", Simulations!$A$1:$BK$1, 0))</f>
        <v>7.1609383325282296</v>
      </c>
      <c r="C73" s="2">
        <f ca="1">INDEX(Simulations!$A$1:$BK$2501, 73, MATCH("RevCAGR", Simulations!$A$1:$BK$1, 0))</f>
        <v>-6.7800853903866795E-3</v>
      </c>
      <c r="D73" s="2">
        <f ca="1">INDEX(Simulations!$A$1:$BK$2501, 73, MATCH("SynMargin", Simulations!$A$1:$BK$1, 0))</f>
        <v>1.1816449958818325E-2</v>
      </c>
      <c r="E73" s="2">
        <f ca="1">INDEX(Simulations!$A$1:$BK$2501, 73, MATCH("Yr1Shock", Simulations!$A$1:$BK$1, 0))</f>
        <v>-7.8926593964492968E-3</v>
      </c>
    </row>
    <row r="74" spans="1:5" x14ac:dyDescent="0.3">
      <c r="A74" s="2">
        <f ca="1">INDEX(Simulations!$A$1:$BK$2501, 74, MATCH("PurchaseMultiple", Simulations!$A$1:$BK$1, 0))</f>
        <v>7.47121162393241</v>
      </c>
      <c r="B74" s="2">
        <f ca="1">INDEX(Simulations!$A$1:$BK$2501, 74, MATCH("ExitMultiple", Simulations!$A$1:$BK$1, 0))</f>
        <v>7.2124762277713685</v>
      </c>
      <c r="C74" s="2">
        <f ca="1">INDEX(Simulations!$A$1:$BK$2501, 74, MATCH("RevCAGR", Simulations!$A$1:$BK$1, 0))</f>
        <v>2.0083714618181377E-2</v>
      </c>
      <c r="D74" s="2">
        <f ca="1">INDEX(Simulations!$A$1:$BK$2501, 74, MATCH("SynMargin", Simulations!$A$1:$BK$1, 0))</f>
        <v>1.8619368004838988E-2</v>
      </c>
      <c r="E74" s="2">
        <f ca="1">INDEX(Simulations!$A$1:$BK$2501, 74, MATCH("Yr1Shock", Simulations!$A$1:$BK$1, 0))</f>
        <v>2.5691573243223687E-2</v>
      </c>
    </row>
    <row r="75" spans="1:5" x14ac:dyDescent="0.3">
      <c r="A75" s="2">
        <f ca="1">INDEX(Simulations!$A$1:$BK$2501, 75, MATCH("PurchaseMultiple", Simulations!$A$1:$BK$1, 0))</f>
        <v>6.485460140458879</v>
      </c>
      <c r="B75" s="2">
        <f ca="1">INDEX(Simulations!$A$1:$BK$2501, 75, MATCH("ExitMultiple", Simulations!$A$1:$BK$1, 0))</f>
        <v>7.962358276949292</v>
      </c>
      <c r="C75" s="2">
        <f ca="1">INDEX(Simulations!$A$1:$BK$2501, 75, MATCH("RevCAGR", Simulations!$A$1:$BK$1, 0))</f>
        <v>5.7318396646716868E-2</v>
      </c>
      <c r="D75" s="2">
        <f ca="1">INDEX(Simulations!$A$1:$BK$2501, 75, MATCH("SynMargin", Simulations!$A$1:$BK$1, 0))</f>
        <v>1.3013981511821949E-2</v>
      </c>
      <c r="E75" s="2">
        <f ca="1">INDEX(Simulations!$A$1:$BK$2501, 75, MATCH("Yr1Shock", Simulations!$A$1:$BK$1, 0))</f>
        <v>-1.0705278360673628E-2</v>
      </c>
    </row>
    <row r="76" spans="1:5" x14ac:dyDescent="0.3">
      <c r="A76" s="2">
        <f ca="1">INDEX(Simulations!$A$1:$BK$2501, 76, MATCH("PurchaseMultiple", Simulations!$A$1:$BK$1, 0))</f>
        <v>6.4024224072266964</v>
      </c>
      <c r="B76" s="2">
        <f ca="1">INDEX(Simulations!$A$1:$BK$2501, 76, MATCH("ExitMultiple", Simulations!$A$1:$BK$1, 0))</f>
        <v>7.8675876848827029</v>
      </c>
      <c r="C76" s="2">
        <f ca="1">INDEX(Simulations!$A$1:$BK$2501, 76, MATCH("RevCAGR", Simulations!$A$1:$BK$1, 0))</f>
        <v>7.9492242318637857E-2</v>
      </c>
      <c r="D76" s="2">
        <f ca="1">INDEX(Simulations!$A$1:$BK$2501, 76, MATCH("SynMargin", Simulations!$A$1:$BK$1, 0))</f>
        <v>4.7961526488936148E-3</v>
      </c>
      <c r="E76" s="2">
        <f ca="1">INDEX(Simulations!$A$1:$BK$2501, 76, MATCH("Yr1Shock", Simulations!$A$1:$BK$1, 0))</f>
        <v>3.5314809500233017E-2</v>
      </c>
    </row>
    <row r="77" spans="1:5" x14ac:dyDescent="0.3">
      <c r="A77" s="2">
        <f ca="1">INDEX(Simulations!$A$1:$BK$2501, 77, MATCH("PurchaseMultiple", Simulations!$A$1:$BK$1, 0))</f>
        <v>7.4717407275341854</v>
      </c>
      <c r="B77" s="2">
        <f ca="1">INDEX(Simulations!$A$1:$BK$2501, 77, MATCH("ExitMultiple", Simulations!$A$1:$BK$1, 0))</f>
        <v>8.1118724341704294</v>
      </c>
      <c r="C77" s="2">
        <f ca="1">INDEX(Simulations!$A$1:$BK$2501, 77, MATCH("RevCAGR", Simulations!$A$1:$BK$1, 0))</f>
        <v>4.8176719868944784E-3</v>
      </c>
      <c r="D77" s="2">
        <f ca="1">INDEX(Simulations!$A$1:$BK$2501, 77, MATCH("SynMargin", Simulations!$A$1:$BK$1, 0))</f>
        <v>5.215073843089303E-3</v>
      </c>
      <c r="E77" s="2">
        <f ca="1">INDEX(Simulations!$A$1:$BK$2501, 77, MATCH("Yr1Shock", Simulations!$A$1:$BK$1, 0))</f>
        <v>-1.5788611203947388E-2</v>
      </c>
    </row>
    <row r="78" spans="1:5" x14ac:dyDescent="0.3">
      <c r="A78" s="2">
        <f ca="1">INDEX(Simulations!$A$1:$BK$2501, 78, MATCH("PurchaseMultiple", Simulations!$A$1:$BK$1, 0))</f>
        <v>6.2804000609989057</v>
      </c>
      <c r="B78" s="2">
        <f ca="1">INDEX(Simulations!$A$1:$BK$2501, 78, MATCH("ExitMultiple", Simulations!$A$1:$BK$1, 0))</f>
        <v>7.0222623663501</v>
      </c>
      <c r="C78" s="2">
        <f ca="1">INDEX(Simulations!$A$1:$BK$2501, 78, MATCH("RevCAGR", Simulations!$A$1:$BK$1, 0))</f>
        <v>-8.5506922532250368E-4</v>
      </c>
      <c r="D78" s="2">
        <f ca="1">INDEX(Simulations!$A$1:$BK$2501, 78, MATCH("SynMargin", Simulations!$A$1:$BK$1, 0))</f>
        <v>1.2486552870618128E-2</v>
      </c>
      <c r="E78" s="2">
        <f ca="1">INDEX(Simulations!$A$1:$BK$2501, 78, MATCH("Yr1Shock", Simulations!$A$1:$BK$1, 0))</f>
        <v>5.5938178604463254E-3</v>
      </c>
    </row>
    <row r="79" spans="1:5" x14ac:dyDescent="0.3">
      <c r="A79" s="2">
        <f ca="1">INDEX(Simulations!$A$1:$BK$2501, 79, MATCH("PurchaseMultiple", Simulations!$A$1:$BK$1, 0))</f>
        <v>7.4950027724294781</v>
      </c>
      <c r="B79" s="2">
        <f ca="1">INDEX(Simulations!$A$1:$BK$2501, 79, MATCH("ExitMultiple", Simulations!$A$1:$BK$1, 0))</f>
        <v>7.0279536201158201</v>
      </c>
      <c r="C79" s="2">
        <f ca="1">INDEX(Simulations!$A$1:$BK$2501, 79, MATCH("RevCAGR", Simulations!$A$1:$BK$1, 0))</f>
        <v>4.3616144656765304E-2</v>
      </c>
      <c r="D79" s="2">
        <f ca="1">INDEX(Simulations!$A$1:$BK$2501, 79, MATCH("SynMargin", Simulations!$A$1:$BK$1, 0))</f>
        <v>2.8194183130391803E-3</v>
      </c>
      <c r="E79" s="2">
        <f ca="1">INDEX(Simulations!$A$1:$BK$2501, 79, MATCH("Yr1Shock", Simulations!$A$1:$BK$1, 0))</f>
        <v>-1.066398196248333E-2</v>
      </c>
    </row>
    <row r="80" spans="1:5" x14ac:dyDescent="0.3">
      <c r="A80" s="2">
        <f ca="1">INDEX(Simulations!$A$1:$BK$2501, 80, MATCH("PurchaseMultiple", Simulations!$A$1:$BK$1, 0))</f>
        <v>6.7085243786324522</v>
      </c>
      <c r="B80" s="2">
        <f ca="1">INDEX(Simulations!$A$1:$BK$2501, 80, MATCH("ExitMultiple", Simulations!$A$1:$BK$1, 0))</f>
        <v>7.7339558085127074</v>
      </c>
      <c r="C80" s="2">
        <f ca="1">INDEX(Simulations!$A$1:$BK$2501, 80, MATCH("RevCAGR", Simulations!$A$1:$BK$1, 0))</f>
        <v>5.3077049295546151E-2</v>
      </c>
      <c r="D80" s="2">
        <f ca="1">INDEX(Simulations!$A$1:$BK$2501, 80, MATCH("SynMargin", Simulations!$A$1:$BK$1, 0))</f>
        <v>1.2786073821174087E-2</v>
      </c>
      <c r="E80" s="2">
        <f ca="1">INDEX(Simulations!$A$1:$BK$2501, 80, MATCH("Yr1Shock", Simulations!$A$1:$BK$1, 0))</f>
        <v>-2.6973415603612275E-2</v>
      </c>
    </row>
    <row r="81" spans="1:5" x14ac:dyDescent="0.3">
      <c r="A81" s="2">
        <f ca="1">INDEX(Simulations!$A$1:$BK$2501, 81, MATCH("PurchaseMultiple", Simulations!$A$1:$BK$1, 0))</f>
        <v>6.7527554550756657</v>
      </c>
      <c r="B81" s="2">
        <f ca="1">INDEX(Simulations!$A$1:$BK$2501, 81, MATCH("ExitMultiple", Simulations!$A$1:$BK$1, 0))</f>
        <v>7.0503718554539807</v>
      </c>
      <c r="C81" s="2">
        <f ca="1">INDEX(Simulations!$A$1:$BK$2501, 81, MATCH("RevCAGR", Simulations!$A$1:$BK$1, 0))</f>
        <v>2.9381855404990623E-2</v>
      </c>
      <c r="D81" s="2">
        <f ca="1">INDEX(Simulations!$A$1:$BK$2501, 81, MATCH("SynMargin", Simulations!$A$1:$BK$1, 0))</f>
        <v>4.1416964227114139E-3</v>
      </c>
      <c r="E81" s="2">
        <f ca="1">INDEX(Simulations!$A$1:$BK$2501, 81, MATCH("Yr1Shock", Simulations!$A$1:$BK$1, 0))</f>
        <v>0.05</v>
      </c>
    </row>
    <row r="82" spans="1:5" x14ac:dyDescent="0.3">
      <c r="A82" s="2">
        <f ca="1">INDEX(Simulations!$A$1:$BK$2501, 82, MATCH("PurchaseMultiple", Simulations!$A$1:$BK$1, 0))</f>
        <v>7.4296980473326979</v>
      </c>
      <c r="B82" s="2">
        <f ca="1">INDEX(Simulations!$A$1:$BK$2501, 82, MATCH("ExitMultiple", Simulations!$A$1:$BK$1, 0))</f>
        <v>7.1650411443744275</v>
      </c>
      <c r="C82" s="2">
        <f ca="1">INDEX(Simulations!$A$1:$BK$2501, 82, MATCH("RevCAGR", Simulations!$A$1:$BK$1, 0))</f>
        <v>8.4897378014889655E-2</v>
      </c>
      <c r="D82" s="2">
        <f ca="1">INDEX(Simulations!$A$1:$BK$2501, 82, MATCH("SynMargin", Simulations!$A$1:$BK$1, 0))</f>
        <v>5.0010577530460064E-3</v>
      </c>
      <c r="E82" s="2">
        <f ca="1">INDEX(Simulations!$A$1:$BK$2501, 82, MATCH("Yr1Shock", Simulations!$A$1:$BK$1, 0))</f>
        <v>7.3759410905572869E-3</v>
      </c>
    </row>
    <row r="83" spans="1:5" x14ac:dyDescent="0.3">
      <c r="A83" s="2">
        <f ca="1">INDEX(Simulations!$A$1:$BK$2501, 83, MATCH("PurchaseMultiple", Simulations!$A$1:$BK$1, 0))</f>
        <v>6.9456988204339023</v>
      </c>
      <c r="B83" s="2">
        <f ca="1">INDEX(Simulations!$A$1:$BK$2501, 83, MATCH("ExitMultiple", Simulations!$A$1:$BK$1, 0))</f>
        <v>7.1793616459859955</v>
      </c>
      <c r="C83" s="2">
        <f ca="1">INDEX(Simulations!$A$1:$BK$2501, 83, MATCH("RevCAGR", Simulations!$A$1:$BK$1, 0))</f>
        <v>4.6304568390425987E-2</v>
      </c>
      <c r="D83" s="2">
        <f ca="1">INDEX(Simulations!$A$1:$BK$2501, 83, MATCH("SynMargin", Simulations!$A$1:$BK$1, 0))</f>
        <v>7.1066812281442848E-3</v>
      </c>
      <c r="E83" s="2">
        <f ca="1">INDEX(Simulations!$A$1:$BK$2501, 83, MATCH("Yr1Shock", Simulations!$A$1:$BK$1, 0))</f>
        <v>4.5550835342202892E-3</v>
      </c>
    </row>
    <row r="84" spans="1:5" x14ac:dyDescent="0.3">
      <c r="A84" s="2">
        <f ca="1">INDEX(Simulations!$A$1:$BK$2501, 84, MATCH("PurchaseMultiple", Simulations!$A$1:$BK$1, 0))</f>
        <v>6.8421227723270182</v>
      </c>
      <c r="B84" s="2">
        <f ca="1">INDEX(Simulations!$A$1:$BK$2501, 84, MATCH("ExitMultiple", Simulations!$A$1:$BK$1, 0))</f>
        <v>7.4827901954059</v>
      </c>
      <c r="C84" s="2">
        <f ca="1">INDEX(Simulations!$A$1:$BK$2501, 84, MATCH("RevCAGR", Simulations!$A$1:$BK$1, 0))</f>
        <v>6.5110358747491173E-2</v>
      </c>
      <c r="D84" s="2">
        <f ca="1">INDEX(Simulations!$A$1:$BK$2501, 84, MATCH("SynMargin", Simulations!$A$1:$BK$1, 0))</f>
        <v>1.7055308009315446E-2</v>
      </c>
      <c r="E84" s="2">
        <f ca="1">INDEX(Simulations!$A$1:$BK$2501, 84, MATCH("Yr1Shock", Simulations!$A$1:$BK$1, 0))</f>
        <v>9.462257515871665E-4</v>
      </c>
    </row>
    <row r="85" spans="1:5" x14ac:dyDescent="0.3">
      <c r="A85" s="2">
        <f ca="1">INDEX(Simulations!$A$1:$BK$2501, 85, MATCH("PurchaseMultiple", Simulations!$A$1:$BK$1, 0))</f>
        <v>7.6306368453696489</v>
      </c>
      <c r="B85" s="2">
        <f ca="1">INDEX(Simulations!$A$1:$BK$2501, 85, MATCH("ExitMultiple", Simulations!$A$1:$BK$1, 0))</f>
        <v>7.1864141668479773</v>
      </c>
      <c r="C85" s="2">
        <f ca="1">INDEX(Simulations!$A$1:$BK$2501, 85, MATCH("RevCAGR", Simulations!$A$1:$BK$1, 0))</f>
        <v>-1.8878882682594217E-2</v>
      </c>
      <c r="D85" s="2">
        <f ca="1">INDEX(Simulations!$A$1:$BK$2501, 85, MATCH("SynMargin", Simulations!$A$1:$BK$1, 0))</f>
        <v>3.5975069647132644E-3</v>
      </c>
      <c r="E85" s="2">
        <f ca="1">INDEX(Simulations!$A$1:$BK$2501, 85, MATCH("Yr1Shock", Simulations!$A$1:$BK$1, 0))</f>
        <v>1.2612398764694928E-2</v>
      </c>
    </row>
    <row r="86" spans="1:5" x14ac:dyDescent="0.3">
      <c r="A86" s="2">
        <f ca="1">INDEX(Simulations!$A$1:$BK$2501, 86, MATCH("PurchaseMultiple", Simulations!$A$1:$BK$1, 0))</f>
        <v>7.4372549954806217</v>
      </c>
      <c r="B86" s="2">
        <f ca="1">INDEX(Simulations!$A$1:$BK$2501, 86, MATCH("ExitMultiple", Simulations!$A$1:$BK$1, 0))</f>
        <v>8.0446743038833617</v>
      </c>
      <c r="C86" s="2">
        <f ca="1">INDEX(Simulations!$A$1:$BK$2501, 86, MATCH("RevCAGR", Simulations!$A$1:$BK$1, 0))</f>
        <v>3.6892413403505055E-2</v>
      </c>
      <c r="D86" s="2">
        <f ca="1">INDEX(Simulations!$A$1:$BK$2501, 86, MATCH("SynMargin", Simulations!$A$1:$BK$1, 0))</f>
        <v>4.0690758145355208E-3</v>
      </c>
      <c r="E86" s="2">
        <f ca="1">INDEX(Simulations!$A$1:$BK$2501, 86, MATCH("Yr1Shock", Simulations!$A$1:$BK$1, 0))</f>
        <v>3.210593595361684E-2</v>
      </c>
    </row>
    <row r="87" spans="1:5" x14ac:dyDescent="0.3">
      <c r="A87" s="2">
        <f ca="1">INDEX(Simulations!$A$1:$BK$2501, 87, MATCH("PurchaseMultiple", Simulations!$A$1:$BK$1, 0))</f>
        <v>7.6174882118227139</v>
      </c>
      <c r="B87" s="2">
        <f ca="1">INDEX(Simulations!$A$1:$BK$2501, 87, MATCH("ExitMultiple", Simulations!$A$1:$BK$1, 0))</f>
        <v>7.9013940498651936</v>
      </c>
      <c r="C87" s="2">
        <f ca="1">INDEX(Simulations!$A$1:$BK$2501, 87, MATCH("RevCAGR", Simulations!$A$1:$BK$1, 0))</f>
        <v>2.6839169392421536E-2</v>
      </c>
      <c r="D87" s="2">
        <f ca="1">INDEX(Simulations!$A$1:$BK$2501, 87, MATCH("SynMargin", Simulations!$A$1:$BK$1, 0))</f>
        <v>1.4280812669857697E-2</v>
      </c>
      <c r="E87" s="2">
        <f ca="1">INDEX(Simulations!$A$1:$BK$2501, 87, MATCH("Yr1Shock", Simulations!$A$1:$BK$1, 0))</f>
        <v>2.2513448407163822E-2</v>
      </c>
    </row>
    <row r="88" spans="1:5" x14ac:dyDescent="0.3">
      <c r="A88" s="2">
        <f ca="1">INDEX(Simulations!$A$1:$BK$2501, 88, MATCH("PurchaseMultiple", Simulations!$A$1:$BK$1, 0))</f>
        <v>6.5452563383219617</v>
      </c>
      <c r="B88" s="2">
        <f ca="1">INDEX(Simulations!$A$1:$BK$2501, 88, MATCH("ExitMultiple", Simulations!$A$1:$BK$1, 0))</f>
        <v>7.3199660733494598</v>
      </c>
      <c r="C88" s="2">
        <f ca="1">INDEX(Simulations!$A$1:$BK$2501, 88, MATCH("RevCAGR", Simulations!$A$1:$BK$1, 0))</f>
        <v>9.6451926829377921E-2</v>
      </c>
      <c r="D88" s="2">
        <f ca="1">INDEX(Simulations!$A$1:$BK$2501, 88, MATCH("SynMargin", Simulations!$A$1:$BK$1, 0))</f>
        <v>1.3021066609897739E-2</v>
      </c>
      <c r="E88" s="2">
        <f ca="1">INDEX(Simulations!$A$1:$BK$2501, 88, MATCH("Yr1Shock", Simulations!$A$1:$BK$1, 0))</f>
        <v>-1.5273876717222723E-2</v>
      </c>
    </row>
    <row r="89" spans="1:5" x14ac:dyDescent="0.3">
      <c r="A89" s="2">
        <f ca="1">INDEX(Simulations!$A$1:$BK$2501, 89, MATCH("PurchaseMultiple", Simulations!$A$1:$BK$1, 0))</f>
        <v>7.503817158606271</v>
      </c>
      <c r="B89" s="2">
        <f ca="1">INDEX(Simulations!$A$1:$BK$2501, 89, MATCH("ExitMultiple", Simulations!$A$1:$BK$1, 0))</f>
        <v>6.9652750704537212</v>
      </c>
      <c r="C89" s="2">
        <f ca="1">INDEX(Simulations!$A$1:$BK$2501, 89, MATCH("RevCAGR", Simulations!$A$1:$BK$1, 0))</f>
        <v>2.4757246040616993E-2</v>
      </c>
      <c r="D89" s="2">
        <f ca="1">INDEX(Simulations!$A$1:$BK$2501, 89, MATCH("SynMargin", Simulations!$A$1:$BK$1, 0))</f>
        <v>7.8733822575247549E-3</v>
      </c>
      <c r="E89" s="2">
        <f ca="1">INDEX(Simulations!$A$1:$BK$2501, 89, MATCH("Yr1Shock", Simulations!$A$1:$BK$1, 0))</f>
        <v>-9.8516119939357528E-3</v>
      </c>
    </row>
    <row r="90" spans="1:5" x14ac:dyDescent="0.3">
      <c r="A90" s="2">
        <f ca="1">INDEX(Simulations!$A$1:$BK$2501, 90, MATCH("PurchaseMultiple", Simulations!$A$1:$BK$1, 0))</f>
        <v>7.3513705472213324</v>
      </c>
      <c r="B90" s="2">
        <f ca="1">INDEX(Simulations!$A$1:$BK$2501, 90, MATCH("ExitMultiple", Simulations!$A$1:$BK$1, 0))</f>
        <v>7.1847881264338342</v>
      </c>
      <c r="C90" s="2">
        <f ca="1">INDEX(Simulations!$A$1:$BK$2501, 90, MATCH("RevCAGR", Simulations!$A$1:$BK$1, 0))</f>
        <v>-1.2237940745685655E-2</v>
      </c>
      <c r="D90" s="2">
        <f ca="1">INDEX(Simulations!$A$1:$BK$2501, 90, MATCH("SynMargin", Simulations!$A$1:$BK$1, 0))</f>
        <v>1.3533253561949872E-2</v>
      </c>
      <c r="E90" s="2">
        <f ca="1">INDEX(Simulations!$A$1:$BK$2501, 90, MATCH("Yr1Shock", Simulations!$A$1:$BK$1, 0))</f>
        <v>-2.7109971484631972E-3</v>
      </c>
    </row>
    <row r="91" spans="1:5" x14ac:dyDescent="0.3">
      <c r="A91" s="2">
        <f ca="1">INDEX(Simulations!$A$1:$BK$2501, 91, MATCH("PurchaseMultiple", Simulations!$A$1:$BK$1, 0))</f>
        <v>7.001998336339442</v>
      </c>
      <c r="B91" s="2">
        <f ca="1">INDEX(Simulations!$A$1:$BK$2501, 91, MATCH("ExitMultiple", Simulations!$A$1:$BK$1, 0))</f>
        <v>7.6483846163742548</v>
      </c>
      <c r="C91" s="2">
        <f ca="1">INDEX(Simulations!$A$1:$BK$2501, 91, MATCH("RevCAGR", Simulations!$A$1:$BK$1, 0))</f>
        <v>2.6148428390685589E-2</v>
      </c>
      <c r="D91" s="2">
        <f ca="1">INDEX(Simulations!$A$1:$BK$2501, 91, MATCH("SynMargin", Simulations!$A$1:$BK$1, 0))</f>
        <v>6.4250184356298926E-3</v>
      </c>
      <c r="E91" s="2">
        <f ca="1">INDEX(Simulations!$A$1:$BK$2501, 91, MATCH("Yr1Shock", Simulations!$A$1:$BK$1, 0))</f>
        <v>-8.4072241541475069E-3</v>
      </c>
    </row>
    <row r="92" spans="1:5" x14ac:dyDescent="0.3">
      <c r="A92" s="2">
        <f ca="1">INDEX(Simulations!$A$1:$BK$2501, 92, MATCH("PurchaseMultiple", Simulations!$A$1:$BK$1, 0))</f>
        <v>6.9263381153582149</v>
      </c>
      <c r="B92" s="2">
        <f ca="1">INDEX(Simulations!$A$1:$BK$2501, 92, MATCH("ExitMultiple", Simulations!$A$1:$BK$1, 0))</f>
        <v>7.1610328297052437</v>
      </c>
      <c r="C92" s="2">
        <f ca="1">INDEX(Simulations!$A$1:$BK$2501, 92, MATCH("RevCAGR", Simulations!$A$1:$BK$1, 0))</f>
        <v>6.4983714631823883E-2</v>
      </c>
      <c r="D92" s="2">
        <f ca="1">INDEX(Simulations!$A$1:$BK$2501, 92, MATCH("SynMargin", Simulations!$A$1:$BK$1, 0))</f>
        <v>1.2707988612311833E-2</v>
      </c>
      <c r="E92" s="2">
        <f ca="1">INDEX(Simulations!$A$1:$BK$2501, 92, MATCH("Yr1Shock", Simulations!$A$1:$BK$1, 0))</f>
        <v>-2.789544561385052E-2</v>
      </c>
    </row>
    <row r="93" spans="1:5" x14ac:dyDescent="0.3">
      <c r="A93" s="2">
        <f ca="1">INDEX(Simulations!$A$1:$BK$2501, 93, MATCH("PurchaseMultiple", Simulations!$A$1:$BK$1, 0))</f>
        <v>6.7205563547226248</v>
      </c>
      <c r="B93" s="2">
        <f ca="1">INDEX(Simulations!$A$1:$BK$2501, 93, MATCH("ExitMultiple", Simulations!$A$1:$BK$1, 0))</f>
        <v>7.4764287256591162</v>
      </c>
      <c r="C93" s="2">
        <f ca="1">INDEX(Simulations!$A$1:$BK$2501, 93, MATCH("RevCAGR", Simulations!$A$1:$BK$1, 0))</f>
        <v>6.9690836084316171E-2</v>
      </c>
      <c r="D93" s="2">
        <f ca="1">INDEX(Simulations!$A$1:$BK$2501, 93, MATCH("SynMargin", Simulations!$A$1:$BK$1, 0))</f>
        <v>1.0759981824113397E-2</v>
      </c>
      <c r="E93" s="2">
        <f ca="1">INDEX(Simulations!$A$1:$BK$2501, 93, MATCH("Yr1Shock", Simulations!$A$1:$BK$1, 0))</f>
        <v>-4.3034665107591644E-2</v>
      </c>
    </row>
    <row r="94" spans="1:5" x14ac:dyDescent="0.3">
      <c r="A94" s="2">
        <f ca="1">INDEX(Simulations!$A$1:$BK$2501, 94, MATCH("PurchaseMultiple", Simulations!$A$1:$BK$1, 0))</f>
        <v>7.0439925785682949</v>
      </c>
      <c r="B94" s="2">
        <f ca="1">INDEX(Simulations!$A$1:$BK$2501, 94, MATCH("ExitMultiple", Simulations!$A$1:$BK$1, 0))</f>
        <v>7.0459402582207389</v>
      </c>
      <c r="C94" s="2">
        <f ca="1">INDEX(Simulations!$A$1:$BK$2501, 94, MATCH("RevCAGR", Simulations!$A$1:$BK$1, 0))</f>
        <v>2.3934962325737316E-2</v>
      </c>
      <c r="D94" s="2">
        <f ca="1">INDEX(Simulations!$A$1:$BK$2501, 94, MATCH("SynMargin", Simulations!$A$1:$BK$1, 0))</f>
        <v>3.6938562232748627E-3</v>
      </c>
      <c r="E94" s="2">
        <f ca="1">INDEX(Simulations!$A$1:$BK$2501, 94, MATCH("Yr1Shock", Simulations!$A$1:$BK$1, 0))</f>
        <v>-1.632522640313085E-2</v>
      </c>
    </row>
    <row r="95" spans="1:5" x14ac:dyDescent="0.3">
      <c r="A95" s="2">
        <f ca="1">INDEX(Simulations!$A$1:$BK$2501, 95, MATCH("PurchaseMultiple", Simulations!$A$1:$BK$1, 0))</f>
        <v>6.5963525278952559</v>
      </c>
      <c r="B95" s="2">
        <f ca="1">INDEX(Simulations!$A$1:$BK$2501, 95, MATCH("ExitMultiple", Simulations!$A$1:$BK$1, 0))</f>
        <v>7.1864043322255506</v>
      </c>
      <c r="C95" s="2">
        <f ca="1">INDEX(Simulations!$A$1:$BK$2501, 95, MATCH("RevCAGR", Simulations!$A$1:$BK$1, 0))</f>
        <v>2.1046832164365894E-2</v>
      </c>
      <c r="D95" s="2">
        <f ca="1">INDEX(Simulations!$A$1:$BK$2501, 95, MATCH("SynMargin", Simulations!$A$1:$BK$1, 0))</f>
        <v>7.4650180182580152E-3</v>
      </c>
      <c r="E95" s="2">
        <f ca="1">INDEX(Simulations!$A$1:$BK$2501, 95, MATCH("Yr1Shock", Simulations!$A$1:$BK$1, 0))</f>
        <v>-2.6671103072792367E-2</v>
      </c>
    </row>
    <row r="96" spans="1:5" x14ac:dyDescent="0.3">
      <c r="A96" s="2">
        <f ca="1">INDEX(Simulations!$A$1:$BK$2501, 96, MATCH("PurchaseMultiple", Simulations!$A$1:$BK$1, 0))</f>
        <v>6.9984837936565798</v>
      </c>
      <c r="B96" s="2">
        <f ca="1">INDEX(Simulations!$A$1:$BK$2501, 96, MATCH("ExitMultiple", Simulations!$A$1:$BK$1, 0))</f>
        <v>7.9341619286034062</v>
      </c>
      <c r="C96" s="2">
        <f ca="1">INDEX(Simulations!$A$1:$BK$2501, 96, MATCH("RevCAGR", Simulations!$A$1:$BK$1, 0))</f>
        <v>8.1454023319640495E-3</v>
      </c>
      <c r="D96" s="2">
        <f ca="1">INDEX(Simulations!$A$1:$BK$2501, 96, MATCH("SynMargin", Simulations!$A$1:$BK$1, 0))</f>
        <v>9.4397180624272541E-3</v>
      </c>
      <c r="E96" s="2">
        <f ca="1">INDEX(Simulations!$A$1:$BK$2501, 96, MATCH("Yr1Shock", Simulations!$A$1:$BK$1, 0))</f>
        <v>-2.9117596682781025E-2</v>
      </c>
    </row>
    <row r="97" spans="1:5" x14ac:dyDescent="0.3">
      <c r="A97" s="2">
        <f ca="1">INDEX(Simulations!$A$1:$BK$2501, 97, MATCH("PurchaseMultiple", Simulations!$A$1:$BK$1, 0))</f>
        <v>6.7791692473836997</v>
      </c>
      <c r="B97" s="2">
        <f ca="1">INDEX(Simulations!$A$1:$BK$2501, 97, MATCH("ExitMultiple", Simulations!$A$1:$BK$1, 0))</f>
        <v>7.0406895837496162</v>
      </c>
      <c r="C97" s="2">
        <f ca="1">INDEX(Simulations!$A$1:$BK$2501, 97, MATCH("RevCAGR", Simulations!$A$1:$BK$1, 0))</f>
        <v>5.7636091983132E-2</v>
      </c>
      <c r="D97" s="2">
        <f ca="1">INDEX(Simulations!$A$1:$BK$2501, 97, MATCH("SynMargin", Simulations!$A$1:$BK$1, 0))</f>
        <v>5.7961781437625174E-3</v>
      </c>
      <c r="E97" s="2">
        <f ca="1">INDEX(Simulations!$A$1:$BK$2501, 97, MATCH("Yr1Shock", Simulations!$A$1:$BK$1, 0))</f>
        <v>1.5017515545354054E-2</v>
      </c>
    </row>
    <row r="98" spans="1:5" x14ac:dyDescent="0.3">
      <c r="A98" s="2">
        <f ca="1">INDEX(Simulations!$A$1:$BK$2501, 98, MATCH("PurchaseMultiple", Simulations!$A$1:$BK$1, 0))</f>
        <v>7.4386104992537563</v>
      </c>
      <c r="B98" s="2">
        <f ca="1">INDEX(Simulations!$A$1:$BK$2501, 98, MATCH("ExitMultiple", Simulations!$A$1:$BK$1, 0))</f>
        <v>7.3455921322587923</v>
      </c>
      <c r="C98" s="2">
        <f ca="1">INDEX(Simulations!$A$1:$BK$2501, 98, MATCH("RevCAGR", Simulations!$A$1:$BK$1, 0))</f>
        <v>2.1675158767325585E-2</v>
      </c>
      <c r="D98" s="2">
        <f ca="1">INDEX(Simulations!$A$1:$BK$2501, 98, MATCH("SynMargin", Simulations!$A$1:$BK$1, 0))</f>
        <v>8.3992249399828106E-3</v>
      </c>
      <c r="E98" s="2">
        <f ca="1">INDEX(Simulations!$A$1:$BK$2501, 98, MATCH("Yr1Shock", Simulations!$A$1:$BK$1, 0))</f>
        <v>-1.7529866844884043E-2</v>
      </c>
    </row>
    <row r="99" spans="1:5" x14ac:dyDescent="0.3">
      <c r="A99" s="2">
        <f ca="1">INDEX(Simulations!$A$1:$BK$2501, 99, MATCH("PurchaseMultiple", Simulations!$A$1:$BK$1, 0))</f>
        <v>7.1081586872350195</v>
      </c>
      <c r="B99" s="2">
        <f ca="1">INDEX(Simulations!$A$1:$BK$2501, 99, MATCH("ExitMultiple", Simulations!$A$1:$BK$1, 0))</f>
        <v>7.3617038206410426</v>
      </c>
      <c r="C99" s="2">
        <f ca="1">INDEX(Simulations!$A$1:$BK$2501, 99, MATCH("RevCAGR", Simulations!$A$1:$BK$1, 0))</f>
        <v>4.0657149212548392E-2</v>
      </c>
      <c r="D99" s="2">
        <f ca="1">INDEX(Simulations!$A$1:$BK$2501, 99, MATCH("SynMargin", Simulations!$A$1:$BK$1, 0))</f>
        <v>1.1871617291711047E-2</v>
      </c>
      <c r="E99" s="2">
        <f ca="1">INDEX(Simulations!$A$1:$BK$2501, 99, MATCH("Yr1Shock", Simulations!$A$1:$BK$1, 0))</f>
        <v>5.0800874175785347E-3</v>
      </c>
    </row>
    <row r="100" spans="1:5" x14ac:dyDescent="0.3">
      <c r="A100" s="2">
        <f ca="1">INDEX(Simulations!$A$1:$BK$2501, 100, MATCH("PurchaseMultiple", Simulations!$A$1:$BK$1, 0))</f>
        <v>7.4756970178576641</v>
      </c>
      <c r="B100" s="2">
        <f ca="1">INDEX(Simulations!$A$1:$BK$2501, 100, MATCH("ExitMultiple", Simulations!$A$1:$BK$1, 0))</f>
        <v>8.019468616968723</v>
      </c>
      <c r="C100" s="2">
        <f ca="1">INDEX(Simulations!$A$1:$BK$2501, 100, MATCH("RevCAGR", Simulations!$A$1:$BK$1, 0))</f>
        <v>4.7852924961623008E-2</v>
      </c>
      <c r="D100" s="2">
        <f ca="1">INDEX(Simulations!$A$1:$BK$2501, 100, MATCH("SynMargin", Simulations!$A$1:$BK$1, 0))</f>
        <v>1.0576466159292015E-2</v>
      </c>
      <c r="E100" s="2">
        <f ca="1">INDEX(Simulations!$A$1:$BK$2501, 100, MATCH("Yr1Shock", Simulations!$A$1:$BK$1, 0))</f>
        <v>-1.6339161739117446E-2</v>
      </c>
    </row>
    <row r="101" spans="1:5" x14ac:dyDescent="0.3">
      <c r="A101" s="2">
        <f ca="1">INDEX(Simulations!$A$1:$BK$2501, 101, MATCH("PurchaseMultiple", Simulations!$A$1:$BK$1, 0))</f>
        <v>7.5558872308538385</v>
      </c>
      <c r="B101" s="2">
        <f ca="1">INDEX(Simulations!$A$1:$BK$2501, 101, MATCH("ExitMultiple", Simulations!$A$1:$BK$1, 0))</f>
        <v>7.0498575394405787</v>
      </c>
      <c r="C101" s="2">
        <f ca="1">INDEX(Simulations!$A$1:$BK$2501, 101, MATCH("RevCAGR", Simulations!$A$1:$BK$1, 0))</f>
        <v>-1.5401879096058682E-3</v>
      </c>
      <c r="D101" s="2">
        <f ca="1">INDEX(Simulations!$A$1:$BK$2501, 101, MATCH("SynMargin", Simulations!$A$1:$BK$1, 0))</f>
        <v>1.1703183593127265E-2</v>
      </c>
      <c r="E101" s="2">
        <f ca="1">INDEX(Simulations!$A$1:$BK$2501, 101, MATCH("Yr1Shock", Simulations!$A$1:$BK$1, 0))</f>
        <v>-1.3617786094090376E-2</v>
      </c>
    </row>
    <row r="102" spans="1:5" x14ac:dyDescent="0.3">
      <c r="A102" s="2">
        <f ca="1">INDEX(Simulations!$A$1:$BK$2501, 102, MATCH("PurchaseMultiple", Simulations!$A$1:$BK$1, 0))</f>
        <v>6.4266184569080105</v>
      </c>
      <c r="B102" s="2">
        <f ca="1">INDEX(Simulations!$A$1:$BK$2501, 102, MATCH("ExitMultiple", Simulations!$A$1:$BK$1, 0))</f>
        <v>7.6167233560756715</v>
      </c>
      <c r="C102" s="2">
        <f ca="1">INDEX(Simulations!$A$1:$BK$2501, 102, MATCH("RevCAGR", Simulations!$A$1:$BK$1, 0))</f>
        <v>2.644586465851818E-2</v>
      </c>
      <c r="D102" s="2">
        <f ca="1">INDEX(Simulations!$A$1:$BK$2501, 102, MATCH("SynMargin", Simulations!$A$1:$BK$1, 0))</f>
        <v>8.8390326507581749E-3</v>
      </c>
      <c r="E102" s="2">
        <f ca="1">INDEX(Simulations!$A$1:$BK$2501, 102, MATCH("Yr1Shock", Simulations!$A$1:$BK$1, 0))</f>
        <v>-2.1694894465439991E-2</v>
      </c>
    </row>
    <row r="103" spans="1:5" x14ac:dyDescent="0.3">
      <c r="A103" s="2">
        <f ca="1">INDEX(Simulations!$A$1:$BK$2501, 103, MATCH("PurchaseMultiple", Simulations!$A$1:$BK$1, 0))</f>
        <v>7.0075882805504328</v>
      </c>
      <c r="B103" s="2">
        <f ca="1">INDEX(Simulations!$A$1:$BK$2501, 103, MATCH("ExitMultiple", Simulations!$A$1:$BK$1, 0))</f>
        <v>7.9948096553112666</v>
      </c>
      <c r="C103" s="2">
        <f ca="1">INDEX(Simulations!$A$1:$BK$2501, 103, MATCH("RevCAGR", Simulations!$A$1:$BK$1, 0))</f>
        <v>1.6155069252770479E-2</v>
      </c>
      <c r="D103" s="2">
        <f ca="1">INDEX(Simulations!$A$1:$BK$2501, 103, MATCH("SynMargin", Simulations!$A$1:$BK$1, 0))</f>
        <v>4.814402027668108E-3</v>
      </c>
      <c r="E103" s="2">
        <f ca="1">INDEX(Simulations!$A$1:$BK$2501, 103, MATCH("Yr1Shock", Simulations!$A$1:$BK$1, 0))</f>
        <v>-7.6515553678032037E-3</v>
      </c>
    </row>
    <row r="104" spans="1:5" x14ac:dyDescent="0.3">
      <c r="A104" s="2">
        <f ca="1">INDEX(Simulations!$A$1:$BK$2501, 104, MATCH("PurchaseMultiple", Simulations!$A$1:$BK$1, 0))</f>
        <v>6.315980752794486</v>
      </c>
      <c r="B104" s="2">
        <f ca="1">INDEX(Simulations!$A$1:$BK$2501, 104, MATCH("ExitMultiple", Simulations!$A$1:$BK$1, 0))</f>
        <v>7.3241790460475631</v>
      </c>
      <c r="C104" s="2">
        <f ca="1">INDEX(Simulations!$A$1:$BK$2501, 104, MATCH("RevCAGR", Simulations!$A$1:$BK$1, 0))</f>
        <v>3.0879467237868573E-2</v>
      </c>
      <c r="D104" s="2">
        <f ca="1">INDEX(Simulations!$A$1:$BK$2501, 104, MATCH("SynMargin", Simulations!$A$1:$BK$1, 0))</f>
        <v>1.3538134269526336E-2</v>
      </c>
      <c r="E104" s="2">
        <f ca="1">INDEX(Simulations!$A$1:$BK$2501, 104, MATCH("Yr1Shock", Simulations!$A$1:$BK$1, 0))</f>
        <v>1.0257224357286042E-2</v>
      </c>
    </row>
    <row r="105" spans="1:5" x14ac:dyDescent="0.3">
      <c r="A105" s="2">
        <f ca="1">INDEX(Simulations!$A$1:$BK$2501, 105, MATCH("PurchaseMultiple", Simulations!$A$1:$BK$1, 0))</f>
        <v>7.1964609053309321</v>
      </c>
      <c r="B105" s="2">
        <f ca="1">INDEX(Simulations!$A$1:$BK$2501, 105, MATCH("ExitMultiple", Simulations!$A$1:$BK$1, 0))</f>
        <v>7.4500637571084027</v>
      </c>
      <c r="C105" s="2">
        <f ca="1">INDEX(Simulations!$A$1:$BK$2501, 105, MATCH("RevCAGR", Simulations!$A$1:$BK$1, 0))</f>
        <v>2.1834433435607332E-2</v>
      </c>
      <c r="D105" s="2">
        <f ca="1">INDEX(Simulations!$A$1:$BK$2501, 105, MATCH("SynMargin", Simulations!$A$1:$BK$1, 0))</f>
        <v>1.1379754646993274E-2</v>
      </c>
      <c r="E105" s="2">
        <f ca="1">INDEX(Simulations!$A$1:$BK$2501, 105, MATCH("Yr1Shock", Simulations!$A$1:$BK$1, 0))</f>
        <v>-1.4044521947299864E-2</v>
      </c>
    </row>
    <row r="106" spans="1:5" x14ac:dyDescent="0.3">
      <c r="A106" s="2">
        <f ca="1">INDEX(Simulations!$A$1:$BK$2501, 106, MATCH("PurchaseMultiple", Simulations!$A$1:$BK$1, 0))</f>
        <v>7.2266463891147401</v>
      </c>
      <c r="B106" s="2">
        <f ca="1">INDEX(Simulations!$A$1:$BK$2501, 106, MATCH("ExitMultiple", Simulations!$A$1:$BK$1, 0))</f>
        <v>7.4646660143351742</v>
      </c>
      <c r="C106" s="2">
        <f ca="1">INDEX(Simulations!$A$1:$BK$2501, 106, MATCH("RevCAGR", Simulations!$A$1:$BK$1, 0))</f>
        <v>5.7732060086222822E-2</v>
      </c>
      <c r="D106" s="2">
        <f ca="1">INDEX(Simulations!$A$1:$BK$2501, 106, MATCH("SynMargin", Simulations!$A$1:$BK$1, 0))</f>
        <v>8.8251486214350802E-3</v>
      </c>
      <c r="E106" s="2">
        <f ca="1">INDEX(Simulations!$A$1:$BK$2501, 106, MATCH("Yr1Shock", Simulations!$A$1:$BK$1, 0))</f>
        <v>-2.2608223887485374E-2</v>
      </c>
    </row>
    <row r="107" spans="1:5" x14ac:dyDescent="0.3">
      <c r="A107" s="2">
        <f ca="1">INDEX(Simulations!$A$1:$BK$2501, 107, MATCH("PurchaseMultiple", Simulations!$A$1:$BK$1, 0))</f>
        <v>7.1945155783916288</v>
      </c>
      <c r="B107" s="2">
        <f ca="1">INDEX(Simulations!$A$1:$BK$2501, 107, MATCH("ExitMultiple", Simulations!$A$1:$BK$1, 0))</f>
        <v>7.5540888170520644</v>
      </c>
      <c r="C107" s="2">
        <f ca="1">INDEX(Simulations!$A$1:$BK$2501, 107, MATCH("RevCAGR", Simulations!$A$1:$BK$1, 0))</f>
        <v>6.1288908645060453E-2</v>
      </c>
      <c r="D107" s="2">
        <f ca="1">INDEX(Simulations!$A$1:$BK$2501, 107, MATCH("SynMargin", Simulations!$A$1:$BK$1, 0))</f>
        <v>8.8687431689182562E-3</v>
      </c>
      <c r="E107" s="2">
        <f ca="1">INDEX(Simulations!$A$1:$BK$2501, 107, MATCH("Yr1Shock", Simulations!$A$1:$BK$1, 0))</f>
        <v>4.628178714427872E-3</v>
      </c>
    </row>
    <row r="108" spans="1:5" x14ac:dyDescent="0.3">
      <c r="A108" s="2">
        <f ca="1">INDEX(Simulations!$A$1:$BK$2501, 108, MATCH("PurchaseMultiple", Simulations!$A$1:$BK$1, 0))</f>
        <v>7.0292872205008727</v>
      </c>
      <c r="B108" s="2">
        <f ca="1">INDEX(Simulations!$A$1:$BK$2501, 108, MATCH("ExitMultiple", Simulations!$A$1:$BK$1, 0))</f>
        <v>8.3312241391898194</v>
      </c>
      <c r="C108" s="2">
        <f ca="1">INDEX(Simulations!$A$1:$BK$2501, 108, MATCH("RevCAGR", Simulations!$A$1:$BK$1, 0))</f>
        <v>4.6678588125546559E-2</v>
      </c>
      <c r="D108" s="2">
        <f ca="1">INDEX(Simulations!$A$1:$BK$2501, 108, MATCH("SynMargin", Simulations!$A$1:$BK$1, 0))</f>
        <v>1.572057335576087E-2</v>
      </c>
      <c r="E108" s="2">
        <f ca="1">INDEX(Simulations!$A$1:$BK$2501, 108, MATCH("Yr1Shock", Simulations!$A$1:$BK$1, 0))</f>
        <v>-3.0617307600387049E-2</v>
      </c>
    </row>
    <row r="109" spans="1:5" x14ac:dyDescent="0.3">
      <c r="A109" s="2">
        <f ca="1">INDEX(Simulations!$A$1:$BK$2501, 109, MATCH("PurchaseMultiple", Simulations!$A$1:$BK$1, 0))</f>
        <v>6.4442317898788968</v>
      </c>
      <c r="B109" s="2">
        <f ca="1">INDEX(Simulations!$A$1:$BK$2501, 109, MATCH("ExitMultiple", Simulations!$A$1:$BK$1, 0))</f>
        <v>6.9612125704509724</v>
      </c>
      <c r="C109" s="2">
        <f ca="1">INDEX(Simulations!$A$1:$BK$2501, 109, MATCH("RevCAGR", Simulations!$A$1:$BK$1, 0))</f>
        <v>9.6369013356814061E-3</v>
      </c>
      <c r="D109" s="2">
        <f ca="1">INDEX(Simulations!$A$1:$BK$2501, 109, MATCH("SynMargin", Simulations!$A$1:$BK$1, 0))</f>
        <v>2.1800836018028815E-2</v>
      </c>
      <c r="E109" s="2">
        <f ca="1">INDEX(Simulations!$A$1:$BK$2501, 109, MATCH("Yr1Shock", Simulations!$A$1:$BK$1, 0))</f>
        <v>6.4701876954593339E-3</v>
      </c>
    </row>
    <row r="110" spans="1:5" x14ac:dyDescent="0.3">
      <c r="A110" s="2">
        <f ca="1">INDEX(Simulations!$A$1:$BK$2501, 110, MATCH("PurchaseMultiple", Simulations!$A$1:$BK$1, 0))</f>
        <v>7.1151177225509521</v>
      </c>
      <c r="B110" s="2">
        <f ca="1">INDEX(Simulations!$A$1:$BK$2501, 110, MATCH("ExitMultiple", Simulations!$A$1:$BK$1, 0))</f>
        <v>7.4859577768826604</v>
      </c>
      <c r="C110" s="2">
        <f ca="1">INDEX(Simulations!$A$1:$BK$2501, 110, MATCH("RevCAGR", Simulations!$A$1:$BK$1, 0))</f>
        <v>5.1594569420942829E-2</v>
      </c>
      <c r="D110" s="2">
        <f ca="1">INDEX(Simulations!$A$1:$BK$2501, 110, MATCH("SynMargin", Simulations!$A$1:$BK$1, 0))</f>
        <v>1.0705433059079355E-2</v>
      </c>
      <c r="E110" s="2">
        <f ca="1">INDEX(Simulations!$A$1:$BK$2501, 110, MATCH("Yr1Shock", Simulations!$A$1:$BK$1, 0))</f>
        <v>-1.0225807289633274E-2</v>
      </c>
    </row>
    <row r="111" spans="1:5" x14ac:dyDescent="0.3">
      <c r="A111" s="2">
        <f ca="1">INDEX(Simulations!$A$1:$BK$2501, 111, MATCH("PurchaseMultiple", Simulations!$A$1:$BK$1, 0))</f>
        <v>6.4133055216136219</v>
      </c>
      <c r="B111" s="2">
        <f ca="1">INDEX(Simulations!$A$1:$BK$2501, 111, MATCH("ExitMultiple", Simulations!$A$1:$BK$1, 0))</f>
        <v>6.8610874269133468</v>
      </c>
      <c r="C111" s="2">
        <f ca="1">INDEX(Simulations!$A$1:$BK$2501, 111, MATCH("RevCAGR", Simulations!$A$1:$BK$1, 0))</f>
        <v>7.0856452803575151E-2</v>
      </c>
      <c r="D111" s="2">
        <f ca="1">INDEX(Simulations!$A$1:$BK$2501, 111, MATCH("SynMargin", Simulations!$A$1:$BK$1, 0))</f>
        <v>8.1580036881666613E-3</v>
      </c>
      <c r="E111" s="2">
        <f ca="1">INDEX(Simulations!$A$1:$BK$2501, 111, MATCH("Yr1Shock", Simulations!$A$1:$BK$1, 0))</f>
        <v>-5.0922916397910171E-4</v>
      </c>
    </row>
    <row r="112" spans="1:5" x14ac:dyDescent="0.3">
      <c r="A112" s="2">
        <f ca="1">INDEX(Simulations!$A$1:$BK$2501, 112, MATCH("PurchaseMultiple", Simulations!$A$1:$BK$1, 0))</f>
        <v>6.8070153507978191</v>
      </c>
      <c r="B112" s="2">
        <f ca="1">INDEX(Simulations!$A$1:$BK$2501, 112, MATCH("ExitMultiple", Simulations!$A$1:$BK$1, 0))</f>
        <v>7.4104383856603162</v>
      </c>
      <c r="C112" s="2">
        <f ca="1">INDEX(Simulations!$A$1:$BK$2501, 112, MATCH("RevCAGR", Simulations!$A$1:$BK$1, 0))</f>
        <v>4.3071402202354468E-2</v>
      </c>
      <c r="D112" s="2">
        <f ca="1">INDEX(Simulations!$A$1:$BK$2501, 112, MATCH("SynMargin", Simulations!$A$1:$BK$1, 0))</f>
        <v>2.8921751305711627E-3</v>
      </c>
      <c r="E112" s="2">
        <f ca="1">INDEX(Simulations!$A$1:$BK$2501, 112, MATCH("Yr1Shock", Simulations!$A$1:$BK$1, 0))</f>
        <v>1.1010852490007441E-2</v>
      </c>
    </row>
    <row r="113" spans="1:5" x14ac:dyDescent="0.3">
      <c r="A113" s="2">
        <f ca="1">INDEX(Simulations!$A$1:$BK$2501, 113, MATCH("PurchaseMultiple", Simulations!$A$1:$BK$1, 0))</f>
        <v>7.0996482384979904</v>
      </c>
      <c r="B113" s="2">
        <f ca="1">INDEX(Simulations!$A$1:$BK$2501, 113, MATCH("ExitMultiple", Simulations!$A$1:$BK$1, 0))</f>
        <v>7.1965098603513189</v>
      </c>
      <c r="C113" s="2">
        <f ca="1">INDEX(Simulations!$A$1:$BK$2501, 113, MATCH("RevCAGR", Simulations!$A$1:$BK$1, 0))</f>
        <v>0.10241968703484999</v>
      </c>
      <c r="D113" s="2">
        <f ca="1">INDEX(Simulations!$A$1:$BK$2501, 113, MATCH("SynMargin", Simulations!$A$1:$BK$1, 0))</f>
        <v>1.7414504302667756E-2</v>
      </c>
      <c r="E113" s="2">
        <f ca="1">INDEX(Simulations!$A$1:$BK$2501, 113, MATCH("Yr1Shock", Simulations!$A$1:$BK$1, 0))</f>
        <v>-4.8420728208148502E-2</v>
      </c>
    </row>
    <row r="114" spans="1:5" x14ac:dyDescent="0.3">
      <c r="A114" s="2">
        <f ca="1">INDEX(Simulations!$A$1:$BK$2501, 114, MATCH("PurchaseMultiple", Simulations!$A$1:$BK$1, 0))</f>
        <v>7.6538339947734615</v>
      </c>
      <c r="B114" s="2">
        <f ca="1">INDEX(Simulations!$A$1:$BK$2501, 114, MATCH("ExitMultiple", Simulations!$A$1:$BK$1, 0))</f>
        <v>8.1146073114437787</v>
      </c>
      <c r="C114" s="2">
        <f ca="1">INDEX(Simulations!$A$1:$BK$2501, 114, MATCH("RevCAGR", Simulations!$A$1:$BK$1, 0))</f>
        <v>6.5529126760214232E-2</v>
      </c>
      <c r="D114" s="2">
        <f ca="1">INDEX(Simulations!$A$1:$BK$2501, 114, MATCH("SynMargin", Simulations!$A$1:$BK$1, 0))</f>
        <v>1.4503747184802308E-2</v>
      </c>
      <c r="E114" s="2">
        <f ca="1">INDEX(Simulations!$A$1:$BK$2501, 114, MATCH("Yr1Shock", Simulations!$A$1:$BK$1, 0))</f>
        <v>2.3607435564937194E-2</v>
      </c>
    </row>
    <row r="115" spans="1:5" x14ac:dyDescent="0.3">
      <c r="A115" s="2">
        <f ca="1">INDEX(Simulations!$A$1:$BK$2501, 115, MATCH("PurchaseMultiple", Simulations!$A$1:$BK$1, 0))</f>
        <v>6.6876045787107747</v>
      </c>
      <c r="B115" s="2">
        <f ca="1">INDEX(Simulations!$A$1:$BK$2501, 115, MATCH("ExitMultiple", Simulations!$A$1:$BK$1, 0))</f>
        <v>7.3533823670474661</v>
      </c>
      <c r="C115" s="2">
        <f ca="1">INDEX(Simulations!$A$1:$BK$2501, 115, MATCH("RevCAGR", Simulations!$A$1:$BK$1, 0))</f>
        <v>3.0597998158034101E-2</v>
      </c>
      <c r="D115" s="2">
        <f ca="1">INDEX(Simulations!$A$1:$BK$2501, 115, MATCH("SynMargin", Simulations!$A$1:$BK$1, 0))</f>
        <v>1.3141062306726395E-2</v>
      </c>
      <c r="E115" s="2">
        <f ca="1">INDEX(Simulations!$A$1:$BK$2501, 115, MATCH("Yr1Shock", Simulations!$A$1:$BK$1, 0))</f>
        <v>-1.1460208413675545E-4</v>
      </c>
    </row>
    <row r="116" spans="1:5" x14ac:dyDescent="0.3">
      <c r="A116" s="2">
        <f ca="1">INDEX(Simulations!$A$1:$BK$2501, 116, MATCH("PurchaseMultiple", Simulations!$A$1:$BK$1, 0))</f>
        <v>6.4124937972524156</v>
      </c>
      <c r="B116" s="2">
        <f ca="1">INDEX(Simulations!$A$1:$BK$2501, 116, MATCH("ExitMultiple", Simulations!$A$1:$BK$1, 0))</f>
        <v>7.800343575872569</v>
      </c>
      <c r="C116" s="2">
        <f ca="1">INDEX(Simulations!$A$1:$BK$2501, 116, MATCH("RevCAGR", Simulations!$A$1:$BK$1, 0))</f>
        <v>1.9265091640973852E-2</v>
      </c>
      <c r="D116" s="2">
        <f ca="1">INDEX(Simulations!$A$1:$BK$2501, 116, MATCH("SynMargin", Simulations!$A$1:$BK$1, 0))</f>
        <v>1.0249673529984715E-2</v>
      </c>
      <c r="E116" s="2">
        <f ca="1">INDEX(Simulations!$A$1:$BK$2501, 116, MATCH("Yr1Shock", Simulations!$A$1:$BK$1, 0))</f>
        <v>9.0194073390423377E-3</v>
      </c>
    </row>
    <row r="117" spans="1:5" x14ac:dyDescent="0.3">
      <c r="A117" s="2">
        <f ca="1">INDEX(Simulations!$A$1:$BK$2501, 117, MATCH("PurchaseMultiple", Simulations!$A$1:$BK$1, 0))</f>
        <v>7.3581922009290714</v>
      </c>
      <c r="B117" s="2">
        <f ca="1">INDEX(Simulations!$A$1:$BK$2501, 117, MATCH("ExitMultiple", Simulations!$A$1:$BK$1, 0))</f>
        <v>7.7394494471965647</v>
      </c>
      <c r="C117" s="2">
        <f ca="1">INDEX(Simulations!$A$1:$BK$2501, 117, MATCH("RevCAGR", Simulations!$A$1:$BK$1, 0))</f>
        <v>7.4428776292934443E-3</v>
      </c>
      <c r="D117" s="2">
        <f ca="1">INDEX(Simulations!$A$1:$BK$2501, 117, MATCH("SynMargin", Simulations!$A$1:$BK$1, 0))</f>
        <v>6.0820701993139041E-3</v>
      </c>
      <c r="E117" s="2">
        <f ca="1">INDEX(Simulations!$A$1:$BK$2501, 117, MATCH("Yr1Shock", Simulations!$A$1:$BK$1, 0))</f>
        <v>-3.8089508720022714E-3</v>
      </c>
    </row>
    <row r="118" spans="1:5" x14ac:dyDescent="0.3">
      <c r="A118" s="2">
        <f ca="1">INDEX(Simulations!$A$1:$BK$2501, 118, MATCH("PurchaseMultiple", Simulations!$A$1:$BK$1, 0))</f>
        <v>7.4345286752667192</v>
      </c>
      <c r="B118" s="2">
        <f ca="1">INDEX(Simulations!$A$1:$BK$2501, 118, MATCH("ExitMultiple", Simulations!$A$1:$BK$1, 0))</f>
        <v>7.8958247398481323</v>
      </c>
      <c r="C118" s="2">
        <f ca="1">INDEX(Simulations!$A$1:$BK$2501, 118, MATCH("RevCAGR", Simulations!$A$1:$BK$1, 0))</f>
        <v>2.359684886619081E-2</v>
      </c>
      <c r="D118" s="2">
        <f ca="1">INDEX(Simulations!$A$1:$BK$2501, 118, MATCH("SynMargin", Simulations!$A$1:$BK$1, 0))</f>
        <v>1.8146548421692804E-2</v>
      </c>
      <c r="E118" s="2">
        <f ca="1">INDEX(Simulations!$A$1:$BK$2501, 118, MATCH("Yr1Shock", Simulations!$A$1:$BK$1, 0))</f>
        <v>1.5824612071472948E-3</v>
      </c>
    </row>
    <row r="119" spans="1:5" x14ac:dyDescent="0.3">
      <c r="A119" s="2">
        <f ca="1">INDEX(Simulations!$A$1:$BK$2501, 119, MATCH("PurchaseMultiple", Simulations!$A$1:$BK$1, 0))</f>
        <v>6.8900848050004164</v>
      </c>
      <c r="B119" s="2">
        <f ca="1">INDEX(Simulations!$A$1:$BK$2501, 119, MATCH("ExitMultiple", Simulations!$A$1:$BK$1, 0))</f>
        <v>7.1315469203959569</v>
      </c>
      <c r="C119" s="2">
        <f ca="1">INDEX(Simulations!$A$1:$BK$2501, 119, MATCH("RevCAGR", Simulations!$A$1:$BK$1, 0))</f>
        <v>7.7419298965468064E-2</v>
      </c>
      <c r="D119" s="2">
        <f ca="1">INDEX(Simulations!$A$1:$BK$2501, 119, MATCH("SynMargin", Simulations!$A$1:$BK$1, 0))</f>
        <v>1.5078559530981389E-2</v>
      </c>
      <c r="E119" s="2">
        <f ca="1">INDEX(Simulations!$A$1:$BK$2501, 119, MATCH("Yr1Shock", Simulations!$A$1:$BK$1, 0))</f>
        <v>-1.9148649599298431E-2</v>
      </c>
    </row>
    <row r="120" spans="1:5" x14ac:dyDescent="0.3">
      <c r="A120" s="2">
        <f ca="1">INDEX(Simulations!$A$1:$BK$2501, 120, MATCH("PurchaseMultiple", Simulations!$A$1:$BK$1, 0))</f>
        <v>7.308820574997676</v>
      </c>
      <c r="B120" s="2">
        <f ca="1">INDEX(Simulations!$A$1:$BK$2501, 120, MATCH("ExitMultiple", Simulations!$A$1:$BK$1, 0))</f>
        <v>8.1820071472942502</v>
      </c>
      <c r="C120" s="2">
        <f ca="1">INDEX(Simulations!$A$1:$BK$2501, 120, MATCH("RevCAGR", Simulations!$A$1:$BK$1, 0))</f>
        <v>-1.8569711547814685E-2</v>
      </c>
      <c r="D120" s="2">
        <f ca="1">INDEX(Simulations!$A$1:$BK$2501, 120, MATCH("SynMargin", Simulations!$A$1:$BK$1, 0))</f>
        <v>1.5439570384182012E-2</v>
      </c>
      <c r="E120" s="2">
        <f ca="1">INDEX(Simulations!$A$1:$BK$2501, 120, MATCH("Yr1Shock", Simulations!$A$1:$BK$1, 0))</f>
        <v>1.3052121382250656E-2</v>
      </c>
    </row>
    <row r="121" spans="1:5" x14ac:dyDescent="0.3">
      <c r="A121" s="2">
        <f ca="1">INDEX(Simulations!$A$1:$BK$2501, 121, MATCH("PurchaseMultiple", Simulations!$A$1:$BK$1, 0))</f>
        <v>7.0485984042155092</v>
      </c>
      <c r="B121" s="2">
        <f ca="1">INDEX(Simulations!$A$1:$BK$2501, 121, MATCH("ExitMultiple", Simulations!$A$1:$BK$1, 0))</f>
        <v>7.3510432299976847</v>
      </c>
      <c r="C121" s="2">
        <f ca="1">INDEX(Simulations!$A$1:$BK$2501, 121, MATCH("RevCAGR", Simulations!$A$1:$BK$1, 0))</f>
        <v>4.6882400614661243E-2</v>
      </c>
      <c r="D121" s="2">
        <f ca="1">INDEX(Simulations!$A$1:$BK$2501, 121, MATCH("SynMargin", Simulations!$A$1:$BK$1, 0))</f>
        <v>1.1925503174429511E-2</v>
      </c>
      <c r="E121" s="2">
        <f ca="1">INDEX(Simulations!$A$1:$BK$2501, 121, MATCH("Yr1Shock", Simulations!$A$1:$BK$1, 0))</f>
        <v>-2.5377305314586866E-2</v>
      </c>
    </row>
    <row r="122" spans="1:5" x14ac:dyDescent="0.3">
      <c r="A122" s="2">
        <f ca="1">INDEX(Simulations!$A$1:$BK$2501, 122, MATCH("PurchaseMultiple", Simulations!$A$1:$BK$1, 0))</f>
        <v>7.3641619646756808</v>
      </c>
      <c r="B122" s="2">
        <f ca="1">INDEX(Simulations!$A$1:$BK$2501, 122, MATCH("ExitMultiple", Simulations!$A$1:$BK$1, 0))</f>
        <v>6.9470830049213452</v>
      </c>
      <c r="C122" s="2">
        <f ca="1">INDEX(Simulations!$A$1:$BK$2501, 122, MATCH("RevCAGR", Simulations!$A$1:$BK$1, 0))</f>
        <v>4.7778827459388981E-2</v>
      </c>
      <c r="D122" s="2">
        <f ca="1">INDEX(Simulations!$A$1:$BK$2501, 122, MATCH("SynMargin", Simulations!$A$1:$BK$1, 0))</f>
        <v>7.1601039663747581E-3</v>
      </c>
      <c r="E122" s="2">
        <f ca="1">INDEX(Simulations!$A$1:$BK$2501, 122, MATCH("Yr1Shock", Simulations!$A$1:$BK$1, 0))</f>
        <v>3.7173876832253595E-3</v>
      </c>
    </row>
    <row r="123" spans="1:5" x14ac:dyDescent="0.3">
      <c r="A123" s="2">
        <f ca="1">INDEX(Simulations!$A$1:$BK$2501, 123, MATCH("PurchaseMultiple", Simulations!$A$1:$BK$1, 0))</f>
        <v>7.7404030604506797</v>
      </c>
      <c r="B123" s="2">
        <f ca="1">INDEX(Simulations!$A$1:$BK$2501, 123, MATCH("ExitMultiple", Simulations!$A$1:$BK$1, 0))</f>
        <v>7.8142653541289109</v>
      </c>
      <c r="C123" s="2">
        <f ca="1">INDEX(Simulations!$A$1:$BK$2501, 123, MATCH("RevCAGR", Simulations!$A$1:$BK$1, 0))</f>
        <v>2.322564037478872E-2</v>
      </c>
      <c r="D123" s="2">
        <f ca="1">INDEX(Simulations!$A$1:$BK$2501, 123, MATCH("SynMargin", Simulations!$A$1:$BK$1, 0))</f>
        <v>9.4754285462496611E-3</v>
      </c>
      <c r="E123" s="2">
        <f ca="1">INDEX(Simulations!$A$1:$BK$2501, 123, MATCH("Yr1Shock", Simulations!$A$1:$BK$1, 0))</f>
        <v>-2.2873871938268318E-2</v>
      </c>
    </row>
    <row r="124" spans="1:5" x14ac:dyDescent="0.3">
      <c r="A124" s="2">
        <f ca="1">INDEX(Simulations!$A$1:$BK$2501, 124, MATCH("PurchaseMultiple", Simulations!$A$1:$BK$1, 0))</f>
        <v>6.5364148596587812</v>
      </c>
      <c r="B124" s="2">
        <f ca="1">INDEX(Simulations!$A$1:$BK$2501, 124, MATCH("ExitMultiple", Simulations!$A$1:$BK$1, 0))</f>
        <v>7.6615730334789607</v>
      </c>
      <c r="C124" s="2">
        <f ca="1">INDEX(Simulations!$A$1:$BK$2501, 124, MATCH("RevCAGR", Simulations!$A$1:$BK$1, 0))</f>
        <v>3.634131663339079E-2</v>
      </c>
      <c r="D124" s="2">
        <f ca="1">INDEX(Simulations!$A$1:$BK$2501, 124, MATCH("SynMargin", Simulations!$A$1:$BK$1, 0))</f>
        <v>8.0031500889901092E-3</v>
      </c>
      <c r="E124" s="2">
        <f ca="1">INDEX(Simulations!$A$1:$BK$2501, 124, MATCH("Yr1Shock", Simulations!$A$1:$BK$1, 0))</f>
        <v>1.4711596243668787E-2</v>
      </c>
    </row>
    <row r="125" spans="1:5" x14ac:dyDescent="0.3">
      <c r="A125" s="2">
        <f ca="1">INDEX(Simulations!$A$1:$BK$2501, 125, MATCH("PurchaseMultiple", Simulations!$A$1:$BK$1, 0))</f>
        <v>7.615195923952216</v>
      </c>
      <c r="B125" s="2">
        <f ca="1">INDEX(Simulations!$A$1:$BK$2501, 125, MATCH("ExitMultiple", Simulations!$A$1:$BK$1, 0))</f>
        <v>7.6672338249572345</v>
      </c>
      <c r="C125" s="2">
        <f ca="1">INDEX(Simulations!$A$1:$BK$2501, 125, MATCH("RevCAGR", Simulations!$A$1:$BK$1, 0))</f>
        <v>4.9082248517946542E-2</v>
      </c>
      <c r="D125" s="2">
        <f ca="1">INDEX(Simulations!$A$1:$BK$2501, 125, MATCH("SynMargin", Simulations!$A$1:$BK$1, 0))</f>
        <v>7.3808719092446056E-3</v>
      </c>
      <c r="E125" s="2">
        <f ca="1">INDEX(Simulations!$A$1:$BK$2501, 125, MATCH("Yr1Shock", Simulations!$A$1:$BK$1, 0))</f>
        <v>5.1335786403848872E-3</v>
      </c>
    </row>
    <row r="126" spans="1:5" x14ac:dyDescent="0.3">
      <c r="A126" s="2">
        <f ca="1">INDEX(Simulations!$A$1:$BK$2501, 126, MATCH("PurchaseMultiple", Simulations!$A$1:$BK$1, 0))</f>
        <v>7.20083353422676</v>
      </c>
      <c r="B126" s="2">
        <f ca="1">INDEX(Simulations!$A$1:$BK$2501, 126, MATCH("ExitMultiple", Simulations!$A$1:$BK$1, 0))</f>
        <v>7.0098694827541621</v>
      </c>
      <c r="C126" s="2">
        <f ca="1">INDEX(Simulations!$A$1:$BK$2501, 126, MATCH("RevCAGR", Simulations!$A$1:$BK$1, 0))</f>
        <v>-1.0027373709868621E-2</v>
      </c>
      <c r="D126" s="2">
        <f ca="1">INDEX(Simulations!$A$1:$BK$2501, 126, MATCH("SynMargin", Simulations!$A$1:$BK$1, 0))</f>
        <v>7.5458477106286961E-3</v>
      </c>
      <c r="E126" s="2">
        <f ca="1">INDEX(Simulations!$A$1:$BK$2501, 126, MATCH("Yr1Shock", Simulations!$A$1:$BK$1, 0))</f>
        <v>4.8350246620360009E-3</v>
      </c>
    </row>
    <row r="127" spans="1:5" x14ac:dyDescent="0.3">
      <c r="A127" s="2">
        <f ca="1">INDEX(Simulations!$A$1:$BK$2501, 127, MATCH("PurchaseMultiple", Simulations!$A$1:$BK$1, 0))</f>
        <v>7.4408709115594105</v>
      </c>
      <c r="B127" s="2">
        <f ca="1">INDEX(Simulations!$A$1:$BK$2501, 127, MATCH("ExitMultiple", Simulations!$A$1:$BK$1, 0))</f>
        <v>7.6017275404614733</v>
      </c>
      <c r="C127" s="2">
        <f ca="1">INDEX(Simulations!$A$1:$BK$2501, 127, MATCH("RevCAGR", Simulations!$A$1:$BK$1, 0))</f>
        <v>3.7428927952936779E-2</v>
      </c>
      <c r="D127" s="2">
        <f ca="1">INDEX(Simulations!$A$1:$BK$2501, 127, MATCH("SynMargin", Simulations!$A$1:$BK$1, 0))</f>
        <v>1.6662293724222333E-2</v>
      </c>
      <c r="E127" s="2">
        <f ca="1">INDEX(Simulations!$A$1:$BK$2501, 127, MATCH("Yr1Shock", Simulations!$A$1:$BK$1, 0))</f>
        <v>8.4124388949950689E-3</v>
      </c>
    </row>
    <row r="128" spans="1:5" x14ac:dyDescent="0.3">
      <c r="A128" s="2">
        <f ca="1">INDEX(Simulations!$A$1:$BK$2501, 128, MATCH("PurchaseMultiple", Simulations!$A$1:$BK$1, 0))</f>
        <v>6.2540270547310248</v>
      </c>
      <c r="B128" s="2">
        <f ca="1">INDEX(Simulations!$A$1:$BK$2501, 128, MATCH("ExitMultiple", Simulations!$A$1:$BK$1, 0))</f>
        <v>7.5457353225754922</v>
      </c>
      <c r="C128" s="2">
        <f ca="1">INDEX(Simulations!$A$1:$BK$2501, 128, MATCH("RevCAGR", Simulations!$A$1:$BK$1, 0))</f>
        <v>5.4318242438165541E-2</v>
      </c>
      <c r="D128" s="2">
        <f ca="1">INDEX(Simulations!$A$1:$BK$2501, 128, MATCH("SynMargin", Simulations!$A$1:$BK$1, 0))</f>
        <v>1.174678119351176E-2</v>
      </c>
      <c r="E128" s="2">
        <f ca="1">INDEX(Simulations!$A$1:$BK$2501, 128, MATCH("Yr1Shock", Simulations!$A$1:$BK$1, 0))</f>
        <v>2.1631019666412388E-2</v>
      </c>
    </row>
    <row r="129" spans="1:5" x14ac:dyDescent="0.3">
      <c r="A129" s="2">
        <f ca="1">INDEX(Simulations!$A$1:$BK$2501, 129, MATCH("PurchaseMultiple", Simulations!$A$1:$BK$1, 0))</f>
        <v>7.2681931737198129</v>
      </c>
      <c r="B129" s="2">
        <f ca="1">INDEX(Simulations!$A$1:$BK$2501, 129, MATCH("ExitMultiple", Simulations!$A$1:$BK$1, 0))</f>
        <v>7.0318710814362291</v>
      </c>
      <c r="C129" s="2">
        <f ca="1">INDEX(Simulations!$A$1:$BK$2501, 129, MATCH("RevCAGR", Simulations!$A$1:$BK$1, 0))</f>
        <v>4.4293281070777041E-3</v>
      </c>
      <c r="D129" s="2">
        <f ca="1">INDEX(Simulations!$A$1:$BK$2501, 129, MATCH("SynMargin", Simulations!$A$1:$BK$1, 0))</f>
        <v>1.0715835134868226E-2</v>
      </c>
      <c r="E129" s="2">
        <f ca="1">INDEX(Simulations!$A$1:$BK$2501, 129, MATCH("Yr1Shock", Simulations!$A$1:$BK$1, 0))</f>
        <v>-6.8460871957642735E-3</v>
      </c>
    </row>
    <row r="130" spans="1:5" x14ac:dyDescent="0.3">
      <c r="A130" s="2">
        <f ca="1">INDEX(Simulations!$A$1:$BK$2501, 130, MATCH("PurchaseMultiple", Simulations!$A$1:$BK$1, 0))</f>
        <v>7.0381400097410207</v>
      </c>
      <c r="B130" s="2">
        <f ca="1">INDEX(Simulations!$A$1:$BK$2501, 130, MATCH("ExitMultiple", Simulations!$A$1:$BK$1, 0))</f>
        <v>8.2658060914284448</v>
      </c>
      <c r="C130" s="2">
        <f ca="1">INDEX(Simulations!$A$1:$BK$2501, 130, MATCH("RevCAGR", Simulations!$A$1:$BK$1, 0))</f>
        <v>1.5859586578474669E-2</v>
      </c>
      <c r="D130" s="2">
        <f ca="1">INDEX(Simulations!$A$1:$BK$2501, 130, MATCH("SynMargin", Simulations!$A$1:$BK$1, 0))</f>
        <v>5.4987366752634048E-3</v>
      </c>
      <c r="E130" s="2">
        <f ca="1">INDEX(Simulations!$A$1:$BK$2501, 130, MATCH("Yr1Shock", Simulations!$A$1:$BK$1, 0))</f>
        <v>6.2293080413601597E-4</v>
      </c>
    </row>
    <row r="131" spans="1:5" x14ac:dyDescent="0.3">
      <c r="A131" s="2">
        <f ca="1">INDEX(Simulations!$A$1:$BK$2501, 131, MATCH("PurchaseMultiple", Simulations!$A$1:$BK$1, 0))</f>
        <v>7.4828281587121666</v>
      </c>
      <c r="B131" s="2">
        <f ca="1">INDEX(Simulations!$A$1:$BK$2501, 131, MATCH("ExitMultiple", Simulations!$A$1:$BK$1, 0))</f>
        <v>7.2239604130430912</v>
      </c>
      <c r="C131" s="2">
        <f ca="1">INDEX(Simulations!$A$1:$BK$2501, 131, MATCH("RevCAGR", Simulations!$A$1:$BK$1, 0))</f>
        <v>6.7865349512891054E-2</v>
      </c>
      <c r="D131" s="2">
        <f ca="1">INDEX(Simulations!$A$1:$BK$2501, 131, MATCH("SynMargin", Simulations!$A$1:$BK$1, 0))</f>
        <v>5.9028902334262714E-3</v>
      </c>
      <c r="E131" s="2">
        <f ca="1">INDEX(Simulations!$A$1:$BK$2501, 131, MATCH("Yr1Shock", Simulations!$A$1:$BK$1, 0))</f>
        <v>8.4378267477957652E-3</v>
      </c>
    </row>
    <row r="132" spans="1:5" x14ac:dyDescent="0.3">
      <c r="A132" s="2">
        <f ca="1">INDEX(Simulations!$A$1:$BK$2501, 132, MATCH("PurchaseMultiple", Simulations!$A$1:$BK$1, 0))</f>
        <v>6.9983621995135552</v>
      </c>
      <c r="B132" s="2">
        <f ca="1">INDEX(Simulations!$A$1:$BK$2501, 132, MATCH("ExitMultiple", Simulations!$A$1:$BK$1, 0))</f>
        <v>7.8415654390295737</v>
      </c>
      <c r="C132" s="2">
        <f ca="1">INDEX(Simulations!$A$1:$BK$2501, 132, MATCH("RevCAGR", Simulations!$A$1:$BK$1, 0))</f>
        <v>4.072082922568613E-2</v>
      </c>
      <c r="D132" s="2">
        <f ca="1">INDEX(Simulations!$A$1:$BK$2501, 132, MATCH("SynMargin", Simulations!$A$1:$BK$1, 0))</f>
        <v>1.4058857568686942E-2</v>
      </c>
      <c r="E132" s="2">
        <f ca="1">INDEX(Simulations!$A$1:$BK$2501, 132, MATCH("Yr1Shock", Simulations!$A$1:$BK$1, 0))</f>
        <v>-3.1729231713393105E-2</v>
      </c>
    </row>
    <row r="133" spans="1:5" x14ac:dyDescent="0.3">
      <c r="A133" s="2">
        <f ca="1">INDEX(Simulations!$A$1:$BK$2501, 133, MATCH("PurchaseMultiple", Simulations!$A$1:$BK$1, 0))</f>
        <v>6.4100687550156765</v>
      </c>
      <c r="B133" s="2">
        <f ca="1">INDEX(Simulations!$A$1:$BK$2501, 133, MATCH("ExitMultiple", Simulations!$A$1:$BK$1, 0))</f>
        <v>8.0330381361243699</v>
      </c>
      <c r="C133" s="2">
        <f ca="1">INDEX(Simulations!$A$1:$BK$2501, 133, MATCH("RevCAGR", Simulations!$A$1:$BK$1, 0))</f>
        <v>4.76816581847085E-2</v>
      </c>
      <c r="D133" s="2">
        <f ca="1">INDEX(Simulations!$A$1:$BK$2501, 133, MATCH("SynMargin", Simulations!$A$1:$BK$1, 0))</f>
        <v>1.465298117889899E-2</v>
      </c>
      <c r="E133" s="2">
        <f ca="1">INDEX(Simulations!$A$1:$BK$2501, 133, MATCH("Yr1Shock", Simulations!$A$1:$BK$1, 0))</f>
        <v>-1.332999382724053E-2</v>
      </c>
    </row>
    <row r="134" spans="1:5" x14ac:dyDescent="0.3">
      <c r="A134" s="2">
        <f ca="1">INDEX(Simulations!$A$1:$BK$2501, 134, MATCH("PurchaseMultiple", Simulations!$A$1:$BK$1, 0))</f>
        <v>6.50666694696812</v>
      </c>
      <c r="B134" s="2">
        <f ca="1">INDEX(Simulations!$A$1:$BK$2501, 134, MATCH("ExitMultiple", Simulations!$A$1:$BK$1, 0))</f>
        <v>7.8320601970332424</v>
      </c>
      <c r="C134" s="2">
        <f ca="1">INDEX(Simulations!$A$1:$BK$2501, 134, MATCH("RevCAGR", Simulations!$A$1:$BK$1, 0))</f>
        <v>-0.02</v>
      </c>
      <c r="D134" s="2">
        <f ca="1">INDEX(Simulations!$A$1:$BK$2501, 134, MATCH("SynMargin", Simulations!$A$1:$BK$1, 0))</f>
        <v>1.700755366573441E-2</v>
      </c>
      <c r="E134" s="2">
        <f ca="1">INDEX(Simulations!$A$1:$BK$2501, 134, MATCH("Yr1Shock", Simulations!$A$1:$BK$1, 0))</f>
        <v>4.5046258005265766E-2</v>
      </c>
    </row>
    <row r="135" spans="1:5" x14ac:dyDescent="0.3">
      <c r="A135" s="2">
        <f ca="1">INDEX(Simulations!$A$1:$BK$2501, 135, MATCH("PurchaseMultiple", Simulations!$A$1:$BK$1, 0))</f>
        <v>7.1287041724144897</v>
      </c>
      <c r="B135" s="2">
        <f ca="1">INDEX(Simulations!$A$1:$BK$2501, 135, MATCH("ExitMultiple", Simulations!$A$1:$BK$1, 0))</f>
        <v>7.7290763811681682</v>
      </c>
      <c r="C135" s="2">
        <f ca="1">INDEX(Simulations!$A$1:$BK$2501, 135, MATCH("RevCAGR", Simulations!$A$1:$BK$1, 0))</f>
        <v>3.8787469062642986E-2</v>
      </c>
      <c r="D135" s="2">
        <f ca="1">INDEX(Simulations!$A$1:$BK$2501, 135, MATCH("SynMargin", Simulations!$A$1:$BK$1, 0))</f>
        <v>5.0190499469149729E-3</v>
      </c>
      <c r="E135" s="2">
        <f ca="1">INDEX(Simulations!$A$1:$BK$2501, 135, MATCH("Yr1Shock", Simulations!$A$1:$BK$1, 0))</f>
        <v>-9.7356583647213012E-3</v>
      </c>
    </row>
    <row r="136" spans="1:5" x14ac:dyDescent="0.3">
      <c r="A136" s="2">
        <f ca="1">INDEX(Simulations!$A$1:$BK$2501, 136, MATCH("PurchaseMultiple", Simulations!$A$1:$BK$1, 0))</f>
        <v>7.06281079548158</v>
      </c>
      <c r="B136" s="2">
        <f ca="1">INDEX(Simulations!$A$1:$BK$2501, 136, MATCH("ExitMultiple", Simulations!$A$1:$BK$1, 0))</f>
        <v>7.3041884737059766</v>
      </c>
      <c r="C136" s="2">
        <f ca="1">INDEX(Simulations!$A$1:$BK$2501, 136, MATCH("RevCAGR", Simulations!$A$1:$BK$1, 0))</f>
        <v>2.8495868341093397E-2</v>
      </c>
      <c r="D136" s="2">
        <f ca="1">INDEX(Simulations!$A$1:$BK$2501, 136, MATCH("SynMargin", Simulations!$A$1:$BK$1, 0))</f>
        <v>6.7717749528796219E-3</v>
      </c>
      <c r="E136" s="2">
        <f ca="1">INDEX(Simulations!$A$1:$BK$2501, 136, MATCH("Yr1Shock", Simulations!$A$1:$BK$1, 0))</f>
        <v>2.801170866652369E-2</v>
      </c>
    </row>
    <row r="137" spans="1:5" x14ac:dyDescent="0.3">
      <c r="A137" s="2">
        <f ca="1">INDEX(Simulations!$A$1:$BK$2501, 137, MATCH("PurchaseMultiple", Simulations!$A$1:$BK$1, 0))</f>
        <v>7.1055676697219976</v>
      </c>
      <c r="B137" s="2">
        <f ca="1">INDEX(Simulations!$A$1:$BK$2501, 137, MATCH("ExitMultiple", Simulations!$A$1:$BK$1, 0))</f>
        <v>6.9814495862632624</v>
      </c>
      <c r="C137" s="2">
        <f ca="1">INDEX(Simulations!$A$1:$BK$2501, 137, MATCH("RevCAGR", Simulations!$A$1:$BK$1, 0))</f>
        <v>5.5543443899169209E-2</v>
      </c>
      <c r="D137" s="2">
        <f ca="1">INDEX(Simulations!$A$1:$BK$2501, 137, MATCH("SynMargin", Simulations!$A$1:$BK$1, 0))</f>
        <v>1.7548112490626301E-2</v>
      </c>
      <c r="E137" s="2">
        <f ca="1">INDEX(Simulations!$A$1:$BK$2501, 137, MATCH("Yr1Shock", Simulations!$A$1:$BK$1, 0))</f>
        <v>-4.377209955807769E-2</v>
      </c>
    </row>
    <row r="138" spans="1:5" x14ac:dyDescent="0.3">
      <c r="A138" s="2">
        <f ca="1">INDEX(Simulations!$A$1:$BK$2501, 138, MATCH("PurchaseMultiple", Simulations!$A$1:$BK$1, 0))</f>
        <v>6.7299768826880797</v>
      </c>
      <c r="B138" s="2">
        <f ca="1">INDEX(Simulations!$A$1:$BK$2501, 138, MATCH("ExitMultiple", Simulations!$A$1:$BK$1, 0))</f>
        <v>7.032797134671477</v>
      </c>
      <c r="C138" s="2">
        <f ca="1">INDEX(Simulations!$A$1:$BK$2501, 138, MATCH("RevCAGR", Simulations!$A$1:$BK$1, 0))</f>
        <v>6.1687221789607033E-2</v>
      </c>
      <c r="D138" s="2">
        <f ca="1">INDEX(Simulations!$A$1:$BK$2501, 138, MATCH("SynMargin", Simulations!$A$1:$BK$1, 0))</f>
        <v>2.4740396580646886E-2</v>
      </c>
      <c r="E138" s="2">
        <f ca="1">INDEX(Simulations!$A$1:$BK$2501, 138, MATCH("Yr1Shock", Simulations!$A$1:$BK$1, 0))</f>
        <v>-2.7254593241502416E-2</v>
      </c>
    </row>
    <row r="139" spans="1:5" x14ac:dyDescent="0.3">
      <c r="A139" s="2">
        <f ca="1">INDEX(Simulations!$A$1:$BK$2501, 139, MATCH("PurchaseMultiple", Simulations!$A$1:$BK$1, 0))</f>
        <v>6.7639646234411233</v>
      </c>
      <c r="B139" s="2">
        <f ca="1">INDEX(Simulations!$A$1:$BK$2501, 139, MATCH("ExitMultiple", Simulations!$A$1:$BK$1, 0))</f>
        <v>7.9626551563478483</v>
      </c>
      <c r="C139" s="2">
        <f ca="1">INDEX(Simulations!$A$1:$BK$2501, 139, MATCH("RevCAGR", Simulations!$A$1:$BK$1, 0))</f>
        <v>5.3596593639807621E-2</v>
      </c>
      <c r="D139" s="2">
        <f ca="1">INDEX(Simulations!$A$1:$BK$2501, 139, MATCH("SynMargin", Simulations!$A$1:$BK$1, 0))</f>
        <v>8.3216171260315705E-3</v>
      </c>
      <c r="E139" s="2">
        <f ca="1">INDEX(Simulations!$A$1:$BK$2501, 139, MATCH("Yr1Shock", Simulations!$A$1:$BK$1, 0))</f>
        <v>4.1726449131131282E-3</v>
      </c>
    </row>
    <row r="140" spans="1:5" x14ac:dyDescent="0.3">
      <c r="A140" s="2">
        <f ca="1">INDEX(Simulations!$A$1:$BK$2501, 140, MATCH("PurchaseMultiple", Simulations!$A$1:$BK$1, 0))</f>
        <v>6.312358009820958</v>
      </c>
      <c r="B140" s="2">
        <f ca="1">INDEX(Simulations!$A$1:$BK$2501, 140, MATCH("ExitMultiple", Simulations!$A$1:$BK$1, 0))</f>
        <v>7.5091693942173601</v>
      </c>
      <c r="C140" s="2">
        <f ca="1">INDEX(Simulations!$A$1:$BK$2501, 140, MATCH("RevCAGR", Simulations!$A$1:$BK$1, 0))</f>
        <v>6.7530279225089598E-3</v>
      </c>
      <c r="D140" s="2">
        <f ca="1">INDEX(Simulations!$A$1:$BK$2501, 140, MATCH("SynMargin", Simulations!$A$1:$BK$1, 0))</f>
        <v>1.1327049414662284E-2</v>
      </c>
      <c r="E140" s="2">
        <f ca="1">INDEX(Simulations!$A$1:$BK$2501, 140, MATCH("Yr1Shock", Simulations!$A$1:$BK$1, 0))</f>
        <v>7.4176193093916203E-3</v>
      </c>
    </row>
    <row r="141" spans="1:5" x14ac:dyDescent="0.3">
      <c r="A141" s="2">
        <f ca="1">INDEX(Simulations!$A$1:$BK$2501, 141, MATCH("PurchaseMultiple", Simulations!$A$1:$BK$1, 0))</f>
        <v>6.3769488745689964</v>
      </c>
      <c r="B141" s="2">
        <f ca="1">INDEX(Simulations!$A$1:$BK$2501, 141, MATCH("ExitMultiple", Simulations!$A$1:$BK$1, 0))</f>
        <v>7.7922450687419138</v>
      </c>
      <c r="C141" s="2">
        <f ca="1">INDEX(Simulations!$A$1:$BK$2501, 141, MATCH("RevCAGR", Simulations!$A$1:$BK$1, 0))</f>
        <v>3.8526541272666075E-2</v>
      </c>
      <c r="D141" s="2">
        <f ca="1">INDEX(Simulations!$A$1:$BK$2501, 141, MATCH("SynMargin", Simulations!$A$1:$BK$1, 0))</f>
        <v>2.0013913102929409E-2</v>
      </c>
      <c r="E141" s="2">
        <f ca="1">INDEX(Simulations!$A$1:$BK$2501, 141, MATCH("Yr1Shock", Simulations!$A$1:$BK$1, 0))</f>
        <v>-2.4156007381063875E-2</v>
      </c>
    </row>
    <row r="142" spans="1:5" x14ac:dyDescent="0.3">
      <c r="A142" s="2">
        <f ca="1">INDEX(Simulations!$A$1:$BK$2501, 142, MATCH("PurchaseMultiple", Simulations!$A$1:$BK$1, 0))</f>
        <v>7.2009847741038531</v>
      </c>
      <c r="B142" s="2">
        <f ca="1">INDEX(Simulations!$A$1:$BK$2501, 142, MATCH("ExitMultiple", Simulations!$A$1:$BK$1, 0))</f>
        <v>7.4083569936327685</v>
      </c>
      <c r="C142" s="2">
        <f ca="1">INDEX(Simulations!$A$1:$BK$2501, 142, MATCH("RevCAGR", Simulations!$A$1:$BK$1, 0))</f>
        <v>6.7975853467808323E-2</v>
      </c>
      <c r="D142" s="2">
        <f ca="1">INDEX(Simulations!$A$1:$BK$2501, 142, MATCH("SynMargin", Simulations!$A$1:$BK$1, 0))</f>
        <v>1.5240082433044588E-2</v>
      </c>
      <c r="E142" s="2">
        <f ca="1">INDEX(Simulations!$A$1:$BK$2501, 142, MATCH("Yr1Shock", Simulations!$A$1:$BK$1, 0))</f>
        <v>1.7643832585453541E-2</v>
      </c>
    </row>
    <row r="143" spans="1:5" x14ac:dyDescent="0.3">
      <c r="A143" s="2">
        <f ca="1">INDEX(Simulations!$A$1:$BK$2501, 143, MATCH("PurchaseMultiple", Simulations!$A$1:$BK$1, 0))</f>
        <v>7.7242456776736184</v>
      </c>
      <c r="B143" s="2">
        <f ca="1">INDEX(Simulations!$A$1:$BK$2501, 143, MATCH("ExitMultiple", Simulations!$A$1:$BK$1, 0))</f>
        <v>6.9884964746858085</v>
      </c>
      <c r="C143" s="2">
        <f ca="1">INDEX(Simulations!$A$1:$BK$2501, 143, MATCH("RevCAGR", Simulations!$A$1:$BK$1, 0))</f>
        <v>2.44709970506156E-2</v>
      </c>
      <c r="D143" s="2">
        <f ca="1">INDEX(Simulations!$A$1:$BK$2501, 143, MATCH("SynMargin", Simulations!$A$1:$BK$1, 0))</f>
        <v>4.8091350404335107E-3</v>
      </c>
      <c r="E143" s="2">
        <f ca="1">INDEX(Simulations!$A$1:$BK$2501, 143, MATCH("Yr1Shock", Simulations!$A$1:$BK$1, 0))</f>
        <v>-1.8866643858780455E-2</v>
      </c>
    </row>
    <row r="144" spans="1:5" x14ac:dyDescent="0.3">
      <c r="A144" s="2">
        <f ca="1">INDEX(Simulations!$A$1:$BK$2501, 144, MATCH("PurchaseMultiple", Simulations!$A$1:$BK$1, 0))</f>
        <v>7.7711712260456345</v>
      </c>
      <c r="B144" s="2">
        <f ca="1">INDEX(Simulations!$A$1:$BK$2501, 144, MATCH("ExitMultiple", Simulations!$A$1:$BK$1, 0))</f>
        <v>7.8085377838508707</v>
      </c>
      <c r="C144" s="2">
        <f ca="1">INDEX(Simulations!$A$1:$BK$2501, 144, MATCH("RevCAGR", Simulations!$A$1:$BK$1, 0))</f>
        <v>8.0971969430260221E-2</v>
      </c>
      <c r="D144" s="2">
        <f ca="1">INDEX(Simulations!$A$1:$BK$2501, 144, MATCH("SynMargin", Simulations!$A$1:$BK$1, 0))</f>
        <v>1.1046502001867468E-2</v>
      </c>
      <c r="E144" s="2">
        <f ca="1">INDEX(Simulations!$A$1:$BK$2501, 144, MATCH("Yr1Shock", Simulations!$A$1:$BK$1, 0))</f>
        <v>1.2638489780867984E-2</v>
      </c>
    </row>
    <row r="145" spans="1:5" x14ac:dyDescent="0.3">
      <c r="A145" s="2">
        <f ca="1">INDEX(Simulations!$A$1:$BK$2501, 145, MATCH("PurchaseMultiple", Simulations!$A$1:$BK$1, 0))</f>
        <v>6.7911286658304792</v>
      </c>
      <c r="B145" s="2">
        <f ca="1">INDEX(Simulations!$A$1:$BK$2501, 145, MATCH("ExitMultiple", Simulations!$A$1:$BK$1, 0))</f>
        <v>7.509096292840626</v>
      </c>
      <c r="C145" s="2">
        <f ca="1">INDEX(Simulations!$A$1:$BK$2501, 145, MATCH("RevCAGR", Simulations!$A$1:$BK$1, 0))</f>
        <v>4.0325357913534574E-2</v>
      </c>
      <c r="D145" s="2">
        <f ca="1">INDEX(Simulations!$A$1:$BK$2501, 145, MATCH("SynMargin", Simulations!$A$1:$BK$1, 0))</f>
        <v>1.410616736089888E-2</v>
      </c>
      <c r="E145" s="2">
        <f ca="1">INDEX(Simulations!$A$1:$BK$2501, 145, MATCH("Yr1Shock", Simulations!$A$1:$BK$1, 0))</f>
        <v>-1.3185589552286851E-3</v>
      </c>
    </row>
    <row r="146" spans="1:5" x14ac:dyDescent="0.3">
      <c r="A146" s="2">
        <f ca="1">INDEX(Simulations!$A$1:$BK$2501, 146, MATCH("PurchaseMultiple", Simulations!$A$1:$BK$1, 0))</f>
        <v>7.4569501080126361</v>
      </c>
      <c r="B146" s="2">
        <f ca="1">INDEX(Simulations!$A$1:$BK$2501, 146, MATCH("ExitMultiple", Simulations!$A$1:$BK$1, 0))</f>
        <v>7.3916104276172696</v>
      </c>
      <c r="C146" s="2">
        <f ca="1">INDEX(Simulations!$A$1:$BK$2501, 146, MATCH("RevCAGR", Simulations!$A$1:$BK$1, 0))</f>
        <v>2.1491802676957539E-2</v>
      </c>
      <c r="D146" s="2">
        <f ca="1">INDEX(Simulations!$A$1:$BK$2501, 146, MATCH("SynMargin", Simulations!$A$1:$BK$1, 0))</f>
        <v>0</v>
      </c>
      <c r="E146" s="2">
        <f ca="1">INDEX(Simulations!$A$1:$BK$2501, 146, MATCH("Yr1Shock", Simulations!$A$1:$BK$1, 0))</f>
        <v>1.5602211896534169E-2</v>
      </c>
    </row>
    <row r="147" spans="1:5" x14ac:dyDescent="0.3">
      <c r="A147" s="2">
        <f ca="1">INDEX(Simulations!$A$1:$BK$2501, 147, MATCH("PurchaseMultiple", Simulations!$A$1:$BK$1, 0))</f>
        <v>7.1585100528187837</v>
      </c>
      <c r="B147" s="2">
        <f ca="1">INDEX(Simulations!$A$1:$BK$2501, 147, MATCH("ExitMultiple", Simulations!$A$1:$BK$1, 0))</f>
        <v>8.3225862969994253</v>
      </c>
      <c r="C147" s="2">
        <f ca="1">INDEX(Simulations!$A$1:$BK$2501, 147, MATCH("RevCAGR", Simulations!$A$1:$BK$1, 0))</f>
        <v>7.3910358273306165E-2</v>
      </c>
      <c r="D147" s="2">
        <f ca="1">INDEX(Simulations!$A$1:$BK$2501, 147, MATCH("SynMargin", Simulations!$A$1:$BK$1, 0))</f>
        <v>8.6682887028416301E-3</v>
      </c>
      <c r="E147" s="2">
        <f ca="1">INDEX(Simulations!$A$1:$BK$2501, 147, MATCH("Yr1Shock", Simulations!$A$1:$BK$1, 0))</f>
        <v>2.0609743448272376E-3</v>
      </c>
    </row>
    <row r="148" spans="1:5" x14ac:dyDescent="0.3">
      <c r="A148" s="2">
        <f ca="1">INDEX(Simulations!$A$1:$BK$2501, 148, MATCH("PurchaseMultiple", Simulations!$A$1:$BK$1, 0))</f>
        <v>6.8376094913181582</v>
      </c>
      <c r="B148" s="2">
        <f ca="1">INDEX(Simulations!$A$1:$BK$2501, 148, MATCH("ExitMultiple", Simulations!$A$1:$BK$1, 0))</f>
        <v>7.2985969252656746</v>
      </c>
      <c r="C148" s="2">
        <f ca="1">INDEX(Simulations!$A$1:$BK$2501, 148, MATCH("RevCAGR", Simulations!$A$1:$BK$1, 0))</f>
        <v>2.3319519425999885E-2</v>
      </c>
      <c r="D148" s="2">
        <f ca="1">INDEX(Simulations!$A$1:$BK$2501, 148, MATCH("SynMargin", Simulations!$A$1:$BK$1, 0))</f>
        <v>3.1255765511760923E-4</v>
      </c>
      <c r="E148" s="2">
        <f ca="1">INDEX(Simulations!$A$1:$BK$2501, 148, MATCH("Yr1Shock", Simulations!$A$1:$BK$1, 0))</f>
        <v>-3.3722329332753942E-3</v>
      </c>
    </row>
    <row r="149" spans="1:5" x14ac:dyDescent="0.3">
      <c r="A149" s="2">
        <f ca="1">INDEX(Simulations!$A$1:$BK$2501, 149, MATCH("PurchaseMultiple", Simulations!$A$1:$BK$1, 0))</f>
        <v>7.0121224854546034</v>
      </c>
      <c r="B149" s="2">
        <f ca="1">INDEX(Simulations!$A$1:$BK$2501, 149, MATCH("ExitMultiple", Simulations!$A$1:$BK$1, 0))</f>
        <v>7.5892064230052503</v>
      </c>
      <c r="C149" s="2">
        <f ca="1">INDEX(Simulations!$A$1:$BK$2501, 149, MATCH("RevCAGR", Simulations!$A$1:$BK$1, 0))</f>
        <v>4.4753301047105544E-2</v>
      </c>
      <c r="D149" s="2">
        <f ca="1">INDEX(Simulations!$A$1:$BK$2501, 149, MATCH("SynMargin", Simulations!$A$1:$BK$1, 0))</f>
        <v>8.8552026043616002E-3</v>
      </c>
      <c r="E149" s="2">
        <f ca="1">INDEX(Simulations!$A$1:$BK$2501, 149, MATCH("Yr1Shock", Simulations!$A$1:$BK$1, 0))</f>
        <v>1.7427300743656417E-2</v>
      </c>
    </row>
    <row r="150" spans="1:5" x14ac:dyDescent="0.3">
      <c r="A150" s="2">
        <f ca="1">INDEX(Simulations!$A$1:$BK$2501, 150, MATCH("PurchaseMultiple", Simulations!$A$1:$BK$1, 0))</f>
        <v>7.3653546886580123</v>
      </c>
      <c r="B150" s="2">
        <f ca="1">INDEX(Simulations!$A$1:$BK$2501, 150, MATCH("ExitMultiple", Simulations!$A$1:$BK$1, 0))</f>
        <v>8.1485510679403408</v>
      </c>
      <c r="C150" s="2">
        <f ca="1">INDEX(Simulations!$A$1:$BK$2501, 150, MATCH("RevCAGR", Simulations!$A$1:$BK$1, 0))</f>
        <v>2.1028139258050148E-2</v>
      </c>
      <c r="D150" s="2">
        <f ca="1">INDEX(Simulations!$A$1:$BK$2501, 150, MATCH("SynMargin", Simulations!$A$1:$BK$1, 0))</f>
        <v>7.2519256206219455E-3</v>
      </c>
      <c r="E150" s="2">
        <f ca="1">INDEX(Simulations!$A$1:$BK$2501, 150, MATCH("Yr1Shock", Simulations!$A$1:$BK$1, 0))</f>
        <v>-5.2358107395563236E-6</v>
      </c>
    </row>
    <row r="151" spans="1:5" x14ac:dyDescent="0.3">
      <c r="A151" s="2">
        <f ca="1">INDEX(Simulations!$A$1:$BK$2501, 151, MATCH("PurchaseMultiple", Simulations!$A$1:$BK$1, 0))</f>
        <v>6.6034349117839461</v>
      </c>
      <c r="B151" s="2">
        <f ca="1">INDEX(Simulations!$A$1:$BK$2501, 151, MATCH("ExitMultiple", Simulations!$A$1:$BK$1, 0))</f>
        <v>6.8449360250157172</v>
      </c>
      <c r="C151" s="2">
        <f ca="1">INDEX(Simulations!$A$1:$BK$2501, 151, MATCH("RevCAGR", Simulations!$A$1:$BK$1, 0))</f>
        <v>8.1366709453454394E-4</v>
      </c>
      <c r="D151" s="2">
        <f ca="1">INDEX(Simulations!$A$1:$BK$2501, 151, MATCH("SynMargin", Simulations!$A$1:$BK$1, 0))</f>
        <v>8.991322485908209E-3</v>
      </c>
      <c r="E151" s="2">
        <f ca="1">INDEX(Simulations!$A$1:$BK$2501, 151, MATCH("Yr1Shock", Simulations!$A$1:$BK$1, 0))</f>
        <v>1.3054784215028202E-2</v>
      </c>
    </row>
    <row r="152" spans="1:5" x14ac:dyDescent="0.3">
      <c r="A152" s="2">
        <f ca="1">INDEX(Simulations!$A$1:$BK$2501, 152, MATCH("PurchaseMultiple", Simulations!$A$1:$BK$1, 0))</f>
        <v>7.1220904648350194</v>
      </c>
      <c r="B152" s="2">
        <f ca="1">INDEX(Simulations!$A$1:$BK$2501, 152, MATCH("ExitMultiple", Simulations!$A$1:$BK$1, 0))</f>
        <v>7.8976777938004226</v>
      </c>
      <c r="C152" s="2">
        <f ca="1">INDEX(Simulations!$A$1:$BK$2501, 152, MATCH("RevCAGR", Simulations!$A$1:$BK$1, 0))</f>
        <v>8.0557418253701607E-2</v>
      </c>
      <c r="D152" s="2">
        <f ca="1">INDEX(Simulations!$A$1:$BK$2501, 152, MATCH("SynMargin", Simulations!$A$1:$BK$1, 0))</f>
        <v>5.9207956783607968E-3</v>
      </c>
      <c r="E152" s="2">
        <f ca="1">INDEX(Simulations!$A$1:$BK$2501, 152, MATCH("Yr1Shock", Simulations!$A$1:$BK$1, 0))</f>
        <v>6.5620626742092349E-3</v>
      </c>
    </row>
    <row r="153" spans="1:5" x14ac:dyDescent="0.3">
      <c r="A153" s="2">
        <f ca="1">INDEX(Simulations!$A$1:$BK$2501, 153, MATCH("PurchaseMultiple", Simulations!$A$1:$BK$1, 0))</f>
        <v>7.1089986740693139</v>
      </c>
      <c r="B153" s="2">
        <f ca="1">INDEX(Simulations!$A$1:$BK$2501, 153, MATCH("ExitMultiple", Simulations!$A$1:$BK$1, 0))</f>
        <v>7.5710250653482207</v>
      </c>
      <c r="C153" s="2">
        <f ca="1">INDEX(Simulations!$A$1:$BK$2501, 153, MATCH("RevCAGR", Simulations!$A$1:$BK$1, 0))</f>
        <v>4.3029543918692938E-2</v>
      </c>
      <c r="D153" s="2">
        <f ca="1">INDEX(Simulations!$A$1:$BK$2501, 153, MATCH("SynMargin", Simulations!$A$1:$BK$1, 0))</f>
        <v>7.7588969025305264E-3</v>
      </c>
      <c r="E153" s="2">
        <f ca="1">INDEX(Simulations!$A$1:$BK$2501, 153, MATCH("Yr1Shock", Simulations!$A$1:$BK$1, 0))</f>
        <v>-1.7113332099873448E-2</v>
      </c>
    </row>
    <row r="154" spans="1:5" x14ac:dyDescent="0.3">
      <c r="A154" s="2">
        <f ca="1">INDEX(Simulations!$A$1:$BK$2501, 154, MATCH("PurchaseMultiple", Simulations!$A$1:$BK$1, 0))</f>
        <v>6.8798842059031218</v>
      </c>
      <c r="B154" s="2">
        <f ca="1">INDEX(Simulations!$A$1:$BK$2501, 154, MATCH("ExitMultiple", Simulations!$A$1:$BK$1, 0))</f>
        <v>7.8486055446592333</v>
      </c>
      <c r="C154" s="2">
        <f ca="1">INDEX(Simulations!$A$1:$BK$2501, 154, MATCH("RevCAGR", Simulations!$A$1:$BK$1, 0))</f>
        <v>6.6129520322404059E-2</v>
      </c>
      <c r="D154" s="2">
        <f ca="1">INDEX(Simulations!$A$1:$BK$2501, 154, MATCH("SynMargin", Simulations!$A$1:$BK$1, 0))</f>
        <v>7.4012505758555992E-3</v>
      </c>
      <c r="E154" s="2">
        <f ca="1">INDEX(Simulations!$A$1:$BK$2501, 154, MATCH("Yr1Shock", Simulations!$A$1:$BK$1, 0))</f>
        <v>6.663368205694512E-3</v>
      </c>
    </row>
    <row r="155" spans="1:5" x14ac:dyDescent="0.3">
      <c r="A155" s="2">
        <f ca="1">INDEX(Simulations!$A$1:$BK$2501, 155, MATCH("PurchaseMultiple", Simulations!$A$1:$BK$1, 0))</f>
        <v>7.8405720939097296</v>
      </c>
      <c r="B155" s="2">
        <f ca="1">INDEX(Simulations!$A$1:$BK$2501, 155, MATCH("ExitMultiple", Simulations!$A$1:$BK$1, 0))</f>
        <v>7.0269249249119685</v>
      </c>
      <c r="C155" s="2">
        <f ca="1">INDEX(Simulations!$A$1:$BK$2501, 155, MATCH("RevCAGR", Simulations!$A$1:$BK$1, 0))</f>
        <v>8.8376378092617905E-2</v>
      </c>
      <c r="D155" s="2">
        <f ca="1">INDEX(Simulations!$A$1:$BK$2501, 155, MATCH("SynMargin", Simulations!$A$1:$BK$1, 0))</f>
        <v>2.0355924923952461E-2</v>
      </c>
      <c r="E155" s="2">
        <f ca="1">INDEX(Simulations!$A$1:$BK$2501, 155, MATCH("Yr1Shock", Simulations!$A$1:$BK$1, 0))</f>
        <v>-2.8011777306058909E-2</v>
      </c>
    </row>
    <row r="156" spans="1:5" x14ac:dyDescent="0.3">
      <c r="A156" s="2">
        <f ca="1">INDEX(Simulations!$A$1:$BK$2501, 156, MATCH("PurchaseMultiple", Simulations!$A$1:$BK$1, 0))</f>
        <v>7.3095335101458945</v>
      </c>
      <c r="B156" s="2">
        <f ca="1">INDEX(Simulations!$A$1:$BK$2501, 156, MATCH("ExitMultiple", Simulations!$A$1:$BK$1, 0))</f>
        <v>8.0021714149326666</v>
      </c>
      <c r="C156" s="2">
        <f ca="1">INDEX(Simulations!$A$1:$BK$2501, 156, MATCH("RevCAGR", Simulations!$A$1:$BK$1, 0))</f>
        <v>2.941825000691678E-2</v>
      </c>
      <c r="D156" s="2">
        <f ca="1">INDEX(Simulations!$A$1:$BK$2501, 156, MATCH("SynMargin", Simulations!$A$1:$BK$1, 0))</f>
        <v>7.8681191733751491E-3</v>
      </c>
      <c r="E156" s="2">
        <f ca="1">INDEX(Simulations!$A$1:$BK$2501, 156, MATCH("Yr1Shock", Simulations!$A$1:$BK$1, 0))</f>
        <v>3.034743037985875E-4</v>
      </c>
    </row>
    <row r="157" spans="1:5" x14ac:dyDescent="0.3">
      <c r="A157" s="2">
        <f ca="1">INDEX(Simulations!$A$1:$BK$2501, 157, MATCH("PurchaseMultiple", Simulations!$A$1:$BK$1, 0))</f>
        <v>6.9414744519501843</v>
      </c>
      <c r="B157" s="2">
        <f ca="1">INDEX(Simulations!$A$1:$BK$2501, 157, MATCH("ExitMultiple", Simulations!$A$1:$BK$1, 0))</f>
        <v>7.403768957796883</v>
      </c>
      <c r="C157" s="2">
        <f ca="1">INDEX(Simulations!$A$1:$BK$2501, 157, MATCH("RevCAGR", Simulations!$A$1:$BK$1, 0))</f>
        <v>3.088020038932187E-2</v>
      </c>
      <c r="D157" s="2">
        <f ca="1">INDEX(Simulations!$A$1:$BK$2501, 157, MATCH("SynMargin", Simulations!$A$1:$BK$1, 0))</f>
        <v>1.8067499211202848E-2</v>
      </c>
      <c r="E157" s="2">
        <f ca="1">INDEX(Simulations!$A$1:$BK$2501, 157, MATCH("Yr1Shock", Simulations!$A$1:$BK$1, 0))</f>
        <v>4.3737762585750808E-2</v>
      </c>
    </row>
    <row r="158" spans="1:5" x14ac:dyDescent="0.3">
      <c r="A158" s="2">
        <f ca="1">INDEX(Simulations!$A$1:$BK$2501, 158, MATCH("PurchaseMultiple", Simulations!$A$1:$BK$1, 0))</f>
        <v>6.9880342973795786</v>
      </c>
      <c r="B158" s="2">
        <f ca="1">INDEX(Simulations!$A$1:$BK$2501, 158, MATCH("ExitMultiple", Simulations!$A$1:$BK$1, 0))</f>
        <v>7.6600462098497726</v>
      </c>
      <c r="C158" s="2">
        <f ca="1">INDEX(Simulations!$A$1:$BK$2501, 158, MATCH("RevCAGR", Simulations!$A$1:$BK$1, 0))</f>
        <v>2.1538220639157918E-2</v>
      </c>
      <c r="D158" s="2">
        <f ca="1">INDEX(Simulations!$A$1:$BK$2501, 158, MATCH("SynMargin", Simulations!$A$1:$BK$1, 0))</f>
        <v>1.0231341171912628E-2</v>
      </c>
      <c r="E158" s="2">
        <f ca="1">INDEX(Simulations!$A$1:$BK$2501, 158, MATCH("Yr1Shock", Simulations!$A$1:$BK$1, 0))</f>
        <v>8.6109056158769938E-3</v>
      </c>
    </row>
    <row r="159" spans="1:5" x14ac:dyDescent="0.3">
      <c r="A159" s="2">
        <f ca="1">INDEX(Simulations!$A$1:$BK$2501, 159, MATCH("PurchaseMultiple", Simulations!$A$1:$BK$1, 0))</f>
        <v>6.203209645007373</v>
      </c>
      <c r="B159" s="2">
        <f ca="1">INDEX(Simulations!$A$1:$BK$2501, 159, MATCH("ExitMultiple", Simulations!$A$1:$BK$1, 0))</f>
        <v>7.715134228740709</v>
      </c>
      <c r="C159" s="2">
        <f ca="1">INDEX(Simulations!$A$1:$BK$2501, 159, MATCH("RevCAGR", Simulations!$A$1:$BK$1, 0))</f>
        <v>4.2352713973318912E-2</v>
      </c>
      <c r="D159" s="2">
        <f ca="1">INDEX(Simulations!$A$1:$BK$2501, 159, MATCH("SynMargin", Simulations!$A$1:$BK$1, 0))</f>
        <v>9.2353457075473235E-3</v>
      </c>
      <c r="E159" s="2">
        <f ca="1">INDEX(Simulations!$A$1:$BK$2501, 159, MATCH("Yr1Shock", Simulations!$A$1:$BK$1, 0))</f>
        <v>-0.05</v>
      </c>
    </row>
    <row r="160" spans="1:5" x14ac:dyDescent="0.3">
      <c r="A160" s="2">
        <f ca="1">INDEX(Simulations!$A$1:$BK$2501, 160, MATCH("PurchaseMultiple", Simulations!$A$1:$BK$1, 0))</f>
        <v>6.2263567086164491</v>
      </c>
      <c r="B160" s="2">
        <f ca="1">INDEX(Simulations!$A$1:$BK$2501, 160, MATCH("ExitMultiple", Simulations!$A$1:$BK$1, 0))</f>
        <v>6.8003939401158187</v>
      </c>
      <c r="C160" s="2">
        <f ca="1">INDEX(Simulations!$A$1:$BK$2501, 160, MATCH("RevCAGR", Simulations!$A$1:$BK$1, 0))</f>
        <v>6.7922072509619263E-2</v>
      </c>
      <c r="D160" s="2">
        <f ca="1">INDEX(Simulations!$A$1:$BK$2501, 160, MATCH("SynMargin", Simulations!$A$1:$BK$1, 0))</f>
        <v>8.2558374535421034E-3</v>
      </c>
      <c r="E160" s="2">
        <f ca="1">INDEX(Simulations!$A$1:$BK$2501, 160, MATCH("Yr1Shock", Simulations!$A$1:$BK$1, 0))</f>
        <v>-1.0803586749188836E-2</v>
      </c>
    </row>
    <row r="161" spans="1:5" x14ac:dyDescent="0.3">
      <c r="A161" s="2">
        <f ca="1">INDEX(Simulations!$A$1:$BK$2501, 161, MATCH("PurchaseMultiple", Simulations!$A$1:$BK$1, 0))</f>
        <v>7.1896301621959378</v>
      </c>
      <c r="B161" s="2">
        <f ca="1">INDEX(Simulations!$A$1:$BK$2501, 161, MATCH("ExitMultiple", Simulations!$A$1:$BK$1, 0))</f>
        <v>7.486109008231451</v>
      </c>
      <c r="C161" s="2">
        <f ca="1">INDEX(Simulations!$A$1:$BK$2501, 161, MATCH("RevCAGR", Simulations!$A$1:$BK$1, 0))</f>
        <v>1.6947733957383134E-2</v>
      </c>
      <c r="D161" s="2">
        <f ca="1">INDEX(Simulations!$A$1:$BK$2501, 161, MATCH("SynMargin", Simulations!$A$1:$BK$1, 0))</f>
        <v>4.5552461686869982E-3</v>
      </c>
      <c r="E161" s="2">
        <f ca="1">INDEX(Simulations!$A$1:$BK$2501, 161, MATCH("Yr1Shock", Simulations!$A$1:$BK$1, 0))</f>
        <v>-4.3166227311581443E-2</v>
      </c>
    </row>
    <row r="162" spans="1:5" x14ac:dyDescent="0.3">
      <c r="A162" s="2">
        <f ca="1">INDEX(Simulations!$A$1:$BK$2501, 162, MATCH("PurchaseMultiple", Simulations!$A$1:$BK$1, 0))</f>
        <v>7.6315321531377878</v>
      </c>
      <c r="B162" s="2">
        <f ca="1">INDEX(Simulations!$A$1:$BK$2501, 162, MATCH("ExitMultiple", Simulations!$A$1:$BK$1, 0))</f>
        <v>8.0026351826955953</v>
      </c>
      <c r="C162" s="2">
        <f ca="1">INDEX(Simulations!$A$1:$BK$2501, 162, MATCH("RevCAGR", Simulations!$A$1:$BK$1, 0))</f>
        <v>3.1165200158069686E-2</v>
      </c>
      <c r="D162" s="2">
        <f ca="1">INDEX(Simulations!$A$1:$BK$2501, 162, MATCH("SynMargin", Simulations!$A$1:$BK$1, 0))</f>
        <v>1.9528930091879008E-2</v>
      </c>
      <c r="E162" s="2">
        <f ca="1">INDEX(Simulations!$A$1:$BK$2501, 162, MATCH("Yr1Shock", Simulations!$A$1:$BK$1, 0))</f>
        <v>-6.4255477263181768E-3</v>
      </c>
    </row>
    <row r="163" spans="1:5" x14ac:dyDescent="0.3">
      <c r="A163" s="2">
        <f ca="1">INDEX(Simulations!$A$1:$BK$2501, 163, MATCH("PurchaseMultiple", Simulations!$A$1:$BK$1, 0))</f>
        <v>7.588731515583123</v>
      </c>
      <c r="B163" s="2">
        <f ca="1">INDEX(Simulations!$A$1:$BK$2501, 163, MATCH("ExitMultiple", Simulations!$A$1:$BK$1, 0))</f>
        <v>7.506873547153381</v>
      </c>
      <c r="C163" s="2">
        <f ca="1">INDEX(Simulations!$A$1:$BK$2501, 163, MATCH("RevCAGR", Simulations!$A$1:$BK$1, 0))</f>
        <v>1.2477444606999653E-2</v>
      </c>
      <c r="D163" s="2">
        <f ca="1">INDEX(Simulations!$A$1:$BK$2501, 163, MATCH("SynMargin", Simulations!$A$1:$BK$1, 0))</f>
        <v>4.4696324609044833E-3</v>
      </c>
      <c r="E163" s="2">
        <f ca="1">INDEX(Simulations!$A$1:$BK$2501, 163, MATCH("Yr1Shock", Simulations!$A$1:$BK$1, 0))</f>
        <v>2.7762343097368163E-3</v>
      </c>
    </row>
    <row r="164" spans="1:5" x14ac:dyDescent="0.3">
      <c r="A164" s="2">
        <f ca="1">INDEX(Simulations!$A$1:$BK$2501, 164, MATCH("PurchaseMultiple", Simulations!$A$1:$BK$1, 0))</f>
        <v>6.6856791655364969</v>
      </c>
      <c r="B164" s="2">
        <f ca="1">INDEX(Simulations!$A$1:$BK$2501, 164, MATCH("ExitMultiple", Simulations!$A$1:$BK$1, 0))</f>
        <v>7.2862128690071923</v>
      </c>
      <c r="C164" s="2">
        <f ca="1">INDEX(Simulations!$A$1:$BK$2501, 164, MATCH("RevCAGR", Simulations!$A$1:$BK$1, 0))</f>
        <v>6.2228123043932944E-2</v>
      </c>
      <c r="D164" s="2">
        <f ca="1">INDEX(Simulations!$A$1:$BK$2501, 164, MATCH("SynMargin", Simulations!$A$1:$BK$1, 0))</f>
        <v>7.0459397604257148E-3</v>
      </c>
      <c r="E164" s="2">
        <f ca="1">INDEX(Simulations!$A$1:$BK$2501, 164, MATCH("Yr1Shock", Simulations!$A$1:$BK$1, 0))</f>
        <v>2.5079422487123064E-3</v>
      </c>
    </row>
    <row r="165" spans="1:5" x14ac:dyDescent="0.3">
      <c r="A165" s="2">
        <f ca="1">INDEX(Simulations!$A$1:$BK$2501, 165, MATCH("PurchaseMultiple", Simulations!$A$1:$BK$1, 0))</f>
        <v>7.126474289274678</v>
      </c>
      <c r="B165" s="2">
        <f ca="1">INDEX(Simulations!$A$1:$BK$2501, 165, MATCH("ExitMultiple", Simulations!$A$1:$BK$1, 0))</f>
        <v>7.2907212783743081</v>
      </c>
      <c r="C165" s="2">
        <f ca="1">INDEX(Simulations!$A$1:$BK$2501, 165, MATCH("RevCAGR", Simulations!$A$1:$BK$1, 0))</f>
        <v>2.9171872434092874E-3</v>
      </c>
      <c r="D165" s="2">
        <f ca="1">INDEX(Simulations!$A$1:$BK$2501, 165, MATCH("SynMargin", Simulations!$A$1:$BK$1, 0))</f>
        <v>1.1812928252467315E-2</v>
      </c>
      <c r="E165" s="2">
        <f ca="1">INDEX(Simulations!$A$1:$BK$2501, 165, MATCH("Yr1Shock", Simulations!$A$1:$BK$1, 0))</f>
        <v>3.150019481938255E-2</v>
      </c>
    </row>
    <row r="166" spans="1:5" x14ac:dyDescent="0.3">
      <c r="A166" s="2">
        <f ca="1">INDEX(Simulations!$A$1:$BK$2501, 166, MATCH("PurchaseMultiple", Simulations!$A$1:$BK$1, 0))</f>
        <v>7.5983896652140723</v>
      </c>
      <c r="B166" s="2">
        <f ca="1">INDEX(Simulations!$A$1:$BK$2501, 166, MATCH("ExitMultiple", Simulations!$A$1:$BK$1, 0))</f>
        <v>7.2203709960832692</v>
      </c>
      <c r="C166" s="2">
        <f ca="1">INDEX(Simulations!$A$1:$BK$2501, 166, MATCH("RevCAGR", Simulations!$A$1:$BK$1, 0))</f>
        <v>2.2136016528041185E-2</v>
      </c>
      <c r="D166" s="2">
        <f ca="1">INDEX(Simulations!$A$1:$BK$2501, 166, MATCH("SynMargin", Simulations!$A$1:$BK$1, 0))</f>
        <v>1.5883722416565365E-2</v>
      </c>
      <c r="E166" s="2">
        <f ca="1">INDEX(Simulations!$A$1:$BK$2501, 166, MATCH("Yr1Shock", Simulations!$A$1:$BK$1, 0))</f>
        <v>-8.1211390819291487E-3</v>
      </c>
    </row>
    <row r="167" spans="1:5" x14ac:dyDescent="0.3">
      <c r="A167" s="2">
        <f ca="1">INDEX(Simulations!$A$1:$BK$2501, 167, MATCH("PurchaseMultiple", Simulations!$A$1:$BK$1, 0))</f>
        <v>6.3971826801950717</v>
      </c>
      <c r="B167" s="2">
        <f ca="1">INDEX(Simulations!$A$1:$BK$2501, 167, MATCH("ExitMultiple", Simulations!$A$1:$BK$1, 0))</f>
        <v>7.4990078366007635</v>
      </c>
      <c r="C167" s="2">
        <f ca="1">INDEX(Simulations!$A$1:$BK$2501, 167, MATCH("RevCAGR", Simulations!$A$1:$BK$1, 0))</f>
        <v>6.7898623070841185E-2</v>
      </c>
      <c r="D167" s="2">
        <f ca="1">INDEX(Simulations!$A$1:$BK$2501, 167, MATCH("SynMargin", Simulations!$A$1:$BK$1, 0))</f>
        <v>9.9361701465263876E-3</v>
      </c>
      <c r="E167" s="2">
        <f ca="1">INDEX(Simulations!$A$1:$BK$2501, 167, MATCH("Yr1Shock", Simulations!$A$1:$BK$1, 0))</f>
        <v>-2.9504973303578496E-2</v>
      </c>
    </row>
    <row r="168" spans="1:5" x14ac:dyDescent="0.3">
      <c r="A168" s="2">
        <f ca="1">INDEX(Simulations!$A$1:$BK$2501, 168, MATCH("PurchaseMultiple", Simulations!$A$1:$BK$1, 0))</f>
        <v>7.3221846156623851</v>
      </c>
      <c r="B168" s="2">
        <f ca="1">INDEX(Simulations!$A$1:$BK$2501, 168, MATCH("ExitMultiple", Simulations!$A$1:$BK$1, 0))</f>
        <v>7.1307926870576539</v>
      </c>
      <c r="C168" s="2">
        <f ca="1">INDEX(Simulations!$A$1:$BK$2501, 168, MATCH("RevCAGR", Simulations!$A$1:$BK$1, 0))</f>
        <v>1.1790081048597273E-3</v>
      </c>
      <c r="D168" s="2">
        <f ca="1">INDEX(Simulations!$A$1:$BK$2501, 168, MATCH("SynMargin", Simulations!$A$1:$BK$1, 0))</f>
        <v>1.0844820962662339E-2</v>
      </c>
      <c r="E168" s="2">
        <f ca="1">INDEX(Simulations!$A$1:$BK$2501, 168, MATCH("Yr1Shock", Simulations!$A$1:$BK$1, 0))</f>
        <v>1.0118767464459368E-3</v>
      </c>
    </row>
    <row r="169" spans="1:5" x14ac:dyDescent="0.3">
      <c r="A169" s="2">
        <f ca="1">INDEX(Simulations!$A$1:$BK$2501, 169, MATCH("PurchaseMultiple", Simulations!$A$1:$BK$1, 0))</f>
        <v>6.8347760554738546</v>
      </c>
      <c r="B169" s="2">
        <f ca="1">INDEX(Simulations!$A$1:$BK$2501, 169, MATCH("ExitMultiple", Simulations!$A$1:$BK$1, 0))</f>
        <v>7.1079731425614741</v>
      </c>
      <c r="C169" s="2">
        <f ca="1">INDEX(Simulations!$A$1:$BK$2501, 169, MATCH("RevCAGR", Simulations!$A$1:$BK$1, 0))</f>
        <v>7.9752029855385931E-2</v>
      </c>
      <c r="D169" s="2">
        <f ca="1">INDEX(Simulations!$A$1:$BK$2501, 169, MATCH("SynMargin", Simulations!$A$1:$BK$1, 0))</f>
        <v>7.6669374728108135E-3</v>
      </c>
      <c r="E169" s="2">
        <f ca="1">INDEX(Simulations!$A$1:$BK$2501, 169, MATCH("Yr1Shock", Simulations!$A$1:$BK$1, 0))</f>
        <v>9.0438101152414217E-3</v>
      </c>
    </row>
    <row r="170" spans="1:5" x14ac:dyDescent="0.3">
      <c r="A170" s="2">
        <f ca="1">INDEX(Simulations!$A$1:$BK$2501, 170, MATCH("PurchaseMultiple", Simulations!$A$1:$BK$1, 0))</f>
        <v>6.9219263955370804</v>
      </c>
      <c r="B170" s="2">
        <f ca="1">INDEX(Simulations!$A$1:$BK$2501, 170, MATCH("ExitMultiple", Simulations!$A$1:$BK$1, 0))</f>
        <v>6.7313009333640457</v>
      </c>
      <c r="C170" s="2">
        <f ca="1">INDEX(Simulations!$A$1:$BK$2501, 170, MATCH("RevCAGR", Simulations!$A$1:$BK$1, 0))</f>
        <v>5.4943961003465991E-2</v>
      </c>
      <c r="D170" s="2">
        <f ca="1">INDEX(Simulations!$A$1:$BK$2501, 170, MATCH("SynMargin", Simulations!$A$1:$BK$1, 0))</f>
        <v>1.0734185405316912E-2</v>
      </c>
      <c r="E170" s="2">
        <f ca="1">INDEX(Simulations!$A$1:$BK$2501, 170, MATCH("Yr1Shock", Simulations!$A$1:$BK$1, 0))</f>
        <v>-7.5472508611159851E-3</v>
      </c>
    </row>
    <row r="171" spans="1:5" x14ac:dyDescent="0.3">
      <c r="A171" s="2">
        <f ca="1">INDEX(Simulations!$A$1:$BK$2501, 171, MATCH("PurchaseMultiple", Simulations!$A$1:$BK$1, 0))</f>
        <v>7.1269165370179941</v>
      </c>
      <c r="B171" s="2">
        <f ca="1">INDEX(Simulations!$A$1:$BK$2501, 171, MATCH("ExitMultiple", Simulations!$A$1:$BK$1, 0))</f>
        <v>7.3294619131296548</v>
      </c>
      <c r="C171" s="2">
        <f ca="1">INDEX(Simulations!$A$1:$BK$2501, 171, MATCH("RevCAGR", Simulations!$A$1:$BK$1, 0))</f>
        <v>8.351372756085873E-2</v>
      </c>
      <c r="D171" s="2">
        <f ca="1">INDEX(Simulations!$A$1:$BK$2501, 171, MATCH("SynMargin", Simulations!$A$1:$BK$1, 0))</f>
        <v>1.3254572953425374E-2</v>
      </c>
      <c r="E171" s="2">
        <f ca="1">INDEX(Simulations!$A$1:$BK$2501, 171, MATCH("Yr1Shock", Simulations!$A$1:$BK$1, 0))</f>
        <v>-2.8294756126448856E-2</v>
      </c>
    </row>
    <row r="172" spans="1:5" x14ac:dyDescent="0.3">
      <c r="A172" s="2">
        <f ca="1">INDEX(Simulations!$A$1:$BK$2501, 172, MATCH("PurchaseMultiple", Simulations!$A$1:$BK$1, 0))</f>
        <v>6.8958392323978508</v>
      </c>
      <c r="B172" s="2">
        <f ca="1">INDEX(Simulations!$A$1:$BK$2501, 172, MATCH("ExitMultiple", Simulations!$A$1:$BK$1, 0))</f>
        <v>8.2372759261721402</v>
      </c>
      <c r="C172" s="2">
        <f ca="1">INDEX(Simulations!$A$1:$BK$2501, 172, MATCH("RevCAGR", Simulations!$A$1:$BK$1, 0))</f>
        <v>6.8477997256001052E-2</v>
      </c>
      <c r="D172" s="2">
        <f ca="1">INDEX(Simulations!$A$1:$BK$2501, 172, MATCH("SynMargin", Simulations!$A$1:$BK$1, 0))</f>
        <v>1.6650766009255313E-2</v>
      </c>
      <c r="E172" s="2">
        <f ca="1">INDEX(Simulations!$A$1:$BK$2501, 172, MATCH("Yr1Shock", Simulations!$A$1:$BK$1, 0))</f>
        <v>1.3369062831029991E-2</v>
      </c>
    </row>
    <row r="173" spans="1:5" x14ac:dyDescent="0.3">
      <c r="A173" s="2">
        <f ca="1">INDEX(Simulations!$A$1:$BK$2501, 173, MATCH("PurchaseMultiple", Simulations!$A$1:$BK$1, 0))</f>
        <v>7.0200363629029363</v>
      </c>
      <c r="B173" s="2">
        <f ca="1">INDEX(Simulations!$A$1:$BK$2501, 173, MATCH("ExitMultiple", Simulations!$A$1:$BK$1, 0))</f>
        <v>6.575544792126224</v>
      </c>
      <c r="C173" s="2">
        <f ca="1">INDEX(Simulations!$A$1:$BK$2501, 173, MATCH("RevCAGR", Simulations!$A$1:$BK$1, 0))</f>
        <v>7.112931234901862E-2</v>
      </c>
      <c r="D173" s="2">
        <f ca="1">INDEX(Simulations!$A$1:$BK$2501, 173, MATCH("SynMargin", Simulations!$A$1:$BK$1, 0))</f>
        <v>1.000865598259954E-2</v>
      </c>
      <c r="E173" s="2">
        <f ca="1">INDEX(Simulations!$A$1:$BK$2501, 173, MATCH("Yr1Shock", Simulations!$A$1:$BK$1, 0))</f>
        <v>-2.5201308502097976E-2</v>
      </c>
    </row>
    <row r="174" spans="1:5" x14ac:dyDescent="0.3">
      <c r="A174" s="2">
        <f ca="1">INDEX(Simulations!$A$1:$BK$2501, 174, MATCH("PurchaseMultiple", Simulations!$A$1:$BK$1, 0))</f>
        <v>7.06636987932559</v>
      </c>
      <c r="B174" s="2">
        <f ca="1">INDEX(Simulations!$A$1:$BK$2501, 174, MATCH("ExitMultiple", Simulations!$A$1:$BK$1, 0))</f>
        <v>7.8130411299195712</v>
      </c>
      <c r="C174" s="2">
        <f ca="1">INDEX(Simulations!$A$1:$BK$2501, 174, MATCH("RevCAGR", Simulations!$A$1:$BK$1, 0))</f>
        <v>1.578883498914729E-2</v>
      </c>
      <c r="D174" s="2">
        <f ca="1">INDEX(Simulations!$A$1:$BK$2501, 174, MATCH("SynMargin", Simulations!$A$1:$BK$1, 0))</f>
        <v>4.0640878146829332E-4</v>
      </c>
      <c r="E174" s="2">
        <f ca="1">INDEX(Simulations!$A$1:$BK$2501, 174, MATCH("Yr1Shock", Simulations!$A$1:$BK$1, 0))</f>
        <v>6.3054203188466183E-3</v>
      </c>
    </row>
    <row r="175" spans="1:5" x14ac:dyDescent="0.3">
      <c r="A175" s="2">
        <f ca="1">INDEX(Simulations!$A$1:$BK$2501, 175, MATCH("PurchaseMultiple", Simulations!$A$1:$BK$1, 0))</f>
        <v>6.6657974001640454</v>
      </c>
      <c r="B175" s="2">
        <f ca="1">INDEX(Simulations!$A$1:$BK$2501, 175, MATCH("ExitMultiple", Simulations!$A$1:$BK$1, 0))</f>
        <v>7.5569462983907707</v>
      </c>
      <c r="C175" s="2">
        <f ca="1">INDEX(Simulations!$A$1:$BK$2501, 175, MATCH("RevCAGR", Simulations!$A$1:$BK$1, 0))</f>
        <v>-4.6855698434784057E-3</v>
      </c>
      <c r="D175" s="2">
        <f ca="1">INDEX(Simulations!$A$1:$BK$2501, 175, MATCH("SynMargin", Simulations!$A$1:$BK$1, 0))</f>
        <v>1.5479600761273381E-2</v>
      </c>
      <c r="E175" s="2">
        <f ca="1">INDEX(Simulations!$A$1:$BK$2501, 175, MATCH("Yr1Shock", Simulations!$A$1:$BK$1, 0))</f>
        <v>7.0094954130325918E-3</v>
      </c>
    </row>
    <row r="176" spans="1:5" x14ac:dyDescent="0.3">
      <c r="A176" s="2">
        <f ca="1">INDEX(Simulations!$A$1:$BK$2501, 176, MATCH("PurchaseMultiple", Simulations!$A$1:$BK$1, 0))</f>
        <v>6.6465763148955403</v>
      </c>
      <c r="B176" s="2">
        <f ca="1">INDEX(Simulations!$A$1:$BK$2501, 176, MATCH("ExitMultiple", Simulations!$A$1:$BK$1, 0))</f>
        <v>7.1371504230337317</v>
      </c>
      <c r="C176" s="2">
        <f ca="1">INDEX(Simulations!$A$1:$BK$2501, 176, MATCH("RevCAGR", Simulations!$A$1:$BK$1, 0))</f>
        <v>6.2434703631911156E-2</v>
      </c>
      <c r="D176" s="2">
        <f ca="1">INDEX(Simulations!$A$1:$BK$2501, 176, MATCH("SynMargin", Simulations!$A$1:$BK$1, 0))</f>
        <v>1.485097113668964E-2</v>
      </c>
      <c r="E176" s="2">
        <f ca="1">INDEX(Simulations!$A$1:$BK$2501, 176, MATCH("Yr1Shock", Simulations!$A$1:$BK$1, 0))</f>
        <v>-1.9349457839545531E-2</v>
      </c>
    </row>
    <row r="177" spans="1:5" x14ac:dyDescent="0.3">
      <c r="A177" s="2">
        <f ca="1">INDEX(Simulations!$A$1:$BK$2501, 177, MATCH("PurchaseMultiple", Simulations!$A$1:$BK$1, 0))</f>
        <v>6.9175362852047106</v>
      </c>
      <c r="B177" s="2">
        <f ca="1">INDEX(Simulations!$A$1:$BK$2501, 177, MATCH("ExitMultiple", Simulations!$A$1:$BK$1, 0))</f>
        <v>7.4035428907937897</v>
      </c>
      <c r="C177" s="2">
        <f ca="1">INDEX(Simulations!$A$1:$BK$2501, 177, MATCH("RevCAGR", Simulations!$A$1:$BK$1, 0))</f>
        <v>6.2620700991403114E-2</v>
      </c>
      <c r="D177" s="2">
        <f ca="1">INDEX(Simulations!$A$1:$BK$2501, 177, MATCH("SynMargin", Simulations!$A$1:$BK$1, 0))</f>
        <v>8.063760412462052E-3</v>
      </c>
      <c r="E177" s="2">
        <f ca="1">INDEX(Simulations!$A$1:$BK$2501, 177, MATCH("Yr1Shock", Simulations!$A$1:$BK$1, 0))</f>
        <v>2.3050570665953188E-2</v>
      </c>
    </row>
    <row r="178" spans="1:5" x14ac:dyDescent="0.3">
      <c r="A178" s="2">
        <f ca="1">INDEX(Simulations!$A$1:$BK$2501, 178, MATCH("PurchaseMultiple", Simulations!$A$1:$BK$1, 0))</f>
        <v>6.3666955854641332</v>
      </c>
      <c r="B178" s="2">
        <f ca="1">INDEX(Simulations!$A$1:$BK$2501, 178, MATCH("ExitMultiple", Simulations!$A$1:$BK$1, 0))</f>
        <v>7.6625910723566566</v>
      </c>
      <c r="C178" s="2">
        <f ca="1">INDEX(Simulations!$A$1:$BK$2501, 178, MATCH("RevCAGR", Simulations!$A$1:$BK$1, 0))</f>
        <v>3.3325013462251557E-2</v>
      </c>
      <c r="D178" s="2">
        <f ca="1">INDEX(Simulations!$A$1:$BK$2501, 178, MATCH("SynMargin", Simulations!$A$1:$BK$1, 0))</f>
        <v>1.9572136495848595E-2</v>
      </c>
      <c r="E178" s="2">
        <f ca="1">INDEX(Simulations!$A$1:$BK$2501, 178, MATCH("Yr1Shock", Simulations!$A$1:$BK$1, 0))</f>
        <v>7.6737592363062207E-3</v>
      </c>
    </row>
    <row r="179" spans="1:5" x14ac:dyDescent="0.3">
      <c r="A179" s="2">
        <f ca="1">INDEX(Simulations!$A$1:$BK$2501, 179, MATCH("PurchaseMultiple", Simulations!$A$1:$BK$1, 0))</f>
        <v>7.068974307319519</v>
      </c>
      <c r="B179" s="2">
        <f ca="1">INDEX(Simulations!$A$1:$BK$2501, 179, MATCH("ExitMultiple", Simulations!$A$1:$BK$1, 0))</f>
        <v>7.0592905853871164</v>
      </c>
      <c r="C179" s="2">
        <f ca="1">INDEX(Simulations!$A$1:$BK$2501, 179, MATCH("RevCAGR", Simulations!$A$1:$BK$1, 0))</f>
        <v>9.3842219509905178E-2</v>
      </c>
      <c r="D179" s="2">
        <f ca="1">INDEX(Simulations!$A$1:$BK$2501, 179, MATCH("SynMargin", Simulations!$A$1:$BK$1, 0))</f>
        <v>1.1769931561543684E-3</v>
      </c>
      <c r="E179" s="2">
        <f ca="1">INDEX(Simulations!$A$1:$BK$2501, 179, MATCH("Yr1Shock", Simulations!$A$1:$BK$1, 0))</f>
        <v>1.3668040382312816E-2</v>
      </c>
    </row>
    <row r="180" spans="1:5" x14ac:dyDescent="0.3">
      <c r="A180" s="2">
        <f ca="1">INDEX(Simulations!$A$1:$BK$2501, 180, MATCH("PurchaseMultiple", Simulations!$A$1:$BK$1, 0))</f>
        <v>6.7092103723599248</v>
      </c>
      <c r="B180" s="2">
        <f ca="1">INDEX(Simulations!$A$1:$BK$2501, 180, MATCH("ExitMultiple", Simulations!$A$1:$BK$1, 0))</f>
        <v>7.8678881961734284</v>
      </c>
      <c r="C180" s="2">
        <f ca="1">INDEX(Simulations!$A$1:$BK$2501, 180, MATCH("RevCAGR", Simulations!$A$1:$BK$1, 0))</f>
        <v>-1.6387030862377437E-2</v>
      </c>
      <c r="D180" s="2">
        <f ca="1">INDEX(Simulations!$A$1:$BK$2501, 180, MATCH("SynMargin", Simulations!$A$1:$BK$1, 0))</f>
        <v>1.3489889140968332E-2</v>
      </c>
      <c r="E180" s="2">
        <f ca="1">INDEX(Simulations!$A$1:$BK$2501, 180, MATCH("Yr1Shock", Simulations!$A$1:$BK$1, 0))</f>
        <v>-1.356060007423638E-2</v>
      </c>
    </row>
    <row r="181" spans="1:5" x14ac:dyDescent="0.3">
      <c r="A181" s="2">
        <f ca="1">INDEX(Simulations!$A$1:$BK$2501, 181, MATCH("PurchaseMultiple", Simulations!$A$1:$BK$1, 0))</f>
        <v>7.1732510430217076</v>
      </c>
      <c r="B181" s="2">
        <f ca="1">INDEX(Simulations!$A$1:$BK$2501, 181, MATCH("ExitMultiple", Simulations!$A$1:$BK$1, 0))</f>
        <v>7.2162577987963257</v>
      </c>
      <c r="C181" s="2">
        <f ca="1">INDEX(Simulations!$A$1:$BK$2501, 181, MATCH("RevCAGR", Simulations!$A$1:$BK$1, 0))</f>
        <v>1.3958189317048751E-2</v>
      </c>
      <c r="D181" s="2">
        <f ca="1">INDEX(Simulations!$A$1:$BK$2501, 181, MATCH("SynMargin", Simulations!$A$1:$BK$1, 0))</f>
        <v>6.9294731320755244E-3</v>
      </c>
      <c r="E181" s="2">
        <f ca="1">INDEX(Simulations!$A$1:$BK$2501, 181, MATCH("Yr1Shock", Simulations!$A$1:$BK$1, 0))</f>
        <v>-7.8450935284159733E-3</v>
      </c>
    </row>
    <row r="182" spans="1:5" x14ac:dyDescent="0.3">
      <c r="A182" s="2">
        <f ca="1">INDEX(Simulations!$A$1:$BK$2501, 182, MATCH("PurchaseMultiple", Simulations!$A$1:$BK$1, 0))</f>
        <v>6.926371968825241</v>
      </c>
      <c r="B182" s="2">
        <f ca="1">INDEX(Simulations!$A$1:$BK$2501, 182, MATCH("ExitMultiple", Simulations!$A$1:$BK$1, 0))</f>
        <v>7.0662192002891446</v>
      </c>
      <c r="C182" s="2">
        <f ca="1">INDEX(Simulations!$A$1:$BK$2501, 182, MATCH("RevCAGR", Simulations!$A$1:$BK$1, 0))</f>
        <v>4.0675265343257487E-2</v>
      </c>
      <c r="D182" s="2">
        <f ca="1">INDEX(Simulations!$A$1:$BK$2501, 182, MATCH("SynMargin", Simulations!$A$1:$BK$1, 0))</f>
        <v>1.449521206152753E-2</v>
      </c>
      <c r="E182" s="2">
        <f ca="1">INDEX(Simulations!$A$1:$BK$2501, 182, MATCH("Yr1Shock", Simulations!$A$1:$BK$1, 0))</f>
        <v>-4.9017585176129752E-2</v>
      </c>
    </row>
    <row r="183" spans="1:5" x14ac:dyDescent="0.3">
      <c r="A183" s="2">
        <f ca="1">INDEX(Simulations!$A$1:$BK$2501, 183, MATCH("PurchaseMultiple", Simulations!$A$1:$BK$1, 0))</f>
        <v>7.4959117203117573</v>
      </c>
      <c r="B183" s="2">
        <f ca="1">INDEX(Simulations!$A$1:$BK$2501, 183, MATCH("ExitMultiple", Simulations!$A$1:$BK$1, 0))</f>
        <v>7.7300225755821188</v>
      </c>
      <c r="C183" s="2">
        <f ca="1">INDEX(Simulations!$A$1:$BK$2501, 183, MATCH("RevCAGR", Simulations!$A$1:$BK$1, 0))</f>
        <v>3.4553800043074297E-2</v>
      </c>
      <c r="D183" s="2">
        <f ca="1">INDEX(Simulations!$A$1:$BK$2501, 183, MATCH("SynMargin", Simulations!$A$1:$BK$1, 0))</f>
        <v>1.5281583433346992E-2</v>
      </c>
      <c r="E183" s="2">
        <f ca="1">INDEX(Simulations!$A$1:$BK$2501, 183, MATCH("Yr1Shock", Simulations!$A$1:$BK$1, 0))</f>
        <v>2.271659385697723E-3</v>
      </c>
    </row>
    <row r="184" spans="1:5" x14ac:dyDescent="0.3">
      <c r="A184" s="2">
        <f ca="1">INDEX(Simulations!$A$1:$BK$2501, 184, MATCH("PurchaseMultiple", Simulations!$A$1:$BK$1, 0))</f>
        <v>7.7243783467931681</v>
      </c>
      <c r="B184" s="2">
        <f ca="1">INDEX(Simulations!$A$1:$BK$2501, 184, MATCH("ExitMultiple", Simulations!$A$1:$BK$1, 0))</f>
        <v>8.0835557571559438</v>
      </c>
      <c r="C184" s="2">
        <f ca="1">INDEX(Simulations!$A$1:$BK$2501, 184, MATCH("RevCAGR", Simulations!$A$1:$BK$1, 0))</f>
        <v>1.1318262314372923E-2</v>
      </c>
      <c r="D184" s="2">
        <f ca="1">INDEX(Simulations!$A$1:$BK$2501, 184, MATCH("SynMargin", Simulations!$A$1:$BK$1, 0))</f>
        <v>1.3916283910992103E-2</v>
      </c>
      <c r="E184" s="2">
        <f ca="1">INDEX(Simulations!$A$1:$BK$2501, 184, MATCH("Yr1Shock", Simulations!$A$1:$BK$1, 0))</f>
        <v>-1.6824302773314778E-3</v>
      </c>
    </row>
    <row r="185" spans="1:5" x14ac:dyDescent="0.3">
      <c r="A185" s="2">
        <f ca="1">INDEX(Simulations!$A$1:$BK$2501, 185, MATCH("PurchaseMultiple", Simulations!$A$1:$BK$1, 0))</f>
        <v>7.2866717306548026</v>
      </c>
      <c r="B185" s="2">
        <f ca="1">INDEX(Simulations!$A$1:$BK$2501, 185, MATCH("ExitMultiple", Simulations!$A$1:$BK$1, 0))</f>
        <v>7.785231848374691</v>
      </c>
      <c r="C185" s="2">
        <f ca="1">INDEX(Simulations!$A$1:$BK$2501, 185, MATCH("RevCAGR", Simulations!$A$1:$BK$1, 0))</f>
        <v>0.10458118697089575</v>
      </c>
      <c r="D185" s="2">
        <f ca="1">INDEX(Simulations!$A$1:$BK$2501, 185, MATCH("SynMargin", Simulations!$A$1:$BK$1, 0))</f>
        <v>2.0281307956206571E-2</v>
      </c>
      <c r="E185" s="2">
        <f ca="1">INDEX(Simulations!$A$1:$BK$2501, 185, MATCH("Yr1Shock", Simulations!$A$1:$BK$1, 0))</f>
        <v>-3.6479018330768894E-4</v>
      </c>
    </row>
    <row r="186" spans="1:5" x14ac:dyDescent="0.3">
      <c r="A186" s="2">
        <f ca="1">INDEX(Simulations!$A$1:$BK$2501, 186, MATCH("PurchaseMultiple", Simulations!$A$1:$BK$1, 0))</f>
        <v>7.8532232183558301</v>
      </c>
      <c r="B186" s="2">
        <f ca="1">INDEX(Simulations!$A$1:$BK$2501, 186, MATCH("ExitMultiple", Simulations!$A$1:$BK$1, 0))</f>
        <v>7.3485127302750923</v>
      </c>
      <c r="C186" s="2">
        <f ca="1">INDEX(Simulations!$A$1:$BK$2501, 186, MATCH("RevCAGR", Simulations!$A$1:$BK$1, 0))</f>
        <v>6.2492921803108337E-2</v>
      </c>
      <c r="D186" s="2">
        <f ca="1">INDEX(Simulations!$A$1:$BK$2501, 186, MATCH("SynMargin", Simulations!$A$1:$BK$1, 0))</f>
        <v>1.30316467692416E-2</v>
      </c>
      <c r="E186" s="2">
        <f ca="1">INDEX(Simulations!$A$1:$BK$2501, 186, MATCH("Yr1Shock", Simulations!$A$1:$BK$1, 0))</f>
        <v>-1.6772994945787587E-2</v>
      </c>
    </row>
    <row r="187" spans="1:5" x14ac:dyDescent="0.3">
      <c r="A187" s="2">
        <f ca="1">INDEX(Simulations!$A$1:$BK$2501, 187, MATCH("PurchaseMultiple", Simulations!$A$1:$BK$1, 0))</f>
        <v>7.011189141338936</v>
      </c>
      <c r="B187" s="2">
        <f ca="1">INDEX(Simulations!$A$1:$BK$2501, 187, MATCH("ExitMultiple", Simulations!$A$1:$BK$1, 0))</f>
        <v>8.4193993871946677</v>
      </c>
      <c r="C187" s="2">
        <f ca="1">INDEX(Simulations!$A$1:$BK$2501, 187, MATCH("RevCAGR", Simulations!$A$1:$BK$1, 0))</f>
        <v>0.10802584496959422</v>
      </c>
      <c r="D187" s="2">
        <f ca="1">INDEX(Simulations!$A$1:$BK$2501, 187, MATCH("SynMargin", Simulations!$A$1:$BK$1, 0))</f>
        <v>1.644095334062963E-2</v>
      </c>
      <c r="E187" s="2">
        <f ca="1">INDEX(Simulations!$A$1:$BK$2501, 187, MATCH("Yr1Shock", Simulations!$A$1:$BK$1, 0))</f>
        <v>-3.2742490852525458E-3</v>
      </c>
    </row>
    <row r="188" spans="1:5" x14ac:dyDescent="0.3">
      <c r="A188" s="2">
        <f ca="1">INDEX(Simulations!$A$1:$BK$2501, 188, MATCH("PurchaseMultiple", Simulations!$A$1:$BK$1, 0))</f>
        <v>6.7156186159709055</v>
      </c>
      <c r="B188" s="2">
        <f ca="1">INDEX(Simulations!$A$1:$BK$2501, 188, MATCH("ExitMultiple", Simulations!$A$1:$BK$1, 0))</f>
        <v>7.9848929899497101</v>
      </c>
      <c r="C188" s="2">
        <f ca="1">INDEX(Simulations!$A$1:$BK$2501, 188, MATCH("RevCAGR", Simulations!$A$1:$BK$1, 0))</f>
        <v>7.0338892256811669E-2</v>
      </c>
      <c r="D188" s="2">
        <f ca="1">INDEX(Simulations!$A$1:$BK$2501, 188, MATCH("SynMargin", Simulations!$A$1:$BK$1, 0))</f>
        <v>8.7942813463397634E-3</v>
      </c>
      <c r="E188" s="2">
        <f ca="1">INDEX(Simulations!$A$1:$BK$2501, 188, MATCH("Yr1Shock", Simulations!$A$1:$BK$1, 0))</f>
        <v>0.05</v>
      </c>
    </row>
    <row r="189" spans="1:5" x14ac:dyDescent="0.3">
      <c r="A189" s="2">
        <f ca="1">INDEX(Simulations!$A$1:$BK$2501, 189, MATCH("PurchaseMultiple", Simulations!$A$1:$BK$1, 0))</f>
        <v>6.8430939637329153</v>
      </c>
      <c r="B189" s="2">
        <f ca="1">INDEX(Simulations!$A$1:$BK$2501, 189, MATCH("ExitMultiple", Simulations!$A$1:$BK$1, 0))</f>
        <v>6.9150612817995842</v>
      </c>
      <c r="C189" s="2">
        <f ca="1">INDEX(Simulations!$A$1:$BK$2501, 189, MATCH("RevCAGR", Simulations!$A$1:$BK$1, 0))</f>
        <v>0.12</v>
      </c>
      <c r="D189" s="2">
        <f ca="1">INDEX(Simulations!$A$1:$BK$2501, 189, MATCH("SynMargin", Simulations!$A$1:$BK$1, 0))</f>
        <v>1.6690628690225608E-2</v>
      </c>
      <c r="E189" s="2">
        <f ca="1">INDEX(Simulations!$A$1:$BK$2501, 189, MATCH("Yr1Shock", Simulations!$A$1:$BK$1, 0))</f>
        <v>-6.1931836872581424E-3</v>
      </c>
    </row>
    <row r="190" spans="1:5" x14ac:dyDescent="0.3">
      <c r="A190" s="2">
        <f ca="1">INDEX(Simulations!$A$1:$BK$2501, 190, MATCH("PurchaseMultiple", Simulations!$A$1:$BK$1, 0))</f>
        <v>6.3055349977472179</v>
      </c>
      <c r="B190" s="2">
        <f ca="1">INDEX(Simulations!$A$1:$BK$2501, 190, MATCH("ExitMultiple", Simulations!$A$1:$BK$1, 0))</f>
        <v>7.6396841236678803</v>
      </c>
      <c r="C190" s="2">
        <f ca="1">INDEX(Simulations!$A$1:$BK$2501, 190, MATCH("RevCAGR", Simulations!$A$1:$BK$1, 0))</f>
        <v>7.5971833599283334E-2</v>
      </c>
      <c r="D190" s="2">
        <f ca="1">INDEX(Simulations!$A$1:$BK$2501, 190, MATCH("SynMargin", Simulations!$A$1:$BK$1, 0))</f>
        <v>1.4438575024246477E-2</v>
      </c>
      <c r="E190" s="2">
        <f ca="1">INDEX(Simulations!$A$1:$BK$2501, 190, MATCH("Yr1Shock", Simulations!$A$1:$BK$1, 0))</f>
        <v>9.3944419831186593E-3</v>
      </c>
    </row>
    <row r="191" spans="1:5" x14ac:dyDescent="0.3">
      <c r="A191" s="2">
        <f ca="1">INDEX(Simulations!$A$1:$BK$2501, 191, MATCH("PurchaseMultiple", Simulations!$A$1:$BK$1, 0))</f>
        <v>6.7628231658675295</v>
      </c>
      <c r="B191" s="2">
        <f ca="1">INDEX(Simulations!$A$1:$BK$2501, 191, MATCH("ExitMultiple", Simulations!$A$1:$BK$1, 0))</f>
        <v>8.0426504568850063</v>
      </c>
      <c r="C191" s="2">
        <f ca="1">INDEX(Simulations!$A$1:$BK$2501, 191, MATCH("RevCAGR", Simulations!$A$1:$BK$1, 0))</f>
        <v>9.9807284418957018E-3</v>
      </c>
      <c r="D191" s="2">
        <f ca="1">INDEX(Simulations!$A$1:$BK$2501, 191, MATCH("SynMargin", Simulations!$A$1:$BK$1, 0))</f>
        <v>9.6788377843372766E-3</v>
      </c>
      <c r="E191" s="2">
        <f ca="1">INDEX(Simulations!$A$1:$BK$2501, 191, MATCH("Yr1Shock", Simulations!$A$1:$BK$1, 0))</f>
        <v>2.3074419855291604E-2</v>
      </c>
    </row>
    <row r="192" spans="1:5" x14ac:dyDescent="0.3">
      <c r="A192" s="2">
        <f ca="1">INDEX(Simulations!$A$1:$BK$2501, 192, MATCH("PurchaseMultiple", Simulations!$A$1:$BK$1, 0))</f>
        <v>7.2930150657671113</v>
      </c>
      <c r="B192" s="2">
        <f ca="1">INDEX(Simulations!$A$1:$BK$2501, 192, MATCH("ExitMultiple", Simulations!$A$1:$BK$1, 0))</f>
        <v>8.0145004617415196</v>
      </c>
      <c r="C192" s="2">
        <f ca="1">INDEX(Simulations!$A$1:$BK$2501, 192, MATCH("RevCAGR", Simulations!$A$1:$BK$1, 0))</f>
        <v>2.7652113377327439E-2</v>
      </c>
      <c r="D192" s="2">
        <f ca="1">INDEX(Simulations!$A$1:$BK$2501, 192, MATCH("SynMargin", Simulations!$A$1:$BK$1, 0))</f>
        <v>1.3152896714275395E-2</v>
      </c>
      <c r="E192" s="2">
        <f ca="1">INDEX(Simulations!$A$1:$BK$2501, 192, MATCH("Yr1Shock", Simulations!$A$1:$BK$1, 0))</f>
        <v>-3.5461394226935536E-3</v>
      </c>
    </row>
    <row r="193" spans="1:5" x14ac:dyDescent="0.3">
      <c r="A193" s="2">
        <f ca="1">INDEX(Simulations!$A$1:$BK$2501, 193, MATCH("PurchaseMultiple", Simulations!$A$1:$BK$1, 0))</f>
        <v>6.7053584535343234</v>
      </c>
      <c r="B193" s="2">
        <f ca="1">INDEX(Simulations!$A$1:$BK$2501, 193, MATCH("ExitMultiple", Simulations!$A$1:$BK$1, 0))</f>
        <v>8.1381822157190289</v>
      </c>
      <c r="C193" s="2">
        <f ca="1">INDEX(Simulations!$A$1:$BK$2501, 193, MATCH("RevCAGR", Simulations!$A$1:$BK$1, 0))</f>
        <v>5.3466920762084827E-2</v>
      </c>
      <c r="D193" s="2">
        <f ca="1">INDEX(Simulations!$A$1:$BK$2501, 193, MATCH("SynMargin", Simulations!$A$1:$BK$1, 0))</f>
        <v>1.6963343112398173E-2</v>
      </c>
      <c r="E193" s="2">
        <f ca="1">INDEX(Simulations!$A$1:$BK$2501, 193, MATCH("Yr1Shock", Simulations!$A$1:$BK$1, 0))</f>
        <v>-1.4475447545994988E-2</v>
      </c>
    </row>
    <row r="194" spans="1:5" x14ac:dyDescent="0.3">
      <c r="A194" s="2">
        <f ca="1">INDEX(Simulations!$A$1:$BK$2501, 194, MATCH("PurchaseMultiple", Simulations!$A$1:$BK$1, 0))</f>
        <v>7.1065061459830865</v>
      </c>
      <c r="B194" s="2">
        <f ca="1">INDEX(Simulations!$A$1:$BK$2501, 194, MATCH("ExitMultiple", Simulations!$A$1:$BK$1, 0))</f>
        <v>7.5253905910376924</v>
      </c>
      <c r="C194" s="2">
        <f ca="1">INDEX(Simulations!$A$1:$BK$2501, 194, MATCH("RevCAGR", Simulations!$A$1:$BK$1, 0))</f>
        <v>2.6749893492852776E-2</v>
      </c>
      <c r="D194" s="2">
        <f ca="1">INDEX(Simulations!$A$1:$BK$2501, 194, MATCH("SynMargin", Simulations!$A$1:$BK$1, 0))</f>
        <v>1.0326782132644048E-2</v>
      </c>
      <c r="E194" s="2">
        <f ca="1">INDEX(Simulations!$A$1:$BK$2501, 194, MATCH("Yr1Shock", Simulations!$A$1:$BK$1, 0))</f>
        <v>2.9651111255664157E-2</v>
      </c>
    </row>
    <row r="195" spans="1:5" x14ac:dyDescent="0.3">
      <c r="A195" s="2">
        <f ca="1">INDEX(Simulations!$A$1:$BK$2501, 195, MATCH("PurchaseMultiple", Simulations!$A$1:$BK$1, 0))</f>
        <v>6.9291257765276342</v>
      </c>
      <c r="B195" s="2">
        <f ca="1">INDEX(Simulations!$A$1:$BK$2501, 195, MATCH("ExitMultiple", Simulations!$A$1:$BK$1, 0))</f>
        <v>8.0087060905975687</v>
      </c>
      <c r="C195" s="2">
        <f ca="1">INDEX(Simulations!$A$1:$BK$2501, 195, MATCH("RevCAGR", Simulations!$A$1:$BK$1, 0))</f>
        <v>-1.8680681422474039E-2</v>
      </c>
      <c r="D195" s="2">
        <f ca="1">INDEX(Simulations!$A$1:$BK$2501, 195, MATCH("SynMargin", Simulations!$A$1:$BK$1, 0))</f>
        <v>6.9045676113416842E-3</v>
      </c>
      <c r="E195" s="2">
        <f ca="1">INDEX(Simulations!$A$1:$BK$2501, 195, MATCH("Yr1Shock", Simulations!$A$1:$BK$1, 0))</f>
        <v>-3.4178347603355114E-4</v>
      </c>
    </row>
    <row r="196" spans="1:5" x14ac:dyDescent="0.3">
      <c r="A196" s="2">
        <f ca="1">INDEX(Simulations!$A$1:$BK$2501, 196, MATCH("PurchaseMultiple", Simulations!$A$1:$BK$1, 0))</f>
        <v>7.3634791558647406</v>
      </c>
      <c r="B196" s="2">
        <f ca="1">INDEX(Simulations!$A$1:$BK$2501, 196, MATCH("ExitMultiple", Simulations!$A$1:$BK$1, 0))</f>
        <v>6.6036893234037288</v>
      </c>
      <c r="C196" s="2">
        <f ca="1">INDEX(Simulations!$A$1:$BK$2501, 196, MATCH("RevCAGR", Simulations!$A$1:$BK$1, 0))</f>
        <v>2.8866385409239484E-3</v>
      </c>
      <c r="D196" s="2">
        <f ca="1">INDEX(Simulations!$A$1:$BK$2501, 196, MATCH("SynMargin", Simulations!$A$1:$BK$1, 0))</f>
        <v>6.8772195883372335E-3</v>
      </c>
      <c r="E196" s="2">
        <f ca="1">INDEX(Simulations!$A$1:$BK$2501, 196, MATCH("Yr1Shock", Simulations!$A$1:$BK$1, 0))</f>
        <v>8.5531369646969189E-3</v>
      </c>
    </row>
    <row r="197" spans="1:5" x14ac:dyDescent="0.3">
      <c r="A197" s="2">
        <f ca="1">INDEX(Simulations!$A$1:$BK$2501, 197, MATCH("PurchaseMultiple", Simulations!$A$1:$BK$1, 0))</f>
        <v>7.2109002606704218</v>
      </c>
      <c r="B197" s="2">
        <f ca="1">INDEX(Simulations!$A$1:$BK$2501, 197, MATCH("ExitMultiple", Simulations!$A$1:$BK$1, 0))</f>
        <v>7.4064571508526242</v>
      </c>
      <c r="C197" s="2">
        <f ca="1">INDEX(Simulations!$A$1:$BK$2501, 197, MATCH("RevCAGR", Simulations!$A$1:$BK$1, 0))</f>
        <v>4.0157065360260306E-2</v>
      </c>
      <c r="D197" s="2">
        <f ca="1">INDEX(Simulations!$A$1:$BK$2501, 197, MATCH("SynMargin", Simulations!$A$1:$BK$1, 0))</f>
        <v>1.5826641128218036E-2</v>
      </c>
      <c r="E197" s="2">
        <f ca="1">INDEX(Simulations!$A$1:$BK$2501, 197, MATCH("Yr1Shock", Simulations!$A$1:$BK$1, 0))</f>
        <v>4.0465583719629826E-3</v>
      </c>
    </row>
    <row r="198" spans="1:5" x14ac:dyDescent="0.3">
      <c r="A198" s="2">
        <f ca="1">INDEX(Simulations!$A$1:$BK$2501, 198, MATCH("PurchaseMultiple", Simulations!$A$1:$BK$1, 0))</f>
        <v>7.062428386063214</v>
      </c>
      <c r="B198" s="2">
        <f ca="1">INDEX(Simulations!$A$1:$BK$2501, 198, MATCH("ExitMultiple", Simulations!$A$1:$BK$1, 0))</f>
        <v>8.464273236169177</v>
      </c>
      <c r="C198" s="2">
        <f ca="1">INDEX(Simulations!$A$1:$BK$2501, 198, MATCH("RevCAGR", Simulations!$A$1:$BK$1, 0))</f>
        <v>1.3589718489392229E-2</v>
      </c>
      <c r="D198" s="2">
        <f ca="1">INDEX(Simulations!$A$1:$BK$2501, 198, MATCH("SynMargin", Simulations!$A$1:$BK$1, 0))</f>
        <v>8.476090916560302E-3</v>
      </c>
      <c r="E198" s="2">
        <f ca="1">INDEX(Simulations!$A$1:$BK$2501, 198, MATCH("Yr1Shock", Simulations!$A$1:$BK$1, 0))</f>
        <v>2.446498430668248E-2</v>
      </c>
    </row>
    <row r="199" spans="1:5" x14ac:dyDescent="0.3">
      <c r="A199" s="2">
        <f ca="1">INDEX(Simulations!$A$1:$BK$2501, 199, MATCH("PurchaseMultiple", Simulations!$A$1:$BK$1, 0))</f>
        <v>6.7912423162212097</v>
      </c>
      <c r="B199" s="2">
        <f ca="1">INDEX(Simulations!$A$1:$BK$2501, 199, MATCH("ExitMultiple", Simulations!$A$1:$BK$1, 0))</f>
        <v>7.3872019023759465</v>
      </c>
      <c r="C199" s="2">
        <f ca="1">INDEX(Simulations!$A$1:$BK$2501, 199, MATCH("RevCAGR", Simulations!$A$1:$BK$1, 0))</f>
        <v>5.78171439072033E-2</v>
      </c>
      <c r="D199" s="2">
        <f ca="1">INDEX(Simulations!$A$1:$BK$2501, 199, MATCH("SynMargin", Simulations!$A$1:$BK$1, 0))</f>
        <v>1.5694635583712698E-2</v>
      </c>
      <c r="E199" s="2">
        <f ca="1">INDEX(Simulations!$A$1:$BK$2501, 199, MATCH("Yr1Shock", Simulations!$A$1:$BK$1, 0))</f>
        <v>1.1186372927176514E-2</v>
      </c>
    </row>
    <row r="200" spans="1:5" x14ac:dyDescent="0.3">
      <c r="A200" s="2">
        <f ca="1">INDEX(Simulations!$A$1:$BK$2501, 200, MATCH("PurchaseMultiple", Simulations!$A$1:$BK$1, 0))</f>
        <v>6.6462691950894346</v>
      </c>
      <c r="B200" s="2">
        <f ca="1">INDEX(Simulations!$A$1:$BK$2501, 200, MATCH("ExitMultiple", Simulations!$A$1:$BK$1, 0))</f>
        <v>7.5830064526749688</v>
      </c>
      <c r="C200" s="2">
        <f ca="1">INDEX(Simulations!$A$1:$BK$2501, 200, MATCH("RevCAGR", Simulations!$A$1:$BK$1, 0))</f>
        <v>2.8402356007479042E-2</v>
      </c>
      <c r="D200" s="2">
        <f ca="1">INDEX(Simulations!$A$1:$BK$2501, 200, MATCH("SynMargin", Simulations!$A$1:$BK$1, 0))</f>
        <v>1.1883000367147276E-2</v>
      </c>
      <c r="E200" s="2">
        <f ca="1">INDEX(Simulations!$A$1:$BK$2501, 200, MATCH("Yr1Shock", Simulations!$A$1:$BK$1, 0))</f>
        <v>4.0921066080872974E-2</v>
      </c>
    </row>
    <row r="201" spans="1:5" x14ac:dyDescent="0.3">
      <c r="A201" s="2">
        <f ca="1">INDEX(Simulations!$A$1:$BK$2501, 201, MATCH("PurchaseMultiple", Simulations!$A$1:$BK$1, 0))</f>
        <v>7.1156035725664655</v>
      </c>
      <c r="B201" s="2">
        <f ca="1">INDEX(Simulations!$A$1:$BK$2501, 201, MATCH("ExitMultiple", Simulations!$A$1:$BK$1, 0))</f>
        <v>7.2197082329257025</v>
      </c>
      <c r="C201" s="2">
        <f ca="1">INDEX(Simulations!$A$1:$BK$2501, 201, MATCH("RevCAGR", Simulations!$A$1:$BK$1, 0))</f>
        <v>3.6993073473681269E-2</v>
      </c>
      <c r="D201" s="2">
        <f ca="1">INDEX(Simulations!$A$1:$BK$2501, 201, MATCH("SynMargin", Simulations!$A$1:$BK$1, 0))</f>
        <v>3.9812842156708517E-3</v>
      </c>
      <c r="E201" s="2">
        <f ca="1">INDEX(Simulations!$A$1:$BK$2501, 201, MATCH("Yr1Shock", Simulations!$A$1:$BK$1, 0))</f>
        <v>2.0981731275311163E-2</v>
      </c>
    </row>
    <row r="202" spans="1:5" x14ac:dyDescent="0.3">
      <c r="A202" s="2">
        <f ca="1">INDEX(Simulations!$A$1:$BK$2501, 202, MATCH("PurchaseMultiple", Simulations!$A$1:$BK$1, 0))</f>
        <v>6.2857286293739865</v>
      </c>
      <c r="B202" s="2">
        <f ca="1">INDEX(Simulations!$A$1:$BK$2501, 202, MATCH("ExitMultiple", Simulations!$A$1:$BK$1, 0))</f>
        <v>7.2398801702891742</v>
      </c>
      <c r="C202" s="2">
        <f ca="1">INDEX(Simulations!$A$1:$BK$2501, 202, MATCH("RevCAGR", Simulations!$A$1:$BK$1, 0))</f>
        <v>6.5334510665566531E-2</v>
      </c>
      <c r="D202" s="2">
        <f ca="1">INDEX(Simulations!$A$1:$BK$2501, 202, MATCH("SynMargin", Simulations!$A$1:$BK$1, 0))</f>
        <v>9.8714041278038771E-3</v>
      </c>
      <c r="E202" s="2">
        <f ca="1">INDEX(Simulations!$A$1:$BK$2501, 202, MATCH("Yr1Shock", Simulations!$A$1:$BK$1, 0))</f>
        <v>9.9277005091857259E-3</v>
      </c>
    </row>
    <row r="203" spans="1:5" x14ac:dyDescent="0.3">
      <c r="A203" s="2">
        <f ca="1">INDEX(Simulations!$A$1:$BK$2501, 203, MATCH("PurchaseMultiple", Simulations!$A$1:$BK$1, 0))</f>
        <v>6.7203106673728801</v>
      </c>
      <c r="B203" s="2">
        <f ca="1">INDEX(Simulations!$A$1:$BK$2501, 203, MATCH("ExitMultiple", Simulations!$A$1:$BK$1, 0))</f>
        <v>7.18067264893409</v>
      </c>
      <c r="C203" s="2">
        <f ca="1">INDEX(Simulations!$A$1:$BK$2501, 203, MATCH("RevCAGR", Simulations!$A$1:$BK$1, 0))</f>
        <v>6.0096754701442781E-2</v>
      </c>
      <c r="D203" s="2">
        <f ca="1">INDEX(Simulations!$A$1:$BK$2501, 203, MATCH("SynMargin", Simulations!$A$1:$BK$1, 0))</f>
        <v>9.3674348779873781E-3</v>
      </c>
      <c r="E203" s="2">
        <f ca="1">INDEX(Simulations!$A$1:$BK$2501, 203, MATCH("Yr1Shock", Simulations!$A$1:$BK$1, 0))</f>
        <v>-1.8264458097238416E-2</v>
      </c>
    </row>
    <row r="204" spans="1:5" x14ac:dyDescent="0.3">
      <c r="A204" s="2">
        <f ca="1">INDEX(Simulations!$A$1:$BK$2501, 204, MATCH("PurchaseMultiple", Simulations!$A$1:$BK$1, 0))</f>
        <v>6.8390215224202935</v>
      </c>
      <c r="B204" s="2">
        <f ca="1">INDEX(Simulations!$A$1:$BK$2501, 204, MATCH("ExitMultiple", Simulations!$A$1:$BK$1, 0))</f>
        <v>8.229744698291471</v>
      </c>
      <c r="C204" s="2">
        <f ca="1">INDEX(Simulations!$A$1:$BK$2501, 204, MATCH("RevCAGR", Simulations!$A$1:$BK$1, 0))</f>
        <v>3.6200448686205124E-2</v>
      </c>
      <c r="D204" s="2">
        <f ca="1">INDEX(Simulations!$A$1:$BK$2501, 204, MATCH("SynMargin", Simulations!$A$1:$BK$1, 0))</f>
        <v>1.1241680173587034E-2</v>
      </c>
      <c r="E204" s="2">
        <f ca="1">INDEX(Simulations!$A$1:$BK$2501, 204, MATCH("Yr1Shock", Simulations!$A$1:$BK$1, 0))</f>
        <v>-1.7877736043354811E-2</v>
      </c>
    </row>
    <row r="205" spans="1:5" x14ac:dyDescent="0.3">
      <c r="A205" s="2">
        <f ca="1">INDEX(Simulations!$A$1:$BK$2501, 205, MATCH("PurchaseMultiple", Simulations!$A$1:$BK$1, 0))</f>
        <v>7.344402831326132</v>
      </c>
      <c r="B205" s="2">
        <f ca="1">INDEX(Simulations!$A$1:$BK$2501, 205, MATCH("ExitMultiple", Simulations!$A$1:$BK$1, 0))</f>
        <v>6.7777707347150722</v>
      </c>
      <c r="C205" s="2">
        <f ca="1">INDEX(Simulations!$A$1:$BK$2501, 205, MATCH("RevCAGR", Simulations!$A$1:$BK$1, 0))</f>
        <v>6.3497128636550479E-2</v>
      </c>
      <c r="D205" s="2">
        <f ca="1">INDEX(Simulations!$A$1:$BK$2501, 205, MATCH("SynMargin", Simulations!$A$1:$BK$1, 0))</f>
        <v>1.7113069883343698E-2</v>
      </c>
      <c r="E205" s="2">
        <f ca="1">INDEX(Simulations!$A$1:$BK$2501, 205, MATCH("Yr1Shock", Simulations!$A$1:$BK$1, 0))</f>
        <v>-2.061331645864917E-2</v>
      </c>
    </row>
    <row r="206" spans="1:5" x14ac:dyDescent="0.3">
      <c r="A206" s="2">
        <f ca="1">INDEX(Simulations!$A$1:$BK$2501, 206, MATCH("PurchaseMultiple", Simulations!$A$1:$BK$1, 0))</f>
        <v>7.3059856966945507</v>
      </c>
      <c r="B206" s="2">
        <f ca="1">INDEX(Simulations!$A$1:$BK$2501, 206, MATCH("ExitMultiple", Simulations!$A$1:$BK$1, 0))</f>
        <v>6.9773695943847622</v>
      </c>
      <c r="C206" s="2">
        <f ca="1">INDEX(Simulations!$A$1:$BK$2501, 206, MATCH("RevCAGR", Simulations!$A$1:$BK$1, 0))</f>
        <v>6.6390670873231278E-2</v>
      </c>
      <c r="D206" s="2">
        <f ca="1">INDEX(Simulations!$A$1:$BK$2501, 206, MATCH("SynMargin", Simulations!$A$1:$BK$1, 0))</f>
        <v>1.9846183521250893E-2</v>
      </c>
      <c r="E206" s="2">
        <f ca="1">INDEX(Simulations!$A$1:$BK$2501, 206, MATCH("Yr1Shock", Simulations!$A$1:$BK$1, 0))</f>
        <v>2.0036327929598367E-2</v>
      </c>
    </row>
    <row r="207" spans="1:5" x14ac:dyDescent="0.3">
      <c r="A207" s="2">
        <f ca="1">INDEX(Simulations!$A$1:$BK$2501, 207, MATCH("PurchaseMultiple", Simulations!$A$1:$BK$1, 0))</f>
        <v>7.5990869552819715</v>
      </c>
      <c r="B207" s="2">
        <f ca="1">INDEX(Simulations!$A$1:$BK$2501, 207, MATCH("ExitMultiple", Simulations!$A$1:$BK$1, 0))</f>
        <v>6.6477077174788715</v>
      </c>
      <c r="C207" s="2">
        <f ca="1">INDEX(Simulations!$A$1:$BK$2501, 207, MATCH("RevCAGR", Simulations!$A$1:$BK$1, 0))</f>
        <v>6.4768828635279121E-2</v>
      </c>
      <c r="D207" s="2">
        <f ca="1">INDEX(Simulations!$A$1:$BK$2501, 207, MATCH("SynMargin", Simulations!$A$1:$BK$1, 0))</f>
        <v>5.4606949505657055E-3</v>
      </c>
      <c r="E207" s="2">
        <f ca="1">INDEX(Simulations!$A$1:$BK$2501, 207, MATCH("Yr1Shock", Simulations!$A$1:$BK$1, 0))</f>
        <v>-7.4003280874419194E-3</v>
      </c>
    </row>
    <row r="208" spans="1:5" x14ac:dyDescent="0.3">
      <c r="A208" s="2">
        <f ca="1">INDEX(Simulations!$A$1:$BK$2501, 208, MATCH("PurchaseMultiple", Simulations!$A$1:$BK$1, 0))</f>
        <v>7.4780497896547695</v>
      </c>
      <c r="B208" s="2">
        <f ca="1">INDEX(Simulations!$A$1:$BK$2501, 208, MATCH("ExitMultiple", Simulations!$A$1:$BK$1, 0))</f>
        <v>6.9171221263441298</v>
      </c>
      <c r="C208" s="2">
        <f ca="1">INDEX(Simulations!$A$1:$BK$2501, 208, MATCH("RevCAGR", Simulations!$A$1:$BK$1, 0))</f>
        <v>-0.02</v>
      </c>
      <c r="D208" s="2">
        <f ca="1">INDEX(Simulations!$A$1:$BK$2501, 208, MATCH("SynMargin", Simulations!$A$1:$BK$1, 0))</f>
        <v>6.4368657099040591E-3</v>
      </c>
      <c r="E208" s="2">
        <f ca="1">INDEX(Simulations!$A$1:$BK$2501, 208, MATCH("Yr1Shock", Simulations!$A$1:$BK$1, 0))</f>
        <v>-5.1646632437587344E-3</v>
      </c>
    </row>
    <row r="209" spans="1:5" x14ac:dyDescent="0.3">
      <c r="A209" s="2">
        <f ca="1">INDEX(Simulations!$A$1:$BK$2501, 209, MATCH("PurchaseMultiple", Simulations!$A$1:$BK$1, 0))</f>
        <v>6.8016786936815956</v>
      </c>
      <c r="B209" s="2">
        <f ca="1">INDEX(Simulations!$A$1:$BK$2501, 209, MATCH("ExitMultiple", Simulations!$A$1:$BK$1, 0))</f>
        <v>7.7886962246493976</v>
      </c>
      <c r="C209" s="2">
        <f ca="1">INDEX(Simulations!$A$1:$BK$2501, 209, MATCH("RevCAGR", Simulations!$A$1:$BK$1, 0))</f>
        <v>-6.2757903485365293E-3</v>
      </c>
      <c r="D209" s="2">
        <f ca="1">INDEX(Simulations!$A$1:$BK$2501, 209, MATCH("SynMargin", Simulations!$A$1:$BK$1, 0))</f>
        <v>6.3967811581369773E-3</v>
      </c>
      <c r="E209" s="2">
        <f ca="1">INDEX(Simulations!$A$1:$BK$2501, 209, MATCH("Yr1Shock", Simulations!$A$1:$BK$1, 0))</f>
        <v>2.3638364819662475E-2</v>
      </c>
    </row>
    <row r="210" spans="1:5" x14ac:dyDescent="0.3">
      <c r="A210" s="2">
        <f ca="1">INDEX(Simulations!$A$1:$BK$2501, 210, MATCH("PurchaseMultiple", Simulations!$A$1:$BK$1, 0))</f>
        <v>6.8929323005600667</v>
      </c>
      <c r="B210" s="2">
        <f ca="1">INDEX(Simulations!$A$1:$BK$2501, 210, MATCH("ExitMultiple", Simulations!$A$1:$BK$1, 0))</f>
        <v>8.0940429749035552</v>
      </c>
      <c r="C210" s="2">
        <f ca="1">INDEX(Simulations!$A$1:$BK$2501, 210, MATCH("RevCAGR", Simulations!$A$1:$BK$1, 0))</f>
        <v>4.1608261001576045E-2</v>
      </c>
      <c r="D210" s="2">
        <f ca="1">INDEX(Simulations!$A$1:$BK$2501, 210, MATCH("SynMargin", Simulations!$A$1:$BK$1, 0))</f>
        <v>1.1084928299939499E-2</v>
      </c>
      <c r="E210" s="2">
        <f ca="1">INDEX(Simulations!$A$1:$BK$2501, 210, MATCH("Yr1Shock", Simulations!$A$1:$BK$1, 0))</f>
        <v>1.7806781229934156E-5</v>
      </c>
    </row>
    <row r="211" spans="1:5" x14ac:dyDescent="0.3">
      <c r="A211" s="2">
        <f ca="1">INDEX(Simulations!$A$1:$BK$2501, 211, MATCH("PurchaseMultiple", Simulations!$A$1:$BK$1, 0))</f>
        <v>7.4866517007641473</v>
      </c>
      <c r="B211" s="2">
        <f ca="1">INDEX(Simulations!$A$1:$BK$2501, 211, MATCH("ExitMultiple", Simulations!$A$1:$BK$1, 0))</f>
        <v>7.3699964460118021</v>
      </c>
      <c r="C211" s="2">
        <f ca="1">INDEX(Simulations!$A$1:$BK$2501, 211, MATCH("RevCAGR", Simulations!$A$1:$BK$1, 0))</f>
        <v>-1.5087684482965234E-2</v>
      </c>
      <c r="D211" s="2">
        <f ca="1">INDEX(Simulations!$A$1:$BK$2501, 211, MATCH("SynMargin", Simulations!$A$1:$BK$1, 0))</f>
        <v>1.7801891550367061E-2</v>
      </c>
      <c r="E211" s="2">
        <f ca="1">INDEX(Simulations!$A$1:$BK$2501, 211, MATCH("Yr1Shock", Simulations!$A$1:$BK$1, 0))</f>
        <v>1.2954339031843129E-2</v>
      </c>
    </row>
    <row r="212" spans="1:5" x14ac:dyDescent="0.3">
      <c r="A212" s="2">
        <f ca="1">INDEX(Simulations!$A$1:$BK$2501, 212, MATCH("PurchaseMultiple", Simulations!$A$1:$BK$1, 0))</f>
        <v>6.9501933477109352</v>
      </c>
      <c r="B212" s="2">
        <f ca="1">INDEX(Simulations!$A$1:$BK$2501, 212, MATCH("ExitMultiple", Simulations!$A$1:$BK$1, 0))</f>
        <v>7.3446830046966225</v>
      </c>
      <c r="C212" s="2">
        <f ca="1">INDEX(Simulations!$A$1:$BK$2501, 212, MATCH("RevCAGR", Simulations!$A$1:$BK$1, 0))</f>
        <v>1.7996376295541273E-2</v>
      </c>
      <c r="D212" s="2">
        <f ca="1">INDEX(Simulations!$A$1:$BK$2501, 212, MATCH("SynMargin", Simulations!$A$1:$BK$1, 0))</f>
        <v>1.1994441194484114E-2</v>
      </c>
      <c r="E212" s="2">
        <f ca="1">INDEX(Simulations!$A$1:$BK$2501, 212, MATCH("Yr1Shock", Simulations!$A$1:$BK$1, 0))</f>
        <v>3.1976343916538925E-3</v>
      </c>
    </row>
    <row r="213" spans="1:5" x14ac:dyDescent="0.3">
      <c r="A213" s="2">
        <f ca="1">INDEX(Simulations!$A$1:$BK$2501, 213, MATCH("PurchaseMultiple", Simulations!$A$1:$BK$1, 0))</f>
        <v>7.0980352038428727</v>
      </c>
      <c r="B213" s="2">
        <f ca="1">INDEX(Simulations!$A$1:$BK$2501, 213, MATCH("ExitMultiple", Simulations!$A$1:$BK$1, 0))</f>
        <v>7.8579115086927915</v>
      </c>
      <c r="C213" s="2">
        <f ca="1">INDEX(Simulations!$A$1:$BK$2501, 213, MATCH("RevCAGR", Simulations!$A$1:$BK$1, 0))</f>
        <v>6.472987769274241E-2</v>
      </c>
      <c r="D213" s="2">
        <f ca="1">INDEX(Simulations!$A$1:$BK$2501, 213, MATCH("SynMargin", Simulations!$A$1:$BK$1, 0))</f>
        <v>1.4772024471787482E-2</v>
      </c>
      <c r="E213" s="2">
        <f ca="1">INDEX(Simulations!$A$1:$BK$2501, 213, MATCH("Yr1Shock", Simulations!$A$1:$BK$1, 0))</f>
        <v>1.4718216624886441E-3</v>
      </c>
    </row>
    <row r="214" spans="1:5" x14ac:dyDescent="0.3">
      <c r="A214" s="2">
        <f ca="1">INDEX(Simulations!$A$1:$BK$2501, 214, MATCH("PurchaseMultiple", Simulations!$A$1:$BK$1, 0))</f>
        <v>7.5284224464380634</v>
      </c>
      <c r="B214" s="2">
        <f ca="1">INDEX(Simulations!$A$1:$BK$2501, 214, MATCH("ExitMultiple", Simulations!$A$1:$BK$1, 0))</f>
        <v>7.5484674002408836</v>
      </c>
      <c r="C214" s="2">
        <f ca="1">INDEX(Simulations!$A$1:$BK$2501, 214, MATCH("RevCAGR", Simulations!$A$1:$BK$1, 0))</f>
        <v>4.5913641280306471E-2</v>
      </c>
      <c r="D214" s="2">
        <f ca="1">INDEX(Simulations!$A$1:$BK$2501, 214, MATCH("SynMargin", Simulations!$A$1:$BK$1, 0))</f>
        <v>6.9595990623210688E-3</v>
      </c>
      <c r="E214" s="2">
        <f ca="1">INDEX(Simulations!$A$1:$BK$2501, 214, MATCH("Yr1Shock", Simulations!$A$1:$BK$1, 0))</f>
        <v>-9.2819106138374435E-3</v>
      </c>
    </row>
    <row r="215" spans="1:5" x14ac:dyDescent="0.3">
      <c r="A215" s="2">
        <f ca="1">INDEX(Simulations!$A$1:$BK$2501, 215, MATCH("PurchaseMultiple", Simulations!$A$1:$BK$1, 0))</f>
        <v>6.3552022958617771</v>
      </c>
      <c r="B215" s="2">
        <f ca="1">INDEX(Simulations!$A$1:$BK$2501, 215, MATCH("ExitMultiple", Simulations!$A$1:$BK$1, 0))</f>
        <v>6.8189535235354679</v>
      </c>
      <c r="C215" s="2">
        <f ca="1">INDEX(Simulations!$A$1:$BK$2501, 215, MATCH("RevCAGR", Simulations!$A$1:$BK$1, 0))</f>
        <v>8.9625640620812186E-2</v>
      </c>
      <c r="D215" s="2">
        <f ca="1">INDEX(Simulations!$A$1:$BK$2501, 215, MATCH("SynMargin", Simulations!$A$1:$BK$1, 0))</f>
        <v>1.0954990008604297E-2</v>
      </c>
      <c r="E215" s="2">
        <f ca="1">INDEX(Simulations!$A$1:$BK$2501, 215, MATCH("Yr1Shock", Simulations!$A$1:$BK$1, 0))</f>
        <v>-4.1647959762705355E-3</v>
      </c>
    </row>
    <row r="216" spans="1:5" x14ac:dyDescent="0.3">
      <c r="A216" s="2">
        <f ca="1">INDEX(Simulations!$A$1:$BK$2501, 216, MATCH("PurchaseMultiple", Simulations!$A$1:$BK$1, 0))</f>
        <v>7.5729006114853759</v>
      </c>
      <c r="B216" s="2">
        <f ca="1">INDEX(Simulations!$A$1:$BK$2501, 216, MATCH("ExitMultiple", Simulations!$A$1:$BK$1, 0))</f>
        <v>7.675640796806527</v>
      </c>
      <c r="C216" s="2">
        <f ca="1">INDEX(Simulations!$A$1:$BK$2501, 216, MATCH("RevCAGR", Simulations!$A$1:$BK$1, 0))</f>
        <v>6.5306056916298996E-2</v>
      </c>
      <c r="D216" s="2">
        <f ca="1">INDEX(Simulations!$A$1:$BK$2501, 216, MATCH("SynMargin", Simulations!$A$1:$BK$1, 0))</f>
        <v>0</v>
      </c>
      <c r="E216" s="2">
        <f ca="1">INDEX(Simulations!$A$1:$BK$2501, 216, MATCH("Yr1Shock", Simulations!$A$1:$BK$1, 0))</f>
        <v>-1.8112066922505779E-3</v>
      </c>
    </row>
    <row r="217" spans="1:5" x14ac:dyDescent="0.3">
      <c r="A217" s="2">
        <f ca="1">INDEX(Simulations!$A$1:$BK$2501, 217, MATCH("PurchaseMultiple", Simulations!$A$1:$BK$1, 0))</f>
        <v>7.4798787856777018</v>
      </c>
      <c r="B217" s="2">
        <f ca="1">INDEX(Simulations!$A$1:$BK$2501, 217, MATCH("ExitMultiple", Simulations!$A$1:$BK$1, 0))</f>
        <v>7.1174998409107646</v>
      </c>
      <c r="C217" s="2">
        <f ca="1">INDEX(Simulations!$A$1:$BK$2501, 217, MATCH("RevCAGR", Simulations!$A$1:$BK$1, 0))</f>
        <v>-2.0687138455025289E-3</v>
      </c>
      <c r="D217" s="2">
        <f ca="1">INDEX(Simulations!$A$1:$BK$2501, 217, MATCH("SynMargin", Simulations!$A$1:$BK$1, 0))</f>
        <v>3.7677693071020181E-3</v>
      </c>
      <c r="E217" s="2">
        <f ca="1">INDEX(Simulations!$A$1:$BK$2501, 217, MATCH("Yr1Shock", Simulations!$A$1:$BK$1, 0))</f>
        <v>-2.6480696256228092E-2</v>
      </c>
    </row>
    <row r="218" spans="1:5" x14ac:dyDescent="0.3">
      <c r="A218" s="2">
        <f ca="1">INDEX(Simulations!$A$1:$BK$2501, 218, MATCH("PurchaseMultiple", Simulations!$A$1:$BK$1, 0))</f>
        <v>6.7655646793978148</v>
      </c>
      <c r="B218" s="2">
        <f ca="1">INDEX(Simulations!$A$1:$BK$2501, 218, MATCH("ExitMultiple", Simulations!$A$1:$BK$1, 0))</f>
        <v>6.8219315975518322</v>
      </c>
      <c r="C218" s="2">
        <f ca="1">INDEX(Simulations!$A$1:$BK$2501, 218, MATCH("RevCAGR", Simulations!$A$1:$BK$1, 0))</f>
        <v>2.9183608624240024E-2</v>
      </c>
      <c r="D218" s="2">
        <f ca="1">INDEX(Simulations!$A$1:$BK$2501, 218, MATCH("SynMargin", Simulations!$A$1:$BK$1, 0))</f>
        <v>6.6201472641277829E-3</v>
      </c>
      <c r="E218" s="2">
        <f ca="1">INDEX(Simulations!$A$1:$BK$2501, 218, MATCH("Yr1Shock", Simulations!$A$1:$BK$1, 0))</f>
        <v>-1.3706849439902748E-2</v>
      </c>
    </row>
    <row r="219" spans="1:5" x14ac:dyDescent="0.3">
      <c r="A219" s="2">
        <f ca="1">INDEX(Simulations!$A$1:$BK$2501, 219, MATCH("PurchaseMultiple", Simulations!$A$1:$BK$1, 0))</f>
        <v>6.6465447020059347</v>
      </c>
      <c r="B219" s="2">
        <f ca="1">INDEX(Simulations!$A$1:$BK$2501, 219, MATCH("ExitMultiple", Simulations!$A$1:$BK$1, 0))</f>
        <v>7.7679755043556167</v>
      </c>
      <c r="C219" s="2">
        <f ca="1">INDEX(Simulations!$A$1:$BK$2501, 219, MATCH("RevCAGR", Simulations!$A$1:$BK$1, 0))</f>
        <v>6.9413130684108093E-2</v>
      </c>
      <c r="D219" s="2">
        <f ca="1">INDEX(Simulations!$A$1:$BK$2501, 219, MATCH("SynMargin", Simulations!$A$1:$BK$1, 0))</f>
        <v>3.3430778317749578E-3</v>
      </c>
      <c r="E219" s="2">
        <f ca="1">INDEX(Simulations!$A$1:$BK$2501, 219, MATCH("Yr1Shock", Simulations!$A$1:$BK$1, 0))</f>
        <v>-7.7038053219941087E-3</v>
      </c>
    </row>
    <row r="220" spans="1:5" x14ac:dyDescent="0.3">
      <c r="A220" s="2">
        <f ca="1">INDEX(Simulations!$A$1:$BK$2501, 220, MATCH("PurchaseMultiple", Simulations!$A$1:$BK$1, 0))</f>
        <v>6.6487765552049538</v>
      </c>
      <c r="B220" s="2">
        <f ca="1">INDEX(Simulations!$A$1:$BK$2501, 220, MATCH("ExitMultiple", Simulations!$A$1:$BK$1, 0))</f>
        <v>6.9398144851647112</v>
      </c>
      <c r="C220" s="2">
        <f ca="1">INDEX(Simulations!$A$1:$BK$2501, 220, MATCH("RevCAGR", Simulations!$A$1:$BK$1, 0))</f>
        <v>6.2882993724067804E-2</v>
      </c>
      <c r="D220" s="2">
        <f ca="1">INDEX(Simulations!$A$1:$BK$2501, 220, MATCH("SynMargin", Simulations!$A$1:$BK$1, 0))</f>
        <v>7.4218699233467751E-3</v>
      </c>
      <c r="E220" s="2">
        <f ca="1">INDEX(Simulations!$A$1:$BK$2501, 220, MATCH("Yr1Shock", Simulations!$A$1:$BK$1, 0))</f>
        <v>1.7118980800658247E-2</v>
      </c>
    </row>
    <row r="221" spans="1:5" x14ac:dyDescent="0.3">
      <c r="A221" s="2">
        <f ca="1">INDEX(Simulations!$A$1:$BK$2501, 221, MATCH("PurchaseMultiple", Simulations!$A$1:$BK$1, 0))</f>
        <v>6.1884965036081994</v>
      </c>
      <c r="B221" s="2">
        <f ca="1">INDEX(Simulations!$A$1:$BK$2501, 221, MATCH("ExitMultiple", Simulations!$A$1:$BK$1, 0))</f>
        <v>7.293208025285093</v>
      </c>
      <c r="C221" s="2">
        <f ca="1">INDEX(Simulations!$A$1:$BK$2501, 221, MATCH("RevCAGR", Simulations!$A$1:$BK$1, 0))</f>
        <v>3.5541541956981441E-2</v>
      </c>
      <c r="D221" s="2">
        <f ca="1">INDEX(Simulations!$A$1:$BK$2501, 221, MATCH("SynMargin", Simulations!$A$1:$BK$1, 0))</f>
        <v>1.481441156152432E-2</v>
      </c>
      <c r="E221" s="2">
        <f ca="1">INDEX(Simulations!$A$1:$BK$2501, 221, MATCH("Yr1Shock", Simulations!$A$1:$BK$1, 0))</f>
        <v>6.9265162977525984E-3</v>
      </c>
    </row>
    <row r="222" spans="1:5" x14ac:dyDescent="0.3">
      <c r="A222" s="2">
        <f ca="1">INDEX(Simulations!$A$1:$BK$2501, 222, MATCH("PurchaseMultiple", Simulations!$A$1:$BK$1, 0))</f>
        <v>7.1306869387952823</v>
      </c>
      <c r="B222" s="2">
        <f ca="1">INDEX(Simulations!$A$1:$BK$2501, 222, MATCH("ExitMultiple", Simulations!$A$1:$BK$1, 0))</f>
        <v>7.5599602063439901</v>
      </c>
      <c r="C222" s="2">
        <f ca="1">INDEX(Simulations!$A$1:$BK$2501, 222, MATCH("RevCAGR", Simulations!$A$1:$BK$1, 0))</f>
        <v>3.2277415952874422E-2</v>
      </c>
      <c r="D222" s="2">
        <f ca="1">INDEX(Simulations!$A$1:$BK$2501, 222, MATCH("SynMargin", Simulations!$A$1:$BK$1, 0))</f>
        <v>4.8047484683507967E-3</v>
      </c>
      <c r="E222" s="2">
        <f ca="1">INDEX(Simulations!$A$1:$BK$2501, 222, MATCH("Yr1Shock", Simulations!$A$1:$BK$1, 0))</f>
        <v>2.2468169829977059E-2</v>
      </c>
    </row>
    <row r="223" spans="1:5" x14ac:dyDescent="0.3">
      <c r="A223" s="2">
        <f ca="1">INDEX(Simulations!$A$1:$BK$2501, 223, MATCH("PurchaseMultiple", Simulations!$A$1:$BK$1, 0))</f>
        <v>6.8775361316654946</v>
      </c>
      <c r="B223" s="2">
        <f ca="1">INDEX(Simulations!$A$1:$BK$2501, 223, MATCH("ExitMultiple", Simulations!$A$1:$BK$1, 0))</f>
        <v>7.041540832443614</v>
      </c>
      <c r="C223" s="2">
        <f ca="1">INDEX(Simulations!$A$1:$BK$2501, 223, MATCH("RevCAGR", Simulations!$A$1:$BK$1, 0))</f>
        <v>5.4477622309437312E-2</v>
      </c>
      <c r="D223" s="2">
        <f ca="1">INDEX(Simulations!$A$1:$BK$2501, 223, MATCH("SynMargin", Simulations!$A$1:$BK$1, 0))</f>
        <v>1.3194074948695391E-2</v>
      </c>
      <c r="E223" s="2">
        <f ca="1">INDEX(Simulations!$A$1:$BK$2501, 223, MATCH("Yr1Shock", Simulations!$A$1:$BK$1, 0))</f>
        <v>-4.0588638719018723E-2</v>
      </c>
    </row>
    <row r="224" spans="1:5" x14ac:dyDescent="0.3">
      <c r="A224" s="2">
        <f ca="1">INDEX(Simulations!$A$1:$BK$2501, 224, MATCH("PurchaseMultiple", Simulations!$A$1:$BK$1, 0))</f>
        <v>6.6376004262288841</v>
      </c>
      <c r="B224" s="2">
        <f ca="1">INDEX(Simulations!$A$1:$BK$2501, 224, MATCH("ExitMultiple", Simulations!$A$1:$BK$1, 0))</f>
        <v>7.0677531224256196</v>
      </c>
      <c r="C224" s="2">
        <f ca="1">INDEX(Simulations!$A$1:$BK$2501, 224, MATCH("RevCAGR", Simulations!$A$1:$BK$1, 0))</f>
        <v>4.3055551992739291E-2</v>
      </c>
      <c r="D224" s="2">
        <f ca="1">INDEX(Simulations!$A$1:$BK$2501, 224, MATCH("SynMargin", Simulations!$A$1:$BK$1, 0))</f>
        <v>1.4258311896835036E-2</v>
      </c>
      <c r="E224" s="2">
        <f ca="1">INDEX(Simulations!$A$1:$BK$2501, 224, MATCH("Yr1Shock", Simulations!$A$1:$BK$1, 0))</f>
        <v>-8.9654638751313041E-3</v>
      </c>
    </row>
    <row r="225" spans="1:5" x14ac:dyDescent="0.3">
      <c r="A225" s="2">
        <f ca="1">INDEX(Simulations!$A$1:$BK$2501, 225, MATCH("PurchaseMultiple", Simulations!$A$1:$BK$1, 0))</f>
        <v>6.8563221587341623</v>
      </c>
      <c r="B225" s="2">
        <f ca="1">INDEX(Simulations!$A$1:$BK$2501, 225, MATCH("ExitMultiple", Simulations!$A$1:$BK$1, 0))</f>
        <v>6.8777556344088762</v>
      </c>
      <c r="C225" s="2">
        <f ca="1">INDEX(Simulations!$A$1:$BK$2501, 225, MATCH("RevCAGR", Simulations!$A$1:$BK$1, 0))</f>
        <v>5.9410095299900156E-2</v>
      </c>
      <c r="D225" s="2">
        <f ca="1">INDEX(Simulations!$A$1:$BK$2501, 225, MATCH("SynMargin", Simulations!$A$1:$BK$1, 0))</f>
        <v>2.8737363845608077E-3</v>
      </c>
      <c r="E225" s="2">
        <f ca="1">INDEX(Simulations!$A$1:$BK$2501, 225, MATCH("Yr1Shock", Simulations!$A$1:$BK$1, 0))</f>
        <v>1.1706530245040572E-3</v>
      </c>
    </row>
    <row r="226" spans="1:5" x14ac:dyDescent="0.3">
      <c r="A226" s="2">
        <f ca="1">INDEX(Simulations!$A$1:$BK$2501, 226, MATCH("PurchaseMultiple", Simulations!$A$1:$BK$1, 0))</f>
        <v>7.0960470814187762</v>
      </c>
      <c r="B226" s="2">
        <f ca="1">INDEX(Simulations!$A$1:$BK$2501, 226, MATCH("ExitMultiple", Simulations!$A$1:$BK$1, 0))</f>
        <v>8.1479009420352337</v>
      </c>
      <c r="C226" s="2">
        <f ca="1">INDEX(Simulations!$A$1:$BK$2501, 226, MATCH("RevCAGR", Simulations!$A$1:$BK$1, 0))</f>
        <v>5.2577578631718594E-2</v>
      </c>
      <c r="D226" s="2">
        <f ca="1">INDEX(Simulations!$A$1:$BK$2501, 226, MATCH("SynMargin", Simulations!$A$1:$BK$1, 0))</f>
        <v>2.393820555060797E-2</v>
      </c>
      <c r="E226" s="2">
        <f ca="1">INDEX(Simulations!$A$1:$BK$2501, 226, MATCH("Yr1Shock", Simulations!$A$1:$BK$1, 0))</f>
        <v>4.3893645447272978E-2</v>
      </c>
    </row>
    <row r="227" spans="1:5" x14ac:dyDescent="0.3">
      <c r="A227" s="2">
        <f ca="1">INDEX(Simulations!$A$1:$BK$2501, 227, MATCH("PurchaseMultiple", Simulations!$A$1:$BK$1, 0))</f>
        <v>7.3212123686426871</v>
      </c>
      <c r="B227" s="2">
        <f ca="1">INDEX(Simulations!$A$1:$BK$2501, 227, MATCH("ExitMultiple", Simulations!$A$1:$BK$1, 0))</f>
        <v>7.392483972765552</v>
      </c>
      <c r="C227" s="2">
        <f ca="1">INDEX(Simulations!$A$1:$BK$2501, 227, MATCH("RevCAGR", Simulations!$A$1:$BK$1, 0))</f>
        <v>7.6928236159842567E-2</v>
      </c>
      <c r="D227" s="2">
        <f ca="1">INDEX(Simulations!$A$1:$BK$2501, 227, MATCH("SynMargin", Simulations!$A$1:$BK$1, 0))</f>
        <v>9.3007821868521488E-3</v>
      </c>
      <c r="E227" s="2">
        <f ca="1">INDEX(Simulations!$A$1:$BK$2501, 227, MATCH("Yr1Shock", Simulations!$A$1:$BK$1, 0))</f>
        <v>-5.2944146075998271E-3</v>
      </c>
    </row>
    <row r="228" spans="1:5" x14ac:dyDescent="0.3">
      <c r="A228" s="2">
        <f ca="1">INDEX(Simulations!$A$1:$BK$2501, 228, MATCH("PurchaseMultiple", Simulations!$A$1:$BK$1, 0))</f>
        <v>6.8289441497985868</v>
      </c>
      <c r="B228" s="2">
        <f ca="1">INDEX(Simulations!$A$1:$BK$2501, 228, MATCH("ExitMultiple", Simulations!$A$1:$BK$1, 0))</f>
        <v>7.7220411163177793</v>
      </c>
      <c r="C228" s="2">
        <f ca="1">INDEX(Simulations!$A$1:$BK$2501, 228, MATCH("RevCAGR", Simulations!$A$1:$BK$1, 0))</f>
        <v>9.4584974943966275E-3</v>
      </c>
      <c r="D228" s="2">
        <f ca="1">INDEX(Simulations!$A$1:$BK$2501, 228, MATCH("SynMargin", Simulations!$A$1:$BK$1, 0))</f>
        <v>1.1702237142289953E-2</v>
      </c>
      <c r="E228" s="2">
        <f ca="1">INDEX(Simulations!$A$1:$BK$2501, 228, MATCH("Yr1Shock", Simulations!$A$1:$BK$1, 0))</f>
        <v>4.5848712210803146E-3</v>
      </c>
    </row>
    <row r="229" spans="1:5" x14ac:dyDescent="0.3">
      <c r="A229" s="2">
        <f ca="1">INDEX(Simulations!$A$1:$BK$2501, 229, MATCH("PurchaseMultiple", Simulations!$A$1:$BK$1, 0))</f>
        <v>6.8470026936568749</v>
      </c>
      <c r="B229" s="2">
        <f ca="1">INDEX(Simulations!$A$1:$BK$2501, 229, MATCH("ExitMultiple", Simulations!$A$1:$BK$1, 0))</f>
        <v>7.2469278578899781</v>
      </c>
      <c r="C229" s="2">
        <f ca="1">INDEX(Simulations!$A$1:$BK$2501, 229, MATCH("RevCAGR", Simulations!$A$1:$BK$1, 0))</f>
        <v>3.2051597517852456E-2</v>
      </c>
      <c r="D229" s="2">
        <f ca="1">INDEX(Simulations!$A$1:$BK$2501, 229, MATCH("SynMargin", Simulations!$A$1:$BK$1, 0))</f>
        <v>9.8089538266766842E-3</v>
      </c>
      <c r="E229" s="2">
        <f ca="1">INDEX(Simulations!$A$1:$BK$2501, 229, MATCH("Yr1Shock", Simulations!$A$1:$BK$1, 0))</f>
        <v>1.1649327032337358E-2</v>
      </c>
    </row>
    <row r="230" spans="1:5" x14ac:dyDescent="0.3">
      <c r="A230" s="2">
        <f ca="1">INDEX(Simulations!$A$1:$BK$2501, 230, MATCH("PurchaseMultiple", Simulations!$A$1:$BK$1, 0))</f>
        <v>6.2917585490047419</v>
      </c>
      <c r="B230" s="2">
        <f ca="1">INDEX(Simulations!$A$1:$BK$2501, 230, MATCH("ExitMultiple", Simulations!$A$1:$BK$1, 0))</f>
        <v>8.346440994994234</v>
      </c>
      <c r="C230" s="2">
        <f ca="1">INDEX(Simulations!$A$1:$BK$2501, 230, MATCH("RevCAGR", Simulations!$A$1:$BK$1, 0))</f>
        <v>4.3767268166838763E-2</v>
      </c>
      <c r="D230" s="2">
        <f ca="1">INDEX(Simulations!$A$1:$BK$2501, 230, MATCH("SynMargin", Simulations!$A$1:$BK$1, 0))</f>
        <v>1.9201243631074429E-2</v>
      </c>
      <c r="E230" s="2">
        <f ca="1">INDEX(Simulations!$A$1:$BK$2501, 230, MATCH("Yr1Shock", Simulations!$A$1:$BK$1, 0))</f>
        <v>-3.2468740915097306E-3</v>
      </c>
    </row>
    <row r="231" spans="1:5" x14ac:dyDescent="0.3">
      <c r="A231" s="2">
        <f ca="1">INDEX(Simulations!$A$1:$BK$2501, 231, MATCH("PurchaseMultiple", Simulations!$A$1:$BK$1, 0))</f>
        <v>6.8141816559067685</v>
      </c>
      <c r="B231" s="2">
        <f ca="1">INDEX(Simulations!$A$1:$BK$2501, 231, MATCH("ExitMultiple", Simulations!$A$1:$BK$1, 0))</f>
        <v>7.5022878130708435</v>
      </c>
      <c r="C231" s="2">
        <f ca="1">INDEX(Simulations!$A$1:$BK$2501, 231, MATCH("RevCAGR", Simulations!$A$1:$BK$1, 0))</f>
        <v>7.4129983258755541E-2</v>
      </c>
      <c r="D231" s="2">
        <f ca="1">INDEX(Simulations!$A$1:$BK$2501, 231, MATCH("SynMargin", Simulations!$A$1:$BK$1, 0))</f>
        <v>1.1608099173136294E-2</v>
      </c>
      <c r="E231" s="2">
        <f ca="1">INDEX(Simulations!$A$1:$BK$2501, 231, MATCH("Yr1Shock", Simulations!$A$1:$BK$1, 0))</f>
        <v>-1.2208607799491405E-2</v>
      </c>
    </row>
    <row r="232" spans="1:5" x14ac:dyDescent="0.3">
      <c r="A232" s="2">
        <f ca="1">INDEX(Simulations!$A$1:$BK$2501, 232, MATCH("PurchaseMultiple", Simulations!$A$1:$BK$1, 0))</f>
        <v>7.246523237193232</v>
      </c>
      <c r="B232" s="2">
        <f ca="1">INDEX(Simulations!$A$1:$BK$2501, 232, MATCH("ExitMultiple", Simulations!$A$1:$BK$1, 0))</f>
        <v>8.1840795989729322</v>
      </c>
      <c r="C232" s="2">
        <f ca="1">INDEX(Simulations!$A$1:$BK$2501, 232, MATCH("RevCAGR", Simulations!$A$1:$BK$1, 0))</f>
        <v>2.3305115798892932E-2</v>
      </c>
      <c r="D232" s="2">
        <f ca="1">INDEX(Simulations!$A$1:$BK$2501, 232, MATCH("SynMargin", Simulations!$A$1:$BK$1, 0))</f>
        <v>1.3670788121387207E-2</v>
      </c>
      <c r="E232" s="2">
        <f ca="1">INDEX(Simulations!$A$1:$BK$2501, 232, MATCH("Yr1Shock", Simulations!$A$1:$BK$1, 0))</f>
        <v>2.0774133306595645E-2</v>
      </c>
    </row>
    <row r="233" spans="1:5" x14ac:dyDescent="0.3">
      <c r="A233" s="2">
        <f ca="1">INDEX(Simulations!$A$1:$BK$2501, 233, MATCH("PurchaseMultiple", Simulations!$A$1:$BK$1, 0))</f>
        <v>7.2634440336112043</v>
      </c>
      <c r="B233" s="2">
        <f ca="1">INDEX(Simulations!$A$1:$BK$2501, 233, MATCH("ExitMultiple", Simulations!$A$1:$BK$1, 0))</f>
        <v>7.621078739614175</v>
      </c>
      <c r="C233" s="2">
        <f ca="1">INDEX(Simulations!$A$1:$BK$2501, 233, MATCH("RevCAGR", Simulations!$A$1:$BK$1, 0))</f>
        <v>4.3846683234183038E-2</v>
      </c>
      <c r="D233" s="2">
        <f ca="1">INDEX(Simulations!$A$1:$BK$2501, 233, MATCH("SynMargin", Simulations!$A$1:$BK$1, 0))</f>
        <v>5.763477895308928E-3</v>
      </c>
      <c r="E233" s="2">
        <f ca="1">INDEX(Simulations!$A$1:$BK$2501, 233, MATCH("Yr1Shock", Simulations!$A$1:$BK$1, 0))</f>
        <v>7.1541988650284149E-3</v>
      </c>
    </row>
    <row r="234" spans="1:5" x14ac:dyDescent="0.3">
      <c r="A234" s="2">
        <f ca="1">INDEX(Simulations!$A$1:$BK$2501, 234, MATCH("PurchaseMultiple", Simulations!$A$1:$BK$1, 0))</f>
        <v>7.3432210759390202</v>
      </c>
      <c r="B234" s="2">
        <f ca="1">INDEX(Simulations!$A$1:$BK$2501, 234, MATCH("ExitMultiple", Simulations!$A$1:$BK$1, 0))</f>
        <v>7.7235226710020655</v>
      </c>
      <c r="C234" s="2">
        <f ca="1">INDEX(Simulations!$A$1:$BK$2501, 234, MATCH("RevCAGR", Simulations!$A$1:$BK$1, 0))</f>
        <v>2.4224994082061656E-2</v>
      </c>
      <c r="D234" s="2">
        <f ca="1">INDEX(Simulations!$A$1:$BK$2501, 234, MATCH("SynMargin", Simulations!$A$1:$BK$1, 0))</f>
        <v>6.183246724306651E-3</v>
      </c>
      <c r="E234" s="2">
        <f ca="1">INDEX(Simulations!$A$1:$BK$2501, 234, MATCH("Yr1Shock", Simulations!$A$1:$BK$1, 0))</f>
        <v>4.3012686651794016E-3</v>
      </c>
    </row>
    <row r="235" spans="1:5" x14ac:dyDescent="0.3">
      <c r="A235" s="2">
        <f ca="1">INDEX(Simulations!$A$1:$BK$2501, 235, MATCH("PurchaseMultiple", Simulations!$A$1:$BK$1, 0))</f>
        <v>7.3204875484148477</v>
      </c>
      <c r="B235" s="2">
        <f ca="1">INDEX(Simulations!$A$1:$BK$2501, 235, MATCH("ExitMultiple", Simulations!$A$1:$BK$1, 0))</f>
        <v>7.3398667789241676</v>
      </c>
      <c r="C235" s="2">
        <f ca="1">INDEX(Simulations!$A$1:$BK$2501, 235, MATCH("RevCAGR", Simulations!$A$1:$BK$1, 0))</f>
        <v>6.3944050822851636E-2</v>
      </c>
      <c r="D235" s="2">
        <f ca="1">INDEX(Simulations!$A$1:$BK$2501, 235, MATCH("SynMargin", Simulations!$A$1:$BK$1, 0))</f>
        <v>4.6165970020971663E-3</v>
      </c>
      <c r="E235" s="2">
        <f ca="1">INDEX(Simulations!$A$1:$BK$2501, 235, MATCH("Yr1Shock", Simulations!$A$1:$BK$1, 0))</f>
        <v>-1.467969165647422E-2</v>
      </c>
    </row>
    <row r="236" spans="1:5" x14ac:dyDescent="0.3">
      <c r="A236" s="2">
        <f ca="1">INDEX(Simulations!$A$1:$BK$2501, 236, MATCH("PurchaseMultiple", Simulations!$A$1:$BK$1, 0))</f>
        <v>7.3135706463291097</v>
      </c>
      <c r="B236" s="2">
        <f ca="1">INDEX(Simulations!$A$1:$BK$2501, 236, MATCH("ExitMultiple", Simulations!$A$1:$BK$1, 0))</f>
        <v>7.4655372822115655</v>
      </c>
      <c r="C236" s="2">
        <f ca="1">INDEX(Simulations!$A$1:$BK$2501, 236, MATCH("RevCAGR", Simulations!$A$1:$BK$1, 0))</f>
        <v>0.12</v>
      </c>
      <c r="D236" s="2">
        <f ca="1">INDEX(Simulations!$A$1:$BK$2501, 236, MATCH("SynMargin", Simulations!$A$1:$BK$1, 0))</f>
        <v>6.9137513032839441E-3</v>
      </c>
      <c r="E236" s="2">
        <f ca="1">INDEX(Simulations!$A$1:$BK$2501, 236, MATCH("Yr1Shock", Simulations!$A$1:$BK$1, 0))</f>
        <v>2.5110897295698074E-2</v>
      </c>
    </row>
    <row r="237" spans="1:5" x14ac:dyDescent="0.3">
      <c r="A237" s="2">
        <f ca="1">INDEX(Simulations!$A$1:$BK$2501, 237, MATCH("PurchaseMultiple", Simulations!$A$1:$BK$1, 0))</f>
        <v>7.0195881065006693</v>
      </c>
      <c r="B237" s="2">
        <f ca="1">INDEX(Simulations!$A$1:$BK$2501, 237, MATCH("ExitMultiple", Simulations!$A$1:$BK$1, 0))</f>
        <v>7.7145411995534543</v>
      </c>
      <c r="C237" s="2">
        <f ca="1">INDEX(Simulations!$A$1:$BK$2501, 237, MATCH("RevCAGR", Simulations!$A$1:$BK$1, 0))</f>
        <v>5.6618290589700859E-3</v>
      </c>
      <c r="D237" s="2">
        <f ca="1">INDEX(Simulations!$A$1:$BK$2501, 237, MATCH("SynMargin", Simulations!$A$1:$BK$1, 0))</f>
        <v>1.0139464478377483E-2</v>
      </c>
      <c r="E237" s="2">
        <f ca="1">INDEX(Simulations!$A$1:$BK$2501, 237, MATCH("Yr1Shock", Simulations!$A$1:$BK$1, 0))</f>
        <v>2.6269777628821606E-3</v>
      </c>
    </row>
    <row r="238" spans="1:5" x14ac:dyDescent="0.3">
      <c r="A238" s="2">
        <f ca="1">INDEX(Simulations!$A$1:$BK$2501, 238, MATCH("PurchaseMultiple", Simulations!$A$1:$BK$1, 0))</f>
        <v>7.2457015404293008</v>
      </c>
      <c r="B238" s="2">
        <f ca="1">INDEX(Simulations!$A$1:$BK$2501, 238, MATCH("ExitMultiple", Simulations!$A$1:$BK$1, 0))</f>
        <v>7.0598271310947984</v>
      </c>
      <c r="C238" s="2">
        <f ca="1">INDEX(Simulations!$A$1:$BK$2501, 238, MATCH("RevCAGR", Simulations!$A$1:$BK$1, 0))</f>
        <v>7.4242283866582326E-2</v>
      </c>
      <c r="D238" s="2">
        <f ca="1">INDEX(Simulations!$A$1:$BK$2501, 238, MATCH("SynMargin", Simulations!$A$1:$BK$1, 0))</f>
        <v>1.1098007717848812E-2</v>
      </c>
      <c r="E238" s="2">
        <f ca="1">INDEX(Simulations!$A$1:$BK$2501, 238, MATCH("Yr1Shock", Simulations!$A$1:$BK$1, 0))</f>
        <v>-3.1504496539755865E-2</v>
      </c>
    </row>
    <row r="239" spans="1:5" x14ac:dyDescent="0.3">
      <c r="A239" s="2">
        <f ca="1">INDEX(Simulations!$A$1:$BK$2501, 239, MATCH("PurchaseMultiple", Simulations!$A$1:$BK$1, 0))</f>
        <v>6.2082886932799068</v>
      </c>
      <c r="B239" s="2">
        <f ca="1">INDEX(Simulations!$A$1:$BK$2501, 239, MATCH("ExitMultiple", Simulations!$A$1:$BK$1, 0))</f>
        <v>7.8173173325388587</v>
      </c>
      <c r="C239" s="2">
        <f ca="1">INDEX(Simulations!$A$1:$BK$2501, 239, MATCH("RevCAGR", Simulations!$A$1:$BK$1, 0))</f>
        <v>4.7708052717442224E-2</v>
      </c>
      <c r="D239" s="2">
        <f ca="1">INDEX(Simulations!$A$1:$BK$2501, 239, MATCH("SynMargin", Simulations!$A$1:$BK$1, 0))</f>
        <v>8.6677351046037954E-3</v>
      </c>
      <c r="E239" s="2">
        <f ca="1">INDEX(Simulations!$A$1:$BK$2501, 239, MATCH("Yr1Shock", Simulations!$A$1:$BK$1, 0))</f>
        <v>-1.3645540342709183E-2</v>
      </c>
    </row>
    <row r="240" spans="1:5" x14ac:dyDescent="0.3">
      <c r="A240" s="2">
        <f ca="1">INDEX(Simulations!$A$1:$BK$2501, 240, MATCH("PurchaseMultiple", Simulations!$A$1:$BK$1, 0))</f>
        <v>6.968525591305716</v>
      </c>
      <c r="B240" s="2">
        <f ca="1">INDEX(Simulations!$A$1:$BK$2501, 240, MATCH("ExitMultiple", Simulations!$A$1:$BK$1, 0))</f>
        <v>7.2530623736098532</v>
      </c>
      <c r="C240" s="2">
        <f ca="1">INDEX(Simulations!$A$1:$BK$2501, 240, MATCH("RevCAGR", Simulations!$A$1:$BK$1, 0))</f>
        <v>3.4199157601805114E-2</v>
      </c>
      <c r="D240" s="2">
        <f ca="1">INDEX(Simulations!$A$1:$BK$2501, 240, MATCH("SynMargin", Simulations!$A$1:$BK$1, 0))</f>
        <v>1.0080444212442165E-2</v>
      </c>
      <c r="E240" s="2">
        <f ca="1">INDEX(Simulations!$A$1:$BK$2501, 240, MATCH("Yr1Shock", Simulations!$A$1:$BK$1, 0))</f>
        <v>1.0463745556301694E-2</v>
      </c>
    </row>
    <row r="241" spans="1:5" x14ac:dyDescent="0.3">
      <c r="A241" s="2">
        <f ca="1">INDEX(Simulations!$A$1:$BK$2501, 241, MATCH("PurchaseMultiple", Simulations!$A$1:$BK$1, 0))</f>
        <v>6.5717130250494868</v>
      </c>
      <c r="B241" s="2">
        <f ca="1">INDEX(Simulations!$A$1:$BK$2501, 241, MATCH("ExitMultiple", Simulations!$A$1:$BK$1, 0))</f>
        <v>7.5518468365955664</v>
      </c>
      <c r="C241" s="2">
        <f ca="1">INDEX(Simulations!$A$1:$BK$2501, 241, MATCH("RevCAGR", Simulations!$A$1:$BK$1, 0))</f>
        <v>5.2782862797815924E-2</v>
      </c>
      <c r="D241" s="2">
        <f ca="1">INDEX(Simulations!$A$1:$BK$2501, 241, MATCH("SynMargin", Simulations!$A$1:$BK$1, 0))</f>
        <v>1.2542078496967783E-2</v>
      </c>
      <c r="E241" s="2">
        <f ca="1">INDEX(Simulations!$A$1:$BK$2501, 241, MATCH("Yr1Shock", Simulations!$A$1:$BK$1, 0))</f>
        <v>1.0370292415907994E-2</v>
      </c>
    </row>
    <row r="242" spans="1:5" x14ac:dyDescent="0.3">
      <c r="A242" s="2">
        <f ca="1">INDEX(Simulations!$A$1:$BK$2501, 242, MATCH("PurchaseMultiple", Simulations!$A$1:$BK$1, 0))</f>
        <v>7.1984377280895773</v>
      </c>
      <c r="B242" s="2">
        <f ca="1">INDEX(Simulations!$A$1:$BK$2501, 242, MATCH("ExitMultiple", Simulations!$A$1:$BK$1, 0))</f>
        <v>6.6681805383183939</v>
      </c>
      <c r="C242" s="2">
        <f ca="1">INDEX(Simulations!$A$1:$BK$2501, 242, MATCH("RevCAGR", Simulations!$A$1:$BK$1, 0))</f>
        <v>9.6348540540429101E-2</v>
      </c>
      <c r="D242" s="2">
        <f ca="1">INDEX(Simulations!$A$1:$BK$2501, 242, MATCH("SynMargin", Simulations!$A$1:$BK$1, 0))</f>
        <v>1.3365112559686452E-2</v>
      </c>
      <c r="E242" s="2">
        <f ca="1">INDEX(Simulations!$A$1:$BK$2501, 242, MATCH("Yr1Shock", Simulations!$A$1:$BK$1, 0))</f>
        <v>-2.868834280365145E-2</v>
      </c>
    </row>
    <row r="243" spans="1:5" x14ac:dyDescent="0.3">
      <c r="A243" s="2">
        <f ca="1">INDEX(Simulations!$A$1:$BK$2501, 243, MATCH("PurchaseMultiple", Simulations!$A$1:$BK$1, 0))</f>
        <v>7.4682734474546564</v>
      </c>
      <c r="B243" s="2">
        <f ca="1">INDEX(Simulations!$A$1:$BK$2501, 243, MATCH("ExitMultiple", Simulations!$A$1:$BK$1, 0))</f>
        <v>7.2060358929499735</v>
      </c>
      <c r="C243" s="2">
        <f ca="1">INDEX(Simulations!$A$1:$BK$2501, 243, MATCH("RevCAGR", Simulations!$A$1:$BK$1, 0))</f>
        <v>5.2520963487683522E-2</v>
      </c>
      <c r="D243" s="2">
        <f ca="1">INDEX(Simulations!$A$1:$BK$2501, 243, MATCH("SynMargin", Simulations!$A$1:$BK$1, 0))</f>
        <v>5.7917023572578242E-3</v>
      </c>
      <c r="E243" s="2">
        <f ca="1">INDEX(Simulations!$A$1:$BK$2501, 243, MATCH("Yr1Shock", Simulations!$A$1:$BK$1, 0))</f>
        <v>-6.1675579783674753E-3</v>
      </c>
    </row>
    <row r="244" spans="1:5" x14ac:dyDescent="0.3">
      <c r="A244" s="2">
        <f ca="1">INDEX(Simulations!$A$1:$BK$2501, 244, MATCH("PurchaseMultiple", Simulations!$A$1:$BK$1, 0))</f>
        <v>7.1183807770509446</v>
      </c>
      <c r="B244" s="2">
        <f ca="1">INDEX(Simulations!$A$1:$BK$2501, 244, MATCH("ExitMultiple", Simulations!$A$1:$BK$1, 0))</f>
        <v>7.8091069399168127</v>
      </c>
      <c r="C244" s="2">
        <f ca="1">INDEX(Simulations!$A$1:$BK$2501, 244, MATCH("RevCAGR", Simulations!$A$1:$BK$1, 0))</f>
        <v>1.890148906029487E-2</v>
      </c>
      <c r="D244" s="2">
        <f ca="1">INDEX(Simulations!$A$1:$BK$2501, 244, MATCH("SynMargin", Simulations!$A$1:$BK$1, 0))</f>
        <v>1.5433934246881449E-2</v>
      </c>
      <c r="E244" s="2">
        <f ca="1">INDEX(Simulations!$A$1:$BK$2501, 244, MATCH("Yr1Shock", Simulations!$A$1:$BK$1, 0))</f>
        <v>-1.5301168216280126E-2</v>
      </c>
    </row>
    <row r="245" spans="1:5" x14ac:dyDescent="0.3">
      <c r="A245" s="2">
        <f ca="1">INDEX(Simulations!$A$1:$BK$2501, 245, MATCH("PurchaseMultiple", Simulations!$A$1:$BK$1, 0))</f>
        <v>6.6843566846717319</v>
      </c>
      <c r="B245" s="2">
        <f ca="1">INDEX(Simulations!$A$1:$BK$2501, 245, MATCH("ExitMultiple", Simulations!$A$1:$BK$1, 0))</f>
        <v>7.2601869192037629</v>
      </c>
      <c r="C245" s="2">
        <f ca="1">INDEX(Simulations!$A$1:$BK$2501, 245, MATCH("RevCAGR", Simulations!$A$1:$BK$1, 0))</f>
        <v>-8.0289195563383528E-3</v>
      </c>
      <c r="D245" s="2">
        <f ca="1">INDEX(Simulations!$A$1:$BK$2501, 245, MATCH("SynMargin", Simulations!$A$1:$BK$1, 0))</f>
        <v>7.7321115100540128E-3</v>
      </c>
      <c r="E245" s="2">
        <f ca="1">INDEX(Simulations!$A$1:$BK$2501, 245, MATCH("Yr1Shock", Simulations!$A$1:$BK$1, 0))</f>
        <v>-5.3875260682030683E-3</v>
      </c>
    </row>
    <row r="246" spans="1:5" x14ac:dyDescent="0.3">
      <c r="A246" s="2">
        <f ca="1">INDEX(Simulations!$A$1:$BK$2501, 246, MATCH("PurchaseMultiple", Simulations!$A$1:$BK$1, 0))</f>
        <v>6.7786823768980682</v>
      </c>
      <c r="B246" s="2">
        <f ca="1">INDEX(Simulations!$A$1:$BK$2501, 246, MATCH("ExitMultiple", Simulations!$A$1:$BK$1, 0))</f>
        <v>8.3531599868919919</v>
      </c>
      <c r="C246" s="2">
        <f ca="1">INDEX(Simulations!$A$1:$BK$2501, 246, MATCH("RevCAGR", Simulations!$A$1:$BK$1, 0))</f>
        <v>5.0487654450594728E-2</v>
      </c>
      <c r="D246" s="2">
        <f ca="1">INDEX(Simulations!$A$1:$BK$2501, 246, MATCH("SynMargin", Simulations!$A$1:$BK$1, 0))</f>
        <v>5.4310834024544107E-3</v>
      </c>
      <c r="E246" s="2">
        <f ca="1">INDEX(Simulations!$A$1:$BK$2501, 246, MATCH("Yr1Shock", Simulations!$A$1:$BK$1, 0))</f>
        <v>2.1164281737332785E-2</v>
      </c>
    </row>
    <row r="247" spans="1:5" x14ac:dyDescent="0.3">
      <c r="A247" s="2">
        <f ca="1">INDEX(Simulations!$A$1:$BK$2501, 247, MATCH("PurchaseMultiple", Simulations!$A$1:$BK$1, 0))</f>
        <v>7.4194596633764736</v>
      </c>
      <c r="B247" s="2">
        <f ca="1">INDEX(Simulations!$A$1:$BK$2501, 247, MATCH("ExitMultiple", Simulations!$A$1:$BK$1, 0))</f>
        <v>7.4849390702218797</v>
      </c>
      <c r="C247" s="2">
        <f ca="1">INDEX(Simulations!$A$1:$BK$2501, 247, MATCH("RevCAGR", Simulations!$A$1:$BK$1, 0))</f>
        <v>0.11597526368459246</v>
      </c>
      <c r="D247" s="2">
        <f ca="1">INDEX(Simulations!$A$1:$BK$2501, 247, MATCH("SynMargin", Simulations!$A$1:$BK$1, 0))</f>
        <v>1.3699880531018459E-2</v>
      </c>
      <c r="E247" s="2">
        <f ca="1">INDEX(Simulations!$A$1:$BK$2501, 247, MATCH("Yr1Shock", Simulations!$A$1:$BK$1, 0))</f>
        <v>-3.8456812988584048E-2</v>
      </c>
    </row>
    <row r="248" spans="1:5" x14ac:dyDescent="0.3">
      <c r="A248" s="2">
        <f ca="1">INDEX(Simulations!$A$1:$BK$2501, 248, MATCH("PurchaseMultiple", Simulations!$A$1:$BK$1, 0))</f>
        <v>7.6913093601641007</v>
      </c>
      <c r="B248" s="2">
        <f ca="1">INDEX(Simulations!$A$1:$BK$2501, 248, MATCH("ExitMultiple", Simulations!$A$1:$BK$1, 0))</f>
        <v>6.8359501682463684</v>
      </c>
      <c r="C248" s="2">
        <f ca="1">INDEX(Simulations!$A$1:$BK$2501, 248, MATCH("RevCAGR", Simulations!$A$1:$BK$1, 0))</f>
        <v>7.3409428364581253E-2</v>
      </c>
      <c r="D248" s="2">
        <f ca="1">INDEX(Simulations!$A$1:$BK$2501, 248, MATCH("SynMargin", Simulations!$A$1:$BK$1, 0))</f>
        <v>1.5003538295450189E-2</v>
      </c>
      <c r="E248" s="2">
        <f ca="1">INDEX(Simulations!$A$1:$BK$2501, 248, MATCH("Yr1Shock", Simulations!$A$1:$BK$1, 0))</f>
        <v>-4.4882102557467086E-2</v>
      </c>
    </row>
    <row r="249" spans="1:5" x14ac:dyDescent="0.3">
      <c r="A249" s="2">
        <f ca="1">INDEX(Simulations!$A$1:$BK$2501, 249, MATCH("PurchaseMultiple", Simulations!$A$1:$BK$1, 0))</f>
        <v>6.3135009641540094</v>
      </c>
      <c r="B249" s="2">
        <f ca="1">INDEX(Simulations!$A$1:$BK$2501, 249, MATCH("ExitMultiple", Simulations!$A$1:$BK$1, 0))</f>
        <v>6.902253820281266</v>
      </c>
      <c r="C249" s="2">
        <f ca="1">INDEX(Simulations!$A$1:$BK$2501, 249, MATCH("RevCAGR", Simulations!$A$1:$BK$1, 0))</f>
        <v>4.5517174810721518E-2</v>
      </c>
      <c r="D249" s="2">
        <f ca="1">INDEX(Simulations!$A$1:$BK$2501, 249, MATCH("SynMargin", Simulations!$A$1:$BK$1, 0))</f>
        <v>6.2862901779226626E-4</v>
      </c>
      <c r="E249" s="2">
        <f ca="1">INDEX(Simulations!$A$1:$BK$2501, 249, MATCH("Yr1Shock", Simulations!$A$1:$BK$1, 0))</f>
        <v>-4.5583727719197588E-3</v>
      </c>
    </row>
    <row r="250" spans="1:5" x14ac:dyDescent="0.3">
      <c r="A250" s="2">
        <f ca="1">INDEX(Simulations!$A$1:$BK$2501, 250, MATCH("PurchaseMultiple", Simulations!$A$1:$BK$1, 0))</f>
        <v>7.1115831518096329</v>
      </c>
      <c r="B250" s="2">
        <f ca="1">INDEX(Simulations!$A$1:$BK$2501, 250, MATCH("ExitMultiple", Simulations!$A$1:$BK$1, 0))</f>
        <v>7.0639827906183488</v>
      </c>
      <c r="C250" s="2">
        <f ca="1">INDEX(Simulations!$A$1:$BK$2501, 250, MATCH("RevCAGR", Simulations!$A$1:$BK$1, 0))</f>
        <v>2.3210600825187166E-2</v>
      </c>
      <c r="D250" s="2">
        <f ca="1">INDEX(Simulations!$A$1:$BK$2501, 250, MATCH("SynMargin", Simulations!$A$1:$BK$1, 0))</f>
        <v>1.6759154657774507E-2</v>
      </c>
      <c r="E250" s="2">
        <f ca="1">INDEX(Simulations!$A$1:$BK$2501, 250, MATCH("Yr1Shock", Simulations!$A$1:$BK$1, 0))</f>
        <v>6.1232372885918086E-3</v>
      </c>
    </row>
    <row r="251" spans="1:5" x14ac:dyDescent="0.3">
      <c r="A251" s="2">
        <f ca="1">INDEX(Simulations!$A$1:$BK$2501, 251, MATCH("PurchaseMultiple", Simulations!$A$1:$BK$1, 0))</f>
        <v>7.2643594908446056</v>
      </c>
      <c r="B251" s="2">
        <f ca="1">INDEX(Simulations!$A$1:$BK$2501, 251, MATCH("ExitMultiple", Simulations!$A$1:$BK$1, 0))</f>
        <v>7.3499446638299748</v>
      </c>
      <c r="C251" s="2">
        <f ca="1">INDEX(Simulations!$A$1:$BK$2501, 251, MATCH("RevCAGR", Simulations!$A$1:$BK$1, 0))</f>
        <v>5.257710826570227E-2</v>
      </c>
      <c r="D251" s="2">
        <f ca="1">INDEX(Simulations!$A$1:$BK$2501, 251, MATCH("SynMargin", Simulations!$A$1:$BK$1, 0))</f>
        <v>1.1636044151692207E-2</v>
      </c>
      <c r="E251" s="2">
        <f ca="1">INDEX(Simulations!$A$1:$BK$2501, 251, MATCH("Yr1Shock", Simulations!$A$1:$BK$1, 0))</f>
        <v>-6.0132093874594266E-4</v>
      </c>
    </row>
    <row r="252" spans="1:5" x14ac:dyDescent="0.3">
      <c r="A252" s="2">
        <f ca="1">INDEX(Simulations!$A$1:$BK$2501, 252, MATCH("PurchaseMultiple", Simulations!$A$1:$BK$1, 0))</f>
        <v>6.6962353347930899</v>
      </c>
      <c r="B252" s="2">
        <f ca="1">INDEX(Simulations!$A$1:$BK$2501, 252, MATCH("ExitMultiple", Simulations!$A$1:$BK$1, 0))</f>
        <v>7.7107270657981264</v>
      </c>
      <c r="C252" s="2">
        <f ca="1">INDEX(Simulations!$A$1:$BK$2501, 252, MATCH("RevCAGR", Simulations!$A$1:$BK$1, 0))</f>
        <v>2.1631334986719923E-2</v>
      </c>
      <c r="D252" s="2">
        <f ca="1">INDEX(Simulations!$A$1:$BK$2501, 252, MATCH("SynMargin", Simulations!$A$1:$BK$1, 0))</f>
        <v>1.1828654778558977E-2</v>
      </c>
      <c r="E252" s="2">
        <f ca="1">INDEX(Simulations!$A$1:$BK$2501, 252, MATCH("Yr1Shock", Simulations!$A$1:$BK$1, 0))</f>
        <v>-6.9499855016614933E-3</v>
      </c>
    </row>
    <row r="253" spans="1:5" x14ac:dyDescent="0.3">
      <c r="A253" s="2">
        <f ca="1">INDEX(Simulations!$A$1:$BK$2501, 253, MATCH("PurchaseMultiple", Simulations!$A$1:$BK$1, 0))</f>
        <v>7.1637603945328658</v>
      </c>
      <c r="B253" s="2">
        <f ca="1">INDEX(Simulations!$A$1:$BK$2501, 253, MATCH("ExitMultiple", Simulations!$A$1:$BK$1, 0))</f>
        <v>7.7033665791347055</v>
      </c>
      <c r="C253" s="2">
        <f ca="1">INDEX(Simulations!$A$1:$BK$2501, 253, MATCH("RevCAGR", Simulations!$A$1:$BK$1, 0))</f>
        <v>2.4182859650555315E-2</v>
      </c>
      <c r="D253" s="2">
        <f ca="1">INDEX(Simulations!$A$1:$BK$2501, 253, MATCH("SynMargin", Simulations!$A$1:$BK$1, 0))</f>
        <v>1.2604854079214224E-2</v>
      </c>
      <c r="E253" s="2">
        <f ca="1">INDEX(Simulations!$A$1:$BK$2501, 253, MATCH("Yr1Shock", Simulations!$A$1:$BK$1, 0))</f>
        <v>3.7109042223308547E-2</v>
      </c>
    </row>
    <row r="254" spans="1:5" x14ac:dyDescent="0.3">
      <c r="A254" s="2">
        <f ca="1">INDEX(Simulations!$A$1:$BK$2501, 254, MATCH("PurchaseMultiple", Simulations!$A$1:$BK$1, 0))</f>
        <v>6.4615735864519541</v>
      </c>
      <c r="B254" s="2">
        <f ca="1">INDEX(Simulations!$A$1:$BK$2501, 254, MATCH("ExitMultiple", Simulations!$A$1:$BK$1, 0))</f>
        <v>6.7452799545652997</v>
      </c>
      <c r="C254" s="2">
        <f ca="1">INDEX(Simulations!$A$1:$BK$2501, 254, MATCH("RevCAGR", Simulations!$A$1:$BK$1, 0))</f>
        <v>0.10593372957855776</v>
      </c>
      <c r="D254" s="2">
        <f ca="1">INDEX(Simulations!$A$1:$BK$2501, 254, MATCH("SynMargin", Simulations!$A$1:$BK$1, 0))</f>
        <v>9.332359240308976E-3</v>
      </c>
      <c r="E254" s="2">
        <f ca="1">INDEX(Simulations!$A$1:$BK$2501, 254, MATCH("Yr1Shock", Simulations!$A$1:$BK$1, 0))</f>
        <v>1.1979341688412725E-2</v>
      </c>
    </row>
    <row r="255" spans="1:5" x14ac:dyDescent="0.3">
      <c r="A255" s="2">
        <f ca="1">INDEX(Simulations!$A$1:$BK$2501, 255, MATCH("PurchaseMultiple", Simulations!$A$1:$BK$1, 0))</f>
        <v>7.9038240391573265</v>
      </c>
      <c r="B255" s="2">
        <f ca="1">INDEX(Simulations!$A$1:$BK$2501, 255, MATCH("ExitMultiple", Simulations!$A$1:$BK$1, 0))</f>
        <v>7.1586177014480805</v>
      </c>
      <c r="C255" s="2">
        <f ca="1">INDEX(Simulations!$A$1:$BK$2501, 255, MATCH("RevCAGR", Simulations!$A$1:$BK$1, 0))</f>
        <v>5.4846293980594624E-2</v>
      </c>
      <c r="D255" s="2">
        <f ca="1">INDEX(Simulations!$A$1:$BK$2501, 255, MATCH("SynMargin", Simulations!$A$1:$BK$1, 0))</f>
        <v>5.1578261366517974E-3</v>
      </c>
      <c r="E255" s="2">
        <f ca="1">INDEX(Simulations!$A$1:$BK$2501, 255, MATCH("Yr1Shock", Simulations!$A$1:$BK$1, 0))</f>
        <v>4.0101970366759637E-2</v>
      </c>
    </row>
    <row r="256" spans="1:5" x14ac:dyDescent="0.3">
      <c r="A256" s="2">
        <f ca="1">INDEX(Simulations!$A$1:$BK$2501, 256, MATCH("PurchaseMultiple", Simulations!$A$1:$BK$1, 0))</f>
        <v>7.8136352718842801</v>
      </c>
      <c r="B256" s="2">
        <f ca="1">INDEX(Simulations!$A$1:$BK$2501, 256, MATCH("ExitMultiple", Simulations!$A$1:$BK$1, 0))</f>
        <v>8.2331023344569125</v>
      </c>
      <c r="C256" s="2">
        <f ca="1">INDEX(Simulations!$A$1:$BK$2501, 256, MATCH("RevCAGR", Simulations!$A$1:$BK$1, 0))</f>
        <v>8.6247933545427591E-2</v>
      </c>
      <c r="D256" s="2">
        <f ca="1">INDEX(Simulations!$A$1:$BK$2501, 256, MATCH("SynMargin", Simulations!$A$1:$BK$1, 0))</f>
        <v>1.0729681347893909E-2</v>
      </c>
      <c r="E256" s="2">
        <f ca="1">INDEX(Simulations!$A$1:$BK$2501, 256, MATCH("Yr1Shock", Simulations!$A$1:$BK$1, 0))</f>
        <v>-2.6619876036601393E-2</v>
      </c>
    </row>
    <row r="257" spans="1:5" x14ac:dyDescent="0.3">
      <c r="A257" s="2">
        <f ca="1">INDEX(Simulations!$A$1:$BK$2501, 257, MATCH("PurchaseMultiple", Simulations!$A$1:$BK$1, 0))</f>
        <v>7.0808133101323376</v>
      </c>
      <c r="B257" s="2">
        <f ca="1">INDEX(Simulations!$A$1:$BK$2501, 257, MATCH("ExitMultiple", Simulations!$A$1:$BK$1, 0))</f>
        <v>8.2105033055076646</v>
      </c>
      <c r="C257" s="2">
        <f ca="1">INDEX(Simulations!$A$1:$BK$2501, 257, MATCH("RevCAGR", Simulations!$A$1:$BK$1, 0))</f>
        <v>1.3913540044911275E-2</v>
      </c>
      <c r="D257" s="2">
        <f ca="1">INDEX(Simulations!$A$1:$BK$2501, 257, MATCH("SynMargin", Simulations!$A$1:$BK$1, 0))</f>
        <v>1.0030983493980287E-2</v>
      </c>
      <c r="E257" s="2">
        <f ca="1">INDEX(Simulations!$A$1:$BK$2501, 257, MATCH("Yr1Shock", Simulations!$A$1:$BK$1, 0))</f>
        <v>2.6361282431804602E-2</v>
      </c>
    </row>
    <row r="258" spans="1:5" x14ac:dyDescent="0.3">
      <c r="A258" s="2">
        <f ca="1">INDEX(Simulations!$A$1:$BK$2501, 258, MATCH("PurchaseMultiple", Simulations!$A$1:$BK$1, 0))</f>
        <v>7.1493835646985966</v>
      </c>
      <c r="B258" s="2">
        <f ca="1">INDEX(Simulations!$A$1:$BK$2501, 258, MATCH("ExitMultiple", Simulations!$A$1:$BK$1, 0))</f>
        <v>7.4571127751974675</v>
      </c>
      <c r="C258" s="2">
        <f ca="1">INDEX(Simulations!$A$1:$BK$2501, 258, MATCH("RevCAGR", Simulations!$A$1:$BK$1, 0))</f>
        <v>-1.7364253053421541E-4</v>
      </c>
      <c r="D258" s="2">
        <f ca="1">INDEX(Simulations!$A$1:$BK$2501, 258, MATCH("SynMargin", Simulations!$A$1:$BK$1, 0))</f>
        <v>1.1623678930572014E-2</v>
      </c>
      <c r="E258" s="2">
        <f ca="1">INDEX(Simulations!$A$1:$BK$2501, 258, MATCH("Yr1Shock", Simulations!$A$1:$BK$1, 0))</f>
        <v>1.2328181113513922E-3</v>
      </c>
    </row>
    <row r="259" spans="1:5" x14ac:dyDescent="0.3">
      <c r="A259" s="2">
        <f ca="1">INDEX(Simulations!$A$1:$BK$2501, 259, MATCH("PurchaseMultiple", Simulations!$A$1:$BK$1, 0))</f>
        <v>6.7045349278406556</v>
      </c>
      <c r="B259" s="2">
        <f ca="1">INDEX(Simulations!$A$1:$BK$2501, 259, MATCH("ExitMultiple", Simulations!$A$1:$BK$1, 0))</f>
        <v>7.8408278623139953</v>
      </c>
      <c r="C259" s="2">
        <f ca="1">INDEX(Simulations!$A$1:$BK$2501, 259, MATCH("RevCAGR", Simulations!$A$1:$BK$1, 0))</f>
        <v>-1.1216814070566079E-2</v>
      </c>
      <c r="D259" s="2">
        <f ca="1">INDEX(Simulations!$A$1:$BK$2501, 259, MATCH("SynMargin", Simulations!$A$1:$BK$1, 0))</f>
        <v>1.8864409867273869E-2</v>
      </c>
      <c r="E259" s="2">
        <f ca="1">INDEX(Simulations!$A$1:$BK$2501, 259, MATCH("Yr1Shock", Simulations!$A$1:$BK$1, 0))</f>
        <v>1.2653809114689052E-2</v>
      </c>
    </row>
    <row r="260" spans="1:5" x14ac:dyDescent="0.3">
      <c r="A260" s="2">
        <f ca="1">INDEX(Simulations!$A$1:$BK$2501, 260, MATCH("PurchaseMultiple", Simulations!$A$1:$BK$1, 0))</f>
        <v>7.6221292303475057</v>
      </c>
      <c r="B260" s="2">
        <f ca="1">INDEX(Simulations!$A$1:$BK$2501, 260, MATCH("ExitMultiple", Simulations!$A$1:$BK$1, 0))</f>
        <v>7.9235961498608836</v>
      </c>
      <c r="C260" s="2">
        <f ca="1">INDEX(Simulations!$A$1:$BK$2501, 260, MATCH("RevCAGR", Simulations!$A$1:$BK$1, 0))</f>
        <v>3.1553187786982205E-2</v>
      </c>
      <c r="D260" s="2">
        <f ca="1">INDEX(Simulations!$A$1:$BK$2501, 260, MATCH("SynMargin", Simulations!$A$1:$BK$1, 0))</f>
        <v>1.0337786428462588E-2</v>
      </c>
      <c r="E260" s="2">
        <f ca="1">INDEX(Simulations!$A$1:$BK$2501, 260, MATCH("Yr1Shock", Simulations!$A$1:$BK$1, 0))</f>
        <v>1.2894758103581679E-2</v>
      </c>
    </row>
    <row r="261" spans="1:5" x14ac:dyDescent="0.3">
      <c r="A261" s="2">
        <f ca="1">INDEX(Simulations!$A$1:$BK$2501, 261, MATCH("PurchaseMultiple", Simulations!$A$1:$BK$1, 0))</f>
        <v>6.987290887371854</v>
      </c>
      <c r="B261" s="2">
        <f ca="1">INDEX(Simulations!$A$1:$BK$2501, 261, MATCH("ExitMultiple", Simulations!$A$1:$BK$1, 0))</f>
        <v>6.9745010712362134</v>
      </c>
      <c r="C261" s="2">
        <f ca="1">INDEX(Simulations!$A$1:$BK$2501, 261, MATCH("RevCAGR", Simulations!$A$1:$BK$1, 0))</f>
        <v>8.4720624205099029E-2</v>
      </c>
      <c r="D261" s="2">
        <f ca="1">INDEX(Simulations!$A$1:$BK$2501, 261, MATCH("SynMargin", Simulations!$A$1:$BK$1, 0))</f>
        <v>1.4828952690573362E-2</v>
      </c>
      <c r="E261" s="2">
        <f ca="1">INDEX(Simulations!$A$1:$BK$2501, 261, MATCH("Yr1Shock", Simulations!$A$1:$BK$1, 0))</f>
        <v>1.485447818387875E-2</v>
      </c>
    </row>
    <row r="262" spans="1:5" x14ac:dyDescent="0.3">
      <c r="A262" s="2">
        <f ca="1">INDEX(Simulations!$A$1:$BK$2501, 262, MATCH("PurchaseMultiple", Simulations!$A$1:$BK$1, 0))</f>
        <v>6.6844205231746541</v>
      </c>
      <c r="B262" s="2">
        <f ca="1">INDEX(Simulations!$A$1:$BK$2501, 262, MATCH("ExitMultiple", Simulations!$A$1:$BK$1, 0))</f>
        <v>7.5747843340105669</v>
      </c>
      <c r="C262" s="2">
        <f ca="1">INDEX(Simulations!$A$1:$BK$2501, 262, MATCH("RevCAGR", Simulations!$A$1:$BK$1, 0))</f>
        <v>1.6960118647915225E-2</v>
      </c>
      <c r="D262" s="2">
        <f ca="1">INDEX(Simulations!$A$1:$BK$2501, 262, MATCH("SynMargin", Simulations!$A$1:$BK$1, 0))</f>
        <v>8.8425869863397264E-3</v>
      </c>
      <c r="E262" s="2">
        <f ca="1">INDEX(Simulations!$A$1:$BK$2501, 262, MATCH("Yr1Shock", Simulations!$A$1:$BK$1, 0))</f>
        <v>3.3246065519811898E-3</v>
      </c>
    </row>
    <row r="263" spans="1:5" x14ac:dyDescent="0.3">
      <c r="A263" s="2">
        <f ca="1">INDEX(Simulations!$A$1:$BK$2501, 263, MATCH("PurchaseMultiple", Simulations!$A$1:$BK$1, 0))</f>
        <v>6.6181756843974719</v>
      </c>
      <c r="B263" s="2">
        <f ca="1">INDEX(Simulations!$A$1:$BK$2501, 263, MATCH("ExitMultiple", Simulations!$A$1:$BK$1, 0))</f>
        <v>7.5773318985592368</v>
      </c>
      <c r="C263" s="2">
        <f ca="1">INDEX(Simulations!$A$1:$BK$2501, 263, MATCH("RevCAGR", Simulations!$A$1:$BK$1, 0))</f>
        <v>1.3945042468835312E-2</v>
      </c>
      <c r="D263" s="2">
        <f ca="1">INDEX(Simulations!$A$1:$BK$2501, 263, MATCH("SynMargin", Simulations!$A$1:$BK$1, 0))</f>
        <v>7.8806784443521075E-3</v>
      </c>
      <c r="E263" s="2">
        <f ca="1">INDEX(Simulations!$A$1:$BK$2501, 263, MATCH("Yr1Shock", Simulations!$A$1:$BK$1, 0))</f>
        <v>-1.1443597531287151E-2</v>
      </c>
    </row>
    <row r="264" spans="1:5" x14ac:dyDescent="0.3">
      <c r="A264" s="2">
        <f ca="1">INDEX(Simulations!$A$1:$BK$2501, 264, MATCH("PurchaseMultiple", Simulations!$A$1:$BK$1, 0))</f>
        <v>7.1882561667390164</v>
      </c>
      <c r="B264" s="2">
        <f ca="1">INDEX(Simulations!$A$1:$BK$2501, 264, MATCH("ExitMultiple", Simulations!$A$1:$BK$1, 0))</f>
        <v>7.4115345851190666</v>
      </c>
      <c r="C264" s="2">
        <f ca="1">INDEX(Simulations!$A$1:$BK$2501, 264, MATCH("RevCAGR", Simulations!$A$1:$BK$1, 0))</f>
        <v>9.1783386851482449E-3</v>
      </c>
      <c r="D264" s="2">
        <f ca="1">INDEX(Simulations!$A$1:$BK$2501, 264, MATCH("SynMargin", Simulations!$A$1:$BK$1, 0))</f>
        <v>8.2853239851892954E-3</v>
      </c>
      <c r="E264" s="2">
        <f ca="1">INDEX(Simulations!$A$1:$BK$2501, 264, MATCH("Yr1Shock", Simulations!$A$1:$BK$1, 0))</f>
        <v>-5.2673913675840445E-3</v>
      </c>
    </row>
    <row r="265" spans="1:5" x14ac:dyDescent="0.3">
      <c r="A265" s="2">
        <f ca="1">INDEX(Simulations!$A$1:$BK$2501, 265, MATCH("PurchaseMultiple", Simulations!$A$1:$BK$1, 0))</f>
        <v>7.7455044709991059</v>
      </c>
      <c r="B265" s="2">
        <f ca="1">INDEX(Simulations!$A$1:$BK$2501, 265, MATCH("ExitMultiple", Simulations!$A$1:$BK$1, 0))</f>
        <v>7.2014276270600543</v>
      </c>
      <c r="C265" s="2">
        <f ca="1">INDEX(Simulations!$A$1:$BK$2501, 265, MATCH("RevCAGR", Simulations!$A$1:$BK$1, 0))</f>
        <v>4.2366644204343523E-2</v>
      </c>
      <c r="D265" s="2">
        <f ca="1">INDEX(Simulations!$A$1:$BK$2501, 265, MATCH("SynMargin", Simulations!$A$1:$BK$1, 0))</f>
        <v>7.582810893349258E-3</v>
      </c>
      <c r="E265" s="2">
        <f ca="1">INDEX(Simulations!$A$1:$BK$2501, 265, MATCH("Yr1Shock", Simulations!$A$1:$BK$1, 0))</f>
        <v>-4.2640306075845971E-2</v>
      </c>
    </row>
    <row r="266" spans="1:5" x14ac:dyDescent="0.3">
      <c r="A266" s="2">
        <f ca="1">INDEX(Simulations!$A$1:$BK$2501, 266, MATCH("PurchaseMultiple", Simulations!$A$1:$BK$1, 0))</f>
        <v>6.3785017189090709</v>
      </c>
      <c r="B266" s="2">
        <f ca="1">INDEX(Simulations!$A$1:$BK$2501, 266, MATCH("ExitMultiple", Simulations!$A$1:$BK$1, 0))</f>
        <v>7.0516453122357978</v>
      </c>
      <c r="C266" s="2">
        <f ca="1">INDEX(Simulations!$A$1:$BK$2501, 266, MATCH("RevCAGR", Simulations!$A$1:$BK$1, 0))</f>
        <v>4.2905543806593754E-2</v>
      </c>
      <c r="D266" s="2">
        <f ca="1">INDEX(Simulations!$A$1:$BK$2501, 266, MATCH("SynMargin", Simulations!$A$1:$BK$1, 0))</f>
        <v>1.8467634494572983E-2</v>
      </c>
      <c r="E266" s="2">
        <f ca="1">INDEX(Simulations!$A$1:$BK$2501, 266, MATCH("Yr1Shock", Simulations!$A$1:$BK$1, 0))</f>
        <v>-1.225521634088669E-2</v>
      </c>
    </row>
    <row r="267" spans="1:5" x14ac:dyDescent="0.3">
      <c r="A267" s="2">
        <f ca="1">INDEX(Simulations!$A$1:$BK$2501, 267, MATCH("PurchaseMultiple", Simulations!$A$1:$BK$1, 0))</f>
        <v>7.6186440138255342</v>
      </c>
      <c r="B267" s="2">
        <f ca="1">INDEX(Simulations!$A$1:$BK$2501, 267, MATCH("ExitMultiple", Simulations!$A$1:$BK$1, 0))</f>
        <v>7.5527360931529559</v>
      </c>
      <c r="C267" s="2">
        <f ca="1">INDEX(Simulations!$A$1:$BK$2501, 267, MATCH("RevCAGR", Simulations!$A$1:$BK$1, 0))</f>
        <v>4.5539517659981307E-2</v>
      </c>
      <c r="D267" s="2">
        <f ca="1">INDEX(Simulations!$A$1:$BK$2501, 267, MATCH("SynMargin", Simulations!$A$1:$BK$1, 0))</f>
        <v>1.4652815781904763E-2</v>
      </c>
      <c r="E267" s="2">
        <f ca="1">INDEX(Simulations!$A$1:$BK$2501, 267, MATCH("Yr1Shock", Simulations!$A$1:$BK$1, 0))</f>
        <v>-1.829469769203226E-2</v>
      </c>
    </row>
    <row r="268" spans="1:5" x14ac:dyDescent="0.3">
      <c r="A268" s="2">
        <f ca="1">INDEX(Simulations!$A$1:$BK$2501, 268, MATCH("PurchaseMultiple", Simulations!$A$1:$BK$1, 0))</f>
        <v>6.6503220441784272</v>
      </c>
      <c r="B268" s="2">
        <f ca="1">INDEX(Simulations!$A$1:$BK$2501, 268, MATCH("ExitMultiple", Simulations!$A$1:$BK$1, 0))</f>
        <v>7.3076705667262294</v>
      </c>
      <c r="C268" s="2">
        <f ca="1">INDEX(Simulations!$A$1:$BK$2501, 268, MATCH("RevCAGR", Simulations!$A$1:$BK$1, 0))</f>
        <v>3.5015895853529148E-2</v>
      </c>
      <c r="D268" s="2">
        <f ca="1">INDEX(Simulations!$A$1:$BK$2501, 268, MATCH("SynMargin", Simulations!$A$1:$BK$1, 0))</f>
        <v>1.4647150679120417E-2</v>
      </c>
      <c r="E268" s="2">
        <f ca="1">INDEX(Simulations!$A$1:$BK$2501, 268, MATCH("Yr1Shock", Simulations!$A$1:$BK$1, 0))</f>
        <v>1.8188560527520575E-2</v>
      </c>
    </row>
    <row r="269" spans="1:5" x14ac:dyDescent="0.3">
      <c r="A269" s="2">
        <f ca="1">INDEX(Simulations!$A$1:$BK$2501, 269, MATCH("PurchaseMultiple", Simulations!$A$1:$BK$1, 0))</f>
        <v>7.3531682042279458</v>
      </c>
      <c r="B269" s="2">
        <f ca="1">INDEX(Simulations!$A$1:$BK$2501, 269, MATCH("ExitMultiple", Simulations!$A$1:$BK$1, 0))</f>
        <v>7.3711642637040757</v>
      </c>
      <c r="C269" s="2">
        <f ca="1">INDEX(Simulations!$A$1:$BK$2501, 269, MATCH("RevCAGR", Simulations!$A$1:$BK$1, 0))</f>
        <v>7.3987572025848602E-2</v>
      </c>
      <c r="D269" s="2">
        <f ca="1">INDEX(Simulations!$A$1:$BK$2501, 269, MATCH("SynMargin", Simulations!$A$1:$BK$1, 0))</f>
        <v>9.8761784817320997E-3</v>
      </c>
      <c r="E269" s="2">
        <f ca="1">INDEX(Simulations!$A$1:$BK$2501, 269, MATCH("Yr1Shock", Simulations!$A$1:$BK$1, 0))</f>
        <v>1.3264795135266684E-2</v>
      </c>
    </row>
    <row r="270" spans="1:5" x14ac:dyDescent="0.3">
      <c r="A270" s="2">
        <f ca="1">INDEX(Simulations!$A$1:$BK$2501, 270, MATCH("PurchaseMultiple", Simulations!$A$1:$BK$1, 0))</f>
        <v>7.494922804425677</v>
      </c>
      <c r="B270" s="2">
        <f ca="1">INDEX(Simulations!$A$1:$BK$2501, 270, MATCH("ExitMultiple", Simulations!$A$1:$BK$1, 0))</f>
        <v>8.2023797826596425</v>
      </c>
      <c r="C270" s="2">
        <f ca="1">INDEX(Simulations!$A$1:$BK$2501, 270, MATCH("RevCAGR", Simulations!$A$1:$BK$1, 0))</f>
        <v>-2.4869735808577403E-3</v>
      </c>
      <c r="D270" s="2">
        <f ca="1">INDEX(Simulations!$A$1:$BK$2501, 270, MATCH("SynMargin", Simulations!$A$1:$BK$1, 0))</f>
        <v>1.1311835380388772E-2</v>
      </c>
      <c r="E270" s="2">
        <f ca="1">INDEX(Simulations!$A$1:$BK$2501, 270, MATCH("Yr1Shock", Simulations!$A$1:$BK$1, 0))</f>
        <v>3.7091918071670012E-2</v>
      </c>
    </row>
    <row r="271" spans="1:5" x14ac:dyDescent="0.3">
      <c r="A271" s="2">
        <f ca="1">INDEX(Simulations!$A$1:$BK$2501, 271, MATCH("PurchaseMultiple", Simulations!$A$1:$BK$1, 0))</f>
        <v>6.8324957158523727</v>
      </c>
      <c r="B271" s="2">
        <f ca="1">INDEX(Simulations!$A$1:$BK$2501, 271, MATCH("ExitMultiple", Simulations!$A$1:$BK$1, 0))</f>
        <v>7.4230875447223053</v>
      </c>
      <c r="C271" s="2">
        <f ca="1">INDEX(Simulations!$A$1:$BK$2501, 271, MATCH("RevCAGR", Simulations!$A$1:$BK$1, 0))</f>
        <v>2.4721529317578584E-2</v>
      </c>
      <c r="D271" s="2">
        <f ca="1">INDEX(Simulations!$A$1:$BK$2501, 271, MATCH("SynMargin", Simulations!$A$1:$BK$1, 0))</f>
        <v>4.1693856789123962E-3</v>
      </c>
      <c r="E271" s="2">
        <f ca="1">INDEX(Simulations!$A$1:$BK$2501, 271, MATCH("Yr1Shock", Simulations!$A$1:$BK$1, 0))</f>
        <v>-2.8847885603260092E-3</v>
      </c>
    </row>
    <row r="272" spans="1:5" x14ac:dyDescent="0.3">
      <c r="A272" s="2">
        <f ca="1">INDEX(Simulations!$A$1:$BK$2501, 272, MATCH("PurchaseMultiple", Simulations!$A$1:$BK$1, 0))</f>
        <v>6.9042825579201024</v>
      </c>
      <c r="B272" s="2">
        <f ca="1">INDEX(Simulations!$A$1:$BK$2501, 272, MATCH("ExitMultiple", Simulations!$A$1:$BK$1, 0))</f>
        <v>8.1785096026190356</v>
      </c>
      <c r="C272" s="2">
        <f ca="1">INDEX(Simulations!$A$1:$BK$2501, 272, MATCH("RevCAGR", Simulations!$A$1:$BK$1, 0))</f>
        <v>7.2220365051399199E-2</v>
      </c>
      <c r="D272" s="2">
        <f ca="1">INDEX(Simulations!$A$1:$BK$2501, 272, MATCH("SynMargin", Simulations!$A$1:$BK$1, 0))</f>
        <v>9.1766782716225011E-3</v>
      </c>
      <c r="E272" s="2">
        <f ca="1">INDEX(Simulations!$A$1:$BK$2501, 272, MATCH("Yr1Shock", Simulations!$A$1:$BK$1, 0))</f>
        <v>-4.1078335396459317E-2</v>
      </c>
    </row>
    <row r="273" spans="1:5" x14ac:dyDescent="0.3">
      <c r="A273" s="2">
        <f ca="1">INDEX(Simulations!$A$1:$BK$2501, 273, MATCH("PurchaseMultiple", Simulations!$A$1:$BK$1, 0))</f>
        <v>7.6760224583314036</v>
      </c>
      <c r="B273" s="2">
        <f ca="1">INDEX(Simulations!$A$1:$BK$2501, 273, MATCH("ExitMultiple", Simulations!$A$1:$BK$1, 0))</f>
        <v>7.4727172050171973</v>
      </c>
      <c r="C273" s="2">
        <f ca="1">INDEX(Simulations!$A$1:$BK$2501, 273, MATCH("RevCAGR", Simulations!$A$1:$BK$1, 0))</f>
        <v>2.8755037425720727E-2</v>
      </c>
      <c r="D273" s="2">
        <f ca="1">INDEX(Simulations!$A$1:$BK$2501, 273, MATCH("SynMargin", Simulations!$A$1:$BK$1, 0))</f>
        <v>1.6984154362468088E-2</v>
      </c>
      <c r="E273" s="2">
        <f ca="1">INDEX(Simulations!$A$1:$BK$2501, 273, MATCH("Yr1Shock", Simulations!$A$1:$BK$1, 0))</f>
        <v>-0.05</v>
      </c>
    </row>
    <row r="274" spans="1:5" x14ac:dyDescent="0.3">
      <c r="A274" s="2">
        <f ca="1">INDEX(Simulations!$A$1:$BK$2501, 274, MATCH("PurchaseMultiple", Simulations!$A$1:$BK$1, 0))</f>
        <v>6.9782004055240163</v>
      </c>
      <c r="B274" s="2">
        <f ca="1">INDEX(Simulations!$A$1:$BK$2501, 274, MATCH("ExitMultiple", Simulations!$A$1:$BK$1, 0))</f>
        <v>7.5615137708374141</v>
      </c>
      <c r="C274" s="2">
        <f ca="1">INDEX(Simulations!$A$1:$BK$2501, 274, MATCH("RevCAGR", Simulations!$A$1:$BK$1, 0))</f>
        <v>1.3237811364719097E-2</v>
      </c>
      <c r="D274" s="2">
        <f ca="1">INDEX(Simulations!$A$1:$BK$2501, 274, MATCH("SynMargin", Simulations!$A$1:$BK$1, 0))</f>
        <v>9.6929388053106965E-3</v>
      </c>
      <c r="E274" s="2">
        <f ca="1">INDEX(Simulations!$A$1:$BK$2501, 274, MATCH("Yr1Shock", Simulations!$A$1:$BK$1, 0))</f>
        <v>1.9309788794810621E-2</v>
      </c>
    </row>
    <row r="275" spans="1:5" x14ac:dyDescent="0.3">
      <c r="A275" s="2">
        <f ca="1">INDEX(Simulations!$A$1:$BK$2501, 275, MATCH("PurchaseMultiple", Simulations!$A$1:$BK$1, 0))</f>
        <v>6.7182601711009315</v>
      </c>
      <c r="B275" s="2">
        <f ca="1">INDEX(Simulations!$A$1:$BK$2501, 275, MATCH("ExitMultiple", Simulations!$A$1:$BK$1, 0))</f>
        <v>7.9092112922217659</v>
      </c>
      <c r="C275" s="2">
        <f ca="1">INDEX(Simulations!$A$1:$BK$2501, 275, MATCH("RevCAGR", Simulations!$A$1:$BK$1, 0))</f>
        <v>0.12</v>
      </c>
      <c r="D275" s="2">
        <f ca="1">INDEX(Simulations!$A$1:$BK$2501, 275, MATCH("SynMargin", Simulations!$A$1:$BK$1, 0))</f>
        <v>1.6408513544473018E-2</v>
      </c>
      <c r="E275" s="2">
        <f ca="1">INDEX(Simulations!$A$1:$BK$2501, 275, MATCH("Yr1Shock", Simulations!$A$1:$BK$1, 0))</f>
        <v>-5.274421389520236E-3</v>
      </c>
    </row>
    <row r="276" spans="1:5" x14ac:dyDescent="0.3">
      <c r="A276" s="2">
        <f ca="1">INDEX(Simulations!$A$1:$BK$2501, 276, MATCH("PurchaseMultiple", Simulations!$A$1:$BK$1, 0))</f>
        <v>6.4435648728094774</v>
      </c>
      <c r="B276" s="2">
        <f ca="1">INDEX(Simulations!$A$1:$BK$2501, 276, MATCH("ExitMultiple", Simulations!$A$1:$BK$1, 0))</f>
        <v>7.2133363066323923</v>
      </c>
      <c r="C276" s="2">
        <f ca="1">INDEX(Simulations!$A$1:$BK$2501, 276, MATCH("RevCAGR", Simulations!$A$1:$BK$1, 0))</f>
        <v>9.276695519574911E-2</v>
      </c>
      <c r="D276" s="2">
        <f ca="1">INDEX(Simulations!$A$1:$BK$2501, 276, MATCH("SynMargin", Simulations!$A$1:$BK$1, 0))</f>
        <v>9.2401012022727443E-3</v>
      </c>
      <c r="E276" s="2">
        <f ca="1">INDEX(Simulations!$A$1:$BK$2501, 276, MATCH("Yr1Shock", Simulations!$A$1:$BK$1, 0))</f>
        <v>4.3568009758484509E-2</v>
      </c>
    </row>
    <row r="277" spans="1:5" x14ac:dyDescent="0.3">
      <c r="A277" s="2">
        <f ca="1">INDEX(Simulations!$A$1:$BK$2501, 277, MATCH("PurchaseMultiple", Simulations!$A$1:$BK$1, 0))</f>
        <v>7.08745302352275</v>
      </c>
      <c r="B277" s="2">
        <f ca="1">INDEX(Simulations!$A$1:$BK$2501, 277, MATCH("ExitMultiple", Simulations!$A$1:$BK$1, 0))</f>
        <v>6.6803970624754792</v>
      </c>
      <c r="C277" s="2">
        <f ca="1">INDEX(Simulations!$A$1:$BK$2501, 277, MATCH("RevCAGR", Simulations!$A$1:$BK$1, 0))</f>
        <v>4.926409573889285E-2</v>
      </c>
      <c r="D277" s="2">
        <f ca="1">INDEX(Simulations!$A$1:$BK$2501, 277, MATCH("SynMargin", Simulations!$A$1:$BK$1, 0))</f>
        <v>1.0228122812843762E-2</v>
      </c>
      <c r="E277" s="2">
        <f ca="1">INDEX(Simulations!$A$1:$BK$2501, 277, MATCH("Yr1Shock", Simulations!$A$1:$BK$1, 0))</f>
        <v>1.1590991335759193E-2</v>
      </c>
    </row>
    <row r="278" spans="1:5" x14ac:dyDescent="0.3">
      <c r="A278" s="2">
        <f ca="1">INDEX(Simulations!$A$1:$BK$2501, 278, MATCH("PurchaseMultiple", Simulations!$A$1:$BK$1, 0))</f>
        <v>7.205665630037327</v>
      </c>
      <c r="B278" s="2">
        <f ca="1">INDEX(Simulations!$A$1:$BK$2501, 278, MATCH("ExitMultiple", Simulations!$A$1:$BK$1, 0))</f>
        <v>7.3535999773615712</v>
      </c>
      <c r="C278" s="2">
        <f ca="1">INDEX(Simulations!$A$1:$BK$2501, 278, MATCH("RevCAGR", Simulations!$A$1:$BK$1, 0))</f>
        <v>1.1219162611707328E-2</v>
      </c>
      <c r="D278" s="2">
        <f ca="1">INDEX(Simulations!$A$1:$BK$2501, 278, MATCH("SynMargin", Simulations!$A$1:$BK$1, 0))</f>
        <v>1.0326112052088145E-2</v>
      </c>
      <c r="E278" s="2">
        <f ca="1">INDEX(Simulations!$A$1:$BK$2501, 278, MATCH("Yr1Shock", Simulations!$A$1:$BK$1, 0))</f>
        <v>-2.371633144319486E-2</v>
      </c>
    </row>
    <row r="279" spans="1:5" x14ac:dyDescent="0.3">
      <c r="A279" s="2">
        <f ca="1">INDEX(Simulations!$A$1:$BK$2501, 279, MATCH("PurchaseMultiple", Simulations!$A$1:$BK$1, 0))</f>
        <v>7.1756886665927606</v>
      </c>
      <c r="B279" s="2">
        <f ca="1">INDEX(Simulations!$A$1:$BK$2501, 279, MATCH("ExitMultiple", Simulations!$A$1:$BK$1, 0))</f>
        <v>7.5024366731073409</v>
      </c>
      <c r="C279" s="2">
        <f ca="1">INDEX(Simulations!$A$1:$BK$2501, 279, MATCH("RevCAGR", Simulations!$A$1:$BK$1, 0))</f>
        <v>6.26104770696774E-3</v>
      </c>
      <c r="D279" s="2">
        <f ca="1">INDEX(Simulations!$A$1:$BK$2501, 279, MATCH("SynMargin", Simulations!$A$1:$BK$1, 0))</f>
        <v>9.6928908411516319E-3</v>
      </c>
      <c r="E279" s="2">
        <f ca="1">INDEX(Simulations!$A$1:$BK$2501, 279, MATCH("Yr1Shock", Simulations!$A$1:$BK$1, 0))</f>
        <v>-2.9322876348617251E-2</v>
      </c>
    </row>
    <row r="280" spans="1:5" x14ac:dyDescent="0.3">
      <c r="A280" s="2">
        <f ca="1">INDEX(Simulations!$A$1:$BK$2501, 280, MATCH("PurchaseMultiple", Simulations!$A$1:$BK$1, 0))</f>
        <v>7.7493091134471728</v>
      </c>
      <c r="B280" s="2">
        <f ca="1">INDEX(Simulations!$A$1:$BK$2501, 280, MATCH("ExitMultiple", Simulations!$A$1:$BK$1, 0))</f>
        <v>7.7899863223522789</v>
      </c>
      <c r="C280" s="2">
        <f ca="1">INDEX(Simulations!$A$1:$BK$2501, 280, MATCH("RevCAGR", Simulations!$A$1:$BK$1, 0))</f>
        <v>7.6199533944343797E-2</v>
      </c>
      <c r="D280" s="2">
        <f ca="1">INDEX(Simulations!$A$1:$BK$2501, 280, MATCH("SynMargin", Simulations!$A$1:$BK$1, 0))</f>
        <v>1.1335606570951522E-2</v>
      </c>
      <c r="E280" s="2">
        <f ca="1">INDEX(Simulations!$A$1:$BK$2501, 280, MATCH("Yr1Shock", Simulations!$A$1:$BK$1, 0))</f>
        <v>-3.8926442311127676E-3</v>
      </c>
    </row>
    <row r="281" spans="1:5" x14ac:dyDescent="0.3">
      <c r="A281" s="2">
        <f ca="1">INDEX(Simulations!$A$1:$BK$2501, 281, MATCH("PurchaseMultiple", Simulations!$A$1:$BK$1, 0))</f>
        <v>6.3464351716138125</v>
      </c>
      <c r="B281" s="2">
        <f ca="1">INDEX(Simulations!$A$1:$BK$2501, 281, MATCH("ExitMultiple", Simulations!$A$1:$BK$1, 0))</f>
        <v>7.2535124729148128</v>
      </c>
      <c r="C281" s="2">
        <f ca="1">INDEX(Simulations!$A$1:$BK$2501, 281, MATCH("RevCAGR", Simulations!$A$1:$BK$1, 0))</f>
        <v>4.271995121321636E-2</v>
      </c>
      <c r="D281" s="2">
        <f ca="1">INDEX(Simulations!$A$1:$BK$2501, 281, MATCH("SynMargin", Simulations!$A$1:$BK$1, 0))</f>
        <v>1.5259883706755836E-2</v>
      </c>
      <c r="E281" s="2">
        <f ca="1">INDEX(Simulations!$A$1:$BK$2501, 281, MATCH("Yr1Shock", Simulations!$A$1:$BK$1, 0))</f>
        <v>5.1794840851927286E-3</v>
      </c>
    </row>
    <row r="282" spans="1:5" x14ac:dyDescent="0.3">
      <c r="A282" s="2">
        <f ca="1">INDEX(Simulations!$A$1:$BK$2501, 282, MATCH("PurchaseMultiple", Simulations!$A$1:$BK$1, 0))</f>
        <v>6.1058095382939115</v>
      </c>
      <c r="B282" s="2">
        <f ca="1">INDEX(Simulations!$A$1:$BK$2501, 282, MATCH("ExitMultiple", Simulations!$A$1:$BK$1, 0))</f>
        <v>7.4762981248044689</v>
      </c>
      <c r="C282" s="2">
        <f ca="1">INDEX(Simulations!$A$1:$BK$2501, 282, MATCH("RevCAGR", Simulations!$A$1:$BK$1, 0))</f>
        <v>4.8175918644027704E-2</v>
      </c>
      <c r="D282" s="2">
        <f ca="1">INDEX(Simulations!$A$1:$BK$2501, 282, MATCH("SynMargin", Simulations!$A$1:$BK$1, 0))</f>
        <v>5.1738574579657396E-3</v>
      </c>
      <c r="E282" s="2">
        <f ca="1">INDEX(Simulations!$A$1:$BK$2501, 282, MATCH("Yr1Shock", Simulations!$A$1:$BK$1, 0))</f>
        <v>-9.4656129480683512E-3</v>
      </c>
    </row>
    <row r="283" spans="1:5" x14ac:dyDescent="0.3">
      <c r="A283" s="2">
        <f ca="1">INDEX(Simulations!$A$1:$BK$2501, 283, MATCH("PurchaseMultiple", Simulations!$A$1:$BK$1, 0))</f>
        <v>7.0787844872259296</v>
      </c>
      <c r="B283" s="2">
        <f ca="1">INDEX(Simulations!$A$1:$BK$2501, 283, MATCH("ExitMultiple", Simulations!$A$1:$BK$1, 0))</f>
        <v>8.237666168193984</v>
      </c>
      <c r="C283" s="2">
        <f ca="1">INDEX(Simulations!$A$1:$BK$2501, 283, MATCH("RevCAGR", Simulations!$A$1:$BK$1, 0))</f>
        <v>4.1780736756927415E-2</v>
      </c>
      <c r="D283" s="2">
        <f ca="1">INDEX(Simulations!$A$1:$BK$2501, 283, MATCH("SynMargin", Simulations!$A$1:$BK$1, 0))</f>
        <v>4.8844578047164888E-3</v>
      </c>
      <c r="E283" s="2">
        <f ca="1">INDEX(Simulations!$A$1:$BK$2501, 283, MATCH("Yr1Shock", Simulations!$A$1:$BK$1, 0))</f>
        <v>-3.7164846045183157E-2</v>
      </c>
    </row>
    <row r="284" spans="1:5" x14ac:dyDescent="0.3">
      <c r="A284" s="2">
        <f ca="1">INDEX(Simulations!$A$1:$BK$2501, 284, MATCH("PurchaseMultiple", Simulations!$A$1:$BK$1, 0))</f>
        <v>6.476469562457849</v>
      </c>
      <c r="B284" s="2">
        <f ca="1">INDEX(Simulations!$A$1:$BK$2501, 284, MATCH("ExitMultiple", Simulations!$A$1:$BK$1, 0))</f>
        <v>8.0486759552129676</v>
      </c>
      <c r="C284" s="2">
        <f ca="1">INDEX(Simulations!$A$1:$BK$2501, 284, MATCH("RevCAGR", Simulations!$A$1:$BK$1, 0))</f>
        <v>5.661348641641642E-2</v>
      </c>
      <c r="D284" s="2">
        <f ca="1">INDEX(Simulations!$A$1:$BK$2501, 284, MATCH("SynMargin", Simulations!$A$1:$BK$1, 0))</f>
        <v>1.5189144649289938E-2</v>
      </c>
      <c r="E284" s="2">
        <f ca="1">INDEX(Simulations!$A$1:$BK$2501, 284, MATCH("Yr1Shock", Simulations!$A$1:$BK$1, 0))</f>
        <v>-4.164433968401663E-3</v>
      </c>
    </row>
    <row r="285" spans="1:5" x14ac:dyDescent="0.3">
      <c r="A285" s="2">
        <f ca="1">INDEX(Simulations!$A$1:$BK$2501, 285, MATCH("PurchaseMultiple", Simulations!$A$1:$BK$1, 0))</f>
        <v>6.7949294980217401</v>
      </c>
      <c r="B285" s="2">
        <f ca="1">INDEX(Simulations!$A$1:$BK$2501, 285, MATCH("ExitMultiple", Simulations!$A$1:$BK$1, 0))</f>
        <v>8.0963902175799713</v>
      </c>
      <c r="C285" s="2">
        <f ca="1">INDEX(Simulations!$A$1:$BK$2501, 285, MATCH("RevCAGR", Simulations!$A$1:$BK$1, 0))</f>
        <v>2.3032269688175122E-2</v>
      </c>
      <c r="D285" s="2">
        <f ca="1">INDEX(Simulations!$A$1:$BK$2501, 285, MATCH("SynMargin", Simulations!$A$1:$BK$1, 0))</f>
        <v>1.1472714741063464E-2</v>
      </c>
      <c r="E285" s="2">
        <f ca="1">INDEX(Simulations!$A$1:$BK$2501, 285, MATCH("Yr1Shock", Simulations!$A$1:$BK$1, 0))</f>
        <v>1.9002262047439992E-2</v>
      </c>
    </row>
    <row r="286" spans="1:5" x14ac:dyDescent="0.3">
      <c r="A286" s="2">
        <f ca="1">INDEX(Simulations!$A$1:$BK$2501, 286, MATCH("PurchaseMultiple", Simulations!$A$1:$BK$1, 0))</f>
        <v>7.502385154181467</v>
      </c>
      <c r="B286" s="2">
        <f ca="1">INDEX(Simulations!$A$1:$BK$2501, 286, MATCH("ExitMultiple", Simulations!$A$1:$BK$1, 0))</f>
        <v>7.3640746563846982</v>
      </c>
      <c r="C286" s="2">
        <f ca="1">INDEX(Simulations!$A$1:$BK$2501, 286, MATCH("RevCAGR", Simulations!$A$1:$BK$1, 0))</f>
        <v>6.1250591570347721E-2</v>
      </c>
      <c r="D286" s="2">
        <f ca="1">INDEX(Simulations!$A$1:$BK$2501, 286, MATCH("SynMargin", Simulations!$A$1:$BK$1, 0))</f>
        <v>1.5932835466390391E-2</v>
      </c>
      <c r="E286" s="2">
        <f ca="1">INDEX(Simulations!$A$1:$BK$2501, 286, MATCH("Yr1Shock", Simulations!$A$1:$BK$1, 0))</f>
        <v>1.415862992010493E-2</v>
      </c>
    </row>
    <row r="287" spans="1:5" x14ac:dyDescent="0.3">
      <c r="A287" s="2">
        <f ca="1">INDEX(Simulations!$A$1:$BK$2501, 287, MATCH("PurchaseMultiple", Simulations!$A$1:$BK$1, 0))</f>
        <v>7.4475841365190982</v>
      </c>
      <c r="B287" s="2">
        <f ca="1">INDEX(Simulations!$A$1:$BK$2501, 287, MATCH("ExitMultiple", Simulations!$A$1:$BK$1, 0))</f>
        <v>7.2763462207934291</v>
      </c>
      <c r="C287" s="2">
        <f ca="1">INDEX(Simulations!$A$1:$BK$2501, 287, MATCH("RevCAGR", Simulations!$A$1:$BK$1, 0))</f>
        <v>3.0748778756986797E-2</v>
      </c>
      <c r="D287" s="2">
        <f ca="1">INDEX(Simulations!$A$1:$BK$2501, 287, MATCH("SynMargin", Simulations!$A$1:$BK$1, 0))</f>
        <v>1.6159320496860852E-2</v>
      </c>
      <c r="E287" s="2">
        <f ca="1">INDEX(Simulations!$A$1:$BK$2501, 287, MATCH("Yr1Shock", Simulations!$A$1:$BK$1, 0))</f>
        <v>-1.067922377924155E-2</v>
      </c>
    </row>
    <row r="288" spans="1:5" x14ac:dyDescent="0.3">
      <c r="A288" s="2">
        <f ca="1">INDEX(Simulations!$A$1:$BK$2501, 288, MATCH("PurchaseMultiple", Simulations!$A$1:$BK$1, 0))</f>
        <v>7.616178016630812</v>
      </c>
      <c r="B288" s="2">
        <f ca="1">INDEX(Simulations!$A$1:$BK$2501, 288, MATCH("ExitMultiple", Simulations!$A$1:$BK$1, 0))</f>
        <v>7.4250292411450483</v>
      </c>
      <c r="C288" s="2">
        <f ca="1">INDEX(Simulations!$A$1:$BK$2501, 288, MATCH("RevCAGR", Simulations!$A$1:$BK$1, 0))</f>
        <v>-7.0189577696252725E-3</v>
      </c>
      <c r="D288" s="2">
        <f ca="1">INDEX(Simulations!$A$1:$BK$2501, 288, MATCH("SynMargin", Simulations!$A$1:$BK$1, 0))</f>
        <v>1.2435780356631359E-2</v>
      </c>
      <c r="E288" s="2">
        <f ca="1">INDEX(Simulations!$A$1:$BK$2501, 288, MATCH("Yr1Shock", Simulations!$A$1:$BK$1, 0))</f>
        <v>1.7156833464898019E-2</v>
      </c>
    </row>
    <row r="289" spans="1:5" x14ac:dyDescent="0.3">
      <c r="A289" s="2">
        <f ca="1">INDEX(Simulations!$A$1:$BK$2501, 289, MATCH("PurchaseMultiple", Simulations!$A$1:$BK$1, 0))</f>
        <v>6.7390174967206384</v>
      </c>
      <c r="B289" s="2">
        <f ca="1">INDEX(Simulations!$A$1:$BK$2501, 289, MATCH("ExitMultiple", Simulations!$A$1:$BK$1, 0))</f>
        <v>7.4778501522321594</v>
      </c>
      <c r="C289" s="2">
        <f ca="1">INDEX(Simulations!$A$1:$BK$2501, 289, MATCH("RevCAGR", Simulations!$A$1:$BK$1, 0))</f>
        <v>6.8662080716355364E-2</v>
      </c>
      <c r="D289" s="2">
        <f ca="1">INDEX(Simulations!$A$1:$BK$2501, 289, MATCH("SynMargin", Simulations!$A$1:$BK$1, 0))</f>
        <v>8.9842205735899822E-3</v>
      </c>
      <c r="E289" s="2">
        <f ca="1">INDEX(Simulations!$A$1:$BK$2501, 289, MATCH("Yr1Shock", Simulations!$A$1:$BK$1, 0))</f>
        <v>-2.0995042970278526E-2</v>
      </c>
    </row>
    <row r="290" spans="1:5" x14ac:dyDescent="0.3">
      <c r="A290" s="2">
        <f ca="1">INDEX(Simulations!$A$1:$BK$2501, 290, MATCH("PurchaseMultiple", Simulations!$A$1:$BK$1, 0))</f>
        <v>7.361334348363723</v>
      </c>
      <c r="B290" s="2">
        <f ca="1">INDEX(Simulations!$A$1:$BK$2501, 290, MATCH("ExitMultiple", Simulations!$A$1:$BK$1, 0))</f>
        <v>8.2075045645311775</v>
      </c>
      <c r="C290" s="2">
        <f ca="1">INDEX(Simulations!$A$1:$BK$2501, 290, MATCH("RevCAGR", Simulations!$A$1:$BK$1, 0))</f>
        <v>4.4902897157849744E-3</v>
      </c>
      <c r="D290" s="2">
        <f ca="1">INDEX(Simulations!$A$1:$BK$2501, 290, MATCH("SynMargin", Simulations!$A$1:$BK$1, 0))</f>
        <v>1.4162205621331411E-2</v>
      </c>
      <c r="E290" s="2">
        <f ca="1">INDEX(Simulations!$A$1:$BK$2501, 290, MATCH("Yr1Shock", Simulations!$A$1:$BK$1, 0))</f>
        <v>5.1780226520755524E-3</v>
      </c>
    </row>
    <row r="291" spans="1:5" x14ac:dyDescent="0.3">
      <c r="A291" s="2">
        <f ca="1">INDEX(Simulations!$A$1:$BK$2501, 291, MATCH("PurchaseMultiple", Simulations!$A$1:$BK$1, 0))</f>
        <v>7.3605446845448101</v>
      </c>
      <c r="B291" s="2">
        <f ca="1">INDEX(Simulations!$A$1:$BK$2501, 291, MATCH("ExitMultiple", Simulations!$A$1:$BK$1, 0))</f>
        <v>7.3301077496350988</v>
      </c>
      <c r="C291" s="2">
        <f ca="1">INDEX(Simulations!$A$1:$BK$2501, 291, MATCH("RevCAGR", Simulations!$A$1:$BK$1, 0))</f>
        <v>6.7800988990182942E-2</v>
      </c>
      <c r="D291" s="2">
        <f ca="1">INDEX(Simulations!$A$1:$BK$2501, 291, MATCH("SynMargin", Simulations!$A$1:$BK$1, 0))</f>
        <v>5.8637961082851596E-3</v>
      </c>
      <c r="E291" s="2">
        <f ca="1">INDEX(Simulations!$A$1:$BK$2501, 291, MATCH("Yr1Shock", Simulations!$A$1:$BK$1, 0))</f>
        <v>-1.3185969373807879E-2</v>
      </c>
    </row>
    <row r="292" spans="1:5" x14ac:dyDescent="0.3">
      <c r="A292" s="2">
        <f ca="1">INDEX(Simulations!$A$1:$BK$2501, 292, MATCH("PurchaseMultiple", Simulations!$A$1:$BK$1, 0))</f>
        <v>6.7867798223068139</v>
      </c>
      <c r="B292" s="2">
        <f ca="1">INDEX(Simulations!$A$1:$BK$2501, 292, MATCH("ExitMultiple", Simulations!$A$1:$BK$1, 0))</f>
        <v>7.7476794376879203</v>
      </c>
      <c r="C292" s="2">
        <f ca="1">INDEX(Simulations!$A$1:$BK$2501, 292, MATCH("RevCAGR", Simulations!$A$1:$BK$1, 0))</f>
        <v>5.2752247762491419E-2</v>
      </c>
      <c r="D292" s="2">
        <f ca="1">INDEX(Simulations!$A$1:$BK$2501, 292, MATCH("SynMargin", Simulations!$A$1:$BK$1, 0))</f>
        <v>4.6505716959172163E-3</v>
      </c>
      <c r="E292" s="2">
        <f ca="1">INDEX(Simulations!$A$1:$BK$2501, 292, MATCH("Yr1Shock", Simulations!$A$1:$BK$1, 0))</f>
        <v>1.4157041641512241E-2</v>
      </c>
    </row>
    <row r="293" spans="1:5" x14ac:dyDescent="0.3">
      <c r="A293" s="2">
        <f ca="1">INDEX(Simulations!$A$1:$BK$2501, 293, MATCH("PurchaseMultiple", Simulations!$A$1:$BK$1, 0))</f>
        <v>7.8040644612299435</v>
      </c>
      <c r="B293" s="2">
        <f ca="1">INDEX(Simulations!$A$1:$BK$2501, 293, MATCH("ExitMultiple", Simulations!$A$1:$BK$1, 0))</f>
        <v>7.7602672589398205</v>
      </c>
      <c r="C293" s="2">
        <f ca="1">INDEX(Simulations!$A$1:$BK$2501, 293, MATCH("RevCAGR", Simulations!$A$1:$BK$1, 0))</f>
        <v>4.2853361803371619E-2</v>
      </c>
      <c r="D293" s="2">
        <f ca="1">INDEX(Simulations!$A$1:$BK$2501, 293, MATCH("SynMargin", Simulations!$A$1:$BK$1, 0))</f>
        <v>1.2570348002547558E-2</v>
      </c>
      <c r="E293" s="2">
        <f ca="1">INDEX(Simulations!$A$1:$BK$2501, 293, MATCH("Yr1Shock", Simulations!$A$1:$BK$1, 0))</f>
        <v>-9.439845097168411E-3</v>
      </c>
    </row>
    <row r="294" spans="1:5" x14ac:dyDescent="0.3">
      <c r="A294" s="2">
        <f ca="1">INDEX(Simulations!$A$1:$BK$2501, 294, MATCH("PurchaseMultiple", Simulations!$A$1:$BK$1, 0))</f>
        <v>6.6560399464222906</v>
      </c>
      <c r="B294" s="2">
        <f ca="1">INDEX(Simulations!$A$1:$BK$2501, 294, MATCH("ExitMultiple", Simulations!$A$1:$BK$1, 0))</f>
        <v>6.6896254080713051</v>
      </c>
      <c r="C294" s="2">
        <f ca="1">INDEX(Simulations!$A$1:$BK$2501, 294, MATCH("RevCAGR", Simulations!$A$1:$BK$1, 0))</f>
        <v>4.4328885449837908E-2</v>
      </c>
      <c r="D294" s="2">
        <f ca="1">INDEX(Simulations!$A$1:$BK$2501, 294, MATCH("SynMargin", Simulations!$A$1:$BK$1, 0))</f>
        <v>2.082064890516995E-3</v>
      </c>
      <c r="E294" s="2">
        <f ca="1">INDEX(Simulations!$A$1:$BK$2501, 294, MATCH("Yr1Shock", Simulations!$A$1:$BK$1, 0))</f>
        <v>2.027560173901757E-2</v>
      </c>
    </row>
    <row r="295" spans="1:5" x14ac:dyDescent="0.3">
      <c r="A295" s="2">
        <f ca="1">INDEX(Simulations!$A$1:$BK$2501, 295, MATCH("PurchaseMultiple", Simulations!$A$1:$BK$1, 0))</f>
        <v>6.9586047183386102</v>
      </c>
      <c r="B295" s="2">
        <f ca="1">INDEX(Simulations!$A$1:$BK$2501, 295, MATCH("ExitMultiple", Simulations!$A$1:$BK$1, 0))</f>
        <v>7.231424322691554</v>
      </c>
      <c r="C295" s="2">
        <f ca="1">INDEX(Simulations!$A$1:$BK$2501, 295, MATCH("RevCAGR", Simulations!$A$1:$BK$1, 0))</f>
        <v>-6.8185264443367949E-3</v>
      </c>
      <c r="D295" s="2">
        <f ca="1">INDEX(Simulations!$A$1:$BK$2501, 295, MATCH("SynMargin", Simulations!$A$1:$BK$1, 0))</f>
        <v>8.3196474420900671E-3</v>
      </c>
      <c r="E295" s="2">
        <f ca="1">INDEX(Simulations!$A$1:$BK$2501, 295, MATCH("Yr1Shock", Simulations!$A$1:$BK$1, 0))</f>
        <v>4.9993999915551772E-3</v>
      </c>
    </row>
    <row r="296" spans="1:5" x14ac:dyDescent="0.3">
      <c r="A296" s="2">
        <f ca="1">INDEX(Simulations!$A$1:$BK$2501, 296, MATCH("PurchaseMultiple", Simulations!$A$1:$BK$1, 0))</f>
        <v>7.3157506780542505</v>
      </c>
      <c r="B296" s="2">
        <f ca="1">INDEX(Simulations!$A$1:$BK$2501, 296, MATCH("ExitMultiple", Simulations!$A$1:$BK$1, 0))</f>
        <v>7.5094812116895318</v>
      </c>
      <c r="C296" s="2">
        <f ca="1">INDEX(Simulations!$A$1:$BK$2501, 296, MATCH("RevCAGR", Simulations!$A$1:$BK$1, 0))</f>
        <v>0.10390267064822437</v>
      </c>
      <c r="D296" s="2">
        <f ca="1">INDEX(Simulations!$A$1:$BK$2501, 296, MATCH("SynMargin", Simulations!$A$1:$BK$1, 0))</f>
        <v>1.3334211051143597E-2</v>
      </c>
      <c r="E296" s="2">
        <f ca="1">INDEX(Simulations!$A$1:$BK$2501, 296, MATCH("Yr1Shock", Simulations!$A$1:$BK$1, 0))</f>
        <v>-7.9615068916125235E-3</v>
      </c>
    </row>
    <row r="297" spans="1:5" x14ac:dyDescent="0.3">
      <c r="A297" s="2">
        <f ca="1">INDEX(Simulations!$A$1:$BK$2501, 297, MATCH("PurchaseMultiple", Simulations!$A$1:$BK$1, 0))</f>
        <v>6.6323388010869619</v>
      </c>
      <c r="B297" s="2">
        <f ca="1">INDEX(Simulations!$A$1:$BK$2501, 297, MATCH("ExitMultiple", Simulations!$A$1:$BK$1, 0))</f>
        <v>7.3679427484149889</v>
      </c>
      <c r="C297" s="2">
        <f ca="1">INDEX(Simulations!$A$1:$BK$2501, 297, MATCH("RevCAGR", Simulations!$A$1:$BK$1, 0))</f>
        <v>6.1583979434440432E-2</v>
      </c>
      <c r="D297" s="2">
        <f ca="1">INDEX(Simulations!$A$1:$BK$2501, 297, MATCH("SynMargin", Simulations!$A$1:$BK$1, 0))</f>
        <v>7.1591333287475568E-3</v>
      </c>
      <c r="E297" s="2">
        <f ca="1">INDEX(Simulations!$A$1:$BK$2501, 297, MATCH("Yr1Shock", Simulations!$A$1:$BK$1, 0))</f>
        <v>1.0587167234919086E-2</v>
      </c>
    </row>
    <row r="298" spans="1:5" x14ac:dyDescent="0.3">
      <c r="A298" s="2">
        <f ca="1">INDEX(Simulations!$A$1:$BK$2501, 298, MATCH("PurchaseMultiple", Simulations!$A$1:$BK$1, 0))</f>
        <v>7.3380674050820005</v>
      </c>
      <c r="B298" s="2">
        <f ca="1">INDEX(Simulations!$A$1:$BK$2501, 298, MATCH("ExitMultiple", Simulations!$A$1:$BK$1, 0))</f>
        <v>7.4535522594479549</v>
      </c>
      <c r="C298" s="2">
        <f ca="1">INDEX(Simulations!$A$1:$BK$2501, 298, MATCH("RevCAGR", Simulations!$A$1:$BK$1, 0))</f>
        <v>9.0822632285688404E-2</v>
      </c>
      <c r="D298" s="2">
        <f ca="1">INDEX(Simulations!$A$1:$BK$2501, 298, MATCH("SynMargin", Simulations!$A$1:$BK$1, 0))</f>
        <v>1.131686131797026E-2</v>
      </c>
      <c r="E298" s="2">
        <f ca="1">INDEX(Simulations!$A$1:$BK$2501, 298, MATCH("Yr1Shock", Simulations!$A$1:$BK$1, 0))</f>
        <v>-6.4621792499475385E-3</v>
      </c>
    </row>
    <row r="299" spans="1:5" x14ac:dyDescent="0.3">
      <c r="A299" s="2">
        <f ca="1">INDEX(Simulations!$A$1:$BK$2501, 299, MATCH("PurchaseMultiple", Simulations!$A$1:$BK$1, 0))</f>
        <v>7.3852520341537273</v>
      </c>
      <c r="B299" s="2">
        <f ca="1">INDEX(Simulations!$A$1:$BK$2501, 299, MATCH("ExitMultiple", Simulations!$A$1:$BK$1, 0))</f>
        <v>7.5457234012544516</v>
      </c>
      <c r="C299" s="2">
        <f ca="1">INDEX(Simulations!$A$1:$BK$2501, 299, MATCH("RevCAGR", Simulations!$A$1:$BK$1, 0))</f>
        <v>3.4006538722478594E-2</v>
      </c>
      <c r="D299" s="2">
        <f ca="1">INDEX(Simulations!$A$1:$BK$2501, 299, MATCH("SynMargin", Simulations!$A$1:$BK$1, 0))</f>
        <v>2.1222662821081036E-3</v>
      </c>
      <c r="E299" s="2">
        <f ca="1">INDEX(Simulations!$A$1:$BK$2501, 299, MATCH("Yr1Shock", Simulations!$A$1:$BK$1, 0))</f>
        <v>3.5801595209473398E-3</v>
      </c>
    </row>
    <row r="300" spans="1:5" x14ac:dyDescent="0.3">
      <c r="A300" s="2">
        <f ca="1">INDEX(Simulations!$A$1:$BK$2501, 300, MATCH("PurchaseMultiple", Simulations!$A$1:$BK$1, 0))</f>
        <v>7.4177255051960396</v>
      </c>
      <c r="B300" s="2">
        <f ca="1">INDEX(Simulations!$A$1:$BK$2501, 300, MATCH("ExitMultiple", Simulations!$A$1:$BK$1, 0))</f>
        <v>7.7376614811723172</v>
      </c>
      <c r="C300" s="2">
        <f ca="1">INDEX(Simulations!$A$1:$BK$2501, 300, MATCH("RevCAGR", Simulations!$A$1:$BK$1, 0))</f>
        <v>1.1751921382218214E-3</v>
      </c>
      <c r="D300" s="2">
        <f ca="1">INDEX(Simulations!$A$1:$BK$2501, 300, MATCH("SynMargin", Simulations!$A$1:$BK$1, 0))</f>
        <v>8.9810974694735524E-3</v>
      </c>
      <c r="E300" s="2">
        <f ca="1">INDEX(Simulations!$A$1:$BK$2501, 300, MATCH("Yr1Shock", Simulations!$A$1:$BK$1, 0))</f>
        <v>2.8391923541470792E-3</v>
      </c>
    </row>
    <row r="301" spans="1:5" x14ac:dyDescent="0.3">
      <c r="A301" s="2">
        <f ca="1">INDEX(Simulations!$A$1:$BK$2501, 301, MATCH("PurchaseMultiple", Simulations!$A$1:$BK$1, 0))</f>
        <v>7.0390830660169996</v>
      </c>
      <c r="B301" s="2">
        <f ca="1">INDEX(Simulations!$A$1:$BK$2501, 301, MATCH("ExitMultiple", Simulations!$A$1:$BK$1, 0))</f>
        <v>7.6552325099526159</v>
      </c>
      <c r="C301" s="2">
        <f ca="1">INDEX(Simulations!$A$1:$BK$2501, 301, MATCH("RevCAGR", Simulations!$A$1:$BK$1, 0))</f>
        <v>7.7120289172095E-2</v>
      </c>
      <c r="D301" s="2">
        <f ca="1">INDEX(Simulations!$A$1:$BK$2501, 301, MATCH("SynMargin", Simulations!$A$1:$BK$1, 0))</f>
        <v>2.0162524356997166E-2</v>
      </c>
      <c r="E301" s="2">
        <f ca="1">INDEX(Simulations!$A$1:$BK$2501, 301, MATCH("Yr1Shock", Simulations!$A$1:$BK$1, 0))</f>
        <v>-2.088473598391179E-2</v>
      </c>
    </row>
    <row r="302" spans="1:5" x14ac:dyDescent="0.3">
      <c r="A302" s="2">
        <f ca="1">INDEX(Simulations!$A$1:$BK$2501, 302, MATCH("PurchaseMultiple", Simulations!$A$1:$BK$1, 0))</f>
        <v>6.9129277824318063</v>
      </c>
      <c r="B302" s="2">
        <f ca="1">INDEX(Simulations!$A$1:$BK$2501, 302, MATCH("ExitMultiple", Simulations!$A$1:$BK$1, 0))</f>
        <v>6.9103705287698984</v>
      </c>
      <c r="C302" s="2">
        <f ca="1">INDEX(Simulations!$A$1:$BK$2501, 302, MATCH("RevCAGR", Simulations!$A$1:$BK$1, 0))</f>
        <v>7.6673605501320186E-2</v>
      </c>
      <c r="D302" s="2">
        <f ca="1">INDEX(Simulations!$A$1:$BK$2501, 302, MATCH("SynMargin", Simulations!$A$1:$BK$1, 0))</f>
        <v>3.6311142333277568E-3</v>
      </c>
      <c r="E302" s="2">
        <f ca="1">INDEX(Simulations!$A$1:$BK$2501, 302, MATCH("Yr1Shock", Simulations!$A$1:$BK$1, 0))</f>
        <v>-1.7583811235142733E-2</v>
      </c>
    </row>
    <row r="303" spans="1:5" x14ac:dyDescent="0.3">
      <c r="A303" s="2">
        <f ca="1">INDEX(Simulations!$A$1:$BK$2501, 303, MATCH("PurchaseMultiple", Simulations!$A$1:$BK$1, 0))</f>
        <v>6.9147561051401558</v>
      </c>
      <c r="B303" s="2">
        <f ca="1">INDEX(Simulations!$A$1:$BK$2501, 303, MATCH("ExitMultiple", Simulations!$A$1:$BK$1, 0))</f>
        <v>7.2438888548693052</v>
      </c>
      <c r="C303" s="2">
        <f ca="1">INDEX(Simulations!$A$1:$BK$2501, 303, MATCH("RevCAGR", Simulations!$A$1:$BK$1, 0))</f>
        <v>5.6379614142481119E-2</v>
      </c>
      <c r="D303" s="2">
        <f ca="1">INDEX(Simulations!$A$1:$BK$2501, 303, MATCH("SynMargin", Simulations!$A$1:$BK$1, 0))</f>
        <v>8.9028513919656976E-3</v>
      </c>
      <c r="E303" s="2">
        <f ca="1">INDEX(Simulations!$A$1:$BK$2501, 303, MATCH("Yr1Shock", Simulations!$A$1:$BK$1, 0))</f>
        <v>-6.0649269721612276E-4</v>
      </c>
    </row>
    <row r="304" spans="1:5" x14ac:dyDescent="0.3">
      <c r="A304" s="2">
        <f ca="1">INDEX(Simulations!$A$1:$BK$2501, 304, MATCH("PurchaseMultiple", Simulations!$A$1:$BK$1, 0))</f>
        <v>6.4435196279581177</v>
      </c>
      <c r="B304" s="2">
        <f ca="1">INDEX(Simulations!$A$1:$BK$2501, 304, MATCH("ExitMultiple", Simulations!$A$1:$BK$1, 0))</f>
        <v>7.2555810298774368</v>
      </c>
      <c r="C304" s="2">
        <f ca="1">INDEX(Simulations!$A$1:$BK$2501, 304, MATCH("RevCAGR", Simulations!$A$1:$BK$1, 0))</f>
        <v>5.1554106030589027E-2</v>
      </c>
      <c r="D304" s="2">
        <f ca="1">INDEX(Simulations!$A$1:$BK$2501, 304, MATCH("SynMargin", Simulations!$A$1:$BK$1, 0))</f>
        <v>2.3252818711662872E-2</v>
      </c>
      <c r="E304" s="2">
        <f ca="1">INDEX(Simulations!$A$1:$BK$2501, 304, MATCH("Yr1Shock", Simulations!$A$1:$BK$1, 0))</f>
        <v>1.8174781416694052E-2</v>
      </c>
    </row>
    <row r="305" spans="1:5" x14ac:dyDescent="0.3">
      <c r="A305" s="2">
        <f ca="1">INDEX(Simulations!$A$1:$BK$2501, 305, MATCH("PurchaseMultiple", Simulations!$A$1:$BK$1, 0))</f>
        <v>6.7172501163913871</v>
      </c>
      <c r="B305" s="2">
        <f ca="1">INDEX(Simulations!$A$1:$BK$2501, 305, MATCH("ExitMultiple", Simulations!$A$1:$BK$1, 0))</f>
        <v>7.1953980761988712</v>
      </c>
      <c r="C305" s="2">
        <f ca="1">INDEX(Simulations!$A$1:$BK$2501, 305, MATCH("RevCAGR", Simulations!$A$1:$BK$1, 0))</f>
        <v>6.6470359343340668E-2</v>
      </c>
      <c r="D305" s="2">
        <f ca="1">INDEX(Simulations!$A$1:$BK$2501, 305, MATCH("SynMargin", Simulations!$A$1:$BK$1, 0))</f>
        <v>1.8172460155834479E-2</v>
      </c>
      <c r="E305" s="2">
        <f ca="1">INDEX(Simulations!$A$1:$BK$2501, 305, MATCH("Yr1Shock", Simulations!$A$1:$BK$1, 0))</f>
        <v>-1.4421928808025062E-2</v>
      </c>
    </row>
    <row r="306" spans="1:5" x14ac:dyDescent="0.3">
      <c r="A306" s="2">
        <f ca="1">INDEX(Simulations!$A$1:$BK$2501, 306, MATCH("PurchaseMultiple", Simulations!$A$1:$BK$1, 0))</f>
        <v>6.953237671413766</v>
      </c>
      <c r="B306" s="2">
        <f ca="1">INDEX(Simulations!$A$1:$BK$2501, 306, MATCH("ExitMultiple", Simulations!$A$1:$BK$1, 0))</f>
        <v>8.2591906076985158</v>
      </c>
      <c r="C306" s="2">
        <f ca="1">INDEX(Simulations!$A$1:$BK$2501, 306, MATCH("RevCAGR", Simulations!$A$1:$BK$1, 0))</f>
        <v>2.563218827947206E-2</v>
      </c>
      <c r="D306" s="2">
        <f ca="1">INDEX(Simulations!$A$1:$BK$2501, 306, MATCH("SynMargin", Simulations!$A$1:$BK$1, 0))</f>
        <v>1.3498395520539538E-2</v>
      </c>
      <c r="E306" s="2">
        <f ca="1">INDEX(Simulations!$A$1:$BK$2501, 306, MATCH("Yr1Shock", Simulations!$A$1:$BK$1, 0))</f>
        <v>-2.1274359728525045E-2</v>
      </c>
    </row>
    <row r="307" spans="1:5" x14ac:dyDescent="0.3">
      <c r="A307" s="2">
        <f ca="1">INDEX(Simulations!$A$1:$BK$2501, 307, MATCH("PurchaseMultiple", Simulations!$A$1:$BK$1, 0))</f>
        <v>7.3559713669372471</v>
      </c>
      <c r="B307" s="2">
        <f ca="1">INDEX(Simulations!$A$1:$BK$2501, 307, MATCH("ExitMultiple", Simulations!$A$1:$BK$1, 0))</f>
        <v>7.5534985875540119</v>
      </c>
      <c r="C307" s="2">
        <f ca="1">INDEX(Simulations!$A$1:$BK$2501, 307, MATCH("RevCAGR", Simulations!$A$1:$BK$1, 0))</f>
        <v>4.8337906529849956E-2</v>
      </c>
      <c r="D307" s="2">
        <f ca="1">INDEX(Simulations!$A$1:$BK$2501, 307, MATCH("SynMargin", Simulations!$A$1:$BK$1, 0))</f>
        <v>1.0345838890960912E-2</v>
      </c>
      <c r="E307" s="2">
        <f ca="1">INDEX(Simulations!$A$1:$BK$2501, 307, MATCH("Yr1Shock", Simulations!$A$1:$BK$1, 0))</f>
        <v>-2.7166349796990331E-2</v>
      </c>
    </row>
    <row r="308" spans="1:5" x14ac:dyDescent="0.3">
      <c r="A308" s="2">
        <f ca="1">INDEX(Simulations!$A$1:$BK$2501, 308, MATCH("PurchaseMultiple", Simulations!$A$1:$BK$1, 0))</f>
        <v>7.2118279998843589</v>
      </c>
      <c r="B308" s="2">
        <f ca="1">INDEX(Simulations!$A$1:$BK$2501, 308, MATCH("ExitMultiple", Simulations!$A$1:$BK$1, 0))</f>
        <v>7.6326251132790208</v>
      </c>
      <c r="C308" s="2">
        <f ca="1">INDEX(Simulations!$A$1:$BK$2501, 308, MATCH("RevCAGR", Simulations!$A$1:$BK$1, 0))</f>
        <v>4.4073050800198209E-2</v>
      </c>
      <c r="D308" s="2">
        <f ca="1">INDEX(Simulations!$A$1:$BK$2501, 308, MATCH("SynMargin", Simulations!$A$1:$BK$1, 0))</f>
        <v>2.0504449348934757E-2</v>
      </c>
      <c r="E308" s="2">
        <f ca="1">INDEX(Simulations!$A$1:$BK$2501, 308, MATCH("Yr1Shock", Simulations!$A$1:$BK$1, 0))</f>
        <v>-4.3604479210147956E-2</v>
      </c>
    </row>
    <row r="309" spans="1:5" x14ac:dyDescent="0.3">
      <c r="A309" s="2">
        <f ca="1">INDEX(Simulations!$A$1:$BK$2501, 309, MATCH("PurchaseMultiple", Simulations!$A$1:$BK$1, 0))</f>
        <v>7.6561595326210314</v>
      </c>
      <c r="B309" s="2">
        <f ca="1">INDEX(Simulations!$A$1:$BK$2501, 309, MATCH("ExitMultiple", Simulations!$A$1:$BK$1, 0))</f>
        <v>7.3078707060429746</v>
      </c>
      <c r="C309" s="2">
        <f ca="1">INDEX(Simulations!$A$1:$BK$2501, 309, MATCH("RevCAGR", Simulations!$A$1:$BK$1, 0))</f>
        <v>5.4535217615539047E-2</v>
      </c>
      <c r="D309" s="2">
        <f ca="1">INDEX(Simulations!$A$1:$BK$2501, 309, MATCH("SynMargin", Simulations!$A$1:$BK$1, 0))</f>
        <v>1.3603237746333261E-2</v>
      </c>
      <c r="E309" s="2">
        <f ca="1">INDEX(Simulations!$A$1:$BK$2501, 309, MATCH("Yr1Shock", Simulations!$A$1:$BK$1, 0))</f>
        <v>5.7161911203164996E-3</v>
      </c>
    </row>
    <row r="310" spans="1:5" x14ac:dyDescent="0.3">
      <c r="A310" s="2">
        <f ca="1">INDEX(Simulations!$A$1:$BK$2501, 310, MATCH("PurchaseMultiple", Simulations!$A$1:$BK$1, 0))</f>
        <v>7.0205440171219946</v>
      </c>
      <c r="B310" s="2">
        <f ca="1">INDEX(Simulations!$A$1:$BK$2501, 310, MATCH("ExitMultiple", Simulations!$A$1:$BK$1, 0))</f>
        <v>7.2185780998891378</v>
      </c>
      <c r="C310" s="2">
        <f ca="1">INDEX(Simulations!$A$1:$BK$2501, 310, MATCH("RevCAGR", Simulations!$A$1:$BK$1, 0))</f>
        <v>4.3410410702814151E-2</v>
      </c>
      <c r="D310" s="2">
        <f ca="1">INDEX(Simulations!$A$1:$BK$2501, 310, MATCH("SynMargin", Simulations!$A$1:$BK$1, 0))</f>
        <v>1.0618954157674032E-2</v>
      </c>
      <c r="E310" s="2">
        <f ca="1">INDEX(Simulations!$A$1:$BK$2501, 310, MATCH("Yr1Shock", Simulations!$A$1:$BK$1, 0))</f>
        <v>-4.9759235777322906E-2</v>
      </c>
    </row>
    <row r="311" spans="1:5" x14ac:dyDescent="0.3">
      <c r="A311" s="2">
        <f ca="1">INDEX(Simulations!$A$1:$BK$2501, 311, MATCH("PurchaseMultiple", Simulations!$A$1:$BK$1, 0))</f>
        <v>6.5150272253037045</v>
      </c>
      <c r="B311" s="2">
        <f ca="1">INDEX(Simulations!$A$1:$BK$2501, 311, MATCH("ExitMultiple", Simulations!$A$1:$BK$1, 0))</f>
        <v>7.4014262780671141</v>
      </c>
      <c r="C311" s="2">
        <f ca="1">INDEX(Simulations!$A$1:$BK$2501, 311, MATCH("RevCAGR", Simulations!$A$1:$BK$1, 0))</f>
        <v>4.5777810377977464E-2</v>
      </c>
      <c r="D311" s="2">
        <f ca="1">INDEX(Simulations!$A$1:$BK$2501, 311, MATCH("SynMargin", Simulations!$A$1:$BK$1, 0))</f>
        <v>8.592111397325599E-3</v>
      </c>
      <c r="E311" s="2">
        <f ca="1">INDEX(Simulations!$A$1:$BK$2501, 311, MATCH("Yr1Shock", Simulations!$A$1:$BK$1, 0))</f>
        <v>-1.4753083596293643E-2</v>
      </c>
    </row>
    <row r="312" spans="1:5" x14ac:dyDescent="0.3">
      <c r="A312" s="2">
        <f ca="1">INDEX(Simulations!$A$1:$BK$2501, 312, MATCH("PurchaseMultiple", Simulations!$A$1:$BK$1, 0))</f>
        <v>6.3307755600837243</v>
      </c>
      <c r="B312" s="2">
        <f ca="1">INDEX(Simulations!$A$1:$BK$2501, 312, MATCH("ExitMultiple", Simulations!$A$1:$BK$1, 0))</f>
        <v>7.055687833817462</v>
      </c>
      <c r="C312" s="2">
        <f ca="1">INDEX(Simulations!$A$1:$BK$2501, 312, MATCH("RevCAGR", Simulations!$A$1:$BK$1, 0))</f>
        <v>3.1454963134741692E-2</v>
      </c>
      <c r="D312" s="2">
        <f ca="1">INDEX(Simulations!$A$1:$BK$2501, 312, MATCH("SynMargin", Simulations!$A$1:$BK$1, 0))</f>
        <v>6.9564257126062731E-3</v>
      </c>
      <c r="E312" s="2">
        <f ca="1">INDEX(Simulations!$A$1:$BK$2501, 312, MATCH("Yr1Shock", Simulations!$A$1:$BK$1, 0))</f>
        <v>1.5104828171203533E-2</v>
      </c>
    </row>
    <row r="313" spans="1:5" x14ac:dyDescent="0.3">
      <c r="A313" s="2">
        <f ca="1">INDEX(Simulations!$A$1:$BK$2501, 313, MATCH("PurchaseMultiple", Simulations!$A$1:$BK$1, 0))</f>
        <v>6.8452124840847626</v>
      </c>
      <c r="B313" s="2">
        <f ca="1">INDEX(Simulations!$A$1:$BK$2501, 313, MATCH("ExitMultiple", Simulations!$A$1:$BK$1, 0))</f>
        <v>7.5882874530646216</v>
      </c>
      <c r="C313" s="2">
        <f ca="1">INDEX(Simulations!$A$1:$BK$2501, 313, MATCH("RevCAGR", Simulations!$A$1:$BK$1, 0))</f>
        <v>6.9089043775842643E-2</v>
      </c>
      <c r="D313" s="2">
        <f ca="1">INDEX(Simulations!$A$1:$BK$2501, 313, MATCH("SynMargin", Simulations!$A$1:$BK$1, 0))</f>
        <v>1.1628136438269964E-2</v>
      </c>
      <c r="E313" s="2">
        <f ca="1">INDEX(Simulations!$A$1:$BK$2501, 313, MATCH("Yr1Shock", Simulations!$A$1:$BK$1, 0))</f>
        <v>4.0661091096371192E-2</v>
      </c>
    </row>
    <row r="314" spans="1:5" x14ac:dyDescent="0.3">
      <c r="A314" s="2">
        <f ca="1">INDEX(Simulations!$A$1:$BK$2501, 314, MATCH("PurchaseMultiple", Simulations!$A$1:$BK$1, 0))</f>
        <v>6.7893622804845108</v>
      </c>
      <c r="B314" s="2">
        <f ca="1">INDEX(Simulations!$A$1:$BK$2501, 314, MATCH("ExitMultiple", Simulations!$A$1:$BK$1, 0))</f>
        <v>7.3724024775235808</v>
      </c>
      <c r="C314" s="2">
        <f ca="1">INDEX(Simulations!$A$1:$BK$2501, 314, MATCH("RevCAGR", Simulations!$A$1:$BK$1, 0))</f>
        <v>-5.0837783829127195E-3</v>
      </c>
      <c r="D314" s="2">
        <f ca="1">INDEX(Simulations!$A$1:$BK$2501, 314, MATCH("SynMargin", Simulations!$A$1:$BK$1, 0))</f>
        <v>7.8222467710106925E-3</v>
      </c>
      <c r="E314" s="2">
        <f ca="1">INDEX(Simulations!$A$1:$BK$2501, 314, MATCH("Yr1Shock", Simulations!$A$1:$BK$1, 0))</f>
        <v>-2.1986346807425488E-3</v>
      </c>
    </row>
    <row r="315" spans="1:5" x14ac:dyDescent="0.3">
      <c r="A315" s="2">
        <f ca="1">INDEX(Simulations!$A$1:$BK$2501, 315, MATCH("PurchaseMultiple", Simulations!$A$1:$BK$1, 0))</f>
        <v>6.6504407495371103</v>
      </c>
      <c r="B315" s="2">
        <f ca="1">INDEX(Simulations!$A$1:$BK$2501, 315, MATCH("ExitMultiple", Simulations!$A$1:$BK$1, 0))</f>
        <v>7.7777624822701341</v>
      </c>
      <c r="C315" s="2">
        <f ca="1">INDEX(Simulations!$A$1:$BK$2501, 315, MATCH("RevCAGR", Simulations!$A$1:$BK$1, 0))</f>
        <v>2.7728517256317031E-2</v>
      </c>
      <c r="D315" s="2">
        <f ca="1">INDEX(Simulations!$A$1:$BK$2501, 315, MATCH("SynMargin", Simulations!$A$1:$BK$1, 0))</f>
        <v>1.4662884177892296E-2</v>
      </c>
      <c r="E315" s="2">
        <f ca="1">INDEX(Simulations!$A$1:$BK$2501, 315, MATCH("Yr1Shock", Simulations!$A$1:$BK$1, 0))</f>
        <v>1.331565897329791E-2</v>
      </c>
    </row>
    <row r="316" spans="1:5" x14ac:dyDescent="0.3">
      <c r="A316" s="2">
        <f ca="1">INDEX(Simulations!$A$1:$BK$2501, 316, MATCH("PurchaseMultiple", Simulations!$A$1:$BK$1, 0))</f>
        <v>7.227438544806791</v>
      </c>
      <c r="B316" s="2">
        <f ca="1">INDEX(Simulations!$A$1:$BK$2501, 316, MATCH("ExitMultiple", Simulations!$A$1:$BK$1, 0))</f>
        <v>7.8266848062845575</v>
      </c>
      <c r="C316" s="2">
        <f ca="1">INDEX(Simulations!$A$1:$BK$2501, 316, MATCH("RevCAGR", Simulations!$A$1:$BK$1, 0))</f>
        <v>4.6542819650053947E-2</v>
      </c>
      <c r="D316" s="2">
        <f ca="1">INDEX(Simulations!$A$1:$BK$2501, 316, MATCH("SynMargin", Simulations!$A$1:$BK$1, 0))</f>
        <v>1.1758524664442641E-2</v>
      </c>
      <c r="E316" s="2">
        <f ca="1">INDEX(Simulations!$A$1:$BK$2501, 316, MATCH("Yr1Shock", Simulations!$A$1:$BK$1, 0))</f>
        <v>1.610709751688532E-2</v>
      </c>
    </row>
    <row r="317" spans="1:5" x14ac:dyDescent="0.3">
      <c r="A317" s="2">
        <f ca="1">INDEX(Simulations!$A$1:$BK$2501, 317, MATCH("PurchaseMultiple", Simulations!$A$1:$BK$1, 0))</f>
        <v>7.6751464120975399</v>
      </c>
      <c r="B317" s="2">
        <f ca="1">INDEX(Simulations!$A$1:$BK$2501, 317, MATCH("ExitMultiple", Simulations!$A$1:$BK$1, 0))</f>
        <v>7.0949279331771171</v>
      </c>
      <c r="C317" s="2">
        <f ca="1">INDEX(Simulations!$A$1:$BK$2501, 317, MATCH("RevCAGR", Simulations!$A$1:$BK$1, 0))</f>
        <v>4.8574601136926035E-2</v>
      </c>
      <c r="D317" s="2">
        <f ca="1">INDEX(Simulations!$A$1:$BK$2501, 317, MATCH("SynMargin", Simulations!$A$1:$BK$1, 0))</f>
        <v>9.6247581184818673E-3</v>
      </c>
      <c r="E317" s="2">
        <f ca="1">INDEX(Simulations!$A$1:$BK$2501, 317, MATCH("Yr1Shock", Simulations!$A$1:$BK$1, 0))</f>
        <v>2.6076787019338445E-2</v>
      </c>
    </row>
    <row r="318" spans="1:5" x14ac:dyDescent="0.3">
      <c r="A318" s="2">
        <f ca="1">INDEX(Simulations!$A$1:$BK$2501, 318, MATCH("PurchaseMultiple", Simulations!$A$1:$BK$1, 0))</f>
        <v>6.4166901862597419</v>
      </c>
      <c r="B318" s="2">
        <f ca="1">INDEX(Simulations!$A$1:$BK$2501, 318, MATCH("ExitMultiple", Simulations!$A$1:$BK$1, 0))</f>
        <v>7.409936580920359</v>
      </c>
      <c r="C318" s="2">
        <f ca="1">INDEX(Simulations!$A$1:$BK$2501, 318, MATCH("RevCAGR", Simulations!$A$1:$BK$1, 0))</f>
        <v>6.6021746523530378E-2</v>
      </c>
      <c r="D318" s="2">
        <f ca="1">INDEX(Simulations!$A$1:$BK$2501, 318, MATCH("SynMargin", Simulations!$A$1:$BK$1, 0))</f>
        <v>1.4569049040722022E-2</v>
      </c>
      <c r="E318" s="2">
        <f ca="1">INDEX(Simulations!$A$1:$BK$2501, 318, MATCH("Yr1Shock", Simulations!$A$1:$BK$1, 0))</f>
        <v>2.1003136664875632E-2</v>
      </c>
    </row>
    <row r="319" spans="1:5" x14ac:dyDescent="0.3">
      <c r="A319" s="2">
        <f ca="1">INDEX(Simulations!$A$1:$BK$2501, 319, MATCH("PurchaseMultiple", Simulations!$A$1:$BK$1, 0))</f>
        <v>7.0689243528175014</v>
      </c>
      <c r="B319" s="2">
        <f ca="1">INDEX(Simulations!$A$1:$BK$2501, 319, MATCH("ExitMultiple", Simulations!$A$1:$BK$1, 0))</f>
        <v>7.5081335355412362</v>
      </c>
      <c r="C319" s="2">
        <f ca="1">INDEX(Simulations!$A$1:$BK$2501, 319, MATCH("RevCAGR", Simulations!$A$1:$BK$1, 0))</f>
        <v>4.9354114825849935E-3</v>
      </c>
      <c r="D319" s="2">
        <f ca="1">INDEX(Simulations!$A$1:$BK$2501, 319, MATCH("SynMargin", Simulations!$A$1:$BK$1, 0))</f>
        <v>6.5723178169788416E-3</v>
      </c>
      <c r="E319" s="2">
        <f ca="1">INDEX(Simulations!$A$1:$BK$2501, 319, MATCH("Yr1Shock", Simulations!$A$1:$BK$1, 0))</f>
        <v>2.8080818710168893E-2</v>
      </c>
    </row>
    <row r="320" spans="1:5" x14ac:dyDescent="0.3">
      <c r="A320" s="2">
        <f ca="1">INDEX(Simulations!$A$1:$BK$2501, 320, MATCH("PurchaseMultiple", Simulations!$A$1:$BK$1, 0))</f>
        <v>6.6735762878187055</v>
      </c>
      <c r="B320" s="2">
        <f ca="1">INDEX(Simulations!$A$1:$BK$2501, 320, MATCH("ExitMultiple", Simulations!$A$1:$BK$1, 0))</f>
        <v>7.2594054216009898</v>
      </c>
      <c r="C320" s="2">
        <f ca="1">INDEX(Simulations!$A$1:$BK$2501, 320, MATCH("RevCAGR", Simulations!$A$1:$BK$1, 0))</f>
        <v>0.11321480982276247</v>
      </c>
      <c r="D320" s="2">
        <f ca="1">INDEX(Simulations!$A$1:$BK$2501, 320, MATCH("SynMargin", Simulations!$A$1:$BK$1, 0))</f>
        <v>5.5233517414307008E-3</v>
      </c>
      <c r="E320" s="2">
        <f ca="1">INDEX(Simulations!$A$1:$BK$2501, 320, MATCH("Yr1Shock", Simulations!$A$1:$BK$1, 0))</f>
        <v>-6.6973118662667424E-3</v>
      </c>
    </row>
    <row r="321" spans="1:5" x14ac:dyDescent="0.3">
      <c r="A321" s="2">
        <f ca="1">INDEX(Simulations!$A$1:$BK$2501, 321, MATCH("PurchaseMultiple", Simulations!$A$1:$BK$1, 0))</f>
        <v>6.9691484278551812</v>
      </c>
      <c r="B321" s="2">
        <f ca="1">INDEX(Simulations!$A$1:$BK$2501, 321, MATCH("ExitMultiple", Simulations!$A$1:$BK$1, 0))</f>
        <v>7.6996351414426245</v>
      </c>
      <c r="C321" s="2">
        <f ca="1">INDEX(Simulations!$A$1:$BK$2501, 321, MATCH("RevCAGR", Simulations!$A$1:$BK$1, 0))</f>
        <v>8.5253586404396148E-2</v>
      </c>
      <c r="D321" s="2">
        <f ca="1">INDEX(Simulations!$A$1:$BK$2501, 321, MATCH("SynMargin", Simulations!$A$1:$BK$1, 0))</f>
        <v>9.5782555585058569E-3</v>
      </c>
      <c r="E321" s="2">
        <f ca="1">INDEX(Simulations!$A$1:$BK$2501, 321, MATCH("Yr1Shock", Simulations!$A$1:$BK$1, 0))</f>
        <v>1.6595241530483102E-2</v>
      </c>
    </row>
    <row r="322" spans="1:5" x14ac:dyDescent="0.3">
      <c r="A322" s="2">
        <f ca="1">INDEX(Simulations!$A$1:$BK$2501, 322, MATCH("PurchaseMultiple", Simulations!$A$1:$BK$1, 0))</f>
        <v>7.3502262768610755</v>
      </c>
      <c r="B322" s="2">
        <f ca="1">INDEX(Simulations!$A$1:$BK$2501, 322, MATCH("ExitMultiple", Simulations!$A$1:$BK$1, 0))</f>
        <v>7.2526364728583417</v>
      </c>
      <c r="C322" s="2">
        <f ca="1">INDEX(Simulations!$A$1:$BK$2501, 322, MATCH("RevCAGR", Simulations!$A$1:$BK$1, 0))</f>
        <v>-0.02</v>
      </c>
      <c r="D322" s="2">
        <f ca="1">INDEX(Simulations!$A$1:$BK$2501, 322, MATCH("SynMargin", Simulations!$A$1:$BK$1, 0))</f>
        <v>9.7043018068692852E-3</v>
      </c>
      <c r="E322" s="2">
        <f ca="1">INDEX(Simulations!$A$1:$BK$2501, 322, MATCH("Yr1Shock", Simulations!$A$1:$BK$1, 0))</f>
        <v>-2.8680800535545198E-2</v>
      </c>
    </row>
    <row r="323" spans="1:5" x14ac:dyDescent="0.3">
      <c r="A323" s="2">
        <f ca="1">INDEX(Simulations!$A$1:$BK$2501, 323, MATCH("PurchaseMultiple", Simulations!$A$1:$BK$1, 0))</f>
        <v>7.2878712554932257</v>
      </c>
      <c r="B323" s="2">
        <f ca="1">INDEX(Simulations!$A$1:$BK$2501, 323, MATCH("ExitMultiple", Simulations!$A$1:$BK$1, 0))</f>
        <v>8.0565723417893711</v>
      </c>
      <c r="C323" s="2">
        <f ca="1">INDEX(Simulations!$A$1:$BK$2501, 323, MATCH("RevCAGR", Simulations!$A$1:$BK$1, 0))</f>
        <v>3.8087995263123543E-2</v>
      </c>
      <c r="D323" s="2">
        <f ca="1">INDEX(Simulations!$A$1:$BK$2501, 323, MATCH("SynMargin", Simulations!$A$1:$BK$1, 0))</f>
        <v>1.2233607490961319E-2</v>
      </c>
      <c r="E323" s="2">
        <f ca="1">INDEX(Simulations!$A$1:$BK$2501, 323, MATCH("Yr1Shock", Simulations!$A$1:$BK$1, 0))</f>
        <v>-1.8764684917895621E-2</v>
      </c>
    </row>
    <row r="324" spans="1:5" x14ac:dyDescent="0.3">
      <c r="A324" s="2">
        <f ca="1">INDEX(Simulations!$A$1:$BK$2501, 324, MATCH("PurchaseMultiple", Simulations!$A$1:$BK$1, 0))</f>
        <v>7.6715992472480536</v>
      </c>
      <c r="B324" s="2">
        <f ca="1">INDEX(Simulations!$A$1:$BK$2501, 324, MATCH("ExitMultiple", Simulations!$A$1:$BK$1, 0))</f>
        <v>7.806390520966648</v>
      </c>
      <c r="C324" s="2">
        <f ca="1">INDEX(Simulations!$A$1:$BK$2501, 324, MATCH("RevCAGR", Simulations!$A$1:$BK$1, 0))</f>
        <v>8.2677516663132361E-2</v>
      </c>
      <c r="D324" s="2">
        <f ca="1">INDEX(Simulations!$A$1:$BK$2501, 324, MATCH("SynMargin", Simulations!$A$1:$BK$1, 0))</f>
        <v>1.4205110477685787E-2</v>
      </c>
      <c r="E324" s="2">
        <f ca="1">INDEX(Simulations!$A$1:$BK$2501, 324, MATCH("Yr1Shock", Simulations!$A$1:$BK$1, 0))</f>
        <v>-1.0609278719297684E-2</v>
      </c>
    </row>
    <row r="325" spans="1:5" x14ac:dyDescent="0.3">
      <c r="A325" s="2">
        <f ca="1">INDEX(Simulations!$A$1:$BK$2501, 325, MATCH("PurchaseMultiple", Simulations!$A$1:$BK$1, 0))</f>
        <v>7.132482229183438</v>
      </c>
      <c r="B325" s="2">
        <f ca="1">INDEX(Simulations!$A$1:$BK$2501, 325, MATCH("ExitMultiple", Simulations!$A$1:$BK$1, 0))</f>
        <v>7.9369313900221368</v>
      </c>
      <c r="C325" s="2">
        <f ca="1">INDEX(Simulations!$A$1:$BK$2501, 325, MATCH("RevCAGR", Simulations!$A$1:$BK$1, 0))</f>
        <v>1.1150705934533687E-2</v>
      </c>
      <c r="D325" s="2">
        <f ca="1">INDEX(Simulations!$A$1:$BK$2501, 325, MATCH("SynMargin", Simulations!$A$1:$BK$1, 0))</f>
        <v>6.3822476518079381E-3</v>
      </c>
      <c r="E325" s="2">
        <f ca="1">INDEX(Simulations!$A$1:$BK$2501, 325, MATCH("Yr1Shock", Simulations!$A$1:$BK$1, 0))</f>
        <v>-6.8701739378334457E-3</v>
      </c>
    </row>
    <row r="326" spans="1:5" x14ac:dyDescent="0.3">
      <c r="A326" s="2">
        <f ca="1">INDEX(Simulations!$A$1:$BK$2501, 326, MATCH("PurchaseMultiple", Simulations!$A$1:$BK$1, 0))</f>
        <v>6.72413817077961</v>
      </c>
      <c r="B326" s="2">
        <f ca="1">INDEX(Simulations!$A$1:$BK$2501, 326, MATCH("ExitMultiple", Simulations!$A$1:$BK$1, 0))</f>
        <v>8.1718106846990448</v>
      </c>
      <c r="C326" s="2">
        <f ca="1">INDEX(Simulations!$A$1:$BK$2501, 326, MATCH("RevCAGR", Simulations!$A$1:$BK$1, 0))</f>
        <v>2.4872602184307577E-2</v>
      </c>
      <c r="D326" s="2">
        <f ca="1">INDEX(Simulations!$A$1:$BK$2501, 326, MATCH("SynMargin", Simulations!$A$1:$BK$1, 0))</f>
        <v>0</v>
      </c>
      <c r="E326" s="2">
        <f ca="1">INDEX(Simulations!$A$1:$BK$2501, 326, MATCH("Yr1Shock", Simulations!$A$1:$BK$1, 0))</f>
        <v>5.2458195004253128E-3</v>
      </c>
    </row>
    <row r="327" spans="1:5" x14ac:dyDescent="0.3">
      <c r="A327" s="2">
        <f ca="1">INDEX(Simulations!$A$1:$BK$2501, 327, MATCH("PurchaseMultiple", Simulations!$A$1:$BK$1, 0))</f>
        <v>6.7082818202767749</v>
      </c>
      <c r="B327" s="2">
        <f ca="1">INDEX(Simulations!$A$1:$BK$2501, 327, MATCH("ExitMultiple", Simulations!$A$1:$BK$1, 0))</f>
        <v>7.3589716243117227</v>
      </c>
      <c r="C327" s="2">
        <f ca="1">INDEX(Simulations!$A$1:$BK$2501, 327, MATCH("RevCAGR", Simulations!$A$1:$BK$1, 0))</f>
        <v>2.4179572040413308E-2</v>
      </c>
      <c r="D327" s="2">
        <f ca="1">INDEX(Simulations!$A$1:$BK$2501, 327, MATCH("SynMargin", Simulations!$A$1:$BK$1, 0))</f>
        <v>7.4499724183029843E-3</v>
      </c>
      <c r="E327" s="2">
        <f ca="1">INDEX(Simulations!$A$1:$BK$2501, 327, MATCH("Yr1Shock", Simulations!$A$1:$BK$1, 0))</f>
        <v>2.136753570665087E-2</v>
      </c>
    </row>
    <row r="328" spans="1:5" x14ac:dyDescent="0.3">
      <c r="A328" s="2">
        <f ca="1">INDEX(Simulations!$A$1:$BK$2501, 328, MATCH("PurchaseMultiple", Simulations!$A$1:$BK$1, 0))</f>
        <v>6.3511994392234792</v>
      </c>
      <c r="B328" s="2">
        <f ca="1">INDEX(Simulations!$A$1:$BK$2501, 328, MATCH("ExitMultiple", Simulations!$A$1:$BK$1, 0))</f>
        <v>6.7846170229939835</v>
      </c>
      <c r="C328" s="2">
        <f ca="1">INDEX(Simulations!$A$1:$BK$2501, 328, MATCH("RevCAGR", Simulations!$A$1:$BK$1, 0))</f>
        <v>2.0617215191087498E-2</v>
      </c>
      <c r="D328" s="2">
        <f ca="1">INDEX(Simulations!$A$1:$BK$2501, 328, MATCH("SynMargin", Simulations!$A$1:$BK$1, 0))</f>
        <v>2.4610021661639944E-3</v>
      </c>
      <c r="E328" s="2">
        <f ca="1">INDEX(Simulations!$A$1:$BK$2501, 328, MATCH("Yr1Shock", Simulations!$A$1:$BK$1, 0))</f>
        <v>2.0346173061476288E-2</v>
      </c>
    </row>
    <row r="329" spans="1:5" x14ac:dyDescent="0.3">
      <c r="A329" s="2">
        <f ca="1">INDEX(Simulations!$A$1:$BK$2501, 329, MATCH("PurchaseMultiple", Simulations!$A$1:$BK$1, 0))</f>
        <v>6.5434432893253147</v>
      </c>
      <c r="B329" s="2">
        <f ca="1">INDEX(Simulations!$A$1:$BK$2501, 329, MATCH("ExitMultiple", Simulations!$A$1:$BK$1, 0))</f>
        <v>7.2670035414656784</v>
      </c>
      <c r="C329" s="2">
        <f ca="1">INDEX(Simulations!$A$1:$BK$2501, 329, MATCH("RevCAGR", Simulations!$A$1:$BK$1, 0))</f>
        <v>8.3400895804446429E-2</v>
      </c>
      <c r="D329" s="2">
        <f ca="1">INDEX(Simulations!$A$1:$BK$2501, 329, MATCH("SynMargin", Simulations!$A$1:$BK$1, 0))</f>
        <v>7.5533237868471974E-3</v>
      </c>
      <c r="E329" s="2">
        <f ca="1">INDEX(Simulations!$A$1:$BK$2501, 329, MATCH("Yr1Shock", Simulations!$A$1:$BK$1, 0))</f>
        <v>2.3728561717871789E-2</v>
      </c>
    </row>
    <row r="330" spans="1:5" x14ac:dyDescent="0.3">
      <c r="A330" s="2">
        <f ca="1">INDEX(Simulations!$A$1:$BK$2501, 330, MATCH("PurchaseMultiple", Simulations!$A$1:$BK$1, 0))</f>
        <v>6.9838238074069565</v>
      </c>
      <c r="B330" s="2">
        <f ca="1">INDEX(Simulations!$A$1:$BK$2501, 330, MATCH("ExitMultiple", Simulations!$A$1:$BK$1, 0))</f>
        <v>7.4539237474214337</v>
      </c>
      <c r="C330" s="2">
        <f ca="1">INDEX(Simulations!$A$1:$BK$2501, 330, MATCH("RevCAGR", Simulations!$A$1:$BK$1, 0))</f>
        <v>2.6345802037456918E-2</v>
      </c>
      <c r="D330" s="2">
        <f ca="1">INDEX(Simulations!$A$1:$BK$2501, 330, MATCH("SynMargin", Simulations!$A$1:$BK$1, 0))</f>
        <v>4.8616938082950579E-3</v>
      </c>
      <c r="E330" s="2">
        <f ca="1">INDEX(Simulations!$A$1:$BK$2501, 330, MATCH("Yr1Shock", Simulations!$A$1:$BK$1, 0))</f>
        <v>1.9653891878763732E-2</v>
      </c>
    </row>
    <row r="331" spans="1:5" x14ac:dyDescent="0.3">
      <c r="A331" s="2">
        <f ca="1">INDEX(Simulations!$A$1:$BK$2501, 331, MATCH("PurchaseMultiple", Simulations!$A$1:$BK$1, 0))</f>
        <v>7.810772322778087</v>
      </c>
      <c r="B331" s="2">
        <f ca="1">INDEX(Simulations!$A$1:$BK$2501, 331, MATCH("ExitMultiple", Simulations!$A$1:$BK$1, 0))</f>
        <v>8.0821803493400157</v>
      </c>
      <c r="C331" s="2">
        <f ca="1">INDEX(Simulations!$A$1:$BK$2501, 331, MATCH("RevCAGR", Simulations!$A$1:$BK$1, 0))</f>
        <v>5.0782164317487159E-2</v>
      </c>
      <c r="D331" s="2">
        <f ca="1">INDEX(Simulations!$A$1:$BK$2501, 331, MATCH("SynMargin", Simulations!$A$1:$BK$1, 0))</f>
        <v>4.4192142090374456E-3</v>
      </c>
      <c r="E331" s="2">
        <f ca="1">INDEX(Simulations!$A$1:$BK$2501, 331, MATCH("Yr1Shock", Simulations!$A$1:$BK$1, 0))</f>
        <v>-1.6357225768052742E-2</v>
      </c>
    </row>
    <row r="332" spans="1:5" x14ac:dyDescent="0.3">
      <c r="A332" s="2">
        <f ca="1">INDEX(Simulations!$A$1:$BK$2501, 332, MATCH("PurchaseMultiple", Simulations!$A$1:$BK$1, 0))</f>
        <v>7.0149653131801539</v>
      </c>
      <c r="B332" s="2">
        <f ca="1">INDEX(Simulations!$A$1:$BK$2501, 332, MATCH("ExitMultiple", Simulations!$A$1:$BK$1, 0))</f>
        <v>7.5360305452041478</v>
      </c>
      <c r="C332" s="2">
        <f ca="1">INDEX(Simulations!$A$1:$BK$2501, 332, MATCH("RevCAGR", Simulations!$A$1:$BK$1, 0))</f>
        <v>-1.8511484440569777E-2</v>
      </c>
      <c r="D332" s="2">
        <f ca="1">INDEX(Simulations!$A$1:$BK$2501, 332, MATCH("SynMargin", Simulations!$A$1:$BK$1, 0))</f>
        <v>1.3914300902287862E-2</v>
      </c>
      <c r="E332" s="2">
        <f ca="1">INDEX(Simulations!$A$1:$BK$2501, 332, MATCH("Yr1Shock", Simulations!$A$1:$BK$1, 0))</f>
        <v>5.1253401557228018E-3</v>
      </c>
    </row>
    <row r="333" spans="1:5" x14ac:dyDescent="0.3">
      <c r="A333" s="2">
        <f ca="1">INDEX(Simulations!$A$1:$BK$2501, 333, MATCH("PurchaseMultiple", Simulations!$A$1:$BK$1, 0))</f>
        <v>7.5834357652374704</v>
      </c>
      <c r="B333" s="2">
        <f ca="1">INDEX(Simulations!$A$1:$BK$2501, 333, MATCH("ExitMultiple", Simulations!$A$1:$BK$1, 0))</f>
        <v>7.2655496623609279</v>
      </c>
      <c r="C333" s="2">
        <f ca="1">INDEX(Simulations!$A$1:$BK$2501, 333, MATCH("RevCAGR", Simulations!$A$1:$BK$1, 0))</f>
        <v>2.1328984128087137E-2</v>
      </c>
      <c r="D333" s="2">
        <f ca="1">INDEX(Simulations!$A$1:$BK$2501, 333, MATCH("SynMargin", Simulations!$A$1:$BK$1, 0))</f>
        <v>9.6907560530917133E-3</v>
      </c>
      <c r="E333" s="2">
        <f ca="1">INDEX(Simulations!$A$1:$BK$2501, 333, MATCH("Yr1Shock", Simulations!$A$1:$BK$1, 0))</f>
        <v>-7.6044608011941418E-3</v>
      </c>
    </row>
    <row r="334" spans="1:5" x14ac:dyDescent="0.3">
      <c r="A334" s="2">
        <f ca="1">INDEX(Simulations!$A$1:$BK$2501, 334, MATCH("PurchaseMultiple", Simulations!$A$1:$BK$1, 0))</f>
        <v>7.2742713542369621</v>
      </c>
      <c r="B334" s="2">
        <f ca="1">INDEX(Simulations!$A$1:$BK$2501, 334, MATCH("ExitMultiple", Simulations!$A$1:$BK$1, 0))</f>
        <v>7.9319968312515607</v>
      </c>
      <c r="C334" s="2">
        <f ca="1">INDEX(Simulations!$A$1:$BK$2501, 334, MATCH("RevCAGR", Simulations!$A$1:$BK$1, 0))</f>
        <v>-8.5490959063290115E-3</v>
      </c>
      <c r="D334" s="2">
        <f ca="1">INDEX(Simulations!$A$1:$BK$2501, 334, MATCH("SynMargin", Simulations!$A$1:$BK$1, 0))</f>
        <v>1.1630613212167802E-2</v>
      </c>
      <c r="E334" s="2">
        <f ca="1">INDEX(Simulations!$A$1:$BK$2501, 334, MATCH("Yr1Shock", Simulations!$A$1:$BK$1, 0))</f>
        <v>8.1909169791130592E-3</v>
      </c>
    </row>
    <row r="335" spans="1:5" x14ac:dyDescent="0.3">
      <c r="A335" s="2">
        <f ca="1">INDEX(Simulations!$A$1:$BK$2501, 335, MATCH("PurchaseMultiple", Simulations!$A$1:$BK$1, 0))</f>
        <v>7.3307106584967103</v>
      </c>
      <c r="B335" s="2">
        <f ca="1">INDEX(Simulations!$A$1:$BK$2501, 335, MATCH("ExitMultiple", Simulations!$A$1:$BK$1, 0))</f>
        <v>8.179836879810507</v>
      </c>
      <c r="C335" s="2">
        <f ca="1">INDEX(Simulations!$A$1:$BK$2501, 335, MATCH("RevCAGR", Simulations!$A$1:$BK$1, 0))</f>
        <v>9.8888817660217149E-2</v>
      </c>
      <c r="D335" s="2">
        <f ca="1">INDEX(Simulations!$A$1:$BK$2501, 335, MATCH("SynMargin", Simulations!$A$1:$BK$1, 0))</f>
        <v>4.0447616625185808E-3</v>
      </c>
      <c r="E335" s="2">
        <f ca="1">INDEX(Simulations!$A$1:$BK$2501, 335, MATCH("Yr1Shock", Simulations!$A$1:$BK$1, 0))</f>
        <v>3.3886500984503481E-3</v>
      </c>
    </row>
    <row r="336" spans="1:5" x14ac:dyDescent="0.3">
      <c r="A336" s="2">
        <f ca="1">INDEX(Simulations!$A$1:$BK$2501, 336, MATCH("PurchaseMultiple", Simulations!$A$1:$BK$1, 0))</f>
        <v>7.1948850632748069</v>
      </c>
      <c r="B336" s="2">
        <f ca="1">INDEX(Simulations!$A$1:$BK$2501, 336, MATCH("ExitMultiple", Simulations!$A$1:$BK$1, 0))</f>
        <v>7.0156805658217278</v>
      </c>
      <c r="C336" s="2">
        <f ca="1">INDEX(Simulations!$A$1:$BK$2501, 336, MATCH("RevCAGR", Simulations!$A$1:$BK$1, 0))</f>
        <v>5.5939296442465564E-2</v>
      </c>
      <c r="D336" s="2">
        <f ca="1">INDEX(Simulations!$A$1:$BK$2501, 336, MATCH("SynMargin", Simulations!$A$1:$BK$1, 0))</f>
        <v>7.5350786920197112E-3</v>
      </c>
      <c r="E336" s="2">
        <f ca="1">INDEX(Simulations!$A$1:$BK$2501, 336, MATCH("Yr1Shock", Simulations!$A$1:$BK$1, 0))</f>
        <v>3.1509194798546032E-2</v>
      </c>
    </row>
    <row r="337" spans="1:5" x14ac:dyDescent="0.3">
      <c r="A337" s="2">
        <f ca="1">INDEX(Simulations!$A$1:$BK$2501, 337, MATCH("PurchaseMultiple", Simulations!$A$1:$BK$1, 0))</f>
        <v>6.7625057228751171</v>
      </c>
      <c r="B337" s="2">
        <f ca="1">INDEX(Simulations!$A$1:$BK$2501, 337, MATCH("ExitMultiple", Simulations!$A$1:$BK$1, 0))</f>
        <v>7.3597089428079006</v>
      </c>
      <c r="C337" s="2">
        <f ca="1">INDEX(Simulations!$A$1:$BK$2501, 337, MATCH("RevCAGR", Simulations!$A$1:$BK$1, 0))</f>
        <v>7.5202159713068539E-2</v>
      </c>
      <c r="D337" s="2">
        <f ca="1">INDEX(Simulations!$A$1:$BK$2501, 337, MATCH("SynMargin", Simulations!$A$1:$BK$1, 0))</f>
        <v>8.9898867444957627E-3</v>
      </c>
      <c r="E337" s="2">
        <f ca="1">INDEX(Simulations!$A$1:$BK$2501, 337, MATCH("Yr1Shock", Simulations!$A$1:$BK$1, 0))</f>
        <v>2.830322692813123E-3</v>
      </c>
    </row>
    <row r="338" spans="1:5" x14ac:dyDescent="0.3">
      <c r="A338" s="2">
        <f ca="1">INDEX(Simulations!$A$1:$BK$2501, 338, MATCH("PurchaseMultiple", Simulations!$A$1:$BK$1, 0))</f>
        <v>6.1348684301470211</v>
      </c>
      <c r="B338" s="2">
        <f ca="1">INDEX(Simulations!$A$1:$BK$2501, 338, MATCH("ExitMultiple", Simulations!$A$1:$BK$1, 0))</f>
        <v>7.5987227543534077</v>
      </c>
      <c r="C338" s="2">
        <f ca="1">INDEX(Simulations!$A$1:$BK$2501, 338, MATCH("RevCAGR", Simulations!$A$1:$BK$1, 0))</f>
        <v>1.3713594541484995E-2</v>
      </c>
      <c r="D338" s="2">
        <f ca="1">INDEX(Simulations!$A$1:$BK$2501, 338, MATCH("SynMargin", Simulations!$A$1:$BK$1, 0))</f>
        <v>1.5579148757487209E-2</v>
      </c>
      <c r="E338" s="2">
        <f ca="1">INDEX(Simulations!$A$1:$BK$2501, 338, MATCH("Yr1Shock", Simulations!$A$1:$BK$1, 0))</f>
        <v>-1.7382451365030107E-2</v>
      </c>
    </row>
    <row r="339" spans="1:5" x14ac:dyDescent="0.3">
      <c r="A339" s="2">
        <f ca="1">INDEX(Simulations!$A$1:$BK$2501, 339, MATCH("PurchaseMultiple", Simulations!$A$1:$BK$1, 0))</f>
        <v>6.5368511149837047</v>
      </c>
      <c r="B339" s="2">
        <f ca="1">INDEX(Simulations!$A$1:$BK$2501, 339, MATCH("ExitMultiple", Simulations!$A$1:$BK$1, 0))</f>
        <v>7.7338594827959026</v>
      </c>
      <c r="C339" s="2">
        <f ca="1">INDEX(Simulations!$A$1:$BK$2501, 339, MATCH("RevCAGR", Simulations!$A$1:$BK$1, 0))</f>
        <v>-0.02</v>
      </c>
      <c r="D339" s="2">
        <f ca="1">INDEX(Simulations!$A$1:$BK$2501, 339, MATCH("SynMargin", Simulations!$A$1:$BK$1, 0))</f>
        <v>1.0096834896829495E-3</v>
      </c>
      <c r="E339" s="2">
        <f ca="1">INDEX(Simulations!$A$1:$BK$2501, 339, MATCH("Yr1Shock", Simulations!$A$1:$BK$1, 0))</f>
        <v>-3.970456414331946E-4</v>
      </c>
    </row>
    <row r="340" spans="1:5" x14ac:dyDescent="0.3">
      <c r="A340" s="2">
        <f ca="1">INDEX(Simulations!$A$1:$BK$2501, 340, MATCH("PurchaseMultiple", Simulations!$A$1:$BK$1, 0))</f>
        <v>7.0152364415155031</v>
      </c>
      <c r="B340" s="2">
        <f ca="1">INDEX(Simulations!$A$1:$BK$2501, 340, MATCH("ExitMultiple", Simulations!$A$1:$BK$1, 0))</f>
        <v>7.8634827639846385</v>
      </c>
      <c r="C340" s="2">
        <f ca="1">INDEX(Simulations!$A$1:$BK$2501, 340, MATCH("RevCAGR", Simulations!$A$1:$BK$1, 0))</f>
        <v>8.2942416352471418E-2</v>
      </c>
      <c r="D340" s="2">
        <f ca="1">INDEX(Simulations!$A$1:$BK$2501, 340, MATCH("SynMargin", Simulations!$A$1:$BK$1, 0))</f>
        <v>1.1445572658048554E-2</v>
      </c>
      <c r="E340" s="2">
        <f ca="1">INDEX(Simulations!$A$1:$BK$2501, 340, MATCH("Yr1Shock", Simulations!$A$1:$BK$1, 0))</f>
        <v>7.2849613585447013E-3</v>
      </c>
    </row>
    <row r="341" spans="1:5" x14ac:dyDescent="0.3">
      <c r="A341" s="2">
        <f ca="1">INDEX(Simulations!$A$1:$BK$2501, 341, MATCH("PurchaseMultiple", Simulations!$A$1:$BK$1, 0))</f>
        <v>7.1009865558488459</v>
      </c>
      <c r="B341" s="2">
        <f ca="1">INDEX(Simulations!$A$1:$BK$2501, 341, MATCH("ExitMultiple", Simulations!$A$1:$BK$1, 0))</f>
        <v>7.0522356823217835</v>
      </c>
      <c r="C341" s="2">
        <f ca="1">INDEX(Simulations!$A$1:$BK$2501, 341, MATCH("RevCAGR", Simulations!$A$1:$BK$1, 0))</f>
        <v>3.9911823885850219E-2</v>
      </c>
      <c r="D341" s="2">
        <f ca="1">INDEX(Simulations!$A$1:$BK$2501, 341, MATCH("SynMargin", Simulations!$A$1:$BK$1, 0))</f>
        <v>1.5183355022593929E-2</v>
      </c>
      <c r="E341" s="2">
        <f ca="1">INDEX(Simulations!$A$1:$BK$2501, 341, MATCH("Yr1Shock", Simulations!$A$1:$BK$1, 0))</f>
        <v>2.4704172892899039E-2</v>
      </c>
    </row>
    <row r="342" spans="1:5" x14ac:dyDescent="0.3">
      <c r="A342" s="2">
        <f ca="1">INDEX(Simulations!$A$1:$BK$2501, 342, MATCH("PurchaseMultiple", Simulations!$A$1:$BK$1, 0))</f>
        <v>7.0600114237163698</v>
      </c>
      <c r="B342" s="2">
        <f ca="1">INDEX(Simulations!$A$1:$BK$2501, 342, MATCH("ExitMultiple", Simulations!$A$1:$BK$1, 0))</f>
        <v>7.9346539005409831</v>
      </c>
      <c r="C342" s="2">
        <f ca="1">INDEX(Simulations!$A$1:$BK$2501, 342, MATCH("RevCAGR", Simulations!$A$1:$BK$1, 0))</f>
        <v>3.1107377198780869E-2</v>
      </c>
      <c r="D342" s="2">
        <f ca="1">INDEX(Simulations!$A$1:$BK$2501, 342, MATCH("SynMargin", Simulations!$A$1:$BK$1, 0))</f>
        <v>4.3268881360783388E-3</v>
      </c>
      <c r="E342" s="2">
        <f ca="1">INDEX(Simulations!$A$1:$BK$2501, 342, MATCH("Yr1Shock", Simulations!$A$1:$BK$1, 0))</f>
        <v>-9.9624880177398827E-3</v>
      </c>
    </row>
    <row r="343" spans="1:5" x14ac:dyDescent="0.3">
      <c r="A343" s="2">
        <f ca="1">INDEX(Simulations!$A$1:$BK$2501, 343, MATCH("PurchaseMultiple", Simulations!$A$1:$BK$1, 0))</f>
        <v>7.4119449306512655</v>
      </c>
      <c r="B343" s="2">
        <f ca="1">INDEX(Simulations!$A$1:$BK$2501, 343, MATCH("ExitMultiple", Simulations!$A$1:$BK$1, 0))</f>
        <v>7.6410685718497202</v>
      </c>
      <c r="C343" s="2">
        <f ca="1">INDEX(Simulations!$A$1:$BK$2501, 343, MATCH("RevCAGR", Simulations!$A$1:$BK$1, 0))</f>
        <v>6.8798447793605486E-2</v>
      </c>
      <c r="D343" s="2">
        <f ca="1">INDEX(Simulations!$A$1:$BK$2501, 343, MATCH("SynMargin", Simulations!$A$1:$BK$1, 0))</f>
        <v>6.7307243099613296E-3</v>
      </c>
      <c r="E343" s="2">
        <f ca="1">INDEX(Simulations!$A$1:$BK$2501, 343, MATCH("Yr1Shock", Simulations!$A$1:$BK$1, 0))</f>
        <v>-2.1881881962808707E-2</v>
      </c>
    </row>
    <row r="344" spans="1:5" x14ac:dyDescent="0.3">
      <c r="A344" s="2">
        <f ca="1">INDEX(Simulations!$A$1:$BK$2501, 344, MATCH("PurchaseMultiple", Simulations!$A$1:$BK$1, 0))</f>
        <v>6.6352349753903743</v>
      </c>
      <c r="B344" s="2">
        <f ca="1">INDEX(Simulations!$A$1:$BK$2501, 344, MATCH("ExitMultiple", Simulations!$A$1:$BK$1, 0))</f>
        <v>7.5441506176322317</v>
      </c>
      <c r="C344" s="2">
        <f ca="1">INDEX(Simulations!$A$1:$BK$2501, 344, MATCH("RevCAGR", Simulations!$A$1:$BK$1, 0))</f>
        <v>2.6707948467439527E-2</v>
      </c>
      <c r="D344" s="2">
        <f ca="1">INDEX(Simulations!$A$1:$BK$2501, 344, MATCH("SynMargin", Simulations!$A$1:$BK$1, 0))</f>
        <v>1.3046874193950413E-2</v>
      </c>
      <c r="E344" s="2">
        <f ca="1">INDEX(Simulations!$A$1:$BK$2501, 344, MATCH("Yr1Shock", Simulations!$A$1:$BK$1, 0))</f>
        <v>-9.6229423463137682E-3</v>
      </c>
    </row>
    <row r="345" spans="1:5" x14ac:dyDescent="0.3">
      <c r="A345" s="2">
        <f ca="1">INDEX(Simulations!$A$1:$BK$2501, 345, MATCH("PurchaseMultiple", Simulations!$A$1:$BK$1, 0))</f>
        <v>7.0975838560324824</v>
      </c>
      <c r="B345" s="2">
        <f ca="1">INDEX(Simulations!$A$1:$BK$2501, 345, MATCH("ExitMultiple", Simulations!$A$1:$BK$1, 0))</f>
        <v>8.0443292435370264</v>
      </c>
      <c r="C345" s="2">
        <f ca="1">INDEX(Simulations!$A$1:$BK$2501, 345, MATCH("RevCAGR", Simulations!$A$1:$BK$1, 0))</f>
        <v>7.4575282382739569E-2</v>
      </c>
      <c r="D345" s="2">
        <f ca="1">INDEX(Simulations!$A$1:$BK$2501, 345, MATCH("SynMargin", Simulations!$A$1:$BK$1, 0))</f>
        <v>1.1200485013355814E-2</v>
      </c>
      <c r="E345" s="2">
        <f ca="1">INDEX(Simulations!$A$1:$BK$2501, 345, MATCH("Yr1Shock", Simulations!$A$1:$BK$1, 0))</f>
        <v>9.0525563166194995E-3</v>
      </c>
    </row>
    <row r="346" spans="1:5" x14ac:dyDescent="0.3">
      <c r="A346" s="2">
        <f ca="1">INDEX(Simulations!$A$1:$BK$2501, 346, MATCH("PurchaseMultiple", Simulations!$A$1:$BK$1, 0))</f>
        <v>7.8739088608086609</v>
      </c>
      <c r="B346" s="2">
        <f ca="1">INDEX(Simulations!$A$1:$BK$2501, 346, MATCH("ExitMultiple", Simulations!$A$1:$BK$1, 0))</f>
        <v>7.9847196737569321</v>
      </c>
      <c r="C346" s="2">
        <f ca="1">INDEX(Simulations!$A$1:$BK$2501, 346, MATCH("RevCAGR", Simulations!$A$1:$BK$1, 0))</f>
        <v>1.5338511578338231E-2</v>
      </c>
      <c r="D346" s="2">
        <f ca="1">INDEX(Simulations!$A$1:$BK$2501, 346, MATCH("SynMargin", Simulations!$A$1:$BK$1, 0))</f>
        <v>1.7918026608734847E-3</v>
      </c>
      <c r="E346" s="2">
        <f ca="1">INDEX(Simulations!$A$1:$BK$2501, 346, MATCH("Yr1Shock", Simulations!$A$1:$BK$1, 0))</f>
        <v>-8.2849947055516331E-3</v>
      </c>
    </row>
    <row r="347" spans="1:5" x14ac:dyDescent="0.3">
      <c r="A347" s="2">
        <f ca="1">INDEX(Simulations!$A$1:$BK$2501, 347, MATCH("PurchaseMultiple", Simulations!$A$1:$BK$1, 0))</f>
        <v>6.8057221690035847</v>
      </c>
      <c r="B347" s="2">
        <f ca="1">INDEX(Simulations!$A$1:$BK$2501, 347, MATCH("ExitMultiple", Simulations!$A$1:$BK$1, 0))</f>
        <v>7.7257751285031446</v>
      </c>
      <c r="C347" s="2">
        <f ca="1">INDEX(Simulations!$A$1:$BK$2501, 347, MATCH("RevCAGR", Simulations!$A$1:$BK$1, 0))</f>
        <v>1.5168471212419002E-3</v>
      </c>
      <c r="D347" s="2">
        <f ca="1">INDEX(Simulations!$A$1:$BK$2501, 347, MATCH("SynMargin", Simulations!$A$1:$BK$1, 0))</f>
        <v>1.3660592642154152E-2</v>
      </c>
      <c r="E347" s="2">
        <f ca="1">INDEX(Simulations!$A$1:$BK$2501, 347, MATCH("Yr1Shock", Simulations!$A$1:$BK$1, 0))</f>
        <v>-1.0719129622567429E-2</v>
      </c>
    </row>
    <row r="348" spans="1:5" x14ac:dyDescent="0.3">
      <c r="A348" s="2">
        <f ca="1">INDEX(Simulations!$A$1:$BK$2501, 348, MATCH("PurchaseMultiple", Simulations!$A$1:$BK$1, 0))</f>
        <v>6.7937238341030364</v>
      </c>
      <c r="B348" s="2">
        <f ca="1">INDEX(Simulations!$A$1:$BK$2501, 348, MATCH("ExitMultiple", Simulations!$A$1:$BK$1, 0))</f>
        <v>7.8060501567723106</v>
      </c>
      <c r="C348" s="2">
        <f ca="1">INDEX(Simulations!$A$1:$BK$2501, 348, MATCH("RevCAGR", Simulations!$A$1:$BK$1, 0))</f>
        <v>2.9537015056866758E-2</v>
      </c>
      <c r="D348" s="2">
        <f ca="1">INDEX(Simulations!$A$1:$BK$2501, 348, MATCH("SynMargin", Simulations!$A$1:$BK$1, 0))</f>
        <v>7.7041060862423211E-3</v>
      </c>
      <c r="E348" s="2">
        <f ca="1">INDEX(Simulations!$A$1:$BK$2501, 348, MATCH("Yr1Shock", Simulations!$A$1:$BK$1, 0))</f>
        <v>-3.8256143283832791E-3</v>
      </c>
    </row>
    <row r="349" spans="1:5" x14ac:dyDescent="0.3">
      <c r="A349" s="2">
        <f ca="1">INDEX(Simulations!$A$1:$BK$2501, 349, MATCH("PurchaseMultiple", Simulations!$A$1:$BK$1, 0))</f>
        <v>6.1659054848977819</v>
      </c>
      <c r="B349" s="2">
        <f ca="1">INDEX(Simulations!$A$1:$BK$2501, 349, MATCH("ExitMultiple", Simulations!$A$1:$BK$1, 0))</f>
        <v>7.0262698061111379</v>
      </c>
      <c r="C349" s="2">
        <f ca="1">INDEX(Simulations!$A$1:$BK$2501, 349, MATCH("RevCAGR", Simulations!$A$1:$BK$1, 0))</f>
        <v>1.2357161358426124E-2</v>
      </c>
      <c r="D349" s="2">
        <f ca="1">INDEX(Simulations!$A$1:$BK$2501, 349, MATCH("SynMargin", Simulations!$A$1:$BK$1, 0))</f>
        <v>4.2319057089910926E-3</v>
      </c>
      <c r="E349" s="2">
        <f ca="1">INDEX(Simulations!$A$1:$BK$2501, 349, MATCH("Yr1Shock", Simulations!$A$1:$BK$1, 0))</f>
        <v>-6.4674127738149978E-3</v>
      </c>
    </row>
    <row r="350" spans="1:5" x14ac:dyDescent="0.3">
      <c r="A350" s="2">
        <f ca="1">INDEX(Simulations!$A$1:$BK$2501, 350, MATCH("PurchaseMultiple", Simulations!$A$1:$BK$1, 0))</f>
        <v>7.7077129171929304</v>
      </c>
      <c r="B350" s="2">
        <f ca="1">INDEX(Simulations!$A$1:$BK$2501, 350, MATCH("ExitMultiple", Simulations!$A$1:$BK$1, 0))</f>
        <v>8.0811246402371086</v>
      </c>
      <c r="C350" s="2">
        <f ca="1">INDEX(Simulations!$A$1:$BK$2501, 350, MATCH("RevCAGR", Simulations!$A$1:$BK$1, 0))</f>
        <v>6.2065572163817057E-2</v>
      </c>
      <c r="D350" s="2">
        <f ca="1">INDEX(Simulations!$A$1:$BK$2501, 350, MATCH("SynMargin", Simulations!$A$1:$BK$1, 0))</f>
        <v>1.378769929482598E-2</v>
      </c>
      <c r="E350" s="2">
        <f ca="1">INDEX(Simulations!$A$1:$BK$2501, 350, MATCH("Yr1Shock", Simulations!$A$1:$BK$1, 0))</f>
        <v>-1.333702252251481E-2</v>
      </c>
    </row>
    <row r="351" spans="1:5" x14ac:dyDescent="0.3">
      <c r="A351" s="2">
        <f ca="1">INDEX(Simulations!$A$1:$BK$2501, 351, MATCH("PurchaseMultiple", Simulations!$A$1:$BK$1, 0))</f>
        <v>6.9119933988855422</v>
      </c>
      <c r="B351" s="2">
        <f ca="1">INDEX(Simulations!$A$1:$BK$2501, 351, MATCH("ExitMultiple", Simulations!$A$1:$BK$1, 0))</f>
        <v>7.5707739719447433</v>
      </c>
      <c r="C351" s="2">
        <f ca="1">INDEX(Simulations!$A$1:$BK$2501, 351, MATCH("RevCAGR", Simulations!$A$1:$BK$1, 0))</f>
        <v>-1.2512965999627916E-2</v>
      </c>
      <c r="D351" s="2">
        <f ca="1">INDEX(Simulations!$A$1:$BK$2501, 351, MATCH("SynMargin", Simulations!$A$1:$BK$1, 0))</f>
        <v>1.4366839273858959E-2</v>
      </c>
      <c r="E351" s="2">
        <f ca="1">INDEX(Simulations!$A$1:$BK$2501, 351, MATCH("Yr1Shock", Simulations!$A$1:$BK$1, 0))</f>
        <v>-1.571354631981486E-2</v>
      </c>
    </row>
    <row r="352" spans="1:5" x14ac:dyDescent="0.3">
      <c r="A352" s="2">
        <f ca="1">INDEX(Simulations!$A$1:$BK$2501, 352, MATCH("PurchaseMultiple", Simulations!$A$1:$BK$1, 0))</f>
        <v>7.0546578974692284</v>
      </c>
      <c r="B352" s="2">
        <f ca="1">INDEX(Simulations!$A$1:$BK$2501, 352, MATCH("ExitMultiple", Simulations!$A$1:$BK$1, 0))</f>
        <v>7.4964877506236487</v>
      </c>
      <c r="C352" s="2">
        <f ca="1">INDEX(Simulations!$A$1:$BK$2501, 352, MATCH("RevCAGR", Simulations!$A$1:$BK$1, 0))</f>
        <v>1.4994414426409506E-2</v>
      </c>
      <c r="D352" s="2">
        <f ca="1">INDEX(Simulations!$A$1:$BK$2501, 352, MATCH("SynMargin", Simulations!$A$1:$BK$1, 0))</f>
        <v>1.1792885304701035E-2</v>
      </c>
      <c r="E352" s="2">
        <f ca="1">INDEX(Simulations!$A$1:$BK$2501, 352, MATCH("Yr1Shock", Simulations!$A$1:$BK$1, 0))</f>
        <v>3.4359997562535778E-2</v>
      </c>
    </row>
    <row r="353" spans="1:5" x14ac:dyDescent="0.3">
      <c r="A353" s="2">
        <f ca="1">INDEX(Simulations!$A$1:$BK$2501, 353, MATCH("PurchaseMultiple", Simulations!$A$1:$BK$1, 0))</f>
        <v>7.5855941939606124</v>
      </c>
      <c r="B353" s="2">
        <f ca="1">INDEX(Simulations!$A$1:$BK$2501, 353, MATCH("ExitMultiple", Simulations!$A$1:$BK$1, 0))</f>
        <v>7.9453317640770376</v>
      </c>
      <c r="C353" s="2">
        <f ca="1">INDEX(Simulations!$A$1:$BK$2501, 353, MATCH("RevCAGR", Simulations!$A$1:$BK$1, 0))</f>
        <v>5.1127348295959427E-2</v>
      </c>
      <c r="D353" s="2">
        <f ca="1">INDEX(Simulations!$A$1:$BK$2501, 353, MATCH("SynMargin", Simulations!$A$1:$BK$1, 0))</f>
        <v>4.1589343195683227E-3</v>
      </c>
      <c r="E353" s="2">
        <f ca="1">INDEX(Simulations!$A$1:$BK$2501, 353, MATCH("Yr1Shock", Simulations!$A$1:$BK$1, 0))</f>
        <v>-4.5238638329592453E-3</v>
      </c>
    </row>
    <row r="354" spans="1:5" x14ac:dyDescent="0.3">
      <c r="A354" s="2">
        <f ca="1">INDEX(Simulations!$A$1:$BK$2501, 354, MATCH("PurchaseMultiple", Simulations!$A$1:$BK$1, 0))</f>
        <v>6.9563660585030727</v>
      </c>
      <c r="B354" s="2">
        <f ca="1">INDEX(Simulations!$A$1:$BK$2501, 354, MATCH("ExitMultiple", Simulations!$A$1:$BK$1, 0))</f>
        <v>8.2622225237860079</v>
      </c>
      <c r="C354" s="2">
        <f ca="1">INDEX(Simulations!$A$1:$BK$2501, 354, MATCH("RevCAGR", Simulations!$A$1:$BK$1, 0))</f>
        <v>2.3127695776939031E-2</v>
      </c>
      <c r="D354" s="2">
        <f ca="1">INDEX(Simulations!$A$1:$BK$2501, 354, MATCH("SynMargin", Simulations!$A$1:$BK$1, 0))</f>
        <v>2.0798190687823126E-2</v>
      </c>
      <c r="E354" s="2">
        <f ca="1">INDEX(Simulations!$A$1:$BK$2501, 354, MATCH("Yr1Shock", Simulations!$A$1:$BK$1, 0))</f>
        <v>-7.1297791911283026E-3</v>
      </c>
    </row>
    <row r="355" spans="1:5" x14ac:dyDescent="0.3">
      <c r="A355" s="2">
        <f ca="1">INDEX(Simulations!$A$1:$BK$2501, 355, MATCH("PurchaseMultiple", Simulations!$A$1:$BK$1, 0))</f>
        <v>6.8968257865527773</v>
      </c>
      <c r="B355" s="2">
        <f ca="1">INDEX(Simulations!$A$1:$BK$2501, 355, MATCH("ExitMultiple", Simulations!$A$1:$BK$1, 0))</f>
        <v>7.4128388959635423</v>
      </c>
      <c r="C355" s="2">
        <f ca="1">INDEX(Simulations!$A$1:$BK$2501, 355, MATCH("RevCAGR", Simulations!$A$1:$BK$1, 0))</f>
        <v>1.9328564984385056E-2</v>
      </c>
      <c r="D355" s="2">
        <f ca="1">INDEX(Simulations!$A$1:$BK$2501, 355, MATCH("SynMargin", Simulations!$A$1:$BK$1, 0))</f>
        <v>4.3342064608558571E-3</v>
      </c>
      <c r="E355" s="2">
        <f ca="1">INDEX(Simulations!$A$1:$BK$2501, 355, MATCH("Yr1Shock", Simulations!$A$1:$BK$1, 0))</f>
        <v>9.3486958725592911E-3</v>
      </c>
    </row>
    <row r="356" spans="1:5" x14ac:dyDescent="0.3">
      <c r="A356" s="2">
        <f ca="1">INDEX(Simulations!$A$1:$BK$2501, 356, MATCH("PurchaseMultiple", Simulations!$A$1:$BK$1, 0))</f>
        <v>6.6939937951251789</v>
      </c>
      <c r="B356" s="2">
        <f ca="1">INDEX(Simulations!$A$1:$BK$2501, 356, MATCH("ExitMultiple", Simulations!$A$1:$BK$1, 0))</f>
        <v>6.6200009499031012</v>
      </c>
      <c r="C356" s="2">
        <f ca="1">INDEX(Simulations!$A$1:$BK$2501, 356, MATCH("RevCAGR", Simulations!$A$1:$BK$1, 0))</f>
        <v>8.3423612948498455E-2</v>
      </c>
      <c r="D356" s="2">
        <f ca="1">INDEX(Simulations!$A$1:$BK$2501, 356, MATCH("SynMargin", Simulations!$A$1:$BK$1, 0))</f>
        <v>8.7020407418613374E-3</v>
      </c>
      <c r="E356" s="2">
        <f ca="1">INDEX(Simulations!$A$1:$BK$2501, 356, MATCH("Yr1Shock", Simulations!$A$1:$BK$1, 0))</f>
        <v>-8.0049569792062427E-3</v>
      </c>
    </row>
    <row r="357" spans="1:5" x14ac:dyDescent="0.3">
      <c r="A357" s="2">
        <f ca="1">INDEX(Simulations!$A$1:$BK$2501, 357, MATCH("PurchaseMultiple", Simulations!$A$1:$BK$1, 0))</f>
        <v>7.6783087992825418</v>
      </c>
      <c r="B357" s="2">
        <f ca="1">INDEX(Simulations!$A$1:$BK$2501, 357, MATCH("ExitMultiple", Simulations!$A$1:$BK$1, 0))</f>
        <v>7.5169026861010906</v>
      </c>
      <c r="C357" s="2">
        <f ca="1">INDEX(Simulations!$A$1:$BK$2501, 357, MATCH("RevCAGR", Simulations!$A$1:$BK$1, 0))</f>
        <v>8.9440296415608453E-3</v>
      </c>
      <c r="D357" s="2">
        <f ca="1">INDEX(Simulations!$A$1:$BK$2501, 357, MATCH("SynMargin", Simulations!$A$1:$BK$1, 0))</f>
        <v>5.8594722590255503E-3</v>
      </c>
      <c r="E357" s="2">
        <f ca="1">INDEX(Simulations!$A$1:$BK$2501, 357, MATCH("Yr1Shock", Simulations!$A$1:$BK$1, 0))</f>
        <v>2.5858989529870804E-3</v>
      </c>
    </row>
    <row r="358" spans="1:5" x14ac:dyDescent="0.3">
      <c r="A358" s="2">
        <f ca="1">INDEX(Simulations!$A$1:$BK$2501, 358, MATCH("PurchaseMultiple", Simulations!$A$1:$BK$1, 0))</f>
        <v>7.4169766807040691</v>
      </c>
      <c r="B358" s="2">
        <f ca="1">INDEX(Simulations!$A$1:$BK$2501, 358, MATCH("ExitMultiple", Simulations!$A$1:$BK$1, 0))</f>
        <v>6.9385841573102596</v>
      </c>
      <c r="C358" s="2">
        <f ca="1">INDEX(Simulations!$A$1:$BK$2501, 358, MATCH("RevCAGR", Simulations!$A$1:$BK$1, 0))</f>
        <v>-1.7558279773141561E-2</v>
      </c>
      <c r="D358" s="2">
        <f ca="1">INDEX(Simulations!$A$1:$BK$2501, 358, MATCH("SynMargin", Simulations!$A$1:$BK$1, 0))</f>
        <v>1.5391216048017579E-2</v>
      </c>
      <c r="E358" s="2">
        <f ca="1">INDEX(Simulations!$A$1:$BK$2501, 358, MATCH("Yr1Shock", Simulations!$A$1:$BK$1, 0))</f>
        <v>-1.4322668081898643E-2</v>
      </c>
    </row>
    <row r="359" spans="1:5" x14ac:dyDescent="0.3">
      <c r="A359" s="2">
        <f ca="1">INDEX(Simulations!$A$1:$BK$2501, 359, MATCH("PurchaseMultiple", Simulations!$A$1:$BK$1, 0))</f>
        <v>6.9670561998864411</v>
      </c>
      <c r="B359" s="2">
        <f ca="1">INDEX(Simulations!$A$1:$BK$2501, 359, MATCH("ExitMultiple", Simulations!$A$1:$BK$1, 0))</f>
        <v>7.3747095069113477</v>
      </c>
      <c r="C359" s="2">
        <f ca="1">INDEX(Simulations!$A$1:$BK$2501, 359, MATCH("RevCAGR", Simulations!$A$1:$BK$1, 0))</f>
        <v>5.6449304896149417E-2</v>
      </c>
      <c r="D359" s="2">
        <f ca="1">INDEX(Simulations!$A$1:$BK$2501, 359, MATCH("SynMargin", Simulations!$A$1:$BK$1, 0))</f>
        <v>9.4194969669271107E-3</v>
      </c>
      <c r="E359" s="2">
        <f ca="1">INDEX(Simulations!$A$1:$BK$2501, 359, MATCH("Yr1Shock", Simulations!$A$1:$BK$1, 0))</f>
        <v>-5.4200404000519665E-4</v>
      </c>
    </row>
    <row r="360" spans="1:5" x14ac:dyDescent="0.3">
      <c r="A360" s="2">
        <f ca="1">INDEX(Simulations!$A$1:$BK$2501, 360, MATCH("PurchaseMultiple", Simulations!$A$1:$BK$1, 0))</f>
        <v>6.5474827203250223</v>
      </c>
      <c r="B360" s="2">
        <f ca="1">INDEX(Simulations!$A$1:$BK$2501, 360, MATCH("ExitMultiple", Simulations!$A$1:$BK$1, 0))</f>
        <v>7.6462698391417474</v>
      </c>
      <c r="C360" s="2">
        <f ca="1">INDEX(Simulations!$A$1:$BK$2501, 360, MATCH("RevCAGR", Simulations!$A$1:$BK$1, 0))</f>
        <v>1.755176714059482E-2</v>
      </c>
      <c r="D360" s="2">
        <f ca="1">INDEX(Simulations!$A$1:$BK$2501, 360, MATCH("SynMargin", Simulations!$A$1:$BK$1, 0))</f>
        <v>7.1010478275254762E-3</v>
      </c>
      <c r="E360" s="2">
        <f ca="1">INDEX(Simulations!$A$1:$BK$2501, 360, MATCH("Yr1Shock", Simulations!$A$1:$BK$1, 0))</f>
        <v>-2.3579388743779621E-2</v>
      </c>
    </row>
    <row r="361" spans="1:5" x14ac:dyDescent="0.3">
      <c r="A361" s="2">
        <f ca="1">INDEX(Simulations!$A$1:$BK$2501, 361, MATCH("PurchaseMultiple", Simulations!$A$1:$BK$1, 0))</f>
        <v>7.5441740206725836</v>
      </c>
      <c r="B361" s="2">
        <f ca="1">INDEX(Simulations!$A$1:$BK$2501, 361, MATCH("ExitMultiple", Simulations!$A$1:$BK$1, 0))</f>
        <v>7.4579122496378041</v>
      </c>
      <c r="C361" s="2">
        <f ca="1">INDEX(Simulations!$A$1:$BK$2501, 361, MATCH("RevCAGR", Simulations!$A$1:$BK$1, 0))</f>
        <v>4.4433257349787016E-2</v>
      </c>
      <c r="D361" s="2">
        <f ca="1">INDEX(Simulations!$A$1:$BK$2501, 361, MATCH("SynMargin", Simulations!$A$1:$BK$1, 0))</f>
        <v>1.7941353760462988E-2</v>
      </c>
      <c r="E361" s="2">
        <f ca="1">INDEX(Simulations!$A$1:$BK$2501, 361, MATCH("Yr1Shock", Simulations!$A$1:$BK$1, 0))</f>
        <v>-9.3442767862080695E-4</v>
      </c>
    </row>
    <row r="362" spans="1:5" x14ac:dyDescent="0.3">
      <c r="A362" s="2">
        <f ca="1">INDEX(Simulations!$A$1:$BK$2501, 362, MATCH("PurchaseMultiple", Simulations!$A$1:$BK$1, 0))</f>
        <v>6.777956553170867</v>
      </c>
      <c r="B362" s="2">
        <f ca="1">INDEX(Simulations!$A$1:$BK$2501, 362, MATCH("ExitMultiple", Simulations!$A$1:$BK$1, 0))</f>
        <v>8.3451114549217085</v>
      </c>
      <c r="C362" s="2">
        <f ca="1">INDEX(Simulations!$A$1:$BK$2501, 362, MATCH("RevCAGR", Simulations!$A$1:$BK$1, 0))</f>
        <v>3.6773908578413735E-2</v>
      </c>
      <c r="D362" s="2">
        <f ca="1">INDEX(Simulations!$A$1:$BK$2501, 362, MATCH("SynMargin", Simulations!$A$1:$BK$1, 0))</f>
        <v>1.7564646527271337E-3</v>
      </c>
      <c r="E362" s="2">
        <f ca="1">INDEX(Simulations!$A$1:$BK$2501, 362, MATCH("Yr1Shock", Simulations!$A$1:$BK$1, 0))</f>
        <v>1.0665874866359849E-2</v>
      </c>
    </row>
    <row r="363" spans="1:5" x14ac:dyDescent="0.3">
      <c r="A363" s="2">
        <f ca="1">INDEX(Simulations!$A$1:$BK$2501, 363, MATCH("PurchaseMultiple", Simulations!$A$1:$BK$1, 0))</f>
        <v>6.3254304314517142</v>
      </c>
      <c r="B363" s="2">
        <f ca="1">INDEX(Simulations!$A$1:$BK$2501, 363, MATCH("ExitMultiple", Simulations!$A$1:$BK$1, 0))</f>
        <v>7.5844637427577863</v>
      </c>
      <c r="C363" s="2">
        <f ca="1">INDEX(Simulations!$A$1:$BK$2501, 363, MATCH("RevCAGR", Simulations!$A$1:$BK$1, 0))</f>
        <v>6.4276463632078201E-3</v>
      </c>
      <c r="D363" s="2">
        <f ca="1">INDEX(Simulations!$A$1:$BK$2501, 363, MATCH("SynMargin", Simulations!$A$1:$BK$1, 0))</f>
        <v>3.983860937539818E-3</v>
      </c>
      <c r="E363" s="2">
        <f ca="1">INDEX(Simulations!$A$1:$BK$2501, 363, MATCH("Yr1Shock", Simulations!$A$1:$BK$1, 0))</f>
        <v>-6.1373093757281496E-3</v>
      </c>
    </row>
    <row r="364" spans="1:5" x14ac:dyDescent="0.3">
      <c r="A364" s="2">
        <f ca="1">INDEX(Simulations!$A$1:$BK$2501, 364, MATCH("PurchaseMultiple", Simulations!$A$1:$BK$1, 0))</f>
        <v>6.2388922971630798</v>
      </c>
      <c r="B364" s="2">
        <f ca="1">INDEX(Simulations!$A$1:$BK$2501, 364, MATCH("ExitMultiple", Simulations!$A$1:$BK$1, 0))</f>
        <v>7.487702083676643</v>
      </c>
      <c r="C364" s="2">
        <f ca="1">INDEX(Simulations!$A$1:$BK$2501, 364, MATCH("RevCAGR", Simulations!$A$1:$BK$1, 0))</f>
        <v>8.5899839985971976E-2</v>
      </c>
      <c r="D364" s="2">
        <f ca="1">INDEX(Simulations!$A$1:$BK$2501, 364, MATCH("SynMargin", Simulations!$A$1:$BK$1, 0))</f>
        <v>1.072612197252144E-2</v>
      </c>
      <c r="E364" s="2">
        <f ca="1">INDEX(Simulations!$A$1:$BK$2501, 364, MATCH("Yr1Shock", Simulations!$A$1:$BK$1, 0))</f>
        <v>-2.2457988411382409E-2</v>
      </c>
    </row>
    <row r="365" spans="1:5" x14ac:dyDescent="0.3">
      <c r="A365" s="2">
        <f ca="1">INDEX(Simulations!$A$1:$BK$2501, 365, MATCH("PurchaseMultiple", Simulations!$A$1:$BK$1, 0))</f>
        <v>7.5139208749453985</v>
      </c>
      <c r="B365" s="2">
        <f ca="1">INDEX(Simulations!$A$1:$BK$2501, 365, MATCH("ExitMultiple", Simulations!$A$1:$BK$1, 0))</f>
        <v>7.1156634976244248</v>
      </c>
      <c r="C365" s="2">
        <f ca="1">INDEX(Simulations!$A$1:$BK$2501, 365, MATCH("RevCAGR", Simulations!$A$1:$BK$1, 0))</f>
        <v>4.9283492602546539E-2</v>
      </c>
      <c r="D365" s="2">
        <f ca="1">INDEX(Simulations!$A$1:$BK$2501, 365, MATCH("SynMargin", Simulations!$A$1:$BK$1, 0))</f>
        <v>1.3683287233206358E-2</v>
      </c>
      <c r="E365" s="2">
        <f ca="1">INDEX(Simulations!$A$1:$BK$2501, 365, MATCH("Yr1Shock", Simulations!$A$1:$BK$1, 0))</f>
        <v>2.2238057805132879E-2</v>
      </c>
    </row>
    <row r="366" spans="1:5" x14ac:dyDescent="0.3">
      <c r="A366" s="2">
        <f ca="1">INDEX(Simulations!$A$1:$BK$2501, 366, MATCH("PurchaseMultiple", Simulations!$A$1:$BK$1, 0))</f>
        <v>6.9668808150549593</v>
      </c>
      <c r="B366" s="2">
        <f ca="1">INDEX(Simulations!$A$1:$BK$2501, 366, MATCH("ExitMultiple", Simulations!$A$1:$BK$1, 0))</f>
        <v>7.0874714581295635</v>
      </c>
      <c r="C366" s="2">
        <f ca="1">INDEX(Simulations!$A$1:$BK$2501, 366, MATCH("RevCAGR", Simulations!$A$1:$BK$1, 0))</f>
        <v>7.3174111334935343E-2</v>
      </c>
      <c r="D366" s="2">
        <f ca="1">INDEX(Simulations!$A$1:$BK$2501, 366, MATCH("SynMargin", Simulations!$A$1:$BK$1, 0))</f>
        <v>6.3940782527072467E-3</v>
      </c>
      <c r="E366" s="2">
        <f ca="1">INDEX(Simulations!$A$1:$BK$2501, 366, MATCH("Yr1Shock", Simulations!$A$1:$BK$1, 0))</f>
        <v>-2.4161764395377525E-2</v>
      </c>
    </row>
    <row r="367" spans="1:5" x14ac:dyDescent="0.3">
      <c r="A367" s="2">
        <f ca="1">INDEX(Simulations!$A$1:$BK$2501, 367, MATCH("PurchaseMultiple", Simulations!$A$1:$BK$1, 0))</f>
        <v>7.2949083205976599</v>
      </c>
      <c r="B367" s="2">
        <f ca="1">INDEX(Simulations!$A$1:$BK$2501, 367, MATCH("ExitMultiple", Simulations!$A$1:$BK$1, 0))</f>
        <v>7.4864263149620642</v>
      </c>
      <c r="C367" s="2">
        <f ca="1">INDEX(Simulations!$A$1:$BK$2501, 367, MATCH("RevCAGR", Simulations!$A$1:$BK$1, 0))</f>
        <v>8.1103156427109108E-2</v>
      </c>
      <c r="D367" s="2">
        <f ca="1">INDEX(Simulations!$A$1:$BK$2501, 367, MATCH("SynMargin", Simulations!$A$1:$BK$1, 0))</f>
        <v>1.7521433224848955E-2</v>
      </c>
      <c r="E367" s="2">
        <f ca="1">INDEX(Simulations!$A$1:$BK$2501, 367, MATCH("Yr1Shock", Simulations!$A$1:$BK$1, 0))</f>
        <v>-2.759915568251926E-2</v>
      </c>
    </row>
    <row r="368" spans="1:5" x14ac:dyDescent="0.3">
      <c r="A368" s="2">
        <f ca="1">INDEX(Simulations!$A$1:$BK$2501, 368, MATCH("PurchaseMultiple", Simulations!$A$1:$BK$1, 0))</f>
        <v>6.7411265405330232</v>
      </c>
      <c r="B368" s="2">
        <f ca="1">INDEX(Simulations!$A$1:$BK$2501, 368, MATCH("ExitMultiple", Simulations!$A$1:$BK$1, 0))</f>
        <v>7.5959812721700839</v>
      </c>
      <c r="C368" s="2">
        <f ca="1">INDEX(Simulations!$A$1:$BK$2501, 368, MATCH("RevCAGR", Simulations!$A$1:$BK$1, 0))</f>
        <v>4.5255349594525547E-2</v>
      </c>
      <c r="D368" s="2">
        <f ca="1">INDEX(Simulations!$A$1:$BK$2501, 368, MATCH("SynMargin", Simulations!$A$1:$BK$1, 0))</f>
        <v>1.1282185134061859E-3</v>
      </c>
      <c r="E368" s="2">
        <f ca="1">INDEX(Simulations!$A$1:$BK$2501, 368, MATCH("Yr1Shock", Simulations!$A$1:$BK$1, 0))</f>
        <v>1.474985241060868E-2</v>
      </c>
    </row>
    <row r="369" spans="1:5" x14ac:dyDescent="0.3">
      <c r="A369" s="2">
        <f ca="1">INDEX(Simulations!$A$1:$BK$2501, 369, MATCH("PurchaseMultiple", Simulations!$A$1:$BK$1, 0))</f>
        <v>7.0939339047364642</v>
      </c>
      <c r="B369" s="2">
        <f ca="1">INDEX(Simulations!$A$1:$BK$2501, 369, MATCH("ExitMultiple", Simulations!$A$1:$BK$1, 0))</f>
        <v>7.992584227721502</v>
      </c>
      <c r="C369" s="2">
        <f ca="1">INDEX(Simulations!$A$1:$BK$2501, 369, MATCH("RevCAGR", Simulations!$A$1:$BK$1, 0))</f>
        <v>5.5308400418036002E-2</v>
      </c>
      <c r="D369" s="2">
        <f ca="1">INDEX(Simulations!$A$1:$BK$2501, 369, MATCH("SynMargin", Simulations!$A$1:$BK$1, 0))</f>
        <v>1.8855518225840223E-2</v>
      </c>
      <c r="E369" s="2">
        <f ca="1">INDEX(Simulations!$A$1:$BK$2501, 369, MATCH("Yr1Shock", Simulations!$A$1:$BK$1, 0))</f>
        <v>1.2419682207568058E-3</v>
      </c>
    </row>
    <row r="370" spans="1:5" x14ac:dyDescent="0.3">
      <c r="A370" s="2">
        <f ca="1">INDEX(Simulations!$A$1:$BK$2501, 370, MATCH("PurchaseMultiple", Simulations!$A$1:$BK$1, 0))</f>
        <v>7.0883611333682541</v>
      </c>
      <c r="B370" s="2">
        <f ca="1">INDEX(Simulations!$A$1:$BK$2501, 370, MATCH("ExitMultiple", Simulations!$A$1:$BK$1, 0))</f>
        <v>6.8898079832865138</v>
      </c>
      <c r="C370" s="2">
        <f ca="1">INDEX(Simulations!$A$1:$BK$2501, 370, MATCH("RevCAGR", Simulations!$A$1:$BK$1, 0))</f>
        <v>8.0651664338256893E-2</v>
      </c>
      <c r="D370" s="2">
        <f ca="1">INDEX(Simulations!$A$1:$BK$2501, 370, MATCH("SynMargin", Simulations!$A$1:$BK$1, 0))</f>
        <v>1.5826487291305737E-2</v>
      </c>
      <c r="E370" s="2">
        <f ca="1">INDEX(Simulations!$A$1:$BK$2501, 370, MATCH("Yr1Shock", Simulations!$A$1:$BK$1, 0))</f>
        <v>-5.2265029983707611E-3</v>
      </c>
    </row>
    <row r="371" spans="1:5" x14ac:dyDescent="0.3">
      <c r="A371" s="2">
        <f ca="1">INDEX(Simulations!$A$1:$BK$2501, 371, MATCH("PurchaseMultiple", Simulations!$A$1:$BK$1, 0))</f>
        <v>6.9222124764759005</v>
      </c>
      <c r="B371" s="2">
        <f ca="1">INDEX(Simulations!$A$1:$BK$2501, 371, MATCH("ExitMultiple", Simulations!$A$1:$BK$1, 0))</f>
        <v>7.74220157703685</v>
      </c>
      <c r="C371" s="2">
        <f ca="1">INDEX(Simulations!$A$1:$BK$2501, 371, MATCH("RevCAGR", Simulations!$A$1:$BK$1, 0))</f>
        <v>4.3428298747882003E-2</v>
      </c>
      <c r="D371" s="2">
        <f ca="1">INDEX(Simulations!$A$1:$BK$2501, 371, MATCH("SynMargin", Simulations!$A$1:$BK$1, 0))</f>
        <v>4.2462714720116288E-3</v>
      </c>
      <c r="E371" s="2">
        <f ca="1">INDEX(Simulations!$A$1:$BK$2501, 371, MATCH("Yr1Shock", Simulations!$A$1:$BK$1, 0))</f>
        <v>1.6077880163566354E-2</v>
      </c>
    </row>
    <row r="372" spans="1:5" x14ac:dyDescent="0.3">
      <c r="A372" s="2">
        <f ca="1">INDEX(Simulations!$A$1:$BK$2501, 372, MATCH("PurchaseMultiple", Simulations!$A$1:$BK$1, 0))</f>
        <v>7.5112178692189637</v>
      </c>
      <c r="B372" s="2">
        <f ca="1">INDEX(Simulations!$A$1:$BK$2501, 372, MATCH("ExitMultiple", Simulations!$A$1:$BK$1, 0))</f>
        <v>7.1538118301579861</v>
      </c>
      <c r="C372" s="2">
        <f ca="1">INDEX(Simulations!$A$1:$BK$2501, 372, MATCH("RevCAGR", Simulations!$A$1:$BK$1, 0))</f>
        <v>3.7089278562479844E-2</v>
      </c>
      <c r="D372" s="2">
        <f ca="1">INDEX(Simulations!$A$1:$BK$2501, 372, MATCH("SynMargin", Simulations!$A$1:$BK$1, 0))</f>
        <v>1.618348285553417E-2</v>
      </c>
      <c r="E372" s="2">
        <f ca="1">INDEX(Simulations!$A$1:$BK$2501, 372, MATCH("Yr1Shock", Simulations!$A$1:$BK$1, 0))</f>
        <v>9.1212990066682296E-3</v>
      </c>
    </row>
    <row r="373" spans="1:5" x14ac:dyDescent="0.3">
      <c r="A373" s="2">
        <f ca="1">INDEX(Simulations!$A$1:$BK$2501, 373, MATCH("PurchaseMultiple", Simulations!$A$1:$BK$1, 0))</f>
        <v>7.1517379637419625</v>
      </c>
      <c r="B373" s="2">
        <f ca="1">INDEX(Simulations!$A$1:$BK$2501, 373, MATCH("ExitMultiple", Simulations!$A$1:$BK$1, 0))</f>
        <v>7.806405966005074</v>
      </c>
      <c r="C373" s="2">
        <f ca="1">INDEX(Simulations!$A$1:$BK$2501, 373, MATCH("RevCAGR", Simulations!$A$1:$BK$1, 0))</f>
        <v>2.1147651209366292E-2</v>
      </c>
      <c r="D373" s="2">
        <f ca="1">INDEX(Simulations!$A$1:$BK$2501, 373, MATCH("SynMargin", Simulations!$A$1:$BK$1, 0))</f>
        <v>1.1707949251173889E-2</v>
      </c>
      <c r="E373" s="2">
        <f ca="1">INDEX(Simulations!$A$1:$BK$2501, 373, MATCH("Yr1Shock", Simulations!$A$1:$BK$1, 0))</f>
        <v>4.8443298687544361E-3</v>
      </c>
    </row>
    <row r="374" spans="1:5" x14ac:dyDescent="0.3">
      <c r="A374" s="2">
        <f ca="1">INDEX(Simulations!$A$1:$BK$2501, 374, MATCH("PurchaseMultiple", Simulations!$A$1:$BK$1, 0))</f>
        <v>7.3653332794459452</v>
      </c>
      <c r="B374" s="2">
        <f ca="1">INDEX(Simulations!$A$1:$BK$2501, 374, MATCH("ExitMultiple", Simulations!$A$1:$BK$1, 0))</f>
        <v>7.1578182776765793</v>
      </c>
      <c r="C374" s="2">
        <f ca="1">INDEX(Simulations!$A$1:$BK$2501, 374, MATCH("RevCAGR", Simulations!$A$1:$BK$1, 0))</f>
        <v>3.9893817218352633E-2</v>
      </c>
      <c r="D374" s="2">
        <f ca="1">INDEX(Simulations!$A$1:$BK$2501, 374, MATCH("SynMargin", Simulations!$A$1:$BK$1, 0))</f>
        <v>6.7143703373708456E-3</v>
      </c>
      <c r="E374" s="2">
        <f ca="1">INDEX(Simulations!$A$1:$BK$2501, 374, MATCH("Yr1Shock", Simulations!$A$1:$BK$1, 0))</f>
        <v>3.5706392005047814E-5</v>
      </c>
    </row>
    <row r="375" spans="1:5" x14ac:dyDescent="0.3">
      <c r="A375" s="2">
        <f ca="1">INDEX(Simulations!$A$1:$BK$2501, 375, MATCH("PurchaseMultiple", Simulations!$A$1:$BK$1, 0))</f>
        <v>7.040825035942297</v>
      </c>
      <c r="B375" s="2">
        <f ca="1">INDEX(Simulations!$A$1:$BK$2501, 375, MATCH("ExitMultiple", Simulations!$A$1:$BK$1, 0))</f>
        <v>7.3004132879815167</v>
      </c>
      <c r="C375" s="2">
        <f ca="1">INDEX(Simulations!$A$1:$BK$2501, 375, MATCH("RevCAGR", Simulations!$A$1:$BK$1, 0))</f>
        <v>2.7728662319596344E-2</v>
      </c>
      <c r="D375" s="2">
        <f ca="1">INDEX(Simulations!$A$1:$BK$2501, 375, MATCH("SynMargin", Simulations!$A$1:$BK$1, 0))</f>
        <v>6.6130800514467743E-3</v>
      </c>
      <c r="E375" s="2">
        <f ca="1">INDEX(Simulations!$A$1:$BK$2501, 375, MATCH("Yr1Shock", Simulations!$A$1:$BK$1, 0))</f>
        <v>1.7717239008315039E-2</v>
      </c>
    </row>
    <row r="376" spans="1:5" x14ac:dyDescent="0.3">
      <c r="A376" s="2">
        <f ca="1">INDEX(Simulations!$A$1:$BK$2501, 376, MATCH("PurchaseMultiple", Simulations!$A$1:$BK$1, 0))</f>
        <v>6.8520146481600532</v>
      </c>
      <c r="B376" s="2">
        <f ca="1">INDEX(Simulations!$A$1:$BK$2501, 376, MATCH("ExitMultiple", Simulations!$A$1:$BK$1, 0))</f>
        <v>7.1923124870923028</v>
      </c>
      <c r="C376" s="2">
        <f ca="1">INDEX(Simulations!$A$1:$BK$2501, 376, MATCH("RevCAGR", Simulations!$A$1:$BK$1, 0))</f>
        <v>2.686260873156765E-2</v>
      </c>
      <c r="D376" s="2">
        <f ca="1">INDEX(Simulations!$A$1:$BK$2501, 376, MATCH("SynMargin", Simulations!$A$1:$BK$1, 0))</f>
        <v>1.3305470305739961E-2</v>
      </c>
      <c r="E376" s="2">
        <f ca="1">INDEX(Simulations!$A$1:$BK$2501, 376, MATCH("Yr1Shock", Simulations!$A$1:$BK$1, 0))</f>
        <v>-6.4579244095174775E-3</v>
      </c>
    </row>
    <row r="377" spans="1:5" x14ac:dyDescent="0.3">
      <c r="A377" s="2">
        <f ca="1">INDEX(Simulations!$A$1:$BK$2501, 377, MATCH("PurchaseMultiple", Simulations!$A$1:$BK$1, 0))</f>
        <v>7.0125613273154643</v>
      </c>
      <c r="B377" s="2">
        <f ca="1">INDEX(Simulations!$A$1:$BK$2501, 377, MATCH("ExitMultiple", Simulations!$A$1:$BK$1, 0))</f>
        <v>7.5796006585467257</v>
      </c>
      <c r="C377" s="2">
        <f ca="1">INDEX(Simulations!$A$1:$BK$2501, 377, MATCH("RevCAGR", Simulations!$A$1:$BK$1, 0))</f>
        <v>5.0054203023100874E-2</v>
      </c>
      <c r="D377" s="2">
        <f ca="1">INDEX(Simulations!$A$1:$BK$2501, 377, MATCH("SynMargin", Simulations!$A$1:$BK$1, 0))</f>
        <v>3.925539220058314E-4</v>
      </c>
      <c r="E377" s="2">
        <f ca="1">INDEX(Simulations!$A$1:$BK$2501, 377, MATCH("Yr1Shock", Simulations!$A$1:$BK$1, 0))</f>
        <v>-4.1096301786375218E-3</v>
      </c>
    </row>
    <row r="378" spans="1:5" x14ac:dyDescent="0.3">
      <c r="A378" s="2">
        <f ca="1">INDEX(Simulations!$A$1:$BK$2501, 378, MATCH("PurchaseMultiple", Simulations!$A$1:$BK$1, 0))</f>
        <v>6.532888951744396</v>
      </c>
      <c r="B378" s="2">
        <f ca="1">INDEX(Simulations!$A$1:$BK$2501, 378, MATCH("ExitMultiple", Simulations!$A$1:$BK$1, 0))</f>
        <v>8.032504498496321</v>
      </c>
      <c r="C378" s="2">
        <f ca="1">INDEX(Simulations!$A$1:$BK$2501, 378, MATCH("RevCAGR", Simulations!$A$1:$BK$1, 0))</f>
        <v>5.4078273033577595E-3</v>
      </c>
      <c r="D378" s="2">
        <f ca="1">INDEX(Simulations!$A$1:$BK$2501, 378, MATCH("SynMargin", Simulations!$A$1:$BK$1, 0))</f>
        <v>1.807325414665965E-3</v>
      </c>
      <c r="E378" s="2">
        <f ca="1">INDEX(Simulations!$A$1:$BK$2501, 378, MATCH("Yr1Shock", Simulations!$A$1:$BK$1, 0))</f>
        <v>1.8926068758504732E-2</v>
      </c>
    </row>
    <row r="379" spans="1:5" x14ac:dyDescent="0.3">
      <c r="A379" s="2">
        <f ca="1">INDEX(Simulations!$A$1:$BK$2501, 379, MATCH("PurchaseMultiple", Simulations!$A$1:$BK$1, 0))</f>
        <v>6.5582853332740969</v>
      </c>
      <c r="B379" s="2">
        <f ca="1">INDEX(Simulations!$A$1:$BK$2501, 379, MATCH("ExitMultiple", Simulations!$A$1:$BK$1, 0))</f>
        <v>6.621037314201569</v>
      </c>
      <c r="C379" s="2">
        <f ca="1">INDEX(Simulations!$A$1:$BK$2501, 379, MATCH("RevCAGR", Simulations!$A$1:$BK$1, 0))</f>
        <v>6.7791204815546874E-2</v>
      </c>
      <c r="D379" s="2">
        <f ca="1">INDEX(Simulations!$A$1:$BK$2501, 379, MATCH("SynMargin", Simulations!$A$1:$BK$1, 0))</f>
        <v>0</v>
      </c>
      <c r="E379" s="2">
        <f ca="1">INDEX(Simulations!$A$1:$BK$2501, 379, MATCH("Yr1Shock", Simulations!$A$1:$BK$1, 0))</f>
        <v>-1.689532084926969E-3</v>
      </c>
    </row>
    <row r="380" spans="1:5" x14ac:dyDescent="0.3">
      <c r="A380" s="2">
        <f ca="1">INDEX(Simulations!$A$1:$BK$2501, 380, MATCH("PurchaseMultiple", Simulations!$A$1:$BK$1, 0))</f>
        <v>6.9343969697938812</v>
      </c>
      <c r="B380" s="2">
        <f ca="1">INDEX(Simulations!$A$1:$BK$2501, 380, MATCH("ExitMultiple", Simulations!$A$1:$BK$1, 0))</f>
        <v>7.4831751889681506</v>
      </c>
      <c r="C380" s="2">
        <f ca="1">INDEX(Simulations!$A$1:$BK$2501, 380, MATCH("RevCAGR", Simulations!$A$1:$BK$1, 0))</f>
        <v>2.5827049621145341E-2</v>
      </c>
      <c r="D380" s="2">
        <f ca="1">INDEX(Simulations!$A$1:$BK$2501, 380, MATCH("SynMargin", Simulations!$A$1:$BK$1, 0))</f>
        <v>3.3559400751544547E-3</v>
      </c>
      <c r="E380" s="2">
        <f ca="1">INDEX(Simulations!$A$1:$BK$2501, 380, MATCH("Yr1Shock", Simulations!$A$1:$BK$1, 0))</f>
        <v>2.8113033905818322E-2</v>
      </c>
    </row>
    <row r="381" spans="1:5" x14ac:dyDescent="0.3">
      <c r="A381" s="2">
        <f ca="1">INDEX(Simulations!$A$1:$BK$2501, 381, MATCH("PurchaseMultiple", Simulations!$A$1:$BK$1, 0))</f>
        <v>6.8631242325439965</v>
      </c>
      <c r="B381" s="2">
        <f ca="1">INDEX(Simulations!$A$1:$BK$2501, 381, MATCH("ExitMultiple", Simulations!$A$1:$BK$1, 0))</f>
        <v>7.3079778775535154</v>
      </c>
      <c r="C381" s="2">
        <f ca="1">INDEX(Simulations!$A$1:$BK$2501, 381, MATCH("RevCAGR", Simulations!$A$1:$BK$1, 0))</f>
        <v>1.3242131048928199E-2</v>
      </c>
      <c r="D381" s="2">
        <f ca="1">INDEX(Simulations!$A$1:$BK$2501, 381, MATCH("SynMargin", Simulations!$A$1:$BK$1, 0))</f>
        <v>9.849642186436601E-4</v>
      </c>
      <c r="E381" s="2">
        <f ca="1">INDEX(Simulations!$A$1:$BK$2501, 381, MATCH("Yr1Shock", Simulations!$A$1:$BK$1, 0))</f>
        <v>2.4323271476188096E-2</v>
      </c>
    </row>
    <row r="382" spans="1:5" x14ac:dyDescent="0.3">
      <c r="A382" s="2">
        <f ca="1">INDEX(Simulations!$A$1:$BK$2501, 382, MATCH("PurchaseMultiple", Simulations!$A$1:$BK$1, 0))</f>
        <v>7.2703336657473354</v>
      </c>
      <c r="B382" s="2">
        <f ca="1">INDEX(Simulations!$A$1:$BK$2501, 382, MATCH("ExitMultiple", Simulations!$A$1:$BK$1, 0))</f>
        <v>7.2614579768533778</v>
      </c>
      <c r="C382" s="2">
        <f ca="1">INDEX(Simulations!$A$1:$BK$2501, 382, MATCH("RevCAGR", Simulations!$A$1:$BK$1, 0))</f>
        <v>8.1899123252585151E-3</v>
      </c>
      <c r="D382" s="2">
        <f ca="1">INDEX(Simulations!$A$1:$BK$2501, 382, MATCH("SynMargin", Simulations!$A$1:$BK$1, 0))</f>
        <v>1.6206813286506548E-2</v>
      </c>
      <c r="E382" s="2">
        <f ca="1">INDEX(Simulations!$A$1:$BK$2501, 382, MATCH("Yr1Shock", Simulations!$A$1:$BK$1, 0))</f>
        <v>-3.6509365397807039E-2</v>
      </c>
    </row>
    <row r="383" spans="1:5" x14ac:dyDescent="0.3">
      <c r="A383" s="2">
        <f ca="1">INDEX(Simulations!$A$1:$BK$2501, 383, MATCH("PurchaseMultiple", Simulations!$A$1:$BK$1, 0))</f>
        <v>7.0604230434788438</v>
      </c>
      <c r="B383" s="2">
        <f ca="1">INDEX(Simulations!$A$1:$BK$2501, 383, MATCH("ExitMultiple", Simulations!$A$1:$BK$1, 0))</f>
        <v>7.9993423421327883</v>
      </c>
      <c r="C383" s="2">
        <f ca="1">INDEX(Simulations!$A$1:$BK$2501, 383, MATCH("RevCAGR", Simulations!$A$1:$BK$1, 0))</f>
        <v>1.6843139516847721E-2</v>
      </c>
      <c r="D383" s="2">
        <f ca="1">INDEX(Simulations!$A$1:$BK$2501, 383, MATCH("SynMargin", Simulations!$A$1:$BK$1, 0))</f>
        <v>4.0891062453751112E-3</v>
      </c>
      <c r="E383" s="2">
        <f ca="1">INDEX(Simulations!$A$1:$BK$2501, 383, MATCH("Yr1Shock", Simulations!$A$1:$BK$1, 0))</f>
        <v>-1.9716107130767335E-2</v>
      </c>
    </row>
    <row r="384" spans="1:5" x14ac:dyDescent="0.3">
      <c r="A384" s="2">
        <f ca="1">INDEX(Simulations!$A$1:$BK$2501, 384, MATCH("PurchaseMultiple", Simulations!$A$1:$BK$1, 0))</f>
        <v>7.7601886655079175</v>
      </c>
      <c r="B384" s="2">
        <f ca="1">INDEX(Simulations!$A$1:$BK$2501, 384, MATCH("ExitMultiple", Simulations!$A$1:$BK$1, 0))</f>
        <v>7.0810415732714267</v>
      </c>
      <c r="C384" s="2">
        <f ca="1">INDEX(Simulations!$A$1:$BK$2501, 384, MATCH("RevCAGR", Simulations!$A$1:$BK$1, 0))</f>
        <v>4.6591989418892074E-2</v>
      </c>
      <c r="D384" s="2">
        <f ca="1">INDEX(Simulations!$A$1:$BK$2501, 384, MATCH("SynMargin", Simulations!$A$1:$BK$1, 0))</f>
        <v>6.9852989007601254E-3</v>
      </c>
      <c r="E384" s="2">
        <f ca="1">INDEX(Simulations!$A$1:$BK$2501, 384, MATCH("Yr1Shock", Simulations!$A$1:$BK$1, 0))</f>
        <v>1.8167525677796923E-2</v>
      </c>
    </row>
    <row r="385" spans="1:5" x14ac:dyDescent="0.3">
      <c r="A385" s="2">
        <f ca="1">INDEX(Simulations!$A$1:$BK$2501, 385, MATCH("PurchaseMultiple", Simulations!$A$1:$BK$1, 0))</f>
        <v>7.7185889503594884</v>
      </c>
      <c r="B385" s="2">
        <f ca="1">INDEX(Simulations!$A$1:$BK$2501, 385, MATCH("ExitMultiple", Simulations!$A$1:$BK$1, 0))</f>
        <v>8.1561372173081228</v>
      </c>
      <c r="C385" s="2">
        <f ca="1">INDEX(Simulations!$A$1:$BK$2501, 385, MATCH("RevCAGR", Simulations!$A$1:$BK$1, 0))</f>
        <v>-8.7819601540556347E-5</v>
      </c>
      <c r="D385" s="2">
        <f ca="1">INDEX(Simulations!$A$1:$BK$2501, 385, MATCH("SynMargin", Simulations!$A$1:$BK$1, 0))</f>
        <v>3.5344504943316084E-3</v>
      </c>
      <c r="E385" s="2">
        <f ca="1">INDEX(Simulations!$A$1:$BK$2501, 385, MATCH("Yr1Shock", Simulations!$A$1:$BK$1, 0))</f>
        <v>3.0702435384643817E-2</v>
      </c>
    </row>
    <row r="386" spans="1:5" x14ac:dyDescent="0.3">
      <c r="A386" s="2">
        <f ca="1">INDEX(Simulations!$A$1:$BK$2501, 386, MATCH("PurchaseMultiple", Simulations!$A$1:$BK$1, 0))</f>
        <v>6.6627304408176959</v>
      </c>
      <c r="B386" s="2">
        <f ca="1">INDEX(Simulations!$A$1:$BK$2501, 386, MATCH("ExitMultiple", Simulations!$A$1:$BK$1, 0))</f>
        <v>7.8014473437636074</v>
      </c>
      <c r="C386" s="2">
        <f ca="1">INDEX(Simulations!$A$1:$BK$2501, 386, MATCH("RevCAGR", Simulations!$A$1:$BK$1, 0))</f>
        <v>5.8602065773310973E-2</v>
      </c>
      <c r="D386" s="2">
        <f ca="1">INDEX(Simulations!$A$1:$BK$2501, 386, MATCH("SynMargin", Simulations!$A$1:$BK$1, 0))</f>
        <v>1.9272299835134427E-2</v>
      </c>
      <c r="E386" s="2">
        <f ca="1">INDEX(Simulations!$A$1:$BK$2501, 386, MATCH("Yr1Shock", Simulations!$A$1:$BK$1, 0))</f>
        <v>1.425503979313192E-2</v>
      </c>
    </row>
    <row r="387" spans="1:5" x14ac:dyDescent="0.3">
      <c r="A387" s="2">
        <f ca="1">INDEX(Simulations!$A$1:$BK$2501, 387, MATCH("PurchaseMultiple", Simulations!$A$1:$BK$1, 0))</f>
        <v>7.0012307234350821</v>
      </c>
      <c r="B387" s="2">
        <f ca="1">INDEX(Simulations!$A$1:$BK$2501, 387, MATCH("ExitMultiple", Simulations!$A$1:$BK$1, 0))</f>
        <v>7.4188111835099484</v>
      </c>
      <c r="C387" s="2">
        <f ca="1">INDEX(Simulations!$A$1:$BK$2501, 387, MATCH("RevCAGR", Simulations!$A$1:$BK$1, 0))</f>
        <v>0.10982873487588238</v>
      </c>
      <c r="D387" s="2">
        <f ca="1">INDEX(Simulations!$A$1:$BK$2501, 387, MATCH("SynMargin", Simulations!$A$1:$BK$1, 0))</f>
        <v>7.0119071386583022E-3</v>
      </c>
      <c r="E387" s="2">
        <f ca="1">INDEX(Simulations!$A$1:$BK$2501, 387, MATCH("Yr1Shock", Simulations!$A$1:$BK$1, 0))</f>
        <v>-1.6321163835226874E-3</v>
      </c>
    </row>
    <row r="388" spans="1:5" x14ac:dyDescent="0.3">
      <c r="A388" s="2">
        <f ca="1">INDEX(Simulations!$A$1:$BK$2501, 388, MATCH("PurchaseMultiple", Simulations!$A$1:$BK$1, 0))</f>
        <v>7.4994671340431456</v>
      </c>
      <c r="B388" s="2">
        <f ca="1">INDEX(Simulations!$A$1:$BK$2501, 388, MATCH("ExitMultiple", Simulations!$A$1:$BK$1, 0))</f>
        <v>6.7385279252427521</v>
      </c>
      <c r="C388" s="2">
        <f ca="1">INDEX(Simulations!$A$1:$BK$2501, 388, MATCH("RevCAGR", Simulations!$A$1:$BK$1, 0))</f>
        <v>2.3101974401373775E-2</v>
      </c>
      <c r="D388" s="2">
        <f ca="1">INDEX(Simulations!$A$1:$BK$2501, 388, MATCH("SynMargin", Simulations!$A$1:$BK$1, 0))</f>
        <v>1.4590866267397631E-2</v>
      </c>
      <c r="E388" s="2">
        <f ca="1">INDEX(Simulations!$A$1:$BK$2501, 388, MATCH("Yr1Shock", Simulations!$A$1:$BK$1, 0))</f>
        <v>-3.9379384575444071E-2</v>
      </c>
    </row>
    <row r="389" spans="1:5" x14ac:dyDescent="0.3">
      <c r="A389" s="2">
        <f ca="1">INDEX(Simulations!$A$1:$BK$2501, 389, MATCH("PurchaseMultiple", Simulations!$A$1:$BK$1, 0))</f>
        <v>6.1347532851491797</v>
      </c>
      <c r="B389" s="2">
        <f ca="1">INDEX(Simulations!$A$1:$BK$2501, 389, MATCH("ExitMultiple", Simulations!$A$1:$BK$1, 0))</f>
        <v>7.4716591134827688</v>
      </c>
      <c r="C389" s="2">
        <f ca="1">INDEX(Simulations!$A$1:$BK$2501, 389, MATCH("RevCAGR", Simulations!$A$1:$BK$1, 0))</f>
        <v>4.0623140988612319E-2</v>
      </c>
      <c r="D389" s="2">
        <f ca="1">INDEX(Simulations!$A$1:$BK$2501, 389, MATCH("SynMargin", Simulations!$A$1:$BK$1, 0))</f>
        <v>4.9753155590426161E-3</v>
      </c>
      <c r="E389" s="2">
        <f ca="1">INDEX(Simulations!$A$1:$BK$2501, 389, MATCH("Yr1Shock", Simulations!$A$1:$BK$1, 0))</f>
        <v>2.3365302184765353E-2</v>
      </c>
    </row>
    <row r="390" spans="1:5" x14ac:dyDescent="0.3">
      <c r="A390" s="2">
        <f ca="1">INDEX(Simulations!$A$1:$BK$2501, 390, MATCH("PurchaseMultiple", Simulations!$A$1:$BK$1, 0))</f>
        <v>7.1333095919411571</v>
      </c>
      <c r="B390" s="2">
        <f ca="1">INDEX(Simulations!$A$1:$BK$2501, 390, MATCH("ExitMultiple", Simulations!$A$1:$BK$1, 0))</f>
        <v>7.2189029738390742</v>
      </c>
      <c r="C390" s="2">
        <f ca="1">INDEX(Simulations!$A$1:$BK$2501, 390, MATCH("RevCAGR", Simulations!$A$1:$BK$1, 0))</f>
        <v>-1.3976152441458924E-2</v>
      </c>
      <c r="D390" s="2">
        <f ca="1">INDEX(Simulations!$A$1:$BK$2501, 390, MATCH("SynMargin", Simulations!$A$1:$BK$1, 0))</f>
        <v>6.1051506032142218E-3</v>
      </c>
      <c r="E390" s="2">
        <f ca="1">INDEX(Simulations!$A$1:$BK$2501, 390, MATCH("Yr1Shock", Simulations!$A$1:$BK$1, 0))</f>
        <v>9.2134224110071456E-3</v>
      </c>
    </row>
    <row r="391" spans="1:5" x14ac:dyDescent="0.3">
      <c r="A391" s="2">
        <f ca="1">INDEX(Simulations!$A$1:$BK$2501, 391, MATCH("PurchaseMultiple", Simulations!$A$1:$BK$1, 0))</f>
        <v>7.0708356591716512</v>
      </c>
      <c r="B391" s="2">
        <f ca="1">INDEX(Simulations!$A$1:$BK$2501, 391, MATCH("ExitMultiple", Simulations!$A$1:$BK$1, 0))</f>
        <v>7.6207714228381676</v>
      </c>
      <c r="C391" s="2">
        <f ca="1">INDEX(Simulations!$A$1:$BK$2501, 391, MATCH("RevCAGR", Simulations!$A$1:$BK$1, 0))</f>
        <v>5.1959200546790034E-2</v>
      </c>
      <c r="D391" s="2">
        <f ca="1">INDEX(Simulations!$A$1:$BK$2501, 391, MATCH("SynMargin", Simulations!$A$1:$BK$1, 0))</f>
        <v>6.9840247264354831E-3</v>
      </c>
      <c r="E391" s="2">
        <f ca="1">INDEX(Simulations!$A$1:$BK$2501, 391, MATCH("Yr1Shock", Simulations!$A$1:$BK$1, 0))</f>
        <v>-2.316622028990975E-2</v>
      </c>
    </row>
    <row r="392" spans="1:5" x14ac:dyDescent="0.3">
      <c r="A392" s="2">
        <f ca="1">INDEX(Simulations!$A$1:$BK$2501, 392, MATCH("PurchaseMultiple", Simulations!$A$1:$BK$1, 0))</f>
        <v>7.3448093100419394</v>
      </c>
      <c r="B392" s="2">
        <f ca="1">INDEX(Simulations!$A$1:$BK$2501, 392, MATCH("ExitMultiple", Simulations!$A$1:$BK$1, 0))</f>
        <v>7.4970501058716943</v>
      </c>
      <c r="C392" s="2">
        <f ca="1">INDEX(Simulations!$A$1:$BK$2501, 392, MATCH("RevCAGR", Simulations!$A$1:$BK$1, 0))</f>
        <v>4.22864456638921E-2</v>
      </c>
      <c r="D392" s="2">
        <f ca="1">INDEX(Simulations!$A$1:$BK$2501, 392, MATCH("SynMargin", Simulations!$A$1:$BK$1, 0))</f>
        <v>0</v>
      </c>
      <c r="E392" s="2">
        <f ca="1">INDEX(Simulations!$A$1:$BK$2501, 392, MATCH("Yr1Shock", Simulations!$A$1:$BK$1, 0))</f>
        <v>-3.9489571968125428E-2</v>
      </c>
    </row>
    <row r="393" spans="1:5" x14ac:dyDescent="0.3">
      <c r="A393" s="2">
        <f ca="1">INDEX(Simulations!$A$1:$BK$2501, 393, MATCH("PurchaseMultiple", Simulations!$A$1:$BK$1, 0))</f>
        <v>6.5041745847159493</v>
      </c>
      <c r="B393" s="2">
        <f ca="1">INDEX(Simulations!$A$1:$BK$2501, 393, MATCH("ExitMultiple", Simulations!$A$1:$BK$1, 0))</f>
        <v>7.3898333637948186</v>
      </c>
      <c r="C393" s="2">
        <f ca="1">INDEX(Simulations!$A$1:$BK$2501, 393, MATCH("RevCAGR", Simulations!$A$1:$BK$1, 0))</f>
        <v>3.4826955341106296E-2</v>
      </c>
      <c r="D393" s="2">
        <f ca="1">INDEX(Simulations!$A$1:$BK$2501, 393, MATCH("SynMargin", Simulations!$A$1:$BK$1, 0))</f>
        <v>1.306362972784292E-2</v>
      </c>
      <c r="E393" s="2">
        <f ca="1">INDEX(Simulations!$A$1:$BK$2501, 393, MATCH("Yr1Shock", Simulations!$A$1:$BK$1, 0))</f>
        <v>-0.05</v>
      </c>
    </row>
    <row r="394" spans="1:5" x14ac:dyDescent="0.3">
      <c r="A394" s="2">
        <f ca="1">INDEX(Simulations!$A$1:$BK$2501, 394, MATCH("PurchaseMultiple", Simulations!$A$1:$BK$1, 0))</f>
        <v>7.5726475239910833</v>
      </c>
      <c r="B394" s="2">
        <f ca="1">INDEX(Simulations!$A$1:$BK$2501, 394, MATCH("ExitMultiple", Simulations!$A$1:$BK$1, 0))</f>
        <v>7.042599501939133</v>
      </c>
      <c r="C394" s="2">
        <f ca="1">INDEX(Simulations!$A$1:$BK$2501, 394, MATCH("RevCAGR", Simulations!$A$1:$BK$1, 0))</f>
        <v>4.7031875502531961E-2</v>
      </c>
      <c r="D394" s="2">
        <f ca="1">INDEX(Simulations!$A$1:$BK$2501, 394, MATCH("SynMargin", Simulations!$A$1:$BK$1, 0))</f>
        <v>1.1801832933593067E-2</v>
      </c>
      <c r="E394" s="2">
        <f ca="1">INDEX(Simulations!$A$1:$BK$2501, 394, MATCH("Yr1Shock", Simulations!$A$1:$BK$1, 0))</f>
        <v>-7.2795146639885733E-3</v>
      </c>
    </row>
    <row r="395" spans="1:5" x14ac:dyDescent="0.3">
      <c r="A395" s="2">
        <f ca="1">INDEX(Simulations!$A$1:$BK$2501, 395, MATCH("PurchaseMultiple", Simulations!$A$1:$BK$1, 0))</f>
        <v>7.1339644794548942</v>
      </c>
      <c r="B395" s="2">
        <f ca="1">INDEX(Simulations!$A$1:$BK$2501, 395, MATCH("ExitMultiple", Simulations!$A$1:$BK$1, 0))</f>
        <v>7.314796948718854</v>
      </c>
      <c r="C395" s="2">
        <f ca="1">INDEX(Simulations!$A$1:$BK$2501, 395, MATCH("RevCAGR", Simulations!$A$1:$BK$1, 0))</f>
        <v>6.0146314563080033E-2</v>
      </c>
      <c r="D395" s="2">
        <f ca="1">INDEX(Simulations!$A$1:$BK$2501, 395, MATCH("SynMargin", Simulations!$A$1:$BK$1, 0))</f>
        <v>1.3925821635989405E-2</v>
      </c>
      <c r="E395" s="2">
        <f ca="1">INDEX(Simulations!$A$1:$BK$2501, 395, MATCH("Yr1Shock", Simulations!$A$1:$BK$1, 0))</f>
        <v>1.1346091835141531E-2</v>
      </c>
    </row>
    <row r="396" spans="1:5" x14ac:dyDescent="0.3">
      <c r="A396" s="2">
        <f ca="1">INDEX(Simulations!$A$1:$BK$2501, 396, MATCH("PurchaseMultiple", Simulations!$A$1:$BK$1, 0))</f>
        <v>7.7628494170651106</v>
      </c>
      <c r="B396" s="2">
        <f ca="1">INDEX(Simulations!$A$1:$BK$2501, 396, MATCH("ExitMultiple", Simulations!$A$1:$BK$1, 0))</f>
        <v>7.9564418824044898</v>
      </c>
      <c r="C396" s="2">
        <f ca="1">INDEX(Simulations!$A$1:$BK$2501, 396, MATCH("RevCAGR", Simulations!$A$1:$BK$1, 0))</f>
        <v>1.8582706822724716E-2</v>
      </c>
      <c r="D396" s="2">
        <f ca="1">INDEX(Simulations!$A$1:$BK$2501, 396, MATCH("SynMargin", Simulations!$A$1:$BK$1, 0))</f>
        <v>1.2499586598632716E-2</v>
      </c>
      <c r="E396" s="2">
        <f ca="1">INDEX(Simulations!$A$1:$BK$2501, 396, MATCH("Yr1Shock", Simulations!$A$1:$BK$1, 0))</f>
        <v>-1.1202523029000162E-2</v>
      </c>
    </row>
    <row r="397" spans="1:5" x14ac:dyDescent="0.3">
      <c r="A397" s="2">
        <f ca="1">INDEX(Simulations!$A$1:$BK$2501, 397, MATCH("PurchaseMultiple", Simulations!$A$1:$BK$1, 0))</f>
        <v>7.06070875650944</v>
      </c>
      <c r="B397" s="2">
        <f ca="1">INDEX(Simulations!$A$1:$BK$2501, 397, MATCH("ExitMultiple", Simulations!$A$1:$BK$1, 0))</f>
        <v>7.856979694570426</v>
      </c>
      <c r="C397" s="2">
        <f ca="1">INDEX(Simulations!$A$1:$BK$2501, 397, MATCH("RevCAGR", Simulations!$A$1:$BK$1, 0))</f>
        <v>-3.1209921018482134E-3</v>
      </c>
      <c r="D397" s="2">
        <f ca="1">INDEX(Simulations!$A$1:$BK$2501, 397, MATCH("SynMargin", Simulations!$A$1:$BK$1, 0))</f>
        <v>7.1683637995473958E-3</v>
      </c>
      <c r="E397" s="2">
        <f ca="1">INDEX(Simulations!$A$1:$BK$2501, 397, MATCH("Yr1Shock", Simulations!$A$1:$BK$1, 0))</f>
        <v>-1.5763097533443113E-2</v>
      </c>
    </row>
    <row r="398" spans="1:5" x14ac:dyDescent="0.3">
      <c r="A398" s="2">
        <f ca="1">INDEX(Simulations!$A$1:$BK$2501, 398, MATCH("PurchaseMultiple", Simulations!$A$1:$BK$1, 0))</f>
        <v>6.4964747141659362</v>
      </c>
      <c r="B398" s="2">
        <f ca="1">INDEX(Simulations!$A$1:$BK$2501, 398, MATCH("ExitMultiple", Simulations!$A$1:$BK$1, 0))</f>
        <v>7.7007475220800163</v>
      </c>
      <c r="C398" s="2">
        <f ca="1">INDEX(Simulations!$A$1:$BK$2501, 398, MATCH("RevCAGR", Simulations!$A$1:$BK$1, 0))</f>
        <v>1.1300935350361439E-2</v>
      </c>
      <c r="D398" s="2">
        <f ca="1">INDEX(Simulations!$A$1:$BK$2501, 398, MATCH("SynMargin", Simulations!$A$1:$BK$1, 0))</f>
        <v>8.4296261078320636E-3</v>
      </c>
      <c r="E398" s="2">
        <f ca="1">INDEX(Simulations!$A$1:$BK$2501, 398, MATCH("Yr1Shock", Simulations!$A$1:$BK$1, 0))</f>
        <v>7.2899241404900828E-3</v>
      </c>
    </row>
    <row r="399" spans="1:5" x14ac:dyDescent="0.3">
      <c r="A399" s="2">
        <f ca="1">INDEX(Simulations!$A$1:$BK$2501, 399, MATCH("PurchaseMultiple", Simulations!$A$1:$BK$1, 0))</f>
        <v>6.3415136206685068</v>
      </c>
      <c r="B399" s="2">
        <f ca="1">INDEX(Simulations!$A$1:$BK$2501, 399, MATCH("ExitMultiple", Simulations!$A$1:$BK$1, 0))</f>
        <v>6.9864270685424446</v>
      </c>
      <c r="C399" s="2">
        <f ca="1">INDEX(Simulations!$A$1:$BK$2501, 399, MATCH("RevCAGR", Simulations!$A$1:$BK$1, 0))</f>
        <v>3.3156441165244126E-2</v>
      </c>
      <c r="D399" s="2">
        <f ca="1">INDEX(Simulations!$A$1:$BK$2501, 399, MATCH("SynMargin", Simulations!$A$1:$BK$1, 0))</f>
        <v>9.0002967018192014E-3</v>
      </c>
      <c r="E399" s="2">
        <f ca="1">INDEX(Simulations!$A$1:$BK$2501, 399, MATCH("Yr1Shock", Simulations!$A$1:$BK$1, 0))</f>
        <v>1.0200077593518483E-2</v>
      </c>
    </row>
    <row r="400" spans="1:5" x14ac:dyDescent="0.3">
      <c r="A400" s="2">
        <f ca="1">INDEX(Simulations!$A$1:$BK$2501, 400, MATCH("PurchaseMultiple", Simulations!$A$1:$BK$1, 0))</f>
        <v>7.0713418551517719</v>
      </c>
      <c r="B400" s="2">
        <f ca="1">INDEX(Simulations!$A$1:$BK$2501, 400, MATCH("ExitMultiple", Simulations!$A$1:$BK$1, 0))</f>
        <v>7.9492791767394948</v>
      </c>
      <c r="C400" s="2">
        <f ca="1">INDEX(Simulations!$A$1:$BK$2501, 400, MATCH("RevCAGR", Simulations!$A$1:$BK$1, 0))</f>
        <v>3.7634133214477151E-2</v>
      </c>
      <c r="D400" s="2">
        <f ca="1">INDEX(Simulations!$A$1:$BK$2501, 400, MATCH("SynMargin", Simulations!$A$1:$BK$1, 0))</f>
        <v>1.1562563459955509E-2</v>
      </c>
      <c r="E400" s="2">
        <f ca="1">INDEX(Simulations!$A$1:$BK$2501, 400, MATCH("Yr1Shock", Simulations!$A$1:$BK$1, 0))</f>
        <v>-6.2112539976548389E-3</v>
      </c>
    </row>
    <row r="401" spans="1:5" x14ac:dyDescent="0.3">
      <c r="A401" s="2">
        <f ca="1">INDEX(Simulations!$A$1:$BK$2501, 401, MATCH("PurchaseMultiple", Simulations!$A$1:$BK$1, 0))</f>
        <v>6.9157129606352967</v>
      </c>
      <c r="B401" s="2">
        <f ca="1">INDEX(Simulations!$A$1:$BK$2501, 401, MATCH("ExitMultiple", Simulations!$A$1:$BK$1, 0))</f>
        <v>7.4641424255598245</v>
      </c>
      <c r="C401" s="2">
        <f ca="1">INDEX(Simulations!$A$1:$BK$2501, 401, MATCH("RevCAGR", Simulations!$A$1:$BK$1, 0))</f>
        <v>1.2727753640969897E-2</v>
      </c>
      <c r="D401" s="2">
        <f ca="1">INDEX(Simulations!$A$1:$BK$2501, 401, MATCH("SynMargin", Simulations!$A$1:$BK$1, 0))</f>
        <v>4.9661921050831127E-3</v>
      </c>
      <c r="E401" s="2">
        <f ca="1">INDEX(Simulations!$A$1:$BK$2501, 401, MATCH("Yr1Shock", Simulations!$A$1:$BK$1, 0))</f>
        <v>5.5331997131549985E-3</v>
      </c>
    </row>
    <row r="402" spans="1:5" x14ac:dyDescent="0.3">
      <c r="A402" s="2">
        <f ca="1">INDEX(Simulations!$A$1:$BK$2501, 402, MATCH("PurchaseMultiple", Simulations!$A$1:$BK$1, 0))</f>
        <v>7.2818586632060143</v>
      </c>
      <c r="B402" s="2">
        <f ca="1">INDEX(Simulations!$A$1:$BK$2501, 402, MATCH("ExitMultiple", Simulations!$A$1:$BK$1, 0))</f>
        <v>7.6300892621871101</v>
      </c>
      <c r="C402" s="2">
        <f ca="1">INDEX(Simulations!$A$1:$BK$2501, 402, MATCH("RevCAGR", Simulations!$A$1:$BK$1, 0))</f>
        <v>1.4174896791600021E-2</v>
      </c>
      <c r="D402" s="2">
        <f ca="1">INDEX(Simulations!$A$1:$BK$2501, 402, MATCH("SynMargin", Simulations!$A$1:$BK$1, 0))</f>
        <v>1.3844126397427948E-2</v>
      </c>
      <c r="E402" s="2">
        <f ca="1">INDEX(Simulations!$A$1:$BK$2501, 402, MATCH("Yr1Shock", Simulations!$A$1:$BK$1, 0))</f>
        <v>2.6590896924240732E-2</v>
      </c>
    </row>
    <row r="403" spans="1:5" x14ac:dyDescent="0.3">
      <c r="A403" s="2">
        <f ca="1">INDEX(Simulations!$A$1:$BK$2501, 403, MATCH("PurchaseMultiple", Simulations!$A$1:$BK$1, 0))</f>
        <v>7.8017781506733535</v>
      </c>
      <c r="B403" s="2">
        <f ca="1">INDEX(Simulations!$A$1:$BK$2501, 403, MATCH("ExitMultiple", Simulations!$A$1:$BK$1, 0))</f>
        <v>7.3523973975279899</v>
      </c>
      <c r="C403" s="2">
        <f ca="1">INDEX(Simulations!$A$1:$BK$2501, 403, MATCH("RevCAGR", Simulations!$A$1:$BK$1, 0))</f>
        <v>8.2100720471855071E-2</v>
      </c>
      <c r="D403" s="2">
        <f ca="1">INDEX(Simulations!$A$1:$BK$2501, 403, MATCH("SynMargin", Simulations!$A$1:$BK$1, 0))</f>
        <v>4.7946794896150937E-3</v>
      </c>
      <c r="E403" s="2">
        <f ca="1">INDEX(Simulations!$A$1:$BK$2501, 403, MATCH("Yr1Shock", Simulations!$A$1:$BK$1, 0))</f>
        <v>1.3082143570747591E-2</v>
      </c>
    </row>
    <row r="404" spans="1:5" x14ac:dyDescent="0.3">
      <c r="A404" s="2">
        <f ca="1">INDEX(Simulations!$A$1:$BK$2501, 404, MATCH("PurchaseMultiple", Simulations!$A$1:$BK$1, 0))</f>
        <v>7.0473727010881291</v>
      </c>
      <c r="B404" s="2">
        <f ca="1">INDEX(Simulations!$A$1:$BK$2501, 404, MATCH("ExitMultiple", Simulations!$A$1:$BK$1, 0))</f>
        <v>7.1736127201642521</v>
      </c>
      <c r="C404" s="2">
        <f ca="1">INDEX(Simulations!$A$1:$BK$2501, 404, MATCH("RevCAGR", Simulations!$A$1:$BK$1, 0))</f>
        <v>2.3695403320537094E-2</v>
      </c>
      <c r="D404" s="2">
        <f ca="1">INDEX(Simulations!$A$1:$BK$2501, 404, MATCH("SynMargin", Simulations!$A$1:$BK$1, 0))</f>
        <v>6.3866105483996391E-3</v>
      </c>
      <c r="E404" s="2">
        <f ca="1">INDEX(Simulations!$A$1:$BK$2501, 404, MATCH("Yr1Shock", Simulations!$A$1:$BK$1, 0))</f>
        <v>-2.994536353028809E-2</v>
      </c>
    </row>
    <row r="405" spans="1:5" x14ac:dyDescent="0.3">
      <c r="A405" s="2">
        <f ca="1">INDEX(Simulations!$A$1:$BK$2501, 405, MATCH("PurchaseMultiple", Simulations!$A$1:$BK$1, 0))</f>
        <v>7.3844373631332596</v>
      </c>
      <c r="B405" s="2">
        <f ca="1">INDEX(Simulations!$A$1:$BK$2501, 405, MATCH("ExitMultiple", Simulations!$A$1:$BK$1, 0))</f>
        <v>7.6130593004999092</v>
      </c>
      <c r="C405" s="2">
        <f ca="1">INDEX(Simulations!$A$1:$BK$2501, 405, MATCH("RevCAGR", Simulations!$A$1:$BK$1, 0))</f>
        <v>6.8593567953212087E-3</v>
      </c>
      <c r="D405" s="2">
        <f ca="1">INDEX(Simulations!$A$1:$BK$2501, 405, MATCH("SynMargin", Simulations!$A$1:$BK$1, 0))</f>
        <v>1.3640253248843427E-2</v>
      </c>
      <c r="E405" s="2">
        <f ca="1">INDEX(Simulations!$A$1:$BK$2501, 405, MATCH("Yr1Shock", Simulations!$A$1:$BK$1, 0))</f>
        <v>-5.6106260441110044E-3</v>
      </c>
    </row>
    <row r="406" spans="1:5" x14ac:dyDescent="0.3">
      <c r="A406" s="2">
        <f ca="1">INDEX(Simulations!$A$1:$BK$2501, 406, MATCH("PurchaseMultiple", Simulations!$A$1:$BK$1, 0))</f>
        <v>6.9617875394026232</v>
      </c>
      <c r="B406" s="2">
        <f ca="1">INDEX(Simulations!$A$1:$BK$2501, 406, MATCH("ExitMultiple", Simulations!$A$1:$BK$1, 0))</f>
        <v>7.1047181361430196</v>
      </c>
      <c r="C406" s="2">
        <f ca="1">INDEX(Simulations!$A$1:$BK$2501, 406, MATCH("RevCAGR", Simulations!$A$1:$BK$1, 0))</f>
        <v>1.7325911840201734E-2</v>
      </c>
      <c r="D406" s="2">
        <f ca="1">INDEX(Simulations!$A$1:$BK$2501, 406, MATCH("SynMargin", Simulations!$A$1:$BK$1, 0))</f>
        <v>8.9289291072922883E-3</v>
      </c>
      <c r="E406" s="2">
        <f ca="1">INDEX(Simulations!$A$1:$BK$2501, 406, MATCH("Yr1Shock", Simulations!$A$1:$BK$1, 0))</f>
        <v>6.8823912507269078E-3</v>
      </c>
    </row>
    <row r="407" spans="1:5" x14ac:dyDescent="0.3">
      <c r="A407" s="2">
        <f ca="1">INDEX(Simulations!$A$1:$BK$2501, 407, MATCH("PurchaseMultiple", Simulations!$A$1:$BK$1, 0))</f>
        <v>7.3368398110405977</v>
      </c>
      <c r="B407" s="2">
        <f ca="1">INDEX(Simulations!$A$1:$BK$2501, 407, MATCH("ExitMultiple", Simulations!$A$1:$BK$1, 0))</f>
        <v>7.69142969304096</v>
      </c>
      <c r="C407" s="2">
        <f ca="1">INDEX(Simulations!$A$1:$BK$2501, 407, MATCH("RevCAGR", Simulations!$A$1:$BK$1, 0))</f>
        <v>-3.5453472751726528E-3</v>
      </c>
      <c r="D407" s="2">
        <f ca="1">INDEX(Simulations!$A$1:$BK$2501, 407, MATCH("SynMargin", Simulations!$A$1:$BK$1, 0))</f>
        <v>1.1668109323928855E-2</v>
      </c>
      <c r="E407" s="2">
        <f ca="1">INDEX(Simulations!$A$1:$BK$2501, 407, MATCH("Yr1Shock", Simulations!$A$1:$BK$1, 0))</f>
        <v>-2.8150549671284379E-2</v>
      </c>
    </row>
    <row r="408" spans="1:5" x14ac:dyDescent="0.3">
      <c r="A408" s="2">
        <f ca="1">INDEX(Simulations!$A$1:$BK$2501, 408, MATCH("PurchaseMultiple", Simulations!$A$1:$BK$1, 0))</f>
        <v>6.5488815234230326</v>
      </c>
      <c r="B408" s="2">
        <f ca="1">INDEX(Simulations!$A$1:$BK$2501, 408, MATCH("ExitMultiple", Simulations!$A$1:$BK$1, 0))</f>
        <v>7.3444602189925776</v>
      </c>
      <c r="C408" s="2">
        <f ca="1">INDEX(Simulations!$A$1:$BK$2501, 408, MATCH("RevCAGR", Simulations!$A$1:$BK$1, 0))</f>
        <v>2.5066874245270751E-2</v>
      </c>
      <c r="D408" s="2">
        <f ca="1">INDEX(Simulations!$A$1:$BK$2501, 408, MATCH("SynMargin", Simulations!$A$1:$BK$1, 0))</f>
        <v>1.2051668079876477E-2</v>
      </c>
      <c r="E408" s="2">
        <f ca="1">INDEX(Simulations!$A$1:$BK$2501, 408, MATCH("Yr1Shock", Simulations!$A$1:$BK$1, 0))</f>
        <v>-5.2661329390538839E-3</v>
      </c>
    </row>
    <row r="409" spans="1:5" x14ac:dyDescent="0.3">
      <c r="A409" s="2">
        <f ca="1">INDEX(Simulations!$A$1:$BK$2501, 409, MATCH("PurchaseMultiple", Simulations!$A$1:$BK$1, 0))</f>
        <v>7.6895598814882788</v>
      </c>
      <c r="B409" s="2">
        <f ca="1">INDEX(Simulations!$A$1:$BK$2501, 409, MATCH("ExitMultiple", Simulations!$A$1:$BK$1, 0))</f>
        <v>7.67866212387207</v>
      </c>
      <c r="C409" s="2">
        <f ca="1">INDEX(Simulations!$A$1:$BK$2501, 409, MATCH("RevCAGR", Simulations!$A$1:$BK$1, 0))</f>
        <v>8.7981239008626796E-2</v>
      </c>
      <c r="D409" s="2">
        <f ca="1">INDEX(Simulations!$A$1:$BK$2501, 409, MATCH("SynMargin", Simulations!$A$1:$BK$1, 0))</f>
        <v>1.0961536645445311E-2</v>
      </c>
      <c r="E409" s="2">
        <f ca="1">INDEX(Simulations!$A$1:$BK$2501, 409, MATCH("Yr1Shock", Simulations!$A$1:$BK$1, 0))</f>
        <v>1.6794485756497984E-2</v>
      </c>
    </row>
    <row r="410" spans="1:5" x14ac:dyDescent="0.3">
      <c r="A410" s="2">
        <f ca="1">INDEX(Simulations!$A$1:$BK$2501, 410, MATCH("PurchaseMultiple", Simulations!$A$1:$BK$1, 0))</f>
        <v>6.8933031787349535</v>
      </c>
      <c r="B410" s="2">
        <f ca="1">INDEX(Simulations!$A$1:$BK$2501, 410, MATCH("ExitMultiple", Simulations!$A$1:$BK$1, 0))</f>
        <v>8.2664987131361727</v>
      </c>
      <c r="C410" s="2">
        <f ca="1">INDEX(Simulations!$A$1:$BK$2501, 410, MATCH("RevCAGR", Simulations!$A$1:$BK$1, 0))</f>
        <v>7.3836328956532249E-2</v>
      </c>
      <c r="D410" s="2">
        <f ca="1">INDEX(Simulations!$A$1:$BK$2501, 410, MATCH("SynMargin", Simulations!$A$1:$BK$1, 0))</f>
        <v>1.6751212124939793E-2</v>
      </c>
      <c r="E410" s="2">
        <f ca="1">INDEX(Simulations!$A$1:$BK$2501, 410, MATCH("Yr1Shock", Simulations!$A$1:$BK$1, 0))</f>
        <v>1.3626745539230421E-3</v>
      </c>
    </row>
    <row r="411" spans="1:5" x14ac:dyDescent="0.3">
      <c r="A411" s="2">
        <f ca="1">INDEX(Simulations!$A$1:$BK$2501, 411, MATCH("PurchaseMultiple", Simulations!$A$1:$BK$1, 0))</f>
        <v>6.297358937969638</v>
      </c>
      <c r="B411" s="2">
        <f ca="1">INDEX(Simulations!$A$1:$BK$2501, 411, MATCH("ExitMultiple", Simulations!$A$1:$BK$1, 0))</f>
        <v>7.1699281696755754</v>
      </c>
      <c r="C411" s="2">
        <f ca="1">INDEX(Simulations!$A$1:$BK$2501, 411, MATCH("RevCAGR", Simulations!$A$1:$BK$1, 0))</f>
        <v>4.6288011052774622E-2</v>
      </c>
      <c r="D411" s="2">
        <f ca="1">INDEX(Simulations!$A$1:$BK$2501, 411, MATCH("SynMargin", Simulations!$A$1:$BK$1, 0))</f>
        <v>1.7729192881701258E-2</v>
      </c>
      <c r="E411" s="2">
        <f ca="1">INDEX(Simulations!$A$1:$BK$2501, 411, MATCH("Yr1Shock", Simulations!$A$1:$BK$1, 0))</f>
        <v>-1.9132400687005537E-2</v>
      </c>
    </row>
    <row r="412" spans="1:5" x14ac:dyDescent="0.3">
      <c r="A412" s="2">
        <f ca="1">INDEX(Simulations!$A$1:$BK$2501, 412, MATCH("PurchaseMultiple", Simulations!$A$1:$BK$1, 0))</f>
        <v>7.0441289789243982</v>
      </c>
      <c r="B412" s="2">
        <f ca="1">INDEX(Simulations!$A$1:$BK$2501, 412, MATCH("ExitMultiple", Simulations!$A$1:$BK$1, 0))</f>
        <v>6.7925821405176494</v>
      </c>
      <c r="C412" s="2">
        <f ca="1">INDEX(Simulations!$A$1:$BK$2501, 412, MATCH("RevCAGR", Simulations!$A$1:$BK$1, 0))</f>
        <v>0.10150297950418709</v>
      </c>
      <c r="D412" s="2">
        <f ca="1">INDEX(Simulations!$A$1:$BK$2501, 412, MATCH("SynMargin", Simulations!$A$1:$BK$1, 0))</f>
        <v>1.4220386325756952E-2</v>
      </c>
      <c r="E412" s="2">
        <f ca="1">INDEX(Simulations!$A$1:$BK$2501, 412, MATCH("Yr1Shock", Simulations!$A$1:$BK$1, 0))</f>
        <v>3.1733111878343934E-2</v>
      </c>
    </row>
    <row r="413" spans="1:5" x14ac:dyDescent="0.3">
      <c r="A413" s="2">
        <f ca="1">INDEX(Simulations!$A$1:$BK$2501, 413, MATCH("PurchaseMultiple", Simulations!$A$1:$BK$1, 0))</f>
        <v>6.5732920895795397</v>
      </c>
      <c r="B413" s="2">
        <f ca="1">INDEX(Simulations!$A$1:$BK$2501, 413, MATCH("ExitMultiple", Simulations!$A$1:$BK$1, 0))</f>
        <v>7.9064125801152088</v>
      </c>
      <c r="C413" s="2">
        <f ca="1">INDEX(Simulations!$A$1:$BK$2501, 413, MATCH("RevCAGR", Simulations!$A$1:$BK$1, 0))</f>
        <v>2.9391808321386742E-2</v>
      </c>
      <c r="D413" s="2">
        <f ca="1">INDEX(Simulations!$A$1:$BK$2501, 413, MATCH("SynMargin", Simulations!$A$1:$BK$1, 0))</f>
        <v>4.141724013179993E-3</v>
      </c>
      <c r="E413" s="2">
        <f ca="1">INDEX(Simulations!$A$1:$BK$2501, 413, MATCH("Yr1Shock", Simulations!$A$1:$BK$1, 0))</f>
        <v>-2.833797248809488E-2</v>
      </c>
    </row>
    <row r="414" spans="1:5" x14ac:dyDescent="0.3">
      <c r="A414" s="2">
        <f ca="1">INDEX(Simulations!$A$1:$BK$2501, 414, MATCH("PurchaseMultiple", Simulations!$A$1:$BK$1, 0))</f>
        <v>6.8117863925091608</v>
      </c>
      <c r="B414" s="2">
        <f ca="1">INDEX(Simulations!$A$1:$BK$2501, 414, MATCH("ExitMultiple", Simulations!$A$1:$BK$1, 0))</f>
        <v>7.0829817152499066</v>
      </c>
      <c r="C414" s="2">
        <f ca="1">INDEX(Simulations!$A$1:$BK$2501, 414, MATCH("RevCAGR", Simulations!$A$1:$BK$1, 0))</f>
        <v>7.5830169749685927E-2</v>
      </c>
      <c r="D414" s="2">
        <f ca="1">INDEX(Simulations!$A$1:$BK$2501, 414, MATCH("SynMargin", Simulations!$A$1:$BK$1, 0))</f>
        <v>6.8251047761818708E-3</v>
      </c>
      <c r="E414" s="2">
        <f ca="1">INDEX(Simulations!$A$1:$BK$2501, 414, MATCH("Yr1Shock", Simulations!$A$1:$BK$1, 0))</f>
        <v>9.9387871617776409E-3</v>
      </c>
    </row>
    <row r="415" spans="1:5" x14ac:dyDescent="0.3">
      <c r="A415" s="2">
        <f ca="1">INDEX(Simulations!$A$1:$BK$2501, 415, MATCH("PurchaseMultiple", Simulations!$A$1:$BK$1, 0))</f>
        <v>7.1036624194277387</v>
      </c>
      <c r="B415" s="2">
        <f ca="1">INDEX(Simulations!$A$1:$BK$2501, 415, MATCH("ExitMultiple", Simulations!$A$1:$BK$1, 0))</f>
        <v>7.448350045788823</v>
      </c>
      <c r="C415" s="2">
        <f ca="1">INDEX(Simulations!$A$1:$BK$2501, 415, MATCH("RevCAGR", Simulations!$A$1:$BK$1, 0))</f>
        <v>6.1427419268332617E-2</v>
      </c>
      <c r="D415" s="2">
        <f ca="1">INDEX(Simulations!$A$1:$BK$2501, 415, MATCH("SynMargin", Simulations!$A$1:$BK$1, 0))</f>
        <v>1.253618809415576E-2</v>
      </c>
      <c r="E415" s="2">
        <f ca="1">INDEX(Simulations!$A$1:$BK$2501, 415, MATCH("Yr1Shock", Simulations!$A$1:$BK$1, 0))</f>
        <v>6.6748107002347621E-4</v>
      </c>
    </row>
    <row r="416" spans="1:5" x14ac:dyDescent="0.3">
      <c r="A416" s="2">
        <f ca="1">INDEX(Simulations!$A$1:$BK$2501, 416, MATCH("PurchaseMultiple", Simulations!$A$1:$BK$1, 0))</f>
        <v>6.7303767021628662</v>
      </c>
      <c r="B416" s="2">
        <f ca="1">INDEX(Simulations!$A$1:$BK$2501, 416, MATCH("ExitMultiple", Simulations!$A$1:$BK$1, 0))</f>
        <v>6.7080106243400976</v>
      </c>
      <c r="C416" s="2">
        <f ca="1">INDEX(Simulations!$A$1:$BK$2501, 416, MATCH("RevCAGR", Simulations!$A$1:$BK$1, 0))</f>
        <v>5.0679580772434861E-2</v>
      </c>
      <c r="D416" s="2">
        <f ca="1">INDEX(Simulations!$A$1:$BK$2501, 416, MATCH("SynMargin", Simulations!$A$1:$BK$1, 0))</f>
        <v>1.4448732880973241E-2</v>
      </c>
      <c r="E416" s="2">
        <f ca="1">INDEX(Simulations!$A$1:$BK$2501, 416, MATCH("Yr1Shock", Simulations!$A$1:$BK$1, 0))</f>
        <v>1.8724433312001978E-2</v>
      </c>
    </row>
    <row r="417" spans="1:5" x14ac:dyDescent="0.3">
      <c r="A417" s="2">
        <f ca="1">INDEX(Simulations!$A$1:$BK$2501, 417, MATCH("PurchaseMultiple", Simulations!$A$1:$BK$1, 0))</f>
        <v>6.7413510342123972</v>
      </c>
      <c r="B417" s="2">
        <f ca="1">INDEX(Simulations!$A$1:$BK$2501, 417, MATCH("ExitMultiple", Simulations!$A$1:$BK$1, 0))</f>
        <v>7.5179650689036528</v>
      </c>
      <c r="C417" s="2">
        <f ca="1">INDEX(Simulations!$A$1:$BK$2501, 417, MATCH("RevCAGR", Simulations!$A$1:$BK$1, 0))</f>
        <v>3.3992680011864729E-2</v>
      </c>
      <c r="D417" s="2">
        <f ca="1">INDEX(Simulations!$A$1:$BK$2501, 417, MATCH("SynMargin", Simulations!$A$1:$BK$1, 0))</f>
        <v>8.9411273863551407E-3</v>
      </c>
      <c r="E417" s="2">
        <f ca="1">INDEX(Simulations!$A$1:$BK$2501, 417, MATCH("Yr1Shock", Simulations!$A$1:$BK$1, 0))</f>
        <v>-7.480168383722223E-3</v>
      </c>
    </row>
    <row r="418" spans="1:5" x14ac:dyDescent="0.3">
      <c r="A418" s="2">
        <f ca="1">INDEX(Simulations!$A$1:$BK$2501, 418, MATCH("PurchaseMultiple", Simulations!$A$1:$BK$1, 0))</f>
        <v>6.8713388373172872</v>
      </c>
      <c r="B418" s="2">
        <f ca="1">INDEX(Simulations!$A$1:$BK$2501, 418, MATCH("ExitMultiple", Simulations!$A$1:$BK$1, 0))</f>
        <v>7.0354993696278489</v>
      </c>
      <c r="C418" s="2">
        <f ca="1">INDEX(Simulations!$A$1:$BK$2501, 418, MATCH("RevCAGR", Simulations!$A$1:$BK$1, 0))</f>
        <v>3.7240142740153512E-2</v>
      </c>
      <c r="D418" s="2">
        <f ca="1">INDEX(Simulations!$A$1:$BK$2501, 418, MATCH("SynMargin", Simulations!$A$1:$BK$1, 0))</f>
        <v>0</v>
      </c>
      <c r="E418" s="2">
        <f ca="1">INDEX(Simulations!$A$1:$BK$2501, 418, MATCH("Yr1Shock", Simulations!$A$1:$BK$1, 0))</f>
        <v>-1.8118448149697954E-2</v>
      </c>
    </row>
    <row r="419" spans="1:5" x14ac:dyDescent="0.3">
      <c r="A419" s="2">
        <f ca="1">INDEX(Simulations!$A$1:$BK$2501, 419, MATCH("PurchaseMultiple", Simulations!$A$1:$BK$1, 0))</f>
        <v>6.7363162371662684</v>
      </c>
      <c r="B419" s="2">
        <f ca="1">INDEX(Simulations!$A$1:$BK$2501, 419, MATCH("ExitMultiple", Simulations!$A$1:$BK$1, 0))</f>
        <v>7.2346244781113285</v>
      </c>
      <c r="C419" s="2">
        <f ca="1">INDEX(Simulations!$A$1:$BK$2501, 419, MATCH("RevCAGR", Simulations!$A$1:$BK$1, 0))</f>
        <v>2.5756854072545202E-2</v>
      </c>
      <c r="D419" s="2">
        <f ca="1">INDEX(Simulations!$A$1:$BK$2501, 419, MATCH("SynMargin", Simulations!$A$1:$BK$1, 0))</f>
        <v>9.5878275587756474E-3</v>
      </c>
      <c r="E419" s="2">
        <f ca="1">INDEX(Simulations!$A$1:$BK$2501, 419, MATCH("Yr1Shock", Simulations!$A$1:$BK$1, 0))</f>
        <v>-1.0331566198883139E-2</v>
      </c>
    </row>
    <row r="420" spans="1:5" x14ac:dyDescent="0.3">
      <c r="A420" s="2">
        <f ca="1">INDEX(Simulations!$A$1:$BK$2501, 420, MATCH("PurchaseMultiple", Simulations!$A$1:$BK$1, 0))</f>
        <v>7.6869190355916928</v>
      </c>
      <c r="B420" s="2">
        <f ca="1">INDEX(Simulations!$A$1:$BK$2501, 420, MATCH("ExitMultiple", Simulations!$A$1:$BK$1, 0))</f>
        <v>7.9336848944178264</v>
      </c>
      <c r="C420" s="2">
        <f ca="1">INDEX(Simulations!$A$1:$BK$2501, 420, MATCH("RevCAGR", Simulations!$A$1:$BK$1, 0))</f>
        <v>6.6802256838618346E-2</v>
      </c>
      <c r="D420" s="2">
        <f ca="1">INDEX(Simulations!$A$1:$BK$2501, 420, MATCH("SynMargin", Simulations!$A$1:$BK$1, 0))</f>
        <v>1.4597103233481363E-2</v>
      </c>
      <c r="E420" s="2">
        <f ca="1">INDEX(Simulations!$A$1:$BK$2501, 420, MATCH("Yr1Shock", Simulations!$A$1:$BK$1, 0))</f>
        <v>3.4212868200162901E-2</v>
      </c>
    </row>
    <row r="421" spans="1:5" x14ac:dyDescent="0.3">
      <c r="A421" s="2">
        <f ca="1">INDEX(Simulations!$A$1:$BK$2501, 421, MATCH("PurchaseMultiple", Simulations!$A$1:$BK$1, 0))</f>
        <v>6.4870769941041813</v>
      </c>
      <c r="B421" s="2">
        <f ca="1">INDEX(Simulations!$A$1:$BK$2501, 421, MATCH("ExitMultiple", Simulations!$A$1:$BK$1, 0))</f>
        <v>6.9529952147463971</v>
      </c>
      <c r="C421" s="2">
        <f ca="1">INDEX(Simulations!$A$1:$BK$2501, 421, MATCH("RevCAGR", Simulations!$A$1:$BK$1, 0))</f>
        <v>3.7949519725552772E-3</v>
      </c>
      <c r="D421" s="2">
        <f ca="1">INDEX(Simulations!$A$1:$BK$2501, 421, MATCH("SynMargin", Simulations!$A$1:$BK$1, 0))</f>
        <v>7.1258637362049231E-3</v>
      </c>
      <c r="E421" s="2">
        <f ca="1">INDEX(Simulations!$A$1:$BK$2501, 421, MATCH("Yr1Shock", Simulations!$A$1:$BK$1, 0))</f>
        <v>-8.8332380952675874E-3</v>
      </c>
    </row>
    <row r="422" spans="1:5" x14ac:dyDescent="0.3">
      <c r="A422" s="2">
        <f ca="1">INDEX(Simulations!$A$1:$BK$2501, 422, MATCH("PurchaseMultiple", Simulations!$A$1:$BK$1, 0))</f>
        <v>7.1249934752836737</v>
      </c>
      <c r="B422" s="2">
        <f ca="1">INDEX(Simulations!$A$1:$BK$2501, 422, MATCH("ExitMultiple", Simulations!$A$1:$BK$1, 0))</f>
        <v>7.4372932850179749</v>
      </c>
      <c r="C422" s="2">
        <f ca="1">INDEX(Simulations!$A$1:$BK$2501, 422, MATCH("RevCAGR", Simulations!$A$1:$BK$1, 0))</f>
        <v>2.8925986975766066E-2</v>
      </c>
      <c r="D422" s="2">
        <f ca="1">INDEX(Simulations!$A$1:$BK$2501, 422, MATCH("SynMargin", Simulations!$A$1:$BK$1, 0))</f>
        <v>1.4255096028886388E-2</v>
      </c>
      <c r="E422" s="2">
        <f ca="1">INDEX(Simulations!$A$1:$BK$2501, 422, MATCH("Yr1Shock", Simulations!$A$1:$BK$1, 0))</f>
        <v>-1.1572436704001931E-3</v>
      </c>
    </row>
    <row r="423" spans="1:5" x14ac:dyDescent="0.3">
      <c r="A423" s="2">
        <f ca="1">INDEX(Simulations!$A$1:$BK$2501, 423, MATCH("PurchaseMultiple", Simulations!$A$1:$BK$1, 0))</f>
        <v>7.9003927159469649</v>
      </c>
      <c r="B423" s="2">
        <f ca="1">INDEX(Simulations!$A$1:$BK$2501, 423, MATCH("ExitMultiple", Simulations!$A$1:$BK$1, 0))</f>
        <v>7.49000514062684</v>
      </c>
      <c r="C423" s="2">
        <f ca="1">INDEX(Simulations!$A$1:$BK$2501, 423, MATCH("RevCAGR", Simulations!$A$1:$BK$1, 0))</f>
        <v>3.0839047806849044E-2</v>
      </c>
      <c r="D423" s="2">
        <f ca="1">INDEX(Simulations!$A$1:$BK$2501, 423, MATCH("SynMargin", Simulations!$A$1:$BK$1, 0))</f>
        <v>5.5653216303826929E-3</v>
      </c>
      <c r="E423" s="2">
        <f ca="1">INDEX(Simulations!$A$1:$BK$2501, 423, MATCH("Yr1Shock", Simulations!$A$1:$BK$1, 0))</f>
        <v>-1.3407112675637701E-2</v>
      </c>
    </row>
    <row r="424" spans="1:5" x14ac:dyDescent="0.3">
      <c r="A424" s="2">
        <f ca="1">INDEX(Simulations!$A$1:$BK$2501, 424, MATCH("PurchaseMultiple", Simulations!$A$1:$BK$1, 0))</f>
        <v>7.0302305937462553</v>
      </c>
      <c r="B424" s="2">
        <f ca="1">INDEX(Simulations!$A$1:$BK$2501, 424, MATCH("ExitMultiple", Simulations!$A$1:$BK$1, 0))</f>
        <v>7.8403667777021173</v>
      </c>
      <c r="C424" s="2">
        <f ca="1">INDEX(Simulations!$A$1:$BK$2501, 424, MATCH("RevCAGR", Simulations!$A$1:$BK$1, 0))</f>
        <v>5.3102780761619894E-2</v>
      </c>
      <c r="D424" s="2">
        <f ca="1">INDEX(Simulations!$A$1:$BK$2501, 424, MATCH("SynMargin", Simulations!$A$1:$BK$1, 0))</f>
        <v>8.6859816560031552E-3</v>
      </c>
      <c r="E424" s="2">
        <f ca="1">INDEX(Simulations!$A$1:$BK$2501, 424, MATCH("Yr1Shock", Simulations!$A$1:$BK$1, 0))</f>
        <v>1.6153954939280228E-2</v>
      </c>
    </row>
    <row r="425" spans="1:5" x14ac:dyDescent="0.3">
      <c r="A425" s="2">
        <f ca="1">INDEX(Simulations!$A$1:$BK$2501, 425, MATCH("PurchaseMultiple", Simulations!$A$1:$BK$1, 0))</f>
        <v>7.1755643675160909</v>
      </c>
      <c r="B425" s="2">
        <f ca="1">INDEX(Simulations!$A$1:$BK$2501, 425, MATCH("ExitMultiple", Simulations!$A$1:$BK$1, 0))</f>
        <v>7.2216580751912636</v>
      </c>
      <c r="C425" s="2">
        <f ca="1">INDEX(Simulations!$A$1:$BK$2501, 425, MATCH("RevCAGR", Simulations!$A$1:$BK$1, 0))</f>
        <v>4.3359694416310782E-2</v>
      </c>
      <c r="D425" s="2">
        <f ca="1">INDEX(Simulations!$A$1:$BK$2501, 425, MATCH("SynMargin", Simulations!$A$1:$BK$1, 0))</f>
        <v>4.4635519596916209E-3</v>
      </c>
      <c r="E425" s="2">
        <f ca="1">INDEX(Simulations!$A$1:$BK$2501, 425, MATCH("Yr1Shock", Simulations!$A$1:$BK$1, 0))</f>
        <v>1.2736142821755503E-2</v>
      </c>
    </row>
    <row r="426" spans="1:5" x14ac:dyDescent="0.3">
      <c r="A426" s="2">
        <f ca="1">INDEX(Simulations!$A$1:$BK$2501, 426, MATCH("PurchaseMultiple", Simulations!$A$1:$BK$1, 0))</f>
        <v>6.5848290475931766</v>
      </c>
      <c r="B426" s="2">
        <f ca="1">INDEX(Simulations!$A$1:$BK$2501, 426, MATCH("ExitMultiple", Simulations!$A$1:$BK$1, 0))</f>
        <v>7.341018903850367</v>
      </c>
      <c r="C426" s="2">
        <f ca="1">INDEX(Simulations!$A$1:$BK$2501, 426, MATCH("RevCAGR", Simulations!$A$1:$BK$1, 0))</f>
        <v>6.2588842434884481E-2</v>
      </c>
      <c r="D426" s="2">
        <f ca="1">INDEX(Simulations!$A$1:$BK$2501, 426, MATCH("SynMargin", Simulations!$A$1:$BK$1, 0))</f>
        <v>1.0463233108072274E-2</v>
      </c>
      <c r="E426" s="2">
        <f ca="1">INDEX(Simulations!$A$1:$BK$2501, 426, MATCH("Yr1Shock", Simulations!$A$1:$BK$1, 0))</f>
        <v>-1.397449635275724E-2</v>
      </c>
    </row>
    <row r="427" spans="1:5" x14ac:dyDescent="0.3">
      <c r="A427" s="2">
        <f ca="1">INDEX(Simulations!$A$1:$BK$2501, 427, MATCH("PurchaseMultiple", Simulations!$A$1:$BK$1, 0))</f>
        <v>6.9866060141907917</v>
      </c>
      <c r="B427" s="2">
        <f ca="1">INDEX(Simulations!$A$1:$BK$2501, 427, MATCH("ExitMultiple", Simulations!$A$1:$BK$1, 0))</f>
        <v>7.2276708011167337</v>
      </c>
      <c r="C427" s="2">
        <f ca="1">INDEX(Simulations!$A$1:$BK$2501, 427, MATCH("RevCAGR", Simulations!$A$1:$BK$1, 0))</f>
        <v>-8.3973882367947006E-3</v>
      </c>
      <c r="D427" s="2">
        <f ca="1">INDEX(Simulations!$A$1:$BK$2501, 427, MATCH("SynMargin", Simulations!$A$1:$BK$1, 0))</f>
        <v>1.7459997174243663E-2</v>
      </c>
      <c r="E427" s="2">
        <f ca="1">INDEX(Simulations!$A$1:$BK$2501, 427, MATCH("Yr1Shock", Simulations!$A$1:$BK$1, 0))</f>
        <v>-1.7671128199979982E-2</v>
      </c>
    </row>
    <row r="428" spans="1:5" x14ac:dyDescent="0.3">
      <c r="A428" s="2">
        <f ca="1">INDEX(Simulations!$A$1:$BK$2501, 428, MATCH("PurchaseMultiple", Simulations!$A$1:$BK$1, 0))</f>
        <v>6.8150171631520928</v>
      </c>
      <c r="B428" s="2">
        <f ca="1">INDEX(Simulations!$A$1:$BK$2501, 428, MATCH("ExitMultiple", Simulations!$A$1:$BK$1, 0))</f>
        <v>7.2022071614724608</v>
      </c>
      <c r="C428" s="2">
        <f ca="1">INDEX(Simulations!$A$1:$BK$2501, 428, MATCH("RevCAGR", Simulations!$A$1:$BK$1, 0))</f>
        <v>6.2664637641376725E-2</v>
      </c>
      <c r="D428" s="2">
        <f ca="1">INDEX(Simulations!$A$1:$BK$2501, 428, MATCH("SynMargin", Simulations!$A$1:$BK$1, 0))</f>
        <v>8.9077899401560114E-3</v>
      </c>
      <c r="E428" s="2">
        <f ca="1">INDEX(Simulations!$A$1:$BK$2501, 428, MATCH("Yr1Shock", Simulations!$A$1:$BK$1, 0))</f>
        <v>-9.2531481192492365E-3</v>
      </c>
    </row>
    <row r="429" spans="1:5" x14ac:dyDescent="0.3">
      <c r="A429" s="2">
        <f ca="1">INDEX(Simulations!$A$1:$BK$2501, 429, MATCH("PurchaseMultiple", Simulations!$A$1:$BK$1, 0))</f>
        <v>6.8065900443516263</v>
      </c>
      <c r="B429" s="2">
        <f ca="1">INDEX(Simulations!$A$1:$BK$2501, 429, MATCH("ExitMultiple", Simulations!$A$1:$BK$1, 0))</f>
        <v>7.4990527763903394</v>
      </c>
      <c r="C429" s="2">
        <f ca="1">INDEX(Simulations!$A$1:$BK$2501, 429, MATCH("RevCAGR", Simulations!$A$1:$BK$1, 0))</f>
        <v>8.9363287268166142E-2</v>
      </c>
      <c r="D429" s="2">
        <f ca="1">INDEX(Simulations!$A$1:$BK$2501, 429, MATCH("SynMargin", Simulations!$A$1:$BK$1, 0))</f>
        <v>9.6129227810762049E-3</v>
      </c>
      <c r="E429" s="2">
        <f ca="1">INDEX(Simulations!$A$1:$BK$2501, 429, MATCH("Yr1Shock", Simulations!$A$1:$BK$1, 0))</f>
        <v>8.6715937752209458E-4</v>
      </c>
    </row>
    <row r="430" spans="1:5" x14ac:dyDescent="0.3">
      <c r="A430" s="2">
        <f ca="1">INDEX(Simulations!$A$1:$BK$2501, 430, MATCH("PurchaseMultiple", Simulations!$A$1:$BK$1, 0))</f>
        <v>6.428758660042317</v>
      </c>
      <c r="B430" s="2">
        <f ca="1">INDEX(Simulations!$A$1:$BK$2501, 430, MATCH("ExitMultiple", Simulations!$A$1:$BK$1, 0))</f>
        <v>6.7351480415370633</v>
      </c>
      <c r="C430" s="2">
        <f ca="1">INDEX(Simulations!$A$1:$BK$2501, 430, MATCH("RevCAGR", Simulations!$A$1:$BK$1, 0))</f>
        <v>7.7931018967039939E-2</v>
      </c>
      <c r="D430" s="2">
        <f ca="1">INDEX(Simulations!$A$1:$BK$2501, 430, MATCH("SynMargin", Simulations!$A$1:$BK$1, 0))</f>
        <v>1.1798989392295473E-2</v>
      </c>
      <c r="E430" s="2">
        <f ca="1">INDEX(Simulations!$A$1:$BK$2501, 430, MATCH("Yr1Shock", Simulations!$A$1:$BK$1, 0))</f>
        <v>-1.8417225801973424E-2</v>
      </c>
    </row>
    <row r="431" spans="1:5" x14ac:dyDescent="0.3">
      <c r="A431" s="2">
        <f ca="1">INDEX(Simulations!$A$1:$BK$2501, 431, MATCH("PurchaseMultiple", Simulations!$A$1:$BK$1, 0))</f>
        <v>6.8788101127493881</v>
      </c>
      <c r="B431" s="2">
        <f ca="1">INDEX(Simulations!$A$1:$BK$2501, 431, MATCH("ExitMultiple", Simulations!$A$1:$BK$1, 0))</f>
        <v>7.6502378549376511</v>
      </c>
      <c r="C431" s="2">
        <f ca="1">INDEX(Simulations!$A$1:$BK$2501, 431, MATCH("RevCAGR", Simulations!$A$1:$BK$1, 0))</f>
        <v>2.8270183982390534E-3</v>
      </c>
      <c r="D431" s="2">
        <f ca="1">INDEX(Simulations!$A$1:$BK$2501, 431, MATCH("SynMargin", Simulations!$A$1:$BK$1, 0))</f>
        <v>7.7026830793407268E-3</v>
      </c>
      <c r="E431" s="2">
        <f ca="1">INDEX(Simulations!$A$1:$BK$2501, 431, MATCH("Yr1Shock", Simulations!$A$1:$BK$1, 0))</f>
        <v>-2.6906074407189406E-2</v>
      </c>
    </row>
    <row r="432" spans="1:5" x14ac:dyDescent="0.3">
      <c r="A432" s="2">
        <f ca="1">INDEX(Simulations!$A$1:$BK$2501, 432, MATCH("PurchaseMultiple", Simulations!$A$1:$BK$1, 0))</f>
        <v>7.2169943432321713</v>
      </c>
      <c r="B432" s="2">
        <f ca="1">INDEX(Simulations!$A$1:$BK$2501, 432, MATCH("ExitMultiple", Simulations!$A$1:$BK$1, 0))</f>
        <v>7.493935806818282</v>
      </c>
      <c r="C432" s="2">
        <f ca="1">INDEX(Simulations!$A$1:$BK$2501, 432, MATCH("RevCAGR", Simulations!$A$1:$BK$1, 0))</f>
        <v>4.4922621095843628E-2</v>
      </c>
      <c r="D432" s="2">
        <f ca="1">INDEX(Simulations!$A$1:$BK$2501, 432, MATCH("SynMargin", Simulations!$A$1:$BK$1, 0))</f>
        <v>1.0935213511383421E-2</v>
      </c>
      <c r="E432" s="2">
        <f ca="1">INDEX(Simulations!$A$1:$BK$2501, 432, MATCH("Yr1Shock", Simulations!$A$1:$BK$1, 0))</f>
        <v>4.1235301454219274E-3</v>
      </c>
    </row>
    <row r="433" spans="1:5" x14ac:dyDescent="0.3">
      <c r="A433" s="2">
        <f ca="1">INDEX(Simulations!$A$1:$BK$2501, 433, MATCH("PurchaseMultiple", Simulations!$A$1:$BK$1, 0))</f>
        <v>6.9966631094477023</v>
      </c>
      <c r="B433" s="2">
        <f ca="1">INDEX(Simulations!$A$1:$BK$2501, 433, MATCH("ExitMultiple", Simulations!$A$1:$BK$1, 0))</f>
        <v>7.4592351773682868</v>
      </c>
      <c r="C433" s="2">
        <f ca="1">INDEX(Simulations!$A$1:$BK$2501, 433, MATCH("RevCAGR", Simulations!$A$1:$BK$1, 0))</f>
        <v>5.9915995736347531E-2</v>
      </c>
      <c r="D433" s="2">
        <f ca="1">INDEX(Simulations!$A$1:$BK$2501, 433, MATCH("SynMargin", Simulations!$A$1:$BK$1, 0))</f>
        <v>1.0134045473583219E-2</v>
      </c>
      <c r="E433" s="2">
        <f ca="1">INDEX(Simulations!$A$1:$BK$2501, 433, MATCH("Yr1Shock", Simulations!$A$1:$BK$1, 0))</f>
        <v>-5.3264389867946141E-3</v>
      </c>
    </row>
    <row r="434" spans="1:5" x14ac:dyDescent="0.3">
      <c r="A434" s="2">
        <f ca="1">INDEX(Simulations!$A$1:$BK$2501, 434, MATCH("PurchaseMultiple", Simulations!$A$1:$BK$1, 0))</f>
        <v>7.2129272264909838</v>
      </c>
      <c r="B434" s="2">
        <f ca="1">INDEX(Simulations!$A$1:$BK$2501, 434, MATCH("ExitMultiple", Simulations!$A$1:$BK$1, 0))</f>
        <v>7.151653914649275</v>
      </c>
      <c r="C434" s="2">
        <f ca="1">INDEX(Simulations!$A$1:$BK$2501, 434, MATCH("RevCAGR", Simulations!$A$1:$BK$1, 0))</f>
        <v>0.11421705266137627</v>
      </c>
      <c r="D434" s="2">
        <f ca="1">INDEX(Simulations!$A$1:$BK$2501, 434, MATCH("SynMargin", Simulations!$A$1:$BK$1, 0))</f>
        <v>2.6774803446059561E-3</v>
      </c>
      <c r="E434" s="2">
        <f ca="1">INDEX(Simulations!$A$1:$BK$2501, 434, MATCH("Yr1Shock", Simulations!$A$1:$BK$1, 0))</f>
        <v>-1.6113718236198411E-2</v>
      </c>
    </row>
    <row r="435" spans="1:5" x14ac:dyDescent="0.3">
      <c r="A435" s="2">
        <f ca="1">INDEX(Simulations!$A$1:$BK$2501, 435, MATCH("PurchaseMultiple", Simulations!$A$1:$BK$1, 0))</f>
        <v>7.3582748855128495</v>
      </c>
      <c r="B435" s="2">
        <f ca="1">INDEX(Simulations!$A$1:$BK$2501, 435, MATCH("ExitMultiple", Simulations!$A$1:$BK$1, 0))</f>
        <v>7.7390003020375024</v>
      </c>
      <c r="C435" s="2">
        <f ca="1">INDEX(Simulations!$A$1:$BK$2501, 435, MATCH("RevCAGR", Simulations!$A$1:$BK$1, 0))</f>
        <v>4.717537488116632E-2</v>
      </c>
      <c r="D435" s="2">
        <f ca="1">INDEX(Simulations!$A$1:$BK$2501, 435, MATCH("SynMargin", Simulations!$A$1:$BK$1, 0))</f>
        <v>7.2981251217738583E-3</v>
      </c>
      <c r="E435" s="2">
        <f ca="1">INDEX(Simulations!$A$1:$BK$2501, 435, MATCH("Yr1Shock", Simulations!$A$1:$BK$1, 0))</f>
        <v>-1.3506561126870448E-2</v>
      </c>
    </row>
    <row r="436" spans="1:5" x14ac:dyDescent="0.3">
      <c r="A436" s="2">
        <f ca="1">INDEX(Simulations!$A$1:$BK$2501, 436, MATCH("PurchaseMultiple", Simulations!$A$1:$BK$1, 0))</f>
        <v>6.8517285689351155</v>
      </c>
      <c r="B436" s="2">
        <f ca="1">INDEX(Simulations!$A$1:$BK$2501, 436, MATCH("ExitMultiple", Simulations!$A$1:$BK$1, 0))</f>
        <v>7.93342328720321</v>
      </c>
      <c r="C436" s="2">
        <f ca="1">INDEX(Simulations!$A$1:$BK$2501, 436, MATCH("RevCAGR", Simulations!$A$1:$BK$1, 0))</f>
        <v>6.5142163071504305E-2</v>
      </c>
      <c r="D436" s="2">
        <f ca="1">INDEX(Simulations!$A$1:$BK$2501, 436, MATCH("SynMargin", Simulations!$A$1:$BK$1, 0))</f>
        <v>1.2102703851350025E-2</v>
      </c>
      <c r="E436" s="2">
        <f ca="1">INDEX(Simulations!$A$1:$BK$2501, 436, MATCH("Yr1Shock", Simulations!$A$1:$BK$1, 0))</f>
        <v>1.6058741472941829E-2</v>
      </c>
    </row>
    <row r="437" spans="1:5" x14ac:dyDescent="0.3">
      <c r="A437" s="2">
        <f ca="1">INDEX(Simulations!$A$1:$BK$2501, 437, MATCH("PurchaseMultiple", Simulations!$A$1:$BK$1, 0))</f>
        <v>7.2156144775342081</v>
      </c>
      <c r="B437" s="2">
        <f ca="1">INDEX(Simulations!$A$1:$BK$2501, 437, MATCH("ExitMultiple", Simulations!$A$1:$BK$1, 0))</f>
        <v>6.83378466325681</v>
      </c>
      <c r="C437" s="2">
        <f ca="1">INDEX(Simulations!$A$1:$BK$2501, 437, MATCH("RevCAGR", Simulations!$A$1:$BK$1, 0))</f>
        <v>-6.2632624011932023E-3</v>
      </c>
      <c r="D437" s="2">
        <f ca="1">INDEX(Simulations!$A$1:$BK$2501, 437, MATCH("SynMargin", Simulations!$A$1:$BK$1, 0))</f>
        <v>1.5808842558804936E-2</v>
      </c>
      <c r="E437" s="2">
        <f ca="1">INDEX(Simulations!$A$1:$BK$2501, 437, MATCH("Yr1Shock", Simulations!$A$1:$BK$1, 0))</f>
        <v>-9.5558843046891356E-3</v>
      </c>
    </row>
    <row r="438" spans="1:5" x14ac:dyDescent="0.3">
      <c r="A438" s="2">
        <f ca="1">INDEX(Simulations!$A$1:$BK$2501, 438, MATCH("PurchaseMultiple", Simulations!$A$1:$BK$1, 0))</f>
        <v>6.4036847973535167</v>
      </c>
      <c r="B438" s="2">
        <f ca="1">INDEX(Simulations!$A$1:$BK$2501, 438, MATCH("ExitMultiple", Simulations!$A$1:$BK$1, 0))</f>
        <v>7.0232345512728873</v>
      </c>
      <c r="C438" s="2">
        <f ca="1">INDEX(Simulations!$A$1:$BK$2501, 438, MATCH("RevCAGR", Simulations!$A$1:$BK$1, 0))</f>
        <v>7.107860903376112E-2</v>
      </c>
      <c r="D438" s="2">
        <f ca="1">INDEX(Simulations!$A$1:$BK$2501, 438, MATCH("SynMargin", Simulations!$A$1:$BK$1, 0))</f>
        <v>8.8795306128646809E-3</v>
      </c>
      <c r="E438" s="2">
        <f ca="1">INDEX(Simulations!$A$1:$BK$2501, 438, MATCH("Yr1Shock", Simulations!$A$1:$BK$1, 0))</f>
        <v>-9.4555156326186166E-3</v>
      </c>
    </row>
    <row r="439" spans="1:5" x14ac:dyDescent="0.3">
      <c r="A439" s="2">
        <f ca="1">INDEX(Simulations!$A$1:$BK$2501, 439, MATCH("PurchaseMultiple", Simulations!$A$1:$BK$1, 0))</f>
        <v>6.7821194077660625</v>
      </c>
      <c r="B439" s="2">
        <f ca="1">INDEX(Simulations!$A$1:$BK$2501, 439, MATCH("ExitMultiple", Simulations!$A$1:$BK$1, 0))</f>
        <v>6.7636326449413078</v>
      </c>
      <c r="C439" s="2">
        <f ca="1">INDEX(Simulations!$A$1:$BK$2501, 439, MATCH("RevCAGR", Simulations!$A$1:$BK$1, 0))</f>
        <v>9.5869374017450729E-2</v>
      </c>
      <c r="D439" s="2">
        <f ca="1">INDEX(Simulations!$A$1:$BK$2501, 439, MATCH("SynMargin", Simulations!$A$1:$BK$1, 0))</f>
        <v>1.4804742757389995E-2</v>
      </c>
      <c r="E439" s="2">
        <f ca="1">INDEX(Simulations!$A$1:$BK$2501, 439, MATCH("Yr1Shock", Simulations!$A$1:$BK$1, 0))</f>
        <v>-1.9772073267201266E-2</v>
      </c>
    </row>
    <row r="440" spans="1:5" x14ac:dyDescent="0.3">
      <c r="A440" s="2">
        <f ca="1">INDEX(Simulations!$A$1:$BK$2501, 440, MATCH("PurchaseMultiple", Simulations!$A$1:$BK$1, 0))</f>
        <v>6.9888676192940835</v>
      </c>
      <c r="B440" s="2">
        <f ca="1">INDEX(Simulations!$A$1:$BK$2501, 440, MATCH("ExitMultiple", Simulations!$A$1:$BK$1, 0))</f>
        <v>7.7276898291915597</v>
      </c>
      <c r="C440" s="2">
        <f ca="1">INDEX(Simulations!$A$1:$BK$2501, 440, MATCH("RevCAGR", Simulations!$A$1:$BK$1, 0))</f>
        <v>-0.02</v>
      </c>
      <c r="D440" s="2">
        <f ca="1">INDEX(Simulations!$A$1:$BK$2501, 440, MATCH("SynMargin", Simulations!$A$1:$BK$1, 0))</f>
        <v>1.6139102077568451E-2</v>
      </c>
      <c r="E440" s="2">
        <f ca="1">INDEX(Simulations!$A$1:$BK$2501, 440, MATCH("Yr1Shock", Simulations!$A$1:$BK$1, 0))</f>
        <v>-3.0649686798235012E-2</v>
      </c>
    </row>
    <row r="441" spans="1:5" x14ac:dyDescent="0.3">
      <c r="A441" s="2">
        <f ca="1">INDEX(Simulations!$A$1:$BK$2501, 441, MATCH("PurchaseMultiple", Simulations!$A$1:$BK$1, 0))</f>
        <v>6.5325140868579581</v>
      </c>
      <c r="B441" s="2">
        <f ca="1">INDEX(Simulations!$A$1:$BK$2501, 441, MATCH("ExitMultiple", Simulations!$A$1:$BK$1, 0))</f>
        <v>8.0607472740170056</v>
      </c>
      <c r="C441" s="2">
        <f ca="1">INDEX(Simulations!$A$1:$BK$2501, 441, MATCH("RevCAGR", Simulations!$A$1:$BK$1, 0))</f>
        <v>4.9677844433555912E-2</v>
      </c>
      <c r="D441" s="2">
        <f ca="1">INDEX(Simulations!$A$1:$BK$2501, 441, MATCH("SynMargin", Simulations!$A$1:$BK$1, 0))</f>
        <v>7.7316224656510894E-3</v>
      </c>
      <c r="E441" s="2">
        <f ca="1">INDEX(Simulations!$A$1:$BK$2501, 441, MATCH("Yr1Shock", Simulations!$A$1:$BK$1, 0))</f>
        <v>-5.2370070512460934E-3</v>
      </c>
    </row>
    <row r="442" spans="1:5" x14ac:dyDescent="0.3">
      <c r="A442" s="2">
        <f ca="1">INDEX(Simulations!$A$1:$BK$2501, 442, MATCH("PurchaseMultiple", Simulations!$A$1:$BK$1, 0))</f>
        <v>6.014929590515905</v>
      </c>
      <c r="B442" s="2">
        <f ca="1">INDEX(Simulations!$A$1:$BK$2501, 442, MATCH("ExitMultiple", Simulations!$A$1:$BK$1, 0))</f>
        <v>7.8682801836013834</v>
      </c>
      <c r="C442" s="2">
        <f ca="1">INDEX(Simulations!$A$1:$BK$2501, 442, MATCH("RevCAGR", Simulations!$A$1:$BK$1, 0))</f>
        <v>4.4910769807447001E-2</v>
      </c>
      <c r="D442" s="2">
        <f ca="1">INDEX(Simulations!$A$1:$BK$2501, 442, MATCH("SynMargin", Simulations!$A$1:$BK$1, 0))</f>
        <v>1.0428008333689351E-2</v>
      </c>
      <c r="E442" s="2">
        <f ca="1">INDEX(Simulations!$A$1:$BK$2501, 442, MATCH("Yr1Shock", Simulations!$A$1:$BK$1, 0))</f>
        <v>-7.2354019749753598E-3</v>
      </c>
    </row>
    <row r="443" spans="1:5" x14ac:dyDescent="0.3">
      <c r="A443" s="2">
        <f ca="1">INDEX(Simulations!$A$1:$BK$2501, 443, MATCH("PurchaseMultiple", Simulations!$A$1:$BK$1, 0))</f>
        <v>6.9252573808952533</v>
      </c>
      <c r="B443" s="2">
        <f ca="1">INDEX(Simulations!$A$1:$BK$2501, 443, MATCH("ExitMultiple", Simulations!$A$1:$BK$1, 0))</f>
        <v>7.5967261064285641</v>
      </c>
      <c r="C443" s="2">
        <f ca="1">INDEX(Simulations!$A$1:$BK$2501, 443, MATCH("RevCAGR", Simulations!$A$1:$BK$1, 0))</f>
        <v>1.4559623313204081E-2</v>
      </c>
      <c r="D443" s="2">
        <f ca="1">INDEX(Simulations!$A$1:$BK$2501, 443, MATCH("SynMargin", Simulations!$A$1:$BK$1, 0))</f>
        <v>4.7011923635018448E-3</v>
      </c>
      <c r="E443" s="2">
        <f ca="1">INDEX(Simulations!$A$1:$BK$2501, 443, MATCH("Yr1Shock", Simulations!$A$1:$BK$1, 0))</f>
        <v>-0.05</v>
      </c>
    </row>
    <row r="444" spans="1:5" x14ac:dyDescent="0.3">
      <c r="A444" s="2">
        <f ca="1">INDEX(Simulations!$A$1:$BK$2501, 444, MATCH("PurchaseMultiple", Simulations!$A$1:$BK$1, 0))</f>
        <v>7.1616961193257964</v>
      </c>
      <c r="B444" s="2">
        <f ca="1">INDEX(Simulations!$A$1:$BK$2501, 444, MATCH("ExitMultiple", Simulations!$A$1:$BK$1, 0))</f>
        <v>7.7942500290730372</v>
      </c>
      <c r="C444" s="2">
        <f ca="1">INDEX(Simulations!$A$1:$BK$2501, 444, MATCH("RevCAGR", Simulations!$A$1:$BK$1, 0))</f>
        <v>1.5761096505566813E-2</v>
      </c>
      <c r="D444" s="2">
        <f ca="1">INDEX(Simulations!$A$1:$BK$2501, 444, MATCH("SynMargin", Simulations!$A$1:$BK$1, 0))</f>
        <v>9.0595762890489061E-3</v>
      </c>
      <c r="E444" s="2">
        <f ca="1">INDEX(Simulations!$A$1:$BK$2501, 444, MATCH("Yr1Shock", Simulations!$A$1:$BK$1, 0))</f>
        <v>-1.4515257788838741E-2</v>
      </c>
    </row>
    <row r="445" spans="1:5" x14ac:dyDescent="0.3">
      <c r="A445" s="2">
        <f ca="1">INDEX(Simulations!$A$1:$BK$2501, 445, MATCH("PurchaseMultiple", Simulations!$A$1:$BK$1, 0))</f>
        <v>7.0325667215922678</v>
      </c>
      <c r="B445" s="2">
        <f ca="1">INDEX(Simulations!$A$1:$BK$2501, 445, MATCH("ExitMultiple", Simulations!$A$1:$BK$1, 0))</f>
        <v>7.2513945060619367</v>
      </c>
      <c r="C445" s="2">
        <f ca="1">INDEX(Simulations!$A$1:$BK$2501, 445, MATCH("RevCAGR", Simulations!$A$1:$BK$1, 0))</f>
        <v>2.7971499006567424E-2</v>
      </c>
      <c r="D445" s="2">
        <f ca="1">INDEX(Simulations!$A$1:$BK$2501, 445, MATCH("SynMargin", Simulations!$A$1:$BK$1, 0))</f>
        <v>6.8267972293770025E-3</v>
      </c>
      <c r="E445" s="2">
        <f ca="1">INDEX(Simulations!$A$1:$BK$2501, 445, MATCH("Yr1Shock", Simulations!$A$1:$BK$1, 0))</f>
        <v>-5.6161554723552724E-3</v>
      </c>
    </row>
    <row r="446" spans="1:5" x14ac:dyDescent="0.3">
      <c r="A446" s="2">
        <f ca="1">INDEX(Simulations!$A$1:$BK$2501, 446, MATCH("PurchaseMultiple", Simulations!$A$1:$BK$1, 0))</f>
        <v>7.2997048055770035</v>
      </c>
      <c r="B446" s="2">
        <f ca="1">INDEX(Simulations!$A$1:$BK$2501, 446, MATCH("ExitMultiple", Simulations!$A$1:$BK$1, 0))</f>
        <v>8.0477363569692191</v>
      </c>
      <c r="C446" s="2">
        <f ca="1">INDEX(Simulations!$A$1:$BK$2501, 446, MATCH("RevCAGR", Simulations!$A$1:$BK$1, 0))</f>
        <v>4.5422032079841843E-2</v>
      </c>
      <c r="D446" s="2">
        <f ca="1">INDEX(Simulations!$A$1:$BK$2501, 446, MATCH("SynMargin", Simulations!$A$1:$BK$1, 0))</f>
        <v>9.4374511212840552E-3</v>
      </c>
      <c r="E446" s="2">
        <f ca="1">INDEX(Simulations!$A$1:$BK$2501, 446, MATCH("Yr1Shock", Simulations!$A$1:$BK$1, 0))</f>
        <v>8.5270222547925486E-3</v>
      </c>
    </row>
    <row r="447" spans="1:5" x14ac:dyDescent="0.3">
      <c r="A447" s="2">
        <f ca="1">INDEX(Simulations!$A$1:$BK$2501, 447, MATCH("PurchaseMultiple", Simulations!$A$1:$BK$1, 0))</f>
        <v>6.7748256253777068</v>
      </c>
      <c r="B447" s="2">
        <f ca="1">INDEX(Simulations!$A$1:$BK$2501, 447, MATCH("ExitMultiple", Simulations!$A$1:$BK$1, 0))</f>
        <v>7.1317938901115641</v>
      </c>
      <c r="C447" s="2">
        <f ca="1">INDEX(Simulations!$A$1:$BK$2501, 447, MATCH("RevCAGR", Simulations!$A$1:$BK$1, 0))</f>
        <v>1.9297221045793848E-2</v>
      </c>
      <c r="D447" s="2">
        <f ca="1">INDEX(Simulations!$A$1:$BK$2501, 447, MATCH("SynMargin", Simulations!$A$1:$BK$1, 0))</f>
        <v>1.1792828788287552E-2</v>
      </c>
      <c r="E447" s="2">
        <f ca="1">INDEX(Simulations!$A$1:$BK$2501, 447, MATCH("Yr1Shock", Simulations!$A$1:$BK$1, 0))</f>
        <v>3.5476018334717793E-2</v>
      </c>
    </row>
    <row r="448" spans="1:5" x14ac:dyDescent="0.3">
      <c r="A448" s="2">
        <f ca="1">INDEX(Simulations!$A$1:$BK$2501, 448, MATCH("PurchaseMultiple", Simulations!$A$1:$BK$1, 0))</f>
        <v>7.1194292151459857</v>
      </c>
      <c r="B448" s="2">
        <f ca="1">INDEX(Simulations!$A$1:$BK$2501, 448, MATCH("ExitMultiple", Simulations!$A$1:$BK$1, 0))</f>
        <v>8.2438936383340273</v>
      </c>
      <c r="C448" s="2">
        <f ca="1">INDEX(Simulations!$A$1:$BK$2501, 448, MATCH("RevCAGR", Simulations!$A$1:$BK$1, 0))</f>
        <v>4.9794148431713398E-2</v>
      </c>
      <c r="D448" s="2">
        <f ca="1">INDEX(Simulations!$A$1:$BK$2501, 448, MATCH("SynMargin", Simulations!$A$1:$BK$1, 0))</f>
        <v>6.2474587751185813E-3</v>
      </c>
      <c r="E448" s="2">
        <f ca="1">INDEX(Simulations!$A$1:$BK$2501, 448, MATCH("Yr1Shock", Simulations!$A$1:$BK$1, 0))</f>
        <v>3.3122677690329734E-2</v>
      </c>
    </row>
    <row r="449" spans="1:5" x14ac:dyDescent="0.3">
      <c r="A449" s="2">
        <f ca="1">INDEX(Simulations!$A$1:$BK$2501, 449, MATCH("PurchaseMultiple", Simulations!$A$1:$BK$1, 0))</f>
        <v>6.2432233438631695</v>
      </c>
      <c r="B449" s="2">
        <f ca="1">INDEX(Simulations!$A$1:$BK$2501, 449, MATCH("ExitMultiple", Simulations!$A$1:$BK$1, 0))</f>
        <v>8.0227196027044112</v>
      </c>
      <c r="C449" s="2">
        <f ca="1">INDEX(Simulations!$A$1:$BK$2501, 449, MATCH("RevCAGR", Simulations!$A$1:$BK$1, 0))</f>
        <v>6.8141332371570038E-2</v>
      </c>
      <c r="D449" s="2">
        <f ca="1">INDEX(Simulations!$A$1:$BK$2501, 449, MATCH("SynMargin", Simulations!$A$1:$BK$1, 0))</f>
        <v>5.602281329884406E-3</v>
      </c>
      <c r="E449" s="2">
        <f ca="1">INDEX(Simulations!$A$1:$BK$2501, 449, MATCH("Yr1Shock", Simulations!$A$1:$BK$1, 0))</f>
        <v>3.4404319126767995E-2</v>
      </c>
    </row>
    <row r="450" spans="1:5" x14ac:dyDescent="0.3">
      <c r="A450" s="2">
        <f ca="1">INDEX(Simulations!$A$1:$BK$2501, 450, MATCH("PurchaseMultiple", Simulations!$A$1:$BK$1, 0))</f>
        <v>7.377295480521469</v>
      </c>
      <c r="B450" s="2">
        <f ca="1">INDEX(Simulations!$A$1:$BK$2501, 450, MATCH("ExitMultiple", Simulations!$A$1:$BK$1, 0))</f>
        <v>7.8108729327524715</v>
      </c>
      <c r="C450" s="2">
        <f ca="1">INDEX(Simulations!$A$1:$BK$2501, 450, MATCH("RevCAGR", Simulations!$A$1:$BK$1, 0))</f>
        <v>4.903829911753943E-2</v>
      </c>
      <c r="D450" s="2">
        <f ca="1">INDEX(Simulations!$A$1:$BK$2501, 450, MATCH("SynMargin", Simulations!$A$1:$BK$1, 0))</f>
        <v>1.3533473808705372E-2</v>
      </c>
      <c r="E450" s="2">
        <f ca="1">INDEX(Simulations!$A$1:$BK$2501, 450, MATCH("Yr1Shock", Simulations!$A$1:$BK$1, 0))</f>
        <v>-1.6605151109145788E-2</v>
      </c>
    </row>
    <row r="451" spans="1:5" x14ac:dyDescent="0.3">
      <c r="A451" s="2">
        <f ca="1">INDEX(Simulations!$A$1:$BK$2501, 451, MATCH("PurchaseMultiple", Simulations!$A$1:$BK$1, 0))</f>
        <v>7.4763869979245605</v>
      </c>
      <c r="B451" s="2">
        <f ca="1">INDEX(Simulations!$A$1:$BK$2501, 451, MATCH("ExitMultiple", Simulations!$A$1:$BK$1, 0))</f>
        <v>7.1431632039745745</v>
      </c>
      <c r="C451" s="2">
        <f ca="1">INDEX(Simulations!$A$1:$BK$2501, 451, MATCH("RevCAGR", Simulations!$A$1:$BK$1, 0))</f>
        <v>6.4141342804911156E-2</v>
      </c>
      <c r="D451" s="2">
        <f ca="1">INDEX(Simulations!$A$1:$BK$2501, 451, MATCH("SynMargin", Simulations!$A$1:$BK$1, 0))</f>
        <v>8.8438648183449455E-3</v>
      </c>
      <c r="E451" s="2">
        <f ca="1">INDEX(Simulations!$A$1:$BK$2501, 451, MATCH("Yr1Shock", Simulations!$A$1:$BK$1, 0))</f>
        <v>-2.5880572630234983E-3</v>
      </c>
    </row>
    <row r="452" spans="1:5" x14ac:dyDescent="0.3">
      <c r="A452" s="2">
        <f ca="1">INDEX(Simulations!$A$1:$BK$2501, 452, MATCH("PurchaseMultiple", Simulations!$A$1:$BK$1, 0))</f>
        <v>6.9006011114568171</v>
      </c>
      <c r="B452" s="2">
        <f ca="1">INDEX(Simulations!$A$1:$BK$2501, 452, MATCH("ExitMultiple", Simulations!$A$1:$BK$1, 0))</f>
        <v>7.0857277086119321</v>
      </c>
      <c r="C452" s="2">
        <f ca="1">INDEX(Simulations!$A$1:$BK$2501, 452, MATCH("RevCAGR", Simulations!$A$1:$BK$1, 0))</f>
        <v>8.5654697257942378E-2</v>
      </c>
      <c r="D452" s="2">
        <f ca="1">INDEX(Simulations!$A$1:$BK$2501, 452, MATCH("SynMargin", Simulations!$A$1:$BK$1, 0))</f>
        <v>6.513263527817852E-3</v>
      </c>
      <c r="E452" s="2">
        <f ca="1">INDEX(Simulations!$A$1:$BK$2501, 452, MATCH("Yr1Shock", Simulations!$A$1:$BK$1, 0))</f>
        <v>1.7365245102325309E-2</v>
      </c>
    </row>
    <row r="453" spans="1:5" x14ac:dyDescent="0.3">
      <c r="A453" s="2">
        <f ca="1">INDEX(Simulations!$A$1:$BK$2501, 453, MATCH("PurchaseMultiple", Simulations!$A$1:$BK$1, 0))</f>
        <v>7.3584102232630233</v>
      </c>
      <c r="B453" s="2">
        <f ca="1">INDEX(Simulations!$A$1:$BK$2501, 453, MATCH("ExitMultiple", Simulations!$A$1:$BK$1, 0))</f>
        <v>7.5178666290918024</v>
      </c>
      <c r="C453" s="2">
        <f ca="1">INDEX(Simulations!$A$1:$BK$2501, 453, MATCH("RevCAGR", Simulations!$A$1:$BK$1, 0))</f>
        <v>2.7081103731998797E-2</v>
      </c>
      <c r="D453" s="2">
        <f ca="1">INDEX(Simulations!$A$1:$BK$2501, 453, MATCH("SynMargin", Simulations!$A$1:$BK$1, 0))</f>
        <v>9.5143878373675547E-3</v>
      </c>
      <c r="E453" s="2">
        <f ca="1">INDEX(Simulations!$A$1:$BK$2501, 453, MATCH("Yr1Shock", Simulations!$A$1:$BK$1, 0))</f>
        <v>1.2891314350744624E-3</v>
      </c>
    </row>
    <row r="454" spans="1:5" x14ac:dyDescent="0.3">
      <c r="A454" s="2">
        <f ca="1">INDEX(Simulations!$A$1:$BK$2501, 454, MATCH("PurchaseMultiple", Simulations!$A$1:$BK$1, 0))</f>
        <v>7.3671763486197115</v>
      </c>
      <c r="B454" s="2">
        <f ca="1">INDEX(Simulations!$A$1:$BK$2501, 454, MATCH("ExitMultiple", Simulations!$A$1:$BK$1, 0))</f>
        <v>7.7947896773385139</v>
      </c>
      <c r="C454" s="2">
        <f ca="1">INDEX(Simulations!$A$1:$BK$2501, 454, MATCH("RevCAGR", Simulations!$A$1:$BK$1, 0))</f>
        <v>8.0910944360907178E-2</v>
      </c>
      <c r="D454" s="2">
        <f ca="1">INDEX(Simulations!$A$1:$BK$2501, 454, MATCH("SynMargin", Simulations!$A$1:$BK$1, 0))</f>
        <v>1.2478592051008439E-2</v>
      </c>
      <c r="E454" s="2">
        <f ca="1">INDEX(Simulations!$A$1:$BK$2501, 454, MATCH("Yr1Shock", Simulations!$A$1:$BK$1, 0))</f>
        <v>-9.3743246350368268E-3</v>
      </c>
    </row>
    <row r="455" spans="1:5" x14ac:dyDescent="0.3">
      <c r="A455" s="2">
        <f ca="1">INDEX(Simulations!$A$1:$BK$2501, 455, MATCH("PurchaseMultiple", Simulations!$A$1:$BK$1, 0))</f>
        <v>7.7866852593379638</v>
      </c>
      <c r="B455" s="2">
        <f ca="1">INDEX(Simulations!$A$1:$BK$2501, 455, MATCH("ExitMultiple", Simulations!$A$1:$BK$1, 0))</f>
        <v>7.6596685228818826</v>
      </c>
      <c r="C455" s="2">
        <f ca="1">INDEX(Simulations!$A$1:$BK$2501, 455, MATCH("RevCAGR", Simulations!$A$1:$BK$1, 0))</f>
        <v>4.2987522132628665E-2</v>
      </c>
      <c r="D455" s="2">
        <f ca="1">INDEX(Simulations!$A$1:$BK$2501, 455, MATCH("SynMargin", Simulations!$A$1:$BK$1, 0))</f>
        <v>7.254964102541334E-3</v>
      </c>
      <c r="E455" s="2">
        <f ca="1">INDEX(Simulations!$A$1:$BK$2501, 455, MATCH("Yr1Shock", Simulations!$A$1:$BK$1, 0))</f>
        <v>1.3690819116972426E-2</v>
      </c>
    </row>
    <row r="456" spans="1:5" x14ac:dyDescent="0.3">
      <c r="A456" s="2">
        <f ca="1">INDEX(Simulations!$A$1:$BK$2501, 456, MATCH("PurchaseMultiple", Simulations!$A$1:$BK$1, 0))</f>
        <v>6.837954010641516</v>
      </c>
      <c r="B456" s="2">
        <f ca="1">INDEX(Simulations!$A$1:$BK$2501, 456, MATCH("ExitMultiple", Simulations!$A$1:$BK$1, 0))</f>
        <v>7.6320649833828496</v>
      </c>
      <c r="C456" s="2">
        <f ca="1">INDEX(Simulations!$A$1:$BK$2501, 456, MATCH("RevCAGR", Simulations!$A$1:$BK$1, 0))</f>
        <v>7.3148629934052356E-2</v>
      </c>
      <c r="D456" s="2">
        <f ca="1">INDEX(Simulations!$A$1:$BK$2501, 456, MATCH("SynMargin", Simulations!$A$1:$BK$1, 0))</f>
        <v>8.7584141787078896E-3</v>
      </c>
      <c r="E456" s="2">
        <f ca="1">INDEX(Simulations!$A$1:$BK$2501, 456, MATCH("Yr1Shock", Simulations!$A$1:$BK$1, 0))</f>
        <v>-2.2464895253504119E-2</v>
      </c>
    </row>
    <row r="457" spans="1:5" x14ac:dyDescent="0.3">
      <c r="A457" s="2">
        <f ca="1">INDEX(Simulations!$A$1:$BK$2501, 457, MATCH("PurchaseMultiple", Simulations!$A$1:$BK$1, 0))</f>
        <v>7.0363380272003333</v>
      </c>
      <c r="B457" s="2">
        <f ca="1">INDEX(Simulations!$A$1:$BK$2501, 457, MATCH("ExitMultiple", Simulations!$A$1:$BK$1, 0))</f>
        <v>7.526016246817365</v>
      </c>
      <c r="C457" s="2">
        <f ca="1">INDEX(Simulations!$A$1:$BK$2501, 457, MATCH("RevCAGR", Simulations!$A$1:$BK$1, 0))</f>
        <v>5.8244996878031398E-2</v>
      </c>
      <c r="D457" s="2">
        <f ca="1">INDEX(Simulations!$A$1:$BK$2501, 457, MATCH("SynMargin", Simulations!$A$1:$BK$1, 0))</f>
        <v>5.517690734576676E-3</v>
      </c>
      <c r="E457" s="2">
        <f ca="1">INDEX(Simulations!$A$1:$BK$2501, 457, MATCH("Yr1Shock", Simulations!$A$1:$BK$1, 0))</f>
        <v>-5.1652673785176073E-3</v>
      </c>
    </row>
    <row r="458" spans="1:5" x14ac:dyDescent="0.3">
      <c r="A458" s="2">
        <f ca="1">INDEX(Simulations!$A$1:$BK$2501, 458, MATCH("PurchaseMultiple", Simulations!$A$1:$BK$1, 0))</f>
        <v>7.5535967691433683</v>
      </c>
      <c r="B458" s="2">
        <f ca="1">INDEX(Simulations!$A$1:$BK$2501, 458, MATCH("ExitMultiple", Simulations!$A$1:$BK$1, 0))</f>
        <v>7.6407138917633874</v>
      </c>
      <c r="C458" s="2">
        <f ca="1">INDEX(Simulations!$A$1:$BK$2501, 458, MATCH("RevCAGR", Simulations!$A$1:$BK$1, 0))</f>
        <v>4.9112212676451328E-2</v>
      </c>
      <c r="D458" s="2">
        <f ca="1">INDEX(Simulations!$A$1:$BK$2501, 458, MATCH("SynMargin", Simulations!$A$1:$BK$1, 0))</f>
        <v>4.7934428287382596E-3</v>
      </c>
      <c r="E458" s="2">
        <f ca="1">INDEX(Simulations!$A$1:$BK$2501, 458, MATCH("Yr1Shock", Simulations!$A$1:$BK$1, 0))</f>
        <v>1.0595147488953309E-2</v>
      </c>
    </row>
    <row r="459" spans="1:5" x14ac:dyDescent="0.3">
      <c r="A459" s="2">
        <f ca="1">INDEX(Simulations!$A$1:$BK$2501, 459, MATCH("PurchaseMultiple", Simulations!$A$1:$BK$1, 0))</f>
        <v>7.5489371953262161</v>
      </c>
      <c r="B459" s="2">
        <f ca="1">INDEX(Simulations!$A$1:$BK$2501, 459, MATCH("ExitMultiple", Simulations!$A$1:$BK$1, 0))</f>
        <v>7.3906022997784762</v>
      </c>
      <c r="C459" s="2">
        <f ca="1">INDEX(Simulations!$A$1:$BK$2501, 459, MATCH("RevCAGR", Simulations!$A$1:$BK$1, 0))</f>
        <v>9.6255697681500996E-2</v>
      </c>
      <c r="D459" s="2">
        <f ca="1">INDEX(Simulations!$A$1:$BK$2501, 459, MATCH("SynMargin", Simulations!$A$1:$BK$1, 0))</f>
        <v>0</v>
      </c>
      <c r="E459" s="2">
        <f ca="1">INDEX(Simulations!$A$1:$BK$2501, 459, MATCH("Yr1Shock", Simulations!$A$1:$BK$1, 0))</f>
        <v>-2.8995364995961857E-2</v>
      </c>
    </row>
    <row r="460" spans="1:5" x14ac:dyDescent="0.3">
      <c r="A460" s="2">
        <f ca="1">INDEX(Simulations!$A$1:$BK$2501, 460, MATCH("PurchaseMultiple", Simulations!$A$1:$BK$1, 0))</f>
        <v>6.2826380102703334</v>
      </c>
      <c r="B460" s="2">
        <f ca="1">INDEX(Simulations!$A$1:$BK$2501, 460, MATCH("ExitMultiple", Simulations!$A$1:$BK$1, 0))</f>
        <v>7.043782996543781</v>
      </c>
      <c r="C460" s="2">
        <f ca="1">INDEX(Simulations!$A$1:$BK$2501, 460, MATCH("RevCAGR", Simulations!$A$1:$BK$1, 0))</f>
        <v>6.517048837629251E-2</v>
      </c>
      <c r="D460" s="2">
        <f ca="1">INDEX(Simulations!$A$1:$BK$2501, 460, MATCH("SynMargin", Simulations!$A$1:$BK$1, 0))</f>
        <v>2.1087638052486687E-2</v>
      </c>
      <c r="E460" s="2">
        <f ca="1">INDEX(Simulations!$A$1:$BK$2501, 460, MATCH("Yr1Shock", Simulations!$A$1:$BK$1, 0))</f>
        <v>2.0907470470527E-2</v>
      </c>
    </row>
    <row r="461" spans="1:5" x14ac:dyDescent="0.3">
      <c r="A461" s="2">
        <f ca="1">INDEX(Simulations!$A$1:$BK$2501, 461, MATCH("PurchaseMultiple", Simulations!$A$1:$BK$1, 0))</f>
        <v>6.7779052222793803</v>
      </c>
      <c r="B461" s="2">
        <f ca="1">INDEX(Simulations!$A$1:$BK$2501, 461, MATCH("ExitMultiple", Simulations!$A$1:$BK$1, 0))</f>
        <v>7.5580779321889517</v>
      </c>
      <c r="C461" s="2">
        <f ca="1">INDEX(Simulations!$A$1:$BK$2501, 461, MATCH("RevCAGR", Simulations!$A$1:$BK$1, 0))</f>
        <v>1.094893028200224E-2</v>
      </c>
      <c r="D461" s="2">
        <f ca="1">INDEX(Simulations!$A$1:$BK$2501, 461, MATCH("SynMargin", Simulations!$A$1:$BK$1, 0))</f>
        <v>1.1916415940128978E-2</v>
      </c>
      <c r="E461" s="2">
        <f ca="1">INDEX(Simulations!$A$1:$BK$2501, 461, MATCH("Yr1Shock", Simulations!$A$1:$BK$1, 0))</f>
        <v>-1.0517280684565439E-2</v>
      </c>
    </row>
    <row r="462" spans="1:5" x14ac:dyDescent="0.3">
      <c r="A462" s="2">
        <f ca="1">INDEX(Simulations!$A$1:$BK$2501, 462, MATCH("PurchaseMultiple", Simulations!$A$1:$BK$1, 0))</f>
        <v>6.7834227921192749</v>
      </c>
      <c r="B462" s="2">
        <f ca="1">INDEX(Simulations!$A$1:$BK$2501, 462, MATCH("ExitMultiple", Simulations!$A$1:$BK$1, 0))</f>
        <v>7.1516799838416159</v>
      </c>
      <c r="C462" s="2">
        <f ca="1">INDEX(Simulations!$A$1:$BK$2501, 462, MATCH("RevCAGR", Simulations!$A$1:$BK$1, 0))</f>
        <v>1.7421944212135842E-2</v>
      </c>
      <c r="D462" s="2">
        <f ca="1">INDEX(Simulations!$A$1:$BK$2501, 462, MATCH("SynMargin", Simulations!$A$1:$BK$1, 0))</f>
        <v>1.9809510594432218E-2</v>
      </c>
      <c r="E462" s="2">
        <f ca="1">INDEX(Simulations!$A$1:$BK$2501, 462, MATCH("Yr1Shock", Simulations!$A$1:$BK$1, 0))</f>
        <v>2.9184378629026632E-3</v>
      </c>
    </row>
    <row r="463" spans="1:5" x14ac:dyDescent="0.3">
      <c r="A463" s="2">
        <f ca="1">INDEX(Simulations!$A$1:$BK$2501, 463, MATCH("PurchaseMultiple", Simulations!$A$1:$BK$1, 0))</f>
        <v>6.9558096779255569</v>
      </c>
      <c r="B463" s="2">
        <f ca="1">INDEX(Simulations!$A$1:$BK$2501, 463, MATCH("ExitMultiple", Simulations!$A$1:$BK$1, 0))</f>
        <v>8.2236673512201843</v>
      </c>
      <c r="C463" s="2">
        <f ca="1">INDEX(Simulations!$A$1:$BK$2501, 463, MATCH("RevCAGR", Simulations!$A$1:$BK$1, 0))</f>
        <v>3.3547173079787121E-3</v>
      </c>
      <c r="D463" s="2">
        <f ca="1">INDEX(Simulations!$A$1:$BK$2501, 463, MATCH("SynMargin", Simulations!$A$1:$BK$1, 0))</f>
        <v>5.3663308565708731E-3</v>
      </c>
      <c r="E463" s="2">
        <f ca="1">INDEX(Simulations!$A$1:$BK$2501, 463, MATCH("Yr1Shock", Simulations!$A$1:$BK$1, 0))</f>
        <v>5.9810731426519657E-3</v>
      </c>
    </row>
    <row r="464" spans="1:5" x14ac:dyDescent="0.3">
      <c r="A464" s="2">
        <f ca="1">INDEX(Simulations!$A$1:$BK$2501, 464, MATCH("PurchaseMultiple", Simulations!$A$1:$BK$1, 0))</f>
        <v>7.2975251304279167</v>
      </c>
      <c r="B464" s="2">
        <f ca="1">INDEX(Simulations!$A$1:$BK$2501, 464, MATCH("ExitMultiple", Simulations!$A$1:$BK$1, 0))</f>
        <v>6.984625260644715</v>
      </c>
      <c r="C464" s="2">
        <f ca="1">INDEX(Simulations!$A$1:$BK$2501, 464, MATCH("RevCAGR", Simulations!$A$1:$BK$1, 0))</f>
        <v>3.6236981000850918E-2</v>
      </c>
      <c r="D464" s="2">
        <f ca="1">INDEX(Simulations!$A$1:$BK$2501, 464, MATCH("SynMargin", Simulations!$A$1:$BK$1, 0))</f>
        <v>1.3810153545802013E-3</v>
      </c>
      <c r="E464" s="2">
        <f ca="1">INDEX(Simulations!$A$1:$BK$2501, 464, MATCH("Yr1Shock", Simulations!$A$1:$BK$1, 0))</f>
        <v>-2.0658754566378234E-2</v>
      </c>
    </row>
    <row r="465" spans="1:5" x14ac:dyDescent="0.3">
      <c r="A465" s="2">
        <f ca="1">INDEX(Simulations!$A$1:$BK$2501, 465, MATCH("PurchaseMultiple", Simulations!$A$1:$BK$1, 0))</f>
        <v>7.4467924144809183</v>
      </c>
      <c r="B465" s="2">
        <f ca="1">INDEX(Simulations!$A$1:$BK$2501, 465, MATCH("ExitMultiple", Simulations!$A$1:$BK$1, 0))</f>
        <v>7.5157579593758745</v>
      </c>
      <c r="C465" s="2">
        <f ca="1">INDEX(Simulations!$A$1:$BK$2501, 465, MATCH("RevCAGR", Simulations!$A$1:$BK$1, 0))</f>
        <v>5.1345268015050655E-2</v>
      </c>
      <c r="D465" s="2">
        <f ca="1">INDEX(Simulations!$A$1:$BK$2501, 465, MATCH("SynMargin", Simulations!$A$1:$BK$1, 0))</f>
        <v>3.0074317198007065E-3</v>
      </c>
      <c r="E465" s="2">
        <f ca="1">INDEX(Simulations!$A$1:$BK$2501, 465, MATCH("Yr1Shock", Simulations!$A$1:$BK$1, 0))</f>
        <v>1.5238407489993871E-2</v>
      </c>
    </row>
    <row r="466" spans="1:5" x14ac:dyDescent="0.3">
      <c r="A466" s="2">
        <f ca="1">INDEX(Simulations!$A$1:$BK$2501, 466, MATCH("PurchaseMultiple", Simulations!$A$1:$BK$1, 0))</f>
        <v>6.9018912690695817</v>
      </c>
      <c r="B466" s="2">
        <f ca="1">INDEX(Simulations!$A$1:$BK$2501, 466, MATCH("ExitMultiple", Simulations!$A$1:$BK$1, 0))</f>
        <v>8.0120822104476233</v>
      </c>
      <c r="C466" s="2">
        <f ca="1">INDEX(Simulations!$A$1:$BK$2501, 466, MATCH("RevCAGR", Simulations!$A$1:$BK$1, 0))</f>
        <v>2.98234828065259E-2</v>
      </c>
      <c r="D466" s="2">
        <f ca="1">INDEX(Simulations!$A$1:$BK$2501, 466, MATCH("SynMargin", Simulations!$A$1:$BK$1, 0))</f>
        <v>2.1602242411414268E-3</v>
      </c>
      <c r="E466" s="2">
        <f ca="1">INDEX(Simulations!$A$1:$BK$2501, 466, MATCH("Yr1Shock", Simulations!$A$1:$BK$1, 0))</f>
        <v>-1.6963164738312525E-2</v>
      </c>
    </row>
    <row r="467" spans="1:5" x14ac:dyDescent="0.3">
      <c r="A467" s="2">
        <f ca="1">INDEX(Simulations!$A$1:$BK$2501, 467, MATCH("PurchaseMultiple", Simulations!$A$1:$BK$1, 0))</f>
        <v>7.3878333987372251</v>
      </c>
      <c r="B467" s="2">
        <f ca="1">INDEX(Simulations!$A$1:$BK$2501, 467, MATCH("ExitMultiple", Simulations!$A$1:$BK$1, 0))</f>
        <v>7.1575890961262383</v>
      </c>
      <c r="C467" s="2">
        <f ca="1">INDEX(Simulations!$A$1:$BK$2501, 467, MATCH("RevCAGR", Simulations!$A$1:$BK$1, 0))</f>
        <v>5.1986269846860444E-2</v>
      </c>
      <c r="D467" s="2">
        <f ca="1">INDEX(Simulations!$A$1:$BK$2501, 467, MATCH("SynMargin", Simulations!$A$1:$BK$1, 0))</f>
        <v>1.3472161758004765E-2</v>
      </c>
      <c r="E467" s="2">
        <f ca="1">INDEX(Simulations!$A$1:$BK$2501, 467, MATCH("Yr1Shock", Simulations!$A$1:$BK$1, 0))</f>
        <v>-1.8072734028808959E-2</v>
      </c>
    </row>
    <row r="468" spans="1:5" x14ac:dyDescent="0.3">
      <c r="A468" s="2">
        <f ca="1">INDEX(Simulations!$A$1:$BK$2501, 468, MATCH("PurchaseMultiple", Simulations!$A$1:$BK$1, 0))</f>
        <v>7.3703139784295262</v>
      </c>
      <c r="B468" s="2">
        <f ca="1">INDEX(Simulations!$A$1:$BK$2501, 468, MATCH("ExitMultiple", Simulations!$A$1:$BK$1, 0))</f>
        <v>6.9326508088450849</v>
      </c>
      <c r="C468" s="2">
        <f ca="1">INDEX(Simulations!$A$1:$BK$2501, 468, MATCH("RevCAGR", Simulations!$A$1:$BK$1, 0))</f>
        <v>1.5352607293452628E-2</v>
      </c>
      <c r="D468" s="2">
        <f ca="1">INDEX(Simulations!$A$1:$BK$2501, 468, MATCH("SynMargin", Simulations!$A$1:$BK$1, 0))</f>
        <v>1.726115629568982E-2</v>
      </c>
      <c r="E468" s="2">
        <f ca="1">INDEX(Simulations!$A$1:$BK$2501, 468, MATCH("Yr1Shock", Simulations!$A$1:$BK$1, 0))</f>
        <v>-2.2962749802415468E-2</v>
      </c>
    </row>
    <row r="469" spans="1:5" x14ac:dyDescent="0.3">
      <c r="A469" s="2">
        <f ca="1">INDEX(Simulations!$A$1:$BK$2501, 469, MATCH("PurchaseMultiple", Simulations!$A$1:$BK$1, 0))</f>
        <v>7.0263541026889333</v>
      </c>
      <c r="B469" s="2">
        <f ca="1">INDEX(Simulations!$A$1:$BK$2501, 469, MATCH("ExitMultiple", Simulations!$A$1:$BK$1, 0))</f>
        <v>8.0344992380113371</v>
      </c>
      <c r="C469" s="2">
        <f ca="1">INDEX(Simulations!$A$1:$BK$2501, 469, MATCH("RevCAGR", Simulations!$A$1:$BK$1, 0))</f>
        <v>2.2215485414308025E-2</v>
      </c>
      <c r="D469" s="2">
        <f ca="1">INDEX(Simulations!$A$1:$BK$2501, 469, MATCH("SynMargin", Simulations!$A$1:$BK$1, 0))</f>
        <v>1.24385797011072E-2</v>
      </c>
      <c r="E469" s="2">
        <f ca="1">INDEX(Simulations!$A$1:$BK$2501, 469, MATCH("Yr1Shock", Simulations!$A$1:$BK$1, 0))</f>
        <v>-2.3398845854092659E-2</v>
      </c>
    </row>
    <row r="470" spans="1:5" x14ac:dyDescent="0.3">
      <c r="A470" s="2">
        <f ca="1">INDEX(Simulations!$A$1:$BK$2501, 470, MATCH("PurchaseMultiple", Simulations!$A$1:$BK$1, 0))</f>
        <v>7.5897755453764573</v>
      </c>
      <c r="B470" s="2">
        <f ca="1">INDEX(Simulations!$A$1:$BK$2501, 470, MATCH("ExitMultiple", Simulations!$A$1:$BK$1, 0))</f>
        <v>7.4455179081555203</v>
      </c>
      <c r="C470" s="2">
        <f ca="1">INDEX(Simulations!$A$1:$BK$2501, 470, MATCH("RevCAGR", Simulations!$A$1:$BK$1, 0))</f>
        <v>5.7064897036249104E-2</v>
      </c>
      <c r="D470" s="2">
        <f ca="1">INDEX(Simulations!$A$1:$BK$2501, 470, MATCH("SynMargin", Simulations!$A$1:$BK$1, 0))</f>
        <v>3.6764053490426826E-3</v>
      </c>
      <c r="E470" s="2">
        <f ca="1">INDEX(Simulations!$A$1:$BK$2501, 470, MATCH("Yr1Shock", Simulations!$A$1:$BK$1, 0))</f>
        <v>-9.8929435328858166E-3</v>
      </c>
    </row>
    <row r="471" spans="1:5" x14ac:dyDescent="0.3">
      <c r="A471" s="2">
        <f ca="1">INDEX(Simulations!$A$1:$BK$2501, 471, MATCH("PurchaseMultiple", Simulations!$A$1:$BK$1, 0))</f>
        <v>6.438359147798292</v>
      </c>
      <c r="B471" s="2">
        <f ca="1">INDEX(Simulations!$A$1:$BK$2501, 471, MATCH("ExitMultiple", Simulations!$A$1:$BK$1, 0))</f>
        <v>7.1159886181127838</v>
      </c>
      <c r="C471" s="2">
        <f ca="1">INDEX(Simulations!$A$1:$BK$2501, 471, MATCH("RevCAGR", Simulations!$A$1:$BK$1, 0))</f>
        <v>5.162658997761841E-2</v>
      </c>
      <c r="D471" s="2">
        <f ca="1">INDEX(Simulations!$A$1:$BK$2501, 471, MATCH("SynMargin", Simulations!$A$1:$BK$1, 0))</f>
        <v>1.237280289376165E-2</v>
      </c>
      <c r="E471" s="2">
        <f ca="1">INDEX(Simulations!$A$1:$BK$2501, 471, MATCH("Yr1Shock", Simulations!$A$1:$BK$1, 0))</f>
        <v>-2.0660891741274019E-2</v>
      </c>
    </row>
    <row r="472" spans="1:5" x14ac:dyDescent="0.3">
      <c r="A472" s="2">
        <f ca="1">INDEX(Simulations!$A$1:$BK$2501, 472, MATCH("PurchaseMultiple", Simulations!$A$1:$BK$1, 0))</f>
        <v>6.9777689742177635</v>
      </c>
      <c r="B472" s="2">
        <f ca="1">INDEX(Simulations!$A$1:$BK$2501, 472, MATCH("ExitMultiple", Simulations!$A$1:$BK$1, 0))</f>
        <v>6.9928927947256456</v>
      </c>
      <c r="C472" s="2">
        <f ca="1">INDEX(Simulations!$A$1:$BK$2501, 472, MATCH("RevCAGR", Simulations!$A$1:$BK$1, 0))</f>
        <v>4.0093251801120409E-2</v>
      </c>
      <c r="D472" s="2">
        <f ca="1">INDEX(Simulations!$A$1:$BK$2501, 472, MATCH("SynMargin", Simulations!$A$1:$BK$1, 0))</f>
        <v>1.1694774284984336E-2</v>
      </c>
      <c r="E472" s="2">
        <f ca="1">INDEX(Simulations!$A$1:$BK$2501, 472, MATCH("Yr1Shock", Simulations!$A$1:$BK$1, 0))</f>
        <v>-2.9173023514015899E-2</v>
      </c>
    </row>
    <row r="473" spans="1:5" x14ac:dyDescent="0.3">
      <c r="A473" s="2">
        <f ca="1">INDEX(Simulations!$A$1:$BK$2501, 473, MATCH("PurchaseMultiple", Simulations!$A$1:$BK$1, 0))</f>
        <v>7.1110518926850874</v>
      </c>
      <c r="B473" s="2">
        <f ca="1">INDEX(Simulations!$A$1:$BK$2501, 473, MATCH("ExitMultiple", Simulations!$A$1:$BK$1, 0))</f>
        <v>7.7982641302197306</v>
      </c>
      <c r="C473" s="2">
        <f ca="1">INDEX(Simulations!$A$1:$BK$2501, 473, MATCH("RevCAGR", Simulations!$A$1:$BK$1, 0))</f>
        <v>2.5618183536605773E-2</v>
      </c>
      <c r="D473" s="2">
        <f ca="1">INDEX(Simulations!$A$1:$BK$2501, 473, MATCH("SynMargin", Simulations!$A$1:$BK$1, 0))</f>
        <v>1.5295290656596475E-2</v>
      </c>
      <c r="E473" s="2">
        <f ca="1">INDEX(Simulations!$A$1:$BK$2501, 473, MATCH("Yr1Shock", Simulations!$A$1:$BK$1, 0))</f>
        <v>-2.6293461965761638E-2</v>
      </c>
    </row>
    <row r="474" spans="1:5" x14ac:dyDescent="0.3">
      <c r="A474" s="2">
        <f ca="1">INDEX(Simulations!$A$1:$BK$2501, 474, MATCH("PurchaseMultiple", Simulations!$A$1:$BK$1, 0))</f>
        <v>7.2021919477538878</v>
      </c>
      <c r="B474" s="2">
        <f ca="1">INDEX(Simulations!$A$1:$BK$2501, 474, MATCH("ExitMultiple", Simulations!$A$1:$BK$1, 0))</f>
        <v>6.7237657548253935</v>
      </c>
      <c r="C474" s="2">
        <f ca="1">INDEX(Simulations!$A$1:$BK$2501, 474, MATCH("RevCAGR", Simulations!$A$1:$BK$1, 0))</f>
        <v>4.2023752223345555E-2</v>
      </c>
      <c r="D474" s="2">
        <f ca="1">INDEX(Simulations!$A$1:$BK$2501, 474, MATCH("SynMargin", Simulations!$A$1:$BK$1, 0))</f>
        <v>8.1343303954204849E-3</v>
      </c>
      <c r="E474" s="2">
        <f ca="1">INDEX(Simulations!$A$1:$BK$2501, 474, MATCH("Yr1Shock", Simulations!$A$1:$BK$1, 0))</f>
        <v>-1.623543305929411E-3</v>
      </c>
    </row>
    <row r="475" spans="1:5" x14ac:dyDescent="0.3">
      <c r="A475" s="2">
        <f ca="1">INDEX(Simulations!$A$1:$BK$2501, 475, MATCH("PurchaseMultiple", Simulations!$A$1:$BK$1, 0))</f>
        <v>7.2726141103202817</v>
      </c>
      <c r="B475" s="2">
        <f ca="1">INDEX(Simulations!$A$1:$BK$2501, 475, MATCH("ExitMultiple", Simulations!$A$1:$BK$1, 0))</f>
        <v>6.8560865624033784</v>
      </c>
      <c r="C475" s="2">
        <f ca="1">INDEX(Simulations!$A$1:$BK$2501, 475, MATCH("RevCAGR", Simulations!$A$1:$BK$1, 0))</f>
        <v>6.1416869671796902E-2</v>
      </c>
      <c r="D475" s="2">
        <f ca="1">INDEX(Simulations!$A$1:$BK$2501, 475, MATCH("SynMargin", Simulations!$A$1:$BK$1, 0))</f>
        <v>6.8748269719408946E-3</v>
      </c>
      <c r="E475" s="2">
        <f ca="1">INDEX(Simulations!$A$1:$BK$2501, 475, MATCH("Yr1Shock", Simulations!$A$1:$BK$1, 0))</f>
        <v>-2.3033201793221249E-2</v>
      </c>
    </row>
    <row r="476" spans="1:5" x14ac:dyDescent="0.3">
      <c r="A476" s="2">
        <f ca="1">INDEX(Simulations!$A$1:$BK$2501, 476, MATCH("PurchaseMultiple", Simulations!$A$1:$BK$1, 0))</f>
        <v>6.2977308037919322</v>
      </c>
      <c r="B476" s="2">
        <f ca="1">INDEX(Simulations!$A$1:$BK$2501, 476, MATCH("ExitMultiple", Simulations!$A$1:$BK$1, 0))</f>
        <v>7.867440380929331</v>
      </c>
      <c r="C476" s="2">
        <f ca="1">INDEX(Simulations!$A$1:$BK$2501, 476, MATCH("RevCAGR", Simulations!$A$1:$BK$1, 0))</f>
        <v>2.9850246106112366E-2</v>
      </c>
      <c r="D476" s="2">
        <f ca="1">INDEX(Simulations!$A$1:$BK$2501, 476, MATCH("SynMargin", Simulations!$A$1:$BK$1, 0))</f>
        <v>1.4768079995030565E-2</v>
      </c>
      <c r="E476" s="2">
        <f ca="1">INDEX(Simulations!$A$1:$BK$2501, 476, MATCH("Yr1Shock", Simulations!$A$1:$BK$1, 0))</f>
        <v>-1.79834010682818E-5</v>
      </c>
    </row>
    <row r="477" spans="1:5" x14ac:dyDescent="0.3">
      <c r="A477" s="2">
        <f ca="1">INDEX(Simulations!$A$1:$BK$2501, 477, MATCH("PurchaseMultiple", Simulations!$A$1:$BK$1, 0))</f>
        <v>6.1360099341035035</v>
      </c>
      <c r="B477" s="2">
        <f ca="1">INDEX(Simulations!$A$1:$BK$2501, 477, MATCH("ExitMultiple", Simulations!$A$1:$BK$1, 0))</f>
        <v>7.6615540755574125</v>
      </c>
      <c r="C477" s="2">
        <f ca="1">INDEX(Simulations!$A$1:$BK$2501, 477, MATCH("RevCAGR", Simulations!$A$1:$BK$1, 0))</f>
        <v>5.5055909733068578E-2</v>
      </c>
      <c r="D477" s="2">
        <f ca="1">INDEX(Simulations!$A$1:$BK$2501, 477, MATCH("SynMargin", Simulations!$A$1:$BK$1, 0))</f>
        <v>1.2988236207464813E-2</v>
      </c>
      <c r="E477" s="2">
        <f ca="1">INDEX(Simulations!$A$1:$BK$2501, 477, MATCH("Yr1Shock", Simulations!$A$1:$BK$1, 0))</f>
        <v>1.5533445845173782E-3</v>
      </c>
    </row>
    <row r="478" spans="1:5" x14ac:dyDescent="0.3">
      <c r="A478" s="2">
        <f ca="1">INDEX(Simulations!$A$1:$BK$2501, 478, MATCH("PurchaseMultiple", Simulations!$A$1:$BK$1, 0))</f>
        <v>6.9571754114226216</v>
      </c>
      <c r="B478" s="2">
        <f ca="1">INDEX(Simulations!$A$1:$BK$2501, 478, MATCH("ExitMultiple", Simulations!$A$1:$BK$1, 0))</f>
        <v>7.6960722721586725</v>
      </c>
      <c r="C478" s="2">
        <f ca="1">INDEX(Simulations!$A$1:$BK$2501, 478, MATCH("RevCAGR", Simulations!$A$1:$BK$1, 0))</f>
        <v>-1.9949360176414813E-3</v>
      </c>
      <c r="D478" s="2">
        <f ca="1">INDEX(Simulations!$A$1:$BK$2501, 478, MATCH("SynMargin", Simulations!$A$1:$BK$1, 0))</f>
        <v>1.4930367021141476E-2</v>
      </c>
      <c r="E478" s="2">
        <f ca="1">INDEX(Simulations!$A$1:$BK$2501, 478, MATCH("Yr1Shock", Simulations!$A$1:$BK$1, 0))</f>
        <v>-3.5497923505488832E-2</v>
      </c>
    </row>
    <row r="479" spans="1:5" x14ac:dyDescent="0.3">
      <c r="A479" s="2">
        <f ca="1">INDEX(Simulations!$A$1:$BK$2501, 479, MATCH("PurchaseMultiple", Simulations!$A$1:$BK$1, 0))</f>
        <v>6.4088548323742103</v>
      </c>
      <c r="B479" s="2">
        <f ca="1">INDEX(Simulations!$A$1:$BK$2501, 479, MATCH("ExitMultiple", Simulations!$A$1:$BK$1, 0))</f>
        <v>7.3303169077807953</v>
      </c>
      <c r="C479" s="2">
        <f ca="1">INDEX(Simulations!$A$1:$BK$2501, 479, MATCH("RevCAGR", Simulations!$A$1:$BK$1, 0))</f>
        <v>5.5077806611491462E-2</v>
      </c>
      <c r="D479" s="2">
        <f ca="1">INDEX(Simulations!$A$1:$BK$2501, 479, MATCH("SynMargin", Simulations!$A$1:$BK$1, 0))</f>
        <v>7.3112843853942473E-3</v>
      </c>
      <c r="E479" s="2">
        <f ca="1">INDEX(Simulations!$A$1:$BK$2501, 479, MATCH("Yr1Shock", Simulations!$A$1:$BK$1, 0))</f>
        <v>-1.7826814745070163E-3</v>
      </c>
    </row>
    <row r="480" spans="1:5" x14ac:dyDescent="0.3">
      <c r="A480" s="2">
        <f ca="1">INDEX(Simulations!$A$1:$BK$2501, 480, MATCH("PurchaseMultiple", Simulations!$A$1:$BK$1, 0))</f>
        <v>6.5826481373124528</v>
      </c>
      <c r="B480" s="2">
        <f ca="1">INDEX(Simulations!$A$1:$BK$2501, 480, MATCH("ExitMultiple", Simulations!$A$1:$BK$1, 0))</f>
        <v>6.9715105692953623</v>
      </c>
      <c r="C480" s="2">
        <f ca="1">INDEX(Simulations!$A$1:$BK$2501, 480, MATCH("RevCAGR", Simulations!$A$1:$BK$1, 0))</f>
        <v>7.6299012822127948E-2</v>
      </c>
      <c r="D480" s="2">
        <f ca="1">INDEX(Simulations!$A$1:$BK$2501, 480, MATCH("SynMargin", Simulations!$A$1:$BK$1, 0))</f>
        <v>1.0318227476229012E-2</v>
      </c>
      <c r="E480" s="2">
        <f ca="1">INDEX(Simulations!$A$1:$BK$2501, 480, MATCH("Yr1Shock", Simulations!$A$1:$BK$1, 0))</f>
        <v>-1.8947630335420559E-2</v>
      </c>
    </row>
    <row r="481" spans="1:5" x14ac:dyDescent="0.3">
      <c r="A481" s="2">
        <f ca="1">INDEX(Simulations!$A$1:$BK$2501, 481, MATCH("PurchaseMultiple", Simulations!$A$1:$BK$1, 0))</f>
        <v>6.7457719077001146</v>
      </c>
      <c r="B481" s="2">
        <f ca="1">INDEX(Simulations!$A$1:$BK$2501, 481, MATCH("ExitMultiple", Simulations!$A$1:$BK$1, 0))</f>
        <v>7.5878414238977623</v>
      </c>
      <c r="C481" s="2">
        <f ca="1">INDEX(Simulations!$A$1:$BK$2501, 481, MATCH("RevCAGR", Simulations!$A$1:$BK$1, 0))</f>
        <v>1.6416743233292341E-2</v>
      </c>
      <c r="D481" s="2">
        <f ca="1">INDEX(Simulations!$A$1:$BK$2501, 481, MATCH("SynMargin", Simulations!$A$1:$BK$1, 0))</f>
        <v>1.1837085904589739E-2</v>
      </c>
      <c r="E481" s="2">
        <f ca="1">INDEX(Simulations!$A$1:$BK$2501, 481, MATCH("Yr1Shock", Simulations!$A$1:$BK$1, 0))</f>
        <v>-2.9583393125463538E-2</v>
      </c>
    </row>
    <row r="482" spans="1:5" x14ac:dyDescent="0.3">
      <c r="A482" s="2">
        <f ca="1">INDEX(Simulations!$A$1:$BK$2501, 482, MATCH("PurchaseMultiple", Simulations!$A$1:$BK$1, 0))</f>
        <v>6.3205346405151683</v>
      </c>
      <c r="B482" s="2">
        <f ca="1">INDEX(Simulations!$A$1:$BK$2501, 482, MATCH("ExitMultiple", Simulations!$A$1:$BK$1, 0))</f>
        <v>8.1422192213061209</v>
      </c>
      <c r="C482" s="2">
        <f ca="1">INDEX(Simulations!$A$1:$BK$2501, 482, MATCH("RevCAGR", Simulations!$A$1:$BK$1, 0))</f>
        <v>5.2891962474739956E-2</v>
      </c>
      <c r="D482" s="2">
        <f ca="1">INDEX(Simulations!$A$1:$BK$2501, 482, MATCH("SynMargin", Simulations!$A$1:$BK$1, 0))</f>
        <v>7.3990977220359504E-3</v>
      </c>
      <c r="E482" s="2">
        <f ca="1">INDEX(Simulations!$A$1:$BK$2501, 482, MATCH("Yr1Shock", Simulations!$A$1:$BK$1, 0))</f>
        <v>-4.7504249222879835E-3</v>
      </c>
    </row>
    <row r="483" spans="1:5" x14ac:dyDescent="0.3">
      <c r="A483" s="2">
        <f ca="1">INDEX(Simulations!$A$1:$BK$2501, 483, MATCH("PurchaseMultiple", Simulations!$A$1:$BK$1, 0))</f>
        <v>7.647625973508184</v>
      </c>
      <c r="B483" s="2">
        <f ca="1">INDEX(Simulations!$A$1:$BK$2501, 483, MATCH("ExitMultiple", Simulations!$A$1:$BK$1, 0))</f>
        <v>6.919259591482116</v>
      </c>
      <c r="C483" s="2">
        <f ca="1">INDEX(Simulations!$A$1:$BK$2501, 483, MATCH("RevCAGR", Simulations!$A$1:$BK$1, 0))</f>
        <v>2.785925786357904E-2</v>
      </c>
      <c r="D483" s="2">
        <f ca="1">INDEX(Simulations!$A$1:$BK$2501, 483, MATCH("SynMargin", Simulations!$A$1:$BK$1, 0))</f>
        <v>1.7551580655749768E-2</v>
      </c>
      <c r="E483" s="2">
        <f ca="1">INDEX(Simulations!$A$1:$BK$2501, 483, MATCH("Yr1Shock", Simulations!$A$1:$BK$1, 0))</f>
        <v>2.9573328308927171E-2</v>
      </c>
    </row>
    <row r="484" spans="1:5" x14ac:dyDescent="0.3">
      <c r="A484" s="2">
        <f ca="1">INDEX(Simulations!$A$1:$BK$2501, 484, MATCH("PurchaseMultiple", Simulations!$A$1:$BK$1, 0))</f>
        <v>7.7908381382906784</v>
      </c>
      <c r="B484" s="2">
        <f ca="1">INDEX(Simulations!$A$1:$BK$2501, 484, MATCH("ExitMultiple", Simulations!$A$1:$BK$1, 0))</f>
        <v>8.046694647353096</v>
      </c>
      <c r="C484" s="2">
        <f ca="1">INDEX(Simulations!$A$1:$BK$2501, 484, MATCH("RevCAGR", Simulations!$A$1:$BK$1, 0))</f>
        <v>-0.02</v>
      </c>
      <c r="D484" s="2">
        <f ca="1">INDEX(Simulations!$A$1:$BK$2501, 484, MATCH("SynMargin", Simulations!$A$1:$BK$1, 0))</f>
        <v>1.3327920923791E-2</v>
      </c>
      <c r="E484" s="2">
        <f ca="1">INDEX(Simulations!$A$1:$BK$2501, 484, MATCH("Yr1Shock", Simulations!$A$1:$BK$1, 0))</f>
        <v>-4.6362086620781217E-3</v>
      </c>
    </row>
    <row r="485" spans="1:5" x14ac:dyDescent="0.3">
      <c r="A485" s="2">
        <f ca="1">INDEX(Simulations!$A$1:$BK$2501, 485, MATCH("PurchaseMultiple", Simulations!$A$1:$BK$1, 0))</f>
        <v>7.3073884689263107</v>
      </c>
      <c r="B485" s="2">
        <f ca="1">INDEX(Simulations!$A$1:$BK$2501, 485, MATCH("ExitMultiple", Simulations!$A$1:$BK$1, 0))</f>
        <v>7.5787823455544254</v>
      </c>
      <c r="C485" s="2">
        <f ca="1">INDEX(Simulations!$A$1:$BK$2501, 485, MATCH("RevCAGR", Simulations!$A$1:$BK$1, 0))</f>
        <v>2.5451634523785547E-2</v>
      </c>
      <c r="D485" s="2">
        <f ca="1">INDEX(Simulations!$A$1:$BK$2501, 485, MATCH("SynMargin", Simulations!$A$1:$BK$1, 0))</f>
        <v>1.630664268056313E-2</v>
      </c>
      <c r="E485" s="2">
        <f ca="1">INDEX(Simulations!$A$1:$BK$2501, 485, MATCH("Yr1Shock", Simulations!$A$1:$BK$1, 0))</f>
        <v>-2.8894152194473856E-2</v>
      </c>
    </row>
    <row r="486" spans="1:5" x14ac:dyDescent="0.3">
      <c r="A486" s="2">
        <f ca="1">INDEX(Simulations!$A$1:$BK$2501, 486, MATCH("PurchaseMultiple", Simulations!$A$1:$BK$1, 0))</f>
        <v>7.0289069886692932</v>
      </c>
      <c r="B486" s="2">
        <f ca="1">INDEX(Simulations!$A$1:$BK$2501, 486, MATCH("ExitMultiple", Simulations!$A$1:$BK$1, 0))</f>
        <v>7.023038474492048</v>
      </c>
      <c r="C486" s="2">
        <f ca="1">INDEX(Simulations!$A$1:$BK$2501, 486, MATCH("RevCAGR", Simulations!$A$1:$BK$1, 0))</f>
        <v>7.8069750047077474E-2</v>
      </c>
      <c r="D486" s="2">
        <f ca="1">INDEX(Simulations!$A$1:$BK$2501, 486, MATCH("SynMargin", Simulations!$A$1:$BK$1, 0))</f>
        <v>1.2377382398002715E-2</v>
      </c>
      <c r="E486" s="2">
        <f ca="1">INDEX(Simulations!$A$1:$BK$2501, 486, MATCH("Yr1Shock", Simulations!$A$1:$BK$1, 0))</f>
        <v>8.7010844860847241E-3</v>
      </c>
    </row>
    <row r="487" spans="1:5" x14ac:dyDescent="0.3">
      <c r="A487" s="2">
        <f ca="1">INDEX(Simulations!$A$1:$BK$2501, 487, MATCH("PurchaseMultiple", Simulations!$A$1:$BK$1, 0))</f>
        <v>6.1548304365857716</v>
      </c>
      <c r="B487" s="2">
        <f ca="1">INDEX(Simulations!$A$1:$BK$2501, 487, MATCH("ExitMultiple", Simulations!$A$1:$BK$1, 0))</f>
        <v>8.3914948890910761</v>
      </c>
      <c r="C487" s="2">
        <f ca="1">INDEX(Simulations!$A$1:$BK$2501, 487, MATCH("RevCAGR", Simulations!$A$1:$BK$1, 0))</f>
        <v>2.1725326997664524E-2</v>
      </c>
      <c r="D487" s="2">
        <f ca="1">INDEX(Simulations!$A$1:$BK$2501, 487, MATCH("SynMargin", Simulations!$A$1:$BK$1, 0))</f>
        <v>4.2431773386899883E-3</v>
      </c>
      <c r="E487" s="2">
        <f ca="1">INDEX(Simulations!$A$1:$BK$2501, 487, MATCH("Yr1Shock", Simulations!$A$1:$BK$1, 0))</f>
        <v>2.079121427485171E-2</v>
      </c>
    </row>
    <row r="488" spans="1:5" x14ac:dyDescent="0.3">
      <c r="A488" s="2">
        <f ca="1">INDEX(Simulations!$A$1:$BK$2501, 488, MATCH("PurchaseMultiple", Simulations!$A$1:$BK$1, 0))</f>
        <v>7.0280683840300942</v>
      </c>
      <c r="B488" s="2">
        <f ca="1">INDEX(Simulations!$A$1:$BK$2501, 488, MATCH("ExitMultiple", Simulations!$A$1:$BK$1, 0))</f>
        <v>7.471314766646894</v>
      </c>
      <c r="C488" s="2">
        <f ca="1">INDEX(Simulations!$A$1:$BK$2501, 488, MATCH("RevCAGR", Simulations!$A$1:$BK$1, 0))</f>
        <v>3.0317015140822592E-2</v>
      </c>
      <c r="D488" s="2">
        <f ca="1">INDEX(Simulations!$A$1:$BK$2501, 488, MATCH("SynMargin", Simulations!$A$1:$BK$1, 0))</f>
        <v>1.5378919812286881E-2</v>
      </c>
      <c r="E488" s="2">
        <f ca="1">INDEX(Simulations!$A$1:$BK$2501, 488, MATCH("Yr1Shock", Simulations!$A$1:$BK$1, 0))</f>
        <v>1.5832056505361906E-2</v>
      </c>
    </row>
    <row r="489" spans="1:5" x14ac:dyDescent="0.3">
      <c r="A489" s="2">
        <f ca="1">INDEX(Simulations!$A$1:$BK$2501, 489, MATCH("PurchaseMultiple", Simulations!$A$1:$BK$1, 0))</f>
        <v>7.483309537802648</v>
      </c>
      <c r="B489" s="2">
        <f ca="1">INDEX(Simulations!$A$1:$BK$2501, 489, MATCH("ExitMultiple", Simulations!$A$1:$BK$1, 0))</f>
        <v>8.2106635902641827</v>
      </c>
      <c r="C489" s="2">
        <f ca="1">INDEX(Simulations!$A$1:$BK$2501, 489, MATCH("RevCAGR", Simulations!$A$1:$BK$1, 0))</f>
        <v>2.0299329670838712E-2</v>
      </c>
      <c r="D489" s="2">
        <f ca="1">INDEX(Simulations!$A$1:$BK$2501, 489, MATCH("SynMargin", Simulations!$A$1:$BK$1, 0))</f>
        <v>8.4540010319249324E-3</v>
      </c>
      <c r="E489" s="2">
        <f ca="1">INDEX(Simulations!$A$1:$BK$2501, 489, MATCH("Yr1Shock", Simulations!$A$1:$BK$1, 0))</f>
        <v>-9.0473618053085597E-3</v>
      </c>
    </row>
    <row r="490" spans="1:5" x14ac:dyDescent="0.3">
      <c r="A490" s="2">
        <f ca="1">INDEX(Simulations!$A$1:$BK$2501, 490, MATCH("PurchaseMultiple", Simulations!$A$1:$BK$1, 0))</f>
        <v>6.6725709086352145</v>
      </c>
      <c r="B490" s="2">
        <f ca="1">INDEX(Simulations!$A$1:$BK$2501, 490, MATCH("ExitMultiple", Simulations!$A$1:$BK$1, 0))</f>
        <v>7.1588390494349206</v>
      </c>
      <c r="C490" s="2">
        <f ca="1">INDEX(Simulations!$A$1:$BK$2501, 490, MATCH("RevCAGR", Simulations!$A$1:$BK$1, 0))</f>
        <v>4.3157020169822612E-2</v>
      </c>
      <c r="D490" s="2">
        <f ca="1">INDEX(Simulations!$A$1:$BK$2501, 490, MATCH("SynMargin", Simulations!$A$1:$BK$1, 0))</f>
        <v>1.6578040654956987E-2</v>
      </c>
      <c r="E490" s="2">
        <f ca="1">INDEX(Simulations!$A$1:$BK$2501, 490, MATCH("Yr1Shock", Simulations!$A$1:$BK$1, 0))</f>
        <v>5.8071258890921382E-3</v>
      </c>
    </row>
    <row r="491" spans="1:5" x14ac:dyDescent="0.3">
      <c r="A491" s="2">
        <f ca="1">INDEX(Simulations!$A$1:$BK$2501, 491, MATCH("PurchaseMultiple", Simulations!$A$1:$BK$1, 0))</f>
        <v>6.704824782971829</v>
      </c>
      <c r="B491" s="2">
        <f ca="1">INDEX(Simulations!$A$1:$BK$2501, 491, MATCH("ExitMultiple", Simulations!$A$1:$BK$1, 0))</f>
        <v>7.1142422855283005</v>
      </c>
      <c r="C491" s="2">
        <f ca="1">INDEX(Simulations!$A$1:$BK$2501, 491, MATCH("RevCAGR", Simulations!$A$1:$BK$1, 0))</f>
        <v>2.5044326271701979E-2</v>
      </c>
      <c r="D491" s="2">
        <f ca="1">INDEX(Simulations!$A$1:$BK$2501, 491, MATCH("SynMargin", Simulations!$A$1:$BK$1, 0))</f>
        <v>1.0503901032355168E-2</v>
      </c>
      <c r="E491" s="2">
        <f ca="1">INDEX(Simulations!$A$1:$BK$2501, 491, MATCH("Yr1Shock", Simulations!$A$1:$BK$1, 0))</f>
        <v>-7.8390911925664154E-3</v>
      </c>
    </row>
    <row r="492" spans="1:5" x14ac:dyDescent="0.3">
      <c r="A492" s="2">
        <f ca="1">INDEX(Simulations!$A$1:$BK$2501, 492, MATCH("PurchaseMultiple", Simulations!$A$1:$BK$1, 0))</f>
        <v>6.976347325412771</v>
      </c>
      <c r="B492" s="2">
        <f ca="1">INDEX(Simulations!$A$1:$BK$2501, 492, MATCH("ExitMultiple", Simulations!$A$1:$BK$1, 0))</f>
        <v>7.340446794383686</v>
      </c>
      <c r="C492" s="2">
        <f ca="1">INDEX(Simulations!$A$1:$BK$2501, 492, MATCH("RevCAGR", Simulations!$A$1:$BK$1, 0))</f>
        <v>5.0008258097791705E-2</v>
      </c>
      <c r="D492" s="2">
        <f ca="1">INDEX(Simulations!$A$1:$BK$2501, 492, MATCH("SynMargin", Simulations!$A$1:$BK$1, 0))</f>
        <v>1.4040988588354966E-2</v>
      </c>
      <c r="E492" s="2">
        <f ca="1">INDEX(Simulations!$A$1:$BK$2501, 492, MATCH("Yr1Shock", Simulations!$A$1:$BK$1, 0))</f>
        <v>-1.606388489276072E-3</v>
      </c>
    </row>
    <row r="493" spans="1:5" x14ac:dyDescent="0.3">
      <c r="A493" s="2">
        <f ca="1">INDEX(Simulations!$A$1:$BK$2501, 493, MATCH("PurchaseMultiple", Simulations!$A$1:$BK$1, 0))</f>
        <v>7.4293595884927823</v>
      </c>
      <c r="B493" s="2">
        <f ca="1">INDEX(Simulations!$A$1:$BK$2501, 493, MATCH("ExitMultiple", Simulations!$A$1:$BK$1, 0))</f>
        <v>8.1045088889217283</v>
      </c>
      <c r="C493" s="2">
        <f ca="1">INDEX(Simulations!$A$1:$BK$2501, 493, MATCH("RevCAGR", Simulations!$A$1:$BK$1, 0))</f>
        <v>3.0794673604389821E-2</v>
      </c>
      <c r="D493" s="2">
        <f ca="1">INDEX(Simulations!$A$1:$BK$2501, 493, MATCH("SynMargin", Simulations!$A$1:$BK$1, 0))</f>
        <v>1.0102333425038943E-3</v>
      </c>
      <c r="E493" s="2">
        <f ca="1">INDEX(Simulations!$A$1:$BK$2501, 493, MATCH("Yr1Shock", Simulations!$A$1:$BK$1, 0))</f>
        <v>2.0363020264638338E-2</v>
      </c>
    </row>
    <row r="494" spans="1:5" x14ac:dyDescent="0.3">
      <c r="A494" s="2">
        <f ca="1">INDEX(Simulations!$A$1:$BK$2501, 494, MATCH("PurchaseMultiple", Simulations!$A$1:$BK$1, 0))</f>
        <v>6.9995337107610354</v>
      </c>
      <c r="B494" s="2">
        <f ca="1">INDEX(Simulations!$A$1:$BK$2501, 494, MATCH("ExitMultiple", Simulations!$A$1:$BK$1, 0))</f>
        <v>8.1901872710944801</v>
      </c>
      <c r="C494" s="2">
        <f ca="1">INDEX(Simulations!$A$1:$BK$2501, 494, MATCH("RevCAGR", Simulations!$A$1:$BK$1, 0))</f>
        <v>3.7403477172376923E-2</v>
      </c>
      <c r="D494" s="2">
        <f ca="1">INDEX(Simulations!$A$1:$BK$2501, 494, MATCH("SynMargin", Simulations!$A$1:$BK$1, 0))</f>
        <v>1.1306004100879797E-2</v>
      </c>
      <c r="E494" s="2">
        <f ca="1">INDEX(Simulations!$A$1:$BK$2501, 494, MATCH("Yr1Shock", Simulations!$A$1:$BK$1, 0))</f>
        <v>5.968519855377709E-3</v>
      </c>
    </row>
    <row r="495" spans="1:5" x14ac:dyDescent="0.3">
      <c r="A495" s="2">
        <f ca="1">INDEX(Simulations!$A$1:$BK$2501, 495, MATCH("PurchaseMultiple", Simulations!$A$1:$BK$1, 0))</f>
        <v>7.4565111594910505</v>
      </c>
      <c r="B495" s="2">
        <f ca="1">INDEX(Simulations!$A$1:$BK$2501, 495, MATCH("ExitMultiple", Simulations!$A$1:$BK$1, 0))</f>
        <v>7.4251068606443802</v>
      </c>
      <c r="C495" s="2">
        <f ca="1">INDEX(Simulations!$A$1:$BK$2501, 495, MATCH("RevCAGR", Simulations!$A$1:$BK$1, 0))</f>
        <v>4.275075906148413E-2</v>
      </c>
      <c r="D495" s="2">
        <f ca="1">INDEX(Simulations!$A$1:$BK$2501, 495, MATCH("SynMargin", Simulations!$A$1:$BK$1, 0))</f>
        <v>9.5895571666846785E-3</v>
      </c>
      <c r="E495" s="2">
        <f ca="1">INDEX(Simulations!$A$1:$BK$2501, 495, MATCH("Yr1Shock", Simulations!$A$1:$BK$1, 0))</f>
        <v>5.7916847827329532E-3</v>
      </c>
    </row>
    <row r="496" spans="1:5" x14ac:dyDescent="0.3">
      <c r="A496" s="2">
        <f ca="1">INDEX(Simulations!$A$1:$BK$2501, 496, MATCH("PurchaseMultiple", Simulations!$A$1:$BK$1, 0))</f>
        <v>6.9417959397953855</v>
      </c>
      <c r="B496" s="2">
        <f ca="1">INDEX(Simulations!$A$1:$BK$2501, 496, MATCH("ExitMultiple", Simulations!$A$1:$BK$1, 0))</f>
        <v>7.0755058345717572</v>
      </c>
      <c r="C496" s="2">
        <f ca="1">INDEX(Simulations!$A$1:$BK$2501, 496, MATCH("RevCAGR", Simulations!$A$1:$BK$1, 0))</f>
        <v>5.109461789181495E-2</v>
      </c>
      <c r="D496" s="2">
        <f ca="1">INDEX(Simulations!$A$1:$BK$2501, 496, MATCH("SynMargin", Simulations!$A$1:$BK$1, 0))</f>
        <v>4.7758714932831688E-4</v>
      </c>
      <c r="E496" s="2">
        <f ca="1">INDEX(Simulations!$A$1:$BK$2501, 496, MATCH("Yr1Shock", Simulations!$A$1:$BK$1, 0))</f>
        <v>-6.2032045190309106E-3</v>
      </c>
    </row>
    <row r="497" spans="1:5" x14ac:dyDescent="0.3">
      <c r="A497" s="2">
        <f ca="1">INDEX(Simulations!$A$1:$BK$2501, 497, MATCH("PurchaseMultiple", Simulations!$A$1:$BK$1, 0))</f>
        <v>7.2411270543730977</v>
      </c>
      <c r="B497" s="2">
        <f ca="1">INDEX(Simulations!$A$1:$BK$2501, 497, MATCH("ExitMultiple", Simulations!$A$1:$BK$1, 0))</f>
        <v>8.1649572747422727</v>
      </c>
      <c r="C497" s="2">
        <f ca="1">INDEX(Simulations!$A$1:$BK$2501, 497, MATCH("RevCAGR", Simulations!$A$1:$BK$1, 0))</f>
        <v>4.8136189438237678E-2</v>
      </c>
      <c r="D497" s="2">
        <f ca="1">INDEX(Simulations!$A$1:$BK$2501, 497, MATCH("SynMargin", Simulations!$A$1:$BK$1, 0))</f>
        <v>1.5637063981918369E-3</v>
      </c>
      <c r="E497" s="2">
        <f ca="1">INDEX(Simulations!$A$1:$BK$2501, 497, MATCH("Yr1Shock", Simulations!$A$1:$BK$1, 0))</f>
        <v>-8.3109460483264293E-3</v>
      </c>
    </row>
    <row r="498" spans="1:5" x14ac:dyDescent="0.3">
      <c r="A498" s="2">
        <f ca="1">INDEX(Simulations!$A$1:$BK$2501, 498, MATCH("PurchaseMultiple", Simulations!$A$1:$BK$1, 0))</f>
        <v>6.9526598889972302</v>
      </c>
      <c r="B498" s="2">
        <f ca="1">INDEX(Simulations!$A$1:$BK$2501, 498, MATCH("ExitMultiple", Simulations!$A$1:$BK$1, 0))</f>
        <v>7.2180951942908056</v>
      </c>
      <c r="C498" s="2">
        <f ca="1">INDEX(Simulations!$A$1:$BK$2501, 498, MATCH("RevCAGR", Simulations!$A$1:$BK$1, 0))</f>
        <v>4.9865345862883027E-2</v>
      </c>
      <c r="D498" s="2">
        <f ca="1">INDEX(Simulations!$A$1:$BK$2501, 498, MATCH("SynMargin", Simulations!$A$1:$BK$1, 0))</f>
        <v>3.0599352147497628E-3</v>
      </c>
      <c r="E498" s="2">
        <f ca="1">INDEX(Simulations!$A$1:$BK$2501, 498, MATCH("Yr1Shock", Simulations!$A$1:$BK$1, 0))</f>
        <v>3.1312498165427471E-2</v>
      </c>
    </row>
    <row r="499" spans="1:5" x14ac:dyDescent="0.3">
      <c r="A499" s="2">
        <f ca="1">INDEX(Simulations!$A$1:$BK$2501, 499, MATCH("PurchaseMultiple", Simulations!$A$1:$BK$1, 0))</f>
        <v>6.8252075370295415</v>
      </c>
      <c r="B499" s="2">
        <f ca="1">INDEX(Simulations!$A$1:$BK$2501, 499, MATCH("ExitMultiple", Simulations!$A$1:$BK$1, 0))</f>
        <v>7.5337592482602451</v>
      </c>
      <c r="C499" s="2">
        <f ca="1">INDEX(Simulations!$A$1:$BK$2501, 499, MATCH("RevCAGR", Simulations!$A$1:$BK$1, 0))</f>
        <v>4.3548936057954332E-2</v>
      </c>
      <c r="D499" s="2">
        <f ca="1">INDEX(Simulations!$A$1:$BK$2501, 499, MATCH("SynMargin", Simulations!$A$1:$BK$1, 0))</f>
        <v>1.8889890322417627E-2</v>
      </c>
      <c r="E499" s="2">
        <f ca="1">INDEX(Simulations!$A$1:$BK$2501, 499, MATCH("Yr1Shock", Simulations!$A$1:$BK$1, 0))</f>
        <v>-3.8254330205984388E-3</v>
      </c>
    </row>
    <row r="500" spans="1:5" x14ac:dyDescent="0.3">
      <c r="A500" s="2">
        <f ca="1">INDEX(Simulations!$A$1:$BK$2501, 500, MATCH("PurchaseMultiple", Simulations!$A$1:$BK$1, 0))</f>
        <v>7.3583724623384343</v>
      </c>
      <c r="B500" s="2">
        <f ca="1">INDEX(Simulations!$A$1:$BK$2501, 500, MATCH("ExitMultiple", Simulations!$A$1:$BK$1, 0))</f>
        <v>7.6461181865194803</v>
      </c>
      <c r="C500" s="2">
        <f ca="1">INDEX(Simulations!$A$1:$BK$2501, 500, MATCH("RevCAGR", Simulations!$A$1:$BK$1, 0))</f>
        <v>1.1809391259634008E-2</v>
      </c>
      <c r="D500" s="2">
        <f ca="1">INDEX(Simulations!$A$1:$BK$2501, 500, MATCH("SynMargin", Simulations!$A$1:$BK$1, 0))</f>
        <v>7.1489465174836772E-3</v>
      </c>
      <c r="E500" s="2">
        <f ca="1">INDEX(Simulations!$A$1:$BK$2501, 500, MATCH("Yr1Shock", Simulations!$A$1:$BK$1, 0))</f>
        <v>1.125806809824193E-2</v>
      </c>
    </row>
    <row r="501" spans="1:5" x14ac:dyDescent="0.3">
      <c r="A501" s="2">
        <f ca="1">INDEX(Simulations!$A$1:$BK$2501, 501, MATCH("PurchaseMultiple", Simulations!$A$1:$BK$1, 0))</f>
        <v>7.5160892050464376</v>
      </c>
      <c r="B501" s="2">
        <f ca="1">INDEX(Simulations!$A$1:$BK$2501, 501, MATCH("ExitMultiple", Simulations!$A$1:$BK$1, 0))</f>
        <v>7.7137052538978015</v>
      </c>
      <c r="C501" s="2">
        <f ca="1">INDEX(Simulations!$A$1:$BK$2501, 501, MATCH("RevCAGR", Simulations!$A$1:$BK$1, 0))</f>
        <v>3.4275236950489507E-2</v>
      </c>
      <c r="D501" s="2">
        <f ca="1">INDEX(Simulations!$A$1:$BK$2501, 501, MATCH("SynMargin", Simulations!$A$1:$BK$1, 0))</f>
        <v>3.1769169390951134E-3</v>
      </c>
      <c r="E501" s="2">
        <f ca="1">INDEX(Simulations!$A$1:$BK$2501, 501, MATCH("Yr1Shock", Simulations!$A$1:$BK$1, 0))</f>
        <v>-3.9822055496961585E-2</v>
      </c>
    </row>
    <row r="502" spans="1:5" x14ac:dyDescent="0.3">
      <c r="A502" s="2">
        <f ca="1">INDEX(Simulations!$A$1:$BK$2501, 502, MATCH("PurchaseMultiple", Simulations!$A$1:$BK$1, 0))</f>
        <v>7.8089530917465488</v>
      </c>
      <c r="B502" s="2">
        <f ca="1">INDEX(Simulations!$A$1:$BK$2501, 502, MATCH("ExitMultiple", Simulations!$A$1:$BK$1, 0))</f>
        <v>6.5895096470662295</v>
      </c>
      <c r="C502" s="2">
        <f ca="1">INDEX(Simulations!$A$1:$BK$2501, 502, MATCH("RevCAGR", Simulations!$A$1:$BK$1, 0))</f>
        <v>4.727335354488809E-2</v>
      </c>
      <c r="D502" s="2">
        <f ca="1">INDEX(Simulations!$A$1:$BK$2501, 502, MATCH("SynMargin", Simulations!$A$1:$BK$1, 0))</f>
        <v>1.4051339509708851E-2</v>
      </c>
      <c r="E502" s="2">
        <f ca="1">INDEX(Simulations!$A$1:$BK$2501, 502, MATCH("Yr1Shock", Simulations!$A$1:$BK$1, 0))</f>
        <v>-1.6465354819007804E-2</v>
      </c>
    </row>
    <row r="503" spans="1:5" x14ac:dyDescent="0.3">
      <c r="A503" s="2">
        <f ca="1">INDEX(Simulations!$A$1:$BK$2501, 503, MATCH("PurchaseMultiple", Simulations!$A$1:$BK$1, 0))</f>
        <v>6.7614732360603131</v>
      </c>
      <c r="B503" s="2">
        <f ca="1">INDEX(Simulations!$A$1:$BK$2501, 503, MATCH("ExitMultiple", Simulations!$A$1:$BK$1, 0))</f>
        <v>7.1243381171094962</v>
      </c>
      <c r="C503" s="2">
        <f ca="1">INDEX(Simulations!$A$1:$BK$2501, 503, MATCH("RevCAGR", Simulations!$A$1:$BK$1, 0))</f>
        <v>7.8817459827414449E-2</v>
      </c>
      <c r="D503" s="2">
        <f ca="1">INDEX(Simulations!$A$1:$BK$2501, 503, MATCH("SynMargin", Simulations!$A$1:$BK$1, 0))</f>
        <v>2.3559013269842059E-3</v>
      </c>
      <c r="E503" s="2">
        <f ca="1">INDEX(Simulations!$A$1:$BK$2501, 503, MATCH("Yr1Shock", Simulations!$A$1:$BK$1, 0))</f>
        <v>3.3132864484038647E-2</v>
      </c>
    </row>
    <row r="504" spans="1:5" x14ac:dyDescent="0.3">
      <c r="A504" s="2">
        <f ca="1">INDEX(Simulations!$A$1:$BK$2501, 504, MATCH("PurchaseMultiple", Simulations!$A$1:$BK$1, 0))</f>
        <v>7.3284660355837374</v>
      </c>
      <c r="B504" s="2">
        <f ca="1">INDEX(Simulations!$A$1:$BK$2501, 504, MATCH("ExitMultiple", Simulations!$A$1:$BK$1, 0))</f>
        <v>7.7564133015865355</v>
      </c>
      <c r="C504" s="2">
        <f ca="1">INDEX(Simulations!$A$1:$BK$2501, 504, MATCH("RevCAGR", Simulations!$A$1:$BK$1, 0))</f>
        <v>6.0051375267444126E-3</v>
      </c>
      <c r="D504" s="2">
        <f ca="1">INDEX(Simulations!$A$1:$BK$2501, 504, MATCH("SynMargin", Simulations!$A$1:$BK$1, 0))</f>
        <v>9.2058679303720029E-3</v>
      </c>
      <c r="E504" s="2">
        <f ca="1">INDEX(Simulations!$A$1:$BK$2501, 504, MATCH("Yr1Shock", Simulations!$A$1:$BK$1, 0))</f>
        <v>-1.8852477639292483E-2</v>
      </c>
    </row>
    <row r="505" spans="1:5" x14ac:dyDescent="0.3">
      <c r="A505" s="2">
        <f ca="1">INDEX(Simulations!$A$1:$BK$2501, 505, MATCH("PurchaseMultiple", Simulations!$A$1:$BK$1, 0))</f>
        <v>7.0009095606864644</v>
      </c>
      <c r="B505" s="2">
        <f ca="1">INDEX(Simulations!$A$1:$BK$2501, 505, MATCH("ExitMultiple", Simulations!$A$1:$BK$1, 0))</f>
        <v>8.0192295124792849</v>
      </c>
      <c r="C505" s="2">
        <f ca="1">INDEX(Simulations!$A$1:$BK$2501, 505, MATCH("RevCAGR", Simulations!$A$1:$BK$1, 0))</f>
        <v>-2.1304724164002628E-3</v>
      </c>
      <c r="D505" s="2">
        <f ca="1">INDEX(Simulations!$A$1:$BK$2501, 505, MATCH("SynMargin", Simulations!$A$1:$BK$1, 0))</f>
        <v>8.3734853529295068E-3</v>
      </c>
      <c r="E505" s="2">
        <f ca="1">INDEX(Simulations!$A$1:$BK$2501, 505, MATCH("Yr1Shock", Simulations!$A$1:$BK$1, 0))</f>
        <v>3.0735840694963788E-2</v>
      </c>
    </row>
    <row r="506" spans="1:5" x14ac:dyDescent="0.3">
      <c r="A506" s="2">
        <f ca="1">INDEX(Simulations!$A$1:$BK$2501, 506, MATCH("PurchaseMultiple", Simulations!$A$1:$BK$1, 0))</f>
        <v>6.647675256505952</v>
      </c>
      <c r="B506" s="2">
        <f ca="1">INDEX(Simulations!$A$1:$BK$2501, 506, MATCH("ExitMultiple", Simulations!$A$1:$BK$1, 0))</f>
        <v>7.6056019662428556</v>
      </c>
      <c r="C506" s="2">
        <f ca="1">INDEX(Simulations!$A$1:$BK$2501, 506, MATCH("RevCAGR", Simulations!$A$1:$BK$1, 0))</f>
        <v>3.817108055936614E-2</v>
      </c>
      <c r="D506" s="2">
        <f ca="1">INDEX(Simulations!$A$1:$BK$2501, 506, MATCH("SynMargin", Simulations!$A$1:$BK$1, 0))</f>
        <v>1.3007137982202495E-2</v>
      </c>
      <c r="E506" s="2">
        <f ca="1">INDEX(Simulations!$A$1:$BK$2501, 506, MATCH("Yr1Shock", Simulations!$A$1:$BK$1, 0))</f>
        <v>1.0818088877055128E-2</v>
      </c>
    </row>
    <row r="507" spans="1:5" x14ac:dyDescent="0.3">
      <c r="A507" s="2">
        <f ca="1">INDEX(Simulations!$A$1:$BK$2501, 507, MATCH("PurchaseMultiple", Simulations!$A$1:$BK$1, 0))</f>
        <v>6.962688000948388</v>
      </c>
      <c r="B507" s="2">
        <f ca="1">INDEX(Simulations!$A$1:$BK$2501, 507, MATCH("ExitMultiple", Simulations!$A$1:$BK$1, 0))</f>
        <v>7.9496582984009798</v>
      </c>
      <c r="C507" s="2">
        <f ca="1">INDEX(Simulations!$A$1:$BK$2501, 507, MATCH("RevCAGR", Simulations!$A$1:$BK$1, 0))</f>
        <v>9.758321422273139E-2</v>
      </c>
      <c r="D507" s="2">
        <f ca="1">INDEX(Simulations!$A$1:$BK$2501, 507, MATCH("SynMargin", Simulations!$A$1:$BK$1, 0))</f>
        <v>5.2171674298933162E-3</v>
      </c>
      <c r="E507" s="2">
        <f ca="1">INDEX(Simulations!$A$1:$BK$2501, 507, MATCH("Yr1Shock", Simulations!$A$1:$BK$1, 0))</f>
        <v>-1.5664949603621626E-2</v>
      </c>
    </row>
    <row r="508" spans="1:5" x14ac:dyDescent="0.3">
      <c r="A508" s="2">
        <f ca="1">INDEX(Simulations!$A$1:$BK$2501, 508, MATCH("PurchaseMultiple", Simulations!$A$1:$BK$1, 0))</f>
        <v>7.8237749802581442</v>
      </c>
      <c r="B508" s="2">
        <f ca="1">INDEX(Simulations!$A$1:$BK$2501, 508, MATCH("ExitMultiple", Simulations!$A$1:$BK$1, 0))</f>
        <v>7.8209290124059052</v>
      </c>
      <c r="C508" s="2">
        <f ca="1">INDEX(Simulations!$A$1:$BK$2501, 508, MATCH("RevCAGR", Simulations!$A$1:$BK$1, 0))</f>
        <v>2.0055565642023418E-2</v>
      </c>
      <c r="D508" s="2">
        <f ca="1">INDEX(Simulations!$A$1:$BK$2501, 508, MATCH("SynMargin", Simulations!$A$1:$BK$1, 0))</f>
        <v>8.5832456388664907E-3</v>
      </c>
      <c r="E508" s="2">
        <f ca="1">INDEX(Simulations!$A$1:$BK$2501, 508, MATCH("Yr1Shock", Simulations!$A$1:$BK$1, 0))</f>
        <v>-9.200685083843755E-3</v>
      </c>
    </row>
    <row r="509" spans="1:5" x14ac:dyDescent="0.3">
      <c r="A509" s="2">
        <f ca="1">INDEX(Simulations!$A$1:$BK$2501, 509, MATCH("PurchaseMultiple", Simulations!$A$1:$BK$1, 0))</f>
        <v>6.9501497681913129</v>
      </c>
      <c r="B509" s="2">
        <f ca="1">INDEX(Simulations!$A$1:$BK$2501, 509, MATCH("ExitMultiple", Simulations!$A$1:$BK$1, 0))</f>
        <v>6.7597436092191687</v>
      </c>
      <c r="C509" s="2">
        <f ca="1">INDEX(Simulations!$A$1:$BK$2501, 509, MATCH("RevCAGR", Simulations!$A$1:$BK$1, 0))</f>
        <v>4.6747856163310224E-2</v>
      </c>
      <c r="D509" s="2">
        <f ca="1">INDEX(Simulations!$A$1:$BK$2501, 509, MATCH("SynMargin", Simulations!$A$1:$BK$1, 0))</f>
        <v>6.0237900089427469E-3</v>
      </c>
      <c r="E509" s="2">
        <f ca="1">INDEX(Simulations!$A$1:$BK$2501, 509, MATCH("Yr1Shock", Simulations!$A$1:$BK$1, 0))</f>
        <v>1.4844582560897338E-2</v>
      </c>
    </row>
    <row r="510" spans="1:5" x14ac:dyDescent="0.3">
      <c r="A510" s="2">
        <f ca="1">INDEX(Simulations!$A$1:$BK$2501, 510, MATCH("PurchaseMultiple", Simulations!$A$1:$BK$1, 0))</f>
        <v>7.2599125011415468</v>
      </c>
      <c r="B510" s="2">
        <f ca="1">INDEX(Simulations!$A$1:$BK$2501, 510, MATCH("ExitMultiple", Simulations!$A$1:$BK$1, 0))</f>
        <v>7.462430032455913</v>
      </c>
      <c r="C510" s="2">
        <f ca="1">INDEX(Simulations!$A$1:$BK$2501, 510, MATCH("RevCAGR", Simulations!$A$1:$BK$1, 0))</f>
        <v>6.8580927935237401E-2</v>
      </c>
      <c r="D510" s="2">
        <f ca="1">INDEX(Simulations!$A$1:$BK$2501, 510, MATCH("SynMargin", Simulations!$A$1:$BK$1, 0))</f>
        <v>1.5755131967456242E-2</v>
      </c>
      <c r="E510" s="2">
        <f ca="1">INDEX(Simulations!$A$1:$BK$2501, 510, MATCH("Yr1Shock", Simulations!$A$1:$BK$1, 0))</f>
        <v>1.1492491303060634E-2</v>
      </c>
    </row>
    <row r="511" spans="1:5" x14ac:dyDescent="0.3">
      <c r="A511" s="2">
        <f ca="1">INDEX(Simulations!$A$1:$BK$2501, 511, MATCH("PurchaseMultiple", Simulations!$A$1:$BK$1, 0))</f>
        <v>6.5917531584657789</v>
      </c>
      <c r="B511" s="2">
        <f ca="1">INDEX(Simulations!$A$1:$BK$2501, 511, MATCH("ExitMultiple", Simulations!$A$1:$BK$1, 0))</f>
        <v>7.3550193044241849</v>
      </c>
      <c r="C511" s="2">
        <f ca="1">INDEX(Simulations!$A$1:$BK$2501, 511, MATCH("RevCAGR", Simulations!$A$1:$BK$1, 0))</f>
        <v>3.2182460244777535E-2</v>
      </c>
      <c r="D511" s="2">
        <f ca="1">INDEX(Simulations!$A$1:$BK$2501, 511, MATCH("SynMargin", Simulations!$A$1:$BK$1, 0))</f>
        <v>1.3106258812598496E-2</v>
      </c>
      <c r="E511" s="2">
        <f ca="1">INDEX(Simulations!$A$1:$BK$2501, 511, MATCH("Yr1Shock", Simulations!$A$1:$BK$1, 0))</f>
        <v>-7.7532127901753772E-3</v>
      </c>
    </row>
    <row r="512" spans="1:5" x14ac:dyDescent="0.3">
      <c r="A512" s="2">
        <f ca="1">INDEX(Simulations!$A$1:$BK$2501, 512, MATCH("PurchaseMultiple", Simulations!$A$1:$BK$1, 0))</f>
        <v>7.834754266318698</v>
      </c>
      <c r="B512" s="2">
        <f ca="1">INDEX(Simulations!$A$1:$BK$2501, 512, MATCH("ExitMultiple", Simulations!$A$1:$BK$1, 0))</f>
        <v>7.402234433617715</v>
      </c>
      <c r="C512" s="2">
        <f ca="1">INDEX(Simulations!$A$1:$BK$2501, 512, MATCH("RevCAGR", Simulations!$A$1:$BK$1, 0))</f>
        <v>7.9346871594519294E-2</v>
      </c>
      <c r="D512" s="2">
        <f ca="1">INDEX(Simulations!$A$1:$BK$2501, 512, MATCH("SynMargin", Simulations!$A$1:$BK$1, 0))</f>
        <v>4.5657372239327303E-3</v>
      </c>
      <c r="E512" s="2">
        <f ca="1">INDEX(Simulations!$A$1:$BK$2501, 512, MATCH("Yr1Shock", Simulations!$A$1:$BK$1, 0))</f>
        <v>-9.2289603715374062E-5</v>
      </c>
    </row>
    <row r="513" spans="1:5" x14ac:dyDescent="0.3">
      <c r="A513" s="2">
        <f ca="1">INDEX(Simulations!$A$1:$BK$2501, 513, MATCH("PurchaseMultiple", Simulations!$A$1:$BK$1, 0))</f>
        <v>7.3964936148500584</v>
      </c>
      <c r="B513" s="2">
        <f ca="1">INDEX(Simulations!$A$1:$BK$2501, 513, MATCH("ExitMultiple", Simulations!$A$1:$BK$1, 0))</f>
        <v>6.6708329567390088</v>
      </c>
      <c r="C513" s="2">
        <f ca="1">INDEX(Simulations!$A$1:$BK$2501, 513, MATCH("RevCAGR", Simulations!$A$1:$BK$1, 0))</f>
        <v>-0.02</v>
      </c>
      <c r="D513" s="2">
        <f ca="1">INDEX(Simulations!$A$1:$BK$2501, 513, MATCH("SynMargin", Simulations!$A$1:$BK$1, 0))</f>
        <v>1.2059609303725821E-2</v>
      </c>
      <c r="E513" s="2">
        <f ca="1">INDEX(Simulations!$A$1:$BK$2501, 513, MATCH("Yr1Shock", Simulations!$A$1:$BK$1, 0))</f>
        <v>4.1984985275177709E-3</v>
      </c>
    </row>
    <row r="514" spans="1:5" x14ac:dyDescent="0.3">
      <c r="A514" s="2">
        <f ca="1">INDEX(Simulations!$A$1:$BK$2501, 514, MATCH("PurchaseMultiple", Simulations!$A$1:$BK$1, 0))</f>
        <v>7.4419496437080888</v>
      </c>
      <c r="B514" s="2">
        <f ca="1">INDEX(Simulations!$A$1:$BK$2501, 514, MATCH("ExitMultiple", Simulations!$A$1:$BK$1, 0))</f>
        <v>7.7196764442610313</v>
      </c>
      <c r="C514" s="2">
        <f ca="1">INDEX(Simulations!$A$1:$BK$2501, 514, MATCH("RevCAGR", Simulations!$A$1:$BK$1, 0))</f>
        <v>2.3899026423164379E-2</v>
      </c>
      <c r="D514" s="2">
        <f ca="1">INDEX(Simulations!$A$1:$BK$2501, 514, MATCH("SynMargin", Simulations!$A$1:$BK$1, 0))</f>
        <v>1.8053805618685172E-2</v>
      </c>
      <c r="E514" s="2">
        <f ca="1">INDEX(Simulations!$A$1:$BK$2501, 514, MATCH("Yr1Shock", Simulations!$A$1:$BK$1, 0))</f>
        <v>8.6552646873433968E-3</v>
      </c>
    </row>
    <row r="515" spans="1:5" x14ac:dyDescent="0.3">
      <c r="A515" s="2">
        <f ca="1">INDEX(Simulations!$A$1:$BK$2501, 515, MATCH("PurchaseMultiple", Simulations!$A$1:$BK$1, 0))</f>
        <v>6.5004516702974131</v>
      </c>
      <c r="B515" s="2">
        <f ca="1">INDEX(Simulations!$A$1:$BK$2501, 515, MATCH("ExitMultiple", Simulations!$A$1:$BK$1, 0))</f>
        <v>7.5244075957469825</v>
      </c>
      <c r="C515" s="2">
        <f ca="1">INDEX(Simulations!$A$1:$BK$2501, 515, MATCH("RevCAGR", Simulations!$A$1:$BK$1, 0))</f>
        <v>6.4240351966626252E-2</v>
      </c>
      <c r="D515" s="2">
        <f ca="1">INDEX(Simulations!$A$1:$BK$2501, 515, MATCH("SynMargin", Simulations!$A$1:$BK$1, 0))</f>
        <v>2.9640175340305509E-3</v>
      </c>
      <c r="E515" s="2">
        <f ca="1">INDEX(Simulations!$A$1:$BK$2501, 515, MATCH("Yr1Shock", Simulations!$A$1:$BK$1, 0))</f>
        <v>7.5857726104931059E-3</v>
      </c>
    </row>
    <row r="516" spans="1:5" x14ac:dyDescent="0.3">
      <c r="A516" s="2">
        <f ca="1">INDEX(Simulations!$A$1:$BK$2501, 516, MATCH("PurchaseMultiple", Simulations!$A$1:$BK$1, 0))</f>
        <v>7.2270422963814704</v>
      </c>
      <c r="B516" s="2">
        <f ca="1">INDEX(Simulations!$A$1:$BK$2501, 516, MATCH("ExitMultiple", Simulations!$A$1:$BK$1, 0))</f>
        <v>7.8728213755046115</v>
      </c>
      <c r="C516" s="2">
        <f ca="1">INDEX(Simulations!$A$1:$BK$2501, 516, MATCH("RevCAGR", Simulations!$A$1:$BK$1, 0))</f>
        <v>2.7270746375229631E-2</v>
      </c>
      <c r="D516" s="2">
        <f ca="1">INDEX(Simulations!$A$1:$BK$2501, 516, MATCH("SynMargin", Simulations!$A$1:$BK$1, 0))</f>
        <v>1.4801647128918826E-2</v>
      </c>
      <c r="E516" s="2">
        <f ca="1">INDEX(Simulations!$A$1:$BK$2501, 516, MATCH("Yr1Shock", Simulations!$A$1:$BK$1, 0))</f>
        <v>-4.430006230428972E-2</v>
      </c>
    </row>
    <row r="517" spans="1:5" x14ac:dyDescent="0.3">
      <c r="A517" s="2">
        <f ca="1">INDEX(Simulations!$A$1:$BK$2501, 517, MATCH("PurchaseMultiple", Simulations!$A$1:$BK$1, 0))</f>
        <v>7.5316628605721752</v>
      </c>
      <c r="B517" s="2">
        <f ca="1">INDEX(Simulations!$A$1:$BK$2501, 517, MATCH("ExitMultiple", Simulations!$A$1:$BK$1, 0))</f>
        <v>7.6507465448726366</v>
      </c>
      <c r="C517" s="2">
        <f ca="1">INDEX(Simulations!$A$1:$BK$2501, 517, MATCH("RevCAGR", Simulations!$A$1:$BK$1, 0))</f>
        <v>5.5546801165798132E-2</v>
      </c>
      <c r="D517" s="2">
        <f ca="1">INDEX(Simulations!$A$1:$BK$2501, 517, MATCH("SynMargin", Simulations!$A$1:$BK$1, 0))</f>
        <v>1.0890421619280907E-2</v>
      </c>
      <c r="E517" s="2">
        <f ca="1">INDEX(Simulations!$A$1:$BK$2501, 517, MATCH("Yr1Shock", Simulations!$A$1:$BK$1, 0))</f>
        <v>6.1372854273494268E-3</v>
      </c>
    </row>
    <row r="518" spans="1:5" x14ac:dyDescent="0.3">
      <c r="A518" s="2">
        <f ca="1">INDEX(Simulations!$A$1:$BK$2501, 518, MATCH("PurchaseMultiple", Simulations!$A$1:$BK$1, 0))</f>
        <v>7.1592170696174273</v>
      </c>
      <c r="B518" s="2">
        <f ca="1">INDEX(Simulations!$A$1:$BK$2501, 518, MATCH("ExitMultiple", Simulations!$A$1:$BK$1, 0))</f>
        <v>6.5999345951690422</v>
      </c>
      <c r="C518" s="2">
        <f ca="1">INDEX(Simulations!$A$1:$BK$2501, 518, MATCH("RevCAGR", Simulations!$A$1:$BK$1, 0))</f>
        <v>9.0548097533937472E-2</v>
      </c>
      <c r="D518" s="2">
        <f ca="1">INDEX(Simulations!$A$1:$BK$2501, 518, MATCH("SynMargin", Simulations!$A$1:$BK$1, 0))</f>
        <v>0</v>
      </c>
      <c r="E518" s="2">
        <f ca="1">INDEX(Simulations!$A$1:$BK$2501, 518, MATCH("Yr1Shock", Simulations!$A$1:$BK$1, 0))</f>
        <v>2.3570724806518777E-2</v>
      </c>
    </row>
    <row r="519" spans="1:5" x14ac:dyDescent="0.3">
      <c r="A519" s="2">
        <f ca="1">INDEX(Simulations!$A$1:$BK$2501, 519, MATCH("PurchaseMultiple", Simulations!$A$1:$BK$1, 0))</f>
        <v>6.8712047007200949</v>
      </c>
      <c r="B519" s="2">
        <f ca="1">INDEX(Simulations!$A$1:$BK$2501, 519, MATCH("ExitMultiple", Simulations!$A$1:$BK$1, 0))</f>
        <v>7.4780356586818195</v>
      </c>
      <c r="C519" s="2">
        <f ca="1">INDEX(Simulations!$A$1:$BK$2501, 519, MATCH("RevCAGR", Simulations!$A$1:$BK$1, 0))</f>
        <v>6.5325137286593157E-2</v>
      </c>
      <c r="D519" s="2">
        <f ca="1">INDEX(Simulations!$A$1:$BK$2501, 519, MATCH("SynMargin", Simulations!$A$1:$BK$1, 0))</f>
        <v>8.113868183809634E-3</v>
      </c>
      <c r="E519" s="2">
        <f ca="1">INDEX(Simulations!$A$1:$BK$2501, 519, MATCH("Yr1Shock", Simulations!$A$1:$BK$1, 0))</f>
        <v>3.1528060933207584E-2</v>
      </c>
    </row>
    <row r="520" spans="1:5" x14ac:dyDescent="0.3">
      <c r="A520" s="2">
        <f ca="1">INDEX(Simulations!$A$1:$BK$2501, 520, MATCH("PurchaseMultiple", Simulations!$A$1:$BK$1, 0))</f>
        <v>6.2409116123594259</v>
      </c>
      <c r="B520" s="2">
        <f ca="1">INDEX(Simulations!$A$1:$BK$2501, 520, MATCH("ExitMultiple", Simulations!$A$1:$BK$1, 0))</f>
        <v>6.9544908962575818</v>
      </c>
      <c r="C520" s="2">
        <f ca="1">INDEX(Simulations!$A$1:$BK$2501, 520, MATCH("RevCAGR", Simulations!$A$1:$BK$1, 0))</f>
        <v>6.0564564029792232E-2</v>
      </c>
      <c r="D520" s="2">
        <f ca="1">INDEX(Simulations!$A$1:$BK$2501, 520, MATCH("SynMargin", Simulations!$A$1:$BK$1, 0))</f>
        <v>5.8603187133343107E-3</v>
      </c>
      <c r="E520" s="2">
        <f ca="1">INDEX(Simulations!$A$1:$BK$2501, 520, MATCH("Yr1Shock", Simulations!$A$1:$BK$1, 0))</f>
        <v>-6.1237668785406995E-3</v>
      </c>
    </row>
    <row r="521" spans="1:5" x14ac:dyDescent="0.3">
      <c r="A521" s="2">
        <f ca="1">INDEX(Simulations!$A$1:$BK$2501, 521, MATCH("PurchaseMultiple", Simulations!$A$1:$BK$1, 0))</f>
        <v>6.5870973990266393</v>
      </c>
      <c r="B521" s="2">
        <f ca="1">INDEX(Simulations!$A$1:$BK$2501, 521, MATCH("ExitMultiple", Simulations!$A$1:$BK$1, 0))</f>
        <v>7.8329141195509946</v>
      </c>
      <c r="C521" s="2">
        <f ca="1">INDEX(Simulations!$A$1:$BK$2501, 521, MATCH("RevCAGR", Simulations!$A$1:$BK$1, 0))</f>
        <v>5.7198005948589759E-2</v>
      </c>
      <c r="D521" s="2">
        <f ca="1">INDEX(Simulations!$A$1:$BK$2501, 521, MATCH("SynMargin", Simulations!$A$1:$BK$1, 0))</f>
        <v>9.3418032231650169E-3</v>
      </c>
      <c r="E521" s="2">
        <f ca="1">INDEX(Simulations!$A$1:$BK$2501, 521, MATCH("Yr1Shock", Simulations!$A$1:$BK$1, 0))</f>
        <v>-4.2519416795905624E-2</v>
      </c>
    </row>
    <row r="522" spans="1:5" x14ac:dyDescent="0.3">
      <c r="A522" s="2">
        <f ca="1">INDEX(Simulations!$A$1:$BK$2501, 522, MATCH("PurchaseMultiple", Simulations!$A$1:$BK$1, 0))</f>
        <v>7.5331446977499619</v>
      </c>
      <c r="B522" s="2">
        <f ca="1">INDEX(Simulations!$A$1:$BK$2501, 522, MATCH("ExitMultiple", Simulations!$A$1:$BK$1, 0))</f>
        <v>7.1925172368966273</v>
      </c>
      <c r="C522" s="2">
        <f ca="1">INDEX(Simulations!$A$1:$BK$2501, 522, MATCH("RevCAGR", Simulations!$A$1:$BK$1, 0))</f>
        <v>6.9681967098444736E-2</v>
      </c>
      <c r="D522" s="2">
        <f ca="1">INDEX(Simulations!$A$1:$BK$2501, 522, MATCH("SynMargin", Simulations!$A$1:$BK$1, 0))</f>
        <v>2.1891492960140493E-2</v>
      </c>
      <c r="E522" s="2">
        <f ca="1">INDEX(Simulations!$A$1:$BK$2501, 522, MATCH("Yr1Shock", Simulations!$A$1:$BK$1, 0))</f>
        <v>-1.0869998175643493E-3</v>
      </c>
    </row>
    <row r="523" spans="1:5" x14ac:dyDescent="0.3">
      <c r="A523" s="2">
        <f ca="1">INDEX(Simulations!$A$1:$BK$2501, 523, MATCH("PurchaseMultiple", Simulations!$A$1:$BK$1, 0))</f>
        <v>6.4755331256172353</v>
      </c>
      <c r="B523" s="2">
        <f ca="1">INDEX(Simulations!$A$1:$BK$2501, 523, MATCH("ExitMultiple", Simulations!$A$1:$BK$1, 0))</f>
        <v>7.4023101130732618</v>
      </c>
      <c r="C523" s="2">
        <f ca="1">INDEX(Simulations!$A$1:$BK$2501, 523, MATCH("RevCAGR", Simulations!$A$1:$BK$1, 0))</f>
        <v>-1.2838487556019851E-2</v>
      </c>
      <c r="D523" s="2">
        <f ca="1">INDEX(Simulations!$A$1:$BK$2501, 523, MATCH("SynMargin", Simulations!$A$1:$BK$1, 0))</f>
        <v>1.8845973982650401E-2</v>
      </c>
      <c r="E523" s="2">
        <f ca="1">INDEX(Simulations!$A$1:$BK$2501, 523, MATCH("Yr1Shock", Simulations!$A$1:$BK$1, 0))</f>
        <v>3.7118763031771709E-2</v>
      </c>
    </row>
    <row r="524" spans="1:5" x14ac:dyDescent="0.3">
      <c r="A524" s="2">
        <f ca="1">INDEX(Simulations!$A$1:$BK$2501, 524, MATCH("PurchaseMultiple", Simulations!$A$1:$BK$1, 0))</f>
        <v>7.1038144570214623</v>
      </c>
      <c r="B524" s="2">
        <f ca="1">INDEX(Simulations!$A$1:$BK$2501, 524, MATCH("ExitMultiple", Simulations!$A$1:$BK$1, 0))</f>
        <v>7.1265347558845571</v>
      </c>
      <c r="C524" s="2">
        <f ca="1">INDEX(Simulations!$A$1:$BK$2501, 524, MATCH("RevCAGR", Simulations!$A$1:$BK$1, 0))</f>
        <v>5.8744019951043114E-2</v>
      </c>
      <c r="D524" s="2">
        <f ca="1">INDEX(Simulations!$A$1:$BK$2501, 524, MATCH("SynMargin", Simulations!$A$1:$BK$1, 0))</f>
        <v>8.7905643106291793E-3</v>
      </c>
      <c r="E524" s="2">
        <f ca="1">INDEX(Simulations!$A$1:$BK$2501, 524, MATCH("Yr1Shock", Simulations!$A$1:$BK$1, 0))</f>
        <v>4.26421407401067E-4</v>
      </c>
    </row>
    <row r="525" spans="1:5" x14ac:dyDescent="0.3">
      <c r="A525" s="2">
        <f ca="1">INDEX(Simulations!$A$1:$BK$2501, 525, MATCH("PurchaseMultiple", Simulations!$A$1:$BK$1, 0))</f>
        <v>6.1717007385771874</v>
      </c>
      <c r="B525" s="2">
        <f ca="1">INDEX(Simulations!$A$1:$BK$2501, 525, MATCH("ExitMultiple", Simulations!$A$1:$BK$1, 0))</f>
        <v>7.2605382548979014</v>
      </c>
      <c r="C525" s="2">
        <f ca="1">INDEX(Simulations!$A$1:$BK$2501, 525, MATCH("RevCAGR", Simulations!$A$1:$BK$1, 0))</f>
        <v>4.944407876162471E-2</v>
      </c>
      <c r="D525" s="2">
        <f ca="1">INDEX(Simulations!$A$1:$BK$2501, 525, MATCH("SynMargin", Simulations!$A$1:$BK$1, 0))</f>
        <v>1.6222765608804667E-2</v>
      </c>
      <c r="E525" s="2">
        <f ca="1">INDEX(Simulations!$A$1:$BK$2501, 525, MATCH("Yr1Shock", Simulations!$A$1:$BK$1, 0))</f>
        <v>1.633183587464343E-2</v>
      </c>
    </row>
    <row r="526" spans="1:5" x14ac:dyDescent="0.3">
      <c r="A526" s="2">
        <f ca="1">INDEX(Simulations!$A$1:$BK$2501, 526, MATCH("PurchaseMultiple", Simulations!$A$1:$BK$1, 0))</f>
        <v>7.3636638676425124</v>
      </c>
      <c r="B526" s="2">
        <f ca="1">INDEX(Simulations!$A$1:$BK$2501, 526, MATCH("ExitMultiple", Simulations!$A$1:$BK$1, 0))</f>
        <v>7.4122386396153974</v>
      </c>
      <c r="C526" s="2">
        <f ca="1">INDEX(Simulations!$A$1:$BK$2501, 526, MATCH("RevCAGR", Simulations!$A$1:$BK$1, 0))</f>
        <v>5.2840602428115405E-2</v>
      </c>
      <c r="D526" s="2">
        <f ca="1">INDEX(Simulations!$A$1:$BK$2501, 526, MATCH("SynMargin", Simulations!$A$1:$BK$1, 0))</f>
        <v>1.2741869477972123E-3</v>
      </c>
      <c r="E526" s="2">
        <f ca="1">INDEX(Simulations!$A$1:$BK$2501, 526, MATCH("Yr1Shock", Simulations!$A$1:$BK$1, 0))</f>
        <v>1.2737111740873217E-3</v>
      </c>
    </row>
    <row r="527" spans="1:5" x14ac:dyDescent="0.3">
      <c r="A527" s="2">
        <f ca="1">INDEX(Simulations!$A$1:$BK$2501, 527, MATCH("PurchaseMultiple", Simulations!$A$1:$BK$1, 0))</f>
        <v>6.772306117859177</v>
      </c>
      <c r="B527" s="2">
        <f ca="1">INDEX(Simulations!$A$1:$BK$2501, 527, MATCH("ExitMultiple", Simulations!$A$1:$BK$1, 0))</f>
        <v>7.385373225270766</v>
      </c>
      <c r="C527" s="2">
        <f ca="1">INDEX(Simulations!$A$1:$BK$2501, 527, MATCH("RevCAGR", Simulations!$A$1:$BK$1, 0))</f>
        <v>4.7306072794935247E-2</v>
      </c>
      <c r="D527" s="2">
        <f ca="1">INDEX(Simulations!$A$1:$BK$2501, 527, MATCH("SynMargin", Simulations!$A$1:$BK$1, 0))</f>
        <v>9.9593478060461902E-3</v>
      </c>
      <c r="E527" s="2">
        <f ca="1">INDEX(Simulations!$A$1:$BK$2501, 527, MATCH("Yr1Shock", Simulations!$A$1:$BK$1, 0))</f>
        <v>4.8490023211747134E-2</v>
      </c>
    </row>
    <row r="528" spans="1:5" x14ac:dyDescent="0.3">
      <c r="A528" s="2">
        <f ca="1">INDEX(Simulations!$A$1:$BK$2501, 528, MATCH("PurchaseMultiple", Simulations!$A$1:$BK$1, 0))</f>
        <v>7.247203092379773</v>
      </c>
      <c r="B528" s="2">
        <f ca="1">INDEX(Simulations!$A$1:$BK$2501, 528, MATCH("ExitMultiple", Simulations!$A$1:$BK$1, 0))</f>
        <v>7.3319103023678345</v>
      </c>
      <c r="C528" s="2">
        <f ca="1">INDEX(Simulations!$A$1:$BK$2501, 528, MATCH("RevCAGR", Simulations!$A$1:$BK$1, 0))</f>
        <v>7.1799418862670009E-2</v>
      </c>
      <c r="D528" s="2">
        <f ca="1">INDEX(Simulations!$A$1:$BK$2501, 528, MATCH("SynMargin", Simulations!$A$1:$BK$1, 0))</f>
        <v>1.3971845424407669E-2</v>
      </c>
      <c r="E528" s="2">
        <f ca="1">INDEX(Simulations!$A$1:$BK$2501, 528, MATCH("Yr1Shock", Simulations!$A$1:$BK$1, 0))</f>
        <v>-1.3832996153330879E-2</v>
      </c>
    </row>
    <row r="529" spans="1:5" x14ac:dyDescent="0.3">
      <c r="A529" s="2">
        <f ca="1">INDEX(Simulations!$A$1:$BK$2501, 529, MATCH("PurchaseMultiple", Simulations!$A$1:$BK$1, 0))</f>
        <v>7.2428578082803741</v>
      </c>
      <c r="B529" s="2">
        <f ca="1">INDEX(Simulations!$A$1:$BK$2501, 529, MATCH("ExitMultiple", Simulations!$A$1:$BK$1, 0))</f>
        <v>8.0048301193559332</v>
      </c>
      <c r="C529" s="2">
        <f ca="1">INDEX(Simulations!$A$1:$BK$2501, 529, MATCH("RevCAGR", Simulations!$A$1:$BK$1, 0))</f>
        <v>7.7409110779829926E-2</v>
      </c>
      <c r="D529" s="2">
        <f ca="1">INDEX(Simulations!$A$1:$BK$2501, 529, MATCH("SynMargin", Simulations!$A$1:$BK$1, 0))</f>
        <v>1.1397652443781383E-2</v>
      </c>
      <c r="E529" s="2">
        <f ca="1">INDEX(Simulations!$A$1:$BK$2501, 529, MATCH("Yr1Shock", Simulations!$A$1:$BK$1, 0))</f>
        <v>1.4345928557118127E-2</v>
      </c>
    </row>
    <row r="530" spans="1:5" x14ac:dyDescent="0.3">
      <c r="A530" s="2">
        <f ca="1">INDEX(Simulations!$A$1:$BK$2501, 530, MATCH("PurchaseMultiple", Simulations!$A$1:$BK$1, 0))</f>
        <v>7.2744704528472788</v>
      </c>
      <c r="B530" s="2">
        <f ca="1">INDEX(Simulations!$A$1:$BK$2501, 530, MATCH("ExitMultiple", Simulations!$A$1:$BK$1, 0))</f>
        <v>7.944751470237553</v>
      </c>
      <c r="C530" s="2">
        <f ca="1">INDEX(Simulations!$A$1:$BK$2501, 530, MATCH("RevCAGR", Simulations!$A$1:$BK$1, 0))</f>
        <v>5.9336157172923648E-2</v>
      </c>
      <c r="D530" s="2">
        <f ca="1">INDEX(Simulations!$A$1:$BK$2501, 530, MATCH("SynMargin", Simulations!$A$1:$BK$1, 0))</f>
        <v>1.3196828141152613E-2</v>
      </c>
      <c r="E530" s="2">
        <f ca="1">INDEX(Simulations!$A$1:$BK$2501, 530, MATCH("Yr1Shock", Simulations!$A$1:$BK$1, 0))</f>
        <v>1.6047145789555489E-2</v>
      </c>
    </row>
    <row r="531" spans="1:5" x14ac:dyDescent="0.3">
      <c r="A531" s="2">
        <f ca="1">INDEX(Simulations!$A$1:$BK$2501, 531, MATCH("PurchaseMultiple", Simulations!$A$1:$BK$1, 0))</f>
        <v>7.4171884047738814</v>
      </c>
      <c r="B531" s="2">
        <f ca="1">INDEX(Simulations!$A$1:$BK$2501, 531, MATCH("ExitMultiple", Simulations!$A$1:$BK$1, 0))</f>
        <v>7.0944935352534113</v>
      </c>
      <c r="C531" s="2">
        <f ca="1">INDEX(Simulations!$A$1:$BK$2501, 531, MATCH("RevCAGR", Simulations!$A$1:$BK$1, 0))</f>
        <v>9.4104773966415672E-4</v>
      </c>
      <c r="D531" s="2">
        <f ca="1">INDEX(Simulations!$A$1:$BK$2501, 531, MATCH("SynMargin", Simulations!$A$1:$BK$1, 0))</f>
        <v>1.1605749172987415E-3</v>
      </c>
      <c r="E531" s="2">
        <f ca="1">INDEX(Simulations!$A$1:$BK$2501, 531, MATCH("Yr1Shock", Simulations!$A$1:$BK$1, 0))</f>
        <v>4.6484104995236078E-3</v>
      </c>
    </row>
    <row r="532" spans="1:5" x14ac:dyDescent="0.3">
      <c r="A532" s="2">
        <f ca="1">INDEX(Simulations!$A$1:$BK$2501, 532, MATCH("PurchaseMultiple", Simulations!$A$1:$BK$1, 0))</f>
        <v>6.7411832683279815</v>
      </c>
      <c r="B532" s="2">
        <f ca="1">INDEX(Simulations!$A$1:$BK$2501, 532, MATCH("ExitMultiple", Simulations!$A$1:$BK$1, 0))</f>
        <v>8.2507315961697696</v>
      </c>
      <c r="C532" s="2">
        <f ca="1">INDEX(Simulations!$A$1:$BK$2501, 532, MATCH("RevCAGR", Simulations!$A$1:$BK$1, 0))</f>
        <v>6.3990902156737778E-2</v>
      </c>
      <c r="D532" s="2">
        <f ca="1">INDEX(Simulations!$A$1:$BK$2501, 532, MATCH("SynMargin", Simulations!$A$1:$BK$1, 0))</f>
        <v>0</v>
      </c>
      <c r="E532" s="2">
        <f ca="1">INDEX(Simulations!$A$1:$BK$2501, 532, MATCH("Yr1Shock", Simulations!$A$1:$BK$1, 0))</f>
        <v>-7.9417253980123975E-3</v>
      </c>
    </row>
    <row r="533" spans="1:5" x14ac:dyDescent="0.3">
      <c r="A533" s="2">
        <f ca="1">INDEX(Simulations!$A$1:$BK$2501, 533, MATCH("PurchaseMultiple", Simulations!$A$1:$BK$1, 0))</f>
        <v>7.7794643254377265</v>
      </c>
      <c r="B533" s="2">
        <f ca="1">INDEX(Simulations!$A$1:$BK$2501, 533, MATCH("ExitMultiple", Simulations!$A$1:$BK$1, 0))</f>
        <v>7.2372003817026229</v>
      </c>
      <c r="C533" s="2">
        <f ca="1">INDEX(Simulations!$A$1:$BK$2501, 533, MATCH("RevCAGR", Simulations!$A$1:$BK$1, 0))</f>
        <v>5.7873902325286178E-3</v>
      </c>
      <c r="D533" s="2">
        <f ca="1">INDEX(Simulations!$A$1:$BK$2501, 533, MATCH("SynMargin", Simulations!$A$1:$BK$1, 0))</f>
        <v>1.5859752942505086E-2</v>
      </c>
      <c r="E533" s="2">
        <f ca="1">INDEX(Simulations!$A$1:$BK$2501, 533, MATCH("Yr1Shock", Simulations!$A$1:$BK$1, 0))</f>
        <v>-1.1542755533383417E-2</v>
      </c>
    </row>
    <row r="534" spans="1:5" x14ac:dyDescent="0.3">
      <c r="A534" s="2">
        <f ca="1">INDEX(Simulations!$A$1:$BK$2501, 534, MATCH("PurchaseMultiple", Simulations!$A$1:$BK$1, 0))</f>
        <v>6.3310413176255995</v>
      </c>
      <c r="B534" s="2">
        <f ca="1">INDEX(Simulations!$A$1:$BK$2501, 534, MATCH("ExitMultiple", Simulations!$A$1:$BK$1, 0))</f>
        <v>7.9362855283862288</v>
      </c>
      <c r="C534" s="2">
        <f ca="1">INDEX(Simulations!$A$1:$BK$2501, 534, MATCH("RevCAGR", Simulations!$A$1:$BK$1, 0))</f>
        <v>4.6538761194616279E-2</v>
      </c>
      <c r="D534" s="2">
        <f ca="1">INDEX(Simulations!$A$1:$BK$2501, 534, MATCH("SynMargin", Simulations!$A$1:$BK$1, 0))</f>
        <v>1.1131600731497488E-2</v>
      </c>
      <c r="E534" s="2">
        <f ca="1">INDEX(Simulations!$A$1:$BK$2501, 534, MATCH("Yr1Shock", Simulations!$A$1:$BK$1, 0))</f>
        <v>-1.3237354020681503E-2</v>
      </c>
    </row>
    <row r="535" spans="1:5" x14ac:dyDescent="0.3">
      <c r="A535" s="2">
        <f ca="1">INDEX(Simulations!$A$1:$BK$2501, 535, MATCH("PurchaseMultiple", Simulations!$A$1:$BK$1, 0))</f>
        <v>6.9879515290503225</v>
      </c>
      <c r="B535" s="2">
        <f ca="1">INDEX(Simulations!$A$1:$BK$2501, 535, MATCH("ExitMultiple", Simulations!$A$1:$BK$1, 0))</f>
        <v>6.7398521399465583</v>
      </c>
      <c r="C535" s="2">
        <f ca="1">INDEX(Simulations!$A$1:$BK$2501, 535, MATCH("RevCAGR", Simulations!$A$1:$BK$1, 0))</f>
        <v>3.5102165802647883E-2</v>
      </c>
      <c r="D535" s="2">
        <f ca="1">INDEX(Simulations!$A$1:$BK$2501, 535, MATCH("SynMargin", Simulations!$A$1:$BK$1, 0))</f>
        <v>1.4883852371799986E-2</v>
      </c>
      <c r="E535" s="2">
        <f ca="1">INDEX(Simulations!$A$1:$BK$2501, 535, MATCH("Yr1Shock", Simulations!$A$1:$BK$1, 0))</f>
        <v>1.0746977611399517E-2</v>
      </c>
    </row>
    <row r="536" spans="1:5" x14ac:dyDescent="0.3">
      <c r="A536" s="2">
        <f ca="1">INDEX(Simulations!$A$1:$BK$2501, 536, MATCH("PurchaseMultiple", Simulations!$A$1:$BK$1, 0))</f>
        <v>6.6785709366752561</v>
      </c>
      <c r="B536" s="2">
        <f ca="1">INDEX(Simulations!$A$1:$BK$2501, 536, MATCH("ExitMultiple", Simulations!$A$1:$BK$1, 0))</f>
        <v>7.7794725946063554</v>
      </c>
      <c r="C536" s="2">
        <f ca="1">INDEX(Simulations!$A$1:$BK$2501, 536, MATCH("RevCAGR", Simulations!$A$1:$BK$1, 0))</f>
        <v>3.2830198082907366E-2</v>
      </c>
      <c r="D536" s="2">
        <f ca="1">INDEX(Simulations!$A$1:$BK$2501, 536, MATCH("SynMargin", Simulations!$A$1:$BK$1, 0))</f>
        <v>7.6467962533440809E-3</v>
      </c>
      <c r="E536" s="2">
        <f ca="1">INDEX(Simulations!$A$1:$BK$2501, 536, MATCH("Yr1Shock", Simulations!$A$1:$BK$1, 0))</f>
        <v>3.1812397866609873E-2</v>
      </c>
    </row>
    <row r="537" spans="1:5" x14ac:dyDescent="0.3">
      <c r="A537" s="2">
        <f ca="1">INDEX(Simulations!$A$1:$BK$2501, 537, MATCH("PurchaseMultiple", Simulations!$A$1:$BK$1, 0))</f>
        <v>7.2935646879185185</v>
      </c>
      <c r="B537" s="2">
        <f ca="1">INDEX(Simulations!$A$1:$BK$2501, 537, MATCH("ExitMultiple", Simulations!$A$1:$BK$1, 0))</f>
        <v>6.973371950906019</v>
      </c>
      <c r="C537" s="2">
        <f ca="1">INDEX(Simulations!$A$1:$BK$2501, 537, MATCH("RevCAGR", Simulations!$A$1:$BK$1, 0))</f>
        <v>1.9532141511884829E-2</v>
      </c>
      <c r="D537" s="2">
        <f ca="1">INDEX(Simulations!$A$1:$BK$2501, 537, MATCH("SynMargin", Simulations!$A$1:$BK$1, 0))</f>
        <v>1.2936977233208755E-2</v>
      </c>
      <c r="E537" s="2">
        <f ca="1">INDEX(Simulations!$A$1:$BK$2501, 537, MATCH("Yr1Shock", Simulations!$A$1:$BK$1, 0))</f>
        <v>9.0346164542138754E-3</v>
      </c>
    </row>
    <row r="538" spans="1:5" x14ac:dyDescent="0.3">
      <c r="A538" s="2">
        <f ca="1">INDEX(Simulations!$A$1:$BK$2501, 538, MATCH("PurchaseMultiple", Simulations!$A$1:$BK$1, 0))</f>
        <v>6.8673978281260819</v>
      </c>
      <c r="B538" s="2">
        <f ca="1">INDEX(Simulations!$A$1:$BK$2501, 538, MATCH("ExitMultiple", Simulations!$A$1:$BK$1, 0))</f>
        <v>7.4091805150673968</v>
      </c>
      <c r="C538" s="2">
        <f ca="1">INDEX(Simulations!$A$1:$BK$2501, 538, MATCH("RevCAGR", Simulations!$A$1:$BK$1, 0))</f>
        <v>4.6273612505157706E-2</v>
      </c>
      <c r="D538" s="2">
        <f ca="1">INDEX(Simulations!$A$1:$BK$2501, 538, MATCH("SynMargin", Simulations!$A$1:$BK$1, 0))</f>
        <v>1.4798684006115899E-2</v>
      </c>
      <c r="E538" s="2">
        <f ca="1">INDEX(Simulations!$A$1:$BK$2501, 538, MATCH("Yr1Shock", Simulations!$A$1:$BK$1, 0))</f>
        <v>-1.5874241542056661E-2</v>
      </c>
    </row>
    <row r="539" spans="1:5" x14ac:dyDescent="0.3">
      <c r="A539" s="2">
        <f ca="1">INDEX(Simulations!$A$1:$BK$2501, 539, MATCH("PurchaseMultiple", Simulations!$A$1:$BK$1, 0))</f>
        <v>7.2391430458113772</v>
      </c>
      <c r="B539" s="2">
        <f ca="1">INDEX(Simulations!$A$1:$BK$2501, 539, MATCH("ExitMultiple", Simulations!$A$1:$BK$1, 0))</f>
        <v>7.0790461211695499</v>
      </c>
      <c r="C539" s="2">
        <f ca="1">INDEX(Simulations!$A$1:$BK$2501, 539, MATCH("RevCAGR", Simulations!$A$1:$BK$1, 0))</f>
        <v>-3.9664172321987531E-3</v>
      </c>
      <c r="D539" s="2">
        <f ca="1">INDEX(Simulations!$A$1:$BK$2501, 539, MATCH("SynMargin", Simulations!$A$1:$BK$1, 0))</f>
        <v>9.2009558113139572E-3</v>
      </c>
      <c r="E539" s="2">
        <f ca="1">INDEX(Simulations!$A$1:$BK$2501, 539, MATCH("Yr1Shock", Simulations!$A$1:$BK$1, 0))</f>
        <v>-3.8692203956731668E-2</v>
      </c>
    </row>
    <row r="540" spans="1:5" x14ac:dyDescent="0.3">
      <c r="A540" s="2">
        <f ca="1">INDEX(Simulations!$A$1:$BK$2501, 540, MATCH("PurchaseMultiple", Simulations!$A$1:$BK$1, 0))</f>
        <v>7.261088380233625</v>
      </c>
      <c r="B540" s="2">
        <f ca="1">INDEX(Simulations!$A$1:$BK$2501, 540, MATCH("ExitMultiple", Simulations!$A$1:$BK$1, 0))</f>
        <v>7.2055295555287486</v>
      </c>
      <c r="C540" s="2">
        <f ca="1">INDEX(Simulations!$A$1:$BK$2501, 540, MATCH("RevCAGR", Simulations!$A$1:$BK$1, 0))</f>
        <v>5.1646921710238207E-2</v>
      </c>
      <c r="D540" s="2">
        <f ca="1">INDEX(Simulations!$A$1:$BK$2501, 540, MATCH("SynMargin", Simulations!$A$1:$BK$1, 0))</f>
        <v>1.4109655964198699E-2</v>
      </c>
      <c r="E540" s="2">
        <f ca="1">INDEX(Simulations!$A$1:$BK$2501, 540, MATCH("Yr1Shock", Simulations!$A$1:$BK$1, 0))</f>
        <v>-3.598119042056942E-3</v>
      </c>
    </row>
    <row r="541" spans="1:5" x14ac:dyDescent="0.3">
      <c r="A541" s="2">
        <f ca="1">INDEX(Simulations!$A$1:$BK$2501, 541, MATCH("PurchaseMultiple", Simulations!$A$1:$BK$1, 0))</f>
        <v>7.3392460183422923</v>
      </c>
      <c r="B541" s="2">
        <f ca="1">INDEX(Simulations!$A$1:$BK$2501, 541, MATCH("ExitMultiple", Simulations!$A$1:$BK$1, 0))</f>
        <v>7.1196365955245522</v>
      </c>
      <c r="C541" s="2">
        <f ca="1">INDEX(Simulations!$A$1:$BK$2501, 541, MATCH("RevCAGR", Simulations!$A$1:$BK$1, 0))</f>
        <v>0.11041568839516169</v>
      </c>
      <c r="D541" s="2">
        <f ca="1">INDEX(Simulations!$A$1:$BK$2501, 541, MATCH("SynMargin", Simulations!$A$1:$BK$1, 0))</f>
        <v>1.2425054545971067E-2</v>
      </c>
      <c r="E541" s="2">
        <f ca="1">INDEX(Simulations!$A$1:$BK$2501, 541, MATCH("Yr1Shock", Simulations!$A$1:$BK$1, 0))</f>
        <v>-1.2966641758031564E-2</v>
      </c>
    </row>
    <row r="542" spans="1:5" x14ac:dyDescent="0.3">
      <c r="A542" s="2">
        <f ca="1">INDEX(Simulations!$A$1:$BK$2501, 542, MATCH("PurchaseMultiple", Simulations!$A$1:$BK$1, 0))</f>
        <v>7.2859635642272425</v>
      </c>
      <c r="B542" s="2">
        <f ca="1">INDEX(Simulations!$A$1:$BK$2501, 542, MATCH("ExitMultiple", Simulations!$A$1:$BK$1, 0))</f>
        <v>7.4245226884741342</v>
      </c>
      <c r="C542" s="2">
        <f ca="1">INDEX(Simulations!$A$1:$BK$2501, 542, MATCH("RevCAGR", Simulations!$A$1:$BK$1, 0))</f>
        <v>7.0934552959312822E-2</v>
      </c>
      <c r="D542" s="2">
        <f ca="1">INDEX(Simulations!$A$1:$BK$2501, 542, MATCH("SynMargin", Simulations!$A$1:$BK$1, 0))</f>
        <v>1.3249888445223384E-2</v>
      </c>
      <c r="E542" s="2">
        <f ca="1">INDEX(Simulations!$A$1:$BK$2501, 542, MATCH("Yr1Shock", Simulations!$A$1:$BK$1, 0))</f>
        <v>-1.5211959004489999E-2</v>
      </c>
    </row>
    <row r="543" spans="1:5" x14ac:dyDescent="0.3">
      <c r="A543" s="2">
        <f ca="1">INDEX(Simulations!$A$1:$BK$2501, 543, MATCH("PurchaseMultiple", Simulations!$A$1:$BK$1, 0))</f>
        <v>6.5740829203058748</v>
      </c>
      <c r="B543" s="2">
        <f ca="1">INDEX(Simulations!$A$1:$BK$2501, 543, MATCH("ExitMultiple", Simulations!$A$1:$BK$1, 0))</f>
        <v>7.4756914918905624</v>
      </c>
      <c r="C543" s="2">
        <f ca="1">INDEX(Simulations!$A$1:$BK$2501, 543, MATCH("RevCAGR", Simulations!$A$1:$BK$1, 0))</f>
        <v>4.3736658651988551E-2</v>
      </c>
      <c r="D543" s="2">
        <f ca="1">INDEX(Simulations!$A$1:$BK$2501, 543, MATCH("SynMargin", Simulations!$A$1:$BK$1, 0))</f>
        <v>1.625644579647963E-2</v>
      </c>
      <c r="E543" s="2">
        <f ca="1">INDEX(Simulations!$A$1:$BK$2501, 543, MATCH("Yr1Shock", Simulations!$A$1:$BK$1, 0))</f>
        <v>-1.9503103080273511E-2</v>
      </c>
    </row>
    <row r="544" spans="1:5" x14ac:dyDescent="0.3">
      <c r="A544" s="2">
        <f ca="1">INDEX(Simulations!$A$1:$BK$2501, 544, MATCH("PurchaseMultiple", Simulations!$A$1:$BK$1, 0))</f>
        <v>7.5146767176264024</v>
      </c>
      <c r="B544" s="2">
        <f ca="1">INDEX(Simulations!$A$1:$BK$2501, 544, MATCH("ExitMultiple", Simulations!$A$1:$BK$1, 0))</f>
        <v>6.825991387614998</v>
      </c>
      <c r="C544" s="2">
        <f ca="1">INDEX(Simulations!$A$1:$BK$2501, 544, MATCH("RevCAGR", Simulations!$A$1:$BK$1, 0))</f>
        <v>5.4479446491841999E-2</v>
      </c>
      <c r="D544" s="2">
        <f ca="1">INDEX(Simulations!$A$1:$BK$2501, 544, MATCH("SynMargin", Simulations!$A$1:$BK$1, 0))</f>
        <v>1.0150169187230121E-2</v>
      </c>
      <c r="E544" s="2">
        <f ca="1">INDEX(Simulations!$A$1:$BK$2501, 544, MATCH("Yr1Shock", Simulations!$A$1:$BK$1, 0))</f>
        <v>9.9603662059755908E-4</v>
      </c>
    </row>
    <row r="545" spans="1:5" x14ac:dyDescent="0.3">
      <c r="A545" s="2">
        <f ca="1">INDEX(Simulations!$A$1:$BK$2501, 545, MATCH("PurchaseMultiple", Simulations!$A$1:$BK$1, 0))</f>
        <v>6.6314357713782099</v>
      </c>
      <c r="B545" s="2">
        <f ca="1">INDEX(Simulations!$A$1:$BK$2501, 545, MATCH("ExitMultiple", Simulations!$A$1:$BK$1, 0))</f>
        <v>7.7132841962255165</v>
      </c>
      <c r="C545" s="2">
        <f ca="1">INDEX(Simulations!$A$1:$BK$2501, 545, MATCH("RevCAGR", Simulations!$A$1:$BK$1, 0))</f>
        <v>6.7916877949751278E-2</v>
      </c>
      <c r="D545" s="2">
        <f ca="1">INDEX(Simulations!$A$1:$BK$2501, 545, MATCH("SynMargin", Simulations!$A$1:$BK$1, 0))</f>
        <v>3.6017997236848466E-3</v>
      </c>
      <c r="E545" s="2">
        <f ca="1">INDEX(Simulations!$A$1:$BK$2501, 545, MATCH("Yr1Shock", Simulations!$A$1:$BK$1, 0))</f>
        <v>-2.8238299512058977E-2</v>
      </c>
    </row>
    <row r="546" spans="1:5" x14ac:dyDescent="0.3">
      <c r="A546" s="2">
        <f ca="1">INDEX(Simulations!$A$1:$BK$2501, 546, MATCH("PurchaseMultiple", Simulations!$A$1:$BK$1, 0))</f>
        <v>7.5661674924099387</v>
      </c>
      <c r="B546" s="2">
        <f ca="1">INDEX(Simulations!$A$1:$BK$2501, 546, MATCH("ExitMultiple", Simulations!$A$1:$BK$1, 0))</f>
        <v>7.4236713263667493</v>
      </c>
      <c r="C546" s="2">
        <f ca="1">INDEX(Simulations!$A$1:$BK$2501, 546, MATCH("RevCAGR", Simulations!$A$1:$BK$1, 0))</f>
        <v>6.0817895734286656E-2</v>
      </c>
      <c r="D546" s="2">
        <f ca="1">INDEX(Simulations!$A$1:$BK$2501, 546, MATCH("SynMargin", Simulations!$A$1:$BK$1, 0))</f>
        <v>6.4280223234992363E-3</v>
      </c>
      <c r="E546" s="2">
        <f ca="1">INDEX(Simulations!$A$1:$BK$2501, 546, MATCH("Yr1Shock", Simulations!$A$1:$BK$1, 0))</f>
        <v>1.4226377279912919E-2</v>
      </c>
    </row>
    <row r="547" spans="1:5" x14ac:dyDescent="0.3">
      <c r="A547" s="2">
        <f ca="1">INDEX(Simulations!$A$1:$BK$2501, 547, MATCH("PurchaseMultiple", Simulations!$A$1:$BK$1, 0))</f>
        <v>6.1730630802486539</v>
      </c>
      <c r="B547" s="2">
        <f ca="1">INDEX(Simulations!$A$1:$BK$2501, 547, MATCH("ExitMultiple", Simulations!$A$1:$BK$1, 0))</f>
        <v>7.5736599874784325</v>
      </c>
      <c r="C547" s="2">
        <f ca="1">INDEX(Simulations!$A$1:$BK$2501, 547, MATCH("RevCAGR", Simulations!$A$1:$BK$1, 0))</f>
        <v>3.1153159873238807E-2</v>
      </c>
      <c r="D547" s="2">
        <f ca="1">INDEX(Simulations!$A$1:$BK$2501, 547, MATCH("SynMargin", Simulations!$A$1:$BK$1, 0))</f>
        <v>7.6373508671450088E-3</v>
      </c>
      <c r="E547" s="2">
        <f ca="1">INDEX(Simulations!$A$1:$BK$2501, 547, MATCH("Yr1Shock", Simulations!$A$1:$BK$1, 0))</f>
        <v>-9.8270459654558294E-3</v>
      </c>
    </row>
    <row r="548" spans="1:5" x14ac:dyDescent="0.3">
      <c r="A548" s="2">
        <f ca="1">INDEX(Simulations!$A$1:$BK$2501, 548, MATCH("PurchaseMultiple", Simulations!$A$1:$BK$1, 0))</f>
        <v>6.3601552627828788</v>
      </c>
      <c r="B548" s="2">
        <f ca="1">INDEX(Simulations!$A$1:$BK$2501, 548, MATCH("ExitMultiple", Simulations!$A$1:$BK$1, 0))</f>
        <v>7.5227297234033452</v>
      </c>
      <c r="C548" s="2">
        <f ca="1">INDEX(Simulations!$A$1:$BK$2501, 548, MATCH("RevCAGR", Simulations!$A$1:$BK$1, 0))</f>
        <v>5.473138406400304E-2</v>
      </c>
      <c r="D548" s="2">
        <f ca="1">INDEX(Simulations!$A$1:$BK$2501, 548, MATCH("SynMargin", Simulations!$A$1:$BK$1, 0))</f>
        <v>7.0178236848258821E-3</v>
      </c>
      <c r="E548" s="2">
        <f ca="1">INDEX(Simulations!$A$1:$BK$2501, 548, MATCH("Yr1Shock", Simulations!$A$1:$BK$1, 0))</f>
        <v>-1.0752485455078687E-2</v>
      </c>
    </row>
    <row r="549" spans="1:5" x14ac:dyDescent="0.3">
      <c r="A549" s="2">
        <f ca="1">INDEX(Simulations!$A$1:$BK$2501, 549, MATCH("PurchaseMultiple", Simulations!$A$1:$BK$1, 0))</f>
        <v>6.3651664037257962</v>
      </c>
      <c r="B549" s="2">
        <f ca="1">INDEX(Simulations!$A$1:$BK$2501, 549, MATCH("ExitMultiple", Simulations!$A$1:$BK$1, 0))</f>
        <v>6.9397288384815488</v>
      </c>
      <c r="C549" s="2">
        <f ca="1">INDEX(Simulations!$A$1:$BK$2501, 549, MATCH("RevCAGR", Simulations!$A$1:$BK$1, 0))</f>
        <v>2.3754102331565941E-2</v>
      </c>
      <c r="D549" s="2">
        <f ca="1">INDEX(Simulations!$A$1:$BK$2501, 549, MATCH("SynMargin", Simulations!$A$1:$BK$1, 0))</f>
        <v>5.9278741801816219E-3</v>
      </c>
      <c r="E549" s="2">
        <f ca="1">INDEX(Simulations!$A$1:$BK$2501, 549, MATCH("Yr1Shock", Simulations!$A$1:$BK$1, 0))</f>
        <v>-5.7456765640260714E-3</v>
      </c>
    </row>
    <row r="550" spans="1:5" x14ac:dyDescent="0.3">
      <c r="A550" s="2">
        <f ca="1">INDEX(Simulations!$A$1:$BK$2501, 550, MATCH("PurchaseMultiple", Simulations!$A$1:$BK$1, 0))</f>
        <v>6.7185103337122927</v>
      </c>
      <c r="B550" s="2">
        <f ca="1">INDEX(Simulations!$A$1:$BK$2501, 550, MATCH("ExitMultiple", Simulations!$A$1:$BK$1, 0))</f>
        <v>7.3263356326657814</v>
      </c>
      <c r="C550" s="2">
        <f ca="1">INDEX(Simulations!$A$1:$BK$2501, 550, MATCH("RevCAGR", Simulations!$A$1:$BK$1, 0))</f>
        <v>8.1917313446423362E-3</v>
      </c>
      <c r="D550" s="2">
        <f ca="1">INDEX(Simulations!$A$1:$BK$2501, 550, MATCH("SynMargin", Simulations!$A$1:$BK$1, 0))</f>
        <v>1.0059050066260837E-2</v>
      </c>
      <c r="E550" s="2">
        <f ca="1">INDEX(Simulations!$A$1:$BK$2501, 550, MATCH("Yr1Shock", Simulations!$A$1:$BK$1, 0))</f>
        <v>-3.8173498177509077E-2</v>
      </c>
    </row>
    <row r="551" spans="1:5" x14ac:dyDescent="0.3">
      <c r="A551" s="2">
        <f ca="1">INDEX(Simulations!$A$1:$BK$2501, 551, MATCH("PurchaseMultiple", Simulations!$A$1:$BK$1, 0))</f>
        <v>6.9318495135409037</v>
      </c>
      <c r="B551" s="2">
        <f ca="1">INDEX(Simulations!$A$1:$BK$2501, 551, MATCH("ExitMultiple", Simulations!$A$1:$BK$1, 0))</f>
        <v>7.6441636429016295</v>
      </c>
      <c r="C551" s="2">
        <f ca="1">INDEX(Simulations!$A$1:$BK$2501, 551, MATCH("RevCAGR", Simulations!$A$1:$BK$1, 0))</f>
        <v>6.1083277599015384E-2</v>
      </c>
      <c r="D551" s="2">
        <f ca="1">INDEX(Simulations!$A$1:$BK$2501, 551, MATCH("SynMargin", Simulations!$A$1:$BK$1, 0))</f>
        <v>6.5355401853344104E-3</v>
      </c>
      <c r="E551" s="2">
        <f ca="1">INDEX(Simulations!$A$1:$BK$2501, 551, MATCH("Yr1Shock", Simulations!$A$1:$BK$1, 0))</f>
        <v>-2.1298130518105315E-3</v>
      </c>
    </row>
    <row r="552" spans="1:5" x14ac:dyDescent="0.3">
      <c r="A552" s="2">
        <f ca="1">INDEX(Simulations!$A$1:$BK$2501, 552, MATCH("PurchaseMultiple", Simulations!$A$1:$BK$1, 0))</f>
        <v>6.5055463096576922</v>
      </c>
      <c r="B552" s="2">
        <f ca="1">INDEX(Simulations!$A$1:$BK$2501, 552, MATCH("ExitMultiple", Simulations!$A$1:$BK$1, 0))</f>
        <v>8.0010008512090174</v>
      </c>
      <c r="C552" s="2">
        <f ca="1">INDEX(Simulations!$A$1:$BK$2501, 552, MATCH("RevCAGR", Simulations!$A$1:$BK$1, 0))</f>
        <v>1.8966415781004817E-3</v>
      </c>
      <c r="D552" s="2">
        <f ca="1">INDEX(Simulations!$A$1:$BK$2501, 552, MATCH("SynMargin", Simulations!$A$1:$BK$1, 0))</f>
        <v>9.7403385253159499E-3</v>
      </c>
      <c r="E552" s="2">
        <f ca="1">INDEX(Simulations!$A$1:$BK$2501, 552, MATCH("Yr1Shock", Simulations!$A$1:$BK$1, 0))</f>
        <v>2.4801746707241872E-2</v>
      </c>
    </row>
    <row r="553" spans="1:5" x14ac:dyDescent="0.3">
      <c r="A553" s="2">
        <f ca="1">INDEX(Simulations!$A$1:$BK$2501, 553, MATCH("PurchaseMultiple", Simulations!$A$1:$BK$1, 0))</f>
        <v>7.3063996844872454</v>
      </c>
      <c r="B553" s="2">
        <f ca="1">INDEX(Simulations!$A$1:$BK$2501, 553, MATCH("ExitMultiple", Simulations!$A$1:$BK$1, 0))</f>
        <v>7.3410449107954134</v>
      </c>
      <c r="C553" s="2">
        <f ca="1">INDEX(Simulations!$A$1:$BK$2501, 553, MATCH("RevCAGR", Simulations!$A$1:$BK$1, 0))</f>
        <v>-1.0623899987440219E-2</v>
      </c>
      <c r="D553" s="2">
        <f ca="1">INDEX(Simulations!$A$1:$BK$2501, 553, MATCH("SynMargin", Simulations!$A$1:$BK$1, 0))</f>
        <v>1.2917980554194047E-2</v>
      </c>
      <c r="E553" s="2">
        <f ca="1">INDEX(Simulations!$A$1:$BK$2501, 553, MATCH("Yr1Shock", Simulations!$A$1:$BK$1, 0))</f>
        <v>9.2247516710903237E-3</v>
      </c>
    </row>
    <row r="554" spans="1:5" x14ac:dyDescent="0.3">
      <c r="A554" s="2">
        <f ca="1">INDEX(Simulations!$A$1:$BK$2501, 554, MATCH("PurchaseMultiple", Simulations!$A$1:$BK$1, 0))</f>
        <v>7.4223003710078794</v>
      </c>
      <c r="B554" s="2">
        <f ca="1">INDEX(Simulations!$A$1:$BK$2501, 554, MATCH("ExitMultiple", Simulations!$A$1:$BK$1, 0))</f>
        <v>7.6016102029028989</v>
      </c>
      <c r="C554" s="2">
        <f ca="1">INDEX(Simulations!$A$1:$BK$2501, 554, MATCH("RevCAGR", Simulations!$A$1:$BK$1, 0))</f>
        <v>4.222818933027167E-2</v>
      </c>
      <c r="D554" s="2">
        <f ca="1">INDEX(Simulations!$A$1:$BK$2501, 554, MATCH("SynMargin", Simulations!$A$1:$BK$1, 0))</f>
        <v>9.3272835989385659E-3</v>
      </c>
      <c r="E554" s="2">
        <f ca="1">INDEX(Simulations!$A$1:$BK$2501, 554, MATCH("Yr1Shock", Simulations!$A$1:$BK$1, 0))</f>
        <v>2.1958569794973209E-2</v>
      </c>
    </row>
    <row r="555" spans="1:5" x14ac:dyDescent="0.3">
      <c r="A555" s="2">
        <f ca="1">INDEX(Simulations!$A$1:$BK$2501, 555, MATCH("PurchaseMultiple", Simulations!$A$1:$BK$1, 0))</f>
        <v>7.8343277172450696</v>
      </c>
      <c r="B555" s="2">
        <f ca="1">INDEX(Simulations!$A$1:$BK$2501, 555, MATCH("ExitMultiple", Simulations!$A$1:$BK$1, 0))</f>
        <v>7.6905231116123227</v>
      </c>
      <c r="C555" s="2">
        <f ca="1">INDEX(Simulations!$A$1:$BK$2501, 555, MATCH("RevCAGR", Simulations!$A$1:$BK$1, 0))</f>
        <v>7.2529865517152126E-2</v>
      </c>
      <c r="D555" s="2">
        <f ca="1">INDEX(Simulations!$A$1:$BK$2501, 555, MATCH("SynMargin", Simulations!$A$1:$BK$1, 0))</f>
        <v>6.1892642269128191E-3</v>
      </c>
      <c r="E555" s="2">
        <f ca="1">INDEX(Simulations!$A$1:$BK$2501, 555, MATCH("Yr1Shock", Simulations!$A$1:$BK$1, 0))</f>
        <v>-2.9045034692460305E-2</v>
      </c>
    </row>
    <row r="556" spans="1:5" x14ac:dyDescent="0.3">
      <c r="A556" s="2">
        <f ca="1">INDEX(Simulations!$A$1:$BK$2501, 556, MATCH("PurchaseMultiple", Simulations!$A$1:$BK$1, 0))</f>
        <v>6.250518876404195</v>
      </c>
      <c r="B556" s="2">
        <f ca="1">INDEX(Simulations!$A$1:$BK$2501, 556, MATCH("ExitMultiple", Simulations!$A$1:$BK$1, 0))</f>
        <v>7.213798663184237</v>
      </c>
      <c r="C556" s="2">
        <f ca="1">INDEX(Simulations!$A$1:$BK$2501, 556, MATCH("RevCAGR", Simulations!$A$1:$BK$1, 0))</f>
        <v>7.5255157106202314E-2</v>
      </c>
      <c r="D556" s="2">
        <f ca="1">INDEX(Simulations!$A$1:$BK$2501, 556, MATCH("SynMargin", Simulations!$A$1:$BK$1, 0))</f>
        <v>1.544782347525904E-2</v>
      </c>
      <c r="E556" s="2">
        <f ca="1">INDEX(Simulations!$A$1:$BK$2501, 556, MATCH("Yr1Shock", Simulations!$A$1:$BK$1, 0))</f>
        <v>-2.6133329678058172E-2</v>
      </c>
    </row>
    <row r="557" spans="1:5" x14ac:dyDescent="0.3">
      <c r="A557" s="2">
        <f ca="1">INDEX(Simulations!$A$1:$BK$2501, 557, MATCH("PurchaseMultiple", Simulations!$A$1:$BK$1, 0))</f>
        <v>7.1244672502118656</v>
      </c>
      <c r="B557" s="2">
        <f ca="1">INDEX(Simulations!$A$1:$BK$2501, 557, MATCH("ExitMultiple", Simulations!$A$1:$BK$1, 0))</f>
        <v>7.4344391336200033</v>
      </c>
      <c r="C557" s="2">
        <f ca="1">INDEX(Simulations!$A$1:$BK$2501, 557, MATCH("RevCAGR", Simulations!$A$1:$BK$1, 0))</f>
        <v>3.6125940045859568E-2</v>
      </c>
      <c r="D557" s="2">
        <f ca="1">INDEX(Simulations!$A$1:$BK$2501, 557, MATCH("SynMargin", Simulations!$A$1:$BK$1, 0))</f>
        <v>7.0017057806075218E-3</v>
      </c>
      <c r="E557" s="2">
        <f ca="1">INDEX(Simulations!$A$1:$BK$2501, 557, MATCH("Yr1Shock", Simulations!$A$1:$BK$1, 0))</f>
        <v>-1.3428597621611416E-2</v>
      </c>
    </row>
    <row r="558" spans="1:5" x14ac:dyDescent="0.3">
      <c r="A558" s="2">
        <f ca="1">INDEX(Simulations!$A$1:$BK$2501, 558, MATCH("PurchaseMultiple", Simulations!$A$1:$BK$1, 0))</f>
        <v>6.2184286724938946</v>
      </c>
      <c r="B558" s="2">
        <f ca="1">INDEX(Simulations!$A$1:$BK$2501, 558, MATCH("ExitMultiple", Simulations!$A$1:$BK$1, 0))</f>
        <v>7.7714491707605902</v>
      </c>
      <c r="C558" s="2">
        <f ca="1">INDEX(Simulations!$A$1:$BK$2501, 558, MATCH("RevCAGR", Simulations!$A$1:$BK$1, 0))</f>
        <v>3.9570264594014103E-2</v>
      </c>
      <c r="D558" s="2">
        <f ca="1">INDEX(Simulations!$A$1:$BK$2501, 558, MATCH("SynMargin", Simulations!$A$1:$BK$1, 0))</f>
        <v>8.3192060249964034E-3</v>
      </c>
      <c r="E558" s="2">
        <f ca="1">INDEX(Simulations!$A$1:$BK$2501, 558, MATCH("Yr1Shock", Simulations!$A$1:$BK$1, 0))</f>
        <v>-8.5824146943428263E-3</v>
      </c>
    </row>
    <row r="559" spans="1:5" x14ac:dyDescent="0.3">
      <c r="A559" s="2">
        <f ca="1">INDEX(Simulations!$A$1:$BK$2501, 559, MATCH("PurchaseMultiple", Simulations!$A$1:$BK$1, 0))</f>
        <v>7.2064144194630551</v>
      </c>
      <c r="B559" s="2">
        <f ca="1">INDEX(Simulations!$A$1:$BK$2501, 559, MATCH("ExitMultiple", Simulations!$A$1:$BK$1, 0))</f>
        <v>7.8899125485338848</v>
      </c>
      <c r="C559" s="2">
        <f ca="1">INDEX(Simulations!$A$1:$BK$2501, 559, MATCH("RevCAGR", Simulations!$A$1:$BK$1, 0))</f>
        <v>0.10322842192431964</v>
      </c>
      <c r="D559" s="2">
        <f ca="1">INDEX(Simulations!$A$1:$BK$2501, 559, MATCH("SynMargin", Simulations!$A$1:$BK$1, 0))</f>
        <v>1.401363931213857E-2</v>
      </c>
      <c r="E559" s="2">
        <f ca="1">INDEX(Simulations!$A$1:$BK$2501, 559, MATCH("Yr1Shock", Simulations!$A$1:$BK$1, 0))</f>
        <v>-9.5451091368036287E-3</v>
      </c>
    </row>
    <row r="560" spans="1:5" x14ac:dyDescent="0.3">
      <c r="A560" s="2">
        <f ca="1">INDEX(Simulations!$A$1:$BK$2501, 560, MATCH("PurchaseMultiple", Simulations!$A$1:$BK$1, 0))</f>
        <v>7.2462560596585037</v>
      </c>
      <c r="B560" s="2">
        <f ca="1">INDEX(Simulations!$A$1:$BK$2501, 560, MATCH("ExitMultiple", Simulations!$A$1:$BK$1, 0))</f>
        <v>7.6254335040247634</v>
      </c>
      <c r="C560" s="2">
        <f ca="1">INDEX(Simulations!$A$1:$BK$2501, 560, MATCH("RevCAGR", Simulations!$A$1:$BK$1, 0))</f>
        <v>1.144574500490882E-2</v>
      </c>
      <c r="D560" s="2">
        <f ca="1">INDEX(Simulations!$A$1:$BK$2501, 560, MATCH("SynMargin", Simulations!$A$1:$BK$1, 0))</f>
        <v>8.6744893740627309E-3</v>
      </c>
      <c r="E560" s="2">
        <f ca="1">INDEX(Simulations!$A$1:$BK$2501, 560, MATCH("Yr1Shock", Simulations!$A$1:$BK$1, 0))</f>
        <v>1.0159580344420405E-2</v>
      </c>
    </row>
    <row r="561" spans="1:5" x14ac:dyDescent="0.3">
      <c r="A561" s="2">
        <f ca="1">INDEX(Simulations!$A$1:$BK$2501, 561, MATCH("PurchaseMultiple", Simulations!$A$1:$BK$1, 0))</f>
        <v>6.3503002541498477</v>
      </c>
      <c r="B561" s="2">
        <f ca="1">INDEX(Simulations!$A$1:$BK$2501, 561, MATCH("ExitMultiple", Simulations!$A$1:$BK$1, 0))</f>
        <v>7.8732712996108134</v>
      </c>
      <c r="C561" s="2">
        <f ca="1">INDEX(Simulations!$A$1:$BK$2501, 561, MATCH("RevCAGR", Simulations!$A$1:$BK$1, 0))</f>
        <v>3.114698224763858E-2</v>
      </c>
      <c r="D561" s="2">
        <f ca="1">INDEX(Simulations!$A$1:$BK$2501, 561, MATCH("SynMargin", Simulations!$A$1:$BK$1, 0))</f>
        <v>1.3568113680861069E-2</v>
      </c>
      <c r="E561" s="2">
        <f ca="1">INDEX(Simulations!$A$1:$BK$2501, 561, MATCH("Yr1Shock", Simulations!$A$1:$BK$1, 0))</f>
        <v>-1.4157180591648636E-3</v>
      </c>
    </row>
    <row r="562" spans="1:5" x14ac:dyDescent="0.3">
      <c r="A562" s="2">
        <f ca="1">INDEX(Simulations!$A$1:$BK$2501, 562, MATCH("PurchaseMultiple", Simulations!$A$1:$BK$1, 0))</f>
        <v>7.193626478151339</v>
      </c>
      <c r="B562" s="2">
        <f ca="1">INDEX(Simulations!$A$1:$BK$2501, 562, MATCH("ExitMultiple", Simulations!$A$1:$BK$1, 0))</f>
        <v>7.1772730940122447</v>
      </c>
      <c r="C562" s="2">
        <f ca="1">INDEX(Simulations!$A$1:$BK$2501, 562, MATCH("RevCAGR", Simulations!$A$1:$BK$1, 0))</f>
        <v>3.2404889255708356E-2</v>
      </c>
      <c r="D562" s="2">
        <f ca="1">INDEX(Simulations!$A$1:$BK$2501, 562, MATCH("SynMargin", Simulations!$A$1:$BK$1, 0))</f>
        <v>1.3184067400837119E-2</v>
      </c>
      <c r="E562" s="2">
        <f ca="1">INDEX(Simulations!$A$1:$BK$2501, 562, MATCH("Yr1Shock", Simulations!$A$1:$BK$1, 0))</f>
        <v>3.1481597786269804E-3</v>
      </c>
    </row>
    <row r="563" spans="1:5" x14ac:dyDescent="0.3">
      <c r="A563" s="2">
        <f ca="1">INDEX(Simulations!$A$1:$BK$2501, 563, MATCH("PurchaseMultiple", Simulations!$A$1:$BK$1, 0))</f>
        <v>7.2774090928342119</v>
      </c>
      <c r="B563" s="2">
        <f ca="1">INDEX(Simulations!$A$1:$BK$2501, 563, MATCH("ExitMultiple", Simulations!$A$1:$BK$1, 0))</f>
        <v>7.9382469735039258</v>
      </c>
      <c r="C563" s="2">
        <f ca="1">INDEX(Simulations!$A$1:$BK$2501, 563, MATCH("RevCAGR", Simulations!$A$1:$BK$1, 0))</f>
        <v>-1.3506101958199575E-2</v>
      </c>
      <c r="D563" s="2">
        <f ca="1">INDEX(Simulations!$A$1:$BK$2501, 563, MATCH("SynMargin", Simulations!$A$1:$BK$1, 0))</f>
        <v>1.4820928765028753E-2</v>
      </c>
      <c r="E563" s="2">
        <f ca="1">INDEX(Simulations!$A$1:$BK$2501, 563, MATCH("Yr1Shock", Simulations!$A$1:$BK$1, 0))</f>
        <v>6.6511268276288919E-3</v>
      </c>
    </row>
    <row r="564" spans="1:5" x14ac:dyDescent="0.3">
      <c r="A564" s="2">
        <f ca="1">INDEX(Simulations!$A$1:$BK$2501, 564, MATCH("PurchaseMultiple", Simulations!$A$1:$BK$1, 0))</f>
        <v>6.2387887574502692</v>
      </c>
      <c r="B564" s="2">
        <f ca="1">INDEX(Simulations!$A$1:$BK$2501, 564, MATCH("ExitMultiple", Simulations!$A$1:$BK$1, 0))</f>
        <v>7.5536693695750969</v>
      </c>
      <c r="C564" s="2">
        <f ca="1">INDEX(Simulations!$A$1:$BK$2501, 564, MATCH("RevCAGR", Simulations!$A$1:$BK$1, 0))</f>
        <v>5.3387433440326426E-2</v>
      </c>
      <c r="D564" s="2">
        <f ca="1">INDEX(Simulations!$A$1:$BK$2501, 564, MATCH("SynMargin", Simulations!$A$1:$BK$1, 0))</f>
        <v>8.2561725733793397E-3</v>
      </c>
      <c r="E564" s="2">
        <f ca="1">INDEX(Simulations!$A$1:$BK$2501, 564, MATCH("Yr1Shock", Simulations!$A$1:$BK$1, 0))</f>
        <v>2.158114567945019E-2</v>
      </c>
    </row>
    <row r="565" spans="1:5" x14ac:dyDescent="0.3">
      <c r="A565" s="2">
        <f ca="1">INDEX(Simulations!$A$1:$BK$2501, 565, MATCH("PurchaseMultiple", Simulations!$A$1:$BK$1, 0))</f>
        <v>6.7338651353383732</v>
      </c>
      <c r="B565" s="2">
        <f ca="1">INDEX(Simulations!$A$1:$BK$2501, 565, MATCH("ExitMultiple", Simulations!$A$1:$BK$1, 0))</f>
        <v>6.74752713873717</v>
      </c>
      <c r="C565" s="2">
        <f ca="1">INDEX(Simulations!$A$1:$BK$2501, 565, MATCH("RevCAGR", Simulations!$A$1:$BK$1, 0))</f>
        <v>4.050217321998241E-2</v>
      </c>
      <c r="D565" s="2">
        <f ca="1">INDEX(Simulations!$A$1:$BK$2501, 565, MATCH("SynMargin", Simulations!$A$1:$BK$1, 0))</f>
        <v>4.4602862721525591E-3</v>
      </c>
      <c r="E565" s="2">
        <f ca="1">INDEX(Simulations!$A$1:$BK$2501, 565, MATCH("Yr1Shock", Simulations!$A$1:$BK$1, 0))</f>
        <v>-1.9277494453065532E-2</v>
      </c>
    </row>
    <row r="566" spans="1:5" x14ac:dyDescent="0.3">
      <c r="A566" s="2">
        <f ca="1">INDEX(Simulations!$A$1:$BK$2501, 566, MATCH("PurchaseMultiple", Simulations!$A$1:$BK$1, 0))</f>
        <v>7.1753638077159607</v>
      </c>
      <c r="B566" s="2">
        <f ca="1">INDEX(Simulations!$A$1:$BK$2501, 566, MATCH("ExitMultiple", Simulations!$A$1:$BK$1, 0))</f>
        <v>7.2348539359321302</v>
      </c>
      <c r="C566" s="2">
        <f ca="1">INDEX(Simulations!$A$1:$BK$2501, 566, MATCH("RevCAGR", Simulations!$A$1:$BK$1, 0))</f>
        <v>6.7219690514573507E-2</v>
      </c>
      <c r="D566" s="2">
        <f ca="1">INDEX(Simulations!$A$1:$BK$2501, 566, MATCH("SynMargin", Simulations!$A$1:$BK$1, 0))</f>
        <v>2.7958702295979299E-3</v>
      </c>
      <c r="E566" s="2">
        <f ca="1">INDEX(Simulations!$A$1:$BK$2501, 566, MATCH("Yr1Shock", Simulations!$A$1:$BK$1, 0))</f>
        <v>-7.2719780149192352E-3</v>
      </c>
    </row>
    <row r="567" spans="1:5" x14ac:dyDescent="0.3">
      <c r="A567" s="2">
        <f ca="1">INDEX(Simulations!$A$1:$BK$2501, 567, MATCH("PurchaseMultiple", Simulations!$A$1:$BK$1, 0))</f>
        <v>7.544032924726376</v>
      </c>
      <c r="B567" s="2">
        <f ca="1">INDEX(Simulations!$A$1:$BK$2501, 567, MATCH("ExitMultiple", Simulations!$A$1:$BK$1, 0))</f>
        <v>7.6254098727315247</v>
      </c>
      <c r="C567" s="2">
        <f ca="1">INDEX(Simulations!$A$1:$BK$2501, 567, MATCH("RevCAGR", Simulations!$A$1:$BK$1, 0))</f>
        <v>6.1755403800491174E-3</v>
      </c>
      <c r="D567" s="2">
        <f ca="1">INDEX(Simulations!$A$1:$BK$2501, 567, MATCH("SynMargin", Simulations!$A$1:$BK$1, 0))</f>
        <v>0</v>
      </c>
      <c r="E567" s="2">
        <f ca="1">INDEX(Simulations!$A$1:$BK$2501, 567, MATCH("Yr1Shock", Simulations!$A$1:$BK$1, 0))</f>
        <v>4.1854177488366957E-2</v>
      </c>
    </row>
    <row r="568" spans="1:5" x14ac:dyDescent="0.3">
      <c r="A568" s="2">
        <f ca="1">INDEX(Simulations!$A$1:$BK$2501, 568, MATCH("PurchaseMultiple", Simulations!$A$1:$BK$1, 0))</f>
        <v>7.420086599625626</v>
      </c>
      <c r="B568" s="2">
        <f ca="1">INDEX(Simulations!$A$1:$BK$2501, 568, MATCH("ExitMultiple", Simulations!$A$1:$BK$1, 0))</f>
        <v>7.24603210828763</v>
      </c>
      <c r="C568" s="2">
        <f ca="1">INDEX(Simulations!$A$1:$BK$2501, 568, MATCH("RevCAGR", Simulations!$A$1:$BK$1, 0))</f>
        <v>0.12</v>
      </c>
      <c r="D568" s="2">
        <f ca="1">INDEX(Simulations!$A$1:$BK$2501, 568, MATCH("SynMargin", Simulations!$A$1:$BK$1, 0))</f>
        <v>1.504216359395379E-2</v>
      </c>
      <c r="E568" s="2">
        <f ca="1">INDEX(Simulations!$A$1:$BK$2501, 568, MATCH("Yr1Shock", Simulations!$A$1:$BK$1, 0))</f>
        <v>-5.9400806753399193E-5</v>
      </c>
    </row>
    <row r="569" spans="1:5" x14ac:dyDescent="0.3">
      <c r="A569" s="2">
        <f ca="1">INDEX(Simulations!$A$1:$BK$2501, 569, MATCH("PurchaseMultiple", Simulations!$A$1:$BK$1, 0))</f>
        <v>6.5405264216968311</v>
      </c>
      <c r="B569" s="2">
        <f ca="1">INDEX(Simulations!$A$1:$BK$2501, 569, MATCH("ExitMultiple", Simulations!$A$1:$BK$1, 0))</f>
        <v>7.7155546757458371</v>
      </c>
      <c r="C569" s="2">
        <f ca="1">INDEX(Simulations!$A$1:$BK$2501, 569, MATCH("RevCAGR", Simulations!$A$1:$BK$1, 0))</f>
        <v>2.9962865435303826E-2</v>
      </c>
      <c r="D569" s="2">
        <f ca="1">INDEX(Simulations!$A$1:$BK$2501, 569, MATCH("SynMargin", Simulations!$A$1:$BK$1, 0))</f>
        <v>6.4762211864650317E-3</v>
      </c>
      <c r="E569" s="2">
        <f ca="1">INDEX(Simulations!$A$1:$BK$2501, 569, MATCH("Yr1Shock", Simulations!$A$1:$BK$1, 0))</f>
        <v>-3.6975383969583067E-3</v>
      </c>
    </row>
    <row r="570" spans="1:5" x14ac:dyDescent="0.3">
      <c r="A570" s="2">
        <f ca="1">INDEX(Simulations!$A$1:$BK$2501, 570, MATCH("PurchaseMultiple", Simulations!$A$1:$BK$1, 0))</f>
        <v>7.3426690240644783</v>
      </c>
      <c r="B570" s="2">
        <f ca="1">INDEX(Simulations!$A$1:$BK$2501, 570, MATCH("ExitMultiple", Simulations!$A$1:$BK$1, 0))</f>
        <v>7.2174009046276177</v>
      </c>
      <c r="C570" s="2">
        <f ca="1">INDEX(Simulations!$A$1:$BK$2501, 570, MATCH("RevCAGR", Simulations!$A$1:$BK$1, 0))</f>
        <v>3.7511057622842126E-2</v>
      </c>
      <c r="D570" s="2">
        <f ca="1">INDEX(Simulations!$A$1:$BK$2501, 570, MATCH("SynMargin", Simulations!$A$1:$BK$1, 0))</f>
        <v>1.3748396920876951E-2</v>
      </c>
      <c r="E570" s="2">
        <f ca="1">INDEX(Simulations!$A$1:$BK$2501, 570, MATCH("Yr1Shock", Simulations!$A$1:$BK$1, 0))</f>
        <v>-1.6413032147531394E-2</v>
      </c>
    </row>
    <row r="571" spans="1:5" x14ac:dyDescent="0.3">
      <c r="A571" s="2">
        <f ca="1">INDEX(Simulations!$A$1:$BK$2501, 571, MATCH("PurchaseMultiple", Simulations!$A$1:$BK$1, 0))</f>
        <v>6.8773748954050902</v>
      </c>
      <c r="B571" s="2">
        <f ca="1">INDEX(Simulations!$A$1:$BK$2501, 571, MATCH("ExitMultiple", Simulations!$A$1:$BK$1, 0))</f>
        <v>7.9619850065648698</v>
      </c>
      <c r="C571" s="2">
        <f ca="1">INDEX(Simulations!$A$1:$BK$2501, 571, MATCH("RevCAGR", Simulations!$A$1:$BK$1, 0))</f>
        <v>-1.4514265899139733E-2</v>
      </c>
      <c r="D571" s="2">
        <f ca="1">INDEX(Simulations!$A$1:$BK$2501, 571, MATCH("SynMargin", Simulations!$A$1:$BK$1, 0))</f>
        <v>4.2406384568394739E-3</v>
      </c>
      <c r="E571" s="2">
        <f ca="1">INDEX(Simulations!$A$1:$BK$2501, 571, MATCH("Yr1Shock", Simulations!$A$1:$BK$1, 0))</f>
        <v>1.5474401914966325E-2</v>
      </c>
    </row>
    <row r="572" spans="1:5" x14ac:dyDescent="0.3">
      <c r="A572" s="2">
        <f ca="1">INDEX(Simulations!$A$1:$BK$2501, 572, MATCH("PurchaseMultiple", Simulations!$A$1:$BK$1, 0))</f>
        <v>6.7205922806893792</v>
      </c>
      <c r="B572" s="2">
        <f ca="1">INDEX(Simulations!$A$1:$BK$2501, 572, MATCH("ExitMultiple", Simulations!$A$1:$BK$1, 0))</f>
        <v>7.0083193605536218</v>
      </c>
      <c r="C572" s="2">
        <f ca="1">INDEX(Simulations!$A$1:$BK$2501, 572, MATCH("RevCAGR", Simulations!$A$1:$BK$1, 0))</f>
        <v>1.5602146776049E-2</v>
      </c>
      <c r="D572" s="2">
        <f ca="1">INDEX(Simulations!$A$1:$BK$2501, 572, MATCH("SynMargin", Simulations!$A$1:$BK$1, 0))</f>
        <v>1.7586002099266983E-2</v>
      </c>
      <c r="E572" s="2">
        <f ca="1">INDEX(Simulations!$A$1:$BK$2501, 572, MATCH("Yr1Shock", Simulations!$A$1:$BK$1, 0))</f>
        <v>1.0493364392984489E-2</v>
      </c>
    </row>
    <row r="573" spans="1:5" x14ac:dyDescent="0.3">
      <c r="A573" s="2">
        <f ca="1">INDEX(Simulations!$A$1:$BK$2501, 573, MATCH("PurchaseMultiple", Simulations!$A$1:$BK$1, 0))</f>
        <v>7.7878549135172426</v>
      </c>
      <c r="B573" s="2">
        <f ca="1">INDEX(Simulations!$A$1:$BK$2501, 573, MATCH("ExitMultiple", Simulations!$A$1:$BK$1, 0))</f>
        <v>7.0474915336658146</v>
      </c>
      <c r="C573" s="2">
        <f ca="1">INDEX(Simulations!$A$1:$BK$2501, 573, MATCH("RevCAGR", Simulations!$A$1:$BK$1, 0))</f>
        <v>3.0630228086575027E-2</v>
      </c>
      <c r="D573" s="2">
        <f ca="1">INDEX(Simulations!$A$1:$BK$2501, 573, MATCH("SynMargin", Simulations!$A$1:$BK$1, 0))</f>
        <v>1.4266457086323316E-2</v>
      </c>
      <c r="E573" s="2">
        <f ca="1">INDEX(Simulations!$A$1:$BK$2501, 573, MATCH("Yr1Shock", Simulations!$A$1:$BK$1, 0))</f>
        <v>1.8836934909680688E-2</v>
      </c>
    </row>
    <row r="574" spans="1:5" x14ac:dyDescent="0.3">
      <c r="A574" s="2">
        <f ca="1">INDEX(Simulations!$A$1:$BK$2501, 574, MATCH("PurchaseMultiple", Simulations!$A$1:$BK$1, 0))</f>
        <v>6.7507079582110023</v>
      </c>
      <c r="B574" s="2">
        <f ca="1">INDEX(Simulations!$A$1:$BK$2501, 574, MATCH("ExitMultiple", Simulations!$A$1:$BK$1, 0))</f>
        <v>7.3543018026525573</v>
      </c>
      <c r="C574" s="2">
        <f ca="1">INDEX(Simulations!$A$1:$BK$2501, 574, MATCH("RevCAGR", Simulations!$A$1:$BK$1, 0))</f>
        <v>4.6560091865175242E-2</v>
      </c>
      <c r="D574" s="2">
        <f ca="1">INDEX(Simulations!$A$1:$BK$2501, 574, MATCH("SynMargin", Simulations!$A$1:$BK$1, 0))</f>
        <v>1.1551822542135489E-3</v>
      </c>
      <c r="E574" s="2">
        <f ca="1">INDEX(Simulations!$A$1:$BK$2501, 574, MATCH("Yr1Shock", Simulations!$A$1:$BK$1, 0))</f>
        <v>-2.5499303508016213E-2</v>
      </c>
    </row>
    <row r="575" spans="1:5" x14ac:dyDescent="0.3">
      <c r="A575" s="2">
        <f ca="1">INDEX(Simulations!$A$1:$BK$2501, 575, MATCH("PurchaseMultiple", Simulations!$A$1:$BK$1, 0))</f>
        <v>6.6000477419268213</v>
      </c>
      <c r="B575" s="2">
        <f ca="1">INDEX(Simulations!$A$1:$BK$2501, 575, MATCH("ExitMultiple", Simulations!$A$1:$BK$1, 0))</f>
        <v>6.9383839476085338</v>
      </c>
      <c r="C575" s="2">
        <f ca="1">INDEX(Simulations!$A$1:$BK$2501, 575, MATCH("RevCAGR", Simulations!$A$1:$BK$1, 0))</f>
        <v>-0.02</v>
      </c>
      <c r="D575" s="2">
        <f ca="1">INDEX(Simulations!$A$1:$BK$2501, 575, MATCH("SynMargin", Simulations!$A$1:$BK$1, 0))</f>
        <v>7.7947425852713179E-3</v>
      </c>
      <c r="E575" s="2">
        <f ca="1">INDEX(Simulations!$A$1:$BK$2501, 575, MATCH("Yr1Shock", Simulations!$A$1:$BK$1, 0))</f>
        <v>2.0174264341148489E-2</v>
      </c>
    </row>
    <row r="576" spans="1:5" x14ac:dyDescent="0.3">
      <c r="A576" s="2">
        <f ca="1">INDEX(Simulations!$A$1:$BK$2501, 576, MATCH("PurchaseMultiple", Simulations!$A$1:$BK$1, 0))</f>
        <v>7.6080429157607377</v>
      </c>
      <c r="B576" s="2">
        <f ca="1">INDEX(Simulations!$A$1:$BK$2501, 576, MATCH("ExitMultiple", Simulations!$A$1:$BK$1, 0))</f>
        <v>6.859957649050588</v>
      </c>
      <c r="C576" s="2">
        <f ca="1">INDEX(Simulations!$A$1:$BK$2501, 576, MATCH("RevCAGR", Simulations!$A$1:$BK$1, 0))</f>
        <v>4.3280713827088473E-2</v>
      </c>
      <c r="D576" s="2">
        <f ca="1">INDEX(Simulations!$A$1:$BK$2501, 576, MATCH("SynMargin", Simulations!$A$1:$BK$1, 0))</f>
        <v>1.2938846973486717E-2</v>
      </c>
      <c r="E576" s="2">
        <f ca="1">INDEX(Simulations!$A$1:$BK$2501, 576, MATCH("Yr1Shock", Simulations!$A$1:$BK$1, 0))</f>
        <v>-1.2686741169461715E-2</v>
      </c>
    </row>
    <row r="577" spans="1:5" x14ac:dyDescent="0.3">
      <c r="A577" s="2">
        <f ca="1">INDEX(Simulations!$A$1:$BK$2501, 577, MATCH("PurchaseMultiple", Simulations!$A$1:$BK$1, 0))</f>
        <v>7.2453195575286236</v>
      </c>
      <c r="B577" s="2">
        <f ca="1">INDEX(Simulations!$A$1:$BK$2501, 577, MATCH("ExitMultiple", Simulations!$A$1:$BK$1, 0))</f>
        <v>7.9316752045158045</v>
      </c>
      <c r="C577" s="2">
        <f ca="1">INDEX(Simulations!$A$1:$BK$2501, 577, MATCH("RevCAGR", Simulations!$A$1:$BK$1, 0))</f>
        <v>6.6015798258242636E-2</v>
      </c>
      <c r="D577" s="2">
        <f ca="1">INDEX(Simulations!$A$1:$BK$2501, 577, MATCH("SynMargin", Simulations!$A$1:$BK$1, 0))</f>
        <v>1.1920732805735362E-2</v>
      </c>
      <c r="E577" s="2">
        <f ca="1">INDEX(Simulations!$A$1:$BK$2501, 577, MATCH("Yr1Shock", Simulations!$A$1:$BK$1, 0))</f>
        <v>-1.9267886406575018E-2</v>
      </c>
    </row>
    <row r="578" spans="1:5" x14ac:dyDescent="0.3">
      <c r="A578" s="2">
        <f ca="1">INDEX(Simulations!$A$1:$BK$2501, 578, MATCH("PurchaseMultiple", Simulations!$A$1:$BK$1, 0))</f>
        <v>6.780403943945128</v>
      </c>
      <c r="B578" s="2">
        <f ca="1">INDEX(Simulations!$A$1:$BK$2501, 578, MATCH("ExitMultiple", Simulations!$A$1:$BK$1, 0))</f>
        <v>7.4523954008693938</v>
      </c>
      <c r="C578" s="2">
        <f ca="1">INDEX(Simulations!$A$1:$BK$2501, 578, MATCH("RevCAGR", Simulations!$A$1:$BK$1, 0))</f>
        <v>1.2839160188155039E-2</v>
      </c>
      <c r="D578" s="2">
        <f ca="1">INDEX(Simulations!$A$1:$BK$2501, 578, MATCH("SynMargin", Simulations!$A$1:$BK$1, 0))</f>
        <v>9.5485355238521408E-3</v>
      </c>
      <c r="E578" s="2">
        <f ca="1">INDEX(Simulations!$A$1:$BK$2501, 578, MATCH("Yr1Shock", Simulations!$A$1:$BK$1, 0))</f>
        <v>-7.1860526696764975E-3</v>
      </c>
    </row>
    <row r="579" spans="1:5" x14ac:dyDescent="0.3">
      <c r="A579" s="2">
        <f ca="1">INDEX(Simulations!$A$1:$BK$2501, 579, MATCH("PurchaseMultiple", Simulations!$A$1:$BK$1, 0))</f>
        <v>7.2480717386285702</v>
      </c>
      <c r="B579" s="2">
        <f ca="1">INDEX(Simulations!$A$1:$BK$2501, 579, MATCH("ExitMultiple", Simulations!$A$1:$BK$1, 0))</f>
        <v>8.1706243928165936</v>
      </c>
      <c r="C579" s="2">
        <f ca="1">INDEX(Simulations!$A$1:$BK$2501, 579, MATCH("RevCAGR", Simulations!$A$1:$BK$1, 0))</f>
        <v>6.0184133352911284E-2</v>
      </c>
      <c r="D579" s="2">
        <f ca="1">INDEX(Simulations!$A$1:$BK$2501, 579, MATCH("SynMargin", Simulations!$A$1:$BK$1, 0))</f>
        <v>1.2271208697715068E-2</v>
      </c>
      <c r="E579" s="2">
        <f ca="1">INDEX(Simulations!$A$1:$BK$2501, 579, MATCH("Yr1Shock", Simulations!$A$1:$BK$1, 0))</f>
        <v>1.6324042401156102E-2</v>
      </c>
    </row>
    <row r="580" spans="1:5" x14ac:dyDescent="0.3">
      <c r="A580" s="2">
        <f ca="1">INDEX(Simulations!$A$1:$BK$2501, 580, MATCH("PurchaseMultiple", Simulations!$A$1:$BK$1, 0))</f>
        <v>6.7209514075110377</v>
      </c>
      <c r="B580" s="2">
        <f ca="1">INDEX(Simulations!$A$1:$BK$2501, 580, MATCH("ExitMultiple", Simulations!$A$1:$BK$1, 0))</f>
        <v>7.4084070759657639</v>
      </c>
      <c r="C580" s="2">
        <f ca="1">INDEX(Simulations!$A$1:$BK$2501, 580, MATCH("RevCAGR", Simulations!$A$1:$BK$1, 0))</f>
        <v>3.7856745747872775E-2</v>
      </c>
      <c r="D580" s="2">
        <f ca="1">INDEX(Simulations!$A$1:$BK$2501, 580, MATCH("SynMargin", Simulations!$A$1:$BK$1, 0))</f>
        <v>1.0086991035624149E-2</v>
      </c>
      <c r="E580" s="2">
        <f ca="1">INDEX(Simulations!$A$1:$BK$2501, 580, MATCH("Yr1Shock", Simulations!$A$1:$BK$1, 0))</f>
        <v>2.6597655362260254E-2</v>
      </c>
    </row>
    <row r="581" spans="1:5" x14ac:dyDescent="0.3">
      <c r="A581" s="2">
        <f ca="1">INDEX(Simulations!$A$1:$BK$2501, 581, MATCH("PurchaseMultiple", Simulations!$A$1:$BK$1, 0))</f>
        <v>6.5721424909348407</v>
      </c>
      <c r="B581" s="2">
        <f ca="1">INDEX(Simulations!$A$1:$BK$2501, 581, MATCH("ExitMultiple", Simulations!$A$1:$BK$1, 0))</f>
        <v>6.8607248505898113</v>
      </c>
      <c r="C581" s="2">
        <f ca="1">INDEX(Simulations!$A$1:$BK$2501, 581, MATCH("RevCAGR", Simulations!$A$1:$BK$1, 0))</f>
        <v>4.7067586241943765E-2</v>
      </c>
      <c r="D581" s="2">
        <f ca="1">INDEX(Simulations!$A$1:$BK$2501, 581, MATCH("SynMargin", Simulations!$A$1:$BK$1, 0))</f>
        <v>9.3867243855185745E-3</v>
      </c>
      <c r="E581" s="2">
        <f ca="1">INDEX(Simulations!$A$1:$BK$2501, 581, MATCH("Yr1Shock", Simulations!$A$1:$BK$1, 0))</f>
        <v>-5.9635191752662464E-3</v>
      </c>
    </row>
    <row r="582" spans="1:5" x14ac:dyDescent="0.3">
      <c r="A582" s="2">
        <f ca="1">INDEX(Simulations!$A$1:$BK$2501, 582, MATCH("PurchaseMultiple", Simulations!$A$1:$BK$1, 0))</f>
        <v>6.6687446561661314</v>
      </c>
      <c r="B582" s="2">
        <f ca="1">INDEX(Simulations!$A$1:$BK$2501, 582, MATCH("ExitMultiple", Simulations!$A$1:$BK$1, 0))</f>
        <v>7.5578602080950361</v>
      </c>
      <c r="C582" s="2">
        <f ca="1">INDEX(Simulations!$A$1:$BK$2501, 582, MATCH("RevCAGR", Simulations!$A$1:$BK$1, 0))</f>
        <v>3.6827513404773159E-2</v>
      </c>
      <c r="D582" s="2">
        <f ca="1">INDEX(Simulations!$A$1:$BK$2501, 582, MATCH("SynMargin", Simulations!$A$1:$BK$1, 0))</f>
        <v>1.0665953340732E-2</v>
      </c>
      <c r="E582" s="2">
        <f ca="1">INDEX(Simulations!$A$1:$BK$2501, 582, MATCH("Yr1Shock", Simulations!$A$1:$BK$1, 0))</f>
        <v>-1.8579763449584119E-2</v>
      </c>
    </row>
    <row r="583" spans="1:5" x14ac:dyDescent="0.3">
      <c r="A583" s="2">
        <f ca="1">INDEX(Simulations!$A$1:$BK$2501, 583, MATCH("PurchaseMultiple", Simulations!$A$1:$BK$1, 0))</f>
        <v>7.6909191048992884</v>
      </c>
      <c r="B583" s="2">
        <f ca="1">INDEX(Simulations!$A$1:$BK$2501, 583, MATCH("ExitMultiple", Simulations!$A$1:$BK$1, 0))</f>
        <v>7.4621962096513945</v>
      </c>
      <c r="C583" s="2">
        <f ca="1">INDEX(Simulations!$A$1:$BK$2501, 583, MATCH("RevCAGR", Simulations!$A$1:$BK$1, 0))</f>
        <v>5.1607070162471111E-2</v>
      </c>
      <c r="D583" s="2">
        <f ca="1">INDEX(Simulations!$A$1:$BK$2501, 583, MATCH("SynMargin", Simulations!$A$1:$BK$1, 0))</f>
        <v>6.502488453791198E-3</v>
      </c>
      <c r="E583" s="2">
        <f ca="1">INDEX(Simulations!$A$1:$BK$2501, 583, MATCH("Yr1Shock", Simulations!$A$1:$BK$1, 0))</f>
        <v>-1.234661637820135E-2</v>
      </c>
    </row>
    <row r="584" spans="1:5" x14ac:dyDescent="0.3">
      <c r="A584" s="2">
        <f ca="1">INDEX(Simulations!$A$1:$BK$2501, 584, MATCH("PurchaseMultiple", Simulations!$A$1:$BK$1, 0))</f>
        <v>6.746438037846394</v>
      </c>
      <c r="B584" s="2">
        <f ca="1">INDEX(Simulations!$A$1:$BK$2501, 584, MATCH("ExitMultiple", Simulations!$A$1:$BK$1, 0))</f>
        <v>7.5536456529050424</v>
      </c>
      <c r="C584" s="2">
        <f ca="1">INDEX(Simulations!$A$1:$BK$2501, 584, MATCH("RevCAGR", Simulations!$A$1:$BK$1, 0))</f>
        <v>3.458182837644893E-2</v>
      </c>
      <c r="D584" s="2">
        <f ca="1">INDEX(Simulations!$A$1:$BK$2501, 584, MATCH("SynMargin", Simulations!$A$1:$BK$1, 0))</f>
        <v>2.3772581487681689E-3</v>
      </c>
      <c r="E584" s="2">
        <f ca="1">INDEX(Simulations!$A$1:$BK$2501, 584, MATCH("Yr1Shock", Simulations!$A$1:$BK$1, 0))</f>
        <v>4.3400232274387544E-2</v>
      </c>
    </row>
    <row r="585" spans="1:5" x14ac:dyDescent="0.3">
      <c r="A585" s="2">
        <f ca="1">INDEX(Simulations!$A$1:$BK$2501, 585, MATCH("PurchaseMultiple", Simulations!$A$1:$BK$1, 0))</f>
        <v>7.5628352393107239</v>
      </c>
      <c r="B585" s="2">
        <f ca="1">INDEX(Simulations!$A$1:$BK$2501, 585, MATCH("ExitMultiple", Simulations!$A$1:$BK$1, 0))</f>
        <v>8.2431918617629059</v>
      </c>
      <c r="C585" s="2">
        <f ca="1">INDEX(Simulations!$A$1:$BK$2501, 585, MATCH("RevCAGR", Simulations!$A$1:$BK$1, 0))</f>
        <v>1.4265705717327749E-2</v>
      </c>
      <c r="D585" s="2">
        <f ca="1">INDEX(Simulations!$A$1:$BK$2501, 585, MATCH("SynMargin", Simulations!$A$1:$BK$1, 0))</f>
        <v>0</v>
      </c>
      <c r="E585" s="2">
        <f ca="1">INDEX(Simulations!$A$1:$BK$2501, 585, MATCH("Yr1Shock", Simulations!$A$1:$BK$1, 0))</f>
        <v>1.8718200995062852E-2</v>
      </c>
    </row>
    <row r="586" spans="1:5" x14ac:dyDescent="0.3">
      <c r="A586" s="2">
        <f ca="1">INDEX(Simulations!$A$1:$BK$2501, 586, MATCH("PurchaseMultiple", Simulations!$A$1:$BK$1, 0))</f>
        <v>6.7804262015222134</v>
      </c>
      <c r="B586" s="2">
        <f ca="1">INDEX(Simulations!$A$1:$BK$2501, 586, MATCH("ExitMultiple", Simulations!$A$1:$BK$1, 0))</f>
        <v>7.4125268486451903</v>
      </c>
      <c r="C586" s="2">
        <f ca="1">INDEX(Simulations!$A$1:$BK$2501, 586, MATCH("RevCAGR", Simulations!$A$1:$BK$1, 0))</f>
        <v>-0.02</v>
      </c>
      <c r="D586" s="2">
        <f ca="1">INDEX(Simulations!$A$1:$BK$2501, 586, MATCH("SynMargin", Simulations!$A$1:$BK$1, 0))</f>
        <v>5.6472081959383922E-3</v>
      </c>
      <c r="E586" s="2">
        <f ca="1">INDEX(Simulations!$A$1:$BK$2501, 586, MATCH("Yr1Shock", Simulations!$A$1:$BK$1, 0))</f>
        <v>2.1886476621520753E-2</v>
      </c>
    </row>
    <row r="587" spans="1:5" x14ac:dyDescent="0.3">
      <c r="A587" s="2">
        <f ca="1">INDEX(Simulations!$A$1:$BK$2501, 587, MATCH("PurchaseMultiple", Simulations!$A$1:$BK$1, 0))</f>
        <v>7.3642828768769242</v>
      </c>
      <c r="B587" s="2">
        <f ca="1">INDEX(Simulations!$A$1:$BK$2501, 587, MATCH("ExitMultiple", Simulations!$A$1:$BK$1, 0))</f>
        <v>8.195090527550752</v>
      </c>
      <c r="C587" s="2">
        <f ca="1">INDEX(Simulations!$A$1:$BK$2501, 587, MATCH("RevCAGR", Simulations!$A$1:$BK$1, 0))</f>
        <v>6.3346923253111198E-2</v>
      </c>
      <c r="D587" s="2">
        <f ca="1">INDEX(Simulations!$A$1:$BK$2501, 587, MATCH("SynMargin", Simulations!$A$1:$BK$1, 0))</f>
        <v>1.0493028843102326E-2</v>
      </c>
      <c r="E587" s="2">
        <f ca="1">INDEX(Simulations!$A$1:$BK$2501, 587, MATCH("Yr1Shock", Simulations!$A$1:$BK$1, 0))</f>
        <v>3.998446679883241E-3</v>
      </c>
    </row>
    <row r="588" spans="1:5" x14ac:dyDescent="0.3">
      <c r="A588" s="2">
        <f ca="1">INDEX(Simulations!$A$1:$BK$2501, 588, MATCH("PurchaseMultiple", Simulations!$A$1:$BK$1, 0))</f>
        <v>7.3772884573808533</v>
      </c>
      <c r="B588" s="2">
        <f ca="1">INDEX(Simulations!$A$1:$BK$2501, 588, MATCH("ExitMultiple", Simulations!$A$1:$BK$1, 0))</f>
        <v>7.4613131115753877</v>
      </c>
      <c r="C588" s="2">
        <f ca="1">INDEX(Simulations!$A$1:$BK$2501, 588, MATCH("RevCAGR", Simulations!$A$1:$BK$1, 0))</f>
        <v>6.2088135459309447E-2</v>
      </c>
      <c r="D588" s="2">
        <f ca="1">INDEX(Simulations!$A$1:$BK$2501, 588, MATCH("SynMargin", Simulations!$A$1:$BK$1, 0))</f>
        <v>7.5796758770179402E-3</v>
      </c>
      <c r="E588" s="2">
        <f ca="1">INDEX(Simulations!$A$1:$BK$2501, 588, MATCH("Yr1Shock", Simulations!$A$1:$BK$1, 0))</f>
        <v>-3.6966986434664889E-3</v>
      </c>
    </row>
    <row r="589" spans="1:5" x14ac:dyDescent="0.3">
      <c r="A589" s="2">
        <f ca="1">INDEX(Simulations!$A$1:$BK$2501, 589, MATCH("PurchaseMultiple", Simulations!$A$1:$BK$1, 0))</f>
        <v>6.6778502415173762</v>
      </c>
      <c r="B589" s="2">
        <f ca="1">INDEX(Simulations!$A$1:$BK$2501, 589, MATCH("ExitMultiple", Simulations!$A$1:$BK$1, 0))</f>
        <v>7.8357927862342782</v>
      </c>
      <c r="C589" s="2">
        <f ca="1">INDEX(Simulations!$A$1:$BK$2501, 589, MATCH("RevCAGR", Simulations!$A$1:$BK$1, 0))</f>
        <v>4.377937177995754E-2</v>
      </c>
      <c r="D589" s="2">
        <f ca="1">INDEX(Simulations!$A$1:$BK$2501, 589, MATCH("SynMargin", Simulations!$A$1:$BK$1, 0))</f>
        <v>1.0682807424614764E-2</v>
      </c>
      <c r="E589" s="2">
        <f ca="1">INDEX(Simulations!$A$1:$BK$2501, 589, MATCH("Yr1Shock", Simulations!$A$1:$BK$1, 0))</f>
        <v>-4.4958959575791893E-3</v>
      </c>
    </row>
    <row r="590" spans="1:5" x14ac:dyDescent="0.3">
      <c r="A590" s="2">
        <f ca="1">INDEX(Simulations!$A$1:$BK$2501, 590, MATCH("PurchaseMultiple", Simulations!$A$1:$BK$1, 0))</f>
        <v>6.8942152490688251</v>
      </c>
      <c r="B590" s="2">
        <f ca="1">INDEX(Simulations!$A$1:$BK$2501, 590, MATCH("ExitMultiple", Simulations!$A$1:$BK$1, 0))</f>
        <v>6.8044060244101292</v>
      </c>
      <c r="C590" s="2">
        <f ca="1">INDEX(Simulations!$A$1:$BK$2501, 590, MATCH("RevCAGR", Simulations!$A$1:$BK$1, 0))</f>
        <v>2.1509869958498969E-2</v>
      </c>
      <c r="D590" s="2">
        <f ca="1">INDEX(Simulations!$A$1:$BK$2501, 590, MATCH("SynMargin", Simulations!$A$1:$BK$1, 0))</f>
        <v>1.5185615798441583E-2</v>
      </c>
      <c r="E590" s="2">
        <f ca="1">INDEX(Simulations!$A$1:$BK$2501, 590, MATCH("Yr1Shock", Simulations!$A$1:$BK$1, 0))</f>
        <v>-1.1332246527203721E-2</v>
      </c>
    </row>
    <row r="591" spans="1:5" x14ac:dyDescent="0.3">
      <c r="A591" s="2">
        <f ca="1">INDEX(Simulations!$A$1:$BK$2501, 591, MATCH("PurchaseMultiple", Simulations!$A$1:$BK$1, 0))</f>
        <v>6.3998325393753674</v>
      </c>
      <c r="B591" s="2">
        <f ca="1">INDEX(Simulations!$A$1:$BK$2501, 591, MATCH("ExitMultiple", Simulations!$A$1:$BK$1, 0))</f>
        <v>7.1764148489844413</v>
      </c>
      <c r="C591" s="2">
        <f ca="1">INDEX(Simulations!$A$1:$BK$2501, 591, MATCH("RevCAGR", Simulations!$A$1:$BK$1, 0))</f>
        <v>-6.7747284722933163E-3</v>
      </c>
      <c r="D591" s="2">
        <f ca="1">INDEX(Simulations!$A$1:$BK$2501, 591, MATCH("SynMargin", Simulations!$A$1:$BK$1, 0))</f>
        <v>1.5236375020155568E-2</v>
      </c>
      <c r="E591" s="2">
        <f ca="1">INDEX(Simulations!$A$1:$BK$2501, 591, MATCH("Yr1Shock", Simulations!$A$1:$BK$1, 0))</f>
        <v>1.7739863225027672E-2</v>
      </c>
    </row>
    <row r="592" spans="1:5" x14ac:dyDescent="0.3">
      <c r="A592" s="2">
        <f ca="1">INDEX(Simulations!$A$1:$BK$2501, 592, MATCH("PurchaseMultiple", Simulations!$A$1:$BK$1, 0))</f>
        <v>6.3941996612886038</v>
      </c>
      <c r="B592" s="2">
        <f ca="1">INDEX(Simulations!$A$1:$BK$2501, 592, MATCH("ExitMultiple", Simulations!$A$1:$BK$1, 0))</f>
        <v>7.380957863640619</v>
      </c>
      <c r="C592" s="2">
        <f ca="1">INDEX(Simulations!$A$1:$BK$2501, 592, MATCH("RevCAGR", Simulations!$A$1:$BK$1, 0))</f>
        <v>1.6985063640685763E-2</v>
      </c>
      <c r="D592" s="2">
        <f ca="1">INDEX(Simulations!$A$1:$BK$2501, 592, MATCH("SynMargin", Simulations!$A$1:$BK$1, 0))</f>
        <v>1.5997940638332452E-2</v>
      </c>
      <c r="E592" s="2">
        <f ca="1">INDEX(Simulations!$A$1:$BK$2501, 592, MATCH("Yr1Shock", Simulations!$A$1:$BK$1, 0))</f>
        <v>4.1483378726424602E-2</v>
      </c>
    </row>
    <row r="593" spans="1:5" x14ac:dyDescent="0.3">
      <c r="A593" s="2">
        <f ca="1">INDEX(Simulations!$A$1:$BK$2501, 593, MATCH("PurchaseMultiple", Simulations!$A$1:$BK$1, 0))</f>
        <v>6.309019099771831</v>
      </c>
      <c r="B593" s="2">
        <f ca="1">INDEX(Simulations!$A$1:$BK$2501, 593, MATCH("ExitMultiple", Simulations!$A$1:$BK$1, 0))</f>
        <v>7.2186567538992499</v>
      </c>
      <c r="C593" s="2">
        <f ca="1">INDEX(Simulations!$A$1:$BK$2501, 593, MATCH("RevCAGR", Simulations!$A$1:$BK$1, 0))</f>
        <v>4.5502323066243598E-2</v>
      </c>
      <c r="D593" s="2">
        <f ca="1">INDEX(Simulations!$A$1:$BK$2501, 593, MATCH("SynMargin", Simulations!$A$1:$BK$1, 0))</f>
        <v>1.1642192788443383E-2</v>
      </c>
      <c r="E593" s="2">
        <f ca="1">INDEX(Simulations!$A$1:$BK$2501, 593, MATCH("Yr1Shock", Simulations!$A$1:$BK$1, 0))</f>
        <v>1.1981954595814382E-2</v>
      </c>
    </row>
    <row r="594" spans="1:5" x14ac:dyDescent="0.3">
      <c r="A594" s="2">
        <f ca="1">INDEX(Simulations!$A$1:$BK$2501, 594, MATCH("PurchaseMultiple", Simulations!$A$1:$BK$1, 0))</f>
        <v>6.635092984026965</v>
      </c>
      <c r="B594" s="2">
        <f ca="1">INDEX(Simulations!$A$1:$BK$2501, 594, MATCH("ExitMultiple", Simulations!$A$1:$BK$1, 0))</f>
        <v>7.2405947924704854</v>
      </c>
      <c r="C594" s="2">
        <f ca="1">INDEX(Simulations!$A$1:$BK$2501, 594, MATCH("RevCAGR", Simulations!$A$1:$BK$1, 0))</f>
        <v>3.6740135918442253E-2</v>
      </c>
      <c r="D594" s="2">
        <f ca="1">INDEX(Simulations!$A$1:$BK$2501, 594, MATCH("SynMargin", Simulations!$A$1:$BK$1, 0))</f>
        <v>1.2245242611761013E-2</v>
      </c>
      <c r="E594" s="2">
        <f ca="1">INDEX(Simulations!$A$1:$BK$2501, 594, MATCH("Yr1Shock", Simulations!$A$1:$BK$1, 0))</f>
        <v>8.0084235314617034E-3</v>
      </c>
    </row>
    <row r="595" spans="1:5" x14ac:dyDescent="0.3">
      <c r="A595" s="2">
        <f ca="1">INDEX(Simulations!$A$1:$BK$2501, 595, MATCH("PurchaseMultiple", Simulations!$A$1:$BK$1, 0))</f>
        <v>7.408401202401425</v>
      </c>
      <c r="B595" s="2">
        <f ca="1">INDEX(Simulations!$A$1:$BK$2501, 595, MATCH("ExitMultiple", Simulations!$A$1:$BK$1, 0))</f>
        <v>7.5106588930975331</v>
      </c>
      <c r="C595" s="2">
        <f ca="1">INDEX(Simulations!$A$1:$BK$2501, 595, MATCH("RevCAGR", Simulations!$A$1:$BK$1, 0))</f>
        <v>2.7984269624414727E-2</v>
      </c>
      <c r="D595" s="2">
        <f ca="1">INDEX(Simulations!$A$1:$BK$2501, 595, MATCH("SynMargin", Simulations!$A$1:$BK$1, 0))</f>
        <v>8.7192896355100281E-3</v>
      </c>
      <c r="E595" s="2">
        <f ca="1">INDEX(Simulations!$A$1:$BK$2501, 595, MATCH("Yr1Shock", Simulations!$A$1:$BK$1, 0))</f>
        <v>1.836148807192545E-2</v>
      </c>
    </row>
    <row r="596" spans="1:5" x14ac:dyDescent="0.3">
      <c r="A596" s="2">
        <f ca="1">INDEX(Simulations!$A$1:$BK$2501, 596, MATCH("PurchaseMultiple", Simulations!$A$1:$BK$1, 0))</f>
        <v>6.8773462784119266</v>
      </c>
      <c r="B596" s="2">
        <f ca="1">INDEX(Simulations!$A$1:$BK$2501, 596, MATCH("ExitMultiple", Simulations!$A$1:$BK$1, 0))</f>
        <v>7.8525554491767391</v>
      </c>
      <c r="C596" s="2">
        <f ca="1">INDEX(Simulations!$A$1:$BK$2501, 596, MATCH("RevCAGR", Simulations!$A$1:$BK$1, 0))</f>
        <v>5.1839426701748237E-2</v>
      </c>
      <c r="D596" s="2">
        <f ca="1">INDEX(Simulations!$A$1:$BK$2501, 596, MATCH("SynMargin", Simulations!$A$1:$BK$1, 0))</f>
        <v>7.0970734004314924E-3</v>
      </c>
      <c r="E596" s="2">
        <f ca="1">INDEX(Simulations!$A$1:$BK$2501, 596, MATCH("Yr1Shock", Simulations!$A$1:$BK$1, 0))</f>
        <v>3.5656495934642358E-3</v>
      </c>
    </row>
    <row r="597" spans="1:5" x14ac:dyDescent="0.3">
      <c r="A597" s="2">
        <f ca="1">INDEX(Simulations!$A$1:$BK$2501, 597, MATCH("PurchaseMultiple", Simulations!$A$1:$BK$1, 0))</f>
        <v>6.6830476925292608</v>
      </c>
      <c r="B597" s="2">
        <f ca="1">INDEX(Simulations!$A$1:$BK$2501, 597, MATCH("ExitMultiple", Simulations!$A$1:$BK$1, 0))</f>
        <v>7.634973495818044</v>
      </c>
      <c r="C597" s="2">
        <f ca="1">INDEX(Simulations!$A$1:$BK$2501, 597, MATCH("RevCAGR", Simulations!$A$1:$BK$1, 0))</f>
        <v>4.6324520612114714E-2</v>
      </c>
      <c r="D597" s="2">
        <f ca="1">INDEX(Simulations!$A$1:$BK$2501, 597, MATCH("SynMargin", Simulations!$A$1:$BK$1, 0))</f>
        <v>1.9717851375129596E-3</v>
      </c>
      <c r="E597" s="2">
        <f ca="1">INDEX(Simulations!$A$1:$BK$2501, 597, MATCH("Yr1Shock", Simulations!$A$1:$BK$1, 0))</f>
        <v>-3.4513359998464811E-2</v>
      </c>
    </row>
    <row r="598" spans="1:5" x14ac:dyDescent="0.3">
      <c r="A598" s="2">
        <f ca="1">INDEX(Simulations!$A$1:$BK$2501, 598, MATCH("PurchaseMultiple", Simulations!$A$1:$BK$1, 0))</f>
        <v>7.1949459394128406</v>
      </c>
      <c r="B598" s="2">
        <f ca="1">INDEX(Simulations!$A$1:$BK$2501, 598, MATCH("ExitMultiple", Simulations!$A$1:$BK$1, 0))</f>
        <v>7.5441900528689905</v>
      </c>
      <c r="C598" s="2">
        <f ca="1">INDEX(Simulations!$A$1:$BK$2501, 598, MATCH("RevCAGR", Simulations!$A$1:$BK$1, 0))</f>
        <v>0.10306995370607314</v>
      </c>
      <c r="D598" s="2">
        <f ca="1">INDEX(Simulations!$A$1:$BK$2501, 598, MATCH("SynMargin", Simulations!$A$1:$BK$1, 0))</f>
        <v>9.4003356126169824E-3</v>
      </c>
      <c r="E598" s="2">
        <f ca="1">INDEX(Simulations!$A$1:$BK$2501, 598, MATCH("Yr1Shock", Simulations!$A$1:$BK$1, 0))</f>
        <v>3.172071475705248E-2</v>
      </c>
    </row>
    <row r="599" spans="1:5" x14ac:dyDescent="0.3">
      <c r="A599" s="2">
        <f ca="1">INDEX(Simulations!$A$1:$BK$2501, 599, MATCH("PurchaseMultiple", Simulations!$A$1:$BK$1, 0))</f>
        <v>7.1142834065899905</v>
      </c>
      <c r="B599" s="2">
        <f ca="1">INDEX(Simulations!$A$1:$BK$2501, 599, MATCH("ExitMultiple", Simulations!$A$1:$BK$1, 0))</f>
        <v>7.9087137511273813</v>
      </c>
      <c r="C599" s="2">
        <f ca="1">INDEX(Simulations!$A$1:$BK$2501, 599, MATCH("RevCAGR", Simulations!$A$1:$BK$1, 0))</f>
        <v>6.6445990820981612E-2</v>
      </c>
      <c r="D599" s="2">
        <f ca="1">INDEX(Simulations!$A$1:$BK$2501, 599, MATCH("SynMargin", Simulations!$A$1:$BK$1, 0))</f>
        <v>1.5873334644790522E-2</v>
      </c>
      <c r="E599" s="2">
        <f ca="1">INDEX(Simulations!$A$1:$BK$2501, 599, MATCH("Yr1Shock", Simulations!$A$1:$BK$1, 0))</f>
        <v>5.0702115238289496E-3</v>
      </c>
    </row>
    <row r="600" spans="1:5" x14ac:dyDescent="0.3">
      <c r="A600" s="2">
        <f ca="1">INDEX(Simulations!$A$1:$BK$2501, 600, MATCH("PurchaseMultiple", Simulations!$A$1:$BK$1, 0))</f>
        <v>6.9657892874453493</v>
      </c>
      <c r="B600" s="2">
        <f ca="1">INDEX(Simulations!$A$1:$BK$2501, 600, MATCH("ExitMultiple", Simulations!$A$1:$BK$1, 0))</f>
        <v>7.5285791133186279</v>
      </c>
      <c r="C600" s="2">
        <f ca="1">INDEX(Simulations!$A$1:$BK$2501, 600, MATCH("RevCAGR", Simulations!$A$1:$BK$1, 0))</f>
        <v>2.4650940734627331E-2</v>
      </c>
      <c r="D600" s="2">
        <f ca="1">INDEX(Simulations!$A$1:$BK$2501, 600, MATCH("SynMargin", Simulations!$A$1:$BK$1, 0))</f>
        <v>1.2317508865358397E-2</v>
      </c>
      <c r="E600" s="2">
        <f ca="1">INDEX(Simulations!$A$1:$BK$2501, 600, MATCH("Yr1Shock", Simulations!$A$1:$BK$1, 0))</f>
        <v>-2.8633069537984798E-3</v>
      </c>
    </row>
    <row r="601" spans="1:5" x14ac:dyDescent="0.3">
      <c r="A601" s="2">
        <f ca="1">INDEX(Simulations!$A$1:$BK$2501, 601, MATCH("PurchaseMultiple", Simulations!$A$1:$BK$1, 0))</f>
        <v>7.165470379192219</v>
      </c>
      <c r="B601" s="2">
        <f ca="1">INDEX(Simulations!$A$1:$BK$2501, 601, MATCH("ExitMultiple", Simulations!$A$1:$BK$1, 0))</f>
        <v>7.0838574637067664</v>
      </c>
      <c r="C601" s="2">
        <f ca="1">INDEX(Simulations!$A$1:$BK$2501, 601, MATCH("RevCAGR", Simulations!$A$1:$BK$1, 0))</f>
        <v>2.146574049816689E-2</v>
      </c>
      <c r="D601" s="2">
        <f ca="1">INDEX(Simulations!$A$1:$BK$2501, 601, MATCH("SynMargin", Simulations!$A$1:$BK$1, 0))</f>
        <v>1.865322333252763E-2</v>
      </c>
      <c r="E601" s="2">
        <f ca="1">INDEX(Simulations!$A$1:$BK$2501, 601, MATCH("Yr1Shock", Simulations!$A$1:$BK$1, 0))</f>
        <v>-9.5363273988640258E-3</v>
      </c>
    </row>
    <row r="602" spans="1:5" x14ac:dyDescent="0.3">
      <c r="A602" s="2">
        <f ca="1">INDEX(Simulations!$A$1:$BK$2501, 602, MATCH("PurchaseMultiple", Simulations!$A$1:$BK$1, 0))</f>
        <v>6.6599834163376528</v>
      </c>
      <c r="B602" s="2">
        <f ca="1">INDEX(Simulations!$A$1:$BK$2501, 602, MATCH("ExitMultiple", Simulations!$A$1:$BK$1, 0))</f>
        <v>7.3962108324681619</v>
      </c>
      <c r="C602" s="2">
        <f ca="1">INDEX(Simulations!$A$1:$BK$2501, 602, MATCH("RevCAGR", Simulations!$A$1:$BK$1, 0))</f>
        <v>9.5222009850402453E-3</v>
      </c>
      <c r="D602" s="2">
        <f ca="1">INDEX(Simulations!$A$1:$BK$2501, 602, MATCH("SynMargin", Simulations!$A$1:$BK$1, 0))</f>
        <v>2.0886597239641976E-2</v>
      </c>
      <c r="E602" s="2">
        <f ca="1">INDEX(Simulations!$A$1:$BK$2501, 602, MATCH("Yr1Shock", Simulations!$A$1:$BK$1, 0))</f>
        <v>8.7790424386558884E-3</v>
      </c>
    </row>
    <row r="603" spans="1:5" x14ac:dyDescent="0.3">
      <c r="A603" s="2">
        <f ca="1">INDEX(Simulations!$A$1:$BK$2501, 603, MATCH("PurchaseMultiple", Simulations!$A$1:$BK$1, 0))</f>
        <v>6.7649563138536326</v>
      </c>
      <c r="B603" s="2">
        <f ca="1">INDEX(Simulations!$A$1:$BK$2501, 603, MATCH("ExitMultiple", Simulations!$A$1:$BK$1, 0))</f>
        <v>7.5787102420968147</v>
      </c>
      <c r="C603" s="2">
        <f ca="1">INDEX(Simulations!$A$1:$BK$2501, 603, MATCH("RevCAGR", Simulations!$A$1:$BK$1, 0))</f>
        <v>3.5055699044243716E-2</v>
      </c>
      <c r="D603" s="2">
        <f ca="1">INDEX(Simulations!$A$1:$BK$2501, 603, MATCH("SynMargin", Simulations!$A$1:$BK$1, 0))</f>
        <v>1.7880299656688543E-2</v>
      </c>
      <c r="E603" s="2">
        <f ca="1">INDEX(Simulations!$A$1:$BK$2501, 603, MATCH("Yr1Shock", Simulations!$A$1:$BK$1, 0))</f>
        <v>2.5677343724245824E-3</v>
      </c>
    </row>
    <row r="604" spans="1:5" x14ac:dyDescent="0.3">
      <c r="A604" s="2">
        <f ca="1">INDEX(Simulations!$A$1:$BK$2501, 604, MATCH("PurchaseMultiple", Simulations!$A$1:$BK$1, 0))</f>
        <v>6.926082403406272</v>
      </c>
      <c r="B604" s="2">
        <f ca="1">INDEX(Simulations!$A$1:$BK$2501, 604, MATCH("ExitMultiple", Simulations!$A$1:$BK$1, 0))</f>
        <v>7.4057126258486932</v>
      </c>
      <c r="C604" s="2">
        <f ca="1">INDEX(Simulations!$A$1:$BK$2501, 604, MATCH("RevCAGR", Simulations!$A$1:$BK$1, 0))</f>
        <v>1.9093456230681555E-2</v>
      </c>
      <c r="D604" s="2">
        <f ca="1">INDEX(Simulations!$A$1:$BK$2501, 604, MATCH("SynMargin", Simulations!$A$1:$BK$1, 0))</f>
        <v>9.8526321968870761E-3</v>
      </c>
      <c r="E604" s="2">
        <f ca="1">INDEX(Simulations!$A$1:$BK$2501, 604, MATCH("Yr1Shock", Simulations!$A$1:$BK$1, 0))</f>
        <v>1.4641008410733248E-2</v>
      </c>
    </row>
    <row r="605" spans="1:5" x14ac:dyDescent="0.3">
      <c r="A605" s="2">
        <f ca="1">INDEX(Simulations!$A$1:$BK$2501, 605, MATCH("PurchaseMultiple", Simulations!$A$1:$BK$1, 0))</f>
        <v>6.9382946561389032</v>
      </c>
      <c r="B605" s="2">
        <f ca="1">INDEX(Simulations!$A$1:$BK$2501, 605, MATCH("ExitMultiple", Simulations!$A$1:$BK$1, 0))</f>
        <v>7.604958318143435</v>
      </c>
      <c r="C605" s="2">
        <f ca="1">INDEX(Simulations!$A$1:$BK$2501, 605, MATCH("RevCAGR", Simulations!$A$1:$BK$1, 0))</f>
        <v>2.0370850758628063E-2</v>
      </c>
      <c r="D605" s="2">
        <f ca="1">INDEX(Simulations!$A$1:$BK$2501, 605, MATCH("SynMargin", Simulations!$A$1:$BK$1, 0))</f>
        <v>1.6066528430585109E-2</v>
      </c>
      <c r="E605" s="2">
        <f ca="1">INDEX(Simulations!$A$1:$BK$2501, 605, MATCH("Yr1Shock", Simulations!$A$1:$BK$1, 0))</f>
        <v>1.0924780828618641E-2</v>
      </c>
    </row>
    <row r="606" spans="1:5" x14ac:dyDescent="0.3">
      <c r="A606" s="2">
        <f ca="1">INDEX(Simulations!$A$1:$BK$2501, 606, MATCH("PurchaseMultiple", Simulations!$A$1:$BK$1, 0))</f>
        <v>7.3691715183683888</v>
      </c>
      <c r="B606" s="2">
        <f ca="1">INDEX(Simulations!$A$1:$BK$2501, 606, MATCH("ExitMultiple", Simulations!$A$1:$BK$1, 0))</f>
        <v>7.1307553518531055</v>
      </c>
      <c r="C606" s="2">
        <f ca="1">INDEX(Simulations!$A$1:$BK$2501, 606, MATCH("RevCAGR", Simulations!$A$1:$BK$1, 0))</f>
        <v>7.4023492891464926E-2</v>
      </c>
      <c r="D606" s="2">
        <f ca="1">INDEX(Simulations!$A$1:$BK$2501, 606, MATCH("SynMargin", Simulations!$A$1:$BK$1, 0))</f>
        <v>1.4123525077351725E-2</v>
      </c>
      <c r="E606" s="2">
        <f ca="1">INDEX(Simulations!$A$1:$BK$2501, 606, MATCH("Yr1Shock", Simulations!$A$1:$BK$1, 0))</f>
        <v>5.3481525940444865E-3</v>
      </c>
    </row>
    <row r="607" spans="1:5" x14ac:dyDescent="0.3">
      <c r="A607" s="2">
        <f ca="1">INDEX(Simulations!$A$1:$BK$2501, 607, MATCH("PurchaseMultiple", Simulations!$A$1:$BK$1, 0))</f>
        <v>6.916786900815632</v>
      </c>
      <c r="B607" s="2">
        <f ca="1">INDEX(Simulations!$A$1:$BK$2501, 607, MATCH("ExitMultiple", Simulations!$A$1:$BK$1, 0))</f>
        <v>7.6929930730143834</v>
      </c>
      <c r="C607" s="2">
        <f ca="1">INDEX(Simulations!$A$1:$BK$2501, 607, MATCH("RevCAGR", Simulations!$A$1:$BK$1, 0))</f>
        <v>3.1545203820424181E-2</v>
      </c>
      <c r="D607" s="2">
        <f ca="1">INDEX(Simulations!$A$1:$BK$2501, 607, MATCH("SynMargin", Simulations!$A$1:$BK$1, 0))</f>
        <v>1.165621897256899E-2</v>
      </c>
      <c r="E607" s="2">
        <f ca="1">INDEX(Simulations!$A$1:$BK$2501, 607, MATCH("Yr1Shock", Simulations!$A$1:$BK$1, 0))</f>
        <v>2.4412330464343187E-3</v>
      </c>
    </row>
    <row r="608" spans="1:5" x14ac:dyDescent="0.3">
      <c r="A608" s="2">
        <f ca="1">INDEX(Simulations!$A$1:$BK$2501, 608, MATCH("PurchaseMultiple", Simulations!$A$1:$BK$1, 0))</f>
        <v>6.4805034389927334</v>
      </c>
      <c r="B608" s="2">
        <f ca="1">INDEX(Simulations!$A$1:$BK$2501, 608, MATCH("ExitMultiple", Simulations!$A$1:$BK$1, 0))</f>
        <v>8.2243848428004966</v>
      </c>
      <c r="C608" s="2">
        <f ca="1">INDEX(Simulations!$A$1:$BK$2501, 608, MATCH("RevCAGR", Simulations!$A$1:$BK$1, 0))</f>
        <v>2.9000106784187483E-2</v>
      </c>
      <c r="D608" s="2">
        <f ca="1">INDEX(Simulations!$A$1:$BK$2501, 608, MATCH("SynMargin", Simulations!$A$1:$BK$1, 0))</f>
        <v>9.5203183218937233E-3</v>
      </c>
      <c r="E608" s="2">
        <f ca="1">INDEX(Simulations!$A$1:$BK$2501, 608, MATCH("Yr1Shock", Simulations!$A$1:$BK$1, 0))</f>
        <v>-5.6100914020338569E-3</v>
      </c>
    </row>
    <row r="609" spans="1:5" x14ac:dyDescent="0.3">
      <c r="A609" s="2">
        <f ca="1">INDEX(Simulations!$A$1:$BK$2501, 609, MATCH("PurchaseMultiple", Simulations!$A$1:$BK$1, 0))</f>
        <v>6.7506122617270385</v>
      </c>
      <c r="B609" s="2">
        <f ca="1">INDEX(Simulations!$A$1:$BK$2501, 609, MATCH("ExitMultiple", Simulations!$A$1:$BK$1, 0))</f>
        <v>7.287374846821117</v>
      </c>
      <c r="C609" s="2">
        <f ca="1">INDEX(Simulations!$A$1:$BK$2501, 609, MATCH("RevCAGR", Simulations!$A$1:$BK$1, 0))</f>
        <v>3.4918013463131385E-2</v>
      </c>
      <c r="D609" s="2">
        <f ca="1">INDEX(Simulations!$A$1:$BK$2501, 609, MATCH("SynMargin", Simulations!$A$1:$BK$1, 0))</f>
        <v>1.8366123742463734E-2</v>
      </c>
      <c r="E609" s="2">
        <f ca="1">INDEX(Simulations!$A$1:$BK$2501, 609, MATCH("Yr1Shock", Simulations!$A$1:$BK$1, 0))</f>
        <v>1.6849161653090562E-2</v>
      </c>
    </row>
    <row r="610" spans="1:5" x14ac:dyDescent="0.3">
      <c r="A610" s="2">
        <f ca="1">INDEX(Simulations!$A$1:$BK$2501, 610, MATCH("PurchaseMultiple", Simulations!$A$1:$BK$1, 0))</f>
        <v>7.2090793332049792</v>
      </c>
      <c r="B610" s="2">
        <f ca="1">INDEX(Simulations!$A$1:$BK$2501, 610, MATCH("ExitMultiple", Simulations!$A$1:$BK$1, 0))</f>
        <v>7.9851230056845681</v>
      </c>
      <c r="C610" s="2">
        <f ca="1">INDEX(Simulations!$A$1:$BK$2501, 610, MATCH("RevCAGR", Simulations!$A$1:$BK$1, 0))</f>
        <v>6.5687784236979532E-2</v>
      </c>
      <c r="D610" s="2">
        <f ca="1">INDEX(Simulations!$A$1:$BK$2501, 610, MATCH("SynMargin", Simulations!$A$1:$BK$1, 0))</f>
        <v>1.0097943584939184E-2</v>
      </c>
      <c r="E610" s="2">
        <f ca="1">INDEX(Simulations!$A$1:$BK$2501, 610, MATCH("Yr1Shock", Simulations!$A$1:$BK$1, 0))</f>
        <v>-4.268021992808943E-2</v>
      </c>
    </row>
    <row r="611" spans="1:5" x14ac:dyDescent="0.3">
      <c r="A611" s="2">
        <f ca="1">INDEX(Simulations!$A$1:$BK$2501, 611, MATCH("PurchaseMultiple", Simulations!$A$1:$BK$1, 0))</f>
        <v>7.0608256075138485</v>
      </c>
      <c r="B611" s="2">
        <f ca="1">INDEX(Simulations!$A$1:$BK$2501, 611, MATCH("ExitMultiple", Simulations!$A$1:$BK$1, 0))</f>
        <v>7.4222628752960809</v>
      </c>
      <c r="C611" s="2">
        <f ca="1">INDEX(Simulations!$A$1:$BK$2501, 611, MATCH("RevCAGR", Simulations!$A$1:$BK$1, 0))</f>
        <v>4.0218923349610518E-2</v>
      </c>
      <c r="D611" s="2">
        <f ca="1">INDEX(Simulations!$A$1:$BK$2501, 611, MATCH("SynMargin", Simulations!$A$1:$BK$1, 0))</f>
        <v>1.0288280087683862E-2</v>
      </c>
      <c r="E611" s="2">
        <f ca="1">INDEX(Simulations!$A$1:$BK$2501, 611, MATCH("Yr1Shock", Simulations!$A$1:$BK$1, 0))</f>
        <v>1.8111599155711255E-2</v>
      </c>
    </row>
    <row r="612" spans="1:5" x14ac:dyDescent="0.3">
      <c r="A612" s="2">
        <f ca="1">INDEX(Simulations!$A$1:$BK$2501, 612, MATCH("PurchaseMultiple", Simulations!$A$1:$BK$1, 0))</f>
        <v>7.2379749798219208</v>
      </c>
      <c r="B612" s="2">
        <f ca="1">INDEX(Simulations!$A$1:$BK$2501, 612, MATCH("ExitMultiple", Simulations!$A$1:$BK$1, 0))</f>
        <v>7.9087286844183904</v>
      </c>
      <c r="C612" s="2">
        <f ca="1">INDEX(Simulations!$A$1:$BK$2501, 612, MATCH("RevCAGR", Simulations!$A$1:$BK$1, 0))</f>
        <v>3.5385649429227117E-2</v>
      </c>
      <c r="D612" s="2">
        <f ca="1">INDEX(Simulations!$A$1:$BK$2501, 612, MATCH("SynMargin", Simulations!$A$1:$BK$1, 0))</f>
        <v>4.67074239255368E-3</v>
      </c>
      <c r="E612" s="2">
        <f ca="1">INDEX(Simulations!$A$1:$BK$2501, 612, MATCH("Yr1Shock", Simulations!$A$1:$BK$1, 0))</f>
        <v>-6.5109785447605316E-3</v>
      </c>
    </row>
    <row r="613" spans="1:5" x14ac:dyDescent="0.3">
      <c r="A613" s="2">
        <f ca="1">INDEX(Simulations!$A$1:$BK$2501, 613, MATCH("PurchaseMultiple", Simulations!$A$1:$BK$1, 0))</f>
        <v>6.7540870231617802</v>
      </c>
      <c r="B613" s="2">
        <f ca="1">INDEX(Simulations!$A$1:$BK$2501, 613, MATCH("ExitMultiple", Simulations!$A$1:$BK$1, 0))</f>
        <v>7.1517724802775611</v>
      </c>
      <c r="C613" s="2">
        <f ca="1">INDEX(Simulations!$A$1:$BK$2501, 613, MATCH("RevCAGR", Simulations!$A$1:$BK$1, 0))</f>
        <v>6.6280016288707597E-2</v>
      </c>
      <c r="D613" s="2">
        <f ca="1">INDEX(Simulations!$A$1:$BK$2501, 613, MATCH("SynMargin", Simulations!$A$1:$BK$1, 0))</f>
        <v>4.8259469712251144E-3</v>
      </c>
      <c r="E613" s="2">
        <f ca="1">INDEX(Simulations!$A$1:$BK$2501, 613, MATCH("Yr1Shock", Simulations!$A$1:$BK$1, 0))</f>
        <v>-8.6354827612437502E-3</v>
      </c>
    </row>
    <row r="614" spans="1:5" x14ac:dyDescent="0.3">
      <c r="A614" s="2">
        <f ca="1">INDEX(Simulations!$A$1:$BK$2501, 614, MATCH("PurchaseMultiple", Simulations!$A$1:$BK$1, 0))</f>
        <v>6.3790699329284131</v>
      </c>
      <c r="B614" s="2">
        <f ca="1">INDEX(Simulations!$A$1:$BK$2501, 614, MATCH("ExitMultiple", Simulations!$A$1:$BK$1, 0))</f>
        <v>8.081913622830406</v>
      </c>
      <c r="C614" s="2">
        <f ca="1">INDEX(Simulations!$A$1:$BK$2501, 614, MATCH("RevCAGR", Simulations!$A$1:$BK$1, 0))</f>
        <v>7.6512209617877608E-2</v>
      </c>
      <c r="D614" s="2">
        <f ca="1">INDEX(Simulations!$A$1:$BK$2501, 614, MATCH("SynMargin", Simulations!$A$1:$BK$1, 0))</f>
        <v>5.4093299041161292E-3</v>
      </c>
      <c r="E614" s="2">
        <f ca="1">INDEX(Simulations!$A$1:$BK$2501, 614, MATCH("Yr1Shock", Simulations!$A$1:$BK$1, 0))</f>
        <v>2.2256725948857893E-2</v>
      </c>
    </row>
    <row r="615" spans="1:5" x14ac:dyDescent="0.3">
      <c r="A615" s="2">
        <f ca="1">INDEX(Simulations!$A$1:$BK$2501, 615, MATCH("PurchaseMultiple", Simulations!$A$1:$BK$1, 0))</f>
        <v>7.0013558969781178</v>
      </c>
      <c r="B615" s="2">
        <f ca="1">INDEX(Simulations!$A$1:$BK$2501, 615, MATCH("ExitMultiple", Simulations!$A$1:$BK$1, 0))</f>
        <v>7.1186379775249478</v>
      </c>
      <c r="C615" s="2">
        <f ca="1">INDEX(Simulations!$A$1:$BK$2501, 615, MATCH("RevCAGR", Simulations!$A$1:$BK$1, 0))</f>
        <v>9.5679868762093251E-2</v>
      </c>
      <c r="D615" s="2">
        <f ca="1">INDEX(Simulations!$A$1:$BK$2501, 615, MATCH("SynMargin", Simulations!$A$1:$BK$1, 0))</f>
        <v>9.4313595724743945E-3</v>
      </c>
      <c r="E615" s="2">
        <f ca="1">INDEX(Simulations!$A$1:$BK$2501, 615, MATCH("Yr1Shock", Simulations!$A$1:$BK$1, 0))</f>
        <v>-1.758147069985657E-2</v>
      </c>
    </row>
    <row r="616" spans="1:5" x14ac:dyDescent="0.3">
      <c r="A616" s="2">
        <f ca="1">INDEX(Simulations!$A$1:$BK$2501, 616, MATCH("PurchaseMultiple", Simulations!$A$1:$BK$1, 0))</f>
        <v>7.9391761287042089</v>
      </c>
      <c r="B616" s="2">
        <f ca="1">INDEX(Simulations!$A$1:$BK$2501, 616, MATCH("ExitMultiple", Simulations!$A$1:$BK$1, 0))</f>
        <v>7.2241473240151803</v>
      </c>
      <c r="C616" s="2">
        <f ca="1">INDEX(Simulations!$A$1:$BK$2501, 616, MATCH("RevCAGR", Simulations!$A$1:$BK$1, 0))</f>
        <v>6.7593971910371045E-2</v>
      </c>
      <c r="D616" s="2">
        <f ca="1">INDEX(Simulations!$A$1:$BK$2501, 616, MATCH("SynMargin", Simulations!$A$1:$BK$1, 0))</f>
        <v>1.1367183272910395E-2</v>
      </c>
      <c r="E616" s="2">
        <f ca="1">INDEX(Simulations!$A$1:$BK$2501, 616, MATCH("Yr1Shock", Simulations!$A$1:$BK$1, 0))</f>
        <v>4.2087059338016108E-3</v>
      </c>
    </row>
    <row r="617" spans="1:5" x14ac:dyDescent="0.3">
      <c r="A617" s="2">
        <f ca="1">INDEX(Simulations!$A$1:$BK$2501, 617, MATCH("PurchaseMultiple", Simulations!$A$1:$BK$1, 0))</f>
        <v>6.5409998757908587</v>
      </c>
      <c r="B617" s="2">
        <f ca="1">INDEX(Simulations!$A$1:$BK$2501, 617, MATCH("ExitMultiple", Simulations!$A$1:$BK$1, 0))</f>
        <v>6.9348316195460118</v>
      </c>
      <c r="C617" s="2">
        <f ca="1">INDEX(Simulations!$A$1:$BK$2501, 617, MATCH("RevCAGR", Simulations!$A$1:$BK$1, 0))</f>
        <v>8.4369747564199335E-3</v>
      </c>
      <c r="D617" s="2">
        <f ca="1">INDEX(Simulations!$A$1:$BK$2501, 617, MATCH("SynMargin", Simulations!$A$1:$BK$1, 0))</f>
        <v>7.9669548167596096E-3</v>
      </c>
      <c r="E617" s="2">
        <f ca="1">INDEX(Simulations!$A$1:$BK$2501, 617, MATCH("Yr1Shock", Simulations!$A$1:$BK$1, 0))</f>
        <v>-3.1177885970723424E-2</v>
      </c>
    </row>
    <row r="618" spans="1:5" x14ac:dyDescent="0.3">
      <c r="A618" s="2">
        <f ca="1">INDEX(Simulations!$A$1:$BK$2501, 618, MATCH("PurchaseMultiple", Simulations!$A$1:$BK$1, 0))</f>
        <v>7.3315162427458942</v>
      </c>
      <c r="B618" s="2">
        <f ca="1">INDEX(Simulations!$A$1:$BK$2501, 618, MATCH("ExitMultiple", Simulations!$A$1:$BK$1, 0))</f>
        <v>8.0944190058921368</v>
      </c>
      <c r="C618" s="2">
        <f ca="1">INDEX(Simulations!$A$1:$BK$2501, 618, MATCH("RevCAGR", Simulations!$A$1:$BK$1, 0))</f>
        <v>7.2903654728478595E-2</v>
      </c>
      <c r="D618" s="2">
        <f ca="1">INDEX(Simulations!$A$1:$BK$2501, 618, MATCH("SynMargin", Simulations!$A$1:$BK$1, 0))</f>
        <v>8.3465069570227094E-3</v>
      </c>
      <c r="E618" s="2">
        <f ca="1">INDEX(Simulations!$A$1:$BK$2501, 618, MATCH("Yr1Shock", Simulations!$A$1:$BK$1, 0))</f>
        <v>7.2441962599676868E-3</v>
      </c>
    </row>
    <row r="619" spans="1:5" x14ac:dyDescent="0.3">
      <c r="A619" s="2">
        <f ca="1">INDEX(Simulations!$A$1:$BK$2501, 619, MATCH("PurchaseMultiple", Simulations!$A$1:$BK$1, 0))</f>
        <v>6.4910410258208078</v>
      </c>
      <c r="B619" s="2">
        <f ca="1">INDEX(Simulations!$A$1:$BK$2501, 619, MATCH("ExitMultiple", Simulations!$A$1:$BK$1, 0))</f>
        <v>7.5669442058218577</v>
      </c>
      <c r="C619" s="2">
        <f ca="1">INDEX(Simulations!$A$1:$BK$2501, 619, MATCH("RevCAGR", Simulations!$A$1:$BK$1, 0))</f>
        <v>4.2072162234645799E-4</v>
      </c>
      <c r="D619" s="2">
        <f ca="1">INDEX(Simulations!$A$1:$BK$2501, 619, MATCH("SynMargin", Simulations!$A$1:$BK$1, 0))</f>
        <v>1.6719140445209717E-2</v>
      </c>
      <c r="E619" s="2">
        <f ca="1">INDEX(Simulations!$A$1:$BK$2501, 619, MATCH("Yr1Shock", Simulations!$A$1:$BK$1, 0))</f>
        <v>-9.7929404835853471E-3</v>
      </c>
    </row>
    <row r="620" spans="1:5" x14ac:dyDescent="0.3">
      <c r="A620" s="2">
        <f ca="1">INDEX(Simulations!$A$1:$BK$2501, 620, MATCH("PurchaseMultiple", Simulations!$A$1:$BK$1, 0))</f>
        <v>6.3174490224395559</v>
      </c>
      <c r="B620" s="2">
        <f ca="1">INDEX(Simulations!$A$1:$BK$2501, 620, MATCH("ExitMultiple", Simulations!$A$1:$BK$1, 0))</f>
        <v>7.6809136744621513</v>
      </c>
      <c r="C620" s="2">
        <f ca="1">INDEX(Simulations!$A$1:$BK$2501, 620, MATCH("RevCAGR", Simulations!$A$1:$BK$1, 0))</f>
        <v>3.7148389010922926E-2</v>
      </c>
      <c r="D620" s="2">
        <f ca="1">INDEX(Simulations!$A$1:$BK$2501, 620, MATCH("SynMargin", Simulations!$A$1:$BK$1, 0))</f>
        <v>1.6053852946771415E-2</v>
      </c>
      <c r="E620" s="2">
        <f ca="1">INDEX(Simulations!$A$1:$BK$2501, 620, MATCH("Yr1Shock", Simulations!$A$1:$BK$1, 0))</f>
        <v>-1.7126377824399654E-4</v>
      </c>
    </row>
    <row r="621" spans="1:5" x14ac:dyDescent="0.3">
      <c r="A621" s="2">
        <f ca="1">INDEX(Simulations!$A$1:$BK$2501, 621, MATCH("PurchaseMultiple", Simulations!$A$1:$BK$1, 0))</f>
        <v>7.0929407606563633</v>
      </c>
      <c r="B621" s="2">
        <f ca="1">INDEX(Simulations!$A$1:$BK$2501, 621, MATCH("ExitMultiple", Simulations!$A$1:$BK$1, 0))</f>
        <v>7.3309717835217603</v>
      </c>
      <c r="C621" s="2">
        <f ca="1">INDEX(Simulations!$A$1:$BK$2501, 621, MATCH("RevCAGR", Simulations!$A$1:$BK$1, 0))</f>
        <v>2.1938104820174397E-2</v>
      </c>
      <c r="D621" s="2">
        <f ca="1">INDEX(Simulations!$A$1:$BK$2501, 621, MATCH("SynMargin", Simulations!$A$1:$BK$1, 0))</f>
        <v>8.0251469458861632E-3</v>
      </c>
      <c r="E621" s="2">
        <f ca="1">INDEX(Simulations!$A$1:$BK$2501, 621, MATCH("Yr1Shock", Simulations!$A$1:$BK$1, 0))</f>
        <v>-1.0606573189930357E-2</v>
      </c>
    </row>
    <row r="622" spans="1:5" x14ac:dyDescent="0.3">
      <c r="A622" s="2">
        <f ca="1">INDEX(Simulations!$A$1:$BK$2501, 622, MATCH("PurchaseMultiple", Simulations!$A$1:$BK$1, 0))</f>
        <v>7.1879269550875486</v>
      </c>
      <c r="B622" s="2">
        <f ca="1">INDEX(Simulations!$A$1:$BK$2501, 622, MATCH("ExitMultiple", Simulations!$A$1:$BK$1, 0))</f>
        <v>6.769191177631166</v>
      </c>
      <c r="C622" s="2">
        <f ca="1">INDEX(Simulations!$A$1:$BK$2501, 622, MATCH("RevCAGR", Simulations!$A$1:$BK$1, 0))</f>
        <v>4.0819696969470999E-2</v>
      </c>
      <c r="D622" s="2">
        <f ca="1">INDEX(Simulations!$A$1:$BK$2501, 622, MATCH("SynMargin", Simulations!$A$1:$BK$1, 0))</f>
        <v>1.6755942469957548E-2</v>
      </c>
      <c r="E622" s="2">
        <f ca="1">INDEX(Simulations!$A$1:$BK$2501, 622, MATCH("Yr1Shock", Simulations!$A$1:$BK$1, 0))</f>
        <v>1.9377043955395589E-2</v>
      </c>
    </row>
    <row r="623" spans="1:5" x14ac:dyDescent="0.3">
      <c r="A623" s="2">
        <f ca="1">INDEX(Simulations!$A$1:$BK$2501, 623, MATCH("PurchaseMultiple", Simulations!$A$1:$BK$1, 0))</f>
        <v>7.8628613508254812</v>
      </c>
      <c r="B623" s="2">
        <f ca="1">INDEX(Simulations!$A$1:$BK$2501, 623, MATCH("ExitMultiple", Simulations!$A$1:$BK$1, 0))</f>
        <v>7.9484663229873842</v>
      </c>
      <c r="C623" s="2">
        <f ca="1">INDEX(Simulations!$A$1:$BK$2501, 623, MATCH("RevCAGR", Simulations!$A$1:$BK$1, 0))</f>
        <v>-2.2347149182127407E-3</v>
      </c>
      <c r="D623" s="2">
        <f ca="1">INDEX(Simulations!$A$1:$BK$2501, 623, MATCH("SynMargin", Simulations!$A$1:$BK$1, 0))</f>
        <v>8.927346984850041E-3</v>
      </c>
      <c r="E623" s="2">
        <f ca="1">INDEX(Simulations!$A$1:$BK$2501, 623, MATCH("Yr1Shock", Simulations!$A$1:$BK$1, 0))</f>
        <v>6.726288489913709E-3</v>
      </c>
    </row>
    <row r="624" spans="1:5" x14ac:dyDescent="0.3">
      <c r="A624" s="2">
        <f ca="1">INDEX(Simulations!$A$1:$BK$2501, 624, MATCH("PurchaseMultiple", Simulations!$A$1:$BK$1, 0))</f>
        <v>7.7908400220904692</v>
      </c>
      <c r="B624" s="2">
        <f ca="1">INDEX(Simulations!$A$1:$BK$2501, 624, MATCH("ExitMultiple", Simulations!$A$1:$BK$1, 0))</f>
        <v>7.6987077136749287</v>
      </c>
      <c r="C624" s="2">
        <f ca="1">INDEX(Simulations!$A$1:$BK$2501, 624, MATCH("RevCAGR", Simulations!$A$1:$BK$1, 0))</f>
        <v>6.98828299857297E-2</v>
      </c>
      <c r="D624" s="2">
        <f ca="1">INDEX(Simulations!$A$1:$BK$2501, 624, MATCH("SynMargin", Simulations!$A$1:$BK$1, 0))</f>
        <v>1.1057224991568667E-2</v>
      </c>
      <c r="E624" s="2">
        <f ca="1">INDEX(Simulations!$A$1:$BK$2501, 624, MATCH("Yr1Shock", Simulations!$A$1:$BK$1, 0))</f>
        <v>1.3031023289323125E-2</v>
      </c>
    </row>
    <row r="625" spans="1:5" x14ac:dyDescent="0.3">
      <c r="A625" s="2">
        <f ca="1">INDEX(Simulations!$A$1:$BK$2501, 625, MATCH("PurchaseMultiple", Simulations!$A$1:$BK$1, 0))</f>
        <v>7.7324330265167998</v>
      </c>
      <c r="B625" s="2">
        <f ca="1">INDEX(Simulations!$A$1:$BK$2501, 625, MATCH("ExitMultiple", Simulations!$A$1:$BK$1, 0))</f>
        <v>7.2413577353502143</v>
      </c>
      <c r="C625" s="2">
        <f ca="1">INDEX(Simulations!$A$1:$BK$2501, 625, MATCH("RevCAGR", Simulations!$A$1:$BK$1, 0))</f>
        <v>8.1418099751943848E-2</v>
      </c>
      <c r="D625" s="2">
        <f ca="1">INDEX(Simulations!$A$1:$BK$2501, 625, MATCH("SynMargin", Simulations!$A$1:$BK$1, 0))</f>
        <v>1.1566046750788804E-2</v>
      </c>
      <c r="E625" s="2">
        <f ca="1">INDEX(Simulations!$A$1:$BK$2501, 625, MATCH("Yr1Shock", Simulations!$A$1:$BK$1, 0))</f>
        <v>-4.1112385754105149E-3</v>
      </c>
    </row>
    <row r="626" spans="1:5" x14ac:dyDescent="0.3">
      <c r="A626" s="2">
        <f ca="1">INDEX(Simulations!$A$1:$BK$2501, 626, MATCH("PurchaseMultiple", Simulations!$A$1:$BK$1, 0))</f>
        <v>6.3792162240858961</v>
      </c>
      <c r="B626" s="2">
        <f ca="1">INDEX(Simulations!$A$1:$BK$2501, 626, MATCH("ExitMultiple", Simulations!$A$1:$BK$1, 0))</f>
        <v>7.722868019654177</v>
      </c>
      <c r="C626" s="2">
        <f ca="1">INDEX(Simulations!$A$1:$BK$2501, 626, MATCH("RevCAGR", Simulations!$A$1:$BK$1, 0))</f>
        <v>4.9768773162540206E-3</v>
      </c>
      <c r="D626" s="2">
        <f ca="1">INDEX(Simulations!$A$1:$BK$2501, 626, MATCH("SynMargin", Simulations!$A$1:$BK$1, 0))</f>
        <v>1.009663691622602E-2</v>
      </c>
      <c r="E626" s="2">
        <f ca="1">INDEX(Simulations!$A$1:$BK$2501, 626, MATCH("Yr1Shock", Simulations!$A$1:$BK$1, 0))</f>
        <v>-5.6579987839047753E-3</v>
      </c>
    </row>
    <row r="627" spans="1:5" x14ac:dyDescent="0.3">
      <c r="A627" s="2">
        <f ca="1">INDEX(Simulations!$A$1:$BK$2501, 627, MATCH("PurchaseMultiple", Simulations!$A$1:$BK$1, 0))</f>
        <v>6.9592986666753189</v>
      </c>
      <c r="B627" s="2">
        <f ca="1">INDEX(Simulations!$A$1:$BK$2501, 627, MATCH("ExitMultiple", Simulations!$A$1:$BK$1, 0))</f>
        <v>7.6249145422995781</v>
      </c>
      <c r="C627" s="2">
        <f ca="1">INDEX(Simulations!$A$1:$BK$2501, 627, MATCH("RevCAGR", Simulations!$A$1:$BK$1, 0))</f>
        <v>6.3441184436278691E-2</v>
      </c>
      <c r="D627" s="2">
        <f ca="1">INDEX(Simulations!$A$1:$BK$2501, 627, MATCH("SynMargin", Simulations!$A$1:$BK$1, 0))</f>
        <v>1.0041321669758517E-2</v>
      </c>
      <c r="E627" s="2">
        <f ca="1">INDEX(Simulations!$A$1:$BK$2501, 627, MATCH("Yr1Shock", Simulations!$A$1:$BK$1, 0))</f>
        <v>1.5459988434002284E-3</v>
      </c>
    </row>
    <row r="628" spans="1:5" x14ac:dyDescent="0.3">
      <c r="A628" s="2">
        <f ca="1">INDEX(Simulations!$A$1:$BK$2501, 628, MATCH("PurchaseMultiple", Simulations!$A$1:$BK$1, 0))</f>
        <v>7.0829305647865217</v>
      </c>
      <c r="B628" s="2">
        <f ca="1">INDEX(Simulations!$A$1:$BK$2501, 628, MATCH("ExitMultiple", Simulations!$A$1:$BK$1, 0))</f>
        <v>7.514538733274974</v>
      </c>
      <c r="C628" s="2">
        <f ca="1">INDEX(Simulations!$A$1:$BK$2501, 628, MATCH("RevCAGR", Simulations!$A$1:$BK$1, 0))</f>
        <v>1.7520999158372911E-2</v>
      </c>
      <c r="D628" s="2">
        <f ca="1">INDEX(Simulations!$A$1:$BK$2501, 628, MATCH("SynMargin", Simulations!$A$1:$BK$1, 0))</f>
        <v>4.6930502478285119E-3</v>
      </c>
      <c r="E628" s="2">
        <f ca="1">INDEX(Simulations!$A$1:$BK$2501, 628, MATCH("Yr1Shock", Simulations!$A$1:$BK$1, 0))</f>
        <v>-1.0195957177371023E-2</v>
      </c>
    </row>
    <row r="629" spans="1:5" x14ac:dyDescent="0.3">
      <c r="A629" s="2">
        <f ca="1">INDEX(Simulations!$A$1:$BK$2501, 629, MATCH("PurchaseMultiple", Simulations!$A$1:$BK$1, 0))</f>
        <v>6.3388680628989977</v>
      </c>
      <c r="B629" s="2">
        <f ca="1">INDEX(Simulations!$A$1:$BK$2501, 629, MATCH("ExitMultiple", Simulations!$A$1:$BK$1, 0))</f>
        <v>7.352573014174407</v>
      </c>
      <c r="C629" s="2">
        <f ca="1">INDEX(Simulations!$A$1:$BK$2501, 629, MATCH("RevCAGR", Simulations!$A$1:$BK$1, 0))</f>
        <v>5.6690640681144239E-2</v>
      </c>
      <c r="D629" s="2">
        <f ca="1">INDEX(Simulations!$A$1:$BK$2501, 629, MATCH("SynMargin", Simulations!$A$1:$BK$1, 0))</f>
        <v>7.7345652584791848E-3</v>
      </c>
      <c r="E629" s="2">
        <f ca="1">INDEX(Simulations!$A$1:$BK$2501, 629, MATCH("Yr1Shock", Simulations!$A$1:$BK$1, 0))</f>
        <v>-1.2395923407847213E-3</v>
      </c>
    </row>
    <row r="630" spans="1:5" x14ac:dyDescent="0.3">
      <c r="A630" s="2">
        <f ca="1">INDEX(Simulations!$A$1:$BK$2501, 630, MATCH("PurchaseMultiple", Simulations!$A$1:$BK$1, 0))</f>
        <v>7.5293546273799707</v>
      </c>
      <c r="B630" s="2">
        <f ca="1">INDEX(Simulations!$A$1:$BK$2501, 630, MATCH("ExitMultiple", Simulations!$A$1:$BK$1, 0))</f>
        <v>7.7736874257596593</v>
      </c>
      <c r="C630" s="2">
        <f ca="1">INDEX(Simulations!$A$1:$BK$2501, 630, MATCH("RevCAGR", Simulations!$A$1:$BK$1, 0))</f>
        <v>3.8768469300627807E-2</v>
      </c>
      <c r="D630" s="2">
        <f ca="1">INDEX(Simulations!$A$1:$BK$2501, 630, MATCH("SynMargin", Simulations!$A$1:$BK$1, 0))</f>
        <v>9.6971590796343966E-3</v>
      </c>
      <c r="E630" s="2">
        <f ca="1">INDEX(Simulations!$A$1:$BK$2501, 630, MATCH("Yr1Shock", Simulations!$A$1:$BK$1, 0))</f>
        <v>2.9981751072806723E-2</v>
      </c>
    </row>
    <row r="631" spans="1:5" x14ac:dyDescent="0.3">
      <c r="A631" s="2">
        <f ca="1">INDEX(Simulations!$A$1:$BK$2501, 631, MATCH("PurchaseMultiple", Simulations!$A$1:$BK$1, 0))</f>
        <v>7.7173212565948131</v>
      </c>
      <c r="B631" s="2">
        <f ca="1">INDEX(Simulations!$A$1:$BK$2501, 631, MATCH("ExitMultiple", Simulations!$A$1:$BK$1, 0))</f>
        <v>7.681039721151194</v>
      </c>
      <c r="C631" s="2">
        <f ca="1">INDEX(Simulations!$A$1:$BK$2501, 631, MATCH("RevCAGR", Simulations!$A$1:$BK$1, 0))</f>
        <v>1.2345994982280117E-2</v>
      </c>
      <c r="D631" s="2">
        <f ca="1">INDEX(Simulations!$A$1:$BK$2501, 631, MATCH("SynMargin", Simulations!$A$1:$BK$1, 0))</f>
        <v>6.0231323619904529E-3</v>
      </c>
      <c r="E631" s="2">
        <f ca="1">INDEX(Simulations!$A$1:$BK$2501, 631, MATCH("Yr1Shock", Simulations!$A$1:$BK$1, 0))</f>
        <v>-2.3832826243959354E-2</v>
      </c>
    </row>
    <row r="632" spans="1:5" x14ac:dyDescent="0.3">
      <c r="A632" s="2">
        <f ca="1">INDEX(Simulations!$A$1:$BK$2501, 632, MATCH("PurchaseMultiple", Simulations!$A$1:$BK$1, 0))</f>
        <v>6.3229720551701902</v>
      </c>
      <c r="B632" s="2">
        <f ca="1">INDEX(Simulations!$A$1:$BK$2501, 632, MATCH("ExitMultiple", Simulations!$A$1:$BK$1, 0))</f>
        <v>7.3501535171183301</v>
      </c>
      <c r="C632" s="2">
        <f ca="1">INDEX(Simulations!$A$1:$BK$2501, 632, MATCH("RevCAGR", Simulations!$A$1:$BK$1, 0))</f>
        <v>6.4084645027590786E-2</v>
      </c>
      <c r="D632" s="2">
        <f ca="1">INDEX(Simulations!$A$1:$BK$2501, 632, MATCH("SynMargin", Simulations!$A$1:$BK$1, 0))</f>
        <v>5.5221812630739733E-3</v>
      </c>
      <c r="E632" s="2">
        <f ca="1">INDEX(Simulations!$A$1:$BK$2501, 632, MATCH("Yr1Shock", Simulations!$A$1:$BK$1, 0))</f>
        <v>6.133322135617957E-3</v>
      </c>
    </row>
    <row r="633" spans="1:5" x14ac:dyDescent="0.3">
      <c r="A633" s="2">
        <f ca="1">INDEX(Simulations!$A$1:$BK$2501, 633, MATCH("PurchaseMultiple", Simulations!$A$1:$BK$1, 0))</f>
        <v>6.6817483193530718</v>
      </c>
      <c r="B633" s="2">
        <f ca="1">INDEX(Simulations!$A$1:$BK$2501, 633, MATCH("ExitMultiple", Simulations!$A$1:$BK$1, 0))</f>
        <v>8.4536413749760442</v>
      </c>
      <c r="C633" s="2">
        <f ca="1">INDEX(Simulations!$A$1:$BK$2501, 633, MATCH("RevCAGR", Simulations!$A$1:$BK$1, 0))</f>
        <v>0.12</v>
      </c>
      <c r="D633" s="2">
        <f ca="1">INDEX(Simulations!$A$1:$BK$2501, 633, MATCH("SynMargin", Simulations!$A$1:$BK$1, 0))</f>
        <v>1.6184014637130574E-2</v>
      </c>
      <c r="E633" s="2">
        <f ca="1">INDEX(Simulations!$A$1:$BK$2501, 633, MATCH("Yr1Shock", Simulations!$A$1:$BK$1, 0))</f>
        <v>2.2150770112695031E-2</v>
      </c>
    </row>
    <row r="634" spans="1:5" x14ac:dyDescent="0.3">
      <c r="A634" s="2">
        <f ca="1">INDEX(Simulations!$A$1:$BK$2501, 634, MATCH("PurchaseMultiple", Simulations!$A$1:$BK$1, 0))</f>
        <v>7.0253739897658383</v>
      </c>
      <c r="B634" s="2">
        <f ca="1">INDEX(Simulations!$A$1:$BK$2501, 634, MATCH("ExitMultiple", Simulations!$A$1:$BK$1, 0))</f>
        <v>8.1549475656217982</v>
      </c>
      <c r="C634" s="2">
        <f ca="1">INDEX(Simulations!$A$1:$BK$2501, 634, MATCH("RevCAGR", Simulations!$A$1:$BK$1, 0))</f>
        <v>0.12</v>
      </c>
      <c r="D634" s="2">
        <f ca="1">INDEX(Simulations!$A$1:$BK$2501, 634, MATCH("SynMargin", Simulations!$A$1:$BK$1, 0))</f>
        <v>9.3195181614307721E-3</v>
      </c>
      <c r="E634" s="2">
        <f ca="1">INDEX(Simulations!$A$1:$BK$2501, 634, MATCH("Yr1Shock", Simulations!$A$1:$BK$1, 0))</f>
        <v>1.23721094400279E-2</v>
      </c>
    </row>
    <row r="635" spans="1:5" x14ac:dyDescent="0.3">
      <c r="A635" s="2">
        <f ca="1">INDEX(Simulations!$A$1:$BK$2501, 635, MATCH("PurchaseMultiple", Simulations!$A$1:$BK$1, 0))</f>
        <v>7.9106160803078556</v>
      </c>
      <c r="B635" s="2">
        <f ca="1">INDEX(Simulations!$A$1:$BK$2501, 635, MATCH("ExitMultiple", Simulations!$A$1:$BK$1, 0))</f>
        <v>7.6050661415985816</v>
      </c>
      <c r="C635" s="2">
        <f ca="1">INDEX(Simulations!$A$1:$BK$2501, 635, MATCH("RevCAGR", Simulations!$A$1:$BK$1, 0))</f>
        <v>4.3571305035376998E-2</v>
      </c>
      <c r="D635" s="2">
        <f ca="1">INDEX(Simulations!$A$1:$BK$2501, 635, MATCH("SynMargin", Simulations!$A$1:$BK$1, 0))</f>
        <v>9.6597019162262803E-3</v>
      </c>
      <c r="E635" s="2">
        <f ca="1">INDEX(Simulations!$A$1:$BK$2501, 635, MATCH("Yr1Shock", Simulations!$A$1:$BK$1, 0))</f>
        <v>7.2582972614528068E-3</v>
      </c>
    </row>
    <row r="636" spans="1:5" x14ac:dyDescent="0.3">
      <c r="A636" s="2">
        <f ca="1">INDEX(Simulations!$A$1:$BK$2501, 636, MATCH("PurchaseMultiple", Simulations!$A$1:$BK$1, 0))</f>
        <v>6.6670500142296421</v>
      </c>
      <c r="B636" s="2">
        <f ca="1">INDEX(Simulations!$A$1:$BK$2501, 636, MATCH("ExitMultiple", Simulations!$A$1:$BK$1, 0))</f>
        <v>7.7256246497431977</v>
      </c>
      <c r="C636" s="2">
        <f ca="1">INDEX(Simulations!$A$1:$BK$2501, 636, MATCH("RevCAGR", Simulations!$A$1:$BK$1, 0))</f>
        <v>1.6248202942604355E-2</v>
      </c>
      <c r="D636" s="2">
        <f ca="1">INDEX(Simulations!$A$1:$BK$2501, 636, MATCH("SynMargin", Simulations!$A$1:$BK$1, 0))</f>
        <v>7.8052848914188355E-3</v>
      </c>
      <c r="E636" s="2">
        <f ca="1">INDEX(Simulations!$A$1:$BK$2501, 636, MATCH("Yr1Shock", Simulations!$A$1:$BK$1, 0))</f>
        <v>-0.05</v>
      </c>
    </row>
    <row r="637" spans="1:5" x14ac:dyDescent="0.3">
      <c r="A637" s="2">
        <f ca="1">INDEX(Simulations!$A$1:$BK$2501, 637, MATCH("PurchaseMultiple", Simulations!$A$1:$BK$1, 0))</f>
        <v>6.853762210481178</v>
      </c>
      <c r="B637" s="2">
        <f ca="1">INDEX(Simulations!$A$1:$BK$2501, 637, MATCH("ExitMultiple", Simulations!$A$1:$BK$1, 0))</f>
        <v>7.6619374151551902</v>
      </c>
      <c r="C637" s="2">
        <f ca="1">INDEX(Simulations!$A$1:$BK$2501, 637, MATCH("RevCAGR", Simulations!$A$1:$BK$1, 0))</f>
        <v>6.8147230570523229E-2</v>
      </c>
      <c r="D637" s="2">
        <f ca="1">INDEX(Simulations!$A$1:$BK$2501, 637, MATCH("SynMargin", Simulations!$A$1:$BK$1, 0))</f>
        <v>1.0552962609919673E-2</v>
      </c>
      <c r="E637" s="2">
        <f ca="1">INDEX(Simulations!$A$1:$BK$2501, 637, MATCH("Yr1Shock", Simulations!$A$1:$BK$1, 0))</f>
        <v>-1.6968846708409482E-3</v>
      </c>
    </row>
    <row r="638" spans="1:5" x14ac:dyDescent="0.3">
      <c r="A638" s="2">
        <f ca="1">INDEX(Simulations!$A$1:$BK$2501, 638, MATCH("PurchaseMultiple", Simulations!$A$1:$BK$1, 0))</f>
        <v>6.4619470055060964</v>
      </c>
      <c r="B638" s="2">
        <f ca="1">INDEX(Simulations!$A$1:$BK$2501, 638, MATCH("ExitMultiple", Simulations!$A$1:$BK$1, 0))</f>
        <v>7.9106384875218003</v>
      </c>
      <c r="C638" s="2">
        <f ca="1">INDEX(Simulations!$A$1:$BK$2501, 638, MATCH("RevCAGR", Simulations!$A$1:$BK$1, 0))</f>
        <v>2.3258974614657105E-2</v>
      </c>
      <c r="D638" s="2">
        <f ca="1">INDEX(Simulations!$A$1:$BK$2501, 638, MATCH("SynMargin", Simulations!$A$1:$BK$1, 0))</f>
        <v>1.5232950551074211E-2</v>
      </c>
      <c r="E638" s="2">
        <f ca="1">INDEX(Simulations!$A$1:$BK$2501, 638, MATCH("Yr1Shock", Simulations!$A$1:$BK$1, 0))</f>
        <v>-2.8436355224034125E-2</v>
      </c>
    </row>
    <row r="639" spans="1:5" x14ac:dyDescent="0.3">
      <c r="A639" s="2">
        <f ca="1">INDEX(Simulations!$A$1:$BK$2501, 639, MATCH("PurchaseMultiple", Simulations!$A$1:$BK$1, 0))</f>
        <v>7.1009404399018408</v>
      </c>
      <c r="B639" s="2">
        <f ca="1">INDEX(Simulations!$A$1:$BK$2501, 639, MATCH("ExitMultiple", Simulations!$A$1:$BK$1, 0))</f>
        <v>7.1853137047224527</v>
      </c>
      <c r="C639" s="2">
        <f ca="1">INDEX(Simulations!$A$1:$BK$2501, 639, MATCH("RevCAGR", Simulations!$A$1:$BK$1, 0))</f>
        <v>6.1054829312821524E-2</v>
      </c>
      <c r="D639" s="2">
        <f ca="1">INDEX(Simulations!$A$1:$BK$2501, 639, MATCH("SynMargin", Simulations!$A$1:$BK$1, 0))</f>
        <v>1.3675094874818623E-2</v>
      </c>
      <c r="E639" s="2">
        <f ca="1">INDEX(Simulations!$A$1:$BK$2501, 639, MATCH("Yr1Shock", Simulations!$A$1:$BK$1, 0))</f>
        <v>6.0657293702151872E-3</v>
      </c>
    </row>
    <row r="640" spans="1:5" x14ac:dyDescent="0.3">
      <c r="A640" s="2">
        <f ca="1">INDEX(Simulations!$A$1:$BK$2501, 640, MATCH("PurchaseMultiple", Simulations!$A$1:$BK$1, 0))</f>
        <v>6.8609960944434878</v>
      </c>
      <c r="B640" s="2">
        <f ca="1">INDEX(Simulations!$A$1:$BK$2501, 640, MATCH("ExitMultiple", Simulations!$A$1:$BK$1, 0))</f>
        <v>8.2487206698962332</v>
      </c>
      <c r="C640" s="2">
        <f ca="1">INDEX(Simulations!$A$1:$BK$2501, 640, MATCH("RevCAGR", Simulations!$A$1:$BK$1, 0))</f>
        <v>-1.2863439907779599E-2</v>
      </c>
      <c r="D640" s="2">
        <f ca="1">INDEX(Simulations!$A$1:$BK$2501, 640, MATCH("SynMargin", Simulations!$A$1:$BK$1, 0))</f>
        <v>1.3557891131805368E-2</v>
      </c>
      <c r="E640" s="2">
        <f ca="1">INDEX(Simulations!$A$1:$BK$2501, 640, MATCH("Yr1Shock", Simulations!$A$1:$BK$1, 0))</f>
        <v>2.6790034509580336E-3</v>
      </c>
    </row>
    <row r="641" spans="1:5" x14ac:dyDescent="0.3">
      <c r="A641" s="2">
        <f ca="1">INDEX(Simulations!$A$1:$BK$2501, 641, MATCH("PurchaseMultiple", Simulations!$A$1:$BK$1, 0))</f>
        <v>7.0876083588865528</v>
      </c>
      <c r="B641" s="2">
        <f ca="1">INDEX(Simulations!$A$1:$BK$2501, 641, MATCH("ExitMultiple", Simulations!$A$1:$BK$1, 0))</f>
        <v>7.7266324862681568</v>
      </c>
      <c r="C641" s="2">
        <f ca="1">INDEX(Simulations!$A$1:$BK$2501, 641, MATCH("RevCAGR", Simulations!$A$1:$BK$1, 0))</f>
        <v>2.8892411960275522E-2</v>
      </c>
      <c r="D641" s="2">
        <f ca="1">INDEX(Simulations!$A$1:$BK$2501, 641, MATCH("SynMargin", Simulations!$A$1:$BK$1, 0))</f>
        <v>8.6218887674835466E-3</v>
      </c>
      <c r="E641" s="2">
        <f ca="1">INDEX(Simulations!$A$1:$BK$2501, 641, MATCH("Yr1Shock", Simulations!$A$1:$BK$1, 0))</f>
        <v>7.5288450690097278E-3</v>
      </c>
    </row>
    <row r="642" spans="1:5" x14ac:dyDescent="0.3">
      <c r="A642" s="2">
        <f ca="1">INDEX(Simulations!$A$1:$BK$2501, 642, MATCH("PurchaseMultiple", Simulations!$A$1:$BK$1, 0))</f>
        <v>7.0381137348062897</v>
      </c>
      <c r="B642" s="2">
        <f ca="1">INDEX(Simulations!$A$1:$BK$2501, 642, MATCH("ExitMultiple", Simulations!$A$1:$BK$1, 0))</f>
        <v>7.0144101964149854</v>
      </c>
      <c r="C642" s="2">
        <f ca="1">INDEX(Simulations!$A$1:$BK$2501, 642, MATCH("RevCAGR", Simulations!$A$1:$BK$1, 0))</f>
        <v>4.2302387671890582E-2</v>
      </c>
      <c r="D642" s="2">
        <f ca="1">INDEX(Simulations!$A$1:$BK$2501, 642, MATCH("SynMargin", Simulations!$A$1:$BK$1, 0))</f>
        <v>3.4857245340361685E-3</v>
      </c>
      <c r="E642" s="2">
        <f ca="1">INDEX(Simulations!$A$1:$BK$2501, 642, MATCH("Yr1Shock", Simulations!$A$1:$BK$1, 0))</f>
        <v>-9.8229229685857841E-3</v>
      </c>
    </row>
    <row r="643" spans="1:5" x14ac:dyDescent="0.3">
      <c r="A643" s="2">
        <f ca="1">INDEX(Simulations!$A$1:$BK$2501, 643, MATCH("PurchaseMultiple", Simulations!$A$1:$BK$1, 0))</f>
        <v>6.7315366103186811</v>
      </c>
      <c r="B643" s="2">
        <f ca="1">INDEX(Simulations!$A$1:$BK$2501, 643, MATCH("ExitMultiple", Simulations!$A$1:$BK$1, 0))</f>
        <v>7.8566384580638715</v>
      </c>
      <c r="C643" s="2">
        <f ca="1">INDEX(Simulations!$A$1:$BK$2501, 643, MATCH("RevCAGR", Simulations!$A$1:$BK$1, 0))</f>
        <v>-0.02</v>
      </c>
      <c r="D643" s="2">
        <f ca="1">INDEX(Simulations!$A$1:$BK$2501, 643, MATCH("SynMargin", Simulations!$A$1:$BK$1, 0))</f>
        <v>8.6580433306349056E-3</v>
      </c>
      <c r="E643" s="2">
        <f ca="1">INDEX(Simulations!$A$1:$BK$2501, 643, MATCH("Yr1Shock", Simulations!$A$1:$BK$1, 0))</f>
        <v>-2.5632850164107903E-2</v>
      </c>
    </row>
    <row r="644" spans="1:5" x14ac:dyDescent="0.3">
      <c r="A644" s="2">
        <f ca="1">INDEX(Simulations!$A$1:$BK$2501, 644, MATCH("PurchaseMultiple", Simulations!$A$1:$BK$1, 0))</f>
        <v>6.9105288144604691</v>
      </c>
      <c r="B644" s="2">
        <f ca="1">INDEX(Simulations!$A$1:$BK$2501, 644, MATCH("ExitMultiple", Simulations!$A$1:$BK$1, 0))</f>
        <v>7.4174546998928079</v>
      </c>
      <c r="C644" s="2">
        <f ca="1">INDEX(Simulations!$A$1:$BK$2501, 644, MATCH("RevCAGR", Simulations!$A$1:$BK$1, 0))</f>
        <v>6.7066808505687289E-2</v>
      </c>
      <c r="D644" s="2">
        <f ca="1">INDEX(Simulations!$A$1:$BK$2501, 644, MATCH("SynMargin", Simulations!$A$1:$BK$1, 0))</f>
        <v>1.5615198016918387E-2</v>
      </c>
      <c r="E644" s="2">
        <f ca="1">INDEX(Simulations!$A$1:$BK$2501, 644, MATCH("Yr1Shock", Simulations!$A$1:$BK$1, 0))</f>
        <v>2.6063072923094847E-2</v>
      </c>
    </row>
    <row r="645" spans="1:5" x14ac:dyDescent="0.3">
      <c r="A645" s="2">
        <f ca="1">INDEX(Simulations!$A$1:$BK$2501, 645, MATCH("PurchaseMultiple", Simulations!$A$1:$BK$1, 0))</f>
        <v>6.9315329757468938</v>
      </c>
      <c r="B645" s="2">
        <f ca="1">INDEX(Simulations!$A$1:$BK$2501, 645, MATCH("ExitMultiple", Simulations!$A$1:$BK$1, 0))</f>
        <v>6.6792489105130342</v>
      </c>
      <c r="C645" s="2">
        <f ca="1">INDEX(Simulations!$A$1:$BK$2501, 645, MATCH("RevCAGR", Simulations!$A$1:$BK$1, 0))</f>
        <v>5.4100310558364458E-2</v>
      </c>
      <c r="D645" s="2">
        <f ca="1">INDEX(Simulations!$A$1:$BK$2501, 645, MATCH("SynMargin", Simulations!$A$1:$BK$1, 0))</f>
        <v>7.6655161803001644E-3</v>
      </c>
      <c r="E645" s="2">
        <f ca="1">INDEX(Simulations!$A$1:$BK$2501, 645, MATCH("Yr1Shock", Simulations!$A$1:$BK$1, 0))</f>
        <v>1.2947301368644781E-2</v>
      </c>
    </row>
    <row r="646" spans="1:5" x14ac:dyDescent="0.3">
      <c r="A646" s="2">
        <f ca="1">INDEX(Simulations!$A$1:$BK$2501, 646, MATCH("PurchaseMultiple", Simulations!$A$1:$BK$1, 0))</f>
        <v>6.3857402042547404</v>
      </c>
      <c r="B646" s="2">
        <f ca="1">INDEX(Simulations!$A$1:$BK$2501, 646, MATCH("ExitMultiple", Simulations!$A$1:$BK$1, 0))</f>
        <v>7.3880645347344815</v>
      </c>
      <c r="C646" s="2">
        <f ca="1">INDEX(Simulations!$A$1:$BK$2501, 646, MATCH("RevCAGR", Simulations!$A$1:$BK$1, 0))</f>
        <v>3.5481325491719458E-2</v>
      </c>
      <c r="D646" s="2">
        <f ca="1">INDEX(Simulations!$A$1:$BK$2501, 646, MATCH("SynMargin", Simulations!$A$1:$BK$1, 0))</f>
        <v>2.487794239599125E-3</v>
      </c>
      <c r="E646" s="2">
        <f ca="1">INDEX(Simulations!$A$1:$BK$2501, 646, MATCH("Yr1Shock", Simulations!$A$1:$BK$1, 0))</f>
        <v>-2.8822643339425986E-2</v>
      </c>
    </row>
    <row r="647" spans="1:5" x14ac:dyDescent="0.3">
      <c r="A647" s="2">
        <f ca="1">INDEX(Simulations!$A$1:$BK$2501, 647, MATCH("PurchaseMultiple", Simulations!$A$1:$BK$1, 0))</f>
        <v>6.8908123583594838</v>
      </c>
      <c r="B647" s="2">
        <f ca="1">INDEX(Simulations!$A$1:$BK$2501, 647, MATCH("ExitMultiple", Simulations!$A$1:$BK$1, 0))</f>
        <v>7.2736315252268655</v>
      </c>
      <c r="C647" s="2">
        <f ca="1">INDEX(Simulations!$A$1:$BK$2501, 647, MATCH("RevCAGR", Simulations!$A$1:$BK$1, 0))</f>
        <v>3.8148332928089099E-2</v>
      </c>
      <c r="D647" s="2">
        <f ca="1">INDEX(Simulations!$A$1:$BK$2501, 647, MATCH("SynMargin", Simulations!$A$1:$BK$1, 0))</f>
        <v>9.40377215797371E-3</v>
      </c>
      <c r="E647" s="2">
        <f ca="1">INDEX(Simulations!$A$1:$BK$2501, 647, MATCH("Yr1Shock", Simulations!$A$1:$BK$1, 0))</f>
        <v>-5.0386372784693547E-3</v>
      </c>
    </row>
    <row r="648" spans="1:5" x14ac:dyDescent="0.3">
      <c r="A648" s="2">
        <f ca="1">INDEX(Simulations!$A$1:$BK$2501, 648, MATCH("PurchaseMultiple", Simulations!$A$1:$BK$1, 0))</f>
        <v>7.0972752667193788</v>
      </c>
      <c r="B648" s="2">
        <f ca="1">INDEX(Simulations!$A$1:$BK$2501, 648, MATCH("ExitMultiple", Simulations!$A$1:$BK$1, 0))</f>
        <v>8.005300682413008</v>
      </c>
      <c r="C648" s="2">
        <f ca="1">INDEX(Simulations!$A$1:$BK$2501, 648, MATCH("RevCAGR", Simulations!$A$1:$BK$1, 0))</f>
        <v>3.5275345371086959E-2</v>
      </c>
      <c r="D648" s="2">
        <f ca="1">INDEX(Simulations!$A$1:$BK$2501, 648, MATCH("SynMargin", Simulations!$A$1:$BK$1, 0))</f>
        <v>1.713330339797486E-2</v>
      </c>
      <c r="E648" s="2">
        <f ca="1">INDEX(Simulations!$A$1:$BK$2501, 648, MATCH("Yr1Shock", Simulations!$A$1:$BK$1, 0))</f>
        <v>-2.584369743540961E-2</v>
      </c>
    </row>
    <row r="649" spans="1:5" x14ac:dyDescent="0.3">
      <c r="A649" s="2">
        <f ca="1">INDEX(Simulations!$A$1:$BK$2501, 649, MATCH("PurchaseMultiple", Simulations!$A$1:$BK$1, 0))</f>
        <v>6.8845823465401459</v>
      </c>
      <c r="B649" s="2">
        <f ca="1">INDEX(Simulations!$A$1:$BK$2501, 649, MATCH("ExitMultiple", Simulations!$A$1:$BK$1, 0))</f>
        <v>7.7227573907113154</v>
      </c>
      <c r="C649" s="2">
        <f ca="1">INDEX(Simulations!$A$1:$BK$2501, 649, MATCH("RevCAGR", Simulations!$A$1:$BK$1, 0))</f>
        <v>6.186114256665888E-2</v>
      </c>
      <c r="D649" s="2">
        <f ca="1">INDEX(Simulations!$A$1:$BK$2501, 649, MATCH("SynMargin", Simulations!$A$1:$BK$1, 0))</f>
        <v>1.3169694886788378E-2</v>
      </c>
      <c r="E649" s="2">
        <f ca="1">INDEX(Simulations!$A$1:$BK$2501, 649, MATCH("Yr1Shock", Simulations!$A$1:$BK$1, 0))</f>
        <v>-3.0108908448490849E-2</v>
      </c>
    </row>
    <row r="650" spans="1:5" x14ac:dyDescent="0.3">
      <c r="A650" s="2">
        <f ca="1">INDEX(Simulations!$A$1:$BK$2501, 650, MATCH("PurchaseMultiple", Simulations!$A$1:$BK$1, 0))</f>
        <v>6.8707832187501836</v>
      </c>
      <c r="B650" s="2">
        <f ca="1">INDEX(Simulations!$A$1:$BK$2501, 650, MATCH("ExitMultiple", Simulations!$A$1:$BK$1, 0))</f>
        <v>7.8274553361141788</v>
      </c>
      <c r="C650" s="2">
        <f ca="1">INDEX(Simulations!$A$1:$BK$2501, 650, MATCH("RevCAGR", Simulations!$A$1:$BK$1, 0))</f>
        <v>-1.0730478891686289E-2</v>
      </c>
      <c r="D650" s="2">
        <f ca="1">INDEX(Simulations!$A$1:$BK$2501, 650, MATCH("SynMargin", Simulations!$A$1:$BK$1, 0))</f>
        <v>1.0235574780972451E-2</v>
      </c>
      <c r="E650" s="2">
        <f ca="1">INDEX(Simulations!$A$1:$BK$2501, 650, MATCH("Yr1Shock", Simulations!$A$1:$BK$1, 0))</f>
        <v>6.339993303021511E-3</v>
      </c>
    </row>
    <row r="651" spans="1:5" x14ac:dyDescent="0.3">
      <c r="A651" s="2">
        <f ca="1">INDEX(Simulations!$A$1:$BK$2501, 651, MATCH("PurchaseMultiple", Simulations!$A$1:$BK$1, 0))</f>
        <v>7.1018270442907028</v>
      </c>
      <c r="B651" s="2">
        <f ca="1">INDEX(Simulations!$A$1:$BK$2501, 651, MATCH("ExitMultiple", Simulations!$A$1:$BK$1, 0))</f>
        <v>7.2920406724444318</v>
      </c>
      <c r="C651" s="2">
        <f ca="1">INDEX(Simulations!$A$1:$BK$2501, 651, MATCH("RevCAGR", Simulations!$A$1:$BK$1, 0))</f>
        <v>2.9473075086003005E-2</v>
      </c>
      <c r="D651" s="2">
        <f ca="1">INDEX(Simulations!$A$1:$BK$2501, 651, MATCH("SynMargin", Simulations!$A$1:$BK$1, 0))</f>
        <v>1.9639432270861054E-2</v>
      </c>
      <c r="E651" s="2">
        <f ca="1">INDEX(Simulations!$A$1:$BK$2501, 651, MATCH("Yr1Shock", Simulations!$A$1:$BK$1, 0))</f>
        <v>3.327069107068762E-2</v>
      </c>
    </row>
    <row r="652" spans="1:5" x14ac:dyDescent="0.3">
      <c r="A652" s="2">
        <f ca="1">INDEX(Simulations!$A$1:$BK$2501, 652, MATCH("PurchaseMultiple", Simulations!$A$1:$BK$1, 0))</f>
        <v>6.5286540957301069</v>
      </c>
      <c r="B652" s="2">
        <f ca="1">INDEX(Simulations!$A$1:$BK$2501, 652, MATCH("ExitMultiple", Simulations!$A$1:$BK$1, 0))</f>
        <v>7.3038663688806347</v>
      </c>
      <c r="C652" s="2">
        <f ca="1">INDEX(Simulations!$A$1:$BK$2501, 652, MATCH("RevCAGR", Simulations!$A$1:$BK$1, 0))</f>
        <v>4.1632773500691424E-2</v>
      </c>
      <c r="D652" s="2">
        <f ca="1">INDEX(Simulations!$A$1:$BK$2501, 652, MATCH("SynMargin", Simulations!$A$1:$BK$1, 0))</f>
        <v>7.8763772991876854E-3</v>
      </c>
      <c r="E652" s="2">
        <f ca="1">INDEX(Simulations!$A$1:$BK$2501, 652, MATCH("Yr1Shock", Simulations!$A$1:$BK$1, 0))</f>
        <v>-1.4133934215422466E-3</v>
      </c>
    </row>
    <row r="653" spans="1:5" x14ac:dyDescent="0.3">
      <c r="A653" s="2">
        <f ca="1">INDEX(Simulations!$A$1:$BK$2501, 653, MATCH("PurchaseMultiple", Simulations!$A$1:$BK$1, 0))</f>
        <v>7.1769427335431768</v>
      </c>
      <c r="B653" s="2">
        <f ca="1">INDEX(Simulations!$A$1:$BK$2501, 653, MATCH("ExitMultiple", Simulations!$A$1:$BK$1, 0))</f>
        <v>7.672470668561286</v>
      </c>
      <c r="C653" s="2">
        <f ca="1">INDEX(Simulations!$A$1:$BK$2501, 653, MATCH("RevCAGR", Simulations!$A$1:$BK$1, 0))</f>
        <v>6.0293836823078019E-2</v>
      </c>
      <c r="D653" s="2">
        <f ca="1">INDEX(Simulations!$A$1:$BK$2501, 653, MATCH("SynMargin", Simulations!$A$1:$BK$1, 0))</f>
        <v>1.5039206283927617E-2</v>
      </c>
      <c r="E653" s="2">
        <f ca="1">INDEX(Simulations!$A$1:$BK$2501, 653, MATCH("Yr1Shock", Simulations!$A$1:$BK$1, 0))</f>
        <v>-1.1718691374271631E-2</v>
      </c>
    </row>
    <row r="654" spans="1:5" x14ac:dyDescent="0.3">
      <c r="A654" s="2">
        <f ca="1">INDEX(Simulations!$A$1:$BK$2501, 654, MATCH("PurchaseMultiple", Simulations!$A$1:$BK$1, 0))</f>
        <v>6.2736380218515269</v>
      </c>
      <c r="B654" s="2">
        <f ca="1">INDEX(Simulations!$A$1:$BK$2501, 654, MATCH("ExitMultiple", Simulations!$A$1:$BK$1, 0))</f>
        <v>7.1055464919273179</v>
      </c>
      <c r="C654" s="2">
        <f ca="1">INDEX(Simulations!$A$1:$BK$2501, 654, MATCH("RevCAGR", Simulations!$A$1:$BK$1, 0))</f>
        <v>2.7400174576256351E-2</v>
      </c>
      <c r="D654" s="2">
        <f ca="1">INDEX(Simulations!$A$1:$BK$2501, 654, MATCH("SynMargin", Simulations!$A$1:$BK$1, 0))</f>
        <v>6.7110580971866968E-3</v>
      </c>
      <c r="E654" s="2">
        <f ca="1">INDEX(Simulations!$A$1:$BK$2501, 654, MATCH("Yr1Shock", Simulations!$A$1:$BK$1, 0))</f>
        <v>-3.7088427142080382E-2</v>
      </c>
    </row>
    <row r="655" spans="1:5" x14ac:dyDescent="0.3">
      <c r="A655" s="2">
        <f ca="1">INDEX(Simulations!$A$1:$BK$2501, 655, MATCH("PurchaseMultiple", Simulations!$A$1:$BK$1, 0))</f>
        <v>6.8782037268355545</v>
      </c>
      <c r="B655" s="2">
        <f ca="1">INDEX(Simulations!$A$1:$BK$2501, 655, MATCH("ExitMultiple", Simulations!$A$1:$BK$1, 0))</f>
        <v>7.7632686115582112</v>
      </c>
      <c r="C655" s="2">
        <f ca="1">INDEX(Simulations!$A$1:$BK$2501, 655, MATCH("RevCAGR", Simulations!$A$1:$BK$1, 0))</f>
        <v>7.4224527860419498E-2</v>
      </c>
      <c r="D655" s="2">
        <f ca="1">INDEX(Simulations!$A$1:$BK$2501, 655, MATCH("SynMargin", Simulations!$A$1:$BK$1, 0))</f>
        <v>8.3007383124910315E-3</v>
      </c>
      <c r="E655" s="2">
        <f ca="1">INDEX(Simulations!$A$1:$BK$2501, 655, MATCH("Yr1Shock", Simulations!$A$1:$BK$1, 0))</f>
        <v>-3.2696013339302121E-3</v>
      </c>
    </row>
    <row r="656" spans="1:5" x14ac:dyDescent="0.3">
      <c r="A656" s="2">
        <f ca="1">INDEX(Simulations!$A$1:$BK$2501, 656, MATCH("PurchaseMultiple", Simulations!$A$1:$BK$1, 0))</f>
        <v>7.1228278452427389</v>
      </c>
      <c r="B656" s="2">
        <f ca="1">INDEX(Simulations!$A$1:$BK$2501, 656, MATCH("ExitMultiple", Simulations!$A$1:$BK$1, 0))</f>
        <v>7.0328294078447522</v>
      </c>
      <c r="C656" s="2">
        <f ca="1">INDEX(Simulations!$A$1:$BK$2501, 656, MATCH("RevCAGR", Simulations!$A$1:$BK$1, 0))</f>
        <v>1.0327462365546686E-2</v>
      </c>
      <c r="D656" s="2">
        <f ca="1">INDEX(Simulations!$A$1:$BK$2501, 656, MATCH("SynMargin", Simulations!$A$1:$BK$1, 0))</f>
        <v>1.7518139611965616E-2</v>
      </c>
      <c r="E656" s="2">
        <f ca="1">INDEX(Simulations!$A$1:$BK$2501, 656, MATCH("Yr1Shock", Simulations!$A$1:$BK$1, 0))</f>
        <v>-2.1880964422534717E-3</v>
      </c>
    </row>
    <row r="657" spans="1:5" x14ac:dyDescent="0.3">
      <c r="A657" s="2">
        <f ca="1">INDEX(Simulations!$A$1:$BK$2501, 657, MATCH("PurchaseMultiple", Simulations!$A$1:$BK$1, 0))</f>
        <v>6.756902437619198</v>
      </c>
      <c r="B657" s="2">
        <f ca="1">INDEX(Simulations!$A$1:$BK$2501, 657, MATCH("ExitMultiple", Simulations!$A$1:$BK$1, 0))</f>
        <v>7.6221572619185123</v>
      </c>
      <c r="C657" s="2">
        <f ca="1">INDEX(Simulations!$A$1:$BK$2501, 657, MATCH("RevCAGR", Simulations!$A$1:$BK$1, 0))</f>
        <v>2.676815029243601E-2</v>
      </c>
      <c r="D657" s="2">
        <f ca="1">INDEX(Simulations!$A$1:$BK$2501, 657, MATCH("SynMargin", Simulations!$A$1:$BK$1, 0))</f>
        <v>9.0068714844563844E-4</v>
      </c>
      <c r="E657" s="2">
        <f ca="1">INDEX(Simulations!$A$1:$BK$2501, 657, MATCH("Yr1Shock", Simulations!$A$1:$BK$1, 0))</f>
        <v>5.1183740625351951E-3</v>
      </c>
    </row>
    <row r="658" spans="1:5" x14ac:dyDescent="0.3">
      <c r="A658" s="2">
        <f ca="1">INDEX(Simulations!$A$1:$BK$2501, 658, MATCH("PurchaseMultiple", Simulations!$A$1:$BK$1, 0))</f>
        <v>6.939991546903415</v>
      </c>
      <c r="B658" s="2">
        <f ca="1">INDEX(Simulations!$A$1:$BK$2501, 658, MATCH("ExitMultiple", Simulations!$A$1:$BK$1, 0))</f>
        <v>6.9990741685778488</v>
      </c>
      <c r="C658" s="2">
        <f ca="1">INDEX(Simulations!$A$1:$BK$2501, 658, MATCH("RevCAGR", Simulations!$A$1:$BK$1, 0))</f>
        <v>-1.609716369561455E-2</v>
      </c>
      <c r="D658" s="2">
        <f ca="1">INDEX(Simulations!$A$1:$BK$2501, 658, MATCH("SynMargin", Simulations!$A$1:$BK$1, 0))</f>
        <v>9.2021747280160455E-3</v>
      </c>
      <c r="E658" s="2">
        <f ca="1">INDEX(Simulations!$A$1:$BK$2501, 658, MATCH("Yr1Shock", Simulations!$A$1:$BK$1, 0))</f>
        <v>-2.4856027972586826E-2</v>
      </c>
    </row>
    <row r="659" spans="1:5" x14ac:dyDescent="0.3">
      <c r="A659" s="2">
        <f ca="1">INDEX(Simulations!$A$1:$BK$2501, 659, MATCH("PurchaseMultiple", Simulations!$A$1:$BK$1, 0))</f>
        <v>6.1984888034368293</v>
      </c>
      <c r="B659" s="2">
        <f ca="1">INDEX(Simulations!$A$1:$BK$2501, 659, MATCH("ExitMultiple", Simulations!$A$1:$BK$1, 0))</f>
        <v>7.7610937869342171</v>
      </c>
      <c r="C659" s="2">
        <f ca="1">INDEX(Simulations!$A$1:$BK$2501, 659, MATCH("RevCAGR", Simulations!$A$1:$BK$1, 0))</f>
        <v>-1.7962694287600861E-4</v>
      </c>
      <c r="D659" s="2">
        <f ca="1">INDEX(Simulations!$A$1:$BK$2501, 659, MATCH("SynMargin", Simulations!$A$1:$BK$1, 0))</f>
        <v>1.7161938332994984E-2</v>
      </c>
      <c r="E659" s="2">
        <f ca="1">INDEX(Simulations!$A$1:$BK$2501, 659, MATCH("Yr1Shock", Simulations!$A$1:$BK$1, 0))</f>
        <v>4.2437344811639584E-2</v>
      </c>
    </row>
    <row r="660" spans="1:5" x14ac:dyDescent="0.3">
      <c r="A660" s="2">
        <f ca="1">INDEX(Simulations!$A$1:$BK$2501, 660, MATCH("PurchaseMultiple", Simulations!$A$1:$BK$1, 0))</f>
        <v>7.515064182886892</v>
      </c>
      <c r="B660" s="2">
        <f ca="1">INDEX(Simulations!$A$1:$BK$2501, 660, MATCH("ExitMultiple", Simulations!$A$1:$BK$1, 0))</f>
        <v>7.2729970922531813</v>
      </c>
      <c r="C660" s="2">
        <f ca="1">INDEX(Simulations!$A$1:$BK$2501, 660, MATCH("RevCAGR", Simulations!$A$1:$BK$1, 0))</f>
        <v>2.2057917761150299E-2</v>
      </c>
      <c r="D660" s="2">
        <f ca="1">INDEX(Simulations!$A$1:$BK$2501, 660, MATCH("SynMargin", Simulations!$A$1:$BK$1, 0))</f>
        <v>1.2738246720363014E-2</v>
      </c>
      <c r="E660" s="2">
        <f ca="1">INDEX(Simulations!$A$1:$BK$2501, 660, MATCH("Yr1Shock", Simulations!$A$1:$BK$1, 0))</f>
        <v>3.9831947371952283E-3</v>
      </c>
    </row>
    <row r="661" spans="1:5" x14ac:dyDescent="0.3">
      <c r="A661" s="2">
        <f ca="1">INDEX(Simulations!$A$1:$BK$2501, 661, MATCH("PurchaseMultiple", Simulations!$A$1:$BK$1, 0))</f>
        <v>6.4910399211060907</v>
      </c>
      <c r="B661" s="2">
        <f ca="1">INDEX(Simulations!$A$1:$BK$2501, 661, MATCH("ExitMultiple", Simulations!$A$1:$BK$1, 0))</f>
        <v>7.7107154031487823</v>
      </c>
      <c r="C661" s="2">
        <f ca="1">INDEX(Simulations!$A$1:$BK$2501, 661, MATCH("RevCAGR", Simulations!$A$1:$BK$1, 0))</f>
        <v>3.9141017219117148E-2</v>
      </c>
      <c r="D661" s="2">
        <f ca="1">INDEX(Simulations!$A$1:$BK$2501, 661, MATCH("SynMargin", Simulations!$A$1:$BK$1, 0))</f>
        <v>1.1505199143100803E-2</v>
      </c>
      <c r="E661" s="2">
        <f ca="1">INDEX(Simulations!$A$1:$BK$2501, 661, MATCH("Yr1Shock", Simulations!$A$1:$BK$1, 0))</f>
        <v>1.6057246949424543E-2</v>
      </c>
    </row>
    <row r="662" spans="1:5" x14ac:dyDescent="0.3">
      <c r="A662" s="2">
        <f ca="1">INDEX(Simulations!$A$1:$BK$2501, 662, MATCH("PurchaseMultiple", Simulations!$A$1:$BK$1, 0))</f>
        <v>7.6724099420462357</v>
      </c>
      <c r="B662" s="2">
        <f ca="1">INDEX(Simulations!$A$1:$BK$2501, 662, MATCH("ExitMultiple", Simulations!$A$1:$BK$1, 0))</f>
        <v>7.7487389738818875</v>
      </c>
      <c r="C662" s="2">
        <f ca="1">INDEX(Simulations!$A$1:$BK$2501, 662, MATCH("RevCAGR", Simulations!$A$1:$BK$1, 0))</f>
        <v>2.6114714413866622E-2</v>
      </c>
      <c r="D662" s="2">
        <f ca="1">INDEX(Simulations!$A$1:$BK$2501, 662, MATCH("SynMargin", Simulations!$A$1:$BK$1, 0))</f>
        <v>1.3566398505922197E-2</v>
      </c>
      <c r="E662" s="2">
        <f ca="1">INDEX(Simulations!$A$1:$BK$2501, 662, MATCH("Yr1Shock", Simulations!$A$1:$BK$1, 0))</f>
        <v>-2.9629464198116861E-2</v>
      </c>
    </row>
    <row r="663" spans="1:5" x14ac:dyDescent="0.3">
      <c r="A663" s="2">
        <f ca="1">INDEX(Simulations!$A$1:$BK$2501, 663, MATCH("PurchaseMultiple", Simulations!$A$1:$BK$1, 0))</f>
        <v>6.4415058848532905</v>
      </c>
      <c r="B663" s="2">
        <f ca="1">INDEX(Simulations!$A$1:$BK$2501, 663, MATCH("ExitMultiple", Simulations!$A$1:$BK$1, 0))</f>
        <v>8.222492149964685</v>
      </c>
      <c r="C663" s="2">
        <f ca="1">INDEX(Simulations!$A$1:$BK$2501, 663, MATCH("RevCAGR", Simulations!$A$1:$BK$1, 0))</f>
        <v>3.4532449599212423E-2</v>
      </c>
      <c r="D663" s="2">
        <f ca="1">INDEX(Simulations!$A$1:$BK$2501, 663, MATCH("SynMargin", Simulations!$A$1:$BK$1, 0))</f>
        <v>3.8771358080647855E-3</v>
      </c>
      <c r="E663" s="2">
        <f ca="1">INDEX(Simulations!$A$1:$BK$2501, 663, MATCH("Yr1Shock", Simulations!$A$1:$BK$1, 0))</f>
        <v>-3.3816691452185542E-2</v>
      </c>
    </row>
    <row r="664" spans="1:5" x14ac:dyDescent="0.3">
      <c r="A664" s="2">
        <f ca="1">INDEX(Simulations!$A$1:$BK$2501, 664, MATCH("PurchaseMultiple", Simulations!$A$1:$BK$1, 0))</f>
        <v>7.3236879287141301</v>
      </c>
      <c r="B664" s="2">
        <f ca="1">INDEX(Simulations!$A$1:$BK$2501, 664, MATCH("ExitMultiple", Simulations!$A$1:$BK$1, 0))</f>
        <v>7.6659338221983244</v>
      </c>
      <c r="C664" s="2">
        <f ca="1">INDEX(Simulations!$A$1:$BK$2501, 664, MATCH("RevCAGR", Simulations!$A$1:$BK$1, 0))</f>
        <v>1.4093600914042971E-2</v>
      </c>
      <c r="D664" s="2">
        <f ca="1">INDEX(Simulations!$A$1:$BK$2501, 664, MATCH("SynMargin", Simulations!$A$1:$BK$1, 0))</f>
        <v>1.0746996830179644E-2</v>
      </c>
      <c r="E664" s="2">
        <f ca="1">INDEX(Simulations!$A$1:$BK$2501, 664, MATCH("Yr1Shock", Simulations!$A$1:$BK$1, 0))</f>
        <v>-4.1187781250904025E-3</v>
      </c>
    </row>
    <row r="665" spans="1:5" x14ac:dyDescent="0.3">
      <c r="A665" s="2">
        <f ca="1">INDEX(Simulations!$A$1:$BK$2501, 665, MATCH("PurchaseMultiple", Simulations!$A$1:$BK$1, 0))</f>
        <v>7.4957006898157603</v>
      </c>
      <c r="B665" s="2">
        <f ca="1">INDEX(Simulations!$A$1:$BK$2501, 665, MATCH("ExitMultiple", Simulations!$A$1:$BK$1, 0))</f>
        <v>7.8735335966944682</v>
      </c>
      <c r="C665" s="2">
        <f ca="1">INDEX(Simulations!$A$1:$BK$2501, 665, MATCH("RevCAGR", Simulations!$A$1:$BK$1, 0))</f>
        <v>5.3755426546974724E-2</v>
      </c>
      <c r="D665" s="2">
        <f ca="1">INDEX(Simulations!$A$1:$BK$2501, 665, MATCH("SynMargin", Simulations!$A$1:$BK$1, 0))</f>
        <v>1.6960658662543218E-2</v>
      </c>
      <c r="E665" s="2">
        <f ca="1">INDEX(Simulations!$A$1:$BK$2501, 665, MATCH("Yr1Shock", Simulations!$A$1:$BK$1, 0))</f>
        <v>1.2891720894962056E-2</v>
      </c>
    </row>
    <row r="666" spans="1:5" x14ac:dyDescent="0.3">
      <c r="A666" s="2">
        <f ca="1">INDEX(Simulations!$A$1:$BK$2501, 666, MATCH("PurchaseMultiple", Simulations!$A$1:$BK$1, 0))</f>
        <v>7.1074722730111368</v>
      </c>
      <c r="B666" s="2">
        <f ca="1">INDEX(Simulations!$A$1:$BK$2501, 666, MATCH("ExitMultiple", Simulations!$A$1:$BK$1, 0))</f>
        <v>7.330829953635849</v>
      </c>
      <c r="C666" s="2">
        <f ca="1">INDEX(Simulations!$A$1:$BK$2501, 666, MATCH("RevCAGR", Simulations!$A$1:$BK$1, 0))</f>
        <v>7.9855996847812638E-2</v>
      </c>
      <c r="D666" s="2">
        <f ca="1">INDEX(Simulations!$A$1:$BK$2501, 666, MATCH("SynMargin", Simulations!$A$1:$BK$1, 0))</f>
        <v>1.6079018316636714E-2</v>
      </c>
      <c r="E666" s="2">
        <f ca="1">INDEX(Simulations!$A$1:$BK$2501, 666, MATCH("Yr1Shock", Simulations!$A$1:$BK$1, 0))</f>
        <v>2.8550447541543385E-3</v>
      </c>
    </row>
    <row r="667" spans="1:5" x14ac:dyDescent="0.3">
      <c r="A667" s="2">
        <f ca="1">INDEX(Simulations!$A$1:$BK$2501, 667, MATCH("PurchaseMultiple", Simulations!$A$1:$BK$1, 0))</f>
        <v>7.0522779050083395</v>
      </c>
      <c r="B667" s="2">
        <f ca="1">INDEX(Simulations!$A$1:$BK$2501, 667, MATCH("ExitMultiple", Simulations!$A$1:$BK$1, 0))</f>
        <v>7.2385821618267796</v>
      </c>
      <c r="C667" s="2">
        <f ca="1">INDEX(Simulations!$A$1:$BK$2501, 667, MATCH("RevCAGR", Simulations!$A$1:$BK$1, 0))</f>
        <v>-8.4095939409001147E-3</v>
      </c>
      <c r="D667" s="2">
        <f ca="1">INDEX(Simulations!$A$1:$BK$2501, 667, MATCH("SynMargin", Simulations!$A$1:$BK$1, 0))</f>
        <v>1.9085415711883075E-2</v>
      </c>
      <c r="E667" s="2">
        <f ca="1">INDEX(Simulations!$A$1:$BK$2501, 667, MATCH("Yr1Shock", Simulations!$A$1:$BK$1, 0))</f>
        <v>4.7915549152892208E-2</v>
      </c>
    </row>
    <row r="668" spans="1:5" x14ac:dyDescent="0.3">
      <c r="A668" s="2">
        <f ca="1">INDEX(Simulations!$A$1:$BK$2501, 668, MATCH("PurchaseMultiple", Simulations!$A$1:$BK$1, 0))</f>
        <v>6.4279741128344705</v>
      </c>
      <c r="B668" s="2">
        <f ca="1">INDEX(Simulations!$A$1:$BK$2501, 668, MATCH("ExitMultiple", Simulations!$A$1:$BK$1, 0))</f>
        <v>6.8985868363716047</v>
      </c>
      <c r="C668" s="2">
        <f ca="1">INDEX(Simulations!$A$1:$BK$2501, 668, MATCH("RevCAGR", Simulations!$A$1:$BK$1, 0))</f>
        <v>3.2510129228546611E-2</v>
      </c>
      <c r="D668" s="2">
        <f ca="1">INDEX(Simulations!$A$1:$BK$2501, 668, MATCH("SynMargin", Simulations!$A$1:$BK$1, 0))</f>
        <v>8.5378289336913819E-4</v>
      </c>
      <c r="E668" s="2">
        <f ca="1">INDEX(Simulations!$A$1:$BK$2501, 668, MATCH("Yr1Shock", Simulations!$A$1:$BK$1, 0))</f>
        <v>1.9777428727434151E-2</v>
      </c>
    </row>
    <row r="669" spans="1:5" x14ac:dyDescent="0.3">
      <c r="A669" s="2">
        <f ca="1">INDEX(Simulations!$A$1:$BK$2501, 669, MATCH("PurchaseMultiple", Simulations!$A$1:$BK$1, 0))</f>
        <v>6.8368354025422011</v>
      </c>
      <c r="B669" s="2">
        <f ca="1">INDEX(Simulations!$A$1:$BK$2501, 669, MATCH("ExitMultiple", Simulations!$A$1:$BK$1, 0))</f>
        <v>7.5023127195523118</v>
      </c>
      <c r="C669" s="2">
        <f ca="1">INDEX(Simulations!$A$1:$BK$2501, 669, MATCH("RevCAGR", Simulations!$A$1:$BK$1, 0))</f>
        <v>0.1037116376376242</v>
      </c>
      <c r="D669" s="2">
        <f ca="1">INDEX(Simulations!$A$1:$BK$2501, 669, MATCH("SynMargin", Simulations!$A$1:$BK$1, 0))</f>
        <v>7.3488366910967207E-3</v>
      </c>
      <c r="E669" s="2">
        <f ca="1">INDEX(Simulations!$A$1:$BK$2501, 669, MATCH("Yr1Shock", Simulations!$A$1:$BK$1, 0))</f>
        <v>4.0500279196799785E-2</v>
      </c>
    </row>
    <row r="670" spans="1:5" x14ac:dyDescent="0.3">
      <c r="A670" s="2">
        <f ca="1">INDEX(Simulations!$A$1:$BK$2501, 670, MATCH("PurchaseMultiple", Simulations!$A$1:$BK$1, 0))</f>
        <v>7.1158306144462724</v>
      </c>
      <c r="B670" s="2">
        <f ca="1">INDEX(Simulations!$A$1:$BK$2501, 670, MATCH("ExitMultiple", Simulations!$A$1:$BK$1, 0))</f>
        <v>7.7650238174003903</v>
      </c>
      <c r="C670" s="2">
        <f ca="1">INDEX(Simulations!$A$1:$BK$2501, 670, MATCH("RevCAGR", Simulations!$A$1:$BK$1, 0))</f>
        <v>5.4333383526183408E-2</v>
      </c>
      <c r="D670" s="2">
        <f ca="1">INDEX(Simulations!$A$1:$BK$2501, 670, MATCH("SynMargin", Simulations!$A$1:$BK$1, 0))</f>
        <v>7.0094415683952718E-3</v>
      </c>
      <c r="E670" s="2">
        <f ca="1">INDEX(Simulations!$A$1:$BK$2501, 670, MATCH("Yr1Shock", Simulations!$A$1:$BK$1, 0))</f>
        <v>-4.2240488432931739E-2</v>
      </c>
    </row>
    <row r="671" spans="1:5" x14ac:dyDescent="0.3">
      <c r="A671" s="2">
        <f ca="1">INDEX(Simulations!$A$1:$BK$2501, 671, MATCH("PurchaseMultiple", Simulations!$A$1:$BK$1, 0))</f>
        <v>7.8129579245002123</v>
      </c>
      <c r="B671" s="2">
        <f ca="1">INDEX(Simulations!$A$1:$BK$2501, 671, MATCH("ExitMultiple", Simulations!$A$1:$BK$1, 0))</f>
        <v>8.0945678334942297</v>
      </c>
      <c r="C671" s="2">
        <f ca="1">INDEX(Simulations!$A$1:$BK$2501, 671, MATCH("RevCAGR", Simulations!$A$1:$BK$1, 0))</f>
        <v>6.9505882202504837E-2</v>
      </c>
      <c r="D671" s="2">
        <f ca="1">INDEX(Simulations!$A$1:$BK$2501, 671, MATCH("SynMargin", Simulations!$A$1:$BK$1, 0))</f>
        <v>1.4827667815519228E-2</v>
      </c>
      <c r="E671" s="2">
        <f ca="1">INDEX(Simulations!$A$1:$BK$2501, 671, MATCH("Yr1Shock", Simulations!$A$1:$BK$1, 0))</f>
        <v>-1.1274760625506261E-2</v>
      </c>
    </row>
    <row r="672" spans="1:5" x14ac:dyDescent="0.3">
      <c r="A672" s="2">
        <f ca="1">INDEX(Simulations!$A$1:$BK$2501, 672, MATCH("PurchaseMultiple", Simulations!$A$1:$BK$1, 0))</f>
        <v>7.274852294784945</v>
      </c>
      <c r="B672" s="2">
        <f ca="1">INDEX(Simulations!$A$1:$BK$2501, 672, MATCH("ExitMultiple", Simulations!$A$1:$BK$1, 0))</f>
        <v>7.3788344303207767</v>
      </c>
      <c r="C672" s="2">
        <f ca="1">INDEX(Simulations!$A$1:$BK$2501, 672, MATCH("RevCAGR", Simulations!$A$1:$BK$1, 0))</f>
        <v>3.5774285911005357E-2</v>
      </c>
      <c r="D672" s="2">
        <f ca="1">INDEX(Simulations!$A$1:$BK$2501, 672, MATCH("SynMargin", Simulations!$A$1:$BK$1, 0))</f>
        <v>1.5541228267277043E-2</v>
      </c>
      <c r="E672" s="2">
        <f ca="1">INDEX(Simulations!$A$1:$BK$2501, 672, MATCH("Yr1Shock", Simulations!$A$1:$BK$1, 0))</f>
        <v>-2.0896678155391743E-3</v>
      </c>
    </row>
    <row r="673" spans="1:5" x14ac:dyDescent="0.3">
      <c r="A673" s="2">
        <f ca="1">INDEX(Simulations!$A$1:$BK$2501, 673, MATCH("PurchaseMultiple", Simulations!$A$1:$BK$1, 0))</f>
        <v>6.8979216873155265</v>
      </c>
      <c r="B673" s="2">
        <f ca="1">INDEX(Simulations!$A$1:$BK$2501, 673, MATCH("ExitMultiple", Simulations!$A$1:$BK$1, 0))</f>
        <v>7.9902164649300591</v>
      </c>
      <c r="C673" s="2">
        <f ca="1">INDEX(Simulations!$A$1:$BK$2501, 673, MATCH("RevCAGR", Simulations!$A$1:$BK$1, 0))</f>
        <v>4.4486369738171494E-2</v>
      </c>
      <c r="D673" s="2">
        <f ca="1">INDEX(Simulations!$A$1:$BK$2501, 673, MATCH("SynMargin", Simulations!$A$1:$BK$1, 0))</f>
        <v>1.2254698238964259E-2</v>
      </c>
      <c r="E673" s="2">
        <f ca="1">INDEX(Simulations!$A$1:$BK$2501, 673, MATCH("Yr1Shock", Simulations!$A$1:$BK$1, 0))</f>
        <v>2.6812970554261909E-2</v>
      </c>
    </row>
    <row r="674" spans="1:5" x14ac:dyDescent="0.3">
      <c r="A674" s="2">
        <f ca="1">INDEX(Simulations!$A$1:$BK$2501, 674, MATCH("PurchaseMultiple", Simulations!$A$1:$BK$1, 0))</f>
        <v>7.2428100116274114</v>
      </c>
      <c r="B674" s="2">
        <f ca="1">INDEX(Simulations!$A$1:$BK$2501, 674, MATCH("ExitMultiple", Simulations!$A$1:$BK$1, 0))</f>
        <v>7.1138517944906559</v>
      </c>
      <c r="C674" s="2">
        <f ca="1">INDEX(Simulations!$A$1:$BK$2501, 674, MATCH("RevCAGR", Simulations!$A$1:$BK$1, 0))</f>
        <v>2.6135229116507588E-2</v>
      </c>
      <c r="D674" s="2">
        <f ca="1">INDEX(Simulations!$A$1:$BK$2501, 674, MATCH("SynMargin", Simulations!$A$1:$BK$1, 0))</f>
        <v>1.2533898578571439E-2</v>
      </c>
      <c r="E674" s="2">
        <f ca="1">INDEX(Simulations!$A$1:$BK$2501, 674, MATCH("Yr1Shock", Simulations!$A$1:$BK$1, 0))</f>
        <v>-2.1557519768567027E-2</v>
      </c>
    </row>
    <row r="675" spans="1:5" x14ac:dyDescent="0.3">
      <c r="A675" s="2">
        <f ca="1">INDEX(Simulations!$A$1:$BK$2501, 675, MATCH("PurchaseMultiple", Simulations!$A$1:$BK$1, 0))</f>
        <v>6.1457023976011866</v>
      </c>
      <c r="B675" s="2">
        <f ca="1">INDEX(Simulations!$A$1:$BK$2501, 675, MATCH("ExitMultiple", Simulations!$A$1:$BK$1, 0))</f>
        <v>7.0027790796953502</v>
      </c>
      <c r="C675" s="2">
        <f ca="1">INDEX(Simulations!$A$1:$BK$2501, 675, MATCH("RevCAGR", Simulations!$A$1:$BK$1, 0))</f>
        <v>-1.7039492976600512E-2</v>
      </c>
      <c r="D675" s="2">
        <f ca="1">INDEX(Simulations!$A$1:$BK$2501, 675, MATCH("SynMargin", Simulations!$A$1:$BK$1, 0))</f>
        <v>2.056557527005215E-2</v>
      </c>
      <c r="E675" s="2">
        <f ca="1">INDEX(Simulations!$A$1:$BK$2501, 675, MATCH("Yr1Shock", Simulations!$A$1:$BK$1, 0))</f>
        <v>3.9475405309138166E-3</v>
      </c>
    </row>
    <row r="676" spans="1:5" x14ac:dyDescent="0.3">
      <c r="A676" s="2">
        <f ca="1">INDEX(Simulations!$A$1:$BK$2501, 676, MATCH("PurchaseMultiple", Simulations!$A$1:$BK$1, 0))</f>
        <v>7.2128574054893688</v>
      </c>
      <c r="B676" s="2">
        <f ca="1">INDEX(Simulations!$A$1:$BK$2501, 676, MATCH("ExitMultiple", Simulations!$A$1:$BK$1, 0))</f>
        <v>7.5815954053843644</v>
      </c>
      <c r="C676" s="2">
        <f ca="1">INDEX(Simulations!$A$1:$BK$2501, 676, MATCH("RevCAGR", Simulations!$A$1:$BK$1, 0))</f>
        <v>4.6294924354055939E-2</v>
      </c>
      <c r="D676" s="2">
        <f ca="1">INDEX(Simulations!$A$1:$BK$2501, 676, MATCH("SynMargin", Simulations!$A$1:$BK$1, 0))</f>
        <v>1.5621396634671939E-2</v>
      </c>
      <c r="E676" s="2">
        <f ca="1">INDEX(Simulations!$A$1:$BK$2501, 676, MATCH("Yr1Shock", Simulations!$A$1:$BK$1, 0))</f>
        <v>-2.1217669310062751E-2</v>
      </c>
    </row>
    <row r="677" spans="1:5" x14ac:dyDescent="0.3">
      <c r="A677" s="2">
        <f ca="1">INDEX(Simulations!$A$1:$BK$2501, 677, MATCH("PurchaseMultiple", Simulations!$A$1:$BK$1, 0))</f>
        <v>6.8371089717817881</v>
      </c>
      <c r="B677" s="2">
        <f ca="1">INDEX(Simulations!$A$1:$BK$2501, 677, MATCH("ExitMultiple", Simulations!$A$1:$BK$1, 0))</f>
        <v>7.8373052967989985</v>
      </c>
      <c r="C677" s="2">
        <f ca="1">INDEX(Simulations!$A$1:$BK$2501, 677, MATCH("RevCAGR", Simulations!$A$1:$BK$1, 0))</f>
        <v>4.0861707990940729E-2</v>
      </c>
      <c r="D677" s="2">
        <f ca="1">INDEX(Simulations!$A$1:$BK$2501, 677, MATCH("SynMargin", Simulations!$A$1:$BK$1, 0))</f>
        <v>7.3975082051087621E-3</v>
      </c>
      <c r="E677" s="2">
        <f ca="1">INDEX(Simulations!$A$1:$BK$2501, 677, MATCH("Yr1Shock", Simulations!$A$1:$BK$1, 0))</f>
        <v>1.841700204419781E-2</v>
      </c>
    </row>
    <row r="678" spans="1:5" x14ac:dyDescent="0.3">
      <c r="A678" s="2">
        <f ca="1">INDEX(Simulations!$A$1:$BK$2501, 678, MATCH("PurchaseMultiple", Simulations!$A$1:$BK$1, 0))</f>
        <v>7.0903338335084767</v>
      </c>
      <c r="B678" s="2">
        <f ca="1">INDEX(Simulations!$A$1:$BK$2501, 678, MATCH("ExitMultiple", Simulations!$A$1:$BK$1, 0))</f>
        <v>7.6365682390622096</v>
      </c>
      <c r="C678" s="2">
        <f ca="1">INDEX(Simulations!$A$1:$BK$2501, 678, MATCH("RevCAGR", Simulations!$A$1:$BK$1, 0))</f>
        <v>3.1986969379025156E-2</v>
      </c>
      <c r="D678" s="2">
        <f ca="1">INDEX(Simulations!$A$1:$BK$2501, 678, MATCH("SynMargin", Simulations!$A$1:$BK$1, 0))</f>
        <v>3.1668692627041207E-3</v>
      </c>
      <c r="E678" s="2">
        <f ca="1">INDEX(Simulations!$A$1:$BK$2501, 678, MATCH("Yr1Shock", Simulations!$A$1:$BK$1, 0))</f>
        <v>-1.8248991323532374E-2</v>
      </c>
    </row>
    <row r="679" spans="1:5" x14ac:dyDescent="0.3">
      <c r="A679" s="2">
        <f ca="1">INDEX(Simulations!$A$1:$BK$2501, 679, MATCH("PurchaseMultiple", Simulations!$A$1:$BK$1, 0))</f>
        <v>6.8690166008343638</v>
      </c>
      <c r="B679" s="2">
        <f ca="1">INDEX(Simulations!$A$1:$BK$2501, 679, MATCH("ExitMultiple", Simulations!$A$1:$BK$1, 0))</f>
        <v>8.0771240183824542</v>
      </c>
      <c r="C679" s="2">
        <f ca="1">INDEX(Simulations!$A$1:$BK$2501, 679, MATCH("RevCAGR", Simulations!$A$1:$BK$1, 0))</f>
        <v>4.7948284351303216E-3</v>
      </c>
      <c r="D679" s="2">
        <f ca="1">INDEX(Simulations!$A$1:$BK$2501, 679, MATCH("SynMargin", Simulations!$A$1:$BK$1, 0))</f>
        <v>8.251302473282934E-3</v>
      </c>
      <c r="E679" s="2">
        <f ca="1">INDEX(Simulations!$A$1:$BK$2501, 679, MATCH("Yr1Shock", Simulations!$A$1:$BK$1, 0))</f>
        <v>5.0481236225450156E-4</v>
      </c>
    </row>
    <row r="680" spans="1:5" x14ac:dyDescent="0.3">
      <c r="A680" s="2">
        <f ca="1">INDEX(Simulations!$A$1:$BK$2501, 680, MATCH("PurchaseMultiple", Simulations!$A$1:$BK$1, 0))</f>
        <v>7.5219203219767259</v>
      </c>
      <c r="B680" s="2">
        <f ca="1">INDEX(Simulations!$A$1:$BK$2501, 680, MATCH("ExitMultiple", Simulations!$A$1:$BK$1, 0))</f>
        <v>8.0255454336343739</v>
      </c>
      <c r="C680" s="2">
        <f ca="1">INDEX(Simulations!$A$1:$BK$2501, 680, MATCH("RevCAGR", Simulations!$A$1:$BK$1, 0))</f>
        <v>3.8275576374248436E-2</v>
      </c>
      <c r="D680" s="2">
        <f ca="1">INDEX(Simulations!$A$1:$BK$2501, 680, MATCH("SynMargin", Simulations!$A$1:$BK$1, 0))</f>
        <v>1.1782773203630217E-2</v>
      </c>
      <c r="E680" s="2">
        <f ca="1">INDEX(Simulations!$A$1:$BK$2501, 680, MATCH("Yr1Shock", Simulations!$A$1:$BK$1, 0))</f>
        <v>-2.6234694255518894E-2</v>
      </c>
    </row>
    <row r="681" spans="1:5" x14ac:dyDescent="0.3">
      <c r="A681" s="2">
        <f ca="1">INDEX(Simulations!$A$1:$BK$2501, 681, MATCH("PurchaseMultiple", Simulations!$A$1:$BK$1, 0))</f>
        <v>6.6988071458880887</v>
      </c>
      <c r="B681" s="2">
        <f ca="1">INDEX(Simulations!$A$1:$BK$2501, 681, MATCH("ExitMultiple", Simulations!$A$1:$BK$1, 0))</f>
        <v>6.716272450500326</v>
      </c>
      <c r="C681" s="2">
        <f ca="1">INDEX(Simulations!$A$1:$BK$2501, 681, MATCH("RevCAGR", Simulations!$A$1:$BK$1, 0))</f>
        <v>3.6094730277398498E-2</v>
      </c>
      <c r="D681" s="2">
        <f ca="1">INDEX(Simulations!$A$1:$BK$2501, 681, MATCH("SynMargin", Simulations!$A$1:$BK$1, 0))</f>
        <v>8.7871640177800588E-3</v>
      </c>
      <c r="E681" s="2">
        <f ca="1">INDEX(Simulations!$A$1:$BK$2501, 681, MATCH("Yr1Shock", Simulations!$A$1:$BK$1, 0))</f>
        <v>-9.8855387360138555E-4</v>
      </c>
    </row>
    <row r="682" spans="1:5" x14ac:dyDescent="0.3">
      <c r="A682" s="2">
        <f ca="1">INDEX(Simulations!$A$1:$BK$2501, 682, MATCH("PurchaseMultiple", Simulations!$A$1:$BK$1, 0))</f>
        <v>6.4934542240980431</v>
      </c>
      <c r="B682" s="2">
        <f ca="1">INDEX(Simulations!$A$1:$BK$2501, 682, MATCH("ExitMultiple", Simulations!$A$1:$BK$1, 0))</f>
        <v>7.2036674758358741</v>
      </c>
      <c r="C682" s="2">
        <f ca="1">INDEX(Simulations!$A$1:$BK$2501, 682, MATCH("RevCAGR", Simulations!$A$1:$BK$1, 0))</f>
        <v>4.248977798263931E-2</v>
      </c>
      <c r="D682" s="2">
        <f ca="1">INDEX(Simulations!$A$1:$BK$2501, 682, MATCH("SynMargin", Simulations!$A$1:$BK$1, 0))</f>
        <v>1.8316508110236024E-2</v>
      </c>
      <c r="E682" s="2">
        <f ca="1">INDEX(Simulations!$A$1:$BK$2501, 682, MATCH("Yr1Shock", Simulations!$A$1:$BK$1, 0))</f>
        <v>1.9097822320914878E-3</v>
      </c>
    </row>
    <row r="683" spans="1:5" x14ac:dyDescent="0.3">
      <c r="A683" s="2">
        <f ca="1">INDEX(Simulations!$A$1:$BK$2501, 683, MATCH("PurchaseMultiple", Simulations!$A$1:$BK$1, 0))</f>
        <v>7.0516435703475659</v>
      </c>
      <c r="B683" s="2">
        <f ca="1">INDEX(Simulations!$A$1:$BK$2501, 683, MATCH("ExitMultiple", Simulations!$A$1:$BK$1, 0))</f>
        <v>7.6836164948007752</v>
      </c>
      <c r="C683" s="2">
        <f ca="1">INDEX(Simulations!$A$1:$BK$2501, 683, MATCH("RevCAGR", Simulations!$A$1:$BK$1, 0))</f>
        <v>1.3178585623618913E-2</v>
      </c>
      <c r="D683" s="2">
        <f ca="1">INDEX(Simulations!$A$1:$BK$2501, 683, MATCH("SynMargin", Simulations!$A$1:$BK$1, 0))</f>
        <v>9.9642315316354462E-3</v>
      </c>
      <c r="E683" s="2">
        <f ca="1">INDEX(Simulations!$A$1:$BK$2501, 683, MATCH("Yr1Shock", Simulations!$A$1:$BK$1, 0))</f>
        <v>-2.3166624386347378E-2</v>
      </c>
    </row>
    <row r="684" spans="1:5" x14ac:dyDescent="0.3">
      <c r="A684" s="2">
        <f ca="1">INDEX(Simulations!$A$1:$BK$2501, 684, MATCH("PurchaseMultiple", Simulations!$A$1:$BK$1, 0))</f>
        <v>6.9396202359247869</v>
      </c>
      <c r="B684" s="2">
        <f ca="1">INDEX(Simulations!$A$1:$BK$2501, 684, MATCH("ExitMultiple", Simulations!$A$1:$BK$1, 0))</f>
        <v>7.4110473979745981</v>
      </c>
      <c r="C684" s="2">
        <f ca="1">INDEX(Simulations!$A$1:$BK$2501, 684, MATCH("RevCAGR", Simulations!$A$1:$BK$1, 0))</f>
        <v>6.5079593207211031E-2</v>
      </c>
      <c r="D684" s="2">
        <f ca="1">INDEX(Simulations!$A$1:$BK$2501, 684, MATCH("SynMargin", Simulations!$A$1:$BK$1, 0))</f>
        <v>4.5365677254624835E-3</v>
      </c>
      <c r="E684" s="2">
        <f ca="1">INDEX(Simulations!$A$1:$BK$2501, 684, MATCH("Yr1Shock", Simulations!$A$1:$BK$1, 0))</f>
        <v>6.5711719766149155E-3</v>
      </c>
    </row>
    <row r="685" spans="1:5" x14ac:dyDescent="0.3">
      <c r="A685" s="2">
        <f ca="1">INDEX(Simulations!$A$1:$BK$2501, 685, MATCH("PurchaseMultiple", Simulations!$A$1:$BK$1, 0))</f>
        <v>6.51929866804314</v>
      </c>
      <c r="B685" s="2">
        <f ca="1">INDEX(Simulations!$A$1:$BK$2501, 685, MATCH("ExitMultiple", Simulations!$A$1:$BK$1, 0))</f>
        <v>7.382584253896014</v>
      </c>
      <c r="C685" s="2">
        <f ca="1">INDEX(Simulations!$A$1:$BK$2501, 685, MATCH("RevCAGR", Simulations!$A$1:$BK$1, 0))</f>
        <v>5.5396265650001122E-2</v>
      </c>
      <c r="D685" s="2">
        <f ca="1">INDEX(Simulations!$A$1:$BK$2501, 685, MATCH("SynMargin", Simulations!$A$1:$BK$1, 0))</f>
        <v>2.2273224158831657E-2</v>
      </c>
      <c r="E685" s="2">
        <f ca="1">INDEX(Simulations!$A$1:$BK$2501, 685, MATCH("Yr1Shock", Simulations!$A$1:$BK$1, 0))</f>
        <v>3.7066631005315048E-3</v>
      </c>
    </row>
    <row r="686" spans="1:5" x14ac:dyDescent="0.3">
      <c r="A686" s="2">
        <f ca="1">INDEX(Simulations!$A$1:$BK$2501, 686, MATCH("PurchaseMultiple", Simulations!$A$1:$BK$1, 0))</f>
        <v>6.7485351894364998</v>
      </c>
      <c r="B686" s="2">
        <f ca="1">INDEX(Simulations!$A$1:$BK$2501, 686, MATCH("ExitMultiple", Simulations!$A$1:$BK$1, 0))</f>
        <v>7.4365820404909071</v>
      </c>
      <c r="C686" s="2">
        <f ca="1">INDEX(Simulations!$A$1:$BK$2501, 686, MATCH("RevCAGR", Simulations!$A$1:$BK$1, 0))</f>
        <v>6.863479470911496E-2</v>
      </c>
      <c r="D686" s="2">
        <f ca="1">INDEX(Simulations!$A$1:$BK$2501, 686, MATCH("SynMargin", Simulations!$A$1:$BK$1, 0))</f>
        <v>1.3820776528885883E-2</v>
      </c>
      <c r="E686" s="2">
        <f ca="1">INDEX(Simulations!$A$1:$BK$2501, 686, MATCH("Yr1Shock", Simulations!$A$1:$BK$1, 0))</f>
        <v>-5.5588563246308075E-3</v>
      </c>
    </row>
    <row r="687" spans="1:5" x14ac:dyDescent="0.3">
      <c r="A687" s="2">
        <f ca="1">INDEX(Simulations!$A$1:$BK$2501, 687, MATCH("PurchaseMultiple", Simulations!$A$1:$BK$1, 0))</f>
        <v>6.8345675233010565</v>
      </c>
      <c r="B687" s="2">
        <f ca="1">INDEX(Simulations!$A$1:$BK$2501, 687, MATCH("ExitMultiple", Simulations!$A$1:$BK$1, 0))</f>
        <v>7.0797131564071689</v>
      </c>
      <c r="C687" s="2">
        <f ca="1">INDEX(Simulations!$A$1:$BK$2501, 687, MATCH("RevCAGR", Simulations!$A$1:$BK$1, 0))</f>
        <v>2.3113046366819167E-2</v>
      </c>
      <c r="D687" s="2">
        <f ca="1">INDEX(Simulations!$A$1:$BK$2501, 687, MATCH("SynMargin", Simulations!$A$1:$BK$1, 0))</f>
        <v>7.8541997638543418E-3</v>
      </c>
      <c r="E687" s="2">
        <f ca="1">INDEX(Simulations!$A$1:$BK$2501, 687, MATCH("Yr1Shock", Simulations!$A$1:$BK$1, 0))</f>
        <v>3.0366493359523456E-3</v>
      </c>
    </row>
    <row r="688" spans="1:5" x14ac:dyDescent="0.3">
      <c r="A688" s="2">
        <f ca="1">INDEX(Simulations!$A$1:$BK$2501, 688, MATCH("PurchaseMultiple", Simulations!$A$1:$BK$1, 0))</f>
        <v>7.360887172854004</v>
      </c>
      <c r="B688" s="2">
        <f ca="1">INDEX(Simulations!$A$1:$BK$2501, 688, MATCH("ExitMultiple", Simulations!$A$1:$BK$1, 0))</f>
        <v>8.1153842569125096</v>
      </c>
      <c r="C688" s="2">
        <f ca="1">INDEX(Simulations!$A$1:$BK$2501, 688, MATCH("RevCAGR", Simulations!$A$1:$BK$1, 0))</f>
        <v>4.8282435576003598E-2</v>
      </c>
      <c r="D688" s="2">
        <f ca="1">INDEX(Simulations!$A$1:$BK$2501, 688, MATCH("SynMargin", Simulations!$A$1:$BK$1, 0))</f>
        <v>1.0273119506167014E-2</v>
      </c>
      <c r="E688" s="2">
        <f ca="1">INDEX(Simulations!$A$1:$BK$2501, 688, MATCH("Yr1Shock", Simulations!$A$1:$BK$1, 0))</f>
        <v>1.1464358739090217E-2</v>
      </c>
    </row>
    <row r="689" spans="1:5" x14ac:dyDescent="0.3">
      <c r="A689" s="2">
        <f ca="1">INDEX(Simulations!$A$1:$BK$2501, 689, MATCH("PurchaseMultiple", Simulations!$A$1:$BK$1, 0))</f>
        <v>6.8934528641147299</v>
      </c>
      <c r="B689" s="2">
        <f ca="1">INDEX(Simulations!$A$1:$BK$2501, 689, MATCH("ExitMultiple", Simulations!$A$1:$BK$1, 0))</f>
        <v>6.5798796225959624</v>
      </c>
      <c r="C689" s="2">
        <f ca="1">INDEX(Simulations!$A$1:$BK$2501, 689, MATCH("RevCAGR", Simulations!$A$1:$BK$1, 0))</f>
        <v>0.10945260923048378</v>
      </c>
      <c r="D689" s="2">
        <f ca="1">INDEX(Simulations!$A$1:$BK$2501, 689, MATCH("SynMargin", Simulations!$A$1:$BK$1, 0))</f>
        <v>1.0147789861623893E-2</v>
      </c>
      <c r="E689" s="2">
        <f ca="1">INDEX(Simulations!$A$1:$BK$2501, 689, MATCH("Yr1Shock", Simulations!$A$1:$BK$1, 0))</f>
        <v>4.0757032696191367E-2</v>
      </c>
    </row>
    <row r="690" spans="1:5" x14ac:dyDescent="0.3">
      <c r="A690" s="2">
        <f ca="1">INDEX(Simulations!$A$1:$BK$2501, 690, MATCH("PurchaseMultiple", Simulations!$A$1:$BK$1, 0))</f>
        <v>6.6101064959987328</v>
      </c>
      <c r="B690" s="2">
        <f ca="1">INDEX(Simulations!$A$1:$BK$2501, 690, MATCH("ExitMultiple", Simulations!$A$1:$BK$1, 0))</f>
        <v>7.5499413209059503</v>
      </c>
      <c r="C690" s="2">
        <f ca="1">INDEX(Simulations!$A$1:$BK$2501, 690, MATCH("RevCAGR", Simulations!$A$1:$BK$1, 0))</f>
        <v>5.6096850264002421E-2</v>
      </c>
      <c r="D690" s="2">
        <f ca="1">INDEX(Simulations!$A$1:$BK$2501, 690, MATCH("SynMargin", Simulations!$A$1:$BK$1, 0))</f>
        <v>7.6966948266470898E-3</v>
      </c>
      <c r="E690" s="2">
        <f ca="1">INDEX(Simulations!$A$1:$BK$2501, 690, MATCH("Yr1Shock", Simulations!$A$1:$BK$1, 0))</f>
        <v>-1.9696011216908196E-2</v>
      </c>
    </row>
    <row r="691" spans="1:5" x14ac:dyDescent="0.3">
      <c r="A691" s="2">
        <f ca="1">INDEX(Simulations!$A$1:$BK$2501, 691, MATCH("PurchaseMultiple", Simulations!$A$1:$BK$1, 0))</f>
        <v>7.2593596892447758</v>
      </c>
      <c r="B691" s="2">
        <f ca="1">INDEX(Simulations!$A$1:$BK$2501, 691, MATCH("ExitMultiple", Simulations!$A$1:$BK$1, 0))</f>
        <v>8.0793656202340767</v>
      </c>
      <c r="C691" s="2">
        <f ca="1">INDEX(Simulations!$A$1:$BK$2501, 691, MATCH("RevCAGR", Simulations!$A$1:$BK$1, 0))</f>
        <v>-0.02</v>
      </c>
      <c r="D691" s="2">
        <f ca="1">INDEX(Simulations!$A$1:$BK$2501, 691, MATCH("SynMargin", Simulations!$A$1:$BK$1, 0))</f>
        <v>3.2145846763331999E-3</v>
      </c>
      <c r="E691" s="2">
        <f ca="1">INDEX(Simulations!$A$1:$BK$2501, 691, MATCH("Yr1Shock", Simulations!$A$1:$BK$1, 0))</f>
        <v>2.908886884878318E-2</v>
      </c>
    </row>
    <row r="692" spans="1:5" x14ac:dyDescent="0.3">
      <c r="A692" s="2">
        <f ca="1">INDEX(Simulations!$A$1:$BK$2501, 692, MATCH("PurchaseMultiple", Simulations!$A$1:$BK$1, 0))</f>
        <v>7.0925219555007182</v>
      </c>
      <c r="B692" s="2">
        <f ca="1">INDEX(Simulations!$A$1:$BK$2501, 692, MATCH("ExitMultiple", Simulations!$A$1:$BK$1, 0))</f>
        <v>7.8511734201250372</v>
      </c>
      <c r="C692" s="2">
        <f ca="1">INDEX(Simulations!$A$1:$BK$2501, 692, MATCH("RevCAGR", Simulations!$A$1:$BK$1, 0))</f>
        <v>2.2770907628225808E-2</v>
      </c>
      <c r="D692" s="2">
        <f ca="1">INDEX(Simulations!$A$1:$BK$2501, 692, MATCH("SynMargin", Simulations!$A$1:$BK$1, 0))</f>
        <v>4.4316431335024433E-3</v>
      </c>
      <c r="E692" s="2">
        <f ca="1">INDEX(Simulations!$A$1:$BK$2501, 692, MATCH("Yr1Shock", Simulations!$A$1:$BK$1, 0))</f>
        <v>1.1893683600917625E-3</v>
      </c>
    </row>
    <row r="693" spans="1:5" x14ac:dyDescent="0.3">
      <c r="A693" s="2">
        <f ca="1">INDEX(Simulations!$A$1:$BK$2501, 693, MATCH("PurchaseMultiple", Simulations!$A$1:$BK$1, 0))</f>
        <v>7.0610105944353174</v>
      </c>
      <c r="B693" s="2">
        <f ca="1">INDEX(Simulations!$A$1:$BK$2501, 693, MATCH("ExitMultiple", Simulations!$A$1:$BK$1, 0))</f>
        <v>7.5662373716860341</v>
      </c>
      <c r="C693" s="2">
        <f ca="1">INDEX(Simulations!$A$1:$BK$2501, 693, MATCH("RevCAGR", Simulations!$A$1:$BK$1, 0))</f>
        <v>2.9024397096397855E-2</v>
      </c>
      <c r="D693" s="2">
        <f ca="1">INDEX(Simulations!$A$1:$BK$2501, 693, MATCH("SynMargin", Simulations!$A$1:$BK$1, 0))</f>
        <v>7.2158958228454523E-3</v>
      </c>
      <c r="E693" s="2">
        <f ca="1">INDEX(Simulations!$A$1:$BK$2501, 693, MATCH("Yr1Shock", Simulations!$A$1:$BK$1, 0))</f>
        <v>1.2448524349322102E-2</v>
      </c>
    </row>
    <row r="694" spans="1:5" x14ac:dyDescent="0.3">
      <c r="A694" s="2">
        <f ca="1">INDEX(Simulations!$A$1:$BK$2501, 694, MATCH("PurchaseMultiple", Simulations!$A$1:$BK$1, 0))</f>
        <v>6.670917951387092</v>
      </c>
      <c r="B694" s="2">
        <f ca="1">INDEX(Simulations!$A$1:$BK$2501, 694, MATCH("ExitMultiple", Simulations!$A$1:$BK$1, 0))</f>
        <v>8.1004469758948119</v>
      </c>
      <c r="C694" s="2">
        <f ca="1">INDEX(Simulations!$A$1:$BK$2501, 694, MATCH("RevCAGR", Simulations!$A$1:$BK$1, 0))</f>
        <v>6.4100249699403825E-2</v>
      </c>
      <c r="D694" s="2">
        <f ca="1">INDEX(Simulations!$A$1:$BK$2501, 694, MATCH("SynMargin", Simulations!$A$1:$BK$1, 0))</f>
        <v>1.1524438867921363E-2</v>
      </c>
      <c r="E694" s="2">
        <f ca="1">INDEX(Simulations!$A$1:$BK$2501, 694, MATCH("Yr1Shock", Simulations!$A$1:$BK$1, 0))</f>
        <v>1.4413452506255382E-2</v>
      </c>
    </row>
    <row r="695" spans="1:5" x14ac:dyDescent="0.3">
      <c r="A695" s="2">
        <f ca="1">INDEX(Simulations!$A$1:$BK$2501, 695, MATCH("PurchaseMultiple", Simulations!$A$1:$BK$1, 0))</f>
        <v>7.3389594804270679</v>
      </c>
      <c r="B695" s="2">
        <f ca="1">INDEX(Simulations!$A$1:$BK$2501, 695, MATCH("ExitMultiple", Simulations!$A$1:$BK$1, 0))</f>
        <v>7.2595775188076921</v>
      </c>
      <c r="C695" s="2">
        <f ca="1">INDEX(Simulations!$A$1:$BK$2501, 695, MATCH("RevCAGR", Simulations!$A$1:$BK$1, 0))</f>
        <v>3.306793402744531E-2</v>
      </c>
      <c r="D695" s="2">
        <f ca="1">INDEX(Simulations!$A$1:$BK$2501, 695, MATCH("SynMargin", Simulations!$A$1:$BK$1, 0))</f>
        <v>2.2043455818651199E-2</v>
      </c>
      <c r="E695" s="2">
        <f ca="1">INDEX(Simulations!$A$1:$BK$2501, 695, MATCH("Yr1Shock", Simulations!$A$1:$BK$1, 0))</f>
        <v>9.2085512191157869E-3</v>
      </c>
    </row>
    <row r="696" spans="1:5" x14ac:dyDescent="0.3">
      <c r="A696" s="2">
        <f ca="1">INDEX(Simulations!$A$1:$BK$2501, 696, MATCH("PurchaseMultiple", Simulations!$A$1:$BK$1, 0))</f>
        <v>7.3362157639945851</v>
      </c>
      <c r="B696" s="2">
        <f ca="1">INDEX(Simulations!$A$1:$BK$2501, 696, MATCH("ExitMultiple", Simulations!$A$1:$BK$1, 0))</f>
        <v>7.8541002017360606</v>
      </c>
      <c r="C696" s="2">
        <f ca="1">INDEX(Simulations!$A$1:$BK$2501, 696, MATCH("RevCAGR", Simulations!$A$1:$BK$1, 0))</f>
        <v>8.3590485971811804E-2</v>
      </c>
      <c r="D696" s="2">
        <f ca="1">INDEX(Simulations!$A$1:$BK$2501, 696, MATCH("SynMargin", Simulations!$A$1:$BK$1, 0))</f>
        <v>5.8297265153844594E-3</v>
      </c>
      <c r="E696" s="2">
        <f ca="1">INDEX(Simulations!$A$1:$BK$2501, 696, MATCH("Yr1Shock", Simulations!$A$1:$BK$1, 0))</f>
        <v>-7.945379168291766E-4</v>
      </c>
    </row>
    <row r="697" spans="1:5" x14ac:dyDescent="0.3">
      <c r="A697" s="2">
        <f ca="1">INDEX(Simulations!$A$1:$BK$2501, 697, MATCH("PurchaseMultiple", Simulations!$A$1:$BK$1, 0))</f>
        <v>6.9786888281412622</v>
      </c>
      <c r="B697" s="2">
        <f ca="1">INDEX(Simulations!$A$1:$BK$2501, 697, MATCH("ExitMultiple", Simulations!$A$1:$BK$1, 0))</f>
        <v>7.0105167826555022</v>
      </c>
      <c r="C697" s="2">
        <f ca="1">INDEX(Simulations!$A$1:$BK$2501, 697, MATCH("RevCAGR", Simulations!$A$1:$BK$1, 0))</f>
        <v>5.6667376429622343E-2</v>
      </c>
      <c r="D697" s="2">
        <f ca="1">INDEX(Simulations!$A$1:$BK$2501, 697, MATCH("SynMargin", Simulations!$A$1:$BK$1, 0))</f>
        <v>4.8192158396484705E-3</v>
      </c>
      <c r="E697" s="2">
        <f ca="1">INDEX(Simulations!$A$1:$BK$2501, 697, MATCH("Yr1Shock", Simulations!$A$1:$BK$1, 0))</f>
        <v>-5.4976117215243692E-3</v>
      </c>
    </row>
    <row r="698" spans="1:5" x14ac:dyDescent="0.3">
      <c r="A698" s="2">
        <f ca="1">INDEX(Simulations!$A$1:$BK$2501, 698, MATCH("PurchaseMultiple", Simulations!$A$1:$BK$1, 0))</f>
        <v>7.1418698160230649</v>
      </c>
      <c r="B698" s="2">
        <f ca="1">INDEX(Simulations!$A$1:$BK$2501, 698, MATCH("ExitMultiple", Simulations!$A$1:$BK$1, 0))</f>
        <v>7.165459654879994</v>
      </c>
      <c r="C698" s="2">
        <f ca="1">INDEX(Simulations!$A$1:$BK$2501, 698, MATCH("RevCAGR", Simulations!$A$1:$BK$1, 0))</f>
        <v>1.5618792168007642E-2</v>
      </c>
      <c r="D698" s="2">
        <f ca="1">INDEX(Simulations!$A$1:$BK$2501, 698, MATCH("SynMargin", Simulations!$A$1:$BK$1, 0))</f>
        <v>1.1988911122119595E-2</v>
      </c>
      <c r="E698" s="2">
        <f ca="1">INDEX(Simulations!$A$1:$BK$2501, 698, MATCH("Yr1Shock", Simulations!$A$1:$BK$1, 0))</f>
        <v>1.4299779231118923E-2</v>
      </c>
    </row>
    <row r="699" spans="1:5" x14ac:dyDescent="0.3">
      <c r="A699" s="2">
        <f ca="1">INDEX(Simulations!$A$1:$BK$2501, 699, MATCH("PurchaseMultiple", Simulations!$A$1:$BK$1, 0))</f>
        <v>6.6218108462005532</v>
      </c>
      <c r="B699" s="2">
        <f ca="1">INDEX(Simulations!$A$1:$BK$2501, 699, MATCH("ExitMultiple", Simulations!$A$1:$BK$1, 0))</f>
        <v>6.6957812583327367</v>
      </c>
      <c r="C699" s="2">
        <f ca="1">INDEX(Simulations!$A$1:$BK$2501, 699, MATCH("RevCAGR", Simulations!$A$1:$BK$1, 0))</f>
        <v>4.2658141860688233E-2</v>
      </c>
      <c r="D699" s="2">
        <f ca="1">INDEX(Simulations!$A$1:$BK$2501, 699, MATCH("SynMargin", Simulations!$A$1:$BK$1, 0))</f>
        <v>3.1486080009847763E-3</v>
      </c>
      <c r="E699" s="2">
        <f ca="1">INDEX(Simulations!$A$1:$BK$2501, 699, MATCH("Yr1Shock", Simulations!$A$1:$BK$1, 0))</f>
        <v>-1.7324533901197293E-2</v>
      </c>
    </row>
    <row r="700" spans="1:5" x14ac:dyDescent="0.3">
      <c r="A700" s="2">
        <f ca="1">INDEX(Simulations!$A$1:$BK$2501, 700, MATCH("PurchaseMultiple", Simulations!$A$1:$BK$1, 0))</f>
        <v>7.5697280873432318</v>
      </c>
      <c r="B700" s="2">
        <f ca="1">INDEX(Simulations!$A$1:$BK$2501, 700, MATCH("ExitMultiple", Simulations!$A$1:$BK$1, 0))</f>
        <v>6.5878259494327196</v>
      </c>
      <c r="C700" s="2">
        <f ca="1">INDEX(Simulations!$A$1:$BK$2501, 700, MATCH("RevCAGR", Simulations!$A$1:$BK$1, 0))</f>
        <v>5.0369585922189139E-2</v>
      </c>
      <c r="D700" s="2">
        <f ca="1">INDEX(Simulations!$A$1:$BK$2501, 700, MATCH("SynMargin", Simulations!$A$1:$BK$1, 0))</f>
        <v>7.5927474213651636E-3</v>
      </c>
      <c r="E700" s="2">
        <f ca="1">INDEX(Simulations!$A$1:$BK$2501, 700, MATCH("Yr1Shock", Simulations!$A$1:$BK$1, 0))</f>
        <v>2.6536575737988437E-3</v>
      </c>
    </row>
    <row r="701" spans="1:5" x14ac:dyDescent="0.3">
      <c r="A701" s="2">
        <f ca="1">INDEX(Simulations!$A$1:$BK$2501, 701, MATCH("PurchaseMultiple", Simulations!$A$1:$BK$1, 0))</f>
        <v>6.4095295018186684</v>
      </c>
      <c r="B701" s="2">
        <f ca="1">INDEX(Simulations!$A$1:$BK$2501, 701, MATCH("ExitMultiple", Simulations!$A$1:$BK$1, 0))</f>
        <v>7.8898377088653557</v>
      </c>
      <c r="C701" s="2">
        <f ca="1">INDEX(Simulations!$A$1:$BK$2501, 701, MATCH("RevCAGR", Simulations!$A$1:$BK$1, 0))</f>
        <v>6.803613751186717E-2</v>
      </c>
      <c r="D701" s="2">
        <f ca="1">INDEX(Simulations!$A$1:$BK$2501, 701, MATCH("SynMargin", Simulations!$A$1:$BK$1, 0))</f>
        <v>1.2355140602746366E-2</v>
      </c>
      <c r="E701" s="2">
        <f ca="1">INDEX(Simulations!$A$1:$BK$2501, 701, MATCH("Yr1Shock", Simulations!$A$1:$BK$1, 0))</f>
        <v>1.4440524620846442E-2</v>
      </c>
    </row>
    <row r="702" spans="1:5" x14ac:dyDescent="0.3">
      <c r="A702" s="2">
        <f ca="1">INDEX(Simulations!$A$1:$BK$2501, 702, MATCH("PurchaseMultiple", Simulations!$A$1:$BK$1, 0))</f>
        <v>6.9270032660128908</v>
      </c>
      <c r="B702" s="2">
        <f ca="1">INDEX(Simulations!$A$1:$BK$2501, 702, MATCH("ExitMultiple", Simulations!$A$1:$BK$1, 0))</f>
        <v>7.105160203625986</v>
      </c>
      <c r="C702" s="2">
        <f ca="1">INDEX(Simulations!$A$1:$BK$2501, 702, MATCH("RevCAGR", Simulations!$A$1:$BK$1, 0))</f>
        <v>4.589272288093274E-2</v>
      </c>
      <c r="D702" s="2">
        <f ca="1">INDEX(Simulations!$A$1:$BK$2501, 702, MATCH("SynMargin", Simulations!$A$1:$BK$1, 0))</f>
        <v>8.1578882960765611E-3</v>
      </c>
      <c r="E702" s="2">
        <f ca="1">INDEX(Simulations!$A$1:$BK$2501, 702, MATCH("Yr1Shock", Simulations!$A$1:$BK$1, 0))</f>
        <v>4.5264168303328509E-2</v>
      </c>
    </row>
    <row r="703" spans="1:5" x14ac:dyDescent="0.3">
      <c r="A703" s="2">
        <f ca="1">INDEX(Simulations!$A$1:$BK$2501, 703, MATCH("PurchaseMultiple", Simulations!$A$1:$BK$1, 0))</f>
        <v>7.7441067185123877</v>
      </c>
      <c r="B703" s="2">
        <f ca="1">INDEX(Simulations!$A$1:$BK$2501, 703, MATCH("ExitMultiple", Simulations!$A$1:$BK$1, 0))</f>
        <v>7.9410631880539837</v>
      </c>
      <c r="C703" s="2">
        <f ca="1">INDEX(Simulations!$A$1:$BK$2501, 703, MATCH("RevCAGR", Simulations!$A$1:$BK$1, 0))</f>
        <v>2.7383040487574964E-2</v>
      </c>
      <c r="D703" s="2">
        <f ca="1">INDEX(Simulations!$A$1:$BK$2501, 703, MATCH("SynMargin", Simulations!$A$1:$BK$1, 0))</f>
        <v>9.8858244535167013E-3</v>
      </c>
      <c r="E703" s="2">
        <f ca="1">INDEX(Simulations!$A$1:$BK$2501, 703, MATCH("Yr1Shock", Simulations!$A$1:$BK$1, 0))</f>
        <v>-2.7665151949135658E-2</v>
      </c>
    </row>
    <row r="704" spans="1:5" x14ac:dyDescent="0.3">
      <c r="A704" s="2">
        <f ca="1">INDEX(Simulations!$A$1:$BK$2501, 704, MATCH("PurchaseMultiple", Simulations!$A$1:$BK$1, 0))</f>
        <v>6.6740187003127591</v>
      </c>
      <c r="B704" s="2">
        <f ca="1">INDEX(Simulations!$A$1:$BK$2501, 704, MATCH("ExitMultiple", Simulations!$A$1:$BK$1, 0))</f>
        <v>7.4413184950570894</v>
      </c>
      <c r="C704" s="2">
        <f ca="1">INDEX(Simulations!$A$1:$BK$2501, 704, MATCH("RevCAGR", Simulations!$A$1:$BK$1, 0))</f>
        <v>8.2847935185766552E-2</v>
      </c>
      <c r="D704" s="2">
        <f ca="1">INDEX(Simulations!$A$1:$BK$2501, 704, MATCH("SynMargin", Simulations!$A$1:$BK$1, 0))</f>
        <v>7.3331071732989864E-3</v>
      </c>
      <c r="E704" s="2">
        <f ca="1">INDEX(Simulations!$A$1:$BK$2501, 704, MATCH("Yr1Shock", Simulations!$A$1:$BK$1, 0))</f>
        <v>1.8753348548519098E-2</v>
      </c>
    </row>
    <row r="705" spans="1:5" x14ac:dyDescent="0.3">
      <c r="A705" s="2">
        <f ca="1">INDEX(Simulations!$A$1:$BK$2501, 705, MATCH("PurchaseMultiple", Simulations!$A$1:$BK$1, 0))</f>
        <v>7.0811629671505489</v>
      </c>
      <c r="B705" s="2">
        <f ca="1">INDEX(Simulations!$A$1:$BK$2501, 705, MATCH("ExitMultiple", Simulations!$A$1:$BK$1, 0))</f>
        <v>6.9054062265008822</v>
      </c>
      <c r="C705" s="2">
        <f ca="1">INDEX(Simulations!$A$1:$BK$2501, 705, MATCH("RevCAGR", Simulations!$A$1:$BK$1, 0))</f>
        <v>4.2904110176617008E-2</v>
      </c>
      <c r="D705" s="2">
        <f ca="1">INDEX(Simulations!$A$1:$BK$2501, 705, MATCH("SynMargin", Simulations!$A$1:$BK$1, 0))</f>
        <v>1.4012849167804854E-2</v>
      </c>
      <c r="E705" s="2">
        <f ca="1">INDEX(Simulations!$A$1:$BK$2501, 705, MATCH("Yr1Shock", Simulations!$A$1:$BK$1, 0))</f>
        <v>-1.3411009212467436E-2</v>
      </c>
    </row>
    <row r="706" spans="1:5" x14ac:dyDescent="0.3">
      <c r="A706" s="2">
        <f ca="1">INDEX(Simulations!$A$1:$BK$2501, 706, MATCH("PurchaseMultiple", Simulations!$A$1:$BK$1, 0))</f>
        <v>6.758921993549361</v>
      </c>
      <c r="B706" s="2">
        <f ca="1">INDEX(Simulations!$A$1:$BK$2501, 706, MATCH("ExitMultiple", Simulations!$A$1:$BK$1, 0))</f>
        <v>8.1656399468108596</v>
      </c>
      <c r="C706" s="2">
        <f ca="1">INDEX(Simulations!$A$1:$BK$2501, 706, MATCH("RevCAGR", Simulations!$A$1:$BK$1, 0))</f>
        <v>9.8530028999838815E-2</v>
      </c>
      <c r="D706" s="2">
        <f ca="1">INDEX(Simulations!$A$1:$BK$2501, 706, MATCH("SynMargin", Simulations!$A$1:$BK$1, 0))</f>
        <v>9.532757994702136E-3</v>
      </c>
      <c r="E706" s="2">
        <f ca="1">INDEX(Simulations!$A$1:$BK$2501, 706, MATCH("Yr1Shock", Simulations!$A$1:$BK$1, 0))</f>
        <v>-3.9436319010028358E-2</v>
      </c>
    </row>
    <row r="707" spans="1:5" x14ac:dyDescent="0.3">
      <c r="A707" s="2">
        <f ca="1">INDEX(Simulations!$A$1:$BK$2501, 707, MATCH("PurchaseMultiple", Simulations!$A$1:$BK$1, 0))</f>
        <v>7.7867995367141454</v>
      </c>
      <c r="B707" s="2">
        <f ca="1">INDEX(Simulations!$A$1:$BK$2501, 707, MATCH("ExitMultiple", Simulations!$A$1:$BK$1, 0))</f>
        <v>6.8021016500077778</v>
      </c>
      <c r="C707" s="2">
        <f ca="1">INDEX(Simulations!$A$1:$BK$2501, 707, MATCH("RevCAGR", Simulations!$A$1:$BK$1, 0))</f>
        <v>3.9495315671264776E-2</v>
      </c>
      <c r="D707" s="2">
        <f ca="1">INDEX(Simulations!$A$1:$BK$2501, 707, MATCH("SynMargin", Simulations!$A$1:$BK$1, 0))</f>
        <v>1.4207720314800247E-2</v>
      </c>
      <c r="E707" s="2">
        <f ca="1">INDEX(Simulations!$A$1:$BK$2501, 707, MATCH("Yr1Shock", Simulations!$A$1:$BK$1, 0))</f>
        <v>-2.4001780284755091E-2</v>
      </c>
    </row>
    <row r="708" spans="1:5" x14ac:dyDescent="0.3">
      <c r="A708" s="2">
        <f ca="1">INDEX(Simulations!$A$1:$BK$2501, 708, MATCH("PurchaseMultiple", Simulations!$A$1:$BK$1, 0))</f>
        <v>6.5216176805854333</v>
      </c>
      <c r="B708" s="2">
        <f ca="1">INDEX(Simulations!$A$1:$BK$2501, 708, MATCH("ExitMultiple", Simulations!$A$1:$BK$1, 0))</f>
        <v>8.2931177343039728</v>
      </c>
      <c r="C708" s="2">
        <f ca="1">INDEX(Simulations!$A$1:$BK$2501, 708, MATCH("RevCAGR", Simulations!$A$1:$BK$1, 0))</f>
        <v>-0.02</v>
      </c>
      <c r="D708" s="2">
        <f ca="1">INDEX(Simulations!$A$1:$BK$2501, 708, MATCH("SynMargin", Simulations!$A$1:$BK$1, 0))</f>
        <v>1.7760610273419835E-2</v>
      </c>
      <c r="E708" s="2">
        <f ca="1">INDEX(Simulations!$A$1:$BK$2501, 708, MATCH("Yr1Shock", Simulations!$A$1:$BK$1, 0))</f>
        <v>1.3042628176988414E-2</v>
      </c>
    </row>
    <row r="709" spans="1:5" x14ac:dyDescent="0.3">
      <c r="A709" s="2">
        <f ca="1">INDEX(Simulations!$A$1:$BK$2501, 709, MATCH("PurchaseMultiple", Simulations!$A$1:$BK$1, 0))</f>
        <v>6.319261187993753</v>
      </c>
      <c r="B709" s="2">
        <f ca="1">INDEX(Simulations!$A$1:$BK$2501, 709, MATCH("ExitMultiple", Simulations!$A$1:$BK$1, 0))</f>
        <v>7.2003967192056173</v>
      </c>
      <c r="C709" s="2">
        <f ca="1">INDEX(Simulations!$A$1:$BK$2501, 709, MATCH("RevCAGR", Simulations!$A$1:$BK$1, 0))</f>
        <v>7.1805992959322454E-2</v>
      </c>
      <c r="D709" s="2">
        <f ca="1">INDEX(Simulations!$A$1:$BK$2501, 709, MATCH("SynMargin", Simulations!$A$1:$BK$1, 0))</f>
        <v>8.9103975877061169E-3</v>
      </c>
      <c r="E709" s="2">
        <f ca="1">INDEX(Simulations!$A$1:$BK$2501, 709, MATCH("Yr1Shock", Simulations!$A$1:$BK$1, 0))</f>
        <v>9.1995729110013538E-3</v>
      </c>
    </row>
    <row r="710" spans="1:5" x14ac:dyDescent="0.3">
      <c r="A710" s="2">
        <f ca="1">INDEX(Simulations!$A$1:$BK$2501, 710, MATCH("PurchaseMultiple", Simulations!$A$1:$BK$1, 0))</f>
        <v>6.6716011985637254</v>
      </c>
      <c r="B710" s="2">
        <f ca="1">INDEX(Simulations!$A$1:$BK$2501, 710, MATCH("ExitMultiple", Simulations!$A$1:$BK$1, 0))</f>
        <v>7.3626200325435427</v>
      </c>
      <c r="C710" s="2">
        <f ca="1">INDEX(Simulations!$A$1:$BK$2501, 710, MATCH("RevCAGR", Simulations!$A$1:$BK$1, 0))</f>
        <v>4.8595338898373183E-2</v>
      </c>
      <c r="D710" s="2">
        <f ca="1">INDEX(Simulations!$A$1:$BK$2501, 710, MATCH("SynMargin", Simulations!$A$1:$BK$1, 0))</f>
        <v>6.9213442090116945E-3</v>
      </c>
      <c r="E710" s="2">
        <f ca="1">INDEX(Simulations!$A$1:$BK$2501, 710, MATCH("Yr1Shock", Simulations!$A$1:$BK$1, 0))</f>
        <v>-1.3363968017980263E-2</v>
      </c>
    </row>
    <row r="711" spans="1:5" x14ac:dyDescent="0.3">
      <c r="A711" s="2">
        <f ca="1">INDEX(Simulations!$A$1:$BK$2501, 711, MATCH("PurchaseMultiple", Simulations!$A$1:$BK$1, 0))</f>
        <v>7.9008033327419938</v>
      </c>
      <c r="B711" s="2">
        <f ca="1">INDEX(Simulations!$A$1:$BK$2501, 711, MATCH("ExitMultiple", Simulations!$A$1:$BK$1, 0))</f>
        <v>7.4730986372791435</v>
      </c>
      <c r="C711" s="2">
        <f ca="1">INDEX(Simulations!$A$1:$BK$2501, 711, MATCH("RevCAGR", Simulations!$A$1:$BK$1, 0))</f>
        <v>1.4684921445360585E-3</v>
      </c>
      <c r="D711" s="2">
        <f ca="1">INDEX(Simulations!$A$1:$BK$2501, 711, MATCH("SynMargin", Simulations!$A$1:$BK$1, 0))</f>
        <v>8.6013687474296649E-3</v>
      </c>
      <c r="E711" s="2">
        <f ca="1">INDEX(Simulations!$A$1:$BK$2501, 711, MATCH("Yr1Shock", Simulations!$A$1:$BK$1, 0))</f>
        <v>8.4220059746659961E-4</v>
      </c>
    </row>
    <row r="712" spans="1:5" x14ac:dyDescent="0.3">
      <c r="A712" s="2">
        <f ca="1">INDEX(Simulations!$A$1:$BK$2501, 712, MATCH("PurchaseMultiple", Simulations!$A$1:$BK$1, 0))</f>
        <v>6.6095770328876231</v>
      </c>
      <c r="B712" s="2">
        <f ca="1">INDEX(Simulations!$A$1:$BK$2501, 712, MATCH("ExitMultiple", Simulations!$A$1:$BK$1, 0))</f>
        <v>7.6473946025360373</v>
      </c>
      <c r="C712" s="2">
        <f ca="1">INDEX(Simulations!$A$1:$BK$2501, 712, MATCH("RevCAGR", Simulations!$A$1:$BK$1, 0))</f>
        <v>6.6133020192713568E-2</v>
      </c>
      <c r="D712" s="2">
        <f ca="1">INDEX(Simulations!$A$1:$BK$2501, 712, MATCH("SynMargin", Simulations!$A$1:$BK$1, 0))</f>
        <v>1.1447208075655795E-2</v>
      </c>
      <c r="E712" s="2">
        <f ca="1">INDEX(Simulations!$A$1:$BK$2501, 712, MATCH("Yr1Shock", Simulations!$A$1:$BK$1, 0))</f>
        <v>-1.0115581146653563E-2</v>
      </c>
    </row>
    <row r="713" spans="1:5" x14ac:dyDescent="0.3">
      <c r="A713" s="2">
        <f ca="1">INDEX(Simulations!$A$1:$BK$2501, 713, MATCH("PurchaseMultiple", Simulations!$A$1:$BK$1, 0))</f>
        <v>6.9024317306749499</v>
      </c>
      <c r="B713" s="2">
        <f ca="1">INDEX(Simulations!$A$1:$BK$2501, 713, MATCH("ExitMultiple", Simulations!$A$1:$BK$1, 0))</f>
        <v>6.9730305854079484</v>
      </c>
      <c r="C713" s="2">
        <f ca="1">INDEX(Simulations!$A$1:$BK$2501, 713, MATCH("RevCAGR", Simulations!$A$1:$BK$1, 0))</f>
        <v>5.6657653227570826E-2</v>
      </c>
      <c r="D713" s="2">
        <f ca="1">INDEX(Simulations!$A$1:$BK$2501, 713, MATCH("SynMargin", Simulations!$A$1:$BK$1, 0))</f>
        <v>1.4187875886666396E-2</v>
      </c>
      <c r="E713" s="2">
        <f ca="1">INDEX(Simulations!$A$1:$BK$2501, 713, MATCH("Yr1Shock", Simulations!$A$1:$BK$1, 0))</f>
        <v>2.8071328627823532E-2</v>
      </c>
    </row>
    <row r="714" spans="1:5" x14ac:dyDescent="0.3">
      <c r="A714" s="2">
        <f ca="1">INDEX(Simulations!$A$1:$BK$2501, 714, MATCH("PurchaseMultiple", Simulations!$A$1:$BK$1, 0))</f>
        <v>6.7741290097998448</v>
      </c>
      <c r="B714" s="2">
        <f ca="1">INDEX(Simulations!$A$1:$BK$2501, 714, MATCH("ExitMultiple", Simulations!$A$1:$BK$1, 0))</f>
        <v>7.7904173922659457</v>
      </c>
      <c r="C714" s="2">
        <f ca="1">INDEX(Simulations!$A$1:$BK$2501, 714, MATCH("RevCAGR", Simulations!$A$1:$BK$1, 0))</f>
        <v>5.0608055193797297E-2</v>
      </c>
      <c r="D714" s="2">
        <f ca="1">INDEX(Simulations!$A$1:$BK$2501, 714, MATCH("SynMargin", Simulations!$A$1:$BK$1, 0))</f>
        <v>1.4427146656484979E-2</v>
      </c>
      <c r="E714" s="2">
        <f ca="1">INDEX(Simulations!$A$1:$BK$2501, 714, MATCH("Yr1Shock", Simulations!$A$1:$BK$1, 0))</f>
        <v>-1.5964256196306318E-2</v>
      </c>
    </row>
    <row r="715" spans="1:5" x14ac:dyDescent="0.3">
      <c r="A715" s="2">
        <f ca="1">INDEX(Simulations!$A$1:$BK$2501, 715, MATCH("PurchaseMultiple", Simulations!$A$1:$BK$1, 0))</f>
        <v>7.468668801427186</v>
      </c>
      <c r="B715" s="2">
        <f ca="1">INDEX(Simulations!$A$1:$BK$2501, 715, MATCH("ExitMultiple", Simulations!$A$1:$BK$1, 0))</f>
        <v>7.5526058713600506</v>
      </c>
      <c r="C715" s="2">
        <f ca="1">INDEX(Simulations!$A$1:$BK$2501, 715, MATCH("RevCAGR", Simulations!$A$1:$BK$1, 0))</f>
        <v>3.1007384962058356E-2</v>
      </c>
      <c r="D715" s="2">
        <f ca="1">INDEX(Simulations!$A$1:$BK$2501, 715, MATCH("SynMargin", Simulations!$A$1:$BK$1, 0))</f>
        <v>4.5807470151772991E-3</v>
      </c>
      <c r="E715" s="2">
        <f ca="1">INDEX(Simulations!$A$1:$BK$2501, 715, MATCH("Yr1Shock", Simulations!$A$1:$BK$1, 0))</f>
        <v>-4.0367744944842911E-3</v>
      </c>
    </row>
    <row r="716" spans="1:5" x14ac:dyDescent="0.3">
      <c r="A716" s="2">
        <f ca="1">INDEX(Simulations!$A$1:$BK$2501, 716, MATCH("PurchaseMultiple", Simulations!$A$1:$BK$1, 0))</f>
        <v>6.4441480667231898</v>
      </c>
      <c r="B716" s="2">
        <f ca="1">INDEX(Simulations!$A$1:$BK$2501, 716, MATCH("ExitMultiple", Simulations!$A$1:$BK$1, 0))</f>
        <v>7.219248040928969</v>
      </c>
      <c r="C716" s="2">
        <f ca="1">INDEX(Simulations!$A$1:$BK$2501, 716, MATCH("RevCAGR", Simulations!$A$1:$BK$1, 0))</f>
        <v>1.2824545674963717E-4</v>
      </c>
      <c r="D716" s="2">
        <f ca="1">INDEX(Simulations!$A$1:$BK$2501, 716, MATCH("SynMargin", Simulations!$A$1:$BK$1, 0))</f>
        <v>1.8205242100538303E-2</v>
      </c>
      <c r="E716" s="2">
        <f ca="1">INDEX(Simulations!$A$1:$BK$2501, 716, MATCH("Yr1Shock", Simulations!$A$1:$BK$1, 0))</f>
        <v>-1.0977579291173146E-2</v>
      </c>
    </row>
    <row r="717" spans="1:5" x14ac:dyDescent="0.3">
      <c r="A717" s="2">
        <f ca="1">INDEX(Simulations!$A$1:$BK$2501, 717, MATCH("PurchaseMultiple", Simulations!$A$1:$BK$1, 0))</f>
        <v>7.3130564935395412</v>
      </c>
      <c r="B717" s="2">
        <f ca="1">INDEX(Simulations!$A$1:$BK$2501, 717, MATCH("ExitMultiple", Simulations!$A$1:$BK$1, 0))</f>
        <v>7.2374238298250555</v>
      </c>
      <c r="C717" s="2">
        <f ca="1">INDEX(Simulations!$A$1:$BK$2501, 717, MATCH("RevCAGR", Simulations!$A$1:$BK$1, 0))</f>
        <v>-7.7397267845434742E-3</v>
      </c>
      <c r="D717" s="2">
        <f ca="1">INDEX(Simulations!$A$1:$BK$2501, 717, MATCH("SynMargin", Simulations!$A$1:$BK$1, 0))</f>
        <v>7.7239577069197173E-3</v>
      </c>
      <c r="E717" s="2">
        <f ca="1">INDEX(Simulations!$A$1:$BK$2501, 717, MATCH("Yr1Shock", Simulations!$A$1:$BK$1, 0))</f>
        <v>-8.4641478269332458E-3</v>
      </c>
    </row>
    <row r="718" spans="1:5" x14ac:dyDescent="0.3">
      <c r="A718" s="2">
        <f ca="1">INDEX(Simulations!$A$1:$BK$2501, 718, MATCH("PurchaseMultiple", Simulations!$A$1:$BK$1, 0))</f>
        <v>6.346434385975245</v>
      </c>
      <c r="B718" s="2">
        <f ca="1">INDEX(Simulations!$A$1:$BK$2501, 718, MATCH("ExitMultiple", Simulations!$A$1:$BK$1, 0))</f>
        <v>7.2375365897323531</v>
      </c>
      <c r="C718" s="2">
        <f ca="1">INDEX(Simulations!$A$1:$BK$2501, 718, MATCH("RevCAGR", Simulations!$A$1:$BK$1, 0))</f>
        <v>1.4955209545749776E-2</v>
      </c>
      <c r="D718" s="2">
        <f ca="1">INDEX(Simulations!$A$1:$BK$2501, 718, MATCH("SynMargin", Simulations!$A$1:$BK$1, 0))</f>
        <v>8.7282167839040758E-3</v>
      </c>
      <c r="E718" s="2">
        <f ca="1">INDEX(Simulations!$A$1:$BK$2501, 718, MATCH("Yr1Shock", Simulations!$A$1:$BK$1, 0))</f>
        <v>0.05</v>
      </c>
    </row>
    <row r="719" spans="1:5" x14ac:dyDescent="0.3">
      <c r="A719" s="2">
        <f ca="1">INDEX(Simulations!$A$1:$BK$2501, 719, MATCH("PurchaseMultiple", Simulations!$A$1:$BK$1, 0))</f>
        <v>7.7658781373275962</v>
      </c>
      <c r="B719" s="2">
        <f ca="1">INDEX(Simulations!$A$1:$BK$2501, 719, MATCH("ExitMultiple", Simulations!$A$1:$BK$1, 0))</f>
        <v>7.1117215217343279</v>
      </c>
      <c r="C719" s="2">
        <f ca="1">INDEX(Simulations!$A$1:$BK$2501, 719, MATCH("RevCAGR", Simulations!$A$1:$BK$1, 0))</f>
        <v>9.3174501175781743E-2</v>
      </c>
      <c r="D719" s="2">
        <f ca="1">INDEX(Simulations!$A$1:$BK$2501, 719, MATCH("SynMargin", Simulations!$A$1:$BK$1, 0))</f>
        <v>1.4139493284787434E-2</v>
      </c>
      <c r="E719" s="2">
        <f ca="1">INDEX(Simulations!$A$1:$BK$2501, 719, MATCH("Yr1Shock", Simulations!$A$1:$BK$1, 0))</f>
        <v>-3.8322620999791191E-3</v>
      </c>
    </row>
    <row r="720" spans="1:5" x14ac:dyDescent="0.3">
      <c r="A720" s="2">
        <f ca="1">INDEX(Simulations!$A$1:$BK$2501, 720, MATCH("PurchaseMultiple", Simulations!$A$1:$BK$1, 0))</f>
        <v>6.8121966138505083</v>
      </c>
      <c r="B720" s="2">
        <f ca="1">INDEX(Simulations!$A$1:$BK$2501, 720, MATCH("ExitMultiple", Simulations!$A$1:$BK$1, 0))</f>
        <v>7.0686513521817282</v>
      </c>
      <c r="C720" s="2">
        <f ca="1">INDEX(Simulations!$A$1:$BK$2501, 720, MATCH("RevCAGR", Simulations!$A$1:$BK$1, 0))</f>
        <v>6.2712163459321887E-2</v>
      </c>
      <c r="D720" s="2">
        <f ca="1">INDEX(Simulations!$A$1:$BK$2501, 720, MATCH("SynMargin", Simulations!$A$1:$BK$1, 0))</f>
        <v>5.4386524974788329E-3</v>
      </c>
      <c r="E720" s="2">
        <f ca="1">INDEX(Simulations!$A$1:$BK$2501, 720, MATCH("Yr1Shock", Simulations!$A$1:$BK$1, 0))</f>
        <v>-3.7330259719291388E-3</v>
      </c>
    </row>
    <row r="721" spans="1:5" x14ac:dyDescent="0.3">
      <c r="A721" s="2">
        <f ca="1">INDEX(Simulations!$A$1:$BK$2501, 721, MATCH("PurchaseMultiple", Simulations!$A$1:$BK$1, 0))</f>
        <v>6.1619045056403676</v>
      </c>
      <c r="B721" s="2">
        <f ca="1">INDEX(Simulations!$A$1:$BK$2501, 721, MATCH("ExitMultiple", Simulations!$A$1:$BK$1, 0))</f>
        <v>6.567637864672804</v>
      </c>
      <c r="C721" s="2">
        <f ca="1">INDEX(Simulations!$A$1:$BK$2501, 721, MATCH("RevCAGR", Simulations!$A$1:$BK$1, 0))</f>
        <v>8.0177211169914719E-2</v>
      </c>
      <c r="D721" s="2">
        <f ca="1">INDEX(Simulations!$A$1:$BK$2501, 721, MATCH("SynMargin", Simulations!$A$1:$BK$1, 0))</f>
        <v>2.2022680465202858E-2</v>
      </c>
      <c r="E721" s="2">
        <f ca="1">INDEX(Simulations!$A$1:$BK$2501, 721, MATCH("Yr1Shock", Simulations!$A$1:$BK$1, 0))</f>
        <v>-3.753811009746346E-2</v>
      </c>
    </row>
    <row r="722" spans="1:5" x14ac:dyDescent="0.3">
      <c r="A722" s="2">
        <f ca="1">INDEX(Simulations!$A$1:$BK$2501, 722, MATCH("PurchaseMultiple", Simulations!$A$1:$BK$1, 0))</f>
        <v>7.5779705326620981</v>
      </c>
      <c r="B722" s="2">
        <f ca="1">INDEX(Simulations!$A$1:$BK$2501, 722, MATCH("ExitMultiple", Simulations!$A$1:$BK$1, 0))</f>
        <v>7.1689366220791007</v>
      </c>
      <c r="C722" s="2">
        <f ca="1">INDEX(Simulations!$A$1:$BK$2501, 722, MATCH("RevCAGR", Simulations!$A$1:$BK$1, 0))</f>
        <v>4.3093636911587893E-2</v>
      </c>
      <c r="D722" s="2">
        <f ca="1">INDEX(Simulations!$A$1:$BK$2501, 722, MATCH("SynMargin", Simulations!$A$1:$BK$1, 0))</f>
        <v>8.0723949064450233E-3</v>
      </c>
      <c r="E722" s="2">
        <f ca="1">INDEX(Simulations!$A$1:$BK$2501, 722, MATCH("Yr1Shock", Simulations!$A$1:$BK$1, 0))</f>
        <v>-4.7323759481420532E-3</v>
      </c>
    </row>
    <row r="723" spans="1:5" x14ac:dyDescent="0.3">
      <c r="A723" s="2">
        <f ca="1">INDEX(Simulations!$A$1:$BK$2501, 723, MATCH("PurchaseMultiple", Simulations!$A$1:$BK$1, 0))</f>
        <v>6.5494561789948929</v>
      </c>
      <c r="B723" s="2">
        <f ca="1">INDEX(Simulations!$A$1:$BK$2501, 723, MATCH("ExitMultiple", Simulations!$A$1:$BK$1, 0))</f>
        <v>7.1117748629990052</v>
      </c>
      <c r="C723" s="2">
        <f ca="1">INDEX(Simulations!$A$1:$BK$2501, 723, MATCH("RevCAGR", Simulations!$A$1:$BK$1, 0))</f>
        <v>4.7610742136835374E-2</v>
      </c>
      <c r="D723" s="2">
        <f ca="1">INDEX(Simulations!$A$1:$BK$2501, 723, MATCH("SynMargin", Simulations!$A$1:$BK$1, 0))</f>
        <v>9.3460944306846851E-3</v>
      </c>
      <c r="E723" s="2">
        <f ca="1">INDEX(Simulations!$A$1:$BK$2501, 723, MATCH("Yr1Shock", Simulations!$A$1:$BK$1, 0))</f>
        <v>-1.5428117592003614E-2</v>
      </c>
    </row>
    <row r="724" spans="1:5" x14ac:dyDescent="0.3">
      <c r="A724" s="2">
        <f ca="1">INDEX(Simulations!$A$1:$BK$2501, 724, MATCH("PurchaseMultiple", Simulations!$A$1:$BK$1, 0))</f>
        <v>6.7287681327245394</v>
      </c>
      <c r="B724" s="2">
        <f ca="1">INDEX(Simulations!$A$1:$BK$2501, 724, MATCH("ExitMultiple", Simulations!$A$1:$BK$1, 0))</f>
        <v>7.8320010124859749</v>
      </c>
      <c r="C724" s="2">
        <f ca="1">INDEX(Simulations!$A$1:$BK$2501, 724, MATCH("RevCAGR", Simulations!$A$1:$BK$1, 0))</f>
        <v>-4.4456329169600267E-4</v>
      </c>
      <c r="D724" s="2">
        <f ca="1">INDEX(Simulations!$A$1:$BK$2501, 724, MATCH("SynMargin", Simulations!$A$1:$BK$1, 0))</f>
        <v>1.1256055540007862E-2</v>
      </c>
      <c r="E724" s="2">
        <f ca="1">INDEX(Simulations!$A$1:$BK$2501, 724, MATCH("Yr1Shock", Simulations!$A$1:$BK$1, 0))</f>
        <v>3.6156606755577178E-2</v>
      </c>
    </row>
    <row r="725" spans="1:5" x14ac:dyDescent="0.3">
      <c r="A725" s="2">
        <f ca="1">INDEX(Simulations!$A$1:$BK$2501, 725, MATCH("PurchaseMultiple", Simulations!$A$1:$BK$1, 0))</f>
        <v>6.8307714276029667</v>
      </c>
      <c r="B725" s="2">
        <f ca="1">INDEX(Simulations!$A$1:$BK$2501, 725, MATCH("ExitMultiple", Simulations!$A$1:$BK$1, 0))</f>
        <v>7.2927961321666848</v>
      </c>
      <c r="C725" s="2">
        <f ca="1">INDEX(Simulations!$A$1:$BK$2501, 725, MATCH("RevCAGR", Simulations!$A$1:$BK$1, 0))</f>
        <v>6.4543180804210329E-2</v>
      </c>
      <c r="D725" s="2">
        <f ca="1">INDEX(Simulations!$A$1:$BK$2501, 725, MATCH("SynMargin", Simulations!$A$1:$BK$1, 0))</f>
        <v>1.1221595584194902E-2</v>
      </c>
      <c r="E725" s="2">
        <f ca="1">INDEX(Simulations!$A$1:$BK$2501, 725, MATCH("Yr1Shock", Simulations!$A$1:$BK$1, 0))</f>
        <v>1.1121581461750261E-3</v>
      </c>
    </row>
    <row r="726" spans="1:5" x14ac:dyDescent="0.3">
      <c r="A726" s="2">
        <f ca="1">INDEX(Simulations!$A$1:$BK$2501, 726, MATCH("PurchaseMultiple", Simulations!$A$1:$BK$1, 0))</f>
        <v>7.0969964979869475</v>
      </c>
      <c r="B726" s="2">
        <f ca="1">INDEX(Simulations!$A$1:$BK$2501, 726, MATCH("ExitMultiple", Simulations!$A$1:$BK$1, 0))</f>
        <v>7.9314385061098944</v>
      </c>
      <c r="C726" s="2">
        <f ca="1">INDEX(Simulations!$A$1:$BK$2501, 726, MATCH("RevCAGR", Simulations!$A$1:$BK$1, 0))</f>
        <v>3.9112425625812519E-2</v>
      </c>
      <c r="D726" s="2">
        <f ca="1">INDEX(Simulations!$A$1:$BK$2501, 726, MATCH("SynMargin", Simulations!$A$1:$BK$1, 0))</f>
        <v>7.3463410177162739E-3</v>
      </c>
      <c r="E726" s="2">
        <f ca="1">INDEX(Simulations!$A$1:$BK$2501, 726, MATCH("Yr1Shock", Simulations!$A$1:$BK$1, 0))</f>
        <v>2.2034121856849227E-2</v>
      </c>
    </row>
    <row r="727" spans="1:5" x14ac:dyDescent="0.3">
      <c r="A727" s="2">
        <f ca="1">INDEX(Simulations!$A$1:$BK$2501, 727, MATCH("PurchaseMultiple", Simulations!$A$1:$BK$1, 0))</f>
        <v>6.5603788975079622</v>
      </c>
      <c r="B727" s="2">
        <f ca="1">INDEX(Simulations!$A$1:$BK$2501, 727, MATCH("ExitMultiple", Simulations!$A$1:$BK$1, 0))</f>
        <v>7.172911896323253</v>
      </c>
      <c r="C727" s="2">
        <f ca="1">INDEX(Simulations!$A$1:$BK$2501, 727, MATCH("RevCAGR", Simulations!$A$1:$BK$1, 0))</f>
        <v>2.0141813695234531E-2</v>
      </c>
      <c r="D727" s="2">
        <f ca="1">INDEX(Simulations!$A$1:$BK$2501, 727, MATCH("SynMargin", Simulations!$A$1:$BK$1, 0))</f>
        <v>1.3186341777054109E-2</v>
      </c>
      <c r="E727" s="2">
        <f ca="1">INDEX(Simulations!$A$1:$BK$2501, 727, MATCH("Yr1Shock", Simulations!$A$1:$BK$1, 0))</f>
        <v>-1.4057122719324912E-2</v>
      </c>
    </row>
    <row r="728" spans="1:5" x14ac:dyDescent="0.3">
      <c r="A728" s="2">
        <f ca="1">INDEX(Simulations!$A$1:$BK$2501, 728, MATCH("PurchaseMultiple", Simulations!$A$1:$BK$1, 0))</f>
        <v>7.138139005726523</v>
      </c>
      <c r="B728" s="2">
        <f ca="1">INDEX(Simulations!$A$1:$BK$2501, 728, MATCH("ExitMultiple", Simulations!$A$1:$BK$1, 0))</f>
        <v>7.8731892923226061</v>
      </c>
      <c r="C728" s="2">
        <f ca="1">INDEX(Simulations!$A$1:$BK$2501, 728, MATCH("RevCAGR", Simulations!$A$1:$BK$1, 0))</f>
        <v>6.5025539057239484E-3</v>
      </c>
      <c r="D728" s="2">
        <f ca="1">INDEX(Simulations!$A$1:$BK$2501, 728, MATCH("SynMargin", Simulations!$A$1:$BK$1, 0))</f>
        <v>1.9803605713667773E-4</v>
      </c>
      <c r="E728" s="2">
        <f ca="1">INDEX(Simulations!$A$1:$BK$2501, 728, MATCH("Yr1Shock", Simulations!$A$1:$BK$1, 0))</f>
        <v>3.2353795827207051E-3</v>
      </c>
    </row>
    <row r="729" spans="1:5" x14ac:dyDescent="0.3">
      <c r="A729" s="2">
        <f ca="1">INDEX(Simulations!$A$1:$BK$2501, 729, MATCH("PurchaseMultiple", Simulations!$A$1:$BK$1, 0))</f>
        <v>6.6964281074133831</v>
      </c>
      <c r="B729" s="2">
        <f ca="1">INDEX(Simulations!$A$1:$BK$2501, 729, MATCH("ExitMultiple", Simulations!$A$1:$BK$1, 0))</f>
        <v>7.2689234266339451</v>
      </c>
      <c r="C729" s="2">
        <f ca="1">INDEX(Simulations!$A$1:$BK$2501, 729, MATCH("RevCAGR", Simulations!$A$1:$BK$1, 0))</f>
        <v>4.6962979145660673E-2</v>
      </c>
      <c r="D729" s="2">
        <f ca="1">INDEX(Simulations!$A$1:$BK$2501, 729, MATCH("SynMargin", Simulations!$A$1:$BK$1, 0))</f>
        <v>1.2364749642895136E-2</v>
      </c>
      <c r="E729" s="2">
        <f ca="1">INDEX(Simulations!$A$1:$BK$2501, 729, MATCH("Yr1Shock", Simulations!$A$1:$BK$1, 0))</f>
        <v>2.2230569083294084E-3</v>
      </c>
    </row>
    <row r="730" spans="1:5" x14ac:dyDescent="0.3">
      <c r="A730" s="2">
        <f ca="1">INDEX(Simulations!$A$1:$BK$2501, 730, MATCH("PurchaseMultiple", Simulations!$A$1:$BK$1, 0))</f>
        <v>6.905415505378512</v>
      </c>
      <c r="B730" s="2">
        <f ca="1">INDEX(Simulations!$A$1:$BK$2501, 730, MATCH("ExitMultiple", Simulations!$A$1:$BK$1, 0))</f>
        <v>7.3179253341102157</v>
      </c>
      <c r="C730" s="2">
        <f ca="1">INDEX(Simulations!$A$1:$BK$2501, 730, MATCH("RevCAGR", Simulations!$A$1:$BK$1, 0))</f>
        <v>6.2788401044016021E-2</v>
      </c>
      <c r="D730" s="2">
        <f ca="1">INDEX(Simulations!$A$1:$BK$2501, 730, MATCH("SynMargin", Simulations!$A$1:$BK$1, 0))</f>
        <v>3.4999339785359712E-4</v>
      </c>
      <c r="E730" s="2">
        <f ca="1">INDEX(Simulations!$A$1:$BK$2501, 730, MATCH("Yr1Shock", Simulations!$A$1:$BK$1, 0))</f>
        <v>-4.983877628933423E-3</v>
      </c>
    </row>
    <row r="731" spans="1:5" x14ac:dyDescent="0.3">
      <c r="A731" s="2">
        <f ca="1">INDEX(Simulations!$A$1:$BK$2501, 731, MATCH("PurchaseMultiple", Simulations!$A$1:$BK$1, 0))</f>
        <v>6.9612405990928981</v>
      </c>
      <c r="B731" s="2">
        <f ca="1">INDEX(Simulations!$A$1:$BK$2501, 731, MATCH("ExitMultiple", Simulations!$A$1:$BK$1, 0))</f>
        <v>7.7682037406036564</v>
      </c>
      <c r="C731" s="2">
        <f ca="1">INDEX(Simulations!$A$1:$BK$2501, 731, MATCH("RevCAGR", Simulations!$A$1:$BK$1, 0))</f>
        <v>5.2363060249857804E-3</v>
      </c>
      <c r="D731" s="2">
        <f ca="1">INDEX(Simulations!$A$1:$BK$2501, 731, MATCH("SynMargin", Simulations!$A$1:$BK$1, 0))</f>
        <v>4.8825284573746196E-3</v>
      </c>
      <c r="E731" s="2">
        <f ca="1">INDEX(Simulations!$A$1:$BK$2501, 731, MATCH("Yr1Shock", Simulations!$A$1:$BK$1, 0))</f>
        <v>2.119175566146396E-2</v>
      </c>
    </row>
    <row r="732" spans="1:5" x14ac:dyDescent="0.3">
      <c r="A732" s="2">
        <f ca="1">INDEX(Simulations!$A$1:$BK$2501, 732, MATCH("PurchaseMultiple", Simulations!$A$1:$BK$1, 0))</f>
        <v>7.2396330876870083</v>
      </c>
      <c r="B732" s="2">
        <f ca="1">INDEX(Simulations!$A$1:$BK$2501, 732, MATCH("ExitMultiple", Simulations!$A$1:$BK$1, 0))</f>
        <v>7.278926617103517</v>
      </c>
      <c r="C732" s="2">
        <f ca="1">INDEX(Simulations!$A$1:$BK$2501, 732, MATCH("RevCAGR", Simulations!$A$1:$BK$1, 0))</f>
        <v>6.783228103436563E-2</v>
      </c>
      <c r="D732" s="2">
        <f ca="1">INDEX(Simulations!$A$1:$BK$2501, 732, MATCH("SynMargin", Simulations!$A$1:$BK$1, 0))</f>
        <v>1.2160719875344504E-2</v>
      </c>
      <c r="E732" s="2">
        <f ca="1">INDEX(Simulations!$A$1:$BK$2501, 732, MATCH("Yr1Shock", Simulations!$A$1:$BK$1, 0))</f>
        <v>1.5594565467156216E-3</v>
      </c>
    </row>
    <row r="733" spans="1:5" x14ac:dyDescent="0.3">
      <c r="A733" s="2">
        <f ca="1">INDEX(Simulations!$A$1:$BK$2501, 733, MATCH("PurchaseMultiple", Simulations!$A$1:$BK$1, 0))</f>
        <v>7.0109779518017259</v>
      </c>
      <c r="B733" s="2">
        <f ca="1">INDEX(Simulations!$A$1:$BK$2501, 733, MATCH("ExitMultiple", Simulations!$A$1:$BK$1, 0))</f>
        <v>7.0890595323320698</v>
      </c>
      <c r="C733" s="2">
        <f ca="1">INDEX(Simulations!$A$1:$BK$2501, 733, MATCH("RevCAGR", Simulations!$A$1:$BK$1, 0))</f>
        <v>4.6385626520864483E-2</v>
      </c>
      <c r="D733" s="2">
        <f ca="1">INDEX(Simulations!$A$1:$BK$2501, 733, MATCH("SynMargin", Simulations!$A$1:$BK$1, 0))</f>
        <v>1.467738223740955E-2</v>
      </c>
      <c r="E733" s="2">
        <f ca="1">INDEX(Simulations!$A$1:$BK$2501, 733, MATCH("Yr1Shock", Simulations!$A$1:$BK$1, 0))</f>
        <v>1.1106160211471176E-2</v>
      </c>
    </row>
    <row r="734" spans="1:5" x14ac:dyDescent="0.3">
      <c r="A734" s="2">
        <f ca="1">INDEX(Simulations!$A$1:$BK$2501, 734, MATCH("PurchaseMultiple", Simulations!$A$1:$BK$1, 0))</f>
        <v>7.4630686565883151</v>
      </c>
      <c r="B734" s="2">
        <f ca="1">INDEX(Simulations!$A$1:$BK$2501, 734, MATCH("ExitMultiple", Simulations!$A$1:$BK$1, 0))</f>
        <v>7.4949443181521076</v>
      </c>
      <c r="C734" s="2">
        <f ca="1">INDEX(Simulations!$A$1:$BK$2501, 734, MATCH("RevCAGR", Simulations!$A$1:$BK$1, 0))</f>
        <v>9.6035040147455265E-3</v>
      </c>
      <c r="D734" s="2">
        <f ca="1">INDEX(Simulations!$A$1:$BK$2501, 734, MATCH("SynMargin", Simulations!$A$1:$BK$1, 0))</f>
        <v>1.419153070933513E-2</v>
      </c>
      <c r="E734" s="2">
        <f ca="1">INDEX(Simulations!$A$1:$BK$2501, 734, MATCH("Yr1Shock", Simulations!$A$1:$BK$1, 0))</f>
        <v>-4.5618055305823815E-2</v>
      </c>
    </row>
    <row r="735" spans="1:5" x14ac:dyDescent="0.3">
      <c r="A735" s="2">
        <f ca="1">INDEX(Simulations!$A$1:$BK$2501, 735, MATCH("PurchaseMultiple", Simulations!$A$1:$BK$1, 0))</f>
        <v>7.6122287405073736</v>
      </c>
      <c r="B735" s="2">
        <f ca="1">INDEX(Simulations!$A$1:$BK$2501, 735, MATCH("ExitMultiple", Simulations!$A$1:$BK$1, 0))</f>
        <v>7.1092389414851667</v>
      </c>
      <c r="C735" s="2">
        <f ca="1">INDEX(Simulations!$A$1:$BK$2501, 735, MATCH("RevCAGR", Simulations!$A$1:$BK$1, 0))</f>
        <v>6.6521963660042649E-2</v>
      </c>
      <c r="D735" s="2">
        <f ca="1">INDEX(Simulations!$A$1:$BK$2501, 735, MATCH("SynMargin", Simulations!$A$1:$BK$1, 0))</f>
        <v>1.4265536919876682E-2</v>
      </c>
      <c r="E735" s="2">
        <f ca="1">INDEX(Simulations!$A$1:$BK$2501, 735, MATCH("Yr1Shock", Simulations!$A$1:$BK$1, 0))</f>
        <v>3.7012654572750957E-2</v>
      </c>
    </row>
    <row r="736" spans="1:5" x14ac:dyDescent="0.3">
      <c r="A736" s="2">
        <f ca="1">INDEX(Simulations!$A$1:$BK$2501, 736, MATCH("PurchaseMultiple", Simulations!$A$1:$BK$1, 0))</f>
        <v>6.9509319128579428</v>
      </c>
      <c r="B736" s="2">
        <f ca="1">INDEX(Simulations!$A$1:$BK$2501, 736, MATCH("ExitMultiple", Simulations!$A$1:$BK$1, 0))</f>
        <v>7.2674781950362339</v>
      </c>
      <c r="C736" s="2">
        <f ca="1">INDEX(Simulations!$A$1:$BK$2501, 736, MATCH("RevCAGR", Simulations!$A$1:$BK$1, 0))</f>
        <v>2.3176673876102137E-2</v>
      </c>
      <c r="D736" s="2">
        <f ca="1">INDEX(Simulations!$A$1:$BK$2501, 736, MATCH("SynMargin", Simulations!$A$1:$BK$1, 0))</f>
        <v>8.2230143419914359E-3</v>
      </c>
      <c r="E736" s="2">
        <f ca="1">INDEX(Simulations!$A$1:$BK$2501, 736, MATCH("Yr1Shock", Simulations!$A$1:$BK$1, 0))</f>
        <v>-2.1037749935927913E-2</v>
      </c>
    </row>
    <row r="737" spans="1:5" x14ac:dyDescent="0.3">
      <c r="A737" s="2">
        <f ca="1">INDEX(Simulations!$A$1:$BK$2501, 737, MATCH("PurchaseMultiple", Simulations!$A$1:$BK$1, 0))</f>
        <v>7.0229576401709783</v>
      </c>
      <c r="B737" s="2">
        <f ca="1">INDEX(Simulations!$A$1:$BK$2501, 737, MATCH("ExitMultiple", Simulations!$A$1:$BK$1, 0))</f>
        <v>7.4345806346290875</v>
      </c>
      <c r="C737" s="2">
        <f ca="1">INDEX(Simulations!$A$1:$BK$2501, 737, MATCH("RevCAGR", Simulations!$A$1:$BK$1, 0))</f>
        <v>3.9048959906156443E-2</v>
      </c>
      <c r="D737" s="2">
        <f ca="1">INDEX(Simulations!$A$1:$BK$2501, 737, MATCH("SynMargin", Simulations!$A$1:$BK$1, 0))</f>
        <v>7.9249849888004941E-3</v>
      </c>
      <c r="E737" s="2">
        <f ca="1">INDEX(Simulations!$A$1:$BK$2501, 737, MATCH("Yr1Shock", Simulations!$A$1:$BK$1, 0))</f>
        <v>4.2547936999231366E-2</v>
      </c>
    </row>
    <row r="738" spans="1:5" x14ac:dyDescent="0.3">
      <c r="A738" s="2">
        <f ca="1">INDEX(Simulations!$A$1:$BK$2501, 738, MATCH("PurchaseMultiple", Simulations!$A$1:$BK$1, 0))</f>
        <v>6.4171271967938965</v>
      </c>
      <c r="B738" s="2">
        <f ca="1">INDEX(Simulations!$A$1:$BK$2501, 738, MATCH("ExitMultiple", Simulations!$A$1:$BK$1, 0))</f>
        <v>6.9518831217467358</v>
      </c>
      <c r="C738" s="2">
        <f ca="1">INDEX(Simulations!$A$1:$BK$2501, 738, MATCH("RevCAGR", Simulations!$A$1:$BK$1, 0))</f>
        <v>1.2019471449548763E-4</v>
      </c>
      <c r="D738" s="2">
        <f ca="1">INDEX(Simulations!$A$1:$BK$2501, 738, MATCH("SynMargin", Simulations!$A$1:$BK$1, 0))</f>
        <v>1.6823858266724723E-2</v>
      </c>
      <c r="E738" s="2">
        <f ca="1">INDEX(Simulations!$A$1:$BK$2501, 738, MATCH("Yr1Shock", Simulations!$A$1:$BK$1, 0))</f>
        <v>2.9673098896831604E-2</v>
      </c>
    </row>
    <row r="739" spans="1:5" x14ac:dyDescent="0.3">
      <c r="A739" s="2">
        <f ca="1">INDEX(Simulations!$A$1:$BK$2501, 739, MATCH("PurchaseMultiple", Simulations!$A$1:$BK$1, 0))</f>
        <v>6.2892586304952971</v>
      </c>
      <c r="B739" s="2">
        <f ca="1">INDEX(Simulations!$A$1:$BK$2501, 739, MATCH("ExitMultiple", Simulations!$A$1:$BK$1, 0))</f>
        <v>7.542564443185146</v>
      </c>
      <c r="C739" s="2">
        <f ca="1">INDEX(Simulations!$A$1:$BK$2501, 739, MATCH("RevCAGR", Simulations!$A$1:$BK$1, 0))</f>
        <v>7.3648063145436371E-2</v>
      </c>
      <c r="D739" s="2">
        <f ca="1">INDEX(Simulations!$A$1:$BK$2501, 739, MATCH("SynMargin", Simulations!$A$1:$BK$1, 0))</f>
        <v>7.0288238317920129E-3</v>
      </c>
      <c r="E739" s="2">
        <f ca="1">INDEX(Simulations!$A$1:$BK$2501, 739, MATCH("Yr1Shock", Simulations!$A$1:$BK$1, 0))</f>
        <v>2.5009264723124775E-2</v>
      </c>
    </row>
    <row r="740" spans="1:5" x14ac:dyDescent="0.3">
      <c r="A740" s="2">
        <f ca="1">INDEX(Simulations!$A$1:$BK$2501, 740, MATCH("PurchaseMultiple", Simulations!$A$1:$BK$1, 0))</f>
        <v>6.8783746761427702</v>
      </c>
      <c r="B740" s="2">
        <f ca="1">INDEX(Simulations!$A$1:$BK$2501, 740, MATCH("ExitMultiple", Simulations!$A$1:$BK$1, 0))</f>
        <v>7.6001861078250723</v>
      </c>
      <c r="C740" s="2">
        <f ca="1">INDEX(Simulations!$A$1:$BK$2501, 740, MATCH("RevCAGR", Simulations!$A$1:$BK$1, 0))</f>
        <v>6.3382667188307151E-2</v>
      </c>
      <c r="D740" s="2">
        <f ca="1">INDEX(Simulations!$A$1:$BK$2501, 740, MATCH("SynMargin", Simulations!$A$1:$BK$1, 0))</f>
        <v>5.2939867556720047E-3</v>
      </c>
      <c r="E740" s="2">
        <f ca="1">INDEX(Simulations!$A$1:$BK$2501, 740, MATCH("Yr1Shock", Simulations!$A$1:$BK$1, 0))</f>
        <v>1.1046271000036096E-2</v>
      </c>
    </row>
    <row r="741" spans="1:5" x14ac:dyDescent="0.3">
      <c r="A741" s="2">
        <f ca="1">INDEX(Simulations!$A$1:$BK$2501, 741, MATCH("PurchaseMultiple", Simulations!$A$1:$BK$1, 0))</f>
        <v>6.7267250551298998</v>
      </c>
      <c r="B741" s="2">
        <f ca="1">INDEX(Simulations!$A$1:$BK$2501, 741, MATCH("ExitMultiple", Simulations!$A$1:$BK$1, 0))</f>
        <v>8.0041517971915255</v>
      </c>
      <c r="C741" s="2">
        <f ca="1">INDEX(Simulations!$A$1:$BK$2501, 741, MATCH("RevCAGR", Simulations!$A$1:$BK$1, 0))</f>
        <v>2.8668532070475074E-2</v>
      </c>
      <c r="D741" s="2">
        <f ca="1">INDEX(Simulations!$A$1:$BK$2501, 741, MATCH("SynMargin", Simulations!$A$1:$BK$1, 0))</f>
        <v>1.5953613523614959E-2</v>
      </c>
      <c r="E741" s="2">
        <f ca="1">INDEX(Simulations!$A$1:$BK$2501, 741, MATCH("Yr1Shock", Simulations!$A$1:$BK$1, 0))</f>
        <v>1.3253392590917493E-2</v>
      </c>
    </row>
    <row r="742" spans="1:5" x14ac:dyDescent="0.3">
      <c r="A742" s="2">
        <f ca="1">INDEX(Simulations!$A$1:$BK$2501, 742, MATCH("PurchaseMultiple", Simulations!$A$1:$BK$1, 0))</f>
        <v>6.4024944827141983</v>
      </c>
      <c r="B742" s="2">
        <f ca="1">INDEX(Simulations!$A$1:$BK$2501, 742, MATCH("ExitMultiple", Simulations!$A$1:$BK$1, 0))</f>
        <v>7.7560539403087674</v>
      </c>
      <c r="C742" s="2">
        <f ca="1">INDEX(Simulations!$A$1:$BK$2501, 742, MATCH("RevCAGR", Simulations!$A$1:$BK$1, 0))</f>
        <v>3.6373141337363711E-2</v>
      </c>
      <c r="D742" s="2">
        <f ca="1">INDEX(Simulations!$A$1:$BK$2501, 742, MATCH("SynMargin", Simulations!$A$1:$BK$1, 0))</f>
        <v>1.2450188107031027E-2</v>
      </c>
      <c r="E742" s="2">
        <f ca="1">INDEX(Simulations!$A$1:$BK$2501, 742, MATCH("Yr1Shock", Simulations!$A$1:$BK$1, 0))</f>
        <v>6.6996336212692721E-3</v>
      </c>
    </row>
    <row r="743" spans="1:5" x14ac:dyDescent="0.3">
      <c r="A743" s="2">
        <f ca="1">INDEX(Simulations!$A$1:$BK$2501, 743, MATCH("PurchaseMultiple", Simulations!$A$1:$BK$1, 0))</f>
        <v>7.7969181186930561</v>
      </c>
      <c r="B743" s="2">
        <f ca="1">INDEX(Simulations!$A$1:$BK$2501, 743, MATCH("ExitMultiple", Simulations!$A$1:$BK$1, 0))</f>
        <v>7.2965121701556992</v>
      </c>
      <c r="C743" s="2">
        <f ca="1">INDEX(Simulations!$A$1:$BK$2501, 743, MATCH("RevCAGR", Simulations!$A$1:$BK$1, 0))</f>
        <v>4.7727570798870397E-2</v>
      </c>
      <c r="D743" s="2">
        <f ca="1">INDEX(Simulations!$A$1:$BK$2501, 743, MATCH("SynMargin", Simulations!$A$1:$BK$1, 0))</f>
        <v>1.2611687722554478E-2</v>
      </c>
      <c r="E743" s="2">
        <f ca="1">INDEX(Simulations!$A$1:$BK$2501, 743, MATCH("Yr1Shock", Simulations!$A$1:$BK$1, 0))</f>
        <v>-1.7886796775001108E-2</v>
      </c>
    </row>
    <row r="744" spans="1:5" x14ac:dyDescent="0.3">
      <c r="A744" s="2">
        <f ca="1">INDEX(Simulations!$A$1:$BK$2501, 744, MATCH("PurchaseMultiple", Simulations!$A$1:$BK$1, 0))</f>
        <v>6.8510026992710342</v>
      </c>
      <c r="B744" s="2">
        <f ca="1">INDEX(Simulations!$A$1:$BK$2501, 744, MATCH("ExitMultiple", Simulations!$A$1:$BK$1, 0))</f>
        <v>7.8611117876383849</v>
      </c>
      <c r="C744" s="2">
        <f ca="1">INDEX(Simulations!$A$1:$BK$2501, 744, MATCH("RevCAGR", Simulations!$A$1:$BK$1, 0))</f>
        <v>8.1518278203696351E-2</v>
      </c>
      <c r="D744" s="2">
        <f ca="1">INDEX(Simulations!$A$1:$BK$2501, 744, MATCH("SynMargin", Simulations!$A$1:$BK$1, 0))</f>
        <v>7.8072407378901882E-3</v>
      </c>
      <c r="E744" s="2">
        <f ca="1">INDEX(Simulations!$A$1:$BK$2501, 744, MATCH("Yr1Shock", Simulations!$A$1:$BK$1, 0))</f>
        <v>1.7094587214730159E-3</v>
      </c>
    </row>
    <row r="745" spans="1:5" x14ac:dyDescent="0.3">
      <c r="A745" s="2">
        <f ca="1">INDEX(Simulations!$A$1:$BK$2501, 745, MATCH("PurchaseMultiple", Simulations!$A$1:$BK$1, 0))</f>
        <v>6.4987730764538902</v>
      </c>
      <c r="B745" s="2">
        <f ca="1">INDEX(Simulations!$A$1:$BK$2501, 745, MATCH("ExitMultiple", Simulations!$A$1:$BK$1, 0))</f>
        <v>7.7706471522500484</v>
      </c>
      <c r="C745" s="2">
        <f ca="1">INDEX(Simulations!$A$1:$BK$2501, 745, MATCH("RevCAGR", Simulations!$A$1:$BK$1, 0))</f>
        <v>3.504049281638498E-2</v>
      </c>
      <c r="D745" s="2">
        <f ca="1">INDEX(Simulations!$A$1:$BK$2501, 745, MATCH("SynMargin", Simulations!$A$1:$BK$1, 0))</f>
        <v>0.03</v>
      </c>
      <c r="E745" s="2">
        <f ca="1">INDEX(Simulations!$A$1:$BK$2501, 745, MATCH("Yr1Shock", Simulations!$A$1:$BK$1, 0))</f>
        <v>2.4562826361650232E-3</v>
      </c>
    </row>
    <row r="746" spans="1:5" x14ac:dyDescent="0.3">
      <c r="A746" s="2">
        <f ca="1">INDEX(Simulations!$A$1:$BK$2501, 746, MATCH("PurchaseMultiple", Simulations!$A$1:$BK$1, 0))</f>
        <v>7.1508953411131948</v>
      </c>
      <c r="B746" s="2">
        <f ca="1">INDEX(Simulations!$A$1:$BK$2501, 746, MATCH("ExitMultiple", Simulations!$A$1:$BK$1, 0))</f>
        <v>7.9331383388758416</v>
      </c>
      <c r="C746" s="2">
        <f ca="1">INDEX(Simulations!$A$1:$BK$2501, 746, MATCH("RevCAGR", Simulations!$A$1:$BK$1, 0))</f>
        <v>3.6879299105356519E-2</v>
      </c>
      <c r="D746" s="2">
        <f ca="1">INDEX(Simulations!$A$1:$BK$2501, 746, MATCH("SynMargin", Simulations!$A$1:$BK$1, 0))</f>
        <v>1.6347098968160265E-2</v>
      </c>
      <c r="E746" s="2">
        <f ca="1">INDEX(Simulations!$A$1:$BK$2501, 746, MATCH("Yr1Shock", Simulations!$A$1:$BK$1, 0))</f>
        <v>1.0822039936548462E-2</v>
      </c>
    </row>
    <row r="747" spans="1:5" x14ac:dyDescent="0.3">
      <c r="A747" s="2">
        <f ca="1">INDEX(Simulations!$A$1:$BK$2501, 747, MATCH("PurchaseMultiple", Simulations!$A$1:$BK$1, 0))</f>
        <v>7.2121005427517177</v>
      </c>
      <c r="B747" s="2">
        <f ca="1">INDEX(Simulations!$A$1:$BK$2501, 747, MATCH("ExitMultiple", Simulations!$A$1:$BK$1, 0))</f>
        <v>7.9955396238904246</v>
      </c>
      <c r="C747" s="2">
        <f ca="1">INDEX(Simulations!$A$1:$BK$2501, 747, MATCH("RevCAGR", Simulations!$A$1:$BK$1, 0))</f>
        <v>4.7530712711464022E-2</v>
      </c>
      <c r="D747" s="2">
        <f ca="1">INDEX(Simulations!$A$1:$BK$2501, 747, MATCH("SynMargin", Simulations!$A$1:$BK$1, 0))</f>
        <v>2.6356940734590497E-3</v>
      </c>
      <c r="E747" s="2">
        <f ca="1">INDEX(Simulations!$A$1:$BK$2501, 747, MATCH("Yr1Shock", Simulations!$A$1:$BK$1, 0))</f>
        <v>3.2908612194267285E-3</v>
      </c>
    </row>
    <row r="748" spans="1:5" x14ac:dyDescent="0.3">
      <c r="A748" s="2">
        <f ca="1">INDEX(Simulations!$A$1:$BK$2501, 748, MATCH("PurchaseMultiple", Simulations!$A$1:$BK$1, 0))</f>
        <v>6.718787834770179</v>
      </c>
      <c r="B748" s="2">
        <f ca="1">INDEX(Simulations!$A$1:$BK$2501, 748, MATCH("ExitMultiple", Simulations!$A$1:$BK$1, 0))</f>
        <v>7.3111440218810504</v>
      </c>
      <c r="C748" s="2">
        <f ca="1">INDEX(Simulations!$A$1:$BK$2501, 748, MATCH("RevCAGR", Simulations!$A$1:$BK$1, 0))</f>
        <v>5.2897639496289423E-2</v>
      </c>
      <c r="D748" s="2">
        <f ca="1">INDEX(Simulations!$A$1:$BK$2501, 748, MATCH("SynMargin", Simulations!$A$1:$BK$1, 0))</f>
        <v>1.5623549294455145E-2</v>
      </c>
      <c r="E748" s="2">
        <f ca="1">INDEX(Simulations!$A$1:$BK$2501, 748, MATCH("Yr1Shock", Simulations!$A$1:$BK$1, 0))</f>
        <v>1.4624807869710146E-2</v>
      </c>
    </row>
    <row r="749" spans="1:5" x14ac:dyDescent="0.3">
      <c r="A749" s="2">
        <f ca="1">INDEX(Simulations!$A$1:$BK$2501, 749, MATCH("PurchaseMultiple", Simulations!$A$1:$BK$1, 0))</f>
        <v>6.8520646012401816</v>
      </c>
      <c r="B749" s="2">
        <f ca="1">INDEX(Simulations!$A$1:$BK$2501, 749, MATCH("ExitMultiple", Simulations!$A$1:$BK$1, 0))</f>
        <v>7.460543721673556</v>
      </c>
      <c r="C749" s="2">
        <f ca="1">INDEX(Simulations!$A$1:$BK$2501, 749, MATCH("RevCAGR", Simulations!$A$1:$BK$1, 0))</f>
        <v>5.1633366957633937E-2</v>
      </c>
      <c r="D749" s="2">
        <f ca="1">INDEX(Simulations!$A$1:$BK$2501, 749, MATCH("SynMargin", Simulations!$A$1:$BK$1, 0))</f>
        <v>7.5954337798373409E-3</v>
      </c>
      <c r="E749" s="2">
        <f ca="1">INDEX(Simulations!$A$1:$BK$2501, 749, MATCH("Yr1Shock", Simulations!$A$1:$BK$1, 0))</f>
        <v>-1.9744756715890974E-2</v>
      </c>
    </row>
    <row r="750" spans="1:5" x14ac:dyDescent="0.3">
      <c r="A750" s="2">
        <f ca="1">INDEX(Simulations!$A$1:$BK$2501, 750, MATCH("PurchaseMultiple", Simulations!$A$1:$BK$1, 0))</f>
        <v>7.5069137199287024</v>
      </c>
      <c r="B750" s="2">
        <f ca="1">INDEX(Simulations!$A$1:$BK$2501, 750, MATCH("ExitMultiple", Simulations!$A$1:$BK$1, 0))</f>
        <v>8.0625829966222664</v>
      </c>
      <c r="C750" s="2">
        <f ca="1">INDEX(Simulations!$A$1:$BK$2501, 750, MATCH("RevCAGR", Simulations!$A$1:$BK$1, 0))</f>
        <v>3.47229320308741E-2</v>
      </c>
      <c r="D750" s="2">
        <f ca="1">INDEX(Simulations!$A$1:$BK$2501, 750, MATCH("SynMargin", Simulations!$A$1:$BK$1, 0))</f>
        <v>4.8210032189825933E-3</v>
      </c>
      <c r="E750" s="2">
        <f ca="1">INDEX(Simulations!$A$1:$BK$2501, 750, MATCH("Yr1Shock", Simulations!$A$1:$BK$1, 0))</f>
        <v>6.3672814436721891E-3</v>
      </c>
    </row>
    <row r="751" spans="1:5" x14ac:dyDescent="0.3">
      <c r="A751" s="2">
        <f ca="1">INDEX(Simulations!$A$1:$BK$2501, 751, MATCH("PurchaseMultiple", Simulations!$A$1:$BK$1, 0))</f>
        <v>6.6630249954576239</v>
      </c>
      <c r="B751" s="2">
        <f ca="1">INDEX(Simulations!$A$1:$BK$2501, 751, MATCH("ExitMultiple", Simulations!$A$1:$BK$1, 0))</f>
        <v>8.1048171593842611</v>
      </c>
      <c r="C751" s="2">
        <f ca="1">INDEX(Simulations!$A$1:$BK$2501, 751, MATCH("RevCAGR", Simulations!$A$1:$BK$1, 0))</f>
        <v>3.7041802323491427E-2</v>
      </c>
      <c r="D751" s="2">
        <f ca="1">INDEX(Simulations!$A$1:$BK$2501, 751, MATCH("SynMargin", Simulations!$A$1:$BK$1, 0))</f>
        <v>9.19916323807962E-3</v>
      </c>
      <c r="E751" s="2">
        <f ca="1">INDEX(Simulations!$A$1:$BK$2501, 751, MATCH("Yr1Shock", Simulations!$A$1:$BK$1, 0))</f>
        <v>2.4565895625758137E-2</v>
      </c>
    </row>
    <row r="752" spans="1:5" x14ac:dyDescent="0.3">
      <c r="A752" s="2">
        <f ca="1">INDEX(Simulations!$A$1:$BK$2501, 752, MATCH("PurchaseMultiple", Simulations!$A$1:$BK$1, 0))</f>
        <v>7.1669676728655798</v>
      </c>
      <c r="B752" s="2">
        <f ca="1">INDEX(Simulations!$A$1:$BK$2501, 752, MATCH("ExitMultiple", Simulations!$A$1:$BK$1, 0))</f>
        <v>7.8457446319848518</v>
      </c>
      <c r="C752" s="2">
        <f ca="1">INDEX(Simulations!$A$1:$BK$2501, 752, MATCH("RevCAGR", Simulations!$A$1:$BK$1, 0))</f>
        <v>2.1130196387729103E-3</v>
      </c>
      <c r="D752" s="2">
        <f ca="1">INDEX(Simulations!$A$1:$BK$2501, 752, MATCH("SynMargin", Simulations!$A$1:$BK$1, 0))</f>
        <v>1.0906392782231784E-2</v>
      </c>
      <c r="E752" s="2">
        <f ca="1">INDEX(Simulations!$A$1:$BK$2501, 752, MATCH("Yr1Shock", Simulations!$A$1:$BK$1, 0))</f>
        <v>3.3749850913046289E-2</v>
      </c>
    </row>
    <row r="753" spans="1:5" x14ac:dyDescent="0.3">
      <c r="A753" s="2">
        <f ca="1">INDEX(Simulations!$A$1:$BK$2501, 753, MATCH("PurchaseMultiple", Simulations!$A$1:$BK$1, 0))</f>
        <v>7.6921058974411771</v>
      </c>
      <c r="B753" s="2">
        <f ca="1">INDEX(Simulations!$A$1:$BK$2501, 753, MATCH("ExitMultiple", Simulations!$A$1:$BK$1, 0))</f>
        <v>8.0803340467601945</v>
      </c>
      <c r="C753" s="2">
        <f ca="1">INDEX(Simulations!$A$1:$BK$2501, 753, MATCH("RevCAGR", Simulations!$A$1:$BK$1, 0))</f>
        <v>4.3752472380986319E-2</v>
      </c>
      <c r="D753" s="2">
        <f ca="1">INDEX(Simulations!$A$1:$BK$2501, 753, MATCH("SynMargin", Simulations!$A$1:$BK$1, 0))</f>
        <v>1.4732788065811938E-2</v>
      </c>
      <c r="E753" s="2">
        <f ca="1">INDEX(Simulations!$A$1:$BK$2501, 753, MATCH("Yr1Shock", Simulations!$A$1:$BK$1, 0))</f>
        <v>4.2173209587023554E-3</v>
      </c>
    </row>
    <row r="754" spans="1:5" x14ac:dyDescent="0.3">
      <c r="A754" s="2">
        <f ca="1">INDEX(Simulations!$A$1:$BK$2501, 754, MATCH("PurchaseMultiple", Simulations!$A$1:$BK$1, 0))</f>
        <v>6.3775414674435487</v>
      </c>
      <c r="B754" s="2">
        <f ca="1">INDEX(Simulations!$A$1:$BK$2501, 754, MATCH("ExitMultiple", Simulations!$A$1:$BK$1, 0))</f>
        <v>7.7342393898124016</v>
      </c>
      <c r="C754" s="2">
        <f ca="1">INDEX(Simulations!$A$1:$BK$2501, 754, MATCH("RevCAGR", Simulations!$A$1:$BK$1, 0))</f>
        <v>8.6264739032555854E-2</v>
      </c>
      <c r="D754" s="2">
        <f ca="1">INDEX(Simulations!$A$1:$BK$2501, 754, MATCH("SynMargin", Simulations!$A$1:$BK$1, 0))</f>
        <v>2.5690708261350129E-2</v>
      </c>
      <c r="E754" s="2">
        <f ca="1">INDEX(Simulations!$A$1:$BK$2501, 754, MATCH("Yr1Shock", Simulations!$A$1:$BK$1, 0))</f>
        <v>3.4041988949228261E-2</v>
      </c>
    </row>
    <row r="755" spans="1:5" x14ac:dyDescent="0.3">
      <c r="A755" s="2">
        <f ca="1">INDEX(Simulations!$A$1:$BK$2501, 755, MATCH("PurchaseMultiple", Simulations!$A$1:$BK$1, 0))</f>
        <v>6.7426823412320278</v>
      </c>
      <c r="B755" s="2">
        <f ca="1">INDEX(Simulations!$A$1:$BK$2501, 755, MATCH("ExitMultiple", Simulations!$A$1:$BK$1, 0))</f>
        <v>7.2083702869730413</v>
      </c>
      <c r="C755" s="2">
        <f ca="1">INDEX(Simulations!$A$1:$BK$2501, 755, MATCH("RevCAGR", Simulations!$A$1:$BK$1, 0))</f>
        <v>8.1084583721770243E-2</v>
      </c>
      <c r="D755" s="2">
        <f ca="1">INDEX(Simulations!$A$1:$BK$2501, 755, MATCH("SynMargin", Simulations!$A$1:$BK$1, 0))</f>
        <v>1.3590474656040909E-2</v>
      </c>
      <c r="E755" s="2">
        <f ca="1">INDEX(Simulations!$A$1:$BK$2501, 755, MATCH("Yr1Shock", Simulations!$A$1:$BK$1, 0))</f>
        <v>-3.071773980955424E-2</v>
      </c>
    </row>
    <row r="756" spans="1:5" x14ac:dyDescent="0.3">
      <c r="A756" s="2">
        <f ca="1">INDEX(Simulations!$A$1:$BK$2501, 756, MATCH("PurchaseMultiple", Simulations!$A$1:$BK$1, 0))</f>
        <v>7.6700469555852262</v>
      </c>
      <c r="B756" s="2">
        <f ca="1">INDEX(Simulations!$A$1:$BK$2501, 756, MATCH("ExitMultiple", Simulations!$A$1:$BK$1, 0))</f>
        <v>7.3282352783471802</v>
      </c>
      <c r="C756" s="2">
        <f ca="1">INDEX(Simulations!$A$1:$BK$2501, 756, MATCH("RevCAGR", Simulations!$A$1:$BK$1, 0))</f>
        <v>1.2046553602264712E-2</v>
      </c>
      <c r="D756" s="2">
        <f ca="1">INDEX(Simulations!$A$1:$BK$2501, 756, MATCH("SynMargin", Simulations!$A$1:$BK$1, 0))</f>
        <v>1.0852710827103575E-2</v>
      </c>
      <c r="E756" s="2">
        <f ca="1">INDEX(Simulations!$A$1:$BK$2501, 756, MATCH("Yr1Shock", Simulations!$A$1:$BK$1, 0))</f>
        <v>8.7889562931776806E-3</v>
      </c>
    </row>
    <row r="757" spans="1:5" x14ac:dyDescent="0.3">
      <c r="A757" s="2">
        <f ca="1">INDEX(Simulations!$A$1:$BK$2501, 757, MATCH("PurchaseMultiple", Simulations!$A$1:$BK$1, 0))</f>
        <v>6.3467011948516703</v>
      </c>
      <c r="B757" s="2">
        <f ca="1">INDEX(Simulations!$A$1:$BK$2501, 757, MATCH("ExitMultiple", Simulations!$A$1:$BK$1, 0))</f>
        <v>7.9376856303678656</v>
      </c>
      <c r="C757" s="2">
        <f ca="1">INDEX(Simulations!$A$1:$BK$2501, 757, MATCH("RevCAGR", Simulations!$A$1:$BK$1, 0))</f>
        <v>7.5468899127627651E-2</v>
      </c>
      <c r="D757" s="2">
        <f ca="1">INDEX(Simulations!$A$1:$BK$2501, 757, MATCH("SynMargin", Simulations!$A$1:$BK$1, 0))</f>
        <v>3.363323230668026E-3</v>
      </c>
      <c r="E757" s="2">
        <f ca="1">INDEX(Simulations!$A$1:$BK$2501, 757, MATCH("Yr1Shock", Simulations!$A$1:$BK$1, 0))</f>
        <v>1.9301258202294692E-3</v>
      </c>
    </row>
    <row r="758" spans="1:5" x14ac:dyDescent="0.3">
      <c r="A758" s="2">
        <f ca="1">INDEX(Simulations!$A$1:$BK$2501, 758, MATCH("PurchaseMultiple", Simulations!$A$1:$BK$1, 0))</f>
        <v>7.6369415380957548</v>
      </c>
      <c r="B758" s="2">
        <f ca="1">INDEX(Simulations!$A$1:$BK$2501, 758, MATCH("ExitMultiple", Simulations!$A$1:$BK$1, 0))</f>
        <v>7.7683990207773403</v>
      </c>
      <c r="C758" s="2">
        <f ca="1">INDEX(Simulations!$A$1:$BK$2501, 758, MATCH("RevCAGR", Simulations!$A$1:$BK$1, 0))</f>
        <v>6.6472817776531551E-2</v>
      </c>
      <c r="D758" s="2">
        <f ca="1">INDEX(Simulations!$A$1:$BK$2501, 758, MATCH("SynMargin", Simulations!$A$1:$BK$1, 0))</f>
        <v>7.0870850896613746E-3</v>
      </c>
      <c r="E758" s="2">
        <f ca="1">INDEX(Simulations!$A$1:$BK$2501, 758, MATCH("Yr1Shock", Simulations!$A$1:$BK$1, 0))</f>
        <v>-1.5049171994423094E-2</v>
      </c>
    </row>
    <row r="759" spans="1:5" x14ac:dyDescent="0.3">
      <c r="A759" s="2">
        <f ca="1">INDEX(Simulations!$A$1:$BK$2501, 759, MATCH("PurchaseMultiple", Simulations!$A$1:$BK$1, 0))</f>
        <v>6.2654808107812947</v>
      </c>
      <c r="B759" s="2">
        <f ca="1">INDEX(Simulations!$A$1:$BK$2501, 759, MATCH("ExitMultiple", Simulations!$A$1:$BK$1, 0))</f>
        <v>8.0605775143445602</v>
      </c>
      <c r="C759" s="2">
        <f ca="1">INDEX(Simulations!$A$1:$BK$2501, 759, MATCH("RevCAGR", Simulations!$A$1:$BK$1, 0))</f>
        <v>5.7392369873425921E-2</v>
      </c>
      <c r="D759" s="2">
        <f ca="1">INDEX(Simulations!$A$1:$BK$2501, 759, MATCH("SynMargin", Simulations!$A$1:$BK$1, 0))</f>
        <v>1.0816231440663782E-2</v>
      </c>
      <c r="E759" s="2">
        <f ca="1">INDEX(Simulations!$A$1:$BK$2501, 759, MATCH("Yr1Shock", Simulations!$A$1:$BK$1, 0))</f>
        <v>-2.0498400475270774E-2</v>
      </c>
    </row>
    <row r="760" spans="1:5" x14ac:dyDescent="0.3">
      <c r="A760" s="2">
        <f ca="1">INDEX(Simulations!$A$1:$BK$2501, 760, MATCH("PurchaseMultiple", Simulations!$A$1:$BK$1, 0))</f>
        <v>7.5917003082784351</v>
      </c>
      <c r="B760" s="2">
        <f ca="1">INDEX(Simulations!$A$1:$BK$2501, 760, MATCH("ExitMultiple", Simulations!$A$1:$BK$1, 0))</f>
        <v>7.7420315888360971</v>
      </c>
      <c r="C760" s="2">
        <f ca="1">INDEX(Simulations!$A$1:$BK$2501, 760, MATCH("RevCAGR", Simulations!$A$1:$BK$1, 0))</f>
        <v>8.4963410202930134E-2</v>
      </c>
      <c r="D760" s="2">
        <f ca="1">INDEX(Simulations!$A$1:$BK$2501, 760, MATCH("SynMargin", Simulations!$A$1:$BK$1, 0))</f>
        <v>8.781531922547511E-3</v>
      </c>
      <c r="E760" s="2">
        <f ca="1">INDEX(Simulations!$A$1:$BK$2501, 760, MATCH("Yr1Shock", Simulations!$A$1:$BK$1, 0))</f>
        <v>-1.2973254569442242E-3</v>
      </c>
    </row>
    <row r="761" spans="1:5" x14ac:dyDescent="0.3">
      <c r="A761" s="2">
        <f ca="1">INDEX(Simulations!$A$1:$BK$2501, 761, MATCH("PurchaseMultiple", Simulations!$A$1:$BK$1, 0))</f>
        <v>6.7543460049454964</v>
      </c>
      <c r="B761" s="2">
        <f ca="1">INDEX(Simulations!$A$1:$BK$2501, 761, MATCH("ExitMultiple", Simulations!$A$1:$BK$1, 0))</f>
        <v>7.0627512864549251</v>
      </c>
      <c r="C761" s="2">
        <f ca="1">INDEX(Simulations!$A$1:$BK$2501, 761, MATCH("RevCAGR", Simulations!$A$1:$BK$1, 0))</f>
        <v>2.8578841687002015E-2</v>
      </c>
      <c r="D761" s="2">
        <f ca="1">INDEX(Simulations!$A$1:$BK$2501, 761, MATCH("SynMargin", Simulations!$A$1:$BK$1, 0))</f>
        <v>5.6357966145027093E-3</v>
      </c>
      <c r="E761" s="2">
        <f ca="1">INDEX(Simulations!$A$1:$BK$2501, 761, MATCH("Yr1Shock", Simulations!$A$1:$BK$1, 0))</f>
        <v>3.8213792063375657E-3</v>
      </c>
    </row>
    <row r="762" spans="1:5" x14ac:dyDescent="0.3">
      <c r="A762" s="2">
        <f ca="1">INDEX(Simulations!$A$1:$BK$2501, 762, MATCH("PurchaseMultiple", Simulations!$A$1:$BK$1, 0))</f>
        <v>7.0261204206218775</v>
      </c>
      <c r="B762" s="2">
        <f ca="1">INDEX(Simulations!$A$1:$BK$2501, 762, MATCH("ExitMultiple", Simulations!$A$1:$BK$1, 0))</f>
        <v>7.7329068047908169</v>
      </c>
      <c r="C762" s="2">
        <f ca="1">INDEX(Simulations!$A$1:$BK$2501, 762, MATCH("RevCAGR", Simulations!$A$1:$BK$1, 0))</f>
        <v>-0.02</v>
      </c>
      <c r="D762" s="2">
        <f ca="1">INDEX(Simulations!$A$1:$BK$2501, 762, MATCH("SynMargin", Simulations!$A$1:$BK$1, 0))</f>
        <v>4.5028214498785534E-3</v>
      </c>
      <c r="E762" s="2">
        <f ca="1">INDEX(Simulations!$A$1:$BK$2501, 762, MATCH("Yr1Shock", Simulations!$A$1:$BK$1, 0))</f>
        <v>-2.0762517353529041E-2</v>
      </c>
    </row>
    <row r="763" spans="1:5" x14ac:dyDescent="0.3">
      <c r="A763" s="2">
        <f ca="1">INDEX(Simulations!$A$1:$BK$2501, 763, MATCH("PurchaseMultiple", Simulations!$A$1:$BK$1, 0))</f>
        <v>7.3312342896160061</v>
      </c>
      <c r="B763" s="2">
        <f ca="1">INDEX(Simulations!$A$1:$BK$2501, 763, MATCH("ExitMultiple", Simulations!$A$1:$BK$1, 0))</f>
        <v>7.4905930922896395</v>
      </c>
      <c r="C763" s="2">
        <f ca="1">INDEX(Simulations!$A$1:$BK$2501, 763, MATCH("RevCAGR", Simulations!$A$1:$BK$1, 0))</f>
        <v>5.1562174132135492E-2</v>
      </c>
      <c r="D763" s="2">
        <f ca="1">INDEX(Simulations!$A$1:$BK$2501, 763, MATCH("SynMargin", Simulations!$A$1:$BK$1, 0))</f>
        <v>1.763868416745653E-2</v>
      </c>
      <c r="E763" s="2">
        <f ca="1">INDEX(Simulations!$A$1:$BK$2501, 763, MATCH("Yr1Shock", Simulations!$A$1:$BK$1, 0))</f>
        <v>-2.8855210501030123E-2</v>
      </c>
    </row>
    <row r="764" spans="1:5" x14ac:dyDescent="0.3">
      <c r="A764" s="2">
        <f ca="1">INDEX(Simulations!$A$1:$BK$2501, 764, MATCH("PurchaseMultiple", Simulations!$A$1:$BK$1, 0))</f>
        <v>7.712590359691303</v>
      </c>
      <c r="B764" s="2">
        <f ca="1">INDEX(Simulations!$A$1:$BK$2501, 764, MATCH("ExitMultiple", Simulations!$A$1:$BK$1, 0))</f>
        <v>7.4331739162773722</v>
      </c>
      <c r="C764" s="2">
        <f ca="1">INDEX(Simulations!$A$1:$BK$2501, 764, MATCH("RevCAGR", Simulations!$A$1:$BK$1, 0))</f>
        <v>8.0597273565584576E-2</v>
      </c>
      <c r="D764" s="2">
        <f ca="1">INDEX(Simulations!$A$1:$BK$2501, 764, MATCH("SynMargin", Simulations!$A$1:$BK$1, 0))</f>
        <v>4.8804988438084134E-3</v>
      </c>
      <c r="E764" s="2">
        <f ca="1">INDEX(Simulations!$A$1:$BK$2501, 764, MATCH("Yr1Shock", Simulations!$A$1:$BK$1, 0))</f>
        <v>-6.6981492609929161E-3</v>
      </c>
    </row>
    <row r="765" spans="1:5" x14ac:dyDescent="0.3">
      <c r="A765" s="2">
        <f ca="1">INDEX(Simulations!$A$1:$BK$2501, 765, MATCH("PurchaseMultiple", Simulations!$A$1:$BK$1, 0))</f>
        <v>6.4233948064225306</v>
      </c>
      <c r="B765" s="2">
        <f ca="1">INDEX(Simulations!$A$1:$BK$2501, 765, MATCH("ExitMultiple", Simulations!$A$1:$BK$1, 0))</f>
        <v>7.498265925097308</v>
      </c>
      <c r="C765" s="2">
        <f ca="1">INDEX(Simulations!$A$1:$BK$2501, 765, MATCH("RevCAGR", Simulations!$A$1:$BK$1, 0))</f>
        <v>1.8340784472872081E-2</v>
      </c>
      <c r="D765" s="2">
        <f ca="1">INDEX(Simulations!$A$1:$BK$2501, 765, MATCH("SynMargin", Simulations!$A$1:$BK$1, 0))</f>
        <v>1.2422245492598542E-2</v>
      </c>
      <c r="E765" s="2">
        <f ca="1">INDEX(Simulations!$A$1:$BK$2501, 765, MATCH("Yr1Shock", Simulations!$A$1:$BK$1, 0))</f>
        <v>-2.0350095188980934E-2</v>
      </c>
    </row>
    <row r="766" spans="1:5" x14ac:dyDescent="0.3">
      <c r="A766" s="2">
        <f ca="1">INDEX(Simulations!$A$1:$BK$2501, 766, MATCH("PurchaseMultiple", Simulations!$A$1:$BK$1, 0))</f>
        <v>6.8667186714070585</v>
      </c>
      <c r="B766" s="2">
        <f ca="1">INDEX(Simulations!$A$1:$BK$2501, 766, MATCH("ExitMultiple", Simulations!$A$1:$BK$1, 0))</f>
        <v>7.2202494749399806</v>
      </c>
      <c r="C766" s="2">
        <f ca="1">INDEX(Simulations!$A$1:$BK$2501, 766, MATCH("RevCAGR", Simulations!$A$1:$BK$1, 0))</f>
        <v>3.208376593783889E-2</v>
      </c>
      <c r="D766" s="2">
        <f ca="1">INDEX(Simulations!$A$1:$BK$2501, 766, MATCH("SynMargin", Simulations!$A$1:$BK$1, 0))</f>
        <v>5.8933132801383672E-3</v>
      </c>
      <c r="E766" s="2">
        <f ca="1">INDEX(Simulations!$A$1:$BK$2501, 766, MATCH("Yr1Shock", Simulations!$A$1:$BK$1, 0))</f>
        <v>2.5666469847699807E-2</v>
      </c>
    </row>
    <row r="767" spans="1:5" x14ac:dyDescent="0.3">
      <c r="A767" s="2">
        <f ca="1">INDEX(Simulations!$A$1:$BK$2501, 767, MATCH("PurchaseMultiple", Simulations!$A$1:$BK$1, 0))</f>
        <v>7.0512250059117987</v>
      </c>
      <c r="B767" s="2">
        <f ca="1">INDEX(Simulations!$A$1:$BK$2501, 767, MATCH("ExitMultiple", Simulations!$A$1:$BK$1, 0))</f>
        <v>7.6847179533827621</v>
      </c>
      <c r="C767" s="2">
        <f ca="1">INDEX(Simulations!$A$1:$BK$2501, 767, MATCH("RevCAGR", Simulations!$A$1:$BK$1, 0))</f>
        <v>1.4824693468625305E-2</v>
      </c>
      <c r="D767" s="2">
        <f ca="1">INDEX(Simulations!$A$1:$BK$2501, 767, MATCH("SynMargin", Simulations!$A$1:$BK$1, 0))</f>
        <v>9.4006793497482498E-3</v>
      </c>
      <c r="E767" s="2">
        <f ca="1">INDEX(Simulations!$A$1:$BK$2501, 767, MATCH("Yr1Shock", Simulations!$A$1:$BK$1, 0))</f>
        <v>-5.0975587231580658E-3</v>
      </c>
    </row>
    <row r="768" spans="1:5" x14ac:dyDescent="0.3">
      <c r="A768" s="2">
        <f ca="1">INDEX(Simulations!$A$1:$BK$2501, 768, MATCH("PurchaseMultiple", Simulations!$A$1:$BK$1, 0))</f>
        <v>7.2916112903847985</v>
      </c>
      <c r="B768" s="2">
        <f ca="1">INDEX(Simulations!$A$1:$BK$2501, 768, MATCH("ExitMultiple", Simulations!$A$1:$BK$1, 0))</f>
        <v>7.3849004296871685</v>
      </c>
      <c r="C768" s="2">
        <f ca="1">INDEX(Simulations!$A$1:$BK$2501, 768, MATCH("RevCAGR", Simulations!$A$1:$BK$1, 0))</f>
        <v>2.1056218093944434E-2</v>
      </c>
      <c r="D768" s="2">
        <f ca="1">INDEX(Simulations!$A$1:$BK$2501, 768, MATCH("SynMargin", Simulations!$A$1:$BK$1, 0))</f>
        <v>1.2231979829033334E-2</v>
      </c>
      <c r="E768" s="2">
        <f ca="1">INDEX(Simulations!$A$1:$BK$2501, 768, MATCH("Yr1Shock", Simulations!$A$1:$BK$1, 0))</f>
        <v>8.5157670577123406E-3</v>
      </c>
    </row>
    <row r="769" spans="1:5" x14ac:dyDescent="0.3">
      <c r="A769" s="2">
        <f ca="1">INDEX(Simulations!$A$1:$BK$2501, 769, MATCH("PurchaseMultiple", Simulations!$A$1:$BK$1, 0))</f>
        <v>6.2332760964095852</v>
      </c>
      <c r="B769" s="2">
        <f ca="1">INDEX(Simulations!$A$1:$BK$2501, 769, MATCH("ExitMultiple", Simulations!$A$1:$BK$1, 0))</f>
        <v>6.6340195965541904</v>
      </c>
      <c r="C769" s="2">
        <f ca="1">INDEX(Simulations!$A$1:$BK$2501, 769, MATCH("RevCAGR", Simulations!$A$1:$BK$1, 0))</f>
        <v>1.2681300079924941E-2</v>
      </c>
      <c r="D769" s="2">
        <f ca="1">INDEX(Simulations!$A$1:$BK$2501, 769, MATCH("SynMargin", Simulations!$A$1:$BK$1, 0))</f>
        <v>1.0253724466360008E-2</v>
      </c>
      <c r="E769" s="2">
        <f ca="1">INDEX(Simulations!$A$1:$BK$2501, 769, MATCH("Yr1Shock", Simulations!$A$1:$BK$1, 0))</f>
        <v>-1.4068975872668857E-2</v>
      </c>
    </row>
    <row r="770" spans="1:5" x14ac:dyDescent="0.3">
      <c r="A770" s="2">
        <f ca="1">INDEX(Simulations!$A$1:$BK$2501, 770, MATCH("PurchaseMultiple", Simulations!$A$1:$BK$1, 0))</f>
        <v>7.0595346622888995</v>
      </c>
      <c r="B770" s="2">
        <f ca="1">INDEX(Simulations!$A$1:$BK$2501, 770, MATCH("ExitMultiple", Simulations!$A$1:$BK$1, 0))</f>
        <v>7.4506088458397421</v>
      </c>
      <c r="C770" s="2">
        <f ca="1">INDEX(Simulations!$A$1:$BK$2501, 770, MATCH("RevCAGR", Simulations!$A$1:$BK$1, 0))</f>
        <v>5.1144202490836815E-2</v>
      </c>
      <c r="D770" s="2">
        <f ca="1">INDEX(Simulations!$A$1:$BK$2501, 770, MATCH("SynMargin", Simulations!$A$1:$BK$1, 0))</f>
        <v>1.0085449192908557E-2</v>
      </c>
      <c r="E770" s="2">
        <f ca="1">INDEX(Simulations!$A$1:$BK$2501, 770, MATCH("Yr1Shock", Simulations!$A$1:$BK$1, 0))</f>
        <v>8.4814371168938502E-3</v>
      </c>
    </row>
    <row r="771" spans="1:5" x14ac:dyDescent="0.3">
      <c r="A771" s="2">
        <f ca="1">INDEX(Simulations!$A$1:$BK$2501, 771, MATCH("PurchaseMultiple", Simulations!$A$1:$BK$1, 0))</f>
        <v>7.2712465833544044</v>
      </c>
      <c r="B771" s="2">
        <f ca="1">INDEX(Simulations!$A$1:$BK$2501, 771, MATCH("ExitMultiple", Simulations!$A$1:$BK$1, 0))</f>
        <v>8.3396027324483271</v>
      </c>
      <c r="C771" s="2">
        <f ca="1">INDEX(Simulations!$A$1:$BK$2501, 771, MATCH("RevCAGR", Simulations!$A$1:$BK$1, 0))</f>
        <v>5.4200375278728029E-2</v>
      </c>
      <c r="D771" s="2">
        <f ca="1">INDEX(Simulations!$A$1:$BK$2501, 771, MATCH("SynMargin", Simulations!$A$1:$BK$1, 0))</f>
        <v>1.5064970836874282E-2</v>
      </c>
      <c r="E771" s="2">
        <f ca="1">INDEX(Simulations!$A$1:$BK$2501, 771, MATCH("Yr1Shock", Simulations!$A$1:$BK$1, 0))</f>
        <v>-2.6651743686043949E-2</v>
      </c>
    </row>
    <row r="772" spans="1:5" x14ac:dyDescent="0.3">
      <c r="A772" s="2">
        <f ca="1">INDEX(Simulations!$A$1:$BK$2501, 772, MATCH("PurchaseMultiple", Simulations!$A$1:$BK$1, 0))</f>
        <v>7.3820166381126207</v>
      </c>
      <c r="B772" s="2">
        <f ca="1">INDEX(Simulations!$A$1:$BK$2501, 772, MATCH("ExitMultiple", Simulations!$A$1:$BK$1, 0))</f>
        <v>7.3235032402897033</v>
      </c>
      <c r="C772" s="2">
        <f ca="1">INDEX(Simulations!$A$1:$BK$2501, 772, MATCH("RevCAGR", Simulations!$A$1:$BK$1, 0))</f>
        <v>9.4421339543778446E-2</v>
      </c>
      <c r="D772" s="2">
        <f ca="1">INDEX(Simulations!$A$1:$BK$2501, 772, MATCH("SynMargin", Simulations!$A$1:$BK$1, 0))</f>
        <v>0</v>
      </c>
      <c r="E772" s="2">
        <f ca="1">INDEX(Simulations!$A$1:$BK$2501, 772, MATCH("Yr1Shock", Simulations!$A$1:$BK$1, 0))</f>
        <v>-2.7879301285436728E-3</v>
      </c>
    </row>
    <row r="773" spans="1:5" x14ac:dyDescent="0.3">
      <c r="A773" s="2">
        <f ca="1">INDEX(Simulations!$A$1:$BK$2501, 773, MATCH("PurchaseMultiple", Simulations!$A$1:$BK$1, 0))</f>
        <v>6.8673294202993791</v>
      </c>
      <c r="B773" s="2">
        <f ca="1">INDEX(Simulations!$A$1:$BK$2501, 773, MATCH("ExitMultiple", Simulations!$A$1:$BK$1, 0))</f>
        <v>7.3689447331948479</v>
      </c>
      <c r="C773" s="2">
        <f ca="1">INDEX(Simulations!$A$1:$BK$2501, 773, MATCH("RevCAGR", Simulations!$A$1:$BK$1, 0))</f>
        <v>7.4513056758991975E-2</v>
      </c>
      <c r="D773" s="2">
        <f ca="1">INDEX(Simulations!$A$1:$BK$2501, 773, MATCH("SynMargin", Simulations!$A$1:$BK$1, 0))</f>
        <v>1.3150322781640827E-2</v>
      </c>
      <c r="E773" s="2">
        <f ca="1">INDEX(Simulations!$A$1:$BK$2501, 773, MATCH("Yr1Shock", Simulations!$A$1:$BK$1, 0))</f>
        <v>-1.1372870990729035E-2</v>
      </c>
    </row>
    <row r="774" spans="1:5" x14ac:dyDescent="0.3">
      <c r="A774" s="2">
        <f ca="1">INDEX(Simulations!$A$1:$BK$2501, 774, MATCH("PurchaseMultiple", Simulations!$A$1:$BK$1, 0))</f>
        <v>6.4919779442787817</v>
      </c>
      <c r="B774" s="2">
        <f ca="1">INDEX(Simulations!$A$1:$BK$2501, 774, MATCH("ExitMultiple", Simulations!$A$1:$BK$1, 0))</f>
        <v>7.7643854772049465</v>
      </c>
      <c r="C774" s="2">
        <f ca="1">INDEX(Simulations!$A$1:$BK$2501, 774, MATCH("RevCAGR", Simulations!$A$1:$BK$1, 0))</f>
        <v>3.1307994455999182E-2</v>
      </c>
      <c r="D774" s="2">
        <f ca="1">INDEX(Simulations!$A$1:$BK$2501, 774, MATCH("SynMargin", Simulations!$A$1:$BK$1, 0))</f>
        <v>1.0612895833959003E-2</v>
      </c>
      <c r="E774" s="2">
        <f ca="1">INDEX(Simulations!$A$1:$BK$2501, 774, MATCH("Yr1Shock", Simulations!$A$1:$BK$1, 0))</f>
        <v>-1.6814977207077805E-2</v>
      </c>
    </row>
    <row r="775" spans="1:5" x14ac:dyDescent="0.3">
      <c r="A775" s="2">
        <f ca="1">INDEX(Simulations!$A$1:$BK$2501, 775, MATCH("PurchaseMultiple", Simulations!$A$1:$BK$1, 0))</f>
        <v>7.5077476522879563</v>
      </c>
      <c r="B775" s="2">
        <f ca="1">INDEX(Simulations!$A$1:$BK$2501, 775, MATCH("ExitMultiple", Simulations!$A$1:$BK$1, 0))</f>
        <v>7.5786936027664442</v>
      </c>
      <c r="C775" s="2">
        <f ca="1">INDEX(Simulations!$A$1:$BK$2501, 775, MATCH("RevCAGR", Simulations!$A$1:$BK$1, 0))</f>
        <v>1.8892327031733137E-2</v>
      </c>
      <c r="D775" s="2">
        <f ca="1">INDEX(Simulations!$A$1:$BK$2501, 775, MATCH("SynMargin", Simulations!$A$1:$BK$1, 0))</f>
        <v>1.9965454256261755E-2</v>
      </c>
      <c r="E775" s="2">
        <f ca="1">INDEX(Simulations!$A$1:$BK$2501, 775, MATCH("Yr1Shock", Simulations!$A$1:$BK$1, 0))</f>
        <v>-9.1139664083294946E-3</v>
      </c>
    </row>
    <row r="776" spans="1:5" x14ac:dyDescent="0.3">
      <c r="A776" s="2">
        <f ca="1">INDEX(Simulations!$A$1:$BK$2501, 776, MATCH("PurchaseMultiple", Simulations!$A$1:$BK$1, 0))</f>
        <v>6.9848568812308276</v>
      </c>
      <c r="B776" s="2">
        <f ca="1">INDEX(Simulations!$A$1:$BK$2501, 776, MATCH("ExitMultiple", Simulations!$A$1:$BK$1, 0))</f>
        <v>7.4386064136540382</v>
      </c>
      <c r="C776" s="2">
        <f ca="1">INDEX(Simulations!$A$1:$BK$2501, 776, MATCH("RevCAGR", Simulations!$A$1:$BK$1, 0))</f>
        <v>8.2615155735762891E-2</v>
      </c>
      <c r="D776" s="2">
        <f ca="1">INDEX(Simulations!$A$1:$BK$2501, 776, MATCH("SynMargin", Simulations!$A$1:$BK$1, 0))</f>
        <v>1.3235013823631136E-2</v>
      </c>
      <c r="E776" s="2">
        <f ca="1">INDEX(Simulations!$A$1:$BK$2501, 776, MATCH("Yr1Shock", Simulations!$A$1:$BK$1, 0))</f>
        <v>1.8955926739997374E-2</v>
      </c>
    </row>
    <row r="777" spans="1:5" x14ac:dyDescent="0.3">
      <c r="A777" s="2">
        <f ca="1">INDEX(Simulations!$A$1:$BK$2501, 777, MATCH("PurchaseMultiple", Simulations!$A$1:$BK$1, 0))</f>
        <v>7.7653188630991075</v>
      </c>
      <c r="B777" s="2">
        <f ca="1">INDEX(Simulations!$A$1:$BK$2501, 777, MATCH("ExitMultiple", Simulations!$A$1:$BK$1, 0))</f>
        <v>7.0640981387822768</v>
      </c>
      <c r="C777" s="2">
        <f ca="1">INDEX(Simulations!$A$1:$BK$2501, 777, MATCH("RevCAGR", Simulations!$A$1:$BK$1, 0))</f>
        <v>7.9503388696064853E-2</v>
      </c>
      <c r="D777" s="2">
        <f ca="1">INDEX(Simulations!$A$1:$BK$2501, 777, MATCH("SynMargin", Simulations!$A$1:$BK$1, 0))</f>
        <v>1.177568568662227E-2</v>
      </c>
      <c r="E777" s="2">
        <f ca="1">INDEX(Simulations!$A$1:$BK$2501, 777, MATCH("Yr1Shock", Simulations!$A$1:$BK$1, 0))</f>
        <v>-3.1661431933609264E-3</v>
      </c>
    </row>
    <row r="778" spans="1:5" x14ac:dyDescent="0.3">
      <c r="A778" s="2">
        <f ca="1">INDEX(Simulations!$A$1:$BK$2501, 778, MATCH("PurchaseMultiple", Simulations!$A$1:$BK$1, 0))</f>
        <v>7.9607262335146496</v>
      </c>
      <c r="B778" s="2">
        <f ca="1">INDEX(Simulations!$A$1:$BK$2501, 778, MATCH("ExitMultiple", Simulations!$A$1:$BK$1, 0))</f>
        <v>6.8600364318724818</v>
      </c>
      <c r="C778" s="2">
        <f ca="1">INDEX(Simulations!$A$1:$BK$2501, 778, MATCH("RevCAGR", Simulations!$A$1:$BK$1, 0))</f>
        <v>-5.9045629769711658E-3</v>
      </c>
      <c r="D778" s="2">
        <f ca="1">INDEX(Simulations!$A$1:$BK$2501, 778, MATCH("SynMargin", Simulations!$A$1:$BK$1, 0))</f>
        <v>1.1371279493181587E-2</v>
      </c>
      <c r="E778" s="2">
        <f ca="1">INDEX(Simulations!$A$1:$BK$2501, 778, MATCH("Yr1Shock", Simulations!$A$1:$BK$1, 0))</f>
        <v>-1.6418445725395987E-2</v>
      </c>
    </row>
    <row r="779" spans="1:5" x14ac:dyDescent="0.3">
      <c r="A779" s="2">
        <f ca="1">INDEX(Simulations!$A$1:$BK$2501, 779, MATCH("PurchaseMultiple", Simulations!$A$1:$BK$1, 0))</f>
        <v>6.7119571035716508</v>
      </c>
      <c r="B779" s="2">
        <f ca="1">INDEX(Simulations!$A$1:$BK$2501, 779, MATCH("ExitMultiple", Simulations!$A$1:$BK$1, 0))</f>
        <v>7.6518383466904165</v>
      </c>
      <c r="C779" s="2">
        <f ca="1">INDEX(Simulations!$A$1:$BK$2501, 779, MATCH("RevCAGR", Simulations!$A$1:$BK$1, 0))</f>
        <v>6.663778942832603E-2</v>
      </c>
      <c r="D779" s="2">
        <f ca="1">INDEX(Simulations!$A$1:$BK$2501, 779, MATCH("SynMargin", Simulations!$A$1:$BK$1, 0))</f>
        <v>1.016356474588587E-2</v>
      </c>
      <c r="E779" s="2">
        <f ca="1">INDEX(Simulations!$A$1:$BK$2501, 779, MATCH("Yr1Shock", Simulations!$A$1:$BK$1, 0))</f>
        <v>-1.6264644118541564E-2</v>
      </c>
    </row>
    <row r="780" spans="1:5" x14ac:dyDescent="0.3">
      <c r="A780" s="2">
        <f ca="1">INDEX(Simulations!$A$1:$BK$2501, 780, MATCH("PurchaseMultiple", Simulations!$A$1:$BK$1, 0))</f>
        <v>6.8197257827943822</v>
      </c>
      <c r="B780" s="2">
        <f ca="1">INDEX(Simulations!$A$1:$BK$2501, 780, MATCH("ExitMultiple", Simulations!$A$1:$BK$1, 0))</f>
        <v>7.1588052385804142</v>
      </c>
      <c r="C780" s="2">
        <f ca="1">INDEX(Simulations!$A$1:$BK$2501, 780, MATCH("RevCAGR", Simulations!$A$1:$BK$1, 0))</f>
        <v>4.547791560080873E-3</v>
      </c>
      <c r="D780" s="2">
        <f ca="1">INDEX(Simulations!$A$1:$BK$2501, 780, MATCH("SynMargin", Simulations!$A$1:$BK$1, 0))</f>
        <v>2.449346813096602E-3</v>
      </c>
      <c r="E780" s="2">
        <f ca="1">INDEX(Simulations!$A$1:$BK$2501, 780, MATCH("Yr1Shock", Simulations!$A$1:$BK$1, 0))</f>
        <v>4.9947036025954759E-2</v>
      </c>
    </row>
    <row r="781" spans="1:5" x14ac:dyDescent="0.3">
      <c r="A781" s="2">
        <f ca="1">INDEX(Simulations!$A$1:$BK$2501, 781, MATCH("PurchaseMultiple", Simulations!$A$1:$BK$1, 0))</f>
        <v>6.9289899749927386</v>
      </c>
      <c r="B781" s="2">
        <f ca="1">INDEX(Simulations!$A$1:$BK$2501, 781, MATCH("ExitMultiple", Simulations!$A$1:$BK$1, 0))</f>
        <v>7.648541444094282</v>
      </c>
      <c r="C781" s="2">
        <f ca="1">INDEX(Simulations!$A$1:$BK$2501, 781, MATCH("RevCAGR", Simulations!$A$1:$BK$1, 0))</f>
        <v>5.6801882519361496E-2</v>
      </c>
      <c r="D781" s="2">
        <f ca="1">INDEX(Simulations!$A$1:$BK$2501, 781, MATCH("SynMargin", Simulations!$A$1:$BK$1, 0))</f>
        <v>1.4021932646500077E-2</v>
      </c>
      <c r="E781" s="2">
        <f ca="1">INDEX(Simulations!$A$1:$BK$2501, 781, MATCH("Yr1Shock", Simulations!$A$1:$BK$1, 0))</f>
        <v>3.5920863495376536E-2</v>
      </c>
    </row>
    <row r="782" spans="1:5" x14ac:dyDescent="0.3">
      <c r="A782" s="2">
        <f ca="1">INDEX(Simulations!$A$1:$BK$2501, 782, MATCH("PurchaseMultiple", Simulations!$A$1:$BK$1, 0))</f>
        <v>6.8579550298579477</v>
      </c>
      <c r="B782" s="2">
        <f ca="1">INDEX(Simulations!$A$1:$BK$2501, 782, MATCH("ExitMultiple", Simulations!$A$1:$BK$1, 0))</f>
        <v>7.9895928699495542</v>
      </c>
      <c r="C782" s="2">
        <f ca="1">INDEX(Simulations!$A$1:$BK$2501, 782, MATCH("RevCAGR", Simulations!$A$1:$BK$1, 0))</f>
        <v>6.4266712368259829E-2</v>
      </c>
      <c r="D782" s="2">
        <f ca="1">INDEX(Simulations!$A$1:$BK$2501, 782, MATCH("SynMargin", Simulations!$A$1:$BK$1, 0))</f>
        <v>9.1354650025974125E-3</v>
      </c>
      <c r="E782" s="2">
        <f ca="1">INDEX(Simulations!$A$1:$BK$2501, 782, MATCH("Yr1Shock", Simulations!$A$1:$BK$1, 0))</f>
        <v>-3.102036644220045E-2</v>
      </c>
    </row>
    <row r="783" spans="1:5" x14ac:dyDescent="0.3">
      <c r="A783" s="2">
        <f ca="1">INDEX(Simulations!$A$1:$BK$2501, 783, MATCH("PurchaseMultiple", Simulations!$A$1:$BK$1, 0))</f>
        <v>6.4305329042400148</v>
      </c>
      <c r="B783" s="2">
        <f ca="1">INDEX(Simulations!$A$1:$BK$2501, 783, MATCH("ExitMultiple", Simulations!$A$1:$BK$1, 0))</f>
        <v>7.3294476144114844</v>
      </c>
      <c r="C783" s="2">
        <f ca="1">INDEX(Simulations!$A$1:$BK$2501, 783, MATCH("RevCAGR", Simulations!$A$1:$BK$1, 0))</f>
        <v>-1.8882321180735885E-2</v>
      </c>
      <c r="D783" s="2">
        <f ca="1">INDEX(Simulations!$A$1:$BK$2501, 783, MATCH("SynMargin", Simulations!$A$1:$BK$1, 0))</f>
        <v>6.8914906014260766E-3</v>
      </c>
      <c r="E783" s="2">
        <f ca="1">INDEX(Simulations!$A$1:$BK$2501, 783, MATCH("Yr1Shock", Simulations!$A$1:$BK$1, 0))</f>
        <v>-2.3122340043603324E-2</v>
      </c>
    </row>
    <row r="784" spans="1:5" x14ac:dyDescent="0.3">
      <c r="A784" s="2">
        <f ca="1">INDEX(Simulations!$A$1:$BK$2501, 784, MATCH("PurchaseMultiple", Simulations!$A$1:$BK$1, 0))</f>
        <v>7.1539801936330516</v>
      </c>
      <c r="B784" s="2">
        <f ca="1">INDEX(Simulations!$A$1:$BK$2501, 784, MATCH("ExitMultiple", Simulations!$A$1:$BK$1, 0))</f>
        <v>6.8805967484564743</v>
      </c>
      <c r="C784" s="2">
        <f ca="1">INDEX(Simulations!$A$1:$BK$2501, 784, MATCH("RevCAGR", Simulations!$A$1:$BK$1, 0))</f>
        <v>-0.02</v>
      </c>
      <c r="D784" s="2">
        <f ca="1">INDEX(Simulations!$A$1:$BK$2501, 784, MATCH("SynMargin", Simulations!$A$1:$BK$1, 0))</f>
        <v>2.3648532076523355E-3</v>
      </c>
      <c r="E784" s="2">
        <f ca="1">INDEX(Simulations!$A$1:$BK$2501, 784, MATCH("Yr1Shock", Simulations!$A$1:$BK$1, 0))</f>
        <v>-2.6687080251816403E-2</v>
      </c>
    </row>
    <row r="785" spans="1:5" x14ac:dyDescent="0.3">
      <c r="A785" s="2">
        <f ca="1">INDEX(Simulations!$A$1:$BK$2501, 785, MATCH("PurchaseMultiple", Simulations!$A$1:$BK$1, 0))</f>
        <v>6.1547215065896852</v>
      </c>
      <c r="B785" s="2">
        <f ca="1">INDEX(Simulations!$A$1:$BK$2501, 785, MATCH("ExitMultiple", Simulations!$A$1:$BK$1, 0))</f>
        <v>7.588403345835494</v>
      </c>
      <c r="C785" s="2">
        <f ca="1">INDEX(Simulations!$A$1:$BK$2501, 785, MATCH("RevCAGR", Simulations!$A$1:$BK$1, 0))</f>
        <v>6.1452331143054345E-2</v>
      </c>
      <c r="D785" s="2">
        <f ca="1">INDEX(Simulations!$A$1:$BK$2501, 785, MATCH("SynMargin", Simulations!$A$1:$BK$1, 0))</f>
        <v>1.7003408211103035E-2</v>
      </c>
      <c r="E785" s="2">
        <f ca="1">INDEX(Simulations!$A$1:$BK$2501, 785, MATCH("Yr1Shock", Simulations!$A$1:$BK$1, 0))</f>
        <v>3.3172434634839099E-2</v>
      </c>
    </row>
    <row r="786" spans="1:5" x14ac:dyDescent="0.3">
      <c r="A786" s="2">
        <f ca="1">INDEX(Simulations!$A$1:$BK$2501, 786, MATCH("PurchaseMultiple", Simulations!$A$1:$BK$1, 0))</f>
        <v>6.6024275536316948</v>
      </c>
      <c r="B786" s="2">
        <f ca="1">INDEX(Simulations!$A$1:$BK$2501, 786, MATCH("ExitMultiple", Simulations!$A$1:$BK$1, 0))</f>
        <v>7.9992906508690558</v>
      </c>
      <c r="C786" s="2">
        <f ca="1">INDEX(Simulations!$A$1:$BK$2501, 786, MATCH("RevCAGR", Simulations!$A$1:$BK$1, 0))</f>
        <v>4.1022353286332379E-2</v>
      </c>
      <c r="D786" s="2">
        <f ca="1">INDEX(Simulations!$A$1:$BK$2501, 786, MATCH("SynMargin", Simulations!$A$1:$BK$1, 0))</f>
        <v>0</v>
      </c>
      <c r="E786" s="2">
        <f ca="1">INDEX(Simulations!$A$1:$BK$2501, 786, MATCH("Yr1Shock", Simulations!$A$1:$BK$1, 0))</f>
        <v>1.6466082332445481E-2</v>
      </c>
    </row>
    <row r="787" spans="1:5" x14ac:dyDescent="0.3">
      <c r="A787" s="2">
        <f ca="1">INDEX(Simulations!$A$1:$BK$2501, 787, MATCH("PurchaseMultiple", Simulations!$A$1:$BK$1, 0))</f>
        <v>7.1472336463315065</v>
      </c>
      <c r="B787" s="2">
        <f ca="1">INDEX(Simulations!$A$1:$BK$2501, 787, MATCH("ExitMultiple", Simulations!$A$1:$BK$1, 0))</f>
        <v>7.8623193686164914</v>
      </c>
      <c r="C787" s="2">
        <f ca="1">INDEX(Simulations!$A$1:$BK$2501, 787, MATCH("RevCAGR", Simulations!$A$1:$BK$1, 0))</f>
        <v>-1.224386661211227E-2</v>
      </c>
      <c r="D787" s="2">
        <f ca="1">INDEX(Simulations!$A$1:$BK$2501, 787, MATCH("SynMargin", Simulations!$A$1:$BK$1, 0))</f>
        <v>1.3748704310561756E-2</v>
      </c>
      <c r="E787" s="2">
        <f ca="1">INDEX(Simulations!$A$1:$BK$2501, 787, MATCH("Yr1Shock", Simulations!$A$1:$BK$1, 0))</f>
        <v>8.4156018718413942E-3</v>
      </c>
    </row>
    <row r="788" spans="1:5" x14ac:dyDescent="0.3">
      <c r="A788" s="2">
        <f ca="1">INDEX(Simulations!$A$1:$BK$2501, 788, MATCH("PurchaseMultiple", Simulations!$A$1:$BK$1, 0))</f>
        <v>6.8130593443365672</v>
      </c>
      <c r="B788" s="2">
        <f ca="1">INDEX(Simulations!$A$1:$BK$2501, 788, MATCH("ExitMultiple", Simulations!$A$1:$BK$1, 0))</f>
        <v>7.4147030153110736</v>
      </c>
      <c r="C788" s="2">
        <f ca="1">INDEX(Simulations!$A$1:$BK$2501, 788, MATCH("RevCAGR", Simulations!$A$1:$BK$1, 0))</f>
        <v>3.6912133823829511E-2</v>
      </c>
      <c r="D788" s="2">
        <f ca="1">INDEX(Simulations!$A$1:$BK$2501, 788, MATCH("SynMargin", Simulations!$A$1:$BK$1, 0))</f>
        <v>1.3787582329062464E-2</v>
      </c>
      <c r="E788" s="2">
        <f ca="1">INDEX(Simulations!$A$1:$BK$2501, 788, MATCH("Yr1Shock", Simulations!$A$1:$BK$1, 0))</f>
        <v>-2.4475791784819281E-3</v>
      </c>
    </row>
    <row r="789" spans="1:5" x14ac:dyDescent="0.3">
      <c r="A789" s="2">
        <f ca="1">INDEX(Simulations!$A$1:$BK$2501, 789, MATCH("PurchaseMultiple", Simulations!$A$1:$BK$1, 0))</f>
        <v>7.2272129651929369</v>
      </c>
      <c r="B789" s="2">
        <f ca="1">INDEX(Simulations!$A$1:$BK$2501, 789, MATCH("ExitMultiple", Simulations!$A$1:$BK$1, 0))</f>
        <v>7.8360372998390613</v>
      </c>
      <c r="C789" s="2">
        <f ca="1">INDEX(Simulations!$A$1:$BK$2501, 789, MATCH("RevCAGR", Simulations!$A$1:$BK$1, 0))</f>
        <v>-7.3045011333748022E-3</v>
      </c>
      <c r="D789" s="2">
        <f ca="1">INDEX(Simulations!$A$1:$BK$2501, 789, MATCH("SynMargin", Simulations!$A$1:$BK$1, 0))</f>
        <v>6.1427139743547099E-3</v>
      </c>
      <c r="E789" s="2">
        <f ca="1">INDEX(Simulations!$A$1:$BK$2501, 789, MATCH("Yr1Shock", Simulations!$A$1:$BK$1, 0))</f>
        <v>-2.3884476506852098E-3</v>
      </c>
    </row>
    <row r="790" spans="1:5" x14ac:dyDescent="0.3">
      <c r="A790" s="2">
        <f ca="1">INDEX(Simulations!$A$1:$BK$2501, 790, MATCH("PurchaseMultiple", Simulations!$A$1:$BK$1, 0))</f>
        <v>7.7333400278664923</v>
      </c>
      <c r="B790" s="2">
        <f ca="1">INDEX(Simulations!$A$1:$BK$2501, 790, MATCH("ExitMultiple", Simulations!$A$1:$BK$1, 0))</f>
        <v>6.9780058092438564</v>
      </c>
      <c r="C790" s="2">
        <f ca="1">INDEX(Simulations!$A$1:$BK$2501, 790, MATCH("RevCAGR", Simulations!$A$1:$BK$1, 0))</f>
        <v>4.1244820704271323E-2</v>
      </c>
      <c r="D790" s="2">
        <f ca="1">INDEX(Simulations!$A$1:$BK$2501, 790, MATCH("SynMargin", Simulations!$A$1:$BK$1, 0))</f>
        <v>0</v>
      </c>
      <c r="E790" s="2">
        <f ca="1">INDEX(Simulations!$A$1:$BK$2501, 790, MATCH("Yr1Shock", Simulations!$A$1:$BK$1, 0))</f>
        <v>-1.4667771980767763E-2</v>
      </c>
    </row>
    <row r="791" spans="1:5" x14ac:dyDescent="0.3">
      <c r="A791" s="2">
        <f ca="1">INDEX(Simulations!$A$1:$BK$2501, 791, MATCH("PurchaseMultiple", Simulations!$A$1:$BK$1, 0))</f>
        <v>7.5916636282163568</v>
      </c>
      <c r="B791" s="2">
        <f ca="1">INDEX(Simulations!$A$1:$BK$2501, 791, MATCH("ExitMultiple", Simulations!$A$1:$BK$1, 0))</f>
        <v>7.3037628253999793</v>
      </c>
      <c r="C791" s="2">
        <f ca="1">INDEX(Simulations!$A$1:$BK$2501, 791, MATCH("RevCAGR", Simulations!$A$1:$BK$1, 0))</f>
        <v>5.1340748315553235E-2</v>
      </c>
      <c r="D791" s="2">
        <f ca="1">INDEX(Simulations!$A$1:$BK$2501, 791, MATCH("SynMargin", Simulations!$A$1:$BK$1, 0))</f>
        <v>8.8500212223991109E-3</v>
      </c>
      <c r="E791" s="2">
        <f ca="1">INDEX(Simulations!$A$1:$BK$2501, 791, MATCH("Yr1Shock", Simulations!$A$1:$BK$1, 0))</f>
        <v>1.4405019208961543E-3</v>
      </c>
    </row>
    <row r="792" spans="1:5" x14ac:dyDescent="0.3">
      <c r="A792" s="2">
        <f ca="1">INDEX(Simulations!$A$1:$BK$2501, 792, MATCH("PurchaseMultiple", Simulations!$A$1:$BK$1, 0))</f>
        <v>7.1341469643128308</v>
      </c>
      <c r="B792" s="2">
        <f ca="1">INDEX(Simulations!$A$1:$BK$2501, 792, MATCH("ExitMultiple", Simulations!$A$1:$BK$1, 0))</f>
        <v>7.169815827252795</v>
      </c>
      <c r="C792" s="2">
        <f ca="1">INDEX(Simulations!$A$1:$BK$2501, 792, MATCH("RevCAGR", Simulations!$A$1:$BK$1, 0))</f>
        <v>-1.1847915717262757E-2</v>
      </c>
      <c r="D792" s="2">
        <f ca="1">INDEX(Simulations!$A$1:$BK$2501, 792, MATCH("SynMargin", Simulations!$A$1:$BK$1, 0))</f>
        <v>9.240923138920781E-3</v>
      </c>
      <c r="E792" s="2">
        <f ca="1">INDEX(Simulations!$A$1:$BK$2501, 792, MATCH("Yr1Shock", Simulations!$A$1:$BK$1, 0))</f>
        <v>-3.6115297994158088E-3</v>
      </c>
    </row>
    <row r="793" spans="1:5" x14ac:dyDescent="0.3">
      <c r="A793" s="2">
        <f ca="1">INDEX(Simulations!$A$1:$BK$2501, 793, MATCH("PurchaseMultiple", Simulations!$A$1:$BK$1, 0))</f>
        <v>6.9254682035468642</v>
      </c>
      <c r="B793" s="2">
        <f ca="1">INDEX(Simulations!$A$1:$BK$2501, 793, MATCH("ExitMultiple", Simulations!$A$1:$BK$1, 0))</f>
        <v>7.4762611234553562</v>
      </c>
      <c r="C793" s="2">
        <f ca="1">INDEX(Simulations!$A$1:$BK$2501, 793, MATCH("RevCAGR", Simulations!$A$1:$BK$1, 0))</f>
        <v>3.9922599161883482E-2</v>
      </c>
      <c r="D793" s="2">
        <f ca="1">INDEX(Simulations!$A$1:$BK$2501, 793, MATCH("SynMargin", Simulations!$A$1:$BK$1, 0))</f>
        <v>1.4010944801788498E-2</v>
      </c>
      <c r="E793" s="2">
        <f ca="1">INDEX(Simulations!$A$1:$BK$2501, 793, MATCH("Yr1Shock", Simulations!$A$1:$BK$1, 0))</f>
        <v>-6.6443983580278263E-3</v>
      </c>
    </row>
    <row r="794" spans="1:5" x14ac:dyDescent="0.3">
      <c r="A794" s="2">
        <f ca="1">INDEX(Simulations!$A$1:$BK$2501, 794, MATCH("PurchaseMultiple", Simulations!$A$1:$BK$1, 0))</f>
        <v>6.4464112677481973</v>
      </c>
      <c r="B794" s="2">
        <f ca="1">INDEX(Simulations!$A$1:$BK$2501, 794, MATCH("ExitMultiple", Simulations!$A$1:$BK$1, 0))</f>
        <v>7.5840461374223409</v>
      </c>
      <c r="C794" s="2">
        <f ca="1">INDEX(Simulations!$A$1:$BK$2501, 794, MATCH("RevCAGR", Simulations!$A$1:$BK$1, 0))</f>
        <v>-4.0817931571581131E-3</v>
      </c>
      <c r="D794" s="2">
        <f ca="1">INDEX(Simulations!$A$1:$BK$2501, 794, MATCH("SynMargin", Simulations!$A$1:$BK$1, 0))</f>
        <v>1.0980561313316525E-2</v>
      </c>
      <c r="E794" s="2">
        <f ca="1">INDEX(Simulations!$A$1:$BK$2501, 794, MATCH("Yr1Shock", Simulations!$A$1:$BK$1, 0))</f>
        <v>-1.9459172722840902E-3</v>
      </c>
    </row>
    <row r="795" spans="1:5" x14ac:dyDescent="0.3">
      <c r="A795" s="2">
        <f ca="1">INDEX(Simulations!$A$1:$BK$2501, 795, MATCH("PurchaseMultiple", Simulations!$A$1:$BK$1, 0))</f>
        <v>6.1793352769990433</v>
      </c>
      <c r="B795" s="2">
        <f ca="1">INDEX(Simulations!$A$1:$BK$2501, 795, MATCH("ExitMultiple", Simulations!$A$1:$BK$1, 0))</f>
        <v>7.583329845189601</v>
      </c>
      <c r="C795" s="2">
        <f ca="1">INDEX(Simulations!$A$1:$BK$2501, 795, MATCH("RevCAGR", Simulations!$A$1:$BK$1, 0))</f>
        <v>6.3099041567008435E-2</v>
      </c>
      <c r="D795" s="2">
        <f ca="1">INDEX(Simulations!$A$1:$BK$2501, 795, MATCH("SynMargin", Simulations!$A$1:$BK$1, 0))</f>
        <v>1.0412182378105081E-2</v>
      </c>
      <c r="E795" s="2">
        <f ca="1">INDEX(Simulations!$A$1:$BK$2501, 795, MATCH("Yr1Shock", Simulations!$A$1:$BK$1, 0))</f>
        <v>-1.8554100077242546E-2</v>
      </c>
    </row>
    <row r="796" spans="1:5" x14ac:dyDescent="0.3">
      <c r="A796" s="2">
        <f ca="1">INDEX(Simulations!$A$1:$BK$2501, 796, MATCH("PurchaseMultiple", Simulations!$A$1:$BK$1, 0))</f>
        <v>7.6259855182519267</v>
      </c>
      <c r="B796" s="2">
        <f ca="1">INDEX(Simulations!$A$1:$BK$2501, 796, MATCH("ExitMultiple", Simulations!$A$1:$BK$1, 0))</f>
        <v>8.1183913969082866</v>
      </c>
      <c r="C796" s="2">
        <f ca="1">INDEX(Simulations!$A$1:$BK$2501, 796, MATCH("RevCAGR", Simulations!$A$1:$BK$1, 0))</f>
        <v>3.6829580037232225E-2</v>
      </c>
      <c r="D796" s="2">
        <f ca="1">INDEX(Simulations!$A$1:$BK$2501, 796, MATCH("SynMargin", Simulations!$A$1:$BK$1, 0))</f>
        <v>5.174523956801875E-3</v>
      </c>
      <c r="E796" s="2">
        <f ca="1">INDEX(Simulations!$A$1:$BK$2501, 796, MATCH("Yr1Shock", Simulations!$A$1:$BK$1, 0))</f>
        <v>-8.3635818734275821E-3</v>
      </c>
    </row>
    <row r="797" spans="1:5" x14ac:dyDescent="0.3">
      <c r="A797" s="2">
        <f ca="1">INDEX(Simulations!$A$1:$BK$2501, 797, MATCH("PurchaseMultiple", Simulations!$A$1:$BK$1, 0))</f>
        <v>7.1375430458676679</v>
      </c>
      <c r="B797" s="2">
        <f ca="1">INDEX(Simulations!$A$1:$BK$2501, 797, MATCH("ExitMultiple", Simulations!$A$1:$BK$1, 0))</f>
        <v>7.1162470659130186</v>
      </c>
      <c r="C797" s="2">
        <f ca="1">INDEX(Simulations!$A$1:$BK$2501, 797, MATCH("RevCAGR", Simulations!$A$1:$BK$1, 0))</f>
        <v>4.3559761591447678E-2</v>
      </c>
      <c r="D797" s="2">
        <f ca="1">INDEX(Simulations!$A$1:$BK$2501, 797, MATCH("SynMargin", Simulations!$A$1:$BK$1, 0))</f>
        <v>7.8406845926033506E-3</v>
      </c>
      <c r="E797" s="2">
        <f ca="1">INDEX(Simulations!$A$1:$BK$2501, 797, MATCH("Yr1Shock", Simulations!$A$1:$BK$1, 0))</f>
        <v>-1.2950749184434791E-2</v>
      </c>
    </row>
    <row r="798" spans="1:5" x14ac:dyDescent="0.3">
      <c r="A798" s="2">
        <f ca="1">INDEX(Simulations!$A$1:$BK$2501, 798, MATCH("PurchaseMultiple", Simulations!$A$1:$BK$1, 0))</f>
        <v>7.1870288779922955</v>
      </c>
      <c r="B798" s="2">
        <f ca="1">INDEX(Simulations!$A$1:$BK$2501, 798, MATCH("ExitMultiple", Simulations!$A$1:$BK$1, 0))</f>
        <v>7.5745770672472466</v>
      </c>
      <c r="C798" s="2">
        <f ca="1">INDEX(Simulations!$A$1:$BK$2501, 798, MATCH("RevCAGR", Simulations!$A$1:$BK$1, 0))</f>
        <v>1.86943518608358E-2</v>
      </c>
      <c r="D798" s="2">
        <f ca="1">INDEX(Simulations!$A$1:$BK$2501, 798, MATCH("SynMargin", Simulations!$A$1:$BK$1, 0))</f>
        <v>1.379314582967452E-2</v>
      </c>
      <c r="E798" s="2">
        <f ca="1">INDEX(Simulations!$A$1:$BK$2501, 798, MATCH("Yr1Shock", Simulations!$A$1:$BK$1, 0))</f>
        <v>5.4186245345745187E-3</v>
      </c>
    </row>
    <row r="799" spans="1:5" x14ac:dyDescent="0.3">
      <c r="A799" s="2">
        <f ca="1">INDEX(Simulations!$A$1:$BK$2501, 799, MATCH("PurchaseMultiple", Simulations!$A$1:$BK$1, 0))</f>
        <v>6.3894010331963029</v>
      </c>
      <c r="B799" s="2">
        <f ca="1">INDEX(Simulations!$A$1:$BK$2501, 799, MATCH("ExitMultiple", Simulations!$A$1:$BK$1, 0))</f>
        <v>7.4349271153389305</v>
      </c>
      <c r="C799" s="2">
        <f ca="1">INDEX(Simulations!$A$1:$BK$2501, 799, MATCH("RevCAGR", Simulations!$A$1:$BK$1, 0))</f>
        <v>1.2516677359625004E-2</v>
      </c>
      <c r="D799" s="2">
        <f ca="1">INDEX(Simulations!$A$1:$BK$2501, 799, MATCH("SynMargin", Simulations!$A$1:$BK$1, 0))</f>
        <v>9.6823279352623512E-3</v>
      </c>
      <c r="E799" s="2">
        <f ca="1">INDEX(Simulations!$A$1:$BK$2501, 799, MATCH("Yr1Shock", Simulations!$A$1:$BK$1, 0))</f>
        <v>2.4052829217233476E-2</v>
      </c>
    </row>
    <row r="800" spans="1:5" x14ac:dyDescent="0.3">
      <c r="A800" s="2">
        <f ca="1">INDEX(Simulations!$A$1:$BK$2501, 800, MATCH("PurchaseMultiple", Simulations!$A$1:$BK$1, 0))</f>
        <v>6.8710205621074261</v>
      </c>
      <c r="B800" s="2">
        <f ca="1">INDEX(Simulations!$A$1:$BK$2501, 800, MATCH("ExitMultiple", Simulations!$A$1:$BK$1, 0))</f>
        <v>6.9418807667040845</v>
      </c>
      <c r="C800" s="2">
        <f ca="1">INDEX(Simulations!$A$1:$BK$2501, 800, MATCH("RevCAGR", Simulations!$A$1:$BK$1, 0))</f>
        <v>9.1933512441484261E-2</v>
      </c>
      <c r="D800" s="2">
        <f ca="1">INDEX(Simulations!$A$1:$BK$2501, 800, MATCH("SynMargin", Simulations!$A$1:$BK$1, 0))</f>
        <v>1.0864811745758322E-2</v>
      </c>
      <c r="E800" s="2">
        <f ca="1">INDEX(Simulations!$A$1:$BK$2501, 800, MATCH("Yr1Shock", Simulations!$A$1:$BK$1, 0))</f>
        <v>1.1397406190508927E-2</v>
      </c>
    </row>
    <row r="801" spans="1:5" x14ac:dyDescent="0.3">
      <c r="A801" s="2">
        <f ca="1">INDEX(Simulations!$A$1:$BK$2501, 801, MATCH("PurchaseMultiple", Simulations!$A$1:$BK$1, 0))</f>
        <v>7.4164782840155832</v>
      </c>
      <c r="B801" s="2">
        <f ca="1">INDEX(Simulations!$A$1:$BK$2501, 801, MATCH("ExitMultiple", Simulations!$A$1:$BK$1, 0))</f>
        <v>7.5299394898385854</v>
      </c>
      <c r="C801" s="2">
        <f ca="1">INDEX(Simulations!$A$1:$BK$2501, 801, MATCH("RevCAGR", Simulations!$A$1:$BK$1, 0))</f>
        <v>8.654641688904198E-2</v>
      </c>
      <c r="D801" s="2">
        <f ca="1">INDEX(Simulations!$A$1:$BK$2501, 801, MATCH("SynMargin", Simulations!$A$1:$BK$1, 0))</f>
        <v>1.8166163308406508E-2</v>
      </c>
      <c r="E801" s="2">
        <f ca="1">INDEX(Simulations!$A$1:$BK$2501, 801, MATCH("Yr1Shock", Simulations!$A$1:$BK$1, 0))</f>
        <v>1.1922187845052265E-2</v>
      </c>
    </row>
    <row r="802" spans="1:5" x14ac:dyDescent="0.3">
      <c r="A802" s="2">
        <f ca="1">INDEX(Simulations!$A$1:$BK$2501, 802, MATCH("PurchaseMultiple", Simulations!$A$1:$BK$1, 0))</f>
        <v>6.9707830706909295</v>
      </c>
      <c r="B802" s="2">
        <f ca="1">INDEX(Simulations!$A$1:$BK$2501, 802, MATCH("ExitMultiple", Simulations!$A$1:$BK$1, 0))</f>
        <v>7.3590671640002716</v>
      </c>
      <c r="C802" s="2">
        <f ca="1">INDEX(Simulations!$A$1:$BK$2501, 802, MATCH("RevCAGR", Simulations!$A$1:$BK$1, 0))</f>
        <v>-2.3292217993482814E-3</v>
      </c>
      <c r="D802" s="2">
        <f ca="1">INDEX(Simulations!$A$1:$BK$2501, 802, MATCH("SynMargin", Simulations!$A$1:$BK$1, 0))</f>
        <v>9.8465697996892362E-3</v>
      </c>
      <c r="E802" s="2">
        <f ca="1">INDEX(Simulations!$A$1:$BK$2501, 802, MATCH("Yr1Shock", Simulations!$A$1:$BK$1, 0))</f>
        <v>2.6084636266673036E-2</v>
      </c>
    </row>
    <row r="803" spans="1:5" x14ac:dyDescent="0.3">
      <c r="A803" s="2">
        <f ca="1">INDEX(Simulations!$A$1:$BK$2501, 803, MATCH("PurchaseMultiple", Simulations!$A$1:$BK$1, 0))</f>
        <v>6.617635062747401</v>
      </c>
      <c r="B803" s="2">
        <f ca="1">INDEX(Simulations!$A$1:$BK$2501, 803, MATCH("ExitMultiple", Simulations!$A$1:$BK$1, 0))</f>
        <v>7.3405038076472318</v>
      </c>
      <c r="C803" s="2">
        <f ca="1">INDEX(Simulations!$A$1:$BK$2501, 803, MATCH("RevCAGR", Simulations!$A$1:$BK$1, 0))</f>
        <v>4.3205819305707042E-2</v>
      </c>
      <c r="D803" s="2">
        <f ca="1">INDEX(Simulations!$A$1:$BK$2501, 803, MATCH("SynMargin", Simulations!$A$1:$BK$1, 0))</f>
        <v>6.6543052904686276E-3</v>
      </c>
      <c r="E803" s="2">
        <f ca="1">INDEX(Simulations!$A$1:$BK$2501, 803, MATCH("Yr1Shock", Simulations!$A$1:$BK$1, 0))</f>
        <v>-1.0255708780003401E-2</v>
      </c>
    </row>
    <row r="804" spans="1:5" x14ac:dyDescent="0.3">
      <c r="A804" s="2">
        <f ca="1">INDEX(Simulations!$A$1:$BK$2501, 804, MATCH("PurchaseMultiple", Simulations!$A$1:$BK$1, 0))</f>
        <v>6.7761901959109849</v>
      </c>
      <c r="B804" s="2">
        <f ca="1">INDEX(Simulations!$A$1:$BK$2501, 804, MATCH("ExitMultiple", Simulations!$A$1:$BK$1, 0))</f>
        <v>7.8653308608776777</v>
      </c>
      <c r="C804" s="2">
        <f ca="1">INDEX(Simulations!$A$1:$BK$2501, 804, MATCH("RevCAGR", Simulations!$A$1:$BK$1, 0))</f>
        <v>5.9528705725720166E-3</v>
      </c>
      <c r="D804" s="2">
        <f ca="1">INDEX(Simulations!$A$1:$BK$2501, 804, MATCH("SynMargin", Simulations!$A$1:$BK$1, 0))</f>
        <v>1.009703864371379E-3</v>
      </c>
      <c r="E804" s="2">
        <f ca="1">INDEX(Simulations!$A$1:$BK$2501, 804, MATCH("Yr1Shock", Simulations!$A$1:$BK$1, 0))</f>
        <v>1.3205198154636048E-2</v>
      </c>
    </row>
    <row r="805" spans="1:5" x14ac:dyDescent="0.3">
      <c r="A805" s="2">
        <f ca="1">INDEX(Simulations!$A$1:$BK$2501, 805, MATCH("PurchaseMultiple", Simulations!$A$1:$BK$1, 0))</f>
        <v>6.8049533921795327</v>
      </c>
      <c r="B805" s="2">
        <f ca="1">INDEX(Simulations!$A$1:$BK$2501, 805, MATCH("ExitMultiple", Simulations!$A$1:$BK$1, 0))</f>
        <v>7.8510707518332792</v>
      </c>
      <c r="C805" s="2">
        <f ca="1">INDEX(Simulations!$A$1:$BK$2501, 805, MATCH("RevCAGR", Simulations!$A$1:$BK$1, 0))</f>
        <v>3.0503966668106293E-2</v>
      </c>
      <c r="D805" s="2">
        <f ca="1">INDEX(Simulations!$A$1:$BK$2501, 805, MATCH("SynMargin", Simulations!$A$1:$BK$1, 0))</f>
        <v>1.7030166951516108E-2</v>
      </c>
      <c r="E805" s="2">
        <f ca="1">INDEX(Simulations!$A$1:$BK$2501, 805, MATCH("Yr1Shock", Simulations!$A$1:$BK$1, 0))</f>
        <v>-2.5748968012066831E-2</v>
      </c>
    </row>
    <row r="806" spans="1:5" x14ac:dyDescent="0.3">
      <c r="A806" s="2">
        <f ca="1">INDEX(Simulations!$A$1:$BK$2501, 806, MATCH("PurchaseMultiple", Simulations!$A$1:$BK$1, 0))</f>
        <v>7.4070843809756619</v>
      </c>
      <c r="B806" s="2">
        <f ca="1">INDEX(Simulations!$A$1:$BK$2501, 806, MATCH("ExitMultiple", Simulations!$A$1:$BK$1, 0))</f>
        <v>7.5853724343745341</v>
      </c>
      <c r="C806" s="2">
        <f ca="1">INDEX(Simulations!$A$1:$BK$2501, 806, MATCH("RevCAGR", Simulations!$A$1:$BK$1, 0))</f>
        <v>7.0391277241126357E-2</v>
      </c>
      <c r="D806" s="2">
        <f ca="1">INDEX(Simulations!$A$1:$BK$2501, 806, MATCH("SynMargin", Simulations!$A$1:$BK$1, 0))</f>
        <v>1.5196614349595974E-2</v>
      </c>
      <c r="E806" s="2">
        <f ca="1">INDEX(Simulations!$A$1:$BK$2501, 806, MATCH("Yr1Shock", Simulations!$A$1:$BK$1, 0))</f>
        <v>-5.1424311840099525E-3</v>
      </c>
    </row>
    <row r="807" spans="1:5" x14ac:dyDescent="0.3">
      <c r="A807" s="2">
        <f ca="1">INDEX(Simulations!$A$1:$BK$2501, 807, MATCH("PurchaseMultiple", Simulations!$A$1:$BK$1, 0))</f>
        <v>6.332338425966312</v>
      </c>
      <c r="B807" s="2">
        <f ca="1">INDEX(Simulations!$A$1:$BK$2501, 807, MATCH("ExitMultiple", Simulations!$A$1:$BK$1, 0))</f>
        <v>8.1345460431807073</v>
      </c>
      <c r="C807" s="2">
        <f ca="1">INDEX(Simulations!$A$1:$BK$2501, 807, MATCH("RevCAGR", Simulations!$A$1:$BK$1, 0))</f>
        <v>7.007938067271173E-2</v>
      </c>
      <c r="D807" s="2">
        <f ca="1">INDEX(Simulations!$A$1:$BK$2501, 807, MATCH("SynMargin", Simulations!$A$1:$BK$1, 0))</f>
        <v>9.0995545388910162E-3</v>
      </c>
      <c r="E807" s="2">
        <f ca="1">INDEX(Simulations!$A$1:$BK$2501, 807, MATCH("Yr1Shock", Simulations!$A$1:$BK$1, 0))</f>
        <v>-5.4906875047627639E-3</v>
      </c>
    </row>
    <row r="808" spans="1:5" x14ac:dyDescent="0.3">
      <c r="A808" s="2">
        <f ca="1">INDEX(Simulations!$A$1:$BK$2501, 808, MATCH("PurchaseMultiple", Simulations!$A$1:$BK$1, 0))</f>
        <v>7.6284556798987442</v>
      </c>
      <c r="B808" s="2">
        <f ca="1">INDEX(Simulations!$A$1:$BK$2501, 808, MATCH("ExitMultiple", Simulations!$A$1:$BK$1, 0))</f>
        <v>7.0603416453173873</v>
      </c>
      <c r="C808" s="2">
        <f ca="1">INDEX(Simulations!$A$1:$BK$2501, 808, MATCH("RevCAGR", Simulations!$A$1:$BK$1, 0))</f>
        <v>2.0834980828333613E-2</v>
      </c>
      <c r="D808" s="2">
        <f ca="1">INDEX(Simulations!$A$1:$BK$2501, 808, MATCH("SynMargin", Simulations!$A$1:$BK$1, 0))</f>
        <v>3.5740221759751577E-3</v>
      </c>
      <c r="E808" s="2">
        <f ca="1">INDEX(Simulations!$A$1:$BK$2501, 808, MATCH("Yr1Shock", Simulations!$A$1:$BK$1, 0))</f>
        <v>3.0230466203482506E-4</v>
      </c>
    </row>
    <row r="809" spans="1:5" x14ac:dyDescent="0.3">
      <c r="A809" s="2">
        <f ca="1">INDEX(Simulations!$A$1:$BK$2501, 809, MATCH("PurchaseMultiple", Simulations!$A$1:$BK$1, 0))</f>
        <v>6.3642275272380546</v>
      </c>
      <c r="B809" s="2">
        <f ca="1">INDEX(Simulations!$A$1:$BK$2501, 809, MATCH("ExitMultiple", Simulations!$A$1:$BK$1, 0))</f>
        <v>7.9078316295848463</v>
      </c>
      <c r="C809" s="2">
        <f ca="1">INDEX(Simulations!$A$1:$BK$2501, 809, MATCH("RevCAGR", Simulations!$A$1:$BK$1, 0))</f>
        <v>8.6899146369907726E-3</v>
      </c>
      <c r="D809" s="2">
        <f ca="1">INDEX(Simulations!$A$1:$BK$2501, 809, MATCH("SynMargin", Simulations!$A$1:$BK$1, 0))</f>
        <v>3.2377717743274845E-3</v>
      </c>
      <c r="E809" s="2">
        <f ca="1">INDEX(Simulations!$A$1:$BK$2501, 809, MATCH("Yr1Shock", Simulations!$A$1:$BK$1, 0))</f>
        <v>-3.8608228803756431E-2</v>
      </c>
    </row>
    <row r="810" spans="1:5" x14ac:dyDescent="0.3">
      <c r="A810" s="2">
        <f ca="1">INDEX(Simulations!$A$1:$BK$2501, 810, MATCH("PurchaseMultiple", Simulations!$A$1:$BK$1, 0))</f>
        <v>7.3373743072916433</v>
      </c>
      <c r="B810" s="2">
        <f ca="1">INDEX(Simulations!$A$1:$BK$2501, 810, MATCH("ExitMultiple", Simulations!$A$1:$BK$1, 0))</f>
        <v>7.4501114193705158</v>
      </c>
      <c r="C810" s="2">
        <f ca="1">INDEX(Simulations!$A$1:$BK$2501, 810, MATCH("RevCAGR", Simulations!$A$1:$BK$1, 0))</f>
        <v>6.1066779671671706E-2</v>
      </c>
      <c r="D810" s="2">
        <f ca="1">INDEX(Simulations!$A$1:$BK$2501, 810, MATCH("SynMargin", Simulations!$A$1:$BK$1, 0))</f>
        <v>9.4323580397476861E-3</v>
      </c>
      <c r="E810" s="2">
        <f ca="1">INDEX(Simulations!$A$1:$BK$2501, 810, MATCH("Yr1Shock", Simulations!$A$1:$BK$1, 0))</f>
        <v>-2.518904188100413E-3</v>
      </c>
    </row>
    <row r="811" spans="1:5" x14ac:dyDescent="0.3">
      <c r="A811" s="2">
        <f ca="1">INDEX(Simulations!$A$1:$BK$2501, 811, MATCH("PurchaseMultiple", Simulations!$A$1:$BK$1, 0))</f>
        <v>6.8216903979446641</v>
      </c>
      <c r="B811" s="2">
        <f ca="1">INDEX(Simulations!$A$1:$BK$2501, 811, MATCH("ExitMultiple", Simulations!$A$1:$BK$1, 0))</f>
        <v>7.9796496014032012</v>
      </c>
      <c r="C811" s="2">
        <f ca="1">INDEX(Simulations!$A$1:$BK$2501, 811, MATCH("RevCAGR", Simulations!$A$1:$BK$1, 0))</f>
        <v>7.0400289704962121E-2</v>
      </c>
      <c r="D811" s="2">
        <f ca="1">INDEX(Simulations!$A$1:$BK$2501, 811, MATCH("SynMargin", Simulations!$A$1:$BK$1, 0))</f>
        <v>5.0687764860471961E-3</v>
      </c>
      <c r="E811" s="2">
        <f ca="1">INDEX(Simulations!$A$1:$BK$2501, 811, MATCH("Yr1Shock", Simulations!$A$1:$BK$1, 0))</f>
        <v>1.118229045844933E-2</v>
      </c>
    </row>
    <row r="812" spans="1:5" x14ac:dyDescent="0.3">
      <c r="A812" s="2">
        <f ca="1">INDEX(Simulations!$A$1:$BK$2501, 812, MATCH("PurchaseMultiple", Simulations!$A$1:$BK$1, 0))</f>
        <v>7.064442905811168</v>
      </c>
      <c r="B812" s="2">
        <f ca="1">INDEX(Simulations!$A$1:$BK$2501, 812, MATCH("ExitMultiple", Simulations!$A$1:$BK$1, 0))</f>
        <v>8.1205451039985643</v>
      </c>
      <c r="C812" s="2">
        <f ca="1">INDEX(Simulations!$A$1:$BK$2501, 812, MATCH("RevCAGR", Simulations!$A$1:$BK$1, 0))</f>
        <v>4.170324754608723E-2</v>
      </c>
      <c r="D812" s="2">
        <f ca="1">INDEX(Simulations!$A$1:$BK$2501, 812, MATCH("SynMargin", Simulations!$A$1:$BK$1, 0))</f>
        <v>1.0298843835786943E-2</v>
      </c>
      <c r="E812" s="2">
        <f ca="1">INDEX(Simulations!$A$1:$BK$2501, 812, MATCH("Yr1Shock", Simulations!$A$1:$BK$1, 0))</f>
        <v>4.5023437917521968E-2</v>
      </c>
    </row>
    <row r="813" spans="1:5" x14ac:dyDescent="0.3">
      <c r="A813" s="2">
        <f ca="1">INDEX(Simulations!$A$1:$BK$2501, 813, MATCH("PurchaseMultiple", Simulations!$A$1:$BK$1, 0))</f>
        <v>7.0113872837055506</v>
      </c>
      <c r="B813" s="2">
        <f ca="1">INDEX(Simulations!$A$1:$BK$2501, 813, MATCH("ExitMultiple", Simulations!$A$1:$BK$1, 0))</f>
        <v>7.686643074401811</v>
      </c>
      <c r="C813" s="2">
        <f ca="1">INDEX(Simulations!$A$1:$BK$2501, 813, MATCH("RevCAGR", Simulations!$A$1:$BK$1, 0))</f>
        <v>6.4820634768571847E-2</v>
      </c>
      <c r="D813" s="2">
        <f ca="1">INDEX(Simulations!$A$1:$BK$2501, 813, MATCH("SynMargin", Simulations!$A$1:$BK$1, 0))</f>
        <v>5.6097176140182123E-3</v>
      </c>
      <c r="E813" s="2">
        <f ca="1">INDEX(Simulations!$A$1:$BK$2501, 813, MATCH("Yr1Shock", Simulations!$A$1:$BK$1, 0))</f>
        <v>-6.099773035729371E-3</v>
      </c>
    </row>
    <row r="814" spans="1:5" x14ac:dyDescent="0.3">
      <c r="A814" s="2">
        <f ca="1">INDEX(Simulations!$A$1:$BK$2501, 814, MATCH("PurchaseMultiple", Simulations!$A$1:$BK$1, 0))</f>
        <v>7.8557861103474425</v>
      </c>
      <c r="B814" s="2">
        <f ca="1">INDEX(Simulations!$A$1:$BK$2501, 814, MATCH("ExitMultiple", Simulations!$A$1:$BK$1, 0))</f>
        <v>8.1523279215385109</v>
      </c>
      <c r="C814" s="2">
        <f ca="1">INDEX(Simulations!$A$1:$BK$2501, 814, MATCH("RevCAGR", Simulations!$A$1:$BK$1, 0))</f>
        <v>6.0782426746882647E-2</v>
      </c>
      <c r="D814" s="2">
        <f ca="1">INDEX(Simulations!$A$1:$BK$2501, 814, MATCH("SynMargin", Simulations!$A$1:$BK$1, 0))</f>
        <v>7.9116364517069302E-3</v>
      </c>
      <c r="E814" s="2">
        <f ca="1">INDEX(Simulations!$A$1:$BK$2501, 814, MATCH("Yr1Shock", Simulations!$A$1:$BK$1, 0))</f>
        <v>-2.3637064856936098E-2</v>
      </c>
    </row>
    <row r="815" spans="1:5" x14ac:dyDescent="0.3">
      <c r="A815" s="2">
        <f ca="1">INDEX(Simulations!$A$1:$BK$2501, 815, MATCH("PurchaseMultiple", Simulations!$A$1:$BK$1, 0))</f>
        <v>7.4672846310445635</v>
      </c>
      <c r="B815" s="2">
        <f ca="1">INDEX(Simulations!$A$1:$BK$2501, 815, MATCH("ExitMultiple", Simulations!$A$1:$BK$1, 0))</f>
        <v>7.1297448703339334</v>
      </c>
      <c r="C815" s="2">
        <f ca="1">INDEX(Simulations!$A$1:$BK$2501, 815, MATCH("RevCAGR", Simulations!$A$1:$BK$1, 0))</f>
        <v>1.7145611152409281E-2</v>
      </c>
      <c r="D815" s="2">
        <f ca="1">INDEX(Simulations!$A$1:$BK$2501, 815, MATCH("SynMargin", Simulations!$A$1:$BK$1, 0))</f>
        <v>2.1566448262420553E-2</v>
      </c>
      <c r="E815" s="2">
        <f ca="1">INDEX(Simulations!$A$1:$BK$2501, 815, MATCH("Yr1Shock", Simulations!$A$1:$BK$1, 0))</f>
        <v>-1.2310657490850007E-2</v>
      </c>
    </row>
    <row r="816" spans="1:5" x14ac:dyDescent="0.3">
      <c r="A816" s="2">
        <f ca="1">INDEX(Simulations!$A$1:$BK$2501, 816, MATCH("PurchaseMultiple", Simulations!$A$1:$BK$1, 0))</f>
        <v>7.292844114397548</v>
      </c>
      <c r="B816" s="2">
        <f ca="1">INDEX(Simulations!$A$1:$BK$2501, 816, MATCH("ExitMultiple", Simulations!$A$1:$BK$1, 0))</f>
        <v>6.7124129411550699</v>
      </c>
      <c r="C816" s="2">
        <f ca="1">INDEX(Simulations!$A$1:$BK$2501, 816, MATCH("RevCAGR", Simulations!$A$1:$BK$1, 0))</f>
        <v>4.1686352942786963E-2</v>
      </c>
      <c r="D816" s="2">
        <f ca="1">INDEX(Simulations!$A$1:$BK$2501, 816, MATCH("SynMargin", Simulations!$A$1:$BK$1, 0))</f>
        <v>3.8320852638925856E-3</v>
      </c>
      <c r="E816" s="2">
        <f ca="1">INDEX(Simulations!$A$1:$BK$2501, 816, MATCH("Yr1Shock", Simulations!$A$1:$BK$1, 0))</f>
        <v>-1.5198604219370589E-2</v>
      </c>
    </row>
    <row r="817" spans="1:5" x14ac:dyDescent="0.3">
      <c r="A817" s="2">
        <f ca="1">INDEX(Simulations!$A$1:$BK$2501, 817, MATCH("PurchaseMultiple", Simulations!$A$1:$BK$1, 0))</f>
        <v>7.0195370367167058</v>
      </c>
      <c r="B817" s="2">
        <f ca="1">INDEX(Simulations!$A$1:$BK$2501, 817, MATCH("ExitMultiple", Simulations!$A$1:$BK$1, 0))</f>
        <v>7.6811975324401178</v>
      </c>
      <c r="C817" s="2">
        <f ca="1">INDEX(Simulations!$A$1:$BK$2501, 817, MATCH("RevCAGR", Simulations!$A$1:$BK$1, 0))</f>
        <v>4.9416561423664691E-2</v>
      </c>
      <c r="D817" s="2">
        <f ca="1">INDEX(Simulations!$A$1:$BK$2501, 817, MATCH("SynMargin", Simulations!$A$1:$BK$1, 0))</f>
        <v>4.1873553162165679E-3</v>
      </c>
      <c r="E817" s="2">
        <f ca="1">INDEX(Simulations!$A$1:$BK$2501, 817, MATCH("Yr1Shock", Simulations!$A$1:$BK$1, 0))</f>
        <v>-2.7953979183795715E-2</v>
      </c>
    </row>
    <row r="818" spans="1:5" x14ac:dyDescent="0.3">
      <c r="A818" s="2">
        <f ca="1">INDEX(Simulations!$A$1:$BK$2501, 818, MATCH("PurchaseMultiple", Simulations!$A$1:$BK$1, 0))</f>
        <v>6.8310024010692398</v>
      </c>
      <c r="B818" s="2">
        <f ca="1">INDEX(Simulations!$A$1:$BK$2501, 818, MATCH("ExitMultiple", Simulations!$A$1:$BK$1, 0))</f>
        <v>7.4725476657171868</v>
      </c>
      <c r="C818" s="2">
        <f ca="1">INDEX(Simulations!$A$1:$BK$2501, 818, MATCH("RevCAGR", Simulations!$A$1:$BK$1, 0))</f>
        <v>-2.732734476569687E-3</v>
      </c>
      <c r="D818" s="2">
        <f ca="1">INDEX(Simulations!$A$1:$BK$2501, 818, MATCH("SynMargin", Simulations!$A$1:$BK$1, 0))</f>
        <v>3.7328354065321364E-3</v>
      </c>
      <c r="E818" s="2">
        <f ca="1">INDEX(Simulations!$A$1:$BK$2501, 818, MATCH("Yr1Shock", Simulations!$A$1:$BK$1, 0))</f>
        <v>-1.469348379147057E-2</v>
      </c>
    </row>
    <row r="819" spans="1:5" x14ac:dyDescent="0.3">
      <c r="A819" s="2">
        <f ca="1">INDEX(Simulations!$A$1:$BK$2501, 819, MATCH("PurchaseMultiple", Simulations!$A$1:$BK$1, 0))</f>
        <v>6.9127813242931548</v>
      </c>
      <c r="B819" s="2">
        <f ca="1">INDEX(Simulations!$A$1:$BK$2501, 819, MATCH("ExitMultiple", Simulations!$A$1:$BK$1, 0))</f>
        <v>7.1430962448818489</v>
      </c>
      <c r="C819" s="2">
        <f ca="1">INDEX(Simulations!$A$1:$BK$2501, 819, MATCH("RevCAGR", Simulations!$A$1:$BK$1, 0))</f>
        <v>5.4121574455830754E-2</v>
      </c>
      <c r="D819" s="2">
        <f ca="1">INDEX(Simulations!$A$1:$BK$2501, 819, MATCH("SynMargin", Simulations!$A$1:$BK$1, 0))</f>
        <v>1.3037388079132808E-2</v>
      </c>
      <c r="E819" s="2">
        <f ca="1">INDEX(Simulations!$A$1:$BK$2501, 819, MATCH("Yr1Shock", Simulations!$A$1:$BK$1, 0))</f>
        <v>-2.9086466505960078E-2</v>
      </c>
    </row>
    <row r="820" spans="1:5" x14ac:dyDescent="0.3">
      <c r="A820" s="2">
        <f ca="1">INDEX(Simulations!$A$1:$BK$2501, 820, MATCH("PurchaseMultiple", Simulations!$A$1:$BK$1, 0))</f>
        <v>7.8135577046168265</v>
      </c>
      <c r="B820" s="2">
        <f ca="1">INDEX(Simulations!$A$1:$BK$2501, 820, MATCH("ExitMultiple", Simulations!$A$1:$BK$1, 0))</f>
        <v>7.3996261125633112</v>
      </c>
      <c r="C820" s="2">
        <f ca="1">INDEX(Simulations!$A$1:$BK$2501, 820, MATCH("RevCAGR", Simulations!$A$1:$BK$1, 0))</f>
        <v>7.96842630693987E-2</v>
      </c>
      <c r="D820" s="2">
        <f ca="1">INDEX(Simulations!$A$1:$BK$2501, 820, MATCH("SynMargin", Simulations!$A$1:$BK$1, 0))</f>
        <v>2.8783312486406441E-3</v>
      </c>
      <c r="E820" s="2">
        <f ca="1">INDEX(Simulations!$A$1:$BK$2501, 820, MATCH("Yr1Shock", Simulations!$A$1:$BK$1, 0))</f>
        <v>3.1430481183037762E-2</v>
      </c>
    </row>
    <row r="821" spans="1:5" x14ac:dyDescent="0.3">
      <c r="A821" s="2">
        <f ca="1">INDEX(Simulations!$A$1:$BK$2501, 821, MATCH("PurchaseMultiple", Simulations!$A$1:$BK$1, 0))</f>
        <v>7.1758991574184439</v>
      </c>
      <c r="B821" s="2">
        <f ca="1">INDEX(Simulations!$A$1:$BK$2501, 821, MATCH("ExitMultiple", Simulations!$A$1:$BK$1, 0))</f>
        <v>7.5685815099318425</v>
      </c>
      <c r="C821" s="2">
        <f ca="1">INDEX(Simulations!$A$1:$BK$2501, 821, MATCH("RevCAGR", Simulations!$A$1:$BK$1, 0))</f>
        <v>6.7060250700328838E-2</v>
      </c>
      <c r="D821" s="2">
        <f ca="1">INDEX(Simulations!$A$1:$BK$2501, 821, MATCH("SynMargin", Simulations!$A$1:$BK$1, 0))</f>
        <v>1.0391944397872501E-2</v>
      </c>
      <c r="E821" s="2">
        <f ca="1">INDEX(Simulations!$A$1:$BK$2501, 821, MATCH("Yr1Shock", Simulations!$A$1:$BK$1, 0))</f>
        <v>8.3585164602943528E-3</v>
      </c>
    </row>
    <row r="822" spans="1:5" x14ac:dyDescent="0.3">
      <c r="A822" s="2">
        <f ca="1">INDEX(Simulations!$A$1:$BK$2501, 822, MATCH("PurchaseMultiple", Simulations!$A$1:$BK$1, 0))</f>
        <v>6.9058522484789648</v>
      </c>
      <c r="B822" s="2">
        <f ca="1">INDEX(Simulations!$A$1:$BK$2501, 822, MATCH("ExitMultiple", Simulations!$A$1:$BK$1, 0))</f>
        <v>7.1440996065810474</v>
      </c>
      <c r="C822" s="2">
        <f ca="1">INDEX(Simulations!$A$1:$BK$2501, 822, MATCH("RevCAGR", Simulations!$A$1:$BK$1, 0))</f>
        <v>-4.2256059313458619E-3</v>
      </c>
      <c r="D822" s="2">
        <f ca="1">INDEX(Simulations!$A$1:$BK$2501, 822, MATCH("SynMargin", Simulations!$A$1:$BK$1, 0))</f>
        <v>1.2137124953994934E-2</v>
      </c>
      <c r="E822" s="2">
        <f ca="1">INDEX(Simulations!$A$1:$BK$2501, 822, MATCH("Yr1Shock", Simulations!$A$1:$BK$1, 0))</f>
        <v>1.7804482479426637E-2</v>
      </c>
    </row>
    <row r="823" spans="1:5" x14ac:dyDescent="0.3">
      <c r="A823" s="2">
        <f ca="1">INDEX(Simulations!$A$1:$BK$2501, 823, MATCH("PurchaseMultiple", Simulations!$A$1:$BK$1, 0))</f>
        <v>7.0996672972518287</v>
      </c>
      <c r="B823" s="2">
        <f ca="1">INDEX(Simulations!$A$1:$BK$2501, 823, MATCH("ExitMultiple", Simulations!$A$1:$BK$1, 0))</f>
        <v>7.3291189726894892</v>
      </c>
      <c r="C823" s="2">
        <f ca="1">INDEX(Simulations!$A$1:$BK$2501, 823, MATCH("RevCAGR", Simulations!$A$1:$BK$1, 0))</f>
        <v>9.7920186245252616E-2</v>
      </c>
      <c r="D823" s="2">
        <f ca="1">INDEX(Simulations!$A$1:$BK$2501, 823, MATCH("SynMargin", Simulations!$A$1:$BK$1, 0))</f>
        <v>1.6522796996141152E-2</v>
      </c>
      <c r="E823" s="2">
        <f ca="1">INDEX(Simulations!$A$1:$BK$2501, 823, MATCH("Yr1Shock", Simulations!$A$1:$BK$1, 0))</f>
        <v>4.7436610071768345E-2</v>
      </c>
    </row>
    <row r="824" spans="1:5" x14ac:dyDescent="0.3">
      <c r="A824" s="2">
        <f ca="1">INDEX(Simulations!$A$1:$BK$2501, 824, MATCH("PurchaseMultiple", Simulations!$A$1:$BK$1, 0))</f>
        <v>6.8611042911280693</v>
      </c>
      <c r="B824" s="2">
        <f ca="1">INDEX(Simulations!$A$1:$BK$2501, 824, MATCH("ExitMultiple", Simulations!$A$1:$BK$1, 0))</f>
        <v>7.7835140693599891</v>
      </c>
      <c r="C824" s="2">
        <f ca="1">INDEX(Simulations!$A$1:$BK$2501, 824, MATCH("RevCAGR", Simulations!$A$1:$BK$1, 0))</f>
        <v>4.234297942481751E-2</v>
      </c>
      <c r="D824" s="2">
        <f ca="1">INDEX(Simulations!$A$1:$BK$2501, 824, MATCH("SynMargin", Simulations!$A$1:$BK$1, 0))</f>
        <v>4.1036367998989968E-3</v>
      </c>
      <c r="E824" s="2">
        <f ca="1">INDEX(Simulations!$A$1:$BK$2501, 824, MATCH("Yr1Shock", Simulations!$A$1:$BK$1, 0))</f>
        <v>2.0013675329058133E-2</v>
      </c>
    </row>
    <row r="825" spans="1:5" x14ac:dyDescent="0.3">
      <c r="A825" s="2">
        <f ca="1">INDEX(Simulations!$A$1:$BK$2501, 825, MATCH("PurchaseMultiple", Simulations!$A$1:$BK$1, 0))</f>
        <v>7.0315023047293241</v>
      </c>
      <c r="B825" s="2">
        <f ca="1">INDEX(Simulations!$A$1:$BK$2501, 825, MATCH("ExitMultiple", Simulations!$A$1:$BK$1, 0))</f>
        <v>8.1138734847654401</v>
      </c>
      <c r="C825" s="2">
        <f ca="1">INDEX(Simulations!$A$1:$BK$2501, 825, MATCH("RevCAGR", Simulations!$A$1:$BK$1, 0))</f>
        <v>8.0081136989742105E-2</v>
      </c>
      <c r="D825" s="2">
        <f ca="1">INDEX(Simulations!$A$1:$BK$2501, 825, MATCH("SynMargin", Simulations!$A$1:$BK$1, 0))</f>
        <v>1.7392051584975515E-2</v>
      </c>
      <c r="E825" s="2">
        <f ca="1">INDEX(Simulations!$A$1:$BK$2501, 825, MATCH("Yr1Shock", Simulations!$A$1:$BK$1, 0))</f>
        <v>-6.7223998638648655E-3</v>
      </c>
    </row>
    <row r="826" spans="1:5" x14ac:dyDescent="0.3">
      <c r="A826" s="2">
        <f ca="1">INDEX(Simulations!$A$1:$BK$2501, 826, MATCH("PurchaseMultiple", Simulations!$A$1:$BK$1, 0))</f>
        <v>6.9375535552921965</v>
      </c>
      <c r="B826" s="2">
        <f ca="1">INDEX(Simulations!$A$1:$BK$2501, 826, MATCH("ExitMultiple", Simulations!$A$1:$BK$1, 0))</f>
        <v>7.1394111001181377</v>
      </c>
      <c r="C826" s="2">
        <f ca="1">INDEX(Simulations!$A$1:$BK$2501, 826, MATCH("RevCAGR", Simulations!$A$1:$BK$1, 0))</f>
        <v>2.2213610515590013E-2</v>
      </c>
      <c r="D826" s="2">
        <f ca="1">INDEX(Simulations!$A$1:$BK$2501, 826, MATCH("SynMargin", Simulations!$A$1:$BK$1, 0))</f>
        <v>9.7842055328255552E-3</v>
      </c>
      <c r="E826" s="2">
        <f ca="1">INDEX(Simulations!$A$1:$BK$2501, 826, MATCH("Yr1Shock", Simulations!$A$1:$BK$1, 0))</f>
        <v>-1.7154100814835795E-2</v>
      </c>
    </row>
    <row r="827" spans="1:5" x14ac:dyDescent="0.3">
      <c r="A827" s="2">
        <f ca="1">INDEX(Simulations!$A$1:$BK$2501, 827, MATCH("PurchaseMultiple", Simulations!$A$1:$BK$1, 0))</f>
        <v>6.7538246929740753</v>
      </c>
      <c r="B827" s="2">
        <f ca="1">INDEX(Simulations!$A$1:$BK$2501, 827, MATCH("ExitMultiple", Simulations!$A$1:$BK$1, 0))</f>
        <v>7.2714250797882851</v>
      </c>
      <c r="C827" s="2">
        <f ca="1">INDEX(Simulations!$A$1:$BK$2501, 827, MATCH("RevCAGR", Simulations!$A$1:$BK$1, 0))</f>
        <v>9.8927871288460381E-3</v>
      </c>
      <c r="D827" s="2">
        <f ca="1">INDEX(Simulations!$A$1:$BK$2501, 827, MATCH("SynMargin", Simulations!$A$1:$BK$1, 0))</f>
        <v>7.8417720961413938E-3</v>
      </c>
      <c r="E827" s="2">
        <f ca="1">INDEX(Simulations!$A$1:$BK$2501, 827, MATCH("Yr1Shock", Simulations!$A$1:$BK$1, 0))</f>
        <v>8.7030927785784697E-4</v>
      </c>
    </row>
    <row r="828" spans="1:5" x14ac:dyDescent="0.3">
      <c r="A828" s="2">
        <f ca="1">INDEX(Simulations!$A$1:$BK$2501, 828, MATCH("PurchaseMultiple", Simulations!$A$1:$BK$1, 0))</f>
        <v>6.9589327986074361</v>
      </c>
      <c r="B828" s="2">
        <f ca="1">INDEX(Simulations!$A$1:$BK$2501, 828, MATCH("ExitMultiple", Simulations!$A$1:$BK$1, 0))</f>
        <v>7.8329389951909896</v>
      </c>
      <c r="C828" s="2">
        <f ca="1">INDEX(Simulations!$A$1:$BK$2501, 828, MATCH("RevCAGR", Simulations!$A$1:$BK$1, 0))</f>
        <v>7.2267818843402526E-2</v>
      </c>
      <c r="D828" s="2">
        <f ca="1">INDEX(Simulations!$A$1:$BK$2501, 828, MATCH("SynMargin", Simulations!$A$1:$BK$1, 0))</f>
        <v>7.7907986539677765E-3</v>
      </c>
      <c r="E828" s="2">
        <f ca="1">INDEX(Simulations!$A$1:$BK$2501, 828, MATCH("Yr1Shock", Simulations!$A$1:$BK$1, 0))</f>
        <v>-2.8403744635785988E-2</v>
      </c>
    </row>
    <row r="829" spans="1:5" x14ac:dyDescent="0.3">
      <c r="A829" s="2">
        <f ca="1">INDEX(Simulations!$A$1:$BK$2501, 829, MATCH("PurchaseMultiple", Simulations!$A$1:$BK$1, 0))</f>
        <v>6.9512779123644846</v>
      </c>
      <c r="B829" s="2">
        <f ca="1">INDEX(Simulations!$A$1:$BK$2501, 829, MATCH("ExitMultiple", Simulations!$A$1:$BK$1, 0))</f>
        <v>7.7936497040362287</v>
      </c>
      <c r="C829" s="2">
        <f ca="1">INDEX(Simulations!$A$1:$BK$2501, 829, MATCH("RevCAGR", Simulations!$A$1:$BK$1, 0))</f>
        <v>-0.02</v>
      </c>
      <c r="D829" s="2">
        <f ca="1">INDEX(Simulations!$A$1:$BK$2501, 829, MATCH("SynMargin", Simulations!$A$1:$BK$1, 0))</f>
        <v>5.11254067329761E-3</v>
      </c>
      <c r="E829" s="2">
        <f ca="1">INDEX(Simulations!$A$1:$BK$2501, 829, MATCH("Yr1Shock", Simulations!$A$1:$BK$1, 0))</f>
        <v>9.7777525271916018E-3</v>
      </c>
    </row>
    <row r="830" spans="1:5" x14ac:dyDescent="0.3">
      <c r="A830" s="2">
        <f ca="1">INDEX(Simulations!$A$1:$BK$2501, 830, MATCH("PurchaseMultiple", Simulations!$A$1:$BK$1, 0))</f>
        <v>6.7189323019591471</v>
      </c>
      <c r="B830" s="2">
        <f ca="1">INDEX(Simulations!$A$1:$BK$2501, 830, MATCH("ExitMultiple", Simulations!$A$1:$BK$1, 0))</f>
        <v>8.1800106177415071</v>
      </c>
      <c r="C830" s="2">
        <f ca="1">INDEX(Simulations!$A$1:$BK$2501, 830, MATCH("RevCAGR", Simulations!$A$1:$BK$1, 0))</f>
        <v>4.9420027686214618E-2</v>
      </c>
      <c r="D830" s="2">
        <f ca="1">INDEX(Simulations!$A$1:$BK$2501, 830, MATCH("SynMargin", Simulations!$A$1:$BK$1, 0))</f>
        <v>1.298155656664712E-2</v>
      </c>
      <c r="E830" s="2">
        <f ca="1">INDEX(Simulations!$A$1:$BK$2501, 830, MATCH("Yr1Shock", Simulations!$A$1:$BK$1, 0))</f>
        <v>1.2746364679956814E-2</v>
      </c>
    </row>
    <row r="831" spans="1:5" x14ac:dyDescent="0.3">
      <c r="A831" s="2">
        <f ca="1">INDEX(Simulations!$A$1:$BK$2501, 831, MATCH("PurchaseMultiple", Simulations!$A$1:$BK$1, 0))</f>
        <v>6.7700541040199669</v>
      </c>
      <c r="B831" s="2">
        <f ca="1">INDEX(Simulations!$A$1:$BK$2501, 831, MATCH("ExitMultiple", Simulations!$A$1:$BK$1, 0))</f>
        <v>7.756201963652634</v>
      </c>
      <c r="C831" s="2">
        <f ca="1">INDEX(Simulations!$A$1:$BK$2501, 831, MATCH("RevCAGR", Simulations!$A$1:$BK$1, 0))</f>
        <v>3.5191167982238786E-2</v>
      </c>
      <c r="D831" s="2">
        <f ca="1">INDEX(Simulations!$A$1:$BK$2501, 831, MATCH("SynMargin", Simulations!$A$1:$BK$1, 0))</f>
        <v>6.1339667957313179E-3</v>
      </c>
      <c r="E831" s="2">
        <f ca="1">INDEX(Simulations!$A$1:$BK$2501, 831, MATCH("Yr1Shock", Simulations!$A$1:$BK$1, 0))</f>
        <v>-2.3842324419622786E-2</v>
      </c>
    </row>
    <row r="832" spans="1:5" x14ac:dyDescent="0.3">
      <c r="A832" s="2">
        <f ca="1">INDEX(Simulations!$A$1:$BK$2501, 832, MATCH("PurchaseMultiple", Simulations!$A$1:$BK$1, 0))</f>
        <v>7.0216062613196124</v>
      </c>
      <c r="B832" s="2">
        <f ca="1">INDEX(Simulations!$A$1:$BK$2501, 832, MATCH("ExitMultiple", Simulations!$A$1:$BK$1, 0))</f>
        <v>7.2710976310663717</v>
      </c>
      <c r="C832" s="2">
        <f ca="1">INDEX(Simulations!$A$1:$BK$2501, 832, MATCH("RevCAGR", Simulations!$A$1:$BK$1, 0))</f>
        <v>4.0669349879617581E-2</v>
      </c>
      <c r="D832" s="2">
        <f ca="1">INDEX(Simulations!$A$1:$BK$2501, 832, MATCH("SynMargin", Simulations!$A$1:$BK$1, 0))</f>
        <v>1.3588770828830244E-2</v>
      </c>
      <c r="E832" s="2">
        <f ca="1">INDEX(Simulations!$A$1:$BK$2501, 832, MATCH("Yr1Shock", Simulations!$A$1:$BK$1, 0))</f>
        <v>-2.4250460639284314E-2</v>
      </c>
    </row>
    <row r="833" spans="1:5" x14ac:dyDescent="0.3">
      <c r="A833" s="2">
        <f ca="1">INDEX(Simulations!$A$1:$BK$2501, 833, MATCH("PurchaseMultiple", Simulations!$A$1:$BK$1, 0))</f>
        <v>6.9692365222131221</v>
      </c>
      <c r="B833" s="2">
        <f ca="1">INDEX(Simulations!$A$1:$BK$2501, 833, MATCH("ExitMultiple", Simulations!$A$1:$BK$1, 0))</f>
        <v>6.938817519862317</v>
      </c>
      <c r="C833" s="2">
        <f ca="1">INDEX(Simulations!$A$1:$BK$2501, 833, MATCH("RevCAGR", Simulations!$A$1:$BK$1, 0))</f>
        <v>3.0219650913637264E-2</v>
      </c>
      <c r="D833" s="2">
        <f ca="1">INDEX(Simulations!$A$1:$BK$2501, 833, MATCH("SynMargin", Simulations!$A$1:$BK$1, 0))</f>
        <v>1.3845260826724092E-2</v>
      </c>
      <c r="E833" s="2">
        <f ca="1">INDEX(Simulations!$A$1:$BK$2501, 833, MATCH("Yr1Shock", Simulations!$A$1:$BK$1, 0))</f>
        <v>-4.6562288739500973E-3</v>
      </c>
    </row>
    <row r="834" spans="1:5" x14ac:dyDescent="0.3">
      <c r="A834" s="2">
        <f ca="1">INDEX(Simulations!$A$1:$BK$2501, 834, MATCH("PurchaseMultiple", Simulations!$A$1:$BK$1, 0))</f>
        <v>6.9687421665293643</v>
      </c>
      <c r="B834" s="2">
        <f ca="1">INDEX(Simulations!$A$1:$BK$2501, 834, MATCH("ExitMultiple", Simulations!$A$1:$BK$1, 0))</f>
        <v>7.1669602200165183</v>
      </c>
      <c r="C834" s="2">
        <f ca="1">INDEX(Simulations!$A$1:$BK$2501, 834, MATCH("RevCAGR", Simulations!$A$1:$BK$1, 0))</f>
        <v>3.5773635551757374E-2</v>
      </c>
      <c r="D834" s="2">
        <f ca="1">INDEX(Simulations!$A$1:$BK$2501, 834, MATCH("SynMargin", Simulations!$A$1:$BK$1, 0))</f>
        <v>3.2989085072422011E-3</v>
      </c>
      <c r="E834" s="2">
        <f ca="1">INDEX(Simulations!$A$1:$BK$2501, 834, MATCH("Yr1Shock", Simulations!$A$1:$BK$1, 0))</f>
        <v>-1.5277760669686613E-2</v>
      </c>
    </row>
    <row r="835" spans="1:5" x14ac:dyDescent="0.3">
      <c r="A835" s="2">
        <f ca="1">INDEX(Simulations!$A$1:$BK$2501, 835, MATCH("PurchaseMultiple", Simulations!$A$1:$BK$1, 0))</f>
        <v>7.8029088478773048</v>
      </c>
      <c r="B835" s="2">
        <f ca="1">INDEX(Simulations!$A$1:$BK$2501, 835, MATCH("ExitMultiple", Simulations!$A$1:$BK$1, 0))</f>
        <v>8.2698360416847532</v>
      </c>
      <c r="C835" s="2">
        <f ca="1">INDEX(Simulations!$A$1:$BK$2501, 835, MATCH("RevCAGR", Simulations!$A$1:$BK$1, 0))</f>
        <v>4.2021176950851738E-2</v>
      </c>
      <c r="D835" s="2">
        <f ca="1">INDEX(Simulations!$A$1:$BK$2501, 835, MATCH("SynMargin", Simulations!$A$1:$BK$1, 0))</f>
        <v>5.182871739666273E-3</v>
      </c>
      <c r="E835" s="2">
        <f ca="1">INDEX(Simulations!$A$1:$BK$2501, 835, MATCH("Yr1Shock", Simulations!$A$1:$BK$1, 0))</f>
        <v>4.2587719697086794E-2</v>
      </c>
    </row>
    <row r="836" spans="1:5" x14ac:dyDescent="0.3">
      <c r="A836" s="2">
        <f ca="1">INDEX(Simulations!$A$1:$BK$2501, 836, MATCH("PurchaseMultiple", Simulations!$A$1:$BK$1, 0))</f>
        <v>6.7266812413157826</v>
      </c>
      <c r="B836" s="2">
        <f ca="1">INDEX(Simulations!$A$1:$BK$2501, 836, MATCH("ExitMultiple", Simulations!$A$1:$BK$1, 0))</f>
        <v>7.5763401030618942</v>
      </c>
      <c r="C836" s="2">
        <f ca="1">INDEX(Simulations!$A$1:$BK$2501, 836, MATCH("RevCAGR", Simulations!$A$1:$BK$1, 0))</f>
        <v>2.76692381167402E-2</v>
      </c>
      <c r="D836" s="2">
        <f ca="1">INDEX(Simulations!$A$1:$BK$2501, 836, MATCH("SynMargin", Simulations!$A$1:$BK$1, 0))</f>
        <v>9.1928256031066878E-3</v>
      </c>
      <c r="E836" s="2">
        <f ca="1">INDEX(Simulations!$A$1:$BK$2501, 836, MATCH("Yr1Shock", Simulations!$A$1:$BK$1, 0))</f>
        <v>1.0912702416567086E-2</v>
      </c>
    </row>
    <row r="837" spans="1:5" x14ac:dyDescent="0.3">
      <c r="A837" s="2">
        <f ca="1">INDEX(Simulations!$A$1:$BK$2501, 837, MATCH("PurchaseMultiple", Simulations!$A$1:$BK$1, 0))</f>
        <v>7.1239785202679045</v>
      </c>
      <c r="B837" s="2">
        <f ca="1">INDEX(Simulations!$A$1:$BK$2501, 837, MATCH("ExitMultiple", Simulations!$A$1:$BK$1, 0))</f>
        <v>6.9154752464988043</v>
      </c>
      <c r="C837" s="2">
        <f ca="1">INDEX(Simulations!$A$1:$BK$2501, 837, MATCH("RevCAGR", Simulations!$A$1:$BK$1, 0))</f>
        <v>-3.4434900401985602E-3</v>
      </c>
      <c r="D837" s="2">
        <f ca="1">INDEX(Simulations!$A$1:$BK$2501, 837, MATCH("SynMargin", Simulations!$A$1:$BK$1, 0))</f>
        <v>4.532264939650572E-3</v>
      </c>
      <c r="E837" s="2">
        <f ca="1">INDEX(Simulations!$A$1:$BK$2501, 837, MATCH("Yr1Shock", Simulations!$A$1:$BK$1, 0))</f>
        <v>6.5269766649932535E-3</v>
      </c>
    </row>
    <row r="838" spans="1:5" x14ac:dyDescent="0.3">
      <c r="A838" s="2">
        <f ca="1">INDEX(Simulations!$A$1:$BK$2501, 838, MATCH("PurchaseMultiple", Simulations!$A$1:$BK$1, 0))</f>
        <v>7.0449355857011486</v>
      </c>
      <c r="B838" s="2">
        <f ca="1">INDEX(Simulations!$A$1:$BK$2501, 838, MATCH("ExitMultiple", Simulations!$A$1:$BK$1, 0))</f>
        <v>7.3747564016302114</v>
      </c>
      <c r="C838" s="2">
        <f ca="1">INDEX(Simulations!$A$1:$BK$2501, 838, MATCH("RevCAGR", Simulations!$A$1:$BK$1, 0))</f>
        <v>2.4261918808497918E-2</v>
      </c>
      <c r="D838" s="2">
        <f ca="1">INDEX(Simulations!$A$1:$BK$2501, 838, MATCH("SynMargin", Simulations!$A$1:$BK$1, 0))</f>
        <v>6.1649129304824982E-3</v>
      </c>
      <c r="E838" s="2">
        <f ca="1">INDEX(Simulations!$A$1:$BK$2501, 838, MATCH("Yr1Shock", Simulations!$A$1:$BK$1, 0))</f>
        <v>-3.7791429575848128E-2</v>
      </c>
    </row>
    <row r="839" spans="1:5" x14ac:dyDescent="0.3">
      <c r="A839" s="2">
        <f ca="1">INDEX(Simulations!$A$1:$BK$2501, 839, MATCH("PurchaseMultiple", Simulations!$A$1:$BK$1, 0))</f>
        <v>6.454438615350778</v>
      </c>
      <c r="B839" s="2">
        <f ca="1">INDEX(Simulations!$A$1:$BK$2501, 839, MATCH("ExitMultiple", Simulations!$A$1:$BK$1, 0))</f>
        <v>6.987020450204394</v>
      </c>
      <c r="C839" s="2">
        <f ca="1">INDEX(Simulations!$A$1:$BK$2501, 839, MATCH("RevCAGR", Simulations!$A$1:$BK$1, 0))</f>
        <v>4.1438353800833598E-2</v>
      </c>
      <c r="D839" s="2">
        <f ca="1">INDEX(Simulations!$A$1:$BK$2501, 839, MATCH("SynMargin", Simulations!$A$1:$BK$1, 0))</f>
        <v>1.0254938381947036E-2</v>
      </c>
      <c r="E839" s="2">
        <f ca="1">INDEX(Simulations!$A$1:$BK$2501, 839, MATCH("Yr1Shock", Simulations!$A$1:$BK$1, 0))</f>
        <v>3.5612005731570169E-4</v>
      </c>
    </row>
    <row r="840" spans="1:5" x14ac:dyDescent="0.3">
      <c r="A840" s="2">
        <f ca="1">INDEX(Simulations!$A$1:$BK$2501, 840, MATCH("PurchaseMultiple", Simulations!$A$1:$BK$1, 0))</f>
        <v>6.3304769312508977</v>
      </c>
      <c r="B840" s="2">
        <f ca="1">INDEX(Simulations!$A$1:$BK$2501, 840, MATCH("ExitMultiple", Simulations!$A$1:$BK$1, 0))</f>
        <v>7.3355514473364289</v>
      </c>
      <c r="C840" s="2">
        <f ca="1">INDEX(Simulations!$A$1:$BK$2501, 840, MATCH("RevCAGR", Simulations!$A$1:$BK$1, 0))</f>
        <v>0.11094727354546643</v>
      </c>
      <c r="D840" s="2">
        <f ca="1">INDEX(Simulations!$A$1:$BK$2501, 840, MATCH("SynMargin", Simulations!$A$1:$BK$1, 0))</f>
        <v>1.0452244808265091E-2</v>
      </c>
      <c r="E840" s="2">
        <f ca="1">INDEX(Simulations!$A$1:$BK$2501, 840, MATCH("Yr1Shock", Simulations!$A$1:$BK$1, 0))</f>
        <v>1.2853354223631855E-2</v>
      </c>
    </row>
    <row r="841" spans="1:5" x14ac:dyDescent="0.3">
      <c r="A841" s="2">
        <f ca="1">INDEX(Simulations!$A$1:$BK$2501, 841, MATCH("PurchaseMultiple", Simulations!$A$1:$BK$1, 0))</f>
        <v>6.7756488469508422</v>
      </c>
      <c r="B841" s="2">
        <f ca="1">INDEX(Simulations!$A$1:$BK$2501, 841, MATCH("ExitMultiple", Simulations!$A$1:$BK$1, 0))</f>
        <v>7.1655471341516987</v>
      </c>
      <c r="C841" s="2">
        <f ca="1">INDEX(Simulations!$A$1:$BK$2501, 841, MATCH("RevCAGR", Simulations!$A$1:$BK$1, 0))</f>
        <v>3.7311399667832028E-2</v>
      </c>
      <c r="D841" s="2">
        <f ca="1">INDEX(Simulations!$A$1:$BK$2501, 841, MATCH("SynMargin", Simulations!$A$1:$BK$1, 0))</f>
        <v>1.2516483398684079E-2</v>
      </c>
      <c r="E841" s="2">
        <f ca="1">INDEX(Simulations!$A$1:$BK$2501, 841, MATCH("Yr1Shock", Simulations!$A$1:$BK$1, 0))</f>
        <v>1.5354850035642822E-2</v>
      </c>
    </row>
    <row r="842" spans="1:5" x14ac:dyDescent="0.3">
      <c r="A842" s="2">
        <f ca="1">INDEX(Simulations!$A$1:$BK$2501, 842, MATCH("PurchaseMultiple", Simulations!$A$1:$BK$1, 0))</f>
        <v>6.979527693539108</v>
      </c>
      <c r="B842" s="2">
        <f ca="1">INDEX(Simulations!$A$1:$BK$2501, 842, MATCH("ExitMultiple", Simulations!$A$1:$BK$1, 0))</f>
        <v>7.1152109829741974</v>
      </c>
      <c r="C842" s="2">
        <f ca="1">INDEX(Simulations!$A$1:$BK$2501, 842, MATCH("RevCAGR", Simulations!$A$1:$BK$1, 0))</f>
        <v>2.2621820392746458E-2</v>
      </c>
      <c r="D842" s="2">
        <f ca="1">INDEX(Simulations!$A$1:$BK$2501, 842, MATCH("SynMargin", Simulations!$A$1:$BK$1, 0))</f>
        <v>0</v>
      </c>
      <c r="E842" s="2">
        <f ca="1">INDEX(Simulations!$A$1:$BK$2501, 842, MATCH("Yr1Shock", Simulations!$A$1:$BK$1, 0))</f>
        <v>2.4348624523197838E-2</v>
      </c>
    </row>
    <row r="843" spans="1:5" x14ac:dyDescent="0.3">
      <c r="A843" s="2">
        <f ca="1">INDEX(Simulations!$A$1:$BK$2501, 843, MATCH("PurchaseMultiple", Simulations!$A$1:$BK$1, 0))</f>
        <v>6.3977222664209163</v>
      </c>
      <c r="B843" s="2">
        <f ca="1">INDEX(Simulations!$A$1:$BK$2501, 843, MATCH("ExitMultiple", Simulations!$A$1:$BK$1, 0))</f>
        <v>6.8251368473027041</v>
      </c>
      <c r="C843" s="2">
        <f ca="1">INDEX(Simulations!$A$1:$BK$2501, 843, MATCH("RevCAGR", Simulations!$A$1:$BK$1, 0))</f>
        <v>4.2968107201351649E-2</v>
      </c>
      <c r="D843" s="2">
        <f ca="1">INDEX(Simulations!$A$1:$BK$2501, 843, MATCH("SynMargin", Simulations!$A$1:$BK$1, 0))</f>
        <v>5.8275746883943739E-3</v>
      </c>
      <c r="E843" s="2">
        <f ca="1">INDEX(Simulations!$A$1:$BK$2501, 843, MATCH("Yr1Shock", Simulations!$A$1:$BK$1, 0))</f>
        <v>-1.9828539347248354E-2</v>
      </c>
    </row>
    <row r="844" spans="1:5" x14ac:dyDescent="0.3">
      <c r="A844" s="2">
        <f ca="1">INDEX(Simulations!$A$1:$BK$2501, 844, MATCH("PurchaseMultiple", Simulations!$A$1:$BK$1, 0))</f>
        <v>7.0377602399710888</v>
      </c>
      <c r="B844" s="2">
        <f ca="1">INDEX(Simulations!$A$1:$BK$2501, 844, MATCH("ExitMultiple", Simulations!$A$1:$BK$1, 0))</f>
        <v>7.7144869242546514</v>
      </c>
      <c r="C844" s="2">
        <f ca="1">INDEX(Simulations!$A$1:$BK$2501, 844, MATCH("RevCAGR", Simulations!$A$1:$BK$1, 0))</f>
        <v>4.512495944234695E-2</v>
      </c>
      <c r="D844" s="2">
        <f ca="1">INDEX(Simulations!$A$1:$BK$2501, 844, MATCH("SynMargin", Simulations!$A$1:$BK$1, 0))</f>
        <v>7.1288249607709426E-3</v>
      </c>
      <c r="E844" s="2">
        <f ca="1">INDEX(Simulations!$A$1:$BK$2501, 844, MATCH("Yr1Shock", Simulations!$A$1:$BK$1, 0))</f>
        <v>-1.8319456797394255E-3</v>
      </c>
    </row>
    <row r="845" spans="1:5" x14ac:dyDescent="0.3">
      <c r="A845" s="2">
        <f ca="1">INDEX(Simulations!$A$1:$BK$2501, 845, MATCH("PurchaseMultiple", Simulations!$A$1:$BK$1, 0))</f>
        <v>6.3098731725841066</v>
      </c>
      <c r="B845" s="2">
        <f ca="1">INDEX(Simulations!$A$1:$BK$2501, 845, MATCH("ExitMultiple", Simulations!$A$1:$BK$1, 0))</f>
        <v>7.7891265821006783</v>
      </c>
      <c r="C845" s="2">
        <f ca="1">INDEX(Simulations!$A$1:$BK$2501, 845, MATCH("RevCAGR", Simulations!$A$1:$BK$1, 0))</f>
        <v>1.9976914244897569E-2</v>
      </c>
      <c r="D845" s="2">
        <f ca="1">INDEX(Simulations!$A$1:$BK$2501, 845, MATCH("SynMargin", Simulations!$A$1:$BK$1, 0))</f>
        <v>1.0042482373317235E-2</v>
      </c>
      <c r="E845" s="2">
        <f ca="1">INDEX(Simulations!$A$1:$BK$2501, 845, MATCH("Yr1Shock", Simulations!$A$1:$BK$1, 0))</f>
        <v>-2.3483798782132071E-2</v>
      </c>
    </row>
    <row r="846" spans="1:5" x14ac:dyDescent="0.3">
      <c r="A846" s="2">
        <f ca="1">INDEX(Simulations!$A$1:$BK$2501, 846, MATCH("PurchaseMultiple", Simulations!$A$1:$BK$1, 0))</f>
        <v>6.9440449932542778</v>
      </c>
      <c r="B846" s="2">
        <f ca="1">INDEX(Simulations!$A$1:$BK$2501, 846, MATCH("ExitMultiple", Simulations!$A$1:$BK$1, 0))</f>
        <v>7.3188666110322238</v>
      </c>
      <c r="C846" s="2">
        <f ca="1">INDEX(Simulations!$A$1:$BK$2501, 846, MATCH("RevCAGR", Simulations!$A$1:$BK$1, 0))</f>
        <v>2.1342269955409096E-2</v>
      </c>
      <c r="D846" s="2">
        <f ca="1">INDEX(Simulations!$A$1:$BK$2501, 846, MATCH("SynMargin", Simulations!$A$1:$BK$1, 0))</f>
        <v>1.7268008140680146E-2</v>
      </c>
      <c r="E846" s="2">
        <f ca="1">INDEX(Simulations!$A$1:$BK$2501, 846, MATCH("Yr1Shock", Simulations!$A$1:$BK$1, 0))</f>
        <v>3.7742965777572642E-2</v>
      </c>
    </row>
    <row r="847" spans="1:5" x14ac:dyDescent="0.3">
      <c r="A847" s="2">
        <f ca="1">INDEX(Simulations!$A$1:$BK$2501, 847, MATCH("PurchaseMultiple", Simulations!$A$1:$BK$1, 0))</f>
        <v>7.9081377907858394</v>
      </c>
      <c r="B847" s="2">
        <f ca="1">INDEX(Simulations!$A$1:$BK$2501, 847, MATCH("ExitMultiple", Simulations!$A$1:$BK$1, 0))</f>
        <v>7.3125867621551608</v>
      </c>
      <c r="C847" s="2">
        <f ca="1">INDEX(Simulations!$A$1:$BK$2501, 847, MATCH("RevCAGR", Simulations!$A$1:$BK$1, 0))</f>
        <v>4.5221222786332491E-2</v>
      </c>
      <c r="D847" s="2">
        <f ca="1">INDEX(Simulations!$A$1:$BK$2501, 847, MATCH("SynMargin", Simulations!$A$1:$BK$1, 0))</f>
        <v>4.3513919664397464E-3</v>
      </c>
      <c r="E847" s="2">
        <f ca="1">INDEX(Simulations!$A$1:$BK$2501, 847, MATCH("Yr1Shock", Simulations!$A$1:$BK$1, 0))</f>
        <v>1.3081070390787698E-2</v>
      </c>
    </row>
    <row r="848" spans="1:5" x14ac:dyDescent="0.3">
      <c r="A848" s="2">
        <f ca="1">INDEX(Simulations!$A$1:$BK$2501, 848, MATCH("PurchaseMultiple", Simulations!$A$1:$BK$1, 0))</f>
        <v>6.59063577030724</v>
      </c>
      <c r="B848" s="2">
        <f ca="1">INDEX(Simulations!$A$1:$BK$2501, 848, MATCH("ExitMultiple", Simulations!$A$1:$BK$1, 0))</f>
        <v>7.2760403476706594</v>
      </c>
      <c r="C848" s="2">
        <f ca="1">INDEX(Simulations!$A$1:$BK$2501, 848, MATCH("RevCAGR", Simulations!$A$1:$BK$1, 0))</f>
        <v>-5.5806502056035823E-3</v>
      </c>
      <c r="D848" s="2">
        <f ca="1">INDEX(Simulations!$A$1:$BK$2501, 848, MATCH("SynMargin", Simulations!$A$1:$BK$1, 0))</f>
        <v>8.9048720034771243E-3</v>
      </c>
      <c r="E848" s="2">
        <f ca="1">INDEX(Simulations!$A$1:$BK$2501, 848, MATCH("Yr1Shock", Simulations!$A$1:$BK$1, 0))</f>
        <v>1.025657086953163E-2</v>
      </c>
    </row>
    <row r="849" spans="1:5" x14ac:dyDescent="0.3">
      <c r="A849" s="2">
        <f ca="1">INDEX(Simulations!$A$1:$BK$2501, 849, MATCH("PurchaseMultiple", Simulations!$A$1:$BK$1, 0))</f>
        <v>7.1342237354186873</v>
      </c>
      <c r="B849" s="2">
        <f ca="1">INDEX(Simulations!$A$1:$BK$2501, 849, MATCH("ExitMultiple", Simulations!$A$1:$BK$1, 0))</f>
        <v>8.080026589003424</v>
      </c>
      <c r="C849" s="2">
        <f ca="1">INDEX(Simulations!$A$1:$BK$2501, 849, MATCH("RevCAGR", Simulations!$A$1:$BK$1, 0))</f>
        <v>6.0119621744996674E-3</v>
      </c>
      <c r="D849" s="2">
        <f ca="1">INDEX(Simulations!$A$1:$BK$2501, 849, MATCH("SynMargin", Simulations!$A$1:$BK$1, 0))</f>
        <v>1.2541071539949577E-2</v>
      </c>
      <c r="E849" s="2">
        <f ca="1">INDEX(Simulations!$A$1:$BK$2501, 849, MATCH("Yr1Shock", Simulations!$A$1:$BK$1, 0))</f>
        <v>1.9819034926891715E-2</v>
      </c>
    </row>
    <row r="850" spans="1:5" x14ac:dyDescent="0.3">
      <c r="A850" s="2">
        <f ca="1">INDEX(Simulations!$A$1:$BK$2501, 850, MATCH("PurchaseMultiple", Simulations!$A$1:$BK$1, 0))</f>
        <v>7.3955136766354252</v>
      </c>
      <c r="B850" s="2">
        <f ca="1">INDEX(Simulations!$A$1:$BK$2501, 850, MATCH("ExitMultiple", Simulations!$A$1:$BK$1, 0))</f>
        <v>7.6499202980459033</v>
      </c>
      <c r="C850" s="2">
        <f ca="1">INDEX(Simulations!$A$1:$BK$2501, 850, MATCH("RevCAGR", Simulations!$A$1:$BK$1, 0))</f>
        <v>8.099296637355885E-2</v>
      </c>
      <c r="D850" s="2">
        <f ca="1">INDEX(Simulations!$A$1:$BK$2501, 850, MATCH("SynMargin", Simulations!$A$1:$BK$1, 0))</f>
        <v>5.9925151707988069E-3</v>
      </c>
      <c r="E850" s="2">
        <f ca="1">INDEX(Simulations!$A$1:$BK$2501, 850, MATCH("Yr1Shock", Simulations!$A$1:$BK$1, 0))</f>
        <v>9.708141441617732E-4</v>
      </c>
    </row>
    <row r="851" spans="1:5" x14ac:dyDescent="0.3">
      <c r="A851" s="2">
        <f ca="1">INDEX(Simulations!$A$1:$BK$2501, 851, MATCH("PurchaseMultiple", Simulations!$A$1:$BK$1, 0))</f>
        <v>7.2912016906295305</v>
      </c>
      <c r="B851" s="2">
        <f ca="1">INDEX(Simulations!$A$1:$BK$2501, 851, MATCH("ExitMultiple", Simulations!$A$1:$BK$1, 0))</f>
        <v>6.718172958217937</v>
      </c>
      <c r="C851" s="2">
        <f ca="1">INDEX(Simulations!$A$1:$BK$2501, 851, MATCH("RevCAGR", Simulations!$A$1:$BK$1, 0))</f>
        <v>5.2794746649866817E-2</v>
      </c>
      <c r="D851" s="2">
        <f ca="1">INDEX(Simulations!$A$1:$BK$2501, 851, MATCH("SynMargin", Simulations!$A$1:$BK$1, 0))</f>
        <v>1.3692258825083715E-2</v>
      </c>
      <c r="E851" s="2">
        <f ca="1">INDEX(Simulations!$A$1:$BK$2501, 851, MATCH("Yr1Shock", Simulations!$A$1:$BK$1, 0))</f>
        <v>-2.5638115221837267E-2</v>
      </c>
    </row>
    <row r="852" spans="1:5" x14ac:dyDescent="0.3">
      <c r="A852" s="2">
        <f ca="1">INDEX(Simulations!$A$1:$BK$2501, 852, MATCH("PurchaseMultiple", Simulations!$A$1:$BK$1, 0))</f>
        <v>7.0192534318970266</v>
      </c>
      <c r="B852" s="2">
        <f ca="1">INDEX(Simulations!$A$1:$BK$2501, 852, MATCH("ExitMultiple", Simulations!$A$1:$BK$1, 0))</f>
        <v>7.4795428837420594</v>
      </c>
      <c r="C852" s="2">
        <f ca="1">INDEX(Simulations!$A$1:$BK$2501, 852, MATCH("RevCAGR", Simulations!$A$1:$BK$1, 0))</f>
        <v>-1.7800910856889486E-2</v>
      </c>
      <c r="D852" s="2">
        <f ca="1">INDEX(Simulations!$A$1:$BK$2501, 852, MATCH("SynMargin", Simulations!$A$1:$BK$1, 0))</f>
        <v>1.1677823640479573E-2</v>
      </c>
      <c r="E852" s="2">
        <f ca="1">INDEX(Simulations!$A$1:$BK$2501, 852, MATCH("Yr1Shock", Simulations!$A$1:$BK$1, 0))</f>
        <v>-3.1679373885353704E-2</v>
      </c>
    </row>
    <row r="853" spans="1:5" x14ac:dyDescent="0.3">
      <c r="A853" s="2">
        <f ca="1">INDEX(Simulations!$A$1:$BK$2501, 853, MATCH("PurchaseMultiple", Simulations!$A$1:$BK$1, 0))</f>
        <v>6.8375338780381103</v>
      </c>
      <c r="B853" s="2">
        <f ca="1">INDEX(Simulations!$A$1:$BK$2501, 853, MATCH("ExitMultiple", Simulations!$A$1:$BK$1, 0))</f>
        <v>7.9467360522657406</v>
      </c>
      <c r="C853" s="2">
        <f ca="1">INDEX(Simulations!$A$1:$BK$2501, 853, MATCH("RevCAGR", Simulations!$A$1:$BK$1, 0))</f>
        <v>6.2217697192782195E-2</v>
      </c>
      <c r="D853" s="2">
        <f ca="1">INDEX(Simulations!$A$1:$BK$2501, 853, MATCH("SynMargin", Simulations!$A$1:$BK$1, 0))</f>
        <v>1.2639973643480929E-2</v>
      </c>
      <c r="E853" s="2">
        <f ca="1">INDEX(Simulations!$A$1:$BK$2501, 853, MATCH("Yr1Shock", Simulations!$A$1:$BK$1, 0))</f>
        <v>-3.7628169850907639E-2</v>
      </c>
    </row>
    <row r="854" spans="1:5" x14ac:dyDescent="0.3">
      <c r="A854" s="2">
        <f ca="1">INDEX(Simulations!$A$1:$BK$2501, 854, MATCH("PurchaseMultiple", Simulations!$A$1:$BK$1, 0))</f>
        <v>7.3484886009759283</v>
      </c>
      <c r="B854" s="2">
        <f ca="1">INDEX(Simulations!$A$1:$BK$2501, 854, MATCH("ExitMultiple", Simulations!$A$1:$BK$1, 0))</f>
        <v>7.6114956573343138</v>
      </c>
      <c r="C854" s="2">
        <f ca="1">INDEX(Simulations!$A$1:$BK$2501, 854, MATCH("RevCAGR", Simulations!$A$1:$BK$1, 0))</f>
        <v>5.1666536702853663E-2</v>
      </c>
      <c r="D854" s="2">
        <f ca="1">INDEX(Simulations!$A$1:$BK$2501, 854, MATCH("SynMargin", Simulations!$A$1:$BK$1, 0))</f>
        <v>0</v>
      </c>
      <c r="E854" s="2">
        <f ca="1">INDEX(Simulations!$A$1:$BK$2501, 854, MATCH("Yr1Shock", Simulations!$A$1:$BK$1, 0))</f>
        <v>-3.7334833038786853E-3</v>
      </c>
    </row>
    <row r="855" spans="1:5" x14ac:dyDescent="0.3">
      <c r="A855" s="2">
        <f ca="1">INDEX(Simulations!$A$1:$BK$2501, 855, MATCH("PurchaseMultiple", Simulations!$A$1:$BK$1, 0))</f>
        <v>7.2964523995645587</v>
      </c>
      <c r="B855" s="2">
        <f ca="1">INDEX(Simulations!$A$1:$BK$2501, 855, MATCH("ExitMultiple", Simulations!$A$1:$BK$1, 0))</f>
        <v>7.3122500029707727</v>
      </c>
      <c r="C855" s="2">
        <f ca="1">INDEX(Simulations!$A$1:$BK$2501, 855, MATCH("RevCAGR", Simulations!$A$1:$BK$1, 0))</f>
        <v>2.6836216545430239E-2</v>
      </c>
      <c r="D855" s="2">
        <f ca="1">INDEX(Simulations!$A$1:$BK$2501, 855, MATCH("SynMargin", Simulations!$A$1:$BK$1, 0))</f>
        <v>7.2762793228890021E-3</v>
      </c>
      <c r="E855" s="2">
        <f ca="1">INDEX(Simulations!$A$1:$BK$2501, 855, MATCH("Yr1Shock", Simulations!$A$1:$BK$1, 0))</f>
        <v>-9.6953311226352507E-3</v>
      </c>
    </row>
    <row r="856" spans="1:5" x14ac:dyDescent="0.3">
      <c r="A856" s="2">
        <f ca="1">INDEX(Simulations!$A$1:$BK$2501, 856, MATCH("PurchaseMultiple", Simulations!$A$1:$BK$1, 0))</f>
        <v>7.2206402459909826</v>
      </c>
      <c r="B856" s="2">
        <f ca="1">INDEX(Simulations!$A$1:$BK$2501, 856, MATCH("ExitMultiple", Simulations!$A$1:$BK$1, 0))</f>
        <v>7.1238371077307461</v>
      </c>
      <c r="C856" s="2">
        <f ca="1">INDEX(Simulations!$A$1:$BK$2501, 856, MATCH("RevCAGR", Simulations!$A$1:$BK$1, 0))</f>
        <v>8.1449760072851443E-2</v>
      </c>
      <c r="D856" s="2">
        <f ca="1">INDEX(Simulations!$A$1:$BK$2501, 856, MATCH("SynMargin", Simulations!$A$1:$BK$1, 0))</f>
        <v>1.2654132749974532E-2</v>
      </c>
      <c r="E856" s="2">
        <f ca="1">INDEX(Simulations!$A$1:$BK$2501, 856, MATCH("Yr1Shock", Simulations!$A$1:$BK$1, 0))</f>
        <v>-4.2279590852314424E-3</v>
      </c>
    </row>
    <row r="857" spans="1:5" x14ac:dyDescent="0.3">
      <c r="A857" s="2">
        <f ca="1">INDEX(Simulations!$A$1:$BK$2501, 857, MATCH("PurchaseMultiple", Simulations!$A$1:$BK$1, 0))</f>
        <v>7.1107822313013855</v>
      </c>
      <c r="B857" s="2">
        <f ca="1">INDEX(Simulations!$A$1:$BK$2501, 857, MATCH("ExitMultiple", Simulations!$A$1:$BK$1, 0))</f>
        <v>7.5549245060612069</v>
      </c>
      <c r="C857" s="2">
        <f ca="1">INDEX(Simulations!$A$1:$BK$2501, 857, MATCH("RevCAGR", Simulations!$A$1:$BK$1, 0))</f>
        <v>4.341957640641101E-2</v>
      </c>
      <c r="D857" s="2">
        <f ca="1">INDEX(Simulations!$A$1:$BK$2501, 857, MATCH("SynMargin", Simulations!$A$1:$BK$1, 0))</f>
        <v>9.9474984011188455E-3</v>
      </c>
      <c r="E857" s="2">
        <f ca="1">INDEX(Simulations!$A$1:$BK$2501, 857, MATCH("Yr1Shock", Simulations!$A$1:$BK$1, 0))</f>
        <v>1.775652016760507E-2</v>
      </c>
    </row>
    <row r="858" spans="1:5" x14ac:dyDescent="0.3">
      <c r="A858" s="2">
        <f ca="1">INDEX(Simulations!$A$1:$BK$2501, 858, MATCH("PurchaseMultiple", Simulations!$A$1:$BK$1, 0))</f>
        <v>6.7555388006152217</v>
      </c>
      <c r="B858" s="2">
        <f ca="1">INDEX(Simulations!$A$1:$BK$2501, 858, MATCH("ExitMultiple", Simulations!$A$1:$BK$1, 0))</f>
        <v>7.5706221108670508</v>
      </c>
      <c r="C858" s="2">
        <f ca="1">INDEX(Simulations!$A$1:$BK$2501, 858, MATCH("RevCAGR", Simulations!$A$1:$BK$1, 0))</f>
        <v>6.8451287065297975E-2</v>
      </c>
      <c r="D858" s="2">
        <f ca="1">INDEX(Simulations!$A$1:$BK$2501, 858, MATCH("SynMargin", Simulations!$A$1:$BK$1, 0))</f>
        <v>3.3097329486838434E-3</v>
      </c>
      <c r="E858" s="2">
        <f ca="1">INDEX(Simulations!$A$1:$BK$2501, 858, MATCH("Yr1Shock", Simulations!$A$1:$BK$1, 0))</f>
        <v>-3.0745515324134432E-2</v>
      </c>
    </row>
    <row r="859" spans="1:5" x14ac:dyDescent="0.3">
      <c r="A859" s="2">
        <f ca="1">INDEX(Simulations!$A$1:$BK$2501, 859, MATCH("PurchaseMultiple", Simulations!$A$1:$BK$1, 0))</f>
        <v>6.4846082643868614</v>
      </c>
      <c r="B859" s="2">
        <f ca="1">INDEX(Simulations!$A$1:$BK$2501, 859, MATCH("ExitMultiple", Simulations!$A$1:$BK$1, 0))</f>
        <v>7.8480625653584779</v>
      </c>
      <c r="C859" s="2">
        <f ca="1">INDEX(Simulations!$A$1:$BK$2501, 859, MATCH("RevCAGR", Simulations!$A$1:$BK$1, 0))</f>
        <v>4.4402695632673489E-2</v>
      </c>
      <c r="D859" s="2">
        <f ca="1">INDEX(Simulations!$A$1:$BK$2501, 859, MATCH("SynMargin", Simulations!$A$1:$BK$1, 0))</f>
        <v>9.2133985120431312E-3</v>
      </c>
      <c r="E859" s="2">
        <f ca="1">INDEX(Simulations!$A$1:$BK$2501, 859, MATCH("Yr1Shock", Simulations!$A$1:$BK$1, 0))</f>
        <v>1.8959664768775968E-2</v>
      </c>
    </row>
    <row r="860" spans="1:5" x14ac:dyDescent="0.3">
      <c r="A860" s="2">
        <f ca="1">INDEX(Simulations!$A$1:$BK$2501, 860, MATCH("PurchaseMultiple", Simulations!$A$1:$BK$1, 0))</f>
        <v>7.0948581971503151</v>
      </c>
      <c r="B860" s="2">
        <f ca="1">INDEX(Simulations!$A$1:$BK$2501, 860, MATCH("ExitMultiple", Simulations!$A$1:$BK$1, 0))</f>
        <v>7.7390827457068161</v>
      </c>
      <c r="C860" s="2">
        <f ca="1">INDEX(Simulations!$A$1:$BK$2501, 860, MATCH("RevCAGR", Simulations!$A$1:$BK$1, 0))</f>
        <v>7.1903545368015978E-2</v>
      </c>
      <c r="D860" s="2">
        <f ca="1">INDEX(Simulations!$A$1:$BK$2501, 860, MATCH("SynMargin", Simulations!$A$1:$BK$1, 0))</f>
        <v>1.9033706347007288E-2</v>
      </c>
      <c r="E860" s="2">
        <f ca="1">INDEX(Simulations!$A$1:$BK$2501, 860, MATCH("Yr1Shock", Simulations!$A$1:$BK$1, 0))</f>
        <v>1.0668211882358119E-2</v>
      </c>
    </row>
    <row r="861" spans="1:5" x14ac:dyDescent="0.3">
      <c r="A861" s="2">
        <f ca="1">INDEX(Simulations!$A$1:$BK$2501, 861, MATCH("PurchaseMultiple", Simulations!$A$1:$BK$1, 0))</f>
        <v>7.411739198710273</v>
      </c>
      <c r="B861" s="2">
        <f ca="1">INDEX(Simulations!$A$1:$BK$2501, 861, MATCH("ExitMultiple", Simulations!$A$1:$BK$1, 0))</f>
        <v>7.7300470805439803</v>
      </c>
      <c r="C861" s="2">
        <f ca="1">INDEX(Simulations!$A$1:$BK$2501, 861, MATCH("RevCAGR", Simulations!$A$1:$BK$1, 0))</f>
        <v>1.0538929374408309E-2</v>
      </c>
      <c r="D861" s="2">
        <f ca="1">INDEX(Simulations!$A$1:$BK$2501, 861, MATCH("SynMargin", Simulations!$A$1:$BK$1, 0))</f>
        <v>1.7225347261877119E-2</v>
      </c>
      <c r="E861" s="2">
        <f ca="1">INDEX(Simulations!$A$1:$BK$2501, 861, MATCH("Yr1Shock", Simulations!$A$1:$BK$1, 0))</f>
        <v>-6.3428978931142502E-3</v>
      </c>
    </row>
    <row r="862" spans="1:5" x14ac:dyDescent="0.3">
      <c r="A862" s="2">
        <f ca="1">INDEX(Simulations!$A$1:$BK$2501, 862, MATCH("PurchaseMultiple", Simulations!$A$1:$BK$1, 0))</f>
        <v>6.6236473813459238</v>
      </c>
      <c r="B862" s="2">
        <f ca="1">INDEX(Simulations!$A$1:$BK$2501, 862, MATCH("ExitMultiple", Simulations!$A$1:$BK$1, 0))</f>
        <v>7.4078171962395318</v>
      </c>
      <c r="C862" s="2">
        <f ca="1">INDEX(Simulations!$A$1:$BK$2501, 862, MATCH("RevCAGR", Simulations!$A$1:$BK$1, 0))</f>
        <v>3.8708600090313905E-2</v>
      </c>
      <c r="D862" s="2">
        <f ca="1">INDEX(Simulations!$A$1:$BK$2501, 862, MATCH("SynMargin", Simulations!$A$1:$BK$1, 0))</f>
        <v>9.6152993080733593E-3</v>
      </c>
      <c r="E862" s="2">
        <f ca="1">INDEX(Simulations!$A$1:$BK$2501, 862, MATCH("Yr1Shock", Simulations!$A$1:$BK$1, 0))</f>
        <v>3.3812746284625052E-3</v>
      </c>
    </row>
    <row r="863" spans="1:5" x14ac:dyDescent="0.3">
      <c r="A863" s="2">
        <f ca="1">INDEX(Simulations!$A$1:$BK$2501, 863, MATCH("PurchaseMultiple", Simulations!$A$1:$BK$1, 0))</f>
        <v>6.4361378815937993</v>
      </c>
      <c r="B863" s="2">
        <f ca="1">INDEX(Simulations!$A$1:$BK$2501, 863, MATCH("ExitMultiple", Simulations!$A$1:$BK$1, 0))</f>
        <v>7.9500696365549164</v>
      </c>
      <c r="C863" s="2">
        <f ca="1">INDEX(Simulations!$A$1:$BK$2501, 863, MATCH("RevCAGR", Simulations!$A$1:$BK$1, 0))</f>
        <v>6.943386076993871E-2</v>
      </c>
      <c r="D863" s="2">
        <f ca="1">INDEX(Simulations!$A$1:$BK$2501, 863, MATCH("SynMargin", Simulations!$A$1:$BK$1, 0))</f>
        <v>2.7961319080215246E-3</v>
      </c>
      <c r="E863" s="2">
        <f ca="1">INDEX(Simulations!$A$1:$BK$2501, 863, MATCH("Yr1Shock", Simulations!$A$1:$BK$1, 0))</f>
        <v>-9.280002528846797E-3</v>
      </c>
    </row>
    <row r="864" spans="1:5" x14ac:dyDescent="0.3">
      <c r="A864" s="2">
        <f ca="1">INDEX(Simulations!$A$1:$BK$2501, 864, MATCH("PurchaseMultiple", Simulations!$A$1:$BK$1, 0))</f>
        <v>7.7015964533075882</v>
      </c>
      <c r="B864" s="2">
        <f ca="1">INDEX(Simulations!$A$1:$BK$2501, 864, MATCH("ExitMultiple", Simulations!$A$1:$BK$1, 0))</f>
        <v>7.5228084096920167</v>
      </c>
      <c r="C864" s="2">
        <f ca="1">INDEX(Simulations!$A$1:$BK$2501, 864, MATCH("RevCAGR", Simulations!$A$1:$BK$1, 0))</f>
        <v>6.3702062601539711E-2</v>
      </c>
      <c r="D864" s="2">
        <f ca="1">INDEX(Simulations!$A$1:$BK$2501, 864, MATCH("SynMargin", Simulations!$A$1:$BK$1, 0))</f>
        <v>1.3446602687750836E-2</v>
      </c>
      <c r="E864" s="2">
        <f ca="1">INDEX(Simulations!$A$1:$BK$2501, 864, MATCH("Yr1Shock", Simulations!$A$1:$BK$1, 0))</f>
        <v>-3.6765217999028352E-4</v>
      </c>
    </row>
    <row r="865" spans="1:5" x14ac:dyDescent="0.3">
      <c r="A865" s="2">
        <f ca="1">INDEX(Simulations!$A$1:$BK$2501, 865, MATCH("PurchaseMultiple", Simulations!$A$1:$BK$1, 0))</f>
        <v>6.210420393656543</v>
      </c>
      <c r="B865" s="2">
        <f ca="1">INDEX(Simulations!$A$1:$BK$2501, 865, MATCH("ExitMultiple", Simulations!$A$1:$BK$1, 0))</f>
        <v>7.6096626457829712</v>
      </c>
      <c r="C865" s="2">
        <f ca="1">INDEX(Simulations!$A$1:$BK$2501, 865, MATCH("RevCAGR", Simulations!$A$1:$BK$1, 0))</f>
        <v>4.8802000730537559E-2</v>
      </c>
      <c r="D865" s="2">
        <f ca="1">INDEX(Simulations!$A$1:$BK$2501, 865, MATCH("SynMargin", Simulations!$A$1:$BK$1, 0))</f>
        <v>8.8205237520718998E-3</v>
      </c>
      <c r="E865" s="2">
        <f ca="1">INDEX(Simulations!$A$1:$BK$2501, 865, MATCH("Yr1Shock", Simulations!$A$1:$BK$1, 0))</f>
        <v>2.353308974908868E-2</v>
      </c>
    </row>
    <row r="866" spans="1:5" x14ac:dyDescent="0.3">
      <c r="A866" s="2">
        <f ca="1">INDEX(Simulations!$A$1:$BK$2501, 866, MATCH("PurchaseMultiple", Simulations!$A$1:$BK$1, 0))</f>
        <v>6.4722470836993411</v>
      </c>
      <c r="B866" s="2">
        <f ca="1">INDEX(Simulations!$A$1:$BK$2501, 866, MATCH("ExitMultiple", Simulations!$A$1:$BK$1, 0))</f>
        <v>8.0616634206262958</v>
      </c>
      <c r="C866" s="2">
        <f ca="1">INDEX(Simulations!$A$1:$BK$2501, 866, MATCH("RevCAGR", Simulations!$A$1:$BK$1, 0))</f>
        <v>4.4536938532713073E-2</v>
      </c>
      <c r="D866" s="2">
        <f ca="1">INDEX(Simulations!$A$1:$BK$2501, 866, MATCH("SynMargin", Simulations!$A$1:$BK$1, 0))</f>
        <v>8.9422322445039584E-3</v>
      </c>
      <c r="E866" s="2">
        <f ca="1">INDEX(Simulations!$A$1:$BK$2501, 866, MATCH("Yr1Shock", Simulations!$A$1:$BK$1, 0))</f>
        <v>-7.9034840236728472E-3</v>
      </c>
    </row>
    <row r="867" spans="1:5" x14ac:dyDescent="0.3">
      <c r="A867" s="2">
        <f ca="1">INDEX(Simulations!$A$1:$BK$2501, 867, MATCH("PurchaseMultiple", Simulations!$A$1:$BK$1, 0))</f>
        <v>7.2239136106097233</v>
      </c>
      <c r="B867" s="2">
        <f ca="1">INDEX(Simulations!$A$1:$BK$2501, 867, MATCH("ExitMultiple", Simulations!$A$1:$BK$1, 0))</f>
        <v>7.8456166604830768</v>
      </c>
      <c r="C867" s="2">
        <f ca="1">INDEX(Simulations!$A$1:$BK$2501, 867, MATCH("RevCAGR", Simulations!$A$1:$BK$1, 0))</f>
        <v>-1.617561670906846E-2</v>
      </c>
      <c r="D867" s="2">
        <f ca="1">INDEX(Simulations!$A$1:$BK$2501, 867, MATCH("SynMargin", Simulations!$A$1:$BK$1, 0))</f>
        <v>5.8551349806830388E-3</v>
      </c>
      <c r="E867" s="2">
        <f ca="1">INDEX(Simulations!$A$1:$BK$2501, 867, MATCH("Yr1Shock", Simulations!$A$1:$BK$1, 0))</f>
        <v>0.05</v>
      </c>
    </row>
    <row r="868" spans="1:5" x14ac:dyDescent="0.3">
      <c r="A868" s="2">
        <f ca="1">INDEX(Simulations!$A$1:$BK$2501, 868, MATCH("PurchaseMultiple", Simulations!$A$1:$BK$1, 0))</f>
        <v>6.736710751651982</v>
      </c>
      <c r="B868" s="2">
        <f ca="1">INDEX(Simulations!$A$1:$BK$2501, 868, MATCH("ExitMultiple", Simulations!$A$1:$BK$1, 0))</f>
        <v>7.8693046038380556</v>
      </c>
      <c r="C868" s="2">
        <f ca="1">INDEX(Simulations!$A$1:$BK$2501, 868, MATCH("RevCAGR", Simulations!$A$1:$BK$1, 0))</f>
        <v>5.6635283009827043E-2</v>
      </c>
      <c r="D868" s="2">
        <f ca="1">INDEX(Simulations!$A$1:$BK$2501, 868, MATCH("SynMargin", Simulations!$A$1:$BK$1, 0))</f>
        <v>4.6709073259258403E-3</v>
      </c>
      <c r="E868" s="2">
        <f ca="1">INDEX(Simulations!$A$1:$BK$2501, 868, MATCH("Yr1Shock", Simulations!$A$1:$BK$1, 0))</f>
        <v>4.7769465874273782E-2</v>
      </c>
    </row>
    <row r="869" spans="1:5" x14ac:dyDescent="0.3">
      <c r="A869" s="2">
        <f ca="1">INDEX(Simulations!$A$1:$BK$2501, 869, MATCH("PurchaseMultiple", Simulations!$A$1:$BK$1, 0))</f>
        <v>6.8737638783349198</v>
      </c>
      <c r="B869" s="2">
        <f ca="1">INDEX(Simulations!$A$1:$BK$2501, 869, MATCH("ExitMultiple", Simulations!$A$1:$BK$1, 0))</f>
        <v>7.8980089792212143</v>
      </c>
      <c r="C869" s="2">
        <f ca="1">INDEX(Simulations!$A$1:$BK$2501, 869, MATCH("RevCAGR", Simulations!$A$1:$BK$1, 0))</f>
        <v>0.12</v>
      </c>
      <c r="D869" s="2">
        <f ca="1">INDEX(Simulations!$A$1:$BK$2501, 869, MATCH("SynMargin", Simulations!$A$1:$BK$1, 0))</f>
        <v>8.1283835129020085E-3</v>
      </c>
      <c r="E869" s="2">
        <f ca="1">INDEX(Simulations!$A$1:$BK$2501, 869, MATCH("Yr1Shock", Simulations!$A$1:$BK$1, 0))</f>
        <v>1.476311231164224E-2</v>
      </c>
    </row>
    <row r="870" spans="1:5" x14ac:dyDescent="0.3">
      <c r="A870" s="2">
        <f ca="1">INDEX(Simulations!$A$1:$BK$2501, 870, MATCH("PurchaseMultiple", Simulations!$A$1:$BK$1, 0))</f>
        <v>7.4544746402658726</v>
      </c>
      <c r="B870" s="2">
        <f ca="1">INDEX(Simulations!$A$1:$BK$2501, 870, MATCH("ExitMultiple", Simulations!$A$1:$BK$1, 0))</f>
        <v>7.7543711703824076</v>
      </c>
      <c r="C870" s="2">
        <f ca="1">INDEX(Simulations!$A$1:$BK$2501, 870, MATCH("RevCAGR", Simulations!$A$1:$BK$1, 0))</f>
        <v>5.1651728992074181E-2</v>
      </c>
      <c r="D870" s="2">
        <f ca="1">INDEX(Simulations!$A$1:$BK$2501, 870, MATCH("SynMargin", Simulations!$A$1:$BK$1, 0))</f>
        <v>1.4766095679985373E-3</v>
      </c>
      <c r="E870" s="2">
        <f ca="1">INDEX(Simulations!$A$1:$BK$2501, 870, MATCH("Yr1Shock", Simulations!$A$1:$BK$1, 0))</f>
        <v>2.1427920215141669E-3</v>
      </c>
    </row>
    <row r="871" spans="1:5" x14ac:dyDescent="0.3">
      <c r="A871" s="2">
        <f ca="1">INDEX(Simulations!$A$1:$BK$2501, 871, MATCH("PurchaseMultiple", Simulations!$A$1:$BK$1, 0))</f>
        <v>6.5577809473711586</v>
      </c>
      <c r="B871" s="2">
        <f ca="1">INDEX(Simulations!$A$1:$BK$2501, 871, MATCH("ExitMultiple", Simulations!$A$1:$BK$1, 0))</f>
        <v>7.7388902526774253</v>
      </c>
      <c r="C871" s="2">
        <f ca="1">INDEX(Simulations!$A$1:$BK$2501, 871, MATCH("RevCAGR", Simulations!$A$1:$BK$1, 0))</f>
        <v>3.5851180240890838E-2</v>
      </c>
      <c r="D871" s="2">
        <f ca="1">INDEX(Simulations!$A$1:$BK$2501, 871, MATCH("SynMargin", Simulations!$A$1:$BK$1, 0))</f>
        <v>1.2189434608629144E-2</v>
      </c>
      <c r="E871" s="2">
        <f ca="1">INDEX(Simulations!$A$1:$BK$2501, 871, MATCH("Yr1Shock", Simulations!$A$1:$BK$1, 0))</f>
        <v>-1.401430445922196E-3</v>
      </c>
    </row>
    <row r="872" spans="1:5" x14ac:dyDescent="0.3">
      <c r="A872" s="2">
        <f ca="1">INDEX(Simulations!$A$1:$BK$2501, 872, MATCH("PurchaseMultiple", Simulations!$A$1:$BK$1, 0))</f>
        <v>6.5806834993256924</v>
      </c>
      <c r="B872" s="2">
        <f ca="1">INDEX(Simulations!$A$1:$BK$2501, 872, MATCH("ExitMultiple", Simulations!$A$1:$BK$1, 0))</f>
        <v>7.9760832865063493</v>
      </c>
      <c r="C872" s="2">
        <f ca="1">INDEX(Simulations!$A$1:$BK$2501, 872, MATCH("RevCAGR", Simulations!$A$1:$BK$1, 0))</f>
        <v>7.0677090400266887E-2</v>
      </c>
      <c r="D872" s="2">
        <f ca="1">INDEX(Simulations!$A$1:$BK$2501, 872, MATCH("SynMargin", Simulations!$A$1:$BK$1, 0))</f>
        <v>5.4513379716276348E-3</v>
      </c>
      <c r="E872" s="2">
        <f ca="1">INDEX(Simulations!$A$1:$BK$2501, 872, MATCH("Yr1Shock", Simulations!$A$1:$BK$1, 0))</f>
        <v>-2.4115335315683328E-2</v>
      </c>
    </row>
    <row r="873" spans="1:5" x14ac:dyDescent="0.3">
      <c r="A873" s="2">
        <f ca="1">INDEX(Simulations!$A$1:$BK$2501, 873, MATCH("PurchaseMultiple", Simulations!$A$1:$BK$1, 0))</f>
        <v>6.7568232688449825</v>
      </c>
      <c r="B873" s="2">
        <f ca="1">INDEX(Simulations!$A$1:$BK$2501, 873, MATCH("ExitMultiple", Simulations!$A$1:$BK$1, 0))</f>
        <v>6.8910140951367698</v>
      </c>
      <c r="C873" s="2">
        <f ca="1">INDEX(Simulations!$A$1:$BK$2501, 873, MATCH("RevCAGR", Simulations!$A$1:$BK$1, 0))</f>
        <v>5.1927362464052232E-2</v>
      </c>
      <c r="D873" s="2">
        <f ca="1">INDEX(Simulations!$A$1:$BK$2501, 873, MATCH("SynMargin", Simulations!$A$1:$BK$1, 0))</f>
        <v>4.8807980724353741E-3</v>
      </c>
      <c r="E873" s="2">
        <f ca="1">INDEX(Simulations!$A$1:$BK$2501, 873, MATCH("Yr1Shock", Simulations!$A$1:$BK$1, 0))</f>
        <v>-4.9758855339666445E-3</v>
      </c>
    </row>
    <row r="874" spans="1:5" x14ac:dyDescent="0.3">
      <c r="A874" s="2">
        <f ca="1">INDEX(Simulations!$A$1:$BK$2501, 874, MATCH("PurchaseMultiple", Simulations!$A$1:$BK$1, 0))</f>
        <v>6.8503818763794841</v>
      </c>
      <c r="B874" s="2">
        <f ca="1">INDEX(Simulations!$A$1:$BK$2501, 874, MATCH("ExitMultiple", Simulations!$A$1:$BK$1, 0))</f>
        <v>7.3372765505561652</v>
      </c>
      <c r="C874" s="2">
        <f ca="1">INDEX(Simulations!$A$1:$BK$2501, 874, MATCH("RevCAGR", Simulations!$A$1:$BK$1, 0))</f>
        <v>4.7391332877971967E-2</v>
      </c>
      <c r="D874" s="2">
        <f ca="1">INDEX(Simulations!$A$1:$BK$2501, 874, MATCH("SynMargin", Simulations!$A$1:$BK$1, 0))</f>
        <v>1.0184700498472062E-2</v>
      </c>
      <c r="E874" s="2">
        <f ca="1">INDEX(Simulations!$A$1:$BK$2501, 874, MATCH("Yr1Shock", Simulations!$A$1:$BK$1, 0))</f>
        <v>-3.6170298345034393E-2</v>
      </c>
    </row>
    <row r="875" spans="1:5" x14ac:dyDescent="0.3">
      <c r="A875" s="2">
        <f ca="1">INDEX(Simulations!$A$1:$BK$2501, 875, MATCH("PurchaseMultiple", Simulations!$A$1:$BK$1, 0))</f>
        <v>6.8216627461660284</v>
      </c>
      <c r="B875" s="2">
        <f ca="1">INDEX(Simulations!$A$1:$BK$2501, 875, MATCH("ExitMultiple", Simulations!$A$1:$BK$1, 0))</f>
        <v>7.5777170584726807</v>
      </c>
      <c r="C875" s="2">
        <f ca="1">INDEX(Simulations!$A$1:$BK$2501, 875, MATCH("RevCAGR", Simulations!$A$1:$BK$1, 0))</f>
        <v>6.3619788555772383E-2</v>
      </c>
      <c r="D875" s="2">
        <f ca="1">INDEX(Simulations!$A$1:$BK$2501, 875, MATCH("SynMargin", Simulations!$A$1:$BK$1, 0))</f>
        <v>1.4041839396732229E-2</v>
      </c>
      <c r="E875" s="2">
        <f ca="1">INDEX(Simulations!$A$1:$BK$2501, 875, MATCH("Yr1Shock", Simulations!$A$1:$BK$1, 0))</f>
        <v>3.1886504337160809E-2</v>
      </c>
    </row>
    <row r="876" spans="1:5" x14ac:dyDescent="0.3">
      <c r="A876" s="2">
        <f ca="1">INDEX(Simulations!$A$1:$BK$2501, 876, MATCH("PurchaseMultiple", Simulations!$A$1:$BK$1, 0))</f>
        <v>7.2607205686038245</v>
      </c>
      <c r="B876" s="2">
        <f ca="1">INDEX(Simulations!$A$1:$BK$2501, 876, MATCH("ExitMultiple", Simulations!$A$1:$BK$1, 0))</f>
        <v>8.1544098305564123</v>
      </c>
      <c r="C876" s="2">
        <f ca="1">INDEX(Simulations!$A$1:$BK$2501, 876, MATCH("RevCAGR", Simulations!$A$1:$BK$1, 0))</f>
        <v>-1.3083534130246405E-2</v>
      </c>
      <c r="D876" s="2">
        <f ca="1">INDEX(Simulations!$A$1:$BK$2501, 876, MATCH("SynMargin", Simulations!$A$1:$BK$1, 0))</f>
        <v>7.9480290375839278E-3</v>
      </c>
      <c r="E876" s="2">
        <f ca="1">INDEX(Simulations!$A$1:$BK$2501, 876, MATCH("Yr1Shock", Simulations!$A$1:$BK$1, 0))</f>
        <v>4.0667623330690308E-2</v>
      </c>
    </row>
    <row r="877" spans="1:5" x14ac:dyDescent="0.3">
      <c r="A877" s="2">
        <f ca="1">INDEX(Simulations!$A$1:$BK$2501, 877, MATCH("PurchaseMultiple", Simulations!$A$1:$BK$1, 0))</f>
        <v>6.6653388277893439</v>
      </c>
      <c r="B877" s="2">
        <f ca="1">INDEX(Simulations!$A$1:$BK$2501, 877, MATCH("ExitMultiple", Simulations!$A$1:$BK$1, 0))</f>
        <v>7.9830891428483266</v>
      </c>
      <c r="C877" s="2">
        <f ca="1">INDEX(Simulations!$A$1:$BK$2501, 877, MATCH("RevCAGR", Simulations!$A$1:$BK$1, 0))</f>
        <v>3.9098832429592868E-2</v>
      </c>
      <c r="D877" s="2">
        <f ca="1">INDEX(Simulations!$A$1:$BK$2501, 877, MATCH("SynMargin", Simulations!$A$1:$BK$1, 0))</f>
        <v>5.9401744071537824E-3</v>
      </c>
      <c r="E877" s="2">
        <f ca="1">INDEX(Simulations!$A$1:$BK$2501, 877, MATCH("Yr1Shock", Simulations!$A$1:$BK$1, 0))</f>
        <v>-1.5737012689323045E-2</v>
      </c>
    </row>
    <row r="878" spans="1:5" x14ac:dyDescent="0.3">
      <c r="A878" s="2">
        <f ca="1">INDEX(Simulations!$A$1:$BK$2501, 878, MATCH("PurchaseMultiple", Simulations!$A$1:$BK$1, 0))</f>
        <v>7.6314309235426414</v>
      </c>
      <c r="B878" s="2">
        <f ca="1">INDEX(Simulations!$A$1:$BK$2501, 878, MATCH("ExitMultiple", Simulations!$A$1:$BK$1, 0))</f>
        <v>7.3448166265987496</v>
      </c>
      <c r="C878" s="2">
        <f ca="1">INDEX(Simulations!$A$1:$BK$2501, 878, MATCH("RevCAGR", Simulations!$A$1:$BK$1, 0))</f>
        <v>7.5927550353056789E-2</v>
      </c>
      <c r="D878" s="2">
        <f ca="1">INDEX(Simulations!$A$1:$BK$2501, 878, MATCH("SynMargin", Simulations!$A$1:$BK$1, 0))</f>
        <v>7.0701126957636124E-3</v>
      </c>
      <c r="E878" s="2">
        <f ca="1">INDEX(Simulations!$A$1:$BK$2501, 878, MATCH("Yr1Shock", Simulations!$A$1:$BK$1, 0))</f>
        <v>2.5146085778281188E-2</v>
      </c>
    </row>
    <row r="879" spans="1:5" x14ac:dyDescent="0.3">
      <c r="A879" s="2">
        <f ca="1">INDEX(Simulations!$A$1:$BK$2501, 879, MATCH("PurchaseMultiple", Simulations!$A$1:$BK$1, 0))</f>
        <v>7.0649221515898581</v>
      </c>
      <c r="B879" s="2">
        <f ca="1">INDEX(Simulations!$A$1:$BK$2501, 879, MATCH("ExitMultiple", Simulations!$A$1:$BK$1, 0))</f>
        <v>7.4433668206096781</v>
      </c>
      <c r="C879" s="2">
        <f ca="1">INDEX(Simulations!$A$1:$BK$2501, 879, MATCH("RevCAGR", Simulations!$A$1:$BK$1, 0))</f>
        <v>4.4092218978239742E-2</v>
      </c>
      <c r="D879" s="2">
        <f ca="1">INDEX(Simulations!$A$1:$BK$2501, 879, MATCH("SynMargin", Simulations!$A$1:$BK$1, 0))</f>
        <v>7.3502208187259405E-3</v>
      </c>
      <c r="E879" s="2">
        <f ca="1">INDEX(Simulations!$A$1:$BK$2501, 879, MATCH("Yr1Shock", Simulations!$A$1:$BK$1, 0))</f>
        <v>1.1964732998813328E-2</v>
      </c>
    </row>
    <row r="880" spans="1:5" x14ac:dyDescent="0.3">
      <c r="A880" s="2">
        <f ca="1">INDEX(Simulations!$A$1:$BK$2501, 880, MATCH("PurchaseMultiple", Simulations!$A$1:$BK$1, 0))</f>
        <v>7.0096781788605158</v>
      </c>
      <c r="B880" s="2">
        <f ca="1">INDEX(Simulations!$A$1:$BK$2501, 880, MATCH("ExitMultiple", Simulations!$A$1:$BK$1, 0))</f>
        <v>8.1161396143533828</v>
      </c>
      <c r="C880" s="2">
        <f ca="1">INDEX(Simulations!$A$1:$BK$2501, 880, MATCH("RevCAGR", Simulations!$A$1:$BK$1, 0))</f>
        <v>-0.02</v>
      </c>
      <c r="D880" s="2">
        <f ca="1">INDEX(Simulations!$A$1:$BK$2501, 880, MATCH("SynMargin", Simulations!$A$1:$BK$1, 0))</f>
        <v>6.0804646530086609E-3</v>
      </c>
      <c r="E880" s="2">
        <f ca="1">INDEX(Simulations!$A$1:$BK$2501, 880, MATCH("Yr1Shock", Simulations!$A$1:$BK$1, 0))</f>
        <v>1.7834304265416431E-2</v>
      </c>
    </row>
    <row r="881" spans="1:5" x14ac:dyDescent="0.3">
      <c r="A881" s="2">
        <f ca="1">INDEX(Simulations!$A$1:$BK$2501, 881, MATCH("PurchaseMultiple", Simulations!$A$1:$BK$1, 0))</f>
        <v>6.7809646687597915</v>
      </c>
      <c r="B881" s="2">
        <f ca="1">INDEX(Simulations!$A$1:$BK$2501, 881, MATCH("ExitMultiple", Simulations!$A$1:$BK$1, 0))</f>
        <v>7.8990854006365527</v>
      </c>
      <c r="C881" s="2">
        <f ca="1">INDEX(Simulations!$A$1:$BK$2501, 881, MATCH("RevCAGR", Simulations!$A$1:$BK$1, 0))</f>
        <v>9.7224875812572352E-3</v>
      </c>
      <c r="D881" s="2">
        <f ca="1">INDEX(Simulations!$A$1:$BK$2501, 881, MATCH("SynMargin", Simulations!$A$1:$BK$1, 0))</f>
        <v>8.9341514731793685E-3</v>
      </c>
      <c r="E881" s="2">
        <f ca="1">INDEX(Simulations!$A$1:$BK$2501, 881, MATCH("Yr1Shock", Simulations!$A$1:$BK$1, 0))</f>
        <v>-4.7396271316074774E-2</v>
      </c>
    </row>
    <row r="882" spans="1:5" x14ac:dyDescent="0.3">
      <c r="A882" s="2">
        <f ca="1">INDEX(Simulations!$A$1:$BK$2501, 882, MATCH("PurchaseMultiple", Simulations!$A$1:$BK$1, 0))</f>
        <v>6.7673026294549414</v>
      </c>
      <c r="B882" s="2">
        <f ca="1">INDEX(Simulations!$A$1:$BK$2501, 882, MATCH("ExitMultiple", Simulations!$A$1:$BK$1, 0))</f>
        <v>6.7593510631868599</v>
      </c>
      <c r="C882" s="2">
        <f ca="1">INDEX(Simulations!$A$1:$BK$2501, 882, MATCH("RevCAGR", Simulations!$A$1:$BK$1, 0))</f>
        <v>2.100058885055785E-2</v>
      </c>
      <c r="D882" s="2">
        <f ca="1">INDEX(Simulations!$A$1:$BK$2501, 882, MATCH("SynMargin", Simulations!$A$1:$BK$1, 0))</f>
        <v>7.3908126672707977E-3</v>
      </c>
      <c r="E882" s="2">
        <f ca="1">INDEX(Simulations!$A$1:$BK$2501, 882, MATCH("Yr1Shock", Simulations!$A$1:$BK$1, 0))</f>
        <v>-1.3095466930277577E-2</v>
      </c>
    </row>
    <row r="883" spans="1:5" x14ac:dyDescent="0.3">
      <c r="A883" s="2">
        <f ca="1">INDEX(Simulations!$A$1:$BK$2501, 883, MATCH("PurchaseMultiple", Simulations!$A$1:$BK$1, 0))</f>
        <v>6.8037096260714147</v>
      </c>
      <c r="B883" s="2">
        <f ca="1">INDEX(Simulations!$A$1:$BK$2501, 883, MATCH("ExitMultiple", Simulations!$A$1:$BK$1, 0))</f>
        <v>7.5268117034453406</v>
      </c>
      <c r="C883" s="2">
        <f ca="1">INDEX(Simulations!$A$1:$BK$2501, 883, MATCH("RevCAGR", Simulations!$A$1:$BK$1, 0))</f>
        <v>6.2665910176269712E-2</v>
      </c>
      <c r="D883" s="2">
        <f ca="1">INDEX(Simulations!$A$1:$BK$2501, 883, MATCH("SynMargin", Simulations!$A$1:$BK$1, 0))</f>
        <v>6.4803400980664172E-3</v>
      </c>
      <c r="E883" s="2">
        <f ca="1">INDEX(Simulations!$A$1:$BK$2501, 883, MATCH("Yr1Shock", Simulations!$A$1:$BK$1, 0))</f>
        <v>-3.0316104950898919E-2</v>
      </c>
    </row>
    <row r="884" spans="1:5" x14ac:dyDescent="0.3">
      <c r="A884" s="2">
        <f ca="1">INDEX(Simulations!$A$1:$BK$2501, 884, MATCH("PurchaseMultiple", Simulations!$A$1:$BK$1, 0))</f>
        <v>7.3516159707575444</v>
      </c>
      <c r="B884" s="2">
        <f ca="1">INDEX(Simulations!$A$1:$BK$2501, 884, MATCH("ExitMultiple", Simulations!$A$1:$BK$1, 0))</f>
        <v>6.8948959496426756</v>
      </c>
      <c r="C884" s="2">
        <f ca="1">INDEX(Simulations!$A$1:$BK$2501, 884, MATCH("RevCAGR", Simulations!$A$1:$BK$1, 0))</f>
        <v>6.8363107885016566E-2</v>
      </c>
      <c r="D884" s="2">
        <f ca="1">INDEX(Simulations!$A$1:$BK$2501, 884, MATCH("SynMargin", Simulations!$A$1:$BK$1, 0))</f>
        <v>1.1473023096332786E-2</v>
      </c>
      <c r="E884" s="2">
        <f ca="1">INDEX(Simulations!$A$1:$BK$2501, 884, MATCH("Yr1Shock", Simulations!$A$1:$BK$1, 0))</f>
        <v>2.3377004690817433E-3</v>
      </c>
    </row>
    <row r="885" spans="1:5" x14ac:dyDescent="0.3">
      <c r="A885" s="2">
        <f ca="1">INDEX(Simulations!$A$1:$BK$2501, 885, MATCH("PurchaseMultiple", Simulations!$A$1:$BK$1, 0))</f>
        <v>6.2844739407360501</v>
      </c>
      <c r="B885" s="2">
        <f ca="1">INDEX(Simulations!$A$1:$BK$2501, 885, MATCH("ExitMultiple", Simulations!$A$1:$BK$1, 0))</f>
        <v>6.6554852371053324</v>
      </c>
      <c r="C885" s="2">
        <f ca="1">INDEX(Simulations!$A$1:$BK$2501, 885, MATCH("RevCAGR", Simulations!$A$1:$BK$1, 0))</f>
        <v>4.6694150053591163E-2</v>
      </c>
      <c r="D885" s="2">
        <f ca="1">INDEX(Simulations!$A$1:$BK$2501, 885, MATCH("SynMargin", Simulations!$A$1:$BK$1, 0))</f>
        <v>6.4648986814022976E-3</v>
      </c>
      <c r="E885" s="2">
        <f ca="1">INDEX(Simulations!$A$1:$BK$2501, 885, MATCH("Yr1Shock", Simulations!$A$1:$BK$1, 0))</f>
        <v>1.5182722884553326E-2</v>
      </c>
    </row>
    <row r="886" spans="1:5" x14ac:dyDescent="0.3">
      <c r="A886" s="2">
        <f ca="1">INDEX(Simulations!$A$1:$BK$2501, 886, MATCH("PurchaseMultiple", Simulations!$A$1:$BK$1, 0))</f>
        <v>6.559390231998</v>
      </c>
      <c r="B886" s="2">
        <f ca="1">INDEX(Simulations!$A$1:$BK$2501, 886, MATCH("ExitMultiple", Simulations!$A$1:$BK$1, 0))</f>
        <v>6.6628245892457558</v>
      </c>
      <c r="C886" s="2">
        <f ca="1">INDEX(Simulations!$A$1:$BK$2501, 886, MATCH("RevCAGR", Simulations!$A$1:$BK$1, 0))</f>
        <v>-1.2744147726632064E-2</v>
      </c>
      <c r="D886" s="2">
        <f ca="1">INDEX(Simulations!$A$1:$BK$2501, 886, MATCH("SynMargin", Simulations!$A$1:$BK$1, 0))</f>
        <v>1.0088153413072646E-2</v>
      </c>
      <c r="E886" s="2">
        <f ca="1">INDEX(Simulations!$A$1:$BK$2501, 886, MATCH("Yr1Shock", Simulations!$A$1:$BK$1, 0))</f>
        <v>-3.4426123366139622E-2</v>
      </c>
    </row>
    <row r="887" spans="1:5" x14ac:dyDescent="0.3">
      <c r="A887" s="2">
        <f ca="1">INDEX(Simulations!$A$1:$BK$2501, 887, MATCH("PurchaseMultiple", Simulations!$A$1:$BK$1, 0))</f>
        <v>7.7001399401851636</v>
      </c>
      <c r="B887" s="2">
        <f ca="1">INDEX(Simulations!$A$1:$BK$2501, 887, MATCH("ExitMultiple", Simulations!$A$1:$BK$1, 0))</f>
        <v>7.0885530226768152</v>
      </c>
      <c r="C887" s="2">
        <f ca="1">INDEX(Simulations!$A$1:$BK$2501, 887, MATCH("RevCAGR", Simulations!$A$1:$BK$1, 0))</f>
        <v>7.3891336712690867E-2</v>
      </c>
      <c r="D887" s="2">
        <f ca="1">INDEX(Simulations!$A$1:$BK$2501, 887, MATCH("SynMargin", Simulations!$A$1:$BK$1, 0))</f>
        <v>9.2173013120159034E-3</v>
      </c>
      <c r="E887" s="2">
        <f ca="1">INDEX(Simulations!$A$1:$BK$2501, 887, MATCH("Yr1Shock", Simulations!$A$1:$BK$1, 0))</f>
        <v>3.7643064640960969E-2</v>
      </c>
    </row>
    <row r="888" spans="1:5" x14ac:dyDescent="0.3">
      <c r="A888" s="2">
        <f ca="1">INDEX(Simulations!$A$1:$BK$2501, 888, MATCH("PurchaseMultiple", Simulations!$A$1:$BK$1, 0))</f>
        <v>6.5261730389747816</v>
      </c>
      <c r="B888" s="2">
        <f ca="1">INDEX(Simulations!$A$1:$BK$2501, 888, MATCH("ExitMultiple", Simulations!$A$1:$BK$1, 0))</f>
        <v>7.3557611490865682</v>
      </c>
      <c r="C888" s="2">
        <f ca="1">INDEX(Simulations!$A$1:$BK$2501, 888, MATCH("RevCAGR", Simulations!$A$1:$BK$1, 0))</f>
        <v>3.0080449672957924E-2</v>
      </c>
      <c r="D888" s="2">
        <f ca="1">INDEX(Simulations!$A$1:$BK$2501, 888, MATCH("SynMargin", Simulations!$A$1:$BK$1, 0))</f>
        <v>7.4773394290515594E-3</v>
      </c>
      <c r="E888" s="2">
        <f ca="1">INDEX(Simulations!$A$1:$BK$2501, 888, MATCH("Yr1Shock", Simulations!$A$1:$BK$1, 0))</f>
        <v>1.250249840098205E-2</v>
      </c>
    </row>
    <row r="889" spans="1:5" x14ac:dyDescent="0.3">
      <c r="A889" s="2">
        <f ca="1">INDEX(Simulations!$A$1:$BK$2501, 889, MATCH("PurchaseMultiple", Simulations!$A$1:$BK$1, 0))</f>
        <v>6.6444983852825956</v>
      </c>
      <c r="B889" s="2">
        <f ca="1">INDEX(Simulations!$A$1:$BK$2501, 889, MATCH("ExitMultiple", Simulations!$A$1:$BK$1, 0))</f>
        <v>7.5539703521204107</v>
      </c>
      <c r="C889" s="2">
        <f ca="1">INDEX(Simulations!$A$1:$BK$2501, 889, MATCH("RevCAGR", Simulations!$A$1:$BK$1, 0))</f>
        <v>3.2885515640788898E-2</v>
      </c>
      <c r="D889" s="2">
        <f ca="1">INDEX(Simulations!$A$1:$BK$2501, 889, MATCH("SynMargin", Simulations!$A$1:$BK$1, 0))</f>
        <v>1.7669819521425604E-2</v>
      </c>
      <c r="E889" s="2">
        <f ca="1">INDEX(Simulations!$A$1:$BK$2501, 889, MATCH("Yr1Shock", Simulations!$A$1:$BK$1, 0))</f>
        <v>-2.2649028723414105E-2</v>
      </c>
    </row>
    <row r="890" spans="1:5" x14ac:dyDescent="0.3">
      <c r="A890" s="2">
        <f ca="1">INDEX(Simulations!$A$1:$BK$2501, 890, MATCH("PurchaseMultiple", Simulations!$A$1:$BK$1, 0))</f>
        <v>6.9763093372553815</v>
      </c>
      <c r="B890" s="2">
        <f ca="1">INDEX(Simulations!$A$1:$BK$2501, 890, MATCH("ExitMultiple", Simulations!$A$1:$BK$1, 0))</f>
        <v>7.2616350711251929</v>
      </c>
      <c r="C890" s="2">
        <f ca="1">INDEX(Simulations!$A$1:$BK$2501, 890, MATCH("RevCAGR", Simulations!$A$1:$BK$1, 0))</f>
        <v>6.9588887278792186E-2</v>
      </c>
      <c r="D890" s="2">
        <f ca="1">INDEX(Simulations!$A$1:$BK$2501, 890, MATCH("SynMargin", Simulations!$A$1:$BK$1, 0))</f>
        <v>6.354336007419973E-4</v>
      </c>
      <c r="E890" s="2">
        <f ca="1">INDEX(Simulations!$A$1:$BK$2501, 890, MATCH("Yr1Shock", Simulations!$A$1:$BK$1, 0))</f>
        <v>-1.2543193042359487E-2</v>
      </c>
    </row>
    <row r="891" spans="1:5" x14ac:dyDescent="0.3">
      <c r="A891" s="2">
        <f ca="1">INDEX(Simulations!$A$1:$BK$2501, 891, MATCH("PurchaseMultiple", Simulations!$A$1:$BK$1, 0))</f>
        <v>7.0576832160252714</v>
      </c>
      <c r="B891" s="2">
        <f ca="1">INDEX(Simulations!$A$1:$BK$2501, 891, MATCH("ExitMultiple", Simulations!$A$1:$BK$1, 0))</f>
        <v>6.693138122917218</v>
      </c>
      <c r="C891" s="2">
        <f ca="1">INDEX(Simulations!$A$1:$BK$2501, 891, MATCH("RevCAGR", Simulations!$A$1:$BK$1, 0))</f>
        <v>-1.6427837170616209E-2</v>
      </c>
      <c r="D891" s="2">
        <f ca="1">INDEX(Simulations!$A$1:$BK$2501, 891, MATCH("SynMargin", Simulations!$A$1:$BK$1, 0))</f>
        <v>1.8839111058415545E-2</v>
      </c>
      <c r="E891" s="2">
        <f ca="1">INDEX(Simulations!$A$1:$BK$2501, 891, MATCH("Yr1Shock", Simulations!$A$1:$BK$1, 0))</f>
        <v>-4.4381338732476808E-2</v>
      </c>
    </row>
    <row r="892" spans="1:5" x14ac:dyDescent="0.3">
      <c r="A892" s="2">
        <f ca="1">INDEX(Simulations!$A$1:$BK$2501, 892, MATCH("PurchaseMultiple", Simulations!$A$1:$BK$1, 0))</f>
        <v>6.9569477456568967</v>
      </c>
      <c r="B892" s="2">
        <f ca="1">INDEX(Simulations!$A$1:$BK$2501, 892, MATCH("ExitMultiple", Simulations!$A$1:$BK$1, 0))</f>
        <v>7.2531757088511633</v>
      </c>
      <c r="C892" s="2">
        <f ca="1">INDEX(Simulations!$A$1:$BK$2501, 892, MATCH("RevCAGR", Simulations!$A$1:$BK$1, 0))</f>
        <v>7.6613452050826175E-3</v>
      </c>
      <c r="D892" s="2">
        <f ca="1">INDEX(Simulations!$A$1:$BK$2501, 892, MATCH("SynMargin", Simulations!$A$1:$BK$1, 0))</f>
        <v>0</v>
      </c>
      <c r="E892" s="2">
        <f ca="1">INDEX(Simulations!$A$1:$BK$2501, 892, MATCH("Yr1Shock", Simulations!$A$1:$BK$1, 0))</f>
        <v>-7.6821740910777364E-3</v>
      </c>
    </row>
    <row r="893" spans="1:5" x14ac:dyDescent="0.3">
      <c r="A893" s="2">
        <f ca="1">INDEX(Simulations!$A$1:$BK$2501, 893, MATCH("PurchaseMultiple", Simulations!$A$1:$BK$1, 0))</f>
        <v>6.8919141498613383</v>
      </c>
      <c r="B893" s="2">
        <f ca="1">INDEX(Simulations!$A$1:$BK$2501, 893, MATCH("ExitMultiple", Simulations!$A$1:$BK$1, 0))</f>
        <v>8.0259482225785082</v>
      </c>
      <c r="C893" s="2">
        <f ca="1">INDEX(Simulations!$A$1:$BK$2501, 893, MATCH("RevCAGR", Simulations!$A$1:$BK$1, 0))</f>
        <v>3.8625262445933506E-3</v>
      </c>
      <c r="D893" s="2">
        <f ca="1">INDEX(Simulations!$A$1:$BK$2501, 893, MATCH("SynMargin", Simulations!$A$1:$BK$1, 0))</f>
        <v>1.0180730809651642E-2</v>
      </c>
      <c r="E893" s="2">
        <f ca="1">INDEX(Simulations!$A$1:$BK$2501, 893, MATCH("Yr1Shock", Simulations!$A$1:$BK$1, 0))</f>
        <v>5.6026897399068E-3</v>
      </c>
    </row>
    <row r="894" spans="1:5" x14ac:dyDescent="0.3">
      <c r="A894" s="2">
        <f ca="1">INDEX(Simulations!$A$1:$BK$2501, 894, MATCH("PurchaseMultiple", Simulations!$A$1:$BK$1, 0))</f>
        <v>6.9521646906560415</v>
      </c>
      <c r="B894" s="2">
        <f ca="1">INDEX(Simulations!$A$1:$BK$2501, 894, MATCH("ExitMultiple", Simulations!$A$1:$BK$1, 0))</f>
        <v>7.0279317078353163</v>
      </c>
      <c r="C894" s="2">
        <f ca="1">INDEX(Simulations!$A$1:$BK$2501, 894, MATCH("RevCAGR", Simulations!$A$1:$BK$1, 0))</f>
        <v>7.6992964959122306E-2</v>
      </c>
      <c r="D894" s="2">
        <f ca="1">INDEX(Simulations!$A$1:$BK$2501, 894, MATCH("SynMargin", Simulations!$A$1:$BK$1, 0))</f>
        <v>1.184317417435591E-2</v>
      </c>
      <c r="E894" s="2">
        <f ca="1">INDEX(Simulations!$A$1:$BK$2501, 894, MATCH("Yr1Shock", Simulations!$A$1:$BK$1, 0))</f>
        <v>-2.7762371077486624E-3</v>
      </c>
    </row>
    <row r="895" spans="1:5" x14ac:dyDescent="0.3">
      <c r="A895" s="2">
        <f ca="1">INDEX(Simulations!$A$1:$BK$2501, 895, MATCH("PurchaseMultiple", Simulations!$A$1:$BK$1, 0))</f>
        <v>6.9639145685640234</v>
      </c>
      <c r="B895" s="2">
        <f ca="1">INDEX(Simulations!$A$1:$BK$2501, 895, MATCH("ExitMultiple", Simulations!$A$1:$BK$1, 0))</f>
        <v>6.8710966477341344</v>
      </c>
      <c r="C895" s="2">
        <f ca="1">INDEX(Simulations!$A$1:$BK$2501, 895, MATCH("RevCAGR", Simulations!$A$1:$BK$1, 0))</f>
        <v>2.8206199532609853E-2</v>
      </c>
      <c r="D895" s="2">
        <f ca="1">INDEX(Simulations!$A$1:$BK$2501, 895, MATCH("SynMargin", Simulations!$A$1:$BK$1, 0))</f>
        <v>1.2069169355615117E-2</v>
      </c>
      <c r="E895" s="2">
        <f ca="1">INDEX(Simulations!$A$1:$BK$2501, 895, MATCH("Yr1Shock", Simulations!$A$1:$BK$1, 0))</f>
        <v>-3.6879375288692465E-2</v>
      </c>
    </row>
    <row r="896" spans="1:5" x14ac:dyDescent="0.3">
      <c r="A896" s="2">
        <f ca="1">INDEX(Simulations!$A$1:$BK$2501, 896, MATCH("PurchaseMultiple", Simulations!$A$1:$BK$1, 0))</f>
        <v>7.1858485590583667</v>
      </c>
      <c r="B896" s="2">
        <f ca="1">INDEX(Simulations!$A$1:$BK$2501, 896, MATCH("ExitMultiple", Simulations!$A$1:$BK$1, 0))</f>
        <v>7.9902637181804117</v>
      </c>
      <c r="C896" s="2">
        <f ca="1">INDEX(Simulations!$A$1:$BK$2501, 896, MATCH("RevCAGR", Simulations!$A$1:$BK$1, 0))</f>
        <v>6.6403293668636981E-2</v>
      </c>
      <c r="D896" s="2">
        <f ca="1">INDEX(Simulations!$A$1:$BK$2501, 896, MATCH("SynMargin", Simulations!$A$1:$BK$1, 0))</f>
        <v>7.7706112754008464E-3</v>
      </c>
      <c r="E896" s="2">
        <f ca="1">INDEX(Simulations!$A$1:$BK$2501, 896, MATCH("Yr1Shock", Simulations!$A$1:$BK$1, 0))</f>
        <v>-7.359729978676414E-3</v>
      </c>
    </row>
    <row r="897" spans="1:5" x14ac:dyDescent="0.3">
      <c r="A897" s="2">
        <f ca="1">INDEX(Simulations!$A$1:$BK$2501, 897, MATCH("PurchaseMultiple", Simulations!$A$1:$BK$1, 0))</f>
        <v>6.4302735446397117</v>
      </c>
      <c r="B897" s="2">
        <f ca="1">INDEX(Simulations!$A$1:$BK$2501, 897, MATCH("ExitMultiple", Simulations!$A$1:$BK$1, 0))</f>
        <v>6.9105742720542009</v>
      </c>
      <c r="C897" s="2">
        <f ca="1">INDEX(Simulations!$A$1:$BK$2501, 897, MATCH("RevCAGR", Simulations!$A$1:$BK$1, 0))</f>
        <v>3.1475205313676785E-2</v>
      </c>
      <c r="D897" s="2">
        <f ca="1">INDEX(Simulations!$A$1:$BK$2501, 897, MATCH("SynMargin", Simulations!$A$1:$BK$1, 0))</f>
        <v>7.466557997045601E-3</v>
      </c>
      <c r="E897" s="2">
        <f ca="1">INDEX(Simulations!$A$1:$BK$2501, 897, MATCH("Yr1Shock", Simulations!$A$1:$BK$1, 0))</f>
        <v>1.4746983920676776E-2</v>
      </c>
    </row>
    <row r="898" spans="1:5" x14ac:dyDescent="0.3">
      <c r="A898" s="2">
        <f ca="1">INDEX(Simulations!$A$1:$BK$2501, 898, MATCH("PurchaseMultiple", Simulations!$A$1:$BK$1, 0))</f>
        <v>6.8661623643297967</v>
      </c>
      <c r="B898" s="2">
        <f ca="1">INDEX(Simulations!$A$1:$BK$2501, 898, MATCH("ExitMultiple", Simulations!$A$1:$BK$1, 0))</f>
        <v>7.4873266013454405</v>
      </c>
      <c r="C898" s="2">
        <f ca="1">INDEX(Simulations!$A$1:$BK$2501, 898, MATCH("RevCAGR", Simulations!$A$1:$BK$1, 0))</f>
        <v>3.7734279118291358E-3</v>
      </c>
      <c r="D898" s="2">
        <f ca="1">INDEX(Simulations!$A$1:$BK$2501, 898, MATCH("SynMargin", Simulations!$A$1:$BK$1, 0))</f>
        <v>1.2862530336686395E-2</v>
      </c>
      <c r="E898" s="2">
        <f ca="1">INDEX(Simulations!$A$1:$BK$2501, 898, MATCH("Yr1Shock", Simulations!$A$1:$BK$1, 0))</f>
        <v>-2.694460343616939E-2</v>
      </c>
    </row>
    <row r="899" spans="1:5" x14ac:dyDescent="0.3">
      <c r="A899" s="2">
        <f ca="1">INDEX(Simulations!$A$1:$BK$2501, 899, MATCH("PurchaseMultiple", Simulations!$A$1:$BK$1, 0))</f>
        <v>7.3960759051210134</v>
      </c>
      <c r="B899" s="2">
        <f ca="1">INDEX(Simulations!$A$1:$BK$2501, 899, MATCH("ExitMultiple", Simulations!$A$1:$BK$1, 0))</f>
        <v>7.331312290270577</v>
      </c>
      <c r="C899" s="2">
        <f ca="1">INDEX(Simulations!$A$1:$BK$2501, 899, MATCH("RevCAGR", Simulations!$A$1:$BK$1, 0))</f>
        <v>4.1569562486171788E-2</v>
      </c>
      <c r="D899" s="2">
        <f ca="1">INDEX(Simulations!$A$1:$BK$2501, 899, MATCH("SynMargin", Simulations!$A$1:$BK$1, 0))</f>
        <v>1.386460223915786E-2</v>
      </c>
      <c r="E899" s="2">
        <f ca="1">INDEX(Simulations!$A$1:$BK$2501, 899, MATCH("Yr1Shock", Simulations!$A$1:$BK$1, 0))</f>
        <v>3.0698878459920293E-3</v>
      </c>
    </row>
    <row r="900" spans="1:5" x14ac:dyDescent="0.3">
      <c r="A900" s="2">
        <f ca="1">INDEX(Simulations!$A$1:$BK$2501, 900, MATCH("PurchaseMultiple", Simulations!$A$1:$BK$1, 0))</f>
        <v>6.902534759433359</v>
      </c>
      <c r="B900" s="2">
        <f ca="1">INDEX(Simulations!$A$1:$BK$2501, 900, MATCH("ExitMultiple", Simulations!$A$1:$BK$1, 0))</f>
        <v>7.7782726717310764</v>
      </c>
      <c r="C900" s="2">
        <f ca="1">INDEX(Simulations!$A$1:$BK$2501, 900, MATCH("RevCAGR", Simulations!$A$1:$BK$1, 0))</f>
        <v>3.401236419153951E-2</v>
      </c>
      <c r="D900" s="2">
        <f ca="1">INDEX(Simulations!$A$1:$BK$2501, 900, MATCH("SynMargin", Simulations!$A$1:$BK$1, 0))</f>
        <v>1.8173080017470332E-2</v>
      </c>
      <c r="E900" s="2">
        <f ca="1">INDEX(Simulations!$A$1:$BK$2501, 900, MATCH("Yr1Shock", Simulations!$A$1:$BK$1, 0))</f>
        <v>1.9678479111324462E-2</v>
      </c>
    </row>
    <row r="901" spans="1:5" x14ac:dyDescent="0.3">
      <c r="A901" s="2">
        <f ca="1">INDEX(Simulations!$A$1:$BK$2501, 901, MATCH("PurchaseMultiple", Simulations!$A$1:$BK$1, 0))</f>
        <v>6.6144770765374918</v>
      </c>
      <c r="B901" s="2">
        <f ca="1">INDEX(Simulations!$A$1:$BK$2501, 901, MATCH("ExitMultiple", Simulations!$A$1:$BK$1, 0))</f>
        <v>6.9753544386628956</v>
      </c>
      <c r="C901" s="2">
        <f ca="1">INDEX(Simulations!$A$1:$BK$2501, 901, MATCH("RevCAGR", Simulations!$A$1:$BK$1, 0))</f>
        <v>8.9972355909366031E-2</v>
      </c>
      <c r="D901" s="2">
        <f ca="1">INDEX(Simulations!$A$1:$BK$2501, 901, MATCH("SynMargin", Simulations!$A$1:$BK$1, 0))</f>
        <v>1.8686885240231099E-2</v>
      </c>
      <c r="E901" s="2">
        <f ca="1">INDEX(Simulations!$A$1:$BK$2501, 901, MATCH("Yr1Shock", Simulations!$A$1:$BK$1, 0))</f>
        <v>-2.9642604824436651E-3</v>
      </c>
    </row>
    <row r="902" spans="1:5" x14ac:dyDescent="0.3">
      <c r="A902" s="2">
        <f ca="1">INDEX(Simulations!$A$1:$BK$2501, 902, MATCH("PurchaseMultiple", Simulations!$A$1:$BK$1, 0))</f>
        <v>6.7794990689360723</v>
      </c>
      <c r="B902" s="2">
        <f ca="1">INDEX(Simulations!$A$1:$BK$2501, 902, MATCH("ExitMultiple", Simulations!$A$1:$BK$1, 0))</f>
        <v>7.9617928315399888</v>
      </c>
      <c r="C902" s="2">
        <f ca="1">INDEX(Simulations!$A$1:$BK$2501, 902, MATCH("RevCAGR", Simulations!$A$1:$BK$1, 0))</f>
        <v>9.2421268585666586E-3</v>
      </c>
      <c r="D902" s="2">
        <f ca="1">INDEX(Simulations!$A$1:$BK$2501, 902, MATCH("SynMargin", Simulations!$A$1:$BK$1, 0))</f>
        <v>1.1026268484810801E-2</v>
      </c>
      <c r="E902" s="2">
        <f ca="1">INDEX(Simulations!$A$1:$BK$2501, 902, MATCH("Yr1Shock", Simulations!$A$1:$BK$1, 0))</f>
        <v>-7.0984399650788049E-3</v>
      </c>
    </row>
    <row r="903" spans="1:5" x14ac:dyDescent="0.3">
      <c r="A903" s="2">
        <f ca="1">INDEX(Simulations!$A$1:$BK$2501, 903, MATCH("PurchaseMultiple", Simulations!$A$1:$BK$1, 0))</f>
        <v>7.8063024929803078</v>
      </c>
      <c r="B903" s="2">
        <f ca="1">INDEX(Simulations!$A$1:$BK$2501, 903, MATCH("ExitMultiple", Simulations!$A$1:$BK$1, 0))</f>
        <v>7.7615320522670714</v>
      </c>
      <c r="C903" s="2">
        <f ca="1">INDEX(Simulations!$A$1:$BK$2501, 903, MATCH("RevCAGR", Simulations!$A$1:$BK$1, 0))</f>
        <v>2.4388950481227509E-2</v>
      </c>
      <c r="D903" s="2">
        <f ca="1">INDEX(Simulations!$A$1:$BK$2501, 903, MATCH("SynMargin", Simulations!$A$1:$BK$1, 0))</f>
        <v>1.3252977427164418E-2</v>
      </c>
      <c r="E903" s="2">
        <f ca="1">INDEX(Simulations!$A$1:$BK$2501, 903, MATCH("Yr1Shock", Simulations!$A$1:$BK$1, 0))</f>
        <v>1.5632318406421285E-2</v>
      </c>
    </row>
    <row r="904" spans="1:5" x14ac:dyDescent="0.3">
      <c r="A904" s="2">
        <f ca="1">INDEX(Simulations!$A$1:$BK$2501, 904, MATCH("PurchaseMultiple", Simulations!$A$1:$BK$1, 0))</f>
        <v>7.0986141799622642</v>
      </c>
      <c r="B904" s="2">
        <f ca="1">INDEX(Simulations!$A$1:$BK$2501, 904, MATCH("ExitMultiple", Simulations!$A$1:$BK$1, 0))</f>
        <v>6.9632339204329741</v>
      </c>
      <c r="C904" s="2">
        <f ca="1">INDEX(Simulations!$A$1:$BK$2501, 904, MATCH("RevCAGR", Simulations!$A$1:$BK$1, 0))</f>
        <v>7.3857383445155217E-2</v>
      </c>
      <c r="D904" s="2">
        <f ca="1">INDEX(Simulations!$A$1:$BK$2501, 904, MATCH("SynMargin", Simulations!$A$1:$BK$1, 0))</f>
        <v>9.7430172118158527E-3</v>
      </c>
      <c r="E904" s="2">
        <f ca="1">INDEX(Simulations!$A$1:$BK$2501, 904, MATCH("Yr1Shock", Simulations!$A$1:$BK$1, 0))</f>
        <v>-2.6010167043793872E-2</v>
      </c>
    </row>
    <row r="905" spans="1:5" x14ac:dyDescent="0.3">
      <c r="A905" s="2">
        <f ca="1">INDEX(Simulations!$A$1:$BK$2501, 905, MATCH("PurchaseMultiple", Simulations!$A$1:$BK$1, 0))</f>
        <v>7.1792180752547496</v>
      </c>
      <c r="B905" s="2">
        <f ca="1">INDEX(Simulations!$A$1:$BK$2501, 905, MATCH("ExitMultiple", Simulations!$A$1:$BK$1, 0))</f>
        <v>7.4802573735951725</v>
      </c>
      <c r="C905" s="2">
        <f ca="1">INDEX(Simulations!$A$1:$BK$2501, 905, MATCH("RevCAGR", Simulations!$A$1:$BK$1, 0))</f>
        <v>-0.02</v>
      </c>
      <c r="D905" s="2">
        <f ca="1">INDEX(Simulations!$A$1:$BK$2501, 905, MATCH("SynMargin", Simulations!$A$1:$BK$1, 0))</f>
        <v>1.2708709205282111E-2</v>
      </c>
      <c r="E905" s="2">
        <f ca="1">INDEX(Simulations!$A$1:$BK$2501, 905, MATCH("Yr1Shock", Simulations!$A$1:$BK$1, 0))</f>
        <v>-6.2328132039054412E-4</v>
      </c>
    </row>
    <row r="906" spans="1:5" x14ac:dyDescent="0.3">
      <c r="A906" s="2">
        <f ca="1">INDEX(Simulations!$A$1:$BK$2501, 906, MATCH("PurchaseMultiple", Simulations!$A$1:$BK$1, 0))</f>
        <v>6.6933753869191284</v>
      </c>
      <c r="B906" s="2">
        <f ca="1">INDEX(Simulations!$A$1:$BK$2501, 906, MATCH("ExitMultiple", Simulations!$A$1:$BK$1, 0))</f>
        <v>7.2362445109011704</v>
      </c>
      <c r="C906" s="2">
        <f ca="1">INDEX(Simulations!$A$1:$BK$2501, 906, MATCH("RevCAGR", Simulations!$A$1:$BK$1, 0))</f>
        <v>4.1758877580703284E-2</v>
      </c>
      <c r="D906" s="2">
        <f ca="1">INDEX(Simulations!$A$1:$BK$2501, 906, MATCH("SynMargin", Simulations!$A$1:$BK$1, 0))</f>
        <v>9.666365717949604E-3</v>
      </c>
      <c r="E906" s="2">
        <f ca="1">INDEX(Simulations!$A$1:$BK$2501, 906, MATCH("Yr1Shock", Simulations!$A$1:$BK$1, 0))</f>
        <v>1.8056646083047753E-3</v>
      </c>
    </row>
    <row r="907" spans="1:5" x14ac:dyDescent="0.3">
      <c r="A907" s="2">
        <f ca="1">INDEX(Simulations!$A$1:$BK$2501, 907, MATCH("PurchaseMultiple", Simulations!$A$1:$BK$1, 0))</f>
        <v>6.5984258768208912</v>
      </c>
      <c r="B907" s="2">
        <f ca="1">INDEX(Simulations!$A$1:$BK$2501, 907, MATCH("ExitMultiple", Simulations!$A$1:$BK$1, 0))</f>
        <v>7.4319679258625353</v>
      </c>
      <c r="C907" s="2">
        <f ca="1">INDEX(Simulations!$A$1:$BK$2501, 907, MATCH("RevCAGR", Simulations!$A$1:$BK$1, 0))</f>
        <v>5.493429210161091E-3</v>
      </c>
      <c r="D907" s="2">
        <f ca="1">INDEX(Simulations!$A$1:$BK$2501, 907, MATCH("SynMargin", Simulations!$A$1:$BK$1, 0))</f>
        <v>8.5940436267151719E-3</v>
      </c>
      <c r="E907" s="2">
        <f ca="1">INDEX(Simulations!$A$1:$BK$2501, 907, MATCH("Yr1Shock", Simulations!$A$1:$BK$1, 0))</f>
        <v>1.5411904990055372E-2</v>
      </c>
    </row>
    <row r="908" spans="1:5" x14ac:dyDescent="0.3">
      <c r="A908" s="2">
        <f ca="1">INDEX(Simulations!$A$1:$BK$2501, 908, MATCH("PurchaseMultiple", Simulations!$A$1:$BK$1, 0))</f>
        <v>6.5749608637392054</v>
      </c>
      <c r="B908" s="2">
        <f ca="1">INDEX(Simulations!$A$1:$BK$2501, 908, MATCH("ExitMultiple", Simulations!$A$1:$BK$1, 0))</f>
        <v>7.4602976236712903</v>
      </c>
      <c r="C908" s="2">
        <f ca="1">INDEX(Simulations!$A$1:$BK$2501, 908, MATCH("RevCAGR", Simulations!$A$1:$BK$1, 0))</f>
        <v>1.8264518116462656E-2</v>
      </c>
      <c r="D908" s="2">
        <f ca="1">INDEX(Simulations!$A$1:$BK$2501, 908, MATCH("SynMargin", Simulations!$A$1:$BK$1, 0))</f>
        <v>1.6636093586219251E-2</v>
      </c>
      <c r="E908" s="2">
        <f ca="1">INDEX(Simulations!$A$1:$BK$2501, 908, MATCH("Yr1Shock", Simulations!$A$1:$BK$1, 0))</f>
        <v>4.5453514711804845E-2</v>
      </c>
    </row>
    <row r="909" spans="1:5" x14ac:dyDescent="0.3">
      <c r="A909" s="2">
        <f ca="1">INDEX(Simulations!$A$1:$BK$2501, 909, MATCH("PurchaseMultiple", Simulations!$A$1:$BK$1, 0))</f>
        <v>7.4554305073424052</v>
      </c>
      <c r="B909" s="2">
        <f ca="1">INDEX(Simulations!$A$1:$BK$2501, 909, MATCH("ExitMultiple", Simulations!$A$1:$BK$1, 0))</f>
        <v>6.9612796569984852</v>
      </c>
      <c r="C909" s="2">
        <f ca="1">INDEX(Simulations!$A$1:$BK$2501, 909, MATCH("RevCAGR", Simulations!$A$1:$BK$1, 0))</f>
        <v>3.5174535419232142E-2</v>
      </c>
      <c r="D909" s="2">
        <f ca="1">INDEX(Simulations!$A$1:$BK$2501, 909, MATCH("SynMargin", Simulations!$A$1:$BK$1, 0))</f>
        <v>1.3963229312175019E-2</v>
      </c>
      <c r="E909" s="2">
        <f ca="1">INDEX(Simulations!$A$1:$BK$2501, 909, MATCH("Yr1Shock", Simulations!$A$1:$BK$1, 0))</f>
        <v>3.7509936118908904E-2</v>
      </c>
    </row>
    <row r="910" spans="1:5" x14ac:dyDescent="0.3">
      <c r="A910" s="2">
        <f ca="1">INDEX(Simulations!$A$1:$BK$2501, 910, MATCH("PurchaseMultiple", Simulations!$A$1:$BK$1, 0))</f>
        <v>7.595050517414081</v>
      </c>
      <c r="B910" s="2">
        <f ca="1">INDEX(Simulations!$A$1:$BK$2501, 910, MATCH("ExitMultiple", Simulations!$A$1:$BK$1, 0))</f>
        <v>6.5905733889093776</v>
      </c>
      <c r="C910" s="2">
        <f ca="1">INDEX(Simulations!$A$1:$BK$2501, 910, MATCH("RevCAGR", Simulations!$A$1:$BK$1, 0))</f>
        <v>2.8308269788733596E-2</v>
      </c>
      <c r="D910" s="2">
        <f ca="1">INDEX(Simulations!$A$1:$BK$2501, 910, MATCH("SynMargin", Simulations!$A$1:$BK$1, 0))</f>
        <v>1.5438793044217046E-2</v>
      </c>
      <c r="E910" s="2">
        <f ca="1">INDEX(Simulations!$A$1:$BK$2501, 910, MATCH("Yr1Shock", Simulations!$A$1:$BK$1, 0))</f>
        <v>3.1843655991946711E-2</v>
      </c>
    </row>
    <row r="911" spans="1:5" x14ac:dyDescent="0.3">
      <c r="A911" s="2">
        <f ca="1">INDEX(Simulations!$A$1:$BK$2501, 911, MATCH("PurchaseMultiple", Simulations!$A$1:$BK$1, 0))</f>
        <v>7.0750807868072476</v>
      </c>
      <c r="B911" s="2">
        <f ca="1">INDEX(Simulations!$A$1:$BK$2501, 911, MATCH("ExitMultiple", Simulations!$A$1:$BK$1, 0))</f>
        <v>7.5988575940291865</v>
      </c>
      <c r="C911" s="2">
        <f ca="1">INDEX(Simulations!$A$1:$BK$2501, 911, MATCH("RevCAGR", Simulations!$A$1:$BK$1, 0))</f>
        <v>-0.02</v>
      </c>
      <c r="D911" s="2">
        <f ca="1">INDEX(Simulations!$A$1:$BK$2501, 911, MATCH("SynMargin", Simulations!$A$1:$BK$1, 0))</f>
        <v>1.4484124451805478E-2</v>
      </c>
      <c r="E911" s="2">
        <f ca="1">INDEX(Simulations!$A$1:$BK$2501, 911, MATCH("Yr1Shock", Simulations!$A$1:$BK$1, 0))</f>
        <v>-2.2674150291117062E-2</v>
      </c>
    </row>
    <row r="912" spans="1:5" x14ac:dyDescent="0.3">
      <c r="A912" s="2">
        <f ca="1">INDEX(Simulations!$A$1:$BK$2501, 912, MATCH("PurchaseMultiple", Simulations!$A$1:$BK$1, 0))</f>
        <v>7.8918006386551278</v>
      </c>
      <c r="B912" s="2">
        <f ca="1">INDEX(Simulations!$A$1:$BK$2501, 912, MATCH("ExitMultiple", Simulations!$A$1:$BK$1, 0))</f>
        <v>6.6880661255890645</v>
      </c>
      <c r="C912" s="2">
        <f ca="1">INDEX(Simulations!$A$1:$BK$2501, 912, MATCH("RevCAGR", Simulations!$A$1:$BK$1, 0))</f>
        <v>4.1388821212899912E-2</v>
      </c>
      <c r="D912" s="2">
        <f ca="1">INDEX(Simulations!$A$1:$BK$2501, 912, MATCH("SynMargin", Simulations!$A$1:$BK$1, 0))</f>
        <v>1.6319660588896584E-2</v>
      </c>
      <c r="E912" s="2">
        <f ca="1">INDEX(Simulations!$A$1:$BK$2501, 912, MATCH("Yr1Shock", Simulations!$A$1:$BK$1, 0))</f>
        <v>-1.3208153931166349E-2</v>
      </c>
    </row>
    <row r="913" spans="1:5" x14ac:dyDescent="0.3">
      <c r="A913" s="2">
        <f ca="1">INDEX(Simulations!$A$1:$BK$2501, 913, MATCH("PurchaseMultiple", Simulations!$A$1:$BK$1, 0))</f>
        <v>6.880509873055356</v>
      </c>
      <c r="B913" s="2">
        <f ca="1">INDEX(Simulations!$A$1:$BK$2501, 913, MATCH("ExitMultiple", Simulations!$A$1:$BK$1, 0))</f>
        <v>7.2618614663560823</v>
      </c>
      <c r="C913" s="2">
        <f ca="1">INDEX(Simulations!$A$1:$BK$2501, 913, MATCH("RevCAGR", Simulations!$A$1:$BK$1, 0))</f>
        <v>4.8741168266711883E-2</v>
      </c>
      <c r="D913" s="2">
        <f ca="1">INDEX(Simulations!$A$1:$BK$2501, 913, MATCH("SynMargin", Simulations!$A$1:$BK$1, 0))</f>
        <v>1.0935424777174895E-2</v>
      </c>
      <c r="E913" s="2">
        <f ca="1">INDEX(Simulations!$A$1:$BK$2501, 913, MATCH("Yr1Shock", Simulations!$A$1:$BK$1, 0))</f>
        <v>-1.9612346387654862E-2</v>
      </c>
    </row>
    <row r="914" spans="1:5" x14ac:dyDescent="0.3">
      <c r="A914" s="2">
        <f ca="1">INDEX(Simulations!$A$1:$BK$2501, 914, MATCH("PurchaseMultiple", Simulations!$A$1:$BK$1, 0))</f>
        <v>7.0313189024461327</v>
      </c>
      <c r="B914" s="2">
        <f ca="1">INDEX(Simulations!$A$1:$BK$2501, 914, MATCH("ExitMultiple", Simulations!$A$1:$BK$1, 0))</f>
        <v>7.6764725699165979</v>
      </c>
      <c r="C914" s="2">
        <f ca="1">INDEX(Simulations!$A$1:$BK$2501, 914, MATCH("RevCAGR", Simulations!$A$1:$BK$1, 0))</f>
        <v>5.4857086332483491E-2</v>
      </c>
      <c r="D914" s="2">
        <f ca="1">INDEX(Simulations!$A$1:$BK$2501, 914, MATCH("SynMargin", Simulations!$A$1:$BK$1, 0))</f>
        <v>1.0882104024832414E-2</v>
      </c>
      <c r="E914" s="2">
        <f ca="1">INDEX(Simulations!$A$1:$BK$2501, 914, MATCH("Yr1Shock", Simulations!$A$1:$BK$1, 0))</f>
        <v>-4.3370382540203201E-3</v>
      </c>
    </row>
    <row r="915" spans="1:5" x14ac:dyDescent="0.3">
      <c r="A915" s="2">
        <f ca="1">INDEX(Simulations!$A$1:$BK$2501, 915, MATCH("PurchaseMultiple", Simulations!$A$1:$BK$1, 0))</f>
        <v>7.1193104199435684</v>
      </c>
      <c r="B915" s="2">
        <f ca="1">INDEX(Simulations!$A$1:$BK$2501, 915, MATCH("ExitMultiple", Simulations!$A$1:$BK$1, 0))</f>
        <v>7.7466434842627425</v>
      </c>
      <c r="C915" s="2">
        <f ca="1">INDEX(Simulations!$A$1:$BK$2501, 915, MATCH("RevCAGR", Simulations!$A$1:$BK$1, 0))</f>
        <v>6.7485115003425911E-2</v>
      </c>
      <c r="D915" s="2">
        <f ca="1">INDEX(Simulations!$A$1:$BK$2501, 915, MATCH("SynMargin", Simulations!$A$1:$BK$1, 0))</f>
        <v>5.2687013928854115E-3</v>
      </c>
      <c r="E915" s="2">
        <f ca="1">INDEX(Simulations!$A$1:$BK$2501, 915, MATCH("Yr1Shock", Simulations!$A$1:$BK$1, 0))</f>
        <v>2.1749847880985832E-2</v>
      </c>
    </row>
    <row r="916" spans="1:5" x14ac:dyDescent="0.3">
      <c r="A916" s="2">
        <f ca="1">INDEX(Simulations!$A$1:$BK$2501, 916, MATCH("PurchaseMultiple", Simulations!$A$1:$BK$1, 0))</f>
        <v>7.1640483993652389</v>
      </c>
      <c r="B916" s="2">
        <f ca="1">INDEX(Simulations!$A$1:$BK$2501, 916, MATCH("ExitMultiple", Simulations!$A$1:$BK$1, 0))</f>
        <v>8.2842417412938669</v>
      </c>
      <c r="C916" s="2">
        <f ca="1">INDEX(Simulations!$A$1:$BK$2501, 916, MATCH("RevCAGR", Simulations!$A$1:$BK$1, 0))</f>
        <v>2.2907607548820593E-2</v>
      </c>
      <c r="D916" s="2">
        <f ca="1">INDEX(Simulations!$A$1:$BK$2501, 916, MATCH("SynMargin", Simulations!$A$1:$BK$1, 0))</f>
        <v>1.1879654902575403E-2</v>
      </c>
      <c r="E916" s="2">
        <f ca="1">INDEX(Simulations!$A$1:$BK$2501, 916, MATCH("Yr1Shock", Simulations!$A$1:$BK$1, 0))</f>
        <v>-6.0835390458437435E-3</v>
      </c>
    </row>
    <row r="917" spans="1:5" x14ac:dyDescent="0.3">
      <c r="A917" s="2">
        <f ca="1">INDEX(Simulations!$A$1:$BK$2501, 917, MATCH("PurchaseMultiple", Simulations!$A$1:$BK$1, 0))</f>
        <v>7.7995501946575621</v>
      </c>
      <c r="B917" s="2">
        <f ca="1">INDEX(Simulations!$A$1:$BK$2501, 917, MATCH("ExitMultiple", Simulations!$A$1:$BK$1, 0))</f>
        <v>7.882905258453861</v>
      </c>
      <c r="C917" s="2">
        <f ca="1">INDEX(Simulations!$A$1:$BK$2501, 917, MATCH("RevCAGR", Simulations!$A$1:$BK$1, 0))</f>
        <v>7.1755608928119469E-2</v>
      </c>
      <c r="D917" s="2">
        <f ca="1">INDEX(Simulations!$A$1:$BK$2501, 917, MATCH("SynMargin", Simulations!$A$1:$BK$1, 0))</f>
        <v>9.3003669927589558E-3</v>
      </c>
      <c r="E917" s="2">
        <f ca="1">INDEX(Simulations!$A$1:$BK$2501, 917, MATCH("Yr1Shock", Simulations!$A$1:$BK$1, 0))</f>
        <v>-3.1255197235501082E-2</v>
      </c>
    </row>
    <row r="918" spans="1:5" x14ac:dyDescent="0.3">
      <c r="A918" s="2">
        <f ca="1">INDEX(Simulations!$A$1:$BK$2501, 918, MATCH("PurchaseMultiple", Simulations!$A$1:$BK$1, 0))</f>
        <v>7.1105288266717368</v>
      </c>
      <c r="B918" s="2">
        <f ca="1">INDEX(Simulations!$A$1:$BK$2501, 918, MATCH("ExitMultiple", Simulations!$A$1:$BK$1, 0))</f>
        <v>7.4125625311046468</v>
      </c>
      <c r="C918" s="2">
        <f ca="1">INDEX(Simulations!$A$1:$BK$2501, 918, MATCH("RevCAGR", Simulations!$A$1:$BK$1, 0))</f>
        <v>4.151357022571725E-2</v>
      </c>
      <c r="D918" s="2">
        <f ca="1">INDEX(Simulations!$A$1:$BK$2501, 918, MATCH("SynMargin", Simulations!$A$1:$BK$1, 0))</f>
        <v>1.1133706935119468E-2</v>
      </c>
      <c r="E918" s="2">
        <f ca="1">INDEX(Simulations!$A$1:$BK$2501, 918, MATCH("Yr1Shock", Simulations!$A$1:$BK$1, 0))</f>
        <v>1.47841458284871E-2</v>
      </c>
    </row>
    <row r="919" spans="1:5" x14ac:dyDescent="0.3">
      <c r="A919" s="2">
        <f ca="1">INDEX(Simulations!$A$1:$BK$2501, 919, MATCH("PurchaseMultiple", Simulations!$A$1:$BK$1, 0))</f>
        <v>6.8614545141572609</v>
      </c>
      <c r="B919" s="2">
        <f ca="1">INDEX(Simulations!$A$1:$BK$2501, 919, MATCH("ExitMultiple", Simulations!$A$1:$BK$1, 0))</f>
        <v>7.0642660621865865</v>
      </c>
      <c r="C919" s="2">
        <f ca="1">INDEX(Simulations!$A$1:$BK$2501, 919, MATCH("RevCAGR", Simulations!$A$1:$BK$1, 0))</f>
        <v>4.9954794806310522E-2</v>
      </c>
      <c r="D919" s="2">
        <f ca="1">INDEX(Simulations!$A$1:$BK$2501, 919, MATCH("SynMargin", Simulations!$A$1:$BK$1, 0))</f>
        <v>1.2477988252683305E-2</v>
      </c>
      <c r="E919" s="2">
        <f ca="1">INDEX(Simulations!$A$1:$BK$2501, 919, MATCH("Yr1Shock", Simulations!$A$1:$BK$1, 0))</f>
        <v>1.1001016985143204E-2</v>
      </c>
    </row>
    <row r="920" spans="1:5" x14ac:dyDescent="0.3">
      <c r="A920" s="2">
        <f ca="1">INDEX(Simulations!$A$1:$BK$2501, 920, MATCH("PurchaseMultiple", Simulations!$A$1:$BK$1, 0))</f>
        <v>6.8838132269355796</v>
      </c>
      <c r="B920" s="2">
        <f ca="1">INDEX(Simulations!$A$1:$BK$2501, 920, MATCH("ExitMultiple", Simulations!$A$1:$BK$1, 0))</f>
        <v>7.4492826121052733</v>
      </c>
      <c r="C920" s="2">
        <f ca="1">INDEX(Simulations!$A$1:$BK$2501, 920, MATCH("RevCAGR", Simulations!$A$1:$BK$1, 0))</f>
        <v>1.4881174307923538E-2</v>
      </c>
      <c r="D920" s="2">
        <f ca="1">INDEX(Simulations!$A$1:$BK$2501, 920, MATCH("SynMargin", Simulations!$A$1:$BK$1, 0))</f>
        <v>1.6107004973483191E-2</v>
      </c>
      <c r="E920" s="2">
        <f ca="1">INDEX(Simulations!$A$1:$BK$2501, 920, MATCH("Yr1Shock", Simulations!$A$1:$BK$1, 0))</f>
        <v>-7.4303121131118633E-3</v>
      </c>
    </row>
    <row r="921" spans="1:5" x14ac:dyDescent="0.3">
      <c r="A921" s="2">
        <f ca="1">INDEX(Simulations!$A$1:$BK$2501, 921, MATCH("PurchaseMultiple", Simulations!$A$1:$BK$1, 0))</f>
        <v>7.2810062514994316</v>
      </c>
      <c r="B921" s="2">
        <f ca="1">INDEX(Simulations!$A$1:$BK$2501, 921, MATCH("ExitMultiple", Simulations!$A$1:$BK$1, 0))</f>
        <v>7.8312594156259507</v>
      </c>
      <c r="C921" s="2">
        <f ca="1">INDEX(Simulations!$A$1:$BK$2501, 921, MATCH("RevCAGR", Simulations!$A$1:$BK$1, 0))</f>
        <v>1.5410801097288439E-2</v>
      </c>
      <c r="D921" s="2">
        <f ca="1">INDEX(Simulations!$A$1:$BK$2501, 921, MATCH("SynMargin", Simulations!$A$1:$BK$1, 0))</f>
        <v>1.4048731286512097E-2</v>
      </c>
      <c r="E921" s="2">
        <f ca="1">INDEX(Simulations!$A$1:$BK$2501, 921, MATCH("Yr1Shock", Simulations!$A$1:$BK$1, 0))</f>
        <v>-2.7740766371447706E-2</v>
      </c>
    </row>
    <row r="922" spans="1:5" x14ac:dyDescent="0.3">
      <c r="A922" s="2">
        <f ca="1">INDEX(Simulations!$A$1:$BK$2501, 922, MATCH("PurchaseMultiple", Simulations!$A$1:$BK$1, 0))</f>
        <v>6.2566538933467912</v>
      </c>
      <c r="B922" s="2">
        <f ca="1">INDEX(Simulations!$A$1:$BK$2501, 922, MATCH("ExitMultiple", Simulations!$A$1:$BK$1, 0))</f>
        <v>7.4632942428020304</v>
      </c>
      <c r="C922" s="2">
        <f ca="1">INDEX(Simulations!$A$1:$BK$2501, 922, MATCH("RevCAGR", Simulations!$A$1:$BK$1, 0))</f>
        <v>3.2798369375438209E-2</v>
      </c>
      <c r="D922" s="2">
        <f ca="1">INDEX(Simulations!$A$1:$BK$2501, 922, MATCH("SynMargin", Simulations!$A$1:$BK$1, 0))</f>
        <v>1.7518280678058558E-2</v>
      </c>
      <c r="E922" s="2">
        <f ca="1">INDEX(Simulations!$A$1:$BK$2501, 922, MATCH("Yr1Shock", Simulations!$A$1:$BK$1, 0))</f>
        <v>-2.1056450782466051E-2</v>
      </c>
    </row>
    <row r="923" spans="1:5" x14ac:dyDescent="0.3">
      <c r="A923" s="2">
        <f ca="1">INDEX(Simulations!$A$1:$BK$2501, 923, MATCH("PurchaseMultiple", Simulations!$A$1:$BK$1, 0))</f>
        <v>7.5017528796113835</v>
      </c>
      <c r="B923" s="2">
        <f ca="1">INDEX(Simulations!$A$1:$BK$2501, 923, MATCH("ExitMultiple", Simulations!$A$1:$BK$1, 0))</f>
        <v>7.2012249047640102</v>
      </c>
      <c r="C923" s="2">
        <f ca="1">INDEX(Simulations!$A$1:$BK$2501, 923, MATCH("RevCAGR", Simulations!$A$1:$BK$1, 0))</f>
        <v>7.7844104232709738E-2</v>
      </c>
      <c r="D923" s="2">
        <f ca="1">INDEX(Simulations!$A$1:$BK$2501, 923, MATCH("SynMargin", Simulations!$A$1:$BK$1, 0))</f>
        <v>1.4413485022753818E-2</v>
      </c>
      <c r="E923" s="2">
        <f ca="1">INDEX(Simulations!$A$1:$BK$2501, 923, MATCH("Yr1Shock", Simulations!$A$1:$BK$1, 0))</f>
        <v>1.8608235638247421E-2</v>
      </c>
    </row>
    <row r="924" spans="1:5" x14ac:dyDescent="0.3">
      <c r="A924" s="2">
        <f ca="1">INDEX(Simulations!$A$1:$BK$2501, 924, MATCH("PurchaseMultiple", Simulations!$A$1:$BK$1, 0))</f>
        <v>7.5494990011164482</v>
      </c>
      <c r="B924" s="2">
        <f ca="1">INDEX(Simulations!$A$1:$BK$2501, 924, MATCH("ExitMultiple", Simulations!$A$1:$BK$1, 0))</f>
        <v>7.8399516233839615</v>
      </c>
      <c r="C924" s="2">
        <f ca="1">INDEX(Simulations!$A$1:$BK$2501, 924, MATCH("RevCAGR", Simulations!$A$1:$BK$1, 0))</f>
        <v>-6.7355623331728162E-3</v>
      </c>
      <c r="D924" s="2">
        <f ca="1">INDEX(Simulations!$A$1:$BK$2501, 924, MATCH("SynMargin", Simulations!$A$1:$BK$1, 0))</f>
        <v>1.0181256511618362E-2</v>
      </c>
      <c r="E924" s="2">
        <f ca="1">INDEX(Simulations!$A$1:$BK$2501, 924, MATCH("Yr1Shock", Simulations!$A$1:$BK$1, 0))</f>
        <v>-4.2595943477790948E-3</v>
      </c>
    </row>
    <row r="925" spans="1:5" x14ac:dyDescent="0.3">
      <c r="A925" s="2">
        <f ca="1">INDEX(Simulations!$A$1:$BK$2501, 925, MATCH("PurchaseMultiple", Simulations!$A$1:$BK$1, 0))</f>
        <v>7.8470069380191516</v>
      </c>
      <c r="B925" s="2">
        <f ca="1">INDEX(Simulations!$A$1:$BK$2501, 925, MATCH("ExitMultiple", Simulations!$A$1:$BK$1, 0))</f>
        <v>6.9481535983628726</v>
      </c>
      <c r="C925" s="2">
        <f ca="1">INDEX(Simulations!$A$1:$BK$2501, 925, MATCH("RevCAGR", Simulations!$A$1:$BK$1, 0))</f>
        <v>-1.5313237177809219E-2</v>
      </c>
      <c r="D925" s="2">
        <f ca="1">INDEX(Simulations!$A$1:$BK$2501, 925, MATCH("SynMargin", Simulations!$A$1:$BK$1, 0))</f>
        <v>1.2786549571361659E-2</v>
      </c>
      <c r="E925" s="2">
        <f ca="1">INDEX(Simulations!$A$1:$BK$2501, 925, MATCH("Yr1Shock", Simulations!$A$1:$BK$1, 0))</f>
        <v>2.5425998799337192E-2</v>
      </c>
    </row>
    <row r="926" spans="1:5" x14ac:dyDescent="0.3">
      <c r="A926" s="2">
        <f ca="1">INDEX(Simulations!$A$1:$BK$2501, 926, MATCH("PurchaseMultiple", Simulations!$A$1:$BK$1, 0))</f>
        <v>6.6191546216871311</v>
      </c>
      <c r="B926" s="2">
        <f ca="1">INDEX(Simulations!$A$1:$BK$2501, 926, MATCH("ExitMultiple", Simulations!$A$1:$BK$1, 0))</f>
        <v>7.8812475944746421</v>
      </c>
      <c r="C926" s="2">
        <f ca="1">INDEX(Simulations!$A$1:$BK$2501, 926, MATCH("RevCAGR", Simulations!$A$1:$BK$1, 0))</f>
        <v>7.7669988229568193E-2</v>
      </c>
      <c r="D926" s="2">
        <f ca="1">INDEX(Simulations!$A$1:$BK$2501, 926, MATCH("SynMargin", Simulations!$A$1:$BK$1, 0))</f>
        <v>2.3991179837133818E-2</v>
      </c>
      <c r="E926" s="2">
        <f ca="1">INDEX(Simulations!$A$1:$BK$2501, 926, MATCH("Yr1Shock", Simulations!$A$1:$BK$1, 0))</f>
        <v>2.005379633772119E-2</v>
      </c>
    </row>
    <row r="927" spans="1:5" x14ac:dyDescent="0.3">
      <c r="A927" s="2">
        <f ca="1">INDEX(Simulations!$A$1:$BK$2501, 927, MATCH("PurchaseMultiple", Simulations!$A$1:$BK$1, 0))</f>
        <v>6.7455772784135197</v>
      </c>
      <c r="B927" s="2">
        <f ca="1">INDEX(Simulations!$A$1:$BK$2501, 927, MATCH("ExitMultiple", Simulations!$A$1:$BK$1, 0))</f>
        <v>7.6914937738687135</v>
      </c>
      <c r="C927" s="2">
        <f ca="1">INDEX(Simulations!$A$1:$BK$2501, 927, MATCH("RevCAGR", Simulations!$A$1:$BK$1, 0))</f>
        <v>5.6208955396348667E-2</v>
      </c>
      <c r="D927" s="2">
        <f ca="1">INDEX(Simulations!$A$1:$BK$2501, 927, MATCH("SynMargin", Simulations!$A$1:$BK$1, 0))</f>
        <v>9.6433501647418124E-3</v>
      </c>
      <c r="E927" s="2">
        <f ca="1">INDEX(Simulations!$A$1:$BK$2501, 927, MATCH("Yr1Shock", Simulations!$A$1:$BK$1, 0))</f>
        <v>1.1018736375513786E-2</v>
      </c>
    </row>
    <row r="928" spans="1:5" x14ac:dyDescent="0.3">
      <c r="A928" s="2">
        <f ca="1">INDEX(Simulations!$A$1:$BK$2501, 928, MATCH("PurchaseMultiple", Simulations!$A$1:$BK$1, 0))</f>
        <v>6.4577321063307203</v>
      </c>
      <c r="B928" s="2">
        <f ca="1">INDEX(Simulations!$A$1:$BK$2501, 928, MATCH("ExitMultiple", Simulations!$A$1:$BK$1, 0))</f>
        <v>7.4734411596471269</v>
      </c>
      <c r="C928" s="2">
        <f ca="1">INDEX(Simulations!$A$1:$BK$2501, 928, MATCH("RevCAGR", Simulations!$A$1:$BK$1, 0))</f>
        <v>2.2489952503298088E-2</v>
      </c>
      <c r="D928" s="2">
        <f ca="1">INDEX(Simulations!$A$1:$BK$2501, 928, MATCH("SynMargin", Simulations!$A$1:$BK$1, 0))</f>
        <v>2.0794241079013578E-2</v>
      </c>
      <c r="E928" s="2">
        <f ca="1">INDEX(Simulations!$A$1:$BK$2501, 928, MATCH("Yr1Shock", Simulations!$A$1:$BK$1, 0))</f>
        <v>1.8185244103816355E-2</v>
      </c>
    </row>
    <row r="929" spans="1:5" x14ac:dyDescent="0.3">
      <c r="A929" s="2">
        <f ca="1">INDEX(Simulations!$A$1:$BK$2501, 929, MATCH("PurchaseMultiple", Simulations!$A$1:$BK$1, 0))</f>
        <v>6.9627736252054087</v>
      </c>
      <c r="B929" s="2">
        <f ca="1">INDEX(Simulations!$A$1:$BK$2501, 929, MATCH("ExitMultiple", Simulations!$A$1:$BK$1, 0))</f>
        <v>6.7561879569685273</v>
      </c>
      <c r="C929" s="2">
        <f ca="1">INDEX(Simulations!$A$1:$BK$2501, 929, MATCH("RevCAGR", Simulations!$A$1:$BK$1, 0))</f>
        <v>1.0505004272111235E-3</v>
      </c>
      <c r="D929" s="2">
        <f ca="1">INDEX(Simulations!$A$1:$BK$2501, 929, MATCH("SynMargin", Simulations!$A$1:$BK$1, 0))</f>
        <v>1.5533143127502867E-2</v>
      </c>
      <c r="E929" s="2">
        <f ca="1">INDEX(Simulations!$A$1:$BK$2501, 929, MATCH("Yr1Shock", Simulations!$A$1:$BK$1, 0))</f>
        <v>-1.5262530426427001E-2</v>
      </c>
    </row>
    <row r="930" spans="1:5" x14ac:dyDescent="0.3">
      <c r="A930" s="2">
        <f ca="1">INDEX(Simulations!$A$1:$BK$2501, 930, MATCH("PurchaseMultiple", Simulations!$A$1:$BK$1, 0))</f>
        <v>6.5540983267718973</v>
      </c>
      <c r="B930" s="2">
        <f ca="1">INDEX(Simulations!$A$1:$BK$2501, 930, MATCH("ExitMultiple", Simulations!$A$1:$BK$1, 0))</f>
        <v>7.2574655065866249</v>
      </c>
      <c r="C930" s="2">
        <f ca="1">INDEX(Simulations!$A$1:$BK$2501, 930, MATCH("RevCAGR", Simulations!$A$1:$BK$1, 0))</f>
        <v>2.4494678069821831E-2</v>
      </c>
      <c r="D930" s="2">
        <f ca="1">INDEX(Simulations!$A$1:$BK$2501, 930, MATCH("SynMargin", Simulations!$A$1:$BK$1, 0))</f>
        <v>1.5521126870087706E-2</v>
      </c>
      <c r="E930" s="2">
        <f ca="1">INDEX(Simulations!$A$1:$BK$2501, 930, MATCH("Yr1Shock", Simulations!$A$1:$BK$1, 0))</f>
        <v>5.4995478918509555E-3</v>
      </c>
    </row>
    <row r="931" spans="1:5" x14ac:dyDescent="0.3">
      <c r="A931" s="2">
        <f ca="1">INDEX(Simulations!$A$1:$BK$2501, 931, MATCH("PurchaseMultiple", Simulations!$A$1:$BK$1, 0))</f>
        <v>7.3006620899245345</v>
      </c>
      <c r="B931" s="2">
        <f ca="1">INDEX(Simulations!$A$1:$BK$2501, 931, MATCH("ExitMultiple", Simulations!$A$1:$BK$1, 0))</f>
        <v>7.6912246886700855</v>
      </c>
      <c r="C931" s="2">
        <f ca="1">INDEX(Simulations!$A$1:$BK$2501, 931, MATCH("RevCAGR", Simulations!$A$1:$BK$1, 0))</f>
        <v>2.9999358997919556E-2</v>
      </c>
      <c r="D931" s="2">
        <f ca="1">INDEX(Simulations!$A$1:$BK$2501, 931, MATCH("SynMargin", Simulations!$A$1:$BK$1, 0))</f>
        <v>5.6842607507589299E-3</v>
      </c>
      <c r="E931" s="2">
        <f ca="1">INDEX(Simulations!$A$1:$BK$2501, 931, MATCH("Yr1Shock", Simulations!$A$1:$BK$1, 0))</f>
        <v>-1.5068127727290347E-2</v>
      </c>
    </row>
    <row r="932" spans="1:5" x14ac:dyDescent="0.3">
      <c r="A932" s="2">
        <f ca="1">INDEX(Simulations!$A$1:$BK$2501, 932, MATCH("PurchaseMultiple", Simulations!$A$1:$BK$1, 0))</f>
        <v>7.2517738854735301</v>
      </c>
      <c r="B932" s="2">
        <f ca="1">INDEX(Simulations!$A$1:$BK$2501, 932, MATCH("ExitMultiple", Simulations!$A$1:$BK$1, 0))</f>
        <v>6.6472249967193129</v>
      </c>
      <c r="C932" s="2">
        <f ca="1">INDEX(Simulations!$A$1:$BK$2501, 932, MATCH("RevCAGR", Simulations!$A$1:$BK$1, 0))</f>
        <v>4.5200703794393102E-2</v>
      </c>
      <c r="D932" s="2">
        <f ca="1">INDEX(Simulations!$A$1:$BK$2501, 932, MATCH("SynMargin", Simulations!$A$1:$BK$1, 0))</f>
        <v>5.5379360017075233E-3</v>
      </c>
      <c r="E932" s="2">
        <f ca="1">INDEX(Simulations!$A$1:$BK$2501, 932, MATCH("Yr1Shock", Simulations!$A$1:$BK$1, 0))</f>
        <v>-2.3576622913440551E-2</v>
      </c>
    </row>
    <row r="933" spans="1:5" x14ac:dyDescent="0.3">
      <c r="A933" s="2">
        <f ca="1">INDEX(Simulations!$A$1:$BK$2501, 933, MATCH("PurchaseMultiple", Simulations!$A$1:$BK$1, 0))</f>
        <v>6.4861326109862061</v>
      </c>
      <c r="B933" s="2">
        <f ca="1">INDEX(Simulations!$A$1:$BK$2501, 933, MATCH("ExitMultiple", Simulations!$A$1:$BK$1, 0))</f>
        <v>7.4674226529496934</v>
      </c>
      <c r="C933" s="2">
        <f ca="1">INDEX(Simulations!$A$1:$BK$2501, 933, MATCH("RevCAGR", Simulations!$A$1:$BK$1, 0))</f>
        <v>-4.3427849254011677E-3</v>
      </c>
      <c r="D933" s="2">
        <f ca="1">INDEX(Simulations!$A$1:$BK$2501, 933, MATCH("SynMargin", Simulations!$A$1:$BK$1, 0))</f>
        <v>8.2724150977678979E-3</v>
      </c>
      <c r="E933" s="2">
        <f ca="1">INDEX(Simulations!$A$1:$BK$2501, 933, MATCH("Yr1Shock", Simulations!$A$1:$BK$1, 0))</f>
        <v>2.0354265058871541E-3</v>
      </c>
    </row>
    <row r="934" spans="1:5" x14ac:dyDescent="0.3">
      <c r="A934" s="2">
        <f ca="1">INDEX(Simulations!$A$1:$BK$2501, 934, MATCH("PurchaseMultiple", Simulations!$A$1:$BK$1, 0))</f>
        <v>6.695956137581474</v>
      </c>
      <c r="B934" s="2">
        <f ca="1">INDEX(Simulations!$A$1:$BK$2501, 934, MATCH("ExitMultiple", Simulations!$A$1:$BK$1, 0))</f>
        <v>7.7388187495515668</v>
      </c>
      <c r="C934" s="2">
        <f ca="1">INDEX(Simulations!$A$1:$BK$2501, 934, MATCH("RevCAGR", Simulations!$A$1:$BK$1, 0))</f>
        <v>1.4832097536598289E-2</v>
      </c>
      <c r="D934" s="2">
        <f ca="1">INDEX(Simulations!$A$1:$BK$2501, 934, MATCH("SynMargin", Simulations!$A$1:$BK$1, 0))</f>
        <v>4.4066792828090263E-3</v>
      </c>
      <c r="E934" s="2">
        <f ca="1">INDEX(Simulations!$A$1:$BK$2501, 934, MATCH("Yr1Shock", Simulations!$A$1:$BK$1, 0))</f>
        <v>3.2227116663149581E-3</v>
      </c>
    </row>
    <row r="935" spans="1:5" x14ac:dyDescent="0.3">
      <c r="A935" s="2">
        <f ca="1">INDEX(Simulations!$A$1:$BK$2501, 935, MATCH("PurchaseMultiple", Simulations!$A$1:$BK$1, 0))</f>
        <v>7.5743691574375189</v>
      </c>
      <c r="B935" s="2">
        <f ca="1">INDEX(Simulations!$A$1:$BK$2501, 935, MATCH("ExitMultiple", Simulations!$A$1:$BK$1, 0))</f>
        <v>7.6253017256360547</v>
      </c>
      <c r="C935" s="2">
        <f ca="1">INDEX(Simulations!$A$1:$BK$2501, 935, MATCH("RevCAGR", Simulations!$A$1:$BK$1, 0))</f>
        <v>5.4601654769671562E-2</v>
      </c>
      <c r="D935" s="2">
        <f ca="1">INDEX(Simulations!$A$1:$BK$2501, 935, MATCH("SynMargin", Simulations!$A$1:$BK$1, 0))</f>
        <v>1.228639929395902E-2</v>
      </c>
      <c r="E935" s="2">
        <f ca="1">INDEX(Simulations!$A$1:$BK$2501, 935, MATCH("Yr1Shock", Simulations!$A$1:$BK$1, 0))</f>
        <v>-1.3579271778574589E-2</v>
      </c>
    </row>
    <row r="936" spans="1:5" x14ac:dyDescent="0.3">
      <c r="A936" s="2">
        <f ca="1">INDEX(Simulations!$A$1:$BK$2501, 936, MATCH("PurchaseMultiple", Simulations!$A$1:$BK$1, 0))</f>
        <v>7.254574063034263</v>
      </c>
      <c r="B936" s="2">
        <f ca="1">INDEX(Simulations!$A$1:$BK$2501, 936, MATCH("ExitMultiple", Simulations!$A$1:$BK$1, 0))</f>
        <v>7.6153509407607878</v>
      </c>
      <c r="C936" s="2">
        <f ca="1">INDEX(Simulations!$A$1:$BK$2501, 936, MATCH("RevCAGR", Simulations!$A$1:$BK$1, 0))</f>
        <v>7.2143021456779394E-2</v>
      </c>
      <c r="D936" s="2">
        <f ca="1">INDEX(Simulations!$A$1:$BK$2501, 936, MATCH("SynMargin", Simulations!$A$1:$BK$1, 0))</f>
        <v>6.8813862650542318E-3</v>
      </c>
      <c r="E936" s="2">
        <f ca="1">INDEX(Simulations!$A$1:$BK$2501, 936, MATCH("Yr1Shock", Simulations!$A$1:$BK$1, 0))</f>
        <v>1.8649561525589244E-2</v>
      </c>
    </row>
    <row r="937" spans="1:5" x14ac:dyDescent="0.3">
      <c r="A937" s="2">
        <f ca="1">INDEX(Simulations!$A$1:$BK$2501, 937, MATCH("PurchaseMultiple", Simulations!$A$1:$BK$1, 0))</f>
        <v>7.4515100504088618</v>
      </c>
      <c r="B937" s="2">
        <f ca="1">INDEX(Simulations!$A$1:$BK$2501, 937, MATCH("ExitMultiple", Simulations!$A$1:$BK$1, 0))</f>
        <v>7.4866762028309761</v>
      </c>
      <c r="C937" s="2">
        <f ca="1">INDEX(Simulations!$A$1:$BK$2501, 937, MATCH("RevCAGR", Simulations!$A$1:$BK$1, 0))</f>
        <v>4.6019066242890906E-2</v>
      </c>
      <c r="D937" s="2">
        <f ca="1">INDEX(Simulations!$A$1:$BK$2501, 937, MATCH("SynMargin", Simulations!$A$1:$BK$1, 0))</f>
        <v>7.2893323463686602E-3</v>
      </c>
      <c r="E937" s="2">
        <f ca="1">INDEX(Simulations!$A$1:$BK$2501, 937, MATCH("Yr1Shock", Simulations!$A$1:$BK$1, 0))</f>
        <v>3.5165564522670285E-2</v>
      </c>
    </row>
    <row r="938" spans="1:5" x14ac:dyDescent="0.3">
      <c r="A938" s="2">
        <f ca="1">INDEX(Simulations!$A$1:$BK$2501, 938, MATCH("PurchaseMultiple", Simulations!$A$1:$BK$1, 0))</f>
        <v>7.0341784162362115</v>
      </c>
      <c r="B938" s="2">
        <f ca="1">INDEX(Simulations!$A$1:$BK$2501, 938, MATCH("ExitMultiple", Simulations!$A$1:$BK$1, 0))</f>
        <v>7.9836126658966213</v>
      </c>
      <c r="C938" s="2">
        <f ca="1">INDEX(Simulations!$A$1:$BK$2501, 938, MATCH("RevCAGR", Simulations!$A$1:$BK$1, 0))</f>
        <v>4.4738302208248239E-2</v>
      </c>
      <c r="D938" s="2">
        <f ca="1">INDEX(Simulations!$A$1:$BK$2501, 938, MATCH("SynMargin", Simulations!$A$1:$BK$1, 0))</f>
        <v>1.4642504520474366E-2</v>
      </c>
      <c r="E938" s="2">
        <f ca="1">INDEX(Simulations!$A$1:$BK$2501, 938, MATCH("Yr1Shock", Simulations!$A$1:$BK$1, 0))</f>
        <v>-5.1353484925101261E-3</v>
      </c>
    </row>
    <row r="939" spans="1:5" x14ac:dyDescent="0.3">
      <c r="A939" s="2">
        <f ca="1">INDEX(Simulations!$A$1:$BK$2501, 939, MATCH("PurchaseMultiple", Simulations!$A$1:$BK$1, 0))</f>
        <v>7.0660444546098375</v>
      </c>
      <c r="B939" s="2">
        <f ca="1">INDEX(Simulations!$A$1:$BK$2501, 939, MATCH("ExitMultiple", Simulations!$A$1:$BK$1, 0))</f>
        <v>7.3432805488242661</v>
      </c>
      <c r="C939" s="2">
        <f ca="1">INDEX(Simulations!$A$1:$BK$2501, 939, MATCH("RevCAGR", Simulations!$A$1:$BK$1, 0))</f>
        <v>4.3379590024722477E-2</v>
      </c>
      <c r="D939" s="2">
        <f ca="1">INDEX(Simulations!$A$1:$BK$2501, 939, MATCH("SynMargin", Simulations!$A$1:$BK$1, 0))</f>
        <v>1.4110266911514513E-2</v>
      </c>
      <c r="E939" s="2">
        <f ca="1">INDEX(Simulations!$A$1:$BK$2501, 939, MATCH("Yr1Shock", Simulations!$A$1:$BK$1, 0))</f>
        <v>2.04476327896217E-3</v>
      </c>
    </row>
    <row r="940" spans="1:5" x14ac:dyDescent="0.3">
      <c r="A940" s="2">
        <f ca="1">INDEX(Simulations!$A$1:$BK$2501, 940, MATCH("PurchaseMultiple", Simulations!$A$1:$BK$1, 0))</f>
        <v>7.3847198814975554</v>
      </c>
      <c r="B940" s="2">
        <f ca="1">INDEX(Simulations!$A$1:$BK$2501, 940, MATCH("ExitMultiple", Simulations!$A$1:$BK$1, 0))</f>
        <v>7.0861251411877717</v>
      </c>
      <c r="C940" s="2">
        <f ca="1">INDEX(Simulations!$A$1:$BK$2501, 940, MATCH("RevCAGR", Simulations!$A$1:$BK$1, 0))</f>
        <v>6.0615149470016311E-2</v>
      </c>
      <c r="D940" s="2">
        <f ca="1">INDEX(Simulations!$A$1:$BK$2501, 940, MATCH("SynMargin", Simulations!$A$1:$BK$1, 0))</f>
        <v>3.9107434054972672E-3</v>
      </c>
      <c r="E940" s="2">
        <f ca="1">INDEX(Simulations!$A$1:$BK$2501, 940, MATCH("Yr1Shock", Simulations!$A$1:$BK$1, 0))</f>
        <v>9.4296462329989394E-3</v>
      </c>
    </row>
    <row r="941" spans="1:5" x14ac:dyDescent="0.3">
      <c r="A941" s="2">
        <f ca="1">INDEX(Simulations!$A$1:$BK$2501, 941, MATCH("PurchaseMultiple", Simulations!$A$1:$BK$1, 0))</f>
        <v>7.6021410323076211</v>
      </c>
      <c r="B941" s="2">
        <f ca="1">INDEX(Simulations!$A$1:$BK$2501, 941, MATCH("ExitMultiple", Simulations!$A$1:$BK$1, 0))</f>
        <v>7.5408391794325569</v>
      </c>
      <c r="C941" s="2">
        <f ca="1">INDEX(Simulations!$A$1:$BK$2501, 941, MATCH("RevCAGR", Simulations!$A$1:$BK$1, 0))</f>
        <v>2.465093394716119E-2</v>
      </c>
      <c r="D941" s="2">
        <f ca="1">INDEX(Simulations!$A$1:$BK$2501, 941, MATCH("SynMargin", Simulations!$A$1:$BK$1, 0))</f>
        <v>6.1657691717718309E-3</v>
      </c>
      <c r="E941" s="2">
        <f ca="1">INDEX(Simulations!$A$1:$BK$2501, 941, MATCH("Yr1Shock", Simulations!$A$1:$BK$1, 0))</f>
        <v>9.6051205902750909E-3</v>
      </c>
    </row>
    <row r="942" spans="1:5" x14ac:dyDescent="0.3">
      <c r="A942" s="2">
        <f ca="1">INDEX(Simulations!$A$1:$BK$2501, 942, MATCH("PurchaseMultiple", Simulations!$A$1:$BK$1, 0))</f>
        <v>6.9104869560646733</v>
      </c>
      <c r="B942" s="2">
        <f ca="1">INDEX(Simulations!$A$1:$BK$2501, 942, MATCH("ExitMultiple", Simulations!$A$1:$BK$1, 0))</f>
        <v>6.8236992362515068</v>
      </c>
      <c r="C942" s="2">
        <f ca="1">INDEX(Simulations!$A$1:$BK$2501, 942, MATCH("RevCAGR", Simulations!$A$1:$BK$1, 0))</f>
        <v>-8.8533471662459104E-3</v>
      </c>
      <c r="D942" s="2">
        <f ca="1">INDEX(Simulations!$A$1:$BK$2501, 942, MATCH("SynMargin", Simulations!$A$1:$BK$1, 0))</f>
        <v>1.7459276833532662E-2</v>
      </c>
      <c r="E942" s="2">
        <f ca="1">INDEX(Simulations!$A$1:$BK$2501, 942, MATCH("Yr1Shock", Simulations!$A$1:$BK$1, 0))</f>
        <v>-3.1055765118194988E-3</v>
      </c>
    </row>
    <row r="943" spans="1:5" x14ac:dyDescent="0.3">
      <c r="A943" s="2">
        <f ca="1">INDEX(Simulations!$A$1:$BK$2501, 943, MATCH("PurchaseMultiple", Simulations!$A$1:$BK$1, 0))</f>
        <v>7.2239050568768581</v>
      </c>
      <c r="B943" s="2">
        <f ca="1">INDEX(Simulations!$A$1:$BK$2501, 943, MATCH("ExitMultiple", Simulations!$A$1:$BK$1, 0))</f>
        <v>7.7003854241870879</v>
      </c>
      <c r="C943" s="2">
        <f ca="1">INDEX(Simulations!$A$1:$BK$2501, 943, MATCH("RevCAGR", Simulations!$A$1:$BK$1, 0))</f>
        <v>7.9652101285836746E-2</v>
      </c>
      <c r="D943" s="2">
        <f ca="1">INDEX(Simulations!$A$1:$BK$2501, 943, MATCH("SynMargin", Simulations!$A$1:$BK$1, 0))</f>
        <v>1.672618935293636E-2</v>
      </c>
      <c r="E943" s="2">
        <f ca="1">INDEX(Simulations!$A$1:$BK$2501, 943, MATCH("Yr1Shock", Simulations!$A$1:$BK$1, 0))</f>
        <v>-2.2077343371479884E-2</v>
      </c>
    </row>
    <row r="944" spans="1:5" x14ac:dyDescent="0.3">
      <c r="A944" s="2">
        <f ca="1">INDEX(Simulations!$A$1:$BK$2501, 944, MATCH("PurchaseMultiple", Simulations!$A$1:$BK$1, 0))</f>
        <v>7.0454893304873778</v>
      </c>
      <c r="B944" s="2">
        <f ca="1">INDEX(Simulations!$A$1:$BK$2501, 944, MATCH("ExitMultiple", Simulations!$A$1:$BK$1, 0))</f>
        <v>7.8866896800064925</v>
      </c>
      <c r="C944" s="2">
        <f ca="1">INDEX(Simulations!$A$1:$BK$2501, 944, MATCH("RevCAGR", Simulations!$A$1:$BK$1, 0))</f>
        <v>3.7955177594602013E-3</v>
      </c>
      <c r="D944" s="2">
        <f ca="1">INDEX(Simulations!$A$1:$BK$2501, 944, MATCH("SynMargin", Simulations!$A$1:$BK$1, 0))</f>
        <v>1.1602120000300595E-2</v>
      </c>
      <c r="E944" s="2">
        <f ca="1">INDEX(Simulations!$A$1:$BK$2501, 944, MATCH("Yr1Shock", Simulations!$A$1:$BK$1, 0))</f>
        <v>-1.8021051682626642E-2</v>
      </c>
    </row>
    <row r="945" spans="1:5" x14ac:dyDescent="0.3">
      <c r="A945" s="2">
        <f ca="1">INDEX(Simulations!$A$1:$BK$2501, 945, MATCH("PurchaseMultiple", Simulations!$A$1:$BK$1, 0))</f>
        <v>6.9194712858594052</v>
      </c>
      <c r="B945" s="2">
        <f ca="1">INDEX(Simulations!$A$1:$BK$2501, 945, MATCH("ExitMultiple", Simulations!$A$1:$BK$1, 0))</f>
        <v>8.2572751432376865</v>
      </c>
      <c r="C945" s="2">
        <f ca="1">INDEX(Simulations!$A$1:$BK$2501, 945, MATCH("RevCAGR", Simulations!$A$1:$BK$1, 0))</f>
        <v>5.1907930849020179E-2</v>
      </c>
      <c r="D945" s="2">
        <f ca="1">INDEX(Simulations!$A$1:$BK$2501, 945, MATCH("SynMargin", Simulations!$A$1:$BK$1, 0))</f>
        <v>6.0315205853557086E-3</v>
      </c>
      <c r="E945" s="2">
        <f ca="1">INDEX(Simulations!$A$1:$BK$2501, 945, MATCH("Yr1Shock", Simulations!$A$1:$BK$1, 0))</f>
        <v>1.2031970288678577E-2</v>
      </c>
    </row>
    <row r="946" spans="1:5" x14ac:dyDescent="0.3">
      <c r="A946" s="2">
        <f ca="1">INDEX(Simulations!$A$1:$BK$2501, 946, MATCH("PurchaseMultiple", Simulations!$A$1:$BK$1, 0))</f>
        <v>6.3408589971051939</v>
      </c>
      <c r="B946" s="2">
        <f ca="1">INDEX(Simulations!$A$1:$BK$2501, 946, MATCH("ExitMultiple", Simulations!$A$1:$BK$1, 0))</f>
        <v>8.2218487476402622</v>
      </c>
      <c r="C946" s="2">
        <f ca="1">INDEX(Simulations!$A$1:$BK$2501, 946, MATCH("RevCAGR", Simulations!$A$1:$BK$1, 0))</f>
        <v>5.524844883195365E-4</v>
      </c>
      <c r="D946" s="2">
        <f ca="1">INDEX(Simulations!$A$1:$BK$2501, 946, MATCH("SynMargin", Simulations!$A$1:$BK$1, 0))</f>
        <v>1.4670616867542742E-2</v>
      </c>
      <c r="E946" s="2">
        <f ca="1">INDEX(Simulations!$A$1:$BK$2501, 946, MATCH("Yr1Shock", Simulations!$A$1:$BK$1, 0))</f>
        <v>-1.8074640821690763E-2</v>
      </c>
    </row>
    <row r="947" spans="1:5" x14ac:dyDescent="0.3">
      <c r="A947" s="2">
        <f ca="1">INDEX(Simulations!$A$1:$BK$2501, 947, MATCH("PurchaseMultiple", Simulations!$A$1:$BK$1, 0))</f>
        <v>7.8292628995506623</v>
      </c>
      <c r="B947" s="2">
        <f ca="1">INDEX(Simulations!$A$1:$BK$2501, 947, MATCH("ExitMultiple", Simulations!$A$1:$BK$1, 0))</f>
        <v>7.2930040514419101</v>
      </c>
      <c r="C947" s="2">
        <f ca="1">INDEX(Simulations!$A$1:$BK$2501, 947, MATCH("RevCAGR", Simulations!$A$1:$BK$1, 0))</f>
        <v>3.5320988376972194E-2</v>
      </c>
      <c r="D947" s="2">
        <f ca="1">INDEX(Simulations!$A$1:$BK$2501, 947, MATCH("SynMargin", Simulations!$A$1:$BK$1, 0))</f>
        <v>5.5173300645285275E-3</v>
      </c>
      <c r="E947" s="2">
        <f ca="1">INDEX(Simulations!$A$1:$BK$2501, 947, MATCH("Yr1Shock", Simulations!$A$1:$BK$1, 0))</f>
        <v>-3.9164911548950762E-3</v>
      </c>
    </row>
    <row r="948" spans="1:5" x14ac:dyDescent="0.3">
      <c r="A948" s="2">
        <f ca="1">INDEX(Simulations!$A$1:$BK$2501, 948, MATCH("PurchaseMultiple", Simulations!$A$1:$BK$1, 0))</f>
        <v>6.2443780416939925</v>
      </c>
      <c r="B948" s="2">
        <f ca="1">INDEX(Simulations!$A$1:$BK$2501, 948, MATCH("ExitMultiple", Simulations!$A$1:$BK$1, 0))</f>
        <v>7.7505276838718196</v>
      </c>
      <c r="C948" s="2">
        <f ca="1">INDEX(Simulations!$A$1:$BK$2501, 948, MATCH("RevCAGR", Simulations!$A$1:$BK$1, 0))</f>
        <v>7.144943667693554E-2</v>
      </c>
      <c r="D948" s="2">
        <f ca="1">INDEX(Simulations!$A$1:$BK$2501, 948, MATCH("SynMargin", Simulations!$A$1:$BK$1, 0))</f>
        <v>1.602578032492764E-2</v>
      </c>
      <c r="E948" s="2">
        <f ca="1">INDEX(Simulations!$A$1:$BK$2501, 948, MATCH("Yr1Shock", Simulations!$A$1:$BK$1, 0))</f>
        <v>1.8119674643001012E-2</v>
      </c>
    </row>
    <row r="949" spans="1:5" x14ac:dyDescent="0.3">
      <c r="A949" s="2">
        <f ca="1">INDEX(Simulations!$A$1:$BK$2501, 949, MATCH("PurchaseMultiple", Simulations!$A$1:$BK$1, 0))</f>
        <v>6.7707054835939875</v>
      </c>
      <c r="B949" s="2">
        <f ca="1">INDEX(Simulations!$A$1:$BK$2501, 949, MATCH("ExitMultiple", Simulations!$A$1:$BK$1, 0))</f>
        <v>7.7351704284675025</v>
      </c>
      <c r="C949" s="2">
        <f ca="1">INDEX(Simulations!$A$1:$BK$2501, 949, MATCH("RevCAGR", Simulations!$A$1:$BK$1, 0))</f>
        <v>6.2485093380929897E-2</v>
      </c>
      <c r="D949" s="2">
        <f ca="1">INDEX(Simulations!$A$1:$BK$2501, 949, MATCH("SynMargin", Simulations!$A$1:$BK$1, 0))</f>
        <v>6.3340010189629307E-3</v>
      </c>
      <c r="E949" s="2">
        <f ca="1">INDEX(Simulations!$A$1:$BK$2501, 949, MATCH("Yr1Shock", Simulations!$A$1:$BK$1, 0))</f>
        <v>-2.4423605376908252E-3</v>
      </c>
    </row>
    <row r="950" spans="1:5" x14ac:dyDescent="0.3">
      <c r="A950" s="2">
        <f ca="1">INDEX(Simulations!$A$1:$BK$2501, 950, MATCH("PurchaseMultiple", Simulations!$A$1:$BK$1, 0))</f>
        <v>6.9734096268984302</v>
      </c>
      <c r="B950" s="2">
        <f ca="1">INDEX(Simulations!$A$1:$BK$2501, 950, MATCH("ExitMultiple", Simulations!$A$1:$BK$1, 0))</f>
        <v>7.7003499391222228</v>
      </c>
      <c r="C950" s="2">
        <f ca="1">INDEX(Simulations!$A$1:$BK$2501, 950, MATCH("RevCAGR", Simulations!$A$1:$BK$1, 0))</f>
        <v>5.2484743990929089E-2</v>
      </c>
      <c r="D950" s="2">
        <f ca="1">INDEX(Simulations!$A$1:$BK$2501, 950, MATCH("SynMargin", Simulations!$A$1:$BK$1, 0))</f>
        <v>1.0723049797324113E-2</v>
      </c>
      <c r="E950" s="2">
        <f ca="1">INDEX(Simulations!$A$1:$BK$2501, 950, MATCH("Yr1Shock", Simulations!$A$1:$BK$1, 0))</f>
        <v>5.2784349070884489E-3</v>
      </c>
    </row>
    <row r="951" spans="1:5" x14ac:dyDescent="0.3">
      <c r="A951" s="2">
        <f ca="1">INDEX(Simulations!$A$1:$BK$2501, 951, MATCH("PurchaseMultiple", Simulations!$A$1:$BK$1, 0))</f>
        <v>7.0882078916354549</v>
      </c>
      <c r="B951" s="2">
        <f ca="1">INDEX(Simulations!$A$1:$BK$2501, 951, MATCH("ExitMultiple", Simulations!$A$1:$BK$1, 0))</f>
        <v>8.0243711937928293</v>
      </c>
      <c r="C951" s="2">
        <f ca="1">INDEX(Simulations!$A$1:$BK$2501, 951, MATCH("RevCAGR", Simulations!$A$1:$BK$1, 0))</f>
        <v>5.5058333140794599E-2</v>
      </c>
      <c r="D951" s="2">
        <f ca="1">INDEX(Simulations!$A$1:$BK$2501, 951, MATCH("SynMargin", Simulations!$A$1:$BK$1, 0))</f>
        <v>3.8345273833272006E-3</v>
      </c>
      <c r="E951" s="2">
        <f ca="1">INDEX(Simulations!$A$1:$BK$2501, 951, MATCH("Yr1Shock", Simulations!$A$1:$BK$1, 0))</f>
        <v>2.6704013721003519E-2</v>
      </c>
    </row>
    <row r="952" spans="1:5" x14ac:dyDescent="0.3">
      <c r="A952" s="2">
        <f ca="1">INDEX(Simulations!$A$1:$BK$2501, 952, MATCH("PurchaseMultiple", Simulations!$A$1:$BK$1, 0))</f>
        <v>6.1924664943563297</v>
      </c>
      <c r="B952" s="2">
        <f ca="1">INDEX(Simulations!$A$1:$BK$2501, 952, MATCH("ExitMultiple", Simulations!$A$1:$BK$1, 0))</f>
        <v>7.8764656494681873</v>
      </c>
      <c r="C952" s="2">
        <f ca="1">INDEX(Simulations!$A$1:$BK$2501, 952, MATCH("RevCAGR", Simulations!$A$1:$BK$1, 0))</f>
        <v>4.4729766805460293E-2</v>
      </c>
      <c r="D952" s="2">
        <f ca="1">INDEX(Simulations!$A$1:$BK$2501, 952, MATCH("SynMargin", Simulations!$A$1:$BK$1, 0))</f>
        <v>1.2721945919076577E-2</v>
      </c>
      <c r="E952" s="2">
        <f ca="1">INDEX(Simulations!$A$1:$BK$2501, 952, MATCH("Yr1Shock", Simulations!$A$1:$BK$1, 0))</f>
        <v>1.8688744153027674E-2</v>
      </c>
    </row>
    <row r="953" spans="1:5" x14ac:dyDescent="0.3">
      <c r="A953" s="2">
        <f ca="1">INDEX(Simulations!$A$1:$BK$2501, 953, MATCH("PurchaseMultiple", Simulations!$A$1:$BK$1, 0))</f>
        <v>6.7976605534877166</v>
      </c>
      <c r="B953" s="2">
        <f ca="1">INDEX(Simulations!$A$1:$BK$2501, 953, MATCH("ExitMultiple", Simulations!$A$1:$BK$1, 0))</f>
        <v>7.0135976639591133</v>
      </c>
      <c r="C953" s="2">
        <f ca="1">INDEX(Simulations!$A$1:$BK$2501, 953, MATCH("RevCAGR", Simulations!$A$1:$BK$1, 0))</f>
        <v>2.3616264400316087E-2</v>
      </c>
      <c r="D953" s="2">
        <f ca="1">INDEX(Simulations!$A$1:$BK$2501, 953, MATCH("SynMargin", Simulations!$A$1:$BK$1, 0))</f>
        <v>1.5227591850473541E-2</v>
      </c>
      <c r="E953" s="2">
        <f ca="1">INDEX(Simulations!$A$1:$BK$2501, 953, MATCH("Yr1Shock", Simulations!$A$1:$BK$1, 0))</f>
        <v>-1.7965826106175822E-2</v>
      </c>
    </row>
    <row r="954" spans="1:5" x14ac:dyDescent="0.3">
      <c r="A954" s="2">
        <f ca="1">INDEX(Simulations!$A$1:$BK$2501, 954, MATCH("PurchaseMultiple", Simulations!$A$1:$BK$1, 0))</f>
        <v>7.0154812172691781</v>
      </c>
      <c r="B954" s="2">
        <f ca="1">INDEX(Simulations!$A$1:$BK$2501, 954, MATCH("ExitMultiple", Simulations!$A$1:$BK$1, 0))</f>
        <v>6.9795262870351689</v>
      </c>
      <c r="C954" s="2">
        <f ca="1">INDEX(Simulations!$A$1:$BK$2501, 954, MATCH("RevCAGR", Simulations!$A$1:$BK$1, 0))</f>
        <v>2.4075584923759143E-2</v>
      </c>
      <c r="D954" s="2">
        <f ca="1">INDEX(Simulations!$A$1:$BK$2501, 954, MATCH("SynMargin", Simulations!$A$1:$BK$1, 0))</f>
        <v>1.1126171860559224E-2</v>
      </c>
      <c r="E954" s="2">
        <f ca="1">INDEX(Simulations!$A$1:$BK$2501, 954, MATCH("Yr1Shock", Simulations!$A$1:$BK$1, 0))</f>
        <v>-8.7648699106342466E-3</v>
      </c>
    </row>
    <row r="955" spans="1:5" x14ac:dyDescent="0.3">
      <c r="A955" s="2">
        <f ca="1">INDEX(Simulations!$A$1:$BK$2501, 955, MATCH("PurchaseMultiple", Simulations!$A$1:$BK$1, 0))</f>
        <v>7.5259049702240297</v>
      </c>
      <c r="B955" s="2">
        <f ca="1">INDEX(Simulations!$A$1:$BK$2501, 955, MATCH("ExitMultiple", Simulations!$A$1:$BK$1, 0))</f>
        <v>7.7951516486432073</v>
      </c>
      <c r="C955" s="2">
        <f ca="1">INDEX(Simulations!$A$1:$BK$2501, 955, MATCH("RevCAGR", Simulations!$A$1:$BK$1, 0))</f>
        <v>6.2145613868822086E-2</v>
      </c>
      <c r="D955" s="2">
        <f ca="1">INDEX(Simulations!$A$1:$BK$2501, 955, MATCH("SynMargin", Simulations!$A$1:$BK$1, 0))</f>
        <v>1.6582576823852301E-2</v>
      </c>
      <c r="E955" s="2">
        <f ca="1">INDEX(Simulations!$A$1:$BK$2501, 955, MATCH("Yr1Shock", Simulations!$A$1:$BK$1, 0))</f>
        <v>-2.4725068891410417E-2</v>
      </c>
    </row>
    <row r="956" spans="1:5" x14ac:dyDescent="0.3">
      <c r="A956" s="2">
        <f ca="1">INDEX(Simulations!$A$1:$BK$2501, 956, MATCH("PurchaseMultiple", Simulations!$A$1:$BK$1, 0))</f>
        <v>6.859651804774578</v>
      </c>
      <c r="B956" s="2">
        <f ca="1">INDEX(Simulations!$A$1:$BK$2501, 956, MATCH("ExitMultiple", Simulations!$A$1:$BK$1, 0))</f>
        <v>7.7029854763101362</v>
      </c>
      <c r="C956" s="2">
        <f ca="1">INDEX(Simulations!$A$1:$BK$2501, 956, MATCH("RevCAGR", Simulations!$A$1:$BK$1, 0))</f>
        <v>2.3754752446804018E-2</v>
      </c>
      <c r="D956" s="2">
        <f ca="1">INDEX(Simulations!$A$1:$BK$2501, 956, MATCH("SynMargin", Simulations!$A$1:$BK$1, 0))</f>
        <v>1.8186092118312402E-2</v>
      </c>
      <c r="E956" s="2">
        <f ca="1">INDEX(Simulations!$A$1:$BK$2501, 956, MATCH("Yr1Shock", Simulations!$A$1:$BK$1, 0))</f>
        <v>-1.1417133505915578E-2</v>
      </c>
    </row>
    <row r="957" spans="1:5" x14ac:dyDescent="0.3">
      <c r="A957" s="2">
        <f ca="1">INDEX(Simulations!$A$1:$BK$2501, 957, MATCH("PurchaseMultiple", Simulations!$A$1:$BK$1, 0))</f>
        <v>6.6776312484503411</v>
      </c>
      <c r="B957" s="2">
        <f ca="1">INDEX(Simulations!$A$1:$BK$2501, 957, MATCH("ExitMultiple", Simulations!$A$1:$BK$1, 0))</f>
        <v>7.8654815708238086</v>
      </c>
      <c r="C957" s="2">
        <f ca="1">INDEX(Simulations!$A$1:$BK$2501, 957, MATCH("RevCAGR", Simulations!$A$1:$BK$1, 0))</f>
        <v>8.7156163077344556E-2</v>
      </c>
      <c r="D957" s="2">
        <f ca="1">INDEX(Simulations!$A$1:$BK$2501, 957, MATCH("SynMargin", Simulations!$A$1:$BK$1, 0))</f>
        <v>1.1319276200994856E-2</v>
      </c>
      <c r="E957" s="2">
        <f ca="1">INDEX(Simulations!$A$1:$BK$2501, 957, MATCH("Yr1Shock", Simulations!$A$1:$BK$1, 0))</f>
        <v>1.7732590846780857E-2</v>
      </c>
    </row>
    <row r="958" spans="1:5" x14ac:dyDescent="0.3">
      <c r="A958" s="2">
        <f ca="1">INDEX(Simulations!$A$1:$BK$2501, 958, MATCH("PurchaseMultiple", Simulations!$A$1:$BK$1, 0))</f>
        <v>6.6328258202419583</v>
      </c>
      <c r="B958" s="2">
        <f ca="1">INDEX(Simulations!$A$1:$BK$2501, 958, MATCH("ExitMultiple", Simulations!$A$1:$BK$1, 0))</f>
        <v>7.6003963600361431</v>
      </c>
      <c r="C958" s="2">
        <f ca="1">INDEX(Simulations!$A$1:$BK$2501, 958, MATCH("RevCAGR", Simulations!$A$1:$BK$1, 0))</f>
        <v>-1.6551850303309266E-2</v>
      </c>
      <c r="D958" s="2">
        <f ca="1">INDEX(Simulations!$A$1:$BK$2501, 958, MATCH("SynMargin", Simulations!$A$1:$BK$1, 0))</f>
        <v>1.3938208208725164E-2</v>
      </c>
      <c r="E958" s="2">
        <f ca="1">INDEX(Simulations!$A$1:$BK$2501, 958, MATCH("Yr1Shock", Simulations!$A$1:$BK$1, 0))</f>
        <v>2.1414132893546909E-2</v>
      </c>
    </row>
    <row r="959" spans="1:5" x14ac:dyDescent="0.3">
      <c r="A959" s="2">
        <f ca="1">INDEX(Simulations!$A$1:$BK$2501, 959, MATCH("PurchaseMultiple", Simulations!$A$1:$BK$1, 0))</f>
        <v>7.6275664031759929</v>
      </c>
      <c r="B959" s="2">
        <f ca="1">INDEX(Simulations!$A$1:$BK$2501, 959, MATCH("ExitMultiple", Simulations!$A$1:$BK$1, 0))</f>
        <v>7.6982136177956972</v>
      </c>
      <c r="C959" s="2">
        <f ca="1">INDEX(Simulations!$A$1:$BK$2501, 959, MATCH("RevCAGR", Simulations!$A$1:$BK$1, 0))</f>
        <v>3.0624469194222619E-2</v>
      </c>
      <c r="D959" s="2">
        <f ca="1">INDEX(Simulations!$A$1:$BK$2501, 959, MATCH("SynMargin", Simulations!$A$1:$BK$1, 0))</f>
        <v>7.7081261375746973E-3</v>
      </c>
      <c r="E959" s="2">
        <f ca="1">INDEX(Simulations!$A$1:$BK$2501, 959, MATCH("Yr1Shock", Simulations!$A$1:$BK$1, 0))</f>
        <v>3.7451618381827069E-4</v>
      </c>
    </row>
    <row r="960" spans="1:5" x14ac:dyDescent="0.3">
      <c r="A960" s="2">
        <f ca="1">INDEX(Simulations!$A$1:$BK$2501, 960, MATCH("PurchaseMultiple", Simulations!$A$1:$BK$1, 0))</f>
        <v>7.0712935065554117</v>
      </c>
      <c r="B960" s="2">
        <f ca="1">INDEX(Simulations!$A$1:$BK$2501, 960, MATCH("ExitMultiple", Simulations!$A$1:$BK$1, 0))</f>
        <v>7.7483745740394632</v>
      </c>
      <c r="C960" s="2">
        <f ca="1">INDEX(Simulations!$A$1:$BK$2501, 960, MATCH("RevCAGR", Simulations!$A$1:$BK$1, 0))</f>
        <v>4.3859236950268318E-2</v>
      </c>
      <c r="D960" s="2">
        <f ca="1">INDEX(Simulations!$A$1:$BK$2501, 960, MATCH("SynMargin", Simulations!$A$1:$BK$1, 0))</f>
        <v>1.1187756998768096E-2</v>
      </c>
      <c r="E960" s="2">
        <f ca="1">INDEX(Simulations!$A$1:$BK$2501, 960, MATCH("Yr1Shock", Simulations!$A$1:$BK$1, 0))</f>
        <v>1.084764466220306E-2</v>
      </c>
    </row>
    <row r="961" spans="1:5" x14ac:dyDescent="0.3">
      <c r="A961" s="2">
        <f ca="1">INDEX(Simulations!$A$1:$BK$2501, 961, MATCH("PurchaseMultiple", Simulations!$A$1:$BK$1, 0))</f>
        <v>6.1620853520838921</v>
      </c>
      <c r="B961" s="2">
        <f ca="1">INDEX(Simulations!$A$1:$BK$2501, 961, MATCH("ExitMultiple", Simulations!$A$1:$BK$1, 0))</f>
        <v>7.0469483139959932</v>
      </c>
      <c r="C961" s="2">
        <f ca="1">INDEX(Simulations!$A$1:$BK$2501, 961, MATCH("RevCAGR", Simulations!$A$1:$BK$1, 0))</f>
        <v>1.3140941349847928E-2</v>
      </c>
      <c r="D961" s="2">
        <f ca="1">INDEX(Simulations!$A$1:$BK$2501, 961, MATCH("SynMargin", Simulations!$A$1:$BK$1, 0))</f>
        <v>8.4117005437306606E-3</v>
      </c>
      <c r="E961" s="2">
        <f ca="1">INDEX(Simulations!$A$1:$BK$2501, 961, MATCH("Yr1Shock", Simulations!$A$1:$BK$1, 0))</f>
        <v>4.0339404891018326E-3</v>
      </c>
    </row>
    <row r="962" spans="1:5" x14ac:dyDescent="0.3">
      <c r="A962" s="2">
        <f ca="1">INDEX(Simulations!$A$1:$BK$2501, 962, MATCH("PurchaseMultiple", Simulations!$A$1:$BK$1, 0))</f>
        <v>7.1344849340636198</v>
      </c>
      <c r="B962" s="2">
        <f ca="1">INDEX(Simulations!$A$1:$BK$2501, 962, MATCH("ExitMultiple", Simulations!$A$1:$BK$1, 0))</f>
        <v>7.8510583798021703</v>
      </c>
      <c r="C962" s="2">
        <f ca="1">INDEX(Simulations!$A$1:$BK$2501, 962, MATCH("RevCAGR", Simulations!$A$1:$BK$1, 0))</f>
        <v>5.3948488365029516E-2</v>
      </c>
      <c r="D962" s="2">
        <f ca="1">INDEX(Simulations!$A$1:$BK$2501, 962, MATCH("SynMargin", Simulations!$A$1:$BK$1, 0))</f>
        <v>7.9573876524509004E-3</v>
      </c>
      <c r="E962" s="2">
        <f ca="1">INDEX(Simulations!$A$1:$BK$2501, 962, MATCH("Yr1Shock", Simulations!$A$1:$BK$1, 0))</f>
        <v>-6.9577971497088754E-3</v>
      </c>
    </row>
    <row r="963" spans="1:5" x14ac:dyDescent="0.3">
      <c r="A963" s="2">
        <f ca="1">INDEX(Simulations!$A$1:$BK$2501, 963, MATCH("PurchaseMultiple", Simulations!$A$1:$BK$1, 0))</f>
        <v>6.1674037628045806</v>
      </c>
      <c r="B963" s="2">
        <f ca="1">INDEX(Simulations!$A$1:$BK$2501, 963, MATCH("ExitMultiple", Simulations!$A$1:$BK$1, 0))</f>
        <v>7.8954220083177153</v>
      </c>
      <c r="C963" s="2">
        <f ca="1">INDEX(Simulations!$A$1:$BK$2501, 963, MATCH("RevCAGR", Simulations!$A$1:$BK$1, 0))</f>
        <v>4.83918882571494E-2</v>
      </c>
      <c r="D963" s="2">
        <f ca="1">INDEX(Simulations!$A$1:$BK$2501, 963, MATCH("SynMargin", Simulations!$A$1:$BK$1, 0))</f>
        <v>1.420823898070421E-2</v>
      </c>
      <c r="E963" s="2">
        <f ca="1">INDEX(Simulations!$A$1:$BK$2501, 963, MATCH("Yr1Shock", Simulations!$A$1:$BK$1, 0))</f>
        <v>-2.6348367637493287E-3</v>
      </c>
    </row>
    <row r="964" spans="1:5" x14ac:dyDescent="0.3">
      <c r="A964" s="2">
        <f ca="1">INDEX(Simulations!$A$1:$BK$2501, 964, MATCH("PurchaseMultiple", Simulations!$A$1:$BK$1, 0))</f>
        <v>6.7575003104194753</v>
      </c>
      <c r="B964" s="2">
        <f ca="1">INDEX(Simulations!$A$1:$BK$2501, 964, MATCH("ExitMultiple", Simulations!$A$1:$BK$1, 0))</f>
        <v>7.4445023365706717</v>
      </c>
      <c r="C964" s="2">
        <f ca="1">INDEX(Simulations!$A$1:$BK$2501, 964, MATCH("RevCAGR", Simulations!$A$1:$BK$1, 0))</f>
        <v>3.7339301656023491E-2</v>
      </c>
      <c r="D964" s="2">
        <f ca="1">INDEX(Simulations!$A$1:$BK$2501, 964, MATCH("SynMargin", Simulations!$A$1:$BK$1, 0))</f>
        <v>1.7146644905947257E-3</v>
      </c>
      <c r="E964" s="2">
        <f ca="1">INDEX(Simulations!$A$1:$BK$2501, 964, MATCH("Yr1Shock", Simulations!$A$1:$BK$1, 0))</f>
        <v>1.5099076975504267E-2</v>
      </c>
    </row>
    <row r="965" spans="1:5" x14ac:dyDescent="0.3">
      <c r="A965" s="2">
        <f ca="1">INDEX(Simulations!$A$1:$BK$2501, 965, MATCH("PurchaseMultiple", Simulations!$A$1:$BK$1, 0))</f>
        <v>6.6334080651520306</v>
      </c>
      <c r="B965" s="2">
        <f ca="1">INDEX(Simulations!$A$1:$BK$2501, 965, MATCH("ExitMultiple", Simulations!$A$1:$BK$1, 0))</f>
        <v>7.3141138309200349</v>
      </c>
      <c r="C965" s="2">
        <f ca="1">INDEX(Simulations!$A$1:$BK$2501, 965, MATCH("RevCAGR", Simulations!$A$1:$BK$1, 0))</f>
        <v>7.1529380400397885E-2</v>
      </c>
      <c r="D965" s="2">
        <f ca="1">INDEX(Simulations!$A$1:$BK$2501, 965, MATCH("SynMargin", Simulations!$A$1:$BK$1, 0))</f>
        <v>1.271148577043254E-2</v>
      </c>
      <c r="E965" s="2">
        <f ca="1">INDEX(Simulations!$A$1:$BK$2501, 965, MATCH("Yr1Shock", Simulations!$A$1:$BK$1, 0))</f>
        <v>-2.966198114490461E-2</v>
      </c>
    </row>
    <row r="966" spans="1:5" x14ac:dyDescent="0.3">
      <c r="A966" s="2">
        <f ca="1">INDEX(Simulations!$A$1:$BK$2501, 966, MATCH("PurchaseMultiple", Simulations!$A$1:$BK$1, 0))</f>
        <v>6.64237587169211</v>
      </c>
      <c r="B966" s="2">
        <f ca="1">INDEX(Simulations!$A$1:$BK$2501, 966, MATCH("ExitMultiple", Simulations!$A$1:$BK$1, 0))</f>
        <v>7.4423619155159626</v>
      </c>
      <c r="C966" s="2">
        <f ca="1">INDEX(Simulations!$A$1:$BK$2501, 966, MATCH("RevCAGR", Simulations!$A$1:$BK$1, 0))</f>
        <v>4.2362303055799487E-2</v>
      </c>
      <c r="D966" s="2">
        <f ca="1">INDEX(Simulations!$A$1:$BK$2501, 966, MATCH("SynMargin", Simulations!$A$1:$BK$1, 0))</f>
        <v>1.4513264460735236E-2</v>
      </c>
      <c r="E966" s="2">
        <f ca="1">INDEX(Simulations!$A$1:$BK$2501, 966, MATCH("Yr1Shock", Simulations!$A$1:$BK$1, 0))</f>
        <v>7.4721457049008368E-3</v>
      </c>
    </row>
    <row r="967" spans="1:5" x14ac:dyDescent="0.3">
      <c r="A967" s="2">
        <f ca="1">INDEX(Simulations!$A$1:$BK$2501, 967, MATCH("PurchaseMultiple", Simulations!$A$1:$BK$1, 0))</f>
        <v>7.0617003837004537</v>
      </c>
      <c r="B967" s="2">
        <f ca="1">INDEX(Simulations!$A$1:$BK$2501, 967, MATCH("ExitMultiple", Simulations!$A$1:$BK$1, 0))</f>
        <v>6.7580343902741395</v>
      </c>
      <c r="C967" s="2">
        <f ca="1">INDEX(Simulations!$A$1:$BK$2501, 967, MATCH("RevCAGR", Simulations!$A$1:$BK$1, 0))</f>
        <v>5.8894937135731198E-2</v>
      </c>
      <c r="D967" s="2">
        <f ca="1">INDEX(Simulations!$A$1:$BK$2501, 967, MATCH("SynMargin", Simulations!$A$1:$BK$1, 0))</f>
        <v>1.9705969455718099E-2</v>
      </c>
      <c r="E967" s="2">
        <f ca="1">INDEX(Simulations!$A$1:$BK$2501, 967, MATCH("Yr1Shock", Simulations!$A$1:$BK$1, 0))</f>
        <v>-1.4354143590551177E-2</v>
      </c>
    </row>
    <row r="968" spans="1:5" x14ac:dyDescent="0.3">
      <c r="A968" s="2">
        <f ca="1">INDEX(Simulations!$A$1:$BK$2501, 968, MATCH("PurchaseMultiple", Simulations!$A$1:$BK$1, 0))</f>
        <v>6.7414841612435819</v>
      </c>
      <c r="B968" s="2">
        <f ca="1">INDEX(Simulations!$A$1:$BK$2501, 968, MATCH("ExitMultiple", Simulations!$A$1:$BK$1, 0))</f>
        <v>8.0046951271553102</v>
      </c>
      <c r="C968" s="2">
        <f ca="1">INDEX(Simulations!$A$1:$BK$2501, 968, MATCH("RevCAGR", Simulations!$A$1:$BK$1, 0))</f>
        <v>2.2503317910021563E-2</v>
      </c>
      <c r="D968" s="2">
        <f ca="1">INDEX(Simulations!$A$1:$BK$2501, 968, MATCH("SynMargin", Simulations!$A$1:$BK$1, 0))</f>
        <v>1.4570587256782921E-2</v>
      </c>
      <c r="E968" s="2">
        <f ca="1">INDEX(Simulations!$A$1:$BK$2501, 968, MATCH("Yr1Shock", Simulations!$A$1:$BK$1, 0))</f>
        <v>2.2893396075796445E-2</v>
      </c>
    </row>
    <row r="969" spans="1:5" x14ac:dyDescent="0.3">
      <c r="A969" s="2">
        <f ca="1">INDEX(Simulations!$A$1:$BK$2501, 969, MATCH("PurchaseMultiple", Simulations!$A$1:$BK$1, 0))</f>
        <v>7.0422724483779628</v>
      </c>
      <c r="B969" s="2">
        <f ca="1">INDEX(Simulations!$A$1:$BK$2501, 969, MATCH("ExitMultiple", Simulations!$A$1:$BK$1, 0))</f>
        <v>7.4390860722584549</v>
      </c>
      <c r="C969" s="2">
        <f ca="1">INDEX(Simulations!$A$1:$BK$2501, 969, MATCH("RevCAGR", Simulations!$A$1:$BK$1, 0))</f>
        <v>2.6316176706978552E-2</v>
      </c>
      <c r="D969" s="2">
        <f ca="1">INDEX(Simulations!$A$1:$BK$2501, 969, MATCH("SynMargin", Simulations!$A$1:$BK$1, 0))</f>
        <v>8.2712299171001039E-3</v>
      </c>
      <c r="E969" s="2">
        <f ca="1">INDEX(Simulations!$A$1:$BK$2501, 969, MATCH("Yr1Shock", Simulations!$A$1:$BK$1, 0))</f>
        <v>9.6265953959155815E-3</v>
      </c>
    </row>
    <row r="970" spans="1:5" x14ac:dyDescent="0.3">
      <c r="A970" s="2">
        <f ca="1">INDEX(Simulations!$A$1:$BK$2501, 970, MATCH("PurchaseMultiple", Simulations!$A$1:$BK$1, 0))</f>
        <v>7.5570701107936111</v>
      </c>
      <c r="B970" s="2">
        <f ca="1">INDEX(Simulations!$A$1:$BK$2501, 970, MATCH("ExitMultiple", Simulations!$A$1:$BK$1, 0))</f>
        <v>7.3556217024371575</v>
      </c>
      <c r="C970" s="2">
        <f ca="1">INDEX(Simulations!$A$1:$BK$2501, 970, MATCH("RevCAGR", Simulations!$A$1:$BK$1, 0))</f>
        <v>6.859728927711764E-2</v>
      </c>
      <c r="D970" s="2">
        <f ca="1">INDEX(Simulations!$A$1:$BK$2501, 970, MATCH("SynMargin", Simulations!$A$1:$BK$1, 0))</f>
        <v>8.047277912960513E-3</v>
      </c>
      <c r="E970" s="2">
        <f ca="1">INDEX(Simulations!$A$1:$BK$2501, 970, MATCH("Yr1Shock", Simulations!$A$1:$BK$1, 0))</f>
        <v>1.2124623873358114E-2</v>
      </c>
    </row>
    <row r="971" spans="1:5" x14ac:dyDescent="0.3">
      <c r="A971" s="2">
        <f ca="1">INDEX(Simulations!$A$1:$BK$2501, 971, MATCH("PurchaseMultiple", Simulations!$A$1:$BK$1, 0))</f>
        <v>7.4550355864278783</v>
      </c>
      <c r="B971" s="2">
        <f ca="1">INDEX(Simulations!$A$1:$BK$2501, 971, MATCH("ExitMultiple", Simulations!$A$1:$BK$1, 0))</f>
        <v>7.1238149158583948</v>
      </c>
      <c r="C971" s="2">
        <f ca="1">INDEX(Simulations!$A$1:$BK$2501, 971, MATCH("RevCAGR", Simulations!$A$1:$BK$1, 0))</f>
        <v>3.1282294933212051E-2</v>
      </c>
      <c r="D971" s="2">
        <f ca="1">INDEX(Simulations!$A$1:$BK$2501, 971, MATCH("SynMargin", Simulations!$A$1:$BK$1, 0))</f>
        <v>5.8889910599750628E-3</v>
      </c>
      <c r="E971" s="2">
        <f ca="1">INDEX(Simulations!$A$1:$BK$2501, 971, MATCH("Yr1Shock", Simulations!$A$1:$BK$1, 0))</f>
        <v>3.2183479264072151E-3</v>
      </c>
    </row>
    <row r="972" spans="1:5" x14ac:dyDescent="0.3">
      <c r="A972" s="2">
        <f ca="1">INDEX(Simulations!$A$1:$BK$2501, 972, MATCH("PurchaseMultiple", Simulations!$A$1:$BK$1, 0))</f>
        <v>6.4047558740519754</v>
      </c>
      <c r="B972" s="2">
        <f ca="1">INDEX(Simulations!$A$1:$BK$2501, 972, MATCH("ExitMultiple", Simulations!$A$1:$BK$1, 0))</f>
        <v>6.9204412319446966</v>
      </c>
      <c r="C972" s="2">
        <f ca="1">INDEX(Simulations!$A$1:$BK$2501, 972, MATCH("RevCAGR", Simulations!$A$1:$BK$1, 0))</f>
        <v>4.2093592666311783E-2</v>
      </c>
      <c r="D972" s="2">
        <f ca="1">INDEX(Simulations!$A$1:$BK$2501, 972, MATCH("SynMargin", Simulations!$A$1:$BK$1, 0))</f>
        <v>1.9710661449282799E-3</v>
      </c>
      <c r="E972" s="2">
        <f ca="1">INDEX(Simulations!$A$1:$BK$2501, 972, MATCH("Yr1Shock", Simulations!$A$1:$BK$1, 0))</f>
        <v>-1.3758474125856906E-2</v>
      </c>
    </row>
    <row r="973" spans="1:5" x14ac:dyDescent="0.3">
      <c r="A973" s="2">
        <f ca="1">INDEX(Simulations!$A$1:$BK$2501, 973, MATCH("PurchaseMultiple", Simulations!$A$1:$BK$1, 0))</f>
        <v>6.882304172183253</v>
      </c>
      <c r="B973" s="2">
        <f ca="1">INDEX(Simulations!$A$1:$BK$2501, 973, MATCH("ExitMultiple", Simulations!$A$1:$BK$1, 0))</f>
        <v>7.5186595002976402</v>
      </c>
      <c r="C973" s="2">
        <f ca="1">INDEX(Simulations!$A$1:$BK$2501, 973, MATCH("RevCAGR", Simulations!$A$1:$BK$1, 0))</f>
        <v>6.07031010070858E-2</v>
      </c>
      <c r="D973" s="2">
        <f ca="1">INDEX(Simulations!$A$1:$BK$2501, 973, MATCH("SynMargin", Simulations!$A$1:$BK$1, 0))</f>
        <v>1.4016447940922681E-2</v>
      </c>
      <c r="E973" s="2">
        <f ca="1">INDEX(Simulations!$A$1:$BK$2501, 973, MATCH("Yr1Shock", Simulations!$A$1:$BK$1, 0))</f>
        <v>-2.0261813524783824E-2</v>
      </c>
    </row>
    <row r="974" spans="1:5" x14ac:dyDescent="0.3">
      <c r="A974" s="2">
        <f ca="1">INDEX(Simulations!$A$1:$BK$2501, 974, MATCH("PurchaseMultiple", Simulations!$A$1:$BK$1, 0))</f>
        <v>7.6504333210361057</v>
      </c>
      <c r="B974" s="2">
        <f ca="1">INDEX(Simulations!$A$1:$BK$2501, 974, MATCH("ExitMultiple", Simulations!$A$1:$BK$1, 0))</f>
        <v>7.9732663587254713</v>
      </c>
      <c r="C974" s="2">
        <f ca="1">INDEX(Simulations!$A$1:$BK$2501, 974, MATCH("RevCAGR", Simulations!$A$1:$BK$1, 0))</f>
        <v>4.2948398204253335E-2</v>
      </c>
      <c r="D974" s="2">
        <f ca="1">INDEX(Simulations!$A$1:$BK$2501, 974, MATCH("SynMargin", Simulations!$A$1:$BK$1, 0))</f>
        <v>1.4207444374237498E-3</v>
      </c>
      <c r="E974" s="2">
        <f ca="1">INDEX(Simulations!$A$1:$BK$2501, 974, MATCH("Yr1Shock", Simulations!$A$1:$BK$1, 0))</f>
        <v>2.773948738841675E-2</v>
      </c>
    </row>
    <row r="975" spans="1:5" x14ac:dyDescent="0.3">
      <c r="A975" s="2">
        <f ca="1">INDEX(Simulations!$A$1:$BK$2501, 975, MATCH("PurchaseMultiple", Simulations!$A$1:$BK$1, 0))</f>
        <v>7.2314732097861931</v>
      </c>
      <c r="B975" s="2">
        <f ca="1">INDEX(Simulations!$A$1:$BK$2501, 975, MATCH("ExitMultiple", Simulations!$A$1:$BK$1, 0))</f>
        <v>8.3262293044004885</v>
      </c>
      <c r="C975" s="2">
        <f ca="1">INDEX(Simulations!$A$1:$BK$2501, 975, MATCH("RevCAGR", Simulations!$A$1:$BK$1, 0))</f>
        <v>7.642023887616356E-2</v>
      </c>
      <c r="D975" s="2">
        <f ca="1">INDEX(Simulations!$A$1:$BK$2501, 975, MATCH("SynMargin", Simulations!$A$1:$BK$1, 0))</f>
        <v>3.0200994871930602E-3</v>
      </c>
      <c r="E975" s="2">
        <f ca="1">INDEX(Simulations!$A$1:$BK$2501, 975, MATCH("Yr1Shock", Simulations!$A$1:$BK$1, 0))</f>
        <v>-1.1424775664350588E-2</v>
      </c>
    </row>
    <row r="976" spans="1:5" x14ac:dyDescent="0.3">
      <c r="A976" s="2">
        <f ca="1">INDEX(Simulations!$A$1:$BK$2501, 976, MATCH("PurchaseMultiple", Simulations!$A$1:$BK$1, 0))</f>
        <v>7.6562359541605769</v>
      </c>
      <c r="B976" s="2">
        <f ca="1">INDEX(Simulations!$A$1:$BK$2501, 976, MATCH("ExitMultiple", Simulations!$A$1:$BK$1, 0))</f>
        <v>7.2814200195203895</v>
      </c>
      <c r="C976" s="2">
        <f ca="1">INDEX(Simulations!$A$1:$BK$2501, 976, MATCH("RevCAGR", Simulations!$A$1:$BK$1, 0))</f>
        <v>6.3288047707428796E-2</v>
      </c>
      <c r="D976" s="2">
        <f ca="1">INDEX(Simulations!$A$1:$BK$2501, 976, MATCH("SynMargin", Simulations!$A$1:$BK$1, 0))</f>
        <v>1.6771136699180351E-2</v>
      </c>
      <c r="E976" s="2">
        <f ca="1">INDEX(Simulations!$A$1:$BK$2501, 976, MATCH("Yr1Shock", Simulations!$A$1:$BK$1, 0))</f>
        <v>-2.3635188673919189E-2</v>
      </c>
    </row>
    <row r="977" spans="1:5" x14ac:dyDescent="0.3">
      <c r="A977" s="2">
        <f ca="1">INDEX(Simulations!$A$1:$BK$2501, 977, MATCH("PurchaseMultiple", Simulations!$A$1:$BK$1, 0))</f>
        <v>7.1687727640223544</v>
      </c>
      <c r="B977" s="2">
        <f ca="1">INDEX(Simulations!$A$1:$BK$2501, 977, MATCH("ExitMultiple", Simulations!$A$1:$BK$1, 0))</f>
        <v>7.5688507914153131</v>
      </c>
      <c r="C977" s="2">
        <f ca="1">INDEX(Simulations!$A$1:$BK$2501, 977, MATCH("RevCAGR", Simulations!$A$1:$BK$1, 0))</f>
        <v>7.5056970486834323E-2</v>
      </c>
      <c r="D977" s="2">
        <f ca="1">INDEX(Simulations!$A$1:$BK$2501, 977, MATCH("SynMargin", Simulations!$A$1:$BK$1, 0))</f>
        <v>1.3865994232668617E-2</v>
      </c>
      <c r="E977" s="2">
        <f ca="1">INDEX(Simulations!$A$1:$BK$2501, 977, MATCH("Yr1Shock", Simulations!$A$1:$BK$1, 0))</f>
        <v>-1.7349975464968258E-2</v>
      </c>
    </row>
    <row r="978" spans="1:5" x14ac:dyDescent="0.3">
      <c r="A978" s="2">
        <f ca="1">INDEX(Simulations!$A$1:$BK$2501, 978, MATCH("PurchaseMultiple", Simulations!$A$1:$BK$1, 0))</f>
        <v>6.5216336339419305</v>
      </c>
      <c r="B978" s="2">
        <f ca="1">INDEX(Simulations!$A$1:$BK$2501, 978, MATCH("ExitMultiple", Simulations!$A$1:$BK$1, 0))</f>
        <v>7.1676507889958589</v>
      </c>
      <c r="C978" s="2">
        <f ca="1">INDEX(Simulations!$A$1:$BK$2501, 978, MATCH("RevCAGR", Simulations!$A$1:$BK$1, 0))</f>
        <v>-1.1348927681892954E-3</v>
      </c>
      <c r="D978" s="2">
        <f ca="1">INDEX(Simulations!$A$1:$BK$2501, 978, MATCH("SynMargin", Simulations!$A$1:$BK$1, 0))</f>
        <v>1.8759363177965289E-2</v>
      </c>
      <c r="E978" s="2">
        <f ca="1">INDEX(Simulations!$A$1:$BK$2501, 978, MATCH("Yr1Shock", Simulations!$A$1:$BK$1, 0))</f>
        <v>4.8445245047450146E-2</v>
      </c>
    </row>
    <row r="979" spans="1:5" x14ac:dyDescent="0.3">
      <c r="A979" s="2">
        <f ca="1">INDEX(Simulations!$A$1:$BK$2501, 979, MATCH("PurchaseMultiple", Simulations!$A$1:$BK$1, 0))</f>
        <v>7.2947038077358997</v>
      </c>
      <c r="B979" s="2">
        <f ca="1">INDEX(Simulations!$A$1:$BK$2501, 979, MATCH("ExitMultiple", Simulations!$A$1:$BK$1, 0))</f>
        <v>7.7967403405517652</v>
      </c>
      <c r="C979" s="2">
        <f ca="1">INDEX(Simulations!$A$1:$BK$2501, 979, MATCH("RevCAGR", Simulations!$A$1:$BK$1, 0))</f>
        <v>5.8375193751256174E-2</v>
      </c>
      <c r="D979" s="2">
        <f ca="1">INDEX(Simulations!$A$1:$BK$2501, 979, MATCH("SynMargin", Simulations!$A$1:$BK$1, 0))</f>
        <v>6.910190367661195E-3</v>
      </c>
      <c r="E979" s="2">
        <f ca="1">INDEX(Simulations!$A$1:$BK$2501, 979, MATCH("Yr1Shock", Simulations!$A$1:$BK$1, 0))</f>
        <v>-1.2792574278641956E-2</v>
      </c>
    </row>
    <row r="980" spans="1:5" x14ac:dyDescent="0.3">
      <c r="A980" s="2">
        <f ca="1">INDEX(Simulations!$A$1:$BK$2501, 980, MATCH("PurchaseMultiple", Simulations!$A$1:$BK$1, 0))</f>
        <v>6.8688476131559906</v>
      </c>
      <c r="B980" s="2">
        <f ca="1">INDEX(Simulations!$A$1:$BK$2501, 980, MATCH("ExitMultiple", Simulations!$A$1:$BK$1, 0))</f>
        <v>8.0092883132057811</v>
      </c>
      <c r="C980" s="2">
        <f ca="1">INDEX(Simulations!$A$1:$BK$2501, 980, MATCH("RevCAGR", Simulations!$A$1:$BK$1, 0))</f>
        <v>1.5507804978615779E-2</v>
      </c>
      <c r="D980" s="2">
        <f ca="1">INDEX(Simulations!$A$1:$BK$2501, 980, MATCH("SynMargin", Simulations!$A$1:$BK$1, 0))</f>
        <v>1.0959032592706933E-2</v>
      </c>
      <c r="E980" s="2">
        <f ca="1">INDEX(Simulations!$A$1:$BK$2501, 980, MATCH("Yr1Shock", Simulations!$A$1:$BK$1, 0))</f>
        <v>9.2128251501395215E-3</v>
      </c>
    </row>
    <row r="981" spans="1:5" x14ac:dyDescent="0.3">
      <c r="A981" s="2">
        <f ca="1">INDEX(Simulations!$A$1:$BK$2501, 981, MATCH("PurchaseMultiple", Simulations!$A$1:$BK$1, 0))</f>
        <v>7.2709056629004092</v>
      </c>
      <c r="B981" s="2">
        <f ca="1">INDEX(Simulations!$A$1:$BK$2501, 981, MATCH("ExitMultiple", Simulations!$A$1:$BK$1, 0))</f>
        <v>7.1340092077107204</v>
      </c>
      <c r="C981" s="2">
        <f ca="1">INDEX(Simulations!$A$1:$BK$2501, 981, MATCH("RevCAGR", Simulations!$A$1:$BK$1, 0))</f>
        <v>6.0907908645443945E-2</v>
      </c>
      <c r="D981" s="2">
        <f ca="1">INDEX(Simulations!$A$1:$BK$2501, 981, MATCH("SynMargin", Simulations!$A$1:$BK$1, 0))</f>
        <v>2.8160868917602349E-3</v>
      </c>
      <c r="E981" s="2">
        <f ca="1">INDEX(Simulations!$A$1:$BK$2501, 981, MATCH("Yr1Shock", Simulations!$A$1:$BK$1, 0))</f>
        <v>2.7372632064682442E-3</v>
      </c>
    </row>
    <row r="982" spans="1:5" x14ac:dyDescent="0.3">
      <c r="A982" s="2">
        <f ca="1">INDEX(Simulations!$A$1:$BK$2501, 982, MATCH("PurchaseMultiple", Simulations!$A$1:$BK$1, 0))</f>
        <v>7.3328259748846953</v>
      </c>
      <c r="B982" s="2">
        <f ca="1">INDEX(Simulations!$A$1:$BK$2501, 982, MATCH("ExitMultiple", Simulations!$A$1:$BK$1, 0))</f>
        <v>7.677809618898868</v>
      </c>
      <c r="C982" s="2">
        <f ca="1">INDEX(Simulations!$A$1:$BK$2501, 982, MATCH("RevCAGR", Simulations!$A$1:$BK$1, 0))</f>
        <v>1.7508378711829656E-2</v>
      </c>
      <c r="D982" s="2">
        <f ca="1">INDEX(Simulations!$A$1:$BK$2501, 982, MATCH("SynMargin", Simulations!$A$1:$BK$1, 0))</f>
        <v>1.3061056889478468E-2</v>
      </c>
      <c r="E982" s="2">
        <f ca="1">INDEX(Simulations!$A$1:$BK$2501, 982, MATCH("Yr1Shock", Simulations!$A$1:$BK$1, 0))</f>
        <v>-1.6767175081982062E-2</v>
      </c>
    </row>
    <row r="983" spans="1:5" x14ac:dyDescent="0.3">
      <c r="A983" s="2">
        <f ca="1">INDEX(Simulations!$A$1:$BK$2501, 983, MATCH("PurchaseMultiple", Simulations!$A$1:$BK$1, 0))</f>
        <v>7.5846324637510962</v>
      </c>
      <c r="B983" s="2">
        <f ca="1">INDEX(Simulations!$A$1:$BK$2501, 983, MATCH("ExitMultiple", Simulations!$A$1:$BK$1, 0))</f>
        <v>7.6038095119678513</v>
      </c>
      <c r="C983" s="2">
        <f ca="1">INDEX(Simulations!$A$1:$BK$2501, 983, MATCH("RevCAGR", Simulations!$A$1:$BK$1, 0))</f>
        <v>7.171202059234047E-2</v>
      </c>
      <c r="D983" s="2">
        <f ca="1">INDEX(Simulations!$A$1:$BK$2501, 983, MATCH("SynMargin", Simulations!$A$1:$BK$1, 0))</f>
        <v>1.2416766368130461E-2</v>
      </c>
      <c r="E983" s="2">
        <f ca="1">INDEX(Simulations!$A$1:$BK$2501, 983, MATCH("Yr1Shock", Simulations!$A$1:$BK$1, 0))</f>
        <v>-4.5861342553464102E-3</v>
      </c>
    </row>
    <row r="984" spans="1:5" x14ac:dyDescent="0.3">
      <c r="A984" s="2">
        <f ca="1">INDEX(Simulations!$A$1:$BK$2501, 984, MATCH("PurchaseMultiple", Simulations!$A$1:$BK$1, 0))</f>
        <v>6.7700767883099759</v>
      </c>
      <c r="B984" s="2">
        <f ca="1">INDEX(Simulations!$A$1:$BK$2501, 984, MATCH("ExitMultiple", Simulations!$A$1:$BK$1, 0))</f>
        <v>7.7409654077819203</v>
      </c>
      <c r="C984" s="2">
        <f ca="1">INDEX(Simulations!$A$1:$BK$2501, 984, MATCH("RevCAGR", Simulations!$A$1:$BK$1, 0))</f>
        <v>7.9460045864252177E-2</v>
      </c>
      <c r="D984" s="2">
        <f ca="1">INDEX(Simulations!$A$1:$BK$2501, 984, MATCH("SynMargin", Simulations!$A$1:$BK$1, 0))</f>
        <v>2.1044335211539682E-2</v>
      </c>
      <c r="E984" s="2">
        <f ca="1">INDEX(Simulations!$A$1:$BK$2501, 984, MATCH("Yr1Shock", Simulations!$A$1:$BK$1, 0))</f>
        <v>1.7166381260130724E-2</v>
      </c>
    </row>
    <row r="985" spans="1:5" x14ac:dyDescent="0.3">
      <c r="A985" s="2">
        <f ca="1">INDEX(Simulations!$A$1:$BK$2501, 985, MATCH("PurchaseMultiple", Simulations!$A$1:$BK$1, 0))</f>
        <v>7.1864801923457318</v>
      </c>
      <c r="B985" s="2">
        <f ca="1">INDEX(Simulations!$A$1:$BK$2501, 985, MATCH("ExitMultiple", Simulations!$A$1:$BK$1, 0))</f>
        <v>7.5685751399130021</v>
      </c>
      <c r="C985" s="2">
        <f ca="1">INDEX(Simulations!$A$1:$BK$2501, 985, MATCH("RevCAGR", Simulations!$A$1:$BK$1, 0))</f>
        <v>1.7085716802045542E-2</v>
      </c>
      <c r="D985" s="2">
        <f ca="1">INDEX(Simulations!$A$1:$BK$2501, 985, MATCH("SynMargin", Simulations!$A$1:$BK$1, 0))</f>
        <v>1.1590798914601451E-2</v>
      </c>
      <c r="E985" s="2">
        <f ca="1">INDEX(Simulations!$A$1:$BK$2501, 985, MATCH("Yr1Shock", Simulations!$A$1:$BK$1, 0))</f>
        <v>3.3604497165911303E-2</v>
      </c>
    </row>
    <row r="986" spans="1:5" x14ac:dyDescent="0.3">
      <c r="A986" s="2">
        <f ca="1">INDEX(Simulations!$A$1:$BK$2501, 986, MATCH("PurchaseMultiple", Simulations!$A$1:$BK$1, 0))</f>
        <v>7.2475714798690341</v>
      </c>
      <c r="B986" s="2">
        <f ca="1">INDEX(Simulations!$A$1:$BK$2501, 986, MATCH("ExitMultiple", Simulations!$A$1:$BK$1, 0))</f>
        <v>8.2731093381957574</v>
      </c>
      <c r="C986" s="2">
        <f ca="1">INDEX(Simulations!$A$1:$BK$2501, 986, MATCH("RevCAGR", Simulations!$A$1:$BK$1, 0))</f>
        <v>2.4580056643762158E-2</v>
      </c>
      <c r="D986" s="2">
        <f ca="1">INDEX(Simulations!$A$1:$BK$2501, 986, MATCH("SynMargin", Simulations!$A$1:$BK$1, 0))</f>
        <v>1.5879766575544331E-2</v>
      </c>
      <c r="E986" s="2">
        <f ca="1">INDEX(Simulations!$A$1:$BK$2501, 986, MATCH("Yr1Shock", Simulations!$A$1:$BK$1, 0))</f>
        <v>6.2464204156574589E-3</v>
      </c>
    </row>
    <row r="987" spans="1:5" x14ac:dyDescent="0.3">
      <c r="A987" s="2">
        <f ca="1">INDEX(Simulations!$A$1:$BK$2501, 987, MATCH("PurchaseMultiple", Simulations!$A$1:$BK$1, 0))</f>
        <v>7.0226919167673962</v>
      </c>
      <c r="B987" s="2">
        <f ca="1">INDEX(Simulations!$A$1:$BK$2501, 987, MATCH("ExitMultiple", Simulations!$A$1:$BK$1, 0))</f>
        <v>6.9449138647824844</v>
      </c>
      <c r="C987" s="2">
        <f ca="1">INDEX(Simulations!$A$1:$BK$2501, 987, MATCH("RevCAGR", Simulations!$A$1:$BK$1, 0))</f>
        <v>9.0554915540850586E-2</v>
      </c>
      <c r="D987" s="2">
        <f ca="1">INDEX(Simulations!$A$1:$BK$2501, 987, MATCH("SynMargin", Simulations!$A$1:$BK$1, 0))</f>
        <v>1.0192287655240041E-2</v>
      </c>
      <c r="E987" s="2">
        <f ca="1">INDEX(Simulations!$A$1:$BK$2501, 987, MATCH("Yr1Shock", Simulations!$A$1:$BK$1, 0))</f>
        <v>3.7471398637881237E-2</v>
      </c>
    </row>
    <row r="988" spans="1:5" x14ac:dyDescent="0.3">
      <c r="A988" s="2">
        <f ca="1">INDEX(Simulations!$A$1:$BK$2501, 988, MATCH("PurchaseMultiple", Simulations!$A$1:$BK$1, 0))</f>
        <v>7.7360961253689382</v>
      </c>
      <c r="B988" s="2">
        <f ca="1">INDEX(Simulations!$A$1:$BK$2501, 988, MATCH("ExitMultiple", Simulations!$A$1:$BK$1, 0))</f>
        <v>7.103453026261132</v>
      </c>
      <c r="C988" s="2">
        <f ca="1">INDEX(Simulations!$A$1:$BK$2501, 988, MATCH("RevCAGR", Simulations!$A$1:$BK$1, 0))</f>
        <v>3.7043542687386286E-3</v>
      </c>
      <c r="D988" s="2">
        <f ca="1">INDEX(Simulations!$A$1:$BK$2501, 988, MATCH("SynMargin", Simulations!$A$1:$BK$1, 0))</f>
        <v>1.7736677345263754E-2</v>
      </c>
      <c r="E988" s="2">
        <f ca="1">INDEX(Simulations!$A$1:$BK$2501, 988, MATCH("Yr1Shock", Simulations!$A$1:$BK$1, 0))</f>
        <v>-1.2768619265430632E-2</v>
      </c>
    </row>
    <row r="989" spans="1:5" x14ac:dyDescent="0.3">
      <c r="A989" s="2">
        <f ca="1">INDEX(Simulations!$A$1:$BK$2501, 989, MATCH("PurchaseMultiple", Simulations!$A$1:$BK$1, 0))</f>
        <v>7.3182904538994178</v>
      </c>
      <c r="B989" s="2">
        <f ca="1">INDEX(Simulations!$A$1:$BK$2501, 989, MATCH("ExitMultiple", Simulations!$A$1:$BK$1, 0))</f>
        <v>6.9158761980330032</v>
      </c>
      <c r="C989" s="2">
        <f ca="1">INDEX(Simulations!$A$1:$BK$2501, 989, MATCH("RevCAGR", Simulations!$A$1:$BK$1, 0))</f>
        <v>3.3903665970064889E-2</v>
      </c>
      <c r="D989" s="2">
        <f ca="1">INDEX(Simulations!$A$1:$BK$2501, 989, MATCH("SynMargin", Simulations!$A$1:$BK$1, 0))</f>
        <v>7.3518796362669336E-3</v>
      </c>
      <c r="E989" s="2">
        <f ca="1">INDEX(Simulations!$A$1:$BK$2501, 989, MATCH("Yr1Shock", Simulations!$A$1:$BK$1, 0))</f>
        <v>2.3956527181710097E-2</v>
      </c>
    </row>
    <row r="990" spans="1:5" x14ac:dyDescent="0.3">
      <c r="A990" s="2">
        <f ca="1">INDEX(Simulations!$A$1:$BK$2501, 990, MATCH("PurchaseMultiple", Simulations!$A$1:$BK$1, 0))</f>
        <v>6.4475979282456803</v>
      </c>
      <c r="B990" s="2">
        <f ca="1">INDEX(Simulations!$A$1:$BK$2501, 990, MATCH("ExitMultiple", Simulations!$A$1:$BK$1, 0))</f>
        <v>7.0016605834925905</v>
      </c>
      <c r="C990" s="2">
        <f ca="1">INDEX(Simulations!$A$1:$BK$2501, 990, MATCH("RevCAGR", Simulations!$A$1:$BK$1, 0))</f>
        <v>-0.02</v>
      </c>
      <c r="D990" s="2">
        <f ca="1">INDEX(Simulations!$A$1:$BK$2501, 990, MATCH("SynMargin", Simulations!$A$1:$BK$1, 0))</f>
        <v>6.2256378137111965E-3</v>
      </c>
      <c r="E990" s="2">
        <f ca="1">INDEX(Simulations!$A$1:$BK$2501, 990, MATCH("Yr1Shock", Simulations!$A$1:$BK$1, 0))</f>
        <v>3.2479450684067518E-2</v>
      </c>
    </row>
    <row r="991" spans="1:5" x14ac:dyDescent="0.3">
      <c r="A991" s="2">
        <f ca="1">INDEX(Simulations!$A$1:$BK$2501, 991, MATCH("PurchaseMultiple", Simulations!$A$1:$BK$1, 0))</f>
        <v>6.9636845772891425</v>
      </c>
      <c r="B991" s="2">
        <f ca="1">INDEX(Simulations!$A$1:$BK$2501, 991, MATCH("ExitMultiple", Simulations!$A$1:$BK$1, 0))</f>
        <v>7.5362607851490298</v>
      </c>
      <c r="C991" s="2">
        <f ca="1">INDEX(Simulations!$A$1:$BK$2501, 991, MATCH("RevCAGR", Simulations!$A$1:$BK$1, 0))</f>
        <v>5.8246826140721283E-2</v>
      </c>
      <c r="D991" s="2">
        <f ca="1">INDEX(Simulations!$A$1:$BK$2501, 991, MATCH("SynMargin", Simulations!$A$1:$BK$1, 0))</f>
        <v>1.802685044499195E-2</v>
      </c>
      <c r="E991" s="2">
        <f ca="1">INDEX(Simulations!$A$1:$BK$2501, 991, MATCH("Yr1Shock", Simulations!$A$1:$BK$1, 0))</f>
        <v>6.4412670284760059E-3</v>
      </c>
    </row>
    <row r="992" spans="1:5" x14ac:dyDescent="0.3">
      <c r="A992" s="2">
        <f ca="1">INDEX(Simulations!$A$1:$BK$2501, 992, MATCH("PurchaseMultiple", Simulations!$A$1:$BK$1, 0))</f>
        <v>6.482593090805012</v>
      </c>
      <c r="B992" s="2">
        <f ca="1">INDEX(Simulations!$A$1:$BK$2501, 992, MATCH("ExitMultiple", Simulations!$A$1:$BK$1, 0))</f>
        <v>7.4353573296184754</v>
      </c>
      <c r="C992" s="2">
        <f ca="1">INDEX(Simulations!$A$1:$BK$2501, 992, MATCH("RevCAGR", Simulations!$A$1:$BK$1, 0))</f>
        <v>3.6819310400801428E-2</v>
      </c>
      <c r="D992" s="2">
        <f ca="1">INDEX(Simulations!$A$1:$BK$2501, 992, MATCH("SynMargin", Simulations!$A$1:$BK$1, 0))</f>
        <v>1.9943703143496548E-2</v>
      </c>
      <c r="E992" s="2">
        <f ca="1">INDEX(Simulations!$A$1:$BK$2501, 992, MATCH("Yr1Shock", Simulations!$A$1:$BK$1, 0))</f>
        <v>-2.6306868233241468E-2</v>
      </c>
    </row>
    <row r="993" spans="1:5" x14ac:dyDescent="0.3">
      <c r="A993" s="2">
        <f ca="1">INDEX(Simulations!$A$1:$BK$2501, 993, MATCH("PurchaseMultiple", Simulations!$A$1:$BK$1, 0))</f>
        <v>6.6480338799747578</v>
      </c>
      <c r="B993" s="2">
        <f ca="1">INDEX(Simulations!$A$1:$BK$2501, 993, MATCH("ExitMultiple", Simulations!$A$1:$BK$1, 0))</f>
        <v>7.8279814810396173</v>
      </c>
      <c r="C993" s="2">
        <f ca="1">INDEX(Simulations!$A$1:$BK$2501, 993, MATCH("RevCAGR", Simulations!$A$1:$BK$1, 0))</f>
        <v>1.5182054730826539E-2</v>
      </c>
      <c r="D993" s="2">
        <f ca="1">INDEX(Simulations!$A$1:$BK$2501, 993, MATCH("SynMargin", Simulations!$A$1:$BK$1, 0))</f>
        <v>1.0314677874448043E-2</v>
      </c>
      <c r="E993" s="2">
        <f ca="1">INDEX(Simulations!$A$1:$BK$2501, 993, MATCH("Yr1Shock", Simulations!$A$1:$BK$1, 0))</f>
        <v>-1.6723504162168383E-2</v>
      </c>
    </row>
    <row r="994" spans="1:5" x14ac:dyDescent="0.3">
      <c r="A994" s="2">
        <f ca="1">INDEX(Simulations!$A$1:$BK$2501, 994, MATCH("PurchaseMultiple", Simulations!$A$1:$BK$1, 0))</f>
        <v>6.8092062999284222</v>
      </c>
      <c r="B994" s="2">
        <f ca="1">INDEX(Simulations!$A$1:$BK$2501, 994, MATCH("ExitMultiple", Simulations!$A$1:$BK$1, 0))</f>
        <v>6.8052875135839113</v>
      </c>
      <c r="C994" s="2">
        <f ca="1">INDEX(Simulations!$A$1:$BK$2501, 994, MATCH("RevCAGR", Simulations!$A$1:$BK$1, 0))</f>
        <v>-0.02</v>
      </c>
      <c r="D994" s="2">
        <f ca="1">INDEX(Simulations!$A$1:$BK$2501, 994, MATCH("SynMargin", Simulations!$A$1:$BK$1, 0))</f>
        <v>4.265651890930644E-5</v>
      </c>
      <c r="E994" s="2">
        <f ca="1">INDEX(Simulations!$A$1:$BK$2501, 994, MATCH("Yr1Shock", Simulations!$A$1:$BK$1, 0))</f>
        <v>6.6110001791610997E-3</v>
      </c>
    </row>
    <row r="995" spans="1:5" x14ac:dyDescent="0.3">
      <c r="A995" s="2">
        <f ca="1">INDEX(Simulations!$A$1:$BK$2501, 995, MATCH("PurchaseMultiple", Simulations!$A$1:$BK$1, 0))</f>
        <v>7.3478071206247479</v>
      </c>
      <c r="B995" s="2">
        <f ca="1">INDEX(Simulations!$A$1:$BK$2501, 995, MATCH("ExitMultiple", Simulations!$A$1:$BK$1, 0))</f>
        <v>7.3990758710208073</v>
      </c>
      <c r="C995" s="2">
        <f ca="1">INDEX(Simulations!$A$1:$BK$2501, 995, MATCH("RevCAGR", Simulations!$A$1:$BK$1, 0))</f>
        <v>6.9448580732472551E-2</v>
      </c>
      <c r="D995" s="2">
        <f ca="1">INDEX(Simulations!$A$1:$BK$2501, 995, MATCH("SynMargin", Simulations!$A$1:$BK$1, 0))</f>
        <v>6.9012567601203284E-3</v>
      </c>
      <c r="E995" s="2">
        <f ca="1">INDEX(Simulations!$A$1:$BK$2501, 995, MATCH("Yr1Shock", Simulations!$A$1:$BK$1, 0))</f>
        <v>2.2898498887267339E-2</v>
      </c>
    </row>
    <row r="996" spans="1:5" x14ac:dyDescent="0.3">
      <c r="A996" s="2">
        <f ca="1">INDEX(Simulations!$A$1:$BK$2501, 996, MATCH("PurchaseMultiple", Simulations!$A$1:$BK$1, 0))</f>
        <v>6.8366485866560192</v>
      </c>
      <c r="B996" s="2">
        <f ca="1">INDEX(Simulations!$A$1:$BK$2501, 996, MATCH("ExitMultiple", Simulations!$A$1:$BK$1, 0))</f>
        <v>7.4961837944827332</v>
      </c>
      <c r="C996" s="2">
        <f ca="1">INDEX(Simulations!$A$1:$BK$2501, 996, MATCH("RevCAGR", Simulations!$A$1:$BK$1, 0))</f>
        <v>7.1393376314955598E-2</v>
      </c>
      <c r="D996" s="2">
        <f ca="1">INDEX(Simulations!$A$1:$BK$2501, 996, MATCH("SynMargin", Simulations!$A$1:$BK$1, 0))</f>
        <v>1.5939470209996053E-2</v>
      </c>
      <c r="E996" s="2">
        <f ca="1">INDEX(Simulations!$A$1:$BK$2501, 996, MATCH("Yr1Shock", Simulations!$A$1:$BK$1, 0))</f>
        <v>7.2736637189106598E-3</v>
      </c>
    </row>
    <row r="997" spans="1:5" x14ac:dyDescent="0.3">
      <c r="A997" s="2">
        <f ca="1">INDEX(Simulations!$A$1:$BK$2501, 997, MATCH("PurchaseMultiple", Simulations!$A$1:$BK$1, 0))</f>
        <v>6.9101596739040376</v>
      </c>
      <c r="B997" s="2">
        <f ca="1">INDEX(Simulations!$A$1:$BK$2501, 997, MATCH("ExitMultiple", Simulations!$A$1:$BK$1, 0))</f>
        <v>7.3757272154363749</v>
      </c>
      <c r="C997" s="2">
        <f ca="1">INDEX(Simulations!$A$1:$BK$2501, 997, MATCH("RevCAGR", Simulations!$A$1:$BK$1, 0))</f>
        <v>6.8090665514306606E-3</v>
      </c>
      <c r="D997" s="2">
        <f ca="1">INDEX(Simulations!$A$1:$BK$2501, 997, MATCH("SynMargin", Simulations!$A$1:$BK$1, 0))</f>
        <v>3.0174406664996911E-3</v>
      </c>
      <c r="E997" s="2">
        <f ca="1">INDEX(Simulations!$A$1:$BK$2501, 997, MATCH("Yr1Shock", Simulations!$A$1:$BK$1, 0))</f>
        <v>-4.5118903964417825E-2</v>
      </c>
    </row>
    <row r="998" spans="1:5" x14ac:dyDescent="0.3">
      <c r="A998" s="2">
        <f ca="1">INDEX(Simulations!$A$1:$BK$2501, 998, MATCH("PurchaseMultiple", Simulations!$A$1:$BK$1, 0))</f>
        <v>7.4392903700025048</v>
      </c>
      <c r="B998" s="2">
        <f ca="1">INDEX(Simulations!$A$1:$BK$2501, 998, MATCH("ExitMultiple", Simulations!$A$1:$BK$1, 0))</f>
        <v>7.3434678144957886</v>
      </c>
      <c r="C998" s="2">
        <f ca="1">INDEX(Simulations!$A$1:$BK$2501, 998, MATCH("RevCAGR", Simulations!$A$1:$BK$1, 0))</f>
        <v>-5.8648111648911816E-3</v>
      </c>
      <c r="D998" s="2">
        <f ca="1">INDEX(Simulations!$A$1:$BK$2501, 998, MATCH("SynMargin", Simulations!$A$1:$BK$1, 0))</f>
        <v>9.2299219702496899E-3</v>
      </c>
      <c r="E998" s="2">
        <f ca="1">INDEX(Simulations!$A$1:$BK$2501, 998, MATCH("Yr1Shock", Simulations!$A$1:$BK$1, 0))</f>
        <v>1.4989523558804063E-2</v>
      </c>
    </row>
    <row r="999" spans="1:5" x14ac:dyDescent="0.3">
      <c r="A999" s="2">
        <f ca="1">INDEX(Simulations!$A$1:$BK$2501, 999, MATCH("PurchaseMultiple", Simulations!$A$1:$BK$1, 0))</f>
        <v>6.7318955957058106</v>
      </c>
      <c r="B999" s="2">
        <f ca="1">INDEX(Simulations!$A$1:$BK$2501, 999, MATCH("ExitMultiple", Simulations!$A$1:$BK$1, 0))</f>
        <v>7.9431513879912039</v>
      </c>
      <c r="C999" s="2">
        <f ca="1">INDEX(Simulations!$A$1:$BK$2501, 999, MATCH("RevCAGR", Simulations!$A$1:$BK$1, 0))</f>
        <v>3.7612217632647847E-2</v>
      </c>
      <c r="D999" s="2">
        <f ca="1">INDEX(Simulations!$A$1:$BK$2501, 999, MATCH("SynMargin", Simulations!$A$1:$BK$1, 0))</f>
        <v>1.4292137123528247E-2</v>
      </c>
      <c r="E999" s="2">
        <f ca="1">INDEX(Simulations!$A$1:$BK$2501, 999, MATCH("Yr1Shock", Simulations!$A$1:$BK$1, 0))</f>
        <v>1.7462134041695596E-2</v>
      </c>
    </row>
    <row r="1000" spans="1:5" x14ac:dyDescent="0.3">
      <c r="A1000" s="2">
        <f ca="1">INDEX(Simulations!$A$1:$BK$2501, 1000, MATCH("PurchaseMultiple", Simulations!$A$1:$BK$1, 0))</f>
        <v>6.3052318359017541</v>
      </c>
      <c r="B1000" s="2">
        <f ca="1">INDEX(Simulations!$A$1:$BK$2501, 1000, MATCH("ExitMultiple", Simulations!$A$1:$BK$1, 0))</f>
        <v>7.7851840280368876</v>
      </c>
      <c r="C1000" s="2">
        <f ca="1">INDEX(Simulations!$A$1:$BK$2501, 1000, MATCH("RevCAGR", Simulations!$A$1:$BK$1, 0))</f>
        <v>3.1823969150021253E-2</v>
      </c>
      <c r="D1000" s="2">
        <f ca="1">INDEX(Simulations!$A$1:$BK$2501, 1000, MATCH("SynMargin", Simulations!$A$1:$BK$1, 0))</f>
        <v>7.5154879333684844E-3</v>
      </c>
      <c r="E1000" s="2">
        <f ca="1">INDEX(Simulations!$A$1:$BK$2501, 1000, MATCH("Yr1Shock", Simulations!$A$1:$BK$1, 0))</f>
        <v>-1.059278996767439E-2</v>
      </c>
    </row>
    <row r="1001" spans="1:5" x14ac:dyDescent="0.3">
      <c r="A1001" s="2">
        <f ca="1">INDEX(Simulations!$A$1:$BK$2501, 1001, MATCH("PurchaseMultiple", Simulations!$A$1:$BK$1, 0))</f>
        <v>6.1614088463914456</v>
      </c>
      <c r="B1001" s="2">
        <f ca="1">INDEX(Simulations!$A$1:$BK$2501, 1001, MATCH("ExitMultiple", Simulations!$A$1:$BK$1, 0))</f>
        <v>7.817703070127787</v>
      </c>
      <c r="C1001" s="2">
        <f ca="1">INDEX(Simulations!$A$1:$BK$2501, 1001, MATCH("RevCAGR", Simulations!$A$1:$BK$1, 0))</f>
        <v>1.4199200990086668E-2</v>
      </c>
      <c r="D1001" s="2">
        <f ca="1">INDEX(Simulations!$A$1:$BK$2501, 1001, MATCH("SynMargin", Simulations!$A$1:$BK$1, 0))</f>
        <v>1.3921515570845956E-2</v>
      </c>
      <c r="E1001" s="2">
        <f ca="1">INDEX(Simulations!$A$1:$BK$2501, 1001, MATCH("Yr1Shock", Simulations!$A$1:$BK$1, 0))</f>
        <v>-3.6067659200769812E-2</v>
      </c>
    </row>
    <row r="1002" spans="1:5" x14ac:dyDescent="0.3">
      <c r="A1002" s="2">
        <f ca="1">INDEX(Simulations!$A$1:$BK$2501, 1002, MATCH("PurchaseMultiple", Simulations!$A$1:$BK$1, 0))</f>
        <v>7.3663342121659134</v>
      </c>
      <c r="B1002" s="2">
        <f ca="1">INDEX(Simulations!$A$1:$BK$2501, 1002, MATCH("ExitMultiple", Simulations!$A$1:$BK$1, 0))</f>
        <v>7.5554750931737331</v>
      </c>
      <c r="C1002" s="2">
        <f ca="1">INDEX(Simulations!$A$1:$BK$2501, 1002, MATCH("RevCAGR", Simulations!$A$1:$BK$1, 0))</f>
        <v>7.2921063429524077E-2</v>
      </c>
      <c r="D1002" s="2">
        <f ca="1">INDEX(Simulations!$A$1:$BK$2501, 1002, MATCH("SynMargin", Simulations!$A$1:$BK$1, 0))</f>
        <v>1.0309872564415623E-2</v>
      </c>
      <c r="E1002" s="2">
        <f ca="1">INDEX(Simulations!$A$1:$BK$2501, 1002, MATCH("Yr1Shock", Simulations!$A$1:$BK$1, 0))</f>
        <v>7.9900298541295128E-3</v>
      </c>
    </row>
    <row r="1003" spans="1:5" x14ac:dyDescent="0.3">
      <c r="A1003" s="2">
        <f ca="1">INDEX(Simulations!$A$1:$BK$2501, 1003, MATCH("PurchaseMultiple", Simulations!$A$1:$BK$1, 0))</f>
        <v>6.6356098830261878</v>
      </c>
      <c r="B1003" s="2">
        <f ca="1">INDEX(Simulations!$A$1:$BK$2501, 1003, MATCH("ExitMultiple", Simulations!$A$1:$BK$1, 0))</f>
        <v>7.0838290250956719</v>
      </c>
      <c r="C1003" s="2">
        <f ca="1">INDEX(Simulations!$A$1:$BK$2501, 1003, MATCH("RevCAGR", Simulations!$A$1:$BK$1, 0))</f>
        <v>5.8163436597523391E-2</v>
      </c>
      <c r="D1003" s="2">
        <f ca="1">INDEX(Simulations!$A$1:$BK$2501, 1003, MATCH("SynMargin", Simulations!$A$1:$BK$1, 0))</f>
        <v>6.5936272454437525E-3</v>
      </c>
      <c r="E1003" s="2">
        <f ca="1">INDEX(Simulations!$A$1:$BK$2501, 1003, MATCH("Yr1Shock", Simulations!$A$1:$BK$1, 0))</f>
        <v>-2.4878218656877164E-2</v>
      </c>
    </row>
    <row r="1004" spans="1:5" x14ac:dyDescent="0.3">
      <c r="A1004" s="2">
        <f ca="1">INDEX(Simulations!$A$1:$BK$2501, 1004, MATCH("PurchaseMultiple", Simulations!$A$1:$BK$1, 0))</f>
        <v>7.3271408214641696</v>
      </c>
      <c r="B1004" s="2">
        <f ca="1">INDEX(Simulations!$A$1:$BK$2501, 1004, MATCH("ExitMultiple", Simulations!$A$1:$BK$1, 0))</f>
        <v>7.578319106845731</v>
      </c>
      <c r="C1004" s="2">
        <f ca="1">INDEX(Simulations!$A$1:$BK$2501, 1004, MATCH("RevCAGR", Simulations!$A$1:$BK$1, 0))</f>
        <v>5.4479223339451696E-2</v>
      </c>
      <c r="D1004" s="2">
        <f ca="1">INDEX(Simulations!$A$1:$BK$2501, 1004, MATCH("SynMargin", Simulations!$A$1:$BK$1, 0))</f>
        <v>2.7667849738950328E-3</v>
      </c>
      <c r="E1004" s="2">
        <f ca="1">INDEX(Simulations!$A$1:$BK$2501, 1004, MATCH("Yr1Shock", Simulations!$A$1:$BK$1, 0))</f>
        <v>1.8836705842263213E-2</v>
      </c>
    </row>
    <row r="1005" spans="1:5" x14ac:dyDescent="0.3">
      <c r="A1005" s="2">
        <f ca="1">INDEX(Simulations!$A$1:$BK$2501, 1005, MATCH("PurchaseMultiple", Simulations!$A$1:$BK$1, 0))</f>
        <v>6.9636693316954901</v>
      </c>
      <c r="B1005" s="2">
        <f ca="1">INDEX(Simulations!$A$1:$BK$2501, 1005, MATCH("ExitMultiple", Simulations!$A$1:$BK$1, 0))</f>
        <v>7.7517468465223214</v>
      </c>
      <c r="C1005" s="2">
        <f ca="1">INDEX(Simulations!$A$1:$BK$2501, 1005, MATCH("RevCAGR", Simulations!$A$1:$BK$1, 0))</f>
        <v>6.3854004074328286E-2</v>
      </c>
      <c r="D1005" s="2">
        <f ca="1">INDEX(Simulations!$A$1:$BK$2501, 1005, MATCH("SynMargin", Simulations!$A$1:$BK$1, 0))</f>
        <v>1.0616452055047097E-2</v>
      </c>
      <c r="E1005" s="2">
        <f ca="1">INDEX(Simulations!$A$1:$BK$2501, 1005, MATCH("Yr1Shock", Simulations!$A$1:$BK$1, 0))</f>
        <v>-0.05</v>
      </c>
    </row>
    <row r="1006" spans="1:5" x14ac:dyDescent="0.3">
      <c r="A1006" s="2">
        <f ca="1">INDEX(Simulations!$A$1:$BK$2501, 1006, MATCH("PurchaseMultiple", Simulations!$A$1:$BK$1, 0))</f>
        <v>7.0852670013498553</v>
      </c>
      <c r="B1006" s="2">
        <f ca="1">INDEX(Simulations!$A$1:$BK$2501, 1006, MATCH("ExitMultiple", Simulations!$A$1:$BK$1, 0))</f>
        <v>7.8290084908260029</v>
      </c>
      <c r="C1006" s="2">
        <f ca="1">INDEX(Simulations!$A$1:$BK$2501, 1006, MATCH("RevCAGR", Simulations!$A$1:$BK$1, 0))</f>
        <v>2.457466115867013E-2</v>
      </c>
      <c r="D1006" s="2">
        <f ca="1">INDEX(Simulations!$A$1:$BK$2501, 1006, MATCH("SynMargin", Simulations!$A$1:$BK$1, 0))</f>
        <v>8.8479024691191684E-3</v>
      </c>
      <c r="E1006" s="2">
        <f ca="1">INDEX(Simulations!$A$1:$BK$2501, 1006, MATCH("Yr1Shock", Simulations!$A$1:$BK$1, 0))</f>
        <v>3.2357830089099926E-2</v>
      </c>
    </row>
    <row r="1007" spans="1:5" x14ac:dyDescent="0.3">
      <c r="A1007" s="2">
        <f ca="1">INDEX(Simulations!$A$1:$BK$2501, 1007, MATCH("PurchaseMultiple", Simulations!$A$1:$BK$1, 0))</f>
        <v>7.1786763942416982</v>
      </c>
      <c r="B1007" s="2">
        <f ca="1">INDEX(Simulations!$A$1:$BK$2501, 1007, MATCH("ExitMultiple", Simulations!$A$1:$BK$1, 0))</f>
        <v>6.9977506724148961</v>
      </c>
      <c r="C1007" s="2">
        <f ca="1">INDEX(Simulations!$A$1:$BK$2501, 1007, MATCH("RevCAGR", Simulations!$A$1:$BK$1, 0))</f>
        <v>2.6598700662142941E-2</v>
      </c>
      <c r="D1007" s="2">
        <f ca="1">INDEX(Simulations!$A$1:$BK$2501, 1007, MATCH("SynMargin", Simulations!$A$1:$BK$1, 0))</f>
        <v>2.40444055834648E-3</v>
      </c>
      <c r="E1007" s="2">
        <f ca="1">INDEX(Simulations!$A$1:$BK$2501, 1007, MATCH("Yr1Shock", Simulations!$A$1:$BK$1, 0))</f>
        <v>3.2867227402383327E-2</v>
      </c>
    </row>
    <row r="1008" spans="1:5" x14ac:dyDescent="0.3">
      <c r="A1008" s="2">
        <f ca="1">INDEX(Simulations!$A$1:$BK$2501, 1008, MATCH("PurchaseMultiple", Simulations!$A$1:$BK$1, 0))</f>
        <v>7.2193835567835807</v>
      </c>
      <c r="B1008" s="2">
        <f ca="1">INDEX(Simulations!$A$1:$BK$2501, 1008, MATCH("ExitMultiple", Simulations!$A$1:$BK$1, 0))</f>
        <v>7.7360165558375957</v>
      </c>
      <c r="C1008" s="2">
        <f ca="1">INDEX(Simulations!$A$1:$BK$2501, 1008, MATCH("RevCAGR", Simulations!$A$1:$BK$1, 0))</f>
        <v>4.2605563536522208E-2</v>
      </c>
      <c r="D1008" s="2">
        <f ca="1">INDEX(Simulations!$A$1:$BK$2501, 1008, MATCH("SynMargin", Simulations!$A$1:$BK$1, 0))</f>
        <v>1.2028784608529876E-2</v>
      </c>
      <c r="E1008" s="2">
        <f ca="1">INDEX(Simulations!$A$1:$BK$2501, 1008, MATCH("Yr1Shock", Simulations!$A$1:$BK$1, 0))</f>
        <v>1.0918832734277207E-2</v>
      </c>
    </row>
    <row r="1009" spans="1:5" x14ac:dyDescent="0.3">
      <c r="A1009" s="2">
        <f ca="1">INDEX(Simulations!$A$1:$BK$2501, 1009, MATCH("PurchaseMultiple", Simulations!$A$1:$BK$1, 0))</f>
        <v>7.0906211083979178</v>
      </c>
      <c r="B1009" s="2">
        <f ca="1">INDEX(Simulations!$A$1:$BK$2501, 1009, MATCH("ExitMultiple", Simulations!$A$1:$BK$1, 0))</f>
        <v>7.8841229378431157</v>
      </c>
      <c r="C1009" s="2">
        <f ca="1">INDEX(Simulations!$A$1:$BK$2501, 1009, MATCH("RevCAGR", Simulations!$A$1:$BK$1, 0))</f>
        <v>5.0718279132066044E-2</v>
      </c>
      <c r="D1009" s="2">
        <f ca="1">INDEX(Simulations!$A$1:$BK$2501, 1009, MATCH("SynMargin", Simulations!$A$1:$BK$1, 0))</f>
        <v>8.9252751171281283E-3</v>
      </c>
      <c r="E1009" s="2">
        <f ca="1">INDEX(Simulations!$A$1:$BK$2501, 1009, MATCH("Yr1Shock", Simulations!$A$1:$BK$1, 0))</f>
        <v>1.1920505046047915E-2</v>
      </c>
    </row>
    <row r="1010" spans="1:5" x14ac:dyDescent="0.3">
      <c r="A1010" s="2">
        <f ca="1">INDEX(Simulations!$A$1:$BK$2501, 1010, MATCH("PurchaseMultiple", Simulations!$A$1:$BK$1, 0))</f>
        <v>7.0310794318366927</v>
      </c>
      <c r="B1010" s="2">
        <f ca="1">INDEX(Simulations!$A$1:$BK$2501, 1010, MATCH("ExitMultiple", Simulations!$A$1:$BK$1, 0))</f>
        <v>6.8694314161606567</v>
      </c>
      <c r="C1010" s="2">
        <f ca="1">INDEX(Simulations!$A$1:$BK$2501, 1010, MATCH("RevCAGR", Simulations!$A$1:$BK$1, 0))</f>
        <v>8.8527435839828167E-4</v>
      </c>
      <c r="D1010" s="2">
        <f ca="1">INDEX(Simulations!$A$1:$BK$2501, 1010, MATCH("SynMargin", Simulations!$A$1:$BK$1, 0))</f>
        <v>1.1238547809641258E-2</v>
      </c>
      <c r="E1010" s="2">
        <f ca="1">INDEX(Simulations!$A$1:$BK$2501, 1010, MATCH("Yr1Shock", Simulations!$A$1:$BK$1, 0))</f>
        <v>-4.1139518787652761E-3</v>
      </c>
    </row>
    <row r="1011" spans="1:5" x14ac:dyDescent="0.3">
      <c r="A1011" s="2">
        <f ca="1">INDEX(Simulations!$A$1:$BK$2501, 1011, MATCH("PurchaseMultiple", Simulations!$A$1:$BK$1, 0))</f>
        <v>7.1445127004466862</v>
      </c>
      <c r="B1011" s="2">
        <f ca="1">INDEX(Simulations!$A$1:$BK$2501, 1011, MATCH("ExitMultiple", Simulations!$A$1:$BK$1, 0))</f>
        <v>8.1792184465456259</v>
      </c>
      <c r="C1011" s="2">
        <f ca="1">INDEX(Simulations!$A$1:$BK$2501, 1011, MATCH("RevCAGR", Simulations!$A$1:$BK$1, 0))</f>
        <v>1.7048868386423728E-2</v>
      </c>
      <c r="D1011" s="2">
        <f ca="1">INDEX(Simulations!$A$1:$BK$2501, 1011, MATCH("SynMargin", Simulations!$A$1:$BK$1, 0))</f>
        <v>7.4429863376204962E-3</v>
      </c>
      <c r="E1011" s="2">
        <f ca="1">INDEX(Simulations!$A$1:$BK$2501, 1011, MATCH("Yr1Shock", Simulations!$A$1:$BK$1, 0))</f>
        <v>3.7661855911268832E-2</v>
      </c>
    </row>
    <row r="1012" spans="1:5" x14ac:dyDescent="0.3">
      <c r="A1012" s="2">
        <f ca="1">INDEX(Simulations!$A$1:$BK$2501, 1012, MATCH("PurchaseMultiple", Simulations!$A$1:$BK$1, 0))</f>
        <v>6.8359432887318015</v>
      </c>
      <c r="B1012" s="2">
        <f ca="1">INDEX(Simulations!$A$1:$BK$2501, 1012, MATCH("ExitMultiple", Simulations!$A$1:$BK$1, 0))</f>
        <v>7.7320403102169006</v>
      </c>
      <c r="C1012" s="2">
        <f ca="1">INDEX(Simulations!$A$1:$BK$2501, 1012, MATCH("RevCAGR", Simulations!$A$1:$BK$1, 0))</f>
        <v>-1.2496660408874538E-2</v>
      </c>
      <c r="D1012" s="2">
        <f ca="1">INDEX(Simulations!$A$1:$BK$2501, 1012, MATCH("SynMargin", Simulations!$A$1:$BK$1, 0))</f>
        <v>1.2953584712495206E-2</v>
      </c>
      <c r="E1012" s="2">
        <f ca="1">INDEX(Simulations!$A$1:$BK$2501, 1012, MATCH("Yr1Shock", Simulations!$A$1:$BK$1, 0))</f>
        <v>-4.2254106016721256E-2</v>
      </c>
    </row>
    <row r="1013" spans="1:5" x14ac:dyDescent="0.3">
      <c r="A1013" s="2">
        <f ca="1">INDEX(Simulations!$A$1:$BK$2501, 1013, MATCH("PurchaseMultiple", Simulations!$A$1:$BK$1, 0))</f>
        <v>6.6529099401153964</v>
      </c>
      <c r="B1013" s="2">
        <f ca="1">INDEX(Simulations!$A$1:$BK$2501, 1013, MATCH("ExitMultiple", Simulations!$A$1:$BK$1, 0))</f>
        <v>7.5858438373118391</v>
      </c>
      <c r="C1013" s="2">
        <f ca="1">INDEX(Simulations!$A$1:$BK$2501, 1013, MATCH("RevCAGR", Simulations!$A$1:$BK$1, 0))</f>
        <v>3.5245792515244047E-2</v>
      </c>
      <c r="D1013" s="2">
        <f ca="1">INDEX(Simulations!$A$1:$BK$2501, 1013, MATCH("SynMargin", Simulations!$A$1:$BK$1, 0))</f>
        <v>1.1849915069606407E-2</v>
      </c>
      <c r="E1013" s="2">
        <f ca="1">INDEX(Simulations!$A$1:$BK$2501, 1013, MATCH("Yr1Shock", Simulations!$A$1:$BK$1, 0))</f>
        <v>-1.6690502681957091E-2</v>
      </c>
    </row>
    <row r="1014" spans="1:5" x14ac:dyDescent="0.3">
      <c r="A1014" s="2">
        <f ca="1">INDEX(Simulations!$A$1:$BK$2501, 1014, MATCH("PurchaseMultiple", Simulations!$A$1:$BK$1, 0))</f>
        <v>7.2523520610080476</v>
      </c>
      <c r="B1014" s="2">
        <f ca="1">INDEX(Simulations!$A$1:$BK$2501, 1014, MATCH("ExitMultiple", Simulations!$A$1:$BK$1, 0))</f>
        <v>7.5880470529117696</v>
      </c>
      <c r="C1014" s="2">
        <f ca="1">INDEX(Simulations!$A$1:$BK$2501, 1014, MATCH("RevCAGR", Simulations!$A$1:$BK$1, 0))</f>
        <v>7.1521625297782138E-2</v>
      </c>
      <c r="D1014" s="2">
        <f ca="1">INDEX(Simulations!$A$1:$BK$2501, 1014, MATCH("SynMargin", Simulations!$A$1:$BK$1, 0))</f>
        <v>1.5732519981250453E-2</v>
      </c>
      <c r="E1014" s="2">
        <f ca="1">INDEX(Simulations!$A$1:$BK$2501, 1014, MATCH("Yr1Shock", Simulations!$A$1:$BK$1, 0))</f>
        <v>-1.5757017874504467E-2</v>
      </c>
    </row>
    <row r="1015" spans="1:5" x14ac:dyDescent="0.3">
      <c r="A1015" s="2">
        <f ca="1">INDEX(Simulations!$A$1:$BK$2501, 1015, MATCH("PurchaseMultiple", Simulations!$A$1:$BK$1, 0))</f>
        <v>7.4332070623736763</v>
      </c>
      <c r="B1015" s="2">
        <f ca="1">INDEX(Simulations!$A$1:$BK$2501, 1015, MATCH("ExitMultiple", Simulations!$A$1:$BK$1, 0))</f>
        <v>7.6433683205256582</v>
      </c>
      <c r="C1015" s="2">
        <f ca="1">INDEX(Simulations!$A$1:$BK$2501, 1015, MATCH("RevCAGR", Simulations!$A$1:$BK$1, 0))</f>
        <v>-8.8894778874422722E-3</v>
      </c>
      <c r="D1015" s="2">
        <f ca="1">INDEX(Simulations!$A$1:$BK$2501, 1015, MATCH("SynMargin", Simulations!$A$1:$BK$1, 0))</f>
        <v>1.4563213579852557E-2</v>
      </c>
      <c r="E1015" s="2">
        <f ca="1">INDEX(Simulations!$A$1:$BK$2501, 1015, MATCH("Yr1Shock", Simulations!$A$1:$BK$1, 0))</f>
        <v>-1.4629892301956621E-3</v>
      </c>
    </row>
    <row r="1016" spans="1:5" x14ac:dyDescent="0.3">
      <c r="A1016" s="2">
        <f ca="1">INDEX(Simulations!$A$1:$BK$2501, 1016, MATCH("PurchaseMultiple", Simulations!$A$1:$BK$1, 0))</f>
        <v>6.8081783095031243</v>
      </c>
      <c r="B1016" s="2">
        <f ca="1">INDEX(Simulations!$A$1:$BK$2501, 1016, MATCH("ExitMultiple", Simulations!$A$1:$BK$1, 0))</f>
        <v>7.7950404007164016</v>
      </c>
      <c r="C1016" s="2">
        <f ca="1">INDEX(Simulations!$A$1:$BK$2501, 1016, MATCH("RevCAGR", Simulations!$A$1:$BK$1, 0))</f>
        <v>5.0746156796777332E-2</v>
      </c>
      <c r="D1016" s="2">
        <f ca="1">INDEX(Simulations!$A$1:$BK$2501, 1016, MATCH("SynMargin", Simulations!$A$1:$BK$1, 0))</f>
        <v>6.0416570533100619E-3</v>
      </c>
      <c r="E1016" s="2">
        <f ca="1">INDEX(Simulations!$A$1:$BK$2501, 1016, MATCH("Yr1Shock", Simulations!$A$1:$BK$1, 0))</f>
        <v>-3.2083427169169497E-3</v>
      </c>
    </row>
    <row r="1017" spans="1:5" x14ac:dyDescent="0.3">
      <c r="A1017" s="2">
        <f ca="1">INDEX(Simulations!$A$1:$BK$2501, 1017, MATCH("PurchaseMultiple", Simulations!$A$1:$BK$1, 0))</f>
        <v>6.7851962436007218</v>
      </c>
      <c r="B1017" s="2">
        <f ca="1">INDEX(Simulations!$A$1:$BK$2501, 1017, MATCH("ExitMultiple", Simulations!$A$1:$BK$1, 0))</f>
        <v>7.0396090778749221</v>
      </c>
      <c r="C1017" s="2">
        <f ca="1">INDEX(Simulations!$A$1:$BK$2501, 1017, MATCH("RevCAGR", Simulations!$A$1:$BK$1, 0))</f>
        <v>5.6200985648327623E-2</v>
      </c>
      <c r="D1017" s="2">
        <f ca="1">INDEX(Simulations!$A$1:$BK$2501, 1017, MATCH("SynMargin", Simulations!$A$1:$BK$1, 0))</f>
        <v>1.1888775317185568E-2</v>
      </c>
      <c r="E1017" s="2">
        <f ca="1">INDEX(Simulations!$A$1:$BK$2501, 1017, MATCH("Yr1Shock", Simulations!$A$1:$BK$1, 0))</f>
        <v>-1.9678767828210028E-2</v>
      </c>
    </row>
    <row r="1018" spans="1:5" x14ac:dyDescent="0.3">
      <c r="A1018" s="2">
        <f ca="1">INDEX(Simulations!$A$1:$BK$2501, 1018, MATCH("PurchaseMultiple", Simulations!$A$1:$BK$1, 0))</f>
        <v>7.1340372142185338</v>
      </c>
      <c r="B1018" s="2">
        <f ca="1">INDEX(Simulations!$A$1:$BK$2501, 1018, MATCH("ExitMultiple", Simulations!$A$1:$BK$1, 0))</f>
        <v>7.3721621713355781</v>
      </c>
      <c r="C1018" s="2">
        <f ca="1">INDEX(Simulations!$A$1:$BK$2501, 1018, MATCH("RevCAGR", Simulations!$A$1:$BK$1, 0))</f>
        <v>6.9036280853428597E-3</v>
      </c>
      <c r="D1018" s="2">
        <f ca="1">INDEX(Simulations!$A$1:$BK$2501, 1018, MATCH("SynMargin", Simulations!$A$1:$BK$1, 0))</f>
        <v>1.416542014205241E-2</v>
      </c>
      <c r="E1018" s="2">
        <f ca="1">INDEX(Simulations!$A$1:$BK$2501, 1018, MATCH("Yr1Shock", Simulations!$A$1:$BK$1, 0))</f>
        <v>-3.1090930663829779E-2</v>
      </c>
    </row>
    <row r="1019" spans="1:5" x14ac:dyDescent="0.3">
      <c r="A1019" s="2">
        <f ca="1">INDEX(Simulations!$A$1:$BK$2501, 1019, MATCH("PurchaseMultiple", Simulations!$A$1:$BK$1, 0))</f>
        <v>6.5031597216304986</v>
      </c>
      <c r="B1019" s="2">
        <f ca="1">INDEX(Simulations!$A$1:$BK$2501, 1019, MATCH("ExitMultiple", Simulations!$A$1:$BK$1, 0))</f>
        <v>7.6036431517967493</v>
      </c>
      <c r="C1019" s="2">
        <f ca="1">INDEX(Simulations!$A$1:$BK$2501, 1019, MATCH("RevCAGR", Simulations!$A$1:$BK$1, 0))</f>
        <v>1.572562823695119E-2</v>
      </c>
      <c r="D1019" s="2">
        <f ca="1">INDEX(Simulations!$A$1:$BK$2501, 1019, MATCH("SynMargin", Simulations!$A$1:$BK$1, 0))</f>
        <v>1.0030558118635249E-2</v>
      </c>
      <c r="E1019" s="2">
        <f ca="1">INDEX(Simulations!$A$1:$BK$2501, 1019, MATCH("Yr1Shock", Simulations!$A$1:$BK$1, 0))</f>
        <v>-3.9993369382086162E-2</v>
      </c>
    </row>
    <row r="1020" spans="1:5" x14ac:dyDescent="0.3">
      <c r="A1020" s="2">
        <f ca="1">INDEX(Simulations!$A$1:$BK$2501, 1020, MATCH("PurchaseMultiple", Simulations!$A$1:$BK$1, 0))</f>
        <v>6.1972602386055478</v>
      </c>
      <c r="B1020" s="2">
        <f ca="1">INDEX(Simulations!$A$1:$BK$2501, 1020, MATCH("ExitMultiple", Simulations!$A$1:$BK$1, 0))</f>
        <v>7.1568370136180119</v>
      </c>
      <c r="C1020" s="2">
        <f ca="1">INDEX(Simulations!$A$1:$BK$2501, 1020, MATCH("RevCAGR", Simulations!$A$1:$BK$1, 0))</f>
        <v>7.0801245613712066E-2</v>
      </c>
      <c r="D1020" s="2">
        <f ca="1">INDEX(Simulations!$A$1:$BK$2501, 1020, MATCH("SynMargin", Simulations!$A$1:$BK$1, 0))</f>
        <v>4.9374283253980087E-3</v>
      </c>
      <c r="E1020" s="2">
        <f ca="1">INDEX(Simulations!$A$1:$BK$2501, 1020, MATCH("Yr1Shock", Simulations!$A$1:$BK$1, 0))</f>
        <v>-3.1559486453894649E-2</v>
      </c>
    </row>
    <row r="1021" spans="1:5" x14ac:dyDescent="0.3">
      <c r="A1021" s="2">
        <f ca="1">INDEX(Simulations!$A$1:$BK$2501, 1021, MATCH("PurchaseMultiple", Simulations!$A$1:$BK$1, 0))</f>
        <v>6.4796592508267414</v>
      </c>
      <c r="B1021" s="2">
        <f ca="1">INDEX(Simulations!$A$1:$BK$2501, 1021, MATCH("ExitMultiple", Simulations!$A$1:$BK$1, 0))</f>
        <v>7.4803150360089363</v>
      </c>
      <c r="C1021" s="2">
        <f ca="1">INDEX(Simulations!$A$1:$BK$2501, 1021, MATCH("RevCAGR", Simulations!$A$1:$BK$1, 0))</f>
        <v>1.4592987446870605E-2</v>
      </c>
      <c r="D1021" s="2">
        <f ca="1">INDEX(Simulations!$A$1:$BK$2501, 1021, MATCH("SynMargin", Simulations!$A$1:$BK$1, 0))</f>
        <v>1.3701589784248229E-2</v>
      </c>
      <c r="E1021" s="2">
        <f ca="1">INDEX(Simulations!$A$1:$BK$2501, 1021, MATCH("Yr1Shock", Simulations!$A$1:$BK$1, 0))</f>
        <v>2.2706063549232991E-2</v>
      </c>
    </row>
    <row r="1022" spans="1:5" x14ac:dyDescent="0.3">
      <c r="A1022" s="2">
        <f ca="1">INDEX(Simulations!$A$1:$BK$2501, 1022, MATCH("PurchaseMultiple", Simulations!$A$1:$BK$1, 0))</f>
        <v>7.1598974874768029</v>
      </c>
      <c r="B1022" s="2">
        <f ca="1">INDEX(Simulations!$A$1:$BK$2501, 1022, MATCH("ExitMultiple", Simulations!$A$1:$BK$1, 0))</f>
        <v>7.5698784103015306</v>
      </c>
      <c r="C1022" s="2">
        <f ca="1">INDEX(Simulations!$A$1:$BK$2501, 1022, MATCH("RevCAGR", Simulations!$A$1:$BK$1, 0))</f>
        <v>-1.1204506904402889E-2</v>
      </c>
      <c r="D1022" s="2">
        <f ca="1">INDEX(Simulations!$A$1:$BK$2501, 1022, MATCH("SynMargin", Simulations!$A$1:$BK$1, 0))</f>
        <v>1.4693064690283423E-2</v>
      </c>
      <c r="E1022" s="2">
        <f ca="1">INDEX(Simulations!$A$1:$BK$2501, 1022, MATCH("Yr1Shock", Simulations!$A$1:$BK$1, 0))</f>
        <v>1.5932698211127951E-2</v>
      </c>
    </row>
    <row r="1023" spans="1:5" x14ac:dyDescent="0.3">
      <c r="A1023" s="2">
        <f ca="1">INDEX(Simulations!$A$1:$BK$2501, 1023, MATCH("PurchaseMultiple", Simulations!$A$1:$BK$1, 0))</f>
        <v>6.9806820638442471</v>
      </c>
      <c r="B1023" s="2">
        <f ca="1">INDEX(Simulations!$A$1:$BK$2501, 1023, MATCH("ExitMultiple", Simulations!$A$1:$BK$1, 0))</f>
        <v>7.3686660228426266</v>
      </c>
      <c r="C1023" s="2">
        <f ca="1">INDEX(Simulations!$A$1:$BK$2501, 1023, MATCH("RevCAGR", Simulations!$A$1:$BK$1, 0))</f>
        <v>4.6233490996298289E-2</v>
      </c>
      <c r="D1023" s="2">
        <f ca="1">INDEX(Simulations!$A$1:$BK$2501, 1023, MATCH("SynMargin", Simulations!$A$1:$BK$1, 0))</f>
        <v>6.9294152777626215E-3</v>
      </c>
      <c r="E1023" s="2">
        <f ca="1">INDEX(Simulations!$A$1:$BK$2501, 1023, MATCH("Yr1Shock", Simulations!$A$1:$BK$1, 0))</f>
        <v>-1.4562203385354145E-2</v>
      </c>
    </row>
    <row r="1024" spans="1:5" x14ac:dyDescent="0.3">
      <c r="A1024" s="2">
        <f ca="1">INDEX(Simulations!$A$1:$BK$2501, 1024, MATCH("PurchaseMultiple", Simulations!$A$1:$BK$1, 0))</f>
        <v>6.6615850203458882</v>
      </c>
      <c r="B1024" s="2">
        <f ca="1">INDEX(Simulations!$A$1:$BK$2501, 1024, MATCH("ExitMultiple", Simulations!$A$1:$BK$1, 0))</f>
        <v>7.0586333857775649</v>
      </c>
      <c r="C1024" s="2">
        <f ca="1">INDEX(Simulations!$A$1:$BK$2501, 1024, MATCH("RevCAGR", Simulations!$A$1:$BK$1, 0))</f>
        <v>4.8390777926961032E-2</v>
      </c>
      <c r="D1024" s="2">
        <f ca="1">INDEX(Simulations!$A$1:$BK$2501, 1024, MATCH("SynMargin", Simulations!$A$1:$BK$1, 0))</f>
        <v>8.0734952716942799E-3</v>
      </c>
      <c r="E1024" s="2">
        <f ca="1">INDEX(Simulations!$A$1:$BK$2501, 1024, MATCH("Yr1Shock", Simulations!$A$1:$BK$1, 0))</f>
        <v>-1.8531592946205402E-2</v>
      </c>
    </row>
    <row r="1025" spans="1:5" x14ac:dyDescent="0.3">
      <c r="A1025" s="2">
        <f ca="1">INDEX(Simulations!$A$1:$BK$2501, 1025, MATCH("PurchaseMultiple", Simulations!$A$1:$BK$1, 0))</f>
        <v>7.2129260481896385</v>
      </c>
      <c r="B1025" s="2">
        <f ca="1">INDEX(Simulations!$A$1:$BK$2501, 1025, MATCH("ExitMultiple", Simulations!$A$1:$BK$1, 0))</f>
        <v>6.8702712724228423</v>
      </c>
      <c r="C1025" s="2">
        <f ca="1">INDEX(Simulations!$A$1:$BK$2501, 1025, MATCH("RevCAGR", Simulations!$A$1:$BK$1, 0))</f>
        <v>1.5621359240725562E-2</v>
      </c>
      <c r="D1025" s="2">
        <f ca="1">INDEX(Simulations!$A$1:$BK$2501, 1025, MATCH("SynMargin", Simulations!$A$1:$BK$1, 0))</f>
        <v>1.5754117024744274E-2</v>
      </c>
      <c r="E1025" s="2">
        <f ca="1">INDEX(Simulations!$A$1:$BK$2501, 1025, MATCH("Yr1Shock", Simulations!$A$1:$BK$1, 0))</f>
        <v>5.6731445065099232E-3</v>
      </c>
    </row>
    <row r="1026" spans="1:5" x14ac:dyDescent="0.3">
      <c r="A1026" s="2">
        <f ca="1">INDEX(Simulations!$A$1:$BK$2501, 1026, MATCH("PurchaseMultiple", Simulations!$A$1:$BK$1, 0))</f>
        <v>6.1915466000663582</v>
      </c>
      <c r="B1026" s="2">
        <f ca="1">INDEX(Simulations!$A$1:$BK$2501, 1026, MATCH("ExitMultiple", Simulations!$A$1:$BK$1, 0))</f>
        <v>7.7700605810790231</v>
      </c>
      <c r="C1026" s="2">
        <f ca="1">INDEX(Simulations!$A$1:$BK$2501, 1026, MATCH("RevCAGR", Simulations!$A$1:$BK$1, 0))</f>
        <v>3.5877574645767081E-2</v>
      </c>
      <c r="D1026" s="2">
        <f ca="1">INDEX(Simulations!$A$1:$BK$2501, 1026, MATCH("SynMargin", Simulations!$A$1:$BK$1, 0))</f>
        <v>1.7253564503461296E-2</v>
      </c>
      <c r="E1026" s="2">
        <f ca="1">INDEX(Simulations!$A$1:$BK$2501, 1026, MATCH("Yr1Shock", Simulations!$A$1:$BK$1, 0))</f>
        <v>-9.9847320513825055E-3</v>
      </c>
    </row>
    <row r="1027" spans="1:5" x14ac:dyDescent="0.3">
      <c r="A1027" s="2">
        <f ca="1">INDEX(Simulations!$A$1:$BK$2501, 1027, MATCH("PurchaseMultiple", Simulations!$A$1:$BK$1, 0))</f>
        <v>6.863646112229179</v>
      </c>
      <c r="B1027" s="2">
        <f ca="1">INDEX(Simulations!$A$1:$BK$2501, 1027, MATCH("ExitMultiple", Simulations!$A$1:$BK$1, 0))</f>
        <v>6.8233052478820406</v>
      </c>
      <c r="C1027" s="2">
        <f ca="1">INDEX(Simulations!$A$1:$BK$2501, 1027, MATCH("RevCAGR", Simulations!$A$1:$BK$1, 0))</f>
        <v>4.592568222137778E-2</v>
      </c>
      <c r="D1027" s="2">
        <f ca="1">INDEX(Simulations!$A$1:$BK$2501, 1027, MATCH("SynMargin", Simulations!$A$1:$BK$1, 0))</f>
        <v>1.4240446418644619E-2</v>
      </c>
      <c r="E1027" s="2">
        <f ca="1">INDEX(Simulations!$A$1:$BK$2501, 1027, MATCH("Yr1Shock", Simulations!$A$1:$BK$1, 0))</f>
        <v>-9.0285294909507353E-3</v>
      </c>
    </row>
    <row r="1028" spans="1:5" x14ac:dyDescent="0.3">
      <c r="A1028" s="2">
        <f ca="1">INDEX(Simulations!$A$1:$BK$2501, 1028, MATCH("PurchaseMultiple", Simulations!$A$1:$BK$1, 0))</f>
        <v>6.8989164290494296</v>
      </c>
      <c r="B1028" s="2">
        <f ca="1">INDEX(Simulations!$A$1:$BK$2501, 1028, MATCH("ExitMultiple", Simulations!$A$1:$BK$1, 0))</f>
        <v>7.1022330725453422</v>
      </c>
      <c r="C1028" s="2">
        <f ca="1">INDEX(Simulations!$A$1:$BK$2501, 1028, MATCH("RevCAGR", Simulations!$A$1:$BK$1, 0))</f>
        <v>1.7690946452478741E-2</v>
      </c>
      <c r="D1028" s="2">
        <f ca="1">INDEX(Simulations!$A$1:$BK$2501, 1028, MATCH("SynMargin", Simulations!$A$1:$BK$1, 0))</f>
        <v>1.6496816183240212E-2</v>
      </c>
      <c r="E1028" s="2">
        <f ca="1">INDEX(Simulations!$A$1:$BK$2501, 1028, MATCH("Yr1Shock", Simulations!$A$1:$BK$1, 0))</f>
        <v>-4.4950287411264171E-3</v>
      </c>
    </row>
    <row r="1029" spans="1:5" x14ac:dyDescent="0.3">
      <c r="A1029" s="2">
        <f ca="1">INDEX(Simulations!$A$1:$BK$2501, 1029, MATCH("PurchaseMultiple", Simulations!$A$1:$BK$1, 0))</f>
        <v>6.8560895325678546</v>
      </c>
      <c r="B1029" s="2">
        <f ca="1">INDEX(Simulations!$A$1:$BK$2501, 1029, MATCH("ExitMultiple", Simulations!$A$1:$BK$1, 0))</f>
        <v>6.8279806828388452</v>
      </c>
      <c r="C1029" s="2">
        <f ca="1">INDEX(Simulations!$A$1:$BK$2501, 1029, MATCH("RevCAGR", Simulations!$A$1:$BK$1, 0))</f>
        <v>3.5738757527406108E-2</v>
      </c>
      <c r="D1029" s="2">
        <f ca="1">INDEX(Simulations!$A$1:$BK$2501, 1029, MATCH("SynMargin", Simulations!$A$1:$BK$1, 0))</f>
        <v>1.4379806645465558E-2</v>
      </c>
      <c r="E1029" s="2">
        <f ca="1">INDEX(Simulations!$A$1:$BK$2501, 1029, MATCH("Yr1Shock", Simulations!$A$1:$BK$1, 0))</f>
        <v>8.2274724030632247E-3</v>
      </c>
    </row>
    <row r="1030" spans="1:5" x14ac:dyDescent="0.3">
      <c r="A1030" s="2">
        <f ca="1">INDEX(Simulations!$A$1:$BK$2501, 1030, MATCH("PurchaseMultiple", Simulations!$A$1:$BK$1, 0))</f>
        <v>7.3602873624495757</v>
      </c>
      <c r="B1030" s="2">
        <f ca="1">INDEX(Simulations!$A$1:$BK$2501, 1030, MATCH("ExitMultiple", Simulations!$A$1:$BK$1, 0))</f>
        <v>7.7631917296575015</v>
      </c>
      <c r="C1030" s="2">
        <f ca="1">INDEX(Simulations!$A$1:$BK$2501, 1030, MATCH("RevCAGR", Simulations!$A$1:$BK$1, 0))</f>
        <v>3.4171581151849532E-2</v>
      </c>
      <c r="D1030" s="2">
        <f ca="1">INDEX(Simulations!$A$1:$BK$2501, 1030, MATCH("SynMargin", Simulations!$A$1:$BK$1, 0))</f>
        <v>2.1391461005686591E-3</v>
      </c>
      <c r="E1030" s="2">
        <f ca="1">INDEX(Simulations!$A$1:$BK$2501, 1030, MATCH("Yr1Shock", Simulations!$A$1:$BK$1, 0))</f>
        <v>-1.5972831550535745E-2</v>
      </c>
    </row>
    <row r="1031" spans="1:5" x14ac:dyDescent="0.3">
      <c r="A1031" s="2">
        <f ca="1">INDEX(Simulations!$A$1:$BK$2501, 1031, MATCH("PurchaseMultiple", Simulations!$A$1:$BK$1, 0))</f>
        <v>7.480259067049758</v>
      </c>
      <c r="B1031" s="2">
        <f ca="1">INDEX(Simulations!$A$1:$BK$2501, 1031, MATCH("ExitMultiple", Simulations!$A$1:$BK$1, 0))</f>
        <v>7.9290381038541646</v>
      </c>
      <c r="C1031" s="2">
        <f ca="1">INDEX(Simulations!$A$1:$BK$2501, 1031, MATCH("RevCAGR", Simulations!$A$1:$BK$1, 0))</f>
        <v>2.0769653119562938E-2</v>
      </c>
      <c r="D1031" s="2">
        <f ca="1">INDEX(Simulations!$A$1:$BK$2501, 1031, MATCH("SynMargin", Simulations!$A$1:$BK$1, 0))</f>
        <v>9.6079003738220505E-3</v>
      </c>
      <c r="E1031" s="2">
        <f ca="1">INDEX(Simulations!$A$1:$BK$2501, 1031, MATCH("Yr1Shock", Simulations!$A$1:$BK$1, 0))</f>
        <v>-3.9073873162355104E-2</v>
      </c>
    </row>
    <row r="1032" spans="1:5" x14ac:dyDescent="0.3">
      <c r="A1032" s="2">
        <f ca="1">INDEX(Simulations!$A$1:$BK$2501, 1032, MATCH("PurchaseMultiple", Simulations!$A$1:$BK$1, 0))</f>
        <v>6.6677136272706319</v>
      </c>
      <c r="B1032" s="2">
        <f ca="1">INDEX(Simulations!$A$1:$BK$2501, 1032, MATCH("ExitMultiple", Simulations!$A$1:$BK$1, 0))</f>
        <v>7.8457219564028442</v>
      </c>
      <c r="C1032" s="2">
        <f ca="1">INDEX(Simulations!$A$1:$BK$2501, 1032, MATCH("RevCAGR", Simulations!$A$1:$BK$1, 0))</f>
        <v>5.6057035163273254E-2</v>
      </c>
      <c r="D1032" s="2">
        <f ca="1">INDEX(Simulations!$A$1:$BK$2501, 1032, MATCH("SynMargin", Simulations!$A$1:$BK$1, 0))</f>
        <v>1.2141664620792483E-2</v>
      </c>
      <c r="E1032" s="2">
        <f ca="1">INDEX(Simulations!$A$1:$BK$2501, 1032, MATCH("Yr1Shock", Simulations!$A$1:$BK$1, 0))</f>
        <v>2.5753348553261154E-2</v>
      </c>
    </row>
    <row r="1033" spans="1:5" x14ac:dyDescent="0.3">
      <c r="A1033" s="2">
        <f ca="1">INDEX(Simulations!$A$1:$BK$2501, 1033, MATCH("PurchaseMultiple", Simulations!$A$1:$BK$1, 0))</f>
        <v>6.5143642493208107</v>
      </c>
      <c r="B1033" s="2">
        <f ca="1">INDEX(Simulations!$A$1:$BK$2501, 1033, MATCH("ExitMultiple", Simulations!$A$1:$BK$1, 0))</f>
        <v>8.2498649744592853</v>
      </c>
      <c r="C1033" s="2">
        <f ca="1">INDEX(Simulations!$A$1:$BK$2501, 1033, MATCH("RevCAGR", Simulations!$A$1:$BK$1, 0))</f>
        <v>6.9291535409560873E-2</v>
      </c>
      <c r="D1033" s="2">
        <f ca="1">INDEX(Simulations!$A$1:$BK$2501, 1033, MATCH("SynMargin", Simulations!$A$1:$BK$1, 0))</f>
        <v>1.146380790863297E-2</v>
      </c>
      <c r="E1033" s="2">
        <f ca="1">INDEX(Simulations!$A$1:$BK$2501, 1033, MATCH("Yr1Shock", Simulations!$A$1:$BK$1, 0))</f>
        <v>4.4027083902169221E-3</v>
      </c>
    </row>
    <row r="1034" spans="1:5" x14ac:dyDescent="0.3">
      <c r="A1034" s="2">
        <f ca="1">INDEX(Simulations!$A$1:$BK$2501, 1034, MATCH("PurchaseMultiple", Simulations!$A$1:$BK$1, 0))</f>
        <v>6.4824064576142746</v>
      </c>
      <c r="B1034" s="2">
        <f ca="1">INDEX(Simulations!$A$1:$BK$2501, 1034, MATCH("ExitMultiple", Simulations!$A$1:$BK$1, 0))</f>
        <v>6.7364932234181909</v>
      </c>
      <c r="C1034" s="2">
        <f ca="1">INDEX(Simulations!$A$1:$BK$2501, 1034, MATCH("RevCAGR", Simulations!$A$1:$BK$1, 0))</f>
        <v>8.5360313959406672E-2</v>
      </c>
      <c r="D1034" s="2">
        <f ca="1">INDEX(Simulations!$A$1:$BK$2501, 1034, MATCH("SynMargin", Simulations!$A$1:$BK$1, 0))</f>
        <v>1.6927186939794447E-2</v>
      </c>
      <c r="E1034" s="2">
        <f ca="1">INDEX(Simulations!$A$1:$BK$2501, 1034, MATCH("Yr1Shock", Simulations!$A$1:$BK$1, 0))</f>
        <v>2.0710593505719018E-2</v>
      </c>
    </row>
    <row r="1035" spans="1:5" x14ac:dyDescent="0.3">
      <c r="A1035" s="2">
        <f ca="1">INDEX(Simulations!$A$1:$BK$2501, 1035, MATCH("PurchaseMultiple", Simulations!$A$1:$BK$1, 0))</f>
        <v>7.8822852682720326</v>
      </c>
      <c r="B1035" s="2">
        <f ca="1">INDEX(Simulations!$A$1:$BK$2501, 1035, MATCH("ExitMultiple", Simulations!$A$1:$BK$1, 0))</f>
        <v>7.1207711558232791</v>
      </c>
      <c r="C1035" s="2">
        <f ca="1">INDEX(Simulations!$A$1:$BK$2501, 1035, MATCH("RevCAGR", Simulations!$A$1:$BK$1, 0))</f>
        <v>5.6206996960286894E-2</v>
      </c>
      <c r="D1035" s="2">
        <f ca="1">INDEX(Simulations!$A$1:$BK$2501, 1035, MATCH("SynMargin", Simulations!$A$1:$BK$1, 0))</f>
        <v>1.4615876914701117E-2</v>
      </c>
      <c r="E1035" s="2">
        <f ca="1">INDEX(Simulations!$A$1:$BK$2501, 1035, MATCH("Yr1Shock", Simulations!$A$1:$BK$1, 0))</f>
        <v>-7.764408410142391E-3</v>
      </c>
    </row>
    <row r="1036" spans="1:5" x14ac:dyDescent="0.3">
      <c r="A1036" s="2">
        <f ca="1">INDEX(Simulations!$A$1:$BK$2501, 1036, MATCH("PurchaseMultiple", Simulations!$A$1:$BK$1, 0))</f>
        <v>6.321684952476974</v>
      </c>
      <c r="B1036" s="2">
        <f ca="1">INDEX(Simulations!$A$1:$BK$2501, 1036, MATCH("ExitMultiple", Simulations!$A$1:$BK$1, 0))</f>
        <v>8.3224621295841743</v>
      </c>
      <c r="C1036" s="2">
        <f ca="1">INDEX(Simulations!$A$1:$BK$2501, 1036, MATCH("RevCAGR", Simulations!$A$1:$BK$1, 0))</f>
        <v>5.0870627974093342E-2</v>
      </c>
      <c r="D1036" s="2">
        <f ca="1">INDEX(Simulations!$A$1:$BK$2501, 1036, MATCH("SynMargin", Simulations!$A$1:$BK$1, 0))</f>
        <v>2.3100549910887247E-3</v>
      </c>
      <c r="E1036" s="2">
        <f ca="1">INDEX(Simulations!$A$1:$BK$2501, 1036, MATCH("Yr1Shock", Simulations!$A$1:$BK$1, 0))</f>
        <v>2.4664599791237251E-3</v>
      </c>
    </row>
    <row r="1037" spans="1:5" x14ac:dyDescent="0.3">
      <c r="A1037" s="2">
        <f ca="1">INDEX(Simulations!$A$1:$BK$2501, 1037, MATCH("PurchaseMultiple", Simulations!$A$1:$BK$1, 0))</f>
        <v>6.3281612950463515</v>
      </c>
      <c r="B1037" s="2">
        <f ca="1">INDEX(Simulations!$A$1:$BK$2501, 1037, MATCH("ExitMultiple", Simulations!$A$1:$BK$1, 0))</f>
        <v>7.478029743412911</v>
      </c>
      <c r="C1037" s="2">
        <f ca="1">INDEX(Simulations!$A$1:$BK$2501, 1037, MATCH("RevCAGR", Simulations!$A$1:$BK$1, 0))</f>
        <v>4.8336589313554959E-2</v>
      </c>
      <c r="D1037" s="2">
        <f ca="1">INDEX(Simulations!$A$1:$BK$2501, 1037, MATCH("SynMargin", Simulations!$A$1:$BK$1, 0))</f>
        <v>1.2745350445571114E-2</v>
      </c>
      <c r="E1037" s="2">
        <f ca="1">INDEX(Simulations!$A$1:$BK$2501, 1037, MATCH("Yr1Shock", Simulations!$A$1:$BK$1, 0))</f>
        <v>-7.1716688864740972E-3</v>
      </c>
    </row>
    <row r="1038" spans="1:5" x14ac:dyDescent="0.3">
      <c r="A1038" s="2">
        <f ca="1">INDEX(Simulations!$A$1:$BK$2501, 1038, MATCH("PurchaseMultiple", Simulations!$A$1:$BK$1, 0))</f>
        <v>7.2342831599684043</v>
      </c>
      <c r="B1038" s="2">
        <f ca="1">INDEX(Simulations!$A$1:$BK$2501, 1038, MATCH("ExitMultiple", Simulations!$A$1:$BK$1, 0))</f>
        <v>7.2553703499900282</v>
      </c>
      <c r="C1038" s="2">
        <f ca="1">INDEX(Simulations!$A$1:$BK$2501, 1038, MATCH("RevCAGR", Simulations!$A$1:$BK$1, 0))</f>
        <v>4.4667844333553558E-2</v>
      </c>
      <c r="D1038" s="2">
        <f ca="1">INDEX(Simulations!$A$1:$BK$2501, 1038, MATCH("SynMargin", Simulations!$A$1:$BK$1, 0))</f>
        <v>8.3966160923379055E-3</v>
      </c>
      <c r="E1038" s="2">
        <f ca="1">INDEX(Simulations!$A$1:$BK$2501, 1038, MATCH("Yr1Shock", Simulations!$A$1:$BK$1, 0))</f>
        <v>-5.4804958053893595E-3</v>
      </c>
    </row>
    <row r="1039" spans="1:5" x14ac:dyDescent="0.3">
      <c r="A1039" s="2">
        <f ca="1">INDEX(Simulations!$A$1:$BK$2501, 1039, MATCH("PurchaseMultiple", Simulations!$A$1:$BK$1, 0))</f>
        <v>6.4687996415961528</v>
      </c>
      <c r="B1039" s="2">
        <f ca="1">INDEX(Simulations!$A$1:$BK$2501, 1039, MATCH("ExitMultiple", Simulations!$A$1:$BK$1, 0))</f>
        <v>7.2304065668874884</v>
      </c>
      <c r="C1039" s="2">
        <f ca="1">INDEX(Simulations!$A$1:$BK$2501, 1039, MATCH("RevCAGR", Simulations!$A$1:$BK$1, 0))</f>
        <v>4.207687765306431E-2</v>
      </c>
      <c r="D1039" s="2">
        <f ca="1">INDEX(Simulations!$A$1:$BK$2501, 1039, MATCH("SynMargin", Simulations!$A$1:$BK$1, 0))</f>
        <v>8.9837346661520972E-3</v>
      </c>
      <c r="E1039" s="2">
        <f ca="1">INDEX(Simulations!$A$1:$BK$2501, 1039, MATCH("Yr1Shock", Simulations!$A$1:$BK$1, 0))</f>
        <v>8.5805887412027295E-3</v>
      </c>
    </row>
    <row r="1040" spans="1:5" x14ac:dyDescent="0.3">
      <c r="A1040" s="2">
        <f ca="1">INDEX(Simulations!$A$1:$BK$2501, 1040, MATCH("PurchaseMultiple", Simulations!$A$1:$BK$1, 0))</f>
        <v>7.4692712717111043</v>
      </c>
      <c r="B1040" s="2">
        <f ca="1">INDEX(Simulations!$A$1:$BK$2501, 1040, MATCH("ExitMultiple", Simulations!$A$1:$BK$1, 0))</f>
        <v>7.9965710858921275</v>
      </c>
      <c r="C1040" s="2">
        <f ca="1">INDEX(Simulations!$A$1:$BK$2501, 1040, MATCH("RevCAGR", Simulations!$A$1:$BK$1, 0))</f>
        <v>5.0364115251596134E-2</v>
      </c>
      <c r="D1040" s="2">
        <f ca="1">INDEX(Simulations!$A$1:$BK$2501, 1040, MATCH("SynMargin", Simulations!$A$1:$BK$1, 0))</f>
        <v>9.3869102304100296E-3</v>
      </c>
      <c r="E1040" s="2">
        <f ca="1">INDEX(Simulations!$A$1:$BK$2501, 1040, MATCH("Yr1Shock", Simulations!$A$1:$BK$1, 0))</f>
        <v>-7.7992249976813043E-3</v>
      </c>
    </row>
    <row r="1041" spans="1:5" x14ac:dyDescent="0.3">
      <c r="A1041" s="2">
        <f ca="1">INDEX(Simulations!$A$1:$BK$2501, 1041, MATCH("PurchaseMultiple", Simulations!$A$1:$BK$1, 0))</f>
        <v>6.8230177787138366</v>
      </c>
      <c r="B1041" s="2">
        <f ca="1">INDEX(Simulations!$A$1:$BK$2501, 1041, MATCH("ExitMultiple", Simulations!$A$1:$BK$1, 0))</f>
        <v>7.2224107659546402</v>
      </c>
      <c r="C1041" s="2">
        <f ca="1">INDEX(Simulations!$A$1:$BK$2501, 1041, MATCH("RevCAGR", Simulations!$A$1:$BK$1, 0))</f>
        <v>5.0843891167920416E-2</v>
      </c>
      <c r="D1041" s="2">
        <f ca="1">INDEX(Simulations!$A$1:$BK$2501, 1041, MATCH("SynMargin", Simulations!$A$1:$BK$1, 0))</f>
        <v>6.8807433909240639E-3</v>
      </c>
      <c r="E1041" s="2">
        <f ca="1">INDEX(Simulations!$A$1:$BK$2501, 1041, MATCH("Yr1Shock", Simulations!$A$1:$BK$1, 0))</f>
        <v>1.3503435634002367E-2</v>
      </c>
    </row>
    <row r="1042" spans="1:5" x14ac:dyDescent="0.3">
      <c r="A1042" s="2">
        <f ca="1">INDEX(Simulations!$A$1:$BK$2501, 1042, MATCH("PurchaseMultiple", Simulations!$A$1:$BK$1, 0))</f>
        <v>7.1930178121231636</v>
      </c>
      <c r="B1042" s="2">
        <f ca="1">INDEX(Simulations!$A$1:$BK$2501, 1042, MATCH("ExitMultiple", Simulations!$A$1:$BK$1, 0))</f>
        <v>6.8405733901151162</v>
      </c>
      <c r="C1042" s="2">
        <f ca="1">INDEX(Simulations!$A$1:$BK$2501, 1042, MATCH("RevCAGR", Simulations!$A$1:$BK$1, 0))</f>
        <v>5.9937485305334437E-3</v>
      </c>
      <c r="D1042" s="2">
        <f ca="1">INDEX(Simulations!$A$1:$BK$2501, 1042, MATCH("SynMargin", Simulations!$A$1:$BK$1, 0))</f>
        <v>1.4413799892693034E-2</v>
      </c>
      <c r="E1042" s="2">
        <f ca="1">INDEX(Simulations!$A$1:$BK$2501, 1042, MATCH("Yr1Shock", Simulations!$A$1:$BK$1, 0))</f>
        <v>-8.1768791577891044E-3</v>
      </c>
    </row>
    <row r="1043" spans="1:5" x14ac:dyDescent="0.3">
      <c r="A1043" s="2">
        <f ca="1">INDEX(Simulations!$A$1:$BK$2501, 1043, MATCH("PurchaseMultiple", Simulations!$A$1:$BK$1, 0))</f>
        <v>6.5163555196317775</v>
      </c>
      <c r="B1043" s="2">
        <f ca="1">INDEX(Simulations!$A$1:$BK$2501, 1043, MATCH("ExitMultiple", Simulations!$A$1:$BK$1, 0))</f>
        <v>7.3190538613628835</v>
      </c>
      <c r="C1043" s="2">
        <f ca="1">INDEX(Simulations!$A$1:$BK$2501, 1043, MATCH("RevCAGR", Simulations!$A$1:$BK$1, 0))</f>
        <v>7.58108354238929E-2</v>
      </c>
      <c r="D1043" s="2">
        <f ca="1">INDEX(Simulations!$A$1:$BK$2501, 1043, MATCH("SynMargin", Simulations!$A$1:$BK$1, 0))</f>
        <v>9.638508534873259E-3</v>
      </c>
      <c r="E1043" s="2">
        <f ca="1">INDEX(Simulations!$A$1:$BK$2501, 1043, MATCH("Yr1Shock", Simulations!$A$1:$BK$1, 0))</f>
        <v>-1.8942201001787892E-2</v>
      </c>
    </row>
    <row r="1044" spans="1:5" x14ac:dyDescent="0.3">
      <c r="A1044" s="2">
        <f ca="1">INDEX(Simulations!$A$1:$BK$2501, 1044, MATCH("PurchaseMultiple", Simulations!$A$1:$BK$1, 0))</f>
        <v>7.4496017049068435</v>
      </c>
      <c r="B1044" s="2">
        <f ca="1">INDEX(Simulations!$A$1:$BK$2501, 1044, MATCH("ExitMultiple", Simulations!$A$1:$BK$1, 0))</f>
        <v>7.8532743325693009</v>
      </c>
      <c r="C1044" s="2">
        <f ca="1">INDEX(Simulations!$A$1:$BK$2501, 1044, MATCH("RevCAGR", Simulations!$A$1:$BK$1, 0))</f>
        <v>4.8851658882111994E-2</v>
      </c>
      <c r="D1044" s="2">
        <f ca="1">INDEX(Simulations!$A$1:$BK$2501, 1044, MATCH("SynMargin", Simulations!$A$1:$BK$1, 0))</f>
        <v>1.3389418310286489E-2</v>
      </c>
      <c r="E1044" s="2">
        <f ca="1">INDEX(Simulations!$A$1:$BK$2501, 1044, MATCH("Yr1Shock", Simulations!$A$1:$BK$1, 0))</f>
        <v>-1.2518577780107005E-3</v>
      </c>
    </row>
    <row r="1045" spans="1:5" x14ac:dyDescent="0.3">
      <c r="A1045" s="2">
        <f ca="1">INDEX(Simulations!$A$1:$BK$2501, 1045, MATCH("PurchaseMultiple", Simulations!$A$1:$BK$1, 0))</f>
        <v>6.3794545073296112</v>
      </c>
      <c r="B1045" s="2">
        <f ca="1">INDEX(Simulations!$A$1:$BK$2501, 1045, MATCH("ExitMultiple", Simulations!$A$1:$BK$1, 0))</f>
        <v>7.9153856891318046</v>
      </c>
      <c r="C1045" s="2">
        <f ca="1">INDEX(Simulations!$A$1:$BK$2501, 1045, MATCH("RevCAGR", Simulations!$A$1:$BK$1, 0))</f>
        <v>8.5400933445543559E-2</v>
      </c>
      <c r="D1045" s="2">
        <f ca="1">INDEX(Simulations!$A$1:$BK$2501, 1045, MATCH("SynMargin", Simulations!$A$1:$BK$1, 0))</f>
        <v>1.3640906200490499E-2</v>
      </c>
      <c r="E1045" s="2">
        <f ca="1">INDEX(Simulations!$A$1:$BK$2501, 1045, MATCH("Yr1Shock", Simulations!$A$1:$BK$1, 0))</f>
        <v>3.6585503808229131E-3</v>
      </c>
    </row>
    <row r="1046" spans="1:5" x14ac:dyDescent="0.3">
      <c r="A1046" s="2">
        <f ca="1">INDEX(Simulations!$A$1:$BK$2501, 1046, MATCH("PurchaseMultiple", Simulations!$A$1:$BK$1, 0))</f>
        <v>7.3658776660768366</v>
      </c>
      <c r="B1046" s="2">
        <f ca="1">INDEX(Simulations!$A$1:$BK$2501, 1046, MATCH("ExitMultiple", Simulations!$A$1:$BK$1, 0))</f>
        <v>7.4699199219043599</v>
      </c>
      <c r="C1046" s="2">
        <f ca="1">INDEX(Simulations!$A$1:$BK$2501, 1046, MATCH("RevCAGR", Simulations!$A$1:$BK$1, 0))</f>
        <v>4.976902268398313E-2</v>
      </c>
      <c r="D1046" s="2">
        <f ca="1">INDEX(Simulations!$A$1:$BK$2501, 1046, MATCH("SynMargin", Simulations!$A$1:$BK$1, 0))</f>
        <v>6.763611825251226E-3</v>
      </c>
      <c r="E1046" s="2">
        <f ca="1">INDEX(Simulations!$A$1:$BK$2501, 1046, MATCH("Yr1Shock", Simulations!$A$1:$BK$1, 0))</f>
        <v>1.6248572002609964E-2</v>
      </c>
    </row>
    <row r="1047" spans="1:5" x14ac:dyDescent="0.3">
      <c r="A1047" s="2">
        <f ca="1">INDEX(Simulations!$A$1:$BK$2501, 1047, MATCH("PurchaseMultiple", Simulations!$A$1:$BK$1, 0))</f>
        <v>7.4474754641958043</v>
      </c>
      <c r="B1047" s="2">
        <f ca="1">INDEX(Simulations!$A$1:$BK$2501, 1047, MATCH("ExitMultiple", Simulations!$A$1:$BK$1, 0))</f>
        <v>6.6289187398162692</v>
      </c>
      <c r="C1047" s="2">
        <f ca="1">INDEX(Simulations!$A$1:$BK$2501, 1047, MATCH("RevCAGR", Simulations!$A$1:$BK$1, 0))</f>
        <v>0.12</v>
      </c>
      <c r="D1047" s="2">
        <f ca="1">INDEX(Simulations!$A$1:$BK$2501, 1047, MATCH("SynMargin", Simulations!$A$1:$BK$1, 0))</f>
        <v>1.0528082509695622E-2</v>
      </c>
      <c r="E1047" s="2">
        <f ca="1">INDEX(Simulations!$A$1:$BK$2501, 1047, MATCH("Yr1Shock", Simulations!$A$1:$BK$1, 0))</f>
        <v>2.098699752523769E-2</v>
      </c>
    </row>
    <row r="1048" spans="1:5" x14ac:dyDescent="0.3">
      <c r="A1048" s="2">
        <f ca="1">INDEX(Simulations!$A$1:$BK$2501, 1048, MATCH("PurchaseMultiple", Simulations!$A$1:$BK$1, 0))</f>
        <v>7.2873724861572287</v>
      </c>
      <c r="B1048" s="2">
        <f ca="1">INDEX(Simulations!$A$1:$BK$2501, 1048, MATCH("ExitMultiple", Simulations!$A$1:$BK$1, 0))</f>
        <v>7.5491910014039743</v>
      </c>
      <c r="C1048" s="2">
        <f ca="1">INDEX(Simulations!$A$1:$BK$2501, 1048, MATCH("RevCAGR", Simulations!$A$1:$BK$1, 0))</f>
        <v>2.0711347850426446E-2</v>
      </c>
      <c r="D1048" s="2">
        <f ca="1">INDEX(Simulations!$A$1:$BK$2501, 1048, MATCH("SynMargin", Simulations!$A$1:$BK$1, 0))</f>
        <v>1.2925171275769554E-2</v>
      </c>
      <c r="E1048" s="2">
        <f ca="1">INDEX(Simulations!$A$1:$BK$2501, 1048, MATCH("Yr1Shock", Simulations!$A$1:$BK$1, 0))</f>
        <v>2.7902273319491095E-2</v>
      </c>
    </row>
    <row r="1049" spans="1:5" x14ac:dyDescent="0.3">
      <c r="A1049" s="2">
        <f ca="1">INDEX(Simulations!$A$1:$BK$2501, 1049, MATCH("PurchaseMultiple", Simulations!$A$1:$BK$1, 0))</f>
        <v>6.7965204509251382</v>
      </c>
      <c r="B1049" s="2">
        <f ca="1">INDEX(Simulations!$A$1:$BK$2501, 1049, MATCH("ExitMultiple", Simulations!$A$1:$BK$1, 0))</f>
        <v>6.9332780508761935</v>
      </c>
      <c r="C1049" s="2">
        <f ca="1">INDEX(Simulations!$A$1:$BK$2501, 1049, MATCH("RevCAGR", Simulations!$A$1:$BK$1, 0))</f>
        <v>3.2907768812851561E-2</v>
      </c>
      <c r="D1049" s="2">
        <f ca="1">INDEX(Simulations!$A$1:$BK$2501, 1049, MATCH("SynMargin", Simulations!$A$1:$BK$1, 0))</f>
        <v>1.3426871051093369E-2</v>
      </c>
      <c r="E1049" s="2">
        <f ca="1">INDEX(Simulations!$A$1:$BK$2501, 1049, MATCH("Yr1Shock", Simulations!$A$1:$BK$1, 0))</f>
        <v>-2.9733297488202859E-2</v>
      </c>
    </row>
    <row r="1050" spans="1:5" x14ac:dyDescent="0.3">
      <c r="A1050" s="2">
        <f ca="1">INDEX(Simulations!$A$1:$BK$2501, 1050, MATCH("PurchaseMultiple", Simulations!$A$1:$BK$1, 0))</f>
        <v>6.9602672513538639</v>
      </c>
      <c r="B1050" s="2">
        <f ca="1">INDEX(Simulations!$A$1:$BK$2501, 1050, MATCH("ExitMultiple", Simulations!$A$1:$BK$1, 0))</f>
        <v>7.3838075886359915</v>
      </c>
      <c r="C1050" s="2">
        <f ca="1">INDEX(Simulations!$A$1:$BK$2501, 1050, MATCH("RevCAGR", Simulations!$A$1:$BK$1, 0))</f>
        <v>5.4621434761229853E-2</v>
      </c>
      <c r="D1050" s="2">
        <f ca="1">INDEX(Simulations!$A$1:$BK$2501, 1050, MATCH("SynMargin", Simulations!$A$1:$BK$1, 0))</f>
        <v>2.4333756112549995E-3</v>
      </c>
      <c r="E1050" s="2">
        <f ca="1">INDEX(Simulations!$A$1:$BK$2501, 1050, MATCH("Yr1Shock", Simulations!$A$1:$BK$1, 0))</f>
        <v>-2.4831582691475233E-2</v>
      </c>
    </row>
    <row r="1051" spans="1:5" x14ac:dyDescent="0.3">
      <c r="A1051" s="2">
        <f ca="1">INDEX(Simulations!$A$1:$BK$2501, 1051, MATCH("PurchaseMultiple", Simulations!$A$1:$BK$1, 0))</f>
        <v>7.2737022811242307</v>
      </c>
      <c r="B1051" s="2">
        <f ca="1">INDEX(Simulations!$A$1:$BK$2501, 1051, MATCH("ExitMultiple", Simulations!$A$1:$BK$1, 0))</f>
        <v>7.9179340680789307</v>
      </c>
      <c r="C1051" s="2">
        <f ca="1">INDEX(Simulations!$A$1:$BK$2501, 1051, MATCH("RevCAGR", Simulations!$A$1:$BK$1, 0))</f>
        <v>4.2580380804711049E-2</v>
      </c>
      <c r="D1051" s="2">
        <f ca="1">INDEX(Simulations!$A$1:$BK$2501, 1051, MATCH("SynMargin", Simulations!$A$1:$BK$1, 0))</f>
        <v>4.5438552357293729E-3</v>
      </c>
      <c r="E1051" s="2">
        <f ca="1">INDEX(Simulations!$A$1:$BK$2501, 1051, MATCH("Yr1Shock", Simulations!$A$1:$BK$1, 0))</f>
        <v>2.5486952433485973E-2</v>
      </c>
    </row>
    <row r="1052" spans="1:5" x14ac:dyDescent="0.3">
      <c r="A1052" s="2">
        <f ca="1">INDEX(Simulations!$A$1:$BK$2501, 1052, MATCH("PurchaseMultiple", Simulations!$A$1:$BK$1, 0))</f>
        <v>6.9414353726758673</v>
      </c>
      <c r="B1052" s="2">
        <f ca="1">INDEX(Simulations!$A$1:$BK$2501, 1052, MATCH("ExitMultiple", Simulations!$A$1:$BK$1, 0))</f>
        <v>7.2624950867189515</v>
      </c>
      <c r="C1052" s="2">
        <f ca="1">INDEX(Simulations!$A$1:$BK$2501, 1052, MATCH("RevCAGR", Simulations!$A$1:$BK$1, 0))</f>
        <v>5.4710897145385642E-2</v>
      </c>
      <c r="D1052" s="2">
        <f ca="1">INDEX(Simulations!$A$1:$BK$2501, 1052, MATCH("SynMargin", Simulations!$A$1:$BK$1, 0))</f>
        <v>6.3118551812382153E-3</v>
      </c>
      <c r="E1052" s="2">
        <f ca="1">INDEX(Simulations!$A$1:$BK$2501, 1052, MATCH("Yr1Shock", Simulations!$A$1:$BK$1, 0))</f>
        <v>-9.0794776170077581E-3</v>
      </c>
    </row>
    <row r="1053" spans="1:5" x14ac:dyDescent="0.3">
      <c r="A1053" s="2">
        <f ca="1">INDEX(Simulations!$A$1:$BK$2501, 1053, MATCH("PurchaseMultiple", Simulations!$A$1:$BK$1, 0))</f>
        <v>6.5291702984940674</v>
      </c>
      <c r="B1053" s="2">
        <f ca="1">INDEX(Simulations!$A$1:$BK$2501, 1053, MATCH("ExitMultiple", Simulations!$A$1:$BK$1, 0))</f>
        <v>7.7078736453961207</v>
      </c>
      <c r="C1053" s="2">
        <f ca="1">INDEX(Simulations!$A$1:$BK$2501, 1053, MATCH("RevCAGR", Simulations!$A$1:$BK$1, 0))</f>
        <v>7.9577406443527191E-2</v>
      </c>
      <c r="D1053" s="2">
        <f ca="1">INDEX(Simulations!$A$1:$BK$2501, 1053, MATCH("SynMargin", Simulations!$A$1:$BK$1, 0))</f>
        <v>0</v>
      </c>
      <c r="E1053" s="2">
        <f ca="1">INDEX(Simulations!$A$1:$BK$2501, 1053, MATCH("Yr1Shock", Simulations!$A$1:$BK$1, 0))</f>
        <v>-2.4970094230905314E-2</v>
      </c>
    </row>
    <row r="1054" spans="1:5" x14ac:dyDescent="0.3">
      <c r="A1054" s="2">
        <f ca="1">INDEX(Simulations!$A$1:$BK$2501, 1054, MATCH("PurchaseMultiple", Simulations!$A$1:$BK$1, 0))</f>
        <v>6.0964333126996619</v>
      </c>
      <c r="B1054" s="2">
        <f ca="1">INDEX(Simulations!$A$1:$BK$2501, 1054, MATCH("ExitMultiple", Simulations!$A$1:$BK$1, 0))</f>
        <v>7.4645568348654727</v>
      </c>
      <c r="C1054" s="2">
        <f ca="1">INDEX(Simulations!$A$1:$BK$2501, 1054, MATCH("RevCAGR", Simulations!$A$1:$BK$1, 0))</f>
        <v>7.1741509809749623E-2</v>
      </c>
      <c r="D1054" s="2">
        <f ca="1">INDEX(Simulations!$A$1:$BK$2501, 1054, MATCH("SynMargin", Simulations!$A$1:$BK$1, 0))</f>
        <v>0</v>
      </c>
      <c r="E1054" s="2">
        <f ca="1">INDEX(Simulations!$A$1:$BK$2501, 1054, MATCH("Yr1Shock", Simulations!$A$1:$BK$1, 0))</f>
        <v>-8.9021811420677659E-3</v>
      </c>
    </row>
    <row r="1055" spans="1:5" x14ac:dyDescent="0.3">
      <c r="A1055" s="2">
        <f ca="1">INDEX(Simulations!$A$1:$BK$2501, 1055, MATCH("PurchaseMultiple", Simulations!$A$1:$BK$1, 0))</f>
        <v>6.9482776801942423</v>
      </c>
      <c r="B1055" s="2">
        <f ca="1">INDEX(Simulations!$A$1:$BK$2501, 1055, MATCH("ExitMultiple", Simulations!$A$1:$BK$1, 0))</f>
        <v>8.4774469308894584</v>
      </c>
      <c r="C1055" s="2">
        <f ca="1">INDEX(Simulations!$A$1:$BK$2501, 1055, MATCH("RevCAGR", Simulations!$A$1:$BK$1, 0))</f>
        <v>6.8334810540500446E-2</v>
      </c>
      <c r="D1055" s="2">
        <f ca="1">INDEX(Simulations!$A$1:$BK$2501, 1055, MATCH("SynMargin", Simulations!$A$1:$BK$1, 0))</f>
        <v>4.1055361005486726E-3</v>
      </c>
      <c r="E1055" s="2">
        <f ca="1">INDEX(Simulations!$A$1:$BK$2501, 1055, MATCH("Yr1Shock", Simulations!$A$1:$BK$1, 0))</f>
        <v>6.8223806250740135E-5</v>
      </c>
    </row>
    <row r="1056" spans="1:5" x14ac:dyDescent="0.3">
      <c r="A1056" s="2">
        <f ca="1">INDEX(Simulations!$A$1:$BK$2501, 1056, MATCH("PurchaseMultiple", Simulations!$A$1:$BK$1, 0))</f>
        <v>6.8528615954639616</v>
      </c>
      <c r="B1056" s="2">
        <f ca="1">INDEX(Simulations!$A$1:$BK$2501, 1056, MATCH("ExitMultiple", Simulations!$A$1:$BK$1, 0))</f>
        <v>7.3047991190894423</v>
      </c>
      <c r="C1056" s="2">
        <f ca="1">INDEX(Simulations!$A$1:$BK$2501, 1056, MATCH("RevCAGR", Simulations!$A$1:$BK$1, 0))</f>
        <v>6.7706118626153722E-2</v>
      </c>
      <c r="D1056" s="2">
        <f ca="1">INDEX(Simulations!$A$1:$BK$2501, 1056, MATCH("SynMargin", Simulations!$A$1:$BK$1, 0))</f>
        <v>1.4013737787838619E-2</v>
      </c>
      <c r="E1056" s="2">
        <f ca="1">INDEX(Simulations!$A$1:$BK$2501, 1056, MATCH("Yr1Shock", Simulations!$A$1:$BK$1, 0))</f>
        <v>-1.6667404211986151E-2</v>
      </c>
    </row>
    <row r="1057" spans="1:5" x14ac:dyDescent="0.3">
      <c r="A1057" s="2">
        <f ca="1">INDEX(Simulations!$A$1:$BK$2501, 1057, MATCH("PurchaseMultiple", Simulations!$A$1:$BK$1, 0))</f>
        <v>6.4805118877607004</v>
      </c>
      <c r="B1057" s="2">
        <f ca="1">INDEX(Simulations!$A$1:$BK$2501, 1057, MATCH("ExitMultiple", Simulations!$A$1:$BK$1, 0))</f>
        <v>7.2614053494330868</v>
      </c>
      <c r="C1057" s="2">
        <f ca="1">INDEX(Simulations!$A$1:$BK$2501, 1057, MATCH("RevCAGR", Simulations!$A$1:$BK$1, 0))</f>
        <v>4.5419304551930419E-2</v>
      </c>
      <c r="D1057" s="2">
        <f ca="1">INDEX(Simulations!$A$1:$BK$2501, 1057, MATCH("SynMargin", Simulations!$A$1:$BK$1, 0))</f>
        <v>0</v>
      </c>
      <c r="E1057" s="2">
        <f ca="1">INDEX(Simulations!$A$1:$BK$2501, 1057, MATCH("Yr1Shock", Simulations!$A$1:$BK$1, 0))</f>
        <v>6.5035299363154124E-3</v>
      </c>
    </row>
    <row r="1058" spans="1:5" x14ac:dyDescent="0.3">
      <c r="A1058" s="2">
        <f ca="1">INDEX(Simulations!$A$1:$BK$2501, 1058, MATCH("PurchaseMultiple", Simulations!$A$1:$BK$1, 0))</f>
        <v>6.5671949096015529</v>
      </c>
      <c r="B1058" s="2">
        <f ca="1">INDEX(Simulations!$A$1:$BK$2501, 1058, MATCH("ExitMultiple", Simulations!$A$1:$BK$1, 0))</f>
        <v>6.6941200845900841</v>
      </c>
      <c r="C1058" s="2">
        <f ca="1">INDEX(Simulations!$A$1:$BK$2501, 1058, MATCH("RevCAGR", Simulations!$A$1:$BK$1, 0))</f>
        <v>3.0905314749866575E-2</v>
      </c>
      <c r="D1058" s="2">
        <f ca="1">INDEX(Simulations!$A$1:$BK$2501, 1058, MATCH("SynMargin", Simulations!$A$1:$BK$1, 0))</f>
        <v>1.8909477130175285E-2</v>
      </c>
      <c r="E1058" s="2">
        <f ca="1">INDEX(Simulations!$A$1:$BK$2501, 1058, MATCH("Yr1Shock", Simulations!$A$1:$BK$1, 0))</f>
        <v>-5.6876288113855708E-3</v>
      </c>
    </row>
    <row r="1059" spans="1:5" x14ac:dyDescent="0.3">
      <c r="A1059" s="2">
        <f ca="1">INDEX(Simulations!$A$1:$BK$2501, 1059, MATCH("PurchaseMultiple", Simulations!$A$1:$BK$1, 0))</f>
        <v>7.1095744504855647</v>
      </c>
      <c r="B1059" s="2">
        <f ca="1">INDEX(Simulations!$A$1:$BK$2501, 1059, MATCH("ExitMultiple", Simulations!$A$1:$BK$1, 0))</f>
        <v>7.3936662331333451</v>
      </c>
      <c r="C1059" s="2">
        <f ca="1">INDEX(Simulations!$A$1:$BK$2501, 1059, MATCH("RevCAGR", Simulations!$A$1:$BK$1, 0))</f>
        <v>3.2171711718522629E-2</v>
      </c>
      <c r="D1059" s="2">
        <f ca="1">INDEX(Simulations!$A$1:$BK$2501, 1059, MATCH("SynMargin", Simulations!$A$1:$BK$1, 0))</f>
        <v>1.3217873930509385E-2</v>
      </c>
      <c r="E1059" s="2">
        <f ca="1">INDEX(Simulations!$A$1:$BK$2501, 1059, MATCH("Yr1Shock", Simulations!$A$1:$BK$1, 0))</f>
        <v>-7.5094932641683043E-3</v>
      </c>
    </row>
    <row r="1060" spans="1:5" x14ac:dyDescent="0.3">
      <c r="A1060" s="2">
        <f ca="1">INDEX(Simulations!$A$1:$BK$2501, 1060, MATCH("PurchaseMultiple", Simulations!$A$1:$BK$1, 0))</f>
        <v>7.444970392853314</v>
      </c>
      <c r="B1060" s="2">
        <f ca="1">INDEX(Simulations!$A$1:$BK$2501, 1060, MATCH("ExitMultiple", Simulations!$A$1:$BK$1, 0))</f>
        <v>8.0361009435685897</v>
      </c>
      <c r="C1060" s="2">
        <f ca="1">INDEX(Simulations!$A$1:$BK$2501, 1060, MATCH("RevCAGR", Simulations!$A$1:$BK$1, 0))</f>
        <v>-0.02</v>
      </c>
      <c r="D1060" s="2">
        <f ca="1">INDEX(Simulations!$A$1:$BK$2501, 1060, MATCH("SynMargin", Simulations!$A$1:$BK$1, 0))</f>
        <v>1.3533587288019991E-2</v>
      </c>
      <c r="E1060" s="2">
        <f ca="1">INDEX(Simulations!$A$1:$BK$2501, 1060, MATCH("Yr1Shock", Simulations!$A$1:$BK$1, 0))</f>
        <v>9.3105966525740304E-3</v>
      </c>
    </row>
    <row r="1061" spans="1:5" x14ac:dyDescent="0.3">
      <c r="A1061" s="2">
        <f ca="1">INDEX(Simulations!$A$1:$BK$2501, 1061, MATCH("PurchaseMultiple", Simulations!$A$1:$BK$1, 0))</f>
        <v>7.3771869568226638</v>
      </c>
      <c r="B1061" s="2">
        <f ca="1">INDEX(Simulations!$A$1:$BK$2501, 1061, MATCH("ExitMultiple", Simulations!$A$1:$BK$1, 0))</f>
        <v>8.2600718683594767</v>
      </c>
      <c r="C1061" s="2">
        <f ca="1">INDEX(Simulations!$A$1:$BK$2501, 1061, MATCH("RevCAGR", Simulations!$A$1:$BK$1, 0))</f>
        <v>-9.5430251850016218E-3</v>
      </c>
      <c r="D1061" s="2">
        <f ca="1">INDEX(Simulations!$A$1:$BK$2501, 1061, MATCH("SynMargin", Simulations!$A$1:$BK$1, 0))</f>
        <v>3.7429465001721065E-3</v>
      </c>
      <c r="E1061" s="2">
        <f ca="1">INDEX(Simulations!$A$1:$BK$2501, 1061, MATCH("Yr1Shock", Simulations!$A$1:$BK$1, 0))</f>
        <v>9.9698914968337927E-3</v>
      </c>
    </row>
    <row r="1062" spans="1:5" x14ac:dyDescent="0.3">
      <c r="A1062" s="2">
        <f ca="1">INDEX(Simulations!$A$1:$BK$2501, 1062, MATCH("PurchaseMultiple", Simulations!$A$1:$BK$1, 0))</f>
        <v>7.1064124936271718</v>
      </c>
      <c r="B1062" s="2">
        <f ca="1">INDEX(Simulations!$A$1:$BK$2501, 1062, MATCH("ExitMultiple", Simulations!$A$1:$BK$1, 0))</f>
        <v>7.8010979116820112</v>
      </c>
      <c r="C1062" s="2">
        <f ca="1">INDEX(Simulations!$A$1:$BK$2501, 1062, MATCH("RevCAGR", Simulations!$A$1:$BK$1, 0))</f>
        <v>7.69415803557882E-2</v>
      </c>
      <c r="D1062" s="2">
        <f ca="1">INDEX(Simulations!$A$1:$BK$2501, 1062, MATCH("SynMargin", Simulations!$A$1:$BK$1, 0))</f>
        <v>4.0683006745949862E-3</v>
      </c>
      <c r="E1062" s="2">
        <f ca="1">INDEX(Simulations!$A$1:$BK$2501, 1062, MATCH("Yr1Shock", Simulations!$A$1:$BK$1, 0))</f>
        <v>-1.7273975271689463E-2</v>
      </c>
    </row>
    <row r="1063" spans="1:5" x14ac:dyDescent="0.3">
      <c r="A1063" s="2">
        <f ca="1">INDEX(Simulations!$A$1:$BK$2501, 1063, MATCH("PurchaseMultiple", Simulations!$A$1:$BK$1, 0))</f>
        <v>6.9745759194263037</v>
      </c>
      <c r="B1063" s="2">
        <f ca="1">INDEX(Simulations!$A$1:$BK$2501, 1063, MATCH("ExitMultiple", Simulations!$A$1:$BK$1, 0))</f>
        <v>7.7469595417335837</v>
      </c>
      <c r="C1063" s="2">
        <f ca="1">INDEX(Simulations!$A$1:$BK$2501, 1063, MATCH("RevCAGR", Simulations!$A$1:$BK$1, 0))</f>
        <v>4.1198082885645082E-2</v>
      </c>
      <c r="D1063" s="2">
        <f ca="1">INDEX(Simulations!$A$1:$BK$2501, 1063, MATCH("SynMargin", Simulations!$A$1:$BK$1, 0))</f>
        <v>9.832662782170808E-3</v>
      </c>
      <c r="E1063" s="2">
        <f ca="1">INDEX(Simulations!$A$1:$BK$2501, 1063, MATCH("Yr1Shock", Simulations!$A$1:$BK$1, 0))</f>
        <v>-1.3452991415338478E-2</v>
      </c>
    </row>
    <row r="1064" spans="1:5" x14ac:dyDescent="0.3">
      <c r="A1064" s="2">
        <f ca="1">INDEX(Simulations!$A$1:$BK$2501, 1064, MATCH("PurchaseMultiple", Simulations!$A$1:$BK$1, 0))</f>
        <v>6.8113603724668028</v>
      </c>
      <c r="B1064" s="2">
        <f ca="1">INDEX(Simulations!$A$1:$BK$2501, 1064, MATCH("ExitMultiple", Simulations!$A$1:$BK$1, 0))</f>
        <v>7.8022778417912537</v>
      </c>
      <c r="C1064" s="2">
        <f ca="1">INDEX(Simulations!$A$1:$BK$2501, 1064, MATCH("RevCAGR", Simulations!$A$1:$BK$1, 0))</f>
        <v>4.6499484006353412E-2</v>
      </c>
      <c r="D1064" s="2">
        <f ca="1">INDEX(Simulations!$A$1:$BK$2501, 1064, MATCH("SynMargin", Simulations!$A$1:$BK$1, 0))</f>
        <v>7.3539145441148136E-3</v>
      </c>
      <c r="E1064" s="2">
        <f ca="1">INDEX(Simulations!$A$1:$BK$2501, 1064, MATCH("Yr1Shock", Simulations!$A$1:$BK$1, 0))</f>
        <v>4.8049649699180167E-3</v>
      </c>
    </row>
    <row r="1065" spans="1:5" x14ac:dyDescent="0.3">
      <c r="A1065" s="2">
        <f ca="1">INDEX(Simulations!$A$1:$BK$2501, 1065, MATCH("PurchaseMultiple", Simulations!$A$1:$BK$1, 0))</f>
        <v>6.8837702050774654</v>
      </c>
      <c r="B1065" s="2">
        <f ca="1">INDEX(Simulations!$A$1:$BK$2501, 1065, MATCH("ExitMultiple", Simulations!$A$1:$BK$1, 0))</f>
        <v>7.3374940621214959</v>
      </c>
      <c r="C1065" s="2">
        <f ca="1">INDEX(Simulations!$A$1:$BK$2501, 1065, MATCH("RevCAGR", Simulations!$A$1:$BK$1, 0))</f>
        <v>7.0650099487508097E-2</v>
      </c>
      <c r="D1065" s="2">
        <f ca="1">INDEX(Simulations!$A$1:$BK$2501, 1065, MATCH("SynMargin", Simulations!$A$1:$BK$1, 0))</f>
        <v>5.5013497719847183E-3</v>
      </c>
      <c r="E1065" s="2">
        <f ca="1">INDEX(Simulations!$A$1:$BK$2501, 1065, MATCH("Yr1Shock", Simulations!$A$1:$BK$1, 0))</f>
        <v>3.3060813391326224E-3</v>
      </c>
    </row>
    <row r="1066" spans="1:5" x14ac:dyDescent="0.3">
      <c r="A1066" s="2">
        <f ca="1">INDEX(Simulations!$A$1:$BK$2501, 1066, MATCH("PurchaseMultiple", Simulations!$A$1:$BK$1, 0))</f>
        <v>6.9219424767174562</v>
      </c>
      <c r="B1066" s="2">
        <f ca="1">INDEX(Simulations!$A$1:$BK$2501, 1066, MATCH("ExitMultiple", Simulations!$A$1:$BK$1, 0))</f>
        <v>7.1407618688036347</v>
      </c>
      <c r="C1066" s="2">
        <f ca="1">INDEX(Simulations!$A$1:$BK$2501, 1066, MATCH("RevCAGR", Simulations!$A$1:$BK$1, 0))</f>
        <v>6.6377495772960565E-2</v>
      </c>
      <c r="D1066" s="2">
        <f ca="1">INDEX(Simulations!$A$1:$BK$2501, 1066, MATCH("SynMargin", Simulations!$A$1:$BK$1, 0))</f>
        <v>1.4868751433227113E-2</v>
      </c>
      <c r="E1066" s="2">
        <f ca="1">INDEX(Simulations!$A$1:$BK$2501, 1066, MATCH("Yr1Shock", Simulations!$A$1:$BK$1, 0))</f>
        <v>4.8576139629694273E-2</v>
      </c>
    </row>
    <row r="1067" spans="1:5" x14ac:dyDescent="0.3">
      <c r="A1067" s="2">
        <f ca="1">INDEX(Simulations!$A$1:$BK$2501, 1067, MATCH("PurchaseMultiple", Simulations!$A$1:$BK$1, 0))</f>
        <v>7.8454048987171889</v>
      </c>
      <c r="B1067" s="2">
        <f ca="1">INDEX(Simulations!$A$1:$BK$2501, 1067, MATCH("ExitMultiple", Simulations!$A$1:$BK$1, 0))</f>
        <v>7.5512323529911276</v>
      </c>
      <c r="C1067" s="2">
        <f ca="1">INDEX(Simulations!$A$1:$BK$2501, 1067, MATCH("RevCAGR", Simulations!$A$1:$BK$1, 0))</f>
        <v>1.7481565231113137E-2</v>
      </c>
      <c r="D1067" s="2">
        <f ca="1">INDEX(Simulations!$A$1:$BK$2501, 1067, MATCH("SynMargin", Simulations!$A$1:$BK$1, 0))</f>
        <v>9.8493815328073303E-3</v>
      </c>
      <c r="E1067" s="2">
        <f ca="1">INDEX(Simulations!$A$1:$BK$2501, 1067, MATCH("Yr1Shock", Simulations!$A$1:$BK$1, 0))</f>
        <v>2.5337042636851769E-3</v>
      </c>
    </row>
    <row r="1068" spans="1:5" x14ac:dyDescent="0.3">
      <c r="A1068" s="2">
        <f ca="1">INDEX(Simulations!$A$1:$BK$2501, 1068, MATCH("PurchaseMultiple", Simulations!$A$1:$BK$1, 0))</f>
        <v>6.8840238809556711</v>
      </c>
      <c r="B1068" s="2">
        <f ca="1">INDEX(Simulations!$A$1:$BK$2501, 1068, MATCH("ExitMultiple", Simulations!$A$1:$BK$1, 0))</f>
        <v>6.6435493913140489</v>
      </c>
      <c r="C1068" s="2">
        <f ca="1">INDEX(Simulations!$A$1:$BK$2501, 1068, MATCH("RevCAGR", Simulations!$A$1:$BK$1, 0))</f>
        <v>3.4660726455129257E-2</v>
      </c>
      <c r="D1068" s="2">
        <f ca="1">INDEX(Simulations!$A$1:$BK$2501, 1068, MATCH("SynMargin", Simulations!$A$1:$BK$1, 0))</f>
        <v>4.307130343888097E-3</v>
      </c>
      <c r="E1068" s="2">
        <f ca="1">INDEX(Simulations!$A$1:$BK$2501, 1068, MATCH("Yr1Shock", Simulations!$A$1:$BK$1, 0))</f>
        <v>-3.9141310816779158E-4</v>
      </c>
    </row>
    <row r="1069" spans="1:5" x14ac:dyDescent="0.3">
      <c r="A1069" s="2">
        <f ca="1">INDEX(Simulations!$A$1:$BK$2501, 1069, MATCH("PurchaseMultiple", Simulations!$A$1:$BK$1, 0))</f>
        <v>7.5079197752809979</v>
      </c>
      <c r="B1069" s="2">
        <f ca="1">INDEX(Simulations!$A$1:$BK$2501, 1069, MATCH("ExitMultiple", Simulations!$A$1:$BK$1, 0))</f>
        <v>6.9907815152620927</v>
      </c>
      <c r="C1069" s="2">
        <f ca="1">INDEX(Simulations!$A$1:$BK$2501, 1069, MATCH("RevCAGR", Simulations!$A$1:$BK$1, 0))</f>
        <v>1.5064983189759129E-2</v>
      </c>
      <c r="D1069" s="2">
        <f ca="1">INDEX(Simulations!$A$1:$BK$2501, 1069, MATCH("SynMargin", Simulations!$A$1:$BK$1, 0))</f>
        <v>1.7380049039192384E-2</v>
      </c>
      <c r="E1069" s="2">
        <f ca="1">INDEX(Simulations!$A$1:$BK$2501, 1069, MATCH("Yr1Shock", Simulations!$A$1:$BK$1, 0))</f>
        <v>2.8051799683329312E-2</v>
      </c>
    </row>
    <row r="1070" spans="1:5" x14ac:dyDescent="0.3">
      <c r="A1070" s="2">
        <f ca="1">INDEX(Simulations!$A$1:$BK$2501, 1070, MATCH("PurchaseMultiple", Simulations!$A$1:$BK$1, 0))</f>
        <v>7.5227527367538292</v>
      </c>
      <c r="B1070" s="2">
        <f ca="1">INDEX(Simulations!$A$1:$BK$2501, 1070, MATCH("ExitMultiple", Simulations!$A$1:$BK$1, 0))</f>
        <v>6.7724908862983408</v>
      </c>
      <c r="C1070" s="2">
        <f ca="1">INDEX(Simulations!$A$1:$BK$2501, 1070, MATCH("RevCAGR", Simulations!$A$1:$BK$1, 0))</f>
        <v>1.8196621096966865E-2</v>
      </c>
      <c r="D1070" s="2">
        <f ca="1">INDEX(Simulations!$A$1:$BK$2501, 1070, MATCH("SynMargin", Simulations!$A$1:$BK$1, 0))</f>
        <v>1.1564351014794571E-2</v>
      </c>
      <c r="E1070" s="2">
        <f ca="1">INDEX(Simulations!$A$1:$BK$2501, 1070, MATCH("Yr1Shock", Simulations!$A$1:$BK$1, 0))</f>
        <v>4.3030885295233133E-3</v>
      </c>
    </row>
    <row r="1071" spans="1:5" x14ac:dyDescent="0.3">
      <c r="A1071" s="2">
        <f ca="1">INDEX(Simulations!$A$1:$BK$2501, 1071, MATCH("PurchaseMultiple", Simulations!$A$1:$BK$1, 0))</f>
        <v>6.2773949701564407</v>
      </c>
      <c r="B1071" s="2">
        <f ca="1">INDEX(Simulations!$A$1:$BK$2501, 1071, MATCH("ExitMultiple", Simulations!$A$1:$BK$1, 0))</f>
        <v>7.2827673106998976</v>
      </c>
      <c r="C1071" s="2">
        <f ca="1">INDEX(Simulations!$A$1:$BK$2501, 1071, MATCH("RevCAGR", Simulations!$A$1:$BK$1, 0))</f>
        <v>-2.8112881584841515E-4</v>
      </c>
      <c r="D1071" s="2">
        <f ca="1">INDEX(Simulations!$A$1:$BK$2501, 1071, MATCH("SynMargin", Simulations!$A$1:$BK$1, 0))</f>
        <v>1.1412362312643861E-2</v>
      </c>
      <c r="E1071" s="2">
        <f ca="1">INDEX(Simulations!$A$1:$BK$2501, 1071, MATCH("Yr1Shock", Simulations!$A$1:$BK$1, 0))</f>
        <v>-2.4165846564046228E-3</v>
      </c>
    </row>
    <row r="1072" spans="1:5" x14ac:dyDescent="0.3">
      <c r="A1072" s="2">
        <f ca="1">INDEX(Simulations!$A$1:$BK$2501, 1072, MATCH("PurchaseMultiple", Simulations!$A$1:$BK$1, 0))</f>
        <v>6.5414274061969975</v>
      </c>
      <c r="B1072" s="2">
        <f ca="1">INDEX(Simulations!$A$1:$BK$2501, 1072, MATCH("ExitMultiple", Simulations!$A$1:$BK$1, 0))</f>
        <v>8.1149130559027292</v>
      </c>
      <c r="C1072" s="2">
        <f ca="1">INDEX(Simulations!$A$1:$BK$2501, 1072, MATCH("RevCAGR", Simulations!$A$1:$BK$1, 0))</f>
        <v>5.2898253640980913E-2</v>
      </c>
      <c r="D1072" s="2">
        <f ca="1">INDEX(Simulations!$A$1:$BK$2501, 1072, MATCH("SynMargin", Simulations!$A$1:$BK$1, 0))</f>
        <v>9.0144106339332085E-3</v>
      </c>
      <c r="E1072" s="2">
        <f ca="1">INDEX(Simulations!$A$1:$BK$2501, 1072, MATCH("Yr1Shock", Simulations!$A$1:$BK$1, 0))</f>
        <v>2.6294077683607819E-2</v>
      </c>
    </row>
    <row r="1073" spans="1:5" x14ac:dyDescent="0.3">
      <c r="A1073" s="2">
        <f ca="1">INDEX(Simulations!$A$1:$BK$2501, 1073, MATCH("PurchaseMultiple", Simulations!$A$1:$BK$1, 0))</f>
        <v>6.7899813933648581</v>
      </c>
      <c r="B1073" s="2">
        <f ca="1">INDEX(Simulations!$A$1:$BK$2501, 1073, MATCH("ExitMultiple", Simulations!$A$1:$BK$1, 0))</f>
        <v>7.6440840379170227</v>
      </c>
      <c r="C1073" s="2">
        <f ca="1">INDEX(Simulations!$A$1:$BK$2501, 1073, MATCH("RevCAGR", Simulations!$A$1:$BK$1, 0))</f>
        <v>1.0792748612708909E-2</v>
      </c>
      <c r="D1073" s="2">
        <f ca="1">INDEX(Simulations!$A$1:$BK$2501, 1073, MATCH("SynMargin", Simulations!$A$1:$BK$1, 0))</f>
        <v>9.852434837984432E-3</v>
      </c>
      <c r="E1073" s="2">
        <f ca="1">INDEX(Simulations!$A$1:$BK$2501, 1073, MATCH("Yr1Shock", Simulations!$A$1:$BK$1, 0))</f>
        <v>3.2029206516885442E-2</v>
      </c>
    </row>
    <row r="1074" spans="1:5" x14ac:dyDescent="0.3">
      <c r="A1074" s="2">
        <f ca="1">INDEX(Simulations!$A$1:$BK$2501, 1074, MATCH("PurchaseMultiple", Simulations!$A$1:$BK$1, 0))</f>
        <v>6.684328926660231</v>
      </c>
      <c r="B1074" s="2">
        <f ca="1">INDEX(Simulations!$A$1:$BK$2501, 1074, MATCH("ExitMultiple", Simulations!$A$1:$BK$1, 0))</f>
        <v>7.4483733622840615</v>
      </c>
      <c r="C1074" s="2">
        <f ca="1">INDEX(Simulations!$A$1:$BK$2501, 1074, MATCH("RevCAGR", Simulations!$A$1:$BK$1, 0))</f>
        <v>3.9945279234369219E-2</v>
      </c>
      <c r="D1074" s="2">
        <f ca="1">INDEX(Simulations!$A$1:$BK$2501, 1074, MATCH("SynMargin", Simulations!$A$1:$BK$1, 0))</f>
        <v>1.9775428726266742E-2</v>
      </c>
      <c r="E1074" s="2">
        <f ca="1">INDEX(Simulations!$A$1:$BK$2501, 1074, MATCH("Yr1Shock", Simulations!$A$1:$BK$1, 0))</f>
        <v>4.0533815067969194E-2</v>
      </c>
    </row>
    <row r="1075" spans="1:5" x14ac:dyDescent="0.3">
      <c r="A1075" s="2">
        <f ca="1">INDEX(Simulations!$A$1:$BK$2501, 1075, MATCH("PurchaseMultiple", Simulations!$A$1:$BK$1, 0))</f>
        <v>7.5837409499697914</v>
      </c>
      <c r="B1075" s="2">
        <f ca="1">INDEX(Simulations!$A$1:$BK$2501, 1075, MATCH("ExitMultiple", Simulations!$A$1:$BK$1, 0))</f>
        <v>8.0942480836238246</v>
      </c>
      <c r="C1075" s="2">
        <f ca="1">INDEX(Simulations!$A$1:$BK$2501, 1075, MATCH("RevCAGR", Simulations!$A$1:$BK$1, 0))</f>
        <v>1.3795970108759652E-2</v>
      </c>
      <c r="D1075" s="2">
        <f ca="1">INDEX(Simulations!$A$1:$BK$2501, 1075, MATCH("SynMargin", Simulations!$A$1:$BK$1, 0))</f>
        <v>1.1172117937486533E-2</v>
      </c>
      <c r="E1075" s="2">
        <f ca="1">INDEX(Simulations!$A$1:$BK$2501, 1075, MATCH("Yr1Shock", Simulations!$A$1:$BK$1, 0))</f>
        <v>-4.4408855405498306E-2</v>
      </c>
    </row>
    <row r="1076" spans="1:5" x14ac:dyDescent="0.3">
      <c r="A1076" s="2">
        <f ca="1">INDEX(Simulations!$A$1:$BK$2501, 1076, MATCH("PurchaseMultiple", Simulations!$A$1:$BK$1, 0))</f>
        <v>7.1782175709264209</v>
      </c>
      <c r="B1076" s="2">
        <f ca="1">INDEX(Simulations!$A$1:$BK$2501, 1076, MATCH("ExitMultiple", Simulations!$A$1:$BK$1, 0))</f>
        <v>7.9921683445194649</v>
      </c>
      <c r="C1076" s="2">
        <f ca="1">INDEX(Simulations!$A$1:$BK$2501, 1076, MATCH("RevCAGR", Simulations!$A$1:$BK$1, 0))</f>
        <v>5.3629074473472149E-2</v>
      </c>
      <c r="D1076" s="2">
        <f ca="1">INDEX(Simulations!$A$1:$BK$2501, 1076, MATCH("SynMargin", Simulations!$A$1:$BK$1, 0))</f>
        <v>2.1798620374113037E-2</v>
      </c>
      <c r="E1076" s="2">
        <f ca="1">INDEX(Simulations!$A$1:$BK$2501, 1076, MATCH("Yr1Shock", Simulations!$A$1:$BK$1, 0))</f>
        <v>4.7400029483781192E-3</v>
      </c>
    </row>
    <row r="1077" spans="1:5" x14ac:dyDescent="0.3">
      <c r="A1077" s="2">
        <f ca="1">INDEX(Simulations!$A$1:$BK$2501, 1077, MATCH("PurchaseMultiple", Simulations!$A$1:$BK$1, 0))</f>
        <v>6.3513232397536257</v>
      </c>
      <c r="B1077" s="2">
        <f ca="1">INDEX(Simulations!$A$1:$BK$2501, 1077, MATCH("ExitMultiple", Simulations!$A$1:$BK$1, 0))</f>
        <v>7.4538889060531659</v>
      </c>
      <c r="C1077" s="2">
        <f ca="1">INDEX(Simulations!$A$1:$BK$2501, 1077, MATCH("RevCAGR", Simulations!$A$1:$BK$1, 0))</f>
        <v>9.6184751748623759E-2</v>
      </c>
      <c r="D1077" s="2">
        <f ca="1">INDEX(Simulations!$A$1:$BK$2501, 1077, MATCH("SynMargin", Simulations!$A$1:$BK$1, 0))</f>
        <v>2.3874372962430753E-3</v>
      </c>
      <c r="E1077" s="2">
        <f ca="1">INDEX(Simulations!$A$1:$BK$2501, 1077, MATCH("Yr1Shock", Simulations!$A$1:$BK$1, 0))</f>
        <v>1.5943014170807717E-2</v>
      </c>
    </row>
    <row r="1078" spans="1:5" x14ac:dyDescent="0.3">
      <c r="A1078" s="2">
        <f ca="1">INDEX(Simulations!$A$1:$BK$2501, 1078, MATCH("PurchaseMultiple", Simulations!$A$1:$BK$1, 0))</f>
        <v>6.9839685465498293</v>
      </c>
      <c r="B1078" s="2">
        <f ca="1">INDEX(Simulations!$A$1:$BK$2501, 1078, MATCH("ExitMultiple", Simulations!$A$1:$BK$1, 0))</f>
        <v>7.169622223333028</v>
      </c>
      <c r="C1078" s="2">
        <f ca="1">INDEX(Simulations!$A$1:$BK$2501, 1078, MATCH("RevCAGR", Simulations!$A$1:$BK$1, 0))</f>
        <v>2.590695717662422E-2</v>
      </c>
      <c r="D1078" s="2">
        <f ca="1">INDEX(Simulations!$A$1:$BK$2501, 1078, MATCH("SynMargin", Simulations!$A$1:$BK$1, 0))</f>
        <v>8.1919874099325267E-3</v>
      </c>
      <c r="E1078" s="2">
        <f ca="1">INDEX(Simulations!$A$1:$BK$2501, 1078, MATCH("Yr1Shock", Simulations!$A$1:$BK$1, 0))</f>
        <v>-1.4248050611529388E-2</v>
      </c>
    </row>
    <row r="1079" spans="1:5" x14ac:dyDescent="0.3">
      <c r="A1079" s="2">
        <f ca="1">INDEX(Simulations!$A$1:$BK$2501, 1079, MATCH("PurchaseMultiple", Simulations!$A$1:$BK$1, 0))</f>
        <v>7.0915958777445089</v>
      </c>
      <c r="B1079" s="2">
        <f ca="1">INDEX(Simulations!$A$1:$BK$2501, 1079, MATCH("ExitMultiple", Simulations!$A$1:$BK$1, 0))</f>
        <v>7.1977620473897863</v>
      </c>
      <c r="C1079" s="2">
        <f ca="1">INDEX(Simulations!$A$1:$BK$2501, 1079, MATCH("RevCAGR", Simulations!$A$1:$BK$1, 0))</f>
        <v>3.9665176777407704E-2</v>
      </c>
      <c r="D1079" s="2">
        <f ca="1">INDEX(Simulations!$A$1:$BK$2501, 1079, MATCH("SynMargin", Simulations!$A$1:$BK$1, 0))</f>
        <v>1.4040557445953618E-2</v>
      </c>
      <c r="E1079" s="2">
        <f ca="1">INDEX(Simulations!$A$1:$BK$2501, 1079, MATCH("Yr1Shock", Simulations!$A$1:$BK$1, 0))</f>
        <v>-3.009756385094416E-2</v>
      </c>
    </row>
    <row r="1080" spans="1:5" x14ac:dyDescent="0.3">
      <c r="A1080" s="2">
        <f ca="1">INDEX(Simulations!$A$1:$BK$2501, 1080, MATCH("PurchaseMultiple", Simulations!$A$1:$BK$1, 0))</f>
        <v>6.9366935771502005</v>
      </c>
      <c r="B1080" s="2">
        <f ca="1">INDEX(Simulations!$A$1:$BK$2501, 1080, MATCH("ExitMultiple", Simulations!$A$1:$BK$1, 0))</f>
        <v>6.9784342096382614</v>
      </c>
      <c r="C1080" s="2">
        <f ca="1">INDEX(Simulations!$A$1:$BK$2501, 1080, MATCH("RevCAGR", Simulations!$A$1:$BK$1, 0))</f>
        <v>-3.1016607896939968E-3</v>
      </c>
      <c r="D1080" s="2">
        <f ca="1">INDEX(Simulations!$A$1:$BK$2501, 1080, MATCH("SynMargin", Simulations!$A$1:$BK$1, 0))</f>
        <v>9.9555616920111532E-3</v>
      </c>
      <c r="E1080" s="2">
        <f ca="1">INDEX(Simulations!$A$1:$BK$2501, 1080, MATCH("Yr1Shock", Simulations!$A$1:$BK$1, 0))</f>
        <v>-6.7534176270137294E-3</v>
      </c>
    </row>
    <row r="1081" spans="1:5" x14ac:dyDescent="0.3">
      <c r="A1081" s="2">
        <f ca="1">INDEX(Simulations!$A$1:$BK$2501, 1081, MATCH("PurchaseMultiple", Simulations!$A$1:$BK$1, 0))</f>
        <v>6.5546900774999939</v>
      </c>
      <c r="B1081" s="2">
        <f ca="1">INDEX(Simulations!$A$1:$BK$2501, 1081, MATCH("ExitMultiple", Simulations!$A$1:$BK$1, 0))</f>
        <v>7.5826748682660696</v>
      </c>
      <c r="C1081" s="2">
        <f ca="1">INDEX(Simulations!$A$1:$BK$2501, 1081, MATCH("RevCAGR", Simulations!$A$1:$BK$1, 0))</f>
        <v>1.7135084294938579E-2</v>
      </c>
      <c r="D1081" s="2">
        <f ca="1">INDEX(Simulations!$A$1:$BK$2501, 1081, MATCH("SynMargin", Simulations!$A$1:$BK$1, 0))</f>
        <v>9.676700004570991E-3</v>
      </c>
      <c r="E1081" s="2">
        <f ca="1">INDEX(Simulations!$A$1:$BK$2501, 1081, MATCH("Yr1Shock", Simulations!$A$1:$BK$1, 0))</f>
        <v>1.0871912183524913E-2</v>
      </c>
    </row>
    <row r="1082" spans="1:5" x14ac:dyDescent="0.3">
      <c r="A1082" s="2">
        <f ca="1">INDEX(Simulations!$A$1:$BK$2501, 1082, MATCH("PurchaseMultiple", Simulations!$A$1:$BK$1, 0))</f>
        <v>6.3886118613593705</v>
      </c>
      <c r="B1082" s="2">
        <f ca="1">INDEX(Simulations!$A$1:$BK$2501, 1082, MATCH("ExitMultiple", Simulations!$A$1:$BK$1, 0))</f>
        <v>7.1896502307578256</v>
      </c>
      <c r="C1082" s="2">
        <f ca="1">INDEX(Simulations!$A$1:$BK$2501, 1082, MATCH("RevCAGR", Simulations!$A$1:$BK$1, 0))</f>
        <v>5.6800263149704461E-2</v>
      </c>
      <c r="D1082" s="2">
        <f ca="1">INDEX(Simulations!$A$1:$BK$2501, 1082, MATCH("SynMargin", Simulations!$A$1:$BK$1, 0))</f>
        <v>1.0376654227493679E-2</v>
      </c>
      <c r="E1082" s="2">
        <f ca="1">INDEX(Simulations!$A$1:$BK$2501, 1082, MATCH("Yr1Shock", Simulations!$A$1:$BK$1, 0))</f>
        <v>4.1436470851501074E-2</v>
      </c>
    </row>
    <row r="1083" spans="1:5" x14ac:dyDescent="0.3">
      <c r="A1083" s="2">
        <f ca="1">INDEX(Simulations!$A$1:$BK$2501, 1083, MATCH("PurchaseMultiple", Simulations!$A$1:$BK$1, 0))</f>
        <v>6.3322050536087708</v>
      </c>
      <c r="B1083" s="2">
        <f ca="1">INDEX(Simulations!$A$1:$BK$2501, 1083, MATCH("ExitMultiple", Simulations!$A$1:$BK$1, 0))</f>
        <v>7.1392527706808453</v>
      </c>
      <c r="C1083" s="2">
        <f ca="1">INDEX(Simulations!$A$1:$BK$2501, 1083, MATCH("RevCAGR", Simulations!$A$1:$BK$1, 0))</f>
        <v>8.878341744082674E-2</v>
      </c>
      <c r="D1083" s="2">
        <f ca="1">INDEX(Simulations!$A$1:$BK$2501, 1083, MATCH("SynMargin", Simulations!$A$1:$BK$1, 0))</f>
        <v>7.3714135907729499E-3</v>
      </c>
      <c r="E1083" s="2">
        <f ca="1">INDEX(Simulations!$A$1:$BK$2501, 1083, MATCH("Yr1Shock", Simulations!$A$1:$BK$1, 0))</f>
        <v>-3.5121938667570789E-2</v>
      </c>
    </row>
    <row r="1084" spans="1:5" x14ac:dyDescent="0.3">
      <c r="A1084" s="2">
        <f ca="1">INDEX(Simulations!$A$1:$BK$2501, 1084, MATCH("PurchaseMultiple", Simulations!$A$1:$BK$1, 0))</f>
        <v>6.8442541498780995</v>
      </c>
      <c r="B1084" s="2">
        <f ca="1">INDEX(Simulations!$A$1:$BK$2501, 1084, MATCH("ExitMultiple", Simulations!$A$1:$BK$1, 0))</f>
        <v>7.567655683546187</v>
      </c>
      <c r="C1084" s="2">
        <f ca="1">INDEX(Simulations!$A$1:$BK$2501, 1084, MATCH("RevCAGR", Simulations!$A$1:$BK$1, 0))</f>
        <v>7.737966007757574E-2</v>
      </c>
      <c r="D1084" s="2">
        <f ca="1">INDEX(Simulations!$A$1:$BK$2501, 1084, MATCH("SynMargin", Simulations!$A$1:$BK$1, 0))</f>
        <v>8.5838435028696893E-3</v>
      </c>
      <c r="E1084" s="2">
        <f ca="1">INDEX(Simulations!$A$1:$BK$2501, 1084, MATCH("Yr1Shock", Simulations!$A$1:$BK$1, 0))</f>
        <v>7.676516532996557E-3</v>
      </c>
    </row>
    <row r="1085" spans="1:5" x14ac:dyDescent="0.3">
      <c r="A1085" s="2">
        <f ca="1">INDEX(Simulations!$A$1:$BK$2501, 1085, MATCH("PurchaseMultiple", Simulations!$A$1:$BK$1, 0))</f>
        <v>6.6173477223843573</v>
      </c>
      <c r="B1085" s="2">
        <f ca="1">INDEX(Simulations!$A$1:$BK$2501, 1085, MATCH("ExitMultiple", Simulations!$A$1:$BK$1, 0))</f>
        <v>7.0154516826795774</v>
      </c>
      <c r="C1085" s="2">
        <f ca="1">INDEX(Simulations!$A$1:$BK$2501, 1085, MATCH("RevCAGR", Simulations!$A$1:$BK$1, 0))</f>
        <v>2.589865584406709E-2</v>
      </c>
      <c r="D1085" s="2">
        <f ca="1">INDEX(Simulations!$A$1:$BK$2501, 1085, MATCH("SynMargin", Simulations!$A$1:$BK$1, 0))</f>
        <v>1.2947976760763074E-2</v>
      </c>
      <c r="E1085" s="2">
        <f ca="1">INDEX(Simulations!$A$1:$BK$2501, 1085, MATCH("Yr1Shock", Simulations!$A$1:$BK$1, 0))</f>
        <v>0.05</v>
      </c>
    </row>
    <row r="1086" spans="1:5" x14ac:dyDescent="0.3">
      <c r="A1086" s="2">
        <f ca="1">INDEX(Simulations!$A$1:$BK$2501, 1086, MATCH("PurchaseMultiple", Simulations!$A$1:$BK$1, 0))</f>
        <v>6.8963569196208185</v>
      </c>
      <c r="B1086" s="2">
        <f ca="1">INDEX(Simulations!$A$1:$BK$2501, 1086, MATCH("ExitMultiple", Simulations!$A$1:$BK$1, 0))</f>
        <v>6.9934143415350007</v>
      </c>
      <c r="C1086" s="2">
        <f ca="1">INDEX(Simulations!$A$1:$BK$2501, 1086, MATCH("RevCAGR", Simulations!$A$1:$BK$1, 0))</f>
        <v>7.3480350142617695E-2</v>
      </c>
      <c r="D1086" s="2">
        <f ca="1">INDEX(Simulations!$A$1:$BK$2501, 1086, MATCH("SynMargin", Simulations!$A$1:$BK$1, 0))</f>
        <v>1.1013217232820048E-2</v>
      </c>
      <c r="E1086" s="2">
        <f ca="1">INDEX(Simulations!$A$1:$BK$2501, 1086, MATCH("Yr1Shock", Simulations!$A$1:$BK$1, 0))</f>
        <v>-2.0137232595966188E-2</v>
      </c>
    </row>
    <row r="1087" spans="1:5" x14ac:dyDescent="0.3">
      <c r="A1087" s="2">
        <f ca="1">INDEX(Simulations!$A$1:$BK$2501, 1087, MATCH("PurchaseMultiple", Simulations!$A$1:$BK$1, 0))</f>
        <v>6.4812438074575089</v>
      </c>
      <c r="B1087" s="2">
        <f ca="1">INDEX(Simulations!$A$1:$BK$2501, 1087, MATCH("ExitMultiple", Simulations!$A$1:$BK$1, 0))</f>
        <v>7.5181320534939013</v>
      </c>
      <c r="C1087" s="2">
        <f ca="1">INDEX(Simulations!$A$1:$BK$2501, 1087, MATCH("RevCAGR", Simulations!$A$1:$BK$1, 0))</f>
        <v>4.0741751935583527E-2</v>
      </c>
      <c r="D1087" s="2">
        <f ca="1">INDEX(Simulations!$A$1:$BK$2501, 1087, MATCH("SynMargin", Simulations!$A$1:$BK$1, 0))</f>
        <v>5.5777799475599235E-3</v>
      </c>
      <c r="E1087" s="2">
        <f ca="1">INDEX(Simulations!$A$1:$BK$2501, 1087, MATCH("Yr1Shock", Simulations!$A$1:$BK$1, 0))</f>
        <v>7.4013396714930537E-3</v>
      </c>
    </row>
    <row r="1088" spans="1:5" x14ac:dyDescent="0.3">
      <c r="A1088" s="2">
        <f ca="1">INDEX(Simulations!$A$1:$BK$2501, 1088, MATCH("PurchaseMultiple", Simulations!$A$1:$BK$1, 0))</f>
        <v>7.5177787366772941</v>
      </c>
      <c r="B1088" s="2">
        <f ca="1">INDEX(Simulations!$A$1:$BK$2501, 1088, MATCH("ExitMultiple", Simulations!$A$1:$BK$1, 0))</f>
        <v>7.2249143262595847</v>
      </c>
      <c r="C1088" s="2">
        <f ca="1">INDEX(Simulations!$A$1:$BK$2501, 1088, MATCH("RevCAGR", Simulations!$A$1:$BK$1, 0))</f>
        <v>2.7277878015583248E-2</v>
      </c>
      <c r="D1088" s="2">
        <f ca="1">INDEX(Simulations!$A$1:$BK$2501, 1088, MATCH("SynMargin", Simulations!$A$1:$BK$1, 0))</f>
        <v>2.0873321696663703E-3</v>
      </c>
      <c r="E1088" s="2">
        <f ca="1">INDEX(Simulations!$A$1:$BK$2501, 1088, MATCH("Yr1Shock", Simulations!$A$1:$BK$1, 0))</f>
        <v>2.1027012537045355E-3</v>
      </c>
    </row>
    <row r="1089" spans="1:5" x14ac:dyDescent="0.3">
      <c r="A1089" s="2">
        <f ca="1">INDEX(Simulations!$A$1:$BK$2501, 1089, MATCH("PurchaseMultiple", Simulations!$A$1:$BK$1, 0))</f>
        <v>6.4699590993408727</v>
      </c>
      <c r="B1089" s="2">
        <f ca="1">INDEX(Simulations!$A$1:$BK$2501, 1089, MATCH("ExitMultiple", Simulations!$A$1:$BK$1, 0))</f>
        <v>7.7290848902151588</v>
      </c>
      <c r="C1089" s="2">
        <f ca="1">INDEX(Simulations!$A$1:$BK$2501, 1089, MATCH("RevCAGR", Simulations!$A$1:$BK$1, 0))</f>
        <v>3.5198777218208036E-2</v>
      </c>
      <c r="D1089" s="2">
        <f ca="1">INDEX(Simulations!$A$1:$BK$2501, 1089, MATCH("SynMargin", Simulations!$A$1:$BK$1, 0))</f>
        <v>7.4682888437279989E-3</v>
      </c>
      <c r="E1089" s="2">
        <f ca="1">INDEX(Simulations!$A$1:$BK$2501, 1089, MATCH("Yr1Shock", Simulations!$A$1:$BK$1, 0))</f>
        <v>2.4482394848683725E-2</v>
      </c>
    </row>
    <row r="1090" spans="1:5" x14ac:dyDescent="0.3">
      <c r="A1090" s="2">
        <f ca="1">INDEX(Simulations!$A$1:$BK$2501, 1090, MATCH("PurchaseMultiple", Simulations!$A$1:$BK$1, 0))</f>
        <v>6.9725941202814976</v>
      </c>
      <c r="B1090" s="2">
        <f ca="1">INDEX(Simulations!$A$1:$BK$2501, 1090, MATCH("ExitMultiple", Simulations!$A$1:$BK$1, 0))</f>
        <v>7.8610153134748799</v>
      </c>
      <c r="C1090" s="2">
        <f ca="1">INDEX(Simulations!$A$1:$BK$2501, 1090, MATCH("RevCAGR", Simulations!$A$1:$BK$1, 0))</f>
        <v>7.3605010276719771E-2</v>
      </c>
      <c r="D1090" s="2">
        <f ca="1">INDEX(Simulations!$A$1:$BK$2501, 1090, MATCH("SynMargin", Simulations!$A$1:$BK$1, 0))</f>
        <v>9.7792387033203716E-3</v>
      </c>
      <c r="E1090" s="2">
        <f ca="1">INDEX(Simulations!$A$1:$BK$2501, 1090, MATCH("Yr1Shock", Simulations!$A$1:$BK$1, 0))</f>
        <v>1.0590023756392385E-3</v>
      </c>
    </row>
    <row r="1091" spans="1:5" x14ac:dyDescent="0.3">
      <c r="A1091" s="2">
        <f ca="1">INDEX(Simulations!$A$1:$BK$2501, 1091, MATCH("PurchaseMultiple", Simulations!$A$1:$BK$1, 0))</f>
        <v>7.0848951545986782</v>
      </c>
      <c r="B1091" s="2">
        <f ca="1">INDEX(Simulations!$A$1:$BK$2501, 1091, MATCH("ExitMultiple", Simulations!$A$1:$BK$1, 0))</f>
        <v>7.5064502429652196</v>
      </c>
      <c r="C1091" s="2">
        <f ca="1">INDEX(Simulations!$A$1:$BK$2501, 1091, MATCH("RevCAGR", Simulations!$A$1:$BK$1, 0))</f>
        <v>7.4690299519358308E-3</v>
      </c>
      <c r="D1091" s="2">
        <f ca="1">INDEX(Simulations!$A$1:$BK$2501, 1091, MATCH("SynMargin", Simulations!$A$1:$BK$1, 0))</f>
        <v>1.4297670834529635E-3</v>
      </c>
      <c r="E1091" s="2">
        <f ca="1">INDEX(Simulations!$A$1:$BK$2501, 1091, MATCH("Yr1Shock", Simulations!$A$1:$BK$1, 0))</f>
        <v>-1.7455156462801852E-2</v>
      </c>
    </row>
    <row r="1092" spans="1:5" x14ac:dyDescent="0.3">
      <c r="A1092" s="2">
        <f ca="1">INDEX(Simulations!$A$1:$BK$2501, 1092, MATCH("PurchaseMultiple", Simulations!$A$1:$BK$1, 0))</f>
        <v>6.3773429640844572</v>
      </c>
      <c r="B1092" s="2">
        <f ca="1">INDEX(Simulations!$A$1:$BK$2501, 1092, MATCH("ExitMultiple", Simulations!$A$1:$BK$1, 0))</f>
        <v>7.479868960859763</v>
      </c>
      <c r="C1092" s="2">
        <f ca="1">INDEX(Simulations!$A$1:$BK$2501, 1092, MATCH("RevCAGR", Simulations!$A$1:$BK$1, 0))</f>
        <v>7.5136589449947028E-2</v>
      </c>
      <c r="D1092" s="2">
        <f ca="1">INDEX(Simulations!$A$1:$BK$2501, 1092, MATCH("SynMargin", Simulations!$A$1:$BK$1, 0))</f>
        <v>1.202340239813199E-2</v>
      </c>
      <c r="E1092" s="2">
        <f ca="1">INDEX(Simulations!$A$1:$BK$2501, 1092, MATCH("Yr1Shock", Simulations!$A$1:$BK$1, 0))</f>
        <v>-1.1488294997375852E-3</v>
      </c>
    </row>
    <row r="1093" spans="1:5" x14ac:dyDescent="0.3">
      <c r="A1093" s="2">
        <f ca="1">INDEX(Simulations!$A$1:$BK$2501, 1093, MATCH("PurchaseMultiple", Simulations!$A$1:$BK$1, 0))</f>
        <v>6.622382183316792</v>
      </c>
      <c r="B1093" s="2">
        <f ca="1">INDEX(Simulations!$A$1:$BK$2501, 1093, MATCH("ExitMultiple", Simulations!$A$1:$BK$1, 0))</f>
        <v>7.121239152287564</v>
      </c>
      <c r="C1093" s="2">
        <f ca="1">INDEX(Simulations!$A$1:$BK$2501, 1093, MATCH("RevCAGR", Simulations!$A$1:$BK$1, 0))</f>
        <v>5.0858195540788978E-2</v>
      </c>
      <c r="D1093" s="2">
        <f ca="1">INDEX(Simulations!$A$1:$BK$2501, 1093, MATCH("SynMargin", Simulations!$A$1:$BK$1, 0))</f>
        <v>1.8507136774423574E-2</v>
      </c>
      <c r="E1093" s="2">
        <f ca="1">INDEX(Simulations!$A$1:$BK$2501, 1093, MATCH("Yr1Shock", Simulations!$A$1:$BK$1, 0))</f>
        <v>-1.9853337681082023E-2</v>
      </c>
    </row>
    <row r="1094" spans="1:5" x14ac:dyDescent="0.3">
      <c r="A1094" s="2">
        <f ca="1">INDEX(Simulations!$A$1:$BK$2501, 1094, MATCH("PurchaseMultiple", Simulations!$A$1:$BK$1, 0))</f>
        <v>6.7823244447943116</v>
      </c>
      <c r="B1094" s="2">
        <f ca="1">INDEX(Simulations!$A$1:$BK$2501, 1094, MATCH("ExitMultiple", Simulations!$A$1:$BK$1, 0))</f>
        <v>7.7673311711995172</v>
      </c>
      <c r="C1094" s="2">
        <f ca="1">INDEX(Simulations!$A$1:$BK$2501, 1094, MATCH("RevCAGR", Simulations!$A$1:$BK$1, 0))</f>
        <v>6.8100953018253377E-2</v>
      </c>
      <c r="D1094" s="2">
        <f ca="1">INDEX(Simulations!$A$1:$BK$2501, 1094, MATCH("SynMargin", Simulations!$A$1:$BK$1, 0))</f>
        <v>2.2457800635962699E-3</v>
      </c>
      <c r="E1094" s="2">
        <f ca="1">INDEX(Simulations!$A$1:$BK$2501, 1094, MATCH("Yr1Shock", Simulations!$A$1:$BK$1, 0))</f>
        <v>-7.1325504895292718E-3</v>
      </c>
    </row>
    <row r="1095" spans="1:5" x14ac:dyDescent="0.3">
      <c r="A1095" s="2">
        <f ca="1">INDEX(Simulations!$A$1:$BK$2501, 1095, MATCH("PurchaseMultiple", Simulations!$A$1:$BK$1, 0))</f>
        <v>6.8754012067365604</v>
      </c>
      <c r="B1095" s="2">
        <f ca="1">INDEX(Simulations!$A$1:$BK$2501, 1095, MATCH("ExitMultiple", Simulations!$A$1:$BK$1, 0))</f>
        <v>7.4363018119114006</v>
      </c>
      <c r="C1095" s="2">
        <f ca="1">INDEX(Simulations!$A$1:$BK$2501, 1095, MATCH("RevCAGR", Simulations!$A$1:$BK$1, 0))</f>
        <v>6.147133985428456E-2</v>
      </c>
      <c r="D1095" s="2">
        <f ca="1">INDEX(Simulations!$A$1:$BK$2501, 1095, MATCH("SynMargin", Simulations!$A$1:$BK$1, 0))</f>
        <v>1.9311173612853751E-2</v>
      </c>
      <c r="E1095" s="2">
        <f ca="1">INDEX(Simulations!$A$1:$BK$2501, 1095, MATCH("Yr1Shock", Simulations!$A$1:$BK$1, 0))</f>
        <v>-1.4204519076748839E-2</v>
      </c>
    </row>
    <row r="1096" spans="1:5" x14ac:dyDescent="0.3">
      <c r="A1096" s="2">
        <f ca="1">INDEX(Simulations!$A$1:$BK$2501, 1096, MATCH("PurchaseMultiple", Simulations!$A$1:$BK$1, 0))</f>
        <v>7.2496077346432717</v>
      </c>
      <c r="B1096" s="2">
        <f ca="1">INDEX(Simulations!$A$1:$BK$2501, 1096, MATCH("ExitMultiple", Simulations!$A$1:$BK$1, 0))</f>
        <v>7.8179868459850361</v>
      </c>
      <c r="C1096" s="2">
        <f ca="1">INDEX(Simulations!$A$1:$BK$2501, 1096, MATCH("RevCAGR", Simulations!$A$1:$BK$1, 0))</f>
        <v>1.9119024328682E-2</v>
      </c>
      <c r="D1096" s="2">
        <f ca="1">INDEX(Simulations!$A$1:$BK$2501, 1096, MATCH("SynMargin", Simulations!$A$1:$BK$1, 0))</f>
        <v>1.8798596126381774E-2</v>
      </c>
      <c r="E1096" s="2">
        <f ca="1">INDEX(Simulations!$A$1:$BK$2501, 1096, MATCH("Yr1Shock", Simulations!$A$1:$BK$1, 0))</f>
        <v>2.0546317642695777E-2</v>
      </c>
    </row>
    <row r="1097" spans="1:5" x14ac:dyDescent="0.3">
      <c r="A1097" s="2">
        <f ca="1">INDEX(Simulations!$A$1:$BK$2501, 1097, MATCH("PurchaseMultiple", Simulations!$A$1:$BK$1, 0))</f>
        <v>6.9963327689239341</v>
      </c>
      <c r="B1097" s="2">
        <f ca="1">INDEX(Simulations!$A$1:$BK$2501, 1097, MATCH("ExitMultiple", Simulations!$A$1:$BK$1, 0))</f>
        <v>7.9455489941046995</v>
      </c>
      <c r="C1097" s="2">
        <f ca="1">INDEX(Simulations!$A$1:$BK$2501, 1097, MATCH("RevCAGR", Simulations!$A$1:$BK$1, 0))</f>
        <v>2.5480888576989227E-2</v>
      </c>
      <c r="D1097" s="2">
        <f ca="1">INDEX(Simulations!$A$1:$BK$2501, 1097, MATCH("SynMargin", Simulations!$A$1:$BK$1, 0))</f>
        <v>2.283961790343611E-2</v>
      </c>
      <c r="E1097" s="2">
        <f ca="1">INDEX(Simulations!$A$1:$BK$2501, 1097, MATCH("Yr1Shock", Simulations!$A$1:$BK$1, 0))</f>
        <v>1.4377434996092592E-2</v>
      </c>
    </row>
    <row r="1098" spans="1:5" x14ac:dyDescent="0.3">
      <c r="A1098" s="2">
        <f ca="1">INDEX(Simulations!$A$1:$BK$2501, 1098, MATCH("PurchaseMultiple", Simulations!$A$1:$BK$1, 0))</f>
        <v>7.2958557791030501</v>
      </c>
      <c r="B1098" s="2">
        <f ca="1">INDEX(Simulations!$A$1:$BK$2501, 1098, MATCH("ExitMultiple", Simulations!$A$1:$BK$1, 0))</f>
        <v>7.6739021628610526</v>
      </c>
      <c r="C1098" s="2">
        <f ca="1">INDEX(Simulations!$A$1:$BK$2501, 1098, MATCH("RevCAGR", Simulations!$A$1:$BK$1, 0))</f>
        <v>1.7175819007816173E-2</v>
      </c>
      <c r="D1098" s="2">
        <f ca="1">INDEX(Simulations!$A$1:$BK$2501, 1098, MATCH("SynMargin", Simulations!$A$1:$BK$1, 0))</f>
        <v>8.7848049877130609E-3</v>
      </c>
      <c r="E1098" s="2">
        <f ca="1">INDEX(Simulations!$A$1:$BK$2501, 1098, MATCH("Yr1Shock", Simulations!$A$1:$BK$1, 0))</f>
        <v>-3.0261819752472597E-2</v>
      </c>
    </row>
    <row r="1099" spans="1:5" x14ac:dyDescent="0.3">
      <c r="A1099" s="2">
        <f ca="1">INDEX(Simulations!$A$1:$BK$2501, 1099, MATCH("PurchaseMultiple", Simulations!$A$1:$BK$1, 0))</f>
        <v>6.6934230461469797</v>
      </c>
      <c r="B1099" s="2">
        <f ca="1">INDEX(Simulations!$A$1:$BK$2501, 1099, MATCH("ExitMultiple", Simulations!$A$1:$BK$1, 0))</f>
        <v>8.3239738208277547</v>
      </c>
      <c r="C1099" s="2">
        <f ca="1">INDEX(Simulations!$A$1:$BK$2501, 1099, MATCH("RevCAGR", Simulations!$A$1:$BK$1, 0))</f>
        <v>-0.02</v>
      </c>
      <c r="D1099" s="2">
        <f ca="1">INDEX(Simulations!$A$1:$BK$2501, 1099, MATCH("SynMargin", Simulations!$A$1:$BK$1, 0))</f>
        <v>7.0334907287034464E-3</v>
      </c>
      <c r="E1099" s="2">
        <f ca="1">INDEX(Simulations!$A$1:$BK$2501, 1099, MATCH("Yr1Shock", Simulations!$A$1:$BK$1, 0))</f>
        <v>-9.0063306165336851E-3</v>
      </c>
    </row>
    <row r="1100" spans="1:5" x14ac:dyDescent="0.3">
      <c r="A1100" s="2">
        <f ca="1">INDEX(Simulations!$A$1:$BK$2501, 1100, MATCH("PurchaseMultiple", Simulations!$A$1:$BK$1, 0))</f>
        <v>7.3618147773984219</v>
      </c>
      <c r="B1100" s="2">
        <f ca="1">INDEX(Simulations!$A$1:$BK$2501, 1100, MATCH("ExitMultiple", Simulations!$A$1:$BK$1, 0))</f>
        <v>8.2953647548644742</v>
      </c>
      <c r="C1100" s="2">
        <f ca="1">INDEX(Simulations!$A$1:$BK$2501, 1100, MATCH("RevCAGR", Simulations!$A$1:$BK$1, 0))</f>
        <v>8.8640074479995584E-2</v>
      </c>
      <c r="D1100" s="2">
        <f ca="1">INDEX(Simulations!$A$1:$BK$2501, 1100, MATCH("SynMargin", Simulations!$A$1:$BK$1, 0))</f>
        <v>5.5341766181636002E-3</v>
      </c>
      <c r="E1100" s="2">
        <f ca="1">INDEX(Simulations!$A$1:$BK$2501, 1100, MATCH("Yr1Shock", Simulations!$A$1:$BK$1, 0))</f>
        <v>3.6605373558626933E-2</v>
      </c>
    </row>
    <row r="1101" spans="1:5" x14ac:dyDescent="0.3">
      <c r="A1101" s="2">
        <f ca="1">INDEX(Simulations!$A$1:$BK$2501, 1101, MATCH("PurchaseMultiple", Simulations!$A$1:$BK$1, 0))</f>
        <v>6.963413494153988</v>
      </c>
      <c r="B1101" s="2">
        <f ca="1">INDEX(Simulations!$A$1:$BK$2501, 1101, MATCH("ExitMultiple", Simulations!$A$1:$BK$1, 0))</f>
        <v>7.30942606028065</v>
      </c>
      <c r="C1101" s="2">
        <f ca="1">INDEX(Simulations!$A$1:$BK$2501, 1101, MATCH("RevCAGR", Simulations!$A$1:$BK$1, 0))</f>
        <v>5.2914494464366919E-2</v>
      </c>
      <c r="D1101" s="2">
        <f ca="1">INDEX(Simulations!$A$1:$BK$2501, 1101, MATCH("SynMargin", Simulations!$A$1:$BK$1, 0))</f>
        <v>9.1288539091601787E-3</v>
      </c>
      <c r="E1101" s="2">
        <f ca="1">INDEX(Simulations!$A$1:$BK$2501, 1101, MATCH("Yr1Shock", Simulations!$A$1:$BK$1, 0))</f>
        <v>-2.8695379603867428E-2</v>
      </c>
    </row>
    <row r="1102" spans="1:5" x14ac:dyDescent="0.3">
      <c r="A1102" s="2">
        <f ca="1">INDEX(Simulations!$A$1:$BK$2501, 1102, MATCH("PurchaseMultiple", Simulations!$A$1:$BK$1, 0))</f>
        <v>7.360210782250955</v>
      </c>
      <c r="B1102" s="2">
        <f ca="1">INDEX(Simulations!$A$1:$BK$2501, 1102, MATCH("ExitMultiple", Simulations!$A$1:$BK$1, 0))</f>
        <v>7.9753774984364592</v>
      </c>
      <c r="C1102" s="2">
        <f ca="1">INDEX(Simulations!$A$1:$BK$2501, 1102, MATCH("RevCAGR", Simulations!$A$1:$BK$1, 0))</f>
        <v>3.0992863827598506E-2</v>
      </c>
      <c r="D1102" s="2">
        <f ca="1">INDEX(Simulations!$A$1:$BK$2501, 1102, MATCH("SynMargin", Simulations!$A$1:$BK$1, 0))</f>
        <v>5.0065022043144234E-3</v>
      </c>
      <c r="E1102" s="2">
        <f ca="1">INDEX(Simulations!$A$1:$BK$2501, 1102, MATCH("Yr1Shock", Simulations!$A$1:$BK$1, 0))</f>
        <v>-7.8986469764324475E-3</v>
      </c>
    </row>
    <row r="1103" spans="1:5" x14ac:dyDescent="0.3">
      <c r="A1103" s="2">
        <f ca="1">INDEX(Simulations!$A$1:$BK$2501, 1103, MATCH("PurchaseMultiple", Simulations!$A$1:$BK$1, 0))</f>
        <v>7.5341622222060325</v>
      </c>
      <c r="B1103" s="2">
        <f ca="1">INDEX(Simulations!$A$1:$BK$2501, 1103, MATCH("ExitMultiple", Simulations!$A$1:$BK$1, 0))</f>
        <v>7.9000756534648149</v>
      </c>
      <c r="C1103" s="2">
        <f ca="1">INDEX(Simulations!$A$1:$BK$2501, 1103, MATCH("RevCAGR", Simulations!$A$1:$BK$1, 0))</f>
        <v>2.1329430564772125E-2</v>
      </c>
      <c r="D1103" s="2">
        <f ca="1">INDEX(Simulations!$A$1:$BK$2501, 1103, MATCH("SynMargin", Simulations!$A$1:$BK$1, 0))</f>
        <v>9.2395886617407594E-3</v>
      </c>
      <c r="E1103" s="2">
        <f ca="1">INDEX(Simulations!$A$1:$BK$2501, 1103, MATCH("Yr1Shock", Simulations!$A$1:$BK$1, 0))</f>
        <v>7.7457234561954594E-3</v>
      </c>
    </row>
    <row r="1104" spans="1:5" x14ac:dyDescent="0.3">
      <c r="A1104" s="2">
        <f ca="1">INDEX(Simulations!$A$1:$BK$2501, 1104, MATCH("PurchaseMultiple", Simulations!$A$1:$BK$1, 0))</f>
        <v>7.830738786958559</v>
      </c>
      <c r="B1104" s="2">
        <f ca="1">INDEX(Simulations!$A$1:$BK$2501, 1104, MATCH("ExitMultiple", Simulations!$A$1:$BK$1, 0))</f>
        <v>6.9410599300622291</v>
      </c>
      <c r="C1104" s="2">
        <f ca="1">INDEX(Simulations!$A$1:$BK$2501, 1104, MATCH("RevCAGR", Simulations!$A$1:$BK$1, 0))</f>
        <v>3.5656466797105761E-2</v>
      </c>
      <c r="D1104" s="2">
        <f ca="1">INDEX(Simulations!$A$1:$BK$2501, 1104, MATCH("SynMargin", Simulations!$A$1:$BK$1, 0))</f>
        <v>1.4176277407518352E-2</v>
      </c>
      <c r="E1104" s="2">
        <f ca="1">INDEX(Simulations!$A$1:$BK$2501, 1104, MATCH("Yr1Shock", Simulations!$A$1:$BK$1, 0))</f>
        <v>-1.5204145536639149E-2</v>
      </c>
    </row>
    <row r="1105" spans="1:5" x14ac:dyDescent="0.3">
      <c r="A1105" s="2">
        <f ca="1">INDEX(Simulations!$A$1:$BK$2501, 1105, MATCH("PurchaseMultiple", Simulations!$A$1:$BK$1, 0))</f>
        <v>7.4872778087179181</v>
      </c>
      <c r="B1105" s="2">
        <f ca="1">INDEX(Simulations!$A$1:$BK$2501, 1105, MATCH("ExitMultiple", Simulations!$A$1:$BK$1, 0))</f>
        <v>7.1518424218599552</v>
      </c>
      <c r="C1105" s="2">
        <f ca="1">INDEX(Simulations!$A$1:$BK$2501, 1105, MATCH("RevCAGR", Simulations!$A$1:$BK$1, 0))</f>
        <v>7.0496346615001301E-2</v>
      </c>
      <c r="D1105" s="2">
        <f ca="1">INDEX(Simulations!$A$1:$BK$2501, 1105, MATCH("SynMargin", Simulations!$A$1:$BK$1, 0))</f>
        <v>6.1727954422551596E-3</v>
      </c>
      <c r="E1105" s="2">
        <f ca="1">INDEX(Simulations!$A$1:$BK$2501, 1105, MATCH("Yr1Shock", Simulations!$A$1:$BK$1, 0))</f>
        <v>-1.2568720081704596E-3</v>
      </c>
    </row>
    <row r="1106" spans="1:5" x14ac:dyDescent="0.3">
      <c r="A1106" s="2">
        <f ca="1">INDEX(Simulations!$A$1:$BK$2501, 1106, MATCH("PurchaseMultiple", Simulations!$A$1:$BK$1, 0))</f>
        <v>7.1301100651994505</v>
      </c>
      <c r="B1106" s="2">
        <f ca="1">INDEX(Simulations!$A$1:$BK$2501, 1106, MATCH("ExitMultiple", Simulations!$A$1:$BK$1, 0))</f>
        <v>6.7654015261739309</v>
      </c>
      <c r="C1106" s="2">
        <f ca="1">INDEX(Simulations!$A$1:$BK$2501, 1106, MATCH("RevCAGR", Simulations!$A$1:$BK$1, 0))</f>
        <v>4.7093311464561298E-2</v>
      </c>
      <c r="D1106" s="2">
        <f ca="1">INDEX(Simulations!$A$1:$BK$2501, 1106, MATCH("SynMargin", Simulations!$A$1:$BK$1, 0))</f>
        <v>9.5184159203303802E-3</v>
      </c>
      <c r="E1106" s="2">
        <f ca="1">INDEX(Simulations!$A$1:$BK$2501, 1106, MATCH("Yr1Shock", Simulations!$A$1:$BK$1, 0))</f>
        <v>4.857109518334026E-3</v>
      </c>
    </row>
    <row r="1107" spans="1:5" x14ac:dyDescent="0.3">
      <c r="A1107" s="2">
        <f ca="1">INDEX(Simulations!$A$1:$BK$2501, 1107, MATCH("PurchaseMultiple", Simulations!$A$1:$BK$1, 0))</f>
        <v>6.5479359829451953</v>
      </c>
      <c r="B1107" s="2">
        <f ca="1">INDEX(Simulations!$A$1:$BK$2501, 1107, MATCH("ExitMultiple", Simulations!$A$1:$BK$1, 0))</f>
        <v>7.1563674825584807</v>
      </c>
      <c r="C1107" s="2">
        <f ca="1">INDEX(Simulations!$A$1:$BK$2501, 1107, MATCH("RevCAGR", Simulations!$A$1:$BK$1, 0))</f>
        <v>4.8269366184704413E-2</v>
      </c>
      <c r="D1107" s="2">
        <f ca="1">INDEX(Simulations!$A$1:$BK$2501, 1107, MATCH("SynMargin", Simulations!$A$1:$BK$1, 0))</f>
        <v>1.7471990751813885E-2</v>
      </c>
      <c r="E1107" s="2">
        <f ca="1">INDEX(Simulations!$A$1:$BK$2501, 1107, MATCH("Yr1Shock", Simulations!$A$1:$BK$1, 0))</f>
        <v>2.1908653423093453E-2</v>
      </c>
    </row>
    <row r="1108" spans="1:5" x14ac:dyDescent="0.3">
      <c r="A1108" s="2">
        <f ca="1">INDEX(Simulations!$A$1:$BK$2501, 1108, MATCH("PurchaseMultiple", Simulations!$A$1:$BK$1, 0))</f>
        <v>7.5470759258822726</v>
      </c>
      <c r="B1108" s="2">
        <f ca="1">INDEX(Simulations!$A$1:$BK$2501, 1108, MATCH("ExitMultiple", Simulations!$A$1:$BK$1, 0))</f>
        <v>6.8391038399380513</v>
      </c>
      <c r="C1108" s="2">
        <f ca="1">INDEX(Simulations!$A$1:$BK$2501, 1108, MATCH("RevCAGR", Simulations!$A$1:$BK$1, 0))</f>
        <v>5.4250324442762565E-2</v>
      </c>
      <c r="D1108" s="2">
        <f ca="1">INDEX(Simulations!$A$1:$BK$2501, 1108, MATCH("SynMargin", Simulations!$A$1:$BK$1, 0))</f>
        <v>1.0390378561880567E-2</v>
      </c>
      <c r="E1108" s="2">
        <f ca="1">INDEX(Simulations!$A$1:$BK$2501, 1108, MATCH("Yr1Shock", Simulations!$A$1:$BK$1, 0))</f>
        <v>2.9766578950069594E-2</v>
      </c>
    </row>
    <row r="1109" spans="1:5" x14ac:dyDescent="0.3">
      <c r="A1109" s="2">
        <f ca="1">INDEX(Simulations!$A$1:$BK$2501, 1109, MATCH("PurchaseMultiple", Simulations!$A$1:$BK$1, 0))</f>
        <v>6.8699457160125572</v>
      </c>
      <c r="B1109" s="2">
        <f ca="1">INDEX(Simulations!$A$1:$BK$2501, 1109, MATCH("ExitMultiple", Simulations!$A$1:$BK$1, 0))</f>
        <v>7.5707705548459545</v>
      </c>
      <c r="C1109" s="2">
        <f ca="1">INDEX(Simulations!$A$1:$BK$2501, 1109, MATCH("RevCAGR", Simulations!$A$1:$BK$1, 0))</f>
        <v>3.8910284840796665E-2</v>
      </c>
      <c r="D1109" s="2">
        <f ca="1">INDEX(Simulations!$A$1:$BK$2501, 1109, MATCH("SynMargin", Simulations!$A$1:$BK$1, 0))</f>
        <v>6.6570672848599802E-3</v>
      </c>
      <c r="E1109" s="2">
        <f ca="1">INDEX(Simulations!$A$1:$BK$2501, 1109, MATCH("Yr1Shock", Simulations!$A$1:$BK$1, 0))</f>
        <v>-2.713553162002565E-2</v>
      </c>
    </row>
    <row r="1110" spans="1:5" x14ac:dyDescent="0.3">
      <c r="A1110" s="2">
        <f ca="1">INDEX(Simulations!$A$1:$BK$2501, 1110, MATCH("PurchaseMultiple", Simulations!$A$1:$BK$1, 0))</f>
        <v>6.2027951114590056</v>
      </c>
      <c r="B1110" s="2">
        <f ca="1">INDEX(Simulations!$A$1:$BK$2501, 1110, MATCH("ExitMultiple", Simulations!$A$1:$BK$1, 0))</f>
        <v>7.6475517822702423</v>
      </c>
      <c r="C1110" s="2">
        <f ca="1">INDEX(Simulations!$A$1:$BK$2501, 1110, MATCH("RevCAGR", Simulations!$A$1:$BK$1, 0))</f>
        <v>8.5371611593293234E-2</v>
      </c>
      <c r="D1110" s="2">
        <f ca="1">INDEX(Simulations!$A$1:$BK$2501, 1110, MATCH("SynMargin", Simulations!$A$1:$BK$1, 0))</f>
        <v>1.0033906021224477E-2</v>
      </c>
      <c r="E1110" s="2">
        <f ca="1">INDEX(Simulations!$A$1:$BK$2501, 1110, MATCH("Yr1Shock", Simulations!$A$1:$BK$1, 0))</f>
        <v>-1.5221029613388526E-2</v>
      </c>
    </row>
    <row r="1111" spans="1:5" x14ac:dyDescent="0.3">
      <c r="A1111" s="2">
        <f ca="1">INDEX(Simulations!$A$1:$BK$2501, 1111, MATCH("PurchaseMultiple", Simulations!$A$1:$BK$1, 0))</f>
        <v>7.0540202811157773</v>
      </c>
      <c r="B1111" s="2">
        <f ca="1">INDEX(Simulations!$A$1:$BK$2501, 1111, MATCH("ExitMultiple", Simulations!$A$1:$BK$1, 0))</f>
        <v>7.3908014447607897</v>
      </c>
      <c r="C1111" s="2">
        <f ca="1">INDEX(Simulations!$A$1:$BK$2501, 1111, MATCH("RevCAGR", Simulations!$A$1:$BK$1, 0))</f>
        <v>3.6716251118006568E-2</v>
      </c>
      <c r="D1111" s="2">
        <f ca="1">INDEX(Simulations!$A$1:$BK$2501, 1111, MATCH("SynMargin", Simulations!$A$1:$BK$1, 0))</f>
        <v>1.413734122943049E-2</v>
      </c>
      <c r="E1111" s="2">
        <f ca="1">INDEX(Simulations!$A$1:$BK$2501, 1111, MATCH("Yr1Shock", Simulations!$A$1:$BK$1, 0))</f>
        <v>-3.3570272439918766E-2</v>
      </c>
    </row>
    <row r="1112" spans="1:5" x14ac:dyDescent="0.3">
      <c r="A1112" s="2">
        <f ca="1">INDEX(Simulations!$A$1:$BK$2501, 1112, MATCH("PurchaseMultiple", Simulations!$A$1:$BK$1, 0))</f>
        <v>6.8822463130066289</v>
      </c>
      <c r="B1112" s="2">
        <f ca="1">INDEX(Simulations!$A$1:$BK$2501, 1112, MATCH("ExitMultiple", Simulations!$A$1:$BK$1, 0))</f>
        <v>7.4241582093489971</v>
      </c>
      <c r="C1112" s="2">
        <f ca="1">INDEX(Simulations!$A$1:$BK$2501, 1112, MATCH("RevCAGR", Simulations!$A$1:$BK$1, 0))</f>
        <v>5.9477793022534961E-2</v>
      </c>
      <c r="D1112" s="2">
        <f ca="1">INDEX(Simulations!$A$1:$BK$2501, 1112, MATCH("SynMargin", Simulations!$A$1:$BK$1, 0))</f>
        <v>1.3294022414359744E-2</v>
      </c>
      <c r="E1112" s="2">
        <f ca="1">INDEX(Simulations!$A$1:$BK$2501, 1112, MATCH("Yr1Shock", Simulations!$A$1:$BK$1, 0))</f>
        <v>-8.3369818723926349E-4</v>
      </c>
    </row>
    <row r="1113" spans="1:5" x14ac:dyDescent="0.3">
      <c r="A1113" s="2">
        <f ca="1">INDEX(Simulations!$A$1:$BK$2501, 1113, MATCH("PurchaseMultiple", Simulations!$A$1:$BK$1, 0))</f>
        <v>6.7048529285836924</v>
      </c>
      <c r="B1113" s="2">
        <f ca="1">INDEX(Simulations!$A$1:$BK$2501, 1113, MATCH("ExitMultiple", Simulations!$A$1:$BK$1, 0))</f>
        <v>7.4316798637959867</v>
      </c>
      <c r="C1113" s="2">
        <f ca="1">INDEX(Simulations!$A$1:$BK$2501, 1113, MATCH("RevCAGR", Simulations!$A$1:$BK$1, 0))</f>
        <v>9.0534595409219099E-2</v>
      </c>
      <c r="D1113" s="2">
        <f ca="1">INDEX(Simulations!$A$1:$BK$2501, 1113, MATCH("SynMargin", Simulations!$A$1:$BK$1, 0))</f>
        <v>1.986680568872691E-2</v>
      </c>
      <c r="E1113" s="2">
        <f ca="1">INDEX(Simulations!$A$1:$BK$2501, 1113, MATCH("Yr1Shock", Simulations!$A$1:$BK$1, 0))</f>
        <v>2.53168422432918E-3</v>
      </c>
    </row>
    <row r="1114" spans="1:5" x14ac:dyDescent="0.3">
      <c r="A1114" s="2">
        <f ca="1">INDEX(Simulations!$A$1:$BK$2501, 1114, MATCH("PurchaseMultiple", Simulations!$A$1:$BK$1, 0))</f>
        <v>6.5701346003171661</v>
      </c>
      <c r="B1114" s="2">
        <f ca="1">INDEX(Simulations!$A$1:$BK$2501, 1114, MATCH("ExitMultiple", Simulations!$A$1:$BK$1, 0))</f>
        <v>7.4948808076322493</v>
      </c>
      <c r="C1114" s="2">
        <f ca="1">INDEX(Simulations!$A$1:$BK$2501, 1114, MATCH("RevCAGR", Simulations!$A$1:$BK$1, 0))</f>
        <v>3.5166056987733514E-2</v>
      </c>
      <c r="D1114" s="2">
        <f ca="1">INDEX(Simulations!$A$1:$BK$2501, 1114, MATCH("SynMargin", Simulations!$A$1:$BK$1, 0))</f>
        <v>1.2256409657827504E-2</v>
      </c>
      <c r="E1114" s="2">
        <f ca="1">INDEX(Simulations!$A$1:$BK$2501, 1114, MATCH("Yr1Shock", Simulations!$A$1:$BK$1, 0))</f>
        <v>1.1598449205600861E-2</v>
      </c>
    </row>
    <row r="1115" spans="1:5" x14ac:dyDescent="0.3">
      <c r="A1115" s="2">
        <f ca="1">INDEX(Simulations!$A$1:$BK$2501, 1115, MATCH("PurchaseMultiple", Simulations!$A$1:$BK$1, 0))</f>
        <v>7.1539284289895333</v>
      </c>
      <c r="B1115" s="2">
        <f ca="1">INDEX(Simulations!$A$1:$BK$2501, 1115, MATCH("ExitMultiple", Simulations!$A$1:$BK$1, 0))</f>
        <v>7.652667916595048</v>
      </c>
      <c r="C1115" s="2">
        <f ca="1">INDEX(Simulations!$A$1:$BK$2501, 1115, MATCH("RevCAGR", Simulations!$A$1:$BK$1, 0))</f>
        <v>3.5098985090082614E-2</v>
      </c>
      <c r="D1115" s="2">
        <f ca="1">INDEX(Simulations!$A$1:$BK$2501, 1115, MATCH("SynMargin", Simulations!$A$1:$BK$1, 0))</f>
        <v>8.060697280962207E-3</v>
      </c>
      <c r="E1115" s="2">
        <f ca="1">INDEX(Simulations!$A$1:$BK$2501, 1115, MATCH("Yr1Shock", Simulations!$A$1:$BK$1, 0))</f>
        <v>-3.4105503087306687E-3</v>
      </c>
    </row>
    <row r="1116" spans="1:5" x14ac:dyDescent="0.3">
      <c r="A1116" s="2">
        <f ca="1">INDEX(Simulations!$A$1:$BK$2501, 1116, MATCH("PurchaseMultiple", Simulations!$A$1:$BK$1, 0))</f>
        <v>6.7363905261679911</v>
      </c>
      <c r="B1116" s="2">
        <f ca="1">INDEX(Simulations!$A$1:$BK$2501, 1116, MATCH("ExitMultiple", Simulations!$A$1:$BK$1, 0))</f>
        <v>7.0657913389674931</v>
      </c>
      <c r="C1116" s="2">
        <f ca="1">INDEX(Simulations!$A$1:$BK$2501, 1116, MATCH("RevCAGR", Simulations!$A$1:$BK$1, 0))</f>
        <v>4.3588661797291199E-2</v>
      </c>
      <c r="D1116" s="2">
        <f ca="1">INDEX(Simulations!$A$1:$BK$2501, 1116, MATCH("SynMargin", Simulations!$A$1:$BK$1, 0))</f>
        <v>5.0689721323757056E-3</v>
      </c>
      <c r="E1116" s="2">
        <f ca="1">INDEX(Simulations!$A$1:$BK$2501, 1116, MATCH("Yr1Shock", Simulations!$A$1:$BK$1, 0))</f>
        <v>-1.2360267405347845E-2</v>
      </c>
    </row>
    <row r="1117" spans="1:5" x14ac:dyDescent="0.3">
      <c r="A1117" s="2">
        <f ca="1">INDEX(Simulations!$A$1:$BK$2501, 1117, MATCH("PurchaseMultiple", Simulations!$A$1:$BK$1, 0))</f>
        <v>7.3225528764214811</v>
      </c>
      <c r="B1117" s="2">
        <f ca="1">INDEX(Simulations!$A$1:$BK$2501, 1117, MATCH("ExitMultiple", Simulations!$A$1:$BK$1, 0))</f>
        <v>7.2355882627910102</v>
      </c>
      <c r="C1117" s="2">
        <f ca="1">INDEX(Simulations!$A$1:$BK$2501, 1117, MATCH("RevCAGR", Simulations!$A$1:$BK$1, 0))</f>
        <v>-1.3366955803086986E-2</v>
      </c>
      <c r="D1117" s="2">
        <f ca="1">INDEX(Simulations!$A$1:$BK$2501, 1117, MATCH("SynMargin", Simulations!$A$1:$BK$1, 0))</f>
        <v>1.1367643534270878E-2</v>
      </c>
      <c r="E1117" s="2">
        <f ca="1">INDEX(Simulations!$A$1:$BK$2501, 1117, MATCH("Yr1Shock", Simulations!$A$1:$BK$1, 0))</f>
        <v>-4.5887277016417267E-2</v>
      </c>
    </row>
    <row r="1118" spans="1:5" x14ac:dyDescent="0.3">
      <c r="A1118" s="2">
        <f ca="1">INDEX(Simulations!$A$1:$BK$2501, 1118, MATCH("PurchaseMultiple", Simulations!$A$1:$BK$1, 0))</f>
        <v>7.1197379307935869</v>
      </c>
      <c r="B1118" s="2">
        <f ca="1">INDEX(Simulations!$A$1:$BK$2501, 1118, MATCH("ExitMultiple", Simulations!$A$1:$BK$1, 0))</f>
        <v>7.56960084784488</v>
      </c>
      <c r="C1118" s="2">
        <f ca="1">INDEX(Simulations!$A$1:$BK$2501, 1118, MATCH("RevCAGR", Simulations!$A$1:$BK$1, 0))</f>
        <v>1.162230027302245E-2</v>
      </c>
      <c r="D1118" s="2">
        <f ca="1">INDEX(Simulations!$A$1:$BK$2501, 1118, MATCH("SynMargin", Simulations!$A$1:$BK$1, 0))</f>
        <v>1.8023190003298578E-2</v>
      </c>
      <c r="E1118" s="2">
        <f ca="1">INDEX(Simulations!$A$1:$BK$2501, 1118, MATCH("Yr1Shock", Simulations!$A$1:$BK$1, 0))</f>
        <v>4.7677179189377415E-4</v>
      </c>
    </row>
    <row r="1119" spans="1:5" x14ac:dyDescent="0.3">
      <c r="A1119" s="2">
        <f ca="1">INDEX(Simulations!$A$1:$BK$2501, 1119, MATCH("PurchaseMultiple", Simulations!$A$1:$BK$1, 0))</f>
        <v>7.0696780653001943</v>
      </c>
      <c r="B1119" s="2">
        <f ca="1">INDEX(Simulations!$A$1:$BK$2501, 1119, MATCH("ExitMultiple", Simulations!$A$1:$BK$1, 0))</f>
        <v>7.9489077020617307</v>
      </c>
      <c r="C1119" s="2">
        <f ca="1">INDEX(Simulations!$A$1:$BK$2501, 1119, MATCH("RevCAGR", Simulations!$A$1:$BK$1, 0))</f>
        <v>7.8045053225012026E-2</v>
      </c>
      <c r="D1119" s="2">
        <f ca="1">INDEX(Simulations!$A$1:$BK$2501, 1119, MATCH("SynMargin", Simulations!$A$1:$BK$1, 0))</f>
        <v>1.0620930512866051E-2</v>
      </c>
      <c r="E1119" s="2">
        <f ca="1">INDEX(Simulations!$A$1:$BK$2501, 1119, MATCH("Yr1Shock", Simulations!$A$1:$BK$1, 0))</f>
        <v>1.0562885565612612E-2</v>
      </c>
    </row>
    <row r="1120" spans="1:5" x14ac:dyDescent="0.3">
      <c r="A1120" s="2">
        <f ca="1">INDEX(Simulations!$A$1:$BK$2501, 1120, MATCH("PurchaseMultiple", Simulations!$A$1:$BK$1, 0))</f>
        <v>7.2250737348516312</v>
      </c>
      <c r="B1120" s="2">
        <f ca="1">INDEX(Simulations!$A$1:$BK$2501, 1120, MATCH("ExitMultiple", Simulations!$A$1:$BK$1, 0))</f>
        <v>7.7032406181234885</v>
      </c>
      <c r="C1120" s="2">
        <f ca="1">INDEX(Simulations!$A$1:$BK$2501, 1120, MATCH("RevCAGR", Simulations!$A$1:$BK$1, 0))</f>
        <v>4.3341905038504221E-2</v>
      </c>
      <c r="D1120" s="2">
        <f ca="1">INDEX(Simulations!$A$1:$BK$2501, 1120, MATCH("SynMargin", Simulations!$A$1:$BK$1, 0))</f>
        <v>1.1233440412063917E-2</v>
      </c>
      <c r="E1120" s="2">
        <f ca="1">INDEX(Simulations!$A$1:$BK$2501, 1120, MATCH("Yr1Shock", Simulations!$A$1:$BK$1, 0))</f>
        <v>-2.1112077838202669E-3</v>
      </c>
    </row>
    <row r="1121" spans="1:5" x14ac:dyDescent="0.3">
      <c r="A1121" s="2">
        <f ca="1">INDEX(Simulations!$A$1:$BK$2501, 1121, MATCH("PurchaseMultiple", Simulations!$A$1:$BK$1, 0))</f>
        <v>6.6060676670301994</v>
      </c>
      <c r="B1121" s="2">
        <f ca="1">INDEX(Simulations!$A$1:$BK$2501, 1121, MATCH("ExitMultiple", Simulations!$A$1:$BK$1, 0))</f>
        <v>6.9085844633714215</v>
      </c>
      <c r="C1121" s="2">
        <f ca="1">INDEX(Simulations!$A$1:$BK$2501, 1121, MATCH("RevCAGR", Simulations!$A$1:$BK$1, 0))</f>
        <v>1.7475037134626004E-2</v>
      </c>
      <c r="D1121" s="2">
        <f ca="1">INDEX(Simulations!$A$1:$BK$2501, 1121, MATCH("SynMargin", Simulations!$A$1:$BK$1, 0))</f>
        <v>2.9816438631368701E-3</v>
      </c>
      <c r="E1121" s="2">
        <f ca="1">INDEX(Simulations!$A$1:$BK$2501, 1121, MATCH("Yr1Shock", Simulations!$A$1:$BK$1, 0))</f>
        <v>-1.2298858619653071E-2</v>
      </c>
    </row>
    <row r="1122" spans="1:5" x14ac:dyDescent="0.3">
      <c r="A1122" s="2">
        <f ca="1">INDEX(Simulations!$A$1:$BK$2501, 1122, MATCH("PurchaseMultiple", Simulations!$A$1:$BK$1, 0))</f>
        <v>6.4325896636207727</v>
      </c>
      <c r="B1122" s="2">
        <f ca="1">INDEX(Simulations!$A$1:$BK$2501, 1122, MATCH("ExitMultiple", Simulations!$A$1:$BK$1, 0))</f>
        <v>8.0507612084609406</v>
      </c>
      <c r="C1122" s="2">
        <f ca="1">INDEX(Simulations!$A$1:$BK$2501, 1122, MATCH("RevCAGR", Simulations!$A$1:$BK$1, 0))</f>
        <v>4.9328813366459952E-2</v>
      </c>
      <c r="D1122" s="2">
        <f ca="1">INDEX(Simulations!$A$1:$BK$2501, 1122, MATCH("SynMargin", Simulations!$A$1:$BK$1, 0))</f>
        <v>1.5560169506163891E-2</v>
      </c>
      <c r="E1122" s="2">
        <f ca="1">INDEX(Simulations!$A$1:$BK$2501, 1122, MATCH("Yr1Shock", Simulations!$A$1:$BK$1, 0))</f>
        <v>5.458387305558989E-3</v>
      </c>
    </row>
    <row r="1123" spans="1:5" x14ac:dyDescent="0.3">
      <c r="A1123" s="2">
        <f ca="1">INDEX(Simulations!$A$1:$BK$2501, 1123, MATCH("PurchaseMultiple", Simulations!$A$1:$BK$1, 0))</f>
        <v>6.8980286671128326</v>
      </c>
      <c r="B1123" s="2">
        <f ca="1">INDEX(Simulations!$A$1:$BK$2501, 1123, MATCH("ExitMultiple", Simulations!$A$1:$BK$1, 0))</f>
        <v>8.2444607082075567</v>
      </c>
      <c r="C1123" s="2">
        <f ca="1">INDEX(Simulations!$A$1:$BK$2501, 1123, MATCH("RevCAGR", Simulations!$A$1:$BK$1, 0))</f>
        <v>3.0590975996036197E-2</v>
      </c>
      <c r="D1123" s="2">
        <f ca="1">INDEX(Simulations!$A$1:$BK$2501, 1123, MATCH("SynMargin", Simulations!$A$1:$BK$1, 0))</f>
        <v>1.1880849181536703E-2</v>
      </c>
      <c r="E1123" s="2">
        <f ca="1">INDEX(Simulations!$A$1:$BK$2501, 1123, MATCH("Yr1Shock", Simulations!$A$1:$BK$1, 0))</f>
        <v>1.5934608594566997E-3</v>
      </c>
    </row>
    <row r="1124" spans="1:5" x14ac:dyDescent="0.3">
      <c r="A1124" s="2">
        <f ca="1">INDEX(Simulations!$A$1:$BK$2501, 1124, MATCH("PurchaseMultiple", Simulations!$A$1:$BK$1, 0))</f>
        <v>6.4654181601354397</v>
      </c>
      <c r="B1124" s="2">
        <f ca="1">INDEX(Simulations!$A$1:$BK$2501, 1124, MATCH("ExitMultiple", Simulations!$A$1:$BK$1, 0))</f>
        <v>6.8843386214116213</v>
      </c>
      <c r="C1124" s="2">
        <f ca="1">INDEX(Simulations!$A$1:$BK$2501, 1124, MATCH("RevCAGR", Simulations!$A$1:$BK$1, 0))</f>
        <v>8.1678794390159348E-2</v>
      </c>
      <c r="D1124" s="2">
        <f ca="1">INDEX(Simulations!$A$1:$BK$2501, 1124, MATCH("SynMargin", Simulations!$A$1:$BK$1, 0))</f>
        <v>1.1917227472513912E-2</v>
      </c>
      <c r="E1124" s="2">
        <f ca="1">INDEX(Simulations!$A$1:$BK$2501, 1124, MATCH("Yr1Shock", Simulations!$A$1:$BK$1, 0))</f>
        <v>1.580757871695378E-2</v>
      </c>
    </row>
    <row r="1125" spans="1:5" x14ac:dyDescent="0.3">
      <c r="A1125" s="2">
        <f ca="1">INDEX(Simulations!$A$1:$BK$2501, 1125, MATCH("PurchaseMultiple", Simulations!$A$1:$BK$1, 0))</f>
        <v>7.3207295521253366</v>
      </c>
      <c r="B1125" s="2">
        <f ca="1">INDEX(Simulations!$A$1:$BK$2501, 1125, MATCH("ExitMultiple", Simulations!$A$1:$BK$1, 0))</f>
        <v>7.1595634085480162</v>
      </c>
      <c r="C1125" s="2">
        <f ca="1">INDEX(Simulations!$A$1:$BK$2501, 1125, MATCH("RevCAGR", Simulations!$A$1:$BK$1, 0))</f>
        <v>2.7441697852749268E-2</v>
      </c>
      <c r="D1125" s="2">
        <f ca="1">INDEX(Simulations!$A$1:$BK$2501, 1125, MATCH("SynMargin", Simulations!$A$1:$BK$1, 0))</f>
        <v>1.5607724997371121E-2</v>
      </c>
      <c r="E1125" s="2">
        <f ca="1">INDEX(Simulations!$A$1:$BK$2501, 1125, MATCH("Yr1Shock", Simulations!$A$1:$BK$1, 0))</f>
        <v>-2.5846331757674257E-2</v>
      </c>
    </row>
    <row r="1126" spans="1:5" x14ac:dyDescent="0.3">
      <c r="A1126" s="2">
        <f ca="1">INDEX(Simulations!$A$1:$BK$2501, 1126, MATCH("PurchaseMultiple", Simulations!$A$1:$BK$1, 0))</f>
        <v>6.8709690085513353</v>
      </c>
      <c r="B1126" s="2">
        <f ca="1">INDEX(Simulations!$A$1:$BK$2501, 1126, MATCH("ExitMultiple", Simulations!$A$1:$BK$1, 0))</f>
        <v>7.5769228759892613</v>
      </c>
      <c r="C1126" s="2">
        <f ca="1">INDEX(Simulations!$A$1:$BK$2501, 1126, MATCH("RevCAGR", Simulations!$A$1:$BK$1, 0))</f>
        <v>7.9170591121372813E-2</v>
      </c>
      <c r="D1126" s="2">
        <f ca="1">INDEX(Simulations!$A$1:$BK$2501, 1126, MATCH("SynMargin", Simulations!$A$1:$BK$1, 0))</f>
        <v>1.4427791483321233E-2</v>
      </c>
      <c r="E1126" s="2">
        <f ca="1">INDEX(Simulations!$A$1:$BK$2501, 1126, MATCH("Yr1Shock", Simulations!$A$1:$BK$1, 0))</f>
        <v>7.5950871278150003E-3</v>
      </c>
    </row>
    <row r="1127" spans="1:5" x14ac:dyDescent="0.3">
      <c r="A1127" s="2">
        <f ca="1">INDEX(Simulations!$A$1:$BK$2501, 1127, MATCH("PurchaseMultiple", Simulations!$A$1:$BK$1, 0))</f>
        <v>7.2711393901577344</v>
      </c>
      <c r="B1127" s="2">
        <f ca="1">INDEX(Simulations!$A$1:$BK$2501, 1127, MATCH("ExitMultiple", Simulations!$A$1:$BK$1, 0))</f>
        <v>7.7387030418591403</v>
      </c>
      <c r="C1127" s="2">
        <f ca="1">INDEX(Simulations!$A$1:$BK$2501, 1127, MATCH("RevCAGR", Simulations!$A$1:$BK$1, 0))</f>
        <v>3.9858287415008131E-2</v>
      </c>
      <c r="D1127" s="2">
        <f ca="1">INDEX(Simulations!$A$1:$BK$2501, 1127, MATCH("SynMargin", Simulations!$A$1:$BK$1, 0))</f>
        <v>1.5649519776064789E-2</v>
      </c>
      <c r="E1127" s="2">
        <f ca="1">INDEX(Simulations!$A$1:$BK$2501, 1127, MATCH("Yr1Shock", Simulations!$A$1:$BK$1, 0))</f>
        <v>-1.3545991045210589E-2</v>
      </c>
    </row>
    <row r="1128" spans="1:5" x14ac:dyDescent="0.3">
      <c r="A1128" s="2">
        <f ca="1">INDEX(Simulations!$A$1:$BK$2501, 1128, MATCH("PurchaseMultiple", Simulations!$A$1:$BK$1, 0))</f>
        <v>6.9292405066577976</v>
      </c>
      <c r="B1128" s="2">
        <f ca="1">INDEX(Simulations!$A$1:$BK$2501, 1128, MATCH("ExitMultiple", Simulations!$A$1:$BK$1, 0))</f>
        <v>7.3949576495174414</v>
      </c>
      <c r="C1128" s="2">
        <f ca="1">INDEX(Simulations!$A$1:$BK$2501, 1128, MATCH("RevCAGR", Simulations!$A$1:$BK$1, 0))</f>
        <v>2.827140775088053E-2</v>
      </c>
      <c r="D1128" s="2">
        <f ca="1">INDEX(Simulations!$A$1:$BK$2501, 1128, MATCH("SynMargin", Simulations!$A$1:$BK$1, 0))</f>
        <v>1.370422264926506E-2</v>
      </c>
      <c r="E1128" s="2">
        <f ca="1">INDEX(Simulations!$A$1:$BK$2501, 1128, MATCH("Yr1Shock", Simulations!$A$1:$BK$1, 0))</f>
        <v>-1.5209675270488245E-2</v>
      </c>
    </row>
    <row r="1129" spans="1:5" x14ac:dyDescent="0.3">
      <c r="A1129" s="2">
        <f ca="1">INDEX(Simulations!$A$1:$BK$2501, 1129, MATCH("PurchaseMultiple", Simulations!$A$1:$BK$1, 0))</f>
        <v>7.2553424470493706</v>
      </c>
      <c r="B1129" s="2">
        <f ca="1">INDEX(Simulations!$A$1:$BK$2501, 1129, MATCH("ExitMultiple", Simulations!$A$1:$BK$1, 0))</f>
        <v>7.672015510095755</v>
      </c>
      <c r="C1129" s="2">
        <f ca="1">INDEX(Simulations!$A$1:$BK$2501, 1129, MATCH("RevCAGR", Simulations!$A$1:$BK$1, 0))</f>
        <v>2.9877509533943459E-2</v>
      </c>
      <c r="D1129" s="2">
        <f ca="1">INDEX(Simulations!$A$1:$BK$2501, 1129, MATCH("SynMargin", Simulations!$A$1:$BK$1, 0))</f>
        <v>8.3648405169089914E-3</v>
      </c>
      <c r="E1129" s="2">
        <f ca="1">INDEX(Simulations!$A$1:$BK$2501, 1129, MATCH("Yr1Shock", Simulations!$A$1:$BK$1, 0))</f>
        <v>-2.222263281173374E-3</v>
      </c>
    </row>
    <row r="1130" spans="1:5" x14ac:dyDescent="0.3">
      <c r="A1130" s="2">
        <f ca="1">INDEX(Simulations!$A$1:$BK$2501, 1130, MATCH("PurchaseMultiple", Simulations!$A$1:$BK$1, 0))</f>
        <v>6.402234387427689</v>
      </c>
      <c r="B1130" s="2">
        <f ca="1">INDEX(Simulations!$A$1:$BK$2501, 1130, MATCH("ExitMultiple", Simulations!$A$1:$BK$1, 0))</f>
        <v>7.5648307976835989</v>
      </c>
      <c r="C1130" s="2">
        <f ca="1">INDEX(Simulations!$A$1:$BK$2501, 1130, MATCH("RevCAGR", Simulations!$A$1:$BK$1, 0))</f>
        <v>5.9471501163711714E-2</v>
      </c>
      <c r="D1130" s="2">
        <f ca="1">INDEX(Simulations!$A$1:$BK$2501, 1130, MATCH("SynMargin", Simulations!$A$1:$BK$1, 0))</f>
        <v>1.4340983101434808E-2</v>
      </c>
      <c r="E1130" s="2">
        <f ca="1">INDEX(Simulations!$A$1:$BK$2501, 1130, MATCH("Yr1Shock", Simulations!$A$1:$BK$1, 0))</f>
        <v>-3.0300205472419187E-2</v>
      </c>
    </row>
    <row r="1131" spans="1:5" x14ac:dyDescent="0.3">
      <c r="A1131" s="2">
        <f ca="1">INDEX(Simulations!$A$1:$BK$2501, 1131, MATCH("PurchaseMultiple", Simulations!$A$1:$BK$1, 0))</f>
        <v>7.237701724170396</v>
      </c>
      <c r="B1131" s="2">
        <f ca="1">INDEX(Simulations!$A$1:$BK$2501, 1131, MATCH("ExitMultiple", Simulations!$A$1:$BK$1, 0))</f>
        <v>7.823359158693818</v>
      </c>
      <c r="C1131" s="2">
        <f ca="1">INDEX(Simulations!$A$1:$BK$2501, 1131, MATCH("RevCAGR", Simulations!$A$1:$BK$1, 0))</f>
        <v>1.0377754139785533E-2</v>
      </c>
      <c r="D1131" s="2">
        <f ca="1">INDEX(Simulations!$A$1:$BK$2501, 1131, MATCH("SynMargin", Simulations!$A$1:$BK$1, 0))</f>
        <v>1.7143462304572206E-2</v>
      </c>
      <c r="E1131" s="2">
        <f ca="1">INDEX(Simulations!$A$1:$BK$2501, 1131, MATCH("Yr1Shock", Simulations!$A$1:$BK$1, 0))</f>
        <v>-5.7203069588592425E-3</v>
      </c>
    </row>
    <row r="1132" spans="1:5" x14ac:dyDescent="0.3">
      <c r="A1132" s="2">
        <f ca="1">INDEX(Simulations!$A$1:$BK$2501, 1132, MATCH("PurchaseMultiple", Simulations!$A$1:$BK$1, 0))</f>
        <v>6.8210050452169266</v>
      </c>
      <c r="B1132" s="2">
        <f ca="1">INDEX(Simulations!$A$1:$BK$2501, 1132, MATCH("ExitMultiple", Simulations!$A$1:$BK$1, 0))</f>
        <v>7.9218745138730302</v>
      </c>
      <c r="C1132" s="2">
        <f ca="1">INDEX(Simulations!$A$1:$BK$2501, 1132, MATCH("RevCAGR", Simulations!$A$1:$BK$1, 0))</f>
        <v>7.1307756112645254E-2</v>
      </c>
      <c r="D1132" s="2">
        <f ca="1">INDEX(Simulations!$A$1:$BK$2501, 1132, MATCH("SynMargin", Simulations!$A$1:$BK$1, 0))</f>
        <v>1.5211474008151711E-2</v>
      </c>
      <c r="E1132" s="2">
        <f ca="1">INDEX(Simulations!$A$1:$BK$2501, 1132, MATCH("Yr1Shock", Simulations!$A$1:$BK$1, 0))</f>
        <v>-2.1489925264507499E-2</v>
      </c>
    </row>
    <row r="1133" spans="1:5" x14ac:dyDescent="0.3">
      <c r="A1133" s="2">
        <f ca="1">INDEX(Simulations!$A$1:$BK$2501, 1133, MATCH("PurchaseMultiple", Simulations!$A$1:$BK$1, 0))</f>
        <v>6.8780700997461928</v>
      </c>
      <c r="B1133" s="2">
        <f ca="1">INDEX(Simulations!$A$1:$BK$2501, 1133, MATCH("ExitMultiple", Simulations!$A$1:$BK$1, 0))</f>
        <v>7.2134046125220168</v>
      </c>
      <c r="C1133" s="2">
        <f ca="1">INDEX(Simulations!$A$1:$BK$2501, 1133, MATCH("RevCAGR", Simulations!$A$1:$BK$1, 0))</f>
        <v>5.8869603014515784E-2</v>
      </c>
      <c r="D1133" s="2">
        <f ca="1">INDEX(Simulations!$A$1:$BK$2501, 1133, MATCH("SynMargin", Simulations!$A$1:$BK$1, 0))</f>
        <v>1.2894303731709069E-2</v>
      </c>
      <c r="E1133" s="2">
        <f ca="1">INDEX(Simulations!$A$1:$BK$2501, 1133, MATCH("Yr1Shock", Simulations!$A$1:$BK$1, 0))</f>
        <v>-1.098920362069295E-2</v>
      </c>
    </row>
    <row r="1134" spans="1:5" x14ac:dyDescent="0.3">
      <c r="A1134" s="2">
        <f ca="1">INDEX(Simulations!$A$1:$BK$2501, 1134, MATCH("PurchaseMultiple", Simulations!$A$1:$BK$1, 0))</f>
        <v>7.1399507589121365</v>
      </c>
      <c r="B1134" s="2">
        <f ca="1">INDEX(Simulations!$A$1:$BK$2501, 1134, MATCH("ExitMultiple", Simulations!$A$1:$BK$1, 0))</f>
        <v>8.2130164678637207</v>
      </c>
      <c r="C1134" s="2">
        <f ca="1">INDEX(Simulations!$A$1:$BK$2501, 1134, MATCH("RevCAGR", Simulations!$A$1:$BK$1, 0))</f>
        <v>3.8588074701518774E-2</v>
      </c>
      <c r="D1134" s="2">
        <f ca="1">INDEX(Simulations!$A$1:$BK$2501, 1134, MATCH("SynMargin", Simulations!$A$1:$BK$1, 0))</f>
        <v>3.8341187989987214E-3</v>
      </c>
      <c r="E1134" s="2">
        <f ca="1">INDEX(Simulations!$A$1:$BK$2501, 1134, MATCH("Yr1Shock", Simulations!$A$1:$BK$1, 0))</f>
        <v>3.9343220611114437E-3</v>
      </c>
    </row>
    <row r="1135" spans="1:5" x14ac:dyDescent="0.3">
      <c r="A1135" s="2">
        <f ca="1">INDEX(Simulations!$A$1:$BK$2501, 1135, MATCH("PurchaseMultiple", Simulations!$A$1:$BK$1, 0))</f>
        <v>7.0650381641784197</v>
      </c>
      <c r="B1135" s="2">
        <f ca="1">INDEX(Simulations!$A$1:$BK$2501, 1135, MATCH("ExitMultiple", Simulations!$A$1:$BK$1, 0))</f>
        <v>6.6845596135616194</v>
      </c>
      <c r="C1135" s="2">
        <f ca="1">INDEX(Simulations!$A$1:$BK$2501, 1135, MATCH("RevCAGR", Simulations!$A$1:$BK$1, 0))</f>
        <v>7.8480135546076524E-2</v>
      </c>
      <c r="D1135" s="2">
        <f ca="1">INDEX(Simulations!$A$1:$BK$2501, 1135, MATCH("SynMargin", Simulations!$A$1:$BK$1, 0))</f>
        <v>1.2102121343736161E-2</v>
      </c>
      <c r="E1135" s="2">
        <f ca="1">INDEX(Simulations!$A$1:$BK$2501, 1135, MATCH("Yr1Shock", Simulations!$A$1:$BK$1, 0))</f>
        <v>-2.3408920761266341E-2</v>
      </c>
    </row>
    <row r="1136" spans="1:5" x14ac:dyDescent="0.3">
      <c r="A1136" s="2">
        <f ca="1">INDEX(Simulations!$A$1:$BK$2501, 1136, MATCH("PurchaseMultiple", Simulations!$A$1:$BK$1, 0))</f>
        <v>6.9402838517190295</v>
      </c>
      <c r="B1136" s="2">
        <f ca="1">INDEX(Simulations!$A$1:$BK$2501, 1136, MATCH("ExitMultiple", Simulations!$A$1:$BK$1, 0))</f>
        <v>7.3087566138936575</v>
      </c>
      <c r="C1136" s="2">
        <f ca="1">INDEX(Simulations!$A$1:$BK$2501, 1136, MATCH("RevCAGR", Simulations!$A$1:$BK$1, 0))</f>
        <v>-4.8195798244177954E-3</v>
      </c>
      <c r="D1136" s="2">
        <f ca="1">INDEX(Simulations!$A$1:$BK$2501, 1136, MATCH("SynMargin", Simulations!$A$1:$BK$1, 0))</f>
        <v>1.8186777135254847E-3</v>
      </c>
      <c r="E1136" s="2">
        <f ca="1">INDEX(Simulations!$A$1:$BK$2501, 1136, MATCH("Yr1Shock", Simulations!$A$1:$BK$1, 0))</f>
        <v>9.5956281409834993E-3</v>
      </c>
    </row>
    <row r="1137" spans="1:5" x14ac:dyDescent="0.3">
      <c r="A1137" s="2">
        <f ca="1">INDEX(Simulations!$A$1:$BK$2501, 1137, MATCH("PurchaseMultiple", Simulations!$A$1:$BK$1, 0))</f>
        <v>7.2246250058109647</v>
      </c>
      <c r="B1137" s="2">
        <f ca="1">INDEX(Simulations!$A$1:$BK$2501, 1137, MATCH("ExitMultiple", Simulations!$A$1:$BK$1, 0))</f>
        <v>7.1913248261862455</v>
      </c>
      <c r="C1137" s="2">
        <f ca="1">INDEX(Simulations!$A$1:$BK$2501, 1137, MATCH("RevCAGR", Simulations!$A$1:$BK$1, 0))</f>
        <v>1.8349910934061141E-2</v>
      </c>
      <c r="D1137" s="2">
        <f ca="1">INDEX(Simulations!$A$1:$BK$2501, 1137, MATCH("SynMargin", Simulations!$A$1:$BK$1, 0))</f>
        <v>4.6666650329737058E-3</v>
      </c>
      <c r="E1137" s="2">
        <f ca="1">INDEX(Simulations!$A$1:$BK$2501, 1137, MATCH("Yr1Shock", Simulations!$A$1:$BK$1, 0))</f>
        <v>9.2779865236087417E-3</v>
      </c>
    </row>
    <row r="1138" spans="1:5" x14ac:dyDescent="0.3">
      <c r="A1138" s="2">
        <f ca="1">INDEX(Simulations!$A$1:$BK$2501, 1138, MATCH("PurchaseMultiple", Simulations!$A$1:$BK$1, 0))</f>
        <v>7.4838759779270854</v>
      </c>
      <c r="B1138" s="2">
        <f ca="1">INDEX(Simulations!$A$1:$BK$2501, 1138, MATCH("ExitMultiple", Simulations!$A$1:$BK$1, 0))</f>
        <v>7.2341661621870523</v>
      </c>
      <c r="C1138" s="2">
        <f ca="1">INDEX(Simulations!$A$1:$BK$2501, 1138, MATCH("RevCAGR", Simulations!$A$1:$BK$1, 0))</f>
        <v>4.5039150149842722E-2</v>
      </c>
      <c r="D1138" s="2">
        <f ca="1">INDEX(Simulations!$A$1:$BK$2501, 1138, MATCH("SynMargin", Simulations!$A$1:$BK$1, 0))</f>
        <v>1.3114783427920603E-2</v>
      </c>
      <c r="E1138" s="2">
        <f ca="1">INDEX(Simulations!$A$1:$BK$2501, 1138, MATCH("Yr1Shock", Simulations!$A$1:$BK$1, 0))</f>
        <v>1.1877152147180742E-2</v>
      </c>
    </row>
    <row r="1139" spans="1:5" x14ac:dyDescent="0.3">
      <c r="A1139" s="2">
        <f ca="1">INDEX(Simulations!$A$1:$BK$2501, 1139, MATCH("PurchaseMultiple", Simulations!$A$1:$BK$1, 0))</f>
        <v>6.9562264555706417</v>
      </c>
      <c r="B1139" s="2">
        <f ca="1">INDEX(Simulations!$A$1:$BK$2501, 1139, MATCH("ExitMultiple", Simulations!$A$1:$BK$1, 0))</f>
        <v>7.9404325377457114</v>
      </c>
      <c r="C1139" s="2">
        <f ca="1">INDEX(Simulations!$A$1:$BK$2501, 1139, MATCH("RevCAGR", Simulations!$A$1:$BK$1, 0))</f>
        <v>6.2053191100704334E-2</v>
      </c>
      <c r="D1139" s="2">
        <f ca="1">INDEX(Simulations!$A$1:$BK$2501, 1139, MATCH("SynMargin", Simulations!$A$1:$BK$1, 0))</f>
        <v>1.2864785445754765E-2</v>
      </c>
      <c r="E1139" s="2">
        <f ca="1">INDEX(Simulations!$A$1:$BK$2501, 1139, MATCH("Yr1Shock", Simulations!$A$1:$BK$1, 0))</f>
        <v>-3.8568168895774302E-2</v>
      </c>
    </row>
    <row r="1140" spans="1:5" x14ac:dyDescent="0.3">
      <c r="A1140" s="2">
        <f ca="1">INDEX(Simulations!$A$1:$BK$2501, 1140, MATCH("PurchaseMultiple", Simulations!$A$1:$BK$1, 0))</f>
        <v>6.8148346330653657</v>
      </c>
      <c r="B1140" s="2">
        <f ca="1">INDEX(Simulations!$A$1:$BK$2501, 1140, MATCH("ExitMultiple", Simulations!$A$1:$BK$1, 0))</f>
        <v>7.225536323667745</v>
      </c>
      <c r="C1140" s="2">
        <f ca="1">INDEX(Simulations!$A$1:$BK$2501, 1140, MATCH("RevCAGR", Simulations!$A$1:$BK$1, 0))</f>
        <v>5.2487944180000114E-2</v>
      </c>
      <c r="D1140" s="2">
        <f ca="1">INDEX(Simulations!$A$1:$BK$2501, 1140, MATCH("SynMargin", Simulations!$A$1:$BK$1, 0))</f>
        <v>9.0155084153745683E-3</v>
      </c>
      <c r="E1140" s="2">
        <f ca="1">INDEX(Simulations!$A$1:$BK$2501, 1140, MATCH("Yr1Shock", Simulations!$A$1:$BK$1, 0))</f>
        <v>9.1359398840251613E-3</v>
      </c>
    </row>
    <row r="1141" spans="1:5" x14ac:dyDescent="0.3">
      <c r="A1141" s="2">
        <f ca="1">INDEX(Simulations!$A$1:$BK$2501, 1141, MATCH("PurchaseMultiple", Simulations!$A$1:$BK$1, 0))</f>
        <v>7.5676275284056223</v>
      </c>
      <c r="B1141" s="2">
        <f ca="1">INDEX(Simulations!$A$1:$BK$2501, 1141, MATCH("ExitMultiple", Simulations!$A$1:$BK$1, 0))</f>
        <v>6.7788168532197446</v>
      </c>
      <c r="C1141" s="2">
        <f ca="1">INDEX(Simulations!$A$1:$BK$2501, 1141, MATCH("RevCAGR", Simulations!$A$1:$BK$1, 0))</f>
        <v>1.3356416837423331E-2</v>
      </c>
      <c r="D1141" s="2">
        <f ca="1">INDEX(Simulations!$A$1:$BK$2501, 1141, MATCH("SynMargin", Simulations!$A$1:$BK$1, 0))</f>
        <v>8.4737973640704144E-3</v>
      </c>
      <c r="E1141" s="2">
        <f ca="1">INDEX(Simulations!$A$1:$BK$2501, 1141, MATCH("Yr1Shock", Simulations!$A$1:$BK$1, 0))</f>
        <v>1.4012851238969592E-2</v>
      </c>
    </row>
    <row r="1142" spans="1:5" x14ac:dyDescent="0.3">
      <c r="A1142" s="2">
        <f ca="1">INDEX(Simulations!$A$1:$BK$2501, 1142, MATCH("PurchaseMultiple", Simulations!$A$1:$BK$1, 0))</f>
        <v>7.5666805932334222</v>
      </c>
      <c r="B1142" s="2">
        <f ca="1">INDEX(Simulations!$A$1:$BK$2501, 1142, MATCH("ExitMultiple", Simulations!$A$1:$BK$1, 0))</f>
        <v>6.828100345781805</v>
      </c>
      <c r="C1142" s="2">
        <f ca="1">INDEX(Simulations!$A$1:$BK$2501, 1142, MATCH("RevCAGR", Simulations!$A$1:$BK$1, 0))</f>
        <v>5.9194832214358839E-2</v>
      </c>
      <c r="D1142" s="2">
        <f ca="1">INDEX(Simulations!$A$1:$BK$2501, 1142, MATCH("SynMargin", Simulations!$A$1:$BK$1, 0))</f>
        <v>1.4836948393796578E-2</v>
      </c>
      <c r="E1142" s="2">
        <f ca="1">INDEX(Simulations!$A$1:$BK$2501, 1142, MATCH("Yr1Shock", Simulations!$A$1:$BK$1, 0))</f>
        <v>-7.6123863393090501E-3</v>
      </c>
    </row>
    <row r="1143" spans="1:5" x14ac:dyDescent="0.3">
      <c r="A1143" s="2">
        <f ca="1">INDEX(Simulations!$A$1:$BK$2501, 1143, MATCH("PurchaseMultiple", Simulations!$A$1:$BK$1, 0))</f>
        <v>6.2063548440690912</v>
      </c>
      <c r="B1143" s="2">
        <f ca="1">INDEX(Simulations!$A$1:$BK$2501, 1143, MATCH("ExitMultiple", Simulations!$A$1:$BK$1, 0))</f>
        <v>8.2738008904867755</v>
      </c>
      <c r="C1143" s="2">
        <f ca="1">INDEX(Simulations!$A$1:$BK$2501, 1143, MATCH("RevCAGR", Simulations!$A$1:$BK$1, 0))</f>
        <v>-1.9830631588566149E-2</v>
      </c>
      <c r="D1143" s="2">
        <f ca="1">INDEX(Simulations!$A$1:$BK$2501, 1143, MATCH("SynMargin", Simulations!$A$1:$BK$1, 0))</f>
        <v>8.1972067848553893E-3</v>
      </c>
      <c r="E1143" s="2">
        <f ca="1">INDEX(Simulations!$A$1:$BK$2501, 1143, MATCH("Yr1Shock", Simulations!$A$1:$BK$1, 0))</f>
        <v>-1.1574994891380449E-2</v>
      </c>
    </row>
    <row r="1144" spans="1:5" x14ac:dyDescent="0.3">
      <c r="A1144" s="2">
        <f ca="1">INDEX(Simulations!$A$1:$BK$2501, 1144, MATCH("PurchaseMultiple", Simulations!$A$1:$BK$1, 0))</f>
        <v>7.4350777367220964</v>
      </c>
      <c r="B1144" s="2">
        <f ca="1">INDEX(Simulations!$A$1:$BK$2501, 1144, MATCH("ExitMultiple", Simulations!$A$1:$BK$1, 0))</f>
        <v>7.0980602662701173</v>
      </c>
      <c r="C1144" s="2">
        <f ca="1">INDEX(Simulations!$A$1:$BK$2501, 1144, MATCH("RevCAGR", Simulations!$A$1:$BK$1, 0))</f>
        <v>7.1028324968729142E-3</v>
      </c>
      <c r="D1144" s="2">
        <f ca="1">INDEX(Simulations!$A$1:$BK$2501, 1144, MATCH("SynMargin", Simulations!$A$1:$BK$1, 0))</f>
        <v>1.0304232224138909E-2</v>
      </c>
      <c r="E1144" s="2">
        <f ca="1">INDEX(Simulations!$A$1:$BK$2501, 1144, MATCH("Yr1Shock", Simulations!$A$1:$BK$1, 0))</f>
        <v>3.8813787507248725E-2</v>
      </c>
    </row>
    <row r="1145" spans="1:5" x14ac:dyDescent="0.3">
      <c r="A1145" s="2">
        <f ca="1">INDEX(Simulations!$A$1:$BK$2501, 1145, MATCH("PurchaseMultiple", Simulations!$A$1:$BK$1, 0))</f>
        <v>7.0564739802669889</v>
      </c>
      <c r="B1145" s="2">
        <f ca="1">INDEX(Simulations!$A$1:$BK$2501, 1145, MATCH("ExitMultiple", Simulations!$A$1:$BK$1, 0))</f>
        <v>7.8114655079410245</v>
      </c>
      <c r="C1145" s="2">
        <f ca="1">INDEX(Simulations!$A$1:$BK$2501, 1145, MATCH("RevCAGR", Simulations!$A$1:$BK$1, 0))</f>
        <v>3.0637069224897881E-2</v>
      </c>
      <c r="D1145" s="2">
        <f ca="1">INDEX(Simulations!$A$1:$BK$2501, 1145, MATCH("SynMargin", Simulations!$A$1:$BK$1, 0))</f>
        <v>8.770590232346059E-3</v>
      </c>
      <c r="E1145" s="2">
        <f ca="1">INDEX(Simulations!$A$1:$BK$2501, 1145, MATCH("Yr1Shock", Simulations!$A$1:$BK$1, 0))</f>
        <v>1.3384408367740859E-2</v>
      </c>
    </row>
    <row r="1146" spans="1:5" x14ac:dyDescent="0.3">
      <c r="A1146" s="2">
        <f ca="1">INDEX(Simulations!$A$1:$BK$2501, 1146, MATCH("PurchaseMultiple", Simulations!$A$1:$BK$1, 0))</f>
        <v>6.8318262893840993</v>
      </c>
      <c r="B1146" s="2">
        <f ca="1">INDEX(Simulations!$A$1:$BK$2501, 1146, MATCH("ExitMultiple", Simulations!$A$1:$BK$1, 0))</f>
        <v>7.7353165516825237</v>
      </c>
      <c r="C1146" s="2">
        <f ca="1">INDEX(Simulations!$A$1:$BK$2501, 1146, MATCH("RevCAGR", Simulations!$A$1:$BK$1, 0))</f>
        <v>4.54865179612855E-2</v>
      </c>
      <c r="D1146" s="2">
        <f ca="1">INDEX(Simulations!$A$1:$BK$2501, 1146, MATCH("SynMargin", Simulations!$A$1:$BK$1, 0))</f>
        <v>8.741573003003612E-3</v>
      </c>
      <c r="E1146" s="2">
        <f ca="1">INDEX(Simulations!$A$1:$BK$2501, 1146, MATCH("Yr1Shock", Simulations!$A$1:$BK$1, 0))</f>
        <v>-8.0081503202356498E-4</v>
      </c>
    </row>
    <row r="1147" spans="1:5" x14ac:dyDescent="0.3">
      <c r="A1147" s="2">
        <f ca="1">INDEX(Simulations!$A$1:$BK$2501, 1147, MATCH("PurchaseMultiple", Simulations!$A$1:$BK$1, 0))</f>
        <v>6.4956566722335483</v>
      </c>
      <c r="B1147" s="2">
        <f ca="1">INDEX(Simulations!$A$1:$BK$2501, 1147, MATCH("ExitMultiple", Simulations!$A$1:$BK$1, 0))</f>
        <v>7.5752614269389209</v>
      </c>
      <c r="C1147" s="2">
        <f ca="1">INDEX(Simulations!$A$1:$BK$2501, 1147, MATCH("RevCAGR", Simulations!$A$1:$BK$1, 0))</f>
        <v>7.6810297886128365E-2</v>
      </c>
      <c r="D1147" s="2">
        <f ca="1">INDEX(Simulations!$A$1:$BK$2501, 1147, MATCH("SynMargin", Simulations!$A$1:$BK$1, 0))</f>
        <v>4.4565634213642449E-3</v>
      </c>
      <c r="E1147" s="2">
        <f ca="1">INDEX(Simulations!$A$1:$BK$2501, 1147, MATCH("Yr1Shock", Simulations!$A$1:$BK$1, 0))</f>
        <v>-1.8150844552661013E-2</v>
      </c>
    </row>
    <row r="1148" spans="1:5" x14ac:dyDescent="0.3">
      <c r="A1148" s="2">
        <f ca="1">INDEX(Simulations!$A$1:$BK$2501, 1148, MATCH("PurchaseMultiple", Simulations!$A$1:$BK$1, 0))</f>
        <v>7.3042276668570496</v>
      </c>
      <c r="B1148" s="2">
        <f ca="1">INDEX(Simulations!$A$1:$BK$2501, 1148, MATCH("ExitMultiple", Simulations!$A$1:$BK$1, 0))</f>
        <v>7.1448213991655747</v>
      </c>
      <c r="C1148" s="2">
        <f ca="1">INDEX(Simulations!$A$1:$BK$2501, 1148, MATCH("RevCAGR", Simulations!$A$1:$BK$1, 0))</f>
        <v>3.6072507689485778E-2</v>
      </c>
      <c r="D1148" s="2">
        <f ca="1">INDEX(Simulations!$A$1:$BK$2501, 1148, MATCH("SynMargin", Simulations!$A$1:$BK$1, 0))</f>
        <v>3.2326345790353603E-3</v>
      </c>
      <c r="E1148" s="2">
        <f ca="1">INDEX(Simulations!$A$1:$BK$2501, 1148, MATCH("Yr1Shock", Simulations!$A$1:$BK$1, 0))</f>
        <v>-2.8803169138486733E-3</v>
      </c>
    </row>
    <row r="1149" spans="1:5" x14ac:dyDescent="0.3">
      <c r="A1149" s="2">
        <f ca="1">INDEX(Simulations!$A$1:$BK$2501, 1149, MATCH("PurchaseMultiple", Simulations!$A$1:$BK$1, 0))</f>
        <v>7.5781055862410769</v>
      </c>
      <c r="B1149" s="2">
        <f ca="1">INDEX(Simulations!$A$1:$BK$2501, 1149, MATCH("ExitMultiple", Simulations!$A$1:$BK$1, 0))</f>
        <v>7.5493232525851592</v>
      </c>
      <c r="C1149" s="2">
        <f ca="1">INDEX(Simulations!$A$1:$BK$2501, 1149, MATCH("RevCAGR", Simulations!$A$1:$BK$1, 0))</f>
        <v>7.2284652426624213E-2</v>
      </c>
      <c r="D1149" s="2">
        <f ca="1">INDEX(Simulations!$A$1:$BK$2501, 1149, MATCH("SynMargin", Simulations!$A$1:$BK$1, 0))</f>
        <v>1.0262200325192239E-2</v>
      </c>
      <c r="E1149" s="2">
        <f ca="1">INDEX(Simulations!$A$1:$BK$2501, 1149, MATCH("Yr1Shock", Simulations!$A$1:$BK$1, 0))</f>
        <v>-3.697454675107448E-3</v>
      </c>
    </row>
    <row r="1150" spans="1:5" x14ac:dyDescent="0.3">
      <c r="A1150" s="2">
        <f ca="1">INDEX(Simulations!$A$1:$BK$2501, 1150, MATCH("PurchaseMultiple", Simulations!$A$1:$BK$1, 0))</f>
        <v>6.529367657941501</v>
      </c>
      <c r="B1150" s="2">
        <f ca="1">INDEX(Simulations!$A$1:$BK$2501, 1150, MATCH("ExitMultiple", Simulations!$A$1:$BK$1, 0))</f>
        <v>8.2410729695638665</v>
      </c>
      <c r="C1150" s="2">
        <f ca="1">INDEX(Simulations!$A$1:$BK$2501, 1150, MATCH("RevCAGR", Simulations!$A$1:$BK$1, 0))</f>
        <v>6.6533461281991849E-3</v>
      </c>
      <c r="D1150" s="2">
        <f ca="1">INDEX(Simulations!$A$1:$BK$2501, 1150, MATCH("SynMargin", Simulations!$A$1:$BK$1, 0))</f>
        <v>1.6564624292280845E-2</v>
      </c>
      <c r="E1150" s="2">
        <f ca="1">INDEX(Simulations!$A$1:$BK$2501, 1150, MATCH("Yr1Shock", Simulations!$A$1:$BK$1, 0))</f>
        <v>-9.375682761990637E-3</v>
      </c>
    </row>
    <row r="1151" spans="1:5" x14ac:dyDescent="0.3">
      <c r="A1151" s="2">
        <f ca="1">INDEX(Simulations!$A$1:$BK$2501, 1151, MATCH("PurchaseMultiple", Simulations!$A$1:$BK$1, 0))</f>
        <v>7.4457995830792596</v>
      </c>
      <c r="B1151" s="2">
        <f ca="1">INDEX(Simulations!$A$1:$BK$2501, 1151, MATCH("ExitMultiple", Simulations!$A$1:$BK$1, 0))</f>
        <v>7.031765020863447</v>
      </c>
      <c r="C1151" s="2">
        <f ca="1">INDEX(Simulations!$A$1:$BK$2501, 1151, MATCH("RevCAGR", Simulations!$A$1:$BK$1, 0))</f>
        <v>4.6015319707803697E-2</v>
      </c>
      <c r="D1151" s="2">
        <f ca="1">INDEX(Simulations!$A$1:$BK$2501, 1151, MATCH("SynMargin", Simulations!$A$1:$BK$1, 0))</f>
        <v>1.4715745153788855E-2</v>
      </c>
      <c r="E1151" s="2">
        <f ca="1">INDEX(Simulations!$A$1:$BK$2501, 1151, MATCH("Yr1Shock", Simulations!$A$1:$BK$1, 0))</f>
        <v>-9.2973781412241351E-3</v>
      </c>
    </row>
    <row r="1152" spans="1:5" x14ac:dyDescent="0.3">
      <c r="A1152" s="2">
        <f ca="1">INDEX(Simulations!$A$1:$BK$2501, 1152, MATCH("PurchaseMultiple", Simulations!$A$1:$BK$1, 0))</f>
        <v>6.5319791365564699</v>
      </c>
      <c r="B1152" s="2">
        <f ca="1">INDEX(Simulations!$A$1:$BK$2501, 1152, MATCH("ExitMultiple", Simulations!$A$1:$BK$1, 0))</f>
        <v>6.994600481653829</v>
      </c>
      <c r="C1152" s="2">
        <f ca="1">INDEX(Simulations!$A$1:$BK$2501, 1152, MATCH("RevCAGR", Simulations!$A$1:$BK$1, 0))</f>
        <v>3.6598368440300781E-2</v>
      </c>
      <c r="D1152" s="2">
        <f ca="1">INDEX(Simulations!$A$1:$BK$2501, 1152, MATCH("SynMargin", Simulations!$A$1:$BK$1, 0))</f>
        <v>8.0511587541384176E-3</v>
      </c>
      <c r="E1152" s="2">
        <f ca="1">INDEX(Simulations!$A$1:$BK$2501, 1152, MATCH("Yr1Shock", Simulations!$A$1:$BK$1, 0))</f>
        <v>-1.8495046489077412E-2</v>
      </c>
    </row>
    <row r="1153" spans="1:5" x14ac:dyDescent="0.3">
      <c r="A1153" s="2">
        <f ca="1">INDEX(Simulations!$A$1:$BK$2501, 1153, MATCH("PurchaseMultiple", Simulations!$A$1:$BK$1, 0))</f>
        <v>6.1668789324665552</v>
      </c>
      <c r="B1153" s="2">
        <f ca="1">INDEX(Simulations!$A$1:$BK$2501, 1153, MATCH("ExitMultiple", Simulations!$A$1:$BK$1, 0))</f>
        <v>7.3486981185087679</v>
      </c>
      <c r="C1153" s="2">
        <f ca="1">INDEX(Simulations!$A$1:$BK$2501, 1153, MATCH("RevCAGR", Simulations!$A$1:$BK$1, 0))</f>
        <v>5.5801223457633005E-2</v>
      </c>
      <c r="D1153" s="2">
        <f ca="1">INDEX(Simulations!$A$1:$BK$2501, 1153, MATCH("SynMargin", Simulations!$A$1:$BK$1, 0))</f>
        <v>8.3800068684900825E-3</v>
      </c>
      <c r="E1153" s="2">
        <f ca="1">INDEX(Simulations!$A$1:$BK$2501, 1153, MATCH("Yr1Shock", Simulations!$A$1:$BK$1, 0))</f>
        <v>1.8812101162447182E-2</v>
      </c>
    </row>
    <row r="1154" spans="1:5" x14ac:dyDescent="0.3">
      <c r="A1154" s="2">
        <f ca="1">INDEX(Simulations!$A$1:$BK$2501, 1154, MATCH("PurchaseMultiple", Simulations!$A$1:$BK$1, 0))</f>
        <v>7.020257683299822</v>
      </c>
      <c r="B1154" s="2">
        <f ca="1">INDEX(Simulations!$A$1:$BK$2501, 1154, MATCH("ExitMultiple", Simulations!$A$1:$BK$1, 0))</f>
        <v>7.7553441767879505</v>
      </c>
      <c r="C1154" s="2">
        <f ca="1">INDEX(Simulations!$A$1:$BK$2501, 1154, MATCH("RevCAGR", Simulations!$A$1:$BK$1, 0))</f>
        <v>2.7625956415172598E-2</v>
      </c>
      <c r="D1154" s="2">
        <f ca="1">INDEX(Simulations!$A$1:$BK$2501, 1154, MATCH("SynMargin", Simulations!$A$1:$BK$1, 0))</f>
        <v>4.2850968251632576E-3</v>
      </c>
      <c r="E1154" s="2">
        <f ca="1">INDEX(Simulations!$A$1:$BK$2501, 1154, MATCH("Yr1Shock", Simulations!$A$1:$BK$1, 0))</f>
        <v>1.3739389364447296E-2</v>
      </c>
    </row>
    <row r="1155" spans="1:5" x14ac:dyDescent="0.3">
      <c r="A1155" s="2">
        <f ca="1">INDEX(Simulations!$A$1:$BK$2501, 1155, MATCH("PurchaseMultiple", Simulations!$A$1:$BK$1, 0))</f>
        <v>6.6213762270274898</v>
      </c>
      <c r="B1155" s="2">
        <f ca="1">INDEX(Simulations!$A$1:$BK$2501, 1155, MATCH("ExitMultiple", Simulations!$A$1:$BK$1, 0))</f>
        <v>7.4020956037233558</v>
      </c>
      <c r="C1155" s="2">
        <f ca="1">INDEX(Simulations!$A$1:$BK$2501, 1155, MATCH("RevCAGR", Simulations!$A$1:$BK$1, 0))</f>
        <v>6.5916790773978232E-2</v>
      </c>
      <c r="D1155" s="2">
        <f ca="1">INDEX(Simulations!$A$1:$BK$2501, 1155, MATCH("SynMargin", Simulations!$A$1:$BK$1, 0))</f>
        <v>6.6935763386613556E-4</v>
      </c>
      <c r="E1155" s="2">
        <f ca="1">INDEX(Simulations!$A$1:$BK$2501, 1155, MATCH("Yr1Shock", Simulations!$A$1:$BK$1, 0))</f>
        <v>9.8534094745781416E-4</v>
      </c>
    </row>
    <row r="1156" spans="1:5" x14ac:dyDescent="0.3">
      <c r="A1156" s="2">
        <f ca="1">INDEX(Simulations!$A$1:$BK$2501, 1156, MATCH("PurchaseMultiple", Simulations!$A$1:$BK$1, 0))</f>
        <v>6.3847494759210575</v>
      </c>
      <c r="B1156" s="2">
        <f ca="1">INDEX(Simulations!$A$1:$BK$2501, 1156, MATCH("ExitMultiple", Simulations!$A$1:$BK$1, 0))</f>
        <v>7.777386934631271</v>
      </c>
      <c r="C1156" s="2">
        <f ca="1">INDEX(Simulations!$A$1:$BK$2501, 1156, MATCH("RevCAGR", Simulations!$A$1:$BK$1, 0))</f>
        <v>2.515962140056284E-2</v>
      </c>
      <c r="D1156" s="2">
        <f ca="1">INDEX(Simulations!$A$1:$BK$2501, 1156, MATCH("SynMargin", Simulations!$A$1:$BK$1, 0))</f>
        <v>1.0129257853709529E-2</v>
      </c>
      <c r="E1156" s="2">
        <f ca="1">INDEX(Simulations!$A$1:$BK$2501, 1156, MATCH("Yr1Shock", Simulations!$A$1:$BK$1, 0))</f>
        <v>-3.4509893940160942E-2</v>
      </c>
    </row>
    <row r="1157" spans="1:5" x14ac:dyDescent="0.3">
      <c r="A1157" s="2">
        <f ca="1">INDEX(Simulations!$A$1:$BK$2501, 1157, MATCH("PurchaseMultiple", Simulations!$A$1:$BK$1, 0))</f>
        <v>7.0438053665950529</v>
      </c>
      <c r="B1157" s="2">
        <f ca="1">INDEX(Simulations!$A$1:$BK$2501, 1157, MATCH("ExitMultiple", Simulations!$A$1:$BK$1, 0))</f>
        <v>7.5020361047190098</v>
      </c>
      <c r="C1157" s="2">
        <f ca="1">INDEX(Simulations!$A$1:$BK$2501, 1157, MATCH("RevCAGR", Simulations!$A$1:$BK$1, 0))</f>
        <v>1.4380266310402189E-2</v>
      </c>
      <c r="D1157" s="2">
        <f ca="1">INDEX(Simulations!$A$1:$BK$2501, 1157, MATCH("SynMargin", Simulations!$A$1:$BK$1, 0))</f>
        <v>1.3784381734153651E-2</v>
      </c>
      <c r="E1157" s="2">
        <f ca="1">INDEX(Simulations!$A$1:$BK$2501, 1157, MATCH("Yr1Shock", Simulations!$A$1:$BK$1, 0))</f>
        <v>1.4783660092718167E-2</v>
      </c>
    </row>
    <row r="1158" spans="1:5" x14ac:dyDescent="0.3">
      <c r="A1158" s="2">
        <f ca="1">INDEX(Simulations!$A$1:$BK$2501, 1158, MATCH("PurchaseMultiple", Simulations!$A$1:$BK$1, 0))</f>
        <v>6.9849058672493083</v>
      </c>
      <c r="B1158" s="2">
        <f ca="1">INDEX(Simulations!$A$1:$BK$2501, 1158, MATCH("ExitMultiple", Simulations!$A$1:$BK$1, 0))</f>
        <v>7.2037692022897533</v>
      </c>
      <c r="C1158" s="2">
        <f ca="1">INDEX(Simulations!$A$1:$BK$2501, 1158, MATCH("RevCAGR", Simulations!$A$1:$BK$1, 0))</f>
        <v>-1.0827131804686377E-2</v>
      </c>
      <c r="D1158" s="2">
        <f ca="1">INDEX(Simulations!$A$1:$BK$2501, 1158, MATCH("SynMargin", Simulations!$A$1:$BK$1, 0))</f>
        <v>1.0234501812029072E-2</v>
      </c>
      <c r="E1158" s="2">
        <f ca="1">INDEX(Simulations!$A$1:$BK$2501, 1158, MATCH("Yr1Shock", Simulations!$A$1:$BK$1, 0))</f>
        <v>3.3179837916111482E-2</v>
      </c>
    </row>
    <row r="1159" spans="1:5" x14ac:dyDescent="0.3">
      <c r="A1159" s="2">
        <f ca="1">INDEX(Simulations!$A$1:$BK$2501, 1159, MATCH("PurchaseMultiple", Simulations!$A$1:$BK$1, 0))</f>
        <v>7.1510498175944512</v>
      </c>
      <c r="B1159" s="2">
        <f ca="1">INDEX(Simulations!$A$1:$BK$2501, 1159, MATCH("ExitMultiple", Simulations!$A$1:$BK$1, 0))</f>
        <v>8.2953655679341178</v>
      </c>
      <c r="C1159" s="2">
        <f ca="1">INDEX(Simulations!$A$1:$BK$2501, 1159, MATCH("RevCAGR", Simulations!$A$1:$BK$1, 0))</f>
        <v>6.0264296730347069E-2</v>
      </c>
      <c r="D1159" s="2">
        <f ca="1">INDEX(Simulations!$A$1:$BK$2501, 1159, MATCH("SynMargin", Simulations!$A$1:$BK$1, 0))</f>
        <v>7.9525207731056674E-3</v>
      </c>
      <c r="E1159" s="2">
        <f ca="1">INDEX(Simulations!$A$1:$BK$2501, 1159, MATCH("Yr1Shock", Simulations!$A$1:$BK$1, 0))</f>
        <v>-5.968986486824264E-3</v>
      </c>
    </row>
    <row r="1160" spans="1:5" x14ac:dyDescent="0.3">
      <c r="A1160" s="2">
        <f ca="1">INDEX(Simulations!$A$1:$BK$2501, 1160, MATCH("PurchaseMultiple", Simulations!$A$1:$BK$1, 0))</f>
        <v>7.2029225610888483</v>
      </c>
      <c r="B1160" s="2">
        <f ca="1">INDEX(Simulations!$A$1:$BK$2501, 1160, MATCH("ExitMultiple", Simulations!$A$1:$BK$1, 0))</f>
        <v>7.7507746761182679</v>
      </c>
      <c r="C1160" s="2">
        <f ca="1">INDEX(Simulations!$A$1:$BK$2501, 1160, MATCH("RevCAGR", Simulations!$A$1:$BK$1, 0))</f>
        <v>-1.416109967165903E-2</v>
      </c>
      <c r="D1160" s="2">
        <f ca="1">INDEX(Simulations!$A$1:$BK$2501, 1160, MATCH("SynMargin", Simulations!$A$1:$BK$1, 0))</f>
        <v>1.1330296837743815E-2</v>
      </c>
      <c r="E1160" s="2">
        <f ca="1">INDEX(Simulations!$A$1:$BK$2501, 1160, MATCH("Yr1Shock", Simulations!$A$1:$BK$1, 0))</f>
        <v>-3.5393928636368248E-2</v>
      </c>
    </row>
    <row r="1161" spans="1:5" x14ac:dyDescent="0.3">
      <c r="A1161" s="2">
        <f ca="1">INDEX(Simulations!$A$1:$BK$2501, 1161, MATCH("PurchaseMultiple", Simulations!$A$1:$BK$1, 0))</f>
        <v>6.8827284364857801</v>
      </c>
      <c r="B1161" s="2">
        <f ca="1">INDEX(Simulations!$A$1:$BK$2501, 1161, MATCH("ExitMultiple", Simulations!$A$1:$BK$1, 0))</f>
        <v>7.6620650544624294</v>
      </c>
      <c r="C1161" s="2">
        <f ca="1">INDEX(Simulations!$A$1:$BK$2501, 1161, MATCH("RevCAGR", Simulations!$A$1:$BK$1, 0))</f>
        <v>3.2274452729105965E-2</v>
      </c>
      <c r="D1161" s="2">
        <f ca="1">INDEX(Simulations!$A$1:$BK$2501, 1161, MATCH("SynMargin", Simulations!$A$1:$BK$1, 0))</f>
        <v>9.3956220005184232E-3</v>
      </c>
      <c r="E1161" s="2">
        <f ca="1">INDEX(Simulations!$A$1:$BK$2501, 1161, MATCH("Yr1Shock", Simulations!$A$1:$BK$1, 0))</f>
        <v>5.9712676212167895E-3</v>
      </c>
    </row>
    <row r="1162" spans="1:5" x14ac:dyDescent="0.3">
      <c r="A1162" s="2">
        <f ca="1">INDEX(Simulations!$A$1:$BK$2501, 1162, MATCH("PurchaseMultiple", Simulations!$A$1:$BK$1, 0))</f>
        <v>6.9909075471325357</v>
      </c>
      <c r="B1162" s="2">
        <f ca="1">INDEX(Simulations!$A$1:$BK$2501, 1162, MATCH("ExitMultiple", Simulations!$A$1:$BK$1, 0))</f>
        <v>7.9171049247288998</v>
      </c>
      <c r="C1162" s="2">
        <f ca="1">INDEX(Simulations!$A$1:$BK$2501, 1162, MATCH("RevCAGR", Simulations!$A$1:$BK$1, 0))</f>
        <v>1.6879514652301471E-2</v>
      </c>
      <c r="D1162" s="2">
        <f ca="1">INDEX(Simulations!$A$1:$BK$2501, 1162, MATCH("SynMargin", Simulations!$A$1:$BK$1, 0))</f>
        <v>1.8728839908587678E-2</v>
      </c>
      <c r="E1162" s="2">
        <f ca="1">INDEX(Simulations!$A$1:$BK$2501, 1162, MATCH("Yr1Shock", Simulations!$A$1:$BK$1, 0))</f>
        <v>3.1177091984784761E-2</v>
      </c>
    </row>
    <row r="1163" spans="1:5" x14ac:dyDescent="0.3">
      <c r="A1163" s="2">
        <f ca="1">INDEX(Simulations!$A$1:$BK$2501, 1163, MATCH("PurchaseMultiple", Simulations!$A$1:$BK$1, 0))</f>
        <v>7.1014504228779911</v>
      </c>
      <c r="B1163" s="2">
        <f ca="1">INDEX(Simulations!$A$1:$BK$2501, 1163, MATCH("ExitMultiple", Simulations!$A$1:$BK$1, 0))</f>
        <v>7.5877137157356245</v>
      </c>
      <c r="C1163" s="2">
        <f ca="1">INDEX(Simulations!$A$1:$BK$2501, 1163, MATCH("RevCAGR", Simulations!$A$1:$BK$1, 0))</f>
        <v>1.947497026742628E-2</v>
      </c>
      <c r="D1163" s="2">
        <f ca="1">INDEX(Simulations!$A$1:$BK$2501, 1163, MATCH("SynMargin", Simulations!$A$1:$BK$1, 0))</f>
        <v>9.7442438246933133E-3</v>
      </c>
      <c r="E1163" s="2">
        <f ca="1">INDEX(Simulations!$A$1:$BK$2501, 1163, MATCH("Yr1Shock", Simulations!$A$1:$BK$1, 0))</f>
        <v>-2.6110454843195172E-2</v>
      </c>
    </row>
    <row r="1164" spans="1:5" x14ac:dyDescent="0.3">
      <c r="A1164" s="2">
        <f ca="1">INDEX(Simulations!$A$1:$BK$2501, 1164, MATCH("PurchaseMultiple", Simulations!$A$1:$BK$1, 0))</f>
        <v>7.6331997657788113</v>
      </c>
      <c r="B1164" s="2">
        <f ca="1">INDEX(Simulations!$A$1:$BK$2501, 1164, MATCH("ExitMultiple", Simulations!$A$1:$BK$1, 0))</f>
        <v>6.9242002279957058</v>
      </c>
      <c r="C1164" s="2">
        <f ca="1">INDEX(Simulations!$A$1:$BK$2501, 1164, MATCH("RevCAGR", Simulations!$A$1:$BK$1, 0))</f>
        <v>5.7156109844758149E-2</v>
      </c>
      <c r="D1164" s="2">
        <f ca="1">INDEX(Simulations!$A$1:$BK$2501, 1164, MATCH("SynMargin", Simulations!$A$1:$BK$1, 0))</f>
        <v>5.6108533068114511E-3</v>
      </c>
      <c r="E1164" s="2">
        <f ca="1">INDEX(Simulations!$A$1:$BK$2501, 1164, MATCH("Yr1Shock", Simulations!$A$1:$BK$1, 0))</f>
        <v>1.1345467964095246E-2</v>
      </c>
    </row>
    <row r="1165" spans="1:5" x14ac:dyDescent="0.3">
      <c r="A1165" s="2">
        <f ca="1">INDEX(Simulations!$A$1:$BK$2501, 1165, MATCH("PurchaseMultiple", Simulations!$A$1:$BK$1, 0))</f>
        <v>6.5022425315811656</v>
      </c>
      <c r="B1165" s="2">
        <f ca="1">INDEX(Simulations!$A$1:$BK$2501, 1165, MATCH("ExitMultiple", Simulations!$A$1:$BK$1, 0))</f>
        <v>6.9452371847420125</v>
      </c>
      <c r="C1165" s="2">
        <f ca="1">INDEX(Simulations!$A$1:$BK$2501, 1165, MATCH("RevCAGR", Simulations!$A$1:$BK$1, 0))</f>
        <v>6.698500505298069E-2</v>
      </c>
      <c r="D1165" s="2">
        <f ca="1">INDEX(Simulations!$A$1:$BK$2501, 1165, MATCH("SynMargin", Simulations!$A$1:$BK$1, 0))</f>
        <v>1.458467766432869E-2</v>
      </c>
      <c r="E1165" s="2">
        <f ca="1">INDEX(Simulations!$A$1:$BK$2501, 1165, MATCH("Yr1Shock", Simulations!$A$1:$BK$1, 0))</f>
        <v>1.9481553188233172E-3</v>
      </c>
    </row>
    <row r="1166" spans="1:5" x14ac:dyDescent="0.3">
      <c r="A1166" s="2">
        <f ca="1">INDEX(Simulations!$A$1:$BK$2501, 1166, MATCH("PurchaseMultiple", Simulations!$A$1:$BK$1, 0))</f>
        <v>7.0287745991960753</v>
      </c>
      <c r="B1166" s="2">
        <f ca="1">INDEX(Simulations!$A$1:$BK$2501, 1166, MATCH("ExitMultiple", Simulations!$A$1:$BK$1, 0))</f>
        <v>8.2677986885416921</v>
      </c>
      <c r="C1166" s="2">
        <f ca="1">INDEX(Simulations!$A$1:$BK$2501, 1166, MATCH("RevCAGR", Simulations!$A$1:$BK$1, 0))</f>
        <v>4.8516018847360294E-2</v>
      </c>
      <c r="D1166" s="2">
        <f ca="1">INDEX(Simulations!$A$1:$BK$2501, 1166, MATCH("SynMargin", Simulations!$A$1:$BK$1, 0))</f>
        <v>1.2028449261147722E-2</v>
      </c>
      <c r="E1166" s="2">
        <f ca="1">INDEX(Simulations!$A$1:$BK$2501, 1166, MATCH("Yr1Shock", Simulations!$A$1:$BK$1, 0))</f>
        <v>-2.062707798872309E-2</v>
      </c>
    </row>
    <row r="1167" spans="1:5" x14ac:dyDescent="0.3">
      <c r="A1167" s="2">
        <f ca="1">INDEX(Simulations!$A$1:$BK$2501, 1167, MATCH("PurchaseMultiple", Simulations!$A$1:$BK$1, 0))</f>
        <v>6.3840859582046479</v>
      </c>
      <c r="B1167" s="2">
        <f ca="1">INDEX(Simulations!$A$1:$BK$2501, 1167, MATCH("ExitMultiple", Simulations!$A$1:$BK$1, 0))</f>
        <v>7.5903806594965335</v>
      </c>
      <c r="C1167" s="2">
        <f ca="1">INDEX(Simulations!$A$1:$BK$2501, 1167, MATCH("RevCAGR", Simulations!$A$1:$BK$1, 0))</f>
        <v>2.8304094725769925E-2</v>
      </c>
      <c r="D1167" s="2">
        <f ca="1">INDEX(Simulations!$A$1:$BK$2501, 1167, MATCH("SynMargin", Simulations!$A$1:$BK$1, 0))</f>
        <v>1.4496588579104495E-2</v>
      </c>
      <c r="E1167" s="2">
        <f ca="1">INDEX(Simulations!$A$1:$BK$2501, 1167, MATCH("Yr1Shock", Simulations!$A$1:$BK$1, 0))</f>
        <v>4.4594047013020867E-2</v>
      </c>
    </row>
    <row r="1168" spans="1:5" x14ac:dyDescent="0.3">
      <c r="A1168" s="2">
        <f ca="1">INDEX(Simulations!$A$1:$BK$2501, 1168, MATCH("PurchaseMultiple", Simulations!$A$1:$BK$1, 0))</f>
        <v>6.7441593705768916</v>
      </c>
      <c r="B1168" s="2">
        <f ca="1">INDEX(Simulations!$A$1:$BK$2501, 1168, MATCH("ExitMultiple", Simulations!$A$1:$BK$1, 0))</f>
        <v>7.4964135971904735</v>
      </c>
      <c r="C1168" s="2">
        <f ca="1">INDEX(Simulations!$A$1:$BK$2501, 1168, MATCH("RevCAGR", Simulations!$A$1:$BK$1, 0))</f>
        <v>1.9151178567752176E-2</v>
      </c>
      <c r="D1168" s="2">
        <f ca="1">INDEX(Simulations!$A$1:$BK$2501, 1168, MATCH("SynMargin", Simulations!$A$1:$BK$1, 0))</f>
        <v>1.1319379376798265E-2</v>
      </c>
      <c r="E1168" s="2">
        <f ca="1">INDEX(Simulations!$A$1:$BK$2501, 1168, MATCH("Yr1Shock", Simulations!$A$1:$BK$1, 0))</f>
        <v>1.9943662103209414E-2</v>
      </c>
    </row>
    <row r="1169" spans="1:5" x14ac:dyDescent="0.3">
      <c r="A1169" s="2">
        <f ca="1">INDEX(Simulations!$A$1:$BK$2501, 1169, MATCH("PurchaseMultiple", Simulations!$A$1:$BK$1, 0))</f>
        <v>6.9826030131939998</v>
      </c>
      <c r="B1169" s="2">
        <f ca="1">INDEX(Simulations!$A$1:$BK$2501, 1169, MATCH("ExitMultiple", Simulations!$A$1:$BK$1, 0))</f>
        <v>7.1767504801986961</v>
      </c>
      <c r="C1169" s="2">
        <f ca="1">INDEX(Simulations!$A$1:$BK$2501, 1169, MATCH("RevCAGR", Simulations!$A$1:$BK$1, 0))</f>
        <v>-0.02</v>
      </c>
      <c r="D1169" s="2">
        <f ca="1">INDEX(Simulations!$A$1:$BK$2501, 1169, MATCH("SynMargin", Simulations!$A$1:$BK$1, 0))</f>
        <v>1.0234567135455232E-2</v>
      </c>
      <c r="E1169" s="2">
        <f ca="1">INDEX(Simulations!$A$1:$BK$2501, 1169, MATCH("Yr1Shock", Simulations!$A$1:$BK$1, 0))</f>
        <v>3.6240359237167986E-2</v>
      </c>
    </row>
    <row r="1170" spans="1:5" x14ac:dyDescent="0.3">
      <c r="A1170" s="2">
        <f ca="1">INDEX(Simulations!$A$1:$BK$2501, 1170, MATCH("PurchaseMultiple", Simulations!$A$1:$BK$1, 0))</f>
        <v>7.1472017535519736</v>
      </c>
      <c r="B1170" s="2">
        <f ca="1">INDEX(Simulations!$A$1:$BK$2501, 1170, MATCH("ExitMultiple", Simulations!$A$1:$BK$1, 0))</f>
        <v>7.5555047257815549</v>
      </c>
      <c r="C1170" s="2">
        <f ca="1">INDEX(Simulations!$A$1:$BK$2501, 1170, MATCH("RevCAGR", Simulations!$A$1:$BK$1, 0))</f>
        <v>2.3237269541287343E-2</v>
      </c>
      <c r="D1170" s="2">
        <f ca="1">INDEX(Simulations!$A$1:$BK$2501, 1170, MATCH("SynMargin", Simulations!$A$1:$BK$1, 0))</f>
        <v>9.4720522691594585E-3</v>
      </c>
      <c r="E1170" s="2">
        <f ca="1">INDEX(Simulations!$A$1:$BK$2501, 1170, MATCH("Yr1Shock", Simulations!$A$1:$BK$1, 0))</f>
        <v>-2.1620115102792142E-2</v>
      </c>
    </row>
    <row r="1171" spans="1:5" x14ac:dyDescent="0.3">
      <c r="A1171" s="2">
        <f ca="1">INDEX(Simulations!$A$1:$BK$2501, 1171, MATCH("PurchaseMultiple", Simulations!$A$1:$BK$1, 0))</f>
        <v>6.7797459069797128</v>
      </c>
      <c r="B1171" s="2">
        <f ca="1">INDEX(Simulations!$A$1:$BK$2501, 1171, MATCH("ExitMultiple", Simulations!$A$1:$BK$1, 0))</f>
        <v>7.6151740293267514</v>
      </c>
      <c r="C1171" s="2">
        <f ca="1">INDEX(Simulations!$A$1:$BK$2501, 1171, MATCH("RevCAGR", Simulations!$A$1:$BK$1, 0))</f>
        <v>8.3382094259218068E-2</v>
      </c>
      <c r="D1171" s="2">
        <f ca="1">INDEX(Simulations!$A$1:$BK$2501, 1171, MATCH("SynMargin", Simulations!$A$1:$BK$1, 0))</f>
        <v>6.2106496584990976E-3</v>
      </c>
      <c r="E1171" s="2">
        <f ca="1">INDEX(Simulations!$A$1:$BK$2501, 1171, MATCH("Yr1Shock", Simulations!$A$1:$BK$1, 0))</f>
        <v>1.1655120812656374E-2</v>
      </c>
    </row>
    <row r="1172" spans="1:5" x14ac:dyDescent="0.3">
      <c r="A1172" s="2">
        <f ca="1">INDEX(Simulations!$A$1:$BK$2501, 1172, MATCH("PurchaseMultiple", Simulations!$A$1:$BK$1, 0))</f>
        <v>6.8871647946703876</v>
      </c>
      <c r="B1172" s="2">
        <f ca="1">INDEX(Simulations!$A$1:$BK$2501, 1172, MATCH("ExitMultiple", Simulations!$A$1:$BK$1, 0))</f>
        <v>7.3203861621913733</v>
      </c>
      <c r="C1172" s="2">
        <f ca="1">INDEX(Simulations!$A$1:$BK$2501, 1172, MATCH("RevCAGR", Simulations!$A$1:$BK$1, 0))</f>
        <v>5.1933765736679155E-2</v>
      </c>
      <c r="D1172" s="2">
        <f ca="1">INDEX(Simulations!$A$1:$BK$2501, 1172, MATCH("SynMargin", Simulations!$A$1:$BK$1, 0))</f>
        <v>5.1575836786144523E-3</v>
      </c>
      <c r="E1172" s="2">
        <f ca="1">INDEX(Simulations!$A$1:$BK$2501, 1172, MATCH("Yr1Shock", Simulations!$A$1:$BK$1, 0))</f>
        <v>-0.05</v>
      </c>
    </row>
    <row r="1173" spans="1:5" x14ac:dyDescent="0.3">
      <c r="A1173" s="2">
        <f ca="1">INDEX(Simulations!$A$1:$BK$2501, 1173, MATCH("PurchaseMultiple", Simulations!$A$1:$BK$1, 0))</f>
        <v>6.7301462889926302</v>
      </c>
      <c r="B1173" s="2">
        <f ca="1">INDEX(Simulations!$A$1:$BK$2501, 1173, MATCH("ExitMultiple", Simulations!$A$1:$BK$1, 0))</f>
        <v>7.5232401739900379</v>
      </c>
      <c r="C1173" s="2">
        <f ca="1">INDEX(Simulations!$A$1:$BK$2501, 1173, MATCH("RevCAGR", Simulations!$A$1:$BK$1, 0))</f>
        <v>5.3142729417233865E-2</v>
      </c>
      <c r="D1173" s="2">
        <f ca="1">INDEX(Simulations!$A$1:$BK$2501, 1173, MATCH("SynMargin", Simulations!$A$1:$BK$1, 0))</f>
        <v>1.4353298604135378E-2</v>
      </c>
      <c r="E1173" s="2">
        <f ca="1">INDEX(Simulations!$A$1:$BK$2501, 1173, MATCH("Yr1Shock", Simulations!$A$1:$BK$1, 0))</f>
        <v>-2.5435133025867645E-3</v>
      </c>
    </row>
    <row r="1174" spans="1:5" x14ac:dyDescent="0.3">
      <c r="A1174" s="2">
        <f ca="1">INDEX(Simulations!$A$1:$BK$2501, 1174, MATCH("PurchaseMultiple", Simulations!$A$1:$BK$1, 0))</f>
        <v>7.0659968938363882</v>
      </c>
      <c r="B1174" s="2">
        <f ca="1">INDEX(Simulations!$A$1:$BK$2501, 1174, MATCH("ExitMultiple", Simulations!$A$1:$BK$1, 0))</f>
        <v>6.8381597659358322</v>
      </c>
      <c r="C1174" s="2">
        <f ca="1">INDEX(Simulations!$A$1:$BK$2501, 1174, MATCH("RevCAGR", Simulations!$A$1:$BK$1, 0))</f>
        <v>5.2482419921068155E-2</v>
      </c>
      <c r="D1174" s="2">
        <f ca="1">INDEX(Simulations!$A$1:$BK$2501, 1174, MATCH("SynMargin", Simulations!$A$1:$BK$1, 0))</f>
        <v>6.7085615046795777E-3</v>
      </c>
      <c r="E1174" s="2">
        <f ca="1">INDEX(Simulations!$A$1:$BK$2501, 1174, MATCH("Yr1Shock", Simulations!$A$1:$BK$1, 0))</f>
        <v>4.0959079685725132E-2</v>
      </c>
    </row>
    <row r="1175" spans="1:5" x14ac:dyDescent="0.3">
      <c r="A1175" s="2">
        <f ca="1">INDEX(Simulations!$A$1:$BK$2501, 1175, MATCH("PurchaseMultiple", Simulations!$A$1:$BK$1, 0))</f>
        <v>6.2069657133484428</v>
      </c>
      <c r="B1175" s="2">
        <f ca="1">INDEX(Simulations!$A$1:$BK$2501, 1175, MATCH("ExitMultiple", Simulations!$A$1:$BK$1, 0))</f>
        <v>7.5568510959368904</v>
      </c>
      <c r="C1175" s="2">
        <f ca="1">INDEX(Simulations!$A$1:$BK$2501, 1175, MATCH("RevCAGR", Simulations!$A$1:$BK$1, 0))</f>
        <v>8.0334768448658306E-2</v>
      </c>
      <c r="D1175" s="2">
        <f ca="1">INDEX(Simulations!$A$1:$BK$2501, 1175, MATCH("SynMargin", Simulations!$A$1:$BK$1, 0))</f>
        <v>0</v>
      </c>
      <c r="E1175" s="2">
        <f ca="1">INDEX(Simulations!$A$1:$BK$2501, 1175, MATCH("Yr1Shock", Simulations!$A$1:$BK$1, 0))</f>
        <v>-1.0749915050538546E-2</v>
      </c>
    </row>
    <row r="1176" spans="1:5" x14ac:dyDescent="0.3">
      <c r="A1176" s="2">
        <f ca="1">INDEX(Simulations!$A$1:$BK$2501, 1176, MATCH("PurchaseMultiple", Simulations!$A$1:$BK$1, 0))</f>
        <v>7.2133245242231681</v>
      </c>
      <c r="B1176" s="2">
        <f ca="1">INDEX(Simulations!$A$1:$BK$2501, 1176, MATCH("ExitMultiple", Simulations!$A$1:$BK$1, 0))</f>
        <v>7.3615142931746282</v>
      </c>
      <c r="C1176" s="2">
        <f ca="1">INDEX(Simulations!$A$1:$BK$2501, 1176, MATCH("RevCAGR", Simulations!$A$1:$BK$1, 0))</f>
        <v>6.6905829168269135E-3</v>
      </c>
      <c r="D1176" s="2">
        <f ca="1">INDEX(Simulations!$A$1:$BK$2501, 1176, MATCH("SynMargin", Simulations!$A$1:$BK$1, 0))</f>
        <v>4.23062655903436E-3</v>
      </c>
      <c r="E1176" s="2">
        <f ca="1">INDEX(Simulations!$A$1:$BK$2501, 1176, MATCH("Yr1Shock", Simulations!$A$1:$BK$1, 0))</f>
        <v>-9.0920189829107358E-3</v>
      </c>
    </row>
    <row r="1177" spans="1:5" x14ac:dyDescent="0.3">
      <c r="A1177" s="2">
        <f ca="1">INDEX(Simulations!$A$1:$BK$2501, 1177, MATCH("PurchaseMultiple", Simulations!$A$1:$BK$1, 0))</f>
        <v>6.8615779772659957</v>
      </c>
      <c r="B1177" s="2">
        <f ca="1">INDEX(Simulations!$A$1:$BK$2501, 1177, MATCH("ExitMultiple", Simulations!$A$1:$BK$1, 0))</f>
        <v>7.5723338348303209</v>
      </c>
      <c r="C1177" s="2">
        <f ca="1">INDEX(Simulations!$A$1:$BK$2501, 1177, MATCH("RevCAGR", Simulations!$A$1:$BK$1, 0))</f>
        <v>9.8666095241711667E-3</v>
      </c>
      <c r="D1177" s="2">
        <f ca="1">INDEX(Simulations!$A$1:$BK$2501, 1177, MATCH("SynMargin", Simulations!$A$1:$BK$1, 0))</f>
        <v>8.9310672372624553E-3</v>
      </c>
      <c r="E1177" s="2">
        <f ca="1">INDEX(Simulations!$A$1:$BK$2501, 1177, MATCH("Yr1Shock", Simulations!$A$1:$BK$1, 0))</f>
        <v>-1.3115580508605035E-3</v>
      </c>
    </row>
    <row r="1178" spans="1:5" x14ac:dyDescent="0.3">
      <c r="A1178" s="2">
        <f ca="1">INDEX(Simulations!$A$1:$BK$2501, 1178, MATCH("PurchaseMultiple", Simulations!$A$1:$BK$1, 0))</f>
        <v>7.71106509159429</v>
      </c>
      <c r="B1178" s="2">
        <f ca="1">INDEX(Simulations!$A$1:$BK$2501, 1178, MATCH("ExitMultiple", Simulations!$A$1:$BK$1, 0))</f>
        <v>7.2766079495120213</v>
      </c>
      <c r="C1178" s="2">
        <f ca="1">INDEX(Simulations!$A$1:$BK$2501, 1178, MATCH("RevCAGR", Simulations!$A$1:$BK$1, 0))</f>
        <v>3.4988362781429291E-2</v>
      </c>
      <c r="D1178" s="2">
        <f ca="1">INDEX(Simulations!$A$1:$BK$2501, 1178, MATCH("SynMargin", Simulations!$A$1:$BK$1, 0))</f>
        <v>7.8074536524783446E-3</v>
      </c>
      <c r="E1178" s="2">
        <f ca="1">INDEX(Simulations!$A$1:$BK$2501, 1178, MATCH("Yr1Shock", Simulations!$A$1:$BK$1, 0))</f>
        <v>-4.9673907972394009E-2</v>
      </c>
    </row>
    <row r="1179" spans="1:5" x14ac:dyDescent="0.3">
      <c r="A1179" s="2">
        <f ca="1">INDEX(Simulations!$A$1:$BK$2501, 1179, MATCH("PurchaseMultiple", Simulations!$A$1:$BK$1, 0))</f>
        <v>6.7257504050068375</v>
      </c>
      <c r="B1179" s="2">
        <f ca="1">INDEX(Simulations!$A$1:$BK$2501, 1179, MATCH("ExitMultiple", Simulations!$A$1:$BK$1, 0))</f>
        <v>7.5295069041269409</v>
      </c>
      <c r="C1179" s="2">
        <f ca="1">INDEX(Simulations!$A$1:$BK$2501, 1179, MATCH("RevCAGR", Simulations!$A$1:$BK$1, 0))</f>
        <v>5.1213947765787894E-2</v>
      </c>
      <c r="D1179" s="2">
        <f ca="1">INDEX(Simulations!$A$1:$BK$2501, 1179, MATCH("SynMargin", Simulations!$A$1:$BK$1, 0))</f>
        <v>1.3708783125494511E-2</v>
      </c>
      <c r="E1179" s="2">
        <f ca="1">INDEX(Simulations!$A$1:$BK$2501, 1179, MATCH("Yr1Shock", Simulations!$A$1:$BK$1, 0))</f>
        <v>-1.8532608215561332E-2</v>
      </c>
    </row>
    <row r="1180" spans="1:5" x14ac:dyDescent="0.3">
      <c r="A1180" s="2">
        <f ca="1">INDEX(Simulations!$A$1:$BK$2501, 1180, MATCH("PurchaseMultiple", Simulations!$A$1:$BK$1, 0))</f>
        <v>7.2006105023305285</v>
      </c>
      <c r="B1180" s="2">
        <f ca="1">INDEX(Simulations!$A$1:$BK$2501, 1180, MATCH("ExitMultiple", Simulations!$A$1:$BK$1, 0))</f>
        <v>7.5530778045453024</v>
      </c>
      <c r="C1180" s="2">
        <f ca="1">INDEX(Simulations!$A$1:$BK$2501, 1180, MATCH("RevCAGR", Simulations!$A$1:$BK$1, 0))</f>
        <v>1.3689746033159266E-2</v>
      </c>
      <c r="D1180" s="2">
        <f ca="1">INDEX(Simulations!$A$1:$BK$2501, 1180, MATCH("SynMargin", Simulations!$A$1:$BK$1, 0))</f>
        <v>2.8442558996142021E-3</v>
      </c>
      <c r="E1180" s="2">
        <f ca="1">INDEX(Simulations!$A$1:$BK$2501, 1180, MATCH("Yr1Shock", Simulations!$A$1:$BK$1, 0))</f>
        <v>-3.3745571649768373E-2</v>
      </c>
    </row>
    <row r="1181" spans="1:5" x14ac:dyDescent="0.3">
      <c r="A1181" s="2">
        <f ca="1">INDEX(Simulations!$A$1:$BK$2501, 1181, MATCH("PurchaseMultiple", Simulations!$A$1:$BK$1, 0))</f>
        <v>6.9913579903869145</v>
      </c>
      <c r="B1181" s="2">
        <f ca="1">INDEX(Simulations!$A$1:$BK$2501, 1181, MATCH("ExitMultiple", Simulations!$A$1:$BK$1, 0))</f>
        <v>7.9523023461415479</v>
      </c>
      <c r="C1181" s="2">
        <f ca="1">INDEX(Simulations!$A$1:$BK$2501, 1181, MATCH("RevCAGR", Simulations!$A$1:$BK$1, 0))</f>
        <v>-2.7764046249886126E-3</v>
      </c>
      <c r="D1181" s="2">
        <f ca="1">INDEX(Simulations!$A$1:$BK$2501, 1181, MATCH("SynMargin", Simulations!$A$1:$BK$1, 0))</f>
        <v>5.7020902583102056E-3</v>
      </c>
      <c r="E1181" s="2">
        <f ca="1">INDEX(Simulations!$A$1:$BK$2501, 1181, MATCH("Yr1Shock", Simulations!$A$1:$BK$1, 0))</f>
        <v>1.2888798109158797E-2</v>
      </c>
    </row>
    <row r="1182" spans="1:5" x14ac:dyDescent="0.3">
      <c r="A1182" s="2">
        <f ca="1">INDEX(Simulations!$A$1:$BK$2501, 1182, MATCH("PurchaseMultiple", Simulations!$A$1:$BK$1, 0))</f>
        <v>7.0355936126963563</v>
      </c>
      <c r="B1182" s="2">
        <f ca="1">INDEX(Simulations!$A$1:$BK$2501, 1182, MATCH("ExitMultiple", Simulations!$A$1:$BK$1, 0))</f>
        <v>7.2631064140433299</v>
      </c>
      <c r="C1182" s="2">
        <f ca="1">INDEX(Simulations!$A$1:$BK$2501, 1182, MATCH("RevCAGR", Simulations!$A$1:$BK$1, 0))</f>
        <v>2.7849819411579525E-2</v>
      </c>
      <c r="D1182" s="2">
        <f ca="1">INDEX(Simulations!$A$1:$BK$2501, 1182, MATCH("SynMargin", Simulations!$A$1:$BK$1, 0))</f>
        <v>1.0152997851967651E-2</v>
      </c>
      <c r="E1182" s="2">
        <f ca="1">INDEX(Simulations!$A$1:$BK$2501, 1182, MATCH("Yr1Shock", Simulations!$A$1:$BK$1, 0))</f>
        <v>-1.2858365047064705E-2</v>
      </c>
    </row>
    <row r="1183" spans="1:5" x14ac:dyDescent="0.3">
      <c r="A1183" s="2">
        <f ca="1">INDEX(Simulations!$A$1:$BK$2501, 1183, MATCH("PurchaseMultiple", Simulations!$A$1:$BK$1, 0))</f>
        <v>7.4122935993972092</v>
      </c>
      <c r="B1183" s="2">
        <f ca="1">INDEX(Simulations!$A$1:$BK$2501, 1183, MATCH("ExitMultiple", Simulations!$A$1:$BK$1, 0))</f>
        <v>7.2399982369078542</v>
      </c>
      <c r="C1183" s="2">
        <f ca="1">INDEX(Simulations!$A$1:$BK$2501, 1183, MATCH("RevCAGR", Simulations!$A$1:$BK$1, 0))</f>
        <v>4.3489638902982741E-2</v>
      </c>
      <c r="D1183" s="2">
        <f ca="1">INDEX(Simulations!$A$1:$BK$2501, 1183, MATCH("SynMargin", Simulations!$A$1:$BK$1, 0))</f>
        <v>1.4646808110511216E-2</v>
      </c>
      <c r="E1183" s="2">
        <f ca="1">INDEX(Simulations!$A$1:$BK$2501, 1183, MATCH("Yr1Shock", Simulations!$A$1:$BK$1, 0))</f>
        <v>-1.2200852538488407E-3</v>
      </c>
    </row>
    <row r="1184" spans="1:5" x14ac:dyDescent="0.3">
      <c r="A1184" s="2">
        <f ca="1">INDEX(Simulations!$A$1:$BK$2501, 1184, MATCH("PurchaseMultiple", Simulations!$A$1:$BK$1, 0))</f>
        <v>6.4553163661993418</v>
      </c>
      <c r="B1184" s="2">
        <f ca="1">INDEX(Simulations!$A$1:$BK$2501, 1184, MATCH("ExitMultiple", Simulations!$A$1:$BK$1, 0))</f>
        <v>7.6762437665751957</v>
      </c>
      <c r="C1184" s="2">
        <f ca="1">INDEX(Simulations!$A$1:$BK$2501, 1184, MATCH("RevCAGR", Simulations!$A$1:$BK$1, 0))</f>
        <v>2.3472597757537562E-2</v>
      </c>
      <c r="D1184" s="2">
        <f ca="1">INDEX(Simulations!$A$1:$BK$2501, 1184, MATCH("SynMargin", Simulations!$A$1:$BK$1, 0))</f>
        <v>2.3846826625083138E-3</v>
      </c>
      <c r="E1184" s="2">
        <f ca="1">INDEX(Simulations!$A$1:$BK$2501, 1184, MATCH("Yr1Shock", Simulations!$A$1:$BK$1, 0))</f>
        <v>8.3702999522282245E-3</v>
      </c>
    </row>
    <row r="1185" spans="1:5" x14ac:dyDescent="0.3">
      <c r="A1185" s="2">
        <f ca="1">INDEX(Simulations!$A$1:$BK$2501, 1185, MATCH("PurchaseMultiple", Simulations!$A$1:$BK$1, 0))</f>
        <v>6.8358476627183595</v>
      </c>
      <c r="B1185" s="2">
        <f ca="1">INDEX(Simulations!$A$1:$BK$2501, 1185, MATCH("ExitMultiple", Simulations!$A$1:$BK$1, 0))</f>
        <v>6.9170208763051768</v>
      </c>
      <c r="C1185" s="2">
        <f ca="1">INDEX(Simulations!$A$1:$BK$2501, 1185, MATCH("RevCAGR", Simulations!$A$1:$BK$1, 0))</f>
        <v>5.133738257688393E-2</v>
      </c>
      <c r="D1185" s="2">
        <f ca="1">INDEX(Simulations!$A$1:$BK$2501, 1185, MATCH("SynMargin", Simulations!$A$1:$BK$1, 0))</f>
        <v>1.0388212380415976E-2</v>
      </c>
      <c r="E1185" s="2">
        <f ca="1">INDEX(Simulations!$A$1:$BK$2501, 1185, MATCH("Yr1Shock", Simulations!$A$1:$BK$1, 0))</f>
        <v>2.8386316857894261E-2</v>
      </c>
    </row>
    <row r="1186" spans="1:5" x14ac:dyDescent="0.3">
      <c r="A1186" s="2">
        <f ca="1">INDEX(Simulations!$A$1:$BK$2501, 1186, MATCH("PurchaseMultiple", Simulations!$A$1:$BK$1, 0))</f>
        <v>7.1115215377475023</v>
      </c>
      <c r="B1186" s="2">
        <f ca="1">INDEX(Simulations!$A$1:$BK$2501, 1186, MATCH("ExitMultiple", Simulations!$A$1:$BK$1, 0))</f>
        <v>7.7877289156985077</v>
      </c>
      <c r="C1186" s="2">
        <f ca="1">INDEX(Simulations!$A$1:$BK$2501, 1186, MATCH("RevCAGR", Simulations!$A$1:$BK$1, 0))</f>
        <v>1.882855103420273E-2</v>
      </c>
      <c r="D1186" s="2">
        <f ca="1">INDEX(Simulations!$A$1:$BK$2501, 1186, MATCH("SynMargin", Simulations!$A$1:$BK$1, 0))</f>
        <v>1.6770056798814381E-2</v>
      </c>
      <c r="E1186" s="2">
        <f ca="1">INDEX(Simulations!$A$1:$BK$2501, 1186, MATCH("Yr1Shock", Simulations!$A$1:$BK$1, 0))</f>
        <v>-3.0207250069674046E-2</v>
      </c>
    </row>
    <row r="1187" spans="1:5" x14ac:dyDescent="0.3">
      <c r="A1187" s="2">
        <f ca="1">INDEX(Simulations!$A$1:$BK$2501, 1187, MATCH("PurchaseMultiple", Simulations!$A$1:$BK$1, 0))</f>
        <v>6.898115743128943</v>
      </c>
      <c r="B1187" s="2">
        <f ca="1">INDEX(Simulations!$A$1:$BK$2501, 1187, MATCH("ExitMultiple", Simulations!$A$1:$BK$1, 0))</f>
        <v>7.294338496482264</v>
      </c>
      <c r="C1187" s="2">
        <f ca="1">INDEX(Simulations!$A$1:$BK$2501, 1187, MATCH("RevCAGR", Simulations!$A$1:$BK$1, 0))</f>
        <v>6.9256896705176305E-2</v>
      </c>
      <c r="D1187" s="2">
        <f ca="1">INDEX(Simulations!$A$1:$BK$2501, 1187, MATCH("SynMargin", Simulations!$A$1:$BK$1, 0))</f>
        <v>9.5827071115272833E-3</v>
      </c>
      <c r="E1187" s="2">
        <f ca="1">INDEX(Simulations!$A$1:$BK$2501, 1187, MATCH("Yr1Shock", Simulations!$A$1:$BK$1, 0))</f>
        <v>-3.2964355460791614E-2</v>
      </c>
    </row>
    <row r="1188" spans="1:5" x14ac:dyDescent="0.3">
      <c r="A1188" s="2">
        <f ca="1">INDEX(Simulations!$A$1:$BK$2501, 1188, MATCH("PurchaseMultiple", Simulations!$A$1:$BK$1, 0))</f>
        <v>6.5723452494746732</v>
      </c>
      <c r="B1188" s="2">
        <f ca="1">INDEX(Simulations!$A$1:$BK$2501, 1188, MATCH("ExitMultiple", Simulations!$A$1:$BK$1, 0))</f>
        <v>8.2705622321590582</v>
      </c>
      <c r="C1188" s="2">
        <f ca="1">INDEX(Simulations!$A$1:$BK$2501, 1188, MATCH("RevCAGR", Simulations!$A$1:$BK$1, 0))</f>
        <v>2.9792685564762209E-2</v>
      </c>
      <c r="D1188" s="2">
        <f ca="1">INDEX(Simulations!$A$1:$BK$2501, 1188, MATCH("SynMargin", Simulations!$A$1:$BK$1, 0))</f>
        <v>6.6577052486846509E-3</v>
      </c>
      <c r="E1188" s="2">
        <f ca="1">INDEX(Simulations!$A$1:$BK$2501, 1188, MATCH("Yr1Shock", Simulations!$A$1:$BK$1, 0))</f>
        <v>1.9077023476102638E-2</v>
      </c>
    </row>
    <row r="1189" spans="1:5" x14ac:dyDescent="0.3">
      <c r="A1189" s="2">
        <f ca="1">INDEX(Simulations!$A$1:$BK$2501, 1189, MATCH("PurchaseMultiple", Simulations!$A$1:$BK$1, 0))</f>
        <v>7.3364997647373205</v>
      </c>
      <c r="B1189" s="2">
        <f ca="1">INDEX(Simulations!$A$1:$BK$2501, 1189, MATCH("ExitMultiple", Simulations!$A$1:$BK$1, 0))</f>
        <v>7.5864176088320754</v>
      </c>
      <c r="C1189" s="2">
        <f ca="1">INDEX(Simulations!$A$1:$BK$2501, 1189, MATCH("RevCAGR", Simulations!$A$1:$BK$1, 0))</f>
        <v>4.6740188750575458E-2</v>
      </c>
      <c r="D1189" s="2">
        <f ca="1">INDEX(Simulations!$A$1:$BK$2501, 1189, MATCH("SynMargin", Simulations!$A$1:$BK$1, 0))</f>
        <v>8.0607364600546738E-3</v>
      </c>
      <c r="E1189" s="2">
        <f ca="1">INDEX(Simulations!$A$1:$BK$2501, 1189, MATCH("Yr1Shock", Simulations!$A$1:$BK$1, 0))</f>
        <v>-1.6716476899726537E-2</v>
      </c>
    </row>
    <row r="1190" spans="1:5" x14ac:dyDescent="0.3">
      <c r="A1190" s="2">
        <f ca="1">INDEX(Simulations!$A$1:$BK$2501, 1190, MATCH("PurchaseMultiple", Simulations!$A$1:$BK$1, 0))</f>
        <v>6.1525808485911888</v>
      </c>
      <c r="B1190" s="2">
        <f ca="1">INDEX(Simulations!$A$1:$BK$2501, 1190, MATCH("ExitMultiple", Simulations!$A$1:$BK$1, 0))</f>
        <v>8.4585941718219058</v>
      </c>
      <c r="C1190" s="2">
        <f ca="1">INDEX(Simulations!$A$1:$BK$2501, 1190, MATCH("RevCAGR", Simulations!$A$1:$BK$1, 0))</f>
        <v>9.3884619360754706E-2</v>
      </c>
      <c r="D1190" s="2">
        <f ca="1">INDEX(Simulations!$A$1:$BK$2501, 1190, MATCH("SynMargin", Simulations!$A$1:$BK$1, 0))</f>
        <v>7.9698416020292824E-3</v>
      </c>
      <c r="E1190" s="2">
        <f ca="1">INDEX(Simulations!$A$1:$BK$2501, 1190, MATCH("Yr1Shock", Simulations!$A$1:$BK$1, 0))</f>
        <v>2.1886188300221928E-2</v>
      </c>
    </row>
    <row r="1191" spans="1:5" x14ac:dyDescent="0.3">
      <c r="A1191" s="2">
        <f ca="1">INDEX(Simulations!$A$1:$BK$2501, 1191, MATCH("PurchaseMultiple", Simulations!$A$1:$BK$1, 0))</f>
        <v>6.6822616237411481</v>
      </c>
      <c r="B1191" s="2">
        <f ca="1">INDEX(Simulations!$A$1:$BK$2501, 1191, MATCH("ExitMultiple", Simulations!$A$1:$BK$1, 0))</f>
        <v>6.8955035314162192</v>
      </c>
      <c r="C1191" s="2">
        <f ca="1">INDEX(Simulations!$A$1:$BK$2501, 1191, MATCH("RevCAGR", Simulations!$A$1:$BK$1, 0))</f>
        <v>6.4842862199796125E-2</v>
      </c>
      <c r="D1191" s="2">
        <f ca="1">INDEX(Simulations!$A$1:$BK$2501, 1191, MATCH("SynMargin", Simulations!$A$1:$BK$1, 0))</f>
        <v>5.7908652492407861E-3</v>
      </c>
      <c r="E1191" s="2">
        <f ca="1">INDEX(Simulations!$A$1:$BK$2501, 1191, MATCH("Yr1Shock", Simulations!$A$1:$BK$1, 0))</f>
        <v>-2.1916990647302587E-2</v>
      </c>
    </row>
    <row r="1192" spans="1:5" x14ac:dyDescent="0.3">
      <c r="A1192" s="2">
        <f ca="1">INDEX(Simulations!$A$1:$BK$2501, 1192, MATCH("PurchaseMultiple", Simulations!$A$1:$BK$1, 0))</f>
        <v>6.4210315200511703</v>
      </c>
      <c r="B1192" s="2">
        <f ca="1">INDEX(Simulations!$A$1:$BK$2501, 1192, MATCH("ExitMultiple", Simulations!$A$1:$BK$1, 0))</f>
        <v>7.6010161005501571</v>
      </c>
      <c r="C1192" s="2">
        <f ca="1">INDEX(Simulations!$A$1:$BK$2501, 1192, MATCH("RevCAGR", Simulations!$A$1:$BK$1, 0))</f>
        <v>6.9396183570709022E-2</v>
      </c>
      <c r="D1192" s="2">
        <f ca="1">INDEX(Simulations!$A$1:$BK$2501, 1192, MATCH("SynMargin", Simulations!$A$1:$BK$1, 0))</f>
        <v>1.5427411519918478E-2</v>
      </c>
      <c r="E1192" s="2">
        <f ca="1">INDEX(Simulations!$A$1:$BK$2501, 1192, MATCH("Yr1Shock", Simulations!$A$1:$BK$1, 0))</f>
        <v>-1.2354381187880016E-2</v>
      </c>
    </row>
    <row r="1193" spans="1:5" x14ac:dyDescent="0.3">
      <c r="A1193" s="2">
        <f ca="1">INDEX(Simulations!$A$1:$BK$2501, 1193, MATCH("PurchaseMultiple", Simulations!$A$1:$BK$1, 0))</f>
        <v>7.0334429982193534</v>
      </c>
      <c r="B1193" s="2">
        <f ca="1">INDEX(Simulations!$A$1:$BK$2501, 1193, MATCH("ExitMultiple", Simulations!$A$1:$BK$1, 0))</f>
        <v>7.6457725311525486</v>
      </c>
      <c r="C1193" s="2">
        <f ca="1">INDEX(Simulations!$A$1:$BK$2501, 1193, MATCH("RevCAGR", Simulations!$A$1:$BK$1, 0))</f>
        <v>5.721779755451431E-2</v>
      </c>
      <c r="D1193" s="2">
        <f ca="1">INDEX(Simulations!$A$1:$BK$2501, 1193, MATCH("SynMargin", Simulations!$A$1:$BK$1, 0))</f>
        <v>7.5177862972561488E-3</v>
      </c>
      <c r="E1193" s="2">
        <f ca="1">INDEX(Simulations!$A$1:$BK$2501, 1193, MATCH("Yr1Shock", Simulations!$A$1:$BK$1, 0))</f>
        <v>-1.0928165368968146E-2</v>
      </c>
    </row>
    <row r="1194" spans="1:5" x14ac:dyDescent="0.3">
      <c r="A1194" s="2">
        <f ca="1">INDEX(Simulations!$A$1:$BK$2501, 1194, MATCH("PurchaseMultiple", Simulations!$A$1:$BK$1, 0))</f>
        <v>7.1348907766791108</v>
      </c>
      <c r="B1194" s="2">
        <f ca="1">INDEX(Simulations!$A$1:$BK$2501, 1194, MATCH("ExitMultiple", Simulations!$A$1:$BK$1, 0))</f>
        <v>7.8215503409484128</v>
      </c>
      <c r="C1194" s="2">
        <f ca="1">INDEX(Simulations!$A$1:$BK$2501, 1194, MATCH("RevCAGR", Simulations!$A$1:$BK$1, 0))</f>
        <v>6.5473396383913543E-2</v>
      </c>
      <c r="D1194" s="2">
        <f ca="1">INDEX(Simulations!$A$1:$BK$2501, 1194, MATCH("SynMargin", Simulations!$A$1:$BK$1, 0))</f>
        <v>6.8906014430854109E-3</v>
      </c>
      <c r="E1194" s="2">
        <f ca="1">INDEX(Simulations!$A$1:$BK$2501, 1194, MATCH("Yr1Shock", Simulations!$A$1:$BK$1, 0))</f>
        <v>9.7035361614205007E-3</v>
      </c>
    </row>
    <row r="1195" spans="1:5" x14ac:dyDescent="0.3">
      <c r="A1195" s="2">
        <f ca="1">INDEX(Simulations!$A$1:$BK$2501, 1195, MATCH("PurchaseMultiple", Simulations!$A$1:$BK$1, 0))</f>
        <v>6.9907514595816309</v>
      </c>
      <c r="B1195" s="2">
        <f ca="1">INDEX(Simulations!$A$1:$BK$2501, 1195, MATCH("ExitMultiple", Simulations!$A$1:$BK$1, 0))</f>
        <v>7.0044677534211148</v>
      </c>
      <c r="C1195" s="2">
        <f ca="1">INDEX(Simulations!$A$1:$BK$2501, 1195, MATCH("RevCAGR", Simulations!$A$1:$BK$1, 0))</f>
        <v>-0.02</v>
      </c>
      <c r="D1195" s="2">
        <f ca="1">INDEX(Simulations!$A$1:$BK$2501, 1195, MATCH("SynMargin", Simulations!$A$1:$BK$1, 0))</f>
        <v>9.0183688365915986E-3</v>
      </c>
      <c r="E1195" s="2">
        <f ca="1">INDEX(Simulations!$A$1:$BK$2501, 1195, MATCH("Yr1Shock", Simulations!$A$1:$BK$1, 0))</f>
        <v>-4.7787740737911654E-3</v>
      </c>
    </row>
    <row r="1196" spans="1:5" x14ac:dyDescent="0.3">
      <c r="A1196" s="2">
        <f ca="1">INDEX(Simulations!$A$1:$BK$2501, 1196, MATCH("PurchaseMultiple", Simulations!$A$1:$BK$1, 0))</f>
        <v>6.6463956248716967</v>
      </c>
      <c r="B1196" s="2">
        <f ca="1">INDEX(Simulations!$A$1:$BK$2501, 1196, MATCH("ExitMultiple", Simulations!$A$1:$BK$1, 0))</f>
        <v>7.3826950148671315</v>
      </c>
      <c r="C1196" s="2">
        <f ca="1">INDEX(Simulations!$A$1:$BK$2501, 1196, MATCH("RevCAGR", Simulations!$A$1:$BK$1, 0))</f>
        <v>4.3887788343407744E-2</v>
      </c>
      <c r="D1196" s="2">
        <f ca="1">INDEX(Simulations!$A$1:$BK$2501, 1196, MATCH("SynMargin", Simulations!$A$1:$BK$1, 0))</f>
        <v>1.165622049585591E-2</v>
      </c>
      <c r="E1196" s="2">
        <f ca="1">INDEX(Simulations!$A$1:$BK$2501, 1196, MATCH("Yr1Shock", Simulations!$A$1:$BK$1, 0))</f>
        <v>3.3952363572855603E-2</v>
      </c>
    </row>
    <row r="1197" spans="1:5" x14ac:dyDescent="0.3">
      <c r="A1197" s="2">
        <f ca="1">INDEX(Simulations!$A$1:$BK$2501, 1197, MATCH("PurchaseMultiple", Simulations!$A$1:$BK$1, 0))</f>
        <v>6.9341301310088772</v>
      </c>
      <c r="B1197" s="2">
        <f ca="1">INDEX(Simulations!$A$1:$BK$2501, 1197, MATCH("ExitMultiple", Simulations!$A$1:$BK$1, 0))</f>
        <v>8.0479895036707116</v>
      </c>
      <c r="C1197" s="2">
        <f ca="1">INDEX(Simulations!$A$1:$BK$2501, 1197, MATCH("RevCAGR", Simulations!$A$1:$BK$1, 0))</f>
        <v>7.7787601897730818E-2</v>
      </c>
      <c r="D1197" s="2">
        <f ca="1">INDEX(Simulations!$A$1:$BK$2501, 1197, MATCH("SynMargin", Simulations!$A$1:$BK$1, 0))</f>
        <v>5.5837344880723724E-3</v>
      </c>
      <c r="E1197" s="2">
        <f ca="1">INDEX(Simulations!$A$1:$BK$2501, 1197, MATCH("Yr1Shock", Simulations!$A$1:$BK$1, 0))</f>
        <v>-4.2353809667770123E-2</v>
      </c>
    </row>
    <row r="1198" spans="1:5" x14ac:dyDescent="0.3">
      <c r="A1198" s="2">
        <f ca="1">INDEX(Simulations!$A$1:$BK$2501, 1198, MATCH("PurchaseMultiple", Simulations!$A$1:$BK$1, 0))</f>
        <v>6.7052202937368817</v>
      </c>
      <c r="B1198" s="2">
        <f ca="1">INDEX(Simulations!$A$1:$BK$2501, 1198, MATCH("ExitMultiple", Simulations!$A$1:$BK$1, 0))</f>
        <v>7.175811503616961</v>
      </c>
      <c r="C1198" s="2">
        <f ca="1">INDEX(Simulations!$A$1:$BK$2501, 1198, MATCH("RevCAGR", Simulations!$A$1:$BK$1, 0))</f>
        <v>3.8857845712716096E-2</v>
      </c>
      <c r="D1198" s="2">
        <f ca="1">INDEX(Simulations!$A$1:$BK$2501, 1198, MATCH("SynMargin", Simulations!$A$1:$BK$1, 0))</f>
        <v>1.2520391878277111E-2</v>
      </c>
      <c r="E1198" s="2">
        <f ca="1">INDEX(Simulations!$A$1:$BK$2501, 1198, MATCH("Yr1Shock", Simulations!$A$1:$BK$1, 0))</f>
        <v>-1.0154423681999942E-2</v>
      </c>
    </row>
    <row r="1199" spans="1:5" x14ac:dyDescent="0.3">
      <c r="A1199" s="2">
        <f ca="1">INDEX(Simulations!$A$1:$BK$2501, 1199, MATCH("PurchaseMultiple", Simulations!$A$1:$BK$1, 0))</f>
        <v>7.1382779580335196</v>
      </c>
      <c r="B1199" s="2">
        <f ca="1">INDEX(Simulations!$A$1:$BK$2501, 1199, MATCH("ExitMultiple", Simulations!$A$1:$BK$1, 0))</f>
        <v>7.4626264165893295</v>
      </c>
      <c r="C1199" s="2">
        <f ca="1">INDEX(Simulations!$A$1:$BK$2501, 1199, MATCH("RevCAGR", Simulations!$A$1:$BK$1, 0))</f>
        <v>2.4121793319987629E-2</v>
      </c>
      <c r="D1199" s="2">
        <f ca="1">INDEX(Simulations!$A$1:$BK$2501, 1199, MATCH("SynMargin", Simulations!$A$1:$BK$1, 0))</f>
        <v>9.5734835811758477E-3</v>
      </c>
      <c r="E1199" s="2">
        <f ca="1">INDEX(Simulations!$A$1:$BK$2501, 1199, MATCH("Yr1Shock", Simulations!$A$1:$BK$1, 0))</f>
        <v>2.0853297070582266E-2</v>
      </c>
    </row>
    <row r="1200" spans="1:5" x14ac:dyDescent="0.3">
      <c r="A1200" s="2">
        <f ca="1">INDEX(Simulations!$A$1:$BK$2501, 1200, MATCH("PurchaseMultiple", Simulations!$A$1:$BK$1, 0))</f>
        <v>6.9955140574688368</v>
      </c>
      <c r="B1200" s="2">
        <f ca="1">INDEX(Simulations!$A$1:$BK$2501, 1200, MATCH("ExitMultiple", Simulations!$A$1:$BK$1, 0))</f>
        <v>6.8235634093103492</v>
      </c>
      <c r="C1200" s="2">
        <f ca="1">INDEX(Simulations!$A$1:$BK$2501, 1200, MATCH("RevCAGR", Simulations!$A$1:$BK$1, 0))</f>
        <v>1.4796792943742736E-2</v>
      </c>
      <c r="D1200" s="2">
        <f ca="1">INDEX(Simulations!$A$1:$BK$2501, 1200, MATCH("SynMargin", Simulations!$A$1:$BK$1, 0))</f>
        <v>1.4674087398510605E-2</v>
      </c>
      <c r="E1200" s="2">
        <f ca="1">INDEX(Simulations!$A$1:$BK$2501, 1200, MATCH("Yr1Shock", Simulations!$A$1:$BK$1, 0))</f>
        <v>-1.7727739178593417E-2</v>
      </c>
    </row>
    <row r="1201" spans="1:5" x14ac:dyDescent="0.3">
      <c r="A1201" s="2">
        <f ca="1">INDEX(Simulations!$A$1:$BK$2501, 1201, MATCH("PurchaseMultiple", Simulations!$A$1:$BK$1, 0))</f>
        <v>7.1732731497596056</v>
      </c>
      <c r="B1201" s="2">
        <f ca="1">INDEX(Simulations!$A$1:$BK$2501, 1201, MATCH("ExitMultiple", Simulations!$A$1:$BK$1, 0))</f>
        <v>7.4735384123424549</v>
      </c>
      <c r="C1201" s="2">
        <f ca="1">INDEX(Simulations!$A$1:$BK$2501, 1201, MATCH("RevCAGR", Simulations!$A$1:$BK$1, 0))</f>
        <v>3.0813259674323107E-3</v>
      </c>
      <c r="D1201" s="2">
        <f ca="1">INDEX(Simulations!$A$1:$BK$2501, 1201, MATCH("SynMargin", Simulations!$A$1:$BK$1, 0))</f>
        <v>8.2130964274375849E-3</v>
      </c>
      <c r="E1201" s="2">
        <f ca="1">INDEX(Simulations!$A$1:$BK$2501, 1201, MATCH("Yr1Shock", Simulations!$A$1:$BK$1, 0))</f>
        <v>2.02478334021573E-2</v>
      </c>
    </row>
    <row r="1202" spans="1:5" x14ac:dyDescent="0.3">
      <c r="A1202" s="2">
        <f ca="1">INDEX(Simulations!$A$1:$BK$2501, 1202, MATCH("PurchaseMultiple", Simulations!$A$1:$BK$1, 0))</f>
        <v>6.5028433675739521</v>
      </c>
      <c r="B1202" s="2">
        <f ca="1">INDEX(Simulations!$A$1:$BK$2501, 1202, MATCH("ExitMultiple", Simulations!$A$1:$BK$1, 0))</f>
        <v>8.0409996538327793</v>
      </c>
      <c r="C1202" s="2">
        <f ca="1">INDEX(Simulations!$A$1:$BK$2501, 1202, MATCH("RevCAGR", Simulations!$A$1:$BK$1, 0))</f>
        <v>1.899850089390473E-2</v>
      </c>
      <c r="D1202" s="2">
        <f ca="1">INDEX(Simulations!$A$1:$BK$2501, 1202, MATCH("SynMargin", Simulations!$A$1:$BK$1, 0))</f>
        <v>5.7176553139715435E-3</v>
      </c>
      <c r="E1202" s="2">
        <f ca="1">INDEX(Simulations!$A$1:$BK$2501, 1202, MATCH("Yr1Shock", Simulations!$A$1:$BK$1, 0))</f>
        <v>-3.8138347462194827E-2</v>
      </c>
    </row>
    <row r="1203" spans="1:5" x14ac:dyDescent="0.3">
      <c r="A1203" s="2">
        <f ca="1">INDEX(Simulations!$A$1:$BK$2501, 1203, MATCH("PurchaseMultiple", Simulations!$A$1:$BK$1, 0))</f>
        <v>7.0071477790767798</v>
      </c>
      <c r="B1203" s="2">
        <f ca="1">INDEX(Simulations!$A$1:$BK$2501, 1203, MATCH("ExitMultiple", Simulations!$A$1:$BK$1, 0))</f>
        <v>8.3649038559486897</v>
      </c>
      <c r="C1203" s="2">
        <f ca="1">INDEX(Simulations!$A$1:$BK$2501, 1203, MATCH("RevCAGR", Simulations!$A$1:$BK$1, 0))</f>
        <v>6.9362427879730626E-2</v>
      </c>
      <c r="D1203" s="2">
        <f ca="1">INDEX(Simulations!$A$1:$BK$2501, 1203, MATCH("SynMargin", Simulations!$A$1:$BK$1, 0))</f>
        <v>7.3895701105622397E-3</v>
      </c>
      <c r="E1203" s="2">
        <f ca="1">INDEX(Simulations!$A$1:$BK$2501, 1203, MATCH("Yr1Shock", Simulations!$A$1:$BK$1, 0))</f>
        <v>-1.0956397811104652E-2</v>
      </c>
    </row>
    <row r="1204" spans="1:5" x14ac:dyDescent="0.3">
      <c r="A1204" s="2">
        <f ca="1">INDEX(Simulations!$A$1:$BK$2501, 1204, MATCH("PurchaseMultiple", Simulations!$A$1:$BK$1, 0))</f>
        <v>7.685386398016675</v>
      </c>
      <c r="B1204" s="2">
        <f ca="1">INDEX(Simulations!$A$1:$BK$2501, 1204, MATCH("ExitMultiple", Simulations!$A$1:$BK$1, 0))</f>
        <v>7.7075452123755825</v>
      </c>
      <c r="C1204" s="2">
        <f ca="1">INDEX(Simulations!$A$1:$BK$2501, 1204, MATCH("RevCAGR", Simulations!$A$1:$BK$1, 0))</f>
        <v>5.1643636214427247E-2</v>
      </c>
      <c r="D1204" s="2">
        <f ca="1">INDEX(Simulations!$A$1:$BK$2501, 1204, MATCH("SynMargin", Simulations!$A$1:$BK$1, 0))</f>
        <v>1.3417573688731435E-2</v>
      </c>
      <c r="E1204" s="2">
        <f ca="1">INDEX(Simulations!$A$1:$BK$2501, 1204, MATCH("Yr1Shock", Simulations!$A$1:$BK$1, 0))</f>
        <v>-3.008176692124119E-2</v>
      </c>
    </row>
    <row r="1205" spans="1:5" x14ac:dyDescent="0.3">
      <c r="A1205" s="2">
        <f ca="1">INDEX(Simulations!$A$1:$BK$2501, 1205, MATCH("PurchaseMultiple", Simulations!$A$1:$BK$1, 0))</f>
        <v>7.2070133209763432</v>
      </c>
      <c r="B1205" s="2">
        <f ca="1">INDEX(Simulations!$A$1:$BK$2501, 1205, MATCH("ExitMultiple", Simulations!$A$1:$BK$1, 0))</f>
        <v>7.4883177456812362</v>
      </c>
      <c r="C1205" s="2">
        <f ca="1">INDEX(Simulations!$A$1:$BK$2501, 1205, MATCH("RevCAGR", Simulations!$A$1:$BK$1, 0))</f>
        <v>3.7187488144439201E-2</v>
      </c>
      <c r="D1205" s="2">
        <f ca="1">INDEX(Simulations!$A$1:$BK$2501, 1205, MATCH("SynMargin", Simulations!$A$1:$BK$1, 0))</f>
        <v>1.5130849219138895E-2</v>
      </c>
      <c r="E1205" s="2">
        <f ca="1">INDEX(Simulations!$A$1:$BK$2501, 1205, MATCH("Yr1Shock", Simulations!$A$1:$BK$1, 0))</f>
        <v>1.8455973578676912E-3</v>
      </c>
    </row>
    <row r="1206" spans="1:5" x14ac:dyDescent="0.3">
      <c r="A1206" s="2">
        <f ca="1">INDEX(Simulations!$A$1:$BK$2501, 1206, MATCH("PurchaseMultiple", Simulations!$A$1:$BK$1, 0))</f>
        <v>6.878566297733939</v>
      </c>
      <c r="B1206" s="2">
        <f ca="1">INDEX(Simulations!$A$1:$BK$2501, 1206, MATCH("ExitMultiple", Simulations!$A$1:$BK$1, 0))</f>
        <v>7.7954596673419658</v>
      </c>
      <c r="C1206" s="2">
        <f ca="1">INDEX(Simulations!$A$1:$BK$2501, 1206, MATCH("RevCAGR", Simulations!$A$1:$BK$1, 0))</f>
        <v>2.1245536535759144E-2</v>
      </c>
      <c r="D1206" s="2">
        <f ca="1">INDEX(Simulations!$A$1:$BK$2501, 1206, MATCH("SynMargin", Simulations!$A$1:$BK$1, 0))</f>
        <v>1.6340225398695077E-2</v>
      </c>
      <c r="E1206" s="2">
        <f ca="1">INDEX(Simulations!$A$1:$BK$2501, 1206, MATCH("Yr1Shock", Simulations!$A$1:$BK$1, 0))</f>
        <v>8.8543647107994193E-3</v>
      </c>
    </row>
    <row r="1207" spans="1:5" x14ac:dyDescent="0.3">
      <c r="A1207" s="2">
        <f ca="1">INDEX(Simulations!$A$1:$BK$2501, 1207, MATCH("PurchaseMultiple", Simulations!$A$1:$BK$1, 0))</f>
        <v>7.1345104504270811</v>
      </c>
      <c r="B1207" s="2">
        <f ca="1">INDEX(Simulations!$A$1:$BK$2501, 1207, MATCH("ExitMultiple", Simulations!$A$1:$BK$1, 0))</f>
        <v>7.0076499377692869</v>
      </c>
      <c r="C1207" s="2">
        <f ca="1">INDEX(Simulations!$A$1:$BK$2501, 1207, MATCH("RevCAGR", Simulations!$A$1:$BK$1, 0))</f>
        <v>-8.8131312229383849E-3</v>
      </c>
      <c r="D1207" s="2">
        <f ca="1">INDEX(Simulations!$A$1:$BK$2501, 1207, MATCH("SynMargin", Simulations!$A$1:$BK$1, 0))</f>
        <v>1.3799921778381236E-2</v>
      </c>
      <c r="E1207" s="2">
        <f ca="1">INDEX(Simulations!$A$1:$BK$2501, 1207, MATCH("Yr1Shock", Simulations!$A$1:$BK$1, 0))</f>
        <v>-9.2826196343090278E-3</v>
      </c>
    </row>
    <row r="1208" spans="1:5" x14ac:dyDescent="0.3">
      <c r="A1208" s="2">
        <f ca="1">INDEX(Simulations!$A$1:$BK$2501, 1208, MATCH("PurchaseMultiple", Simulations!$A$1:$BK$1, 0))</f>
        <v>7.004690993998814</v>
      </c>
      <c r="B1208" s="2">
        <f ca="1">INDEX(Simulations!$A$1:$BK$2501, 1208, MATCH("ExitMultiple", Simulations!$A$1:$BK$1, 0))</f>
        <v>7.1242687424798179</v>
      </c>
      <c r="C1208" s="2">
        <f ca="1">INDEX(Simulations!$A$1:$BK$2501, 1208, MATCH("RevCAGR", Simulations!$A$1:$BK$1, 0))</f>
        <v>4.679164507601815E-2</v>
      </c>
      <c r="D1208" s="2">
        <f ca="1">INDEX(Simulations!$A$1:$BK$2501, 1208, MATCH("SynMargin", Simulations!$A$1:$BK$1, 0))</f>
        <v>1.7265896061497366E-2</v>
      </c>
      <c r="E1208" s="2">
        <f ca="1">INDEX(Simulations!$A$1:$BK$2501, 1208, MATCH("Yr1Shock", Simulations!$A$1:$BK$1, 0))</f>
        <v>6.4001175398095212E-3</v>
      </c>
    </row>
    <row r="1209" spans="1:5" x14ac:dyDescent="0.3">
      <c r="A1209" s="2">
        <f ca="1">INDEX(Simulations!$A$1:$BK$2501, 1209, MATCH("PurchaseMultiple", Simulations!$A$1:$BK$1, 0))</f>
        <v>6.83148099662876</v>
      </c>
      <c r="B1209" s="2">
        <f ca="1">INDEX(Simulations!$A$1:$BK$2501, 1209, MATCH("ExitMultiple", Simulations!$A$1:$BK$1, 0))</f>
        <v>7.3512363354032448</v>
      </c>
      <c r="C1209" s="2">
        <f ca="1">INDEX(Simulations!$A$1:$BK$2501, 1209, MATCH("RevCAGR", Simulations!$A$1:$BK$1, 0))</f>
        <v>3.7306346289671999E-2</v>
      </c>
      <c r="D1209" s="2">
        <f ca="1">INDEX(Simulations!$A$1:$BK$2501, 1209, MATCH("SynMargin", Simulations!$A$1:$BK$1, 0))</f>
        <v>2.1098091909707607E-2</v>
      </c>
      <c r="E1209" s="2">
        <f ca="1">INDEX(Simulations!$A$1:$BK$2501, 1209, MATCH("Yr1Shock", Simulations!$A$1:$BK$1, 0))</f>
        <v>-5.599911948376838E-3</v>
      </c>
    </row>
    <row r="1210" spans="1:5" x14ac:dyDescent="0.3">
      <c r="A1210" s="2">
        <f ca="1">INDEX(Simulations!$A$1:$BK$2501, 1210, MATCH("PurchaseMultiple", Simulations!$A$1:$BK$1, 0))</f>
        <v>7.1165299799756427</v>
      </c>
      <c r="B1210" s="2">
        <f ca="1">INDEX(Simulations!$A$1:$BK$2501, 1210, MATCH("ExitMultiple", Simulations!$A$1:$BK$1, 0))</f>
        <v>6.9523781133705578</v>
      </c>
      <c r="C1210" s="2">
        <f ca="1">INDEX(Simulations!$A$1:$BK$2501, 1210, MATCH("RevCAGR", Simulations!$A$1:$BK$1, 0))</f>
        <v>6.9724503885968236E-2</v>
      </c>
      <c r="D1210" s="2">
        <f ca="1">INDEX(Simulations!$A$1:$BK$2501, 1210, MATCH("SynMargin", Simulations!$A$1:$BK$1, 0))</f>
        <v>1.5203852180338071E-2</v>
      </c>
      <c r="E1210" s="2">
        <f ca="1">INDEX(Simulations!$A$1:$BK$2501, 1210, MATCH("Yr1Shock", Simulations!$A$1:$BK$1, 0))</f>
        <v>-1.8559306148913336E-3</v>
      </c>
    </row>
    <row r="1211" spans="1:5" x14ac:dyDescent="0.3">
      <c r="A1211" s="2">
        <f ca="1">INDEX(Simulations!$A$1:$BK$2501, 1211, MATCH("PurchaseMultiple", Simulations!$A$1:$BK$1, 0))</f>
        <v>7.005476619645493</v>
      </c>
      <c r="B1211" s="2">
        <f ca="1">INDEX(Simulations!$A$1:$BK$2501, 1211, MATCH("ExitMultiple", Simulations!$A$1:$BK$1, 0))</f>
        <v>7.2520780927116002</v>
      </c>
      <c r="C1211" s="2">
        <f ca="1">INDEX(Simulations!$A$1:$BK$2501, 1211, MATCH("RevCAGR", Simulations!$A$1:$BK$1, 0))</f>
        <v>5.7361114396894328E-2</v>
      </c>
      <c r="D1211" s="2">
        <f ca="1">INDEX(Simulations!$A$1:$BK$2501, 1211, MATCH("SynMargin", Simulations!$A$1:$BK$1, 0))</f>
        <v>1.0626825327997066E-2</v>
      </c>
      <c r="E1211" s="2">
        <f ca="1">INDEX(Simulations!$A$1:$BK$2501, 1211, MATCH("Yr1Shock", Simulations!$A$1:$BK$1, 0))</f>
        <v>-4.5956972359459955E-3</v>
      </c>
    </row>
    <row r="1212" spans="1:5" x14ac:dyDescent="0.3">
      <c r="A1212" s="2">
        <f ca="1">INDEX(Simulations!$A$1:$BK$2501, 1212, MATCH("PurchaseMultiple", Simulations!$A$1:$BK$1, 0))</f>
        <v>7.123241717011342</v>
      </c>
      <c r="B1212" s="2">
        <f ca="1">INDEX(Simulations!$A$1:$BK$2501, 1212, MATCH("ExitMultiple", Simulations!$A$1:$BK$1, 0))</f>
        <v>7.3124110230723947</v>
      </c>
      <c r="C1212" s="2">
        <f ca="1">INDEX(Simulations!$A$1:$BK$2501, 1212, MATCH("RevCAGR", Simulations!$A$1:$BK$1, 0))</f>
        <v>6.0645521854859455E-2</v>
      </c>
      <c r="D1212" s="2">
        <f ca="1">INDEX(Simulations!$A$1:$BK$2501, 1212, MATCH("SynMargin", Simulations!$A$1:$BK$1, 0))</f>
        <v>9.1691492083677949E-3</v>
      </c>
      <c r="E1212" s="2">
        <f ca="1">INDEX(Simulations!$A$1:$BK$2501, 1212, MATCH("Yr1Shock", Simulations!$A$1:$BK$1, 0))</f>
        <v>-6.8193046362279601E-3</v>
      </c>
    </row>
    <row r="1213" spans="1:5" x14ac:dyDescent="0.3">
      <c r="A1213" s="2">
        <f ca="1">INDEX(Simulations!$A$1:$BK$2501, 1213, MATCH("PurchaseMultiple", Simulations!$A$1:$BK$1, 0))</f>
        <v>7.2141384733195677</v>
      </c>
      <c r="B1213" s="2">
        <f ca="1">INDEX(Simulations!$A$1:$BK$2501, 1213, MATCH("ExitMultiple", Simulations!$A$1:$BK$1, 0))</f>
        <v>6.948711079878672</v>
      </c>
      <c r="C1213" s="2">
        <f ca="1">INDEX(Simulations!$A$1:$BK$2501, 1213, MATCH("RevCAGR", Simulations!$A$1:$BK$1, 0))</f>
        <v>1.2150731313552363E-2</v>
      </c>
      <c r="D1213" s="2">
        <f ca="1">INDEX(Simulations!$A$1:$BK$2501, 1213, MATCH("SynMargin", Simulations!$A$1:$BK$1, 0))</f>
        <v>6.0042028250639366E-3</v>
      </c>
      <c r="E1213" s="2">
        <f ca="1">INDEX(Simulations!$A$1:$BK$2501, 1213, MATCH("Yr1Shock", Simulations!$A$1:$BK$1, 0))</f>
        <v>1.4615573236905608E-2</v>
      </c>
    </row>
    <row r="1214" spans="1:5" x14ac:dyDescent="0.3">
      <c r="A1214" s="2">
        <f ca="1">INDEX(Simulations!$A$1:$BK$2501, 1214, MATCH("PurchaseMultiple", Simulations!$A$1:$BK$1, 0))</f>
        <v>7.3896484649850853</v>
      </c>
      <c r="B1214" s="2">
        <f ca="1">INDEX(Simulations!$A$1:$BK$2501, 1214, MATCH("ExitMultiple", Simulations!$A$1:$BK$1, 0))</f>
        <v>7.68032897841465</v>
      </c>
      <c r="C1214" s="2">
        <f ca="1">INDEX(Simulations!$A$1:$BK$2501, 1214, MATCH("RevCAGR", Simulations!$A$1:$BK$1, 0))</f>
        <v>9.2179933837160458E-2</v>
      </c>
      <c r="D1214" s="2">
        <f ca="1">INDEX(Simulations!$A$1:$BK$2501, 1214, MATCH("SynMargin", Simulations!$A$1:$BK$1, 0))</f>
        <v>5.778734243035836E-3</v>
      </c>
      <c r="E1214" s="2">
        <f ca="1">INDEX(Simulations!$A$1:$BK$2501, 1214, MATCH("Yr1Shock", Simulations!$A$1:$BK$1, 0))</f>
        <v>-2.754170493384089E-2</v>
      </c>
    </row>
    <row r="1215" spans="1:5" x14ac:dyDescent="0.3">
      <c r="A1215" s="2">
        <f ca="1">INDEX(Simulations!$A$1:$BK$2501, 1215, MATCH("PurchaseMultiple", Simulations!$A$1:$BK$1, 0))</f>
        <v>7.6867287177913139</v>
      </c>
      <c r="B1215" s="2">
        <f ca="1">INDEX(Simulations!$A$1:$BK$2501, 1215, MATCH("ExitMultiple", Simulations!$A$1:$BK$1, 0))</f>
        <v>7.2922757480778131</v>
      </c>
      <c r="C1215" s="2">
        <f ca="1">INDEX(Simulations!$A$1:$BK$2501, 1215, MATCH("RevCAGR", Simulations!$A$1:$BK$1, 0))</f>
        <v>1.2348898302485214E-2</v>
      </c>
      <c r="D1215" s="2">
        <f ca="1">INDEX(Simulations!$A$1:$BK$2501, 1215, MATCH("SynMargin", Simulations!$A$1:$BK$1, 0))</f>
        <v>9.5623192633425766E-3</v>
      </c>
      <c r="E1215" s="2">
        <f ca="1">INDEX(Simulations!$A$1:$BK$2501, 1215, MATCH("Yr1Shock", Simulations!$A$1:$BK$1, 0))</f>
        <v>3.1059204313349756E-2</v>
      </c>
    </row>
    <row r="1216" spans="1:5" x14ac:dyDescent="0.3">
      <c r="A1216" s="2">
        <f ca="1">INDEX(Simulations!$A$1:$BK$2501, 1216, MATCH("PurchaseMultiple", Simulations!$A$1:$BK$1, 0))</f>
        <v>7.1246543445969683</v>
      </c>
      <c r="B1216" s="2">
        <f ca="1">INDEX(Simulations!$A$1:$BK$2501, 1216, MATCH("ExitMultiple", Simulations!$A$1:$BK$1, 0))</f>
        <v>8.1503260660763388</v>
      </c>
      <c r="C1216" s="2">
        <f ca="1">INDEX(Simulations!$A$1:$BK$2501, 1216, MATCH("RevCAGR", Simulations!$A$1:$BK$1, 0))</f>
        <v>-0.02</v>
      </c>
      <c r="D1216" s="2">
        <f ca="1">INDEX(Simulations!$A$1:$BK$2501, 1216, MATCH("SynMargin", Simulations!$A$1:$BK$1, 0))</f>
        <v>1.5584948175761058E-2</v>
      </c>
      <c r="E1216" s="2">
        <f ca="1">INDEX(Simulations!$A$1:$BK$2501, 1216, MATCH("Yr1Shock", Simulations!$A$1:$BK$1, 0))</f>
        <v>-2.091575559987767E-2</v>
      </c>
    </row>
    <row r="1217" spans="1:5" x14ac:dyDescent="0.3">
      <c r="A1217" s="2">
        <f ca="1">INDEX(Simulations!$A$1:$BK$2501, 1217, MATCH("PurchaseMultiple", Simulations!$A$1:$BK$1, 0))</f>
        <v>7.7562913273326961</v>
      </c>
      <c r="B1217" s="2">
        <f ca="1">INDEX(Simulations!$A$1:$BK$2501, 1217, MATCH("ExitMultiple", Simulations!$A$1:$BK$1, 0))</f>
        <v>7.3642755382577736</v>
      </c>
      <c r="C1217" s="2">
        <f ca="1">INDEX(Simulations!$A$1:$BK$2501, 1217, MATCH("RevCAGR", Simulations!$A$1:$BK$1, 0))</f>
        <v>6.9634186162637501E-2</v>
      </c>
      <c r="D1217" s="2">
        <f ca="1">INDEX(Simulations!$A$1:$BK$2501, 1217, MATCH("SynMargin", Simulations!$A$1:$BK$1, 0))</f>
        <v>5.4477844329215951E-3</v>
      </c>
      <c r="E1217" s="2">
        <f ca="1">INDEX(Simulations!$A$1:$BK$2501, 1217, MATCH("Yr1Shock", Simulations!$A$1:$BK$1, 0))</f>
        <v>-1.520588056745493E-2</v>
      </c>
    </row>
    <row r="1218" spans="1:5" x14ac:dyDescent="0.3">
      <c r="A1218" s="2">
        <f ca="1">INDEX(Simulations!$A$1:$BK$2501, 1218, MATCH("PurchaseMultiple", Simulations!$A$1:$BK$1, 0))</f>
        <v>7.0386091142634175</v>
      </c>
      <c r="B1218" s="2">
        <f ca="1">INDEX(Simulations!$A$1:$BK$2501, 1218, MATCH("ExitMultiple", Simulations!$A$1:$BK$1, 0))</f>
        <v>7.463768429360492</v>
      </c>
      <c r="C1218" s="2">
        <f ca="1">INDEX(Simulations!$A$1:$BK$2501, 1218, MATCH("RevCAGR", Simulations!$A$1:$BK$1, 0))</f>
        <v>4.5161361735754246E-2</v>
      </c>
      <c r="D1218" s="2">
        <f ca="1">INDEX(Simulations!$A$1:$BK$2501, 1218, MATCH("SynMargin", Simulations!$A$1:$BK$1, 0))</f>
        <v>4.3179530069770641E-3</v>
      </c>
      <c r="E1218" s="2">
        <f ca="1">INDEX(Simulations!$A$1:$BK$2501, 1218, MATCH("Yr1Shock", Simulations!$A$1:$BK$1, 0))</f>
        <v>-3.6012823869244902E-3</v>
      </c>
    </row>
    <row r="1219" spans="1:5" x14ac:dyDescent="0.3">
      <c r="A1219" s="2">
        <f ca="1">INDEX(Simulations!$A$1:$BK$2501, 1219, MATCH("PurchaseMultiple", Simulations!$A$1:$BK$1, 0))</f>
        <v>6.9316825446685151</v>
      </c>
      <c r="B1219" s="2">
        <f ca="1">INDEX(Simulations!$A$1:$BK$2501, 1219, MATCH("ExitMultiple", Simulations!$A$1:$BK$1, 0))</f>
        <v>6.8604067552984995</v>
      </c>
      <c r="C1219" s="2">
        <f ca="1">INDEX(Simulations!$A$1:$BK$2501, 1219, MATCH("RevCAGR", Simulations!$A$1:$BK$1, 0))</f>
        <v>3.5137047715275191E-2</v>
      </c>
      <c r="D1219" s="2">
        <f ca="1">INDEX(Simulations!$A$1:$BK$2501, 1219, MATCH("SynMargin", Simulations!$A$1:$BK$1, 0))</f>
        <v>1.823475403095548E-2</v>
      </c>
      <c r="E1219" s="2">
        <f ca="1">INDEX(Simulations!$A$1:$BK$2501, 1219, MATCH("Yr1Shock", Simulations!$A$1:$BK$1, 0))</f>
        <v>2.2386355740886234E-2</v>
      </c>
    </row>
    <row r="1220" spans="1:5" x14ac:dyDescent="0.3">
      <c r="A1220" s="2">
        <f ca="1">INDEX(Simulations!$A$1:$BK$2501, 1220, MATCH("PurchaseMultiple", Simulations!$A$1:$BK$1, 0))</f>
        <v>7.3742348842728473</v>
      </c>
      <c r="B1220" s="2">
        <f ca="1">INDEX(Simulations!$A$1:$BK$2501, 1220, MATCH("ExitMultiple", Simulations!$A$1:$BK$1, 0))</f>
        <v>7.4853605688789608</v>
      </c>
      <c r="C1220" s="2">
        <f ca="1">INDEX(Simulations!$A$1:$BK$2501, 1220, MATCH("RevCAGR", Simulations!$A$1:$BK$1, 0))</f>
        <v>6.9631373521449325E-2</v>
      </c>
      <c r="D1220" s="2">
        <f ca="1">INDEX(Simulations!$A$1:$BK$2501, 1220, MATCH("SynMargin", Simulations!$A$1:$BK$1, 0))</f>
        <v>1.3619662598857335E-2</v>
      </c>
      <c r="E1220" s="2">
        <f ca="1">INDEX(Simulations!$A$1:$BK$2501, 1220, MATCH("Yr1Shock", Simulations!$A$1:$BK$1, 0))</f>
        <v>5.1047954777079345E-3</v>
      </c>
    </row>
    <row r="1221" spans="1:5" x14ac:dyDescent="0.3">
      <c r="A1221" s="2">
        <f ca="1">INDEX(Simulations!$A$1:$BK$2501, 1221, MATCH("PurchaseMultiple", Simulations!$A$1:$BK$1, 0))</f>
        <v>6.1648454050015253</v>
      </c>
      <c r="B1221" s="2">
        <f ca="1">INDEX(Simulations!$A$1:$BK$2501, 1221, MATCH("ExitMultiple", Simulations!$A$1:$BK$1, 0))</f>
        <v>6.8423321133333861</v>
      </c>
      <c r="C1221" s="2">
        <f ca="1">INDEX(Simulations!$A$1:$BK$2501, 1221, MATCH("RevCAGR", Simulations!$A$1:$BK$1, 0))</f>
        <v>3.1092482133699695E-3</v>
      </c>
      <c r="D1221" s="2">
        <f ca="1">INDEX(Simulations!$A$1:$BK$2501, 1221, MATCH("SynMargin", Simulations!$A$1:$BK$1, 0))</f>
        <v>8.9151278482129479E-3</v>
      </c>
      <c r="E1221" s="2">
        <f ca="1">INDEX(Simulations!$A$1:$BK$2501, 1221, MATCH("Yr1Shock", Simulations!$A$1:$BK$1, 0))</f>
        <v>-8.2232073357171847E-3</v>
      </c>
    </row>
    <row r="1222" spans="1:5" x14ac:dyDescent="0.3">
      <c r="A1222" s="2">
        <f ca="1">INDEX(Simulations!$A$1:$BK$2501, 1222, MATCH("PurchaseMultiple", Simulations!$A$1:$BK$1, 0))</f>
        <v>7.2833973847190761</v>
      </c>
      <c r="B1222" s="2">
        <f ca="1">INDEX(Simulations!$A$1:$BK$2501, 1222, MATCH("ExitMultiple", Simulations!$A$1:$BK$1, 0))</f>
        <v>6.7577239521468799</v>
      </c>
      <c r="C1222" s="2">
        <f ca="1">INDEX(Simulations!$A$1:$BK$2501, 1222, MATCH("RevCAGR", Simulations!$A$1:$BK$1, 0))</f>
        <v>2.3162782228546244E-2</v>
      </c>
      <c r="D1222" s="2">
        <f ca="1">INDEX(Simulations!$A$1:$BK$2501, 1222, MATCH("SynMargin", Simulations!$A$1:$BK$1, 0))</f>
        <v>0</v>
      </c>
      <c r="E1222" s="2">
        <f ca="1">INDEX(Simulations!$A$1:$BK$2501, 1222, MATCH("Yr1Shock", Simulations!$A$1:$BK$1, 0))</f>
        <v>2.5302280131702146E-2</v>
      </c>
    </row>
    <row r="1223" spans="1:5" x14ac:dyDescent="0.3">
      <c r="A1223" s="2">
        <f ca="1">INDEX(Simulations!$A$1:$BK$2501, 1223, MATCH("PurchaseMultiple", Simulations!$A$1:$BK$1, 0))</f>
        <v>6.6295693856007363</v>
      </c>
      <c r="B1223" s="2">
        <f ca="1">INDEX(Simulations!$A$1:$BK$2501, 1223, MATCH("ExitMultiple", Simulations!$A$1:$BK$1, 0))</f>
        <v>8.1556442267170173</v>
      </c>
      <c r="C1223" s="2">
        <f ca="1">INDEX(Simulations!$A$1:$BK$2501, 1223, MATCH("RevCAGR", Simulations!$A$1:$BK$1, 0))</f>
        <v>6.5037542752902466E-2</v>
      </c>
      <c r="D1223" s="2">
        <f ca="1">INDEX(Simulations!$A$1:$BK$2501, 1223, MATCH("SynMargin", Simulations!$A$1:$BK$1, 0))</f>
        <v>4.7887617641254945E-3</v>
      </c>
      <c r="E1223" s="2">
        <f ca="1">INDEX(Simulations!$A$1:$BK$2501, 1223, MATCH("Yr1Shock", Simulations!$A$1:$BK$1, 0))</f>
        <v>-1.0030346180918321E-2</v>
      </c>
    </row>
    <row r="1224" spans="1:5" x14ac:dyDescent="0.3">
      <c r="A1224" s="2">
        <f ca="1">INDEX(Simulations!$A$1:$BK$2501, 1224, MATCH("PurchaseMultiple", Simulations!$A$1:$BK$1, 0))</f>
        <v>7.3829868251188593</v>
      </c>
      <c r="B1224" s="2">
        <f ca="1">INDEX(Simulations!$A$1:$BK$2501, 1224, MATCH("ExitMultiple", Simulations!$A$1:$BK$1, 0))</f>
        <v>7.390705234702927</v>
      </c>
      <c r="C1224" s="2">
        <f ca="1">INDEX(Simulations!$A$1:$BK$2501, 1224, MATCH("RevCAGR", Simulations!$A$1:$BK$1, 0))</f>
        <v>1.0045225912060769E-2</v>
      </c>
      <c r="D1224" s="2">
        <f ca="1">INDEX(Simulations!$A$1:$BK$2501, 1224, MATCH("SynMargin", Simulations!$A$1:$BK$1, 0))</f>
        <v>3.9391049224414033E-3</v>
      </c>
      <c r="E1224" s="2">
        <f ca="1">INDEX(Simulations!$A$1:$BK$2501, 1224, MATCH("Yr1Shock", Simulations!$A$1:$BK$1, 0))</f>
        <v>-2.9745850080962272E-2</v>
      </c>
    </row>
    <row r="1225" spans="1:5" x14ac:dyDescent="0.3">
      <c r="A1225" s="2">
        <f ca="1">INDEX(Simulations!$A$1:$BK$2501, 1225, MATCH("PurchaseMultiple", Simulations!$A$1:$BK$1, 0))</f>
        <v>6.828909954421877</v>
      </c>
      <c r="B1225" s="2">
        <f ca="1">INDEX(Simulations!$A$1:$BK$2501, 1225, MATCH("ExitMultiple", Simulations!$A$1:$BK$1, 0))</f>
        <v>7.7209626002246186</v>
      </c>
      <c r="C1225" s="2">
        <f ca="1">INDEX(Simulations!$A$1:$BK$2501, 1225, MATCH("RevCAGR", Simulations!$A$1:$BK$1, 0))</f>
        <v>7.1623942641150545E-2</v>
      </c>
      <c r="D1225" s="2">
        <f ca="1">INDEX(Simulations!$A$1:$BK$2501, 1225, MATCH("SynMargin", Simulations!$A$1:$BK$1, 0))</f>
        <v>1.042005120015671E-2</v>
      </c>
      <c r="E1225" s="2">
        <f ca="1">INDEX(Simulations!$A$1:$BK$2501, 1225, MATCH("Yr1Shock", Simulations!$A$1:$BK$1, 0))</f>
        <v>1.0730272655689061E-2</v>
      </c>
    </row>
    <row r="1226" spans="1:5" x14ac:dyDescent="0.3">
      <c r="A1226" s="2">
        <f ca="1">INDEX(Simulations!$A$1:$BK$2501, 1226, MATCH("PurchaseMultiple", Simulations!$A$1:$BK$1, 0))</f>
        <v>7.4947595891852004</v>
      </c>
      <c r="B1226" s="2">
        <f ca="1">INDEX(Simulations!$A$1:$BK$2501, 1226, MATCH("ExitMultiple", Simulations!$A$1:$BK$1, 0))</f>
        <v>7.3388110886038413</v>
      </c>
      <c r="C1226" s="2">
        <f ca="1">INDEX(Simulations!$A$1:$BK$2501, 1226, MATCH("RevCAGR", Simulations!$A$1:$BK$1, 0))</f>
        <v>4.6982693498236874E-2</v>
      </c>
      <c r="D1226" s="2">
        <f ca="1">INDEX(Simulations!$A$1:$BK$2501, 1226, MATCH("SynMargin", Simulations!$A$1:$BK$1, 0))</f>
        <v>1.6864042720812367E-2</v>
      </c>
      <c r="E1226" s="2">
        <f ca="1">INDEX(Simulations!$A$1:$BK$2501, 1226, MATCH("Yr1Shock", Simulations!$A$1:$BK$1, 0))</f>
        <v>9.3754218623080272E-3</v>
      </c>
    </row>
    <row r="1227" spans="1:5" x14ac:dyDescent="0.3">
      <c r="A1227" s="2">
        <f ca="1">INDEX(Simulations!$A$1:$BK$2501, 1227, MATCH("PurchaseMultiple", Simulations!$A$1:$BK$1, 0))</f>
        <v>6.4010187839968298</v>
      </c>
      <c r="B1227" s="2">
        <f ca="1">INDEX(Simulations!$A$1:$BK$2501, 1227, MATCH("ExitMultiple", Simulations!$A$1:$BK$1, 0))</f>
        <v>7.3581929912407356</v>
      </c>
      <c r="C1227" s="2">
        <f ca="1">INDEX(Simulations!$A$1:$BK$2501, 1227, MATCH("RevCAGR", Simulations!$A$1:$BK$1, 0))</f>
        <v>1.723991251385365E-3</v>
      </c>
      <c r="D1227" s="2">
        <f ca="1">INDEX(Simulations!$A$1:$BK$2501, 1227, MATCH("SynMargin", Simulations!$A$1:$BK$1, 0))</f>
        <v>1.1132761195093628E-2</v>
      </c>
      <c r="E1227" s="2">
        <f ca="1">INDEX(Simulations!$A$1:$BK$2501, 1227, MATCH("Yr1Shock", Simulations!$A$1:$BK$1, 0))</f>
        <v>-7.7621037569443885E-3</v>
      </c>
    </row>
    <row r="1228" spans="1:5" x14ac:dyDescent="0.3">
      <c r="A1228" s="2">
        <f ca="1">INDEX(Simulations!$A$1:$BK$2501, 1228, MATCH("PurchaseMultiple", Simulations!$A$1:$BK$1, 0))</f>
        <v>6.3918586450777166</v>
      </c>
      <c r="B1228" s="2">
        <f ca="1">INDEX(Simulations!$A$1:$BK$2501, 1228, MATCH("ExitMultiple", Simulations!$A$1:$BK$1, 0))</f>
        <v>8.2501449981449042</v>
      </c>
      <c r="C1228" s="2">
        <f ca="1">INDEX(Simulations!$A$1:$BK$2501, 1228, MATCH("RevCAGR", Simulations!$A$1:$BK$1, 0))</f>
        <v>5.471160813667119E-2</v>
      </c>
      <c r="D1228" s="2">
        <f ca="1">INDEX(Simulations!$A$1:$BK$2501, 1228, MATCH("SynMargin", Simulations!$A$1:$BK$1, 0))</f>
        <v>9.1185438628253925E-3</v>
      </c>
      <c r="E1228" s="2">
        <f ca="1">INDEX(Simulations!$A$1:$BK$2501, 1228, MATCH("Yr1Shock", Simulations!$A$1:$BK$1, 0))</f>
        <v>-1.6125939963771395E-2</v>
      </c>
    </row>
    <row r="1229" spans="1:5" x14ac:dyDescent="0.3">
      <c r="A1229" s="2">
        <f ca="1">INDEX(Simulations!$A$1:$BK$2501, 1229, MATCH("PurchaseMultiple", Simulations!$A$1:$BK$1, 0))</f>
        <v>7.1740762664265691</v>
      </c>
      <c r="B1229" s="2">
        <f ca="1">INDEX(Simulations!$A$1:$BK$2501, 1229, MATCH("ExitMultiple", Simulations!$A$1:$BK$1, 0))</f>
        <v>7.4700405631628506</v>
      </c>
      <c r="C1229" s="2">
        <f ca="1">INDEX(Simulations!$A$1:$BK$2501, 1229, MATCH("RevCAGR", Simulations!$A$1:$BK$1, 0))</f>
        <v>5.029413875320507E-2</v>
      </c>
      <c r="D1229" s="2">
        <f ca="1">INDEX(Simulations!$A$1:$BK$2501, 1229, MATCH("SynMargin", Simulations!$A$1:$BK$1, 0))</f>
        <v>2.1621293940173914E-2</v>
      </c>
      <c r="E1229" s="2">
        <f ca="1">INDEX(Simulations!$A$1:$BK$2501, 1229, MATCH("Yr1Shock", Simulations!$A$1:$BK$1, 0))</f>
        <v>8.7128276126609578E-3</v>
      </c>
    </row>
    <row r="1230" spans="1:5" x14ac:dyDescent="0.3">
      <c r="A1230" s="2">
        <f ca="1">INDEX(Simulations!$A$1:$BK$2501, 1230, MATCH("PurchaseMultiple", Simulations!$A$1:$BK$1, 0))</f>
        <v>6.8223839957752723</v>
      </c>
      <c r="B1230" s="2">
        <f ca="1">INDEX(Simulations!$A$1:$BK$2501, 1230, MATCH("ExitMultiple", Simulations!$A$1:$BK$1, 0))</f>
        <v>8.0024100639136417</v>
      </c>
      <c r="C1230" s="2">
        <f ca="1">INDEX(Simulations!$A$1:$BK$2501, 1230, MATCH("RevCAGR", Simulations!$A$1:$BK$1, 0))</f>
        <v>5.0565335851311413E-2</v>
      </c>
      <c r="D1230" s="2">
        <f ca="1">INDEX(Simulations!$A$1:$BK$2501, 1230, MATCH("SynMargin", Simulations!$A$1:$BK$1, 0))</f>
        <v>9.2361254572877662E-3</v>
      </c>
      <c r="E1230" s="2">
        <f ca="1">INDEX(Simulations!$A$1:$BK$2501, 1230, MATCH("Yr1Shock", Simulations!$A$1:$BK$1, 0))</f>
        <v>1.1795086160599726E-2</v>
      </c>
    </row>
    <row r="1231" spans="1:5" x14ac:dyDescent="0.3">
      <c r="A1231" s="2">
        <f ca="1">INDEX(Simulations!$A$1:$BK$2501, 1231, MATCH("PurchaseMultiple", Simulations!$A$1:$BK$1, 0))</f>
        <v>6.8385852393072337</v>
      </c>
      <c r="B1231" s="2">
        <f ca="1">INDEX(Simulations!$A$1:$BK$2501, 1231, MATCH("ExitMultiple", Simulations!$A$1:$BK$1, 0))</f>
        <v>7.1017448096206044</v>
      </c>
      <c r="C1231" s="2">
        <f ca="1">INDEX(Simulations!$A$1:$BK$2501, 1231, MATCH("RevCAGR", Simulations!$A$1:$BK$1, 0))</f>
        <v>-5.0156414193455665E-3</v>
      </c>
      <c r="D1231" s="2">
        <f ca="1">INDEX(Simulations!$A$1:$BK$2501, 1231, MATCH("SynMargin", Simulations!$A$1:$BK$1, 0))</f>
        <v>1.2837055582573151E-2</v>
      </c>
      <c r="E1231" s="2">
        <f ca="1">INDEX(Simulations!$A$1:$BK$2501, 1231, MATCH("Yr1Shock", Simulations!$A$1:$BK$1, 0))</f>
        <v>0.05</v>
      </c>
    </row>
    <row r="1232" spans="1:5" x14ac:dyDescent="0.3">
      <c r="A1232" s="2">
        <f ca="1">INDEX(Simulations!$A$1:$BK$2501, 1232, MATCH("PurchaseMultiple", Simulations!$A$1:$BK$1, 0))</f>
        <v>6.1425670724570018</v>
      </c>
      <c r="B1232" s="2">
        <f ca="1">INDEX(Simulations!$A$1:$BK$2501, 1232, MATCH("ExitMultiple", Simulations!$A$1:$BK$1, 0))</f>
        <v>7.1166970862391565</v>
      </c>
      <c r="C1232" s="2">
        <f ca="1">INDEX(Simulations!$A$1:$BK$2501, 1232, MATCH("RevCAGR", Simulations!$A$1:$BK$1, 0))</f>
        <v>1.0710311482154795E-2</v>
      </c>
      <c r="D1232" s="2">
        <f ca="1">INDEX(Simulations!$A$1:$BK$2501, 1232, MATCH("SynMargin", Simulations!$A$1:$BK$1, 0))</f>
        <v>1.3820376203013351E-2</v>
      </c>
      <c r="E1232" s="2">
        <f ca="1">INDEX(Simulations!$A$1:$BK$2501, 1232, MATCH("Yr1Shock", Simulations!$A$1:$BK$1, 0))</f>
        <v>-7.8004020853168574E-3</v>
      </c>
    </row>
    <row r="1233" spans="1:5" x14ac:dyDescent="0.3">
      <c r="A1233" s="2">
        <f ca="1">INDEX(Simulations!$A$1:$BK$2501, 1233, MATCH("PurchaseMultiple", Simulations!$A$1:$BK$1, 0))</f>
        <v>6.5617341304382482</v>
      </c>
      <c r="B1233" s="2">
        <f ca="1">INDEX(Simulations!$A$1:$BK$2501, 1233, MATCH("ExitMultiple", Simulations!$A$1:$BK$1, 0))</f>
        <v>7.8732900410545383</v>
      </c>
      <c r="C1233" s="2">
        <f ca="1">INDEX(Simulations!$A$1:$BK$2501, 1233, MATCH("RevCAGR", Simulations!$A$1:$BK$1, 0))</f>
        <v>-6.4998680369265371E-3</v>
      </c>
      <c r="D1233" s="2">
        <f ca="1">INDEX(Simulations!$A$1:$BK$2501, 1233, MATCH("SynMargin", Simulations!$A$1:$BK$1, 0))</f>
        <v>1.4010059703902868E-2</v>
      </c>
      <c r="E1233" s="2">
        <f ca="1">INDEX(Simulations!$A$1:$BK$2501, 1233, MATCH("Yr1Shock", Simulations!$A$1:$BK$1, 0))</f>
        <v>9.622495809684212E-3</v>
      </c>
    </row>
    <row r="1234" spans="1:5" x14ac:dyDescent="0.3">
      <c r="A1234" s="2">
        <f ca="1">INDEX(Simulations!$A$1:$BK$2501, 1234, MATCH("PurchaseMultiple", Simulations!$A$1:$BK$1, 0))</f>
        <v>6.9795579313270633</v>
      </c>
      <c r="B1234" s="2">
        <f ca="1">INDEX(Simulations!$A$1:$BK$2501, 1234, MATCH("ExitMultiple", Simulations!$A$1:$BK$1, 0))</f>
        <v>6.6225024202699805</v>
      </c>
      <c r="C1234" s="2">
        <f ca="1">INDEX(Simulations!$A$1:$BK$2501, 1234, MATCH("RevCAGR", Simulations!$A$1:$BK$1, 0))</f>
        <v>2.3388825357749152E-2</v>
      </c>
      <c r="D1234" s="2">
        <f ca="1">INDEX(Simulations!$A$1:$BK$2501, 1234, MATCH("SynMargin", Simulations!$A$1:$BK$1, 0))</f>
        <v>1.3304299794007979E-2</v>
      </c>
      <c r="E1234" s="2">
        <f ca="1">INDEX(Simulations!$A$1:$BK$2501, 1234, MATCH("Yr1Shock", Simulations!$A$1:$BK$1, 0))</f>
        <v>-3.3352321708645539E-3</v>
      </c>
    </row>
    <row r="1235" spans="1:5" x14ac:dyDescent="0.3">
      <c r="A1235" s="2">
        <f ca="1">INDEX(Simulations!$A$1:$BK$2501, 1235, MATCH("PurchaseMultiple", Simulations!$A$1:$BK$1, 0))</f>
        <v>6.281115862773758</v>
      </c>
      <c r="B1235" s="2">
        <f ca="1">INDEX(Simulations!$A$1:$BK$2501, 1235, MATCH("ExitMultiple", Simulations!$A$1:$BK$1, 0))</f>
        <v>7.5713565127711089</v>
      </c>
      <c r="C1235" s="2">
        <f ca="1">INDEX(Simulations!$A$1:$BK$2501, 1235, MATCH("RevCAGR", Simulations!$A$1:$BK$1, 0))</f>
        <v>2.6234028910988305E-2</v>
      </c>
      <c r="D1235" s="2">
        <f ca="1">INDEX(Simulations!$A$1:$BK$2501, 1235, MATCH("SynMargin", Simulations!$A$1:$BK$1, 0))</f>
        <v>1.3639947399492047E-2</v>
      </c>
      <c r="E1235" s="2">
        <f ca="1">INDEX(Simulations!$A$1:$BK$2501, 1235, MATCH("Yr1Shock", Simulations!$A$1:$BK$1, 0))</f>
        <v>2.7319493455042136E-2</v>
      </c>
    </row>
    <row r="1236" spans="1:5" x14ac:dyDescent="0.3">
      <c r="A1236" s="2">
        <f ca="1">INDEX(Simulations!$A$1:$BK$2501, 1236, MATCH("PurchaseMultiple", Simulations!$A$1:$BK$1, 0))</f>
        <v>6.9816664341461534</v>
      </c>
      <c r="B1236" s="2">
        <f ca="1">INDEX(Simulations!$A$1:$BK$2501, 1236, MATCH("ExitMultiple", Simulations!$A$1:$BK$1, 0))</f>
        <v>8.1039620317089707</v>
      </c>
      <c r="C1236" s="2">
        <f ca="1">INDEX(Simulations!$A$1:$BK$2501, 1236, MATCH("RevCAGR", Simulations!$A$1:$BK$1, 0))</f>
        <v>7.0572295911454266E-2</v>
      </c>
      <c r="D1236" s="2">
        <f ca="1">INDEX(Simulations!$A$1:$BK$2501, 1236, MATCH("SynMargin", Simulations!$A$1:$BK$1, 0))</f>
        <v>1.7099639142652202E-2</v>
      </c>
      <c r="E1236" s="2">
        <f ca="1">INDEX(Simulations!$A$1:$BK$2501, 1236, MATCH("Yr1Shock", Simulations!$A$1:$BK$1, 0))</f>
        <v>2.0230972423663202E-2</v>
      </c>
    </row>
    <row r="1237" spans="1:5" x14ac:dyDescent="0.3">
      <c r="A1237" s="2">
        <f ca="1">INDEX(Simulations!$A$1:$BK$2501, 1237, MATCH("PurchaseMultiple", Simulations!$A$1:$BK$1, 0))</f>
        <v>6.7967269639537706</v>
      </c>
      <c r="B1237" s="2">
        <f ca="1">INDEX(Simulations!$A$1:$BK$2501, 1237, MATCH("ExitMultiple", Simulations!$A$1:$BK$1, 0))</f>
        <v>7.8289432302785711</v>
      </c>
      <c r="C1237" s="2">
        <f ca="1">INDEX(Simulations!$A$1:$BK$2501, 1237, MATCH("RevCAGR", Simulations!$A$1:$BK$1, 0))</f>
        <v>5.3960566185270967E-2</v>
      </c>
      <c r="D1237" s="2">
        <f ca="1">INDEX(Simulations!$A$1:$BK$2501, 1237, MATCH("SynMargin", Simulations!$A$1:$BK$1, 0))</f>
        <v>1.8993550804998448E-2</v>
      </c>
      <c r="E1237" s="2">
        <f ca="1">INDEX(Simulations!$A$1:$BK$2501, 1237, MATCH("Yr1Shock", Simulations!$A$1:$BK$1, 0))</f>
        <v>-2.5510351627284426E-2</v>
      </c>
    </row>
    <row r="1238" spans="1:5" x14ac:dyDescent="0.3">
      <c r="A1238" s="2">
        <f ca="1">INDEX(Simulations!$A$1:$BK$2501, 1238, MATCH("PurchaseMultiple", Simulations!$A$1:$BK$1, 0))</f>
        <v>6.2791698021176785</v>
      </c>
      <c r="B1238" s="2">
        <f ca="1">INDEX(Simulations!$A$1:$BK$2501, 1238, MATCH("ExitMultiple", Simulations!$A$1:$BK$1, 0))</f>
        <v>8.0936122892866162</v>
      </c>
      <c r="C1238" s="2">
        <f ca="1">INDEX(Simulations!$A$1:$BK$2501, 1238, MATCH("RevCAGR", Simulations!$A$1:$BK$1, 0))</f>
        <v>7.6704334614159514E-2</v>
      </c>
      <c r="D1238" s="2">
        <f ca="1">INDEX(Simulations!$A$1:$BK$2501, 1238, MATCH("SynMargin", Simulations!$A$1:$BK$1, 0))</f>
        <v>1.3031421460016854E-2</v>
      </c>
      <c r="E1238" s="2">
        <f ca="1">INDEX(Simulations!$A$1:$BK$2501, 1238, MATCH("Yr1Shock", Simulations!$A$1:$BK$1, 0))</f>
        <v>1.3254539300917217E-2</v>
      </c>
    </row>
    <row r="1239" spans="1:5" x14ac:dyDescent="0.3">
      <c r="A1239" s="2">
        <f ca="1">INDEX(Simulations!$A$1:$BK$2501, 1239, MATCH("PurchaseMultiple", Simulations!$A$1:$BK$1, 0))</f>
        <v>7.554180435992893</v>
      </c>
      <c r="B1239" s="2">
        <f ca="1">INDEX(Simulations!$A$1:$BK$2501, 1239, MATCH("ExitMultiple", Simulations!$A$1:$BK$1, 0))</f>
        <v>7.5046020063582599</v>
      </c>
      <c r="C1239" s="2">
        <f ca="1">INDEX(Simulations!$A$1:$BK$2501, 1239, MATCH("RevCAGR", Simulations!$A$1:$BK$1, 0))</f>
        <v>1.3060556390411496E-2</v>
      </c>
      <c r="D1239" s="2">
        <f ca="1">INDEX(Simulations!$A$1:$BK$2501, 1239, MATCH("SynMargin", Simulations!$A$1:$BK$1, 0))</f>
        <v>1.6124752284666401E-2</v>
      </c>
      <c r="E1239" s="2">
        <f ca="1">INDEX(Simulations!$A$1:$BK$2501, 1239, MATCH("Yr1Shock", Simulations!$A$1:$BK$1, 0))</f>
        <v>0.05</v>
      </c>
    </row>
    <row r="1240" spans="1:5" x14ac:dyDescent="0.3">
      <c r="A1240" s="2">
        <f ca="1">INDEX(Simulations!$A$1:$BK$2501, 1240, MATCH("PurchaseMultiple", Simulations!$A$1:$BK$1, 0))</f>
        <v>7.8075952848776007</v>
      </c>
      <c r="B1240" s="2">
        <f ca="1">INDEX(Simulations!$A$1:$BK$2501, 1240, MATCH("ExitMultiple", Simulations!$A$1:$BK$1, 0))</f>
        <v>8.0434982089668132</v>
      </c>
      <c r="C1240" s="2">
        <f ca="1">INDEX(Simulations!$A$1:$BK$2501, 1240, MATCH("RevCAGR", Simulations!$A$1:$BK$1, 0))</f>
        <v>0.1065350370665796</v>
      </c>
      <c r="D1240" s="2">
        <f ca="1">INDEX(Simulations!$A$1:$BK$2501, 1240, MATCH("SynMargin", Simulations!$A$1:$BK$1, 0))</f>
        <v>1.1004252971451422E-2</v>
      </c>
      <c r="E1240" s="2">
        <f ca="1">INDEX(Simulations!$A$1:$BK$2501, 1240, MATCH("Yr1Shock", Simulations!$A$1:$BK$1, 0))</f>
        <v>-1.151963505636221E-2</v>
      </c>
    </row>
    <row r="1241" spans="1:5" x14ac:dyDescent="0.3">
      <c r="A1241" s="2">
        <f ca="1">INDEX(Simulations!$A$1:$BK$2501, 1241, MATCH("PurchaseMultiple", Simulations!$A$1:$BK$1, 0))</f>
        <v>7.29926893584254</v>
      </c>
      <c r="B1241" s="2">
        <f ca="1">INDEX(Simulations!$A$1:$BK$2501, 1241, MATCH("ExitMultiple", Simulations!$A$1:$BK$1, 0))</f>
        <v>6.8093043234147181</v>
      </c>
      <c r="C1241" s="2">
        <f ca="1">INDEX(Simulations!$A$1:$BK$2501, 1241, MATCH("RevCAGR", Simulations!$A$1:$BK$1, 0))</f>
        <v>5.9437585494097736E-2</v>
      </c>
      <c r="D1241" s="2">
        <f ca="1">INDEX(Simulations!$A$1:$BK$2501, 1241, MATCH("SynMargin", Simulations!$A$1:$BK$1, 0))</f>
        <v>9.5800227743850497E-3</v>
      </c>
      <c r="E1241" s="2">
        <f ca="1">INDEX(Simulations!$A$1:$BK$2501, 1241, MATCH("Yr1Shock", Simulations!$A$1:$BK$1, 0))</f>
        <v>2.3829722659091269E-2</v>
      </c>
    </row>
    <row r="1242" spans="1:5" x14ac:dyDescent="0.3">
      <c r="A1242" s="2">
        <f ca="1">INDEX(Simulations!$A$1:$BK$2501, 1242, MATCH("PurchaseMultiple", Simulations!$A$1:$BK$1, 0))</f>
        <v>6.9516998278588336</v>
      </c>
      <c r="B1242" s="2">
        <f ca="1">INDEX(Simulations!$A$1:$BK$2501, 1242, MATCH("ExitMultiple", Simulations!$A$1:$BK$1, 0))</f>
        <v>8.3210669816822538</v>
      </c>
      <c r="C1242" s="2">
        <f ca="1">INDEX(Simulations!$A$1:$BK$2501, 1242, MATCH("RevCAGR", Simulations!$A$1:$BK$1, 0))</f>
        <v>4.2770964604345943E-2</v>
      </c>
      <c r="D1242" s="2">
        <f ca="1">INDEX(Simulations!$A$1:$BK$2501, 1242, MATCH("SynMargin", Simulations!$A$1:$BK$1, 0))</f>
        <v>6.3243396462453888E-3</v>
      </c>
      <c r="E1242" s="2">
        <f ca="1">INDEX(Simulations!$A$1:$BK$2501, 1242, MATCH("Yr1Shock", Simulations!$A$1:$BK$1, 0))</f>
        <v>7.0460790459445964E-3</v>
      </c>
    </row>
    <row r="1243" spans="1:5" x14ac:dyDescent="0.3">
      <c r="A1243" s="2">
        <f ca="1">INDEX(Simulations!$A$1:$BK$2501, 1243, MATCH("PurchaseMultiple", Simulations!$A$1:$BK$1, 0))</f>
        <v>7.524179287548753</v>
      </c>
      <c r="B1243" s="2">
        <f ca="1">INDEX(Simulations!$A$1:$BK$2501, 1243, MATCH("ExitMultiple", Simulations!$A$1:$BK$1, 0))</f>
        <v>7.412242639566994</v>
      </c>
      <c r="C1243" s="2">
        <f ca="1">INDEX(Simulations!$A$1:$BK$2501, 1243, MATCH("RevCAGR", Simulations!$A$1:$BK$1, 0))</f>
        <v>3.720689659967516E-2</v>
      </c>
      <c r="D1243" s="2">
        <f ca="1">INDEX(Simulations!$A$1:$BK$2501, 1243, MATCH("SynMargin", Simulations!$A$1:$BK$1, 0))</f>
        <v>2.0106418980796962E-3</v>
      </c>
      <c r="E1243" s="2">
        <f ca="1">INDEX(Simulations!$A$1:$BK$2501, 1243, MATCH("Yr1Shock", Simulations!$A$1:$BK$1, 0))</f>
        <v>2.694639821509421E-2</v>
      </c>
    </row>
    <row r="1244" spans="1:5" x14ac:dyDescent="0.3">
      <c r="A1244" s="2">
        <f ca="1">INDEX(Simulations!$A$1:$BK$2501, 1244, MATCH("PurchaseMultiple", Simulations!$A$1:$BK$1, 0))</f>
        <v>6.3379688981432585</v>
      </c>
      <c r="B1244" s="2">
        <f ca="1">INDEX(Simulations!$A$1:$BK$2501, 1244, MATCH("ExitMultiple", Simulations!$A$1:$BK$1, 0))</f>
        <v>7.1159862660988287</v>
      </c>
      <c r="C1244" s="2">
        <f ca="1">INDEX(Simulations!$A$1:$BK$2501, 1244, MATCH("RevCAGR", Simulations!$A$1:$BK$1, 0))</f>
        <v>3.4956246021229091E-2</v>
      </c>
      <c r="D1244" s="2">
        <f ca="1">INDEX(Simulations!$A$1:$BK$2501, 1244, MATCH("SynMargin", Simulations!$A$1:$BK$1, 0))</f>
        <v>1.6805343383162454E-2</v>
      </c>
      <c r="E1244" s="2">
        <f ca="1">INDEX(Simulations!$A$1:$BK$2501, 1244, MATCH("Yr1Shock", Simulations!$A$1:$BK$1, 0))</f>
        <v>3.6978362686713666E-2</v>
      </c>
    </row>
    <row r="1245" spans="1:5" x14ac:dyDescent="0.3">
      <c r="A1245" s="2">
        <f ca="1">INDEX(Simulations!$A$1:$BK$2501, 1245, MATCH("PurchaseMultiple", Simulations!$A$1:$BK$1, 0))</f>
        <v>6.9021871875577103</v>
      </c>
      <c r="B1245" s="2">
        <f ca="1">INDEX(Simulations!$A$1:$BK$2501, 1245, MATCH("ExitMultiple", Simulations!$A$1:$BK$1, 0))</f>
        <v>7.0769892178955445</v>
      </c>
      <c r="C1245" s="2">
        <f ca="1">INDEX(Simulations!$A$1:$BK$2501, 1245, MATCH("RevCAGR", Simulations!$A$1:$BK$1, 0))</f>
        <v>4.8529609903939772E-2</v>
      </c>
      <c r="D1245" s="2">
        <f ca="1">INDEX(Simulations!$A$1:$BK$2501, 1245, MATCH("SynMargin", Simulations!$A$1:$BK$1, 0))</f>
        <v>1.6181355833077962E-2</v>
      </c>
      <c r="E1245" s="2">
        <f ca="1">INDEX(Simulations!$A$1:$BK$2501, 1245, MATCH("Yr1Shock", Simulations!$A$1:$BK$1, 0))</f>
        <v>-1.9494880735008997E-2</v>
      </c>
    </row>
    <row r="1246" spans="1:5" x14ac:dyDescent="0.3">
      <c r="A1246" s="2">
        <f ca="1">INDEX(Simulations!$A$1:$BK$2501, 1246, MATCH("PurchaseMultiple", Simulations!$A$1:$BK$1, 0))</f>
        <v>6.3774034625821656</v>
      </c>
      <c r="B1246" s="2">
        <f ca="1">INDEX(Simulations!$A$1:$BK$2501, 1246, MATCH("ExitMultiple", Simulations!$A$1:$BK$1, 0))</f>
        <v>7.5664527301847961</v>
      </c>
      <c r="C1246" s="2">
        <f ca="1">INDEX(Simulations!$A$1:$BK$2501, 1246, MATCH("RevCAGR", Simulations!$A$1:$BK$1, 0))</f>
        <v>4.7690134472421666E-2</v>
      </c>
      <c r="D1246" s="2">
        <f ca="1">INDEX(Simulations!$A$1:$BK$2501, 1246, MATCH("SynMargin", Simulations!$A$1:$BK$1, 0))</f>
        <v>7.4142495577671991E-3</v>
      </c>
      <c r="E1246" s="2">
        <f ca="1">INDEX(Simulations!$A$1:$BK$2501, 1246, MATCH("Yr1Shock", Simulations!$A$1:$BK$1, 0))</f>
        <v>-9.9429631645596688E-3</v>
      </c>
    </row>
    <row r="1247" spans="1:5" x14ac:dyDescent="0.3">
      <c r="A1247" s="2">
        <f ca="1">INDEX(Simulations!$A$1:$BK$2501, 1247, MATCH("PurchaseMultiple", Simulations!$A$1:$BK$1, 0))</f>
        <v>6.0502010309493199</v>
      </c>
      <c r="B1247" s="2">
        <f ca="1">INDEX(Simulations!$A$1:$BK$2501, 1247, MATCH("ExitMultiple", Simulations!$A$1:$BK$1, 0))</f>
        <v>7.7705918280160367</v>
      </c>
      <c r="C1247" s="2">
        <f ca="1">INDEX(Simulations!$A$1:$BK$2501, 1247, MATCH("RevCAGR", Simulations!$A$1:$BK$1, 0))</f>
        <v>4.6328299348634194E-2</v>
      </c>
      <c r="D1247" s="2">
        <f ca="1">INDEX(Simulations!$A$1:$BK$2501, 1247, MATCH("SynMargin", Simulations!$A$1:$BK$1, 0))</f>
        <v>5.5252621524697577E-3</v>
      </c>
      <c r="E1247" s="2">
        <f ca="1">INDEX(Simulations!$A$1:$BK$2501, 1247, MATCH("Yr1Shock", Simulations!$A$1:$BK$1, 0))</f>
        <v>-4.3885786438318123E-3</v>
      </c>
    </row>
    <row r="1248" spans="1:5" x14ac:dyDescent="0.3">
      <c r="A1248" s="2">
        <f ca="1">INDEX(Simulations!$A$1:$BK$2501, 1248, MATCH("PurchaseMultiple", Simulations!$A$1:$BK$1, 0))</f>
        <v>7.628827488891865</v>
      </c>
      <c r="B1248" s="2">
        <f ca="1">INDEX(Simulations!$A$1:$BK$2501, 1248, MATCH("ExitMultiple", Simulations!$A$1:$BK$1, 0))</f>
        <v>7.4698261112072188</v>
      </c>
      <c r="C1248" s="2">
        <f ca="1">INDEX(Simulations!$A$1:$BK$2501, 1248, MATCH("RevCAGR", Simulations!$A$1:$BK$1, 0))</f>
        <v>-4.4574586149161502E-3</v>
      </c>
      <c r="D1248" s="2">
        <f ca="1">INDEX(Simulations!$A$1:$BK$2501, 1248, MATCH("SynMargin", Simulations!$A$1:$BK$1, 0))</f>
        <v>9.1164274074190688E-3</v>
      </c>
      <c r="E1248" s="2">
        <f ca="1">INDEX(Simulations!$A$1:$BK$2501, 1248, MATCH("Yr1Shock", Simulations!$A$1:$BK$1, 0))</f>
        <v>-8.8653982640973118E-3</v>
      </c>
    </row>
    <row r="1249" spans="1:5" x14ac:dyDescent="0.3">
      <c r="A1249" s="2">
        <f ca="1">INDEX(Simulations!$A$1:$BK$2501, 1249, MATCH("PurchaseMultiple", Simulations!$A$1:$BK$1, 0))</f>
        <v>6.2681707365617969</v>
      </c>
      <c r="B1249" s="2">
        <f ca="1">INDEX(Simulations!$A$1:$BK$2501, 1249, MATCH("ExitMultiple", Simulations!$A$1:$BK$1, 0))</f>
        <v>7.6033596533804637</v>
      </c>
      <c r="C1249" s="2">
        <f ca="1">INDEX(Simulations!$A$1:$BK$2501, 1249, MATCH("RevCAGR", Simulations!$A$1:$BK$1, 0))</f>
        <v>5.7546693935625066E-2</v>
      </c>
      <c r="D1249" s="2">
        <f ca="1">INDEX(Simulations!$A$1:$BK$2501, 1249, MATCH("SynMargin", Simulations!$A$1:$BK$1, 0))</f>
        <v>1.5167460227684358E-2</v>
      </c>
      <c r="E1249" s="2">
        <f ca="1">INDEX(Simulations!$A$1:$BK$2501, 1249, MATCH("Yr1Shock", Simulations!$A$1:$BK$1, 0))</f>
        <v>-8.8679286097669962E-3</v>
      </c>
    </row>
    <row r="1250" spans="1:5" x14ac:dyDescent="0.3">
      <c r="A1250" s="2">
        <f ca="1">INDEX(Simulations!$A$1:$BK$2501, 1250, MATCH("PurchaseMultiple", Simulations!$A$1:$BK$1, 0))</f>
        <v>7.2091197783746255</v>
      </c>
      <c r="B1250" s="2">
        <f ca="1">INDEX(Simulations!$A$1:$BK$2501, 1250, MATCH("ExitMultiple", Simulations!$A$1:$BK$1, 0))</f>
        <v>8.1399785067040735</v>
      </c>
      <c r="C1250" s="2">
        <f ca="1">INDEX(Simulations!$A$1:$BK$2501, 1250, MATCH("RevCAGR", Simulations!$A$1:$BK$1, 0))</f>
        <v>5.8404277602869079E-2</v>
      </c>
      <c r="D1250" s="2">
        <f ca="1">INDEX(Simulations!$A$1:$BK$2501, 1250, MATCH("SynMargin", Simulations!$A$1:$BK$1, 0))</f>
        <v>1.6705478608470603E-2</v>
      </c>
      <c r="E1250" s="2">
        <f ca="1">INDEX(Simulations!$A$1:$BK$2501, 1250, MATCH("Yr1Shock", Simulations!$A$1:$BK$1, 0))</f>
        <v>-6.8826129818780968E-3</v>
      </c>
    </row>
    <row r="1251" spans="1:5" x14ac:dyDescent="0.3">
      <c r="A1251" s="2">
        <f ca="1">INDEX(Simulations!$A$1:$BK$2501, 1251, MATCH("PurchaseMultiple", Simulations!$A$1:$BK$1, 0))</f>
        <v>7.1015336813966314</v>
      </c>
      <c r="B1251" s="2">
        <f ca="1">INDEX(Simulations!$A$1:$BK$2501, 1251, MATCH("ExitMultiple", Simulations!$A$1:$BK$1, 0))</f>
        <v>7.3467372250439764</v>
      </c>
      <c r="C1251" s="2">
        <f ca="1">INDEX(Simulations!$A$1:$BK$2501, 1251, MATCH("RevCAGR", Simulations!$A$1:$BK$1, 0))</f>
        <v>5.8541534613267443E-2</v>
      </c>
      <c r="D1251" s="2">
        <f ca="1">INDEX(Simulations!$A$1:$BK$2501, 1251, MATCH("SynMargin", Simulations!$A$1:$BK$1, 0))</f>
        <v>1.1318628396114439E-2</v>
      </c>
      <c r="E1251" s="2">
        <f ca="1">INDEX(Simulations!$A$1:$BK$2501, 1251, MATCH("Yr1Shock", Simulations!$A$1:$BK$1, 0))</f>
        <v>2.9954054258228033E-3</v>
      </c>
    </row>
    <row r="1252" spans="1:5" x14ac:dyDescent="0.3">
      <c r="A1252" s="2">
        <f ca="1">INDEX(Simulations!$A$1:$BK$2501, 1252, MATCH("PurchaseMultiple", Simulations!$A$1:$BK$1, 0))</f>
        <v>6.7559026808315163</v>
      </c>
      <c r="B1252" s="2">
        <f ca="1">INDEX(Simulations!$A$1:$BK$2501, 1252, MATCH("ExitMultiple", Simulations!$A$1:$BK$1, 0))</f>
        <v>7.9478851074803725</v>
      </c>
      <c r="C1252" s="2">
        <f ca="1">INDEX(Simulations!$A$1:$BK$2501, 1252, MATCH("RevCAGR", Simulations!$A$1:$BK$1, 0))</f>
        <v>-4.5788778438834443E-3</v>
      </c>
      <c r="D1252" s="2">
        <f ca="1">INDEX(Simulations!$A$1:$BK$2501, 1252, MATCH("SynMargin", Simulations!$A$1:$BK$1, 0))</f>
        <v>1.4692063376348373E-2</v>
      </c>
      <c r="E1252" s="2">
        <f ca="1">INDEX(Simulations!$A$1:$BK$2501, 1252, MATCH("Yr1Shock", Simulations!$A$1:$BK$1, 0))</f>
        <v>-6.585500176463888E-3</v>
      </c>
    </row>
    <row r="1253" spans="1:5" x14ac:dyDescent="0.3">
      <c r="A1253" s="2">
        <f ca="1">INDEX(Simulations!$A$1:$BK$2501, 1253, MATCH("PurchaseMultiple", Simulations!$A$1:$BK$1, 0))</f>
        <v>7.2494282176596796</v>
      </c>
      <c r="B1253" s="2">
        <f ca="1">INDEX(Simulations!$A$1:$BK$2501, 1253, MATCH("ExitMultiple", Simulations!$A$1:$BK$1, 0))</f>
        <v>8.025285731308287</v>
      </c>
      <c r="C1253" s="2">
        <f ca="1">INDEX(Simulations!$A$1:$BK$2501, 1253, MATCH("RevCAGR", Simulations!$A$1:$BK$1, 0))</f>
        <v>-8.7069542262423055E-3</v>
      </c>
      <c r="D1253" s="2">
        <f ca="1">INDEX(Simulations!$A$1:$BK$2501, 1253, MATCH("SynMargin", Simulations!$A$1:$BK$1, 0))</f>
        <v>3.3221196916719655E-3</v>
      </c>
      <c r="E1253" s="2">
        <f ca="1">INDEX(Simulations!$A$1:$BK$2501, 1253, MATCH("Yr1Shock", Simulations!$A$1:$BK$1, 0))</f>
        <v>-1.9562035127327421E-2</v>
      </c>
    </row>
    <row r="1254" spans="1:5" x14ac:dyDescent="0.3">
      <c r="A1254" s="2">
        <f ca="1">INDEX(Simulations!$A$1:$BK$2501, 1254, MATCH("PurchaseMultiple", Simulations!$A$1:$BK$1, 0))</f>
        <v>6.804775050809873</v>
      </c>
      <c r="B1254" s="2">
        <f ca="1">INDEX(Simulations!$A$1:$BK$2501, 1254, MATCH("ExitMultiple", Simulations!$A$1:$BK$1, 0))</f>
        <v>7.6068584248121818</v>
      </c>
      <c r="C1254" s="2">
        <f ca="1">INDEX(Simulations!$A$1:$BK$2501, 1254, MATCH("RevCAGR", Simulations!$A$1:$BK$1, 0))</f>
        <v>4.8437598685104777E-2</v>
      </c>
      <c r="D1254" s="2">
        <f ca="1">INDEX(Simulations!$A$1:$BK$2501, 1254, MATCH("SynMargin", Simulations!$A$1:$BK$1, 0))</f>
        <v>6.7467268569849793E-3</v>
      </c>
      <c r="E1254" s="2">
        <f ca="1">INDEX(Simulations!$A$1:$BK$2501, 1254, MATCH("Yr1Shock", Simulations!$A$1:$BK$1, 0))</f>
        <v>-1.9632167440940266E-2</v>
      </c>
    </row>
    <row r="1255" spans="1:5" x14ac:dyDescent="0.3">
      <c r="A1255" s="2">
        <f ca="1">INDEX(Simulations!$A$1:$BK$2501, 1255, MATCH("PurchaseMultiple", Simulations!$A$1:$BK$1, 0))</f>
        <v>6.6986029409456549</v>
      </c>
      <c r="B1255" s="2">
        <f ca="1">INDEX(Simulations!$A$1:$BK$2501, 1255, MATCH("ExitMultiple", Simulations!$A$1:$BK$1, 0))</f>
        <v>7.4431740811523071</v>
      </c>
      <c r="C1255" s="2">
        <f ca="1">INDEX(Simulations!$A$1:$BK$2501, 1255, MATCH("RevCAGR", Simulations!$A$1:$BK$1, 0))</f>
        <v>5.3339530462232124E-2</v>
      </c>
      <c r="D1255" s="2">
        <f ca="1">INDEX(Simulations!$A$1:$BK$2501, 1255, MATCH("SynMargin", Simulations!$A$1:$BK$1, 0))</f>
        <v>1.5148512340849175E-2</v>
      </c>
      <c r="E1255" s="2">
        <f ca="1">INDEX(Simulations!$A$1:$BK$2501, 1255, MATCH("Yr1Shock", Simulations!$A$1:$BK$1, 0))</f>
        <v>-7.9202726428354731E-3</v>
      </c>
    </row>
    <row r="1256" spans="1:5" x14ac:dyDescent="0.3">
      <c r="A1256" s="2">
        <f ca="1">INDEX(Simulations!$A$1:$BK$2501, 1256, MATCH("PurchaseMultiple", Simulations!$A$1:$BK$1, 0))</f>
        <v>6.0937691464393859</v>
      </c>
      <c r="B1256" s="2">
        <f ca="1">INDEX(Simulations!$A$1:$BK$2501, 1256, MATCH("ExitMultiple", Simulations!$A$1:$BK$1, 0))</f>
        <v>7.0671662581266776</v>
      </c>
      <c r="C1256" s="2">
        <f ca="1">INDEX(Simulations!$A$1:$BK$2501, 1256, MATCH("RevCAGR", Simulations!$A$1:$BK$1, 0))</f>
        <v>4.4228504988277163E-2</v>
      </c>
      <c r="D1256" s="2">
        <f ca="1">INDEX(Simulations!$A$1:$BK$2501, 1256, MATCH("SynMargin", Simulations!$A$1:$BK$1, 0))</f>
        <v>0</v>
      </c>
      <c r="E1256" s="2">
        <f ca="1">INDEX(Simulations!$A$1:$BK$2501, 1256, MATCH("Yr1Shock", Simulations!$A$1:$BK$1, 0))</f>
        <v>-4.1016436880140957E-3</v>
      </c>
    </row>
    <row r="1257" spans="1:5" x14ac:dyDescent="0.3">
      <c r="A1257" s="2">
        <f ca="1">INDEX(Simulations!$A$1:$BK$2501, 1257, MATCH("PurchaseMultiple", Simulations!$A$1:$BK$1, 0))</f>
        <v>7.6549554276277743</v>
      </c>
      <c r="B1257" s="2">
        <f ca="1">INDEX(Simulations!$A$1:$BK$2501, 1257, MATCH("ExitMultiple", Simulations!$A$1:$BK$1, 0))</f>
        <v>6.9575172238848531</v>
      </c>
      <c r="C1257" s="2">
        <f ca="1">INDEX(Simulations!$A$1:$BK$2501, 1257, MATCH("RevCAGR", Simulations!$A$1:$BK$1, 0))</f>
        <v>7.2271520473507628E-2</v>
      </c>
      <c r="D1257" s="2">
        <f ca="1">INDEX(Simulations!$A$1:$BK$2501, 1257, MATCH("SynMargin", Simulations!$A$1:$BK$1, 0))</f>
        <v>6.1916284575794251E-3</v>
      </c>
      <c r="E1257" s="2">
        <f ca="1">INDEX(Simulations!$A$1:$BK$2501, 1257, MATCH("Yr1Shock", Simulations!$A$1:$BK$1, 0))</f>
        <v>-1.1585796440542263E-2</v>
      </c>
    </row>
    <row r="1258" spans="1:5" x14ac:dyDescent="0.3">
      <c r="A1258" s="2">
        <f ca="1">INDEX(Simulations!$A$1:$BK$2501, 1258, MATCH("PurchaseMultiple", Simulations!$A$1:$BK$1, 0))</f>
        <v>7.0065015627503726</v>
      </c>
      <c r="B1258" s="2">
        <f ca="1">INDEX(Simulations!$A$1:$BK$2501, 1258, MATCH("ExitMultiple", Simulations!$A$1:$BK$1, 0))</f>
        <v>7.6611919918385976</v>
      </c>
      <c r="C1258" s="2">
        <f ca="1">INDEX(Simulations!$A$1:$BK$2501, 1258, MATCH("RevCAGR", Simulations!$A$1:$BK$1, 0))</f>
        <v>1.8562725368888821E-2</v>
      </c>
      <c r="D1258" s="2">
        <f ca="1">INDEX(Simulations!$A$1:$BK$2501, 1258, MATCH("SynMargin", Simulations!$A$1:$BK$1, 0))</f>
        <v>1.0797289632158058E-2</v>
      </c>
      <c r="E1258" s="2">
        <f ca="1">INDEX(Simulations!$A$1:$BK$2501, 1258, MATCH("Yr1Shock", Simulations!$A$1:$BK$1, 0))</f>
        <v>-1.260239232830225E-2</v>
      </c>
    </row>
    <row r="1259" spans="1:5" x14ac:dyDescent="0.3">
      <c r="A1259" s="2">
        <f ca="1">INDEX(Simulations!$A$1:$BK$2501, 1259, MATCH("PurchaseMultiple", Simulations!$A$1:$BK$1, 0))</f>
        <v>7.5091723467395228</v>
      </c>
      <c r="B1259" s="2">
        <f ca="1">INDEX(Simulations!$A$1:$BK$2501, 1259, MATCH("ExitMultiple", Simulations!$A$1:$BK$1, 0))</f>
        <v>7.6107600719431057</v>
      </c>
      <c r="C1259" s="2">
        <f ca="1">INDEX(Simulations!$A$1:$BK$2501, 1259, MATCH("RevCAGR", Simulations!$A$1:$BK$1, 0))</f>
        <v>2.5828752164869351E-2</v>
      </c>
      <c r="D1259" s="2">
        <f ca="1">INDEX(Simulations!$A$1:$BK$2501, 1259, MATCH("SynMargin", Simulations!$A$1:$BK$1, 0))</f>
        <v>1.9017548070139032E-2</v>
      </c>
      <c r="E1259" s="2">
        <f ca="1">INDEX(Simulations!$A$1:$BK$2501, 1259, MATCH("Yr1Shock", Simulations!$A$1:$BK$1, 0))</f>
        <v>-1.259577914379433E-2</v>
      </c>
    </row>
    <row r="1260" spans="1:5" x14ac:dyDescent="0.3">
      <c r="A1260" s="2">
        <f ca="1">INDEX(Simulations!$A$1:$BK$2501, 1260, MATCH("PurchaseMultiple", Simulations!$A$1:$BK$1, 0))</f>
        <v>6.969663095097208</v>
      </c>
      <c r="B1260" s="2">
        <f ca="1">INDEX(Simulations!$A$1:$BK$2501, 1260, MATCH("ExitMultiple", Simulations!$A$1:$BK$1, 0))</f>
        <v>7.2490456757151467</v>
      </c>
      <c r="C1260" s="2">
        <f ca="1">INDEX(Simulations!$A$1:$BK$2501, 1260, MATCH("RevCAGR", Simulations!$A$1:$BK$1, 0))</f>
        <v>5.2272621353033136E-2</v>
      </c>
      <c r="D1260" s="2">
        <f ca="1">INDEX(Simulations!$A$1:$BK$2501, 1260, MATCH("SynMargin", Simulations!$A$1:$BK$1, 0))</f>
        <v>1.2473261442533835E-3</v>
      </c>
      <c r="E1260" s="2">
        <f ca="1">INDEX(Simulations!$A$1:$BK$2501, 1260, MATCH("Yr1Shock", Simulations!$A$1:$BK$1, 0))</f>
        <v>1.5134938998495082E-2</v>
      </c>
    </row>
    <row r="1261" spans="1:5" x14ac:dyDescent="0.3">
      <c r="A1261" s="2">
        <f ca="1">INDEX(Simulations!$A$1:$BK$2501, 1261, MATCH("PurchaseMultiple", Simulations!$A$1:$BK$1, 0))</f>
        <v>6.7234437565820562</v>
      </c>
      <c r="B1261" s="2">
        <f ca="1">INDEX(Simulations!$A$1:$BK$2501, 1261, MATCH("ExitMultiple", Simulations!$A$1:$BK$1, 0))</f>
        <v>7.3936666686366994</v>
      </c>
      <c r="C1261" s="2">
        <f ca="1">INDEX(Simulations!$A$1:$BK$2501, 1261, MATCH("RevCAGR", Simulations!$A$1:$BK$1, 0))</f>
        <v>1.8074102019983555E-2</v>
      </c>
      <c r="D1261" s="2">
        <f ca="1">INDEX(Simulations!$A$1:$BK$2501, 1261, MATCH("SynMargin", Simulations!$A$1:$BK$1, 0))</f>
        <v>1.3538186831157359E-2</v>
      </c>
      <c r="E1261" s="2">
        <f ca="1">INDEX(Simulations!$A$1:$BK$2501, 1261, MATCH("Yr1Shock", Simulations!$A$1:$BK$1, 0))</f>
        <v>4.3913457060098804E-3</v>
      </c>
    </row>
    <row r="1262" spans="1:5" x14ac:dyDescent="0.3">
      <c r="A1262" s="2">
        <f ca="1">INDEX(Simulations!$A$1:$BK$2501, 1262, MATCH("PurchaseMultiple", Simulations!$A$1:$BK$1, 0))</f>
        <v>7.0941734097873583</v>
      </c>
      <c r="B1262" s="2">
        <f ca="1">INDEX(Simulations!$A$1:$BK$2501, 1262, MATCH("ExitMultiple", Simulations!$A$1:$BK$1, 0))</f>
        <v>7.4815910381576503</v>
      </c>
      <c r="C1262" s="2">
        <f ca="1">INDEX(Simulations!$A$1:$BK$2501, 1262, MATCH("RevCAGR", Simulations!$A$1:$BK$1, 0))</f>
        <v>6.4024043856370172E-2</v>
      </c>
      <c r="D1262" s="2">
        <f ca="1">INDEX(Simulations!$A$1:$BK$2501, 1262, MATCH("SynMargin", Simulations!$A$1:$BK$1, 0))</f>
        <v>1.4687010320273183E-2</v>
      </c>
      <c r="E1262" s="2">
        <f ca="1">INDEX(Simulations!$A$1:$BK$2501, 1262, MATCH("Yr1Shock", Simulations!$A$1:$BK$1, 0))</f>
        <v>-6.0354624987536652E-3</v>
      </c>
    </row>
    <row r="1263" spans="1:5" x14ac:dyDescent="0.3">
      <c r="A1263" s="2">
        <f ca="1">INDEX(Simulations!$A$1:$BK$2501, 1263, MATCH("PurchaseMultiple", Simulations!$A$1:$BK$1, 0))</f>
        <v>6.2910604163749557</v>
      </c>
      <c r="B1263" s="2">
        <f ca="1">INDEX(Simulations!$A$1:$BK$2501, 1263, MATCH("ExitMultiple", Simulations!$A$1:$BK$1, 0))</f>
        <v>7.7379766683454116</v>
      </c>
      <c r="C1263" s="2">
        <f ca="1">INDEX(Simulations!$A$1:$BK$2501, 1263, MATCH("RevCAGR", Simulations!$A$1:$BK$1, 0))</f>
        <v>4.6121667380594297E-2</v>
      </c>
      <c r="D1263" s="2">
        <f ca="1">INDEX(Simulations!$A$1:$BK$2501, 1263, MATCH("SynMargin", Simulations!$A$1:$BK$1, 0))</f>
        <v>6.9529860751912764E-3</v>
      </c>
      <c r="E1263" s="2">
        <f ca="1">INDEX(Simulations!$A$1:$BK$2501, 1263, MATCH("Yr1Shock", Simulations!$A$1:$BK$1, 0))</f>
        <v>-7.033538135541275E-3</v>
      </c>
    </row>
    <row r="1264" spans="1:5" x14ac:dyDescent="0.3">
      <c r="A1264" s="2">
        <f ca="1">INDEX(Simulations!$A$1:$BK$2501, 1264, MATCH("PurchaseMultiple", Simulations!$A$1:$BK$1, 0))</f>
        <v>6.5345414411227978</v>
      </c>
      <c r="B1264" s="2">
        <f ca="1">INDEX(Simulations!$A$1:$BK$2501, 1264, MATCH("ExitMultiple", Simulations!$A$1:$BK$1, 0))</f>
        <v>7.8740047711051204</v>
      </c>
      <c r="C1264" s="2">
        <f ca="1">INDEX(Simulations!$A$1:$BK$2501, 1264, MATCH("RevCAGR", Simulations!$A$1:$BK$1, 0))</f>
        <v>5.4774374535522682E-2</v>
      </c>
      <c r="D1264" s="2">
        <f ca="1">INDEX(Simulations!$A$1:$BK$2501, 1264, MATCH("SynMargin", Simulations!$A$1:$BK$1, 0))</f>
        <v>0</v>
      </c>
      <c r="E1264" s="2">
        <f ca="1">INDEX(Simulations!$A$1:$BK$2501, 1264, MATCH("Yr1Shock", Simulations!$A$1:$BK$1, 0))</f>
        <v>-3.9507121393439395E-3</v>
      </c>
    </row>
    <row r="1265" spans="1:5" x14ac:dyDescent="0.3">
      <c r="A1265" s="2">
        <f ca="1">INDEX(Simulations!$A$1:$BK$2501, 1265, MATCH("PurchaseMultiple", Simulations!$A$1:$BK$1, 0))</f>
        <v>7.4901352665203564</v>
      </c>
      <c r="B1265" s="2">
        <f ca="1">INDEX(Simulations!$A$1:$BK$2501, 1265, MATCH("ExitMultiple", Simulations!$A$1:$BK$1, 0))</f>
        <v>7.4528258752558534</v>
      </c>
      <c r="C1265" s="2">
        <f ca="1">INDEX(Simulations!$A$1:$BK$2501, 1265, MATCH("RevCAGR", Simulations!$A$1:$BK$1, 0))</f>
        <v>4.6175230705426104E-2</v>
      </c>
      <c r="D1265" s="2">
        <f ca="1">INDEX(Simulations!$A$1:$BK$2501, 1265, MATCH("SynMargin", Simulations!$A$1:$BK$1, 0))</f>
        <v>8.3868895698630107E-3</v>
      </c>
      <c r="E1265" s="2">
        <f ca="1">INDEX(Simulations!$A$1:$BK$2501, 1265, MATCH("Yr1Shock", Simulations!$A$1:$BK$1, 0))</f>
        <v>-1.8890950508314325E-2</v>
      </c>
    </row>
    <row r="1266" spans="1:5" x14ac:dyDescent="0.3">
      <c r="A1266" s="2">
        <f ca="1">INDEX(Simulations!$A$1:$BK$2501, 1266, MATCH("PurchaseMultiple", Simulations!$A$1:$BK$1, 0))</f>
        <v>7.2061567753853648</v>
      </c>
      <c r="B1266" s="2">
        <f ca="1">INDEX(Simulations!$A$1:$BK$2501, 1266, MATCH("ExitMultiple", Simulations!$A$1:$BK$1, 0))</f>
        <v>7.5685831420572525</v>
      </c>
      <c r="C1266" s="2">
        <f ca="1">INDEX(Simulations!$A$1:$BK$2501, 1266, MATCH("RevCAGR", Simulations!$A$1:$BK$1, 0))</f>
        <v>3.9587933937087073E-2</v>
      </c>
      <c r="D1266" s="2">
        <f ca="1">INDEX(Simulations!$A$1:$BK$2501, 1266, MATCH("SynMargin", Simulations!$A$1:$BK$1, 0))</f>
        <v>1.3229468725283728E-2</v>
      </c>
      <c r="E1266" s="2">
        <f ca="1">INDEX(Simulations!$A$1:$BK$2501, 1266, MATCH("Yr1Shock", Simulations!$A$1:$BK$1, 0))</f>
        <v>-1.6092283605727828E-2</v>
      </c>
    </row>
    <row r="1267" spans="1:5" x14ac:dyDescent="0.3">
      <c r="A1267" s="2">
        <f ca="1">INDEX(Simulations!$A$1:$BK$2501, 1267, MATCH("PurchaseMultiple", Simulations!$A$1:$BK$1, 0))</f>
        <v>7.1030581236139341</v>
      </c>
      <c r="B1267" s="2">
        <f ca="1">INDEX(Simulations!$A$1:$BK$2501, 1267, MATCH("ExitMultiple", Simulations!$A$1:$BK$1, 0))</f>
        <v>7.7657409002817017</v>
      </c>
      <c r="C1267" s="2">
        <f ca="1">INDEX(Simulations!$A$1:$BK$2501, 1267, MATCH("RevCAGR", Simulations!$A$1:$BK$1, 0))</f>
        <v>4.5991490967061954E-3</v>
      </c>
      <c r="D1267" s="2">
        <f ca="1">INDEX(Simulations!$A$1:$BK$2501, 1267, MATCH("SynMargin", Simulations!$A$1:$BK$1, 0))</f>
        <v>0</v>
      </c>
      <c r="E1267" s="2">
        <f ca="1">INDEX(Simulations!$A$1:$BK$2501, 1267, MATCH("Yr1Shock", Simulations!$A$1:$BK$1, 0))</f>
        <v>-1.9244475449804295E-2</v>
      </c>
    </row>
    <row r="1268" spans="1:5" x14ac:dyDescent="0.3">
      <c r="A1268" s="2">
        <f ca="1">INDEX(Simulations!$A$1:$BK$2501, 1268, MATCH("PurchaseMultiple", Simulations!$A$1:$BK$1, 0))</f>
        <v>7.7187337817177459</v>
      </c>
      <c r="B1268" s="2">
        <f ca="1">INDEX(Simulations!$A$1:$BK$2501, 1268, MATCH("ExitMultiple", Simulations!$A$1:$BK$1, 0))</f>
        <v>7.9565675901940152</v>
      </c>
      <c r="C1268" s="2">
        <f ca="1">INDEX(Simulations!$A$1:$BK$2501, 1268, MATCH("RevCAGR", Simulations!$A$1:$BK$1, 0))</f>
        <v>-0.02</v>
      </c>
      <c r="D1268" s="2">
        <f ca="1">INDEX(Simulations!$A$1:$BK$2501, 1268, MATCH("SynMargin", Simulations!$A$1:$BK$1, 0))</f>
        <v>1.0635939329589875E-2</v>
      </c>
      <c r="E1268" s="2">
        <f ca="1">INDEX(Simulations!$A$1:$BK$2501, 1268, MATCH("Yr1Shock", Simulations!$A$1:$BK$1, 0))</f>
        <v>-1.9902846138063156E-2</v>
      </c>
    </row>
    <row r="1269" spans="1:5" x14ac:dyDescent="0.3">
      <c r="A1269" s="2">
        <f ca="1">INDEX(Simulations!$A$1:$BK$2501, 1269, MATCH("PurchaseMultiple", Simulations!$A$1:$BK$1, 0))</f>
        <v>6.9694046317161202</v>
      </c>
      <c r="B1269" s="2">
        <f ca="1">INDEX(Simulations!$A$1:$BK$2501, 1269, MATCH("ExitMultiple", Simulations!$A$1:$BK$1, 0))</f>
        <v>7.2394021105535478</v>
      </c>
      <c r="C1269" s="2">
        <f ca="1">INDEX(Simulations!$A$1:$BK$2501, 1269, MATCH("RevCAGR", Simulations!$A$1:$BK$1, 0))</f>
        <v>4.3792552585825616E-2</v>
      </c>
      <c r="D1269" s="2">
        <f ca="1">INDEX(Simulations!$A$1:$BK$2501, 1269, MATCH("SynMargin", Simulations!$A$1:$BK$1, 0))</f>
        <v>1.1690143849278503E-2</v>
      </c>
      <c r="E1269" s="2">
        <f ca="1">INDEX(Simulations!$A$1:$BK$2501, 1269, MATCH("Yr1Shock", Simulations!$A$1:$BK$1, 0))</f>
        <v>6.8746520246393099E-3</v>
      </c>
    </row>
    <row r="1270" spans="1:5" x14ac:dyDescent="0.3">
      <c r="A1270" s="2">
        <f ca="1">INDEX(Simulations!$A$1:$BK$2501, 1270, MATCH("PurchaseMultiple", Simulations!$A$1:$BK$1, 0))</f>
        <v>7.2538408882799938</v>
      </c>
      <c r="B1270" s="2">
        <f ca="1">INDEX(Simulations!$A$1:$BK$2501, 1270, MATCH("ExitMultiple", Simulations!$A$1:$BK$1, 0))</f>
        <v>8.3754223962756065</v>
      </c>
      <c r="C1270" s="2">
        <f ca="1">INDEX(Simulations!$A$1:$BK$2501, 1270, MATCH("RevCAGR", Simulations!$A$1:$BK$1, 0))</f>
        <v>1.9575111286446553E-2</v>
      </c>
      <c r="D1270" s="2">
        <f ca="1">INDEX(Simulations!$A$1:$BK$2501, 1270, MATCH("SynMargin", Simulations!$A$1:$BK$1, 0))</f>
        <v>2.6489589048687805E-4</v>
      </c>
      <c r="E1270" s="2">
        <f ca="1">INDEX(Simulations!$A$1:$BK$2501, 1270, MATCH("Yr1Shock", Simulations!$A$1:$BK$1, 0))</f>
        <v>4.130028730621447E-4</v>
      </c>
    </row>
    <row r="1271" spans="1:5" x14ac:dyDescent="0.3">
      <c r="A1271" s="2">
        <f ca="1">INDEX(Simulations!$A$1:$BK$2501, 1271, MATCH("PurchaseMultiple", Simulations!$A$1:$BK$1, 0))</f>
        <v>7.8701326460018919</v>
      </c>
      <c r="B1271" s="2">
        <f ca="1">INDEX(Simulations!$A$1:$BK$2501, 1271, MATCH("ExitMultiple", Simulations!$A$1:$BK$1, 0))</f>
        <v>7.8104120167390922</v>
      </c>
      <c r="C1271" s="2">
        <f ca="1">INDEX(Simulations!$A$1:$BK$2501, 1271, MATCH("RevCAGR", Simulations!$A$1:$BK$1, 0))</f>
        <v>2.1561366400032141E-2</v>
      </c>
      <c r="D1271" s="2">
        <f ca="1">INDEX(Simulations!$A$1:$BK$2501, 1271, MATCH("SynMargin", Simulations!$A$1:$BK$1, 0))</f>
        <v>1.4958565873381589E-2</v>
      </c>
      <c r="E1271" s="2">
        <f ca="1">INDEX(Simulations!$A$1:$BK$2501, 1271, MATCH("Yr1Shock", Simulations!$A$1:$BK$1, 0))</f>
        <v>-1.3461562219200854E-3</v>
      </c>
    </row>
    <row r="1272" spans="1:5" x14ac:dyDescent="0.3">
      <c r="A1272" s="2">
        <f ca="1">INDEX(Simulations!$A$1:$BK$2501, 1272, MATCH("PurchaseMultiple", Simulations!$A$1:$BK$1, 0))</f>
        <v>7.1379276684815194</v>
      </c>
      <c r="B1272" s="2">
        <f ca="1">INDEX(Simulations!$A$1:$BK$2501, 1272, MATCH("ExitMultiple", Simulations!$A$1:$BK$1, 0))</f>
        <v>7.2027091697862771</v>
      </c>
      <c r="C1272" s="2">
        <f ca="1">INDEX(Simulations!$A$1:$BK$2501, 1272, MATCH("RevCAGR", Simulations!$A$1:$BK$1, 0))</f>
        <v>5.7937177035918747E-2</v>
      </c>
      <c r="D1272" s="2">
        <f ca="1">INDEX(Simulations!$A$1:$BK$2501, 1272, MATCH("SynMargin", Simulations!$A$1:$BK$1, 0))</f>
        <v>1.3048526205542015E-2</v>
      </c>
      <c r="E1272" s="2">
        <f ca="1">INDEX(Simulations!$A$1:$BK$2501, 1272, MATCH("Yr1Shock", Simulations!$A$1:$BK$1, 0))</f>
        <v>-3.857352883522922E-3</v>
      </c>
    </row>
    <row r="1273" spans="1:5" x14ac:dyDescent="0.3">
      <c r="A1273" s="2">
        <f ca="1">INDEX(Simulations!$A$1:$BK$2501, 1273, MATCH("PurchaseMultiple", Simulations!$A$1:$BK$1, 0))</f>
        <v>6.9653575880692289</v>
      </c>
      <c r="B1273" s="2">
        <f ca="1">INDEX(Simulations!$A$1:$BK$2501, 1273, MATCH("ExitMultiple", Simulations!$A$1:$BK$1, 0))</f>
        <v>7.3874500092099851</v>
      </c>
      <c r="C1273" s="2">
        <f ca="1">INDEX(Simulations!$A$1:$BK$2501, 1273, MATCH("RevCAGR", Simulations!$A$1:$BK$1, 0))</f>
        <v>4.4917105463134113E-2</v>
      </c>
      <c r="D1273" s="2">
        <f ca="1">INDEX(Simulations!$A$1:$BK$2501, 1273, MATCH("SynMargin", Simulations!$A$1:$BK$1, 0))</f>
        <v>1.8087957843532426E-2</v>
      </c>
      <c r="E1273" s="2">
        <f ca="1">INDEX(Simulations!$A$1:$BK$2501, 1273, MATCH("Yr1Shock", Simulations!$A$1:$BK$1, 0))</f>
        <v>-2.1737703866599487E-2</v>
      </c>
    </row>
    <row r="1274" spans="1:5" x14ac:dyDescent="0.3">
      <c r="A1274" s="2">
        <f ca="1">INDEX(Simulations!$A$1:$BK$2501, 1274, MATCH("PurchaseMultiple", Simulations!$A$1:$BK$1, 0))</f>
        <v>7.390109999544622</v>
      </c>
      <c r="B1274" s="2">
        <f ca="1">INDEX(Simulations!$A$1:$BK$2501, 1274, MATCH("ExitMultiple", Simulations!$A$1:$BK$1, 0))</f>
        <v>7.6390414777656854</v>
      </c>
      <c r="C1274" s="2">
        <f ca="1">INDEX(Simulations!$A$1:$BK$2501, 1274, MATCH("RevCAGR", Simulations!$A$1:$BK$1, 0))</f>
        <v>9.0506197908023445E-2</v>
      </c>
      <c r="D1274" s="2">
        <f ca="1">INDEX(Simulations!$A$1:$BK$2501, 1274, MATCH("SynMargin", Simulations!$A$1:$BK$1, 0))</f>
        <v>9.0920518146584677E-3</v>
      </c>
      <c r="E1274" s="2">
        <f ca="1">INDEX(Simulations!$A$1:$BK$2501, 1274, MATCH("Yr1Shock", Simulations!$A$1:$BK$1, 0))</f>
        <v>-2.0170128607536295E-2</v>
      </c>
    </row>
    <row r="1275" spans="1:5" x14ac:dyDescent="0.3">
      <c r="A1275" s="2">
        <f ca="1">INDEX(Simulations!$A$1:$BK$2501, 1275, MATCH("PurchaseMultiple", Simulations!$A$1:$BK$1, 0))</f>
        <v>6.1384873259488293</v>
      </c>
      <c r="B1275" s="2">
        <f ca="1">INDEX(Simulations!$A$1:$BK$2501, 1275, MATCH("ExitMultiple", Simulations!$A$1:$BK$1, 0))</f>
        <v>6.8287630906290495</v>
      </c>
      <c r="C1275" s="2">
        <f ca="1">INDEX(Simulations!$A$1:$BK$2501, 1275, MATCH("RevCAGR", Simulations!$A$1:$BK$1, 0))</f>
        <v>7.128636978478553E-2</v>
      </c>
      <c r="D1275" s="2">
        <f ca="1">INDEX(Simulations!$A$1:$BK$2501, 1275, MATCH("SynMargin", Simulations!$A$1:$BK$1, 0))</f>
        <v>1.4963227188164908E-2</v>
      </c>
      <c r="E1275" s="2">
        <f ca="1">INDEX(Simulations!$A$1:$BK$2501, 1275, MATCH("Yr1Shock", Simulations!$A$1:$BK$1, 0))</f>
        <v>1.0246905603749872E-2</v>
      </c>
    </row>
    <row r="1276" spans="1:5" x14ac:dyDescent="0.3">
      <c r="A1276" s="2">
        <f ca="1">INDEX(Simulations!$A$1:$BK$2501, 1276, MATCH("PurchaseMultiple", Simulations!$A$1:$BK$1, 0))</f>
        <v>6.4664102289891119</v>
      </c>
      <c r="B1276" s="2">
        <f ca="1">INDEX(Simulations!$A$1:$BK$2501, 1276, MATCH("ExitMultiple", Simulations!$A$1:$BK$1, 0))</f>
        <v>7.3423736104604584</v>
      </c>
      <c r="C1276" s="2">
        <f ca="1">INDEX(Simulations!$A$1:$BK$2501, 1276, MATCH("RevCAGR", Simulations!$A$1:$BK$1, 0))</f>
        <v>2.2520241943360962E-2</v>
      </c>
      <c r="D1276" s="2">
        <f ca="1">INDEX(Simulations!$A$1:$BK$2501, 1276, MATCH("SynMargin", Simulations!$A$1:$BK$1, 0))</f>
        <v>1.0124015714158746E-2</v>
      </c>
      <c r="E1276" s="2">
        <f ca="1">INDEX(Simulations!$A$1:$BK$2501, 1276, MATCH("Yr1Shock", Simulations!$A$1:$BK$1, 0))</f>
        <v>1.2343353343411911E-2</v>
      </c>
    </row>
    <row r="1277" spans="1:5" x14ac:dyDescent="0.3">
      <c r="A1277" s="2">
        <f ca="1">INDEX(Simulations!$A$1:$BK$2501, 1277, MATCH("PurchaseMultiple", Simulations!$A$1:$BK$1, 0))</f>
        <v>7.7725892405761163</v>
      </c>
      <c r="B1277" s="2">
        <f ca="1">INDEX(Simulations!$A$1:$BK$2501, 1277, MATCH("ExitMultiple", Simulations!$A$1:$BK$1, 0))</f>
        <v>6.718697357325925</v>
      </c>
      <c r="C1277" s="2">
        <f ca="1">INDEX(Simulations!$A$1:$BK$2501, 1277, MATCH("RevCAGR", Simulations!$A$1:$BK$1, 0))</f>
        <v>-1.466888856200934E-2</v>
      </c>
      <c r="D1277" s="2">
        <f ca="1">INDEX(Simulations!$A$1:$BK$2501, 1277, MATCH("SynMargin", Simulations!$A$1:$BK$1, 0))</f>
        <v>8.5695562340247118E-3</v>
      </c>
      <c r="E1277" s="2">
        <f ca="1">INDEX(Simulations!$A$1:$BK$2501, 1277, MATCH("Yr1Shock", Simulations!$A$1:$BK$1, 0))</f>
        <v>-2.922243899932556E-2</v>
      </c>
    </row>
    <row r="1278" spans="1:5" x14ac:dyDescent="0.3">
      <c r="A1278" s="2">
        <f ca="1">INDEX(Simulations!$A$1:$BK$2501, 1278, MATCH("PurchaseMultiple", Simulations!$A$1:$BK$1, 0))</f>
        <v>7.1317988472726928</v>
      </c>
      <c r="B1278" s="2">
        <f ca="1">INDEX(Simulations!$A$1:$BK$2501, 1278, MATCH("ExitMultiple", Simulations!$A$1:$BK$1, 0))</f>
        <v>8.0229158127211004</v>
      </c>
      <c r="C1278" s="2">
        <f ca="1">INDEX(Simulations!$A$1:$BK$2501, 1278, MATCH("RevCAGR", Simulations!$A$1:$BK$1, 0))</f>
        <v>2.0531863292594984E-2</v>
      </c>
      <c r="D1278" s="2">
        <f ca="1">INDEX(Simulations!$A$1:$BK$2501, 1278, MATCH("SynMargin", Simulations!$A$1:$BK$1, 0))</f>
        <v>4.3291251469123786E-3</v>
      </c>
      <c r="E1278" s="2">
        <f ca="1">INDEX(Simulations!$A$1:$BK$2501, 1278, MATCH("Yr1Shock", Simulations!$A$1:$BK$1, 0))</f>
        <v>3.7335231956160272E-2</v>
      </c>
    </row>
    <row r="1279" spans="1:5" x14ac:dyDescent="0.3">
      <c r="A1279" s="2">
        <f ca="1">INDEX(Simulations!$A$1:$BK$2501, 1279, MATCH("PurchaseMultiple", Simulations!$A$1:$BK$1, 0))</f>
        <v>7.340700812593469</v>
      </c>
      <c r="B1279" s="2">
        <f ca="1">INDEX(Simulations!$A$1:$BK$2501, 1279, MATCH("ExitMultiple", Simulations!$A$1:$BK$1, 0))</f>
        <v>7.1709545562814396</v>
      </c>
      <c r="C1279" s="2">
        <f ca="1">INDEX(Simulations!$A$1:$BK$2501, 1279, MATCH("RevCAGR", Simulations!$A$1:$BK$1, 0))</f>
        <v>-1.1941766408624488E-2</v>
      </c>
      <c r="D1279" s="2">
        <f ca="1">INDEX(Simulations!$A$1:$BK$2501, 1279, MATCH("SynMargin", Simulations!$A$1:$BK$1, 0))</f>
        <v>0</v>
      </c>
      <c r="E1279" s="2">
        <f ca="1">INDEX(Simulations!$A$1:$BK$2501, 1279, MATCH("Yr1Shock", Simulations!$A$1:$BK$1, 0))</f>
        <v>-7.3362910903584993E-3</v>
      </c>
    </row>
    <row r="1280" spans="1:5" x14ac:dyDescent="0.3">
      <c r="A1280" s="2">
        <f ca="1">INDEX(Simulations!$A$1:$BK$2501, 1280, MATCH("PurchaseMultiple", Simulations!$A$1:$BK$1, 0))</f>
        <v>6.7758808073283614</v>
      </c>
      <c r="B1280" s="2">
        <f ca="1">INDEX(Simulations!$A$1:$BK$2501, 1280, MATCH("ExitMultiple", Simulations!$A$1:$BK$1, 0))</f>
        <v>7.4949765595097491</v>
      </c>
      <c r="C1280" s="2">
        <f ca="1">INDEX(Simulations!$A$1:$BK$2501, 1280, MATCH("RevCAGR", Simulations!$A$1:$BK$1, 0))</f>
        <v>1.1315508971882247E-2</v>
      </c>
      <c r="D1280" s="2">
        <f ca="1">INDEX(Simulations!$A$1:$BK$2501, 1280, MATCH("SynMargin", Simulations!$A$1:$BK$1, 0))</f>
        <v>1.1257485304118384E-2</v>
      </c>
      <c r="E1280" s="2">
        <f ca="1">INDEX(Simulations!$A$1:$BK$2501, 1280, MATCH("Yr1Shock", Simulations!$A$1:$BK$1, 0))</f>
        <v>-9.6528723746600997E-3</v>
      </c>
    </row>
    <row r="1281" spans="1:5" x14ac:dyDescent="0.3">
      <c r="A1281" s="2">
        <f ca="1">INDEX(Simulations!$A$1:$BK$2501, 1281, MATCH("PurchaseMultiple", Simulations!$A$1:$BK$1, 0))</f>
        <v>6.9430108120152711</v>
      </c>
      <c r="B1281" s="2">
        <f ca="1">INDEX(Simulations!$A$1:$BK$2501, 1281, MATCH("ExitMultiple", Simulations!$A$1:$BK$1, 0))</f>
        <v>7.0134128469911339</v>
      </c>
      <c r="C1281" s="2">
        <f ca="1">INDEX(Simulations!$A$1:$BK$2501, 1281, MATCH("RevCAGR", Simulations!$A$1:$BK$1, 0))</f>
        <v>1.0707731402817531E-2</v>
      </c>
      <c r="D1281" s="2">
        <f ca="1">INDEX(Simulations!$A$1:$BK$2501, 1281, MATCH("SynMargin", Simulations!$A$1:$BK$1, 0))</f>
        <v>2.5840998638948807E-2</v>
      </c>
      <c r="E1281" s="2">
        <f ca="1">INDEX(Simulations!$A$1:$BK$2501, 1281, MATCH("Yr1Shock", Simulations!$A$1:$BK$1, 0))</f>
        <v>-9.1213494576809946E-3</v>
      </c>
    </row>
    <row r="1282" spans="1:5" x14ac:dyDescent="0.3">
      <c r="A1282" s="2">
        <f ca="1">INDEX(Simulations!$A$1:$BK$2501, 1282, MATCH("PurchaseMultiple", Simulations!$A$1:$BK$1, 0))</f>
        <v>6.7183537217718339</v>
      </c>
      <c r="B1282" s="2">
        <f ca="1">INDEX(Simulations!$A$1:$BK$2501, 1282, MATCH("ExitMultiple", Simulations!$A$1:$BK$1, 0))</f>
        <v>7.5039258338922208</v>
      </c>
      <c r="C1282" s="2">
        <f ca="1">INDEX(Simulations!$A$1:$BK$2501, 1282, MATCH("RevCAGR", Simulations!$A$1:$BK$1, 0))</f>
        <v>7.8090712333251544E-2</v>
      </c>
      <c r="D1282" s="2">
        <f ca="1">INDEX(Simulations!$A$1:$BK$2501, 1282, MATCH("SynMargin", Simulations!$A$1:$BK$1, 0))</f>
        <v>1.2295412784264867E-2</v>
      </c>
      <c r="E1282" s="2">
        <f ca="1">INDEX(Simulations!$A$1:$BK$2501, 1282, MATCH("Yr1Shock", Simulations!$A$1:$BK$1, 0))</f>
        <v>-3.7259341405497706E-2</v>
      </c>
    </row>
    <row r="1283" spans="1:5" x14ac:dyDescent="0.3">
      <c r="A1283" s="2">
        <f ca="1">INDEX(Simulations!$A$1:$BK$2501, 1283, MATCH("PurchaseMultiple", Simulations!$A$1:$BK$1, 0))</f>
        <v>7.0956221470620893</v>
      </c>
      <c r="B1283" s="2">
        <f ca="1">INDEX(Simulations!$A$1:$BK$2501, 1283, MATCH("ExitMultiple", Simulations!$A$1:$BK$1, 0))</f>
        <v>7.825576326888287</v>
      </c>
      <c r="C1283" s="2">
        <f ca="1">INDEX(Simulations!$A$1:$BK$2501, 1283, MATCH("RevCAGR", Simulations!$A$1:$BK$1, 0))</f>
        <v>2.0360067285598738E-2</v>
      </c>
      <c r="D1283" s="2">
        <f ca="1">INDEX(Simulations!$A$1:$BK$2501, 1283, MATCH("SynMargin", Simulations!$A$1:$BK$1, 0))</f>
        <v>1.0789574069795126E-2</v>
      </c>
      <c r="E1283" s="2">
        <f ca="1">INDEX(Simulations!$A$1:$BK$2501, 1283, MATCH("Yr1Shock", Simulations!$A$1:$BK$1, 0))</f>
        <v>7.4768567332619907E-3</v>
      </c>
    </row>
    <row r="1284" spans="1:5" x14ac:dyDescent="0.3">
      <c r="A1284" s="2">
        <f ca="1">INDEX(Simulations!$A$1:$BK$2501, 1284, MATCH("PurchaseMultiple", Simulations!$A$1:$BK$1, 0))</f>
        <v>7.5137643568656811</v>
      </c>
      <c r="B1284" s="2">
        <f ca="1">INDEX(Simulations!$A$1:$BK$2501, 1284, MATCH("ExitMultiple", Simulations!$A$1:$BK$1, 0))</f>
        <v>8.1345916885439067</v>
      </c>
      <c r="C1284" s="2">
        <f ca="1">INDEX(Simulations!$A$1:$BK$2501, 1284, MATCH("RevCAGR", Simulations!$A$1:$BK$1, 0))</f>
        <v>2.8997505678467074E-2</v>
      </c>
      <c r="D1284" s="2">
        <f ca="1">INDEX(Simulations!$A$1:$BK$2501, 1284, MATCH("SynMargin", Simulations!$A$1:$BK$1, 0))</f>
        <v>0</v>
      </c>
      <c r="E1284" s="2">
        <f ca="1">INDEX(Simulations!$A$1:$BK$2501, 1284, MATCH("Yr1Shock", Simulations!$A$1:$BK$1, 0))</f>
        <v>-2.1307581471185773E-3</v>
      </c>
    </row>
    <row r="1285" spans="1:5" x14ac:dyDescent="0.3">
      <c r="A1285" s="2">
        <f ca="1">INDEX(Simulations!$A$1:$BK$2501, 1285, MATCH("PurchaseMultiple", Simulations!$A$1:$BK$1, 0))</f>
        <v>7.2888680881846195</v>
      </c>
      <c r="B1285" s="2">
        <f ca="1">INDEX(Simulations!$A$1:$BK$2501, 1285, MATCH("ExitMultiple", Simulations!$A$1:$BK$1, 0))</f>
        <v>7.2417992900669841</v>
      </c>
      <c r="C1285" s="2">
        <f ca="1">INDEX(Simulations!$A$1:$BK$2501, 1285, MATCH("RevCAGR", Simulations!$A$1:$BK$1, 0))</f>
        <v>1.0103825901580456E-2</v>
      </c>
      <c r="D1285" s="2">
        <f ca="1">INDEX(Simulations!$A$1:$BK$2501, 1285, MATCH("SynMargin", Simulations!$A$1:$BK$1, 0))</f>
        <v>1.1642418395215771E-2</v>
      </c>
      <c r="E1285" s="2">
        <f ca="1">INDEX(Simulations!$A$1:$BK$2501, 1285, MATCH("Yr1Shock", Simulations!$A$1:$BK$1, 0))</f>
        <v>-5.7840415209643673E-3</v>
      </c>
    </row>
    <row r="1286" spans="1:5" x14ac:dyDescent="0.3">
      <c r="A1286" s="2">
        <f ca="1">INDEX(Simulations!$A$1:$BK$2501, 1286, MATCH("PurchaseMultiple", Simulations!$A$1:$BK$1, 0))</f>
        <v>6.9728965056770686</v>
      </c>
      <c r="B1286" s="2">
        <f ca="1">INDEX(Simulations!$A$1:$BK$2501, 1286, MATCH("ExitMultiple", Simulations!$A$1:$BK$1, 0))</f>
        <v>7.4014625717374916</v>
      </c>
      <c r="C1286" s="2">
        <f ca="1">INDEX(Simulations!$A$1:$BK$2501, 1286, MATCH("RevCAGR", Simulations!$A$1:$BK$1, 0))</f>
        <v>3.8001212683170679E-2</v>
      </c>
      <c r="D1286" s="2">
        <f ca="1">INDEX(Simulations!$A$1:$BK$2501, 1286, MATCH("SynMargin", Simulations!$A$1:$BK$1, 0))</f>
        <v>3.8162593580149048E-3</v>
      </c>
      <c r="E1286" s="2">
        <f ca="1">INDEX(Simulations!$A$1:$BK$2501, 1286, MATCH("Yr1Shock", Simulations!$A$1:$BK$1, 0))</f>
        <v>-2.2229706789980399E-2</v>
      </c>
    </row>
    <row r="1287" spans="1:5" x14ac:dyDescent="0.3">
      <c r="A1287" s="2">
        <f ca="1">INDEX(Simulations!$A$1:$BK$2501, 1287, MATCH("PurchaseMultiple", Simulations!$A$1:$BK$1, 0))</f>
        <v>6.3072131090378303</v>
      </c>
      <c r="B1287" s="2">
        <f ca="1">INDEX(Simulations!$A$1:$BK$2501, 1287, MATCH("ExitMultiple", Simulations!$A$1:$BK$1, 0))</f>
        <v>8.2365842930174527</v>
      </c>
      <c r="C1287" s="2">
        <f ca="1">INDEX(Simulations!$A$1:$BK$2501, 1287, MATCH("RevCAGR", Simulations!$A$1:$BK$1, 0))</f>
        <v>4.8410142215503355E-2</v>
      </c>
      <c r="D1287" s="2">
        <f ca="1">INDEX(Simulations!$A$1:$BK$2501, 1287, MATCH("SynMargin", Simulations!$A$1:$BK$1, 0))</f>
        <v>1.2328049091355455E-2</v>
      </c>
      <c r="E1287" s="2">
        <f ca="1">INDEX(Simulations!$A$1:$BK$2501, 1287, MATCH("Yr1Shock", Simulations!$A$1:$BK$1, 0))</f>
        <v>-3.0012212829892488E-2</v>
      </c>
    </row>
    <row r="1288" spans="1:5" x14ac:dyDescent="0.3">
      <c r="A1288" s="2">
        <f ca="1">INDEX(Simulations!$A$1:$BK$2501, 1288, MATCH("PurchaseMultiple", Simulations!$A$1:$BK$1, 0))</f>
        <v>7.1440547435477235</v>
      </c>
      <c r="B1288" s="2">
        <f ca="1">INDEX(Simulations!$A$1:$BK$2501, 1288, MATCH("ExitMultiple", Simulations!$A$1:$BK$1, 0))</f>
        <v>7.0408091093424652</v>
      </c>
      <c r="C1288" s="2">
        <f ca="1">INDEX(Simulations!$A$1:$BK$2501, 1288, MATCH("RevCAGR", Simulations!$A$1:$BK$1, 0))</f>
        <v>6.9507545781715377E-2</v>
      </c>
      <c r="D1288" s="2">
        <f ca="1">INDEX(Simulations!$A$1:$BK$2501, 1288, MATCH("SynMargin", Simulations!$A$1:$BK$1, 0))</f>
        <v>2.0673754101299791E-2</v>
      </c>
      <c r="E1288" s="2">
        <f ca="1">INDEX(Simulations!$A$1:$BK$2501, 1288, MATCH("Yr1Shock", Simulations!$A$1:$BK$1, 0))</f>
        <v>1.1882972005135318E-2</v>
      </c>
    </row>
    <row r="1289" spans="1:5" x14ac:dyDescent="0.3">
      <c r="A1289" s="2">
        <f ca="1">INDEX(Simulations!$A$1:$BK$2501, 1289, MATCH("PurchaseMultiple", Simulations!$A$1:$BK$1, 0))</f>
        <v>7.6309866555558425</v>
      </c>
      <c r="B1289" s="2">
        <f ca="1">INDEX(Simulations!$A$1:$BK$2501, 1289, MATCH("ExitMultiple", Simulations!$A$1:$BK$1, 0))</f>
        <v>7.7589715625146045</v>
      </c>
      <c r="C1289" s="2">
        <f ca="1">INDEX(Simulations!$A$1:$BK$2501, 1289, MATCH("RevCAGR", Simulations!$A$1:$BK$1, 0))</f>
        <v>2.6375232824134485E-2</v>
      </c>
      <c r="D1289" s="2">
        <f ca="1">INDEX(Simulations!$A$1:$BK$2501, 1289, MATCH("SynMargin", Simulations!$A$1:$BK$1, 0))</f>
        <v>1.218060039820465E-2</v>
      </c>
      <c r="E1289" s="2">
        <f ca="1">INDEX(Simulations!$A$1:$BK$2501, 1289, MATCH("Yr1Shock", Simulations!$A$1:$BK$1, 0))</f>
        <v>-2.2478378423234479E-2</v>
      </c>
    </row>
    <row r="1290" spans="1:5" x14ac:dyDescent="0.3">
      <c r="A1290" s="2">
        <f ca="1">INDEX(Simulations!$A$1:$BK$2501, 1290, MATCH("PurchaseMultiple", Simulations!$A$1:$BK$1, 0))</f>
        <v>6.811293851039907</v>
      </c>
      <c r="B1290" s="2">
        <f ca="1">INDEX(Simulations!$A$1:$BK$2501, 1290, MATCH("ExitMultiple", Simulations!$A$1:$BK$1, 0))</f>
        <v>7.6529153985234588</v>
      </c>
      <c r="C1290" s="2">
        <f ca="1">INDEX(Simulations!$A$1:$BK$2501, 1290, MATCH("RevCAGR", Simulations!$A$1:$BK$1, 0))</f>
        <v>2.7590024089670262E-2</v>
      </c>
      <c r="D1290" s="2">
        <f ca="1">INDEX(Simulations!$A$1:$BK$2501, 1290, MATCH("SynMargin", Simulations!$A$1:$BK$1, 0))</f>
        <v>9.3259851355439599E-3</v>
      </c>
      <c r="E1290" s="2">
        <f ca="1">INDEX(Simulations!$A$1:$BK$2501, 1290, MATCH("Yr1Shock", Simulations!$A$1:$BK$1, 0))</f>
        <v>-3.1406481858037176E-2</v>
      </c>
    </row>
    <row r="1291" spans="1:5" x14ac:dyDescent="0.3">
      <c r="A1291" s="2">
        <f ca="1">INDEX(Simulations!$A$1:$BK$2501, 1291, MATCH("PurchaseMultiple", Simulations!$A$1:$BK$1, 0))</f>
        <v>7.1007397525834168</v>
      </c>
      <c r="B1291" s="2">
        <f ca="1">INDEX(Simulations!$A$1:$BK$2501, 1291, MATCH("ExitMultiple", Simulations!$A$1:$BK$1, 0))</f>
        <v>7.3360285501635163</v>
      </c>
      <c r="C1291" s="2">
        <f ca="1">INDEX(Simulations!$A$1:$BK$2501, 1291, MATCH("RevCAGR", Simulations!$A$1:$BK$1, 0))</f>
        <v>2.7624310240547224E-2</v>
      </c>
      <c r="D1291" s="2">
        <f ca="1">INDEX(Simulations!$A$1:$BK$2501, 1291, MATCH("SynMargin", Simulations!$A$1:$BK$1, 0))</f>
        <v>1.2155913868383803E-2</v>
      </c>
      <c r="E1291" s="2">
        <f ca="1">INDEX(Simulations!$A$1:$BK$2501, 1291, MATCH("Yr1Shock", Simulations!$A$1:$BK$1, 0))</f>
        <v>-3.8192284772782872E-2</v>
      </c>
    </row>
    <row r="1292" spans="1:5" x14ac:dyDescent="0.3">
      <c r="A1292" s="2">
        <f ca="1">INDEX(Simulations!$A$1:$BK$2501, 1292, MATCH("PurchaseMultiple", Simulations!$A$1:$BK$1, 0))</f>
        <v>7.1329093174830716</v>
      </c>
      <c r="B1292" s="2">
        <f ca="1">INDEX(Simulations!$A$1:$BK$2501, 1292, MATCH("ExitMultiple", Simulations!$A$1:$BK$1, 0))</f>
        <v>7.3833554338964156</v>
      </c>
      <c r="C1292" s="2">
        <f ca="1">INDEX(Simulations!$A$1:$BK$2501, 1292, MATCH("RevCAGR", Simulations!$A$1:$BK$1, 0))</f>
        <v>8.5487028242925006E-2</v>
      </c>
      <c r="D1292" s="2">
        <f ca="1">INDEX(Simulations!$A$1:$BK$2501, 1292, MATCH("SynMargin", Simulations!$A$1:$BK$1, 0))</f>
        <v>1.4047868100302235E-2</v>
      </c>
      <c r="E1292" s="2">
        <f ca="1">INDEX(Simulations!$A$1:$BK$2501, 1292, MATCH("Yr1Shock", Simulations!$A$1:$BK$1, 0))</f>
        <v>-1.0296039195336462E-2</v>
      </c>
    </row>
    <row r="1293" spans="1:5" x14ac:dyDescent="0.3">
      <c r="A1293" s="2">
        <f ca="1">INDEX(Simulations!$A$1:$BK$2501, 1293, MATCH("PurchaseMultiple", Simulations!$A$1:$BK$1, 0))</f>
        <v>7.0437686267031649</v>
      </c>
      <c r="B1293" s="2">
        <f ca="1">INDEX(Simulations!$A$1:$BK$2501, 1293, MATCH("ExitMultiple", Simulations!$A$1:$BK$1, 0))</f>
        <v>7.5970008133379521</v>
      </c>
      <c r="C1293" s="2">
        <f ca="1">INDEX(Simulations!$A$1:$BK$2501, 1293, MATCH("RevCAGR", Simulations!$A$1:$BK$1, 0))</f>
        <v>8.1408527081626825E-2</v>
      </c>
      <c r="D1293" s="2">
        <f ca="1">INDEX(Simulations!$A$1:$BK$2501, 1293, MATCH("SynMargin", Simulations!$A$1:$BK$1, 0))</f>
        <v>1.469437513417449E-2</v>
      </c>
      <c r="E1293" s="2">
        <f ca="1">INDEX(Simulations!$A$1:$BK$2501, 1293, MATCH("Yr1Shock", Simulations!$A$1:$BK$1, 0))</f>
        <v>-1.3056997352067286E-2</v>
      </c>
    </row>
    <row r="1294" spans="1:5" x14ac:dyDescent="0.3">
      <c r="A1294" s="2">
        <f ca="1">INDEX(Simulations!$A$1:$BK$2501, 1294, MATCH("PurchaseMultiple", Simulations!$A$1:$BK$1, 0))</f>
        <v>7.0087805082365353</v>
      </c>
      <c r="B1294" s="2">
        <f ca="1">INDEX(Simulations!$A$1:$BK$2501, 1294, MATCH("ExitMultiple", Simulations!$A$1:$BK$1, 0))</f>
        <v>7.0644648325139281</v>
      </c>
      <c r="C1294" s="2">
        <f ca="1">INDEX(Simulations!$A$1:$BK$2501, 1294, MATCH("RevCAGR", Simulations!$A$1:$BK$1, 0))</f>
        <v>5.427612775804324E-2</v>
      </c>
      <c r="D1294" s="2">
        <f ca="1">INDEX(Simulations!$A$1:$BK$2501, 1294, MATCH("SynMargin", Simulations!$A$1:$BK$1, 0))</f>
        <v>6.5539764872191621E-3</v>
      </c>
      <c r="E1294" s="2">
        <f ca="1">INDEX(Simulations!$A$1:$BK$2501, 1294, MATCH("Yr1Shock", Simulations!$A$1:$BK$1, 0))</f>
        <v>-2.2574867831496339E-2</v>
      </c>
    </row>
    <row r="1295" spans="1:5" x14ac:dyDescent="0.3">
      <c r="A1295" s="2">
        <f ca="1">INDEX(Simulations!$A$1:$BK$2501, 1295, MATCH("PurchaseMultiple", Simulations!$A$1:$BK$1, 0))</f>
        <v>7.5498100451842927</v>
      </c>
      <c r="B1295" s="2">
        <f ca="1">INDEX(Simulations!$A$1:$BK$2501, 1295, MATCH("ExitMultiple", Simulations!$A$1:$BK$1, 0))</f>
        <v>7.3236409175897137</v>
      </c>
      <c r="C1295" s="2">
        <f ca="1">INDEX(Simulations!$A$1:$BK$2501, 1295, MATCH("RevCAGR", Simulations!$A$1:$BK$1, 0))</f>
        <v>3.1105883086092401E-2</v>
      </c>
      <c r="D1295" s="2">
        <f ca="1">INDEX(Simulations!$A$1:$BK$2501, 1295, MATCH("SynMargin", Simulations!$A$1:$BK$1, 0))</f>
        <v>1.7560199337725412E-2</v>
      </c>
      <c r="E1295" s="2">
        <f ca="1">INDEX(Simulations!$A$1:$BK$2501, 1295, MATCH("Yr1Shock", Simulations!$A$1:$BK$1, 0))</f>
        <v>-4.6218414112013398E-2</v>
      </c>
    </row>
    <row r="1296" spans="1:5" x14ac:dyDescent="0.3">
      <c r="A1296" s="2">
        <f ca="1">INDEX(Simulations!$A$1:$BK$2501, 1296, MATCH("PurchaseMultiple", Simulations!$A$1:$BK$1, 0))</f>
        <v>6.9179645297239345</v>
      </c>
      <c r="B1296" s="2">
        <f ca="1">INDEX(Simulations!$A$1:$BK$2501, 1296, MATCH("ExitMultiple", Simulations!$A$1:$BK$1, 0))</f>
        <v>7.3672585379261779</v>
      </c>
      <c r="C1296" s="2">
        <f ca="1">INDEX(Simulations!$A$1:$BK$2501, 1296, MATCH("RevCAGR", Simulations!$A$1:$BK$1, 0))</f>
        <v>5.3096393483554327E-2</v>
      </c>
      <c r="D1296" s="2">
        <f ca="1">INDEX(Simulations!$A$1:$BK$2501, 1296, MATCH("SynMargin", Simulations!$A$1:$BK$1, 0))</f>
        <v>2.2171306198033994E-2</v>
      </c>
      <c r="E1296" s="2">
        <f ca="1">INDEX(Simulations!$A$1:$BK$2501, 1296, MATCH("Yr1Shock", Simulations!$A$1:$BK$1, 0))</f>
        <v>-3.5494371028995818E-4</v>
      </c>
    </row>
    <row r="1297" spans="1:5" x14ac:dyDescent="0.3">
      <c r="A1297" s="2">
        <f ca="1">INDEX(Simulations!$A$1:$BK$2501, 1297, MATCH("PurchaseMultiple", Simulations!$A$1:$BK$1, 0))</f>
        <v>7.2699112000076873</v>
      </c>
      <c r="B1297" s="2">
        <f ca="1">INDEX(Simulations!$A$1:$BK$2501, 1297, MATCH("ExitMultiple", Simulations!$A$1:$BK$1, 0))</f>
        <v>7.1685440433214715</v>
      </c>
      <c r="C1297" s="2">
        <f ca="1">INDEX(Simulations!$A$1:$BK$2501, 1297, MATCH("RevCAGR", Simulations!$A$1:$BK$1, 0))</f>
        <v>3.1598994088133069E-2</v>
      </c>
      <c r="D1297" s="2">
        <f ca="1">INDEX(Simulations!$A$1:$BK$2501, 1297, MATCH("SynMargin", Simulations!$A$1:$BK$1, 0))</f>
        <v>1.4685794881505634E-2</v>
      </c>
      <c r="E1297" s="2">
        <f ca="1">INDEX(Simulations!$A$1:$BK$2501, 1297, MATCH("Yr1Shock", Simulations!$A$1:$BK$1, 0))</f>
        <v>-1.1671807561150912E-3</v>
      </c>
    </row>
    <row r="1298" spans="1:5" x14ac:dyDescent="0.3">
      <c r="A1298" s="2">
        <f ca="1">INDEX(Simulations!$A$1:$BK$2501, 1298, MATCH("PurchaseMultiple", Simulations!$A$1:$BK$1, 0))</f>
        <v>6.5127743836708625</v>
      </c>
      <c r="B1298" s="2">
        <f ca="1">INDEX(Simulations!$A$1:$BK$2501, 1298, MATCH("ExitMultiple", Simulations!$A$1:$BK$1, 0))</f>
        <v>7.0841753410169659</v>
      </c>
      <c r="C1298" s="2">
        <f ca="1">INDEX(Simulations!$A$1:$BK$2501, 1298, MATCH("RevCAGR", Simulations!$A$1:$BK$1, 0))</f>
        <v>-0.02</v>
      </c>
      <c r="D1298" s="2">
        <f ca="1">INDEX(Simulations!$A$1:$BK$2501, 1298, MATCH("SynMargin", Simulations!$A$1:$BK$1, 0))</f>
        <v>1.0289458882409772E-2</v>
      </c>
      <c r="E1298" s="2">
        <f ca="1">INDEX(Simulations!$A$1:$BK$2501, 1298, MATCH("Yr1Shock", Simulations!$A$1:$BK$1, 0))</f>
        <v>1.1718250025683583E-2</v>
      </c>
    </row>
    <row r="1299" spans="1:5" x14ac:dyDescent="0.3">
      <c r="A1299" s="2">
        <f ca="1">INDEX(Simulations!$A$1:$BK$2501, 1299, MATCH("PurchaseMultiple", Simulations!$A$1:$BK$1, 0))</f>
        <v>6.9126945557553636</v>
      </c>
      <c r="B1299" s="2">
        <f ca="1">INDEX(Simulations!$A$1:$BK$2501, 1299, MATCH("ExitMultiple", Simulations!$A$1:$BK$1, 0))</f>
        <v>7.7600772368342819</v>
      </c>
      <c r="C1299" s="2">
        <f ca="1">INDEX(Simulations!$A$1:$BK$2501, 1299, MATCH("RevCAGR", Simulations!$A$1:$BK$1, 0))</f>
        <v>2.9836170719736758E-2</v>
      </c>
      <c r="D1299" s="2">
        <f ca="1">INDEX(Simulations!$A$1:$BK$2501, 1299, MATCH("SynMargin", Simulations!$A$1:$BK$1, 0))</f>
        <v>9.8521244675523461E-3</v>
      </c>
      <c r="E1299" s="2">
        <f ca="1">INDEX(Simulations!$A$1:$BK$2501, 1299, MATCH("Yr1Shock", Simulations!$A$1:$BK$1, 0))</f>
        <v>7.0403534790611745E-3</v>
      </c>
    </row>
    <row r="1300" spans="1:5" x14ac:dyDescent="0.3">
      <c r="A1300" s="2">
        <f ca="1">INDEX(Simulations!$A$1:$BK$2501, 1300, MATCH("PurchaseMultiple", Simulations!$A$1:$BK$1, 0))</f>
        <v>7.4613292510533054</v>
      </c>
      <c r="B1300" s="2">
        <f ca="1">INDEX(Simulations!$A$1:$BK$2501, 1300, MATCH("ExitMultiple", Simulations!$A$1:$BK$1, 0))</f>
        <v>7.2149594269841026</v>
      </c>
      <c r="C1300" s="2">
        <f ca="1">INDEX(Simulations!$A$1:$BK$2501, 1300, MATCH("RevCAGR", Simulations!$A$1:$BK$1, 0))</f>
        <v>7.8493150093174313E-2</v>
      </c>
      <c r="D1300" s="2">
        <f ca="1">INDEX(Simulations!$A$1:$BK$2501, 1300, MATCH("SynMargin", Simulations!$A$1:$BK$1, 0))</f>
        <v>1.9070996607414605E-2</v>
      </c>
      <c r="E1300" s="2">
        <f ca="1">INDEX(Simulations!$A$1:$BK$2501, 1300, MATCH("Yr1Shock", Simulations!$A$1:$BK$1, 0))</f>
        <v>2.8481619166363121E-2</v>
      </c>
    </row>
    <row r="1301" spans="1:5" x14ac:dyDescent="0.3">
      <c r="A1301" s="2">
        <f ca="1">INDEX(Simulations!$A$1:$BK$2501, 1301, MATCH("PurchaseMultiple", Simulations!$A$1:$BK$1, 0))</f>
        <v>7.0478860540769803</v>
      </c>
      <c r="B1301" s="2">
        <f ca="1">INDEX(Simulations!$A$1:$BK$2501, 1301, MATCH("ExitMultiple", Simulations!$A$1:$BK$1, 0))</f>
        <v>7.6996130286489954</v>
      </c>
      <c r="C1301" s="2">
        <f ca="1">INDEX(Simulations!$A$1:$BK$2501, 1301, MATCH("RevCAGR", Simulations!$A$1:$BK$1, 0))</f>
        <v>4.5341092870671652E-2</v>
      </c>
      <c r="D1301" s="2">
        <f ca="1">INDEX(Simulations!$A$1:$BK$2501, 1301, MATCH("SynMargin", Simulations!$A$1:$BK$1, 0))</f>
        <v>3.5754780607225719E-3</v>
      </c>
      <c r="E1301" s="2">
        <f ca="1">INDEX(Simulations!$A$1:$BK$2501, 1301, MATCH("Yr1Shock", Simulations!$A$1:$BK$1, 0))</f>
        <v>-7.3358268705548454E-4</v>
      </c>
    </row>
    <row r="1302" spans="1:5" x14ac:dyDescent="0.3">
      <c r="A1302" s="2">
        <f ca="1">INDEX(Simulations!$A$1:$BK$2501, 1302, MATCH("PurchaseMultiple", Simulations!$A$1:$BK$1, 0))</f>
        <v>7.4245138698209594</v>
      </c>
      <c r="B1302" s="2">
        <f ca="1">INDEX(Simulations!$A$1:$BK$2501, 1302, MATCH("ExitMultiple", Simulations!$A$1:$BK$1, 0))</f>
        <v>7.7998542159755919</v>
      </c>
      <c r="C1302" s="2">
        <f ca="1">INDEX(Simulations!$A$1:$BK$2501, 1302, MATCH("RevCAGR", Simulations!$A$1:$BK$1, 0))</f>
        <v>1.5138140955547403E-2</v>
      </c>
      <c r="D1302" s="2">
        <f ca="1">INDEX(Simulations!$A$1:$BK$2501, 1302, MATCH("SynMargin", Simulations!$A$1:$BK$1, 0))</f>
        <v>8.8294850535764156E-3</v>
      </c>
      <c r="E1302" s="2">
        <f ca="1">INDEX(Simulations!$A$1:$BK$2501, 1302, MATCH("Yr1Shock", Simulations!$A$1:$BK$1, 0))</f>
        <v>1.2826989423783637E-2</v>
      </c>
    </row>
    <row r="1303" spans="1:5" x14ac:dyDescent="0.3">
      <c r="A1303" s="2">
        <f ca="1">INDEX(Simulations!$A$1:$BK$2501, 1303, MATCH("PurchaseMultiple", Simulations!$A$1:$BK$1, 0))</f>
        <v>7.1037598751594695</v>
      </c>
      <c r="B1303" s="2">
        <f ca="1">INDEX(Simulations!$A$1:$BK$2501, 1303, MATCH("ExitMultiple", Simulations!$A$1:$BK$1, 0))</f>
        <v>7.8348807263913391</v>
      </c>
      <c r="C1303" s="2">
        <f ca="1">INDEX(Simulations!$A$1:$BK$2501, 1303, MATCH("RevCAGR", Simulations!$A$1:$BK$1, 0))</f>
        <v>3.8346027671565391E-2</v>
      </c>
      <c r="D1303" s="2">
        <f ca="1">INDEX(Simulations!$A$1:$BK$2501, 1303, MATCH("SynMargin", Simulations!$A$1:$BK$1, 0))</f>
        <v>1.6973995760874282E-2</v>
      </c>
      <c r="E1303" s="2">
        <f ca="1">INDEX(Simulations!$A$1:$BK$2501, 1303, MATCH("Yr1Shock", Simulations!$A$1:$BK$1, 0))</f>
        <v>-2.2942905063085918E-2</v>
      </c>
    </row>
    <row r="1304" spans="1:5" x14ac:dyDescent="0.3">
      <c r="A1304" s="2">
        <f ca="1">INDEX(Simulations!$A$1:$BK$2501, 1304, MATCH("PurchaseMultiple", Simulations!$A$1:$BK$1, 0))</f>
        <v>7.4247828249865195</v>
      </c>
      <c r="B1304" s="2">
        <f ca="1">INDEX(Simulations!$A$1:$BK$2501, 1304, MATCH("ExitMultiple", Simulations!$A$1:$BK$1, 0))</f>
        <v>8.0062709536494161</v>
      </c>
      <c r="C1304" s="2">
        <f ca="1">INDEX(Simulations!$A$1:$BK$2501, 1304, MATCH("RevCAGR", Simulations!$A$1:$BK$1, 0))</f>
        <v>6.3675296736248416E-2</v>
      </c>
      <c r="D1304" s="2">
        <f ca="1">INDEX(Simulations!$A$1:$BK$2501, 1304, MATCH("SynMargin", Simulations!$A$1:$BK$1, 0))</f>
        <v>5.3693910908051016E-3</v>
      </c>
      <c r="E1304" s="2">
        <f ca="1">INDEX(Simulations!$A$1:$BK$2501, 1304, MATCH("Yr1Shock", Simulations!$A$1:$BK$1, 0))</f>
        <v>5.9844761147763601E-3</v>
      </c>
    </row>
    <row r="1305" spans="1:5" x14ac:dyDescent="0.3">
      <c r="A1305" s="2">
        <f ca="1">INDEX(Simulations!$A$1:$BK$2501, 1305, MATCH("PurchaseMultiple", Simulations!$A$1:$BK$1, 0))</f>
        <v>6.68019671711847</v>
      </c>
      <c r="B1305" s="2">
        <f ca="1">INDEX(Simulations!$A$1:$BK$2501, 1305, MATCH("ExitMultiple", Simulations!$A$1:$BK$1, 0))</f>
        <v>7.8652001886533984</v>
      </c>
      <c r="C1305" s="2">
        <f ca="1">INDEX(Simulations!$A$1:$BK$2501, 1305, MATCH("RevCAGR", Simulations!$A$1:$BK$1, 0))</f>
        <v>1.0064358363454273E-2</v>
      </c>
      <c r="D1305" s="2">
        <f ca="1">INDEX(Simulations!$A$1:$BK$2501, 1305, MATCH("SynMargin", Simulations!$A$1:$BK$1, 0))</f>
        <v>3.1000351199346318E-3</v>
      </c>
      <c r="E1305" s="2">
        <f ca="1">INDEX(Simulations!$A$1:$BK$2501, 1305, MATCH("Yr1Shock", Simulations!$A$1:$BK$1, 0))</f>
        <v>-8.6223178590114531E-3</v>
      </c>
    </row>
    <row r="1306" spans="1:5" x14ac:dyDescent="0.3">
      <c r="A1306" s="2">
        <f ca="1">INDEX(Simulations!$A$1:$BK$2501, 1306, MATCH("PurchaseMultiple", Simulations!$A$1:$BK$1, 0))</f>
        <v>6.3539043670164395</v>
      </c>
      <c r="B1306" s="2">
        <f ca="1">INDEX(Simulations!$A$1:$BK$2501, 1306, MATCH("ExitMultiple", Simulations!$A$1:$BK$1, 0))</f>
        <v>7.2224838488565286</v>
      </c>
      <c r="C1306" s="2">
        <f ca="1">INDEX(Simulations!$A$1:$BK$2501, 1306, MATCH("RevCAGR", Simulations!$A$1:$BK$1, 0))</f>
        <v>6.1018160894680373E-2</v>
      </c>
      <c r="D1306" s="2">
        <f ca="1">INDEX(Simulations!$A$1:$BK$2501, 1306, MATCH("SynMargin", Simulations!$A$1:$BK$1, 0))</f>
        <v>9.4538005138880467E-3</v>
      </c>
      <c r="E1306" s="2">
        <f ca="1">INDEX(Simulations!$A$1:$BK$2501, 1306, MATCH("Yr1Shock", Simulations!$A$1:$BK$1, 0))</f>
        <v>-6.0012153638135859E-3</v>
      </c>
    </row>
    <row r="1307" spans="1:5" x14ac:dyDescent="0.3">
      <c r="A1307" s="2">
        <f ca="1">INDEX(Simulations!$A$1:$BK$2501, 1307, MATCH("PurchaseMultiple", Simulations!$A$1:$BK$1, 0))</f>
        <v>7.3092529307225398</v>
      </c>
      <c r="B1307" s="2">
        <f ca="1">INDEX(Simulations!$A$1:$BK$2501, 1307, MATCH("ExitMultiple", Simulations!$A$1:$BK$1, 0))</f>
        <v>7.4750979528710237</v>
      </c>
      <c r="C1307" s="2">
        <f ca="1">INDEX(Simulations!$A$1:$BK$2501, 1307, MATCH("RevCAGR", Simulations!$A$1:$BK$1, 0))</f>
        <v>-6.3976778868515202E-3</v>
      </c>
      <c r="D1307" s="2">
        <f ca="1">INDEX(Simulations!$A$1:$BK$2501, 1307, MATCH("SynMargin", Simulations!$A$1:$BK$1, 0))</f>
        <v>1.2749319170367757E-2</v>
      </c>
      <c r="E1307" s="2">
        <f ca="1">INDEX(Simulations!$A$1:$BK$2501, 1307, MATCH("Yr1Shock", Simulations!$A$1:$BK$1, 0))</f>
        <v>1.2885324487247584E-2</v>
      </c>
    </row>
    <row r="1308" spans="1:5" x14ac:dyDescent="0.3">
      <c r="A1308" s="2">
        <f ca="1">INDEX(Simulations!$A$1:$BK$2501, 1308, MATCH("PurchaseMultiple", Simulations!$A$1:$BK$1, 0))</f>
        <v>7.1959743601280453</v>
      </c>
      <c r="B1308" s="2">
        <f ca="1">INDEX(Simulations!$A$1:$BK$2501, 1308, MATCH("ExitMultiple", Simulations!$A$1:$BK$1, 0))</f>
        <v>7.1021258200406683</v>
      </c>
      <c r="C1308" s="2">
        <f ca="1">INDEX(Simulations!$A$1:$BK$2501, 1308, MATCH("RevCAGR", Simulations!$A$1:$BK$1, 0))</f>
        <v>-0.02</v>
      </c>
      <c r="D1308" s="2">
        <f ca="1">INDEX(Simulations!$A$1:$BK$2501, 1308, MATCH("SynMargin", Simulations!$A$1:$BK$1, 0))</f>
        <v>1.3227741224987754E-2</v>
      </c>
      <c r="E1308" s="2">
        <f ca="1">INDEX(Simulations!$A$1:$BK$2501, 1308, MATCH("Yr1Shock", Simulations!$A$1:$BK$1, 0))</f>
        <v>3.2080689899099742E-2</v>
      </c>
    </row>
    <row r="1309" spans="1:5" x14ac:dyDescent="0.3">
      <c r="A1309" s="2">
        <f ca="1">INDEX(Simulations!$A$1:$BK$2501, 1309, MATCH("PurchaseMultiple", Simulations!$A$1:$BK$1, 0))</f>
        <v>6.4684781171837944</v>
      </c>
      <c r="B1309" s="2">
        <f ca="1">INDEX(Simulations!$A$1:$BK$2501, 1309, MATCH("ExitMultiple", Simulations!$A$1:$BK$1, 0))</f>
        <v>6.7263457711647776</v>
      </c>
      <c r="C1309" s="2">
        <f ca="1">INDEX(Simulations!$A$1:$BK$2501, 1309, MATCH("RevCAGR", Simulations!$A$1:$BK$1, 0))</f>
        <v>0.100242314306683</v>
      </c>
      <c r="D1309" s="2">
        <f ca="1">INDEX(Simulations!$A$1:$BK$2501, 1309, MATCH("SynMargin", Simulations!$A$1:$BK$1, 0))</f>
        <v>1.6190567651161218E-2</v>
      </c>
      <c r="E1309" s="2">
        <f ca="1">INDEX(Simulations!$A$1:$BK$2501, 1309, MATCH("Yr1Shock", Simulations!$A$1:$BK$1, 0))</f>
        <v>2.215530493306361E-2</v>
      </c>
    </row>
    <row r="1310" spans="1:5" x14ac:dyDescent="0.3">
      <c r="A1310" s="2">
        <f ca="1">INDEX(Simulations!$A$1:$BK$2501, 1310, MATCH("PurchaseMultiple", Simulations!$A$1:$BK$1, 0))</f>
        <v>7.0220054395120464</v>
      </c>
      <c r="B1310" s="2">
        <f ca="1">INDEX(Simulations!$A$1:$BK$2501, 1310, MATCH("ExitMultiple", Simulations!$A$1:$BK$1, 0))</f>
        <v>7.151995402122175</v>
      </c>
      <c r="C1310" s="2">
        <f ca="1">INDEX(Simulations!$A$1:$BK$2501, 1310, MATCH("RevCAGR", Simulations!$A$1:$BK$1, 0))</f>
        <v>2.6759307736909543E-2</v>
      </c>
      <c r="D1310" s="2">
        <f ca="1">INDEX(Simulations!$A$1:$BK$2501, 1310, MATCH("SynMargin", Simulations!$A$1:$BK$1, 0))</f>
        <v>1.3022815216747084E-2</v>
      </c>
      <c r="E1310" s="2">
        <f ca="1">INDEX(Simulations!$A$1:$BK$2501, 1310, MATCH("Yr1Shock", Simulations!$A$1:$BK$1, 0))</f>
        <v>-1.4064628385783635E-3</v>
      </c>
    </row>
    <row r="1311" spans="1:5" x14ac:dyDescent="0.3">
      <c r="A1311" s="2">
        <f ca="1">INDEX(Simulations!$A$1:$BK$2501, 1311, MATCH("PurchaseMultiple", Simulations!$A$1:$BK$1, 0))</f>
        <v>7.1927959943142632</v>
      </c>
      <c r="B1311" s="2">
        <f ca="1">INDEX(Simulations!$A$1:$BK$2501, 1311, MATCH("ExitMultiple", Simulations!$A$1:$BK$1, 0))</f>
        <v>7.5461767923025427</v>
      </c>
      <c r="C1311" s="2">
        <f ca="1">INDEX(Simulations!$A$1:$BK$2501, 1311, MATCH("RevCAGR", Simulations!$A$1:$BK$1, 0))</f>
        <v>3.7895315354151513E-2</v>
      </c>
      <c r="D1311" s="2">
        <f ca="1">INDEX(Simulations!$A$1:$BK$2501, 1311, MATCH("SynMargin", Simulations!$A$1:$BK$1, 0))</f>
        <v>2.8334795100870237E-3</v>
      </c>
      <c r="E1311" s="2">
        <f ca="1">INDEX(Simulations!$A$1:$BK$2501, 1311, MATCH("Yr1Shock", Simulations!$A$1:$BK$1, 0))</f>
        <v>-5.5564525215671704E-3</v>
      </c>
    </row>
    <row r="1312" spans="1:5" x14ac:dyDescent="0.3">
      <c r="A1312" s="2">
        <f ca="1">INDEX(Simulations!$A$1:$BK$2501, 1312, MATCH("PurchaseMultiple", Simulations!$A$1:$BK$1, 0))</f>
        <v>6.8174930440538013</v>
      </c>
      <c r="B1312" s="2">
        <f ca="1">INDEX(Simulations!$A$1:$BK$2501, 1312, MATCH("ExitMultiple", Simulations!$A$1:$BK$1, 0))</f>
        <v>6.634648963029858</v>
      </c>
      <c r="C1312" s="2">
        <f ca="1">INDEX(Simulations!$A$1:$BK$2501, 1312, MATCH("RevCAGR", Simulations!$A$1:$BK$1, 0))</f>
        <v>8.2902876375958529E-2</v>
      </c>
      <c r="D1312" s="2">
        <f ca="1">INDEX(Simulations!$A$1:$BK$2501, 1312, MATCH("SynMargin", Simulations!$A$1:$BK$1, 0))</f>
        <v>3.4510435121424344E-3</v>
      </c>
      <c r="E1312" s="2">
        <f ca="1">INDEX(Simulations!$A$1:$BK$2501, 1312, MATCH("Yr1Shock", Simulations!$A$1:$BK$1, 0))</f>
        <v>-2.4893191781888563E-2</v>
      </c>
    </row>
    <row r="1313" spans="1:5" x14ac:dyDescent="0.3">
      <c r="A1313" s="2">
        <f ca="1">INDEX(Simulations!$A$1:$BK$2501, 1313, MATCH("PurchaseMultiple", Simulations!$A$1:$BK$1, 0))</f>
        <v>7.1331186852325823</v>
      </c>
      <c r="B1313" s="2">
        <f ca="1">INDEX(Simulations!$A$1:$BK$2501, 1313, MATCH("ExitMultiple", Simulations!$A$1:$BK$1, 0))</f>
        <v>8.0292013483954889</v>
      </c>
      <c r="C1313" s="2">
        <f ca="1">INDEX(Simulations!$A$1:$BK$2501, 1313, MATCH("RevCAGR", Simulations!$A$1:$BK$1, 0))</f>
        <v>4.0868026657908285E-2</v>
      </c>
      <c r="D1313" s="2">
        <f ca="1">INDEX(Simulations!$A$1:$BK$2501, 1313, MATCH("SynMargin", Simulations!$A$1:$BK$1, 0))</f>
        <v>1.9369523847469722E-2</v>
      </c>
      <c r="E1313" s="2">
        <f ca="1">INDEX(Simulations!$A$1:$BK$2501, 1313, MATCH("Yr1Shock", Simulations!$A$1:$BK$1, 0))</f>
        <v>-2.2689543549798592E-2</v>
      </c>
    </row>
    <row r="1314" spans="1:5" x14ac:dyDescent="0.3">
      <c r="A1314" s="2">
        <f ca="1">INDEX(Simulations!$A$1:$BK$2501, 1314, MATCH("PurchaseMultiple", Simulations!$A$1:$BK$1, 0))</f>
        <v>6.9472830287049812</v>
      </c>
      <c r="B1314" s="2">
        <f ca="1">INDEX(Simulations!$A$1:$BK$2501, 1314, MATCH("ExitMultiple", Simulations!$A$1:$BK$1, 0))</f>
        <v>7.3163760325680167</v>
      </c>
      <c r="C1314" s="2">
        <f ca="1">INDEX(Simulations!$A$1:$BK$2501, 1314, MATCH("RevCAGR", Simulations!$A$1:$BK$1, 0))</f>
        <v>-0.02</v>
      </c>
      <c r="D1314" s="2">
        <f ca="1">INDEX(Simulations!$A$1:$BK$2501, 1314, MATCH("SynMargin", Simulations!$A$1:$BK$1, 0))</f>
        <v>1.4482873749785151E-2</v>
      </c>
      <c r="E1314" s="2">
        <f ca="1">INDEX(Simulations!$A$1:$BK$2501, 1314, MATCH("Yr1Shock", Simulations!$A$1:$BK$1, 0))</f>
        <v>-3.9127640523508186E-2</v>
      </c>
    </row>
    <row r="1315" spans="1:5" x14ac:dyDescent="0.3">
      <c r="A1315" s="2">
        <f ca="1">INDEX(Simulations!$A$1:$BK$2501, 1315, MATCH("PurchaseMultiple", Simulations!$A$1:$BK$1, 0))</f>
        <v>7.0132782863316976</v>
      </c>
      <c r="B1315" s="2">
        <f ca="1">INDEX(Simulations!$A$1:$BK$2501, 1315, MATCH("ExitMultiple", Simulations!$A$1:$BK$1, 0))</f>
        <v>7.6022214936552697</v>
      </c>
      <c r="C1315" s="2">
        <f ca="1">INDEX(Simulations!$A$1:$BK$2501, 1315, MATCH("RevCAGR", Simulations!$A$1:$BK$1, 0))</f>
        <v>2.8470714303898775E-2</v>
      </c>
      <c r="D1315" s="2">
        <f ca="1">INDEX(Simulations!$A$1:$BK$2501, 1315, MATCH("SynMargin", Simulations!$A$1:$BK$1, 0))</f>
        <v>7.5367229387360794E-3</v>
      </c>
      <c r="E1315" s="2">
        <f ca="1">INDEX(Simulations!$A$1:$BK$2501, 1315, MATCH("Yr1Shock", Simulations!$A$1:$BK$1, 0))</f>
        <v>-1.0156889699633439E-2</v>
      </c>
    </row>
    <row r="1316" spans="1:5" x14ac:dyDescent="0.3">
      <c r="A1316" s="2">
        <f ca="1">INDEX(Simulations!$A$1:$BK$2501, 1316, MATCH("PurchaseMultiple", Simulations!$A$1:$BK$1, 0))</f>
        <v>7.5574166966511589</v>
      </c>
      <c r="B1316" s="2">
        <f ca="1">INDEX(Simulations!$A$1:$BK$2501, 1316, MATCH("ExitMultiple", Simulations!$A$1:$BK$1, 0))</f>
        <v>8.096504669617369</v>
      </c>
      <c r="C1316" s="2">
        <f ca="1">INDEX(Simulations!$A$1:$BK$2501, 1316, MATCH("RevCAGR", Simulations!$A$1:$BK$1, 0))</f>
        <v>5.6771426819256274E-2</v>
      </c>
      <c r="D1316" s="2">
        <f ca="1">INDEX(Simulations!$A$1:$BK$2501, 1316, MATCH("SynMargin", Simulations!$A$1:$BK$1, 0))</f>
        <v>1.1385377088156809E-2</v>
      </c>
      <c r="E1316" s="2">
        <f ca="1">INDEX(Simulations!$A$1:$BK$2501, 1316, MATCH("Yr1Shock", Simulations!$A$1:$BK$1, 0))</f>
        <v>3.2803247116208471E-3</v>
      </c>
    </row>
    <row r="1317" spans="1:5" x14ac:dyDescent="0.3">
      <c r="A1317" s="2">
        <f ca="1">INDEX(Simulations!$A$1:$BK$2501, 1317, MATCH("PurchaseMultiple", Simulations!$A$1:$BK$1, 0))</f>
        <v>7.4785777832331313</v>
      </c>
      <c r="B1317" s="2">
        <f ca="1">INDEX(Simulations!$A$1:$BK$2501, 1317, MATCH("ExitMultiple", Simulations!$A$1:$BK$1, 0))</f>
        <v>6.960119972786118</v>
      </c>
      <c r="C1317" s="2">
        <f ca="1">INDEX(Simulations!$A$1:$BK$2501, 1317, MATCH("RevCAGR", Simulations!$A$1:$BK$1, 0))</f>
        <v>4.3503586469634613E-2</v>
      </c>
      <c r="D1317" s="2">
        <f ca="1">INDEX(Simulations!$A$1:$BK$2501, 1317, MATCH("SynMargin", Simulations!$A$1:$BK$1, 0))</f>
        <v>3.8496531332234294E-3</v>
      </c>
      <c r="E1317" s="2">
        <f ca="1">INDEX(Simulations!$A$1:$BK$2501, 1317, MATCH("Yr1Shock", Simulations!$A$1:$BK$1, 0))</f>
        <v>-2.0123272115551837E-2</v>
      </c>
    </row>
    <row r="1318" spans="1:5" x14ac:dyDescent="0.3">
      <c r="A1318" s="2">
        <f ca="1">INDEX(Simulations!$A$1:$BK$2501, 1318, MATCH("PurchaseMultiple", Simulations!$A$1:$BK$1, 0))</f>
        <v>6.8854975883363219</v>
      </c>
      <c r="B1318" s="2">
        <f ca="1">INDEX(Simulations!$A$1:$BK$2501, 1318, MATCH("ExitMultiple", Simulations!$A$1:$BK$1, 0))</f>
        <v>8.2440868590040566</v>
      </c>
      <c r="C1318" s="2">
        <f ca="1">INDEX(Simulations!$A$1:$BK$2501, 1318, MATCH("RevCAGR", Simulations!$A$1:$BK$1, 0))</f>
        <v>3.7397372660457957E-2</v>
      </c>
      <c r="D1318" s="2">
        <f ca="1">INDEX(Simulations!$A$1:$BK$2501, 1318, MATCH("SynMargin", Simulations!$A$1:$BK$1, 0))</f>
        <v>1.4921527472742318E-2</v>
      </c>
      <c r="E1318" s="2">
        <f ca="1">INDEX(Simulations!$A$1:$BK$2501, 1318, MATCH("Yr1Shock", Simulations!$A$1:$BK$1, 0))</f>
        <v>-4.8188137721255318E-3</v>
      </c>
    </row>
    <row r="1319" spans="1:5" x14ac:dyDescent="0.3">
      <c r="A1319" s="2">
        <f ca="1">INDEX(Simulations!$A$1:$BK$2501, 1319, MATCH("PurchaseMultiple", Simulations!$A$1:$BK$1, 0))</f>
        <v>7.2881946665526698</v>
      </c>
      <c r="B1319" s="2">
        <f ca="1">INDEX(Simulations!$A$1:$BK$2501, 1319, MATCH("ExitMultiple", Simulations!$A$1:$BK$1, 0))</f>
        <v>7.741271299158794</v>
      </c>
      <c r="C1319" s="2">
        <f ca="1">INDEX(Simulations!$A$1:$BK$2501, 1319, MATCH("RevCAGR", Simulations!$A$1:$BK$1, 0))</f>
        <v>4.2641159414049133E-2</v>
      </c>
      <c r="D1319" s="2">
        <f ca="1">INDEX(Simulations!$A$1:$BK$2501, 1319, MATCH("SynMargin", Simulations!$A$1:$BK$1, 0))</f>
        <v>1.2710445341427049E-2</v>
      </c>
      <c r="E1319" s="2">
        <f ca="1">INDEX(Simulations!$A$1:$BK$2501, 1319, MATCH("Yr1Shock", Simulations!$A$1:$BK$1, 0))</f>
        <v>1.7591361613996993E-3</v>
      </c>
    </row>
    <row r="1320" spans="1:5" x14ac:dyDescent="0.3">
      <c r="A1320" s="2">
        <f ca="1">INDEX(Simulations!$A$1:$BK$2501, 1320, MATCH("PurchaseMultiple", Simulations!$A$1:$BK$1, 0))</f>
        <v>6.8090367872874733</v>
      </c>
      <c r="B1320" s="2">
        <f ca="1">INDEX(Simulations!$A$1:$BK$2501, 1320, MATCH("ExitMultiple", Simulations!$A$1:$BK$1, 0))</f>
        <v>6.816739975232168</v>
      </c>
      <c r="C1320" s="2">
        <f ca="1">INDEX(Simulations!$A$1:$BK$2501, 1320, MATCH("RevCAGR", Simulations!$A$1:$BK$1, 0))</f>
        <v>-0.02</v>
      </c>
      <c r="D1320" s="2">
        <f ca="1">INDEX(Simulations!$A$1:$BK$2501, 1320, MATCH("SynMargin", Simulations!$A$1:$BK$1, 0))</f>
        <v>6.8313692571999249E-3</v>
      </c>
      <c r="E1320" s="2">
        <f ca="1">INDEX(Simulations!$A$1:$BK$2501, 1320, MATCH("Yr1Shock", Simulations!$A$1:$BK$1, 0))</f>
        <v>-7.5311565858255094E-3</v>
      </c>
    </row>
    <row r="1321" spans="1:5" x14ac:dyDescent="0.3">
      <c r="A1321" s="2">
        <f ca="1">INDEX(Simulations!$A$1:$BK$2501, 1321, MATCH("PurchaseMultiple", Simulations!$A$1:$BK$1, 0))</f>
        <v>6.7144298353286773</v>
      </c>
      <c r="B1321" s="2">
        <f ca="1">INDEX(Simulations!$A$1:$BK$2501, 1321, MATCH("ExitMultiple", Simulations!$A$1:$BK$1, 0))</f>
        <v>7.6959754664846134</v>
      </c>
      <c r="C1321" s="2">
        <f ca="1">INDEX(Simulations!$A$1:$BK$2501, 1321, MATCH("RevCAGR", Simulations!$A$1:$BK$1, 0))</f>
        <v>2.599452841677263E-2</v>
      </c>
      <c r="D1321" s="2">
        <f ca="1">INDEX(Simulations!$A$1:$BK$2501, 1321, MATCH("SynMargin", Simulations!$A$1:$BK$1, 0))</f>
        <v>5.3841593504606704E-4</v>
      </c>
      <c r="E1321" s="2">
        <f ca="1">INDEX(Simulations!$A$1:$BK$2501, 1321, MATCH("Yr1Shock", Simulations!$A$1:$BK$1, 0))</f>
        <v>-9.2093887780569893E-3</v>
      </c>
    </row>
    <row r="1322" spans="1:5" x14ac:dyDescent="0.3">
      <c r="A1322" s="2">
        <f ca="1">INDEX(Simulations!$A$1:$BK$2501, 1322, MATCH("PurchaseMultiple", Simulations!$A$1:$BK$1, 0))</f>
        <v>7.3047491393492958</v>
      </c>
      <c r="B1322" s="2">
        <f ca="1">INDEX(Simulations!$A$1:$BK$2501, 1322, MATCH("ExitMultiple", Simulations!$A$1:$BK$1, 0))</f>
        <v>7.667494170403196</v>
      </c>
      <c r="C1322" s="2">
        <f ca="1">INDEX(Simulations!$A$1:$BK$2501, 1322, MATCH("RevCAGR", Simulations!$A$1:$BK$1, 0))</f>
        <v>8.7936078736810516E-2</v>
      </c>
      <c r="D1322" s="2">
        <f ca="1">INDEX(Simulations!$A$1:$BK$2501, 1322, MATCH("SynMargin", Simulations!$A$1:$BK$1, 0))</f>
        <v>9.7467779173408819E-4</v>
      </c>
      <c r="E1322" s="2">
        <f ca="1">INDEX(Simulations!$A$1:$BK$2501, 1322, MATCH("Yr1Shock", Simulations!$A$1:$BK$1, 0))</f>
        <v>2.2638712515136966E-2</v>
      </c>
    </row>
    <row r="1323" spans="1:5" x14ac:dyDescent="0.3">
      <c r="A1323" s="2">
        <f ca="1">INDEX(Simulations!$A$1:$BK$2501, 1323, MATCH("PurchaseMultiple", Simulations!$A$1:$BK$1, 0))</f>
        <v>7.0871237582223348</v>
      </c>
      <c r="B1323" s="2">
        <f ca="1">INDEX(Simulations!$A$1:$BK$2501, 1323, MATCH("ExitMultiple", Simulations!$A$1:$BK$1, 0))</f>
        <v>7.1139083601398747</v>
      </c>
      <c r="C1323" s="2">
        <f ca="1">INDEX(Simulations!$A$1:$BK$2501, 1323, MATCH("RevCAGR", Simulations!$A$1:$BK$1, 0))</f>
        <v>-1.0618838447444004E-2</v>
      </c>
      <c r="D1323" s="2">
        <f ca="1">INDEX(Simulations!$A$1:$BK$2501, 1323, MATCH("SynMargin", Simulations!$A$1:$BK$1, 0))</f>
        <v>7.7075035791664675E-3</v>
      </c>
      <c r="E1323" s="2">
        <f ca="1">INDEX(Simulations!$A$1:$BK$2501, 1323, MATCH("Yr1Shock", Simulations!$A$1:$BK$1, 0))</f>
        <v>-1.3719597045427284E-2</v>
      </c>
    </row>
    <row r="1324" spans="1:5" x14ac:dyDescent="0.3">
      <c r="A1324" s="2">
        <f ca="1">INDEX(Simulations!$A$1:$BK$2501, 1324, MATCH("PurchaseMultiple", Simulations!$A$1:$BK$1, 0))</f>
        <v>6.8844565763749683</v>
      </c>
      <c r="B1324" s="2">
        <f ca="1">INDEX(Simulations!$A$1:$BK$2501, 1324, MATCH("ExitMultiple", Simulations!$A$1:$BK$1, 0))</f>
        <v>8.0608938850915681</v>
      </c>
      <c r="C1324" s="2">
        <f ca="1">INDEX(Simulations!$A$1:$BK$2501, 1324, MATCH("RevCAGR", Simulations!$A$1:$BK$1, 0))</f>
        <v>0.10952940193160104</v>
      </c>
      <c r="D1324" s="2">
        <f ca="1">INDEX(Simulations!$A$1:$BK$2501, 1324, MATCH("SynMargin", Simulations!$A$1:$BK$1, 0))</f>
        <v>1.1571338072877534E-2</v>
      </c>
      <c r="E1324" s="2">
        <f ca="1">INDEX(Simulations!$A$1:$BK$2501, 1324, MATCH("Yr1Shock", Simulations!$A$1:$BK$1, 0))</f>
        <v>9.6506852076986768E-4</v>
      </c>
    </row>
    <row r="1325" spans="1:5" x14ac:dyDescent="0.3">
      <c r="A1325" s="2">
        <f ca="1">INDEX(Simulations!$A$1:$BK$2501, 1325, MATCH("PurchaseMultiple", Simulations!$A$1:$BK$1, 0))</f>
        <v>6.8228211158494076</v>
      </c>
      <c r="B1325" s="2">
        <f ca="1">INDEX(Simulations!$A$1:$BK$2501, 1325, MATCH("ExitMultiple", Simulations!$A$1:$BK$1, 0))</f>
        <v>7.2793372585908855</v>
      </c>
      <c r="C1325" s="2">
        <f ca="1">INDEX(Simulations!$A$1:$BK$2501, 1325, MATCH("RevCAGR", Simulations!$A$1:$BK$1, 0))</f>
        <v>7.9213945017082565E-2</v>
      </c>
      <c r="D1325" s="2">
        <f ca="1">INDEX(Simulations!$A$1:$BK$2501, 1325, MATCH("SynMargin", Simulations!$A$1:$BK$1, 0))</f>
        <v>4.4474288798302857E-3</v>
      </c>
      <c r="E1325" s="2">
        <f ca="1">INDEX(Simulations!$A$1:$BK$2501, 1325, MATCH("Yr1Shock", Simulations!$A$1:$BK$1, 0))</f>
        <v>-9.0306621705986134E-3</v>
      </c>
    </row>
    <row r="1326" spans="1:5" x14ac:dyDescent="0.3">
      <c r="A1326" s="2">
        <f ca="1">INDEX(Simulations!$A$1:$BK$2501, 1326, MATCH("PurchaseMultiple", Simulations!$A$1:$BK$1, 0))</f>
        <v>7.0231987526498267</v>
      </c>
      <c r="B1326" s="2">
        <f ca="1">INDEX(Simulations!$A$1:$BK$2501, 1326, MATCH("ExitMultiple", Simulations!$A$1:$BK$1, 0))</f>
        <v>7.6819848896024219</v>
      </c>
      <c r="C1326" s="2">
        <f ca="1">INDEX(Simulations!$A$1:$BK$2501, 1326, MATCH("RevCAGR", Simulations!$A$1:$BK$1, 0))</f>
        <v>2.7291547693842601E-2</v>
      </c>
      <c r="D1326" s="2">
        <f ca="1">INDEX(Simulations!$A$1:$BK$2501, 1326, MATCH("SynMargin", Simulations!$A$1:$BK$1, 0))</f>
        <v>1.0853450243670376E-2</v>
      </c>
      <c r="E1326" s="2">
        <f ca="1">INDEX(Simulations!$A$1:$BK$2501, 1326, MATCH("Yr1Shock", Simulations!$A$1:$BK$1, 0))</f>
        <v>-6.2020722358842317E-3</v>
      </c>
    </row>
    <row r="1327" spans="1:5" x14ac:dyDescent="0.3">
      <c r="A1327" s="2">
        <f ca="1">INDEX(Simulations!$A$1:$BK$2501, 1327, MATCH("PurchaseMultiple", Simulations!$A$1:$BK$1, 0))</f>
        <v>6.6275150931431437</v>
      </c>
      <c r="B1327" s="2">
        <f ca="1">INDEX(Simulations!$A$1:$BK$2501, 1327, MATCH("ExitMultiple", Simulations!$A$1:$BK$1, 0))</f>
        <v>7.8199737005414427</v>
      </c>
      <c r="C1327" s="2">
        <f ca="1">INDEX(Simulations!$A$1:$BK$2501, 1327, MATCH("RevCAGR", Simulations!$A$1:$BK$1, 0))</f>
        <v>2.4515821076090405E-4</v>
      </c>
      <c r="D1327" s="2">
        <f ca="1">INDEX(Simulations!$A$1:$BK$2501, 1327, MATCH("SynMargin", Simulations!$A$1:$BK$1, 0))</f>
        <v>1.1962975369364659E-2</v>
      </c>
      <c r="E1327" s="2">
        <f ca="1">INDEX(Simulations!$A$1:$BK$2501, 1327, MATCH("Yr1Shock", Simulations!$A$1:$BK$1, 0))</f>
        <v>3.577810999070101E-2</v>
      </c>
    </row>
    <row r="1328" spans="1:5" x14ac:dyDescent="0.3">
      <c r="A1328" s="2">
        <f ca="1">INDEX(Simulations!$A$1:$BK$2501, 1328, MATCH("PurchaseMultiple", Simulations!$A$1:$BK$1, 0))</f>
        <v>7.9094013787946995</v>
      </c>
      <c r="B1328" s="2">
        <f ca="1">INDEX(Simulations!$A$1:$BK$2501, 1328, MATCH("ExitMultiple", Simulations!$A$1:$BK$1, 0))</f>
        <v>7.4112038566814853</v>
      </c>
      <c r="C1328" s="2">
        <f ca="1">INDEX(Simulations!$A$1:$BK$2501, 1328, MATCH("RevCAGR", Simulations!$A$1:$BK$1, 0))</f>
        <v>3.0709967356363752E-2</v>
      </c>
      <c r="D1328" s="2">
        <f ca="1">INDEX(Simulations!$A$1:$BK$2501, 1328, MATCH("SynMargin", Simulations!$A$1:$BK$1, 0))</f>
        <v>1.0725735096421817E-2</v>
      </c>
      <c r="E1328" s="2">
        <f ca="1">INDEX(Simulations!$A$1:$BK$2501, 1328, MATCH("Yr1Shock", Simulations!$A$1:$BK$1, 0))</f>
        <v>1.4351368530028514E-2</v>
      </c>
    </row>
    <row r="1329" spans="1:5" x14ac:dyDescent="0.3">
      <c r="A1329" s="2">
        <f ca="1">INDEX(Simulations!$A$1:$BK$2501, 1329, MATCH("PurchaseMultiple", Simulations!$A$1:$BK$1, 0))</f>
        <v>6.5281014662272092</v>
      </c>
      <c r="B1329" s="2">
        <f ca="1">INDEX(Simulations!$A$1:$BK$2501, 1329, MATCH("ExitMultiple", Simulations!$A$1:$BK$1, 0))</f>
        <v>7.3941606041104491</v>
      </c>
      <c r="C1329" s="2">
        <f ca="1">INDEX(Simulations!$A$1:$BK$2501, 1329, MATCH("RevCAGR", Simulations!$A$1:$BK$1, 0))</f>
        <v>9.5837068724728483E-3</v>
      </c>
      <c r="D1329" s="2">
        <f ca="1">INDEX(Simulations!$A$1:$BK$2501, 1329, MATCH("SynMargin", Simulations!$A$1:$BK$1, 0))</f>
        <v>1.6575004907043483E-2</v>
      </c>
      <c r="E1329" s="2">
        <f ca="1">INDEX(Simulations!$A$1:$BK$2501, 1329, MATCH("Yr1Shock", Simulations!$A$1:$BK$1, 0))</f>
        <v>-1.8001050490910397E-2</v>
      </c>
    </row>
    <row r="1330" spans="1:5" x14ac:dyDescent="0.3">
      <c r="A1330" s="2">
        <f ca="1">INDEX(Simulations!$A$1:$BK$2501, 1330, MATCH("PurchaseMultiple", Simulations!$A$1:$BK$1, 0))</f>
        <v>6.4288148903012434</v>
      </c>
      <c r="B1330" s="2">
        <f ca="1">INDEX(Simulations!$A$1:$BK$2501, 1330, MATCH("ExitMultiple", Simulations!$A$1:$BK$1, 0))</f>
        <v>7.0378065721384928</v>
      </c>
      <c r="C1330" s="2">
        <f ca="1">INDEX(Simulations!$A$1:$BK$2501, 1330, MATCH("RevCAGR", Simulations!$A$1:$BK$1, 0))</f>
        <v>9.5220537139215522E-2</v>
      </c>
      <c r="D1330" s="2">
        <f ca="1">INDEX(Simulations!$A$1:$BK$2501, 1330, MATCH("SynMargin", Simulations!$A$1:$BK$1, 0))</f>
        <v>1.3611835952645717E-2</v>
      </c>
      <c r="E1330" s="2">
        <f ca="1">INDEX(Simulations!$A$1:$BK$2501, 1330, MATCH("Yr1Shock", Simulations!$A$1:$BK$1, 0))</f>
        <v>-3.1815028474094925E-2</v>
      </c>
    </row>
    <row r="1331" spans="1:5" x14ac:dyDescent="0.3">
      <c r="A1331" s="2">
        <f ca="1">INDEX(Simulations!$A$1:$BK$2501, 1331, MATCH("PurchaseMultiple", Simulations!$A$1:$BK$1, 0))</f>
        <v>7.0133853989102102</v>
      </c>
      <c r="B1331" s="2">
        <f ca="1">INDEX(Simulations!$A$1:$BK$2501, 1331, MATCH("ExitMultiple", Simulations!$A$1:$BK$1, 0))</f>
        <v>6.9542666484048157</v>
      </c>
      <c r="C1331" s="2">
        <f ca="1">INDEX(Simulations!$A$1:$BK$2501, 1331, MATCH("RevCAGR", Simulations!$A$1:$BK$1, 0))</f>
        <v>3.7458582507450093E-2</v>
      </c>
      <c r="D1331" s="2">
        <f ca="1">INDEX(Simulations!$A$1:$BK$2501, 1331, MATCH("SynMargin", Simulations!$A$1:$BK$1, 0))</f>
        <v>0</v>
      </c>
      <c r="E1331" s="2">
        <f ca="1">INDEX(Simulations!$A$1:$BK$2501, 1331, MATCH("Yr1Shock", Simulations!$A$1:$BK$1, 0))</f>
        <v>-2.5054328825029965E-2</v>
      </c>
    </row>
    <row r="1332" spans="1:5" x14ac:dyDescent="0.3">
      <c r="A1332" s="2">
        <f ca="1">INDEX(Simulations!$A$1:$BK$2501, 1332, MATCH("PurchaseMultiple", Simulations!$A$1:$BK$1, 0))</f>
        <v>7.0197301996315788</v>
      </c>
      <c r="B1332" s="2">
        <f ca="1">INDEX(Simulations!$A$1:$BK$2501, 1332, MATCH("ExitMultiple", Simulations!$A$1:$BK$1, 0))</f>
        <v>7.6006676087175142</v>
      </c>
      <c r="C1332" s="2">
        <f ca="1">INDEX(Simulations!$A$1:$BK$2501, 1332, MATCH("RevCAGR", Simulations!$A$1:$BK$1, 0))</f>
        <v>2.939945400908316E-2</v>
      </c>
      <c r="D1332" s="2">
        <f ca="1">INDEX(Simulations!$A$1:$BK$2501, 1332, MATCH("SynMargin", Simulations!$A$1:$BK$1, 0))</f>
        <v>1.289048112729725E-2</v>
      </c>
      <c r="E1332" s="2">
        <f ca="1">INDEX(Simulations!$A$1:$BK$2501, 1332, MATCH("Yr1Shock", Simulations!$A$1:$BK$1, 0))</f>
        <v>-3.1787571672967502E-2</v>
      </c>
    </row>
    <row r="1333" spans="1:5" x14ac:dyDescent="0.3">
      <c r="A1333" s="2">
        <f ca="1">INDEX(Simulations!$A$1:$BK$2501, 1333, MATCH("PurchaseMultiple", Simulations!$A$1:$BK$1, 0))</f>
        <v>6.8742046396751961</v>
      </c>
      <c r="B1333" s="2">
        <f ca="1">INDEX(Simulations!$A$1:$BK$2501, 1333, MATCH("ExitMultiple", Simulations!$A$1:$BK$1, 0))</f>
        <v>7.4188737471130191</v>
      </c>
      <c r="C1333" s="2">
        <f ca="1">INDEX(Simulations!$A$1:$BK$2501, 1333, MATCH("RevCAGR", Simulations!$A$1:$BK$1, 0))</f>
        <v>2.9912139689816701E-2</v>
      </c>
      <c r="D1333" s="2">
        <f ca="1">INDEX(Simulations!$A$1:$BK$2501, 1333, MATCH("SynMargin", Simulations!$A$1:$BK$1, 0))</f>
        <v>1.0029870824023814E-2</v>
      </c>
      <c r="E1333" s="2">
        <f ca="1">INDEX(Simulations!$A$1:$BK$2501, 1333, MATCH("Yr1Shock", Simulations!$A$1:$BK$1, 0))</f>
        <v>-1.1938863726333822E-2</v>
      </c>
    </row>
    <row r="1334" spans="1:5" x14ac:dyDescent="0.3">
      <c r="A1334" s="2">
        <f ca="1">INDEX(Simulations!$A$1:$BK$2501, 1334, MATCH("PurchaseMultiple", Simulations!$A$1:$BK$1, 0))</f>
        <v>7.450895800517312</v>
      </c>
      <c r="B1334" s="2">
        <f ca="1">INDEX(Simulations!$A$1:$BK$2501, 1334, MATCH("ExitMultiple", Simulations!$A$1:$BK$1, 0))</f>
        <v>7.354994736129389</v>
      </c>
      <c r="C1334" s="2">
        <f ca="1">INDEX(Simulations!$A$1:$BK$2501, 1334, MATCH("RevCAGR", Simulations!$A$1:$BK$1, 0))</f>
        <v>3.1197106206739551E-2</v>
      </c>
      <c r="D1334" s="2">
        <f ca="1">INDEX(Simulations!$A$1:$BK$2501, 1334, MATCH("SynMargin", Simulations!$A$1:$BK$1, 0))</f>
        <v>1.6524393334275463E-2</v>
      </c>
      <c r="E1334" s="2">
        <f ca="1">INDEX(Simulations!$A$1:$BK$2501, 1334, MATCH("Yr1Shock", Simulations!$A$1:$BK$1, 0))</f>
        <v>1.911554740469799E-2</v>
      </c>
    </row>
    <row r="1335" spans="1:5" x14ac:dyDescent="0.3">
      <c r="A1335" s="2">
        <f ca="1">INDEX(Simulations!$A$1:$BK$2501, 1335, MATCH("PurchaseMultiple", Simulations!$A$1:$BK$1, 0))</f>
        <v>7.3658694680145764</v>
      </c>
      <c r="B1335" s="2">
        <f ca="1">INDEX(Simulations!$A$1:$BK$2501, 1335, MATCH("ExitMultiple", Simulations!$A$1:$BK$1, 0))</f>
        <v>7.3622839744483342</v>
      </c>
      <c r="C1335" s="2">
        <f ca="1">INDEX(Simulations!$A$1:$BK$2501, 1335, MATCH("RevCAGR", Simulations!$A$1:$BK$1, 0))</f>
        <v>3.5742602942615713E-2</v>
      </c>
      <c r="D1335" s="2">
        <f ca="1">INDEX(Simulations!$A$1:$BK$2501, 1335, MATCH("SynMargin", Simulations!$A$1:$BK$1, 0))</f>
        <v>7.2180150411295029E-3</v>
      </c>
      <c r="E1335" s="2">
        <f ca="1">INDEX(Simulations!$A$1:$BK$2501, 1335, MATCH("Yr1Shock", Simulations!$A$1:$BK$1, 0))</f>
        <v>-1.9053719295219897E-2</v>
      </c>
    </row>
    <row r="1336" spans="1:5" x14ac:dyDescent="0.3">
      <c r="A1336" s="2">
        <f ca="1">INDEX(Simulations!$A$1:$BK$2501, 1336, MATCH("PurchaseMultiple", Simulations!$A$1:$BK$1, 0))</f>
        <v>6.6135828850734875</v>
      </c>
      <c r="B1336" s="2">
        <f ca="1">INDEX(Simulations!$A$1:$BK$2501, 1336, MATCH("ExitMultiple", Simulations!$A$1:$BK$1, 0))</f>
        <v>7.1517560461319967</v>
      </c>
      <c r="C1336" s="2">
        <f ca="1">INDEX(Simulations!$A$1:$BK$2501, 1336, MATCH("RevCAGR", Simulations!$A$1:$BK$1, 0))</f>
        <v>3.1331763829680143E-2</v>
      </c>
      <c r="D1336" s="2">
        <f ca="1">INDEX(Simulations!$A$1:$BK$2501, 1336, MATCH("SynMargin", Simulations!$A$1:$BK$1, 0))</f>
        <v>1.5833494440279171E-2</v>
      </c>
      <c r="E1336" s="2">
        <f ca="1">INDEX(Simulations!$A$1:$BK$2501, 1336, MATCH("Yr1Shock", Simulations!$A$1:$BK$1, 0))</f>
        <v>-2.5029492773780141E-2</v>
      </c>
    </row>
    <row r="1337" spans="1:5" x14ac:dyDescent="0.3">
      <c r="A1337" s="2">
        <f ca="1">INDEX(Simulations!$A$1:$BK$2501, 1337, MATCH("PurchaseMultiple", Simulations!$A$1:$BK$1, 0))</f>
        <v>6.8646322372616977</v>
      </c>
      <c r="B1337" s="2">
        <f ca="1">INDEX(Simulations!$A$1:$BK$2501, 1337, MATCH("ExitMultiple", Simulations!$A$1:$BK$1, 0))</f>
        <v>7.8170316076088229</v>
      </c>
      <c r="C1337" s="2">
        <f ca="1">INDEX(Simulations!$A$1:$BK$2501, 1337, MATCH("RevCAGR", Simulations!$A$1:$BK$1, 0))</f>
        <v>5.2206921538971204E-2</v>
      </c>
      <c r="D1337" s="2">
        <f ca="1">INDEX(Simulations!$A$1:$BK$2501, 1337, MATCH("SynMargin", Simulations!$A$1:$BK$1, 0))</f>
        <v>8.2539090492193476E-3</v>
      </c>
      <c r="E1337" s="2">
        <f ca="1">INDEX(Simulations!$A$1:$BK$2501, 1337, MATCH("Yr1Shock", Simulations!$A$1:$BK$1, 0))</f>
        <v>-3.4874270226315972E-2</v>
      </c>
    </row>
    <row r="1338" spans="1:5" x14ac:dyDescent="0.3">
      <c r="A1338" s="2">
        <f ca="1">INDEX(Simulations!$A$1:$BK$2501, 1338, MATCH("PurchaseMultiple", Simulations!$A$1:$BK$1, 0))</f>
        <v>7.0478704778348531</v>
      </c>
      <c r="B1338" s="2">
        <f ca="1">INDEX(Simulations!$A$1:$BK$2501, 1338, MATCH("ExitMultiple", Simulations!$A$1:$BK$1, 0))</f>
        <v>7.6947751430279991</v>
      </c>
      <c r="C1338" s="2">
        <f ca="1">INDEX(Simulations!$A$1:$BK$2501, 1338, MATCH("RevCAGR", Simulations!$A$1:$BK$1, 0))</f>
        <v>2.8775850740522815E-2</v>
      </c>
      <c r="D1338" s="2">
        <f ca="1">INDEX(Simulations!$A$1:$BK$2501, 1338, MATCH("SynMargin", Simulations!$A$1:$BK$1, 0))</f>
        <v>0</v>
      </c>
      <c r="E1338" s="2">
        <f ca="1">INDEX(Simulations!$A$1:$BK$2501, 1338, MATCH("Yr1Shock", Simulations!$A$1:$BK$1, 0))</f>
        <v>8.282617707799457E-3</v>
      </c>
    </row>
    <row r="1339" spans="1:5" x14ac:dyDescent="0.3">
      <c r="A1339" s="2">
        <f ca="1">INDEX(Simulations!$A$1:$BK$2501, 1339, MATCH("PurchaseMultiple", Simulations!$A$1:$BK$1, 0))</f>
        <v>7.1865985178268277</v>
      </c>
      <c r="B1339" s="2">
        <f ca="1">INDEX(Simulations!$A$1:$BK$2501, 1339, MATCH("ExitMultiple", Simulations!$A$1:$BK$1, 0))</f>
        <v>6.9766257842443062</v>
      </c>
      <c r="C1339" s="2">
        <f ca="1">INDEX(Simulations!$A$1:$BK$2501, 1339, MATCH("RevCAGR", Simulations!$A$1:$BK$1, 0))</f>
        <v>1.7962744519558364E-2</v>
      </c>
      <c r="D1339" s="2">
        <f ca="1">INDEX(Simulations!$A$1:$BK$2501, 1339, MATCH("SynMargin", Simulations!$A$1:$BK$1, 0))</f>
        <v>8.0237845261821299E-3</v>
      </c>
      <c r="E1339" s="2">
        <f ca="1">INDEX(Simulations!$A$1:$BK$2501, 1339, MATCH("Yr1Shock", Simulations!$A$1:$BK$1, 0))</f>
        <v>1.1014307125619563E-2</v>
      </c>
    </row>
    <row r="1340" spans="1:5" x14ac:dyDescent="0.3">
      <c r="A1340" s="2">
        <f ca="1">INDEX(Simulations!$A$1:$BK$2501, 1340, MATCH("PurchaseMultiple", Simulations!$A$1:$BK$1, 0))</f>
        <v>6.9059941070460624</v>
      </c>
      <c r="B1340" s="2">
        <f ca="1">INDEX(Simulations!$A$1:$BK$2501, 1340, MATCH("ExitMultiple", Simulations!$A$1:$BK$1, 0))</f>
        <v>7.8273606678251495</v>
      </c>
      <c r="C1340" s="2">
        <f ca="1">INDEX(Simulations!$A$1:$BK$2501, 1340, MATCH("RevCAGR", Simulations!$A$1:$BK$1, 0))</f>
        <v>8.0119195724725228E-2</v>
      </c>
      <c r="D1340" s="2">
        <f ca="1">INDEX(Simulations!$A$1:$BK$2501, 1340, MATCH("SynMargin", Simulations!$A$1:$BK$1, 0))</f>
        <v>8.3076381343234421E-3</v>
      </c>
      <c r="E1340" s="2">
        <f ca="1">INDEX(Simulations!$A$1:$BK$2501, 1340, MATCH("Yr1Shock", Simulations!$A$1:$BK$1, 0))</f>
        <v>-2.6432724102878506E-2</v>
      </c>
    </row>
    <row r="1341" spans="1:5" x14ac:dyDescent="0.3">
      <c r="A1341" s="2">
        <f ca="1">INDEX(Simulations!$A$1:$BK$2501, 1341, MATCH("PurchaseMultiple", Simulations!$A$1:$BK$1, 0))</f>
        <v>7.0283657544759004</v>
      </c>
      <c r="B1341" s="2">
        <f ca="1">INDEX(Simulations!$A$1:$BK$2501, 1341, MATCH("ExitMultiple", Simulations!$A$1:$BK$1, 0))</f>
        <v>7.2677072304282593</v>
      </c>
      <c r="C1341" s="2">
        <f ca="1">INDEX(Simulations!$A$1:$BK$2501, 1341, MATCH("RevCAGR", Simulations!$A$1:$BK$1, 0))</f>
        <v>1.3305408132159038E-2</v>
      </c>
      <c r="D1341" s="2">
        <f ca="1">INDEX(Simulations!$A$1:$BK$2501, 1341, MATCH("SynMargin", Simulations!$A$1:$BK$1, 0))</f>
        <v>1.4688007099752359E-2</v>
      </c>
      <c r="E1341" s="2">
        <f ca="1">INDEX(Simulations!$A$1:$BK$2501, 1341, MATCH("Yr1Shock", Simulations!$A$1:$BK$1, 0))</f>
        <v>5.0217418089351182E-3</v>
      </c>
    </row>
    <row r="1342" spans="1:5" x14ac:dyDescent="0.3">
      <c r="A1342" s="2">
        <f ca="1">INDEX(Simulations!$A$1:$BK$2501, 1342, MATCH("PurchaseMultiple", Simulations!$A$1:$BK$1, 0))</f>
        <v>6.9491624095065454</v>
      </c>
      <c r="B1342" s="2">
        <f ca="1">INDEX(Simulations!$A$1:$BK$2501, 1342, MATCH("ExitMultiple", Simulations!$A$1:$BK$1, 0))</f>
        <v>7.4245124435327527</v>
      </c>
      <c r="C1342" s="2">
        <f ca="1">INDEX(Simulations!$A$1:$BK$2501, 1342, MATCH("RevCAGR", Simulations!$A$1:$BK$1, 0))</f>
        <v>5.8248519437262017E-2</v>
      </c>
      <c r="D1342" s="2">
        <f ca="1">INDEX(Simulations!$A$1:$BK$2501, 1342, MATCH("SynMargin", Simulations!$A$1:$BK$1, 0))</f>
        <v>1.3253952152316138E-2</v>
      </c>
      <c r="E1342" s="2">
        <f ca="1">INDEX(Simulations!$A$1:$BK$2501, 1342, MATCH("Yr1Shock", Simulations!$A$1:$BK$1, 0))</f>
        <v>-2.4488710851851015E-4</v>
      </c>
    </row>
    <row r="1343" spans="1:5" x14ac:dyDescent="0.3">
      <c r="A1343" s="2">
        <f ca="1">INDEX(Simulations!$A$1:$BK$2501, 1343, MATCH("PurchaseMultiple", Simulations!$A$1:$BK$1, 0))</f>
        <v>6.597169133831092</v>
      </c>
      <c r="B1343" s="2">
        <f ca="1">INDEX(Simulations!$A$1:$BK$2501, 1343, MATCH("ExitMultiple", Simulations!$A$1:$BK$1, 0))</f>
        <v>7.9236547387674889</v>
      </c>
      <c r="C1343" s="2">
        <f ca="1">INDEX(Simulations!$A$1:$BK$2501, 1343, MATCH("RevCAGR", Simulations!$A$1:$BK$1, 0))</f>
        <v>7.4330608330159642E-2</v>
      </c>
      <c r="D1343" s="2">
        <f ca="1">INDEX(Simulations!$A$1:$BK$2501, 1343, MATCH("SynMargin", Simulations!$A$1:$BK$1, 0))</f>
        <v>1.4872446556158377E-2</v>
      </c>
      <c r="E1343" s="2">
        <f ca="1">INDEX(Simulations!$A$1:$BK$2501, 1343, MATCH("Yr1Shock", Simulations!$A$1:$BK$1, 0))</f>
        <v>-2.2198791448514357E-2</v>
      </c>
    </row>
    <row r="1344" spans="1:5" x14ac:dyDescent="0.3">
      <c r="A1344" s="2">
        <f ca="1">INDEX(Simulations!$A$1:$BK$2501, 1344, MATCH("PurchaseMultiple", Simulations!$A$1:$BK$1, 0))</f>
        <v>6.4649236465935944</v>
      </c>
      <c r="B1344" s="2">
        <f ca="1">INDEX(Simulations!$A$1:$BK$2501, 1344, MATCH("ExitMultiple", Simulations!$A$1:$BK$1, 0))</f>
        <v>6.9281525385636238</v>
      </c>
      <c r="C1344" s="2">
        <f ca="1">INDEX(Simulations!$A$1:$BK$2501, 1344, MATCH("RevCAGR", Simulations!$A$1:$BK$1, 0))</f>
        <v>4.5568777513152581E-2</v>
      </c>
      <c r="D1344" s="2">
        <f ca="1">INDEX(Simulations!$A$1:$BK$2501, 1344, MATCH("SynMargin", Simulations!$A$1:$BK$1, 0))</f>
        <v>1.2325779532540243E-2</v>
      </c>
      <c r="E1344" s="2">
        <f ca="1">INDEX(Simulations!$A$1:$BK$2501, 1344, MATCH("Yr1Shock", Simulations!$A$1:$BK$1, 0))</f>
        <v>1.4233684569573649E-2</v>
      </c>
    </row>
    <row r="1345" spans="1:5" x14ac:dyDescent="0.3">
      <c r="A1345" s="2">
        <f ca="1">INDEX(Simulations!$A$1:$BK$2501, 1345, MATCH("PurchaseMultiple", Simulations!$A$1:$BK$1, 0))</f>
        <v>7.4791816117389285</v>
      </c>
      <c r="B1345" s="2">
        <f ca="1">INDEX(Simulations!$A$1:$BK$2501, 1345, MATCH("ExitMultiple", Simulations!$A$1:$BK$1, 0))</f>
        <v>7.3082805267192299</v>
      </c>
      <c r="C1345" s="2">
        <f ca="1">INDEX(Simulations!$A$1:$BK$2501, 1345, MATCH("RevCAGR", Simulations!$A$1:$BK$1, 0))</f>
        <v>4.4513417827917109E-2</v>
      </c>
      <c r="D1345" s="2">
        <f ca="1">INDEX(Simulations!$A$1:$BK$2501, 1345, MATCH("SynMargin", Simulations!$A$1:$BK$1, 0))</f>
        <v>1.4421547684488854E-2</v>
      </c>
      <c r="E1345" s="2">
        <f ca="1">INDEX(Simulations!$A$1:$BK$2501, 1345, MATCH("Yr1Shock", Simulations!$A$1:$BK$1, 0))</f>
        <v>2.926962909122823E-3</v>
      </c>
    </row>
    <row r="1346" spans="1:5" x14ac:dyDescent="0.3">
      <c r="A1346" s="2">
        <f ca="1">INDEX(Simulations!$A$1:$BK$2501, 1346, MATCH("PurchaseMultiple", Simulations!$A$1:$BK$1, 0))</f>
        <v>6.9552471881785936</v>
      </c>
      <c r="B1346" s="2">
        <f ca="1">INDEX(Simulations!$A$1:$BK$2501, 1346, MATCH("ExitMultiple", Simulations!$A$1:$BK$1, 0))</f>
        <v>7.6919535496869411</v>
      </c>
      <c r="C1346" s="2">
        <f ca="1">INDEX(Simulations!$A$1:$BK$2501, 1346, MATCH("RevCAGR", Simulations!$A$1:$BK$1, 0))</f>
        <v>1.1153690804851506E-2</v>
      </c>
      <c r="D1346" s="2">
        <f ca="1">INDEX(Simulations!$A$1:$BK$2501, 1346, MATCH("SynMargin", Simulations!$A$1:$BK$1, 0))</f>
        <v>9.4042658177346059E-3</v>
      </c>
      <c r="E1346" s="2">
        <f ca="1">INDEX(Simulations!$A$1:$BK$2501, 1346, MATCH("Yr1Shock", Simulations!$A$1:$BK$1, 0))</f>
        <v>9.6147591850338065E-3</v>
      </c>
    </row>
    <row r="1347" spans="1:5" x14ac:dyDescent="0.3">
      <c r="A1347" s="2">
        <f ca="1">INDEX(Simulations!$A$1:$BK$2501, 1347, MATCH("PurchaseMultiple", Simulations!$A$1:$BK$1, 0))</f>
        <v>6.3273820244949652</v>
      </c>
      <c r="B1347" s="2">
        <f ca="1">INDEX(Simulations!$A$1:$BK$2501, 1347, MATCH("ExitMultiple", Simulations!$A$1:$BK$1, 0))</f>
        <v>6.9788866444376829</v>
      </c>
      <c r="C1347" s="2">
        <f ca="1">INDEX(Simulations!$A$1:$BK$2501, 1347, MATCH("RevCAGR", Simulations!$A$1:$BK$1, 0))</f>
        <v>5.0130068324310183E-2</v>
      </c>
      <c r="D1347" s="2">
        <f ca="1">INDEX(Simulations!$A$1:$BK$2501, 1347, MATCH("SynMargin", Simulations!$A$1:$BK$1, 0))</f>
        <v>1.0495804448767233E-2</v>
      </c>
      <c r="E1347" s="2">
        <f ca="1">INDEX(Simulations!$A$1:$BK$2501, 1347, MATCH("Yr1Shock", Simulations!$A$1:$BK$1, 0))</f>
        <v>-7.7841095890006312E-3</v>
      </c>
    </row>
    <row r="1348" spans="1:5" x14ac:dyDescent="0.3">
      <c r="A1348" s="2">
        <f ca="1">INDEX(Simulations!$A$1:$BK$2501, 1348, MATCH("PurchaseMultiple", Simulations!$A$1:$BK$1, 0))</f>
        <v>6.7429768966069616</v>
      </c>
      <c r="B1348" s="2">
        <f ca="1">INDEX(Simulations!$A$1:$BK$2501, 1348, MATCH("ExitMultiple", Simulations!$A$1:$BK$1, 0))</f>
        <v>7.2463750376968132</v>
      </c>
      <c r="C1348" s="2">
        <f ca="1">INDEX(Simulations!$A$1:$BK$2501, 1348, MATCH("RevCAGR", Simulations!$A$1:$BK$1, 0))</f>
        <v>4.3930597145220435E-2</v>
      </c>
      <c r="D1348" s="2">
        <f ca="1">INDEX(Simulations!$A$1:$BK$2501, 1348, MATCH("SynMargin", Simulations!$A$1:$BK$1, 0))</f>
        <v>3.3802368443281742E-3</v>
      </c>
      <c r="E1348" s="2">
        <f ca="1">INDEX(Simulations!$A$1:$BK$2501, 1348, MATCH("Yr1Shock", Simulations!$A$1:$BK$1, 0))</f>
        <v>1.1212615431510508E-2</v>
      </c>
    </row>
    <row r="1349" spans="1:5" x14ac:dyDescent="0.3">
      <c r="A1349" s="2">
        <f ca="1">INDEX(Simulations!$A$1:$BK$2501, 1349, MATCH("PurchaseMultiple", Simulations!$A$1:$BK$1, 0))</f>
        <v>6.4520865367152735</v>
      </c>
      <c r="B1349" s="2">
        <f ca="1">INDEX(Simulations!$A$1:$BK$2501, 1349, MATCH("ExitMultiple", Simulations!$A$1:$BK$1, 0))</f>
        <v>6.9276330456251189</v>
      </c>
      <c r="C1349" s="2">
        <f ca="1">INDEX(Simulations!$A$1:$BK$2501, 1349, MATCH("RevCAGR", Simulations!$A$1:$BK$1, 0))</f>
        <v>6.1087372316512484E-2</v>
      </c>
      <c r="D1349" s="2">
        <f ca="1">INDEX(Simulations!$A$1:$BK$2501, 1349, MATCH("SynMargin", Simulations!$A$1:$BK$1, 0))</f>
        <v>3.7772723251229311E-3</v>
      </c>
      <c r="E1349" s="2">
        <f ca="1">INDEX(Simulations!$A$1:$BK$2501, 1349, MATCH("Yr1Shock", Simulations!$A$1:$BK$1, 0))</f>
        <v>-1.8643564578786171E-3</v>
      </c>
    </row>
    <row r="1350" spans="1:5" x14ac:dyDescent="0.3">
      <c r="A1350" s="2">
        <f ca="1">INDEX(Simulations!$A$1:$BK$2501, 1350, MATCH("PurchaseMultiple", Simulations!$A$1:$BK$1, 0))</f>
        <v>7.0138041180570063</v>
      </c>
      <c r="B1350" s="2">
        <f ca="1">INDEX(Simulations!$A$1:$BK$2501, 1350, MATCH("ExitMultiple", Simulations!$A$1:$BK$1, 0))</f>
        <v>7.2057403351967348</v>
      </c>
      <c r="C1350" s="2">
        <f ca="1">INDEX(Simulations!$A$1:$BK$2501, 1350, MATCH("RevCAGR", Simulations!$A$1:$BK$1, 0))</f>
        <v>6.2280588002278162E-3</v>
      </c>
      <c r="D1350" s="2">
        <f ca="1">INDEX(Simulations!$A$1:$BK$2501, 1350, MATCH("SynMargin", Simulations!$A$1:$BK$1, 0))</f>
        <v>5.5631799870749015E-3</v>
      </c>
      <c r="E1350" s="2">
        <f ca="1">INDEX(Simulations!$A$1:$BK$2501, 1350, MATCH("Yr1Shock", Simulations!$A$1:$BK$1, 0))</f>
        <v>-2.3831660289329523E-2</v>
      </c>
    </row>
    <row r="1351" spans="1:5" x14ac:dyDescent="0.3">
      <c r="A1351" s="2">
        <f ca="1">INDEX(Simulations!$A$1:$BK$2501, 1351, MATCH("PurchaseMultiple", Simulations!$A$1:$BK$1, 0))</f>
        <v>7.1439847798252059</v>
      </c>
      <c r="B1351" s="2">
        <f ca="1">INDEX(Simulations!$A$1:$BK$2501, 1351, MATCH("ExitMultiple", Simulations!$A$1:$BK$1, 0))</f>
        <v>7.3103184763602913</v>
      </c>
      <c r="C1351" s="2">
        <f ca="1">INDEX(Simulations!$A$1:$BK$2501, 1351, MATCH("RevCAGR", Simulations!$A$1:$BK$1, 0))</f>
        <v>4.5538380620240924E-2</v>
      </c>
      <c r="D1351" s="2">
        <f ca="1">INDEX(Simulations!$A$1:$BK$2501, 1351, MATCH("SynMargin", Simulations!$A$1:$BK$1, 0))</f>
        <v>7.3741954833551112E-3</v>
      </c>
      <c r="E1351" s="2">
        <f ca="1">INDEX(Simulations!$A$1:$BK$2501, 1351, MATCH("Yr1Shock", Simulations!$A$1:$BK$1, 0))</f>
        <v>1.3264516709789518E-2</v>
      </c>
    </row>
    <row r="1352" spans="1:5" x14ac:dyDescent="0.3">
      <c r="A1352" s="2">
        <f ca="1">INDEX(Simulations!$A$1:$BK$2501, 1352, MATCH("PurchaseMultiple", Simulations!$A$1:$BK$1, 0))</f>
        <v>7.0189713690910489</v>
      </c>
      <c r="B1352" s="2">
        <f ca="1">INDEX(Simulations!$A$1:$BK$2501, 1352, MATCH("ExitMultiple", Simulations!$A$1:$BK$1, 0))</f>
        <v>7.2768856573641534</v>
      </c>
      <c r="C1352" s="2">
        <f ca="1">INDEX(Simulations!$A$1:$BK$2501, 1352, MATCH("RevCAGR", Simulations!$A$1:$BK$1, 0))</f>
        <v>4.9245693841591012E-2</v>
      </c>
      <c r="D1352" s="2">
        <f ca="1">INDEX(Simulations!$A$1:$BK$2501, 1352, MATCH("SynMargin", Simulations!$A$1:$BK$1, 0))</f>
        <v>1.2268308426002256E-2</v>
      </c>
      <c r="E1352" s="2">
        <f ca="1">INDEX(Simulations!$A$1:$BK$2501, 1352, MATCH("Yr1Shock", Simulations!$A$1:$BK$1, 0))</f>
        <v>-1.1664891974807783E-2</v>
      </c>
    </row>
    <row r="1353" spans="1:5" x14ac:dyDescent="0.3">
      <c r="A1353" s="2">
        <f ca="1">INDEX(Simulations!$A$1:$BK$2501, 1353, MATCH("PurchaseMultiple", Simulations!$A$1:$BK$1, 0))</f>
        <v>7.3702966837124659</v>
      </c>
      <c r="B1353" s="2">
        <f ca="1">INDEX(Simulations!$A$1:$BK$2501, 1353, MATCH("ExitMultiple", Simulations!$A$1:$BK$1, 0))</f>
        <v>8.0092085591792337</v>
      </c>
      <c r="C1353" s="2">
        <f ca="1">INDEX(Simulations!$A$1:$BK$2501, 1353, MATCH("RevCAGR", Simulations!$A$1:$BK$1, 0))</f>
        <v>4.9890117031078082E-2</v>
      </c>
      <c r="D1353" s="2">
        <f ca="1">INDEX(Simulations!$A$1:$BK$2501, 1353, MATCH("SynMargin", Simulations!$A$1:$BK$1, 0))</f>
        <v>9.3135602105542635E-3</v>
      </c>
      <c r="E1353" s="2">
        <f ca="1">INDEX(Simulations!$A$1:$BK$2501, 1353, MATCH("Yr1Shock", Simulations!$A$1:$BK$1, 0))</f>
        <v>-2.331437234165679E-3</v>
      </c>
    </row>
    <row r="1354" spans="1:5" x14ac:dyDescent="0.3">
      <c r="A1354" s="2">
        <f ca="1">INDEX(Simulations!$A$1:$BK$2501, 1354, MATCH("PurchaseMultiple", Simulations!$A$1:$BK$1, 0))</f>
        <v>6.4059199600702339</v>
      </c>
      <c r="B1354" s="2">
        <f ca="1">INDEX(Simulations!$A$1:$BK$2501, 1354, MATCH("ExitMultiple", Simulations!$A$1:$BK$1, 0))</f>
        <v>7.7163755325598213</v>
      </c>
      <c r="C1354" s="2">
        <f ca="1">INDEX(Simulations!$A$1:$BK$2501, 1354, MATCH("RevCAGR", Simulations!$A$1:$BK$1, 0))</f>
        <v>8.6726435925099349E-2</v>
      </c>
      <c r="D1354" s="2">
        <f ca="1">INDEX(Simulations!$A$1:$BK$2501, 1354, MATCH("SynMargin", Simulations!$A$1:$BK$1, 0))</f>
        <v>1.348770391761012E-2</v>
      </c>
      <c r="E1354" s="2">
        <f ca="1">INDEX(Simulations!$A$1:$BK$2501, 1354, MATCH("Yr1Shock", Simulations!$A$1:$BK$1, 0))</f>
        <v>1.2058690017881782E-3</v>
      </c>
    </row>
    <row r="1355" spans="1:5" x14ac:dyDescent="0.3">
      <c r="A1355" s="2">
        <f ca="1">INDEX(Simulations!$A$1:$BK$2501, 1355, MATCH("PurchaseMultiple", Simulations!$A$1:$BK$1, 0))</f>
        <v>6.6759332209725848</v>
      </c>
      <c r="B1355" s="2">
        <f ca="1">INDEX(Simulations!$A$1:$BK$2501, 1355, MATCH("ExitMultiple", Simulations!$A$1:$BK$1, 0))</f>
        <v>8.3638790617783023</v>
      </c>
      <c r="C1355" s="2">
        <f ca="1">INDEX(Simulations!$A$1:$BK$2501, 1355, MATCH("RevCAGR", Simulations!$A$1:$BK$1, 0))</f>
        <v>7.8999910726134312E-3</v>
      </c>
      <c r="D1355" s="2">
        <f ca="1">INDEX(Simulations!$A$1:$BK$2501, 1355, MATCH("SynMargin", Simulations!$A$1:$BK$1, 0))</f>
        <v>8.5501276714594846E-3</v>
      </c>
      <c r="E1355" s="2">
        <f ca="1">INDEX(Simulations!$A$1:$BK$2501, 1355, MATCH("Yr1Shock", Simulations!$A$1:$BK$1, 0))</f>
        <v>-5.2498495974396219E-4</v>
      </c>
    </row>
    <row r="1356" spans="1:5" x14ac:dyDescent="0.3">
      <c r="A1356" s="2">
        <f ca="1">INDEX(Simulations!$A$1:$BK$2501, 1356, MATCH("PurchaseMultiple", Simulations!$A$1:$BK$1, 0))</f>
        <v>6.7656895267971535</v>
      </c>
      <c r="B1356" s="2">
        <f ca="1">INDEX(Simulations!$A$1:$BK$2501, 1356, MATCH("ExitMultiple", Simulations!$A$1:$BK$1, 0))</f>
        <v>7.6342671782859606</v>
      </c>
      <c r="C1356" s="2">
        <f ca="1">INDEX(Simulations!$A$1:$BK$2501, 1356, MATCH("RevCAGR", Simulations!$A$1:$BK$1, 0))</f>
        <v>8.0554976321537422E-2</v>
      </c>
      <c r="D1356" s="2">
        <f ca="1">INDEX(Simulations!$A$1:$BK$2501, 1356, MATCH("SynMargin", Simulations!$A$1:$BK$1, 0))</f>
        <v>1.2668618172337418E-3</v>
      </c>
      <c r="E1356" s="2">
        <f ca="1">INDEX(Simulations!$A$1:$BK$2501, 1356, MATCH("Yr1Shock", Simulations!$A$1:$BK$1, 0))</f>
        <v>-1.9616585544373951E-2</v>
      </c>
    </row>
    <row r="1357" spans="1:5" x14ac:dyDescent="0.3">
      <c r="A1357" s="2">
        <f ca="1">INDEX(Simulations!$A$1:$BK$2501, 1357, MATCH("PurchaseMultiple", Simulations!$A$1:$BK$1, 0))</f>
        <v>7.2000273356121109</v>
      </c>
      <c r="B1357" s="2">
        <f ca="1">INDEX(Simulations!$A$1:$BK$2501, 1357, MATCH("ExitMultiple", Simulations!$A$1:$BK$1, 0))</f>
        <v>6.8625270810563688</v>
      </c>
      <c r="C1357" s="2">
        <f ca="1">INDEX(Simulations!$A$1:$BK$2501, 1357, MATCH("RevCAGR", Simulations!$A$1:$BK$1, 0))</f>
        <v>7.985794803252351E-2</v>
      </c>
      <c r="D1357" s="2">
        <f ca="1">INDEX(Simulations!$A$1:$BK$2501, 1357, MATCH("SynMargin", Simulations!$A$1:$BK$1, 0))</f>
        <v>9.3458928931411285E-3</v>
      </c>
      <c r="E1357" s="2">
        <f ca="1">INDEX(Simulations!$A$1:$BK$2501, 1357, MATCH("Yr1Shock", Simulations!$A$1:$BK$1, 0))</f>
        <v>-8.9652657498465855E-4</v>
      </c>
    </row>
    <row r="1358" spans="1:5" x14ac:dyDescent="0.3">
      <c r="A1358" s="2">
        <f ca="1">INDEX(Simulations!$A$1:$BK$2501, 1358, MATCH("PurchaseMultiple", Simulations!$A$1:$BK$1, 0))</f>
        <v>7.1414089933127762</v>
      </c>
      <c r="B1358" s="2">
        <f ca="1">INDEX(Simulations!$A$1:$BK$2501, 1358, MATCH("ExitMultiple", Simulations!$A$1:$BK$1, 0))</f>
        <v>7.4499336161197629</v>
      </c>
      <c r="C1358" s="2">
        <f ca="1">INDEX(Simulations!$A$1:$BK$2501, 1358, MATCH("RevCAGR", Simulations!$A$1:$BK$1, 0))</f>
        <v>4.381831999610851E-2</v>
      </c>
      <c r="D1358" s="2">
        <f ca="1">INDEX(Simulations!$A$1:$BK$2501, 1358, MATCH("SynMargin", Simulations!$A$1:$BK$1, 0))</f>
        <v>1.027799047811135E-2</v>
      </c>
      <c r="E1358" s="2">
        <f ca="1">INDEX(Simulations!$A$1:$BK$2501, 1358, MATCH("Yr1Shock", Simulations!$A$1:$BK$1, 0))</f>
        <v>1.2476196089480543E-2</v>
      </c>
    </row>
    <row r="1359" spans="1:5" x14ac:dyDescent="0.3">
      <c r="A1359" s="2">
        <f ca="1">INDEX(Simulations!$A$1:$BK$2501, 1359, MATCH("PurchaseMultiple", Simulations!$A$1:$BK$1, 0))</f>
        <v>6.9122824329231385</v>
      </c>
      <c r="B1359" s="2">
        <f ca="1">INDEX(Simulations!$A$1:$BK$2501, 1359, MATCH("ExitMultiple", Simulations!$A$1:$BK$1, 0))</f>
        <v>7.3401872317540331</v>
      </c>
      <c r="C1359" s="2">
        <f ca="1">INDEX(Simulations!$A$1:$BK$2501, 1359, MATCH("RevCAGR", Simulations!$A$1:$BK$1, 0))</f>
        <v>6.3066395491618132E-2</v>
      </c>
      <c r="D1359" s="2">
        <f ca="1">INDEX(Simulations!$A$1:$BK$2501, 1359, MATCH("SynMargin", Simulations!$A$1:$BK$1, 0))</f>
        <v>1.0031774365159323E-2</v>
      </c>
      <c r="E1359" s="2">
        <f ca="1">INDEX(Simulations!$A$1:$BK$2501, 1359, MATCH("Yr1Shock", Simulations!$A$1:$BK$1, 0))</f>
        <v>7.4023426524891843E-3</v>
      </c>
    </row>
    <row r="1360" spans="1:5" x14ac:dyDescent="0.3">
      <c r="A1360" s="2">
        <f ca="1">INDEX(Simulations!$A$1:$BK$2501, 1360, MATCH("PurchaseMultiple", Simulations!$A$1:$BK$1, 0))</f>
        <v>6.4851131388336114</v>
      </c>
      <c r="B1360" s="2">
        <f ca="1">INDEX(Simulations!$A$1:$BK$2501, 1360, MATCH("ExitMultiple", Simulations!$A$1:$BK$1, 0))</f>
        <v>6.850139648793875</v>
      </c>
      <c r="C1360" s="2">
        <f ca="1">INDEX(Simulations!$A$1:$BK$2501, 1360, MATCH("RevCAGR", Simulations!$A$1:$BK$1, 0))</f>
        <v>1.109401510684753E-2</v>
      </c>
      <c r="D1360" s="2">
        <f ca="1">INDEX(Simulations!$A$1:$BK$2501, 1360, MATCH("SynMargin", Simulations!$A$1:$BK$1, 0))</f>
        <v>9.8602722465265247E-3</v>
      </c>
      <c r="E1360" s="2">
        <f ca="1">INDEX(Simulations!$A$1:$BK$2501, 1360, MATCH("Yr1Shock", Simulations!$A$1:$BK$1, 0))</f>
        <v>6.360452635661114E-3</v>
      </c>
    </row>
    <row r="1361" spans="1:5" x14ac:dyDescent="0.3">
      <c r="A1361" s="2">
        <f ca="1">INDEX(Simulations!$A$1:$BK$2501, 1361, MATCH("PurchaseMultiple", Simulations!$A$1:$BK$1, 0))</f>
        <v>7.3813499892327545</v>
      </c>
      <c r="B1361" s="2">
        <f ca="1">INDEX(Simulations!$A$1:$BK$2501, 1361, MATCH("ExitMultiple", Simulations!$A$1:$BK$1, 0))</f>
        <v>7.539392529445216</v>
      </c>
      <c r="C1361" s="2">
        <f ca="1">INDEX(Simulations!$A$1:$BK$2501, 1361, MATCH("RevCAGR", Simulations!$A$1:$BK$1, 0))</f>
        <v>7.4646809279855439E-2</v>
      </c>
      <c r="D1361" s="2">
        <f ca="1">INDEX(Simulations!$A$1:$BK$2501, 1361, MATCH("SynMargin", Simulations!$A$1:$BK$1, 0))</f>
        <v>8.4305370635257924E-3</v>
      </c>
      <c r="E1361" s="2">
        <f ca="1">INDEX(Simulations!$A$1:$BK$2501, 1361, MATCH("Yr1Shock", Simulations!$A$1:$BK$1, 0))</f>
        <v>5.8668265534408117E-3</v>
      </c>
    </row>
    <row r="1362" spans="1:5" x14ac:dyDescent="0.3">
      <c r="A1362" s="2">
        <f ca="1">INDEX(Simulations!$A$1:$BK$2501, 1362, MATCH("PurchaseMultiple", Simulations!$A$1:$BK$1, 0))</f>
        <v>6.8550415894659364</v>
      </c>
      <c r="B1362" s="2">
        <f ca="1">INDEX(Simulations!$A$1:$BK$2501, 1362, MATCH("ExitMultiple", Simulations!$A$1:$BK$1, 0))</f>
        <v>7.3503629948604932</v>
      </c>
      <c r="C1362" s="2">
        <f ca="1">INDEX(Simulations!$A$1:$BK$2501, 1362, MATCH("RevCAGR", Simulations!$A$1:$BK$1, 0))</f>
        <v>2.9241451997229717E-2</v>
      </c>
      <c r="D1362" s="2">
        <f ca="1">INDEX(Simulations!$A$1:$BK$2501, 1362, MATCH("SynMargin", Simulations!$A$1:$BK$1, 0))</f>
        <v>5.2228519631950287E-3</v>
      </c>
      <c r="E1362" s="2">
        <f ca="1">INDEX(Simulations!$A$1:$BK$2501, 1362, MATCH("Yr1Shock", Simulations!$A$1:$BK$1, 0))</f>
        <v>-1.742183060560382E-2</v>
      </c>
    </row>
    <row r="1363" spans="1:5" x14ac:dyDescent="0.3">
      <c r="A1363" s="2">
        <f ca="1">INDEX(Simulations!$A$1:$BK$2501, 1363, MATCH("PurchaseMultiple", Simulations!$A$1:$BK$1, 0))</f>
        <v>7.1423244646019635</v>
      </c>
      <c r="B1363" s="2">
        <f ca="1">INDEX(Simulations!$A$1:$BK$2501, 1363, MATCH("ExitMultiple", Simulations!$A$1:$BK$1, 0))</f>
        <v>6.93724414775388</v>
      </c>
      <c r="C1363" s="2">
        <f ca="1">INDEX(Simulations!$A$1:$BK$2501, 1363, MATCH("RevCAGR", Simulations!$A$1:$BK$1, 0))</f>
        <v>5.1952431174860515E-2</v>
      </c>
      <c r="D1363" s="2">
        <f ca="1">INDEX(Simulations!$A$1:$BK$2501, 1363, MATCH("SynMargin", Simulations!$A$1:$BK$1, 0))</f>
        <v>5.9482406467195707E-3</v>
      </c>
      <c r="E1363" s="2">
        <f ca="1">INDEX(Simulations!$A$1:$BK$2501, 1363, MATCH("Yr1Shock", Simulations!$A$1:$BK$1, 0))</f>
        <v>-5.224112943233045E-3</v>
      </c>
    </row>
    <row r="1364" spans="1:5" x14ac:dyDescent="0.3">
      <c r="A1364" s="2">
        <f ca="1">INDEX(Simulations!$A$1:$BK$2501, 1364, MATCH("PurchaseMultiple", Simulations!$A$1:$BK$1, 0))</f>
        <v>6.6530482894079395</v>
      </c>
      <c r="B1364" s="2">
        <f ca="1">INDEX(Simulations!$A$1:$BK$2501, 1364, MATCH("ExitMultiple", Simulations!$A$1:$BK$1, 0))</f>
        <v>8.2338190732261207</v>
      </c>
      <c r="C1364" s="2">
        <f ca="1">INDEX(Simulations!$A$1:$BK$2501, 1364, MATCH("RevCAGR", Simulations!$A$1:$BK$1, 0))</f>
        <v>5.6710679948832977E-2</v>
      </c>
      <c r="D1364" s="2">
        <f ca="1">INDEX(Simulations!$A$1:$BK$2501, 1364, MATCH("SynMargin", Simulations!$A$1:$BK$1, 0))</f>
        <v>7.6549603081223043E-3</v>
      </c>
      <c r="E1364" s="2">
        <f ca="1">INDEX(Simulations!$A$1:$BK$2501, 1364, MATCH("Yr1Shock", Simulations!$A$1:$BK$1, 0))</f>
        <v>-1.0096288729757643E-2</v>
      </c>
    </row>
    <row r="1365" spans="1:5" x14ac:dyDescent="0.3">
      <c r="A1365" s="2">
        <f ca="1">INDEX(Simulations!$A$1:$BK$2501, 1365, MATCH("PurchaseMultiple", Simulations!$A$1:$BK$1, 0))</f>
        <v>6.8078118853470375</v>
      </c>
      <c r="B1365" s="2">
        <f ca="1">INDEX(Simulations!$A$1:$BK$2501, 1365, MATCH("ExitMultiple", Simulations!$A$1:$BK$1, 0))</f>
        <v>7.8528255967295513</v>
      </c>
      <c r="C1365" s="2">
        <f ca="1">INDEX(Simulations!$A$1:$BK$2501, 1365, MATCH("RevCAGR", Simulations!$A$1:$BK$1, 0))</f>
        <v>6.8295628368912314E-2</v>
      </c>
      <c r="D1365" s="2">
        <f ca="1">INDEX(Simulations!$A$1:$BK$2501, 1365, MATCH("SynMargin", Simulations!$A$1:$BK$1, 0))</f>
        <v>6.7489711923619453E-3</v>
      </c>
      <c r="E1365" s="2">
        <f ca="1">INDEX(Simulations!$A$1:$BK$2501, 1365, MATCH("Yr1Shock", Simulations!$A$1:$BK$1, 0))</f>
        <v>-3.3723960831935192E-2</v>
      </c>
    </row>
    <row r="1366" spans="1:5" x14ac:dyDescent="0.3">
      <c r="A1366" s="2">
        <f ca="1">INDEX(Simulations!$A$1:$BK$2501, 1366, MATCH("PurchaseMultiple", Simulations!$A$1:$BK$1, 0))</f>
        <v>7.5394654250125743</v>
      </c>
      <c r="B1366" s="2">
        <f ca="1">INDEX(Simulations!$A$1:$BK$2501, 1366, MATCH("ExitMultiple", Simulations!$A$1:$BK$1, 0))</f>
        <v>7.7484288228281901</v>
      </c>
      <c r="C1366" s="2">
        <f ca="1">INDEX(Simulations!$A$1:$BK$2501, 1366, MATCH("RevCAGR", Simulations!$A$1:$BK$1, 0))</f>
        <v>8.7482437719689762E-2</v>
      </c>
      <c r="D1366" s="2">
        <f ca="1">INDEX(Simulations!$A$1:$BK$2501, 1366, MATCH("SynMargin", Simulations!$A$1:$BK$1, 0))</f>
        <v>9.0743603055407074E-3</v>
      </c>
      <c r="E1366" s="2">
        <f ca="1">INDEX(Simulations!$A$1:$BK$2501, 1366, MATCH("Yr1Shock", Simulations!$A$1:$BK$1, 0))</f>
        <v>1.8122052432880027E-3</v>
      </c>
    </row>
    <row r="1367" spans="1:5" x14ac:dyDescent="0.3">
      <c r="A1367" s="2">
        <f ca="1">INDEX(Simulations!$A$1:$BK$2501, 1367, MATCH("PurchaseMultiple", Simulations!$A$1:$BK$1, 0))</f>
        <v>6.9336855995600484</v>
      </c>
      <c r="B1367" s="2">
        <f ca="1">INDEX(Simulations!$A$1:$BK$2501, 1367, MATCH("ExitMultiple", Simulations!$A$1:$BK$1, 0))</f>
        <v>7.0016204127157025</v>
      </c>
      <c r="C1367" s="2">
        <f ca="1">INDEX(Simulations!$A$1:$BK$2501, 1367, MATCH("RevCAGR", Simulations!$A$1:$BK$1, 0))</f>
        <v>9.9975063279816034E-2</v>
      </c>
      <c r="D1367" s="2">
        <f ca="1">INDEX(Simulations!$A$1:$BK$2501, 1367, MATCH("SynMargin", Simulations!$A$1:$BK$1, 0))</f>
        <v>6.2189711829783705E-3</v>
      </c>
      <c r="E1367" s="2">
        <f ca="1">INDEX(Simulations!$A$1:$BK$2501, 1367, MATCH("Yr1Shock", Simulations!$A$1:$BK$1, 0))</f>
        <v>-3.4358110086399212E-3</v>
      </c>
    </row>
    <row r="1368" spans="1:5" x14ac:dyDescent="0.3">
      <c r="A1368" s="2">
        <f ca="1">INDEX(Simulations!$A$1:$BK$2501, 1368, MATCH("PurchaseMultiple", Simulations!$A$1:$BK$1, 0))</f>
        <v>6.9043172863543205</v>
      </c>
      <c r="B1368" s="2">
        <f ca="1">INDEX(Simulations!$A$1:$BK$2501, 1368, MATCH("ExitMultiple", Simulations!$A$1:$BK$1, 0))</f>
        <v>7.2843658544912735</v>
      </c>
      <c r="C1368" s="2">
        <f ca="1">INDEX(Simulations!$A$1:$BK$2501, 1368, MATCH("RevCAGR", Simulations!$A$1:$BK$1, 0))</f>
        <v>4.5719270753989572E-2</v>
      </c>
      <c r="D1368" s="2">
        <f ca="1">INDEX(Simulations!$A$1:$BK$2501, 1368, MATCH("SynMargin", Simulations!$A$1:$BK$1, 0))</f>
        <v>9.6882545897255031E-3</v>
      </c>
      <c r="E1368" s="2">
        <f ca="1">INDEX(Simulations!$A$1:$BK$2501, 1368, MATCH("Yr1Shock", Simulations!$A$1:$BK$1, 0))</f>
        <v>-1.9242459036173602E-2</v>
      </c>
    </row>
    <row r="1369" spans="1:5" x14ac:dyDescent="0.3">
      <c r="A1369" s="2">
        <f ca="1">INDEX(Simulations!$A$1:$BK$2501, 1369, MATCH("PurchaseMultiple", Simulations!$A$1:$BK$1, 0))</f>
        <v>6.8305728029265245</v>
      </c>
      <c r="B1369" s="2">
        <f ca="1">INDEX(Simulations!$A$1:$BK$2501, 1369, MATCH("ExitMultiple", Simulations!$A$1:$BK$1, 0))</f>
        <v>7.715864024710501</v>
      </c>
      <c r="C1369" s="2">
        <f ca="1">INDEX(Simulations!$A$1:$BK$2501, 1369, MATCH("RevCAGR", Simulations!$A$1:$BK$1, 0))</f>
        <v>4.4379819057597407E-2</v>
      </c>
      <c r="D1369" s="2">
        <f ca="1">INDEX(Simulations!$A$1:$BK$2501, 1369, MATCH("SynMargin", Simulations!$A$1:$BK$1, 0))</f>
        <v>1.8829287512562978E-2</v>
      </c>
      <c r="E1369" s="2">
        <f ca="1">INDEX(Simulations!$A$1:$BK$2501, 1369, MATCH("Yr1Shock", Simulations!$A$1:$BK$1, 0))</f>
        <v>9.218492449911922E-3</v>
      </c>
    </row>
    <row r="1370" spans="1:5" x14ac:dyDescent="0.3">
      <c r="A1370" s="2">
        <f ca="1">INDEX(Simulations!$A$1:$BK$2501, 1370, MATCH("PurchaseMultiple", Simulations!$A$1:$BK$1, 0))</f>
        <v>6.9093423208871254</v>
      </c>
      <c r="B1370" s="2">
        <f ca="1">INDEX(Simulations!$A$1:$BK$2501, 1370, MATCH("ExitMultiple", Simulations!$A$1:$BK$1, 0))</f>
        <v>7.2087542342494597</v>
      </c>
      <c r="C1370" s="2">
        <f ca="1">INDEX(Simulations!$A$1:$BK$2501, 1370, MATCH("RevCAGR", Simulations!$A$1:$BK$1, 0))</f>
        <v>5.2138357032889618E-2</v>
      </c>
      <c r="D1370" s="2">
        <f ca="1">INDEX(Simulations!$A$1:$BK$2501, 1370, MATCH("SynMargin", Simulations!$A$1:$BK$1, 0))</f>
        <v>1.2919207656171135E-2</v>
      </c>
      <c r="E1370" s="2">
        <f ca="1">INDEX(Simulations!$A$1:$BK$2501, 1370, MATCH("Yr1Shock", Simulations!$A$1:$BK$1, 0))</f>
        <v>-2.2129337771133479E-2</v>
      </c>
    </row>
    <row r="1371" spans="1:5" x14ac:dyDescent="0.3">
      <c r="A1371" s="2">
        <f ca="1">INDEX(Simulations!$A$1:$BK$2501, 1371, MATCH("PurchaseMultiple", Simulations!$A$1:$BK$1, 0))</f>
        <v>6.7773373139993103</v>
      </c>
      <c r="B1371" s="2">
        <f ca="1">INDEX(Simulations!$A$1:$BK$2501, 1371, MATCH("ExitMultiple", Simulations!$A$1:$BK$1, 0))</f>
        <v>7.500657291562649</v>
      </c>
      <c r="C1371" s="2">
        <f ca="1">INDEX(Simulations!$A$1:$BK$2501, 1371, MATCH("RevCAGR", Simulations!$A$1:$BK$1, 0))</f>
        <v>9.5198347074926193E-2</v>
      </c>
      <c r="D1371" s="2">
        <f ca="1">INDEX(Simulations!$A$1:$BK$2501, 1371, MATCH("SynMargin", Simulations!$A$1:$BK$1, 0))</f>
        <v>2.0779909623610135E-2</v>
      </c>
      <c r="E1371" s="2">
        <f ca="1">INDEX(Simulations!$A$1:$BK$2501, 1371, MATCH("Yr1Shock", Simulations!$A$1:$BK$1, 0))</f>
        <v>3.5145990157188322E-3</v>
      </c>
    </row>
    <row r="1372" spans="1:5" x14ac:dyDescent="0.3">
      <c r="A1372" s="2">
        <f ca="1">INDEX(Simulations!$A$1:$BK$2501, 1372, MATCH("PurchaseMultiple", Simulations!$A$1:$BK$1, 0))</f>
        <v>6.5337196013353793</v>
      </c>
      <c r="B1372" s="2">
        <f ca="1">INDEX(Simulations!$A$1:$BK$2501, 1372, MATCH("ExitMultiple", Simulations!$A$1:$BK$1, 0))</f>
        <v>8.0282506577758461</v>
      </c>
      <c r="C1372" s="2">
        <f ca="1">INDEX(Simulations!$A$1:$BK$2501, 1372, MATCH("RevCAGR", Simulations!$A$1:$BK$1, 0))</f>
        <v>2.4652766554069221E-2</v>
      </c>
      <c r="D1372" s="2">
        <f ca="1">INDEX(Simulations!$A$1:$BK$2501, 1372, MATCH("SynMargin", Simulations!$A$1:$BK$1, 0))</f>
        <v>1.3304868421965731E-2</v>
      </c>
      <c r="E1372" s="2">
        <f ca="1">INDEX(Simulations!$A$1:$BK$2501, 1372, MATCH("Yr1Shock", Simulations!$A$1:$BK$1, 0))</f>
        <v>-8.0439554259056079E-3</v>
      </c>
    </row>
    <row r="1373" spans="1:5" x14ac:dyDescent="0.3">
      <c r="A1373" s="2">
        <f ca="1">INDEX(Simulations!$A$1:$BK$2501, 1373, MATCH("PurchaseMultiple", Simulations!$A$1:$BK$1, 0))</f>
        <v>6.7363235633854348</v>
      </c>
      <c r="B1373" s="2">
        <f ca="1">INDEX(Simulations!$A$1:$BK$2501, 1373, MATCH("ExitMultiple", Simulations!$A$1:$BK$1, 0))</f>
        <v>7.8944812822896875</v>
      </c>
      <c r="C1373" s="2">
        <f ca="1">INDEX(Simulations!$A$1:$BK$2501, 1373, MATCH("RevCAGR", Simulations!$A$1:$BK$1, 0))</f>
        <v>5.8177502513630922E-2</v>
      </c>
      <c r="D1373" s="2">
        <f ca="1">INDEX(Simulations!$A$1:$BK$2501, 1373, MATCH("SynMargin", Simulations!$A$1:$BK$1, 0))</f>
        <v>1.6089353014236779E-2</v>
      </c>
      <c r="E1373" s="2">
        <f ca="1">INDEX(Simulations!$A$1:$BK$2501, 1373, MATCH("Yr1Shock", Simulations!$A$1:$BK$1, 0))</f>
        <v>7.5517874593055356E-4</v>
      </c>
    </row>
    <row r="1374" spans="1:5" x14ac:dyDescent="0.3">
      <c r="A1374" s="2">
        <f ca="1">INDEX(Simulations!$A$1:$BK$2501, 1374, MATCH("PurchaseMultiple", Simulations!$A$1:$BK$1, 0))</f>
        <v>6.5718069408012987</v>
      </c>
      <c r="B1374" s="2">
        <f ca="1">INDEX(Simulations!$A$1:$BK$2501, 1374, MATCH("ExitMultiple", Simulations!$A$1:$BK$1, 0))</f>
        <v>7.5563786328126685</v>
      </c>
      <c r="C1374" s="2">
        <f ca="1">INDEX(Simulations!$A$1:$BK$2501, 1374, MATCH("RevCAGR", Simulations!$A$1:$BK$1, 0))</f>
        <v>3.8566645959474059E-2</v>
      </c>
      <c r="D1374" s="2">
        <f ca="1">INDEX(Simulations!$A$1:$BK$2501, 1374, MATCH("SynMargin", Simulations!$A$1:$BK$1, 0))</f>
        <v>6.1579291056554223E-3</v>
      </c>
      <c r="E1374" s="2">
        <f ca="1">INDEX(Simulations!$A$1:$BK$2501, 1374, MATCH("Yr1Shock", Simulations!$A$1:$BK$1, 0))</f>
        <v>1.3059662477327798E-2</v>
      </c>
    </row>
    <row r="1375" spans="1:5" x14ac:dyDescent="0.3">
      <c r="A1375" s="2">
        <f ca="1">INDEX(Simulations!$A$1:$BK$2501, 1375, MATCH("PurchaseMultiple", Simulations!$A$1:$BK$1, 0))</f>
        <v>7.4075758725377385</v>
      </c>
      <c r="B1375" s="2">
        <f ca="1">INDEX(Simulations!$A$1:$BK$2501, 1375, MATCH("ExitMultiple", Simulations!$A$1:$BK$1, 0))</f>
        <v>7.8817879138729694</v>
      </c>
      <c r="C1375" s="2">
        <f ca="1">INDEX(Simulations!$A$1:$BK$2501, 1375, MATCH("RevCAGR", Simulations!$A$1:$BK$1, 0))</f>
        <v>4.9920698974920602E-2</v>
      </c>
      <c r="D1375" s="2">
        <f ca="1">INDEX(Simulations!$A$1:$BK$2501, 1375, MATCH("SynMargin", Simulations!$A$1:$BK$1, 0))</f>
        <v>6.1557137008104584E-3</v>
      </c>
      <c r="E1375" s="2">
        <f ca="1">INDEX(Simulations!$A$1:$BK$2501, 1375, MATCH("Yr1Shock", Simulations!$A$1:$BK$1, 0))</f>
        <v>1.5745622917918839E-2</v>
      </c>
    </row>
    <row r="1376" spans="1:5" x14ac:dyDescent="0.3">
      <c r="A1376" s="2">
        <f ca="1">INDEX(Simulations!$A$1:$BK$2501, 1376, MATCH("PurchaseMultiple", Simulations!$A$1:$BK$1, 0))</f>
        <v>6.9797805454337363</v>
      </c>
      <c r="B1376" s="2">
        <f ca="1">INDEX(Simulations!$A$1:$BK$2501, 1376, MATCH("ExitMultiple", Simulations!$A$1:$BK$1, 0))</f>
        <v>7.6847304175096856</v>
      </c>
      <c r="C1376" s="2">
        <f ca="1">INDEX(Simulations!$A$1:$BK$2501, 1376, MATCH("RevCAGR", Simulations!$A$1:$BK$1, 0))</f>
        <v>6.8217610433616002E-2</v>
      </c>
      <c r="D1376" s="2">
        <f ca="1">INDEX(Simulations!$A$1:$BK$2501, 1376, MATCH("SynMargin", Simulations!$A$1:$BK$1, 0))</f>
        <v>9.5336069807014385E-3</v>
      </c>
      <c r="E1376" s="2">
        <f ca="1">INDEX(Simulations!$A$1:$BK$2501, 1376, MATCH("Yr1Shock", Simulations!$A$1:$BK$1, 0))</f>
        <v>3.4494946637694202E-2</v>
      </c>
    </row>
    <row r="1377" spans="1:5" x14ac:dyDescent="0.3">
      <c r="A1377" s="2">
        <f ca="1">INDEX(Simulations!$A$1:$BK$2501, 1377, MATCH("PurchaseMultiple", Simulations!$A$1:$BK$1, 0))</f>
        <v>6.9495994786978192</v>
      </c>
      <c r="B1377" s="2">
        <f ca="1">INDEX(Simulations!$A$1:$BK$2501, 1377, MATCH("ExitMultiple", Simulations!$A$1:$BK$1, 0))</f>
        <v>8.0965343845064215</v>
      </c>
      <c r="C1377" s="2">
        <f ca="1">INDEX(Simulations!$A$1:$BK$2501, 1377, MATCH("RevCAGR", Simulations!$A$1:$BK$1, 0))</f>
        <v>7.3434563083069615E-2</v>
      </c>
      <c r="D1377" s="2">
        <f ca="1">INDEX(Simulations!$A$1:$BK$2501, 1377, MATCH("SynMargin", Simulations!$A$1:$BK$1, 0))</f>
        <v>1.8119913965482008E-2</v>
      </c>
      <c r="E1377" s="2">
        <f ca="1">INDEX(Simulations!$A$1:$BK$2501, 1377, MATCH("Yr1Shock", Simulations!$A$1:$BK$1, 0))</f>
        <v>2.7325605500457036E-2</v>
      </c>
    </row>
    <row r="1378" spans="1:5" x14ac:dyDescent="0.3">
      <c r="A1378" s="2">
        <f ca="1">INDEX(Simulations!$A$1:$BK$2501, 1378, MATCH("PurchaseMultiple", Simulations!$A$1:$BK$1, 0))</f>
        <v>6.8814539359097111</v>
      </c>
      <c r="B1378" s="2">
        <f ca="1">INDEX(Simulations!$A$1:$BK$2501, 1378, MATCH("ExitMultiple", Simulations!$A$1:$BK$1, 0))</f>
        <v>7.1491545440223021</v>
      </c>
      <c r="C1378" s="2">
        <f ca="1">INDEX(Simulations!$A$1:$BK$2501, 1378, MATCH("RevCAGR", Simulations!$A$1:$BK$1, 0))</f>
        <v>2.0694178050504788E-2</v>
      </c>
      <c r="D1378" s="2">
        <f ca="1">INDEX(Simulations!$A$1:$BK$2501, 1378, MATCH("SynMargin", Simulations!$A$1:$BK$1, 0))</f>
        <v>1.2977495655290376E-3</v>
      </c>
      <c r="E1378" s="2">
        <f ca="1">INDEX(Simulations!$A$1:$BK$2501, 1378, MATCH("Yr1Shock", Simulations!$A$1:$BK$1, 0))</f>
        <v>-1.5172046668078538E-2</v>
      </c>
    </row>
    <row r="1379" spans="1:5" x14ac:dyDescent="0.3">
      <c r="A1379" s="2">
        <f ca="1">INDEX(Simulations!$A$1:$BK$2501, 1379, MATCH("PurchaseMultiple", Simulations!$A$1:$BK$1, 0))</f>
        <v>7.1538267185621844</v>
      </c>
      <c r="B1379" s="2">
        <f ca="1">INDEX(Simulations!$A$1:$BK$2501, 1379, MATCH("ExitMultiple", Simulations!$A$1:$BK$1, 0))</f>
        <v>7.7672080489052329</v>
      </c>
      <c r="C1379" s="2">
        <f ca="1">INDEX(Simulations!$A$1:$BK$2501, 1379, MATCH("RevCAGR", Simulations!$A$1:$BK$1, 0))</f>
        <v>2.6641892921631525E-2</v>
      </c>
      <c r="D1379" s="2">
        <f ca="1">INDEX(Simulations!$A$1:$BK$2501, 1379, MATCH("SynMargin", Simulations!$A$1:$BK$1, 0))</f>
        <v>1.2523015495769254E-2</v>
      </c>
      <c r="E1379" s="2">
        <f ca="1">INDEX(Simulations!$A$1:$BK$2501, 1379, MATCH("Yr1Shock", Simulations!$A$1:$BK$1, 0))</f>
        <v>3.3638157884820813E-3</v>
      </c>
    </row>
    <row r="1380" spans="1:5" x14ac:dyDescent="0.3">
      <c r="A1380" s="2">
        <f ca="1">INDEX(Simulations!$A$1:$BK$2501, 1380, MATCH("PurchaseMultiple", Simulations!$A$1:$BK$1, 0))</f>
        <v>7.3857718777817025</v>
      </c>
      <c r="B1380" s="2">
        <f ca="1">INDEX(Simulations!$A$1:$BK$2501, 1380, MATCH("ExitMultiple", Simulations!$A$1:$BK$1, 0))</f>
        <v>6.9823119951018562</v>
      </c>
      <c r="C1380" s="2">
        <f ca="1">INDEX(Simulations!$A$1:$BK$2501, 1380, MATCH("RevCAGR", Simulations!$A$1:$BK$1, 0))</f>
        <v>2.1204904144600661E-2</v>
      </c>
      <c r="D1380" s="2">
        <f ca="1">INDEX(Simulations!$A$1:$BK$2501, 1380, MATCH("SynMargin", Simulations!$A$1:$BK$1, 0))</f>
        <v>6.2278602669731987E-4</v>
      </c>
      <c r="E1380" s="2">
        <f ca="1">INDEX(Simulations!$A$1:$BK$2501, 1380, MATCH("Yr1Shock", Simulations!$A$1:$BK$1, 0))</f>
        <v>-1.741556929141088E-2</v>
      </c>
    </row>
    <row r="1381" spans="1:5" x14ac:dyDescent="0.3">
      <c r="A1381" s="2">
        <f ca="1">INDEX(Simulations!$A$1:$BK$2501, 1381, MATCH("PurchaseMultiple", Simulations!$A$1:$BK$1, 0))</f>
        <v>7.3400604806155449</v>
      </c>
      <c r="B1381" s="2">
        <f ca="1">INDEX(Simulations!$A$1:$BK$2501, 1381, MATCH("ExitMultiple", Simulations!$A$1:$BK$1, 0))</f>
        <v>7.4335697405544945</v>
      </c>
      <c r="C1381" s="2">
        <f ca="1">INDEX(Simulations!$A$1:$BK$2501, 1381, MATCH("RevCAGR", Simulations!$A$1:$BK$1, 0))</f>
        <v>7.0532181155011184E-2</v>
      </c>
      <c r="D1381" s="2">
        <f ca="1">INDEX(Simulations!$A$1:$BK$2501, 1381, MATCH("SynMargin", Simulations!$A$1:$BK$1, 0))</f>
        <v>8.9513162365236192E-3</v>
      </c>
      <c r="E1381" s="2">
        <f ca="1">INDEX(Simulations!$A$1:$BK$2501, 1381, MATCH("Yr1Shock", Simulations!$A$1:$BK$1, 0))</f>
        <v>-8.8148191396892981E-3</v>
      </c>
    </row>
    <row r="1382" spans="1:5" x14ac:dyDescent="0.3">
      <c r="A1382" s="2">
        <f ca="1">INDEX(Simulations!$A$1:$BK$2501, 1382, MATCH("PurchaseMultiple", Simulations!$A$1:$BK$1, 0))</f>
        <v>7.3499404503614683</v>
      </c>
      <c r="B1382" s="2">
        <f ca="1">INDEX(Simulations!$A$1:$BK$2501, 1382, MATCH("ExitMultiple", Simulations!$A$1:$BK$1, 0))</f>
        <v>7.0968165435553239</v>
      </c>
      <c r="C1382" s="2">
        <f ca="1">INDEX(Simulations!$A$1:$BK$2501, 1382, MATCH("RevCAGR", Simulations!$A$1:$BK$1, 0))</f>
        <v>4.5492792818853559E-2</v>
      </c>
      <c r="D1382" s="2">
        <f ca="1">INDEX(Simulations!$A$1:$BK$2501, 1382, MATCH("SynMargin", Simulations!$A$1:$BK$1, 0))</f>
        <v>7.5658035765591592E-3</v>
      </c>
      <c r="E1382" s="2">
        <f ca="1">INDEX(Simulations!$A$1:$BK$2501, 1382, MATCH("Yr1Shock", Simulations!$A$1:$BK$1, 0))</f>
        <v>-2.1672150779521157E-2</v>
      </c>
    </row>
    <row r="1383" spans="1:5" x14ac:dyDescent="0.3">
      <c r="A1383" s="2">
        <f ca="1">INDEX(Simulations!$A$1:$BK$2501, 1383, MATCH("PurchaseMultiple", Simulations!$A$1:$BK$1, 0))</f>
        <v>7.2614695260748459</v>
      </c>
      <c r="B1383" s="2">
        <f ca="1">INDEX(Simulations!$A$1:$BK$2501, 1383, MATCH("ExitMultiple", Simulations!$A$1:$BK$1, 0))</f>
        <v>7.5901810783590715</v>
      </c>
      <c r="C1383" s="2">
        <f ca="1">INDEX(Simulations!$A$1:$BK$2501, 1383, MATCH("RevCAGR", Simulations!$A$1:$BK$1, 0))</f>
        <v>3.2355620898784118E-2</v>
      </c>
      <c r="D1383" s="2">
        <f ca="1">INDEX(Simulations!$A$1:$BK$2501, 1383, MATCH("SynMargin", Simulations!$A$1:$BK$1, 0))</f>
        <v>1.9471756021981132E-2</v>
      </c>
      <c r="E1383" s="2">
        <f ca="1">INDEX(Simulations!$A$1:$BK$2501, 1383, MATCH("Yr1Shock", Simulations!$A$1:$BK$1, 0))</f>
        <v>3.1364877062895931E-2</v>
      </c>
    </row>
    <row r="1384" spans="1:5" x14ac:dyDescent="0.3">
      <c r="A1384" s="2">
        <f ca="1">INDEX(Simulations!$A$1:$BK$2501, 1384, MATCH("PurchaseMultiple", Simulations!$A$1:$BK$1, 0))</f>
        <v>6.9869630777796115</v>
      </c>
      <c r="B1384" s="2">
        <f ca="1">INDEX(Simulations!$A$1:$BK$2501, 1384, MATCH("ExitMultiple", Simulations!$A$1:$BK$1, 0))</f>
        <v>7.3273255782471995</v>
      </c>
      <c r="C1384" s="2">
        <f ca="1">INDEX(Simulations!$A$1:$BK$2501, 1384, MATCH("RevCAGR", Simulations!$A$1:$BK$1, 0))</f>
        <v>3.963923363861397E-2</v>
      </c>
      <c r="D1384" s="2">
        <f ca="1">INDEX(Simulations!$A$1:$BK$2501, 1384, MATCH("SynMargin", Simulations!$A$1:$BK$1, 0))</f>
        <v>1.5584824851122149E-2</v>
      </c>
      <c r="E1384" s="2">
        <f ca="1">INDEX(Simulations!$A$1:$BK$2501, 1384, MATCH("Yr1Shock", Simulations!$A$1:$BK$1, 0))</f>
        <v>-2.0608199676038486E-2</v>
      </c>
    </row>
    <row r="1385" spans="1:5" x14ac:dyDescent="0.3">
      <c r="A1385" s="2">
        <f ca="1">INDEX(Simulations!$A$1:$BK$2501, 1385, MATCH("PurchaseMultiple", Simulations!$A$1:$BK$1, 0))</f>
        <v>6.8976247828004924</v>
      </c>
      <c r="B1385" s="2">
        <f ca="1">INDEX(Simulations!$A$1:$BK$2501, 1385, MATCH("ExitMultiple", Simulations!$A$1:$BK$1, 0))</f>
        <v>7.5372255521893718</v>
      </c>
      <c r="C1385" s="2">
        <f ca="1">INDEX(Simulations!$A$1:$BK$2501, 1385, MATCH("RevCAGR", Simulations!$A$1:$BK$1, 0))</f>
        <v>8.9442219230451467E-2</v>
      </c>
      <c r="D1385" s="2">
        <f ca="1">INDEX(Simulations!$A$1:$BK$2501, 1385, MATCH("SynMargin", Simulations!$A$1:$BK$1, 0))</f>
        <v>1.3287727966104773E-2</v>
      </c>
      <c r="E1385" s="2">
        <f ca="1">INDEX(Simulations!$A$1:$BK$2501, 1385, MATCH("Yr1Shock", Simulations!$A$1:$BK$1, 0))</f>
        <v>-2.4646594238145778E-2</v>
      </c>
    </row>
    <row r="1386" spans="1:5" x14ac:dyDescent="0.3">
      <c r="A1386" s="2">
        <f ca="1">INDEX(Simulations!$A$1:$BK$2501, 1386, MATCH("PurchaseMultiple", Simulations!$A$1:$BK$1, 0))</f>
        <v>6.9686336456505087</v>
      </c>
      <c r="B1386" s="2">
        <f ca="1">INDEX(Simulations!$A$1:$BK$2501, 1386, MATCH("ExitMultiple", Simulations!$A$1:$BK$1, 0))</f>
        <v>7.2329122893945232</v>
      </c>
      <c r="C1386" s="2">
        <f ca="1">INDEX(Simulations!$A$1:$BK$2501, 1386, MATCH("RevCAGR", Simulations!$A$1:$BK$1, 0))</f>
        <v>1.1138860444927894E-2</v>
      </c>
      <c r="D1386" s="2">
        <f ca="1">INDEX(Simulations!$A$1:$BK$2501, 1386, MATCH("SynMargin", Simulations!$A$1:$BK$1, 0))</f>
        <v>7.4126805440856303E-3</v>
      </c>
      <c r="E1386" s="2">
        <f ca="1">INDEX(Simulations!$A$1:$BK$2501, 1386, MATCH("Yr1Shock", Simulations!$A$1:$BK$1, 0))</f>
        <v>1.9017836908581845E-2</v>
      </c>
    </row>
    <row r="1387" spans="1:5" x14ac:dyDescent="0.3">
      <c r="A1387" s="2">
        <f ca="1">INDEX(Simulations!$A$1:$BK$2501, 1387, MATCH("PurchaseMultiple", Simulations!$A$1:$BK$1, 0))</f>
        <v>7.331318601793126</v>
      </c>
      <c r="B1387" s="2">
        <f ca="1">INDEX(Simulations!$A$1:$BK$2501, 1387, MATCH("ExitMultiple", Simulations!$A$1:$BK$1, 0))</f>
        <v>8.2540153764341078</v>
      </c>
      <c r="C1387" s="2">
        <f ca="1">INDEX(Simulations!$A$1:$BK$2501, 1387, MATCH("RevCAGR", Simulations!$A$1:$BK$1, 0))</f>
        <v>4.5268173296074674E-2</v>
      </c>
      <c r="D1387" s="2">
        <f ca="1">INDEX(Simulations!$A$1:$BK$2501, 1387, MATCH("SynMargin", Simulations!$A$1:$BK$1, 0))</f>
        <v>3.3552171577439036E-3</v>
      </c>
      <c r="E1387" s="2">
        <f ca="1">INDEX(Simulations!$A$1:$BK$2501, 1387, MATCH("Yr1Shock", Simulations!$A$1:$BK$1, 0))</f>
        <v>4.7642053748135862E-2</v>
      </c>
    </row>
    <row r="1388" spans="1:5" x14ac:dyDescent="0.3">
      <c r="A1388" s="2">
        <f ca="1">INDEX(Simulations!$A$1:$BK$2501, 1388, MATCH("PurchaseMultiple", Simulations!$A$1:$BK$1, 0))</f>
        <v>7.1066154227197345</v>
      </c>
      <c r="B1388" s="2">
        <f ca="1">INDEX(Simulations!$A$1:$BK$2501, 1388, MATCH("ExitMultiple", Simulations!$A$1:$BK$1, 0))</f>
        <v>7.1665974885328865</v>
      </c>
      <c r="C1388" s="2">
        <f ca="1">INDEX(Simulations!$A$1:$BK$2501, 1388, MATCH("RevCAGR", Simulations!$A$1:$BK$1, 0))</f>
        <v>9.0856090022721714E-2</v>
      </c>
      <c r="D1388" s="2">
        <f ca="1">INDEX(Simulations!$A$1:$BK$2501, 1388, MATCH("SynMargin", Simulations!$A$1:$BK$1, 0))</f>
        <v>3.0505184872153847E-3</v>
      </c>
      <c r="E1388" s="2">
        <f ca="1">INDEX(Simulations!$A$1:$BK$2501, 1388, MATCH("Yr1Shock", Simulations!$A$1:$BK$1, 0))</f>
        <v>-1.6199033609969164E-2</v>
      </c>
    </row>
    <row r="1389" spans="1:5" x14ac:dyDescent="0.3">
      <c r="A1389" s="2">
        <f ca="1">INDEX(Simulations!$A$1:$BK$2501, 1389, MATCH("PurchaseMultiple", Simulations!$A$1:$BK$1, 0))</f>
        <v>7.2883772172427044</v>
      </c>
      <c r="B1389" s="2">
        <f ca="1">INDEX(Simulations!$A$1:$BK$2501, 1389, MATCH("ExitMultiple", Simulations!$A$1:$BK$1, 0))</f>
        <v>7.7784523961854948</v>
      </c>
      <c r="C1389" s="2">
        <f ca="1">INDEX(Simulations!$A$1:$BK$2501, 1389, MATCH("RevCAGR", Simulations!$A$1:$BK$1, 0))</f>
        <v>2.8397742493522775E-2</v>
      </c>
      <c r="D1389" s="2">
        <f ca="1">INDEX(Simulations!$A$1:$BK$2501, 1389, MATCH("SynMargin", Simulations!$A$1:$BK$1, 0))</f>
        <v>1.8533625358461061E-2</v>
      </c>
      <c r="E1389" s="2">
        <f ca="1">INDEX(Simulations!$A$1:$BK$2501, 1389, MATCH("Yr1Shock", Simulations!$A$1:$BK$1, 0))</f>
        <v>-3.5845519849687812E-2</v>
      </c>
    </row>
    <row r="1390" spans="1:5" x14ac:dyDescent="0.3">
      <c r="A1390" s="2">
        <f ca="1">INDEX(Simulations!$A$1:$BK$2501, 1390, MATCH("PurchaseMultiple", Simulations!$A$1:$BK$1, 0))</f>
        <v>6.233466048265365</v>
      </c>
      <c r="B1390" s="2">
        <f ca="1">INDEX(Simulations!$A$1:$BK$2501, 1390, MATCH("ExitMultiple", Simulations!$A$1:$BK$1, 0))</f>
        <v>6.6573117248590021</v>
      </c>
      <c r="C1390" s="2">
        <f ca="1">INDEX(Simulations!$A$1:$BK$2501, 1390, MATCH("RevCAGR", Simulations!$A$1:$BK$1, 0))</f>
        <v>6.7498733224177238E-2</v>
      </c>
      <c r="D1390" s="2">
        <f ca="1">INDEX(Simulations!$A$1:$BK$2501, 1390, MATCH("SynMargin", Simulations!$A$1:$BK$1, 0))</f>
        <v>1.302161869617326E-2</v>
      </c>
      <c r="E1390" s="2">
        <f ca="1">INDEX(Simulations!$A$1:$BK$2501, 1390, MATCH("Yr1Shock", Simulations!$A$1:$BK$1, 0))</f>
        <v>-1.7838860042141184E-2</v>
      </c>
    </row>
    <row r="1391" spans="1:5" x14ac:dyDescent="0.3">
      <c r="A1391" s="2">
        <f ca="1">INDEX(Simulations!$A$1:$BK$2501, 1391, MATCH("PurchaseMultiple", Simulations!$A$1:$BK$1, 0))</f>
        <v>6.8180859902374857</v>
      </c>
      <c r="B1391" s="2">
        <f ca="1">INDEX(Simulations!$A$1:$BK$2501, 1391, MATCH("ExitMultiple", Simulations!$A$1:$BK$1, 0))</f>
        <v>7.2687973339538585</v>
      </c>
      <c r="C1391" s="2">
        <f ca="1">INDEX(Simulations!$A$1:$BK$2501, 1391, MATCH("RevCAGR", Simulations!$A$1:$BK$1, 0))</f>
        <v>4.7565941282368053E-2</v>
      </c>
      <c r="D1391" s="2">
        <f ca="1">INDEX(Simulations!$A$1:$BK$2501, 1391, MATCH("SynMargin", Simulations!$A$1:$BK$1, 0))</f>
        <v>8.72512206140846E-3</v>
      </c>
      <c r="E1391" s="2">
        <f ca="1">INDEX(Simulations!$A$1:$BK$2501, 1391, MATCH("Yr1Shock", Simulations!$A$1:$BK$1, 0))</f>
        <v>-9.265707851862582E-3</v>
      </c>
    </row>
    <row r="1392" spans="1:5" x14ac:dyDescent="0.3">
      <c r="A1392" s="2">
        <f ca="1">INDEX(Simulations!$A$1:$BK$2501, 1392, MATCH("PurchaseMultiple", Simulations!$A$1:$BK$1, 0))</f>
        <v>7.5000297409236847</v>
      </c>
      <c r="B1392" s="2">
        <f ca="1">INDEX(Simulations!$A$1:$BK$2501, 1392, MATCH("ExitMultiple", Simulations!$A$1:$BK$1, 0))</f>
        <v>7.6317341800945622</v>
      </c>
      <c r="C1392" s="2">
        <f ca="1">INDEX(Simulations!$A$1:$BK$2501, 1392, MATCH("RevCAGR", Simulations!$A$1:$BK$1, 0))</f>
        <v>0.11125934511837685</v>
      </c>
      <c r="D1392" s="2">
        <f ca="1">INDEX(Simulations!$A$1:$BK$2501, 1392, MATCH("SynMargin", Simulations!$A$1:$BK$1, 0))</f>
        <v>4.0819078482572605E-3</v>
      </c>
      <c r="E1392" s="2">
        <f ca="1">INDEX(Simulations!$A$1:$BK$2501, 1392, MATCH("Yr1Shock", Simulations!$A$1:$BK$1, 0))</f>
        <v>9.6911058360865873E-3</v>
      </c>
    </row>
    <row r="1393" spans="1:5" x14ac:dyDescent="0.3">
      <c r="A1393" s="2">
        <f ca="1">INDEX(Simulations!$A$1:$BK$2501, 1393, MATCH("PurchaseMultiple", Simulations!$A$1:$BK$1, 0))</f>
        <v>7.2047129917571215</v>
      </c>
      <c r="B1393" s="2">
        <f ca="1">INDEX(Simulations!$A$1:$BK$2501, 1393, MATCH("ExitMultiple", Simulations!$A$1:$BK$1, 0))</f>
        <v>7.1849923680942496</v>
      </c>
      <c r="C1393" s="2">
        <f ca="1">INDEX(Simulations!$A$1:$BK$2501, 1393, MATCH("RevCAGR", Simulations!$A$1:$BK$1, 0))</f>
        <v>2.754984745959518E-2</v>
      </c>
      <c r="D1393" s="2">
        <f ca="1">INDEX(Simulations!$A$1:$BK$2501, 1393, MATCH("SynMargin", Simulations!$A$1:$BK$1, 0))</f>
        <v>7.6703764981381293E-3</v>
      </c>
      <c r="E1393" s="2">
        <f ca="1">INDEX(Simulations!$A$1:$BK$2501, 1393, MATCH("Yr1Shock", Simulations!$A$1:$BK$1, 0))</f>
        <v>1.5122239623469086E-3</v>
      </c>
    </row>
    <row r="1394" spans="1:5" x14ac:dyDescent="0.3">
      <c r="A1394" s="2">
        <f ca="1">INDEX(Simulations!$A$1:$BK$2501, 1394, MATCH("PurchaseMultiple", Simulations!$A$1:$BK$1, 0))</f>
        <v>7.5288675797688418</v>
      </c>
      <c r="B1394" s="2">
        <f ca="1">INDEX(Simulations!$A$1:$BK$2501, 1394, MATCH("ExitMultiple", Simulations!$A$1:$BK$1, 0))</f>
        <v>8.0456161746635111</v>
      </c>
      <c r="C1394" s="2">
        <f ca="1">INDEX(Simulations!$A$1:$BK$2501, 1394, MATCH("RevCAGR", Simulations!$A$1:$BK$1, 0))</f>
        <v>4.4025169222105025E-2</v>
      </c>
      <c r="D1394" s="2">
        <f ca="1">INDEX(Simulations!$A$1:$BK$2501, 1394, MATCH("SynMargin", Simulations!$A$1:$BK$1, 0))</f>
        <v>5.7056111547613957E-3</v>
      </c>
      <c r="E1394" s="2">
        <f ca="1">INDEX(Simulations!$A$1:$BK$2501, 1394, MATCH("Yr1Shock", Simulations!$A$1:$BK$1, 0))</f>
        <v>1.4127681955450671E-2</v>
      </c>
    </row>
    <row r="1395" spans="1:5" x14ac:dyDescent="0.3">
      <c r="A1395" s="2">
        <f ca="1">INDEX(Simulations!$A$1:$BK$2501, 1395, MATCH("PurchaseMultiple", Simulations!$A$1:$BK$1, 0))</f>
        <v>6.9509497815450993</v>
      </c>
      <c r="B1395" s="2">
        <f ca="1">INDEX(Simulations!$A$1:$BK$2501, 1395, MATCH("ExitMultiple", Simulations!$A$1:$BK$1, 0))</f>
        <v>7.0261251738840649</v>
      </c>
      <c r="C1395" s="2">
        <f ca="1">INDEX(Simulations!$A$1:$BK$2501, 1395, MATCH("RevCAGR", Simulations!$A$1:$BK$1, 0))</f>
        <v>2.6622022516723687E-2</v>
      </c>
      <c r="D1395" s="2">
        <f ca="1">INDEX(Simulations!$A$1:$BK$2501, 1395, MATCH("SynMargin", Simulations!$A$1:$BK$1, 0))</f>
        <v>1.9219028088723888E-2</v>
      </c>
      <c r="E1395" s="2">
        <f ca="1">INDEX(Simulations!$A$1:$BK$2501, 1395, MATCH("Yr1Shock", Simulations!$A$1:$BK$1, 0))</f>
        <v>-2.233218556563878E-2</v>
      </c>
    </row>
    <row r="1396" spans="1:5" x14ac:dyDescent="0.3">
      <c r="A1396" s="2">
        <f ca="1">INDEX(Simulations!$A$1:$BK$2501, 1396, MATCH("PurchaseMultiple", Simulations!$A$1:$BK$1, 0))</f>
        <v>6.9503177270998577</v>
      </c>
      <c r="B1396" s="2">
        <f ca="1">INDEX(Simulations!$A$1:$BK$2501, 1396, MATCH("ExitMultiple", Simulations!$A$1:$BK$1, 0))</f>
        <v>7.2459168834744521</v>
      </c>
      <c r="C1396" s="2">
        <f ca="1">INDEX(Simulations!$A$1:$BK$2501, 1396, MATCH("RevCAGR", Simulations!$A$1:$BK$1, 0))</f>
        <v>-2.834877004789009E-3</v>
      </c>
      <c r="D1396" s="2">
        <f ca="1">INDEX(Simulations!$A$1:$BK$2501, 1396, MATCH("SynMargin", Simulations!$A$1:$BK$1, 0))</f>
        <v>1.2532479977097322E-2</v>
      </c>
      <c r="E1396" s="2">
        <f ca="1">INDEX(Simulations!$A$1:$BK$2501, 1396, MATCH("Yr1Shock", Simulations!$A$1:$BK$1, 0))</f>
        <v>-6.4863322440632133E-3</v>
      </c>
    </row>
    <row r="1397" spans="1:5" x14ac:dyDescent="0.3">
      <c r="A1397" s="2">
        <f ca="1">INDEX(Simulations!$A$1:$BK$2501, 1397, MATCH("PurchaseMultiple", Simulations!$A$1:$BK$1, 0))</f>
        <v>7.1349067253520797</v>
      </c>
      <c r="B1397" s="2">
        <f ca="1">INDEX(Simulations!$A$1:$BK$2501, 1397, MATCH("ExitMultiple", Simulations!$A$1:$BK$1, 0))</f>
        <v>7.4769012954629472</v>
      </c>
      <c r="C1397" s="2">
        <f ca="1">INDEX(Simulations!$A$1:$BK$2501, 1397, MATCH("RevCAGR", Simulations!$A$1:$BK$1, 0))</f>
        <v>4.2637347160831847E-2</v>
      </c>
      <c r="D1397" s="2">
        <f ca="1">INDEX(Simulations!$A$1:$BK$2501, 1397, MATCH("SynMargin", Simulations!$A$1:$BK$1, 0))</f>
        <v>1.0927551605687938E-2</v>
      </c>
      <c r="E1397" s="2">
        <f ca="1">INDEX(Simulations!$A$1:$BK$2501, 1397, MATCH("Yr1Shock", Simulations!$A$1:$BK$1, 0))</f>
        <v>1.5520708839115112E-2</v>
      </c>
    </row>
    <row r="1398" spans="1:5" x14ac:dyDescent="0.3">
      <c r="A1398" s="2">
        <f ca="1">INDEX(Simulations!$A$1:$BK$2501, 1398, MATCH("PurchaseMultiple", Simulations!$A$1:$BK$1, 0))</f>
        <v>7.3828879361011923</v>
      </c>
      <c r="B1398" s="2">
        <f ca="1">INDEX(Simulations!$A$1:$BK$2501, 1398, MATCH("ExitMultiple", Simulations!$A$1:$BK$1, 0))</f>
        <v>7.1326477874326697</v>
      </c>
      <c r="C1398" s="2">
        <f ca="1">INDEX(Simulations!$A$1:$BK$2501, 1398, MATCH("RevCAGR", Simulations!$A$1:$BK$1, 0))</f>
        <v>7.2654500344998194E-2</v>
      </c>
      <c r="D1398" s="2">
        <f ca="1">INDEX(Simulations!$A$1:$BK$2501, 1398, MATCH("SynMargin", Simulations!$A$1:$BK$1, 0))</f>
        <v>8.22498112613761E-3</v>
      </c>
      <c r="E1398" s="2">
        <f ca="1">INDEX(Simulations!$A$1:$BK$2501, 1398, MATCH("Yr1Shock", Simulations!$A$1:$BK$1, 0))</f>
        <v>6.4671040721470865E-3</v>
      </c>
    </row>
    <row r="1399" spans="1:5" x14ac:dyDescent="0.3">
      <c r="A1399" s="2">
        <f ca="1">INDEX(Simulations!$A$1:$BK$2501, 1399, MATCH("PurchaseMultiple", Simulations!$A$1:$BK$1, 0))</f>
        <v>6.7602442399579292</v>
      </c>
      <c r="B1399" s="2">
        <f ca="1">INDEX(Simulations!$A$1:$BK$2501, 1399, MATCH("ExitMultiple", Simulations!$A$1:$BK$1, 0))</f>
        <v>6.8586778953459948</v>
      </c>
      <c r="C1399" s="2">
        <f ca="1">INDEX(Simulations!$A$1:$BK$2501, 1399, MATCH("RevCAGR", Simulations!$A$1:$BK$1, 0))</f>
        <v>4.3512963465635199E-2</v>
      </c>
      <c r="D1399" s="2">
        <f ca="1">INDEX(Simulations!$A$1:$BK$2501, 1399, MATCH("SynMargin", Simulations!$A$1:$BK$1, 0))</f>
        <v>0</v>
      </c>
      <c r="E1399" s="2">
        <f ca="1">INDEX(Simulations!$A$1:$BK$2501, 1399, MATCH("Yr1Shock", Simulations!$A$1:$BK$1, 0))</f>
        <v>1.6025532653645775E-2</v>
      </c>
    </row>
    <row r="1400" spans="1:5" x14ac:dyDescent="0.3">
      <c r="A1400" s="2">
        <f ca="1">INDEX(Simulations!$A$1:$BK$2501, 1400, MATCH("PurchaseMultiple", Simulations!$A$1:$BK$1, 0))</f>
        <v>6.8299635560384768</v>
      </c>
      <c r="B1400" s="2">
        <f ca="1">INDEX(Simulations!$A$1:$BK$2501, 1400, MATCH("ExitMultiple", Simulations!$A$1:$BK$1, 0))</f>
        <v>7.2700993644262937</v>
      </c>
      <c r="C1400" s="2">
        <f ca="1">INDEX(Simulations!$A$1:$BK$2501, 1400, MATCH("RevCAGR", Simulations!$A$1:$BK$1, 0))</f>
        <v>3.2558546077243754E-2</v>
      </c>
      <c r="D1400" s="2">
        <f ca="1">INDEX(Simulations!$A$1:$BK$2501, 1400, MATCH("SynMargin", Simulations!$A$1:$BK$1, 0))</f>
        <v>1.7340427927598552E-2</v>
      </c>
      <c r="E1400" s="2">
        <f ca="1">INDEX(Simulations!$A$1:$BK$2501, 1400, MATCH("Yr1Shock", Simulations!$A$1:$BK$1, 0))</f>
        <v>-1.6523063750327905E-2</v>
      </c>
    </row>
    <row r="1401" spans="1:5" x14ac:dyDescent="0.3">
      <c r="A1401" s="2">
        <f ca="1">INDEX(Simulations!$A$1:$BK$2501, 1401, MATCH("PurchaseMultiple", Simulations!$A$1:$BK$1, 0))</f>
        <v>7.1775738552050488</v>
      </c>
      <c r="B1401" s="2">
        <f ca="1">INDEX(Simulations!$A$1:$BK$2501, 1401, MATCH("ExitMultiple", Simulations!$A$1:$BK$1, 0))</f>
        <v>7.3171271179971731</v>
      </c>
      <c r="C1401" s="2">
        <f ca="1">INDEX(Simulations!$A$1:$BK$2501, 1401, MATCH("RevCAGR", Simulations!$A$1:$BK$1, 0))</f>
        <v>5.4642430234330269E-2</v>
      </c>
      <c r="D1401" s="2">
        <f ca="1">INDEX(Simulations!$A$1:$BK$2501, 1401, MATCH("SynMargin", Simulations!$A$1:$BK$1, 0))</f>
        <v>7.2386675486145477E-3</v>
      </c>
      <c r="E1401" s="2">
        <f ca="1">INDEX(Simulations!$A$1:$BK$2501, 1401, MATCH("Yr1Shock", Simulations!$A$1:$BK$1, 0))</f>
        <v>2.1525995860750467E-2</v>
      </c>
    </row>
    <row r="1402" spans="1:5" x14ac:dyDescent="0.3">
      <c r="A1402" s="2">
        <f ca="1">INDEX(Simulations!$A$1:$BK$2501, 1402, MATCH("PurchaseMultiple", Simulations!$A$1:$BK$1, 0))</f>
        <v>7.0407614863030021</v>
      </c>
      <c r="B1402" s="2">
        <f ca="1">INDEX(Simulations!$A$1:$BK$2501, 1402, MATCH("ExitMultiple", Simulations!$A$1:$BK$1, 0))</f>
        <v>7.6569770809722586</v>
      </c>
      <c r="C1402" s="2">
        <f ca="1">INDEX(Simulations!$A$1:$BK$2501, 1402, MATCH("RevCAGR", Simulations!$A$1:$BK$1, 0))</f>
        <v>5.3400815806790077E-2</v>
      </c>
      <c r="D1402" s="2">
        <f ca="1">INDEX(Simulations!$A$1:$BK$2501, 1402, MATCH("SynMargin", Simulations!$A$1:$BK$1, 0))</f>
        <v>1.1902283404483578E-2</v>
      </c>
      <c r="E1402" s="2">
        <f ca="1">INDEX(Simulations!$A$1:$BK$2501, 1402, MATCH("Yr1Shock", Simulations!$A$1:$BK$1, 0))</f>
        <v>-2.9436733476072281E-3</v>
      </c>
    </row>
    <row r="1403" spans="1:5" x14ac:dyDescent="0.3">
      <c r="A1403" s="2">
        <f ca="1">INDEX(Simulations!$A$1:$BK$2501, 1403, MATCH("PurchaseMultiple", Simulations!$A$1:$BK$1, 0))</f>
        <v>7.0440402181821797</v>
      </c>
      <c r="B1403" s="2">
        <f ca="1">INDEX(Simulations!$A$1:$BK$2501, 1403, MATCH("ExitMultiple", Simulations!$A$1:$BK$1, 0))</f>
        <v>7.8456604490189887</v>
      </c>
      <c r="C1403" s="2">
        <f ca="1">INDEX(Simulations!$A$1:$BK$2501, 1403, MATCH("RevCAGR", Simulations!$A$1:$BK$1, 0))</f>
        <v>0.12</v>
      </c>
      <c r="D1403" s="2">
        <f ca="1">INDEX(Simulations!$A$1:$BK$2501, 1403, MATCH("SynMargin", Simulations!$A$1:$BK$1, 0))</f>
        <v>1.4076292973341495E-2</v>
      </c>
      <c r="E1403" s="2">
        <f ca="1">INDEX(Simulations!$A$1:$BK$2501, 1403, MATCH("Yr1Shock", Simulations!$A$1:$BK$1, 0))</f>
        <v>-7.6383733541397951E-3</v>
      </c>
    </row>
    <row r="1404" spans="1:5" x14ac:dyDescent="0.3">
      <c r="A1404" s="2">
        <f ca="1">INDEX(Simulations!$A$1:$BK$2501, 1404, MATCH("PurchaseMultiple", Simulations!$A$1:$BK$1, 0))</f>
        <v>6.5991992909497448</v>
      </c>
      <c r="B1404" s="2">
        <f ca="1">INDEX(Simulations!$A$1:$BK$2501, 1404, MATCH("ExitMultiple", Simulations!$A$1:$BK$1, 0))</f>
        <v>8.3998810204178653</v>
      </c>
      <c r="C1404" s="2">
        <f ca="1">INDEX(Simulations!$A$1:$BK$2501, 1404, MATCH("RevCAGR", Simulations!$A$1:$BK$1, 0))</f>
        <v>2.7938470286707234E-2</v>
      </c>
      <c r="D1404" s="2">
        <f ca="1">INDEX(Simulations!$A$1:$BK$2501, 1404, MATCH("SynMargin", Simulations!$A$1:$BK$1, 0))</f>
        <v>1.1411050321923804E-2</v>
      </c>
      <c r="E1404" s="2">
        <f ca="1">INDEX(Simulations!$A$1:$BK$2501, 1404, MATCH("Yr1Shock", Simulations!$A$1:$BK$1, 0))</f>
        <v>1.4863989343581907E-2</v>
      </c>
    </row>
    <row r="1405" spans="1:5" x14ac:dyDescent="0.3">
      <c r="A1405" s="2">
        <f ca="1">INDEX(Simulations!$A$1:$BK$2501, 1405, MATCH("PurchaseMultiple", Simulations!$A$1:$BK$1, 0))</f>
        <v>6.6774211325974635</v>
      </c>
      <c r="B1405" s="2">
        <f ca="1">INDEX(Simulations!$A$1:$BK$2501, 1405, MATCH("ExitMultiple", Simulations!$A$1:$BK$1, 0))</f>
        <v>7.1800540705194882</v>
      </c>
      <c r="C1405" s="2">
        <f ca="1">INDEX(Simulations!$A$1:$BK$2501, 1405, MATCH("RevCAGR", Simulations!$A$1:$BK$1, 0))</f>
        <v>-9.3172043297950827E-3</v>
      </c>
      <c r="D1405" s="2">
        <f ca="1">INDEX(Simulations!$A$1:$BK$2501, 1405, MATCH("SynMargin", Simulations!$A$1:$BK$1, 0))</f>
        <v>1.1977100849751298E-2</v>
      </c>
      <c r="E1405" s="2">
        <f ca="1">INDEX(Simulations!$A$1:$BK$2501, 1405, MATCH("Yr1Shock", Simulations!$A$1:$BK$1, 0))</f>
        <v>1.5556169915413136E-2</v>
      </c>
    </row>
    <row r="1406" spans="1:5" x14ac:dyDescent="0.3">
      <c r="A1406" s="2">
        <f ca="1">INDEX(Simulations!$A$1:$BK$2501, 1406, MATCH("PurchaseMultiple", Simulations!$A$1:$BK$1, 0))</f>
        <v>6.8679102088682713</v>
      </c>
      <c r="B1406" s="2">
        <f ca="1">INDEX(Simulations!$A$1:$BK$2501, 1406, MATCH("ExitMultiple", Simulations!$A$1:$BK$1, 0))</f>
        <v>7.8783301034707618</v>
      </c>
      <c r="C1406" s="2">
        <f ca="1">INDEX(Simulations!$A$1:$BK$2501, 1406, MATCH("RevCAGR", Simulations!$A$1:$BK$1, 0))</f>
        <v>7.1303042183842313E-2</v>
      </c>
      <c r="D1406" s="2">
        <f ca="1">INDEX(Simulations!$A$1:$BK$2501, 1406, MATCH("SynMargin", Simulations!$A$1:$BK$1, 0))</f>
        <v>5.1508349308723037E-3</v>
      </c>
      <c r="E1406" s="2">
        <f ca="1">INDEX(Simulations!$A$1:$BK$2501, 1406, MATCH("Yr1Shock", Simulations!$A$1:$BK$1, 0))</f>
        <v>-1.1656459445730911E-2</v>
      </c>
    </row>
    <row r="1407" spans="1:5" x14ac:dyDescent="0.3">
      <c r="A1407" s="2">
        <f ca="1">INDEX(Simulations!$A$1:$BK$2501, 1407, MATCH("PurchaseMultiple", Simulations!$A$1:$BK$1, 0))</f>
        <v>6.7555280873159074</v>
      </c>
      <c r="B1407" s="2">
        <f ca="1">INDEX(Simulations!$A$1:$BK$2501, 1407, MATCH("ExitMultiple", Simulations!$A$1:$BK$1, 0))</f>
        <v>7.3697170043438351</v>
      </c>
      <c r="C1407" s="2">
        <f ca="1">INDEX(Simulations!$A$1:$BK$2501, 1407, MATCH("RevCAGR", Simulations!$A$1:$BK$1, 0))</f>
        <v>6.6145879998906656E-2</v>
      </c>
      <c r="D1407" s="2">
        <f ca="1">INDEX(Simulations!$A$1:$BK$2501, 1407, MATCH("SynMargin", Simulations!$A$1:$BK$1, 0))</f>
        <v>1.4940846325464861E-2</v>
      </c>
      <c r="E1407" s="2">
        <f ca="1">INDEX(Simulations!$A$1:$BK$2501, 1407, MATCH("Yr1Shock", Simulations!$A$1:$BK$1, 0))</f>
        <v>-1.1988296974688416E-2</v>
      </c>
    </row>
    <row r="1408" spans="1:5" x14ac:dyDescent="0.3">
      <c r="A1408" s="2">
        <f ca="1">INDEX(Simulations!$A$1:$BK$2501, 1408, MATCH("PurchaseMultiple", Simulations!$A$1:$BK$1, 0))</f>
        <v>7.2321351888163541</v>
      </c>
      <c r="B1408" s="2">
        <f ca="1">INDEX(Simulations!$A$1:$BK$2501, 1408, MATCH("ExitMultiple", Simulations!$A$1:$BK$1, 0))</f>
        <v>7.5869831225247415</v>
      </c>
      <c r="C1408" s="2">
        <f ca="1">INDEX(Simulations!$A$1:$BK$2501, 1408, MATCH("RevCAGR", Simulations!$A$1:$BK$1, 0))</f>
        <v>-0.02</v>
      </c>
      <c r="D1408" s="2">
        <f ca="1">INDEX(Simulations!$A$1:$BK$2501, 1408, MATCH("SynMargin", Simulations!$A$1:$BK$1, 0))</f>
        <v>1.1581605521443432E-2</v>
      </c>
      <c r="E1408" s="2">
        <f ca="1">INDEX(Simulations!$A$1:$BK$2501, 1408, MATCH("Yr1Shock", Simulations!$A$1:$BK$1, 0))</f>
        <v>1.3279615650155754E-2</v>
      </c>
    </row>
    <row r="1409" spans="1:5" x14ac:dyDescent="0.3">
      <c r="A1409" s="2">
        <f ca="1">INDEX(Simulations!$A$1:$BK$2501, 1409, MATCH("PurchaseMultiple", Simulations!$A$1:$BK$1, 0))</f>
        <v>6.7525354185393258</v>
      </c>
      <c r="B1409" s="2">
        <f ca="1">INDEX(Simulations!$A$1:$BK$2501, 1409, MATCH("ExitMultiple", Simulations!$A$1:$BK$1, 0))</f>
        <v>8.0843077146451208</v>
      </c>
      <c r="C1409" s="2">
        <f ca="1">INDEX(Simulations!$A$1:$BK$2501, 1409, MATCH("RevCAGR", Simulations!$A$1:$BK$1, 0))</f>
        <v>0.11156773966375638</v>
      </c>
      <c r="D1409" s="2">
        <f ca="1">INDEX(Simulations!$A$1:$BK$2501, 1409, MATCH("SynMargin", Simulations!$A$1:$BK$1, 0))</f>
        <v>7.0512485095536055E-3</v>
      </c>
      <c r="E1409" s="2">
        <f ca="1">INDEX(Simulations!$A$1:$BK$2501, 1409, MATCH("Yr1Shock", Simulations!$A$1:$BK$1, 0))</f>
        <v>2.4552440044395777E-2</v>
      </c>
    </row>
    <row r="1410" spans="1:5" x14ac:dyDescent="0.3">
      <c r="A1410" s="2">
        <f ca="1">INDEX(Simulations!$A$1:$BK$2501, 1410, MATCH("PurchaseMultiple", Simulations!$A$1:$BK$1, 0))</f>
        <v>6.8643447835748574</v>
      </c>
      <c r="B1410" s="2">
        <f ca="1">INDEX(Simulations!$A$1:$BK$2501, 1410, MATCH("ExitMultiple", Simulations!$A$1:$BK$1, 0))</f>
        <v>7.7624920299424689</v>
      </c>
      <c r="C1410" s="2">
        <f ca="1">INDEX(Simulations!$A$1:$BK$2501, 1410, MATCH("RevCAGR", Simulations!$A$1:$BK$1, 0))</f>
        <v>8.906343633181163E-2</v>
      </c>
      <c r="D1410" s="2">
        <f ca="1">INDEX(Simulations!$A$1:$BK$2501, 1410, MATCH("SynMargin", Simulations!$A$1:$BK$1, 0))</f>
        <v>7.4841306674191801E-3</v>
      </c>
      <c r="E1410" s="2">
        <f ca="1">INDEX(Simulations!$A$1:$BK$2501, 1410, MATCH("Yr1Shock", Simulations!$A$1:$BK$1, 0))</f>
        <v>-4.5066245150674937E-3</v>
      </c>
    </row>
    <row r="1411" spans="1:5" x14ac:dyDescent="0.3">
      <c r="A1411" s="2">
        <f ca="1">INDEX(Simulations!$A$1:$BK$2501, 1411, MATCH("PurchaseMultiple", Simulations!$A$1:$BK$1, 0))</f>
        <v>6.9723557228654833</v>
      </c>
      <c r="B1411" s="2">
        <f ca="1">INDEX(Simulations!$A$1:$BK$2501, 1411, MATCH("ExitMultiple", Simulations!$A$1:$BK$1, 0))</f>
        <v>7.8953857467613577</v>
      </c>
      <c r="C1411" s="2">
        <f ca="1">INDEX(Simulations!$A$1:$BK$2501, 1411, MATCH("RevCAGR", Simulations!$A$1:$BK$1, 0))</f>
        <v>5.3371613426091417E-2</v>
      </c>
      <c r="D1411" s="2">
        <f ca="1">INDEX(Simulations!$A$1:$BK$2501, 1411, MATCH("SynMargin", Simulations!$A$1:$BK$1, 0))</f>
        <v>2.7244335385585685E-3</v>
      </c>
      <c r="E1411" s="2">
        <f ca="1">INDEX(Simulations!$A$1:$BK$2501, 1411, MATCH("Yr1Shock", Simulations!$A$1:$BK$1, 0))</f>
        <v>-6.6135079345428626E-3</v>
      </c>
    </row>
    <row r="1412" spans="1:5" x14ac:dyDescent="0.3">
      <c r="A1412" s="2">
        <f ca="1">INDEX(Simulations!$A$1:$BK$2501, 1412, MATCH("PurchaseMultiple", Simulations!$A$1:$BK$1, 0))</f>
        <v>6.8134686536216309</v>
      </c>
      <c r="B1412" s="2">
        <f ca="1">INDEX(Simulations!$A$1:$BK$2501, 1412, MATCH("ExitMultiple", Simulations!$A$1:$BK$1, 0))</f>
        <v>7.2258952683849849</v>
      </c>
      <c r="C1412" s="2">
        <f ca="1">INDEX(Simulations!$A$1:$BK$2501, 1412, MATCH("RevCAGR", Simulations!$A$1:$BK$1, 0))</f>
        <v>4.7340009310708489E-2</v>
      </c>
      <c r="D1412" s="2">
        <f ca="1">INDEX(Simulations!$A$1:$BK$2501, 1412, MATCH("SynMargin", Simulations!$A$1:$BK$1, 0))</f>
        <v>1.088586006871169E-2</v>
      </c>
      <c r="E1412" s="2">
        <f ca="1">INDEX(Simulations!$A$1:$BK$2501, 1412, MATCH("Yr1Shock", Simulations!$A$1:$BK$1, 0))</f>
        <v>6.9010318623951563E-3</v>
      </c>
    </row>
    <row r="1413" spans="1:5" x14ac:dyDescent="0.3">
      <c r="A1413" s="2">
        <f ca="1">INDEX(Simulations!$A$1:$BK$2501, 1413, MATCH("PurchaseMultiple", Simulations!$A$1:$BK$1, 0))</f>
        <v>6.9069589457935399</v>
      </c>
      <c r="B1413" s="2">
        <f ca="1">INDEX(Simulations!$A$1:$BK$2501, 1413, MATCH("ExitMultiple", Simulations!$A$1:$BK$1, 0))</f>
        <v>8.094934824577166</v>
      </c>
      <c r="C1413" s="2">
        <f ca="1">INDEX(Simulations!$A$1:$BK$2501, 1413, MATCH("RevCAGR", Simulations!$A$1:$BK$1, 0))</f>
        <v>8.6410269033890472E-3</v>
      </c>
      <c r="D1413" s="2">
        <f ca="1">INDEX(Simulations!$A$1:$BK$2501, 1413, MATCH("SynMargin", Simulations!$A$1:$BK$1, 0))</f>
        <v>1.0115889857771001E-2</v>
      </c>
      <c r="E1413" s="2">
        <f ca="1">INDEX(Simulations!$A$1:$BK$2501, 1413, MATCH("Yr1Shock", Simulations!$A$1:$BK$1, 0))</f>
        <v>-6.4543390297558565E-3</v>
      </c>
    </row>
    <row r="1414" spans="1:5" x14ac:dyDescent="0.3">
      <c r="A1414" s="2">
        <f ca="1">INDEX(Simulations!$A$1:$BK$2501, 1414, MATCH("PurchaseMultiple", Simulations!$A$1:$BK$1, 0))</f>
        <v>6.6437200547442616</v>
      </c>
      <c r="B1414" s="2">
        <f ca="1">INDEX(Simulations!$A$1:$BK$2501, 1414, MATCH("ExitMultiple", Simulations!$A$1:$BK$1, 0))</f>
        <v>7.3890743443699591</v>
      </c>
      <c r="C1414" s="2">
        <f ca="1">INDEX(Simulations!$A$1:$BK$2501, 1414, MATCH("RevCAGR", Simulations!$A$1:$BK$1, 0))</f>
        <v>4.1372371245677053E-2</v>
      </c>
      <c r="D1414" s="2">
        <f ca="1">INDEX(Simulations!$A$1:$BK$2501, 1414, MATCH("SynMargin", Simulations!$A$1:$BK$1, 0))</f>
        <v>1.5990362455824809E-2</v>
      </c>
      <c r="E1414" s="2">
        <f ca="1">INDEX(Simulations!$A$1:$BK$2501, 1414, MATCH("Yr1Shock", Simulations!$A$1:$BK$1, 0))</f>
        <v>-6.881539214670428E-3</v>
      </c>
    </row>
    <row r="1415" spans="1:5" x14ac:dyDescent="0.3">
      <c r="A1415" s="2">
        <f ca="1">INDEX(Simulations!$A$1:$BK$2501, 1415, MATCH("PurchaseMultiple", Simulations!$A$1:$BK$1, 0))</f>
        <v>7.3742370460944624</v>
      </c>
      <c r="B1415" s="2">
        <f ca="1">INDEX(Simulations!$A$1:$BK$2501, 1415, MATCH("ExitMultiple", Simulations!$A$1:$BK$1, 0))</f>
        <v>7.5524161879785101</v>
      </c>
      <c r="C1415" s="2">
        <f ca="1">INDEX(Simulations!$A$1:$BK$2501, 1415, MATCH("RevCAGR", Simulations!$A$1:$BK$1, 0))</f>
        <v>5.3537536959236326E-2</v>
      </c>
      <c r="D1415" s="2">
        <f ca="1">INDEX(Simulations!$A$1:$BK$2501, 1415, MATCH("SynMargin", Simulations!$A$1:$BK$1, 0))</f>
        <v>6.022183592198466E-3</v>
      </c>
      <c r="E1415" s="2">
        <f ca="1">INDEX(Simulations!$A$1:$BK$2501, 1415, MATCH("Yr1Shock", Simulations!$A$1:$BK$1, 0))</f>
        <v>1.4312113564728333E-2</v>
      </c>
    </row>
    <row r="1416" spans="1:5" x14ac:dyDescent="0.3">
      <c r="A1416" s="2">
        <f ca="1">INDEX(Simulations!$A$1:$BK$2501, 1416, MATCH("PurchaseMultiple", Simulations!$A$1:$BK$1, 0))</f>
        <v>6.7269989140194095</v>
      </c>
      <c r="B1416" s="2">
        <f ca="1">INDEX(Simulations!$A$1:$BK$2501, 1416, MATCH("ExitMultiple", Simulations!$A$1:$BK$1, 0))</f>
        <v>7.9291711390382629</v>
      </c>
      <c r="C1416" s="2">
        <f ca="1">INDEX(Simulations!$A$1:$BK$2501, 1416, MATCH("RevCAGR", Simulations!$A$1:$BK$1, 0))</f>
        <v>4.1454828139044907E-2</v>
      </c>
      <c r="D1416" s="2">
        <f ca="1">INDEX(Simulations!$A$1:$BK$2501, 1416, MATCH("SynMargin", Simulations!$A$1:$BK$1, 0))</f>
        <v>1.1538106038673548E-2</v>
      </c>
      <c r="E1416" s="2">
        <f ca="1">INDEX(Simulations!$A$1:$BK$2501, 1416, MATCH("Yr1Shock", Simulations!$A$1:$BK$1, 0))</f>
        <v>-1.8727337043610518E-2</v>
      </c>
    </row>
    <row r="1417" spans="1:5" x14ac:dyDescent="0.3">
      <c r="A1417" s="2">
        <f ca="1">INDEX(Simulations!$A$1:$BK$2501, 1417, MATCH("PurchaseMultiple", Simulations!$A$1:$BK$1, 0))</f>
        <v>7.2235803908571228</v>
      </c>
      <c r="B1417" s="2">
        <f ca="1">INDEX(Simulations!$A$1:$BK$2501, 1417, MATCH("ExitMultiple", Simulations!$A$1:$BK$1, 0))</f>
        <v>7.8931607663684291</v>
      </c>
      <c r="C1417" s="2">
        <f ca="1">INDEX(Simulations!$A$1:$BK$2501, 1417, MATCH("RevCAGR", Simulations!$A$1:$BK$1, 0))</f>
        <v>2.4173023712323112E-2</v>
      </c>
      <c r="D1417" s="2">
        <f ca="1">INDEX(Simulations!$A$1:$BK$2501, 1417, MATCH("SynMargin", Simulations!$A$1:$BK$1, 0))</f>
        <v>8.6541883681680067E-3</v>
      </c>
      <c r="E1417" s="2">
        <f ca="1">INDEX(Simulations!$A$1:$BK$2501, 1417, MATCH("Yr1Shock", Simulations!$A$1:$BK$1, 0))</f>
        <v>3.2522972568217949E-2</v>
      </c>
    </row>
    <row r="1418" spans="1:5" x14ac:dyDescent="0.3">
      <c r="A1418" s="2">
        <f ca="1">INDEX(Simulations!$A$1:$BK$2501, 1418, MATCH("PurchaseMultiple", Simulations!$A$1:$BK$1, 0))</f>
        <v>7.530335805771994</v>
      </c>
      <c r="B1418" s="2">
        <f ca="1">INDEX(Simulations!$A$1:$BK$2501, 1418, MATCH("ExitMultiple", Simulations!$A$1:$BK$1, 0))</f>
        <v>7.5708728529658451</v>
      </c>
      <c r="C1418" s="2">
        <f ca="1">INDEX(Simulations!$A$1:$BK$2501, 1418, MATCH("RevCAGR", Simulations!$A$1:$BK$1, 0))</f>
        <v>1.4153505737825801E-2</v>
      </c>
      <c r="D1418" s="2">
        <f ca="1">INDEX(Simulations!$A$1:$BK$2501, 1418, MATCH("SynMargin", Simulations!$A$1:$BK$1, 0))</f>
        <v>1.5227536146371415E-2</v>
      </c>
      <c r="E1418" s="2">
        <f ca="1">INDEX(Simulations!$A$1:$BK$2501, 1418, MATCH("Yr1Shock", Simulations!$A$1:$BK$1, 0))</f>
        <v>2.1795515429393526E-2</v>
      </c>
    </row>
    <row r="1419" spans="1:5" x14ac:dyDescent="0.3">
      <c r="A1419" s="2">
        <f ca="1">INDEX(Simulations!$A$1:$BK$2501, 1419, MATCH("PurchaseMultiple", Simulations!$A$1:$BK$1, 0))</f>
        <v>6.5467597677903804</v>
      </c>
      <c r="B1419" s="2">
        <f ca="1">INDEX(Simulations!$A$1:$BK$2501, 1419, MATCH("ExitMultiple", Simulations!$A$1:$BK$1, 0))</f>
        <v>8.0339866774393247</v>
      </c>
      <c r="C1419" s="2">
        <f ca="1">INDEX(Simulations!$A$1:$BK$2501, 1419, MATCH("RevCAGR", Simulations!$A$1:$BK$1, 0))</f>
        <v>5.2382820200019831E-3</v>
      </c>
      <c r="D1419" s="2">
        <f ca="1">INDEX(Simulations!$A$1:$BK$2501, 1419, MATCH("SynMargin", Simulations!$A$1:$BK$1, 0))</f>
        <v>1.4921399043521338E-2</v>
      </c>
      <c r="E1419" s="2">
        <f ca="1">INDEX(Simulations!$A$1:$BK$2501, 1419, MATCH("Yr1Shock", Simulations!$A$1:$BK$1, 0))</f>
        <v>3.1772585123847626E-2</v>
      </c>
    </row>
    <row r="1420" spans="1:5" x14ac:dyDescent="0.3">
      <c r="A1420" s="2">
        <f ca="1">INDEX(Simulations!$A$1:$BK$2501, 1420, MATCH("PurchaseMultiple", Simulations!$A$1:$BK$1, 0))</f>
        <v>7.3441392230568558</v>
      </c>
      <c r="B1420" s="2">
        <f ca="1">INDEX(Simulations!$A$1:$BK$2501, 1420, MATCH("ExitMultiple", Simulations!$A$1:$BK$1, 0))</f>
        <v>8.0881949768295787</v>
      </c>
      <c r="C1420" s="2">
        <f ca="1">INDEX(Simulations!$A$1:$BK$2501, 1420, MATCH("RevCAGR", Simulations!$A$1:$BK$1, 0))</f>
        <v>-1.6205392907020631E-2</v>
      </c>
      <c r="D1420" s="2">
        <f ca="1">INDEX(Simulations!$A$1:$BK$2501, 1420, MATCH("SynMargin", Simulations!$A$1:$BK$1, 0))</f>
        <v>1.4363054452634357E-2</v>
      </c>
      <c r="E1420" s="2">
        <f ca="1">INDEX(Simulations!$A$1:$BK$2501, 1420, MATCH("Yr1Shock", Simulations!$A$1:$BK$1, 0))</f>
        <v>-2.0344460502997319E-2</v>
      </c>
    </row>
    <row r="1421" spans="1:5" x14ac:dyDescent="0.3">
      <c r="A1421" s="2">
        <f ca="1">INDEX(Simulations!$A$1:$BK$2501, 1421, MATCH("PurchaseMultiple", Simulations!$A$1:$BK$1, 0))</f>
        <v>6.9208050696081465</v>
      </c>
      <c r="B1421" s="2">
        <f ca="1">INDEX(Simulations!$A$1:$BK$2501, 1421, MATCH("ExitMultiple", Simulations!$A$1:$BK$1, 0))</f>
        <v>7.3478696915449682</v>
      </c>
      <c r="C1421" s="2">
        <f ca="1">INDEX(Simulations!$A$1:$BK$2501, 1421, MATCH("RevCAGR", Simulations!$A$1:$BK$1, 0))</f>
        <v>1.5797922809180489E-2</v>
      </c>
      <c r="D1421" s="2">
        <f ca="1">INDEX(Simulations!$A$1:$BK$2501, 1421, MATCH("SynMargin", Simulations!$A$1:$BK$1, 0))</f>
        <v>1.3633635095742691E-2</v>
      </c>
      <c r="E1421" s="2">
        <f ca="1">INDEX(Simulations!$A$1:$BK$2501, 1421, MATCH("Yr1Shock", Simulations!$A$1:$BK$1, 0))</f>
        <v>-1.384476005077463E-2</v>
      </c>
    </row>
    <row r="1422" spans="1:5" x14ac:dyDescent="0.3">
      <c r="A1422" s="2">
        <f ca="1">INDEX(Simulations!$A$1:$BK$2501, 1422, MATCH("PurchaseMultiple", Simulations!$A$1:$BK$1, 0))</f>
        <v>7.149923157522486</v>
      </c>
      <c r="B1422" s="2">
        <f ca="1">INDEX(Simulations!$A$1:$BK$2501, 1422, MATCH("ExitMultiple", Simulations!$A$1:$BK$1, 0))</f>
        <v>8.0774423103604178</v>
      </c>
      <c r="C1422" s="2">
        <f ca="1">INDEX(Simulations!$A$1:$BK$2501, 1422, MATCH("RevCAGR", Simulations!$A$1:$BK$1, 0))</f>
        <v>6.1994762220937791E-2</v>
      </c>
      <c r="D1422" s="2">
        <f ca="1">INDEX(Simulations!$A$1:$BK$2501, 1422, MATCH("SynMargin", Simulations!$A$1:$BK$1, 0))</f>
        <v>8.5373553999254764E-3</v>
      </c>
      <c r="E1422" s="2">
        <f ca="1">INDEX(Simulations!$A$1:$BK$2501, 1422, MATCH("Yr1Shock", Simulations!$A$1:$BK$1, 0))</f>
        <v>-6.3227350018547346E-3</v>
      </c>
    </row>
    <row r="1423" spans="1:5" x14ac:dyDescent="0.3">
      <c r="A1423" s="2">
        <f ca="1">INDEX(Simulations!$A$1:$BK$2501, 1423, MATCH("PurchaseMultiple", Simulations!$A$1:$BK$1, 0))</f>
        <v>7.1468862105873878</v>
      </c>
      <c r="B1423" s="2">
        <f ca="1">INDEX(Simulations!$A$1:$BK$2501, 1423, MATCH("ExitMultiple", Simulations!$A$1:$BK$1, 0))</f>
        <v>7.6060914664640569</v>
      </c>
      <c r="C1423" s="2">
        <f ca="1">INDEX(Simulations!$A$1:$BK$2501, 1423, MATCH("RevCAGR", Simulations!$A$1:$BK$1, 0))</f>
        <v>-7.822599852569681E-3</v>
      </c>
      <c r="D1423" s="2">
        <f ca="1">INDEX(Simulations!$A$1:$BK$2501, 1423, MATCH("SynMargin", Simulations!$A$1:$BK$1, 0))</f>
        <v>1.7486992626090787E-2</v>
      </c>
      <c r="E1423" s="2">
        <f ca="1">INDEX(Simulations!$A$1:$BK$2501, 1423, MATCH("Yr1Shock", Simulations!$A$1:$BK$1, 0))</f>
        <v>1.4999266182752448E-2</v>
      </c>
    </row>
    <row r="1424" spans="1:5" x14ac:dyDescent="0.3">
      <c r="A1424" s="2">
        <f ca="1">INDEX(Simulations!$A$1:$BK$2501, 1424, MATCH("PurchaseMultiple", Simulations!$A$1:$BK$1, 0))</f>
        <v>6.594983521296947</v>
      </c>
      <c r="B1424" s="2">
        <f ca="1">INDEX(Simulations!$A$1:$BK$2501, 1424, MATCH("ExitMultiple", Simulations!$A$1:$BK$1, 0))</f>
        <v>7.7106475637876244</v>
      </c>
      <c r="C1424" s="2">
        <f ca="1">INDEX(Simulations!$A$1:$BK$2501, 1424, MATCH("RevCAGR", Simulations!$A$1:$BK$1, 0))</f>
        <v>-7.2520463076552258E-3</v>
      </c>
      <c r="D1424" s="2">
        <f ca="1">INDEX(Simulations!$A$1:$BK$2501, 1424, MATCH("SynMargin", Simulations!$A$1:$BK$1, 0))</f>
        <v>6.2347037749592516E-3</v>
      </c>
      <c r="E1424" s="2">
        <f ca="1">INDEX(Simulations!$A$1:$BK$2501, 1424, MATCH("Yr1Shock", Simulations!$A$1:$BK$1, 0))</f>
        <v>2.297783792776964E-2</v>
      </c>
    </row>
    <row r="1425" spans="1:5" x14ac:dyDescent="0.3">
      <c r="A1425" s="2">
        <f ca="1">INDEX(Simulations!$A$1:$BK$2501, 1425, MATCH("PurchaseMultiple", Simulations!$A$1:$BK$1, 0))</f>
        <v>6.4510953773267561</v>
      </c>
      <c r="B1425" s="2">
        <f ca="1">INDEX(Simulations!$A$1:$BK$2501, 1425, MATCH("ExitMultiple", Simulations!$A$1:$BK$1, 0))</f>
        <v>7.6048802182444266</v>
      </c>
      <c r="C1425" s="2">
        <f ca="1">INDEX(Simulations!$A$1:$BK$2501, 1425, MATCH("RevCAGR", Simulations!$A$1:$BK$1, 0))</f>
        <v>2.8332614805229306E-2</v>
      </c>
      <c r="D1425" s="2">
        <f ca="1">INDEX(Simulations!$A$1:$BK$2501, 1425, MATCH("SynMargin", Simulations!$A$1:$BK$1, 0))</f>
        <v>5.7478418745623133E-3</v>
      </c>
      <c r="E1425" s="2">
        <f ca="1">INDEX(Simulations!$A$1:$BK$2501, 1425, MATCH("Yr1Shock", Simulations!$A$1:$BK$1, 0))</f>
        <v>-2.1625872166932521E-2</v>
      </c>
    </row>
    <row r="1426" spans="1:5" x14ac:dyDescent="0.3">
      <c r="A1426" s="2">
        <f ca="1">INDEX(Simulations!$A$1:$BK$2501, 1426, MATCH("PurchaseMultiple", Simulations!$A$1:$BK$1, 0))</f>
        <v>6.9708305546315223</v>
      </c>
      <c r="B1426" s="2">
        <f ca="1">INDEX(Simulations!$A$1:$BK$2501, 1426, MATCH("ExitMultiple", Simulations!$A$1:$BK$1, 0))</f>
        <v>7.3465824337036647</v>
      </c>
      <c r="C1426" s="2">
        <f ca="1">INDEX(Simulations!$A$1:$BK$2501, 1426, MATCH("RevCAGR", Simulations!$A$1:$BK$1, 0))</f>
        <v>2.8373905226920924E-2</v>
      </c>
      <c r="D1426" s="2">
        <f ca="1">INDEX(Simulations!$A$1:$BK$2501, 1426, MATCH("SynMargin", Simulations!$A$1:$BK$1, 0))</f>
        <v>1.5576956860177226E-2</v>
      </c>
      <c r="E1426" s="2">
        <f ca="1">INDEX(Simulations!$A$1:$BK$2501, 1426, MATCH("Yr1Shock", Simulations!$A$1:$BK$1, 0))</f>
        <v>-2.3805860531826796E-2</v>
      </c>
    </row>
    <row r="1427" spans="1:5" x14ac:dyDescent="0.3">
      <c r="A1427" s="2">
        <f ca="1">INDEX(Simulations!$A$1:$BK$2501, 1427, MATCH("PurchaseMultiple", Simulations!$A$1:$BK$1, 0))</f>
        <v>6.2841327591644971</v>
      </c>
      <c r="B1427" s="2">
        <f ca="1">INDEX(Simulations!$A$1:$BK$2501, 1427, MATCH("ExitMultiple", Simulations!$A$1:$BK$1, 0))</f>
        <v>7.6701730829807531</v>
      </c>
      <c r="C1427" s="2">
        <f ca="1">INDEX(Simulations!$A$1:$BK$2501, 1427, MATCH("RevCAGR", Simulations!$A$1:$BK$1, 0))</f>
        <v>6.6278116905581358E-3</v>
      </c>
      <c r="D1427" s="2">
        <f ca="1">INDEX(Simulations!$A$1:$BK$2501, 1427, MATCH("SynMargin", Simulations!$A$1:$BK$1, 0))</f>
        <v>7.8006574376368702E-3</v>
      </c>
      <c r="E1427" s="2">
        <f ca="1">INDEX(Simulations!$A$1:$BK$2501, 1427, MATCH("Yr1Shock", Simulations!$A$1:$BK$1, 0))</f>
        <v>-2.1211388091031132E-2</v>
      </c>
    </row>
    <row r="1428" spans="1:5" x14ac:dyDescent="0.3">
      <c r="A1428" s="2">
        <f ca="1">INDEX(Simulations!$A$1:$BK$2501, 1428, MATCH("PurchaseMultiple", Simulations!$A$1:$BK$1, 0))</f>
        <v>7.0765893895303469</v>
      </c>
      <c r="B1428" s="2">
        <f ca="1">INDEX(Simulations!$A$1:$BK$2501, 1428, MATCH("ExitMultiple", Simulations!$A$1:$BK$1, 0))</f>
        <v>7.0751263538046532</v>
      </c>
      <c r="C1428" s="2">
        <f ca="1">INDEX(Simulations!$A$1:$BK$2501, 1428, MATCH("RevCAGR", Simulations!$A$1:$BK$1, 0))</f>
        <v>6.2753979120065764E-3</v>
      </c>
      <c r="D1428" s="2">
        <f ca="1">INDEX(Simulations!$A$1:$BK$2501, 1428, MATCH("SynMargin", Simulations!$A$1:$BK$1, 0))</f>
        <v>9.5865870386687459E-3</v>
      </c>
      <c r="E1428" s="2">
        <f ca="1">INDEX(Simulations!$A$1:$BK$2501, 1428, MATCH("Yr1Shock", Simulations!$A$1:$BK$1, 0))</f>
        <v>9.1398162998231353E-3</v>
      </c>
    </row>
    <row r="1429" spans="1:5" x14ac:dyDescent="0.3">
      <c r="A1429" s="2">
        <f ca="1">INDEX(Simulations!$A$1:$BK$2501, 1429, MATCH("PurchaseMultiple", Simulations!$A$1:$BK$1, 0))</f>
        <v>7.2856065839001483</v>
      </c>
      <c r="B1429" s="2">
        <f ca="1">INDEX(Simulations!$A$1:$BK$2501, 1429, MATCH("ExitMultiple", Simulations!$A$1:$BK$1, 0))</f>
        <v>7.8299271283229039</v>
      </c>
      <c r="C1429" s="2">
        <f ca="1">INDEX(Simulations!$A$1:$BK$2501, 1429, MATCH("RevCAGR", Simulations!$A$1:$BK$1, 0))</f>
        <v>-0.02</v>
      </c>
      <c r="D1429" s="2">
        <f ca="1">INDEX(Simulations!$A$1:$BK$2501, 1429, MATCH("SynMargin", Simulations!$A$1:$BK$1, 0))</f>
        <v>5.7929031878239156E-3</v>
      </c>
      <c r="E1429" s="2">
        <f ca="1">INDEX(Simulations!$A$1:$BK$2501, 1429, MATCH("Yr1Shock", Simulations!$A$1:$BK$1, 0))</f>
        <v>1.6796913416212145E-2</v>
      </c>
    </row>
    <row r="1430" spans="1:5" x14ac:dyDescent="0.3">
      <c r="A1430" s="2">
        <f ca="1">INDEX(Simulations!$A$1:$BK$2501, 1430, MATCH("PurchaseMultiple", Simulations!$A$1:$BK$1, 0))</f>
        <v>7.6775710129472161</v>
      </c>
      <c r="B1430" s="2">
        <f ca="1">INDEX(Simulations!$A$1:$BK$2501, 1430, MATCH("ExitMultiple", Simulations!$A$1:$BK$1, 0))</f>
        <v>6.9033459853360615</v>
      </c>
      <c r="C1430" s="2">
        <f ca="1">INDEX(Simulations!$A$1:$BK$2501, 1430, MATCH("RevCAGR", Simulations!$A$1:$BK$1, 0))</f>
        <v>5.935465217595709E-2</v>
      </c>
      <c r="D1430" s="2">
        <f ca="1">INDEX(Simulations!$A$1:$BK$2501, 1430, MATCH("SynMargin", Simulations!$A$1:$BK$1, 0))</f>
        <v>6.1066225842169464E-3</v>
      </c>
      <c r="E1430" s="2">
        <f ca="1">INDEX(Simulations!$A$1:$BK$2501, 1430, MATCH("Yr1Shock", Simulations!$A$1:$BK$1, 0))</f>
        <v>-1.6215625219955909E-2</v>
      </c>
    </row>
    <row r="1431" spans="1:5" x14ac:dyDescent="0.3">
      <c r="A1431" s="2">
        <f ca="1">INDEX(Simulations!$A$1:$BK$2501, 1431, MATCH("PurchaseMultiple", Simulations!$A$1:$BK$1, 0))</f>
        <v>7.3177031424507906</v>
      </c>
      <c r="B1431" s="2">
        <f ca="1">INDEX(Simulations!$A$1:$BK$2501, 1431, MATCH("ExitMultiple", Simulations!$A$1:$BK$1, 0))</f>
        <v>8.0045285871255167</v>
      </c>
      <c r="C1431" s="2">
        <f ca="1">INDEX(Simulations!$A$1:$BK$2501, 1431, MATCH("RevCAGR", Simulations!$A$1:$BK$1, 0))</f>
        <v>5.1103795585135996E-2</v>
      </c>
      <c r="D1431" s="2">
        <f ca="1">INDEX(Simulations!$A$1:$BK$2501, 1431, MATCH("SynMargin", Simulations!$A$1:$BK$1, 0))</f>
        <v>1.0787905571168105E-2</v>
      </c>
      <c r="E1431" s="2">
        <f ca="1">INDEX(Simulations!$A$1:$BK$2501, 1431, MATCH("Yr1Shock", Simulations!$A$1:$BK$1, 0))</f>
        <v>-2.8980473762632099E-2</v>
      </c>
    </row>
    <row r="1432" spans="1:5" x14ac:dyDescent="0.3">
      <c r="A1432" s="2">
        <f ca="1">INDEX(Simulations!$A$1:$BK$2501, 1432, MATCH("PurchaseMultiple", Simulations!$A$1:$BK$1, 0))</f>
        <v>7.1385357978793893</v>
      </c>
      <c r="B1432" s="2">
        <f ca="1">INDEX(Simulations!$A$1:$BK$2501, 1432, MATCH("ExitMultiple", Simulations!$A$1:$BK$1, 0))</f>
        <v>7.5339340885273396</v>
      </c>
      <c r="C1432" s="2">
        <f ca="1">INDEX(Simulations!$A$1:$BK$2501, 1432, MATCH("RevCAGR", Simulations!$A$1:$BK$1, 0))</f>
        <v>8.2598009042392201E-2</v>
      </c>
      <c r="D1432" s="2">
        <f ca="1">INDEX(Simulations!$A$1:$BK$2501, 1432, MATCH("SynMargin", Simulations!$A$1:$BK$1, 0))</f>
        <v>7.4836247038774836E-3</v>
      </c>
      <c r="E1432" s="2">
        <f ca="1">INDEX(Simulations!$A$1:$BK$2501, 1432, MATCH("Yr1Shock", Simulations!$A$1:$BK$1, 0))</f>
        <v>-2.3630274277510891E-3</v>
      </c>
    </row>
    <row r="1433" spans="1:5" x14ac:dyDescent="0.3">
      <c r="A1433" s="2">
        <f ca="1">INDEX(Simulations!$A$1:$BK$2501, 1433, MATCH("PurchaseMultiple", Simulations!$A$1:$BK$1, 0))</f>
        <v>6.7648208652802975</v>
      </c>
      <c r="B1433" s="2">
        <f ca="1">INDEX(Simulations!$A$1:$BK$2501, 1433, MATCH("ExitMultiple", Simulations!$A$1:$BK$1, 0))</f>
        <v>7.2691219691697766</v>
      </c>
      <c r="C1433" s="2">
        <f ca="1">INDEX(Simulations!$A$1:$BK$2501, 1433, MATCH("RevCAGR", Simulations!$A$1:$BK$1, 0))</f>
        <v>5.4069399988004876E-2</v>
      </c>
      <c r="D1433" s="2">
        <f ca="1">INDEX(Simulations!$A$1:$BK$2501, 1433, MATCH("SynMargin", Simulations!$A$1:$BK$1, 0))</f>
        <v>8.7783596472549661E-3</v>
      </c>
      <c r="E1433" s="2">
        <f ca="1">INDEX(Simulations!$A$1:$BK$2501, 1433, MATCH("Yr1Shock", Simulations!$A$1:$BK$1, 0))</f>
        <v>3.4602821919574603E-2</v>
      </c>
    </row>
    <row r="1434" spans="1:5" x14ac:dyDescent="0.3">
      <c r="A1434" s="2">
        <f ca="1">INDEX(Simulations!$A$1:$BK$2501, 1434, MATCH("PurchaseMultiple", Simulations!$A$1:$BK$1, 0))</f>
        <v>7.0713462052825848</v>
      </c>
      <c r="B1434" s="2">
        <f ca="1">INDEX(Simulations!$A$1:$BK$2501, 1434, MATCH("ExitMultiple", Simulations!$A$1:$BK$1, 0))</f>
        <v>7.9044229862477504</v>
      </c>
      <c r="C1434" s="2">
        <f ca="1">INDEX(Simulations!$A$1:$BK$2501, 1434, MATCH("RevCAGR", Simulations!$A$1:$BK$1, 0))</f>
        <v>8.3441613868597608E-2</v>
      </c>
      <c r="D1434" s="2">
        <f ca="1">INDEX(Simulations!$A$1:$BK$2501, 1434, MATCH("SynMargin", Simulations!$A$1:$BK$1, 0))</f>
        <v>0</v>
      </c>
      <c r="E1434" s="2">
        <f ca="1">INDEX(Simulations!$A$1:$BK$2501, 1434, MATCH("Yr1Shock", Simulations!$A$1:$BK$1, 0))</f>
        <v>-3.7667899924527159E-3</v>
      </c>
    </row>
    <row r="1435" spans="1:5" x14ac:dyDescent="0.3">
      <c r="A1435" s="2">
        <f ca="1">INDEX(Simulations!$A$1:$BK$2501, 1435, MATCH("PurchaseMultiple", Simulations!$A$1:$BK$1, 0))</f>
        <v>6.3740476435799192</v>
      </c>
      <c r="B1435" s="2">
        <f ca="1">INDEX(Simulations!$A$1:$BK$2501, 1435, MATCH("ExitMultiple", Simulations!$A$1:$BK$1, 0))</f>
        <v>7.6463489580056265</v>
      </c>
      <c r="C1435" s="2">
        <f ca="1">INDEX(Simulations!$A$1:$BK$2501, 1435, MATCH("RevCAGR", Simulations!$A$1:$BK$1, 0))</f>
        <v>4.8292682886318536E-2</v>
      </c>
      <c r="D1435" s="2">
        <f ca="1">INDEX(Simulations!$A$1:$BK$2501, 1435, MATCH("SynMargin", Simulations!$A$1:$BK$1, 0))</f>
        <v>1.1107807229668804E-2</v>
      </c>
      <c r="E1435" s="2">
        <f ca="1">INDEX(Simulations!$A$1:$BK$2501, 1435, MATCH("Yr1Shock", Simulations!$A$1:$BK$1, 0))</f>
        <v>0.05</v>
      </c>
    </row>
    <row r="1436" spans="1:5" x14ac:dyDescent="0.3">
      <c r="A1436" s="2">
        <f ca="1">INDEX(Simulations!$A$1:$BK$2501, 1436, MATCH("PurchaseMultiple", Simulations!$A$1:$BK$1, 0))</f>
        <v>6.2975090112738972</v>
      </c>
      <c r="B1436" s="2">
        <f ca="1">INDEX(Simulations!$A$1:$BK$2501, 1436, MATCH("ExitMultiple", Simulations!$A$1:$BK$1, 0))</f>
        <v>8.3905583694811892</v>
      </c>
      <c r="C1436" s="2">
        <f ca="1">INDEX(Simulations!$A$1:$BK$2501, 1436, MATCH("RevCAGR", Simulations!$A$1:$BK$1, 0))</f>
        <v>1.3384892406602011E-2</v>
      </c>
      <c r="D1436" s="2">
        <f ca="1">INDEX(Simulations!$A$1:$BK$2501, 1436, MATCH("SynMargin", Simulations!$A$1:$BK$1, 0))</f>
        <v>6.2040311540064053E-3</v>
      </c>
      <c r="E1436" s="2">
        <f ca="1">INDEX(Simulations!$A$1:$BK$2501, 1436, MATCH("Yr1Shock", Simulations!$A$1:$BK$1, 0))</f>
        <v>7.6599670227530227E-3</v>
      </c>
    </row>
    <row r="1437" spans="1:5" x14ac:dyDescent="0.3">
      <c r="A1437" s="2">
        <f ca="1">INDEX(Simulations!$A$1:$BK$2501, 1437, MATCH("PurchaseMultiple", Simulations!$A$1:$BK$1, 0))</f>
        <v>7.5217868335967353</v>
      </c>
      <c r="B1437" s="2">
        <f ca="1">INDEX(Simulations!$A$1:$BK$2501, 1437, MATCH("ExitMultiple", Simulations!$A$1:$BK$1, 0))</f>
        <v>7.6453445116207721</v>
      </c>
      <c r="C1437" s="2">
        <f ca="1">INDEX(Simulations!$A$1:$BK$2501, 1437, MATCH("RevCAGR", Simulations!$A$1:$BK$1, 0))</f>
        <v>2.383196859113627E-2</v>
      </c>
      <c r="D1437" s="2">
        <f ca="1">INDEX(Simulations!$A$1:$BK$2501, 1437, MATCH("SynMargin", Simulations!$A$1:$BK$1, 0))</f>
        <v>8.7191016794802532E-3</v>
      </c>
      <c r="E1437" s="2">
        <f ca="1">INDEX(Simulations!$A$1:$BK$2501, 1437, MATCH("Yr1Shock", Simulations!$A$1:$BK$1, 0))</f>
        <v>-4.3848106055300304E-2</v>
      </c>
    </row>
    <row r="1438" spans="1:5" x14ac:dyDescent="0.3">
      <c r="A1438" s="2">
        <f ca="1">INDEX(Simulations!$A$1:$BK$2501, 1438, MATCH("PurchaseMultiple", Simulations!$A$1:$BK$1, 0))</f>
        <v>7.1186664411303076</v>
      </c>
      <c r="B1438" s="2">
        <f ca="1">INDEX(Simulations!$A$1:$BK$2501, 1438, MATCH("ExitMultiple", Simulations!$A$1:$BK$1, 0))</f>
        <v>7.64892314944621</v>
      </c>
      <c r="C1438" s="2">
        <f ca="1">INDEX(Simulations!$A$1:$BK$2501, 1438, MATCH("RevCAGR", Simulations!$A$1:$BK$1, 0))</f>
        <v>3.66173815361183E-2</v>
      </c>
      <c r="D1438" s="2">
        <f ca="1">INDEX(Simulations!$A$1:$BK$2501, 1438, MATCH("SynMargin", Simulations!$A$1:$BK$1, 0))</f>
        <v>1.105633364728094E-2</v>
      </c>
      <c r="E1438" s="2">
        <f ca="1">INDEX(Simulations!$A$1:$BK$2501, 1438, MATCH("Yr1Shock", Simulations!$A$1:$BK$1, 0))</f>
        <v>4.8707717467560462E-3</v>
      </c>
    </row>
    <row r="1439" spans="1:5" x14ac:dyDescent="0.3">
      <c r="A1439" s="2">
        <f ca="1">INDEX(Simulations!$A$1:$BK$2501, 1439, MATCH("PurchaseMultiple", Simulations!$A$1:$BK$1, 0))</f>
        <v>6.6414379065836329</v>
      </c>
      <c r="B1439" s="2">
        <f ca="1">INDEX(Simulations!$A$1:$BK$2501, 1439, MATCH("ExitMultiple", Simulations!$A$1:$BK$1, 0))</f>
        <v>6.7449049939061538</v>
      </c>
      <c r="C1439" s="2">
        <f ca="1">INDEX(Simulations!$A$1:$BK$2501, 1439, MATCH("RevCAGR", Simulations!$A$1:$BK$1, 0))</f>
        <v>9.3999578029154568E-2</v>
      </c>
      <c r="D1439" s="2">
        <f ca="1">INDEX(Simulations!$A$1:$BK$2501, 1439, MATCH("SynMargin", Simulations!$A$1:$BK$1, 0))</f>
        <v>1.3390952718343918E-2</v>
      </c>
      <c r="E1439" s="2">
        <f ca="1">INDEX(Simulations!$A$1:$BK$2501, 1439, MATCH("Yr1Shock", Simulations!$A$1:$BK$1, 0))</f>
        <v>-1.3240490392219381E-3</v>
      </c>
    </row>
    <row r="1440" spans="1:5" x14ac:dyDescent="0.3">
      <c r="A1440" s="2">
        <f ca="1">INDEX(Simulations!$A$1:$BK$2501, 1440, MATCH("PurchaseMultiple", Simulations!$A$1:$BK$1, 0))</f>
        <v>6.9769647163701922</v>
      </c>
      <c r="B1440" s="2">
        <f ca="1">INDEX(Simulations!$A$1:$BK$2501, 1440, MATCH("ExitMultiple", Simulations!$A$1:$BK$1, 0))</f>
        <v>7.5975472222465203</v>
      </c>
      <c r="C1440" s="2">
        <f ca="1">INDEX(Simulations!$A$1:$BK$2501, 1440, MATCH("RevCAGR", Simulations!$A$1:$BK$1, 0))</f>
        <v>2.1231936343032765E-2</v>
      </c>
      <c r="D1440" s="2">
        <f ca="1">INDEX(Simulations!$A$1:$BK$2501, 1440, MATCH("SynMargin", Simulations!$A$1:$BK$1, 0))</f>
        <v>9.4159402295543038E-3</v>
      </c>
      <c r="E1440" s="2">
        <f ca="1">INDEX(Simulations!$A$1:$BK$2501, 1440, MATCH("Yr1Shock", Simulations!$A$1:$BK$1, 0))</f>
        <v>-1.1596542543451243E-4</v>
      </c>
    </row>
    <row r="1441" spans="1:5" x14ac:dyDescent="0.3">
      <c r="A1441" s="2">
        <f ca="1">INDEX(Simulations!$A$1:$BK$2501, 1441, MATCH("PurchaseMultiple", Simulations!$A$1:$BK$1, 0))</f>
        <v>7.2544244007731979</v>
      </c>
      <c r="B1441" s="2">
        <f ca="1">INDEX(Simulations!$A$1:$BK$2501, 1441, MATCH("ExitMultiple", Simulations!$A$1:$BK$1, 0))</f>
        <v>7.9429347784116411</v>
      </c>
      <c r="C1441" s="2">
        <f ca="1">INDEX(Simulations!$A$1:$BK$2501, 1441, MATCH("RevCAGR", Simulations!$A$1:$BK$1, 0))</f>
        <v>2.1679904981205873E-2</v>
      </c>
      <c r="D1441" s="2">
        <f ca="1">INDEX(Simulations!$A$1:$BK$2501, 1441, MATCH("SynMargin", Simulations!$A$1:$BK$1, 0))</f>
        <v>1.3562597455089361E-2</v>
      </c>
      <c r="E1441" s="2">
        <f ca="1">INDEX(Simulations!$A$1:$BK$2501, 1441, MATCH("Yr1Shock", Simulations!$A$1:$BK$1, 0))</f>
        <v>1.5088105578023826E-2</v>
      </c>
    </row>
    <row r="1442" spans="1:5" x14ac:dyDescent="0.3">
      <c r="A1442" s="2">
        <f ca="1">INDEX(Simulations!$A$1:$BK$2501, 1442, MATCH("PurchaseMultiple", Simulations!$A$1:$BK$1, 0))</f>
        <v>7.2217397946366049</v>
      </c>
      <c r="B1442" s="2">
        <f ca="1">INDEX(Simulations!$A$1:$BK$2501, 1442, MATCH("ExitMultiple", Simulations!$A$1:$BK$1, 0))</f>
        <v>6.8900339257719256</v>
      </c>
      <c r="C1442" s="2">
        <f ca="1">INDEX(Simulations!$A$1:$BK$2501, 1442, MATCH("RevCAGR", Simulations!$A$1:$BK$1, 0))</f>
        <v>4.2509486257522336E-2</v>
      </c>
      <c r="D1442" s="2">
        <f ca="1">INDEX(Simulations!$A$1:$BK$2501, 1442, MATCH("SynMargin", Simulations!$A$1:$BK$1, 0))</f>
        <v>8.147131229969103E-3</v>
      </c>
      <c r="E1442" s="2">
        <f ca="1">INDEX(Simulations!$A$1:$BK$2501, 1442, MATCH("Yr1Shock", Simulations!$A$1:$BK$1, 0))</f>
        <v>6.6026721257949027E-3</v>
      </c>
    </row>
    <row r="1443" spans="1:5" x14ac:dyDescent="0.3">
      <c r="A1443" s="2">
        <f ca="1">INDEX(Simulations!$A$1:$BK$2501, 1443, MATCH("PurchaseMultiple", Simulations!$A$1:$BK$1, 0))</f>
        <v>7.5452875481707622</v>
      </c>
      <c r="B1443" s="2">
        <f ca="1">INDEX(Simulations!$A$1:$BK$2501, 1443, MATCH("ExitMultiple", Simulations!$A$1:$BK$1, 0))</f>
        <v>7.6728660268382178</v>
      </c>
      <c r="C1443" s="2">
        <f ca="1">INDEX(Simulations!$A$1:$BK$2501, 1443, MATCH("RevCAGR", Simulations!$A$1:$BK$1, 0))</f>
        <v>3.4275198310128714E-2</v>
      </c>
      <c r="D1443" s="2">
        <f ca="1">INDEX(Simulations!$A$1:$BK$2501, 1443, MATCH("SynMargin", Simulations!$A$1:$BK$1, 0))</f>
        <v>8.9190441120186783E-3</v>
      </c>
      <c r="E1443" s="2">
        <f ca="1">INDEX(Simulations!$A$1:$BK$2501, 1443, MATCH("Yr1Shock", Simulations!$A$1:$BK$1, 0))</f>
        <v>-7.8943724257969482E-3</v>
      </c>
    </row>
    <row r="1444" spans="1:5" x14ac:dyDescent="0.3">
      <c r="A1444" s="2">
        <f ca="1">INDEX(Simulations!$A$1:$BK$2501, 1444, MATCH("PurchaseMultiple", Simulations!$A$1:$BK$1, 0))</f>
        <v>6.3295745886519263</v>
      </c>
      <c r="B1444" s="2">
        <f ca="1">INDEX(Simulations!$A$1:$BK$2501, 1444, MATCH("ExitMultiple", Simulations!$A$1:$BK$1, 0))</f>
        <v>8.4342029795528095</v>
      </c>
      <c r="C1444" s="2">
        <f ca="1">INDEX(Simulations!$A$1:$BK$2501, 1444, MATCH("RevCAGR", Simulations!$A$1:$BK$1, 0))</f>
        <v>5.6192081061414767E-2</v>
      </c>
      <c r="D1444" s="2">
        <f ca="1">INDEX(Simulations!$A$1:$BK$2501, 1444, MATCH("SynMargin", Simulations!$A$1:$BK$1, 0))</f>
        <v>1.8157762409995261E-2</v>
      </c>
      <c r="E1444" s="2">
        <f ca="1">INDEX(Simulations!$A$1:$BK$2501, 1444, MATCH("Yr1Shock", Simulations!$A$1:$BK$1, 0))</f>
        <v>-1.8891225663069791E-2</v>
      </c>
    </row>
    <row r="1445" spans="1:5" x14ac:dyDescent="0.3">
      <c r="A1445" s="2">
        <f ca="1">INDEX(Simulations!$A$1:$BK$2501, 1445, MATCH("PurchaseMultiple", Simulations!$A$1:$BK$1, 0))</f>
        <v>7.2057719127258437</v>
      </c>
      <c r="B1445" s="2">
        <f ca="1">INDEX(Simulations!$A$1:$BK$2501, 1445, MATCH("ExitMultiple", Simulations!$A$1:$BK$1, 0))</f>
        <v>7.4141228308102809</v>
      </c>
      <c r="C1445" s="2">
        <f ca="1">INDEX(Simulations!$A$1:$BK$2501, 1445, MATCH("RevCAGR", Simulations!$A$1:$BK$1, 0))</f>
        <v>4.0739175868511397E-2</v>
      </c>
      <c r="D1445" s="2">
        <f ca="1">INDEX(Simulations!$A$1:$BK$2501, 1445, MATCH("SynMargin", Simulations!$A$1:$BK$1, 0))</f>
        <v>4.2934616973314653E-3</v>
      </c>
      <c r="E1445" s="2">
        <f ca="1">INDEX(Simulations!$A$1:$BK$2501, 1445, MATCH("Yr1Shock", Simulations!$A$1:$BK$1, 0))</f>
        <v>5.240797042722691E-3</v>
      </c>
    </row>
    <row r="1446" spans="1:5" x14ac:dyDescent="0.3">
      <c r="A1446" s="2">
        <f ca="1">INDEX(Simulations!$A$1:$BK$2501, 1446, MATCH("PurchaseMultiple", Simulations!$A$1:$BK$1, 0))</f>
        <v>7.4157662821318651</v>
      </c>
      <c r="B1446" s="2">
        <f ca="1">INDEX(Simulations!$A$1:$BK$2501, 1446, MATCH("ExitMultiple", Simulations!$A$1:$BK$1, 0))</f>
        <v>7.2966490407664892</v>
      </c>
      <c r="C1446" s="2">
        <f ca="1">INDEX(Simulations!$A$1:$BK$2501, 1446, MATCH("RevCAGR", Simulations!$A$1:$BK$1, 0))</f>
        <v>4.3172085340484008E-2</v>
      </c>
      <c r="D1446" s="2">
        <f ca="1">INDEX(Simulations!$A$1:$BK$2501, 1446, MATCH("SynMargin", Simulations!$A$1:$BK$1, 0))</f>
        <v>0</v>
      </c>
      <c r="E1446" s="2">
        <f ca="1">INDEX(Simulations!$A$1:$BK$2501, 1446, MATCH("Yr1Shock", Simulations!$A$1:$BK$1, 0))</f>
        <v>9.6667709465853655E-3</v>
      </c>
    </row>
    <row r="1447" spans="1:5" x14ac:dyDescent="0.3">
      <c r="A1447" s="2">
        <f ca="1">INDEX(Simulations!$A$1:$BK$2501, 1447, MATCH("PurchaseMultiple", Simulations!$A$1:$BK$1, 0))</f>
        <v>6.81784531251086</v>
      </c>
      <c r="B1447" s="2">
        <f ca="1">INDEX(Simulations!$A$1:$BK$2501, 1447, MATCH("ExitMultiple", Simulations!$A$1:$BK$1, 0))</f>
        <v>7.7256422605386952</v>
      </c>
      <c r="C1447" s="2">
        <f ca="1">INDEX(Simulations!$A$1:$BK$2501, 1447, MATCH("RevCAGR", Simulations!$A$1:$BK$1, 0))</f>
        <v>6.2459505005551239E-2</v>
      </c>
      <c r="D1447" s="2">
        <f ca="1">INDEX(Simulations!$A$1:$BK$2501, 1447, MATCH("SynMargin", Simulations!$A$1:$BK$1, 0))</f>
        <v>1.7037676598366708E-2</v>
      </c>
      <c r="E1447" s="2">
        <f ca="1">INDEX(Simulations!$A$1:$BK$2501, 1447, MATCH("Yr1Shock", Simulations!$A$1:$BK$1, 0))</f>
        <v>-3.0334381199261254E-2</v>
      </c>
    </row>
    <row r="1448" spans="1:5" x14ac:dyDescent="0.3">
      <c r="A1448" s="2">
        <f ca="1">INDEX(Simulations!$A$1:$BK$2501, 1448, MATCH("PurchaseMultiple", Simulations!$A$1:$BK$1, 0))</f>
        <v>6.8652054825498281</v>
      </c>
      <c r="B1448" s="2">
        <f ca="1">INDEX(Simulations!$A$1:$BK$2501, 1448, MATCH("ExitMultiple", Simulations!$A$1:$BK$1, 0))</f>
        <v>7.4912031942413275</v>
      </c>
      <c r="C1448" s="2">
        <f ca="1">INDEX(Simulations!$A$1:$BK$2501, 1448, MATCH("RevCAGR", Simulations!$A$1:$BK$1, 0))</f>
        <v>9.8963314331534824E-2</v>
      </c>
      <c r="D1448" s="2">
        <f ca="1">INDEX(Simulations!$A$1:$BK$2501, 1448, MATCH("SynMargin", Simulations!$A$1:$BK$1, 0))</f>
        <v>1.5005202626285252E-2</v>
      </c>
      <c r="E1448" s="2">
        <f ca="1">INDEX(Simulations!$A$1:$BK$2501, 1448, MATCH("Yr1Shock", Simulations!$A$1:$BK$1, 0))</f>
        <v>2.078692195646025E-3</v>
      </c>
    </row>
    <row r="1449" spans="1:5" x14ac:dyDescent="0.3">
      <c r="A1449" s="2">
        <f ca="1">INDEX(Simulations!$A$1:$BK$2501, 1449, MATCH("PurchaseMultiple", Simulations!$A$1:$BK$1, 0))</f>
        <v>6.9668871260027956</v>
      </c>
      <c r="B1449" s="2">
        <f ca="1">INDEX(Simulations!$A$1:$BK$2501, 1449, MATCH("ExitMultiple", Simulations!$A$1:$BK$1, 0))</f>
        <v>7.1609246927663905</v>
      </c>
      <c r="C1449" s="2">
        <f ca="1">INDEX(Simulations!$A$1:$BK$2501, 1449, MATCH("RevCAGR", Simulations!$A$1:$BK$1, 0))</f>
        <v>2.024802885691547E-3</v>
      </c>
      <c r="D1449" s="2">
        <f ca="1">INDEX(Simulations!$A$1:$BK$2501, 1449, MATCH("SynMargin", Simulations!$A$1:$BK$1, 0))</f>
        <v>1.0687492682427182E-2</v>
      </c>
      <c r="E1449" s="2">
        <f ca="1">INDEX(Simulations!$A$1:$BK$2501, 1449, MATCH("Yr1Shock", Simulations!$A$1:$BK$1, 0))</f>
        <v>2.7753259710462616E-3</v>
      </c>
    </row>
    <row r="1450" spans="1:5" x14ac:dyDescent="0.3">
      <c r="A1450" s="2">
        <f ca="1">INDEX(Simulations!$A$1:$BK$2501, 1450, MATCH("PurchaseMultiple", Simulations!$A$1:$BK$1, 0))</f>
        <v>7.0871619685369396</v>
      </c>
      <c r="B1450" s="2">
        <f ca="1">INDEX(Simulations!$A$1:$BK$2501, 1450, MATCH("ExitMultiple", Simulations!$A$1:$BK$1, 0))</f>
        <v>7.4815431179777683</v>
      </c>
      <c r="C1450" s="2">
        <f ca="1">INDEX(Simulations!$A$1:$BK$2501, 1450, MATCH("RevCAGR", Simulations!$A$1:$BK$1, 0))</f>
        <v>5.4918018701878513E-2</v>
      </c>
      <c r="D1450" s="2">
        <f ca="1">INDEX(Simulations!$A$1:$BK$2501, 1450, MATCH("SynMargin", Simulations!$A$1:$BK$1, 0))</f>
        <v>8.5913854318599957E-3</v>
      </c>
      <c r="E1450" s="2">
        <f ca="1">INDEX(Simulations!$A$1:$BK$2501, 1450, MATCH("Yr1Shock", Simulations!$A$1:$BK$1, 0))</f>
        <v>-1.2140297173250105E-2</v>
      </c>
    </row>
    <row r="1451" spans="1:5" x14ac:dyDescent="0.3">
      <c r="A1451" s="2">
        <f ca="1">INDEX(Simulations!$A$1:$BK$2501, 1451, MATCH("PurchaseMultiple", Simulations!$A$1:$BK$1, 0))</f>
        <v>7.7112460272451626</v>
      </c>
      <c r="B1451" s="2">
        <f ca="1">INDEX(Simulations!$A$1:$BK$2501, 1451, MATCH("ExitMultiple", Simulations!$A$1:$BK$1, 0))</f>
        <v>6.9897981144445902</v>
      </c>
      <c r="C1451" s="2">
        <f ca="1">INDEX(Simulations!$A$1:$BK$2501, 1451, MATCH("RevCAGR", Simulations!$A$1:$BK$1, 0))</f>
        <v>1.5296940478416395E-2</v>
      </c>
      <c r="D1451" s="2">
        <f ca="1">INDEX(Simulations!$A$1:$BK$2501, 1451, MATCH("SynMargin", Simulations!$A$1:$BK$1, 0))</f>
        <v>3.5456479728401347E-3</v>
      </c>
      <c r="E1451" s="2">
        <f ca="1">INDEX(Simulations!$A$1:$BK$2501, 1451, MATCH("Yr1Shock", Simulations!$A$1:$BK$1, 0))</f>
        <v>-8.9550065344864965E-3</v>
      </c>
    </row>
    <row r="1452" spans="1:5" x14ac:dyDescent="0.3">
      <c r="A1452" s="2">
        <f ca="1">INDEX(Simulations!$A$1:$BK$2501, 1452, MATCH("PurchaseMultiple", Simulations!$A$1:$BK$1, 0))</f>
        <v>6.3481704323824024</v>
      </c>
      <c r="B1452" s="2">
        <f ca="1">INDEX(Simulations!$A$1:$BK$2501, 1452, MATCH("ExitMultiple", Simulations!$A$1:$BK$1, 0))</f>
        <v>7.3545103347720335</v>
      </c>
      <c r="C1452" s="2">
        <f ca="1">INDEX(Simulations!$A$1:$BK$2501, 1452, MATCH("RevCAGR", Simulations!$A$1:$BK$1, 0))</f>
        <v>2.3296972161309173E-3</v>
      </c>
      <c r="D1452" s="2">
        <f ca="1">INDEX(Simulations!$A$1:$BK$2501, 1452, MATCH("SynMargin", Simulations!$A$1:$BK$1, 0))</f>
        <v>9.0703045491143837E-3</v>
      </c>
      <c r="E1452" s="2">
        <f ca="1">INDEX(Simulations!$A$1:$BK$2501, 1452, MATCH("Yr1Shock", Simulations!$A$1:$BK$1, 0))</f>
        <v>-1.7764029693500261E-2</v>
      </c>
    </row>
    <row r="1453" spans="1:5" x14ac:dyDescent="0.3">
      <c r="A1453" s="2">
        <f ca="1">INDEX(Simulations!$A$1:$BK$2501, 1453, MATCH("PurchaseMultiple", Simulations!$A$1:$BK$1, 0))</f>
        <v>7.5765647936994505</v>
      </c>
      <c r="B1453" s="2">
        <f ca="1">INDEX(Simulations!$A$1:$BK$2501, 1453, MATCH("ExitMultiple", Simulations!$A$1:$BK$1, 0))</f>
        <v>7.7443538113345003</v>
      </c>
      <c r="C1453" s="2">
        <f ca="1">INDEX(Simulations!$A$1:$BK$2501, 1453, MATCH("RevCAGR", Simulations!$A$1:$BK$1, 0))</f>
        <v>-1.2856905103623424E-2</v>
      </c>
      <c r="D1453" s="2">
        <f ca="1">INDEX(Simulations!$A$1:$BK$2501, 1453, MATCH("SynMargin", Simulations!$A$1:$BK$1, 0))</f>
        <v>1.8032020913170271E-2</v>
      </c>
      <c r="E1453" s="2">
        <f ca="1">INDEX(Simulations!$A$1:$BK$2501, 1453, MATCH("Yr1Shock", Simulations!$A$1:$BK$1, 0))</f>
        <v>-1.3369345911387756E-2</v>
      </c>
    </row>
    <row r="1454" spans="1:5" x14ac:dyDescent="0.3">
      <c r="A1454" s="2">
        <f ca="1">INDEX(Simulations!$A$1:$BK$2501, 1454, MATCH("PurchaseMultiple", Simulations!$A$1:$BK$1, 0))</f>
        <v>6.6133193158312897</v>
      </c>
      <c r="B1454" s="2">
        <f ca="1">INDEX(Simulations!$A$1:$BK$2501, 1454, MATCH("ExitMultiple", Simulations!$A$1:$BK$1, 0))</f>
        <v>7.7846636357832599</v>
      </c>
      <c r="C1454" s="2">
        <f ca="1">INDEX(Simulations!$A$1:$BK$2501, 1454, MATCH("RevCAGR", Simulations!$A$1:$BK$1, 0))</f>
        <v>2.0601796213075355E-2</v>
      </c>
      <c r="D1454" s="2">
        <f ca="1">INDEX(Simulations!$A$1:$BK$2501, 1454, MATCH("SynMargin", Simulations!$A$1:$BK$1, 0))</f>
        <v>7.2348076139307407E-3</v>
      </c>
      <c r="E1454" s="2">
        <f ca="1">INDEX(Simulations!$A$1:$BK$2501, 1454, MATCH("Yr1Shock", Simulations!$A$1:$BK$1, 0))</f>
        <v>-4.2467989015123456E-2</v>
      </c>
    </row>
    <row r="1455" spans="1:5" x14ac:dyDescent="0.3">
      <c r="A1455" s="2">
        <f ca="1">INDEX(Simulations!$A$1:$BK$2501, 1455, MATCH("PurchaseMultiple", Simulations!$A$1:$BK$1, 0))</f>
        <v>6.4175717111730073</v>
      </c>
      <c r="B1455" s="2">
        <f ca="1">INDEX(Simulations!$A$1:$BK$2501, 1455, MATCH("ExitMultiple", Simulations!$A$1:$BK$1, 0))</f>
        <v>7.727179458751924</v>
      </c>
      <c r="C1455" s="2">
        <f ca="1">INDEX(Simulations!$A$1:$BK$2501, 1455, MATCH("RevCAGR", Simulations!$A$1:$BK$1, 0))</f>
        <v>3.5289073381045068E-2</v>
      </c>
      <c r="D1455" s="2">
        <f ca="1">INDEX(Simulations!$A$1:$BK$2501, 1455, MATCH("SynMargin", Simulations!$A$1:$BK$1, 0))</f>
        <v>1.0564923920006446E-2</v>
      </c>
      <c r="E1455" s="2">
        <f ca="1">INDEX(Simulations!$A$1:$BK$2501, 1455, MATCH("Yr1Shock", Simulations!$A$1:$BK$1, 0))</f>
        <v>-1.7813895320063965E-2</v>
      </c>
    </row>
    <row r="1456" spans="1:5" x14ac:dyDescent="0.3">
      <c r="A1456" s="2">
        <f ca="1">INDEX(Simulations!$A$1:$BK$2501, 1456, MATCH("PurchaseMultiple", Simulations!$A$1:$BK$1, 0))</f>
        <v>7.1850082875923302</v>
      </c>
      <c r="B1456" s="2">
        <f ca="1">INDEX(Simulations!$A$1:$BK$2501, 1456, MATCH("ExitMultiple", Simulations!$A$1:$BK$1, 0))</f>
        <v>7.206971687202846</v>
      </c>
      <c r="C1456" s="2">
        <f ca="1">INDEX(Simulations!$A$1:$BK$2501, 1456, MATCH("RevCAGR", Simulations!$A$1:$BK$1, 0))</f>
        <v>3.6946795831687015E-2</v>
      </c>
      <c r="D1456" s="2">
        <f ca="1">INDEX(Simulations!$A$1:$BK$2501, 1456, MATCH("SynMargin", Simulations!$A$1:$BK$1, 0))</f>
        <v>9.2652228321462096E-3</v>
      </c>
      <c r="E1456" s="2">
        <f ca="1">INDEX(Simulations!$A$1:$BK$2501, 1456, MATCH("Yr1Shock", Simulations!$A$1:$BK$1, 0))</f>
        <v>-2.8847159802089073E-2</v>
      </c>
    </row>
    <row r="1457" spans="1:5" x14ac:dyDescent="0.3">
      <c r="A1457" s="2">
        <f ca="1">INDEX(Simulations!$A$1:$BK$2501, 1457, MATCH("PurchaseMultiple", Simulations!$A$1:$BK$1, 0))</f>
        <v>6.33401114552737</v>
      </c>
      <c r="B1457" s="2">
        <f ca="1">INDEX(Simulations!$A$1:$BK$2501, 1457, MATCH("ExitMultiple", Simulations!$A$1:$BK$1, 0))</f>
        <v>8.0715821797392771</v>
      </c>
      <c r="C1457" s="2">
        <f ca="1">INDEX(Simulations!$A$1:$BK$2501, 1457, MATCH("RevCAGR", Simulations!$A$1:$BK$1, 0))</f>
        <v>3.8534498159265261E-2</v>
      </c>
      <c r="D1457" s="2">
        <f ca="1">INDEX(Simulations!$A$1:$BK$2501, 1457, MATCH("SynMargin", Simulations!$A$1:$BK$1, 0))</f>
        <v>6.4776799148529556E-3</v>
      </c>
      <c r="E1457" s="2">
        <f ca="1">INDEX(Simulations!$A$1:$BK$2501, 1457, MATCH("Yr1Shock", Simulations!$A$1:$BK$1, 0))</f>
        <v>1.7510378259401938E-3</v>
      </c>
    </row>
    <row r="1458" spans="1:5" x14ac:dyDescent="0.3">
      <c r="A1458" s="2">
        <f ca="1">INDEX(Simulations!$A$1:$BK$2501, 1458, MATCH("PurchaseMultiple", Simulations!$A$1:$BK$1, 0))</f>
        <v>6.8374017808185563</v>
      </c>
      <c r="B1458" s="2">
        <f ca="1">INDEX(Simulations!$A$1:$BK$2501, 1458, MATCH("ExitMultiple", Simulations!$A$1:$BK$1, 0))</f>
        <v>7.3179064170589889</v>
      </c>
      <c r="C1458" s="2">
        <f ca="1">INDEX(Simulations!$A$1:$BK$2501, 1458, MATCH("RevCAGR", Simulations!$A$1:$BK$1, 0))</f>
        <v>3.0494654425506251E-2</v>
      </c>
      <c r="D1458" s="2">
        <f ca="1">INDEX(Simulations!$A$1:$BK$2501, 1458, MATCH("SynMargin", Simulations!$A$1:$BK$1, 0))</f>
        <v>6.771961162353797E-3</v>
      </c>
      <c r="E1458" s="2">
        <f ca="1">INDEX(Simulations!$A$1:$BK$2501, 1458, MATCH("Yr1Shock", Simulations!$A$1:$BK$1, 0))</f>
        <v>-2.4363818219412851E-2</v>
      </c>
    </row>
    <row r="1459" spans="1:5" x14ac:dyDescent="0.3">
      <c r="A1459" s="2">
        <f ca="1">INDEX(Simulations!$A$1:$BK$2501, 1459, MATCH("PurchaseMultiple", Simulations!$A$1:$BK$1, 0))</f>
        <v>6.7346269133561103</v>
      </c>
      <c r="B1459" s="2">
        <f ca="1">INDEX(Simulations!$A$1:$BK$2501, 1459, MATCH("ExitMultiple", Simulations!$A$1:$BK$1, 0))</f>
        <v>7.0772016718072814</v>
      </c>
      <c r="C1459" s="2">
        <f ca="1">INDEX(Simulations!$A$1:$BK$2501, 1459, MATCH("RevCAGR", Simulations!$A$1:$BK$1, 0))</f>
        <v>1.6415673536061132E-4</v>
      </c>
      <c r="D1459" s="2">
        <f ca="1">INDEX(Simulations!$A$1:$BK$2501, 1459, MATCH("SynMargin", Simulations!$A$1:$BK$1, 0))</f>
        <v>6.4177913531474791E-3</v>
      </c>
      <c r="E1459" s="2">
        <f ca="1">INDEX(Simulations!$A$1:$BK$2501, 1459, MATCH("Yr1Shock", Simulations!$A$1:$BK$1, 0))</f>
        <v>4.7029575439857231E-2</v>
      </c>
    </row>
    <row r="1460" spans="1:5" x14ac:dyDescent="0.3">
      <c r="A1460" s="2">
        <f ca="1">INDEX(Simulations!$A$1:$BK$2501, 1460, MATCH("PurchaseMultiple", Simulations!$A$1:$BK$1, 0))</f>
        <v>6.4721878748248187</v>
      </c>
      <c r="B1460" s="2">
        <f ca="1">INDEX(Simulations!$A$1:$BK$2501, 1460, MATCH("ExitMultiple", Simulations!$A$1:$BK$1, 0))</f>
        <v>7.2749559440423797</v>
      </c>
      <c r="C1460" s="2">
        <f ca="1">INDEX(Simulations!$A$1:$BK$2501, 1460, MATCH("RevCAGR", Simulations!$A$1:$BK$1, 0))</f>
        <v>6.7471918664129396E-2</v>
      </c>
      <c r="D1460" s="2">
        <f ca="1">INDEX(Simulations!$A$1:$BK$2501, 1460, MATCH("SynMargin", Simulations!$A$1:$BK$1, 0))</f>
        <v>5.1165308678545662E-3</v>
      </c>
      <c r="E1460" s="2">
        <f ca="1">INDEX(Simulations!$A$1:$BK$2501, 1460, MATCH("Yr1Shock", Simulations!$A$1:$BK$1, 0))</f>
        <v>4.2585476519364368E-2</v>
      </c>
    </row>
    <row r="1461" spans="1:5" x14ac:dyDescent="0.3">
      <c r="A1461" s="2">
        <f ca="1">INDEX(Simulations!$A$1:$BK$2501, 1461, MATCH("PurchaseMultiple", Simulations!$A$1:$BK$1, 0))</f>
        <v>7.0817327665297185</v>
      </c>
      <c r="B1461" s="2">
        <f ca="1">INDEX(Simulations!$A$1:$BK$2501, 1461, MATCH("ExitMultiple", Simulations!$A$1:$BK$1, 0))</f>
        <v>7.4646567429865573</v>
      </c>
      <c r="C1461" s="2">
        <f ca="1">INDEX(Simulations!$A$1:$BK$2501, 1461, MATCH("RevCAGR", Simulations!$A$1:$BK$1, 0))</f>
        <v>7.4820019219131451E-2</v>
      </c>
      <c r="D1461" s="2">
        <f ca="1">INDEX(Simulations!$A$1:$BK$2501, 1461, MATCH("SynMargin", Simulations!$A$1:$BK$1, 0))</f>
        <v>1.5457586559541332E-2</v>
      </c>
      <c r="E1461" s="2">
        <f ca="1">INDEX(Simulations!$A$1:$BK$2501, 1461, MATCH("Yr1Shock", Simulations!$A$1:$BK$1, 0))</f>
        <v>-3.9602688496992035E-2</v>
      </c>
    </row>
    <row r="1462" spans="1:5" x14ac:dyDescent="0.3">
      <c r="A1462" s="2">
        <f ca="1">INDEX(Simulations!$A$1:$BK$2501, 1462, MATCH("PurchaseMultiple", Simulations!$A$1:$BK$1, 0))</f>
        <v>7.1271030535082325</v>
      </c>
      <c r="B1462" s="2">
        <f ca="1">INDEX(Simulations!$A$1:$BK$2501, 1462, MATCH("ExitMultiple", Simulations!$A$1:$BK$1, 0))</f>
        <v>7.8296993897306306</v>
      </c>
      <c r="C1462" s="2">
        <f ca="1">INDEX(Simulations!$A$1:$BK$2501, 1462, MATCH("RevCAGR", Simulations!$A$1:$BK$1, 0))</f>
        <v>2.2488948179362232E-2</v>
      </c>
      <c r="D1462" s="2">
        <f ca="1">INDEX(Simulations!$A$1:$BK$2501, 1462, MATCH("SynMargin", Simulations!$A$1:$BK$1, 0))</f>
        <v>6.8571502551965577E-3</v>
      </c>
      <c r="E1462" s="2">
        <f ca="1">INDEX(Simulations!$A$1:$BK$2501, 1462, MATCH("Yr1Shock", Simulations!$A$1:$BK$1, 0))</f>
        <v>-9.292987725462068E-3</v>
      </c>
    </row>
    <row r="1463" spans="1:5" x14ac:dyDescent="0.3">
      <c r="A1463" s="2">
        <f ca="1">INDEX(Simulations!$A$1:$BK$2501, 1463, MATCH("PurchaseMultiple", Simulations!$A$1:$BK$1, 0))</f>
        <v>6.395365410417627</v>
      </c>
      <c r="B1463" s="2">
        <f ca="1">INDEX(Simulations!$A$1:$BK$2501, 1463, MATCH("ExitMultiple", Simulations!$A$1:$BK$1, 0))</f>
        <v>7.7870831681475066</v>
      </c>
      <c r="C1463" s="2">
        <f ca="1">INDEX(Simulations!$A$1:$BK$2501, 1463, MATCH("RevCAGR", Simulations!$A$1:$BK$1, 0))</f>
        <v>7.7472097556656877E-3</v>
      </c>
      <c r="D1463" s="2">
        <f ca="1">INDEX(Simulations!$A$1:$BK$2501, 1463, MATCH("SynMargin", Simulations!$A$1:$BK$1, 0))</f>
        <v>9.9879581206373039E-3</v>
      </c>
      <c r="E1463" s="2">
        <f ca="1">INDEX(Simulations!$A$1:$BK$2501, 1463, MATCH("Yr1Shock", Simulations!$A$1:$BK$1, 0))</f>
        <v>3.1646617794209686E-2</v>
      </c>
    </row>
    <row r="1464" spans="1:5" x14ac:dyDescent="0.3">
      <c r="A1464" s="2">
        <f ca="1">INDEX(Simulations!$A$1:$BK$2501, 1464, MATCH("PurchaseMultiple", Simulations!$A$1:$BK$1, 0))</f>
        <v>7.3009533909655335</v>
      </c>
      <c r="B1464" s="2">
        <f ca="1">INDEX(Simulations!$A$1:$BK$2501, 1464, MATCH("ExitMultiple", Simulations!$A$1:$BK$1, 0))</f>
        <v>7.3273890775817696</v>
      </c>
      <c r="C1464" s="2">
        <f ca="1">INDEX(Simulations!$A$1:$BK$2501, 1464, MATCH("RevCAGR", Simulations!$A$1:$BK$1, 0))</f>
        <v>3.3555965151993772E-2</v>
      </c>
      <c r="D1464" s="2">
        <f ca="1">INDEX(Simulations!$A$1:$BK$2501, 1464, MATCH("SynMargin", Simulations!$A$1:$BK$1, 0))</f>
        <v>8.6073039499408727E-3</v>
      </c>
      <c r="E1464" s="2">
        <f ca="1">INDEX(Simulations!$A$1:$BK$2501, 1464, MATCH("Yr1Shock", Simulations!$A$1:$BK$1, 0))</f>
        <v>1.8900449899912155E-2</v>
      </c>
    </row>
    <row r="1465" spans="1:5" x14ac:dyDescent="0.3">
      <c r="A1465" s="2">
        <f ca="1">INDEX(Simulations!$A$1:$BK$2501, 1465, MATCH("PurchaseMultiple", Simulations!$A$1:$BK$1, 0))</f>
        <v>7.1743536067379399</v>
      </c>
      <c r="B1465" s="2">
        <f ca="1">INDEX(Simulations!$A$1:$BK$2501, 1465, MATCH("ExitMultiple", Simulations!$A$1:$BK$1, 0))</f>
        <v>7.3410242600867059</v>
      </c>
      <c r="C1465" s="2">
        <f ca="1">INDEX(Simulations!$A$1:$BK$2501, 1465, MATCH("RevCAGR", Simulations!$A$1:$BK$1, 0))</f>
        <v>-1.2491687420363627E-2</v>
      </c>
      <c r="D1465" s="2">
        <f ca="1">INDEX(Simulations!$A$1:$BK$2501, 1465, MATCH("SynMargin", Simulations!$A$1:$BK$1, 0))</f>
        <v>7.2204550055350609E-3</v>
      </c>
      <c r="E1465" s="2">
        <f ca="1">INDEX(Simulations!$A$1:$BK$2501, 1465, MATCH("Yr1Shock", Simulations!$A$1:$BK$1, 0))</f>
        <v>2.6146479049138062E-2</v>
      </c>
    </row>
    <row r="1466" spans="1:5" x14ac:dyDescent="0.3">
      <c r="A1466" s="2">
        <f ca="1">INDEX(Simulations!$A$1:$BK$2501, 1466, MATCH("PurchaseMultiple", Simulations!$A$1:$BK$1, 0))</f>
        <v>7.2730586153167485</v>
      </c>
      <c r="B1466" s="2">
        <f ca="1">INDEX(Simulations!$A$1:$BK$2501, 1466, MATCH("ExitMultiple", Simulations!$A$1:$BK$1, 0))</f>
        <v>7.6472047226820328</v>
      </c>
      <c r="C1466" s="2">
        <f ca="1">INDEX(Simulations!$A$1:$BK$2501, 1466, MATCH("RevCAGR", Simulations!$A$1:$BK$1, 0))</f>
        <v>1.8650939815104552E-2</v>
      </c>
      <c r="D1466" s="2">
        <f ca="1">INDEX(Simulations!$A$1:$BK$2501, 1466, MATCH("SynMargin", Simulations!$A$1:$BK$1, 0))</f>
        <v>8.5264336286464959E-3</v>
      </c>
      <c r="E1466" s="2">
        <f ca="1">INDEX(Simulations!$A$1:$BK$2501, 1466, MATCH("Yr1Shock", Simulations!$A$1:$BK$1, 0))</f>
        <v>2.608458202610155E-2</v>
      </c>
    </row>
    <row r="1467" spans="1:5" x14ac:dyDescent="0.3">
      <c r="A1467" s="2">
        <f ca="1">INDEX(Simulations!$A$1:$BK$2501, 1467, MATCH("PurchaseMultiple", Simulations!$A$1:$BK$1, 0))</f>
        <v>7.0196486247790775</v>
      </c>
      <c r="B1467" s="2">
        <f ca="1">INDEX(Simulations!$A$1:$BK$2501, 1467, MATCH("ExitMultiple", Simulations!$A$1:$BK$1, 0))</f>
        <v>7.8339519988285335</v>
      </c>
      <c r="C1467" s="2">
        <f ca="1">INDEX(Simulations!$A$1:$BK$2501, 1467, MATCH("RevCAGR", Simulations!$A$1:$BK$1, 0))</f>
        <v>4.0161150501352966E-2</v>
      </c>
      <c r="D1467" s="2">
        <f ca="1">INDEX(Simulations!$A$1:$BK$2501, 1467, MATCH("SynMargin", Simulations!$A$1:$BK$1, 0))</f>
        <v>1.006673599187257E-2</v>
      </c>
      <c r="E1467" s="2">
        <f ca="1">INDEX(Simulations!$A$1:$BK$2501, 1467, MATCH("Yr1Shock", Simulations!$A$1:$BK$1, 0))</f>
        <v>1.2836375401208834E-3</v>
      </c>
    </row>
    <row r="1468" spans="1:5" x14ac:dyDescent="0.3">
      <c r="A1468" s="2">
        <f ca="1">INDEX(Simulations!$A$1:$BK$2501, 1468, MATCH("PurchaseMultiple", Simulations!$A$1:$BK$1, 0))</f>
        <v>7.4996122838341961</v>
      </c>
      <c r="B1468" s="2">
        <f ca="1">INDEX(Simulations!$A$1:$BK$2501, 1468, MATCH("ExitMultiple", Simulations!$A$1:$BK$1, 0))</f>
        <v>7.0096665230909405</v>
      </c>
      <c r="C1468" s="2">
        <f ca="1">INDEX(Simulations!$A$1:$BK$2501, 1468, MATCH("RevCAGR", Simulations!$A$1:$BK$1, 0))</f>
        <v>2.7633216459740814E-2</v>
      </c>
      <c r="D1468" s="2">
        <f ca="1">INDEX(Simulations!$A$1:$BK$2501, 1468, MATCH("SynMargin", Simulations!$A$1:$BK$1, 0))</f>
        <v>1.7581887465283653E-2</v>
      </c>
      <c r="E1468" s="2">
        <f ca="1">INDEX(Simulations!$A$1:$BK$2501, 1468, MATCH("Yr1Shock", Simulations!$A$1:$BK$1, 0))</f>
        <v>-5.2980735954069368E-3</v>
      </c>
    </row>
    <row r="1469" spans="1:5" x14ac:dyDescent="0.3">
      <c r="A1469" s="2">
        <f ca="1">INDEX(Simulations!$A$1:$BK$2501, 1469, MATCH("PurchaseMultiple", Simulations!$A$1:$BK$1, 0))</f>
        <v>7.0813626992889773</v>
      </c>
      <c r="B1469" s="2">
        <f ca="1">INDEX(Simulations!$A$1:$BK$2501, 1469, MATCH("ExitMultiple", Simulations!$A$1:$BK$1, 0))</f>
        <v>7.1663555266999186</v>
      </c>
      <c r="C1469" s="2">
        <f ca="1">INDEX(Simulations!$A$1:$BK$2501, 1469, MATCH("RevCAGR", Simulations!$A$1:$BK$1, 0))</f>
        <v>6.8362646546017161E-2</v>
      </c>
      <c r="D1469" s="2">
        <f ca="1">INDEX(Simulations!$A$1:$BK$2501, 1469, MATCH("SynMargin", Simulations!$A$1:$BK$1, 0))</f>
        <v>3.7270311667321762E-3</v>
      </c>
      <c r="E1469" s="2">
        <f ca="1">INDEX(Simulations!$A$1:$BK$2501, 1469, MATCH("Yr1Shock", Simulations!$A$1:$BK$1, 0))</f>
        <v>-2.5390916405662281E-2</v>
      </c>
    </row>
    <row r="1470" spans="1:5" x14ac:dyDescent="0.3">
      <c r="A1470" s="2">
        <f ca="1">INDEX(Simulations!$A$1:$BK$2501, 1470, MATCH("PurchaseMultiple", Simulations!$A$1:$BK$1, 0))</f>
        <v>6.3648026038950558</v>
      </c>
      <c r="B1470" s="2">
        <f ca="1">INDEX(Simulations!$A$1:$BK$2501, 1470, MATCH("ExitMultiple", Simulations!$A$1:$BK$1, 0))</f>
        <v>7.8230795987503363</v>
      </c>
      <c r="C1470" s="2">
        <f ca="1">INDEX(Simulations!$A$1:$BK$2501, 1470, MATCH("RevCAGR", Simulations!$A$1:$BK$1, 0))</f>
        <v>5.7209245186655558E-2</v>
      </c>
      <c r="D1470" s="2">
        <f ca="1">INDEX(Simulations!$A$1:$BK$2501, 1470, MATCH("SynMargin", Simulations!$A$1:$BK$1, 0))</f>
        <v>2.5244050950414343E-3</v>
      </c>
      <c r="E1470" s="2">
        <f ca="1">INDEX(Simulations!$A$1:$BK$2501, 1470, MATCH("Yr1Shock", Simulations!$A$1:$BK$1, 0))</f>
        <v>2.0429079310222708E-2</v>
      </c>
    </row>
    <row r="1471" spans="1:5" x14ac:dyDescent="0.3">
      <c r="A1471" s="2">
        <f ca="1">INDEX(Simulations!$A$1:$BK$2501, 1471, MATCH("PurchaseMultiple", Simulations!$A$1:$BK$1, 0))</f>
        <v>7.1120554168996222</v>
      </c>
      <c r="B1471" s="2">
        <f ca="1">INDEX(Simulations!$A$1:$BK$2501, 1471, MATCH("ExitMultiple", Simulations!$A$1:$BK$1, 0))</f>
        <v>7.5853913100675658</v>
      </c>
      <c r="C1471" s="2">
        <f ca="1">INDEX(Simulations!$A$1:$BK$2501, 1471, MATCH("RevCAGR", Simulations!$A$1:$BK$1, 0))</f>
        <v>3.516824668541766E-2</v>
      </c>
      <c r="D1471" s="2">
        <f ca="1">INDEX(Simulations!$A$1:$BK$2501, 1471, MATCH("SynMargin", Simulations!$A$1:$BK$1, 0))</f>
        <v>1.2385418630535147E-2</v>
      </c>
      <c r="E1471" s="2">
        <f ca="1">INDEX(Simulations!$A$1:$BK$2501, 1471, MATCH("Yr1Shock", Simulations!$A$1:$BK$1, 0))</f>
        <v>4.0994945770841576E-2</v>
      </c>
    </row>
    <row r="1472" spans="1:5" x14ac:dyDescent="0.3">
      <c r="A1472" s="2">
        <f ca="1">INDEX(Simulations!$A$1:$BK$2501, 1472, MATCH("PurchaseMultiple", Simulations!$A$1:$BK$1, 0))</f>
        <v>6.7075591431605028</v>
      </c>
      <c r="B1472" s="2">
        <f ca="1">INDEX(Simulations!$A$1:$BK$2501, 1472, MATCH("ExitMultiple", Simulations!$A$1:$BK$1, 0))</f>
        <v>7.5369172667809545</v>
      </c>
      <c r="C1472" s="2">
        <f ca="1">INDEX(Simulations!$A$1:$BK$2501, 1472, MATCH("RevCAGR", Simulations!$A$1:$BK$1, 0))</f>
        <v>3.9460356089922551E-2</v>
      </c>
      <c r="D1472" s="2">
        <f ca="1">INDEX(Simulations!$A$1:$BK$2501, 1472, MATCH("SynMargin", Simulations!$A$1:$BK$1, 0))</f>
        <v>6.7713456313708113E-3</v>
      </c>
      <c r="E1472" s="2">
        <f ca="1">INDEX(Simulations!$A$1:$BK$2501, 1472, MATCH("Yr1Shock", Simulations!$A$1:$BK$1, 0))</f>
        <v>-1.9801632131847744E-2</v>
      </c>
    </row>
    <row r="1473" spans="1:5" x14ac:dyDescent="0.3">
      <c r="A1473" s="2">
        <f ca="1">INDEX(Simulations!$A$1:$BK$2501, 1473, MATCH("PurchaseMultiple", Simulations!$A$1:$BK$1, 0))</f>
        <v>6.6630532073096047</v>
      </c>
      <c r="B1473" s="2">
        <f ca="1">INDEX(Simulations!$A$1:$BK$2501, 1473, MATCH("ExitMultiple", Simulations!$A$1:$BK$1, 0))</f>
        <v>7.3196422696122934</v>
      </c>
      <c r="C1473" s="2">
        <f ca="1">INDEX(Simulations!$A$1:$BK$2501, 1473, MATCH("RevCAGR", Simulations!$A$1:$BK$1, 0))</f>
        <v>7.9776780755277082E-2</v>
      </c>
      <c r="D1473" s="2">
        <f ca="1">INDEX(Simulations!$A$1:$BK$2501, 1473, MATCH("SynMargin", Simulations!$A$1:$BK$1, 0))</f>
        <v>3.3280691858368792E-3</v>
      </c>
      <c r="E1473" s="2">
        <f ca="1">INDEX(Simulations!$A$1:$BK$2501, 1473, MATCH("Yr1Shock", Simulations!$A$1:$BK$1, 0))</f>
        <v>9.366433168201062E-4</v>
      </c>
    </row>
    <row r="1474" spans="1:5" x14ac:dyDescent="0.3">
      <c r="A1474" s="2">
        <f ca="1">INDEX(Simulations!$A$1:$BK$2501, 1474, MATCH("PurchaseMultiple", Simulations!$A$1:$BK$1, 0))</f>
        <v>7.0965948126980019</v>
      </c>
      <c r="B1474" s="2">
        <f ca="1">INDEX(Simulations!$A$1:$BK$2501, 1474, MATCH("ExitMultiple", Simulations!$A$1:$BK$1, 0))</f>
        <v>8.2785409234900307</v>
      </c>
      <c r="C1474" s="2">
        <f ca="1">INDEX(Simulations!$A$1:$BK$2501, 1474, MATCH("RevCAGR", Simulations!$A$1:$BK$1, 0))</f>
        <v>-6.4795364019060372E-3</v>
      </c>
      <c r="D1474" s="2">
        <f ca="1">INDEX(Simulations!$A$1:$BK$2501, 1474, MATCH("SynMargin", Simulations!$A$1:$BK$1, 0))</f>
        <v>8.222070638870458E-3</v>
      </c>
      <c r="E1474" s="2">
        <f ca="1">INDEX(Simulations!$A$1:$BK$2501, 1474, MATCH("Yr1Shock", Simulations!$A$1:$BK$1, 0))</f>
        <v>-1.6124691157055275E-2</v>
      </c>
    </row>
    <row r="1475" spans="1:5" x14ac:dyDescent="0.3">
      <c r="A1475" s="2">
        <f ca="1">INDEX(Simulations!$A$1:$BK$2501, 1475, MATCH("PurchaseMultiple", Simulations!$A$1:$BK$1, 0))</f>
        <v>6.4137903912007017</v>
      </c>
      <c r="B1475" s="2">
        <f ca="1">INDEX(Simulations!$A$1:$BK$2501, 1475, MATCH("ExitMultiple", Simulations!$A$1:$BK$1, 0))</f>
        <v>7.5528755311897768</v>
      </c>
      <c r="C1475" s="2">
        <f ca="1">INDEX(Simulations!$A$1:$BK$2501, 1475, MATCH("RevCAGR", Simulations!$A$1:$BK$1, 0))</f>
        <v>1.4554192642476715E-2</v>
      </c>
      <c r="D1475" s="2">
        <f ca="1">INDEX(Simulations!$A$1:$BK$2501, 1475, MATCH("SynMargin", Simulations!$A$1:$BK$1, 0))</f>
        <v>8.9444700239905556E-3</v>
      </c>
      <c r="E1475" s="2">
        <f ca="1">INDEX(Simulations!$A$1:$BK$2501, 1475, MATCH("Yr1Shock", Simulations!$A$1:$BK$1, 0))</f>
        <v>2.5329220066664083E-2</v>
      </c>
    </row>
    <row r="1476" spans="1:5" x14ac:dyDescent="0.3">
      <c r="A1476" s="2">
        <f ca="1">INDEX(Simulations!$A$1:$BK$2501, 1476, MATCH("PurchaseMultiple", Simulations!$A$1:$BK$1, 0))</f>
        <v>6.3228587208959972</v>
      </c>
      <c r="B1476" s="2">
        <f ca="1">INDEX(Simulations!$A$1:$BK$2501, 1476, MATCH("ExitMultiple", Simulations!$A$1:$BK$1, 0))</f>
        <v>6.9553790786418972</v>
      </c>
      <c r="C1476" s="2">
        <f ca="1">INDEX(Simulations!$A$1:$BK$2501, 1476, MATCH("RevCAGR", Simulations!$A$1:$BK$1, 0))</f>
        <v>4.7696611173257839E-2</v>
      </c>
      <c r="D1476" s="2">
        <f ca="1">INDEX(Simulations!$A$1:$BK$2501, 1476, MATCH("SynMargin", Simulations!$A$1:$BK$1, 0))</f>
        <v>1.5965211111622409E-3</v>
      </c>
      <c r="E1476" s="2">
        <f ca="1">INDEX(Simulations!$A$1:$BK$2501, 1476, MATCH("Yr1Shock", Simulations!$A$1:$BK$1, 0))</f>
        <v>-5.9235503778551921E-3</v>
      </c>
    </row>
    <row r="1477" spans="1:5" x14ac:dyDescent="0.3">
      <c r="A1477" s="2">
        <f ca="1">INDEX(Simulations!$A$1:$BK$2501, 1477, MATCH("PurchaseMultiple", Simulations!$A$1:$BK$1, 0))</f>
        <v>7.790008846144767</v>
      </c>
      <c r="B1477" s="2">
        <f ca="1">INDEX(Simulations!$A$1:$BK$2501, 1477, MATCH("ExitMultiple", Simulations!$A$1:$BK$1, 0))</f>
        <v>6.6894347558471283</v>
      </c>
      <c r="C1477" s="2">
        <f ca="1">INDEX(Simulations!$A$1:$BK$2501, 1477, MATCH("RevCAGR", Simulations!$A$1:$BK$1, 0))</f>
        <v>2.4494370774640117E-2</v>
      </c>
      <c r="D1477" s="2">
        <f ca="1">INDEX(Simulations!$A$1:$BK$2501, 1477, MATCH("SynMargin", Simulations!$A$1:$BK$1, 0))</f>
        <v>1.1765653180340035E-2</v>
      </c>
      <c r="E1477" s="2">
        <f ca="1">INDEX(Simulations!$A$1:$BK$2501, 1477, MATCH("Yr1Shock", Simulations!$A$1:$BK$1, 0))</f>
        <v>-1.0975504439666516E-2</v>
      </c>
    </row>
    <row r="1478" spans="1:5" x14ac:dyDescent="0.3">
      <c r="A1478" s="2">
        <f ca="1">INDEX(Simulations!$A$1:$BK$2501, 1478, MATCH("PurchaseMultiple", Simulations!$A$1:$BK$1, 0))</f>
        <v>6.8210017725927257</v>
      </c>
      <c r="B1478" s="2">
        <f ca="1">INDEX(Simulations!$A$1:$BK$2501, 1478, MATCH("ExitMultiple", Simulations!$A$1:$BK$1, 0))</f>
        <v>7.7886767978015081</v>
      </c>
      <c r="C1478" s="2">
        <f ca="1">INDEX(Simulations!$A$1:$BK$2501, 1478, MATCH("RevCAGR", Simulations!$A$1:$BK$1, 0))</f>
        <v>8.2344357202324622E-3</v>
      </c>
      <c r="D1478" s="2">
        <f ca="1">INDEX(Simulations!$A$1:$BK$2501, 1478, MATCH("SynMargin", Simulations!$A$1:$BK$1, 0))</f>
        <v>1.0380979946518215E-2</v>
      </c>
      <c r="E1478" s="2">
        <f ca="1">INDEX(Simulations!$A$1:$BK$2501, 1478, MATCH("Yr1Shock", Simulations!$A$1:$BK$1, 0))</f>
        <v>-1.4976157351889695E-3</v>
      </c>
    </row>
    <row r="1479" spans="1:5" x14ac:dyDescent="0.3">
      <c r="A1479" s="2">
        <f ca="1">INDEX(Simulations!$A$1:$BK$2501, 1479, MATCH("PurchaseMultiple", Simulations!$A$1:$BK$1, 0))</f>
        <v>7.6965985225357541</v>
      </c>
      <c r="B1479" s="2">
        <f ca="1">INDEX(Simulations!$A$1:$BK$2501, 1479, MATCH("ExitMultiple", Simulations!$A$1:$BK$1, 0))</f>
        <v>7.4695413607460797</v>
      </c>
      <c r="C1479" s="2">
        <f ca="1">INDEX(Simulations!$A$1:$BK$2501, 1479, MATCH("RevCAGR", Simulations!$A$1:$BK$1, 0))</f>
        <v>-1.8601933093866513E-2</v>
      </c>
      <c r="D1479" s="2">
        <f ca="1">INDEX(Simulations!$A$1:$BK$2501, 1479, MATCH("SynMargin", Simulations!$A$1:$BK$1, 0))</f>
        <v>9.2673790043948483E-3</v>
      </c>
      <c r="E1479" s="2">
        <f ca="1">INDEX(Simulations!$A$1:$BK$2501, 1479, MATCH("Yr1Shock", Simulations!$A$1:$BK$1, 0))</f>
        <v>6.6810537384012674E-3</v>
      </c>
    </row>
    <row r="1480" spans="1:5" x14ac:dyDescent="0.3">
      <c r="A1480" s="2">
        <f ca="1">INDEX(Simulations!$A$1:$BK$2501, 1480, MATCH("PurchaseMultiple", Simulations!$A$1:$BK$1, 0))</f>
        <v>6.7917050767193423</v>
      </c>
      <c r="B1480" s="2">
        <f ca="1">INDEX(Simulations!$A$1:$BK$2501, 1480, MATCH("ExitMultiple", Simulations!$A$1:$BK$1, 0))</f>
        <v>8.0526475355803697</v>
      </c>
      <c r="C1480" s="2">
        <f ca="1">INDEX(Simulations!$A$1:$BK$2501, 1480, MATCH("RevCAGR", Simulations!$A$1:$BK$1, 0))</f>
        <v>4.1866908028389299E-2</v>
      </c>
      <c r="D1480" s="2">
        <f ca="1">INDEX(Simulations!$A$1:$BK$2501, 1480, MATCH("SynMargin", Simulations!$A$1:$BK$1, 0))</f>
        <v>1.104178757738563E-2</v>
      </c>
      <c r="E1480" s="2">
        <f ca="1">INDEX(Simulations!$A$1:$BK$2501, 1480, MATCH("Yr1Shock", Simulations!$A$1:$BK$1, 0))</f>
        <v>1.662641597916039E-2</v>
      </c>
    </row>
    <row r="1481" spans="1:5" x14ac:dyDescent="0.3">
      <c r="A1481" s="2">
        <f ca="1">INDEX(Simulations!$A$1:$BK$2501, 1481, MATCH("PurchaseMultiple", Simulations!$A$1:$BK$1, 0))</f>
        <v>6.6827271038454192</v>
      </c>
      <c r="B1481" s="2">
        <f ca="1">INDEX(Simulations!$A$1:$BK$2501, 1481, MATCH("ExitMultiple", Simulations!$A$1:$BK$1, 0))</f>
        <v>7.9416225883468403</v>
      </c>
      <c r="C1481" s="2">
        <f ca="1">INDEX(Simulations!$A$1:$BK$2501, 1481, MATCH("RevCAGR", Simulations!$A$1:$BK$1, 0))</f>
        <v>3.9923192558842274E-2</v>
      </c>
      <c r="D1481" s="2">
        <f ca="1">INDEX(Simulations!$A$1:$BK$2501, 1481, MATCH("SynMargin", Simulations!$A$1:$BK$1, 0))</f>
        <v>2.8419837447810495E-3</v>
      </c>
      <c r="E1481" s="2">
        <f ca="1">INDEX(Simulations!$A$1:$BK$2501, 1481, MATCH("Yr1Shock", Simulations!$A$1:$BK$1, 0))</f>
        <v>1.6635065056693769E-2</v>
      </c>
    </row>
    <row r="1482" spans="1:5" x14ac:dyDescent="0.3">
      <c r="A1482" s="2">
        <f ca="1">INDEX(Simulations!$A$1:$BK$2501, 1482, MATCH("PurchaseMultiple", Simulations!$A$1:$BK$1, 0))</f>
        <v>7.8952382270815171</v>
      </c>
      <c r="B1482" s="2">
        <f ca="1">INDEX(Simulations!$A$1:$BK$2501, 1482, MATCH("ExitMultiple", Simulations!$A$1:$BK$1, 0))</f>
        <v>7.6136300889075308</v>
      </c>
      <c r="C1482" s="2">
        <f ca="1">INDEX(Simulations!$A$1:$BK$2501, 1482, MATCH("RevCAGR", Simulations!$A$1:$BK$1, 0))</f>
        <v>-0.02</v>
      </c>
      <c r="D1482" s="2">
        <f ca="1">INDEX(Simulations!$A$1:$BK$2501, 1482, MATCH("SynMargin", Simulations!$A$1:$BK$1, 0))</f>
        <v>1.4246263860273559E-2</v>
      </c>
      <c r="E1482" s="2">
        <f ca="1">INDEX(Simulations!$A$1:$BK$2501, 1482, MATCH("Yr1Shock", Simulations!$A$1:$BK$1, 0))</f>
        <v>-1.9624469313745233E-2</v>
      </c>
    </row>
    <row r="1483" spans="1:5" x14ac:dyDescent="0.3">
      <c r="A1483" s="2">
        <f ca="1">INDEX(Simulations!$A$1:$BK$2501, 1483, MATCH("PurchaseMultiple", Simulations!$A$1:$BK$1, 0))</f>
        <v>6.9215527969889097</v>
      </c>
      <c r="B1483" s="2">
        <f ca="1">INDEX(Simulations!$A$1:$BK$2501, 1483, MATCH("ExitMultiple", Simulations!$A$1:$BK$1, 0))</f>
        <v>7.9571484027413044</v>
      </c>
      <c r="C1483" s="2">
        <f ca="1">INDEX(Simulations!$A$1:$BK$2501, 1483, MATCH("RevCAGR", Simulations!$A$1:$BK$1, 0))</f>
        <v>1.244352715316277E-2</v>
      </c>
      <c r="D1483" s="2">
        <f ca="1">INDEX(Simulations!$A$1:$BK$2501, 1483, MATCH("SynMargin", Simulations!$A$1:$BK$1, 0))</f>
        <v>1.8965159267062659E-2</v>
      </c>
      <c r="E1483" s="2">
        <f ca="1">INDEX(Simulations!$A$1:$BK$2501, 1483, MATCH("Yr1Shock", Simulations!$A$1:$BK$1, 0))</f>
        <v>2.7505259974411125E-2</v>
      </c>
    </row>
    <row r="1484" spans="1:5" x14ac:dyDescent="0.3">
      <c r="A1484" s="2">
        <f ca="1">INDEX(Simulations!$A$1:$BK$2501, 1484, MATCH("PurchaseMultiple", Simulations!$A$1:$BK$1, 0))</f>
        <v>7.4847645642322966</v>
      </c>
      <c r="B1484" s="2">
        <f ca="1">INDEX(Simulations!$A$1:$BK$2501, 1484, MATCH("ExitMultiple", Simulations!$A$1:$BK$1, 0))</f>
        <v>7.6206375168409792</v>
      </c>
      <c r="C1484" s="2">
        <f ca="1">INDEX(Simulations!$A$1:$BK$2501, 1484, MATCH("RevCAGR", Simulations!$A$1:$BK$1, 0))</f>
        <v>2.3346217300829607E-2</v>
      </c>
      <c r="D1484" s="2">
        <f ca="1">INDEX(Simulations!$A$1:$BK$2501, 1484, MATCH("SynMargin", Simulations!$A$1:$BK$1, 0))</f>
        <v>7.9195119059819429E-4</v>
      </c>
      <c r="E1484" s="2">
        <f ca="1">INDEX(Simulations!$A$1:$BK$2501, 1484, MATCH("Yr1Shock", Simulations!$A$1:$BK$1, 0))</f>
        <v>1.7043067875992714E-2</v>
      </c>
    </row>
    <row r="1485" spans="1:5" x14ac:dyDescent="0.3">
      <c r="A1485" s="2">
        <f ca="1">INDEX(Simulations!$A$1:$BK$2501, 1485, MATCH("PurchaseMultiple", Simulations!$A$1:$BK$1, 0))</f>
        <v>7.3320687159620448</v>
      </c>
      <c r="B1485" s="2">
        <f ca="1">INDEX(Simulations!$A$1:$BK$2501, 1485, MATCH("ExitMultiple", Simulations!$A$1:$BK$1, 0))</f>
        <v>6.7535102077404927</v>
      </c>
      <c r="C1485" s="2">
        <f ca="1">INDEX(Simulations!$A$1:$BK$2501, 1485, MATCH("RevCAGR", Simulations!$A$1:$BK$1, 0))</f>
        <v>4.0044818851436667E-2</v>
      </c>
      <c r="D1485" s="2">
        <f ca="1">INDEX(Simulations!$A$1:$BK$2501, 1485, MATCH("SynMargin", Simulations!$A$1:$BK$1, 0))</f>
        <v>1.7338922715629167E-2</v>
      </c>
      <c r="E1485" s="2">
        <f ca="1">INDEX(Simulations!$A$1:$BK$2501, 1485, MATCH("Yr1Shock", Simulations!$A$1:$BK$1, 0))</f>
        <v>1.9886731855970844E-2</v>
      </c>
    </row>
    <row r="1486" spans="1:5" x14ac:dyDescent="0.3">
      <c r="A1486" s="2">
        <f ca="1">INDEX(Simulations!$A$1:$BK$2501, 1486, MATCH("PurchaseMultiple", Simulations!$A$1:$BK$1, 0))</f>
        <v>6.7114222214184069</v>
      </c>
      <c r="B1486" s="2">
        <f ca="1">INDEX(Simulations!$A$1:$BK$2501, 1486, MATCH("ExitMultiple", Simulations!$A$1:$BK$1, 0))</f>
        <v>7.0875203093597152</v>
      </c>
      <c r="C1486" s="2">
        <f ca="1">INDEX(Simulations!$A$1:$BK$2501, 1486, MATCH("RevCAGR", Simulations!$A$1:$BK$1, 0))</f>
        <v>-0.02</v>
      </c>
      <c r="D1486" s="2">
        <f ca="1">INDEX(Simulations!$A$1:$BK$2501, 1486, MATCH("SynMargin", Simulations!$A$1:$BK$1, 0))</f>
        <v>1.0807166221486772E-2</v>
      </c>
      <c r="E1486" s="2">
        <f ca="1">INDEX(Simulations!$A$1:$BK$2501, 1486, MATCH("Yr1Shock", Simulations!$A$1:$BK$1, 0))</f>
        <v>6.1527340112244346E-3</v>
      </c>
    </row>
    <row r="1487" spans="1:5" x14ac:dyDescent="0.3">
      <c r="A1487" s="2">
        <f ca="1">INDEX(Simulations!$A$1:$BK$2501, 1487, MATCH("PurchaseMultiple", Simulations!$A$1:$BK$1, 0))</f>
        <v>7.5240339023130103</v>
      </c>
      <c r="B1487" s="2">
        <f ca="1">INDEX(Simulations!$A$1:$BK$2501, 1487, MATCH("ExitMultiple", Simulations!$A$1:$BK$1, 0))</f>
        <v>8.1283680295201659</v>
      </c>
      <c r="C1487" s="2">
        <f ca="1">INDEX(Simulations!$A$1:$BK$2501, 1487, MATCH("RevCAGR", Simulations!$A$1:$BK$1, 0))</f>
        <v>-4.79169306869133E-3</v>
      </c>
      <c r="D1487" s="2">
        <f ca="1">INDEX(Simulations!$A$1:$BK$2501, 1487, MATCH("SynMargin", Simulations!$A$1:$BK$1, 0))</f>
        <v>4.6678810999007236E-3</v>
      </c>
      <c r="E1487" s="2">
        <f ca="1">INDEX(Simulations!$A$1:$BK$2501, 1487, MATCH("Yr1Shock", Simulations!$A$1:$BK$1, 0))</f>
        <v>-1.337057152217805E-2</v>
      </c>
    </row>
    <row r="1488" spans="1:5" x14ac:dyDescent="0.3">
      <c r="A1488" s="2">
        <f ca="1">INDEX(Simulations!$A$1:$BK$2501, 1488, MATCH("PurchaseMultiple", Simulations!$A$1:$BK$1, 0))</f>
        <v>7.5501199687242417</v>
      </c>
      <c r="B1488" s="2">
        <f ca="1">INDEX(Simulations!$A$1:$BK$2501, 1488, MATCH("ExitMultiple", Simulations!$A$1:$BK$1, 0))</f>
        <v>7.8068995259930052</v>
      </c>
      <c r="C1488" s="2">
        <f ca="1">INDEX(Simulations!$A$1:$BK$2501, 1488, MATCH("RevCAGR", Simulations!$A$1:$BK$1, 0))</f>
        <v>2.8025437245151438E-2</v>
      </c>
      <c r="D1488" s="2">
        <f ca="1">INDEX(Simulations!$A$1:$BK$2501, 1488, MATCH("SynMargin", Simulations!$A$1:$BK$1, 0))</f>
        <v>5.1413835160625185E-3</v>
      </c>
      <c r="E1488" s="2">
        <f ca="1">INDEX(Simulations!$A$1:$BK$2501, 1488, MATCH("Yr1Shock", Simulations!$A$1:$BK$1, 0))</f>
        <v>-1.6260335806530125E-2</v>
      </c>
    </row>
    <row r="1489" spans="1:5" x14ac:dyDescent="0.3">
      <c r="A1489" s="2">
        <f ca="1">INDEX(Simulations!$A$1:$BK$2501, 1489, MATCH("PurchaseMultiple", Simulations!$A$1:$BK$1, 0))</f>
        <v>6.6245198502315645</v>
      </c>
      <c r="B1489" s="2">
        <f ca="1">INDEX(Simulations!$A$1:$BK$2501, 1489, MATCH("ExitMultiple", Simulations!$A$1:$BK$1, 0))</f>
        <v>7.1433666179923696</v>
      </c>
      <c r="C1489" s="2">
        <f ca="1">INDEX(Simulations!$A$1:$BK$2501, 1489, MATCH("RevCAGR", Simulations!$A$1:$BK$1, 0))</f>
        <v>1.4673185317664868E-2</v>
      </c>
      <c r="D1489" s="2">
        <f ca="1">INDEX(Simulations!$A$1:$BK$2501, 1489, MATCH("SynMargin", Simulations!$A$1:$BK$1, 0))</f>
        <v>6.7248995624540741E-3</v>
      </c>
      <c r="E1489" s="2">
        <f ca="1">INDEX(Simulations!$A$1:$BK$2501, 1489, MATCH("Yr1Shock", Simulations!$A$1:$BK$1, 0))</f>
        <v>-3.1816315544912362E-3</v>
      </c>
    </row>
    <row r="1490" spans="1:5" x14ac:dyDescent="0.3">
      <c r="A1490" s="2">
        <f ca="1">INDEX(Simulations!$A$1:$BK$2501, 1490, MATCH("PurchaseMultiple", Simulations!$A$1:$BK$1, 0))</f>
        <v>6.8057168741573939</v>
      </c>
      <c r="B1490" s="2">
        <f ca="1">INDEX(Simulations!$A$1:$BK$2501, 1490, MATCH("ExitMultiple", Simulations!$A$1:$BK$1, 0))</f>
        <v>7.2712716123146679</v>
      </c>
      <c r="C1490" s="2">
        <f ca="1">INDEX(Simulations!$A$1:$BK$2501, 1490, MATCH("RevCAGR", Simulations!$A$1:$BK$1, 0))</f>
        <v>4.7074226111757878E-2</v>
      </c>
      <c r="D1490" s="2">
        <f ca="1">INDEX(Simulations!$A$1:$BK$2501, 1490, MATCH("SynMargin", Simulations!$A$1:$BK$1, 0))</f>
        <v>8.1917363744609048E-3</v>
      </c>
      <c r="E1490" s="2">
        <f ca="1">INDEX(Simulations!$A$1:$BK$2501, 1490, MATCH("Yr1Shock", Simulations!$A$1:$BK$1, 0))</f>
        <v>-7.6406965746285129E-3</v>
      </c>
    </row>
    <row r="1491" spans="1:5" x14ac:dyDescent="0.3">
      <c r="A1491" s="2">
        <f ca="1">INDEX(Simulations!$A$1:$BK$2501, 1491, MATCH("PurchaseMultiple", Simulations!$A$1:$BK$1, 0))</f>
        <v>7.8622538960942965</v>
      </c>
      <c r="B1491" s="2">
        <f ca="1">INDEX(Simulations!$A$1:$BK$2501, 1491, MATCH("ExitMultiple", Simulations!$A$1:$BK$1, 0))</f>
        <v>6.6941520898522873</v>
      </c>
      <c r="C1491" s="2">
        <f ca="1">INDEX(Simulations!$A$1:$BK$2501, 1491, MATCH("RevCAGR", Simulations!$A$1:$BK$1, 0))</f>
        <v>3.9913799700300123E-2</v>
      </c>
      <c r="D1491" s="2">
        <f ca="1">INDEX(Simulations!$A$1:$BK$2501, 1491, MATCH("SynMargin", Simulations!$A$1:$BK$1, 0))</f>
        <v>0</v>
      </c>
      <c r="E1491" s="2">
        <f ca="1">INDEX(Simulations!$A$1:$BK$2501, 1491, MATCH("Yr1Shock", Simulations!$A$1:$BK$1, 0))</f>
        <v>-2.0145393310326255E-2</v>
      </c>
    </row>
    <row r="1492" spans="1:5" x14ac:dyDescent="0.3">
      <c r="A1492" s="2">
        <f ca="1">INDEX(Simulations!$A$1:$BK$2501, 1492, MATCH("PurchaseMultiple", Simulations!$A$1:$BK$1, 0))</f>
        <v>7.4849806154852292</v>
      </c>
      <c r="B1492" s="2">
        <f ca="1">INDEX(Simulations!$A$1:$BK$2501, 1492, MATCH("ExitMultiple", Simulations!$A$1:$BK$1, 0))</f>
        <v>7.5548390810225206</v>
      </c>
      <c r="C1492" s="2">
        <f ca="1">INDEX(Simulations!$A$1:$BK$2501, 1492, MATCH("RevCAGR", Simulations!$A$1:$BK$1, 0))</f>
        <v>2.3411773247411262E-2</v>
      </c>
      <c r="D1492" s="2">
        <f ca="1">INDEX(Simulations!$A$1:$BK$2501, 1492, MATCH("SynMargin", Simulations!$A$1:$BK$1, 0))</f>
        <v>1.2527930201436293E-2</v>
      </c>
      <c r="E1492" s="2">
        <f ca="1">INDEX(Simulations!$A$1:$BK$2501, 1492, MATCH("Yr1Shock", Simulations!$A$1:$BK$1, 0))</f>
        <v>-7.4568660200786049E-3</v>
      </c>
    </row>
    <row r="1493" spans="1:5" x14ac:dyDescent="0.3">
      <c r="A1493" s="2">
        <f ca="1">INDEX(Simulations!$A$1:$BK$2501, 1493, MATCH("PurchaseMultiple", Simulations!$A$1:$BK$1, 0))</f>
        <v>7.0250123521679013</v>
      </c>
      <c r="B1493" s="2">
        <f ca="1">INDEX(Simulations!$A$1:$BK$2501, 1493, MATCH("ExitMultiple", Simulations!$A$1:$BK$1, 0))</f>
        <v>7.3948083255392074</v>
      </c>
      <c r="C1493" s="2">
        <f ca="1">INDEX(Simulations!$A$1:$BK$2501, 1493, MATCH("RevCAGR", Simulations!$A$1:$BK$1, 0))</f>
        <v>0.10443147216987636</v>
      </c>
      <c r="D1493" s="2">
        <f ca="1">INDEX(Simulations!$A$1:$BK$2501, 1493, MATCH("SynMargin", Simulations!$A$1:$BK$1, 0))</f>
        <v>1.5742846009958136E-2</v>
      </c>
      <c r="E1493" s="2">
        <f ca="1">INDEX(Simulations!$A$1:$BK$2501, 1493, MATCH("Yr1Shock", Simulations!$A$1:$BK$1, 0))</f>
        <v>-6.2110500622477851E-3</v>
      </c>
    </row>
    <row r="1494" spans="1:5" x14ac:dyDescent="0.3">
      <c r="A1494" s="2">
        <f ca="1">INDEX(Simulations!$A$1:$BK$2501, 1494, MATCH("PurchaseMultiple", Simulations!$A$1:$BK$1, 0))</f>
        <v>7.0837654725449903</v>
      </c>
      <c r="B1494" s="2">
        <f ca="1">INDEX(Simulations!$A$1:$BK$2501, 1494, MATCH("ExitMultiple", Simulations!$A$1:$BK$1, 0))</f>
        <v>8.1770487373609981</v>
      </c>
      <c r="C1494" s="2">
        <f ca="1">INDEX(Simulations!$A$1:$BK$2501, 1494, MATCH("RevCAGR", Simulations!$A$1:$BK$1, 0))</f>
        <v>-0.02</v>
      </c>
      <c r="D1494" s="2">
        <f ca="1">INDEX(Simulations!$A$1:$BK$2501, 1494, MATCH("SynMargin", Simulations!$A$1:$BK$1, 0))</f>
        <v>1.2824025600042071E-2</v>
      </c>
      <c r="E1494" s="2">
        <f ca="1">INDEX(Simulations!$A$1:$BK$2501, 1494, MATCH("Yr1Shock", Simulations!$A$1:$BK$1, 0))</f>
        <v>-8.2723652611219646E-3</v>
      </c>
    </row>
    <row r="1495" spans="1:5" x14ac:dyDescent="0.3">
      <c r="A1495" s="2">
        <f ca="1">INDEX(Simulations!$A$1:$BK$2501, 1495, MATCH("PurchaseMultiple", Simulations!$A$1:$BK$1, 0))</f>
        <v>7.6974044656432774</v>
      </c>
      <c r="B1495" s="2">
        <f ca="1">INDEX(Simulations!$A$1:$BK$2501, 1495, MATCH("ExitMultiple", Simulations!$A$1:$BK$1, 0))</f>
        <v>6.9328156816590329</v>
      </c>
      <c r="C1495" s="2">
        <f ca="1">INDEX(Simulations!$A$1:$BK$2501, 1495, MATCH("RevCAGR", Simulations!$A$1:$BK$1, 0))</f>
        <v>6.9977477249288503E-2</v>
      </c>
      <c r="D1495" s="2">
        <f ca="1">INDEX(Simulations!$A$1:$BK$2501, 1495, MATCH("SynMargin", Simulations!$A$1:$BK$1, 0))</f>
        <v>1.1868694937913041E-2</v>
      </c>
      <c r="E1495" s="2">
        <f ca="1">INDEX(Simulations!$A$1:$BK$2501, 1495, MATCH("Yr1Shock", Simulations!$A$1:$BK$1, 0))</f>
        <v>-8.2190571502271693E-3</v>
      </c>
    </row>
    <row r="1496" spans="1:5" x14ac:dyDescent="0.3">
      <c r="A1496" s="2">
        <f ca="1">INDEX(Simulations!$A$1:$BK$2501, 1496, MATCH("PurchaseMultiple", Simulations!$A$1:$BK$1, 0))</f>
        <v>6.4793978055110246</v>
      </c>
      <c r="B1496" s="2">
        <f ca="1">INDEX(Simulations!$A$1:$BK$2501, 1496, MATCH("ExitMultiple", Simulations!$A$1:$BK$1, 0))</f>
        <v>6.9294274765675743</v>
      </c>
      <c r="C1496" s="2">
        <f ca="1">INDEX(Simulations!$A$1:$BK$2501, 1496, MATCH("RevCAGR", Simulations!$A$1:$BK$1, 0))</f>
        <v>4.6024399181820386E-2</v>
      </c>
      <c r="D1496" s="2">
        <f ca="1">INDEX(Simulations!$A$1:$BK$2501, 1496, MATCH("SynMargin", Simulations!$A$1:$BK$1, 0))</f>
        <v>1.1796033628693192E-2</v>
      </c>
      <c r="E1496" s="2">
        <f ca="1">INDEX(Simulations!$A$1:$BK$2501, 1496, MATCH("Yr1Shock", Simulations!$A$1:$BK$1, 0))</f>
        <v>-1.3792688841021076E-4</v>
      </c>
    </row>
    <row r="1497" spans="1:5" x14ac:dyDescent="0.3">
      <c r="A1497" s="2">
        <f ca="1">INDEX(Simulations!$A$1:$BK$2501, 1497, MATCH("PurchaseMultiple", Simulations!$A$1:$BK$1, 0))</f>
        <v>7.3336564303384861</v>
      </c>
      <c r="B1497" s="2">
        <f ca="1">INDEX(Simulations!$A$1:$BK$2501, 1497, MATCH("ExitMultiple", Simulations!$A$1:$BK$1, 0))</f>
        <v>7.0223111324615086</v>
      </c>
      <c r="C1497" s="2">
        <f ca="1">INDEX(Simulations!$A$1:$BK$2501, 1497, MATCH("RevCAGR", Simulations!$A$1:$BK$1, 0))</f>
        <v>4.0532882885581344E-2</v>
      </c>
      <c r="D1497" s="2">
        <f ca="1">INDEX(Simulations!$A$1:$BK$2501, 1497, MATCH("SynMargin", Simulations!$A$1:$BK$1, 0))</f>
        <v>7.4368034192200923E-3</v>
      </c>
      <c r="E1497" s="2">
        <f ca="1">INDEX(Simulations!$A$1:$BK$2501, 1497, MATCH("Yr1Shock", Simulations!$A$1:$BK$1, 0))</f>
        <v>-1.7341526877958022E-2</v>
      </c>
    </row>
    <row r="1498" spans="1:5" x14ac:dyDescent="0.3">
      <c r="A1498" s="2">
        <f ca="1">INDEX(Simulations!$A$1:$BK$2501, 1498, MATCH("PurchaseMultiple", Simulations!$A$1:$BK$1, 0))</f>
        <v>7.2718772261108198</v>
      </c>
      <c r="B1498" s="2">
        <f ca="1">INDEX(Simulations!$A$1:$BK$2501, 1498, MATCH("ExitMultiple", Simulations!$A$1:$BK$1, 0))</f>
        <v>7.7093461784833597</v>
      </c>
      <c r="C1498" s="2">
        <f ca="1">INDEX(Simulations!$A$1:$BK$2501, 1498, MATCH("RevCAGR", Simulations!$A$1:$BK$1, 0))</f>
        <v>-0.02</v>
      </c>
      <c r="D1498" s="2">
        <f ca="1">INDEX(Simulations!$A$1:$BK$2501, 1498, MATCH("SynMargin", Simulations!$A$1:$BK$1, 0))</f>
        <v>9.2968295743431351E-3</v>
      </c>
      <c r="E1498" s="2">
        <f ca="1">INDEX(Simulations!$A$1:$BK$2501, 1498, MATCH("Yr1Shock", Simulations!$A$1:$BK$1, 0))</f>
        <v>-1.2162196685311117E-2</v>
      </c>
    </row>
    <row r="1499" spans="1:5" x14ac:dyDescent="0.3">
      <c r="A1499" s="2">
        <f ca="1">INDEX(Simulations!$A$1:$BK$2501, 1499, MATCH("PurchaseMultiple", Simulations!$A$1:$BK$1, 0))</f>
        <v>6.7864638120995782</v>
      </c>
      <c r="B1499" s="2">
        <f ca="1">INDEX(Simulations!$A$1:$BK$2501, 1499, MATCH("ExitMultiple", Simulations!$A$1:$BK$1, 0))</f>
        <v>7.5095157801493189</v>
      </c>
      <c r="C1499" s="2">
        <f ca="1">INDEX(Simulations!$A$1:$BK$2501, 1499, MATCH("RevCAGR", Simulations!$A$1:$BK$1, 0))</f>
        <v>3.5325636554711048E-2</v>
      </c>
      <c r="D1499" s="2">
        <f ca="1">INDEX(Simulations!$A$1:$BK$2501, 1499, MATCH("SynMargin", Simulations!$A$1:$BK$1, 0))</f>
        <v>5.0500446395487474E-3</v>
      </c>
      <c r="E1499" s="2">
        <f ca="1">INDEX(Simulations!$A$1:$BK$2501, 1499, MATCH("Yr1Shock", Simulations!$A$1:$BK$1, 0))</f>
        <v>-1.3003365586913016E-2</v>
      </c>
    </row>
    <row r="1500" spans="1:5" x14ac:dyDescent="0.3">
      <c r="A1500" s="2">
        <f ca="1">INDEX(Simulations!$A$1:$BK$2501, 1500, MATCH("PurchaseMultiple", Simulations!$A$1:$BK$1, 0))</f>
        <v>6.7467324809535567</v>
      </c>
      <c r="B1500" s="2">
        <f ca="1">INDEX(Simulations!$A$1:$BK$2501, 1500, MATCH("ExitMultiple", Simulations!$A$1:$BK$1, 0))</f>
        <v>7.6694325642664456</v>
      </c>
      <c r="C1500" s="2">
        <f ca="1">INDEX(Simulations!$A$1:$BK$2501, 1500, MATCH("RevCAGR", Simulations!$A$1:$BK$1, 0))</f>
        <v>-2.7357810838700425E-3</v>
      </c>
      <c r="D1500" s="2">
        <f ca="1">INDEX(Simulations!$A$1:$BK$2501, 1500, MATCH("SynMargin", Simulations!$A$1:$BK$1, 0))</f>
        <v>1.4215604639688958E-2</v>
      </c>
      <c r="E1500" s="2">
        <f ca="1">INDEX(Simulations!$A$1:$BK$2501, 1500, MATCH("Yr1Shock", Simulations!$A$1:$BK$1, 0))</f>
        <v>-6.5851483513803249E-3</v>
      </c>
    </row>
    <row r="1501" spans="1:5" x14ac:dyDescent="0.3">
      <c r="A1501" s="2">
        <f ca="1">INDEX(Simulations!$A$1:$BK$2501, 1501, MATCH("PurchaseMultiple", Simulations!$A$1:$BK$1, 0))</f>
        <v>7.8162450768353162</v>
      </c>
      <c r="B1501" s="2">
        <f ca="1">INDEX(Simulations!$A$1:$BK$2501, 1501, MATCH("ExitMultiple", Simulations!$A$1:$BK$1, 0))</f>
        <v>7.0966432110535411</v>
      </c>
      <c r="C1501" s="2">
        <f ca="1">INDEX(Simulations!$A$1:$BK$2501, 1501, MATCH("RevCAGR", Simulations!$A$1:$BK$1, 0))</f>
        <v>5.8609124105856537E-2</v>
      </c>
      <c r="D1501" s="2">
        <f ca="1">INDEX(Simulations!$A$1:$BK$2501, 1501, MATCH("SynMargin", Simulations!$A$1:$BK$1, 0))</f>
        <v>4.4443355021948428E-3</v>
      </c>
      <c r="E1501" s="2">
        <f ca="1">INDEX(Simulations!$A$1:$BK$2501, 1501, MATCH("Yr1Shock", Simulations!$A$1:$BK$1, 0))</f>
        <v>-1.2810207865534098E-2</v>
      </c>
    </row>
    <row r="1502" spans="1:5" x14ac:dyDescent="0.3">
      <c r="A1502" s="2">
        <f ca="1">INDEX(Simulations!$A$1:$BK$2501, 1502, MATCH("PurchaseMultiple", Simulations!$A$1:$BK$1, 0))</f>
        <v>7.2047461258583709</v>
      </c>
      <c r="B1502" s="2">
        <f ca="1">INDEX(Simulations!$A$1:$BK$2501, 1502, MATCH("ExitMultiple", Simulations!$A$1:$BK$1, 0))</f>
        <v>7.7522566926683538</v>
      </c>
      <c r="C1502" s="2">
        <f ca="1">INDEX(Simulations!$A$1:$BK$2501, 1502, MATCH("RevCAGR", Simulations!$A$1:$BK$1, 0))</f>
        <v>4.5531815387992239E-3</v>
      </c>
      <c r="D1502" s="2">
        <f ca="1">INDEX(Simulations!$A$1:$BK$2501, 1502, MATCH("SynMargin", Simulations!$A$1:$BK$1, 0))</f>
        <v>1.9836379345462354E-2</v>
      </c>
      <c r="E1502" s="2">
        <f ca="1">INDEX(Simulations!$A$1:$BK$2501, 1502, MATCH("Yr1Shock", Simulations!$A$1:$BK$1, 0))</f>
        <v>6.9448869892533198E-3</v>
      </c>
    </row>
    <row r="1503" spans="1:5" x14ac:dyDescent="0.3">
      <c r="A1503" s="2">
        <f ca="1">INDEX(Simulations!$A$1:$BK$2501, 1503, MATCH("PurchaseMultiple", Simulations!$A$1:$BK$1, 0))</f>
        <v>6.7049812684990719</v>
      </c>
      <c r="B1503" s="2">
        <f ca="1">INDEX(Simulations!$A$1:$BK$2501, 1503, MATCH("ExitMultiple", Simulations!$A$1:$BK$1, 0))</f>
        <v>7.1760924298153839</v>
      </c>
      <c r="C1503" s="2">
        <f ca="1">INDEX(Simulations!$A$1:$BK$2501, 1503, MATCH("RevCAGR", Simulations!$A$1:$BK$1, 0))</f>
        <v>5.6606673001112759E-2</v>
      </c>
      <c r="D1503" s="2">
        <f ca="1">INDEX(Simulations!$A$1:$BK$2501, 1503, MATCH("SynMargin", Simulations!$A$1:$BK$1, 0))</f>
        <v>7.4155125958292809E-3</v>
      </c>
      <c r="E1503" s="2">
        <f ca="1">INDEX(Simulations!$A$1:$BK$2501, 1503, MATCH("Yr1Shock", Simulations!$A$1:$BK$1, 0))</f>
        <v>-1.2359751253775838E-2</v>
      </c>
    </row>
    <row r="1504" spans="1:5" x14ac:dyDescent="0.3">
      <c r="A1504" s="2">
        <f ca="1">INDEX(Simulations!$A$1:$BK$2501, 1504, MATCH("PurchaseMultiple", Simulations!$A$1:$BK$1, 0))</f>
        <v>6.4428708163652422</v>
      </c>
      <c r="B1504" s="2">
        <f ca="1">INDEX(Simulations!$A$1:$BK$2501, 1504, MATCH("ExitMultiple", Simulations!$A$1:$BK$1, 0))</f>
        <v>8.2184519848302209</v>
      </c>
      <c r="C1504" s="2">
        <f ca="1">INDEX(Simulations!$A$1:$BK$2501, 1504, MATCH("RevCAGR", Simulations!$A$1:$BK$1, 0))</f>
        <v>8.7444753744875592E-2</v>
      </c>
      <c r="D1504" s="2">
        <f ca="1">INDEX(Simulations!$A$1:$BK$2501, 1504, MATCH("SynMargin", Simulations!$A$1:$BK$1, 0))</f>
        <v>8.2694320368688276E-3</v>
      </c>
      <c r="E1504" s="2">
        <f ca="1">INDEX(Simulations!$A$1:$BK$2501, 1504, MATCH("Yr1Shock", Simulations!$A$1:$BK$1, 0))</f>
        <v>-1.010213319699578E-2</v>
      </c>
    </row>
    <row r="1505" spans="1:5" x14ac:dyDescent="0.3">
      <c r="A1505" s="2">
        <f ca="1">INDEX(Simulations!$A$1:$BK$2501, 1505, MATCH("PurchaseMultiple", Simulations!$A$1:$BK$1, 0))</f>
        <v>7.0076366622455923</v>
      </c>
      <c r="B1505" s="2">
        <f ca="1">INDEX(Simulations!$A$1:$BK$2501, 1505, MATCH("ExitMultiple", Simulations!$A$1:$BK$1, 0))</f>
        <v>7.265321255956195</v>
      </c>
      <c r="C1505" s="2">
        <f ca="1">INDEX(Simulations!$A$1:$BK$2501, 1505, MATCH("RevCAGR", Simulations!$A$1:$BK$1, 0))</f>
        <v>4.4665625727527379E-2</v>
      </c>
      <c r="D1505" s="2">
        <f ca="1">INDEX(Simulations!$A$1:$BK$2501, 1505, MATCH("SynMargin", Simulations!$A$1:$BK$1, 0))</f>
        <v>7.3311457453398791E-3</v>
      </c>
      <c r="E1505" s="2">
        <f ca="1">INDEX(Simulations!$A$1:$BK$2501, 1505, MATCH("Yr1Shock", Simulations!$A$1:$BK$1, 0))</f>
        <v>1.9329974512421515E-2</v>
      </c>
    </row>
    <row r="1506" spans="1:5" x14ac:dyDescent="0.3">
      <c r="A1506" s="2">
        <f ca="1">INDEX(Simulations!$A$1:$BK$2501, 1506, MATCH("PurchaseMultiple", Simulations!$A$1:$BK$1, 0))</f>
        <v>7.6732031870440895</v>
      </c>
      <c r="B1506" s="2">
        <f ca="1">INDEX(Simulations!$A$1:$BK$2501, 1506, MATCH("ExitMultiple", Simulations!$A$1:$BK$1, 0))</f>
        <v>7.2562536439150254</v>
      </c>
      <c r="C1506" s="2">
        <f ca="1">INDEX(Simulations!$A$1:$BK$2501, 1506, MATCH("RevCAGR", Simulations!$A$1:$BK$1, 0))</f>
        <v>4.9507587468367087E-2</v>
      </c>
      <c r="D1506" s="2">
        <f ca="1">INDEX(Simulations!$A$1:$BK$2501, 1506, MATCH("SynMargin", Simulations!$A$1:$BK$1, 0))</f>
        <v>1.3457112021786673E-2</v>
      </c>
      <c r="E1506" s="2">
        <f ca="1">INDEX(Simulations!$A$1:$BK$2501, 1506, MATCH("Yr1Shock", Simulations!$A$1:$BK$1, 0))</f>
        <v>-2.8718088012047088E-2</v>
      </c>
    </row>
    <row r="1507" spans="1:5" x14ac:dyDescent="0.3">
      <c r="A1507" s="2">
        <f ca="1">INDEX(Simulations!$A$1:$BK$2501, 1507, MATCH("PurchaseMultiple", Simulations!$A$1:$BK$1, 0))</f>
        <v>7.023021684708799</v>
      </c>
      <c r="B1507" s="2">
        <f ca="1">INDEX(Simulations!$A$1:$BK$2501, 1507, MATCH("ExitMultiple", Simulations!$A$1:$BK$1, 0))</f>
        <v>6.6907873825532906</v>
      </c>
      <c r="C1507" s="2">
        <f ca="1">INDEX(Simulations!$A$1:$BK$2501, 1507, MATCH("RevCAGR", Simulations!$A$1:$BK$1, 0))</f>
        <v>6.1704642818199609E-2</v>
      </c>
      <c r="D1507" s="2">
        <f ca="1">INDEX(Simulations!$A$1:$BK$2501, 1507, MATCH("SynMargin", Simulations!$A$1:$BK$1, 0))</f>
        <v>1.2568023935560352E-2</v>
      </c>
      <c r="E1507" s="2">
        <f ca="1">INDEX(Simulations!$A$1:$BK$2501, 1507, MATCH("Yr1Shock", Simulations!$A$1:$BK$1, 0))</f>
        <v>-3.0764353608078797E-2</v>
      </c>
    </row>
    <row r="1508" spans="1:5" x14ac:dyDescent="0.3">
      <c r="A1508" s="2">
        <f ca="1">INDEX(Simulations!$A$1:$BK$2501, 1508, MATCH("PurchaseMultiple", Simulations!$A$1:$BK$1, 0))</f>
        <v>7.0601465453871475</v>
      </c>
      <c r="B1508" s="2">
        <f ca="1">INDEX(Simulations!$A$1:$BK$2501, 1508, MATCH("ExitMultiple", Simulations!$A$1:$BK$1, 0))</f>
        <v>7.3916323499709549</v>
      </c>
      <c r="C1508" s="2">
        <f ca="1">INDEX(Simulations!$A$1:$BK$2501, 1508, MATCH("RevCAGR", Simulations!$A$1:$BK$1, 0))</f>
        <v>3.4672612836783565E-2</v>
      </c>
      <c r="D1508" s="2">
        <f ca="1">INDEX(Simulations!$A$1:$BK$2501, 1508, MATCH("SynMargin", Simulations!$A$1:$BK$1, 0))</f>
        <v>5.1376748761621229E-3</v>
      </c>
      <c r="E1508" s="2">
        <f ca="1">INDEX(Simulations!$A$1:$BK$2501, 1508, MATCH("Yr1Shock", Simulations!$A$1:$BK$1, 0))</f>
        <v>5.276004308132496E-3</v>
      </c>
    </row>
    <row r="1509" spans="1:5" x14ac:dyDescent="0.3">
      <c r="A1509" s="2">
        <f ca="1">INDEX(Simulations!$A$1:$BK$2501, 1509, MATCH("PurchaseMultiple", Simulations!$A$1:$BK$1, 0))</f>
        <v>7.3425477888998625</v>
      </c>
      <c r="B1509" s="2">
        <f ca="1">INDEX(Simulations!$A$1:$BK$2501, 1509, MATCH("ExitMultiple", Simulations!$A$1:$BK$1, 0))</f>
        <v>7.8733966735034864</v>
      </c>
      <c r="C1509" s="2">
        <f ca="1">INDEX(Simulations!$A$1:$BK$2501, 1509, MATCH("RevCAGR", Simulations!$A$1:$BK$1, 0))</f>
        <v>3.1499409129640249E-2</v>
      </c>
      <c r="D1509" s="2">
        <f ca="1">INDEX(Simulations!$A$1:$BK$2501, 1509, MATCH("SynMargin", Simulations!$A$1:$BK$1, 0))</f>
        <v>7.2521195423585327E-3</v>
      </c>
      <c r="E1509" s="2">
        <f ca="1">INDEX(Simulations!$A$1:$BK$2501, 1509, MATCH("Yr1Shock", Simulations!$A$1:$BK$1, 0))</f>
        <v>2.6020720332678805E-2</v>
      </c>
    </row>
    <row r="1510" spans="1:5" x14ac:dyDescent="0.3">
      <c r="A1510" s="2">
        <f ca="1">INDEX(Simulations!$A$1:$BK$2501, 1510, MATCH("PurchaseMultiple", Simulations!$A$1:$BK$1, 0))</f>
        <v>7.7978035115934912</v>
      </c>
      <c r="B1510" s="2">
        <f ca="1">INDEX(Simulations!$A$1:$BK$2501, 1510, MATCH("ExitMultiple", Simulations!$A$1:$BK$1, 0))</f>
        <v>7.9690758879672581</v>
      </c>
      <c r="C1510" s="2">
        <f ca="1">INDEX(Simulations!$A$1:$BK$2501, 1510, MATCH("RevCAGR", Simulations!$A$1:$BK$1, 0))</f>
        <v>9.3995076150779705E-2</v>
      </c>
      <c r="D1510" s="2">
        <f ca="1">INDEX(Simulations!$A$1:$BK$2501, 1510, MATCH("SynMargin", Simulations!$A$1:$BK$1, 0))</f>
        <v>4.9328845449836027E-3</v>
      </c>
      <c r="E1510" s="2">
        <f ca="1">INDEX(Simulations!$A$1:$BK$2501, 1510, MATCH("Yr1Shock", Simulations!$A$1:$BK$1, 0))</f>
        <v>-2.5378117891552497E-2</v>
      </c>
    </row>
    <row r="1511" spans="1:5" x14ac:dyDescent="0.3">
      <c r="A1511" s="2">
        <f ca="1">INDEX(Simulations!$A$1:$BK$2501, 1511, MATCH("PurchaseMultiple", Simulations!$A$1:$BK$1, 0))</f>
        <v>7.2033915265380957</v>
      </c>
      <c r="B1511" s="2">
        <f ca="1">INDEX(Simulations!$A$1:$BK$2501, 1511, MATCH("ExitMultiple", Simulations!$A$1:$BK$1, 0))</f>
        <v>7.6575189445431189</v>
      </c>
      <c r="C1511" s="2">
        <f ca="1">INDEX(Simulations!$A$1:$BK$2501, 1511, MATCH("RevCAGR", Simulations!$A$1:$BK$1, 0))</f>
        <v>6.5351955137407033E-2</v>
      </c>
      <c r="D1511" s="2">
        <f ca="1">INDEX(Simulations!$A$1:$BK$2501, 1511, MATCH("SynMargin", Simulations!$A$1:$BK$1, 0))</f>
        <v>7.4517420537418373E-3</v>
      </c>
      <c r="E1511" s="2">
        <f ca="1">INDEX(Simulations!$A$1:$BK$2501, 1511, MATCH("Yr1Shock", Simulations!$A$1:$BK$1, 0))</f>
        <v>1.2440836471888964E-2</v>
      </c>
    </row>
    <row r="1512" spans="1:5" x14ac:dyDescent="0.3">
      <c r="A1512" s="2">
        <f ca="1">INDEX(Simulations!$A$1:$BK$2501, 1512, MATCH("PurchaseMultiple", Simulations!$A$1:$BK$1, 0))</f>
        <v>6.6488722361661337</v>
      </c>
      <c r="B1512" s="2">
        <f ca="1">INDEX(Simulations!$A$1:$BK$2501, 1512, MATCH("ExitMultiple", Simulations!$A$1:$BK$1, 0))</f>
        <v>7.2530200578059087</v>
      </c>
      <c r="C1512" s="2">
        <f ca="1">INDEX(Simulations!$A$1:$BK$2501, 1512, MATCH("RevCAGR", Simulations!$A$1:$BK$1, 0))</f>
        <v>-1.0811828054996475E-2</v>
      </c>
      <c r="D1512" s="2">
        <f ca="1">INDEX(Simulations!$A$1:$BK$2501, 1512, MATCH("SynMargin", Simulations!$A$1:$BK$1, 0))</f>
        <v>9.7012682746140718E-3</v>
      </c>
      <c r="E1512" s="2">
        <f ca="1">INDEX(Simulations!$A$1:$BK$2501, 1512, MATCH("Yr1Shock", Simulations!$A$1:$BK$1, 0))</f>
        <v>-1.5681003072644962E-2</v>
      </c>
    </row>
    <row r="1513" spans="1:5" x14ac:dyDescent="0.3">
      <c r="A1513" s="2">
        <f ca="1">INDEX(Simulations!$A$1:$BK$2501, 1513, MATCH("PurchaseMultiple", Simulations!$A$1:$BK$1, 0))</f>
        <v>6.991542237182589</v>
      </c>
      <c r="B1513" s="2">
        <f ca="1">INDEX(Simulations!$A$1:$BK$2501, 1513, MATCH("ExitMultiple", Simulations!$A$1:$BK$1, 0))</f>
        <v>6.6489580491309805</v>
      </c>
      <c r="C1513" s="2">
        <f ca="1">INDEX(Simulations!$A$1:$BK$2501, 1513, MATCH("RevCAGR", Simulations!$A$1:$BK$1, 0))</f>
        <v>3.4969968014073802E-2</v>
      </c>
      <c r="D1513" s="2">
        <f ca="1">INDEX(Simulations!$A$1:$BK$2501, 1513, MATCH("SynMargin", Simulations!$A$1:$BK$1, 0))</f>
        <v>9.5165140309628801E-3</v>
      </c>
      <c r="E1513" s="2">
        <f ca="1">INDEX(Simulations!$A$1:$BK$2501, 1513, MATCH("Yr1Shock", Simulations!$A$1:$BK$1, 0))</f>
        <v>-3.0989517066074878E-3</v>
      </c>
    </row>
    <row r="1514" spans="1:5" x14ac:dyDescent="0.3">
      <c r="A1514" s="2">
        <f ca="1">INDEX(Simulations!$A$1:$BK$2501, 1514, MATCH("PurchaseMultiple", Simulations!$A$1:$BK$1, 0))</f>
        <v>6.5928923631738705</v>
      </c>
      <c r="B1514" s="2">
        <f ca="1">INDEX(Simulations!$A$1:$BK$2501, 1514, MATCH("ExitMultiple", Simulations!$A$1:$BK$1, 0))</f>
        <v>7.1944992398979819</v>
      </c>
      <c r="C1514" s="2">
        <f ca="1">INDEX(Simulations!$A$1:$BK$2501, 1514, MATCH("RevCAGR", Simulations!$A$1:$BK$1, 0))</f>
        <v>6.3194145079172218E-2</v>
      </c>
      <c r="D1514" s="2">
        <f ca="1">INDEX(Simulations!$A$1:$BK$2501, 1514, MATCH("SynMargin", Simulations!$A$1:$BK$1, 0))</f>
        <v>2.3977485101949261E-2</v>
      </c>
      <c r="E1514" s="2">
        <f ca="1">INDEX(Simulations!$A$1:$BK$2501, 1514, MATCH("Yr1Shock", Simulations!$A$1:$BK$1, 0))</f>
        <v>2.5191901704497217E-2</v>
      </c>
    </row>
    <row r="1515" spans="1:5" x14ac:dyDescent="0.3">
      <c r="A1515" s="2">
        <f ca="1">INDEX(Simulations!$A$1:$BK$2501, 1515, MATCH("PurchaseMultiple", Simulations!$A$1:$BK$1, 0))</f>
        <v>7.1057401516373275</v>
      </c>
      <c r="B1515" s="2">
        <f ca="1">INDEX(Simulations!$A$1:$BK$2501, 1515, MATCH("ExitMultiple", Simulations!$A$1:$BK$1, 0))</f>
        <v>8.0041376928976344</v>
      </c>
      <c r="C1515" s="2">
        <f ca="1">INDEX(Simulations!$A$1:$BK$2501, 1515, MATCH("RevCAGR", Simulations!$A$1:$BK$1, 0))</f>
        <v>2.9296864887222114E-2</v>
      </c>
      <c r="D1515" s="2">
        <f ca="1">INDEX(Simulations!$A$1:$BK$2501, 1515, MATCH("SynMargin", Simulations!$A$1:$BK$1, 0))</f>
        <v>9.6106743793321573E-3</v>
      </c>
      <c r="E1515" s="2">
        <f ca="1">INDEX(Simulations!$A$1:$BK$2501, 1515, MATCH("Yr1Shock", Simulations!$A$1:$BK$1, 0))</f>
        <v>1.5560971121424383E-2</v>
      </c>
    </row>
    <row r="1516" spans="1:5" x14ac:dyDescent="0.3">
      <c r="A1516" s="2">
        <f ca="1">INDEX(Simulations!$A$1:$BK$2501, 1516, MATCH("PurchaseMultiple", Simulations!$A$1:$BK$1, 0))</f>
        <v>7.038069115978244</v>
      </c>
      <c r="B1516" s="2">
        <f ca="1">INDEX(Simulations!$A$1:$BK$2501, 1516, MATCH("ExitMultiple", Simulations!$A$1:$BK$1, 0))</f>
        <v>8.313188313866867</v>
      </c>
      <c r="C1516" s="2">
        <f ca="1">INDEX(Simulations!$A$1:$BK$2501, 1516, MATCH("RevCAGR", Simulations!$A$1:$BK$1, 0))</f>
        <v>1.5272662618222979E-2</v>
      </c>
      <c r="D1516" s="2">
        <f ca="1">INDEX(Simulations!$A$1:$BK$2501, 1516, MATCH("SynMargin", Simulations!$A$1:$BK$1, 0))</f>
        <v>1.2184139604103488E-2</v>
      </c>
      <c r="E1516" s="2">
        <f ca="1">INDEX(Simulations!$A$1:$BK$2501, 1516, MATCH("Yr1Shock", Simulations!$A$1:$BK$1, 0))</f>
        <v>5.2268790205826209E-3</v>
      </c>
    </row>
    <row r="1517" spans="1:5" x14ac:dyDescent="0.3">
      <c r="A1517" s="2">
        <f ca="1">INDEX(Simulations!$A$1:$BK$2501, 1517, MATCH("PurchaseMultiple", Simulations!$A$1:$BK$1, 0))</f>
        <v>6.9038938506624392</v>
      </c>
      <c r="B1517" s="2">
        <f ca="1">INDEX(Simulations!$A$1:$BK$2501, 1517, MATCH("ExitMultiple", Simulations!$A$1:$BK$1, 0))</f>
        <v>8.0209763541340386</v>
      </c>
      <c r="C1517" s="2">
        <f ca="1">INDEX(Simulations!$A$1:$BK$2501, 1517, MATCH("RevCAGR", Simulations!$A$1:$BK$1, 0))</f>
        <v>3.007743089110046E-2</v>
      </c>
      <c r="D1517" s="2">
        <f ca="1">INDEX(Simulations!$A$1:$BK$2501, 1517, MATCH("SynMargin", Simulations!$A$1:$BK$1, 0))</f>
        <v>1.9237284614964639E-2</v>
      </c>
      <c r="E1517" s="2">
        <f ca="1">INDEX(Simulations!$A$1:$BK$2501, 1517, MATCH("Yr1Shock", Simulations!$A$1:$BK$1, 0))</f>
        <v>1.6127519482271487E-2</v>
      </c>
    </row>
    <row r="1518" spans="1:5" x14ac:dyDescent="0.3">
      <c r="A1518" s="2">
        <f ca="1">INDEX(Simulations!$A$1:$BK$2501, 1518, MATCH("PurchaseMultiple", Simulations!$A$1:$BK$1, 0))</f>
        <v>7.1615336196359038</v>
      </c>
      <c r="B1518" s="2">
        <f ca="1">INDEX(Simulations!$A$1:$BK$2501, 1518, MATCH("ExitMultiple", Simulations!$A$1:$BK$1, 0))</f>
        <v>7.4859262493037324</v>
      </c>
      <c r="C1518" s="2">
        <f ca="1">INDEX(Simulations!$A$1:$BK$2501, 1518, MATCH("RevCAGR", Simulations!$A$1:$BK$1, 0))</f>
        <v>6.6396827828171565E-2</v>
      </c>
      <c r="D1518" s="2">
        <f ca="1">INDEX(Simulations!$A$1:$BK$2501, 1518, MATCH("SynMargin", Simulations!$A$1:$BK$1, 0))</f>
        <v>7.2754348092916171E-3</v>
      </c>
      <c r="E1518" s="2">
        <f ca="1">INDEX(Simulations!$A$1:$BK$2501, 1518, MATCH("Yr1Shock", Simulations!$A$1:$BK$1, 0))</f>
        <v>-1.0505483465464965E-2</v>
      </c>
    </row>
    <row r="1519" spans="1:5" x14ac:dyDescent="0.3">
      <c r="A1519" s="2">
        <f ca="1">INDEX(Simulations!$A$1:$BK$2501, 1519, MATCH("PurchaseMultiple", Simulations!$A$1:$BK$1, 0))</f>
        <v>6.7136392822025446</v>
      </c>
      <c r="B1519" s="2">
        <f ca="1">INDEX(Simulations!$A$1:$BK$2501, 1519, MATCH("ExitMultiple", Simulations!$A$1:$BK$1, 0))</f>
        <v>6.994586774002701</v>
      </c>
      <c r="C1519" s="2">
        <f ca="1">INDEX(Simulations!$A$1:$BK$2501, 1519, MATCH("RevCAGR", Simulations!$A$1:$BK$1, 0))</f>
        <v>6.5681702430305258E-2</v>
      </c>
      <c r="D1519" s="2">
        <f ca="1">INDEX(Simulations!$A$1:$BK$2501, 1519, MATCH("SynMargin", Simulations!$A$1:$BK$1, 0))</f>
        <v>1.498351191146869E-2</v>
      </c>
      <c r="E1519" s="2">
        <f ca="1">INDEX(Simulations!$A$1:$BK$2501, 1519, MATCH("Yr1Shock", Simulations!$A$1:$BK$1, 0))</f>
        <v>-1.7756228472298293E-2</v>
      </c>
    </row>
    <row r="1520" spans="1:5" x14ac:dyDescent="0.3">
      <c r="A1520" s="2">
        <f ca="1">INDEX(Simulations!$A$1:$BK$2501, 1520, MATCH("PurchaseMultiple", Simulations!$A$1:$BK$1, 0))</f>
        <v>7.4935077209805252</v>
      </c>
      <c r="B1520" s="2">
        <f ca="1">INDEX(Simulations!$A$1:$BK$2501, 1520, MATCH("ExitMultiple", Simulations!$A$1:$BK$1, 0))</f>
        <v>6.8387578739414652</v>
      </c>
      <c r="C1520" s="2">
        <f ca="1">INDEX(Simulations!$A$1:$BK$2501, 1520, MATCH("RevCAGR", Simulations!$A$1:$BK$1, 0))</f>
        <v>9.113314560466608E-3</v>
      </c>
      <c r="D1520" s="2">
        <f ca="1">INDEX(Simulations!$A$1:$BK$2501, 1520, MATCH("SynMargin", Simulations!$A$1:$BK$1, 0))</f>
        <v>8.3868012197074321E-3</v>
      </c>
      <c r="E1520" s="2">
        <f ca="1">INDEX(Simulations!$A$1:$BK$2501, 1520, MATCH("Yr1Shock", Simulations!$A$1:$BK$1, 0))</f>
        <v>1.0786280710372157E-2</v>
      </c>
    </row>
    <row r="1521" spans="1:5" x14ac:dyDescent="0.3">
      <c r="A1521" s="2">
        <f ca="1">INDEX(Simulations!$A$1:$BK$2501, 1521, MATCH("PurchaseMultiple", Simulations!$A$1:$BK$1, 0))</f>
        <v>6.8113410261464118</v>
      </c>
      <c r="B1521" s="2">
        <f ca="1">INDEX(Simulations!$A$1:$BK$2501, 1521, MATCH("ExitMultiple", Simulations!$A$1:$BK$1, 0))</f>
        <v>7.502445433203051</v>
      </c>
      <c r="C1521" s="2">
        <f ca="1">INDEX(Simulations!$A$1:$BK$2501, 1521, MATCH("RevCAGR", Simulations!$A$1:$BK$1, 0))</f>
        <v>3.1347328409557826E-2</v>
      </c>
      <c r="D1521" s="2">
        <f ca="1">INDEX(Simulations!$A$1:$BK$2501, 1521, MATCH("SynMargin", Simulations!$A$1:$BK$1, 0))</f>
        <v>1.6586286045129843E-2</v>
      </c>
      <c r="E1521" s="2">
        <f ca="1">INDEX(Simulations!$A$1:$BK$2501, 1521, MATCH("Yr1Shock", Simulations!$A$1:$BK$1, 0))</f>
        <v>1.3383007234029402E-2</v>
      </c>
    </row>
    <row r="1522" spans="1:5" x14ac:dyDescent="0.3">
      <c r="A1522" s="2">
        <f ca="1">INDEX(Simulations!$A$1:$BK$2501, 1522, MATCH("PurchaseMultiple", Simulations!$A$1:$BK$1, 0))</f>
        <v>6.8500780908357886</v>
      </c>
      <c r="B1522" s="2">
        <f ca="1">INDEX(Simulations!$A$1:$BK$2501, 1522, MATCH("ExitMultiple", Simulations!$A$1:$BK$1, 0))</f>
        <v>7.5858472957192893</v>
      </c>
      <c r="C1522" s="2">
        <f ca="1">INDEX(Simulations!$A$1:$BK$2501, 1522, MATCH("RevCAGR", Simulations!$A$1:$BK$1, 0))</f>
        <v>5.086831872766763E-2</v>
      </c>
      <c r="D1522" s="2">
        <f ca="1">INDEX(Simulations!$A$1:$BK$2501, 1522, MATCH("SynMargin", Simulations!$A$1:$BK$1, 0))</f>
        <v>4.2927777999391369E-3</v>
      </c>
      <c r="E1522" s="2">
        <f ca="1">INDEX(Simulations!$A$1:$BK$2501, 1522, MATCH("Yr1Shock", Simulations!$A$1:$BK$1, 0))</f>
        <v>2.0860740814290697E-2</v>
      </c>
    </row>
    <row r="1523" spans="1:5" x14ac:dyDescent="0.3">
      <c r="A1523" s="2">
        <f ca="1">INDEX(Simulations!$A$1:$BK$2501, 1523, MATCH("PurchaseMultiple", Simulations!$A$1:$BK$1, 0))</f>
        <v>7.8154119981416033</v>
      </c>
      <c r="B1523" s="2">
        <f ca="1">INDEX(Simulations!$A$1:$BK$2501, 1523, MATCH("ExitMultiple", Simulations!$A$1:$BK$1, 0))</f>
        <v>7.8582704642764032</v>
      </c>
      <c r="C1523" s="2">
        <f ca="1">INDEX(Simulations!$A$1:$BK$2501, 1523, MATCH("RevCAGR", Simulations!$A$1:$BK$1, 0))</f>
        <v>1.5236892707411985E-2</v>
      </c>
      <c r="D1523" s="2">
        <f ca="1">INDEX(Simulations!$A$1:$BK$2501, 1523, MATCH("SynMargin", Simulations!$A$1:$BK$1, 0))</f>
        <v>4.9054693521156925E-3</v>
      </c>
      <c r="E1523" s="2">
        <f ca="1">INDEX(Simulations!$A$1:$BK$2501, 1523, MATCH("Yr1Shock", Simulations!$A$1:$BK$1, 0))</f>
        <v>3.1954472680831986E-3</v>
      </c>
    </row>
    <row r="1524" spans="1:5" x14ac:dyDescent="0.3">
      <c r="A1524" s="2">
        <f ca="1">INDEX(Simulations!$A$1:$BK$2501, 1524, MATCH("PurchaseMultiple", Simulations!$A$1:$BK$1, 0))</f>
        <v>7.0494600585570586</v>
      </c>
      <c r="B1524" s="2">
        <f ca="1">INDEX(Simulations!$A$1:$BK$2501, 1524, MATCH("ExitMultiple", Simulations!$A$1:$BK$1, 0))</f>
        <v>7.9621167751273472</v>
      </c>
      <c r="C1524" s="2">
        <f ca="1">INDEX(Simulations!$A$1:$BK$2501, 1524, MATCH("RevCAGR", Simulations!$A$1:$BK$1, 0))</f>
        <v>3.1236300981120291E-2</v>
      </c>
      <c r="D1524" s="2">
        <f ca="1">INDEX(Simulations!$A$1:$BK$2501, 1524, MATCH("SynMargin", Simulations!$A$1:$BK$1, 0))</f>
        <v>4.1789263206519498E-3</v>
      </c>
      <c r="E1524" s="2">
        <f ca="1">INDEX(Simulations!$A$1:$BK$2501, 1524, MATCH("Yr1Shock", Simulations!$A$1:$BK$1, 0))</f>
        <v>-1.2874035993656281E-2</v>
      </c>
    </row>
    <row r="1525" spans="1:5" x14ac:dyDescent="0.3">
      <c r="A1525" s="2">
        <f ca="1">INDEX(Simulations!$A$1:$BK$2501, 1525, MATCH("PurchaseMultiple", Simulations!$A$1:$BK$1, 0))</f>
        <v>6.7277850223078302</v>
      </c>
      <c r="B1525" s="2">
        <f ca="1">INDEX(Simulations!$A$1:$BK$2501, 1525, MATCH("ExitMultiple", Simulations!$A$1:$BK$1, 0))</f>
        <v>7.5497049709228143</v>
      </c>
      <c r="C1525" s="2">
        <f ca="1">INDEX(Simulations!$A$1:$BK$2501, 1525, MATCH("RevCAGR", Simulations!$A$1:$BK$1, 0))</f>
        <v>4.6597411819738796E-2</v>
      </c>
      <c r="D1525" s="2">
        <f ca="1">INDEX(Simulations!$A$1:$BK$2501, 1525, MATCH("SynMargin", Simulations!$A$1:$BK$1, 0))</f>
        <v>1.8936325335234504E-2</v>
      </c>
      <c r="E1525" s="2">
        <f ca="1">INDEX(Simulations!$A$1:$BK$2501, 1525, MATCH("Yr1Shock", Simulations!$A$1:$BK$1, 0))</f>
        <v>-9.0038698922195425E-3</v>
      </c>
    </row>
    <row r="1526" spans="1:5" x14ac:dyDescent="0.3">
      <c r="A1526" s="2">
        <f ca="1">INDEX(Simulations!$A$1:$BK$2501, 1526, MATCH("PurchaseMultiple", Simulations!$A$1:$BK$1, 0))</f>
        <v>7.4657157446523801</v>
      </c>
      <c r="B1526" s="2">
        <f ca="1">INDEX(Simulations!$A$1:$BK$2501, 1526, MATCH("ExitMultiple", Simulations!$A$1:$BK$1, 0))</f>
        <v>7.8654337220273316</v>
      </c>
      <c r="C1526" s="2">
        <f ca="1">INDEX(Simulations!$A$1:$BK$2501, 1526, MATCH("RevCAGR", Simulations!$A$1:$BK$1, 0))</f>
        <v>2.9798155661277578E-2</v>
      </c>
      <c r="D1526" s="2">
        <f ca="1">INDEX(Simulations!$A$1:$BK$2501, 1526, MATCH("SynMargin", Simulations!$A$1:$BK$1, 0))</f>
        <v>9.3138248297728338E-3</v>
      </c>
      <c r="E1526" s="2">
        <f ca="1">INDEX(Simulations!$A$1:$BK$2501, 1526, MATCH("Yr1Shock", Simulations!$A$1:$BK$1, 0))</f>
        <v>1.2123159130085846E-2</v>
      </c>
    </row>
    <row r="1527" spans="1:5" x14ac:dyDescent="0.3">
      <c r="A1527" s="2">
        <f ca="1">INDEX(Simulations!$A$1:$BK$2501, 1527, MATCH("PurchaseMultiple", Simulations!$A$1:$BK$1, 0))</f>
        <v>7.497319061944931</v>
      </c>
      <c r="B1527" s="2">
        <f ca="1">INDEX(Simulations!$A$1:$BK$2501, 1527, MATCH("ExitMultiple", Simulations!$A$1:$BK$1, 0))</f>
        <v>7.4371351212697192</v>
      </c>
      <c r="C1527" s="2">
        <f ca="1">INDEX(Simulations!$A$1:$BK$2501, 1527, MATCH("RevCAGR", Simulations!$A$1:$BK$1, 0))</f>
        <v>1.7869474910038714E-2</v>
      </c>
      <c r="D1527" s="2">
        <f ca="1">INDEX(Simulations!$A$1:$BK$2501, 1527, MATCH("SynMargin", Simulations!$A$1:$BK$1, 0))</f>
        <v>3.7157257092122519E-3</v>
      </c>
      <c r="E1527" s="2">
        <f ca="1">INDEX(Simulations!$A$1:$BK$2501, 1527, MATCH("Yr1Shock", Simulations!$A$1:$BK$1, 0))</f>
        <v>-1.0205763281455676E-2</v>
      </c>
    </row>
    <row r="1528" spans="1:5" x14ac:dyDescent="0.3">
      <c r="A1528" s="2">
        <f ca="1">INDEX(Simulations!$A$1:$BK$2501, 1528, MATCH("PurchaseMultiple", Simulations!$A$1:$BK$1, 0))</f>
        <v>7.0672220755866055</v>
      </c>
      <c r="B1528" s="2">
        <f ca="1">INDEX(Simulations!$A$1:$BK$2501, 1528, MATCH("ExitMultiple", Simulations!$A$1:$BK$1, 0))</f>
        <v>8.2111239386139534</v>
      </c>
      <c r="C1528" s="2">
        <f ca="1">INDEX(Simulations!$A$1:$BK$2501, 1528, MATCH("RevCAGR", Simulations!$A$1:$BK$1, 0))</f>
        <v>6.9462138374536991E-2</v>
      </c>
      <c r="D1528" s="2">
        <f ca="1">INDEX(Simulations!$A$1:$BK$2501, 1528, MATCH("SynMargin", Simulations!$A$1:$BK$1, 0))</f>
        <v>0</v>
      </c>
      <c r="E1528" s="2">
        <f ca="1">INDEX(Simulations!$A$1:$BK$2501, 1528, MATCH("Yr1Shock", Simulations!$A$1:$BK$1, 0))</f>
        <v>-1.4279670723819637E-2</v>
      </c>
    </row>
    <row r="1529" spans="1:5" x14ac:dyDescent="0.3">
      <c r="A1529" s="2">
        <f ca="1">INDEX(Simulations!$A$1:$BK$2501, 1529, MATCH("PurchaseMultiple", Simulations!$A$1:$BK$1, 0))</f>
        <v>6.8905133215869494</v>
      </c>
      <c r="B1529" s="2">
        <f ca="1">INDEX(Simulations!$A$1:$BK$2501, 1529, MATCH("ExitMultiple", Simulations!$A$1:$BK$1, 0))</f>
        <v>7.3120605480906757</v>
      </c>
      <c r="C1529" s="2">
        <f ca="1">INDEX(Simulations!$A$1:$BK$2501, 1529, MATCH("RevCAGR", Simulations!$A$1:$BK$1, 0))</f>
        <v>1.9683976522877091E-2</v>
      </c>
      <c r="D1529" s="2">
        <f ca="1">INDEX(Simulations!$A$1:$BK$2501, 1529, MATCH("SynMargin", Simulations!$A$1:$BK$1, 0))</f>
        <v>1.6215046888941331E-2</v>
      </c>
      <c r="E1529" s="2">
        <f ca="1">INDEX(Simulations!$A$1:$BK$2501, 1529, MATCH("Yr1Shock", Simulations!$A$1:$BK$1, 0))</f>
        <v>1.3598494708701198E-2</v>
      </c>
    </row>
    <row r="1530" spans="1:5" x14ac:dyDescent="0.3">
      <c r="A1530" s="2">
        <f ca="1">INDEX(Simulations!$A$1:$BK$2501, 1530, MATCH("PurchaseMultiple", Simulations!$A$1:$BK$1, 0))</f>
        <v>7.3000893175287969</v>
      </c>
      <c r="B1530" s="2">
        <f ca="1">INDEX(Simulations!$A$1:$BK$2501, 1530, MATCH("ExitMultiple", Simulations!$A$1:$BK$1, 0))</f>
        <v>6.909634832456959</v>
      </c>
      <c r="C1530" s="2">
        <f ca="1">INDEX(Simulations!$A$1:$BK$2501, 1530, MATCH("RevCAGR", Simulations!$A$1:$BK$1, 0))</f>
        <v>9.8082345096460549E-2</v>
      </c>
      <c r="D1530" s="2">
        <f ca="1">INDEX(Simulations!$A$1:$BK$2501, 1530, MATCH("SynMargin", Simulations!$A$1:$BK$1, 0))</f>
        <v>8.2919559637290863E-3</v>
      </c>
      <c r="E1530" s="2">
        <f ca="1">INDEX(Simulations!$A$1:$BK$2501, 1530, MATCH("Yr1Shock", Simulations!$A$1:$BK$1, 0))</f>
        <v>1.3893143573035517E-2</v>
      </c>
    </row>
    <row r="1531" spans="1:5" x14ac:dyDescent="0.3">
      <c r="A1531" s="2">
        <f ca="1">INDEX(Simulations!$A$1:$BK$2501, 1531, MATCH("PurchaseMultiple", Simulations!$A$1:$BK$1, 0))</f>
        <v>6.8854185621159347</v>
      </c>
      <c r="B1531" s="2">
        <f ca="1">INDEX(Simulations!$A$1:$BK$2501, 1531, MATCH("ExitMultiple", Simulations!$A$1:$BK$1, 0))</f>
        <v>7.4236458897423958</v>
      </c>
      <c r="C1531" s="2">
        <f ca="1">INDEX(Simulations!$A$1:$BK$2501, 1531, MATCH("RevCAGR", Simulations!$A$1:$BK$1, 0))</f>
        <v>5.5053851944600926E-2</v>
      </c>
      <c r="D1531" s="2">
        <f ca="1">INDEX(Simulations!$A$1:$BK$2501, 1531, MATCH("SynMargin", Simulations!$A$1:$BK$1, 0))</f>
        <v>9.6651718435322997E-3</v>
      </c>
      <c r="E1531" s="2">
        <f ca="1">INDEX(Simulations!$A$1:$BK$2501, 1531, MATCH("Yr1Shock", Simulations!$A$1:$BK$1, 0))</f>
        <v>-3.3127439569440267E-2</v>
      </c>
    </row>
    <row r="1532" spans="1:5" x14ac:dyDescent="0.3">
      <c r="A1532" s="2">
        <f ca="1">INDEX(Simulations!$A$1:$BK$2501, 1532, MATCH("PurchaseMultiple", Simulations!$A$1:$BK$1, 0))</f>
        <v>6.8329904957602885</v>
      </c>
      <c r="B1532" s="2">
        <f ca="1">INDEX(Simulations!$A$1:$BK$2501, 1532, MATCH("ExitMultiple", Simulations!$A$1:$BK$1, 0))</f>
        <v>8.372109041707688</v>
      </c>
      <c r="C1532" s="2">
        <f ca="1">INDEX(Simulations!$A$1:$BK$2501, 1532, MATCH("RevCAGR", Simulations!$A$1:$BK$1, 0))</f>
        <v>9.3789230267893903E-2</v>
      </c>
      <c r="D1532" s="2">
        <f ca="1">INDEX(Simulations!$A$1:$BK$2501, 1532, MATCH("SynMargin", Simulations!$A$1:$BK$1, 0))</f>
        <v>1.4651676769269791E-2</v>
      </c>
      <c r="E1532" s="2">
        <f ca="1">INDEX(Simulations!$A$1:$BK$2501, 1532, MATCH("Yr1Shock", Simulations!$A$1:$BK$1, 0))</f>
        <v>-3.389716016273752E-2</v>
      </c>
    </row>
    <row r="1533" spans="1:5" x14ac:dyDescent="0.3">
      <c r="A1533" s="2">
        <f ca="1">INDEX(Simulations!$A$1:$BK$2501, 1533, MATCH("PurchaseMultiple", Simulations!$A$1:$BK$1, 0))</f>
        <v>6.7556896444266004</v>
      </c>
      <c r="B1533" s="2">
        <f ca="1">INDEX(Simulations!$A$1:$BK$2501, 1533, MATCH("ExitMultiple", Simulations!$A$1:$BK$1, 0))</f>
        <v>7.610797506801771</v>
      </c>
      <c r="C1533" s="2">
        <f ca="1">INDEX(Simulations!$A$1:$BK$2501, 1533, MATCH("RevCAGR", Simulations!$A$1:$BK$1, 0))</f>
        <v>1.4994721241290802E-2</v>
      </c>
      <c r="D1533" s="2">
        <f ca="1">INDEX(Simulations!$A$1:$BK$2501, 1533, MATCH("SynMargin", Simulations!$A$1:$BK$1, 0))</f>
        <v>7.4808033871817496E-4</v>
      </c>
      <c r="E1533" s="2">
        <f ca="1">INDEX(Simulations!$A$1:$BK$2501, 1533, MATCH("Yr1Shock", Simulations!$A$1:$BK$1, 0))</f>
        <v>-1.7556022334306677E-2</v>
      </c>
    </row>
    <row r="1534" spans="1:5" x14ac:dyDescent="0.3">
      <c r="A1534" s="2">
        <f ca="1">INDEX(Simulations!$A$1:$BK$2501, 1534, MATCH("PurchaseMultiple", Simulations!$A$1:$BK$1, 0))</f>
        <v>6.3962343633677978</v>
      </c>
      <c r="B1534" s="2">
        <f ca="1">INDEX(Simulations!$A$1:$BK$2501, 1534, MATCH("ExitMultiple", Simulations!$A$1:$BK$1, 0))</f>
        <v>7.8934590572266901</v>
      </c>
      <c r="C1534" s="2">
        <f ca="1">INDEX(Simulations!$A$1:$BK$2501, 1534, MATCH("RevCAGR", Simulations!$A$1:$BK$1, 0))</f>
        <v>6.6995719718354108E-2</v>
      </c>
      <c r="D1534" s="2">
        <f ca="1">INDEX(Simulations!$A$1:$BK$2501, 1534, MATCH("SynMargin", Simulations!$A$1:$BK$1, 0))</f>
        <v>9.1703371877815566E-3</v>
      </c>
      <c r="E1534" s="2">
        <f ca="1">INDEX(Simulations!$A$1:$BK$2501, 1534, MATCH("Yr1Shock", Simulations!$A$1:$BK$1, 0))</f>
        <v>2.407126102884536E-2</v>
      </c>
    </row>
    <row r="1535" spans="1:5" x14ac:dyDescent="0.3">
      <c r="A1535" s="2">
        <f ca="1">INDEX(Simulations!$A$1:$BK$2501, 1535, MATCH("PurchaseMultiple", Simulations!$A$1:$BK$1, 0))</f>
        <v>7.7006291619024303</v>
      </c>
      <c r="B1535" s="2">
        <f ca="1">INDEX(Simulations!$A$1:$BK$2501, 1535, MATCH("ExitMultiple", Simulations!$A$1:$BK$1, 0))</f>
        <v>7.0510438879097252</v>
      </c>
      <c r="C1535" s="2">
        <f ca="1">INDEX(Simulations!$A$1:$BK$2501, 1535, MATCH("RevCAGR", Simulations!$A$1:$BK$1, 0))</f>
        <v>5.8582054273084924E-2</v>
      </c>
      <c r="D1535" s="2">
        <f ca="1">INDEX(Simulations!$A$1:$BK$2501, 1535, MATCH("SynMargin", Simulations!$A$1:$BK$1, 0))</f>
        <v>6.1034454855569079E-3</v>
      </c>
      <c r="E1535" s="2">
        <f ca="1">INDEX(Simulations!$A$1:$BK$2501, 1535, MATCH("Yr1Shock", Simulations!$A$1:$BK$1, 0))</f>
        <v>1.3752257258907526E-3</v>
      </c>
    </row>
    <row r="1536" spans="1:5" x14ac:dyDescent="0.3">
      <c r="A1536" s="2">
        <f ca="1">INDEX(Simulations!$A$1:$BK$2501, 1536, MATCH("PurchaseMultiple", Simulations!$A$1:$BK$1, 0))</f>
        <v>7.5217347006984729</v>
      </c>
      <c r="B1536" s="2">
        <f ca="1">INDEX(Simulations!$A$1:$BK$2501, 1536, MATCH("ExitMultiple", Simulations!$A$1:$BK$1, 0))</f>
        <v>7.1815910267863261</v>
      </c>
      <c r="C1536" s="2">
        <f ca="1">INDEX(Simulations!$A$1:$BK$2501, 1536, MATCH("RevCAGR", Simulations!$A$1:$BK$1, 0))</f>
        <v>1.1267798818635513E-2</v>
      </c>
      <c r="D1536" s="2">
        <f ca="1">INDEX(Simulations!$A$1:$BK$2501, 1536, MATCH("SynMargin", Simulations!$A$1:$BK$1, 0))</f>
        <v>1.0789128791559412E-2</v>
      </c>
      <c r="E1536" s="2">
        <f ca="1">INDEX(Simulations!$A$1:$BK$2501, 1536, MATCH("Yr1Shock", Simulations!$A$1:$BK$1, 0))</f>
        <v>-8.7086138555302148E-3</v>
      </c>
    </row>
    <row r="1537" spans="1:5" x14ac:dyDescent="0.3">
      <c r="A1537" s="2">
        <f ca="1">INDEX(Simulations!$A$1:$BK$2501, 1537, MATCH("PurchaseMultiple", Simulations!$A$1:$BK$1, 0))</f>
        <v>6.8102601735563644</v>
      </c>
      <c r="B1537" s="2">
        <f ca="1">INDEX(Simulations!$A$1:$BK$2501, 1537, MATCH("ExitMultiple", Simulations!$A$1:$BK$1, 0))</f>
        <v>7.816055120178758</v>
      </c>
      <c r="C1537" s="2">
        <f ca="1">INDEX(Simulations!$A$1:$BK$2501, 1537, MATCH("RevCAGR", Simulations!$A$1:$BK$1, 0))</f>
        <v>-1.652426600511276E-2</v>
      </c>
      <c r="D1537" s="2">
        <f ca="1">INDEX(Simulations!$A$1:$BK$2501, 1537, MATCH("SynMargin", Simulations!$A$1:$BK$1, 0))</f>
        <v>1.1136502820946862E-2</v>
      </c>
      <c r="E1537" s="2">
        <f ca="1">INDEX(Simulations!$A$1:$BK$2501, 1537, MATCH("Yr1Shock", Simulations!$A$1:$BK$1, 0))</f>
        <v>2.0671741660306681E-3</v>
      </c>
    </row>
    <row r="1538" spans="1:5" x14ac:dyDescent="0.3">
      <c r="A1538" s="2">
        <f ca="1">INDEX(Simulations!$A$1:$BK$2501, 1538, MATCH("PurchaseMultiple", Simulations!$A$1:$BK$1, 0))</f>
        <v>6.8425234166420763</v>
      </c>
      <c r="B1538" s="2">
        <f ca="1">INDEX(Simulations!$A$1:$BK$2501, 1538, MATCH("ExitMultiple", Simulations!$A$1:$BK$1, 0))</f>
        <v>7.8427978057318217</v>
      </c>
      <c r="C1538" s="2">
        <f ca="1">INDEX(Simulations!$A$1:$BK$2501, 1538, MATCH("RevCAGR", Simulations!$A$1:$BK$1, 0))</f>
        <v>1.1625629403570672E-2</v>
      </c>
      <c r="D1538" s="2">
        <f ca="1">INDEX(Simulations!$A$1:$BK$2501, 1538, MATCH("SynMargin", Simulations!$A$1:$BK$1, 0))</f>
        <v>4.4874992959734617E-3</v>
      </c>
      <c r="E1538" s="2">
        <f ca="1">INDEX(Simulations!$A$1:$BK$2501, 1538, MATCH("Yr1Shock", Simulations!$A$1:$BK$1, 0))</f>
        <v>-1.117105748094289E-2</v>
      </c>
    </row>
    <row r="1539" spans="1:5" x14ac:dyDescent="0.3">
      <c r="A1539" s="2">
        <f ca="1">INDEX(Simulations!$A$1:$BK$2501, 1539, MATCH("PurchaseMultiple", Simulations!$A$1:$BK$1, 0))</f>
        <v>6.6912481351471342</v>
      </c>
      <c r="B1539" s="2">
        <f ca="1">INDEX(Simulations!$A$1:$BK$2501, 1539, MATCH("ExitMultiple", Simulations!$A$1:$BK$1, 0))</f>
        <v>7.0228831025138332</v>
      </c>
      <c r="C1539" s="2">
        <f ca="1">INDEX(Simulations!$A$1:$BK$2501, 1539, MATCH("RevCAGR", Simulations!$A$1:$BK$1, 0))</f>
        <v>3.3273102425045539E-2</v>
      </c>
      <c r="D1539" s="2">
        <f ca="1">INDEX(Simulations!$A$1:$BK$2501, 1539, MATCH("SynMargin", Simulations!$A$1:$BK$1, 0))</f>
        <v>1.1698417015861001E-2</v>
      </c>
      <c r="E1539" s="2">
        <f ca="1">INDEX(Simulations!$A$1:$BK$2501, 1539, MATCH("Yr1Shock", Simulations!$A$1:$BK$1, 0))</f>
        <v>-1.4888411002795441E-3</v>
      </c>
    </row>
    <row r="1540" spans="1:5" x14ac:dyDescent="0.3">
      <c r="A1540" s="2">
        <f ca="1">INDEX(Simulations!$A$1:$BK$2501, 1540, MATCH("PurchaseMultiple", Simulations!$A$1:$BK$1, 0))</f>
        <v>6.9143226191383995</v>
      </c>
      <c r="B1540" s="2">
        <f ca="1">INDEX(Simulations!$A$1:$BK$2501, 1540, MATCH("ExitMultiple", Simulations!$A$1:$BK$1, 0))</f>
        <v>7.7005797293623486</v>
      </c>
      <c r="C1540" s="2">
        <f ca="1">INDEX(Simulations!$A$1:$BK$2501, 1540, MATCH("RevCAGR", Simulations!$A$1:$BK$1, 0))</f>
        <v>3.0177801672122407E-2</v>
      </c>
      <c r="D1540" s="2">
        <f ca="1">INDEX(Simulations!$A$1:$BK$2501, 1540, MATCH("SynMargin", Simulations!$A$1:$BK$1, 0))</f>
        <v>0</v>
      </c>
      <c r="E1540" s="2">
        <f ca="1">INDEX(Simulations!$A$1:$BK$2501, 1540, MATCH("Yr1Shock", Simulations!$A$1:$BK$1, 0))</f>
        <v>-8.9589276217368723E-3</v>
      </c>
    </row>
    <row r="1541" spans="1:5" x14ac:dyDescent="0.3">
      <c r="A1541" s="2">
        <f ca="1">INDEX(Simulations!$A$1:$BK$2501, 1541, MATCH("PurchaseMultiple", Simulations!$A$1:$BK$1, 0))</f>
        <v>7.0561868928418621</v>
      </c>
      <c r="B1541" s="2">
        <f ca="1">INDEX(Simulations!$A$1:$BK$2501, 1541, MATCH("ExitMultiple", Simulations!$A$1:$BK$1, 0))</f>
        <v>8.239743959519009</v>
      </c>
      <c r="C1541" s="2">
        <f ca="1">INDEX(Simulations!$A$1:$BK$2501, 1541, MATCH("RevCAGR", Simulations!$A$1:$BK$1, 0))</f>
        <v>-1.2748431435449549E-2</v>
      </c>
      <c r="D1541" s="2">
        <f ca="1">INDEX(Simulations!$A$1:$BK$2501, 1541, MATCH("SynMargin", Simulations!$A$1:$BK$1, 0))</f>
        <v>8.2594274014703012E-3</v>
      </c>
      <c r="E1541" s="2">
        <f ca="1">INDEX(Simulations!$A$1:$BK$2501, 1541, MATCH("Yr1Shock", Simulations!$A$1:$BK$1, 0))</f>
        <v>-1.1731372723250652E-3</v>
      </c>
    </row>
    <row r="1542" spans="1:5" x14ac:dyDescent="0.3">
      <c r="A1542" s="2">
        <f ca="1">INDEX(Simulations!$A$1:$BK$2501, 1542, MATCH("PurchaseMultiple", Simulations!$A$1:$BK$1, 0))</f>
        <v>6.9766467630893967</v>
      </c>
      <c r="B1542" s="2">
        <f ca="1">INDEX(Simulations!$A$1:$BK$2501, 1542, MATCH("ExitMultiple", Simulations!$A$1:$BK$1, 0))</f>
        <v>7.2969999573807955</v>
      </c>
      <c r="C1542" s="2">
        <f ca="1">INDEX(Simulations!$A$1:$BK$2501, 1542, MATCH("RevCAGR", Simulations!$A$1:$BK$1, 0))</f>
        <v>8.3657840495539759E-2</v>
      </c>
      <c r="D1542" s="2">
        <f ca="1">INDEX(Simulations!$A$1:$BK$2501, 1542, MATCH("SynMargin", Simulations!$A$1:$BK$1, 0))</f>
        <v>5.9130542360409724E-3</v>
      </c>
      <c r="E1542" s="2">
        <f ca="1">INDEX(Simulations!$A$1:$BK$2501, 1542, MATCH("Yr1Shock", Simulations!$A$1:$BK$1, 0))</f>
        <v>-2.065209319803727E-2</v>
      </c>
    </row>
    <row r="1543" spans="1:5" x14ac:dyDescent="0.3">
      <c r="A1543" s="2">
        <f ca="1">INDEX(Simulations!$A$1:$BK$2501, 1543, MATCH("PurchaseMultiple", Simulations!$A$1:$BK$1, 0))</f>
        <v>6.7176386235565531</v>
      </c>
      <c r="B1543" s="2">
        <f ca="1">INDEX(Simulations!$A$1:$BK$2501, 1543, MATCH("ExitMultiple", Simulations!$A$1:$BK$1, 0))</f>
        <v>7.6061659708392337</v>
      </c>
      <c r="C1543" s="2">
        <f ca="1">INDEX(Simulations!$A$1:$BK$2501, 1543, MATCH("RevCAGR", Simulations!$A$1:$BK$1, 0))</f>
        <v>2.9769049149724988E-2</v>
      </c>
      <c r="D1543" s="2">
        <f ca="1">INDEX(Simulations!$A$1:$BK$2501, 1543, MATCH("SynMargin", Simulations!$A$1:$BK$1, 0))</f>
        <v>1.2547190490471831E-2</v>
      </c>
      <c r="E1543" s="2">
        <f ca="1">INDEX(Simulations!$A$1:$BK$2501, 1543, MATCH("Yr1Shock", Simulations!$A$1:$BK$1, 0))</f>
        <v>-1.4111255930614706E-2</v>
      </c>
    </row>
    <row r="1544" spans="1:5" x14ac:dyDescent="0.3">
      <c r="A1544" s="2">
        <f ca="1">INDEX(Simulations!$A$1:$BK$2501, 1544, MATCH("PurchaseMultiple", Simulations!$A$1:$BK$1, 0))</f>
        <v>6.5200733211220028</v>
      </c>
      <c r="B1544" s="2">
        <f ca="1">INDEX(Simulations!$A$1:$BK$2501, 1544, MATCH("ExitMultiple", Simulations!$A$1:$BK$1, 0))</f>
        <v>7.2748159783710973</v>
      </c>
      <c r="C1544" s="2">
        <f ca="1">INDEX(Simulations!$A$1:$BK$2501, 1544, MATCH("RevCAGR", Simulations!$A$1:$BK$1, 0))</f>
        <v>2.3843412625058211E-2</v>
      </c>
      <c r="D1544" s="2">
        <f ca="1">INDEX(Simulations!$A$1:$BK$2501, 1544, MATCH("SynMargin", Simulations!$A$1:$BK$1, 0))</f>
        <v>1.7287756698082773E-2</v>
      </c>
      <c r="E1544" s="2">
        <f ca="1">INDEX(Simulations!$A$1:$BK$2501, 1544, MATCH("Yr1Shock", Simulations!$A$1:$BK$1, 0))</f>
        <v>-4.1466064431306538E-4</v>
      </c>
    </row>
    <row r="1545" spans="1:5" x14ac:dyDescent="0.3">
      <c r="A1545" s="2">
        <f ca="1">INDEX(Simulations!$A$1:$BK$2501, 1545, MATCH("PurchaseMultiple", Simulations!$A$1:$BK$1, 0))</f>
        <v>7.7003718601172677</v>
      </c>
      <c r="B1545" s="2">
        <f ca="1">INDEX(Simulations!$A$1:$BK$2501, 1545, MATCH("ExitMultiple", Simulations!$A$1:$BK$1, 0))</f>
        <v>7.5583463591166602</v>
      </c>
      <c r="C1545" s="2">
        <f ca="1">INDEX(Simulations!$A$1:$BK$2501, 1545, MATCH("RevCAGR", Simulations!$A$1:$BK$1, 0))</f>
        <v>2.6376648900765187E-2</v>
      </c>
      <c r="D1545" s="2">
        <f ca="1">INDEX(Simulations!$A$1:$BK$2501, 1545, MATCH("SynMargin", Simulations!$A$1:$BK$1, 0))</f>
        <v>3.6598601336267945E-3</v>
      </c>
      <c r="E1545" s="2">
        <f ca="1">INDEX(Simulations!$A$1:$BK$2501, 1545, MATCH("Yr1Shock", Simulations!$A$1:$BK$1, 0))</f>
        <v>1.4292707801971847E-2</v>
      </c>
    </row>
    <row r="1546" spans="1:5" x14ac:dyDescent="0.3">
      <c r="A1546" s="2">
        <f ca="1">INDEX(Simulations!$A$1:$BK$2501, 1546, MATCH("PurchaseMultiple", Simulations!$A$1:$BK$1, 0))</f>
        <v>7.5098525206253459</v>
      </c>
      <c r="B1546" s="2">
        <f ca="1">INDEX(Simulations!$A$1:$BK$2501, 1546, MATCH("ExitMultiple", Simulations!$A$1:$BK$1, 0))</f>
        <v>7.5753011737182643</v>
      </c>
      <c r="C1546" s="2">
        <f ca="1">INDEX(Simulations!$A$1:$BK$2501, 1546, MATCH("RevCAGR", Simulations!$A$1:$BK$1, 0))</f>
        <v>1.3107889239015579E-2</v>
      </c>
      <c r="D1546" s="2">
        <f ca="1">INDEX(Simulations!$A$1:$BK$2501, 1546, MATCH("SynMargin", Simulations!$A$1:$BK$1, 0))</f>
        <v>9.1106857499287548E-3</v>
      </c>
      <c r="E1546" s="2">
        <f ca="1">INDEX(Simulations!$A$1:$BK$2501, 1546, MATCH("Yr1Shock", Simulations!$A$1:$BK$1, 0))</f>
        <v>4.8384366171215203E-3</v>
      </c>
    </row>
    <row r="1547" spans="1:5" x14ac:dyDescent="0.3">
      <c r="A1547" s="2">
        <f ca="1">INDEX(Simulations!$A$1:$BK$2501, 1547, MATCH("PurchaseMultiple", Simulations!$A$1:$BK$1, 0))</f>
        <v>6.6624118613100256</v>
      </c>
      <c r="B1547" s="2">
        <f ca="1">INDEX(Simulations!$A$1:$BK$2501, 1547, MATCH("ExitMultiple", Simulations!$A$1:$BK$1, 0))</f>
        <v>6.8853683197133515</v>
      </c>
      <c r="C1547" s="2">
        <f ca="1">INDEX(Simulations!$A$1:$BK$2501, 1547, MATCH("RevCAGR", Simulations!$A$1:$BK$1, 0))</f>
        <v>2.5532470518733565E-2</v>
      </c>
      <c r="D1547" s="2">
        <f ca="1">INDEX(Simulations!$A$1:$BK$2501, 1547, MATCH("SynMargin", Simulations!$A$1:$BK$1, 0))</f>
        <v>1.4835755573114333E-2</v>
      </c>
      <c r="E1547" s="2">
        <f ca="1">INDEX(Simulations!$A$1:$BK$2501, 1547, MATCH("Yr1Shock", Simulations!$A$1:$BK$1, 0))</f>
        <v>2.6965691903410933E-2</v>
      </c>
    </row>
    <row r="1548" spans="1:5" x14ac:dyDescent="0.3">
      <c r="A1548" s="2">
        <f ca="1">INDEX(Simulations!$A$1:$BK$2501, 1548, MATCH("PurchaseMultiple", Simulations!$A$1:$BK$1, 0))</f>
        <v>7.0047212722035956</v>
      </c>
      <c r="B1548" s="2">
        <f ca="1">INDEX(Simulations!$A$1:$BK$2501, 1548, MATCH("ExitMultiple", Simulations!$A$1:$BK$1, 0))</f>
        <v>8.2436618299217912</v>
      </c>
      <c r="C1548" s="2">
        <f ca="1">INDEX(Simulations!$A$1:$BK$2501, 1548, MATCH("RevCAGR", Simulations!$A$1:$BK$1, 0))</f>
        <v>3.5577773874752833E-2</v>
      </c>
      <c r="D1548" s="2">
        <f ca="1">INDEX(Simulations!$A$1:$BK$2501, 1548, MATCH("SynMargin", Simulations!$A$1:$BK$1, 0))</f>
        <v>1.008445453566458E-2</v>
      </c>
      <c r="E1548" s="2">
        <f ca="1">INDEX(Simulations!$A$1:$BK$2501, 1548, MATCH("Yr1Shock", Simulations!$A$1:$BK$1, 0))</f>
        <v>1.1158851437477862E-2</v>
      </c>
    </row>
    <row r="1549" spans="1:5" x14ac:dyDescent="0.3">
      <c r="A1549" s="2">
        <f ca="1">INDEX(Simulations!$A$1:$BK$2501, 1549, MATCH("PurchaseMultiple", Simulations!$A$1:$BK$1, 0))</f>
        <v>6.8998706801645335</v>
      </c>
      <c r="B1549" s="2">
        <f ca="1">INDEX(Simulations!$A$1:$BK$2501, 1549, MATCH("ExitMultiple", Simulations!$A$1:$BK$1, 0))</f>
        <v>7.6549520795887176</v>
      </c>
      <c r="C1549" s="2">
        <f ca="1">INDEX(Simulations!$A$1:$BK$2501, 1549, MATCH("RevCAGR", Simulations!$A$1:$BK$1, 0))</f>
        <v>7.6098398420504365E-2</v>
      </c>
      <c r="D1549" s="2">
        <f ca="1">INDEX(Simulations!$A$1:$BK$2501, 1549, MATCH("SynMargin", Simulations!$A$1:$BK$1, 0))</f>
        <v>1.2807724353224723E-2</v>
      </c>
      <c r="E1549" s="2">
        <f ca="1">INDEX(Simulations!$A$1:$BK$2501, 1549, MATCH("Yr1Shock", Simulations!$A$1:$BK$1, 0))</f>
        <v>1.000555323771289E-2</v>
      </c>
    </row>
    <row r="1550" spans="1:5" x14ac:dyDescent="0.3">
      <c r="A1550" s="2">
        <f ca="1">INDEX(Simulations!$A$1:$BK$2501, 1550, MATCH("PurchaseMultiple", Simulations!$A$1:$BK$1, 0))</f>
        <v>7.3531585108205126</v>
      </c>
      <c r="B1550" s="2">
        <f ca="1">INDEX(Simulations!$A$1:$BK$2501, 1550, MATCH("ExitMultiple", Simulations!$A$1:$BK$1, 0))</f>
        <v>7.5575656623914966</v>
      </c>
      <c r="C1550" s="2">
        <f ca="1">INDEX(Simulations!$A$1:$BK$2501, 1550, MATCH("RevCAGR", Simulations!$A$1:$BK$1, 0))</f>
        <v>1.3288257748361586E-2</v>
      </c>
      <c r="D1550" s="2">
        <f ca="1">INDEX(Simulations!$A$1:$BK$2501, 1550, MATCH("SynMargin", Simulations!$A$1:$BK$1, 0))</f>
        <v>6.9240305206352618E-3</v>
      </c>
      <c r="E1550" s="2">
        <f ca="1">INDEX(Simulations!$A$1:$BK$2501, 1550, MATCH("Yr1Shock", Simulations!$A$1:$BK$1, 0))</f>
        <v>1.3025947645775273E-2</v>
      </c>
    </row>
    <row r="1551" spans="1:5" x14ac:dyDescent="0.3">
      <c r="A1551" s="2">
        <f ca="1">INDEX(Simulations!$A$1:$BK$2501, 1551, MATCH("PurchaseMultiple", Simulations!$A$1:$BK$1, 0))</f>
        <v>7.4036987477251239</v>
      </c>
      <c r="B1551" s="2">
        <f ca="1">INDEX(Simulations!$A$1:$BK$2501, 1551, MATCH("ExitMultiple", Simulations!$A$1:$BK$1, 0))</f>
        <v>7.3429360203337524</v>
      </c>
      <c r="C1551" s="2">
        <f ca="1">INDEX(Simulations!$A$1:$BK$2501, 1551, MATCH("RevCAGR", Simulations!$A$1:$BK$1, 0))</f>
        <v>4.7765424331637892E-2</v>
      </c>
      <c r="D1551" s="2">
        <f ca="1">INDEX(Simulations!$A$1:$BK$2501, 1551, MATCH("SynMargin", Simulations!$A$1:$BK$1, 0))</f>
        <v>1.3345507463552508E-2</v>
      </c>
      <c r="E1551" s="2">
        <f ca="1">INDEX(Simulations!$A$1:$BK$2501, 1551, MATCH("Yr1Shock", Simulations!$A$1:$BK$1, 0))</f>
        <v>4.9592587684588713E-2</v>
      </c>
    </row>
    <row r="1552" spans="1:5" x14ac:dyDescent="0.3">
      <c r="A1552" s="2">
        <f ca="1">INDEX(Simulations!$A$1:$BK$2501, 1552, MATCH("PurchaseMultiple", Simulations!$A$1:$BK$1, 0))</f>
        <v>6.701192989556195</v>
      </c>
      <c r="B1552" s="2">
        <f ca="1">INDEX(Simulations!$A$1:$BK$2501, 1552, MATCH("ExitMultiple", Simulations!$A$1:$BK$1, 0))</f>
        <v>7.1763961346228253</v>
      </c>
      <c r="C1552" s="2">
        <f ca="1">INDEX(Simulations!$A$1:$BK$2501, 1552, MATCH("RevCAGR", Simulations!$A$1:$BK$1, 0))</f>
        <v>1.7051185474997461E-2</v>
      </c>
      <c r="D1552" s="2">
        <f ca="1">INDEX(Simulations!$A$1:$BK$2501, 1552, MATCH("SynMargin", Simulations!$A$1:$BK$1, 0))</f>
        <v>1.2411589819180363E-2</v>
      </c>
      <c r="E1552" s="2">
        <f ca="1">INDEX(Simulations!$A$1:$BK$2501, 1552, MATCH("Yr1Shock", Simulations!$A$1:$BK$1, 0))</f>
        <v>-4.1711464224753137E-4</v>
      </c>
    </row>
    <row r="1553" spans="1:5" x14ac:dyDescent="0.3">
      <c r="A1553" s="2">
        <f ca="1">INDEX(Simulations!$A$1:$BK$2501, 1553, MATCH("PurchaseMultiple", Simulations!$A$1:$BK$1, 0))</f>
        <v>7.1658189429705637</v>
      </c>
      <c r="B1553" s="2">
        <f ca="1">INDEX(Simulations!$A$1:$BK$2501, 1553, MATCH("ExitMultiple", Simulations!$A$1:$BK$1, 0))</f>
        <v>8.4089949061569573</v>
      </c>
      <c r="C1553" s="2">
        <f ca="1">INDEX(Simulations!$A$1:$BK$2501, 1553, MATCH("RevCAGR", Simulations!$A$1:$BK$1, 0))</f>
        <v>4.4596914231783386E-2</v>
      </c>
      <c r="D1553" s="2">
        <f ca="1">INDEX(Simulations!$A$1:$BK$2501, 1553, MATCH("SynMargin", Simulations!$A$1:$BK$1, 0))</f>
        <v>9.4035271473684214E-3</v>
      </c>
      <c r="E1553" s="2">
        <f ca="1">INDEX(Simulations!$A$1:$BK$2501, 1553, MATCH("Yr1Shock", Simulations!$A$1:$BK$1, 0))</f>
        <v>0.05</v>
      </c>
    </row>
    <row r="1554" spans="1:5" x14ac:dyDescent="0.3">
      <c r="A1554" s="2">
        <f ca="1">INDEX(Simulations!$A$1:$BK$2501, 1554, MATCH("PurchaseMultiple", Simulations!$A$1:$BK$1, 0))</f>
        <v>7.3585951284348932</v>
      </c>
      <c r="B1554" s="2">
        <f ca="1">INDEX(Simulations!$A$1:$BK$2501, 1554, MATCH("ExitMultiple", Simulations!$A$1:$BK$1, 0))</f>
        <v>7.1214124357559552</v>
      </c>
      <c r="C1554" s="2">
        <f ca="1">INDEX(Simulations!$A$1:$BK$2501, 1554, MATCH("RevCAGR", Simulations!$A$1:$BK$1, 0))</f>
        <v>4.942028218485478E-2</v>
      </c>
      <c r="D1554" s="2">
        <f ca="1">INDEX(Simulations!$A$1:$BK$2501, 1554, MATCH("SynMargin", Simulations!$A$1:$BK$1, 0))</f>
        <v>1.0842051254966425E-2</v>
      </c>
      <c r="E1554" s="2">
        <f ca="1">INDEX(Simulations!$A$1:$BK$2501, 1554, MATCH("Yr1Shock", Simulations!$A$1:$BK$1, 0))</f>
        <v>-3.4223560655071816E-2</v>
      </c>
    </row>
    <row r="1555" spans="1:5" x14ac:dyDescent="0.3">
      <c r="A1555" s="2">
        <f ca="1">INDEX(Simulations!$A$1:$BK$2501, 1555, MATCH("PurchaseMultiple", Simulations!$A$1:$BK$1, 0))</f>
        <v>6.607883910233193</v>
      </c>
      <c r="B1555" s="2">
        <f ca="1">INDEX(Simulations!$A$1:$BK$2501, 1555, MATCH("ExitMultiple", Simulations!$A$1:$BK$1, 0))</f>
        <v>7.6749516485565596</v>
      </c>
      <c r="C1555" s="2">
        <f ca="1">INDEX(Simulations!$A$1:$BK$2501, 1555, MATCH("RevCAGR", Simulations!$A$1:$BK$1, 0))</f>
        <v>-1.2321710352428752E-3</v>
      </c>
      <c r="D1555" s="2">
        <f ca="1">INDEX(Simulations!$A$1:$BK$2501, 1555, MATCH("SynMargin", Simulations!$A$1:$BK$1, 0))</f>
        <v>7.7416698051192782E-3</v>
      </c>
      <c r="E1555" s="2">
        <f ca="1">INDEX(Simulations!$A$1:$BK$2501, 1555, MATCH("Yr1Shock", Simulations!$A$1:$BK$1, 0))</f>
        <v>-1.8360634849248759E-2</v>
      </c>
    </row>
    <row r="1556" spans="1:5" x14ac:dyDescent="0.3">
      <c r="A1556" s="2">
        <f ca="1">INDEX(Simulations!$A$1:$BK$2501, 1556, MATCH("PurchaseMultiple", Simulations!$A$1:$BK$1, 0))</f>
        <v>6.9125735424567818</v>
      </c>
      <c r="B1556" s="2">
        <f ca="1">INDEX(Simulations!$A$1:$BK$2501, 1556, MATCH("ExitMultiple", Simulations!$A$1:$BK$1, 0))</f>
        <v>8.3428463016969907</v>
      </c>
      <c r="C1556" s="2">
        <f ca="1">INDEX(Simulations!$A$1:$BK$2501, 1556, MATCH("RevCAGR", Simulations!$A$1:$BK$1, 0))</f>
        <v>5.8862325679900213E-2</v>
      </c>
      <c r="D1556" s="2">
        <f ca="1">INDEX(Simulations!$A$1:$BK$2501, 1556, MATCH("SynMargin", Simulations!$A$1:$BK$1, 0))</f>
        <v>7.8004205514727969E-3</v>
      </c>
      <c r="E1556" s="2">
        <f ca="1">INDEX(Simulations!$A$1:$BK$2501, 1556, MATCH("Yr1Shock", Simulations!$A$1:$BK$1, 0))</f>
        <v>-1.036069112908085E-2</v>
      </c>
    </row>
    <row r="1557" spans="1:5" x14ac:dyDescent="0.3">
      <c r="A1557" s="2">
        <f ca="1">INDEX(Simulations!$A$1:$BK$2501, 1557, MATCH("PurchaseMultiple", Simulations!$A$1:$BK$1, 0))</f>
        <v>6.5858521544121515</v>
      </c>
      <c r="B1557" s="2">
        <f ca="1">INDEX(Simulations!$A$1:$BK$2501, 1557, MATCH("ExitMultiple", Simulations!$A$1:$BK$1, 0))</f>
        <v>7.454390634846054</v>
      </c>
      <c r="C1557" s="2">
        <f ca="1">INDEX(Simulations!$A$1:$BK$2501, 1557, MATCH("RevCAGR", Simulations!$A$1:$BK$1, 0))</f>
        <v>6.3635414291600592E-2</v>
      </c>
      <c r="D1557" s="2">
        <f ca="1">INDEX(Simulations!$A$1:$BK$2501, 1557, MATCH("SynMargin", Simulations!$A$1:$BK$1, 0))</f>
        <v>1.2900801396076862E-2</v>
      </c>
      <c r="E1557" s="2">
        <f ca="1">INDEX(Simulations!$A$1:$BK$2501, 1557, MATCH("Yr1Shock", Simulations!$A$1:$BK$1, 0))</f>
        <v>-9.3663777238650204E-3</v>
      </c>
    </row>
    <row r="1558" spans="1:5" x14ac:dyDescent="0.3">
      <c r="A1558" s="2">
        <f ca="1">INDEX(Simulations!$A$1:$BK$2501, 1558, MATCH("PurchaseMultiple", Simulations!$A$1:$BK$1, 0))</f>
        <v>6.5940460474676659</v>
      </c>
      <c r="B1558" s="2">
        <f ca="1">INDEX(Simulations!$A$1:$BK$2501, 1558, MATCH("ExitMultiple", Simulations!$A$1:$BK$1, 0))</f>
        <v>7.7079670687729678</v>
      </c>
      <c r="C1558" s="2">
        <f ca="1">INDEX(Simulations!$A$1:$BK$2501, 1558, MATCH("RevCAGR", Simulations!$A$1:$BK$1, 0))</f>
        <v>3.6014268515310671E-2</v>
      </c>
      <c r="D1558" s="2">
        <f ca="1">INDEX(Simulations!$A$1:$BK$2501, 1558, MATCH("SynMargin", Simulations!$A$1:$BK$1, 0))</f>
        <v>0</v>
      </c>
      <c r="E1558" s="2">
        <f ca="1">INDEX(Simulations!$A$1:$BK$2501, 1558, MATCH("Yr1Shock", Simulations!$A$1:$BK$1, 0))</f>
        <v>-2.8249696637979986E-2</v>
      </c>
    </row>
    <row r="1559" spans="1:5" x14ac:dyDescent="0.3">
      <c r="A1559" s="2">
        <f ca="1">INDEX(Simulations!$A$1:$BK$2501, 1559, MATCH("PurchaseMultiple", Simulations!$A$1:$BK$1, 0))</f>
        <v>6.9690499316572145</v>
      </c>
      <c r="B1559" s="2">
        <f ca="1">INDEX(Simulations!$A$1:$BK$2501, 1559, MATCH("ExitMultiple", Simulations!$A$1:$BK$1, 0))</f>
        <v>7.7201682103614742</v>
      </c>
      <c r="C1559" s="2">
        <f ca="1">INDEX(Simulations!$A$1:$BK$2501, 1559, MATCH("RevCAGR", Simulations!$A$1:$BK$1, 0))</f>
        <v>2.5721466338073651E-3</v>
      </c>
      <c r="D1559" s="2">
        <f ca="1">INDEX(Simulations!$A$1:$BK$2501, 1559, MATCH("SynMargin", Simulations!$A$1:$BK$1, 0))</f>
        <v>1.5731242016217731E-2</v>
      </c>
      <c r="E1559" s="2">
        <f ca="1">INDEX(Simulations!$A$1:$BK$2501, 1559, MATCH("Yr1Shock", Simulations!$A$1:$BK$1, 0))</f>
        <v>-1.3089718985099849E-2</v>
      </c>
    </row>
    <row r="1560" spans="1:5" x14ac:dyDescent="0.3">
      <c r="A1560" s="2">
        <f ca="1">INDEX(Simulations!$A$1:$BK$2501, 1560, MATCH("PurchaseMultiple", Simulations!$A$1:$BK$1, 0))</f>
        <v>6.5681914567980435</v>
      </c>
      <c r="B1560" s="2">
        <f ca="1">INDEX(Simulations!$A$1:$BK$2501, 1560, MATCH("ExitMultiple", Simulations!$A$1:$BK$1, 0))</f>
        <v>7.3777731844880545</v>
      </c>
      <c r="C1560" s="2">
        <f ca="1">INDEX(Simulations!$A$1:$BK$2501, 1560, MATCH("RevCAGR", Simulations!$A$1:$BK$1, 0))</f>
        <v>5.2256980356532569E-2</v>
      </c>
      <c r="D1560" s="2">
        <f ca="1">INDEX(Simulations!$A$1:$BK$2501, 1560, MATCH("SynMargin", Simulations!$A$1:$BK$1, 0))</f>
        <v>6.1831991337047655E-3</v>
      </c>
      <c r="E1560" s="2">
        <f ca="1">INDEX(Simulations!$A$1:$BK$2501, 1560, MATCH("Yr1Shock", Simulations!$A$1:$BK$1, 0))</f>
        <v>6.4983591490654757E-3</v>
      </c>
    </row>
    <row r="1561" spans="1:5" x14ac:dyDescent="0.3">
      <c r="A1561" s="2">
        <f ca="1">INDEX(Simulations!$A$1:$BK$2501, 1561, MATCH("PurchaseMultiple", Simulations!$A$1:$BK$1, 0))</f>
        <v>7.0530896222903046</v>
      </c>
      <c r="B1561" s="2">
        <f ca="1">INDEX(Simulations!$A$1:$BK$2501, 1561, MATCH("ExitMultiple", Simulations!$A$1:$BK$1, 0))</f>
        <v>7.6515202696813098</v>
      </c>
      <c r="C1561" s="2">
        <f ca="1">INDEX(Simulations!$A$1:$BK$2501, 1561, MATCH("RevCAGR", Simulations!$A$1:$BK$1, 0))</f>
        <v>6.5139654983919992E-2</v>
      </c>
      <c r="D1561" s="2">
        <f ca="1">INDEX(Simulations!$A$1:$BK$2501, 1561, MATCH("SynMargin", Simulations!$A$1:$BK$1, 0))</f>
        <v>1.7689831876935826E-2</v>
      </c>
      <c r="E1561" s="2">
        <f ca="1">INDEX(Simulations!$A$1:$BK$2501, 1561, MATCH("Yr1Shock", Simulations!$A$1:$BK$1, 0))</f>
        <v>-1.6620710336215281E-3</v>
      </c>
    </row>
    <row r="1562" spans="1:5" x14ac:dyDescent="0.3">
      <c r="A1562" s="2">
        <f ca="1">INDEX(Simulations!$A$1:$BK$2501, 1562, MATCH("PurchaseMultiple", Simulations!$A$1:$BK$1, 0))</f>
        <v>6.0884696447598516</v>
      </c>
      <c r="B1562" s="2">
        <f ca="1">INDEX(Simulations!$A$1:$BK$2501, 1562, MATCH("ExitMultiple", Simulations!$A$1:$BK$1, 0))</f>
        <v>7.6883456322462846</v>
      </c>
      <c r="C1562" s="2">
        <f ca="1">INDEX(Simulations!$A$1:$BK$2501, 1562, MATCH("RevCAGR", Simulations!$A$1:$BK$1, 0))</f>
        <v>4.9653564218772858E-2</v>
      </c>
      <c r="D1562" s="2">
        <f ca="1">INDEX(Simulations!$A$1:$BK$2501, 1562, MATCH("SynMargin", Simulations!$A$1:$BK$1, 0))</f>
        <v>1.6606768648234092E-2</v>
      </c>
      <c r="E1562" s="2">
        <f ca="1">INDEX(Simulations!$A$1:$BK$2501, 1562, MATCH("Yr1Shock", Simulations!$A$1:$BK$1, 0))</f>
        <v>-2.6545037503053738E-2</v>
      </c>
    </row>
    <row r="1563" spans="1:5" x14ac:dyDescent="0.3">
      <c r="A1563" s="2">
        <f ca="1">INDEX(Simulations!$A$1:$BK$2501, 1563, MATCH("PurchaseMultiple", Simulations!$A$1:$BK$1, 0))</f>
        <v>7.6896737905095947</v>
      </c>
      <c r="B1563" s="2">
        <f ca="1">INDEX(Simulations!$A$1:$BK$2501, 1563, MATCH("ExitMultiple", Simulations!$A$1:$BK$1, 0))</f>
        <v>7.6666644938307753</v>
      </c>
      <c r="C1563" s="2">
        <f ca="1">INDEX(Simulations!$A$1:$BK$2501, 1563, MATCH("RevCAGR", Simulations!$A$1:$BK$1, 0))</f>
        <v>4.5449436374224376E-2</v>
      </c>
      <c r="D1563" s="2">
        <f ca="1">INDEX(Simulations!$A$1:$BK$2501, 1563, MATCH("SynMargin", Simulations!$A$1:$BK$1, 0))</f>
        <v>1.0091145816458535E-2</v>
      </c>
      <c r="E1563" s="2">
        <f ca="1">INDEX(Simulations!$A$1:$BK$2501, 1563, MATCH("Yr1Shock", Simulations!$A$1:$BK$1, 0))</f>
        <v>3.9318462071541542E-3</v>
      </c>
    </row>
    <row r="1564" spans="1:5" x14ac:dyDescent="0.3">
      <c r="A1564" s="2">
        <f ca="1">INDEX(Simulations!$A$1:$BK$2501, 1564, MATCH("PurchaseMultiple", Simulations!$A$1:$BK$1, 0))</f>
        <v>6.1985695486249606</v>
      </c>
      <c r="B1564" s="2">
        <f ca="1">INDEX(Simulations!$A$1:$BK$2501, 1564, MATCH("ExitMultiple", Simulations!$A$1:$BK$1, 0))</f>
        <v>6.839075408763831</v>
      </c>
      <c r="C1564" s="2">
        <f ca="1">INDEX(Simulations!$A$1:$BK$2501, 1564, MATCH("RevCAGR", Simulations!$A$1:$BK$1, 0))</f>
        <v>1.7891397355431455E-2</v>
      </c>
      <c r="D1564" s="2">
        <f ca="1">INDEX(Simulations!$A$1:$BK$2501, 1564, MATCH("SynMargin", Simulations!$A$1:$BK$1, 0))</f>
        <v>1.1933648288716139E-2</v>
      </c>
      <c r="E1564" s="2">
        <f ca="1">INDEX(Simulations!$A$1:$BK$2501, 1564, MATCH("Yr1Shock", Simulations!$A$1:$BK$1, 0))</f>
        <v>3.1885789373432123E-2</v>
      </c>
    </row>
    <row r="1565" spans="1:5" x14ac:dyDescent="0.3">
      <c r="A1565" s="2">
        <f ca="1">INDEX(Simulations!$A$1:$BK$2501, 1565, MATCH("PurchaseMultiple", Simulations!$A$1:$BK$1, 0))</f>
        <v>6.4912234854247357</v>
      </c>
      <c r="B1565" s="2">
        <f ca="1">INDEX(Simulations!$A$1:$BK$2501, 1565, MATCH("ExitMultiple", Simulations!$A$1:$BK$1, 0))</f>
        <v>7.1999198528036361</v>
      </c>
      <c r="C1565" s="2">
        <f ca="1">INDEX(Simulations!$A$1:$BK$2501, 1565, MATCH("RevCAGR", Simulations!$A$1:$BK$1, 0))</f>
        <v>-1.6791458059205844E-2</v>
      </c>
      <c r="D1565" s="2">
        <f ca="1">INDEX(Simulations!$A$1:$BK$2501, 1565, MATCH("SynMargin", Simulations!$A$1:$BK$1, 0))</f>
        <v>8.3269856112726144E-3</v>
      </c>
      <c r="E1565" s="2">
        <f ca="1">INDEX(Simulations!$A$1:$BK$2501, 1565, MATCH("Yr1Shock", Simulations!$A$1:$BK$1, 0))</f>
        <v>2.7633574680722032E-2</v>
      </c>
    </row>
    <row r="1566" spans="1:5" x14ac:dyDescent="0.3">
      <c r="A1566" s="2">
        <f ca="1">INDEX(Simulations!$A$1:$BK$2501, 1566, MATCH("PurchaseMultiple", Simulations!$A$1:$BK$1, 0))</f>
        <v>6.7732110163661909</v>
      </c>
      <c r="B1566" s="2">
        <f ca="1">INDEX(Simulations!$A$1:$BK$2501, 1566, MATCH("ExitMultiple", Simulations!$A$1:$BK$1, 0))</f>
        <v>7.1269433106242657</v>
      </c>
      <c r="C1566" s="2">
        <f ca="1">INDEX(Simulations!$A$1:$BK$2501, 1566, MATCH("RevCAGR", Simulations!$A$1:$BK$1, 0))</f>
        <v>4.3819404305400558E-2</v>
      </c>
      <c r="D1566" s="2">
        <f ca="1">INDEX(Simulations!$A$1:$BK$2501, 1566, MATCH("SynMargin", Simulations!$A$1:$BK$1, 0))</f>
        <v>1.7264108652720343E-2</v>
      </c>
      <c r="E1566" s="2">
        <f ca="1">INDEX(Simulations!$A$1:$BK$2501, 1566, MATCH("Yr1Shock", Simulations!$A$1:$BK$1, 0))</f>
        <v>2.8486577978754958E-3</v>
      </c>
    </row>
    <row r="1567" spans="1:5" x14ac:dyDescent="0.3">
      <c r="A1567" s="2">
        <f ca="1">INDEX(Simulations!$A$1:$BK$2501, 1567, MATCH("PurchaseMultiple", Simulations!$A$1:$BK$1, 0))</f>
        <v>7.3889204501388264</v>
      </c>
      <c r="B1567" s="2">
        <f ca="1">INDEX(Simulations!$A$1:$BK$2501, 1567, MATCH("ExitMultiple", Simulations!$A$1:$BK$1, 0))</f>
        <v>6.9044667704802691</v>
      </c>
      <c r="C1567" s="2">
        <f ca="1">INDEX(Simulations!$A$1:$BK$2501, 1567, MATCH("RevCAGR", Simulations!$A$1:$BK$1, 0))</f>
        <v>1.2702515899999735E-2</v>
      </c>
      <c r="D1567" s="2">
        <f ca="1">INDEX(Simulations!$A$1:$BK$2501, 1567, MATCH("SynMargin", Simulations!$A$1:$BK$1, 0))</f>
        <v>3.1280836346252181E-3</v>
      </c>
      <c r="E1567" s="2">
        <f ca="1">INDEX(Simulations!$A$1:$BK$2501, 1567, MATCH("Yr1Shock", Simulations!$A$1:$BK$1, 0))</f>
        <v>1.1441614405225359E-2</v>
      </c>
    </row>
    <row r="1568" spans="1:5" x14ac:dyDescent="0.3">
      <c r="A1568" s="2">
        <f ca="1">INDEX(Simulations!$A$1:$BK$2501, 1568, MATCH("PurchaseMultiple", Simulations!$A$1:$BK$1, 0))</f>
        <v>7.3223098072258139</v>
      </c>
      <c r="B1568" s="2">
        <f ca="1">INDEX(Simulations!$A$1:$BK$2501, 1568, MATCH("ExitMultiple", Simulations!$A$1:$BK$1, 0))</f>
        <v>7.4637579833733234</v>
      </c>
      <c r="C1568" s="2">
        <f ca="1">INDEX(Simulations!$A$1:$BK$2501, 1568, MATCH("RevCAGR", Simulations!$A$1:$BK$1, 0))</f>
        <v>2.642521179880844E-2</v>
      </c>
      <c r="D1568" s="2">
        <f ca="1">INDEX(Simulations!$A$1:$BK$2501, 1568, MATCH("SynMargin", Simulations!$A$1:$BK$1, 0))</f>
        <v>1.546132279815016E-2</v>
      </c>
      <c r="E1568" s="2">
        <f ca="1">INDEX(Simulations!$A$1:$BK$2501, 1568, MATCH("Yr1Shock", Simulations!$A$1:$BK$1, 0))</f>
        <v>2.722477757944541E-3</v>
      </c>
    </row>
    <row r="1569" spans="1:5" x14ac:dyDescent="0.3">
      <c r="A1569" s="2">
        <f ca="1">INDEX(Simulations!$A$1:$BK$2501, 1569, MATCH("PurchaseMultiple", Simulations!$A$1:$BK$1, 0))</f>
        <v>7.0723017178265515</v>
      </c>
      <c r="B1569" s="2">
        <f ca="1">INDEX(Simulations!$A$1:$BK$2501, 1569, MATCH("ExitMultiple", Simulations!$A$1:$BK$1, 0))</f>
        <v>7.3157950655925124</v>
      </c>
      <c r="C1569" s="2">
        <f ca="1">INDEX(Simulations!$A$1:$BK$2501, 1569, MATCH("RevCAGR", Simulations!$A$1:$BK$1, 0))</f>
        <v>2.3723006541834912E-2</v>
      </c>
      <c r="D1569" s="2">
        <f ca="1">INDEX(Simulations!$A$1:$BK$2501, 1569, MATCH("SynMargin", Simulations!$A$1:$BK$1, 0))</f>
        <v>1.3311459889647633E-2</v>
      </c>
      <c r="E1569" s="2">
        <f ca="1">INDEX(Simulations!$A$1:$BK$2501, 1569, MATCH("Yr1Shock", Simulations!$A$1:$BK$1, 0))</f>
        <v>-3.3816451028212187E-2</v>
      </c>
    </row>
    <row r="1570" spans="1:5" x14ac:dyDescent="0.3">
      <c r="A1570" s="2">
        <f ca="1">INDEX(Simulations!$A$1:$BK$2501, 1570, MATCH("PurchaseMultiple", Simulations!$A$1:$BK$1, 0))</f>
        <v>7.3839803754543158</v>
      </c>
      <c r="B1570" s="2">
        <f ca="1">INDEX(Simulations!$A$1:$BK$2501, 1570, MATCH("ExitMultiple", Simulations!$A$1:$BK$1, 0))</f>
        <v>7.0332502381815774</v>
      </c>
      <c r="C1570" s="2">
        <f ca="1">INDEX(Simulations!$A$1:$BK$2501, 1570, MATCH("RevCAGR", Simulations!$A$1:$BK$1, 0))</f>
        <v>7.3586706667281426E-2</v>
      </c>
      <c r="D1570" s="2">
        <f ca="1">INDEX(Simulations!$A$1:$BK$2501, 1570, MATCH("SynMargin", Simulations!$A$1:$BK$1, 0))</f>
        <v>0</v>
      </c>
      <c r="E1570" s="2">
        <f ca="1">INDEX(Simulations!$A$1:$BK$2501, 1570, MATCH("Yr1Shock", Simulations!$A$1:$BK$1, 0))</f>
        <v>2.7916053777589066E-2</v>
      </c>
    </row>
    <row r="1571" spans="1:5" x14ac:dyDescent="0.3">
      <c r="A1571" s="2">
        <f ca="1">INDEX(Simulations!$A$1:$BK$2501, 1571, MATCH("PurchaseMultiple", Simulations!$A$1:$BK$1, 0))</f>
        <v>6.9402634414347535</v>
      </c>
      <c r="B1571" s="2">
        <f ca="1">INDEX(Simulations!$A$1:$BK$2501, 1571, MATCH("ExitMultiple", Simulations!$A$1:$BK$1, 0))</f>
        <v>6.7266639315530359</v>
      </c>
      <c r="C1571" s="2">
        <f ca="1">INDEX(Simulations!$A$1:$BK$2501, 1571, MATCH("RevCAGR", Simulations!$A$1:$BK$1, 0))</f>
        <v>4.0680709456634531E-2</v>
      </c>
      <c r="D1571" s="2">
        <f ca="1">INDEX(Simulations!$A$1:$BK$2501, 1571, MATCH("SynMargin", Simulations!$A$1:$BK$1, 0))</f>
        <v>1.5646667025462361E-2</v>
      </c>
      <c r="E1571" s="2">
        <f ca="1">INDEX(Simulations!$A$1:$BK$2501, 1571, MATCH("Yr1Shock", Simulations!$A$1:$BK$1, 0))</f>
        <v>-7.2485578766801183E-3</v>
      </c>
    </row>
    <row r="1572" spans="1:5" x14ac:dyDescent="0.3">
      <c r="A1572" s="2">
        <f ca="1">INDEX(Simulations!$A$1:$BK$2501, 1572, MATCH("PurchaseMultiple", Simulations!$A$1:$BK$1, 0))</f>
        <v>7.0764515679404276</v>
      </c>
      <c r="B1572" s="2">
        <f ca="1">INDEX(Simulations!$A$1:$BK$2501, 1572, MATCH("ExitMultiple", Simulations!$A$1:$BK$1, 0))</f>
        <v>7.665314896447935</v>
      </c>
      <c r="C1572" s="2">
        <f ca="1">INDEX(Simulations!$A$1:$BK$2501, 1572, MATCH("RevCAGR", Simulations!$A$1:$BK$1, 0))</f>
        <v>0.11568628499206873</v>
      </c>
      <c r="D1572" s="2">
        <f ca="1">INDEX(Simulations!$A$1:$BK$2501, 1572, MATCH("SynMargin", Simulations!$A$1:$BK$1, 0))</f>
        <v>1.4330297581451785E-2</v>
      </c>
      <c r="E1572" s="2">
        <f ca="1">INDEX(Simulations!$A$1:$BK$2501, 1572, MATCH("Yr1Shock", Simulations!$A$1:$BK$1, 0))</f>
        <v>5.8251495387534151E-3</v>
      </c>
    </row>
    <row r="1573" spans="1:5" x14ac:dyDescent="0.3">
      <c r="A1573" s="2">
        <f ca="1">INDEX(Simulations!$A$1:$BK$2501, 1573, MATCH("PurchaseMultiple", Simulations!$A$1:$BK$1, 0))</f>
        <v>6.400054272442758</v>
      </c>
      <c r="B1573" s="2">
        <f ca="1">INDEX(Simulations!$A$1:$BK$2501, 1573, MATCH("ExitMultiple", Simulations!$A$1:$BK$1, 0))</f>
        <v>7.5341908460603646</v>
      </c>
      <c r="C1573" s="2">
        <f ca="1">INDEX(Simulations!$A$1:$BK$2501, 1573, MATCH("RevCAGR", Simulations!$A$1:$BK$1, 0))</f>
        <v>5.0244089647406939E-2</v>
      </c>
      <c r="D1573" s="2">
        <f ca="1">INDEX(Simulations!$A$1:$BK$2501, 1573, MATCH("SynMargin", Simulations!$A$1:$BK$1, 0))</f>
        <v>2.421248415779232E-2</v>
      </c>
      <c r="E1573" s="2">
        <f ca="1">INDEX(Simulations!$A$1:$BK$2501, 1573, MATCH("Yr1Shock", Simulations!$A$1:$BK$1, 0))</f>
        <v>-1.8175560418954545E-2</v>
      </c>
    </row>
    <row r="1574" spans="1:5" x14ac:dyDescent="0.3">
      <c r="A1574" s="2">
        <f ca="1">INDEX(Simulations!$A$1:$BK$2501, 1574, MATCH("PurchaseMultiple", Simulations!$A$1:$BK$1, 0))</f>
        <v>7.2982928371684634</v>
      </c>
      <c r="B1574" s="2">
        <f ca="1">INDEX(Simulations!$A$1:$BK$2501, 1574, MATCH("ExitMultiple", Simulations!$A$1:$BK$1, 0))</f>
        <v>7.643674433131781</v>
      </c>
      <c r="C1574" s="2">
        <f ca="1">INDEX(Simulations!$A$1:$BK$2501, 1574, MATCH("RevCAGR", Simulations!$A$1:$BK$1, 0))</f>
        <v>6.4229140872552867E-2</v>
      </c>
      <c r="D1574" s="2">
        <f ca="1">INDEX(Simulations!$A$1:$BK$2501, 1574, MATCH("SynMargin", Simulations!$A$1:$BK$1, 0))</f>
        <v>1.4050714024566209E-2</v>
      </c>
      <c r="E1574" s="2">
        <f ca="1">INDEX(Simulations!$A$1:$BK$2501, 1574, MATCH("Yr1Shock", Simulations!$A$1:$BK$1, 0))</f>
        <v>3.0746243771094394E-3</v>
      </c>
    </row>
    <row r="1575" spans="1:5" x14ac:dyDescent="0.3">
      <c r="A1575" s="2">
        <f ca="1">INDEX(Simulations!$A$1:$BK$2501, 1575, MATCH("PurchaseMultiple", Simulations!$A$1:$BK$1, 0))</f>
        <v>6.4691482414381554</v>
      </c>
      <c r="B1575" s="2">
        <f ca="1">INDEX(Simulations!$A$1:$BK$2501, 1575, MATCH("ExitMultiple", Simulations!$A$1:$BK$1, 0))</f>
        <v>7.0948585153147103</v>
      </c>
      <c r="C1575" s="2">
        <f ca="1">INDEX(Simulations!$A$1:$BK$2501, 1575, MATCH("RevCAGR", Simulations!$A$1:$BK$1, 0))</f>
        <v>4.950159943008018E-2</v>
      </c>
      <c r="D1575" s="2">
        <f ca="1">INDEX(Simulations!$A$1:$BK$2501, 1575, MATCH("SynMargin", Simulations!$A$1:$BK$1, 0))</f>
        <v>1.9290331314706453E-2</v>
      </c>
      <c r="E1575" s="2">
        <f ca="1">INDEX(Simulations!$A$1:$BK$2501, 1575, MATCH("Yr1Shock", Simulations!$A$1:$BK$1, 0))</f>
        <v>-8.5207310741601764E-3</v>
      </c>
    </row>
    <row r="1576" spans="1:5" x14ac:dyDescent="0.3">
      <c r="A1576" s="2">
        <f ca="1">INDEX(Simulations!$A$1:$BK$2501, 1576, MATCH("PurchaseMultiple", Simulations!$A$1:$BK$1, 0))</f>
        <v>6.9898915376003945</v>
      </c>
      <c r="B1576" s="2">
        <f ca="1">INDEX(Simulations!$A$1:$BK$2501, 1576, MATCH("ExitMultiple", Simulations!$A$1:$BK$1, 0))</f>
        <v>8.0819174038435531</v>
      </c>
      <c r="C1576" s="2">
        <f ca="1">INDEX(Simulations!$A$1:$BK$2501, 1576, MATCH("RevCAGR", Simulations!$A$1:$BK$1, 0))</f>
        <v>6.5643706168730998E-2</v>
      </c>
      <c r="D1576" s="2">
        <f ca="1">INDEX(Simulations!$A$1:$BK$2501, 1576, MATCH("SynMargin", Simulations!$A$1:$BK$1, 0))</f>
        <v>1.0771075756612899E-2</v>
      </c>
      <c r="E1576" s="2">
        <f ca="1">INDEX(Simulations!$A$1:$BK$2501, 1576, MATCH("Yr1Shock", Simulations!$A$1:$BK$1, 0))</f>
        <v>3.3094405722302975E-2</v>
      </c>
    </row>
    <row r="1577" spans="1:5" x14ac:dyDescent="0.3">
      <c r="A1577" s="2">
        <f ca="1">INDEX(Simulations!$A$1:$BK$2501, 1577, MATCH("PurchaseMultiple", Simulations!$A$1:$BK$1, 0))</f>
        <v>7.4268218684587817</v>
      </c>
      <c r="B1577" s="2">
        <f ca="1">INDEX(Simulations!$A$1:$BK$2501, 1577, MATCH("ExitMultiple", Simulations!$A$1:$BK$1, 0))</f>
        <v>7.3203646745065738</v>
      </c>
      <c r="C1577" s="2">
        <f ca="1">INDEX(Simulations!$A$1:$BK$2501, 1577, MATCH("RevCAGR", Simulations!$A$1:$BK$1, 0))</f>
        <v>7.2275711461156439E-2</v>
      </c>
      <c r="D1577" s="2">
        <f ca="1">INDEX(Simulations!$A$1:$BK$2501, 1577, MATCH("SynMargin", Simulations!$A$1:$BK$1, 0))</f>
        <v>1.4216534065118511E-2</v>
      </c>
      <c r="E1577" s="2">
        <f ca="1">INDEX(Simulations!$A$1:$BK$2501, 1577, MATCH("Yr1Shock", Simulations!$A$1:$BK$1, 0))</f>
        <v>-3.7577993834359731E-2</v>
      </c>
    </row>
    <row r="1578" spans="1:5" x14ac:dyDescent="0.3">
      <c r="A1578" s="2">
        <f ca="1">INDEX(Simulations!$A$1:$BK$2501, 1578, MATCH("PurchaseMultiple", Simulations!$A$1:$BK$1, 0))</f>
        <v>7.5068272807000493</v>
      </c>
      <c r="B1578" s="2">
        <f ca="1">INDEX(Simulations!$A$1:$BK$2501, 1578, MATCH("ExitMultiple", Simulations!$A$1:$BK$1, 0))</f>
        <v>7.2476516959782664</v>
      </c>
      <c r="C1578" s="2">
        <f ca="1">INDEX(Simulations!$A$1:$BK$2501, 1578, MATCH("RevCAGR", Simulations!$A$1:$BK$1, 0))</f>
        <v>2.8670202954222415E-2</v>
      </c>
      <c r="D1578" s="2">
        <f ca="1">INDEX(Simulations!$A$1:$BK$2501, 1578, MATCH("SynMargin", Simulations!$A$1:$BK$1, 0))</f>
        <v>1.5672234613141583E-2</v>
      </c>
      <c r="E1578" s="2">
        <f ca="1">INDEX(Simulations!$A$1:$BK$2501, 1578, MATCH("Yr1Shock", Simulations!$A$1:$BK$1, 0))</f>
        <v>1.3060068799301335E-2</v>
      </c>
    </row>
    <row r="1579" spans="1:5" x14ac:dyDescent="0.3">
      <c r="A1579" s="2">
        <f ca="1">INDEX(Simulations!$A$1:$BK$2501, 1579, MATCH("PurchaseMultiple", Simulations!$A$1:$BK$1, 0))</f>
        <v>7.3197916191621006</v>
      </c>
      <c r="B1579" s="2">
        <f ca="1">INDEX(Simulations!$A$1:$BK$2501, 1579, MATCH("ExitMultiple", Simulations!$A$1:$BK$1, 0))</f>
        <v>7.3836161585253652</v>
      </c>
      <c r="C1579" s="2">
        <f ca="1">INDEX(Simulations!$A$1:$BK$2501, 1579, MATCH("RevCAGR", Simulations!$A$1:$BK$1, 0))</f>
        <v>4.7156841534113425E-2</v>
      </c>
      <c r="D1579" s="2">
        <f ca="1">INDEX(Simulations!$A$1:$BK$2501, 1579, MATCH("SynMargin", Simulations!$A$1:$BK$1, 0))</f>
        <v>1.8030680106944086E-2</v>
      </c>
      <c r="E1579" s="2">
        <f ca="1">INDEX(Simulations!$A$1:$BK$2501, 1579, MATCH("Yr1Shock", Simulations!$A$1:$BK$1, 0))</f>
        <v>3.5912676126166436E-2</v>
      </c>
    </row>
    <row r="1580" spans="1:5" x14ac:dyDescent="0.3">
      <c r="A1580" s="2">
        <f ca="1">INDEX(Simulations!$A$1:$BK$2501, 1580, MATCH("PurchaseMultiple", Simulations!$A$1:$BK$1, 0))</f>
        <v>6.7984312640792748</v>
      </c>
      <c r="B1580" s="2">
        <f ca="1">INDEX(Simulations!$A$1:$BK$2501, 1580, MATCH("ExitMultiple", Simulations!$A$1:$BK$1, 0))</f>
        <v>6.721809681080912</v>
      </c>
      <c r="C1580" s="2">
        <f ca="1">INDEX(Simulations!$A$1:$BK$2501, 1580, MATCH("RevCAGR", Simulations!$A$1:$BK$1, 0))</f>
        <v>2.6223840676000389E-2</v>
      </c>
      <c r="D1580" s="2">
        <f ca="1">INDEX(Simulations!$A$1:$BK$2501, 1580, MATCH("SynMargin", Simulations!$A$1:$BK$1, 0))</f>
        <v>1.3232476171909282E-2</v>
      </c>
      <c r="E1580" s="2">
        <f ca="1">INDEX(Simulations!$A$1:$BK$2501, 1580, MATCH("Yr1Shock", Simulations!$A$1:$BK$1, 0))</f>
        <v>1.1654775772490912E-2</v>
      </c>
    </row>
    <row r="1581" spans="1:5" x14ac:dyDescent="0.3">
      <c r="A1581" s="2">
        <f ca="1">INDEX(Simulations!$A$1:$BK$2501, 1581, MATCH("PurchaseMultiple", Simulations!$A$1:$BK$1, 0))</f>
        <v>7.2119009305270128</v>
      </c>
      <c r="B1581" s="2">
        <f ca="1">INDEX(Simulations!$A$1:$BK$2501, 1581, MATCH("ExitMultiple", Simulations!$A$1:$BK$1, 0))</f>
        <v>6.9740683142544411</v>
      </c>
      <c r="C1581" s="2">
        <f ca="1">INDEX(Simulations!$A$1:$BK$2501, 1581, MATCH("RevCAGR", Simulations!$A$1:$BK$1, 0))</f>
        <v>5.1428384165815369E-2</v>
      </c>
      <c r="D1581" s="2">
        <f ca="1">INDEX(Simulations!$A$1:$BK$2501, 1581, MATCH("SynMargin", Simulations!$A$1:$BK$1, 0))</f>
        <v>1.0045215375100267E-2</v>
      </c>
      <c r="E1581" s="2">
        <f ca="1">INDEX(Simulations!$A$1:$BK$2501, 1581, MATCH("Yr1Shock", Simulations!$A$1:$BK$1, 0))</f>
        <v>1.9383502593090986E-2</v>
      </c>
    </row>
    <row r="1582" spans="1:5" x14ac:dyDescent="0.3">
      <c r="A1582" s="2">
        <f ca="1">INDEX(Simulations!$A$1:$BK$2501, 1582, MATCH("PurchaseMultiple", Simulations!$A$1:$BK$1, 0))</f>
        <v>7.7954917516747946</v>
      </c>
      <c r="B1582" s="2">
        <f ca="1">INDEX(Simulations!$A$1:$BK$2501, 1582, MATCH("ExitMultiple", Simulations!$A$1:$BK$1, 0))</f>
        <v>7.9357242372854095</v>
      </c>
      <c r="C1582" s="2">
        <f ca="1">INDEX(Simulations!$A$1:$BK$2501, 1582, MATCH("RevCAGR", Simulations!$A$1:$BK$1, 0))</f>
        <v>3.9785136647139251E-2</v>
      </c>
      <c r="D1582" s="2">
        <f ca="1">INDEX(Simulations!$A$1:$BK$2501, 1582, MATCH("SynMargin", Simulations!$A$1:$BK$1, 0))</f>
        <v>1.3881387984904006E-2</v>
      </c>
      <c r="E1582" s="2">
        <f ca="1">INDEX(Simulations!$A$1:$BK$2501, 1582, MATCH("Yr1Shock", Simulations!$A$1:$BK$1, 0))</f>
        <v>2.8846577025727137E-3</v>
      </c>
    </row>
    <row r="1583" spans="1:5" x14ac:dyDescent="0.3">
      <c r="A1583" s="2">
        <f ca="1">INDEX(Simulations!$A$1:$BK$2501, 1583, MATCH("PurchaseMultiple", Simulations!$A$1:$BK$1, 0))</f>
        <v>6.8779667683790313</v>
      </c>
      <c r="B1583" s="2">
        <f ca="1">INDEX(Simulations!$A$1:$BK$2501, 1583, MATCH("ExitMultiple", Simulations!$A$1:$BK$1, 0))</f>
        <v>6.7724331367862698</v>
      </c>
      <c r="C1583" s="2">
        <f ca="1">INDEX(Simulations!$A$1:$BK$2501, 1583, MATCH("RevCAGR", Simulations!$A$1:$BK$1, 0))</f>
        <v>4.2798341302691625E-2</v>
      </c>
      <c r="D1583" s="2">
        <f ca="1">INDEX(Simulations!$A$1:$BK$2501, 1583, MATCH("SynMargin", Simulations!$A$1:$BK$1, 0))</f>
        <v>1.1408559005832456E-2</v>
      </c>
      <c r="E1583" s="2">
        <f ca="1">INDEX(Simulations!$A$1:$BK$2501, 1583, MATCH("Yr1Shock", Simulations!$A$1:$BK$1, 0))</f>
        <v>1.2171688742269836E-2</v>
      </c>
    </row>
    <row r="1584" spans="1:5" x14ac:dyDescent="0.3">
      <c r="A1584" s="2">
        <f ca="1">INDEX(Simulations!$A$1:$BK$2501, 1584, MATCH("PurchaseMultiple", Simulations!$A$1:$BK$1, 0))</f>
        <v>7.1826399958198941</v>
      </c>
      <c r="B1584" s="2">
        <f ca="1">INDEX(Simulations!$A$1:$BK$2501, 1584, MATCH("ExitMultiple", Simulations!$A$1:$BK$1, 0))</f>
        <v>7.5726491259525393</v>
      </c>
      <c r="C1584" s="2">
        <f ca="1">INDEX(Simulations!$A$1:$BK$2501, 1584, MATCH("RevCAGR", Simulations!$A$1:$BK$1, 0))</f>
        <v>4.9695517195681202E-2</v>
      </c>
      <c r="D1584" s="2">
        <f ca="1">INDEX(Simulations!$A$1:$BK$2501, 1584, MATCH("SynMargin", Simulations!$A$1:$BK$1, 0))</f>
        <v>8.9495518037211366E-3</v>
      </c>
      <c r="E1584" s="2">
        <f ca="1">INDEX(Simulations!$A$1:$BK$2501, 1584, MATCH("Yr1Shock", Simulations!$A$1:$BK$1, 0))</f>
        <v>2.0411170765402779E-2</v>
      </c>
    </row>
    <row r="1585" spans="1:5" x14ac:dyDescent="0.3">
      <c r="A1585" s="2">
        <f ca="1">INDEX(Simulations!$A$1:$BK$2501, 1585, MATCH("PurchaseMultiple", Simulations!$A$1:$BK$1, 0))</f>
        <v>6.7902680774039048</v>
      </c>
      <c r="B1585" s="2">
        <f ca="1">INDEX(Simulations!$A$1:$BK$2501, 1585, MATCH("ExitMultiple", Simulations!$A$1:$BK$1, 0))</f>
        <v>7.870299950287893</v>
      </c>
      <c r="C1585" s="2">
        <f ca="1">INDEX(Simulations!$A$1:$BK$2501, 1585, MATCH("RevCAGR", Simulations!$A$1:$BK$1, 0))</f>
        <v>7.8367215230290554E-4</v>
      </c>
      <c r="D1585" s="2">
        <f ca="1">INDEX(Simulations!$A$1:$BK$2501, 1585, MATCH("SynMargin", Simulations!$A$1:$BK$1, 0))</f>
        <v>9.0541791147899266E-3</v>
      </c>
      <c r="E1585" s="2">
        <f ca="1">INDEX(Simulations!$A$1:$BK$2501, 1585, MATCH("Yr1Shock", Simulations!$A$1:$BK$1, 0))</f>
        <v>-1.0361437489674005E-3</v>
      </c>
    </row>
    <row r="1586" spans="1:5" x14ac:dyDescent="0.3">
      <c r="A1586" s="2">
        <f ca="1">INDEX(Simulations!$A$1:$BK$2501, 1586, MATCH("PurchaseMultiple", Simulations!$A$1:$BK$1, 0))</f>
        <v>7.6506567420289393</v>
      </c>
      <c r="B1586" s="2">
        <f ca="1">INDEX(Simulations!$A$1:$BK$2501, 1586, MATCH("ExitMultiple", Simulations!$A$1:$BK$1, 0))</f>
        <v>7.4806443432149985</v>
      </c>
      <c r="C1586" s="2">
        <f ca="1">INDEX(Simulations!$A$1:$BK$2501, 1586, MATCH("RevCAGR", Simulations!$A$1:$BK$1, 0))</f>
        <v>4.8057269853315689E-2</v>
      </c>
      <c r="D1586" s="2">
        <f ca="1">INDEX(Simulations!$A$1:$BK$2501, 1586, MATCH("SynMargin", Simulations!$A$1:$BK$1, 0))</f>
        <v>1.5080492846799212E-2</v>
      </c>
      <c r="E1586" s="2">
        <f ca="1">INDEX(Simulations!$A$1:$BK$2501, 1586, MATCH("Yr1Shock", Simulations!$A$1:$BK$1, 0))</f>
        <v>-1.7341964387382437E-2</v>
      </c>
    </row>
    <row r="1587" spans="1:5" x14ac:dyDescent="0.3">
      <c r="A1587" s="2">
        <f ca="1">INDEX(Simulations!$A$1:$BK$2501, 1587, MATCH("PurchaseMultiple", Simulations!$A$1:$BK$1, 0))</f>
        <v>7.6097408467349492</v>
      </c>
      <c r="B1587" s="2">
        <f ca="1">INDEX(Simulations!$A$1:$BK$2501, 1587, MATCH("ExitMultiple", Simulations!$A$1:$BK$1, 0))</f>
        <v>7.1390350304509713</v>
      </c>
      <c r="C1587" s="2">
        <f ca="1">INDEX(Simulations!$A$1:$BK$2501, 1587, MATCH("RevCAGR", Simulations!$A$1:$BK$1, 0))</f>
        <v>3.2534515465965572E-3</v>
      </c>
      <c r="D1587" s="2">
        <f ca="1">INDEX(Simulations!$A$1:$BK$2501, 1587, MATCH("SynMargin", Simulations!$A$1:$BK$1, 0))</f>
        <v>1.4841784636613179E-2</v>
      </c>
      <c r="E1587" s="2">
        <f ca="1">INDEX(Simulations!$A$1:$BK$2501, 1587, MATCH("Yr1Shock", Simulations!$A$1:$BK$1, 0))</f>
        <v>-7.1512340989918592E-3</v>
      </c>
    </row>
    <row r="1588" spans="1:5" x14ac:dyDescent="0.3">
      <c r="A1588" s="2">
        <f ca="1">INDEX(Simulations!$A$1:$BK$2501, 1588, MATCH("PurchaseMultiple", Simulations!$A$1:$BK$1, 0))</f>
        <v>6.9125141438740698</v>
      </c>
      <c r="B1588" s="2">
        <f ca="1">INDEX(Simulations!$A$1:$BK$2501, 1588, MATCH("ExitMultiple", Simulations!$A$1:$BK$1, 0))</f>
        <v>7.1353130336567956</v>
      </c>
      <c r="C1588" s="2">
        <f ca="1">INDEX(Simulations!$A$1:$BK$2501, 1588, MATCH("RevCAGR", Simulations!$A$1:$BK$1, 0))</f>
        <v>5.9805295366802902E-2</v>
      </c>
      <c r="D1588" s="2">
        <f ca="1">INDEX(Simulations!$A$1:$BK$2501, 1588, MATCH("SynMargin", Simulations!$A$1:$BK$1, 0))</f>
        <v>2.0611785026454863E-2</v>
      </c>
      <c r="E1588" s="2">
        <f ca="1">INDEX(Simulations!$A$1:$BK$2501, 1588, MATCH("Yr1Shock", Simulations!$A$1:$BK$1, 0))</f>
        <v>7.5246775682491929E-3</v>
      </c>
    </row>
    <row r="1589" spans="1:5" x14ac:dyDescent="0.3">
      <c r="A1589" s="2">
        <f ca="1">INDEX(Simulations!$A$1:$BK$2501, 1589, MATCH("PurchaseMultiple", Simulations!$A$1:$BK$1, 0))</f>
        <v>7.113071086519267</v>
      </c>
      <c r="B1589" s="2">
        <f ca="1">INDEX(Simulations!$A$1:$BK$2501, 1589, MATCH("ExitMultiple", Simulations!$A$1:$BK$1, 0))</f>
        <v>7.0769628122247159</v>
      </c>
      <c r="C1589" s="2">
        <f ca="1">INDEX(Simulations!$A$1:$BK$2501, 1589, MATCH("RevCAGR", Simulations!$A$1:$BK$1, 0))</f>
        <v>1.2085263497735522E-2</v>
      </c>
      <c r="D1589" s="2">
        <f ca="1">INDEX(Simulations!$A$1:$BK$2501, 1589, MATCH("SynMargin", Simulations!$A$1:$BK$1, 0))</f>
        <v>2.3415101551664272E-3</v>
      </c>
      <c r="E1589" s="2">
        <f ca="1">INDEX(Simulations!$A$1:$BK$2501, 1589, MATCH("Yr1Shock", Simulations!$A$1:$BK$1, 0))</f>
        <v>-2.0119442962285378E-2</v>
      </c>
    </row>
    <row r="1590" spans="1:5" x14ac:dyDescent="0.3">
      <c r="A1590" s="2">
        <f ca="1">INDEX(Simulations!$A$1:$BK$2501, 1590, MATCH("PurchaseMultiple", Simulations!$A$1:$BK$1, 0))</f>
        <v>6.906758201672301</v>
      </c>
      <c r="B1590" s="2">
        <f ca="1">INDEX(Simulations!$A$1:$BK$2501, 1590, MATCH("ExitMultiple", Simulations!$A$1:$BK$1, 0))</f>
        <v>7.4466844355085398</v>
      </c>
      <c r="C1590" s="2">
        <f ca="1">INDEX(Simulations!$A$1:$BK$2501, 1590, MATCH("RevCAGR", Simulations!$A$1:$BK$1, 0))</f>
        <v>5.0805730551349376E-2</v>
      </c>
      <c r="D1590" s="2">
        <f ca="1">INDEX(Simulations!$A$1:$BK$2501, 1590, MATCH("SynMargin", Simulations!$A$1:$BK$1, 0))</f>
        <v>9.6064716020414168E-3</v>
      </c>
      <c r="E1590" s="2">
        <f ca="1">INDEX(Simulations!$A$1:$BK$2501, 1590, MATCH("Yr1Shock", Simulations!$A$1:$BK$1, 0))</f>
        <v>4.8671371816759894E-2</v>
      </c>
    </row>
    <row r="1591" spans="1:5" x14ac:dyDescent="0.3">
      <c r="A1591" s="2">
        <f ca="1">INDEX(Simulations!$A$1:$BK$2501, 1591, MATCH("PurchaseMultiple", Simulations!$A$1:$BK$1, 0))</f>
        <v>7.0323443332833611</v>
      </c>
      <c r="B1591" s="2">
        <f ca="1">INDEX(Simulations!$A$1:$BK$2501, 1591, MATCH("ExitMultiple", Simulations!$A$1:$BK$1, 0))</f>
        <v>7.3794707604369334</v>
      </c>
      <c r="C1591" s="2">
        <f ca="1">INDEX(Simulations!$A$1:$BK$2501, 1591, MATCH("RevCAGR", Simulations!$A$1:$BK$1, 0))</f>
        <v>0.12</v>
      </c>
      <c r="D1591" s="2">
        <f ca="1">INDEX(Simulations!$A$1:$BK$2501, 1591, MATCH("SynMargin", Simulations!$A$1:$BK$1, 0))</f>
        <v>2.166592917414225E-2</v>
      </c>
      <c r="E1591" s="2">
        <f ca="1">INDEX(Simulations!$A$1:$BK$2501, 1591, MATCH("Yr1Shock", Simulations!$A$1:$BK$1, 0))</f>
        <v>-3.9629114283741048E-3</v>
      </c>
    </row>
    <row r="1592" spans="1:5" x14ac:dyDescent="0.3">
      <c r="A1592" s="2">
        <f ca="1">INDEX(Simulations!$A$1:$BK$2501, 1592, MATCH("PurchaseMultiple", Simulations!$A$1:$BK$1, 0))</f>
        <v>6.8421240122294664</v>
      </c>
      <c r="B1592" s="2">
        <f ca="1">INDEX(Simulations!$A$1:$BK$2501, 1592, MATCH("ExitMultiple", Simulations!$A$1:$BK$1, 0))</f>
        <v>7.2226104212486977</v>
      </c>
      <c r="C1592" s="2">
        <f ca="1">INDEX(Simulations!$A$1:$BK$2501, 1592, MATCH("RevCAGR", Simulations!$A$1:$BK$1, 0))</f>
        <v>5.4517954750399805E-2</v>
      </c>
      <c r="D1592" s="2">
        <f ca="1">INDEX(Simulations!$A$1:$BK$2501, 1592, MATCH("SynMargin", Simulations!$A$1:$BK$1, 0))</f>
        <v>9.6636996100881011E-3</v>
      </c>
      <c r="E1592" s="2">
        <f ca="1">INDEX(Simulations!$A$1:$BK$2501, 1592, MATCH("Yr1Shock", Simulations!$A$1:$BK$1, 0))</f>
        <v>-2.4859290153912477E-3</v>
      </c>
    </row>
    <row r="1593" spans="1:5" x14ac:dyDescent="0.3">
      <c r="A1593" s="2">
        <f ca="1">INDEX(Simulations!$A$1:$BK$2501, 1593, MATCH("PurchaseMultiple", Simulations!$A$1:$BK$1, 0))</f>
        <v>7.1935582595213639</v>
      </c>
      <c r="B1593" s="2">
        <f ca="1">INDEX(Simulations!$A$1:$BK$2501, 1593, MATCH("ExitMultiple", Simulations!$A$1:$BK$1, 0))</f>
        <v>6.9913206906530636</v>
      </c>
      <c r="C1593" s="2">
        <f ca="1">INDEX(Simulations!$A$1:$BK$2501, 1593, MATCH("RevCAGR", Simulations!$A$1:$BK$1, 0))</f>
        <v>6.8964793386850104E-2</v>
      </c>
      <c r="D1593" s="2">
        <f ca="1">INDEX(Simulations!$A$1:$BK$2501, 1593, MATCH("SynMargin", Simulations!$A$1:$BK$1, 0))</f>
        <v>2.9606514024291168E-3</v>
      </c>
      <c r="E1593" s="2">
        <f ca="1">INDEX(Simulations!$A$1:$BK$2501, 1593, MATCH("Yr1Shock", Simulations!$A$1:$BK$1, 0))</f>
        <v>-7.7901711615327189E-3</v>
      </c>
    </row>
    <row r="1594" spans="1:5" x14ac:dyDescent="0.3">
      <c r="A1594" s="2">
        <f ca="1">INDEX(Simulations!$A$1:$BK$2501, 1594, MATCH("PurchaseMultiple", Simulations!$A$1:$BK$1, 0))</f>
        <v>7.5408713452200873</v>
      </c>
      <c r="B1594" s="2">
        <f ca="1">INDEX(Simulations!$A$1:$BK$2501, 1594, MATCH("ExitMultiple", Simulations!$A$1:$BK$1, 0))</f>
        <v>7.3807760639142792</v>
      </c>
      <c r="C1594" s="2">
        <f ca="1">INDEX(Simulations!$A$1:$BK$2501, 1594, MATCH("RevCAGR", Simulations!$A$1:$BK$1, 0))</f>
        <v>7.4287804462804488E-2</v>
      </c>
      <c r="D1594" s="2">
        <f ca="1">INDEX(Simulations!$A$1:$BK$2501, 1594, MATCH("SynMargin", Simulations!$A$1:$BK$1, 0))</f>
        <v>6.0751351847793331E-3</v>
      </c>
      <c r="E1594" s="2">
        <f ca="1">INDEX(Simulations!$A$1:$BK$2501, 1594, MATCH("Yr1Shock", Simulations!$A$1:$BK$1, 0))</f>
        <v>8.0806289040610789E-3</v>
      </c>
    </row>
    <row r="1595" spans="1:5" x14ac:dyDescent="0.3">
      <c r="A1595" s="2">
        <f ca="1">INDEX(Simulations!$A$1:$BK$2501, 1595, MATCH("PurchaseMultiple", Simulations!$A$1:$BK$1, 0))</f>
        <v>6.802699880327272</v>
      </c>
      <c r="B1595" s="2">
        <f ca="1">INDEX(Simulations!$A$1:$BK$2501, 1595, MATCH("ExitMultiple", Simulations!$A$1:$BK$1, 0))</f>
        <v>7.374695846068291</v>
      </c>
      <c r="C1595" s="2">
        <f ca="1">INDEX(Simulations!$A$1:$BK$2501, 1595, MATCH("RevCAGR", Simulations!$A$1:$BK$1, 0))</f>
        <v>2.8838821643246967E-2</v>
      </c>
      <c r="D1595" s="2">
        <f ca="1">INDEX(Simulations!$A$1:$BK$2501, 1595, MATCH("SynMargin", Simulations!$A$1:$BK$1, 0))</f>
        <v>7.5322370180882278E-3</v>
      </c>
      <c r="E1595" s="2">
        <f ca="1">INDEX(Simulations!$A$1:$BK$2501, 1595, MATCH("Yr1Shock", Simulations!$A$1:$BK$1, 0))</f>
        <v>-2.3017305323477281E-2</v>
      </c>
    </row>
    <row r="1596" spans="1:5" x14ac:dyDescent="0.3">
      <c r="A1596" s="2">
        <f ca="1">INDEX(Simulations!$A$1:$BK$2501, 1596, MATCH("PurchaseMultiple", Simulations!$A$1:$BK$1, 0))</f>
        <v>7.0842476030517165</v>
      </c>
      <c r="B1596" s="2">
        <f ca="1">INDEX(Simulations!$A$1:$BK$2501, 1596, MATCH("ExitMultiple", Simulations!$A$1:$BK$1, 0))</f>
        <v>7.6003394615940643</v>
      </c>
      <c r="C1596" s="2">
        <f ca="1">INDEX(Simulations!$A$1:$BK$2501, 1596, MATCH("RevCAGR", Simulations!$A$1:$BK$1, 0))</f>
        <v>-1.0024422268248796E-2</v>
      </c>
      <c r="D1596" s="2">
        <f ca="1">INDEX(Simulations!$A$1:$BK$2501, 1596, MATCH("SynMargin", Simulations!$A$1:$BK$1, 0))</f>
        <v>1.5945152353177172E-2</v>
      </c>
      <c r="E1596" s="2">
        <f ca="1">INDEX(Simulations!$A$1:$BK$2501, 1596, MATCH("Yr1Shock", Simulations!$A$1:$BK$1, 0))</f>
        <v>2.5558453193512244E-3</v>
      </c>
    </row>
    <row r="1597" spans="1:5" x14ac:dyDescent="0.3">
      <c r="A1597" s="2">
        <f ca="1">INDEX(Simulations!$A$1:$BK$2501, 1597, MATCH("PurchaseMultiple", Simulations!$A$1:$BK$1, 0))</f>
        <v>6.4190463183156492</v>
      </c>
      <c r="B1597" s="2">
        <f ca="1">INDEX(Simulations!$A$1:$BK$2501, 1597, MATCH("ExitMultiple", Simulations!$A$1:$BK$1, 0))</f>
        <v>7.4730188920983958</v>
      </c>
      <c r="C1597" s="2">
        <f ca="1">INDEX(Simulations!$A$1:$BK$2501, 1597, MATCH("RevCAGR", Simulations!$A$1:$BK$1, 0))</f>
        <v>6.3769995537599169E-2</v>
      </c>
      <c r="D1597" s="2">
        <f ca="1">INDEX(Simulations!$A$1:$BK$2501, 1597, MATCH("SynMargin", Simulations!$A$1:$BK$1, 0))</f>
        <v>4.5347384092368761E-3</v>
      </c>
      <c r="E1597" s="2">
        <f ca="1">INDEX(Simulations!$A$1:$BK$2501, 1597, MATCH("Yr1Shock", Simulations!$A$1:$BK$1, 0))</f>
        <v>-2.4516333977340307E-2</v>
      </c>
    </row>
    <row r="1598" spans="1:5" x14ac:dyDescent="0.3">
      <c r="A1598" s="2">
        <f ca="1">INDEX(Simulations!$A$1:$BK$2501, 1598, MATCH("PurchaseMultiple", Simulations!$A$1:$BK$1, 0))</f>
        <v>7.108239270964809</v>
      </c>
      <c r="B1598" s="2">
        <f ca="1">INDEX(Simulations!$A$1:$BK$2501, 1598, MATCH("ExitMultiple", Simulations!$A$1:$BK$1, 0))</f>
        <v>6.8822602410532845</v>
      </c>
      <c r="C1598" s="2">
        <f ca="1">INDEX(Simulations!$A$1:$BK$2501, 1598, MATCH("RevCAGR", Simulations!$A$1:$BK$1, 0))</f>
        <v>4.7094895055175334E-2</v>
      </c>
      <c r="D1598" s="2">
        <f ca="1">INDEX(Simulations!$A$1:$BK$2501, 1598, MATCH("SynMargin", Simulations!$A$1:$BK$1, 0))</f>
        <v>1.1658013760781037E-2</v>
      </c>
      <c r="E1598" s="2">
        <f ca="1">INDEX(Simulations!$A$1:$BK$2501, 1598, MATCH("Yr1Shock", Simulations!$A$1:$BK$1, 0))</f>
        <v>-3.3770108287375478E-2</v>
      </c>
    </row>
    <row r="1599" spans="1:5" x14ac:dyDescent="0.3">
      <c r="A1599" s="2">
        <f ca="1">INDEX(Simulations!$A$1:$BK$2501, 1599, MATCH("PurchaseMultiple", Simulations!$A$1:$BK$1, 0))</f>
        <v>6.5768247709072636</v>
      </c>
      <c r="B1599" s="2">
        <f ca="1">INDEX(Simulations!$A$1:$BK$2501, 1599, MATCH("ExitMultiple", Simulations!$A$1:$BK$1, 0))</f>
        <v>8.0208534977379031</v>
      </c>
      <c r="C1599" s="2">
        <f ca="1">INDEX(Simulations!$A$1:$BK$2501, 1599, MATCH("RevCAGR", Simulations!$A$1:$BK$1, 0))</f>
        <v>5.695190044596514E-2</v>
      </c>
      <c r="D1599" s="2">
        <f ca="1">INDEX(Simulations!$A$1:$BK$2501, 1599, MATCH("SynMargin", Simulations!$A$1:$BK$1, 0))</f>
        <v>1.1736838264752553E-2</v>
      </c>
      <c r="E1599" s="2">
        <f ca="1">INDEX(Simulations!$A$1:$BK$2501, 1599, MATCH("Yr1Shock", Simulations!$A$1:$BK$1, 0))</f>
        <v>5.5626823683085792E-3</v>
      </c>
    </row>
    <row r="1600" spans="1:5" x14ac:dyDescent="0.3">
      <c r="A1600" s="2">
        <f ca="1">INDEX(Simulations!$A$1:$BK$2501, 1600, MATCH("PurchaseMultiple", Simulations!$A$1:$BK$1, 0))</f>
        <v>7.2175222292968364</v>
      </c>
      <c r="B1600" s="2">
        <f ca="1">INDEX(Simulations!$A$1:$BK$2501, 1600, MATCH("ExitMultiple", Simulations!$A$1:$BK$1, 0))</f>
        <v>7.8195219791094956</v>
      </c>
      <c r="C1600" s="2">
        <f ca="1">INDEX(Simulations!$A$1:$BK$2501, 1600, MATCH("RevCAGR", Simulations!$A$1:$BK$1, 0))</f>
        <v>6.8070553309201795E-2</v>
      </c>
      <c r="D1600" s="2">
        <f ca="1">INDEX(Simulations!$A$1:$BK$2501, 1600, MATCH("SynMargin", Simulations!$A$1:$BK$1, 0))</f>
        <v>9.8163905371422399E-3</v>
      </c>
      <c r="E1600" s="2">
        <f ca="1">INDEX(Simulations!$A$1:$BK$2501, 1600, MATCH("Yr1Shock", Simulations!$A$1:$BK$1, 0))</f>
        <v>2.4798305312602111E-2</v>
      </c>
    </row>
    <row r="1601" spans="1:5" x14ac:dyDescent="0.3">
      <c r="A1601" s="2">
        <f ca="1">INDEX(Simulations!$A$1:$BK$2501, 1601, MATCH("PurchaseMultiple", Simulations!$A$1:$BK$1, 0))</f>
        <v>7.0880276857346143</v>
      </c>
      <c r="B1601" s="2">
        <f ca="1">INDEX(Simulations!$A$1:$BK$2501, 1601, MATCH("ExitMultiple", Simulations!$A$1:$BK$1, 0))</f>
        <v>7.8167587510027783</v>
      </c>
      <c r="C1601" s="2">
        <f ca="1">INDEX(Simulations!$A$1:$BK$2501, 1601, MATCH("RevCAGR", Simulations!$A$1:$BK$1, 0))</f>
        <v>-1.3794591294950677E-2</v>
      </c>
      <c r="D1601" s="2">
        <f ca="1">INDEX(Simulations!$A$1:$BK$2501, 1601, MATCH("SynMargin", Simulations!$A$1:$BK$1, 0))</f>
        <v>1.0085451779407215E-2</v>
      </c>
      <c r="E1601" s="2">
        <f ca="1">INDEX(Simulations!$A$1:$BK$2501, 1601, MATCH("Yr1Shock", Simulations!$A$1:$BK$1, 0))</f>
        <v>-1.778083625459824E-2</v>
      </c>
    </row>
    <row r="1602" spans="1:5" x14ac:dyDescent="0.3">
      <c r="A1602" s="2">
        <f ca="1">INDEX(Simulations!$A$1:$BK$2501, 1602, MATCH("PurchaseMultiple", Simulations!$A$1:$BK$1, 0))</f>
        <v>7.3325294390073097</v>
      </c>
      <c r="B1602" s="2">
        <f ca="1">INDEX(Simulations!$A$1:$BK$2501, 1602, MATCH("ExitMultiple", Simulations!$A$1:$BK$1, 0))</f>
        <v>7.4906012302755665</v>
      </c>
      <c r="C1602" s="2">
        <f ca="1">INDEX(Simulations!$A$1:$BK$2501, 1602, MATCH("RevCAGR", Simulations!$A$1:$BK$1, 0))</f>
        <v>3.9622703342221607E-3</v>
      </c>
      <c r="D1602" s="2">
        <f ca="1">INDEX(Simulations!$A$1:$BK$2501, 1602, MATCH("SynMargin", Simulations!$A$1:$BK$1, 0))</f>
        <v>3.4591290053434124E-3</v>
      </c>
      <c r="E1602" s="2">
        <f ca="1">INDEX(Simulations!$A$1:$BK$2501, 1602, MATCH("Yr1Shock", Simulations!$A$1:$BK$1, 0))</f>
        <v>4.7945100552773175E-3</v>
      </c>
    </row>
    <row r="1603" spans="1:5" x14ac:dyDescent="0.3">
      <c r="A1603" s="2">
        <f ca="1">INDEX(Simulations!$A$1:$BK$2501, 1603, MATCH("PurchaseMultiple", Simulations!$A$1:$BK$1, 0))</f>
        <v>7.3882053520371587</v>
      </c>
      <c r="B1603" s="2">
        <f ca="1">INDEX(Simulations!$A$1:$BK$2501, 1603, MATCH("ExitMultiple", Simulations!$A$1:$BK$1, 0))</f>
        <v>7.4748322334703499</v>
      </c>
      <c r="C1603" s="2">
        <f ca="1">INDEX(Simulations!$A$1:$BK$2501, 1603, MATCH("RevCAGR", Simulations!$A$1:$BK$1, 0))</f>
        <v>4.8682214178511637E-2</v>
      </c>
      <c r="D1603" s="2">
        <f ca="1">INDEX(Simulations!$A$1:$BK$2501, 1603, MATCH("SynMargin", Simulations!$A$1:$BK$1, 0))</f>
        <v>9.8856058452941875E-3</v>
      </c>
      <c r="E1603" s="2">
        <f ca="1">INDEX(Simulations!$A$1:$BK$2501, 1603, MATCH("Yr1Shock", Simulations!$A$1:$BK$1, 0))</f>
        <v>-1.4598264039775353E-2</v>
      </c>
    </row>
    <row r="1604" spans="1:5" x14ac:dyDescent="0.3">
      <c r="A1604" s="2">
        <f ca="1">INDEX(Simulations!$A$1:$BK$2501, 1604, MATCH("PurchaseMultiple", Simulations!$A$1:$BK$1, 0))</f>
        <v>7.0404207139150605</v>
      </c>
      <c r="B1604" s="2">
        <f ca="1">INDEX(Simulations!$A$1:$BK$2501, 1604, MATCH("ExitMultiple", Simulations!$A$1:$BK$1, 0))</f>
        <v>7.5344960096905833</v>
      </c>
      <c r="C1604" s="2">
        <f ca="1">INDEX(Simulations!$A$1:$BK$2501, 1604, MATCH("RevCAGR", Simulations!$A$1:$BK$1, 0))</f>
        <v>5.7022135338851143E-3</v>
      </c>
      <c r="D1604" s="2">
        <f ca="1">INDEX(Simulations!$A$1:$BK$2501, 1604, MATCH("SynMargin", Simulations!$A$1:$BK$1, 0))</f>
        <v>8.7431459815459633E-3</v>
      </c>
      <c r="E1604" s="2">
        <f ca="1">INDEX(Simulations!$A$1:$BK$2501, 1604, MATCH("Yr1Shock", Simulations!$A$1:$BK$1, 0))</f>
        <v>-7.5718494670624836E-3</v>
      </c>
    </row>
    <row r="1605" spans="1:5" x14ac:dyDescent="0.3">
      <c r="A1605" s="2">
        <f ca="1">INDEX(Simulations!$A$1:$BK$2501, 1605, MATCH("PurchaseMultiple", Simulations!$A$1:$BK$1, 0))</f>
        <v>7.2159787669701654</v>
      </c>
      <c r="B1605" s="2">
        <f ca="1">INDEX(Simulations!$A$1:$BK$2501, 1605, MATCH("ExitMultiple", Simulations!$A$1:$BK$1, 0))</f>
        <v>7.8363354802350447</v>
      </c>
      <c r="C1605" s="2">
        <f ca="1">INDEX(Simulations!$A$1:$BK$2501, 1605, MATCH("RevCAGR", Simulations!$A$1:$BK$1, 0))</f>
        <v>5.525365826967004E-2</v>
      </c>
      <c r="D1605" s="2">
        <f ca="1">INDEX(Simulations!$A$1:$BK$2501, 1605, MATCH("SynMargin", Simulations!$A$1:$BK$1, 0))</f>
        <v>9.5607100874327174E-3</v>
      </c>
      <c r="E1605" s="2">
        <f ca="1">INDEX(Simulations!$A$1:$BK$2501, 1605, MATCH("Yr1Shock", Simulations!$A$1:$BK$1, 0))</f>
        <v>2.0849885068178937E-2</v>
      </c>
    </row>
    <row r="1606" spans="1:5" x14ac:dyDescent="0.3">
      <c r="A1606" s="2">
        <f ca="1">INDEX(Simulations!$A$1:$BK$2501, 1606, MATCH("PurchaseMultiple", Simulations!$A$1:$BK$1, 0))</f>
        <v>7.3994117130771571</v>
      </c>
      <c r="B1606" s="2">
        <f ca="1">INDEX(Simulations!$A$1:$BK$2501, 1606, MATCH("ExitMultiple", Simulations!$A$1:$BK$1, 0))</f>
        <v>7.5493320092511329</v>
      </c>
      <c r="C1606" s="2">
        <f ca="1">INDEX(Simulations!$A$1:$BK$2501, 1606, MATCH("RevCAGR", Simulations!$A$1:$BK$1, 0))</f>
        <v>1.1737790292193261E-2</v>
      </c>
      <c r="D1606" s="2">
        <f ca="1">INDEX(Simulations!$A$1:$BK$2501, 1606, MATCH("SynMargin", Simulations!$A$1:$BK$1, 0))</f>
        <v>1.7969814421740213E-2</v>
      </c>
      <c r="E1606" s="2">
        <f ca="1">INDEX(Simulations!$A$1:$BK$2501, 1606, MATCH("Yr1Shock", Simulations!$A$1:$BK$1, 0))</f>
        <v>1.7774377739346529E-2</v>
      </c>
    </row>
    <row r="1607" spans="1:5" x14ac:dyDescent="0.3">
      <c r="A1607" s="2">
        <f ca="1">INDEX(Simulations!$A$1:$BK$2501, 1607, MATCH("PurchaseMultiple", Simulations!$A$1:$BK$1, 0))</f>
        <v>7.6085061100846589</v>
      </c>
      <c r="B1607" s="2">
        <f ca="1">INDEX(Simulations!$A$1:$BK$2501, 1607, MATCH("ExitMultiple", Simulations!$A$1:$BK$1, 0))</f>
        <v>7.7965586490262053</v>
      </c>
      <c r="C1607" s="2">
        <f ca="1">INDEX(Simulations!$A$1:$BK$2501, 1607, MATCH("RevCAGR", Simulations!$A$1:$BK$1, 0))</f>
        <v>7.706289609796263E-2</v>
      </c>
      <c r="D1607" s="2">
        <f ca="1">INDEX(Simulations!$A$1:$BK$2501, 1607, MATCH("SynMargin", Simulations!$A$1:$BK$1, 0))</f>
        <v>0</v>
      </c>
      <c r="E1607" s="2">
        <f ca="1">INDEX(Simulations!$A$1:$BK$2501, 1607, MATCH("Yr1Shock", Simulations!$A$1:$BK$1, 0))</f>
        <v>1.0320096778829144E-2</v>
      </c>
    </row>
    <row r="1608" spans="1:5" x14ac:dyDescent="0.3">
      <c r="A1608" s="2">
        <f ca="1">INDEX(Simulations!$A$1:$BK$2501, 1608, MATCH("PurchaseMultiple", Simulations!$A$1:$BK$1, 0))</f>
        <v>7.7467152798957866</v>
      </c>
      <c r="B1608" s="2">
        <f ca="1">INDEX(Simulations!$A$1:$BK$2501, 1608, MATCH("ExitMultiple", Simulations!$A$1:$BK$1, 0))</f>
        <v>7.6250491929456823</v>
      </c>
      <c r="C1608" s="2">
        <f ca="1">INDEX(Simulations!$A$1:$BK$2501, 1608, MATCH("RevCAGR", Simulations!$A$1:$BK$1, 0))</f>
        <v>2.1575034312913063E-3</v>
      </c>
      <c r="D1608" s="2">
        <f ca="1">INDEX(Simulations!$A$1:$BK$2501, 1608, MATCH("SynMargin", Simulations!$A$1:$BK$1, 0))</f>
        <v>1.0884617463157852E-2</v>
      </c>
      <c r="E1608" s="2">
        <f ca="1">INDEX(Simulations!$A$1:$BK$2501, 1608, MATCH("Yr1Shock", Simulations!$A$1:$BK$1, 0))</f>
        <v>9.4273260531597906E-3</v>
      </c>
    </row>
    <row r="1609" spans="1:5" x14ac:dyDescent="0.3">
      <c r="A1609" s="2">
        <f ca="1">INDEX(Simulations!$A$1:$BK$2501, 1609, MATCH("PurchaseMultiple", Simulations!$A$1:$BK$1, 0))</f>
        <v>7.5865150688287599</v>
      </c>
      <c r="B1609" s="2">
        <f ca="1">INDEX(Simulations!$A$1:$BK$2501, 1609, MATCH("ExitMultiple", Simulations!$A$1:$BK$1, 0))</f>
        <v>7.1139186622233241</v>
      </c>
      <c r="C1609" s="2">
        <f ca="1">INDEX(Simulations!$A$1:$BK$2501, 1609, MATCH("RevCAGR", Simulations!$A$1:$BK$1, 0))</f>
        <v>4.2098692442112347E-2</v>
      </c>
      <c r="D1609" s="2">
        <f ca="1">INDEX(Simulations!$A$1:$BK$2501, 1609, MATCH("SynMargin", Simulations!$A$1:$BK$1, 0))</f>
        <v>1.5526363145135096E-2</v>
      </c>
      <c r="E1609" s="2">
        <f ca="1">INDEX(Simulations!$A$1:$BK$2501, 1609, MATCH("Yr1Shock", Simulations!$A$1:$BK$1, 0))</f>
        <v>1.7377904298719854E-2</v>
      </c>
    </row>
    <row r="1610" spans="1:5" x14ac:dyDescent="0.3">
      <c r="A1610" s="2">
        <f ca="1">INDEX(Simulations!$A$1:$BK$2501, 1610, MATCH("PurchaseMultiple", Simulations!$A$1:$BK$1, 0))</f>
        <v>6.7012112797785477</v>
      </c>
      <c r="B1610" s="2">
        <f ca="1">INDEX(Simulations!$A$1:$BK$2501, 1610, MATCH("ExitMultiple", Simulations!$A$1:$BK$1, 0))</f>
        <v>7.524607642882847</v>
      </c>
      <c r="C1610" s="2">
        <f ca="1">INDEX(Simulations!$A$1:$BK$2501, 1610, MATCH("RevCAGR", Simulations!$A$1:$BK$1, 0))</f>
        <v>9.1120093474904809E-2</v>
      </c>
      <c r="D1610" s="2">
        <f ca="1">INDEX(Simulations!$A$1:$BK$2501, 1610, MATCH("SynMargin", Simulations!$A$1:$BK$1, 0))</f>
        <v>6.6083598993329053E-3</v>
      </c>
      <c r="E1610" s="2">
        <f ca="1">INDEX(Simulations!$A$1:$BK$2501, 1610, MATCH("Yr1Shock", Simulations!$A$1:$BK$1, 0))</f>
        <v>-2.9351585857247897E-2</v>
      </c>
    </row>
    <row r="1611" spans="1:5" x14ac:dyDescent="0.3">
      <c r="A1611" s="2">
        <f ca="1">INDEX(Simulations!$A$1:$BK$2501, 1611, MATCH("PurchaseMultiple", Simulations!$A$1:$BK$1, 0))</f>
        <v>7.4006354043575389</v>
      </c>
      <c r="B1611" s="2">
        <f ca="1">INDEX(Simulations!$A$1:$BK$2501, 1611, MATCH("ExitMultiple", Simulations!$A$1:$BK$1, 0))</f>
        <v>7.7988673291401653</v>
      </c>
      <c r="C1611" s="2">
        <f ca="1">INDEX(Simulations!$A$1:$BK$2501, 1611, MATCH("RevCAGR", Simulations!$A$1:$BK$1, 0))</f>
        <v>1.4128639398126794E-2</v>
      </c>
      <c r="D1611" s="2">
        <f ca="1">INDEX(Simulations!$A$1:$BK$2501, 1611, MATCH("SynMargin", Simulations!$A$1:$BK$1, 0))</f>
        <v>1.7154694770770057E-2</v>
      </c>
      <c r="E1611" s="2">
        <f ca="1">INDEX(Simulations!$A$1:$BK$2501, 1611, MATCH("Yr1Shock", Simulations!$A$1:$BK$1, 0))</f>
        <v>-9.5154892726058826E-3</v>
      </c>
    </row>
    <row r="1612" spans="1:5" x14ac:dyDescent="0.3">
      <c r="A1612" s="2">
        <f ca="1">INDEX(Simulations!$A$1:$BK$2501, 1612, MATCH("PurchaseMultiple", Simulations!$A$1:$BK$1, 0))</f>
        <v>7.5634743468712493</v>
      </c>
      <c r="B1612" s="2">
        <f ca="1">INDEX(Simulations!$A$1:$BK$2501, 1612, MATCH("ExitMultiple", Simulations!$A$1:$BK$1, 0))</f>
        <v>7.9240003353822557</v>
      </c>
      <c r="C1612" s="2">
        <f ca="1">INDEX(Simulations!$A$1:$BK$2501, 1612, MATCH("RevCAGR", Simulations!$A$1:$BK$1, 0))</f>
        <v>-3.6940557586311457E-3</v>
      </c>
      <c r="D1612" s="2">
        <f ca="1">INDEX(Simulations!$A$1:$BK$2501, 1612, MATCH("SynMargin", Simulations!$A$1:$BK$1, 0))</f>
        <v>1.1504017861787159E-2</v>
      </c>
      <c r="E1612" s="2">
        <f ca="1">INDEX(Simulations!$A$1:$BK$2501, 1612, MATCH("Yr1Shock", Simulations!$A$1:$BK$1, 0))</f>
        <v>2.3743818359068167E-2</v>
      </c>
    </row>
    <row r="1613" spans="1:5" x14ac:dyDescent="0.3">
      <c r="A1613" s="2">
        <f ca="1">INDEX(Simulations!$A$1:$BK$2501, 1613, MATCH("PurchaseMultiple", Simulations!$A$1:$BK$1, 0))</f>
        <v>6.9581999223851492</v>
      </c>
      <c r="B1613" s="2">
        <f ca="1">INDEX(Simulations!$A$1:$BK$2501, 1613, MATCH("ExitMultiple", Simulations!$A$1:$BK$1, 0))</f>
        <v>7.3425544726918623</v>
      </c>
      <c r="C1613" s="2">
        <f ca="1">INDEX(Simulations!$A$1:$BK$2501, 1613, MATCH("RevCAGR", Simulations!$A$1:$BK$1, 0))</f>
        <v>5.0863249897662235E-2</v>
      </c>
      <c r="D1613" s="2">
        <f ca="1">INDEX(Simulations!$A$1:$BK$2501, 1613, MATCH("SynMargin", Simulations!$A$1:$BK$1, 0))</f>
        <v>1.4615402490881337E-2</v>
      </c>
      <c r="E1613" s="2">
        <f ca="1">INDEX(Simulations!$A$1:$BK$2501, 1613, MATCH("Yr1Shock", Simulations!$A$1:$BK$1, 0))</f>
        <v>-3.5884160357707253E-4</v>
      </c>
    </row>
    <row r="1614" spans="1:5" x14ac:dyDescent="0.3">
      <c r="A1614" s="2">
        <f ca="1">INDEX(Simulations!$A$1:$BK$2501, 1614, MATCH("PurchaseMultiple", Simulations!$A$1:$BK$1, 0))</f>
        <v>7.02954135462587</v>
      </c>
      <c r="B1614" s="2">
        <f ca="1">INDEX(Simulations!$A$1:$BK$2501, 1614, MATCH("ExitMultiple", Simulations!$A$1:$BK$1, 0))</f>
        <v>7.8030663391632755</v>
      </c>
      <c r="C1614" s="2">
        <f ca="1">INDEX(Simulations!$A$1:$BK$2501, 1614, MATCH("RevCAGR", Simulations!$A$1:$BK$1, 0))</f>
        <v>3.6997475776447207E-2</v>
      </c>
      <c r="D1614" s="2">
        <f ca="1">INDEX(Simulations!$A$1:$BK$2501, 1614, MATCH("SynMargin", Simulations!$A$1:$BK$1, 0))</f>
        <v>6.2420800643000762E-3</v>
      </c>
      <c r="E1614" s="2">
        <f ca="1">INDEX(Simulations!$A$1:$BK$2501, 1614, MATCH("Yr1Shock", Simulations!$A$1:$BK$1, 0))</f>
        <v>-6.1277463012740507E-3</v>
      </c>
    </row>
    <row r="1615" spans="1:5" x14ac:dyDescent="0.3">
      <c r="A1615" s="2">
        <f ca="1">INDEX(Simulations!$A$1:$BK$2501, 1615, MATCH("PurchaseMultiple", Simulations!$A$1:$BK$1, 0))</f>
        <v>6.6711676686757198</v>
      </c>
      <c r="B1615" s="2">
        <f ca="1">INDEX(Simulations!$A$1:$BK$2501, 1615, MATCH("ExitMultiple", Simulations!$A$1:$BK$1, 0))</f>
        <v>6.9415809316217265</v>
      </c>
      <c r="C1615" s="2">
        <f ca="1">INDEX(Simulations!$A$1:$BK$2501, 1615, MATCH("RevCAGR", Simulations!$A$1:$BK$1, 0))</f>
        <v>8.7413836475425555E-2</v>
      </c>
      <c r="D1615" s="2">
        <f ca="1">INDEX(Simulations!$A$1:$BK$2501, 1615, MATCH("SynMargin", Simulations!$A$1:$BK$1, 0))</f>
        <v>7.4933707158169015E-3</v>
      </c>
      <c r="E1615" s="2">
        <f ca="1">INDEX(Simulations!$A$1:$BK$2501, 1615, MATCH("Yr1Shock", Simulations!$A$1:$BK$1, 0))</f>
        <v>-4.3907968194924164E-3</v>
      </c>
    </row>
    <row r="1616" spans="1:5" x14ac:dyDescent="0.3">
      <c r="A1616" s="2">
        <f ca="1">INDEX(Simulations!$A$1:$BK$2501, 1616, MATCH("PurchaseMultiple", Simulations!$A$1:$BK$1, 0))</f>
        <v>7.363406390690332</v>
      </c>
      <c r="B1616" s="2">
        <f ca="1">INDEX(Simulations!$A$1:$BK$2501, 1616, MATCH("ExitMultiple", Simulations!$A$1:$BK$1, 0))</f>
        <v>7.6162620314993754</v>
      </c>
      <c r="C1616" s="2">
        <f ca="1">INDEX(Simulations!$A$1:$BK$2501, 1616, MATCH("RevCAGR", Simulations!$A$1:$BK$1, 0))</f>
        <v>4.2837736768314344E-2</v>
      </c>
      <c r="D1616" s="2">
        <f ca="1">INDEX(Simulations!$A$1:$BK$2501, 1616, MATCH("SynMargin", Simulations!$A$1:$BK$1, 0))</f>
        <v>2.8390708529843697E-3</v>
      </c>
      <c r="E1616" s="2">
        <f ca="1">INDEX(Simulations!$A$1:$BK$2501, 1616, MATCH("Yr1Shock", Simulations!$A$1:$BK$1, 0))</f>
        <v>-8.7636543084145223E-3</v>
      </c>
    </row>
    <row r="1617" spans="1:5" x14ac:dyDescent="0.3">
      <c r="A1617" s="2">
        <f ca="1">INDEX(Simulations!$A$1:$BK$2501, 1617, MATCH("PurchaseMultiple", Simulations!$A$1:$BK$1, 0))</f>
        <v>7.0256983946129772</v>
      </c>
      <c r="B1617" s="2">
        <f ca="1">INDEX(Simulations!$A$1:$BK$2501, 1617, MATCH("ExitMultiple", Simulations!$A$1:$BK$1, 0))</f>
        <v>7.1451741648234819</v>
      </c>
      <c r="C1617" s="2">
        <f ca="1">INDEX(Simulations!$A$1:$BK$2501, 1617, MATCH("RevCAGR", Simulations!$A$1:$BK$1, 0))</f>
        <v>3.2423837330879696E-2</v>
      </c>
      <c r="D1617" s="2">
        <f ca="1">INDEX(Simulations!$A$1:$BK$2501, 1617, MATCH("SynMargin", Simulations!$A$1:$BK$1, 0))</f>
        <v>1.4018884877438905E-2</v>
      </c>
      <c r="E1617" s="2">
        <f ca="1">INDEX(Simulations!$A$1:$BK$2501, 1617, MATCH("Yr1Shock", Simulations!$A$1:$BK$1, 0))</f>
        <v>-2.0984821832965985E-2</v>
      </c>
    </row>
    <row r="1618" spans="1:5" x14ac:dyDescent="0.3">
      <c r="A1618" s="2">
        <f ca="1">INDEX(Simulations!$A$1:$BK$2501, 1618, MATCH("PurchaseMultiple", Simulations!$A$1:$BK$1, 0))</f>
        <v>7.8004519873973051</v>
      </c>
      <c r="B1618" s="2">
        <f ca="1">INDEX(Simulations!$A$1:$BK$2501, 1618, MATCH("ExitMultiple", Simulations!$A$1:$BK$1, 0))</f>
        <v>7.3198115649507391</v>
      </c>
      <c r="C1618" s="2">
        <f ca="1">INDEX(Simulations!$A$1:$BK$2501, 1618, MATCH("RevCAGR", Simulations!$A$1:$BK$1, 0))</f>
        <v>3.9702018439873345E-2</v>
      </c>
      <c r="D1618" s="2">
        <f ca="1">INDEX(Simulations!$A$1:$BK$2501, 1618, MATCH("SynMargin", Simulations!$A$1:$BK$1, 0))</f>
        <v>7.243231932050744E-3</v>
      </c>
      <c r="E1618" s="2">
        <f ca="1">INDEX(Simulations!$A$1:$BK$2501, 1618, MATCH("Yr1Shock", Simulations!$A$1:$BK$1, 0))</f>
        <v>-2.2101575287344005E-2</v>
      </c>
    </row>
    <row r="1619" spans="1:5" x14ac:dyDescent="0.3">
      <c r="A1619" s="2">
        <f ca="1">INDEX(Simulations!$A$1:$BK$2501, 1619, MATCH("PurchaseMultiple", Simulations!$A$1:$BK$1, 0))</f>
        <v>6.8977001365755779</v>
      </c>
      <c r="B1619" s="2">
        <f ca="1">INDEX(Simulations!$A$1:$BK$2501, 1619, MATCH("ExitMultiple", Simulations!$A$1:$BK$1, 0))</f>
        <v>7.4690334324732319</v>
      </c>
      <c r="C1619" s="2">
        <f ca="1">INDEX(Simulations!$A$1:$BK$2501, 1619, MATCH("RevCAGR", Simulations!$A$1:$BK$1, 0))</f>
        <v>1.8904942239976959E-2</v>
      </c>
      <c r="D1619" s="2">
        <f ca="1">INDEX(Simulations!$A$1:$BK$2501, 1619, MATCH("SynMargin", Simulations!$A$1:$BK$1, 0))</f>
        <v>8.6320789982071919E-3</v>
      </c>
      <c r="E1619" s="2">
        <f ca="1">INDEX(Simulations!$A$1:$BK$2501, 1619, MATCH("Yr1Shock", Simulations!$A$1:$BK$1, 0))</f>
        <v>-2.0277253419023384E-2</v>
      </c>
    </row>
    <row r="1620" spans="1:5" x14ac:dyDescent="0.3">
      <c r="A1620" s="2">
        <f ca="1">INDEX(Simulations!$A$1:$BK$2501, 1620, MATCH("PurchaseMultiple", Simulations!$A$1:$BK$1, 0))</f>
        <v>6.7896031717580341</v>
      </c>
      <c r="B1620" s="2">
        <f ca="1">INDEX(Simulations!$A$1:$BK$2501, 1620, MATCH("ExitMultiple", Simulations!$A$1:$BK$1, 0))</f>
        <v>7.7490823553545187</v>
      </c>
      <c r="C1620" s="2">
        <f ca="1">INDEX(Simulations!$A$1:$BK$2501, 1620, MATCH("RevCAGR", Simulations!$A$1:$BK$1, 0))</f>
        <v>2.3566534782410803E-2</v>
      </c>
      <c r="D1620" s="2">
        <f ca="1">INDEX(Simulations!$A$1:$BK$2501, 1620, MATCH("SynMargin", Simulations!$A$1:$BK$1, 0))</f>
        <v>1.0860460362506914E-2</v>
      </c>
      <c r="E1620" s="2">
        <f ca="1">INDEX(Simulations!$A$1:$BK$2501, 1620, MATCH("Yr1Shock", Simulations!$A$1:$BK$1, 0))</f>
        <v>1.6119262692832335E-2</v>
      </c>
    </row>
    <row r="1621" spans="1:5" x14ac:dyDescent="0.3">
      <c r="A1621" s="2">
        <f ca="1">INDEX(Simulations!$A$1:$BK$2501, 1621, MATCH("PurchaseMultiple", Simulations!$A$1:$BK$1, 0))</f>
        <v>6.9679334069936738</v>
      </c>
      <c r="B1621" s="2">
        <f ca="1">INDEX(Simulations!$A$1:$BK$2501, 1621, MATCH("ExitMultiple", Simulations!$A$1:$BK$1, 0))</f>
        <v>7.5105506182807522</v>
      </c>
      <c r="C1621" s="2">
        <f ca="1">INDEX(Simulations!$A$1:$BK$2501, 1621, MATCH("RevCAGR", Simulations!$A$1:$BK$1, 0))</f>
        <v>-8.6473992865658059E-3</v>
      </c>
      <c r="D1621" s="2">
        <f ca="1">INDEX(Simulations!$A$1:$BK$2501, 1621, MATCH("SynMargin", Simulations!$A$1:$BK$1, 0))</f>
        <v>1.0063361702981359E-2</v>
      </c>
      <c r="E1621" s="2">
        <f ca="1">INDEX(Simulations!$A$1:$BK$2501, 1621, MATCH("Yr1Shock", Simulations!$A$1:$BK$1, 0))</f>
        <v>-1.8860442961037343E-3</v>
      </c>
    </row>
    <row r="1622" spans="1:5" x14ac:dyDescent="0.3">
      <c r="A1622" s="2">
        <f ca="1">INDEX(Simulations!$A$1:$BK$2501, 1622, MATCH("PurchaseMultiple", Simulations!$A$1:$BK$1, 0))</f>
        <v>7.1612533728361001</v>
      </c>
      <c r="B1622" s="2">
        <f ca="1">INDEX(Simulations!$A$1:$BK$2501, 1622, MATCH("ExitMultiple", Simulations!$A$1:$BK$1, 0))</f>
        <v>7.9102592025035712</v>
      </c>
      <c r="C1622" s="2">
        <f ca="1">INDEX(Simulations!$A$1:$BK$2501, 1622, MATCH("RevCAGR", Simulations!$A$1:$BK$1, 0))</f>
        <v>1.7162636372642124E-2</v>
      </c>
      <c r="D1622" s="2">
        <f ca="1">INDEX(Simulations!$A$1:$BK$2501, 1622, MATCH("SynMargin", Simulations!$A$1:$BK$1, 0))</f>
        <v>5.6382497317462171E-6</v>
      </c>
      <c r="E1622" s="2">
        <f ca="1">INDEX(Simulations!$A$1:$BK$2501, 1622, MATCH("Yr1Shock", Simulations!$A$1:$BK$1, 0))</f>
        <v>2.850119223336744E-3</v>
      </c>
    </row>
    <row r="1623" spans="1:5" x14ac:dyDescent="0.3">
      <c r="A1623" s="2">
        <f ca="1">INDEX(Simulations!$A$1:$BK$2501, 1623, MATCH("PurchaseMultiple", Simulations!$A$1:$BK$1, 0))</f>
        <v>7.1890080014170339</v>
      </c>
      <c r="B1623" s="2">
        <f ca="1">INDEX(Simulations!$A$1:$BK$2501, 1623, MATCH("ExitMultiple", Simulations!$A$1:$BK$1, 0))</f>
        <v>7.4417603591999857</v>
      </c>
      <c r="C1623" s="2">
        <f ca="1">INDEX(Simulations!$A$1:$BK$2501, 1623, MATCH("RevCAGR", Simulations!$A$1:$BK$1, 0))</f>
        <v>7.2361059230612867E-2</v>
      </c>
      <c r="D1623" s="2">
        <f ca="1">INDEX(Simulations!$A$1:$BK$2501, 1623, MATCH("SynMargin", Simulations!$A$1:$BK$1, 0))</f>
        <v>1.1130507396542604E-2</v>
      </c>
      <c r="E1623" s="2">
        <f ca="1">INDEX(Simulations!$A$1:$BK$2501, 1623, MATCH("Yr1Shock", Simulations!$A$1:$BK$1, 0))</f>
        <v>1.1073854166014054E-2</v>
      </c>
    </row>
    <row r="1624" spans="1:5" x14ac:dyDescent="0.3">
      <c r="A1624" s="2">
        <f ca="1">INDEX(Simulations!$A$1:$BK$2501, 1624, MATCH("PurchaseMultiple", Simulations!$A$1:$BK$1, 0))</f>
        <v>6.9289678427131385</v>
      </c>
      <c r="B1624" s="2">
        <f ca="1">INDEX(Simulations!$A$1:$BK$2501, 1624, MATCH("ExitMultiple", Simulations!$A$1:$BK$1, 0))</f>
        <v>7.0536556705108566</v>
      </c>
      <c r="C1624" s="2">
        <f ca="1">INDEX(Simulations!$A$1:$BK$2501, 1624, MATCH("RevCAGR", Simulations!$A$1:$BK$1, 0))</f>
        <v>3.930131199247669E-2</v>
      </c>
      <c r="D1624" s="2">
        <f ca="1">INDEX(Simulations!$A$1:$BK$2501, 1624, MATCH("SynMargin", Simulations!$A$1:$BK$1, 0))</f>
        <v>7.5841582851275064E-3</v>
      </c>
      <c r="E1624" s="2">
        <f ca="1">INDEX(Simulations!$A$1:$BK$2501, 1624, MATCH("Yr1Shock", Simulations!$A$1:$BK$1, 0))</f>
        <v>2.8484040883355002E-2</v>
      </c>
    </row>
    <row r="1625" spans="1:5" x14ac:dyDescent="0.3">
      <c r="A1625" s="2">
        <f ca="1">INDEX(Simulations!$A$1:$BK$2501, 1625, MATCH("PurchaseMultiple", Simulations!$A$1:$BK$1, 0))</f>
        <v>6.8799552875595706</v>
      </c>
      <c r="B1625" s="2">
        <f ca="1">INDEX(Simulations!$A$1:$BK$2501, 1625, MATCH("ExitMultiple", Simulations!$A$1:$BK$1, 0))</f>
        <v>7.8945554829926445</v>
      </c>
      <c r="C1625" s="2">
        <f ca="1">INDEX(Simulations!$A$1:$BK$2501, 1625, MATCH("RevCAGR", Simulations!$A$1:$BK$1, 0))</f>
        <v>3.4702243113659534E-2</v>
      </c>
      <c r="D1625" s="2">
        <f ca="1">INDEX(Simulations!$A$1:$BK$2501, 1625, MATCH("SynMargin", Simulations!$A$1:$BK$1, 0))</f>
        <v>6.050584561986018E-3</v>
      </c>
      <c r="E1625" s="2">
        <f ca="1">INDEX(Simulations!$A$1:$BK$2501, 1625, MATCH("Yr1Shock", Simulations!$A$1:$BK$1, 0))</f>
        <v>-1.8980421973008154E-2</v>
      </c>
    </row>
    <row r="1626" spans="1:5" x14ac:dyDescent="0.3">
      <c r="A1626" s="2">
        <f ca="1">INDEX(Simulations!$A$1:$BK$2501, 1626, MATCH("PurchaseMultiple", Simulations!$A$1:$BK$1, 0))</f>
        <v>6.3850106179973203</v>
      </c>
      <c r="B1626" s="2">
        <f ca="1">INDEX(Simulations!$A$1:$BK$2501, 1626, MATCH("ExitMultiple", Simulations!$A$1:$BK$1, 0))</f>
        <v>7.8961851335553721</v>
      </c>
      <c r="C1626" s="2">
        <f ca="1">INDEX(Simulations!$A$1:$BK$2501, 1626, MATCH("RevCAGR", Simulations!$A$1:$BK$1, 0))</f>
        <v>1.0132773209704331E-2</v>
      </c>
      <c r="D1626" s="2">
        <f ca="1">INDEX(Simulations!$A$1:$BK$2501, 1626, MATCH("SynMargin", Simulations!$A$1:$BK$1, 0))</f>
        <v>1.1093731624418545E-2</v>
      </c>
      <c r="E1626" s="2">
        <f ca="1">INDEX(Simulations!$A$1:$BK$2501, 1626, MATCH("Yr1Shock", Simulations!$A$1:$BK$1, 0))</f>
        <v>1.5315947999976149E-3</v>
      </c>
    </row>
    <row r="1627" spans="1:5" x14ac:dyDescent="0.3">
      <c r="A1627" s="2">
        <f ca="1">INDEX(Simulations!$A$1:$BK$2501, 1627, MATCH("PurchaseMultiple", Simulations!$A$1:$BK$1, 0))</f>
        <v>7.2679396925309527</v>
      </c>
      <c r="B1627" s="2">
        <f ca="1">INDEX(Simulations!$A$1:$BK$2501, 1627, MATCH("ExitMultiple", Simulations!$A$1:$BK$1, 0))</f>
        <v>8.2269479590092018</v>
      </c>
      <c r="C1627" s="2">
        <f ca="1">INDEX(Simulations!$A$1:$BK$2501, 1627, MATCH("RevCAGR", Simulations!$A$1:$BK$1, 0))</f>
        <v>8.7020788260629228E-2</v>
      </c>
      <c r="D1627" s="2">
        <f ca="1">INDEX(Simulations!$A$1:$BK$2501, 1627, MATCH("SynMargin", Simulations!$A$1:$BK$1, 0))</f>
        <v>1.0702364011676077E-2</v>
      </c>
      <c r="E1627" s="2">
        <f ca="1">INDEX(Simulations!$A$1:$BK$2501, 1627, MATCH("Yr1Shock", Simulations!$A$1:$BK$1, 0))</f>
        <v>1.1440177148483846E-2</v>
      </c>
    </row>
    <row r="1628" spans="1:5" x14ac:dyDescent="0.3">
      <c r="A1628" s="2">
        <f ca="1">INDEX(Simulations!$A$1:$BK$2501, 1628, MATCH("PurchaseMultiple", Simulations!$A$1:$BK$1, 0))</f>
        <v>7.7563688119653085</v>
      </c>
      <c r="B1628" s="2">
        <f ca="1">INDEX(Simulations!$A$1:$BK$2501, 1628, MATCH("ExitMultiple", Simulations!$A$1:$BK$1, 0))</f>
        <v>8.1802954630366749</v>
      </c>
      <c r="C1628" s="2">
        <f ca="1">INDEX(Simulations!$A$1:$BK$2501, 1628, MATCH("RevCAGR", Simulations!$A$1:$BK$1, 0))</f>
        <v>9.3705629799756482E-3</v>
      </c>
      <c r="D1628" s="2">
        <f ca="1">INDEX(Simulations!$A$1:$BK$2501, 1628, MATCH("SynMargin", Simulations!$A$1:$BK$1, 0))</f>
        <v>1.137903610059628E-2</v>
      </c>
      <c r="E1628" s="2">
        <f ca="1">INDEX(Simulations!$A$1:$BK$2501, 1628, MATCH("Yr1Shock", Simulations!$A$1:$BK$1, 0))</f>
        <v>-1.159999788270415E-2</v>
      </c>
    </row>
    <row r="1629" spans="1:5" x14ac:dyDescent="0.3">
      <c r="A1629" s="2">
        <f ca="1">INDEX(Simulations!$A$1:$BK$2501, 1629, MATCH("PurchaseMultiple", Simulations!$A$1:$BK$1, 0))</f>
        <v>6.6408441838809686</v>
      </c>
      <c r="B1629" s="2">
        <f ca="1">INDEX(Simulations!$A$1:$BK$2501, 1629, MATCH("ExitMultiple", Simulations!$A$1:$BK$1, 0))</f>
        <v>6.880422704165464</v>
      </c>
      <c r="C1629" s="2">
        <f ca="1">INDEX(Simulations!$A$1:$BK$2501, 1629, MATCH("RevCAGR", Simulations!$A$1:$BK$1, 0))</f>
        <v>9.8258582618013179E-2</v>
      </c>
      <c r="D1629" s="2">
        <f ca="1">INDEX(Simulations!$A$1:$BK$2501, 1629, MATCH("SynMargin", Simulations!$A$1:$BK$1, 0))</f>
        <v>3.0601381040954402E-3</v>
      </c>
      <c r="E1629" s="2">
        <f ca="1">INDEX(Simulations!$A$1:$BK$2501, 1629, MATCH("Yr1Shock", Simulations!$A$1:$BK$1, 0))</f>
        <v>4.1344077358939385E-2</v>
      </c>
    </row>
    <row r="1630" spans="1:5" x14ac:dyDescent="0.3">
      <c r="A1630" s="2">
        <f ca="1">INDEX(Simulations!$A$1:$BK$2501, 1630, MATCH("PurchaseMultiple", Simulations!$A$1:$BK$1, 0))</f>
        <v>6.8359792740314882</v>
      </c>
      <c r="B1630" s="2">
        <f ca="1">INDEX(Simulations!$A$1:$BK$2501, 1630, MATCH("ExitMultiple", Simulations!$A$1:$BK$1, 0))</f>
        <v>7.1168169010327453</v>
      </c>
      <c r="C1630" s="2">
        <f ca="1">INDEX(Simulations!$A$1:$BK$2501, 1630, MATCH("RevCAGR", Simulations!$A$1:$BK$1, 0))</f>
        <v>-3.8321292895164699E-3</v>
      </c>
      <c r="D1630" s="2">
        <f ca="1">INDEX(Simulations!$A$1:$BK$2501, 1630, MATCH("SynMargin", Simulations!$A$1:$BK$1, 0))</f>
        <v>1.2506741701722576E-2</v>
      </c>
      <c r="E1630" s="2">
        <f ca="1">INDEX(Simulations!$A$1:$BK$2501, 1630, MATCH("Yr1Shock", Simulations!$A$1:$BK$1, 0))</f>
        <v>4.7413024895582821E-3</v>
      </c>
    </row>
    <row r="1631" spans="1:5" x14ac:dyDescent="0.3">
      <c r="A1631" s="2">
        <f ca="1">INDEX(Simulations!$A$1:$BK$2501, 1631, MATCH("PurchaseMultiple", Simulations!$A$1:$BK$1, 0))</f>
        <v>7.0171547345806546</v>
      </c>
      <c r="B1631" s="2">
        <f ca="1">INDEX(Simulations!$A$1:$BK$2501, 1631, MATCH("ExitMultiple", Simulations!$A$1:$BK$1, 0))</f>
        <v>7.0121369694038371</v>
      </c>
      <c r="C1631" s="2">
        <f ca="1">INDEX(Simulations!$A$1:$BK$2501, 1631, MATCH("RevCAGR", Simulations!$A$1:$BK$1, 0))</f>
        <v>7.5605865600155725E-2</v>
      </c>
      <c r="D1631" s="2">
        <f ca="1">INDEX(Simulations!$A$1:$BK$2501, 1631, MATCH("SynMargin", Simulations!$A$1:$BK$1, 0))</f>
        <v>1.8017585450083862E-2</v>
      </c>
      <c r="E1631" s="2">
        <f ca="1">INDEX(Simulations!$A$1:$BK$2501, 1631, MATCH("Yr1Shock", Simulations!$A$1:$BK$1, 0))</f>
        <v>-1.8694870394054534E-2</v>
      </c>
    </row>
    <row r="1632" spans="1:5" x14ac:dyDescent="0.3">
      <c r="A1632" s="2">
        <f ca="1">INDEX(Simulations!$A$1:$BK$2501, 1632, MATCH("PurchaseMultiple", Simulations!$A$1:$BK$1, 0))</f>
        <v>7.5419626397488653</v>
      </c>
      <c r="B1632" s="2">
        <f ca="1">INDEX(Simulations!$A$1:$BK$2501, 1632, MATCH("ExitMultiple", Simulations!$A$1:$BK$1, 0))</f>
        <v>7.9396773079570719</v>
      </c>
      <c r="C1632" s="2">
        <f ca="1">INDEX(Simulations!$A$1:$BK$2501, 1632, MATCH("RevCAGR", Simulations!$A$1:$BK$1, 0))</f>
        <v>4.55513611464506E-2</v>
      </c>
      <c r="D1632" s="2">
        <f ca="1">INDEX(Simulations!$A$1:$BK$2501, 1632, MATCH("SynMargin", Simulations!$A$1:$BK$1, 0))</f>
        <v>1.6647375968748414E-2</v>
      </c>
      <c r="E1632" s="2">
        <f ca="1">INDEX(Simulations!$A$1:$BK$2501, 1632, MATCH("Yr1Shock", Simulations!$A$1:$BK$1, 0))</f>
        <v>-1.5199534138811373E-2</v>
      </c>
    </row>
    <row r="1633" spans="1:5" x14ac:dyDescent="0.3">
      <c r="A1633" s="2">
        <f ca="1">INDEX(Simulations!$A$1:$BK$2501, 1633, MATCH("PurchaseMultiple", Simulations!$A$1:$BK$1, 0))</f>
        <v>7.2636055683517924</v>
      </c>
      <c r="B1633" s="2">
        <f ca="1">INDEX(Simulations!$A$1:$BK$2501, 1633, MATCH("ExitMultiple", Simulations!$A$1:$BK$1, 0))</f>
        <v>7.8878987138064351</v>
      </c>
      <c r="C1633" s="2">
        <f ca="1">INDEX(Simulations!$A$1:$BK$2501, 1633, MATCH("RevCAGR", Simulations!$A$1:$BK$1, 0))</f>
        <v>2.243805093966663E-2</v>
      </c>
      <c r="D1633" s="2">
        <f ca="1">INDEX(Simulations!$A$1:$BK$2501, 1633, MATCH("SynMargin", Simulations!$A$1:$BK$1, 0))</f>
        <v>1.3569825617334351E-2</v>
      </c>
      <c r="E1633" s="2">
        <f ca="1">INDEX(Simulations!$A$1:$BK$2501, 1633, MATCH("Yr1Shock", Simulations!$A$1:$BK$1, 0))</f>
        <v>-8.9110441950650474E-3</v>
      </c>
    </row>
    <row r="1634" spans="1:5" x14ac:dyDescent="0.3">
      <c r="A1634" s="2">
        <f ca="1">INDEX(Simulations!$A$1:$BK$2501, 1634, MATCH("PurchaseMultiple", Simulations!$A$1:$BK$1, 0))</f>
        <v>7.5304752386754261</v>
      </c>
      <c r="B1634" s="2">
        <f ca="1">INDEX(Simulations!$A$1:$BK$2501, 1634, MATCH("ExitMultiple", Simulations!$A$1:$BK$1, 0))</f>
        <v>7.4034937803553005</v>
      </c>
      <c r="C1634" s="2">
        <f ca="1">INDEX(Simulations!$A$1:$BK$2501, 1634, MATCH("RevCAGR", Simulations!$A$1:$BK$1, 0))</f>
        <v>3.8705787335175434E-2</v>
      </c>
      <c r="D1634" s="2">
        <f ca="1">INDEX(Simulations!$A$1:$BK$2501, 1634, MATCH("SynMargin", Simulations!$A$1:$BK$1, 0))</f>
        <v>1.1569506800912347E-2</v>
      </c>
      <c r="E1634" s="2">
        <f ca="1">INDEX(Simulations!$A$1:$BK$2501, 1634, MATCH("Yr1Shock", Simulations!$A$1:$BK$1, 0))</f>
        <v>1.0121329530503253E-3</v>
      </c>
    </row>
    <row r="1635" spans="1:5" x14ac:dyDescent="0.3">
      <c r="A1635" s="2">
        <f ca="1">INDEX(Simulations!$A$1:$BK$2501, 1635, MATCH("PurchaseMultiple", Simulations!$A$1:$BK$1, 0))</f>
        <v>6.6269537361619202</v>
      </c>
      <c r="B1635" s="2">
        <f ca="1">INDEX(Simulations!$A$1:$BK$2501, 1635, MATCH("ExitMultiple", Simulations!$A$1:$BK$1, 0))</f>
        <v>7.6161212499390487</v>
      </c>
      <c r="C1635" s="2">
        <f ca="1">INDEX(Simulations!$A$1:$BK$2501, 1635, MATCH("RevCAGR", Simulations!$A$1:$BK$1, 0))</f>
        <v>2.099764140563214E-2</v>
      </c>
      <c r="D1635" s="2">
        <f ca="1">INDEX(Simulations!$A$1:$BK$2501, 1635, MATCH("SynMargin", Simulations!$A$1:$BK$1, 0))</f>
        <v>4.7664266528582577E-3</v>
      </c>
      <c r="E1635" s="2">
        <f ca="1">INDEX(Simulations!$A$1:$BK$2501, 1635, MATCH("Yr1Shock", Simulations!$A$1:$BK$1, 0))</f>
        <v>-4.4446435339518791E-3</v>
      </c>
    </row>
    <row r="1636" spans="1:5" x14ac:dyDescent="0.3">
      <c r="A1636" s="2">
        <f ca="1">INDEX(Simulations!$A$1:$BK$2501, 1636, MATCH("PurchaseMultiple", Simulations!$A$1:$BK$1, 0))</f>
        <v>7.4285929788862184</v>
      </c>
      <c r="B1636" s="2">
        <f ca="1">INDEX(Simulations!$A$1:$BK$2501, 1636, MATCH("ExitMultiple", Simulations!$A$1:$BK$1, 0))</f>
        <v>7.3930321669071031</v>
      </c>
      <c r="C1636" s="2">
        <f ca="1">INDEX(Simulations!$A$1:$BK$2501, 1636, MATCH("RevCAGR", Simulations!$A$1:$BK$1, 0))</f>
        <v>6.0887284555538254E-2</v>
      </c>
      <c r="D1636" s="2">
        <f ca="1">INDEX(Simulations!$A$1:$BK$2501, 1636, MATCH("SynMargin", Simulations!$A$1:$BK$1, 0))</f>
        <v>1.3803003928782549E-2</v>
      </c>
      <c r="E1636" s="2">
        <f ca="1">INDEX(Simulations!$A$1:$BK$2501, 1636, MATCH("Yr1Shock", Simulations!$A$1:$BK$1, 0))</f>
        <v>2.3955466311953964E-2</v>
      </c>
    </row>
    <row r="1637" spans="1:5" x14ac:dyDescent="0.3">
      <c r="A1637" s="2">
        <f ca="1">INDEX(Simulations!$A$1:$BK$2501, 1637, MATCH("PurchaseMultiple", Simulations!$A$1:$BK$1, 0))</f>
        <v>7.0560414469834649</v>
      </c>
      <c r="B1637" s="2">
        <f ca="1">INDEX(Simulations!$A$1:$BK$2501, 1637, MATCH("ExitMultiple", Simulations!$A$1:$BK$1, 0))</f>
        <v>7.3814566347762973</v>
      </c>
      <c r="C1637" s="2">
        <f ca="1">INDEX(Simulations!$A$1:$BK$2501, 1637, MATCH("RevCAGR", Simulations!$A$1:$BK$1, 0))</f>
        <v>4.6909469871878863E-2</v>
      </c>
      <c r="D1637" s="2">
        <f ca="1">INDEX(Simulations!$A$1:$BK$2501, 1637, MATCH("SynMargin", Simulations!$A$1:$BK$1, 0))</f>
        <v>1.0558069119135531E-2</v>
      </c>
      <c r="E1637" s="2">
        <f ca="1">INDEX(Simulations!$A$1:$BK$2501, 1637, MATCH("Yr1Shock", Simulations!$A$1:$BK$1, 0))</f>
        <v>-2.0949562112928505E-2</v>
      </c>
    </row>
    <row r="1638" spans="1:5" x14ac:dyDescent="0.3">
      <c r="A1638" s="2">
        <f ca="1">INDEX(Simulations!$A$1:$BK$2501, 1638, MATCH("PurchaseMultiple", Simulations!$A$1:$BK$1, 0))</f>
        <v>7.4055365756995855</v>
      </c>
      <c r="B1638" s="2">
        <f ca="1">INDEX(Simulations!$A$1:$BK$2501, 1638, MATCH("ExitMultiple", Simulations!$A$1:$BK$1, 0))</f>
        <v>7.6812014146495233</v>
      </c>
      <c r="C1638" s="2">
        <f ca="1">INDEX(Simulations!$A$1:$BK$2501, 1638, MATCH("RevCAGR", Simulations!$A$1:$BK$1, 0))</f>
        <v>6.957716196683443E-2</v>
      </c>
      <c r="D1638" s="2">
        <f ca="1">INDEX(Simulations!$A$1:$BK$2501, 1638, MATCH("SynMargin", Simulations!$A$1:$BK$1, 0))</f>
        <v>0</v>
      </c>
      <c r="E1638" s="2">
        <f ca="1">INDEX(Simulations!$A$1:$BK$2501, 1638, MATCH("Yr1Shock", Simulations!$A$1:$BK$1, 0))</f>
        <v>0.05</v>
      </c>
    </row>
    <row r="1639" spans="1:5" x14ac:dyDescent="0.3">
      <c r="A1639" s="2">
        <f ca="1">INDEX(Simulations!$A$1:$BK$2501, 1639, MATCH("PurchaseMultiple", Simulations!$A$1:$BK$1, 0))</f>
        <v>7.082123511330515</v>
      </c>
      <c r="B1639" s="2">
        <f ca="1">INDEX(Simulations!$A$1:$BK$2501, 1639, MATCH("ExitMultiple", Simulations!$A$1:$BK$1, 0))</f>
        <v>7.7112018213826392</v>
      </c>
      <c r="C1639" s="2">
        <f ca="1">INDEX(Simulations!$A$1:$BK$2501, 1639, MATCH("RevCAGR", Simulations!$A$1:$BK$1, 0))</f>
        <v>2.2331051292382345E-2</v>
      </c>
      <c r="D1639" s="2">
        <f ca="1">INDEX(Simulations!$A$1:$BK$2501, 1639, MATCH("SynMargin", Simulations!$A$1:$BK$1, 0))</f>
        <v>7.7959654429546957E-3</v>
      </c>
      <c r="E1639" s="2">
        <f ca="1">INDEX(Simulations!$A$1:$BK$2501, 1639, MATCH("Yr1Shock", Simulations!$A$1:$BK$1, 0))</f>
        <v>4.1417561991499621E-3</v>
      </c>
    </row>
    <row r="1640" spans="1:5" x14ac:dyDescent="0.3">
      <c r="A1640" s="2">
        <f ca="1">INDEX(Simulations!$A$1:$BK$2501, 1640, MATCH("PurchaseMultiple", Simulations!$A$1:$BK$1, 0))</f>
        <v>6.7339000373449407</v>
      </c>
      <c r="B1640" s="2">
        <f ca="1">INDEX(Simulations!$A$1:$BK$2501, 1640, MATCH("ExitMultiple", Simulations!$A$1:$BK$1, 0))</f>
        <v>7.4978173947432412</v>
      </c>
      <c r="C1640" s="2">
        <f ca="1">INDEX(Simulations!$A$1:$BK$2501, 1640, MATCH("RevCAGR", Simulations!$A$1:$BK$1, 0))</f>
        <v>6.0177460178297976E-2</v>
      </c>
      <c r="D1640" s="2">
        <f ca="1">INDEX(Simulations!$A$1:$BK$2501, 1640, MATCH("SynMargin", Simulations!$A$1:$BK$1, 0))</f>
        <v>1.4165674277790741E-2</v>
      </c>
      <c r="E1640" s="2">
        <f ca="1">INDEX(Simulations!$A$1:$BK$2501, 1640, MATCH("Yr1Shock", Simulations!$A$1:$BK$1, 0))</f>
        <v>3.4401417014843817E-2</v>
      </c>
    </row>
    <row r="1641" spans="1:5" x14ac:dyDescent="0.3">
      <c r="A1641" s="2">
        <f ca="1">INDEX(Simulations!$A$1:$BK$2501, 1641, MATCH("PurchaseMultiple", Simulations!$A$1:$BK$1, 0))</f>
        <v>7.1774144307118286</v>
      </c>
      <c r="B1641" s="2">
        <f ca="1">INDEX(Simulations!$A$1:$BK$2501, 1641, MATCH("ExitMultiple", Simulations!$A$1:$BK$1, 0))</f>
        <v>8.3702405358496623</v>
      </c>
      <c r="C1641" s="2">
        <f ca="1">INDEX(Simulations!$A$1:$BK$2501, 1641, MATCH("RevCAGR", Simulations!$A$1:$BK$1, 0))</f>
        <v>6.5596309994658347E-2</v>
      </c>
      <c r="D1641" s="2">
        <f ca="1">INDEX(Simulations!$A$1:$BK$2501, 1641, MATCH("SynMargin", Simulations!$A$1:$BK$1, 0))</f>
        <v>8.7219702918385593E-3</v>
      </c>
      <c r="E1641" s="2">
        <f ca="1">INDEX(Simulations!$A$1:$BK$2501, 1641, MATCH("Yr1Shock", Simulations!$A$1:$BK$1, 0))</f>
        <v>1.5735138165068906E-2</v>
      </c>
    </row>
    <row r="1642" spans="1:5" x14ac:dyDescent="0.3">
      <c r="A1642" s="2">
        <f ca="1">INDEX(Simulations!$A$1:$BK$2501, 1642, MATCH("PurchaseMultiple", Simulations!$A$1:$BK$1, 0))</f>
        <v>7.4777135158832717</v>
      </c>
      <c r="B1642" s="2">
        <f ca="1">INDEX(Simulations!$A$1:$BK$2501, 1642, MATCH("ExitMultiple", Simulations!$A$1:$BK$1, 0))</f>
        <v>7.2713626502600786</v>
      </c>
      <c r="C1642" s="2">
        <f ca="1">INDEX(Simulations!$A$1:$BK$2501, 1642, MATCH("RevCAGR", Simulations!$A$1:$BK$1, 0))</f>
        <v>3.9620236656730555E-2</v>
      </c>
      <c r="D1642" s="2">
        <f ca="1">INDEX(Simulations!$A$1:$BK$2501, 1642, MATCH("SynMargin", Simulations!$A$1:$BK$1, 0))</f>
        <v>4.3550738702065692E-3</v>
      </c>
      <c r="E1642" s="2">
        <f ca="1">INDEX(Simulations!$A$1:$BK$2501, 1642, MATCH("Yr1Shock", Simulations!$A$1:$BK$1, 0))</f>
        <v>-3.6465345288008925E-2</v>
      </c>
    </row>
    <row r="1643" spans="1:5" x14ac:dyDescent="0.3">
      <c r="A1643" s="2">
        <f ca="1">INDEX(Simulations!$A$1:$BK$2501, 1643, MATCH("PurchaseMultiple", Simulations!$A$1:$BK$1, 0))</f>
        <v>7.2475266821747848</v>
      </c>
      <c r="B1643" s="2">
        <f ca="1">INDEX(Simulations!$A$1:$BK$2501, 1643, MATCH("ExitMultiple", Simulations!$A$1:$BK$1, 0))</f>
        <v>7.5953741911942068</v>
      </c>
      <c r="C1643" s="2">
        <f ca="1">INDEX(Simulations!$A$1:$BK$2501, 1643, MATCH("RevCAGR", Simulations!$A$1:$BK$1, 0))</f>
        <v>7.003896390522521E-2</v>
      </c>
      <c r="D1643" s="2">
        <f ca="1">INDEX(Simulations!$A$1:$BK$2501, 1643, MATCH("SynMargin", Simulations!$A$1:$BK$1, 0))</f>
        <v>4.6582077783265344E-3</v>
      </c>
      <c r="E1643" s="2">
        <f ca="1">INDEX(Simulations!$A$1:$BK$2501, 1643, MATCH("Yr1Shock", Simulations!$A$1:$BK$1, 0))</f>
        <v>-2.8815736712274682E-2</v>
      </c>
    </row>
    <row r="1644" spans="1:5" x14ac:dyDescent="0.3">
      <c r="A1644" s="2">
        <f ca="1">INDEX(Simulations!$A$1:$BK$2501, 1644, MATCH("PurchaseMultiple", Simulations!$A$1:$BK$1, 0))</f>
        <v>7.4554742877391238</v>
      </c>
      <c r="B1644" s="2">
        <f ca="1">INDEX(Simulations!$A$1:$BK$2501, 1644, MATCH("ExitMultiple", Simulations!$A$1:$BK$1, 0))</f>
        <v>6.7521011343110366</v>
      </c>
      <c r="C1644" s="2">
        <f ca="1">INDEX(Simulations!$A$1:$BK$2501, 1644, MATCH("RevCAGR", Simulations!$A$1:$BK$1, 0))</f>
        <v>-0.02</v>
      </c>
      <c r="D1644" s="2">
        <f ca="1">INDEX(Simulations!$A$1:$BK$2501, 1644, MATCH("SynMargin", Simulations!$A$1:$BK$1, 0))</f>
        <v>1.3824490909687934E-2</v>
      </c>
      <c r="E1644" s="2">
        <f ca="1">INDEX(Simulations!$A$1:$BK$2501, 1644, MATCH("Yr1Shock", Simulations!$A$1:$BK$1, 0))</f>
        <v>-3.3538535783573825E-2</v>
      </c>
    </row>
    <row r="1645" spans="1:5" x14ac:dyDescent="0.3">
      <c r="A1645" s="2">
        <f ca="1">INDEX(Simulations!$A$1:$BK$2501, 1645, MATCH("PurchaseMultiple", Simulations!$A$1:$BK$1, 0))</f>
        <v>7.2567144730214075</v>
      </c>
      <c r="B1645" s="2">
        <f ca="1">INDEX(Simulations!$A$1:$BK$2501, 1645, MATCH("ExitMultiple", Simulations!$A$1:$BK$1, 0))</f>
        <v>8.1066343183603031</v>
      </c>
      <c r="C1645" s="2">
        <f ca="1">INDEX(Simulations!$A$1:$BK$2501, 1645, MATCH("RevCAGR", Simulations!$A$1:$BK$1, 0))</f>
        <v>2.3442783502462535E-2</v>
      </c>
      <c r="D1645" s="2">
        <f ca="1">INDEX(Simulations!$A$1:$BK$2501, 1645, MATCH("SynMargin", Simulations!$A$1:$BK$1, 0))</f>
        <v>1.2557470961299241E-2</v>
      </c>
      <c r="E1645" s="2">
        <f ca="1">INDEX(Simulations!$A$1:$BK$2501, 1645, MATCH("Yr1Shock", Simulations!$A$1:$BK$1, 0))</f>
        <v>-9.5416105241726001E-3</v>
      </c>
    </row>
    <row r="1646" spans="1:5" x14ac:dyDescent="0.3">
      <c r="A1646" s="2">
        <f ca="1">INDEX(Simulations!$A$1:$BK$2501, 1646, MATCH("PurchaseMultiple", Simulations!$A$1:$BK$1, 0))</f>
        <v>6.7836517953139026</v>
      </c>
      <c r="B1646" s="2">
        <f ca="1">INDEX(Simulations!$A$1:$BK$2501, 1646, MATCH("ExitMultiple", Simulations!$A$1:$BK$1, 0))</f>
        <v>8.0396089480631368</v>
      </c>
      <c r="C1646" s="2">
        <f ca="1">INDEX(Simulations!$A$1:$BK$2501, 1646, MATCH("RevCAGR", Simulations!$A$1:$BK$1, 0))</f>
        <v>1.3592065799973838E-2</v>
      </c>
      <c r="D1646" s="2">
        <f ca="1">INDEX(Simulations!$A$1:$BK$2501, 1646, MATCH("SynMargin", Simulations!$A$1:$BK$1, 0))</f>
        <v>6.0654830564936153E-3</v>
      </c>
      <c r="E1646" s="2">
        <f ca="1">INDEX(Simulations!$A$1:$BK$2501, 1646, MATCH("Yr1Shock", Simulations!$A$1:$BK$1, 0))</f>
        <v>2.0948091480210769E-2</v>
      </c>
    </row>
    <row r="1647" spans="1:5" x14ac:dyDescent="0.3">
      <c r="A1647" s="2">
        <f ca="1">INDEX(Simulations!$A$1:$BK$2501, 1647, MATCH("PurchaseMultiple", Simulations!$A$1:$BK$1, 0))</f>
        <v>6.8631820573170952</v>
      </c>
      <c r="B1647" s="2">
        <f ca="1">INDEX(Simulations!$A$1:$BK$2501, 1647, MATCH("ExitMultiple", Simulations!$A$1:$BK$1, 0))</f>
        <v>7.7913032148219772</v>
      </c>
      <c r="C1647" s="2">
        <f ca="1">INDEX(Simulations!$A$1:$BK$2501, 1647, MATCH("RevCAGR", Simulations!$A$1:$BK$1, 0))</f>
        <v>2.6360977615890117E-2</v>
      </c>
      <c r="D1647" s="2">
        <f ca="1">INDEX(Simulations!$A$1:$BK$2501, 1647, MATCH("SynMargin", Simulations!$A$1:$BK$1, 0))</f>
        <v>4.6336600065664283E-3</v>
      </c>
      <c r="E1647" s="2">
        <f ca="1">INDEX(Simulations!$A$1:$BK$2501, 1647, MATCH("Yr1Shock", Simulations!$A$1:$BK$1, 0))</f>
        <v>-4.6158359848593039E-2</v>
      </c>
    </row>
    <row r="1648" spans="1:5" x14ac:dyDescent="0.3">
      <c r="A1648" s="2">
        <f ca="1">INDEX(Simulations!$A$1:$BK$2501, 1648, MATCH("PurchaseMultiple", Simulations!$A$1:$BK$1, 0))</f>
        <v>7.0230686232602846</v>
      </c>
      <c r="B1648" s="2">
        <f ca="1">INDEX(Simulations!$A$1:$BK$2501, 1648, MATCH("ExitMultiple", Simulations!$A$1:$BK$1, 0))</f>
        <v>8.1268220020067865</v>
      </c>
      <c r="C1648" s="2">
        <f ca="1">INDEX(Simulations!$A$1:$BK$2501, 1648, MATCH("RevCAGR", Simulations!$A$1:$BK$1, 0))</f>
        <v>9.3643671797758038E-2</v>
      </c>
      <c r="D1648" s="2">
        <f ca="1">INDEX(Simulations!$A$1:$BK$2501, 1648, MATCH("SynMargin", Simulations!$A$1:$BK$1, 0))</f>
        <v>1.2763071989711014E-2</v>
      </c>
      <c r="E1648" s="2">
        <f ca="1">INDEX(Simulations!$A$1:$BK$2501, 1648, MATCH("Yr1Shock", Simulations!$A$1:$BK$1, 0))</f>
        <v>-0.05</v>
      </c>
    </row>
    <row r="1649" spans="1:5" x14ac:dyDescent="0.3">
      <c r="A1649" s="2">
        <f ca="1">INDEX(Simulations!$A$1:$BK$2501, 1649, MATCH("PurchaseMultiple", Simulations!$A$1:$BK$1, 0))</f>
        <v>7.0565303637617536</v>
      </c>
      <c r="B1649" s="2">
        <f ca="1">INDEX(Simulations!$A$1:$BK$2501, 1649, MATCH("ExitMultiple", Simulations!$A$1:$BK$1, 0))</f>
        <v>7.6849569693713864</v>
      </c>
      <c r="C1649" s="2">
        <f ca="1">INDEX(Simulations!$A$1:$BK$2501, 1649, MATCH("RevCAGR", Simulations!$A$1:$BK$1, 0))</f>
        <v>7.762070928015781E-2</v>
      </c>
      <c r="D1649" s="2">
        <f ca="1">INDEX(Simulations!$A$1:$BK$2501, 1649, MATCH("SynMargin", Simulations!$A$1:$BK$1, 0))</f>
        <v>8.9402700451571317E-3</v>
      </c>
      <c r="E1649" s="2">
        <f ca="1">INDEX(Simulations!$A$1:$BK$2501, 1649, MATCH("Yr1Shock", Simulations!$A$1:$BK$1, 0))</f>
        <v>-1.1064098925232208E-2</v>
      </c>
    </row>
    <row r="1650" spans="1:5" x14ac:dyDescent="0.3">
      <c r="A1650" s="2">
        <f ca="1">INDEX(Simulations!$A$1:$BK$2501, 1650, MATCH("PurchaseMultiple", Simulations!$A$1:$BK$1, 0))</f>
        <v>6.6899265252407334</v>
      </c>
      <c r="B1650" s="2">
        <f ca="1">INDEX(Simulations!$A$1:$BK$2501, 1650, MATCH("ExitMultiple", Simulations!$A$1:$BK$1, 0))</f>
        <v>7.3010514228923995</v>
      </c>
      <c r="C1650" s="2">
        <f ca="1">INDEX(Simulations!$A$1:$BK$2501, 1650, MATCH("RevCAGR", Simulations!$A$1:$BK$1, 0))</f>
        <v>7.9328862684063667E-3</v>
      </c>
      <c r="D1650" s="2">
        <f ca="1">INDEX(Simulations!$A$1:$BK$2501, 1650, MATCH("SynMargin", Simulations!$A$1:$BK$1, 0))</f>
        <v>1.5168627827483728E-2</v>
      </c>
      <c r="E1650" s="2">
        <f ca="1">INDEX(Simulations!$A$1:$BK$2501, 1650, MATCH("Yr1Shock", Simulations!$A$1:$BK$1, 0))</f>
        <v>-3.1421673506759312E-2</v>
      </c>
    </row>
    <row r="1651" spans="1:5" x14ac:dyDescent="0.3">
      <c r="A1651" s="2">
        <f ca="1">INDEX(Simulations!$A$1:$BK$2501, 1651, MATCH("PurchaseMultiple", Simulations!$A$1:$BK$1, 0))</f>
        <v>7.6380034963143029</v>
      </c>
      <c r="B1651" s="2">
        <f ca="1">INDEX(Simulations!$A$1:$BK$2501, 1651, MATCH("ExitMultiple", Simulations!$A$1:$BK$1, 0))</f>
        <v>7.3308108535671703</v>
      </c>
      <c r="C1651" s="2">
        <f ca="1">INDEX(Simulations!$A$1:$BK$2501, 1651, MATCH("RevCAGR", Simulations!$A$1:$BK$1, 0))</f>
        <v>8.7661245727964021E-2</v>
      </c>
      <c r="D1651" s="2">
        <f ca="1">INDEX(Simulations!$A$1:$BK$2501, 1651, MATCH("SynMargin", Simulations!$A$1:$BK$1, 0))</f>
        <v>4.8639181978147273E-3</v>
      </c>
      <c r="E1651" s="2">
        <f ca="1">INDEX(Simulations!$A$1:$BK$2501, 1651, MATCH("Yr1Shock", Simulations!$A$1:$BK$1, 0))</f>
        <v>1.8835764404887531E-2</v>
      </c>
    </row>
    <row r="1652" spans="1:5" x14ac:dyDescent="0.3">
      <c r="A1652" s="2">
        <f ca="1">INDEX(Simulations!$A$1:$BK$2501, 1652, MATCH("PurchaseMultiple", Simulations!$A$1:$BK$1, 0))</f>
        <v>7.5705922149044973</v>
      </c>
      <c r="B1652" s="2">
        <f ca="1">INDEX(Simulations!$A$1:$BK$2501, 1652, MATCH("ExitMultiple", Simulations!$A$1:$BK$1, 0))</f>
        <v>7.2826116919516517</v>
      </c>
      <c r="C1652" s="2">
        <f ca="1">INDEX(Simulations!$A$1:$BK$2501, 1652, MATCH("RevCAGR", Simulations!$A$1:$BK$1, 0))</f>
        <v>1.5962671405851531E-2</v>
      </c>
      <c r="D1652" s="2">
        <f ca="1">INDEX(Simulations!$A$1:$BK$2501, 1652, MATCH("SynMargin", Simulations!$A$1:$BK$1, 0))</f>
        <v>1.2648624768866999E-2</v>
      </c>
      <c r="E1652" s="2">
        <f ca="1">INDEX(Simulations!$A$1:$BK$2501, 1652, MATCH("Yr1Shock", Simulations!$A$1:$BK$1, 0))</f>
        <v>8.7254527749150296E-3</v>
      </c>
    </row>
    <row r="1653" spans="1:5" x14ac:dyDescent="0.3">
      <c r="A1653" s="2">
        <f ca="1">INDEX(Simulations!$A$1:$BK$2501, 1653, MATCH("PurchaseMultiple", Simulations!$A$1:$BK$1, 0))</f>
        <v>7.5701210940279555</v>
      </c>
      <c r="B1653" s="2">
        <f ca="1">INDEX(Simulations!$A$1:$BK$2501, 1653, MATCH("ExitMultiple", Simulations!$A$1:$BK$1, 0))</f>
        <v>7.3978725735248281</v>
      </c>
      <c r="C1653" s="2">
        <f ca="1">INDEX(Simulations!$A$1:$BK$2501, 1653, MATCH("RevCAGR", Simulations!$A$1:$BK$1, 0))</f>
        <v>2.558661587383302E-2</v>
      </c>
      <c r="D1653" s="2">
        <f ca="1">INDEX(Simulations!$A$1:$BK$2501, 1653, MATCH("SynMargin", Simulations!$A$1:$BK$1, 0))</f>
        <v>1.1465797995258698E-2</v>
      </c>
      <c r="E1653" s="2">
        <f ca="1">INDEX(Simulations!$A$1:$BK$2501, 1653, MATCH("Yr1Shock", Simulations!$A$1:$BK$1, 0))</f>
        <v>2.1616053275110198E-2</v>
      </c>
    </row>
    <row r="1654" spans="1:5" x14ac:dyDescent="0.3">
      <c r="A1654" s="2">
        <f ca="1">INDEX(Simulations!$A$1:$BK$2501, 1654, MATCH("PurchaseMultiple", Simulations!$A$1:$BK$1, 0))</f>
        <v>6.7902912390600694</v>
      </c>
      <c r="B1654" s="2">
        <f ca="1">INDEX(Simulations!$A$1:$BK$2501, 1654, MATCH("ExitMultiple", Simulations!$A$1:$BK$1, 0))</f>
        <v>7.0439862955522745</v>
      </c>
      <c r="C1654" s="2">
        <f ca="1">INDEX(Simulations!$A$1:$BK$2501, 1654, MATCH("RevCAGR", Simulations!$A$1:$BK$1, 0))</f>
        <v>2.9866106325463927E-2</v>
      </c>
      <c r="D1654" s="2">
        <f ca="1">INDEX(Simulations!$A$1:$BK$2501, 1654, MATCH("SynMargin", Simulations!$A$1:$BK$1, 0))</f>
        <v>8.7818412633051662E-3</v>
      </c>
      <c r="E1654" s="2">
        <f ca="1">INDEX(Simulations!$A$1:$BK$2501, 1654, MATCH("Yr1Shock", Simulations!$A$1:$BK$1, 0))</f>
        <v>-8.7358212564530769E-5</v>
      </c>
    </row>
    <row r="1655" spans="1:5" x14ac:dyDescent="0.3">
      <c r="A1655" s="2">
        <f ca="1">INDEX(Simulations!$A$1:$BK$2501, 1655, MATCH("PurchaseMultiple", Simulations!$A$1:$BK$1, 0))</f>
        <v>7.9369458078851647</v>
      </c>
      <c r="B1655" s="2">
        <f ca="1">INDEX(Simulations!$A$1:$BK$2501, 1655, MATCH("ExitMultiple", Simulations!$A$1:$BK$1, 0))</f>
        <v>7.7603312279042838</v>
      </c>
      <c r="C1655" s="2">
        <f ca="1">INDEX(Simulations!$A$1:$BK$2501, 1655, MATCH("RevCAGR", Simulations!$A$1:$BK$1, 0))</f>
        <v>6.0545973667308642E-2</v>
      </c>
      <c r="D1655" s="2">
        <f ca="1">INDEX(Simulations!$A$1:$BK$2501, 1655, MATCH("SynMargin", Simulations!$A$1:$BK$1, 0))</f>
        <v>1.1635964061545904E-2</v>
      </c>
      <c r="E1655" s="2">
        <f ca="1">INDEX(Simulations!$A$1:$BK$2501, 1655, MATCH("Yr1Shock", Simulations!$A$1:$BK$1, 0))</f>
        <v>2.2404152348363533E-2</v>
      </c>
    </row>
    <row r="1656" spans="1:5" x14ac:dyDescent="0.3">
      <c r="A1656" s="2">
        <f ca="1">INDEX(Simulations!$A$1:$BK$2501, 1656, MATCH("PurchaseMultiple", Simulations!$A$1:$BK$1, 0))</f>
        <v>6.9401874413547633</v>
      </c>
      <c r="B1656" s="2">
        <f ca="1">INDEX(Simulations!$A$1:$BK$2501, 1656, MATCH("ExitMultiple", Simulations!$A$1:$BK$1, 0))</f>
        <v>7.0319740815359149</v>
      </c>
      <c r="C1656" s="2">
        <f ca="1">INDEX(Simulations!$A$1:$BK$2501, 1656, MATCH("RevCAGR", Simulations!$A$1:$BK$1, 0))</f>
        <v>3.2824972562897466E-2</v>
      </c>
      <c r="D1656" s="2">
        <f ca="1">INDEX(Simulations!$A$1:$BK$2501, 1656, MATCH("SynMargin", Simulations!$A$1:$BK$1, 0))</f>
        <v>5.1998357820412155E-3</v>
      </c>
      <c r="E1656" s="2">
        <f ca="1">INDEX(Simulations!$A$1:$BK$2501, 1656, MATCH("Yr1Shock", Simulations!$A$1:$BK$1, 0))</f>
        <v>4.6393180069623265E-2</v>
      </c>
    </row>
    <row r="1657" spans="1:5" x14ac:dyDescent="0.3">
      <c r="A1657" s="2">
        <f ca="1">INDEX(Simulations!$A$1:$BK$2501, 1657, MATCH("PurchaseMultiple", Simulations!$A$1:$BK$1, 0))</f>
        <v>6.6962828351969135</v>
      </c>
      <c r="B1657" s="2">
        <f ca="1">INDEX(Simulations!$A$1:$BK$2501, 1657, MATCH("ExitMultiple", Simulations!$A$1:$BK$1, 0))</f>
        <v>7.4685536177564309</v>
      </c>
      <c r="C1657" s="2">
        <f ca="1">INDEX(Simulations!$A$1:$BK$2501, 1657, MATCH("RevCAGR", Simulations!$A$1:$BK$1, 0))</f>
        <v>3.1553359928904595E-2</v>
      </c>
      <c r="D1657" s="2">
        <f ca="1">INDEX(Simulations!$A$1:$BK$2501, 1657, MATCH("SynMargin", Simulations!$A$1:$BK$1, 0))</f>
        <v>1.1407909812984925E-2</v>
      </c>
      <c r="E1657" s="2">
        <f ca="1">INDEX(Simulations!$A$1:$BK$2501, 1657, MATCH("Yr1Shock", Simulations!$A$1:$BK$1, 0))</f>
        <v>-7.318781865101427E-3</v>
      </c>
    </row>
    <row r="1658" spans="1:5" x14ac:dyDescent="0.3">
      <c r="A1658" s="2">
        <f ca="1">INDEX(Simulations!$A$1:$BK$2501, 1658, MATCH("PurchaseMultiple", Simulations!$A$1:$BK$1, 0))</f>
        <v>6.949131398154571</v>
      </c>
      <c r="B1658" s="2">
        <f ca="1">INDEX(Simulations!$A$1:$BK$2501, 1658, MATCH("ExitMultiple", Simulations!$A$1:$BK$1, 0))</f>
        <v>7.430476896477523</v>
      </c>
      <c r="C1658" s="2">
        <f ca="1">INDEX(Simulations!$A$1:$BK$2501, 1658, MATCH("RevCAGR", Simulations!$A$1:$BK$1, 0))</f>
        <v>9.1066117511570593E-2</v>
      </c>
      <c r="D1658" s="2">
        <f ca="1">INDEX(Simulations!$A$1:$BK$2501, 1658, MATCH("SynMargin", Simulations!$A$1:$BK$1, 0))</f>
        <v>1.3866227378652996E-2</v>
      </c>
      <c r="E1658" s="2">
        <f ca="1">INDEX(Simulations!$A$1:$BK$2501, 1658, MATCH("Yr1Shock", Simulations!$A$1:$BK$1, 0))</f>
        <v>-3.123142841957903E-2</v>
      </c>
    </row>
    <row r="1659" spans="1:5" x14ac:dyDescent="0.3">
      <c r="A1659" s="2">
        <f ca="1">INDEX(Simulations!$A$1:$BK$2501, 1659, MATCH("PurchaseMultiple", Simulations!$A$1:$BK$1, 0))</f>
        <v>6.5374443954720611</v>
      </c>
      <c r="B1659" s="2">
        <f ca="1">INDEX(Simulations!$A$1:$BK$2501, 1659, MATCH("ExitMultiple", Simulations!$A$1:$BK$1, 0))</f>
        <v>7.2927173003563297</v>
      </c>
      <c r="C1659" s="2">
        <f ca="1">INDEX(Simulations!$A$1:$BK$2501, 1659, MATCH("RevCAGR", Simulations!$A$1:$BK$1, 0))</f>
        <v>5.6346703769702709E-2</v>
      </c>
      <c r="D1659" s="2">
        <f ca="1">INDEX(Simulations!$A$1:$BK$2501, 1659, MATCH("SynMargin", Simulations!$A$1:$BK$1, 0))</f>
        <v>1.1919942845517159E-2</v>
      </c>
      <c r="E1659" s="2">
        <f ca="1">INDEX(Simulations!$A$1:$BK$2501, 1659, MATCH("Yr1Shock", Simulations!$A$1:$BK$1, 0))</f>
        <v>2.4749291075167037E-3</v>
      </c>
    </row>
    <row r="1660" spans="1:5" x14ac:dyDescent="0.3">
      <c r="A1660" s="2">
        <f ca="1">INDEX(Simulations!$A$1:$BK$2501, 1660, MATCH("PurchaseMultiple", Simulations!$A$1:$BK$1, 0))</f>
        <v>6.9910723839885582</v>
      </c>
      <c r="B1660" s="2">
        <f ca="1">INDEX(Simulations!$A$1:$BK$2501, 1660, MATCH("ExitMultiple", Simulations!$A$1:$BK$1, 0))</f>
        <v>6.9582681971292191</v>
      </c>
      <c r="C1660" s="2">
        <f ca="1">INDEX(Simulations!$A$1:$BK$2501, 1660, MATCH("RevCAGR", Simulations!$A$1:$BK$1, 0))</f>
        <v>4.6864106539771452E-2</v>
      </c>
      <c r="D1660" s="2">
        <f ca="1">INDEX(Simulations!$A$1:$BK$2501, 1660, MATCH("SynMargin", Simulations!$A$1:$BK$1, 0))</f>
        <v>3.6451330753802828E-3</v>
      </c>
      <c r="E1660" s="2">
        <f ca="1">INDEX(Simulations!$A$1:$BK$2501, 1660, MATCH("Yr1Shock", Simulations!$A$1:$BK$1, 0))</f>
        <v>1.340828456739598E-2</v>
      </c>
    </row>
    <row r="1661" spans="1:5" x14ac:dyDescent="0.3">
      <c r="A1661" s="2">
        <f ca="1">INDEX(Simulations!$A$1:$BK$2501, 1661, MATCH("PurchaseMultiple", Simulations!$A$1:$BK$1, 0))</f>
        <v>7.1934582626795267</v>
      </c>
      <c r="B1661" s="2">
        <f ca="1">INDEX(Simulations!$A$1:$BK$2501, 1661, MATCH("ExitMultiple", Simulations!$A$1:$BK$1, 0))</f>
        <v>6.7390424817223753</v>
      </c>
      <c r="C1661" s="2">
        <f ca="1">INDEX(Simulations!$A$1:$BK$2501, 1661, MATCH("RevCAGR", Simulations!$A$1:$BK$1, 0))</f>
        <v>5.1287964538450748E-2</v>
      </c>
      <c r="D1661" s="2">
        <f ca="1">INDEX(Simulations!$A$1:$BK$2501, 1661, MATCH("SynMargin", Simulations!$A$1:$BK$1, 0))</f>
        <v>7.8341821052371266E-3</v>
      </c>
      <c r="E1661" s="2">
        <f ca="1">INDEX(Simulations!$A$1:$BK$2501, 1661, MATCH("Yr1Shock", Simulations!$A$1:$BK$1, 0))</f>
        <v>3.6593215871094528E-2</v>
      </c>
    </row>
    <row r="1662" spans="1:5" x14ac:dyDescent="0.3">
      <c r="A1662" s="2">
        <f ca="1">INDEX(Simulations!$A$1:$BK$2501, 1662, MATCH("PurchaseMultiple", Simulations!$A$1:$BK$1, 0))</f>
        <v>7.0460756334943442</v>
      </c>
      <c r="B1662" s="2">
        <f ca="1">INDEX(Simulations!$A$1:$BK$2501, 1662, MATCH("ExitMultiple", Simulations!$A$1:$BK$1, 0))</f>
        <v>8.0038940131158149</v>
      </c>
      <c r="C1662" s="2">
        <f ca="1">INDEX(Simulations!$A$1:$BK$2501, 1662, MATCH("RevCAGR", Simulations!$A$1:$BK$1, 0))</f>
        <v>7.9661886397279474E-2</v>
      </c>
      <c r="D1662" s="2">
        <f ca="1">INDEX(Simulations!$A$1:$BK$2501, 1662, MATCH("SynMargin", Simulations!$A$1:$BK$1, 0))</f>
        <v>1.5954451906367319E-2</v>
      </c>
      <c r="E1662" s="2">
        <f ca="1">INDEX(Simulations!$A$1:$BK$2501, 1662, MATCH("Yr1Shock", Simulations!$A$1:$BK$1, 0))</f>
        <v>-1.0291043496863937E-2</v>
      </c>
    </row>
    <row r="1663" spans="1:5" x14ac:dyDescent="0.3">
      <c r="A1663" s="2">
        <f ca="1">INDEX(Simulations!$A$1:$BK$2501, 1663, MATCH("PurchaseMultiple", Simulations!$A$1:$BK$1, 0))</f>
        <v>7.0514700816096916</v>
      </c>
      <c r="B1663" s="2">
        <f ca="1">INDEX(Simulations!$A$1:$BK$2501, 1663, MATCH("ExitMultiple", Simulations!$A$1:$BK$1, 0))</f>
        <v>7.8926243912217906</v>
      </c>
      <c r="C1663" s="2">
        <f ca="1">INDEX(Simulations!$A$1:$BK$2501, 1663, MATCH("RevCAGR", Simulations!$A$1:$BK$1, 0))</f>
        <v>5.8320784784781872E-2</v>
      </c>
      <c r="D1663" s="2">
        <f ca="1">INDEX(Simulations!$A$1:$BK$2501, 1663, MATCH("SynMargin", Simulations!$A$1:$BK$1, 0))</f>
        <v>4.5373284162279958E-3</v>
      </c>
      <c r="E1663" s="2">
        <f ca="1">INDEX(Simulations!$A$1:$BK$2501, 1663, MATCH("Yr1Shock", Simulations!$A$1:$BK$1, 0))</f>
        <v>1.8858301354166704E-2</v>
      </c>
    </row>
    <row r="1664" spans="1:5" x14ac:dyDescent="0.3">
      <c r="A1664" s="2">
        <f ca="1">INDEX(Simulations!$A$1:$BK$2501, 1664, MATCH("PurchaseMultiple", Simulations!$A$1:$BK$1, 0))</f>
        <v>6.9620514467427785</v>
      </c>
      <c r="B1664" s="2">
        <f ca="1">INDEX(Simulations!$A$1:$BK$2501, 1664, MATCH("ExitMultiple", Simulations!$A$1:$BK$1, 0))</f>
        <v>8.0239182500333488</v>
      </c>
      <c r="C1664" s="2">
        <f ca="1">INDEX(Simulations!$A$1:$BK$2501, 1664, MATCH("RevCAGR", Simulations!$A$1:$BK$1, 0))</f>
        <v>6.2900121822137695E-2</v>
      </c>
      <c r="D1664" s="2">
        <f ca="1">INDEX(Simulations!$A$1:$BK$2501, 1664, MATCH("SynMargin", Simulations!$A$1:$BK$1, 0))</f>
        <v>1.3767129824967311E-2</v>
      </c>
      <c r="E1664" s="2">
        <f ca="1">INDEX(Simulations!$A$1:$BK$2501, 1664, MATCH("Yr1Shock", Simulations!$A$1:$BK$1, 0))</f>
        <v>-2.1006238710224241E-4</v>
      </c>
    </row>
    <row r="1665" spans="1:5" x14ac:dyDescent="0.3">
      <c r="A1665" s="2">
        <f ca="1">INDEX(Simulations!$A$1:$BK$2501, 1665, MATCH("PurchaseMultiple", Simulations!$A$1:$BK$1, 0))</f>
        <v>7.2138946593105437</v>
      </c>
      <c r="B1665" s="2">
        <f ca="1">INDEX(Simulations!$A$1:$BK$2501, 1665, MATCH("ExitMultiple", Simulations!$A$1:$BK$1, 0))</f>
        <v>7.3877326617408547</v>
      </c>
      <c r="C1665" s="2">
        <f ca="1">INDEX(Simulations!$A$1:$BK$2501, 1665, MATCH("RevCAGR", Simulations!$A$1:$BK$1, 0))</f>
        <v>9.2433437101126836E-2</v>
      </c>
      <c r="D1665" s="2">
        <f ca="1">INDEX(Simulations!$A$1:$BK$2501, 1665, MATCH("SynMargin", Simulations!$A$1:$BK$1, 0))</f>
        <v>1.1173547370991882E-2</v>
      </c>
      <c r="E1665" s="2">
        <f ca="1">INDEX(Simulations!$A$1:$BK$2501, 1665, MATCH("Yr1Shock", Simulations!$A$1:$BK$1, 0))</f>
        <v>-1.0893692461949728E-2</v>
      </c>
    </row>
    <row r="1666" spans="1:5" x14ac:dyDescent="0.3">
      <c r="A1666" s="2">
        <f ca="1">INDEX(Simulations!$A$1:$BK$2501, 1666, MATCH("PurchaseMultiple", Simulations!$A$1:$BK$1, 0))</f>
        <v>7.5458813206439466</v>
      </c>
      <c r="B1666" s="2">
        <f ca="1">INDEX(Simulations!$A$1:$BK$2501, 1666, MATCH("ExitMultiple", Simulations!$A$1:$BK$1, 0))</f>
        <v>8.3555240326863753</v>
      </c>
      <c r="C1666" s="2">
        <f ca="1">INDEX(Simulations!$A$1:$BK$2501, 1666, MATCH("RevCAGR", Simulations!$A$1:$BK$1, 0))</f>
        <v>8.1036775235859476E-2</v>
      </c>
      <c r="D1666" s="2">
        <f ca="1">INDEX(Simulations!$A$1:$BK$2501, 1666, MATCH("SynMargin", Simulations!$A$1:$BK$1, 0))</f>
        <v>6.1284627505185409E-3</v>
      </c>
      <c r="E1666" s="2">
        <f ca="1">INDEX(Simulations!$A$1:$BK$2501, 1666, MATCH("Yr1Shock", Simulations!$A$1:$BK$1, 0))</f>
        <v>2.8371523828932814E-2</v>
      </c>
    </row>
    <row r="1667" spans="1:5" x14ac:dyDescent="0.3">
      <c r="A1667" s="2">
        <f ca="1">INDEX(Simulations!$A$1:$BK$2501, 1667, MATCH("PurchaseMultiple", Simulations!$A$1:$BK$1, 0))</f>
        <v>6.4837190131351123</v>
      </c>
      <c r="B1667" s="2">
        <f ca="1">INDEX(Simulations!$A$1:$BK$2501, 1667, MATCH("ExitMultiple", Simulations!$A$1:$BK$1, 0))</f>
        <v>7.3297958701634256</v>
      </c>
      <c r="C1667" s="2">
        <f ca="1">INDEX(Simulations!$A$1:$BK$2501, 1667, MATCH("RevCAGR", Simulations!$A$1:$BK$1, 0))</f>
        <v>5.9195374924549488E-2</v>
      </c>
      <c r="D1667" s="2">
        <f ca="1">INDEX(Simulations!$A$1:$BK$2501, 1667, MATCH("SynMargin", Simulations!$A$1:$BK$1, 0))</f>
        <v>1.5628098856186701E-2</v>
      </c>
      <c r="E1667" s="2">
        <f ca="1">INDEX(Simulations!$A$1:$BK$2501, 1667, MATCH("Yr1Shock", Simulations!$A$1:$BK$1, 0))</f>
        <v>-4.2371175510446529E-2</v>
      </c>
    </row>
    <row r="1668" spans="1:5" x14ac:dyDescent="0.3">
      <c r="A1668" s="2">
        <f ca="1">INDEX(Simulations!$A$1:$BK$2501, 1668, MATCH("PurchaseMultiple", Simulations!$A$1:$BK$1, 0))</f>
        <v>6.9548718447654903</v>
      </c>
      <c r="B1668" s="2">
        <f ca="1">INDEX(Simulations!$A$1:$BK$2501, 1668, MATCH("ExitMultiple", Simulations!$A$1:$BK$1, 0))</f>
        <v>6.8821792433555427</v>
      </c>
      <c r="C1668" s="2">
        <f ca="1">INDEX(Simulations!$A$1:$BK$2501, 1668, MATCH("RevCAGR", Simulations!$A$1:$BK$1, 0))</f>
        <v>3.5868283083838375E-2</v>
      </c>
      <c r="D1668" s="2">
        <f ca="1">INDEX(Simulations!$A$1:$BK$2501, 1668, MATCH("SynMargin", Simulations!$A$1:$BK$1, 0))</f>
        <v>1.0402076959640056E-2</v>
      </c>
      <c r="E1668" s="2">
        <f ca="1">INDEX(Simulations!$A$1:$BK$2501, 1668, MATCH("Yr1Shock", Simulations!$A$1:$BK$1, 0))</f>
        <v>-6.8790412154194052E-3</v>
      </c>
    </row>
    <row r="1669" spans="1:5" x14ac:dyDescent="0.3">
      <c r="A1669" s="2">
        <f ca="1">INDEX(Simulations!$A$1:$BK$2501, 1669, MATCH("PurchaseMultiple", Simulations!$A$1:$BK$1, 0))</f>
        <v>6.5313221537892421</v>
      </c>
      <c r="B1669" s="2">
        <f ca="1">INDEX(Simulations!$A$1:$BK$2501, 1669, MATCH("ExitMultiple", Simulations!$A$1:$BK$1, 0))</f>
        <v>7.8088524364574416</v>
      </c>
      <c r="C1669" s="2">
        <f ca="1">INDEX(Simulations!$A$1:$BK$2501, 1669, MATCH("RevCAGR", Simulations!$A$1:$BK$1, 0))</f>
        <v>7.386893599703849E-2</v>
      </c>
      <c r="D1669" s="2">
        <f ca="1">INDEX(Simulations!$A$1:$BK$2501, 1669, MATCH("SynMargin", Simulations!$A$1:$BK$1, 0))</f>
        <v>1.4387696602407064E-2</v>
      </c>
      <c r="E1669" s="2">
        <f ca="1">INDEX(Simulations!$A$1:$BK$2501, 1669, MATCH("Yr1Shock", Simulations!$A$1:$BK$1, 0))</f>
        <v>-4.7702669039616986E-2</v>
      </c>
    </row>
    <row r="1670" spans="1:5" x14ac:dyDescent="0.3">
      <c r="A1670" s="2">
        <f ca="1">INDEX(Simulations!$A$1:$BK$2501, 1670, MATCH("PurchaseMultiple", Simulations!$A$1:$BK$1, 0))</f>
        <v>7.8917053437553308</v>
      </c>
      <c r="B1670" s="2">
        <f ca="1">INDEX(Simulations!$A$1:$BK$2501, 1670, MATCH("ExitMultiple", Simulations!$A$1:$BK$1, 0))</f>
        <v>7.5131668500580062</v>
      </c>
      <c r="C1670" s="2">
        <f ca="1">INDEX(Simulations!$A$1:$BK$2501, 1670, MATCH("RevCAGR", Simulations!$A$1:$BK$1, 0))</f>
        <v>5.8255294268903898E-2</v>
      </c>
      <c r="D1670" s="2">
        <f ca="1">INDEX(Simulations!$A$1:$BK$2501, 1670, MATCH("SynMargin", Simulations!$A$1:$BK$1, 0))</f>
        <v>1.1004818517885154E-2</v>
      </c>
      <c r="E1670" s="2">
        <f ca="1">INDEX(Simulations!$A$1:$BK$2501, 1670, MATCH("Yr1Shock", Simulations!$A$1:$BK$1, 0))</f>
        <v>5.8300791729858862E-3</v>
      </c>
    </row>
    <row r="1671" spans="1:5" x14ac:dyDescent="0.3">
      <c r="A1671" s="2">
        <f ca="1">INDEX(Simulations!$A$1:$BK$2501, 1671, MATCH("PurchaseMultiple", Simulations!$A$1:$BK$1, 0))</f>
        <v>6.474205648703685</v>
      </c>
      <c r="B1671" s="2">
        <f ca="1">INDEX(Simulations!$A$1:$BK$2501, 1671, MATCH("ExitMultiple", Simulations!$A$1:$BK$1, 0))</f>
        <v>7.593613167373598</v>
      </c>
      <c r="C1671" s="2">
        <f ca="1">INDEX(Simulations!$A$1:$BK$2501, 1671, MATCH("RevCAGR", Simulations!$A$1:$BK$1, 0))</f>
        <v>3.3553780491225621E-2</v>
      </c>
      <c r="D1671" s="2">
        <f ca="1">INDEX(Simulations!$A$1:$BK$2501, 1671, MATCH("SynMargin", Simulations!$A$1:$BK$1, 0))</f>
        <v>1.4323833528616629E-2</v>
      </c>
      <c r="E1671" s="2">
        <f ca="1">INDEX(Simulations!$A$1:$BK$2501, 1671, MATCH("Yr1Shock", Simulations!$A$1:$BK$1, 0))</f>
        <v>-3.5718535590899991E-2</v>
      </c>
    </row>
    <row r="1672" spans="1:5" x14ac:dyDescent="0.3">
      <c r="A1672" s="2">
        <f ca="1">INDEX(Simulations!$A$1:$BK$2501, 1672, MATCH("PurchaseMultiple", Simulations!$A$1:$BK$1, 0))</f>
        <v>7.5450867767715657</v>
      </c>
      <c r="B1672" s="2">
        <f ca="1">INDEX(Simulations!$A$1:$BK$2501, 1672, MATCH("ExitMultiple", Simulations!$A$1:$BK$1, 0))</f>
        <v>7.0630137284867764</v>
      </c>
      <c r="C1672" s="2">
        <f ca="1">INDEX(Simulations!$A$1:$BK$2501, 1672, MATCH("RevCAGR", Simulations!$A$1:$BK$1, 0))</f>
        <v>8.2038759712940446E-3</v>
      </c>
      <c r="D1672" s="2">
        <f ca="1">INDEX(Simulations!$A$1:$BK$2501, 1672, MATCH("SynMargin", Simulations!$A$1:$BK$1, 0))</f>
        <v>1.0681426332844834E-2</v>
      </c>
      <c r="E1672" s="2">
        <f ca="1">INDEX(Simulations!$A$1:$BK$2501, 1672, MATCH("Yr1Shock", Simulations!$A$1:$BK$1, 0))</f>
        <v>1.4843328919104979E-2</v>
      </c>
    </row>
    <row r="1673" spans="1:5" x14ac:dyDescent="0.3">
      <c r="A1673" s="2">
        <f ca="1">INDEX(Simulations!$A$1:$BK$2501, 1673, MATCH("PurchaseMultiple", Simulations!$A$1:$BK$1, 0))</f>
        <v>7.038072708836081</v>
      </c>
      <c r="B1673" s="2">
        <f ca="1">INDEX(Simulations!$A$1:$BK$2501, 1673, MATCH("ExitMultiple", Simulations!$A$1:$BK$1, 0))</f>
        <v>7.7415023517117278</v>
      </c>
      <c r="C1673" s="2">
        <f ca="1">INDEX(Simulations!$A$1:$BK$2501, 1673, MATCH("RevCAGR", Simulations!$A$1:$BK$1, 0))</f>
        <v>0.11412324113909353</v>
      </c>
      <c r="D1673" s="2">
        <f ca="1">INDEX(Simulations!$A$1:$BK$2501, 1673, MATCH("SynMargin", Simulations!$A$1:$BK$1, 0))</f>
        <v>9.5633580664468455E-3</v>
      </c>
      <c r="E1673" s="2">
        <f ca="1">INDEX(Simulations!$A$1:$BK$2501, 1673, MATCH("Yr1Shock", Simulations!$A$1:$BK$1, 0))</f>
        <v>6.3792362713203403E-3</v>
      </c>
    </row>
    <row r="1674" spans="1:5" x14ac:dyDescent="0.3">
      <c r="A1674" s="2">
        <f ca="1">INDEX(Simulations!$A$1:$BK$2501, 1674, MATCH("PurchaseMultiple", Simulations!$A$1:$BK$1, 0))</f>
        <v>6.7105146831134217</v>
      </c>
      <c r="B1674" s="2">
        <f ca="1">INDEX(Simulations!$A$1:$BK$2501, 1674, MATCH("ExitMultiple", Simulations!$A$1:$BK$1, 0))</f>
        <v>7.5128031500698977</v>
      </c>
      <c r="C1674" s="2">
        <f ca="1">INDEX(Simulations!$A$1:$BK$2501, 1674, MATCH("RevCAGR", Simulations!$A$1:$BK$1, 0))</f>
        <v>7.2417264890961286E-2</v>
      </c>
      <c r="D1674" s="2">
        <f ca="1">INDEX(Simulations!$A$1:$BK$2501, 1674, MATCH("SynMargin", Simulations!$A$1:$BK$1, 0))</f>
        <v>6.8301577586056409E-3</v>
      </c>
      <c r="E1674" s="2">
        <f ca="1">INDEX(Simulations!$A$1:$BK$2501, 1674, MATCH("Yr1Shock", Simulations!$A$1:$BK$1, 0))</f>
        <v>-1.2037148190879327E-2</v>
      </c>
    </row>
    <row r="1675" spans="1:5" x14ac:dyDescent="0.3">
      <c r="A1675" s="2">
        <f ca="1">INDEX(Simulations!$A$1:$BK$2501, 1675, MATCH("PurchaseMultiple", Simulations!$A$1:$BK$1, 0))</f>
        <v>7.4498844210262423</v>
      </c>
      <c r="B1675" s="2">
        <f ca="1">INDEX(Simulations!$A$1:$BK$2501, 1675, MATCH("ExitMultiple", Simulations!$A$1:$BK$1, 0))</f>
        <v>7.4538318760862348</v>
      </c>
      <c r="C1675" s="2">
        <f ca="1">INDEX(Simulations!$A$1:$BK$2501, 1675, MATCH("RevCAGR", Simulations!$A$1:$BK$1, 0))</f>
        <v>8.6227327623847258E-3</v>
      </c>
      <c r="D1675" s="2">
        <f ca="1">INDEX(Simulations!$A$1:$BK$2501, 1675, MATCH("SynMargin", Simulations!$A$1:$BK$1, 0))</f>
        <v>2.1011153403906208E-2</v>
      </c>
      <c r="E1675" s="2">
        <f ca="1">INDEX(Simulations!$A$1:$BK$2501, 1675, MATCH("Yr1Shock", Simulations!$A$1:$BK$1, 0))</f>
        <v>-9.1265851798201757E-3</v>
      </c>
    </row>
    <row r="1676" spans="1:5" x14ac:dyDescent="0.3">
      <c r="A1676" s="2">
        <f ca="1">INDEX(Simulations!$A$1:$BK$2501, 1676, MATCH("PurchaseMultiple", Simulations!$A$1:$BK$1, 0))</f>
        <v>7.2056941312312954</v>
      </c>
      <c r="B1676" s="2">
        <f ca="1">INDEX(Simulations!$A$1:$BK$2501, 1676, MATCH("ExitMultiple", Simulations!$A$1:$BK$1, 0))</f>
        <v>7.8234440782496684</v>
      </c>
      <c r="C1676" s="2">
        <f ca="1">INDEX(Simulations!$A$1:$BK$2501, 1676, MATCH("RevCAGR", Simulations!$A$1:$BK$1, 0))</f>
        <v>8.5100561294652183E-2</v>
      </c>
      <c r="D1676" s="2">
        <f ca="1">INDEX(Simulations!$A$1:$BK$2501, 1676, MATCH("SynMargin", Simulations!$A$1:$BK$1, 0))</f>
        <v>8.8122058458640923E-3</v>
      </c>
      <c r="E1676" s="2">
        <f ca="1">INDEX(Simulations!$A$1:$BK$2501, 1676, MATCH("Yr1Shock", Simulations!$A$1:$BK$1, 0))</f>
        <v>-1.7765385923454345E-3</v>
      </c>
    </row>
    <row r="1677" spans="1:5" x14ac:dyDescent="0.3">
      <c r="A1677" s="2">
        <f ca="1">INDEX(Simulations!$A$1:$BK$2501, 1677, MATCH("PurchaseMultiple", Simulations!$A$1:$BK$1, 0))</f>
        <v>7.0621301113091315</v>
      </c>
      <c r="B1677" s="2">
        <f ca="1">INDEX(Simulations!$A$1:$BK$2501, 1677, MATCH("ExitMultiple", Simulations!$A$1:$BK$1, 0))</f>
        <v>6.6887599750769704</v>
      </c>
      <c r="C1677" s="2">
        <f ca="1">INDEX(Simulations!$A$1:$BK$2501, 1677, MATCH("RevCAGR", Simulations!$A$1:$BK$1, 0))</f>
        <v>5.8158174384636219E-2</v>
      </c>
      <c r="D1677" s="2">
        <f ca="1">INDEX(Simulations!$A$1:$BK$2501, 1677, MATCH("SynMargin", Simulations!$A$1:$BK$1, 0))</f>
        <v>9.1742995150031759E-3</v>
      </c>
      <c r="E1677" s="2">
        <f ca="1">INDEX(Simulations!$A$1:$BK$2501, 1677, MATCH("Yr1Shock", Simulations!$A$1:$BK$1, 0))</f>
        <v>1.2362743709502633E-2</v>
      </c>
    </row>
    <row r="1678" spans="1:5" x14ac:dyDescent="0.3">
      <c r="A1678" s="2">
        <f ca="1">INDEX(Simulations!$A$1:$BK$2501, 1678, MATCH("PurchaseMultiple", Simulations!$A$1:$BK$1, 0))</f>
        <v>7.4401233081425282</v>
      </c>
      <c r="B1678" s="2">
        <f ca="1">INDEX(Simulations!$A$1:$BK$2501, 1678, MATCH("ExitMultiple", Simulations!$A$1:$BK$1, 0))</f>
        <v>7.8090472524929551</v>
      </c>
      <c r="C1678" s="2">
        <f ca="1">INDEX(Simulations!$A$1:$BK$2501, 1678, MATCH("RevCAGR", Simulations!$A$1:$BK$1, 0))</f>
        <v>2.9054446113372431E-2</v>
      </c>
      <c r="D1678" s="2">
        <f ca="1">INDEX(Simulations!$A$1:$BK$2501, 1678, MATCH("SynMargin", Simulations!$A$1:$BK$1, 0))</f>
        <v>2.6890484063776636E-3</v>
      </c>
      <c r="E1678" s="2">
        <f ca="1">INDEX(Simulations!$A$1:$BK$2501, 1678, MATCH("Yr1Shock", Simulations!$A$1:$BK$1, 0))</f>
        <v>-5.5989387396736022E-3</v>
      </c>
    </row>
    <row r="1679" spans="1:5" x14ac:dyDescent="0.3">
      <c r="A1679" s="2">
        <f ca="1">INDEX(Simulations!$A$1:$BK$2501, 1679, MATCH("PurchaseMultiple", Simulations!$A$1:$BK$1, 0))</f>
        <v>7.3364643201534037</v>
      </c>
      <c r="B1679" s="2">
        <f ca="1">INDEX(Simulations!$A$1:$BK$2501, 1679, MATCH("ExitMultiple", Simulations!$A$1:$BK$1, 0))</f>
        <v>7.5376087826257097</v>
      </c>
      <c r="C1679" s="2">
        <f ca="1">INDEX(Simulations!$A$1:$BK$2501, 1679, MATCH("RevCAGR", Simulations!$A$1:$BK$1, 0))</f>
        <v>8.4209118557739132E-3</v>
      </c>
      <c r="D1679" s="2">
        <f ca="1">INDEX(Simulations!$A$1:$BK$2501, 1679, MATCH("SynMargin", Simulations!$A$1:$BK$1, 0))</f>
        <v>4.4251717491324907E-3</v>
      </c>
      <c r="E1679" s="2">
        <f ca="1">INDEX(Simulations!$A$1:$BK$2501, 1679, MATCH("Yr1Shock", Simulations!$A$1:$BK$1, 0))</f>
        <v>4.6367236138187776E-3</v>
      </c>
    </row>
    <row r="1680" spans="1:5" x14ac:dyDescent="0.3">
      <c r="A1680" s="2">
        <f ca="1">INDEX(Simulations!$A$1:$BK$2501, 1680, MATCH("PurchaseMultiple", Simulations!$A$1:$BK$1, 0))</f>
        <v>6.8582318346580218</v>
      </c>
      <c r="B1680" s="2">
        <f ca="1">INDEX(Simulations!$A$1:$BK$2501, 1680, MATCH("ExitMultiple", Simulations!$A$1:$BK$1, 0))</f>
        <v>7.7345252721542987</v>
      </c>
      <c r="C1680" s="2">
        <f ca="1">INDEX(Simulations!$A$1:$BK$2501, 1680, MATCH("RevCAGR", Simulations!$A$1:$BK$1, 0))</f>
        <v>9.0832616038746539E-2</v>
      </c>
      <c r="D1680" s="2">
        <f ca="1">INDEX(Simulations!$A$1:$BK$2501, 1680, MATCH("SynMargin", Simulations!$A$1:$BK$1, 0))</f>
        <v>2.3007796236699405E-3</v>
      </c>
      <c r="E1680" s="2">
        <f ca="1">INDEX(Simulations!$A$1:$BK$2501, 1680, MATCH("Yr1Shock", Simulations!$A$1:$BK$1, 0))</f>
        <v>-2.7680720395723123E-2</v>
      </c>
    </row>
    <row r="1681" spans="1:5" x14ac:dyDescent="0.3">
      <c r="A1681" s="2">
        <f ca="1">INDEX(Simulations!$A$1:$BK$2501, 1681, MATCH("PurchaseMultiple", Simulations!$A$1:$BK$1, 0))</f>
        <v>6.7799510542104011</v>
      </c>
      <c r="B1681" s="2">
        <f ca="1">INDEX(Simulations!$A$1:$BK$2501, 1681, MATCH("ExitMultiple", Simulations!$A$1:$BK$1, 0))</f>
        <v>7.2479974567108387</v>
      </c>
      <c r="C1681" s="2">
        <f ca="1">INDEX(Simulations!$A$1:$BK$2501, 1681, MATCH("RevCAGR", Simulations!$A$1:$BK$1, 0))</f>
        <v>4.7093373862889712E-2</v>
      </c>
      <c r="D1681" s="2">
        <f ca="1">INDEX(Simulations!$A$1:$BK$2501, 1681, MATCH("SynMargin", Simulations!$A$1:$BK$1, 0))</f>
        <v>1.0864200953823837E-3</v>
      </c>
      <c r="E1681" s="2">
        <f ca="1">INDEX(Simulations!$A$1:$BK$2501, 1681, MATCH("Yr1Shock", Simulations!$A$1:$BK$1, 0))</f>
        <v>-6.5108230623469069E-3</v>
      </c>
    </row>
    <row r="1682" spans="1:5" x14ac:dyDescent="0.3">
      <c r="A1682" s="2">
        <f ca="1">INDEX(Simulations!$A$1:$BK$2501, 1682, MATCH("PurchaseMultiple", Simulations!$A$1:$BK$1, 0))</f>
        <v>7.4811405109892108</v>
      </c>
      <c r="B1682" s="2">
        <f ca="1">INDEX(Simulations!$A$1:$BK$2501, 1682, MATCH("ExitMultiple", Simulations!$A$1:$BK$1, 0))</f>
        <v>7.5503435498729683</v>
      </c>
      <c r="C1682" s="2">
        <f ca="1">INDEX(Simulations!$A$1:$BK$2501, 1682, MATCH("RevCAGR", Simulations!$A$1:$BK$1, 0))</f>
        <v>6.2187929776279682E-2</v>
      </c>
      <c r="D1682" s="2">
        <f ca="1">INDEX(Simulations!$A$1:$BK$2501, 1682, MATCH("SynMargin", Simulations!$A$1:$BK$1, 0))</f>
        <v>1.2754613537861309E-2</v>
      </c>
      <c r="E1682" s="2">
        <f ca="1">INDEX(Simulations!$A$1:$BK$2501, 1682, MATCH("Yr1Shock", Simulations!$A$1:$BK$1, 0))</f>
        <v>-9.1858475462003181E-3</v>
      </c>
    </row>
    <row r="1683" spans="1:5" x14ac:dyDescent="0.3">
      <c r="A1683" s="2">
        <f ca="1">INDEX(Simulations!$A$1:$BK$2501, 1683, MATCH("PurchaseMultiple", Simulations!$A$1:$BK$1, 0))</f>
        <v>6.9561454923717179</v>
      </c>
      <c r="B1683" s="2">
        <f ca="1">INDEX(Simulations!$A$1:$BK$2501, 1683, MATCH("ExitMultiple", Simulations!$A$1:$BK$1, 0))</f>
        <v>7.7587153731221141</v>
      </c>
      <c r="C1683" s="2">
        <f ca="1">INDEX(Simulations!$A$1:$BK$2501, 1683, MATCH("RevCAGR", Simulations!$A$1:$BK$1, 0))</f>
        <v>2.0135975579993762E-2</v>
      </c>
      <c r="D1683" s="2">
        <f ca="1">INDEX(Simulations!$A$1:$BK$2501, 1683, MATCH("SynMargin", Simulations!$A$1:$BK$1, 0))</f>
        <v>2.0284920308757535E-2</v>
      </c>
      <c r="E1683" s="2">
        <f ca="1">INDEX(Simulations!$A$1:$BK$2501, 1683, MATCH("Yr1Shock", Simulations!$A$1:$BK$1, 0))</f>
        <v>1.0992563212997153E-2</v>
      </c>
    </row>
    <row r="1684" spans="1:5" x14ac:dyDescent="0.3">
      <c r="A1684" s="2">
        <f ca="1">INDEX(Simulations!$A$1:$BK$2501, 1684, MATCH("PurchaseMultiple", Simulations!$A$1:$BK$1, 0))</f>
        <v>6.8120686266026578</v>
      </c>
      <c r="B1684" s="2">
        <f ca="1">INDEX(Simulations!$A$1:$BK$2501, 1684, MATCH("ExitMultiple", Simulations!$A$1:$BK$1, 0))</f>
        <v>8.2147675391634465</v>
      </c>
      <c r="C1684" s="2">
        <f ca="1">INDEX(Simulations!$A$1:$BK$2501, 1684, MATCH("RevCAGR", Simulations!$A$1:$BK$1, 0))</f>
        <v>3.9330180933701796E-2</v>
      </c>
      <c r="D1684" s="2">
        <f ca="1">INDEX(Simulations!$A$1:$BK$2501, 1684, MATCH("SynMargin", Simulations!$A$1:$BK$1, 0))</f>
        <v>1.0141703237018015E-2</v>
      </c>
      <c r="E1684" s="2">
        <f ca="1">INDEX(Simulations!$A$1:$BK$2501, 1684, MATCH("Yr1Shock", Simulations!$A$1:$BK$1, 0))</f>
        <v>2.4249916594625491E-2</v>
      </c>
    </row>
    <row r="1685" spans="1:5" x14ac:dyDescent="0.3">
      <c r="A1685" s="2">
        <f ca="1">INDEX(Simulations!$A$1:$BK$2501, 1685, MATCH("PurchaseMultiple", Simulations!$A$1:$BK$1, 0))</f>
        <v>7.1289509136828508</v>
      </c>
      <c r="B1685" s="2">
        <f ca="1">INDEX(Simulations!$A$1:$BK$2501, 1685, MATCH("ExitMultiple", Simulations!$A$1:$BK$1, 0))</f>
        <v>7.6568692828912024</v>
      </c>
      <c r="C1685" s="2">
        <f ca="1">INDEX(Simulations!$A$1:$BK$2501, 1685, MATCH("RevCAGR", Simulations!$A$1:$BK$1, 0))</f>
        <v>4.8760676908914266E-2</v>
      </c>
      <c r="D1685" s="2">
        <f ca="1">INDEX(Simulations!$A$1:$BK$2501, 1685, MATCH("SynMargin", Simulations!$A$1:$BK$1, 0))</f>
        <v>3.7185838984415695E-3</v>
      </c>
      <c r="E1685" s="2">
        <f ca="1">INDEX(Simulations!$A$1:$BK$2501, 1685, MATCH("Yr1Shock", Simulations!$A$1:$BK$1, 0))</f>
        <v>1.5112673097260465E-2</v>
      </c>
    </row>
    <row r="1686" spans="1:5" x14ac:dyDescent="0.3">
      <c r="A1686" s="2">
        <f ca="1">INDEX(Simulations!$A$1:$BK$2501, 1686, MATCH("PurchaseMultiple", Simulations!$A$1:$BK$1, 0))</f>
        <v>6.9130775465960568</v>
      </c>
      <c r="B1686" s="2">
        <f ca="1">INDEX(Simulations!$A$1:$BK$2501, 1686, MATCH("ExitMultiple", Simulations!$A$1:$BK$1, 0))</f>
        <v>7.6048902574135049</v>
      </c>
      <c r="C1686" s="2">
        <f ca="1">INDEX(Simulations!$A$1:$BK$2501, 1686, MATCH("RevCAGR", Simulations!$A$1:$BK$1, 0))</f>
        <v>2.3086329545156201E-2</v>
      </c>
      <c r="D1686" s="2">
        <f ca="1">INDEX(Simulations!$A$1:$BK$2501, 1686, MATCH("SynMargin", Simulations!$A$1:$BK$1, 0))</f>
        <v>1.3789954200673015E-2</v>
      </c>
      <c r="E1686" s="2">
        <f ca="1">INDEX(Simulations!$A$1:$BK$2501, 1686, MATCH("Yr1Shock", Simulations!$A$1:$BK$1, 0))</f>
        <v>-2.8882153462787555E-2</v>
      </c>
    </row>
    <row r="1687" spans="1:5" x14ac:dyDescent="0.3">
      <c r="A1687" s="2">
        <f ca="1">INDEX(Simulations!$A$1:$BK$2501, 1687, MATCH("PurchaseMultiple", Simulations!$A$1:$BK$1, 0))</f>
        <v>7.0635902635040084</v>
      </c>
      <c r="B1687" s="2">
        <f ca="1">INDEX(Simulations!$A$1:$BK$2501, 1687, MATCH("ExitMultiple", Simulations!$A$1:$BK$1, 0))</f>
        <v>7.4593599136135316</v>
      </c>
      <c r="C1687" s="2">
        <f ca="1">INDEX(Simulations!$A$1:$BK$2501, 1687, MATCH("RevCAGR", Simulations!$A$1:$BK$1, 0))</f>
        <v>3.5186592554474941E-2</v>
      </c>
      <c r="D1687" s="2">
        <f ca="1">INDEX(Simulations!$A$1:$BK$2501, 1687, MATCH("SynMargin", Simulations!$A$1:$BK$1, 0))</f>
        <v>1.3822923539630466E-2</v>
      </c>
      <c r="E1687" s="2">
        <f ca="1">INDEX(Simulations!$A$1:$BK$2501, 1687, MATCH("Yr1Shock", Simulations!$A$1:$BK$1, 0))</f>
        <v>3.2506841401739525E-2</v>
      </c>
    </row>
    <row r="1688" spans="1:5" x14ac:dyDescent="0.3">
      <c r="A1688" s="2">
        <f ca="1">INDEX(Simulations!$A$1:$BK$2501, 1688, MATCH("PurchaseMultiple", Simulations!$A$1:$BK$1, 0))</f>
        <v>7.1486963120252742</v>
      </c>
      <c r="B1688" s="2">
        <f ca="1">INDEX(Simulations!$A$1:$BK$2501, 1688, MATCH("ExitMultiple", Simulations!$A$1:$BK$1, 0))</f>
        <v>7.6021437944099164</v>
      </c>
      <c r="C1688" s="2">
        <f ca="1">INDEX(Simulations!$A$1:$BK$2501, 1688, MATCH("RevCAGR", Simulations!$A$1:$BK$1, 0))</f>
        <v>5.3369375455489407E-2</v>
      </c>
      <c r="D1688" s="2">
        <f ca="1">INDEX(Simulations!$A$1:$BK$2501, 1688, MATCH("SynMargin", Simulations!$A$1:$BK$1, 0))</f>
        <v>1.7536803618829123E-2</v>
      </c>
      <c r="E1688" s="2">
        <f ca="1">INDEX(Simulations!$A$1:$BK$2501, 1688, MATCH("Yr1Shock", Simulations!$A$1:$BK$1, 0))</f>
        <v>-5.3471705533815819E-3</v>
      </c>
    </row>
    <row r="1689" spans="1:5" x14ac:dyDescent="0.3">
      <c r="A1689" s="2">
        <f ca="1">INDEX(Simulations!$A$1:$BK$2501, 1689, MATCH("PurchaseMultiple", Simulations!$A$1:$BK$1, 0))</f>
        <v>7.0357619874604396</v>
      </c>
      <c r="B1689" s="2">
        <f ca="1">INDEX(Simulations!$A$1:$BK$2501, 1689, MATCH("ExitMultiple", Simulations!$A$1:$BK$1, 0))</f>
        <v>6.9493935414919044</v>
      </c>
      <c r="C1689" s="2">
        <f ca="1">INDEX(Simulations!$A$1:$BK$2501, 1689, MATCH("RevCAGR", Simulations!$A$1:$BK$1, 0))</f>
        <v>3.936159590070689E-2</v>
      </c>
      <c r="D1689" s="2">
        <f ca="1">INDEX(Simulations!$A$1:$BK$2501, 1689, MATCH("SynMargin", Simulations!$A$1:$BK$1, 0))</f>
        <v>1.2709508584107842E-2</v>
      </c>
      <c r="E1689" s="2">
        <f ca="1">INDEX(Simulations!$A$1:$BK$2501, 1689, MATCH("Yr1Shock", Simulations!$A$1:$BK$1, 0))</f>
        <v>-1.5635991965876023E-2</v>
      </c>
    </row>
    <row r="1690" spans="1:5" x14ac:dyDescent="0.3">
      <c r="A1690" s="2">
        <f ca="1">INDEX(Simulations!$A$1:$BK$2501, 1690, MATCH("PurchaseMultiple", Simulations!$A$1:$BK$1, 0))</f>
        <v>7.3147453771292383</v>
      </c>
      <c r="B1690" s="2">
        <f ca="1">INDEX(Simulations!$A$1:$BK$2501, 1690, MATCH("ExitMultiple", Simulations!$A$1:$BK$1, 0))</f>
        <v>7.174060915481415</v>
      </c>
      <c r="C1690" s="2">
        <f ca="1">INDEX(Simulations!$A$1:$BK$2501, 1690, MATCH("RevCAGR", Simulations!$A$1:$BK$1, 0))</f>
        <v>2.8894469126589648E-2</v>
      </c>
      <c r="D1690" s="2">
        <f ca="1">INDEX(Simulations!$A$1:$BK$2501, 1690, MATCH("SynMargin", Simulations!$A$1:$BK$1, 0))</f>
        <v>2.096334153928019E-2</v>
      </c>
      <c r="E1690" s="2">
        <f ca="1">INDEX(Simulations!$A$1:$BK$2501, 1690, MATCH("Yr1Shock", Simulations!$A$1:$BK$1, 0))</f>
        <v>-2.1461493169371544E-3</v>
      </c>
    </row>
    <row r="1691" spans="1:5" x14ac:dyDescent="0.3">
      <c r="A1691" s="2">
        <f ca="1">INDEX(Simulations!$A$1:$BK$2501, 1691, MATCH("PurchaseMultiple", Simulations!$A$1:$BK$1, 0))</f>
        <v>7.4040473909807218</v>
      </c>
      <c r="B1691" s="2">
        <f ca="1">INDEX(Simulations!$A$1:$BK$2501, 1691, MATCH("ExitMultiple", Simulations!$A$1:$BK$1, 0))</f>
        <v>7.9870504437110172</v>
      </c>
      <c r="C1691" s="2">
        <f ca="1">INDEX(Simulations!$A$1:$BK$2501, 1691, MATCH("RevCAGR", Simulations!$A$1:$BK$1, 0))</f>
        <v>5.0651771111770438E-5</v>
      </c>
      <c r="D1691" s="2">
        <f ca="1">INDEX(Simulations!$A$1:$BK$2501, 1691, MATCH("SynMargin", Simulations!$A$1:$BK$1, 0))</f>
        <v>6.6706096678888337E-3</v>
      </c>
      <c r="E1691" s="2">
        <f ca="1">INDEX(Simulations!$A$1:$BK$2501, 1691, MATCH("Yr1Shock", Simulations!$A$1:$BK$1, 0))</f>
        <v>-5.772132267171751E-3</v>
      </c>
    </row>
    <row r="1692" spans="1:5" x14ac:dyDescent="0.3">
      <c r="A1692" s="2">
        <f ca="1">INDEX(Simulations!$A$1:$BK$2501, 1692, MATCH("PurchaseMultiple", Simulations!$A$1:$BK$1, 0))</f>
        <v>7.5941017384704637</v>
      </c>
      <c r="B1692" s="2">
        <f ca="1">INDEX(Simulations!$A$1:$BK$2501, 1692, MATCH("ExitMultiple", Simulations!$A$1:$BK$1, 0))</f>
        <v>7.9081629318988851</v>
      </c>
      <c r="C1692" s="2">
        <f ca="1">INDEX(Simulations!$A$1:$BK$2501, 1692, MATCH("RevCAGR", Simulations!$A$1:$BK$1, 0))</f>
        <v>4.6241149593475833E-2</v>
      </c>
      <c r="D1692" s="2">
        <f ca="1">INDEX(Simulations!$A$1:$BK$2501, 1692, MATCH("SynMargin", Simulations!$A$1:$BK$1, 0))</f>
        <v>1.8113144471723245E-2</v>
      </c>
      <c r="E1692" s="2">
        <f ca="1">INDEX(Simulations!$A$1:$BK$2501, 1692, MATCH("Yr1Shock", Simulations!$A$1:$BK$1, 0))</f>
        <v>-5.4331624230827928E-3</v>
      </c>
    </row>
    <row r="1693" spans="1:5" x14ac:dyDescent="0.3">
      <c r="A1693" s="2">
        <f ca="1">INDEX(Simulations!$A$1:$BK$2501, 1693, MATCH("PurchaseMultiple", Simulations!$A$1:$BK$1, 0))</f>
        <v>7.2484386542266597</v>
      </c>
      <c r="B1693" s="2">
        <f ca="1">INDEX(Simulations!$A$1:$BK$2501, 1693, MATCH("ExitMultiple", Simulations!$A$1:$BK$1, 0))</f>
        <v>7.5187060577169156</v>
      </c>
      <c r="C1693" s="2">
        <f ca="1">INDEX(Simulations!$A$1:$BK$2501, 1693, MATCH("RevCAGR", Simulations!$A$1:$BK$1, 0))</f>
        <v>6.3444165094949129E-2</v>
      </c>
      <c r="D1693" s="2">
        <f ca="1">INDEX(Simulations!$A$1:$BK$2501, 1693, MATCH("SynMargin", Simulations!$A$1:$BK$1, 0))</f>
        <v>8.0106601638853664E-3</v>
      </c>
      <c r="E1693" s="2">
        <f ca="1">INDEX(Simulations!$A$1:$BK$2501, 1693, MATCH("Yr1Shock", Simulations!$A$1:$BK$1, 0))</f>
        <v>-1.7784989799513339E-2</v>
      </c>
    </row>
    <row r="1694" spans="1:5" x14ac:dyDescent="0.3">
      <c r="A1694" s="2">
        <f ca="1">INDEX(Simulations!$A$1:$BK$2501, 1694, MATCH("PurchaseMultiple", Simulations!$A$1:$BK$1, 0))</f>
        <v>6.8391633796824278</v>
      </c>
      <c r="B1694" s="2">
        <f ca="1">INDEX(Simulations!$A$1:$BK$2501, 1694, MATCH("ExitMultiple", Simulations!$A$1:$BK$1, 0))</f>
        <v>7.6964823936243008</v>
      </c>
      <c r="C1694" s="2">
        <f ca="1">INDEX(Simulations!$A$1:$BK$2501, 1694, MATCH("RevCAGR", Simulations!$A$1:$BK$1, 0))</f>
        <v>3.7658946589273511E-2</v>
      </c>
      <c r="D1694" s="2">
        <f ca="1">INDEX(Simulations!$A$1:$BK$2501, 1694, MATCH("SynMargin", Simulations!$A$1:$BK$1, 0))</f>
        <v>1.2831946027004886E-2</v>
      </c>
      <c r="E1694" s="2">
        <f ca="1">INDEX(Simulations!$A$1:$BK$2501, 1694, MATCH("Yr1Shock", Simulations!$A$1:$BK$1, 0))</f>
        <v>-1.9454783466227331E-2</v>
      </c>
    </row>
    <row r="1695" spans="1:5" x14ac:dyDescent="0.3">
      <c r="A1695" s="2">
        <f ca="1">INDEX(Simulations!$A$1:$BK$2501, 1695, MATCH("PurchaseMultiple", Simulations!$A$1:$BK$1, 0))</f>
        <v>7.849420342311987</v>
      </c>
      <c r="B1695" s="2">
        <f ca="1">INDEX(Simulations!$A$1:$BK$2501, 1695, MATCH("ExitMultiple", Simulations!$A$1:$BK$1, 0))</f>
        <v>7.3318669230107067</v>
      </c>
      <c r="C1695" s="2">
        <f ca="1">INDEX(Simulations!$A$1:$BK$2501, 1695, MATCH("RevCAGR", Simulations!$A$1:$BK$1, 0))</f>
        <v>6.4974710575527367E-2</v>
      </c>
      <c r="D1695" s="2">
        <f ca="1">INDEX(Simulations!$A$1:$BK$2501, 1695, MATCH("SynMargin", Simulations!$A$1:$BK$1, 0))</f>
        <v>1.0146427619748903E-2</v>
      </c>
      <c r="E1695" s="2">
        <f ca="1">INDEX(Simulations!$A$1:$BK$2501, 1695, MATCH("Yr1Shock", Simulations!$A$1:$BK$1, 0))</f>
        <v>-9.9388480571455159E-3</v>
      </c>
    </row>
    <row r="1696" spans="1:5" x14ac:dyDescent="0.3">
      <c r="A1696" s="2">
        <f ca="1">INDEX(Simulations!$A$1:$BK$2501, 1696, MATCH("PurchaseMultiple", Simulations!$A$1:$BK$1, 0))</f>
        <v>6.8856816654421573</v>
      </c>
      <c r="B1696" s="2">
        <f ca="1">INDEX(Simulations!$A$1:$BK$2501, 1696, MATCH("ExitMultiple", Simulations!$A$1:$BK$1, 0))</f>
        <v>7.9299908347755848</v>
      </c>
      <c r="C1696" s="2">
        <f ca="1">INDEX(Simulations!$A$1:$BK$2501, 1696, MATCH("RevCAGR", Simulations!$A$1:$BK$1, 0))</f>
        <v>3.3758832931565376E-2</v>
      </c>
      <c r="D1696" s="2">
        <f ca="1">INDEX(Simulations!$A$1:$BK$2501, 1696, MATCH("SynMargin", Simulations!$A$1:$BK$1, 0))</f>
        <v>1.0725985817156867E-2</v>
      </c>
      <c r="E1696" s="2">
        <f ca="1">INDEX(Simulations!$A$1:$BK$2501, 1696, MATCH("Yr1Shock", Simulations!$A$1:$BK$1, 0))</f>
        <v>-1.1699430659625547E-2</v>
      </c>
    </row>
    <row r="1697" spans="1:5" x14ac:dyDescent="0.3">
      <c r="A1697" s="2">
        <f ca="1">INDEX(Simulations!$A$1:$BK$2501, 1697, MATCH("PurchaseMultiple", Simulations!$A$1:$BK$1, 0))</f>
        <v>7.5446208862648083</v>
      </c>
      <c r="B1697" s="2">
        <f ca="1">INDEX(Simulations!$A$1:$BK$2501, 1697, MATCH("ExitMultiple", Simulations!$A$1:$BK$1, 0))</f>
        <v>7.0888989958296644</v>
      </c>
      <c r="C1697" s="2">
        <f ca="1">INDEX(Simulations!$A$1:$BK$2501, 1697, MATCH("RevCAGR", Simulations!$A$1:$BK$1, 0))</f>
        <v>5.0530659332041178E-2</v>
      </c>
      <c r="D1697" s="2">
        <f ca="1">INDEX(Simulations!$A$1:$BK$2501, 1697, MATCH("SynMargin", Simulations!$A$1:$BK$1, 0))</f>
        <v>4.9795311800898264E-3</v>
      </c>
      <c r="E1697" s="2">
        <f ca="1">INDEX(Simulations!$A$1:$BK$2501, 1697, MATCH("Yr1Shock", Simulations!$A$1:$BK$1, 0))</f>
        <v>2.8255167457591556E-2</v>
      </c>
    </row>
    <row r="1698" spans="1:5" x14ac:dyDescent="0.3">
      <c r="A1698" s="2">
        <f ca="1">INDEX(Simulations!$A$1:$BK$2501, 1698, MATCH("PurchaseMultiple", Simulations!$A$1:$BK$1, 0))</f>
        <v>6.9301565260005944</v>
      </c>
      <c r="B1698" s="2">
        <f ca="1">INDEX(Simulations!$A$1:$BK$2501, 1698, MATCH("ExitMultiple", Simulations!$A$1:$BK$1, 0))</f>
        <v>7.1537861238764142</v>
      </c>
      <c r="C1698" s="2">
        <f ca="1">INDEX(Simulations!$A$1:$BK$2501, 1698, MATCH("RevCAGR", Simulations!$A$1:$BK$1, 0))</f>
        <v>1.4732701786462639E-2</v>
      </c>
      <c r="D1698" s="2">
        <f ca="1">INDEX(Simulations!$A$1:$BK$2501, 1698, MATCH("SynMargin", Simulations!$A$1:$BK$1, 0))</f>
        <v>1.5834829931963185E-2</v>
      </c>
      <c r="E1698" s="2">
        <f ca="1">INDEX(Simulations!$A$1:$BK$2501, 1698, MATCH("Yr1Shock", Simulations!$A$1:$BK$1, 0))</f>
        <v>-2.7630964960140211E-2</v>
      </c>
    </row>
    <row r="1699" spans="1:5" x14ac:dyDescent="0.3">
      <c r="A1699" s="2">
        <f ca="1">INDEX(Simulations!$A$1:$BK$2501, 1699, MATCH("PurchaseMultiple", Simulations!$A$1:$BK$1, 0))</f>
        <v>7.2341148677333802</v>
      </c>
      <c r="B1699" s="2">
        <f ca="1">INDEX(Simulations!$A$1:$BK$2501, 1699, MATCH("ExitMultiple", Simulations!$A$1:$BK$1, 0))</f>
        <v>8.0145532206811509</v>
      </c>
      <c r="C1699" s="2">
        <f ca="1">INDEX(Simulations!$A$1:$BK$2501, 1699, MATCH("RevCAGR", Simulations!$A$1:$BK$1, 0))</f>
        <v>2.5614810093655672E-2</v>
      </c>
      <c r="D1699" s="2">
        <f ca="1">INDEX(Simulations!$A$1:$BK$2501, 1699, MATCH("SynMargin", Simulations!$A$1:$BK$1, 0))</f>
        <v>1.9139816142354465E-2</v>
      </c>
      <c r="E1699" s="2">
        <f ca="1">INDEX(Simulations!$A$1:$BK$2501, 1699, MATCH("Yr1Shock", Simulations!$A$1:$BK$1, 0))</f>
        <v>1.5951860411544512E-2</v>
      </c>
    </row>
    <row r="1700" spans="1:5" x14ac:dyDescent="0.3">
      <c r="A1700" s="2">
        <f ca="1">INDEX(Simulations!$A$1:$BK$2501, 1700, MATCH("PurchaseMultiple", Simulations!$A$1:$BK$1, 0))</f>
        <v>7.1947519797779531</v>
      </c>
      <c r="B1700" s="2">
        <f ca="1">INDEX(Simulations!$A$1:$BK$2501, 1700, MATCH("ExitMultiple", Simulations!$A$1:$BK$1, 0))</f>
        <v>6.5820177056845761</v>
      </c>
      <c r="C1700" s="2">
        <f ca="1">INDEX(Simulations!$A$1:$BK$2501, 1700, MATCH("RevCAGR", Simulations!$A$1:$BK$1, 0))</f>
        <v>1.1677038624972581E-2</v>
      </c>
      <c r="D1700" s="2">
        <f ca="1">INDEX(Simulations!$A$1:$BK$2501, 1700, MATCH("SynMargin", Simulations!$A$1:$BK$1, 0))</f>
        <v>8.8314430426749829E-3</v>
      </c>
      <c r="E1700" s="2">
        <f ca="1">INDEX(Simulations!$A$1:$BK$2501, 1700, MATCH("Yr1Shock", Simulations!$A$1:$BK$1, 0))</f>
        <v>4.1137328010590231E-3</v>
      </c>
    </row>
    <row r="1701" spans="1:5" x14ac:dyDescent="0.3">
      <c r="A1701" s="2">
        <f ca="1">INDEX(Simulations!$A$1:$BK$2501, 1701, MATCH("PurchaseMultiple", Simulations!$A$1:$BK$1, 0))</f>
        <v>6.7490106650661481</v>
      </c>
      <c r="B1701" s="2">
        <f ca="1">INDEX(Simulations!$A$1:$BK$2501, 1701, MATCH("ExitMultiple", Simulations!$A$1:$BK$1, 0))</f>
        <v>7.999429698687714</v>
      </c>
      <c r="C1701" s="2">
        <f ca="1">INDEX(Simulations!$A$1:$BK$2501, 1701, MATCH("RevCAGR", Simulations!$A$1:$BK$1, 0))</f>
        <v>1.4823192717319869E-3</v>
      </c>
      <c r="D1701" s="2">
        <f ca="1">INDEX(Simulations!$A$1:$BK$2501, 1701, MATCH("SynMargin", Simulations!$A$1:$BK$1, 0))</f>
        <v>1.5310138313707965E-2</v>
      </c>
      <c r="E1701" s="2">
        <f ca="1">INDEX(Simulations!$A$1:$BK$2501, 1701, MATCH("Yr1Shock", Simulations!$A$1:$BK$1, 0))</f>
        <v>7.2062953919352867E-4</v>
      </c>
    </row>
    <row r="1702" spans="1:5" x14ac:dyDescent="0.3">
      <c r="A1702" s="2">
        <f ca="1">INDEX(Simulations!$A$1:$BK$2501, 1702, MATCH("PurchaseMultiple", Simulations!$A$1:$BK$1, 0))</f>
        <v>7.5650856089281611</v>
      </c>
      <c r="B1702" s="2">
        <f ca="1">INDEX(Simulations!$A$1:$BK$2501, 1702, MATCH("ExitMultiple", Simulations!$A$1:$BK$1, 0))</f>
        <v>7.6997932677379337</v>
      </c>
      <c r="C1702" s="2">
        <f ca="1">INDEX(Simulations!$A$1:$BK$2501, 1702, MATCH("RevCAGR", Simulations!$A$1:$BK$1, 0))</f>
        <v>4.7638462905205861E-2</v>
      </c>
      <c r="D1702" s="2">
        <f ca="1">INDEX(Simulations!$A$1:$BK$2501, 1702, MATCH("SynMargin", Simulations!$A$1:$BK$1, 0))</f>
        <v>8.3267642660994276E-3</v>
      </c>
      <c r="E1702" s="2">
        <f ca="1">INDEX(Simulations!$A$1:$BK$2501, 1702, MATCH("Yr1Shock", Simulations!$A$1:$BK$1, 0))</f>
        <v>1.3230420654438791E-5</v>
      </c>
    </row>
    <row r="1703" spans="1:5" x14ac:dyDescent="0.3">
      <c r="A1703" s="2">
        <f ca="1">INDEX(Simulations!$A$1:$BK$2501, 1703, MATCH("PurchaseMultiple", Simulations!$A$1:$BK$1, 0))</f>
        <v>7.3276039114895575</v>
      </c>
      <c r="B1703" s="2">
        <f ca="1">INDEX(Simulations!$A$1:$BK$2501, 1703, MATCH("ExitMultiple", Simulations!$A$1:$BK$1, 0))</f>
        <v>7.1265297451638112</v>
      </c>
      <c r="C1703" s="2">
        <f ca="1">INDEX(Simulations!$A$1:$BK$2501, 1703, MATCH("RevCAGR", Simulations!$A$1:$BK$1, 0))</f>
        <v>1.2185040557075408E-2</v>
      </c>
      <c r="D1703" s="2">
        <f ca="1">INDEX(Simulations!$A$1:$BK$2501, 1703, MATCH("SynMargin", Simulations!$A$1:$BK$1, 0))</f>
        <v>7.5350506334412792E-3</v>
      </c>
      <c r="E1703" s="2">
        <f ca="1">INDEX(Simulations!$A$1:$BK$2501, 1703, MATCH("Yr1Shock", Simulations!$A$1:$BK$1, 0))</f>
        <v>5.9982120717231562E-3</v>
      </c>
    </row>
    <row r="1704" spans="1:5" x14ac:dyDescent="0.3">
      <c r="A1704" s="2">
        <f ca="1">INDEX(Simulations!$A$1:$BK$2501, 1704, MATCH("PurchaseMultiple", Simulations!$A$1:$BK$1, 0))</f>
        <v>6.8888178346456224</v>
      </c>
      <c r="B1704" s="2">
        <f ca="1">INDEX(Simulations!$A$1:$BK$2501, 1704, MATCH("ExitMultiple", Simulations!$A$1:$BK$1, 0))</f>
        <v>7.3502254172627053</v>
      </c>
      <c r="C1704" s="2">
        <f ca="1">INDEX(Simulations!$A$1:$BK$2501, 1704, MATCH("RevCAGR", Simulations!$A$1:$BK$1, 0))</f>
        <v>3.772840151507089E-2</v>
      </c>
      <c r="D1704" s="2">
        <f ca="1">INDEX(Simulations!$A$1:$BK$2501, 1704, MATCH("SynMargin", Simulations!$A$1:$BK$1, 0))</f>
        <v>1.0423829514552008E-2</v>
      </c>
      <c r="E1704" s="2">
        <f ca="1">INDEX(Simulations!$A$1:$BK$2501, 1704, MATCH("Yr1Shock", Simulations!$A$1:$BK$1, 0))</f>
        <v>-2.0792861826667872E-2</v>
      </c>
    </row>
    <row r="1705" spans="1:5" x14ac:dyDescent="0.3">
      <c r="A1705" s="2">
        <f ca="1">INDEX(Simulations!$A$1:$BK$2501, 1705, MATCH("PurchaseMultiple", Simulations!$A$1:$BK$1, 0))</f>
        <v>6.9792850664305002</v>
      </c>
      <c r="B1705" s="2">
        <f ca="1">INDEX(Simulations!$A$1:$BK$2501, 1705, MATCH("ExitMultiple", Simulations!$A$1:$BK$1, 0))</f>
        <v>7.5964433188722698</v>
      </c>
      <c r="C1705" s="2">
        <f ca="1">INDEX(Simulations!$A$1:$BK$2501, 1705, MATCH("RevCAGR", Simulations!$A$1:$BK$1, 0))</f>
        <v>0.10610410095569178</v>
      </c>
      <c r="D1705" s="2">
        <f ca="1">INDEX(Simulations!$A$1:$BK$2501, 1705, MATCH("SynMargin", Simulations!$A$1:$BK$1, 0))</f>
        <v>1.2397916198755885E-2</v>
      </c>
      <c r="E1705" s="2">
        <f ca="1">INDEX(Simulations!$A$1:$BK$2501, 1705, MATCH("Yr1Shock", Simulations!$A$1:$BK$1, 0))</f>
        <v>-2.2663639168644268E-2</v>
      </c>
    </row>
    <row r="1706" spans="1:5" x14ac:dyDescent="0.3">
      <c r="A1706" s="2">
        <f ca="1">INDEX(Simulations!$A$1:$BK$2501, 1706, MATCH("PurchaseMultiple", Simulations!$A$1:$BK$1, 0))</f>
        <v>7.2807719071165922</v>
      </c>
      <c r="B1706" s="2">
        <f ca="1">INDEX(Simulations!$A$1:$BK$2501, 1706, MATCH("ExitMultiple", Simulations!$A$1:$BK$1, 0))</f>
        <v>7.5007372226566629</v>
      </c>
      <c r="C1706" s="2">
        <f ca="1">INDEX(Simulations!$A$1:$BK$2501, 1706, MATCH("RevCAGR", Simulations!$A$1:$BK$1, 0))</f>
        <v>-9.1042217539726022E-4</v>
      </c>
      <c r="D1706" s="2">
        <f ca="1">INDEX(Simulations!$A$1:$BK$2501, 1706, MATCH("SynMargin", Simulations!$A$1:$BK$1, 0))</f>
        <v>4.6324483753501415E-3</v>
      </c>
      <c r="E1706" s="2">
        <f ca="1">INDEX(Simulations!$A$1:$BK$2501, 1706, MATCH("Yr1Shock", Simulations!$A$1:$BK$1, 0))</f>
        <v>-5.7692629694689182E-3</v>
      </c>
    </row>
    <row r="1707" spans="1:5" x14ac:dyDescent="0.3">
      <c r="A1707" s="2">
        <f ca="1">INDEX(Simulations!$A$1:$BK$2501, 1707, MATCH("PurchaseMultiple", Simulations!$A$1:$BK$1, 0))</f>
        <v>7.001434873454226</v>
      </c>
      <c r="B1707" s="2">
        <f ca="1">INDEX(Simulations!$A$1:$BK$2501, 1707, MATCH("ExitMultiple", Simulations!$A$1:$BK$1, 0))</f>
        <v>7.1152244028624647</v>
      </c>
      <c r="C1707" s="2">
        <f ca="1">INDEX(Simulations!$A$1:$BK$2501, 1707, MATCH("RevCAGR", Simulations!$A$1:$BK$1, 0))</f>
        <v>8.5783655035922821E-2</v>
      </c>
      <c r="D1707" s="2">
        <f ca="1">INDEX(Simulations!$A$1:$BK$2501, 1707, MATCH("SynMargin", Simulations!$A$1:$BK$1, 0))</f>
        <v>1.6621703261462124E-2</v>
      </c>
      <c r="E1707" s="2">
        <f ca="1">INDEX(Simulations!$A$1:$BK$2501, 1707, MATCH("Yr1Shock", Simulations!$A$1:$BK$1, 0))</f>
        <v>-7.0918386100841104E-3</v>
      </c>
    </row>
    <row r="1708" spans="1:5" x14ac:dyDescent="0.3">
      <c r="A1708" s="2">
        <f ca="1">INDEX(Simulations!$A$1:$BK$2501, 1708, MATCH("PurchaseMultiple", Simulations!$A$1:$BK$1, 0))</f>
        <v>6.7234198895470865</v>
      </c>
      <c r="B1708" s="2">
        <f ca="1">INDEX(Simulations!$A$1:$BK$2501, 1708, MATCH("ExitMultiple", Simulations!$A$1:$BK$1, 0))</f>
        <v>7.345388885970892</v>
      </c>
      <c r="C1708" s="2">
        <f ca="1">INDEX(Simulations!$A$1:$BK$2501, 1708, MATCH("RevCAGR", Simulations!$A$1:$BK$1, 0))</f>
        <v>4.5929017175476913E-3</v>
      </c>
      <c r="D1708" s="2">
        <f ca="1">INDEX(Simulations!$A$1:$BK$2501, 1708, MATCH("SynMargin", Simulations!$A$1:$BK$1, 0))</f>
        <v>1.5433014054909905E-2</v>
      </c>
      <c r="E1708" s="2">
        <f ca="1">INDEX(Simulations!$A$1:$BK$2501, 1708, MATCH("Yr1Shock", Simulations!$A$1:$BK$1, 0))</f>
        <v>2.4449484369660046E-2</v>
      </c>
    </row>
    <row r="1709" spans="1:5" x14ac:dyDescent="0.3">
      <c r="A1709" s="2">
        <f ca="1">INDEX(Simulations!$A$1:$BK$2501, 1709, MATCH("PurchaseMultiple", Simulations!$A$1:$BK$1, 0))</f>
        <v>7.560835420483401</v>
      </c>
      <c r="B1709" s="2">
        <f ca="1">INDEX(Simulations!$A$1:$BK$2501, 1709, MATCH("ExitMultiple", Simulations!$A$1:$BK$1, 0))</f>
        <v>7.4955012315207146</v>
      </c>
      <c r="C1709" s="2">
        <f ca="1">INDEX(Simulations!$A$1:$BK$2501, 1709, MATCH("RevCAGR", Simulations!$A$1:$BK$1, 0))</f>
        <v>-0.02</v>
      </c>
      <c r="D1709" s="2">
        <f ca="1">INDEX(Simulations!$A$1:$BK$2501, 1709, MATCH("SynMargin", Simulations!$A$1:$BK$1, 0))</f>
        <v>1.5286654841908422E-4</v>
      </c>
      <c r="E1709" s="2">
        <f ca="1">INDEX(Simulations!$A$1:$BK$2501, 1709, MATCH("Yr1Shock", Simulations!$A$1:$BK$1, 0))</f>
        <v>2.6858444144605254E-2</v>
      </c>
    </row>
    <row r="1710" spans="1:5" x14ac:dyDescent="0.3">
      <c r="A1710" s="2">
        <f ca="1">INDEX(Simulations!$A$1:$BK$2501, 1710, MATCH("PurchaseMultiple", Simulations!$A$1:$BK$1, 0))</f>
        <v>6.678923671370244</v>
      </c>
      <c r="B1710" s="2">
        <f ca="1">INDEX(Simulations!$A$1:$BK$2501, 1710, MATCH("ExitMultiple", Simulations!$A$1:$BK$1, 0))</f>
        <v>7.49114063325937</v>
      </c>
      <c r="C1710" s="2">
        <f ca="1">INDEX(Simulations!$A$1:$BK$2501, 1710, MATCH("RevCAGR", Simulations!$A$1:$BK$1, 0))</f>
        <v>4.0080589886359819E-2</v>
      </c>
      <c r="D1710" s="2">
        <f ca="1">INDEX(Simulations!$A$1:$BK$2501, 1710, MATCH("SynMargin", Simulations!$A$1:$BK$1, 0))</f>
        <v>6.6790968772503408E-3</v>
      </c>
      <c r="E1710" s="2">
        <f ca="1">INDEX(Simulations!$A$1:$BK$2501, 1710, MATCH("Yr1Shock", Simulations!$A$1:$BK$1, 0))</f>
        <v>1.4372690025922383E-2</v>
      </c>
    </row>
    <row r="1711" spans="1:5" x14ac:dyDescent="0.3">
      <c r="A1711" s="2">
        <f ca="1">INDEX(Simulations!$A$1:$BK$2501, 1711, MATCH("PurchaseMultiple", Simulations!$A$1:$BK$1, 0))</f>
        <v>7.2360738134252802</v>
      </c>
      <c r="B1711" s="2">
        <f ca="1">INDEX(Simulations!$A$1:$BK$2501, 1711, MATCH("ExitMultiple", Simulations!$A$1:$BK$1, 0))</f>
        <v>6.823451051073568</v>
      </c>
      <c r="C1711" s="2">
        <f ca="1">INDEX(Simulations!$A$1:$BK$2501, 1711, MATCH("RevCAGR", Simulations!$A$1:$BK$1, 0))</f>
        <v>6.010318664968485E-2</v>
      </c>
      <c r="D1711" s="2">
        <f ca="1">INDEX(Simulations!$A$1:$BK$2501, 1711, MATCH("SynMargin", Simulations!$A$1:$BK$1, 0))</f>
        <v>9.9044210644738777E-3</v>
      </c>
      <c r="E1711" s="2">
        <f ca="1">INDEX(Simulations!$A$1:$BK$2501, 1711, MATCH("Yr1Shock", Simulations!$A$1:$BK$1, 0))</f>
        <v>-8.3956236676247017E-3</v>
      </c>
    </row>
    <row r="1712" spans="1:5" x14ac:dyDescent="0.3">
      <c r="A1712" s="2">
        <f ca="1">INDEX(Simulations!$A$1:$BK$2501, 1712, MATCH("PurchaseMultiple", Simulations!$A$1:$BK$1, 0))</f>
        <v>6.772820037120252</v>
      </c>
      <c r="B1712" s="2">
        <f ca="1">INDEX(Simulations!$A$1:$BK$2501, 1712, MATCH("ExitMultiple", Simulations!$A$1:$BK$1, 0))</f>
        <v>7.5942338770590663</v>
      </c>
      <c r="C1712" s="2">
        <f ca="1">INDEX(Simulations!$A$1:$BK$2501, 1712, MATCH("RevCAGR", Simulations!$A$1:$BK$1, 0))</f>
        <v>-1.7531782313476171E-2</v>
      </c>
      <c r="D1712" s="2">
        <f ca="1">INDEX(Simulations!$A$1:$BK$2501, 1712, MATCH("SynMargin", Simulations!$A$1:$BK$1, 0))</f>
        <v>2.4540014540223257E-3</v>
      </c>
      <c r="E1712" s="2">
        <f ca="1">INDEX(Simulations!$A$1:$BK$2501, 1712, MATCH("Yr1Shock", Simulations!$A$1:$BK$1, 0))</f>
        <v>1.4260599340600532E-4</v>
      </c>
    </row>
    <row r="1713" spans="1:5" x14ac:dyDescent="0.3">
      <c r="A1713" s="2">
        <f ca="1">INDEX(Simulations!$A$1:$BK$2501, 1713, MATCH("PurchaseMultiple", Simulations!$A$1:$BK$1, 0))</f>
        <v>7.8926826923011202</v>
      </c>
      <c r="B1713" s="2">
        <f ca="1">INDEX(Simulations!$A$1:$BK$2501, 1713, MATCH("ExitMultiple", Simulations!$A$1:$BK$1, 0))</f>
        <v>7.4477627479416775</v>
      </c>
      <c r="C1713" s="2">
        <f ca="1">INDEX(Simulations!$A$1:$BK$2501, 1713, MATCH("RevCAGR", Simulations!$A$1:$BK$1, 0))</f>
        <v>0.12</v>
      </c>
      <c r="D1713" s="2">
        <f ca="1">INDEX(Simulations!$A$1:$BK$2501, 1713, MATCH("SynMargin", Simulations!$A$1:$BK$1, 0))</f>
        <v>1.2629933356284415E-2</v>
      </c>
      <c r="E1713" s="2">
        <f ca="1">INDEX(Simulations!$A$1:$BK$2501, 1713, MATCH("Yr1Shock", Simulations!$A$1:$BK$1, 0))</f>
        <v>4.6233708821700947E-3</v>
      </c>
    </row>
    <row r="1714" spans="1:5" x14ac:dyDescent="0.3">
      <c r="A1714" s="2">
        <f ca="1">INDEX(Simulations!$A$1:$BK$2501, 1714, MATCH("PurchaseMultiple", Simulations!$A$1:$BK$1, 0))</f>
        <v>6.3417621369425827</v>
      </c>
      <c r="B1714" s="2">
        <f ca="1">INDEX(Simulations!$A$1:$BK$2501, 1714, MATCH("ExitMultiple", Simulations!$A$1:$BK$1, 0))</f>
        <v>6.9504751816919788</v>
      </c>
      <c r="C1714" s="2">
        <f ca="1">INDEX(Simulations!$A$1:$BK$2501, 1714, MATCH("RevCAGR", Simulations!$A$1:$BK$1, 0))</f>
        <v>5.8493815152148194E-2</v>
      </c>
      <c r="D1714" s="2">
        <f ca="1">INDEX(Simulations!$A$1:$BK$2501, 1714, MATCH("SynMargin", Simulations!$A$1:$BK$1, 0))</f>
        <v>1.6736515867971362E-2</v>
      </c>
      <c r="E1714" s="2">
        <f ca="1">INDEX(Simulations!$A$1:$BK$2501, 1714, MATCH("Yr1Shock", Simulations!$A$1:$BK$1, 0))</f>
        <v>1.4096638721207656E-2</v>
      </c>
    </row>
    <row r="1715" spans="1:5" x14ac:dyDescent="0.3">
      <c r="A1715" s="2">
        <f ca="1">INDEX(Simulations!$A$1:$BK$2501, 1715, MATCH("PurchaseMultiple", Simulations!$A$1:$BK$1, 0))</f>
        <v>7.3870345638059769</v>
      </c>
      <c r="B1715" s="2">
        <f ca="1">INDEX(Simulations!$A$1:$BK$2501, 1715, MATCH("ExitMultiple", Simulations!$A$1:$BK$1, 0))</f>
        <v>7.4245178323657077</v>
      </c>
      <c r="C1715" s="2">
        <f ca="1">INDEX(Simulations!$A$1:$BK$2501, 1715, MATCH("RevCAGR", Simulations!$A$1:$BK$1, 0))</f>
        <v>1.1008038079179862E-2</v>
      </c>
      <c r="D1715" s="2">
        <f ca="1">INDEX(Simulations!$A$1:$BK$2501, 1715, MATCH("SynMargin", Simulations!$A$1:$BK$1, 0))</f>
        <v>1.579618306389775E-2</v>
      </c>
      <c r="E1715" s="2">
        <f ca="1">INDEX(Simulations!$A$1:$BK$2501, 1715, MATCH("Yr1Shock", Simulations!$A$1:$BK$1, 0))</f>
        <v>2.0828678287283187E-2</v>
      </c>
    </row>
    <row r="1716" spans="1:5" x14ac:dyDescent="0.3">
      <c r="A1716" s="2">
        <f ca="1">INDEX(Simulations!$A$1:$BK$2501, 1716, MATCH("PurchaseMultiple", Simulations!$A$1:$BK$1, 0))</f>
        <v>6.7010546909158366</v>
      </c>
      <c r="B1716" s="2">
        <f ca="1">INDEX(Simulations!$A$1:$BK$2501, 1716, MATCH("ExitMultiple", Simulations!$A$1:$BK$1, 0))</f>
        <v>7.6470241430245052</v>
      </c>
      <c r="C1716" s="2">
        <f ca="1">INDEX(Simulations!$A$1:$BK$2501, 1716, MATCH("RevCAGR", Simulations!$A$1:$BK$1, 0))</f>
        <v>-7.2545058667272885E-3</v>
      </c>
      <c r="D1716" s="2">
        <f ca="1">INDEX(Simulations!$A$1:$BK$2501, 1716, MATCH("SynMargin", Simulations!$A$1:$BK$1, 0))</f>
        <v>1.3850496467531183E-2</v>
      </c>
      <c r="E1716" s="2">
        <f ca="1">INDEX(Simulations!$A$1:$BK$2501, 1716, MATCH("Yr1Shock", Simulations!$A$1:$BK$1, 0))</f>
        <v>3.7012665239021969E-2</v>
      </c>
    </row>
    <row r="1717" spans="1:5" x14ac:dyDescent="0.3">
      <c r="A1717" s="2">
        <f ca="1">INDEX(Simulations!$A$1:$BK$2501, 1717, MATCH("PurchaseMultiple", Simulations!$A$1:$BK$1, 0))</f>
        <v>7.2566353315220535</v>
      </c>
      <c r="B1717" s="2">
        <f ca="1">INDEX(Simulations!$A$1:$BK$2501, 1717, MATCH("ExitMultiple", Simulations!$A$1:$BK$1, 0))</f>
        <v>7.4073769819772277</v>
      </c>
      <c r="C1717" s="2">
        <f ca="1">INDEX(Simulations!$A$1:$BK$2501, 1717, MATCH("RevCAGR", Simulations!$A$1:$BK$1, 0))</f>
        <v>3.7462164690106353E-2</v>
      </c>
      <c r="D1717" s="2">
        <f ca="1">INDEX(Simulations!$A$1:$BK$2501, 1717, MATCH("SynMargin", Simulations!$A$1:$BK$1, 0))</f>
        <v>4.5333580247967752E-3</v>
      </c>
      <c r="E1717" s="2">
        <f ca="1">INDEX(Simulations!$A$1:$BK$2501, 1717, MATCH("Yr1Shock", Simulations!$A$1:$BK$1, 0))</f>
        <v>-2.3331748149236133E-2</v>
      </c>
    </row>
    <row r="1718" spans="1:5" x14ac:dyDescent="0.3">
      <c r="A1718" s="2">
        <f ca="1">INDEX(Simulations!$A$1:$BK$2501, 1718, MATCH("PurchaseMultiple", Simulations!$A$1:$BK$1, 0))</f>
        <v>7.6719744691050016</v>
      </c>
      <c r="B1718" s="2">
        <f ca="1">INDEX(Simulations!$A$1:$BK$2501, 1718, MATCH("ExitMultiple", Simulations!$A$1:$BK$1, 0))</f>
        <v>7.1620948027439209</v>
      </c>
      <c r="C1718" s="2">
        <f ca="1">INDEX(Simulations!$A$1:$BK$2501, 1718, MATCH("RevCAGR", Simulations!$A$1:$BK$1, 0))</f>
        <v>6.8757581642497206E-4</v>
      </c>
      <c r="D1718" s="2">
        <f ca="1">INDEX(Simulations!$A$1:$BK$2501, 1718, MATCH("SynMargin", Simulations!$A$1:$BK$1, 0))</f>
        <v>7.3616746149772171E-3</v>
      </c>
      <c r="E1718" s="2">
        <f ca="1">INDEX(Simulations!$A$1:$BK$2501, 1718, MATCH("Yr1Shock", Simulations!$A$1:$BK$1, 0))</f>
        <v>-1.1492073438609522E-2</v>
      </c>
    </row>
    <row r="1719" spans="1:5" x14ac:dyDescent="0.3">
      <c r="A1719" s="2">
        <f ca="1">INDEX(Simulations!$A$1:$BK$2501, 1719, MATCH("PurchaseMultiple", Simulations!$A$1:$BK$1, 0))</f>
        <v>7.3635856229532761</v>
      </c>
      <c r="B1719" s="2">
        <f ca="1">INDEX(Simulations!$A$1:$BK$2501, 1719, MATCH("ExitMultiple", Simulations!$A$1:$BK$1, 0))</f>
        <v>6.8555893056180945</v>
      </c>
      <c r="C1719" s="2">
        <f ca="1">INDEX(Simulations!$A$1:$BK$2501, 1719, MATCH("RevCAGR", Simulations!$A$1:$BK$1, 0))</f>
        <v>2.6890036046615828E-2</v>
      </c>
      <c r="D1719" s="2">
        <f ca="1">INDEX(Simulations!$A$1:$BK$2501, 1719, MATCH("SynMargin", Simulations!$A$1:$BK$1, 0))</f>
        <v>1.1168705214737364E-2</v>
      </c>
      <c r="E1719" s="2">
        <f ca="1">INDEX(Simulations!$A$1:$BK$2501, 1719, MATCH("Yr1Shock", Simulations!$A$1:$BK$1, 0))</f>
        <v>1.7458278528641461E-2</v>
      </c>
    </row>
    <row r="1720" spans="1:5" x14ac:dyDescent="0.3">
      <c r="A1720" s="2">
        <f ca="1">INDEX(Simulations!$A$1:$BK$2501, 1720, MATCH("PurchaseMultiple", Simulations!$A$1:$BK$1, 0))</f>
        <v>6.6065268322611619</v>
      </c>
      <c r="B1720" s="2">
        <f ca="1">INDEX(Simulations!$A$1:$BK$2501, 1720, MATCH("ExitMultiple", Simulations!$A$1:$BK$1, 0))</f>
        <v>8.0814167458149875</v>
      </c>
      <c r="C1720" s="2">
        <f ca="1">INDEX(Simulations!$A$1:$BK$2501, 1720, MATCH("RevCAGR", Simulations!$A$1:$BK$1, 0))</f>
        <v>-9.5584293188683001E-3</v>
      </c>
      <c r="D1720" s="2">
        <f ca="1">INDEX(Simulations!$A$1:$BK$2501, 1720, MATCH("SynMargin", Simulations!$A$1:$BK$1, 0))</f>
        <v>7.2930087554948873E-3</v>
      </c>
      <c r="E1720" s="2">
        <f ca="1">INDEX(Simulations!$A$1:$BK$2501, 1720, MATCH("Yr1Shock", Simulations!$A$1:$BK$1, 0))</f>
        <v>-9.8876170834069528E-3</v>
      </c>
    </row>
    <row r="1721" spans="1:5" x14ac:dyDescent="0.3">
      <c r="A1721" s="2">
        <f ca="1">INDEX(Simulations!$A$1:$BK$2501, 1721, MATCH("PurchaseMultiple", Simulations!$A$1:$BK$1, 0))</f>
        <v>7.5711886070191525</v>
      </c>
      <c r="B1721" s="2">
        <f ca="1">INDEX(Simulations!$A$1:$BK$2501, 1721, MATCH("ExitMultiple", Simulations!$A$1:$BK$1, 0))</f>
        <v>7.7283498682803033</v>
      </c>
      <c r="C1721" s="2">
        <f ca="1">INDEX(Simulations!$A$1:$BK$2501, 1721, MATCH("RevCAGR", Simulations!$A$1:$BK$1, 0))</f>
        <v>6.36334237592074E-3</v>
      </c>
      <c r="D1721" s="2">
        <f ca="1">INDEX(Simulations!$A$1:$BK$2501, 1721, MATCH("SynMargin", Simulations!$A$1:$BK$1, 0))</f>
        <v>8.5297716018548318E-3</v>
      </c>
      <c r="E1721" s="2">
        <f ca="1">INDEX(Simulations!$A$1:$BK$2501, 1721, MATCH("Yr1Shock", Simulations!$A$1:$BK$1, 0))</f>
        <v>-1.1902946324279804E-2</v>
      </c>
    </row>
    <row r="1722" spans="1:5" x14ac:dyDescent="0.3">
      <c r="A1722" s="2">
        <f ca="1">INDEX(Simulations!$A$1:$BK$2501, 1722, MATCH("PurchaseMultiple", Simulations!$A$1:$BK$1, 0))</f>
        <v>6.4295112108388466</v>
      </c>
      <c r="B1722" s="2">
        <f ca="1">INDEX(Simulations!$A$1:$BK$2501, 1722, MATCH("ExitMultiple", Simulations!$A$1:$BK$1, 0))</f>
        <v>6.9531764855501734</v>
      </c>
      <c r="C1722" s="2">
        <f ca="1">INDEX(Simulations!$A$1:$BK$2501, 1722, MATCH("RevCAGR", Simulations!$A$1:$BK$1, 0))</f>
        <v>7.0907587753855764E-2</v>
      </c>
      <c r="D1722" s="2">
        <f ca="1">INDEX(Simulations!$A$1:$BK$2501, 1722, MATCH("SynMargin", Simulations!$A$1:$BK$1, 0))</f>
        <v>1.4781970942325875E-2</v>
      </c>
      <c r="E1722" s="2">
        <f ca="1">INDEX(Simulations!$A$1:$BK$2501, 1722, MATCH("Yr1Shock", Simulations!$A$1:$BK$1, 0))</f>
        <v>-2.6960269146760141E-2</v>
      </c>
    </row>
    <row r="1723" spans="1:5" x14ac:dyDescent="0.3">
      <c r="A1723" s="2">
        <f ca="1">INDEX(Simulations!$A$1:$BK$2501, 1723, MATCH("PurchaseMultiple", Simulations!$A$1:$BK$1, 0))</f>
        <v>6.1637202852041106</v>
      </c>
      <c r="B1723" s="2">
        <f ca="1">INDEX(Simulations!$A$1:$BK$2501, 1723, MATCH("ExitMultiple", Simulations!$A$1:$BK$1, 0))</f>
        <v>7.2922195370999789</v>
      </c>
      <c r="C1723" s="2">
        <f ca="1">INDEX(Simulations!$A$1:$BK$2501, 1723, MATCH("RevCAGR", Simulations!$A$1:$BK$1, 0))</f>
        <v>8.2648743577796779E-2</v>
      </c>
      <c r="D1723" s="2">
        <f ca="1">INDEX(Simulations!$A$1:$BK$2501, 1723, MATCH("SynMargin", Simulations!$A$1:$BK$1, 0))</f>
        <v>4.0780880123136463E-3</v>
      </c>
      <c r="E1723" s="2">
        <f ca="1">INDEX(Simulations!$A$1:$BK$2501, 1723, MATCH("Yr1Shock", Simulations!$A$1:$BK$1, 0))</f>
        <v>1.0871158814652806E-2</v>
      </c>
    </row>
    <row r="1724" spans="1:5" x14ac:dyDescent="0.3">
      <c r="A1724" s="2">
        <f ca="1">INDEX(Simulations!$A$1:$BK$2501, 1724, MATCH("PurchaseMultiple", Simulations!$A$1:$BK$1, 0))</f>
        <v>6.5432509661634635</v>
      </c>
      <c r="B1724" s="2">
        <f ca="1">INDEX(Simulations!$A$1:$BK$2501, 1724, MATCH("ExitMultiple", Simulations!$A$1:$BK$1, 0))</f>
        <v>8.2799748349326112</v>
      </c>
      <c r="C1724" s="2">
        <f ca="1">INDEX(Simulations!$A$1:$BK$2501, 1724, MATCH("RevCAGR", Simulations!$A$1:$BK$1, 0))</f>
        <v>8.3835101777574583E-3</v>
      </c>
      <c r="D1724" s="2">
        <f ca="1">INDEX(Simulations!$A$1:$BK$2501, 1724, MATCH("SynMargin", Simulations!$A$1:$BK$1, 0))</f>
        <v>3.8843177051561071E-3</v>
      </c>
      <c r="E1724" s="2">
        <f ca="1">INDEX(Simulations!$A$1:$BK$2501, 1724, MATCH("Yr1Shock", Simulations!$A$1:$BK$1, 0))</f>
        <v>2.6600282144187727E-2</v>
      </c>
    </row>
    <row r="1725" spans="1:5" x14ac:dyDescent="0.3">
      <c r="A1725" s="2">
        <f ca="1">INDEX(Simulations!$A$1:$BK$2501, 1725, MATCH("PurchaseMultiple", Simulations!$A$1:$BK$1, 0))</f>
        <v>7.179929582789212</v>
      </c>
      <c r="B1725" s="2">
        <f ca="1">INDEX(Simulations!$A$1:$BK$2501, 1725, MATCH("ExitMultiple", Simulations!$A$1:$BK$1, 0))</f>
        <v>7.9758230071491774</v>
      </c>
      <c r="C1725" s="2">
        <f ca="1">INDEX(Simulations!$A$1:$BK$2501, 1725, MATCH("RevCAGR", Simulations!$A$1:$BK$1, 0))</f>
        <v>6.8407371888070473E-2</v>
      </c>
      <c r="D1725" s="2">
        <f ca="1">INDEX(Simulations!$A$1:$BK$2501, 1725, MATCH("SynMargin", Simulations!$A$1:$BK$1, 0))</f>
        <v>9.952284499343142E-3</v>
      </c>
      <c r="E1725" s="2">
        <f ca="1">INDEX(Simulations!$A$1:$BK$2501, 1725, MATCH("Yr1Shock", Simulations!$A$1:$BK$1, 0))</f>
        <v>-3.3853159387239588E-2</v>
      </c>
    </row>
    <row r="1726" spans="1:5" x14ac:dyDescent="0.3">
      <c r="A1726" s="2">
        <f ca="1">INDEX(Simulations!$A$1:$BK$2501, 1726, MATCH("PurchaseMultiple", Simulations!$A$1:$BK$1, 0))</f>
        <v>6.6782378368168285</v>
      </c>
      <c r="B1726" s="2">
        <f ca="1">INDEX(Simulations!$A$1:$BK$2501, 1726, MATCH("ExitMultiple", Simulations!$A$1:$BK$1, 0))</f>
        <v>7.7980737027649987</v>
      </c>
      <c r="C1726" s="2">
        <f ca="1">INDEX(Simulations!$A$1:$BK$2501, 1726, MATCH("RevCAGR", Simulations!$A$1:$BK$1, 0))</f>
        <v>4.703029606585106E-2</v>
      </c>
      <c r="D1726" s="2">
        <f ca="1">INDEX(Simulations!$A$1:$BK$2501, 1726, MATCH("SynMargin", Simulations!$A$1:$BK$1, 0))</f>
        <v>5.9132961019397814E-3</v>
      </c>
      <c r="E1726" s="2">
        <f ca="1">INDEX(Simulations!$A$1:$BK$2501, 1726, MATCH("Yr1Shock", Simulations!$A$1:$BK$1, 0))</f>
        <v>-2.4749830949267887E-2</v>
      </c>
    </row>
    <row r="1727" spans="1:5" x14ac:dyDescent="0.3">
      <c r="A1727" s="2">
        <f ca="1">INDEX(Simulations!$A$1:$BK$2501, 1727, MATCH("PurchaseMultiple", Simulations!$A$1:$BK$1, 0))</f>
        <v>6.6624337814080743</v>
      </c>
      <c r="B1727" s="2">
        <f ca="1">INDEX(Simulations!$A$1:$BK$2501, 1727, MATCH("ExitMultiple", Simulations!$A$1:$BK$1, 0))</f>
        <v>7.3790819065693434</v>
      </c>
      <c r="C1727" s="2">
        <f ca="1">INDEX(Simulations!$A$1:$BK$2501, 1727, MATCH("RevCAGR", Simulations!$A$1:$BK$1, 0))</f>
        <v>6.6879921029456363E-2</v>
      </c>
      <c r="D1727" s="2">
        <f ca="1">INDEX(Simulations!$A$1:$BK$2501, 1727, MATCH("SynMargin", Simulations!$A$1:$BK$1, 0))</f>
        <v>7.0011583261908698E-3</v>
      </c>
      <c r="E1727" s="2">
        <f ca="1">INDEX(Simulations!$A$1:$BK$2501, 1727, MATCH("Yr1Shock", Simulations!$A$1:$BK$1, 0))</f>
        <v>2.6171984239462313E-2</v>
      </c>
    </row>
    <row r="1728" spans="1:5" x14ac:dyDescent="0.3">
      <c r="A1728" s="2">
        <f ca="1">INDEX(Simulations!$A$1:$BK$2501, 1728, MATCH("PurchaseMultiple", Simulations!$A$1:$BK$1, 0))</f>
        <v>7.171881381078359</v>
      </c>
      <c r="B1728" s="2">
        <f ca="1">INDEX(Simulations!$A$1:$BK$2501, 1728, MATCH("ExitMultiple", Simulations!$A$1:$BK$1, 0))</f>
        <v>7.5304037489387534</v>
      </c>
      <c r="C1728" s="2">
        <f ca="1">INDEX(Simulations!$A$1:$BK$2501, 1728, MATCH("RevCAGR", Simulations!$A$1:$BK$1, 0))</f>
        <v>3.7186075711450259E-3</v>
      </c>
      <c r="D1728" s="2">
        <f ca="1">INDEX(Simulations!$A$1:$BK$2501, 1728, MATCH("SynMargin", Simulations!$A$1:$BK$1, 0))</f>
        <v>1.5370305289982743E-2</v>
      </c>
      <c r="E1728" s="2">
        <f ca="1">INDEX(Simulations!$A$1:$BK$2501, 1728, MATCH("Yr1Shock", Simulations!$A$1:$BK$1, 0))</f>
        <v>-7.3170849222987215E-3</v>
      </c>
    </row>
    <row r="1729" spans="1:5" x14ac:dyDescent="0.3">
      <c r="A1729" s="2">
        <f ca="1">INDEX(Simulations!$A$1:$BK$2501, 1729, MATCH("PurchaseMultiple", Simulations!$A$1:$BK$1, 0))</f>
        <v>7.794904739909013</v>
      </c>
      <c r="B1729" s="2">
        <f ca="1">INDEX(Simulations!$A$1:$BK$2501, 1729, MATCH("ExitMultiple", Simulations!$A$1:$BK$1, 0))</f>
        <v>6.7435039670733108</v>
      </c>
      <c r="C1729" s="2">
        <f ca="1">INDEX(Simulations!$A$1:$BK$2501, 1729, MATCH("RevCAGR", Simulations!$A$1:$BK$1, 0))</f>
        <v>1.8919920590964385E-2</v>
      </c>
      <c r="D1729" s="2">
        <f ca="1">INDEX(Simulations!$A$1:$BK$2501, 1729, MATCH("SynMargin", Simulations!$A$1:$BK$1, 0))</f>
        <v>1.8019206725993643E-2</v>
      </c>
      <c r="E1729" s="2">
        <f ca="1">INDEX(Simulations!$A$1:$BK$2501, 1729, MATCH("Yr1Shock", Simulations!$A$1:$BK$1, 0))</f>
        <v>1.5370833730780537E-2</v>
      </c>
    </row>
    <row r="1730" spans="1:5" x14ac:dyDescent="0.3">
      <c r="A1730" s="2">
        <f ca="1">INDEX(Simulations!$A$1:$BK$2501, 1730, MATCH("PurchaseMultiple", Simulations!$A$1:$BK$1, 0))</f>
        <v>7.6453217925673576</v>
      </c>
      <c r="B1730" s="2">
        <f ca="1">INDEX(Simulations!$A$1:$BK$2501, 1730, MATCH("ExitMultiple", Simulations!$A$1:$BK$1, 0))</f>
        <v>7.3064247219391145</v>
      </c>
      <c r="C1730" s="2">
        <f ca="1">INDEX(Simulations!$A$1:$BK$2501, 1730, MATCH("RevCAGR", Simulations!$A$1:$BK$1, 0))</f>
        <v>4.3991718236759805E-2</v>
      </c>
      <c r="D1730" s="2">
        <f ca="1">INDEX(Simulations!$A$1:$BK$2501, 1730, MATCH("SynMargin", Simulations!$A$1:$BK$1, 0))</f>
        <v>9.599866521837086E-3</v>
      </c>
      <c r="E1730" s="2">
        <f ca="1">INDEX(Simulations!$A$1:$BK$2501, 1730, MATCH("Yr1Shock", Simulations!$A$1:$BK$1, 0))</f>
        <v>-5.9650898765397087E-3</v>
      </c>
    </row>
    <row r="1731" spans="1:5" x14ac:dyDescent="0.3">
      <c r="A1731" s="2">
        <f ca="1">INDEX(Simulations!$A$1:$BK$2501, 1731, MATCH("PurchaseMultiple", Simulations!$A$1:$BK$1, 0))</f>
        <v>7.5868688925152377</v>
      </c>
      <c r="B1731" s="2">
        <f ca="1">INDEX(Simulations!$A$1:$BK$2501, 1731, MATCH("ExitMultiple", Simulations!$A$1:$BK$1, 0))</f>
        <v>7.4276258792001215</v>
      </c>
      <c r="C1731" s="2">
        <f ca="1">INDEX(Simulations!$A$1:$BK$2501, 1731, MATCH("RevCAGR", Simulations!$A$1:$BK$1, 0))</f>
        <v>5.3554090067073887E-2</v>
      </c>
      <c r="D1731" s="2">
        <f ca="1">INDEX(Simulations!$A$1:$BK$2501, 1731, MATCH("SynMargin", Simulations!$A$1:$BK$1, 0))</f>
        <v>1.2137672728616135E-2</v>
      </c>
      <c r="E1731" s="2">
        <f ca="1">INDEX(Simulations!$A$1:$BK$2501, 1731, MATCH("Yr1Shock", Simulations!$A$1:$BK$1, 0))</f>
        <v>-1.9703205726741599E-2</v>
      </c>
    </row>
    <row r="1732" spans="1:5" x14ac:dyDescent="0.3">
      <c r="A1732" s="2">
        <f ca="1">INDEX(Simulations!$A$1:$BK$2501, 1732, MATCH("PurchaseMultiple", Simulations!$A$1:$BK$1, 0))</f>
        <v>7.2115218292498824</v>
      </c>
      <c r="B1732" s="2">
        <f ca="1">INDEX(Simulations!$A$1:$BK$2501, 1732, MATCH("ExitMultiple", Simulations!$A$1:$BK$1, 0))</f>
        <v>8.3507904753577371</v>
      </c>
      <c r="C1732" s="2">
        <f ca="1">INDEX(Simulations!$A$1:$BK$2501, 1732, MATCH("RevCAGR", Simulations!$A$1:$BK$1, 0))</f>
        <v>5.564302542342852E-2</v>
      </c>
      <c r="D1732" s="2">
        <f ca="1">INDEX(Simulations!$A$1:$BK$2501, 1732, MATCH("SynMargin", Simulations!$A$1:$BK$1, 0))</f>
        <v>5.3752405413212403E-3</v>
      </c>
      <c r="E1732" s="2">
        <f ca="1">INDEX(Simulations!$A$1:$BK$2501, 1732, MATCH("Yr1Shock", Simulations!$A$1:$BK$1, 0))</f>
        <v>1.1586046200988447E-2</v>
      </c>
    </row>
    <row r="1733" spans="1:5" x14ac:dyDescent="0.3">
      <c r="A1733" s="2">
        <f ca="1">INDEX(Simulations!$A$1:$BK$2501, 1733, MATCH("PurchaseMultiple", Simulations!$A$1:$BK$1, 0))</f>
        <v>6.8609912650318634</v>
      </c>
      <c r="B1733" s="2">
        <f ca="1">INDEX(Simulations!$A$1:$BK$2501, 1733, MATCH("ExitMultiple", Simulations!$A$1:$BK$1, 0))</f>
        <v>8.1930646278978099</v>
      </c>
      <c r="C1733" s="2">
        <f ca="1">INDEX(Simulations!$A$1:$BK$2501, 1733, MATCH("RevCAGR", Simulations!$A$1:$BK$1, 0))</f>
        <v>9.5045826568700781E-2</v>
      </c>
      <c r="D1733" s="2">
        <f ca="1">INDEX(Simulations!$A$1:$BK$2501, 1733, MATCH("SynMargin", Simulations!$A$1:$BK$1, 0))</f>
        <v>7.9422638350529293E-3</v>
      </c>
      <c r="E1733" s="2">
        <f ca="1">INDEX(Simulations!$A$1:$BK$2501, 1733, MATCH("Yr1Shock", Simulations!$A$1:$BK$1, 0))</f>
        <v>2.4282242490578337E-2</v>
      </c>
    </row>
    <row r="1734" spans="1:5" x14ac:dyDescent="0.3">
      <c r="A1734" s="2">
        <f ca="1">INDEX(Simulations!$A$1:$BK$2501, 1734, MATCH("PurchaseMultiple", Simulations!$A$1:$BK$1, 0))</f>
        <v>7.177310906837441</v>
      </c>
      <c r="B1734" s="2">
        <f ca="1">INDEX(Simulations!$A$1:$BK$2501, 1734, MATCH("ExitMultiple", Simulations!$A$1:$BK$1, 0))</f>
        <v>7.9129746760959456</v>
      </c>
      <c r="C1734" s="2">
        <f ca="1">INDEX(Simulations!$A$1:$BK$2501, 1734, MATCH("RevCAGR", Simulations!$A$1:$BK$1, 0))</f>
        <v>1.7248149914473956E-2</v>
      </c>
      <c r="D1734" s="2">
        <f ca="1">INDEX(Simulations!$A$1:$BK$2501, 1734, MATCH("SynMargin", Simulations!$A$1:$BK$1, 0))</f>
        <v>1.1450478463838554E-2</v>
      </c>
      <c r="E1734" s="2">
        <f ca="1">INDEX(Simulations!$A$1:$BK$2501, 1734, MATCH("Yr1Shock", Simulations!$A$1:$BK$1, 0))</f>
        <v>3.4825199779173553E-2</v>
      </c>
    </row>
    <row r="1735" spans="1:5" x14ac:dyDescent="0.3">
      <c r="A1735" s="2">
        <f ca="1">INDEX(Simulations!$A$1:$BK$2501, 1735, MATCH("PurchaseMultiple", Simulations!$A$1:$BK$1, 0))</f>
        <v>7.3696560808147673</v>
      </c>
      <c r="B1735" s="2">
        <f ca="1">INDEX(Simulations!$A$1:$BK$2501, 1735, MATCH("ExitMultiple", Simulations!$A$1:$BK$1, 0))</f>
        <v>7.5707888263949288</v>
      </c>
      <c r="C1735" s="2">
        <f ca="1">INDEX(Simulations!$A$1:$BK$2501, 1735, MATCH("RevCAGR", Simulations!$A$1:$BK$1, 0))</f>
        <v>4.0042601956726542E-3</v>
      </c>
      <c r="D1735" s="2">
        <f ca="1">INDEX(Simulations!$A$1:$BK$2501, 1735, MATCH("SynMargin", Simulations!$A$1:$BK$1, 0))</f>
        <v>1.3414845292490887E-2</v>
      </c>
      <c r="E1735" s="2">
        <f ca="1">INDEX(Simulations!$A$1:$BK$2501, 1735, MATCH("Yr1Shock", Simulations!$A$1:$BK$1, 0))</f>
        <v>3.3966497170075513E-3</v>
      </c>
    </row>
    <row r="1736" spans="1:5" x14ac:dyDescent="0.3">
      <c r="A1736" s="2">
        <f ca="1">INDEX(Simulations!$A$1:$BK$2501, 1736, MATCH("PurchaseMultiple", Simulations!$A$1:$BK$1, 0))</f>
        <v>6.9523453916893736</v>
      </c>
      <c r="B1736" s="2">
        <f ca="1">INDEX(Simulations!$A$1:$BK$2501, 1736, MATCH("ExitMultiple", Simulations!$A$1:$BK$1, 0))</f>
        <v>8.0295172359471874</v>
      </c>
      <c r="C1736" s="2">
        <f ca="1">INDEX(Simulations!$A$1:$BK$2501, 1736, MATCH("RevCAGR", Simulations!$A$1:$BK$1, 0))</f>
        <v>1.7913584452420445E-4</v>
      </c>
      <c r="D1736" s="2">
        <f ca="1">INDEX(Simulations!$A$1:$BK$2501, 1736, MATCH("SynMargin", Simulations!$A$1:$BK$1, 0))</f>
        <v>1.2702002563356671E-2</v>
      </c>
      <c r="E1736" s="2">
        <f ca="1">INDEX(Simulations!$A$1:$BK$2501, 1736, MATCH("Yr1Shock", Simulations!$A$1:$BK$1, 0))</f>
        <v>4.9477164676068044E-3</v>
      </c>
    </row>
    <row r="1737" spans="1:5" x14ac:dyDescent="0.3">
      <c r="A1737" s="2">
        <f ca="1">INDEX(Simulations!$A$1:$BK$2501, 1737, MATCH("PurchaseMultiple", Simulations!$A$1:$BK$1, 0))</f>
        <v>6.8535044744232874</v>
      </c>
      <c r="B1737" s="2">
        <f ca="1">INDEX(Simulations!$A$1:$BK$2501, 1737, MATCH("ExitMultiple", Simulations!$A$1:$BK$1, 0))</f>
        <v>6.7215192649006594</v>
      </c>
      <c r="C1737" s="2">
        <f ca="1">INDEX(Simulations!$A$1:$BK$2501, 1737, MATCH("RevCAGR", Simulations!$A$1:$BK$1, 0))</f>
        <v>4.542516508761793E-2</v>
      </c>
      <c r="D1737" s="2">
        <f ca="1">INDEX(Simulations!$A$1:$BK$2501, 1737, MATCH("SynMargin", Simulations!$A$1:$BK$1, 0))</f>
        <v>1.9020827302810069E-2</v>
      </c>
      <c r="E1737" s="2">
        <f ca="1">INDEX(Simulations!$A$1:$BK$2501, 1737, MATCH("Yr1Shock", Simulations!$A$1:$BK$1, 0))</f>
        <v>-1.8590706308627039E-3</v>
      </c>
    </row>
    <row r="1738" spans="1:5" x14ac:dyDescent="0.3">
      <c r="A1738" s="2">
        <f ca="1">INDEX(Simulations!$A$1:$BK$2501, 1738, MATCH("PurchaseMultiple", Simulations!$A$1:$BK$1, 0))</f>
        <v>6.5339495952167468</v>
      </c>
      <c r="B1738" s="2">
        <f ca="1">INDEX(Simulations!$A$1:$BK$2501, 1738, MATCH("ExitMultiple", Simulations!$A$1:$BK$1, 0))</f>
        <v>6.8605673669710523</v>
      </c>
      <c r="C1738" s="2">
        <f ca="1">INDEX(Simulations!$A$1:$BK$2501, 1738, MATCH("RevCAGR", Simulations!$A$1:$BK$1, 0))</f>
        <v>-1.3974392772728716E-2</v>
      </c>
      <c r="D1738" s="2">
        <f ca="1">INDEX(Simulations!$A$1:$BK$2501, 1738, MATCH("SynMargin", Simulations!$A$1:$BK$1, 0))</f>
        <v>2.010713153951357E-2</v>
      </c>
      <c r="E1738" s="2">
        <f ca="1">INDEX(Simulations!$A$1:$BK$2501, 1738, MATCH("Yr1Shock", Simulations!$A$1:$BK$1, 0))</f>
        <v>-2.1229919000179183E-2</v>
      </c>
    </row>
    <row r="1739" spans="1:5" x14ac:dyDescent="0.3">
      <c r="A1739" s="2">
        <f ca="1">INDEX(Simulations!$A$1:$BK$2501, 1739, MATCH("PurchaseMultiple", Simulations!$A$1:$BK$1, 0))</f>
        <v>6.4600790441458766</v>
      </c>
      <c r="B1739" s="2">
        <f ca="1">INDEX(Simulations!$A$1:$BK$2501, 1739, MATCH("ExitMultiple", Simulations!$A$1:$BK$1, 0))</f>
        <v>7.0017050004785091</v>
      </c>
      <c r="C1739" s="2">
        <f ca="1">INDEX(Simulations!$A$1:$BK$2501, 1739, MATCH("RevCAGR", Simulations!$A$1:$BK$1, 0))</f>
        <v>5.9169477274184187E-2</v>
      </c>
      <c r="D1739" s="2">
        <f ca="1">INDEX(Simulations!$A$1:$BK$2501, 1739, MATCH("SynMargin", Simulations!$A$1:$BK$1, 0))</f>
        <v>1.1983813455698308E-2</v>
      </c>
      <c r="E1739" s="2">
        <f ca="1">INDEX(Simulations!$A$1:$BK$2501, 1739, MATCH("Yr1Shock", Simulations!$A$1:$BK$1, 0))</f>
        <v>-4.5219611268188111E-4</v>
      </c>
    </row>
    <row r="1740" spans="1:5" x14ac:dyDescent="0.3">
      <c r="A1740" s="2">
        <f ca="1">INDEX(Simulations!$A$1:$BK$2501, 1740, MATCH("PurchaseMultiple", Simulations!$A$1:$BK$1, 0))</f>
        <v>6.5649639005737503</v>
      </c>
      <c r="B1740" s="2">
        <f ca="1">INDEX(Simulations!$A$1:$BK$2501, 1740, MATCH("ExitMultiple", Simulations!$A$1:$BK$1, 0))</f>
        <v>7.5350050805731756</v>
      </c>
      <c r="C1740" s="2">
        <f ca="1">INDEX(Simulations!$A$1:$BK$2501, 1740, MATCH("RevCAGR", Simulations!$A$1:$BK$1, 0))</f>
        <v>3.5198184815225408E-2</v>
      </c>
      <c r="D1740" s="2">
        <f ca="1">INDEX(Simulations!$A$1:$BK$2501, 1740, MATCH("SynMargin", Simulations!$A$1:$BK$1, 0))</f>
        <v>6.6816334762684259E-3</v>
      </c>
      <c r="E1740" s="2">
        <f ca="1">INDEX(Simulations!$A$1:$BK$2501, 1740, MATCH("Yr1Shock", Simulations!$A$1:$BK$1, 0))</f>
        <v>1.5599998491642682E-2</v>
      </c>
    </row>
    <row r="1741" spans="1:5" x14ac:dyDescent="0.3">
      <c r="A1741" s="2">
        <f ca="1">INDEX(Simulations!$A$1:$BK$2501, 1741, MATCH("PurchaseMultiple", Simulations!$A$1:$BK$1, 0))</f>
        <v>7.1727915947052896</v>
      </c>
      <c r="B1741" s="2">
        <f ca="1">INDEX(Simulations!$A$1:$BK$2501, 1741, MATCH("ExitMultiple", Simulations!$A$1:$BK$1, 0))</f>
        <v>7.9589222105671436</v>
      </c>
      <c r="C1741" s="2">
        <f ca="1">INDEX(Simulations!$A$1:$BK$2501, 1741, MATCH("RevCAGR", Simulations!$A$1:$BK$1, 0))</f>
        <v>3.4192900306735781E-2</v>
      </c>
      <c r="D1741" s="2">
        <f ca="1">INDEX(Simulations!$A$1:$BK$2501, 1741, MATCH("SynMargin", Simulations!$A$1:$BK$1, 0))</f>
        <v>1.7246500688431837E-2</v>
      </c>
      <c r="E1741" s="2">
        <f ca="1">INDEX(Simulations!$A$1:$BK$2501, 1741, MATCH("Yr1Shock", Simulations!$A$1:$BK$1, 0))</f>
        <v>3.6750249003133944E-3</v>
      </c>
    </row>
    <row r="1742" spans="1:5" x14ac:dyDescent="0.3">
      <c r="A1742" s="2">
        <f ca="1">INDEX(Simulations!$A$1:$BK$2501, 1742, MATCH("PurchaseMultiple", Simulations!$A$1:$BK$1, 0))</f>
        <v>6.3425955528676674</v>
      </c>
      <c r="B1742" s="2">
        <f ca="1">INDEX(Simulations!$A$1:$BK$2501, 1742, MATCH("ExitMultiple", Simulations!$A$1:$BK$1, 0))</f>
        <v>7.3944422384000985</v>
      </c>
      <c r="C1742" s="2">
        <f ca="1">INDEX(Simulations!$A$1:$BK$2501, 1742, MATCH("RevCAGR", Simulations!$A$1:$BK$1, 0))</f>
        <v>1.256715086363188E-2</v>
      </c>
      <c r="D1742" s="2">
        <f ca="1">INDEX(Simulations!$A$1:$BK$2501, 1742, MATCH("SynMargin", Simulations!$A$1:$BK$1, 0))</f>
        <v>5.98284901104627E-3</v>
      </c>
      <c r="E1742" s="2">
        <f ca="1">INDEX(Simulations!$A$1:$BK$2501, 1742, MATCH("Yr1Shock", Simulations!$A$1:$BK$1, 0))</f>
        <v>8.2964282561208045E-4</v>
      </c>
    </row>
    <row r="1743" spans="1:5" x14ac:dyDescent="0.3">
      <c r="A1743" s="2">
        <f ca="1">INDEX(Simulations!$A$1:$BK$2501, 1743, MATCH("PurchaseMultiple", Simulations!$A$1:$BK$1, 0))</f>
        <v>7.4512347996595896</v>
      </c>
      <c r="B1743" s="2">
        <f ca="1">INDEX(Simulations!$A$1:$BK$2501, 1743, MATCH("ExitMultiple", Simulations!$A$1:$BK$1, 0))</f>
        <v>8.1187585285393915</v>
      </c>
      <c r="C1743" s="2">
        <f ca="1">INDEX(Simulations!$A$1:$BK$2501, 1743, MATCH("RevCAGR", Simulations!$A$1:$BK$1, 0))</f>
        <v>-1.2830321426385315E-2</v>
      </c>
      <c r="D1743" s="2">
        <f ca="1">INDEX(Simulations!$A$1:$BK$2501, 1743, MATCH("SynMargin", Simulations!$A$1:$BK$1, 0))</f>
        <v>7.1362802727740178E-3</v>
      </c>
      <c r="E1743" s="2">
        <f ca="1">INDEX(Simulations!$A$1:$BK$2501, 1743, MATCH("Yr1Shock", Simulations!$A$1:$BK$1, 0))</f>
        <v>1.1521044164683965E-2</v>
      </c>
    </row>
    <row r="1744" spans="1:5" x14ac:dyDescent="0.3">
      <c r="A1744" s="2">
        <f ca="1">INDEX(Simulations!$A$1:$BK$2501, 1744, MATCH("PurchaseMultiple", Simulations!$A$1:$BK$1, 0))</f>
        <v>6.8845945598626344</v>
      </c>
      <c r="B1744" s="2">
        <f ca="1">INDEX(Simulations!$A$1:$BK$2501, 1744, MATCH("ExitMultiple", Simulations!$A$1:$BK$1, 0))</f>
        <v>7.4783001051077518</v>
      </c>
      <c r="C1744" s="2">
        <f ca="1">INDEX(Simulations!$A$1:$BK$2501, 1744, MATCH("RevCAGR", Simulations!$A$1:$BK$1, 0))</f>
        <v>6.0439700613589498E-2</v>
      </c>
      <c r="D1744" s="2">
        <f ca="1">INDEX(Simulations!$A$1:$BK$2501, 1744, MATCH("SynMargin", Simulations!$A$1:$BK$1, 0))</f>
        <v>9.272020809573487E-3</v>
      </c>
      <c r="E1744" s="2">
        <f ca="1">INDEX(Simulations!$A$1:$BK$2501, 1744, MATCH("Yr1Shock", Simulations!$A$1:$BK$1, 0))</f>
        <v>-1.105166263310927E-2</v>
      </c>
    </row>
    <row r="1745" spans="1:5" x14ac:dyDescent="0.3">
      <c r="A1745" s="2">
        <f ca="1">INDEX(Simulations!$A$1:$BK$2501, 1745, MATCH("PurchaseMultiple", Simulations!$A$1:$BK$1, 0))</f>
        <v>7.1726373828130869</v>
      </c>
      <c r="B1745" s="2">
        <f ca="1">INDEX(Simulations!$A$1:$BK$2501, 1745, MATCH("ExitMultiple", Simulations!$A$1:$BK$1, 0))</f>
        <v>7.1372701321934731</v>
      </c>
      <c r="C1745" s="2">
        <f ca="1">INDEX(Simulations!$A$1:$BK$2501, 1745, MATCH("RevCAGR", Simulations!$A$1:$BK$1, 0))</f>
        <v>5.3365300601205902E-2</v>
      </c>
      <c r="D1745" s="2">
        <f ca="1">INDEX(Simulations!$A$1:$BK$2501, 1745, MATCH("SynMargin", Simulations!$A$1:$BK$1, 0))</f>
        <v>1.5594996461342821E-3</v>
      </c>
      <c r="E1745" s="2">
        <f ca="1">INDEX(Simulations!$A$1:$BK$2501, 1745, MATCH("Yr1Shock", Simulations!$A$1:$BK$1, 0))</f>
        <v>-1.2463131076157638E-2</v>
      </c>
    </row>
    <row r="1746" spans="1:5" x14ac:dyDescent="0.3">
      <c r="A1746" s="2">
        <f ca="1">INDEX(Simulations!$A$1:$BK$2501, 1746, MATCH("PurchaseMultiple", Simulations!$A$1:$BK$1, 0))</f>
        <v>6.9996609823593667</v>
      </c>
      <c r="B1746" s="2">
        <f ca="1">INDEX(Simulations!$A$1:$BK$2501, 1746, MATCH("ExitMultiple", Simulations!$A$1:$BK$1, 0))</f>
        <v>8.1112140756212625</v>
      </c>
      <c r="C1746" s="2">
        <f ca="1">INDEX(Simulations!$A$1:$BK$2501, 1746, MATCH("RevCAGR", Simulations!$A$1:$BK$1, 0))</f>
        <v>2.9527003191797442E-2</v>
      </c>
      <c r="D1746" s="2">
        <f ca="1">INDEX(Simulations!$A$1:$BK$2501, 1746, MATCH("SynMargin", Simulations!$A$1:$BK$1, 0))</f>
        <v>1.4067555364151201E-2</v>
      </c>
      <c r="E1746" s="2">
        <f ca="1">INDEX(Simulations!$A$1:$BK$2501, 1746, MATCH("Yr1Shock", Simulations!$A$1:$BK$1, 0))</f>
        <v>7.5763322429847901E-3</v>
      </c>
    </row>
    <row r="1747" spans="1:5" x14ac:dyDescent="0.3">
      <c r="A1747" s="2">
        <f ca="1">INDEX(Simulations!$A$1:$BK$2501, 1747, MATCH("PurchaseMultiple", Simulations!$A$1:$BK$1, 0))</f>
        <v>7.2250583758597102</v>
      </c>
      <c r="B1747" s="2">
        <f ca="1">INDEX(Simulations!$A$1:$BK$2501, 1747, MATCH("ExitMultiple", Simulations!$A$1:$BK$1, 0))</f>
        <v>6.9172768176242485</v>
      </c>
      <c r="C1747" s="2">
        <f ca="1">INDEX(Simulations!$A$1:$BK$2501, 1747, MATCH("RevCAGR", Simulations!$A$1:$BK$1, 0))</f>
        <v>1.4989404453582905E-2</v>
      </c>
      <c r="D1747" s="2">
        <f ca="1">INDEX(Simulations!$A$1:$BK$2501, 1747, MATCH("SynMargin", Simulations!$A$1:$BK$1, 0))</f>
        <v>6.2507032920070607E-3</v>
      </c>
      <c r="E1747" s="2">
        <f ca="1">INDEX(Simulations!$A$1:$BK$2501, 1747, MATCH("Yr1Shock", Simulations!$A$1:$BK$1, 0))</f>
        <v>4.6101052889373833E-3</v>
      </c>
    </row>
    <row r="1748" spans="1:5" x14ac:dyDescent="0.3">
      <c r="A1748" s="2">
        <f ca="1">INDEX(Simulations!$A$1:$BK$2501, 1748, MATCH("PurchaseMultiple", Simulations!$A$1:$BK$1, 0))</f>
        <v>7.1872017849322063</v>
      </c>
      <c r="B1748" s="2">
        <f ca="1">INDEX(Simulations!$A$1:$BK$2501, 1748, MATCH("ExitMultiple", Simulations!$A$1:$BK$1, 0))</f>
        <v>7.7680931726185198</v>
      </c>
      <c r="C1748" s="2">
        <f ca="1">INDEX(Simulations!$A$1:$BK$2501, 1748, MATCH("RevCAGR", Simulations!$A$1:$BK$1, 0))</f>
        <v>2.9571036517651549E-2</v>
      </c>
      <c r="D1748" s="2">
        <f ca="1">INDEX(Simulations!$A$1:$BK$2501, 1748, MATCH("SynMargin", Simulations!$A$1:$BK$1, 0))</f>
        <v>1.7576130971102267E-2</v>
      </c>
      <c r="E1748" s="2">
        <f ca="1">INDEX(Simulations!$A$1:$BK$2501, 1748, MATCH("Yr1Shock", Simulations!$A$1:$BK$1, 0))</f>
        <v>-1.5893589161316876E-2</v>
      </c>
    </row>
    <row r="1749" spans="1:5" x14ac:dyDescent="0.3">
      <c r="A1749" s="2">
        <f ca="1">INDEX(Simulations!$A$1:$BK$2501, 1749, MATCH("PurchaseMultiple", Simulations!$A$1:$BK$1, 0))</f>
        <v>6.0379446369990637</v>
      </c>
      <c r="B1749" s="2">
        <f ca="1">INDEX(Simulations!$A$1:$BK$2501, 1749, MATCH("ExitMultiple", Simulations!$A$1:$BK$1, 0))</f>
        <v>7.3571774875386486</v>
      </c>
      <c r="C1749" s="2">
        <f ca="1">INDEX(Simulations!$A$1:$BK$2501, 1749, MATCH("RevCAGR", Simulations!$A$1:$BK$1, 0))</f>
        <v>1.3319125805120971E-2</v>
      </c>
      <c r="D1749" s="2">
        <f ca="1">INDEX(Simulations!$A$1:$BK$2501, 1749, MATCH("SynMargin", Simulations!$A$1:$BK$1, 0))</f>
        <v>1.7948515794868912E-2</v>
      </c>
      <c r="E1749" s="2">
        <f ca="1">INDEX(Simulations!$A$1:$BK$2501, 1749, MATCH("Yr1Shock", Simulations!$A$1:$BK$1, 0))</f>
        <v>9.3856879394310765E-3</v>
      </c>
    </row>
    <row r="1750" spans="1:5" x14ac:dyDescent="0.3">
      <c r="A1750" s="2">
        <f ca="1">INDEX(Simulations!$A$1:$BK$2501, 1750, MATCH("PurchaseMultiple", Simulations!$A$1:$BK$1, 0))</f>
        <v>7.490630167150214</v>
      </c>
      <c r="B1750" s="2">
        <f ca="1">INDEX(Simulations!$A$1:$BK$2501, 1750, MATCH("ExitMultiple", Simulations!$A$1:$BK$1, 0))</f>
        <v>7.3889634815041241</v>
      </c>
      <c r="C1750" s="2">
        <f ca="1">INDEX(Simulations!$A$1:$BK$2501, 1750, MATCH("RevCAGR", Simulations!$A$1:$BK$1, 0))</f>
        <v>4.1586686409537825E-2</v>
      </c>
      <c r="D1750" s="2">
        <f ca="1">INDEX(Simulations!$A$1:$BK$2501, 1750, MATCH("SynMargin", Simulations!$A$1:$BK$1, 0))</f>
        <v>1.9012863229000594E-3</v>
      </c>
      <c r="E1750" s="2">
        <f ca="1">INDEX(Simulations!$A$1:$BK$2501, 1750, MATCH("Yr1Shock", Simulations!$A$1:$BK$1, 0))</f>
        <v>2.0442830190435187E-2</v>
      </c>
    </row>
    <row r="1751" spans="1:5" x14ac:dyDescent="0.3">
      <c r="A1751" s="2">
        <f ca="1">INDEX(Simulations!$A$1:$BK$2501, 1751, MATCH("PurchaseMultiple", Simulations!$A$1:$BK$1, 0))</f>
        <v>7.6262875858855539</v>
      </c>
      <c r="B1751" s="2">
        <f ca="1">INDEX(Simulations!$A$1:$BK$2501, 1751, MATCH("ExitMultiple", Simulations!$A$1:$BK$1, 0))</f>
        <v>7.8788557727680164</v>
      </c>
      <c r="C1751" s="2">
        <f ca="1">INDEX(Simulations!$A$1:$BK$2501, 1751, MATCH("RevCAGR", Simulations!$A$1:$BK$1, 0))</f>
        <v>4.9785374064244797E-2</v>
      </c>
      <c r="D1751" s="2">
        <f ca="1">INDEX(Simulations!$A$1:$BK$2501, 1751, MATCH("SynMargin", Simulations!$A$1:$BK$1, 0))</f>
        <v>0</v>
      </c>
      <c r="E1751" s="2">
        <f ca="1">INDEX(Simulations!$A$1:$BK$2501, 1751, MATCH("Yr1Shock", Simulations!$A$1:$BK$1, 0))</f>
        <v>1.6564052526999495E-2</v>
      </c>
    </row>
    <row r="1752" spans="1:5" x14ac:dyDescent="0.3">
      <c r="A1752" s="2">
        <f ca="1">INDEX(Simulations!$A$1:$BK$2501, 1752, MATCH("PurchaseMultiple", Simulations!$A$1:$BK$1, 0))</f>
        <v>6.9810781770195245</v>
      </c>
      <c r="B1752" s="2">
        <f ca="1">INDEX(Simulations!$A$1:$BK$2501, 1752, MATCH("ExitMultiple", Simulations!$A$1:$BK$1, 0))</f>
        <v>6.6318594816943213</v>
      </c>
      <c r="C1752" s="2">
        <f ca="1">INDEX(Simulations!$A$1:$BK$2501, 1752, MATCH("RevCAGR", Simulations!$A$1:$BK$1, 0))</f>
        <v>-6.7822911338957098E-4</v>
      </c>
      <c r="D1752" s="2">
        <f ca="1">INDEX(Simulations!$A$1:$BK$2501, 1752, MATCH("SynMargin", Simulations!$A$1:$BK$1, 0))</f>
        <v>1.8036798835415313E-2</v>
      </c>
      <c r="E1752" s="2">
        <f ca="1">INDEX(Simulations!$A$1:$BK$2501, 1752, MATCH("Yr1Shock", Simulations!$A$1:$BK$1, 0))</f>
        <v>8.2066823316336163E-3</v>
      </c>
    </row>
    <row r="1753" spans="1:5" x14ac:dyDescent="0.3">
      <c r="A1753" s="2">
        <f ca="1">INDEX(Simulations!$A$1:$BK$2501, 1753, MATCH("PurchaseMultiple", Simulations!$A$1:$BK$1, 0))</f>
        <v>6.8647825168266996</v>
      </c>
      <c r="B1753" s="2">
        <f ca="1">INDEX(Simulations!$A$1:$BK$2501, 1753, MATCH("ExitMultiple", Simulations!$A$1:$BK$1, 0))</f>
        <v>6.8614316523113192</v>
      </c>
      <c r="C1753" s="2">
        <f ca="1">INDEX(Simulations!$A$1:$BK$2501, 1753, MATCH("RevCAGR", Simulations!$A$1:$BK$1, 0))</f>
        <v>6.2255251019468431E-2</v>
      </c>
      <c r="D1753" s="2">
        <f ca="1">INDEX(Simulations!$A$1:$BK$2501, 1753, MATCH("SynMargin", Simulations!$A$1:$BK$1, 0))</f>
        <v>7.3585397359103681E-3</v>
      </c>
      <c r="E1753" s="2">
        <f ca="1">INDEX(Simulations!$A$1:$BK$2501, 1753, MATCH("Yr1Shock", Simulations!$A$1:$BK$1, 0))</f>
        <v>-2.6210686951211728E-2</v>
      </c>
    </row>
    <row r="1754" spans="1:5" x14ac:dyDescent="0.3">
      <c r="A1754" s="2">
        <f ca="1">INDEX(Simulations!$A$1:$BK$2501, 1754, MATCH("PurchaseMultiple", Simulations!$A$1:$BK$1, 0))</f>
        <v>7.557029167946494</v>
      </c>
      <c r="B1754" s="2">
        <f ca="1">INDEX(Simulations!$A$1:$BK$2501, 1754, MATCH("ExitMultiple", Simulations!$A$1:$BK$1, 0))</f>
        <v>7.1594194979576269</v>
      </c>
      <c r="C1754" s="2">
        <f ca="1">INDEX(Simulations!$A$1:$BK$2501, 1754, MATCH("RevCAGR", Simulations!$A$1:$BK$1, 0))</f>
        <v>7.058561548831975E-2</v>
      </c>
      <c r="D1754" s="2">
        <f ca="1">INDEX(Simulations!$A$1:$BK$2501, 1754, MATCH("SynMargin", Simulations!$A$1:$BK$1, 0))</f>
        <v>1.8119372773487217E-3</v>
      </c>
      <c r="E1754" s="2">
        <f ca="1">INDEX(Simulations!$A$1:$BK$2501, 1754, MATCH("Yr1Shock", Simulations!$A$1:$BK$1, 0))</f>
        <v>2.1540513112928029E-3</v>
      </c>
    </row>
    <row r="1755" spans="1:5" x14ac:dyDescent="0.3">
      <c r="A1755" s="2">
        <f ca="1">INDEX(Simulations!$A$1:$BK$2501, 1755, MATCH("PurchaseMultiple", Simulations!$A$1:$BK$1, 0))</f>
        <v>7.2303511997472452</v>
      </c>
      <c r="B1755" s="2">
        <f ca="1">INDEX(Simulations!$A$1:$BK$2501, 1755, MATCH("ExitMultiple", Simulations!$A$1:$BK$1, 0))</f>
        <v>8.0799637800003055</v>
      </c>
      <c r="C1755" s="2">
        <f ca="1">INDEX(Simulations!$A$1:$BK$2501, 1755, MATCH("RevCAGR", Simulations!$A$1:$BK$1, 0))</f>
        <v>3.5063443409384366E-2</v>
      </c>
      <c r="D1755" s="2">
        <f ca="1">INDEX(Simulations!$A$1:$BK$2501, 1755, MATCH("SynMargin", Simulations!$A$1:$BK$1, 0))</f>
        <v>1.318500702462343E-2</v>
      </c>
      <c r="E1755" s="2">
        <f ca="1">INDEX(Simulations!$A$1:$BK$2501, 1755, MATCH("Yr1Shock", Simulations!$A$1:$BK$1, 0))</f>
        <v>9.5568273086286577E-3</v>
      </c>
    </row>
    <row r="1756" spans="1:5" x14ac:dyDescent="0.3">
      <c r="A1756" s="2">
        <f ca="1">INDEX(Simulations!$A$1:$BK$2501, 1756, MATCH("PurchaseMultiple", Simulations!$A$1:$BK$1, 0))</f>
        <v>6.5686844598344072</v>
      </c>
      <c r="B1756" s="2">
        <f ca="1">INDEX(Simulations!$A$1:$BK$2501, 1756, MATCH("ExitMultiple", Simulations!$A$1:$BK$1, 0))</f>
        <v>6.818481205487009</v>
      </c>
      <c r="C1756" s="2">
        <f ca="1">INDEX(Simulations!$A$1:$BK$2501, 1756, MATCH("RevCAGR", Simulations!$A$1:$BK$1, 0))</f>
        <v>-0.02</v>
      </c>
      <c r="D1756" s="2">
        <f ca="1">INDEX(Simulations!$A$1:$BK$2501, 1756, MATCH("SynMargin", Simulations!$A$1:$BK$1, 0))</f>
        <v>1.3884518144938681E-2</v>
      </c>
      <c r="E1756" s="2">
        <f ca="1">INDEX(Simulations!$A$1:$BK$2501, 1756, MATCH("Yr1Shock", Simulations!$A$1:$BK$1, 0))</f>
        <v>-5.8063016109140119E-3</v>
      </c>
    </row>
    <row r="1757" spans="1:5" x14ac:dyDescent="0.3">
      <c r="A1757" s="2">
        <f ca="1">INDEX(Simulations!$A$1:$BK$2501, 1757, MATCH("PurchaseMultiple", Simulations!$A$1:$BK$1, 0))</f>
        <v>6.6157113795903966</v>
      </c>
      <c r="B1757" s="2">
        <f ca="1">INDEX(Simulations!$A$1:$BK$2501, 1757, MATCH("ExitMultiple", Simulations!$A$1:$BK$1, 0))</f>
        <v>7.4863325436812698</v>
      </c>
      <c r="C1757" s="2">
        <f ca="1">INDEX(Simulations!$A$1:$BK$2501, 1757, MATCH("RevCAGR", Simulations!$A$1:$BK$1, 0))</f>
        <v>0.11153183115370385</v>
      </c>
      <c r="D1757" s="2">
        <f ca="1">INDEX(Simulations!$A$1:$BK$2501, 1757, MATCH("SynMargin", Simulations!$A$1:$BK$1, 0))</f>
        <v>1.3735486328899144E-2</v>
      </c>
      <c r="E1757" s="2">
        <f ca="1">INDEX(Simulations!$A$1:$BK$2501, 1757, MATCH("Yr1Shock", Simulations!$A$1:$BK$1, 0))</f>
        <v>1.2563946523175747E-2</v>
      </c>
    </row>
    <row r="1758" spans="1:5" x14ac:dyDescent="0.3">
      <c r="A1758" s="2">
        <f ca="1">INDEX(Simulations!$A$1:$BK$2501, 1758, MATCH("PurchaseMultiple", Simulations!$A$1:$BK$1, 0))</f>
        <v>7.0144883468730956</v>
      </c>
      <c r="B1758" s="2">
        <f ca="1">INDEX(Simulations!$A$1:$BK$2501, 1758, MATCH("ExitMultiple", Simulations!$A$1:$BK$1, 0))</f>
        <v>7.295031298122181</v>
      </c>
      <c r="C1758" s="2">
        <f ca="1">INDEX(Simulations!$A$1:$BK$2501, 1758, MATCH("RevCAGR", Simulations!$A$1:$BK$1, 0))</f>
        <v>7.0393529574080377E-2</v>
      </c>
      <c r="D1758" s="2">
        <f ca="1">INDEX(Simulations!$A$1:$BK$2501, 1758, MATCH("SynMargin", Simulations!$A$1:$BK$1, 0))</f>
        <v>1.0597692615628231E-2</v>
      </c>
      <c r="E1758" s="2">
        <f ca="1">INDEX(Simulations!$A$1:$BK$2501, 1758, MATCH("Yr1Shock", Simulations!$A$1:$BK$1, 0))</f>
        <v>-4.5809745981631733E-2</v>
      </c>
    </row>
    <row r="1759" spans="1:5" x14ac:dyDescent="0.3">
      <c r="A1759" s="2">
        <f ca="1">INDEX(Simulations!$A$1:$BK$2501, 1759, MATCH("PurchaseMultiple", Simulations!$A$1:$BK$1, 0))</f>
        <v>6.8251532224048388</v>
      </c>
      <c r="B1759" s="2">
        <f ca="1">INDEX(Simulations!$A$1:$BK$2501, 1759, MATCH("ExitMultiple", Simulations!$A$1:$BK$1, 0))</f>
        <v>8.1027936750834417</v>
      </c>
      <c r="C1759" s="2">
        <f ca="1">INDEX(Simulations!$A$1:$BK$2501, 1759, MATCH("RevCAGR", Simulations!$A$1:$BK$1, 0))</f>
        <v>7.3309333020101258E-2</v>
      </c>
      <c r="D1759" s="2">
        <f ca="1">INDEX(Simulations!$A$1:$BK$2501, 1759, MATCH("SynMargin", Simulations!$A$1:$BK$1, 0))</f>
        <v>1.030166179688078E-2</v>
      </c>
      <c r="E1759" s="2">
        <f ca="1">INDEX(Simulations!$A$1:$BK$2501, 1759, MATCH("Yr1Shock", Simulations!$A$1:$BK$1, 0))</f>
        <v>1.9146775148611569E-2</v>
      </c>
    </row>
    <row r="1760" spans="1:5" x14ac:dyDescent="0.3">
      <c r="A1760" s="2">
        <f ca="1">INDEX(Simulations!$A$1:$BK$2501, 1760, MATCH("PurchaseMultiple", Simulations!$A$1:$BK$1, 0))</f>
        <v>6.691646438651623</v>
      </c>
      <c r="B1760" s="2">
        <f ca="1">INDEX(Simulations!$A$1:$BK$2501, 1760, MATCH("ExitMultiple", Simulations!$A$1:$BK$1, 0))</f>
        <v>6.8063860383050692</v>
      </c>
      <c r="C1760" s="2">
        <f ca="1">INDEX(Simulations!$A$1:$BK$2501, 1760, MATCH("RevCAGR", Simulations!$A$1:$BK$1, 0))</f>
        <v>8.4300906786736018E-2</v>
      </c>
      <c r="D1760" s="2">
        <f ca="1">INDEX(Simulations!$A$1:$BK$2501, 1760, MATCH("SynMargin", Simulations!$A$1:$BK$1, 0))</f>
        <v>4.5756232403554812E-3</v>
      </c>
      <c r="E1760" s="2">
        <f ca="1">INDEX(Simulations!$A$1:$BK$2501, 1760, MATCH("Yr1Shock", Simulations!$A$1:$BK$1, 0))</f>
        <v>-2.0547764114654324E-2</v>
      </c>
    </row>
    <row r="1761" spans="1:5" x14ac:dyDescent="0.3">
      <c r="A1761" s="2">
        <f ca="1">INDEX(Simulations!$A$1:$BK$2501, 1761, MATCH("PurchaseMultiple", Simulations!$A$1:$BK$1, 0))</f>
        <v>7.1498870707953213</v>
      </c>
      <c r="B1761" s="2">
        <f ca="1">INDEX(Simulations!$A$1:$BK$2501, 1761, MATCH("ExitMultiple", Simulations!$A$1:$BK$1, 0))</f>
        <v>7.6907087495828055</v>
      </c>
      <c r="C1761" s="2">
        <f ca="1">INDEX(Simulations!$A$1:$BK$2501, 1761, MATCH("RevCAGR", Simulations!$A$1:$BK$1, 0))</f>
        <v>5.9945651606959534E-2</v>
      </c>
      <c r="D1761" s="2">
        <f ca="1">INDEX(Simulations!$A$1:$BK$2501, 1761, MATCH("SynMargin", Simulations!$A$1:$BK$1, 0))</f>
        <v>4.0340603107965889E-3</v>
      </c>
      <c r="E1761" s="2">
        <f ca="1">INDEX(Simulations!$A$1:$BK$2501, 1761, MATCH("Yr1Shock", Simulations!$A$1:$BK$1, 0))</f>
        <v>2.215899309025058E-2</v>
      </c>
    </row>
    <row r="1762" spans="1:5" x14ac:dyDescent="0.3">
      <c r="A1762" s="2">
        <f ca="1">INDEX(Simulations!$A$1:$BK$2501, 1762, MATCH("PurchaseMultiple", Simulations!$A$1:$BK$1, 0))</f>
        <v>7.2271511445491781</v>
      </c>
      <c r="B1762" s="2">
        <f ca="1">INDEX(Simulations!$A$1:$BK$2501, 1762, MATCH("ExitMultiple", Simulations!$A$1:$BK$1, 0))</f>
        <v>6.8868675642411477</v>
      </c>
      <c r="C1762" s="2">
        <f ca="1">INDEX(Simulations!$A$1:$BK$2501, 1762, MATCH("RevCAGR", Simulations!$A$1:$BK$1, 0))</f>
        <v>7.7843126482291553E-2</v>
      </c>
      <c r="D1762" s="2">
        <f ca="1">INDEX(Simulations!$A$1:$BK$2501, 1762, MATCH("SynMargin", Simulations!$A$1:$BK$1, 0))</f>
        <v>1.4380420457931161E-2</v>
      </c>
      <c r="E1762" s="2">
        <f ca="1">INDEX(Simulations!$A$1:$BK$2501, 1762, MATCH("Yr1Shock", Simulations!$A$1:$BK$1, 0))</f>
        <v>1.1662797301003041E-2</v>
      </c>
    </row>
    <row r="1763" spans="1:5" x14ac:dyDescent="0.3">
      <c r="A1763" s="2">
        <f ca="1">INDEX(Simulations!$A$1:$BK$2501, 1763, MATCH("PurchaseMultiple", Simulations!$A$1:$BK$1, 0))</f>
        <v>7.0075839867641587</v>
      </c>
      <c r="B1763" s="2">
        <f ca="1">INDEX(Simulations!$A$1:$BK$2501, 1763, MATCH("ExitMultiple", Simulations!$A$1:$BK$1, 0))</f>
        <v>6.9319015772936385</v>
      </c>
      <c r="C1763" s="2">
        <f ca="1">INDEX(Simulations!$A$1:$BK$2501, 1763, MATCH("RevCAGR", Simulations!$A$1:$BK$1, 0))</f>
        <v>6.2846964012655562E-2</v>
      </c>
      <c r="D1763" s="2">
        <f ca="1">INDEX(Simulations!$A$1:$BK$2501, 1763, MATCH("SynMargin", Simulations!$A$1:$BK$1, 0))</f>
        <v>1.0809709537186685E-2</v>
      </c>
      <c r="E1763" s="2">
        <f ca="1">INDEX(Simulations!$A$1:$BK$2501, 1763, MATCH("Yr1Shock", Simulations!$A$1:$BK$1, 0))</f>
        <v>1.3477765075674573E-2</v>
      </c>
    </row>
    <row r="1764" spans="1:5" x14ac:dyDescent="0.3">
      <c r="A1764" s="2">
        <f ca="1">INDEX(Simulations!$A$1:$BK$2501, 1764, MATCH("PurchaseMultiple", Simulations!$A$1:$BK$1, 0))</f>
        <v>7.1826427474685541</v>
      </c>
      <c r="B1764" s="2">
        <f ca="1">INDEX(Simulations!$A$1:$BK$2501, 1764, MATCH("ExitMultiple", Simulations!$A$1:$BK$1, 0))</f>
        <v>7.8420742832148518</v>
      </c>
      <c r="C1764" s="2">
        <f ca="1">INDEX(Simulations!$A$1:$BK$2501, 1764, MATCH("RevCAGR", Simulations!$A$1:$BK$1, 0))</f>
        <v>8.3309266517181874E-2</v>
      </c>
      <c r="D1764" s="2">
        <f ca="1">INDEX(Simulations!$A$1:$BK$2501, 1764, MATCH("SynMargin", Simulations!$A$1:$BK$1, 0))</f>
        <v>1.903068271105926E-2</v>
      </c>
      <c r="E1764" s="2">
        <f ca="1">INDEX(Simulations!$A$1:$BK$2501, 1764, MATCH("Yr1Shock", Simulations!$A$1:$BK$1, 0))</f>
        <v>4.0531277689038268E-2</v>
      </c>
    </row>
    <row r="1765" spans="1:5" x14ac:dyDescent="0.3">
      <c r="A1765" s="2">
        <f ca="1">INDEX(Simulations!$A$1:$BK$2501, 1765, MATCH("PurchaseMultiple", Simulations!$A$1:$BK$1, 0))</f>
        <v>7.7564955138818403</v>
      </c>
      <c r="B1765" s="2">
        <f ca="1">INDEX(Simulations!$A$1:$BK$2501, 1765, MATCH("ExitMultiple", Simulations!$A$1:$BK$1, 0))</f>
        <v>7.806635837481485</v>
      </c>
      <c r="C1765" s="2">
        <f ca="1">INDEX(Simulations!$A$1:$BK$2501, 1765, MATCH("RevCAGR", Simulations!$A$1:$BK$1, 0))</f>
        <v>4.7419664931299649E-2</v>
      </c>
      <c r="D1765" s="2">
        <f ca="1">INDEX(Simulations!$A$1:$BK$2501, 1765, MATCH("SynMargin", Simulations!$A$1:$BK$1, 0))</f>
        <v>1.1784788146540288E-2</v>
      </c>
      <c r="E1765" s="2">
        <f ca="1">INDEX(Simulations!$A$1:$BK$2501, 1765, MATCH("Yr1Shock", Simulations!$A$1:$BK$1, 0))</f>
        <v>8.2972216756048173E-3</v>
      </c>
    </row>
    <row r="1766" spans="1:5" x14ac:dyDescent="0.3">
      <c r="A1766" s="2">
        <f ca="1">INDEX(Simulations!$A$1:$BK$2501, 1766, MATCH("PurchaseMultiple", Simulations!$A$1:$BK$1, 0))</f>
        <v>7.3532602083113998</v>
      </c>
      <c r="B1766" s="2">
        <f ca="1">INDEX(Simulations!$A$1:$BK$2501, 1766, MATCH("ExitMultiple", Simulations!$A$1:$BK$1, 0))</f>
        <v>7.7317093205341774</v>
      </c>
      <c r="C1766" s="2">
        <f ca="1">INDEX(Simulations!$A$1:$BK$2501, 1766, MATCH("RevCAGR", Simulations!$A$1:$BK$1, 0))</f>
        <v>1.966509333015248E-2</v>
      </c>
      <c r="D1766" s="2">
        <f ca="1">INDEX(Simulations!$A$1:$BK$2501, 1766, MATCH("SynMargin", Simulations!$A$1:$BK$1, 0))</f>
        <v>7.1986200760677417E-3</v>
      </c>
      <c r="E1766" s="2">
        <f ca="1">INDEX(Simulations!$A$1:$BK$2501, 1766, MATCH("Yr1Shock", Simulations!$A$1:$BK$1, 0))</f>
        <v>8.8717015928063501E-3</v>
      </c>
    </row>
    <row r="1767" spans="1:5" x14ac:dyDescent="0.3">
      <c r="A1767" s="2">
        <f ca="1">INDEX(Simulations!$A$1:$BK$2501, 1767, MATCH("PurchaseMultiple", Simulations!$A$1:$BK$1, 0))</f>
        <v>7.2041280043754279</v>
      </c>
      <c r="B1767" s="2">
        <f ca="1">INDEX(Simulations!$A$1:$BK$2501, 1767, MATCH("ExitMultiple", Simulations!$A$1:$BK$1, 0))</f>
        <v>7.8843785059251275</v>
      </c>
      <c r="C1767" s="2">
        <f ca="1">INDEX(Simulations!$A$1:$BK$2501, 1767, MATCH("RevCAGR", Simulations!$A$1:$BK$1, 0))</f>
        <v>8.5852221581185439E-2</v>
      </c>
      <c r="D1767" s="2">
        <f ca="1">INDEX(Simulations!$A$1:$BK$2501, 1767, MATCH("SynMargin", Simulations!$A$1:$BK$1, 0))</f>
        <v>1.216368906823645E-2</v>
      </c>
      <c r="E1767" s="2">
        <f ca="1">INDEX(Simulations!$A$1:$BK$2501, 1767, MATCH("Yr1Shock", Simulations!$A$1:$BK$1, 0))</f>
        <v>6.0927774806555802E-3</v>
      </c>
    </row>
    <row r="1768" spans="1:5" x14ac:dyDescent="0.3">
      <c r="A1768" s="2">
        <f ca="1">INDEX(Simulations!$A$1:$BK$2501, 1768, MATCH("PurchaseMultiple", Simulations!$A$1:$BK$1, 0))</f>
        <v>7.3361950847776649</v>
      </c>
      <c r="B1768" s="2">
        <f ca="1">INDEX(Simulations!$A$1:$BK$2501, 1768, MATCH("ExitMultiple", Simulations!$A$1:$BK$1, 0))</f>
        <v>7.3503863730184733</v>
      </c>
      <c r="C1768" s="2">
        <f ca="1">INDEX(Simulations!$A$1:$BK$2501, 1768, MATCH("RevCAGR", Simulations!$A$1:$BK$1, 0))</f>
        <v>5.5055608152901711E-2</v>
      </c>
      <c r="D1768" s="2">
        <f ca="1">INDEX(Simulations!$A$1:$BK$2501, 1768, MATCH("SynMargin", Simulations!$A$1:$BK$1, 0))</f>
        <v>1.4338102086409527E-2</v>
      </c>
      <c r="E1768" s="2">
        <f ca="1">INDEX(Simulations!$A$1:$BK$2501, 1768, MATCH("Yr1Shock", Simulations!$A$1:$BK$1, 0))</f>
        <v>4.6740711876019428E-3</v>
      </c>
    </row>
    <row r="1769" spans="1:5" x14ac:dyDescent="0.3">
      <c r="A1769" s="2">
        <f ca="1">INDEX(Simulations!$A$1:$BK$2501, 1769, MATCH("PurchaseMultiple", Simulations!$A$1:$BK$1, 0))</f>
        <v>7.1142972719964872</v>
      </c>
      <c r="B1769" s="2">
        <f ca="1">INDEX(Simulations!$A$1:$BK$2501, 1769, MATCH("ExitMultiple", Simulations!$A$1:$BK$1, 0))</f>
        <v>7.0258539949713823</v>
      </c>
      <c r="C1769" s="2">
        <f ca="1">INDEX(Simulations!$A$1:$BK$2501, 1769, MATCH("RevCAGR", Simulations!$A$1:$BK$1, 0))</f>
        <v>4.5758577827329956E-2</v>
      </c>
      <c r="D1769" s="2">
        <f ca="1">INDEX(Simulations!$A$1:$BK$2501, 1769, MATCH("SynMargin", Simulations!$A$1:$BK$1, 0))</f>
        <v>1.339334220314913E-2</v>
      </c>
      <c r="E1769" s="2">
        <f ca="1">INDEX(Simulations!$A$1:$BK$2501, 1769, MATCH("Yr1Shock", Simulations!$A$1:$BK$1, 0))</f>
        <v>1.5216681022165668E-2</v>
      </c>
    </row>
    <row r="1770" spans="1:5" x14ac:dyDescent="0.3">
      <c r="A1770" s="2">
        <f ca="1">INDEX(Simulations!$A$1:$BK$2501, 1770, MATCH("PurchaseMultiple", Simulations!$A$1:$BK$1, 0))</f>
        <v>6.9247885042184558</v>
      </c>
      <c r="B1770" s="2">
        <f ca="1">INDEX(Simulations!$A$1:$BK$2501, 1770, MATCH("ExitMultiple", Simulations!$A$1:$BK$1, 0))</f>
        <v>7.0429204831807635</v>
      </c>
      <c r="C1770" s="2">
        <f ca="1">INDEX(Simulations!$A$1:$BK$2501, 1770, MATCH("RevCAGR", Simulations!$A$1:$BK$1, 0))</f>
        <v>8.9028534431447759E-2</v>
      </c>
      <c r="D1770" s="2">
        <f ca="1">INDEX(Simulations!$A$1:$BK$2501, 1770, MATCH("SynMargin", Simulations!$A$1:$BK$1, 0))</f>
        <v>1.5693276476114539E-2</v>
      </c>
      <c r="E1770" s="2">
        <f ca="1">INDEX(Simulations!$A$1:$BK$2501, 1770, MATCH("Yr1Shock", Simulations!$A$1:$BK$1, 0))</f>
        <v>-2.9632565701253478E-2</v>
      </c>
    </row>
    <row r="1771" spans="1:5" x14ac:dyDescent="0.3">
      <c r="A1771" s="2">
        <f ca="1">INDEX(Simulations!$A$1:$BK$2501, 1771, MATCH("PurchaseMultiple", Simulations!$A$1:$BK$1, 0))</f>
        <v>6.1721456036102866</v>
      </c>
      <c r="B1771" s="2">
        <f ca="1">INDEX(Simulations!$A$1:$BK$2501, 1771, MATCH("ExitMultiple", Simulations!$A$1:$BK$1, 0))</f>
        <v>7.3986661141835199</v>
      </c>
      <c r="C1771" s="2">
        <f ca="1">INDEX(Simulations!$A$1:$BK$2501, 1771, MATCH("RevCAGR", Simulations!$A$1:$BK$1, 0))</f>
        <v>3.1889850724329705E-2</v>
      </c>
      <c r="D1771" s="2">
        <f ca="1">INDEX(Simulations!$A$1:$BK$2501, 1771, MATCH("SynMargin", Simulations!$A$1:$BK$1, 0))</f>
        <v>1.9167172543989391E-2</v>
      </c>
      <c r="E1771" s="2">
        <f ca="1">INDEX(Simulations!$A$1:$BK$2501, 1771, MATCH("Yr1Shock", Simulations!$A$1:$BK$1, 0))</f>
        <v>1.2117599678153164E-2</v>
      </c>
    </row>
    <row r="1772" spans="1:5" x14ac:dyDescent="0.3">
      <c r="A1772" s="2">
        <f ca="1">INDEX(Simulations!$A$1:$BK$2501, 1772, MATCH("PurchaseMultiple", Simulations!$A$1:$BK$1, 0))</f>
        <v>6.6513855780336932</v>
      </c>
      <c r="B1772" s="2">
        <f ca="1">INDEX(Simulations!$A$1:$BK$2501, 1772, MATCH("ExitMultiple", Simulations!$A$1:$BK$1, 0))</f>
        <v>6.8653561093181699</v>
      </c>
      <c r="C1772" s="2">
        <f ca="1">INDEX(Simulations!$A$1:$BK$2501, 1772, MATCH("RevCAGR", Simulations!$A$1:$BK$1, 0))</f>
        <v>2.3199626187195545E-2</v>
      </c>
      <c r="D1772" s="2">
        <f ca="1">INDEX(Simulations!$A$1:$BK$2501, 1772, MATCH("SynMargin", Simulations!$A$1:$BK$1, 0))</f>
        <v>1.5939457404955372E-2</v>
      </c>
      <c r="E1772" s="2">
        <f ca="1">INDEX(Simulations!$A$1:$BK$2501, 1772, MATCH("Yr1Shock", Simulations!$A$1:$BK$1, 0))</f>
        <v>1.9946008685669734E-2</v>
      </c>
    </row>
    <row r="1773" spans="1:5" x14ac:dyDescent="0.3">
      <c r="A1773" s="2">
        <f ca="1">INDEX(Simulations!$A$1:$BK$2501, 1773, MATCH("PurchaseMultiple", Simulations!$A$1:$BK$1, 0))</f>
        <v>7.4567871714470817</v>
      </c>
      <c r="B1773" s="2">
        <f ca="1">INDEX(Simulations!$A$1:$BK$2501, 1773, MATCH("ExitMultiple", Simulations!$A$1:$BK$1, 0))</f>
        <v>7.339939773455189</v>
      </c>
      <c r="C1773" s="2">
        <f ca="1">INDEX(Simulations!$A$1:$BK$2501, 1773, MATCH("RevCAGR", Simulations!$A$1:$BK$1, 0))</f>
        <v>4.1277303843165816E-2</v>
      </c>
      <c r="D1773" s="2">
        <f ca="1">INDEX(Simulations!$A$1:$BK$2501, 1773, MATCH("SynMargin", Simulations!$A$1:$BK$1, 0))</f>
        <v>1.5525659275202292E-2</v>
      </c>
      <c r="E1773" s="2">
        <f ca="1">INDEX(Simulations!$A$1:$BK$2501, 1773, MATCH("Yr1Shock", Simulations!$A$1:$BK$1, 0))</f>
        <v>-2.3465451059598151E-2</v>
      </c>
    </row>
    <row r="1774" spans="1:5" x14ac:dyDescent="0.3">
      <c r="A1774" s="2">
        <f ca="1">INDEX(Simulations!$A$1:$BK$2501, 1774, MATCH("PurchaseMultiple", Simulations!$A$1:$BK$1, 0))</f>
        <v>6.7028321322551241</v>
      </c>
      <c r="B1774" s="2">
        <f ca="1">INDEX(Simulations!$A$1:$BK$2501, 1774, MATCH("ExitMultiple", Simulations!$A$1:$BK$1, 0))</f>
        <v>7.0683696359021972</v>
      </c>
      <c r="C1774" s="2">
        <f ca="1">INDEX(Simulations!$A$1:$BK$2501, 1774, MATCH("RevCAGR", Simulations!$A$1:$BK$1, 0))</f>
        <v>1.7731875030511862E-2</v>
      </c>
      <c r="D1774" s="2">
        <f ca="1">INDEX(Simulations!$A$1:$BK$2501, 1774, MATCH("SynMargin", Simulations!$A$1:$BK$1, 0))</f>
        <v>9.0984648595300918E-3</v>
      </c>
      <c r="E1774" s="2">
        <f ca="1">INDEX(Simulations!$A$1:$BK$2501, 1774, MATCH("Yr1Shock", Simulations!$A$1:$BK$1, 0))</f>
        <v>-1.4888718350442358E-2</v>
      </c>
    </row>
    <row r="1775" spans="1:5" x14ac:dyDescent="0.3">
      <c r="A1775" s="2">
        <f ca="1">INDEX(Simulations!$A$1:$BK$2501, 1775, MATCH("PurchaseMultiple", Simulations!$A$1:$BK$1, 0))</f>
        <v>7.5007403253889215</v>
      </c>
      <c r="B1775" s="2">
        <f ca="1">INDEX(Simulations!$A$1:$BK$2501, 1775, MATCH("ExitMultiple", Simulations!$A$1:$BK$1, 0))</f>
        <v>7.3656581305006927</v>
      </c>
      <c r="C1775" s="2">
        <f ca="1">INDEX(Simulations!$A$1:$BK$2501, 1775, MATCH("RevCAGR", Simulations!$A$1:$BK$1, 0))</f>
        <v>8.1189114012383268E-2</v>
      </c>
      <c r="D1775" s="2">
        <f ca="1">INDEX(Simulations!$A$1:$BK$2501, 1775, MATCH("SynMargin", Simulations!$A$1:$BK$1, 0))</f>
        <v>1.3186519257073096E-2</v>
      </c>
      <c r="E1775" s="2">
        <f ca="1">INDEX(Simulations!$A$1:$BK$2501, 1775, MATCH("Yr1Shock", Simulations!$A$1:$BK$1, 0))</f>
        <v>1.3898965864370344E-3</v>
      </c>
    </row>
    <row r="1776" spans="1:5" x14ac:dyDescent="0.3">
      <c r="A1776" s="2">
        <f ca="1">INDEX(Simulations!$A$1:$BK$2501, 1776, MATCH("PurchaseMultiple", Simulations!$A$1:$BK$1, 0))</f>
        <v>7.7861420499383458</v>
      </c>
      <c r="B1776" s="2">
        <f ca="1">INDEX(Simulations!$A$1:$BK$2501, 1776, MATCH("ExitMultiple", Simulations!$A$1:$BK$1, 0))</f>
        <v>8.3227427868461898</v>
      </c>
      <c r="C1776" s="2">
        <f ca="1">INDEX(Simulations!$A$1:$BK$2501, 1776, MATCH("RevCAGR", Simulations!$A$1:$BK$1, 0))</f>
        <v>1.3659804758069351E-2</v>
      </c>
      <c r="D1776" s="2">
        <f ca="1">INDEX(Simulations!$A$1:$BK$2501, 1776, MATCH("SynMargin", Simulations!$A$1:$BK$1, 0))</f>
        <v>8.4281763865381859E-3</v>
      </c>
      <c r="E1776" s="2">
        <f ca="1">INDEX(Simulations!$A$1:$BK$2501, 1776, MATCH("Yr1Shock", Simulations!$A$1:$BK$1, 0))</f>
        <v>-7.5611682248182682E-3</v>
      </c>
    </row>
    <row r="1777" spans="1:5" x14ac:dyDescent="0.3">
      <c r="A1777" s="2">
        <f ca="1">INDEX(Simulations!$A$1:$BK$2501, 1777, MATCH("PurchaseMultiple", Simulations!$A$1:$BK$1, 0))</f>
        <v>6.4906924428110049</v>
      </c>
      <c r="B1777" s="2">
        <f ca="1">INDEX(Simulations!$A$1:$BK$2501, 1777, MATCH("ExitMultiple", Simulations!$A$1:$BK$1, 0))</f>
        <v>7.6864352283493673</v>
      </c>
      <c r="C1777" s="2">
        <f ca="1">INDEX(Simulations!$A$1:$BK$2501, 1777, MATCH("RevCAGR", Simulations!$A$1:$BK$1, 0))</f>
        <v>5.9742401079902002E-2</v>
      </c>
      <c r="D1777" s="2">
        <f ca="1">INDEX(Simulations!$A$1:$BK$2501, 1777, MATCH("SynMargin", Simulations!$A$1:$BK$1, 0))</f>
        <v>8.7178630568129235E-3</v>
      </c>
      <c r="E1777" s="2">
        <f ca="1">INDEX(Simulations!$A$1:$BK$2501, 1777, MATCH("Yr1Shock", Simulations!$A$1:$BK$1, 0))</f>
        <v>-3.3148770976942354E-2</v>
      </c>
    </row>
    <row r="1778" spans="1:5" x14ac:dyDescent="0.3">
      <c r="A1778" s="2">
        <f ca="1">INDEX(Simulations!$A$1:$BK$2501, 1778, MATCH("PurchaseMultiple", Simulations!$A$1:$BK$1, 0))</f>
        <v>6.8372805333562257</v>
      </c>
      <c r="B1778" s="2">
        <f ca="1">INDEX(Simulations!$A$1:$BK$2501, 1778, MATCH("ExitMultiple", Simulations!$A$1:$BK$1, 0))</f>
        <v>6.8560584602229522</v>
      </c>
      <c r="C1778" s="2">
        <f ca="1">INDEX(Simulations!$A$1:$BK$2501, 1778, MATCH("RevCAGR", Simulations!$A$1:$BK$1, 0))</f>
        <v>6.5851918156561343E-2</v>
      </c>
      <c r="D1778" s="2">
        <f ca="1">INDEX(Simulations!$A$1:$BK$2501, 1778, MATCH("SynMargin", Simulations!$A$1:$BK$1, 0))</f>
        <v>1.8376229555538824E-2</v>
      </c>
      <c r="E1778" s="2">
        <f ca="1">INDEX(Simulations!$A$1:$BK$2501, 1778, MATCH("Yr1Shock", Simulations!$A$1:$BK$1, 0))</f>
        <v>-1.570010882525075E-2</v>
      </c>
    </row>
    <row r="1779" spans="1:5" x14ac:dyDescent="0.3">
      <c r="A1779" s="2">
        <f ca="1">INDEX(Simulations!$A$1:$BK$2501, 1779, MATCH("PurchaseMultiple", Simulations!$A$1:$BK$1, 0))</f>
        <v>7.0314868832480073</v>
      </c>
      <c r="B1779" s="2">
        <f ca="1">INDEX(Simulations!$A$1:$BK$2501, 1779, MATCH("ExitMultiple", Simulations!$A$1:$BK$1, 0))</f>
        <v>7.4833262222132042</v>
      </c>
      <c r="C1779" s="2">
        <f ca="1">INDEX(Simulations!$A$1:$BK$2501, 1779, MATCH("RevCAGR", Simulations!$A$1:$BK$1, 0))</f>
        <v>4.6421024269751858E-2</v>
      </c>
      <c r="D1779" s="2">
        <f ca="1">INDEX(Simulations!$A$1:$BK$2501, 1779, MATCH("SynMargin", Simulations!$A$1:$BK$1, 0))</f>
        <v>1.296676250720831E-2</v>
      </c>
      <c r="E1779" s="2">
        <f ca="1">INDEX(Simulations!$A$1:$BK$2501, 1779, MATCH("Yr1Shock", Simulations!$A$1:$BK$1, 0))</f>
        <v>-2.7130823140936511E-2</v>
      </c>
    </row>
    <row r="1780" spans="1:5" x14ac:dyDescent="0.3">
      <c r="A1780" s="2">
        <f ca="1">INDEX(Simulations!$A$1:$BK$2501, 1780, MATCH("PurchaseMultiple", Simulations!$A$1:$BK$1, 0))</f>
        <v>6.4593217450817644</v>
      </c>
      <c r="B1780" s="2">
        <f ca="1">INDEX(Simulations!$A$1:$BK$2501, 1780, MATCH("ExitMultiple", Simulations!$A$1:$BK$1, 0))</f>
        <v>7.9486154662943891</v>
      </c>
      <c r="C1780" s="2">
        <f ca="1">INDEX(Simulations!$A$1:$BK$2501, 1780, MATCH("RevCAGR", Simulations!$A$1:$BK$1, 0))</f>
        <v>5.7424662407383406E-3</v>
      </c>
      <c r="D1780" s="2">
        <f ca="1">INDEX(Simulations!$A$1:$BK$2501, 1780, MATCH("SynMargin", Simulations!$A$1:$BK$1, 0))</f>
        <v>8.2444705541540615E-3</v>
      </c>
      <c r="E1780" s="2">
        <f ca="1">INDEX(Simulations!$A$1:$BK$2501, 1780, MATCH("Yr1Shock", Simulations!$A$1:$BK$1, 0))</f>
        <v>-1.2787024890204788E-2</v>
      </c>
    </row>
    <row r="1781" spans="1:5" x14ac:dyDescent="0.3">
      <c r="A1781" s="2">
        <f ca="1">INDEX(Simulations!$A$1:$BK$2501, 1781, MATCH("PurchaseMultiple", Simulations!$A$1:$BK$1, 0))</f>
        <v>6.5800052557027451</v>
      </c>
      <c r="B1781" s="2">
        <f ca="1">INDEX(Simulations!$A$1:$BK$2501, 1781, MATCH("ExitMultiple", Simulations!$A$1:$BK$1, 0))</f>
        <v>8.002579963237066</v>
      </c>
      <c r="C1781" s="2">
        <f ca="1">INDEX(Simulations!$A$1:$BK$2501, 1781, MATCH("RevCAGR", Simulations!$A$1:$BK$1, 0))</f>
        <v>3.367220833450596E-2</v>
      </c>
      <c r="D1781" s="2">
        <f ca="1">INDEX(Simulations!$A$1:$BK$2501, 1781, MATCH("SynMargin", Simulations!$A$1:$BK$1, 0))</f>
        <v>8.8191345757695321E-3</v>
      </c>
      <c r="E1781" s="2">
        <f ca="1">INDEX(Simulations!$A$1:$BK$2501, 1781, MATCH("Yr1Shock", Simulations!$A$1:$BK$1, 0))</f>
        <v>-1.4479843443950929E-2</v>
      </c>
    </row>
    <row r="1782" spans="1:5" x14ac:dyDescent="0.3">
      <c r="A1782" s="2">
        <f ca="1">INDEX(Simulations!$A$1:$BK$2501, 1782, MATCH("PurchaseMultiple", Simulations!$A$1:$BK$1, 0))</f>
        <v>7.2392513346048863</v>
      </c>
      <c r="B1782" s="2">
        <f ca="1">INDEX(Simulations!$A$1:$BK$2501, 1782, MATCH("ExitMultiple", Simulations!$A$1:$BK$1, 0))</f>
        <v>7.1500303054178929</v>
      </c>
      <c r="C1782" s="2">
        <f ca="1">INDEX(Simulations!$A$1:$BK$2501, 1782, MATCH("RevCAGR", Simulations!$A$1:$BK$1, 0))</f>
        <v>1.3774785380311547E-2</v>
      </c>
      <c r="D1782" s="2">
        <f ca="1">INDEX(Simulations!$A$1:$BK$2501, 1782, MATCH("SynMargin", Simulations!$A$1:$BK$1, 0))</f>
        <v>4.2559785999170523E-3</v>
      </c>
      <c r="E1782" s="2">
        <f ca="1">INDEX(Simulations!$A$1:$BK$2501, 1782, MATCH("Yr1Shock", Simulations!$A$1:$BK$1, 0))</f>
        <v>-1.0134167440570829E-2</v>
      </c>
    </row>
    <row r="1783" spans="1:5" x14ac:dyDescent="0.3">
      <c r="A1783" s="2">
        <f ca="1">INDEX(Simulations!$A$1:$BK$2501, 1783, MATCH("PurchaseMultiple", Simulations!$A$1:$BK$1, 0))</f>
        <v>7.1996048648542779</v>
      </c>
      <c r="B1783" s="2">
        <f ca="1">INDEX(Simulations!$A$1:$BK$2501, 1783, MATCH("ExitMultiple", Simulations!$A$1:$BK$1, 0))</f>
        <v>7.5927905323366378</v>
      </c>
      <c r="C1783" s="2">
        <f ca="1">INDEX(Simulations!$A$1:$BK$2501, 1783, MATCH("RevCAGR", Simulations!$A$1:$BK$1, 0))</f>
        <v>6.8410622000273785E-2</v>
      </c>
      <c r="D1783" s="2">
        <f ca="1">INDEX(Simulations!$A$1:$BK$2501, 1783, MATCH("SynMargin", Simulations!$A$1:$BK$1, 0))</f>
        <v>9.6359448584733467E-3</v>
      </c>
      <c r="E1783" s="2">
        <f ca="1">INDEX(Simulations!$A$1:$BK$2501, 1783, MATCH("Yr1Shock", Simulations!$A$1:$BK$1, 0))</f>
        <v>-8.2478050755866276E-3</v>
      </c>
    </row>
    <row r="1784" spans="1:5" x14ac:dyDescent="0.3">
      <c r="A1784" s="2">
        <f ca="1">INDEX(Simulations!$A$1:$BK$2501, 1784, MATCH("PurchaseMultiple", Simulations!$A$1:$BK$1, 0))</f>
        <v>6.6021793209171546</v>
      </c>
      <c r="B1784" s="2">
        <f ca="1">INDEX(Simulations!$A$1:$BK$2501, 1784, MATCH("ExitMultiple", Simulations!$A$1:$BK$1, 0))</f>
        <v>7.7889289269786435</v>
      </c>
      <c r="C1784" s="2">
        <f ca="1">INDEX(Simulations!$A$1:$BK$2501, 1784, MATCH("RevCAGR", Simulations!$A$1:$BK$1, 0))</f>
        <v>4.1942951801231664E-2</v>
      </c>
      <c r="D1784" s="2">
        <f ca="1">INDEX(Simulations!$A$1:$BK$2501, 1784, MATCH("SynMargin", Simulations!$A$1:$BK$1, 0))</f>
        <v>9.4077484739365849E-3</v>
      </c>
      <c r="E1784" s="2">
        <f ca="1">INDEX(Simulations!$A$1:$BK$2501, 1784, MATCH("Yr1Shock", Simulations!$A$1:$BK$1, 0))</f>
        <v>-1.3268511855530954E-2</v>
      </c>
    </row>
    <row r="1785" spans="1:5" x14ac:dyDescent="0.3">
      <c r="A1785" s="2">
        <f ca="1">INDEX(Simulations!$A$1:$BK$2501, 1785, MATCH("PurchaseMultiple", Simulations!$A$1:$BK$1, 0))</f>
        <v>6.8034848089762852</v>
      </c>
      <c r="B1785" s="2">
        <f ca="1">INDEX(Simulations!$A$1:$BK$2501, 1785, MATCH("ExitMultiple", Simulations!$A$1:$BK$1, 0))</f>
        <v>8.2317183801429934</v>
      </c>
      <c r="C1785" s="2">
        <f ca="1">INDEX(Simulations!$A$1:$BK$2501, 1785, MATCH("RevCAGR", Simulations!$A$1:$BK$1, 0))</f>
        <v>3.2428397149648763E-3</v>
      </c>
      <c r="D1785" s="2">
        <f ca="1">INDEX(Simulations!$A$1:$BK$2501, 1785, MATCH("SynMargin", Simulations!$A$1:$BK$1, 0))</f>
        <v>1.6160475094079106E-2</v>
      </c>
      <c r="E1785" s="2">
        <f ca="1">INDEX(Simulations!$A$1:$BK$2501, 1785, MATCH("Yr1Shock", Simulations!$A$1:$BK$1, 0))</f>
        <v>1.7623471636800596E-3</v>
      </c>
    </row>
    <row r="1786" spans="1:5" x14ac:dyDescent="0.3">
      <c r="A1786" s="2">
        <f ca="1">INDEX(Simulations!$A$1:$BK$2501, 1786, MATCH("PurchaseMultiple", Simulations!$A$1:$BK$1, 0))</f>
        <v>6.7999484904159031</v>
      </c>
      <c r="B1786" s="2">
        <f ca="1">INDEX(Simulations!$A$1:$BK$2501, 1786, MATCH("ExitMultiple", Simulations!$A$1:$BK$1, 0))</f>
        <v>7.8671117002270536</v>
      </c>
      <c r="C1786" s="2">
        <f ca="1">INDEX(Simulations!$A$1:$BK$2501, 1786, MATCH("RevCAGR", Simulations!$A$1:$BK$1, 0))</f>
        <v>0.10313300119983915</v>
      </c>
      <c r="D1786" s="2">
        <f ca="1">INDEX(Simulations!$A$1:$BK$2501, 1786, MATCH("SynMargin", Simulations!$A$1:$BK$1, 0))</f>
        <v>0</v>
      </c>
      <c r="E1786" s="2">
        <f ca="1">INDEX(Simulations!$A$1:$BK$2501, 1786, MATCH("Yr1Shock", Simulations!$A$1:$BK$1, 0))</f>
        <v>-3.0150672180216477E-2</v>
      </c>
    </row>
    <row r="1787" spans="1:5" x14ac:dyDescent="0.3">
      <c r="A1787" s="2">
        <f ca="1">INDEX(Simulations!$A$1:$BK$2501, 1787, MATCH("PurchaseMultiple", Simulations!$A$1:$BK$1, 0))</f>
        <v>7.3578974401090642</v>
      </c>
      <c r="B1787" s="2">
        <f ca="1">INDEX(Simulations!$A$1:$BK$2501, 1787, MATCH("ExitMultiple", Simulations!$A$1:$BK$1, 0))</f>
        <v>7.2419697773463465</v>
      </c>
      <c r="C1787" s="2">
        <f ca="1">INDEX(Simulations!$A$1:$BK$2501, 1787, MATCH("RevCAGR", Simulations!$A$1:$BK$1, 0))</f>
        <v>1.105329370125786E-2</v>
      </c>
      <c r="D1787" s="2">
        <f ca="1">INDEX(Simulations!$A$1:$BK$2501, 1787, MATCH("SynMargin", Simulations!$A$1:$BK$1, 0))</f>
        <v>1.7650894811596637E-2</v>
      </c>
      <c r="E1787" s="2">
        <f ca="1">INDEX(Simulations!$A$1:$BK$2501, 1787, MATCH("Yr1Shock", Simulations!$A$1:$BK$1, 0))</f>
        <v>-1.3558261130252141E-2</v>
      </c>
    </row>
    <row r="1788" spans="1:5" x14ac:dyDescent="0.3">
      <c r="A1788" s="2">
        <f ca="1">INDEX(Simulations!$A$1:$BK$2501, 1788, MATCH("PurchaseMultiple", Simulations!$A$1:$BK$1, 0))</f>
        <v>7.5390054962914634</v>
      </c>
      <c r="B1788" s="2">
        <f ca="1">INDEX(Simulations!$A$1:$BK$2501, 1788, MATCH("ExitMultiple", Simulations!$A$1:$BK$1, 0))</f>
        <v>7.8230654212934247</v>
      </c>
      <c r="C1788" s="2">
        <f ca="1">INDEX(Simulations!$A$1:$BK$2501, 1788, MATCH("RevCAGR", Simulations!$A$1:$BK$1, 0))</f>
        <v>2.7377095813668234E-2</v>
      </c>
      <c r="D1788" s="2">
        <f ca="1">INDEX(Simulations!$A$1:$BK$2501, 1788, MATCH("SynMargin", Simulations!$A$1:$BK$1, 0))</f>
        <v>7.6747600167616963E-3</v>
      </c>
      <c r="E1788" s="2">
        <f ca="1">INDEX(Simulations!$A$1:$BK$2501, 1788, MATCH("Yr1Shock", Simulations!$A$1:$BK$1, 0))</f>
        <v>9.4039634099312534E-3</v>
      </c>
    </row>
    <row r="1789" spans="1:5" x14ac:dyDescent="0.3">
      <c r="A1789" s="2">
        <f ca="1">INDEX(Simulations!$A$1:$BK$2501, 1789, MATCH("PurchaseMultiple", Simulations!$A$1:$BK$1, 0))</f>
        <v>7.2855523280358012</v>
      </c>
      <c r="B1789" s="2">
        <f ca="1">INDEX(Simulations!$A$1:$BK$2501, 1789, MATCH("ExitMultiple", Simulations!$A$1:$BK$1, 0))</f>
        <v>7.9026117256172999</v>
      </c>
      <c r="C1789" s="2">
        <f ca="1">INDEX(Simulations!$A$1:$BK$2501, 1789, MATCH("RevCAGR", Simulations!$A$1:$BK$1, 0))</f>
        <v>8.8610990016466037E-2</v>
      </c>
      <c r="D1789" s="2">
        <f ca="1">INDEX(Simulations!$A$1:$BK$2501, 1789, MATCH("SynMargin", Simulations!$A$1:$BK$1, 0))</f>
        <v>5.7720727644227547E-3</v>
      </c>
      <c r="E1789" s="2">
        <f ca="1">INDEX(Simulations!$A$1:$BK$2501, 1789, MATCH("Yr1Shock", Simulations!$A$1:$BK$1, 0))</f>
        <v>3.4553887021967371E-2</v>
      </c>
    </row>
    <row r="1790" spans="1:5" x14ac:dyDescent="0.3">
      <c r="A1790" s="2">
        <f ca="1">INDEX(Simulations!$A$1:$BK$2501, 1790, MATCH("PurchaseMultiple", Simulations!$A$1:$BK$1, 0))</f>
        <v>7.0557766144357217</v>
      </c>
      <c r="B1790" s="2">
        <f ca="1">INDEX(Simulations!$A$1:$BK$2501, 1790, MATCH("ExitMultiple", Simulations!$A$1:$BK$1, 0))</f>
        <v>7.634308033667339</v>
      </c>
      <c r="C1790" s="2">
        <f ca="1">INDEX(Simulations!$A$1:$BK$2501, 1790, MATCH("RevCAGR", Simulations!$A$1:$BK$1, 0))</f>
        <v>4.5492128741483534E-2</v>
      </c>
      <c r="D1790" s="2">
        <f ca="1">INDEX(Simulations!$A$1:$BK$2501, 1790, MATCH("SynMargin", Simulations!$A$1:$BK$1, 0))</f>
        <v>2.2955428690906755E-4</v>
      </c>
      <c r="E1790" s="2">
        <f ca="1">INDEX(Simulations!$A$1:$BK$2501, 1790, MATCH("Yr1Shock", Simulations!$A$1:$BK$1, 0))</f>
        <v>4.0085469793009138E-3</v>
      </c>
    </row>
    <row r="1791" spans="1:5" x14ac:dyDescent="0.3">
      <c r="A1791" s="2">
        <f ca="1">INDEX(Simulations!$A$1:$BK$2501, 1791, MATCH("PurchaseMultiple", Simulations!$A$1:$BK$1, 0))</f>
        <v>7.84577240613286</v>
      </c>
      <c r="B1791" s="2">
        <f ca="1">INDEX(Simulations!$A$1:$BK$2501, 1791, MATCH("ExitMultiple", Simulations!$A$1:$BK$1, 0))</f>
        <v>7.1878853431051093</v>
      </c>
      <c r="C1791" s="2">
        <f ca="1">INDEX(Simulations!$A$1:$BK$2501, 1791, MATCH("RevCAGR", Simulations!$A$1:$BK$1, 0))</f>
        <v>5.3966989540687627E-2</v>
      </c>
      <c r="D1791" s="2">
        <f ca="1">INDEX(Simulations!$A$1:$BK$2501, 1791, MATCH("SynMargin", Simulations!$A$1:$BK$1, 0))</f>
        <v>5.4808498528800351E-3</v>
      </c>
      <c r="E1791" s="2">
        <f ca="1">INDEX(Simulations!$A$1:$BK$2501, 1791, MATCH("Yr1Shock", Simulations!$A$1:$BK$1, 0))</f>
        <v>1.9940739320562211E-2</v>
      </c>
    </row>
    <row r="1792" spans="1:5" x14ac:dyDescent="0.3">
      <c r="A1792" s="2">
        <f ca="1">INDEX(Simulations!$A$1:$BK$2501, 1792, MATCH("PurchaseMultiple", Simulations!$A$1:$BK$1, 0))</f>
        <v>6.3807316072055498</v>
      </c>
      <c r="B1792" s="2">
        <f ca="1">INDEX(Simulations!$A$1:$BK$2501, 1792, MATCH("ExitMultiple", Simulations!$A$1:$BK$1, 0))</f>
        <v>7.6021022431158007</v>
      </c>
      <c r="C1792" s="2">
        <f ca="1">INDEX(Simulations!$A$1:$BK$2501, 1792, MATCH("RevCAGR", Simulations!$A$1:$BK$1, 0))</f>
        <v>3.4942239672765683E-2</v>
      </c>
      <c r="D1792" s="2">
        <f ca="1">INDEX(Simulations!$A$1:$BK$2501, 1792, MATCH("SynMargin", Simulations!$A$1:$BK$1, 0))</f>
        <v>1.6034499065965248E-2</v>
      </c>
      <c r="E1792" s="2">
        <f ca="1">INDEX(Simulations!$A$1:$BK$2501, 1792, MATCH("Yr1Shock", Simulations!$A$1:$BK$1, 0))</f>
        <v>1.4196196758564325E-2</v>
      </c>
    </row>
    <row r="1793" spans="1:5" x14ac:dyDescent="0.3">
      <c r="A1793" s="2">
        <f ca="1">INDEX(Simulations!$A$1:$BK$2501, 1793, MATCH("PurchaseMultiple", Simulations!$A$1:$BK$1, 0))</f>
        <v>7.0410732919575798</v>
      </c>
      <c r="B1793" s="2">
        <f ca="1">INDEX(Simulations!$A$1:$BK$2501, 1793, MATCH("ExitMultiple", Simulations!$A$1:$BK$1, 0))</f>
        <v>7.4380384753629052</v>
      </c>
      <c r="C1793" s="2">
        <f ca="1">INDEX(Simulations!$A$1:$BK$2501, 1793, MATCH("RevCAGR", Simulations!$A$1:$BK$1, 0))</f>
        <v>1.8360614313559381E-2</v>
      </c>
      <c r="D1793" s="2">
        <f ca="1">INDEX(Simulations!$A$1:$BK$2501, 1793, MATCH("SynMargin", Simulations!$A$1:$BK$1, 0))</f>
        <v>3.2336314036108269E-3</v>
      </c>
      <c r="E1793" s="2">
        <f ca="1">INDEX(Simulations!$A$1:$BK$2501, 1793, MATCH("Yr1Shock", Simulations!$A$1:$BK$1, 0))</f>
        <v>1.2988716555726603E-2</v>
      </c>
    </row>
    <row r="1794" spans="1:5" x14ac:dyDescent="0.3">
      <c r="A1794" s="2">
        <f ca="1">INDEX(Simulations!$A$1:$BK$2501, 1794, MATCH("PurchaseMultiple", Simulations!$A$1:$BK$1, 0))</f>
        <v>6.1257729846619862</v>
      </c>
      <c r="B1794" s="2">
        <f ca="1">INDEX(Simulations!$A$1:$BK$2501, 1794, MATCH("ExitMultiple", Simulations!$A$1:$BK$1, 0))</f>
        <v>7.1696948358257364</v>
      </c>
      <c r="C1794" s="2">
        <f ca="1">INDEX(Simulations!$A$1:$BK$2501, 1794, MATCH("RevCAGR", Simulations!$A$1:$BK$1, 0))</f>
        <v>-4.8652233062686373E-3</v>
      </c>
      <c r="D1794" s="2">
        <f ca="1">INDEX(Simulations!$A$1:$BK$2501, 1794, MATCH("SynMargin", Simulations!$A$1:$BK$1, 0))</f>
        <v>1.0509323527486784E-3</v>
      </c>
      <c r="E1794" s="2">
        <f ca="1">INDEX(Simulations!$A$1:$BK$2501, 1794, MATCH("Yr1Shock", Simulations!$A$1:$BK$1, 0))</f>
        <v>1.2768273269185336E-2</v>
      </c>
    </row>
    <row r="1795" spans="1:5" x14ac:dyDescent="0.3">
      <c r="A1795" s="2">
        <f ca="1">INDEX(Simulations!$A$1:$BK$2501, 1795, MATCH("PurchaseMultiple", Simulations!$A$1:$BK$1, 0))</f>
        <v>6.7107631052893257</v>
      </c>
      <c r="B1795" s="2">
        <f ca="1">INDEX(Simulations!$A$1:$BK$2501, 1795, MATCH("ExitMultiple", Simulations!$A$1:$BK$1, 0))</f>
        <v>7.5318511092077438</v>
      </c>
      <c r="C1795" s="2">
        <f ca="1">INDEX(Simulations!$A$1:$BK$2501, 1795, MATCH("RevCAGR", Simulations!$A$1:$BK$1, 0))</f>
        <v>7.5850720796329069E-2</v>
      </c>
      <c r="D1795" s="2">
        <f ca="1">INDEX(Simulations!$A$1:$BK$2501, 1795, MATCH("SynMargin", Simulations!$A$1:$BK$1, 0))</f>
        <v>1.414717078932673E-2</v>
      </c>
      <c r="E1795" s="2">
        <f ca="1">INDEX(Simulations!$A$1:$BK$2501, 1795, MATCH("Yr1Shock", Simulations!$A$1:$BK$1, 0))</f>
        <v>5.8310180625510324E-3</v>
      </c>
    </row>
    <row r="1796" spans="1:5" x14ac:dyDescent="0.3">
      <c r="A1796" s="2">
        <f ca="1">INDEX(Simulations!$A$1:$BK$2501, 1796, MATCH("PurchaseMultiple", Simulations!$A$1:$BK$1, 0))</f>
        <v>6.7130819311148677</v>
      </c>
      <c r="B1796" s="2">
        <f ca="1">INDEX(Simulations!$A$1:$BK$2501, 1796, MATCH("ExitMultiple", Simulations!$A$1:$BK$1, 0))</f>
        <v>7.3691667513206234</v>
      </c>
      <c r="C1796" s="2">
        <f ca="1">INDEX(Simulations!$A$1:$BK$2501, 1796, MATCH("RevCAGR", Simulations!$A$1:$BK$1, 0))</f>
        <v>4.85002902634811E-2</v>
      </c>
      <c r="D1796" s="2">
        <f ca="1">INDEX(Simulations!$A$1:$BK$2501, 1796, MATCH("SynMargin", Simulations!$A$1:$BK$1, 0))</f>
        <v>8.9962080115912439E-3</v>
      </c>
      <c r="E1796" s="2">
        <f ca="1">INDEX(Simulations!$A$1:$BK$2501, 1796, MATCH("Yr1Shock", Simulations!$A$1:$BK$1, 0))</f>
        <v>-2.5770774825957483E-2</v>
      </c>
    </row>
    <row r="1797" spans="1:5" x14ac:dyDescent="0.3">
      <c r="A1797" s="2">
        <f ca="1">INDEX(Simulations!$A$1:$BK$2501, 1797, MATCH("PurchaseMultiple", Simulations!$A$1:$BK$1, 0))</f>
        <v>7.1512843724307009</v>
      </c>
      <c r="B1797" s="2">
        <f ca="1">INDEX(Simulations!$A$1:$BK$2501, 1797, MATCH("ExitMultiple", Simulations!$A$1:$BK$1, 0))</f>
        <v>8.0278112125689525</v>
      </c>
      <c r="C1797" s="2">
        <f ca="1">INDEX(Simulations!$A$1:$BK$2501, 1797, MATCH("RevCAGR", Simulations!$A$1:$BK$1, 0))</f>
        <v>5.2911591360062106E-2</v>
      </c>
      <c r="D1797" s="2">
        <f ca="1">INDEX(Simulations!$A$1:$BK$2501, 1797, MATCH("SynMargin", Simulations!$A$1:$BK$1, 0))</f>
        <v>1.0539164070063126E-3</v>
      </c>
      <c r="E1797" s="2">
        <f ca="1">INDEX(Simulations!$A$1:$BK$2501, 1797, MATCH("Yr1Shock", Simulations!$A$1:$BK$1, 0))</f>
        <v>3.7746096714763228E-2</v>
      </c>
    </row>
    <row r="1798" spans="1:5" x14ac:dyDescent="0.3">
      <c r="A1798" s="2">
        <f ca="1">INDEX(Simulations!$A$1:$BK$2501, 1798, MATCH("PurchaseMultiple", Simulations!$A$1:$BK$1, 0))</f>
        <v>7.0888130538297665</v>
      </c>
      <c r="B1798" s="2">
        <f ca="1">INDEX(Simulations!$A$1:$BK$2501, 1798, MATCH("ExitMultiple", Simulations!$A$1:$BK$1, 0))</f>
        <v>7.5257421726520359</v>
      </c>
      <c r="C1798" s="2">
        <f ca="1">INDEX(Simulations!$A$1:$BK$2501, 1798, MATCH("RevCAGR", Simulations!$A$1:$BK$1, 0))</f>
        <v>3.9991766598466955E-2</v>
      </c>
      <c r="D1798" s="2">
        <f ca="1">INDEX(Simulations!$A$1:$BK$2501, 1798, MATCH("SynMargin", Simulations!$A$1:$BK$1, 0))</f>
        <v>7.2623499995981607E-3</v>
      </c>
      <c r="E1798" s="2">
        <f ca="1">INDEX(Simulations!$A$1:$BK$2501, 1798, MATCH("Yr1Shock", Simulations!$A$1:$BK$1, 0))</f>
        <v>3.5166225791361402E-2</v>
      </c>
    </row>
    <row r="1799" spans="1:5" x14ac:dyDescent="0.3">
      <c r="A1799" s="2">
        <f ca="1">INDEX(Simulations!$A$1:$BK$2501, 1799, MATCH("PurchaseMultiple", Simulations!$A$1:$BK$1, 0))</f>
        <v>7.3820584072165794</v>
      </c>
      <c r="B1799" s="2">
        <f ca="1">INDEX(Simulations!$A$1:$BK$2501, 1799, MATCH("ExitMultiple", Simulations!$A$1:$BK$1, 0))</f>
        <v>7.2644983975421242</v>
      </c>
      <c r="C1799" s="2">
        <f ca="1">INDEX(Simulations!$A$1:$BK$2501, 1799, MATCH("RevCAGR", Simulations!$A$1:$BK$1, 0))</f>
        <v>3.0988194807685894E-2</v>
      </c>
      <c r="D1799" s="2">
        <f ca="1">INDEX(Simulations!$A$1:$BK$2501, 1799, MATCH("SynMargin", Simulations!$A$1:$BK$1, 0))</f>
        <v>9.8748170643706557E-3</v>
      </c>
      <c r="E1799" s="2">
        <f ca="1">INDEX(Simulations!$A$1:$BK$2501, 1799, MATCH("Yr1Shock", Simulations!$A$1:$BK$1, 0))</f>
        <v>3.1432468763172121E-2</v>
      </c>
    </row>
    <row r="1800" spans="1:5" x14ac:dyDescent="0.3">
      <c r="A1800" s="2">
        <f ca="1">INDEX(Simulations!$A$1:$BK$2501, 1800, MATCH("PurchaseMultiple", Simulations!$A$1:$BK$1, 0))</f>
        <v>7.5821400274082089</v>
      </c>
      <c r="B1800" s="2">
        <f ca="1">INDEX(Simulations!$A$1:$BK$2501, 1800, MATCH("ExitMultiple", Simulations!$A$1:$BK$1, 0))</f>
        <v>7.1945361944015049</v>
      </c>
      <c r="C1800" s="2">
        <f ca="1">INDEX(Simulations!$A$1:$BK$2501, 1800, MATCH("RevCAGR", Simulations!$A$1:$BK$1, 0))</f>
        <v>3.745397810788885E-3</v>
      </c>
      <c r="D1800" s="2">
        <f ca="1">INDEX(Simulations!$A$1:$BK$2501, 1800, MATCH("SynMargin", Simulations!$A$1:$BK$1, 0))</f>
        <v>1.2622691509627821E-2</v>
      </c>
      <c r="E1800" s="2">
        <f ca="1">INDEX(Simulations!$A$1:$BK$2501, 1800, MATCH("Yr1Shock", Simulations!$A$1:$BK$1, 0))</f>
        <v>7.1135622390609086E-3</v>
      </c>
    </row>
    <row r="1801" spans="1:5" x14ac:dyDescent="0.3">
      <c r="A1801" s="2">
        <f ca="1">INDEX(Simulations!$A$1:$BK$2501, 1801, MATCH("PurchaseMultiple", Simulations!$A$1:$BK$1, 0))</f>
        <v>7.3606608425251911</v>
      </c>
      <c r="B1801" s="2">
        <f ca="1">INDEX(Simulations!$A$1:$BK$2501, 1801, MATCH("ExitMultiple", Simulations!$A$1:$BK$1, 0))</f>
        <v>7.3565672934910395</v>
      </c>
      <c r="C1801" s="2">
        <f ca="1">INDEX(Simulations!$A$1:$BK$2501, 1801, MATCH("RevCAGR", Simulations!$A$1:$BK$1, 0))</f>
        <v>5.7166401315981052E-2</v>
      </c>
      <c r="D1801" s="2">
        <f ca="1">INDEX(Simulations!$A$1:$BK$2501, 1801, MATCH("SynMargin", Simulations!$A$1:$BK$1, 0))</f>
        <v>7.3138779598536409E-3</v>
      </c>
      <c r="E1801" s="2">
        <f ca="1">INDEX(Simulations!$A$1:$BK$2501, 1801, MATCH("Yr1Shock", Simulations!$A$1:$BK$1, 0))</f>
        <v>-4.9433504237507704E-2</v>
      </c>
    </row>
    <row r="1802" spans="1:5" x14ac:dyDescent="0.3">
      <c r="A1802" s="2">
        <f ca="1">INDEX(Simulations!$A$1:$BK$2501, 1802, MATCH("PurchaseMultiple", Simulations!$A$1:$BK$1, 0))</f>
        <v>6.2335483117747721</v>
      </c>
      <c r="B1802" s="2">
        <f ca="1">INDEX(Simulations!$A$1:$BK$2501, 1802, MATCH("ExitMultiple", Simulations!$A$1:$BK$1, 0))</f>
        <v>7.1367467535870581</v>
      </c>
      <c r="C1802" s="2">
        <f ca="1">INDEX(Simulations!$A$1:$BK$2501, 1802, MATCH("RevCAGR", Simulations!$A$1:$BK$1, 0))</f>
        <v>3.6524838251288702E-2</v>
      </c>
      <c r="D1802" s="2">
        <f ca="1">INDEX(Simulations!$A$1:$BK$2501, 1802, MATCH("SynMargin", Simulations!$A$1:$BK$1, 0))</f>
        <v>1.179372412161994E-2</v>
      </c>
      <c r="E1802" s="2">
        <f ca="1">INDEX(Simulations!$A$1:$BK$2501, 1802, MATCH("Yr1Shock", Simulations!$A$1:$BK$1, 0))</f>
        <v>3.73292477308429E-3</v>
      </c>
    </row>
    <row r="1803" spans="1:5" x14ac:dyDescent="0.3">
      <c r="A1803" s="2">
        <f ca="1">INDEX(Simulations!$A$1:$BK$2501, 1803, MATCH("PurchaseMultiple", Simulations!$A$1:$BK$1, 0))</f>
        <v>7.6564456989977083</v>
      </c>
      <c r="B1803" s="2">
        <f ca="1">INDEX(Simulations!$A$1:$BK$2501, 1803, MATCH("ExitMultiple", Simulations!$A$1:$BK$1, 0))</f>
        <v>7.0986622302850169</v>
      </c>
      <c r="C1803" s="2">
        <f ca="1">INDEX(Simulations!$A$1:$BK$2501, 1803, MATCH("RevCAGR", Simulations!$A$1:$BK$1, 0))</f>
        <v>5.2286343201007626E-2</v>
      </c>
      <c r="D1803" s="2">
        <f ca="1">INDEX(Simulations!$A$1:$BK$2501, 1803, MATCH("SynMargin", Simulations!$A$1:$BK$1, 0))</f>
        <v>1.072687094277007E-2</v>
      </c>
      <c r="E1803" s="2">
        <f ca="1">INDEX(Simulations!$A$1:$BK$2501, 1803, MATCH("Yr1Shock", Simulations!$A$1:$BK$1, 0))</f>
        <v>-2.2175045470382609E-2</v>
      </c>
    </row>
    <row r="1804" spans="1:5" x14ac:dyDescent="0.3">
      <c r="A1804" s="2">
        <f ca="1">INDEX(Simulations!$A$1:$BK$2501, 1804, MATCH("PurchaseMultiple", Simulations!$A$1:$BK$1, 0))</f>
        <v>7.4951627263855771</v>
      </c>
      <c r="B1804" s="2">
        <f ca="1">INDEX(Simulations!$A$1:$BK$2501, 1804, MATCH("ExitMultiple", Simulations!$A$1:$BK$1, 0))</f>
        <v>7.3443828109257208</v>
      </c>
      <c r="C1804" s="2">
        <f ca="1">INDEX(Simulations!$A$1:$BK$2501, 1804, MATCH("RevCAGR", Simulations!$A$1:$BK$1, 0))</f>
        <v>2.7447036810667971E-2</v>
      </c>
      <c r="D1804" s="2">
        <f ca="1">INDEX(Simulations!$A$1:$BK$2501, 1804, MATCH("SynMargin", Simulations!$A$1:$BK$1, 0))</f>
        <v>1.1377794674064898E-2</v>
      </c>
      <c r="E1804" s="2">
        <f ca="1">INDEX(Simulations!$A$1:$BK$2501, 1804, MATCH("Yr1Shock", Simulations!$A$1:$BK$1, 0))</f>
        <v>2.8973057165484255E-2</v>
      </c>
    </row>
    <row r="1805" spans="1:5" x14ac:dyDescent="0.3">
      <c r="A1805" s="2">
        <f ca="1">INDEX(Simulations!$A$1:$BK$2501, 1805, MATCH("PurchaseMultiple", Simulations!$A$1:$BK$1, 0))</f>
        <v>7.2185302747389821</v>
      </c>
      <c r="B1805" s="2">
        <f ca="1">INDEX(Simulations!$A$1:$BK$2501, 1805, MATCH("ExitMultiple", Simulations!$A$1:$BK$1, 0))</f>
        <v>7.1650763588050879</v>
      </c>
      <c r="C1805" s="2">
        <f ca="1">INDEX(Simulations!$A$1:$BK$2501, 1805, MATCH("RevCAGR", Simulations!$A$1:$BK$1, 0))</f>
        <v>9.8000374680233607E-3</v>
      </c>
      <c r="D1805" s="2">
        <f ca="1">INDEX(Simulations!$A$1:$BK$2501, 1805, MATCH("SynMargin", Simulations!$A$1:$BK$1, 0))</f>
        <v>1.4377019612577126E-2</v>
      </c>
      <c r="E1805" s="2">
        <f ca="1">INDEX(Simulations!$A$1:$BK$2501, 1805, MATCH("Yr1Shock", Simulations!$A$1:$BK$1, 0))</f>
        <v>-1.7084260924113061E-2</v>
      </c>
    </row>
    <row r="1806" spans="1:5" x14ac:dyDescent="0.3">
      <c r="A1806" s="2">
        <f ca="1">INDEX(Simulations!$A$1:$BK$2501, 1806, MATCH("PurchaseMultiple", Simulations!$A$1:$BK$1, 0))</f>
        <v>6.6955082946000051</v>
      </c>
      <c r="B1806" s="2">
        <f ca="1">INDEX(Simulations!$A$1:$BK$2501, 1806, MATCH("ExitMultiple", Simulations!$A$1:$BK$1, 0))</f>
        <v>7.2644384834754856</v>
      </c>
      <c r="C1806" s="2">
        <f ca="1">INDEX(Simulations!$A$1:$BK$2501, 1806, MATCH("RevCAGR", Simulations!$A$1:$BK$1, 0))</f>
        <v>8.1412666942372064E-2</v>
      </c>
      <c r="D1806" s="2">
        <f ca="1">INDEX(Simulations!$A$1:$BK$2501, 1806, MATCH("SynMargin", Simulations!$A$1:$BK$1, 0))</f>
        <v>6.1657470146954515E-3</v>
      </c>
      <c r="E1806" s="2">
        <f ca="1">INDEX(Simulations!$A$1:$BK$2501, 1806, MATCH("Yr1Shock", Simulations!$A$1:$BK$1, 0))</f>
        <v>2.9493313278145181E-3</v>
      </c>
    </row>
    <row r="1807" spans="1:5" x14ac:dyDescent="0.3">
      <c r="A1807" s="2">
        <f ca="1">INDEX(Simulations!$A$1:$BK$2501, 1807, MATCH("PurchaseMultiple", Simulations!$A$1:$BK$1, 0))</f>
        <v>6.9563501491420778</v>
      </c>
      <c r="B1807" s="2">
        <f ca="1">INDEX(Simulations!$A$1:$BK$2501, 1807, MATCH("ExitMultiple", Simulations!$A$1:$BK$1, 0))</f>
        <v>7.7125039688510695</v>
      </c>
      <c r="C1807" s="2">
        <f ca="1">INDEX(Simulations!$A$1:$BK$2501, 1807, MATCH("RevCAGR", Simulations!$A$1:$BK$1, 0))</f>
        <v>2.2775093922444874E-2</v>
      </c>
      <c r="D1807" s="2">
        <f ca="1">INDEX(Simulations!$A$1:$BK$2501, 1807, MATCH("SynMargin", Simulations!$A$1:$BK$1, 0))</f>
        <v>1.7360683989586446E-2</v>
      </c>
      <c r="E1807" s="2">
        <f ca="1">INDEX(Simulations!$A$1:$BK$2501, 1807, MATCH("Yr1Shock", Simulations!$A$1:$BK$1, 0))</f>
        <v>2.1857253049702589E-2</v>
      </c>
    </row>
    <row r="1808" spans="1:5" x14ac:dyDescent="0.3">
      <c r="A1808" s="2">
        <f ca="1">INDEX(Simulations!$A$1:$BK$2501, 1808, MATCH("PurchaseMultiple", Simulations!$A$1:$BK$1, 0))</f>
        <v>6.8028237671587837</v>
      </c>
      <c r="B1808" s="2">
        <f ca="1">INDEX(Simulations!$A$1:$BK$2501, 1808, MATCH("ExitMultiple", Simulations!$A$1:$BK$1, 0))</f>
        <v>7.4735850129628423</v>
      </c>
      <c r="C1808" s="2">
        <f ca="1">INDEX(Simulations!$A$1:$BK$2501, 1808, MATCH("RevCAGR", Simulations!$A$1:$BK$1, 0))</f>
        <v>6.3939244735864598E-2</v>
      </c>
      <c r="D1808" s="2">
        <f ca="1">INDEX(Simulations!$A$1:$BK$2501, 1808, MATCH("SynMargin", Simulations!$A$1:$BK$1, 0))</f>
        <v>8.5695852610133631E-3</v>
      </c>
      <c r="E1808" s="2">
        <f ca="1">INDEX(Simulations!$A$1:$BK$2501, 1808, MATCH("Yr1Shock", Simulations!$A$1:$BK$1, 0))</f>
        <v>-4.2438812604877639E-3</v>
      </c>
    </row>
    <row r="1809" spans="1:5" x14ac:dyDescent="0.3">
      <c r="A1809" s="2">
        <f ca="1">INDEX(Simulations!$A$1:$BK$2501, 1809, MATCH("PurchaseMultiple", Simulations!$A$1:$BK$1, 0))</f>
        <v>7.0369047729791108</v>
      </c>
      <c r="B1809" s="2">
        <f ca="1">INDEX(Simulations!$A$1:$BK$2501, 1809, MATCH("ExitMultiple", Simulations!$A$1:$BK$1, 0))</f>
        <v>8.3298393711913583</v>
      </c>
      <c r="C1809" s="2">
        <f ca="1">INDEX(Simulations!$A$1:$BK$2501, 1809, MATCH("RevCAGR", Simulations!$A$1:$BK$1, 0))</f>
        <v>3.0021026083707297E-2</v>
      </c>
      <c r="D1809" s="2">
        <f ca="1">INDEX(Simulations!$A$1:$BK$2501, 1809, MATCH("SynMargin", Simulations!$A$1:$BK$1, 0))</f>
        <v>1.301689092629957E-2</v>
      </c>
      <c r="E1809" s="2">
        <f ca="1">INDEX(Simulations!$A$1:$BK$2501, 1809, MATCH("Yr1Shock", Simulations!$A$1:$BK$1, 0))</f>
        <v>-9.6935599741306416E-3</v>
      </c>
    </row>
    <row r="1810" spans="1:5" x14ac:dyDescent="0.3">
      <c r="A1810" s="2">
        <f ca="1">INDEX(Simulations!$A$1:$BK$2501, 1810, MATCH("PurchaseMultiple", Simulations!$A$1:$BK$1, 0))</f>
        <v>6.4348857333360554</v>
      </c>
      <c r="B1810" s="2">
        <f ca="1">INDEX(Simulations!$A$1:$BK$2501, 1810, MATCH("ExitMultiple", Simulations!$A$1:$BK$1, 0))</f>
        <v>7.2110641198040337</v>
      </c>
      <c r="C1810" s="2">
        <f ca="1">INDEX(Simulations!$A$1:$BK$2501, 1810, MATCH("RevCAGR", Simulations!$A$1:$BK$1, 0))</f>
        <v>6.6755436171131027E-3</v>
      </c>
      <c r="D1810" s="2">
        <f ca="1">INDEX(Simulations!$A$1:$BK$2501, 1810, MATCH("SynMargin", Simulations!$A$1:$BK$1, 0))</f>
        <v>7.9629942155265802E-3</v>
      </c>
      <c r="E1810" s="2">
        <f ca="1">INDEX(Simulations!$A$1:$BK$2501, 1810, MATCH("Yr1Shock", Simulations!$A$1:$BK$1, 0))</f>
        <v>-3.1483773638995294E-2</v>
      </c>
    </row>
    <row r="1811" spans="1:5" x14ac:dyDescent="0.3">
      <c r="A1811" s="2">
        <f ca="1">INDEX(Simulations!$A$1:$BK$2501, 1811, MATCH("PurchaseMultiple", Simulations!$A$1:$BK$1, 0))</f>
        <v>7.5536327665001775</v>
      </c>
      <c r="B1811" s="2">
        <f ca="1">INDEX(Simulations!$A$1:$BK$2501, 1811, MATCH("ExitMultiple", Simulations!$A$1:$BK$1, 0))</f>
        <v>6.9041940135543731</v>
      </c>
      <c r="C1811" s="2">
        <f ca="1">INDEX(Simulations!$A$1:$BK$2501, 1811, MATCH("RevCAGR", Simulations!$A$1:$BK$1, 0))</f>
        <v>5.5936421646739537E-2</v>
      </c>
      <c r="D1811" s="2">
        <f ca="1">INDEX(Simulations!$A$1:$BK$2501, 1811, MATCH("SynMargin", Simulations!$A$1:$BK$1, 0))</f>
        <v>8.1610074974904755E-3</v>
      </c>
      <c r="E1811" s="2">
        <f ca="1">INDEX(Simulations!$A$1:$BK$2501, 1811, MATCH("Yr1Shock", Simulations!$A$1:$BK$1, 0))</f>
        <v>-1.6330769765297341E-2</v>
      </c>
    </row>
    <row r="1812" spans="1:5" x14ac:dyDescent="0.3">
      <c r="A1812" s="2">
        <f ca="1">INDEX(Simulations!$A$1:$BK$2501, 1812, MATCH("PurchaseMultiple", Simulations!$A$1:$BK$1, 0))</f>
        <v>6.5245239190088373</v>
      </c>
      <c r="B1812" s="2">
        <f ca="1">INDEX(Simulations!$A$1:$BK$2501, 1812, MATCH("ExitMultiple", Simulations!$A$1:$BK$1, 0))</f>
        <v>7.4934378077143551</v>
      </c>
      <c r="C1812" s="2">
        <f ca="1">INDEX(Simulations!$A$1:$BK$2501, 1812, MATCH("RevCAGR", Simulations!$A$1:$BK$1, 0))</f>
        <v>1.2341026574760331E-2</v>
      </c>
      <c r="D1812" s="2">
        <f ca="1">INDEX(Simulations!$A$1:$BK$2501, 1812, MATCH("SynMargin", Simulations!$A$1:$BK$1, 0))</f>
        <v>1.0546210155551865E-2</v>
      </c>
      <c r="E1812" s="2">
        <f ca="1">INDEX(Simulations!$A$1:$BK$2501, 1812, MATCH("Yr1Shock", Simulations!$A$1:$BK$1, 0))</f>
        <v>-2.3960763239213617E-2</v>
      </c>
    </row>
    <row r="1813" spans="1:5" x14ac:dyDescent="0.3">
      <c r="A1813" s="2">
        <f ca="1">INDEX(Simulations!$A$1:$BK$2501, 1813, MATCH("PurchaseMultiple", Simulations!$A$1:$BK$1, 0))</f>
        <v>7.2195808739998277</v>
      </c>
      <c r="B1813" s="2">
        <f ca="1">INDEX(Simulations!$A$1:$BK$2501, 1813, MATCH("ExitMultiple", Simulations!$A$1:$BK$1, 0))</f>
        <v>7.5295593181614704</v>
      </c>
      <c r="C1813" s="2">
        <f ca="1">INDEX(Simulations!$A$1:$BK$2501, 1813, MATCH("RevCAGR", Simulations!$A$1:$BK$1, 0))</f>
        <v>2.576532243876048E-2</v>
      </c>
      <c r="D1813" s="2">
        <f ca="1">INDEX(Simulations!$A$1:$BK$2501, 1813, MATCH("SynMargin", Simulations!$A$1:$BK$1, 0))</f>
        <v>4.0965280854886998E-3</v>
      </c>
      <c r="E1813" s="2">
        <f ca="1">INDEX(Simulations!$A$1:$BK$2501, 1813, MATCH("Yr1Shock", Simulations!$A$1:$BK$1, 0))</f>
        <v>-1.9609852432132834E-2</v>
      </c>
    </row>
    <row r="1814" spans="1:5" x14ac:dyDescent="0.3">
      <c r="A1814" s="2">
        <f ca="1">INDEX(Simulations!$A$1:$BK$2501, 1814, MATCH("PurchaseMultiple", Simulations!$A$1:$BK$1, 0))</f>
        <v>6.3609889936911239</v>
      </c>
      <c r="B1814" s="2">
        <f ca="1">INDEX(Simulations!$A$1:$BK$2501, 1814, MATCH("ExitMultiple", Simulations!$A$1:$BK$1, 0))</f>
        <v>7.1624888545750816</v>
      </c>
      <c r="C1814" s="2">
        <f ca="1">INDEX(Simulations!$A$1:$BK$2501, 1814, MATCH("RevCAGR", Simulations!$A$1:$BK$1, 0))</f>
        <v>5.7965753188291932E-2</v>
      </c>
      <c r="D1814" s="2">
        <f ca="1">INDEX(Simulations!$A$1:$BK$2501, 1814, MATCH("SynMargin", Simulations!$A$1:$BK$1, 0))</f>
        <v>1.1043893243164122E-2</v>
      </c>
      <c r="E1814" s="2">
        <f ca="1">INDEX(Simulations!$A$1:$BK$2501, 1814, MATCH("Yr1Shock", Simulations!$A$1:$BK$1, 0))</f>
        <v>8.3895239601188899E-4</v>
      </c>
    </row>
    <row r="1815" spans="1:5" x14ac:dyDescent="0.3">
      <c r="A1815" s="2">
        <f ca="1">INDEX(Simulations!$A$1:$BK$2501, 1815, MATCH("PurchaseMultiple", Simulations!$A$1:$BK$1, 0))</f>
        <v>6.9831731679590296</v>
      </c>
      <c r="B1815" s="2">
        <f ca="1">INDEX(Simulations!$A$1:$BK$2501, 1815, MATCH("ExitMultiple", Simulations!$A$1:$BK$1, 0))</f>
        <v>8.0062377404195377</v>
      </c>
      <c r="C1815" s="2">
        <f ca="1">INDEX(Simulations!$A$1:$BK$2501, 1815, MATCH("RevCAGR", Simulations!$A$1:$BK$1, 0))</f>
        <v>4.4912724758062753E-2</v>
      </c>
      <c r="D1815" s="2">
        <f ca="1">INDEX(Simulations!$A$1:$BK$2501, 1815, MATCH("SynMargin", Simulations!$A$1:$BK$1, 0))</f>
        <v>1.4987897229563157E-2</v>
      </c>
      <c r="E1815" s="2">
        <f ca="1">INDEX(Simulations!$A$1:$BK$2501, 1815, MATCH("Yr1Shock", Simulations!$A$1:$BK$1, 0))</f>
        <v>-2.9417009507707117E-2</v>
      </c>
    </row>
    <row r="1816" spans="1:5" x14ac:dyDescent="0.3">
      <c r="A1816" s="2">
        <f ca="1">INDEX(Simulations!$A$1:$BK$2501, 1816, MATCH("PurchaseMultiple", Simulations!$A$1:$BK$1, 0))</f>
        <v>7.6534889098767538</v>
      </c>
      <c r="B1816" s="2">
        <f ca="1">INDEX(Simulations!$A$1:$BK$2501, 1816, MATCH("ExitMultiple", Simulations!$A$1:$BK$1, 0))</f>
        <v>6.8797350640448451</v>
      </c>
      <c r="C1816" s="2">
        <f ca="1">INDEX(Simulations!$A$1:$BK$2501, 1816, MATCH("RevCAGR", Simulations!$A$1:$BK$1, 0))</f>
        <v>-4.3175748519386214E-4</v>
      </c>
      <c r="D1816" s="2">
        <f ca="1">INDEX(Simulations!$A$1:$BK$2501, 1816, MATCH("SynMargin", Simulations!$A$1:$BK$1, 0))</f>
        <v>7.4642926411377887E-3</v>
      </c>
      <c r="E1816" s="2">
        <f ca="1">INDEX(Simulations!$A$1:$BK$2501, 1816, MATCH("Yr1Shock", Simulations!$A$1:$BK$1, 0))</f>
        <v>2.7005055888702726E-2</v>
      </c>
    </row>
    <row r="1817" spans="1:5" x14ac:dyDescent="0.3">
      <c r="A1817" s="2">
        <f ca="1">INDEX(Simulations!$A$1:$BK$2501, 1817, MATCH("PurchaseMultiple", Simulations!$A$1:$BK$1, 0))</f>
        <v>7.6133531259143794</v>
      </c>
      <c r="B1817" s="2">
        <f ca="1">INDEX(Simulations!$A$1:$BK$2501, 1817, MATCH("ExitMultiple", Simulations!$A$1:$BK$1, 0))</f>
        <v>8.0284060715417258</v>
      </c>
      <c r="C1817" s="2">
        <f ca="1">INDEX(Simulations!$A$1:$BK$2501, 1817, MATCH("RevCAGR", Simulations!$A$1:$BK$1, 0))</f>
        <v>6.3676396694195975E-2</v>
      </c>
      <c r="D1817" s="2">
        <f ca="1">INDEX(Simulations!$A$1:$BK$2501, 1817, MATCH("SynMargin", Simulations!$A$1:$BK$1, 0))</f>
        <v>0</v>
      </c>
      <c r="E1817" s="2">
        <f ca="1">INDEX(Simulations!$A$1:$BK$2501, 1817, MATCH("Yr1Shock", Simulations!$A$1:$BK$1, 0))</f>
        <v>-1.8537072343057279E-2</v>
      </c>
    </row>
    <row r="1818" spans="1:5" x14ac:dyDescent="0.3">
      <c r="A1818" s="2">
        <f ca="1">INDEX(Simulations!$A$1:$BK$2501, 1818, MATCH("PurchaseMultiple", Simulations!$A$1:$BK$1, 0))</f>
        <v>6.8921624196827027</v>
      </c>
      <c r="B1818" s="2">
        <f ca="1">INDEX(Simulations!$A$1:$BK$2501, 1818, MATCH("ExitMultiple", Simulations!$A$1:$BK$1, 0))</f>
        <v>8.3908039865359907</v>
      </c>
      <c r="C1818" s="2">
        <f ca="1">INDEX(Simulations!$A$1:$BK$2501, 1818, MATCH("RevCAGR", Simulations!$A$1:$BK$1, 0))</f>
        <v>1.4235047141907629E-2</v>
      </c>
      <c r="D1818" s="2">
        <f ca="1">INDEX(Simulations!$A$1:$BK$2501, 1818, MATCH("SynMargin", Simulations!$A$1:$BK$1, 0))</f>
        <v>7.1227010227398729E-3</v>
      </c>
      <c r="E1818" s="2">
        <f ca="1">INDEX(Simulations!$A$1:$BK$2501, 1818, MATCH("Yr1Shock", Simulations!$A$1:$BK$1, 0))</f>
        <v>-7.1000579347635321E-3</v>
      </c>
    </row>
    <row r="1819" spans="1:5" x14ac:dyDescent="0.3">
      <c r="A1819" s="2">
        <f ca="1">INDEX(Simulations!$A$1:$BK$2501, 1819, MATCH("PurchaseMultiple", Simulations!$A$1:$BK$1, 0))</f>
        <v>6.7444714547383589</v>
      </c>
      <c r="B1819" s="2">
        <f ca="1">INDEX(Simulations!$A$1:$BK$2501, 1819, MATCH("ExitMultiple", Simulations!$A$1:$BK$1, 0))</f>
        <v>7.3840588402947711</v>
      </c>
      <c r="C1819" s="2">
        <f ca="1">INDEX(Simulations!$A$1:$BK$2501, 1819, MATCH("RevCAGR", Simulations!$A$1:$BK$1, 0))</f>
        <v>7.7271923356396488E-2</v>
      </c>
      <c r="D1819" s="2">
        <f ca="1">INDEX(Simulations!$A$1:$BK$2501, 1819, MATCH("SynMargin", Simulations!$A$1:$BK$1, 0))</f>
        <v>5.3482038930475475E-3</v>
      </c>
      <c r="E1819" s="2">
        <f ca="1">INDEX(Simulations!$A$1:$BK$2501, 1819, MATCH("Yr1Shock", Simulations!$A$1:$BK$1, 0))</f>
        <v>3.0005886881015655E-2</v>
      </c>
    </row>
    <row r="1820" spans="1:5" x14ac:dyDescent="0.3">
      <c r="A1820" s="2">
        <f ca="1">INDEX(Simulations!$A$1:$BK$2501, 1820, MATCH("PurchaseMultiple", Simulations!$A$1:$BK$1, 0))</f>
        <v>6.3882659582204795</v>
      </c>
      <c r="B1820" s="2">
        <f ca="1">INDEX(Simulations!$A$1:$BK$2501, 1820, MATCH("ExitMultiple", Simulations!$A$1:$BK$1, 0))</f>
        <v>7.3256891876577273</v>
      </c>
      <c r="C1820" s="2">
        <f ca="1">INDEX(Simulations!$A$1:$BK$2501, 1820, MATCH("RevCAGR", Simulations!$A$1:$BK$1, 0))</f>
        <v>4.9358697179253563E-2</v>
      </c>
      <c r="D1820" s="2">
        <f ca="1">INDEX(Simulations!$A$1:$BK$2501, 1820, MATCH("SynMargin", Simulations!$A$1:$BK$1, 0))</f>
        <v>3.7874191649402023E-3</v>
      </c>
      <c r="E1820" s="2">
        <f ca="1">INDEX(Simulations!$A$1:$BK$2501, 1820, MATCH("Yr1Shock", Simulations!$A$1:$BK$1, 0))</f>
        <v>-4.8941108003027443E-3</v>
      </c>
    </row>
    <row r="1821" spans="1:5" x14ac:dyDescent="0.3">
      <c r="A1821" s="2">
        <f ca="1">INDEX(Simulations!$A$1:$BK$2501, 1821, MATCH("PurchaseMultiple", Simulations!$A$1:$BK$1, 0))</f>
        <v>7.5056580871286211</v>
      </c>
      <c r="B1821" s="2">
        <f ca="1">INDEX(Simulations!$A$1:$BK$2501, 1821, MATCH("ExitMultiple", Simulations!$A$1:$BK$1, 0))</f>
        <v>8.076513773334927</v>
      </c>
      <c r="C1821" s="2">
        <f ca="1">INDEX(Simulations!$A$1:$BK$2501, 1821, MATCH("RevCAGR", Simulations!$A$1:$BK$1, 0))</f>
        <v>0.10942658217730564</v>
      </c>
      <c r="D1821" s="2">
        <f ca="1">INDEX(Simulations!$A$1:$BK$2501, 1821, MATCH("SynMargin", Simulations!$A$1:$BK$1, 0))</f>
        <v>7.6544068572010869E-3</v>
      </c>
      <c r="E1821" s="2">
        <f ca="1">INDEX(Simulations!$A$1:$BK$2501, 1821, MATCH("Yr1Shock", Simulations!$A$1:$BK$1, 0))</f>
        <v>1.4430515168262608E-2</v>
      </c>
    </row>
    <row r="1822" spans="1:5" x14ac:dyDescent="0.3">
      <c r="A1822" s="2">
        <f ca="1">INDEX(Simulations!$A$1:$BK$2501, 1822, MATCH("PurchaseMultiple", Simulations!$A$1:$BK$1, 0))</f>
        <v>7.7203985499088059</v>
      </c>
      <c r="B1822" s="2">
        <f ca="1">INDEX(Simulations!$A$1:$BK$2501, 1822, MATCH("ExitMultiple", Simulations!$A$1:$BK$1, 0))</f>
        <v>7.6219786900585413</v>
      </c>
      <c r="C1822" s="2">
        <f ca="1">INDEX(Simulations!$A$1:$BK$2501, 1822, MATCH("RevCAGR", Simulations!$A$1:$BK$1, 0))</f>
        <v>6.9226865118310679E-2</v>
      </c>
      <c r="D1822" s="2">
        <f ca="1">INDEX(Simulations!$A$1:$BK$2501, 1822, MATCH("SynMargin", Simulations!$A$1:$BK$1, 0))</f>
        <v>1.7545777331399171E-2</v>
      </c>
      <c r="E1822" s="2">
        <f ca="1">INDEX(Simulations!$A$1:$BK$2501, 1822, MATCH("Yr1Shock", Simulations!$A$1:$BK$1, 0))</f>
        <v>-2.0334274215319651E-3</v>
      </c>
    </row>
    <row r="1823" spans="1:5" x14ac:dyDescent="0.3">
      <c r="A1823" s="2">
        <f ca="1">INDEX(Simulations!$A$1:$BK$2501, 1823, MATCH("PurchaseMultiple", Simulations!$A$1:$BK$1, 0))</f>
        <v>6.7082352299400823</v>
      </c>
      <c r="B1823" s="2">
        <f ca="1">INDEX(Simulations!$A$1:$BK$2501, 1823, MATCH("ExitMultiple", Simulations!$A$1:$BK$1, 0))</f>
        <v>7.5193530528260952</v>
      </c>
      <c r="C1823" s="2">
        <f ca="1">INDEX(Simulations!$A$1:$BK$2501, 1823, MATCH("RevCAGR", Simulations!$A$1:$BK$1, 0))</f>
        <v>4.8688138122594767E-2</v>
      </c>
      <c r="D1823" s="2">
        <f ca="1">INDEX(Simulations!$A$1:$BK$2501, 1823, MATCH("SynMargin", Simulations!$A$1:$BK$1, 0))</f>
        <v>1.462534339288583E-2</v>
      </c>
      <c r="E1823" s="2">
        <f ca="1">INDEX(Simulations!$A$1:$BK$2501, 1823, MATCH("Yr1Shock", Simulations!$A$1:$BK$1, 0))</f>
        <v>7.374015609800234E-3</v>
      </c>
    </row>
    <row r="1824" spans="1:5" x14ac:dyDescent="0.3">
      <c r="A1824" s="2">
        <f ca="1">INDEX(Simulations!$A$1:$BK$2501, 1824, MATCH("PurchaseMultiple", Simulations!$A$1:$BK$1, 0))</f>
        <v>7.8025995089111673</v>
      </c>
      <c r="B1824" s="2">
        <f ca="1">INDEX(Simulations!$A$1:$BK$2501, 1824, MATCH("ExitMultiple", Simulations!$A$1:$BK$1, 0))</f>
        <v>6.7836966686140219</v>
      </c>
      <c r="C1824" s="2">
        <f ca="1">INDEX(Simulations!$A$1:$BK$2501, 1824, MATCH("RevCAGR", Simulations!$A$1:$BK$1, 0))</f>
        <v>7.9570092407315635E-2</v>
      </c>
      <c r="D1824" s="2">
        <f ca="1">INDEX(Simulations!$A$1:$BK$2501, 1824, MATCH("SynMargin", Simulations!$A$1:$BK$1, 0))</f>
        <v>9.0612846510821268E-3</v>
      </c>
      <c r="E1824" s="2">
        <f ca="1">INDEX(Simulations!$A$1:$BK$2501, 1824, MATCH("Yr1Shock", Simulations!$A$1:$BK$1, 0))</f>
        <v>-3.1079007621771893E-2</v>
      </c>
    </row>
    <row r="1825" spans="1:5" x14ac:dyDescent="0.3">
      <c r="A1825" s="2">
        <f ca="1">INDEX(Simulations!$A$1:$BK$2501, 1825, MATCH("PurchaseMultiple", Simulations!$A$1:$BK$1, 0))</f>
        <v>6.9065974991601831</v>
      </c>
      <c r="B1825" s="2">
        <f ca="1">INDEX(Simulations!$A$1:$BK$2501, 1825, MATCH("ExitMultiple", Simulations!$A$1:$BK$1, 0))</f>
        <v>7.6919129628258593</v>
      </c>
      <c r="C1825" s="2">
        <f ca="1">INDEX(Simulations!$A$1:$BK$2501, 1825, MATCH("RevCAGR", Simulations!$A$1:$BK$1, 0))</f>
        <v>0.10197290686588902</v>
      </c>
      <c r="D1825" s="2">
        <f ca="1">INDEX(Simulations!$A$1:$BK$2501, 1825, MATCH("SynMargin", Simulations!$A$1:$BK$1, 0))</f>
        <v>9.531137179175685E-3</v>
      </c>
      <c r="E1825" s="2">
        <f ca="1">INDEX(Simulations!$A$1:$BK$2501, 1825, MATCH("Yr1Shock", Simulations!$A$1:$BK$1, 0))</f>
        <v>-2.038464795064945E-2</v>
      </c>
    </row>
    <row r="1826" spans="1:5" x14ac:dyDescent="0.3">
      <c r="A1826" s="2">
        <f ca="1">INDEX(Simulations!$A$1:$BK$2501, 1826, MATCH("PurchaseMultiple", Simulations!$A$1:$BK$1, 0))</f>
        <v>7.2800866646821945</v>
      </c>
      <c r="B1826" s="2">
        <f ca="1">INDEX(Simulations!$A$1:$BK$2501, 1826, MATCH("ExitMultiple", Simulations!$A$1:$BK$1, 0))</f>
        <v>7.7857555686038928</v>
      </c>
      <c r="C1826" s="2">
        <f ca="1">INDEX(Simulations!$A$1:$BK$2501, 1826, MATCH("RevCAGR", Simulations!$A$1:$BK$1, 0))</f>
        <v>-5.6239896902912437E-3</v>
      </c>
      <c r="D1826" s="2">
        <f ca="1">INDEX(Simulations!$A$1:$BK$2501, 1826, MATCH("SynMargin", Simulations!$A$1:$BK$1, 0))</f>
        <v>1.6443963922446007E-3</v>
      </c>
      <c r="E1826" s="2">
        <f ca="1">INDEX(Simulations!$A$1:$BK$2501, 1826, MATCH("Yr1Shock", Simulations!$A$1:$BK$1, 0))</f>
        <v>9.3223167216601038E-3</v>
      </c>
    </row>
    <row r="1827" spans="1:5" x14ac:dyDescent="0.3">
      <c r="A1827" s="2">
        <f ca="1">INDEX(Simulations!$A$1:$BK$2501, 1827, MATCH("PurchaseMultiple", Simulations!$A$1:$BK$1, 0))</f>
        <v>6.7811281602236422</v>
      </c>
      <c r="B1827" s="2">
        <f ca="1">INDEX(Simulations!$A$1:$BK$2501, 1827, MATCH("ExitMultiple", Simulations!$A$1:$BK$1, 0))</f>
        <v>7.9543241903688511</v>
      </c>
      <c r="C1827" s="2">
        <f ca="1">INDEX(Simulations!$A$1:$BK$2501, 1827, MATCH("RevCAGR", Simulations!$A$1:$BK$1, 0))</f>
        <v>4.7122447385748847E-2</v>
      </c>
      <c r="D1827" s="2">
        <f ca="1">INDEX(Simulations!$A$1:$BK$2501, 1827, MATCH("SynMargin", Simulations!$A$1:$BK$1, 0))</f>
        <v>9.5833147342136802E-3</v>
      </c>
      <c r="E1827" s="2">
        <f ca="1">INDEX(Simulations!$A$1:$BK$2501, 1827, MATCH("Yr1Shock", Simulations!$A$1:$BK$1, 0))</f>
        <v>-2.3499926471436994E-2</v>
      </c>
    </row>
    <row r="1828" spans="1:5" x14ac:dyDescent="0.3">
      <c r="A1828" s="2">
        <f ca="1">INDEX(Simulations!$A$1:$BK$2501, 1828, MATCH("PurchaseMultiple", Simulations!$A$1:$BK$1, 0))</f>
        <v>7.5735360341342961</v>
      </c>
      <c r="B1828" s="2">
        <f ca="1">INDEX(Simulations!$A$1:$BK$2501, 1828, MATCH("ExitMultiple", Simulations!$A$1:$BK$1, 0))</f>
        <v>8.1076930807657863</v>
      </c>
      <c r="C1828" s="2">
        <f ca="1">INDEX(Simulations!$A$1:$BK$2501, 1828, MATCH("RevCAGR", Simulations!$A$1:$BK$1, 0))</f>
        <v>5.4240820490603359E-3</v>
      </c>
      <c r="D1828" s="2">
        <f ca="1">INDEX(Simulations!$A$1:$BK$2501, 1828, MATCH("SynMargin", Simulations!$A$1:$BK$1, 0))</f>
        <v>1.1219869332108211E-2</v>
      </c>
      <c r="E1828" s="2">
        <f ca="1">INDEX(Simulations!$A$1:$BK$2501, 1828, MATCH("Yr1Shock", Simulations!$A$1:$BK$1, 0))</f>
        <v>-1.2850163291899915E-2</v>
      </c>
    </row>
    <row r="1829" spans="1:5" x14ac:dyDescent="0.3">
      <c r="A1829" s="2">
        <f ca="1">INDEX(Simulations!$A$1:$BK$2501, 1829, MATCH("PurchaseMultiple", Simulations!$A$1:$BK$1, 0))</f>
        <v>7.1287579024791858</v>
      </c>
      <c r="B1829" s="2">
        <f ca="1">INDEX(Simulations!$A$1:$BK$2501, 1829, MATCH("ExitMultiple", Simulations!$A$1:$BK$1, 0))</f>
        <v>6.6985014789380042</v>
      </c>
      <c r="C1829" s="2">
        <f ca="1">INDEX(Simulations!$A$1:$BK$2501, 1829, MATCH("RevCAGR", Simulations!$A$1:$BK$1, 0))</f>
        <v>-6.3486998447679285E-3</v>
      </c>
      <c r="D1829" s="2">
        <f ca="1">INDEX(Simulations!$A$1:$BK$2501, 1829, MATCH("SynMargin", Simulations!$A$1:$BK$1, 0))</f>
        <v>8.5904459967468313E-3</v>
      </c>
      <c r="E1829" s="2">
        <f ca="1">INDEX(Simulations!$A$1:$BK$2501, 1829, MATCH("Yr1Shock", Simulations!$A$1:$BK$1, 0))</f>
        <v>-1.9490561849858937E-2</v>
      </c>
    </row>
    <row r="1830" spans="1:5" x14ac:dyDescent="0.3">
      <c r="A1830" s="2">
        <f ca="1">INDEX(Simulations!$A$1:$BK$2501, 1830, MATCH("PurchaseMultiple", Simulations!$A$1:$BK$1, 0))</f>
        <v>6.4723386798705569</v>
      </c>
      <c r="B1830" s="2">
        <f ca="1">INDEX(Simulations!$A$1:$BK$2501, 1830, MATCH("ExitMultiple", Simulations!$A$1:$BK$1, 0))</f>
        <v>7.6512814582697333</v>
      </c>
      <c r="C1830" s="2">
        <f ca="1">INDEX(Simulations!$A$1:$BK$2501, 1830, MATCH("RevCAGR", Simulations!$A$1:$BK$1, 0))</f>
        <v>4.171300942527395E-2</v>
      </c>
      <c r="D1830" s="2">
        <f ca="1">INDEX(Simulations!$A$1:$BK$2501, 1830, MATCH("SynMargin", Simulations!$A$1:$BK$1, 0))</f>
        <v>0</v>
      </c>
      <c r="E1830" s="2">
        <f ca="1">INDEX(Simulations!$A$1:$BK$2501, 1830, MATCH("Yr1Shock", Simulations!$A$1:$BK$1, 0))</f>
        <v>-2.4707427902117725E-2</v>
      </c>
    </row>
    <row r="1831" spans="1:5" x14ac:dyDescent="0.3">
      <c r="A1831" s="2">
        <f ca="1">INDEX(Simulations!$A$1:$BK$2501, 1831, MATCH("PurchaseMultiple", Simulations!$A$1:$BK$1, 0))</f>
        <v>6.9308017106202744</v>
      </c>
      <c r="B1831" s="2">
        <f ca="1">INDEX(Simulations!$A$1:$BK$2501, 1831, MATCH("ExitMultiple", Simulations!$A$1:$BK$1, 0))</f>
        <v>7.2424666875446464</v>
      </c>
      <c r="C1831" s="2">
        <f ca="1">INDEX(Simulations!$A$1:$BK$2501, 1831, MATCH("RevCAGR", Simulations!$A$1:$BK$1, 0))</f>
        <v>1.6650016416615124E-2</v>
      </c>
      <c r="D1831" s="2">
        <f ca="1">INDEX(Simulations!$A$1:$BK$2501, 1831, MATCH("SynMargin", Simulations!$A$1:$BK$1, 0))</f>
        <v>1.0123696889422502E-2</v>
      </c>
      <c r="E1831" s="2">
        <f ca="1">INDEX(Simulations!$A$1:$BK$2501, 1831, MATCH("Yr1Shock", Simulations!$A$1:$BK$1, 0))</f>
        <v>2.8693575176003162E-3</v>
      </c>
    </row>
    <row r="1832" spans="1:5" x14ac:dyDescent="0.3">
      <c r="A1832" s="2">
        <f ca="1">INDEX(Simulations!$A$1:$BK$2501, 1832, MATCH("PurchaseMultiple", Simulations!$A$1:$BK$1, 0))</f>
        <v>7.4771519793459884</v>
      </c>
      <c r="B1832" s="2">
        <f ca="1">INDEX(Simulations!$A$1:$BK$2501, 1832, MATCH("ExitMultiple", Simulations!$A$1:$BK$1, 0))</f>
        <v>7.8285929949457689</v>
      </c>
      <c r="C1832" s="2">
        <f ca="1">INDEX(Simulations!$A$1:$BK$2501, 1832, MATCH("RevCAGR", Simulations!$A$1:$BK$1, 0))</f>
        <v>3.1899376343289321E-2</v>
      </c>
      <c r="D1832" s="2">
        <f ca="1">INDEX(Simulations!$A$1:$BK$2501, 1832, MATCH("SynMargin", Simulations!$A$1:$BK$1, 0))</f>
        <v>1.0888417698312593E-2</v>
      </c>
      <c r="E1832" s="2">
        <f ca="1">INDEX(Simulations!$A$1:$BK$2501, 1832, MATCH("Yr1Shock", Simulations!$A$1:$BK$1, 0))</f>
        <v>1.3408031197248701E-2</v>
      </c>
    </row>
    <row r="1833" spans="1:5" x14ac:dyDescent="0.3">
      <c r="A1833" s="2">
        <f ca="1">INDEX(Simulations!$A$1:$BK$2501, 1833, MATCH("PurchaseMultiple", Simulations!$A$1:$BK$1, 0))</f>
        <v>7.4735712251877136</v>
      </c>
      <c r="B1833" s="2">
        <f ca="1">INDEX(Simulations!$A$1:$BK$2501, 1833, MATCH("ExitMultiple", Simulations!$A$1:$BK$1, 0))</f>
        <v>7.6751340212188524</v>
      </c>
      <c r="C1833" s="2">
        <f ca="1">INDEX(Simulations!$A$1:$BK$2501, 1833, MATCH("RevCAGR", Simulations!$A$1:$BK$1, 0))</f>
        <v>2.6195678556315327E-2</v>
      </c>
      <c r="D1833" s="2">
        <f ca="1">INDEX(Simulations!$A$1:$BK$2501, 1833, MATCH("SynMargin", Simulations!$A$1:$BK$1, 0))</f>
        <v>7.7160733230360549E-3</v>
      </c>
      <c r="E1833" s="2">
        <f ca="1">INDEX(Simulations!$A$1:$BK$2501, 1833, MATCH("Yr1Shock", Simulations!$A$1:$BK$1, 0))</f>
        <v>-3.4954861598833977E-3</v>
      </c>
    </row>
    <row r="1834" spans="1:5" x14ac:dyDescent="0.3">
      <c r="A1834" s="2">
        <f ca="1">INDEX(Simulations!$A$1:$BK$2501, 1834, MATCH("PurchaseMultiple", Simulations!$A$1:$BK$1, 0))</f>
        <v>7.0011357154963276</v>
      </c>
      <c r="B1834" s="2">
        <f ca="1">INDEX(Simulations!$A$1:$BK$2501, 1834, MATCH("ExitMultiple", Simulations!$A$1:$BK$1, 0))</f>
        <v>6.9020639072378644</v>
      </c>
      <c r="C1834" s="2">
        <f ca="1">INDEX(Simulations!$A$1:$BK$2501, 1834, MATCH("RevCAGR", Simulations!$A$1:$BK$1, 0))</f>
        <v>8.9890445665373221E-3</v>
      </c>
      <c r="D1834" s="2">
        <f ca="1">INDEX(Simulations!$A$1:$BK$2501, 1834, MATCH("SynMargin", Simulations!$A$1:$BK$1, 0))</f>
        <v>8.1381552334238959E-3</v>
      </c>
      <c r="E1834" s="2">
        <f ca="1">INDEX(Simulations!$A$1:$BK$2501, 1834, MATCH("Yr1Shock", Simulations!$A$1:$BK$1, 0))</f>
        <v>-1.3190924249469771E-2</v>
      </c>
    </row>
    <row r="1835" spans="1:5" x14ac:dyDescent="0.3">
      <c r="A1835" s="2">
        <f ca="1">INDEX(Simulations!$A$1:$BK$2501, 1835, MATCH("PurchaseMultiple", Simulations!$A$1:$BK$1, 0))</f>
        <v>7.723700065825347</v>
      </c>
      <c r="B1835" s="2">
        <f ca="1">INDEX(Simulations!$A$1:$BK$2501, 1835, MATCH("ExitMultiple", Simulations!$A$1:$BK$1, 0))</f>
        <v>7.5139022832083073</v>
      </c>
      <c r="C1835" s="2">
        <f ca="1">INDEX(Simulations!$A$1:$BK$2501, 1835, MATCH("RevCAGR", Simulations!$A$1:$BK$1, 0))</f>
        <v>5.7885770440171916E-2</v>
      </c>
      <c r="D1835" s="2">
        <f ca="1">INDEX(Simulations!$A$1:$BK$2501, 1835, MATCH("SynMargin", Simulations!$A$1:$BK$1, 0))</f>
        <v>1.0673550127673938E-2</v>
      </c>
      <c r="E1835" s="2">
        <f ca="1">INDEX(Simulations!$A$1:$BK$2501, 1835, MATCH("Yr1Shock", Simulations!$A$1:$BK$1, 0))</f>
        <v>2.2591035519670618E-2</v>
      </c>
    </row>
    <row r="1836" spans="1:5" x14ac:dyDescent="0.3">
      <c r="A1836" s="2">
        <f ca="1">INDEX(Simulations!$A$1:$BK$2501, 1836, MATCH("PurchaseMultiple", Simulations!$A$1:$BK$1, 0))</f>
        <v>7.0387696649811469</v>
      </c>
      <c r="B1836" s="2">
        <f ca="1">INDEX(Simulations!$A$1:$BK$2501, 1836, MATCH("ExitMultiple", Simulations!$A$1:$BK$1, 0))</f>
        <v>6.8707502683341461</v>
      </c>
      <c r="C1836" s="2">
        <f ca="1">INDEX(Simulations!$A$1:$BK$2501, 1836, MATCH("RevCAGR", Simulations!$A$1:$BK$1, 0))</f>
        <v>6.0517763638305154E-2</v>
      </c>
      <c r="D1836" s="2">
        <f ca="1">INDEX(Simulations!$A$1:$BK$2501, 1836, MATCH("SynMargin", Simulations!$A$1:$BK$1, 0))</f>
        <v>1.3327579618834368E-2</v>
      </c>
      <c r="E1836" s="2">
        <f ca="1">INDEX(Simulations!$A$1:$BK$2501, 1836, MATCH("Yr1Shock", Simulations!$A$1:$BK$1, 0))</f>
        <v>-7.6110514215587269E-3</v>
      </c>
    </row>
    <row r="1837" spans="1:5" x14ac:dyDescent="0.3">
      <c r="A1837" s="2">
        <f ca="1">INDEX(Simulations!$A$1:$BK$2501, 1837, MATCH("PurchaseMultiple", Simulations!$A$1:$BK$1, 0))</f>
        <v>6.8278200494488992</v>
      </c>
      <c r="B1837" s="2">
        <f ca="1">INDEX(Simulations!$A$1:$BK$2501, 1837, MATCH("ExitMultiple", Simulations!$A$1:$BK$1, 0))</f>
        <v>7.5818303842374917</v>
      </c>
      <c r="C1837" s="2">
        <f ca="1">INDEX(Simulations!$A$1:$BK$2501, 1837, MATCH("RevCAGR", Simulations!$A$1:$BK$1, 0))</f>
        <v>3.3655324293176483E-3</v>
      </c>
      <c r="D1837" s="2">
        <f ca="1">INDEX(Simulations!$A$1:$BK$2501, 1837, MATCH("SynMargin", Simulations!$A$1:$BK$1, 0))</f>
        <v>1.4329297979388152E-2</v>
      </c>
      <c r="E1837" s="2">
        <f ca="1">INDEX(Simulations!$A$1:$BK$2501, 1837, MATCH("Yr1Shock", Simulations!$A$1:$BK$1, 0))</f>
        <v>1.5310397770672564E-2</v>
      </c>
    </row>
    <row r="1838" spans="1:5" x14ac:dyDescent="0.3">
      <c r="A1838" s="2">
        <f ca="1">INDEX(Simulations!$A$1:$BK$2501, 1838, MATCH("PurchaseMultiple", Simulations!$A$1:$BK$1, 0))</f>
        <v>7.4980462954656737</v>
      </c>
      <c r="B1838" s="2">
        <f ca="1">INDEX(Simulations!$A$1:$BK$2501, 1838, MATCH("ExitMultiple", Simulations!$A$1:$BK$1, 0))</f>
        <v>7.9068456422438391</v>
      </c>
      <c r="C1838" s="2">
        <f ca="1">INDEX(Simulations!$A$1:$BK$2501, 1838, MATCH("RevCAGR", Simulations!$A$1:$BK$1, 0))</f>
        <v>4.5858923417185948E-2</v>
      </c>
      <c r="D1838" s="2">
        <f ca="1">INDEX(Simulations!$A$1:$BK$2501, 1838, MATCH("SynMargin", Simulations!$A$1:$BK$1, 0))</f>
        <v>1.1886372166566336E-2</v>
      </c>
      <c r="E1838" s="2">
        <f ca="1">INDEX(Simulations!$A$1:$BK$2501, 1838, MATCH("Yr1Shock", Simulations!$A$1:$BK$1, 0))</f>
        <v>7.0972103695930277E-3</v>
      </c>
    </row>
    <row r="1839" spans="1:5" x14ac:dyDescent="0.3">
      <c r="A1839" s="2">
        <f ca="1">INDEX(Simulations!$A$1:$BK$2501, 1839, MATCH("PurchaseMultiple", Simulations!$A$1:$BK$1, 0))</f>
        <v>7.354749205049429</v>
      </c>
      <c r="B1839" s="2">
        <f ca="1">INDEX(Simulations!$A$1:$BK$2501, 1839, MATCH("ExitMultiple", Simulations!$A$1:$BK$1, 0))</f>
        <v>7.1557774265698084</v>
      </c>
      <c r="C1839" s="2">
        <f ca="1">INDEX(Simulations!$A$1:$BK$2501, 1839, MATCH("RevCAGR", Simulations!$A$1:$BK$1, 0))</f>
        <v>1.3459350206922644E-2</v>
      </c>
      <c r="D1839" s="2">
        <f ca="1">INDEX(Simulations!$A$1:$BK$2501, 1839, MATCH("SynMargin", Simulations!$A$1:$BK$1, 0))</f>
        <v>1.4669581528823292E-2</v>
      </c>
      <c r="E1839" s="2">
        <f ca="1">INDEX(Simulations!$A$1:$BK$2501, 1839, MATCH("Yr1Shock", Simulations!$A$1:$BK$1, 0))</f>
        <v>-7.5034723320223304E-3</v>
      </c>
    </row>
    <row r="1840" spans="1:5" x14ac:dyDescent="0.3">
      <c r="A1840" s="2">
        <f ca="1">INDEX(Simulations!$A$1:$BK$2501, 1840, MATCH("PurchaseMultiple", Simulations!$A$1:$BK$1, 0))</f>
        <v>7.4130435431523214</v>
      </c>
      <c r="B1840" s="2">
        <f ca="1">INDEX(Simulations!$A$1:$BK$2501, 1840, MATCH("ExitMultiple", Simulations!$A$1:$BK$1, 0))</f>
        <v>7.1970663255057605</v>
      </c>
      <c r="C1840" s="2">
        <f ca="1">INDEX(Simulations!$A$1:$BK$2501, 1840, MATCH("RevCAGR", Simulations!$A$1:$BK$1, 0))</f>
        <v>3.984376167492075E-2</v>
      </c>
      <c r="D1840" s="2">
        <f ca="1">INDEX(Simulations!$A$1:$BK$2501, 1840, MATCH("SynMargin", Simulations!$A$1:$BK$1, 0))</f>
        <v>6.0578851604609126E-3</v>
      </c>
      <c r="E1840" s="2">
        <f ca="1">INDEX(Simulations!$A$1:$BK$2501, 1840, MATCH("Yr1Shock", Simulations!$A$1:$BK$1, 0))</f>
        <v>-9.9562072279206631E-3</v>
      </c>
    </row>
    <row r="1841" spans="1:5" x14ac:dyDescent="0.3">
      <c r="A1841" s="2">
        <f ca="1">INDEX(Simulations!$A$1:$BK$2501, 1841, MATCH("PurchaseMultiple", Simulations!$A$1:$BK$1, 0))</f>
        <v>7.0322731126670366</v>
      </c>
      <c r="B1841" s="2">
        <f ca="1">INDEX(Simulations!$A$1:$BK$2501, 1841, MATCH("ExitMultiple", Simulations!$A$1:$BK$1, 0))</f>
        <v>7.9446076018794649</v>
      </c>
      <c r="C1841" s="2">
        <f ca="1">INDEX(Simulations!$A$1:$BK$2501, 1841, MATCH("RevCAGR", Simulations!$A$1:$BK$1, 0))</f>
        <v>6.9988602404317868E-2</v>
      </c>
      <c r="D1841" s="2">
        <f ca="1">INDEX(Simulations!$A$1:$BK$2501, 1841, MATCH("SynMargin", Simulations!$A$1:$BK$1, 0))</f>
        <v>1.7408397495406517E-2</v>
      </c>
      <c r="E1841" s="2">
        <f ca="1">INDEX(Simulations!$A$1:$BK$2501, 1841, MATCH("Yr1Shock", Simulations!$A$1:$BK$1, 0))</f>
        <v>-1.2114028500692341E-3</v>
      </c>
    </row>
    <row r="1842" spans="1:5" x14ac:dyDescent="0.3">
      <c r="A1842" s="2">
        <f ca="1">INDEX(Simulations!$A$1:$BK$2501, 1842, MATCH("PurchaseMultiple", Simulations!$A$1:$BK$1, 0))</f>
        <v>7.2413654721058238</v>
      </c>
      <c r="B1842" s="2">
        <f ca="1">INDEX(Simulations!$A$1:$BK$2501, 1842, MATCH("ExitMultiple", Simulations!$A$1:$BK$1, 0))</f>
        <v>7.471058296554574</v>
      </c>
      <c r="C1842" s="2">
        <f ca="1">INDEX(Simulations!$A$1:$BK$2501, 1842, MATCH("RevCAGR", Simulations!$A$1:$BK$1, 0))</f>
        <v>3.6845705557973021E-2</v>
      </c>
      <c r="D1842" s="2">
        <f ca="1">INDEX(Simulations!$A$1:$BK$2501, 1842, MATCH("SynMargin", Simulations!$A$1:$BK$1, 0))</f>
        <v>9.6657741879769016E-3</v>
      </c>
      <c r="E1842" s="2">
        <f ca="1">INDEX(Simulations!$A$1:$BK$2501, 1842, MATCH("Yr1Shock", Simulations!$A$1:$BK$1, 0))</f>
        <v>1.3515287936437716E-2</v>
      </c>
    </row>
    <row r="1843" spans="1:5" x14ac:dyDescent="0.3">
      <c r="A1843" s="2">
        <f ca="1">INDEX(Simulations!$A$1:$BK$2501, 1843, MATCH("PurchaseMultiple", Simulations!$A$1:$BK$1, 0))</f>
        <v>7.1756330511356339</v>
      </c>
      <c r="B1843" s="2">
        <f ca="1">INDEX(Simulations!$A$1:$BK$2501, 1843, MATCH("ExitMultiple", Simulations!$A$1:$BK$1, 0))</f>
        <v>6.8133161538042897</v>
      </c>
      <c r="C1843" s="2">
        <f ca="1">INDEX(Simulations!$A$1:$BK$2501, 1843, MATCH("RevCAGR", Simulations!$A$1:$BK$1, 0))</f>
        <v>2.9245442984048187E-2</v>
      </c>
      <c r="D1843" s="2">
        <f ca="1">INDEX(Simulations!$A$1:$BK$2501, 1843, MATCH("SynMargin", Simulations!$A$1:$BK$1, 0))</f>
        <v>5.1887638985781579E-3</v>
      </c>
      <c r="E1843" s="2">
        <f ca="1">INDEX(Simulations!$A$1:$BK$2501, 1843, MATCH("Yr1Shock", Simulations!$A$1:$BK$1, 0))</f>
        <v>2.3630162907491517E-3</v>
      </c>
    </row>
    <row r="1844" spans="1:5" x14ac:dyDescent="0.3">
      <c r="A1844" s="2">
        <f ca="1">INDEX(Simulations!$A$1:$BK$2501, 1844, MATCH("PurchaseMultiple", Simulations!$A$1:$BK$1, 0))</f>
        <v>7.3609407006461911</v>
      </c>
      <c r="B1844" s="2">
        <f ca="1">INDEX(Simulations!$A$1:$BK$2501, 1844, MATCH("ExitMultiple", Simulations!$A$1:$BK$1, 0))</f>
        <v>7.2469297665356915</v>
      </c>
      <c r="C1844" s="2">
        <f ca="1">INDEX(Simulations!$A$1:$BK$2501, 1844, MATCH("RevCAGR", Simulations!$A$1:$BK$1, 0))</f>
        <v>3.7391445796901478E-2</v>
      </c>
      <c r="D1844" s="2">
        <f ca="1">INDEX(Simulations!$A$1:$BK$2501, 1844, MATCH("SynMargin", Simulations!$A$1:$BK$1, 0))</f>
        <v>1.3499776335995865E-2</v>
      </c>
      <c r="E1844" s="2">
        <f ca="1">INDEX(Simulations!$A$1:$BK$2501, 1844, MATCH("Yr1Shock", Simulations!$A$1:$BK$1, 0))</f>
        <v>1.1057615559600206E-2</v>
      </c>
    </row>
    <row r="1845" spans="1:5" x14ac:dyDescent="0.3">
      <c r="A1845" s="2">
        <f ca="1">INDEX(Simulations!$A$1:$BK$2501, 1845, MATCH("PurchaseMultiple", Simulations!$A$1:$BK$1, 0))</f>
        <v>6.6852375711736709</v>
      </c>
      <c r="B1845" s="2">
        <f ca="1">INDEX(Simulations!$A$1:$BK$2501, 1845, MATCH("ExitMultiple", Simulations!$A$1:$BK$1, 0))</f>
        <v>7.615838475144427</v>
      </c>
      <c r="C1845" s="2">
        <f ca="1">INDEX(Simulations!$A$1:$BK$2501, 1845, MATCH("RevCAGR", Simulations!$A$1:$BK$1, 0))</f>
        <v>-6.5475044878271979E-3</v>
      </c>
      <c r="D1845" s="2">
        <f ca="1">INDEX(Simulations!$A$1:$BK$2501, 1845, MATCH("SynMargin", Simulations!$A$1:$BK$1, 0))</f>
        <v>6.1056866278938271E-3</v>
      </c>
      <c r="E1845" s="2">
        <f ca="1">INDEX(Simulations!$A$1:$BK$2501, 1845, MATCH("Yr1Shock", Simulations!$A$1:$BK$1, 0))</f>
        <v>-2.1257758917837101E-3</v>
      </c>
    </row>
    <row r="1846" spans="1:5" x14ac:dyDescent="0.3">
      <c r="A1846" s="2">
        <f ca="1">INDEX(Simulations!$A$1:$BK$2501, 1846, MATCH("PurchaseMultiple", Simulations!$A$1:$BK$1, 0))</f>
        <v>6.9891364749889791</v>
      </c>
      <c r="B1846" s="2">
        <f ca="1">INDEX(Simulations!$A$1:$BK$2501, 1846, MATCH("ExitMultiple", Simulations!$A$1:$BK$1, 0))</f>
        <v>7.566023672198666</v>
      </c>
      <c r="C1846" s="2">
        <f ca="1">INDEX(Simulations!$A$1:$BK$2501, 1846, MATCH("RevCAGR", Simulations!$A$1:$BK$1, 0))</f>
        <v>6.7227613848672693E-2</v>
      </c>
      <c r="D1846" s="2">
        <f ca="1">INDEX(Simulations!$A$1:$BK$2501, 1846, MATCH("SynMargin", Simulations!$A$1:$BK$1, 0))</f>
        <v>4.2105837882428108E-3</v>
      </c>
      <c r="E1846" s="2">
        <f ca="1">INDEX(Simulations!$A$1:$BK$2501, 1846, MATCH("Yr1Shock", Simulations!$A$1:$BK$1, 0))</f>
        <v>-1.2651282028625309E-2</v>
      </c>
    </row>
    <row r="1847" spans="1:5" x14ac:dyDescent="0.3">
      <c r="A1847" s="2">
        <f ca="1">INDEX(Simulations!$A$1:$BK$2501, 1847, MATCH("PurchaseMultiple", Simulations!$A$1:$BK$1, 0))</f>
        <v>6.9138459044671281</v>
      </c>
      <c r="B1847" s="2">
        <f ca="1">INDEX(Simulations!$A$1:$BK$2501, 1847, MATCH("ExitMultiple", Simulations!$A$1:$BK$1, 0))</f>
        <v>7.7481440026347101</v>
      </c>
      <c r="C1847" s="2">
        <f ca="1">INDEX(Simulations!$A$1:$BK$2501, 1847, MATCH("RevCAGR", Simulations!$A$1:$BK$1, 0))</f>
        <v>2.2089857624075844E-2</v>
      </c>
      <c r="D1847" s="2">
        <f ca="1">INDEX(Simulations!$A$1:$BK$2501, 1847, MATCH("SynMargin", Simulations!$A$1:$BK$1, 0))</f>
        <v>2.4286203848640744E-2</v>
      </c>
      <c r="E1847" s="2">
        <f ca="1">INDEX(Simulations!$A$1:$BK$2501, 1847, MATCH("Yr1Shock", Simulations!$A$1:$BK$1, 0))</f>
        <v>3.3472070309933377E-3</v>
      </c>
    </row>
    <row r="1848" spans="1:5" x14ac:dyDescent="0.3">
      <c r="A1848" s="2">
        <f ca="1">INDEX(Simulations!$A$1:$BK$2501, 1848, MATCH("PurchaseMultiple", Simulations!$A$1:$BK$1, 0))</f>
        <v>6.3648647703567471</v>
      </c>
      <c r="B1848" s="2">
        <f ca="1">INDEX(Simulations!$A$1:$BK$2501, 1848, MATCH("ExitMultiple", Simulations!$A$1:$BK$1, 0))</f>
        <v>8.1755538897139886</v>
      </c>
      <c r="C1848" s="2">
        <f ca="1">INDEX(Simulations!$A$1:$BK$2501, 1848, MATCH("RevCAGR", Simulations!$A$1:$BK$1, 0))</f>
        <v>1.5609424570775719E-2</v>
      </c>
      <c r="D1848" s="2">
        <f ca="1">INDEX(Simulations!$A$1:$BK$2501, 1848, MATCH("SynMargin", Simulations!$A$1:$BK$1, 0))</f>
        <v>1.0292760542860928E-2</v>
      </c>
      <c r="E1848" s="2">
        <f ca="1">INDEX(Simulations!$A$1:$BK$2501, 1848, MATCH("Yr1Shock", Simulations!$A$1:$BK$1, 0))</f>
        <v>-3.9587791847498471E-2</v>
      </c>
    </row>
    <row r="1849" spans="1:5" x14ac:dyDescent="0.3">
      <c r="A1849" s="2">
        <f ca="1">INDEX(Simulations!$A$1:$BK$2501, 1849, MATCH("PurchaseMultiple", Simulations!$A$1:$BK$1, 0))</f>
        <v>6.8512401682503619</v>
      </c>
      <c r="B1849" s="2">
        <f ca="1">INDEX(Simulations!$A$1:$BK$2501, 1849, MATCH("ExitMultiple", Simulations!$A$1:$BK$1, 0))</f>
        <v>8.0432848752727999</v>
      </c>
      <c r="C1849" s="2">
        <f ca="1">INDEX(Simulations!$A$1:$BK$2501, 1849, MATCH("RevCAGR", Simulations!$A$1:$BK$1, 0))</f>
        <v>7.4666034665418796E-2</v>
      </c>
      <c r="D1849" s="2">
        <f ca="1">INDEX(Simulations!$A$1:$BK$2501, 1849, MATCH("SynMargin", Simulations!$A$1:$BK$1, 0))</f>
        <v>4.9267868292399639E-3</v>
      </c>
      <c r="E1849" s="2">
        <f ca="1">INDEX(Simulations!$A$1:$BK$2501, 1849, MATCH("Yr1Shock", Simulations!$A$1:$BK$1, 0))</f>
        <v>-2.1087281174250409E-2</v>
      </c>
    </row>
    <row r="1850" spans="1:5" x14ac:dyDescent="0.3">
      <c r="A1850" s="2">
        <f ca="1">INDEX(Simulations!$A$1:$BK$2501, 1850, MATCH("PurchaseMultiple", Simulations!$A$1:$BK$1, 0))</f>
        <v>6.9931736492737535</v>
      </c>
      <c r="B1850" s="2">
        <f ca="1">INDEX(Simulations!$A$1:$BK$2501, 1850, MATCH("ExitMultiple", Simulations!$A$1:$BK$1, 0))</f>
        <v>7.6473653980627923</v>
      </c>
      <c r="C1850" s="2">
        <f ca="1">INDEX(Simulations!$A$1:$BK$2501, 1850, MATCH("RevCAGR", Simulations!$A$1:$BK$1, 0))</f>
        <v>4.2947469574506569E-2</v>
      </c>
      <c r="D1850" s="2">
        <f ca="1">INDEX(Simulations!$A$1:$BK$2501, 1850, MATCH("SynMargin", Simulations!$A$1:$BK$1, 0))</f>
        <v>1.6307055915879432E-2</v>
      </c>
      <c r="E1850" s="2">
        <f ca="1">INDEX(Simulations!$A$1:$BK$2501, 1850, MATCH("Yr1Shock", Simulations!$A$1:$BK$1, 0))</f>
        <v>3.7767808870302524E-2</v>
      </c>
    </row>
    <row r="1851" spans="1:5" x14ac:dyDescent="0.3">
      <c r="A1851" s="2">
        <f ca="1">INDEX(Simulations!$A$1:$BK$2501, 1851, MATCH("PurchaseMultiple", Simulations!$A$1:$BK$1, 0))</f>
        <v>7.1529134075303631</v>
      </c>
      <c r="B1851" s="2">
        <f ca="1">INDEX(Simulations!$A$1:$BK$2501, 1851, MATCH("ExitMultiple", Simulations!$A$1:$BK$1, 0))</f>
        <v>6.7259914034221771</v>
      </c>
      <c r="C1851" s="2">
        <f ca="1">INDEX(Simulations!$A$1:$BK$2501, 1851, MATCH("RevCAGR", Simulations!$A$1:$BK$1, 0))</f>
        <v>-1.5722654670645368E-2</v>
      </c>
      <c r="D1851" s="2">
        <f ca="1">INDEX(Simulations!$A$1:$BK$2501, 1851, MATCH("SynMargin", Simulations!$A$1:$BK$1, 0))</f>
        <v>1.0510127728387797E-2</v>
      </c>
      <c r="E1851" s="2">
        <f ca="1">INDEX(Simulations!$A$1:$BK$2501, 1851, MATCH("Yr1Shock", Simulations!$A$1:$BK$1, 0))</f>
        <v>-2.425761721075801E-2</v>
      </c>
    </row>
    <row r="1852" spans="1:5" x14ac:dyDescent="0.3">
      <c r="A1852" s="2">
        <f ca="1">INDEX(Simulations!$A$1:$BK$2501, 1852, MATCH("PurchaseMultiple", Simulations!$A$1:$BK$1, 0))</f>
        <v>6.3704483655163013</v>
      </c>
      <c r="B1852" s="2">
        <f ca="1">INDEX(Simulations!$A$1:$BK$2501, 1852, MATCH("ExitMultiple", Simulations!$A$1:$BK$1, 0))</f>
        <v>7.8263438434193855</v>
      </c>
      <c r="C1852" s="2">
        <f ca="1">INDEX(Simulations!$A$1:$BK$2501, 1852, MATCH("RevCAGR", Simulations!$A$1:$BK$1, 0))</f>
        <v>7.0041440883884643E-2</v>
      </c>
      <c r="D1852" s="2">
        <f ca="1">INDEX(Simulations!$A$1:$BK$2501, 1852, MATCH("SynMargin", Simulations!$A$1:$BK$1, 0))</f>
        <v>1.0553054022972259E-2</v>
      </c>
      <c r="E1852" s="2">
        <f ca="1">INDEX(Simulations!$A$1:$BK$2501, 1852, MATCH("Yr1Shock", Simulations!$A$1:$BK$1, 0))</f>
        <v>-1.10800581451916E-3</v>
      </c>
    </row>
    <row r="1853" spans="1:5" x14ac:dyDescent="0.3">
      <c r="A1853" s="2">
        <f ca="1">INDEX(Simulations!$A$1:$BK$2501, 1853, MATCH("PurchaseMultiple", Simulations!$A$1:$BK$1, 0))</f>
        <v>7.6571138411203901</v>
      </c>
      <c r="B1853" s="2">
        <f ca="1">INDEX(Simulations!$A$1:$BK$2501, 1853, MATCH("ExitMultiple", Simulations!$A$1:$BK$1, 0))</f>
        <v>7.569239461041672</v>
      </c>
      <c r="C1853" s="2">
        <f ca="1">INDEX(Simulations!$A$1:$BK$2501, 1853, MATCH("RevCAGR", Simulations!$A$1:$BK$1, 0))</f>
        <v>1.7225266747513641E-2</v>
      </c>
      <c r="D1853" s="2">
        <f ca="1">INDEX(Simulations!$A$1:$BK$2501, 1853, MATCH("SynMargin", Simulations!$A$1:$BK$1, 0))</f>
        <v>5.9369131877086726E-3</v>
      </c>
      <c r="E1853" s="2">
        <f ca="1">INDEX(Simulations!$A$1:$BK$2501, 1853, MATCH("Yr1Shock", Simulations!$A$1:$BK$1, 0))</f>
        <v>-2.3143198248073045E-2</v>
      </c>
    </row>
    <row r="1854" spans="1:5" x14ac:dyDescent="0.3">
      <c r="A1854" s="2">
        <f ca="1">INDEX(Simulations!$A$1:$BK$2501, 1854, MATCH("PurchaseMultiple", Simulations!$A$1:$BK$1, 0))</f>
        <v>6.7551392628358755</v>
      </c>
      <c r="B1854" s="2">
        <f ca="1">INDEX(Simulations!$A$1:$BK$2501, 1854, MATCH("ExitMultiple", Simulations!$A$1:$BK$1, 0))</f>
        <v>7.5283340261662905</v>
      </c>
      <c r="C1854" s="2">
        <f ca="1">INDEX(Simulations!$A$1:$BK$2501, 1854, MATCH("RevCAGR", Simulations!$A$1:$BK$1, 0))</f>
        <v>-1.2717112379943114E-2</v>
      </c>
      <c r="D1854" s="2">
        <f ca="1">INDEX(Simulations!$A$1:$BK$2501, 1854, MATCH("SynMargin", Simulations!$A$1:$BK$1, 0))</f>
        <v>4.3999229935491489E-3</v>
      </c>
      <c r="E1854" s="2">
        <f ca="1">INDEX(Simulations!$A$1:$BK$2501, 1854, MATCH("Yr1Shock", Simulations!$A$1:$BK$1, 0))</f>
        <v>6.9931258283645005E-3</v>
      </c>
    </row>
    <row r="1855" spans="1:5" x14ac:dyDescent="0.3">
      <c r="A1855" s="2">
        <f ca="1">INDEX(Simulations!$A$1:$BK$2501, 1855, MATCH("PurchaseMultiple", Simulations!$A$1:$BK$1, 0))</f>
        <v>6.5285876623650712</v>
      </c>
      <c r="B1855" s="2">
        <f ca="1">INDEX(Simulations!$A$1:$BK$2501, 1855, MATCH("ExitMultiple", Simulations!$A$1:$BK$1, 0))</f>
        <v>7.9284850500224193</v>
      </c>
      <c r="C1855" s="2">
        <f ca="1">INDEX(Simulations!$A$1:$BK$2501, 1855, MATCH("RevCAGR", Simulations!$A$1:$BK$1, 0))</f>
        <v>6.3531844164082446E-2</v>
      </c>
      <c r="D1855" s="2">
        <f ca="1">INDEX(Simulations!$A$1:$BK$2501, 1855, MATCH("SynMargin", Simulations!$A$1:$BK$1, 0))</f>
        <v>2.4482976602932457E-3</v>
      </c>
      <c r="E1855" s="2">
        <f ca="1">INDEX(Simulations!$A$1:$BK$2501, 1855, MATCH("Yr1Shock", Simulations!$A$1:$BK$1, 0))</f>
        <v>3.2805252742274131E-2</v>
      </c>
    </row>
    <row r="1856" spans="1:5" x14ac:dyDescent="0.3">
      <c r="A1856" s="2">
        <f ca="1">INDEX(Simulations!$A$1:$BK$2501, 1856, MATCH("PurchaseMultiple", Simulations!$A$1:$BK$1, 0))</f>
        <v>6.9496097476262229</v>
      </c>
      <c r="B1856" s="2">
        <f ca="1">INDEX(Simulations!$A$1:$BK$2501, 1856, MATCH("ExitMultiple", Simulations!$A$1:$BK$1, 0))</f>
        <v>7.9396129209222632</v>
      </c>
      <c r="C1856" s="2">
        <f ca="1">INDEX(Simulations!$A$1:$BK$2501, 1856, MATCH("RevCAGR", Simulations!$A$1:$BK$1, 0))</f>
        <v>6.8052013684082438E-2</v>
      </c>
      <c r="D1856" s="2">
        <f ca="1">INDEX(Simulations!$A$1:$BK$2501, 1856, MATCH("SynMargin", Simulations!$A$1:$BK$1, 0))</f>
        <v>8.3979155128980978E-3</v>
      </c>
      <c r="E1856" s="2">
        <f ca="1">INDEX(Simulations!$A$1:$BK$2501, 1856, MATCH("Yr1Shock", Simulations!$A$1:$BK$1, 0))</f>
        <v>-2.4284589929701852E-2</v>
      </c>
    </row>
    <row r="1857" spans="1:5" x14ac:dyDescent="0.3">
      <c r="A1857" s="2">
        <f ca="1">INDEX(Simulations!$A$1:$BK$2501, 1857, MATCH("PurchaseMultiple", Simulations!$A$1:$BK$1, 0))</f>
        <v>6.8292555181433476</v>
      </c>
      <c r="B1857" s="2">
        <f ca="1">INDEX(Simulations!$A$1:$BK$2501, 1857, MATCH("ExitMultiple", Simulations!$A$1:$BK$1, 0))</f>
        <v>7.1523606100106552</v>
      </c>
      <c r="C1857" s="2">
        <f ca="1">INDEX(Simulations!$A$1:$BK$2501, 1857, MATCH("RevCAGR", Simulations!$A$1:$BK$1, 0))</f>
        <v>5.1865755503535338E-2</v>
      </c>
      <c r="D1857" s="2">
        <f ca="1">INDEX(Simulations!$A$1:$BK$2501, 1857, MATCH("SynMargin", Simulations!$A$1:$BK$1, 0))</f>
        <v>9.3313715206484772E-3</v>
      </c>
      <c r="E1857" s="2">
        <f ca="1">INDEX(Simulations!$A$1:$BK$2501, 1857, MATCH("Yr1Shock", Simulations!$A$1:$BK$1, 0))</f>
        <v>-3.6992693442554287E-3</v>
      </c>
    </row>
    <row r="1858" spans="1:5" x14ac:dyDescent="0.3">
      <c r="A1858" s="2">
        <f ca="1">INDEX(Simulations!$A$1:$BK$2501, 1858, MATCH("PurchaseMultiple", Simulations!$A$1:$BK$1, 0))</f>
        <v>7.6139060509157686</v>
      </c>
      <c r="B1858" s="2">
        <f ca="1">INDEX(Simulations!$A$1:$BK$2501, 1858, MATCH("ExitMultiple", Simulations!$A$1:$BK$1, 0))</f>
        <v>7.3462898870787736</v>
      </c>
      <c r="C1858" s="2">
        <f ca="1">INDEX(Simulations!$A$1:$BK$2501, 1858, MATCH("RevCAGR", Simulations!$A$1:$BK$1, 0))</f>
        <v>2.7978170271864451E-2</v>
      </c>
      <c r="D1858" s="2">
        <f ca="1">INDEX(Simulations!$A$1:$BK$2501, 1858, MATCH("SynMargin", Simulations!$A$1:$BK$1, 0))</f>
        <v>8.007360113544703E-3</v>
      </c>
      <c r="E1858" s="2">
        <f ca="1">INDEX(Simulations!$A$1:$BK$2501, 1858, MATCH("Yr1Shock", Simulations!$A$1:$BK$1, 0))</f>
        <v>3.1149213477829341E-3</v>
      </c>
    </row>
    <row r="1859" spans="1:5" x14ac:dyDescent="0.3">
      <c r="A1859" s="2">
        <f ca="1">INDEX(Simulations!$A$1:$BK$2501, 1859, MATCH("PurchaseMultiple", Simulations!$A$1:$BK$1, 0))</f>
        <v>7.144509577560104</v>
      </c>
      <c r="B1859" s="2">
        <f ca="1">INDEX(Simulations!$A$1:$BK$2501, 1859, MATCH("ExitMultiple", Simulations!$A$1:$BK$1, 0))</f>
        <v>7.5602360759274108</v>
      </c>
      <c r="C1859" s="2">
        <f ca="1">INDEX(Simulations!$A$1:$BK$2501, 1859, MATCH("RevCAGR", Simulations!$A$1:$BK$1, 0))</f>
        <v>4.1300458597529073E-2</v>
      </c>
      <c r="D1859" s="2">
        <f ca="1">INDEX(Simulations!$A$1:$BK$2501, 1859, MATCH("SynMargin", Simulations!$A$1:$BK$1, 0))</f>
        <v>1.4247657530837197E-2</v>
      </c>
      <c r="E1859" s="2">
        <f ca="1">INDEX(Simulations!$A$1:$BK$2501, 1859, MATCH("Yr1Shock", Simulations!$A$1:$BK$1, 0))</f>
        <v>-2.9629010632354107E-2</v>
      </c>
    </row>
    <row r="1860" spans="1:5" x14ac:dyDescent="0.3">
      <c r="A1860" s="2">
        <f ca="1">INDEX(Simulations!$A$1:$BK$2501, 1860, MATCH("PurchaseMultiple", Simulations!$A$1:$BK$1, 0))</f>
        <v>6.7804122737544912</v>
      </c>
      <c r="B1860" s="2">
        <f ca="1">INDEX(Simulations!$A$1:$BK$2501, 1860, MATCH("ExitMultiple", Simulations!$A$1:$BK$1, 0))</f>
        <v>8.0829006729955744</v>
      </c>
      <c r="C1860" s="2">
        <f ca="1">INDEX(Simulations!$A$1:$BK$2501, 1860, MATCH("RevCAGR", Simulations!$A$1:$BK$1, 0))</f>
        <v>5.3592581415005336E-2</v>
      </c>
      <c r="D1860" s="2">
        <f ca="1">INDEX(Simulations!$A$1:$BK$2501, 1860, MATCH("SynMargin", Simulations!$A$1:$BK$1, 0))</f>
        <v>4.9257586504180533E-3</v>
      </c>
      <c r="E1860" s="2">
        <f ca="1">INDEX(Simulations!$A$1:$BK$2501, 1860, MATCH("Yr1Shock", Simulations!$A$1:$BK$1, 0))</f>
        <v>-7.3867563871926048E-3</v>
      </c>
    </row>
    <row r="1861" spans="1:5" x14ac:dyDescent="0.3">
      <c r="A1861" s="2">
        <f ca="1">INDEX(Simulations!$A$1:$BK$2501, 1861, MATCH("PurchaseMultiple", Simulations!$A$1:$BK$1, 0))</f>
        <v>7.6611555022689206</v>
      </c>
      <c r="B1861" s="2">
        <f ca="1">INDEX(Simulations!$A$1:$BK$2501, 1861, MATCH("ExitMultiple", Simulations!$A$1:$BK$1, 0))</f>
        <v>7.1107709440396771</v>
      </c>
      <c r="C1861" s="2">
        <f ca="1">INDEX(Simulations!$A$1:$BK$2501, 1861, MATCH("RevCAGR", Simulations!$A$1:$BK$1, 0))</f>
        <v>4.4985944366665774E-2</v>
      </c>
      <c r="D1861" s="2">
        <f ca="1">INDEX(Simulations!$A$1:$BK$2501, 1861, MATCH("SynMargin", Simulations!$A$1:$BK$1, 0))</f>
        <v>1.6392955378828015E-2</v>
      </c>
      <c r="E1861" s="2">
        <f ca="1">INDEX(Simulations!$A$1:$BK$2501, 1861, MATCH("Yr1Shock", Simulations!$A$1:$BK$1, 0))</f>
        <v>1.3905301631080008E-2</v>
      </c>
    </row>
    <row r="1862" spans="1:5" x14ac:dyDescent="0.3">
      <c r="A1862" s="2">
        <f ca="1">INDEX(Simulations!$A$1:$BK$2501, 1862, MATCH("PurchaseMultiple", Simulations!$A$1:$BK$1, 0))</f>
        <v>7.4513231126360928</v>
      </c>
      <c r="B1862" s="2">
        <f ca="1">INDEX(Simulations!$A$1:$BK$2501, 1862, MATCH("ExitMultiple", Simulations!$A$1:$BK$1, 0))</f>
        <v>7.4284959486563951</v>
      </c>
      <c r="C1862" s="2">
        <f ca="1">INDEX(Simulations!$A$1:$BK$2501, 1862, MATCH("RevCAGR", Simulations!$A$1:$BK$1, 0))</f>
        <v>3.6717577327409393E-2</v>
      </c>
      <c r="D1862" s="2">
        <f ca="1">INDEX(Simulations!$A$1:$BK$2501, 1862, MATCH("SynMargin", Simulations!$A$1:$BK$1, 0))</f>
        <v>5.9201225825226376E-3</v>
      </c>
      <c r="E1862" s="2">
        <f ca="1">INDEX(Simulations!$A$1:$BK$2501, 1862, MATCH("Yr1Shock", Simulations!$A$1:$BK$1, 0))</f>
        <v>1.3311238843123741E-2</v>
      </c>
    </row>
    <row r="1863" spans="1:5" x14ac:dyDescent="0.3">
      <c r="A1863" s="2">
        <f ca="1">INDEX(Simulations!$A$1:$BK$2501, 1863, MATCH("PurchaseMultiple", Simulations!$A$1:$BK$1, 0))</f>
        <v>7.4863257654582354</v>
      </c>
      <c r="B1863" s="2">
        <f ca="1">INDEX(Simulations!$A$1:$BK$2501, 1863, MATCH("ExitMultiple", Simulations!$A$1:$BK$1, 0))</f>
        <v>7.8096657960911404</v>
      </c>
      <c r="C1863" s="2">
        <f ca="1">INDEX(Simulations!$A$1:$BK$2501, 1863, MATCH("RevCAGR", Simulations!$A$1:$BK$1, 0))</f>
        <v>-1.5154714455367493E-2</v>
      </c>
      <c r="D1863" s="2">
        <f ca="1">INDEX(Simulations!$A$1:$BK$2501, 1863, MATCH("SynMargin", Simulations!$A$1:$BK$1, 0))</f>
        <v>1.3999739433489016E-2</v>
      </c>
      <c r="E1863" s="2">
        <f ca="1">INDEX(Simulations!$A$1:$BK$2501, 1863, MATCH("Yr1Shock", Simulations!$A$1:$BK$1, 0))</f>
        <v>-4.5330001591270793E-3</v>
      </c>
    </row>
    <row r="1864" spans="1:5" x14ac:dyDescent="0.3">
      <c r="A1864" s="2">
        <f ca="1">INDEX(Simulations!$A$1:$BK$2501, 1864, MATCH("PurchaseMultiple", Simulations!$A$1:$BK$1, 0))</f>
        <v>6.5883224578454129</v>
      </c>
      <c r="B1864" s="2">
        <f ca="1">INDEX(Simulations!$A$1:$BK$2501, 1864, MATCH("ExitMultiple", Simulations!$A$1:$BK$1, 0))</f>
        <v>7.6248289022712719</v>
      </c>
      <c r="C1864" s="2">
        <f ca="1">INDEX(Simulations!$A$1:$BK$2501, 1864, MATCH("RevCAGR", Simulations!$A$1:$BK$1, 0))</f>
        <v>4.3044473618802273E-2</v>
      </c>
      <c r="D1864" s="2">
        <f ca="1">INDEX(Simulations!$A$1:$BK$2501, 1864, MATCH("SynMargin", Simulations!$A$1:$BK$1, 0))</f>
        <v>6.8045402631475658E-3</v>
      </c>
      <c r="E1864" s="2">
        <f ca="1">INDEX(Simulations!$A$1:$BK$2501, 1864, MATCH("Yr1Shock", Simulations!$A$1:$BK$1, 0))</f>
        <v>1.4972866491126864E-2</v>
      </c>
    </row>
    <row r="1865" spans="1:5" x14ac:dyDescent="0.3">
      <c r="A1865" s="2">
        <f ca="1">INDEX(Simulations!$A$1:$BK$2501, 1865, MATCH("PurchaseMultiple", Simulations!$A$1:$BK$1, 0))</f>
        <v>7.9343105993830436</v>
      </c>
      <c r="B1865" s="2">
        <f ca="1">INDEX(Simulations!$A$1:$BK$2501, 1865, MATCH("ExitMultiple", Simulations!$A$1:$BK$1, 0))</f>
        <v>7.9131340256833438</v>
      </c>
      <c r="C1865" s="2">
        <f ca="1">INDEX(Simulations!$A$1:$BK$2501, 1865, MATCH("RevCAGR", Simulations!$A$1:$BK$1, 0))</f>
        <v>6.9920298592360333E-2</v>
      </c>
      <c r="D1865" s="2">
        <f ca="1">INDEX(Simulations!$A$1:$BK$2501, 1865, MATCH("SynMargin", Simulations!$A$1:$BK$1, 0))</f>
        <v>1.8875478678926902E-2</v>
      </c>
      <c r="E1865" s="2">
        <f ca="1">INDEX(Simulations!$A$1:$BK$2501, 1865, MATCH("Yr1Shock", Simulations!$A$1:$BK$1, 0))</f>
        <v>2.0962705485735686E-2</v>
      </c>
    </row>
    <row r="1866" spans="1:5" x14ac:dyDescent="0.3">
      <c r="A1866" s="2">
        <f ca="1">INDEX(Simulations!$A$1:$BK$2501, 1866, MATCH("PurchaseMultiple", Simulations!$A$1:$BK$1, 0))</f>
        <v>7.4221140867439122</v>
      </c>
      <c r="B1866" s="2">
        <f ca="1">INDEX(Simulations!$A$1:$BK$2501, 1866, MATCH("ExitMultiple", Simulations!$A$1:$BK$1, 0))</f>
        <v>7.3370517982075931</v>
      </c>
      <c r="C1866" s="2">
        <f ca="1">INDEX(Simulations!$A$1:$BK$2501, 1866, MATCH("RevCAGR", Simulations!$A$1:$BK$1, 0))</f>
        <v>6.2188023337807513E-2</v>
      </c>
      <c r="D1866" s="2">
        <f ca="1">INDEX(Simulations!$A$1:$BK$2501, 1866, MATCH("SynMargin", Simulations!$A$1:$BK$1, 0))</f>
        <v>4.8409425606878954E-3</v>
      </c>
      <c r="E1866" s="2">
        <f ca="1">INDEX(Simulations!$A$1:$BK$2501, 1866, MATCH("Yr1Shock", Simulations!$A$1:$BK$1, 0))</f>
        <v>-3.180147239135564E-2</v>
      </c>
    </row>
    <row r="1867" spans="1:5" x14ac:dyDescent="0.3">
      <c r="A1867" s="2">
        <f ca="1">INDEX(Simulations!$A$1:$BK$2501, 1867, MATCH("PurchaseMultiple", Simulations!$A$1:$BK$1, 0))</f>
        <v>6.8139038426234233</v>
      </c>
      <c r="B1867" s="2">
        <f ca="1">INDEX(Simulations!$A$1:$BK$2501, 1867, MATCH("ExitMultiple", Simulations!$A$1:$BK$1, 0))</f>
        <v>7.9741966755199956</v>
      </c>
      <c r="C1867" s="2">
        <f ca="1">INDEX(Simulations!$A$1:$BK$2501, 1867, MATCH("RevCAGR", Simulations!$A$1:$BK$1, 0))</f>
        <v>3.0272821013322911E-2</v>
      </c>
      <c r="D1867" s="2">
        <f ca="1">INDEX(Simulations!$A$1:$BK$2501, 1867, MATCH("SynMargin", Simulations!$A$1:$BK$1, 0))</f>
        <v>1.166340126216907E-2</v>
      </c>
      <c r="E1867" s="2">
        <f ca="1">INDEX(Simulations!$A$1:$BK$2501, 1867, MATCH("Yr1Shock", Simulations!$A$1:$BK$1, 0))</f>
        <v>-6.9287511825789419E-3</v>
      </c>
    </row>
    <row r="1868" spans="1:5" x14ac:dyDescent="0.3">
      <c r="A1868" s="2">
        <f ca="1">INDEX(Simulations!$A$1:$BK$2501, 1868, MATCH("PurchaseMultiple", Simulations!$A$1:$BK$1, 0))</f>
        <v>7.2636369818734288</v>
      </c>
      <c r="B1868" s="2">
        <f ca="1">INDEX(Simulations!$A$1:$BK$2501, 1868, MATCH("ExitMultiple", Simulations!$A$1:$BK$1, 0))</f>
        <v>7.908858266739065</v>
      </c>
      <c r="C1868" s="2">
        <f ca="1">INDEX(Simulations!$A$1:$BK$2501, 1868, MATCH("RevCAGR", Simulations!$A$1:$BK$1, 0))</f>
        <v>2.5703149981969348E-2</v>
      </c>
      <c r="D1868" s="2">
        <f ca="1">INDEX(Simulations!$A$1:$BK$2501, 1868, MATCH("SynMargin", Simulations!$A$1:$BK$1, 0))</f>
        <v>1.0245924475991356E-2</v>
      </c>
      <c r="E1868" s="2">
        <f ca="1">INDEX(Simulations!$A$1:$BK$2501, 1868, MATCH("Yr1Shock", Simulations!$A$1:$BK$1, 0))</f>
        <v>5.5001412267644337E-3</v>
      </c>
    </row>
    <row r="1869" spans="1:5" x14ac:dyDescent="0.3">
      <c r="A1869" s="2">
        <f ca="1">INDEX(Simulations!$A$1:$BK$2501, 1869, MATCH("PurchaseMultiple", Simulations!$A$1:$BK$1, 0))</f>
        <v>6.7332906592105539</v>
      </c>
      <c r="B1869" s="2">
        <f ca="1">INDEX(Simulations!$A$1:$BK$2501, 1869, MATCH("ExitMultiple", Simulations!$A$1:$BK$1, 0))</f>
        <v>7.8291167611162438</v>
      </c>
      <c r="C1869" s="2">
        <f ca="1">INDEX(Simulations!$A$1:$BK$2501, 1869, MATCH("RevCAGR", Simulations!$A$1:$BK$1, 0))</f>
        <v>6.6367955895705572E-2</v>
      </c>
      <c r="D1869" s="2">
        <f ca="1">INDEX(Simulations!$A$1:$BK$2501, 1869, MATCH("SynMargin", Simulations!$A$1:$BK$1, 0))</f>
        <v>6.8858335470011779E-3</v>
      </c>
      <c r="E1869" s="2">
        <f ca="1">INDEX(Simulations!$A$1:$BK$2501, 1869, MATCH("Yr1Shock", Simulations!$A$1:$BK$1, 0))</f>
        <v>6.5185050552532507E-3</v>
      </c>
    </row>
    <row r="1870" spans="1:5" x14ac:dyDescent="0.3">
      <c r="A1870" s="2">
        <f ca="1">INDEX(Simulations!$A$1:$BK$2501, 1870, MATCH("PurchaseMultiple", Simulations!$A$1:$BK$1, 0))</f>
        <v>6.9405466471064559</v>
      </c>
      <c r="B1870" s="2">
        <f ca="1">INDEX(Simulations!$A$1:$BK$2501, 1870, MATCH("ExitMultiple", Simulations!$A$1:$BK$1, 0))</f>
        <v>7.4698242832934341</v>
      </c>
      <c r="C1870" s="2">
        <f ca="1">INDEX(Simulations!$A$1:$BK$2501, 1870, MATCH("RevCAGR", Simulations!$A$1:$BK$1, 0))</f>
        <v>6.0651224620368857E-2</v>
      </c>
      <c r="D1870" s="2">
        <f ca="1">INDEX(Simulations!$A$1:$BK$2501, 1870, MATCH("SynMargin", Simulations!$A$1:$BK$1, 0))</f>
        <v>1.3700749217978063E-2</v>
      </c>
      <c r="E1870" s="2">
        <f ca="1">INDEX(Simulations!$A$1:$BK$2501, 1870, MATCH("Yr1Shock", Simulations!$A$1:$BK$1, 0))</f>
        <v>-1.6929139314898988E-2</v>
      </c>
    </row>
    <row r="1871" spans="1:5" x14ac:dyDescent="0.3">
      <c r="A1871" s="2">
        <f ca="1">INDEX(Simulations!$A$1:$BK$2501, 1871, MATCH("PurchaseMultiple", Simulations!$A$1:$BK$1, 0))</f>
        <v>7.3808018737997179</v>
      </c>
      <c r="B1871" s="2">
        <f ca="1">INDEX(Simulations!$A$1:$BK$2501, 1871, MATCH("ExitMultiple", Simulations!$A$1:$BK$1, 0))</f>
        <v>7.3123661918666256</v>
      </c>
      <c r="C1871" s="2">
        <f ca="1">INDEX(Simulations!$A$1:$BK$2501, 1871, MATCH("RevCAGR", Simulations!$A$1:$BK$1, 0))</f>
        <v>3.9716444087257934E-2</v>
      </c>
      <c r="D1871" s="2">
        <f ca="1">INDEX(Simulations!$A$1:$BK$2501, 1871, MATCH("SynMargin", Simulations!$A$1:$BK$1, 0))</f>
        <v>1.1792850053267931E-2</v>
      </c>
      <c r="E1871" s="2">
        <f ca="1">INDEX(Simulations!$A$1:$BK$2501, 1871, MATCH("Yr1Shock", Simulations!$A$1:$BK$1, 0))</f>
        <v>2.7943266092296137E-2</v>
      </c>
    </row>
    <row r="1872" spans="1:5" x14ac:dyDescent="0.3">
      <c r="A1872" s="2">
        <f ca="1">INDEX(Simulations!$A$1:$BK$2501, 1872, MATCH("PurchaseMultiple", Simulations!$A$1:$BK$1, 0))</f>
        <v>7.6432467073110182</v>
      </c>
      <c r="B1872" s="2">
        <f ca="1">INDEX(Simulations!$A$1:$BK$2501, 1872, MATCH("ExitMultiple", Simulations!$A$1:$BK$1, 0))</f>
        <v>7.6143996814656854</v>
      </c>
      <c r="C1872" s="2">
        <f ca="1">INDEX(Simulations!$A$1:$BK$2501, 1872, MATCH("RevCAGR", Simulations!$A$1:$BK$1, 0))</f>
        <v>4.4611859821169539E-2</v>
      </c>
      <c r="D1872" s="2">
        <f ca="1">INDEX(Simulations!$A$1:$BK$2501, 1872, MATCH("SynMargin", Simulations!$A$1:$BK$1, 0))</f>
        <v>2.3381082641340464E-2</v>
      </c>
      <c r="E1872" s="2">
        <f ca="1">INDEX(Simulations!$A$1:$BK$2501, 1872, MATCH("Yr1Shock", Simulations!$A$1:$BK$1, 0))</f>
        <v>-5.9258522368114928E-3</v>
      </c>
    </row>
    <row r="1873" spans="1:5" x14ac:dyDescent="0.3">
      <c r="A1873" s="2">
        <f ca="1">INDEX(Simulations!$A$1:$BK$2501, 1873, MATCH("PurchaseMultiple", Simulations!$A$1:$BK$1, 0))</f>
        <v>7.5027995258893592</v>
      </c>
      <c r="B1873" s="2">
        <f ca="1">INDEX(Simulations!$A$1:$BK$2501, 1873, MATCH("ExitMultiple", Simulations!$A$1:$BK$1, 0))</f>
        <v>7.3111372935628234</v>
      </c>
      <c r="C1873" s="2">
        <f ca="1">INDEX(Simulations!$A$1:$BK$2501, 1873, MATCH("RevCAGR", Simulations!$A$1:$BK$1, 0))</f>
        <v>5.2626452236468863E-2</v>
      </c>
      <c r="D1873" s="2">
        <f ca="1">INDEX(Simulations!$A$1:$BK$2501, 1873, MATCH("SynMargin", Simulations!$A$1:$BK$1, 0))</f>
        <v>7.8462412062714412E-3</v>
      </c>
      <c r="E1873" s="2">
        <f ca="1">INDEX(Simulations!$A$1:$BK$2501, 1873, MATCH("Yr1Shock", Simulations!$A$1:$BK$1, 0))</f>
        <v>-5.5528004257928256E-3</v>
      </c>
    </row>
    <row r="1874" spans="1:5" x14ac:dyDescent="0.3">
      <c r="A1874" s="2">
        <f ca="1">INDEX(Simulations!$A$1:$BK$2501, 1874, MATCH("PurchaseMultiple", Simulations!$A$1:$BK$1, 0))</f>
        <v>7.1151306164219204</v>
      </c>
      <c r="B1874" s="2">
        <f ca="1">INDEX(Simulations!$A$1:$BK$2501, 1874, MATCH("ExitMultiple", Simulations!$A$1:$BK$1, 0))</f>
        <v>7.8930904354003735</v>
      </c>
      <c r="C1874" s="2">
        <f ca="1">INDEX(Simulations!$A$1:$BK$2501, 1874, MATCH("RevCAGR", Simulations!$A$1:$BK$1, 0))</f>
        <v>5.8415551437140195E-2</v>
      </c>
      <c r="D1874" s="2">
        <f ca="1">INDEX(Simulations!$A$1:$BK$2501, 1874, MATCH("SynMargin", Simulations!$A$1:$BK$1, 0))</f>
        <v>1.4837893818885881E-2</v>
      </c>
      <c r="E1874" s="2">
        <f ca="1">INDEX(Simulations!$A$1:$BK$2501, 1874, MATCH("Yr1Shock", Simulations!$A$1:$BK$1, 0))</f>
        <v>-1.9061709111841802E-3</v>
      </c>
    </row>
    <row r="1875" spans="1:5" x14ac:dyDescent="0.3">
      <c r="A1875" s="2">
        <f ca="1">INDEX(Simulations!$A$1:$BK$2501, 1875, MATCH("PurchaseMultiple", Simulations!$A$1:$BK$1, 0))</f>
        <v>6.7732799195556339</v>
      </c>
      <c r="B1875" s="2">
        <f ca="1">INDEX(Simulations!$A$1:$BK$2501, 1875, MATCH("ExitMultiple", Simulations!$A$1:$BK$1, 0))</f>
        <v>6.619524622525895</v>
      </c>
      <c r="C1875" s="2">
        <f ca="1">INDEX(Simulations!$A$1:$BK$2501, 1875, MATCH("RevCAGR", Simulations!$A$1:$BK$1, 0))</f>
        <v>-3.4017731123346731E-3</v>
      </c>
      <c r="D1875" s="2">
        <f ca="1">INDEX(Simulations!$A$1:$BK$2501, 1875, MATCH("SynMargin", Simulations!$A$1:$BK$1, 0))</f>
        <v>6.2317711039101614E-3</v>
      </c>
      <c r="E1875" s="2">
        <f ca="1">INDEX(Simulations!$A$1:$BK$2501, 1875, MATCH("Yr1Shock", Simulations!$A$1:$BK$1, 0))</f>
        <v>-2.9576082349231864E-3</v>
      </c>
    </row>
    <row r="1876" spans="1:5" x14ac:dyDescent="0.3">
      <c r="A1876" s="2">
        <f ca="1">INDEX(Simulations!$A$1:$BK$2501, 1876, MATCH("PurchaseMultiple", Simulations!$A$1:$BK$1, 0))</f>
        <v>6.9015700765386585</v>
      </c>
      <c r="B1876" s="2">
        <f ca="1">INDEX(Simulations!$A$1:$BK$2501, 1876, MATCH("ExitMultiple", Simulations!$A$1:$BK$1, 0))</f>
        <v>7.0170871993764807</v>
      </c>
      <c r="C1876" s="2">
        <f ca="1">INDEX(Simulations!$A$1:$BK$2501, 1876, MATCH("RevCAGR", Simulations!$A$1:$BK$1, 0))</f>
        <v>9.2567623142379277E-2</v>
      </c>
      <c r="D1876" s="2">
        <f ca="1">INDEX(Simulations!$A$1:$BK$2501, 1876, MATCH("SynMargin", Simulations!$A$1:$BK$1, 0))</f>
        <v>1.3680415641196621E-2</v>
      </c>
      <c r="E1876" s="2">
        <f ca="1">INDEX(Simulations!$A$1:$BK$2501, 1876, MATCH("Yr1Shock", Simulations!$A$1:$BK$1, 0))</f>
        <v>-1.3569232821695948E-2</v>
      </c>
    </row>
    <row r="1877" spans="1:5" x14ac:dyDescent="0.3">
      <c r="A1877" s="2">
        <f ca="1">INDEX(Simulations!$A$1:$BK$2501, 1877, MATCH("PurchaseMultiple", Simulations!$A$1:$BK$1, 0))</f>
        <v>7.0613709072774444</v>
      </c>
      <c r="B1877" s="2">
        <f ca="1">INDEX(Simulations!$A$1:$BK$2501, 1877, MATCH("ExitMultiple", Simulations!$A$1:$BK$1, 0))</f>
        <v>7.4025563131079384</v>
      </c>
      <c r="C1877" s="2">
        <f ca="1">INDEX(Simulations!$A$1:$BK$2501, 1877, MATCH("RevCAGR", Simulations!$A$1:$BK$1, 0))</f>
        <v>6.5450122185316137E-2</v>
      </c>
      <c r="D1877" s="2">
        <f ca="1">INDEX(Simulations!$A$1:$BK$2501, 1877, MATCH("SynMargin", Simulations!$A$1:$BK$1, 0))</f>
        <v>9.6039456457527091E-3</v>
      </c>
      <c r="E1877" s="2">
        <f ca="1">INDEX(Simulations!$A$1:$BK$2501, 1877, MATCH("Yr1Shock", Simulations!$A$1:$BK$1, 0))</f>
        <v>-3.1092803390113223E-3</v>
      </c>
    </row>
    <row r="1878" spans="1:5" x14ac:dyDescent="0.3">
      <c r="A1878" s="2">
        <f ca="1">INDEX(Simulations!$A$1:$BK$2501, 1878, MATCH("PurchaseMultiple", Simulations!$A$1:$BK$1, 0))</f>
        <v>6.7366885650991719</v>
      </c>
      <c r="B1878" s="2">
        <f ca="1">INDEX(Simulations!$A$1:$BK$2501, 1878, MATCH("ExitMultiple", Simulations!$A$1:$BK$1, 0))</f>
        <v>7.7502551722239126</v>
      </c>
      <c r="C1878" s="2">
        <f ca="1">INDEX(Simulations!$A$1:$BK$2501, 1878, MATCH("RevCAGR", Simulations!$A$1:$BK$1, 0))</f>
        <v>4.2471261897273557E-2</v>
      </c>
      <c r="D1878" s="2">
        <f ca="1">INDEX(Simulations!$A$1:$BK$2501, 1878, MATCH("SynMargin", Simulations!$A$1:$BK$1, 0))</f>
        <v>1.3206027005093501E-2</v>
      </c>
      <c r="E1878" s="2">
        <f ca="1">INDEX(Simulations!$A$1:$BK$2501, 1878, MATCH("Yr1Shock", Simulations!$A$1:$BK$1, 0))</f>
        <v>-1.1145673734659894E-2</v>
      </c>
    </row>
    <row r="1879" spans="1:5" x14ac:dyDescent="0.3">
      <c r="A1879" s="2">
        <f ca="1">INDEX(Simulations!$A$1:$BK$2501, 1879, MATCH("PurchaseMultiple", Simulations!$A$1:$BK$1, 0))</f>
        <v>7.8483158406377616</v>
      </c>
      <c r="B1879" s="2">
        <f ca="1">INDEX(Simulations!$A$1:$BK$2501, 1879, MATCH("ExitMultiple", Simulations!$A$1:$BK$1, 0))</f>
        <v>7.5780984054596265</v>
      </c>
      <c r="C1879" s="2">
        <f ca="1">INDEX(Simulations!$A$1:$BK$2501, 1879, MATCH("RevCAGR", Simulations!$A$1:$BK$1, 0))</f>
        <v>7.055166620074102E-2</v>
      </c>
      <c r="D1879" s="2">
        <f ca="1">INDEX(Simulations!$A$1:$BK$2501, 1879, MATCH("SynMargin", Simulations!$A$1:$BK$1, 0))</f>
        <v>7.0015962926079939E-3</v>
      </c>
      <c r="E1879" s="2">
        <f ca="1">INDEX(Simulations!$A$1:$BK$2501, 1879, MATCH("Yr1Shock", Simulations!$A$1:$BK$1, 0))</f>
        <v>-9.2720383604260811E-3</v>
      </c>
    </row>
    <row r="1880" spans="1:5" x14ac:dyDescent="0.3">
      <c r="A1880" s="2">
        <f ca="1">INDEX(Simulations!$A$1:$BK$2501, 1880, MATCH("PurchaseMultiple", Simulations!$A$1:$BK$1, 0))</f>
        <v>7.2520060759437888</v>
      </c>
      <c r="B1880" s="2">
        <f ca="1">INDEX(Simulations!$A$1:$BK$2501, 1880, MATCH("ExitMultiple", Simulations!$A$1:$BK$1, 0))</f>
        <v>7.6193146239879175</v>
      </c>
      <c r="C1880" s="2">
        <f ca="1">INDEX(Simulations!$A$1:$BK$2501, 1880, MATCH("RevCAGR", Simulations!$A$1:$BK$1, 0))</f>
        <v>8.9163343694698638E-2</v>
      </c>
      <c r="D1880" s="2">
        <f ca="1">INDEX(Simulations!$A$1:$BK$2501, 1880, MATCH("SynMargin", Simulations!$A$1:$BK$1, 0))</f>
        <v>1.0524240373625159E-2</v>
      </c>
      <c r="E1880" s="2">
        <f ca="1">INDEX(Simulations!$A$1:$BK$2501, 1880, MATCH("Yr1Shock", Simulations!$A$1:$BK$1, 0))</f>
        <v>-1.9848775634822499E-2</v>
      </c>
    </row>
    <row r="1881" spans="1:5" x14ac:dyDescent="0.3">
      <c r="A1881" s="2">
        <f ca="1">INDEX(Simulations!$A$1:$BK$2501, 1881, MATCH("PurchaseMultiple", Simulations!$A$1:$BK$1, 0))</f>
        <v>6.7346140093026072</v>
      </c>
      <c r="B1881" s="2">
        <f ca="1">INDEX(Simulations!$A$1:$BK$2501, 1881, MATCH("ExitMultiple", Simulations!$A$1:$BK$1, 0))</f>
        <v>7.2589445685931651</v>
      </c>
      <c r="C1881" s="2">
        <f ca="1">INDEX(Simulations!$A$1:$BK$2501, 1881, MATCH("RevCAGR", Simulations!$A$1:$BK$1, 0))</f>
        <v>4.3587258192663604E-2</v>
      </c>
      <c r="D1881" s="2">
        <f ca="1">INDEX(Simulations!$A$1:$BK$2501, 1881, MATCH("SynMargin", Simulations!$A$1:$BK$1, 0))</f>
        <v>7.317800596889008E-3</v>
      </c>
      <c r="E1881" s="2">
        <f ca="1">INDEX(Simulations!$A$1:$BK$2501, 1881, MATCH("Yr1Shock", Simulations!$A$1:$BK$1, 0))</f>
        <v>-2.3494614539442633E-2</v>
      </c>
    </row>
    <row r="1882" spans="1:5" x14ac:dyDescent="0.3">
      <c r="A1882" s="2">
        <f ca="1">INDEX(Simulations!$A$1:$BK$2501, 1882, MATCH("PurchaseMultiple", Simulations!$A$1:$BK$1, 0))</f>
        <v>6.9351823504359764</v>
      </c>
      <c r="B1882" s="2">
        <f ca="1">INDEX(Simulations!$A$1:$BK$2501, 1882, MATCH("ExitMultiple", Simulations!$A$1:$BK$1, 0))</f>
        <v>8.1923458861080807</v>
      </c>
      <c r="C1882" s="2">
        <f ca="1">INDEX(Simulations!$A$1:$BK$2501, 1882, MATCH("RevCAGR", Simulations!$A$1:$BK$1, 0))</f>
        <v>3.7968002931227367E-2</v>
      </c>
      <c r="D1882" s="2">
        <f ca="1">INDEX(Simulations!$A$1:$BK$2501, 1882, MATCH("SynMargin", Simulations!$A$1:$BK$1, 0))</f>
        <v>8.2736366674870353E-3</v>
      </c>
      <c r="E1882" s="2">
        <f ca="1">INDEX(Simulations!$A$1:$BK$2501, 1882, MATCH("Yr1Shock", Simulations!$A$1:$BK$1, 0))</f>
        <v>7.1180979290676946E-3</v>
      </c>
    </row>
    <row r="1883" spans="1:5" x14ac:dyDescent="0.3">
      <c r="A1883" s="2">
        <f ca="1">INDEX(Simulations!$A$1:$BK$2501, 1883, MATCH("PurchaseMultiple", Simulations!$A$1:$BK$1, 0))</f>
        <v>7.0511726851131371</v>
      </c>
      <c r="B1883" s="2">
        <f ca="1">INDEX(Simulations!$A$1:$BK$2501, 1883, MATCH("ExitMultiple", Simulations!$A$1:$BK$1, 0))</f>
        <v>7.5632566469881422</v>
      </c>
      <c r="C1883" s="2">
        <f ca="1">INDEX(Simulations!$A$1:$BK$2501, 1883, MATCH("RevCAGR", Simulations!$A$1:$BK$1, 0))</f>
        <v>4.5988754997809446E-2</v>
      </c>
      <c r="D1883" s="2">
        <f ca="1">INDEX(Simulations!$A$1:$BK$2501, 1883, MATCH("SynMargin", Simulations!$A$1:$BK$1, 0))</f>
        <v>7.6554129336555768E-3</v>
      </c>
      <c r="E1883" s="2">
        <f ca="1">INDEX(Simulations!$A$1:$BK$2501, 1883, MATCH("Yr1Shock", Simulations!$A$1:$BK$1, 0))</f>
        <v>-2.7081247525224655E-2</v>
      </c>
    </row>
    <row r="1884" spans="1:5" x14ac:dyDescent="0.3">
      <c r="A1884" s="2">
        <f ca="1">INDEX(Simulations!$A$1:$BK$2501, 1884, MATCH("PurchaseMultiple", Simulations!$A$1:$BK$1, 0))</f>
        <v>7.1980758993533636</v>
      </c>
      <c r="B1884" s="2">
        <f ca="1">INDEX(Simulations!$A$1:$BK$2501, 1884, MATCH("ExitMultiple", Simulations!$A$1:$BK$1, 0))</f>
        <v>6.7697550948748422</v>
      </c>
      <c r="C1884" s="2">
        <f ca="1">INDEX(Simulations!$A$1:$BK$2501, 1884, MATCH("RevCAGR", Simulations!$A$1:$BK$1, 0))</f>
        <v>5.1785226693839885E-2</v>
      </c>
      <c r="D1884" s="2">
        <f ca="1">INDEX(Simulations!$A$1:$BK$2501, 1884, MATCH("SynMargin", Simulations!$A$1:$BK$1, 0))</f>
        <v>5.6246380168353365E-3</v>
      </c>
      <c r="E1884" s="2">
        <f ca="1">INDEX(Simulations!$A$1:$BK$2501, 1884, MATCH("Yr1Shock", Simulations!$A$1:$BK$1, 0))</f>
        <v>8.1229766268163734E-4</v>
      </c>
    </row>
    <row r="1885" spans="1:5" x14ac:dyDescent="0.3">
      <c r="A1885" s="2">
        <f ca="1">INDEX(Simulations!$A$1:$BK$2501, 1885, MATCH("PurchaseMultiple", Simulations!$A$1:$BK$1, 0))</f>
        <v>7.0860278846789395</v>
      </c>
      <c r="B1885" s="2">
        <f ca="1">INDEX(Simulations!$A$1:$BK$2501, 1885, MATCH("ExitMultiple", Simulations!$A$1:$BK$1, 0))</f>
        <v>7.8187168022834941</v>
      </c>
      <c r="C1885" s="2">
        <f ca="1">INDEX(Simulations!$A$1:$BK$2501, 1885, MATCH("RevCAGR", Simulations!$A$1:$BK$1, 0))</f>
        <v>6.9213411331435243E-2</v>
      </c>
      <c r="D1885" s="2">
        <f ca="1">INDEX(Simulations!$A$1:$BK$2501, 1885, MATCH("SynMargin", Simulations!$A$1:$BK$1, 0))</f>
        <v>8.5532783484901058E-3</v>
      </c>
      <c r="E1885" s="2">
        <f ca="1">INDEX(Simulations!$A$1:$BK$2501, 1885, MATCH("Yr1Shock", Simulations!$A$1:$BK$1, 0))</f>
        <v>-7.4544851217806388E-3</v>
      </c>
    </row>
    <row r="1886" spans="1:5" x14ac:dyDescent="0.3">
      <c r="A1886" s="2">
        <f ca="1">INDEX(Simulations!$A$1:$BK$2501, 1886, MATCH("PurchaseMultiple", Simulations!$A$1:$BK$1, 0))</f>
        <v>6.7424333456747076</v>
      </c>
      <c r="B1886" s="2">
        <f ca="1">INDEX(Simulations!$A$1:$BK$2501, 1886, MATCH("ExitMultiple", Simulations!$A$1:$BK$1, 0))</f>
        <v>7.2097138656731676</v>
      </c>
      <c r="C1886" s="2">
        <f ca="1">INDEX(Simulations!$A$1:$BK$2501, 1886, MATCH("RevCAGR", Simulations!$A$1:$BK$1, 0))</f>
        <v>8.0414995180532328E-3</v>
      </c>
      <c r="D1886" s="2">
        <f ca="1">INDEX(Simulations!$A$1:$BK$2501, 1886, MATCH("SynMargin", Simulations!$A$1:$BK$1, 0))</f>
        <v>9.0735256146801373E-3</v>
      </c>
      <c r="E1886" s="2">
        <f ca="1">INDEX(Simulations!$A$1:$BK$2501, 1886, MATCH("Yr1Shock", Simulations!$A$1:$BK$1, 0))</f>
        <v>-2.0050317388542745E-2</v>
      </c>
    </row>
    <row r="1887" spans="1:5" x14ac:dyDescent="0.3">
      <c r="A1887" s="2">
        <f ca="1">INDEX(Simulations!$A$1:$BK$2501, 1887, MATCH("PurchaseMultiple", Simulations!$A$1:$BK$1, 0))</f>
        <v>7.0012759688562891</v>
      </c>
      <c r="B1887" s="2">
        <f ca="1">INDEX(Simulations!$A$1:$BK$2501, 1887, MATCH("ExitMultiple", Simulations!$A$1:$BK$1, 0))</f>
        <v>7.4657185741686209</v>
      </c>
      <c r="C1887" s="2">
        <f ca="1">INDEX(Simulations!$A$1:$BK$2501, 1887, MATCH("RevCAGR", Simulations!$A$1:$BK$1, 0))</f>
        <v>1.1110416132842714E-2</v>
      </c>
      <c r="D1887" s="2">
        <f ca="1">INDEX(Simulations!$A$1:$BK$2501, 1887, MATCH("SynMargin", Simulations!$A$1:$BK$1, 0))</f>
        <v>1.2984362131642202E-2</v>
      </c>
      <c r="E1887" s="2">
        <f ca="1">INDEX(Simulations!$A$1:$BK$2501, 1887, MATCH("Yr1Shock", Simulations!$A$1:$BK$1, 0))</f>
        <v>-1.8008188395190396E-2</v>
      </c>
    </row>
    <row r="1888" spans="1:5" x14ac:dyDescent="0.3">
      <c r="A1888" s="2">
        <f ca="1">INDEX(Simulations!$A$1:$BK$2501, 1888, MATCH("PurchaseMultiple", Simulations!$A$1:$BK$1, 0))</f>
        <v>6.452565154512766</v>
      </c>
      <c r="B1888" s="2">
        <f ca="1">INDEX(Simulations!$A$1:$BK$2501, 1888, MATCH("ExitMultiple", Simulations!$A$1:$BK$1, 0))</f>
        <v>7.4107102319368918</v>
      </c>
      <c r="C1888" s="2">
        <f ca="1">INDEX(Simulations!$A$1:$BK$2501, 1888, MATCH("RevCAGR", Simulations!$A$1:$BK$1, 0))</f>
        <v>2.7522519035399449E-2</v>
      </c>
      <c r="D1888" s="2">
        <f ca="1">INDEX(Simulations!$A$1:$BK$2501, 1888, MATCH("SynMargin", Simulations!$A$1:$BK$1, 0))</f>
        <v>1.8189620937558264E-2</v>
      </c>
      <c r="E1888" s="2">
        <f ca="1">INDEX(Simulations!$A$1:$BK$2501, 1888, MATCH("Yr1Shock", Simulations!$A$1:$BK$1, 0))</f>
        <v>2.7424171599855503E-2</v>
      </c>
    </row>
    <row r="1889" spans="1:5" x14ac:dyDescent="0.3">
      <c r="A1889" s="2">
        <f ca="1">INDEX(Simulations!$A$1:$BK$2501, 1889, MATCH("PurchaseMultiple", Simulations!$A$1:$BK$1, 0))</f>
        <v>7.1841675456956589</v>
      </c>
      <c r="B1889" s="2">
        <f ca="1">INDEX(Simulations!$A$1:$BK$2501, 1889, MATCH("ExitMultiple", Simulations!$A$1:$BK$1, 0))</f>
        <v>7.3277095235545771</v>
      </c>
      <c r="C1889" s="2">
        <f ca="1">INDEX(Simulations!$A$1:$BK$2501, 1889, MATCH("RevCAGR", Simulations!$A$1:$BK$1, 0))</f>
        <v>1.5387018080505088E-2</v>
      </c>
      <c r="D1889" s="2">
        <f ca="1">INDEX(Simulations!$A$1:$BK$2501, 1889, MATCH("SynMargin", Simulations!$A$1:$BK$1, 0))</f>
        <v>1.0149522383258966E-2</v>
      </c>
      <c r="E1889" s="2">
        <f ca="1">INDEX(Simulations!$A$1:$BK$2501, 1889, MATCH("Yr1Shock", Simulations!$A$1:$BK$1, 0))</f>
        <v>3.0903897917431637E-2</v>
      </c>
    </row>
    <row r="1890" spans="1:5" x14ac:dyDescent="0.3">
      <c r="A1890" s="2">
        <f ca="1">INDEX(Simulations!$A$1:$BK$2501, 1890, MATCH("PurchaseMultiple", Simulations!$A$1:$BK$1, 0))</f>
        <v>7.0666080198110306</v>
      </c>
      <c r="B1890" s="2">
        <f ca="1">INDEX(Simulations!$A$1:$BK$2501, 1890, MATCH("ExitMultiple", Simulations!$A$1:$BK$1, 0))</f>
        <v>7.6586213796502749</v>
      </c>
      <c r="C1890" s="2">
        <f ca="1">INDEX(Simulations!$A$1:$BK$2501, 1890, MATCH("RevCAGR", Simulations!$A$1:$BK$1, 0))</f>
        <v>5.7644073434409443E-2</v>
      </c>
      <c r="D1890" s="2">
        <f ca="1">INDEX(Simulations!$A$1:$BK$2501, 1890, MATCH("SynMargin", Simulations!$A$1:$BK$1, 0))</f>
        <v>8.575840521096164E-3</v>
      </c>
      <c r="E1890" s="2">
        <f ca="1">INDEX(Simulations!$A$1:$BK$2501, 1890, MATCH("Yr1Shock", Simulations!$A$1:$BK$1, 0))</f>
        <v>-2.8611672118024123E-2</v>
      </c>
    </row>
    <row r="1891" spans="1:5" x14ac:dyDescent="0.3">
      <c r="A1891" s="2">
        <f ca="1">INDEX(Simulations!$A$1:$BK$2501, 1891, MATCH("PurchaseMultiple", Simulations!$A$1:$BK$1, 0))</f>
        <v>7.0721933800685184</v>
      </c>
      <c r="B1891" s="2">
        <f ca="1">INDEX(Simulations!$A$1:$BK$2501, 1891, MATCH("ExitMultiple", Simulations!$A$1:$BK$1, 0))</f>
        <v>8.1391279021411282</v>
      </c>
      <c r="C1891" s="2">
        <f ca="1">INDEX(Simulations!$A$1:$BK$2501, 1891, MATCH("RevCAGR", Simulations!$A$1:$BK$1, 0))</f>
        <v>6.3805196513250145E-2</v>
      </c>
      <c r="D1891" s="2">
        <f ca="1">INDEX(Simulations!$A$1:$BK$2501, 1891, MATCH("SynMargin", Simulations!$A$1:$BK$1, 0))</f>
        <v>4.2942414957180819E-3</v>
      </c>
      <c r="E1891" s="2">
        <f ca="1">INDEX(Simulations!$A$1:$BK$2501, 1891, MATCH("Yr1Shock", Simulations!$A$1:$BK$1, 0))</f>
        <v>-3.074573603507466E-4</v>
      </c>
    </row>
    <row r="1892" spans="1:5" x14ac:dyDescent="0.3">
      <c r="A1892" s="2">
        <f ca="1">INDEX(Simulations!$A$1:$BK$2501, 1892, MATCH("PurchaseMultiple", Simulations!$A$1:$BK$1, 0))</f>
        <v>6.8211832230478153</v>
      </c>
      <c r="B1892" s="2">
        <f ca="1">INDEX(Simulations!$A$1:$BK$2501, 1892, MATCH("ExitMultiple", Simulations!$A$1:$BK$1, 0))</f>
        <v>7.408163248647349</v>
      </c>
      <c r="C1892" s="2">
        <f ca="1">INDEX(Simulations!$A$1:$BK$2501, 1892, MATCH("RevCAGR", Simulations!$A$1:$BK$1, 0))</f>
        <v>4.1451793934874324E-2</v>
      </c>
      <c r="D1892" s="2">
        <f ca="1">INDEX(Simulations!$A$1:$BK$2501, 1892, MATCH("SynMargin", Simulations!$A$1:$BK$1, 0))</f>
        <v>8.0906298299480272E-3</v>
      </c>
      <c r="E1892" s="2">
        <f ca="1">INDEX(Simulations!$A$1:$BK$2501, 1892, MATCH("Yr1Shock", Simulations!$A$1:$BK$1, 0))</f>
        <v>8.1935517330949583E-3</v>
      </c>
    </row>
    <row r="1893" spans="1:5" x14ac:dyDescent="0.3">
      <c r="A1893" s="2">
        <f ca="1">INDEX(Simulations!$A$1:$BK$2501, 1893, MATCH("PurchaseMultiple", Simulations!$A$1:$BK$1, 0))</f>
        <v>6.8382400068598077</v>
      </c>
      <c r="B1893" s="2">
        <f ca="1">INDEX(Simulations!$A$1:$BK$2501, 1893, MATCH("ExitMultiple", Simulations!$A$1:$BK$1, 0))</f>
        <v>7.1670109393088453</v>
      </c>
      <c r="C1893" s="2">
        <f ca="1">INDEX(Simulations!$A$1:$BK$2501, 1893, MATCH("RevCAGR", Simulations!$A$1:$BK$1, 0))</f>
        <v>5.2435458279812316E-2</v>
      </c>
      <c r="D1893" s="2">
        <f ca="1">INDEX(Simulations!$A$1:$BK$2501, 1893, MATCH("SynMargin", Simulations!$A$1:$BK$1, 0))</f>
        <v>6.9324877943052633E-3</v>
      </c>
      <c r="E1893" s="2">
        <f ca="1">INDEX(Simulations!$A$1:$BK$2501, 1893, MATCH("Yr1Shock", Simulations!$A$1:$BK$1, 0))</f>
        <v>-6.2477237877302336E-3</v>
      </c>
    </row>
    <row r="1894" spans="1:5" x14ac:dyDescent="0.3">
      <c r="A1894" s="2">
        <f ca="1">INDEX(Simulations!$A$1:$BK$2501, 1894, MATCH("PurchaseMultiple", Simulations!$A$1:$BK$1, 0))</f>
        <v>7.1975677490796199</v>
      </c>
      <c r="B1894" s="2">
        <f ca="1">INDEX(Simulations!$A$1:$BK$2501, 1894, MATCH("ExitMultiple", Simulations!$A$1:$BK$1, 0))</f>
        <v>8.1162997736341964</v>
      </c>
      <c r="C1894" s="2">
        <f ca="1">INDEX(Simulations!$A$1:$BK$2501, 1894, MATCH("RevCAGR", Simulations!$A$1:$BK$1, 0))</f>
        <v>2.0257919223165818E-2</v>
      </c>
      <c r="D1894" s="2">
        <f ca="1">INDEX(Simulations!$A$1:$BK$2501, 1894, MATCH("SynMargin", Simulations!$A$1:$BK$1, 0))</f>
        <v>7.6484071312960472E-3</v>
      </c>
      <c r="E1894" s="2">
        <f ca="1">INDEX(Simulations!$A$1:$BK$2501, 1894, MATCH("Yr1Shock", Simulations!$A$1:$BK$1, 0))</f>
        <v>2.0573460525827904E-2</v>
      </c>
    </row>
    <row r="1895" spans="1:5" x14ac:dyDescent="0.3">
      <c r="A1895" s="2">
        <f ca="1">INDEX(Simulations!$A$1:$BK$2501, 1895, MATCH("PurchaseMultiple", Simulations!$A$1:$BK$1, 0))</f>
        <v>6.0645639460398924</v>
      </c>
      <c r="B1895" s="2">
        <f ca="1">INDEX(Simulations!$A$1:$BK$2501, 1895, MATCH("ExitMultiple", Simulations!$A$1:$BK$1, 0))</f>
        <v>7.505848705826474</v>
      </c>
      <c r="C1895" s="2">
        <f ca="1">INDEX(Simulations!$A$1:$BK$2501, 1895, MATCH("RevCAGR", Simulations!$A$1:$BK$1, 0))</f>
        <v>1.3320268948082133E-2</v>
      </c>
      <c r="D1895" s="2">
        <f ca="1">INDEX(Simulations!$A$1:$BK$2501, 1895, MATCH("SynMargin", Simulations!$A$1:$BK$1, 0))</f>
        <v>7.1000202664207243E-3</v>
      </c>
      <c r="E1895" s="2">
        <f ca="1">INDEX(Simulations!$A$1:$BK$2501, 1895, MATCH("Yr1Shock", Simulations!$A$1:$BK$1, 0))</f>
        <v>-3.1335384048677119E-2</v>
      </c>
    </row>
    <row r="1896" spans="1:5" x14ac:dyDescent="0.3">
      <c r="A1896" s="2">
        <f ca="1">INDEX(Simulations!$A$1:$BK$2501, 1896, MATCH("PurchaseMultiple", Simulations!$A$1:$BK$1, 0))</f>
        <v>6.82724181274481</v>
      </c>
      <c r="B1896" s="2">
        <f ca="1">INDEX(Simulations!$A$1:$BK$2501, 1896, MATCH("ExitMultiple", Simulations!$A$1:$BK$1, 0))</f>
        <v>6.9084703157670591</v>
      </c>
      <c r="C1896" s="2">
        <f ca="1">INDEX(Simulations!$A$1:$BK$2501, 1896, MATCH("RevCAGR", Simulations!$A$1:$BK$1, 0))</f>
        <v>3.935729495403717E-2</v>
      </c>
      <c r="D1896" s="2">
        <f ca="1">INDEX(Simulations!$A$1:$BK$2501, 1896, MATCH("SynMargin", Simulations!$A$1:$BK$1, 0))</f>
        <v>3.9483180024104661E-3</v>
      </c>
      <c r="E1896" s="2">
        <f ca="1">INDEX(Simulations!$A$1:$BK$2501, 1896, MATCH("Yr1Shock", Simulations!$A$1:$BK$1, 0))</f>
        <v>2.8064128861331045E-2</v>
      </c>
    </row>
    <row r="1897" spans="1:5" x14ac:dyDescent="0.3">
      <c r="A1897" s="2">
        <f ca="1">INDEX(Simulations!$A$1:$BK$2501, 1897, MATCH("PurchaseMultiple", Simulations!$A$1:$BK$1, 0))</f>
        <v>6.9509201971719543</v>
      </c>
      <c r="B1897" s="2">
        <f ca="1">INDEX(Simulations!$A$1:$BK$2501, 1897, MATCH("ExitMultiple", Simulations!$A$1:$BK$1, 0))</f>
        <v>8.1036044902648658</v>
      </c>
      <c r="C1897" s="2">
        <f ca="1">INDEX(Simulations!$A$1:$BK$2501, 1897, MATCH("RevCAGR", Simulations!$A$1:$BK$1, 0))</f>
        <v>4.1646367214423101E-2</v>
      </c>
      <c r="D1897" s="2">
        <f ca="1">INDEX(Simulations!$A$1:$BK$2501, 1897, MATCH("SynMargin", Simulations!$A$1:$BK$1, 0))</f>
        <v>1.1224526247165896E-2</v>
      </c>
      <c r="E1897" s="2">
        <f ca="1">INDEX(Simulations!$A$1:$BK$2501, 1897, MATCH("Yr1Shock", Simulations!$A$1:$BK$1, 0))</f>
        <v>-1.204578253567822E-2</v>
      </c>
    </row>
    <row r="1898" spans="1:5" x14ac:dyDescent="0.3">
      <c r="A1898" s="2">
        <f ca="1">INDEX(Simulations!$A$1:$BK$2501, 1898, MATCH("PurchaseMultiple", Simulations!$A$1:$BK$1, 0))</f>
        <v>7.0467532351260882</v>
      </c>
      <c r="B1898" s="2">
        <f ca="1">INDEX(Simulations!$A$1:$BK$2501, 1898, MATCH("ExitMultiple", Simulations!$A$1:$BK$1, 0))</f>
        <v>7.2025074325029816</v>
      </c>
      <c r="C1898" s="2">
        <f ca="1">INDEX(Simulations!$A$1:$BK$2501, 1898, MATCH("RevCAGR", Simulations!$A$1:$BK$1, 0))</f>
        <v>2.4596266987541041E-2</v>
      </c>
      <c r="D1898" s="2">
        <f ca="1">INDEX(Simulations!$A$1:$BK$2501, 1898, MATCH("SynMargin", Simulations!$A$1:$BK$1, 0))</f>
        <v>9.1425256888799308E-4</v>
      </c>
      <c r="E1898" s="2">
        <f ca="1">INDEX(Simulations!$A$1:$BK$2501, 1898, MATCH("Yr1Shock", Simulations!$A$1:$BK$1, 0))</f>
        <v>-1.5547949566774197E-2</v>
      </c>
    </row>
    <row r="1899" spans="1:5" x14ac:dyDescent="0.3">
      <c r="A1899" s="2">
        <f ca="1">INDEX(Simulations!$A$1:$BK$2501, 1899, MATCH("PurchaseMultiple", Simulations!$A$1:$BK$1, 0))</f>
        <v>7.0683174647440969</v>
      </c>
      <c r="B1899" s="2">
        <f ca="1">INDEX(Simulations!$A$1:$BK$2501, 1899, MATCH("ExitMultiple", Simulations!$A$1:$BK$1, 0))</f>
        <v>7.4371509858372216</v>
      </c>
      <c r="C1899" s="2">
        <f ca="1">INDEX(Simulations!$A$1:$BK$2501, 1899, MATCH("RevCAGR", Simulations!$A$1:$BK$1, 0))</f>
        <v>5.957080538879779E-2</v>
      </c>
      <c r="D1899" s="2">
        <f ca="1">INDEX(Simulations!$A$1:$BK$2501, 1899, MATCH("SynMargin", Simulations!$A$1:$BK$1, 0))</f>
        <v>1.432479608110278E-2</v>
      </c>
      <c r="E1899" s="2">
        <f ca="1">INDEX(Simulations!$A$1:$BK$2501, 1899, MATCH("Yr1Shock", Simulations!$A$1:$BK$1, 0))</f>
        <v>3.2820089924744729E-2</v>
      </c>
    </row>
    <row r="1900" spans="1:5" x14ac:dyDescent="0.3">
      <c r="A1900" s="2">
        <f ca="1">INDEX(Simulations!$A$1:$BK$2501, 1900, MATCH("PurchaseMultiple", Simulations!$A$1:$BK$1, 0))</f>
        <v>7.2048753022257017</v>
      </c>
      <c r="B1900" s="2">
        <f ca="1">INDEX(Simulations!$A$1:$BK$2501, 1900, MATCH("ExitMultiple", Simulations!$A$1:$BK$1, 0))</f>
        <v>7.1326695332544192</v>
      </c>
      <c r="C1900" s="2">
        <f ca="1">INDEX(Simulations!$A$1:$BK$2501, 1900, MATCH("RevCAGR", Simulations!$A$1:$BK$1, 0))</f>
        <v>1.0761406764663421E-2</v>
      </c>
      <c r="D1900" s="2">
        <f ca="1">INDEX(Simulations!$A$1:$BK$2501, 1900, MATCH("SynMargin", Simulations!$A$1:$BK$1, 0))</f>
        <v>1.7721766236071079E-2</v>
      </c>
      <c r="E1900" s="2">
        <f ca="1">INDEX(Simulations!$A$1:$BK$2501, 1900, MATCH("Yr1Shock", Simulations!$A$1:$BK$1, 0))</f>
        <v>-3.350374656787386E-2</v>
      </c>
    </row>
    <row r="1901" spans="1:5" x14ac:dyDescent="0.3">
      <c r="A1901" s="2">
        <f ca="1">INDEX(Simulations!$A$1:$BK$2501, 1901, MATCH("PurchaseMultiple", Simulations!$A$1:$BK$1, 0))</f>
        <v>6.5257456449349549</v>
      </c>
      <c r="B1901" s="2">
        <f ca="1">INDEX(Simulations!$A$1:$BK$2501, 1901, MATCH("ExitMultiple", Simulations!$A$1:$BK$1, 0))</f>
        <v>7.050659057534526</v>
      </c>
      <c r="C1901" s="2">
        <f ca="1">INDEX(Simulations!$A$1:$BK$2501, 1901, MATCH("RevCAGR", Simulations!$A$1:$BK$1, 0))</f>
        <v>3.1303312703916605E-2</v>
      </c>
      <c r="D1901" s="2">
        <f ca="1">INDEX(Simulations!$A$1:$BK$2501, 1901, MATCH("SynMargin", Simulations!$A$1:$BK$1, 0))</f>
        <v>1.7004634502850047E-3</v>
      </c>
      <c r="E1901" s="2">
        <f ca="1">INDEX(Simulations!$A$1:$BK$2501, 1901, MATCH("Yr1Shock", Simulations!$A$1:$BK$1, 0))</f>
        <v>-1.2372343376829596E-2</v>
      </c>
    </row>
    <row r="1902" spans="1:5" x14ac:dyDescent="0.3">
      <c r="A1902" s="2">
        <f ca="1">INDEX(Simulations!$A$1:$BK$2501, 1902, MATCH("PurchaseMultiple", Simulations!$A$1:$BK$1, 0))</f>
        <v>6.7929920372729962</v>
      </c>
      <c r="B1902" s="2">
        <f ca="1">INDEX(Simulations!$A$1:$BK$2501, 1902, MATCH("ExitMultiple", Simulations!$A$1:$BK$1, 0))</f>
        <v>8.1354189588386809</v>
      </c>
      <c r="C1902" s="2">
        <f ca="1">INDEX(Simulations!$A$1:$BK$2501, 1902, MATCH("RevCAGR", Simulations!$A$1:$BK$1, 0))</f>
        <v>5.550816944608699E-2</v>
      </c>
      <c r="D1902" s="2">
        <f ca="1">INDEX(Simulations!$A$1:$BK$2501, 1902, MATCH("SynMargin", Simulations!$A$1:$BK$1, 0))</f>
        <v>8.2450000501465785E-3</v>
      </c>
      <c r="E1902" s="2">
        <f ca="1">INDEX(Simulations!$A$1:$BK$2501, 1902, MATCH("Yr1Shock", Simulations!$A$1:$BK$1, 0))</f>
        <v>-1.4737278293009186E-2</v>
      </c>
    </row>
    <row r="1903" spans="1:5" x14ac:dyDescent="0.3">
      <c r="A1903" s="2">
        <f ca="1">INDEX(Simulations!$A$1:$BK$2501, 1903, MATCH("PurchaseMultiple", Simulations!$A$1:$BK$1, 0))</f>
        <v>7.576386047410498</v>
      </c>
      <c r="B1903" s="2">
        <f ca="1">INDEX(Simulations!$A$1:$BK$2501, 1903, MATCH("ExitMultiple", Simulations!$A$1:$BK$1, 0))</f>
        <v>7.5109673656831877</v>
      </c>
      <c r="C1903" s="2">
        <f ca="1">INDEX(Simulations!$A$1:$BK$2501, 1903, MATCH("RevCAGR", Simulations!$A$1:$BK$1, 0))</f>
        <v>6.8144114466742206E-2</v>
      </c>
      <c r="D1903" s="2">
        <f ca="1">INDEX(Simulations!$A$1:$BK$2501, 1903, MATCH("SynMargin", Simulations!$A$1:$BK$1, 0))</f>
        <v>6.2637048857498148E-3</v>
      </c>
      <c r="E1903" s="2">
        <f ca="1">INDEX(Simulations!$A$1:$BK$2501, 1903, MATCH("Yr1Shock", Simulations!$A$1:$BK$1, 0))</f>
        <v>-2.6230950527945184E-2</v>
      </c>
    </row>
    <row r="1904" spans="1:5" x14ac:dyDescent="0.3">
      <c r="A1904" s="2">
        <f ca="1">INDEX(Simulations!$A$1:$BK$2501, 1904, MATCH("PurchaseMultiple", Simulations!$A$1:$BK$1, 0))</f>
        <v>6.7183675782867383</v>
      </c>
      <c r="B1904" s="2">
        <f ca="1">INDEX(Simulations!$A$1:$BK$2501, 1904, MATCH("ExitMultiple", Simulations!$A$1:$BK$1, 0))</f>
        <v>7.2918777136287485</v>
      </c>
      <c r="C1904" s="2">
        <f ca="1">INDEX(Simulations!$A$1:$BK$2501, 1904, MATCH("RevCAGR", Simulations!$A$1:$BK$1, 0))</f>
        <v>5.4529557851016902E-2</v>
      </c>
      <c r="D1904" s="2">
        <f ca="1">INDEX(Simulations!$A$1:$BK$2501, 1904, MATCH("SynMargin", Simulations!$A$1:$BK$1, 0))</f>
        <v>4.0836980085042149E-3</v>
      </c>
      <c r="E1904" s="2">
        <f ca="1">INDEX(Simulations!$A$1:$BK$2501, 1904, MATCH("Yr1Shock", Simulations!$A$1:$BK$1, 0))</f>
        <v>-1.4089276993073326E-2</v>
      </c>
    </row>
    <row r="1905" spans="1:5" x14ac:dyDescent="0.3">
      <c r="A1905" s="2">
        <f ca="1">INDEX(Simulations!$A$1:$BK$2501, 1905, MATCH("PurchaseMultiple", Simulations!$A$1:$BK$1, 0))</f>
        <v>6.9605583201942505</v>
      </c>
      <c r="B1905" s="2">
        <f ca="1">INDEX(Simulations!$A$1:$BK$2501, 1905, MATCH("ExitMultiple", Simulations!$A$1:$BK$1, 0))</f>
        <v>6.692777729057009</v>
      </c>
      <c r="C1905" s="2">
        <f ca="1">INDEX(Simulations!$A$1:$BK$2501, 1905, MATCH("RevCAGR", Simulations!$A$1:$BK$1, 0))</f>
        <v>9.4032001254800573E-2</v>
      </c>
      <c r="D1905" s="2">
        <f ca="1">INDEX(Simulations!$A$1:$BK$2501, 1905, MATCH("SynMargin", Simulations!$A$1:$BK$1, 0))</f>
        <v>1.586165910230555E-2</v>
      </c>
      <c r="E1905" s="2">
        <f ca="1">INDEX(Simulations!$A$1:$BK$2501, 1905, MATCH("Yr1Shock", Simulations!$A$1:$BK$1, 0))</f>
        <v>3.1660681252262943E-2</v>
      </c>
    </row>
    <row r="1906" spans="1:5" x14ac:dyDescent="0.3">
      <c r="A1906" s="2">
        <f ca="1">INDEX(Simulations!$A$1:$BK$2501, 1906, MATCH("PurchaseMultiple", Simulations!$A$1:$BK$1, 0))</f>
        <v>7.7651889828333118</v>
      </c>
      <c r="B1906" s="2">
        <f ca="1">INDEX(Simulations!$A$1:$BK$2501, 1906, MATCH("ExitMultiple", Simulations!$A$1:$BK$1, 0))</f>
        <v>7.2714757753901758</v>
      </c>
      <c r="C1906" s="2">
        <f ca="1">INDEX(Simulations!$A$1:$BK$2501, 1906, MATCH("RevCAGR", Simulations!$A$1:$BK$1, 0))</f>
        <v>2.5914338982550716E-3</v>
      </c>
      <c r="D1906" s="2">
        <f ca="1">INDEX(Simulations!$A$1:$BK$2501, 1906, MATCH("SynMargin", Simulations!$A$1:$BK$1, 0))</f>
        <v>1.1981792360851262E-2</v>
      </c>
      <c r="E1906" s="2">
        <f ca="1">INDEX(Simulations!$A$1:$BK$2501, 1906, MATCH("Yr1Shock", Simulations!$A$1:$BK$1, 0))</f>
        <v>-3.8714383803714204E-2</v>
      </c>
    </row>
    <row r="1907" spans="1:5" x14ac:dyDescent="0.3">
      <c r="A1907" s="2">
        <f ca="1">INDEX(Simulations!$A$1:$BK$2501, 1907, MATCH("PurchaseMultiple", Simulations!$A$1:$BK$1, 0))</f>
        <v>7.2956213990356362</v>
      </c>
      <c r="B1907" s="2">
        <f ca="1">INDEX(Simulations!$A$1:$BK$2501, 1907, MATCH("ExitMultiple", Simulations!$A$1:$BK$1, 0))</f>
        <v>7.7386885621575496</v>
      </c>
      <c r="C1907" s="2">
        <f ca="1">INDEX(Simulations!$A$1:$BK$2501, 1907, MATCH("RevCAGR", Simulations!$A$1:$BK$1, 0))</f>
        <v>2.81922689852869E-2</v>
      </c>
      <c r="D1907" s="2">
        <f ca="1">INDEX(Simulations!$A$1:$BK$2501, 1907, MATCH("SynMargin", Simulations!$A$1:$BK$1, 0))</f>
        <v>1.8075289858677842E-2</v>
      </c>
      <c r="E1907" s="2">
        <f ca="1">INDEX(Simulations!$A$1:$BK$2501, 1907, MATCH("Yr1Shock", Simulations!$A$1:$BK$1, 0))</f>
        <v>-6.3129817354823196E-3</v>
      </c>
    </row>
    <row r="1908" spans="1:5" x14ac:dyDescent="0.3">
      <c r="A1908" s="2">
        <f ca="1">INDEX(Simulations!$A$1:$BK$2501, 1908, MATCH("PurchaseMultiple", Simulations!$A$1:$BK$1, 0))</f>
        <v>6.6903340863690719</v>
      </c>
      <c r="B1908" s="2">
        <f ca="1">INDEX(Simulations!$A$1:$BK$2501, 1908, MATCH("ExitMultiple", Simulations!$A$1:$BK$1, 0))</f>
        <v>7.0544640921752464</v>
      </c>
      <c r="C1908" s="2">
        <f ca="1">INDEX(Simulations!$A$1:$BK$2501, 1908, MATCH("RevCAGR", Simulations!$A$1:$BK$1, 0))</f>
        <v>2.8105720648516529E-2</v>
      </c>
      <c r="D1908" s="2">
        <f ca="1">INDEX(Simulations!$A$1:$BK$2501, 1908, MATCH("SynMargin", Simulations!$A$1:$BK$1, 0))</f>
        <v>1.2537399870134254E-2</v>
      </c>
      <c r="E1908" s="2">
        <f ca="1">INDEX(Simulations!$A$1:$BK$2501, 1908, MATCH("Yr1Shock", Simulations!$A$1:$BK$1, 0))</f>
        <v>1.6097517727808302E-3</v>
      </c>
    </row>
    <row r="1909" spans="1:5" x14ac:dyDescent="0.3">
      <c r="A1909" s="2">
        <f ca="1">INDEX(Simulations!$A$1:$BK$2501, 1909, MATCH("PurchaseMultiple", Simulations!$A$1:$BK$1, 0))</f>
        <v>6.4180262370433709</v>
      </c>
      <c r="B1909" s="2">
        <f ca="1">INDEX(Simulations!$A$1:$BK$2501, 1909, MATCH("ExitMultiple", Simulations!$A$1:$BK$1, 0))</f>
        <v>7.7305976174353157</v>
      </c>
      <c r="C1909" s="2">
        <f ca="1">INDEX(Simulations!$A$1:$BK$2501, 1909, MATCH("RevCAGR", Simulations!$A$1:$BK$1, 0))</f>
        <v>4.403564907681886E-2</v>
      </c>
      <c r="D1909" s="2">
        <f ca="1">INDEX(Simulations!$A$1:$BK$2501, 1909, MATCH("SynMargin", Simulations!$A$1:$BK$1, 0))</f>
        <v>1.4799140278250456E-2</v>
      </c>
      <c r="E1909" s="2">
        <f ca="1">INDEX(Simulations!$A$1:$BK$2501, 1909, MATCH("Yr1Shock", Simulations!$A$1:$BK$1, 0))</f>
        <v>-1.1026198925440728E-2</v>
      </c>
    </row>
    <row r="1910" spans="1:5" x14ac:dyDescent="0.3">
      <c r="A1910" s="2">
        <f ca="1">INDEX(Simulations!$A$1:$BK$2501, 1910, MATCH("PurchaseMultiple", Simulations!$A$1:$BK$1, 0))</f>
        <v>7.174812632322932</v>
      </c>
      <c r="B1910" s="2">
        <f ca="1">INDEX(Simulations!$A$1:$BK$2501, 1910, MATCH("ExitMultiple", Simulations!$A$1:$BK$1, 0))</f>
        <v>6.7925415620419134</v>
      </c>
      <c r="C1910" s="2">
        <f ca="1">INDEX(Simulations!$A$1:$BK$2501, 1910, MATCH("RevCAGR", Simulations!$A$1:$BK$1, 0))</f>
        <v>9.1576504430496433E-2</v>
      </c>
      <c r="D1910" s="2">
        <f ca="1">INDEX(Simulations!$A$1:$BK$2501, 1910, MATCH("SynMargin", Simulations!$A$1:$BK$1, 0))</f>
        <v>0</v>
      </c>
      <c r="E1910" s="2">
        <f ca="1">INDEX(Simulations!$A$1:$BK$2501, 1910, MATCH("Yr1Shock", Simulations!$A$1:$BK$1, 0))</f>
        <v>-1.9711129805347626E-2</v>
      </c>
    </row>
    <row r="1911" spans="1:5" x14ac:dyDescent="0.3">
      <c r="A1911" s="2">
        <f ca="1">INDEX(Simulations!$A$1:$BK$2501, 1911, MATCH("PurchaseMultiple", Simulations!$A$1:$BK$1, 0))</f>
        <v>6.9725286646794684</v>
      </c>
      <c r="B1911" s="2">
        <f ca="1">INDEX(Simulations!$A$1:$BK$2501, 1911, MATCH("ExitMultiple", Simulations!$A$1:$BK$1, 0))</f>
        <v>7.6601986070093062</v>
      </c>
      <c r="C1911" s="2">
        <f ca="1">INDEX(Simulations!$A$1:$BK$2501, 1911, MATCH("RevCAGR", Simulations!$A$1:$BK$1, 0))</f>
        <v>2.1495260603853952E-2</v>
      </c>
      <c r="D1911" s="2">
        <f ca="1">INDEX(Simulations!$A$1:$BK$2501, 1911, MATCH("SynMargin", Simulations!$A$1:$BK$1, 0))</f>
        <v>1.6904488523671213E-2</v>
      </c>
      <c r="E1911" s="2">
        <f ca="1">INDEX(Simulations!$A$1:$BK$2501, 1911, MATCH("Yr1Shock", Simulations!$A$1:$BK$1, 0))</f>
        <v>2.2640232632724709E-2</v>
      </c>
    </row>
    <row r="1912" spans="1:5" x14ac:dyDescent="0.3">
      <c r="A1912" s="2">
        <f ca="1">INDEX(Simulations!$A$1:$BK$2501, 1912, MATCH("PurchaseMultiple", Simulations!$A$1:$BK$1, 0))</f>
        <v>6.7307743037175678</v>
      </c>
      <c r="B1912" s="2">
        <f ca="1">INDEX(Simulations!$A$1:$BK$2501, 1912, MATCH("ExitMultiple", Simulations!$A$1:$BK$1, 0))</f>
        <v>7.2904865038285926</v>
      </c>
      <c r="C1912" s="2">
        <f ca="1">INDEX(Simulations!$A$1:$BK$2501, 1912, MATCH("RevCAGR", Simulations!$A$1:$BK$1, 0))</f>
        <v>6.4888042427523537E-2</v>
      </c>
      <c r="D1912" s="2">
        <f ca="1">INDEX(Simulations!$A$1:$BK$2501, 1912, MATCH("SynMargin", Simulations!$A$1:$BK$1, 0))</f>
        <v>2.3750239959634621E-2</v>
      </c>
      <c r="E1912" s="2">
        <f ca="1">INDEX(Simulations!$A$1:$BK$2501, 1912, MATCH("Yr1Shock", Simulations!$A$1:$BK$1, 0))</f>
        <v>-1.7652612209185316E-2</v>
      </c>
    </row>
    <row r="1913" spans="1:5" x14ac:dyDescent="0.3">
      <c r="A1913" s="2">
        <f ca="1">INDEX(Simulations!$A$1:$BK$2501, 1913, MATCH("PurchaseMultiple", Simulations!$A$1:$BK$1, 0))</f>
        <v>6.5630139438381541</v>
      </c>
      <c r="B1913" s="2">
        <f ca="1">INDEX(Simulations!$A$1:$BK$2501, 1913, MATCH("ExitMultiple", Simulations!$A$1:$BK$1, 0))</f>
        <v>7.87351278592197</v>
      </c>
      <c r="C1913" s="2">
        <f ca="1">INDEX(Simulations!$A$1:$BK$2501, 1913, MATCH("RevCAGR", Simulations!$A$1:$BK$1, 0))</f>
        <v>2.997663223725907E-2</v>
      </c>
      <c r="D1913" s="2">
        <f ca="1">INDEX(Simulations!$A$1:$BK$2501, 1913, MATCH("SynMargin", Simulations!$A$1:$BK$1, 0))</f>
        <v>6.3586015665172621E-3</v>
      </c>
      <c r="E1913" s="2">
        <f ca="1">INDEX(Simulations!$A$1:$BK$2501, 1913, MATCH("Yr1Shock", Simulations!$A$1:$BK$1, 0))</f>
        <v>2.1020673794086942E-2</v>
      </c>
    </row>
    <row r="1914" spans="1:5" x14ac:dyDescent="0.3">
      <c r="A1914" s="2">
        <f ca="1">INDEX(Simulations!$A$1:$BK$2501, 1914, MATCH("PurchaseMultiple", Simulations!$A$1:$BK$1, 0))</f>
        <v>6.9243309588665172</v>
      </c>
      <c r="B1914" s="2">
        <f ca="1">INDEX(Simulations!$A$1:$BK$2501, 1914, MATCH("ExitMultiple", Simulations!$A$1:$BK$1, 0))</f>
        <v>7.5121473689248379</v>
      </c>
      <c r="C1914" s="2">
        <f ca="1">INDEX(Simulations!$A$1:$BK$2501, 1914, MATCH("RevCAGR", Simulations!$A$1:$BK$1, 0))</f>
        <v>6.4492566297251558E-2</v>
      </c>
      <c r="D1914" s="2">
        <f ca="1">INDEX(Simulations!$A$1:$BK$2501, 1914, MATCH("SynMargin", Simulations!$A$1:$BK$1, 0))</f>
        <v>0</v>
      </c>
      <c r="E1914" s="2">
        <f ca="1">INDEX(Simulations!$A$1:$BK$2501, 1914, MATCH("Yr1Shock", Simulations!$A$1:$BK$1, 0))</f>
        <v>-1.7900217704815837E-2</v>
      </c>
    </row>
    <row r="1915" spans="1:5" x14ac:dyDescent="0.3">
      <c r="A1915" s="2">
        <f ca="1">INDEX(Simulations!$A$1:$BK$2501, 1915, MATCH("PurchaseMultiple", Simulations!$A$1:$BK$1, 0))</f>
        <v>7.1133826716842776</v>
      </c>
      <c r="B1915" s="2">
        <f ca="1">INDEX(Simulations!$A$1:$BK$2501, 1915, MATCH("ExitMultiple", Simulations!$A$1:$BK$1, 0))</f>
        <v>7.7812054338445025</v>
      </c>
      <c r="C1915" s="2">
        <f ca="1">INDEX(Simulations!$A$1:$BK$2501, 1915, MATCH("RevCAGR", Simulations!$A$1:$BK$1, 0))</f>
        <v>6.0632607218305851E-2</v>
      </c>
      <c r="D1915" s="2">
        <f ca="1">INDEX(Simulations!$A$1:$BK$2501, 1915, MATCH("SynMargin", Simulations!$A$1:$BK$1, 0))</f>
        <v>1.3918881980905354E-2</v>
      </c>
      <c r="E1915" s="2">
        <f ca="1">INDEX(Simulations!$A$1:$BK$2501, 1915, MATCH("Yr1Shock", Simulations!$A$1:$BK$1, 0))</f>
        <v>-2.6705145822332157E-2</v>
      </c>
    </row>
    <row r="1916" spans="1:5" x14ac:dyDescent="0.3">
      <c r="A1916" s="2">
        <f ca="1">INDEX(Simulations!$A$1:$BK$2501, 1916, MATCH("PurchaseMultiple", Simulations!$A$1:$BK$1, 0))</f>
        <v>6.8971677942890128</v>
      </c>
      <c r="B1916" s="2">
        <f ca="1">INDEX(Simulations!$A$1:$BK$2501, 1916, MATCH("ExitMultiple", Simulations!$A$1:$BK$1, 0))</f>
        <v>8.0060616355093277</v>
      </c>
      <c r="C1916" s="2">
        <f ca="1">INDEX(Simulations!$A$1:$BK$2501, 1916, MATCH("RevCAGR", Simulations!$A$1:$BK$1, 0))</f>
        <v>9.1538366674364019E-2</v>
      </c>
      <c r="D1916" s="2">
        <f ca="1">INDEX(Simulations!$A$1:$BK$2501, 1916, MATCH("SynMargin", Simulations!$A$1:$BK$1, 0))</f>
        <v>1.0083616443214758E-2</v>
      </c>
      <c r="E1916" s="2">
        <f ca="1">INDEX(Simulations!$A$1:$BK$2501, 1916, MATCH("Yr1Shock", Simulations!$A$1:$BK$1, 0))</f>
        <v>1.3045779018871738E-2</v>
      </c>
    </row>
    <row r="1917" spans="1:5" x14ac:dyDescent="0.3">
      <c r="A1917" s="2">
        <f ca="1">INDEX(Simulations!$A$1:$BK$2501, 1917, MATCH("PurchaseMultiple", Simulations!$A$1:$BK$1, 0))</f>
        <v>7.2105420592092599</v>
      </c>
      <c r="B1917" s="2">
        <f ca="1">INDEX(Simulations!$A$1:$BK$2501, 1917, MATCH("ExitMultiple", Simulations!$A$1:$BK$1, 0))</f>
        <v>8.3673990512372178</v>
      </c>
      <c r="C1917" s="2">
        <f ca="1">INDEX(Simulations!$A$1:$BK$2501, 1917, MATCH("RevCAGR", Simulations!$A$1:$BK$1, 0))</f>
        <v>5.4543895945311005E-2</v>
      </c>
      <c r="D1917" s="2">
        <f ca="1">INDEX(Simulations!$A$1:$BK$2501, 1917, MATCH("SynMargin", Simulations!$A$1:$BK$1, 0))</f>
        <v>1.1961136494596562E-2</v>
      </c>
      <c r="E1917" s="2">
        <f ca="1">INDEX(Simulations!$A$1:$BK$2501, 1917, MATCH("Yr1Shock", Simulations!$A$1:$BK$1, 0))</f>
        <v>-1.3081741198192201E-2</v>
      </c>
    </row>
    <row r="1918" spans="1:5" x14ac:dyDescent="0.3">
      <c r="A1918" s="2">
        <f ca="1">INDEX(Simulations!$A$1:$BK$2501, 1918, MATCH("PurchaseMultiple", Simulations!$A$1:$BK$1, 0))</f>
        <v>7.6725865906721387</v>
      </c>
      <c r="B1918" s="2">
        <f ca="1">INDEX(Simulations!$A$1:$BK$2501, 1918, MATCH("ExitMultiple", Simulations!$A$1:$BK$1, 0))</f>
        <v>7.4457886107993829</v>
      </c>
      <c r="C1918" s="2">
        <f ca="1">INDEX(Simulations!$A$1:$BK$2501, 1918, MATCH("RevCAGR", Simulations!$A$1:$BK$1, 0))</f>
        <v>6.5302322283748243E-2</v>
      </c>
      <c r="D1918" s="2">
        <f ca="1">INDEX(Simulations!$A$1:$BK$2501, 1918, MATCH("SynMargin", Simulations!$A$1:$BK$1, 0))</f>
        <v>9.1583587409413796E-3</v>
      </c>
      <c r="E1918" s="2">
        <f ca="1">INDEX(Simulations!$A$1:$BK$2501, 1918, MATCH("Yr1Shock", Simulations!$A$1:$BK$1, 0))</f>
        <v>-1.9951408488578674E-2</v>
      </c>
    </row>
    <row r="1919" spans="1:5" x14ac:dyDescent="0.3">
      <c r="A1919" s="2">
        <f ca="1">INDEX(Simulations!$A$1:$BK$2501, 1919, MATCH("PurchaseMultiple", Simulations!$A$1:$BK$1, 0))</f>
        <v>7.5080714940704087</v>
      </c>
      <c r="B1919" s="2">
        <f ca="1">INDEX(Simulations!$A$1:$BK$2501, 1919, MATCH("ExitMultiple", Simulations!$A$1:$BK$1, 0))</f>
        <v>7.6843221413614442</v>
      </c>
      <c r="C1919" s="2">
        <f ca="1">INDEX(Simulations!$A$1:$BK$2501, 1919, MATCH("RevCAGR", Simulations!$A$1:$BK$1, 0))</f>
        <v>3.9645174215433086E-2</v>
      </c>
      <c r="D1919" s="2">
        <f ca="1">INDEX(Simulations!$A$1:$BK$2501, 1919, MATCH("SynMargin", Simulations!$A$1:$BK$1, 0))</f>
        <v>1.3438358129667963E-2</v>
      </c>
      <c r="E1919" s="2">
        <f ca="1">INDEX(Simulations!$A$1:$BK$2501, 1919, MATCH("Yr1Shock", Simulations!$A$1:$BK$1, 0))</f>
        <v>-4.0135819063153409E-3</v>
      </c>
    </row>
    <row r="1920" spans="1:5" x14ac:dyDescent="0.3">
      <c r="A1920" s="2">
        <f ca="1">INDEX(Simulations!$A$1:$BK$2501, 1920, MATCH("PurchaseMultiple", Simulations!$A$1:$BK$1, 0))</f>
        <v>7.237254759034597</v>
      </c>
      <c r="B1920" s="2">
        <f ca="1">INDEX(Simulations!$A$1:$BK$2501, 1920, MATCH("ExitMultiple", Simulations!$A$1:$BK$1, 0))</f>
        <v>7.3893031583538553</v>
      </c>
      <c r="C1920" s="2">
        <f ca="1">INDEX(Simulations!$A$1:$BK$2501, 1920, MATCH("RevCAGR", Simulations!$A$1:$BK$1, 0))</f>
        <v>1.7600858228786303E-2</v>
      </c>
      <c r="D1920" s="2">
        <f ca="1">INDEX(Simulations!$A$1:$BK$2501, 1920, MATCH("SynMargin", Simulations!$A$1:$BK$1, 0))</f>
        <v>1.0972574347484276E-2</v>
      </c>
      <c r="E1920" s="2">
        <f ca="1">INDEX(Simulations!$A$1:$BK$2501, 1920, MATCH("Yr1Shock", Simulations!$A$1:$BK$1, 0))</f>
        <v>-2.9268543113147071E-3</v>
      </c>
    </row>
    <row r="1921" spans="1:5" x14ac:dyDescent="0.3">
      <c r="A1921" s="2">
        <f ca="1">INDEX(Simulations!$A$1:$BK$2501, 1921, MATCH("PurchaseMultiple", Simulations!$A$1:$BK$1, 0))</f>
        <v>6.5731511586399041</v>
      </c>
      <c r="B1921" s="2">
        <f ca="1">INDEX(Simulations!$A$1:$BK$2501, 1921, MATCH("ExitMultiple", Simulations!$A$1:$BK$1, 0))</f>
        <v>7.3781541764372429</v>
      </c>
      <c r="C1921" s="2">
        <f ca="1">INDEX(Simulations!$A$1:$BK$2501, 1921, MATCH("RevCAGR", Simulations!$A$1:$BK$1, 0))</f>
        <v>4.6199300523308222E-2</v>
      </c>
      <c r="D1921" s="2">
        <f ca="1">INDEX(Simulations!$A$1:$BK$2501, 1921, MATCH("SynMargin", Simulations!$A$1:$BK$1, 0))</f>
        <v>2.9685218835889069E-3</v>
      </c>
      <c r="E1921" s="2">
        <f ca="1">INDEX(Simulations!$A$1:$BK$2501, 1921, MATCH("Yr1Shock", Simulations!$A$1:$BK$1, 0))</f>
        <v>-2.6310932387390597E-2</v>
      </c>
    </row>
    <row r="1922" spans="1:5" x14ac:dyDescent="0.3">
      <c r="A1922" s="2">
        <f ca="1">INDEX(Simulations!$A$1:$BK$2501, 1922, MATCH("PurchaseMultiple", Simulations!$A$1:$BK$1, 0))</f>
        <v>7.6483905686868034</v>
      </c>
      <c r="B1922" s="2">
        <f ca="1">INDEX(Simulations!$A$1:$BK$2501, 1922, MATCH("ExitMultiple", Simulations!$A$1:$BK$1, 0))</f>
        <v>7.9363389174518248</v>
      </c>
      <c r="C1922" s="2">
        <f ca="1">INDEX(Simulations!$A$1:$BK$2501, 1922, MATCH("RevCAGR", Simulations!$A$1:$BK$1, 0))</f>
        <v>3.4828629406034886E-2</v>
      </c>
      <c r="D1922" s="2">
        <f ca="1">INDEX(Simulations!$A$1:$BK$2501, 1922, MATCH("SynMargin", Simulations!$A$1:$BK$1, 0))</f>
        <v>5.0502724290959452E-3</v>
      </c>
      <c r="E1922" s="2">
        <f ca="1">INDEX(Simulations!$A$1:$BK$2501, 1922, MATCH("Yr1Shock", Simulations!$A$1:$BK$1, 0))</f>
        <v>3.0143853979531376E-4</v>
      </c>
    </row>
    <row r="1923" spans="1:5" x14ac:dyDescent="0.3">
      <c r="A1923" s="2">
        <f ca="1">INDEX(Simulations!$A$1:$BK$2501, 1923, MATCH("PurchaseMultiple", Simulations!$A$1:$BK$1, 0))</f>
        <v>6.4455887982565025</v>
      </c>
      <c r="B1923" s="2">
        <f ca="1">INDEX(Simulations!$A$1:$BK$2501, 1923, MATCH("ExitMultiple", Simulations!$A$1:$BK$1, 0))</f>
        <v>7.2959436322511682</v>
      </c>
      <c r="C1923" s="2">
        <f ca="1">INDEX(Simulations!$A$1:$BK$2501, 1923, MATCH("RevCAGR", Simulations!$A$1:$BK$1, 0))</f>
        <v>4.8008371991356151E-2</v>
      </c>
      <c r="D1923" s="2">
        <f ca="1">INDEX(Simulations!$A$1:$BK$2501, 1923, MATCH("SynMargin", Simulations!$A$1:$BK$1, 0))</f>
        <v>4.2374007842724427E-3</v>
      </c>
      <c r="E1923" s="2">
        <f ca="1">INDEX(Simulations!$A$1:$BK$2501, 1923, MATCH("Yr1Shock", Simulations!$A$1:$BK$1, 0))</f>
        <v>3.0958346440647579E-2</v>
      </c>
    </row>
    <row r="1924" spans="1:5" x14ac:dyDescent="0.3">
      <c r="A1924" s="2">
        <f ca="1">INDEX(Simulations!$A$1:$BK$2501, 1924, MATCH("PurchaseMultiple", Simulations!$A$1:$BK$1, 0))</f>
        <v>7.0996303428364103</v>
      </c>
      <c r="B1924" s="2">
        <f ca="1">INDEX(Simulations!$A$1:$BK$2501, 1924, MATCH("ExitMultiple", Simulations!$A$1:$BK$1, 0))</f>
        <v>7.1708738618043517</v>
      </c>
      <c r="C1924" s="2">
        <f ca="1">INDEX(Simulations!$A$1:$BK$2501, 1924, MATCH("RevCAGR", Simulations!$A$1:$BK$1, 0))</f>
        <v>-4.0614676762212171E-4</v>
      </c>
      <c r="D1924" s="2">
        <f ca="1">INDEX(Simulations!$A$1:$BK$2501, 1924, MATCH("SynMargin", Simulations!$A$1:$BK$1, 0))</f>
        <v>6.8380412256881535E-3</v>
      </c>
      <c r="E1924" s="2">
        <f ca="1">INDEX(Simulations!$A$1:$BK$2501, 1924, MATCH("Yr1Shock", Simulations!$A$1:$BK$1, 0))</f>
        <v>1.6011860436059958E-2</v>
      </c>
    </row>
    <row r="1925" spans="1:5" x14ac:dyDescent="0.3">
      <c r="A1925" s="2">
        <f ca="1">INDEX(Simulations!$A$1:$BK$2501, 1925, MATCH("PurchaseMultiple", Simulations!$A$1:$BK$1, 0))</f>
        <v>7.3130944596621914</v>
      </c>
      <c r="B1925" s="2">
        <f ca="1">INDEX(Simulations!$A$1:$BK$2501, 1925, MATCH("ExitMultiple", Simulations!$A$1:$BK$1, 0))</f>
        <v>7.4578767322678505</v>
      </c>
      <c r="C1925" s="2">
        <f ca="1">INDEX(Simulations!$A$1:$BK$2501, 1925, MATCH("RevCAGR", Simulations!$A$1:$BK$1, 0))</f>
        <v>2.7942932474706778E-2</v>
      </c>
      <c r="D1925" s="2">
        <f ca="1">INDEX(Simulations!$A$1:$BK$2501, 1925, MATCH("SynMargin", Simulations!$A$1:$BK$1, 0))</f>
        <v>9.8507872569163109E-3</v>
      </c>
      <c r="E1925" s="2">
        <f ca="1">INDEX(Simulations!$A$1:$BK$2501, 1925, MATCH("Yr1Shock", Simulations!$A$1:$BK$1, 0))</f>
        <v>6.2010395768113385E-3</v>
      </c>
    </row>
    <row r="1926" spans="1:5" x14ac:dyDescent="0.3">
      <c r="A1926" s="2">
        <f ca="1">INDEX(Simulations!$A$1:$BK$2501, 1926, MATCH("PurchaseMultiple", Simulations!$A$1:$BK$1, 0))</f>
        <v>6.9801148198650766</v>
      </c>
      <c r="B1926" s="2">
        <f ca="1">INDEX(Simulations!$A$1:$BK$2501, 1926, MATCH("ExitMultiple", Simulations!$A$1:$BK$1, 0))</f>
        <v>7.3907763124809929</v>
      </c>
      <c r="C1926" s="2">
        <f ca="1">INDEX(Simulations!$A$1:$BK$2501, 1926, MATCH("RevCAGR", Simulations!$A$1:$BK$1, 0))</f>
        <v>7.778760945764282E-2</v>
      </c>
      <c r="D1926" s="2">
        <f ca="1">INDEX(Simulations!$A$1:$BK$2501, 1926, MATCH("SynMargin", Simulations!$A$1:$BK$1, 0))</f>
        <v>8.398911662001924E-3</v>
      </c>
      <c r="E1926" s="2">
        <f ca="1">INDEX(Simulations!$A$1:$BK$2501, 1926, MATCH("Yr1Shock", Simulations!$A$1:$BK$1, 0))</f>
        <v>-2.7003547627657914E-2</v>
      </c>
    </row>
    <row r="1927" spans="1:5" x14ac:dyDescent="0.3">
      <c r="A1927" s="2">
        <f ca="1">INDEX(Simulations!$A$1:$BK$2501, 1927, MATCH("PurchaseMultiple", Simulations!$A$1:$BK$1, 0))</f>
        <v>7.8026379441178904</v>
      </c>
      <c r="B1927" s="2">
        <f ca="1">INDEX(Simulations!$A$1:$BK$2501, 1927, MATCH("ExitMultiple", Simulations!$A$1:$BK$1, 0))</f>
        <v>6.928798257182029</v>
      </c>
      <c r="C1927" s="2">
        <f ca="1">INDEX(Simulations!$A$1:$BK$2501, 1927, MATCH("RevCAGR", Simulations!$A$1:$BK$1, 0))</f>
        <v>9.9369723100761559E-2</v>
      </c>
      <c r="D1927" s="2">
        <f ca="1">INDEX(Simulations!$A$1:$BK$2501, 1927, MATCH("SynMargin", Simulations!$A$1:$BK$1, 0))</f>
        <v>8.286835022465338E-3</v>
      </c>
      <c r="E1927" s="2">
        <f ca="1">INDEX(Simulations!$A$1:$BK$2501, 1927, MATCH("Yr1Shock", Simulations!$A$1:$BK$1, 0))</f>
        <v>2.479513469863559E-2</v>
      </c>
    </row>
    <row r="1928" spans="1:5" x14ac:dyDescent="0.3">
      <c r="A1928" s="2">
        <f ca="1">INDEX(Simulations!$A$1:$BK$2501, 1928, MATCH("PurchaseMultiple", Simulations!$A$1:$BK$1, 0))</f>
        <v>6.4664614079485494</v>
      </c>
      <c r="B1928" s="2">
        <f ca="1">INDEX(Simulations!$A$1:$BK$2501, 1928, MATCH("ExitMultiple", Simulations!$A$1:$BK$1, 0))</f>
        <v>8.0035812304660112</v>
      </c>
      <c r="C1928" s="2">
        <f ca="1">INDEX(Simulations!$A$1:$BK$2501, 1928, MATCH("RevCAGR", Simulations!$A$1:$BK$1, 0))</f>
        <v>8.2277654393607125E-2</v>
      </c>
      <c r="D1928" s="2">
        <f ca="1">INDEX(Simulations!$A$1:$BK$2501, 1928, MATCH("SynMargin", Simulations!$A$1:$BK$1, 0))</f>
        <v>8.6209309101586817E-3</v>
      </c>
      <c r="E1928" s="2">
        <f ca="1">INDEX(Simulations!$A$1:$BK$2501, 1928, MATCH("Yr1Shock", Simulations!$A$1:$BK$1, 0))</f>
        <v>-9.5162561529007379E-3</v>
      </c>
    </row>
    <row r="1929" spans="1:5" x14ac:dyDescent="0.3">
      <c r="A1929" s="2">
        <f ca="1">INDEX(Simulations!$A$1:$BK$2501, 1929, MATCH("PurchaseMultiple", Simulations!$A$1:$BK$1, 0))</f>
        <v>7.2538824556253578</v>
      </c>
      <c r="B1929" s="2">
        <f ca="1">INDEX(Simulations!$A$1:$BK$2501, 1929, MATCH("ExitMultiple", Simulations!$A$1:$BK$1, 0))</f>
        <v>7.5197301357769666</v>
      </c>
      <c r="C1929" s="2">
        <f ca="1">INDEX(Simulations!$A$1:$BK$2501, 1929, MATCH("RevCAGR", Simulations!$A$1:$BK$1, 0))</f>
        <v>2.1145954517204392E-2</v>
      </c>
      <c r="D1929" s="2">
        <f ca="1">INDEX(Simulations!$A$1:$BK$2501, 1929, MATCH("SynMargin", Simulations!$A$1:$BK$1, 0))</f>
        <v>1.0126463811686397E-2</v>
      </c>
      <c r="E1929" s="2">
        <f ca="1">INDEX(Simulations!$A$1:$BK$2501, 1929, MATCH("Yr1Shock", Simulations!$A$1:$BK$1, 0))</f>
        <v>2.6511025012777158E-2</v>
      </c>
    </row>
    <row r="1930" spans="1:5" x14ac:dyDescent="0.3">
      <c r="A1930" s="2">
        <f ca="1">INDEX(Simulations!$A$1:$BK$2501, 1930, MATCH("PurchaseMultiple", Simulations!$A$1:$BK$1, 0))</f>
        <v>7.0255817460859014</v>
      </c>
      <c r="B1930" s="2">
        <f ca="1">INDEX(Simulations!$A$1:$BK$2501, 1930, MATCH("ExitMultiple", Simulations!$A$1:$BK$1, 0))</f>
        <v>7.2928282568711866</v>
      </c>
      <c r="C1930" s="2">
        <f ca="1">INDEX(Simulations!$A$1:$BK$2501, 1930, MATCH("RevCAGR", Simulations!$A$1:$BK$1, 0))</f>
        <v>3.8570770222738138E-2</v>
      </c>
      <c r="D1930" s="2">
        <f ca="1">INDEX(Simulations!$A$1:$BK$2501, 1930, MATCH("SynMargin", Simulations!$A$1:$BK$1, 0))</f>
        <v>2.5632485756816557E-3</v>
      </c>
      <c r="E1930" s="2">
        <f ca="1">INDEX(Simulations!$A$1:$BK$2501, 1930, MATCH("Yr1Shock", Simulations!$A$1:$BK$1, 0))</f>
        <v>-7.7359237255240163E-3</v>
      </c>
    </row>
    <row r="1931" spans="1:5" x14ac:dyDescent="0.3">
      <c r="A1931" s="2">
        <f ca="1">INDEX(Simulations!$A$1:$BK$2501, 1931, MATCH("PurchaseMultiple", Simulations!$A$1:$BK$1, 0))</f>
        <v>6.4261669469368199</v>
      </c>
      <c r="B1931" s="2">
        <f ca="1">INDEX(Simulations!$A$1:$BK$2501, 1931, MATCH("ExitMultiple", Simulations!$A$1:$BK$1, 0))</f>
        <v>7.333421837490012</v>
      </c>
      <c r="C1931" s="2">
        <f ca="1">INDEX(Simulations!$A$1:$BK$2501, 1931, MATCH("RevCAGR", Simulations!$A$1:$BK$1, 0))</f>
        <v>4.5617685331532543E-2</v>
      </c>
      <c r="D1931" s="2">
        <f ca="1">INDEX(Simulations!$A$1:$BK$2501, 1931, MATCH("SynMargin", Simulations!$A$1:$BK$1, 0))</f>
        <v>7.7553835188974209E-3</v>
      </c>
      <c r="E1931" s="2">
        <f ca="1">INDEX(Simulations!$A$1:$BK$2501, 1931, MATCH("Yr1Shock", Simulations!$A$1:$BK$1, 0))</f>
        <v>-1.4472298185903929E-2</v>
      </c>
    </row>
    <row r="1932" spans="1:5" x14ac:dyDescent="0.3">
      <c r="A1932" s="2">
        <f ca="1">INDEX(Simulations!$A$1:$BK$2501, 1932, MATCH("PurchaseMultiple", Simulations!$A$1:$BK$1, 0))</f>
        <v>7.0777598141364946</v>
      </c>
      <c r="B1932" s="2">
        <f ca="1">INDEX(Simulations!$A$1:$BK$2501, 1932, MATCH("ExitMultiple", Simulations!$A$1:$BK$1, 0))</f>
        <v>7.6804677452086887</v>
      </c>
      <c r="C1932" s="2">
        <f ca="1">INDEX(Simulations!$A$1:$BK$2501, 1932, MATCH("RevCAGR", Simulations!$A$1:$BK$1, 0))</f>
        <v>2.7069691677956337E-2</v>
      </c>
      <c r="D1932" s="2">
        <f ca="1">INDEX(Simulations!$A$1:$BK$2501, 1932, MATCH("SynMargin", Simulations!$A$1:$BK$1, 0))</f>
        <v>1.1595916720594181E-2</v>
      </c>
      <c r="E1932" s="2">
        <f ca="1">INDEX(Simulations!$A$1:$BK$2501, 1932, MATCH("Yr1Shock", Simulations!$A$1:$BK$1, 0))</f>
        <v>1.7923452853557478E-2</v>
      </c>
    </row>
    <row r="1933" spans="1:5" x14ac:dyDescent="0.3">
      <c r="A1933" s="2">
        <f ca="1">INDEX(Simulations!$A$1:$BK$2501, 1933, MATCH("PurchaseMultiple", Simulations!$A$1:$BK$1, 0))</f>
        <v>7.1633651459685268</v>
      </c>
      <c r="B1933" s="2">
        <f ca="1">INDEX(Simulations!$A$1:$BK$2501, 1933, MATCH("ExitMultiple", Simulations!$A$1:$BK$1, 0))</f>
        <v>7.4696113891260998</v>
      </c>
      <c r="C1933" s="2">
        <f ca="1">INDEX(Simulations!$A$1:$BK$2501, 1933, MATCH("RevCAGR", Simulations!$A$1:$BK$1, 0))</f>
        <v>2.509562249629543E-2</v>
      </c>
      <c r="D1933" s="2">
        <f ca="1">INDEX(Simulations!$A$1:$BK$2501, 1933, MATCH("SynMargin", Simulations!$A$1:$BK$1, 0))</f>
        <v>3.1826365660008512E-3</v>
      </c>
      <c r="E1933" s="2">
        <f ca="1">INDEX(Simulations!$A$1:$BK$2501, 1933, MATCH("Yr1Shock", Simulations!$A$1:$BK$1, 0))</f>
        <v>-1.5805370551650242E-2</v>
      </c>
    </row>
    <row r="1934" spans="1:5" x14ac:dyDescent="0.3">
      <c r="A1934" s="2">
        <f ca="1">INDEX(Simulations!$A$1:$BK$2501, 1934, MATCH("PurchaseMultiple", Simulations!$A$1:$BK$1, 0))</f>
        <v>7.3997953575667683</v>
      </c>
      <c r="B1934" s="2">
        <f ca="1">INDEX(Simulations!$A$1:$BK$2501, 1934, MATCH("ExitMultiple", Simulations!$A$1:$BK$1, 0))</f>
        <v>6.9773193268024896</v>
      </c>
      <c r="C1934" s="2">
        <f ca="1">INDEX(Simulations!$A$1:$BK$2501, 1934, MATCH("RevCAGR", Simulations!$A$1:$BK$1, 0))</f>
        <v>2.735287228951612E-2</v>
      </c>
      <c r="D1934" s="2">
        <f ca="1">INDEX(Simulations!$A$1:$BK$2501, 1934, MATCH("SynMargin", Simulations!$A$1:$BK$1, 0))</f>
        <v>9.2945706365491505E-3</v>
      </c>
      <c r="E1934" s="2">
        <f ca="1">INDEX(Simulations!$A$1:$BK$2501, 1934, MATCH("Yr1Shock", Simulations!$A$1:$BK$1, 0))</f>
        <v>3.4517140050910132E-2</v>
      </c>
    </row>
    <row r="1935" spans="1:5" x14ac:dyDescent="0.3">
      <c r="A1935" s="2">
        <f ca="1">INDEX(Simulations!$A$1:$BK$2501, 1935, MATCH("PurchaseMultiple", Simulations!$A$1:$BK$1, 0))</f>
        <v>7.5029685458358371</v>
      </c>
      <c r="B1935" s="2">
        <f ca="1">INDEX(Simulations!$A$1:$BK$2501, 1935, MATCH("ExitMultiple", Simulations!$A$1:$BK$1, 0))</f>
        <v>7.2378899678549482</v>
      </c>
      <c r="C1935" s="2">
        <f ca="1">INDEX(Simulations!$A$1:$BK$2501, 1935, MATCH("RevCAGR", Simulations!$A$1:$BK$1, 0))</f>
        <v>-0.02</v>
      </c>
      <c r="D1935" s="2">
        <f ca="1">INDEX(Simulations!$A$1:$BK$2501, 1935, MATCH("SynMargin", Simulations!$A$1:$BK$1, 0))</f>
        <v>7.0573732875164668E-3</v>
      </c>
      <c r="E1935" s="2">
        <f ca="1">INDEX(Simulations!$A$1:$BK$2501, 1935, MATCH("Yr1Shock", Simulations!$A$1:$BK$1, 0))</f>
        <v>-1.1321580249272404E-2</v>
      </c>
    </row>
    <row r="1936" spans="1:5" x14ac:dyDescent="0.3">
      <c r="A1936" s="2">
        <f ca="1">INDEX(Simulations!$A$1:$BK$2501, 1936, MATCH("PurchaseMultiple", Simulations!$A$1:$BK$1, 0))</f>
        <v>7.3060202448586686</v>
      </c>
      <c r="B1936" s="2">
        <f ca="1">INDEX(Simulations!$A$1:$BK$2501, 1936, MATCH("ExitMultiple", Simulations!$A$1:$BK$1, 0))</f>
        <v>7.8577885756609236</v>
      </c>
      <c r="C1936" s="2">
        <f ca="1">INDEX(Simulations!$A$1:$BK$2501, 1936, MATCH("RevCAGR", Simulations!$A$1:$BK$1, 0))</f>
        <v>3.8833732711754755E-2</v>
      </c>
      <c r="D1936" s="2">
        <f ca="1">INDEX(Simulations!$A$1:$BK$2501, 1936, MATCH("SynMargin", Simulations!$A$1:$BK$1, 0))</f>
        <v>3.5934105408188541E-3</v>
      </c>
      <c r="E1936" s="2">
        <f ca="1">INDEX(Simulations!$A$1:$BK$2501, 1936, MATCH("Yr1Shock", Simulations!$A$1:$BK$1, 0))</f>
        <v>2.885681361463181E-5</v>
      </c>
    </row>
    <row r="1937" spans="1:5" x14ac:dyDescent="0.3">
      <c r="A1937" s="2">
        <f ca="1">INDEX(Simulations!$A$1:$BK$2501, 1937, MATCH("PurchaseMultiple", Simulations!$A$1:$BK$1, 0))</f>
        <v>6.7319031362453252</v>
      </c>
      <c r="B1937" s="2">
        <f ca="1">INDEX(Simulations!$A$1:$BK$2501, 1937, MATCH("ExitMultiple", Simulations!$A$1:$BK$1, 0))</f>
        <v>7.158296377947817</v>
      </c>
      <c r="C1937" s="2">
        <f ca="1">INDEX(Simulations!$A$1:$BK$2501, 1937, MATCH("RevCAGR", Simulations!$A$1:$BK$1, 0))</f>
        <v>2.4632179358869827E-2</v>
      </c>
      <c r="D1937" s="2">
        <f ca="1">INDEX(Simulations!$A$1:$BK$2501, 1937, MATCH("SynMargin", Simulations!$A$1:$BK$1, 0))</f>
        <v>1.5784949442818295E-2</v>
      </c>
      <c r="E1937" s="2">
        <f ca="1">INDEX(Simulations!$A$1:$BK$2501, 1937, MATCH("Yr1Shock", Simulations!$A$1:$BK$1, 0))</f>
        <v>1.1527442081712407E-2</v>
      </c>
    </row>
    <row r="1938" spans="1:5" x14ac:dyDescent="0.3">
      <c r="A1938" s="2">
        <f ca="1">INDEX(Simulations!$A$1:$BK$2501, 1938, MATCH("PurchaseMultiple", Simulations!$A$1:$BK$1, 0))</f>
        <v>6.7329504785320564</v>
      </c>
      <c r="B1938" s="2">
        <f ca="1">INDEX(Simulations!$A$1:$BK$2501, 1938, MATCH("ExitMultiple", Simulations!$A$1:$BK$1, 0))</f>
        <v>7.9249190838629655</v>
      </c>
      <c r="C1938" s="2">
        <f ca="1">INDEX(Simulations!$A$1:$BK$2501, 1938, MATCH("RevCAGR", Simulations!$A$1:$BK$1, 0))</f>
        <v>8.1949844363903318E-2</v>
      </c>
      <c r="D1938" s="2">
        <f ca="1">INDEX(Simulations!$A$1:$BK$2501, 1938, MATCH("SynMargin", Simulations!$A$1:$BK$1, 0))</f>
        <v>1.2307701264724889E-2</v>
      </c>
      <c r="E1938" s="2">
        <f ca="1">INDEX(Simulations!$A$1:$BK$2501, 1938, MATCH("Yr1Shock", Simulations!$A$1:$BK$1, 0))</f>
        <v>2.5984888026358371E-2</v>
      </c>
    </row>
    <row r="1939" spans="1:5" x14ac:dyDescent="0.3">
      <c r="A1939" s="2">
        <f ca="1">INDEX(Simulations!$A$1:$BK$2501, 1939, MATCH("PurchaseMultiple", Simulations!$A$1:$BK$1, 0))</f>
        <v>7.197036584443623</v>
      </c>
      <c r="B1939" s="2">
        <f ca="1">INDEX(Simulations!$A$1:$BK$2501, 1939, MATCH("ExitMultiple", Simulations!$A$1:$BK$1, 0))</f>
        <v>7.3472998601250108</v>
      </c>
      <c r="C1939" s="2">
        <f ca="1">INDEX(Simulations!$A$1:$BK$2501, 1939, MATCH("RevCAGR", Simulations!$A$1:$BK$1, 0))</f>
        <v>1.2150755776404638E-2</v>
      </c>
      <c r="D1939" s="2">
        <f ca="1">INDEX(Simulations!$A$1:$BK$2501, 1939, MATCH("SynMargin", Simulations!$A$1:$BK$1, 0))</f>
        <v>1.0838215217262002E-2</v>
      </c>
      <c r="E1939" s="2">
        <f ca="1">INDEX(Simulations!$A$1:$BK$2501, 1939, MATCH("Yr1Shock", Simulations!$A$1:$BK$1, 0))</f>
        <v>-4.1044922143749184E-3</v>
      </c>
    </row>
    <row r="1940" spans="1:5" x14ac:dyDescent="0.3">
      <c r="A1940" s="2">
        <f ca="1">INDEX(Simulations!$A$1:$BK$2501, 1940, MATCH("PurchaseMultiple", Simulations!$A$1:$BK$1, 0))</f>
        <v>6.9581206718336404</v>
      </c>
      <c r="B1940" s="2">
        <f ca="1">INDEX(Simulations!$A$1:$BK$2501, 1940, MATCH("ExitMultiple", Simulations!$A$1:$BK$1, 0))</f>
        <v>7.8820477136205609</v>
      </c>
      <c r="C1940" s="2">
        <f ca="1">INDEX(Simulations!$A$1:$BK$2501, 1940, MATCH("RevCAGR", Simulations!$A$1:$BK$1, 0))</f>
        <v>5.3068344206580895E-2</v>
      </c>
      <c r="D1940" s="2">
        <f ca="1">INDEX(Simulations!$A$1:$BK$2501, 1940, MATCH("SynMargin", Simulations!$A$1:$BK$1, 0))</f>
        <v>7.1911396322984307E-3</v>
      </c>
      <c r="E1940" s="2">
        <f ca="1">INDEX(Simulations!$A$1:$BK$2501, 1940, MATCH("Yr1Shock", Simulations!$A$1:$BK$1, 0))</f>
        <v>5.6976483725819276E-3</v>
      </c>
    </row>
    <row r="1941" spans="1:5" x14ac:dyDescent="0.3">
      <c r="A1941" s="2">
        <f ca="1">INDEX(Simulations!$A$1:$BK$2501, 1941, MATCH("PurchaseMultiple", Simulations!$A$1:$BK$1, 0))</f>
        <v>6.8987987126253927</v>
      </c>
      <c r="B1941" s="2">
        <f ca="1">INDEX(Simulations!$A$1:$BK$2501, 1941, MATCH("ExitMultiple", Simulations!$A$1:$BK$1, 0))</f>
        <v>7.3353220074678109</v>
      </c>
      <c r="C1941" s="2">
        <f ca="1">INDEX(Simulations!$A$1:$BK$2501, 1941, MATCH("RevCAGR", Simulations!$A$1:$BK$1, 0))</f>
        <v>4.0774160386032397E-2</v>
      </c>
      <c r="D1941" s="2">
        <f ca="1">INDEX(Simulations!$A$1:$BK$2501, 1941, MATCH("SynMargin", Simulations!$A$1:$BK$1, 0))</f>
        <v>1.4227842061916757E-2</v>
      </c>
      <c r="E1941" s="2">
        <f ca="1">INDEX(Simulations!$A$1:$BK$2501, 1941, MATCH("Yr1Shock", Simulations!$A$1:$BK$1, 0))</f>
        <v>-2.6635601143411684E-2</v>
      </c>
    </row>
    <row r="1942" spans="1:5" x14ac:dyDescent="0.3">
      <c r="A1942" s="2">
        <f ca="1">INDEX(Simulations!$A$1:$BK$2501, 1942, MATCH("PurchaseMultiple", Simulations!$A$1:$BK$1, 0))</f>
        <v>7.3511199927854358</v>
      </c>
      <c r="B1942" s="2">
        <f ca="1">INDEX(Simulations!$A$1:$BK$2501, 1942, MATCH("ExitMultiple", Simulations!$A$1:$BK$1, 0))</f>
        <v>7.820501858821034</v>
      </c>
      <c r="C1942" s="2">
        <f ca="1">INDEX(Simulations!$A$1:$BK$2501, 1942, MATCH("RevCAGR", Simulations!$A$1:$BK$1, 0))</f>
        <v>4.9145250567091639E-2</v>
      </c>
      <c r="D1942" s="2">
        <f ca="1">INDEX(Simulations!$A$1:$BK$2501, 1942, MATCH("SynMargin", Simulations!$A$1:$BK$1, 0))</f>
        <v>5.4793073271645091E-3</v>
      </c>
      <c r="E1942" s="2">
        <f ca="1">INDEX(Simulations!$A$1:$BK$2501, 1942, MATCH("Yr1Shock", Simulations!$A$1:$BK$1, 0))</f>
        <v>1.2414311560726247E-2</v>
      </c>
    </row>
    <row r="1943" spans="1:5" x14ac:dyDescent="0.3">
      <c r="A1943" s="2">
        <f ca="1">INDEX(Simulations!$A$1:$BK$2501, 1943, MATCH("PurchaseMultiple", Simulations!$A$1:$BK$1, 0))</f>
        <v>6.137726587228352</v>
      </c>
      <c r="B1943" s="2">
        <f ca="1">INDEX(Simulations!$A$1:$BK$2501, 1943, MATCH("ExitMultiple", Simulations!$A$1:$BK$1, 0))</f>
        <v>7.4202499564409203</v>
      </c>
      <c r="C1943" s="2">
        <f ca="1">INDEX(Simulations!$A$1:$BK$2501, 1943, MATCH("RevCAGR", Simulations!$A$1:$BK$1, 0))</f>
        <v>4.6455362786647053E-2</v>
      </c>
      <c r="D1943" s="2">
        <f ca="1">INDEX(Simulations!$A$1:$BK$2501, 1943, MATCH("SynMargin", Simulations!$A$1:$BK$1, 0))</f>
        <v>6.2925802953052237E-3</v>
      </c>
      <c r="E1943" s="2">
        <f ca="1">INDEX(Simulations!$A$1:$BK$2501, 1943, MATCH("Yr1Shock", Simulations!$A$1:$BK$1, 0))</f>
        <v>1.2823639226326393E-2</v>
      </c>
    </row>
    <row r="1944" spans="1:5" x14ac:dyDescent="0.3">
      <c r="A1944" s="2">
        <f ca="1">INDEX(Simulations!$A$1:$BK$2501, 1944, MATCH("PurchaseMultiple", Simulations!$A$1:$BK$1, 0))</f>
        <v>7.3682794174585329</v>
      </c>
      <c r="B1944" s="2">
        <f ca="1">INDEX(Simulations!$A$1:$BK$2501, 1944, MATCH("ExitMultiple", Simulations!$A$1:$BK$1, 0))</f>
        <v>7.584733331045288</v>
      </c>
      <c r="C1944" s="2">
        <f ca="1">INDEX(Simulations!$A$1:$BK$2501, 1944, MATCH("RevCAGR", Simulations!$A$1:$BK$1, 0))</f>
        <v>3.2478654544074406E-2</v>
      </c>
      <c r="D1944" s="2">
        <f ca="1">INDEX(Simulations!$A$1:$BK$2501, 1944, MATCH("SynMargin", Simulations!$A$1:$BK$1, 0))</f>
        <v>7.8588757493127364E-3</v>
      </c>
      <c r="E1944" s="2">
        <f ca="1">INDEX(Simulations!$A$1:$BK$2501, 1944, MATCH("Yr1Shock", Simulations!$A$1:$BK$1, 0))</f>
        <v>-1.6403686744250832E-3</v>
      </c>
    </row>
    <row r="1945" spans="1:5" x14ac:dyDescent="0.3">
      <c r="A1945" s="2">
        <f ca="1">INDEX(Simulations!$A$1:$BK$2501, 1945, MATCH("PurchaseMultiple", Simulations!$A$1:$BK$1, 0))</f>
        <v>7.2705280077610226</v>
      </c>
      <c r="B1945" s="2">
        <f ca="1">INDEX(Simulations!$A$1:$BK$2501, 1945, MATCH("ExitMultiple", Simulations!$A$1:$BK$1, 0))</f>
        <v>7.357131790911204</v>
      </c>
      <c r="C1945" s="2">
        <f ca="1">INDEX(Simulations!$A$1:$BK$2501, 1945, MATCH("RevCAGR", Simulations!$A$1:$BK$1, 0))</f>
        <v>3.6112073136764566E-2</v>
      </c>
      <c r="D1945" s="2">
        <f ca="1">INDEX(Simulations!$A$1:$BK$2501, 1945, MATCH("SynMargin", Simulations!$A$1:$BK$1, 0))</f>
        <v>5.8519724666767038E-3</v>
      </c>
      <c r="E1945" s="2">
        <f ca="1">INDEX(Simulations!$A$1:$BK$2501, 1945, MATCH("Yr1Shock", Simulations!$A$1:$BK$1, 0))</f>
        <v>-2.9730194279178807E-2</v>
      </c>
    </row>
    <row r="1946" spans="1:5" x14ac:dyDescent="0.3">
      <c r="A1946" s="2">
        <f ca="1">INDEX(Simulations!$A$1:$BK$2501, 1946, MATCH("PurchaseMultiple", Simulations!$A$1:$BK$1, 0))</f>
        <v>6.1328982217131429</v>
      </c>
      <c r="B1946" s="2">
        <f ca="1">INDEX(Simulations!$A$1:$BK$2501, 1946, MATCH("ExitMultiple", Simulations!$A$1:$BK$1, 0))</f>
        <v>6.9329055957675996</v>
      </c>
      <c r="C1946" s="2">
        <f ca="1">INDEX(Simulations!$A$1:$BK$2501, 1946, MATCH("RevCAGR", Simulations!$A$1:$BK$1, 0))</f>
        <v>4.69374725743502E-2</v>
      </c>
      <c r="D1946" s="2">
        <f ca="1">INDEX(Simulations!$A$1:$BK$2501, 1946, MATCH("SynMargin", Simulations!$A$1:$BK$1, 0))</f>
        <v>1.2242828423516993E-2</v>
      </c>
      <c r="E1946" s="2">
        <f ca="1">INDEX(Simulations!$A$1:$BK$2501, 1946, MATCH("Yr1Shock", Simulations!$A$1:$BK$1, 0))</f>
        <v>-9.2238260682313863E-4</v>
      </c>
    </row>
    <row r="1947" spans="1:5" x14ac:dyDescent="0.3">
      <c r="A1947" s="2">
        <f ca="1">INDEX(Simulations!$A$1:$BK$2501, 1947, MATCH("PurchaseMultiple", Simulations!$A$1:$BK$1, 0))</f>
        <v>6.6142982056575956</v>
      </c>
      <c r="B1947" s="2">
        <f ca="1">INDEX(Simulations!$A$1:$BK$2501, 1947, MATCH("ExitMultiple", Simulations!$A$1:$BK$1, 0))</f>
        <v>7.49801073927659</v>
      </c>
      <c r="C1947" s="2">
        <f ca="1">INDEX(Simulations!$A$1:$BK$2501, 1947, MATCH("RevCAGR", Simulations!$A$1:$BK$1, 0))</f>
        <v>2.6323880168039375E-2</v>
      </c>
      <c r="D1947" s="2">
        <f ca="1">INDEX(Simulations!$A$1:$BK$2501, 1947, MATCH("SynMargin", Simulations!$A$1:$BK$1, 0))</f>
        <v>1.2828740996634641E-2</v>
      </c>
      <c r="E1947" s="2">
        <f ca="1">INDEX(Simulations!$A$1:$BK$2501, 1947, MATCH("Yr1Shock", Simulations!$A$1:$BK$1, 0))</f>
        <v>-2.2217168721409077E-2</v>
      </c>
    </row>
    <row r="1948" spans="1:5" x14ac:dyDescent="0.3">
      <c r="A1948" s="2">
        <f ca="1">INDEX(Simulations!$A$1:$BK$2501, 1948, MATCH("PurchaseMultiple", Simulations!$A$1:$BK$1, 0))</f>
        <v>7.265279901416668</v>
      </c>
      <c r="B1948" s="2">
        <f ca="1">INDEX(Simulations!$A$1:$BK$2501, 1948, MATCH("ExitMultiple", Simulations!$A$1:$BK$1, 0))</f>
        <v>8.3550345247040418</v>
      </c>
      <c r="C1948" s="2">
        <f ca="1">INDEX(Simulations!$A$1:$BK$2501, 1948, MATCH("RevCAGR", Simulations!$A$1:$BK$1, 0))</f>
        <v>1.5052342358182712E-2</v>
      </c>
      <c r="D1948" s="2">
        <f ca="1">INDEX(Simulations!$A$1:$BK$2501, 1948, MATCH("SynMargin", Simulations!$A$1:$BK$1, 0))</f>
        <v>4.9200831961003387E-3</v>
      </c>
      <c r="E1948" s="2">
        <f ca="1">INDEX(Simulations!$A$1:$BK$2501, 1948, MATCH("Yr1Shock", Simulations!$A$1:$BK$1, 0))</f>
        <v>1.2941252122373362E-2</v>
      </c>
    </row>
    <row r="1949" spans="1:5" x14ac:dyDescent="0.3">
      <c r="A1949" s="2">
        <f ca="1">INDEX(Simulations!$A$1:$BK$2501, 1949, MATCH("PurchaseMultiple", Simulations!$A$1:$BK$1, 0))</f>
        <v>7.3421274587829721</v>
      </c>
      <c r="B1949" s="2">
        <f ca="1">INDEX(Simulations!$A$1:$BK$2501, 1949, MATCH("ExitMultiple", Simulations!$A$1:$BK$1, 0))</f>
        <v>7.7220624048756861</v>
      </c>
      <c r="C1949" s="2">
        <f ca="1">INDEX(Simulations!$A$1:$BK$2501, 1949, MATCH("RevCAGR", Simulations!$A$1:$BK$1, 0))</f>
        <v>-8.6176793202643459E-3</v>
      </c>
      <c r="D1949" s="2">
        <f ca="1">INDEX(Simulations!$A$1:$BK$2501, 1949, MATCH("SynMargin", Simulations!$A$1:$BK$1, 0))</f>
        <v>1.6925994650871905E-3</v>
      </c>
      <c r="E1949" s="2">
        <f ca="1">INDEX(Simulations!$A$1:$BK$2501, 1949, MATCH("Yr1Shock", Simulations!$A$1:$BK$1, 0))</f>
        <v>-1.3021666154615601E-2</v>
      </c>
    </row>
    <row r="1950" spans="1:5" x14ac:dyDescent="0.3">
      <c r="A1950" s="2">
        <f ca="1">INDEX(Simulations!$A$1:$BK$2501, 1950, MATCH("PurchaseMultiple", Simulations!$A$1:$BK$1, 0))</f>
        <v>7.1886863726842831</v>
      </c>
      <c r="B1950" s="2">
        <f ca="1">INDEX(Simulations!$A$1:$BK$2501, 1950, MATCH("ExitMultiple", Simulations!$A$1:$BK$1, 0))</f>
        <v>7.1372559003548321</v>
      </c>
      <c r="C1950" s="2">
        <f ca="1">INDEX(Simulations!$A$1:$BK$2501, 1950, MATCH("RevCAGR", Simulations!$A$1:$BK$1, 0))</f>
        <v>2.9776151242842525E-2</v>
      </c>
      <c r="D1950" s="2">
        <f ca="1">INDEX(Simulations!$A$1:$BK$2501, 1950, MATCH("SynMargin", Simulations!$A$1:$BK$1, 0))</f>
        <v>4.1063867830833144E-3</v>
      </c>
      <c r="E1950" s="2">
        <f ca="1">INDEX(Simulations!$A$1:$BK$2501, 1950, MATCH("Yr1Shock", Simulations!$A$1:$BK$1, 0))</f>
        <v>1.0051663277996161E-2</v>
      </c>
    </row>
    <row r="1951" spans="1:5" x14ac:dyDescent="0.3">
      <c r="A1951" s="2">
        <f ca="1">INDEX(Simulations!$A$1:$BK$2501, 1951, MATCH("PurchaseMultiple", Simulations!$A$1:$BK$1, 0))</f>
        <v>7.2040003093004925</v>
      </c>
      <c r="B1951" s="2">
        <f ca="1">INDEX(Simulations!$A$1:$BK$2501, 1951, MATCH("ExitMultiple", Simulations!$A$1:$BK$1, 0))</f>
        <v>7.3480591069414469</v>
      </c>
      <c r="C1951" s="2">
        <f ca="1">INDEX(Simulations!$A$1:$BK$2501, 1951, MATCH("RevCAGR", Simulations!$A$1:$BK$1, 0))</f>
        <v>4.0351959665640216E-3</v>
      </c>
      <c r="D1951" s="2">
        <f ca="1">INDEX(Simulations!$A$1:$BK$2501, 1951, MATCH("SynMargin", Simulations!$A$1:$BK$1, 0))</f>
        <v>6.5507861161780614E-3</v>
      </c>
      <c r="E1951" s="2">
        <f ca="1">INDEX(Simulations!$A$1:$BK$2501, 1951, MATCH("Yr1Shock", Simulations!$A$1:$BK$1, 0))</f>
        <v>-2.8007545329962764E-3</v>
      </c>
    </row>
    <row r="1952" spans="1:5" x14ac:dyDescent="0.3">
      <c r="A1952" s="2">
        <f ca="1">INDEX(Simulations!$A$1:$BK$2501, 1952, MATCH("PurchaseMultiple", Simulations!$A$1:$BK$1, 0))</f>
        <v>7.6627147570997769</v>
      </c>
      <c r="B1952" s="2">
        <f ca="1">INDEX(Simulations!$A$1:$BK$2501, 1952, MATCH("ExitMultiple", Simulations!$A$1:$BK$1, 0))</f>
        <v>7.0845921598442336</v>
      </c>
      <c r="C1952" s="2">
        <f ca="1">INDEX(Simulations!$A$1:$BK$2501, 1952, MATCH("RevCAGR", Simulations!$A$1:$BK$1, 0))</f>
        <v>1.4009535907487464E-2</v>
      </c>
      <c r="D1952" s="2">
        <f ca="1">INDEX(Simulations!$A$1:$BK$2501, 1952, MATCH("SynMargin", Simulations!$A$1:$BK$1, 0))</f>
        <v>1.1722660155924967E-2</v>
      </c>
      <c r="E1952" s="2">
        <f ca="1">INDEX(Simulations!$A$1:$BK$2501, 1952, MATCH("Yr1Shock", Simulations!$A$1:$BK$1, 0))</f>
        <v>-7.2149120830336966E-3</v>
      </c>
    </row>
    <row r="1953" spans="1:5" x14ac:dyDescent="0.3">
      <c r="A1953" s="2">
        <f ca="1">INDEX(Simulations!$A$1:$BK$2501, 1953, MATCH("PurchaseMultiple", Simulations!$A$1:$BK$1, 0))</f>
        <v>7.0942585679786854</v>
      </c>
      <c r="B1953" s="2">
        <f ca="1">INDEX(Simulations!$A$1:$BK$2501, 1953, MATCH("ExitMultiple", Simulations!$A$1:$BK$1, 0))</f>
        <v>7.4411780572244544</v>
      </c>
      <c r="C1953" s="2">
        <f ca="1">INDEX(Simulations!$A$1:$BK$2501, 1953, MATCH("RevCAGR", Simulations!$A$1:$BK$1, 0))</f>
        <v>4.1620090212944841E-2</v>
      </c>
      <c r="D1953" s="2">
        <f ca="1">INDEX(Simulations!$A$1:$BK$2501, 1953, MATCH("SynMargin", Simulations!$A$1:$BK$1, 0))</f>
        <v>2.0671493196085695E-2</v>
      </c>
      <c r="E1953" s="2">
        <f ca="1">INDEX(Simulations!$A$1:$BK$2501, 1953, MATCH("Yr1Shock", Simulations!$A$1:$BK$1, 0))</f>
        <v>5.6661290857316316E-3</v>
      </c>
    </row>
    <row r="1954" spans="1:5" x14ac:dyDescent="0.3">
      <c r="A1954" s="2">
        <f ca="1">INDEX(Simulations!$A$1:$BK$2501, 1954, MATCH("PurchaseMultiple", Simulations!$A$1:$BK$1, 0))</f>
        <v>6.2505549995478393</v>
      </c>
      <c r="B1954" s="2">
        <f ca="1">INDEX(Simulations!$A$1:$BK$2501, 1954, MATCH("ExitMultiple", Simulations!$A$1:$BK$1, 0))</f>
        <v>7.8689041707098797</v>
      </c>
      <c r="C1954" s="2">
        <f ca="1">INDEX(Simulations!$A$1:$BK$2501, 1954, MATCH("RevCAGR", Simulations!$A$1:$BK$1, 0))</f>
        <v>6.2600911917002788E-2</v>
      </c>
      <c r="D1954" s="2">
        <f ca="1">INDEX(Simulations!$A$1:$BK$2501, 1954, MATCH("SynMargin", Simulations!$A$1:$BK$1, 0))</f>
        <v>1.5797151044675984E-2</v>
      </c>
      <c r="E1954" s="2">
        <f ca="1">INDEX(Simulations!$A$1:$BK$2501, 1954, MATCH("Yr1Shock", Simulations!$A$1:$BK$1, 0))</f>
        <v>-1.4141847529329246E-2</v>
      </c>
    </row>
    <row r="1955" spans="1:5" x14ac:dyDescent="0.3">
      <c r="A1955" s="2">
        <f ca="1">INDEX(Simulations!$A$1:$BK$2501, 1955, MATCH("PurchaseMultiple", Simulations!$A$1:$BK$1, 0))</f>
        <v>6.7417958068025889</v>
      </c>
      <c r="B1955" s="2">
        <f ca="1">INDEX(Simulations!$A$1:$BK$2501, 1955, MATCH("ExitMultiple", Simulations!$A$1:$BK$1, 0))</f>
        <v>7.7676501552161028</v>
      </c>
      <c r="C1955" s="2">
        <f ca="1">INDEX(Simulations!$A$1:$BK$2501, 1955, MATCH("RevCAGR", Simulations!$A$1:$BK$1, 0))</f>
        <v>6.3067271202197239E-2</v>
      </c>
      <c r="D1955" s="2">
        <f ca="1">INDEX(Simulations!$A$1:$BK$2501, 1955, MATCH("SynMargin", Simulations!$A$1:$BK$1, 0))</f>
        <v>3.3826589538320075E-3</v>
      </c>
      <c r="E1955" s="2">
        <f ca="1">INDEX(Simulations!$A$1:$BK$2501, 1955, MATCH("Yr1Shock", Simulations!$A$1:$BK$1, 0))</f>
        <v>1.0091697849531719E-2</v>
      </c>
    </row>
    <row r="1956" spans="1:5" x14ac:dyDescent="0.3">
      <c r="A1956" s="2">
        <f ca="1">INDEX(Simulations!$A$1:$BK$2501, 1956, MATCH("PurchaseMultiple", Simulations!$A$1:$BK$1, 0))</f>
        <v>7.8762300850202527</v>
      </c>
      <c r="B1956" s="2">
        <f ca="1">INDEX(Simulations!$A$1:$BK$2501, 1956, MATCH("ExitMultiple", Simulations!$A$1:$BK$1, 0))</f>
        <v>7.3331145012228003</v>
      </c>
      <c r="C1956" s="2">
        <f ca="1">INDEX(Simulations!$A$1:$BK$2501, 1956, MATCH("RevCAGR", Simulations!$A$1:$BK$1, 0))</f>
        <v>3.7616190070236942E-2</v>
      </c>
      <c r="D1956" s="2">
        <f ca="1">INDEX(Simulations!$A$1:$BK$2501, 1956, MATCH("SynMargin", Simulations!$A$1:$BK$1, 0))</f>
        <v>1.4709570539570806E-2</v>
      </c>
      <c r="E1956" s="2">
        <f ca="1">INDEX(Simulations!$A$1:$BK$2501, 1956, MATCH("Yr1Shock", Simulations!$A$1:$BK$1, 0))</f>
        <v>-1.726499845801334E-3</v>
      </c>
    </row>
    <row r="1957" spans="1:5" x14ac:dyDescent="0.3">
      <c r="A1957" s="2">
        <f ca="1">INDEX(Simulations!$A$1:$BK$2501, 1957, MATCH("PurchaseMultiple", Simulations!$A$1:$BK$1, 0))</f>
        <v>7.1342836270882062</v>
      </c>
      <c r="B1957" s="2">
        <f ca="1">INDEX(Simulations!$A$1:$BK$2501, 1957, MATCH("ExitMultiple", Simulations!$A$1:$BK$1, 0))</f>
        <v>7.3524182176697002</v>
      </c>
      <c r="C1957" s="2">
        <f ca="1">INDEX(Simulations!$A$1:$BK$2501, 1957, MATCH("RevCAGR", Simulations!$A$1:$BK$1, 0))</f>
        <v>5.8253871537482564E-2</v>
      </c>
      <c r="D1957" s="2">
        <f ca="1">INDEX(Simulations!$A$1:$BK$2501, 1957, MATCH("SynMargin", Simulations!$A$1:$BK$1, 0))</f>
        <v>1.5678253407848862E-2</v>
      </c>
      <c r="E1957" s="2">
        <f ca="1">INDEX(Simulations!$A$1:$BK$2501, 1957, MATCH("Yr1Shock", Simulations!$A$1:$BK$1, 0))</f>
        <v>2.1699592549967502E-2</v>
      </c>
    </row>
    <row r="1958" spans="1:5" x14ac:dyDescent="0.3">
      <c r="A1958" s="2">
        <f ca="1">INDEX(Simulations!$A$1:$BK$2501, 1958, MATCH("PurchaseMultiple", Simulations!$A$1:$BK$1, 0))</f>
        <v>7.1114456809808502</v>
      </c>
      <c r="B1958" s="2">
        <f ca="1">INDEX(Simulations!$A$1:$BK$2501, 1958, MATCH("ExitMultiple", Simulations!$A$1:$BK$1, 0))</f>
        <v>6.8497411049903452</v>
      </c>
      <c r="C1958" s="2">
        <f ca="1">INDEX(Simulations!$A$1:$BK$2501, 1958, MATCH("RevCAGR", Simulations!$A$1:$BK$1, 0))</f>
        <v>1.9945272692921102E-2</v>
      </c>
      <c r="D1958" s="2">
        <f ca="1">INDEX(Simulations!$A$1:$BK$2501, 1958, MATCH("SynMargin", Simulations!$A$1:$BK$1, 0))</f>
        <v>1.0493278420257284E-2</v>
      </c>
      <c r="E1958" s="2">
        <f ca="1">INDEX(Simulations!$A$1:$BK$2501, 1958, MATCH("Yr1Shock", Simulations!$A$1:$BK$1, 0))</f>
        <v>-3.4993746183262474E-2</v>
      </c>
    </row>
    <row r="1959" spans="1:5" x14ac:dyDescent="0.3">
      <c r="A1959" s="2">
        <f ca="1">INDEX(Simulations!$A$1:$BK$2501, 1959, MATCH("PurchaseMultiple", Simulations!$A$1:$BK$1, 0))</f>
        <v>6.9722166887680039</v>
      </c>
      <c r="B1959" s="2">
        <f ca="1">INDEX(Simulations!$A$1:$BK$2501, 1959, MATCH("ExitMultiple", Simulations!$A$1:$BK$1, 0))</f>
        <v>8.0934179806255013</v>
      </c>
      <c r="C1959" s="2">
        <f ca="1">INDEX(Simulations!$A$1:$BK$2501, 1959, MATCH("RevCAGR", Simulations!$A$1:$BK$1, 0))</f>
        <v>2.2590105541057722E-2</v>
      </c>
      <c r="D1959" s="2">
        <f ca="1">INDEX(Simulations!$A$1:$BK$2501, 1959, MATCH("SynMargin", Simulations!$A$1:$BK$1, 0))</f>
        <v>4.9358032818056135E-3</v>
      </c>
      <c r="E1959" s="2">
        <f ca="1">INDEX(Simulations!$A$1:$BK$2501, 1959, MATCH("Yr1Shock", Simulations!$A$1:$BK$1, 0))</f>
        <v>3.7806890029338541E-2</v>
      </c>
    </row>
    <row r="1960" spans="1:5" x14ac:dyDescent="0.3">
      <c r="A1960" s="2">
        <f ca="1">INDEX(Simulations!$A$1:$BK$2501, 1960, MATCH("PurchaseMultiple", Simulations!$A$1:$BK$1, 0))</f>
        <v>7.0054815902234493</v>
      </c>
      <c r="B1960" s="2">
        <f ca="1">INDEX(Simulations!$A$1:$BK$2501, 1960, MATCH("ExitMultiple", Simulations!$A$1:$BK$1, 0))</f>
        <v>7.4875774476548695</v>
      </c>
      <c r="C1960" s="2">
        <f ca="1">INDEX(Simulations!$A$1:$BK$2501, 1960, MATCH("RevCAGR", Simulations!$A$1:$BK$1, 0))</f>
        <v>4.1612508298170092E-2</v>
      </c>
      <c r="D1960" s="2">
        <f ca="1">INDEX(Simulations!$A$1:$BK$2501, 1960, MATCH("SynMargin", Simulations!$A$1:$BK$1, 0))</f>
        <v>8.4245603135864218E-3</v>
      </c>
      <c r="E1960" s="2">
        <f ca="1">INDEX(Simulations!$A$1:$BK$2501, 1960, MATCH("Yr1Shock", Simulations!$A$1:$BK$1, 0))</f>
        <v>1.7598571527788685E-2</v>
      </c>
    </row>
    <row r="1961" spans="1:5" x14ac:dyDescent="0.3">
      <c r="A1961" s="2">
        <f ca="1">INDEX(Simulations!$A$1:$BK$2501, 1961, MATCH("PurchaseMultiple", Simulations!$A$1:$BK$1, 0))</f>
        <v>6.9501649590788981</v>
      </c>
      <c r="B1961" s="2">
        <f ca="1">INDEX(Simulations!$A$1:$BK$2501, 1961, MATCH("ExitMultiple", Simulations!$A$1:$BK$1, 0))</f>
        <v>7.0968107920527057</v>
      </c>
      <c r="C1961" s="2">
        <f ca="1">INDEX(Simulations!$A$1:$BK$2501, 1961, MATCH("RevCAGR", Simulations!$A$1:$BK$1, 0))</f>
        <v>1.7307892403237636E-2</v>
      </c>
      <c r="D1961" s="2">
        <f ca="1">INDEX(Simulations!$A$1:$BK$2501, 1961, MATCH("SynMargin", Simulations!$A$1:$BK$1, 0))</f>
        <v>7.9381230820394222E-3</v>
      </c>
      <c r="E1961" s="2">
        <f ca="1">INDEX(Simulations!$A$1:$BK$2501, 1961, MATCH("Yr1Shock", Simulations!$A$1:$BK$1, 0))</f>
        <v>-1.9688394666197859E-2</v>
      </c>
    </row>
    <row r="1962" spans="1:5" x14ac:dyDescent="0.3">
      <c r="A1962" s="2">
        <f ca="1">INDEX(Simulations!$A$1:$BK$2501, 1962, MATCH("PurchaseMultiple", Simulations!$A$1:$BK$1, 0))</f>
        <v>7.128009777383145</v>
      </c>
      <c r="B1962" s="2">
        <f ca="1">INDEX(Simulations!$A$1:$BK$2501, 1962, MATCH("ExitMultiple", Simulations!$A$1:$BK$1, 0))</f>
        <v>7.0171338865139701</v>
      </c>
      <c r="C1962" s="2">
        <f ca="1">INDEX(Simulations!$A$1:$BK$2501, 1962, MATCH("RevCAGR", Simulations!$A$1:$BK$1, 0))</f>
        <v>3.1077755251230951E-2</v>
      </c>
      <c r="D1962" s="2">
        <f ca="1">INDEX(Simulations!$A$1:$BK$2501, 1962, MATCH("SynMargin", Simulations!$A$1:$BK$1, 0))</f>
        <v>0</v>
      </c>
      <c r="E1962" s="2">
        <f ca="1">INDEX(Simulations!$A$1:$BK$2501, 1962, MATCH("Yr1Shock", Simulations!$A$1:$BK$1, 0))</f>
        <v>-1.6452366462578255E-3</v>
      </c>
    </row>
    <row r="1963" spans="1:5" x14ac:dyDescent="0.3">
      <c r="A1963" s="2">
        <f ca="1">INDEX(Simulations!$A$1:$BK$2501, 1963, MATCH("PurchaseMultiple", Simulations!$A$1:$BK$1, 0))</f>
        <v>6.4146016169395867</v>
      </c>
      <c r="B1963" s="2">
        <f ca="1">INDEX(Simulations!$A$1:$BK$2501, 1963, MATCH("ExitMultiple", Simulations!$A$1:$BK$1, 0))</f>
        <v>7.3367135005076962</v>
      </c>
      <c r="C1963" s="2">
        <f ca="1">INDEX(Simulations!$A$1:$BK$2501, 1963, MATCH("RevCAGR", Simulations!$A$1:$BK$1, 0))</f>
        <v>1.7838699562544639E-2</v>
      </c>
      <c r="D1963" s="2">
        <f ca="1">INDEX(Simulations!$A$1:$BK$2501, 1963, MATCH("SynMargin", Simulations!$A$1:$BK$1, 0))</f>
        <v>8.3476035665500936E-3</v>
      </c>
      <c r="E1963" s="2">
        <f ca="1">INDEX(Simulations!$A$1:$BK$2501, 1963, MATCH("Yr1Shock", Simulations!$A$1:$BK$1, 0))</f>
        <v>-1.6339545849012076E-2</v>
      </c>
    </row>
    <row r="1964" spans="1:5" x14ac:dyDescent="0.3">
      <c r="A1964" s="2">
        <f ca="1">INDEX(Simulations!$A$1:$BK$2501, 1964, MATCH("PurchaseMultiple", Simulations!$A$1:$BK$1, 0))</f>
        <v>7.3006157949155996</v>
      </c>
      <c r="B1964" s="2">
        <f ca="1">INDEX(Simulations!$A$1:$BK$2501, 1964, MATCH("ExitMultiple", Simulations!$A$1:$BK$1, 0))</f>
        <v>7.817514443385047</v>
      </c>
      <c r="C1964" s="2">
        <f ca="1">INDEX(Simulations!$A$1:$BK$2501, 1964, MATCH("RevCAGR", Simulations!$A$1:$BK$1, 0))</f>
        <v>7.1952640342342611E-2</v>
      </c>
      <c r="D1964" s="2">
        <f ca="1">INDEX(Simulations!$A$1:$BK$2501, 1964, MATCH("SynMargin", Simulations!$A$1:$BK$1, 0))</f>
        <v>2.4112583681560242E-3</v>
      </c>
      <c r="E1964" s="2">
        <f ca="1">INDEX(Simulations!$A$1:$BK$2501, 1964, MATCH("Yr1Shock", Simulations!$A$1:$BK$1, 0))</f>
        <v>-1.7198526072519531E-2</v>
      </c>
    </row>
    <row r="1965" spans="1:5" x14ac:dyDescent="0.3">
      <c r="A1965" s="2">
        <f ca="1">INDEX(Simulations!$A$1:$BK$2501, 1965, MATCH("PurchaseMultiple", Simulations!$A$1:$BK$1, 0))</f>
        <v>6.1511164835137659</v>
      </c>
      <c r="B1965" s="2">
        <f ca="1">INDEX(Simulations!$A$1:$BK$2501, 1965, MATCH("ExitMultiple", Simulations!$A$1:$BK$1, 0))</f>
        <v>7.1825729173771675</v>
      </c>
      <c r="C1965" s="2">
        <f ca="1">INDEX(Simulations!$A$1:$BK$2501, 1965, MATCH("RevCAGR", Simulations!$A$1:$BK$1, 0))</f>
        <v>2.1060298543953668E-2</v>
      </c>
      <c r="D1965" s="2">
        <f ca="1">INDEX(Simulations!$A$1:$BK$2501, 1965, MATCH("SynMargin", Simulations!$A$1:$BK$1, 0))</f>
        <v>5.0190957461507622E-3</v>
      </c>
      <c r="E1965" s="2">
        <f ca="1">INDEX(Simulations!$A$1:$BK$2501, 1965, MATCH("Yr1Shock", Simulations!$A$1:$BK$1, 0))</f>
        <v>7.0293925749061043E-3</v>
      </c>
    </row>
    <row r="1966" spans="1:5" x14ac:dyDescent="0.3">
      <c r="A1966" s="2">
        <f ca="1">INDEX(Simulations!$A$1:$BK$2501, 1966, MATCH("PurchaseMultiple", Simulations!$A$1:$BK$1, 0))</f>
        <v>7.4694091158574558</v>
      </c>
      <c r="B1966" s="2">
        <f ca="1">INDEX(Simulations!$A$1:$BK$2501, 1966, MATCH("ExitMultiple", Simulations!$A$1:$BK$1, 0))</f>
        <v>7.5034019317748903</v>
      </c>
      <c r="C1966" s="2">
        <f ca="1">INDEX(Simulations!$A$1:$BK$2501, 1966, MATCH("RevCAGR", Simulations!$A$1:$BK$1, 0))</f>
        <v>4.2156804360414378E-2</v>
      </c>
      <c r="D1966" s="2">
        <f ca="1">INDEX(Simulations!$A$1:$BK$2501, 1966, MATCH("SynMargin", Simulations!$A$1:$BK$1, 0))</f>
        <v>1.94561581916552E-2</v>
      </c>
      <c r="E1966" s="2">
        <f ca="1">INDEX(Simulations!$A$1:$BK$2501, 1966, MATCH("Yr1Shock", Simulations!$A$1:$BK$1, 0))</f>
        <v>-1.3298120171734934E-2</v>
      </c>
    </row>
    <row r="1967" spans="1:5" x14ac:dyDescent="0.3">
      <c r="A1967" s="2">
        <f ca="1">INDEX(Simulations!$A$1:$BK$2501, 1967, MATCH("PurchaseMultiple", Simulations!$A$1:$BK$1, 0))</f>
        <v>6.4263713804746319</v>
      </c>
      <c r="B1967" s="2">
        <f ca="1">INDEX(Simulations!$A$1:$BK$2501, 1967, MATCH("ExitMultiple", Simulations!$A$1:$BK$1, 0))</f>
        <v>7.41262024049853</v>
      </c>
      <c r="C1967" s="2">
        <f ca="1">INDEX(Simulations!$A$1:$BK$2501, 1967, MATCH("RevCAGR", Simulations!$A$1:$BK$1, 0))</f>
        <v>5.8971531723791187E-2</v>
      </c>
      <c r="D1967" s="2">
        <f ca="1">INDEX(Simulations!$A$1:$BK$2501, 1967, MATCH("SynMargin", Simulations!$A$1:$BK$1, 0))</f>
        <v>7.1237854450096096E-3</v>
      </c>
      <c r="E1967" s="2">
        <f ca="1">INDEX(Simulations!$A$1:$BK$2501, 1967, MATCH("Yr1Shock", Simulations!$A$1:$BK$1, 0))</f>
        <v>-2.595395208493086E-2</v>
      </c>
    </row>
    <row r="1968" spans="1:5" x14ac:dyDescent="0.3">
      <c r="A1968" s="2">
        <f ca="1">INDEX(Simulations!$A$1:$BK$2501, 1968, MATCH("PurchaseMultiple", Simulations!$A$1:$BK$1, 0))</f>
        <v>6.546271803090546</v>
      </c>
      <c r="B1968" s="2">
        <f ca="1">INDEX(Simulations!$A$1:$BK$2501, 1968, MATCH("ExitMultiple", Simulations!$A$1:$BK$1, 0))</f>
        <v>7.3435764533854719</v>
      </c>
      <c r="C1968" s="2">
        <f ca="1">INDEX(Simulations!$A$1:$BK$2501, 1968, MATCH("RevCAGR", Simulations!$A$1:$BK$1, 0))</f>
        <v>2.8720165990718305E-2</v>
      </c>
      <c r="D1968" s="2">
        <f ca="1">INDEX(Simulations!$A$1:$BK$2501, 1968, MATCH("SynMargin", Simulations!$A$1:$BK$1, 0))</f>
        <v>1.575526408548775E-2</v>
      </c>
      <c r="E1968" s="2">
        <f ca="1">INDEX(Simulations!$A$1:$BK$2501, 1968, MATCH("Yr1Shock", Simulations!$A$1:$BK$1, 0))</f>
        <v>2.3893569657680324E-3</v>
      </c>
    </row>
    <row r="1969" spans="1:5" x14ac:dyDescent="0.3">
      <c r="A1969" s="2">
        <f ca="1">INDEX(Simulations!$A$1:$BK$2501, 1969, MATCH("PurchaseMultiple", Simulations!$A$1:$BK$1, 0))</f>
        <v>7.5452695732759905</v>
      </c>
      <c r="B1969" s="2">
        <f ca="1">INDEX(Simulations!$A$1:$BK$2501, 1969, MATCH("ExitMultiple", Simulations!$A$1:$BK$1, 0))</f>
        <v>7.0437989963925762</v>
      </c>
      <c r="C1969" s="2">
        <f ca="1">INDEX(Simulations!$A$1:$BK$2501, 1969, MATCH("RevCAGR", Simulations!$A$1:$BK$1, 0))</f>
        <v>4.3476790469548443E-2</v>
      </c>
      <c r="D1969" s="2">
        <f ca="1">INDEX(Simulations!$A$1:$BK$2501, 1969, MATCH("SynMargin", Simulations!$A$1:$BK$1, 0))</f>
        <v>8.6782902313205755E-3</v>
      </c>
      <c r="E1969" s="2">
        <f ca="1">INDEX(Simulations!$A$1:$BK$2501, 1969, MATCH("Yr1Shock", Simulations!$A$1:$BK$1, 0))</f>
        <v>3.1173540223442098E-2</v>
      </c>
    </row>
    <row r="1970" spans="1:5" x14ac:dyDescent="0.3">
      <c r="A1970" s="2">
        <f ca="1">INDEX(Simulations!$A$1:$BK$2501, 1970, MATCH("PurchaseMultiple", Simulations!$A$1:$BK$1, 0))</f>
        <v>6.6510164953529367</v>
      </c>
      <c r="B1970" s="2">
        <f ca="1">INDEX(Simulations!$A$1:$BK$2501, 1970, MATCH("ExitMultiple", Simulations!$A$1:$BK$1, 0))</f>
        <v>6.7269572550583039</v>
      </c>
      <c r="C1970" s="2">
        <f ca="1">INDEX(Simulations!$A$1:$BK$2501, 1970, MATCH("RevCAGR", Simulations!$A$1:$BK$1, 0))</f>
        <v>1.7584197521386322E-2</v>
      </c>
      <c r="D1970" s="2">
        <f ca="1">INDEX(Simulations!$A$1:$BK$2501, 1970, MATCH("SynMargin", Simulations!$A$1:$BK$1, 0))</f>
        <v>8.655584371655917E-3</v>
      </c>
      <c r="E1970" s="2">
        <f ca="1">INDEX(Simulations!$A$1:$BK$2501, 1970, MATCH("Yr1Shock", Simulations!$A$1:$BK$1, 0))</f>
        <v>-1.8314971374490948E-2</v>
      </c>
    </row>
    <row r="1971" spans="1:5" x14ac:dyDescent="0.3">
      <c r="A1971" s="2">
        <f ca="1">INDEX(Simulations!$A$1:$BK$2501, 1971, MATCH("PurchaseMultiple", Simulations!$A$1:$BK$1, 0))</f>
        <v>6.8424828123625367</v>
      </c>
      <c r="B1971" s="2">
        <f ca="1">INDEX(Simulations!$A$1:$BK$2501, 1971, MATCH("ExitMultiple", Simulations!$A$1:$BK$1, 0))</f>
        <v>7.7600517994254119</v>
      </c>
      <c r="C1971" s="2">
        <f ca="1">INDEX(Simulations!$A$1:$BK$2501, 1971, MATCH("RevCAGR", Simulations!$A$1:$BK$1, 0))</f>
        <v>5.1075785927896175E-2</v>
      </c>
      <c r="D1971" s="2">
        <f ca="1">INDEX(Simulations!$A$1:$BK$2501, 1971, MATCH("SynMargin", Simulations!$A$1:$BK$1, 0))</f>
        <v>3.9960373823619433E-3</v>
      </c>
      <c r="E1971" s="2">
        <f ca="1">INDEX(Simulations!$A$1:$BK$2501, 1971, MATCH("Yr1Shock", Simulations!$A$1:$BK$1, 0))</f>
        <v>-2.6910788610883158E-2</v>
      </c>
    </row>
    <row r="1972" spans="1:5" x14ac:dyDescent="0.3">
      <c r="A1972" s="2">
        <f ca="1">INDEX(Simulations!$A$1:$BK$2501, 1972, MATCH("PurchaseMultiple", Simulations!$A$1:$BK$1, 0))</f>
        <v>6.4599046530995636</v>
      </c>
      <c r="B1972" s="2">
        <f ca="1">INDEX(Simulations!$A$1:$BK$2501, 1972, MATCH("ExitMultiple", Simulations!$A$1:$BK$1, 0))</f>
        <v>7.7966893676159108</v>
      </c>
      <c r="C1972" s="2">
        <f ca="1">INDEX(Simulations!$A$1:$BK$2501, 1972, MATCH("RevCAGR", Simulations!$A$1:$BK$1, 0))</f>
        <v>4.8589008717543382E-2</v>
      </c>
      <c r="D1972" s="2">
        <f ca="1">INDEX(Simulations!$A$1:$BK$2501, 1972, MATCH("SynMargin", Simulations!$A$1:$BK$1, 0))</f>
        <v>3.3801967695212456E-3</v>
      </c>
      <c r="E1972" s="2">
        <f ca="1">INDEX(Simulations!$A$1:$BK$2501, 1972, MATCH("Yr1Shock", Simulations!$A$1:$BK$1, 0))</f>
        <v>-1.2908961776882959E-2</v>
      </c>
    </row>
    <row r="1973" spans="1:5" x14ac:dyDescent="0.3">
      <c r="A1973" s="2">
        <f ca="1">INDEX(Simulations!$A$1:$BK$2501, 1973, MATCH("PurchaseMultiple", Simulations!$A$1:$BK$1, 0))</f>
        <v>6.641156655700021</v>
      </c>
      <c r="B1973" s="2">
        <f ca="1">INDEX(Simulations!$A$1:$BK$2501, 1973, MATCH("ExitMultiple", Simulations!$A$1:$BK$1, 0))</f>
        <v>7.3559500653135101</v>
      </c>
      <c r="C1973" s="2">
        <f ca="1">INDEX(Simulations!$A$1:$BK$2501, 1973, MATCH("RevCAGR", Simulations!$A$1:$BK$1, 0))</f>
        <v>5.0262273854593462E-2</v>
      </c>
      <c r="D1973" s="2">
        <f ca="1">INDEX(Simulations!$A$1:$BK$2501, 1973, MATCH("SynMargin", Simulations!$A$1:$BK$1, 0))</f>
        <v>6.5974542405297931E-3</v>
      </c>
      <c r="E1973" s="2">
        <f ca="1">INDEX(Simulations!$A$1:$BK$2501, 1973, MATCH("Yr1Shock", Simulations!$A$1:$BK$1, 0))</f>
        <v>-3.3595613810421331E-2</v>
      </c>
    </row>
    <row r="1974" spans="1:5" x14ac:dyDescent="0.3">
      <c r="A1974" s="2">
        <f ca="1">INDEX(Simulations!$A$1:$BK$2501, 1974, MATCH("PurchaseMultiple", Simulations!$A$1:$BK$1, 0))</f>
        <v>7.4980048987249495</v>
      </c>
      <c r="B1974" s="2">
        <f ca="1">INDEX(Simulations!$A$1:$BK$2501, 1974, MATCH("ExitMultiple", Simulations!$A$1:$BK$1, 0))</f>
        <v>7.3031919667334417</v>
      </c>
      <c r="C1974" s="2">
        <f ca="1">INDEX(Simulations!$A$1:$BK$2501, 1974, MATCH("RevCAGR", Simulations!$A$1:$BK$1, 0))</f>
        <v>5.9867537142303612E-2</v>
      </c>
      <c r="D1974" s="2">
        <f ca="1">INDEX(Simulations!$A$1:$BK$2501, 1974, MATCH("SynMargin", Simulations!$A$1:$BK$1, 0))</f>
        <v>1.3713070081360357E-3</v>
      </c>
      <c r="E1974" s="2">
        <f ca="1">INDEX(Simulations!$A$1:$BK$2501, 1974, MATCH("Yr1Shock", Simulations!$A$1:$BK$1, 0))</f>
        <v>-0.05</v>
      </c>
    </row>
    <row r="1975" spans="1:5" x14ac:dyDescent="0.3">
      <c r="A1975" s="2">
        <f ca="1">INDEX(Simulations!$A$1:$BK$2501, 1975, MATCH("PurchaseMultiple", Simulations!$A$1:$BK$1, 0))</f>
        <v>6.6992133586274303</v>
      </c>
      <c r="B1975" s="2">
        <f ca="1">INDEX(Simulations!$A$1:$BK$2501, 1975, MATCH("ExitMultiple", Simulations!$A$1:$BK$1, 0))</f>
        <v>7.4776933722765602</v>
      </c>
      <c r="C1975" s="2">
        <f ca="1">INDEX(Simulations!$A$1:$BK$2501, 1975, MATCH("RevCAGR", Simulations!$A$1:$BK$1, 0))</f>
        <v>5.6507067404171954E-2</v>
      </c>
      <c r="D1975" s="2">
        <f ca="1">INDEX(Simulations!$A$1:$BK$2501, 1975, MATCH("SynMargin", Simulations!$A$1:$BK$1, 0))</f>
        <v>6.2772318637277997E-3</v>
      </c>
      <c r="E1975" s="2">
        <f ca="1">INDEX(Simulations!$A$1:$BK$2501, 1975, MATCH("Yr1Shock", Simulations!$A$1:$BK$1, 0))</f>
        <v>-3.0986969839401437E-2</v>
      </c>
    </row>
    <row r="1976" spans="1:5" x14ac:dyDescent="0.3">
      <c r="A1976" s="2">
        <f ca="1">INDEX(Simulations!$A$1:$BK$2501, 1976, MATCH("PurchaseMultiple", Simulations!$A$1:$BK$1, 0))</f>
        <v>7.0131729662383613</v>
      </c>
      <c r="B1976" s="2">
        <f ca="1">INDEX(Simulations!$A$1:$BK$2501, 1976, MATCH("ExitMultiple", Simulations!$A$1:$BK$1, 0))</f>
        <v>7.3791757628808554</v>
      </c>
      <c r="C1976" s="2">
        <f ca="1">INDEX(Simulations!$A$1:$BK$2501, 1976, MATCH("RevCAGR", Simulations!$A$1:$BK$1, 0))</f>
        <v>3.8252103003514802E-2</v>
      </c>
      <c r="D1976" s="2">
        <f ca="1">INDEX(Simulations!$A$1:$BK$2501, 1976, MATCH("SynMargin", Simulations!$A$1:$BK$1, 0))</f>
        <v>1.6510533549905032E-2</v>
      </c>
      <c r="E1976" s="2">
        <f ca="1">INDEX(Simulations!$A$1:$BK$2501, 1976, MATCH("Yr1Shock", Simulations!$A$1:$BK$1, 0))</f>
        <v>2.8336503631699653E-2</v>
      </c>
    </row>
    <row r="1977" spans="1:5" x14ac:dyDescent="0.3">
      <c r="A1977" s="2">
        <f ca="1">INDEX(Simulations!$A$1:$BK$2501, 1977, MATCH("PurchaseMultiple", Simulations!$A$1:$BK$1, 0))</f>
        <v>6.7230747593202329</v>
      </c>
      <c r="B1977" s="2">
        <f ca="1">INDEX(Simulations!$A$1:$BK$2501, 1977, MATCH("ExitMultiple", Simulations!$A$1:$BK$1, 0))</f>
        <v>8.0495837872090839</v>
      </c>
      <c r="C1977" s="2">
        <f ca="1">INDEX(Simulations!$A$1:$BK$2501, 1977, MATCH("RevCAGR", Simulations!$A$1:$BK$1, 0))</f>
        <v>4.5703546315673436E-2</v>
      </c>
      <c r="D1977" s="2">
        <f ca="1">INDEX(Simulations!$A$1:$BK$2501, 1977, MATCH("SynMargin", Simulations!$A$1:$BK$1, 0))</f>
        <v>1.4861943653923172E-2</v>
      </c>
      <c r="E1977" s="2">
        <f ca="1">INDEX(Simulations!$A$1:$BK$2501, 1977, MATCH("Yr1Shock", Simulations!$A$1:$BK$1, 0))</f>
        <v>1.4965141212468298E-2</v>
      </c>
    </row>
    <row r="1978" spans="1:5" x14ac:dyDescent="0.3">
      <c r="A1978" s="2">
        <f ca="1">INDEX(Simulations!$A$1:$BK$2501, 1978, MATCH("PurchaseMultiple", Simulations!$A$1:$BK$1, 0))</f>
        <v>7.0014143424958286</v>
      </c>
      <c r="B1978" s="2">
        <f ca="1">INDEX(Simulations!$A$1:$BK$2501, 1978, MATCH("ExitMultiple", Simulations!$A$1:$BK$1, 0))</f>
        <v>7.1912845616669321</v>
      </c>
      <c r="C1978" s="2">
        <f ca="1">INDEX(Simulations!$A$1:$BK$2501, 1978, MATCH("RevCAGR", Simulations!$A$1:$BK$1, 0))</f>
        <v>1.0257280144761297E-2</v>
      </c>
      <c r="D1978" s="2">
        <f ca="1">INDEX(Simulations!$A$1:$BK$2501, 1978, MATCH("SynMargin", Simulations!$A$1:$BK$1, 0))</f>
        <v>1.4829102236143595E-2</v>
      </c>
      <c r="E1978" s="2">
        <f ca="1">INDEX(Simulations!$A$1:$BK$2501, 1978, MATCH("Yr1Shock", Simulations!$A$1:$BK$1, 0))</f>
        <v>-2.8439283052692277E-2</v>
      </c>
    </row>
    <row r="1979" spans="1:5" x14ac:dyDescent="0.3">
      <c r="A1979" s="2">
        <f ca="1">INDEX(Simulations!$A$1:$BK$2501, 1979, MATCH("PurchaseMultiple", Simulations!$A$1:$BK$1, 0))</f>
        <v>6.9312361352209582</v>
      </c>
      <c r="B1979" s="2">
        <f ca="1">INDEX(Simulations!$A$1:$BK$2501, 1979, MATCH("ExitMultiple", Simulations!$A$1:$BK$1, 0))</f>
        <v>7.0211165994621947</v>
      </c>
      <c r="C1979" s="2">
        <f ca="1">INDEX(Simulations!$A$1:$BK$2501, 1979, MATCH("RevCAGR", Simulations!$A$1:$BK$1, 0))</f>
        <v>3.0479306707186442E-2</v>
      </c>
      <c r="D1979" s="2">
        <f ca="1">INDEX(Simulations!$A$1:$BK$2501, 1979, MATCH("SynMargin", Simulations!$A$1:$BK$1, 0))</f>
        <v>1.3527599908964913E-2</v>
      </c>
      <c r="E1979" s="2">
        <f ca="1">INDEX(Simulations!$A$1:$BK$2501, 1979, MATCH("Yr1Shock", Simulations!$A$1:$BK$1, 0))</f>
        <v>1.0728139121489826E-2</v>
      </c>
    </row>
    <row r="1980" spans="1:5" x14ac:dyDescent="0.3">
      <c r="A1980" s="2">
        <f ca="1">INDEX(Simulations!$A$1:$BK$2501, 1980, MATCH("PurchaseMultiple", Simulations!$A$1:$BK$1, 0))</f>
        <v>7.5436213869613757</v>
      </c>
      <c r="B1980" s="2">
        <f ca="1">INDEX(Simulations!$A$1:$BK$2501, 1980, MATCH("ExitMultiple", Simulations!$A$1:$BK$1, 0))</f>
        <v>7.2839371833961408</v>
      </c>
      <c r="C1980" s="2">
        <f ca="1">INDEX(Simulations!$A$1:$BK$2501, 1980, MATCH("RevCAGR", Simulations!$A$1:$BK$1, 0))</f>
        <v>3.5882461081652044E-2</v>
      </c>
      <c r="D1980" s="2">
        <f ca="1">INDEX(Simulations!$A$1:$BK$2501, 1980, MATCH("SynMargin", Simulations!$A$1:$BK$1, 0))</f>
        <v>1.0338399830630344E-2</v>
      </c>
      <c r="E1980" s="2">
        <f ca="1">INDEX(Simulations!$A$1:$BK$2501, 1980, MATCH("Yr1Shock", Simulations!$A$1:$BK$1, 0))</f>
        <v>8.1904031220699433E-3</v>
      </c>
    </row>
    <row r="1981" spans="1:5" x14ac:dyDescent="0.3">
      <c r="A1981" s="2">
        <f ca="1">INDEX(Simulations!$A$1:$BK$2501, 1981, MATCH("PurchaseMultiple", Simulations!$A$1:$BK$1, 0))</f>
        <v>6.6420866239050724</v>
      </c>
      <c r="B1981" s="2">
        <f ca="1">INDEX(Simulations!$A$1:$BK$2501, 1981, MATCH("ExitMultiple", Simulations!$A$1:$BK$1, 0))</f>
        <v>7.0550106639886572</v>
      </c>
      <c r="C1981" s="2">
        <f ca="1">INDEX(Simulations!$A$1:$BK$2501, 1981, MATCH("RevCAGR", Simulations!$A$1:$BK$1, 0))</f>
        <v>7.0959633454022286E-2</v>
      </c>
      <c r="D1981" s="2">
        <f ca="1">INDEX(Simulations!$A$1:$BK$2501, 1981, MATCH("SynMargin", Simulations!$A$1:$BK$1, 0))</f>
        <v>2.9841908784234194E-3</v>
      </c>
      <c r="E1981" s="2">
        <f ca="1">INDEX(Simulations!$A$1:$BK$2501, 1981, MATCH("Yr1Shock", Simulations!$A$1:$BK$1, 0))</f>
        <v>-1.7803287066609958E-2</v>
      </c>
    </row>
    <row r="1982" spans="1:5" x14ac:dyDescent="0.3">
      <c r="A1982" s="2">
        <f ca="1">INDEX(Simulations!$A$1:$BK$2501, 1982, MATCH("PurchaseMultiple", Simulations!$A$1:$BK$1, 0))</f>
        <v>7.3850830387793138</v>
      </c>
      <c r="B1982" s="2">
        <f ca="1">INDEX(Simulations!$A$1:$BK$2501, 1982, MATCH("ExitMultiple", Simulations!$A$1:$BK$1, 0))</f>
        <v>8.0246450053611085</v>
      </c>
      <c r="C1982" s="2">
        <f ca="1">INDEX(Simulations!$A$1:$BK$2501, 1982, MATCH("RevCAGR", Simulations!$A$1:$BK$1, 0))</f>
        <v>5.530272051778818E-2</v>
      </c>
      <c r="D1982" s="2">
        <f ca="1">INDEX(Simulations!$A$1:$BK$2501, 1982, MATCH("SynMargin", Simulations!$A$1:$BK$1, 0))</f>
        <v>1.1076028425023109E-2</v>
      </c>
      <c r="E1982" s="2">
        <f ca="1">INDEX(Simulations!$A$1:$BK$2501, 1982, MATCH("Yr1Shock", Simulations!$A$1:$BK$1, 0))</f>
        <v>2.6388785274235417E-2</v>
      </c>
    </row>
    <row r="1983" spans="1:5" x14ac:dyDescent="0.3">
      <c r="A1983" s="2">
        <f ca="1">INDEX(Simulations!$A$1:$BK$2501, 1983, MATCH("PurchaseMultiple", Simulations!$A$1:$BK$1, 0))</f>
        <v>6.7992728738193495</v>
      </c>
      <c r="B1983" s="2">
        <f ca="1">INDEX(Simulations!$A$1:$BK$2501, 1983, MATCH("ExitMultiple", Simulations!$A$1:$BK$1, 0))</f>
        <v>7.6233515169410024</v>
      </c>
      <c r="C1983" s="2">
        <f ca="1">INDEX(Simulations!$A$1:$BK$2501, 1983, MATCH("RevCAGR", Simulations!$A$1:$BK$1, 0))</f>
        <v>7.1999193452001009E-2</v>
      </c>
      <c r="D1983" s="2">
        <f ca="1">INDEX(Simulations!$A$1:$BK$2501, 1983, MATCH("SynMargin", Simulations!$A$1:$BK$1, 0))</f>
        <v>1.6970955189773224E-2</v>
      </c>
      <c r="E1983" s="2">
        <f ca="1">INDEX(Simulations!$A$1:$BK$2501, 1983, MATCH("Yr1Shock", Simulations!$A$1:$BK$1, 0))</f>
        <v>1.1030815978754603E-2</v>
      </c>
    </row>
    <row r="1984" spans="1:5" x14ac:dyDescent="0.3">
      <c r="A1984" s="2">
        <f ca="1">INDEX(Simulations!$A$1:$BK$2501, 1984, MATCH("PurchaseMultiple", Simulations!$A$1:$BK$1, 0))</f>
        <v>6.3722325987468489</v>
      </c>
      <c r="B1984" s="2">
        <f ca="1">INDEX(Simulations!$A$1:$BK$2501, 1984, MATCH("ExitMultiple", Simulations!$A$1:$BK$1, 0))</f>
        <v>7.5379352582836878</v>
      </c>
      <c r="C1984" s="2">
        <f ca="1">INDEX(Simulations!$A$1:$BK$2501, 1984, MATCH("RevCAGR", Simulations!$A$1:$BK$1, 0))</f>
        <v>3.8622860489138579E-2</v>
      </c>
      <c r="D1984" s="2">
        <f ca="1">INDEX(Simulations!$A$1:$BK$2501, 1984, MATCH("SynMargin", Simulations!$A$1:$BK$1, 0))</f>
        <v>1.6837120541591664E-2</v>
      </c>
      <c r="E1984" s="2">
        <f ca="1">INDEX(Simulations!$A$1:$BK$2501, 1984, MATCH("Yr1Shock", Simulations!$A$1:$BK$1, 0))</f>
        <v>2.5742718748724473E-2</v>
      </c>
    </row>
    <row r="1985" spans="1:5" x14ac:dyDescent="0.3">
      <c r="A1985" s="2">
        <f ca="1">INDEX(Simulations!$A$1:$BK$2501, 1985, MATCH("PurchaseMultiple", Simulations!$A$1:$BK$1, 0))</f>
        <v>7.5926319795347563</v>
      </c>
      <c r="B1985" s="2">
        <f ca="1">INDEX(Simulations!$A$1:$BK$2501, 1985, MATCH("ExitMultiple", Simulations!$A$1:$BK$1, 0))</f>
        <v>7.2455868916116479</v>
      </c>
      <c r="C1985" s="2">
        <f ca="1">INDEX(Simulations!$A$1:$BK$2501, 1985, MATCH("RevCAGR", Simulations!$A$1:$BK$1, 0))</f>
        <v>0.1017857373938614</v>
      </c>
      <c r="D1985" s="2">
        <f ca="1">INDEX(Simulations!$A$1:$BK$2501, 1985, MATCH("SynMargin", Simulations!$A$1:$BK$1, 0))</f>
        <v>7.5175356607524273E-3</v>
      </c>
      <c r="E1985" s="2">
        <f ca="1">INDEX(Simulations!$A$1:$BK$2501, 1985, MATCH("Yr1Shock", Simulations!$A$1:$BK$1, 0))</f>
        <v>-2.9535043343326954E-2</v>
      </c>
    </row>
    <row r="1986" spans="1:5" x14ac:dyDescent="0.3">
      <c r="A1986" s="2">
        <f ca="1">INDEX(Simulations!$A$1:$BK$2501, 1986, MATCH("PurchaseMultiple", Simulations!$A$1:$BK$1, 0))</f>
        <v>6.1733280593064768</v>
      </c>
      <c r="B1986" s="2">
        <f ca="1">INDEX(Simulations!$A$1:$BK$2501, 1986, MATCH("ExitMultiple", Simulations!$A$1:$BK$1, 0))</f>
        <v>7.112041041408407</v>
      </c>
      <c r="C1986" s="2">
        <f ca="1">INDEX(Simulations!$A$1:$BK$2501, 1986, MATCH("RevCAGR", Simulations!$A$1:$BK$1, 0))</f>
        <v>-1.8067276244279964E-3</v>
      </c>
      <c r="D1986" s="2">
        <f ca="1">INDEX(Simulations!$A$1:$BK$2501, 1986, MATCH("SynMargin", Simulations!$A$1:$BK$1, 0))</f>
        <v>1.3230420757590459E-2</v>
      </c>
      <c r="E1986" s="2">
        <f ca="1">INDEX(Simulations!$A$1:$BK$2501, 1986, MATCH("Yr1Shock", Simulations!$A$1:$BK$1, 0))</f>
        <v>1.0998483759004885E-3</v>
      </c>
    </row>
    <row r="1987" spans="1:5" x14ac:dyDescent="0.3">
      <c r="A1987" s="2">
        <f ca="1">INDEX(Simulations!$A$1:$BK$2501, 1987, MATCH("PurchaseMultiple", Simulations!$A$1:$BK$1, 0))</f>
        <v>7.1869243297609149</v>
      </c>
      <c r="B1987" s="2">
        <f ca="1">INDEX(Simulations!$A$1:$BK$2501, 1987, MATCH("ExitMultiple", Simulations!$A$1:$BK$1, 0))</f>
        <v>8.3506826566406218</v>
      </c>
      <c r="C1987" s="2">
        <f ca="1">INDEX(Simulations!$A$1:$BK$2501, 1987, MATCH("RevCAGR", Simulations!$A$1:$BK$1, 0))</f>
        <v>6.3460177897880304E-2</v>
      </c>
      <c r="D1987" s="2">
        <f ca="1">INDEX(Simulations!$A$1:$BK$2501, 1987, MATCH("SynMargin", Simulations!$A$1:$BK$1, 0))</f>
        <v>1.6902658657916694E-2</v>
      </c>
      <c r="E1987" s="2">
        <f ca="1">INDEX(Simulations!$A$1:$BK$2501, 1987, MATCH("Yr1Shock", Simulations!$A$1:$BK$1, 0))</f>
        <v>9.0254966201253183E-3</v>
      </c>
    </row>
    <row r="1988" spans="1:5" x14ac:dyDescent="0.3">
      <c r="A1988" s="2">
        <f ca="1">INDEX(Simulations!$A$1:$BK$2501, 1988, MATCH("PurchaseMultiple", Simulations!$A$1:$BK$1, 0))</f>
        <v>6.4238536820851548</v>
      </c>
      <c r="B1988" s="2">
        <f ca="1">INDEX(Simulations!$A$1:$BK$2501, 1988, MATCH("ExitMultiple", Simulations!$A$1:$BK$1, 0))</f>
        <v>7.406576220848252</v>
      </c>
      <c r="C1988" s="2">
        <f ca="1">INDEX(Simulations!$A$1:$BK$2501, 1988, MATCH("RevCAGR", Simulations!$A$1:$BK$1, 0))</f>
        <v>3.0713363081228649E-2</v>
      </c>
      <c r="D1988" s="2">
        <f ca="1">INDEX(Simulations!$A$1:$BK$2501, 1988, MATCH("SynMargin", Simulations!$A$1:$BK$1, 0))</f>
        <v>1.0938393505504181E-2</v>
      </c>
      <c r="E1988" s="2">
        <f ca="1">INDEX(Simulations!$A$1:$BK$2501, 1988, MATCH("Yr1Shock", Simulations!$A$1:$BK$1, 0))</f>
        <v>-4.2898247383420414E-3</v>
      </c>
    </row>
    <row r="1989" spans="1:5" x14ac:dyDescent="0.3">
      <c r="A1989" s="2">
        <f ca="1">INDEX(Simulations!$A$1:$BK$2501, 1989, MATCH("PurchaseMultiple", Simulations!$A$1:$BK$1, 0))</f>
        <v>6.0421170199721486</v>
      </c>
      <c r="B1989" s="2">
        <f ca="1">INDEX(Simulations!$A$1:$BK$2501, 1989, MATCH("ExitMultiple", Simulations!$A$1:$BK$1, 0))</f>
        <v>7.5502342244987881</v>
      </c>
      <c r="C1989" s="2">
        <f ca="1">INDEX(Simulations!$A$1:$BK$2501, 1989, MATCH("RevCAGR", Simulations!$A$1:$BK$1, 0))</f>
        <v>2.738117395316432E-2</v>
      </c>
      <c r="D1989" s="2">
        <f ca="1">INDEX(Simulations!$A$1:$BK$2501, 1989, MATCH("SynMargin", Simulations!$A$1:$BK$1, 0))</f>
        <v>1.8490466240120337E-2</v>
      </c>
      <c r="E1989" s="2">
        <f ca="1">INDEX(Simulations!$A$1:$BK$2501, 1989, MATCH("Yr1Shock", Simulations!$A$1:$BK$1, 0))</f>
        <v>-1.8033348361839577E-2</v>
      </c>
    </row>
    <row r="1990" spans="1:5" x14ac:dyDescent="0.3">
      <c r="A1990" s="2">
        <f ca="1">INDEX(Simulations!$A$1:$BK$2501, 1990, MATCH("PurchaseMultiple", Simulations!$A$1:$BK$1, 0))</f>
        <v>7.1930570636211923</v>
      </c>
      <c r="B1990" s="2">
        <f ca="1">INDEX(Simulations!$A$1:$BK$2501, 1990, MATCH("ExitMultiple", Simulations!$A$1:$BK$1, 0))</f>
        <v>7.4768088929101006</v>
      </c>
      <c r="C1990" s="2">
        <f ca="1">INDEX(Simulations!$A$1:$BK$2501, 1990, MATCH("RevCAGR", Simulations!$A$1:$BK$1, 0))</f>
        <v>2.0741235637516071E-2</v>
      </c>
      <c r="D1990" s="2">
        <f ca="1">INDEX(Simulations!$A$1:$BK$2501, 1990, MATCH("SynMargin", Simulations!$A$1:$BK$1, 0))</f>
        <v>1.0429938758351544E-2</v>
      </c>
      <c r="E1990" s="2">
        <f ca="1">INDEX(Simulations!$A$1:$BK$2501, 1990, MATCH("Yr1Shock", Simulations!$A$1:$BK$1, 0))</f>
        <v>-4.8905564606625609E-3</v>
      </c>
    </row>
    <row r="1991" spans="1:5" x14ac:dyDescent="0.3">
      <c r="A1991" s="2">
        <f ca="1">INDEX(Simulations!$A$1:$BK$2501, 1991, MATCH("PurchaseMultiple", Simulations!$A$1:$BK$1, 0))</f>
        <v>6.4891934821187185</v>
      </c>
      <c r="B1991" s="2">
        <f ca="1">INDEX(Simulations!$A$1:$BK$2501, 1991, MATCH("ExitMultiple", Simulations!$A$1:$BK$1, 0))</f>
        <v>6.9229466338261956</v>
      </c>
      <c r="C1991" s="2">
        <f ca="1">INDEX(Simulations!$A$1:$BK$2501, 1991, MATCH("RevCAGR", Simulations!$A$1:$BK$1, 0))</f>
        <v>3.9692928905195685E-2</v>
      </c>
      <c r="D1991" s="2">
        <f ca="1">INDEX(Simulations!$A$1:$BK$2501, 1991, MATCH("SynMargin", Simulations!$A$1:$BK$1, 0))</f>
        <v>6.9367928629721527E-3</v>
      </c>
      <c r="E1991" s="2">
        <f ca="1">INDEX(Simulations!$A$1:$BK$2501, 1991, MATCH("Yr1Shock", Simulations!$A$1:$BK$1, 0))</f>
        <v>8.0750701370986624E-3</v>
      </c>
    </row>
    <row r="1992" spans="1:5" x14ac:dyDescent="0.3">
      <c r="A1992" s="2">
        <f ca="1">INDEX(Simulations!$A$1:$BK$2501, 1992, MATCH("PurchaseMultiple", Simulations!$A$1:$BK$1, 0))</f>
        <v>6.7682289849927848</v>
      </c>
      <c r="B1992" s="2">
        <f ca="1">INDEX(Simulations!$A$1:$BK$2501, 1992, MATCH("ExitMultiple", Simulations!$A$1:$BK$1, 0))</f>
        <v>7.5124826783996834</v>
      </c>
      <c r="C1992" s="2">
        <f ca="1">INDEX(Simulations!$A$1:$BK$2501, 1992, MATCH("RevCAGR", Simulations!$A$1:$BK$1, 0))</f>
        <v>8.4081193555437042E-3</v>
      </c>
      <c r="D1992" s="2">
        <f ca="1">INDEX(Simulations!$A$1:$BK$2501, 1992, MATCH("SynMargin", Simulations!$A$1:$BK$1, 0))</f>
        <v>8.117229590644601E-3</v>
      </c>
      <c r="E1992" s="2">
        <f ca="1">INDEX(Simulations!$A$1:$BK$2501, 1992, MATCH("Yr1Shock", Simulations!$A$1:$BK$1, 0))</f>
        <v>4.726215711166374E-2</v>
      </c>
    </row>
    <row r="1993" spans="1:5" x14ac:dyDescent="0.3">
      <c r="A1993" s="2">
        <f ca="1">INDEX(Simulations!$A$1:$BK$2501, 1993, MATCH("PurchaseMultiple", Simulations!$A$1:$BK$1, 0))</f>
        <v>7.6972272969112527</v>
      </c>
      <c r="B1993" s="2">
        <f ca="1">INDEX(Simulations!$A$1:$BK$2501, 1993, MATCH("ExitMultiple", Simulations!$A$1:$BK$1, 0))</f>
        <v>7.8482927881643247</v>
      </c>
      <c r="C1993" s="2">
        <f ca="1">INDEX(Simulations!$A$1:$BK$2501, 1993, MATCH("RevCAGR", Simulations!$A$1:$BK$1, 0))</f>
        <v>-1.0953473854557909E-2</v>
      </c>
      <c r="D1993" s="2">
        <f ca="1">INDEX(Simulations!$A$1:$BK$2501, 1993, MATCH("SynMargin", Simulations!$A$1:$BK$1, 0))</f>
        <v>2.8064245187024144E-3</v>
      </c>
      <c r="E1993" s="2">
        <f ca="1">INDEX(Simulations!$A$1:$BK$2501, 1993, MATCH("Yr1Shock", Simulations!$A$1:$BK$1, 0))</f>
        <v>-9.5827037950295263E-3</v>
      </c>
    </row>
    <row r="1994" spans="1:5" x14ac:dyDescent="0.3">
      <c r="A1994" s="2">
        <f ca="1">INDEX(Simulations!$A$1:$BK$2501, 1994, MATCH("PurchaseMultiple", Simulations!$A$1:$BK$1, 0))</f>
        <v>7.8247606520133139</v>
      </c>
      <c r="B1994" s="2">
        <f ca="1">INDEX(Simulations!$A$1:$BK$2501, 1994, MATCH("ExitMultiple", Simulations!$A$1:$BK$1, 0))</f>
        <v>7.4978410730405356</v>
      </c>
      <c r="C1994" s="2">
        <f ca="1">INDEX(Simulations!$A$1:$BK$2501, 1994, MATCH("RevCAGR", Simulations!$A$1:$BK$1, 0))</f>
        <v>7.551185214609997E-2</v>
      </c>
      <c r="D1994" s="2">
        <f ca="1">INDEX(Simulations!$A$1:$BK$2501, 1994, MATCH("SynMargin", Simulations!$A$1:$BK$1, 0))</f>
        <v>1.4530525493714478E-2</v>
      </c>
      <c r="E1994" s="2">
        <f ca="1">INDEX(Simulations!$A$1:$BK$2501, 1994, MATCH("Yr1Shock", Simulations!$A$1:$BK$1, 0))</f>
        <v>4.3968099603123374E-2</v>
      </c>
    </row>
    <row r="1995" spans="1:5" x14ac:dyDescent="0.3">
      <c r="A1995" s="2">
        <f ca="1">INDEX(Simulations!$A$1:$BK$2501, 1995, MATCH("PurchaseMultiple", Simulations!$A$1:$BK$1, 0))</f>
        <v>7.1504263256975289</v>
      </c>
      <c r="B1995" s="2">
        <f ca="1">INDEX(Simulations!$A$1:$BK$2501, 1995, MATCH("ExitMultiple", Simulations!$A$1:$BK$1, 0))</f>
        <v>7.0314179497695672</v>
      </c>
      <c r="C1995" s="2">
        <f ca="1">INDEX(Simulations!$A$1:$BK$2501, 1995, MATCH("RevCAGR", Simulations!$A$1:$BK$1, 0))</f>
        <v>6.8137705758767389E-2</v>
      </c>
      <c r="D1995" s="2">
        <f ca="1">INDEX(Simulations!$A$1:$BK$2501, 1995, MATCH("SynMargin", Simulations!$A$1:$BK$1, 0))</f>
        <v>1.3883449371886791E-2</v>
      </c>
      <c r="E1995" s="2">
        <f ca="1">INDEX(Simulations!$A$1:$BK$2501, 1995, MATCH("Yr1Shock", Simulations!$A$1:$BK$1, 0))</f>
        <v>1.0434576720254564E-2</v>
      </c>
    </row>
    <row r="1996" spans="1:5" x14ac:dyDescent="0.3">
      <c r="A1996" s="2">
        <f ca="1">INDEX(Simulations!$A$1:$BK$2501, 1996, MATCH("PurchaseMultiple", Simulations!$A$1:$BK$1, 0))</f>
        <v>7.1099790738689217</v>
      </c>
      <c r="B1996" s="2">
        <f ca="1">INDEX(Simulations!$A$1:$BK$2501, 1996, MATCH("ExitMultiple", Simulations!$A$1:$BK$1, 0))</f>
        <v>7.5110514493119105</v>
      </c>
      <c r="C1996" s="2">
        <f ca="1">INDEX(Simulations!$A$1:$BK$2501, 1996, MATCH("RevCAGR", Simulations!$A$1:$BK$1, 0))</f>
        <v>2.8852131979814948E-2</v>
      </c>
      <c r="D1996" s="2">
        <f ca="1">INDEX(Simulations!$A$1:$BK$2501, 1996, MATCH("SynMargin", Simulations!$A$1:$BK$1, 0))</f>
        <v>1.1074681858656543E-2</v>
      </c>
      <c r="E1996" s="2">
        <f ca="1">INDEX(Simulations!$A$1:$BK$2501, 1996, MATCH("Yr1Shock", Simulations!$A$1:$BK$1, 0))</f>
        <v>2.3003770415556981E-2</v>
      </c>
    </row>
    <row r="1997" spans="1:5" x14ac:dyDescent="0.3">
      <c r="A1997" s="2">
        <f ca="1">INDEX(Simulations!$A$1:$BK$2501, 1997, MATCH("PurchaseMultiple", Simulations!$A$1:$BK$1, 0))</f>
        <v>6.941296829668933</v>
      </c>
      <c r="B1997" s="2">
        <f ca="1">INDEX(Simulations!$A$1:$BK$2501, 1997, MATCH("ExitMultiple", Simulations!$A$1:$BK$1, 0))</f>
        <v>7.9440654784077926</v>
      </c>
      <c r="C1997" s="2">
        <f ca="1">INDEX(Simulations!$A$1:$BK$2501, 1997, MATCH("RevCAGR", Simulations!$A$1:$BK$1, 0))</f>
        <v>4.3370438885695924E-2</v>
      </c>
      <c r="D1997" s="2">
        <f ca="1">INDEX(Simulations!$A$1:$BK$2501, 1997, MATCH("SynMargin", Simulations!$A$1:$BK$1, 0))</f>
        <v>8.6459495411204783E-3</v>
      </c>
      <c r="E1997" s="2">
        <f ca="1">INDEX(Simulations!$A$1:$BK$2501, 1997, MATCH("Yr1Shock", Simulations!$A$1:$BK$1, 0))</f>
        <v>3.3198128325975261E-2</v>
      </c>
    </row>
    <row r="1998" spans="1:5" x14ac:dyDescent="0.3">
      <c r="A1998" s="2">
        <f ca="1">INDEX(Simulations!$A$1:$BK$2501, 1998, MATCH("PurchaseMultiple", Simulations!$A$1:$BK$1, 0))</f>
        <v>7.4214199061189943</v>
      </c>
      <c r="B1998" s="2">
        <f ca="1">INDEX(Simulations!$A$1:$BK$2501, 1998, MATCH("ExitMultiple", Simulations!$A$1:$BK$1, 0))</f>
        <v>6.9099710503287533</v>
      </c>
      <c r="C1998" s="2">
        <f ca="1">INDEX(Simulations!$A$1:$BK$2501, 1998, MATCH("RevCAGR", Simulations!$A$1:$BK$1, 0))</f>
        <v>4.6381149186894989E-2</v>
      </c>
      <c r="D1998" s="2">
        <f ca="1">INDEX(Simulations!$A$1:$BK$2501, 1998, MATCH("SynMargin", Simulations!$A$1:$BK$1, 0))</f>
        <v>3.1897859676204132E-3</v>
      </c>
      <c r="E1998" s="2">
        <f ca="1">INDEX(Simulations!$A$1:$BK$2501, 1998, MATCH("Yr1Shock", Simulations!$A$1:$BK$1, 0))</f>
        <v>-8.2142454126455672E-3</v>
      </c>
    </row>
    <row r="1999" spans="1:5" x14ac:dyDescent="0.3">
      <c r="A1999" s="2">
        <f ca="1">INDEX(Simulations!$A$1:$BK$2501, 1999, MATCH("PurchaseMultiple", Simulations!$A$1:$BK$1, 0))</f>
        <v>7.5196859631599615</v>
      </c>
      <c r="B1999" s="2">
        <f ca="1">INDEX(Simulations!$A$1:$BK$2501, 1999, MATCH("ExitMultiple", Simulations!$A$1:$BK$1, 0))</f>
        <v>6.7065806735127698</v>
      </c>
      <c r="C1999" s="2">
        <f ca="1">INDEX(Simulations!$A$1:$BK$2501, 1999, MATCH("RevCAGR", Simulations!$A$1:$BK$1, 0))</f>
        <v>1.5515847858565978E-2</v>
      </c>
      <c r="D1999" s="2">
        <f ca="1">INDEX(Simulations!$A$1:$BK$2501, 1999, MATCH("SynMargin", Simulations!$A$1:$BK$1, 0))</f>
        <v>5.4859910546499868E-3</v>
      </c>
      <c r="E1999" s="2">
        <f ca="1">INDEX(Simulations!$A$1:$BK$2501, 1999, MATCH("Yr1Shock", Simulations!$A$1:$BK$1, 0))</f>
        <v>-0.05</v>
      </c>
    </row>
    <row r="2000" spans="1:5" x14ac:dyDescent="0.3">
      <c r="A2000" s="2">
        <f ca="1">INDEX(Simulations!$A$1:$BK$2501, 2000, MATCH("PurchaseMultiple", Simulations!$A$1:$BK$1, 0))</f>
        <v>6.843020032611852</v>
      </c>
      <c r="B2000" s="2">
        <f ca="1">INDEX(Simulations!$A$1:$BK$2501, 2000, MATCH("ExitMultiple", Simulations!$A$1:$BK$1, 0))</f>
        <v>7.8107950974991507</v>
      </c>
      <c r="C2000" s="2">
        <f ca="1">INDEX(Simulations!$A$1:$BK$2501, 2000, MATCH("RevCAGR", Simulations!$A$1:$BK$1, 0))</f>
        <v>2.3916723456288373E-2</v>
      </c>
      <c r="D2000" s="2">
        <f ca="1">INDEX(Simulations!$A$1:$BK$2501, 2000, MATCH("SynMargin", Simulations!$A$1:$BK$1, 0))</f>
        <v>7.6415335500258441E-3</v>
      </c>
      <c r="E2000" s="2">
        <f ca="1">INDEX(Simulations!$A$1:$BK$2501, 2000, MATCH("Yr1Shock", Simulations!$A$1:$BK$1, 0))</f>
        <v>-1.402769098073507E-2</v>
      </c>
    </row>
    <row r="2001" spans="1:5" x14ac:dyDescent="0.3">
      <c r="A2001" s="2">
        <f ca="1">INDEX(Simulations!$A$1:$BK$2501, 2001, MATCH("PurchaseMultiple", Simulations!$A$1:$BK$1, 0))</f>
        <v>6.8160834915697714</v>
      </c>
      <c r="B2001" s="2">
        <f ca="1">INDEX(Simulations!$A$1:$BK$2501, 2001, MATCH("ExitMultiple", Simulations!$A$1:$BK$1, 0))</f>
        <v>7.3124514223454762</v>
      </c>
      <c r="C2001" s="2">
        <f ca="1">INDEX(Simulations!$A$1:$BK$2501, 2001, MATCH("RevCAGR", Simulations!$A$1:$BK$1, 0))</f>
        <v>3.7418386218600851E-2</v>
      </c>
      <c r="D2001" s="2">
        <f ca="1">INDEX(Simulations!$A$1:$BK$2501, 2001, MATCH("SynMargin", Simulations!$A$1:$BK$1, 0))</f>
        <v>1.3308342190238473E-2</v>
      </c>
      <c r="E2001" s="2">
        <f ca="1">INDEX(Simulations!$A$1:$BK$2501, 2001, MATCH("Yr1Shock", Simulations!$A$1:$BK$1, 0))</f>
        <v>-3.6907384722802722E-2</v>
      </c>
    </row>
    <row r="2002" spans="1:5" x14ac:dyDescent="0.3">
      <c r="A2002" s="2">
        <f ca="1">INDEX(Simulations!$A$1:$BK$2501, 2002, MATCH("PurchaseMultiple", Simulations!$A$1:$BK$1, 0))</f>
        <v>7.0993434979765331</v>
      </c>
      <c r="B2002" s="2">
        <f ca="1">INDEX(Simulations!$A$1:$BK$2501, 2002, MATCH("ExitMultiple", Simulations!$A$1:$BK$1, 0))</f>
        <v>7.1080143055548968</v>
      </c>
      <c r="C2002" s="2">
        <f ca="1">INDEX(Simulations!$A$1:$BK$2501, 2002, MATCH("RevCAGR", Simulations!$A$1:$BK$1, 0))</f>
        <v>2.3350618672053413E-2</v>
      </c>
      <c r="D2002" s="2">
        <f ca="1">INDEX(Simulations!$A$1:$BK$2501, 2002, MATCH("SynMargin", Simulations!$A$1:$BK$1, 0))</f>
        <v>8.7516418046626708E-3</v>
      </c>
      <c r="E2002" s="2">
        <f ca="1">INDEX(Simulations!$A$1:$BK$2501, 2002, MATCH("Yr1Shock", Simulations!$A$1:$BK$1, 0))</f>
        <v>2.3963885861892048E-2</v>
      </c>
    </row>
    <row r="2003" spans="1:5" x14ac:dyDescent="0.3">
      <c r="A2003" s="2">
        <f ca="1">INDEX(Simulations!$A$1:$BK$2501, 2003, MATCH("PurchaseMultiple", Simulations!$A$1:$BK$1, 0))</f>
        <v>6.6022416749401716</v>
      </c>
      <c r="B2003" s="2">
        <f ca="1">INDEX(Simulations!$A$1:$BK$2501, 2003, MATCH("ExitMultiple", Simulations!$A$1:$BK$1, 0))</f>
        <v>7.611665089121276</v>
      </c>
      <c r="C2003" s="2">
        <f ca="1">INDEX(Simulations!$A$1:$BK$2501, 2003, MATCH("RevCAGR", Simulations!$A$1:$BK$1, 0))</f>
        <v>-1.3253772158247655E-2</v>
      </c>
      <c r="D2003" s="2">
        <f ca="1">INDEX(Simulations!$A$1:$BK$2501, 2003, MATCH("SynMargin", Simulations!$A$1:$BK$1, 0))</f>
        <v>8.3579296985847266E-3</v>
      </c>
      <c r="E2003" s="2">
        <f ca="1">INDEX(Simulations!$A$1:$BK$2501, 2003, MATCH("Yr1Shock", Simulations!$A$1:$BK$1, 0))</f>
        <v>1.2095776183919899E-2</v>
      </c>
    </row>
    <row r="2004" spans="1:5" x14ac:dyDescent="0.3">
      <c r="A2004" s="2">
        <f ca="1">INDEX(Simulations!$A$1:$BK$2501, 2004, MATCH("PurchaseMultiple", Simulations!$A$1:$BK$1, 0))</f>
        <v>7.1178428992453178</v>
      </c>
      <c r="B2004" s="2">
        <f ca="1">INDEX(Simulations!$A$1:$BK$2501, 2004, MATCH("ExitMultiple", Simulations!$A$1:$BK$1, 0))</f>
        <v>8.151962728491835</v>
      </c>
      <c r="C2004" s="2">
        <f ca="1">INDEX(Simulations!$A$1:$BK$2501, 2004, MATCH("RevCAGR", Simulations!$A$1:$BK$1, 0))</f>
        <v>5.1995083092066199E-2</v>
      </c>
      <c r="D2004" s="2">
        <f ca="1">INDEX(Simulations!$A$1:$BK$2501, 2004, MATCH("SynMargin", Simulations!$A$1:$BK$1, 0))</f>
        <v>5.3185651046763448E-3</v>
      </c>
      <c r="E2004" s="2">
        <f ca="1">INDEX(Simulations!$A$1:$BK$2501, 2004, MATCH("Yr1Shock", Simulations!$A$1:$BK$1, 0))</f>
        <v>1.3098882463190921E-2</v>
      </c>
    </row>
    <row r="2005" spans="1:5" x14ac:dyDescent="0.3">
      <c r="A2005" s="2">
        <f ca="1">INDEX(Simulations!$A$1:$BK$2501, 2005, MATCH("PurchaseMultiple", Simulations!$A$1:$BK$1, 0))</f>
        <v>6.4984733174905349</v>
      </c>
      <c r="B2005" s="2">
        <f ca="1">INDEX(Simulations!$A$1:$BK$2501, 2005, MATCH("ExitMultiple", Simulations!$A$1:$BK$1, 0))</f>
        <v>7.33049452068013</v>
      </c>
      <c r="C2005" s="2">
        <f ca="1">INDEX(Simulations!$A$1:$BK$2501, 2005, MATCH("RevCAGR", Simulations!$A$1:$BK$1, 0))</f>
        <v>1.3356836921177562E-2</v>
      </c>
      <c r="D2005" s="2">
        <f ca="1">INDEX(Simulations!$A$1:$BK$2501, 2005, MATCH("SynMargin", Simulations!$A$1:$BK$1, 0))</f>
        <v>1.0118573628959203E-2</v>
      </c>
      <c r="E2005" s="2">
        <f ca="1">INDEX(Simulations!$A$1:$BK$2501, 2005, MATCH("Yr1Shock", Simulations!$A$1:$BK$1, 0))</f>
        <v>-3.8633193640959872E-2</v>
      </c>
    </row>
    <row r="2006" spans="1:5" x14ac:dyDescent="0.3">
      <c r="A2006" s="2">
        <f ca="1">INDEX(Simulations!$A$1:$BK$2501, 2006, MATCH("PurchaseMultiple", Simulations!$A$1:$BK$1, 0))</f>
        <v>6.8559756940852443</v>
      </c>
      <c r="B2006" s="2">
        <f ca="1">INDEX(Simulations!$A$1:$BK$2501, 2006, MATCH("ExitMultiple", Simulations!$A$1:$BK$1, 0))</f>
        <v>7.8901422423518497</v>
      </c>
      <c r="C2006" s="2">
        <f ca="1">INDEX(Simulations!$A$1:$BK$2501, 2006, MATCH("RevCAGR", Simulations!$A$1:$BK$1, 0))</f>
        <v>1.0130798205387627E-2</v>
      </c>
      <c r="D2006" s="2">
        <f ca="1">INDEX(Simulations!$A$1:$BK$2501, 2006, MATCH("SynMargin", Simulations!$A$1:$BK$1, 0))</f>
        <v>9.7299399057749914E-3</v>
      </c>
      <c r="E2006" s="2">
        <f ca="1">INDEX(Simulations!$A$1:$BK$2501, 2006, MATCH("Yr1Shock", Simulations!$A$1:$BK$1, 0))</f>
        <v>-4.8471439452439508E-3</v>
      </c>
    </row>
    <row r="2007" spans="1:5" x14ac:dyDescent="0.3">
      <c r="A2007" s="2">
        <f ca="1">INDEX(Simulations!$A$1:$BK$2501, 2007, MATCH("PurchaseMultiple", Simulations!$A$1:$BK$1, 0))</f>
        <v>6.7945437954686811</v>
      </c>
      <c r="B2007" s="2">
        <f ca="1">INDEX(Simulations!$A$1:$BK$2501, 2007, MATCH("ExitMultiple", Simulations!$A$1:$BK$1, 0))</f>
        <v>6.676943899130781</v>
      </c>
      <c r="C2007" s="2">
        <f ca="1">INDEX(Simulations!$A$1:$BK$2501, 2007, MATCH("RevCAGR", Simulations!$A$1:$BK$1, 0))</f>
        <v>6.8201971203808526E-2</v>
      </c>
      <c r="D2007" s="2">
        <f ca="1">INDEX(Simulations!$A$1:$BK$2501, 2007, MATCH("SynMargin", Simulations!$A$1:$BK$1, 0))</f>
        <v>4.0423934784367659E-3</v>
      </c>
      <c r="E2007" s="2">
        <f ca="1">INDEX(Simulations!$A$1:$BK$2501, 2007, MATCH("Yr1Shock", Simulations!$A$1:$BK$1, 0))</f>
        <v>1.1027975158401735E-2</v>
      </c>
    </row>
    <row r="2008" spans="1:5" x14ac:dyDescent="0.3">
      <c r="A2008" s="2">
        <f ca="1">INDEX(Simulations!$A$1:$BK$2501, 2008, MATCH("PurchaseMultiple", Simulations!$A$1:$BK$1, 0))</f>
        <v>7.6186855443962829</v>
      </c>
      <c r="B2008" s="2">
        <f ca="1">INDEX(Simulations!$A$1:$BK$2501, 2008, MATCH("ExitMultiple", Simulations!$A$1:$BK$1, 0))</f>
        <v>7.1795339457585436</v>
      </c>
      <c r="C2008" s="2">
        <f ca="1">INDEX(Simulations!$A$1:$BK$2501, 2008, MATCH("RevCAGR", Simulations!$A$1:$BK$1, 0))</f>
        <v>6.5389940262875895E-2</v>
      </c>
      <c r="D2008" s="2">
        <f ca="1">INDEX(Simulations!$A$1:$BK$2501, 2008, MATCH("SynMargin", Simulations!$A$1:$BK$1, 0))</f>
        <v>1.9466056609120409E-2</v>
      </c>
      <c r="E2008" s="2">
        <f ca="1">INDEX(Simulations!$A$1:$BK$2501, 2008, MATCH("Yr1Shock", Simulations!$A$1:$BK$1, 0))</f>
        <v>2.7051695603858984E-2</v>
      </c>
    </row>
    <row r="2009" spans="1:5" x14ac:dyDescent="0.3">
      <c r="A2009" s="2">
        <f ca="1">INDEX(Simulations!$A$1:$BK$2501, 2009, MATCH("PurchaseMultiple", Simulations!$A$1:$BK$1, 0))</f>
        <v>6.8926325022035275</v>
      </c>
      <c r="B2009" s="2">
        <f ca="1">INDEX(Simulations!$A$1:$BK$2501, 2009, MATCH("ExitMultiple", Simulations!$A$1:$BK$1, 0))</f>
        <v>7.8490373022665114</v>
      </c>
      <c r="C2009" s="2">
        <f ca="1">INDEX(Simulations!$A$1:$BK$2501, 2009, MATCH("RevCAGR", Simulations!$A$1:$BK$1, 0))</f>
        <v>4.5671972278755517E-2</v>
      </c>
      <c r="D2009" s="2">
        <f ca="1">INDEX(Simulations!$A$1:$BK$2501, 2009, MATCH("SynMargin", Simulations!$A$1:$BK$1, 0))</f>
        <v>4.4037458630342618E-3</v>
      </c>
      <c r="E2009" s="2">
        <f ca="1">INDEX(Simulations!$A$1:$BK$2501, 2009, MATCH("Yr1Shock", Simulations!$A$1:$BK$1, 0))</f>
        <v>-7.8793655721306807E-3</v>
      </c>
    </row>
    <row r="2010" spans="1:5" x14ac:dyDescent="0.3">
      <c r="A2010" s="2">
        <f ca="1">INDEX(Simulations!$A$1:$BK$2501, 2010, MATCH("PurchaseMultiple", Simulations!$A$1:$BK$1, 0))</f>
        <v>6.3391397372017453</v>
      </c>
      <c r="B2010" s="2">
        <f ca="1">INDEX(Simulations!$A$1:$BK$2501, 2010, MATCH("ExitMultiple", Simulations!$A$1:$BK$1, 0))</f>
        <v>7.328620466073871</v>
      </c>
      <c r="C2010" s="2">
        <f ca="1">INDEX(Simulations!$A$1:$BK$2501, 2010, MATCH("RevCAGR", Simulations!$A$1:$BK$1, 0))</f>
        <v>3.2094345741596121E-2</v>
      </c>
      <c r="D2010" s="2">
        <f ca="1">INDEX(Simulations!$A$1:$BK$2501, 2010, MATCH("SynMargin", Simulations!$A$1:$BK$1, 0))</f>
        <v>1.0928855330416196E-2</v>
      </c>
      <c r="E2010" s="2">
        <f ca="1">INDEX(Simulations!$A$1:$BK$2501, 2010, MATCH("Yr1Shock", Simulations!$A$1:$BK$1, 0))</f>
        <v>-4.2086523086561885E-3</v>
      </c>
    </row>
    <row r="2011" spans="1:5" x14ac:dyDescent="0.3">
      <c r="A2011" s="2">
        <f ca="1">INDEX(Simulations!$A$1:$BK$2501, 2011, MATCH("PurchaseMultiple", Simulations!$A$1:$BK$1, 0))</f>
        <v>7.5587601998592344</v>
      </c>
      <c r="B2011" s="2">
        <f ca="1">INDEX(Simulations!$A$1:$BK$2501, 2011, MATCH("ExitMultiple", Simulations!$A$1:$BK$1, 0))</f>
        <v>8.1460431283933286</v>
      </c>
      <c r="C2011" s="2">
        <f ca="1">INDEX(Simulations!$A$1:$BK$2501, 2011, MATCH("RevCAGR", Simulations!$A$1:$BK$1, 0))</f>
        <v>8.4663482514814231E-2</v>
      </c>
      <c r="D2011" s="2">
        <f ca="1">INDEX(Simulations!$A$1:$BK$2501, 2011, MATCH("SynMargin", Simulations!$A$1:$BK$1, 0))</f>
        <v>1.1527042181248514E-2</v>
      </c>
      <c r="E2011" s="2">
        <f ca="1">INDEX(Simulations!$A$1:$BK$2501, 2011, MATCH("Yr1Shock", Simulations!$A$1:$BK$1, 0))</f>
        <v>1.5187263136507097E-2</v>
      </c>
    </row>
    <row r="2012" spans="1:5" x14ac:dyDescent="0.3">
      <c r="A2012" s="2">
        <f ca="1">INDEX(Simulations!$A$1:$BK$2501, 2012, MATCH("PurchaseMultiple", Simulations!$A$1:$BK$1, 0))</f>
        <v>6.3023838092882167</v>
      </c>
      <c r="B2012" s="2">
        <f ca="1">INDEX(Simulations!$A$1:$BK$2501, 2012, MATCH("ExitMultiple", Simulations!$A$1:$BK$1, 0))</f>
        <v>7.3903153186876258</v>
      </c>
      <c r="C2012" s="2">
        <f ca="1">INDEX(Simulations!$A$1:$BK$2501, 2012, MATCH("RevCAGR", Simulations!$A$1:$BK$1, 0))</f>
        <v>6.6017922346920527E-4</v>
      </c>
      <c r="D2012" s="2">
        <f ca="1">INDEX(Simulations!$A$1:$BK$2501, 2012, MATCH("SynMargin", Simulations!$A$1:$BK$1, 0))</f>
        <v>1.4677936668007173E-2</v>
      </c>
      <c r="E2012" s="2">
        <f ca="1">INDEX(Simulations!$A$1:$BK$2501, 2012, MATCH("Yr1Shock", Simulations!$A$1:$BK$1, 0))</f>
        <v>-1.8800807304205389E-2</v>
      </c>
    </row>
    <row r="2013" spans="1:5" x14ac:dyDescent="0.3">
      <c r="A2013" s="2">
        <f ca="1">INDEX(Simulations!$A$1:$BK$2501, 2013, MATCH("PurchaseMultiple", Simulations!$A$1:$BK$1, 0))</f>
        <v>6.8655179398062618</v>
      </c>
      <c r="B2013" s="2">
        <f ca="1">INDEX(Simulations!$A$1:$BK$2501, 2013, MATCH("ExitMultiple", Simulations!$A$1:$BK$1, 0))</f>
        <v>6.9629896122843586</v>
      </c>
      <c r="C2013" s="2">
        <f ca="1">INDEX(Simulations!$A$1:$BK$2501, 2013, MATCH("RevCAGR", Simulations!$A$1:$BK$1, 0))</f>
        <v>4.6334748000287765E-2</v>
      </c>
      <c r="D2013" s="2">
        <f ca="1">INDEX(Simulations!$A$1:$BK$2501, 2013, MATCH("SynMargin", Simulations!$A$1:$BK$1, 0))</f>
        <v>1.0105346531156075E-2</v>
      </c>
      <c r="E2013" s="2">
        <f ca="1">INDEX(Simulations!$A$1:$BK$2501, 2013, MATCH("Yr1Shock", Simulations!$A$1:$BK$1, 0))</f>
        <v>-1.1542710601474404E-2</v>
      </c>
    </row>
    <row r="2014" spans="1:5" x14ac:dyDescent="0.3">
      <c r="A2014" s="2">
        <f ca="1">INDEX(Simulations!$A$1:$BK$2501, 2014, MATCH("PurchaseMultiple", Simulations!$A$1:$BK$1, 0))</f>
        <v>6.320795090325289</v>
      </c>
      <c r="B2014" s="2">
        <f ca="1">INDEX(Simulations!$A$1:$BK$2501, 2014, MATCH("ExitMultiple", Simulations!$A$1:$BK$1, 0))</f>
        <v>7.4882731410845604</v>
      </c>
      <c r="C2014" s="2">
        <f ca="1">INDEX(Simulations!$A$1:$BK$2501, 2014, MATCH("RevCAGR", Simulations!$A$1:$BK$1, 0))</f>
        <v>4.6073054378931659E-2</v>
      </c>
      <c r="D2014" s="2">
        <f ca="1">INDEX(Simulations!$A$1:$BK$2501, 2014, MATCH("SynMargin", Simulations!$A$1:$BK$1, 0))</f>
        <v>9.2997611061624835E-3</v>
      </c>
      <c r="E2014" s="2">
        <f ca="1">INDEX(Simulations!$A$1:$BK$2501, 2014, MATCH("Yr1Shock", Simulations!$A$1:$BK$1, 0))</f>
        <v>-2.6303814620701652E-2</v>
      </c>
    </row>
    <row r="2015" spans="1:5" x14ac:dyDescent="0.3">
      <c r="A2015" s="2">
        <f ca="1">INDEX(Simulations!$A$1:$BK$2501, 2015, MATCH("PurchaseMultiple", Simulations!$A$1:$BK$1, 0))</f>
        <v>6.7608774204719424</v>
      </c>
      <c r="B2015" s="2">
        <f ca="1">INDEX(Simulations!$A$1:$BK$2501, 2015, MATCH("ExitMultiple", Simulations!$A$1:$BK$1, 0))</f>
        <v>8.0064866653642568</v>
      </c>
      <c r="C2015" s="2">
        <f ca="1">INDEX(Simulations!$A$1:$BK$2501, 2015, MATCH("RevCAGR", Simulations!$A$1:$BK$1, 0))</f>
        <v>2.6201353005654612E-2</v>
      </c>
      <c r="D2015" s="2">
        <f ca="1">INDEX(Simulations!$A$1:$BK$2501, 2015, MATCH("SynMargin", Simulations!$A$1:$BK$1, 0))</f>
        <v>1.524276728277758E-2</v>
      </c>
      <c r="E2015" s="2">
        <f ca="1">INDEX(Simulations!$A$1:$BK$2501, 2015, MATCH("Yr1Shock", Simulations!$A$1:$BK$1, 0))</f>
        <v>8.5367250561021266E-3</v>
      </c>
    </row>
    <row r="2016" spans="1:5" x14ac:dyDescent="0.3">
      <c r="A2016" s="2">
        <f ca="1">INDEX(Simulations!$A$1:$BK$2501, 2016, MATCH("PurchaseMultiple", Simulations!$A$1:$BK$1, 0))</f>
        <v>7.1356372773525667</v>
      </c>
      <c r="B2016" s="2">
        <f ca="1">INDEX(Simulations!$A$1:$BK$2501, 2016, MATCH("ExitMultiple", Simulations!$A$1:$BK$1, 0))</f>
        <v>7.7474794586368434</v>
      </c>
      <c r="C2016" s="2">
        <f ca="1">INDEX(Simulations!$A$1:$BK$2501, 2016, MATCH("RevCAGR", Simulations!$A$1:$BK$1, 0))</f>
        <v>4.1058106427401285E-2</v>
      </c>
      <c r="D2016" s="2">
        <f ca="1">INDEX(Simulations!$A$1:$BK$2501, 2016, MATCH("SynMargin", Simulations!$A$1:$BK$1, 0))</f>
        <v>8.6745993951472412E-3</v>
      </c>
      <c r="E2016" s="2">
        <f ca="1">INDEX(Simulations!$A$1:$BK$2501, 2016, MATCH("Yr1Shock", Simulations!$A$1:$BK$1, 0))</f>
        <v>-4.8775670786126496E-3</v>
      </c>
    </row>
    <row r="2017" spans="1:5" x14ac:dyDescent="0.3">
      <c r="A2017" s="2">
        <f ca="1">INDEX(Simulations!$A$1:$BK$2501, 2017, MATCH("PurchaseMultiple", Simulations!$A$1:$BK$1, 0))</f>
        <v>6.2003424876848694</v>
      </c>
      <c r="B2017" s="2">
        <f ca="1">INDEX(Simulations!$A$1:$BK$2501, 2017, MATCH("ExitMultiple", Simulations!$A$1:$BK$1, 0))</f>
        <v>6.5651111772345416</v>
      </c>
      <c r="C2017" s="2">
        <f ca="1">INDEX(Simulations!$A$1:$BK$2501, 2017, MATCH("RevCAGR", Simulations!$A$1:$BK$1, 0))</f>
        <v>-8.0213587718271223E-3</v>
      </c>
      <c r="D2017" s="2">
        <f ca="1">INDEX(Simulations!$A$1:$BK$2501, 2017, MATCH("SynMargin", Simulations!$A$1:$BK$1, 0))</f>
        <v>2.2396707216610332E-2</v>
      </c>
      <c r="E2017" s="2">
        <f ca="1">INDEX(Simulations!$A$1:$BK$2501, 2017, MATCH("Yr1Shock", Simulations!$A$1:$BK$1, 0))</f>
        <v>-1.9093757769456754E-3</v>
      </c>
    </row>
    <row r="2018" spans="1:5" x14ac:dyDescent="0.3">
      <c r="A2018" s="2">
        <f ca="1">INDEX(Simulations!$A$1:$BK$2501, 2018, MATCH("PurchaseMultiple", Simulations!$A$1:$BK$1, 0))</f>
        <v>7.227345353245946</v>
      </c>
      <c r="B2018" s="2">
        <f ca="1">INDEX(Simulations!$A$1:$BK$2501, 2018, MATCH("ExitMultiple", Simulations!$A$1:$BK$1, 0))</f>
        <v>6.8997324500919675</v>
      </c>
      <c r="C2018" s="2">
        <f ca="1">INDEX(Simulations!$A$1:$BK$2501, 2018, MATCH("RevCAGR", Simulations!$A$1:$BK$1, 0))</f>
        <v>5.2779160379972739E-2</v>
      </c>
      <c r="D2018" s="2">
        <f ca="1">INDEX(Simulations!$A$1:$BK$2501, 2018, MATCH("SynMargin", Simulations!$A$1:$BK$1, 0))</f>
        <v>2.7211213783421744E-3</v>
      </c>
      <c r="E2018" s="2">
        <f ca="1">INDEX(Simulations!$A$1:$BK$2501, 2018, MATCH("Yr1Shock", Simulations!$A$1:$BK$1, 0))</f>
        <v>7.6127400146738305E-3</v>
      </c>
    </row>
    <row r="2019" spans="1:5" x14ac:dyDescent="0.3">
      <c r="A2019" s="2">
        <f ca="1">INDEX(Simulations!$A$1:$BK$2501, 2019, MATCH("PurchaseMultiple", Simulations!$A$1:$BK$1, 0))</f>
        <v>7.5672792666984119</v>
      </c>
      <c r="B2019" s="2">
        <f ca="1">INDEX(Simulations!$A$1:$BK$2501, 2019, MATCH("ExitMultiple", Simulations!$A$1:$BK$1, 0))</f>
        <v>7.0832383593235297</v>
      </c>
      <c r="C2019" s="2">
        <f ca="1">INDEX(Simulations!$A$1:$BK$2501, 2019, MATCH("RevCAGR", Simulations!$A$1:$BK$1, 0))</f>
        <v>-1.7366543480867629E-2</v>
      </c>
      <c r="D2019" s="2">
        <f ca="1">INDEX(Simulations!$A$1:$BK$2501, 2019, MATCH("SynMargin", Simulations!$A$1:$BK$1, 0))</f>
        <v>1.6975490024162061E-2</v>
      </c>
      <c r="E2019" s="2">
        <f ca="1">INDEX(Simulations!$A$1:$BK$2501, 2019, MATCH("Yr1Shock", Simulations!$A$1:$BK$1, 0))</f>
        <v>-5.5333748074052248E-5</v>
      </c>
    </row>
    <row r="2020" spans="1:5" x14ac:dyDescent="0.3">
      <c r="A2020" s="2">
        <f ca="1">INDEX(Simulations!$A$1:$BK$2501, 2020, MATCH("PurchaseMultiple", Simulations!$A$1:$BK$1, 0))</f>
        <v>6.7354061468167288</v>
      </c>
      <c r="B2020" s="2">
        <f ca="1">INDEX(Simulations!$A$1:$BK$2501, 2020, MATCH("ExitMultiple", Simulations!$A$1:$BK$1, 0))</f>
        <v>7.7022875871377758</v>
      </c>
      <c r="C2020" s="2">
        <f ca="1">INDEX(Simulations!$A$1:$BK$2501, 2020, MATCH("RevCAGR", Simulations!$A$1:$BK$1, 0))</f>
        <v>2.6928806776226926E-2</v>
      </c>
      <c r="D2020" s="2">
        <f ca="1">INDEX(Simulations!$A$1:$BK$2501, 2020, MATCH("SynMargin", Simulations!$A$1:$BK$1, 0))</f>
        <v>1.7610847743924678E-2</v>
      </c>
      <c r="E2020" s="2">
        <f ca="1">INDEX(Simulations!$A$1:$BK$2501, 2020, MATCH("Yr1Shock", Simulations!$A$1:$BK$1, 0))</f>
        <v>-1.0018467533342897E-2</v>
      </c>
    </row>
    <row r="2021" spans="1:5" x14ac:dyDescent="0.3">
      <c r="A2021" s="2">
        <f ca="1">INDEX(Simulations!$A$1:$BK$2501, 2021, MATCH("PurchaseMultiple", Simulations!$A$1:$BK$1, 0))</f>
        <v>6.4733643443901876</v>
      </c>
      <c r="B2021" s="2">
        <f ca="1">INDEX(Simulations!$A$1:$BK$2501, 2021, MATCH("ExitMultiple", Simulations!$A$1:$BK$1, 0))</f>
        <v>7.6639026308344071</v>
      </c>
      <c r="C2021" s="2">
        <f ca="1">INDEX(Simulations!$A$1:$BK$2501, 2021, MATCH("RevCAGR", Simulations!$A$1:$BK$1, 0))</f>
        <v>4.3720079557975806E-2</v>
      </c>
      <c r="D2021" s="2">
        <f ca="1">INDEX(Simulations!$A$1:$BK$2501, 2021, MATCH("SynMargin", Simulations!$A$1:$BK$1, 0))</f>
        <v>1.2387400081191035E-2</v>
      </c>
      <c r="E2021" s="2">
        <f ca="1">INDEX(Simulations!$A$1:$BK$2501, 2021, MATCH("Yr1Shock", Simulations!$A$1:$BK$1, 0))</f>
        <v>-9.7729809123553793E-3</v>
      </c>
    </row>
    <row r="2022" spans="1:5" x14ac:dyDescent="0.3">
      <c r="A2022" s="2">
        <f ca="1">INDEX(Simulations!$A$1:$BK$2501, 2022, MATCH("PurchaseMultiple", Simulations!$A$1:$BK$1, 0))</f>
        <v>6.481760017839103</v>
      </c>
      <c r="B2022" s="2">
        <f ca="1">INDEX(Simulations!$A$1:$BK$2501, 2022, MATCH("ExitMultiple", Simulations!$A$1:$BK$1, 0))</f>
        <v>6.6200647770783183</v>
      </c>
      <c r="C2022" s="2">
        <f ca="1">INDEX(Simulations!$A$1:$BK$2501, 2022, MATCH("RevCAGR", Simulations!$A$1:$BK$1, 0))</f>
        <v>3.4995744687586997E-2</v>
      </c>
      <c r="D2022" s="2">
        <f ca="1">INDEX(Simulations!$A$1:$BK$2501, 2022, MATCH("SynMargin", Simulations!$A$1:$BK$1, 0))</f>
        <v>1.6632378917685649E-3</v>
      </c>
      <c r="E2022" s="2">
        <f ca="1">INDEX(Simulations!$A$1:$BK$2501, 2022, MATCH("Yr1Shock", Simulations!$A$1:$BK$1, 0))</f>
        <v>1.6470648831314848E-2</v>
      </c>
    </row>
    <row r="2023" spans="1:5" x14ac:dyDescent="0.3">
      <c r="A2023" s="2">
        <f ca="1">INDEX(Simulations!$A$1:$BK$2501, 2023, MATCH("PurchaseMultiple", Simulations!$A$1:$BK$1, 0))</f>
        <v>6.2528131000688054</v>
      </c>
      <c r="B2023" s="2">
        <f ca="1">INDEX(Simulations!$A$1:$BK$2501, 2023, MATCH("ExitMultiple", Simulations!$A$1:$BK$1, 0))</f>
        <v>8.0981578644863959</v>
      </c>
      <c r="C2023" s="2">
        <f ca="1">INDEX(Simulations!$A$1:$BK$2501, 2023, MATCH("RevCAGR", Simulations!$A$1:$BK$1, 0))</f>
        <v>4.8197243642913223E-2</v>
      </c>
      <c r="D2023" s="2">
        <f ca="1">INDEX(Simulations!$A$1:$BK$2501, 2023, MATCH("SynMargin", Simulations!$A$1:$BK$1, 0))</f>
        <v>5.8227258463098806E-3</v>
      </c>
      <c r="E2023" s="2">
        <f ca="1">INDEX(Simulations!$A$1:$BK$2501, 2023, MATCH("Yr1Shock", Simulations!$A$1:$BK$1, 0))</f>
        <v>-2.3352141436819691E-2</v>
      </c>
    </row>
    <row r="2024" spans="1:5" x14ac:dyDescent="0.3">
      <c r="A2024" s="2">
        <f ca="1">INDEX(Simulations!$A$1:$BK$2501, 2024, MATCH("PurchaseMultiple", Simulations!$A$1:$BK$1, 0))</f>
        <v>6.6358369366229555</v>
      </c>
      <c r="B2024" s="2">
        <f ca="1">INDEX(Simulations!$A$1:$BK$2501, 2024, MATCH("ExitMultiple", Simulations!$A$1:$BK$1, 0))</f>
        <v>7.4676727656398798</v>
      </c>
      <c r="C2024" s="2">
        <f ca="1">INDEX(Simulations!$A$1:$BK$2501, 2024, MATCH("RevCAGR", Simulations!$A$1:$BK$1, 0))</f>
        <v>3.3937769166880856E-2</v>
      </c>
      <c r="D2024" s="2">
        <f ca="1">INDEX(Simulations!$A$1:$BK$2501, 2024, MATCH("SynMargin", Simulations!$A$1:$BK$1, 0))</f>
        <v>0</v>
      </c>
      <c r="E2024" s="2">
        <f ca="1">INDEX(Simulations!$A$1:$BK$2501, 2024, MATCH("Yr1Shock", Simulations!$A$1:$BK$1, 0))</f>
        <v>1.6686837242144939E-2</v>
      </c>
    </row>
    <row r="2025" spans="1:5" x14ac:dyDescent="0.3">
      <c r="A2025" s="2">
        <f ca="1">INDEX(Simulations!$A$1:$BK$2501, 2025, MATCH("PurchaseMultiple", Simulations!$A$1:$BK$1, 0))</f>
        <v>6.8291241116256973</v>
      </c>
      <c r="B2025" s="2">
        <f ca="1">INDEX(Simulations!$A$1:$BK$2501, 2025, MATCH("ExitMultiple", Simulations!$A$1:$BK$1, 0))</f>
        <v>7.1711052806641211</v>
      </c>
      <c r="C2025" s="2">
        <f ca="1">INDEX(Simulations!$A$1:$BK$2501, 2025, MATCH("RevCAGR", Simulations!$A$1:$BK$1, 0))</f>
        <v>0.11468468908812121</v>
      </c>
      <c r="D2025" s="2">
        <f ca="1">INDEX(Simulations!$A$1:$BK$2501, 2025, MATCH("SynMargin", Simulations!$A$1:$BK$1, 0))</f>
        <v>1.6919469886857628E-2</v>
      </c>
      <c r="E2025" s="2">
        <f ca="1">INDEX(Simulations!$A$1:$BK$2501, 2025, MATCH("Yr1Shock", Simulations!$A$1:$BK$1, 0))</f>
        <v>-2.7660959488476279E-2</v>
      </c>
    </row>
    <row r="2026" spans="1:5" x14ac:dyDescent="0.3">
      <c r="A2026" s="2">
        <f ca="1">INDEX(Simulations!$A$1:$BK$2501, 2026, MATCH("PurchaseMultiple", Simulations!$A$1:$BK$1, 0))</f>
        <v>6.715990689861715</v>
      </c>
      <c r="B2026" s="2">
        <f ca="1">INDEX(Simulations!$A$1:$BK$2501, 2026, MATCH("ExitMultiple", Simulations!$A$1:$BK$1, 0))</f>
        <v>7.0578898560658834</v>
      </c>
      <c r="C2026" s="2">
        <f ca="1">INDEX(Simulations!$A$1:$BK$2501, 2026, MATCH("RevCAGR", Simulations!$A$1:$BK$1, 0))</f>
        <v>6.7282602531741745E-2</v>
      </c>
      <c r="D2026" s="2">
        <f ca="1">INDEX(Simulations!$A$1:$BK$2501, 2026, MATCH("SynMargin", Simulations!$A$1:$BK$1, 0))</f>
        <v>1.1866151702965289E-2</v>
      </c>
      <c r="E2026" s="2">
        <f ca="1">INDEX(Simulations!$A$1:$BK$2501, 2026, MATCH("Yr1Shock", Simulations!$A$1:$BK$1, 0))</f>
        <v>-3.3466077470819235E-2</v>
      </c>
    </row>
    <row r="2027" spans="1:5" x14ac:dyDescent="0.3">
      <c r="A2027" s="2">
        <f ca="1">INDEX(Simulations!$A$1:$BK$2501, 2027, MATCH("PurchaseMultiple", Simulations!$A$1:$BK$1, 0))</f>
        <v>7.1152311394298691</v>
      </c>
      <c r="B2027" s="2">
        <f ca="1">INDEX(Simulations!$A$1:$BK$2501, 2027, MATCH("ExitMultiple", Simulations!$A$1:$BK$1, 0))</f>
        <v>7.6846131908542139</v>
      </c>
      <c r="C2027" s="2">
        <f ca="1">INDEX(Simulations!$A$1:$BK$2501, 2027, MATCH("RevCAGR", Simulations!$A$1:$BK$1, 0))</f>
        <v>5.356575511737896E-2</v>
      </c>
      <c r="D2027" s="2">
        <f ca="1">INDEX(Simulations!$A$1:$BK$2501, 2027, MATCH("SynMargin", Simulations!$A$1:$BK$1, 0))</f>
        <v>1.0727620891080644E-2</v>
      </c>
      <c r="E2027" s="2">
        <f ca="1">INDEX(Simulations!$A$1:$BK$2501, 2027, MATCH("Yr1Shock", Simulations!$A$1:$BK$1, 0))</f>
        <v>-1.7531025453393741E-2</v>
      </c>
    </row>
    <row r="2028" spans="1:5" x14ac:dyDescent="0.3">
      <c r="A2028" s="2">
        <f ca="1">INDEX(Simulations!$A$1:$BK$2501, 2028, MATCH("PurchaseMultiple", Simulations!$A$1:$BK$1, 0))</f>
        <v>6.8214419363795811</v>
      </c>
      <c r="B2028" s="2">
        <f ca="1">INDEX(Simulations!$A$1:$BK$2501, 2028, MATCH("ExitMultiple", Simulations!$A$1:$BK$1, 0))</f>
        <v>7.5197654636400619</v>
      </c>
      <c r="C2028" s="2">
        <f ca="1">INDEX(Simulations!$A$1:$BK$2501, 2028, MATCH("RevCAGR", Simulations!$A$1:$BK$1, 0))</f>
        <v>3.3325165030143489E-2</v>
      </c>
      <c r="D2028" s="2">
        <f ca="1">INDEX(Simulations!$A$1:$BK$2501, 2028, MATCH("SynMargin", Simulations!$A$1:$BK$1, 0))</f>
        <v>1.2396060591310012E-2</v>
      </c>
      <c r="E2028" s="2">
        <f ca="1">INDEX(Simulations!$A$1:$BK$2501, 2028, MATCH("Yr1Shock", Simulations!$A$1:$BK$1, 0))</f>
        <v>-2.420706565238576E-2</v>
      </c>
    </row>
    <row r="2029" spans="1:5" x14ac:dyDescent="0.3">
      <c r="A2029" s="2">
        <f ca="1">INDEX(Simulations!$A$1:$BK$2501, 2029, MATCH("PurchaseMultiple", Simulations!$A$1:$BK$1, 0))</f>
        <v>6.4787585472895532</v>
      </c>
      <c r="B2029" s="2">
        <f ca="1">INDEX(Simulations!$A$1:$BK$2501, 2029, MATCH("ExitMultiple", Simulations!$A$1:$BK$1, 0))</f>
        <v>7.5295376940133538</v>
      </c>
      <c r="C2029" s="2">
        <f ca="1">INDEX(Simulations!$A$1:$BK$2501, 2029, MATCH("RevCAGR", Simulations!$A$1:$BK$1, 0))</f>
        <v>3.9479045435102882E-2</v>
      </c>
      <c r="D2029" s="2">
        <f ca="1">INDEX(Simulations!$A$1:$BK$2501, 2029, MATCH("SynMargin", Simulations!$A$1:$BK$1, 0))</f>
        <v>1.3606148859440424E-2</v>
      </c>
      <c r="E2029" s="2">
        <f ca="1">INDEX(Simulations!$A$1:$BK$2501, 2029, MATCH("Yr1Shock", Simulations!$A$1:$BK$1, 0))</f>
        <v>1.803343305892844E-2</v>
      </c>
    </row>
    <row r="2030" spans="1:5" x14ac:dyDescent="0.3">
      <c r="A2030" s="2">
        <f ca="1">INDEX(Simulations!$A$1:$BK$2501, 2030, MATCH("PurchaseMultiple", Simulations!$A$1:$BK$1, 0))</f>
        <v>6.7101655805888551</v>
      </c>
      <c r="B2030" s="2">
        <f ca="1">INDEX(Simulations!$A$1:$BK$2501, 2030, MATCH("ExitMultiple", Simulations!$A$1:$BK$1, 0))</f>
        <v>6.9166577061500423</v>
      </c>
      <c r="C2030" s="2">
        <f ca="1">INDEX(Simulations!$A$1:$BK$2501, 2030, MATCH("RevCAGR", Simulations!$A$1:$BK$1, 0))</f>
        <v>0.10569809876350145</v>
      </c>
      <c r="D2030" s="2">
        <f ca="1">INDEX(Simulations!$A$1:$BK$2501, 2030, MATCH("SynMargin", Simulations!$A$1:$BK$1, 0))</f>
        <v>1.3488233000059812E-2</v>
      </c>
      <c r="E2030" s="2">
        <f ca="1">INDEX(Simulations!$A$1:$BK$2501, 2030, MATCH("Yr1Shock", Simulations!$A$1:$BK$1, 0))</f>
        <v>-2.3571083557704781E-2</v>
      </c>
    </row>
    <row r="2031" spans="1:5" x14ac:dyDescent="0.3">
      <c r="A2031" s="2">
        <f ca="1">INDEX(Simulations!$A$1:$BK$2501, 2031, MATCH("PurchaseMultiple", Simulations!$A$1:$BK$1, 0))</f>
        <v>6.604601540279643</v>
      </c>
      <c r="B2031" s="2">
        <f ca="1">INDEX(Simulations!$A$1:$BK$2501, 2031, MATCH("ExitMultiple", Simulations!$A$1:$BK$1, 0))</f>
        <v>7.4936094165724327</v>
      </c>
      <c r="C2031" s="2">
        <f ca="1">INDEX(Simulations!$A$1:$BK$2501, 2031, MATCH("RevCAGR", Simulations!$A$1:$BK$1, 0))</f>
        <v>6.0442644132570215E-2</v>
      </c>
      <c r="D2031" s="2">
        <f ca="1">INDEX(Simulations!$A$1:$BK$2501, 2031, MATCH("SynMargin", Simulations!$A$1:$BK$1, 0))</f>
        <v>5.5170928141716966E-3</v>
      </c>
      <c r="E2031" s="2">
        <f ca="1">INDEX(Simulations!$A$1:$BK$2501, 2031, MATCH("Yr1Shock", Simulations!$A$1:$BK$1, 0))</f>
        <v>-2.6696827319556875E-3</v>
      </c>
    </row>
    <row r="2032" spans="1:5" x14ac:dyDescent="0.3">
      <c r="A2032" s="2">
        <f ca="1">INDEX(Simulations!$A$1:$BK$2501, 2032, MATCH("PurchaseMultiple", Simulations!$A$1:$BK$1, 0))</f>
        <v>7.2100802435310953</v>
      </c>
      <c r="B2032" s="2">
        <f ca="1">INDEX(Simulations!$A$1:$BK$2501, 2032, MATCH("ExitMultiple", Simulations!$A$1:$BK$1, 0))</f>
        <v>7.851736636670779</v>
      </c>
      <c r="C2032" s="2">
        <f ca="1">INDEX(Simulations!$A$1:$BK$2501, 2032, MATCH("RevCAGR", Simulations!$A$1:$BK$1, 0))</f>
        <v>6.9887550654537139E-2</v>
      </c>
      <c r="D2032" s="2">
        <f ca="1">INDEX(Simulations!$A$1:$BK$2501, 2032, MATCH("SynMargin", Simulations!$A$1:$BK$1, 0))</f>
        <v>1.5776143288502922E-2</v>
      </c>
      <c r="E2032" s="2">
        <f ca="1">INDEX(Simulations!$A$1:$BK$2501, 2032, MATCH("Yr1Shock", Simulations!$A$1:$BK$1, 0))</f>
        <v>1.5401104411370257E-3</v>
      </c>
    </row>
    <row r="2033" spans="1:5" x14ac:dyDescent="0.3">
      <c r="A2033" s="2">
        <f ca="1">INDEX(Simulations!$A$1:$BK$2501, 2033, MATCH("PurchaseMultiple", Simulations!$A$1:$BK$1, 0))</f>
        <v>6.5244854303220254</v>
      </c>
      <c r="B2033" s="2">
        <f ca="1">INDEX(Simulations!$A$1:$BK$2501, 2033, MATCH("ExitMultiple", Simulations!$A$1:$BK$1, 0))</f>
        <v>7.1492451778002062</v>
      </c>
      <c r="C2033" s="2">
        <f ca="1">INDEX(Simulations!$A$1:$BK$2501, 2033, MATCH("RevCAGR", Simulations!$A$1:$BK$1, 0))</f>
        <v>3.3225904020512342E-2</v>
      </c>
      <c r="D2033" s="2">
        <f ca="1">INDEX(Simulations!$A$1:$BK$2501, 2033, MATCH("SynMargin", Simulations!$A$1:$BK$1, 0))</f>
        <v>9.6492739174667275E-3</v>
      </c>
      <c r="E2033" s="2">
        <f ca="1">INDEX(Simulations!$A$1:$BK$2501, 2033, MATCH("Yr1Shock", Simulations!$A$1:$BK$1, 0))</f>
        <v>4.973753547273483E-2</v>
      </c>
    </row>
    <row r="2034" spans="1:5" x14ac:dyDescent="0.3">
      <c r="A2034" s="2">
        <f ca="1">INDEX(Simulations!$A$1:$BK$2501, 2034, MATCH("PurchaseMultiple", Simulations!$A$1:$BK$1, 0))</f>
        <v>7.1189160907758406</v>
      </c>
      <c r="B2034" s="2">
        <f ca="1">INDEX(Simulations!$A$1:$BK$2501, 2034, MATCH("ExitMultiple", Simulations!$A$1:$BK$1, 0))</f>
        <v>7.590703136421074</v>
      </c>
      <c r="C2034" s="2">
        <f ca="1">INDEX(Simulations!$A$1:$BK$2501, 2034, MATCH("RevCAGR", Simulations!$A$1:$BK$1, 0))</f>
        <v>2.6594604519851218E-2</v>
      </c>
      <c r="D2034" s="2">
        <f ca="1">INDEX(Simulations!$A$1:$BK$2501, 2034, MATCH("SynMargin", Simulations!$A$1:$BK$1, 0))</f>
        <v>1.0626285276149439E-2</v>
      </c>
      <c r="E2034" s="2">
        <f ca="1">INDEX(Simulations!$A$1:$BK$2501, 2034, MATCH("Yr1Shock", Simulations!$A$1:$BK$1, 0))</f>
        <v>3.6163712909595648E-3</v>
      </c>
    </row>
    <row r="2035" spans="1:5" x14ac:dyDescent="0.3">
      <c r="A2035" s="2">
        <f ca="1">INDEX(Simulations!$A$1:$BK$2501, 2035, MATCH("PurchaseMultiple", Simulations!$A$1:$BK$1, 0))</f>
        <v>7.0145913659536392</v>
      </c>
      <c r="B2035" s="2">
        <f ca="1">INDEX(Simulations!$A$1:$BK$2501, 2035, MATCH("ExitMultiple", Simulations!$A$1:$BK$1, 0))</f>
        <v>8.0517884187230067</v>
      </c>
      <c r="C2035" s="2">
        <f ca="1">INDEX(Simulations!$A$1:$BK$2501, 2035, MATCH("RevCAGR", Simulations!$A$1:$BK$1, 0))</f>
        <v>-8.15899008291876E-4</v>
      </c>
      <c r="D2035" s="2">
        <f ca="1">INDEX(Simulations!$A$1:$BK$2501, 2035, MATCH("SynMargin", Simulations!$A$1:$BK$1, 0))</f>
        <v>1.9540572654221215E-2</v>
      </c>
      <c r="E2035" s="2">
        <f ca="1">INDEX(Simulations!$A$1:$BK$2501, 2035, MATCH("Yr1Shock", Simulations!$A$1:$BK$1, 0))</f>
        <v>-1.1900262066125303E-2</v>
      </c>
    </row>
    <row r="2036" spans="1:5" x14ac:dyDescent="0.3">
      <c r="A2036" s="2">
        <f ca="1">INDEX(Simulations!$A$1:$BK$2501, 2036, MATCH("PurchaseMultiple", Simulations!$A$1:$BK$1, 0))</f>
        <v>7.2956439915156865</v>
      </c>
      <c r="B2036" s="2">
        <f ca="1">INDEX(Simulations!$A$1:$BK$2501, 2036, MATCH("ExitMultiple", Simulations!$A$1:$BK$1, 0))</f>
        <v>7.0336915973932239</v>
      </c>
      <c r="C2036" s="2">
        <f ca="1">INDEX(Simulations!$A$1:$BK$2501, 2036, MATCH("RevCAGR", Simulations!$A$1:$BK$1, 0))</f>
        <v>4.5448431793950764E-2</v>
      </c>
      <c r="D2036" s="2">
        <f ca="1">INDEX(Simulations!$A$1:$BK$2501, 2036, MATCH("SynMargin", Simulations!$A$1:$BK$1, 0))</f>
        <v>4.4124187323432316E-3</v>
      </c>
      <c r="E2036" s="2">
        <f ca="1">INDEX(Simulations!$A$1:$BK$2501, 2036, MATCH("Yr1Shock", Simulations!$A$1:$BK$1, 0))</f>
        <v>-3.647577620990182E-2</v>
      </c>
    </row>
    <row r="2037" spans="1:5" x14ac:dyDescent="0.3">
      <c r="A2037" s="2">
        <f ca="1">INDEX(Simulations!$A$1:$BK$2501, 2037, MATCH("PurchaseMultiple", Simulations!$A$1:$BK$1, 0))</f>
        <v>7.1112747191141379</v>
      </c>
      <c r="B2037" s="2">
        <f ca="1">INDEX(Simulations!$A$1:$BK$2501, 2037, MATCH("ExitMultiple", Simulations!$A$1:$BK$1, 0))</f>
        <v>7.2145642629285263</v>
      </c>
      <c r="C2037" s="2">
        <f ca="1">INDEX(Simulations!$A$1:$BK$2501, 2037, MATCH("RevCAGR", Simulations!$A$1:$BK$1, 0))</f>
        <v>2.1991484132844352E-2</v>
      </c>
      <c r="D2037" s="2">
        <f ca="1">INDEX(Simulations!$A$1:$BK$2501, 2037, MATCH("SynMargin", Simulations!$A$1:$BK$1, 0))</f>
        <v>1.8667057245175908E-2</v>
      </c>
      <c r="E2037" s="2">
        <f ca="1">INDEX(Simulations!$A$1:$BK$2501, 2037, MATCH("Yr1Shock", Simulations!$A$1:$BK$1, 0))</f>
        <v>2.5479656188195653E-2</v>
      </c>
    </row>
    <row r="2038" spans="1:5" x14ac:dyDescent="0.3">
      <c r="A2038" s="2">
        <f ca="1">INDEX(Simulations!$A$1:$BK$2501, 2038, MATCH("PurchaseMultiple", Simulations!$A$1:$BK$1, 0))</f>
        <v>7.032884327279838</v>
      </c>
      <c r="B2038" s="2">
        <f ca="1">INDEX(Simulations!$A$1:$BK$2501, 2038, MATCH("ExitMultiple", Simulations!$A$1:$BK$1, 0))</f>
        <v>7.8274665463162352</v>
      </c>
      <c r="C2038" s="2">
        <f ca="1">INDEX(Simulations!$A$1:$BK$2501, 2038, MATCH("RevCAGR", Simulations!$A$1:$BK$1, 0))</f>
        <v>4.2379747058200058E-2</v>
      </c>
      <c r="D2038" s="2">
        <f ca="1">INDEX(Simulations!$A$1:$BK$2501, 2038, MATCH("SynMargin", Simulations!$A$1:$BK$1, 0))</f>
        <v>7.8190551799285496E-3</v>
      </c>
      <c r="E2038" s="2">
        <f ca="1">INDEX(Simulations!$A$1:$BK$2501, 2038, MATCH("Yr1Shock", Simulations!$A$1:$BK$1, 0))</f>
        <v>-5.1181526594178258E-3</v>
      </c>
    </row>
    <row r="2039" spans="1:5" x14ac:dyDescent="0.3">
      <c r="A2039" s="2">
        <f ca="1">INDEX(Simulations!$A$1:$BK$2501, 2039, MATCH("PurchaseMultiple", Simulations!$A$1:$BK$1, 0))</f>
        <v>7.0664110965164895</v>
      </c>
      <c r="B2039" s="2">
        <f ca="1">INDEX(Simulations!$A$1:$BK$2501, 2039, MATCH("ExitMultiple", Simulations!$A$1:$BK$1, 0))</f>
        <v>8.2097247627668359</v>
      </c>
      <c r="C2039" s="2">
        <f ca="1">INDEX(Simulations!$A$1:$BK$2501, 2039, MATCH("RevCAGR", Simulations!$A$1:$BK$1, 0))</f>
        <v>4.0128948335503747E-2</v>
      </c>
      <c r="D2039" s="2">
        <f ca="1">INDEX(Simulations!$A$1:$BK$2501, 2039, MATCH("SynMargin", Simulations!$A$1:$BK$1, 0))</f>
        <v>1.015083847527545E-2</v>
      </c>
      <c r="E2039" s="2">
        <f ca="1">INDEX(Simulations!$A$1:$BK$2501, 2039, MATCH("Yr1Shock", Simulations!$A$1:$BK$1, 0))</f>
        <v>7.1226192093750557E-3</v>
      </c>
    </row>
    <row r="2040" spans="1:5" x14ac:dyDescent="0.3">
      <c r="A2040" s="2">
        <f ca="1">INDEX(Simulations!$A$1:$BK$2501, 2040, MATCH("PurchaseMultiple", Simulations!$A$1:$BK$1, 0))</f>
        <v>6.5521283485935973</v>
      </c>
      <c r="B2040" s="2">
        <f ca="1">INDEX(Simulations!$A$1:$BK$2501, 2040, MATCH("ExitMultiple", Simulations!$A$1:$BK$1, 0))</f>
        <v>8.2902124382292381</v>
      </c>
      <c r="C2040" s="2">
        <f ca="1">INDEX(Simulations!$A$1:$BK$2501, 2040, MATCH("RevCAGR", Simulations!$A$1:$BK$1, 0))</f>
        <v>5.906028016917509E-2</v>
      </c>
      <c r="D2040" s="2">
        <f ca="1">INDEX(Simulations!$A$1:$BK$2501, 2040, MATCH("SynMargin", Simulations!$A$1:$BK$1, 0))</f>
        <v>6.1852786597527479E-3</v>
      </c>
      <c r="E2040" s="2">
        <f ca="1">INDEX(Simulations!$A$1:$BK$2501, 2040, MATCH("Yr1Shock", Simulations!$A$1:$BK$1, 0))</f>
        <v>-1.9736472595051697E-2</v>
      </c>
    </row>
    <row r="2041" spans="1:5" x14ac:dyDescent="0.3">
      <c r="A2041" s="2">
        <f ca="1">INDEX(Simulations!$A$1:$BK$2501, 2041, MATCH("PurchaseMultiple", Simulations!$A$1:$BK$1, 0))</f>
        <v>6.7978208135318887</v>
      </c>
      <c r="B2041" s="2">
        <f ca="1">INDEX(Simulations!$A$1:$BK$2501, 2041, MATCH("ExitMultiple", Simulations!$A$1:$BK$1, 0))</f>
        <v>7.4817531168457387</v>
      </c>
      <c r="C2041" s="2">
        <f ca="1">INDEX(Simulations!$A$1:$BK$2501, 2041, MATCH("RevCAGR", Simulations!$A$1:$BK$1, 0))</f>
        <v>2.2679888513289306E-2</v>
      </c>
      <c r="D2041" s="2">
        <f ca="1">INDEX(Simulations!$A$1:$BK$2501, 2041, MATCH("SynMargin", Simulations!$A$1:$BK$1, 0))</f>
        <v>4.1891438120345674E-3</v>
      </c>
      <c r="E2041" s="2">
        <f ca="1">INDEX(Simulations!$A$1:$BK$2501, 2041, MATCH("Yr1Shock", Simulations!$A$1:$BK$1, 0))</f>
        <v>4.5557795757825955E-3</v>
      </c>
    </row>
    <row r="2042" spans="1:5" x14ac:dyDescent="0.3">
      <c r="A2042" s="2">
        <f ca="1">INDEX(Simulations!$A$1:$BK$2501, 2042, MATCH("PurchaseMultiple", Simulations!$A$1:$BK$1, 0))</f>
        <v>6.6033213642817365</v>
      </c>
      <c r="B2042" s="2">
        <f ca="1">INDEX(Simulations!$A$1:$BK$2501, 2042, MATCH("ExitMultiple", Simulations!$A$1:$BK$1, 0))</f>
        <v>7.9595528598486318</v>
      </c>
      <c r="C2042" s="2">
        <f ca="1">INDEX(Simulations!$A$1:$BK$2501, 2042, MATCH("RevCAGR", Simulations!$A$1:$BK$1, 0))</f>
        <v>6.014469362879224E-2</v>
      </c>
      <c r="D2042" s="2">
        <f ca="1">INDEX(Simulations!$A$1:$BK$2501, 2042, MATCH("SynMargin", Simulations!$A$1:$BK$1, 0))</f>
        <v>1.2889589221985917E-2</v>
      </c>
      <c r="E2042" s="2">
        <f ca="1">INDEX(Simulations!$A$1:$BK$2501, 2042, MATCH("Yr1Shock", Simulations!$A$1:$BK$1, 0))</f>
        <v>-7.8348745159848559E-3</v>
      </c>
    </row>
    <row r="2043" spans="1:5" x14ac:dyDescent="0.3">
      <c r="A2043" s="2">
        <f ca="1">INDEX(Simulations!$A$1:$BK$2501, 2043, MATCH("PurchaseMultiple", Simulations!$A$1:$BK$1, 0))</f>
        <v>6.9390740899712036</v>
      </c>
      <c r="B2043" s="2">
        <f ca="1">INDEX(Simulations!$A$1:$BK$2501, 2043, MATCH("ExitMultiple", Simulations!$A$1:$BK$1, 0))</f>
        <v>7.9722576477771563</v>
      </c>
      <c r="C2043" s="2">
        <f ca="1">INDEX(Simulations!$A$1:$BK$2501, 2043, MATCH("RevCAGR", Simulations!$A$1:$BK$1, 0))</f>
        <v>2.445405118741082E-2</v>
      </c>
      <c r="D2043" s="2">
        <f ca="1">INDEX(Simulations!$A$1:$BK$2501, 2043, MATCH("SynMargin", Simulations!$A$1:$BK$1, 0))</f>
        <v>4.6030416700994572E-3</v>
      </c>
      <c r="E2043" s="2">
        <f ca="1">INDEX(Simulations!$A$1:$BK$2501, 2043, MATCH("Yr1Shock", Simulations!$A$1:$BK$1, 0))</f>
        <v>-2.2554219588234722E-2</v>
      </c>
    </row>
    <row r="2044" spans="1:5" x14ac:dyDescent="0.3">
      <c r="A2044" s="2">
        <f ca="1">INDEX(Simulations!$A$1:$BK$2501, 2044, MATCH("PurchaseMultiple", Simulations!$A$1:$BK$1, 0))</f>
        <v>7.098020393840752</v>
      </c>
      <c r="B2044" s="2">
        <f ca="1">INDEX(Simulations!$A$1:$BK$2501, 2044, MATCH("ExitMultiple", Simulations!$A$1:$BK$1, 0))</f>
        <v>7.3226659919946293</v>
      </c>
      <c r="C2044" s="2">
        <f ca="1">INDEX(Simulations!$A$1:$BK$2501, 2044, MATCH("RevCAGR", Simulations!$A$1:$BK$1, 0))</f>
        <v>4.7815293471602661E-2</v>
      </c>
      <c r="D2044" s="2">
        <f ca="1">INDEX(Simulations!$A$1:$BK$2501, 2044, MATCH("SynMargin", Simulations!$A$1:$BK$1, 0))</f>
        <v>1.1154337250384897E-2</v>
      </c>
      <c r="E2044" s="2">
        <f ca="1">INDEX(Simulations!$A$1:$BK$2501, 2044, MATCH("Yr1Shock", Simulations!$A$1:$BK$1, 0))</f>
        <v>-9.8302078560705084E-3</v>
      </c>
    </row>
    <row r="2045" spans="1:5" x14ac:dyDescent="0.3">
      <c r="A2045" s="2">
        <f ca="1">INDEX(Simulations!$A$1:$BK$2501, 2045, MATCH("PurchaseMultiple", Simulations!$A$1:$BK$1, 0))</f>
        <v>6.9090780484640666</v>
      </c>
      <c r="B2045" s="2">
        <f ca="1">INDEX(Simulations!$A$1:$BK$2501, 2045, MATCH("ExitMultiple", Simulations!$A$1:$BK$1, 0))</f>
        <v>7.1118625044597259</v>
      </c>
      <c r="C2045" s="2">
        <f ca="1">INDEX(Simulations!$A$1:$BK$2501, 2045, MATCH("RevCAGR", Simulations!$A$1:$BK$1, 0))</f>
        <v>3.1120651620535629E-2</v>
      </c>
      <c r="D2045" s="2">
        <f ca="1">INDEX(Simulations!$A$1:$BK$2501, 2045, MATCH("SynMargin", Simulations!$A$1:$BK$1, 0))</f>
        <v>8.202804446714786E-3</v>
      </c>
      <c r="E2045" s="2">
        <f ca="1">INDEX(Simulations!$A$1:$BK$2501, 2045, MATCH("Yr1Shock", Simulations!$A$1:$BK$1, 0))</f>
        <v>-1.555978157729925E-2</v>
      </c>
    </row>
    <row r="2046" spans="1:5" x14ac:dyDescent="0.3">
      <c r="A2046" s="2">
        <f ca="1">INDEX(Simulations!$A$1:$BK$2501, 2046, MATCH("PurchaseMultiple", Simulations!$A$1:$BK$1, 0))</f>
        <v>6.7704976924916886</v>
      </c>
      <c r="B2046" s="2">
        <f ca="1">INDEX(Simulations!$A$1:$BK$2501, 2046, MATCH("ExitMultiple", Simulations!$A$1:$BK$1, 0))</f>
        <v>7.3451977634848014</v>
      </c>
      <c r="C2046" s="2">
        <f ca="1">INDEX(Simulations!$A$1:$BK$2501, 2046, MATCH("RevCAGR", Simulations!$A$1:$BK$1, 0))</f>
        <v>7.6292307361693595E-2</v>
      </c>
      <c r="D2046" s="2">
        <f ca="1">INDEX(Simulations!$A$1:$BK$2501, 2046, MATCH("SynMargin", Simulations!$A$1:$BK$1, 0))</f>
        <v>7.2775163209204113E-3</v>
      </c>
      <c r="E2046" s="2">
        <f ca="1">INDEX(Simulations!$A$1:$BK$2501, 2046, MATCH("Yr1Shock", Simulations!$A$1:$BK$1, 0))</f>
        <v>1.3743815694801261E-2</v>
      </c>
    </row>
    <row r="2047" spans="1:5" x14ac:dyDescent="0.3">
      <c r="A2047" s="2">
        <f ca="1">INDEX(Simulations!$A$1:$BK$2501, 2047, MATCH("PurchaseMultiple", Simulations!$A$1:$BK$1, 0))</f>
        <v>6.4976794656087336</v>
      </c>
      <c r="B2047" s="2">
        <f ca="1">INDEX(Simulations!$A$1:$BK$2501, 2047, MATCH("ExitMultiple", Simulations!$A$1:$BK$1, 0))</f>
        <v>7.3046809069398453</v>
      </c>
      <c r="C2047" s="2">
        <f ca="1">INDEX(Simulations!$A$1:$BK$2501, 2047, MATCH("RevCAGR", Simulations!$A$1:$BK$1, 0))</f>
        <v>3.9248658089964306E-2</v>
      </c>
      <c r="D2047" s="2">
        <f ca="1">INDEX(Simulations!$A$1:$BK$2501, 2047, MATCH("SynMargin", Simulations!$A$1:$BK$1, 0))</f>
        <v>2.3995743268364279E-2</v>
      </c>
      <c r="E2047" s="2">
        <f ca="1">INDEX(Simulations!$A$1:$BK$2501, 2047, MATCH("Yr1Shock", Simulations!$A$1:$BK$1, 0))</f>
        <v>3.9522343514331565E-2</v>
      </c>
    </row>
    <row r="2048" spans="1:5" x14ac:dyDescent="0.3">
      <c r="A2048" s="2">
        <f ca="1">INDEX(Simulations!$A$1:$BK$2501, 2048, MATCH("PurchaseMultiple", Simulations!$A$1:$BK$1, 0))</f>
        <v>7.7040538164827428</v>
      </c>
      <c r="B2048" s="2">
        <f ca="1">INDEX(Simulations!$A$1:$BK$2501, 2048, MATCH("ExitMultiple", Simulations!$A$1:$BK$1, 0))</f>
        <v>7.8422985653260167</v>
      </c>
      <c r="C2048" s="2">
        <f ca="1">INDEX(Simulations!$A$1:$BK$2501, 2048, MATCH("RevCAGR", Simulations!$A$1:$BK$1, 0))</f>
        <v>7.0705963889693607E-2</v>
      </c>
      <c r="D2048" s="2">
        <f ca="1">INDEX(Simulations!$A$1:$BK$2501, 2048, MATCH("SynMargin", Simulations!$A$1:$BK$1, 0))</f>
        <v>4.03237759611926E-3</v>
      </c>
      <c r="E2048" s="2">
        <f ca="1">INDEX(Simulations!$A$1:$BK$2501, 2048, MATCH("Yr1Shock", Simulations!$A$1:$BK$1, 0))</f>
        <v>2.2893968982995794E-4</v>
      </c>
    </row>
    <row r="2049" spans="1:5" x14ac:dyDescent="0.3">
      <c r="A2049" s="2">
        <f ca="1">INDEX(Simulations!$A$1:$BK$2501, 2049, MATCH("PurchaseMultiple", Simulations!$A$1:$BK$1, 0))</f>
        <v>7.4080731259275083</v>
      </c>
      <c r="B2049" s="2">
        <f ca="1">INDEX(Simulations!$A$1:$BK$2501, 2049, MATCH("ExitMultiple", Simulations!$A$1:$BK$1, 0))</f>
        <v>7.5420657354028764</v>
      </c>
      <c r="C2049" s="2">
        <f ca="1">INDEX(Simulations!$A$1:$BK$2501, 2049, MATCH("RevCAGR", Simulations!$A$1:$BK$1, 0))</f>
        <v>-0.02</v>
      </c>
      <c r="D2049" s="2">
        <f ca="1">INDEX(Simulations!$A$1:$BK$2501, 2049, MATCH("SynMargin", Simulations!$A$1:$BK$1, 0))</f>
        <v>1.1321260128287719E-2</v>
      </c>
      <c r="E2049" s="2">
        <f ca="1">INDEX(Simulations!$A$1:$BK$2501, 2049, MATCH("Yr1Shock", Simulations!$A$1:$BK$1, 0))</f>
        <v>-1.0602141599473656E-4</v>
      </c>
    </row>
    <row r="2050" spans="1:5" x14ac:dyDescent="0.3">
      <c r="A2050" s="2">
        <f ca="1">INDEX(Simulations!$A$1:$BK$2501, 2050, MATCH("PurchaseMultiple", Simulations!$A$1:$BK$1, 0))</f>
        <v>7.0382689331174086</v>
      </c>
      <c r="B2050" s="2">
        <f ca="1">INDEX(Simulations!$A$1:$BK$2501, 2050, MATCH("ExitMultiple", Simulations!$A$1:$BK$1, 0))</f>
        <v>7.2921996846486765</v>
      </c>
      <c r="C2050" s="2">
        <f ca="1">INDEX(Simulations!$A$1:$BK$2501, 2050, MATCH("RevCAGR", Simulations!$A$1:$BK$1, 0))</f>
        <v>4.2059923608210273E-2</v>
      </c>
      <c r="D2050" s="2">
        <f ca="1">INDEX(Simulations!$A$1:$BK$2501, 2050, MATCH("SynMargin", Simulations!$A$1:$BK$1, 0))</f>
        <v>7.1260668880860668E-3</v>
      </c>
      <c r="E2050" s="2">
        <f ca="1">INDEX(Simulations!$A$1:$BK$2501, 2050, MATCH("Yr1Shock", Simulations!$A$1:$BK$1, 0))</f>
        <v>-3.2720541856245358E-2</v>
      </c>
    </row>
    <row r="2051" spans="1:5" x14ac:dyDescent="0.3">
      <c r="A2051" s="2">
        <f ca="1">INDEX(Simulations!$A$1:$BK$2501, 2051, MATCH("PurchaseMultiple", Simulations!$A$1:$BK$1, 0))</f>
        <v>6.9706837021067942</v>
      </c>
      <c r="B2051" s="2">
        <f ca="1">INDEX(Simulations!$A$1:$BK$2501, 2051, MATCH("ExitMultiple", Simulations!$A$1:$BK$1, 0))</f>
        <v>7.4852295536190372</v>
      </c>
      <c r="C2051" s="2">
        <f ca="1">INDEX(Simulations!$A$1:$BK$2501, 2051, MATCH("RevCAGR", Simulations!$A$1:$BK$1, 0))</f>
        <v>-0.02</v>
      </c>
      <c r="D2051" s="2">
        <f ca="1">INDEX(Simulations!$A$1:$BK$2501, 2051, MATCH("SynMargin", Simulations!$A$1:$BK$1, 0))</f>
        <v>8.7113950061195287E-3</v>
      </c>
      <c r="E2051" s="2">
        <f ca="1">INDEX(Simulations!$A$1:$BK$2501, 2051, MATCH("Yr1Shock", Simulations!$A$1:$BK$1, 0))</f>
        <v>5.0585964718030674E-3</v>
      </c>
    </row>
    <row r="2052" spans="1:5" x14ac:dyDescent="0.3">
      <c r="A2052" s="2">
        <f ca="1">INDEX(Simulations!$A$1:$BK$2501, 2052, MATCH("PurchaseMultiple", Simulations!$A$1:$BK$1, 0))</f>
        <v>7.446483229205823</v>
      </c>
      <c r="B2052" s="2">
        <f ca="1">INDEX(Simulations!$A$1:$BK$2501, 2052, MATCH("ExitMultiple", Simulations!$A$1:$BK$1, 0))</f>
        <v>6.8264400743247151</v>
      </c>
      <c r="C2052" s="2">
        <f ca="1">INDEX(Simulations!$A$1:$BK$2501, 2052, MATCH("RevCAGR", Simulations!$A$1:$BK$1, 0))</f>
        <v>6.0361267510437508E-3</v>
      </c>
      <c r="D2052" s="2">
        <f ca="1">INDEX(Simulations!$A$1:$BK$2501, 2052, MATCH("SynMargin", Simulations!$A$1:$BK$1, 0))</f>
        <v>6.0776776640318313E-3</v>
      </c>
      <c r="E2052" s="2">
        <f ca="1">INDEX(Simulations!$A$1:$BK$2501, 2052, MATCH("Yr1Shock", Simulations!$A$1:$BK$1, 0))</f>
        <v>-4.3237169290885086E-2</v>
      </c>
    </row>
    <row r="2053" spans="1:5" x14ac:dyDescent="0.3">
      <c r="A2053" s="2">
        <f ca="1">INDEX(Simulations!$A$1:$BK$2501, 2053, MATCH("PurchaseMultiple", Simulations!$A$1:$BK$1, 0))</f>
        <v>7.0032572276984038</v>
      </c>
      <c r="B2053" s="2">
        <f ca="1">INDEX(Simulations!$A$1:$BK$2501, 2053, MATCH("ExitMultiple", Simulations!$A$1:$BK$1, 0))</f>
        <v>7.8320059040377252</v>
      </c>
      <c r="C2053" s="2">
        <f ca="1">INDEX(Simulations!$A$1:$BK$2501, 2053, MATCH("RevCAGR", Simulations!$A$1:$BK$1, 0))</f>
        <v>9.261611151474132E-2</v>
      </c>
      <c r="D2053" s="2">
        <f ca="1">INDEX(Simulations!$A$1:$BK$2501, 2053, MATCH("SynMargin", Simulations!$A$1:$BK$1, 0))</f>
        <v>1.5820629996103223E-2</v>
      </c>
      <c r="E2053" s="2">
        <f ca="1">INDEX(Simulations!$A$1:$BK$2501, 2053, MATCH("Yr1Shock", Simulations!$A$1:$BK$1, 0))</f>
        <v>1.6087281589401283E-4</v>
      </c>
    </row>
    <row r="2054" spans="1:5" x14ac:dyDescent="0.3">
      <c r="A2054" s="2">
        <f ca="1">INDEX(Simulations!$A$1:$BK$2501, 2054, MATCH("PurchaseMultiple", Simulations!$A$1:$BK$1, 0))</f>
        <v>7.0607680742424845</v>
      </c>
      <c r="B2054" s="2">
        <f ca="1">INDEX(Simulations!$A$1:$BK$2501, 2054, MATCH("ExitMultiple", Simulations!$A$1:$BK$1, 0))</f>
        <v>7.0739821572944646</v>
      </c>
      <c r="C2054" s="2">
        <f ca="1">INDEX(Simulations!$A$1:$BK$2501, 2054, MATCH("RevCAGR", Simulations!$A$1:$BK$1, 0))</f>
        <v>3.1291859001774405E-2</v>
      </c>
      <c r="D2054" s="2">
        <f ca="1">INDEX(Simulations!$A$1:$BK$2501, 2054, MATCH("SynMargin", Simulations!$A$1:$BK$1, 0))</f>
        <v>2.0429641857864108E-2</v>
      </c>
      <c r="E2054" s="2">
        <f ca="1">INDEX(Simulations!$A$1:$BK$2501, 2054, MATCH("Yr1Shock", Simulations!$A$1:$BK$1, 0))</f>
        <v>-1.2731542682712716E-2</v>
      </c>
    </row>
    <row r="2055" spans="1:5" x14ac:dyDescent="0.3">
      <c r="A2055" s="2">
        <f ca="1">INDEX(Simulations!$A$1:$BK$2501, 2055, MATCH("PurchaseMultiple", Simulations!$A$1:$BK$1, 0))</f>
        <v>7.0450882699922852</v>
      </c>
      <c r="B2055" s="2">
        <f ca="1">INDEX(Simulations!$A$1:$BK$2501, 2055, MATCH("ExitMultiple", Simulations!$A$1:$BK$1, 0))</f>
        <v>7.4618916739501087</v>
      </c>
      <c r="C2055" s="2">
        <f ca="1">INDEX(Simulations!$A$1:$BK$2501, 2055, MATCH("RevCAGR", Simulations!$A$1:$BK$1, 0))</f>
        <v>3.0768132267581738E-2</v>
      </c>
      <c r="D2055" s="2">
        <f ca="1">INDEX(Simulations!$A$1:$BK$2501, 2055, MATCH("SynMargin", Simulations!$A$1:$BK$1, 0))</f>
        <v>1.0340236554269204E-2</v>
      </c>
      <c r="E2055" s="2">
        <f ca="1">INDEX(Simulations!$A$1:$BK$2501, 2055, MATCH("Yr1Shock", Simulations!$A$1:$BK$1, 0))</f>
        <v>3.666757177677113E-2</v>
      </c>
    </row>
    <row r="2056" spans="1:5" x14ac:dyDescent="0.3">
      <c r="A2056" s="2">
        <f ca="1">INDEX(Simulations!$A$1:$BK$2501, 2056, MATCH("PurchaseMultiple", Simulations!$A$1:$BK$1, 0))</f>
        <v>7.2597491469349507</v>
      </c>
      <c r="B2056" s="2">
        <f ca="1">INDEX(Simulations!$A$1:$BK$2501, 2056, MATCH("ExitMultiple", Simulations!$A$1:$BK$1, 0))</f>
        <v>7.2556169333313241</v>
      </c>
      <c r="C2056" s="2">
        <f ca="1">INDEX(Simulations!$A$1:$BK$2501, 2056, MATCH("RevCAGR", Simulations!$A$1:$BK$1, 0))</f>
        <v>1.629416286678886E-2</v>
      </c>
      <c r="D2056" s="2">
        <f ca="1">INDEX(Simulations!$A$1:$BK$2501, 2056, MATCH("SynMargin", Simulations!$A$1:$BK$1, 0))</f>
        <v>8.2117137320531948E-3</v>
      </c>
      <c r="E2056" s="2">
        <f ca="1">INDEX(Simulations!$A$1:$BK$2501, 2056, MATCH("Yr1Shock", Simulations!$A$1:$BK$1, 0))</f>
        <v>1.4528352578435631E-2</v>
      </c>
    </row>
    <row r="2057" spans="1:5" x14ac:dyDescent="0.3">
      <c r="A2057" s="2">
        <f ca="1">INDEX(Simulations!$A$1:$BK$2501, 2057, MATCH("PurchaseMultiple", Simulations!$A$1:$BK$1, 0))</f>
        <v>7.8728487367980433</v>
      </c>
      <c r="B2057" s="2">
        <f ca="1">INDEX(Simulations!$A$1:$BK$2501, 2057, MATCH("ExitMultiple", Simulations!$A$1:$BK$1, 0))</f>
        <v>7.0505125749897424</v>
      </c>
      <c r="C2057" s="2">
        <f ca="1">INDEX(Simulations!$A$1:$BK$2501, 2057, MATCH("RevCAGR", Simulations!$A$1:$BK$1, 0))</f>
        <v>5.2566866334831569E-2</v>
      </c>
      <c r="D2057" s="2">
        <f ca="1">INDEX(Simulations!$A$1:$BK$2501, 2057, MATCH("SynMargin", Simulations!$A$1:$BK$1, 0))</f>
        <v>1.7377730138639653E-3</v>
      </c>
      <c r="E2057" s="2">
        <f ca="1">INDEX(Simulations!$A$1:$BK$2501, 2057, MATCH("Yr1Shock", Simulations!$A$1:$BK$1, 0))</f>
        <v>2.7595363723323912E-2</v>
      </c>
    </row>
    <row r="2058" spans="1:5" x14ac:dyDescent="0.3">
      <c r="A2058" s="2">
        <f ca="1">INDEX(Simulations!$A$1:$BK$2501, 2058, MATCH("PurchaseMultiple", Simulations!$A$1:$BK$1, 0))</f>
        <v>6.8584131621780076</v>
      </c>
      <c r="B2058" s="2">
        <f ca="1">INDEX(Simulations!$A$1:$BK$2501, 2058, MATCH("ExitMultiple", Simulations!$A$1:$BK$1, 0))</f>
        <v>7.3902554061582864</v>
      </c>
      <c r="C2058" s="2">
        <f ca="1">INDEX(Simulations!$A$1:$BK$2501, 2058, MATCH("RevCAGR", Simulations!$A$1:$BK$1, 0))</f>
        <v>0.10922344615043231</v>
      </c>
      <c r="D2058" s="2">
        <f ca="1">INDEX(Simulations!$A$1:$BK$2501, 2058, MATCH("SynMargin", Simulations!$A$1:$BK$1, 0))</f>
        <v>1.0406335191526521E-2</v>
      </c>
      <c r="E2058" s="2">
        <f ca="1">INDEX(Simulations!$A$1:$BK$2501, 2058, MATCH("Yr1Shock", Simulations!$A$1:$BK$1, 0))</f>
        <v>0.05</v>
      </c>
    </row>
    <row r="2059" spans="1:5" x14ac:dyDescent="0.3">
      <c r="A2059" s="2">
        <f ca="1">INDEX(Simulations!$A$1:$BK$2501, 2059, MATCH("PurchaseMultiple", Simulations!$A$1:$BK$1, 0))</f>
        <v>7.712049411977894</v>
      </c>
      <c r="B2059" s="2">
        <f ca="1">INDEX(Simulations!$A$1:$BK$2501, 2059, MATCH("ExitMultiple", Simulations!$A$1:$BK$1, 0))</f>
        <v>7.1486009526162002</v>
      </c>
      <c r="C2059" s="2">
        <f ca="1">INDEX(Simulations!$A$1:$BK$2501, 2059, MATCH("RevCAGR", Simulations!$A$1:$BK$1, 0))</f>
        <v>7.9010368841486739E-2</v>
      </c>
      <c r="D2059" s="2">
        <f ca="1">INDEX(Simulations!$A$1:$BK$2501, 2059, MATCH("SynMargin", Simulations!$A$1:$BK$1, 0))</f>
        <v>1.3005036634503577E-2</v>
      </c>
      <c r="E2059" s="2">
        <f ca="1">INDEX(Simulations!$A$1:$BK$2501, 2059, MATCH("Yr1Shock", Simulations!$A$1:$BK$1, 0))</f>
        <v>-3.420328479333435E-2</v>
      </c>
    </row>
    <row r="2060" spans="1:5" x14ac:dyDescent="0.3">
      <c r="A2060" s="2">
        <f ca="1">INDEX(Simulations!$A$1:$BK$2501, 2060, MATCH("PurchaseMultiple", Simulations!$A$1:$BK$1, 0))</f>
        <v>6.5941297357993029</v>
      </c>
      <c r="B2060" s="2">
        <f ca="1">INDEX(Simulations!$A$1:$BK$2501, 2060, MATCH("ExitMultiple", Simulations!$A$1:$BK$1, 0))</f>
        <v>7.8231998216694647</v>
      </c>
      <c r="C2060" s="2">
        <f ca="1">INDEX(Simulations!$A$1:$BK$2501, 2060, MATCH("RevCAGR", Simulations!$A$1:$BK$1, 0))</f>
        <v>8.5595080922767214E-2</v>
      </c>
      <c r="D2060" s="2">
        <f ca="1">INDEX(Simulations!$A$1:$BK$2501, 2060, MATCH("SynMargin", Simulations!$A$1:$BK$1, 0))</f>
        <v>9.2175200862751067E-3</v>
      </c>
      <c r="E2060" s="2">
        <f ca="1">INDEX(Simulations!$A$1:$BK$2501, 2060, MATCH("Yr1Shock", Simulations!$A$1:$BK$1, 0))</f>
        <v>-2.5994243560578667E-3</v>
      </c>
    </row>
    <row r="2061" spans="1:5" x14ac:dyDescent="0.3">
      <c r="A2061" s="2">
        <f ca="1">INDEX(Simulations!$A$1:$BK$2501, 2061, MATCH("PurchaseMultiple", Simulations!$A$1:$BK$1, 0))</f>
        <v>7.1210763805290833</v>
      </c>
      <c r="B2061" s="2">
        <f ca="1">INDEX(Simulations!$A$1:$BK$2501, 2061, MATCH("ExitMultiple", Simulations!$A$1:$BK$1, 0))</f>
        <v>7.810481689269019</v>
      </c>
      <c r="C2061" s="2">
        <f ca="1">INDEX(Simulations!$A$1:$BK$2501, 2061, MATCH("RevCAGR", Simulations!$A$1:$BK$1, 0))</f>
        <v>6.2008098106033707E-2</v>
      </c>
      <c r="D2061" s="2">
        <f ca="1">INDEX(Simulations!$A$1:$BK$2501, 2061, MATCH("SynMargin", Simulations!$A$1:$BK$1, 0))</f>
        <v>1.4355748701379255E-3</v>
      </c>
      <c r="E2061" s="2">
        <f ca="1">INDEX(Simulations!$A$1:$BK$2501, 2061, MATCH("Yr1Shock", Simulations!$A$1:$BK$1, 0))</f>
        <v>2.9271974267103657E-3</v>
      </c>
    </row>
    <row r="2062" spans="1:5" x14ac:dyDescent="0.3">
      <c r="A2062" s="2">
        <f ca="1">INDEX(Simulations!$A$1:$BK$2501, 2062, MATCH("PurchaseMultiple", Simulations!$A$1:$BK$1, 0))</f>
        <v>6.8625686196990792</v>
      </c>
      <c r="B2062" s="2">
        <f ca="1">INDEX(Simulations!$A$1:$BK$2501, 2062, MATCH("ExitMultiple", Simulations!$A$1:$BK$1, 0))</f>
        <v>7.5067827566947987</v>
      </c>
      <c r="C2062" s="2">
        <f ca="1">INDEX(Simulations!$A$1:$BK$2501, 2062, MATCH("RevCAGR", Simulations!$A$1:$BK$1, 0))</f>
        <v>3.6749458946200748E-2</v>
      </c>
      <c r="D2062" s="2">
        <f ca="1">INDEX(Simulations!$A$1:$BK$2501, 2062, MATCH("SynMargin", Simulations!$A$1:$BK$1, 0))</f>
        <v>1.1605763659152562E-2</v>
      </c>
      <c r="E2062" s="2">
        <f ca="1">INDEX(Simulations!$A$1:$BK$2501, 2062, MATCH("Yr1Shock", Simulations!$A$1:$BK$1, 0))</f>
        <v>1.4096976439673423E-2</v>
      </c>
    </row>
    <row r="2063" spans="1:5" x14ac:dyDescent="0.3">
      <c r="A2063" s="2">
        <f ca="1">INDEX(Simulations!$A$1:$BK$2501, 2063, MATCH("PurchaseMultiple", Simulations!$A$1:$BK$1, 0))</f>
        <v>6.8731174523403293</v>
      </c>
      <c r="B2063" s="2">
        <f ca="1">INDEX(Simulations!$A$1:$BK$2501, 2063, MATCH("ExitMultiple", Simulations!$A$1:$BK$1, 0))</f>
        <v>7.4057504595360193</v>
      </c>
      <c r="C2063" s="2">
        <f ca="1">INDEX(Simulations!$A$1:$BK$2501, 2063, MATCH("RevCAGR", Simulations!$A$1:$BK$1, 0))</f>
        <v>7.8300360773508257E-3</v>
      </c>
      <c r="D2063" s="2">
        <f ca="1">INDEX(Simulations!$A$1:$BK$2501, 2063, MATCH("SynMargin", Simulations!$A$1:$BK$1, 0))</f>
        <v>2.0126177907414611E-2</v>
      </c>
      <c r="E2063" s="2">
        <f ca="1">INDEX(Simulations!$A$1:$BK$2501, 2063, MATCH("Yr1Shock", Simulations!$A$1:$BK$1, 0))</f>
        <v>-1.2158134266689175E-2</v>
      </c>
    </row>
    <row r="2064" spans="1:5" x14ac:dyDescent="0.3">
      <c r="A2064" s="2">
        <f ca="1">INDEX(Simulations!$A$1:$BK$2501, 2064, MATCH("PurchaseMultiple", Simulations!$A$1:$BK$1, 0))</f>
        <v>7.9205491730625912</v>
      </c>
      <c r="B2064" s="2">
        <f ca="1">INDEX(Simulations!$A$1:$BK$2501, 2064, MATCH("ExitMultiple", Simulations!$A$1:$BK$1, 0))</f>
        <v>7.6072604736572735</v>
      </c>
      <c r="C2064" s="2">
        <f ca="1">INDEX(Simulations!$A$1:$BK$2501, 2064, MATCH("RevCAGR", Simulations!$A$1:$BK$1, 0))</f>
        <v>5.3768853365567283E-2</v>
      </c>
      <c r="D2064" s="2">
        <f ca="1">INDEX(Simulations!$A$1:$BK$2501, 2064, MATCH("SynMargin", Simulations!$A$1:$BK$1, 0))</f>
        <v>2.2107423331260343E-2</v>
      </c>
      <c r="E2064" s="2">
        <f ca="1">INDEX(Simulations!$A$1:$BK$2501, 2064, MATCH("Yr1Shock", Simulations!$A$1:$BK$1, 0))</f>
        <v>-1.7742632204261463E-2</v>
      </c>
    </row>
    <row r="2065" spans="1:5" x14ac:dyDescent="0.3">
      <c r="A2065" s="2">
        <f ca="1">INDEX(Simulations!$A$1:$BK$2501, 2065, MATCH("PurchaseMultiple", Simulations!$A$1:$BK$1, 0))</f>
        <v>6.9170408778713579</v>
      </c>
      <c r="B2065" s="2">
        <f ca="1">INDEX(Simulations!$A$1:$BK$2501, 2065, MATCH("ExitMultiple", Simulations!$A$1:$BK$1, 0))</f>
        <v>7.4202911920219874</v>
      </c>
      <c r="C2065" s="2">
        <f ca="1">INDEX(Simulations!$A$1:$BK$2501, 2065, MATCH("RevCAGR", Simulations!$A$1:$BK$1, 0))</f>
        <v>8.6164787259425279E-2</v>
      </c>
      <c r="D2065" s="2">
        <f ca="1">INDEX(Simulations!$A$1:$BK$2501, 2065, MATCH("SynMargin", Simulations!$A$1:$BK$1, 0))</f>
        <v>5.4860030451842684E-3</v>
      </c>
      <c r="E2065" s="2">
        <f ca="1">INDEX(Simulations!$A$1:$BK$2501, 2065, MATCH("Yr1Shock", Simulations!$A$1:$BK$1, 0))</f>
        <v>2.1121509719926192E-2</v>
      </c>
    </row>
    <row r="2066" spans="1:5" x14ac:dyDescent="0.3">
      <c r="A2066" s="2">
        <f ca="1">INDEX(Simulations!$A$1:$BK$2501, 2066, MATCH("PurchaseMultiple", Simulations!$A$1:$BK$1, 0))</f>
        <v>6.4689951021053398</v>
      </c>
      <c r="B2066" s="2">
        <f ca="1">INDEX(Simulations!$A$1:$BK$2501, 2066, MATCH("ExitMultiple", Simulations!$A$1:$BK$1, 0))</f>
        <v>8.0782544304125192</v>
      </c>
      <c r="C2066" s="2">
        <f ca="1">INDEX(Simulations!$A$1:$BK$2501, 2066, MATCH("RevCAGR", Simulations!$A$1:$BK$1, 0))</f>
        <v>4.5708182140672633E-2</v>
      </c>
      <c r="D2066" s="2">
        <f ca="1">INDEX(Simulations!$A$1:$BK$2501, 2066, MATCH("SynMargin", Simulations!$A$1:$BK$1, 0))</f>
        <v>4.7165230594099616E-3</v>
      </c>
      <c r="E2066" s="2">
        <f ca="1">INDEX(Simulations!$A$1:$BK$2501, 2066, MATCH("Yr1Shock", Simulations!$A$1:$BK$1, 0))</f>
        <v>7.8340622801334361E-4</v>
      </c>
    </row>
    <row r="2067" spans="1:5" x14ac:dyDescent="0.3">
      <c r="A2067" s="2">
        <f ca="1">INDEX(Simulations!$A$1:$BK$2501, 2067, MATCH("PurchaseMultiple", Simulations!$A$1:$BK$1, 0))</f>
        <v>7.0859723594978572</v>
      </c>
      <c r="B2067" s="2">
        <f ca="1">INDEX(Simulations!$A$1:$BK$2501, 2067, MATCH("ExitMultiple", Simulations!$A$1:$BK$1, 0))</f>
        <v>7.8054028127855855</v>
      </c>
      <c r="C2067" s="2">
        <f ca="1">INDEX(Simulations!$A$1:$BK$2501, 2067, MATCH("RevCAGR", Simulations!$A$1:$BK$1, 0))</f>
        <v>2.187076903561895E-2</v>
      </c>
      <c r="D2067" s="2">
        <f ca="1">INDEX(Simulations!$A$1:$BK$2501, 2067, MATCH("SynMargin", Simulations!$A$1:$BK$1, 0))</f>
        <v>1.4654601103715456E-2</v>
      </c>
      <c r="E2067" s="2">
        <f ca="1">INDEX(Simulations!$A$1:$BK$2501, 2067, MATCH("Yr1Shock", Simulations!$A$1:$BK$1, 0))</f>
        <v>1.6492885154762531E-2</v>
      </c>
    </row>
    <row r="2068" spans="1:5" x14ac:dyDescent="0.3">
      <c r="A2068" s="2">
        <f ca="1">INDEX(Simulations!$A$1:$BK$2501, 2068, MATCH("PurchaseMultiple", Simulations!$A$1:$BK$1, 0))</f>
        <v>7.6952030634799859</v>
      </c>
      <c r="B2068" s="2">
        <f ca="1">INDEX(Simulations!$A$1:$BK$2501, 2068, MATCH("ExitMultiple", Simulations!$A$1:$BK$1, 0))</f>
        <v>7.4161317166518153</v>
      </c>
      <c r="C2068" s="2">
        <f ca="1">INDEX(Simulations!$A$1:$BK$2501, 2068, MATCH("RevCAGR", Simulations!$A$1:$BK$1, 0))</f>
        <v>4.36962294384549E-2</v>
      </c>
      <c r="D2068" s="2">
        <f ca="1">INDEX(Simulations!$A$1:$BK$2501, 2068, MATCH("SynMargin", Simulations!$A$1:$BK$1, 0))</f>
        <v>6.4152116476896177E-3</v>
      </c>
      <c r="E2068" s="2">
        <f ca="1">INDEX(Simulations!$A$1:$BK$2501, 2068, MATCH("Yr1Shock", Simulations!$A$1:$BK$1, 0))</f>
        <v>3.3240074375288774E-2</v>
      </c>
    </row>
    <row r="2069" spans="1:5" x14ac:dyDescent="0.3">
      <c r="A2069" s="2">
        <f ca="1">INDEX(Simulations!$A$1:$BK$2501, 2069, MATCH("PurchaseMultiple", Simulations!$A$1:$BK$1, 0))</f>
        <v>7.7409618146924286</v>
      </c>
      <c r="B2069" s="2">
        <f ca="1">INDEX(Simulations!$A$1:$BK$2501, 2069, MATCH("ExitMultiple", Simulations!$A$1:$BK$1, 0))</f>
        <v>6.8696553753042311</v>
      </c>
      <c r="C2069" s="2">
        <f ca="1">INDEX(Simulations!$A$1:$BK$2501, 2069, MATCH("RevCAGR", Simulations!$A$1:$BK$1, 0))</f>
        <v>-8.7322247779828555E-3</v>
      </c>
      <c r="D2069" s="2">
        <f ca="1">INDEX(Simulations!$A$1:$BK$2501, 2069, MATCH("SynMargin", Simulations!$A$1:$BK$1, 0))</f>
        <v>1.329592931268039E-2</v>
      </c>
      <c r="E2069" s="2">
        <f ca="1">INDEX(Simulations!$A$1:$BK$2501, 2069, MATCH("Yr1Shock", Simulations!$A$1:$BK$1, 0))</f>
        <v>-3.5112613376757043E-2</v>
      </c>
    </row>
    <row r="2070" spans="1:5" x14ac:dyDescent="0.3">
      <c r="A2070" s="2">
        <f ca="1">INDEX(Simulations!$A$1:$BK$2501, 2070, MATCH("PurchaseMultiple", Simulations!$A$1:$BK$1, 0))</f>
        <v>6.6974593121704231</v>
      </c>
      <c r="B2070" s="2">
        <f ca="1">INDEX(Simulations!$A$1:$BK$2501, 2070, MATCH("ExitMultiple", Simulations!$A$1:$BK$1, 0))</f>
        <v>7.1066916637826303</v>
      </c>
      <c r="C2070" s="2">
        <f ca="1">INDEX(Simulations!$A$1:$BK$2501, 2070, MATCH("RevCAGR", Simulations!$A$1:$BK$1, 0))</f>
        <v>3.9225217841890037E-2</v>
      </c>
      <c r="D2070" s="2">
        <f ca="1">INDEX(Simulations!$A$1:$BK$2501, 2070, MATCH("SynMargin", Simulations!$A$1:$BK$1, 0))</f>
        <v>1.6611554873153373E-2</v>
      </c>
      <c r="E2070" s="2">
        <f ca="1">INDEX(Simulations!$A$1:$BK$2501, 2070, MATCH("Yr1Shock", Simulations!$A$1:$BK$1, 0))</f>
        <v>-1.0868921355678487E-2</v>
      </c>
    </row>
    <row r="2071" spans="1:5" x14ac:dyDescent="0.3">
      <c r="A2071" s="2">
        <f ca="1">INDEX(Simulations!$A$1:$BK$2501, 2071, MATCH("PurchaseMultiple", Simulations!$A$1:$BK$1, 0))</f>
        <v>6.6889885465724834</v>
      </c>
      <c r="B2071" s="2">
        <f ca="1">INDEX(Simulations!$A$1:$BK$2501, 2071, MATCH("ExitMultiple", Simulations!$A$1:$BK$1, 0))</f>
        <v>7.1307691952475425</v>
      </c>
      <c r="C2071" s="2">
        <f ca="1">INDEX(Simulations!$A$1:$BK$2501, 2071, MATCH("RevCAGR", Simulations!$A$1:$BK$1, 0))</f>
        <v>1.4759606360343468E-2</v>
      </c>
      <c r="D2071" s="2">
        <f ca="1">INDEX(Simulations!$A$1:$BK$2501, 2071, MATCH("SynMargin", Simulations!$A$1:$BK$1, 0))</f>
        <v>1.2149629128474058E-2</v>
      </c>
      <c r="E2071" s="2">
        <f ca="1">INDEX(Simulations!$A$1:$BK$2501, 2071, MATCH("Yr1Shock", Simulations!$A$1:$BK$1, 0))</f>
        <v>-9.0687995816853949E-3</v>
      </c>
    </row>
    <row r="2072" spans="1:5" x14ac:dyDescent="0.3">
      <c r="A2072" s="2">
        <f ca="1">INDEX(Simulations!$A$1:$BK$2501, 2072, MATCH("PurchaseMultiple", Simulations!$A$1:$BK$1, 0))</f>
        <v>7.3628379984191739</v>
      </c>
      <c r="B2072" s="2">
        <f ca="1">INDEX(Simulations!$A$1:$BK$2501, 2072, MATCH("ExitMultiple", Simulations!$A$1:$BK$1, 0))</f>
        <v>7.4964151444975258</v>
      </c>
      <c r="C2072" s="2">
        <f ca="1">INDEX(Simulations!$A$1:$BK$2501, 2072, MATCH("RevCAGR", Simulations!$A$1:$BK$1, 0))</f>
        <v>4.8708479370289895E-2</v>
      </c>
      <c r="D2072" s="2">
        <f ca="1">INDEX(Simulations!$A$1:$BK$2501, 2072, MATCH("SynMargin", Simulations!$A$1:$BK$1, 0))</f>
        <v>8.1879714847528269E-3</v>
      </c>
      <c r="E2072" s="2">
        <f ca="1">INDEX(Simulations!$A$1:$BK$2501, 2072, MATCH("Yr1Shock", Simulations!$A$1:$BK$1, 0))</f>
        <v>-3.0518189868335543E-2</v>
      </c>
    </row>
    <row r="2073" spans="1:5" x14ac:dyDescent="0.3">
      <c r="A2073" s="2">
        <f ca="1">INDEX(Simulations!$A$1:$BK$2501, 2073, MATCH("PurchaseMultiple", Simulations!$A$1:$BK$1, 0))</f>
        <v>6.6008786085823559</v>
      </c>
      <c r="B2073" s="2">
        <f ca="1">INDEX(Simulations!$A$1:$BK$2501, 2073, MATCH("ExitMultiple", Simulations!$A$1:$BK$1, 0))</f>
        <v>7.89217960988484</v>
      </c>
      <c r="C2073" s="2">
        <f ca="1">INDEX(Simulations!$A$1:$BK$2501, 2073, MATCH("RevCAGR", Simulations!$A$1:$BK$1, 0))</f>
        <v>-3.3039851421225661E-3</v>
      </c>
      <c r="D2073" s="2">
        <f ca="1">INDEX(Simulations!$A$1:$BK$2501, 2073, MATCH("SynMargin", Simulations!$A$1:$BK$1, 0))</f>
        <v>1.6630219169652627E-2</v>
      </c>
      <c r="E2073" s="2">
        <f ca="1">INDEX(Simulations!$A$1:$BK$2501, 2073, MATCH("Yr1Shock", Simulations!$A$1:$BK$1, 0))</f>
        <v>9.4284912421650699E-3</v>
      </c>
    </row>
    <row r="2074" spans="1:5" x14ac:dyDescent="0.3">
      <c r="A2074" s="2">
        <f ca="1">INDEX(Simulations!$A$1:$BK$2501, 2074, MATCH("PurchaseMultiple", Simulations!$A$1:$BK$1, 0))</f>
        <v>6.7659555136714076</v>
      </c>
      <c r="B2074" s="2">
        <f ca="1">INDEX(Simulations!$A$1:$BK$2501, 2074, MATCH("ExitMultiple", Simulations!$A$1:$BK$1, 0))</f>
        <v>7.8425215029688875</v>
      </c>
      <c r="C2074" s="2">
        <f ca="1">INDEX(Simulations!$A$1:$BK$2501, 2074, MATCH("RevCAGR", Simulations!$A$1:$BK$1, 0))</f>
        <v>5.2753993916445918E-2</v>
      </c>
      <c r="D2074" s="2">
        <f ca="1">INDEX(Simulations!$A$1:$BK$2501, 2074, MATCH("SynMargin", Simulations!$A$1:$BK$1, 0))</f>
        <v>8.0843516807489711E-3</v>
      </c>
      <c r="E2074" s="2">
        <f ca="1">INDEX(Simulations!$A$1:$BK$2501, 2074, MATCH("Yr1Shock", Simulations!$A$1:$BK$1, 0))</f>
        <v>1.4059914373664915E-2</v>
      </c>
    </row>
    <row r="2075" spans="1:5" x14ac:dyDescent="0.3">
      <c r="A2075" s="2">
        <f ca="1">INDEX(Simulations!$A$1:$BK$2501, 2075, MATCH("PurchaseMultiple", Simulations!$A$1:$BK$1, 0))</f>
        <v>7.0052224738916991</v>
      </c>
      <c r="B2075" s="2">
        <f ca="1">INDEX(Simulations!$A$1:$BK$2501, 2075, MATCH("ExitMultiple", Simulations!$A$1:$BK$1, 0))</f>
        <v>7.3627957598642748</v>
      </c>
      <c r="C2075" s="2">
        <f ca="1">INDEX(Simulations!$A$1:$BK$2501, 2075, MATCH("RevCAGR", Simulations!$A$1:$BK$1, 0))</f>
        <v>4.5990909525089801E-2</v>
      </c>
      <c r="D2075" s="2">
        <f ca="1">INDEX(Simulations!$A$1:$BK$2501, 2075, MATCH("SynMargin", Simulations!$A$1:$BK$1, 0))</f>
        <v>7.8751645020945851E-4</v>
      </c>
      <c r="E2075" s="2">
        <f ca="1">INDEX(Simulations!$A$1:$BK$2501, 2075, MATCH("Yr1Shock", Simulations!$A$1:$BK$1, 0))</f>
        <v>4.8931986164347284E-3</v>
      </c>
    </row>
    <row r="2076" spans="1:5" x14ac:dyDescent="0.3">
      <c r="A2076" s="2">
        <f ca="1">INDEX(Simulations!$A$1:$BK$2501, 2076, MATCH("PurchaseMultiple", Simulations!$A$1:$BK$1, 0))</f>
        <v>7.598675202078943</v>
      </c>
      <c r="B2076" s="2">
        <f ca="1">INDEX(Simulations!$A$1:$BK$2501, 2076, MATCH("ExitMultiple", Simulations!$A$1:$BK$1, 0))</f>
        <v>8.0876368206200375</v>
      </c>
      <c r="C2076" s="2">
        <f ca="1">INDEX(Simulations!$A$1:$BK$2501, 2076, MATCH("RevCAGR", Simulations!$A$1:$BK$1, 0))</f>
        <v>3.7156309733306359E-2</v>
      </c>
      <c r="D2076" s="2">
        <f ca="1">INDEX(Simulations!$A$1:$BK$2501, 2076, MATCH("SynMargin", Simulations!$A$1:$BK$1, 0))</f>
        <v>2.8661650498137525E-3</v>
      </c>
      <c r="E2076" s="2">
        <f ca="1">INDEX(Simulations!$A$1:$BK$2501, 2076, MATCH("Yr1Shock", Simulations!$A$1:$BK$1, 0))</f>
        <v>1.5893949168103601E-2</v>
      </c>
    </row>
    <row r="2077" spans="1:5" x14ac:dyDescent="0.3">
      <c r="A2077" s="2">
        <f ca="1">INDEX(Simulations!$A$1:$BK$2501, 2077, MATCH("PurchaseMultiple", Simulations!$A$1:$BK$1, 0))</f>
        <v>7.5263178985304764</v>
      </c>
      <c r="B2077" s="2">
        <f ca="1">INDEX(Simulations!$A$1:$BK$2501, 2077, MATCH("ExitMultiple", Simulations!$A$1:$BK$1, 0))</f>
        <v>6.775764570419291</v>
      </c>
      <c r="C2077" s="2">
        <f ca="1">INDEX(Simulations!$A$1:$BK$2501, 2077, MATCH("RevCAGR", Simulations!$A$1:$BK$1, 0))</f>
        <v>2.947842821249063E-2</v>
      </c>
      <c r="D2077" s="2">
        <f ca="1">INDEX(Simulations!$A$1:$BK$2501, 2077, MATCH("SynMargin", Simulations!$A$1:$BK$1, 0))</f>
        <v>8.5562689637343828E-3</v>
      </c>
      <c r="E2077" s="2">
        <f ca="1">INDEX(Simulations!$A$1:$BK$2501, 2077, MATCH("Yr1Shock", Simulations!$A$1:$BK$1, 0))</f>
        <v>-2.8621466665068734E-2</v>
      </c>
    </row>
    <row r="2078" spans="1:5" x14ac:dyDescent="0.3">
      <c r="A2078" s="2">
        <f ca="1">INDEX(Simulations!$A$1:$BK$2501, 2078, MATCH("PurchaseMultiple", Simulations!$A$1:$BK$1, 0))</f>
        <v>6.8343752279996766</v>
      </c>
      <c r="B2078" s="2">
        <f ca="1">INDEX(Simulations!$A$1:$BK$2501, 2078, MATCH("ExitMultiple", Simulations!$A$1:$BK$1, 0))</f>
        <v>7.6484598527438656</v>
      </c>
      <c r="C2078" s="2">
        <f ca="1">INDEX(Simulations!$A$1:$BK$2501, 2078, MATCH("RevCAGR", Simulations!$A$1:$BK$1, 0))</f>
        <v>1.2611649366202078E-2</v>
      </c>
      <c r="D2078" s="2">
        <f ca="1">INDEX(Simulations!$A$1:$BK$2501, 2078, MATCH("SynMargin", Simulations!$A$1:$BK$1, 0))</f>
        <v>7.219403188490587E-3</v>
      </c>
      <c r="E2078" s="2">
        <f ca="1">INDEX(Simulations!$A$1:$BK$2501, 2078, MATCH("Yr1Shock", Simulations!$A$1:$BK$1, 0))</f>
        <v>-1.6305922281753503E-2</v>
      </c>
    </row>
    <row r="2079" spans="1:5" x14ac:dyDescent="0.3">
      <c r="A2079" s="2">
        <f ca="1">INDEX(Simulations!$A$1:$BK$2501, 2079, MATCH("PurchaseMultiple", Simulations!$A$1:$BK$1, 0))</f>
        <v>6.2165172176333865</v>
      </c>
      <c r="B2079" s="2">
        <f ca="1">INDEX(Simulations!$A$1:$BK$2501, 2079, MATCH("ExitMultiple", Simulations!$A$1:$BK$1, 0))</f>
        <v>6.9980791943969063</v>
      </c>
      <c r="C2079" s="2">
        <f ca="1">INDEX(Simulations!$A$1:$BK$2501, 2079, MATCH("RevCAGR", Simulations!$A$1:$BK$1, 0))</f>
        <v>1.8586752232414128E-2</v>
      </c>
      <c r="D2079" s="2">
        <f ca="1">INDEX(Simulations!$A$1:$BK$2501, 2079, MATCH("SynMargin", Simulations!$A$1:$BK$1, 0))</f>
        <v>1.5621031012971083E-2</v>
      </c>
      <c r="E2079" s="2">
        <f ca="1">INDEX(Simulations!$A$1:$BK$2501, 2079, MATCH("Yr1Shock", Simulations!$A$1:$BK$1, 0))</f>
        <v>-3.3279709121201158E-2</v>
      </c>
    </row>
    <row r="2080" spans="1:5" x14ac:dyDescent="0.3">
      <c r="A2080" s="2">
        <f ca="1">INDEX(Simulations!$A$1:$BK$2501, 2080, MATCH("PurchaseMultiple", Simulations!$A$1:$BK$1, 0))</f>
        <v>7.1736415244928402</v>
      </c>
      <c r="B2080" s="2">
        <f ca="1">INDEX(Simulations!$A$1:$BK$2501, 2080, MATCH("ExitMultiple", Simulations!$A$1:$BK$1, 0))</f>
        <v>7.1468293577996045</v>
      </c>
      <c r="C2080" s="2">
        <f ca="1">INDEX(Simulations!$A$1:$BK$2501, 2080, MATCH("RevCAGR", Simulations!$A$1:$BK$1, 0))</f>
        <v>7.2916196527778726E-2</v>
      </c>
      <c r="D2080" s="2">
        <f ca="1">INDEX(Simulations!$A$1:$BK$2501, 2080, MATCH("SynMargin", Simulations!$A$1:$BK$1, 0))</f>
        <v>4.6283743844157208E-3</v>
      </c>
      <c r="E2080" s="2">
        <f ca="1">INDEX(Simulations!$A$1:$BK$2501, 2080, MATCH("Yr1Shock", Simulations!$A$1:$BK$1, 0))</f>
        <v>-1.030449443774996E-2</v>
      </c>
    </row>
    <row r="2081" spans="1:5" x14ac:dyDescent="0.3">
      <c r="A2081" s="2">
        <f ca="1">INDEX(Simulations!$A$1:$BK$2501, 2081, MATCH("PurchaseMultiple", Simulations!$A$1:$BK$1, 0))</f>
        <v>6.6012464574371537</v>
      </c>
      <c r="B2081" s="2">
        <f ca="1">INDEX(Simulations!$A$1:$BK$2501, 2081, MATCH("ExitMultiple", Simulations!$A$1:$BK$1, 0))</f>
        <v>8.2634785916979752</v>
      </c>
      <c r="C2081" s="2">
        <f ca="1">INDEX(Simulations!$A$1:$BK$2501, 2081, MATCH("RevCAGR", Simulations!$A$1:$BK$1, 0))</f>
        <v>4.1806655179049974E-2</v>
      </c>
      <c r="D2081" s="2">
        <f ca="1">INDEX(Simulations!$A$1:$BK$2501, 2081, MATCH("SynMargin", Simulations!$A$1:$BK$1, 0))</f>
        <v>1.6307697946081886E-2</v>
      </c>
      <c r="E2081" s="2">
        <f ca="1">INDEX(Simulations!$A$1:$BK$2501, 2081, MATCH("Yr1Shock", Simulations!$A$1:$BK$1, 0))</f>
        <v>2.6865804458589763E-2</v>
      </c>
    </row>
    <row r="2082" spans="1:5" x14ac:dyDescent="0.3">
      <c r="A2082" s="2">
        <f ca="1">INDEX(Simulations!$A$1:$BK$2501, 2082, MATCH("PurchaseMultiple", Simulations!$A$1:$BK$1, 0))</f>
        <v>7.6028827181255236</v>
      </c>
      <c r="B2082" s="2">
        <f ca="1">INDEX(Simulations!$A$1:$BK$2501, 2082, MATCH("ExitMultiple", Simulations!$A$1:$BK$1, 0))</f>
        <v>7.7593463237710827</v>
      </c>
      <c r="C2082" s="2">
        <f ca="1">INDEX(Simulations!$A$1:$BK$2501, 2082, MATCH("RevCAGR", Simulations!$A$1:$BK$1, 0))</f>
        <v>2.5519851922500808E-2</v>
      </c>
      <c r="D2082" s="2">
        <f ca="1">INDEX(Simulations!$A$1:$BK$2501, 2082, MATCH("SynMargin", Simulations!$A$1:$BK$1, 0))</f>
        <v>1.5321035677952247E-2</v>
      </c>
      <c r="E2082" s="2">
        <f ca="1">INDEX(Simulations!$A$1:$BK$2501, 2082, MATCH("Yr1Shock", Simulations!$A$1:$BK$1, 0))</f>
        <v>-1.6552032531384302E-2</v>
      </c>
    </row>
    <row r="2083" spans="1:5" x14ac:dyDescent="0.3">
      <c r="A2083" s="2">
        <f ca="1">INDEX(Simulations!$A$1:$BK$2501, 2083, MATCH("PurchaseMultiple", Simulations!$A$1:$BK$1, 0))</f>
        <v>6.8082196975348683</v>
      </c>
      <c r="B2083" s="2">
        <f ca="1">INDEX(Simulations!$A$1:$BK$2501, 2083, MATCH("ExitMultiple", Simulations!$A$1:$BK$1, 0))</f>
        <v>7.9667919741283733</v>
      </c>
      <c r="C2083" s="2">
        <f ca="1">INDEX(Simulations!$A$1:$BK$2501, 2083, MATCH("RevCAGR", Simulations!$A$1:$BK$1, 0))</f>
        <v>7.9060577424301309E-2</v>
      </c>
      <c r="D2083" s="2">
        <f ca="1">INDEX(Simulations!$A$1:$BK$2501, 2083, MATCH("SynMargin", Simulations!$A$1:$BK$1, 0))</f>
        <v>5.090364842414194E-3</v>
      </c>
      <c r="E2083" s="2">
        <f ca="1">INDEX(Simulations!$A$1:$BK$2501, 2083, MATCH("Yr1Shock", Simulations!$A$1:$BK$1, 0))</f>
        <v>-2.6028536649930316E-2</v>
      </c>
    </row>
    <row r="2084" spans="1:5" x14ac:dyDescent="0.3">
      <c r="A2084" s="2">
        <f ca="1">INDEX(Simulations!$A$1:$BK$2501, 2084, MATCH("PurchaseMultiple", Simulations!$A$1:$BK$1, 0))</f>
        <v>6.9567552467099079</v>
      </c>
      <c r="B2084" s="2">
        <f ca="1">INDEX(Simulations!$A$1:$BK$2501, 2084, MATCH("ExitMultiple", Simulations!$A$1:$BK$1, 0))</f>
        <v>8.1068000975528705</v>
      </c>
      <c r="C2084" s="2">
        <f ca="1">INDEX(Simulations!$A$1:$BK$2501, 2084, MATCH("RevCAGR", Simulations!$A$1:$BK$1, 0))</f>
        <v>-5.3049760572373636E-3</v>
      </c>
      <c r="D2084" s="2">
        <f ca="1">INDEX(Simulations!$A$1:$BK$2501, 2084, MATCH("SynMargin", Simulations!$A$1:$BK$1, 0))</f>
        <v>1.0402717516773652E-2</v>
      </c>
      <c r="E2084" s="2">
        <f ca="1">INDEX(Simulations!$A$1:$BK$2501, 2084, MATCH("Yr1Shock", Simulations!$A$1:$BK$1, 0))</f>
        <v>-1.7958926837800825E-2</v>
      </c>
    </row>
    <row r="2085" spans="1:5" x14ac:dyDescent="0.3">
      <c r="A2085" s="2">
        <f ca="1">INDEX(Simulations!$A$1:$BK$2501, 2085, MATCH("PurchaseMultiple", Simulations!$A$1:$BK$1, 0))</f>
        <v>6.8082753341800091</v>
      </c>
      <c r="B2085" s="2">
        <f ca="1">INDEX(Simulations!$A$1:$BK$2501, 2085, MATCH("ExitMultiple", Simulations!$A$1:$BK$1, 0))</f>
        <v>7.3924213971825488</v>
      </c>
      <c r="C2085" s="2">
        <f ca="1">INDEX(Simulations!$A$1:$BK$2501, 2085, MATCH("RevCAGR", Simulations!$A$1:$BK$1, 0))</f>
        <v>3.8449823648591598E-2</v>
      </c>
      <c r="D2085" s="2">
        <f ca="1">INDEX(Simulations!$A$1:$BK$2501, 2085, MATCH("SynMargin", Simulations!$A$1:$BK$1, 0))</f>
        <v>7.7988006727893727E-3</v>
      </c>
      <c r="E2085" s="2">
        <f ca="1">INDEX(Simulations!$A$1:$BK$2501, 2085, MATCH("Yr1Shock", Simulations!$A$1:$BK$1, 0))</f>
        <v>7.8002383100952057E-3</v>
      </c>
    </row>
    <row r="2086" spans="1:5" x14ac:dyDescent="0.3">
      <c r="A2086" s="2">
        <f ca="1">INDEX(Simulations!$A$1:$BK$2501, 2086, MATCH("PurchaseMultiple", Simulations!$A$1:$BK$1, 0))</f>
        <v>6.3342213719015206</v>
      </c>
      <c r="B2086" s="2">
        <f ca="1">INDEX(Simulations!$A$1:$BK$2501, 2086, MATCH("ExitMultiple", Simulations!$A$1:$BK$1, 0))</f>
        <v>7.4898565795943099</v>
      </c>
      <c r="C2086" s="2">
        <f ca="1">INDEX(Simulations!$A$1:$BK$2501, 2086, MATCH("RevCAGR", Simulations!$A$1:$BK$1, 0))</f>
        <v>8.9010792855791748E-2</v>
      </c>
      <c r="D2086" s="2">
        <f ca="1">INDEX(Simulations!$A$1:$BK$2501, 2086, MATCH("SynMargin", Simulations!$A$1:$BK$1, 0))</f>
        <v>1.6188245545013094E-2</v>
      </c>
      <c r="E2086" s="2">
        <f ca="1">INDEX(Simulations!$A$1:$BK$2501, 2086, MATCH("Yr1Shock", Simulations!$A$1:$BK$1, 0))</f>
        <v>1.6329153272008456E-2</v>
      </c>
    </row>
    <row r="2087" spans="1:5" x14ac:dyDescent="0.3">
      <c r="A2087" s="2">
        <f ca="1">INDEX(Simulations!$A$1:$BK$2501, 2087, MATCH("PurchaseMultiple", Simulations!$A$1:$BK$1, 0))</f>
        <v>7.0792568848826249</v>
      </c>
      <c r="B2087" s="2">
        <f ca="1">INDEX(Simulations!$A$1:$BK$2501, 2087, MATCH("ExitMultiple", Simulations!$A$1:$BK$1, 0))</f>
        <v>7.0479493218883507</v>
      </c>
      <c r="C2087" s="2">
        <f ca="1">INDEX(Simulations!$A$1:$BK$2501, 2087, MATCH("RevCAGR", Simulations!$A$1:$BK$1, 0))</f>
        <v>3.2640712706909714E-2</v>
      </c>
      <c r="D2087" s="2">
        <f ca="1">INDEX(Simulations!$A$1:$BK$2501, 2087, MATCH("SynMargin", Simulations!$A$1:$BK$1, 0))</f>
        <v>7.1879693305624028E-3</v>
      </c>
      <c r="E2087" s="2">
        <f ca="1">INDEX(Simulations!$A$1:$BK$2501, 2087, MATCH("Yr1Shock", Simulations!$A$1:$BK$1, 0))</f>
        <v>-2.0176433627999119E-2</v>
      </c>
    </row>
    <row r="2088" spans="1:5" x14ac:dyDescent="0.3">
      <c r="A2088" s="2">
        <f ca="1">INDEX(Simulations!$A$1:$BK$2501, 2088, MATCH("PurchaseMultiple", Simulations!$A$1:$BK$1, 0))</f>
        <v>6.7951793483888565</v>
      </c>
      <c r="B2088" s="2">
        <f ca="1">INDEX(Simulations!$A$1:$BK$2501, 2088, MATCH("ExitMultiple", Simulations!$A$1:$BK$1, 0))</f>
        <v>7.3819710437351169</v>
      </c>
      <c r="C2088" s="2">
        <f ca="1">INDEX(Simulations!$A$1:$BK$2501, 2088, MATCH("RevCAGR", Simulations!$A$1:$BK$1, 0))</f>
        <v>8.6621698485089021E-2</v>
      </c>
      <c r="D2088" s="2">
        <f ca="1">INDEX(Simulations!$A$1:$BK$2501, 2088, MATCH("SynMargin", Simulations!$A$1:$BK$1, 0))</f>
        <v>0</v>
      </c>
      <c r="E2088" s="2">
        <f ca="1">INDEX(Simulations!$A$1:$BK$2501, 2088, MATCH("Yr1Shock", Simulations!$A$1:$BK$1, 0))</f>
        <v>-4.4631195490963567E-2</v>
      </c>
    </row>
    <row r="2089" spans="1:5" x14ac:dyDescent="0.3">
      <c r="A2089" s="2">
        <f ca="1">INDEX(Simulations!$A$1:$BK$2501, 2089, MATCH("PurchaseMultiple", Simulations!$A$1:$BK$1, 0))</f>
        <v>7.1639256059384548</v>
      </c>
      <c r="B2089" s="2">
        <f ca="1">INDEX(Simulations!$A$1:$BK$2501, 2089, MATCH("ExitMultiple", Simulations!$A$1:$BK$1, 0))</f>
        <v>8.2390194819732923</v>
      </c>
      <c r="C2089" s="2">
        <f ca="1">INDEX(Simulations!$A$1:$BK$2501, 2089, MATCH("RevCAGR", Simulations!$A$1:$BK$1, 0))</f>
        <v>1.451786778493825E-2</v>
      </c>
      <c r="D2089" s="2">
        <f ca="1">INDEX(Simulations!$A$1:$BK$2501, 2089, MATCH("SynMargin", Simulations!$A$1:$BK$1, 0))</f>
        <v>2.1419393050675136E-3</v>
      </c>
      <c r="E2089" s="2">
        <f ca="1">INDEX(Simulations!$A$1:$BK$2501, 2089, MATCH("Yr1Shock", Simulations!$A$1:$BK$1, 0))</f>
        <v>-6.1830062575335767E-4</v>
      </c>
    </row>
    <row r="2090" spans="1:5" x14ac:dyDescent="0.3">
      <c r="A2090" s="2">
        <f ca="1">INDEX(Simulations!$A$1:$BK$2501, 2090, MATCH("PurchaseMultiple", Simulations!$A$1:$BK$1, 0))</f>
        <v>7.5453717999273371</v>
      </c>
      <c r="B2090" s="2">
        <f ca="1">INDEX(Simulations!$A$1:$BK$2501, 2090, MATCH("ExitMultiple", Simulations!$A$1:$BK$1, 0))</f>
        <v>7.2507476689942543</v>
      </c>
      <c r="C2090" s="2">
        <f ca="1">INDEX(Simulations!$A$1:$BK$2501, 2090, MATCH("RevCAGR", Simulations!$A$1:$BK$1, 0))</f>
        <v>4.0828272646524222E-2</v>
      </c>
      <c r="D2090" s="2">
        <f ca="1">INDEX(Simulations!$A$1:$BK$2501, 2090, MATCH("SynMargin", Simulations!$A$1:$BK$1, 0))</f>
        <v>9.6050698083881229E-3</v>
      </c>
      <c r="E2090" s="2">
        <f ca="1">INDEX(Simulations!$A$1:$BK$2501, 2090, MATCH("Yr1Shock", Simulations!$A$1:$BK$1, 0))</f>
        <v>8.8509178388019392E-3</v>
      </c>
    </row>
    <row r="2091" spans="1:5" x14ac:dyDescent="0.3">
      <c r="A2091" s="2">
        <f ca="1">INDEX(Simulations!$A$1:$BK$2501, 2091, MATCH("PurchaseMultiple", Simulations!$A$1:$BK$1, 0))</f>
        <v>6.9740286598536745</v>
      </c>
      <c r="B2091" s="2">
        <f ca="1">INDEX(Simulations!$A$1:$BK$2501, 2091, MATCH("ExitMultiple", Simulations!$A$1:$BK$1, 0))</f>
        <v>6.7972460028089374</v>
      </c>
      <c r="C2091" s="2">
        <f ca="1">INDEX(Simulations!$A$1:$BK$2501, 2091, MATCH("RevCAGR", Simulations!$A$1:$BK$1, 0))</f>
        <v>4.2838682930718797E-2</v>
      </c>
      <c r="D2091" s="2">
        <f ca="1">INDEX(Simulations!$A$1:$BK$2501, 2091, MATCH("SynMargin", Simulations!$A$1:$BK$1, 0))</f>
        <v>1.1707737331731354E-2</v>
      </c>
      <c r="E2091" s="2">
        <f ca="1">INDEX(Simulations!$A$1:$BK$2501, 2091, MATCH("Yr1Shock", Simulations!$A$1:$BK$1, 0))</f>
        <v>-3.0875184781606543E-2</v>
      </c>
    </row>
    <row r="2092" spans="1:5" x14ac:dyDescent="0.3">
      <c r="A2092" s="2">
        <f ca="1">INDEX(Simulations!$A$1:$BK$2501, 2092, MATCH("PurchaseMultiple", Simulations!$A$1:$BK$1, 0))</f>
        <v>6.9150927473260229</v>
      </c>
      <c r="B2092" s="2">
        <f ca="1">INDEX(Simulations!$A$1:$BK$2501, 2092, MATCH("ExitMultiple", Simulations!$A$1:$BK$1, 0))</f>
        <v>6.9949859071568614</v>
      </c>
      <c r="C2092" s="2">
        <f ca="1">INDEX(Simulations!$A$1:$BK$2501, 2092, MATCH("RevCAGR", Simulations!$A$1:$BK$1, 0))</f>
        <v>1.4732044643196832E-2</v>
      </c>
      <c r="D2092" s="2">
        <f ca="1">INDEX(Simulations!$A$1:$BK$2501, 2092, MATCH("SynMargin", Simulations!$A$1:$BK$1, 0))</f>
        <v>1.1315309860161727E-2</v>
      </c>
      <c r="E2092" s="2">
        <f ca="1">INDEX(Simulations!$A$1:$BK$2501, 2092, MATCH("Yr1Shock", Simulations!$A$1:$BK$1, 0))</f>
        <v>-1.6396516657057512E-2</v>
      </c>
    </row>
    <row r="2093" spans="1:5" x14ac:dyDescent="0.3">
      <c r="A2093" s="2">
        <f ca="1">INDEX(Simulations!$A$1:$BK$2501, 2093, MATCH("PurchaseMultiple", Simulations!$A$1:$BK$1, 0))</f>
        <v>6.1389720462092461</v>
      </c>
      <c r="B2093" s="2">
        <f ca="1">INDEX(Simulations!$A$1:$BK$2501, 2093, MATCH("ExitMultiple", Simulations!$A$1:$BK$1, 0))</f>
        <v>7.6330411332390682</v>
      </c>
      <c r="C2093" s="2">
        <f ca="1">INDEX(Simulations!$A$1:$BK$2501, 2093, MATCH("RevCAGR", Simulations!$A$1:$BK$1, 0))</f>
        <v>5.552950398848356E-2</v>
      </c>
      <c r="D2093" s="2">
        <f ca="1">INDEX(Simulations!$A$1:$BK$2501, 2093, MATCH("SynMargin", Simulations!$A$1:$BK$1, 0))</f>
        <v>7.134217198212927E-3</v>
      </c>
      <c r="E2093" s="2">
        <f ca="1">INDEX(Simulations!$A$1:$BK$2501, 2093, MATCH("Yr1Shock", Simulations!$A$1:$BK$1, 0))</f>
        <v>1.2137270956735721E-2</v>
      </c>
    </row>
    <row r="2094" spans="1:5" x14ac:dyDescent="0.3">
      <c r="A2094" s="2">
        <f ca="1">INDEX(Simulations!$A$1:$BK$2501, 2094, MATCH("PurchaseMultiple", Simulations!$A$1:$BK$1, 0))</f>
        <v>7.0098708364537252</v>
      </c>
      <c r="B2094" s="2">
        <f ca="1">INDEX(Simulations!$A$1:$BK$2501, 2094, MATCH("ExitMultiple", Simulations!$A$1:$BK$1, 0))</f>
        <v>7.9723983795888635</v>
      </c>
      <c r="C2094" s="2">
        <f ca="1">INDEX(Simulations!$A$1:$BK$2501, 2094, MATCH("RevCAGR", Simulations!$A$1:$BK$1, 0))</f>
        <v>1.4691540362913522E-2</v>
      </c>
      <c r="D2094" s="2">
        <f ca="1">INDEX(Simulations!$A$1:$BK$2501, 2094, MATCH("SynMargin", Simulations!$A$1:$BK$1, 0))</f>
        <v>1.3576328712359415E-2</v>
      </c>
      <c r="E2094" s="2">
        <f ca="1">INDEX(Simulations!$A$1:$BK$2501, 2094, MATCH("Yr1Shock", Simulations!$A$1:$BK$1, 0))</f>
        <v>-2.7346370897634361E-2</v>
      </c>
    </row>
    <row r="2095" spans="1:5" x14ac:dyDescent="0.3">
      <c r="A2095" s="2">
        <f ca="1">INDEX(Simulations!$A$1:$BK$2501, 2095, MATCH("PurchaseMultiple", Simulations!$A$1:$BK$1, 0))</f>
        <v>6.7585835132962027</v>
      </c>
      <c r="B2095" s="2">
        <f ca="1">INDEX(Simulations!$A$1:$BK$2501, 2095, MATCH("ExitMultiple", Simulations!$A$1:$BK$1, 0))</f>
        <v>7.5466164864423693</v>
      </c>
      <c r="C2095" s="2">
        <f ca="1">INDEX(Simulations!$A$1:$BK$2501, 2095, MATCH("RevCAGR", Simulations!$A$1:$BK$1, 0))</f>
        <v>0.11936821053386795</v>
      </c>
      <c r="D2095" s="2">
        <f ca="1">INDEX(Simulations!$A$1:$BK$2501, 2095, MATCH("SynMargin", Simulations!$A$1:$BK$1, 0))</f>
        <v>7.0141922598450186E-3</v>
      </c>
      <c r="E2095" s="2">
        <f ca="1">INDEX(Simulations!$A$1:$BK$2501, 2095, MATCH("Yr1Shock", Simulations!$A$1:$BK$1, 0))</f>
        <v>2.0990798444413841E-2</v>
      </c>
    </row>
    <row r="2096" spans="1:5" x14ac:dyDescent="0.3">
      <c r="A2096" s="2">
        <f ca="1">INDEX(Simulations!$A$1:$BK$2501, 2096, MATCH("PurchaseMultiple", Simulations!$A$1:$BK$1, 0))</f>
        <v>7.4590449489494501</v>
      </c>
      <c r="B2096" s="2">
        <f ca="1">INDEX(Simulations!$A$1:$BK$2501, 2096, MATCH("ExitMultiple", Simulations!$A$1:$BK$1, 0))</f>
        <v>7.22741263814319</v>
      </c>
      <c r="C2096" s="2">
        <f ca="1">INDEX(Simulations!$A$1:$BK$2501, 2096, MATCH("RevCAGR", Simulations!$A$1:$BK$1, 0))</f>
        <v>5.971219298849053E-2</v>
      </c>
      <c r="D2096" s="2">
        <f ca="1">INDEX(Simulations!$A$1:$BK$2501, 2096, MATCH("SynMargin", Simulations!$A$1:$BK$1, 0))</f>
        <v>1.0536121412894936E-2</v>
      </c>
      <c r="E2096" s="2">
        <f ca="1">INDEX(Simulations!$A$1:$BK$2501, 2096, MATCH("Yr1Shock", Simulations!$A$1:$BK$1, 0))</f>
        <v>2.1839406043340316E-2</v>
      </c>
    </row>
    <row r="2097" spans="1:5" x14ac:dyDescent="0.3">
      <c r="A2097" s="2">
        <f ca="1">INDEX(Simulations!$A$1:$BK$2501, 2097, MATCH("PurchaseMultiple", Simulations!$A$1:$BK$1, 0))</f>
        <v>6.500442758863576</v>
      </c>
      <c r="B2097" s="2">
        <f ca="1">INDEX(Simulations!$A$1:$BK$2501, 2097, MATCH("ExitMultiple", Simulations!$A$1:$BK$1, 0))</f>
        <v>7.2069575099325318</v>
      </c>
      <c r="C2097" s="2">
        <f ca="1">INDEX(Simulations!$A$1:$BK$2501, 2097, MATCH("RevCAGR", Simulations!$A$1:$BK$1, 0))</f>
        <v>1.8498422620494673E-2</v>
      </c>
      <c r="D2097" s="2">
        <f ca="1">INDEX(Simulations!$A$1:$BK$2501, 2097, MATCH("SynMargin", Simulations!$A$1:$BK$1, 0))</f>
        <v>4.0532386477397661E-3</v>
      </c>
      <c r="E2097" s="2">
        <f ca="1">INDEX(Simulations!$A$1:$BK$2501, 2097, MATCH("Yr1Shock", Simulations!$A$1:$BK$1, 0))</f>
        <v>2.1341919790561423E-2</v>
      </c>
    </row>
    <row r="2098" spans="1:5" x14ac:dyDescent="0.3">
      <c r="A2098" s="2">
        <f ca="1">INDEX(Simulations!$A$1:$BK$2501, 2098, MATCH("PurchaseMultiple", Simulations!$A$1:$BK$1, 0))</f>
        <v>7.5363181117247962</v>
      </c>
      <c r="B2098" s="2">
        <f ca="1">INDEX(Simulations!$A$1:$BK$2501, 2098, MATCH("ExitMultiple", Simulations!$A$1:$BK$1, 0))</f>
        <v>8.3516260837829286</v>
      </c>
      <c r="C2098" s="2">
        <f ca="1">INDEX(Simulations!$A$1:$BK$2501, 2098, MATCH("RevCAGR", Simulations!$A$1:$BK$1, 0))</f>
        <v>4.9994792269058702E-2</v>
      </c>
      <c r="D2098" s="2">
        <f ca="1">INDEX(Simulations!$A$1:$BK$2501, 2098, MATCH("SynMargin", Simulations!$A$1:$BK$1, 0))</f>
        <v>1.3841650145105954E-2</v>
      </c>
      <c r="E2098" s="2">
        <f ca="1">INDEX(Simulations!$A$1:$BK$2501, 2098, MATCH("Yr1Shock", Simulations!$A$1:$BK$1, 0))</f>
        <v>-3.1879711210421207E-3</v>
      </c>
    </row>
    <row r="2099" spans="1:5" x14ac:dyDescent="0.3">
      <c r="A2099" s="2">
        <f ca="1">INDEX(Simulations!$A$1:$BK$2501, 2099, MATCH("PurchaseMultiple", Simulations!$A$1:$BK$1, 0))</f>
        <v>6.7310459666643156</v>
      </c>
      <c r="B2099" s="2">
        <f ca="1">INDEX(Simulations!$A$1:$BK$2501, 2099, MATCH("ExitMultiple", Simulations!$A$1:$BK$1, 0))</f>
        <v>8.3518402297278449</v>
      </c>
      <c r="C2099" s="2">
        <f ca="1">INDEX(Simulations!$A$1:$BK$2501, 2099, MATCH("RevCAGR", Simulations!$A$1:$BK$1, 0))</f>
        <v>-0.02</v>
      </c>
      <c r="D2099" s="2">
        <f ca="1">INDEX(Simulations!$A$1:$BK$2501, 2099, MATCH("SynMargin", Simulations!$A$1:$BK$1, 0))</f>
        <v>9.8447469976971382E-3</v>
      </c>
      <c r="E2099" s="2">
        <f ca="1">INDEX(Simulations!$A$1:$BK$2501, 2099, MATCH("Yr1Shock", Simulations!$A$1:$BK$1, 0))</f>
        <v>1.8615539070819642E-2</v>
      </c>
    </row>
    <row r="2100" spans="1:5" x14ac:dyDescent="0.3">
      <c r="A2100" s="2">
        <f ca="1">INDEX(Simulations!$A$1:$BK$2501, 2100, MATCH("PurchaseMultiple", Simulations!$A$1:$BK$1, 0))</f>
        <v>6.7330075556351581</v>
      </c>
      <c r="B2100" s="2">
        <f ca="1">INDEX(Simulations!$A$1:$BK$2501, 2100, MATCH("ExitMultiple", Simulations!$A$1:$BK$1, 0))</f>
        <v>7.7825504299901631</v>
      </c>
      <c r="C2100" s="2">
        <f ca="1">INDEX(Simulations!$A$1:$BK$2501, 2100, MATCH("RevCAGR", Simulations!$A$1:$BK$1, 0))</f>
        <v>7.4716613725863606E-2</v>
      </c>
      <c r="D2100" s="2">
        <f ca="1">INDEX(Simulations!$A$1:$BK$2501, 2100, MATCH("SynMargin", Simulations!$A$1:$BK$1, 0))</f>
        <v>1.0126025897513276E-2</v>
      </c>
      <c r="E2100" s="2">
        <f ca="1">INDEX(Simulations!$A$1:$BK$2501, 2100, MATCH("Yr1Shock", Simulations!$A$1:$BK$1, 0))</f>
        <v>-7.9116051289114756E-3</v>
      </c>
    </row>
    <row r="2101" spans="1:5" x14ac:dyDescent="0.3">
      <c r="A2101" s="2">
        <f ca="1">INDEX(Simulations!$A$1:$BK$2501, 2101, MATCH("PurchaseMultiple", Simulations!$A$1:$BK$1, 0))</f>
        <v>6.7062804245613687</v>
      </c>
      <c r="B2101" s="2">
        <f ca="1">INDEX(Simulations!$A$1:$BK$2501, 2101, MATCH("ExitMultiple", Simulations!$A$1:$BK$1, 0))</f>
        <v>7.293801777755835</v>
      </c>
      <c r="C2101" s="2">
        <f ca="1">INDEX(Simulations!$A$1:$BK$2501, 2101, MATCH("RevCAGR", Simulations!$A$1:$BK$1, 0))</f>
        <v>6.2196283031653657E-3</v>
      </c>
      <c r="D2101" s="2">
        <f ca="1">INDEX(Simulations!$A$1:$BK$2501, 2101, MATCH("SynMargin", Simulations!$A$1:$BK$1, 0))</f>
        <v>9.9285298020877401E-3</v>
      </c>
      <c r="E2101" s="2">
        <f ca="1">INDEX(Simulations!$A$1:$BK$2501, 2101, MATCH("Yr1Shock", Simulations!$A$1:$BK$1, 0))</f>
        <v>-1.8901709337964055E-2</v>
      </c>
    </row>
    <row r="2102" spans="1:5" x14ac:dyDescent="0.3">
      <c r="A2102" s="2">
        <f ca="1">INDEX(Simulations!$A$1:$BK$2501, 2102, MATCH("PurchaseMultiple", Simulations!$A$1:$BK$1, 0))</f>
        <v>6.4765774925915354</v>
      </c>
      <c r="B2102" s="2">
        <f ca="1">INDEX(Simulations!$A$1:$BK$2501, 2102, MATCH("ExitMultiple", Simulations!$A$1:$BK$1, 0))</f>
        <v>7.9120274172056746</v>
      </c>
      <c r="C2102" s="2">
        <f ca="1">INDEX(Simulations!$A$1:$BK$2501, 2102, MATCH("RevCAGR", Simulations!$A$1:$BK$1, 0))</f>
        <v>1.8327591751247166E-3</v>
      </c>
      <c r="D2102" s="2">
        <f ca="1">INDEX(Simulations!$A$1:$BK$2501, 2102, MATCH("SynMargin", Simulations!$A$1:$BK$1, 0))</f>
        <v>6.180375687316165E-3</v>
      </c>
      <c r="E2102" s="2">
        <f ca="1">INDEX(Simulations!$A$1:$BK$2501, 2102, MATCH("Yr1Shock", Simulations!$A$1:$BK$1, 0))</f>
        <v>1.3145746916705787E-2</v>
      </c>
    </row>
    <row r="2103" spans="1:5" x14ac:dyDescent="0.3">
      <c r="A2103" s="2">
        <f ca="1">INDEX(Simulations!$A$1:$BK$2501, 2103, MATCH("PurchaseMultiple", Simulations!$A$1:$BK$1, 0))</f>
        <v>7.4417487419772606</v>
      </c>
      <c r="B2103" s="2">
        <f ca="1">INDEX(Simulations!$A$1:$BK$2501, 2103, MATCH("ExitMultiple", Simulations!$A$1:$BK$1, 0))</f>
        <v>6.9846960654815486</v>
      </c>
      <c r="C2103" s="2">
        <f ca="1">INDEX(Simulations!$A$1:$BK$2501, 2103, MATCH("RevCAGR", Simulations!$A$1:$BK$1, 0))</f>
        <v>-0.02</v>
      </c>
      <c r="D2103" s="2">
        <f ca="1">INDEX(Simulations!$A$1:$BK$2501, 2103, MATCH("SynMargin", Simulations!$A$1:$BK$1, 0))</f>
        <v>1.0286915289100688E-2</v>
      </c>
      <c r="E2103" s="2">
        <f ca="1">INDEX(Simulations!$A$1:$BK$2501, 2103, MATCH("Yr1Shock", Simulations!$A$1:$BK$1, 0))</f>
        <v>-2.0170255780977461E-2</v>
      </c>
    </row>
    <row r="2104" spans="1:5" x14ac:dyDescent="0.3">
      <c r="A2104" s="2">
        <f ca="1">INDEX(Simulations!$A$1:$BK$2501, 2104, MATCH("PurchaseMultiple", Simulations!$A$1:$BK$1, 0))</f>
        <v>6.9826662167342004</v>
      </c>
      <c r="B2104" s="2">
        <f ca="1">INDEX(Simulations!$A$1:$BK$2501, 2104, MATCH("ExitMultiple", Simulations!$A$1:$BK$1, 0))</f>
        <v>7.7097163719773727</v>
      </c>
      <c r="C2104" s="2">
        <f ca="1">INDEX(Simulations!$A$1:$BK$2501, 2104, MATCH("RevCAGR", Simulations!$A$1:$BK$1, 0))</f>
        <v>2.5881716901627879E-2</v>
      </c>
      <c r="D2104" s="2">
        <f ca="1">INDEX(Simulations!$A$1:$BK$2501, 2104, MATCH("SynMargin", Simulations!$A$1:$BK$1, 0))</f>
        <v>6.1801051864083367E-3</v>
      </c>
      <c r="E2104" s="2">
        <f ca="1">INDEX(Simulations!$A$1:$BK$2501, 2104, MATCH("Yr1Shock", Simulations!$A$1:$BK$1, 0))</f>
        <v>-1.0626968803083017E-2</v>
      </c>
    </row>
    <row r="2105" spans="1:5" x14ac:dyDescent="0.3">
      <c r="A2105" s="2">
        <f ca="1">INDEX(Simulations!$A$1:$BK$2501, 2105, MATCH("PurchaseMultiple", Simulations!$A$1:$BK$1, 0))</f>
        <v>7.667970680955829</v>
      </c>
      <c r="B2105" s="2">
        <f ca="1">INDEX(Simulations!$A$1:$BK$2501, 2105, MATCH("ExitMultiple", Simulations!$A$1:$BK$1, 0))</f>
        <v>7.415457475835062</v>
      </c>
      <c r="C2105" s="2">
        <f ca="1">INDEX(Simulations!$A$1:$BK$2501, 2105, MATCH("RevCAGR", Simulations!$A$1:$BK$1, 0))</f>
        <v>2.2059417846643167E-2</v>
      </c>
      <c r="D2105" s="2">
        <f ca="1">INDEX(Simulations!$A$1:$BK$2501, 2105, MATCH("SynMargin", Simulations!$A$1:$BK$1, 0))</f>
        <v>0</v>
      </c>
      <c r="E2105" s="2">
        <f ca="1">INDEX(Simulations!$A$1:$BK$2501, 2105, MATCH("Yr1Shock", Simulations!$A$1:$BK$1, 0))</f>
        <v>1.6681699825496984E-2</v>
      </c>
    </row>
    <row r="2106" spans="1:5" x14ac:dyDescent="0.3">
      <c r="A2106" s="2">
        <f ca="1">INDEX(Simulations!$A$1:$BK$2501, 2106, MATCH("PurchaseMultiple", Simulations!$A$1:$BK$1, 0))</f>
        <v>7.9129356906616888</v>
      </c>
      <c r="B2106" s="2">
        <f ca="1">INDEX(Simulations!$A$1:$BK$2501, 2106, MATCH("ExitMultiple", Simulations!$A$1:$BK$1, 0))</f>
        <v>7.7646544375326041</v>
      </c>
      <c r="C2106" s="2">
        <f ca="1">INDEX(Simulations!$A$1:$BK$2501, 2106, MATCH("RevCAGR", Simulations!$A$1:$BK$1, 0))</f>
        <v>3.6415929931770938E-2</v>
      </c>
      <c r="D2106" s="2">
        <f ca="1">INDEX(Simulations!$A$1:$BK$2501, 2106, MATCH("SynMargin", Simulations!$A$1:$BK$1, 0))</f>
        <v>1.1642424408800924E-2</v>
      </c>
      <c r="E2106" s="2">
        <f ca="1">INDEX(Simulations!$A$1:$BK$2501, 2106, MATCH("Yr1Shock", Simulations!$A$1:$BK$1, 0))</f>
        <v>1.3973352719272299E-2</v>
      </c>
    </row>
    <row r="2107" spans="1:5" x14ac:dyDescent="0.3">
      <c r="A2107" s="2">
        <f ca="1">INDEX(Simulations!$A$1:$BK$2501, 2107, MATCH("PurchaseMultiple", Simulations!$A$1:$BK$1, 0))</f>
        <v>7.0275568976217802</v>
      </c>
      <c r="B2107" s="2">
        <f ca="1">INDEX(Simulations!$A$1:$BK$2501, 2107, MATCH("ExitMultiple", Simulations!$A$1:$BK$1, 0))</f>
        <v>7.6306059496281691</v>
      </c>
      <c r="C2107" s="2">
        <f ca="1">INDEX(Simulations!$A$1:$BK$2501, 2107, MATCH("RevCAGR", Simulations!$A$1:$BK$1, 0))</f>
        <v>7.1608369453170728E-2</v>
      </c>
      <c r="D2107" s="2">
        <f ca="1">INDEX(Simulations!$A$1:$BK$2501, 2107, MATCH("SynMargin", Simulations!$A$1:$BK$1, 0))</f>
        <v>1.4294223583107489E-2</v>
      </c>
      <c r="E2107" s="2">
        <f ca="1">INDEX(Simulations!$A$1:$BK$2501, 2107, MATCH("Yr1Shock", Simulations!$A$1:$BK$1, 0))</f>
        <v>1.5219240180514517E-2</v>
      </c>
    </row>
    <row r="2108" spans="1:5" x14ac:dyDescent="0.3">
      <c r="A2108" s="2">
        <f ca="1">INDEX(Simulations!$A$1:$BK$2501, 2108, MATCH("PurchaseMultiple", Simulations!$A$1:$BK$1, 0))</f>
        <v>6.8030692740677532</v>
      </c>
      <c r="B2108" s="2">
        <f ca="1">INDEX(Simulations!$A$1:$BK$2501, 2108, MATCH("ExitMultiple", Simulations!$A$1:$BK$1, 0))</f>
        <v>7.5202195744384595</v>
      </c>
      <c r="C2108" s="2">
        <f ca="1">INDEX(Simulations!$A$1:$BK$2501, 2108, MATCH("RevCAGR", Simulations!$A$1:$BK$1, 0))</f>
        <v>-1.6921185518568138E-2</v>
      </c>
      <c r="D2108" s="2">
        <f ca="1">INDEX(Simulations!$A$1:$BK$2501, 2108, MATCH("SynMargin", Simulations!$A$1:$BK$1, 0))</f>
        <v>7.5728315547618601E-3</v>
      </c>
      <c r="E2108" s="2">
        <f ca="1">INDEX(Simulations!$A$1:$BK$2501, 2108, MATCH("Yr1Shock", Simulations!$A$1:$BK$1, 0))</f>
        <v>-1.5890120280835944E-3</v>
      </c>
    </row>
    <row r="2109" spans="1:5" x14ac:dyDescent="0.3">
      <c r="A2109" s="2">
        <f ca="1">INDEX(Simulations!$A$1:$BK$2501, 2109, MATCH("PurchaseMultiple", Simulations!$A$1:$BK$1, 0))</f>
        <v>7.2616375162113798</v>
      </c>
      <c r="B2109" s="2">
        <f ca="1">INDEX(Simulations!$A$1:$BK$2501, 2109, MATCH("ExitMultiple", Simulations!$A$1:$BK$1, 0))</f>
        <v>7.8946061106715364</v>
      </c>
      <c r="C2109" s="2">
        <f ca="1">INDEX(Simulations!$A$1:$BK$2501, 2109, MATCH("RevCAGR", Simulations!$A$1:$BK$1, 0))</f>
        <v>7.0437960416823639E-2</v>
      </c>
      <c r="D2109" s="2">
        <f ca="1">INDEX(Simulations!$A$1:$BK$2501, 2109, MATCH("SynMargin", Simulations!$A$1:$BK$1, 0))</f>
        <v>7.3018836120154413E-3</v>
      </c>
      <c r="E2109" s="2">
        <f ca="1">INDEX(Simulations!$A$1:$BK$2501, 2109, MATCH("Yr1Shock", Simulations!$A$1:$BK$1, 0))</f>
        <v>-1.9534431259222832E-2</v>
      </c>
    </row>
    <row r="2110" spans="1:5" x14ac:dyDescent="0.3">
      <c r="A2110" s="2">
        <f ca="1">INDEX(Simulations!$A$1:$BK$2501, 2110, MATCH("PurchaseMultiple", Simulations!$A$1:$BK$1, 0))</f>
        <v>7.9547779229185842</v>
      </c>
      <c r="B2110" s="2">
        <f ca="1">INDEX(Simulations!$A$1:$BK$2501, 2110, MATCH("ExitMultiple", Simulations!$A$1:$BK$1, 0))</f>
        <v>7.1047572388556279</v>
      </c>
      <c r="C2110" s="2">
        <f ca="1">INDEX(Simulations!$A$1:$BK$2501, 2110, MATCH("RevCAGR", Simulations!$A$1:$BK$1, 0))</f>
        <v>7.2805261712275957E-2</v>
      </c>
      <c r="D2110" s="2">
        <f ca="1">INDEX(Simulations!$A$1:$BK$2501, 2110, MATCH("SynMargin", Simulations!$A$1:$BK$1, 0))</f>
        <v>1.9949175336024798E-2</v>
      </c>
      <c r="E2110" s="2">
        <f ca="1">INDEX(Simulations!$A$1:$BK$2501, 2110, MATCH("Yr1Shock", Simulations!$A$1:$BK$1, 0))</f>
        <v>8.9182557484291398E-3</v>
      </c>
    </row>
    <row r="2111" spans="1:5" x14ac:dyDescent="0.3">
      <c r="A2111" s="2">
        <f ca="1">INDEX(Simulations!$A$1:$BK$2501, 2111, MATCH("PurchaseMultiple", Simulations!$A$1:$BK$1, 0))</f>
        <v>6.2566162431863663</v>
      </c>
      <c r="B2111" s="2">
        <f ca="1">INDEX(Simulations!$A$1:$BK$2501, 2111, MATCH("ExitMultiple", Simulations!$A$1:$BK$1, 0))</f>
        <v>6.9430717728724893</v>
      </c>
      <c r="C2111" s="2">
        <f ca="1">INDEX(Simulations!$A$1:$BK$2501, 2111, MATCH("RevCAGR", Simulations!$A$1:$BK$1, 0))</f>
        <v>3.8021188473305566E-2</v>
      </c>
      <c r="D2111" s="2">
        <f ca="1">INDEX(Simulations!$A$1:$BK$2501, 2111, MATCH("SynMargin", Simulations!$A$1:$BK$1, 0))</f>
        <v>5.4712391142425574E-3</v>
      </c>
      <c r="E2111" s="2">
        <f ca="1">INDEX(Simulations!$A$1:$BK$2501, 2111, MATCH("Yr1Shock", Simulations!$A$1:$BK$1, 0))</f>
        <v>3.9848239475311659E-2</v>
      </c>
    </row>
    <row r="2112" spans="1:5" x14ac:dyDescent="0.3">
      <c r="A2112" s="2">
        <f ca="1">INDEX(Simulations!$A$1:$BK$2501, 2112, MATCH("PurchaseMultiple", Simulations!$A$1:$BK$1, 0))</f>
        <v>6.9398681735520285</v>
      </c>
      <c r="B2112" s="2">
        <f ca="1">INDEX(Simulations!$A$1:$BK$2501, 2112, MATCH("ExitMultiple", Simulations!$A$1:$BK$1, 0))</f>
        <v>7.4850789969585723</v>
      </c>
      <c r="C2112" s="2">
        <f ca="1">INDEX(Simulations!$A$1:$BK$2501, 2112, MATCH("RevCAGR", Simulations!$A$1:$BK$1, 0))</f>
        <v>4.1323163207352381E-2</v>
      </c>
      <c r="D2112" s="2">
        <f ca="1">INDEX(Simulations!$A$1:$BK$2501, 2112, MATCH("SynMargin", Simulations!$A$1:$BK$1, 0))</f>
        <v>1.3470612749313771E-2</v>
      </c>
      <c r="E2112" s="2">
        <f ca="1">INDEX(Simulations!$A$1:$BK$2501, 2112, MATCH("Yr1Shock", Simulations!$A$1:$BK$1, 0))</f>
        <v>1.536936374864544E-3</v>
      </c>
    </row>
    <row r="2113" spans="1:5" x14ac:dyDescent="0.3">
      <c r="A2113" s="2">
        <f ca="1">INDEX(Simulations!$A$1:$BK$2501, 2113, MATCH("PurchaseMultiple", Simulations!$A$1:$BK$1, 0))</f>
        <v>6.7810918221885563</v>
      </c>
      <c r="B2113" s="2">
        <f ca="1">INDEX(Simulations!$A$1:$BK$2501, 2113, MATCH("ExitMultiple", Simulations!$A$1:$BK$1, 0))</f>
        <v>7.3338776458461687</v>
      </c>
      <c r="C2113" s="2">
        <f ca="1">INDEX(Simulations!$A$1:$BK$2501, 2113, MATCH("RevCAGR", Simulations!$A$1:$BK$1, 0))</f>
        <v>4.4012838763410389E-2</v>
      </c>
      <c r="D2113" s="2">
        <f ca="1">INDEX(Simulations!$A$1:$BK$2501, 2113, MATCH("SynMargin", Simulations!$A$1:$BK$1, 0))</f>
        <v>1.3945405064351137E-2</v>
      </c>
      <c r="E2113" s="2">
        <f ca="1">INDEX(Simulations!$A$1:$BK$2501, 2113, MATCH("Yr1Shock", Simulations!$A$1:$BK$1, 0))</f>
        <v>-2.3157390121060152E-3</v>
      </c>
    </row>
    <row r="2114" spans="1:5" x14ac:dyDescent="0.3">
      <c r="A2114" s="2">
        <f ca="1">INDEX(Simulations!$A$1:$BK$2501, 2114, MATCH("PurchaseMultiple", Simulations!$A$1:$BK$1, 0))</f>
        <v>7.1623286642649928</v>
      </c>
      <c r="B2114" s="2">
        <f ca="1">INDEX(Simulations!$A$1:$BK$2501, 2114, MATCH("ExitMultiple", Simulations!$A$1:$BK$1, 0))</f>
        <v>8.1662262563856611</v>
      </c>
      <c r="C2114" s="2">
        <f ca="1">INDEX(Simulations!$A$1:$BK$2501, 2114, MATCH("RevCAGR", Simulations!$A$1:$BK$1, 0))</f>
        <v>-3.9567095203064118E-3</v>
      </c>
      <c r="D2114" s="2">
        <f ca="1">INDEX(Simulations!$A$1:$BK$2501, 2114, MATCH("SynMargin", Simulations!$A$1:$BK$1, 0))</f>
        <v>5.6036444391209927E-3</v>
      </c>
      <c r="E2114" s="2">
        <f ca="1">INDEX(Simulations!$A$1:$BK$2501, 2114, MATCH("Yr1Shock", Simulations!$A$1:$BK$1, 0))</f>
        <v>-1.9400414255397371E-2</v>
      </c>
    </row>
    <row r="2115" spans="1:5" x14ac:dyDescent="0.3">
      <c r="A2115" s="2">
        <f ca="1">INDEX(Simulations!$A$1:$BK$2501, 2115, MATCH("PurchaseMultiple", Simulations!$A$1:$BK$1, 0))</f>
        <v>7.8047802076201362</v>
      </c>
      <c r="B2115" s="2">
        <f ca="1">INDEX(Simulations!$A$1:$BK$2501, 2115, MATCH("ExitMultiple", Simulations!$A$1:$BK$1, 0))</f>
        <v>8.2054845960870413</v>
      </c>
      <c r="C2115" s="2">
        <f ca="1">INDEX(Simulations!$A$1:$BK$2501, 2115, MATCH("RevCAGR", Simulations!$A$1:$BK$1, 0))</f>
        <v>5.8312103597818549E-2</v>
      </c>
      <c r="D2115" s="2">
        <f ca="1">INDEX(Simulations!$A$1:$BK$2501, 2115, MATCH("SynMargin", Simulations!$A$1:$BK$1, 0))</f>
        <v>1.2620854359508913E-2</v>
      </c>
      <c r="E2115" s="2">
        <f ca="1">INDEX(Simulations!$A$1:$BK$2501, 2115, MATCH("Yr1Shock", Simulations!$A$1:$BK$1, 0))</f>
        <v>-3.0121704222938344E-2</v>
      </c>
    </row>
    <row r="2116" spans="1:5" x14ac:dyDescent="0.3">
      <c r="A2116" s="2">
        <f ca="1">INDEX(Simulations!$A$1:$BK$2501, 2116, MATCH("PurchaseMultiple", Simulations!$A$1:$BK$1, 0))</f>
        <v>7.0084806103615716</v>
      </c>
      <c r="B2116" s="2">
        <f ca="1">INDEX(Simulations!$A$1:$BK$2501, 2116, MATCH("ExitMultiple", Simulations!$A$1:$BK$1, 0))</f>
        <v>6.9128489057992857</v>
      </c>
      <c r="C2116" s="2">
        <f ca="1">INDEX(Simulations!$A$1:$BK$2501, 2116, MATCH("RevCAGR", Simulations!$A$1:$BK$1, 0))</f>
        <v>8.2516022480951939E-3</v>
      </c>
      <c r="D2116" s="2">
        <f ca="1">INDEX(Simulations!$A$1:$BK$2501, 2116, MATCH("SynMargin", Simulations!$A$1:$BK$1, 0))</f>
        <v>8.059597773502028E-3</v>
      </c>
      <c r="E2116" s="2">
        <f ca="1">INDEX(Simulations!$A$1:$BK$2501, 2116, MATCH("Yr1Shock", Simulations!$A$1:$BK$1, 0))</f>
        <v>1.2896180378543067E-2</v>
      </c>
    </row>
    <row r="2117" spans="1:5" x14ac:dyDescent="0.3">
      <c r="A2117" s="2">
        <f ca="1">INDEX(Simulations!$A$1:$BK$2501, 2117, MATCH("PurchaseMultiple", Simulations!$A$1:$BK$1, 0))</f>
        <v>7.2985132532087009</v>
      </c>
      <c r="B2117" s="2">
        <f ca="1">INDEX(Simulations!$A$1:$BK$2501, 2117, MATCH("ExitMultiple", Simulations!$A$1:$BK$1, 0))</f>
        <v>7.5516380111139805</v>
      </c>
      <c r="C2117" s="2">
        <f ca="1">INDEX(Simulations!$A$1:$BK$2501, 2117, MATCH("RevCAGR", Simulations!$A$1:$BK$1, 0))</f>
        <v>0.10315948785390319</v>
      </c>
      <c r="D2117" s="2">
        <f ca="1">INDEX(Simulations!$A$1:$BK$2501, 2117, MATCH("SynMargin", Simulations!$A$1:$BK$1, 0))</f>
        <v>1.1866316676558237E-2</v>
      </c>
      <c r="E2117" s="2">
        <f ca="1">INDEX(Simulations!$A$1:$BK$2501, 2117, MATCH("Yr1Shock", Simulations!$A$1:$BK$1, 0))</f>
        <v>-1.6673501213555639E-2</v>
      </c>
    </row>
    <row r="2118" spans="1:5" x14ac:dyDescent="0.3">
      <c r="A2118" s="2">
        <f ca="1">INDEX(Simulations!$A$1:$BK$2501, 2118, MATCH("PurchaseMultiple", Simulations!$A$1:$BK$1, 0))</f>
        <v>6.801633021131364</v>
      </c>
      <c r="B2118" s="2">
        <f ca="1">INDEX(Simulations!$A$1:$BK$2501, 2118, MATCH("ExitMultiple", Simulations!$A$1:$BK$1, 0))</f>
        <v>7.0435996414179227</v>
      </c>
      <c r="C2118" s="2">
        <f ca="1">INDEX(Simulations!$A$1:$BK$2501, 2118, MATCH("RevCAGR", Simulations!$A$1:$BK$1, 0))</f>
        <v>4.3311729707228019E-3</v>
      </c>
      <c r="D2118" s="2">
        <f ca="1">INDEX(Simulations!$A$1:$BK$2501, 2118, MATCH("SynMargin", Simulations!$A$1:$BK$1, 0))</f>
        <v>9.0236426717965144E-3</v>
      </c>
      <c r="E2118" s="2">
        <f ca="1">INDEX(Simulations!$A$1:$BK$2501, 2118, MATCH("Yr1Shock", Simulations!$A$1:$BK$1, 0))</f>
        <v>3.3835415303094446E-2</v>
      </c>
    </row>
    <row r="2119" spans="1:5" x14ac:dyDescent="0.3">
      <c r="A2119" s="2">
        <f ca="1">INDEX(Simulations!$A$1:$BK$2501, 2119, MATCH("PurchaseMultiple", Simulations!$A$1:$BK$1, 0))</f>
        <v>6.8926014944138805</v>
      </c>
      <c r="B2119" s="2">
        <f ca="1">INDEX(Simulations!$A$1:$BK$2501, 2119, MATCH("ExitMultiple", Simulations!$A$1:$BK$1, 0))</f>
        <v>7.2732292575819901</v>
      </c>
      <c r="C2119" s="2">
        <f ca="1">INDEX(Simulations!$A$1:$BK$2501, 2119, MATCH("RevCAGR", Simulations!$A$1:$BK$1, 0))</f>
        <v>8.2782146140421634E-2</v>
      </c>
      <c r="D2119" s="2">
        <f ca="1">INDEX(Simulations!$A$1:$BK$2501, 2119, MATCH("SynMargin", Simulations!$A$1:$BK$1, 0))</f>
        <v>8.6281395181329931E-3</v>
      </c>
      <c r="E2119" s="2">
        <f ca="1">INDEX(Simulations!$A$1:$BK$2501, 2119, MATCH("Yr1Shock", Simulations!$A$1:$BK$1, 0))</f>
        <v>-4.3939657542614252E-2</v>
      </c>
    </row>
    <row r="2120" spans="1:5" x14ac:dyDescent="0.3">
      <c r="A2120" s="2">
        <f ca="1">INDEX(Simulations!$A$1:$BK$2501, 2120, MATCH("PurchaseMultiple", Simulations!$A$1:$BK$1, 0))</f>
        <v>7.0320699197874612</v>
      </c>
      <c r="B2120" s="2">
        <f ca="1">INDEX(Simulations!$A$1:$BK$2501, 2120, MATCH("ExitMultiple", Simulations!$A$1:$BK$1, 0))</f>
        <v>7.0998229807184137</v>
      </c>
      <c r="C2120" s="2">
        <f ca="1">INDEX(Simulations!$A$1:$BK$2501, 2120, MATCH("RevCAGR", Simulations!$A$1:$BK$1, 0))</f>
        <v>5.2985293480818305E-3</v>
      </c>
      <c r="D2120" s="2">
        <f ca="1">INDEX(Simulations!$A$1:$BK$2501, 2120, MATCH("SynMargin", Simulations!$A$1:$BK$1, 0))</f>
        <v>1.1977204123844523E-2</v>
      </c>
      <c r="E2120" s="2">
        <f ca="1">INDEX(Simulations!$A$1:$BK$2501, 2120, MATCH("Yr1Shock", Simulations!$A$1:$BK$1, 0))</f>
        <v>-1.1250989895138933E-2</v>
      </c>
    </row>
    <row r="2121" spans="1:5" x14ac:dyDescent="0.3">
      <c r="A2121" s="2">
        <f ca="1">INDEX(Simulations!$A$1:$BK$2501, 2121, MATCH("PurchaseMultiple", Simulations!$A$1:$BK$1, 0))</f>
        <v>7.7364772476866488</v>
      </c>
      <c r="B2121" s="2">
        <f ca="1">INDEX(Simulations!$A$1:$BK$2501, 2121, MATCH("ExitMultiple", Simulations!$A$1:$BK$1, 0))</f>
        <v>6.7127518444448357</v>
      </c>
      <c r="C2121" s="2">
        <f ca="1">INDEX(Simulations!$A$1:$BK$2501, 2121, MATCH("RevCAGR", Simulations!$A$1:$BK$1, 0))</f>
        <v>9.8623028346657898E-2</v>
      </c>
      <c r="D2121" s="2">
        <f ca="1">INDEX(Simulations!$A$1:$BK$2501, 2121, MATCH("SynMargin", Simulations!$A$1:$BK$1, 0))</f>
        <v>9.8228362223749949E-3</v>
      </c>
      <c r="E2121" s="2">
        <f ca="1">INDEX(Simulations!$A$1:$BK$2501, 2121, MATCH("Yr1Shock", Simulations!$A$1:$BK$1, 0))</f>
        <v>-9.1554766765251823E-3</v>
      </c>
    </row>
    <row r="2122" spans="1:5" x14ac:dyDescent="0.3">
      <c r="A2122" s="2">
        <f ca="1">INDEX(Simulations!$A$1:$BK$2501, 2122, MATCH("PurchaseMultiple", Simulations!$A$1:$BK$1, 0))</f>
        <v>6.4549769225115892</v>
      </c>
      <c r="B2122" s="2">
        <f ca="1">INDEX(Simulations!$A$1:$BK$2501, 2122, MATCH("ExitMultiple", Simulations!$A$1:$BK$1, 0))</f>
        <v>7.0431519816519073</v>
      </c>
      <c r="C2122" s="2">
        <f ca="1">INDEX(Simulations!$A$1:$BK$2501, 2122, MATCH("RevCAGR", Simulations!$A$1:$BK$1, 0))</f>
        <v>8.9088266875046535E-2</v>
      </c>
      <c r="D2122" s="2">
        <f ca="1">INDEX(Simulations!$A$1:$BK$2501, 2122, MATCH("SynMargin", Simulations!$A$1:$BK$1, 0))</f>
        <v>8.2612659517007914E-3</v>
      </c>
      <c r="E2122" s="2">
        <f ca="1">INDEX(Simulations!$A$1:$BK$2501, 2122, MATCH("Yr1Shock", Simulations!$A$1:$BK$1, 0))</f>
        <v>1.3703669929341416E-2</v>
      </c>
    </row>
    <row r="2123" spans="1:5" x14ac:dyDescent="0.3">
      <c r="A2123" s="2">
        <f ca="1">INDEX(Simulations!$A$1:$BK$2501, 2123, MATCH("PurchaseMultiple", Simulations!$A$1:$BK$1, 0))</f>
        <v>6.969869698722766</v>
      </c>
      <c r="B2123" s="2">
        <f ca="1">INDEX(Simulations!$A$1:$BK$2501, 2123, MATCH("ExitMultiple", Simulations!$A$1:$BK$1, 0))</f>
        <v>6.8876239943983171</v>
      </c>
      <c r="C2123" s="2">
        <f ca="1">INDEX(Simulations!$A$1:$BK$2501, 2123, MATCH("RevCAGR", Simulations!$A$1:$BK$1, 0))</f>
        <v>0.12</v>
      </c>
      <c r="D2123" s="2">
        <f ca="1">INDEX(Simulations!$A$1:$BK$2501, 2123, MATCH("SynMargin", Simulations!$A$1:$BK$1, 0))</f>
        <v>1.133562161364687E-2</v>
      </c>
      <c r="E2123" s="2">
        <f ca="1">INDEX(Simulations!$A$1:$BK$2501, 2123, MATCH("Yr1Shock", Simulations!$A$1:$BK$1, 0))</f>
        <v>2.4041956078654846E-2</v>
      </c>
    </row>
    <row r="2124" spans="1:5" x14ac:dyDescent="0.3">
      <c r="A2124" s="2">
        <f ca="1">INDEX(Simulations!$A$1:$BK$2501, 2124, MATCH("PurchaseMultiple", Simulations!$A$1:$BK$1, 0))</f>
        <v>6.965971572448014</v>
      </c>
      <c r="B2124" s="2">
        <f ca="1">INDEX(Simulations!$A$1:$BK$2501, 2124, MATCH("ExitMultiple", Simulations!$A$1:$BK$1, 0))</f>
        <v>7.6740757042974259</v>
      </c>
      <c r="C2124" s="2">
        <f ca="1">INDEX(Simulations!$A$1:$BK$2501, 2124, MATCH("RevCAGR", Simulations!$A$1:$BK$1, 0))</f>
        <v>-1.9088887081239583E-2</v>
      </c>
      <c r="D2124" s="2">
        <f ca="1">INDEX(Simulations!$A$1:$BK$2501, 2124, MATCH("SynMargin", Simulations!$A$1:$BK$1, 0))</f>
        <v>9.8342865555847512E-3</v>
      </c>
      <c r="E2124" s="2">
        <f ca="1">INDEX(Simulations!$A$1:$BK$2501, 2124, MATCH("Yr1Shock", Simulations!$A$1:$BK$1, 0))</f>
        <v>6.4981980191048034E-4</v>
      </c>
    </row>
    <row r="2125" spans="1:5" x14ac:dyDescent="0.3">
      <c r="A2125" s="2">
        <f ca="1">INDEX(Simulations!$A$1:$BK$2501, 2125, MATCH("PurchaseMultiple", Simulations!$A$1:$BK$1, 0))</f>
        <v>7.1815828354709073</v>
      </c>
      <c r="B2125" s="2">
        <f ca="1">INDEX(Simulations!$A$1:$BK$2501, 2125, MATCH("ExitMultiple", Simulations!$A$1:$BK$1, 0))</f>
        <v>6.7673708852263958</v>
      </c>
      <c r="C2125" s="2">
        <f ca="1">INDEX(Simulations!$A$1:$BK$2501, 2125, MATCH("RevCAGR", Simulations!$A$1:$BK$1, 0))</f>
        <v>2.9836318912734017E-2</v>
      </c>
      <c r="D2125" s="2">
        <f ca="1">INDEX(Simulations!$A$1:$BK$2501, 2125, MATCH("SynMargin", Simulations!$A$1:$BK$1, 0))</f>
        <v>6.9846490790953656E-3</v>
      </c>
      <c r="E2125" s="2">
        <f ca="1">INDEX(Simulations!$A$1:$BK$2501, 2125, MATCH("Yr1Shock", Simulations!$A$1:$BK$1, 0))</f>
        <v>1.2841194729382988E-2</v>
      </c>
    </row>
    <row r="2126" spans="1:5" x14ac:dyDescent="0.3">
      <c r="A2126" s="2">
        <f ca="1">INDEX(Simulations!$A$1:$BK$2501, 2126, MATCH("PurchaseMultiple", Simulations!$A$1:$BK$1, 0))</f>
        <v>6.3740120699273266</v>
      </c>
      <c r="B2126" s="2">
        <f ca="1">INDEX(Simulations!$A$1:$BK$2501, 2126, MATCH("ExitMultiple", Simulations!$A$1:$BK$1, 0))</f>
        <v>7.689671440917496</v>
      </c>
      <c r="C2126" s="2">
        <f ca="1">INDEX(Simulations!$A$1:$BK$2501, 2126, MATCH("RevCAGR", Simulations!$A$1:$BK$1, 0))</f>
        <v>6.4140080813152714E-2</v>
      </c>
      <c r="D2126" s="2">
        <f ca="1">INDEX(Simulations!$A$1:$BK$2501, 2126, MATCH("SynMargin", Simulations!$A$1:$BK$1, 0))</f>
        <v>6.774352490107759E-3</v>
      </c>
      <c r="E2126" s="2">
        <f ca="1">INDEX(Simulations!$A$1:$BK$2501, 2126, MATCH("Yr1Shock", Simulations!$A$1:$BK$1, 0))</f>
        <v>-6.473933852279283E-3</v>
      </c>
    </row>
    <row r="2127" spans="1:5" x14ac:dyDescent="0.3">
      <c r="A2127" s="2">
        <f ca="1">INDEX(Simulations!$A$1:$BK$2501, 2127, MATCH("PurchaseMultiple", Simulations!$A$1:$BK$1, 0))</f>
        <v>7.163963817197418</v>
      </c>
      <c r="B2127" s="2">
        <f ca="1">INDEX(Simulations!$A$1:$BK$2501, 2127, MATCH("ExitMultiple", Simulations!$A$1:$BK$1, 0))</f>
        <v>8.0944372906627198</v>
      </c>
      <c r="C2127" s="2">
        <f ca="1">INDEX(Simulations!$A$1:$BK$2501, 2127, MATCH("RevCAGR", Simulations!$A$1:$BK$1, 0))</f>
        <v>-2.2896686378170023E-3</v>
      </c>
      <c r="D2127" s="2">
        <f ca="1">INDEX(Simulations!$A$1:$BK$2501, 2127, MATCH("SynMargin", Simulations!$A$1:$BK$1, 0))</f>
        <v>6.4514850329966868E-3</v>
      </c>
      <c r="E2127" s="2">
        <f ca="1">INDEX(Simulations!$A$1:$BK$2501, 2127, MATCH("Yr1Shock", Simulations!$A$1:$BK$1, 0))</f>
        <v>-2.351415411941693E-2</v>
      </c>
    </row>
    <row r="2128" spans="1:5" x14ac:dyDescent="0.3">
      <c r="A2128" s="2">
        <f ca="1">INDEX(Simulations!$A$1:$BK$2501, 2128, MATCH("PurchaseMultiple", Simulations!$A$1:$BK$1, 0))</f>
        <v>7.3368488318649776</v>
      </c>
      <c r="B2128" s="2">
        <f ca="1">INDEX(Simulations!$A$1:$BK$2501, 2128, MATCH("ExitMultiple", Simulations!$A$1:$BK$1, 0))</f>
        <v>7.7536596972707752</v>
      </c>
      <c r="C2128" s="2">
        <f ca="1">INDEX(Simulations!$A$1:$BK$2501, 2128, MATCH("RevCAGR", Simulations!$A$1:$BK$1, 0))</f>
        <v>7.3179985844761486E-2</v>
      </c>
      <c r="D2128" s="2">
        <f ca="1">INDEX(Simulations!$A$1:$BK$2501, 2128, MATCH("SynMargin", Simulations!$A$1:$BK$1, 0))</f>
        <v>6.3421121531412553E-3</v>
      </c>
      <c r="E2128" s="2">
        <f ca="1">INDEX(Simulations!$A$1:$BK$2501, 2128, MATCH("Yr1Shock", Simulations!$A$1:$BK$1, 0))</f>
        <v>3.8970201293833774E-3</v>
      </c>
    </row>
    <row r="2129" spans="1:5" x14ac:dyDescent="0.3">
      <c r="A2129" s="2">
        <f ca="1">INDEX(Simulations!$A$1:$BK$2501, 2129, MATCH("PurchaseMultiple", Simulations!$A$1:$BK$1, 0))</f>
        <v>6.7489395638160925</v>
      </c>
      <c r="B2129" s="2">
        <f ca="1">INDEX(Simulations!$A$1:$BK$2501, 2129, MATCH("ExitMultiple", Simulations!$A$1:$BK$1, 0))</f>
        <v>7.5932894715160399</v>
      </c>
      <c r="C2129" s="2">
        <f ca="1">INDEX(Simulations!$A$1:$BK$2501, 2129, MATCH("RevCAGR", Simulations!$A$1:$BK$1, 0))</f>
        <v>3.0388931208685539E-2</v>
      </c>
      <c r="D2129" s="2">
        <f ca="1">INDEX(Simulations!$A$1:$BK$2501, 2129, MATCH("SynMargin", Simulations!$A$1:$BK$1, 0))</f>
        <v>1.3613924935800523E-2</v>
      </c>
      <c r="E2129" s="2">
        <f ca="1">INDEX(Simulations!$A$1:$BK$2501, 2129, MATCH("Yr1Shock", Simulations!$A$1:$BK$1, 0))</f>
        <v>-1.2543597760330887E-3</v>
      </c>
    </row>
    <row r="2130" spans="1:5" x14ac:dyDescent="0.3">
      <c r="A2130" s="2">
        <f ca="1">INDEX(Simulations!$A$1:$BK$2501, 2130, MATCH("PurchaseMultiple", Simulations!$A$1:$BK$1, 0))</f>
        <v>7.861070187893576</v>
      </c>
      <c r="B2130" s="2">
        <f ca="1">INDEX(Simulations!$A$1:$BK$2501, 2130, MATCH("ExitMultiple", Simulations!$A$1:$BK$1, 0))</f>
        <v>7.5781800007726554</v>
      </c>
      <c r="C2130" s="2">
        <f ca="1">INDEX(Simulations!$A$1:$BK$2501, 2130, MATCH("RevCAGR", Simulations!$A$1:$BK$1, 0))</f>
        <v>6.6282329433294082E-2</v>
      </c>
      <c r="D2130" s="2">
        <f ca="1">INDEX(Simulations!$A$1:$BK$2501, 2130, MATCH("SynMargin", Simulations!$A$1:$BK$1, 0))</f>
        <v>7.076401548403808E-3</v>
      </c>
      <c r="E2130" s="2">
        <f ca="1">INDEX(Simulations!$A$1:$BK$2501, 2130, MATCH("Yr1Shock", Simulations!$A$1:$BK$1, 0))</f>
        <v>2.2423095535338021E-2</v>
      </c>
    </row>
    <row r="2131" spans="1:5" x14ac:dyDescent="0.3">
      <c r="A2131" s="2">
        <f ca="1">INDEX(Simulations!$A$1:$BK$2501, 2131, MATCH("PurchaseMultiple", Simulations!$A$1:$BK$1, 0))</f>
        <v>7.3980992624207609</v>
      </c>
      <c r="B2131" s="2">
        <f ca="1">INDEX(Simulations!$A$1:$BK$2501, 2131, MATCH("ExitMultiple", Simulations!$A$1:$BK$1, 0))</f>
        <v>6.7350975361859815</v>
      </c>
      <c r="C2131" s="2">
        <f ca="1">INDEX(Simulations!$A$1:$BK$2501, 2131, MATCH("RevCAGR", Simulations!$A$1:$BK$1, 0))</f>
        <v>1.0406170042164761E-2</v>
      </c>
      <c r="D2131" s="2">
        <f ca="1">INDEX(Simulations!$A$1:$BK$2501, 2131, MATCH("SynMargin", Simulations!$A$1:$BK$1, 0))</f>
        <v>1.4004347807911655E-2</v>
      </c>
      <c r="E2131" s="2">
        <f ca="1">INDEX(Simulations!$A$1:$BK$2501, 2131, MATCH("Yr1Shock", Simulations!$A$1:$BK$1, 0))</f>
        <v>2.4407163017546699E-2</v>
      </c>
    </row>
    <row r="2132" spans="1:5" x14ac:dyDescent="0.3">
      <c r="A2132" s="2">
        <f ca="1">INDEX(Simulations!$A$1:$BK$2501, 2132, MATCH("PurchaseMultiple", Simulations!$A$1:$BK$1, 0))</f>
        <v>6.9623649519506969</v>
      </c>
      <c r="B2132" s="2">
        <f ca="1">INDEX(Simulations!$A$1:$BK$2501, 2132, MATCH("ExitMultiple", Simulations!$A$1:$BK$1, 0))</f>
        <v>7.1013859224691336</v>
      </c>
      <c r="C2132" s="2">
        <f ca="1">INDEX(Simulations!$A$1:$BK$2501, 2132, MATCH("RevCAGR", Simulations!$A$1:$BK$1, 0))</f>
        <v>9.6117533042448591E-3</v>
      </c>
      <c r="D2132" s="2">
        <f ca="1">INDEX(Simulations!$A$1:$BK$2501, 2132, MATCH("SynMargin", Simulations!$A$1:$BK$1, 0))</f>
        <v>1.1803800420718035E-2</v>
      </c>
      <c r="E2132" s="2">
        <f ca="1">INDEX(Simulations!$A$1:$BK$2501, 2132, MATCH("Yr1Shock", Simulations!$A$1:$BK$1, 0))</f>
        <v>-7.7981591988705162E-4</v>
      </c>
    </row>
    <row r="2133" spans="1:5" x14ac:dyDescent="0.3">
      <c r="A2133" s="2">
        <f ca="1">INDEX(Simulations!$A$1:$BK$2501, 2133, MATCH("PurchaseMultiple", Simulations!$A$1:$BK$1, 0))</f>
        <v>6.7049267104289569</v>
      </c>
      <c r="B2133" s="2">
        <f ca="1">INDEX(Simulations!$A$1:$BK$2501, 2133, MATCH("ExitMultiple", Simulations!$A$1:$BK$1, 0))</f>
        <v>7.9670776133662802</v>
      </c>
      <c r="C2133" s="2">
        <f ca="1">INDEX(Simulations!$A$1:$BK$2501, 2133, MATCH("RevCAGR", Simulations!$A$1:$BK$1, 0))</f>
        <v>2.973624684607399E-2</v>
      </c>
      <c r="D2133" s="2">
        <f ca="1">INDEX(Simulations!$A$1:$BK$2501, 2133, MATCH("SynMargin", Simulations!$A$1:$BK$1, 0))</f>
        <v>9.9426208312400222E-3</v>
      </c>
      <c r="E2133" s="2">
        <f ca="1">INDEX(Simulations!$A$1:$BK$2501, 2133, MATCH("Yr1Shock", Simulations!$A$1:$BK$1, 0))</f>
        <v>-2.6709236571527042E-3</v>
      </c>
    </row>
    <row r="2134" spans="1:5" x14ac:dyDescent="0.3">
      <c r="A2134" s="2">
        <f ca="1">INDEX(Simulations!$A$1:$BK$2501, 2134, MATCH("PurchaseMultiple", Simulations!$A$1:$BK$1, 0))</f>
        <v>7.2953074135090343</v>
      </c>
      <c r="B2134" s="2">
        <f ca="1">INDEX(Simulations!$A$1:$BK$2501, 2134, MATCH("ExitMultiple", Simulations!$A$1:$BK$1, 0))</f>
        <v>8.2705149617824123</v>
      </c>
      <c r="C2134" s="2">
        <f ca="1">INDEX(Simulations!$A$1:$BK$2501, 2134, MATCH("RevCAGR", Simulations!$A$1:$BK$1, 0))</f>
        <v>5.811418119714705E-2</v>
      </c>
      <c r="D2134" s="2">
        <f ca="1">INDEX(Simulations!$A$1:$BK$2501, 2134, MATCH("SynMargin", Simulations!$A$1:$BK$1, 0))</f>
        <v>1.3105042726352803E-2</v>
      </c>
      <c r="E2134" s="2">
        <f ca="1">INDEX(Simulations!$A$1:$BK$2501, 2134, MATCH("Yr1Shock", Simulations!$A$1:$BK$1, 0))</f>
        <v>3.6892544210953566E-2</v>
      </c>
    </row>
    <row r="2135" spans="1:5" x14ac:dyDescent="0.3">
      <c r="A2135" s="2">
        <f ca="1">INDEX(Simulations!$A$1:$BK$2501, 2135, MATCH("PurchaseMultiple", Simulations!$A$1:$BK$1, 0))</f>
        <v>6.8301982780654376</v>
      </c>
      <c r="B2135" s="2">
        <f ca="1">INDEX(Simulations!$A$1:$BK$2501, 2135, MATCH("ExitMultiple", Simulations!$A$1:$BK$1, 0))</f>
        <v>7.0791560858904692</v>
      </c>
      <c r="C2135" s="2">
        <f ca="1">INDEX(Simulations!$A$1:$BK$2501, 2135, MATCH("RevCAGR", Simulations!$A$1:$BK$1, 0))</f>
        <v>2.9420747169333392E-2</v>
      </c>
      <c r="D2135" s="2">
        <f ca="1">INDEX(Simulations!$A$1:$BK$2501, 2135, MATCH("SynMargin", Simulations!$A$1:$BK$1, 0))</f>
        <v>8.3989599433956941E-3</v>
      </c>
      <c r="E2135" s="2">
        <f ca="1">INDEX(Simulations!$A$1:$BK$2501, 2135, MATCH("Yr1Shock", Simulations!$A$1:$BK$1, 0))</f>
        <v>7.1898811906082212E-4</v>
      </c>
    </row>
    <row r="2136" spans="1:5" x14ac:dyDescent="0.3">
      <c r="A2136" s="2">
        <f ca="1">INDEX(Simulations!$A$1:$BK$2501, 2136, MATCH("PurchaseMultiple", Simulations!$A$1:$BK$1, 0))</f>
        <v>6.9074674984975823</v>
      </c>
      <c r="B2136" s="2">
        <f ca="1">INDEX(Simulations!$A$1:$BK$2501, 2136, MATCH("ExitMultiple", Simulations!$A$1:$BK$1, 0))</f>
        <v>7.2092615819193178</v>
      </c>
      <c r="C2136" s="2">
        <f ca="1">INDEX(Simulations!$A$1:$BK$2501, 2136, MATCH("RevCAGR", Simulations!$A$1:$BK$1, 0))</f>
        <v>6.8587132008142787E-2</v>
      </c>
      <c r="D2136" s="2">
        <f ca="1">INDEX(Simulations!$A$1:$BK$2501, 2136, MATCH("SynMargin", Simulations!$A$1:$BK$1, 0))</f>
        <v>7.9332091581523489E-3</v>
      </c>
      <c r="E2136" s="2">
        <f ca="1">INDEX(Simulations!$A$1:$BK$2501, 2136, MATCH("Yr1Shock", Simulations!$A$1:$BK$1, 0))</f>
        <v>1.5964477924582637E-2</v>
      </c>
    </row>
    <row r="2137" spans="1:5" x14ac:dyDescent="0.3">
      <c r="A2137" s="2">
        <f ca="1">INDEX(Simulations!$A$1:$BK$2501, 2137, MATCH("PurchaseMultiple", Simulations!$A$1:$BK$1, 0))</f>
        <v>7.3384981924154316</v>
      </c>
      <c r="B2137" s="2">
        <f ca="1">INDEX(Simulations!$A$1:$BK$2501, 2137, MATCH("ExitMultiple", Simulations!$A$1:$BK$1, 0))</f>
        <v>7.7529135196241068</v>
      </c>
      <c r="C2137" s="2">
        <f ca="1">INDEX(Simulations!$A$1:$BK$2501, 2137, MATCH("RevCAGR", Simulations!$A$1:$BK$1, 0))</f>
        <v>5.1180147264842463E-2</v>
      </c>
      <c r="D2137" s="2">
        <f ca="1">INDEX(Simulations!$A$1:$BK$2501, 2137, MATCH("SynMargin", Simulations!$A$1:$BK$1, 0))</f>
        <v>1.1111242097796993E-2</v>
      </c>
      <c r="E2137" s="2">
        <f ca="1">INDEX(Simulations!$A$1:$BK$2501, 2137, MATCH("Yr1Shock", Simulations!$A$1:$BK$1, 0))</f>
        <v>1.5530347408673978E-3</v>
      </c>
    </row>
    <row r="2138" spans="1:5" x14ac:dyDescent="0.3">
      <c r="A2138" s="2">
        <f ca="1">INDEX(Simulations!$A$1:$BK$2501, 2138, MATCH("PurchaseMultiple", Simulations!$A$1:$BK$1, 0))</f>
        <v>7.4767631460833099</v>
      </c>
      <c r="B2138" s="2">
        <f ca="1">INDEX(Simulations!$A$1:$BK$2501, 2138, MATCH("ExitMultiple", Simulations!$A$1:$BK$1, 0))</f>
        <v>7.482265391070503</v>
      </c>
      <c r="C2138" s="2">
        <f ca="1">INDEX(Simulations!$A$1:$BK$2501, 2138, MATCH("RevCAGR", Simulations!$A$1:$BK$1, 0))</f>
        <v>8.7918870070174238E-2</v>
      </c>
      <c r="D2138" s="2">
        <f ca="1">INDEX(Simulations!$A$1:$BK$2501, 2138, MATCH("SynMargin", Simulations!$A$1:$BK$1, 0))</f>
        <v>1.2385313794032548E-2</v>
      </c>
      <c r="E2138" s="2">
        <f ca="1">INDEX(Simulations!$A$1:$BK$2501, 2138, MATCH("Yr1Shock", Simulations!$A$1:$BK$1, 0))</f>
        <v>-1.9107930158922332E-2</v>
      </c>
    </row>
    <row r="2139" spans="1:5" x14ac:dyDescent="0.3">
      <c r="A2139" s="2">
        <f ca="1">INDEX(Simulations!$A$1:$BK$2501, 2139, MATCH("PurchaseMultiple", Simulations!$A$1:$BK$1, 0))</f>
        <v>6.992932078302605</v>
      </c>
      <c r="B2139" s="2">
        <f ca="1">INDEX(Simulations!$A$1:$BK$2501, 2139, MATCH("ExitMultiple", Simulations!$A$1:$BK$1, 0))</f>
        <v>7.7658256945664581</v>
      </c>
      <c r="C2139" s="2">
        <f ca="1">INDEX(Simulations!$A$1:$BK$2501, 2139, MATCH("RevCAGR", Simulations!$A$1:$BK$1, 0))</f>
        <v>3.6014226784648551E-2</v>
      </c>
      <c r="D2139" s="2">
        <f ca="1">INDEX(Simulations!$A$1:$BK$2501, 2139, MATCH("SynMargin", Simulations!$A$1:$BK$1, 0))</f>
        <v>5.2749466495219752E-3</v>
      </c>
      <c r="E2139" s="2">
        <f ca="1">INDEX(Simulations!$A$1:$BK$2501, 2139, MATCH("Yr1Shock", Simulations!$A$1:$BK$1, 0))</f>
        <v>-2.2138492322222193E-3</v>
      </c>
    </row>
    <row r="2140" spans="1:5" x14ac:dyDescent="0.3">
      <c r="A2140" s="2">
        <f ca="1">INDEX(Simulations!$A$1:$BK$2501, 2140, MATCH("PurchaseMultiple", Simulations!$A$1:$BK$1, 0))</f>
        <v>7.5531729911599745</v>
      </c>
      <c r="B2140" s="2">
        <f ca="1">INDEX(Simulations!$A$1:$BK$2501, 2140, MATCH("ExitMultiple", Simulations!$A$1:$BK$1, 0))</f>
        <v>7.9883167996960172</v>
      </c>
      <c r="C2140" s="2">
        <f ca="1">INDEX(Simulations!$A$1:$BK$2501, 2140, MATCH("RevCAGR", Simulations!$A$1:$BK$1, 0))</f>
        <v>7.305655652410814E-2</v>
      </c>
      <c r="D2140" s="2">
        <f ca="1">INDEX(Simulations!$A$1:$BK$2501, 2140, MATCH("SynMargin", Simulations!$A$1:$BK$1, 0))</f>
        <v>1.3319607267011941E-2</v>
      </c>
      <c r="E2140" s="2">
        <f ca="1">INDEX(Simulations!$A$1:$BK$2501, 2140, MATCH("Yr1Shock", Simulations!$A$1:$BK$1, 0))</f>
        <v>-4.9495323123844151E-2</v>
      </c>
    </row>
    <row r="2141" spans="1:5" x14ac:dyDescent="0.3">
      <c r="A2141" s="2">
        <f ca="1">INDEX(Simulations!$A$1:$BK$2501, 2141, MATCH("PurchaseMultiple", Simulations!$A$1:$BK$1, 0))</f>
        <v>7.5750176302945409</v>
      </c>
      <c r="B2141" s="2">
        <f ca="1">INDEX(Simulations!$A$1:$BK$2501, 2141, MATCH("ExitMultiple", Simulations!$A$1:$BK$1, 0))</f>
        <v>7.8797679218078951</v>
      </c>
      <c r="C2141" s="2">
        <f ca="1">INDEX(Simulations!$A$1:$BK$2501, 2141, MATCH("RevCAGR", Simulations!$A$1:$BK$1, 0))</f>
        <v>2.0887473034710592E-2</v>
      </c>
      <c r="D2141" s="2">
        <f ca="1">INDEX(Simulations!$A$1:$BK$2501, 2141, MATCH("SynMargin", Simulations!$A$1:$BK$1, 0))</f>
        <v>1.0266562869495554E-2</v>
      </c>
      <c r="E2141" s="2">
        <f ca="1">INDEX(Simulations!$A$1:$BK$2501, 2141, MATCH("Yr1Shock", Simulations!$A$1:$BK$1, 0))</f>
        <v>5.3927361558584871E-3</v>
      </c>
    </row>
    <row r="2142" spans="1:5" x14ac:dyDescent="0.3">
      <c r="A2142" s="2">
        <f ca="1">INDEX(Simulations!$A$1:$BK$2501, 2142, MATCH("PurchaseMultiple", Simulations!$A$1:$BK$1, 0))</f>
        <v>6.1831638074027371</v>
      </c>
      <c r="B2142" s="2">
        <f ca="1">INDEX(Simulations!$A$1:$BK$2501, 2142, MATCH("ExitMultiple", Simulations!$A$1:$BK$1, 0))</f>
        <v>7.5419147974022955</v>
      </c>
      <c r="C2142" s="2">
        <f ca="1">INDEX(Simulations!$A$1:$BK$2501, 2142, MATCH("RevCAGR", Simulations!$A$1:$BK$1, 0))</f>
        <v>4.2028182225298805E-3</v>
      </c>
      <c r="D2142" s="2">
        <f ca="1">INDEX(Simulations!$A$1:$BK$2501, 2142, MATCH("SynMargin", Simulations!$A$1:$BK$1, 0))</f>
        <v>1.3207886406312196E-2</v>
      </c>
      <c r="E2142" s="2">
        <f ca="1">INDEX(Simulations!$A$1:$BK$2501, 2142, MATCH("Yr1Shock", Simulations!$A$1:$BK$1, 0))</f>
        <v>2.0642564693361641E-2</v>
      </c>
    </row>
    <row r="2143" spans="1:5" x14ac:dyDescent="0.3">
      <c r="A2143" s="2">
        <f ca="1">INDEX(Simulations!$A$1:$BK$2501, 2143, MATCH("PurchaseMultiple", Simulations!$A$1:$BK$1, 0))</f>
        <v>6.5210706924375748</v>
      </c>
      <c r="B2143" s="2">
        <f ca="1">INDEX(Simulations!$A$1:$BK$2501, 2143, MATCH("ExitMultiple", Simulations!$A$1:$BK$1, 0))</f>
        <v>7.2540187073414506</v>
      </c>
      <c r="C2143" s="2">
        <f ca="1">INDEX(Simulations!$A$1:$BK$2501, 2143, MATCH("RevCAGR", Simulations!$A$1:$BK$1, 0))</f>
        <v>3.8025709303400393E-2</v>
      </c>
      <c r="D2143" s="2">
        <f ca="1">INDEX(Simulations!$A$1:$BK$2501, 2143, MATCH("SynMargin", Simulations!$A$1:$BK$1, 0))</f>
        <v>1.8648412210599871E-3</v>
      </c>
      <c r="E2143" s="2">
        <f ca="1">INDEX(Simulations!$A$1:$BK$2501, 2143, MATCH("Yr1Shock", Simulations!$A$1:$BK$1, 0))</f>
        <v>-1.37364663744144E-2</v>
      </c>
    </row>
    <row r="2144" spans="1:5" x14ac:dyDescent="0.3">
      <c r="A2144" s="2">
        <f ca="1">INDEX(Simulations!$A$1:$BK$2501, 2144, MATCH("PurchaseMultiple", Simulations!$A$1:$BK$1, 0))</f>
        <v>6.8097204505312456</v>
      </c>
      <c r="B2144" s="2">
        <f ca="1">INDEX(Simulations!$A$1:$BK$2501, 2144, MATCH("ExitMultiple", Simulations!$A$1:$BK$1, 0))</f>
        <v>8.1695853537036562</v>
      </c>
      <c r="C2144" s="2">
        <f ca="1">INDEX(Simulations!$A$1:$BK$2501, 2144, MATCH("RevCAGR", Simulations!$A$1:$BK$1, 0))</f>
        <v>-5.5931445025648382E-3</v>
      </c>
      <c r="D2144" s="2">
        <f ca="1">INDEX(Simulations!$A$1:$BK$2501, 2144, MATCH("SynMargin", Simulations!$A$1:$BK$1, 0))</f>
        <v>1.1341870098073947E-2</v>
      </c>
      <c r="E2144" s="2">
        <f ca="1">INDEX(Simulations!$A$1:$BK$2501, 2144, MATCH("Yr1Shock", Simulations!$A$1:$BK$1, 0))</f>
        <v>3.0282679194024543E-2</v>
      </c>
    </row>
    <row r="2145" spans="1:5" x14ac:dyDescent="0.3">
      <c r="A2145" s="2">
        <f ca="1">INDEX(Simulations!$A$1:$BK$2501, 2145, MATCH("PurchaseMultiple", Simulations!$A$1:$BK$1, 0))</f>
        <v>6.8256308194049957</v>
      </c>
      <c r="B2145" s="2">
        <f ca="1">INDEX(Simulations!$A$1:$BK$2501, 2145, MATCH("ExitMultiple", Simulations!$A$1:$BK$1, 0))</f>
        <v>7.2954686891463503</v>
      </c>
      <c r="C2145" s="2">
        <f ca="1">INDEX(Simulations!$A$1:$BK$2501, 2145, MATCH("RevCAGR", Simulations!$A$1:$BK$1, 0))</f>
        <v>7.3643961576952396E-2</v>
      </c>
      <c r="D2145" s="2">
        <f ca="1">INDEX(Simulations!$A$1:$BK$2501, 2145, MATCH("SynMargin", Simulations!$A$1:$BK$1, 0))</f>
        <v>7.76178423459945E-3</v>
      </c>
      <c r="E2145" s="2">
        <f ca="1">INDEX(Simulations!$A$1:$BK$2501, 2145, MATCH("Yr1Shock", Simulations!$A$1:$BK$1, 0))</f>
        <v>-3.3342126962664573E-2</v>
      </c>
    </row>
    <row r="2146" spans="1:5" x14ac:dyDescent="0.3">
      <c r="A2146" s="2">
        <f ca="1">INDEX(Simulations!$A$1:$BK$2501, 2146, MATCH("PurchaseMultiple", Simulations!$A$1:$BK$1, 0))</f>
        <v>7.1728250186848177</v>
      </c>
      <c r="B2146" s="2">
        <f ca="1">INDEX(Simulations!$A$1:$BK$2501, 2146, MATCH("ExitMultiple", Simulations!$A$1:$BK$1, 0))</f>
        <v>8.0052487460855559</v>
      </c>
      <c r="C2146" s="2">
        <f ca="1">INDEX(Simulations!$A$1:$BK$2501, 2146, MATCH("RevCAGR", Simulations!$A$1:$BK$1, 0))</f>
        <v>3.994090624673291E-2</v>
      </c>
      <c r="D2146" s="2">
        <f ca="1">INDEX(Simulations!$A$1:$BK$2501, 2146, MATCH("SynMargin", Simulations!$A$1:$BK$1, 0))</f>
        <v>8.2022555396038133E-3</v>
      </c>
      <c r="E2146" s="2">
        <f ca="1">INDEX(Simulations!$A$1:$BK$2501, 2146, MATCH("Yr1Shock", Simulations!$A$1:$BK$1, 0))</f>
        <v>-1.8491568876910277E-2</v>
      </c>
    </row>
    <row r="2147" spans="1:5" x14ac:dyDescent="0.3">
      <c r="A2147" s="2">
        <f ca="1">INDEX(Simulations!$A$1:$BK$2501, 2147, MATCH("PurchaseMultiple", Simulations!$A$1:$BK$1, 0))</f>
        <v>6.5257276243633484</v>
      </c>
      <c r="B2147" s="2">
        <f ca="1">INDEX(Simulations!$A$1:$BK$2501, 2147, MATCH("ExitMultiple", Simulations!$A$1:$BK$1, 0))</f>
        <v>7.6311093419725387</v>
      </c>
      <c r="C2147" s="2">
        <f ca="1">INDEX(Simulations!$A$1:$BK$2501, 2147, MATCH("RevCAGR", Simulations!$A$1:$BK$1, 0))</f>
        <v>2.3965422148912431E-2</v>
      </c>
      <c r="D2147" s="2">
        <f ca="1">INDEX(Simulations!$A$1:$BK$2501, 2147, MATCH("SynMargin", Simulations!$A$1:$BK$1, 0))</f>
        <v>1.6461834997445766E-2</v>
      </c>
      <c r="E2147" s="2">
        <f ca="1">INDEX(Simulations!$A$1:$BK$2501, 2147, MATCH("Yr1Shock", Simulations!$A$1:$BK$1, 0))</f>
        <v>5.2753760796489611E-3</v>
      </c>
    </row>
    <row r="2148" spans="1:5" x14ac:dyDescent="0.3">
      <c r="A2148" s="2">
        <f ca="1">INDEX(Simulations!$A$1:$BK$2501, 2148, MATCH("PurchaseMultiple", Simulations!$A$1:$BK$1, 0))</f>
        <v>7.7181016254755734</v>
      </c>
      <c r="B2148" s="2">
        <f ca="1">INDEX(Simulations!$A$1:$BK$2501, 2148, MATCH("ExitMultiple", Simulations!$A$1:$BK$1, 0))</f>
        <v>7.4230794425232851</v>
      </c>
      <c r="C2148" s="2">
        <f ca="1">INDEX(Simulations!$A$1:$BK$2501, 2148, MATCH("RevCAGR", Simulations!$A$1:$BK$1, 0))</f>
        <v>1.100656626825806E-2</v>
      </c>
      <c r="D2148" s="2">
        <f ca="1">INDEX(Simulations!$A$1:$BK$2501, 2148, MATCH("SynMargin", Simulations!$A$1:$BK$1, 0))</f>
        <v>8.6232811187476333E-3</v>
      </c>
      <c r="E2148" s="2">
        <f ca="1">INDEX(Simulations!$A$1:$BK$2501, 2148, MATCH("Yr1Shock", Simulations!$A$1:$BK$1, 0))</f>
        <v>-4.1271055630317868E-2</v>
      </c>
    </row>
    <row r="2149" spans="1:5" x14ac:dyDescent="0.3">
      <c r="A2149" s="2">
        <f ca="1">INDEX(Simulations!$A$1:$BK$2501, 2149, MATCH("PurchaseMultiple", Simulations!$A$1:$BK$1, 0))</f>
        <v>7.037397803603926</v>
      </c>
      <c r="B2149" s="2">
        <f ca="1">INDEX(Simulations!$A$1:$BK$2501, 2149, MATCH("ExitMultiple", Simulations!$A$1:$BK$1, 0))</f>
        <v>7.9387070684191414</v>
      </c>
      <c r="C2149" s="2">
        <f ca="1">INDEX(Simulations!$A$1:$BK$2501, 2149, MATCH("RevCAGR", Simulations!$A$1:$BK$1, 0))</f>
        <v>1.6845849982063687E-2</v>
      </c>
      <c r="D2149" s="2">
        <f ca="1">INDEX(Simulations!$A$1:$BK$2501, 2149, MATCH("SynMargin", Simulations!$A$1:$BK$1, 0))</f>
        <v>8.6980335714246116E-3</v>
      </c>
      <c r="E2149" s="2">
        <f ca="1">INDEX(Simulations!$A$1:$BK$2501, 2149, MATCH("Yr1Shock", Simulations!$A$1:$BK$1, 0))</f>
        <v>-1.5551528939286628E-2</v>
      </c>
    </row>
    <row r="2150" spans="1:5" x14ac:dyDescent="0.3">
      <c r="A2150" s="2">
        <f ca="1">INDEX(Simulations!$A$1:$BK$2501, 2150, MATCH("PurchaseMultiple", Simulations!$A$1:$BK$1, 0))</f>
        <v>7.1732860111433139</v>
      </c>
      <c r="B2150" s="2">
        <f ca="1">INDEX(Simulations!$A$1:$BK$2501, 2150, MATCH("ExitMultiple", Simulations!$A$1:$BK$1, 0))</f>
        <v>7.2897557279741934</v>
      </c>
      <c r="C2150" s="2">
        <f ca="1">INDEX(Simulations!$A$1:$BK$2501, 2150, MATCH("RevCAGR", Simulations!$A$1:$BK$1, 0))</f>
        <v>0.11131195088404561</v>
      </c>
      <c r="D2150" s="2">
        <f ca="1">INDEX(Simulations!$A$1:$BK$2501, 2150, MATCH("SynMargin", Simulations!$A$1:$BK$1, 0))</f>
        <v>6.1642066735124301E-3</v>
      </c>
      <c r="E2150" s="2">
        <f ca="1">INDEX(Simulations!$A$1:$BK$2501, 2150, MATCH("Yr1Shock", Simulations!$A$1:$BK$1, 0))</f>
        <v>-0.05</v>
      </c>
    </row>
    <row r="2151" spans="1:5" x14ac:dyDescent="0.3">
      <c r="A2151" s="2">
        <f ca="1">INDEX(Simulations!$A$1:$BK$2501, 2151, MATCH("PurchaseMultiple", Simulations!$A$1:$BK$1, 0))</f>
        <v>6.1651744376608635</v>
      </c>
      <c r="B2151" s="2">
        <f ca="1">INDEX(Simulations!$A$1:$BK$2501, 2151, MATCH("ExitMultiple", Simulations!$A$1:$BK$1, 0))</f>
        <v>7.0655964202710999</v>
      </c>
      <c r="C2151" s="2">
        <f ca="1">INDEX(Simulations!$A$1:$BK$2501, 2151, MATCH("RevCAGR", Simulations!$A$1:$BK$1, 0))</f>
        <v>3.3387470210230197E-3</v>
      </c>
      <c r="D2151" s="2">
        <f ca="1">INDEX(Simulations!$A$1:$BK$2501, 2151, MATCH("SynMargin", Simulations!$A$1:$BK$1, 0))</f>
        <v>6.1775819669128134E-3</v>
      </c>
      <c r="E2151" s="2">
        <f ca="1">INDEX(Simulations!$A$1:$BK$2501, 2151, MATCH("Yr1Shock", Simulations!$A$1:$BK$1, 0))</f>
        <v>-1.4365275511312036E-2</v>
      </c>
    </row>
    <row r="2152" spans="1:5" x14ac:dyDescent="0.3">
      <c r="A2152" s="2">
        <f ca="1">INDEX(Simulations!$A$1:$BK$2501, 2152, MATCH("PurchaseMultiple", Simulations!$A$1:$BK$1, 0))</f>
        <v>7.0323244773028666</v>
      </c>
      <c r="B2152" s="2">
        <f ca="1">INDEX(Simulations!$A$1:$BK$2501, 2152, MATCH("ExitMultiple", Simulations!$A$1:$BK$1, 0))</f>
        <v>7.1008254416859131</v>
      </c>
      <c r="C2152" s="2">
        <f ca="1">INDEX(Simulations!$A$1:$BK$2501, 2152, MATCH("RevCAGR", Simulations!$A$1:$BK$1, 0))</f>
        <v>3.7748377871325768E-2</v>
      </c>
      <c r="D2152" s="2">
        <f ca="1">INDEX(Simulations!$A$1:$BK$2501, 2152, MATCH("SynMargin", Simulations!$A$1:$BK$1, 0))</f>
        <v>1.5717015695700196E-2</v>
      </c>
      <c r="E2152" s="2">
        <f ca="1">INDEX(Simulations!$A$1:$BK$2501, 2152, MATCH("Yr1Shock", Simulations!$A$1:$BK$1, 0))</f>
        <v>2.2257207053112357E-3</v>
      </c>
    </row>
    <row r="2153" spans="1:5" x14ac:dyDescent="0.3">
      <c r="A2153" s="2">
        <f ca="1">INDEX(Simulations!$A$1:$BK$2501, 2153, MATCH("PurchaseMultiple", Simulations!$A$1:$BK$1, 0))</f>
        <v>6.9384880302560354</v>
      </c>
      <c r="B2153" s="2">
        <f ca="1">INDEX(Simulations!$A$1:$BK$2501, 2153, MATCH("ExitMultiple", Simulations!$A$1:$BK$1, 0))</f>
        <v>7.7747934058458839</v>
      </c>
      <c r="C2153" s="2">
        <f ca="1">INDEX(Simulations!$A$1:$BK$2501, 2153, MATCH("RevCAGR", Simulations!$A$1:$BK$1, 0))</f>
        <v>2.1632484364616452E-2</v>
      </c>
      <c r="D2153" s="2">
        <f ca="1">INDEX(Simulations!$A$1:$BK$2501, 2153, MATCH("SynMargin", Simulations!$A$1:$BK$1, 0))</f>
        <v>1.4434150792428446E-2</v>
      </c>
      <c r="E2153" s="2">
        <f ca="1">INDEX(Simulations!$A$1:$BK$2501, 2153, MATCH("Yr1Shock", Simulations!$A$1:$BK$1, 0))</f>
        <v>-1.29042156352983E-2</v>
      </c>
    </row>
    <row r="2154" spans="1:5" x14ac:dyDescent="0.3">
      <c r="A2154" s="2">
        <f ca="1">INDEX(Simulations!$A$1:$BK$2501, 2154, MATCH("PurchaseMultiple", Simulations!$A$1:$BK$1, 0))</f>
        <v>7.1577640165281782</v>
      </c>
      <c r="B2154" s="2">
        <f ca="1">INDEX(Simulations!$A$1:$BK$2501, 2154, MATCH("ExitMultiple", Simulations!$A$1:$BK$1, 0))</f>
        <v>6.8043137887834888</v>
      </c>
      <c r="C2154" s="2">
        <f ca="1">INDEX(Simulations!$A$1:$BK$2501, 2154, MATCH("RevCAGR", Simulations!$A$1:$BK$1, 0))</f>
        <v>6.0942836862674675E-2</v>
      </c>
      <c r="D2154" s="2">
        <f ca="1">INDEX(Simulations!$A$1:$BK$2501, 2154, MATCH("SynMargin", Simulations!$A$1:$BK$1, 0))</f>
        <v>8.8683066752718292E-3</v>
      </c>
      <c r="E2154" s="2">
        <f ca="1">INDEX(Simulations!$A$1:$BK$2501, 2154, MATCH("Yr1Shock", Simulations!$A$1:$BK$1, 0))</f>
        <v>-2.4121429169933775E-2</v>
      </c>
    </row>
    <row r="2155" spans="1:5" x14ac:dyDescent="0.3">
      <c r="A2155" s="2">
        <f ca="1">INDEX(Simulations!$A$1:$BK$2501, 2155, MATCH("PurchaseMultiple", Simulations!$A$1:$BK$1, 0))</f>
        <v>6.5800887435241711</v>
      </c>
      <c r="B2155" s="2">
        <f ca="1">INDEX(Simulations!$A$1:$BK$2501, 2155, MATCH("ExitMultiple", Simulations!$A$1:$BK$1, 0))</f>
        <v>7.8277896427236815</v>
      </c>
      <c r="C2155" s="2">
        <f ca="1">INDEX(Simulations!$A$1:$BK$2501, 2155, MATCH("RevCAGR", Simulations!$A$1:$BK$1, 0))</f>
        <v>5.0722484571330481E-2</v>
      </c>
      <c r="D2155" s="2">
        <f ca="1">INDEX(Simulations!$A$1:$BK$2501, 2155, MATCH("SynMargin", Simulations!$A$1:$BK$1, 0))</f>
        <v>2.0481497258942067E-3</v>
      </c>
      <c r="E2155" s="2">
        <f ca="1">INDEX(Simulations!$A$1:$BK$2501, 2155, MATCH("Yr1Shock", Simulations!$A$1:$BK$1, 0))</f>
        <v>-2.2666496394203706E-2</v>
      </c>
    </row>
    <row r="2156" spans="1:5" x14ac:dyDescent="0.3">
      <c r="A2156" s="2">
        <f ca="1">INDEX(Simulations!$A$1:$BK$2501, 2156, MATCH("PurchaseMultiple", Simulations!$A$1:$BK$1, 0))</f>
        <v>7.0150508125652262</v>
      </c>
      <c r="B2156" s="2">
        <f ca="1">INDEX(Simulations!$A$1:$BK$2501, 2156, MATCH("ExitMultiple", Simulations!$A$1:$BK$1, 0))</f>
        <v>7.4075849936780118</v>
      </c>
      <c r="C2156" s="2">
        <f ca="1">INDEX(Simulations!$A$1:$BK$2501, 2156, MATCH("RevCAGR", Simulations!$A$1:$BK$1, 0))</f>
        <v>3.6901548452076618E-2</v>
      </c>
      <c r="D2156" s="2">
        <f ca="1">INDEX(Simulations!$A$1:$BK$2501, 2156, MATCH("SynMargin", Simulations!$A$1:$BK$1, 0))</f>
        <v>1.6768039908344808E-2</v>
      </c>
      <c r="E2156" s="2">
        <f ca="1">INDEX(Simulations!$A$1:$BK$2501, 2156, MATCH("Yr1Shock", Simulations!$A$1:$BK$1, 0))</f>
        <v>4.443064845225924E-3</v>
      </c>
    </row>
    <row r="2157" spans="1:5" x14ac:dyDescent="0.3">
      <c r="A2157" s="2">
        <f ca="1">INDEX(Simulations!$A$1:$BK$2501, 2157, MATCH("PurchaseMultiple", Simulations!$A$1:$BK$1, 0))</f>
        <v>7.2132740126918593</v>
      </c>
      <c r="B2157" s="2">
        <f ca="1">INDEX(Simulations!$A$1:$BK$2501, 2157, MATCH("ExitMultiple", Simulations!$A$1:$BK$1, 0))</f>
        <v>7.1311865409318198</v>
      </c>
      <c r="C2157" s="2">
        <f ca="1">INDEX(Simulations!$A$1:$BK$2501, 2157, MATCH("RevCAGR", Simulations!$A$1:$BK$1, 0))</f>
        <v>1.2318703136032911E-2</v>
      </c>
      <c r="D2157" s="2">
        <f ca="1">INDEX(Simulations!$A$1:$BK$2501, 2157, MATCH("SynMargin", Simulations!$A$1:$BK$1, 0))</f>
        <v>3.3991790934061209E-3</v>
      </c>
      <c r="E2157" s="2">
        <f ca="1">INDEX(Simulations!$A$1:$BK$2501, 2157, MATCH("Yr1Shock", Simulations!$A$1:$BK$1, 0))</f>
        <v>-1.401807018721008E-2</v>
      </c>
    </row>
    <row r="2158" spans="1:5" x14ac:dyDescent="0.3">
      <c r="A2158" s="2">
        <f ca="1">INDEX(Simulations!$A$1:$BK$2501, 2158, MATCH("PurchaseMultiple", Simulations!$A$1:$BK$1, 0))</f>
        <v>6.9119759831793592</v>
      </c>
      <c r="B2158" s="2">
        <f ca="1">INDEX(Simulations!$A$1:$BK$2501, 2158, MATCH("ExitMultiple", Simulations!$A$1:$BK$1, 0))</f>
        <v>7.1785599667144666</v>
      </c>
      <c r="C2158" s="2">
        <f ca="1">INDEX(Simulations!$A$1:$BK$2501, 2158, MATCH("RevCAGR", Simulations!$A$1:$BK$1, 0))</f>
        <v>4.9825670277691324E-2</v>
      </c>
      <c r="D2158" s="2">
        <f ca="1">INDEX(Simulations!$A$1:$BK$2501, 2158, MATCH("SynMargin", Simulations!$A$1:$BK$1, 0))</f>
        <v>1.522337538519411E-2</v>
      </c>
      <c r="E2158" s="2">
        <f ca="1">INDEX(Simulations!$A$1:$BK$2501, 2158, MATCH("Yr1Shock", Simulations!$A$1:$BK$1, 0))</f>
        <v>2.6264797444562189E-2</v>
      </c>
    </row>
    <row r="2159" spans="1:5" x14ac:dyDescent="0.3">
      <c r="A2159" s="2">
        <f ca="1">INDEX(Simulations!$A$1:$BK$2501, 2159, MATCH("PurchaseMultiple", Simulations!$A$1:$BK$1, 0))</f>
        <v>7.3682777120997063</v>
      </c>
      <c r="B2159" s="2">
        <f ca="1">INDEX(Simulations!$A$1:$BK$2501, 2159, MATCH("ExitMultiple", Simulations!$A$1:$BK$1, 0))</f>
        <v>7.606529494491002</v>
      </c>
      <c r="C2159" s="2">
        <f ca="1">INDEX(Simulations!$A$1:$BK$2501, 2159, MATCH("RevCAGR", Simulations!$A$1:$BK$1, 0))</f>
        <v>4.0191640520495682E-2</v>
      </c>
      <c r="D2159" s="2">
        <f ca="1">INDEX(Simulations!$A$1:$BK$2501, 2159, MATCH("SynMargin", Simulations!$A$1:$BK$1, 0))</f>
        <v>9.9936938393189179E-3</v>
      </c>
      <c r="E2159" s="2">
        <f ca="1">INDEX(Simulations!$A$1:$BK$2501, 2159, MATCH("Yr1Shock", Simulations!$A$1:$BK$1, 0))</f>
        <v>-1.7637224695663069E-2</v>
      </c>
    </row>
    <row r="2160" spans="1:5" x14ac:dyDescent="0.3">
      <c r="A2160" s="2">
        <f ca="1">INDEX(Simulations!$A$1:$BK$2501, 2160, MATCH("PurchaseMultiple", Simulations!$A$1:$BK$1, 0))</f>
        <v>6.6800147981956082</v>
      </c>
      <c r="B2160" s="2">
        <f ca="1">INDEX(Simulations!$A$1:$BK$2501, 2160, MATCH("ExitMultiple", Simulations!$A$1:$BK$1, 0))</f>
        <v>7.3141461164736068</v>
      </c>
      <c r="C2160" s="2">
        <f ca="1">INDEX(Simulations!$A$1:$BK$2501, 2160, MATCH("RevCAGR", Simulations!$A$1:$BK$1, 0))</f>
        <v>-8.5885792169805089E-3</v>
      </c>
      <c r="D2160" s="2">
        <f ca="1">INDEX(Simulations!$A$1:$BK$2501, 2160, MATCH("SynMargin", Simulations!$A$1:$BK$1, 0))</f>
        <v>3.8555847271726099E-3</v>
      </c>
      <c r="E2160" s="2">
        <f ca="1">INDEX(Simulations!$A$1:$BK$2501, 2160, MATCH("Yr1Shock", Simulations!$A$1:$BK$1, 0))</f>
        <v>1.8529802823139613E-2</v>
      </c>
    </row>
    <row r="2161" spans="1:5" x14ac:dyDescent="0.3">
      <c r="A2161" s="2">
        <f ca="1">INDEX(Simulations!$A$1:$BK$2501, 2161, MATCH("PurchaseMultiple", Simulations!$A$1:$BK$1, 0))</f>
        <v>7.2217672933669901</v>
      </c>
      <c r="B2161" s="2">
        <f ca="1">INDEX(Simulations!$A$1:$BK$2501, 2161, MATCH("ExitMultiple", Simulations!$A$1:$BK$1, 0))</f>
        <v>7.5415885404733958</v>
      </c>
      <c r="C2161" s="2">
        <f ca="1">INDEX(Simulations!$A$1:$BK$2501, 2161, MATCH("RevCAGR", Simulations!$A$1:$BK$1, 0))</f>
        <v>4.1699198274119442E-2</v>
      </c>
      <c r="D2161" s="2">
        <f ca="1">INDEX(Simulations!$A$1:$BK$2501, 2161, MATCH("SynMargin", Simulations!$A$1:$BK$1, 0))</f>
        <v>1.7724181592654525E-2</v>
      </c>
      <c r="E2161" s="2">
        <f ca="1">INDEX(Simulations!$A$1:$BK$2501, 2161, MATCH("Yr1Shock", Simulations!$A$1:$BK$1, 0))</f>
        <v>-1.7781509324468293E-2</v>
      </c>
    </row>
    <row r="2162" spans="1:5" x14ac:dyDescent="0.3">
      <c r="A2162" s="2">
        <f ca="1">INDEX(Simulations!$A$1:$BK$2501, 2162, MATCH("PurchaseMultiple", Simulations!$A$1:$BK$1, 0))</f>
        <v>7.2486369046113834</v>
      </c>
      <c r="B2162" s="2">
        <f ca="1">INDEX(Simulations!$A$1:$BK$2501, 2162, MATCH("ExitMultiple", Simulations!$A$1:$BK$1, 0))</f>
        <v>7.2767060670090151</v>
      </c>
      <c r="C2162" s="2">
        <f ca="1">INDEX(Simulations!$A$1:$BK$2501, 2162, MATCH("RevCAGR", Simulations!$A$1:$BK$1, 0))</f>
        <v>4.3664504035706174E-2</v>
      </c>
      <c r="D2162" s="2">
        <f ca="1">INDEX(Simulations!$A$1:$BK$2501, 2162, MATCH("SynMargin", Simulations!$A$1:$BK$1, 0))</f>
        <v>1.1683628033399581E-2</v>
      </c>
      <c r="E2162" s="2">
        <f ca="1">INDEX(Simulations!$A$1:$BK$2501, 2162, MATCH("Yr1Shock", Simulations!$A$1:$BK$1, 0))</f>
        <v>2.5799842554201792E-2</v>
      </c>
    </row>
    <row r="2163" spans="1:5" x14ac:dyDescent="0.3">
      <c r="A2163" s="2">
        <f ca="1">INDEX(Simulations!$A$1:$BK$2501, 2163, MATCH("PurchaseMultiple", Simulations!$A$1:$BK$1, 0))</f>
        <v>6.890736174449315</v>
      </c>
      <c r="B2163" s="2">
        <f ca="1">INDEX(Simulations!$A$1:$BK$2501, 2163, MATCH("ExitMultiple", Simulations!$A$1:$BK$1, 0))</f>
        <v>8.1859111647313227</v>
      </c>
      <c r="C2163" s="2">
        <f ca="1">INDEX(Simulations!$A$1:$BK$2501, 2163, MATCH("RevCAGR", Simulations!$A$1:$BK$1, 0))</f>
        <v>7.6123256296059122E-2</v>
      </c>
      <c r="D2163" s="2">
        <f ca="1">INDEX(Simulations!$A$1:$BK$2501, 2163, MATCH("SynMargin", Simulations!$A$1:$BK$1, 0))</f>
        <v>1.049860761690017E-2</v>
      </c>
      <c r="E2163" s="2">
        <f ca="1">INDEX(Simulations!$A$1:$BK$2501, 2163, MATCH("Yr1Shock", Simulations!$A$1:$BK$1, 0))</f>
        <v>-3.7500165951073919E-3</v>
      </c>
    </row>
    <row r="2164" spans="1:5" x14ac:dyDescent="0.3">
      <c r="A2164" s="2">
        <f ca="1">INDEX(Simulations!$A$1:$BK$2501, 2164, MATCH("PurchaseMultiple", Simulations!$A$1:$BK$1, 0))</f>
        <v>7.1140292658783313</v>
      </c>
      <c r="B2164" s="2">
        <f ca="1">INDEX(Simulations!$A$1:$BK$2501, 2164, MATCH("ExitMultiple", Simulations!$A$1:$BK$1, 0))</f>
        <v>7.9809046947486655</v>
      </c>
      <c r="C2164" s="2">
        <f ca="1">INDEX(Simulations!$A$1:$BK$2501, 2164, MATCH("RevCAGR", Simulations!$A$1:$BK$1, 0))</f>
        <v>-2.2721849888134374E-3</v>
      </c>
      <c r="D2164" s="2">
        <f ca="1">INDEX(Simulations!$A$1:$BK$2501, 2164, MATCH("SynMargin", Simulations!$A$1:$BK$1, 0))</f>
        <v>1.1603455918518538E-2</v>
      </c>
      <c r="E2164" s="2">
        <f ca="1">INDEX(Simulations!$A$1:$BK$2501, 2164, MATCH("Yr1Shock", Simulations!$A$1:$BK$1, 0))</f>
        <v>-3.6389024925083864E-3</v>
      </c>
    </row>
    <row r="2165" spans="1:5" x14ac:dyDescent="0.3">
      <c r="A2165" s="2">
        <f ca="1">INDEX(Simulations!$A$1:$BK$2501, 2165, MATCH("PurchaseMultiple", Simulations!$A$1:$BK$1, 0))</f>
        <v>6.1561561959515103</v>
      </c>
      <c r="B2165" s="2">
        <f ca="1">INDEX(Simulations!$A$1:$BK$2501, 2165, MATCH("ExitMultiple", Simulations!$A$1:$BK$1, 0))</f>
        <v>7.733371875258328</v>
      </c>
      <c r="C2165" s="2">
        <f ca="1">INDEX(Simulations!$A$1:$BK$2501, 2165, MATCH("RevCAGR", Simulations!$A$1:$BK$1, 0))</f>
        <v>4.1410275140219034E-2</v>
      </c>
      <c r="D2165" s="2">
        <f ca="1">INDEX(Simulations!$A$1:$BK$2501, 2165, MATCH("SynMargin", Simulations!$A$1:$BK$1, 0))</f>
        <v>8.4839860954355854E-3</v>
      </c>
      <c r="E2165" s="2">
        <f ca="1">INDEX(Simulations!$A$1:$BK$2501, 2165, MATCH("Yr1Shock", Simulations!$A$1:$BK$1, 0))</f>
        <v>1.0138628438767297E-2</v>
      </c>
    </row>
    <row r="2166" spans="1:5" x14ac:dyDescent="0.3">
      <c r="A2166" s="2">
        <f ca="1">INDEX(Simulations!$A$1:$BK$2501, 2166, MATCH("PurchaseMultiple", Simulations!$A$1:$BK$1, 0))</f>
        <v>7.4994633513349171</v>
      </c>
      <c r="B2166" s="2">
        <f ca="1">INDEX(Simulations!$A$1:$BK$2501, 2166, MATCH("ExitMultiple", Simulations!$A$1:$BK$1, 0))</f>
        <v>6.8990398260924115</v>
      </c>
      <c r="C2166" s="2">
        <f ca="1">INDEX(Simulations!$A$1:$BK$2501, 2166, MATCH("RevCAGR", Simulations!$A$1:$BK$1, 0))</f>
        <v>7.4470267241904281E-2</v>
      </c>
      <c r="D2166" s="2">
        <f ca="1">INDEX(Simulations!$A$1:$BK$2501, 2166, MATCH("SynMargin", Simulations!$A$1:$BK$1, 0))</f>
        <v>2.0183511918224682E-2</v>
      </c>
      <c r="E2166" s="2">
        <f ca="1">INDEX(Simulations!$A$1:$BK$2501, 2166, MATCH("Yr1Shock", Simulations!$A$1:$BK$1, 0))</f>
        <v>7.5390069486161596E-3</v>
      </c>
    </row>
    <row r="2167" spans="1:5" x14ac:dyDescent="0.3">
      <c r="A2167" s="2">
        <f ca="1">INDEX(Simulations!$A$1:$BK$2501, 2167, MATCH("PurchaseMultiple", Simulations!$A$1:$BK$1, 0))</f>
        <v>6.9296630481666748</v>
      </c>
      <c r="B2167" s="2">
        <f ca="1">INDEX(Simulations!$A$1:$BK$2501, 2167, MATCH("ExitMultiple", Simulations!$A$1:$BK$1, 0))</f>
        <v>7.3515890656971541</v>
      </c>
      <c r="C2167" s="2">
        <f ca="1">INDEX(Simulations!$A$1:$BK$2501, 2167, MATCH("RevCAGR", Simulations!$A$1:$BK$1, 0))</f>
        <v>4.1327093571486208E-2</v>
      </c>
      <c r="D2167" s="2">
        <f ca="1">INDEX(Simulations!$A$1:$BK$2501, 2167, MATCH("SynMargin", Simulations!$A$1:$BK$1, 0))</f>
        <v>1.9961406870108798E-2</v>
      </c>
      <c r="E2167" s="2">
        <f ca="1">INDEX(Simulations!$A$1:$BK$2501, 2167, MATCH("Yr1Shock", Simulations!$A$1:$BK$1, 0))</f>
        <v>1.8157332319230883E-2</v>
      </c>
    </row>
    <row r="2168" spans="1:5" x14ac:dyDescent="0.3">
      <c r="A2168" s="2">
        <f ca="1">INDEX(Simulations!$A$1:$BK$2501, 2168, MATCH("PurchaseMultiple", Simulations!$A$1:$BK$1, 0))</f>
        <v>7.2315472748318408</v>
      </c>
      <c r="B2168" s="2">
        <f ca="1">INDEX(Simulations!$A$1:$BK$2501, 2168, MATCH("ExitMultiple", Simulations!$A$1:$BK$1, 0))</f>
        <v>7.7237467348745694</v>
      </c>
      <c r="C2168" s="2">
        <f ca="1">INDEX(Simulations!$A$1:$BK$2501, 2168, MATCH("RevCAGR", Simulations!$A$1:$BK$1, 0))</f>
        <v>5.4099770764409541E-3</v>
      </c>
      <c r="D2168" s="2">
        <f ca="1">INDEX(Simulations!$A$1:$BK$2501, 2168, MATCH("SynMargin", Simulations!$A$1:$BK$1, 0))</f>
        <v>1.0102756479651885E-2</v>
      </c>
      <c r="E2168" s="2">
        <f ca="1">INDEX(Simulations!$A$1:$BK$2501, 2168, MATCH("Yr1Shock", Simulations!$A$1:$BK$1, 0))</f>
        <v>-1.2814436606354987E-3</v>
      </c>
    </row>
    <row r="2169" spans="1:5" x14ac:dyDescent="0.3">
      <c r="A2169" s="2">
        <f ca="1">INDEX(Simulations!$A$1:$BK$2501, 2169, MATCH("PurchaseMultiple", Simulations!$A$1:$BK$1, 0))</f>
        <v>7.3699851975799664</v>
      </c>
      <c r="B2169" s="2">
        <f ca="1">INDEX(Simulations!$A$1:$BK$2501, 2169, MATCH("ExitMultiple", Simulations!$A$1:$BK$1, 0))</f>
        <v>7.1485421887180172</v>
      </c>
      <c r="C2169" s="2">
        <f ca="1">INDEX(Simulations!$A$1:$BK$2501, 2169, MATCH("RevCAGR", Simulations!$A$1:$BK$1, 0))</f>
        <v>-7.8139429331165119E-3</v>
      </c>
      <c r="D2169" s="2">
        <f ca="1">INDEX(Simulations!$A$1:$BK$2501, 2169, MATCH("SynMargin", Simulations!$A$1:$BK$1, 0))</f>
        <v>1.2495642339655846E-2</v>
      </c>
      <c r="E2169" s="2">
        <f ca="1">INDEX(Simulations!$A$1:$BK$2501, 2169, MATCH("Yr1Shock", Simulations!$A$1:$BK$1, 0))</f>
        <v>-1.7388081032617998E-2</v>
      </c>
    </row>
    <row r="2170" spans="1:5" x14ac:dyDescent="0.3">
      <c r="A2170" s="2">
        <f ca="1">INDEX(Simulations!$A$1:$BK$2501, 2170, MATCH("PurchaseMultiple", Simulations!$A$1:$BK$1, 0))</f>
        <v>6.3229791419850834</v>
      </c>
      <c r="B2170" s="2">
        <f ca="1">INDEX(Simulations!$A$1:$BK$2501, 2170, MATCH("ExitMultiple", Simulations!$A$1:$BK$1, 0))</f>
        <v>6.8398093820168366</v>
      </c>
      <c r="C2170" s="2">
        <f ca="1">INDEX(Simulations!$A$1:$BK$2501, 2170, MATCH("RevCAGR", Simulations!$A$1:$BK$1, 0))</f>
        <v>7.5469911017538208E-2</v>
      </c>
      <c r="D2170" s="2">
        <f ca="1">INDEX(Simulations!$A$1:$BK$2501, 2170, MATCH("SynMargin", Simulations!$A$1:$BK$1, 0))</f>
        <v>1.2530304125062628E-2</v>
      </c>
      <c r="E2170" s="2">
        <f ca="1">INDEX(Simulations!$A$1:$BK$2501, 2170, MATCH("Yr1Shock", Simulations!$A$1:$BK$1, 0))</f>
        <v>1.1560439461670661E-2</v>
      </c>
    </row>
    <row r="2171" spans="1:5" x14ac:dyDescent="0.3">
      <c r="A2171" s="2">
        <f ca="1">INDEX(Simulations!$A$1:$BK$2501, 2171, MATCH("PurchaseMultiple", Simulations!$A$1:$BK$1, 0))</f>
        <v>7.5923522886457651</v>
      </c>
      <c r="B2171" s="2">
        <f ca="1">INDEX(Simulations!$A$1:$BK$2501, 2171, MATCH("ExitMultiple", Simulations!$A$1:$BK$1, 0))</f>
        <v>7.0553006693938736</v>
      </c>
      <c r="C2171" s="2">
        <f ca="1">INDEX(Simulations!$A$1:$BK$2501, 2171, MATCH("RevCAGR", Simulations!$A$1:$BK$1, 0))</f>
        <v>3.0640369055695699E-3</v>
      </c>
      <c r="D2171" s="2">
        <f ca="1">INDEX(Simulations!$A$1:$BK$2501, 2171, MATCH("SynMargin", Simulations!$A$1:$BK$1, 0))</f>
        <v>1.4267807466646423E-2</v>
      </c>
      <c r="E2171" s="2">
        <f ca="1">INDEX(Simulations!$A$1:$BK$2501, 2171, MATCH("Yr1Shock", Simulations!$A$1:$BK$1, 0))</f>
        <v>-1.2856250120875896E-2</v>
      </c>
    </row>
    <row r="2172" spans="1:5" x14ac:dyDescent="0.3">
      <c r="A2172" s="2">
        <f ca="1">INDEX(Simulations!$A$1:$BK$2501, 2172, MATCH("PurchaseMultiple", Simulations!$A$1:$BK$1, 0))</f>
        <v>7.124545641138277</v>
      </c>
      <c r="B2172" s="2">
        <f ca="1">INDEX(Simulations!$A$1:$BK$2501, 2172, MATCH("ExitMultiple", Simulations!$A$1:$BK$1, 0))</f>
        <v>7.3617165299370813</v>
      </c>
      <c r="C2172" s="2">
        <f ca="1">INDEX(Simulations!$A$1:$BK$2501, 2172, MATCH("RevCAGR", Simulations!$A$1:$BK$1, 0))</f>
        <v>6.3059401867325782E-2</v>
      </c>
      <c r="D2172" s="2">
        <f ca="1">INDEX(Simulations!$A$1:$BK$2501, 2172, MATCH("SynMargin", Simulations!$A$1:$BK$1, 0))</f>
        <v>2.0074565626146096E-2</v>
      </c>
      <c r="E2172" s="2">
        <f ca="1">INDEX(Simulations!$A$1:$BK$2501, 2172, MATCH("Yr1Shock", Simulations!$A$1:$BK$1, 0))</f>
        <v>6.4995215164175392E-3</v>
      </c>
    </row>
    <row r="2173" spans="1:5" x14ac:dyDescent="0.3">
      <c r="A2173" s="2">
        <f ca="1">INDEX(Simulations!$A$1:$BK$2501, 2173, MATCH("PurchaseMultiple", Simulations!$A$1:$BK$1, 0))</f>
        <v>7.3199497981057124</v>
      </c>
      <c r="B2173" s="2">
        <f ca="1">INDEX(Simulations!$A$1:$BK$2501, 2173, MATCH("ExitMultiple", Simulations!$A$1:$BK$1, 0))</f>
        <v>7.0474365313432958</v>
      </c>
      <c r="C2173" s="2">
        <f ca="1">INDEX(Simulations!$A$1:$BK$2501, 2173, MATCH("RevCAGR", Simulations!$A$1:$BK$1, 0))</f>
        <v>5.7401924861255851E-2</v>
      </c>
      <c r="D2173" s="2">
        <f ca="1">INDEX(Simulations!$A$1:$BK$2501, 2173, MATCH("SynMargin", Simulations!$A$1:$BK$1, 0))</f>
        <v>7.4106429883259543E-3</v>
      </c>
      <c r="E2173" s="2">
        <f ca="1">INDEX(Simulations!$A$1:$BK$2501, 2173, MATCH("Yr1Shock", Simulations!$A$1:$BK$1, 0))</f>
        <v>-7.1501412066394422E-3</v>
      </c>
    </row>
    <row r="2174" spans="1:5" x14ac:dyDescent="0.3">
      <c r="A2174" s="2">
        <f ca="1">INDEX(Simulations!$A$1:$BK$2501, 2174, MATCH("PurchaseMultiple", Simulations!$A$1:$BK$1, 0))</f>
        <v>6.4555118675368028</v>
      </c>
      <c r="B2174" s="2">
        <f ca="1">INDEX(Simulations!$A$1:$BK$2501, 2174, MATCH("ExitMultiple", Simulations!$A$1:$BK$1, 0))</f>
        <v>7.7077293595490577</v>
      </c>
      <c r="C2174" s="2">
        <f ca="1">INDEX(Simulations!$A$1:$BK$2501, 2174, MATCH("RevCAGR", Simulations!$A$1:$BK$1, 0))</f>
        <v>8.0536089913472234E-2</v>
      </c>
      <c r="D2174" s="2">
        <f ca="1">INDEX(Simulations!$A$1:$BK$2501, 2174, MATCH("SynMargin", Simulations!$A$1:$BK$1, 0))</f>
        <v>7.7738804270353267E-3</v>
      </c>
      <c r="E2174" s="2">
        <f ca="1">INDEX(Simulations!$A$1:$BK$2501, 2174, MATCH("Yr1Shock", Simulations!$A$1:$BK$1, 0))</f>
        <v>-4.3118324460585271E-2</v>
      </c>
    </row>
    <row r="2175" spans="1:5" x14ac:dyDescent="0.3">
      <c r="A2175" s="2">
        <f ca="1">INDEX(Simulations!$A$1:$BK$2501, 2175, MATCH("PurchaseMultiple", Simulations!$A$1:$BK$1, 0))</f>
        <v>6.0764321616306329</v>
      </c>
      <c r="B2175" s="2">
        <f ca="1">INDEX(Simulations!$A$1:$BK$2501, 2175, MATCH("ExitMultiple", Simulations!$A$1:$BK$1, 0))</f>
        <v>7.2934445456656221</v>
      </c>
      <c r="C2175" s="2">
        <f ca="1">INDEX(Simulations!$A$1:$BK$2501, 2175, MATCH("RevCAGR", Simulations!$A$1:$BK$1, 0))</f>
        <v>3.8332659364350298E-2</v>
      </c>
      <c r="D2175" s="2">
        <f ca="1">INDEX(Simulations!$A$1:$BK$2501, 2175, MATCH("SynMargin", Simulations!$A$1:$BK$1, 0))</f>
        <v>5.1293082007186821E-3</v>
      </c>
      <c r="E2175" s="2">
        <f ca="1">INDEX(Simulations!$A$1:$BK$2501, 2175, MATCH("Yr1Shock", Simulations!$A$1:$BK$1, 0))</f>
        <v>-1.4137775012402647E-2</v>
      </c>
    </row>
    <row r="2176" spans="1:5" x14ac:dyDescent="0.3">
      <c r="A2176" s="2">
        <f ca="1">INDEX(Simulations!$A$1:$BK$2501, 2176, MATCH("PurchaseMultiple", Simulations!$A$1:$BK$1, 0))</f>
        <v>7.4199988102111547</v>
      </c>
      <c r="B2176" s="2">
        <f ca="1">INDEX(Simulations!$A$1:$BK$2501, 2176, MATCH("ExitMultiple", Simulations!$A$1:$BK$1, 0))</f>
        <v>7.8389624241150795</v>
      </c>
      <c r="C2176" s="2">
        <f ca="1">INDEX(Simulations!$A$1:$BK$2501, 2176, MATCH("RevCAGR", Simulations!$A$1:$BK$1, 0))</f>
        <v>4.8643526320645433E-2</v>
      </c>
      <c r="D2176" s="2">
        <f ca="1">INDEX(Simulations!$A$1:$BK$2501, 2176, MATCH("SynMargin", Simulations!$A$1:$BK$1, 0))</f>
        <v>7.2529634489545188E-3</v>
      </c>
      <c r="E2176" s="2">
        <f ca="1">INDEX(Simulations!$A$1:$BK$2501, 2176, MATCH("Yr1Shock", Simulations!$A$1:$BK$1, 0))</f>
        <v>-2.6026309997029772E-2</v>
      </c>
    </row>
    <row r="2177" spans="1:5" x14ac:dyDescent="0.3">
      <c r="A2177" s="2">
        <f ca="1">INDEX(Simulations!$A$1:$BK$2501, 2177, MATCH("PurchaseMultiple", Simulations!$A$1:$BK$1, 0))</f>
        <v>7.0718651136787134</v>
      </c>
      <c r="B2177" s="2">
        <f ca="1">INDEX(Simulations!$A$1:$BK$2501, 2177, MATCH("ExitMultiple", Simulations!$A$1:$BK$1, 0))</f>
        <v>7.8269539342990768</v>
      </c>
      <c r="C2177" s="2">
        <f ca="1">INDEX(Simulations!$A$1:$BK$2501, 2177, MATCH("RevCAGR", Simulations!$A$1:$BK$1, 0))</f>
        <v>2.2382191446367786E-2</v>
      </c>
      <c r="D2177" s="2">
        <f ca="1">INDEX(Simulations!$A$1:$BK$2501, 2177, MATCH("SynMargin", Simulations!$A$1:$BK$1, 0))</f>
        <v>6.6563767271796276E-3</v>
      </c>
      <c r="E2177" s="2">
        <f ca="1">INDEX(Simulations!$A$1:$BK$2501, 2177, MATCH("Yr1Shock", Simulations!$A$1:$BK$1, 0))</f>
        <v>3.1021359857781653E-2</v>
      </c>
    </row>
    <row r="2178" spans="1:5" x14ac:dyDescent="0.3">
      <c r="A2178" s="2">
        <f ca="1">INDEX(Simulations!$A$1:$BK$2501, 2178, MATCH("PurchaseMultiple", Simulations!$A$1:$BK$1, 0))</f>
        <v>6.5200132333847227</v>
      </c>
      <c r="B2178" s="2">
        <f ca="1">INDEX(Simulations!$A$1:$BK$2501, 2178, MATCH("ExitMultiple", Simulations!$A$1:$BK$1, 0))</f>
        <v>7.8195016527647763</v>
      </c>
      <c r="C2178" s="2">
        <f ca="1">INDEX(Simulations!$A$1:$BK$2501, 2178, MATCH("RevCAGR", Simulations!$A$1:$BK$1, 0))</f>
        <v>-1.7475849305844254E-2</v>
      </c>
      <c r="D2178" s="2">
        <f ca="1">INDEX(Simulations!$A$1:$BK$2501, 2178, MATCH("SynMargin", Simulations!$A$1:$BK$1, 0))</f>
        <v>1.3758546155419885E-2</v>
      </c>
      <c r="E2178" s="2">
        <f ca="1">INDEX(Simulations!$A$1:$BK$2501, 2178, MATCH("Yr1Shock", Simulations!$A$1:$BK$1, 0))</f>
        <v>1.1171298945767618E-2</v>
      </c>
    </row>
    <row r="2179" spans="1:5" x14ac:dyDescent="0.3">
      <c r="A2179" s="2">
        <f ca="1">INDEX(Simulations!$A$1:$BK$2501, 2179, MATCH("PurchaseMultiple", Simulations!$A$1:$BK$1, 0))</f>
        <v>7.0352321760746079</v>
      </c>
      <c r="B2179" s="2">
        <f ca="1">INDEX(Simulations!$A$1:$BK$2501, 2179, MATCH("ExitMultiple", Simulations!$A$1:$BK$1, 0))</f>
        <v>6.9903074852770795</v>
      </c>
      <c r="C2179" s="2">
        <f ca="1">INDEX(Simulations!$A$1:$BK$2501, 2179, MATCH("RevCAGR", Simulations!$A$1:$BK$1, 0))</f>
        <v>1.8563079576601554E-2</v>
      </c>
      <c r="D2179" s="2">
        <f ca="1">INDEX(Simulations!$A$1:$BK$2501, 2179, MATCH("SynMargin", Simulations!$A$1:$BK$1, 0))</f>
        <v>1.4725053309935877E-2</v>
      </c>
      <c r="E2179" s="2">
        <f ca="1">INDEX(Simulations!$A$1:$BK$2501, 2179, MATCH("Yr1Shock", Simulations!$A$1:$BK$1, 0))</f>
        <v>2.3085156524703967E-2</v>
      </c>
    </row>
    <row r="2180" spans="1:5" x14ac:dyDescent="0.3">
      <c r="A2180" s="2">
        <f ca="1">INDEX(Simulations!$A$1:$BK$2501, 2180, MATCH("PurchaseMultiple", Simulations!$A$1:$BK$1, 0))</f>
        <v>7.0948901885529096</v>
      </c>
      <c r="B2180" s="2">
        <f ca="1">INDEX(Simulations!$A$1:$BK$2501, 2180, MATCH("ExitMultiple", Simulations!$A$1:$BK$1, 0))</f>
        <v>7.4908878992340462</v>
      </c>
      <c r="C2180" s="2">
        <f ca="1">INDEX(Simulations!$A$1:$BK$2501, 2180, MATCH("RevCAGR", Simulations!$A$1:$BK$1, 0))</f>
        <v>8.7031913407733252E-2</v>
      </c>
      <c r="D2180" s="2">
        <f ca="1">INDEX(Simulations!$A$1:$BK$2501, 2180, MATCH("SynMargin", Simulations!$A$1:$BK$1, 0))</f>
        <v>9.8930395165461611E-3</v>
      </c>
      <c r="E2180" s="2">
        <f ca="1">INDEX(Simulations!$A$1:$BK$2501, 2180, MATCH("Yr1Shock", Simulations!$A$1:$BK$1, 0))</f>
        <v>-3.5233194150893245E-2</v>
      </c>
    </row>
    <row r="2181" spans="1:5" x14ac:dyDescent="0.3">
      <c r="A2181" s="2">
        <f ca="1">INDEX(Simulations!$A$1:$BK$2501, 2181, MATCH("PurchaseMultiple", Simulations!$A$1:$BK$1, 0))</f>
        <v>6.8637610204888322</v>
      </c>
      <c r="B2181" s="2">
        <f ca="1">INDEX(Simulations!$A$1:$BK$2501, 2181, MATCH("ExitMultiple", Simulations!$A$1:$BK$1, 0))</f>
        <v>6.8519700847753349</v>
      </c>
      <c r="C2181" s="2">
        <f ca="1">INDEX(Simulations!$A$1:$BK$2501, 2181, MATCH("RevCAGR", Simulations!$A$1:$BK$1, 0))</f>
        <v>6.2844599016461139E-2</v>
      </c>
      <c r="D2181" s="2">
        <f ca="1">INDEX(Simulations!$A$1:$BK$2501, 2181, MATCH("SynMargin", Simulations!$A$1:$BK$1, 0))</f>
        <v>1.2632686330730506E-2</v>
      </c>
      <c r="E2181" s="2">
        <f ca="1">INDEX(Simulations!$A$1:$BK$2501, 2181, MATCH("Yr1Shock", Simulations!$A$1:$BK$1, 0))</f>
        <v>1.1678287540876979E-2</v>
      </c>
    </row>
    <row r="2182" spans="1:5" x14ac:dyDescent="0.3">
      <c r="A2182" s="2">
        <f ca="1">INDEX(Simulations!$A$1:$BK$2501, 2182, MATCH("PurchaseMultiple", Simulations!$A$1:$BK$1, 0))</f>
        <v>7.0817255240323762</v>
      </c>
      <c r="B2182" s="2">
        <f ca="1">INDEX(Simulations!$A$1:$BK$2501, 2182, MATCH("ExitMultiple", Simulations!$A$1:$BK$1, 0))</f>
        <v>7.3560834658752814</v>
      </c>
      <c r="C2182" s="2">
        <f ca="1">INDEX(Simulations!$A$1:$BK$2501, 2182, MATCH("RevCAGR", Simulations!$A$1:$BK$1, 0))</f>
        <v>3.6242135336297811E-2</v>
      </c>
      <c r="D2182" s="2">
        <f ca="1">INDEX(Simulations!$A$1:$BK$2501, 2182, MATCH("SynMargin", Simulations!$A$1:$BK$1, 0))</f>
        <v>1.1391315623461197E-2</v>
      </c>
      <c r="E2182" s="2">
        <f ca="1">INDEX(Simulations!$A$1:$BK$2501, 2182, MATCH("Yr1Shock", Simulations!$A$1:$BK$1, 0))</f>
        <v>-3.3349003202714496E-3</v>
      </c>
    </row>
    <row r="2183" spans="1:5" x14ac:dyDescent="0.3">
      <c r="A2183" s="2">
        <f ca="1">INDEX(Simulations!$A$1:$BK$2501, 2183, MATCH("PurchaseMultiple", Simulations!$A$1:$BK$1, 0))</f>
        <v>6.7916080429879297</v>
      </c>
      <c r="B2183" s="2">
        <f ca="1">INDEX(Simulations!$A$1:$BK$2501, 2183, MATCH("ExitMultiple", Simulations!$A$1:$BK$1, 0))</f>
        <v>7.2531324033380438</v>
      </c>
      <c r="C2183" s="2">
        <f ca="1">INDEX(Simulations!$A$1:$BK$2501, 2183, MATCH("RevCAGR", Simulations!$A$1:$BK$1, 0))</f>
        <v>2.9046146703960093E-3</v>
      </c>
      <c r="D2183" s="2">
        <f ca="1">INDEX(Simulations!$A$1:$BK$2501, 2183, MATCH("SynMargin", Simulations!$A$1:$BK$1, 0))</f>
        <v>1.1102131636062211E-3</v>
      </c>
      <c r="E2183" s="2">
        <f ca="1">INDEX(Simulations!$A$1:$BK$2501, 2183, MATCH("Yr1Shock", Simulations!$A$1:$BK$1, 0))</f>
        <v>-2.2440925427815943E-2</v>
      </c>
    </row>
    <row r="2184" spans="1:5" x14ac:dyDescent="0.3">
      <c r="A2184" s="2">
        <f ca="1">INDEX(Simulations!$A$1:$BK$2501, 2184, MATCH("PurchaseMultiple", Simulations!$A$1:$BK$1, 0))</f>
        <v>7.187477266756499</v>
      </c>
      <c r="B2184" s="2">
        <f ca="1">INDEX(Simulations!$A$1:$BK$2501, 2184, MATCH("ExitMultiple", Simulations!$A$1:$BK$1, 0))</f>
        <v>6.8017057364505611</v>
      </c>
      <c r="C2184" s="2">
        <f ca="1">INDEX(Simulations!$A$1:$BK$2501, 2184, MATCH("RevCAGR", Simulations!$A$1:$BK$1, 0))</f>
        <v>4.9772474157461853E-2</v>
      </c>
      <c r="D2184" s="2">
        <f ca="1">INDEX(Simulations!$A$1:$BK$2501, 2184, MATCH("SynMargin", Simulations!$A$1:$BK$1, 0))</f>
        <v>1.0821972797201205E-2</v>
      </c>
      <c r="E2184" s="2">
        <f ca="1">INDEX(Simulations!$A$1:$BK$2501, 2184, MATCH("Yr1Shock", Simulations!$A$1:$BK$1, 0))</f>
        <v>1.8189993668362998E-2</v>
      </c>
    </row>
    <row r="2185" spans="1:5" x14ac:dyDescent="0.3">
      <c r="A2185" s="2">
        <f ca="1">INDEX(Simulations!$A$1:$BK$2501, 2185, MATCH("PurchaseMultiple", Simulations!$A$1:$BK$1, 0))</f>
        <v>7.185162654961136</v>
      </c>
      <c r="B2185" s="2">
        <f ca="1">INDEX(Simulations!$A$1:$BK$2501, 2185, MATCH("ExitMultiple", Simulations!$A$1:$BK$1, 0))</f>
        <v>7.5253062125576298</v>
      </c>
      <c r="C2185" s="2">
        <f ca="1">INDEX(Simulations!$A$1:$BK$2501, 2185, MATCH("RevCAGR", Simulations!$A$1:$BK$1, 0))</f>
        <v>5.2566997931882749E-2</v>
      </c>
      <c r="D2185" s="2">
        <f ca="1">INDEX(Simulations!$A$1:$BK$2501, 2185, MATCH("SynMargin", Simulations!$A$1:$BK$1, 0))</f>
        <v>1.8097366965414106E-2</v>
      </c>
      <c r="E2185" s="2">
        <f ca="1">INDEX(Simulations!$A$1:$BK$2501, 2185, MATCH("Yr1Shock", Simulations!$A$1:$BK$1, 0))</f>
        <v>-2.0986119758019603E-2</v>
      </c>
    </row>
    <row r="2186" spans="1:5" x14ac:dyDescent="0.3">
      <c r="A2186" s="2">
        <f ca="1">INDEX(Simulations!$A$1:$BK$2501, 2186, MATCH("PurchaseMultiple", Simulations!$A$1:$BK$1, 0))</f>
        <v>7.5993596589308972</v>
      </c>
      <c r="B2186" s="2">
        <f ca="1">INDEX(Simulations!$A$1:$BK$2501, 2186, MATCH("ExitMultiple", Simulations!$A$1:$BK$1, 0))</f>
        <v>7.4331569880620583</v>
      </c>
      <c r="C2186" s="2">
        <f ca="1">INDEX(Simulations!$A$1:$BK$2501, 2186, MATCH("RevCAGR", Simulations!$A$1:$BK$1, 0))</f>
        <v>7.145369271096659E-2</v>
      </c>
      <c r="D2186" s="2">
        <f ca="1">INDEX(Simulations!$A$1:$BK$2501, 2186, MATCH("SynMargin", Simulations!$A$1:$BK$1, 0))</f>
        <v>8.876170469338928E-3</v>
      </c>
      <c r="E2186" s="2">
        <f ca="1">INDEX(Simulations!$A$1:$BK$2501, 2186, MATCH("Yr1Shock", Simulations!$A$1:$BK$1, 0))</f>
        <v>-5.5212582925475914E-3</v>
      </c>
    </row>
    <row r="2187" spans="1:5" x14ac:dyDescent="0.3">
      <c r="A2187" s="2">
        <f ca="1">INDEX(Simulations!$A$1:$BK$2501, 2187, MATCH("PurchaseMultiple", Simulations!$A$1:$BK$1, 0))</f>
        <v>7.3056341696963161</v>
      </c>
      <c r="B2187" s="2">
        <f ca="1">INDEX(Simulations!$A$1:$BK$2501, 2187, MATCH("ExitMultiple", Simulations!$A$1:$BK$1, 0))</f>
        <v>7.8294667931121005</v>
      </c>
      <c r="C2187" s="2">
        <f ca="1">INDEX(Simulations!$A$1:$BK$2501, 2187, MATCH("RevCAGR", Simulations!$A$1:$BK$1, 0))</f>
        <v>0.10789817279526945</v>
      </c>
      <c r="D2187" s="2">
        <f ca="1">INDEX(Simulations!$A$1:$BK$2501, 2187, MATCH("SynMargin", Simulations!$A$1:$BK$1, 0))</f>
        <v>1.6535268942304837E-2</v>
      </c>
      <c r="E2187" s="2">
        <f ca="1">INDEX(Simulations!$A$1:$BK$2501, 2187, MATCH("Yr1Shock", Simulations!$A$1:$BK$1, 0))</f>
        <v>-1.8725588964872166E-2</v>
      </c>
    </row>
    <row r="2188" spans="1:5" x14ac:dyDescent="0.3">
      <c r="A2188" s="2">
        <f ca="1">INDEX(Simulations!$A$1:$BK$2501, 2188, MATCH("PurchaseMultiple", Simulations!$A$1:$BK$1, 0))</f>
        <v>6.9362782387374446</v>
      </c>
      <c r="B2188" s="2">
        <f ca="1">INDEX(Simulations!$A$1:$BK$2501, 2188, MATCH("ExitMultiple", Simulations!$A$1:$BK$1, 0))</f>
        <v>7.2803115100832816</v>
      </c>
      <c r="C2188" s="2">
        <f ca="1">INDEX(Simulations!$A$1:$BK$2501, 2188, MATCH("RevCAGR", Simulations!$A$1:$BK$1, 0))</f>
        <v>2.0516298687450502E-2</v>
      </c>
      <c r="D2188" s="2">
        <f ca="1">INDEX(Simulations!$A$1:$BK$2501, 2188, MATCH("SynMargin", Simulations!$A$1:$BK$1, 0))</f>
        <v>1.3430649900936441E-2</v>
      </c>
      <c r="E2188" s="2">
        <f ca="1">INDEX(Simulations!$A$1:$BK$2501, 2188, MATCH("Yr1Shock", Simulations!$A$1:$BK$1, 0))</f>
        <v>-2.0409264957249037E-2</v>
      </c>
    </row>
    <row r="2189" spans="1:5" x14ac:dyDescent="0.3">
      <c r="A2189" s="2">
        <f ca="1">INDEX(Simulations!$A$1:$BK$2501, 2189, MATCH("PurchaseMultiple", Simulations!$A$1:$BK$1, 0))</f>
        <v>6.8536198696737856</v>
      </c>
      <c r="B2189" s="2">
        <f ca="1">INDEX(Simulations!$A$1:$BK$2501, 2189, MATCH("ExitMultiple", Simulations!$A$1:$BK$1, 0))</f>
        <v>7.2858770641508528</v>
      </c>
      <c r="C2189" s="2">
        <f ca="1">INDEX(Simulations!$A$1:$BK$2501, 2189, MATCH("RevCAGR", Simulations!$A$1:$BK$1, 0))</f>
        <v>7.1338736346703929E-2</v>
      </c>
      <c r="D2189" s="2">
        <f ca="1">INDEX(Simulations!$A$1:$BK$2501, 2189, MATCH("SynMargin", Simulations!$A$1:$BK$1, 0))</f>
        <v>1.1811835480153351E-2</v>
      </c>
      <c r="E2189" s="2">
        <f ca="1">INDEX(Simulations!$A$1:$BK$2501, 2189, MATCH("Yr1Shock", Simulations!$A$1:$BK$1, 0))</f>
        <v>-0.05</v>
      </c>
    </row>
    <row r="2190" spans="1:5" x14ac:dyDescent="0.3">
      <c r="A2190" s="2">
        <f ca="1">INDEX(Simulations!$A$1:$BK$2501, 2190, MATCH("PurchaseMultiple", Simulations!$A$1:$BK$1, 0))</f>
        <v>6.7735828461789156</v>
      </c>
      <c r="B2190" s="2">
        <f ca="1">INDEX(Simulations!$A$1:$BK$2501, 2190, MATCH("ExitMultiple", Simulations!$A$1:$BK$1, 0))</f>
        <v>7.6113078634206488</v>
      </c>
      <c r="C2190" s="2">
        <f ca="1">INDEX(Simulations!$A$1:$BK$2501, 2190, MATCH("RevCAGR", Simulations!$A$1:$BK$1, 0))</f>
        <v>4.1261713596818531E-2</v>
      </c>
      <c r="D2190" s="2">
        <f ca="1">INDEX(Simulations!$A$1:$BK$2501, 2190, MATCH("SynMargin", Simulations!$A$1:$BK$1, 0))</f>
        <v>1.8699257405396314E-2</v>
      </c>
      <c r="E2190" s="2">
        <f ca="1">INDEX(Simulations!$A$1:$BK$2501, 2190, MATCH("Yr1Shock", Simulations!$A$1:$BK$1, 0))</f>
        <v>1.0371937430409914E-2</v>
      </c>
    </row>
    <row r="2191" spans="1:5" x14ac:dyDescent="0.3">
      <c r="A2191" s="2">
        <f ca="1">INDEX(Simulations!$A$1:$BK$2501, 2191, MATCH("PurchaseMultiple", Simulations!$A$1:$BK$1, 0))</f>
        <v>7.6692483224087393</v>
      </c>
      <c r="B2191" s="2">
        <f ca="1">INDEX(Simulations!$A$1:$BK$2501, 2191, MATCH("ExitMultiple", Simulations!$A$1:$BK$1, 0))</f>
        <v>7.6532671174906826</v>
      </c>
      <c r="C2191" s="2">
        <f ca="1">INDEX(Simulations!$A$1:$BK$2501, 2191, MATCH("RevCAGR", Simulations!$A$1:$BK$1, 0))</f>
        <v>9.3455310535782044E-2</v>
      </c>
      <c r="D2191" s="2">
        <f ca="1">INDEX(Simulations!$A$1:$BK$2501, 2191, MATCH("SynMargin", Simulations!$A$1:$BK$1, 0))</f>
        <v>5.0613821876694448E-3</v>
      </c>
      <c r="E2191" s="2">
        <f ca="1">INDEX(Simulations!$A$1:$BK$2501, 2191, MATCH("Yr1Shock", Simulations!$A$1:$BK$1, 0))</f>
        <v>-1.4786844039602622E-2</v>
      </c>
    </row>
    <row r="2192" spans="1:5" x14ac:dyDescent="0.3">
      <c r="A2192" s="2">
        <f ca="1">INDEX(Simulations!$A$1:$BK$2501, 2192, MATCH("PurchaseMultiple", Simulations!$A$1:$BK$1, 0))</f>
        <v>7.1251592343979766</v>
      </c>
      <c r="B2192" s="2">
        <f ca="1">INDEX(Simulations!$A$1:$BK$2501, 2192, MATCH("ExitMultiple", Simulations!$A$1:$BK$1, 0))</f>
        <v>7.8505386063321776</v>
      </c>
      <c r="C2192" s="2">
        <f ca="1">INDEX(Simulations!$A$1:$BK$2501, 2192, MATCH("RevCAGR", Simulations!$A$1:$BK$1, 0))</f>
        <v>5.9838105991143239E-2</v>
      </c>
      <c r="D2192" s="2">
        <f ca="1">INDEX(Simulations!$A$1:$BK$2501, 2192, MATCH("SynMargin", Simulations!$A$1:$BK$1, 0))</f>
        <v>7.4740099374140381E-3</v>
      </c>
      <c r="E2192" s="2">
        <f ca="1">INDEX(Simulations!$A$1:$BK$2501, 2192, MATCH("Yr1Shock", Simulations!$A$1:$BK$1, 0))</f>
        <v>-2.6394452348112846E-2</v>
      </c>
    </row>
    <row r="2193" spans="1:5" x14ac:dyDescent="0.3">
      <c r="A2193" s="2">
        <f ca="1">INDEX(Simulations!$A$1:$BK$2501, 2193, MATCH("PurchaseMultiple", Simulations!$A$1:$BK$1, 0))</f>
        <v>6.8410461994968843</v>
      </c>
      <c r="B2193" s="2">
        <f ca="1">INDEX(Simulations!$A$1:$BK$2501, 2193, MATCH("ExitMultiple", Simulations!$A$1:$BK$1, 0))</f>
        <v>7.1282886583408782</v>
      </c>
      <c r="C2193" s="2">
        <f ca="1">INDEX(Simulations!$A$1:$BK$2501, 2193, MATCH("RevCAGR", Simulations!$A$1:$BK$1, 0))</f>
        <v>5.6688467969346762E-2</v>
      </c>
      <c r="D2193" s="2">
        <f ca="1">INDEX(Simulations!$A$1:$BK$2501, 2193, MATCH("SynMargin", Simulations!$A$1:$BK$1, 0))</f>
        <v>2.990615174275838E-3</v>
      </c>
      <c r="E2193" s="2">
        <f ca="1">INDEX(Simulations!$A$1:$BK$2501, 2193, MATCH("Yr1Shock", Simulations!$A$1:$BK$1, 0))</f>
        <v>-2.0543797209915254E-2</v>
      </c>
    </row>
    <row r="2194" spans="1:5" x14ac:dyDescent="0.3">
      <c r="A2194" s="2">
        <f ca="1">INDEX(Simulations!$A$1:$BK$2501, 2194, MATCH("PurchaseMultiple", Simulations!$A$1:$BK$1, 0))</f>
        <v>7.0482189188858575</v>
      </c>
      <c r="B2194" s="2">
        <f ca="1">INDEX(Simulations!$A$1:$BK$2501, 2194, MATCH("ExitMultiple", Simulations!$A$1:$BK$1, 0))</f>
        <v>7.377653809189173</v>
      </c>
      <c r="C2194" s="2">
        <f ca="1">INDEX(Simulations!$A$1:$BK$2501, 2194, MATCH("RevCAGR", Simulations!$A$1:$BK$1, 0))</f>
        <v>2.6430580682000288E-2</v>
      </c>
      <c r="D2194" s="2">
        <f ca="1">INDEX(Simulations!$A$1:$BK$2501, 2194, MATCH("SynMargin", Simulations!$A$1:$BK$1, 0))</f>
        <v>1.5392647535193999E-3</v>
      </c>
      <c r="E2194" s="2">
        <f ca="1">INDEX(Simulations!$A$1:$BK$2501, 2194, MATCH("Yr1Shock", Simulations!$A$1:$BK$1, 0))</f>
        <v>4.6575839705232536E-3</v>
      </c>
    </row>
    <row r="2195" spans="1:5" x14ac:dyDescent="0.3">
      <c r="A2195" s="2">
        <f ca="1">INDEX(Simulations!$A$1:$BK$2501, 2195, MATCH("PurchaseMultiple", Simulations!$A$1:$BK$1, 0))</f>
        <v>7.2493531648784222</v>
      </c>
      <c r="B2195" s="2">
        <f ca="1">INDEX(Simulations!$A$1:$BK$2501, 2195, MATCH("ExitMultiple", Simulations!$A$1:$BK$1, 0))</f>
        <v>6.9141972313411477</v>
      </c>
      <c r="C2195" s="2">
        <f ca="1">INDEX(Simulations!$A$1:$BK$2501, 2195, MATCH("RevCAGR", Simulations!$A$1:$BK$1, 0))</f>
        <v>2.0578183679902839E-2</v>
      </c>
      <c r="D2195" s="2">
        <f ca="1">INDEX(Simulations!$A$1:$BK$2501, 2195, MATCH("SynMargin", Simulations!$A$1:$BK$1, 0))</f>
        <v>1.0257392635160671E-2</v>
      </c>
      <c r="E2195" s="2">
        <f ca="1">INDEX(Simulations!$A$1:$BK$2501, 2195, MATCH("Yr1Shock", Simulations!$A$1:$BK$1, 0))</f>
        <v>-1.9238436109368894E-2</v>
      </c>
    </row>
    <row r="2196" spans="1:5" x14ac:dyDescent="0.3">
      <c r="A2196" s="2">
        <f ca="1">INDEX(Simulations!$A$1:$BK$2501, 2196, MATCH("PurchaseMultiple", Simulations!$A$1:$BK$1, 0))</f>
        <v>6.8207628177314419</v>
      </c>
      <c r="B2196" s="2">
        <f ca="1">INDEX(Simulations!$A$1:$BK$2501, 2196, MATCH("ExitMultiple", Simulations!$A$1:$BK$1, 0))</f>
        <v>7.2157927139176454</v>
      </c>
      <c r="C2196" s="2">
        <f ca="1">INDEX(Simulations!$A$1:$BK$2501, 2196, MATCH("RevCAGR", Simulations!$A$1:$BK$1, 0))</f>
        <v>6.3528077867166952E-2</v>
      </c>
      <c r="D2196" s="2">
        <f ca="1">INDEX(Simulations!$A$1:$BK$2501, 2196, MATCH("SynMargin", Simulations!$A$1:$BK$1, 0))</f>
        <v>1.3583900862113706E-2</v>
      </c>
      <c r="E2196" s="2">
        <f ca="1">INDEX(Simulations!$A$1:$BK$2501, 2196, MATCH("Yr1Shock", Simulations!$A$1:$BK$1, 0))</f>
        <v>1.3091600799225184E-2</v>
      </c>
    </row>
    <row r="2197" spans="1:5" x14ac:dyDescent="0.3">
      <c r="A2197" s="2">
        <f ca="1">INDEX(Simulations!$A$1:$BK$2501, 2197, MATCH("PurchaseMultiple", Simulations!$A$1:$BK$1, 0))</f>
        <v>6.7154066026619663</v>
      </c>
      <c r="B2197" s="2">
        <f ca="1">INDEX(Simulations!$A$1:$BK$2501, 2197, MATCH("ExitMultiple", Simulations!$A$1:$BK$1, 0))</f>
        <v>8.2462268755692172</v>
      </c>
      <c r="C2197" s="2">
        <f ca="1">INDEX(Simulations!$A$1:$BK$2501, 2197, MATCH("RevCAGR", Simulations!$A$1:$BK$1, 0))</f>
        <v>6.5226237398260278E-2</v>
      </c>
      <c r="D2197" s="2">
        <f ca="1">INDEX(Simulations!$A$1:$BK$2501, 2197, MATCH("SynMargin", Simulations!$A$1:$BK$1, 0))</f>
        <v>4.9325398450520653E-3</v>
      </c>
      <c r="E2197" s="2">
        <f ca="1">INDEX(Simulations!$A$1:$BK$2501, 2197, MATCH("Yr1Shock", Simulations!$A$1:$BK$1, 0))</f>
        <v>-4.5801431589820654E-3</v>
      </c>
    </row>
    <row r="2198" spans="1:5" x14ac:dyDescent="0.3">
      <c r="A2198" s="2">
        <f ca="1">INDEX(Simulations!$A$1:$BK$2501, 2198, MATCH("PurchaseMultiple", Simulations!$A$1:$BK$1, 0))</f>
        <v>6.8513896246708619</v>
      </c>
      <c r="B2198" s="2">
        <f ca="1">INDEX(Simulations!$A$1:$BK$2501, 2198, MATCH("ExitMultiple", Simulations!$A$1:$BK$1, 0))</f>
        <v>7.3593821526710812</v>
      </c>
      <c r="C2198" s="2">
        <f ca="1">INDEX(Simulations!$A$1:$BK$2501, 2198, MATCH("RevCAGR", Simulations!$A$1:$BK$1, 0))</f>
        <v>1.7158700337318471E-2</v>
      </c>
      <c r="D2198" s="2">
        <f ca="1">INDEX(Simulations!$A$1:$BK$2501, 2198, MATCH("SynMargin", Simulations!$A$1:$BK$1, 0))</f>
        <v>1.125773950207817E-2</v>
      </c>
      <c r="E2198" s="2">
        <f ca="1">INDEX(Simulations!$A$1:$BK$2501, 2198, MATCH("Yr1Shock", Simulations!$A$1:$BK$1, 0))</f>
        <v>2.0900925291900144E-2</v>
      </c>
    </row>
    <row r="2199" spans="1:5" x14ac:dyDescent="0.3">
      <c r="A2199" s="2">
        <f ca="1">INDEX(Simulations!$A$1:$BK$2501, 2199, MATCH("PurchaseMultiple", Simulations!$A$1:$BK$1, 0))</f>
        <v>6.6419260453001812</v>
      </c>
      <c r="B2199" s="2">
        <f ca="1">INDEX(Simulations!$A$1:$BK$2501, 2199, MATCH("ExitMultiple", Simulations!$A$1:$BK$1, 0))</f>
        <v>7.3124214719371423</v>
      </c>
      <c r="C2199" s="2">
        <f ca="1">INDEX(Simulations!$A$1:$BK$2501, 2199, MATCH("RevCAGR", Simulations!$A$1:$BK$1, 0))</f>
        <v>9.9609950635988723E-2</v>
      </c>
      <c r="D2199" s="2">
        <f ca="1">INDEX(Simulations!$A$1:$BK$2501, 2199, MATCH("SynMargin", Simulations!$A$1:$BK$1, 0))</f>
        <v>4.6732863264861736E-3</v>
      </c>
      <c r="E2199" s="2">
        <f ca="1">INDEX(Simulations!$A$1:$BK$2501, 2199, MATCH("Yr1Shock", Simulations!$A$1:$BK$1, 0))</f>
        <v>6.807218486215451E-3</v>
      </c>
    </row>
    <row r="2200" spans="1:5" x14ac:dyDescent="0.3">
      <c r="A2200" s="2">
        <f ca="1">INDEX(Simulations!$A$1:$BK$2501, 2200, MATCH("PurchaseMultiple", Simulations!$A$1:$BK$1, 0))</f>
        <v>7.3013263986169905</v>
      </c>
      <c r="B2200" s="2">
        <f ca="1">INDEX(Simulations!$A$1:$BK$2501, 2200, MATCH("ExitMultiple", Simulations!$A$1:$BK$1, 0))</f>
        <v>7.3653888333901198</v>
      </c>
      <c r="C2200" s="2">
        <f ca="1">INDEX(Simulations!$A$1:$BK$2501, 2200, MATCH("RevCAGR", Simulations!$A$1:$BK$1, 0))</f>
        <v>-3.6336308731188954E-3</v>
      </c>
      <c r="D2200" s="2">
        <f ca="1">INDEX(Simulations!$A$1:$BK$2501, 2200, MATCH("SynMargin", Simulations!$A$1:$BK$1, 0))</f>
        <v>6.8195105394098666E-3</v>
      </c>
      <c r="E2200" s="2">
        <f ca="1">INDEX(Simulations!$A$1:$BK$2501, 2200, MATCH("Yr1Shock", Simulations!$A$1:$BK$1, 0))</f>
        <v>-3.5265620483877584E-4</v>
      </c>
    </row>
    <row r="2201" spans="1:5" x14ac:dyDescent="0.3">
      <c r="A2201" s="2">
        <f ca="1">INDEX(Simulations!$A$1:$BK$2501, 2201, MATCH("PurchaseMultiple", Simulations!$A$1:$BK$1, 0))</f>
        <v>7.2983791833465919</v>
      </c>
      <c r="B2201" s="2">
        <f ca="1">INDEX(Simulations!$A$1:$BK$2501, 2201, MATCH("ExitMultiple", Simulations!$A$1:$BK$1, 0))</f>
        <v>7.4244204750452303</v>
      </c>
      <c r="C2201" s="2">
        <f ca="1">INDEX(Simulations!$A$1:$BK$2501, 2201, MATCH("RevCAGR", Simulations!$A$1:$BK$1, 0))</f>
        <v>-0.02</v>
      </c>
      <c r="D2201" s="2">
        <f ca="1">INDEX(Simulations!$A$1:$BK$2501, 2201, MATCH("SynMargin", Simulations!$A$1:$BK$1, 0))</f>
        <v>4.3565394186506614E-3</v>
      </c>
      <c r="E2201" s="2">
        <f ca="1">INDEX(Simulations!$A$1:$BK$2501, 2201, MATCH("Yr1Shock", Simulations!$A$1:$BK$1, 0))</f>
        <v>2.7265232107015383E-2</v>
      </c>
    </row>
    <row r="2202" spans="1:5" x14ac:dyDescent="0.3">
      <c r="A2202" s="2">
        <f ca="1">INDEX(Simulations!$A$1:$BK$2501, 2202, MATCH("PurchaseMultiple", Simulations!$A$1:$BK$1, 0))</f>
        <v>7.9163940169432703</v>
      </c>
      <c r="B2202" s="2">
        <f ca="1">INDEX(Simulations!$A$1:$BK$2501, 2202, MATCH("ExitMultiple", Simulations!$A$1:$BK$1, 0))</f>
        <v>6.745128094904322</v>
      </c>
      <c r="C2202" s="2">
        <f ca="1">INDEX(Simulations!$A$1:$BK$2501, 2202, MATCH("RevCAGR", Simulations!$A$1:$BK$1, 0))</f>
        <v>9.1760673584683164E-2</v>
      </c>
      <c r="D2202" s="2">
        <f ca="1">INDEX(Simulations!$A$1:$BK$2501, 2202, MATCH("SynMargin", Simulations!$A$1:$BK$1, 0))</f>
        <v>1.5811680699760414E-2</v>
      </c>
      <c r="E2202" s="2">
        <f ca="1">INDEX(Simulations!$A$1:$BK$2501, 2202, MATCH("Yr1Shock", Simulations!$A$1:$BK$1, 0))</f>
        <v>-3.2617454959852354E-2</v>
      </c>
    </row>
    <row r="2203" spans="1:5" x14ac:dyDescent="0.3">
      <c r="A2203" s="2">
        <f ca="1">INDEX(Simulations!$A$1:$BK$2501, 2203, MATCH("PurchaseMultiple", Simulations!$A$1:$BK$1, 0))</f>
        <v>6.8365454134888211</v>
      </c>
      <c r="B2203" s="2">
        <f ca="1">INDEX(Simulations!$A$1:$BK$2501, 2203, MATCH("ExitMultiple", Simulations!$A$1:$BK$1, 0))</f>
        <v>7.0941317142956244</v>
      </c>
      <c r="C2203" s="2">
        <f ca="1">INDEX(Simulations!$A$1:$BK$2501, 2203, MATCH("RevCAGR", Simulations!$A$1:$BK$1, 0))</f>
        <v>7.5751871154927514E-2</v>
      </c>
      <c r="D2203" s="2">
        <f ca="1">INDEX(Simulations!$A$1:$BK$2501, 2203, MATCH("SynMargin", Simulations!$A$1:$BK$1, 0))</f>
        <v>9.8934236718481346E-3</v>
      </c>
      <c r="E2203" s="2">
        <f ca="1">INDEX(Simulations!$A$1:$BK$2501, 2203, MATCH("Yr1Shock", Simulations!$A$1:$BK$1, 0))</f>
        <v>7.860664381567661E-3</v>
      </c>
    </row>
    <row r="2204" spans="1:5" x14ac:dyDescent="0.3">
      <c r="A2204" s="2">
        <f ca="1">INDEX(Simulations!$A$1:$BK$2501, 2204, MATCH("PurchaseMultiple", Simulations!$A$1:$BK$1, 0))</f>
        <v>6.6284469346705892</v>
      </c>
      <c r="B2204" s="2">
        <f ca="1">INDEX(Simulations!$A$1:$BK$2501, 2204, MATCH("ExitMultiple", Simulations!$A$1:$BK$1, 0))</f>
        <v>8.3201965376158906</v>
      </c>
      <c r="C2204" s="2">
        <f ca="1">INDEX(Simulations!$A$1:$BK$2501, 2204, MATCH("RevCAGR", Simulations!$A$1:$BK$1, 0))</f>
        <v>-0.02</v>
      </c>
      <c r="D2204" s="2">
        <f ca="1">INDEX(Simulations!$A$1:$BK$2501, 2204, MATCH("SynMargin", Simulations!$A$1:$BK$1, 0))</f>
        <v>9.3154045304557481E-3</v>
      </c>
      <c r="E2204" s="2">
        <f ca="1">INDEX(Simulations!$A$1:$BK$2501, 2204, MATCH("Yr1Shock", Simulations!$A$1:$BK$1, 0))</f>
        <v>4.0679212205208301E-2</v>
      </c>
    </row>
    <row r="2205" spans="1:5" x14ac:dyDescent="0.3">
      <c r="A2205" s="2">
        <f ca="1">INDEX(Simulations!$A$1:$BK$2501, 2205, MATCH("PurchaseMultiple", Simulations!$A$1:$BK$1, 0))</f>
        <v>6.7257015014321793</v>
      </c>
      <c r="B2205" s="2">
        <f ca="1">INDEX(Simulations!$A$1:$BK$2501, 2205, MATCH("ExitMultiple", Simulations!$A$1:$BK$1, 0))</f>
        <v>7.6980458412135642</v>
      </c>
      <c r="C2205" s="2">
        <f ca="1">INDEX(Simulations!$A$1:$BK$2501, 2205, MATCH("RevCAGR", Simulations!$A$1:$BK$1, 0))</f>
        <v>4.1699586630583103E-2</v>
      </c>
      <c r="D2205" s="2">
        <f ca="1">INDEX(Simulations!$A$1:$BK$2501, 2205, MATCH("SynMargin", Simulations!$A$1:$BK$1, 0))</f>
        <v>6.2276298226240957E-3</v>
      </c>
      <c r="E2205" s="2">
        <f ca="1">INDEX(Simulations!$A$1:$BK$2501, 2205, MATCH("Yr1Shock", Simulations!$A$1:$BK$1, 0))</f>
        <v>4.1204944058563814E-2</v>
      </c>
    </row>
    <row r="2206" spans="1:5" x14ac:dyDescent="0.3">
      <c r="A2206" s="2">
        <f ca="1">INDEX(Simulations!$A$1:$BK$2501, 2206, MATCH("PurchaseMultiple", Simulations!$A$1:$BK$1, 0))</f>
        <v>6.706826416644823</v>
      </c>
      <c r="B2206" s="2">
        <f ca="1">INDEX(Simulations!$A$1:$BK$2501, 2206, MATCH("ExitMultiple", Simulations!$A$1:$BK$1, 0))</f>
        <v>7.2735377751382284</v>
      </c>
      <c r="C2206" s="2">
        <f ca="1">INDEX(Simulations!$A$1:$BK$2501, 2206, MATCH("RevCAGR", Simulations!$A$1:$BK$1, 0))</f>
        <v>2.8196627812214863E-2</v>
      </c>
      <c r="D2206" s="2">
        <f ca="1">INDEX(Simulations!$A$1:$BK$2501, 2206, MATCH("SynMargin", Simulations!$A$1:$BK$1, 0))</f>
        <v>1.2775757087116337E-2</v>
      </c>
      <c r="E2206" s="2">
        <f ca="1">INDEX(Simulations!$A$1:$BK$2501, 2206, MATCH("Yr1Shock", Simulations!$A$1:$BK$1, 0))</f>
        <v>-6.2988862153926146E-4</v>
      </c>
    </row>
    <row r="2207" spans="1:5" x14ac:dyDescent="0.3">
      <c r="A2207" s="2">
        <f ca="1">INDEX(Simulations!$A$1:$BK$2501, 2207, MATCH("PurchaseMultiple", Simulations!$A$1:$BK$1, 0))</f>
        <v>7.3931796561465033</v>
      </c>
      <c r="B2207" s="2">
        <f ca="1">INDEX(Simulations!$A$1:$BK$2501, 2207, MATCH("ExitMultiple", Simulations!$A$1:$BK$1, 0))</f>
        <v>7.6824757446578733</v>
      </c>
      <c r="C2207" s="2">
        <f ca="1">INDEX(Simulations!$A$1:$BK$2501, 2207, MATCH("RevCAGR", Simulations!$A$1:$BK$1, 0))</f>
        <v>1.0335678566561337E-2</v>
      </c>
      <c r="D2207" s="2">
        <f ca="1">INDEX(Simulations!$A$1:$BK$2501, 2207, MATCH("SynMargin", Simulations!$A$1:$BK$1, 0))</f>
        <v>6.2007664664415936E-3</v>
      </c>
      <c r="E2207" s="2">
        <f ca="1">INDEX(Simulations!$A$1:$BK$2501, 2207, MATCH("Yr1Shock", Simulations!$A$1:$BK$1, 0))</f>
        <v>-6.8088763811055043E-4</v>
      </c>
    </row>
    <row r="2208" spans="1:5" x14ac:dyDescent="0.3">
      <c r="A2208" s="2">
        <f ca="1">INDEX(Simulations!$A$1:$BK$2501, 2208, MATCH("PurchaseMultiple", Simulations!$A$1:$BK$1, 0))</f>
        <v>7.4733231876551072</v>
      </c>
      <c r="B2208" s="2">
        <f ca="1">INDEX(Simulations!$A$1:$BK$2501, 2208, MATCH("ExitMultiple", Simulations!$A$1:$BK$1, 0))</f>
        <v>8.0462977853734738</v>
      </c>
      <c r="C2208" s="2">
        <f ca="1">INDEX(Simulations!$A$1:$BK$2501, 2208, MATCH("RevCAGR", Simulations!$A$1:$BK$1, 0))</f>
        <v>4.324851634010498E-2</v>
      </c>
      <c r="D2208" s="2">
        <f ca="1">INDEX(Simulations!$A$1:$BK$2501, 2208, MATCH("SynMargin", Simulations!$A$1:$BK$1, 0))</f>
        <v>8.0034714072888345E-3</v>
      </c>
      <c r="E2208" s="2">
        <f ca="1">INDEX(Simulations!$A$1:$BK$2501, 2208, MATCH("Yr1Shock", Simulations!$A$1:$BK$1, 0))</f>
        <v>5.3356289155679715E-3</v>
      </c>
    </row>
    <row r="2209" spans="1:5" x14ac:dyDescent="0.3">
      <c r="A2209" s="2">
        <f ca="1">INDEX(Simulations!$A$1:$BK$2501, 2209, MATCH("PurchaseMultiple", Simulations!$A$1:$BK$1, 0))</f>
        <v>6.9843212427933699</v>
      </c>
      <c r="B2209" s="2">
        <f ca="1">INDEX(Simulations!$A$1:$BK$2501, 2209, MATCH("ExitMultiple", Simulations!$A$1:$BK$1, 0))</f>
        <v>7.2270758180485286</v>
      </c>
      <c r="C2209" s="2">
        <f ca="1">INDEX(Simulations!$A$1:$BK$2501, 2209, MATCH("RevCAGR", Simulations!$A$1:$BK$1, 0))</f>
        <v>1.8278617762595553E-2</v>
      </c>
      <c r="D2209" s="2">
        <f ca="1">INDEX(Simulations!$A$1:$BK$2501, 2209, MATCH("SynMargin", Simulations!$A$1:$BK$1, 0))</f>
        <v>2.2672850345041573E-2</v>
      </c>
      <c r="E2209" s="2">
        <f ca="1">INDEX(Simulations!$A$1:$BK$2501, 2209, MATCH("Yr1Shock", Simulations!$A$1:$BK$1, 0))</f>
        <v>2.6101878372641451E-2</v>
      </c>
    </row>
    <row r="2210" spans="1:5" x14ac:dyDescent="0.3">
      <c r="A2210" s="2">
        <f ca="1">INDEX(Simulations!$A$1:$BK$2501, 2210, MATCH("PurchaseMultiple", Simulations!$A$1:$BK$1, 0))</f>
        <v>6.9462300116256293</v>
      </c>
      <c r="B2210" s="2">
        <f ca="1">INDEX(Simulations!$A$1:$BK$2501, 2210, MATCH("ExitMultiple", Simulations!$A$1:$BK$1, 0))</f>
        <v>7.7707452408335724</v>
      </c>
      <c r="C2210" s="2">
        <f ca="1">INDEX(Simulations!$A$1:$BK$2501, 2210, MATCH("RevCAGR", Simulations!$A$1:$BK$1, 0))</f>
        <v>3.7729746018108537E-2</v>
      </c>
      <c r="D2210" s="2">
        <f ca="1">INDEX(Simulations!$A$1:$BK$2501, 2210, MATCH("SynMargin", Simulations!$A$1:$BK$1, 0))</f>
        <v>1.1249613137163491E-2</v>
      </c>
      <c r="E2210" s="2">
        <f ca="1">INDEX(Simulations!$A$1:$BK$2501, 2210, MATCH("Yr1Shock", Simulations!$A$1:$BK$1, 0))</f>
        <v>-2.4235130851600544E-2</v>
      </c>
    </row>
    <row r="2211" spans="1:5" x14ac:dyDescent="0.3">
      <c r="A2211" s="2">
        <f ca="1">INDEX(Simulations!$A$1:$BK$2501, 2211, MATCH("PurchaseMultiple", Simulations!$A$1:$BK$1, 0))</f>
        <v>6.2922408835518686</v>
      </c>
      <c r="B2211" s="2">
        <f ca="1">INDEX(Simulations!$A$1:$BK$2501, 2211, MATCH("ExitMultiple", Simulations!$A$1:$BK$1, 0))</f>
        <v>7.7722443822379272</v>
      </c>
      <c r="C2211" s="2">
        <f ca="1">INDEX(Simulations!$A$1:$BK$2501, 2211, MATCH("RevCAGR", Simulations!$A$1:$BK$1, 0))</f>
        <v>4.8068974488400612E-2</v>
      </c>
      <c r="D2211" s="2">
        <f ca="1">INDEX(Simulations!$A$1:$BK$2501, 2211, MATCH("SynMargin", Simulations!$A$1:$BK$1, 0))</f>
        <v>1.1209424720040316E-2</v>
      </c>
      <c r="E2211" s="2">
        <f ca="1">INDEX(Simulations!$A$1:$BK$2501, 2211, MATCH("Yr1Shock", Simulations!$A$1:$BK$1, 0))</f>
        <v>-1.7343216712788344E-2</v>
      </c>
    </row>
    <row r="2212" spans="1:5" x14ac:dyDescent="0.3">
      <c r="A2212" s="2">
        <f ca="1">INDEX(Simulations!$A$1:$BK$2501, 2212, MATCH("PurchaseMultiple", Simulations!$A$1:$BK$1, 0))</f>
        <v>7.1113098985294458</v>
      </c>
      <c r="B2212" s="2">
        <f ca="1">INDEX(Simulations!$A$1:$BK$2501, 2212, MATCH("ExitMultiple", Simulations!$A$1:$BK$1, 0))</f>
        <v>8.1204493472247652</v>
      </c>
      <c r="C2212" s="2">
        <f ca="1">INDEX(Simulations!$A$1:$BK$2501, 2212, MATCH("RevCAGR", Simulations!$A$1:$BK$1, 0))</f>
        <v>4.8034023881052226E-2</v>
      </c>
      <c r="D2212" s="2">
        <f ca="1">INDEX(Simulations!$A$1:$BK$2501, 2212, MATCH("SynMargin", Simulations!$A$1:$BK$1, 0))</f>
        <v>6.412112350554406E-3</v>
      </c>
      <c r="E2212" s="2">
        <f ca="1">INDEX(Simulations!$A$1:$BK$2501, 2212, MATCH("Yr1Shock", Simulations!$A$1:$BK$1, 0))</f>
        <v>-1.025486298589851E-2</v>
      </c>
    </row>
    <row r="2213" spans="1:5" x14ac:dyDescent="0.3">
      <c r="A2213" s="2">
        <f ca="1">INDEX(Simulations!$A$1:$BK$2501, 2213, MATCH("PurchaseMultiple", Simulations!$A$1:$BK$1, 0))</f>
        <v>7.284976522656601</v>
      </c>
      <c r="B2213" s="2">
        <f ca="1">INDEX(Simulations!$A$1:$BK$2501, 2213, MATCH("ExitMultiple", Simulations!$A$1:$BK$1, 0))</f>
        <v>7.3676922452957143</v>
      </c>
      <c r="C2213" s="2">
        <f ca="1">INDEX(Simulations!$A$1:$BK$2501, 2213, MATCH("RevCAGR", Simulations!$A$1:$BK$1, 0))</f>
        <v>6.7388273916853231E-2</v>
      </c>
      <c r="D2213" s="2">
        <f ca="1">INDEX(Simulations!$A$1:$BK$2501, 2213, MATCH("SynMargin", Simulations!$A$1:$BK$1, 0))</f>
        <v>8.5496454203328916E-3</v>
      </c>
      <c r="E2213" s="2">
        <f ca="1">INDEX(Simulations!$A$1:$BK$2501, 2213, MATCH("Yr1Shock", Simulations!$A$1:$BK$1, 0))</f>
        <v>4.5423787008376029E-3</v>
      </c>
    </row>
    <row r="2214" spans="1:5" x14ac:dyDescent="0.3">
      <c r="A2214" s="2">
        <f ca="1">INDEX(Simulations!$A$1:$BK$2501, 2214, MATCH("PurchaseMultiple", Simulations!$A$1:$BK$1, 0))</f>
        <v>6.612423312681849</v>
      </c>
      <c r="B2214" s="2">
        <f ca="1">INDEX(Simulations!$A$1:$BK$2501, 2214, MATCH("ExitMultiple", Simulations!$A$1:$BK$1, 0))</f>
        <v>6.8172837591764477</v>
      </c>
      <c r="C2214" s="2">
        <f ca="1">INDEX(Simulations!$A$1:$BK$2501, 2214, MATCH("RevCAGR", Simulations!$A$1:$BK$1, 0))</f>
        <v>6.9851549062051072E-2</v>
      </c>
      <c r="D2214" s="2">
        <f ca="1">INDEX(Simulations!$A$1:$BK$2501, 2214, MATCH("SynMargin", Simulations!$A$1:$BK$1, 0))</f>
        <v>1.2119097781183183E-2</v>
      </c>
      <c r="E2214" s="2">
        <f ca="1">INDEX(Simulations!$A$1:$BK$2501, 2214, MATCH("Yr1Shock", Simulations!$A$1:$BK$1, 0))</f>
        <v>5.2075060624672429E-5</v>
      </c>
    </row>
    <row r="2215" spans="1:5" x14ac:dyDescent="0.3">
      <c r="A2215" s="2">
        <f ca="1">INDEX(Simulations!$A$1:$BK$2501, 2215, MATCH("PurchaseMultiple", Simulations!$A$1:$BK$1, 0))</f>
        <v>7.4736357671453106</v>
      </c>
      <c r="B2215" s="2">
        <f ca="1">INDEX(Simulations!$A$1:$BK$2501, 2215, MATCH("ExitMultiple", Simulations!$A$1:$BK$1, 0))</f>
        <v>6.8669974327480672</v>
      </c>
      <c r="C2215" s="2">
        <f ca="1">INDEX(Simulations!$A$1:$BK$2501, 2215, MATCH("RevCAGR", Simulations!$A$1:$BK$1, 0))</f>
        <v>1.5553921435810841E-2</v>
      </c>
      <c r="D2215" s="2">
        <f ca="1">INDEX(Simulations!$A$1:$BK$2501, 2215, MATCH("SynMargin", Simulations!$A$1:$BK$1, 0))</f>
        <v>4.0041372409472357E-3</v>
      </c>
      <c r="E2215" s="2">
        <f ca="1">INDEX(Simulations!$A$1:$BK$2501, 2215, MATCH("Yr1Shock", Simulations!$A$1:$BK$1, 0))</f>
        <v>-1.0068373160125764E-2</v>
      </c>
    </row>
    <row r="2216" spans="1:5" x14ac:dyDescent="0.3">
      <c r="A2216" s="2">
        <f ca="1">INDEX(Simulations!$A$1:$BK$2501, 2216, MATCH("PurchaseMultiple", Simulations!$A$1:$BK$1, 0))</f>
        <v>7.2356721577314342</v>
      </c>
      <c r="B2216" s="2">
        <f ca="1">INDEX(Simulations!$A$1:$BK$2501, 2216, MATCH("ExitMultiple", Simulations!$A$1:$BK$1, 0))</f>
        <v>7.18649794101285</v>
      </c>
      <c r="C2216" s="2">
        <f ca="1">INDEX(Simulations!$A$1:$BK$2501, 2216, MATCH("RevCAGR", Simulations!$A$1:$BK$1, 0))</f>
        <v>-0.02</v>
      </c>
      <c r="D2216" s="2">
        <f ca="1">INDEX(Simulations!$A$1:$BK$2501, 2216, MATCH("SynMargin", Simulations!$A$1:$BK$1, 0))</f>
        <v>4.4066311085127832E-3</v>
      </c>
      <c r="E2216" s="2">
        <f ca="1">INDEX(Simulations!$A$1:$BK$2501, 2216, MATCH("Yr1Shock", Simulations!$A$1:$BK$1, 0))</f>
        <v>3.9584322183198788E-2</v>
      </c>
    </row>
    <row r="2217" spans="1:5" x14ac:dyDescent="0.3">
      <c r="A2217" s="2">
        <f ca="1">INDEX(Simulations!$A$1:$BK$2501, 2217, MATCH("PurchaseMultiple", Simulations!$A$1:$BK$1, 0))</f>
        <v>6.4069258996772147</v>
      </c>
      <c r="B2217" s="2">
        <f ca="1">INDEX(Simulations!$A$1:$BK$2501, 2217, MATCH("ExitMultiple", Simulations!$A$1:$BK$1, 0))</f>
        <v>7.4373597008806005</v>
      </c>
      <c r="C2217" s="2">
        <f ca="1">INDEX(Simulations!$A$1:$BK$2501, 2217, MATCH("RevCAGR", Simulations!$A$1:$BK$1, 0))</f>
        <v>5.255852463156209E-2</v>
      </c>
      <c r="D2217" s="2">
        <f ca="1">INDEX(Simulations!$A$1:$BK$2501, 2217, MATCH("SynMargin", Simulations!$A$1:$BK$1, 0))</f>
        <v>1.2820840548181337E-2</v>
      </c>
      <c r="E2217" s="2">
        <f ca="1">INDEX(Simulations!$A$1:$BK$2501, 2217, MATCH("Yr1Shock", Simulations!$A$1:$BK$1, 0))</f>
        <v>-1.4387000656175963E-2</v>
      </c>
    </row>
    <row r="2218" spans="1:5" x14ac:dyDescent="0.3">
      <c r="A2218" s="2">
        <f ca="1">INDEX(Simulations!$A$1:$BK$2501, 2218, MATCH("PurchaseMultiple", Simulations!$A$1:$BK$1, 0))</f>
        <v>7.0147130436138401</v>
      </c>
      <c r="B2218" s="2">
        <f ca="1">INDEX(Simulations!$A$1:$BK$2501, 2218, MATCH("ExitMultiple", Simulations!$A$1:$BK$1, 0))</f>
        <v>7.2675374558817953</v>
      </c>
      <c r="C2218" s="2">
        <f ca="1">INDEX(Simulations!$A$1:$BK$2501, 2218, MATCH("RevCAGR", Simulations!$A$1:$BK$1, 0))</f>
        <v>1.8501775630051596E-2</v>
      </c>
      <c r="D2218" s="2">
        <f ca="1">INDEX(Simulations!$A$1:$BK$2501, 2218, MATCH("SynMargin", Simulations!$A$1:$BK$1, 0))</f>
        <v>1.3630283206456404E-2</v>
      </c>
      <c r="E2218" s="2">
        <f ca="1">INDEX(Simulations!$A$1:$BK$2501, 2218, MATCH("Yr1Shock", Simulations!$A$1:$BK$1, 0))</f>
        <v>8.2170282798366551E-3</v>
      </c>
    </row>
    <row r="2219" spans="1:5" x14ac:dyDescent="0.3">
      <c r="A2219" s="2">
        <f ca="1">INDEX(Simulations!$A$1:$BK$2501, 2219, MATCH("PurchaseMultiple", Simulations!$A$1:$BK$1, 0))</f>
        <v>7.8304156544128007</v>
      </c>
      <c r="B2219" s="2">
        <f ca="1">INDEX(Simulations!$A$1:$BK$2501, 2219, MATCH("ExitMultiple", Simulations!$A$1:$BK$1, 0))</f>
        <v>8.0080068062010756</v>
      </c>
      <c r="C2219" s="2">
        <f ca="1">INDEX(Simulations!$A$1:$BK$2501, 2219, MATCH("RevCAGR", Simulations!$A$1:$BK$1, 0))</f>
        <v>1.7618235711255377E-2</v>
      </c>
      <c r="D2219" s="2">
        <f ca="1">INDEX(Simulations!$A$1:$BK$2501, 2219, MATCH("SynMargin", Simulations!$A$1:$BK$1, 0))</f>
        <v>1.158598902408222E-2</v>
      </c>
      <c r="E2219" s="2">
        <f ca="1">INDEX(Simulations!$A$1:$BK$2501, 2219, MATCH("Yr1Shock", Simulations!$A$1:$BK$1, 0))</f>
        <v>-5.8000443746600095E-3</v>
      </c>
    </row>
    <row r="2220" spans="1:5" x14ac:dyDescent="0.3">
      <c r="A2220" s="2">
        <f ca="1">INDEX(Simulations!$A$1:$BK$2501, 2220, MATCH("PurchaseMultiple", Simulations!$A$1:$BK$1, 0))</f>
        <v>7.5672200355932535</v>
      </c>
      <c r="B2220" s="2">
        <f ca="1">INDEX(Simulations!$A$1:$BK$2501, 2220, MATCH("ExitMultiple", Simulations!$A$1:$BK$1, 0))</f>
        <v>7.1604988660692177</v>
      </c>
      <c r="C2220" s="2">
        <f ca="1">INDEX(Simulations!$A$1:$BK$2501, 2220, MATCH("RevCAGR", Simulations!$A$1:$BK$1, 0))</f>
        <v>8.6168637079117039E-3</v>
      </c>
      <c r="D2220" s="2">
        <f ca="1">INDEX(Simulations!$A$1:$BK$2501, 2220, MATCH("SynMargin", Simulations!$A$1:$BK$1, 0))</f>
        <v>9.365427387794837E-3</v>
      </c>
      <c r="E2220" s="2">
        <f ca="1">INDEX(Simulations!$A$1:$BK$2501, 2220, MATCH("Yr1Shock", Simulations!$A$1:$BK$1, 0))</f>
        <v>2.3992166329783609E-2</v>
      </c>
    </row>
    <row r="2221" spans="1:5" x14ac:dyDescent="0.3">
      <c r="A2221" s="2">
        <f ca="1">INDEX(Simulations!$A$1:$BK$2501, 2221, MATCH("PurchaseMultiple", Simulations!$A$1:$BK$1, 0))</f>
        <v>7.114343373186041</v>
      </c>
      <c r="B2221" s="2">
        <f ca="1">INDEX(Simulations!$A$1:$BK$2501, 2221, MATCH("ExitMultiple", Simulations!$A$1:$BK$1, 0))</f>
        <v>7.0957815027571938</v>
      </c>
      <c r="C2221" s="2">
        <f ca="1">INDEX(Simulations!$A$1:$BK$2501, 2221, MATCH("RevCAGR", Simulations!$A$1:$BK$1, 0))</f>
        <v>5.4038153089031815E-2</v>
      </c>
      <c r="D2221" s="2">
        <f ca="1">INDEX(Simulations!$A$1:$BK$2501, 2221, MATCH("SynMargin", Simulations!$A$1:$BK$1, 0))</f>
        <v>1.0306697517000182E-2</v>
      </c>
      <c r="E2221" s="2">
        <f ca="1">INDEX(Simulations!$A$1:$BK$2501, 2221, MATCH("Yr1Shock", Simulations!$A$1:$BK$1, 0))</f>
        <v>1.9384479330575607E-3</v>
      </c>
    </row>
    <row r="2222" spans="1:5" x14ac:dyDescent="0.3">
      <c r="A2222" s="2">
        <f ca="1">INDEX(Simulations!$A$1:$BK$2501, 2222, MATCH("PurchaseMultiple", Simulations!$A$1:$BK$1, 0))</f>
        <v>7.4818019513584186</v>
      </c>
      <c r="B2222" s="2">
        <f ca="1">INDEX(Simulations!$A$1:$BK$2501, 2222, MATCH("ExitMultiple", Simulations!$A$1:$BK$1, 0))</f>
        <v>7.4855965943628613</v>
      </c>
      <c r="C2222" s="2">
        <f ca="1">INDEX(Simulations!$A$1:$BK$2501, 2222, MATCH("RevCAGR", Simulations!$A$1:$BK$1, 0))</f>
        <v>5.090636071710529E-2</v>
      </c>
      <c r="D2222" s="2">
        <f ca="1">INDEX(Simulations!$A$1:$BK$2501, 2222, MATCH("SynMargin", Simulations!$A$1:$BK$1, 0))</f>
        <v>8.5136039905207607E-3</v>
      </c>
      <c r="E2222" s="2">
        <f ca="1">INDEX(Simulations!$A$1:$BK$2501, 2222, MATCH("Yr1Shock", Simulations!$A$1:$BK$1, 0))</f>
        <v>4.7665812832948865E-3</v>
      </c>
    </row>
    <row r="2223" spans="1:5" x14ac:dyDescent="0.3">
      <c r="A2223" s="2">
        <f ca="1">INDEX(Simulations!$A$1:$BK$2501, 2223, MATCH("PurchaseMultiple", Simulations!$A$1:$BK$1, 0))</f>
        <v>6.9985578975399712</v>
      </c>
      <c r="B2223" s="2">
        <f ca="1">INDEX(Simulations!$A$1:$BK$2501, 2223, MATCH("ExitMultiple", Simulations!$A$1:$BK$1, 0))</f>
        <v>7.4629946253987551</v>
      </c>
      <c r="C2223" s="2">
        <f ca="1">INDEX(Simulations!$A$1:$BK$2501, 2223, MATCH("RevCAGR", Simulations!$A$1:$BK$1, 0))</f>
        <v>8.1669198537300119E-2</v>
      </c>
      <c r="D2223" s="2">
        <f ca="1">INDEX(Simulations!$A$1:$BK$2501, 2223, MATCH("SynMargin", Simulations!$A$1:$BK$1, 0))</f>
        <v>1.1611336564525895E-2</v>
      </c>
      <c r="E2223" s="2">
        <f ca="1">INDEX(Simulations!$A$1:$BK$2501, 2223, MATCH("Yr1Shock", Simulations!$A$1:$BK$1, 0))</f>
        <v>1.573118936051373E-2</v>
      </c>
    </row>
    <row r="2224" spans="1:5" x14ac:dyDescent="0.3">
      <c r="A2224" s="2">
        <f ca="1">INDEX(Simulations!$A$1:$BK$2501, 2224, MATCH("PurchaseMultiple", Simulations!$A$1:$BK$1, 0))</f>
        <v>6.96566652184063</v>
      </c>
      <c r="B2224" s="2">
        <f ca="1">INDEX(Simulations!$A$1:$BK$2501, 2224, MATCH("ExitMultiple", Simulations!$A$1:$BK$1, 0))</f>
        <v>7.5317399558848193</v>
      </c>
      <c r="C2224" s="2">
        <f ca="1">INDEX(Simulations!$A$1:$BK$2501, 2224, MATCH("RevCAGR", Simulations!$A$1:$BK$1, 0))</f>
        <v>-1.8322012571365953E-3</v>
      </c>
      <c r="D2224" s="2">
        <f ca="1">INDEX(Simulations!$A$1:$BK$2501, 2224, MATCH("SynMargin", Simulations!$A$1:$BK$1, 0))</f>
        <v>1.1970001505164486E-2</v>
      </c>
      <c r="E2224" s="2">
        <f ca="1">INDEX(Simulations!$A$1:$BK$2501, 2224, MATCH("Yr1Shock", Simulations!$A$1:$BK$1, 0))</f>
        <v>-3.9123606894716388E-3</v>
      </c>
    </row>
    <row r="2225" spans="1:5" x14ac:dyDescent="0.3">
      <c r="A2225" s="2">
        <f ca="1">INDEX(Simulations!$A$1:$BK$2501, 2225, MATCH("PurchaseMultiple", Simulations!$A$1:$BK$1, 0))</f>
        <v>7.718089572812012</v>
      </c>
      <c r="B2225" s="2">
        <f ca="1">INDEX(Simulations!$A$1:$BK$2501, 2225, MATCH("ExitMultiple", Simulations!$A$1:$BK$1, 0))</f>
        <v>6.69152420376032</v>
      </c>
      <c r="C2225" s="2">
        <f ca="1">INDEX(Simulations!$A$1:$BK$2501, 2225, MATCH("RevCAGR", Simulations!$A$1:$BK$1, 0))</f>
        <v>5.7952750296686555E-2</v>
      </c>
      <c r="D2225" s="2">
        <f ca="1">INDEX(Simulations!$A$1:$BK$2501, 2225, MATCH("SynMargin", Simulations!$A$1:$BK$1, 0))</f>
        <v>1.0795447953905409E-2</v>
      </c>
      <c r="E2225" s="2">
        <f ca="1">INDEX(Simulations!$A$1:$BK$2501, 2225, MATCH("Yr1Shock", Simulations!$A$1:$BK$1, 0))</f>
        <v>1.7878775340714054E-2</v>
      </c>
    </row>
    <row r="2226" spans="1:5" x14ac:dyDescent="0.3">
      <c r="A2226" s="2">
        <f ca="1">INDEX(Simulations!$A$1:$BK$2501, 2226, MATCH("PurchaseMultiple", Simulations!$A$1:$BK$1, 0))</f>
        <v>6.9190262263881159</v>
      </c>
      <c r="B2226" s="2">
        <f ca="1">INDEX(Simulations!$A$1:$BK$2501, 2226, MATCH("ExitMultiple", Simulations!$A$1:$BK$1, 0))</f>
        <v>7.093729322754168</v>
      </c>
      <c r="C2226" s="2">
        <f ca="1">INDEX(Simulations!$A$1:$BK$2501, 2226, MATCH("RevCAGR", Simulations!$A$1:$BK$1, 0))</f>
        <v>2.5830058525438196E-2</v>
      </c>
      <c r="D2226" s="2">
        <f ca="1">INDEX(Simulations!$A$1:$BK$2501, 2226, MATCH("SynMargin", Simulations!$A$1:$BK$1, 0))</f>
        <v>5.227059880324474E-3</v>
      </c>
      <c r="E2226" s="2">
        <f ca="1">INDEX(Simulations!$A$1:$BK$2501, 2226, MATCH("Yr1Shock", Simulations!$A$1:$BK$1, 0))</f>
        <v>-1.1583432739109643E-2</v>
      </c>
    </row>
    <row r="2227" spans="1:5" x14ac:dyDescent="0.3">
      <c r="A2227" s="2">
        <f ca="1">INDEX(Simulations!$A$1:$BK$2501, 2227, MATCH("PurchaseMultiple", Simulations!$A$1:$BK$1, 0))</f>
        <v>7.115758502416206</v>
      </c>
      <c r="B2227" s="2">
        <f ca="1">INDEX(Simulations!$A$1:$BK$2501, 2227, MATCH("ExitMultiple", Simulations!$A$1:$BK$1, 0))</f>
        <v>7.2653737562513587</v>
      </c>
      <c r="C2227" s="2">
        <f ca="1">INDEX(Simulations!$A$1:$BK$2501, 2227, MATCH("RevCAGR", Simulations!$A$1:$BK$1, 0))</f>
        <v>2.3080892551925837E-2</v>
      </c>
      <c r="D2227" s="2">
        <f ca="1">INDEX(Simulations!$A$1:$BK$2501, 2227, MATCH("SynMargin", Simulations!$A$1:$BK$1, 0))</f>
        <v>8.949620950035958E-3</v>
      </c>
      <c r="E2227" s="2">
        <f ca="1">INDEX(Simulations!$A$1:$BK$2501, 2227, MATCH("Yr1Shock", Simulations!$A$1:$BK$1, 0))</f>
        <v>4.2002456712534782E-2</v>
      </c>
    </row>
    <row r="2228" spans="1:5" x14ac:dyDescent="0.3">
      <c r="A2228" s="2">
        <f ca="1">INDEX(Simulations!$A$1:$BK$2501, 2228, MATCH("PurchaseMultiple", Simulations!$A$1:$BK$1, 0))</f>
        <v>6.2828576689036044</v>
      </c>
      <c r="B2228" s="2">
        <f ca="1">INDEX(Simulations!$A$1:$BK$2501, 2228, MATCH("ExitMultiple", Simulations!$A$1:$BK$1, 0))</f>
        <v>7.2877635534643703</v>
      </c>
      <c r="C2228" s="2">
        <f ca="1">INDEX(Simulations!$A$1:$BK$2501, 2228, MATCH("RevCAGR", Simulations!$A$1:$BK$1, 0))</f>
        <v>3.646550714381732E-2</v>
      </c>
      <c r="D2228" s="2">
        <f ca="1">INDEX(Simulations!$A$1:$BK$2501, 2228, MATCH("SynMargin", Simulations!$A$1:$BK$1, 0))</f>
        <v>1.1646976639045925E-2</v>
      </c>
      <c r="E2228" s="2">
        <f ca="1">INDEX(Simulations!$A$1:$BK$2501, 2228, MATCH("Yr1Shock", Simulations!$A$1:$BK$1, 0))</f>
        <v>2.7940756048071523E-2</v>
      </c>
    </row>
    <row r="2229" spans="1:5" x14ac:dyDescent="0.3">
      <c r="A2229" s="2">
        <f ca="1">INDEX(Simulations!$A$1:$BK$2501, 2229, MATCH("PurchaseMultiple", Simulations!$A$1:$BK$1, 0))</f>
        <v>7.9457330427008328</v>
      </c>
      <c r="B2229" s="2">
        <f ca="1">INDEX(Simulations!$A$1:$BK$2501, 2229, MATCH("ExitMultiple", Simulations!$A$1:$BK$1, 0))</f>
        <v>7.6480766322757283</v>
      </c>
      <c r="C2229" s="2">
        <f ca="1">INDEX(Simulations!$A$1:$BK$2501, 2229, MATCH("RevCAGR", Simulations!$A$1:$BK$1, 0))</f>
        <v>3.7624279413189486E-2</v>
      </c>
      <c r="D2229" s="2">
        <f ca="1">INDEX(Simulations!$A$1:$BK$2501, 2229, MATCH("SynMargin", Simulations!$A$1:$BK$1, 0))</f>
        <v>3.1736289133569339E-3</v>
      </c>
      <c r="E2229" s="2">
        <f ca="1">INDEX(Simulations!$A$1:$BK$2501, 2229, MATCH("Yr1Shock", Simulations!$A$1:$BK$1, 0))</f>
        <v>3.7853721970478068E-3</v>
      </c>
    </row>
    <row r="2230" spans="1:5" x14ac:dyDescent="0.3">
      <c r="A2230" s="2">
        <f ca="1">INDEX(Simulations!$A$1:$BK$2501, 2230, MATCH("PurchaseMultiple", Simulations!$A$1:$BK$1, 0))</f>
        <v>7.7339132982933227</v>
      </c>
      <c r="B2230" s="2">
        <f ca="1">INDEX(Simulations!$A$1:$BK$2501, 2230, MATCH("ExitMultiple", Simulations!$A$1:$BK$1, 0))</f>
        <v>7.6789084044086557</v>
      </c>
      <c r="C2230" s="2">
        <f ca="1">INDEX(Simulations!$A$1:$BK$2501, 2230, MATCH("RevCAGR", Simulations!$A$1:$BK$1, 0))</f>
        <v>2.5368517307835542E-2</v>
      </c>
      <c r="D2230" s="2">
        <f ca="1">INDEX(Simulations!$A$1:$BK$2501, 2230, MATCH("SynMargin", Simulations!$A$1:$BK$1, 0))</f>
        <v>8.9913940383778874E-3</v>
      </c>
      <c r="E2230" s="2">
        <f ca="1">INDEX(Simulations!$A$1:$BK$2501, 2230, MATCH("Yr1Shock", Simulations!$A$1:$BK$1, 0))</f>
        <v>-6.5620644572267029E-3</v>
      </c>
    </row>
    <row r="2231" spans="1:5" x14ac:dyDescent="0.3">
      <c r="A2231" s="2">
        <f ca="1">INDEX(Simulations!$A$1:$BK$2501, 2231, MATCH("PurchaseMultiple", Simulations!$A$1:$BK$1, 0))</f>
        <v>7.6858681872622761</v>
      </c>
      <c r="B2231" s="2">
        <f ca="1">INDEX(Simulations!$A$1:$BK$2501, 2231, MATCH("ExitMultiple", Simulations!$A$1:$BK$1, 0))</f>
        <v>6.813111529421235</v>
      </c>
      <c r="C2231" s="2">
        <f ca="1">INDEX(Simulations!$A$1:$BK$2501, 2231, MATCH("RevCAGR", Simulations!$A$1:$BK$1, 0))</f>
        <v>3.7066751569822261E-2</v>
      </c>
      <c r="D2231" s="2">
        <f ca="1">INDEX(Simulations!$A$1:$BK$2501, 2231, MATCH("SynMargin", Simulations!$A$1:$BK$1, 0))</f>
        <v>6.5356367272633182E-3</v>
      </c>
      <c r="E2231" s="2">
        <f ca="1">INDEX(Simulations!$A$1:$BK$2501, 2231, MATCH("Yr1Shock", Simulations!$A$1:$BK$1, 0))</f>
        <v>4.5978807068495688E-3</v>
      </c>
    </row>
    <row r="2232" spans="1:5" x14ac:dyDescent="0.3">
      <c r="A2232" s="2">
        <f ca="1">INDEX(Simulations!$A$1:$BK$2501, 2232, MATCH("PurchaseMultiple", Simulations!$A$1:$BK$1, 0))</f>
        <v>7.2206155345642342</v>
      </c>
      <c r="B2232" s="2">
        <f ca="1">INDEX(Simulations!$A$1:$BK$2501, 2232, MATCH("ExitMultiple", Simulations!$A$1:$BK$1, 0))</f>
        <v>7.0108357925416493</v>
      </c>
      <c r="C2232" s="2">
        <f ca="1">INDEX(Simulations!$A$1:$BK$2501, 2232, MATCH("RevCAGR", Simulations!$A$1:$BK$1, 0))</f>
        <v>3.58353862439761E-2</v>
      </c>
      <c r="D2232" s="2">
        <f ca="1">INDEX(Simulations!$A$1:$BK$2501, 2232, MATCH("SynMargin", Simulations!$A$1:$BK$1, 0))</f>
        <v>1.4899065373988329E-2</v>
      </c>
      <c r="E2232" s="2">
        <f ca="1">INDEX(Simulations!$A$1:$BK$2501, 2232, MATCH("Yr1Shock", Simulations!$A$1:$BK$1, 0))</f>
        <v>-1.3799311527380443E-2</v>
      </c>
    </row>
    <row r="2233" spans="1:5" x14ac:dyDescent="0.3">
      <c r="A2233" s="2">
        <f ca="1">INDEX(Simulations!$A$1:$BK$2501, 2233, MATCH("PurchaseMultiple", Simulations!$A$1:$BK$1, 0))</f>
        <v>6.9685606420447987</v>
      </c>
      <c r="B2233" s="2">
        <f ca="1">INDEX(Simulations!$A$1:$BK$2501, 2233, MATCH("ExitMultiple", Simulations!$A$1:$BK$1, 0))</f>
        <v>7.2354514062344455</v>
      </c>
      <c r="C2233" s="2">
        <f ca="1">INDEX(Simulations!$A$1:$BK$2501, 2233, MATCH("RevCAGR", Simulations!$A$1:$BK$1, 0))</f>
        <v>8.4660250318736918E-2</v>
      </c>
      <c r="D2233" s="2">
        <f ca="1">INDEX(Simulations!$A$1:$BK$2501, 2233, MATCH("SynMargin", Simulations!$A$1:$BK$1, 0))</f>
        <v>5.1890211674736229E-3</v>
      </c>
      <c r="E2233" s="2">
        <f ca="1">INDEX(Simulations!$A$1:$BK$2501, 2233, MATCH("Yr1Shock", Simulations!$A$1:$BK$1, 0))</f>
        <v>-2.4604461600264558E-2</v>
      </c>
    </row>
    <row r="2234" spans="1:5" x14ac:dyDescent="0.3">
      <c r="A2234" s="2">
        <f ca="1">INDEX(Simulations!$A$1:$BK$2501, 2234, MATCH("PurchaseMultiple", Simulations!$A$1:$BK$1, 0))</f>
        <v>7.0768714208425942</v>
      </c>
      <c r="B2234" s="2">
        <f ca="1">INDEX(Simulations!$A$1:$BK$2501, 2234, MATCH("ExitMultiple", Simulations!$A$1:$BK$1, 0))</f>
        <v>7.3833939248759881</v>
      </c>
      <c r="C2234" s="2">
        <f ca="1">INDEX(Simulations!$A$1:$BK$2501, 2234, MATCH("RevCAGR", Simulations!$A$1:$BK$1, 0))</f>
        <v>8.1696296612908365E-2</v>
      </c>
      <c r="D2234" s="2">
        <f ca="1">INDEX(Simulations!$A$1:$BK$2501, 2234, MATCH("SynMargin", Simulations!$A$1:$BK$1, 0))</f>
        <v>1.7937489894724618E-2</v>
      </c>
      <c r="E2234" s="2">
        <f ca="1">INDEX(Simulations!$A$1:$BK$2501, 2234, MATCH("Yr1Shock", Simulations!$A$1:$BK$1, 0))</f>
        <v>-5.3696348261524189E-3</v>
      </c>
    </row>
    <row r="2235" spans="1:5" x14ac:dyDescent="0.3">
      <c r="A2235" s="2">
        <f ca="1">INDEX(Simulations!$A$1:$BK$2501, 2235, MATCH("PurchaseMultiple", Simulations!$A$1:$BK$1, 0))</f>
        <v>7.0724485931079126</v>
      </c>
      <c r="B2235" s="2">
        <f ca="1">INDEX(Simulations!$A$1:$BK$2501, 2235, MATCH("ExitMultiple", Simulations!$A$1:$BK$1, 0))</f>
        <v>7.1676076859307276</v>
      </c>
      <c r="C2235" s="2">
        <f ca="1">INDEX(Simulations!$A$1:$BK$2501, 2235, MATCH("RevCAGR", Simulations!$A$1:$BK$1, 0))</f>
        <v>3.0906949972222961E-2</v>
      </c>
      <c r="D2235" s="2">
        <f ca="1">INDEX(Simulations!$A$1:$BK$2501, 2235, MATCH("SynMargin", Simulations!$A$1:$BK$1, 0))</f>
        <v>1.2349073203043704E-2</v>
      </c>
      <c r="E2235" s="2">
        <f ca="1">INDEX(Simulations!$A$1:$BK$2501, 2235, MATCH("Yr1Shock", Simulations!$A$1:$BK$1, 0))</f>
        <v>-3.0201643780437288E-2</v>
      </c>
    </row>
    <row r="2236" spans="1:5" x14ac:dyDescent="0.3">
      <c r="A2236" s="2">
        <f ca="1">INDEX(Simulations!$A$1:$BK$2501, 2236, MATCH("PurchaseMultiple", Simulations!$A$1:$BK$1, 0))</f>
        <v>7.4888497001770968</v>
      </c>
      <c r="B2236" s="2">
        <f ca="1">INDEX(Simulations!$A$1:$BK$2501, 2236, MATCH("ExitMultiple", Simulations!$A$1:$BK$1, 0))</f>
        <v>7.61934653185219</v>
      </c>
      <c r="C2236" s="2">
        <f ca="1">INDEX(Simulations!$A$1:$BK$2501, 2236, MATCH("RevCAGR", Simulations!$A$1:$BK$1, 0))</f>
        <v>3.9563388294430436E-2</v>
      </c>
      <c r="D2236" s="2">
        <f ca="1">INDEX(Simulations!$A$1:$BK$2501, 2236, MATCH("SynMargin", Simulations!$A$1:$BK$1, 0))</f>
        <v>6.5696867413791412E-3</v>
      </c>
      <c r="E2236" s="2">
        <f ca="1">INDEX(Simulations!$A$1:$BK$2501, 2236, MATCH("Yr1Shock", Simulations!$A$1:$BK$1, 0))</f>
        <v>-1.9734281934971061E-3</v>
      </c>
    </row>
    <row r="2237" spans="1:5" x14ac:dyDescent="0.3">
      <c r="A2237" s="2">
        <f ca="1">INDEX(Simulations!$A$1:$BK$2501, 2237, MATCH("PurchaseMultiple", Simulations!$A$1:$BK$1, 0))</f>
        <v>7.0109406182652627</v>
      </c>
      <c r="B2237" s="2">
        <f ca="1">INDEX(Simulations!$A$1:$BK$2501, 2237, MATCH("ExitMultiple", Simulations!$A$1:$BK$1, 0))</f>
        <v>7.8576983438012205</v>
      </c>
      <c r="C2237" s="2">
        <f ca="1">INDEX(Simulations!$A$1:$BK$2501, 2237, MATCH("RevCAGR", Simulations!$A$1:$BK$1, 0))</f>
        <v>-0.02</v>
      </c>
      <c r="D2237" s="2">
        <f ca="1">INDEX(Simulations!$A$1:$BK$2501, 2237, MATCH("SynMargin", Simulations!$A$1:$BK$1, 0))</f>
        <v>8.7280041831327461E-3</v>
      </c>
      <c r="E2237" s="2">
        <f ca="1">INDEX(Simulations!$A$1:$BK$2501, 2237, MATCH("Yr1Shock", Simulations!$A$1:$BK$1, 0))</f>
        <v>9.7859593992236354E-3</v>
      </c>
    </row>
    <row r="2238" spans="1:5" x14ac:dyDescent="0.3">
      <c r="A2238" s="2">
        <f ca="1">INDEX(Simulations!$A$1:$BK$2501, 2238, MATCH("PurchaseMultiple", Simulations!$A$1:$BK$1, 0))</f>
        <v>6.618996171415823</v>
      </c>
      <c r="B2238" s="2">
        <f ca="1">INDEX(Simulations!$A$1:$BK$2501, 2238, MATCH("ExitMultiple", Simulations!$A$1:$BK$1, 0))</f>
        <v>7.7451989546066802</v>
      </c>
      <c r="C2238" s="2">
        <f ca="1">INDEX(Simulations!$A$1:$BK$2501, 2238, MATCH("RevCAGR", Simulations!$A$1:$BK$1, 0))</f>
        <v>8.3299657035456012E-2</v>
      </c>
      <c r="D2238" s="2">
        <f ca="1">INDEX(Simulations!$A$1:$BK$2501, 2238, MATCH("SynMargin", Simulations!$A$1:$BK$1, 0))</f>
        <v>1.0278557948912E-2</v>
      </c>
      <c r="E2238" s="2">
        <f ca="1">INDEX(Simulations!$A$1:$BK$2501, 2238, MATCH("Yr1Shock", Simulations!$A$1:$BK$1, 0))</f>
        <v>-9.1346455306184947E-4</v>
      </c>
    </row>
    <row r="2239" spans="1:5" x14ac:dyDescent="0.3">
      <c r="A2239" s="2">
        <f ca="1">INDEX(Simulations!$A$1:$BK$2501, 2239, MATCH("PurchaseMultiple", Simulations!$A$1:$BK$1, 0))</f>
        <v>7.4162372975887889</v>
      </c>
      <c r="B2239" s="2">
        <f ca="1">INDEX(Simulations!$A$1:$BK$2501, 2239, MATCH("ExitMultiple", Simulations!$A$1:$BK$1, 0))</f>
        <v>7.9705927444421523</v>
      </c>
      <c r="C2239" s="2">
        <f ca="1">INDEX(Simulations!$A$1:$BK$2501, 2239, MATCH("RevCAGR", Simulations!$A$1:$BK$1, 0))</f>
        <v>-5.018758210939625E-3</v>
      </c>
      <c r="D2239" s="2">
        <f ca="1">INDEX(Simulations!$A$1:$BK$2501, 2239, MATCH("SynMargin", Simulations!$A$1:$BK$1, 0))</f>
        <v>1.4405875503897915E-2</v>
      </c>
      <c r="E2239" s="2">
        <f ca="1">INDEX(Simulations!$A$1:$BK$2501, 2239, MATCH("Yr1Shock", Simulations!$A$1:$BK$1, 0))</f>
        <v>-7.0511451912206478E-3</v>
      </c>
    </row>
    <row r="2240" spans="1:5" x14ac:dyDescent="0.3">
      <c r="A2240" s="2">
        <f ca="1">INDEX(Simulations!$A$1:$BK$2501, 2240, MATCH("PurchaseMultiple", Simulations!$A$1:$BK$1, 0))</f>
        <v>7.0016058219403918</v>
      </c>
      <c r="B2240" s="2">
        <f ca="1">INDEX(Simulations!$A$1:$BK$2501, 2240, MATCH("ExitMultiple", Simulations!$A$1:$BK$1, 0))</f>
        <v>7.6191134829601213</v>
      </c>
      <c r="C2240" s="2">
        <f ca="1">INDEX(Simulations!$A$1:$BK$2501, 2240, MATCH("RevCAGR", Simulations!$A$1:$BK$1, 0))</f>
        <v>2.1820103060891594E-2</v>
      </c>
      <c r="D2240" s="2">
        <f ca="1">INDEX(Simulations!$A$1:$BK$2501, 2240, MATCH("SynMargin", Simulations!$A$1:$BK$1, 0))</f>
        <v>5.556076520822165E-3</v>
      </c>
      <c r="E2240" s="2">
        <f ca="1">INDEX(Simulations!$A$1:$BK$2501, 2240, MATCH("Yr1Shock", Simulations!$A$1:$BK$1, 0))</f>
        <v>1.953828916482676E-2</v>
      </c>
    </row>
    <row r="2241" spans="1:5" x14ac:dyDescent="0.3">
      <c r="A2241" s="2">
        <f ca="1">INDEX(Simulations!$A$1:$BK$2501, 2241, MATCH("PurchaseMultiple", Simulations!$A$1:$BK$1, 0))</f>
        <v>7.2799000413798467</v>
      </c>
      <c r="B2241" s="2">
        <f ca="1">INDEX(Simulations!$A$1:$BK$2501, 2241, MATCH("ExitMultiple", Simulations!$A$1:$BK$1, 0))</f>
        <v>8.1229263603218467</v>
      </c>
      <c r="C2241" s="2">
        <f ca="1">INDEX(Simulations!$A$1:$BK$2501, 2241, MATCH("RevCAGR", Simulations!$A$1:$BK$1, 0))</f>
        <v>3.9968980551411855E-2</v>
      </c>
      <c r="D2241" s="2">
        <f ca="1">INDEX(Simulations!$A$1:$BK$2501, 2241, MATCH("SynMargin", Simulations!$A$1:$BK$1, 0))</f>
        <v>1.4568350889271813E-2</v>
      </c>
      <c r="E2241" s="2">
        <f ca="1">INDEX(Simulations!$A$1:$BK$2501, 2241, MATCH("Yr1Shock", Simulations!$A$1:$BK$1, 0))</f>
        <v>8.6308897370517366E-3</v>
      </c>
    </row>
    <row r="2242" spans="1:5" x14ac:dyDescent="0.3">
      <c r="A2242" s="2">
        <f ca="1">INDEX(Simulations!$A$1:$BK$2501, 2242, MATCH("PurchaseMultiple", Simulations!$A$1:$BK$1, 0))</f>
        <v>7.2333553782449638</v>
      </c>
      <c r="B2242" s="2">
        <f ca="1">INDEX(Simulations!$A$1:$BK$2501, 2242, MATCH("ExitMultiple", Simulations!$A$1:$BK$1, 0))</f>
        <v>7.0858683045119646</v>
      </c>
      <c r="C2242" s="2">
        <f ca="1">INDEX(Simulations!$A$1:$BK$2501, 2242, MATCH("RevCAGR", Simulations!$A$1:$BK$1, 0))</f>
        <v>2.7478001657970014E-2</v>
      </c>
      <c r="D2242" s="2">
        <f ca="1">INDEX(Simulations!$A$1:$BK$2501, 2242, MATCH("SynMargin", Simulations!$A$1:$BK$1, 0))</f>
        <v>1.1076696459639938E-2</v>
      </c>
      <c r="E2242" s="2">
        <f ca="1">INDEX(Simulations!$A$1:$BK$2501, 2242, MATCH("Yr1Shock", Simulations!$A$1:$BK$1, 0))</f>
        <v>-2.4787564142263363E-3</v>
      </c>
    </row>
    <row r="2243" spans="1:5" x14ac:dyDescent="0.3">
      <c r="A2243" s="2">
        <f ca="1">INDEX(Simulations!$A$1:$BK$2501, 2243, MATCH("PurchaseMultiple", Simulations!$A$1:$BK$1, 0))</f>
        <v>7.380074348983479</v>
      </c>
      <c r="B2243" s="2">
        <f ca="1">INDEX(Simulations!$A$1:$BK$2501, 2243, MATCH("ExitMultiple", Simulations!$A$1:$BK$1, 0))</f>
        <v>7.9413357535211917</v>
      </c>
      <c r="C2243" s="2">
        <f ca="1">INDEX(Simulations!$A$1:$BK$2501, 2243, MATCH("RevCAGR", Simulations!$A$1:$BK$1, 0))</f>
        <v>-6.3233393623169445E-3</v>
      </c>
      <c r="D2243" s="2">
        <f ca="1">INDEX(Simulations!$A$1:$BK$2501, 2243, MATCH("SynMargin", Simulations!$A$1:$BK$1, 0))</f>
        <v>1.6472774830022144E-2</v>
      </c>
      <c r="E2243" s="2">
        <f ca="1">INDEX(Simulations!$A$1:$BK$2501, 2243, MATCH("Yr1Shock", Simulations!$A$1:$BK$1, 0))</f>
        <v>2.9062921335843438E-2</v>
      </c>
    </row>
    <row r="2244" spans="1:5" x14ac:dyDescent="0.3">
      <c r="A2244" s="2">
        <f ca="1">INDEX(Simulations!$A$1:$BK$2501, 2244, MATCH("PurchaseMultiple", Simulations!$A$1:$BK$1, 0))</f>
        <v>6.9823226138281003</v>
      </c>
      <c r="B2244" s="2">
        <f ca="1">INDEX(Simulations!$A$1:$BK$2501, 2244, MATCH("ExitMultiple", Simulations!$A$1:$BK$1, 0))</f>
        <v>7.9984927792979068</v>
      </c>
      <c r="C2244" s="2">
        <f ca="1">INDEX(Simulations!$A$1:$BK$2501, 2244, MATCH("RevCAGR", Simulations!$A$1:$BK$1, 0))</f>
        <v>6.0139830326527491E-3</v>
      </c>
      <c r="D2244" s="2">
        <f ca="1">INDEX(Simulations!$A$1:$BK$2501, 2244, MATCH("SynMargin", Simulations!$A$1:$BK$1, 0))</f>
        <v>0</v>
      </c>
      <c r="E2244" s="2">
        <f ca="1">INDEX(Simulations!$A$1:$BK$2501, 2244, MATCH("Yr1Shock", Simulations!$A$1:$BK$1, 0))</f>
        <v>-1.8252925810227277E-2</v>
      </c>
    </row>
    <row r="2245" spans="1:5" x14ac:dyDescent="0.3">
      <c r="A2245" s="2">
        <f ca="1">INDEX(Simulations!$A$1:$BK$2501, 2245, MATCH("PurchaseMultiple", Simulations!$A$1:$BK$1, 0))</f>
        <v>6.8918046560979738</v>
      </c>
      <c r="B2245" s="2">
        <f ca="1">INDEX(Simulations!$A$1:$BK$2501, 2245, MATCH("ExitMultiple", Simulations!$A$1:$BK$1, 0))</f>
        <v>7.342566980616164</v>
      </c>
      <c r="C2245" s="2">
        <f ca="1">INDEX(Simulations!$A$1:$BK$2501, 2245, MATCH("RevCAGR", Simulations!$A$1:$BK$1, 0))</f>
        <v>6.1065443561833119E-2</v>
      </c>
      <c r="D2245" s="2">
        <f ca="1">INDEX(Simulations!$A$1:$BK$2501, 2245, MATCH("SynMargin", Simulations!$A$1:$BK$1, 0))</f>
        <v>1.1758874753468802E-2</v>
      </c>
      <c r="E2245" s="2">
        <f ca="1">INDEX(Simulations!$A$1:$BK$2501, 2245, MATCH("Yr1Shock", Simulations!$A$1:$BK$1, 0))</f>
        <v>-1.7088478546607191E-2</v>
      </c>
    </row>
    <row r="2246" spans="1:5" x14ac:dyDescent="0.3">
      <c r="A2246" s="2">
        <f ca="1">INDEX(Simulations!$A$1:$BK$2501, 2246, MATCH("PurchaseMultiple", Simulations!$A$1:$BK$1, 0))</f>
        <v>7.6124557388987588</v>
      </c>
      <c r="B2246" s="2">
        <f ca="1">INDEX(Simulations!$A$1:$BK$2501, 2246, MATCH("ExitMultiple", Simulations!$A$1:$BK$1, 0))</f>
        <v>6.7558735949807591</v>
      </c>
      <c r="C2246" s="2">
        <f ca="1">INDEX(Simulations!$A$1:$BK$2501, 2246, MATCH("RevCAGR", Simulations!$A$1:$BK$1, 0))</f>
        <v>8.6237139633755622E-2</v>
      </c>
      <c r="D2246" s="2">
        <f ca="1">INDEX(Simulations!$A$1:$BK$2501, 2246, MATCH("SynMargin", Simulations!$A$1:$BK$1, 0))</f>
        <v>8.4729934900100272E-3</v>
      </c>
      <c r="E2246" s="2">
        <f ca="1">INDEX(Simulations!$A$1:$BK$2501, 2246, MATCH("Yr1Shock", Simulations!$A$1:$BK$1, 0))</f>
        <v>1.4135964942486002E-2</v>
      </c>
    </row>
    <row r="2247" spans="1:5" x14ac:dyDescent="0.3">
      <c r="A2247" s="2">
        <f ca="1">INDEX(Simulations!$A$1:$BK$2501, 2247, MATCH("PurchaseMultiple", Simulations!$A$1:$BK$1, 0))</f>
        <v>6.494616984499948</v>
      </c>
      <c r="B2247" s="2">
        <f ca="1">INDEX(Simulations!$A$1:$BK$2501, 2247, MATCH("ExitMultiple", Simulations!$A$1:$BK$1, 0))</f>
        <v>6.9496481854619399</v>
      </c>
      <c r="C2247" s="2">
        <f ca="1">INDEX(Simulations!$A$1:$BK$2501, 2247, MATCH("RevCAGR", Simulations!$A$1:$BK$1, 0))</f>
        <v>4.3794749827392121E-2</v>
      </c>
      <c r="D2247" s="2">
        <f ca="1">INDEX(Simulations!$A$1:$BK$2501, 2247, MATCH("SynMargin", Simulations!$A$1:$BK$1, 0))</f>
        <v>3.5237509242009649E-3</v>
      </c>
      <c r="E2247" s="2">
        <f ca="1">INDEX(Simulations!$A$1:$BK$2501, 2247, MATCH("Yr1Shock", Simulations!$A$1:$BK$1, 0))</f>
        <v>3.1245942345768376E-3</v>
      </c>
    </row>
    <row r="2248" spans="1:5" x14ac:dyDescent="0.3">
      <c r="A2248" s="2">
        <f ca="1">INDEX(Simulations!$A$1:$BK$2501, 2248, MATCH("PurchaseMultiple", Simulations!$A$1:$BK$1, 0))</f>
        <v>6.8068845727091265</v>
      </c>
      <c r="B2248" s="2">
        <f ca="1">INDEX(Simulations!$A$1:$BK$2501, 2248, MATCH("ExitMultiple", Simulations!$A$1:$BK$1, 0))</f>
        <v>6.9102157187657713</v>
      </c>
      <c r="C2248" s="2">
        <f ca="1">INDEX(Simulations!$A$1:$BK$2501, 2248, MATCH("RevCAGR", Simulations!$A$1:$BK$1, 0))</f>
        <v>5.4935383278934755E-3</v>
      </c>
      <c r="D2248" s="2">
        <f ca="1">INDEX(Simulations!$A$1:$BK$2501, 2248, MATCH("SynMargin", Simulations!$A$1:$BK$1, 0))</f>
        <v>7.3847360831725342E-3</v>
      </c>
      <c r="E2248" s="2">
        <f ca="1">INDEX(Simulations!$A$1:$BK$2501, 2248, MATCH("Yr1Shock", Simulations!$A$1:$BK$1, 0))</f>
        <v>-5.0924855399738336E-4</v>
      </c>
    </row>
    <row r="2249" spans="1:5" x14ac:dyDescent="0.3">
      <c r="A2249" s="2">
        <f ca="1">INDEX(Simulations!$A$1:$BK$2501, 2249, MATCH("PurchaseMultiple", Simulations!$A$1:$BK$1, 0))</f>
        <v>6.957814423478073</v>
      </c>
      <c r="B2249" s="2">
        <f ca="1">INDEX(Simulations!$A$1:$BK$2501, 2249, MATCH("ExitMultiple", Simulations!$A$1:$BK$1, 0))</f>
        <v>6.8160379268643148</v>
      </c>
      <c r="C2249" s="2">
        <f ca="1">INDEX(Simulations!$A$1:$BK$2501, 2249, MATCH("RevCAGR", Simulations!$A$1:$BK$1, 0))</f>
        <v>7.2540410838058317E-2</v>
      </c>
      <c r="D2249" s="2">
        <f ca="1">INDEX(Simulations!$A$1:$BK$2501, 2249, MATCH("SynMargin", Simulations!$A$1:$BK$1, 0))</f>
        <v>9.054867194102062E-3</v>
      </c>
      <c r="E2249" s="2">
        <f ca="1">INDEX(Simulations!$A$1:$BK$2501, 2249, MATCH("Yr1Shock", Simulations!$A$1:$BK$1, 0))</f>
        <v>0.05</v>
      </c>
    </row>
    <row r="2250" spans="1:5" x14ac:dyDescent="0.3">
      <c r="A2250" s="2">
        <f ca="1">INDEX(Simulations!$A$1:$BK$2501, 2250, MATCH("PurchaseMultiple", Simulations!$A$1:$BK$1, 0))</f>
        <v>7.1538107239331241</v>
      </c>
      <c r="B2250" s="2">
        <f ca="1">INDEX(Simulations!$A$1:$BK$2501, 2250, MATCH("ExitMultiple", Simulations!$A$1:$BK$1, 0))</f>
        <v>7.3046994758910015</v>
      </c>
      <c r="C2250" s="2">
        <f ca="1">INDEX(Simulations!$A$1:$BK$2501, 2250, MATCH("RevCAGR", Simulations!$A$1:$BK$1, 0))</f>
        <v>8.3643458337731375E-2</v>
      </c>
      <c r="D2250" s="2">
        <f ca="1">INDEX(Simulations!$A$1:$BK$2501, 2250, MATCH("SynMargin", Simulations!$A$1:$BK$1, 0))</f>
        <v>1.1865794811025914E-2</v>
      </c>
      <c r="E2250" s="2">
        <f ca="1">INDEX(Simulations!$A$1:$BK$2501, 2250, MATCH("Yr1Shock", Simulations!$A$1:$BK$1, 0))</f>
        <v>9.359424479148044E-3</v>
      </c>
    </row>
    <row r="2251" spans="1:5" x14ac:dyDescent="0.3">
      <c r="A2251" s="2">
        <f ca="1">INDEX(Simulations!$A$1:$BK$2501, 2251, MATCH("PurchaseMultiple", Simulations!$A$1:$BK$1, 0))</f>
        <v>6.7790671950851413</v>
      </c>
      <c r="B2251" s="2">
        <f ca="1">INDEX(Simulations!$A$1:$BK$2501, 2251, MATCH("ExitMultiple", Simulations!$A$1:$BK$1, 0))</f>
        <v>7.2672139317461459</v>
      </c>
      <c r="C2251" s="2">
        <f ca="1">INDEX(Simulations!$A$1:$BK$2501, 2251, MATCH("RevCAGR", Simulations!$A$1:$BK$1, 0))</f>
        <v>9.2117903447285793E-2</v>
      </c>
      <c r="D2251" s="2">
        <f ca="1">INDEX(Simulations!$A$1:$BK$2501, 2251, MATCH("SynMargin", Simulations!$A$1:$BK$1, 0))</f>
        <v>1.6231747976403109E-2</v>
      </c>
      <c r="E2251" s="2">
        <f ca="1">INDEX(Simulations!$A$1:$BK$2501, 2251, MATCH("Yr1Shock", Simulations!$A$1:$BK$1, 0))</f>
        <v>-7.472473571415914E-3</v>
      </c>
    </row>
    <row r="2252" spans="1:5" x14ac:dyDescent="0.3">
      <c r="A2252" s="2">
        <f ca="1">INDEX(Simulations!$A$1:$BK$2501, 2252, MATCH("PurchaseMultiple", Simulations!$A$1:$BK$1, 0))</f>
        <v>7.0865334544219811</v>
      </c>
      <c r="B2252" s="2">
        <f ca="1">INDEX(Simulations!$A$1:$BK$2501, 2252, MATCH("ExitMultiple", Simulations!$A$1:$BK$1, 0))</f>
        <v>7.7663412223995927</v>
      </c>
      <c r="C2252" s="2">
        <f ca="1">INDEX(Simulations!$A$1:$BK$2501, 2252, MATCH("RevCAGR", Simulations!$A$1:$BK$1, 0))</f>
        <v>2.5575140621554068E-2</v>
      </c>
      <c r="D2252" s="2">
        <f ca="1">INDEX(Simulations!$A$1:$BK$2501, 2252, MATCH("SynMargin", Simulations!$A$1:$BK$1, 0))</f>
        <v>1.7550927910837604E-2</v>
      </c>
      <c r="E2252" s="2">
        <f ca="1">INDEX(Simulations!$A$1:$BK$2501, 2252, MATCH("Yr1Shock", Simulations!$A$1:$BK$1, 0))</f>
        <v>2.3353915130529229E-2</v>
      </c>
    </row>
    <row r="2253" spans="1:5" x14ac:dyDescent="0.3">
      <c r="A2253" s="2">
        <f ca="1">INDEX(Simulations!$A$1:$BK$2501, 2253, MATCH("PurchaseMultiple", Simulations!$A$1:$BK$1, 0))</f>
        <v>7.1758153253902979</v>
      </c>
      <c r="B2253" s="2">
        <f ca="1">INDEX(Simulations!$A$1:$BK$2501, 2253, MATCH("ExitMultiple", Simulations!$A$1:$BK$1, 0))</f>
        <v>7.9431240428783711</v>
      </c>
      <c r="C2253" s="2">
        <f ca="1">INDEX(Simulations!$A$1:$BK$2501, 2253, MATCH("RevCAGR", Simulations!$A$1:$BK$1, 0))</f>
        <v>3.7490048102720629E-2</v>
      </c>
      <c r="D2253" s="2">
        <f ca="1">INDEX(Simulations!$A$1:$BK$2501, 2253, MATCH("SynMargin", Simulations!$A$1:$BK$1, 0))</f>
        <v>6.4882129896278781E-3</v>
      </c>
      <c r="E2253" s="2">
        <f ca="1">INDEX(Simulations!$A$1:$BK$2501, 2253, MATCH("Yr1Shock", Simulations!$A$1:$BK$1, 0))</f>
        <v>1.4582466031579103E-2</v>
      </c>
    </row>
    <row r="2254" spans="1:5" x14ac:dyDescent="0.3">
      <c r="A2254" s="2">
        <f ca="1">INDEX(Simulations!$A$1:$BK$2501, 2254, MATCH("PurchaseMultiple", Simulations!$A$1:$BK$1, 0))</f>
        <v>7.4864928152458248</v>
      </c>
      <c r="B2254" s="2">
        <f ca="1">INDEX(Simulations!$A$1:$BK$2501, 2254, MATCH("ExitMultiple", Simulations!$A$1:$BK$1, 0))</f>
        <v>7.2601097301282369</v>
      </c>
      <c r="C2254" s="2">
        <f ca="1">INDEX(Simulations!$A$1:$BK$2501, 2254, MATCH("RevCAGR", Simulations!$A$1:$BK$1, 0))</f>
        <v>7.7123446502827431E-2</v>
      </c>
      <c r="D2254" s="2">
        <f ca="1">INDEX(Simulations!$A$1:$BK$2501, 2254, MATCH("SynMargin", Simulations!$A$1:$BK$1, 0))</f>
        <v>1.119817020192484E-2</v>
      </c>
      <c r="E2254" s="2">
        <f ca="1">INDEX(Simulations!$A$1:$BK$2501, 2254, MATCH("Yr1Shock", Simulations!$A$1:$BK$1, 0))</f>
        <v>1.1707833699367539E-2</v>
      </c>
    </row>
    <row r="2255" spans="1:5" x14ac:dyDescent="0.3">
      <c r="A2255" s="2">
        <f ca="1">INDEX(Simulations!$A$1:$BK$2501, 2255, MATCH("PurchaseMultiple", Simulations!$A$1:$BK$1, 0))</f>
        <v>6.9636918723641044</v>
      </c>
      <c r="B2255" s="2">
        <f ca="1">INDEX(Simulations!$A$1:$BK$2501, 2255, MATCH("ExitMultiple", Simulations!$A$1:$BK$1, 0))</f>
        <v>7.7741160611606093</v>
      </c>
      <c r="C2255" s="2">
        <f ca="1">INDEX(Simulations!$A$1:$BK$2501, 2255, MATCH("RevCAGR", Simulations!$A$1:$BK$1, 0))</f>
        <v>3.9609685379412535E-2</v>
      </c>
      <c r="D2255" s="2">
        <f ca="1">INDEX(Simulations!$A$1:$BK$2501, 2255, MATCH("SynMargin", Simulations!$A$1:$BK$1, 0))</f>
        <v>1.0678516323672348E-2</v>
      </c>
      <c r="E2255" s="2">
        <f ca="1">INDEX(Simulations!$A$1:$BK$2501, 2255, MATCH("Yr1Shock", Simulations!$A$1:$BK$1, 0))</f>
        <v>1.8821010341064351E-3</v>
      </c>
    </row>
    <row r="2256" spans="1:5" x14ac:dyDescent="0.3">
      <c r="A2256" s="2">
        <f ca="1">INDEX(Simulations!$A$1:$BK$2501, 2256, MATCH("PurchaseMultiple", Simulations!$A$1:$BK$1, 0))</f>
        <v>6.9858570497635561</v>
      </c>
      <c r="B2256" s="2">
        <f ca="1">INDEX(Simulations!$A$1:$BK$2501, 2256, MATCH("ExitMultiple", Simulations!$A$1:$BK$1, 0))</f>
        <v>7.3256936342691148</v>
      </c>
      <c r="C2256" s="2">
        <f ca="1">INDEX(Simulations!$A$1:$BK$2501, 2256, MATCH("RevCAGR", Simulations!$A$1:$BK$1, 0))</f>
        <v>2.8075397619768544E-3</v>
      </c>
      <c r="D2256" s="2">
        <f ca="1">INDEX(Simulations!$A$1:$BK$2501, 2256, MATCH("SynMargin", Simulations!$A$1:$BK$1, 0))</f>
        <v>1.0718942007678743E-2</v>
      </c>
      <c r="E2256" s="2">
        <f ca="1">INDEX(Simulations!$A$1:$BK$2501, 2256, MATCH("Yr1Shock", Simulations!$A$1:$BK$1, 0))</f>
        <v>2.1402274292176133E-2</v>
      </c>
    </row>
    <row r="2257" spans="1:5" x14ac:dyDescent="0.3">
      <c r="A2257" s="2">
        <f ca="1">INDEX(Simulations!$A$1:$BK$2501, 2257, MATCH("PurchaseMultiple", Simulations!$A$1:$BK$1, 0))</f>
        <v>6.5693252670510791</v>
      </c>
      <c r="B2257" s="2">
        <f ca="1">INDEX(Simulations!$A$1:$BK$2501, 2257, MATCH("ExitMultiple", Simulations!$A$1:$BK$1, 0))</f>
        <v>7.726251799495798</v>
      </c>
      <c r="C2257" s="2">
        <f ca="1">INDEX(Simulations!$A$1:$BK$2501, 2257, MATCH("RevCAGR", Simulations!$A$1:$BK$1, 0))</f>
        <v>4.0946499231230241E-2</v>
      </c>
      <c r="D2257" s="2">
        <f ca="1">INDEX(Simulations!$A$1:$BK$2501, 2257, MATCH("SynMargin", Simulations!$A$1:$BK$1, 0))</f>
        <v>4.3264952096370582E-3</v>
      </c>
      <c r="E2257" s="2">
        <f ca="1">INDEX(Simulations!$A$1:$BK$2501, 2257, MATCH("Yr1Shock", Simulations!$A$1:$BK$1, 0))</f>
        <v>5.1255525679806367E-3</v>
      </c>
    </row>
    <row r="2258" spans="1:5" x14ac:dyDescent="0.3">
      <c r="A2258" s="2">
        <f ca="1">INDEX(Simulations!$A$1:$BK$2501, 2258, MATCH("PurchaseMultiple", Simulations!$A$1:$BK$1, 0))</f>
        <v>7.2215494113498284</v>
      </c>
      <c r="B2258" s="2">
        <f ca="1">INDEX(Simulations!$A$1:$BK$2501, 2258, MATCH("ExitMultiple", Simulations!$A$1:$BK$1, 0))</f>
        <v>7.0150027267518755</v>
      </c>
      <c r="C2258" s="2">
        <f ca="1">INDEX(Simulations!$A$1:$BK$2501, 2258, MATCH("RevCAGR", Simulations!$A$1:$BK$1, 0))</f>
        <v>3.0534632316935477E-2</v>
      </c>
      <c r="D2258" s="2">
        <f ca="1">INDEX(Simulations!$A$1:$BK$2501, 2258, MATCH("SynMargin", Simulations!$A$1:$BK$1, 0))</f>
        <v>8.4742170614703228E-3</v>
      </c>
      <c r="E2258" s="2">
        <f ca="1">INDEX(Simulations!$A$1:$BK$2501, 2258, MATCH("Yr1Shock", Simulations!$A$1:$BK$1, 0))</f>
        <v>4.9892555035175304E-3</v>
      </c>
    </row>
    <row r="2259" spans="1:5" x14ac:dyDescent="0.3">
      <c r="A2259" s="2">
        <f ca="1">INDEX(Simulations!$A$1:$BK$2501, 2259, MATCH("PurchaseMultiple", Simulations!$A$1:$BK$1, 0))</f>
        <v>7.090880052061995</v>
      </c>
      <c r="B2259" s="2">
        <f ca="1">INDEX(Simulations!$A$1:$BK$2501, 2259, MATCH("ExitMultiple", Simulations!$A$1:$BK$1, 0))</f>
        <v>7.7333661481950626</v>
      </c>
      <c r="C2259" s="2">
        <f ca="1">INDEX(Simulations!$A$1:$BK$2501, 2259, MATCH("RevCAGR", Simulations!$A$1:$BK$1, 0))</f>
        <v>5.0107974336072683E-2</v>
      </c>
      <c r="D2259" s="2">
        <f ca="1">INDEX(Simulations!$A$1:$BK$2501, 2259, MATCH("SynMargin", Simulations!$A$1:$BK$1, 0))</f>
        <v>8.1806059754672752E-3</v>
      </c>
      <c r="E2259" s="2">
        <f ca="1">INDEX(Simulations!$A$1:$BK$2501, 2259, MATCH("Yr1Shock", Simulations!$A$1:$BK$1, 0))</f>
        <v>-1.0974732295758474E-2</v>
      </c>
    </row>
    <row r="2260" spans="1:5" x14ac:dyDescent="0.3">
      <c r="A2260" s="2">
        <f ca="1">INDEX(Simulations!$A$1:$BK$2501, 2260, MATCH("PurchaseMultiple", Simulations!$A$1:$BK$1, 0))</f>
        <v>6.8789499072056</v>
      </c>
      <c r="B2260" s="2">
        <f ca="1">INDEX(Simulations!$A$1:$BK$2501, 2260, MATCH("ExitMultiple", Simulations!$A$1:$BK$1, 0))</f>
        <v>7.5043565043640346</v>
      </c>
      <c r="C2260" s="2">
        <f ca="1">INDEX(Simulations!$A$1:$BK$2501, 2260, MATCH("RevCAGR", Simulations!$A$1:$BK$1, 0))</f>
        <v>-3.5276888175500218E-3</v>
      </c>
      <c r="D2260" s="2">
        <f ca="1">INDEX(Simulations!$A$1:$BK$2501, 2260, MATCH("SynMargin", Simulations!$A$1:$BK$1, 0))</f>
        <v>1.0719864464760594E-2</v>
      </c>
      <c r="E2260" s="2">
        <f ca="1">INDEX(Simulations!$A$1:$BK$2501, 2260, MATCH("Yr1Shock", Simulations!$A$1:$BK$1, 0))</f>
        <v>-1.6203387123201983E-2</v>
      </c>
    </row>
    <row r="2261" spans="1:5" x14ac:dyDescent="0.3">
      <c r="A2261" s="2">
        <f ca="1">INDEX(Simulations!$A$1:$BK$2501, 2261, MATCH("PurchaseMultiple", Simulations!$A$1:$BK$1, 0))</f>
        <v>6.3588432288990768</v>
      </c>
      <c r="B2261" s="2">
        <f ca="1">INDEX(Simulations!$A$1:$BK$2501, 2261, MATCH("ExitMultiple", Simulations!$A$1:$BK$1, 0))</f>
        <v>6.7897472228972635</v>
      </c>
      <c r="C2261" s="2">
        <f ca="1">INDEX(Simulations!$A$1:$BK$2501, 2261, MATCH("RevCAGR", Simulations!$A$1:$BK$1, 0))</f>
        <v>1.885883995343135E-2</v>
      </c>
      <c r="D2261" s="2">
        <f ca="1">INDEX(Simulations!$A$1:$BK$2501, 2261, MATCH("SynMargin", Simulations!$A$1:$BK$1, 0))</f>
        <v>1.1951148588361663E-2</v>
      </c>
      <c r="E2261" s="2">
        <f ca="1">INDEX(Simulations!$A$1:$BK$2501, 2261, MATCH("Yr1Shock", Simulations!$A$1:$BK$1, 0))</f>
        <v>-2.5610047588396325E-2</v>
      </c>
    </row>
    <row r="2262" spans="1:5" x14ac:dyDescent="0.3">
      <c r="A2262" s="2">
        <f ca="1">INDEX(Simulations!$A$1:$BK$2501, 2262, MATCH("PurchaseMultiple", Simulations!$A$1:$BK$1, 0))</f>
        <v>7.2343278103980113</v>
      </c>
      <c r="B2262" s="2">
        <f ca="1">INDEX(Simulations!$A$1:$BK$2501, 2262, MATCH("ExitMultiple", Simulations!$A$1:$BK$1, 0))</f>
        <v>7.4937409931513184</v>
      </c>
      <c r="C2262" s="2">
        <f ca="1">INDEX(Simulations!$A$1:$BK$2501, 2262, MATCH("RevCAGR", Simulations!$A$1:$BK$1, 0))</f>
        <v>1.9296084818330988E-2</v>
      </c>
      <c r="D2262" s="2">
        <f ca="1">INDEX(Simulations!$A$1:$BK$2501, 2262, MATCH("SynMargin", Simulations!$A$1:$BK$1, 0))</f>
        <v>9.2586467209302675E-3</v>
      </c>
      <c r="E2262" s="2">
        <f ca="1">INDEX(Simulations!$A$1:$BK$2501, 2262, MATCH("Yr1Shock", Simulations!$A$1:$BK$1, 0))</f>
        <v>2.740342869241789E-3</v>
      </c>
    </row>
    <row r="2263" spans="1:5" x14ac:dyDescent="0.3">
      <c r="A2263" s="2">
        <f ca="1">INDEX(Simulations!$A$1:$BK$2501, 2263, MATCH("PurchaseMultiple", Simulations!$A$1:$BK$1, 0))</f>
        <v>7.5669414518842242</v>
      </c>
      <c r="B2263" s="2">
        <f ca="1">INDEX(Simulations!$A$1:$BK$2501, 2263, MATCH("ExitMultiple", Simulations!$A$1:$BK$1, 0))</f>
        <v>7.8987216461332732</v>
      </c>
      <c r="C2263" s="2">
        <f ca="1">INDEX(Simulations!$A$1:$BK$2501, 2263, MATCH("RevCAGR", Simulations!$A$1:$BK$1, 0))</f>
        <v>4.9064440111347515E-2</v>
      </c>
      <c r="D2263" s="2">
        <f ca="1">INDEX(Simulations!$A$1:$BK$2501, 2263, MATCH("SynMargin", Simulations!$A$1:$BK$1, 0))</f>
        <v>9.1103142672896049E-3</v>
      </c>
      <c r="E2263" s="2">
        <f ca="1">INDEX(Simulations!$A$1:$BK$2501, 2263, MATCH("Yr1Shock", Simulations!$A$1:$BK$1, 0))</f>
        <v>-5.1029981675648544E-3</v>
      </c>
    </row>
    <row r="2264" spans="1:5" x14ac:dyDescent="0.3">
      <c r="A2264" s="2">
        <f ca="1">INDEX(Simulations!$A$1:$BK$2501, 2264, MATCH("PurchaseMultiple", Simulations!$A$1:$BK$1, 0))</f>
        <v>6.2942209226311565</v>
      </c>
      <c r="B2264" s="2">
        <f ca="1">INDEX(Simulations!$A$1:$BK$2501, 2264, MATCH("ExitMultiple", Simulations!$A$1:$BK$1, 0))</f>
        <v>7.5130121441623396</v>
      </c>
      <c r="C2264" s="2">
        <f ca="1">INDEX(Simulations!$A$1:$BK$2501, 2264, MATCH("RevCAGR", Simulations!$A$1:$BK$1, 0))</f>
        <v>-4.1235712473112543E-3</v>
      </c>
      <c r="D2264" s="2">
        <f ca="1">INDEX(Simulations!$A$1:$BK$2501, 2264, MATCH("SynMargin", Simulations!$A$1:$BK$1, 0))</f>
        <v>1.4626055977590483E-2</v>
      </c>
      <c r="E2264" s="2">
        <f ca="1">INDEX(Simulations!$A$1:$BK$2501, 2264, MATCH("Yr1Shock", Simulations!$A$1:$BK$1, 0))</f>
        <v>-3.2982780466235891E-3</v>
      </c>
    </row>
    <row r="2265" spans="1:5" x14ac:dyDescent="0.3">
      <c r="A2265" s="2">
        <f ca="1">INDEX(Simulations!$A$1:$BK$2501, 2265, MATCH("PurchaseMultiple", Simulations!$A$1:$BK$1, 0))</f>
        <v>6.5837260795346806</v>
      </c>
      <c r="B2265" s="2">
        <f ca="1">INDEX(Simulations!$A$1:$BK$2501, 2265, MATCH("ExitMultiple", Simulations!$A$1:$BK$1, 0))</f>
        <v>7.1901217061905758</v>
      </c>
      <c r="C2265" s="2">
        <f ca="1">INDEX(Simulations!$A$1:$BK$2501, 2265, MATCH("RevCAGR", Simulations!$A$1:$BK$1, 0))</f>
        <v>2.8871751687460666E-2</v>
      </c>
      <c r="D2265" s="2">
        <f ca="1">INDEX(Simulations!$A$1:$BK$2501, 2265, MATCH("SynMargin", Simulations!$A$1:$BK$1, 0))</f>
        <v>1.1103156197242708E-2</v>
      </c>
      <c r="E2265" s="2">
        <f ca="1">INDEX(Simulations!$A$1:$BK$2501, 2265, MATCH("Yr1Shock", Simulations!$A$1:$BK$1, 0))</f>
        <v>-1.1767678981290337E-2</v>
      </c>
    </row>
    <row r="2266" spans="1:5" x14ac:dyDescent="0.3">
      <c r="A2266" s="2">
        <f ca="1">INDEX(Simulations!$A$1:$BK$2501, 2266, MATCH("PurchaseMultiple", Simulations!$A$1:$BK$1, 0))</f>
        <v>6.9805481802604321</v>
      </c>
      <c r="B2266" s="2">
        <f ca="1">INDEX(Simulations!$A$1:$BK$2501, 2266, MATCH("ExitMultiple", Simulations!$A$1:$BK$1, 0))</f>
        <v>6.8020326847718176</v>
      </c>
      <c r="C2266" s="2">
        <f ca="1">INDEX(Simulations!$A$1:$BK$2501, 2266, MATCH("RevCAGR", Simulations!$A$1:$BK$1, 0))</f>
        <v>3.9940255962340659E-2</v>
      </c>
      <c r="D2266" s="2">
        <f ca="1">INDEX(Simulations!$A$1:$BK$2501, 2266, MATCH("SynMargin", Simulations!$A$1:$BK$1, 0))</f>
        <v>1.1391020541902629E-2</v>
      </c>
      <c r="E2266" s="2">
        <f ca="1">INDEX(Simulations!$A$1:$BK$2501, 2266, MATCH("Yr1Shock", Simulations!$A$1:$BK$1, 0))</f>
        <v>-4.3874192057931798E-2</v>
      </c>
    </row>
    <row r="2267" spans="1:5" x14ac:dyDescent="0.3">
      <c r="A2267" s="2">
        <f ca="1">INDEX(Simulations!$A$1:$BK$2501, 2267, MATCH("PurchaseMultiple", Simulations!$A$1:$BK$1, 0))</f>
        <v>6.7667693808110068</v>
      </c>
      <c r="B2267" s="2">
        <f ca="1">INDEX(Simulations!$A$1:$BK$2501, 2267, MATCH("ExitMultiple", Simulations!$A$1:$BK$1, 0))</f>
        <v>7.7157478720298558</v>
      </c>
      <c r="C2267" s="2">
        <f ca="1">INDEX(Simulations!$A$1:$BK$2501, 2267, MATCH("RevCAGR", Simulations!$A$1:$BK$1, 0))</f>
        <v>-0.02</v>
      </c>
      <c r="D2267" s="2">
        <f ca="1">INDEX(Simulations!$A$1:$BK$2501, 2267, MATCH("SynMargin", Simulations!$A$1:$BK$1, 0))</f>
        <v>1.9916003021642641E-2</v>
      </c>
      <c r="E2267" s="2">
        <f ca="1">INDEX(Simulations!$A$1:$BK$2501, 2267, MATCH("Yr1Shock", Simulations!$A$1:$BK$1, 0))</f>
        <v>-9.910242498735242E-3</v>
      </c>
    </row>
    <row r="2268" spans="1:5" x14ac:dyDescent="0.3">
      <c r="A2268" s="2">
        <f ca="1">INDEX(Simulations!$A$1:$BK$2501, 2268, MATCH("PurchaseMultiple", Simulations!$A$1:$BK$1, 0))</f>
        <v>7.0403419086540042</v>
      </c>
      <c r="B2268" s="2">
        <f ca="1">INDEX(Simulations!$A$1:$BK$2501, 2268, MATCH("ExitMultiple", Simulations!$A$1:$BK$1, 0))</f>
        <v>7.5423656908674221</v>
      </c>
      <c r="C2268" s="2">
        <f ca="1">INDEX(Simulations!$A$1:$BK$2501, 2268, MATCH("RevCAGR", Simulations!$A$1:$BK$1, 0))</f>
        <v>3.514571097951897E-2</v>
      </c>
      <c r="D2268" s="2">
        <f ca="1">INDEX(Simulations!$A$1:$BK$2501, 2268, MATCH("SynMargin", Simulations!$A$1:$BK$1, 0))</f>
        <v>3.9619863396181763E-3</v>
      </c>
      <c r="E2268" s="2">
        <f ca="1">INDEX(Simulations!$A$1:$BK$2501, 2268, MATCH("Yr1Shock", Simulations!$A$1:$BK$1, 0))</f>
        <v>-1.0505456364656305E-2</v>
      </c>
    </row>
    <row r="2269" spans="1:5" x14ac:dyDescent="0.3">
      <c r="A2269" s="2">
        <f ca="1">INDEX(Simulations!$A$1:$BK$2501, 2269, MATCH("PurchaseMultiple", Simulations!$A$1:$BK$1, 0))</f>
        <v>7.3994731786111014</v>
      </c>
      <c r="B2269" s="2">
        <f ca="1">INDEX(Simulations!$A$1:$BK$2501, 2269, MATCH("ExitMultiple", Simulations!$A$1:$BK$1, 0))</f>
        <v>7.2567338958354197</v>
      </c>
      <c r="C2269" s="2">
        <f ca="1">INDEX(Simulations!$A$1:$BK$2501, 2269, MATCH("RevCAGR", Simulations!$A$1:$BK$1, 0))</f>
        <v>5.6075006356141002E-2</v>
      </c>
      <c r="D2269" s="2">
        <f ca="1">INDEX(Simulations!$A$1:$BK$2501, 2269, MATCH("SynMargin", Simulations!$A$1:$BK$1, 0))</f>
        <v>4.1317617322027232E-3</v>
      </c>
      <c r="E2269" s="2">
        <f ca="1">INDEX(Simulations!$A$1:$BK$2501, 2269, MATCH("Yr1Shock", Simulations!$A$1:$BK$1, 0))</f>
        <v>-4.8462665545870552E-3</v>
      </c>
    </row>
    <row r="2270" spans="1:5" x14ac:dyDescent="0.3">
      <c r="A2270" s="2">
        <f ca="1">INDEX(Simulations!$A$1:$BK$2501, 2270, MATCH("PurchaseMultiple", Simulations!$A$1:$BK$1, 0))</f>
        <v>7.4358520775005994</v>
      </c>
      <c r="B2270" s="2">
        <f ca="1">INDEX(Simulations!$A$1:$BK$2501, 2270, MATCH("ExitMultiple", Simulations!$A$1:$BK$1, 0))</f>
        <v>7.1818983582045934</v>
      </c>
      <c r="C2270" s="2">
        <f ca="1">INDEX(Simulations!$A$1:$BK$2501, 2270, MATCH("RevCAGR", Simulations!$A$1:$BK$1, 0))</f>
        <v>6.1082014242513458E-2</v>
      </c>
      <c r="D2270" s="2">
        <f ca="1">INDEX(Simulations!$A$1:$BK$2501, 2270, MATCH("SynMargin", Simulations!$A$1:$BK$1, 0))</f>
        <v>1.1509285957671056E-2</v>
      </c>
      <c r="E2270" s="2">
        <f ca="1">INDEX(Simulations!$A$1:$BK$2501, 2270, MATCH("Yr1Shock", Simulations!$A$1:$BK$1, 0))</f>
        <v>-1.3733305390169795E-4</v>
      </c>
    </row>
    <row r="2271" spans="1:5" x14ac:dyDescent="0.3">
      <c r="A2271" s="2">
        <f ca="1">INDEX(Simulations!$A$1:$BK$2501, 2271, MATCH("PurchaseMultiple", Simulations!$A$1:$BK$1, 0))</f>
        <v>6.9729216092368151</v>
      </c>
      <c r="B2271" s="2">
        <f ca="1">INDEX(Simulations!$A$1:$BK$2501, 2271, MATCH("ExitMultiple", Simulations!$A$1:$BK$1, 0))</f>
        <v>8.1459043946812955</v>
      </c>
      <c r="C2271" s="2">
        <f ca="1">INDEX(Simulations!$A$1:$BK$2501, 2271, MATCH("RevCAGR", Simulations!$A$1:$BK$1, 0))</f>
        <v>1.820237915523722E-2</v>
      </c>
      <c r="D2271" s="2">
        <f ca="1">INDEX(Simulations!$A$1:$BK$2501, 2271, MATCH("SynMargin", Simulations!$A$1:$BK$1, 0))</f>
        <v>1.1566640172907009E-2</v>
      </c>
      <c r="E2271" s="2">
        <f ca="1">INDEX(Simulations!$A$1:$BK$2501, 2271, MATCH("Yr1Shock", Simulations!$A$1:$BK$1, 0))</f>
        <v>8.9587722967396054E-3</v>
      </c>
    </row>
    <row r="2272" spans="1:5" x14ac:dyDescent="0.3">
      <c r="A2272" s="2">
        <f ca="1">INDEX(Simulations!$A$1:$BK$2501, 2272, MATCH("PurchaseMultiple", Simulations!$A$1:$BK$1, 0))</f>
        <v>6.5885796782263251</v>
      </c>
      <c r="B2272" s="2">
        <f ca="1">INDEX(Simulations!$A$1:$BK$2501, 2272, MATCH("ExitMultiple", Simulations!$A$1:$BK$1, 0))</f>
        <v>6.895318815764842</v>
      </c>
      <c r="C2272" s="2">
        <f ca="1">INDEX(Simulations!$A$1:$BK$2501, 2272, MATCH("RevCAGR", Simulations!$A$1:$BK$1, 0))</f>
        <v>5.9611200750562962E-2</v>
      </c>
      <c r="D2272" s="2">
        <f ca="1">INDEX(Simulations!$A$1:$BK$2501, 2272, MATCH("SynMargin", Simulations!$A$1:$BK$1, 0))</f>
        <v>4.76123611451064E-3</v>
      </c>
      <c r="E2272" s="2">
        <f ca="1">INDEX(Simulations!$A$1:$BK$2501, 2272, MATCH("Yr1Shock", Simulations!$A$1:$BK$1, 0))</f>
        <v>-5.2885239797182057E-3</v>
      </c>
    </row>
    <row r="2273" spans="1:5" x14ac:dyDescent="0.3">
      <c r="A2273" s="2">
        <f ca="1">INDEX(Simulations!$A$1:$BK$2501, 2273, MATCH("PurchaseMultiple", Simulations!$A$1:$BK$1, 0))</f>
        <v>6.9824691935842962</v>
      </c>
      <c r="B2273" s="2">
        <f ca="1">INDEX(Simulations!$A$1:$BK$2501, 2273, MATCH("ExitMultiple", Simulations!$A$1:$BK$1, 0))</f>
        <v>7.1090234400796</v>
      </c>
      <c r="C2273" s="2">
        <f ca="1">INDEX(Simulations!$A$1:$BK$2501, 2273, MATCH("RevCAGR", Simulations!$A$1:$BK$1, 0))</f>
        <v>-3.7835720996085703E-4</v>
      </c>
      <c r="D2273" s="2">
        <f ca="1">INDEX(Simulations!$A$1:$BK$2501, 2273, MATCH("SynMargin", Simulations!$A$1:$BK$1, 0))</f>
        <v>8.5091191154187257E-4</v>
      </c>
      <c r="E2273" s="2">
        <f ca="1">INDEX(Simulations!$A$1:$BK$2501, 2273, MATCH("Yr1Shock", Simulations!$A$1:$BK$1, 0))</f>
        <v>-1.4016149447780242E-2</v>
      </c>
    </row>
    <row r="2274" spans="1:5" x14ac:dyDescent="0.3">
      <c r="A2274" s="2">
        <f ca="1">INDEX(Simulations!$A$1:$BK$2501, 2274, MATCH("PurchaseMultiple", Simulations!$A$1:$BK$1, 0))</f>
        <v>6.5773785158456475</v>
      </c>
      <c r="B2274" s="2">
        <f ca="1">INDEX(Simulations!$A$1:$BK$2501, 2274, MATCH("ExitMultiple", Simulations!$A$1:$BK$1, 0))</f>
        <v>8.090617545134366</v>
      </c>
      <c r="C2274" s="2">
        <f ca="1">INDEX(Simulations!$A$1:$BK$2501, 2274, MATCH("RevCAGR", Simulations!$A$1:$BK$1, 0))</f>
        <v>6.5655336065432793E-2</v>
      </c>
      <c r="D2274" s="2">
        <f ca="1">INDEX(Simulations!$A$1:$BK$2501, 2274, MATCH("SynMargin", Simulations!$A$1:$BK$1, 0))</f>
        <v>1.7788889945290015E-2</v>
      </c>
      <c r="E2274" s="2">
        <f ca="1">INDEX(Simulations!$A$1:$BK$2501, 2274, MATCH("Yr1Shock", Simulations!$A$1:$BK$1, 0))</f>
        <v>1.6324035316458537E-2</v>
      </c>
    </row>
    <row r="2275" spans="1:5" x14ac:dyDescent="0.3">
      <c r="A2275" s="2">
        <f ca="1">INDEX(Simulations!$A$1:$BK$2501, 2275, MATCH("PurchaseMultiple", Simulations!$A$1:$BK$1, 0))</f>
        <v>6.5612775951281908</v>
      </c>
      <c r="B2275" s="2">
        <f ca="1">INDEX(Simulations!$A$1:$BK$2501, 2275, MATCH("ExitMultiple", Simulations!$A$1:$BK$1, 0))</f>
        <v>7.9711973630066426</v>
      </c>
      <c r="C2275" s="2">
        <f ca="1">INDEX(Simulations!$A$1:$BK$2501, 2275, MATCH("RevCAGR", Simulations!$A$1:$BK$1, 0))</f>
        <v>4.3376257777161704E-2</v>
      </c>
      <c r="D2275" s="2">
        <f ca="1">INDEX(Simulations!$A$1:$BK$2501, 2275, MATCH("SynMargin", Simulations!$A$1:$BK$1, 0))</f>
        <v>6.2935137973963804E-3</v>
      </c>
      <c r="E2275" s="2">
        <f ca="1">INDEX(Simulations!$A$1:$BK$2501, 2275, MATCH("Yr1Shock", Simulations!$A$1:$BK$1, 0))</f>
        <v>-1.722547702620951E-2</v>
      </c>
    </row>
    <row r="2276" spans="1:5" x14ac:dyDescent="0.3">
      <c r="A2276" s="2">
        <f ca="1">INDEX(Simulations!$A$1:$BK$2501, 2276, MATCH("PurchaseMultiple", Simulations!$A$1:$BK$1, 0))</f>
        <v>6.2161309257046824</v>
      </c>
      <c r="B2276" s="2">
        <f ca="1">INDEX(Simulations!$A$1:$BK$2501, 2276, MATCH("ExitMultiple", Simulations!$A$1:$BK$1, 0))</f>
        <v>7.4259382011205108</v>
      </c>
      <c r="C2276" s="2">
        <f ca="1">INDEX(Simulations!$A$1:$BK$2501, 2276, MATCH("RevCAGR", Simulations!$A$1:$BK$1, 0))</f>
        <v>7.3227123954491435E-2</v>
      </c>
      <c r="D2276" s="2">
        <f ca="1">INDEX(Simulations!$A$1:$BK$2501, 2276, MATCH("SynMargin", Simulations!$A$1:$BK$1, 0))</f>
        <v>1.1270749863078917E-2</v>
      </c>
      <c r="E2276" s="2">
        <f ca="1">INDEX(Simulations!$A$1:$BK$2501, 2276, MATCH("Yr1Shock", Simulations!$A$1:$BK$1, 0))</f>
        <v>9.0914583813458526E-4</v>
      </c>
    </row>
    <row r="2277" spans="1:5" x14ac:dyDescent="0.3">
      <c r="A2277" s="2">
        <f ca="1">INDEX(Simulations!$A$1:$BK$2501, 2277, MATCH("PurchaseMultiple", Simulations!$A$1:$BK$1, 0))</f>
        <v>6.4037918506219658</v>
      </c>
      <c r="B2277" s="2">
        <f ca="1">INDEX(Simulations!$A$1:$BK$2501, 2277, MATCH("ExitMultiple", Simulations!$A$1:$BK$1, 0))</f>
        <v>6.9643006553660927</v>
      </c>
      <c r="C2277" s="2">
        <f ca="1">INDEX(Simulations!$A$1:$BK$2501, 2277, MATCH("RevCAGR", Simulations!$A$1:$BK$1, 0))</f>
        <v>5.6045419141765036E-2</v>
      </c>
      <c r="D2277" s="2">
        <f ca="1">INDEX(Simulations!$A$1:$BK$2501, 2277, MATCH("SynMargin", Simulations!$A$1:$BK$1, 0))</f>
        <v>8.7197916317617689E-3</v>
      </c>
      <c r="E2277" s="2">
        <f ca="1">INDEX(Simulations!$A$1:$BK$2501, 2277, MATCH("Yr1Shock", Simulations!$A$1:$BK$1, 0))</f>
        <v>2.0720482032751144E-2</v>
      </c>
    </row>
    <row r="2278" spans="1:5" x14ac:dyDescent="0.3">
      <c r="A2278" s="2">
        <f ca="1">INDEX(Simulations!$A$1:$BK$2501, 2278, MATCH("PurchaseMultiple", Simulations!$A$1:$BK$1, 0))</f>
        <v>7.1286924625327295</v>
      </c>
      <c r="B2278" s="2">
        <f ca="1">INDEX(Simulations!$A$1:$BK$2501, 2278, MATCH("ExitMultiple", Simulations!$A$1:$BK$1, 0))</f>
        <v>6.9244942602969317</v>
      </c>
      <c r="C2278" s="2">
        <f ca="1">INDEX(Simulations!$A$1:$BK$2501, 2278, MATCH("RevCAGR", Simulations!$A$1:$BK$1, 0))</f>
        <v>1.4039231456469126E-3</v>
      </c>
      <c r="D2278" s="2">
        <f ca="1">INDEX(Simulations!$A$1:$BK$2501, 2278, MATCH("SynMargin", Simulations!$A$1:$BK$1, 0))</f>
        <v>7.4353156697747553E-3</v>
      </c>
      <c r="E2278" s="2">
        <f ca="1">INDEX(Simulations!$A$1:$BK$2501, 2278, MATCH("Yr1Shock", Simulations!$A$1:$BK$1, 0))</f>
        <v>-2.5724949814137588E-2</v>
      </c>
    </row>
    <row r="2279" spans="1:5" x14ac:dyDescent="0.3">
      <c r="A2279" s="2">
        <f ca="1">INDEX(Simulations!$A$1:$BK$2501, 2279, MATCH("PurchaseMultiple", Simulations!$A$1:$BK$1, 0))</f>
        <v>7.5787944915621255</v>
      </c>
      <c r="B2279" s="2">
        <f ca="1">INDEX(Simulations!$A$1:$BK$2501, 2279, MATCH("ExitMultiple", Simulations!$A$1:$BK$1, 0))</f>
        <v>7.9801059509214687</v>
      </c>
      <c r="C2279" s="2">
        <f ca="1">INDEX(Simulations!$A$1:$BK$2501, 2279, MATCH("RevCAGR", Simulations!$A$1:$BK$1, 0))</f>
        <v>6.3664044464207745E-3</v>
      </c>
      <c r="D2279" s="2">
        <f ca="1">INDEX(Simulations!$A$1:$BK$2501, 2279, MATCH("SynMargin", Simulations!$A$1:$BK$1, 0))</f>
        <v>3.3346137405134788E-3</v>
      </c>
      <c r="E2279" s="2">
        <f ca="1">INDEX(Simulations!$A$1:$BK$2501, 2279, MATCH("Yr1Shock", Simulations!$A$1:$BK$1, 0))</f>
        <v>2.6625690471162668E-2</v>
      </c>
    </row>
    <row r="2280" spans="1:5" x14ac:dyDescent="0.3">
      <c r="A2280" s="2">
        <f ca="1">INDEX(Simulations!$A$1:$BK$2501, 2280, MATCH("PurchaseMultiple", Simulations!$A$1:$BK$1, 0))</f>
        <v>6.6415224495199343</v>
      </c>
      <c r="B2280" s="2">
        <f ca="1">INDEX(Simulations!$A$1:$BK$2501, 2280, MATCH("ExitMultiple", Simulations!$A$1:$BK$1, 0))</f>
        <v>7.9850517300444839</v>
      </c>
      <c r="C2280" s="2">
        <f ca="1">INDEX(Simulations!$A$1:$BK$2501, 2280, MATCH("RevCAGR", Simulations!$A$1:$BK$1, 0))</f>
        <v>9.1438387764912928E-3</v>
      </c>
      <c r="D2280" s="2">
        <f ca="1">INDEX(Simulations!$A$1:$BK$2501, 2280, MATCH("SynMargin", Simulations!$A$1:$BK$1, 0))</f>
        <v>1.0389902957301786E-2</v>
      </c>
      <c r="E2280" s="2">
        <f ca="1">INDEX(Simulations!$A$1:$BK$2501, 2280, MATCH("Yr1Shock", Simulations!$A$1:$BK$1, 0))</f>
        <v>1.389469404227933E-2</v>
      </c>
    </row>
    <row r="2281" spans="1:5" x14ac:dyDescent="0.3">
      <c r="A2281" s="2">
        <f ca="1">INDEX(Simulations!$A$1:$BK$2501, 2281, MATCH("PurchaseMultiple", Simulations!$A$1:$BK$1, 0))</f>
        <v>7.1382275355139857</v>
      </c>
      <c r="B2281" s="2">
        <f ca="1">INDEX(Simulations!$A$1:$BK$2501, 2281, MATCH("ExitMultiple", Simulations!$A$1:$BK$1, 0))</f>
        <v>8.1941546402047027</v>
      </c>
      <c r="C2281" s="2">
        <f ca="1">INDEX(Simulations!$A$1:$BK$2501, 2281, MATCH("RevCAGR", Simulations!$A$1:$BK$1, 0))</f>
        <v>8.2839728456814019E-2</v>
      </c>
      <c r="D2281" s="2">
        <f ca="1">INDEX(Simulations!$A$1:$BK$2501, 2281, MATCH("SynMargin", Simulations!$A$1:$BK$1, 0))</f>
        <v>1.2069298488298122E-2</v>
      </c>
      <c r="E2281" s="2">
        <f ca="1">INDEX(Simulations!$A$1:$BK$2501, 2281, MATCH("Yr1Shock", Simulations!$A$1:$BK$1, 0))</f>
        <v>-3.3779547923324653E-2</v>
      </c>
    </row>
    <row r="2282" spans="1:5" x14ac:dyDescent="0.3">
      <c r="A2282" s="2">
        <f ca="1">INDEX(Simulations!$A$1:$BK$2501, 2282, MATCH("PurchaseMultiple", Simulations!$A$1:$BK$1, 0))</f>
        <v>7.318102210090089</v>
      </c>
      <c r="B2282" s="2">
        <f ca="1">INDEX(Simulations!$A$1:$BK$2501, 2282, MATCH("ExitMultiple", Simulations!$A$1:$BK$1, 0))</f>
        <v>7.7467469274427474</v>
      </c>
      <c r="C2282" s="2">
        <f ca="1">INDEX(Simulations!$A$1:$BK$2501, 2282, MATCH("RevCAGR", Simulations!$A$1:$BK$1, 0))</f>
        <v>-0.02</v>
      </c>
      <c r="D2282" s="2">
        <f ca="1">INDEX(Simulations!$A$1:$BK$2501, 2282, MATCH("SynMargin", Simulations!$A$1:$BK$1, 0))</f>
        <v>1.2705533801523172E-2</v>
      </c>
      <c r="E2282" s="2">
        <f ca="1">INDEX(Simulations!$A$1:$BK$2501, 2282, MATCH("Yr1Shock", Simulations!$A$1:$BK$1, 0))</f>
        <v>4.6136377898825465E-2</v>
      </c>
    </row>
    <row r="2283" spans="1:5" x14ac:dyDescent="0.3">
      <c r="A2283" s="2">
        <f ca="1">INDEX(Simulations!$A$1:$BK$2501, 2283, MATCH("PurchaseMultiple", Simulations!$A$1:$BK$1, 0))</f>
        <v>7.5750402225552422</v>
      </c>
      <c r="B2283" s="2">
        <f ca="1">INDEX(Simulations!$A$1:$BK$2501, 2283, MATCH("ExitMultiple", Simulations!$A$1:$BK$1, 0))</f>
        <v>7.2696705204323901</v>
      </c>
      <c r="C2283" s="2">
        <f ca="1">INDEX(Simulations!$A$1:$BK$2501, 2283, MATCH("RevCAGR", Simulations!$A$1:$BK$1, 0))</f>
        <v>3.5139896508466613E-2</v>
      </c>
      <c r="D2283" s="2">
        <f ca="1">INDEX(Simulations!$A$1:$BK$2501, 2283, MATCH("SynMargin", Simulations!$A$1:$BK$1, 0))</f>
        <v>1.377079200548182E-2</v>
      </c>
      <c r="E2283" s="2">
        <f ca="1">INDEX(Simulations!$A$1:$BK$2501, 2283, MATCH("Yr1Shock", Simulations!$A$1:$BK$1, 0))</f>
        <v>5.9870046454155289E-3</v>
      </c>
    </row>
    <row r="2284" spans="1:5" x14ac:dyDescent="0.3">
      <c r="A2284" s="2">
        <f ca="1">INDEX(Simulations!$A$1:$BK$2501, 2284, MATCH("PurchaseMultiple", Simulations!$A$1:$BK$1, 0))</f>
        <v>6.7842751768768155</v>
      </c>
      <c r="B2284" s="2">
        <f ca="1">INDEX(Simulations!$A$1:$BK$2501, 2284, MATCH("ExitMultiple", Simulations!$A$1:$BK$1, 0))</f>
        <v>7.5368685946675535</v>
      </c>
      <c r="C2284" s="2">
        <f ca="1">INDEX(Simulations!$A$1:$BK$2501, 2284, MATCH("RevCAGR", Simulations!$A$1:$BK$1, 0))</f>
        <v>7.6338732755763222E-2</v>
      </c>
      <c r="D2284" s="2">
        <f ca="1">INDEX(Simulations!$A$1:$BK$2501, 2284, MATCH("SynMargin", Simulations!$A$1:$BK$1, 0))</f>
        <v>1.3011009069655716E-2</v>
      </c>
      <c r="E2284" s="2">
        <f ca="1">INDEX(Simulations!$A$1:$BK$2501, 2284, MATCH("Yr1Shock", Simulations!$A$1:$BK$1, 0))</f>
        <v>3.6906142100697316E-3</v>
      </c>
    </row>
    <row r="2285" spans="1:5" x14ac:dyDescent="0.3">
      <c r="A2285" s="2">
        <f ca="1">INDEX(Simulations!$A$1:$BK$2501, 2285, MATCH("PurchaseMultiple", Simulations!$A$1:$BK$1, 0))</f>
        <v>6.9466333032655143</v>
      </c>
      <c r="B2285" s="2">
        <f ca="1">INDEX(Simulations!$A$1:$BK$2501, 2285, MATCH("ExitMultiple", Simulations!$A$1:$BK$1, 0))</f>
        <v>7.7830180140546794</v>
      </c>
      <c r="C2285" s="2">
        <f ca="1">INDEX(Simulations!$A$1:$BK$2501, 2285, MATCH("RevCAGR", Simulations!$A$1:$BK$1, 0))</f>
        <v>2.8418945308756438E-2</v>
      </c>
      <c r="D2285" s="2">
        <f ca="1">INDEX(Simulations!$A$1:$BK$2501, 2285, MATCH("SynMargin", Simulations!$A$1:$BK$1, 0))</f>
        <v>5.8886943654429327E-3</v>
      </c>
      <c r="E2285" s="2">
        <f ca="1">INDEX(Simulations!$A$1:$BK$2501, 2285, MATCH("Yr1Shock", Simulations!$A$1:$BK$1, 0))</f>
        <v>-6.8777947170017796E-3</v>
      </c>
    </row>
    <row r="2286" spans="1:5" x14ac:dyDescent="0.3">
      <c r="A2286" s="2">
        <f ca="1">INDEX(Simulations!$A$1:$BK$2501, 2286, MATCH("PurchaseMultiple", Simulations!$A$1:$BK$1, 0))</f>
        <v>6.9422228621259583</v>
      </c>
      <c r="B2286" s="2">
        <f ca="1">INDEX(Simulations!$A$1:$BK$2501, 2286, MATCH("ExitMultiple", Simulations!$A$1:$BK$1, 0))</f>
        <v>8.1503010613624607</v>
      </c>
      <c r="C2286" s="2">
        <f ca="1">INDEX(Simulations!$A$1:$BK$2501, 2286, MATCH("RevCAGR", Simulations!$A$1:$BK$1, 0))</f>
        <v>-2.2445509390293106E-3</v>
      </c>
      <c r="D2286" s="2">
        <f ca="1">INDEX(Simulations!$A$1:$BK$2501, 2286, MATCH("SynMargin", Simulations!$A$1:$BK$1, 0))</f>
        <v>1.0988796746533856E-2</v>
      </c>
      <c r="E2286" s="2">
        <f ca="1">INDEX(Simulations!$A$1:$BK$2501, 2286, MATCH("Yr1Shock", Simulations!$A$1:$BK$1, 0))</f>
        <v>2.0391679414049051E-3</v>
      </c>
    </row>
    <row r="2287" spans="1:5" x14ac:dyDescent="0.3">
      <c r="A2287" s="2">
        <f ca="1">INDEX(Simulations!$A$1:$BK$2501, 2287, MATCH("PurchaseMultiple", Simulations!$A$1:$BK$1, 0))</f>
        <v>7.3427271564473511</v>
      </c>
      <c r="B2287" s="2">
        <f ca="1">INDEX(Simulations!$A$1:$BK$2501, 2287, MATCH("ExitMultiple", Simulations!$A$1:$BK$1, 0))</f>
        <v>7.4566467595856478</v>
      </c>
      <c r="C2287" s="2">
        <f ca="1">INDEX(Simulations!$A$1:$BK$2501, 2287, MATCH("RevCAGR", Simulations!$A$1:$BK$1, 0))</f>
        <v>1.8298586030016484E-2</v>
      </c>
      <c r="D2287" s="2">
        <f ca="1">INDEX(Simulations!$A$1:$BK$2501, 2287, MATCH("SynMargin", Simulations!$A$1:$BK$1, 0))</f>
        <v>1.3976612438149639E-2</v>
      </c>
      <c r="E2287" s="2">
        <f ca="1">INDEX(Simulations!$A$1:$BK$2501, 2287, MATCH("Yr1Shock", Simulations!$A$1:$BK$1, 0))</f>
        <v>2.604386548392032E-2</v>
      </c>
    </row>
    <row r="2288" spans="1:5" x14ac:dyDescent="0.3">
      <c r="A2288" s="2">
        <f ca="1">INDEX(Simulations!$A$1:$BK$2501, 2288, MATCH("PurchaseMultiple", Simulations!$A$1:$BK$1, 0))</f>
        <v>7.1257713100286226</v>
      </c>
      <c r="B2288" s="2">
        <f ca="1">INDEX(Simulations!$A$1:$BK$2501, 2288, MATCH("ExitMultiple", Simulations!$A$1:$BK$1, 0))</f>
        <v>7.4660482755116178</v>
      </c>
      <c r="C2288" s="2">
        <f ca="1">INDEX(Simulations!$A$1:$BK$2501, 2288, MATCH("RevCAGR", Simulations!$A$1:$BK$1, 0))</f>
        <v>5.3456716153074277E-2</v>
      </c>
      <c r="D2288" s="2">
        <f ca="1">INDEX(Simulations!$A$1:$BK$2501, 2288, MATCH("SynMargin", Simulations!$A$1:$BK$1, 0))</f>
        <v>1.2472092912486514E-2</v>
      </c>
      <c r="E2288" s="2">
        <f ca="1">INDEX(Simulations!$A$1:$BK$2501, 2288, MATCH("Yr1Shock", Simulations!$A$1:$BK$1, 0))</f>
        <v>6.2558945745738214E-3</v>
      </c>
    </row>
    <row r="2289" spans="1:5" x14ac:dyDescent="0.3">
      <c r="A2289" s="2">
        <f ca="1">INDEX(Simulations!$A$1:$BK$2501, 2289, MATCH("PurchaseMultiple", Simulations!$A$1:$BK$1, 0))</f>
        <v>6.8744615266667024</v>
      </c>
      <c r="B2289" s="2">
        <f ca="1">INDEX(Simulations!$A$1:$BK$2501, 2289, MATCH("ExitMultiple", Simulations!$A$1:$BK$1, 0))</f>
        <v>7.9110690007309037</v>
      </c>
      <c r="C2289" s="2">
        <f ca="1">INDEX(Simulations!$A$1:$BK$2501, 2289, MATCH("RevCAGR", Simulations!$A$1:$BK$1, 0))</f>
        <v>2.2249676330634398E-2</v>
      </c>
      <c r="D2289" s="2">
        <f ca="1">INDEX(Simulations!$A$1:$BK$2501, 2289, MATCH("SynMargin", Simulations!$A$1:$BK$1, 0))</f>
        <v>1.0751153746138747E-2</v>
      </c>
      <c r="E2289" s="2">
        <f ca="1">INDEX(Simulations!$A$1:$BK$2501, 2289, MATCH("Yr1Shock", Simulations!$A$1:$BK$1, 0))</f>
        <v>4.2600445083877938E-3</v>
      </c>
    </row>
    <row r="2290" spans="1:5" x14ac:dyDescent="0.3">
      <c r="A2290" s="2">
        <f ca="1">INDEX(Simulations!$A$1:$BK$2501, 2290, MATCH("PurchaseMultiple", Simulations!$A$1:$BK$1, 0))</f>
        <v>6.1410450567187</v>
      </c>
      <c r="B2290" s="2">
        <f ca="1">INDEX(Simulations!$A$1:$BK$2501, 2290, MATCH("ExitMultiple", Simulations!$A$1:$BK$1, 0))</f>
        <v>8.2984128911005772</v>
      </c>
      <c r="C2290" s="2">
        <f ca="1">INDEX(Simulations!$A$1:$BK$2501, 2290, MATCH("RevCAGR", Simulations!$A$1:$BK$1, 0))</f>
        <v>8.7520404059208717E-2</v>
      </c>
      <c r="D2290" s="2">
        <f ca="1">INDEX(Simulations!$A$1:$BK$2501, 2290, MATCH("SynMargin", Simulations!$A$1:$BK$1, 0))</f>
        <v>1.4163689745095406E-2</v>
      </c>
      <c r="E2290" s="2">
        <f ca="1">INDEX(Simulations!$A$1:$BK$2501, 2290, MATCH("Yr1Shock", Simulations!$A$1:$BK$1, 0))</f>
        <v>-2.6461724423042399E-2</v>
      </c>
    </row>
    <row r="2291" spans="1:5" x14ac:dyDescent="0.3">
      <c r="A2291" s="2">
        <f ca="1">INDEX(Simulations!$A$1:$BK$2501, 2291, MATCH("PurchaseMultiple", Simulations!$A$1:$BK$1, 0))</f>
        <v>6.8122442162384846</v>
      </c>
      <c r="B2291" s="2">
        <f ca="1">INDEX(Simulations!$A$1:$BK$2501, 2291, MATCH("ExitMultiple", Simulations!$A$1:$BK$1, 0))</f>
        <v>6.9674018004067282</v>
      </c>
      <c r="C2291" s="2">
        <f ca="1">INDEX(Simulations!$A$1:$BK$2501, 2291, MATCH("RevCAGR", Simulations!$A$1:$BK$1, 0))</f>
        <v>5.1070921700218146E-2</v>
      </c>
      <c r="D2291" s="2">
        <f ca="1">INDEX(Simulations!$A$1:$BK$2501, 2291, MATCH("SynMargin", Simulations!$A$1:$BK$1, 0))</f>
        <v>1.9442516267853628E-2</v>
      </c>
      <c r="E2291" s="2">
        <f ca="1">INDEX(Simulations!$A$1:$BK$2501, 2291, MATCH("Yr1Shock", Simulations!$A$1:$BK$1, 0))</f>
        <v>-2.6543766127685022E-2</v>
      </c>
    </row>
    <row r="2292" spans="1:5" x14ac:dyDescent="0.3">
      <c r="A2292" s="2">
        <f ca="1">INDEX(Simulations!$A$1:$BK$2501, 2292, MATCH("PurchaseMultiple", Simulations!$A$1:$BK$1, 0))</f>
        <v>7.4175167587154993</v>
      </c>
      <c r="B2292" s="2">
        <f ca="1">INDEX(Simulations!$A$1:$BK$2501, 2292, MATCH("ExitMultiple", Simulations!$A$1:$BK$1, 0))</f>
        <v>7.1675302128366365</v>
      </c>
      <c r="C2292" s="2">
        <f ca="1">INDEX(Simulations!$A$1:$BK$2501, 2292, MATCH("RevCAGR", Simulations!$A$1:$BK$1, 0))</f>
        <v>6.0258449629638042E-2</v>
      </c>
      <c r="D2292" s="2">
        <f ca="1">INDEX(Simulations!$A$1:$BK$2501, 2292, MATCH("SynMargin", Simulations!$A$1:$BK$1, 0))</f>
        <v>1.0099483615008254E-2</v>
      </c>
      <c r="E2292" s="2">
        <f ca="1">INDEX(Simulations!$A$1:$BK$2501, 2292, MATCH("Yr1Shock", Simulations!$A$1:$BK$1, 0))</f>
        <v>-1.6842715861514708E-2</v>
      </c>
    </row>
    <row r="2293" spans="1:5" x14ac:dyDescent="0.3">
      <c r="A2293" s="2">
        <f ca="1">INDEX(Simulations!$A$1:$BK$2501, 2293, MATCH("PurchaseMultiple", Simulations!$A$1:$BK$1, 0))</f>
        <v>6.985858329579254</v>
      </c>
      <c r="B2293" s="2">
        <f ca="1">INDEX(Simulations!$A$1:$BK$2501, 2293, MATCH("ExitMultiple", Simulations!$A$1:$BK$1, 0))</f>
        <v>7.553218410834555</v>
      </c>
      <c r="C2293" s="2">
        <f ca="1">INDEX(Simulations!$A$1:$BK$2501, 2293, MATCH("RevCAGR", Simulations!$A$1:$BK$1, 0))</f>
        <v>2.5847673500769209E-2</v>
      </c>
      <c r="D2293" s="2">
        <f ca="1">INDEX(Simulations!$A$1:$BK$2501, 2293, MATCH("SynMargin", Simulations!$A$1:$BK$1, 0))</f>
        <v>1.1952292893063628E-2</v>
      </c>
      <c r="E2293" s="2">
        <f ca="1">INDEX(Simulations!$A$1:$BK$2501, 2293, MATCH("Yr1Shock", Simulations!$A$1:$BK$1, 0))</f>
        <v>2.2422828743231945E-3</v>
      </c>
    </row>
    <row r="2294" spans="1:5" x14ac:dyDescent="0.3">
      <c r="A2294" s="2">
        <f ca="1">INDEX(Simulations!$A$1:$BK$2501, 2294, MATCH("PurchaseMultiple", Simulations!$A$1:$BK$1, 0))</f>
        <v>6.9787517077882395</v>
      </c>
      <c r="B2294" s="2">
        <f ca="1">INDEX(Simulations!$A$1:$BK$2501, 2294, MATCH("ExitMultiple", Simulations!$A$1:$BK$1, 0))</f>
        <v>7.282352342797787</v>
      </c>
      <c r="C2294" s="2">
        <f ca="1">INDEX(Simulations!$A$1:$BK$2501, 2294, MATCH("RevCAGR", Simulations!$A$1:$BK$1, 0))</f>
        <v>3.3363202055530644E-2</v>
      </c>
      <c r="D2294" s="2">
        <f ca="1">INDEX(Simulations!$A$1:$BK$2501, 2294, MATCH("SynMargin", Simulations!$A$1:$BK$1, 0))</f>
        <v>5.9365151441287348E-3</v>
      </c>
      <c r="E2294" s="2">
        <f ca="1">INDEX(Simulations!$A$1:$BK$2501, 2294, MATCH("Yr1Shock", Simulations!$A$1:$BK$1, 0))</f>
        <v>1.8624353896674554E-2</v>
      </c>
    </row>
    <row r="2295" spans="1:5" x14ac:dyDescent="0.3">
      <c r="A2295" s="2">
        <f ca="1">INDEX(Simulations!$A$1:$BK$2501, 2295, MATCH("PurchaseMultiple", Simulations!$A$1:$BK$1, 0))</f>
        <v>7.4882135159871606</v>
      </c>
      <c r="B2295" s="2">
        <f ca="1">INDEX(Simulations!$A$1:$BK$2501, 2295, MATCH("ExitMultiple", Simulations!$A$1:$BK$1, 0))</f>
        <v>7.9773338028645382</v>
      </c>
      <c r="C2295" s="2">
        <f ca="1">INDEX(Simulations!$A$1:$BK$2501, 2295, MATCH("RevCAGR", Simulations!$A$1:$BK$1, 0))</f>
        <v>3.7949858367030936E-2</v>
      </c>
      <c r="D2295" s="2">
        <f ca="1">INDEX(Simulations!$A$1:$BK$2501, 2295, MATCH("SynMargin", Simulations!$A$1:$BK$1, 0))</f>
        <v>1.2133706056251414E-2</v>
      </c>
      <c r="E2295" s="2">
        <f ca="1">INDEX(Simulations!$A$1:$BK$2501, 2295, MATCH("Yr1Shock", Simulations!$A$1:$BK$1, 0))</f>
        <v>-1.7116060987672314E-2</v>
      </c>
    </row>
    <row r="2296" spans="1:5" x14ac:dyDescent="0.3">
      <c r="A2296" s="2">
        <f ca="1">INDEX(Simulations!$A$1:$BK$2501, 2296, MATCH("PurchaseMultiple", Simulations!$A$1:$BK$1, 0))</f>
        <v>6.9111856586490692</v>
      </c>
      <c r="B2296" s="2">
        <f ca="1">INDEX(Simulations!$A$1:$BK$2501, 2296, MATCH("ExitMultiple", Simulations!$A$1:$BK$1, 0))</f>
        <v>7.8287278454374842</v>
      </c>
      <c r="C2296" s="2">
        <f ca="1">INDEX(Simulations!$A$1:$BK$2501, 2296, MATCH("RevCAGR", Simulations!$A$1:$BK$1, 0))</f>
        <v>3.1939896004253981E-2</v>
      </c>
      <c r="D2296" s="2">
        <f ca="1">INDEX(Simulations!$A$1:$BK$2501, 2296, MATCH("SynMargin", Simulations!$A$1:$BK$1, 0))</f>
        <v>9.1894578831062303E-3</v>
      </c>
      <c r="E2296" s="2">
        <f ca="1">INDEX(Simulations!$A$1:$BK$2501, 2296, MATCH("Yr1Shock", Simulations!$A$1:$BK$1, 0))</f>
        <v>-1.0714544877371626E-2</v>
      </c>
    </row>
    <row r="2297" spans="1:5" x14ac:dyDescent="0.3">
      <c r="A2297" s="2">
        <f ca="1">INDEX(Simulations!$A$1:$BK$2501, 2297, MATCH("PurchaseMultiple", Simulations!$A$1:$BK$1, 0))</f>
        <v>7.8389322100997703</v>
      </c>
      <c r="B2297" s="2">
        <f ca="1">INDEX(Simulations!$A$1:$BK$2501, 2297, MATCH("ExitMultiple", Simulations!$A$1:$BK$1, 0))</f>
        <v>7.4865303526833014</v>
      </c>
      <c r="C2297" s="2">
        <f ca="1">INDEX(Simulations!$A$1:$BK$2501, 2297, MATCH("RevCAGR", Simulations!$A$1:$BK$1, 0))</f>
        <v>8.4341123230779302E-2</v>
      </c>
      <c r="D2297" s="2">
        <f ca="1">INDEX(Simulations!$A$1:$BK$2501, 2297, MATCH("SynMargin", Simulations!$A$1:$BK$1, 0))</f>
        <v>7.3246911497386307E-3</v>
      </c>
      <c r="E2297" s="2">
        <f ca="1">INDEX(Simulations!$A$1:$BK$2501, 2297, MATCH("Yr1Shock", Simulations!$A$1:$BK$1, 0))</f>
        <v>1.7481961957783732E-2</v>
      </c>
    </row>
    <row r="2298" spans="1:5" x14ac:dyDescent="0.3">
      <c r="A2298" s="2">
        <f ca="1">INDEX(Simulations!$A$1:$BK$2501, 2298, MATCH("PurchaseMultiple", Simulations!$A$1:$BK$1, 0))</f>
        <v>7.1450865733046935</v>
      </c>
      <c r="B2298" s="2">
        <f ca="1">INDEX(Simulations!$A$1:$BK$2501, 2298, MATCH("ExitMultiple", Simulations!$A$1:$BK$1, 0))</f>
        <v>7.1888084999192827</v>
      </c>
      <c r="C2298" s="2">
        <f ca="1">INDEX(Simulations!$A$1:$BK$2501, 2298, MATCH("RevCAGR", Simulations!$A$1:$BK$1, 0))</f>
        <v>2.3275516367259112E-2</v>
      </c>
      <c r="D2298" s="2">
        <f ca="1">INDEX(Simulations!$A$1:$BK$2501, 2298, MATCH("SynMargin", Simulations!$A$1:$BK$1, 0))</f>
        <v>1.0220486100300217E-2</v>
      </c>
      <c r="E2298" s="2">
        <f ca="1">INDEX(Simulations!$A$1:$BK$2501, 2298, MATCH("Yr1Shock", Simulations!$A$1:$BK$1, 0))</f>
        <v>-1.6847403459882167E-2</v>
      </c>
    </row>
    <row r="2299" spans="1:5" x14ac:dyDescent="0.3">
      <c r="A2299" s="2">
        <f ca="1">INDEX(Simulations!$A$1:$BK$2501, 2299, MATCH("PurchaseMultiple", Simulations!$A$1:$BK$1, 0))</f>
        <v>7.0935214306421228</v>
      </c>
      <c r="B2299" s="2">
        <f ca="1">INDEX(Simulations!$A$1:$BK$2501, 2299, MATCH("ExitMultiple", Simulations!$A$1:$BK$1, 0))</f>
        <v>7.6692839280208274</v>
      </c>
      <c r="C2299" s="2">
        <f ca="1">INDEX(Simulations!$A$1:$BK$2501, 2299, MATCH("RevCAGR", Simulations!$A$1:$BK$1, 0))</f>
        <v>4.1367016261995848E-2</v>
      </c>
      <c r="D2299" s="2">
        <f ca="1">INDEX(Simulations!$A$1:$BK$2501, 2299, MATCH("SynMargin", Simulations!$A$1:$BK$1, 0))</f>
        <v>1.0290704364197987E-2</v>
      </c>
      <c r="E2299" s="2">
        <f ca="1">INDEX(Simulations!$A$1:$BK$2501, 2299, MATCH("Yr1Shock", Simulations!$A$1:$BK$1, 0))</f>
        <v>-1.619171401644794E-2</v>
      </c>
    </row>
    <row r="2300" spans="1:5" x14ac:dyDescent="0.3">
      <c r="A2300" s="2">
        <f ca="1">INDEX(Simulations!$A$1:$BK$2501, 2300, MATCH("PurchaseMultiple", Simulations!$A$1:$BK$1, 0))</f>
        <v>6.726860359790102</v>
      </c>
      <c r="B2300" s="2">
        <f ca="1">INDEX(Simulations!$A$1:$BK$2501, 2300, MATCH("ExitMultiple", Simulations!$A$1:$BK$1, 0))</f>
        <v>7.9705372976184163</v>
      </c>
      <c r="C2300" s="2">
        <f ca="1">INDEX(Simulations!$A$1:$BK$2501, 2300, MATCH("RevCAGR", Simulations!$A$1:$BK$1, 0))</f>
        <v>6.2467686877548591E-2</v>
      </c>
      <c r="D2300" s="2">
        <f ca="1">INDEX(Simulations!$A$1:$BK$2501, 2300, MATCH("SynMargin", Simulations!$A$1:$BK$1, 0))</f>
        <v>9.6396493244382837E-3</v>
      </c>
      <c r="E2300" s="2">
        <f ca="1">INDEX(Simulations!$A$1:$BK$2501, 2300, MATCH("Yr1Shock", Simulations!$A$1:$BK$1, 0))</f>
        <v>-4.6462139707061081E-3</v>
      </c>
    </row>
    <row r="2301" spans="1:5" x14ac:dyDescent="0.3">
      <c r="A2301" s="2">
        <f ca="1">INDEX(Simulations!$A$1:$BK$2501, 2301, MATCH("PurchaseMultiple", Simulations!$A$1:$BK$1, 0))</f>
        <v>7.5135011421847038</v>
      </c>
      <c r="B2301" s="2">
        <f ca="1">INDEX(Simulations!$A$1:$BK$2501, 2301, MATCH("ExitMultiple", Simulations!$A$1:$BK$1, 0))</f>
        <v>7.5550436219001353</v>
      </c>
      <c r="C2301" s="2">
        <f ca="1">INDEX(Simulations!$A$1:$BK$2501, 2301, MATCH("RevCAGR", Simulations!$A$1:$BK$1, 0))</f>
        <v>5.5936413676613533E-2</v>
      </c>
      <c r="D2301" s="2">
        <f ca="1">INDEX(Simulations!$A$1:$BK$2501, 2301, MATCH("SynMargin", Simulations!$A$1:$BK$1, 0))</f>
        <v>8.8469334897323462E-3</v>
      </c>
      <c r="E2301" s="2">
        <f ca="1">INDEX(Simulations!$A$1:$BK$2501, 2301, MATCH("Yr1Shock", Simulations!$A$1:$BK$1, 0))</f>
        <v>-3.3726040509004357E-3</v>
      </c>
    </row>
    <row r="2302" spans="1:5" x14ac:dyDescent="0.3">
      <c r="A2302" s="2">
        <f ca="1">INDEX(Simulations!$A$1:$BK$2501, 2302, MATCH("PurchaseMultiple", Simulations!$A$1:$BK$1, 0))</f>
        <v>7.229585329198752</v>
      </c>
      <c r="B2302" s="2">
        <f ca="1">INDEX(Simulations!$A$1:$BK$2501, 2302, MATCH("ExitMultiple", Simulations!$A$1:$BK$1, 0))</f>
        <v>7.2391412554371719</v>
      </c>
      <c r="C2302" s="2">
        <f ca="1">INDEX(Simulations!$A$1:$BK$2501, 2302, MATCH("RevCAGR", Simulations!$A$1:$BK$1, 0))</f>
        <v>2.7038661585591008E-2</v>
      </c>
      <c r="D2302" s="2">
        <f ca="1">INDEX(Simulations!$A$1:$BK$2501, 2302, MATCH("SynMargin", Simulations!$A$1:$BK$1, 0))</f>
        <v>8.7478382661779572E-3</v>
      </c>
      <c r="E2302" s="2">
        <f ca="1">INDEX(Simulations!$A$1:$BK$2501, 2302, MATCH("Yr1Shock", Simulations!$A$1:$BK$1, 0))</f>
        <v>1.1048082688848366E-3</v>
      </c>
    </row>
    <row r="2303" spans="1:5" x14ac:dyDescent="0.3">
      <c r="A2303" s="2">
        <f ca="1">INDEX(Simulations!$A$1:$BK$2501, 2303, MATCH("PurchaseMultiple", Simulations!$A$1:$BK$1, 0))</f>
        <v>6.327683657678449</v>
      </c>
      <c r="B2303" s="2">
        <f ca="1">INDEX(Simulations!$A$1:$BK$2501, 2303, MATCH("ExitMultiple", Simulations!$A$1:$BK$1, 0))</f>
        <v>7.3885311886767671</v>
      </c>
      <c r="C2303" s="2">
        <f ca="1">INDEX(Simulations!$A$1:$BK$2501, 2303, MATCH("RevCAGR", Simulations!$A$1:$BK$1, 0))</f>
        <v>4.8366362917988424E-2</v>
      </c>
      <c r="D2303" s="2">
        <f ca="1">INDEX(Simulations!$A$1:$BK$2501, 2303, MATCH("SynMargin", Simulations!$A$1:$BK$1, 0))</f>
        <v>7.5528364042816345E-3</v>
      </c>
      <c r="E2303" s="2">
        <f ca="1">INDEX(Simulations!$A$1:$BK$2501, 2303, MATCH("Yr1Shock", Simulations!$A$1:$BK$1, 0))</f>
        <v>2.5484592520374005E-2</v>
      </c>
    </row>
    <row r="2304" spans="1:5" x14ac:dyDescent="0.3">
      <c r="A2304" s="2">
        <f ca="1">INDEX(Simulations!$A$1:$BK$2501, 2304, MATCH("PurchaseMultiple", Simulations!$A$1:$BK$1, 0))</f>
        <v>6.9867183492543736</v>
      </c>
      <c r="B2304" s="2">
        <f ca="1">INDEX(Simulations!$A$1:$BK$2501, 2304, MATCH("ExitMultiple", Simulations!$A$1:$BK$1, 0))</f>
        <v>7.3028586772759514</v>
      </c>
      <c r="C2304" s="2">
        <f ca="1">INDEX(Simulations!$A$1:$BK$2501, 2304, MATCH("RevCAGR", Simulations!$A$1:$BK$1, 0))</f>
        <v>2.3980850425767936E-2</v>
      </c>
      <c r="D2304" s="2">
        <f ca="1">INDEX(Simulations!$A$1:$BK$2501, 2304, MATCH("SynMargin", Simulations!$A$1:$BK$1, 0))</f>
        <v>9.6053467739496464E-3</v>
      </c>
      <c r="E2304" s="2">
        <f ca="1">INDEX(Simulations!$A$1:$BK$2501, 2304, MATCH("Yr1Shock", Simulations!$A$1:$BK$1, 0))</f>
        <v>-1.6109312999756016E-3</v>
      </c>
    </row>
    <row r="2305" spans="1:5" x14ac:dyDescent="0.3">
      <c r="A2305" s="2">
        <f ca="1">INDEX(Simulations!$A$1:$BK$2501, 2305, MATCH("PurchaseMultiple", Simulations!$A$1:$BK$1, 0))</f>
        <v>7.8011056842292819</v>
      </c>
      <c r="B2305" s="2">
        <f ca="1">INDEX(Simulations!$A$1:$BK$2501, 2305, MATCH("ExitMultiple", Simulations!$A$1:$BK$1, 0))</f>
        <v>7.8046718581294554</v>
      </c>
      <c r="C2305" s="2">
        <f ca="1">INDEX(Simulations!$A$1:$BK$2501, 2305, MATCH("RevCAGR", Simulations!$A$1:$BK$1, 0))</f>
        <v>4.1535788341016108E-2</v>
      </c>
      <c r="D2305" s="2">
        <f ca="1">INDEX(Simulations!$A$1:$BK$2501, 2305, MATCH("SynMargin", Simulations!$A$1:$BK$1, 0))</f>
        <v>4.3171843285500326E-3</v>
      </c>
      <c r="E2305" s="2">
        <f ca="1">INDEX(Simulations!$A$1:$BK$2501, 2305, MATCH("Yr1Shock", Simulations!$A$1:$BK$1, 0))</f>
        <v>-2.8155766501227755E-4</v>
      </c>
    </row>
    <row r="2306" spans="1:5" x14ac:dyDescent="0.3">
      <c r="A2306" s="2">
        <f ca="1">INDEX(Simulations!$A$1:$BK$2501, 2306, MATCH("PurchaseMultiple", Simulations!$A$1:$BK$1, 0))</f>
        <v>7.2807854441770905</v>
      </c>
      <c r="B2306" s="2">
        <f ca="1">INDEX(Simulations!$A$1:$BK$2501, 2306, MATCH("ExitMultiple", Simulations!$A$1:$BK$1, 0))</f>
        <v>7.1393291584264027</v>
      </c>
      <c r="C2306" s="2">
        <f ca="1">INDEX(Simulations!$A$1:$BK$2501, 2306, MATCH("RevCAGR", Simulations!$A$1:$BK$1, 0))</f>
        <v>4.9350230297093803E-2</v>
      </c>
      <c r="D2306" s="2">
        <f ca="1">INDEX(Simulations!$A$1:$BK$2501, 2306, MATCH("SynMargin", Simulations!$A$1:$BK$1, 0))</f>
        <v>1.0670546416920878E-2</v>
      </c>
      <c r="E2306" s="2">
        <f ca="1">INDEX(Simulations!$A$1:$BK$2501, 2306, MATCH("Yr1Shock", Simulations!$A$1:$BK$1, 0))</f>
        <v>8.1987735827816748E-3</v>
      </c>
    </row>
    <row r="2307" spans="1:5" x14ac:dyDescent="0.3">
      <c r="A2307" s="2">
        <f ca="1">INDEX(Simulations!$A$1:$BK$2501, 2307, MATCH("PurchaseMultiple", Simulations!$A$1:$BK$1, 0))</f>
        <v>6.1796944860315843</v>
      </c>
      <c r="B2307" s="2">
        <f ca="1">INDEX(Simulations!$A$1:$BK$2501, 2307, MATCH("ExitMultiple", Simulations!$A$1:$BK$1, 0))</f>
        <v>7.4258744863142718</v>
      </c>
      <c r="C2307" s="2">
        <f ca="1">INDEX(Simulations!$A$1:$BK$2501, 2307, MATCH("RevCAGR", Simulations!$A$1:$BK$1, 0))</f>
        <v>4.1809011897459669E-2</v>
      </c>
      <c r="D2307" s="2">
        <f ca="1">INDEX(Simulations!$A$1:$BK$2501, 2307, MATCH("SynMargin", Simulations!$A$1:$BK$1, 0))</f>
        <v>1.9242233267095475E-2</v>
      </c>
      <c r="E2307" s="2">
        <f ca="1">INDEX(Simulations!$A$1:$BK$2501, 2307, MATCH("Yr1Shock", Simulations!$A$1:$BK$1, 0))</f>
        <v>-1.2020372901413898E-2</v>
      </c>
    </row>
    <row r="2308" spans="1:5" x14ac:dyDescent="0.3">
      <c r="A2308" s="2">
        <f ca="1">INDEX(Simulations!$A$1:$BK$2501, 2308, MATCH("PurchaseMultiple", Simulations!$A$1:$BK$1, 0))</f>
        <v>6.5845671453556376</v>
      </c>
      <c r="B2308" s="2">
        <f ca="1">INDEX(Simulations!$A$1:$BK$2501, 2308, MATCH("ExitMultiple", Simulations!$A$1:$BK$1, 0))</f>
        <v>7.7136588480444637</v>
      </c>
      <c r="C2308" s="2">
        <f ca="1">INDEX(Simulations!$A$1:$BK$2501, 2308, MATCH("RevCAGR", Simulations!$A$1:$BK$1, 0))</f>
        <v>4.8131928916947904E-2</v>
      </c>
      <c r="D2308" s="2">
        <f ca="1">INDEX(Simulations!$A$1:$BK$2501, 2308, MATCH("SynMargin", Simulations!$A$1:$BK$1, 0))</f>
        <v>5.8985769589539111E-3</v>
      </c>
      <c r="E2308" s="2">
        <f ca="1">INDEX(Simulations!$A$1:$BK$2501, 2308, MATCH("Yr1Shock", Simulations!$A$1:$BK$1, 0))</f>
        <v>2.6810721539466151E-3</v>
      </c>
    </row>
    <row r="2309" spans="1:5" x14ac:dyDescent="0.3">
      <c r="A2309" s="2">
        <f ca="1">INDEX(Simulations!$A$1:$BK$2501, 2309, MATCH("PurchaseMultiple", Simulations!$A$1:$BK$1, 0))</f>
        <v>6.4294480902058861</v>
      </c>
      <c r="B2309" s="2">
        <f ca="1">INDEX(Simulations!$A$1:$BK$2501, 2309, MATCH("ExitMultiple", Simulations!$A$1:$BK$1, 0))</f>
        <v>7.4211523144557967</v>
      </c>
      <c r="C2309" s="2">
        <f ca="1">INDEX(Simulations!$A$1:$BK$2501, 2309, MATCH("RevCAGR", Simulations!$A$1:$BK$1, 0))</f>
        <v>7.3557405662572878E-2</v>
      </c>
      <c r="D2309" s="2">
        <f ca="1">INDEX(Simulations!$A$1:$BK$2501, 2309, MATCH("SynMargin", Simulations!$A$1:$BK$1, 0))</f>
        <v>9.4095047520602951E-3</v>
      </c>
      <c r="E2309" s="2">
        <f ca="1">INDEX(Simulations!$A$1:$BK$2501, 2309, MATCH("Yr1Shock", Simulations!$A$1:$BK$1, 0))</f>
        <v>-1.0763135576241187E-2</v>
      </c>
    </row>
    <row r="2310" spans="1:5" x14ac:dyDescent="0.3">
      <c r="A2310" s="2">
        <f ca="1">INDEX(Simulations!$A$1:$BK$2501, 2310, MATCH("PurchaseMultiple", Simulations!$A$1:$BK$1, 0))</f>
        <v>7.0133373514218178</v>
      </c>
      <c r="B2310" s="2">
        <f ca="1">INDEX(Simulations!$A$1:$BK$2501, 2310, MATCH("ExitMultiple", Simulations!$A$1:$BK$1, 0))</f>
        <v>6.8021823237230992</v>
      </c>
      <c r="C2310" s="2">
        <f ca="1">INDEX(Simulations!$A$1:$BK$2501, 2310, MATCH("RevCAGR", Simulations!$A$1:$BK$1, 0))</f>
        <v>7.3754483314415364E-2</v>
      </c>
      <c r="D2310" s="2">
        <f ca="1">INDEX(Simulations!$A$1:$BK$2501, 2310, MATCH("SynMargin", Simulations!$A$1:$BK$1, 0))</f>
        <v>1.0399161098170089E-2</v>
      </c>
      <c r="E2310" s="2">
        <f ca="1">INDEX(Simulations!$A$1:$BK$2501, 2310, MATCH("Yr1Shock", Simulations!$A$1:$BK$1, 0))</f>
        <v>2.6080721746309519E-2</v>
      </c>
    </row>
    <row r="2311" spans="1:5" x14ac:dyDescent="0.3">
      <c r="A2311" s="2">
        <f ca="1">INDEX(Simulations!$A$1:$BK$2501, 2311, MATCH("PurchaseMultiple", Simulations!$A$1:$BK$1, 0))</f>
        <v>7.4750927359174479</v>
      </c>
      <c r="B2311" s="2">
        <f ca="1">INDEX(Simulations!$A$1:$BK$2501, 2311, MATCH("ExitMultiple", Simulations!$A$1:$BK$1, 0))</f>
        <v>8.0687286145480712</v>
      </c>
      <c r="C2311" s="2">
        <f ca="1">INDEX(Simulations!$A$1:$BK$2501, 2311, MATCH("RevCAGR", Simulations!$A$1:$BK$1, 0))</f>
        <v>0.10006613563233106</v>
      </c>
      <c r="D2311" s="2">
        <f ca="1">INDEX(Simulations!$A$1:$BK$2501, 2311, MATCH("SynMargin", Simulations!$A$1:$BK$1, 0))</f>
        <v>8.3666970845495108E-3</v>
      </c>
      <c r="E2311" s="2">
        <f ca="1">INDEX(Simulations!$A$1:$BK$2501, 2311, MATCH("Yr1Shock", Simulations!$A$1:$BK$1, 0))</f>
        <v>-1.2329791044136753E-2</v>
      </c>
    </row>
    <row r="2312" spans="1:5" x14ac:dyDescent="0.3">
      <c r="A2312" s="2">
        <f ca="1">INDEX(Simulations!$A$1:$BK$2501, 2312, MATCH("PurchaseMultiple", Simulations!$A$1:$BK$1, 0))</f>
        <v>6.7478311820396266</v>
      </c>
      <c r="B2312" s="2">
        <f ca="1">INDEX(Simulations!$A$1:$BK$2501, 2312, MATCH("ExitMultiple", Simulations!$A$1:$BK$1, 0))</f>
        <v>7.4404543139615713</v>
      </c>
      <c r="C2312" s="2">
        <f ca="1">INDEX(Simulations!$A$1:$BK$2501, 2312, MATCH("RevCAGR", Simulations!$A$1:$BK$1, 0))</f>
        <v>-1.5038148774483638E-2</v>
      </c>
      <c r="D2312" s="2">
        <f ca="1">INDEX(Simulations!$A$1:$BK$2501, 2312, MATCH("SynMargin", Simulations!$A$1:$BK$1, 0))</f>
        <v>8.7460625683005184E-3</v>
      </c>
      <c r="E2312" s="2">
        <f ca="1">INDEX(Simulations!$A$1:$BK$2501, 2312, MATCH("Yr1Shock", Simulations!$A$1:$BK$1, 0))</f>
        <v>7.7980539534266025E-3</v>
      </c>
    </row>
    <row r="2313" spans="1:5" x14ac:dyDescent="0.3">
      <c r="A2313" s="2">
        <f ca="1">INDEX(Simulations!$A$1:$BK$2501, 2313, MATCH("PurchaseMultiple", Simulations!$A$1:$BK$1, 0))</f>
        <v>7.3444765518497581</v>
      </c>
      <c r="B2313" s="2">
        <f ca="1">INDEX(Simulations!$A$1:$BK$2501, 2313, MATCH("ExitMultiple", Simulations!$A$1:$BK$1, 0))</f>
        <v>7.2646201818869178</v>
      </c>
      <c r="C2313" s="2">
        <f ca="1">INDEX(Simulations!$A$1:$BK$2501, 2313, MATCH("RevCAGR", Simulations!$A$1:$BK$1, 0))</f>
        <v>3.7504990857282809E-2</v>
      </c>
      <c r="D2313" s="2">
        <f ca="1">INDEX(Simulations!$A$1:$BK$2501, 2313, MATCH("SynMargin", Simulations!$A$1:$BK$1, 0))</f>
        <v>1.0019416951088668E-2</v>
      </c>
      <c r="E2313" s="2">
        <f ca="1">INDEX(Simulations!$A$1:$BK$2501, 2313, MATCH("Yr1Shock", Simulations!$A$1:$BK$1, 0))</f>
        <v>-1.8780387685257111E-2</v>
      </c>
    </row>
    <row r="2314" spans="1:5" x14ac:dyDescent="0.3">
      <c r="A2314" s="2">
        <f ca="1">INDEX(Simulations!$A$1:$BK$2501, 2314, MATCH("PurchaseMultiple", Simulations!$A$1:$BK$1, 0))</f>
        <v>7.6469469197115076</v>
      </c>
      <c r="B2314" s="2">
        <f ca="1">INDEX(Simulations!$A$1:$BK$2501, 2314, MATCH("ExitMultiple", Simulations!$A$1:$BK$1, 0))</f>
        <v>7.6372720024116516</v>
      </c>
      <c r="C2314" s="2">
        <f ca="1">INDEX(Simulations!$A$1:$BK$2501, 2314, MATCH("RevCAGR", Simulations!$A$1:$BK$1, 0))</f>
        <v>5.3749850759314571E-2</v>
      </c>
      <c r="D2314" s="2">
        <f ca="1">INDEX(Simulations!$A$1:$BK$2501, 2314, MATCH("SynMargin", Simulations!$A$1:$BK$1, 0))</f>
        <v>8.0400917804190567E-3</v>
      </c>
      <c r="E2314" s="2">
        <f ca="1">INDEX(Simulations!$A$1:$BK$2501, 2314, MATCH("Yr1Shock", Simulations!$A$1:$BK$1, 0))</f>
        <v>7.545170324112652E-3</v>
      </c>
    </row>
    <row r="2315" spans="1:5" x14ac:dyDescent="0.3">
      <c r="A2315" s="2">
        <f ca="1">INDEX(Simulations!$A$1:$BK$2501, 2315, MATCH("PurchaseMultiple", Simulations!$A$1:$BK$1, 0))</f>
        <v>6.6690110266342462</v>
      </c>
      <c r="B2315" s="2">
        <f ca="1">INDEX(Simulations!$A$1:$BK$2501, 2315, MATCH("ExitMultiple", Simulations!$A$1:$BK$1, 0))</f>
        <v>7.6492410384586584</v>
      </c>
      <c r="C2315" s="2">
        <f ca="1">INDEX(Simulations!$A$1:$BK$2501, 2315, MATCH("RevCAGR", Simulations!$A$1:$BK$1, 0))</f>
        <v>5.6919070388830498E-2</v>
      </c>
      <c r="D2315" s="2">
        <f ca="1">INDEX(Simulations!$A$1:$BK$2501, 2315, MATCH("SynMargin", Simulations!$A$1:$BK$1, 0))</f>
        <v>1.1689959748798868E-2</v>
      </c>
      <c r="E2315" s="2">
        <f ca="1">INDEX(Simulations!$A$1:$BK$2501, 2315, MATCH("Yr1Shock", Simulations!$A$1:$BK$1, 0))</f>
        <v>-1.6593883966097116E-2</v>
      </c>
    </row>
    <row r="2316" spans="1:5" x14ac:dyDescent="0.3">
      <c r="A2316" s="2">
        <f ca="1">INDEX(Simulations!$A$1:$BK$2501, 2316, MATCH("PurchaseMultiple", Simulations!$A$1:$BK$1, 0))</f>
        <v>6.145862405584313</v>
      </c>
      <c r="B2316" s="2">
        <f ca="1">INDEX(Simulations!$A$1:$BK$2501, 2316, MATCH("ExitMultiple", Simulations!$A$1:$BK$1, 0))</f>
        <v>6.8261217191228658</v>
      </c>
      <c r="C2316" s="2">
        <f ca="1">INDEX(Simulations!$A$1:$BK$2501, 2316, MATCH("RevCAGR", Simulations!$A$1:$BK$1, 0))</f>
        <v>2.160143445571984E-2</v>
      </c>
      <c r="D2316" s="2">
        <f ca="1">INDEX(Simulations!$A$1:$BK$2501, 2316, MATCH("SynMargin", Simulations!$A$1:$BK$1, 0))</f>
        <v>2.3748098988619782E-3</v>
      </c>
      <c r="E2316" s="2">
        <f ca="1">INDEX(Simulations!$A$1:$BK$2501, 2316, MATCH("Yr1Shock", Simulations!$A$1:$BK$1, 0))</f>
        <v>3.2414339762885727E-2</v>
      </c>
    </row>
    <row r="2317" spans="1:5" x14ac:dyDescent="0.3">
      <c r="A2317" s="2">
        <f ca="1">INDEX(Simulations!$A$1:$BK$2501, 2317, MATCH("PurchaseMultiple", Simulations!$A$1:$BK$1, 0))</f>
        <v>6.8387023382138556</v>
      </c>
      <c r="B2317" s="2">
        <f ca="1">INDEX(Simulations!$A$1:$BK$2501, 2317, MATCH("ExitMultiple", Simulations!$A$1:$BK$1, 0))</f>
        <v>7.866332438354168</v>
      </c>
      <c r="C2317" s="2">
        <f ca="1">INDEX(Simulations!$A$1:$BK$2501, 2317, MATCH("RevCAGR", Simulations!$A$1:$BK$1, 0))</f>
        <v>2.7201567037911271E-2</v>
      </c>
      <c r="D2317" s="2">
        <f ca="1">INDEX(Simulations!$A$1:$BK$2501, 2317, MATCH("SynMargin", Simulations!$A$1:$BK$1, 0))</f>
        <v>1.8647166697465519E-2</v>
      </c>
      <c r="E2317" s="2">
        <f ca="1">INDEX(Simulations!$A$1:$BK$2501, 2317, MATCH("Yr1Shock", Simulations!$A$1:$BK$1, 0))</f>
        <v>-1.3908920542768941E-2</v>
      </c>
    </row>
    <row r="2318" spans="1:5" x14ac:dyDescent="0.3">
      <c r="A2318" s="2">
        <f ca="1">INDEX(Simulations!$A$1:$BK$2501, 2318, MATCH("PurchaseMultiple", Simulations!$A$1:$BK$1, 0))</f>
        <v>7.3166059821986327</v>
      </c>
      <c r="B2318" s="2">
        <f ca="1">INDEX(Simulations!$A$1:$BK$2501, 2318, MATCH("ExitMultiple", Simulations!$A$1:$BK$1, 0))</f>
        <v>7.2727975029042913</v>
      </c>
      <c r="C2318" s="2">
        <f ca="1">INDEX(Simulations!$A$1:$BK$2501, 2318, MATCH("RevCAGR", Simulations!$A$1:$BK$1, 0))</f>
        <v>4.171016352326605E-3</v>
      </c>
      <c r="D2318" s="2">
        <f ca="1">INDEX(Simulations!$A$1:$BK$2501, 2318, MATCH("SynMargin", Simulations!$A$1:$BK$1, 0))</f>
        <v>7.22393524233364E-3</v>
      </c>
      <c r="E2318" s="2">
        <f ca="1">INDEX(Simulations!$A$1:$BK$2501, 2318, MATCH("Yr1Shock", Simulations!$A$1:$BK$1, 0))</f>
        <v>1.3705390427653761E-2</v>
      </c>
    </row>
    <row r="2319" spans="1:5" x14ac:dyDescent="0.3">
      <c r="A2319" s="2">
        <f ca="1">INDEX(Simulations!$A$1:$BK$2501, 2319, MATCH("PurchaseMultiple", Simulations!$A$1:$BK$1, 0))</f>
        <v>7.5264287628139357</v>
      </c>
      <c r="B2319" s="2">
        <f ca="1">INDEX(Simulations!$A$1:$BK$2501, 2319, MATCH("ExitMultiple", Simulations!$A$1:$BK$1, 0))</f>
        <v>7.349016805689363</v>
      </c>
      <c r="C2319" s="2">
        <f ca="1">INDEX(Simulations!$A$1:$BK$2501, 2319, MATCH("RevCAGR", Simulations!$A$1:$BK$1, 0))</f>
        <v>7.7083091584715407E-2</v>
      </c>
      <c r="D2319" s="2">
        <f ca="1">INDEX(Simulations!$A$1:$BK$2501, 2319, MATCH("SynMargin", Simulations!$A$1:$BK$1, 0))</f>
        <v>1.068911416977707E-2</v>
      </c>
      <c r="E2319" s="2">
        <f ca="1">INDEX(Simulations!$A$1:$BK$2501, 2319, MATCH("Yr1Shock", Simulations!$A$1:$BK$1, 0))</f>
        <v>-5.3527209092647625E-3</v>
      </c>
    </row>
    <row r="2320" spans="1:5" x14ac:dyDescent="0.3">
      <c r="A2320" s="2">
        <f ca="1">INDEX(Simulations!$A$1:$BK$2501, 2320, MATCH("PurchaseMultiple", Simulations!$A$1:$BK$1, 0))</f>
        <v>6.9118554600078603</v>
      </c>
      <c r="B2320" s="2">
        <f ca="1">INDEX(Simulations!$A$1:$BK$2501, 2320, MATCH("ExitMultiple", Simulations!$A$1:$BK$1, 0))</f>
        <v>7.8174231010485862</v>
      </c>
      <c r="C2320" s="2">
        <f ca="1">INDEX(Simulations!$A$1:$BK$2501, 2320, MATCH("RevCAGR", Simulations!$A$1:$BK$1, 0))</f>
        <v>9.9289562052523789E-2</v>
      </c>
      <c r="D2320" s="2">
        <f ca="1">INDEX(Simulations!$A$1:$BK$2501, 2320, MATCH("SynMargin", Simulations!$A$1:$BK$1, 0))</f>
        <v>8.859609273748164E-3</v>
      </c>
      <c r="E2320" s="2">
        <f ca="1">INDEX(Simulations!$A$1:$BK$2501, 2320, MATCH("Yr1Shock", Simulations!$A$1:$BK$1, 0))</f>
        <v>-4.3227284917439022E-3</v>
      </c>
    </row>
    <row r="2321" spans="1:5" x14ac:dyDescent="0.3">
      <c r="A2321" s="2">
        <f ca="1">INDEX(Simulations!$A$1:$BK$2501, 2321, MATCH("PurchaseMultiple", Simulations!$A$1:$BK$1, 0))</f>
        <v>6.0470619370441039</v>
      </c>
      <c r="B2321" s="2">
        <f ca="1">INDEX(Simulations!$A$1:$BK$2501, 2321, MATCH("ExitMultiple", Simulations!$A$1:$BK$1, 0))</f>
        <v>6.705118492183618</v>
      </c>
      <c r="C2321" s="2">
        <f ca="1">INDEX(Simulations!$A$1:$BK$2501, 2321, MATCH("RevCAGR", Simulations!$A$1:$BK$1, 0))</f>
        <v>3.4265314292313498E-2</v>
      </c>
      <c r="D2321" s="2">
        <f ca="1">INDEX(Simulations!$A$1:$BK$2501, 2321, MATCH("SynMargin", Simulations!$A$1:$BK$1, 0))</f>
        <v>9.8635272875286541E-3</v>
      </c>
      <c r="E2321" s="2">
        <f ca="1">INDEX(Simulations!$A$1:$BK$2501, 2321, MATCH("Yr1Shock", Simulations!$A$1:$BK$1, 0))</f>
        <v>-1.3643244981410093E-2</v>
      </c>
    </row>
    <row r="2322" spans="1:5" x14ac:dyDescent="0.3">
      <c r="A2322" s="2">
        <f ca="1">INDEX(Simulations!$A$1:$BK$2501, 2322, MATCH("PurchaseMultiple", Simulations!$A$1:$BK$1, 0))</f>
        <v>7.6539618121524562</v>
      </c>
      <c r="B2322" s="2">
        <f ca="1">INDEX(Simulations!$A$1:$BK$2501, 2322, MATCH("ExitMultiple", Simulations!$A$1:$BK$1, 0))</f>
        <v>7.8699885699400953</v>
      </c>
      <c r="C2322" s="2">
        <f ca="1">INDEX(Simulations!$A$1:$BK$2501, 2322, MATCH("RevCAGR", Simulations!$A$1:$BK$1, 0))</f>
        <v>8.5015083253111995E-2</v>
      </c>
      <c r="D2322" s="2">
        <f ca="1">INDEX(Simulations!$A$1:$BK$2501, 2322, MATCH("SynMargin", Simulations!$A$1:$BK$1, 0))</f>
        <v>6.848626778467491E-3</v>
      </c>
      <c r="E2322" s="2">
        <f ca="1">INDEX(Simulations!$A$1:$BK$2501, 2322, MATCH("Yr1Shock", Simulations!$A$1:$BK$1, 0))</f>
        <v>2.4202080756278374E-2</v>
      </c>
    </row>
    <row r="2323" spans="1:5" x14ac:dyDescent="0.3">
      <c r="A2323" s="2">
        <f ca="1">INDEX(Simulations!$A$1:$BK$2501, 2323, MATCH("PurchaseMultiple", Simulations!$A$1:$BK$1, 0))</f>
        <v>6.6497378604832589</v>
      </c>
      <c r="B2323" s="2">
        <f ca="1">INDEX(Simulations!$A$1:$BK$2501, 2323, MATCH("ExitMultiple", Simulations!$A$1:$BK$1, 0))</f>
        <v>7.3902176436964533</v>
      </c>
      <c r="C2323" s="2">
        <f ca="1">INDEX(Simulations!$A$1:$BK$2501, 2323, MATCH("RevCAGR", Simulations!$A$1:$BK$1, 0))</f>
        <v>8.9723701477543299E-4</v>
      </c>
      <c r="D2323" s="2">
        <f ca="1">INDEX(Simulations!$A$1:$BK$2501, 2323, MATCH("SynMargin", Simulations!$A$1:$BK$1, 0))</f>
        <v>1.2785536002462424E-2</v>
      </c>
      <c r="E2323" s="2">
        <f ca="1">INDEX(Simulations!$A$1:$BK$2501, 2323, MATCH("Yr1Shock", Simulations!$A$1:$BK$1, 0))</f>
        <v>-1.0611394257715191E-4</v>
      </c>
    </row>
    <row r="2324" spans="1:5" x14ac:dyDescent="0.3">
      <c r="A2324" s="2">
        <f ca="1">INDEX(Simulations!$A$1:$BK$2501, 2324, MATCH("PurchaseMultiple", Simulations!$A$1:$BK$1, 0))</f>
        <v>7.6664245291974655</v>
      </c>
      <c r="B2324" s="2">
        <f ca="1">INDEX(Simulations!$A$1:$BK$2501, 2324, MATCH("ExitMultiple", Simulations!$A$1:$BK$1, 0))</f>
        <v>7.6798020571210106</v>
      </c>
      <c r="C2324" s="2">
        <f ca="1">INDEX(Simulations!$A$1:$BK$2501, 2324, MATCH("RevCAGR", Simulations!$A$1:$BK$1, 0))</f>
        <v>3.4913712933923674E-2</v>
      </c>
      <c r="D2324" s="2">
        <f ca="1">INDEX(Simulations!$A$1:$BK$2501, 2324, MATCH("SynMargin", Simulations!$A$1:$BK$1, 0))</f>
        <v>1.3102781980145681E-2</v>
      </c>
      <c r="E2324" s="2">
        <f ca="1">INDEX(Simulations!$A$1:$BK$2501, 2324, MATCH("Yr1Shock", Simulations!$A$1:$BK$1, 0))</f>
        <v>7.4572592835548627E-3</v>
      </c>
    </row>
    <row r="2325" spans="1:5" x14ac:dyDescent="0.3">
      <c r="A2325" s="2">
        <f ca="1">INDEX(Simulations!$A$1:$BK$2501, 2325, MATCH("PurchaseMultiple", Simulations!$A$1:$BK$1, 0))</f>
        <v>7.3610765734976749</v>
      </c>
      <c r="B2325" s="2">
        <f ca="1">INDEX(Simulations!$A$1:$BK$2501, 2325, MATCH("ExitMultiple", Simulations!$A$1:$BK$1, 0))</f>
        <v>7.1452409473107332</v>
      </c>
      <c r="C2325" s="2">
        <f ca="1">INDEX(Simulations!$A$1:$BK$2501, 2325, MATCH("RevCAGR", Simulations!$A$1:$BK$1, 0))</f>
        <v>5.4024524495864243E-2</v>
      </c>
      <c r="D2325" s="2">
        <f ca="1">INDEX(Simulations!$A$1:$BK$2501, 2325, MATCH("SynMargin", Simulations!$A$1:$BK$1, 0))</f>
        <v>2.2359579417656567E-2</v>
      </c>
      <c r="E2325" s="2">
        <f ca="1">INDEX(Simulations!$A$1:$BK$2501, 2325, MATCH("Yr1Shock", Simulations!$A$1:$BK$1, 0))</f>
        <v>-1.4838543237893931E-2</v>
      </c>
    </row>
    <row r="2326" spans="1:5" x14ac:dyDescent="0.3">
      <c r="A2326" s="2">
        <f ca="1">INDEX(Simulations!$A$1:$BK$2501, 2326, MATCH("PurchaseMultiple", Simulations!$A$1:$BK$1, 0))</f>
        <v>7.2123937535583345</v>
      </c>
      <c r="B2326" s="2">
        <f ca="1">INDEX(Simulations!$A$1:$BK$2501, 2326, MATCH("ExitMultiple", Simulations!$A$1:$BK$1, 0))</f>
        <v>7.2356361468758008</v>
      </c>
      <c r="C2326" s="2">
        <f ca="1">INDEX(Simulations!$A$1:$BK$2501, 2326, MATCH("RevCAGR", Simulations!$A$1:$BK$1, 0))</f>
        <v>1.5072668338255574E-2</v>
      </c>
      <c r="D2326" s="2">
        <f ca="1">INDEX(Simulations!$A$1:$BK$2501, 2326, MATCH("SynMargin", Simulations!$A$1:$BK$1, 0))</f>
        <v>1.2042864186048035E-2</v>
      </c>
      <c r="E2326" s="2">
        <f ca="1">INDEX(Simulations!$A$1:$BK$2501, 2326, MATCH("Yr1Shock", Simulations!$A$1:$BK$1, 0))</f>
        <v>1.0439391312446337E-2</v>
      </c>
    </row>
    <row r="2327" spans="1:5" x14ac:dyDescent="0.3">
      <c r="A2327" s="2">
        <f ca="1">INDEX(Simulations!$A$1:$BK$2501, 2327, MATCH("PurchaseMultiple", Simulations!$A$1:$BK$1, 0))</f>
        <v>6.5725981100963544</v>
      </c>
      <c r="B2327" s="2">
        <f ca="1">INDEX(Simulations!$A$1:$BK$2501, 2327, MATCH("ExitMultiple", Simulations!$A$1:$BK$1, 0))</f>
        <v>7.4868627913946471</v>
      </c>
      <c r="C2327" s="2">
        <f ca="1">INDEX(Simulations!$A$1:$BK$2501, 2327, MATCH("RevCAGR", Simulations!$A$1:$BK$1, 0))</f>
        <v>2.8265553542155993E-2</v>
      </c>
      <c r="D2327" s="2">
        <f ca="1">INDEX(Simulations!$A$1:$BK$2501, 2327, MATCH("SynMargin", Simulations!$A$1:$BK$1, 0))</f>
        <v>7.9187976528773962E-3</v>
      </c>
      <c r="E2327" s="2">
        <f ca="1">INDEX(Simulations!$A$1:$BK$2501, 2327, MATCH("Yr1Shock", Simulations!$A$1:$BK$1, 0))</f>
        <v>-2.643947776289362E-3</v>
      </c>
    </row>
    <row r="2328" spans="1:5" x14ac:dyDescent="0.3">
      <c r="A2328" s="2">
        <f ca="1">INDEX(Simulations!$A$1:$BK$2501, 2328, MATCH("PurchaseMultiple", Simulations!$A$1:$BK$1, 0))</f>
        <v>7.3485823321934394</v>
      </c>
      <c r="B2328" s="2">
        <f ca="1">INDEX(Simulations!$A$1:$BK$2501, 2328, MATCH("ExitMultiple", Simulations!$A$1:$BK$1, 0))</f>
        <v>7.2164266141658002</v>
      </c>
      <c r="C2328" s="2">
        <f ca="1">INDEX(Simulations!$A$1:$BK$2501, 2328, MATCH("RevCAGR", Simulations!$A$1:$BK$1, 0))</f>
        <v>4.1984095102230369E-2</v>
      </c>
      <c r="D2328" s="2">
        <f ca="1">INDEX(Simulations!$A$1:$BK$2501, 2328, MATCH("SynMargin", Simulations!$A$1:$BK$1, 0))</f>
        <v>1.3753681013374208E-2</v>
      </c>
      <c r="E2328" s="2">
        <f ca="1">INDEX(Simulations!$A$1:$BK$2501, 2328, MATCH("Yr1Shock", Simulations!$A$1:$BK$1, 0))</f>
        <v>1.9844121987108509E-2</v>
      </c>
    </row>
    <row r="2329" spans="1:5" x14ac:dyDescent="0.3">
      <c r="A2329" s="2">
        <f ca="1">INDEX(Simulations!$A$1:$BK$2501, 2329, MATCH("PurchaseMultiple", Simulations!$A$1:$BK$1, 0))</f>
        <v>7.0546814523630959</v>
      </c>
      <c r="B2329" s="2">
        <f ca="1">INDEX(Simulations!$A$1:$BK$2501, 2329, MATCH("ExitMultiple", Simulations!$A$1:$BK$1, 0))</f>
        <v>7.7852603955535056</v>
      </c>
      <c r="C2329" s="2">
        <f ca="1">INDEX(Simulations!$A$1:$BK$2501, 2329, MATCH("RevCAGR", Simulations!$A$1:$BK$1, 0))</f>
        <v>3.5107978472231301E-2</v>
      </c>
      <c r="D2329" s="2">
        <f ca="1">INDEX(Simulations!$A$1:$BK$2501, 2329, MATCH("SynMargin", Simulations!$A$1:$BK$1, 0))</f>
        <v>4.9742060724886896E-3</v>
      </c>
      <c r="E2329" s="2">
        <f ca="1">INDEX(Simulations!$A$1:$BK$2501, 2329, MATCH("Yr1Shock", Simulations!$A$1:$BK$1, 0))</f>
        <v>3.9838966164900923E-2</v>
      </c>
    </row>
    <row r="2330" spans="1:5" x14ac:dyDescent="0.3">
      <c r="A2330" s="2">
        <f ca="1">INDEX(Simulations!$A$1:$BK$2501, 2330, MATCH("PurchaseMultiple", Simulations!$A$1:$BK$1, 0))</f>
        <v>7.1678478023923997</v>
      </c>
      <c r="B2330" s="2">
        <f ca="1">INDEX(Simulations!$A$1:$BK$2501, 2330, MATCH("ExitMultiple", Simulations!$A$1:$BK$1, 0))</f>
        <v>7.9148432105383542</v>
      </c>
      <c r="C2330" s="2">
        <f ca="1">INDEX(Simulations!$A$1:$BK$2501, 2330, MATCH("RevCAGR", Simulations!$A$1:$BK$1, 0))</f>
        <v>5.502816928989538E-2</v>
      </c>
      <c r="D2330" s="2">
        <f ca="1">INDEX(Simulations!$A$1:$BK$2501, 2330, MATCH("SynMargin", Simulations!$A$1:$BK$1, 0))</f>
        <v>9.0775608982514664E-3</v>
      </c>
      <c r="E2330" s="2">
        <f ca="1">INDEX(Simulations!$A$1:$BK$2501, 2330, MATCH("Yr1Shock", Simulations!$A$1:$BK$1, 0))</f>
        <v>6.3555851791227838E-3</v>
      </c>
    </row>
    <row r="2331" spans="1:5" x14ac:dyDescent="0.3">
      <c r="A2331" s="2">
        <f ca="1">INDEX(Simulations!$A$1:$BK$2501, 2331, MATCH("PurchaseMultiple", Simulations!$A$1:$BK$1, 0))</f>
        <v>6.7326701023521753</v>
      </c>
      <c r="B2331" s="2">
        <f ca="1">INDEX(Simulations!$A$1:$BK$2501, 2331, MATCH("ExitMultiple", Simulations!$A$1:$BK$1, 0))</f>
        <v>6.7700031809657695</v>
      </c>
      <c r="C2331" s="2">
        <f ca="1">INDEX(Simulations!$A$1:$BK$2501, 2331, MATCH("RevCAGR", Simulations!$A$1:$BK$1, 0))</f>
        <v>7.0444712665955284E-2</v>
      </c>
      <c r="D2331" s="2">
        <f ca="1">INDEX(Simulations!$A$1:$BK$2501, 2331, MATCH("SynMargin", Simulations!$A$1:$BK$1, 0))</f>
        <v>1.2555936181099982E-2</v>
      </c>
      <c r="E2331" s="2">
        <f ca="1">INDEX(Simulations!$A$1:$BK$2501, 2331, MATCH("Yr1Shock", Simulations!$A$1:$BK$1, 0))</f>
        <v>-1.4777832201447053E-2</v>
      </c>
    </row>
    <row r="2332" spans="1:5" x14ac:dyDescent="0.3">
      <c r="A2332" s="2">
        <f ca="1">INDEX(Simulations!$A$1:$BK$2501, 2332, MATCH("PurchaseMultiple", Simulations!$A$1:$BK$1, 0))</f>
        <v>7.529741802564252</v>
      </c>
      <c r="B2332" s="2">
        <f ca="1">INDEX(Simulations!$A$1:$BK$2501, 2332, MATCH("ExitMultiple", Simulations!$A$1:$BK$1, 0))</f>
        <v>7.0600423846115996</v>
      </c>
      <c r="C2332" s="2">
        <f ca="1">INDEX(Simulations!$A$1:$BK$2501, 2332, MATCH("RevCAGR", Simulations!$A$1:$BK$1, 0))</f>
        <v>3.2012648338158457E-2</v>
      </c>
      <c r="D2332" s="2">
        <f ca="1">INDEX(Simulations!$A$1:$BK$2501, 2332, MATCH("SynMargin", Simulations!$A$1:$BK$1, 0))</f>
        <v>6.9021280333027082E-3</v>
      </c>
      <c r="E2332" s="2">
        <f ca="1">INDEX(Simulations!$A$1:$BK$2501, 2332, MATCH("Yr1Shock", Simulations!$A$1:$BK$1, 0))</f>
        <v>6.1439888687860799E-3</v>
      </c>
    </row>
    <row r="2333" spans="1:5" x14ac:dyDescent="0.3">
      <c r="A2333" s="2">
        <f ca="1">INDEX(Simulations!$A$1:$BK$2501, 2333, MATCH("PurchaseMultiple", Simulations!$A$1:$BK$1, 0))</f>
        <v>7.7051824511047462</v>
      </c>
      <c r="B2333" s="2">
        <f ca="1">INDEX(Simulations!$A$1:$BK$2501, 2333, MATCH("ExitMultiple", Simulations!$A$1:$BK$1, 0))</f>
        <v>7.6712099035318531</v>
      </c>
      <c r="C2333" s="2">
        <f ca="1">INDEX(Simulations!$A$1:$BK$2501, 2333, MATCH("RevCAGR", Simulations!$A$1:$BK$1, 0))</f>
        <v>5.6705794440837856E-3</v>
      </c>
      <c r="D2333" s="2">
        <f ca="1">INDEX(Simulations!$A$1:$BK$2501, 2333, MATCH("SynMargin", Simulations!$A$1:$BK$1, 0))</f>
        <v>1.1340793785354906E-2</v>
      </c>
      <c r="E2333" s="2">
        <f ca="1">INDEX(Simulations!$A$1:$BK$2501, 2333, MATCH("Yr1Shock", Simulations!$A$1:$BK$1, 0))</f>
        <v>-9.1309571276277021E-3</v>
      </c>
    </row>
    <row r="2334" spans="1:5" x14ac:dyDescent="0.3">
      <c r="A2334" s="2">
        <f ca="1">INDEX(Simulations!$A$1:$BK$2501, 2334, MATCH("PurchaseMultiple", Simulations!$A$1:$BK$1, 0))</f>
        <v>6.6343466161923264</v>
      </c>
      <c r="B2334" s="2">
        <f ca="1">INDEX(Simulations!$A$1:$BK$2501, 2334, MATCH("ExitMultiple", Simulations!$A$1:$BK$1, 0))</f>
        <v>7.9133915647692223</v>
      </c>
      <c r="C2334" s="2">
        <f ca="1">INDEX(Simulations!$A$1:$BK$2501, 2334, MATCH("RevCAGR", Simulations!$A$1:$BK$1, 0))</f>
        <v>-8.1918098962800515E-3</v>
      </c>
      <c r="D2334" s="2">
        <f ca="1">INDEX(Simulations!$A$1:$BK$2501, 2334, MATCH("SynMargin", Simulations!$A$1:$BK$1, 0))</f>
        <v>9.7550236225312868E-3</v>
      </c>
      <c r="E2334" s="2">
        <f ca="1">INDEX(Simulations!$A$1:$BK$2501, 2334, MATCH("Yr1Shock", Simulations!$A$1:$BK$1, 0))</f>
        <v>3.4297057791055061E-2</v>
      </c>
    </row>
    <row r="2335" spans="1:5" x14ac:dyDescent="0.3">
      <c r="A2335" s="2">
        <f ca="1">INDEX(Simulations!$A$1:$BK$2501, 2335, MATCH("PurchaseMultiple", Simulations!$A$1:$BK$1, 0))</f>
        <v>7.202250011491496</v>
      </c>
      <c r="B2335" s="2">
        <f ca="1">INDEX(Simulations!$A$1:$BK$2501, 2335, MATCH("ExitMultiple", Simulations!$A$1:$BK$1, 0))</f>
        <v>7.7216603917579887</v>
      </c>
      <c r="C2335" s="2">
        <f ca="1">INDEX(Simulations!$A$1:$BK$2501, 2335, MATCH("RevCAGR", Simulations!$A$1:$BK$1, 0))</f>
        <v>5.9530195965773816E-3</v>
      </c>
      <c r="D2335" s="2">
        <f ca="1">INDEX(Simulations!$A$1:$BK$2501, 2335, MATCH("SynMargin", Simulations!$A$1:$BK$1, 0))</f>
        <v>8.098535869529017E-3</v>
      </c>
      <c r="E2335" s="2">
        <f ca="1">INDEX(Simulations!$A$1:$BK$2501, 2335, MATCH("Yr1Shock", Simulations!$A$1:$BK$1, 0))</f>
        <v>-9.3930839401277343E-3</v>
      </c>
    </row>
    <row r="2336" spans="1:5" x14ac:dyDescent="0.3">
      <c r="A2336" s="2">
        <f ca="1">INDEX(Simulations!$A$1:$BK$2501, 2336, MATCH("PurchaseMultiple", Simulations!$A$1:$BK$1, 0))</f>
        <v>6.9661140793027636</v>
      </c>
      <c r="B2336" s="2">
        <f ca="1">INDEX(Simulations!$A$1:$BK$2501, 2336, MATCH("ExitMultiple", Simulations!$A$1:$BK$1, 0))</f>
        <v>7.2242049826607122</v>
      </c>
      <c r="C2336" s="2">
        <f ca="1">INDEX(Simulations!$A$1:$BK$2501, 2336, MATCH("RevCAGR", Simulations!$A$1:$BK$1, 0))</f>
        <v>4.4030709487941716E-2</v>
      </c>
      <c r="D2336" s="2">
        <f ca="1">INDEX(Simulations!$A$1:$BK$2501, 2336, MATCH("SynMargin", Simulations!$A$1:$BK$1, 0))</f>
        <v>2.3771146167199768E-3</v>
      </c>
      <c r="E2336" s="2">
        <f ca="1">INDEX(Simulations!$A$1:$BK$2501, 2336, MATCH("Yr1Shock", Simulations!$A$1:$BK$1, 0))</f>
        <v>-2.7674207263820767E-2</v>
      </c>
    </row>
    <row r="2337" spans="1:5" x14ac:dyDescent="0.3">
      <c r="A2337" s="2">
        <f ca="1">INDEX(Simulations!$A$1:$BK$2501, 2337, MATCH("PurchaseMultiple", Simulations!$A$1:$BK$1, 0))</f>
        <v>6.5908352668135439</v>
      </c>
      <c r="B2337" s="2">
        <f ca="1">INDEX(Simulations!$A$1:$BK$2501, 2337, MATCH("ExitMultiple", Simulations!$A$1:$BK$1, 0))</f>
        <v>7.3926095581379618</v>
      </c>
      <c r="C2337" s="2">
        <f ca="1">INDEX(Simulations!$A$1:$BK$2501, 2337, MATCH("RevCAGR", Simulations!$A$1:$BK$1, 0))</f>
        <v>3.8652378562162658E-2</v>
      </c>
      <c r="D2337" s="2">
        <f ca="1">INDEX(Simulations!$A$1:$BK$2501, 2337, MATCH("SynMargin", Simulations!$A$1:$BK$1, 0))</f>
        <v>2.0348293841985585E-3</v>
      </c>
      <c r="E2337" s="2">
        <f ca="1">INDEX(Simulations!$A$1:$BK$2501, 2337, MATCH("Yr1Shock", Simulations!$A$1:$BK$1, 0))</f>
        <v>9.241252846785439E-4</v>
      </c>
    </row>
    <row r="2338" spans="1:5" x14ac:dyDescent="0.3">
      <c r="A2338" s="2">
        <f ca="1">INDEX(Simulations!$A$1:$BK$2501, 2338, MATCH("PurchaseMultiple", Simulations!$A$1:$BK$1, 0))</f>
        <v>7.2267364100147304</v>
      </c>
      <c r="B2338" s="2">
        <f ca="1">INDEX(Simulations!$A$1:$BK$2501, 2338, MATCH("ExitMultiple", Simulations!$A$1:$BK$1, 0))</f>
        <v>7.9420285920816749</v>
      </c>
      <c r="C2338" s="2">
        <f ca="1">INDEX(Simulations!$A$1:$BK$2501, 2338, MATCH("RevCAGR", Simulations!$A$1:$BK$1, 0))</f>
        <v>2.5130422943127947E-2</v>
      </c>
      <c r="D2338" s="2">
        <f ca="1">INDEX(Simulations!$A$1:$BK$2501, 2338, MATCH("SynMargin", Simulations!$A$1:$BK$1, 0))</f>
        <v>2.3301830605682765E-3</v>
      </c>
      <c r="E2338" s="2">
        <f ca="1">INDEX(Simulations!$A$1:$BK$2501, 2338, MATCH("Yr1Shock", Simulations!$A$1:$BK$1, 0))</f>
        <v>-1.6582079135914574E-2</v>
      </c>
    </row>
    <row r="2339" spans="1:5" x14ac:dyDescent="0.3">
      <c r="A2339" s="2">
        <f ca="1">INDEX(Simulations!$A$1:$BK$2501, 2339, MATCH("PurchaseMultiple", Simulations!$A$1:$BK$1, 0))</f>
        <v>6.643134973815636</v>
      </c>
      <c r="B2339" s="2">
        <f ca="1">INDEX(Simulations!$A$1:$BK$2501, 2339, MATCH("ExitMultiple", Simulations!$A$1:$BK$1, 0))</f>
        <v>6.8919595335573209</v>
      </c>
      <c r="C2339" s="2">
        <f ca="1">INDEX(Simulations!$A$1:$BK$2501, 2339, MATCH("RevCAGR", Simulations!$A$1:$BK$1, 0))</f>
        <v>-0.02</v>
      </c>
      <c r="D2339" s="2">
        <f ca="1">INDEX(Simulations!$A$1:$BK$2501, 2339, MATCH("SynMargin", Simulations!$A$1:$BK$1, 0))</f>
        <v>7.6656825222798531E-3</v>
      </c>
      <c r="E2339" s="2">
        <f ca="1">INDEX(Simulations!$A$1:$BK$2501, 2339, MATCH("Yr1Shock", Simulations!$A$1:$BK$1, 0))</f>
        <v>-3.1749580822547543E-2</v>
      </c>
    </row>
    <row r="2340" spans="1:5" x14ac:dyDescent="0.3">
      <c r="A2340" s="2">
        <f ca="1">INDEX(Simulations!$A$1:$BK$2501, 2340, MATCH("PurchaseMultiple", Simulations!$A$1:$BK$1, 0))</f>
        <v>6.4257352073343394</v>
      </c>
      <c r="B2340" s="2">
        <f ca="1">INDEX(Simulations!$A$1:$BK$2501, 2340, MATCH("ExitMultiple", Simulations!$A$1:$BK$1, 0))</f>
        <v>8.138289330033297</v>
      </c>
      <c r="C2340" s="2">
        <f ca="1">INDEX(Simulations!$A$1:$BK$2501, 2340, MATCH("RevCAGR", Simulations!$A$1:$BK$1, 0))</f>
        <v>5.2041110318752831E-2</v>
      </c>
      <c r="D2340" s="2">
        <f ca="1">INDEX(Simulations!$A$1:$BK$2501, 2340, MATCH("SynMargin", Simulations!$A$1:$BK$1, 0))</f>
        <v>1.4781845961220185E-3</v>
      </c>
      <c r="E2340" s="2">
        <f ca="1">INDEX(Simulations!$A$1:$BK$2501, 2340, MATCH("Yr1Shock", Simulations!$A$1:$BK$1, 0))</f>
        <v>1.4450867140820367E-2</v>
      </c>
    </row>
    <row r="2341" spans="1:5" x14ac:dyDescent="0.3">
      <c r="A2341" s="2">
        <f ca="1">INDEX(Simulations!$A$1:$BK$2501, 2341, MATCH("PurchaseMultiple", Simulations!$A$1:$BK$1, 0))</f>
        <v>7.4763947066685441</v>
      </c>
      <c r="B2341" s="2">
        <f ca="1">INDEX(Simulations!$A$1:$BK$2501, 2341, MATCH("ExitMultiple", Simulations!$A$1:$BK$1, 0))</f>
        <v>7.4125008894480722</v>
      </c>
      <c r="C2341" s="2">
        <f ca="1">INDEX(Simulations!$A$1:$BK$2501, 2341, MATCH("RevCAGR", Simulations!$A$1:$BK$1, 0))</f>
        <v>4.5961880054256402E-2</v>
      </c>
      <c r="D2341" s="2">
        <f ca="1">INDEX(Simulations!$A$1:$BK$2501, 2341, MATCH("SynMargin", Simulations!$A$1:$BK$1, 0))</f>
        <v>1.0634528188805573E-2</v>
      </c>
      <c r="E2341" s="2">
        <f ca="1">INDEX(Simulations!$A$1:$BK$2501, 2341, MATCH("Yr1Shock", Simulations!$A$1:$BK$1, 0))</f>
        <v>3.5301727779405045E-2</v>
      </c>
    </row>
    <row r="2342" spans="1:5" x14ac:dyDescent="0.3">
      <c r="A2342" s="2">
        <f ca="1">INDEX(Simulations!$A$1:$BK$2501, 2342, MATCH("PurchaseMultiple", Simulations!$A$1:$BK$1, 0))</f>
        <v>7.4485995342623372</v>
      </c>
      <c r="B2342" s="2">
        <f ca="1">INDEX(Simulations!$A$1:$BK$2501, 2342, MATCH("ExitMultiple", Simulations!$A$1:$BK$1, 0))</f>
        <v>7.2303561789348221</v>
      </c>
      <c r="C2342" s="2">
        <f ca="1">INDEX(Simulations!$A$1:$BK$2501, 2342, MATCH("RevCAGR", Simulations!$A$1:$BK$1, 0))</f>
        <v>6.4475861451928129E-2</v>
      </c>
      <c r="D2342" s="2">
        <f ca="1">INDEX(Simulations!$A$1:$BK$2501, 2342, MATCH("SynMargin", Simulations!$A$1:$BK$1, 0))</f>
        <v>8.8180559338552535E-3</v>
      </c>
      <c r="E2342" s="2">
        <f ca="1">INDEX(Simulations!$A$1:$BK$2501, 2342, MATCH("Yr1Shock", Simulations!$A$1:$BK$1, 0))</f>
        <v>-3.3100149024229787E-2</v>
      </c>
    </row>
    <row r="2343" spans="1:5" x14ac:dyDescent="0.3">
      <c r="A2343" s="2">
        <f ca="1">INDEX(Simulations!$A$1:$BK$2501, 2343, MATCH("PurchaseMultiple", Simulations!$A$1:$BK$1, 0))</f>
        <v>7.0686610891741699</v>
      </c>
      <c r="B2343" s="2">
        <f ca="1">INDEX(Simulations!$A$1:$BK$2501, 2343, MATCH("ExitMultiple", Simulations!$A$1:$BK$1, 0))</f>
        <v>8.1976084355800669</v>
      </c>
      <c r="C2343" s="2">
        <f ca="1">INDEX(Simulations!$A$1:$BK$2501, 2343, MATCH("RevCAGR", Simulations!$A$1:$BK$1, 0))</f>
        <v>4.3412218868772785E-2</v>
      </c>
      <c r="D2343" s="2">
        <f ca="1">INDEX(Simulations!$A$1:$BK$2501, 2343, MATCH("SynMargin", Simulations!$A$1:$BK$1, 0))</f>
        <v>7.8330745457499337E-3</v>
      </c>
      <c r="E2343" s="2">
        <f ca="1">INDEX(Simulations!$A$1:$BK$2501, 2343, MATCH("Yr1Shock", Simulations!$A$1:$BK$1, 0))</f>
        <v>-1.9191185226586298E-2</v>
      </c>
    </row>
    <row r="2344" spans="1:5" x14ac:dyDescent="0.3">
      <c r="A2344" s="2">
        <f ca="1">INDEX(Simulations!$A$1:$BK$2501, 2344, MATCH("PurchaseMultiple", Simulations!$A$1:$BK$1, 0))</f>
        <v>6.2582612384169236</v>
      </c>
      <c r="B2344" s="2">
        <f ca="1">INDEX(Simulations!$A$1:$BK$2501, 2344, MATCH("ExitMultiple", Simulations!$A$1:$BK$1, 0))</f>
        <v>7.9759331346131335</v>
      </c>
      <c r="C2344" s="2">
        <f ca="1">INDEX(Simulations!$A$1:$BK$2501, 2344, MATCH("RevCAGR", Simulations!$A$1:$BK$1, 0))</f>
        <v>-4.5842189143770404E-3</v>
      </c>
      <c r="D2344" s="2">
        <f ca="1">INDEX(Simulations!$A$1:$BK$2501, 2344, MATCH("SynMargin", Simulations!$A$1:$BK$1, 0))</f>
        <v>8.024358195179401E-3</v>
      </c>
      <c r="E2344" s="2">
        <f ca="1">INDEX(Simulations!$A$1:$BK$2501, 2344, MATCH("Yr1Shock", Simulations!$A$1:$BK$1, 0))</f>
        <v>1.3879891692622128E-2</v>
      </c>
    </row>
    <row r="2345" spans="1:5" x14ac:dyDescent="0.3">
      <c r="A2345" s="2">
        <f ca="1">INDEX(Simulations!$A$1:$BK$2501, 2345, MATCH("PurchaseMultiple", Simulations!$A$1:$BK$1, 0))</f>
        <v>6.9450958411807795</v>
      </c>
      <c r="B2345" s="2">
        <f ca="1">INDEX(Simulations!$A$1:$BK$2501, 2345, MATCH("ExitMultiple", Simulations!$A$1:$BK$1, 0))</f>
        <v>8.2155941652340871</v>
      </c>
      <c r="C2345" s="2">
        <f ca="1">INDEX(Simulations!$A$1:$BK$2501, 2345, MATCH("RevCAGR", Simulations!$A$1:$BK$1, 0))</f>
        <v>8.1289824678603406E-2</v>
      </c>
      <c r="D2345" s="2">
        <f ca="1">INDEX(Simulations!$A$1:$BK$2501, 2345, MATCH("SynMargin", Simulations!$A$1:$BK$1, 0))</f>
        <v>2.5162732807952445E-2</v>
      </c>
      <c r="E2345" s="2">
        <f ca="1">INDEX(Simulations!$A$1:$BK$2501, 2345, MATCH("Yr1Shock", Simulations!$A$1:$BK$1, 0))</f>
        <v>-3.9375108046993679E-2</v>
      </c>
    </row>
    <row r="2346" spans="1:5" x14ac:dyDescent="0.3">
      <c r="A2346" s="2">
        <f ca="1">INDEX(Simulations!$A$1:$BK$2501, 2346, MATCH("PurchaseMultiple", Simulations!$A$1:$BK$1, 0))</f>
        <v>6.5577216669237464</v>
      </c>
      <c r="B2346" s="2">
        <f ca="1">INDEX(Simulations!$A$1:$BK$2501, 2346, MATCH("ExitMultiple", Simulations!$A$1:$BK$1, 0))</f>
        <v>7.4474875561909579</v>
      </c>
      <c r="C2346" s="2">
        <f ca="1">INDEX(Simulations!$A$1:$BK$2501, 2346, MATCH("RevCAGR", Simulations!$A$1:$BK$1, 0))</f>
        <v>5.4917985496316948E-2</v>
      </c>
      <c r="D2346" s="2">
        <f ca="1">INDEX(Simulations!$A$1:$BK$2501, 2346, MATCH("SynMargin", Simulations!$A$1:$BK$1, 0))</f>
        <v>1.0017404486399586E-2</v>
      </c>
      <c r="E2346" s="2">
        <f ca="1">INDEX(Simulations!$A$1:$BK$2501, 2346, MATCH("Yr1Shock", Simulations!$A$1:$BK$1, 0))</f>
        <v>-5.7569990338223664E-3</v>
      </c>
    </row>
    <row r="2347" spans="1:5" x14ac:dyDescent="0.3">
      <c r="A2347" s="2">
        <f ca="1">INDEX(Simulations!$A$1:$BK$2501, 2347, MATCH("PurchaseMultiple", Simulations!$A$1:$BK$1, 0))</f>
        <v>6.8612822728260836</v>
      </c>
      <c r="B2347" s="2">
        <f ca="1">INDEX(Simulations!$A$1:$BK$2501, 2347, MATCH("ExitMultiple", Simulations!$A$1:$BK$1, 0))</f>
        <v>7.7455397897171681</v>
      </c>
      <c r="C2347" s="2">
        <f ca="1">INDEX(Simulations!$A$1:$BK$2501, 2347, MATCH("RevCAGR", Simulations!$A$1:$BK$1, 0))</f>
        <v>4.6992904114070394E-2</v>
      </c>
      <c r="D2347" s="2">
        <f ca="1">INDEX(Simulations!$A$1:$BK$2501, 2347, MATCH("SynMargin", Simulations!$A$1:$BK$1, 0))</f>
        <v>1.1629393083465646E-2</v>
      </c>
      <c r="E2347" s="2">
        <f ca="1">INDEX(Simulations!$A$1:$BK$2501, 2347, MATCH("Yr1Shock", Simulations!$A$1:$BK$1, 0))</f>
        <v>3.3642645364210799E-2</v>
      </c>
    </row>
    <row r="2348" spans="1:5" x14ac:dyDescent="0.3">
      <c r="A2348" s="2">
        <f ca="1">INDEX(Simulations!$A$1:$BK$2501, 2348, MATCH("PurchaseMultiple", Simulations!$A$1:$BK$1, 0))</f>
        <v>7.1036313795843053</v>
      </c>
      <c r="B2348" s="2">
        <f ca="1">INDEX(Simulations!$A$1:$BK$2501, 2348, MATCH("ExitMultiple", Simulations!$A$1:$BK$1, 0))</f>
        <v>7.3124088725470573</v>
      </c>
      <c r="C2348" s="2">
        <f ca="1">INDEX(Simulations!$A$1:$BK$2501, 2348, MATCH("RevCAGR", Simulations!$A$1:$BK$1, 0))</f>
        <v>0.11202244544267526</v>
      </c>
      <c r="D2348" s="2">
        <f ca="1">INDEX(Simulations!$A$1:$BK$2501, 2348, MATCH("SynMargin", Simulations!$A$1:$BK$1, 0))</f>
        <v>8.1031649886559188E-3</v>
      </c>
      <c r="E2348" s="2">
        <f ca="1">INDEX(Simulations!$A$1:$BK$2501, 2348, MATCH("Yr1Shock", Simulations!$A$1:$BK$1, 0))</f>
        <v>-1.4336402922560618E-2</v>
      </c>
    </row>
    <row r="2349" spans="1:5" x14ac:dyDescent="0.3">
      <c r="A2349" s="2">
        <f ca="1">INDEX(Simulations!$A$1:$BK$2501, 2349, MATCH("PurchaseMultiple", Simulations!$A$1:$BK$1, 0))</f>
        <v>7.0568838369185425</v>
      </c>
      <c r="B2349" s="2">
        <f ca="1">INDEX(Simulations!$A$1:$BK$2501, 2349, MATCH("ExitMultiple", Simulations!$A$1:$BK$1, 0))</f>
        <v>7.7314039163710753</v>
      </c>
      <c r="C2349" s="2">
        <f ca="1">INDEX(Simulations!$A$1:$BK$2501, 2349, MATCH("RevCAGR", Simulations!$A$1:$BK$1, 0))</f>
        <v>6.5179274574737683E-2</v>
      </c>
      <c r="D2349" s="2">
        <f ca="1">INDEX(Simulations!$A$1:$BK$2501, 2349, MATCH("SynMargin", Simulations!$A$1:$BK$1, 0))</f>
        <v>8.8568091924227394E-3</v>
      </c>
      <c r="E2349" s="2">
        <f ca="1">INDEX(Simulations!$A$1:$BK$2501, 2349, MATCH("Yr1Shock", Simulations!$A$1:$BK$1, 0))</f>
        <v>-1.894544600319871E-2</v>
      </c>
    </row>
    <row r="2350" spans="1:5" x14ac:dyDescent="0.3">
      <c r="A2350" s="2">
        <f ca="1">INDEX(Simulations!$A$1:$BK$2501, 2350, MATCH("PurchaseMultiple", Simulations!$A$1:$BK$1, 0))</f>
        <v>7.0981480616017354</v>
      </c>
      <c r="B2350" s="2">
        <f ca="1">INDEX(Simulations!$A$1:$BK$2501, 2350, MATCH("ExitMultiple", Simulations!$A$1:$BK$1, 0))</f>
        <v>7.69162415702717</v>
      </c>
      <c r="C2350" s="2">
        <f ca="1">INDEX(Simulations!$A$1:$BK$2501, 2350, MATCH("RevCAGR", Simulations!$A$1:$BK$1, 0))</f>
        <v>1.1268745825913851E-2</v>
      </c>
      <c r="D2350" s="2">
        <f ca="1">INDEX(Simulations!$A$1:$BK$2501, 2350, MATCH("SynMargin", Simulations!$A$1:$BK$1, 0))</f>
        <v>2.0972219004109244E-2</v>
      </c>
      <c r="E2350" s="2">
        <f ca="1">INDEX(Simulations!$A$1:$BK$2501, 2350, MATCH("Yr1Shock", Simulations!$A$1:$BK$1, 0))</f>
        <v>-5.5974750688526486E-3</v>
      </c>
    </row>
    <row r="2351" spans="1:5" x14ac:dyDescent="0.3">
      <c r="A2351" s="2">
        <f ca="1">INDEX(Simulations!$A$1:$BK$2501, 2351, MATCH("PurchaseMultiple", Simulations!$A$1:$BK$1, 0))</f>
        <v>6.7291768036947088</v>
      </c>
      <c r="B2351" s="2">
        <f ca="1">INDEX(Simulations!$A$1:$BK$2501, 2351, MATCH("ExitMultiple", Simulations!$A$1:$BK$1, 0))</f>
        <v>7.0192066848668055</v>
      </c>
      <c r="C2351" s="2">
        <f ca="1">INDEX(Simulations!$A$1:$BK$2501, 2351, MATCH("RevCAGR", Simulations!$A$1:$BK$1, 0))</f>
        <v>-0.02</v>
      </c>
      <c r="D2351" s="2">
        <f ca="1">INDEX(Simulations!$A$1:$BK$2501, 2351, MATCH("SynMargin", Simulations!$A$1:$BK$1, 0))</f>
        <v>1.0143445215383441E-2</v>
      </c>
      <c r="E2351" s="2">
        <f ca="1">INDEX(Simulations!$A$1:$BK$2501, 2351, MATCH("Yr1Shock", Simulations!$A$1:$BK$1, 0))</f>
        <v>-2.3294645328528115E-4</v>
      </c>
    </row>
    <row r="2352" spans="1:5" x14ac:dyDescent="0.3">
      <c r="A2352" s="2">
        <f ca="1">INDEX(Simulations!$A$1:$BK$2501, 2352, MATCH("PurchaseMultiple", Simulations!$A$1:$BK$1, 0))</f>
        <v>7.4088561143423464</v>
      </c>
      <c r="B2352" s="2">
        <f ca="1">INDEX(Simulations!$A$1:$BK$2501, 2352, MATCH("ExitMultiple", Simulations!$A$1:$BK$1, 0))</f>
        <v>6.9351503276614537</v>
      </c>
      <c r="C2352" s="2">
        <f ca="1">INDEX(Simulations!$A$1:$BK$2501, 2352, MATCH("RevCAGR", Simulations!$A$1:$BK$1, 0))</f>
        <v>3.3701306804460172E-2</v>
      </c>
      <c r="D2352" s="2">
        <f ca="1">INDEX(Simulations!$A$1:$BK$2501, 2352, MATCH("SynMargin", Simulations!$A$1:$BK$1, 0))</f>
        <v>2.6243113592040014E-3</v>
      </c>
      <c r="E2352" s="2">
        <f ca="1">INDEX(Simulations!$A$1:$BK$2501, 2352, MATCH("Yr1Shock", Simulations!$A$1:$BK$1, 0))</f>
        <v>1.5835208621139678E-2</v>
      </c>
    </row>
    <row r="2353" spans="1:5" x14ac:dyDescent="0.3">
      <c r="A2353" s="2">
        <f ca="1">INDEX(Simulations!$A$1:$BK$2501, 2353, MATCH("PurchaseMultiple", Simulations!$A$1:$BK$1, 0))</f>
        <v>7.8375433760795712</v>
      </c>
      <c r="B2353" s="2">
        <f ca="1">INDEX(Simulations!$A$1:$BK$2501, 2353, MATCH("ExitMultiple", Simulations!$A$1:$BK$1, 0))</f>
        <v>7.4373898884654475</v>
      </c>
      <c r="C2353" s="2">
        <f ca="1">INDEX(Simulations!$A$1:$BK$2501, 2353, MATCH("RevCAGR", Simulations!$A$1:$BK$1, 0))</f>
        <v>3.382714963928788E-2</v>
      </c>
      <c r="D2353" s="2">
        <f ca="1">INDEX(Simulations!$A$1:$BK$2501, 2353, MATCH("SynMargin", Simulations!$A$1:$BK$1, 0))</f>
        <v>1.1109554385511214E-2</v>
      </c>
      <c r="E2353" s="2">
        <f ca="1">INDEX(Simulations!$A$1:$BK$2501, 2353, MATCH("Yr1Shock", Simulations!$A$1:$BK$1, 0))</f>
        <v>-1.1606980512568378E-2</v>
      </c>
    </row>
    <row r="2354" spans="1:5" x14ac:dyDescent="0.3">
      <c r="A2354" s="2">
        <f ca="1">INDEX(Simulations!$A$1:$BK$2501, 2354, MATCH("PurchaseMultiple", Simulations!$A$1:$BK$1, 0))</f>
        <v>7.0904757703947165</v>
      </c>
      <c r="B2354" s="2">
        <f ca="1">INDEX(Simulations!$A$1:$BK$2501, 2354, MATCH("ExitMultiple", Simulations!$A$1:$BK$1, 0))</f>
        <v>7.581668611791379</v>
      </c>
      <c r="C2354" s="2">
        <f ca="1">INDEX(Simulations!$A$1:$BK$2501, 2354, MATCH("RevCAGR", Simulations!$A$1:$BK$1, 0))</f>
        <v>1.169881519404857E-2</v>
      </c>
      <c r="D2354" s="2">
        <f ca="1">INDEX(Simulations!$A$1:$BK$2501, 2354, MATCH("SynMargin", Simulations!$A$1:$BK$1, 0))</f>
        <v>9.2629561076095785E-3</v>
      </c>
      <c r="E2354" s="2">
        <f ca="1">INDEX(Simulations!$A$1:$BK$2501, 2354, MATCH("Yr1Shock", Simulations!$A$1:$BK$1, 0))</f>
        <v>1.777673382241193E-2</v>
      </c>
    </row>
    <row r="2355" spans="1:5" x14ac:dyDescent="0.3">
      <c r="A2355" s="2">
        <f ca="1">INDEX(Simulations!$A$1:$BK$2501, 2355, MATCH("PurchaseMultiple", Simulations!$A$1:$BK$1, 0))</f>
        <v>6.6249004264749942</v>
      </c>
      <c r="B2355" s="2">
        <f ca="1">INDEX(Simulations!$A$1:$BK$2501, 2355, MATCH("ExitMultiple", Simulations!$A$1:$BK$1, 0))</f>
        <v>7.5559126211220038</v>
      </c>
      <c r="C2355" s="2">
        <f ca="1">INDEX(Simulations!$A$1:$BK$2501, 2355, MATCH("RevCAGR", Simulations!$A$1:$BK$1, 0))</f>
        <v>5.2002890200879108E-2</v>
      </c>
      <c r="D2355" s="2">
        <f ca="1">INDEX(Simulations!$A$1:$BK$2501, 2355, MATCH("SynMargin", Simulations!$A$1:$BK$1, 0))</f>
        <v>1.2203922914016407E-2</v>
      </c>
      <c r="E2355" s="2">
        <f ca="1">INDEX(Simulations!$A$1:$BK$2501, 2355, MATCH("Yr1Shock", Simulations!$A$1:$BK$1, 0))</f>
        <v>-9.5939838305100767E-4</v>
      </c>
    </row>
    <row r="2356" spans="1:5" x14ac:dyDescent="0.3">
      <c r="A2356" s="2">
        <f ca="1">INDEX(Simulations!$A$1:$BK$2501, 2356, MATCH("PurchaseMultiple", Simulations!$A$1:$BK$1, 0))</f>
        <v>6.9501976494199544</v>
      </c>
      <c r="B2356" s="2">
        <f ca="1">INDEX(Simulations!$A$1:$BK$2501, 2356, MATCH("ExitMultiple", Simulations!$A$1:$BK$1, 0))</f>
        <v>7.529376498934111</v>
      </c>
      <c r="C2356" s="2">
        <f ca="1">INDEX(Simulations!$A$1:$BK$2501, 2356, MATCH("RevCAGR", Simulations!$A$1:$BK$1, 0))</f>
        <v>5.6170513488841334E-2</v>
      </c>
      <c r="D2356" s="2">
        <f ca="1">INDEX(Simulations!$A$1:$BK$2501, 2356, MATCH("SynMargin", Simulations!$A$1:$BK$1, 0))</f>
        <v>5.1084215751701686E-3</v>
      </c>
      <c r="E2356" s="2">
        <f ca="1">INDEX(Simulations!$A$1:$BK$2501, 2356, MATCH("Yr1Shock", Simulations!$A$1:$BK$1, 0))</f>
        <v>-5.8573072550511087E-3</v>
      </c>
    </row>
    <row r="2357" spans="1:5" x14ac:dyDescent="0.3">
      <c r="A2357" s="2">
        <f ca="1">INDEX(Simulations!$A$1:$BK$2501, 2357, MATCH("PurchaseMultiple", Simulations!$A$1:$BK$1, 0))</f>
        <v>7.2566319266962003</v>
      </c>
      <c r="B2357" s="2">
        <f ca="1">INDEX(Simulations!$A$1:$BK$2501, 2357, MATCH("ExitMultiple", Simulations!$A$1:$BK$1, 0))</f>
        <v>7.7479734479167455</v>
      </c>
      <c r="C2357" s="2">
        <f ca="1">INDEX(Simulations!$A$1:$BK$2501, 2357, MATCH("RevCAGR", Simulations!$A$1:$BK$1, 0))</f>
        <v>4.9343198890926067E-2</v>
      </c>
      <c r="D2357" s="2">
        <f ca="1">INDEX(Simulations!$A$1:$BK$2501, 2357, MATCH("SynMargin", Simulations!$A$1:$BK$1, 0))</f>
        <v>1.532829786148451E-2</v>
      </c>
      <c r="E2357" s="2">
        <f ca="1">INDEX(Simulations!$A$1:$BK$2501, 2357, MATCH("Yr1Shock", Simulations!$A$1:$BK$1, 0))</f>
        <v>-2.9517478232092286E-2</v>
      </c>
    </row>
    <row r="2358" spans="1:5" x14ac:dyDescent="0.3">
      <c r="A2358" s="2">
        <f ca="1">INDEX(Simulations!$A$1:$BK$2501, 2358, MATCH("PurchaseMultiple", Simulations!$A$1:$BK$1, 0))</f>
        <v>7.0112496790684089</v>
      </c>
      <c r="B2358" s="2">
        <f ca="1">INDEX(Simulations!$A$1:$BK$2501, 2358, MATCH("ExitMultiple", Simulations!$A$1:$BK$1, 0))</f>
        <v>7.9493213764277995</v>
      </c>
      <c r="C2358" s="2">
        <f ca="1">INDEX(Simulations!$A$1:$BK$2501, 2358, MATCH("RevCAGR", Simulations!$A$1:$BK$1, 0))</f>
        <v>8.6927530979086301E-3</v>
      </c>
      <c r="D2358" s="2">
        <f ca="1">INDEX(Simulations!$A$1:$BK$2501, 2358, MATCH("SynMargin", Simulations!$A$1:$BK$1, 0))</f>
        <v>1.0560134555246008E-2</v>
      </c>
      <c r="E2358" s="2">
        <f ca="1">INDEX(Simulations!$A$1:$BK$2501, 2358, MATCH("Yr1Shock", Simulations!$A$1:$BK$1, 0))</f>
        <v>-3.8110739566818375E-2</v>
      </c>
    </row>
    <row r="2359" spans="1:5" x14ac:dyDescent="0.3">
      <c r="A2359" s="2">
        <f ca="1">INDEX(Simulations!$A$1:$BK$2501, 2359, MATCH("PurchaseMultiple", Simulations!$A$1:$BK$1, 0))</f>
        <v>7.5907950854844088</v>
      </c>
      <c r="B2359" s="2">
        <f ca="1">INDEX(Simulations!$A$1:$BK$2501, 2359, MATCH("ExitMultiple", Simulations!$A$1:$BK$1, 0))</f>
        <v>6.7585781842720785</v>
      </c>
      <c r="C2359" s="2">
        <f ca="1">INDEX(Simulations!$A$1:$BK$2501, 2359, MATCH("RevCAGR", Simulations!$A$1:$BK$1, 0))</f>
        <v>-3.1763648850072559E-3</v>
      </c>
      <c r="D2359" s="2">
        <f ca="1">INDEX(Simulations!$A$1:$BK$2501, 2359, MATCH("SynMargin", Simulations!$A$1:$BK$1, 0))</f>
        <v>1.0698339356960055E-2</v>
      </c>
      <c r="E2359" s="2">
        <f ca="1">INDEX(Simulations!$A$1:$BK$2501, 2359, MATCH("Yr1Shock", Simulations!$A$1:$BK$1, 0))</f>
        <v>3.1995918198198123E-2</v>
      </c>
    </row>
    <row r="2360" spans="1:5" x14ac:dyDescent="0.3">
      <c r="A2360" s="2">
        <f ca="1">INDEX(Simulations!$A$1:$BK$2501, 2360, MATCH("PurchaseMultiple", Simulations!$A$1:$BK$1, 0))</f>
        <v>7.1074550829045267</v>
      </c>
      <c r="B2360" s="2">
        <f ca="1">INDEX(Simulations!$A$1:$BK$2501, 2360, MATCH("ExitMultiple", Simulations!$A$1:$BK$1, 0))</f>
        <v>6.8620165682915175</v>
      </c>
      <c r="C2360" s="2">
        <f ca="1">INDEX(Simulations!$A$1:$BK$2501, 2360, MATCH("RevCAGR", Simulations!$A$1:$BK$1, 0))</f>
        <v>5.0939535561551126E-2</v>
      </c>
      <c r="D2360" s="2">
        <f ca="1">INDEX(Simulations!$A$1:$BK$2501, 2360, MATCH("SynMargin", Simulations!$A$1:$BK$1, 0))</f>
        <v>4.7100072551967747E-3</v>
      </c>
      <c r="E2360" s="2">
        <f ca="1">INDEX(Simulations!$A$1:$BK$2501, 2360, MATCH("Yr1Shock", Simulations!$A$1:$BK$1, 0))</f>
        <v>1.2037073930910138E-2</v>
      </c>
    </row>
    <row r="2361" spans="1:5" x14ac:dyDescent="0.3">
      <c r="A2361" s="2">
        <f ca="1">INDEX(Simulations!$A$1:$BK$2501, 2361, MATCH("PurchaseMultiple", Simulations!$A$1:$BK$1, 0))</f>
        <v>6.877120328518691</v>
      </c>
      <c r="B2361" s="2">
        <f ca="1">INDEX(Simulations!$A$1:$BK$2501, 2361, MATCH("ExitMultiple", Simulations!$A$1:$BK$1, 0))</f>
        <v>8.4779204918492184</v>
      </c>
      <c r="C2361" s="2">
        <f ca="1">INDEX(Simulations!$A$1:$BK$2501, 2361, MATCH("RevCAGR", Simulations!$A$1:$BK$1, 0))</f>
        <v>9.2746165043560841E-2</v>
      </c>
      <c r="D2361" s="2">
        <f ca="1">INDEX(Simulations!$A$1:$BK$2501, 2361, MATCH("SynMargin", Simulations!$A$1:$BK$1, 0))</f>
        <v>7.648023928642585E-3</v>
      </c>
      <c r="E2361" s="2">
        <f ca="1">INDEX(Simulations!$A$1:$BK$2501, 2361, MATCH("Yr1Shock", Simulations!$A$1:$BK$1, 0))</f>
        <v>-1.4888431112266062E-2</v>
      </c>
    </row>
    <row r="2362" spans="1:5" x14ac:dyDescent="0.3">
      <c r="A2362" s="2">
        <f ca="1">INDEX(Simulations!$A$1:$BK$2501, 2362, MATCH("PurchaseMultiple", Simulations!$A$1:$BK$1, 0))</f>
        <v>6.8728916923077978</v>
      </c>
      <c r="B2362" s="2">
        <f ca="1">INDEX(Simulations!$A$1:$BK$2501, 2362, MATCH("ExitMultiple", Simulations!$A$1:$BK$1, 0))</f>
        <v>7.2081725051071839</v>
      </c>
      <c r="C2362" s="2">
        <f ca="1">INDEX(Simulations!$A$1:$BK$2501, 2362, MATCH("RevCAGR", Simulations!$A$1:$BK$1, 0))</f>
        <v>4.5484289359568449E-2</v>
      </c>
      <c r="D2362" s="2">
        <f ca="1">INDEX(Simulations!$A$1:$BK$2501, 2362, MATCH("SynMargin", Simulations!$A$1:$BK$1, 0))</f>
        <v>1.3616046584718787E-2</v>
      </c>
      <c r="E2362" s="2">
        <f ca="1">INDEX(Simulations!$A$1:$BK$2501, 2362, MATCH("Yr1Shock", Simulations!$A$1:$BK$1, 0))</f>
        <v>2.5427549029201534E-2</v>
      </c>
    </row>
    <row r="2363" spans="1:5" x14ac:dyDescent="0.3">
      <c r="A2363" s="2">
        <f ca="1">INDEX(Simulations!$A$1:$BK$2501, 2363, MATCH("PurchaseMultiple", Simulations!$A$1:$BK$1, 0))</f>
        <v>6.6034453926528016</v>
      </c>
      <c r="B2363" s="2">
        <f ca="1">INDEX(Simulations!$A$1:$BK$2501, 2363, MATCH("ExitMultiple", Simulations!$A$1:$BK$1, 0))</f>
        <v>7.0957011067784306</v>
      </c>
      <c r="C2363" s="2">
        <f ca="1">INDEX(Simulations!$A$1:$BK$2501, 2363, MATCH("RevCAGR", Simulations!$A$1:$BK$1, 0))</f>
        <v>4.37035966410914E-2</v>
      </c>
      <c r="D2363" s="2">
        <f ca="1">INDEX(Simulations!$A$1:$BK$2501, 2363, MATCH("SynMargin", Simulations!$A$1:$BK$1, 0))</f>
        <v>1.4436353491734815E-2</v>
      </c>
      <c r="E2363" s="2">
        <f ca="1">INDEX(Simulations!$A$1:$BK$2501, 2363, MATCH("Yr1Shock", Simulations!$A$1:$BK$1, 0))</f>
        <v>1.6948200339251519E-2</v>
      </c>
    </row>
    <row r="2364" spans="1:5" x14ac:dyDescent="0.3">
      <c r="A2364" s="2">
        <f ca="1">INDEX(Simulations!$A$1:$BK$2501, 2364, MATCH("PurchaseMultiple", Simulations!$A$1:$BK$1, 0))</f>
        <v>6.9546086184704343</v>
      </c>
      <c r="B2364" s="2">
        <f ca="1">INDEX(Simulations!$A$1:$BK$2501, 2364, MATCH("ExitMultiple", Simulations!$A$1:$BK$1, 0))</f>
        <v>8.1306567441141606</v>
      </c>
      <c r="C2364" s="2">
        <f ca="1">INDEX(Simulations!$A$1:$BK$2501, 2364, MATCH("RevCAGR", Simulations!$A$1:$BK$1, 0))</f>
        <v>6.0046713365128693E-3</v>
      </c>
      <c r="D2364" s="2">
        <f ca="1">INDEX(Simulations!$A$1:$BK$2501, 2364, MATCH("SynMargin", Simulations!$A$1:$BK$1, 0))</f>
        <v>1.4642138217063005E-2</v>
      </c>
      <c r="E2364" s="2">
        <f ca="1">INDEX(Simulations!$A$1:$BK$2501, 2364, MATCH("Yr1Shock", Simulations!$A$1:$BK$1, 0))</f>
        <v>-2.6936386579196944E-2</v>
      </c>
    </row>
    <row r="2365" spans="1:5" x14ac:dyDescent="0.3">
      <c r="A2365" s="2">
        <f ca="1">INDEX(Simulations!$A$1:$BK$2501, 2365, MATCH("PurchaseMultiple", Simulations!$A$1:$BK$1, 0))</f>
        <v>7.3338697915327646</v>
      </c>
      <c r="B2365" s="2">
        <f ca="1">INDEX(Simulations!$A$1:$BK$2501, 2365, MATCH("ExitMultiple", Simulations!$A$1:$BK$1, 0))</f>
        <v>7.898102275183529</v>
      </c>
      <c r="C2365" s="2">
        <f ca="1">INDEX(Simulations!$A$1:$BK$2501, 2365, MATCH("RevCAGR", Simulations!$A$1:$BK$1, 0))</f>
        <v>2.0496366543841679E-2</v>
      </c>
      <c r="D2365" s="2">
        <f ca="1">INDEX(Simulations!$A$1:$BK$2501, 2365, MATCH("SynMargin", Simulations!$A$1:$BK$1, 0))</f>
        <v>4.7895832039641711E-3</v>
      </c>
      <c r="E2365" s="2">
        <f ca="1">INDEX(Simulations!$A$1:$BK$2501, 2365, MATCH("Yr1Shock", Simulations!$A$1:$BK$1, 0))</f>
        <v>2.016395267472796E-2</v>
      </c>
    </row>
    <row r="2366" spans="1:5" x14ac:dyDescent="0.3">
      <c r="A2366" s="2">
        <f ca="1">INDEX(Simulations!$A$1:$BK$2501, 2366, MATCH("PurchaseMultiple", Simulations!$A$1:$BK$1, 0))</f>
        <v>7.1141543321295462</v>
      </c>
      <c r="B2366" s="2">
        <f ca="1">INDEX(Simulations!$A$1:$BK$2501, 2366, MATCH("ExitMultiple", Simulations!$A$1:$BK$1, 0))</f>
        <v>7.0495230528263271</v>
      </c>
      <c r="C2366" s="2">
        <f ca="1">INDEX(Simulations!$A$1:$BK$2501, 2366, MATCH("RevCAGR", Simulations!$A$1:$BK$1, 0))</f>
        <v>5.8539511371999614E-2</v>
      </c>
      <c r="D2366" s="2">
        <f ca="1">INDEX(Simulations!$A$1:$BK$2501, 2366, MATCH("SynMargin", Simulations!$A$1:$BK$1, 0))</f>
        <v>1.8460686880660555E-2</v>
      </c>
      <c r="E2366" s="2">
        <f ca="1">INDEX(Simulations!$A$1:$BK$2501, 2366, MATCH("Yr1Shock", Simulations!$A$1:$BK$1, 0))</f>
        <v>-2.060348233031006E-2</v>
      </c>
    </row>
    <row r="2367" spans="1:5" x14ac:dyDescent="0.3">
      <c r="A2367" s="2">
        <f ca="1">INDEX(Simulations!$A$1:$BK$2501, 2367, MATCH("PurchaseMultiple", Simulations!$A$1:$BK$1, 0))</f>
        <v>7.1626538084632267</v>
      </c>
      <c r="B2367" s="2">
        <f ca="1">INDEX(Simulations!$A$1:$BK$2501, 2367, MATCH("ExitMultiple", Simulations!$A$1:$BK$1, 0))</f>
        <v>7.6924287240747686</v>
      </c>
      <c r="C2367" s="2">
        <f ca="1">INDEX(Simulations!$A$1:$BK$2501, 2367, MATCH("RevCAGR", Simulations!$A$1:$BK$1, 0))</f>
        <v>6.1292733325546522E-2</v>
      </c>
      <c r="D2367" s="2">
        <f ca="1">INDEX(Simulations!$A$1:$BK$2501, 2367, MATCH("SynMargin", Simulations!$A$1:$BK$1, 0))</f>
        <v>9.5910606510543617E-3</v>
      </c>
      <c r="E2367" s="2">
        <f ca="1">INDEX(Simulations!$A$1:$BK$2501, 2367, MATCH("Yr1Shock", Simulations!$A$1:$BK$1, 0))</f>
        <v>3.9775089321331426E-2</v>
      </c>
    </row>
    <row r="2368" spans="1:5" x14ac:dyDescent="0.3">
      <c r="A2368" s="2">
        <f ca="1">INDEX(Simulations!$A$1:$BK$2501, 2368, MATCH("PurchaseMultiple", Simulations!$A$1:$BK$1, 0))</f>
        <v>6.9283249587711611</v>
      </c>
      <c r="B2368" s="2">
        <f ca="1">INDEX(Simulations!$A$1:$BK$2501, 2368, MATCH("ExitMultiple", Simulations!$A$1:$BK$1, 0))</f>
        <v>7.1811924054159917</v>
      </c>
      <c r="C2368" s="2">
        <f ca="1">INDEX(Simulations!$A$1:$BK$2501, 2368, MATCH("RevCAGR", Simulations!$A$1:$BK$1, 0))</f>
        <v>9.3821621755929452E-2</v>
      </c>
      <c r="D2368" s="2">
        <f ca="1">INDEX(Simulations!$A$1:$BK$2501, 2368, MATCH("SynMargin", Simulations!$A$1:$BK$1, 0))</f>
        <v>1.2204531878178987E-2</v>
      </c>
      <c r="E2368" s="2">
        <f ca="1">INDEX(Simulations!$A$1:$BK$2501, 2368, MATCH("Yr1Shock", Simulations!$A$1:$BK$1, 0))</f>
        <v>-1.2776394669763392E-2</v>
      </c>
    </row>
    <row r="2369" spans="1:5" x14ac:dyDescent="0.3">
      <c r="A2369" s="2">
        <f ca="1">INDEX(Simulations!$A$1:$BK$2501, 2369, MATCH("PurchaseMultiple", Simulations!$A$1:$BK$1, 0))</f>
        <v>7.1334500232000693</v>
      </c>
      <c r="B2369" s="2">
        <f ca="1">INDEX(Simulations!$A$1:$BK$2501, 2369, MATCH("ExitMultiple", Simulations!$A$1:$BK$1, 0))</f>
        <v>7.1728850499302128</v>
      </c>
      <c r="C2369" s="2">
        <f ca="1">INDEX(Simulations!$A$1:$BK$2501, 2369, MATCH("RevCAGR", Simulations!$A$1:$BK$1, 0))</f>
        <v>3.432486931775456E-2</v>
      </c>
      <c r="D2369" s="2">
        <f ca="1">INDEX(Simulations!$A$1:$BK$2501, 2369, MATCH("SynMargin", Simulations!$A$1:$BK$1, 0))</f>
        <v>5.8492098078008169E-3</v>
      </c>
      <c r="E2369" s="2">
        <f ca="1">INDEX(Simulations!$A$1:$BK$2501, 2369, MATCH("Yr1Shock", Simulations!$A$1:$BK$1, 0))</f>
        <v>-4.2220739854624538E-2</v>
      </c>
    </row>
    <row r="2370" spans="1:5" x14ac:dyDescent="0.3">
      <c r="A2370" s="2">
        <f ca="1">INDEX(Simulations!$A$1:$BK$2501, 2370, MATCH("PurchaseMultiple", Simulations!$A$1:$BK$1, 0))</f>
        <v>6.0913281498533545</v>
      </c>
      <c r="B2370" s="2">
        <f ca="1">INDEX(Simulations!$A$1:$BK$2501, 2370, MATCH("ExitMultiple", Simulations!$A$1:$BK$1, 0))</f>
        <v>7.3839090568668677</v>
      </c>
      <c r="C2370" s="2">
        <f ca="1">INDEX(Simulations!$A$1:$BK$2501, 2370, MATCH("RevCAGR", Simulations!$A$1:$BK$1, 0))</f>
        <v>-1.4627054561376543E-2</v>
      </c>
      <c r="D2370" s="2">
        <f ca="1">INDEX(Simulations!$A$1:$BK$2501, 2370, MATCH("SynMargin", Simulations!$A$1:$BK$1, 0))</f>
        <v>1.011726996236347E-2</v>
      </c>
      <c r="E2370" s="2">
        <f ca="1">INDEX(Simulations!$A$1:$BK$2501, 2370, MATCH("Yr1Shock", Simulations!$A$1:$BK$1, 0))</f>
        <v>3.6404471425522097E-2</v>
      </c>
    </row>
    <row r="2371" spans="1:5" x14ac:dyDescent="0.3">
      <c r="A2371" s="2">
        <f ca="1">INDEX(Simulations!$A$1:$BK$2501, 2371, MATCH("PurchaseMultiple", Simulations!$A$1:$BK$1, 0))</f>
        <v>7.8081211310462599</v>
      </c>
      <c r="B2371" s="2">
        <f ca="1">INDEX(Simulations!$A$1:$BK$2501, 2371, MATCH("ExitMultiple", Simulations!$A$1:$BK$1, 0))</f>
        <v>7.5380009209793721</v>
      </c>
      <c r="C2371" s="2">
        <f ca="1">INDEX(Simulations!$A$1:$BK$2501, 2371, MATCH("RevCAGR", Simulations!$A$1:$BK$1, 0))</f>
        <v>4.2735852178925539E-2</v>
      </c>
      <c r="D2371" s="2">
        <f ca="1">INDEX(Simulations!$A$1:$BK$2501, 2371, MATCH("SynMargin", Simulations!$A$1:$BK$1, 0))</f>
        <v>6.5028192855621104E-3</v>
      </c>
      <c r="E2371" s="2">
        <f ca="1">INDEX(Simulations!$A$1:$BK$2501, 2371, MATCH("Yr1Shock", Simulations!$A$1:$BK$1, 0))</f>
        <v>7.3796606949372203E-3</v>
      </c>
    </row>
    <row r="2372" spans="1:5" x14ac:dyDescent="0.3">
      <c r="A2372" s="2">
        <f ca="1">INDEX(Simulations!$A$1:$BK$2501, 2372, MATCH("PurchaseMultiple", Simulations!$A$1:$BK$1, 0))</f>
        <v>7.5823782267423718</v>
      </c>
      <c r="B2372" s="2">
        <f ca="1">INDEX(Simulations!$A$1:$BK$2501, 2372, MATCH("ExitMultiple", Simulations!$A$1:$BK$1, 0))</f>
        <v>7.0204230332370727</v>
      </c>
      <c r="C2372" s="2">
        <f ca="1">INDEX(Simulations!$A$1:$BK$2501, 2372, MATCH("RevCAGR", Simulations!$A$1:$BK$1, 0))</f>
        <v>5.770057458362534E-2</v>
      </c>
      <c r="D2372" s="2">
        <f ca="1">INDEX(Simulations!$A$1:$BK$2501, 2372, MATCH("SynMargin", Simulations!$A$1:$BK$1, 0))</f>
        <v>1.0460401657302531E-2</v>
      </c>
      <c r="E2372" s="2">
        <f ca="1">INDEX(Simulations!$A$1:$BK$2501, 2372, MATCH("Yr1Shock", Simulations!$A$1:$BK$1, 0))</f>
        <v>1.9562846417445063E-2</v>
      </c>
    </row>
    <row r="2373" spans="1:5" x14ac:dyDescent="0.3">
      <c r="A2373" s="2">
        <f ca="1">INDEX(Simulations!$A$1:$BK$2501, 2373, MATCH("PurchaseMultiple", Simulations!$A$1:$BK$1, 0))</f>
        <v>7.5747411856447862</v>
      </c>
      <c r="B2373" s="2">
        <f ca="1">INDEX(Simulations!$A$1:$BK$2501, 2373, MATCH("ExitMultiple", Simulations!$A$1:$BK$1, 0))</f>
        <v>7.9526094852448015</v>
      </c>
      <c r="C2373" s="2">
        <f ca="1">INDEX(Simulations!$A$1:$BK$2501, 2373, MATCH("RevCAGR", Simulations!$A$1:$BK$1, 0))</f>
        <v>2.0590805131792827E-2</v>
      </c>
      <c r="D2373" s="2">
        <f ca="1">INDEX(Simulations!$A$1:$BK$2501, 2373, MATCH("SynMargin", Simulations!$A$1:$BK$1, 0))</f>
        <v>1.1378796475349005E-2</v>
      </c>
      <c r="E2373" s="2">
        <f ca="1">INDEX(Simulations!$A$1:$BK$2501, 2373, MATCH("Yr1Shock", Simulations!$A$1:$BK$1, 0))</f>
        <v>6.3441985221440872E-3</v>
      </c>
    </row>
    <row r="2374" spans="1:5" x14ac:dyDescent="0.3">
      <c r="A2374" s="2">
        <f ca="1">INDEX(Simulations!$A$1:$BK$2501, 2374, MATCH("PurchaseMultiple", Simulations!$A$1:$BK$1, 0))</f>
        <v>6.7837474824467616</v>
      </c>
      <c r="B2374" s="2">
        <f ca="1">INDEX(Simulations!$A$1:$BK$2501, 2374, MATCH("ExitMultiple", Simulations!$A$1:$BK$1, 0))</f>
        <v>7.6021194537250825</v>
      </c>
      <c r="C2374" s="2">
        <f ca="1">INDEX(Simulations!$A$1:$BK$2501, 2374, MATCH("RevCAGR", Simulations!$A$1:$BK$1, 0))</f>
        <v>5.333901718122859E-2</v>
      </c>
      <c r="D2374" s="2">
        <f ca="1">INDEX(Simulations!$A$1:$BK$2501, 2374, MATCH("SynMargin", Simulations!$A$1:$BK$1, 0))</f>
        <v>4.5878763689348491E-3</v>
      </c>
      <c r="E2374" s="2">
        <f ca="1">INDEX(Simulations!$A$1:$BK$2501, 2374, MATCH("Yr1Shock", Simulations!$A$1:$BK$1, 0))</f>
        <v>6.4495585209142156E-3</v>
      </c>
    </row>
    <row r="2375" spans="1:5" x14ac:dyDescent="0.3">
      <c r="A2375" s="2">
        <f ca="1">INDEX(Simulations!$A$1:$BK$2501, 2375, MATCH("PurchaseMultiple", Simulations!$A$1:$BK$1, 0))</f>
        <v>6.7193321957442533</v>
      </c>
      <c r="B2375" s="2">
        <f ca="1">INDEX(Simulations!$A$1:$BK$2501, 2375, MATCH("ExitMultiple", Simulations!$A$1:$BK$1, 0))</f>
        <v>7.7977946439630292</v>
      </c>
      <c r="C2375" s="2">
        <f ca="1">INDEX(Simulations!$A$1:$BK$2501, 2375, MATCH("RevCAGR", Simulations!$A$1:$BK$1, 0))</f>
        <v>6.0414352910130441E-2</v>
      </c>
      <c r="D2375" s="2">
        <f ca="1">INDEX(Simulations!$A$1:$BK$2501, 2375, MATCH("SynMargin", Simulations!$A$1:$BK$1, 0))</f>
        <v>1.2675292329412854E-2</v>
      </c>
      <c r="E2375" s="2">
        <f ca="1">INDEX(Simulations!$A$1:$BK$2501, 2375, MATCH("Yr1Shock", Simulations!$A$1:$BK$1, 0))</f>
        <v>1.0675015952646352E-2</v>
      </c>
    </row>
    <row r="2376" spans="1:5" x14ac:dyDescent="0.3">
      <c r="A2376" s="2">
        <f ca="1">INDEX(Simulations!$A$1:$BK$2501, 2376, MATCH("PurchaseMultiple", Simulations!$A$1:$BK$1, 0))</f>
        <v>6.4842577170142928</v>
      </c>
      <c r="B2376" s="2">
        <f ca="1">INDEX(Simulations!$A$1:$BK$2501, 2376, MATCH("ExitMultiple", Simulations!$A$1:$BK$1, 0))</f>
        <v>7.3482404388281006</v>
      </c>
      <c r="C2376" s="2">
        <f ca="1">INDEX(Simulations!$A$1:$BK$2501, 2376, MATCH("RevCAGR", Simulations!$A$1:$BK$1, 0))</f>
        <v>2.1181804944281405E-2</v>
      </c>
      <c r="D2376" s="2">
        <f ca="1">INDEX(Simulations!$A$1:$BK$2501, 2376, MATCH("SynMargin", Simulations!$A$1:$BK$1, 0))</f>
        <v>9.1055625198205696E-3</v>
      </c>
      <c r="E2376" s="2">
        <f ca="1">INDEX(Simulations!$A$1:$BK$2501, 2376, MATCH("Yr1Shock", Simulations!$A$1:$BK$1, 0))</f>
        <v>1.2044169726203688E-2</v>
      </c>
    </row>
    <row r="2377" spans="1:5" x14ac:dyDescent="0.3">
      <c r="A2377" s="2">
        <f ca="1">INDEX(Simulations!$A$1:$BK$2501, 2377, MATCH("PurchaseMultiple", Simulations!$A$1:$BK$1, 0))</f>
        <v>6.5479255919415698</v>
      </c>
      <c r="B2377" s="2">
        <f ca="1">INDEX(Simulations!$A$1:$BK$2501, 2377, MATCH("ExitMultiple", Simulations!$A$1:$BK$1, 0))</f>
        <v>7.404079828737486</v>
      </c>
      <c r="C2377" s="2">
        <f ca="1">INDEX(Simulations!$A$1:$BK$2501, 2377, MATCH("RevCAGR", Simulations!$A$1:$BK$1, 0))</f>
        <v>9.0612588109131656E-2</v>
      </c>
      <c r="D2377" s="2">
        <f ca="1">INDEX(Simulations!$A$1:$BK$2501, 2377, MATCH("SynMargin", Simulations!$A$1:$BK$1, 0))</f>
        <v>0</v>
      </c>
      <c r="E2377" s="2">
        <f ca="1">INDEX(Simulations!$A$1:$BK$2501, 2377, MATCH("Yr1Shock", Simulations!$A$1:$BK$1, 0))</f>
        <v>2.1136306984489362E-2</v>
      </c>
    </row>
    <row r="2378" spans="1:5" x14ac:dyDescent="0.3">
      <c r="A2378" s="2">
        <f ca="1">INDEX(Simulations!$A$1:$BK$2501, 2378, MATCH("PurchaseMultiple", Simulations!$A$1:$BK$1, 0))</f>
        <v>7.5074873570917058</v>
      </c>
      <c r="B2378" s="2">
        <f ca="1">INDEX(Simulations!$A$1:$BK$2501, 2378, MATCH("ExitMultiple", Simulations!$A$1:$BK$1, 0))</f>
        <v>7.5185912367743262</v>
      </c>
      <c r="C2378" s="2">
        <f ca="1">INDEX(Simulations!$A$1:$BK$2501, 2378, MATCH("RevCAGR", Simulations!$A$1:$BK$1, 0))</f>
        <v>-6.4030732752085456E-3</v>
      </c>
      <c r="D2378" s="2">
        <f ca="1">INDEX(Simulations!$A$1:$BK$2501, 2378, MATCH("SynMargin", Simulations!$A$1:$BK$1, 0))</f>
        <v>1.010269317944929E-2</v>
      </c>
      <c r="E2378" s="2">
        <f ca="1">INDEX(Simulations!$A$1:$BK$2501, 2378, MATCH("Yr1Shock", Simulations!$A$1:$BK$1, 0))</f>
        <v>2.4735164503016289E-2</v>
      </c>
    </row>
    <row r="2379" spans="1:5" x14ac:dyDescent="0.3">
      <c r="A2379" s="2">
        <f ca="1">INDEX(Simulations!$A$1:$BK$2501, 2379, MATCH("PurchaseMultiple", Simulations!$A$1:$BK$1, 0))</f>
        <v>7.0937330919848165</v>
      </c>
      <c r="B2379" s="2">
        <f ca="1">INDEX(Simulations!$A$1:$BK$2501, 2379, MATCH("ExitMultiple", Simulations!$A$1:$BK$1, 0))</f>
        <v>7.7344705190412215</v>
      </c>
      <c r="C2379" s="2">
        <f ca="1">INDEX(Simulations!$A$1:$BK$2501, 2379, MATCH("RevCAGR", Simulations!$A$1:$BK$1, 0))</f>
        <v>5.6633180221788731E-2</v>
      </c>
      <c r="D2379" s="2">
        <f ca="1">INDEX(Simulations!$A$1:$BK$2501, 2379, MATCH("SynMargin", Simulations!$A$1:$BK$1, 0))</f>
        <v>5.7772938145987732E-3</v>
      </c>
      <c r="E2379" s="2">
        <f ca="1">INDEX(Simulations!$A$1:$BK$2501, 2379, MATCH("Yr1Shock", Simulations!$A$1:$BK$1, 0))</f>
        <v>5.230228818120952E-3</v>
      </c>
    </row>
    <row r="2380" spans="1:5" x14ac:dyDescent="0.3">
      <c r="A2380" s="2">
        <f ca="1">INDEX(Simulations!$A$1:$BK$2501, 2380, MATCH("PurchaseMultiple", Simulations!$A$1:$BK$1, 0))</f>
        <v>7.6306741025725797</v>
      </c>
      <c r="B2380" s="2">
        <f ca="1">INDEX(Simulations!$A$1:$BK$2501, 2380, MATCH("ExitMultiple", Simulations!$A$1:$BK$1, 0))</f>
        <v>7.7126542728882637</v>
      </c>
      <c r="C2380" s="2">
        <f ca="1">INDEX(Simulations!$A$1:$BK$2501, 2380, MATCH("RevCAGR", Simulations!$A$1:$BK$1, 0))</f>
        <v>6.4269823944569815E-2</v>
      </c>
      <c r="D2380" s="2">
        <f ca="1">INDEX(Simulations!$A$1:$BK$2501, 2380, MATCH("SynMargin", Simulations!$A$1:$BK$1, 0))</f>
        <v>5.1845041155827503E-3</v>
      </c>
      <c r="E2380" s="2">
        <f ca="1">INDEX(Simulations!$A$1:$BK$2501, 2380, MATCH("Yr1Shock", Simulations!$A$1:$BK$1, 0))</f>
        <v>-2.2946752997517122E-2</v>
      </c>
    </row>
    <row r="2381" spans="1:5" x14ac:dyDescent="0.3">
      <c r="A2381" s="2">
        <f ca="1">INDEX(Simulations!$A$1:$BK$2501, 2381, MATCH("PurchaseMultiple", Simulations!$A$1:$BK$1, 0))</f>
        <v>7.0425356965531911</v>
      </c>
      <c r="B2381" s="2">
        <f ca="1">INDEX(Simulations!$A$1:$BK$2501, 2381, MATCH("ExitMultiple", Simulations!$A$1:$BK$1, 0))</f>
        <v>7.8433319923138871</v>
      </c>
      <c r="C2381" s="2">
        <f ca="1">INDEX(Simulations!$A$1:$BK$2501, 2381, MATCH("RevCAGR", Simulations!$A$1:$BK$1, 0))</f>
        <v>2.5528246474513967E-2</v>
      </c>
      <c r="D2381" s="2">
        <f ca="1">INDEX(Simulations!$A$1:$BK$2501, 2381, MATCH("SynMargin", Simulations!$A$1:$BK$1, 0))</f>
        <v>8.2277544073644862E-3</v>
      </c>
      <c r="E2381" s="2">
        <f ca="1">INDEX(Simulations!$A$1:$BK$2501, 2381, MATCH("Yr1Shock", Simulations!$A$1:$BK$1, 0))</f>
        <v>-2.04662314910437E-2</v>
      </c>
    </row>
    <row r="2382" spans="1:5" x14ac:dyDescent="0.3">
      <c r="A2382" s="2">
        <f ca="1">INDEX(Simulations!$A$1:$BK$2501, 2382, MATCH("PurchaseMultiple", Simulations!$A$1:$BK$1, 0))</f>
        <v>6.8077196713538388</v>
      </c>
      <c r="B2382" s="2">
        <f ca="1">INDEX(Simulations!$A$1:$BK$2501, 2382, MATCH("ExitMultiple", Simulations!$A$1:$BK$1, 0))</f>
        <v>8.1808331445234579</v>
      </c>
      <c r="C2382" s="2">
        <f ca="1">INDEX(Simulations!$A$1:$BK$2501, 2382, MATCH("RevCAGR", Simulations!$A$1:$BK$1, 0))</f>
        <v>-9.9291462262101754E-3</v>
      </c>
      <c r="D2382" s="2">
        <f ca="1">INDEX(Simulations!$A$1:$BK$2501, 2382, MATCH("SynMargin", Simulations!$A$1:$BK$1, 0))</f>
        <v>5.18712832756599E-3</v>
      </c>
      <c r="E2382" s="2">
        <f ca="1">INDEX(Simulations!$A$1:$BK$2501, 2382, MATCH("Yr1Shock", Simulations!$A$1:$BK$1, 0))</f>
        <v>-1.9491757096512456E-2</v>
      </c>
    </row>
    <row r="2383" spans="1:5" x14ac:dyDescent="0.3">
      <c r="A2383" s="2">
        <f ca="1">INDEX(Simulations!$A$1:$BK$2501, 2383, MATCH("PurchaseMultiple", Simulations!$A$1:$BK$1, 0))</f>
        <v>7.0971787204436838</v>
      </c>
      <c r="B2383" s="2">
        <f ca="1">INDEX(Simulations!$A$1:$BK$2501, 2383, MATCH("ExitMultiple", Simulations!$A$1:$BK$1, 0))</f>
        <v>7.1291418113520768</v>
      </c>
      <c r="C2383" s="2">
        <f ca="1">INDEX(Simulations!$A$1:$BK$2501, 2383, MATCH("RevCAGR", Simulations!$A$1:$BK$1, 0))</f>
        <v>6.0538264604178257E-2</v>
      </c>
      <c r="D2383" s="2">
        <f ca="1">INDEX(Simulations!$A$1:$BK$2501, 2383, MATCH("SynMargin", Simulations!$A$1:$BK$1, 0))</f>
        <v>1.0398493294846947E-2</v>
      </c>
      <c r="E2383" s="2">
        <f ca="1">INDEX(Simulations!$A$1:$BK$2501, 2383, MATCH("Yr1Shock", Simulations!$A$1:$BK$1, 0))</f>
        <v>-1.2719611249937049E-2</v>
      </c>
    </row>
    <row r="2384" spans="1:5" x14ac:dyDescent="0.3">
      <c r="A2384" s="2">
        <f ca="1">INDEX(Simulations!$A$1:$BK$2501, 2384, MATCH("PurchaseMultiple", Simulations!$A$1:$BK$1, 0))</f>
        <v>7.3994207385615152</v>
      </c>
      <c r="B2384" s="2">
        <f ca="1">INDEX(Simulations!$A$1:$BK$2501, 2384, MATCH("ExitMultiple", Simulations!$A$1:$BK$1, 0))</f>
        <v>7.0742053677187497</v>
      </c>
      <c r="C2384" s="2">
        <f ca="1">INDEX(Simulations!$A$1:$BK$2501, 2384, MATCH("RevCAGR", Simulations!$A$1:$BK$1, 0))</f>
        <v>-8.0051024815181587E-3</v>
      </c>
      <c r="D2384" s="2">
        <f ca="1">INDEX(Simulations!$A$1:$BK$2501, 2384, MATCH("SynMargin", Simulations!$A$1:$BK$1, 0))</f>
        <v>0</v>
      </c>
      <c r="E2384" s="2">
        <f ca="1">INDEX(Simulations!$A$1:$BK$2501, 2384, MATCH("Yr1Shock", Simulations!$A$1:$BK$1, 0))</f>
        <v>1.1705731857363612E-3</v>
      </c>
    </row>
    <row r="2385" spans="1:5" x14ac:dyDescent="0.3">
      <c r="A2385" s="2">
        <f ca="1">INDEX(Simulations!$A$1:$BK$2501, 2385, MATCH("PurchaseMultiple", Simulations!$A$1:$BK$1, 0))</f>
        <v>6.8981583638998289</v>
      </c>
      <c r="B2385" s="2">
        <f ca="1">INDEX(Simulations!$A$1:$BK$2501, 2385, MATCH("ExitMultiple", Simulations!$A$1:$BK$1, 0))</f>
        <v>6.7630657858854599</v>
      </c>
      <c r="C2385" s="2">
        <f ca="1">INDEX(Simulations!$A$1:$BK$2501, 2385, MATCH("RevCAGR", Simulations!$A$1:$BK$1, 0))</f>
        <v>5.9070561039128423E-2</v>
      </c>
      <c r="D2385" s="2">
        <f ca="1">INDEX(Simulations!$A$1:$BK$2501, 2385, MATCH("SynMargin", Simulations!$A$1:$BK$1, 0))</f>
        <v>1.6171085148133597E-2</v>
      </c>
      <c r="E2385" s="2">
        <f ca="1">INDEX(Simulations!$A$1:$BK$2501, 2385, MATCH("Yr1Shock", Simulations!$A$1:$BK$1, 0))</f>
        <v>-6.4509755439104604E-3</v>
      </c>
    </row>
    <row r="2386" spans="1:5" x14ac:dyDescent="0.3">
      <c r="A2386" s="2">
        <f ca="1">INDEX(Simulations!$A$1:$BK$2501, 2386, MATCH("PurchaseMultiple", Simulations!$A$1:$BK$1, 0))</f>
        <v>7.8777046606631869</v>
      </c>
      <c r="B2386" s="2">
        <f ca="1">INDEX(Simulations!$A$1:$BK$2501, 2386, MATCH("ExitMultiple", Simulations!$A$1:$BK$1, 0))</f>
        <v>7.4096770747930023</v>
      </c>
      <c r="C2386" s="2">
        <f ca="1">INDEX(Simulations!$A$1:$BK$2501, 2386, MATCH("RevCAGR", Simulations!$A$1:$BK$1, 0))</f>
        <v>4.5302617074277643E-2</v>
      </c>
      <c r="D2386" s="2">
        <f ca="1">INDEX(Simulations!$A$1:$BK$2501, 2386, MATCH("SynMargin", Simulations!$A$1:$BK$1, 0))</f>
        <v>1.1604198638449236E-2</v>
      </c>
      <c r="E2386" s="2">
        <f ca="1">INDEX(Simulations!$A$1:$BK$2501, 2386, MATCH("Yr1Shock", Simulations!$A$1:$BK$1, 0))</f>
        <v>5.7992231528201923E-3</v>
      </c>
    </row>
    <row r="2387" spans="1:5" x14ac:dyDescent="0.3">
      <c r="A2387" s="2">
        <f ca="1">INDEX(Simulations!$A$1:$BK$2501, 2387, MATCH("PurchaseMultiple", Simulations!$A$1:$BK$1, 0))</f>
        <v>7.2439154767640623</v>
      </c>
      <c r="B2387" s="2">
        <f ca="1">INDEX(Simulations!$A$1:$BK$2501, 2387, MATCH("ExitMultiple", Simulations!$A$1:$BK$1, 0))</f>
        <v>7.0861081919296875</v>
      </c>
      <c r="C2387" s="2">
        <f ca="1">INDEX(Simulations!$A$1:$BK$2501, 2387, MATCH("RevCAGR", Simulations!$A$1:$BK$1, 0))</f>
        <v>4.6916661123001357E-2</v>
      </c>
      <c r="D2387" s="2">
        <f ca="1">INDEX(Simulations!$A$1:$BK$2501, 2387, MATCH("SynMargin", Simulations!$A$1:$BK$1, 0))</f>
        <v>0</v>
      </c>
      <c r="E2387" s="2">
        <f ca="1">INDEX(Simulations!$A$1:$BK$2501, 2387, MATCH("Yr1Shock", Simulations!$A$1:$BK$1, 0))</f>
        <v>-3.7557167322937547E-2</v>
      </c>
    </row>
    <row r="2388" spans="1:5" x14ac:dyDescent="0.3">
      <c r="A2388" s="2">
        <f ca="1">INDEX(Simulations!$A$1:$BK$2501, 2388, MATCH("PurchaseMultiple", Simulations!$A$1:$BK$1, 0))</f>
        <v>6.9881307790440621</v>
      </c>
      <c r="B2388" s="2">
        <f ca="1">INDEX(Simulations!$A$1:$BK$2501, 2388, MATCH("ExitMultiple", Simulations!$A$1:$BK$1, 0))</f>
        <v>7.6536217723944837</v>
      </c>
      <c r="C2388" s="2">
        <f ca="1">INDEX(Simulations!$A$1:$BK$2501, 2388, MATCH("RevCAGR", Simulations!$A$1:$BK$1, 0))</f>
        <v>3.8285728896097708E-2</v>
      </c>
      <c r="D2388" s="2">
        <f ca="1">INDEX(Simulations!$A$1:$BK$2501, 2388, MATCH("SynMargin", Simulations!$A$1:$BK$1, 0))</f>
        <v>1.0006588272214264E-2</v>
      </c>
      <c r="E2388" s="2">
        <f ca="1">INDEX(Simulations!$A$1:$BK$2501, 2388, MATCH("Yr1Shock", Simulations!$A$1:$BK$1, 0))</f>
        <v>2.5265554149357623E-2</v>
      </c>
    </row>
    <row r="2389" spans="1:5" x14ac:dyDescent="0.3">
      <c r="A2389" s="2">
        <f ca="1">INDEX(Simulations!$A$1:$BK$2501, 2389, MATCH("PurchaseMultiple", Simulations!$A$1:$BK$1, 0))</f>
        <v>7.1316954907343071</v>
      </c>
      <c r="B2389" s="2">
        <f ca="1">INDEX(Simulations!$A$1:$BK$2501, 2389, MATCH("ExitMultiple", Simulations!$A$1:$BK$1, 0))</f>
        <v>7.1808373570195689</v>
      </c>
      <c r="C2389" s="2">
        <f ca="1">INDEX(Simulations!$A$1:$BK$2501, 2389, MATCH("RevCAGR", Simulations!$A$1:$BK$1, 0))</f>
        <v>2.4122455481609423E-2</v>
      </c>
      <c r="D2389" s="2">
        <f ca="1">INDEX(Simulations!$A$1:$BK$2501, 2389, MATCH("SynMargin", Simulations!$A$1:$BK$1, 0))</f>
        <v>3.0527345207528598E-3</v>
      </c>
      <c r="E2389" s="2">
        <f ca="1">INDEX(Simulations!$A$1:$BK$2501, 2389, MATCH("Yr1Shock", Simulations!$A$1:$BK$1, 0))</f>
        <v>-1.7365642207495542E-2</v>
      </c>
    </row>
    <row r="2390" spans="1:5" x14ac:dyDescent="0.3">
      <c r="A2390" s="2">
        <f ca="1">INDEX(Simulations!$A$1:$BK$2501, 2390, MATCH("PurchaseMultiple", Simulations!$A$1:$BK$1, 0))</f>
        <v>6.3063272289545909</v>
      </c>
      <c r="B2390" s="2">
        <f ca="1">INDEX(Simulations!$A$1:$BK$2501, 2390, MATCH("ExitMultiple", Simulations!$A$1:$BK$1, 0))</f>
        <v>6.652944222614364</v>
      </c>
      <c r="C2390" s="2">
        <f ca="1">INDEX(Simulations!$A$1:$BK$2501, 2390, MATCH("RevCAGR", Simulations!$A$1:$BK$1, 0))</f>
        <v>9.4655746363580373E-2</v>
      </c>
      <c r="D2390" s="2">
        <f ca="1">INDEX(Simulations!$A$1:$BK$2501, 2390, MATCH("SynMargin", Simulations!$A$1:$BK$1, 0))</f>
        <v>2.2975254223194179E-2</v>
      </c>
      <c r="E2390" s="2">
        <f ca="1">INDEX(Simulations!$A$1:$BK$2501, 2390, MATCH("Yr1Shock", Simulations!$A$1:$BK$1, 0))</f>
        <v>-6.5335289878146697E-3</v>
      </c>
    </row>
    <row r="2391" spans="1:5" x14ac:dyDescent="0.3">
      <c r="A2391" s="2">
        <f ca="1">INDEX(Simulations!$A$1:$BK$2501, 2391, MATCH("PurchaseMultiple", Simulations!$A$1:$BK$1, 0))</f>
        <v>6.9344383244152308</v>
      </c>
      <c r="B2391" s="2">
        <f ca="1">INDEX(Simulations!$A$1:$BK$2501, 2391, MATCH("ExitMultiple", Simulations!$A$1:$BK$1, 0))</f>
        <v>7.823642978313174</v>
      </c>
      <c r="C2391" s="2">
        <f ca="1">INDEX(Simulations!$A$1:$BK$2501, 2391, MATCH("RevCAGR", Simulations!$A$1:$BK$1, 0))</f>
        <v>2.7912495443897945E-2</v>
      </c>
      <c r="D2391" s="2">
        <f ca="1">INDEX(Simulations!$A$1:$BK$2501, 2391, MATCH("SynMargin", Simulations!$A$1:$BK$1, 0))</f>
        <v>8.5080250569798139E-3</v>
      </c>
      <c r="E2391" s="2">
        <f ca="1">INDEX(Simulations!$A$1:$BK$2501, 2391, MATCH("Yr1Shock", Simulations!$A$1:$BK$1, 0))</f>
        <v>-2.6984247188455983E-2</v>
      </c>
    </row>
    <row r="2392" spans="1:5" x14ac:dyDescent="0.3">
      <c r="A2392" s="2">
        <f ca="1">INDEX(Simulations!$A$1:$BK$2501, 2392, MATCH("PurchaseMultiple", Simulations!$A$1:$BK$1, 0))</f>
        <v>6.9643494531238028</v>
      </c>
      <c r="B2392" s="2">
        <f ca="1">INDEX(Simulations!$A$1:$BK$2501, 2392, MATCH("ExitMultiple", Simulations!$A$1:$BK$1, 0))</f>
        <v>8.2540478002104951</v>
      </c>
      <c r="C2392" s="2">
        <f ca="1">INDEX(Simulations!$A$1:$BK$2501, 2392, MATCH("RevCAGR", Simulations!$A$1:$BK$1, 0))</f>
        <v>5.3831786946173063E-2</v>
      </c>
      <c r="D2392" s="2">
        <f ca="1">INDEX(Simulations!$A$1:$BK$2501, 2392, MATCH("SynMargin", Simulations!$A$1:$BK$1, 0))</f>
        <v>6.4200222954614253E-3</v>
      </c>
      <c r="E2392" s="2">
        <f ca="1">INDEX(Simulations!$A$1:$BK$2501, 2392, MATCH("Yr1Shock", Simulations!$A$1:$BK$1, 0))</f>
        <v>-1.1420526769539285E-2</v>
      </c>
    </row>
    <row r="2393" spans="1:5" x14ac:dyDescent="0.3">
      <c r="A2393" s="2">
        <f ca="1">INDEX(Simulations!$A$1:$BK$2501, 2393, MATCH("PurchaseMultiple", Simulations!$A$1:$BK$1, 0))</f>
        <v>7.5301006940549309</v>
      </c>
      <c r="B2393" s="2">
        <f ca="1">INDEX(Simulations!$A$1:$BK$2501, 2393, MATCH("ExitMultiple", Simulations!$A$1:$BK$1, 0))</f>
        <v>7.0801409381110894</v>
      </c>
      <c r="C2393" s="2">
        <f ca="1">INDEX(Simulations!$A$1:$BK$2501, 2393, MATCH("RevCAGR", Simulations!$A$1:$BK$1, 0))</f>
        <v>2.7185087876805993E-2</v>
      </c>
      <c r="D2393" s="2">
        <f ca="1">INDEX(Simulations!$A$1:$BK$2501, 2393, MATCH("SynMargin", Simulations!$A$1:$BK$1, 0))</f>
        <v>1.1567469929930118E-2</v>
      </c>
      <c r="E2393" s="2">
        <f ca="1">INDEX(Simulations!$A$1:$BK$2501, 2393, MATCH("Yr1Shock", Simulations!$A$1:$BK$1, 0))</f>
        <v>-1.5084364685432288E-2</v>
      </c>
    </row>
    <row r="2394" spans="1:5" x14ac:dyDescent="0.3">
      <c r="A2394" s="2">
        <f ca="1">INDEX(Simulations!$A$1:$BK$2501, 2394, MATCH("PurchaseMultiple", Simulations!$A$1:$BK$1, 0))</f>
        <v>7.1186622963956125</v>
      </c>
      <c r="B2394" s="2">
        <f ca="1">INDEX(Simulations!$A$1:$BK$2501, 2394, MATCH("ExitMultiple", Simulations!$A$1:$BK$1, 0))</f>
        <v>7.2665813531037466</v>
      </c>
      <c r="C2394" s="2">
        <f ca="1">INDEX(Simulations!$A$1:$BK$2501, 2394, MATCH("RevCAGR", Simulations!$A$1:$BK$1, 0))</f>
        <v>6.4961072464427769E-2</v>
      </c>
      <c r="D2394" s="2">
        <f ca="1">INDEX(Simulations!$A$1:$BK$2501, 2394, MATCH("SynMargin", Simulations!$A$1:$BK$1, 0))</f>
        <v>2.0583337089855866E-2</v>
      </c>
      <c r="E2394" s="2">
        <f ca="1">INDEX(Simulations!$A$1:$BK$2501, 2394, MATCH("Yr1Shock", Simulations!$A$1:$BK$1, 0))</f>
        <v>-9.4408981514969102E-3</v>
      </c>
    </row>
    <row r="2395" spans="1:5" x14ac:dyDescent="0.3">
      <c r="A2395" s="2">
        <f ca="1">INDEX(Simulations!$A$1:$BK$2501, 2395, MATCH("PurchaseMultiple", Simulations!$A$1:$BK$1, 0))</f>
        <v>7.5762653061017833</v>
      </c>
      <c r="B2395" s="2">
        <f ca="1">INDEX(Simulations!$A$1:$BK$2501, 2395, MATCH("ExitMultiple", Simulations!$A$1:$BK$1, 0))</f>
        <v>6.8167350657467507</v>
      </c>
      <c r="C2395" s="2">
        <f ca="1">INDEX(Simulations!$A$1:$BK$2501, 2395, MATCH("RevCAGR", Simulations!$A$1:$BK$1, 0))</f>
        <v>-0.02</v>
      </c>
      <c r="D2395" s="2">
        <f ca="1">INDEX(Simulations!$A$1:$BK$2501, 2395, MATCH("SynMargin", Simulations!$A$1:$BK$1, 0))</f>
        <v>1.1847659657307517E-2</v>
      </c>
      <c r="E2395" s="2">
        <f ca="1">INDEX(Simulations!$A$1:$BK$2501, 2395, MATCH("Yr1Shock", Simulations!$A$1:$BK$1, 0))</f>
        <v>2.4548175212203999E-2</v>
      </c>
    </row>
    <row r="2396" spans="1:5" x14ac:dyDescent="0.3">
      <c r="A2396" s="2">
        <f ca="1">INDEX(Simulations!$A$1:$BK$2501, 2396, MATCH("PurchaseMultiple", Simulations!$A$1:$BK$1, 0))</f>
        <v>7.6235335031911529</v>
      </c>
      <c r="B2396" s="2">
        <f ca="1">INDEX(Simulations!$A$1:$BK$2501, 2396, MATCH("ExitMultiple", Simulations!$A$1:$BK$1, 0))</f>
        <v>8.2998466498128423</v>
      </c>
      <c r="C2396" s="2">
        <f ca="1">INDEX(Simulations!$A$1:$BK$2501, 2396, MATCH("RevCAGR", Simulations!$A$1:$BK$1, 0))</f>
        <v>5.4325265262444952E-2</v>
      </c>
      <c r="D2396" s="2">
        <f ca="1">INDEX(Simulations!$A$1:$BK$2501, 2396, MATCH("SynMargin", Simulations!$A$1:$BK$1, 0))</f>
        <v>8.1103483915130892E-3</v>
      </c>
      <c r="E2396" s="2">
        <f ca="1">INDEX(Simulations!$A$1:$BK$2501, 2396, MATCH("Yr1Shock", Simulations!$A$1:$BK$1, 0))</f>
        <v>-4.5758699542678992E-2</v>
      </c>
    </row>
    <row r="2397" spans="1:5" x14ac:dyDescent="0.3">
      <c r="A2397" s="2">
        <f ca="1">INDEX(Simulations!$A$1:$BK$2501, 2397, MATCH("PurchaseMultiple", Simulations!$A$1:$BK$1, 0))</f>
        <v>6.8418543889107442</v>
      </c>
      <c r="B2397" s="2">
        <f ca="1">INDEX(Simulations!$A$1:$BK$2501, 2397, MATCH("ExitMultiple", Simulations!$A$1:$BK$1, 0))</f>
        <v>7.2991805745437928</v>
      </c>
      <c r="C2397" s="2">
        <f ca="1">INDEX(Simulations!$A$1:$BK$2501, 2397, MATCH("RevCAGR", Simulations!$A$1:$BK$1, 0))</f>
        <v>-2.1654427057257522E-3</v>
      </c>
      <c r="D2397" s="2">
        <f ca="1">INDEX(Simulations!$A$1:$BK$2501, 2397, MATCH("SynMargin", Simulations!$A$1:$BK$1, 0))</f>
        <v>1.2343500392955833E-2</v>
      </c>
      <c r="E2397" s="2">
        <f ca="1">INDEX(Simulations!$A$1:$BK$2501, 2397, MATCH("Yr1Shock", Simulations!$A$1:$BK$1, 0))</f>
        <v>3.0219549121703184E-2</v>
      </c>
    </row>
    <row r="2398" spans="1:5" x14ac:dyDescent="0.3">
      <c r="A2398" s="2">
        <f ca="1">INDEX(Simulations!$A$1:$BK$2501, 2398, MATCH("PurchaseMultiple", Simulations!$A$1:$BK$1, 0))</f>
        <v>7.0507708202695056</v>
      </c>
      <c r="B2398" s="2">
        <f ca="1">INDEX(Simulations!$A$1:$BK$2501, 2398, MATCH("ExitMultiple", Simulations!$A$1:$BK$1, 0))</f>
        <v>7.0610105030482657</v>
      </c>
      <c r="C2398" s="2">
        <f ca="1">INDEX(Simulations!$A$1:$BK$2501, 2398, MATCH("RevCAGR", Simulations!$A$1:$BK$1, 0))</f>
        <v>6.9912918316672901E-2</v>
      </c>
      <c r="D2398" s="2">
        <f ca="1">INDEX(Simulations!$A$1:$BK$2501, 2398, MATCH("SynMargin", Simulations!$A$1:$BK$1, 0))</f>
        <v>1.5194142173023296E-2</v>
      </c>
      <c r="E2398" s="2">
        <f ca="1">INDEX(Simulations!$A$1:$BK$2501, 2398, MATCH("Yr1Shock", Simulations!$A$1:$BK$1, 0))</f>
        <v>-1.3120086783193164E-2</v>
      </c>
    </row>
    <row r="2399" spans="1:5" x14ac:dyDescent="0.3">
      <c r="A2399" s="2">
        <f ca="1">INDEX(Simulations!$A$1:$BK$2501, 2399, MATCH("PurchaseMultiple", Simulations!$A$1:$BK$1, 0))</f>
        <v>6.295796312073997</v>
      </c>
      <c r="B2399" s="2">
        <f ca="1">INDEX(Simulations!$A$1:$BK$2501, 2399, MATCH("ExitMultiple", Simulations!$A$1:$BK$1, 0))</f>
        <v>7.7850795458552184</v>
      </c>
      <c r="C2399" s="2">
        <f ca="1">INDEX(Simulations!$A$1:$BK$2501, 2399, MATCH("RevCAGR", Simulations!$A$1:$BK$1, 0))</f>
        <v>0.12</v>
      </c>
      <c r="D2399" s="2">
        <f ca="1">INDEX(Simulations!$A$1:$BK$2501, 2399, MATCH("SynMargin", Simulations!$A$1:$BK$1, 0))</f>
        <v>1.0974115955179994E-2</v>
      </c>
      <c r="E2399" s="2">
        <f ca="1">INDEX(Simulations!$A$1:$BK$2501, 2399, MATCH("Yr1Shock", Simulations!$A$1:$BK$1, 0))</f>
        <v>4.9093277379174049E-3</v>
      </c>
    </row>
    <row r="2400" spans="1:5" x14ac:dyDescent="0.3">
      <c r="A2400" s="2">
        <f ca="1">INDEX(Simulations!$A$1:$BK$2501, 2400, MATCH("PurchaseMultiple", Simulations!$A$1:$BK$1, 0))</f>
        <v>7.1629246978220626</v>
      </c>
      <c r="B2400" s="2">
        <f ca="1">INDEX(Simulations!$A$1:$BK$2501, 2400, MATCH("ExitMultiple", Simulations!$A$1:$BK$1, 0))</f>
        <v>7.3558641097806738</v>
      </c>
      <c r="C2400" s="2">
        <f ca="1">INDEX(Simulations!$A$1:$BK$2501, 2400, MATCH("RevCAGR", Simulations!$A$1:$BK$1, 0))</f>
        <v>5.2402977628151388E-2</v>
      </c>
      <c r="D2400" s="2">
        <f ca="1">INDEX(Simulations!$A$1:$BK$2501, 2400, MATCH("SynMargin", Simulations!$A$1:$BK$1, 0))</f>
        <v>1.1765837597932625E-2</v>
      </c>
      <c r="E2400" s="2">
        <f ca="1">INDEX(Simulations!$A$1:$BK$2501, 2400, MATCH("Yr1Shock", Simulations!$A$1:$BK$1, 0))</f>
        <v>-3.0321868650725305E-2</v>
      </c>
    </row>
    <row r="2401" spans="1:5" x14ac:dyDescent="0.3">
      <c r="A2401" s="2">
        <f ca="1">INDEX(Simulations!$A$1:$BK$2501, 2401, MATCH("PurchaseMultiple", Simulations!$A$1:$BK$1, 0))</f>
        <v>6.5155308173597382</v>
      </c>
      <c r="B2401" s="2">
        <f ca="1">INDEX(Simulations!$A$1:$BK$2501, 2401, MATCH("ExitMultiple", Simulations!$A$1:$BK$1, 0))</f>
        <v>7.72369344386163</v>
      </c>
      <c r="C2401" s="2">
        <f ca="1">INDEX(Simulations!$A$1:$BK$2501, 2401, MATCH("RevCAGR", Simulations!$A$1:$BK$1, 0))</f>
        <v>3.8326740548005431E-2</v>
      </c>
      <c r="D2401" s="2">
        <f ca="1">INDEX(Simulations!$A$1:$BK$2501, 2401, MATCH("SynMargin", Simulations!$A$1:$BK$1, 0))</f>
        <v>7.5811528739851038E-3</v>
      </c>
      <c r="E2401" s="2">
        <f ca="1">INDEX(Simulations!$A$1:$BK$2501, 2401, MATCH("Yr1Shock", Simulations!$A$1:$BK$1, 0))</f>
        <v>3.1422387424090349E-2</v>
      </c>
    </row>
    <row r="2402" spans="1:5" x14ac:dyDescent="0.3">
      <c r="A2402" s="2">
        <f ca="1">INDEX(Simulations!$A$1:$BK$2501, 2402, MATCH("PurchaseMultiple", Simulations!$A$1:$BK$1, 0))</f>
        <v>6.5401355955992422</v>
      </c>
      <c r="B2402" s="2">
        <f ca="1">INDEX(Simulations!$A$1:$BK$2501, 2402, MATCH("ExitMultiple", Simulations!$A$1:$BK$1, 0))</f>
        <v>6.9527019718802503</v>
      </c>
      <c r="C2402" s="2">
        <f ca="1">INDEX(Simulations!$A$1:$BK$2501, 2402, MATCH("RevCAGR", Simulations!$A$1:$BK$1, 0))</f>
        <v>4.6500458730487561E-2</v>
      </c>
      <c r="D2402" s="2">
        <f ca="1">INDEX(Simulations!$A$1:$BK$2501, 2402, MATCH("SynMargin", Simulations!$A$1:$BK$1, 0))</f>
        <v>4.5294694940606452E-3</v>
      </c>
      <c r="E2402" s="2">
        <f ca="1">INDEX(Simulations!$A$1:$BK$2501, 2402, MATCH("Yr1Shock", Simulations!$A$1:$BK$1, 0))</f>
        <v>2.7190302177121786E-2</v>
      </c>
    </row>
    <row r="2403" spans="1:5" x14ac:dyDescent="0.3">
      <c r="A2403" s="2">
        <f ca="1">INDEX(Simulations!$A$1:$BK$2501, 2403, MATCH("PurchaseMultiple", Simulations!$A$1:$BK$1, 0))</f>
        <v>7.2834753546407462</v>
      </c>
      <c r="B2403" s="2">
        <f ca="1">INDEX(Simulations!$A$1:$BK$2501, 2403, MATCH("ExitMultiple", Simulations!$A$1:$BK$1, 0))</f>
        <v>7.9750241943614704</v>
      </c>
      <c r="C2403" s="2">
        <f ca="1">INDEX(Simulations!$A$1:$BK$2501, 2403, MATCH("RevCAGR", Simulations!$A$1:$BK$1, 0))</f>
        <v>6.3724616649410204E-2</v>
      </c>
      <c r="D2403" s="2">
        <f ca="1">INDEX(Simulations!$A$1:$BK$2501, 2403, MATCH("SynMargin", Simulations!$A$1:$BK$1, 0))</f>
        <v>1.1231775244999988E-2</v>
      </c>
      <c r="E2403" s="2">
        <f ca="1">INDEX(Simulations!$A$1:$BK$2501, 2403, MATCH("Yr1Shock", Simulations!$A$1:$BK$1, 0))</f>
        <v>-3.1705347250877605E-2</v>
      </c>
    </row>
    <row r="2404" spans="1:5" x14ac:dyDescent="0.3">
      <c r="A2404" s="2">
        <f ca="1">INDEX(Simulations!$A$1:$BK$2501, 2404, MATCH("PurchaseMultiple", Simulations!$A$1:$BK$1, 0))</f>
        <v>6.9665404454022388</v>
      </c>
      <c r="B2404" s="2">
        <f ca="1">INDEX(Simulations!$A$1:$BK$2501, 2404, MATCH("ExitMultiple", Simulations!$A$1:$BK$1, 0))</f>
        <v>6.6589363806457387</v>
      </c>
      <c r="C2404" s="2">
        <f ca="1">INDEX(Simulations!$A$1:$BK$2501, 2404, MATCH("RevCAGR", Simulations!$A$1:$BK$1, 0))</f>
        <v>-3.2607760132485342E-3</v>
      </c>
      <c r="D2404" s="2">
        <f ca="1">INDEX(Simulations!$A$1:$BK$2501, 2404, MATCH("SynMargin", Simulations!$A$1:$BK$1, 0))</f>
        <v>7.1343822600425447E-3</v>
      </c>
      <c r="E2404" s="2">
        <f ca="1">INDEX(Simulations!$A$1:$BK$2501, 2404, MATCH("Yr1Shock", Simulations!$A$1:$BK$1, 0))</f>
        <v>-1.4530709108158972E-2</v>
      </c>
    </row>
    <row r="2405" spans="1:5" x14ac:dyDescent="0.3">
      <c r="A2405" s="2">
        <f ca="1">INDEX(Simulations!$A$1:$BK$2501, 2405, MATCH("PurchaseMultiple", Simulations!$A$1:$BK$1, 0))</f>
        <v>6.6134306456431435</v>
      </c>
      <c r="B2405" s="2">
        <f ca="1">INDEX(Simulations!$A$1:$BK$2501, 2405, MATCH("ExitMultiple", Simulations!$A$1:$BK$1, 0))</f>
        <v>7.7946643261094124</v>
      </c>
      <c r="C2405" s="2">
        <f ca="1">INDEX(Simulations!$A$1:$BK$2501, 2405, MATCH("RevCAGR", Simulations!$A$1:$BK$1, 0))</f>
        <v>2.0669962291187928E-2</v>
      </c>
      <c r="D2405" s="2">
        <f ca="1">INDEX(Simulations!$A$1:$BK$2501, 2405, MATCH("SynMargin", Simulations!$A$1:$BK$1, 0))</f>
        <v>8.7624395436650716E-3</v>
      </c>
      <c r="E2405" s="2">
        <f ca="1">INDEX(Simulations!$A$1:$BK$2501, 2405, MATCH("Yr1Shock", Simulations!$A$1:$BK$1, 0))</f>
        <v>9.8959038196870502E-3</v>
      </c>
    </row>
    <row r="2406" spans="1:5" x14ac:dyDescent="0.3">
      <c r="A2406" s="2">
        <f ca="1">INDEX(Simulations!$A$1:$BK$2501, 2406, MATCH("PurchaseMultiple", Simulations!$A$1:$BK$1, 0))</f>
        <v>7.3436424440495074</v>
      </c>
      <c r="B2406" s="2">
        <f ca="1">INDEX(Simulations!$A$1:$BK$2501, 2406, MATCH("ExitMultiple", Simulations!$A$1:$BK$1, 0))</f>
        <v>6.9934739152634657</v>
      </c>
      <c r="C2406" s="2">
        <f ca="1">INDEX(Simulations!$A$1:$BK$2501, 2406, MATCH("RevCAGR", Simulations!$A$1:$BK$1, 0))</f>
        <v>3.8196594595584797E-2</v>
      </c>
      <c r="D2406" s="2">
        <f ca="1">INDEX(Simulations!$A$1:$BK$2501, 2406, MATCH("SynMargin", Simulations!$A$1:$BK$1, 0))</f>
        <v>8.131828579016287E-3</v>
      </c>
      <c r="E2406" s="2">
        <f ca="1">INDEX(Simulations!$A$1:$BK$2501, 2406, MATCH("Yr1Shock", Simulations!$A$1:$BK$1, 0))</f>
        <v>-2.3882989366834251E-2</v>
      </c>
    </row>
    <row r="2407" spans="1:5" x14ac:dyDescent="0.3">
      <c r="A2407" s="2">
        <f ca="1">INDEX(Simulations!$A$1:$BK$2501, 2407, MATCH("PurchaseMultiple", Simulations!$A$1:$BK$1, 0))</f>
        <v>6.8082189606414216</v>
      </c>
      <c r="B2407" s="2">
        <f ca="1">INDEX(Simulations!$A$1:$BK$2501, 2407, MATCH("ExitMultiple", Simulations!$A$1:$BK$1, 0))</f>
        <v>7.1461210344896609</v>
      </c>
      <c r="C2407" s="2">
        <f ca="1">INDEX(Simulations!$A$1:$BK$2501, 2407, MATCH("RevCAGR", Simulations!$A$1:$BK$1, 0))</f>
        <v>2.0199351961287054E-2</v>
      </c>
      <c r="D2407" s="2">
        <f ca="1">INDEX(Simulations!$A$1:$BK$2501, 2407, MATCH("SynMargin", Simulations!$A$1:$BK$1, 0))</f>
        <v>5.6984504094049959E-3</v>
      </c>
      <c r="E2407" s="2">
        <f ca="1">INDEX(Simulations!$A$1:$BK$2501, 2407, MATCH("Yr1Shock", Simulations!$A$1:$BK$1, 0))</f>
        <v>1.9092404839561785E-2</v>
      </c>
    </row>
    <row r="2408" spans="1:5" x14ac:dyDescent="0.3">
      <c r="A2408" s="2">
        <f ca="1">INDEX(Simulations!$A$1:$BK$2501, 2408, MATCH("PurchaseMultiple", Simulations!$A$1:$BK$1, 0))</f>
        <v>6.5939474045022139</v>
      </c>
      <c r="B2408" s="2">
        <f ca="1">INDEX(Simulations!$A$1:$BK$2501, 2408, MATCH("ExitMultiple", Simulations!$A$1:$BK$1, 0))</f>
        <v>7.2816962821055995</v>
      </c>
      <c r="C2408" s="2">
        <f ca="1">INDEX(Simulations!$A$1:$BK$2501, 2408, MATCH("RevCAGR", Simulations!$A$1:$BK$1, 0))</f>
        <v>4.019727048204419E-2</v>
      </c>
      <c r="D2408" s="2">
        <f ca="1">INDEX(Simulations!$A$1:$BK$2501, 2408, MATCH("SynMargin", Simulations!$A$1:$BK$1, 0))</f>
        <v>1.7443195473271569E-3</v>
      </c>
      <c r="E2408" s="2">
        <f ca="1">INDEX(Simulations!$A$1:$BK$2501, 2408, MATCH("Yr1Shock", Simulations!$A$1:$BK$1, 0))</f>
        <v>-7.2615117598090482E-3</v>
      </c>
    </row>
    <row r="2409" spans="1:5" x14ac:dyDescent="0.3">
      <c r="A2409" s="2">
        <f ca="1">INDEX(Simulations!$A$1:$BK$2501, 2409, MATCH("PurchaseMultiple", Simulations!$A$1:$BK$1, 0))</f>
        <v>6.7644857639624494</v>
      </c>
      <c r="B2409" s="2">
        <f ca="1">INDEX(Simulations!$A$1:$BK$2501, 2409, MATCH("ExitMultiple", Simulations!$A$1:$BK$1, 0))</f>
        <v>8.4264063512561478</v>
      </c>
      <c r="C2409" s="2">
        <f ca="1">INDEX(Simulations!$A$1:$BK$2501, 2409, MATCH("RevCAGR", Simulations!$A$1:$BK$1, 0))</f>
        <v>6.058278059402307E-2</v>
      </c>
      <c r="D2409" s="2">
        <f ca="1">INDEX(Simulations!$A$1:$BK$2501, 2409, MATCH("SynMargin", Simulations!$A$1:$BK$1, 0))</f>
        <v>4.8639152496729515E-3</v>
      </c>
      <c r="E2409" s="2">
        <f ca="1">INDEX(Simulations!$A$1:$BK$2501, 2409, MATCH("Yr1Shock", Simulations!$A$1:$BK$1, 0))</f>
        <v>2.6739503882690668E-2</v>
      </c>
    </row>
    <row r="2410" spans="1:5" x14ac:dyDescent="0.3">
      <c r="A2410" s="2">
        <f ca="1">INDEX(Simulations!$A$1:$BK$2501, 2410, MATCH("PurchaseMultiple", Simulations!$A$1:$BK$1, 0))</f>
        <v>6.476032401436373</v>
      </c>
      <c r="B2410" s="2">
        <f ca="1">INDEX(Simulations!$A$1:$BK$2501, 2410, MATCH("ExitMultiple", Simulations!$A$1:$BK$1, 0))</f>
        <v>7.8479653559303646</v>
      </c>
      <c r="C2410" s="2">
        <f ca="1">INDEX(Simulations!$A$1:$BK$2501, 2410, MATCH("RevCAGR", Simulations!$A$1:$BK$1, 0))</f>
        <v>6.7525086226038908E-2</v>
      </c>
      <c r="D2410" s="2">
        <f ca="1">INDEX(Simulations!$A$1:$BK$2501, 2410, MATCH("SynMargin", Simulations!$A$1:$BK$1, 0))</f>
        <v>9.2897237511361166E-3</v>
      </c>
      <c r="E2410" s="2">
        <f ca="1">INDEX(Simulations!$A$1:$BK$2501, 2410, MATCH("Yr1Shock", Simulations!$A$1:$BK$1, 0))</f>
        <v>3.1368637981403153E-3</v>
      </c>
    </row>
    <row r="2411" spans="1:5" x14ac:dyDescent="0.3">
      <c r="A2411" s="2">
        <f ca="1">INDEX(Simulations!$A$1:$BK$2501, 2411, MATCH("PurchaseMultiple", Simulations!$A$1:$BK$1, 0))</f>
        <v>6.1423857192784519</v>
      </c>
      <c r="B2411" s="2">
        <f ca="1">INDEX(Simulations!$A$1:$BK$2501, 2411, MATCH("ExitMultiple", Simulations!$A$1:$BK$1, 0))</f>
        <v>6.785243513223973</v>
      </c>
      <c r="C2411" s="2">
        <f ca="1">INDEX(Simulations!$A$1:$BK$2501, 2411, MATCH("RevCAGR", Simulations!$A$1:$BK$1, 0))</f>
        <v>2.1629762885529914E-2</v>
      </c>
      <c r="D2411" s="2">
        <f ca="1">INDEX(Simulations!$A$1:$BK$2501, 2411, MATCH("SynMargin", Simulations!$A$1:$BK$1, 0))</f>
        <v>1.7167071490165088E-2</v>
      </c>
      <c r="E2411" s="2">
        <f ca="1">INDEX(Simulations!$A$1:$BK$2501, 2411, MATCH("Yr1Shock", Simulations!$A$1:$BK$1, 0))</f>
        <v>-4.6710098690270849E-3</v>
      </c>
    </row>
    <row r="2412" spans="1:5" x14ac:dyDescent="0.3">
      <c r="A2412" s="2">
        <f ca="1">INDEX(Simulations!$A$1:$BK$2501, 2412, MATCH("PurchaseMultiple", Simulations!$A$1:$BK$1, 0))</f>
        <v>6.7806742130217321</v>
      </c>
      <c r="B2412" s="2">
        <f ca="1">INDEX(Simulations!$A$1:$BK$2501, 2412, MATCH("ExitMultiple", Simulations!$A$1:$BK$1, 0))</f>
        <v>7.1364221785611202</v>
      </c>
      <c r="C2412" s="2">
        <f ca="1">INDEX(Simulations!$A$1:$BK$2501, 2412, MATCH("RevCAGR", Simulations!$A$1:$BK$1, 0))</f>
        <v>1.7973868027915407E-2</v>
      </c>
      <c r="D2412" s="2">
        <f ca="1">INDEX(Simulations!$A$1:$BK$2501, 2412, MATCH("SynMargin", Simulations!$A$1:$BK$1, 0))</f>
        <v>1.4722848436936579E-2</v>
      </c>
      <c r="E2412" s="2">
        <f ca="1">INDEX(Simulations!$A$1:$BK$2501, 2412, MATCH("Yr1Shock", Simulations!$A$1:$BK$1, 0))</f>
        <v>1.9945396171959132E-2</v>
      </c>
    </row>
    <row r="2413" spans="1:5" x14ac:dyDescent="0.3">
      <c r="A2413" s="2">
        <f ca="1">INDEX(Simulations!$A$1:$BK$2501, 2413, MATCH("PurchaseMultiple", Simulations!$A$1:$BK$1, 0))</f>
        <v>6.8438620329885778</v>
      </c>
      <c r="B2413" s="2">
        <f ca="1">INDEX(Simulations!$A$1:$BK$2501, 2413, MATCH("ExitMultiple", Simulations!$A$1:$BK$1, 0))</f>
        <v>7.5982797365893333</v>
      </c>
      <c r="C2413" s="2">
        <f ca="1">INDEX(Simulations!$A$1:$BK$2501, 2413, MATCH("RevCAGR", Simulations!$A$1:$BK$1, 0))</f>
        <v>4.5627657556192039E-2</v>
      </c>
      <c r="D2413" s="2">
        <f ca="1">INDEX(Simulations!$A$1:$BK$2501, 2413, MATCH("SynMargin", Simulations!$A$1:$BK$1, 0))</f>
        <v>9.1243590554790973E-3</v>
      </c>
      <c r="E2413" s="2">
        <f ca="1">INDEX(Simulations!$A$1:$BK$2501, 2413, MATCH("Yr1Shock", Simulations!$A$1:$BK$1, 0))</f>
        <v>7.9244606677589188E-3</v>
      </c>
    </row>
    <row r="2414" spans="1:5" x14ac:dyDescent="0.3">
      <c r="A2414" s="2">
        <f ca="1">INDEX(Simulations!$A$1:$BK$2501, 2414, MATCH("PurchaseMultiple", Simulations!$A$1:$BK$1, 0))</f>
        <v>6.7902904874051098</v>
      </c>
      <c r="B2414" s="2">
        <f ca="1">INDEX(Simulations!$A$1:$BK$2501, 2414, MATCH("ExitMultiple", Simulations!$A$1:$BK$1, 0))</f>
        <v>7.6044889485176732</v>
      </c>
      <c r="C2414" s="2">
        <f ca="1">INDEX(Simulations!$A$1:$BK$2501, 2414, MATCH("RevCAGR", Simulations!$A$1:$BK$1, 0))</f>
        <v>1.8079763242892743E-2</v>
      </c>
      <c r="D2414" s="2">
        <f ca="1">INDEX(Simulations!$A$1:$BK$2501, 2414, MATCH("SynMargin", Simulations!$A$1:$BK$1, 0))</f>
        <v>1.468215012778243E-2</v>
      </c>
      <c r="E2414" s="2">
        <f ca="1">INDEX(Simulations!$A$1:$BK$2501, 2414, MATCH("Yr1Shock", Simulations!$A$1:$BK$1, 0))</f>
        <v>7.2599546545770472E-4</v>
      </c>
    </row>
    <row r="2415" spans="1:5" x14ac:dyDescent="0.3">
      <c r="A2415" s="2">
        <f ca="1">INDEX(Simulations!$A$1:$BK$2501, 2415, MATCH("PurchaseMultiple", Simulations!$A$1:$BK$1, 0))</f>
        <v>7.1432542638483962</v>
      </c>
      <c r="B2415" s="2">
        <f ca="1">INDEX(Simulations!$A$1:$BK$2501, 2415, MATCH("ExitMultiple", Simulations!$A$1:$BK$1, 0))</f>
        <v>6.9421314974675061</v>
      </c>
      <c r="C2415" s="2">
        <f ca="1">INDEX(Simulations!$A$1:$BK$2501, 2415, MATCH("RevCAGR", Simulations!$A$1:$BK$1, 0))</f>
        <v>5.0158731773596144E-2</v>
      </c>
      <c r="D2415" s="2">
        <f ca="1">INDEX(Simulations!$A$1:$BK$2501, 2415, MATCH("SynMargin", Simulations!$A$1:$BK$1, 0))</f>
        <v>9.6689914688725832E-3</v>
      </c>
      <c r="E2415" s="2">
        <f ca="1">INDEX(Simulations!$A$1:$BK$2501, 2415, MATCH("Yr1Shock", Simulations!$A$1:$BK$1, 0))</f>
        <v>6.8658101826275005E-4</v>
      </c>
    </row>
    <row r="2416" spans="1:5" x14ac:dyDescent="0.3">
      <c r="A2416" s="2">
        <f ca="1">INDEX(Simulations!$A$1:$BK$2501, 2416, MATCH("PurchaseMultiple", Simulations!$A$1:$BK$1, 0))</f>
        <v>6.9549231699562784</v>
      </c>
      <c r="B2416" s="2">
        <f ca="1">INDEX(Simulations!$A$1:$BK$2501, 2416, MATCH("ExitMultiple", Simulations!$A$1:$BK$1, 0))</f>
        <v>7.9925158785130108</v>
      </c>
      <c r="C2416" s="2">
        <f ca="1">INDEX(Simulations!$A$1:$BK$2501, 2416, MATCH("RevCAGR", Simulations!$A$1:$BK$1, 0))</f>
        <v>4.4566429070741258E-2</v>
      </c>
      <c r="D2416" s="2">
        <f ca="1">INDEX(Simulations!$A$1:$BK$2501, 2416, MATCH("SynMargin", Simulations!$A$1:$BK$1, 0))</f>
        <v>9.2567980781937589E-3</v>
      </c>
      <c r="E2416" s="2">
        <f ca="1">INDEX(Simulations!$A$1:$BK$2501, 2416, MATCH("Yr1Shock", Simulations!$A$1:$BK$1, 0))</f>
        <v>1.1339319358386644E-2</v>
      </c>
    </row>
    <row r="2417" spans="1:5" x14ac:dyDescent="0.3">
      <c r="A2417" s="2">
        <f ca="1">INDEX(Simulations!$A$1:$BK$2501, 2417, MATCH("PurchaseMultiple", Simulations!$A$1:$BK$1, 0))</f>
        <v>7.4445988787962349</v>
      </c>
      <c r="B2417" s="2">
        <f ca="1">INDEX(Simulations!$A$1:$BK$2501, 2417, MATCH("ExitMultiple", Simulations!$A$1:$BK$1, 0))</f>
        <v>8.1819807761245578</v>
      </c>
      <c r="C2417" s="2">
        <f ca="1">INDEX(Simulations!$A$1:$BK$2501, 2417, MATCH("RevCAGR", Simulations!$A$1:$BK$1, 0))</f>
        <v>8.2731698132401388E-2</v>
      </c>
      <c r="D2417" s="2">
        <f ca="1">INDEX(Simulations!$A$1:$BK$2501, 2417, MATCH("SynMargin", Simulations!$A$1:$BK$1, 0))</f>
        <v>0</v>
      </c>
      <c r="E2417" s="2">
        <f ca="1">INDEX(Simulations!$A$1:$BK$2501, 2417, MATCH("Yr1Shock", Simulations!$A$1:$BK$1, 0))</f>
        <v>-2.8911851483151018E-2</v>
      </c>
    </row>
    <row r="2418" spans="1:5" x14ac:dyDescent="0.3">
      <c r="A2418" s="2">
        <f ca="1">INDEX(Simulations!$A$1:$BK$2501, 2418, MATCH("PurchaseMultiple", Simulations!$A$1:$BK$1, 0))</f>
        <v>7.5118238842786189</v>
      </c>
      <c r="B2418" s="2">
        <f ca="1">INDEX(Simulations!$A$1:$BK$2501, 2418, MATCH("ExitMultiple", Simulations!$A$1:$BK$1, 0))</f>
        <v>7.9610474313158219</v>
      </c>
      <c r="C2418" s="2">
        <f ca="1">INDEX(Simulations!$A$1:$BK$2501, 2418, MATCH("RevCAGR", Simulations!$A$1:$BK$1, 0))</f>
        <v>6.2032584157684624E-2</v>
      </c>
      <c r="D2418" s="2">
        <f ca="1">INDEX(Simulations!$A$1:$BK$2501, 2418, MATCH("SynMargin", Simulations!$A$1:$BK$1, 0))</f>
        <v>4.8932570072828209E-3</v>
      </c>
      <c r="E2418" s="2">
        <f ca="1">INDEX(Simulations!$A$1:$BK$2501, 2418, MATCH("Yr1Shock", Simulations!$A$1:$BK$1, 0))</f>
        <v>-1.8275867151897694E-3</v>
      </c>
    </row>
    <row r="2419" spans="1:5" x14ac:dyDescent="0.3">
      <c r="A2419" s="2">
        <f ca="1">INDEX(Simulations!$A$1:$BK$2501, 2419, MATCH("PurchaseMultiple", Simulations!$A$1:$BK$1, 0))</f>
        <v>6.5212324353177697</v>
      </c>
      <c r="B2419" s="2">
        <f ca="1">INDEX(Simulations!$A$1:$BK$2501, 2419, MATCH("ExitMultiple", Simulations!$A$1:$BK$1, 0))</f>
        <v>7.710952389253217</v>
      </c>
      <c r="C2419" s="2">
        <f ca="1">INDEX(Simulations!$A$1:$BK$2501, 2419, MATCH("RevCAGR", Simulations!$A$1:$BK$1, 0))</f>
        <v>8.5039531853142031E-2</v>
      </c>
      <c r="D2419" s="2">
        <f ca="1">INDEX(Simulations!$A$1:$BK$2501, 2419, MATCH("SynMargin", Simulations!$A$1:$BK$1, 0))</f>
        <v>3.9225436803346217E-3</v>
      </c>
      <c r="E2419" s="2">
        <f ca="1">INDEX(Simulations!$A$1:$BK$2501, 2419, MATCH("Yr1Shock", Simulations!$A$1:$BK$1, 0))</f>
        <v>-4.6527416932282215E-3</v>
      </c>
    </row>
    <row r="2420" spans="1:5" x14ac:dyDescent="0.3">
      <c r="A2420" s="2">
        <f ca="1">INDEX(Simulations!$A$1:$BK$2501, 2420, MATCH("PurchaseMultiple", Simulations!$A$1:$BK$1, 0))</f>
        <v>7.2222213604721954</v>
      </c>
      <c r="B2420" s="2">
        <f ca="1">INDEX(Simulations!$A$1:$BK$2501, 2420, MATCH("ExitMultiple", Simulations!$A$1:$BK$1, 0))</f>
        <v>8.375165940895954</v>
      </c>
      <c r="C2420" s="2">
        <f ca="1">INDEX(Simulations!$A$1:$BK$2501, 2420, MATCH("RevCAGR", Simulations!$A$1:$BK$1, 0))</f>
        <v>4.3751984399318142E-2</v>
      </c>
      <c r="D2420" s="2">
        <f ca="1">INDEX(Simulations!$A$1:$BK$2501, 2420, MATCH("SynMargin", Simulations!$A$1:$BK$1, 0))</f>
        <v>1.3287947067180441E-2</v>
      </c>
      <c r="E2420" s="2">
        <f ca="1">INDEX(Simulations!$A$1:$BK$2501, 2420, MATCH("Yr1Shock", Simulations!$A$1:$BK$1, 0))</f>
        <v>5.0713949210773939E-3</v>
      </c>
    </row>
    <row r="2421" spans="1:5" x14ac:dyDescent="0.3">
      <c r="A2421" s="2">
        <f ca="1">INDEX(Simulations!$A$1:$BK$2501, 2421, MATCH("PurchaseMultiple", Simulations!$A$1:$BK$1, 0))</f>
        <v>7.3877356289541067</v>
      </c>
      <c r="B2421" s="2">
        <f ca="1">INDEX(Simulations!$A$1:$BK$2501, 2421, MATCH("ExitMultiple", Simulations!$A$1:$BK$1, 0))</f>
        <v>7.1390857458914914</v>
      </c>
      <c r="C2421" s="2">
        <f ca="1">INDEX(Simulations!$A$1:$BK$2501, 2421, MATCH("RevCAGR", Simulations!$A$1:$BK$1, 0))</f>
        <v>7.9636165815921645E-2</v>
      </c>
      <c r="D2421" s="2">
        <f ca="1">INDEX(Simulations!$A$1:$BK$2501, 2421, MATCH("SynMargin", Simulations!$A$1:$BK$1, 0))</f>
        <v>1.3657003146009426E-2</v>
      </c>
      <c r="E2421" s="2">
        <f ca="1">INDEX(Simulations!$A$1:$BK$2501, 2421, MATCH("Yr1Shock", Simulations!$A$1:$BK$1, 0))</f>
        <v>-2.4345519345305173E-2</v>
      </c>
    </row>
    <row r="2422" spans="1:5" x14ac:dyDescent="0.3">
      <c r="A2422" s="2">
        <f ca="1">INDEX(Simulations!$A$1:$BK$2501, 2422, MATCH("PurchaseMultiple", Simulations!$A$1:$BK$1, 0))</f>
        <v>7.7120277940207016</v>
      </c>
      <c r="B2422" s="2">
        <f ca="1">INDEX(Simulations!$A$1:$BK$2501, 2422, MATCH("ExitMultiple", Simulations!$A$1:$BK$1, 0))</f>
        <v>7.5628299736087978</v>
      </c>
      <c r="C2422" s="2">
        <f ca="1">INDEX(Simulations!$A$1:$BK$2501, 2422, MATCH("RevCAGR", Simulations!$A$1:$BK$1, 0))</f>
        <v>3.6427690940717267E-2</v>
      </c>
      <c r="D2422" s="2">
        <f ca="1">INDEX(Simulations!$A$1:$BK$2501, 2422, MATCH("SynMargin", Simulations!$A$1:$BK$1, 0))</f>
        <v>1.3891289932256277E-2</v>
      </c>
      <c r="E2422" s="2">
        <f ca="1">INDEX(Simulations!$A$1:$BK$2501, 2422, MATCH("Yr1Shock", Simulations!$A$1:$BK$1, 0))</f>
        <v>3.2338462794381941E-2</v>
      </c>
    </row>
    <row r="2423" spans="1:5" x14ac:dyDescent="0.3">
      <c r="A2423" s="2">
        <f ca="1">INDEX(Simulations!$A$1:$BK$2501, 2423, MATCH("PurchaseMultiple", Simulations!$A$1:$BK$1, 0))</f>
        <v>6.8385250348735918</v>
      </c>
      <c r="B2423" s="2">
        <f ca="1">INDEX(Simulations!$A$1:$BK$2501, 2423, MATCH("ExitMultiple", Simulations!$A$1:$BK$1, 0))</f>
        <v>8.2490246772964948</v>
      </c>
      <c r="C2423" s="2">
        <f ca="1">INDEX(Simulations!$A$1:$BK$2501, 2423, MATCH("RevCAGR", Simulations!$A$1:$BK$1, 0))</f>
        <v>5.9512173750538022E-2</v>
      </c>
      <c r="D2423" s="2">
        <f ca="1">INDEX(Simulations!$A$1:$BK$2501, 2423, MATCH("SynMargin", Simulations!$A$1:$BK$1, 0))</f>
        <v>8.0690299760871782E-3</v>
      </c>
      <c r="E2423" s="2">
        <f ca="1">INDEX(Simulations!$A$1:$BK$2501, 2423, MATCH("Yr1Shock", Simulations!$A$1:$BK$1, 0))</f>
        <v>-2.3301791341261757E-2</v>
      </c>
    </row>
    <row r="2424" spans="1:5" x14ac:dyDescent="0.3">
      <c r="A2424" s="2">
        <f ca="1">INDEX(Simulations!$A$1:$BK$2501, 2424, MATCH("PurchaseMultiple", Simulations!$A$1:$BK$1, 0))</f>
        <v>7.3039306339369769</v>
      </c>
      <c r="B2424" s="2">
        <f ca="1">INDEX(Simulations!$A$1:$BK$2501, 2424, MATCH("ExitMultiple", Simulations!$A$1:$BK$1, 0))</f>
        <v>7.6955911061257058</v>
      </c>
      <c r="C2424" s="2">
        <f ca="1">INDEX(Simulations!$A$1:$BK$2501, 2424, MATCH("RevCAGR", Simulations!$A$1:$BK$1, 0))</f>
        <v>8.4175249368697996E-3</v>
      </c>
      <c r="D2424" s="2">
        <f ca="1">INDEX(Simulations!$A$1:$BK$2501, 2424, MATCH("SynMargin", Simulations!$A$1:$BK$1, 0))</f>
        <v>6.0613067546659511E-3</v>
      </c>
      <c r="E2424" s="2">
        <f ca="1">INDEX(Simulations!$A$1:$BK$2501, 2424, MATCH("Yr1Shock", Simulations!$A$1:$BK$1, 0))</f>
        <v>1.4442821768982763E-2</v>
      </c>
    </row>
    <row r="2425" spans="1:5" x14ac:dyDescent="0.3">
      <c r="A2425" s="2">
        <f ca="1">INDEX(Simulations!$A$1:$BK$2501, 2425, MATCH("PurchaseMultiple", Simulations!$A$1:$BK$1, 0))</f>
        <v>6.6940918688505233</v>
      </c>
      <c r="B2425" s="2">
        <f ca="1">INDEX(Simulations!$A$1:$BK$2501, 2425, MATCH("ExitMultiple", Simulations!$A$1:$BK$1, 0))</f>
        <v>7.9001427592716169</v>
      </c>
      <c r="C2425" s="2">
        <f ca="1">INDEX(Simulations!$A$1:$BK$2501, 2425, MATCH("RevCAGR", Simulations!$A$1:$BK$1, 0))</f>
        <v>8.8398966002918716E-2</v>
      </c>
      <c r="D2425" s="2">
        <f ca="1">INDEX(Simulations!$A$1:$BK$2501, 2425, MATCH("SynMargin", Simulations!$A$1:$BK$1, 0))</f>
        <v>6.4095480434510094E-3</v>
      </c>
      <c r="E2425" s="2">
        <f ca="1">INDEX(Simulations!$A$1:$BK$2501, 2425, MATCH("Yr1Shock", Simulations!$A$1:$BK$1, 0))</f>
        <v>-4.47662947351721E-3</v>
      </c>
    </row>
    <row r="2426" spans="1:5" x14ac:dyDescent="0.3">
      <c r="A2426" s="2">
        <f ca="1">INDEX(Simulations!$A$1:$BK$2501, 2426, MATCH("PurchaseMultiple", Simulations!$A$1:$BK$1, 0))</f>
        <v>7.6901515895091972</v>
      </c>
      <c r="B2426" s="2">
        <f ca="1">INDEX(Simulations!$A$1:$BK$2501, 2426, MATCH("ExitMultiple", Simulations!$A$1:$BK$1, 0))</f>
        <v>7.2794028491415723</v>
      </c>
      <c r="C2426" s="2">
        <f ca="1">INDEX(Simulations!$A$1:$BK$2501, 2426, MATCH("RevCAGR", Simulations!$A$1:$BK$1, 0))</f>
        <v>3.598391383870414E-2</v>
      </c>
      <c r="D2426" s="2">
        <f ca="1">INDEX(Simulations!$A$1:$BK$2501, 2426, MATCH("SynMargin", Simulations!$A$1:$BK$1, 0))</f>
        <v>1.9566181971480238E-2</v>
      </c>
      <c r="E2426" s="2">
        <f ca="1">INDEX(Simulations!$A$1:$BK$2501, 2426, MATCH("Yr1Shock", Simulations!$A$1:$BK$1, 0))</f>
        <v>1.6930791186083097E-2</v>
      </c>
    </row>
    <row r="2427" spans="1:5" x14ac:dyDescent="0.3">
      <c r="A2427" s="2">
        <f ca="1">INDEX(Simulations!$A$1:$BK$2501, 2427, MATCH("PurchaseMultiple", Simulations!$A$1:$BK$1, 0))</f>
        <v>7.6975116517109381</v>
      </c>
      <c r="B2427" s="2">
        <f ca="1">INDEX(Simulations!$A$1:$BK$2501, 2427, MATCH("ExitMultiple", Simulations!$A$1:$BK$1, 0))</f>
        <v>7.4300290671037441</v>
      </c>
      <c r="C2427" s="2">
        <f ca="1">INDEX(Simulations!$A$1:$BK$2501, 2427, MATCH("RevCAGR", Simulations!$A$1:$BK$1, 0))</f>
        <v>4.2705278521287283E-2</v>
      </c>
      <c r="D2427" s="2">
        <f ca="1">INDEX(Simulations!$A$1:$BK$2501, 2427, MATCH("SynMargin", Simulations!$A$1:$BK$1, 0))</f>
        <v>1.4433357443333187E-2</v>
      </c>
      <c r="E2427" s="2">
        <f ca="1">INDEX(Simulations!$A$1:$BK$2501, 2427, MATCH("Yr1Shock", Simulations!$A$1:$BK$1, 0))</f>
        <v>3.6979899012322341E-2</v>
      </c>
    </row>
    <row r="2428" spans="1:5" x14ac:dyDescent="0.3">
      <c r="A2428" s="2">
        <f ca="1">INDEX(Simulations!$A$1:$BK$2501, 2428, MATCH("PurchaseMultiple", Simulations!$A$1:$BK$1, 0))</f>
        <v>7.3091304679260256</v>
      </c>
      <c r="B2428" s="2">
        <f ca="1">INDEX(Simulations!$A$1:$BK$2501, 2428, MATCH("ExitMultiple", Simulations!$A$1:$BK$1, 0))</f>
        <v>7.3251358777038682</v>
      </c>
      <c r="C2428" s="2">
        <f ca="1">INDEX(Simulations!$A$1:$BK$2501, 2428, MATCH("RevCAGR", Simulations!$A$1:$BK$1, 0))</f>
        <v>9.2496257400787707E-2</v>
      </c>
      <c r="D2428" s="2">
        <f ca="1">INDEX(Simulations!$A$1:$BK$2501, 2428, MATCH("SynMargin", Simulations!$A$1:$BK$1, 0))</f>
        <v>1.6389729115967623E-2</v>
      </c>
      <c r="E2428" s="2">
        <f ca="1">INDEX(Simulations!$A$1:$BK$2501, 2428, MATCH("Yr1Shock", Simulations!$A$1:$BK$1, 0))</f>
        <v>-2.0126732648952022E-2</v>
      </c>
    </row>
    <row r="2429" spans="1:5" x14ac:dyDescent="0.3">
      <c r="A2429" s="2">
        <f ca="1">INDEX(Simulations!$A$1:$BK$2501, 2429, MATCH("PurchaseMultiple", Simulations!$A$1:$BK$1, 0))</f>
        <v>7.6884660375313825</v>
      </c>
      <c r="B2429" s="2">
        <f ca="1">INDEX(Simulations!$A$1:$BK$2501, 2429, MATCH("ExitMultiple", Simulations!$A$1:$BK$1, 0))</f>
        <v>7.6902202453983115</v>
      </c>
      <c r="C2429" s="2">
        <f ca="1">INDEX(Simulations!$A$1:$BK$2501, 2429, MATCH("RevCAGR", Simulations!$A$1:$BK$1, 0))</f>
        <v>5.4149476578224554E-2</v>
      </c>
      <c r="D2429" s="2">
        <f ca="1">INDEX(Simulations!$A$1:$BK$2501, 2429, MATCH("SynMargin", Simulations!$A$1:$BK$1, 0))</f>
        <v>5.1761458050070264E-3</v>
      </c>
      <c r="E2429" s="2">
        <f ca="1">INDEX(Simulations!$A$1:$BK$2501, 2429, MATCH("Yr1Shock", Simulations!$A$1:$BK$1, 0))</f>
        <v>-1.2713220288404731E-2</v>
      </c>
    </row>
    <row r="2430" spans="1:5" x14ac:dyDescent="0.3">
      <c r="A2430" s="2">
        <f ca="1">INDEX(Simulations!$A$1:$BK$2501, 2430, MATCH("PurchaseMultiple", Simulations!$A$1:$BK$1, 0))</f>
        <v>7.923810225152172</v>
      </c>
      <c r="B2430" s="2">
        <f ca="1">INDEX(Simulations!$A$1:$BK$2501, 2430, MATCH("ExitMultiple", Simulations!$A$1:$BK$1, 0))</f>
        <v>7.9879499929558255</v>
      </c>
      <c r="C2430" s="2">
        <f ca="1">INDEX(Simulations!$A$1:$BK$2501, 2430, MATCH("RevCAGR", Simulations!$A$1:$BK$1, 0))</f>
        <v>1.9727641740946364E-3</v>
      </c>
      <c r="D2430" s="2">
        <f ca="1">INDEX(Simulations!$A$1:$BK$2501, 2430, MATCH("SynMargin", Simulations!$A$1:$BK$1, 0))</f>
        <v>3.5896735832861137E-3</v>
      </c>
      <c r="E2430" s="2">
        <f ca="1">INDEX(Simulations!$A$1:$BK$2501, 2430, MATCH("Yr1Shock", Simulations!$A$1:$BK$1, 0))</f>
        <v>3.5929530420510856E-2</v>
      </c>
    </row>
    <row r="2431" spans="1:5" x14ac:dyDescent="0.3">
      <c r="A2431" s="2">
        <f ca="1">INDEX(Simulations!$A$1:$BK$2501, 2431, MATCH("PurchaseMultiple", Simulations!$A$1:$BK$1, 0))</f>
        <v>7.2226989063236671</v>
      </c>
      <c r="B2431" s="2">
        <f ca="1">INDEX(Simulations!$A$1:$BK$2501, 2431, MATCH("ExitMultiple", Simulations!$A$1:$BK$1, 0))</f>
        <v>7.0197547905288982</v>
      </c>
      <c r="C2431" s="2">
        <f ca="1">INDEX(Simulations!$A$1:$BK$2501, 2431, MATCH("RevCAGR", Simulations!$A$1:$BK$1, 0))</f>
        <v>-6.8634425883253788E-3</v>
      </c>
      <c r="D2431" s="2">
        <f ca="1">INDEX(Simulations!$A$1:$BK$2501, 2431, MATCH("SynMargin", Simulations!$A$1:$BK$1, 0))</f>
        <v>1.4603967424804989E-2</v>
      </c>
      <c r="E2431" s="2">
        <f ca="1">INDEX(Simulations!$A$1:$BK$2501, 2431, MATCH("Yr1Shock", Simulations!$A$1:$BK$1, 0))</f>
        <v>-1.0373408240827093E-2</v>
      </c>
    </row>
    <row r="2432" spans="1:5" x14ac:dyDescent="0.3">
      <c r="A2432" s="2">
        <f ca="1">INDEX(Simulations!$A$1:$BK$2501, 2432, MATCH("PurchaseMultiple", Simulations!$A$1:$BK$1, 0))</f>
        <v>6.7051915481453861</v>
      </c>
      <c r="B2432" s="2">
        <f ca="1">INDEX(Simulations!$A$1:$BK$2501, 2432, MATCH("ExitMultiple", Simulations!$A$1:$BK$1, 0))</f>
        <v>7.6251103086310152</v>
      </c>
      <c r="C2432" s="2">
        <f ca="1">INDEX(Simulations!$A$1:$BK$2501, 2432, MATCH("RevCAGR", Simulations!$A$1:$BK$1, 0))</f>
        <v>0.10324694925252489</v>
      </c>
      <c r="D2432" s="2">
        <f ca="1">INDEX(Simulations!$A$1:$BK$2501, 2432, MATCH("SynMargin", Simulations!$A$1:$BK$1, 0))</f>
        <v>7.6422646795811346E-3</v>
      </c>
      <c r="E2432" s="2">
        <f ca="1">INDEX(Simulations!$A$1:$BK$2501, 2432, MATCH("Yr1Shock", Simulations!$A$1:$BK$1, 0))</f>
        <v>-1.2103768820447024E-2</v>
      </c>
    </row>
    <row r="2433" spans="1:5" x14ac:dyDescent="0.3">
      <c r="A2433" s="2">
        <f ca="1">INDEX(Simulations!$A$1:$BK$2501, 2433, MATCH("PurchaseMultiple", Simulations!$A$1:$BK$1, 0))</f>
        <v>6.8707395285355117</v>
      </c>
      <c r="B2433" s="2">
        <f ca="1">INDEX(Simulations!$A$1:$BK$2501, 2433, MATCH("ExitMultiple", Simulations!$A$1:$BK$1, 0))</f>
        <v>7.6832499971465182</v>
      </c>
      <c r="C2433" s="2">
        <f ca="1">INDEX(Simulations!$A$1:$BK$2501, 2433, MATCH("RevCAGR", Simulations!$A$1:$BK$1, 0))</f>
        <v>5.2905032213316473E-2</v>
      </c>
      <c r="D2433" s="2">
        <f ca="1">INDEX(Simulations!$A$1:$BK$2501, 2433, MATCH("SynMargin", Simulations!$A$1:$BK$1, 0))</f>
        <v>1.5876746767620346E-2</v>
      </c>
      <c r="E2433" s="2">
        <f ca="1">INDEX(Simulations!$A$1:$BK$2501, 2433, MATCH("Yr1Shock", Simulations!$A$1:$BK$1, 0))</f>
        <v>9.7926444412991427E-3</v>
      </c>
    </row>
    <row r="2434" spans="1:5" x14ac:dyDescent="0.3">
      <c r="A2434" s="2">
        <f ca="1">INDEX(Simulations!$A$1:$BK$2501, 2434, MATCH("PurchaseMultiple", Simulations!$A$1:$BK$1, 0))</f>
        <v>6.7007257196971635</v>
      </c>
      <c r="B2434" s="2">
        <f ca="1">INDEX(Simulations!$A$1:$BK$2501, 2434, MATCH("ExitMultiple", Simulations!$A$1:$BK$1, 0))</f>
        <v>7.694968224843481</v>
      </c>
      <c r="C2434" s="2">
        <f ca="1">INDEX(Simulations!$A$1:$BK$2501, 2434, MATCH("RevCAGR", Simulations!$A$1:$BK$1, 0))</f>
        <v>5.2890529786587037E-2</v>
      </c>
      <c r="D2434" s="2">
        <f ca="1">INDEX(Simulations!$A$1:$BK$2501, 2434, MATCH("SynMargin", Simulations!$A$1:$BK$1, 0))</f>
        <v>3.9797879776649961E-3</v>
      </c>
      <c r="E2434" s="2">
        <f ca="1">INDEX(Simulations!$A$1:$BK$2501, 2434, MATCH("Yr1Shock", Simulations!$A$1:$BK$1, 0))</f>
        <v>4.8129217693686456E-3</v>
      </c>
    </row>
    <row r="2435" spans="1:5" x14ac:dyDescent="0.3">
      <c r="A2435" s="2">
        <f ca="1">INDEX(Simulations!$A$1:$BK$2501, 2435, MATCH("PurchaseMultiple", Simulations!$A$1:$BK$1, 0))</f>
        <v>7.1038456975696587</v>
      </c>
      <c r="B2435" s="2">
        <f ca="1">INDEX(Simulations!$A$1:$BK$2501, 2435, MATCH("ExitMultiple", Simulations!$A$1:$BK$1, 0))</f>
        <v>7.4727036114927134</v>
      </c>
      <c r="C2435" s="2">
        <f ca="1">INDEX(Simulations!$A$1:$BK$2501, 2435, MATCH("RevCAGR", Simulations!$A$1:$BK$1, 0))</f>
        <v>7.2395138231762898E-2</v>
      </c>
      <c r="D2435" s="2">
        <f ca="1">INDEX(Simulations!$A$1:$BK$2501, 2435, MATCH("SynMargin", Simulations!$A$1:$BK$1, 0))</f>
        <v>5.4953486839745998E-3</v>
      </c>
      <c r="E2435" s="2">
        <f ca="1">INDEX(Simulations!$A$1:$BK$2501, 2435, MATCH("Yr1Shock", Simulations!$A$1:$BK$1, 0))</f>
        <v>7.498252323126996E-3</v>
      </c>
    </row>
    <row r="2436" spans="1:5" x14ac:dyDescent="0.3">
      <c r="A2436" s="2">
        <f ca="1">INDEX(Simulations!$A$1:$BK$2501, 2436, MATCH("PurchaseMultiple", Simulations!$A$1:$BK$1, 0))</f>
        <v>6.6983506276226539</v>
      </c>
      <c r="B2436" s="2">
        <f ca="1">INDEX(Simulations!$A$1:$BK$2501, 2436, MATCH("ExitMultiple", Simulations!$A$1:$BK$1, 0))</f>
        <v>7.2459460017977833</v>
      </c>
      <c r="C2436" s="2">
        <f ca="1">INDEX(Simulations!$A$1:$BK$2501, 2436, MATCH("RevCAGR", Simulations!$A$1:$BK$1, 0))</f>
        <v>-1.1910966194242562E-2</v>
      </c>
      <c r="D2436" s="2">
        <f ca="1">INDEX(Simulations!$A$1:$BK$2501, 2436, MATCH("SynMargin", Simulations!$A$1:$BK$1, 0))</f>
        <v>8.6324907570612744E-3</v>
      </c>
      <c r="E2436" s="2">
        <f ca="1">INDEX(Simulations!$A$1:$BK$2501, 2436, MATCH("Yr1Shock", Simulations!$A$1:$BK$1, 0))</f>
        <v>1.6380574668244344E-3</v>
      </c>
    </row>
    <row r="2437" spans="1:5" x14ac:dyDescent="0.3">
      <c r="A2437" s="2">
        <f ca="1">INDEX(Simulations!$A$1:$BK$2501, 2437, MATCH("PurchaseMultiple", Simulations!$A$1:$BK$1, 0))</f>
        <v>7.2681013921404176</v>
      </c>
      <c r="B2437" s="2">
        <f ca="1">INDEX(Simulations!$A$1:$BK$2501, 2437, MATCH("ExitMultiple", Simulations!$A$1:$BK$1, 0))</f>
        <v>6.6828879934466254</v>
      </c>
      <c r="C2437" s="2">
        <f ca="1">INDEX(Simulations!$A$1:$BK$2501, 2437, MATCH("RevCAGR", Simulations!$A$1:$BK$1, 0))</f>
        <v>3.0861556664959135E-2</v>
      </c>
      <c r="D2437" s="2">
        <f ca="1">INDEX(Simulations!$A$1:$BK$2501, 2437, MATCH("SynMargin", Simulations!$A$1:$BK$1, 0))</f>
        <v>7.7245885694222256E-3</v>
      </c>
      <c r="E2437" s="2">
        <f ca="1">INDEX(Simulations!$A$1:$BK$2501, 2437, MATCH("Yr1Shock", Simulations!$A$1:$BK$1, 0))</f>
        <v>-2.4282239000028159E-2</v>
      </c>
    </row>
    <row r="2438" spans="1:5" x14ac:dyDescent="0.3">
      <c r="A2438" s="2">
        <f ca="1">INDEX(Simulations!$A$1:$BK$2501, 2438, MATCH("PurchaseMultiple", Simulations!$A$1:$BK$1, 0))</f>
        <v>6.7868401282455642</v>
      </c>
      <c r="B2438" s="2">
        <f ca="1">INDEX(Simulations!$A$1:$BK$2501, 2438, MATCH("ExitMultiple", Simulations!$A$1:$BK$1, 0))</f>
        <v>8.2422074604326916</v>
      </c>
      <c r="C2438" s="2">
        <f ca="1">INDEX(Simulations!$A$1:$BK$2501, 2438, MATCH("RevCAGR", Simulations!$A$1:$BK$1, 0))</f>
        <v>4.605854987861295E-2</v>
      </c>
      <c r="D2438" s="2">
        <f ca="1">INDEX(Simulations!$A$1:$BK$2501, 2438, MATCH("SynMargin", Simulations!$A$1:$BK$1, 0))</f>
        <v>1.4338814357626357E-2</v>
      </c>
      <c r="E2438" s="2">
        <f ca="1">INDEX(Simulations!$A$1:$BK$2501, 2438, MATCH("Yr1Shock", Simulations!$A$1:$BK$1, 0))</f>
        <v>2.1926226292922381E-3</v>
      </c>
    </row>
    <row r="2439" spans="1:5" x14ac:dyDescent="0.3">
      <c r="A2439" s="2">
        <f ca="1">INDEX(Simulations!$A$1:$BK$2501, 2439, MATCH("PurchaseMultiple", Simulations!$A$1:$BK$1, 0))</f>
        <v>7.8056372827557272</v>
      </c>
      <c r="B2439" s="2">
        <f ca="1">INDEX(Simulations!$A$1:$BK$2501, 2439, MATCH("ExitMultiple", Simulations!$A$1:$BK$1, 0))</f>
        <v>6.7547816980904285</v>
      </c>
      <c r="C2439" s="2">
        <f ca="1">INDEX(Simulations!$A$1:$BK$2501, 2439, MATCH("RevCAGR", Simulations!$A$1:$BK$1, 0))</f>
        <v>4.3419427597538252E-2</v>
      </c>
      <c r="D2439" s="2">
        <f ca="1">INDEX(Simulations!$A$1:$BK$2501, 2439, MATCH("SynMargin", Simulations!$A$1:$BK$1, 0))</f>
        <v>2.223722986988798E-3</v>
      </c>
      <c r="E2439" s="2">
        <f ca="1">INDEX(Simulations!$A$1:$BK$2501, 2439, MATCH("Yr1Shock", Simulations!$A$1:$BK$1, 0))</f>
        <v>3.5935793692217437E-2</v>
      </c>
    </row>
    <row r="2440" spans="1:5" x14ac:dyDescent="0.3">
      <c r="A2440" s="2">
        <f ca="1">INDEX(Simulations!$A$1:$BK$2501, 2440, MATCH("PurchaseMultiple", Simulations!$A$1:$BK$1, 0))</f>
        <v>7.5575085590798734</v>
      </c>
      <c r="B2440" s="2">
        <f ca="1">INDEX(Simulations!$A$1:$BK$2501, 2440, MATCH("ExitMultiple", Simulations!$A$1:$BK$1, 0))</f>
        <v>7.4798131808816493</v>
      </c>
      <c r="C2440" s="2">
        <f ca="1">INDEX(Simulations!$A$1:$BK$2501, 2440, MATCH("RevCAGR", Simulations!$A$1:$BK$1, 0))</f>
        <v>-1.3105960401875241E-3</v>
      </c>
      <c r="D2440" s="2">
        <f ca="1">INDEX(Simulations!$A$1:$BK$2501, 2440, MATCH("SynMargin", Simulations!$A$1:$BK$1, 0))</f>
        <v>4.8848851249218917E-3</v>
      </c>
      <c r="E2440" s="2">
        <f ca="1">INDEX(Simulations!$A$1:$BK$2501, 2440, MATCH("Yr1Shock", Simulations!$A$1:$BK$1, 0))</f>
        <v>-2.1748890528488149E-3</v>
      </c>
    </row>
    <row r="2441" spans="1:5" x14ac:dyDescent="0.3">
      <c r="A2441" s="2">
        <f ca="1">INDEX(Simulations!$A$1:$BK$2501, 2441, MATCH("PurchaseMultiple", Simulations!$A$1:$BK$1, 0))</f>
        <v>7.1719400944147944</v>
      </c>
      <c r="B2441" s="2">
        <f ca="1">INDEX(Simulations!$A$1:$BK$2501, 2441, MATCH("ExitMultiple", Simulations!$A$1:$BK$1, 0))</f>
        <v>7.8123889352633977</v>
      </c>
      <c r="C2441" s="2">
        <f ca="1">INDEX(Simulations!$A$1:$BK$2501, 2441, MATCH("RevCAGR", Simulations!$A$1:$BK$1, 0))</f>
        <v>1.0195833845713702E-2</v>
      </c>
      <c r="D2441" s="2">
        <f ca="1">INDEX(Simulations!$A$1:$BK$2501, 2441, MATCH("SynMargin", Simulations!$A$1:$BK$1, 0))</f>
        <v>1.1058048447304326E-2</v>
      </c>
      <c r="E2441" s="2">
        <f ca="1">INDEX(Simulations!$A$1:$BK$2501, 2441, MATCH("Yr1Shock", Simulations!$A$1:$BK$1, 0))</f>
        <v>-1.7911649502540863E-4</v>
      </c>
    </row>
    <row r="2442" spans="1:5" x14ac:dyDescent="0.3">
      <c r="A2442" s="2">
        <f ca="1">INDEX(Simulations!$A$1:$BK$2501, 2442, MATCH("PurchaseMultiple", Simulations!$A$1:$BK$1, 0))</f>
        <v>7.599977406145678</v>
      </c>
      <c r="B2442" s="2">
        <f ca="1">INDEX(Simulations!$A$1:$BK$2501, 2442, MATCH("ExitMultiple", Simulations!$A$1:$BK$1, 0))</f>
        <v>7.8316344624965479</v>
      </c>
      <c r="C2442" s="2">
        <f ca="1">INDEX(Simulations!$A$1:$BK$2501, 2442, MATCH("RevCAGR", Simulations!$A$1:$BK$1, 0))</f>
        <v>5.9332309097500716E-2</v>
      </c>
      <c r="D2442" s="2">
        <f ca="1">INDEX(Simulations!$A$1:$BK$2501, 2442, MATCH("SynMargin", Simulations!$A$1:$BK$1, 0))</f>
        <v>1.3599334827175021E-2</v>
      </c>
      <c r="E2442" s="2">
        <f ca="1">INDEX(Simulations!$A$1:$BK$2501, 2442, MATCH("Yr1Shock", Simulations!$A$1:$BK$1, 0))</f>
        <v>1.5421806688489895E-2</v>
      </c>
    </row>
    <row r="2443" spans="1:5" x14ac:dyDescent="0.3">
      <c r="A2443" s="2">
        <f ca="1">INDEX(Simulations!$A$1:$BK$2501, 2443, MATCH("PurchaseMultiple", Simulations!$A$1:$BK$1, 0))</f>
        <v>7.3814388309784276</v>
      </c>
      <c r="B2443" s="2">
        <f ca="1">INDEX(Simulations!$A$1:$BK$2501, 2443, MATCH("ExitMultiple", Simulations!$A$1:$BK$1, 0))</f>
        <v>7.8730394731157336</v>
      </c>
      <c r="C2443" s="2">
        <f ca="1">INDEX(Simulations!$A$1:$BK$2501, 2443, MATCH("RevCAGR", Simulations!$A$1:$BK$1, 0))</f>
        <v>6.571928765139963E-2</v>
      </c>
      <c r="D2443" s="2">
        <f ca="1">INDEX(Simulations!$A$1:$BK$2501, 2443, MATCH("SynMargin", Simulations!$A$1:$BK$1, 0))</f>
        <v>6.0542289698874117E-3</v>
      </c>
      <c r="E2443" s="2">
        <f ca="1">INDEX(Simulations!$A$1:$BK$2501, 2443, MATCH("Yr1Shock", Simulations!$A$1:$BK$1, 0))</f>
        <v>-2.3489019535746895E-2</v>
      </c>
    </row>
    <row r="2444" spans="1:5" x14ac:dyDescent="0.3">
      <c r="A2444" s="2">
        <f ca="1">INDEX(Simulations!$A$1:$BK$2501, 2444, MATCH("PurchaseMultiple", Simulations!$A$1:$BK$1, 0))</f>
        <v>6.5320435351218453</v>
      </c>
      <c r="B2444" s="2">
        <f ca="1">INDEX(Simulations!$A$1:$BK$2501, 2444, MATCH("ExitMultiple", Simulations!$A$1:$BK$1, 0))</f>
        <v>7.627545732006336</v>
      </c>
      <c r="C2444" s="2">
        <f ca="1">INDEX(Simulations!$A$1:$BK$2501, 2444, MATCH("RevCAGR", Simulations!$A$1:$BK$1, 0))</f>
        <v>8.6372539449826036E-2</v>
      </c>
      <c r="D2444" s="2">
        <f ca="1">INDEX(Simulations!$A$1:$BK$2501, 2444, MATCH("SynMargin", Simulations!$A$1:$BK$1, 0))</f>
        <v>1.4216022576778981E-2</v>
      </c>
      <c r="E2444" s="2">
        <f ca="1">INDEX(Simulations!$A$1:$BK$2501, 2444, MATCH("Yr1Shock", Simulations!$A$1:$BK$1, 0))</f>
        <v>-8.1912991676066677E-4</v>
      </c>
    </row>
    <row r="2445" spans="1:5" x14ac:dyDescent="0.3">
      <c r="A2445" s="2">
        <f ca="1">INDEX(Simulations!$A$1:$BK$2501, 2445, MATCH("PurchaseMultiple", Simulations!$A$1:$BK$1, 0))</f>
        <v>6.4833276685385774</v>
      </c>
      <c r="B2445" s="2">
        <f ca="1">INDEX(Simulations!$A$1:$BK$2501, 2445, MATCH("ExitMultiple", Simulations!$A$1:$BK$1, 0))</f>
        <v>7.4516963002086518</v>
      </c>
      <c r="C2445" s="2">
        <f ca="1">INDEX(Simulations!$A$1:$BK$2501, 2445, MATCH("RevCAGR", Simulations!$A$1:$BK$1, 0))</f>
        <v>7.4582619107878612E-2</v>
      </c>
      <c r="D2445" s="2">
        <f ca="1">INDEX(Simulations!$A$1:$BK$2501, 2445, MATCH("SynMargin", Simulations!$A$1:$BK$1, 0))</f>
        <v>1.3718865982557655E-2</v>
      </c>
      <c r="E2445" s="2">
        <f ca="1">INDEX(Simulations!$A$1:$BK$2501, 2445, MATCH("Yr1Shock", Simulations!$A$1:$BK$1, 0))</f>
        <v>1.6123830125058616E-3</v>
      </c>
    </row>
    <row r="2446" spans="1:5" x14ac:dyDescent="0.3">
      <c r="A2446" s="2">
        <f ca="1">INDEX(Simulations!$A$1:$BK$2501, 2446, MATCH("PurchaseMultiple", Simulations!$A$1:$BK$1, 0))</f>
        <v>6.4561618250924688</v>
      </c>
      <c r="B2446" s="2">
        <f ca="1">INDEX(Simulations!$A$1:$BK$2501, 2446, MATCH("ExitMultiple", Simulations!$A$1:$BK$1, 0))</f>
        <v>8.3200570501550981</v>
      </c>
      <c r="C2446" s="2">
        <f ca="1">INDEX(Simulations!$A$1:$BK$2501, 2446, MATCH("RevCAGR", Simulations!$A$1:$BK$1, 0))</f>
        <v>2.5493328573085103E-2</v>
      </c>
      <c r="D2446" s="2">
        <f ca="1">INDEX(Simulations!$A$1:$BK$2501, 2446, MATCH("SynMargin", Simulations!$A$1:$BK$1, 0))</f>
        <v>2.0030323629080873E-2</v>
      </c>
      <c r="E2446" s="2">
        <f ca="1">INDEX(Simulations!$A$1:$BK$2501, 2446, MATCH("Yr1Shock", Simulations!$A$1:$BK$1, 0))</f>
        <v>2.0146451999628154E-2</v>
      </c>
    </row>
    <row r="2447" spans="1:5" x14ac:dyDescent="0.3">
      <c r="A2447" s="2">
        <f ca="1">INDEX(Simulations!$A$1:$BK$2501, 2447, MATCH("PurchaseMultiple", Simulations!$A$1:$BK$1, 0))</f>
        <v>7.1687070402945157</v>
      </c>
      <c r="B2447" s="2">
        <f ca="1">INDEX(Simulations!$A$1:$BK$2501, 2447, MATCH("ExitMultiple", Simulations!$A$1:$BK$1, 0))</f>
        <v>6.9243948191607529</v>
      </c>
      <c r="C2447" s="2">
        <f ca="1">INDEX(Simulations!$A$1:$BK$2501, 2447, MATCH("RevCAGR", Simulations!$A$1:$BK$1, 0))</f>
        <v>4.8863492699376745E-2</v>
      </c>
      <c r="D2447" s="2">
        <f ca="1">INDEX(Simulations!$A$1:$BK$2501, 2447, MATCH("SynMargin", Simulations!$A$1:$BK$1, 0))</f>
        <v>1.5724288351400183E-2</v>
      </c>
      <c r="E2447" s="2">
        <f ca="1">INDEX(Simulations!$A$1:$BK$2501, 2447, MATCH("Yr1Shock", Simulations!$A$1:$BK$1, 0))</f>
        <v>-1.9958253394616349E-2</v>
      </c>
    </row>
    <row r="2448" spans="1:5" x14ac:dyDescent="0.3">
      <c r="A2448" s="2">
        <f ca="1">INDEX(Simulations!$A$1:$BK$2501, 2448, MATCH("PurchaseMultiple", Simulations!$A$1:$BK$1, 0))</f>
        <v>6.1456045551440122</v>
      </c>
      <c r="B2448" s="2">
        <f ca="1">INDEX(Simulations!$A$1:$BK$2501, 2448, MATCH("ExitMultiple", Simulations!$A$1:$BK$1, 0))</f>
        <v>7.8714024389891915</v>
      </c>
      <c r="C2448" s="2">
        <f ca="1">INDEX(Simulations!$A$1:$BK$2501, 2448, MATCH("RevCAGR", Simulations!$A$1:$BK$1, 0))</f>
        <v>9.9028949426105572E-2</v>
      </c>
      <c r="D2448" s="2">
        <f ca="1">INDEX(Simulations!$A$1:$BK$2501, 2448, MATCH("SynMargin", Simulations!$A$1:$BK$1, 0))</f>
        <v>5.8022322752361829E-3</v>
      </c>
      <c r="E2448" s="2">
        <f ca="1">INDEX(Simulations!$A$1:$BK$2501, 2448, MATCH("Yr1Shock", Simulations!$A$1:$BK$1, 0))</f>
        <v>3.188202535258337E-3</v>
      </c>
    </row>
    <row r="2449" spans="1:5" x14ac:dyDescent="0.3">
      <c r="A2449" s="2">
        <f ca="1">INDEX(Simulations!$A$1:$BK$2501, 2449, MATCH("PurchaseMultiple", Simulations!$A$1:$BK$1, 0))</f>
        <v>7.2279380848319743</v>
      </c>
      <c r="B2449" s="2">
        <f ca="1">INDEX(Simulations!$A$1:$BK$2501, 2449, MATCH("ExitMultiple", Simulations!$A$1:$BK$1, 0))</f>
        <v>8.3398454799190294</v>
      </c>
      <c r="C2449" s="2">
        <f ca="1">INDEX(Simulations!$A$1:$BK$2501, 2449, MATCH("RevCAGR", Simulations!$A$1:$BK$1, 0))</f>
        <v>-1.0072885128184245E-2</v>
      </c>
      <c r="D2449" s="2">
        <f ca="1">INDEX(Simulations!$A$1:$BK$2501, 2449, MATCH("SynMargin", Simulations!$A$1:$BK$1, 0))</f>
        <v>4.9710948407396191E-3</v>
      </c>
      <c r="E2449" s="2">
        <f ca="1">INDEX(Simulations!$A$1:$BK$2501, 2449, MATCH("Yr1Shock", Simulations!$A$1:$BK$1, 0))</f>
        <v>-1.8839214089428676E-2</v>
      </c>
    </row>
    <row r="2450" spans="1:5" x14ac:dyDescent="0.3">
      <c r="A2450" s="2">
        <f ca="1">INDEX(Simulations!$A$1:$BK$2501, 2450, MATCH("PurchaseMultiple", Simulations!$A$1:$BK$1, 0))</f>
        <v>7.1357746732023895</v>
      </c>
      <c r="B2450" s="2">
        <f ca="1">INDEX(Simulations!$A$1:$BK$2501, 2450, MATCH("ExitMultiple", Simulations!$A$1:$BK$1, 0))</f>
        <v>7.1681500026776526</v>
      </c>
      <c r="C2450" s="2">
        <f ca="1">INDEX(Simulations!$A$1:$BK$2501, 2450, MATCH("RevCAGR", Simulations!$A$1:$BK$1, 0))</f>
        <v>1.7486646456148221E-2</v>
      </c>
      <c r="D2450" s="2">
        <f ca="1">INDEX(Simulations!$A$1:$BK$2501, 2450, MATCH("SynMargin", Simulations!$A$1:$BK$1, 0))</f>
        <v>1.0438489884531787E-2</v>
      </c>
      <c r="E2450" s="2">
        <f ca="1">INDEX(Simulations!$A$1:$BK$2501, 2450, MATCH("Yr1Shock", Simulations!$A$1:$BK$1, 0))</f>
        <v>2.3458083877422049E-2</v>
      </c>
    </row>
    <row r="2451" spans="1:5" x14ac:dyDescent="0.3">
      <c r="A2451" s="2">
        <f ca="1">INDEX(Simulations!$A$1:$BK$2501, 2451, MATCH("PurchaseMultiple", Simulations!$A$1:$BK$1, 0))</f>
        <v>7.4048446999873727</v>
      </c>
      <c r="B2451" s="2">
        <f ca="1">INDEX(Simulations!$A$1:$BK$2501, 2451, MATCH("ExitMultiple", Simulations!$A$1:$BK$1, 0))</f>
        <v>7.5007918261085988</v>
      </c>
      <c r="C2451" s="2">
        <f ca="1">INDEX(Simulations!$A$1:$BK$2501, 2451, MATCH("RevCAGR", Simulations!$A$1:$BK$1, 0))</f>
        <v>4.9228033473231764E-2</v>
      </c>
      <c r="D2451" s="2">
        <f ca="1">INDEX(Simulations!$A$1:$BK$2501, 2451, MATCH("SynMargin", Simulations!$A$1:$BK$1, 0))</f>
        <v>1.5229486481176394E-2</v>
      </c>
      <c r="E2451" s="2">
        <f ca="1">INDEX(Simulations!$A$1:$BK$2501, 2451, MATCH("Yr1Shock", Simulations!$A$1:$BK$1, 0))</f>
        <v>3.0928650673774533E-4</v>
      </c>
    </row>
    <row r="2452" spans="1:5" x14ac:dyDescent="0.3">
      <c r="A2452" s="2">
        <f ca="1">INDEX(Simulations!$A$1:$BK$2501, 2452, MATCH("PurchaseMultiple", Simulations!$A$1:$BK$1, 0))</f>
        <v>7.4578429884239421</v>
      </c>
      <c r="B2452" s="2">
        <f ca="1">INDEX(Simulations!$A$1:$BK$2501, 2452, MATCH("ExitMultiple", Simulations!$A$1:$BK$1, 0))</f>
        <v>7.0179044590675854</v>
      </c>
      <c r="C2452" s="2">
        <f ca="1">INDEX(Simulations!$A$1:$BK$2501, 2452, MATCH("RevCAGR", Simulations!$A$1:$BK$1, 0))</f>
        <v>7.1945052083590089E-2</v>
      </c>
      <c r="D2452" s="2">
        <f ca="1">INDEX(Simulations!$A$1:$BK$2501, 2452, MATCH("SynMargin", Simulations!$A$1:$BK$1, 0))</f>
        <v>5.7620878105986888E-3</v>
      </c>
      <c r="E2452" s="2">
        <f ca="1">INDEX(Simulations!$A$1:$BK$2501, 2452, MATCH("Yr1Shock", Simulations!$A$1:$BK$1, 0))</f>
        <v>1.621203936974135E-2</v>
      </c>
    </row>
    <row r="2453" spans="1:5" x14ac:dyDescent="0.3">
      <c r="A2453" s="2">
        <f ca="1">INDEX(Simulations!$A$1:$BK$2501, 2453, MATCH("PurchaseMultiple", Simulations!$A$1:$BK$1, 0))</f>
        <v>7.394628661971252</v>
      </c>
      <c r="B2453" s="2">
        <f ca="1">INDEX(Simulations!$A$1:$BK$2501, 2453, MATCH("ExitMultiple", Simulations!$A$1:$BK$1, 0))</f>
        <v>7.8522269963101881</v>
      </c>
      <c r="C2453" s="2">
        <f ca="1">INDEX(Simulations!$A$1:$BK$2501, 2453, MATCH("RevCAGR", Simulations!$A$1:$BK$1, 0))</f>
        <v>1.5281890152489631E-2</v>
      </c>
      <c r="D2453" s="2">
        <f ca="1">INDEX(Simulations!$A$1:$BK$2501, 2453, MATCH("SynMargin", Simulations!$A$1:$BK$1, 0))</f>
        <v>1.1111773376353955E-2</v>
      </c>
      <c r="E2453" s="2">
        <f ca="1">INDEX(Simulations!$A$1:$BK$2501, 2453, MATCH("Yr1Shock", Simulations!$A$1:$BK$1, 0))</f>
        <v>2.8548581376325446E-2</v>
      </c>
    </row>
    <row r="2454" spans="1:5" x14ac:dyDescent="0.3">
      <c r="A2454" s="2">
        <f ca="1">INDEX(Simulations!$A$1:$BK$2501, 2454, MATCH("PurchaseMultiple", Simulations!$A$1:$BK$1, 0))</f>
        <v>6.7951614393012179</v>
      </c>
      <c r="B2454" s="2">
        <f ca="1">INDEX(Simulations!$A$1:$BK$2501, 2454, MATCH("ExitMultiple", Simulations!$A$1:$BK$1, 0))</f>
        <v>7.6520554519986872</v>
      </c>
      <c r="C2454" s="2">
        <f ca="1">INDEX(Simulations!$A$1:$BK$2501, 2454, MATCH("RevCAGR", Simulations!$A$1:$BK$1, 0))</f>
        <v>2.7682658763060579E-2</v>
      </c>
      <c r="D2454" s="2">
        <f ca="1">INDEX(Simulations!$A$1:$BK$2501, 2454, MATCH("SynMargin", Simulations!$A$1:$BK$1, 0))</f>
        <v>1.2213121317316455E-2</v>
      </c>
      <c r="E2454" s="2">
        <f ca="1">INDEX(Simulations!$A$1:$BK$2501, 2454, MATCH("Yr1Shock", Simulations!$A$1:$BK$1, 0))</f>
        <v>1.9248496642554489E-2</v>
      </c>
    </row>
    <row r="2455" spans="1:5" x14ac:dyDescent="0.3">
      <c r="A2455" s="2">
        <f ca="1">INDEX(Simulations!$A$1:$BK$2501, 2455, MATCH("PurchaseMultiple", Simulations!$A$1:$BK$1, 0))</f>
        <v>7.2239507288455354</v>
      </c>
      <c r="B2455" s="2">
        <f ca="1">INDEX(Simulations!$A$1:$BK$2501, 2455, MATCH("ExitMultiple", Simulations!$A$1:$BK$1, 0))</f>
        <v>7.5201695750714759</v>
      </c>
      <c r="C2455" s="2">
        <f ca="1">INDEX(Simulations!$A$1:$BK$2501, 2455, MATCH("RevCAGR", Simulations!$A$1:$BK$1, 0))</f>
        <v>6.3279324652652943E-2</v>
      </c>
      <c r="D2455" s="2">
        <f ca="1">INDEX(Simulations!$A$1:$BK$2501, 2455, MATCH("SynMargin", Simulations!$A$1:$BK$1, 0))</f>
        <v>1.2873044046245442E-2</v>
      </c>
      <c r="E2455" s="2">
        <f ca="1">INDEX(Simulations!$A$1:$BK$2501, 2455, MATCH("Yr1Shock", Simulations!$A$1:$BK$1, 0))</f>
        <v>-3.6124737094586964E-3</v>
      </c>
    </row>
    <row r="2456" spans="1:5" x14ac:dyDescent="0.3">
      <c r="A2456" s="2">
        <f ca="1">INDEX(Simulations!$A$1:$BK$2501, 2456, MATCH("PurchaseMultiple", Simulations!$A$1:$BK$1, 0))</f>
        <v>7.5591525947584399</v>
      </c>
      <c r="B2456" s="2">
        <f ca="1">INDEX(Simulations!$A$1:$BK$2501, 2456, MATCH("ExitMultiple", Simulations!$A$1:$BK$1, 0))</f>
        <v>7.4949487423613146</v>
      </c>
      <c r="C2456" s="2">
        <f ca="1">INDEX(Simulations!$A$1:$BK$2501, 2456, MATCH("RevCAGR", Simulations!$A$1:$BK$1, 0))</f>
        <v>2.2099240461652604E-2</v>
      </c>
      <c r="D2456" s="2">
        <f ca="1">INDEX(Simulations!$A$1:$BK$2501, 2456, MATCH("SynMargin", Simulations!$A$1:$BK$1, 0))</f>
        <v>1.1385308286950441E-2</v>
      </c>
      <c r="E2456" s="2">
        <f ca="1">INDEX(Simulations!$A$1:$BK$2501, 2456, MATCH("Yr1Shock", Simulations!$A$1:$BK$1, 0))</f>
        <v>-1.469630703033302E-2</v>
      </c>
    </row>
    <row r="2457" spans="1:5" x14ac:dyDescent="0.3">
      <c r="A2457" s="2">
        <f ca="1">INDEX(Simulations!$A$1:$BK$2501, 2457, MATCH("PurchaseMultiple", Simulations!$A$1:$BK$1, 0))</f>
        <v>7.2543203216979002</v>
      </c>
      <c r="B2457" s="2">
        <f ca="1">INDEX(Simulations!$A$1:$BK$2501, 2457, MATCH("ExitMultiple", Simulations!$A$1:$BK$1, 0))</f>
        <v>7.2123499666361157</v>
      </c>
      <c r="C2457" s="2">
        <f ca="1">INDEX(Simulations!$A$1:$BK$2501, 2457, MATCH("RevCAGR", Simulations!$A$1:$BK$1, 0))</f>
        <v>8.9753153863579918E-3</v>
      </c>
      <c r="D2457" s="2">
        <f ca="1">INDEX(Simulations!$A$1:$BK$2501, 2457, MATCH("SynMargin", Simulations!$A$1:$BK$1, 0))</f>
        <v>1.1017464835470317E-2</v>
      </c>
      <c r="E2457" s="2">
        <f ca="1">INDEX(Simulations!$A$1:$BK$2501, 2457, MATCH("Yr1Shock", Simulations!$A$1:$BK$1, 0))</f>
        <v>-1.260192945386342E-2</v>
      </c>
    </row>
    <row r="2458" spans="1:5" x14ac:dyDescent="0.3">
      <c r="A2458" s="2">
        <f ca="1">INDEX(Simulations!$A$1:$BK$2501, 2458, MATCH("PurchaseMultiple", Simulations!$A$1:$BK$1, 0))</f>
        <v>6.8502216039332069</v>
      </c>
      <c r="B2458" s="2">
        <f ca="1">INDEX(Simulations!$A$1:$BK$2501, 2458, MATCH("ExitMultiple", Simulations!$A$1:$BK$1, 0))</f>
        <v>6.60718009756022</v>
      </c>
      <c r="C2458" s="2">
        <f ca="1">INDEX(Simulations!$A$1:$BK$2501, 2458, MATCH("RevCAGR", Simulations!$A$1:$BK$1, 0))</f>
        <v>6.8390272863121132E-2</v>
      </c>
      <c r="D2458" s="2">
        <f ca="1">INDEX(Simulations!$A$1:$BK$2501, 2458, MATCH("SynMargin", Simulations!$A$1:$BK$1, 0))</f>
        <v>1.3206268454805879E-2</v>
      </c>
      <c r="E2458" s="2">
        <f ca="1">INDEX(Simulations!$A$1:$BK$2501, 2458, MATCH("Yr1Shock", Simulations!$A$1:$BK$1, 0))</f>
        <v>-1.296358797997077E-2</v>
      </c>
    </row>
    <row r="2459" spans="1:5" x14ac:dyDescent="0.3">
      <c r="A2459" s="2">
        <f ca="1">INDEX(Simulations!$A$1:$BK$2501, 2459, MATCH("PurchaseMultiple", Simulations!$A$1:$BK$1, 0))</f>
        <v>6.2779487838655932</v>
      </c>
      <c r="B2459" s="2">
        <f ca="1">INDEX(Simulations!$A$1:$BK$2501, 2459, MATCH("ExitMultiple", Simulations!$A$1:$BK$1, 0))</f>
        <v>6.740487532646589</v>
      </c>
      <c r="C2459" s="2">
        <f ca="1">INDEX(Simulations!$A$1:$BK$2501, 2459, MATCH("RevCAGR", Simulations!$A$1:$BK$1, 0))</f>
        <v>1.1050134347839025E-2</v>
      </c>
      <c r="D2459" s="2">
        <f ca="1">INDEX(Simulations!$A$1:$BK$2501, 2459, MATCH("SynMargin", Simulations!$A$1:$BK$1, 0))</f>
        <v>6.0227497236115327E-3</v>
      </c>
      <c r="E2459" s="2">
        <f ca="1">INDEX(Simulations!$A$1:$BK$2501, 2459, MATCH("Yr1Shock", Simulations!$A$1:$BK$1, 0))</f>
        <v>-7.3246539103698693E-3</v>
      </c>
    </row>
    <row r="2460" spans="1:5" x14ac:dyDescent="0.3">
      <c r="A2460" s="2">
        <f ca="1">INDEX(Simulations!$A$1:$BK$2501, 2460, MATCH("PurchaseMultiple", Simulations!$A$1:$BK$1, 0))</f>
        <v>6.966697918259718</v>
      </c>
      <c r="B2460" s="2">
        <f ca="1">INDEX(Simulations!$A$1:$BK$2501, 2460, MATCH("ExitMultiple", Simulations!$A$1:$BK$1, 0))</f>
        <v>7.7815223007187724</v>
      </c>
      <c r="C2460" s="2">
        <f ca="1">INDEX(Simulations!$A$1:$BK$2501, 2460, MATCH("RevCAGR", Simulations!$A$1:$BK$1, 0))</f>
        <v>4.765672087216781E-3</v>
      </c>
      <c r="D2460" s="2">
        <f ca="1">INDEX(Simulations!$A$1:$BK$2501, 2460, MATCH("SynMargin", Simulations!$A$1:$BK$1, 0))</f>
        <v>1.3120281889628927E-2</v>
      </c>
      <c r="E2460" s="2">
        <f ca="1">INDEX(Simulations!$A$1:$BK$2501, 2460, MATCH("Yr1Shock", Simulations!$A$1:$BK$1, 0))</f>
        <v>4.8402518715414998E-3</v>
      </c>
    </row>
    <row r="2461" spans="1:5" x14ac:dyDescent="0.3">
      <c r="A2461" s="2">
        <f ca="1">INDEX(Simulations!$A$1:$BK$2501, 2461, MATCH("PurchaseMultiple", Simulations!$A$1:$BK$1, 0))</f>
        <v>7.6119622808867629</v>
      </c>
      <c r="B2461" s="2">
        <f ca="1">INDEX(Simulations!$A$1:$BK$2501, 2461, MATCH("ExitMultiple", Simulations!$A$1:$BK$1, 0))</f>
        <v>8.080875065501802</v>
      </c>
      <c r="C2461" s="2">
        <f ca="1">INDEX(Simulations!$A$1:$BK$2501, 2461, MATCH("RevCAGR", Simulations!$A$1:$BK$1, 0))</f>
        <v>7.6309320890515023E-2</v>
      </c>
      <c r="D2461" s="2">
        <f ca="1">INDEX(Simulations!$A$1:$BK$2501, 2461, MATCH("SynMargin", Simulations!$A$1:$BK$1, 0))</f>
        <v>1.2708576653716266E-2</v>
      </c>
      <c r="E2461" s="2">
        <f ca="1">INDEX(Simulations!$A$1:$BK$2501, 2461, MATCH("Yr1Shock", Simulations!$A$1:$BK$1, 0))</f>
        <v>-6.6999067349699827E-3</v>
      </c>
    </row>
    <row r="2462" spans="1:5" x14ac:dyDescent="0.3">
      <c r="A2462" s="2">
        <f ca="1">INDEX(Simulations!$A$1:$BK$2501, 2462, MATCH("PurchaseMultiple", Simulations!$A$1:$BK$1, 0))</f>
        <v>7.0625051508386649</v>
      </c>
      <c r="B2462" s="2">
        <f ca="1">INDEX(Simulations!$A$1:$BK$2501, 2462, MATCH("ExitMultiple", Simulations!$A$1:$BK$1, 0))</f>
        <v>7.8117247328355983</v>
      </c>
      <c r="C2462" s="2">
        <f ca="1">INDEX(Simulations!$A$1:$BK$2501, 2462, MATCH("RevCAGR", Simulations!$A$1:$BK$1, 0))</f>
        <v>6.6531884746161105E-2</v>
      </c>
      <c r="D2462" s="2">
        <f ca="1">INDEX(Simulations!$A$1:$BK$2501, 2462, MATCH("SynMargin", Simulations!$A$1:$BK$1, 0))</f>
        <v>8.5013899310081593E-3</v>
      </c>
      <c r="E2462" s="2">
        <f ca="1">INDEX(Simulations!$A$1:$BK$2501, 2462, MATCH("Yr1Shock", Simulations!$A$1:$BK$1, 0))</f>
        <v>2.1086477696031065E-2</v>
      </c>
    </row>
    <row r="2463" spans="1:5" x14ac:dyDescent="0.3">
      <c r="A2463" s="2">
        <f ca="1">INDEX(Simulations!$A$1:$BK$2501, 2463, MATCH("PurchaseMultiple", Simulations!$A$1:$BK$1, 0))</f>
        <v>6.8464799515663417</v>
      </c>
      <c r="B2463" s="2">
        <f ca="1">INDEX(Simulations!$A$1:$BK$2501, 2463, MATCH("ExitMultiple", Simulations!$A$1:$BK$1, 0))</f>
        <v>7.0411551877912686</v>
      </c>
      <c r="C2463" s="2">
        <f ca="1">INDEX(Simulations!$A$1:$BK$2501, 2463, MATCH("RevCAGR", Simulations!$A$1:$BK$1, 0))</f>
        <v>6.9893369725386734E-2</v>
      </c>
      <c r="D2463" s="2">
        <f ca="1">INDEX(Simulations!$A$1:$BK$2501, 2463, MATCH("SynMargin", Simulations!$A$1:$BK$1, 0))</f>
        <v>1.6099524215379208E-2</v>
      </c>
      <c r="E2463" s="2">
        <f ca="1">INDEX(Simulations!$A$1:$BK$2501, 2463, MATCH("Yr1Shock", Simulations!$A$1:$BK$1, 0))</f>
        <v>-2.0142231293231269E-2</v>
      </c>
    </row>
    <row r="2464" spans="1:5" x14ac:dyDescent="0.3">
      <c r="A2464" s="2">
        <f ca="1">INDEX(Simulations!$A$1:$BK$2501, 2464, MATCH("PurchaseMultiple", Simulations!$A$1:$BK$1, 0))</f>
        <v>6.7772261379242673</v>
      </c>
      <c r="B2464" s="2">
        <f ca="1">INDEX(Simulations!$A$1:$BK$2501, 2464, MATCH("ExitMultiple", Simulations!$A$1:$BK$1, 0))</f>
        <v>7.9524014880836074</v>
      </c>
      <c r="C2464" s="2">
        <f ca="1">INDEX(Simulations!$A$1:$BK$2501, 2464, MATCH("RevCAGR", Simulations!$A$1:$BK$1, 0))</f>
        <v>-8.7712626868868548E-3</v>
      </c>
      <c r="D2464" s="2">
        <f ca="1">INDEX(Simulations!$A$1:$BK$2501, 2464, MATCH("SynMargin", Simulations!$A$1:$BK$1, 0))</f>
        <v>8.4900574731524674E-3</v>
      </c>
      <c r="E2464" s="2">
        <f ca="1">INDEX(Simulations!$A$1:$BK$2501, 2464, MATCH("Yr1Shock", Simulations!$A$1:$BK$1, 0))</f>
        <v>-1.0347835231514597E-2</v>
      </c>
    </row>
    <row r="2465" spans="1:5" x14ac:dyDescent="0.3">
      <c r="A2465" s="2">
        <f ca="1">INDEX(Simulations!$A$1:$BK$2501, 2465, MATCH("PurchaseMultiple", Simulations!$A$1:$BK$1, 0))</f>
        <v>7.1837723750456934</v>
      </c>
      <c r="B2465" s="2">
        <f ca="1">INDEX(Simulations!$A$1:$BK$2501, 2465, MATCH("ExitMultiple", Simulations!$A$1:$BK$1, 0))</f>
        <v>8.1581087898714024</v>
      </c>
      <c r="C2465" s="2">
        <f ca="1">INDEX(Simulations!$A$1:$BK$2501, 2465, MATCH("RevCAGR", Simulations!$A$1:$BK$1, 0))</f>
        <v>7.0172316947862384E-2</v>
      </c>
      <c r="D2465" s="2">
        <f ca="1">INDEX(Simulations!$A$1:$BK$2501, 2465, MATCH("SynMargin", Simulations!$A$1:$BK$1, 0))</f>
        <v>9.2394776512051257E-3</v>
      </c>
      <c r="E2465" s="2">
        <f ca="1">INDEX(Simulations!$A$1:$BK$2501, 2465, MATCH("Yr1Shock", Simulations!$A$1:$BK$1, 0))</f>
        <v>6.9451944186698783E-3</v>
      </c>
    </row>
    <row r="2466" spans="1:5" x14ac:dyDescent="0.3">
      <c r="A2466" s="2">
        <f ca="1">INDEX(Simulations!$A$1:$BK$2501, 2466, MATCH("PurchaseMultiple", Simulations!$A$1:$BK$1, 0))</f>
        <v>6.7064414250809339</v>
      </c>
      <c r="B2466" s="2">
        <f ca="1">INDEX(Simulations!$A$1:$BK$2501, 2466, MATCH("ExitMultiple", Simulations!$A$1:$BK$1, 0))</f>
        <v>7.3434722948944504</v>
      </c>
      <c r="C2466" s="2">
        <f ca="1">INDEX(Simulations!$A$1:$BK$2501, 2466, MATCH("RevCAGR", Simulations!$A$1:$BK$1, 0))</f>
        <v>2.3756365808481894E-2</v>
      </c>
      <c r="D2466" s="2">
        <f ca="1">INDEX(Simulations!$A$1:$BK$2501, 2466, MATCH("SynMargin", Simulations!$A$1:$BK$1, 0))</f>
        <v>1.0482395738102796E-2</v>
      </c>
      <c r="E2466" s="2">
        <f ca="1">INDEX(Simulations!$A$1:$BK$2501, 2466, MATCH("Yr1Shock", Simulations!$A$1:$BK$1, 0))</f>
        <v>3.1558619112748939E-3</v>
      </c>
    </row>
    <row r="2467" spans="1:5" x14ac:dyDescent="0.3">
      <c r="A2467" s="2">
        <f ca="1">INDEX(Simulations!$A$1:$BK$2501, 2467, MATCH("PurchaseMultiple", Simulations!$A$1:$BK$1, 0))</f>
        <v>6.9620671056638486</v>
      </c>
      <c r="B2467" s="2">
        <f ca="1">INDEX(Simulations!$A$1:$BK$2501, 2467, MATCH("ExitMultiple", Simulations!$A$1:$BK$1, 0))</f>
        <v>7.559147767633621</v>
      </c>
      <c r="C2467" s="2">
        <f ca="1">INDEX(Simulations!$A$1:$BK$2501, 2467, MATCH("RevCAGR", Simulations!$A$1:$BK$1, 0))</f>
        <v>8.1892339863543384E-2</v>
      </c>
      <c r="D2467" s="2">
        <f ca="1">INDEX(Simulations!$A$1:$BK$2501, 2467, MATCH("SynMargin", Simulations!$A$1:$BK$1, 0))</f>
        <v>1.66134659128774E-2</v>
      </c>
      <c r="E2467" s="2">
        <f ca="1">INDEX(Simulations!$A$1:$BK$2501, 2467, MATCH("Yr1Shock", Simulations!$A$1:$BK$1, 0))</f>
        <v>-1.1443591043824839E-2</v>
      </c>
    </row>
    <row r="2468" spans="1:5" x14ac:dyDescent="0.3">
      <c r="A2468" s="2">
        <f ca="1">INDEX(Simulations!$A$1:$BK$2501, 2468, MATCH("PurchaseMultiple", Simulations!$A$1:$BK$1, 0))</f>
        <v>7.0959336701075282</v>
      </c>
      <c r="B2468" s="2">
        <f ca="1">INDEX(Simulations!$A$1:$BK$2501, 2468, MATCH("ExitMultiple", Simulations!$A$1:$BK$1, 0))</f>
        <v>7.4697566717235624</v>
      </c>
      <c r="C2468" s="2">
        <f ca="1">INDEX(Simulations!$A$1:$BK$2501, 2468, MATCH("RevCAGR", Simulations!$A$1:$BK$1, 0))</f>
        <v>2.2949440560018911E-2</v>
      </c>
      <c r="D2468" s="2">
        <f ca="1">INDEX(Simulations!$A$1:$BK$2501, 2468, MATCH("SynMargin", Simulations!$A$1:$BK$1, 0))</f>
        <v>1.7516824949327159E-2</v>
      </c>
      <c r="E2468" s="2">
        <f ca="1">INDEX(Simulations!$A$1:$BK$2501, 2468, MATCH("Yr1Shock", Simulations!$A$1:$BK$1, 0))</f>
        <v>3.6077207587166586E-2</v>
      </c>
    </row>
    <row r="2469" spans="1:5" x14ac:dyDescent="0.3">
      <c r="A2469" s="2">
        <f ca="1">INDEX(Simulations!$A$1:$BK$2501, 2469, MATCH("PurchaseMultiple", Simulations!$A$1:$BK$1, 0))</f>
        <v>6.1473040359882898</v>
      </c>
      <c r="B2469" s="2">
        <f ca="1">INDEX(Simulations!$A$1:$BK$2501, 2469, MATCH("ExitMultiple", Simulations!$A$1:$BK$1, 0))</f>
        <v>7.5592101150717896</v>
      </c>
      <c r="C2469" s="2">
        <f ca="1">INDEX(Simulations!$A$1:$BK$2501, 2469, MATCH("RevCAGR", Simulations!$A$1:$BK$1, 0))</f>
        <v>2.0645040716420975E-2</v>
      </c>
      <c r="D2469" s="2">
        <f ca="1">INDEX(Simulations!$A$1:$BK$2501, 2469, MATCH("SynMargin", Simulations!$A$1:$BK$1, 0))</f>
        <v>6.6455921634832431E-3</v>
      </c>
      <c r="E2469" s="2">
        <f ca="1">INDEX(Simulations!$A$1:$BK$2501, 2469, MATCH("Yr1Shock", Simulations!$A$1:$BK$1, 0))</f>
        <v>-2.0050370970657407E-2</v>
      </c>
    </row>
    <row r="2470" spans="1:5" x14ac:dyDescent="0.3">
      <c r="A2470" s="2">
        <f ca="1">INDEX(Simulations!$A$1:$BK$2501, 2470, MATCH("PurchaseMultiple", Simulations!$A$1:$BK$1, 0))</f>
        <v>7.307629160378319</v>
      </c>
      <c r="B2470" s="2">
        <f ca="1">INDEX(Simulations!$A$1:$BK$2501, 2470, MATCH("ExitMultiple", Simulations!$A$1:$BK$1, 0))</f>
        <v>7.8535336666535658</v>
      </c>
      <c r="C2470" s="2">
        <f ca="1">INDEX(Simulations!$A$1:$BK$2501, 2470, MATCH("RevCAGR", Simulations!$A$1:$BK$1, 0))</f>
        <v>4.0619546712027527E-3</v>
      </c>
      <c r="D2470" s="2">
        <f ca="1">INDEX(Simulations!$A$1:$BK$2501, 2470, MATCH("SynMargin", Simulations!$A$1:$BK$1, 0))</f>
        <v>1.2788025227117823E-2</v>
      </c>
      <c r="E2470" s="2">
        <f ca="1">INDEX(Simulations!$A$1:$BK$2501, 2470, MATCH("Yr1Shock", Simulations!$A$1:$BK$1, 0))</f>
        <v>8.0128041596081428E-3</v>
      </c>
    </row>
    <row r="2471" spans="1:5" x14ac:dyDescent="0.3">
      <c r="A2471" s="2">
        <f ca="1">INDEX(Simulations!$A$1:$BK$2501, 2471, MATCH("PurchaseMultiple", Simulations!$A$1:$BK$1, 0))</f>
        <v>7.4710415852076366</v>
      </c>
      <c r="B2471" s="2">
        <f ca="1">INDEX(Simulations!$A$1:$BK$2501, 2471, MATCH("ExitMultiple", Simulations!$A$1:$BK$1, 0))</f>
        <v>7.8237880179611539</v>
      </c>
      <c r="C2471" s="2">
        <f ca="1">INDEX(Simulations!$A$1:$BK$2501, 2471, MATCH("RevCAGR", Simulations!$A$1:$BK$1, 0))</f>
        <v>6.2150395174583192E-2</v>
      </c>
      <c r="D2471" s="2">
        <f ca="1">INDEX(Simulations!$A$1:$BK$2501, 2471, MATCH("SynMargin", Simulations!$A$1:$BK$1, 0))</f>
        <v>8.8650750556609446E-3</v>
      </c>
      <c r="E2471" s="2">
        <f ca="1">INDEX(Simulations!$A$1:$BK$2501, 2471, MATCH("Yr1Shock", Simulations!$A$1:$BK$1, 0))</f>
        <v>-3.2127661448296652E-2</v>
      </c>
    </row>
    <row r="2472" spans="1:5" x14ac:dyDescent="0.3">
      <c r="A2472" s="2">
        <f ca="1">INDEX(Simulations!$A$1:$BK$2501, 2472, MATCH("PurchaseMultiple", Simulations!$A$1:$BK$1, 0))</f>
        <v>6.4005360456639222</v>
      </c>
      <c r="B2472" s="2">
        <f ca="1">INDEX(Simulations!$A$1:$BK$2501, 2472, MATCH("ExitMultiple", Simulations!$A$1:$BK$1, 0))</f>
        <v>7.1056351158452387</v>
      </c>
      <c r="C2472" s="2">
        <f ca="1">INDEX(Simulations!$A$1:$BK$2501, 2472, MATCH("RevCAGR", Simulations!$A$1:$BK$1, 0))</f>
        <v>4.5396103702307601E-2</v>
      </c>
      <c r="D2472" s="2">
        <f ca="1">INDEX(Simulations!$A$1:$BK$2501, 2472, MATCH("SynMargin", Simulations!$A$1:$BK$1, 0))</f>
        <v>1.3933315323646145E-2</v>
      </c>
      <c r="E2472" s="2">
        <f ca="1">INDEX(Simulations!$A$1:$BK$2501, 2472, MATCH("Yr1Shock", Simulations!$A$1:$BK$1, 0))</f>
        <v>2.4405031459120315E-2</v>
      </c>
    </row>
    <row r="2473" spans="1:5" x14ac:dyDescent="0.3">
      <c r="A2473" s="2">
        <f ca="1">INDEX(Simulations!$A$1:$BK$2501, 2473, MATCH("PurchaseMultiple", Simulations!$A$1:$BK$1, 0))</f>
        <v>7.5664821693278626</v>
      </c>
      <c r="B2473" s="2">
        <f ca="1">INDEX(Simulations!$A$1:$BK$2501, 2473, MATCH("ExitMultiple", Simulations!$A$1:$BK$1, 0))</f>
        <v>7.0007018893821087</v>
      </c>
      <c r="C2473" s="2">
        <f ca="1">INDEX(Simulations!$A$1:$BK$2501, 2473, MATCH("RevCAGR", Simulations!$A$1:$BK$1, 0))</f>
        <v>0.10662047041068087</v>
      </c>
      <c r="D2473" s="2">
        <f ca="1">INDEX(Simulations!$A$1:$BK$2501, 2473, MATCH("SynMargin", Simulations!$A$1:$BK$1, 0))</f>
        <v>1.5272706513801176E-2</v>
      </c>
      <c r="E2473" s="2">
        <f ca="1">INDEX(Simulations!$A$1:$BK$2501, 2473, MATCH("Yr1Shock", Simulations!$A$1:$BK$1, 0))</f>
        <v>3.6740552827093854E-2</v>
      </c>
    </row>
    <row r="2474" spans="1:5" x14ac:dyDescent="0.3">
      <c r="A2474" s="2">
        <f ca="1">INDEX(Simulations!$A$1:$BK$2501, 2474, MATCH("PurchaseMultiple", Simulations!$A$1:$BK$1, 0))</f>
        <v>7.0684552185509641</v>
      </c>
      <c r="B2474" s="2">
        <f ca="1">INDEX(Simulations!$A$1:$BK$2501, 2474, MATCH("ExitMultiple", Simulations!$A$1:$BK$1, 0))</f>
        <v>8.1937789129409015</v>
      </c>
      <c r="C2474" s="2">
        <f ca="1">INDEX(Simulations!$A$1:$BK$2501, 2474, MATCH("RevCAGR", Simulations!$A$1:$BK$1, 0))</f>
        <v>4.3546496813819807E-2</v>
      </c>
      <c r="D2474" s="2">
        <f ca="1">INDEX(Simulations!$A$1:$BK$2501, 2474, MATCH("SynMargin", Simulations!$A$1:$BK$1, 0))</f>
        <v>6.2442772768103779E-3</v>
      </c>
      <c r="E2474" s="2">
        <f ca="1">INDEX(Simulations!$A$1:$BK$2501, 2474, MATCH("Yr1Shock", Simulations!$A$1:$BK$1, 0))</f>
        <v>9.5349212967091278E-3</v>
      </c>
    </row>
    <row r="2475" spans="1:5" x14ac:dyDescent="0.3">
      <c r="A2475" s="2">
        <f ca="1">INDEX(Simulations!$A$1:$BK$2501, 2475, MATCH("PurchaseMultiple", Simulations!$A$1:$BK$1, 0))</f>
        <v>6.0229445103885002</v>
      </c>
      <c r="B2475" s="2">
        <f ca="1">INDEX(Simulations!$A$1:$BK$2501, 2475, MATCH("ExitMultiple", Simulations!$A$1:$BK$1, 0))</f>
        <v>8.0156678232844261</v>
      </c>
      <c r="C2475" s="2">
        <f ca="1">INDEX(Simulations!$A$1:$BK$2501, 2475, MATCH("RevCAGR", Simulations!$A$1:$BK$1, 0))</f>
        <v>2.8094425699068871E-2</v>
      </c>
      <c r="D2475" s="2">
        <f ca="1">INDEX(Simulations!$A$1:$BK$2501, 2475, MATCH("SynMargin", Simulations!$A$1:$BK$1, 0))</f>
        <v>1.2833612291995745E-2</v>
      </c>
      <c r="E2475" s="2">
        <f ca="1">INDEX(Simulations!$A$1:$BK$2501, 2475, MATCH("Yr1Shock", Simulations!$A$1:$BK$1, 0))</f>
        <v>1.1923932817894502E-2</v>
      </c>
    </row>
    <row r="2476" spans="1:5" x14ac:dyDescent="0.3">
      <c r="A2476" s="2">
        <f ca="1">INDEX(Simulations!$A$1:$BK$2501, 2476, MATCH("PurchaseMultiple", Simulations!$A$1:$BK$1, 0))</f>
        <v>7.4031331526684028</v>
      </c>
      <c r="B2476" s="2">
        <f ca="1">INDEX(Simulations!$A$1:$BK$2501, 2476, MATCH("ExitMultiple", Simulations!$A$1:$BK$1, 0))</f>
        <v>7.8089182258797623</v>
      </c>
      <c r="C2476" s="2">
        <f ca="1">INDEX(Simulations!$A$1:$BK$2501, 2476, MATCH("RevCAGR", Simulations!$A$1:$BK$1, 0))</f>
        <v>4.8282321921516935E-2</v>
      </c>
      <c r="D2476" s="2">
        <f ca="1">INDEX(Simulations!$A$1:$BK$2501, 2476, MATCH("SynMargin", Simulations!$A$1:$BK$1, 0))</f>
        <v>1.3172158107105687E-2</v>
      </c>
      <c r="E2476" s="2">
        <f ca="1">INDEX(Simulations!$A$1:$BK$2501, 2476, MATCH("Yr1Shock", Simulations!$A$1:$BK$1, 0))</f>
        <v>-2.730333823823242E-2</v>
      </c>
    </row>
    <row r="2477" spans="1:5" x14ac:dyDescent="0.3">
      <c r="A2477" s="2">
        <f ca="1">INDEX(Simulations!$A$1:$BK$2501, 2477, MATCH("PurchaseMultiple", Simulations!$A$1:$BK$1, 0))</f>
        <v>7.0255789911897102</v>
      </c>
      <c r="B2477" s="2">
        <f ca="1">INDEX(Simulations!$A$1:$BK$2501, 2477, MATCH("ExitMultiple", Simulations!$A$1:$BK$1, 0))</f>
        <v>7.8726058848388387</v>
      </c>
      <c r="C2477" s="2">
        <f ca="1">INDEX(Simulations!$A$1:$BK$2501, 2477, MATCH("RevCAGR", Simulations!$A$1:$BK$1, 0))</f>
        <v>-0.02</v>
      </c>
      <c r="D2477" s="2">
        <f ca="1">INDEX(Simulations!$A$1:$BK$2501, 2477, MATCH("SynMargin", Simulations!$A$1:$BK$1, 0))</f>
        <v>7.6553001054655602E-3</v>
      </c>
      <c r="E2477" s="2">
        <f ca="1">INDEX(Simulations!$A$1:$BK$2501, 2477, MATCH("Yr1Shock", Simulations!$A$1:$BK$1, 0))</f>
        <v>3.5768543345236305E-2</v>
      </c>
    </row>
    <row r="2478" spans="1:5" x14ac:dyDescent="0.3">
      <c r="A2478" s="2">
        <f ca="1">INDEX(Simulations!$A$1:$BK$2501, 2478, MATCH("PurchaseMultiple", Simulations!$A$1:$BK$1, 0))</f>
        <v>7.1766331582283094</v>
      </c>
      <c r="B2478" s="2">
        <f ca="1">INDEX(Simulations!$A$1:$BK$2501, 2478, MATCH("ExitMultiple", Simulations!$A$1:$BK$1, 0))</f>
        <v>6.7242145886031341</v>
      </c>
      <c r="C2478" s="2">
        <f ca="1">INDEX(Simulations!$A$1:$BK$2501, 2478, MATCH("RevCAGR", Simulations!$A$1:$BK$1, 0))</f>
        <v>4.0190778415684213E-2</v>
      </c>
      <c r="D2478" s="2">
        <f ca="1">INDEX(Simulations!$A$1:$BK$2501, 2478, MATCH("SynMargin", Simulations!$A$1:$BK$1, 0))</f>
        <v>9.5440387511411349E-3</v>
      </c>
      <c r="E2478" s="2">
        <f ca="1">INDEX(Simulations!$A$1:$BK$2501, 2478, MATCH("Yr1Shock", Simulations!$A$1:$BK$1, 0))</f>
        <v>-2.2198776012947334E-2</v>
      </c>
    </row>
    <row r="2479" spans="1:5" x14ac:dyDescent="0.3">
      <c r="A2479" s="2">
        <f ca="1">INDEX(Simulations!$A$1:$BK$2501, 2479, MATCH("PurchaseMultiple", Simulations!$A$1:$BK$1, 0))</f>
        <v>7.2061346230424332</v>
      </c>
      <c r="B2479" s="2">
        <f ca="1">INDEX(Simulations!$A$1:$BK$2501, 2479, MATCH("ExitMultiple", Simulations!$A$1:$BK$1, 0))</f>
        <v>8.0225407206172026</v>
      </c>
      <c r="C2479" s="2">
        <f ca="1">INDEX(Simulations!$A$1:$BK$2501, 2479, MATCH("RevCAGR", Simulations!$A$1:$BK$1, 0))</f>
        <v>1.516032718194579E-2</v>
      </c>
      <c r="D2479" s="2">
        <f ca="1">INDEX(Simulations!$A$1:$BK$2501, 2479, MATCH("SynMargin", Simulations!$A$1:$BK$1, 0))</f>
        <v>8.5960961428818948E-3</v>
      </c>
      <c r="E2479" s="2">
        <f ca="1">INDEX(Simulations!$A$1:$BK$2501, 2479, MATCH("Yr1Shock", Simulations!$A$1:$BK$1, 0))</f>
        <v>-3.7007506136626178E-2</v>
      </c>
    </row>
    <row r="2480" spans="1:5" x14ac:dyDescent="0.3">
      <c r="A2480" s="2">
        <f ca="1">INDEX(Simulations!$A$1:$BK$2501, 2480, MATCH("PurchaseMultiple", Simulations!$A$1:$BK$1, 0))</f>
        <v>6.9218910777498062</v>
      </c>
      <c r="B2480" s="2">
        <f ca="1">INDEX(Simulations!$A$1:$BK$2501, 2480, MATCH("ExitMultiple", Simulations!$A$1:$BK$1, 0))</f>
        <v>7.0713283083376082</v>
      </c>
      <c r="C2480" s="2">
        <f ca="1">INDEX(Simulations!$A$1:$BK$2501, 2480, MATCH("RevCAGR", Simulations!$A$1:$BK$1, 0))</f>
        <v>5.2444701958493128E-2</v>
      </c>
      <c r="D2480" s="2">
        <f ca="1">INDEX(Simulations!$A$1:$BK$2501, 2480, MATCH("SynMargin", Simulations!$A$1:$BK$1, 0))</f>
        <v>4.4997016828924397E-3</v>
      </c>
      <c r="E2480" s="2">
        <f ca="1">INDEX(Simulations!$A$1:$BK$2501, 2480, MATCH("Yr1Shock", Simulations!$A$1:$BK$1, 0))</f>
        <v>-4.5664406436487096E-3</v>
      </c>
    </row>
    <row r="2481" spans="1:5" x14ac:dyDescent="0.3">
      <c r="A2481" s="2">
        <f ca="1">INDEX(Simulations!$A$1:$BK$2501, 2481, MATCH("PurchaseMultiple", Simulations!$A$1:$BK$1, 0))</f>
        <v>7.4848960533195967</v>
      </c>
      <c r="B2481" s="2">
        <f ca="1">INDEX(Simulations!$A$1:$BK$2501, 2481, MATCH("ExitMultiple", Simulations!$A$1:$BK$1, 0))</f>
        <v>6.8695705043084203</v>
      </c>
      <c r="C2481" s="2">
        <f ca="1">INDEX(Simulations!$A$1:$BK$2501, 2481, MATCH("RevCAGR", Simulations!$A$1:$BK$1, 0))</f>
        <v>6.2206777638812785E-2</v>
      </c>
      <c r="D2481" s="2">
        <f ca="1">INDEX(Simulations!$A$1:$BK$2501, 2481, MATCH("SynMargin", Simulations!$A$1:$BK$1, 0))</f>
        <v>1.1975374703262622E-2</v>
      </c>
      <c r="E2481" s="2">
        <f ca="1">INDEX(Simulations!$A$1:$BK$2501, 2481, MATCH("Yr1Shock", Simulations!$A$1:$BK$1, 0))</f>
        <v>-2.8204992333504274E-2</v>
      </c>
    </row>
    <row r="2482" spans="1:5" x14ac:dyDescent="0.3">
      <c r="A2482" s="2">
        <f ca="1">INDEX(Simulations!$A$1:$BK$2501, 2482, MATCH("PurchaseMultiple", Simulations!$A$1:$BK$1, 0))</f>
        <v>6.6954219558832975</v>
      </c>
      <c r="B2482" s="2">
        <f ca="1">INDEX(Simulations!$A$1:$BK$2501, 2482, MATCH("ExitMultiple", Simulations!$A$1:$BK$1, 0))</f>
        <v>8.0369871776627964</v>
      </c>
      <c r="C2482" s="2">
        <f ca="1">INDEX(Simulations!$A$1:$BK$2501, 2482, MATCH("RevCAGR", Simulations!$A$1:$BK$1, 0))</f>
        <v>2.9467345755066272E-2</v>
      </c>
      <c r="D2482" s="2">
        <f ca="1">INDEX(Simulations!$A$1:$BK$2501, 2482, MATCH("SynMargin", Simulations!$A$1:$BK$1, 0))</f>
        <v>2.2990320882970608E-2</v>
      </c>
      <c r="E2482" s="2">
        <f ca="1">INDEX(Simulations!$A$1:$BK$2501, 2482, MATCH("Yr1Shock", Simulations!$A$1:$BK$1, 0))</f>
        <v>-1.1714298802702172E-2</v>
      </c>
    </row>
    <row r="2483" spans="1:5" x14ac:dyDescent="0.3">
      <c r="A2483" s="2">
        <f ca="1">INDEX(Simulations!$A$1:$BK$2501, 2483, MATCH("PurchaseMultiple", Simulations!$A$1:$BK$1, 0))</f>
        <v>7.1049741894108802</v>
      </c>
      <c r="B2483" s="2">
        <f ca="1">INDEX(Simulations!$A$1:$BK$2501, 2483, MATCH("ExitMultiple", Simulations!$A$1:$BK$1, 0))</f>
        <v>7.6167029496028196</v>
      </c>
      <c r="C2483" s="2">
        <f ca="1">INDEX(Simulations!$A$1:$BK$2501, 2483, MATCH("RevCAGR", Simulations!$A$1:$BK$1, 0))</f>
        <v>2.8085253003492711E-2</v>
      </c>
      <c r="D2483" s="2">
        <f ca="1">INDEX(Simulations!$A$1:$BK$2501, 2483, MATCH("SynMargin", Simulations!$A$1:$BK$1, 0))</f>
        <v>1.4399592913069748E-2</v>
      </c>
      <c r="E2483" s="2">
        <f ca="1">INDEX(Simulations!$A$1:$BK$2501, 2483, MATCH("Yr1Shock", Simulations!$A$1:$BK$1, 0))</f>
        <v>1.801112301445168E-2</v>
      </c>
    </row>
    <row r="2484" spans="1:5" x14ac:dyDescent="0.3">
      <c r="A2484" s="2">
        <f ca="1">INDEX(Simulations!$A$1:$BK$2501, 2484, MATCH("PurchaseMultiple", Simulations!$A$1:$BK$1, 0))</f>
        <v>7.5752609892810439</v>
      </c>
      <c r="B2484" s="2">
        <f ca="1">INDEX(Simulations!$A$1:$BK$2501, 2484, MATCH("ExitMultiple", Simulations!$A$1:$BK$1, 0))</f>
        <v>8.0183919261729173</v>
      </c>
      <c r="C2484" s="2">
        <f ca="1">INDEX(Simulations!$A$1:$BK$2501, 2484, MATCH("RevCAGR", Simulations!$A$1:$BK$1, 0))</f>
        <v>5.2235129222096596E-2</v>
      </c>
      <c r="D2484" s="2">
        <f ca="1">INDEX(Simulations!$A$1:$BK$2501, 2484, MATCH("SynMargin", Simulations!$A$1:$BK$1, 0))</f>
        <v>9.663104950995852E-3</v>
      </c>
      <c r="E2484" s="2">
        <f ca="1">INDEX(Simulations!$A$1:$BK$2501, 2484, MATCH("Yr1Shock", Simulations!$A$1:$BK$1, 0))</f>
        <v>-2.2684663027612934E-2</v>
      </c>
    </row>
    <row r="2485" spans="1:5" x14ac:dyDescent="0.3">
      <c r="A2485" s="2">
        <f ca="1">INDEX(Simulations!$A$1:$BK$2501, 2485, MATCH("PurchaseMultiple", Simulations!$A$1:$BK$1, 0))</f>
        <v>7.6735124349194157</v>
      </c>
      <c r="B2485" s="2">
        <f ca="1">INDEX(Simulations!$A$1:$BK$2501, 2485, MATCH("ExitMultiple", Simulations!$A$1:$BK$1, 0))</f>
        <v>7.1611836594422513</v>
      </c>
      <c r="C2485" s="2">
        <f ca="1">INDEX(Simulations!$A$1:$BK$2501, 2485, MATCH("RevCAGR", Simulations!$A$1:$BK$1, 0))</f>
        <v>-9.7307933849180572E-4</v>
      </c>
      <c r="D2485" s="2">
        <f ca="1">INDEX(Simulations!$A$1:$BK$2501, 2485, MATCH("SynMargin", Simulations!$A$1:$BK$1, 0))</f>
        <v>1.6165551498373839E-2</v>
      </c>
      <c r="E2485" s="2">
        <f ca="1">INDEX(Simulations!$A$1:$BK$2501, 2485, MATCH("Yr1Shock", Simulations!$A$1:$BK$1, 0))</f>
        <v>-3.4409683680101145E-2</v>
      </c>
    </row>
    <row r="2486" spans="1:5" x14ac:dyDescent="0.3">
      <c r="A2486" s="2">
        <f ca="1">INDEX(Simulations!$A$1:$BK$2501, 2486, MATCH("PurchaseMultiple", Simulations!$A$1:$BK$1, 0))</f>
        <v>7.021467890579947</v>
      </c>
      <c r="B2486" s="2">
        <f ca="1">INDEX(Simulations!$A$1:$BK$2501, 2486, MATCH("ExitMultiple", Simulations!$A$1:$BK$1, 0))</f>
        <v>7.6552143373889692</v>
      </c>
      <c r="C2486" s="2">
        <f ca="1">INDEX(Simulations!$A$1:$BK$2501, 2486, MATCH("RevCAGR", Simulations!$A$1:$BK$1, 0))</f>
        <v>-2.2911353031651524E-3</v>
      </c>
      <c r="D2486" s="2">
        <f ca="1">INDEX(Simulations!$A$1:$BK$2501, 2486, MATCH("SynMargin", Simulations!$A$1:$BK$1, 0))</f>
        <v>1.1956244461526884E-2</v>
      </c>
      <c r="E2486" s="2">
        <f ca="1">INDEX(Simulations!$A$1:$BK$2501, 2486, MATCH("Yr1Shock", Simulations!$A$1:$BK$1, 0))</f>
        <v>-8.8997831486126878E-3</v>
      </c>
    </row>
    <row r="2487" spans="1:5" x14ac:dyDescent="0.3">
      <c r="A2487" s="2">
        <f ca="1">INDEX(Simulations!$A$1:$BK$2501, 2487, MATCH("PurchaseMultiple", Simulations!$A$1:$BK$1, 0))</f>
        <v>7.4358353027264901</v>
      </c>
      <c r="B2487" s="2">
        <f ca="1">INDEX(Simulations!$A$1:$BK$2501, 2487, MATCH("ExitMultiple", Simulations!$A$1:$BK$1, 0))</f>
        <v>7.9829979711745871</v>
      </c>
      <c r="C2487" s="2">
        <f ca="1">INDEX(Simulations!$A$1:$BK$2501, 2487, MATCH("RevCAGR", Simulations!$A$1:$BK$1, 0))</f>
        <v>4.6120492833344198E-2</v>
      </c>
      <c r="D2487" s="2">
        <f ca="1">INDEX(Simulations!$A$1:$BK$2501, 2487, MATCH("SynMargin", Simulations!$A$1:$BK$1, 0))</f>
        <v>4.8047041073601519E-3</v>
      </c>
      <c r="E2487" s="2">
        <f ca="1">INDEX(Simulations!$A$1:$BK$2501, 2487, MATCH("Yr1Shock", Simulations!$A$1:$BK$1, 0))</f>
        <v>4.7147035845817364E-2</v>
      </c>
    </row>
    <row r="2488" spans="1:5" x14ac:dyDescent="0.3">
      <c r="A2488" s="2">
        <f ca="1">INDEX(Simulations!$A$1:$BK$2501, 2488, MATCH("PurchaseMultiple", Simulations!$A$1:$BK$1, 0))</f>
        <v>7.0535009681806127</v>
      </c>
      <c r="B2488" s="2">
        <f ca="1">INDEX(Simulations!$A$1:$BK$2501, 2488, MATCH("ExitMultiple", Simulations!$A$1:$BK$1, 0))</f>
        <v>7.3463527803812276</v>
      </c>
      <c r="C2488" s="2">
        <f ca="1">INDEX(Simulations!$A$1:$BK$2501, 2488, MATCH("RevCAGR", Simulations!$A$1:$BK$1, 0))</f>
        <v>4.4867954543534427E-2</v>
      </c>
      <c r="D2488" s="2">
        <f ca="1">INDEX(Simulations!$A$1:$BK$2501, 2488, MATCH("SynMargin", Simulations!$A$1:$BK$1, 0))</f>
        <v>1.4916738005828392E-2</v>
      </c>
      <c r="E2488" s="2">
        <f ca="1">INDEX(Simulations!$A$1:$BK$2501, 2488, MATCH("Yr1Shock", Simulations!$A$1:$BK$1, 0))</f>
        <v>-3.6488968313851439E-3</v>
      </c>
    </row>
    <row r="2489" spans="1:5" x14ac:dyDescent="0.3">
      <c r="A2489" s="2">
        <f ca="1">INDEX(Simulations!$A$1:$BK$2501, 2489, MATCH("PurchaseMultiple", Simulations!$A$1:$BK$1, 0))</f>
        <v>6.5533502016825231</v>
      </c>
      <c r="B2489" s="2">
        <f ca="1">INDEX(Simulations!$A$1:$BK$2501, 2489, MATCH("ExitMultiple", Simulations!$A$1:$BK$1, 0))</f>
        <v>7.9960326403837243</v>
      </c>
      <c r="C2489" s="2">
        <f ca="1">INDEX(Simulations!$A$1:$BK$2501, 2489, MATCH("RevCAGR", Simulations!$A$1:$BK$1, 0))</f>
        <v>5.5060969943993877E-2</v>
      </c>
      <c r="D2489" s="2">
        <f ca="1">INDEX(Simulations!$A$1:$BK$2501, 2489, MATCH("SynMargin", Simulations!$A$1:$BK$1, 0))</f>
        <v>1.037432299012162E-2</v>
      </c>
      <c r="E2489" s="2">
        <f ca="1">INDEX(Simulations!$A$1:$BK$2501, 2489, MATCH("Yr1Shock", Simulations!$A$1:$BK$1, 0))</f>
        <v>1.3680387953361109E-2</v>
      </c>
    </row>
    <row r="2490" spans="1:5" x14ac:dyDescent="0.3">
      <c r="A2490" s="2">
        <f ca="1">INDEX(Simulations!$A$1:$BK$2501, 2490, MATCH("PurchaseMultiple", Simulations!$A$1:$BK$1, 0))</f>
        <v>6.9997474109138782</v>
      </c>
      <c r="B2490" s="2">
        <f ca="1">INDEX(Simulations!$A$1:$BK$2501, 2490, MATCH("ExitMultiple", Simulations!$A$1:$BK$1, 0))</f>
        <v>8.1558803879991437</v>
      </c>
      <c r="C2490" s="2">
        <f ca="1">INDEX(Simulations!$A$1:$BK$2501, 2490, MATCH("RevCAGR", Simulations!$A$1:$BK$1, 0))</f>
        <v>1.0946245336135241E-2</v>
      </c>
      <c r="D2490" s="2">
        <f ca="1">INDEX(Simulations!$A$1:$BK$2501, 2490, MATCH("SynMargin", Simulations!$A$1:$BK$1, 0))</f>
        <v>6.0230970472688362E-3</v>
      </c>
      <c r="E2490" s="2">
        <f ca="1">INDEX(Simulations!$A$1:$BK$2501, 2490, MATCH("Yr1Shock", Simulations!$A$1:$BK$1, 0))</f>
        <v>-1.4321928442301882E-2</v>
      </c>
    </row>
    <row r="2491" spans="1:5" x14ac:dyDescent="0.3">
      <c r="A2491" s="2">
        <f ca="1">INDEX(Simulations!$A$1:$BK$2501, 2491, MATCH("PurchaseMultiple", Simulations!$A$1:$BK$1, 0))</f>
        <v>6.4198974409916225</v>
      </c>
      <c r="B2491" s="2">
        <f ca="1">INDEX(Simulations!$A$1:$BK$2501, 2491, MATCH("ExitMultiple", Simulations!$A$1:$BK$1, 0))</f>
        <v>8.138173169783089</v>
      </c>
      <c r="C2491" s="2">
        <f ca="1">INDEX(Simulations!$A$1:$BK$2501, 2491, MATCH("RevCAGR", Simulations!$A$1:$BK$1, 0))</f>
        <v>5.1034342840536928E-2</v>
      </c>
      <c r="D2491" s="2">
        <f ca="1">INDEX(Simulations!$A$1:$BK$2501, 2491, MATCH("SynMargin", Simulations!$A$1:$BK$1, 0))</f>
        <v>1.0598182390413043E-2</v>
      </c>
      <c r="E2491" s="2">
        <f ca="1">INDEX(Simulations!$A$1:$BK$2501, 2491, MATCH("Yr1Shock", Simulations!$A$1:$BK$1, 0))</f>
        <v>2.1044752529416226E-2</v>
      </c>
    </row>
    <row r="2492" spans="1:5" x14ac:dyDescent="0.3">
      <c r="A2492" s="2">
        <f ca="1">INDEX(Simulations!$A$1:$BK$2501, 2492, MATCH("PurchaseMultiple", Simulations!$A$1:$BK$1, 0))</f>
        <v>6.8817721063959141</v>
      </c>
      <c r="B2492" s="2">
        <f ca="1">INDEX(Simulations!$A$1:$BK$2501, 2492, MATCH("ExitMultiple", Simulations!$A$1:$BK$1, 0))</f>
        <v>6.7158097908075085</v>
      </c>
      <c r="C2492" s="2">
        <f ca="1">INDEX(Simulations!$A$1:$BK$2501, 2492, MATCH("RevCAGR", Simulations!$A$1:$BK$1, 0))</f>
        <v>5.9517591171327204E-2</v>
      </c>
      <c r="D2492" s="2">
        <f ca="1">INDEX(Simulations!$A$1:$BK$2501, 2492, MATCH("SynMargin", Simulations!$A$1:$BK$1, 0))</f>
        <v>8.5562367656083597E-3</v>
      </c>
      <c r="E2492" s="2">
        <f ca="1">INDEX(Simulations!$A$1:$BK$2501, 2492, MATCH("Yr1Shock", Simulations!$A$1:$BK$1, 0))</f>
        <v>-1.4870959526845323E-3</v>
      </c>
    </row>
    <row r="2493" spans="1:5" x14ac:dyDescent="0.3">
      <c r="A2493" s="2">
        <f ca="1">INDEX(Simulations!$A$1:$BK$2501, 2493, MATCH("PurchaseMultiple", Simulations!$A$1:$BK$1, 0))</f>
        <v>6.9981978330794981</v>
      </c>
      <c r="B2493" s="2">
        <f ca="1">INDEX(Simulations!$A$1:$BK$2501, 2493, MATCH("ExitMultiple", Simulations!$A$1:$BK$1, 0))</f>
        <v>6.8095825019918372</v>
      </c>
      <c r="C2493" s="2">
        <f ca="1">INDEX(Simulations!$A$1:$BK$2501, 2493, MATCH("RevCAGR", Simulations!$A$1:$BK$1, 0))</f>
        <v>6.3868405926891358E-2</v>
      </c>
      <c r="D2493" s="2">
        <f ca="1">INDEX(Simulations!$A$1:$BK$2501, 2493, MATCH("SynMargin", Simulations!$A$1:$BK$1, 0))</f>
        <v>1.1223250240222195E-2</v>
      </c>
      <c r="E2493" s="2">
        <f ca="1">INDEX(Simulations!$A$1:$BK$2501, 2493, MATCH("Yr1Shock", Simulations!$A$1:$BK$1, 0))</f>
        <v>1.2623588033646856E-2</v>
      </c>
    </row>
    <row r="2494" spans="1:5" x14ac:dyDescent="0.3">
      <c r="A2494" s="2">
        <f ca="1">INDEX(Simulations!$A$1:$BK$2501, 2494, MATCH("PurchaseMultiple", Simulations!$A$1:$BK$1, 0))</f>
        <v>6.9208220184701741</v>
      </c>
      <c r="B2494" s="2">
        <f ca="1">INDEX(Simulations!$A$1:$BK$2501, 2494, MATCH("ExitMultiple", Simulations!$A$1:$BK$1, 0))</f>
        <v>7.9000359612716542</v>
      </c>
      <c r="C2494" s="2">
        <f ca="1">INDEX(Simulations!$A$1:$BK$2501, 2494, MATCH("RevCAGR", Simulations!$A$1:$BK$1, 0))</f>
        <v>4.7572176738906971E-2</v>
      </c>
      <c r="D2494" s="2">
        <f ca="1">INDEX(Simulations!$A$1:$BK$2501, 2494, MATCH("SynMargin", Simulations!$A$1:$BK$1, 0))</f>
        <v>1.1627495820779283E-2</v>
      </c>
      <c r="E2494" s="2">
        <f ca="1">INDEX(Simulations!$A$1:$BK$2501, 2494, MATCH("Yr1Shock", Simulations!$A$1:$BK$1, 0))</f>
        <v>1.798194545502781E-2</v>
      </c>
    </row>
    <row r="2495" spans="1:5" x14ac:dyDescent="0.3">
      <c r="A2495" s="2">
        <f ca="1">INDEX(Simulations!$A$1:$BK$2501, 2495, MATCH("PurchaseMultiple", Simulations!$A$1:$BK$1, 0))</f>
        <v>7.456121269737876</v>
      </c>
      <c r="B2495" s="2">
        <f ca="1">INDEX(Simulations!$A$1:$BK$2501, 2495, MATCH("ExitMultiple", Simulations!$A$1:$BK$1, 0))</f>
        <v>7.9979821458443716</v>
      </c>
      <c r="C2495" s="2">
        <f ca="1">INDEX(Simulations!$A$1:$BK$2501, 2495, MATCH("RevCAGR", Simulations!$A$1:$BK$1, 0))</f>
        <v>6.2771059110380764E-2</v>
      </c>
      <c r="D2495" s="2">
        <f ca="1">INDEX(Simulations!$A$1:$BK$2501, 2495, MATCH("SynMargin", Simulations!$A$1:$BK$1, 0))</f>
        <v>1.0407311497254936E-2</v>
      </c>
      <c r="E2495" s="2">
        <f ca="1">INDEX(Simulations!$A$1:$BK$2501, 2495, MATCH("Yr1Shock", Simulations!$A$1:$BK$1, 0))</f>
        <v>2.3143904218656593E-2</v>
      </c>
    </row>
    <row r="2496" spans="1:5" x14ac:dyDescent="0.3">
      <c r="A2496" s="2">
        <f ca="1">INDEX(Simulations!$A$1:$BK$2501, 2496, MATCH("PurchaseMultiple", Simulations!$A$1:$BK$1, 0))</f>
        <v>6.425879411686668</v>
      </c>
      <c r="B2496" s="2">
        <f ca="1">INDEX(Simulations!$A$1:$BK$2501, 2496, MATCH("ExitMultiple", Simulations!$A$1:$BK$1, 0))</f>
        <v>7.672816955407102</v>
      </c>
      <c r="C2496" s="2">
        <f ca="1">INDEX(Simulations!$A$1:$BK$2501, 2496, MATCH("RevCAGR", Simulations!$A$1:$BK$1, 0))</f>
        <v>6.2924218262906104E-2</v>
      </c>
      <c r="D2496" s="2">
        <f ca="1">INDEX(Simulations!$A$1:$BK$2501, 2496, MATCH("SynMargin", Simulations!$A$1:$BK$1, 0))</f>
        <v>1.5053404359090635E-2</v>
      </c>
      <c r="E2496" s="2">
        <f ca="1">INDEX(Simulations!$A$1:$BK$2501, 2496, MATCH("Yr1Shock", Simulations!$A$1:$BK$1, 0))</f>
        <v>-1.0744089199670471E-2</v>
      </c>
    </row>
    <row r="2497" spans="1:5" x14ac:dyDescent="0.3">
      <c r="A2497" s="2">
        <f ca="1">INDEX(Simulations!$A$1:$BK$2501, 2497, MATCH("PurchaseMultiple", Simulations!$A$1:$BK$1, 0))</f>
        <v>7.1479533120512109</v>
      </c>
      <c r="B2497" s="2">
        <f ca="1">INDEX(Simulations!$A$1:$BK$2501, 2497, MATCH("ExitMultiple", Simulations!$A$1:$BK$1, 0))</f>
        <v>7.4843797940400396</v>
      </c>
      <c r="C2497" s="2">
        <f ca="1">INDEX(Simulations!$A$1:$BK$2501, 2497, MATCH("RevCAGR", Simulations!$A$1:$BK$1, 0))</f>
        <v>4.0634674371964531E-2</v>
      </c>
      <c r="D2497" s="2">
        <f ca="1">INDEX(Simulations!$A$1:$BK$2501, 2497, MATCH("SynMargin", Simulations!$A$1:$BK$1, 0))</f>
        <v>1.7086120022355451E-3</v>
      </c>
      <c r="E2497" s="2">
        <f ca="1">INDEX(Simulations!$A$1:$BK$2501, 2497, MATCH("Yr1Shock", Simulations!$A$1:$BK$1, 0))</f>
        <v>-1.4293964485599735E-2</v>
      </c>
    </row>
    <row r="2498" spans="1:5" x14ac:dyDescent="0.3">
      <c r="A2498" s="2">
        <f ca="1">INDEX(Simulations!$A$1:$BK$2501, 2498, MATCH("PurchaseMultiple", Simulations!$A$1:$BK$1, 0))</f>
        <v>6.3742717499390418</v>
      </c>
      <c r="B2498" s="2">
        <f ca="1">INDEX(Simulations!$A$1:$BK$2501, 2498, MATCH("ExitMultiple", Simulations!$A$1:$BK$1, 0))</f>
        <v>7.7024386145276251</v>
      </c>
      <c r="C2498" s="2">
        <f ca="1">INDEX(Simulations!$A$1:$BK$2501, 2498, MATCH("RevCAGR", Simulations!$A$1:$BK$1, 0))</f>
        <v>6.7401110217241156E-2</v>
      </c>
      <c r="D2498" s="2">
        <f ca="1">INDEX(Simulations!$A$1:$BK$2501, 2498, MATCH("SynMargin", Simulations!$A$1:$BK$1, 0))</f>
        <v>6.8049290053984407E-3</v>
      </c>
      <c r="E2498" s="2">
        <f ca="1">INDEX(Simulations!$A$1:$BK$2501, 2498, MATCH("Yr1Shock", Simulations!$A$1:$BK$1, 0))</f>
        <v>-0.05</v>
      </c>
    </row>
    <row r="2499" spans="1:5" x14ac:dyDescent="0.3">
      <c r="A2499" s="2">
        <f ca="1">INDEX(Simulations!$A$1:$BK$2501, 2499, MATCH("PurchaseMultiple", Simulations!$A$1:$BK$1, 0))</f>
        <v>6.7475863080791676</v>
      </c>
      <c r="B2499" s="2">
        <f ca="1">INDEX(Simulations!$A$1:$BK$2501, 2499, MATCH("ExitMultiple", Simulations!$A$1:$BK$1, 0))</f>
        <v>6.8757000408946016</v>
      </c>
      <c r="C2499" s="2">
        <f ca="1">INDEX(Simulations!$A$1:$BK$2501, 2499, MATCH("RevCAGR", Simulations!$A$1:$BK$1, 0))</f>
        <v>6.6131660754700589E-2</v>
      </c>
      <c r="D2499" s="2">
        <f ca="1">INDEX(Simulations!$A$1:$BK$2501, 2499, MATCH("SynMargin", Simulations!$A$1:$BK$1, 0))</f>
        <v>6.8658432490914696E-4</v>
      </c>
      <c r="E2499" s="2">
        <f ca="1">INDEX(Simulations!$A$1:$BK$2501, 2499, MATCH("Yr1Shock", Simulations!$A$1:$BK$1, 0))</f>
        <v>-1.8390832232712758E-2</v>
      </c>
    </row>
    <row r="2500" spans="1:5" x14ac:dyDescent="0.3">
      <c r="A2500" s="2">
        <f ca="1">INDEX(Simulations!$A$1:$BK$2501, 2500, MATCH("PurchaseMultiple", Simulations!$A$1:$BK$1, 0))</f>
        <v>6.9532913556347253</v>
      </c>
      <c r="B2500" s="2">
        <f ca="1">INDEX(Simulations!$A$1:$BK$2501, 2500, MATCH("ExitMultiple", Simulations!$A$1:$BK$1, 0))</f>
        <v>6.7641885426314463</v>
      </c>
      <c r="C2500" s="2">
        <f ca="1">INDEX(Simulations!$A$1:$BK$2501, 2500, MATCH("RevCAGR", Simulations!$A$1:$BK$1, 0))</f>
        <v>7.1823856409841569E-2</v>
      </c>
      <c r="D2500" s="2">
        <f ca="1">INDEX(Simulations!$A$1:$BK$2501, 2500, MATCH("SynMargin", Simulations!$A$1:$BK$1, 0))</f>
        <v>1.6880671442881717E-2</v>
      </c>
      <c r="E2500" s="2">
        <f ca="1">INDEX(Simulations!$A$1:$BK$2501, 2500, MATCH("Yr1Shock", Simulations!$A$1:$BK$1, 0))</f>
        <v>1.8624044814535036E-2</v>
      </c>
    </row>
    <row r="2501" spans="1:5" x14ac:dyDescent="0.3">
      <c r="A2501" s="2">
        <f ca="1">INDEX(Simulations!$A$1:$BK$2501, 2501, MATCH("PurchaseMultiple", Simulations!$A$1:$BK$1, 0))</f>
        <v>6.8640470833237393</v>
      </c>
      <c r="B2501" s="2">
        <f ca="1">INDEX(Simulations!$A$1:$BK$2501, 2501, MATCH("ExitMultiple", Simulations!$A$1:$BK$1, 0))</f>
        <v>8.2161052714541576</v>
      </c>
      <c r="C2501" s="2">
        <f ca="1">INDEX(Simulations!$A$1:$BK$2501, 2501, MATCH("RevCAGR", Simulations!$A$1:$BK$1, 0))</f>
        <v>1.7202564305162288E-2</v>
      </c>
      <c r="D2501" s="2">
        <f ca="1">INDEX(Simulations!$A$1:$BK$2501, 2501, MATCH("SynMargin", Simulations!$A$1:$BK$1, 0))</f>
        <v>1.2482109282349703E-2</v>
      </c>
      <c r="E2501" s="2">
        <f ca="1">INDEX(Simulations!$A$1:$BK$2501, 2501, MATCH("Yr1Shock", Simulations!$A$1:$BK$1, 0))</f>
        <v>1.6068518939053485E-2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34</vt:i4>
      </vt:variant>
    </vt:vector>
  </HeadingPairs>
  <TitlesOfParts>
    <vt:vector size="39" baseType="lpstr">
      <vt:lpstr>Inputs</vt:lpstr>
      <vt:lpstr>Simulations</vt:lpstr>
      <vt:lpstr>Summary</vt:lpstr>
      <vt:lpstr>Sample_Results</vt:lpstr>
      <vt:lpstr>Draws_Samples</vt:lpstr>
      <vt:lpstr>BaseMargin</vt:lpstr>
      <vt:lpstr>BaseRev</vt:lpstr>
      <vt:lpstr>CapexPct</vt:lpstr>
      <vt:lpstr>DebtPct</vt:lpstr>
      <vt:lpstr>DebtRate</vt:lpstr>
      <vt:lpstr>EqPct</vt:lpstr>
      <vt:lpstr>g_Max</vt:lpstr>
      <vt:lpstr>g_Mean</vt:lpstr>
      <vt:lpstr>g_Min</vt:lpstr>
      <vt:lpstr>g_SD</vt:lpstr>
      <vt:lpstr>HoldYrs</vt:lpstr>
      <vt:lpstr>HurdleIRR</vt:lpstr>
      <vt:lpstr>IntegrationPct</vt:lpstr>
      <vt:lpstr>N</vt:lpstr>
      <vt:lpstr>P_High</vt:lpstr>
      <vt:lpstr>P_Low</vt:lpstr>
      <vt:lpstr>P_Mode</vt:lpstr>
      <vt:lpstr>SellCostPct</vt:lpstr>
      <vt:lpstr>shk_Max</vt:lpstr>
      <vt:lpstr>shk_Mean</vt:lpstr>
      <vt:lpstr>shk_Min</vt:lpstr>
      <vt:lpstr>shk_SD</vt:lpstr>
      <vt:lpstr>syn_Max</vt:lpstr>
      <vt:lpstr>syn_Mean</vt:lpstr>
      <vt:lpstr>syn_Min</vt:lpstr>
      <vt:lpstr>syn_SD</vt:lpstr>
      <vt:lpstr>SynReal_Y1</vt:lpstr>
      <vt:lpstr>SynReal_Y2toY5</vt:lpstr>
      <vt:lpstr>Tax</vt:lpstr>
      <vt:lpstr>TxnCostPct</vt:lpstr>
      <vt:lpstr>WCPct</vt:lpstr>
      <vt:lpstr>X_High</vt:lpstr>
      <vt:lpstr>X_Low</vt:lpstr>
      <vt:lpstr>X_Mode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Dany</dc:creator>
  <cp:lastModifiedBy>Daniel Sibanda</cp:lastModifiedBy>
  <dcterms:created xsi:type="dcterms:W3CDTF">2025-09-04T03:24:18Z</dcterms:created>
  <dcterms:modified xsi:type="dcterms:W3CDTF">2025-09-18T02:16:58Z</dcterms:modified>
</cp:coreProperties>
</file>